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stro\data\DeepSkyCatalogs\Format\NGCIC\"/>
    </mc:Choice>
  </mc:AlternateContent>
  <bookViews>
    <workbookView xWindow="0" yWindow="0" windowWidth="20490" windowHeight="7560"/>
  </bookViews>
  <sheets>
    <sheet name="NI2019P1" sheetId="1" r:id="rId1"/>
    <sheet name="Dup" sheetId="2" r:id="rId2"/>
    <sheet name="note" sheetId="3" r:id="rId3"/>
    <sheet name="说明" sheetId="4" r:id="rId4"/>
  </sheets>
  <definedNames>
    <definedName name="_xlnm._FilterDatabase" localSheetId="0" hidden="1">NI2019P1!$A$1:$Z$13227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3227" i="1" l="1"/>
  <c r="O13227" i="1"/>
  <c r="Q13226" i="1"/>
  <c r="O13226" i="1"/>
  <c r="Q13225" i="1"/>
  <c r="O13225" i="1"/>
  <c r="Q13224" i="1"/>
  <c r="O13224" i="1"/>
  <c r="Q13223" i="1"/>
  <c r="O13223" i="1"/>
  <c r="Q13222" i="1"/>
  <c r="O13222" i="1"/>
  <c r="Q13221" i="1"/>
  <c r="O13221" i="1"/>
  <c r="Q13220" i="1"/>
  <c r="O13220" i="1"/>
  <c r="Q13219" i="1"/>
  <c r="O13219" i="1"/>
  <c r="Q13218" i="1"/>
  <c r="O13218" i="1"/>
  <c r="Q13217" i="1"/>
  <c r="O13217" i="1"/>
  <c r="Q13216" i="1"/>
  <c r="O13216" i="1"/>
  <c r="Q13215" i="1"/>
  <c r="O13215" i="1"/>
  <c r="Q13214" i="1"/>
  <c r="O13214" i="1"/>
  <c r="Q13213" i="1"/>
  <c r="O13213" i="1"/>
  <c r="Q13212" i="1"/>
  <c r="O13212" i="1"/>
  <c r="Q13211" i="1"/>
  <c r="O13211" i="1"/>
  <c r="Q13210" i="1"/>
  <c r="O13210" i="1"/>
  <c r="Q13209" i="1"/>
  <c r="O13209" i="1"/>
  <c r="Q13208" i="1"/>
  <c r="O13208" i="1"/>
  <c r="Q13207" i="1"/>
  <c r="O13207" i="1"/>
  <c r="Q13206" i="1"/>
  <c r="O13206" i="1"/>
  <c r="Q13205" i="1"/>
  <c r="O13205" i="1"/>
  <c r="Q13204" i="1"/>
  <c r="O13204" i="1"/>
  <c r="Q13203" i="1"/>
  <c r="O13203" i="1"/>
  <c r="Q13202" i="1"/>
  <c r="O13202" i="1"/>
  <c r="Q13201" i="1"/>
  <c r="O13201" i="1"/>
  <c r="Q13200" i="1"/>
  <c r="O13200" i="1"/>
  <c r="Q13199" i="1"/>
  <c r="O13199" i="1"/>
  <c r="Q13198" i="1"/>
  <c r="O13198" i="1"/>
  <c r="Q13197" i="1"/>
  <c r="O13197" i="1"/>
  <c r="Q13196" i="1"/>
  <c r="O13196" i="1"/>
  <c r="Q13195" i="1"/>
  <c r="O13195" i="1"/>
  <c r="Q13194" i="1"/>
  <c r="O13194" i="1"/>
  <c r="Q13193" i="1"/>
  <c r="O13193" i="1"/>
  <c r="Q13192" i="1"/>
  <c r="O13192" i="1"/>
  <c r="Q13191" i="1"/>
  <c r="O13191" i="1"/>
  <c r="Q13190" i="1"/>
  <c r="O13190" i="1"/>
  <c r="Q13189" i="1"/>
  <c r="O13189" i="1"/>
  <c r="Q13188" i="1"/>
  <c r="O13188" i="1"/>
  <c r="Q13187" i="1"/>
  <c r="O13187" i="1"/>
  <c r="Q13186" i="1"/>
  <c r="O13186" i="1"/>
  <c r="Q13185" i="1"/>
  <c r="O13185" i="1"/>
  <c r="Q13184" i="1"/>
  <c r="O13184" i="1"/>
  <c r="Q13183" i="1"/>
  <c r="O13183" i="1"/>
  <c r="Q13182" i="1"/>
  <c r="O13182" i="1"/>
  <c r="Q13181" i="1"/>
  <c r="O13181" i="1"/>
  <c r="Q13180" i="1"/>
  <c r="O13180" i="1"/>
  <c r="Q13179" i="1"/>
  <c r="O13179" i="1"/>
  <c r="Q13178" i="1"/>
  <c r="O13178" i="1"/>
  <c r="Q13177" i="1"/>
  <c r="O13177" i="1"/>
  <c r="Q13176" i="1"/>
  <c r="O13176" i="1"/>
  <c r="Q13175" i="1"/>
  <c r="O13175" i="1"/>
  <c r="Q13174" i="1"/>
  <c r="O13174" i="1"/>
  <c r="Q13173" i="1"/>
  <c r="O13173" i="1"/>
  <c r="Q13172" i="1"/>
  <c r="O13172" i="1"/>
  <c r="Q13171" i="1"/>
  <c r="O13171" i="1"/>
  <c r="Q13170" i="1"/>
  <c r="O13170" i="1"/>
  <c r="Q13169" i="1"/>
  <c r="O13169" i="1"/>
  <c r="Q13168" i="1"/>
  <c r="O13168" i="1"/>
  <c r="Q13167" i="1"/>
  <c r="O13167" i="1"/>
  <c r="Q13166" i="1"/>
  <c r="O13166" i="1"/>
  <c r="Q13165" i="1"/>
  <c r="O13165" i="1"/>
  <c r="Q13164" i="1"/>
  <c r="O13164" i="1"/>
  <c r="Q13163" i="1"/>
  <c r="O13163" i="1"/>
  <c r="Q13162" i="1"/>
  <c r="O13162" i="1"/>
  <c r="Q13161" i="1"/>
  <c r="O13161" i="1"/>
  <c r="Q13160" i="1"/>
  <c r="O13160" i="1"/>
  <c r="Q13159" i="1"/>
  <c r="O13159" i="1"/>
  <c r="Q13158" i="1"/>
  <c r="O13158" i="1"/>
  <c r="Q13157" i="1"/>
  <c r="O13157" i="1"/>
  <c r="Q13156" i="1"/>
  <c r="O13156" i="1"/>
  <c r="Q13155" i="1"/>
  <c r="O13155" i="1"/>
  <c r="Q13154" i="1"/>
  <c r="O13154" i="1"/>
  <c r="Q13153" i="1"/>
  <c r="O13153" i="1"/>
  <c r="Q13152" i="1"/>
  <c r="O13152" i="1"/>
  <c r="Q13151" i="1"/>
  <c r="O13151" i="1"/>
  <c r="Q13150" i="1"/>
  <c r="O13150" i="1"/>
  <c r="Q13149" i="1"/>
  <c r="O13149" i="1"/>
  <c r="Q13148" i="1"/>
  <c r="O13148" i="1"/>
  <c r="Q13147" i="1"/>
  <c r="O13147" i="1"/>
  <c r="Q13146" i="1"/>
  <c r="O13146" i="1"/>
  <c r="Q13145" i="1"/>
  <c r="O13145" i="1"/>
  <c r="Q13144" i="1"/>
  <c r="O13144" i="1"/>
  <c r="Q13143" i="1"/>
  <c r="O13143" i="1"/>
  <c r="Q13142" i="1"/>
  <c r="O13142" i="1"/>
  <c r="Q13141" i="1"/>
  <c r="O13141" i="1"/>
  <c r="Q13140" i="1"/>
  <c r="O13140" i="1"/>
  <c r="Q13139" i="1"/>
  <c r="O13139" i="1"/>
  <c r="Q13138" i="1"/>
  <c r="O13138" i="1"/>
  <c r="Q13137" i="1"/>
  <c r="O13137" i="1"/>
  <c r="Q13136" i="1"/>
  <c r="O13136" i="1"/>
  <c r="Q13135" i="1"/>
  <c r="O13135" i="1"/>
  <c r="Q13134" i="1"/>
  <c r="O13134" i="1"/>
  <c r="Q13133" i="1"/>
  <c r="O13133" i="1"/>
  <c r="Q13132" i="1"/>
  <c r="O13132" i="1"/>
  <c r="Q13131" i="1"/>
  <c r="O13131" i="1"/>
  <c r="Q13130" i="1"/>
  <c r="O13130" i="1"/>
  <c r="Q13129" i="1"/>
  <c r="O13129" i="1"/>
  <c r="Q13128" i="1"/>
  <c r="O13128" i="1"/>
  <c r="Q13127" i="1"/>
  <c r="O13127" i="1"/>
  <c r="Q13126" i="1"/>
  <c r="O13126" i="1"/>
  <c r="Q13125" i="1"/>
  <c r="O13125" i="1"/>
  <c r="Q13124" i="1"/>
  <c r="O13124" i="1"/>
  <c r="Q13123" i="1"/>
  <c r="O13123" i="1"/>
  <c r="Q13122" i="1"/>
  <c r="O13122" i="1"/>
  <c r="Q13121" i="1"/>
  <c r="O13121" i="1"/>
  <c r="Q13120" i="1"/>
  <c r="O13120" i="1"/>
  <c r="Q13119" i="1"/>
  <c r="O13119" i="1"/>
  <c r="Q13118" i="1"/>
  <c r="O13118" i="1"/>
  <c r="Q13117" i="1"/>
  <c r="O13117" i="1"/>
  <c r="Q13116" i="1"/>
  <c r="O13116" i="1"/>
  <c r="Q13115" i="1"/>
  <c r="O13115" i="1"/>
  <c r="Q13114" i="1"/>
  <c r="O13114" i="1"/>
  <c r="Q13113" i="1"/>
  <c r="O13113" i="1"/>
  <c r="Q13112" i="1"/>
  <c r="O13112" i="1"/>
  <c r="Q13111" i="1"/>
  <c r="O13111" i="1"/>
  <c r="Q13110" i="1"/>
  <c r="O13110" i="1"/>
  <c r="Q13109" i="1"/>
  <c r="O13109" i="1"/>
  <c r="Q13108" i="1"/>
  <c r="O13108" i="1"/>
  <c r="Q13107" i="1"/>
  <c r="O13107" i="1"/>
  <c r="Q13106" i="1"/>
  <c r="O13106" i="1"/>
  <c r="Q13105" i="1"/>
  <c r="O13105" i="1"/>
  <c r="Q13104" i="1"/>
  <c r="O13104" i="1"/>
  <c r="Q13103" i="1"/>
  <c r="O13103" i="1"/>
  <c r="Q13102" i="1"/>
  <c r="O13102" i="1"/>
  <c r="Q13101" i="1"/>
  <c r="O13101" i="1"/>
  <c r="Q13100" i="1"/>
  <c r="O13100" i="1"/>
  <c r="Q13099" i="1"/>
  <c r="O13099" i="1"/>
  <c r="Q13098" i="1"/>
  <c r="O13098" i="1"/>
  <c r="Q13097" i="1"/>
  <c r="O13097" i="1"/>
  <c r="Q13096" i="1"/>
  <c r="O13096" i="1"/>
  <c r="Q13095" i="1"/>
  <c r="O13095" i="1"/>
  <c r="Q13094" i="1"/>
  <c r="O13094" i="1"/>
  <c r="Q13093" i="1"/>
  <c r="O13093" i="1"/>
  <c r="Q13092" i="1"/>
  <c r="O13092" i="1"/>
  <c r="Q13091" i="1"/>
  <c r="O13091" i="1"/>
  <c r="Q13090" i="1"/>
  <c r="O13090" i="1"/>
  <c r="Q13089" i="1"/>
  <c r="O13089" i="1"/>
  <c r="Q13088" i="1"/>
  <c r="O13088" i="1"/>
  <c r="Q13087" i="1"/>
  <c r="O13087" i="1"/>
  <c r="Q13086" i="1"/>
  <c r="O13086" i="1"/>
  <c r="Q13085" i="1"/>
  <c r="O13085" i="1"/>
  <c r="Q13084" i="1"/>
  <c r="O13084" i="1"/>
  <c r="Q13083" i="1"/>
  <c r="O13083" i="1"/>
  <c r="Q13082" i="1"/>
  <c r="O13082" i="1"/>
  <c r="Q13081" i="1"/>
  <c r="O13081" i="1"/>
  <c r="Q13080" i="1"/>
  <c r="O13080" i="1"/>
  <c r="Q13079" i="1"/>
  <c r="O13079" i="1"/>
  <c r="Q13078" i="1"/>
  <c r="O13078" i="1"/>
  <c r="Q13077" i="1"/>
  <c r="O13077" i="1"/>
  <c r="Q13076" i="1"/>
  <c r="O13076" i="1"/>
  <c r="Q13075" i="1"/>
  <c r="O13075" i="1"/>
  <c r="Q13074" i="1"/>
  <c r="O13074" i="1"/>
  <c r="Q13073" i="1"/>
  <c r="O13073" i="1"/>
  <c r="Q13072" i="1"/>
  <c r="O13072" i="1"/>
  <c r="Q13071" i="1"/>
  <c r="O13071" i="1"/>
  <c r="Q13070" i="1"/>
  <c r="O13070" i="1"/>
  <c r="Q13069" i="1"/>
  <c r="O13069" i="1"/>
  <c r="Q13068" i="1"/>
  <c r="O13068" i="1"/>
  <c r="Q13067" i="1"/>
  <c r="O13067" i="1"/>
  <c r="Q13066" i="1"/>
  <c r="O13066" i="1"/>
  <c r="Q13065" i="1"/>
  <c r="O13065" i="1"/>
  <c r="Q13064" i="1"/>
  <c r="O13064" i="1"/>
  <c r="Q13063" i="1"/>
  <c r="O13063" i="1"/>
  <c r="Q13062" i="1"/>
  <c r="O13062" i="1"/>
  <c r="Q13061" i="1"/>
  <c r="O13061" i="1"/>
  <c r="Q13060" i="1"/>
  <c r="O13060" i="1"/>
  <c r="Q13059" i="1"/>
  <c r="O13059" i="1"/>
  <c r="Q13058" i="1"/>
  <c r="O13058" i="1"/>
  <c r="Q13057" i="1"/>
  <c r="O13057" i="1"/>
  <c r="Q13056" i="1"/>
  <c r="O13056" i="1"/>
  <c r="Q13055" i="1"/>
  <c r="O13055" i="1"/>
  <c r="Q13054" i="1"/>
  <c r="O13054" i="1"/>
  <c r="Q13053" i="1"/>
  <c r="O13053" i="1"/>
  <c r="Q13052" i="1"/>
  <c r="O13052" i="1"/>
  <c r="Q13051" i="1"/>
  <c r="O13051" i="1"/>
  <c r="Q13050" i="1"/>
  <c r="O13050" i="1"/>
  <c r="Q13049" i="1"/>
  <c r="O13049" i="1"/>
  <c r="Q13048" i="1"/>
  <c r="O13048" i="1"/>
  <c r="Q13047" i="1"/>
  <c r="O13047" i="1"/>
  <c r="Q13046" i="1"/>
  <c r="O13046" i="1"/>
  <c r="Q13045" i="1"/>
  <c r="O13045" i="1"/>
  <c r="Q13044" i="1"/>
  <c r="O13044" i="1"/>
  <c r="Q13043" i="1"/>
  <c r="O13043" i="1"/>
  <c r="Q13042" i="1"/>
  <c r="O13042" i="1"/>
  <c r="Q13041" i="1"/>
  <c r="O13041" i="1"/>
  <c r="Q13040" i="1"/>
  <c r="O13040" i="1"/>
  <c r="Q13039" i="1"/>
  <c r="O13039" i="1"/>
  <c r="Q13038" i="1"/>
  <c r="O13038" i="1"/>
  <c r="Q13037" i="1"/>
  <c r="O13037" i="1"/>
  <c r="Q13036" i="1"/>
  <c r="O13036" i="1"/>
  <c r="Q13035" i="1"/>
  <c r="O13035" i="1"/>
  <c r="Q13034" i="1"/>
  <c r="O13034" i="1"/>
  <c r="Q13033" i="1"/>
  <c r="O13033" i="1"/>
  <c r="Q13032" i="1"/>
  <c r="O13032" i="1"/>
  <c r="Q13031" i="1"/>
  <c r="O13031" i="1"/>
  <c r="Q13030" i="1"/>
  <c r="O13030" i="1"/>
  <c r="Q13029" i="1"/>
  <c r="O13029" i="1"/>
  <c r="Q13028" i="1"/>
  <c r="O13028" i="1"/>
  <c r="Q13027" i="1"/>
  <c r="O13027" i="1"/>
  <c r="Q13026" i="1"/>
  <c r="O13026" i="1"/>
  <c r="Q13025" i="1"/>
  <c r="O13025" i="1"/>
  <c r="Q13024" i="1"/>
  <c r="O13024" i="1"/>
  <c r="Q13023" i="1"/>
  <c r="O13023" i="1"/>
  <c r="Q13022" i="1"/>
  <c r="O13022" i="1"/>
  <c r="Q13021" i="1"/>
  <c r="O13021" i="1"/>
  <c r="Q13020" i="1"/>
  <c r="O13020" i="1"/>
  <c r="Q13019" i="1"/>
  <c r="O13019" i="1"/>
  <c r="Q13018" i="1"/>
  <c r="O13018" i="1"/>
  <c r="Q13017" i="1"/>
  <c r="O13017" i="1"/>
  <c r="Q13016" i="1"/>
  <c r="O13016" i="1"/>
  <c r="Q13015" i="1"/>
  <c r="O13015" i="1"/>
  <c r="Q13014" i="1"/>
  <c r="O13014" i="1"/>
  <c r="Q13013" i="1"/>
  <c r="O13013" i="1"/>
  <c r="Q13012" i="1"/>
  <c r="O13012" i="1"/>
  <c r="Q13011" i="1"/>
  <c r="O13011" i="1"/>
  <c r="Q13010" i="1"/>
  <c r="O13010" i="1"/>
  <c r="Q13009" i="1"/>
  <c r="O13009" i="1"/>
  <c r="Q13008" i="1"/>
  <c r="O13008" i="1"/>
  <c r="Q13007" i="1"/>
  <c r="O13007" i="1"/>
  <c r="Q13006" i="1"/>
  <c r="O13006" i="1"/>
  <c r="Q13005" i="1"/>
  <c r="O13005" i="1"/>
  <c r="Q13004" i="1"/>
  <c r="O13004" i="1"/>
  <c r="Q13003" i="1"/>
  <c r="O13003" i="1"/>
  <c r="Q13002" i="1"/>
  <c r="O13002" i="1"/>
  <c r="Q13001" i="1"/>
  <c r="O13001" i="1"/>
  <c r="Q13000" i="1"/>
  <c r="O13000" i="1"/>
  <c r="Q12999" i="1"/>
  <c r="O12999" i="1"/>
  <c r="Q12998" i="1"/>
  <c r="O12998" i="1"/>
  <c r="Q12997" i="1"/>
  <c r="O12997" i="1"/>
  <c r="Q12996" i="1"/>
  <c r="O12996" i="1"/>
  <c r="Q12995" i="1"/>
  <c r="O12995" i="1"/>
  <c r="Q12994" i="1"/>
  <c r="O12994" i="1"/>
  <c r="Q12993" i="1"/>
  <c r="O12993" i="1"/>
  <c r="Q12992" i="1"/>
  <c r="O12992" i="1"/>
  <c r="Q12991" i="1"/>
  <c r="O12991" i="1"/>
  <c r="Q12990" i="1"/>
  <c r="O12990" i="1"/>
  <c r="Q12989" i="1"/>
  <c r="O12989" i="1"/>
  <c r="Q12988" i="1"/>
  <c r="O12988" i="1"/>
  <c r="Q12987" i="1"/>
  <c r="O12987" i="1"/>
  <c r="Q12986" i="1"/>
  <c r="O12986" i="1"/>
  <c r="Q12985" i="1"/>
  <c r="O12985" i="1"/>
  <c r="Q12984" i="1"/>
  <c r="O12984" i="1"/>
  <c r="Q12983" i="1"/>
  <c r="O12983" i="1"/>
  <c r="Q12982" i="1"/>
  <c r="O12982" i="1"/>
  <c r="Q12981" i="1"/>
  <c r="O12981" i="1"/>
  <c r="Q12980" i="1"/>
  <c r="O12980" i="1"/>
  <c r="Q12979" i="1"/>
  <c r="O12979" i="1"/>
  <c r="Q12978" i="1"/>
  <c r="O12978" i="1"/>
  <c r="Q12977" i="1"/>
  <c r="O12977" i="1"/>
  <c r="Q12976" i="1"/>
  <c r="O12976" i="1"/>
  <c r="Q12975" i="1"/>
  <c r="O12975" i="1"/>
  <c r="Q12974" i="1"/>
  <c r="O12974" i="1"/>
  <c r="Q12973" i="1"/>
  <c r="O12973" i="1"/>
  <c r="Q12972" i="1"/>
  <c r="O12972" i="1"/>
  <c r="Q12971" i="1"/>
  <c r="O12971" i="1"/>
  <c r="Q12970" i="1"/>
  <c r="O12970" i="1"/>
  <c r="Q12969" i="1"/>
  <c r="O12969" i="1"/>
  <c r="Q12968" i="1"/>
  <c r="O12968" i="1"/>
  <c r="Q12967" i="1"/>
  <c r="O12967" i="1"/>
  <c r="Q12966" i="1"/>
  <c r="O12966" i="1"/>
  <c r="Q12965" i="1"/>
  <c r="O12965" i="1"/>
  <c r="Q12964" i="1"/>
  <c r="O12964" i="1"/>
  <c r="Q12963" i="1"/>
  <c r="O12963" i="1"/>
  <c r="Q12962" i="1"/>
  <c r="O12962" i="1"/>
  <c r="Q12961" i="1"/>
  <c r="O12961" i="1"/>
  <c r="Q12960" i="1"/>
  <c r="O12960" i="1"/>
  <c r="Q12959" i="1"/>
  <c r="O12959" i="1"/>
  <c r="Q12958" i="1"/>
  <c r="O12958" i="1"/>
  <c r="Q12957" i="1"/>
  <c r="O12957" i="1"/>
  <c r="Q12956" i="1"/>
  <c r="O12956" i="1"/>
  <c r="Q12955" i="1"/>
  <c r="O12955" i="1"/>
  <c r="Q12954" i="1"/>
  <c r="O12954" i="1"/>
  <c r="Q12953" i="1"/>
  <c r="O12953" i="1"/>
  <c r="Q12952" i="1"/>
  <c r="O12952" i="1"/>
  <c r="Q12951" i="1"/>
  <c r="O12951" i="1"/>
  <c r="Q12950" i="1"/>
  <c r="O12950" i="1"/>
  <c r="Q12949" i="1"/>
  <c r="O12949" i="1"/>
  <c r="Q12948" i="1"/>
  <c r="O12948" i="1"/>
  <c r="Q12947" i="1"/>
  <c r="O12947" i="1"/>
  <c r="Q12946" i="1"/>
  <c r="O12946" i="1"/>
  <c r="Q12945" i="1"/>
  <c r="O12945" i="1"/>
  <c r="Q12944" i="1"/>
  <c r="O12944" i="1"/>
  <c r="Q12943" i="1"/>
  <c r="O12943" i="1"/>
  <c r="Q12942" i="1"/>
  <c r="O12942" i="1"/>
  <c r="Q12941" i="1"/>
  <c r="O12941" i="1"/>
  <c r="Q12940" i="1"/>
  <c r="O12940" i="1"/>
  <c r="Q12939" i="1"/>
  <c r="O12939" i="1"/>
  <c r="Q12938" i="1"/>
  <c r="O12938" i="1"/>
  <c r="Q12937" i="1"/>
  <c r="O12937" i="1"/>
  <c r="Q12936" i="1"/>
  <c r="O12936" i="1"/>
  <c r="Q12935" i="1"/>
  <c r="O12935" i="1"/>
  <c r="Q12934" i="1"/>
  <c r="O12934" i="1"/>
  <c r="Q12933" i="1"/>
  <c r="O12933" i="1"/>
  <c r="Q12932" i="1"/>
  <c r="O12932" i="1"/>
  <c r="Q12931" i="1"/>
  <c r="O12931" i="1"/>
  <c r="Q12930" i="1"/>
  <c r="O12930" i="1"/>
  <c r="Q12929" i="1"/>
  <c r="O12929" i="1"/>
  <c r="Q12928" i="1"/>
  <c r="O12928" i="1"/>
  <c r="Q12927" i="1"/>
  <c r="O12927" i="1"/>
  <c r="Q12926" i="1"/>
  <c r="O12926" i="1"/>
  <c r="Q12925" i="1"/>
  <c r="O12925" i="1"/>
  <c r="Q12924" i="1"/>
  <c r="O12924" i="1"/>
  <c r="Q12923" i="1"/>
  <c r="O12923" i="1"/>
  <c r="Q12922" i="1"/>
  <c r="O12922" i="1"/>
  <c r="Q12921" i="1"/>
  <c r="O12921" i="1"/>
  <c r="Q12920" i="1"/>
  <c r="O12920" i="1"/>
  <c r="Q12919" i="1"/>
  <c r="O12919" i="1"/>
  <c r="Q12918" i="1"/>
  <c r="O12918" i="1"/>
  <c r="Q12917" i="1"/>
  <c r="O12917" i="1"/>
  <c r="Q12916" i="1"/>
  <c r="O12916" i="1"/>
  <c r="Q12915" i="1"/>
  <c r="O12915" i="1"/>
  <c r="Q12914" i="1"/>
  <c r="O12914" i="1"/>
  <c r="Q12913" i="1"/>
  <c r="O12913" i="1"/>
  <c r="Q12912" i="1"/>
  <c r="O12912" i="1"/>
  <c r="Q12911" i="1"/>
  <c r="O12911" i="1"/>
  <c r="Q12910" i="1"/>
  <c r="O12910" i="1"/>
  <c r="Q12909" i="1"/>
  <c r="O12909" i="1"/>
  <c r="Q12908" i="1"/>
  <c r="O12908" i="1"/>
  <c r="Q12907" i="1"/>
  <c r="O12907" i="1"/>
  <c r="Q12906" i="1"/>
  <c r="O12906" i="1"/>
  <c r="Q12905" i="1"/>
  <c r="O12905" i="1"/>
  <c r="Q12904" i="1"/>
  <c r="O12904" i="1"/>
  <c r="Q12903" i="1"/>
  <c r="O12903" i="1"/>
  <c r="Q12902" i="1"/>
  <c r="O12902" i="1"/>
  <c r="Q12901" i="1"/>
  <c r="O12901" i="1"/>
  <c r="Q12900" i="1"/>
  <c r="O12900" i="1"/>
  <c r="Q12899" i="1"/>
  <c r="O12899" i="1"/>
  <c r="Q12898" i="1"/>
  <c r="O12898" i="1"/>
  <c r="Q12897" i="1"/>
  <c r="O12897" i="1"/>
  <c r="Q12896" i="1"/>
  <c r="O12896" i="1"/>
  <c r="Q12895" i="1"/>
  <c r="O12895" i="1"/>
  <c r="Q12894" i="1"/>
  <c r="O12894" i="1"/>
  <c r="Q12893" i="1"/>
  <c r="O12893" i="1"/>
  <c r="Q12892" i="1"/>
  <c r="O12892" i="1"/>
  <c r="Q12891" i="1"/>
  <c r="O12891" i="1"/>
  <c r="Q12890" i="1"/>
  <c r="O12890" i="1"/>
  <c r="Q12889" i="1"/>
  <c r="O12889" i="1"/>
  <c r="Q12888" i="1"/>
  <c r="O12888" i="1"/>
  <c r="Q12887" i="1"/>
  <c r="O12887" i="1"/>
  <c r="Q12886" i="1"/>
  <c r="O12886" i="1"/>
  <c r="Q12885" i="1"/>
  <c r="O12885" i="1"/>
  <c r="Q12884" i="1"/>
  <c r="O12884" i="1"/>
  <c r="Q12883" i="1"/>
  <c r="O12883" i="1"/>
  <c r="Q12882" i="1"/>
  <c r="O12882" i="1"/>
  <c r="Q12881" i="1"/>
  <c r="O12881" i="1"/>
  <c r="Q12880" i="1"/>
  <c r="O12880" i="1"/>
  <c r="Q12879" i="1"/>
  <c r="O12879" i="1"/>
  <c r="Q12878" i="1"/>
  <c r="O12878" i="1"/>
  <c r="Q12877" i="1"/>
  <c r="O12877" i="1"/>
  <c r="Q12876" i="1"/>
  <c r="O12876" i="1"/>
  <c r="Q12875" i="1"/>
  <c r="O12875" i="1"/>
  <c r="Q12874" i="1"/>
  <c r="O12874" i="1"/>
  <c r="Q12873" i="1"/>
  <c r="O12873" i="1"/>
  <c r="Q12872" i="1"/>
  <c r="O12872" i="1"/>
  <c r="Q12871" i="1"/>
  <c r="O12871" i="1"/>
  <c r="Q12870" i="1"/>
  <c r="O12870" i="1"/>
  <c r="Q12869" i="1"/>
  <c r="O12869" i="1"/>
  <c r="Q12868" i="1"/>
  <c r="O12868" i="1"/>
  <c r="Q12867" i="1"/>
  <c r="O12867" i="1"/>
  <c r="Q12866" i="1"/>
  <c r="O12866" i="1"/>
  <c r="Q12865" i="1"/>
  <c r="O12865" i="1"/>
  <c r="Q12864" i="1"/>
  <c r="O12864" i="1"/>
  <c r="Q12863" i="1"/>
  <c r="O12863" i="1"/>
  <c r="Q12862" i="1"/>
  <c r="O12862" i="1"/>
  <c r="Q12861" i="1"/>
  <c r="O12861" i="1"/>
  <c r="Q12860" i="1"/>
  <c r="O12860" i="1"/>
  <c r="Q12859" i="1"/>
  <c r="O12859" i="1"/>
  <c r="Q12858" i="1"/>
  <c r="O12858" i="1"/>
  <c r="Q12857" i="1"/>
  <c r="O12857" i="1"/>
  <c r="Q12856" i="1"/>
  <c r="O12856" i="1"/>
  <c r="Q12855" i="1"/>
  <c r="O12855" i="1"/>
  <c r="Q12854" i="1"/>
  <c r="O12854" i="1"/>
  <c r="Q12853" i="1"/>
  <c r="O12853" i="1"/>
  <c r="Q12852" i="1"/>
  <c r="O12852" i="1"/>
  <c r="Q12851" i="1"/>
  <c r="O12851" i="1"/>
  <c r="Q12850" i="1"/>
  <c r="O12850" i="1"/>
  <c r="Q12849" i="1"/>
  <c r="O12849" i="1"/>
  <c r="Q12848" i="1"/>
  <c r="O12848" i="1"/>
  <c r="Q12847" i="1"/>
  <c r="O12847" i="1"/>
  <c r="Q12846" i="1"/>
  <c r="O12846" i="1"/>
  <c r="Q12845" i="1"/>
  <c r="O12845" i="1"/>
  <c r="Q12844" i="1"/>
  <c r="O12844" i="1"/>
  <c r="Q12843" i="1"/>
  <c r="O12843" i="1"/>
  <c r="Q12842" i="1"/>
  <c r="O12842" i="1"/>
  <c r="Q12841" i="1"/>
  <c r="O12841" i="1"/>
  <c r="Q12840" i="1"/>
  <c r="O12840" i="1"/>
  <c r="Q12839" i="1"/>
  <c r="O12839" i="1"/>
  <c r="Q12838" i="1"/>
  <c r="O12838" i="1"/>
  <c r="Q12837" i="1"/>
  <c r="O12837" i="1"/>
  <c r="Q12836" i="1"/>
  <c r="O12836" i="1"/>
  <c r="Q12835" i="1"/>
  <c r="O12835" i="1"/>
  <c r="Q12834" i="1"/>
  <c r="O12834" i="1"/>
  <c r="Q12833" i="1"/>
  <c r="O12833" i="1"/>
  <c r="Q12832" i="1"/>
  <c r="O12832" i="1"/>
  <c r="Q12831" i="1"/>
  <c r="O12831" i="1"/>
  <c r="Q12830" i="1"/>
  <c r="O12830" i="1"/>
  <c r="Q12829" i="1"/>
  <c r="O12829" i="1"/>
  <c r="Q12828" i="1"/>
  <c r="O12828" i="1"/>
  <c r="Q12827" i="1"/>
  <c r="O12827" i="1"/>
  <c r="Q12826" i="1"/>
  <c r="O12826" i="1"/>
  <c r="Q12825" i="1"/>
  <c r="O12825" i="1"/>
  <c r="Q12824" i="1"/>
  <c r="O12824" i="1"/>
  <c r="Q12823" i="1"/>
  <c r="O12823" i="1"/>
  <c r="Q12822" i="1"/>
  <c r="O12822" i="1"/>
  <c r="Q12821" i="1"/>
  <c r="O12821" i="1"/>
  <c r="Q12820" i="1"/>
  <c r="O12820" i="1"/>
  <c r="Q12819" i="1"/>
  <c r="O12819" i="1"/>
  <c r="Q12818" i="1"/>
  <c r="O12818" i="1"/>
  <c r="Q12817" i="1"/>
  <c r="O12817" i="1"/>
  <c r="Q12816" i="1"/>
  <c r="O12816" i="1"/>
  <c r="Q12815" i="1"/>
  <c r="O12815" i="1"/>
  <c r="Q12814" i="1"/>
  <c r="O12814" i="1"/>
  <c r="Q12813" i="1"/>
  <c r="O12813" i="1"/>
  <c r="Q12812" i="1"/>
  <c r="O12812" i="1"/>
  <c r="Q12811" i="1"/>
  <c r="O12811" i="1"/>
  <c r="Q12810" i="1"/>
  <c r="O12810" i="1"/>
  <c r="Q12809" i="1"/>
  <c r="O12809" i="1"/>
  <c r="Q12808" i="1"/>
  <c r="O12808" i="1"/>
  <c r="Q12807" i="1"/>
  <c r="O12807" i="1"/>
  <c r="Q12806" i="1"/>
  <c r="O12806" i="1"/>
  <c r="Q12805" i="1"/>
  <c r="O12805" i="1"/>
  <c r="Q12804" i="1"/>
  <c r="O12804" i="1"/>
  <c r="Q12803" i="1"/>
  <c r="O12803" i="1"/>
  <c r="Q12802" i="1"/>
  <c r="O12802" i="1"/>
  <c r="Q12801" i="1"/>
  <c r="O12801" i="1"/>
  <c r="Q12800" i="1"/>
  <c r="O12800" i="1"/>
  <c r="Q12799" i="1"/>
  <c r="O12799" i="1"/>
  <c r="Q12798" i="1"/>
  <c r="O12798" i="1"/>
  <c r="Q12797" i="1"/>
  <c r="O12797" i="1"/>
  <c r="Q12796" i="1"/>
  <c r="O12796" i="1"/>
  <c r="Q12795" i="1"/>
  <c r="O12795" i="1"/>
  <c r="Q12794" i="1"/>
  <c r="O12794" i="1"/>
  <c r="Q12793" i="1"/>
  <c r="O12793" i="1"/>
  <c r="Q12792" i="1"/>
  <c r="O12792" i="1"/>
  <c r="Q12791" i="1"/>
  <c r="O12791" i="1"/>
  <c r="Q12790" i="1"/>
  <c r="O12790" i="1"/>
  <c r="Q12789" i="1"/>
  <c r="O12789" i="1"/>
  <c r="Q12788" i="1"/>
  <c r="O12788" i="1"/>
  <c r="Q12787" i="1"/>
  <c r="O12787" i="1"/>
  <c r="Q12786" i="1"/>
  <c r="O12786" i="1"/>
  <c r="Q12785" i="1"/>
  <c r="O12785" i="1"/>
  <c r="Q12784" i="1"/>
  <c r="O12784" i="1"/>
  <c r="Q12783" i="1"/>
  <c r="O12783" i="1"/>
  <c r="Q12782" i="1"/>
  <c r="O12782" i="1"/>
  <c r="Q12781" i="1"/>
  <c r="O12781" i="1"/>
  <c r="Q12780" i="1"/>
  <c r="O12780" i="1"/>
  <c r="Q12779" i="1"/>
  <c r="O12779" i="1"/>
  <c r="Q12778" i="1"/>
  <c r="O12778" i="1"/>
  <c r="Q12777" i="1"/>
  <c r="O12777" i="1"/>
  <c r="Q12776" i="1"/>
  <c r="O12776" i="1"/>
  <c r="Q12775" i="1"/>
  <c r="O12775" i="1"/>
  <c r="Q12774" i="1"/>
  <c r="O12774" i="1"/>
  <c r="Q12773" i="1"/>
  <c r="O12773" i="1"/>
  <c r="Q12772" i="1"/>
  <c r="O12772" i="1"/>
  <c r="Q12771" i="1"/>
  <c r="O12771" i="1"/>
  <c r="Q12770" i="1"/>
  <c r="O12770" i="1"/>
  <c r="Q12769" i="1"/>
  <c r="O12769" i="1"/>
  <c r="Q12768" i="1"/>
  <c r="O12768" i="1"/>
  <c r="Q12767" i="1"/>
  <c r="O12767" i="1"/>
  <c r="Q12766" i="1"/>
  <c r="O12766" i="1"/>
  <c r="Q12765" i="1"/>
  <c r="O12765" i="1"/>
  <c r="Q12764" i="1"/>
  <c r="O12764" i="1"/>
  <c r="Q12763" i="1"/>
  <c r="O12763" i="1"/>
  <c r="Q12762" i="1"/>
  <c r="O12762" i="1"/>
  <c r="Q12761" i="1"/>
  <c r="O12761" i="1"/>
  <c r="Q12760" i="1"/>
  <c r="O12760" i="1"/>
  <c r="Q12759" i="1"/>
  <c r="O12759" i="1"/>
  <c r="Q12758" i="1"/>
  <c r="O12758" i="1"/>
  <c r="Q12757" i="1"/>
  <c r="O12757" i="1"/>
  <c r="Q12756" i="1"/>
  <c r="O12756" i="1"/>
  <c r="Q12755" i="1"/>
  <c r="O12755" i="1"/>
  <c r="Q12754" i="1"/>
  <c r="O12754" i="1"/>
  <c r="Q12753" i="1"/>
  <c r="O12753" i="1"/>
  <c r="Q12752" i="1"/>
  <c r="O12752" i="1"/>
  <c r="Q12751" i="1"/>
  <c r="O12751" i="1"/>
  <c r="Q12750" i="1"/>
  <c r="O12750" i="1"/>
  <c r="Q12749" i="1"/>
  <c r="O12749" i="1"/>
  <c r="Q12748" i="1"/>
  <c r="O12748" i="1"/>
  <c r="Q12747" i="1"/>
  <c r="O12747" i="1"/>
  <c r="Q12746" i="1"/>
  <c r="O12746" i="1"/>
  <c r="Q12745" i="1"/>
  <c r="O12745" i="1"/>
  <c r="Q12744" i="1"/>
  <c r="O12744" i="1"/>
  <c r="Q12743" i="1"/>
  <c r="O12743" i="1"/>
  <c r="Q12742" i="1"/>
  <c r="O12742" i="1"/>
  <c r="Q12741" i="1"/>
  <c r="O12741" i="1"/>
  <c r="Q12740" i="1"/>
  <c r="O12740" i="1"/>
  <c r="Q12739" i="1"/>
  <c r="O12739" i="1"/>
  <c r="Q12738" i="1"/>
  <c r="O12738" i="1"/>
  <c r="Q12737" i="1"/>
  <c r="O12737" i="1"/>
  <c r="Q12736" i="1"/>
  <c r="O12736" i="1"/>
  <c r="Q12735" i="1"/>
  <c r="O12735" i="1"/>
  <c r="Q12734" i="1"/>
  <c r="O12734" i="1"/>
  <c r="Q12733" i="1"/>
  <c r="O12733" i="1"/>
  <c r="Q12732" i="1"/>
  <c r="O12732" i="1"/>
  <c r="Q12731" i="1"/>
  <c r="O12731" i="1"/>
  <c r="Q12730" i="1"/>
  <c r="O12730" i="1"/>
  <c r="Q12729" i="1"/>
  <c r="O12729" i="1"/>
  <c r="Q12728" i="1"/>
  <c r="O12728" i="1"/>
  <c r="Q12727" i="1"/>
  <c r="O12727" i="1"/>
  <c r="Q12726" i="1"/>
  <c r="O12726" i="1"/>
  <c r="Q12725" i="1"/>
  <c r="O12725" i="1"/>
  <c r="Q12724" i="1"/>
  <c r="O12724" i="1"/>
  <c r="Q12723" i="1"/>
  <c r="O12723" i="1"/>
  <c r="Q12722" i="1"/>
  <c r="O12722" i="1"/>
  <c r="Q12721" i="1"/>
  <c r="O12721" i="1"/>
  <c r="Q12720" i="1"/>
  <c r="O12720" i="1"/>
  <c r="Q12719" i="1"/>
  <c r="O12719" i="1"/>
  <c r="Q12718" i="1"/>
  <c r="O12718" i="1"/>
  <c r="Q12717" i="1"/>
  <c r="O12717" i="1"/>
  <c r="Q12716" i="1"/>
  <c r="O12716" i="1"/>
  <c r="Q12715" i="1"/>
  <c r="O12715" i="1"/>
  <c r="Q12714" i="1"/>
  <c r="O12714" i="1"/>
  <c r="Q12713" i="1"/>
  <c r="O12713" i="1"/>
  <c r="Q12712" i="1"/>
  <c r="O12712" i="1"/>
  <c r="Q12711" i="1"/>
  <c r="O12711" i="1"/>
  <c r="Q12710" i="1"/>
  <c r="O12710" i="1"/>
  <c r="Q12709" i="1"/>
  <c r="O12709" i="1"/>
  <c r="Q12708" i="1"/>
  <c r="O12708" i="1"/>
  <c r="Q12707" i="1"/>
  <c r="O12707" i="1"/>
  <c r="Q12706" i="1"/>
  <c r="O12706" i="1"/>
  <c r="Q12705" i="1"/>
  <c r="O12705" i="1"/>
  <c r="Q12704" i="1"/>
  <c r="O12704" i="1"/>
  <c r="Q12703" i="1"/>
  <c r="O12703" i="1"/>
  <c r="Q12702" i="1"/>
  <c r="O12702" i="1"/>
  <c r="Q12701" i="1"/>
  <c r="O12701" i="1"/>
  <c r="Q12700" i="1"/>
  <c r="O12700" i="1"/>
  <c r="Q12699" i="1"/>
  <c r="O12699" i="1"/>
  <c r="Q12698" i="1"/>
  <c r="O12698" i="1"/>
  <c r="Q12697" i="1"/>
  <c r="O12697" i="1"/>
  <c r="Q12696" i="1"/>
  <c r="O12696" i="1"/>
  <c r="Q12695" i="1"/>
  <c r="O12695" i="1"/>
  <c r="Q12694" i="1"/>
  <c r="O12694" i="1"/>
  <c r="Q12693" i="1"/>
  <c r="O12693" i="1"/>
  <c r="Q12692" i="1"/>
  <c r="O12692" i="1"/>
  <c r="Q12691" i="1"/>
  <c r="O12691" i="1"/>
  <c r="Q12690" i="1"/>
  <c r="O12690" i="1"/>
  <c r="Q12689" i="1"/>
  <c r="O12689" i="1"/>
  <c r="Q12688" i="1"/>
  <c r="O12688" i="1"/>
  <c r="Q12687" i="1"/>
  <c r="O12687" i="1"/>
  <c r="Q12686" i="1"/>
  <c r="O12686" i="1"/>
  <c r="Q12685" i="1"/>
  <c r="O12685" i="1"/>
  <c r="Q12684" i="1"/>
  <c r="O12684" i="1"/>
  <c r="Q12683" i="1"/>
  <c r="O12683" i="1"/>
  <c r="Q12682" i="1"/>
  <c r="O12682" i="1"/>
  <c r="Q12681" i="1"/>
  <c r="O12681" i="1"/>
  <c r="Q12680" i="1"/>
  <c r="O12680" i="1"/>
  <c r="Q12679" i="1"/>
  <c r="O12679" i="1"/>
  <c r="Q12678" i="1"/>
  <c r="O12678" i="1"/>
  <c r="Q12677" i="1"/>
  <c r="O12677" i="1"/>
  <c r="Q12676" i="1"/>
  <c r="O12676" i="1"/>
  <c r="Q12675" i="1"/>
  <c r="O12675" i="1"/>
  <c r="Q12674" i="1"/>
  <c r="O12674" i="1"/>
  <c r="Q12673" i="1"/>
  <c r="O12673" i="1"/>
  <c r="Q12672" i="1"/>
  <c r="O12672" i="1"/>
  <c r="Q12671" i="1"/>
  <c r="O12671" i="1"/>
  <c r="Q12670" i="1"/>
  <c r="O12670" i="1"/>
  <c r="Q12669" i="1"/>
  <c r="O12669" i="1"/>
  <c r="Q12668" i="1"/>
  <c r="O12668" i="1"/>
  <c r="Q12667" i="1"/>
  <c r="O12667" i="1"/>
  <c r="Q12666" i="1"/>
  <c r="O12666" i="1"/>
  <c r="Q12665" i="1"/>
  <c r="O12665" i="1"/>
  <c r="Q12664" i="1"/>
  <c r="O12664" i="1"/>
  <c r="Q12663" i="1"/>
  <c r="O12663" i="1"/>
  <c r="Q12662" i="1"/>
  <c r="O12662" i="1"/>
  <c r="Q12661" i="1"/>
  <c r="O12661" i="1"/>
  <c r="Q12660" i="1"/>
  <c r="O12660" i="1"/>
  <c r="Q12659" i="1"/>
  <c r="O12659" i="1"/>
  <c r="Q12658" i="1"/>
  <c r="O12658" i="1"/>
  <c r="Q12657" i="1"/>
  <c r="O12657" i="1"/>
  <c r="Q12656" i="1"/>
  <c r="O12656" i="1"/>
  <c r="Q12655" i="1"/>
  <c r="O12655" i="1"/>
  <c r="Q12654" i="1"/>
  <c r="O12654" i="1"/>
  <c r="Q12653" i="1"/>
  <c r="O12653" i="1"/>
  <c r="Q12652" i="1"/>
  <c r="O12652" i="1"/>
  <c r="Q12651" i="1"/>
  <c r="O12651" i="1"/>
  <c r="Q12650" i="1"/>
  <c r="O12650" i="1"/>
  <c r="Q12649" i="1"/>
  <c r="O12649" i="1"/>
  <c r="Q12648" i="1"/>
  <c r="O12648" i="1"/>
  <c r="Q12647" i="1"/>
  <c r="O12647" i="1"/>
  <c r="Q12646" i="1"/>
  <c r="O12646" i="1"/>
  <c r="Q12645" i="1"/>
  <c r="O12645" i="1"/>
  <c r="Q12644" i="1"/>
  <c r="O12644" i="1"/>
  <c r="Q12643" i="1"/>
  <c r="O12643" i="1"/>
  <c r="Q12642" i="1"/>
  <c r="O12642" i="1"/>
  <c r="Q12641" i="1"/>
  <c r="O12641" i="1"/>
  <c r="Q12640" i="1"/>
  <c r="O12640" i="1"/>
  <c r="Q12639" i="1"/>
  <c r="O12639" i="1"/>
  <c r="Q12638" i="1"/>
  <c r="O12638" i="1"/>
  <c r="Q12637" i="1"/>
  <c r="O12637" i="1"/>
  <c r="Q12636" i="1"/>
  <c r="O12636" i="1"/>
  <c r="Q12635" i="1"/>
  <c r="O12635" i="1"/>
  <c r="Q12634" i="1"/>
  <c r="O12634" i="1"/>
  <c r="Q12633" i="1"/>
  <c r="O12633" i="1"/>
  <c r="Q12632" i="1"/>
  <c r="O12632" i="1"/>
  <c r="Q12631" i="1"/>
  <c r="O12631" i="1"/>
  <c r="Q12630" i="1"/>
  <c r="O12630" i="1"/>
  <c r="Q12629" i="1"/>
  <c r="O12629" i="1"/>
  <c r="Q12628" i="1"/>
  <c r="O12628" i="1"/>
  <c r="Q12627" i="1"/>
  <c r="O12627" i="1"/>
  <c r="Q12626" i="1"/>
  <c r="O12626" i="1"/>
  <c r="Q12625" i="1"/>
  <c r="O12625" i="1"/>
  <c r="Q12624" i="1"/>
  <c r="O12624" i="1"/>
  <c r="Q12623" i="1"/>
  <c r="O12623" i="1"/>
  <c r="Q12622" i="1"/>
  <c r="O12622" i="1"/>
  <c r="Q12621" i="1"/>
  <c r="O12621" i="1"/>
  <c r="Q12620" i="1"/>
  <c r="O12620" i="1"/>
  <c r="Q12619" i="1"/>
  <c r="O12619" i="1"/>
  <c r="Q12618" i="1"/>
  <c r="O12618" i="1"/>
  <c r="Q12617" i="1"/>
  <c r="O12617" i="1"/>
  <c r="Q12616" i="1"/>
  <c r="O12616" i="1"/>
  <c r="Q12615" i="1"/>
  <c r="O12615" i="1"/>
  <c r="Q12614" i="1"/>
  <c r="O12614" i="1"/>
  <c r="Q12613" i="1"/>
  <c r="O12613" i="1"/>
  <c r="Q12612" i="1"/>
  <c r="O12612" i="1"/>
  <c r="Q12611" i="1"/>
  <c r="O12611" i="1"/>
  <c r="Q12610" i="1"/>
  <c r="O12610" i="1"/>
  <c r="Q12609" i="1"/>
  <c r="O12609" i="1"/>
  <c r="Q12608" i="1"/>
  <c r="O12608" i="1"/>
  <c r="Q12607" i="1"/>
  <c r="O12607" i="1"/>
  <c r="Q12606" i="1"/>
  <c r="O12606" i="1"/>
  <c r="Q12605" i="1"/>
  <c r="O12605" i="1"/>
  <c r="Q12604" i="1"/>
  <c r="O12604" i="1"/>
  <c r="Q12603" i="1"/>
  <c r="O12603" i="1"/>
  <c r="Q12602" i="1"/>
  <c r="O12602" i="1"/>
  <c r="Q12601" i="1"/>
  <c r="O12601" i="1"/>
  <c r="Q12600" i="1"/>
  <c r="O12600" i="1"/>
  <c r="Q12599" i="1"/>
  <c r="O12599" i="1"/>
  <c r="Q12598" i="1"/>
  <c r="O12598" i="1"/>
  <c r="Q12597" i="1"/>
  <c r="O12597" i="1"/>
  <c r="Q12596" i="1"/>
  <c r="O12596" i="1"/>
  <c r="Q12595" i="1"/>
  <c r="O12595" i="1"/>
  <c r="Q12594" i="1"/>
  <c r="O12594" i="1"/>
  <c r="Q12593" i="1"/>
  <c r="O12593" i="1"/>
  <c r="Q12592" i="1"/>
  <c r="O12592" i="1"/>
  <c r="Q12591" i="1"/>
  <c r="O12591" i="1"/>
  <c r="Q12590" i="1"/>
  <c r="O12590" i="1"/>
  <c r="Q12589" i="1"/>
  <c r="O12589" i="1"/>
  <c r="Q12588" i="1"/>
  <c r="O12588" i="1"/>
  <c r="Q12587" i="1"/>
  <c r="O12587" i="1"/>
  <c r="Q12586" i="1"/>
  <c r="O12586" i="1"/>
  <c r="Q12585" i="1"/>
  <c r="O12585" i="1"/>
  <c r="Q12584" i="1"/>
  <c r="O12584" i="1"/>
  <c r="Q12583" i="1"/>
  <c r="O12583" i="1"/>
  <c r="Q12582" i="1"/>
  <c r="O12582" i="1"/>
  <c r="Q12581" i="1"/>
  <c r="O12581" i="1"/>
  <c r="Q12580" i="1"/>
  <c r="O12580" i="1"/>
  <c r="Q12579" i="1"/>
  <c r="O12579" i="1"/>
  <c r="Q12578" i="1"/>
  <c r="O12578" i="1"/>
  <c r="Q12577" i="1"/>
  <c r="O12577" i="1"/>
  <c r="Q12576" i="1"/>
  <c r="O12576" i="1"/>
  <c r="Q12575" i="1"/>
  <c r="O12575" i="1"/>
  <c r="Q12574" i="1"/>
  <c r="O12574" i="1"/>
  <c r="Q12573" i="1"/>
  <c r="O12573" i="1"/>
  <c r="Q12572" i="1"/>
  <c r="O12572" i="1"/>
  <c r="Q12571" i="1"/>
  <c r="O12571" i="1"/>
  <c r="Q12570" i="1"/>
  <c r="O12570" i="1"/>
  <c r="Q12569" i="1"/>
  <c r="O12569" i="1"/>
  <c r="Q12568" i="1"/>
  <c r="O12568" i="1"/>
  <c r="Q12567" i="1"/>
  <c r="O12567" i="1"/>
  <c r="Q12566" i="1"/>
  <c r="O12566" i="1"/>
  <c r="Q12565" i="1"/>
  <c r="O12565" i="1"/>
  <c r="Q12564" i="1"/>
  <c r="O12564" i="1"/>
  <c r="Q12563" i="1"/>
  <c r="O12563" i="1"/>
  <c r="Q12562" i="1"/>
  <c r="O12562" i="1"/>
  <c r="Q12561" i="1"/>
  <c r="O12561" i="1"/>
  <c r="Q12560" i="1"/>
  <c r="O12560" i="1"/>
  <c r="Q12559" i="1"/>
  <c r="O12559" i="1"/>
  <c r="Q12558" i="1"/>
  <c r="O12558" i="1"/>
  <c r="Q12557" i="1"/>
  <c r="O12557" i="1"/>
  <c r="Q12556" i="1"/>
  <c r="O12556" i="1"/>
  <c r="Q12555" i="1"/>
  <c r="O12555" i="1"/>
  <c r="Q12554" i="1"/>
  <c r="O12554" i="1"/>
  <c r="Q12553" i="1"/>
  <c r="O12553" i="1"/>
  <c r="Q12552" i="1"/>
  <c r="O12552" i="1"/>
  <c r="Q12551" i="1"/>
  <c r="O12551" i="1"/>
  <c r="Q12550" i="1"/>
  <c r="O12550" i="1"/>
  <c r="Q12549" i="1"/>
  <c r="O12549" i="1"/>
  <c r="Q12548" i="1"/>
  <c r="O12548" i="1"/>
  <c r="Q12547" i="1"/>
  <c r="O12547" i="1"/>
  <c r="Q12546" i="1"/>
  <c r="O12546" i="1"/>
  <c r="Q12545" i="1"/>
  <c r="O12545" i="1"/>
  <c r="Q12544" i="1"/>
  <c r="O12544" i="1"/>
  <c r="Q12543" i="1"/>
  <c r="O12543" i="1"/>
  <c r="Q12542" i="1"/>
  <c r="O12542" i="1"/>
  <c r="Q12541" i="1"/>
  <c r="O12541" i="1"/>
  <c r="Q12540" i="1"/>
  <c r="O12540" i="1"/>
  <c r="Q12539" i="1"/>
  <c r="O12539" i="1"/>
  <c r="Q12538" i="1"/>
  <c r="O12538" i="1"/>
  <c r="Q12537" i="1"/>
  <c r="O12537" i="1"/>
  <c r="Q12536" i="1"/>
  <c r="O12536" i="1"/>
  <c r="Q12535" i="1"/>
  <c r="O12535" i="1"/>
  <c r="Q12534" i="1"/>
  <c r="O12534" i="1"/>
  <c r="Q12533" i="1"/>
  <c r="O12533" i="1"/>
  <c r="Q12532" i="1"/>
  <c r="O12532" i="1"/>
  <c r="Q12531" i="1"/>
  <c r="O12531" i="1"/>
  <c r="Q12530" i="1"/>
  <c r="O12530" i="1"/>
  <c r="Q12529" i="1"/>
  <c r="O12529" i="1"/>
  <c r="Q12528" i="1"/>
  <c r="O12528" i="1"/>
  <c r="Q12527" i="1"/>
  <c r="O12527" i="1"/>
  <c r="Q12526" i="1"/>
  <c r="O12526" i="1"/>
  <c r="Q12525" i="1"/>
  <c r="O12525" i="1"/>
  <c r="Q12524" i="1"/>
  <c r="O12524" i="1"/>
  <c r="Q12523" i="1"/>
  <c r="O12523" i="1"/>
  <c r="Q12522" i="1"/>
  <c r="O12522" i="1"/>
  <c r="Q12521" i="1"/>
  <c r="O12521" i="1"/>
  <c r="Q12520" i="1"/>
  <c r="O12520" i="1"/>
  <c r="Q12519" i="1"/>
  <c r="O12519" i="1"/>
  <c r="Q12518" i="1"/>
  <c r="O12518" i="1"/>
  <c r="Q12517" i="1"/>
  <c r="O12517" i="1"/>
  <c r="Q12516" i="1"/>
  <c r="O12516" i="1"/>
  <c r="Q12515" i="1"/>
  <c r="O12515" i="1"/>
  <c r="Q12514" i="1"/>
  <c r="O12514" i="1"/>
  <c r="Q12513" i="1"/>
  <c r="O12513" i="1"/>
  <c r="Q12512" i="1"/>
  <c r="O12512" i="1"/>
  <c r="Q12511" i="1"/>
  <c r="O12511" i="1"/>
  <c r="Q12510" i="1"/>
  <c r="O12510" i="1"/>
  <c r="Q12509" i="1"/>
  <c r="O12509" i="1"/>
  <c r="Q12508" i="1"/>
  <c r="O12508" i="1"/>
  <c r="Q12507" i="1"/>
  <c r="O12507" i="1"/>
  <c r="Q12506" i="1"/>
  <c r="O12506" i="1"/>
  <c r="Q12505" i="1"/>
  <c r="O12505" i="1"/>
  <c r="Q12504" i="1"/>
  <c r="O12504" i="1"/>
  <c r="Q12503" i="1"/>
  <c r="O12503" i="1"/>
  <c r="Q12502" i="1"/>
  <c r="O12502" i="1"/>
  <c r="Q12501" i="1"/>
  <c r="O12501" i="1"/>
  <c r="Q12500" i="1"/>
  <c r="O12500" i="1"/>
  <c r="Q12499" i="1"/>
  <c r="O12499" i="1"/>
  <c r="Q12498" i="1"/>
  <c r="O12498" i="1"/>
  <c r="Q12497" i="1"/>
  <c r="O12497" i="1"/>
  <c r="Q12496" i="1"/>
  <c r="O12496" i="1"/>
  <c r="Q12495" i="1"/>
  <c r="O12495" i="1"/>
  <c r="Q12494" i="1"/>
  <c r="O12494" i="1"/>
  <c r="Q12493" i="1"/>
  <c r="O12493" i="1"/>
  <c r="Q12492" i="1"/>
  <c r="O12492" i="1"/>
  <c r="Q12491" i="1"/>
  <c r="O12491" i="1"/>
  <c r="Q12490" i="1"/>
  <c r="O12490" i="1"/>
  <c r="Q12489" i="1"/>
  <c r="O12489" i="1"/>
  <c r="Q12488" i="1"/>
  <c r="O12488" i="1"/>
  <c r="Q12487" i="1"/>
  <c r="O12487" i="1"/>
  <c r="Q12486" i="1"/>
  <c r="O12486" i="1"/>
  <c r="Q12485" i="1"/>
  <c r="O12485" i="1"/>
  <c r="Q12484" i="1"/>
  <c r="O12484" i="1"/>
  <c r="Q12483" i="1"/>
  <c r="O12483" i="1"/>
  <c r="Q12482" i="1"/>
  <c r="O12482" i="1"/>
  <c r="Q12481" i="1"/>
  <c r="O12481" i="1"/>
  <c r="Q12480" i="1"/>
  <c r="O12480" i="1"/>
  <c r="Q12479" i="1"/>
  <c r="O12479" i="1"/>
  <c r="Q12478" i="1"/>
  <c r="O12478" i="1"/>
  <c r="Q12477" i="1"/>
  <c r="O12477" i="1"/>
  <c r="Q12476" i="1"/>
  <c r="O12476" i="1"/>
  <c r="Q12475" i="1"/>
  <c r="O12475" i="1"/>
  <c r="Q12474" i="1"/>
  <c r="O12474" i="1"/>
  <c r="Q12473" i="1"/>
  <c r="O12473" i="1"/>
  <c r="Q12472" i="1"/>
  <c r="O12472" i="1"/>
  <c r="Q12471" i="1"/>
  <c r="O12471" i="1"/>
  <c r="Q12470" i="1"/>
  <c r="O12470" i="1"/>
  <c r="Q12469" i="1"/>
  <c r="O12469" i="1"/>
  <c r="Q12468" i="1"/>
  <c r="O12468" i="1"/>
  <c r="Q12467" i="1"/>
  <c r="O12467" i="1"/>
  <c r="Q12466" i="1"/>
  <c r="O12466" i="1"/>
  <c r="Q12465" i="1"/>
  <c r="O12465" i="1"/>
  <c r="Q12464" i="1"/>
  <c r="O12464" i="1"/>
  <c r="Q12463" i="1"/>
  <c r="O12463" i="1"/>
  <c r="Q12462" i="1"/>
  <c r="O12462" i="1"/>
  <c r="Q12461" i="1"/>
  <c r="O12461" i="1"/>
  <c r="Q12460" i="1"/>
  <c r="O12460" i="1"/>
  <c r="Q12459" i="1"/>
  <c r="O12459" i="1"/>
  <c r="Q12458" i="1"/>
  <c r="O12458" i="1"/>
  <c r="Q12457" i="1"/>
  <c r="O12457" i="1"/>
  <c r="Q12456" i="1"/>
  <c r="O12456" i="1"/>
  <c r="Q12455" i="1"/>
  <c r="O12455" i="1"/>
  <c r="Q12454" i="1"/>
  <c r="O12454" i="1"/>
  <c r="Q12453" i="1"/>
  <c r="O12453" i="1"/>
  <c r="Q12452" i="1"/>
  <c r="O12452" i="1"/>
  <c r="Q12451" i="1"/>
  <c r="O12451" i="1"/>
  <c r="Q12450" i="1"/>
  <c r="O12450" i="1"/>
  <c r="Q12449" i="1"/>
  <c r="O12449" i="1"/>
  <c r="Q12448" i="1"/>
  <c r="O12448" i="1"/>
  <c r="Q12447" i="1"/>
  <c r="O12447" i="1"/>
  <c r="Q12446" i="1"/>
  <c r="O12446" i="1"/>
  <c r="Q12445" i="1"/>
  <c r="O12445" i="1"/>
  <c r="Q12444" i="1"/>
  <c r="O12444" i="1"/>
  <c r="Q12443" i="1"/>
  <c r="O12443" i="1"/>
  <c r="Q12442" i="1"/>
  <c r="O12442" i="1"/>
  <c r="Q12441" i="1"/>
  <c r="O12441" i="1"/>
  <c r="Q12440" i="1"/>
  <c r="O12440" i="1"/>
  <c r="Q12439" i="1"/>
  <c r="O12439" i="1"/>
  <c r="Q12438" i="1"/>
  <c r="O12438" i="1"/>
  <c r="Q12437" i="1"/>
  <c r="O12437" i="1"/>
  <c r="Q12436" i="1"/>
  <c r="O12436" i="1"/>
  <c r="Q12435" i="1"/>
  <c r="O12435" i="1"/>
  <c r="Q12434" i="1"/>
  <c r="O12434" i="1"/>
  <c r="Q12433" i="1"/>
  <c r="O12433" i="1"/>
  <c r="Q12432" i="1"/>
  <c r="O12432" i="1"/>
  <c r="Q12431" i="1"/>
  <c r="O12431" i="1"/>
  <c r="Q12430" i="1"/>
  <c r="O12430" i="1"/>
  <c r="Q12429" i="1"/>
  <c r="O12429" i="1"/>
  <c r="Q12428" i="1"/>
  <c r="O12428" i="1"/>
  <c r="Q12427" i="1"/>
  <c r="O12427" i="1"/>
  <c r="Q12426" i="1"/>
  <c r="O12426" i="1"/>
  <c r="Q12425" i="1"/>
  <c r="O12425" i="1"/>
  <c r="Q12424" i="1"/>
  <c r="O12424" i="1"/>
  <c r="Q12423" i="1"/>
  <c r="O12423" i="1"/>
  <c r="Q12422" i="1"/>
  <c r="O12422" i="1"/>
  <c r="Q12421" i="1"/>
  <c r="O12421" i="1"/>
  <c r="Q12420" i="1"/>
  <c r="O12420" i="1"/>
  <c r="Q12419" i="1"/>
  <c r="O12419" i="1"/>
  <c r="Q12418" i="1"/>
  <c r="O12418" i="1"/>
  <c r="Q12417" i="1"/>
  <c r="O12417" i="1"/>
  <c r="Q12416" i="1"/>
  <c r="O12416" i="1"/>
  <c r="Q12415" i="1"/>
  <c r="O12415" i="1"/>
  <c r="Q12414" i="1"/>
  <c r="O12414" i="1"/>
  <c r="Q12413" i="1"/>
  <c r="O12413" i="1"/>
  <c r="Q12412" i="1"/>
  <c r="O12412" i="1"/>
  <c r="Q12411" i="1"/>
  <c r="O12411" i="1"/>
  <c r="Q12410" i="1"/>
  <c r="O12410" i="1"/>
  <c r="Q12409" i="1"/>
  <c r="O12409" i="1"/>
  <c r="Q12408" i="1"/>
  <c r="O12408" i="1"/>
  <c r="Q12407" i="1"/>
  <c r="O12407" i="1"/>
  <c r="Q12406" i="1"/>
  <c r="O12406" i="1"/>
  <c r="Q12405" i="1"/>
  <c r="O12405" i="1"/>
  <c r="Q12404" i="1"/>
  <c r="O12404" i="1"/>
  <c r="Q12403" i="1"/>
  <c r="O12403" i="1"/>
  <c r="Q12402" i="1"/>
  <c r="O12402" i="1"/>
  <c r="Q12401" i="1"/>
  <c r="O12401" i="1"/>
  <c r="Q12400" i="1"/>
  <c r="O12400" i="1"/>
  <c r="Q12399" i="1"/>
  <c r="O12399" i="1"/>
  <c r="Q12398" i="1"/>
  <c r="O12398" i="1"/>
  <c r="Q12397" i="1"/>
  <c r="O12397" i="1"/>
  <c r="Q12396" i="1"/>
  <c r="O12396" i="1"/>
  <c r="Q12395" i="1"/>
  <c r="O12395" i="1"/>
  <c r="Q12394" i="1"/>
  <c r="O12394" i="1"/>
  <c r="Q12393" i="1"/>
  <c r="O12393" i="1"/>
  <c r="Q12392" i="1"/>
  <c r="O12392" i="1"/>
  <c r="Q12391" i="1"/>
  <c r="O12391" i="1"/>
  <c r="Q12390" i="1"/>
  <c r="O12390" i="1"/>
  <c r="Q12389" i="1"/>
  <c r="O12389" i="1"/>
  <c r="Q12388" i="1"/>
  <c r="O12388" i="1"/>
  <c r="Q12387" i="1"/>
  <c r="O12387" i="1"/>
  <c r="Q12386" i="1"/>
  <c r="O12386" i="1"/>
  <c r="Q12385" i="1"/>
  <c r="O12385" i="1"/>
  <c r="Q12384" i="1"/>
  <c r="O12384" i="1"/>
  <c r="Q12383" i="1"/>
  <c r="O12383" i="1"/>
  <c r="Q12382" i="1"/>
  <c r="O12382" i="1"/>
  <c r="Q12381" i="1"/>
  <c r="O12381" i="1"/>
  <c r="Q12380" i="1"/>
  <c r="O12380" i="1"/>
  <c r="Q12379" i="1"/>
  <c r="O12379" i="1"/>
  <c r="Q12378" i="1"/>
  <c r="O12378" i="1"/>
  <c r="Q12377" i="1"/>
  <c r="O12377" i="1"/>
  <c r="Q12376" i="1"/>
  <c r="O12376" i="1"/>
  <c r="Q12375" i="1"/>
  <c r="O12375" i="1"/>
  <c r="Q12374" i="1"/>
  <c r="O12374" i="1"/>
  <c r="Q12373" i="1"/>
  <c r="O12373" i="1"/>
  <c r="Q12372" i="1"/>
  <c r="O12372" i="1"/>
  <c r="Q12371" i="1"/>
  <c r="O12371" i="1"/>
  <c r="Q12370" i="1"/>
  <c r="O12370" i="1"/>
  <c r="Q12369" i="1"/>
  <c r="O12369" i="1"/>
  <c r="Q12368" i="1"/>
  <c r="O12368" i="1"/>
  <c r="Q12367" i="1"/>
  <c r="O12367" i="1"/>
  <c r="Q12366" i="1"/>
  <c r="O12366" i="1"/>
  <c r="Q12365" i="1"/>
  <c r="O12365" i="1"/>
  <c r="Q12364" i="1"/>
  <c r="O12364" i="1"/>
  <c r="Q12363" i="1"/>
  <c r="O12363" i="1"/>
  <c r="Q12362" i="1"/>
  <c r="O12362" i="1"/>
  <c r="Q12361" i="1"/>
  <c r="O12361" i="1"/>
  <c r="Q12360" i="1"/>
  <c r="O12360" i="1"/>
  <c r="Q12359" i="1"/>
  <c r="O12359" i="1"/>
  <c r="Q12358" i="1"/>
  <c r="O12358" i="1"/>
  <c r="Q12357" i="1"/>
  <c r="O12357" i="1"/>
  <c r="Q12356" i="1"/>
  <c r="O12356" i="1"/>
  <c r="Q12355" i="1"/>
  <c r="O12355" i="1"/>
  <c r="Q12354" i="1"/>
  <c r="O12354" i="1"/>
  <c r="Q12353" i="1"/>
  <c r="O12353" i="1"/>
  <c r="Q12352" i="1"/>
  <c r="O12352" i="1"/>
  <c r="Q12351" i="1"/>
  <c r="O12351" i="1"/>
  <c r="Q12350" i="1"/>
  <c r="O12350" i="1"/>
  <c r="Q12349" i="1"/>
  <c r="O12349" i="1"/>
  <c r="Q12348" i="1"/>
  <c r="O12348" i="1"/>
  <c r="Q12347" i="1"/>
  <c r="O12347" i="1"/>
  <c r="Q12346" i="1"/>
  <c r="O12346" i="1"/>
  <c r="Q12345" i="1"/>
  <c r="O12345" i="1"/>
  <c r="Q12344" i="1"/>
  <c r="O12344" i="1"/>
  <c r="Q12343" i="1"/>
  <c r="O12343" i="1"/>
  <c r="Q12342" i="1"/>
  <c r="O12342" i="1"/>
  <c r="Q12341" i="1"/>
  <c r="O12341" i="1"/>
  <c r="Q12340" i="1"/>
  <c r="O12340" i="1"/>
  <c r="Q12339" i="1"/>
  <c r="O12339" i="1"/>
  <c r="Q12338" i="1"/>
  <c r="O12338" i="1"/>
  <c r="Q12337" i="1"/>
  <c r="O12337" i="1"/>
  <c r="Q12336" i="1"/>
  <c r="O12336" i="1"/>
  <c r="Q12335" i="1"/>
  <c r="O12335" i="1"/>
  <c r="Q12334" i="1"/>
  <c r="O12334" i="1"/>
  <c r="Q12333" i="1"/>
  <c r="O12333" i="1"/>
  <c r="Q12332" i="1"/>
  <c r="O12332" i="1"/>
  <c r="Q12331" i="1"/>
  <c r="O12331" i="1"/>
  <c r="Q12330" i="1"/>
  <c r="O12330" i="1"/>
  <c r="Q12329" i="1"/>
  <c r="O12329" i="1"/>
  <c r="Q12328" i="1"/>
  <c r="O12328" i="1"/>
  <c r="Q12327" i="1"/>
  <c r="O12327" i="1"/>
  <c r="Q12326" i="1"/>
  <c r="O12326" i="1"/>
  <c r="Q12325" i="1"/>
  <c r="O12325" i="1"/>
  <c r="Q12324" i="1"/>
  <c r="O12324" i="1"/>
  <c r="Q12323" i="1"/>
  <c r="O12323" i="1"/>
  <c r="Q12322" i="1"/>
  <c r="O12322" i="1"/>
  <c r="Q12321" i="1"/>
  <c r="O12321" i="1"/>
  <c r="Q12320" i="1"/>
  <c r="O12320" i="1"/>
  <c r="Q12319" i="1"/>
  <c r="O12319" i="1"/>
  <c r="Q12318" i="1"/>
  <c r="O12318" i="1"/>
  <c r="Q12317" i="1"/>
  <c r="O12317" i="1"/>
  <c r="Q12316" i="1"/>
  <c r="O12316" i="1"/>
  <c r="Q12315" i="1"/>
  <c r="O12315" i="1"/>
  <c r="Q12314" i="1"/>
  <c r="O12314" i="1"/>
  <c r="Q12313" i="1"/>
  <c r="O12313" i="1"/>
  <c r="Q12312" i="1"/>
  <c r="O12312" i="1"/>
  <c r="Q12311" i="1"/>
  <c r="O12311" i="1"/>
  <c r="Q12310" i="1"/>
  <c r="O12310" i="1"/>
  <c r="Q12309" i="1"/>
  <c r="O12309" i="1"/>
  <c r="Q12308" i="1"/>
  <c r="O12308" i="1"/>
  <c r="Q12307" i="1"/>
  <c r="O12307" i="1"/>
  <c r="Q12306" i="1"/>
  <c r="O12306" i="1"/>
  <c r="Q12305" i="1"/>
  <c r="O12305" i="1"/>
  <c r="Q12304" i="1"/>
  <c r="O12304" i="1"/>
  <c r="Q12303" i="1"/>
  <c r="O12303" i="1"/>
  <c r="Q12302" i="1"/>
  <c r="O12302" i="1"/>
  <c r="Q12301" i="1"/>
  <c r="O12301" i="1"/>
  <c r="Q12300" i="1"/>
  <c r="O12300" i="1"/>
  <c r="Q12299" i="1"/>
  <c r="O12299" i="1"/>
  <c r="Q12298" i="1"/>
  <c r="O12298" i="1"/>
  <c r="Q12297" i="1"/>
  <c r="O12297" i="1"/>
  <c r="Q12296" i="1"/>
  <c r="O12296" i="1"/>
  <c r="Q12295" i="1"/>
  <c r="O12295" i="1"/>
  <c r="Q12294" i="1"/>
  <c r="O12294" i="1"/>
  <c r="Q12293" i="1"/>
  <c r="O12293" i="1"/>
  <c r="Q12292" i="1"/>
  <c r="O12292" i="1"/>
  <c r="Q12291" i="1"/>
  <c r="O12291" i="1"/>
  <c r="Q12290" i="1"/>
  <c r="O12290" i="1"/>
  <c r="Q12289" i="1"/>
  <c r="O12289" i="1"/>
  <c r="Q12288" i="1"/>
  <c r="O12288" i="1"/>
  <c r="Q12287" i="1"/>
  <c r="O12287" i="1"/>
  <c r="Q12286" i="1"/>
  <c r="O12286" i="1"/>
  <c r="Q12285" i="1"/>
  <c r="O12285" i="1"/>
  <c r="Q12284" i="1"/>
  <c r="O12284" i="1"/>
  <c r="Q12283" i="1"/>
  <c r="O12283" i="1"/>
  <c r="Q12282" i="1"/>
  <c r="O12282" i="1"/>
  <c r="Q12281" i="1"/>
  <c r="O12281" i="1"/>
  <c r="Q12280" i="1"/>
  <c r="O12280" i="1"/>
  <c r="Q12279" i="1"/>
  <c r="O12279" i="1"/>
  <c r="Q12278" i="1"/>
  <c r="O12278" i="1"/>
  <c r="Q12277" i="1"/>
  <c r="O12277" i="1"/>
  <c r="Q12276" i="1"/>
  <c r="O12276" i="1"/>
  <c r="Q12275" i="1"/>
  <c r="O12275" i="1"/>
  <c r="Q12274" i="1"/>
  <c r="O12274" i="1"/>
  <c r="Q12273" i="1"/>
  <c r="O12273" i="1"/>
  <c r="Q12272" i="1"/>
  <c r="O12272" i="1"/>
  <c r="Q12271" i="1"/>
  <c r="O12271" i="1"/>
  <c r="Q12270" i="1"/>
  <c r="O12270" i="1"/>
  <c r="Q12269" i="1"/>
  <c r="O12269" i="1"/>
  <c r="Q12268" i="1"/>
  <c r="O12268" i="1"/>
  <c r="Q12267" i="1"/>
  <c r="O12267" i="1"/>
  <c r="Q12266" i="1"/>
  <c r="O12266" i="1"/>
  <c r="Q12265" i="1"/>
  <c r="O12265" i="1"/>
  <c r="Q12264" i="1"/>
  <c r="O12264" i="1"/>
  <c r="Q12263" i="1"/>
  <c r="O12263" i="1"/>
  <c r="Q12262" i="1"/>
  <c r="O12262" i="1"/>
  <c r="Q12261" i="1"/>
  <c r="O12261" i="1"/>
  <c r="Q12260" i="1"/>
  <c r="O12260" i="1"/>
  <c r="Q12259" i="1"/>
  <c r="O12259" i="1"/>
  <c r="Q12258" i="1"/>
  <c r="O12258" i="1"/>
  <c r="Q12257" i="1"/>
  <c r="O12257" i="1"/>
  <c r="Q12256" i="1"/>
  <c r="O12256" i="1"/>
  <c r="Q12255" i="1"/>
  <c r="O12255" i="1"/>
  <c r="Q12254" i="1"/>
  <c r="O12254" i="1"/>
  <c r="Q12253" i="1"/>
  <c r="O12253" i="1"/>
  <c r="Q12252" i="1"/>
  <c r="O12252" i="1"/>
  <c r="Q12251" i="1"/>
  <c r="O12251" i="1"/>
  <c r="Q12250" i="1"/>
  <c r="O12250" i="1"/>
  <c r="Q12249" i="1"/>
  <c r="O12249" i="1"/>
  <c r="Q12248" i="1"/>
  <c r="O12248" i="1"/>
  <c r="Q12247" i="1"/>
  <c r="O12247" i="1"/>
  <c r="Q12246" i="1"/>
  <c r="O12246" i="1"/>
  <c r="Q12245" i="1"/>
  <c r="O12245" i="1"/>
  <c r="Q12244" i="1"/>
  <c r="O12244" i="1"/>
  <c r="Q12243" i="1"/>
  <c r="O12243" i="1"/>
  <c r="Q12242" i="1"/>
  <c r="O12242" i="1"/>
  <c r="Q12241" i="1"/>
  <c r="O12241" i="1"/>
  <c r="Q12240" i="1"/>
  <c r="O12240" i="1"/>
  <c r="Q12239" i="1"/>
  <c r="O12239" i="1"/>
  <c r="Q12238" i="1"/>
  <c r="O12238" i="1"/>
  <c r="Q12237" i="1"/>
  <c r="O12237" i="1"/>
  <c r="Q12236" i="1"/>
  <c r="O12236" i="1"/>
  <c r="Q12235" i="1"/>
  <c r="O12235" i="1"/>
  <c r="Q12234" i="1"/>
  <c r="O12234" i="1"/>
  <c r="Q12233" i="1"/>
  <c r="O12233" i="1"/>
  <c r="Q12232" i="1"/>
  <c r="O12232" i="1"/>
  <c r="Q12231" i="1"/>
  <c r="O12231" i="1"/>
  <c r="Q12230" i="1"/>
  <c r="O12230" i="1"/>
  <c r="Q12229" i="1"/>
  <c r="O12229" i="1"/>
  <c r="Q12228" i="1"/>
  <c r="O12228" i="1"/>
  <c r="Q12227" i="1"/>
  <c r="O12227" i="1"/>
  <c r="Q12226" i="1"/>
  <c r="O12226" i="1"/>
  <c r="Q12225" i="1"/>
  <c r="O12225" i="1"/>
  <c r="Q12224" i="1"/>
  <c r="O12224" i="1"/>
  <c r="Q12223" i="1"/>
  <c r="O12223" i="1"/>
  <c r="Q12222" i="1"/>
  <c r="O12222" i="1"/>
  <c r="Q12221" i="1"/>
  <c r="O12221" i="1"/>
  <c r="Q12220" i="1"/>
  <c r="O12220" i="1"/>
  <c r="Q12219" i="1"/>
  <c r="O12219" i="1"/>
  <c r="Q12218" i="1"/>
  <c r="O12218" i="1"/>
  <c r="Q12217" i="1"/>
  <c r="O12217" i="1"/>
  <c r="Q12216" i="1"/>
  <c r="O12216" i="1"/>
  <c r="Q12215" i="1"/>
  <c r="O12215" i="1"/>
  <c r="Q12214" i="1"/>
  <c r="O12214" i="1"/>
  <c r="Q12213" i="1"/>
  <c r="O12213" i="1"/>
  <c r="Q12212" i="1"/>
  <c r="O12212" i="1"/>
  <c r="Q12211" i="1"/>
  <c r="O12211" i="1"/>
  <c r="Q12210" i="1"/>
  <c r="O12210" i="1"/>
  <c r="Q12209" i="1"/>
  <c r="O12209" i="1"/>
  <c r="Q12208" i="1"/>
  <c r="O12208" i="1"/>
  <c r="Q12207" i="1"/>
  <c r="O12207" i="1"/>
  <c r="Q12206" i="1"/>
  <c r="O12206" i="1"/>
  <c r="Q12205" i="1"/>
  <c r="O12205" i="1"/>
  <c r="Q12204" i="1"/>
  <c r="O12204" i="1"/>
  <c r="Q12203" i="1"/>
  <c r="O12203" i="1"/>
  <c r="Q12202" i="1"/>
  <c r="O12202" i="1"/>
  <c r="Q12201" i="1"/>
  <c r="O12201" i="1"/>
  <c r="Q12200" i="1"/>
  <c r="O12200" i="1"/>
  <c r="Q12199" i="1"/>
  <c r="O12199" i="1"/>
  <c r="Q12198" i="1"/>
  <c r="O12198" i="1"/>
  <c r="Q12197" i="1"/>
  <c r="O12197" i="1"/>
  <c r="Q12196" i="1"/>
  <c r="O12196" i="1"/>
  <c r="Q12195" i="1"/>
  <c r="O12195" i="1"/>
  <c r="Q12194" i="1"/>
  <c r="O12194" i="1"/>
  <c r="Q12193" i="1"/>
  <c r="O12193" i="1"/>
  <c r="Q12192" i="1"/>
  <c r="O12192" i="1"/>
  <c r="Q12191" i="1"/>
  <c r="O12191" i="1"/>
  <c r="Q12190" i="1"/>
  <c r="O12190" i="1"/>
  <c r="Q12189" i="1"/>
  <c r="O12189" i="1"/>
  <c r="Q12188" i="1"/>
  <c r="O12188" i="1"/>
  <c r="Q12187" i="1"/>
  <c r="O12187" i="1"/>
  <c r="Q12186" i="1"/>
  <c r="O12186" i="1"/>
  <c r="Q12185" i="1"/>
  <c r="O12185" i="1"/>
  <c r="Q12184" i="1"/>
  <c r="O12184" i="1"/>
  <c r="Q12183" i="1"/>
  <c r="O12183" i="1"/>
  <c r="Q12182" i="1"/>
  <c r="O12182" i="1"/>
  <c r="Q12181" i="1"/>
  <c r="O12181" i="1"/>
  <c r="Q12180" i="1"/>
  <c r="O12180" i="1"/>
  <c r="Q12179" i="1"/>
  <c r="O12179" i="1"/>
  <c r="Q12178" i="1"/>
  <c r="O12178" i="1"/>
  <c r="Q12177" i="1"/>
  <c r="O12177" i="1"/>
  <c r="Q12176" i="1"/>
  <c r="O12176" i="1"/>
  <c r="Q12175" i="1"/>
  <c r="O12175" i="1"/>
  <c r="Q12174" i="1"/>
  <c r="O12174" i="1"/>
  <c r="Q12173" i="1"/>
  <c r="O12173" i="1"/>
  <c r="Q12172" i="1"/>
  <c r="O12172" i="1"/>
  <c r="Q12171" i="1"/>
  <c r="O12171" i="1"/>
  <c r="Q12170" i="1"/>
  <c r="O12170" i="1"/>
  <c r="Q12169" i="1"/>
  <c r="O12169" i="1"/>
  <c r="Q12168" i="1"/>
  <c r="O12168" i="1"/>
  <c r="Q12167" i="1"/>
  <c r="O12167" i="1"/>
  <c r="Q12166" i="1"/>
  <c r="O12166" i="1"/>
  <c r="Q12165" i="1"/>
  <c r="O12165" i="1"/>
  <c r="Q12164" i="1"/>
  <c r="O12164" i="1"/>
  <c r="Q12163" i="1"/>
  <c r="O12163" i="1"/>
  <c r="Q12162" i="1"/>
  <c r="O12162" i="1"/>
  <c r="Q12161" i="1"/>
  <c r="O12161" i="1"/>
  <c r="Q12160" i="1"/>
  <c r="O12160" i="1"/>
  <c r="Q12159" i="1"/>
  <c r="O12159" i="1"/>
  <c r="Q12158" i="1"/>
  <c r="O12158" i="1"/>
  <c r="Q12157" i="1"/>
  <c r="O12157" i="1"/>
  <c r="Q12156" i="1"/>
  <c r="O12156" i="1"/>
  <c r="Q12155" i="1"/>
  <c r="O12155" i="1"/>
  <c r="Q12154" i="1"/>
  <c r="O12154" i="1"/>
  <c r="Q12153" i="1"/>
  <c r="O12153" i="1"/>
  <c r="Q12152" i="1"/>
  <c r="O12152" i="1"/>
  <c r="Q12151" i="1"/>
  <c r="O12151" i="1"/>
  <c r="Q12150" i="1"/>
  <c r="O12150" i="1"/>
  <c r="Q12149" i="1"/>
  <c r="O12149" i="1"/>
  <c r="Q12148" i="1"/>
  <c r="O12148" i="1"/>
  <c r="Q12147" i="1"/>
  <c r="O12147" i="1"/>
  <c r="Q12146" i="1"/>
  <c r="O12146" i="1"/>
  <c r="Q12145" i="1"/>
  <c r="O12145" i="1"/>
  <c r="Q12144" i="1"/>
  <c r="O12144" i="1"/>
  <c r="Q12143" i="1"/>
  <c r="O12143" i="1"/>
  <c r="Q12142" i="1"/>
  <c r="O12142" i="1"/>
  <c r="Q12141" i="1"/>
  <c r="O12141" i="1"/>
  <c r="Q12140" i="1"/>
  <c r="O12140" i="1"/>
  <c r="Q12139" i="1"/>
  <c r="O12139" i="1"/>
  <c r="Q12138" i="1"/>
  <c r="O12138" i="1"/>
  <c r="Q12137" i="1"/>
  <c r="O12137" i="1"/>
  <c r="Q12136" i="1"/>
  <c r="O12136" i="1"/>
  <c r="Q12135" i="1"/>
  <c r="O12135" i="1"/>
  <c r="Q12134" i="1"/>
  <c r="O12134" i="1"/>
  <c r="Q12133" i="1"/>
  <c r="O12133" i="1"/>
  <c r="Q12132" i="1"/>
  <c r="O12132" i="1"/>
  <c r="Q12131" i="1"/>
  <c r="O12131" i="1"/>
  <c r="Q12130" i="1"/>
  <c r="O12130" i="1"/>
  <c r="Q12129" i="1"/>
  <c r="O12129" i="1"/>
  <c r="Q12128" i="1"/>
  <c r="O12128" i="1"/>
  <c r="Q12127" i="1"/>
  <c r="O12127" i="1"/>
  <c r="Q12126" i="1"/>
  <c r="O12126" i="1"/>
  <c r="Q12125" i="1"/>
  <c r="O12125" i="1"/>
  <c r="Q12124" i="1"/>
  <c r="O12124" i="1"/>
  <c r="Q12123" i="1"/>
  <c r="O12123" i="1"/>
  <c r="Q12122" i="1"/>
  <c r="O12122" i="1"/>
  <c r="Q12121" i="1"/>
  <c r="O12121" i="1"/>
  <c r="Q12120" i="1"/>
  <c r="O12120" i="1"/>
  <c r="Q12119" i="1"/>
  <c r="O12119" i="1"/>
  <c r="Q12118" i="1"/>
  <c r="O12118" i="1"/>
  <c r="Q12117" i="1"/>
  <c r="O12117" i="1"/>
  <c r="Q12116" i="1"/>
  <c r="O12116" i="1"/>
  <c r="Q12115" i="1"/>
  <c r="O12115" i="1"/>
  <c r="Q12114" i="1"/>
  <c r="O12114" i="1"/>
  <c r="Q12113" i="1"/>
  <c r="O12113" i="1"/>
  <c r="Q12112" i="1"/>
  <c r="O12112" i="1"/>
  <c r="Q12111" i="1"/>
  <c r="O12111" i="1"/>
  <c r="Q12110" i="1"/>
  <c r="O12110" i="1"/>
  <c r="Q12109" i="1"/>
  <c r="O12109" i="1"/>
  <c r="Q12108" i="1"/>
  <c r="O12108" i="1"/>
  <c r="Q12107" i="1"/>
  <c r="O12107" i="1"/>
  <c r="Q12106" i="1"/>
  <c r="O12106" i="1"/>
  <c r="Q12105" i="1"/>
  <c r="O12105" i="1"/>
  <c r="Q12104" i="1"/>
  <c r="O12104" i="1"/>
  <c r="Q12103" i="1"/>
  <c r="O12103" i="1"/>
  <c r="Q12102" i="1"/>
  <c r="O12102" i="1"/>
  <c r="Q12101" i="1"/>
  <c r="O12101" i="1"/>
  <c r="Q12100" i="1"/>
  <c r="O12100" i="1"/>
  <c r="Q12099" i="1"/>
  <c r="O12099" i="1"/>
  <c r="Q12098" i="1"/>
  <c r="O12098" i="1"/>
  <c r="Q12097" i="1"/>
  <c r="O12097" i="1"/>
  <c r="Q12096" i="1"/>
  <c r="O12096" i="1"/>
  <c r="Q12095" i="1"/>
  <c r="O12095" i="1"/>
  <c r="Q12094" i="1"/>
  <c r="O12094" i="1"/>
  <c r="Q12093" i="1"/>
  <c r="O12093" i="1"/>
  <c r="Q12092" i="1"/>
  <c r="O12092" i="1"/>
  <c r="Q12091" i="1"/>
  <c r="O12091" i="1"/>
  <c r="Q12090" i="1"/>
  <c r="O12090" i="1"/>
  <c r="Q12089" i="1"/>
  <c r="O12089" i="1"/>
  <c r="Q12088" i="1"/>
  <c r="O12088" i="1"/>
  <c r="Q12087" i="1"/>
  <c r="O12087" i="1"/>
  <c r="Q12086" i="1"/>
  <c r="O12086" i="1"/>
  <c r="Q12085" i="1"/>
  <c r="O12085" i="1"/>
  <c r="Q12084" i="1"/>
  <c r="O12084" i="1"/>
  <c r="Q12083" i="1"/>
  <c r="O12083" i="1"/>
  <c r="Q12082" i="1"/>
  <c r="O12082" i="1"/>
  <c r="Q12081" i="1"/>
  <c r="O12081" i="1"/>
  <c r="Q12080" i="1"/>
  <c r="O12080" i="1"/>
  <c r="Q12079" i="1"/>
  <c r="O12079" i="1"/>
  <c r="Q12078" i="1"/>
  <c r="O12078" i="1"/>
  <c r="Q12077" i="1"/>
  <c r="O12077" i="1"/>
  <c r="Q12076" i="1"/>
  <c r="O12076" i="1"/>
  <c r="Q12075" i="1"/>
  <c r="O12075" i="1"/>
  <c r="Q12074" i="1"/>
  <c r="O12074" i="1"/>
  <c r="Q12073" i="1"/>
  <c r="O12073" i="1"/>
  <c r="Q12072" i="1"/>
  <c r="O12072" i="1"/>
  <c r="Q12071" i="1"/>
  <c r="O12071" i="1"/>
  <c r="Q12070" i="1"/>
  <c r="O12070" i="1"/>
  <c r="Q12069" i="1"/>
  <c r="O12069" i="1"/>
  <c r="Q12068" i="1"/>
  <c r="O12068" i="1"/>
  <c r="Q12067" i="1"/>
  <c r="O12067" i="1"/>
  <c r="Q12066" i="1"/>
  <c r="O12066" i="1"/>
  <c r="Q12065" i="1"/>
  <c r="O12065" i="1"/>
  <c r="Q12064" i="1"/>
  <c r="O12064" i="1"/>
  <c r="Q12063" i="1"/>
  <c r="O12063" i="1"/>
  <c r="Q12062" i="1"/>
  <c r="O12062" i="1"/>
  <c r="Q12061" i="1"/>
  <c r="O12061" i="1"/>
  <c r="Q12060" i="1"/>
  <c r="O12060" i="1"/>
  <c r="Q12059" i="1"/>
  <c r="O12059" i="1"/>
  <c r="Q12058" i="1"/>
  <c r="O12058" i="1"/>
  <c r="Q12057" i="1"/>
  <c r="O12057" i="1"/>
  <c r="Q12056" i="1"/>
  <c r="O12056" i="1"/>
  <c r="Q12055" i="1"/>
  <c r="O12055" i="1"/>
  <c r="Q12054" i="1"/>
  <c r="O12054" i="1"/>
  <c r="Q12053" i="1"/>
  <c r="O12053" i="1"/>
  <c r="Q12052" i="1"/>
  <c r="O12052" i="1"/>
  <c r="Q12051" i="1"/>
  <c r="O12051" i="1"/>
  <c r="Q12050" i="1"/>
  <c r="O12050" i="1"/>
  <c r="Q12049" i="1"/>
  <c r="O12049" i="1"/>
  <c r="Q12048" i="1"/>
  <c r="O12048" i="1"/>
  <c r="Q12047" i="1"/>
  <c r="O12047" i="1"/>
  <c r="Q12046" i="1"/>
  <c r="O12046" i="1"/>
  <c r="Q12045" i="1"/>
  <c r="O12045" i="1"/>
  <c r="Q12044" i="1"/>
  <c r="O12044" i="1"/>
  <c r="Q12043" i="1"/>
  <c r="O12043" i="1"/>
  <c r="Q12042" i="1"/>
  <c r="O12042" i="1"/>
  <c r="Q12041" i="1"/>
  <c r="O12041" i="1"/>
  <c r="Q12040" i="1"/>
  <c r="O12040" i="1"/>
  <c r="Q12039" i="1"/>
  <c r="O12039" i="1"/>
  <c r="Q12038" i="1"/>
  <c r="O12038" i="1"/>
  <c r="Q12037" i="1"/>
  <c r="O12037" i="1"/>
  <c r="Q12036" i="1"/>
  <c r="O12036" i="1"/>
  <c r="Q12035" i="1"/>
  <c r="O12035" i="1"/>
  <c r="Q12034" i="1"/>
  <c r="O12034" i="1"/>
  <c r="Q12033" i="1"/>
  <c r="O12033" i="1"/>
  <c r="Q12032" i="1"/>
  <c r="O12032" i="1"/>
  <c r="Q12031" i="1"/>
  <c r="O12031" i="1"/>
  <c r="Q12030" i="1"/>
  <c r="O12030" i="1"/>
  <c r="Q12029" i="1"/>
  <c r="O12029" i="1"/>
  <c r="Q12028" i="1"/>
  <c r="O12028" i="1"/>
  <c r="Q12027" i="1"/>
  <c r="O12027" i="1"/>
  <c r="Q12026" i="1"/>
  <c r="O12026" i="1"/>
  <c r="Q12025" i="1"/>
  <c r="O12025" i="1"/>
  <c r="Q12024" i="1"/>
  <c r="O12024" i="1"/>
  <c r="Q12023" i="1"/>
  <c r="O12023" i="1"/>
  <c r="Q12022" i="1"/>
  <c r="O12022" i="1"/>
  <c r="Q12021" i="1"/>
  <c r="O12021" i="1"/>
  <c r="Q12020" i="1"/>
  <c r="O12020" i="1"/>
  <c r="Q12019" i="1"/>
  <c r="O12019" i="1"/>
  <c r="Q12018" i="1"/>
  <c r="O12018" i="1"/>
  <c r="Q12017" i="1"/>
  <c r="O12017" i="1"/>
  <c r="Q12016" i="1"/>
  <c r="O12016" i="1"/>
  <c r="Q12015" i="1"/>
  <c r="O12015" i="1"/>
  <c r="Q12014" i="1"/>
  <c r="O12014" i="1"/>
  <c r="Q12013" i="1"/>
  <c r="O12013" i="1"/>
  <c r="Q12012" i="1"/>
  <c r="O12012" i="1"/>
  <c r="Q12011" i="1"/>
  <c r="O12011" i="1"/>
  <c r="Q12010" i="1"/>
  <c r="O12010" i="1"/>
  <c r="Q12009" i="1"/>
  <c r="O12009" i="1"/>
  <c r="Q12008" i="1"/>
  <c r="O12008" i="1"/>
  <c r="Q12007" i="1"/>
  <c r="O12007" i="1"/>
  <c r="Q12006" i="1"/>
  <c r="O12006" i="1"/>
  <c r="Q12005" i="1"/>
  <c r="O12005" i="1"/>
  <c r="Q12004" i="1"/>
  <c r="O12004" i="1"/>
  <c r="Q12003" i="1"/>
  <c r="O12003" i="1"/>
  <c r="Q12002" i="1"/>
  <c r="O12002" i="1"/>
  <c r="Q12001" i="1"/>
  <c r="O12001" i="1"/>
  <c r="Q12000" i="1"/>
  <c r="O12000" i="1"/>
  <c r="Q11999" i="1"/>
  <c r="O11999" i="1"/>
  <c r="Q11998" i="1"/>
  <c r="O11998" i="1"/>
  <c r="Q11997" i="1"/>
  <c r="O11997" i="1"/>
  <c r="Q11996" i="1"/>
  <c r="O11996" i="1"/>
  <c r="Q11995" i="1"/>
  <c r="O11995" i="1"/>
  <c r="Q11994" i="1"/>
  <c r="O11994" i="1"/>
  <c r="Q11993" i="1"/>
  <c r="O11993" i="1"/>
  <c r="Q11992" i="1"/>
  <c r="O11992" i="1"/>
  <c r="Q11991" i="1"/>
  <c r="O11991" i="1"/>
  <c r="Q11990" i="1"/>
  <c r="O11990" i="1"/>
  <c r="Q11989" i="1"/>
  <c r="O11989" i="1"/>
  <c r="Q11988" i="1"/>
  <c r="O11988" i="1"/>
  <c r="Q11987" i="1"/>
  <c r="O11987" i="1"/>
  <c r="Q11986" i="1"/>
  <c r="O11986" i="1"/>
  <c r="Q11985" i="1"/>
  <c r="O11985" i="1"/>
  <c r="Q11984" i="1"/>
  <c r="O11984" i="1"/>
  <c r="Q11983" i="1"/>
  <c r="O11983" i="1"/>
  <c r="Q11982" i="1"/>
  <c r="O11982" i="1"/>
  <c r="Q11981" i="1"/>
  <c r="O11981" i="1"/>
  <c r="Q11980" i="1"/>
  <c r="O11980" i="1"/>
  <c r="Q11979" i="1"/>
  <c r="O11979" i="1"/>
  <c r="Q11978" i="1"/>
  <c r="O11978" i="1"/>
  <c r="Q11977" i="1"/>
  <c r="O11977" i="1"/>
  <c r="Q11976" i="1"/>
  <c r="O11976" i="1"/>
  <c r="Q11975" i="1"/>
  <c r="O11975" i="1"/>
  <c r="Q11974" i="1"/>
  <c r="O11974" i="1"/>
  <c r="Q11973" i="1"/>
  <c r="O11973" i="1"/>
  <c r="Q11972" i="1"/>
  <c r="O11972" i="1"/>
  <c r="Q11971" i="1"/>
  <c r="O11971" i="1"/>
  <c r="Q11970" i="1"/>
  <c r="O11970" i="1"/>
  <c r="Q11969" i="1"/>
  <c r="O11969" i="1"/>
  <c r="Q11968" i="1"/>
  <c r="O11968" i="1"/>
  <c r="Q11967" i="1"/>
  <c r="O11967" i="1"/>
  <c r="Q11966" i="1"/>
  <c r="O11966" i="1"/>
  <c r="Q11965" i="1"/>
  <c r="O11965" i="1"/>
  <c r="Q11964" i="1"/>
  <c r="O11964" i="1"/>
  <c r="Q11963" i="1"/>
  <c r="O11963" i="1"/>
  <c r="Q11962" i="1"/>
  <c r="O11962" i="1"/>
  <c r="Q11961" i="1"/>
  <c r="O11961" i="1"/>
  <c r="Q11960" i="1"/>
  <c r="O11960" i="1"/>
  <c r="Q11959" i="1"/>
  <c r="O11959" i="1"/>
  <c r="Q11958" i="1"/>
  <c r="O11958" i="1"/>
  <c r="Q11957" i="1"/>
  <c r="O11957" i="1"/>
  <c r="Q11956" i="1"/>
  <c r="O11956" i="1"/>
  <c r="Q11955" i="1"/>
  <c r="O11955" i="1"/>
  <c r="Q11954" i="1"/>
  <c r="O11954" i="1"/>
  <c r="Q11953" i="1"/>
  <c r="O11953" i="1"/>
  <c r="Q11952" i="1"/>
  <c r="O11952" i="1"/>
  <c r="Q11951" i="1"/>
  <c r="O11951" i="1"/>
  <c r="Q11950" i="1"/>
  <c r="O11950" i="1"/>
  <c r="Q11949" i="1"/>
  <c r="O11949" i="1"/>
  <c r="Q11948" i="1"/>
  <c r="O11948" i="1"/>
  <c r="Q11947" i="1"/>
  <c r="O11947" i="1"/>
  <c r="Q11946" i="1"/>
  <c r="O11946" i="1"/>
  <c r="Q11945" i="1"/>
  <c r="O11945" i="1"/>
  <c r="Q11944" i="1"/>
  <c r="O11944" i="1"/>
  <c r="Q11943" i="1"/>
  <c r="O11943" i="1"/>
  <c r="Q11942" i="1"/>
  <c r="O11942" i="1"/>
  <c r="Q11941" i="1"/>
  <c r="O11941" i="1"/>
  <c r="Q11940" i="1"/>
  <c r="O11940" i="1"/>
  <c r="Q11939" i="1"/>
  <c r="O11939" i="1"/>
  <c r="Q11938" i="1"/>
  <c r="O11938" i="1"/>
  <c r="Q11937" i="1"/>
  <c r="O11937" i="1"/>
  <c r="Q11936" i="1"/>
  <c r="O11936" i="1"/>
  <c r="Q11935" i="1"/>
  <c r="O11935" i="1"/>
  <c r="Q11934" i="1"/>
  <c r="O11934" i="1"/>
  <c r="Q11933" i="1"/>
  <c r="O11933" i="1"/>
  <c r="Q11932" i="1"/>
  <c r="O11932" i="1"/>
  <c r="Q11931" i="1"/>
  <c r="O11931" i="1"/>
  <c r="Q11930" i="1"/>
  <c r="O11930" i="1"/>
  <c r="Q11929" i="1"/>
  <c r="O11929" i="1"/>
  <c r="Q11928" i="1"/>
  <c r="O11928" i="1"/>
  <c r="Q11927" i="1"/>
  <c r="O11927" i="1"/>
  <c r="Q11926" i="1"/>
  <c r="O11926" i="1"/>
  <c r="Q11925" i="1"/>
  <c r="O11925" i="1"/>
  <c r="Q11924" i="1"/>
  <c r="O11924" i="1"/>
  <c r="Q11923" i="1"/>
  <c r="O11923" i="1"/>
  <c r="Q11922" i="1"/>
  <c r="O11922" i="1"/>
  <c r="Q11921" i="1"/>
  <c r="O11921" i="1"/>
  <c r="Q11920" i="1"/>
  <c r="O11920" i="1"/>
  <c r="Q11919" i="1"/>
  <c r="O11919" i="1"/>
  <c r="Q11918" i="1"/>
  <c r="O11918" i="1"/>
  <c r="Q11917" i="1"/>
  <c r="O11917" i="1"/>
  <c r="Q11916" i="1"/>
  <c r="O11916" i="1"/>
  <c r="Q11915" i="1"/>
  <c r="O11915" i="1"/>
  <c r="Q11914" i="1"/>
  <c r="O11914" i="1"/>
  <c r="Q11913" i="1"/>
  <c r="O11913" i="1"/>
  <c r="Q11912" i="1"/>
  <c r="O11912" i="1"/>
  <c r="Q11911" i="1"/>
  <c r="O11911" i="1"/>
  <c r="Q11910" i="1"/>
  <c r="O11910" i="1"/>
  <c r="Q11909" i="1"/>
  <c r="O11909" i="1"/>
  <c r="Q11908" i="1"/>
  <c r="O11908" i="1"/>
  <c r="Q11907" i="1"/>
  <c r="O11907" i="1"/>
  <c r="Q11906" i="1"/>
  <c r="O11906" i="1"/>
  <c r="Q11905" i="1"/>
  <c r="O11905" i="1"/>
  <c r="Q11904" i="1"/>
  <c r="O11904" i="1"/>
  <c r="Q11903" i="1"/>
  <c r="O11903" i="1"/>
  <c r="Q11902" i="1"/>
  <c r="O11902" i="1"/>
  <c r="Q11901" i="1"/>
  <c r="O11901" i="1"/>
  <c r="Q11900" i="1"/>
  <c r="O11900" i="1"/>
  <c r="Q11899" i="1"/>
  <c r="O11899" i="1"/>
  <c r="Q11898" i="1"/>
  <c r="O11898" i="1"/>
  <c r="Q11897" i="1"/>
  <c r="O11897" i="1"/>
  <c r="Q11896" i="1"/>
  <c r="O11896" i="1"/>
  <c r="Q11895" i="1"/>
  <c r="O11895" i="1"/>
  <c r="Q11894" i="1"/>
  <c r="O11894" i="1"/>
  <c r="Q11893" i="1"/>
  <c r="O11893" i="1"/>
  <c r="Q11892" i="1"/>
  <c r="O11892" i="1"/>
  <c r="Q11891" i="1"/>
  <c r="O11891" i="1"/>
  <c r="Q11890" i="1"/>
  <c r="O11890" i="1"/>
  <c r="Q11889" i="1"/>
  <c r="O11889" i="1"/>
  <c r="Q11888" i="1"/>
  <c r="O11888" i="1"/>
  <c r="Q11887" i="1"/>
  <c r="O11887" i="1"/>
  <c r="Q11886" i="1"/>
  <c r="O11886" i="1"/>
  <c r="Q11885" i="1"/>
  <c r="O11885" i="1"/>
  <c r="Q11884" i="1"/>
  <c r="O11884" i="1"/>
  <c r="Q11883" i="1"/>
  <c r="O11883" i="1"/>
  <c r="Q11882" i="1"/>
  <c r="O11882" i="1"/>
  <c r="Q11881" i="1"/>
  <c r="O11881" i="1"/>
  <c r="Q11880" i="1"/>
  <c r="O11880" i="1"/>
  <c r="Q11879" i="1"/>
  <c r="O11879" i="1"/>
  <c r="Q11878" i="1"/>
  <c r="O11878" i="1"/>
  <c r="Q11877" i="1"/>
  <c r="O11877" i="1"/>
  <c r="Q11876" i="1"/>
  <c r="O11876" i="1"/>
  <c r="Q11875" i="1"/>
  <c r="O11875" i="1"/>
  <c r="Q11874" i="1"/>
  <c r="O11874" i="1"/>
  <c r="Q11873" i="1"/>
  <c r="O11873" i="1"/>
  <c r="Q11872" i="1"/>
  <c r="O11872" i="1"/>
  <c r="Q11871" i="1"/>
  <c r="O11871" i="1"/>
  <c r="Q11870" i="1"/>
  <c r="O11870" i="1"/>
  <c r="Q11869" i="1"/>
  <c r="O11869" i="1"/>
  <c r="Q11868" i="1"/>
  <c r="O11868" i="1"/>
  <c r="Q11867" i="1"/>
  <c r="O11867" i="1"/>
  <c r="Q11866" i="1"/>
  <c r="O11866" i="1"/>
  <c r="Q11865" i="1"/>
  <c r="O11865" i="1"/>
  <c r="Q11864" i="1"/>
  <c r="O11864" i="1"/>
  <c r="Q11863" i="1"/>
  <c r="O11863" i="1"/>
  <c r="Q11862" i="1"/>
  <c r="O11862" i="1"/>
  <c r="Q11861" i="1"/>
  <c r="O11861" i="1"/>
  <c r="Q11860" i="1"/>
  <c r="O11860" i="1"/>
  <c r="Q11859" i="1"/>
  <c r="O11859" i="1"/>
  <c r="Q11858" i="1"/>
  <c r="O11858" i="1"/>
  <c r="Q11857" i="1"/>
  <c r="O11857" i="1"/>
  <c r="Q11856" i="1"/>
  <c r="O11856" i="1"/>
  <c r="Q11855" i="1"/>
  <c r="O11855" i="1"/>
  <c r="Q11854" i="1"/>
  <c r="O11854" i="1"/>
  <c r="Q11853" i="1"/>
  <c r="O11853" i="1"/>
  <c r="Q11852" i="1"/>
  <c r="O11852" i="1"/>
  <c r="Q11851" i="1"/>
  <c r="O11851" i="1"/>
  <c r="Q11850" i="1"/>
  <c r="O11850" i="1"/>
  <c r="Q11849" i="1"/>
  <c r="O11849" i="1"/>
  <c r="Q11848" i="1"/>
  <c r="O11848" i="1"/>
  <c r="Q11847" i="1"/>
  <c r="O11847" i="1"/>
  <c r="Q11846" i="1"/>
  <c r="O11846" i="1"/>
  <c r="Q11845" i="1"/>
  <c r="O11845" i="1"/>
  <c r="Q11844" i="1"/>
  <c r="O11844" i="1"/>
  <c r="Q11843" i="1"/>
  <c r="O11843" i="1"/>
  <c r="Q11842" i="1"/>
  <c r="O11842" i="1"/>
  <c r="Q11841" i="1"/>
  <c r="O11841" i="1"/>
  <c r="Q11840" i="1"/>
  <c r="O11840" i="1"/>
  <c r="Q11839" i="1"/>
  <c r="O11839" i="1"/>
  <c r="Q11838" i="1"/>
  <c r="O11838" i="1"/>
  <c r="Q11837" i="1"/>
  <c r="O11837" i="1"/>
  <c r="Q11836" i="1"/>
  <c r="O11836" i="1"/>
  <c r="Q11835" i="1"/>
  <c r="O11835" i="1"/>
  <c r="Q11834" i="1"/>
  <c r="O11834" i="1"/>
  <c r="Q11833" i="1"/>
  <c r="O11833" i="1"/>
  <c r="Q11832" i="1"/>
  <c r="O11832" i="1"/>
  <c r="Q11831" i="1"/>
  <c r="O11831" i="1"/>
  <c r="Q11830" i="1"/>
  <c r="O11830" i="1"/>
  <c r="Q11829" i="1"/>
  <c r="O11829" i="1"/>
  <c r="Q11828" i="1"/>
  <c r="O11828" i="1"/>
  <c r="Q11827" i="1"/>
  <c r="O11827" i="1"/>
  <c r="Q11826" i="1"/>
  <c r="O11826" i="1"/>
  <c r="Q11825" i="1"/>
  <c r="O11825" i="1"/>
  <c r="Q11824" i="1"/>
  <c r="O11824" i="1"/>
  <c r="Q11823" i="1"/>
  <c r="O11823" i="1"/>
  <c r="Q11822" i="1"/>
  <c r="O11822" i="1"/>
  <c r="Q11821" i="1"/>
  <c r="O11821" i="1"/>
  <c r="Q11820" i="1"/>
  <c r="O11820" i="1"/>
  <c r="Q11819" i="1"/>
  <c r="O11819" i="1"/>
  <c r="Q11818" i="1"/>
  <c r="O11818" i="1"/>
  <c r="Q11817" i="1"/>
  <c r="O11817" i="1"/>
  <c r="Q11816" i="1"/>
  <c r="O11816" i="1"/>
  <c r="Q11815" i="1"/>
  <c r="O11815" i="1"/>
  <c r="Q11814" i="1"/>
  <c r="O11814" i="1"/>
  <c r="Q11813" i="1"/>
  <c r="O11813" i="1"/>
  <c r="Q11812" i="1"/>
  <c r="O11812" i="1"/>
  <c r="Q11811" i="1"/>
  <c r="O11811" i="1"/>
  <c r="Q11810" i="1"/>
  <c r="O11810" i="1"/>
  <c r="Q11809" i="1"/>
  <c r="O11809" i="1"/>
  <c r="Q11808" i="1"/>
  <c r="O11808" i="1"/>
  <c r="Q11807" i="1"/>
  <c r="O11807" i="1"/>
  <c r="Q11806" i="1"/>
  <c r="O11806" i="1"/>
  <c r="Q11805" i="1"/>
  <c r="O11805" i="1"/>
  <c r="Q11804" i="1"/>
  <c r="O11804" i="1"/>
  <c r="Q11803" i="1"/>
  <c r="O11803" i="1"/>
  <c r="Q11802" i="1"/>
  <c r="O11802" i="1"/>
  <c r="Q11801" i="1"/>
  <c r="O11801" i="1"/>
  <c r="Q11800" i="1"/>
  <c r="O11800" i="1"/>
  <c r="Q11799" i="1"/>
  <c r="O11799" i="1"/>
  <c r="Q11798" i="1"/>
  <c r="O11798" i="1"/>
  <c r="Q11797" i="1"/>
  <c r="O11797" i="1"/>
  <c r="Q11796" i="1"/>
  <c r="O11796" i="1"/>
  <c r="Q11795" i="1"/>
  <c r="O11795" i="1"/>
  <c r="Q11794" i="1"/>
  <c r="O11794" i="1"/>
  <c r="Q11793" i="1"/>
  <c r="O11793" i="1"/>
  <c r="Q11792" i="1"/>
  <c r="O11792" i="1"/>
  <c r="Q11791" i="1"/>
  <c r="O11791" i="1"/>
  <c r="Q11790" i="1"/>
  <c r="O11790" i="1"/>
  <c r="Q11789" i="1"/>
  <c r="O11789" i="1"/>
  <c r="Q11788" i="1"/>
  <c r="O11788" i="1"/>
  <c r="Q11787" i="1"/>
  <c r="O11787" i="1"/>
  <c r="Q11786" i="1"/>
  <c r="O11786" i="1"/>
  <c r="Q11785" i="1"/>
  <c r="O11785" i="1"/>
  <c r="Q11784" i="1"/>
  <c r="O11784" i="1"/>
  <c r="Q11783" i="1"/>
  <c r="O11783" i="1"/>
  <c r="Q11782" i="1"/>
  <c r="O11782" i="1"/>
  <c r="Q11781" i="1"/>
  <c r="O11781" i="1"/>
  <c r="Q11780" i="1"/>
  <c r="O11780" i="1"/>
  <c r="Q11779" i="1"/>
  <c r="O11779" i="1"/>
  <c r="Q11778" i="1"/>
  <c r="O11778" i="1"/>
  <c r="Q11777" i="1"/>
  <c r="O11777" i="1"/>
  <c r="Q11776" i="1"/>
  <c r="O11776" i="1"/>
  <c r="Q11775" i="1"/>
  <c r="O11775" i="1"/>
  <c r="Q11774" i="1"/>
  <c r="O11774" i="1"/>
  <c r="Q11773" i="1"/>
  <c r="O11773" i="1"/>
  <c r="Q11772" i="1"/>
  <c r="O11772" i="1"/>
  <c r="Q11771" i="1"/>
  <c r="O11771" i="1"/>
  <c r="Q11770" i="1"/>
  <c r="O11770" i="1"/>
  <c r="Q11769" i="1"/>
  <c r="O11769" i="1"/>
  <c r="Q11768" i="1"/>
  <c r="O11768" i="1"/>
  <c r="Q11767" i="1"/>
  <c r="O11767" i="1"/>
  <c r="Q11766" i="1"/>
  <c r="O11766" i="1"/>
  <c r="Q11765" i="1"/>
  <c r="O11765" i="1"/>
  <c r="Q11764" i="1"/>
  <c r="O11764" i="1"/>
  <c r="Q11763" i="1"/>
  <c r="O11763" i="1"/>
  <c r="Q11762" i="1"/>
  <c r="O11762" i="1"/>
  <c r="Q11761" i="1"/>
  <c r="O11761" i="1"/>
  <c r="Q11760" i="1"/>
  <c r="O11760" i="1"/>
  <c r="Q11759" i="1"/>
  <c r="O11759" i="1"/>
  <c r="Q11758" i="1"/>
  <c r="O11758" i="1"/>
  <c r="Q11757" i="1"/>
  <c r="O11757" i="1"/>
  <c r="Q11756" i="1"/>
  <c r="O11756" i="1"/>
  <c r="Q11755" i="1"/>
  <c r="O11755" i="1"/>
  <c r="Q11754" i="1"/>
  <c r="O11754" i="1"/>
  <c r="Q11753" i="1"/>
  <c r="O11753" i="1"/>
  <c r="Q11752" i="1"/>
  <c r="O11752" i="1"/>
  <c r="Q11751" i="1"/>
  <c r="O11751" i="1"/>
  <c r="Q11750" i="1"/>
  <c r="O11750" i="1"/>
  <c r="Q11749" i="1"/>
  <c r="O11749" i="1"/>
  <c r="Q11748" i="1"/>
  <c r="O11748" i="1"/>
  <c r="Q11747" i="1"/>
  <c r="O11747" i="1"/>
  <c r="Q11746" i="1"/>
  <c r="O11746" i="1"/>
  <c r="Q11745" i="1"/>
  <c r="O11745" i="1"/>
  <c r="Q11744" i="1"/>
  <c r="O11744" i="1"/>
  <c r="Q11743" i="1"/>
  <c r="O11743" i="1"/>
  <c r="Q11742" i="1"/>
  <c r="O11742" i="1"/>
  <c r="Q11741" i="1"/>
  <c r="O11741" i="1"/>
  <c r="Q11740" i="1"/>
  <c r="O11740" i="1"/>
  <c r="Q11739" i="1"/>
  <c r="O11739" i="1"/>
  <c r="Q11738" i="1"/>
  <c r="O11738" i="1"/>
  <c r="Q11737" i="1"/>
  <c r="O11737" i="1"/>
  <c r="Q11736" i="1"/>
  <c r="O11736" i="1"/>
  <c r="Q11735" i="1"/>
  <c r="O11735" i="1"/>
  <c r="Q11734" i="1"/>
  <c r="O11734" i="1"/>
  <c r="Q11733" i="1"/>
  <c r="O11733" i="1"/>
  <c r="Q11732" i="1"/>
  <c r="O11732" i="1"/>
  <c r="Q11731" i="1"/>
  <c r="O11731" i="1"/>
  <c r="Q11730" i="1"/>
  <c r="O11730" i="1"/>
  <c r="Q11729" i="1"/>
  <c r="O11729" i="1"/>
  <c r="Q11728" i="1"/>
  <c r="O11728" i="1"/>
  <c r="Q11727" i="1"/>
  <c r="O11727" i="1"/>
  <c r="Q11726" i="1"/>
  <c r="O11726" i="1"/>
  <c r="Q11725" i="1"/>
  <c r="O11725" i="1"/>
  <c r="Q11724" i="1"/>
  <c r="O11724" i="1"/>
  <c r="Q11723" i="1"/>
  <c r="O11723" i="1"/>
  <c r="Q11722" i="1"/>
  <c r="O11722" i="1"/>
  <c r="Q11721" i="1"/>
  <c r="O11721" i="1"/>
  <c r="Q11720" i="1"/>
  <c r="O11720" i="1"/>
  <c r="Q11719" i="1"/>
  <c r="O11719" i="1"/>
  <c r="Q11718" i="1"/>
  <c r="O11718" i="1"/>
  <c r="Q11717" i="1"/>
  <c r="O11717" i="1"/>
  <c r="Q11716" i="1"/>
  <c r="O11716" i="1"/>
  <c r="Q11715" i="1"/>
  <c r="O11715" i="1"/>
  <c r="Q11714" i="1"/>
  <c r="O11714" i="1"/>
  <c r="Q11713" i="1"/>
  <c r="O11713" i="1"/>
  <c r="Q11712" i="1"/>
  <c r="O11712" i="1"/>
  <c r="Q11711" i="1"/>
  <c r="O11711" i="1"/>
  <c r="Q11710" i="1"/>
  <c r="O11710" i="1"/>
  <c r="Q11709" i="1"/>
  <c r="O11709" i="1"/>
  <c r="Q11708" i="1"/>
  <c r="O11708" i="1"/>
  <c r="Q11707" i="1"/>
  <c r="O11707" i="1"/>
  <c r="Q11706" i="1"/>
  <c r="O11706" i="1"/>
  <c r="Q11705" i="1"/>
  <c r="O11705" i="1"/>
  <c r="Q11704" i="1"/>
  <c r="O11704" i="1"/>
  <c r="Q11703" i="1"/>
  <c r="O11703" i="1"/>
  <c r="Q11702" i="1"/>
  <c r="O11702" i="1"/>
  <c r="Q11701" i="1"/>
  <c r="O11701" i="1"/>
  <c r="Q11700" i="1"/>
  <c r="O11700" i="1"/>
  <c r="Q11699" i="1"/>
  <c r="O11699" i="1"/>
  <c r="Q11698" i="1"/>
  <c r="O11698" i="1"/>
  <c r="Q11697" i="1"/>
  <c r="O11697" i="1"/>
  <c r="Q11696" i="1"/>
  <c r="O11696" i="1"/>
  <c r="Q11695" i="1"/>
  <c r="O11695" i="1"/>
  <c r="Q11694" i="1"/>
  <c r="O11694" i="1"/>
  <c r="Q11693" i="1"/>
  <c r="O11693" i="1"/>
  <c r="Q11692" i="1"/>
  <c r="O11692" i="1"/>
  <c r="Q11691" i="1"/>
  <c r="O11691" i="1"/>
  <c r="Q11690" i="1"/>
  <c r="O11690" i="1"/>
  <c r="Q11689" i="1"/>
  <c r="O11689" i="1"/>
  <c r="Q11688" i="1"/>
  <c r="O11688" i="1"/>
  <c r="Q11687" i="1"/>
  <c r="O11687" i="1"/>
  <c r="Q11686" i="1"/>
  <c r="O11686" i="1"/>
  <c r="Q11685" i="1"/>
  <c r="O11685" i="1"/>
  <c r="Q11684" i="1"/>
  <c r="O11684" i="1"/>
  <c r="Q11683" i="1"/>
  <c r="O11683" i="1"/>
  <c r="Q11682" i="1"/>
  <c r="O11682" i="1"/>
  <c r="Q11681" i="1"/>
  <c r="O11681" i="1"/>
  <c r="Q11680" i="1"/>
  <c r="O11680" i="1"/>
  <c r="Q11679" i="1"/>
  <c r="O11679" i="1"/>
  <c r="Q11678" i="1"/>
  <c r="O11678" i="1"/>
  <c r="Q11677" i="1"/>
  <c r="O11677" i="1"/>
  <c r="Q11676" i="1"/>
  <c r="O11676" i="1"/>
  <c r="Q11675" i="1"/>
  <c r="O11675" i="1"/>
  <c r="Q11674" i="1"/>
  <c r="O11674" i="1"/>
  <c r="Q11673" i="1"/>
  <c r="O11673" i="1"/>
  <c r="Q11672" i="1"/>
  <c r="O11672" i="1"/>
  <c r="Q11671" i="1"/>
  <c r="O11671" i="1"/>
  <c r="Q11670" i="1"/>
  <c r="O11670" i="1"/>
  <c r="Q11669" i="1"/>
  <c r="O11669" i="1"/>
  <c r="Q11668" i="1"/>
  <c r="O11668" i="1"/>
  <c r="Q11667" i="1"/>
  <c r="O11667" i="1"/>
  <c r="Q11666" i="1"/>
  <c r="O11666" i="1"/>
  <c r="Q11665" i="1"/>
  <c r="O11665" i="1"/>
  <c r="Q11664" i="1"/>
  <c r="O11664" i="1"/>
  <c r="Q11663" i="1"/>
  <c r="O11663" i="1"/>
  <c r="Q11662" i="1"/>
  <c r="O11662" i="1"/>
  <c r="Q11661" i="1"/>
  <c r="O11661" i="1"/>
  <c r="Q11660" i="1"/>
  <c r="O11660" i="1"/>
  <c r="Q11659" i="1"/>
  <c r="O11659" i="1"/>
  <c r="Q11658" i="1"/>
  <c r="O11658" i="1"/>
  <c r="Q11657" i="1"/>
  <c r="O11657" i="1"/>
  <c r="Q11656" i="1"/>
  <c r="O11656" i="1"/>
  <c r="Q11655" i="1"/>
  <c r="O11655" i="1"/>
  <c r="Q11654" i="1"/>
  <c r="O11654" i="1"/>
  <c r="Q11653" i="1"/>
  <c r="O11653" i="1"/>
  <c r="Q11652" i="1"/>
  <c r="O11652" i="1"/>
  <c r="Q11651" i="1"/>
  <c r="O11651" i="1"/>
  <c r="Q11650" i="1"/>
  <c r="O11650" i="1"/>
  <c r="Q11649" i="1"/>
  <c r="O11649" i="1"/>
  <c r="Q11648" i="1"/>
  <c r="O11648" i="1"/>
  <c r="Q11647" i="1"/>
  <c r="O11647" i="1"/>
  <c r="Q11646" i="1"/>
  <c r="O11646" i="1"/>
  <c r="Q11645" i="1"/>
  <c r="O11645" i="1"/>
  <c r="Q11644" i="1"/>
  <c r="O11644" i="1"/>
  <c r="Q11643" i="1"/>
  <c r="O11643" i="1"/>
  <c r="Q11642" i="1"/>
  <c r="O11642" i="1"/>
  <c r="Q11641" i="1"/>
  <c r="O11641" i="1"/>
  <c r="Q11640" i="1"/>
  <c r="O11640" i="1"/>
  <c r="Q11639" i="1"/>
  <c r="O11639" i="1"/>
  <c r="Q11638" i="1"/>
  <c r="O11638" i="1"/>
  <c r="Q11637" i="1"/>
  <c r="O11637" i="1"/>
  <c r="Q11636" i="1"/>
  <c r="O11636" i="1"/>
  <c r="Q11635" i="1"/>
  <c r="O11635" i="1"/>
  <c r="Q11634" i="1"/>
  <c r="O11634" i="1"/>
  <c r="Q11633" i="1"/>
  <c r="O11633" i="1"/>
  <c r="Q11632" i="1"/>
  <c r="O11632" i="1"/>
  <c r="Q11631" i="1"/>
  <c r="O11631" i="1"/>
  <c r="Q11630" i="1"/>
  <c r="O11630" i="1"/>
  <c r="Q11629" i="1"/>
  <c r="O11629" i="1"/>
  <c r="Q11628" i="1"/>
  <c r="O11628" i="1"/>
  <c r="Q11627" i="1"/>
  <c r="O11627" i="1"/>
  <c r="Q11626" i="1"/>
  <c r="O11626" i="1"/>
  <c r="Q11625" i="1"/>
  <c r="O11625" i="1"/>
  <c r="Q11624" i="1"/>
  <c r="O11624" i="1"/>
  <c r="Q11623" i="1"/>
  <c r="O11623" i="1"/>
  <c r="Q11622" i="1"/>
  <c r="O11622" i="1"/>
  <c r="Q11621" i="1"/>
  <c r="O11621" i="1"/>
  <c r="Q11620" i="1"/>
  <c r="O11620" i="1"/>
  <c r="Q11619" i="1"/>
  <c r="O11619" i="1"/>
  <c r="Q11618" i="1"/>
  <c r="O11618" i="1"/>
  <c r="Q11617" i="1"/>
  <c r="O11617" i="1"/>
  <c r="Q11616" i="1"/>
  <c r="O11616" i="1"/>
  <c r="Q11615" i="1"/>
  <c r="O11615" i="1"/>
  <c r="Q11614" i="1"/>
  <c r="O11614" i="1"/>
  <c r="Q11613" i="1"/>
  <c r="O11613" i="1"/>
  <c r="Q11612" i="1"/>
  <c r="O11612" i="1"/>
  <c r="Q11611" i="1"/>
  <c r="O11611" i="1"/>
  <c r="Q11610" i="1"/>
  <c r="O11610" i="1"/>
  <c r="Q11609" i="1"/>
  <c r="O11609" i="1"/>
  <c r="Q11608" i="1"/>
  <c r="O11608" i="1"/>
  <c r="Q11607" i="1"/>
  <c r="O11607" i="1"/>
  <c r="Q11606" i="1"/>
  <c r="O11606" i="1"/>
  <c r="Q11605" i="1"/>
  <c r="O11605" i="1"/>
  <c r="Q11604" i="1"/>
  <c r="O11604" i="1"/>
  <c r="Q11603" i="1"/>
  <c r="O11603" i="1"/>
  <c r="Q11602" i="1"/>
  <c r="O11602" i="1"/>
  <c r="Q11601" i="1"/>
  <c r="O11601" i="1"/>
  <c r="Q11600" i="1"/>
  <c r="O11600" i="1"/>
  <c r="Q11599" i="1"/>
  <c r="O11599" i="1"/>
  <c r="Q11598" i="1"/>
  <c r="O11598" i="1"/>
  <c r="Q11597" i="1"/>
  <c r="O11597" i="1"/>
  <c r="Q11596" i="1"/>
  <c r="O11596" i="1"/>
  <c r="Q11595" i="1"/>
  <c r="O11595" i="1"/>
  <c r="Q11594" i="1"/>
  <c r="O11594" i="1"/>
  <c r="Q11593" i="1"/>
  <c r="O11593" i="1"/>
  <c r="Q11592" i="1"/>
  <c r="O11592" i="1"/>
  <c r="Q11591" i="1"/>
  <c r="O11591" i="1"/>
  <c r="Q11590" i="1"/>
  <c r="O11590" i="1"/>
  <c r="Q11589" i="1"/>
  <c r="O11589" i="1"/>
  <c r="Q11588" i="1"/>
  <c r="O11588" i="1"/>
  <c r="Q11587" i="1"/>
  <c r="O11587" i="1"/>
  <c r="Q11586" i="1"/>
  <c r="O11586" i="1"/>
  <c r="Q11585" i="1"/>
  <c r="O11585" i="1"/>
  <c r="Q11584" i="1"/>
  <c r="O11584" i="1"/>
  <c r="Q11583" i="1"/>
  <c r="O11583" i="1"/>
  <c r="Q11582" i="1"/>
  <c r="O11582" i="1"/>
  <c r="Q11581" i="1"/>
  <c r="O11581" i="1"/>
  <c r="Q11580" i="1"/>
  <c r="O11580" i="1"/>
  <c r="Q11579" i="1"/>
  <c r="O11579" i="1"/>
  <c r="Q11578" i="1"/>
  <c r="O11578" i="1"/>
  <c r="Q11577" i="1"/>
  <c r="O11577" i="1"/>
  <c r="Q11576" i="1"/>
  <c r="O11576" i="1"/>
  <c r="Q11575" i="1"/>
  <c r="O11575" i="1"/>
  <c r="Q11574" i="1"/>
  <c r="O11574" i="1"/>
  <c r="Q11573" i="1"/>
  <c r="O11573" i="1"/>
  <c r="Q11572" i="1"/>
  <c r="O11572" i="1"/>
  <c r="Q11571" i="1"/>
  <c r="O11571" i="1"/>
  <c r="Q11570" i="1"/>
  <c r="O11570" i="1"/>
  <c r="Q11569" i="1"/>
  <c r="O11569" i="1"/>
  <c r="Q11568" i="1"/>
  <c r="O11568" i="1"/>
  <c r="Q11567" i="1"/>
  <c r="O11567" i="1"/>
  <c r="Q11566" i="1"/>
  <c r="O11566" i="1"/>
  <c r="Q11565" i="1"/>
  <c r="O11565" i="1"/>
  <c r="Q11564" i="1"/>
  <c r="O11564" i="1"/>
  <c r="Q11563" i="1"/>
  <c r="O11563" i="1"/>
  <c r="Q11562" i="1"/>
  <c r="O11562" i="1"/>
  <c r="Q11561" i="1"/>
  <c r="O11561" i="1"/>
  <c r="Q11560" i="1"/>
  <c r="O11560" i="1"/>
  <c r="Q11559" i="1"/>
  <c r="O11559" i="1"/>
  <c r="Q11558" i="1"/>
  <c r="O11558" i="1"/>
  <c r="Q11557" i="1"/>
  <c r="O11557" i="1"/>
  <c r="Q11556" i="1"/>
  <c r="O11556" i="1"/>
  <c r="Q11555" i="1"/>
  <c r="O11555" i="1"/>
  <c r="Q11554" i="1"/>
  <c r="O11554" i="1"/>
  <c r="Q11553" i="1"/>
  <c r="O11553" i="1"/>
  <c r="Q11552" i="1"/>
  <c r="O11552" i="1"/>
  <c r="Q11551" i="1"/>
  <c r="O11551" i="1"/>
  <c r="Q11550" i="1"/>
  <c r="O11550" i="1"/>
  <c r="Q11549" i="1"/>
  <c r="O11549" i="1"/>
  <c r="Q11548" i="1"/>
  <c r="O11548" i="1"/>
  <c r="Q11547" i="1"/>
  <c r="O11547" i="1"/>
  <c r="Q11546" i="1"/>
  <c r="O11546" i="1"/>
  <c r="Q11545" i="1"/>
  <c r="O11545" i="1"/>
  <c r="Q11544" i="1"/>
  <c r="O11544" i="1"/>
  <c r="Q11543" i="1"/>
  <c r="O11543" i="1"/>
  <c r="Q11542" i="1"/>
  <c r="O11542" i="1"/>
  <c r="Q11541" i="1"/>
  <c r="O11541" i="1"/>
  <c r="Q11540" i="1"/>
  <c r="O11540" i="1"/>
  <c r="Q11539" i="1"/>
  <c r="O11539" i="1"/>
  <c r="Q11538" i="1"/>
  <c r="O11538" i="1"/>
  <c r="Q11537" i="1"/>
  <c r="O11537" i="1"/>
  <c r="Q11536" i="1"/>
  <c r="O11536" i="1"/>
  <c r="Q11535" i="1"/>
  <c r="O11535" i="1"/>
  <c r="Q11534" i="1"/>
  <c r="O11534" i="1"/>
  <c r="Q11533" i="1"/>
  <c r="O11533" i="1"/>
  <c r="Q11532" i="1"/>
  <c r="O11532" i="1"/>
  <c r="Q11531" i="1"/>
  <c r="O11531" i="1"/>
  <c r="Q11530" i="1"/>
  <c r="O11530" i="1"/>
  <c r="Q11529" i="1"/>
  <c r="O11529" i="1"/>
  <c r="Q11528" i="1"/>
  <c r="O11528" i="1"/>
  <c r="Q11527" i="1"/>
  <c r="O11527" i="1"/>
  <c r="Q11526" i="1"/>
  <c r="O11526" i="1"/>
  <c r="Q11525" i="1"/>
  <c r="O11525" i="1"/>
  <c r="Q11524" i="1"/>
  <c r="O11524" i="1"/>
  <c r="Q11523" i="1"/>
  <c r="O11523" i="1"/>
  <c r="Q11522" i="1"/>
  <c r="O11522" i="1"/>
  <c r="Q11521" i="1"/>
  <c r="O11521" i="1"/>
  <c r="Q11520" i="1"/>
  <c r="O11520" i="1"/>
  <c r="Q11519" i="1"/>
  <c r="O11519" i="1"/>
  <c r="Q11518" i="1"/>
  <c r="O11518" i="1"/>
  <c r="Q11517" i="1"/>
  <c r="O11517" i="1"/>
  <c r="Q11516" i="1"/>
  <c r="O11516" i="1"/>
  <c r="Q11515" i="1"/>
  <c r="O11515" i="1"/>
  <c r="Q11514" i="1"/>
  <c r="O11514" i="1"/>
  <c r="Q11513" i="1"/>
  <c r="O11513" i="1"/>
  <c r="Q11512" i="1"/>
  <c r="O11512" i="1"/>
  <c r="Q11511" i="1"/>
  <c r="O11511" i="1"/>
  <c r="Q11510" i="1"/>
  <c r="O11510" i="1"/>
  <c r="Q11509" i="1"/>
  <c r="O11509" i="1"/>
  <c r="Q11508" i="1"/>
  <c r="O11508" i="1"/>
  <c r="Q11507" i="1"/>
  <c r="O11507" i="1"/>
  <c r="Q11506" i="1"/>
  <c r="O11506" i="1"/>
  <c r="Q11505" i="1"/>
  <c r="O11505" i="1"/>
  <c r="Q11504" i="1"/>
  <c r="O11504" i="1"/>
  <c r="Q11503" i="1"/>
  <c r="O11503" i="1"/>
  <c r="Q11502" i="1"/>
  <c r="O11502" i="1"/>
  <c r="Q11501" i="1"/>
  <c r="O11501" i="1"/>
  <c r="Q11500" i="1"/>
  <c r="O11500" i="1"/>
  <c r="Q11499" i="1"/>
  <c r="O11499" i="1"/>
  <c r="Q11498" i="1"/>
  <c r="O11498" i="1"/>
  <c r="Q11497" i="1"/>
  <c r="O11497" i="1"/>
  <c r="Q11496" i="1"/>
  <c r="O11496" i="1"/>
  <c r="Q11495" i="1"/>
  <c r="O11495" i="1"/>
  <c r="Q11494" i="1"/>
  <c r="O11494" i="1"/>
  <c r="Q11493" i="1"/>
  <c r="O11493" i="1"/>
  <c r="Q11492" i="1"/>
  <c r="O11492" i="1"/>
  <c r="Q11491" i="1"/>
  <c r="O11491" i="1"/>
  <c r="Q11490" i="1"/>
  <c r="O11490" i="1"/>
  <c r="Q11489" i="1"/>
  <c r="O11489" i="1"/>
  <c r="Q11488" i="1"/>
  <c r="O11488" i="1"/>
  <c r="Q11487" i="1"/>
  <c r="O11487" i="1"/>
  <c r="Q11486" i="1"/>
  <c r="O11486" i="1"/>
  <c r="Q11485" i="1"/>
  <c r="O11485" i="1"/>
  <c r="Q11484" i="1"/>
  <c r="O11484" i="1"/>
  <c r="Q11483" i="1"/>
  <c r="O11483" i="1"/>
  <c r="Q11482" i="1"/>
  <c r="O11482" i="1"/>
  <c r="Q11481" i="1"/>
  <c r="O11481" i="1"/>
  <c r="Q11480" i="1"/>
  <c r="O11480" i="1"/>
  <c r="Q11479" i="1"/>
  <c r="O11479" i="1"/>
  <c r="Q11478" i="1"/>
  <c r="O11478" i="1"/>
  <c r="Q11477" i="1"/>
  <c r="O11477" i="1"/>
  <c r="Q11476" i="1"/>
  <c r="O11476" i="1"/>
  <c r="Q11475" i="1"/>
  <c r="O11475" i="1"/>
  <c r="Q11474" i="1"/>
  <c r="O11474" i="1"/>
  <c r="Q11473" i="1"/>
  <c r="O11473" i="1"/>
  <c r="Q11472" i="1"/>
  <c r="O11472" i="1"/>
  <c r="Q11471" i="1"/>
  <c r="O11471" i="1"/>
  <c r="Q11470" i="1"/>
  <c r="O11470" i="1"/>
  <c r="Q11469" i="1"/>
  <c r="O11469" i="1"/>
  <c r="Q11468" i="1"/>
  <c r="O11468" i="1"/>
  <c r="Q11467" i="1"/>
  <c r="O11467" i="1"/>
  <c r="Q11466" i="1"/>
  <c r="O11466" i="1"/>
  <c r="Q11465" i="1"/>
  <c r="O11465" i="1"/>
  <c r="Q11464" i="1"/>
  <c r="O11464" i="1"/>
  <c r="Q11463" i="1"/>
  <c r="O11463" i="1"/>
  <c r="Q11462" i="1"/>
  <c r="O11462" i="1"/>
  <c r="Q11461" i="1"/>
  <c r="O11461" i="1"/>
  <c r="Q11460" i="1"/>
  <c r="O11460" i="1"/>
  <c r="Q11459" i="1"/>
  <c r="O11459" i="1"/>
  <c r="Q11458" i="1"/>
  <c r="O11458" i="1"/>
  <c r="Q11457" i="1"/>
  <c r="O11457" i="1"/>
  <c r="Q11456" i="1"/>
  <c r="O11456" i="1"/>
  <c r="Q11455" i="1"/>
  <c r="O11455" i="1"/>
  <c r="Q11454" i="1"/>
  <c r="O11454" i="1"/>
  <c r="Q11453" i="1"/>
  <c r="O11453" i="1"/>
  <c r="Q11452" i="1"/>
  <c r="O11452" i="1"/>
  <c r="Q11451" i="1"/>
  <c r="O11451" i="1"/>
  <c r="Q11450" i="1"/>
  <c r="O11450" i="1"/>
  <c r="Q11449" i="1"/>
  <c r="O11449" i="1"/>
  <c r="Q11448" i="1"/>
  <c r="O11448" i="1"/>
  <c r="Q11447" i="1"/>
  <c r="O11447" i="1"/>
  <c r="Q11446" i="1"/>
  <c r="O11446" i="1"/>
  <c r="Q11445" i="1"/>
  <c r="O11445" i="1"/>
  <c r="Q11444" i="1"/>
  <c r="O11444" i="1"/>
  <c r="Q11443" i="1"/>
  <c r="O11443" i="1"/>
  <c r="Q11442" i="1"/>
  <c r="O11442" i="1"/>
  <c r="Q11441" i="1"/>
  <c r="O11441" i="1"/>
  <c r="Q11440" i="1"/>
  <c r="O11440" i="1"/>
  <c r="Q11439" i="1"/>
  <c r="O11439" i="1"/>
  <c r="Q11438" i="1"/>
  <c r="O11438" i="1"/>
  <c r="Q11437" i="1"/>
  <c r="O11437" i="1"/>
  <c r="Q11436" i="1"/>
  <c r="O11436" i="1"/>
  <c r="Q11435" i="1"/>
  <c r="O11435" i="1"/>
  <c r="Q11434" i="1"/>
  <c r="O11434" i="1"/>
  <c r="Q11433" i="1"/>
  <c r="O11433" i="1"/>
  <c r="Q11432" i="1"/>
  <c r="O11432" i="1"/>
  <c r="Q11431" i="1"/>
  <c r="O11431" i="1"/>
  <c r="Q11430" i="1"/>
  <c r="O11430" i="1"/>
  <c r="Q11429" i="1"/>
  <c r="O11429" i="1"/>
  <c r="Q11428" i="1"/>
  <c r="O11428" i="1"/>
  <c r="Q11427" i="1"/>
  <c r="O11427" i="1"/>
  <c r="Q11426" i="1"/>
  <c r="O11426" i="1"/>
  <c r="Q11425" i="1"/>
  <c r="O11425" i="1"/>
  <c r="Q11424" i="1"/>
  <c r="O11424" i="1"/>
  <c r="Q11423" i="1"/>
  <c r="O11423" i="1"/>
  <c r="Q11422" i="1"/>
  <c r="O11422" i="1"/>
  <c r="Q11421" i="1"/>
  <c r="O11421" i="1"/>
  <c r="Q11420" i="1"/>
  <c r="O11420" i="1"/>
  <c r="Q11419" i="1"/>
  <c r="O11419" i="1"/>
  <c r="Q11418" i="1"/>
  <c r="O11418" i="1"/>
  <c r="Q11417" i="1"/>
  <c r="O11417" i="1"/>
  <c r="Q11416" i="1"/>
  <c r="O11416" i="1"/>
  <c r="Q11415" i="1"/>
  <c r="O11415" i="1"/>
  <c r="Q11414" i="1"/>
  <c r="O11414" i="1"/>
  <c r="Q11413" i="1"/>
  <c r="O11413" i="1"/>
  <c r="Q11412" i="1"/>
  <c r="O11412" i="1"/>
  <c r="Q11411" i="1"/>
  <c r="O11411" i="1"/>
  <c r="Q11410" i="1"/>
  <c r="O11410" i="1"/>
  <c r="Q11409" i="1"/>
  <c r="O11409" i="1"/>
  <c r="Q11408" i="1"/>
  <c r="O11408" i="1"/>
  <c r="Q11407" i="1"/>
  <c r="O11407" i="1"/>
  <c r="Q11406" i="1"/>
  <c r="O11406" i="1"/>
  <c r="Q11405" i="1"/>
  <c r="O11405" i="1"/>
  <c r="Q11404" i="1"/>
  <c r="O11404" i="1"/>
  <c r="Q11403" i="1"/>
  <c r="O11403" i="1"/>
  <c r="Q11402" i="1"/>
  <c r="O11402" i="1"/>
  <c r="Q11401" i="1"/>
  <c r="O11401" i="1"/>
  <c r="Q11400" i="1"/>
  <c r="O11400" i="1"/>
  <c r="Q11399" i="1"/>
  <c r="O11399" i="1"/>
  <c r="Q11398" i="1"/>
  <c r="O11398" i="1"/>
  <c r="Q11397" i="1"/>
  <c r="O11397" i="1"/>
  <c r="Q11396" i="1"/>
  <c r="O11396" i="1"/>
  <c r="Q11395" i="1"/>
  <c r="O11395" i="1"/>
  <c r="Q11394" i="1"/>
  <c r="O11394" i="1"/>
  <c r="Q11393" i="1"/>
  <c r="O11393" i="1"/>
  <c r="Q11392" i="1"/>
  <c r="O11392" i="1"/>
  <c r="Q11391" i="1"/>
  <c r="O11391" i="1"/>
  <c r="Q11390" i="1"/>
  <c r="O11390" i="1"/>
  <c r="Q11389" i="1"/>
  <c r="O11389" i="1"/>
  <c r="Q11388" i="1"/>
  <c r="O11388" i="1"/>
  <c r="Q11387" i="1"/>
  <c r="O11387" i="1"/>
  <c r="Q11386" i="1"/>
  <c r="O11386" i="1"/>
  <c r="Q11385" i="1"/>
  <c r="O11385" i="1"/>
  <c r="Q11384" i="1"/>
  <c r="O11384" i="1"/>
  <c r="Q11383" i="1"/>
  <c r="O11383" i="1"/>
  <c r="Q11382" i="1"/>
  <c r="O11382" i="1"/>
  <c r="Q11381" i="1"/>
  <c r="O11381" i="1"/>
  <c r="Q11380" i="1"/>
  <c r="O11380" i="1"/>
  <c r="Q11379" i="1"/>
  <c r="O11379" i="1"/>
  <c r="Q11378" i="1"/>
  <c r="O11378" i="1"/>
  <c r="Q11377" i="1"/>
  <c r="O11377" i="1"/>
  <c r="Q11376" i="1"/>
  <c r="O11376" i="1"/>
  <c r="Q11375" i="1"/>
  <c r="O11375" i="1"/>
  <c r="Q11374" i="1"/>
  <c r="O11374" i="1"/>
  <c r="Q11373" i="1"/>
  <c r="O11373" i="1"/>
  <c r="Q11372" i="1"/>
  <c r="O11372" i="1"/>
  <c r="Q11371" i="1"/>
  <c r="O11371" i="1"/>
  <c r="Q11370" i="1"/>
  <c r="O11370" i="1"/>
  <c r="Q11369" i="1"/>
  <c r="O11369" i="1"/>
  <c r="Q11368" i="1"/>
  <c r="O11368" i="1"/>
  <c r="Q11367" i="1"/>
  <c r="O11367" i="1"/>
  <c r="Q11366" i="1"/>
  <c r="O11366" i="1"/>
  <c r="Q11365" i="1"/>
  <c r="O11365" i="1"/>
  <c r="Q11364" i="1"/>
  <c r="O11364" i="1"/>
  <c r="Q11363" i="1"/>
  <c r="O11363" i="1"/>
  <c r="Q11362" i="1"/>
  <c r="O11362" i="1"/>
  <c r="Q11361" i="1"/>
  <c r="O11361" i="1"/>
  <c r="Q11360" i="1"/>
  <c r="O11360" i="1"/>
  <c r="Q11359" i="1"/>
  <c r="O11359" i="1"/>
  <c r="Q11358" i="1"/>
  <c r="O11358" i="1"/>
  <c r="Q11357" i="1"/>
  <c r="O11357" i="1"/>
  <c r="Q11356" i="1"/>
  <c r="O11356" i="1"/>
  <c r="Q11355" i="1"/>
  <c r="O11355" i="1"/>
  <c r="Q11354" i="1"/>
  <c r="O11354" i="1"/>
  <c r="Q11353" i="1"/>
  <c r="O11353" i="1"/>
  <c r="Q11352" i="1"/>
  <c r="O11352" i="1"/>
  <c r="Q11351" i="1"/>
  <c r="O11351" i="1"/>
  <c r="Q11350" i="1"/>
  <c r="O11350" i="1"/>
  <c r="Q11349" i="1"/>
  <c r="O11349" i="1"/>
  <c r="Q11348" i="1"/>
  <c r="O11348" i="1"/>
  <c r="Q11347" i="1"/>
  <c r="O11347" i="1"/>
  <c r="Q11346" i="1"/>
  <c r="O11346" i="1"/>
  <c r="Q11345" i="1"/>
  <c r="O11345" i="1"/>
  <c r="Q11344" i="1"/>
  <c r="O11344" i="1"/>
  <c r="Q11343" i="1"/>
  <c r="O11343" i="1"/>
  <c r="Q11342" i="1"/>
  <c r="O11342" i="1"/>
  <c r="Q11341" i="1"/>
  <c r="O11341" i="1"/>
  <c r="Q11340" i="1"/>
  <c r="O11340" i="1"/>
  <c r="Q11339" i="1"/>
  <c r="O11339" i="1"/>
  <c r="Q11338" i="1"/>
  <c r="O11338" i="1"/>
  <c r="Q11337" i="1"/>
  <c r="O11337" i="1"/>
  <c r="Q11336" i="1"/>
  <c r="O11336" i="1"/>
  <c r="Q11335" i="1"/>
  <c r="O11335" i="1"/>
  <c r="Q11334" i="1"/>
  <c r="O11334" i="1"/>
  <c r="Q11333" i="1"/>
  <c r="O11333" i="1"/>
  <c r="Q11332" i="1"/>
  <c r="O11332" i="1"/>
  <c r="Q11331" i="1"/>
  <c r="O11331" i="1"/>
  <c r="Q11330" i="1"/>
  <c r="O11330" i="1"/>
  <c r="Q11329" i="1"/>
  <c r="O11329" i="1"/>
  <c r="Q11328" i="1"/>
  <c r="O11328" i="1"/>
  <c r="Q11327" i="1"/>
  <c r="O11327" i="1"/>
  <c r="Q11326" i="1"/>
  <c r="O11326" i="1"/>
  <c r="Q11325" i="1"/>
  <c r="O11325" i="1"/>
  <c r="Q11324" i="1"/>
  <c r="O11324" i="1"/>
  <c r="Q11323" i="1"/>
  <c r="O11323" i="1"/>
  <c r="Q11322" i="1"/>
  <c r="O11322" i="1"/>
  <c r="Q11321" i="1"/>
  <c r="O11321" i="1"/>
  <c r="Q11320" i="1"/>
  <c r="O11320" i="1"/>
  <c r="Q11319" i="1"/>
  <c r="O11319" i="1"/>
  <c r="Q11318" i="1"/>
  <c r="O11318" i="1"/>
  <c r="Q11317" i="1"/>
  <c r="O11317" i="1"/>
  <c r="Q11316" i="1"/>
  <c r="O11316" i="1"/>
  <c r="Q11315" i="1"/>
  <c r="O11315" i="1"/>
  <c r="Q11314" i="1"/>
  <c r="O11314" i="1"/>
  <c r="Q11313" i="1"/>
  <c r="O11313" i="1"/>
  <c r="Q11312" i="1"/>
  <c r="O11312" i="1"/>
  <c r="Q11311" i="1"/>
  <c r="O11311" i="1"/>
  <c r="Q11310" i="1"/>
  <c r="O11310" i="1"/>
  <c r="Q11309" i="1"/>
  <c r="O11309" i="1"/>
  <c r="Q11308" i="1"/>
  <c r="O11308" i="1"/>
  <c r="Q11307" i="1"/>
  <c r="O11307" i="1"/>
  <c r="Q11306" i="1"/>
  <c r="O11306" i="1"/>
  <c r="Q11305" i="1"/>
  <c r="O11305" i="1"/>
  <c r="Q11304" i="1"/>
  <c r="O11304" i="1"/>
  <c r="Q11303" i="1"/>
  <c r="O11303" i="1"/>
  <c r="Q11302" i="1"/>
  <c r="O11302" i="1"/>
  <c r="Q11301" i="1"/>
  <c r="O11301" i="1"/>
  <c r="Q11300" i="1"/>
  <c r="O11300" i="1"/>
  <c r="Q11299" i="1"/>
  <c r="O11299" i="1"/>
  <c r="Q11298" i="1"/>
  <c r="O11298" i="1"/>
  <c r="Q11297" i="1"/>
  <c r="O11297" i="1"/>
  <c r="Q11296" i="1"/>
  <c r="O11296" i="1"/>
  <c r="Q11295" i="1"/>
  <c r="O11295" i="1"/>
  <c r="Q11294" i="1"/>
  <c r="O11294" i="1"/>
  <c r="Q11293" i="1"/>
  <c r="O11293" i="1"/>
  <c r="Q11292" i="1"/>
  <c r="O11292" i="1"/>
  <c r="Q11291" i="1"/>
  <c r="O11291" i="1"/>
  <c r="Q11290" i="1"/>
  <c r="O11290" i="1"/>
  <c r="Q11289" i="1"/>
  <c r="O11289" i="1"/>
  <c r="Q11288" i="1"/>
  <c r="O11288" i="1"/>
  <c r="Q11287" i="1"/>
  <c r="O11287" i="1"/>
  <c r="Q11286" i="1"/>
  <c r="O11286" i="1"/>
  <c r="Q11285" i="1"/>
  <c r="O11285" i="1"/>
  <c r="Q11284" i="1"/>
  <c r="O11284" i="1"/>
  <c r="Q11283" i="1"/>
  <c r="O11283" i="1"/>
  <c r="Q11282" i="1"/>
  <c r="O11282" i="1"/>
  <c r="Q11281" i="1"/>
  <c r="O11281" i="1"/>
  <c r="Q11280" i="1"/>
  <c r="O11280" i="1"/>
  <c r="Q11279" i="1"/>
  <c r="O11279" i="1"/>
  <c r="Q11278" i="1"/>
  <c r="O11278" i="1"/>
  <c r="Q11277" i="1"/>
  <c r="O11277" i="1"/>
  <c r="Q11276" i="1"/>
  <c r="O11276" i="1"/>
  <c r="Q11275" i="1"/>
  <c r="O11275" i="1"/>
  <c r="Q11274" i="1"/>
  <c r="O11274" i="1"/>
  <c r="Q11273" i="1"/>
  <c r="O11273" i="1"/>
  <c r="Q11272" i="1"/>
  <c r="O11272" i="1"/>
  <c r="Q11271" i="1"/>
  <c r="O11271" i="1"/>
  <c r="Q11270" i="1"/>
  <c r="O11270" i="1"/>
  <c r="Q11269" i="1"/>
  <c r="O11269" i="1"/>
  <c r="Q11268" i="1"/>
  <c r="O11268" i="1"/>
  <c r="Q11267" i="1"/>
  <c r="O11267" i="1"/>
  <c r="Q11266" i="1"/>
  <c r="O11266" i="1"/>
  <c r="Q11265" i="1"/>
  <c r="O11265" i="1"/>
  <c r="Q11264" i="1"/>
  <c r="O11264" i="1"/>
  <c r="Q11263" i="1"/>
  <c r="O11263" i="1"/>
  <c r="Q11262" i="1"/>
  <c r="O11262" i="1"/>
  <c r="Q11261" i="1"/>
  <c r="O11261" i="1"/>
  <c r="Q11260" i="1"/>
  <c r="O11260" i="1"/>
  <c r="Q11259" i="1"/>
  <c r="O11259" i="1"/>
  <c r="Q11258" i="1"/>
  <c r="O11258" i="1"/>
  <c r="Q11257" i="1"/>
  <c r="O11257" i="1"/>
  <c r="Q11256" i="1"/>
  <c r="O11256" i="1"/>
  <c r="Q11255" i="1"/>
  <c r="O11255" i="1"/>
  <c r="Q11254" i="1"/>
  <c r="O11254" i="1"/>
  <c r="Q11253" i="1"/>
  <c r="O11253" i="1"/>
  <c r="Q11252" i="1"/>
  <c r="O11252" i="1"/>
  <c r="Q11251" i="1"/>
  <c r="O11251" i="1"/>
  <c r="Q11250" i="1"/>
  <c r="O11250" i="1"/>
  <c r="Q11249" i="1"/>
  <c r="O11249" i="1"/>
  <c r="Q11248" i="1"/>
  <c r="O11248" i="1"/>
  <c r="Q11247" i="1"/>
  <c r="O11247" i="1"/>
  <c r="Q11246" i="1"/>
  <c r="O11246" i="1"/>
  <c r="Q11245" i="1"/>
  <c r="O11245" i="1"/>
  <c r="Q11244" i="1"/>
  <c r="O11244" i="1"/>
  <c r="Q11243" i="1"/>
  <c r="O11243" i="1"/>
  <c r="Q11242" i="1"/>
  <c r="O11242" i="1"/>
  <c r="Q11241" i="1"/>
  <c r="O11241" i="1"/>
  <c r="Q11240" i="1"/>
  <c r="O11240" i="1"/>
  <c r="Q11239" i="1"/>
  <c r="O11239" i="1"/>
  <c r="Q11238" i="1"/>
  <c r="O11238" i="1"/>
  <c r="Q11237" i="1"/>
  <c r="O11237" i="1"/>
  <c r="Q11236" i="1"/>
  <c r="O11236" i="1"/>
  <c r="Q11235" i="1"/>
  <c r="O11235" i="1"/>
  <c r="Q11234" i="1"/>
  <c r="O11234" i="1"/>
  <c r="Q11233" i="1"/>
  <c r="O11233" i="1"/>
  <c r="Q11232" i="1"/>
  <c r="O11232" i="1"/>
  <c r="Q11231" i="1"/>
  <c r="O11231" i="1"/>
  <c r="Q11230" i="1"/>
  <c r="O11230" i="1"/>
  <c r="Q11229" i="1"/>
  <c r="O11229" i="1"/>
  <c r="Q11228" i="1"/>
  <c r="O11228" i="1"/>
  <c r="Q11227" i="1"/>
  <c r="O11227" i="1"/>
  <c r="Q11226" i="1"/>
  <c r="O11226" i="1"/>
  <c r="Q11225" i="1"/>
  <c r="O11225" i="1"/>
  <c r="Q11224" i="1"/>
  <c r="O11224" i="1"/>
  <c r="Q11223" i="1"/>
  <c r="O11223" i="1"/>
  <c r="Q11222" i="1"/>
  <c r="O11222" i="1"/>
  <c r="Q11221" i="1"/>
  <c r="O11221" i="1"/>
  <c r="Q11220" i="1"/>
  <c r="O11220" i="1"/>
  <c r="Q11219" i="1"/>
  <c r="O11219" i="1"/>
  <c r="Q11218" i="1"/>
  <c r="O11218" i="1"/>
  <c r="Q11217" i="1"/>
  <c r="O11217" i="1"/>
  <c r="Q11216" i="1"/>
  <c r="O11216" i="1"/>
  <c r="Q11215" i="1"/>
  <c r="O11215" i="1"/>
  <c r="Q11214" i="1"/>
  <c r="O11214" i="1"/>
  <c r="Q11213" i="1"/>
  <c r="O11213" i="1"/>
  <c r="Q11212" i="1"/>
  <c r="O11212" i="1"/>
  <c r="Q11211" i="1"/>
  <c r="O11211" i="1"/>
  <c r="Q11210" i="1"/>
  <c r="O11210" i="1"/>
  <c r="Q11209" i="1"/>
  <c r="O11209" i="1"/>
  <c r="Q11208" i="1"/>
  <c r="O11208" i="1"/>
  <c r="Q11207" i="1"/>
  <c r="O11207" i="1"/>
  <c r="Q11206" i="1"/>
  <c r="O11206" i="1"/>
  <c r="Q11205" i="1"/>
  <c r="O11205" i="1"/>
  <c r="Q11204" i="1"/>
  <c r="O11204" i="1"/>
  <c r="Q11203" i="1"/>
  <c r="O11203" i="1"/>
  <c r="Q11202" i="1"/>
  <c r="O11202" i="1"/>
  <c r="Q11201" i="1"/>
  <c r="O11201" i="1"/>
  <c r="Q11200" i="1"/>
  <c r="O11200" i="1"/>
  <c r="Q11199" i="1"/>
  <c r="O11199" i="1"/>
  <c r="Q11198" i="1"/>
  <c r="O11198" i="1"/>
  <c r="Q11197" i="1"/>
  <c r="O11197" i="1"/>
  <c r="Q11196" i="1"/>
  <c r="O11196" i="1"/>
  <c r="Q11195" i="1"/>
  <c r="O11195" i="1"/>
  <c r="Q11194" i="1"/>
  <c r="O11194" i="1"/>
  <c r="Q11193" i="1"/>
  <c r="O11193" i="1"/>
  <c r="Q11192" i="1"/>
  <c r="O11192" i="1"/>
  <c r="Q11191" i="1"/>
  <c r="O11191" i="1"/>
  <c r="Q11190" i="1"/>
  <c r="O11190" i="1"/>
  <c r="Q11189" i="1"/>
  <c r="O11189" i="1"/>
  <c r="Q11188" i="1"/>
  <c r="O11188" i="1"/>
  <c r="Q11187" i="1"/>
  <c r="O11187" i="1"/>
  <c r="Q11186" i="1"/>
  <c r="O11186" i="1"/>
  <c r="Q11185" i="1"/>
  <c r="O11185" i="1"/>
  <c r="Q11184" i="1"/>
  <c r="O11184" i="1"/>
  <c r="Q11183" i="1"/>
  <c r="O11183" i="1"/>
  <c r="Q11182" i="1"/>
  <c r="O11182" i="1"/>
  <c r="Q11181" i="1"/>
  <c r="O11181" i="1"/>
  <c r="Q11180" i="1"/>
  <c r="O11180" i="1"/>
  <c r="Q11179" i="1"/>
  <c r="O11179" i="1"/>
  <c r="Q11178" i="1"/>
  <c r="O11178" i="1"/>
  <c r="Q11177" i="1"/>
  <c r="O11177" i="1"/>
  <c r="Q11176" i="1"/>
  <c r="O11176" i="1"/>
  <c r="Q11175" i="1"/>
  <c r="O11175" i="1"/>
  <c r="Q11174" i="1"/>
  <c r="O11174" i="1"/>
  <c r="Q11173" i="1"/>
  <c r="O11173" i="1"/>
  <c r="Q11172" i="1"/>
  <c r="O11172" i="1"/>
  <c r="Q11171" i="1"/>
  <c r="O11171" i="1"/>
  <c r="Q11170" i="1"/>
  <c r="O11170" i="1"/>
  <c r="Q11169" i="1"/>
  <c r="O11169" i="1"/>
  <c r="Q11168" i="1"/>
  <c r="O11168" i="1"/>
  <c r="Q11167" i="1"/>
  <c r="O11167" i="1"/>
  <c r="Q11166" i="1"/>
  <c r="O11166" i="1"/>
  <c r="Q11165" i="1"/>
  <c r="O11165" i="1"/>
  <c r="Q11164" i="1"/>
  <c r="O11164" i="1"/>
  <c r="Q11163" i="1"/>
  <c r="O11163" i="1"/>
  <c r="Q11162" i="1"/>
  <c r="O11162" i="1"/>
  <c r="Q11161" i="1"/>
  <c r="O11161" i="1"/>
  <c r="Q11160" i="1"/>
  <c r="O11160" i="1"/>
  <c r="Q11159" i="1"/>
  <c r="O11159" i="1"/>
  <c r="Q11158" i="1"/>
  <c r="O11158" i="1"/>
  <c r="Q11157" i="1"/>
  <c r="O11157" i="1"/>
  <c r="Q11156" i="1"/>
  <c r="O11156" i="1"/>
  <c r="Q11155" i="1"/>
  <c r="O11155" i="1"/>
  <c r="Q11154" i="1"/>
  <c r="O11154" i="1"/>
  <c r="Q11153" i="1"/>
  <c r="O11153" i="1"/>
  <c r="Q11152" i="1"/>
  <c r="O11152" i="1"/>
  <c r="Q11151" i="1"/>
  <c r="O11151" i="1"/>
  <c r="Q11150" i="1"/>
  <c r="O11150" i="1"/>
  <c r="Q11149" i="1"/>
  <c r="O11149" i="1"/>
  <c r="Q11148" i="1"/>
  <c r="O11148" i="1"/>
  <c r="Q11147" i="1"/>
  <c r="O11147" i="1"/>
  <c r="Q11146" i="1"/>
  <c r="O11146" i="1"/>
  <c r="Q11145" i="1"/>
  <c r="O11145" i="1"/>
  <c r="Q11144" i="1"/>
  <c r="O11144" i="1"/>
  <c r="Q11143" i="1"/>
  <c r="O11143" i="1"/>
  <c r="Q11142" i="1"/>
  <c r="O11142" i="1"/>
  <c r="Q11141" i="1"/>
  <c r="O11141" i="1"/>
  <c r="Q11140" i="1"/>
  <c r="O11140" i="1"/>
  <c r="Q11139" i="1"/>
  <c r="O11139" i="1"/>
  <c r="Q11138" i="1"/>
  <c r="O11138" i="1"/>
  <c r="Q11137" i="1"/>
  <c r="O11137" i="1"/>
  <c r="Q11136" i="1"/>
  <c r="O11136" i="1"/>
  <c r="Q11135" i="1"/>
  <c r="O11135" i="1"/>
  <c r="Q11134" i="1"/>
  <c r="O11134" i="1"/>
  <c r="Q11133" i="1"/>
  <c r="O11133" i="1"/>
  <c r="Q11132" i="1"/>
  <c r="O11132" i="1"/>
  <c r="Q11131" i="1"/>
  <c r="O11131" i="1"/>
  <c r="Q11130" i="1"/>
  <c r="O11130" i="1"/>
  <c r="Q11129" i="1"/>
  <c r="O11129" i="1"/>
  <c r="Q11128" i="1"/>
  <c r="O11128" i="1"/>
  <c r="Q11127" i="1"/>
  <c r="O11127" i="1"/>
  <c r="Q11126" i="1"/>
  <c r="O11126" i="1"/>
  <c r="Q11125" i="1"/>
  <c r="O11125" i="1"/>
  <c r="Q11124" i="1"/>
  <c r="O11124" i="1"/>
  <c r="Q11123" i="1"/>
  <c r="O11123" i="1"/>
  <c r="Q11122" i="1"/>
  <c r="O11122" i="1"/>
  <c r="Q11121" i="1"/>
  <c r="O11121" i="1"/>
  <c r="Q11120" i="1"/>
  <c r="O11120" i="1"/>
  <c r="Q11119" i="1"/>
  <c r="O11119" i="1"/>
  <c r="Q11118" i="1"/>
  <c r="O11118" i="1"/>
  <c r="Q11117" i="1"/>
  <c r="O11117" i="1"/>
  <c r="Q11116" i="1"/>
  <c r="O11116" i="1"/>
  <c r="Q11115" i="1"/>
  <c r="O11115" i="1"/>
  <c r="Q11114" i="1"/>
  <c r="O11114" i="1"/>
  <c r="Q11113" i="1"/>
  <c r="O11113" i="1"/>
  <c r="Q11112" i="1"/>
  <c r="O11112" i="1"/>
  <c r="Q11111" i="1"/>
  <c r="O11111" i="1"/>
  <c r="Q11110" i="1"/>
  <c r="O11110" i="1"/>
  <c r="Q11109" i="1"/>
  <c r="O11109" i="1"/>
  <c r="Q11108" i="1"/>
  <c r="O11108" i="1"/>
  <c r="Q11107" i="1"/>
  <c r="O11107" i="1"/>
  <c r="Q11106" i="1"/>
  <c r="O11106" i="1"/>
  <c r="Q11105" i="1"/>
  <c r="O11105" i="1"/>
  <c r="Q11104" i="1"/>
  <c r="O11104" i="1"/>
  <c r="Q11103" i="1"/>
  <c r="O11103" i="1"/>
  <c r="Q11102" i="1"/>
  <c r="O11102" i="1"/>
  <c r="Q11101" i="1"/>
  <c r="O11101" i="1"/>
  <c r="Q11100" i="1"/>
  <c r="O11100" i="1"/>
  <c r="Q11099" i="1"/>
  <c r="O11099" i="1"/>
  <c r="Q11098" i="1"/>
  <c r="O11098" i="1"/>
  <c r="Q11097" i="1"/>
  <c r="O11097" i="1"/>
  <c r="Q11096" i="1"/>
  <c r="O11096" i="1"/>
  <c r="Q11095" i="1"/>
  <c r="O11095" i="1"/>
  <c r="Q11094" i="1"/>
  <c r="O11094" i="1"/>
  <c r="Q11093" i="1"/>
  <c r="O11093" i="1"/>
  <c r="Q11092" i="1"/>
  <c r="O11092" i="1"/>
  <c r="Q11091" i="1"/>
  <c r="O11091" i="1"/>
  <c r="Q11090" i="1"/>
  <c r="O11090" i="1"/>
  <c r="Q11089" i="1"/>
  <c r="O11089" i="1"/>
  <c r="Q11088" i="1"/>
  <c r="O11088" i="1"/>
  <c r="Q11087" i="1"/>
  <c r="O11087" i="1"/>
  <c r="Q11086" i="1"/>
  <c r="O11086" i="1"/>
  <c r="Q11085" i="1"/>
  <c r="O11085" i="1"/>
  <c r="Q11084" i="1"/>
  <c r="O11084" i="1"/>
  <c r="Q11083" i="1"/>
  <c r="O11083" i="1"/>
  <c r="Q11082" i="1"/>
  <c r="O11082" i="1"/>
  <c r="Q11081" i="1"/>
  <c r="O11081" i="1"/>
  <c r="Q11080" i="1"/>
  <c r="O11080" i="1"/>
  <c r="Q11079" i="1"/>
  <c r="O11079" i="1"/>
  <c r="Q11078" i="1"/>
  <c r="O11078" i="1"/>
  <c r="Q11077" i="1"/>
  <c r="O11077" i="1"/>
  <c r="Q11076" i="1"/>
  <c r="O11076" i="1"/>
  <c r="Q11075" i="1"/>
  <c r="O11075" i="1"/>
  <c r="Q11074" i="1"/>
  <c r="O11074" i="1"/>
  <c r="Q11073" i="1"/>
  <c r="O11073" i="1"/>
  <c r="Q11072" i="1"/>
  <c r="O11072" i="1"/>
  <c r="Q11071" i="1"/>
  <c r="O11071" i="1"/>
  <c r="Q11070" i="1"/>
  <c r="O11070" i="1"/>
  <c r="Q11069" i="1"/>
  <c r="O11069" i="1"/>
  <c r="Q11068" i="1"/>
  <c r="O11068" i="1"/>
  <c r="Q11067" i="1"/>
  <c r="O11067" i="1"/>
  <c r="Q11066" i="1"/>
  <c r="O11066" i="1"/>
  <c r="Q11065" i="1"/>
  <c r="O11065" i="1"/>
  <c r="Q11064" i="1"/>
  <c r="O11064" i="1"/>
  <c r="Q11063" i="1"/>
  <c r="O11063" i="1"/>
  <c r="Q11062" i="1"/>
  <c r="O11062" i="1"/>
  <c r="Q11061" i="1"/>
  <c r="O11061" i="1"/>
  <c r="Q11060" i="1"/>
  <c r="O11060" i="1"/>
  <c r="Q11059" i="1"/>
  <c r="O11059" i="1"/>
  <c r="Q11058" i="1"/>
  <c r="O11058" i="1"/>
  <c r="Q11057" i="1"/>
  <c r="O11057" i="1"/>
  <c r="Q11056" i="1"/>
  <c r="O11056" i="1"/>
  <c r="Q11055" i="1"/>
  <c r="O11055" i="1"/>
  <c r="Q11054" i="1"/>
  <c r="O11054" i="1"/>
  <c r="Q11053" i="1"/>
  <c r="O11053" i="1"/>
  <c r="Q11052" i="1"/>
  <c r="O11052" i="1"/>
  <c r="Q11051" i="1"/>
  <c r="O11051" i="1"/>
  <c r="Q11050" i="1"/>
  <c r="O11050" i="1"/>
  <c r="Q11049" i="1"/>
  <c r="O11049" i="1"/>
  <c r="Q11048" i="1"/>
  <c r="O11048" i="1"/>
  <c r="Q11047" i="1"/>
  <c r="O11047" i="1"/>
  <c r="Q11046" i="1"/>
  <c r="O11046" i="1"/>
  <c r="Q11045" i="1"/>
  <c r="O11045" i="1"/>
  <c r="Q11044" i="1"/>
  <c r="O11044" i="1"/>
  <c r="Q11043" i="1"/>
  <c r="O11043" i="1"/>
  <c r="Q11042" i="1"/>
  <c r="O11042" i="1"/>
  <c r="Q11041" i="1"/>
  <c r="O11041" i="1"/>
  <c r="Q11040" i="1"/>
  <c r="O11040" i="1"/>
  <c r="Q11039" i="1"/>
  <c r="O11039" i="1"/>
  <c r="Q11038" i="1"/>
  <c r="O11038" i="1"/>
  <c r="Q11037" i="1"/>
  <c r="O11037" i="1"/>
  <c r="Q11036" i="1"/>
  <c r="O11036" i="1"/>
  <c r="Q11035" i="1"/>
  <c r="O11035" i="1"/>
  <c r="Q11034" i="1"/>
  <c r="O11034" i="1"/>
  <c r="Q11033" i="1"/>
  <c r="O11033" i="1"/>
  <c r="Q11032" i="1"/>
  <c r="O11032" i="1"/>
  <c r="Q11031" i="1"/>
  <c r="O11031" i="1"/>
  <c r="Q11030" i="1"/>
  <c r="O11030" i="1"/>
  <c r="Q11029" i="1"/>
  <c r="O11029" i="1"/>
  <c r="Q11028" i="1"/>
  <c r="O11028" i="1"/>
  <c r="Q11027" i="1"/>
  <c r="O11027" i="1"/>
  <c r="Q11026" i="1"/>
  <c r="O11026" i="1"/>
  <c r="Q11025" i="1"/>
  <c r="O11025" i="1"/>
  <c r="Q11024" i="1"/>
  <c r="O11024" i="1"/>
  <c r="Q11023" i="1"/>
  <c r="O11023" i="1"/>
  <c r="Q11022" i="1"/>
  <c r="O11022" i="1"/>
  <c r="Q11021" i="1"/>
  <c r="O11021" i="1"/>
  <c r="Q11020" i="1"/>
  <c r="O11020" i="1"/>
  <c r="Q11019" i="1"/>
  <c r="O11019" i="1"/>
  <c r="Q11018" i="1"/>
  <c r="O11018" i="1"/>
  <c r="Q11017" i="1"/>
  <c r="O11017" i="1"/>
  <c r="Q11016" i="1"/>
  <c r="O11016" i="1"/>
  <c r="Q11015" i="1"/>
  <c r="O11015" i="1"/>
  <c r="Q11014" i="1"/>
  <c r="O11014" i="1"/>
  <c r="Q11013" i="1"/>
  <c r="O11013" i="1"/>
  <c r="Q11012" i="1"/>
  <c r="O11012" i="1"/>
  <c r="Q11011" i="1"/>
  <c r="O11011" i="1"/>
  <c r="Q11010" i="1"/>
  <c r="O11010" i="1"/>
  <c r="Q11009" i="1"/>
  <c r="O11009" i="1"/>
  <c r="Q11008" i="1"/>
  <c r="O11008" i="1"/>
  <c r="Q11007" i="1"/>
  <c r="O11007" i="1"/>
  <c r="Q11006" i="1"/>
  <c r="O11006" i="1"/>
  <c r="Q11005" i="1"/>
  <c r="O11005" i="1"/>
  <c r="Q11004" i="1"/>
  <c r="O11004" i="1"/>
  <c r="Q11003" i="1"/>
  <c r="O11003" i="1"/>
  <c r="Q11002" i="1"/>
  <c r="O11002" i="1"/>
  <c r="Q11001" i="1"/>
  <c r="O11001" i="1"/>
  <c r="Q11000" i="1"/>
  <c r="O11000" i="1"/>
  <c r="Q10999" i="1"/>
  <c r="O10999" i="1"/>
  <c r="Q10998" i="1"/>
  <c r="O10998" i="1"/>
  <c r="Q10997" i="1"/>
  <c r="O10997" i="1"/>
  <c r="Q10996" i="1"/>
  <c r="O10996" i="1"/>
  <c r="Q10995" i="1"/>
  <c r="O10995" i="1"/>
  <c r="Q10994" i="1"/>
  <c r="O10994" i="1"/>
  <c r="Q10993" i="1"/>
  <c r="O10993" i="1"/>
  <c r="Q10992" i="1"/>
  <c r="O10992" i="1"/>
  <c r="Q10991" i="1"/>
  <c r="O10991" i="1"/>
  <c r="Q10990" i="1"/>
  <c r="O10990" i="1"/>
  <c r="Q10989" i="1"/>
  <c r="O10989" i="1"/>
  <c r="Q10988" i="1"/>
  <c r="O10988" i="1"/>
  <c r="Q10987" i="1"/>
  <c r="O10987" i="1"/>
  <c r="Q10986" i="1"/>
  <c r="O10986" i="1"/>
  <c r="Q10985" i="1"/>
  <c r="O10985" i="1"/>
  <c r="Q10984" i="1"/>
  <c r="O10984" i="1"/>
  <c r="Q10983" i="1"/>
  <c r="O10983" i="1"/>
  <c r="Q10982" i="1"/>
  <c r="O10982" i="1"/>
  <c r="Q10981" i="1"/>
  <c r="O10981" i="1"/>
  <c r="Q10980" i="1"/>
  <c r="O10980" i="1"/>
  <c r="Q10979" i="1"/>
  <c r="O10979" i="1"/>
  <c r="Q10978" i="1"/>
  <c r="O10978" i="1"/>
  <c r="Q10977" i="1"/>
  <c r="O10977" i="1"/>
  <c r="Q10976" i="1"/>
  <c r="O10976" i="1"/>
  <c r="Q10975" i="1"/>
  <c r="O10975" i="1"/>
  <c r="Q10974" i="1"/>
  <c r="O10974" i="1"/>
  <c r="Q10973" i="1"/>
  <c r="O10973" i="1"/>
  <c r="Q10972" i="1"/>
  <c r="O10972" i="1"/>
  <c r="Q10971" i="1"/>
  <c r="O10971" i="1"/>
  <c r="Q10970" i="1"/>
  <c r="O10970" i="1"/>
  <c r="Q10969" i="1"/>
  <c r="O10969" i="1"/>
  <c r="Q10968" i="1"/>
  <c r="O10968" i="1"/>
  <c r="Q10967" i="1"/>
  <c r="O10967" i="1"/>
  <c r="Q10966" i="1"/>
  <c r="O10966" i="1"/>
  <c r="Q10965" i="1"/>
  <c r="O10965" i="1"/>
  <c r="Q10964" i="1"/>
  <c r="O10964" i="1"/>
  <c r="Q10963" i="1"/>
  <c r="O10963" i="1"/>
  <c r="Q10962" i="1"/>
  <c r="O10962" i="1"/>
  <c r="Q10961" i="1"/>
  <c r="O10961" i="1"/>
  <c r="Q10960" i="1"/>
  <c r="O10960" i="1"/>
  <c r="Q10959" i="1"/>
  <c r="O10959" i="1"/>
  <c r="Q10958" i="1"/>
  <c r="O10958" i="1"/>
  <c r="Q10957" i="1"/>
  <c r="O10957" i="1"/>
  <c r="Q10956" i="1"/>
  <c r="O10956" i="1"/>
  <c r="Q10955" i="1"/>
  <c r="O10955" i="1"/>
  <c r="Q10954" i="1"/>
  <c r="O10954" i="1"/>
  <c r="Q10953" i="1"/>
  <c r="O10953" i="1"/>
  <c r="Q10952" i="1"/>
  <c r="O10952" i="1"/>
  <c r="Q10951" i="1"/>
  <c r="O10951" i="1"/>
  <c r="Q10950" i="1"/>
  <c r="O10950" i="1"/>
  <c r="Q10949" i="1"/>
  <c r="O10949" i="1"/>
  <c r="Q10948" i="1"/>
  <c r="O10948" i="1"/>
  <c r="Q10947" i="1"/>
  <c r="O10947" i="1"/>
  <c r="Q10946" i="1"/>
  <c r="O10946" i="1"/>
  <c r="Q10945" i="1"/>
  <c r="O10945" i="1"/>
  <c r="Q10944" i="1"/>
  <c r="O10944" i="1"/>
  <c r="Q10943" i="1"/>
  <c r="O10943" i="1"/>
  <c r="Q10942" i="1"/>
  <c r="O10942" i="1"/>
  <c r="Q10941" i="1"/>
  <c r="O10941" i="1"/>
  <c r="Q10940" i="1"/>
  <c r="O10940" i="1"/>
  <c r="Q10939" i="1"/>
  <c r="O10939" i="1"/>
  <c r="Q10938" i="1"/>
  <c r="O10938" i="1"/>
  <c r="Q10937" i="1"/>
  <c r="O10937" i="1"/>
  <c r="Q10936" i="1"/>
  <c r="O10936" i="1"/>
  <c r="Q10935" i="1"/>
  <c r="O10935" i="1"/>
  <c r="Q10934" i="1"/>
  <c r="O10934" i="1"/>
  <c r="Q10933" i="1"/>
  <c r="O10933" i="1"/>
  <c r="Q10932" i="1"/>
  <c r="O10932" i="1"/>
  <c r="Q10931" i="1"/>
  <c r="O10931" i="1"/>
  <c r="Q10930" i="1"/>
  <c r="O10930" i="1"/>
  <c r="Q10929" i="1"/>
  <c r="O10929" i="1"/>
  <c r="Q10928" i="1"/>
  <c r="O10928" i="1"/>
  <c r="Q10927" i="1"/>
  <c r="O10927" i="1"/>
  <c r="Q10926" i="1"/>
  <c r="O10926" i="1"/>
  <c r="Q10925" i="1"/>
  <c r="O10925" i="1"/>
  <c r="Q10924" i="1"/>
  <c r="O10924" i="1"/>
  <c r="Q10923" i="1"/>
  <c r="O10923" i="1"/>
  <c r="Q10922" i="1"/>
  <c r="O10922" i="1"/>
  <c r="Q10921" i="1"/>
  <c r="O10921" i="1"/>
  <c r="Q10920" i="1"/>
  <c r="O10920" i="1"/>
  <c r="Q10919" i="1"/>
  <c r="O10919" i="1"/>
  <c r="Q10918" i="1"/>
  <c r="O10918" i="1"/>
  <c r="Q10917" i="1"/>
  <c r="O10917" i="1"/>
  <c r="Q10916" i="1"/>
  <c r="O10916" i="1"/>
  <c r="Q10915" i="1"/>
  <c r="O10915" i="1"/>
  <c r="Q10914" i="1"/>
  <c r="O10914" i="1"/>
  <c r="Q10913" i="1"/>
  <c r="O10913" i="1"/>
  <c r="Q10912" i="1"/>
  <c r="O10912" i="1"/>
  <c r="Q10911" i="1"/>
  <c r="O10911" i="1"/>
  <c r="Q10910" i="1"/>
  <c r="O10910" i="1"/>
  <c r="Q10909" i="1"/>
  <c r="O10909" i="1"/>
  <c r="Q10908" i="1"/>
  <c r="O10908" i="1"/>
  <c r="Q10907" i="1"/>
  <c r="O10907" i="1"/>
  <c r="Q10906" i="1"/>
  <c r="O10906" i="1"/>
  <c r="Q10905" i="1"/>
  <c r="O10905" i="1"/>
  <c r="Q10904" i="1"/>
  <c r="O10904" i="1"/>
  <c r="Q10903" i="1"/>
  <c r="O10903" i="1"/>
  <c r="Q10902" i="1"/>
  <c r="O10902" i="1"/>
  <c r="Q10901" i="1"/>
  <c r="O10901" i="1"/>
  <c r="Q10900" i="1"/>
  <c r="O10900" i="1"/>
  <c r="Q10899" i="1"/>
  <c r="O10899" i="1"/>
  <c r="Q10898" i="1"/>
  <c r="O10898" i="1"/>
  <c r="Q10897" i="1"/>
  <c r="O10897" i="1"/>
  <c r="Q10896" i="1"/>
  <c r="O10896" i="1"/>
  <c r="Q10895" i="1"/>
  <c r="O10895" i="1"/>
  <c r="Q10894" i="1"/>
  <c r="O10894" i="1"/>
  <c r="Q10893" i="1"/>
  <c r="O10893" i="1"/>
  <c r="Q10892" i="1"/>
  <c r="O10892" i="1"/>
  <c r="Q10891" i="1"/>
  <c r="O10891" i="1"/>
  <c r="Q10890" i="1"/>
  <c r="O10890" i="1"/>
  <c r="Q10889" i="1"/>
  <c r="O10889" i="1"/>
  <c r="Q10888" i="1"/>
  <c r="O10888" i="1"/>
  <c r="Q10887" i="1"/>
  <c r="O10887" i="1"/>
  <c r="Q10886" i="1"/>
  <c r="O10886" i="1"/>
  <c r="Q10885" i="1"/>
  <c r="O10885" i="1"/>
  <c r="Q10884" i="1"/>
  <c r="O10884" i="1"/>
  <c r="Q10883" i="1"/>
  <c r="O10883" i="1"/>
  <c r="Q10882" i="1"/>
  <c r="O10882" i="1"/>
  <c r="Q10881" i="1"/>
  <c r="O10881" i="1"/>
  <c r="Q10880" i="1"/>
  <c r="O10880" i="1"/>
  <c r="Q10879" i="1"/>
  <c r="O10879" i="1"/>
  <c r="Q10878" i="1"/>
  <c r="O10878" i="1"/>
  <c r="Q10877" i="1"/>
  <c r="O10877" i="1"/>
  <c r="Q10876" i="1"/>
  <c r="O10876" i="1"/>
  <c r="Q10875" i="1"/>
  <c r="O10875" i="1"/>
  <c r="Q10874" i="1"/>
  <c r="O10874" i="1"/>
  <c r="Q10873" i="1"/>
  <c r="O10873" i="1"/>
  <c r="Q10872" i="1"/>
  <c r="O10872" i="1"/>
  <c r="Q10871" i="1"/>
  <c r="O10871" i="1"/>
  <c r="Q10870" i="1"/>
  <c r="O10870" i="1"/>
  <c r="Q10869" i="1"/>
  <c r="O10869" i="1"/>
  <c r="Q10868" i="1"/>
  <c r="O10868" i="1"/>
  <c r="Q10867" i="1"/>
  <c r="O10867" i="1"/>
  <c r="Q10866" i="1"/>
  <c r="O10866" i="1"/>
  <c r="Q10865" i="1"/>
  <c r="O10865" i="1"/>
  <c r="Q10864" i="1"/>
  <c r="O10864" i="1"/>
  <c r="Q10863" i="1"/>
  <c r="O10863" i="1"/>
  <c r="Q10862" i="1"/>
  <c r="O10862" i="1"/>
  <c r="Q10861" i="1"/>
  <c r="O10861" i="1"/>
  <c r="Q10860" i="1"/>
  <c r="O10860" i="1"/>
  <c r="Q10859" i="1"/>
  <c r="O10859" i="1"/>
  <c r="Q10858" i="1"/>
  <c r="O10858" i="1"/>
  <c r="Q10857" i="1"/>
  <c r="O10857" i="1"/>
  <c r="Q10856" i="1"/>
  <c r="O10856" i="1"/>
  <c r="Q10855" i="1"/>
  <c r="O10855" i="1"/>
  <c r="Q10854" i="1"/>
  <c r="O10854" i="1"/>
  <c r="Q10853" i="1"/>
  <c r="O10853" i="1"/>
  <c r="Q10852" i="1"/>
  <c r="O10852" i="1"/>
  <c r="Q10851" i="1"/>
  <c r="O10851" i="1"/>
  <c r="Q10850" i="1"/>
  <c r="O10850" i="1"/>
  <c r="Q10849" i="1"/>
  <c r="O10849" i="1"/>
  <c r="Q10848" i="1"/>
  <c r="O10848" i="1"/>
  <c r="Q10847" i="1"/>
  <c r="O10847" i="1"/>
  <c r="Q10846" i="1"/>
  <c r="O10846" i="1"/>
  <c r="Q10845" i="1"/>
  <c r="O10845" i="1"/>
  <c r="Q10844" i="1"/>
  <c r="O10844" i="1"/>
  <c r="Q10843" i="1"/>
  <c r="O10843" i="1"/>
  <c r="Q10842" i="1"/>
  <c r="O10842" i="1"/>
  <c r="Q10841" i="1"/>
  <c r="O10841" i="1"/>
  <c r="Q10840" i="1"/>
  <c r="O10840" i="1"/>
  <c r="Q10839" i="1"/>
  <c r="O10839" i="1"/>
  <c r="Q10838" i="1"/>
  <c r="O10838" i="1"/>
  <c r="Q10837" i="1"/>
  <c r="O10837" i="1"/>
  <c r="Q10836" i="1"/>
  <c r="O10836" i="1"/>
  <c r="Q10835" i="1"/>
  <c r="O10835" i="1"/>
  <c r="Q10834" i="1"/>
  <c r="O10834" i="1"/>
  <c r="Q10833" i="1"/>
  <c r="O10833" i="1"/>
  <c r="Q10832" i="1"/>
  <c r="O10832" i="1"/>
  <c r="Q10831" i="1"/>
  <c r="O10831" i="1"/>
  <c r="Q10830" i="1"/>
  <c r="O10830" i="1"/>
  <c r="Q10829" i="1"/>
  <c r="O10829" i="1"/>
  <c r="Q10828" i="1"/>
  <c r="O10828" i="1"/>
  <c r="Q10827" i="1"/>
  <c r="O10827" i="1"/>
  <c r="Q10826" i="1"/>
  <c r="O10826" i="1"/>
  <c r="Q10825" i="1"/>
  <c r="O10825" i="1"/>
  <c r="Q10824" i="1"/>
  <c r="O10824" i="1"/>
  <c r="Q10823" i="1"/>
  <c r="O10823" i="1"/>
  <c r="Q10822" i="1"/>
  <c r="O10822" i="1"/>
  <c r="Q10821" i="1"/>
  <c r="O10821" i="1"/>
  <c r="Q10820" i="1"/>
  <c r="O10820" i="1"/>
  <c r="Q10819" i="1"/>
  <c r="O10819" i="1"/>
  <c r="Q10818" i="1"/>
  <c r="O10818" i="1"/>
  <c r="Q10817" i="1"/>
  <c r="O10817" i="1"/>
  <c r="Q10816" i="1"/>
  <c r="O10816" i="1"/>
  <c r="Q10815" i="1"/>
  <c r="O10815" i="1"/>
  <c r="Q10814" i="1"/>
  <c r="O10814" i="1"/>
  <c r="Q10813" i="1"/>
  <c r="O10813" i="1"/>
  <c r="Q10812" i="1"/>
  <c r="O10812" i="1"/>
  <c r="Q10811" i="1"/>
  <c r="O10811" i="1"/>
  <c r="Q10810" i="1"/>
  <c r="O10810" i="1"/>
  <c r="Q10809" i="1"/>
  <c r="O10809" i="1"/>
  <c r="Q10808" i="1"/>
  <c r="O10808" i="1"/>
  <c r="Q10807" i="1"/>
  <c r="O10807" i="1"/>
  <c r="Q10806" i="1"/>
  <c r="O10806" i="1"/>
  <c r="Q10805" i="1"/>
  <c r="O10805" i="1"/>
  <c r="Q10804" i="1"/>
  <c r="O10804" i="1"/>
  <c r="Q10803" i="1"/>
  <c r="O10803" i="1"/>
  <c r="Q10802" i="1"/>
  <c r="O10802" i="1"/>
  <c r="Q10801" i="1"/>
  <c r="O10801" i="1"/>
  <c r="Q10800" i="1"/>
  <c r="O10800" i="1"/>
  <c r="Q10799" i="1"/>
  <c r="O10799" i="1"/>
  <c r="Q10798" i="1"/>
  <c r="O10798" i="1"/>
  <c r="Q10797" i="1"/>
  <c r="O10797" i="1"/>
  <c r="Q10796" i="1"/>
  <c r="O10796" i="1"/>
  <c r="Q10795" i="1"/>
  <c r="O10795" i="1"/>
  <c r="Q10794" i="1"/>
  <c r="O10794" i="1"/>
  <c r="Q10793" i="1"/>
  <c r="O10793" i="1"/>
  <c r="Q10792" i="1"/>
  <c r="O10792" i="1"/>
  <c r="Q10791" i="1"/>
  <c r="O10791" i="1"/>
  <c r="Q10790" i="1"/>
  <c r="O10790" i="1"/>
  <c r="Q10789" i="1"/>
  <c r="O10789" i="1"/>
  <c r="Q10788" i="1"/>
  <c r="O10788" i="1"/>
  <c r="Q10787" i="1"/>
  <c r="O10787" i="1"/>
  <c r="Q10786" i="1"/>
  <c r="O10786" i="1"/>
  <c r="Q10785" i="1"/>
  <c r="O10785" i="1"/>
  <c r="Q10784" i="1"/>
  <c r="O10784" i="1"/>
  <c r="Q10783" i="1"/>
  <c r="O10783" i="1"/>
  <c r="Q10782" i="1"/>
  <c r="O10782" i="1"/>
  <c r="Q10781" i="1"/>
  <c r="O10781" i="1"/>
  <c r="Q10780" i="1"/>
  <c r="O10780" i="1"/>
  <c r="Q10779" i="1"/>
  <c r="O10779" i="1"/>
  <c r="Q10778" i="1"/>
  <c r="O10778" i="1"/>
  <c r="Q10777" i="1"/>
  <c r="O10777" i="1"/>
  <c r="Q10776" i="1"/>
  <c r="O10776" i="1"/>
  <c r="Q10775" i="1"/>
  <c r="O10775" i="1"/>
  <c r="Q10774" i="1"/>
  <c r="O10774" i="1"/>
  <c r="Q10773" i="1"/>
  <c r="O10773" i="1"/>
  <c r="Q10772" i="1"/>
  <c r="O10772" i="1"/>
  <c r="Q10771" i="1"/>
  <c r="O10771" i="1"/>
  <c r="Q10770" i="1"/>
  <c r="O10770" i="1"/>
  <c r="Q10769" i="1"/>
  <c r="O10769" i="1"/>
  <c r="Q10768" i="1"/>
  <c r="O10768" i="1"/>
  <c r="Q10767" i="1"/>
  <c r="O10767" i="1"/>
  <c r="Q10766" i="1"/>
  <c r="O10766" i="1"/>
  <c r="Q10765" i="1"/>
  <c r="O10765" i="1"/>
  <c r="Q10764" i="1"/>
  <c r="O10764" i="1"/>
  <c r="Q10763" i="1"/>
  <c r="O10763" i="1"/>
  <c r="Q10762" i="1"/>
  <c r="O10762" i="1"/>
  <c r="Q10761" i="1"/>
  <c r="O10761" i="1"/>
  <c r="Q10760" i="1"/>
  <c r="O10760" i="1"/>
  <c r="Q10759" i="1"/>
  <c r="O10759" i="1"/>
  <c r="Q10758" i="1"/>
  <c r="O10758" i="1"/>
  <c r="Q10757" i="1"/>
  <c r="O10757" i="1"/>
  <c r="Q10756" i="1"/>
  <c r="O10756" i="1"/>
  <c r="Q10755" i="1"/>
  <c r="O10755" i="1"/>
  <c r="Q10754" i="1"/>
  <c r="O10754" i="1"/>
  <c r="Q10753" i="1"/>
  <c r="O10753" i="1"/>
  <c r="Q10752" i="1"/>
  <c r="O10752" i="1"/>
  <c r="Q10751" i="1"/>
  <c r="O10751" i="1"/>
  <c r="Q10750" i="1"/>
  <c r="O10750" i="1"/>
  <c r="Q10749" i="1"/>
  <c r="O10749" i="1"/>
  <c r="Q10748" i="1"/>
  <c r="O10748" i="1"/>
  <c r="Q10747" i="1"/>
  <c r="O10747" i="1"/>
  <c r="Q10746" i="1"/>
  <c r="O10746" i="1"/>
  <c r="Q10745" i="1"/>
  <c r="O10745" i="1"/>
  <c r="Q10744" i="1"/>
  <c r="O10744" i="1"/>
  <c r="Q10743" i="1"/>
  <c r="O10743" i="1"/>
  <c r="Q10742" i="1"/>
  <c r="O10742" i="1"/>
  <c r="Q10741" i="1"/>
  <c r="O10741" i="1"/>
  <c r="Q10740" i="1"/>
  <c r="O10740" i="1"/>
  <c r="Q10739" i="1"/>
  <c r="O10739" i="1"/>
  <c r="Q10738" i="1"/>
  <c r="O10738" i="1"/>
  <c r="Q10737" i="1"/>
  <c r="O10737" i="1"/>
  <c r="Q10736" i="1"/>
  <c r="O10736" i="1"/>
  <c r="Q10735" i="1"/>
  <c r="O10735" i="1"/>
  <c r="Q10734" i="1"/>
  <c r="O10734" i="1"/>
  <c r="Q10733" i="1"/>
  <c r="O10733" i="1"/>
  <c r="Q10732" i="1"/>
  <c r="O10732" i="1"/>
  <c r="Q10731" i="1"/>
  <c r="O10731" i="1"/>
  <c r="Q10730" i="1"/>
  <c r="O10730" i="1"/>
  <c r="Q10729" i="1"/>
  <c r="O10729" i="1"/>
  <c r="Q10728" i="1"/>
  <c r="O10728" i="1"/>
  <c r="Q10727" i="1"/>
  <c r="O10727" i="1"/>
  <c r="Q10726" i="1"/>
  <c r="O10726" i="1"/>
  <c r="Q10725" i="1"/>
  <c r="O10725" i="1"/>
  <c r="Q10724" i="1"/>
  <c r="O10724" i="1"/>
  <c r="Q10723" i="1"/>
  <c r="O10723" i="1"/>
  <c r="Q10722" i="1"/>
  <c r="O10722" i="1"/>
  <c r="Q10721" i="1"/>
  <c r="O10721" i="1"/>
  <c r="Q10720" i="1"/>
  <c r="O10720" i="1"/>
  <c r="Q10719" i="1"/>
  <c r="O10719" i="1"/>
  <c r="Q10718" i="1"/>
  <c r="O10718" i="1"/>
  <c r="Q10717" i="1"/>
  <c r="O10717" i="1"/>
  <c r="Q10716" i="1"/>
  <c r="O10716" i="1"/>
  <c r="Q10715" i="1"/>
  <c r="O10715" i="1"/>
  <c r="Q10714" i="1"/>
  <c r="O10714" i="1"/>
  <c r="Q10713" i="1"/>
  <c r="O10713" i="1"/>
  <c r="Q10712" i="1"/>
  <c r="O10712" i="1"/>
  <c r="Q10711" i="1"/>
  <c r="O10711" i="1"/>
  <c r="Q10710" i="1"/>
  <c r="O10710" i="1"/>
  <c r="Q10709" i="1"/>
  <c r="O10709" i="1"/>
  <c r="Q10708" i="1"/>
  <c r="O10708" i="1"/>
  <c r="Q10707" i="1"/>
  <c r="O10707" i="1"/>
  <c r="Q10706" i="1"/>
  <c r="O10706" i="1"/>
  <c r="Q10705" i="1"/>
  <c r="O10705" i="1"/>
  <c r="Q10704" i="1"/>
  <c r="O10704" i="1"/>
  <c r="Q10703" i="1"/>
  <c r="O10703" i="1"/>
  <c r="Q10702" i="1"/>
  <c r="O10702" i="1"/>
  <c r="Q10701" i="1"/>
  <c r="O10701" i="1"/>
  <c r="Q10700" i="1"/>
  <c r="O10700" i="1"/>
  <c r="Q10699" i="1"/>
  <c r="O10699" i="1"/>
  <c r="Q10698" i="1"/>
  <c r="O10698" i="1"/>
  <c r="Q10697" i="1"/>
  <c r="O10697" i="1"/>
  <c r="Q10696" i="1"/>
  <c r="O10696" i="1"/>
  <c r="Q10695" i="1"/>
  <c r="O10695" i="1"/>
  <c r="Q10694" i="1"/>
  <c r="O10694" i="1"/>
  <c r="Q10693" i="1"/>
  <c r="O10693" i="1"/>
  <c r="Q10692" i="1"/>
  <c r="O10692" i="1"/>
  <c r="Q10691" i="1"/>
  <c r="O10691" i="1"/>
  <c r="Q10690" i="1"/>
  <c r="O10690" i="1"/>
  <c r="Q10689" i="1"/>
  <c r="O10689" i="1"/>
  <c r="Q10688" i="1"/>
  <c r="O10688" i="1"/>
  <c r="Q10687" i="1"/>
  <c r="O10687" i="1"/>
  <c r="Q10686" i="1"/>
  <c r="O10686" i="1"/>
  <c r="Q10685" i="1"/>
  <c r="O10685" i="1"/>
  <c r="Q10684" i="1"/>
  <c r="O10684" i="1"/>
  <c r="Q10683" i="1"/>
  <c r="O10683" i="1"/>
  <c r="Q10682" i="1"/>
  <c r="O10682" i="1"/>
  <c r="Q10681" i="1"/>
  <c r="O10681" i="1"/>
  <c r="Q10680" i="1"/>
  <c r="O10680" i="1"/>
  <c r="Q10679" i="1"/>
  <c r="O10679" i="1"/>
  <c r="Q10678" i="1"/>
  <c r="O10678" i="1"/>
  <c r="Q10677" i="1"/>
  <c r="O10677" i="1"/>
  <c r="Q10676" i="1"/>
  <c r="O10676" i="1"/>
  <c r="Q10675" i="1"/>
  <c r="O10675" i="1"/>
  <c r="Q10674" i="1"/>
  <c r="O10674" i="1"/>
  <c r="Q10673" i="1"/>
  <c r="O10673" i="1"/>
  <c r="Q10672" i="1"/>
  <c r="O10672" i="1"/>
  <c r="Q10671" i="1"/>
  <c r="O10671" i="1"/>
  <c r="Q10670" i="1"/>
  <c r="O10670" i="1"/>
  <c r="Q10669" i="1"/>
  <c r="O10669" i="1"/>
  <c r="Q10668" i="1"/>
  <c r="O10668" i="1"/>
  <c r="Q10667" i="1"/>
  <c r="O10667" i="1"/>
  <c r="Q10666" i="1"/>
  <c r="O10666" i="1"/>
  <c r="Q10665" i="1"/>
  <c r="O10665" i="1"/>
  <c r="Q10664" i="1"/>
  <c r="O10664" i="1"/>
  <c r="Q10663" i="1"/>
  <c r="O10663" i="1"/>
  <c r="Q10662" i="1"/>
  <c r="O10662" i="1"/>
  <c r="Q10661" i="1"/>
  <c r="O10661" i="1"/>
  <c r="Q10660" i="1"/>
  <c r="O10660" i="1"/>
  <c r="Q10659" i="1"/>
  <c r="O10659" i="1"/>
  <c r="Q10658" i="1"/>
  <c r="O10658" i="1"/>
  <c r="Q10657" i="1"/>
  <c r="O10657" i="1"/>
  <c r="Q10656" i="1"/>
  <c r="O10656" i="1"/>
  <c r="Q10655" i="1"/>
  <c r="O10655" i="1"/>
  <c r="Q10654" i="1"/>
  <c r="O10654" i="1"/>
  <c r="Q10653" i="1"/>
  <c r="O10653" i="1"/>
  <c r="Q10652" i="1"/>
  <c r="O10652" i="1"/>
  <c r="Q10651" i="1"/>
  <c r="O10651" i="1"/>
  <c r="Q10650" i="1"/>
  <c r="O10650" i="1"/>
  <c r="Q10649" i="1"/>
  <c r="O10649" i="1"/>
  <c r="Q10648" i="1"/>
  <c r="O10648" i="1"/>
  <c r="Q10647" i="1"/>
  <c r="O10647" i="1"/>
  <c r="Q10646" i="1"/>
  <c r="O10646" i="1"/>
  <c r="Q10645" i="1"/>
  <c r="O10645" i="1"/>
  <c r="Q10644" i="1"/>
  <c r="O10644" i="1"/>
  <c r="Q10643" i="1"/>
  <c r="O10643" i="1"/>
  <c r="Q10642" i="1"/>
  <c r="O10642" i="1"/>
  <c r="Q10641" i="1"/>
  <c r="O10641" i="1"/>
  <c r="Q10640" i="1"/>
  <c r="O10640" i="1"/>
  <c r="Q10639" i="1"/>
  <c r="O10639" i="1"/>
  <c r="Q10638" i="1"/>
  <c r="O10638" i="1"/>
  <c r="Q10637" i="1"/>
  <c r="O10637" i="1"/>
  <c r="Q10636" i="1"/>
  <c r="O10636" i="1"/>
  <c r="Q10635" i="1"/>
  <c r="O10635" i="1"/>
  <c r="Q10634" i="1"/>
  <c r="O10634" i="1"/>
  <c r="Q10633" i="1"/>
  <c r="O10633" i="1"/>
  <c r="Q10632" i="1"/>
  <c r="O10632" i="1"/>
  <c r="Q10631" i="1"/>
  <c r="O10631" i="1"/>
  <c r="Q10630" i="1"/>
  <c r="O10630" i="1"/>
  <c r="Q10629" i="1"/>
  <c r="O10629" i="1"/>
  <c r="Q10628" i="1"/>
  <c r="O10628" i="1"/>
  <c r="Q10627" i="1"/>
  <c r="O10627" i="1"/>
  <c r="Q10626" i="1"/>
  <c r="O10626" i="1"/>
  <c r="Q10625" i="1"/>
  <c r="O10625" i="1"/>
  <c r="Q10624" i="1"/>
  <c r="O10624" i="1"/>
  <c r="Q10623" i="1"/>
  <c r="O10623" i="1"/>
  <c r="Q10622" i="1"/>
  <c r="O10622" i="1"/>
  <c r="Q10621" i="1"/>
  <c r="O10621" i="1"/>
  <c r="Q10620" i="1"/>
  <c r="O10620" i="1"/>
  <c r="Q10619" i="1"/>
  <c r="O10619" i="1"/>
  <c r="Q10618" i="1"/>
  <c r="O10618" i="1"/>
  <c r="Q10617" i="1"/>
  <c r="O10617" i="1"/>
  <c r="Q10616" i="1"/>
  <c r="O10616" i="1"/>
  <c r="Q10615" i="1"/>
  <c r="O10615" i="1"/>
  <c r="Q10614" i="1"/>
  <c r="O10614" i="1"/>
  <c r="Q10613" i="1"/>
  <c r="O10613" i="1"/>
  <c r="Q10612" i="1"/>
  <c r="O10612" i="1"/>
  <c r="Q10611" i="1"/>
  <c r="O10611" i="1"/>
  <c r="Q10610" i="1"/>
  <c r="O10610" i="1"/>
  <c r="Q10609" i="1"/>
  <c r="O10609" i="1"/>
  <c r="Q10608" i="1"/>
  <c r="O10608" i="1"/>
  <c r="Q10607" i="1"/>
  <c r="O10607" i="1"/>
  <c r="Q10606" i="1"/>
  <c r="O10606" i="1"/>
  <c r="Q10605" i="1"/>
  <c r="O10605" i="1"/>
  <c r="Q10604" i="1"/>
  <c r="O10604" i="1"/>
  <c r="Q10603" i="1"/>
  <c r="O10603" i="1"/>
  <c r="Q10602" i="1"/>
  <c r="O10602" i="1"/>
  <c r="Q10601" i="1"/>
  <c r="O10601" i="1"/>
  <c r="Q10600" i="1"/>
  <c r="O10600" i="1"/>
  <c r="Q10599" i="1"/>
  <c r="O10599" i="1"/>
  <c r="Q10598" i="1"/>
  <c r="O10598" i="1"/>
  <c r="Q10597" i="1"/>
  <c r="O10597" i="1"/>
  <c r="Q10596" i="1"/>
  <c r="O10596" i="1"/>
  <c r="Q10595" i="1"/>
  <c r="O10595" i="1"/>
  <c r="Q10594" i="1"/>
  <c r="O10594" i="1"/>
  <c r="Q10593" i="1"/>
  <c r="O10593" i="1"/>
  <c r="Q10592" i="1"/>
  <c r="O10592" i="1"/>
  <c r="Q10591" i="1"/>
  <c r="O10591" i="1"/>
  <c r="Q10590" i="1"/>
  <c r="O10590" i="1"/>
  <c r="Q10589" i="1"/>
  <c r="O10589" i="1"/>
  <c r="Q10588" i="1"/>
  <c r="O10588" i="1"/>
  <c r="Q10587" i="1"/>
  <c r="O10587" i="1"/>
  <c r="Q10586" i="1"/>
  <c r="O10586" i="1"/>
  <c r="Q10585" i="1"/>
  <c r="O10585" i="1"/>
  <c r="Q10584" i="1"/>
  <c r="O10584" i="1"/>
  <c r="Q10583" i="1"/>
  <c r="O10583" i="1"/>
  <c r="Q10582" i="1"/>
  <c r="O10582" i="1"/>
  <c r="Q10581" i="1"/>
  <c r="O10581" i="1"/>
  <c r="Q10580" i="1"/>
  <c r="O10580" i="1"/>
  <c r="Q10579" i="1"/>
  <c r="O10579" i="1"/>
  <c r="Q10578" i="1"/>
  <c r="O10578" i="1"/>
  <c r="Q10577" i="1"/>
  <c r="O10577" i="1"/>
  <c r="Q10576" i="1"/>
  <c r="O10576" i="1"/>
  <c r="Q10575" i="1"/>
  <c r="O10575" i="1"/>
  <c r="Q10574" i="1"/>
  <c r="O10574" i="1"/>
  <c r="Q10573" i="1"/>
  <c r="O10573" i="1"/>
  <c r="Q10572" i="1"/>
  <c r="O10572" i="1"/>
  <c r="Q10571" i="1"/>
  <c r="O10571" i="1"/>
  <c r="Q10570" i="1"/>
  <c r="O10570" i="1"/>
  <c r="Q10569" i="1"/>
  <c r="O10569" i="1"/>
  <c r="Q10568" i="1"/>
  <c r="O10568" i="1"/>
  <c r="Q10567" i="1"/>
  <c r="O10567" i="1"/>
  <c r="Q10566" i="1"/>
  <c r="O10566" i="1"/>
  <c r="Q10565" i="1"/>
  <c r="O10565" i="1"/>
  <c r="Q10564" i="1"/>
  <c r="O10564" i="1"/>
  <c r="Q10563" i="1"/>
  <c r="O10563" i="1"/>
  <c r="Q10562" i="1"/>
  <c r="O10562" i="1"/>
  <c r="Q10561" i="1"/>
  <c r="O10561" i="1"/>
  <c r="Q10560" i="1"/>
  <c r="O10560" i="1"/>
  <c r="Q10559" i="1"/>
  <c r="O10559" i="1"/>
  <c r="Q10558" i="1"/>
  <c r="O10558" i="1"/>
  <c r="Q10557" i="1"/>
  <c r="O10557" i="1"/>
  <c r="Q10556" i="1"/>
  <c r="O10556" i="1"/>
  <c r="Q10555" i="1"/>
  <c r="O10555" i="1"/>
  <c r="Q10554" i="1"/>
  <c r="O10554" i="1"/>
  <c r="Q10553" i="1"/>
  <c r="O10553" i="1"/>
  <c r="Q10552" i="1"/>
  <c r="O10552" i="1"/>
  <c r="Q10551" i="1"/>
  <c r="O10551" i="1"/>
  <c r="Q10550" i="1"/>
  <c r="O10550" i="1"/>
  <c r="Q10549" i="1"/>
  <c r="O10549" i="1"/>
  <c r="Q10548" i="1"/>
  <c r="O10548" i="1"/>
  <c r="Q10547" i="1"/>
  <c r="O10547" i="1"/>
  <c r="Q10546" i="1"/>
  <c r="O10546" i="1"/>
  <c r="Q10545" i="1"/>
  <c r="O10545" i="1"/>
  <c r="Q10544" i="1"/>
  <c r="O10544" i="1"/>
  <c r="Q10543" i="1"/>
  <c r="O10543" i="1"/>
  <c r="Q10542" i="1"/>
  <c r="O10542" i="1"/>
  <c r="Q10541" i="1"/>
  <c r="O10541" i="1"/>
  <c r="Q10540" i="1"/>
  <c r="O10540" i="1"/>
  <c r="Q10539" i="1"/>
  <c r="O10539" i="1"/>
  <c r="Q10538" i="1"/>
  <c r="O10538" i="1"/>
  <c r="Q10537" i="1"/>
  <c r="O10537" i="1"/>
  <c r="Q10536" i="1"/>
  <c r="O10536" i="1"/>
  <c r="Q10535" i="1"/>
  <c r="O10535" i="1"/>
  <c r="Q10534" i="1"/>
  <c r="O10534" i="1"/>
  <c r="Q10533" i="1"/>
  <c r="O10533" i="1"/>
  <c r="Q10532" i="1"/>
  <c r="O10532" i="1"/>
  <c r="Q10531" i="1"/>
  <c r="O10531" i="1"/>
  <c r="Q10530" i="1"/>
  <c r="O10530" i="1"/>
  <c r="Q10529" i="1"/>
  <c r="O10529" i="1"/>
  <c r="Q10528" i="1"/>
  <c r="O10528" i="1"/>
  <c r="Q10527" i="1"/>
  <c r="O10527" i="1"/>
  <c r="Q10526" i="1"/>
  <c r="O10526" i="1"/>
  <c r="Q10525" i="1"/>
  <c r="O10525" i="1"/>
  <c r="Q10524" i="1"/>
  <c r="O10524" i="1"/>
  <c r="Q10523" i="1"/>
  <c r="O10523" i="1"/>
  <c r="Q10522" i="1"/>
  <c r="O10522" i="1"/>
  <c r="Q10521" i="1"/>
  <c r="O10521" i="1"/>
  <c r="Q10520" i="1"/>
  <c r="O10520" i="1"/>
  <c r="Q10519" i="1"/>
  <c r="O10519" i="1"/>
  <c r="Q10518" i="1"/>
  <c r="O10518" i="1"/>
  <c r="Q10517" i="1"/>
  <c r="O10517" i="1"/>
  <c r="Q10516" i="1"/>
  <c r="O10516" i="1"/>
  <c r="Q10515" i="1"/>
  <c r="O10515" i="1"/>
  <c r="Q10514" i="1"/>
  <c r="O10514" i="1"/>
  <c r="Q10513" i="1"/>
  <c r="O10513" i="1"/>
  <c r="Q10512" i="1"/>
  <c r="O10512" i="1"/>
  <c r="Q10511" i="1"/>
  <c r="O10511" i="1"/>
  <c r="Q10510" i="1"/>
  <c r="O10510" i="1"/>
  <c r="Q10509" i="1"/>
  <c r="O10509" i="1"/>
  <c r="Q10508" i="1"/>
  <c r="O10508" i="1"/>
  <c r="Q10507" i="1"/>
  <c r="O10507" i="1"/>
  <c r="Q10506" i="1"/>
  <c r="O10506" i="1"/>
  <c r="Q10505" i="1"/>
  <c r="O10505" i="1"/>
  <c r="Q10504" i="1"/>
  <c r="O10504" i="1"/>
  <c r="Q10503" i="1"/>
  <c r="O10503" i="1"/>
  <c r="Q10502" i="1"/>
  <c r="O10502" i="1"/>
  <c r="Q10501" i="1"/>
  <c r="O10501" i="1"/>
  <c r="Q10500" i="1"/>
  <c r="O10500" i="1"/>
  <c r="Q10499" i="1"/>
  <c r="O10499" i="1"/>
  <c r="Q10498" i="1"/>
  <c r="O10498" i="1"/>
  <c r="Q10497" i="1"/>
  <c r="O10497" i="1"/>
  <c r="Q10496" i="1"/>
  <c r="O10496" i="1"/>
  <c r="Q10495" i="1"/>
  <c r="O10495" i="1"/>
  <c r="Q10494" i="1"/>
  <c r="O10494" i="1"/>
  <c r="Q10493" i="1"/>
  <c r="O10493" i="1"/>
  <c r="Q10492" i="1"/>
  <c r="O10492" i="1"/>
  <c r="Q10491" i="1"/>
  <c r="O10491" i="1"/>
  <c r="Q10490" i="1"/>
  <c r="O10490" i="1"/>
  <c r="Q10489" i="1"/>
  <c r="O10489" i="1"/>
  <c r="Q10488" i="1"/>
  <c r="O10488" i="1"/>
  <c r="Q10487" i="1"/>
  <c r="O10487" i="1"/>
  <c r="Q10486" i="1"/>
  <c r="O10486" i="1"/>
  <c r="Q10485" i="1"/>
  <c r="O10485" i="1"/>
  <c r="Q10484" i="1"/>
  <c r="O10484" i="1"/>
  <c r="Q10483" i="1"/>
  <c r="O10483" i="1"/>
  <c r="Q10482" i="1"/>
  <c r="O10482" i="1"/>
  <c r="Q10481" i="1"/>
  <c r="O10481" i="1"/>
  <c r="Q10480" i="1"/>
  <c r="O10480" i="1"/>
  <c r="Q10479" i="1"/>
  <c r="O10479" i="1"/>
  <c r="Q10478" i="1"/>
  <c r="O10478" i="1"/>
  <c r="Q10477" i="1"/>
  <c r="O10477" i="1"/>
  <c r="Q10476" i="1"/>
  <c r="O10476" i="1"/>
  <c r="Q10475" i="1"/>
  <c r="O10475" i="1"/>
  <c r="Q10474" i="1"/>
  <c r="O10474" i="1"/>
  <c r="Q10473" i="1"/>
  <c r="O10473" i="1"/>
  <c r="Q10472" i="1"/>
  <c r="O10472" i="1"/>
  <c r="Q10471" i="1"/>
  <c r="O10471" i="1"/>
  <c r="Q10470" i="1"/>
  <c r="O10470" i="1"/>
  <c r="Q10469" i="1"/>
  <c r="O10469" i="1"/>
  <c r="Q10468" i="1"/>
  <c r="O10468" i="1"/>
  <c r="Q10467" i="1"/>
  <c r="O10467" i="1"/>
  <c r="Q10466" i="1"/>
  <c r="O10466" i="1"/>
  <c r="Q10465" i="1"/>
  <c r="O10465" i="1"/>
  <c r="Q10464" i="1"/>
  <c r="O10464" i="1"/>
  <c r="Q10463" i="1"/>
  <c r="O10463" i="1"/>
  <c r="Q10462" i="1"/>
  <c r="O10462" i="1"/>
  <c r="Q10461" i="1"/>
  <c r="O10461" i="1"/>
  <c r="Q10460" i="1"/>
  <c r="O10460" i="1"/>
  <c r="Q10459" i="1"/>
  <c r="O10459" i="1"/>
  <c r="Q10458" i="1"/>
  <c r="O10458" i="1"/>
  <c r="Q10457" i="1"/>
  <c r="O10457" i="1"/>
  <c r="Q10456" i="1"/>
  <c r="O10456" i="1"/>
  <c r="Q10455" i="1"/>
  <c r="O10455" i="1"/>
  <c r="Q10454" i="1"/>
  <c r="O10454" i="1"/>
  <c r="Q10453" i="1"/>
  <c r="O10453" i="1"/>
  <c r="Q10452" i="1"/>
  <c r="O10452" i="1"/>
  <c r="Q10451" i="1"/>
  <c r="O10451" i="1"/>
  <c r="Q10450" i="1"/>
  <c r="O10450" i="1"/>
  <c r="Q10449" i="1"/>
  <c r="O10449" i="1"/>
  <c r="Q10448" i="1"/>
  <c r="O10448" i="1"/>
  <c r="Q10447" i="1"/>
  <c r="O10447" i="1"/>
  <c r="Q10446" i="1"/>
  <c r="O10446" i="1"/>
  <c r="Q10445" i="1"/>
  <c r="O10445" i="1"/>
  <c r="Q10444" i="1"/>
  <c r="O10444" i="1"/>
  <c r="Q10443" i="1"/>
  <c r="O10443" i="1"/>
  <c r="Q10442" i="1"/>
  <c r="O10442" i="1"/>
  <c r="Q10441" i="1"/>
  <c r="O10441" i="1"/>
  <c r="Q10440" i="1"/>
  <c r="O10440" i="1"/>
  <c r="Q10439" i="1"/>
  <c r="O10439" i="1"/>
  <c r="Q10438" i="1"/>
  <c r="O10438" i="1"/>
  <c r="Q10437" i="1"/>
  <c r="O10437" i="1"/>
  <c r="Q10436" i="1"/>
  <c r="O10436" i="1"/>
  <c r="Q10435" i="1"/>
  <c r="O10435" i="1"/>
  <c r="Q10434" i="1"/>
  <c r="O10434" i="1"/>
  <c r="Q10433" i="1"/>
  <c r="O10433" i="1"/>
  <c r="Q10432" i="1"/>
  <c r="O10432" i="1"/>
  <c r="Q10431" i="1"/>
  <c r="O10431" i="1"/>
  <c r="Q10430" i="1"/>
  <c r="O10430" i="1"/>
  <c r="Q10429" i="1"/>
  <c r="O10429" i="1"/>
  <c r="Q10428" i="1"/>
  <c r="O10428" i="1"/>
  <c r="Q10427" i="1"/>
  <c r="O10427" i="1"/>
  <c r="Q10426" i="1"/>
  <c r="O10426" i="1"/>
  <c r="Q10425" i="1"/>
  <c r="O10425" i="1"/>
  <c r="Q10424" i="1"/>
  <c r="O10424" i="1"/>
  <c r="Q10423" i="1"/>
  <c r="O10423" i="1"/>
  <c r="Q10422" i="1"/>
  <c r="O10422" i="1"/>
  <c r="Q10421" i="1"/>
  <c r="O10421" i="1"/>
  <c r="Q10420" i="1"/>
  <c r="O10420" i="1"/>
  <c r="Q10419" i="1"/>
  <c r="O10419" i="1"/>
  <c r="Q10418" i="1"/>
  <c r="O10418" i="1"/>
  <c r="Q10417" i="1"/>
  <c r="O10417" i="1"/>
  <c r="Q10416" i="1"/>
  <c r="O10416" i="1"/>
  <c r="Q10415" i="1"/>
  <c r="O10415" i="1"/>
  <c r="Q10414" i="1"/>
  <c r="O10414" i="1"/>
  <c r="Q10413" i="1"/>
  <c r="O10413" i="1"/>
  <c r="Q10412" i="1"/>
  <c r="O10412" i="1"/>
  <c r="Q10411" i="1"/>
  <c r="O10411" i="1"/>
  <c r="Q10410" i="1"/>
  <c r="O10410" i="1"/>
  <c r="Q10409" i="1"/>
  <c r="O10409" i="1"/>
  <c r="Q10408" i="1"/>
  <c r="O10408" i="1"/>
  <c r="Q10407" i="1"/>
  <c r="O10407" i="1"/>
  <c r="Q10406" i="1"/>
  <c r="O10406" i="1"/>
  <c r="Q10405" i="1"/>
  <c r="O10405" i="1"/>
  <c r="Q10404" i="1"/>
  <c r="O10404" i="1"/>
  <c r="Q10403" i="1"/>
  <c r="O10403" i="1"/>
  <c r="Q10402" i="1"/>
  <c r="O10402" i="1"/>
  <c r="Q10401" i="1"/>
  <c r="O10401" i="1"/>
  <c r="Q10400" i="1"/>
  <c r="O10400" i="1"/>
  <c r="Q10399" i="1"/>
  <c r="O10399" i="1"/>
  <c r="Q10398" i="1"/>
  <c r="O10398" i="1"/>
  <c r="Q10397" i="1"/>
  <c r="O10397" i="1"/>
  <c r="Q10396" i="1"/>
  <c r="O10396" i="1"/>
  <c r="Q10395" i="1"/>
  <c r="O10395" i="1"/>
  <c r="Q10394" i="1"/>
  <c r="O10394" i="1"/>
  <c r="Q10393" i="1"/>
  <c r="O10393" i="1"/>
  <c r="Q10392" i="1"/>
  <c r="O10392" i="1"/>
  <c r="Q10391" i="1"/>
  <c r="O10391" i="1"/>
  <c r="Q10390" i="1"/>
  <c r="O10390" i="1"/>
  <c r="Q10389" i="1"/>
  <c r="O10389" i="1"/>
  <c r="Q10388" i="1"/>
  <c r="O10388" i="1"/>
  <c r="Q10387" i="1"/>
  <c r="O10387" i="1"/>
  <c r="Q10386" i="1"/>
  <c r="O10386" i="1"/>
  <c r="Q10385" i="1"/>
  <c r="O10385" i="1"/>
  <c r="Q10384" i="1"/>
  <c r="O10384" i="1"/>
  <c r="Q10383" i="1"/>
  <c r="O10383" i="1"/>
  <c r="Q10382" i="1"/>
  <c r="O10382" i="1"/>
  <c r="Q10381" i="1"/>
  <c r="O10381" i="1"/>
  <c r="Q10380" i="1"/>
  <c r="O10380" i="1"/>
  <c r="Q10379" i="1"/>
  <c r="O10379" i="1"/>
  <c r="Q10378" i="1"/>
  <c r="O10378" i="1"/>
  <c r="Q10377" i="1"/>
  <c r="O10377" i="1"/>
  <c r="Q10376" i="1"/>
  <c r="O10376" i="1"/>
  <c r="Q10375" i="1"/>
  <c r="O10375" i="1"/>
  <c r="Q10374" i="1"/>
  <c r="O10374" i="1"/>
  <c r="Q10373" i="1"/>
  <c r="O10373" i="1"/>
  <c r="Q10372" i="1"/>
  <c r="O10372" i="1"/>
  <c r="Q10371" i="1"/>
  <c r="O10371" i="1"/>
  <c r="Q10370" i="1"/>
  <c r="O10370" i="1"/>
  <c r="Q10369" i="1"/>
  <c r="O10369" i="1"/>
  <c r="Q10368" i="1"/>
  <c r="O10368" i="1"/>
  <c r="Q10367" i="1"/>
  <c r="O10367" i="1"/>
  <c r="Q10366" i="1"/>
  <c r="O10366" i="1"/>
  <c r="Q10365" i="1"/>
  <c r="O10365" i="1"/>
  <c r="Q10364" i="1"/>
  <c r="O10364" i="1"/>
  <c r="Q10363" i="1"/>
  <c r="O10363" i="1"/>
  <c r="Q10362" i="1"/>
  <c r="O10362" i="1"/>
  <c r="Q10361" i="1"/>
  <c r="O10361" i="1"/>
  <c r="Q10360" i="1"/>
  <c r="O10360" i="1"/>
  <c r="Q10359" i="1"/>
  <c r="O10359" i="1"/>
  <c r="Q10358" i="1"/>
  <c r="O10358" i="1"/>
  <c r="Q10357" i="1"/>
  <c r="O10357" i="1"/>
  <c r="Q10356" i="1"/>
  <c r="O10356" i="1"/>
  <c r="Q10355" i="1"/>
  <c r="O10355" i="1"/>
  <c r="Q10354" i="1"/>
  <c r="O10354" i="1"/>
  <c r="Q10353" i="1"/>
  <c r="O10353" i="1"/>
  <c r="Q10352" i="1"/>
  <c r="O10352" i="1"/>
  <c r="Q10351" i="1"/>
  <c r="O10351" i="1"/>
  <c r="Q10350" i="1"/>
  <c r="O10350" i="1"/>
  <c r="Q10349" i="1"/>
  <c r="O10349" i="1"/>
  <c r="Q10348" i="1"/>
  <c r="O10348" i="1"/>
  <c r="Q10347" i="1"/>
  <c r="O10347" i="1"/>
  <c r="Q10346" i="1"/>
  <c r="O10346" i="1"/>
  <c r="Q10345" i="1"/>
  <c r="O10345" i="1"/>
  <c r="Q10344" i="1"/>
  <c r="O10344" i="1"/>
  <c r="Q10343" i="1"/>
  <c r="O10343" i="1"/>
  <c r="Q10342" i="1"/>
  <c r="O10342" i="1"/>
  <c r="Q10341" i="1"/>
  <c r="O10341" i="1"/>
  <c r="Q10340" i="1"/>
  <c r="O10340" i="1"/>
  <c r="Q10339" i="1"/>
  <c r="O10339" i="1"/>
  <c r="Q10338" i="1"/>
  <c r="O10338" i="1"/>
  <c r="Q10337" i="1"/>
  <c r="O10337" i="1"/>
  <c r="Q10336" i="1"/>
  <c r="O10336" i="1"/>
  <c r="Q10335" i="1"/>
  <c r="O10335" i="1"/>
  <c r="Q10334" i="1"/>
  <c r="O10334" i="1"/>
  <c r="Q10333" i="1"/>
  <c r="O10333" i="1"/>
  <c r="Q10332" i="1"/>
  <c r="O10332" i="1"/>
  <c r="Q10331" i="1"/>
  <c r="O10331" i="1"/>
  <c r="Q10330" i="1"/>
  <c r="O10330" i="1"/>
  <c r="Q10329" i="1"/>
  <c r="O10329" i="1"/>
  <c r="Q10328" i="1"/>
  <c r="O10328" i="1"/>
  <c r="Q10327" i="1"/>
  <c r="O10327" i="1"/>
  <c r="Q10326" i="1"/>
  <c r="O10326" i="1"/>
  <c r="Q10325" i="1"/>
  <c r="O10325" i="1"/>
  <c r="Q10324" i="1"/>
  <c r="O10324" i="1"/>
  <c r="Q10323" i="1"/>
  <c r="O10323" i="1"/>
  <c r="Q10322" i="1"/>
  <c r="O10322" i="1"/>
  <c r="Q10321" i="1"/>
  <c r="O10321" i="1"/>
  <c r="Q10320" i="1"/>
  <c r="O10320" i="1"/>
  <c r="Q10319" i="1"/>
  <c r="O10319" i="1"/>
  <c r="Q10318" i="1"/>
  <c r="O10318" i="1"/>
  <c r="Q10317" i="1"/>
  <c r="O10317" i="1"/>
  <c r="Q10316" i="1"/>
  <c r="O10316" i="1"/>
  <c r="Q10315" i="1"/>
  <c r="O10315" i="1"/>
  <c r="Q10314" i="1"/>
  <c r="O10314" i="1"/>
  <c r="Q10313" i="1"/>
  <c r="O10313" i="1"/>
  <c r="Q10312" i="1"/>
  <c r="O10312" i="1"/>
  <c r="Q10311" i="1"/>
  <c r="O10311" i="1"/>
  <c r="Q10310" i="1"/>
  <c r="O10310" i="1"/>
  <c r="Q10309" i="1"/>
  <c r="O10309" i="1"/>
  <c r="Q10308" i="1"/>
  <c r="O10308" i="1"/>
  <c r="Q10307" i="1"/>
  <c r="O10307" i="1"/>
  <c r="Q10306" i="1"/>
  <c r="O10306" i="1"/>
  <c r="Q10305" i="1"/>
  <c r="O10305" i="1"/>
  <c r="Q10304" i="1"/>
  <c r="O10304" i="1"/>
  <c r="Q10303" i="1"/>
  <c r="O10303" i="1"/>
  <c r="Q10302" i="1"/>
  <c r="O10302" i="1"/>
  <c r="Q10301" i="1"/>
  <c r="O10301" i="1"/>
  <c r="Q10300" i="1"/>
  <c r="O10300" i="1"/>
  <c r="Q10299" i="1"/>
  <c r="O10299" i="1"/>
  <c r="Q10298" i="1"/>
  <c r="O10298" i="1"/>
  <c r="Q10297" i="1"/>
  <c r="O10297" i="1"/>
  <c r="Q10296" i="1"/>
  <c r="O10296" i="1"/>
  <c r="Q10295" i="1"/>
  <c r="O10295" i="1"/>
  <c r="Q10294" i="1"/>
  <c r="O10294" i="1"/>
  <c r="Q10293" i="1"/>
  <c r="O10293" i="1"/>
  <c r="Q10292" i="1"/>
  <c r="O10292" i="1"/>
  <c r="Q10291" i="1"/>
  <c r="O10291" i="1"/>
  <c r="Q10290" i="1"/>
  <c r="O10290" i="1"/>
  <c r="Q10289" i="1"/>
  <c r="O10289" i="1"/>
  <c r="Q10288" i="1"/>
  <c r="O10288" i="1"/>
  <c r="Q10287" i="1"/>
  <c r="O10287" i="1"/>
  <c r="Q10286" i="1"/>
  <c r="O10286" i="1"/>
  <c r="Q10285" i="1"/>
  <c r="O10285" i="1"/>
  <c r="Q10284" i="1"/>
  <c r="O10284" i="1"/>
  <c r="Q10283" i="1"/>
  <c r="O10283" i="1"/>
  <c r="Q10282" i="1"/>
  <c r="O10282" i="1"/>
  <c r="Q10281" i="1"/>
  <c r="O10281" i="1"/>
  <c r="Q10280" i="1"/>
  <c r="O10280" i="1"/>
  <c r="Q10279" i="1"/>
  <c r="O10279" i="1"/>
  <c r="Q10278" i="1"/>
  <c r="O10278" i="1"/>
  <c r="Q10277" i="1"/>
  <c r="O10277" i="1"/>
  <c r="Q10276" i="1"/>
  <c r="O10276" i="1"/>
  <c r="Q10275" i="1"/>
  <c r="O10275" i="1"/>
  <c r="Q10274" i="1"/>
  <c r="O10274" i="1"/>
  <c r="Q10273" i="1"/>
  <c r="O10273" i="1"/>
  <c r="Q10272" i="1"/>
  <c r="O10272" i="1"/>
  <c r="Q10271" i="1"/>
  <c r="O10271" i="1"/>
  <c r="Q10270" i="1"/>
  <c r="O10270" i="1"/>
  <c r="Q10269" i="1"/>
  <c r="O10269" i="1"/>
  <c r="Q10268" i="1"/>
  <c r="O10268" i="1"/>
  <c r="Q10267" i="1"/>
  <c r="O10267" i="1"/>
  <c r="Q10266" i="1"/>
  <c r="O10266" i="1"/>
  <c r="Q10265" i="1"/>
  <c r="O10265" i="1"/>
  <c r="Q10264" i="1"/>
  <c r="O10264" i="1"/>
  <c r="Q10263" i="1"/>
  <c r="O10263" i="1"/>
  <c r="Q10262" i="1"/>
  <c r="O10262" i="1"/>
  <c r="Q10261" i="1"/>
  <c r="O10261" i="1"/>
  <c r="Q10260" i="1"/>
  <c r="O10260" i="1"/>
  <c r="Q10259" i="1"/>
  <c r="O10259" i="1"/>
  <c r="Q10258" i="1"/>
  <c r="O10258" i="1"/>
  <c r="Q10257" i="1"/>
  <c r="O10257" i="1"/>
  <c r="Q10256" i="1"/>
  <c r="O10256" i="1"/>
  <c r="Q10255" i="1"/>
  <c r="O10255" i="1"/>
  <c r="Q10254" i="1"/>
  <c r="O10254" i="1"/>
  <c r="Q10253" i="1"/>
  <c r="O10253" i="1"/>
  <c r="Q10252" i="1"/>
  <c r="O10252" i="1"/>
  <c r="Q10251" i="1"/>
  <c r="O10251" i="1"/>
  <c r="Q10250" i="1"/>
  <c r="O10250" i="1"/>
  <c r="Q10249" i="1"/>
  <c r="O10249" i="1"/>
  <c r="Q10248" i="1"/>
  <c r="O10248" i="1"/>
  <c r="Q10247" i="1"/>
  <c r="O10247" i="1"/>
  <c r="Q10246" i="1"/>
  <c r="O10246" i="1"/>
  <c r="Q10245" i="1"/>
  <c r="O10245" i="1"/>
  <c r="Q10244" i="1"/>
  <c r="O10244" i="1"/>
  <c r="Q10243" i="1"/>
  <c r="O10243" i="1"/>
  <c r="Q10242" i="1"/>
  <c r="O10242" i="1"/>
  <c r="Q10241" i="1"/>
  <c r="O10241" i="1"/>
  <c r="Q10240" i="1"/>
  <c r="O10240" i="1"/>
  <c r="Q10239" i="1"/>
  <c r="O10239" i="1"/>
  <c r="Q10238" i="1"/>
  <c r="O10238" i="1"/>
  <c r="Q10237" i="1"/>
  <c r="O10237" i="1"/>
  <c r="Q10236" i="1"/>
  <c r="O10236" i="1"/>
  <c r="Q10235" i="1"/>
  <c r="O10235" i="1"/>
  <c r="Q10234" i="1"/>
  <c r="O10234" i="1"/>
  <c r="Q10233" i="1"/>
  <c r="O10233" i="1"/>
  <c r="Q10232" i="1"/>
  <c r="O10232" i="1"/>
  <c r="Q10231" i="1"/>
  <c r="O10231" i="1"/>
  <c r="Q10230" i="1"/>
  <c r="O10230" i="1"/>
  <c r="Q10229" i="1"/>
  <c r="O10229" i="1"/>
  <c r="Q10228" i="1"/>
  <c r="O10228" i="1"/>
  <c r="Q10227" i="1"/>
  <c r="O10227" i="1"/>
  <c r="Q10226" i="1"/>
  <c r="O10226" i="1"/>
  <c r="Q10225" i="1"/>
  <c r="O10225" i="1"/>
  <c r="Q10224" i="1"/>
  <c r="O10224" i="1"/>
  <c r="Q10223" i="1"/>
  <c r="O10223" i="1"/>
  <c r="Q10222" i="1"/>
  <c r="O10222" i="1"/>
  <c r="Q10221" i="1"/>
  <c r="O10221" i="1"/>
  <c r="Q10220" i="1"/>
  <c r="O10220" i="1"/>
  <c r="Q10219" i="1"/>
  <c r="O10219" i="1"/>
  <c r="Q10218" i="1"/>
  <c r="O10218" i="1"/>
  <c r="Q10217" i="1"/>
  <c r="O10217" i="1"/>
  <c r="Q10216" i="1"/>
  <c r="O10216" i="1"/>
  <c r="Q10215" i="1"/>
  <c r="O10215" i="1"/>
  <c r="Q10214" i="1"/>
  <c r="O10214" i="1"/>
  <c r="Q10213" i="1"/>
  <c r="O10213" i="1"/>
  <c r="Q10212" i="1"/>
  <c r="O10212" i="1"/>
  <c r="Q10211" i="1"/>
  <c r="O10211" i="1"/>
  <c r="Q10210" i="1"/>
  <c r="O10210" i="1"/>
  <c r="Q10209" i="1"/>
  <c r="O10209" i="1"/>
  <c r="Q10208" i="1"/>
  <c r="O10208" i="1"/>
  <c r="Q10207" i="1"/>
  <c r="O10207" i="1"/>
  <c r="Q10206" i="1"/>
  <c r="O10206" i="1"/>
  <c r="Q10205" i="1"/>
  <c r="O10205" i="1"/>
  <c r="Q10204" i="1"/>
  <c r="O10204" i="1"/>
  <c r="Q10203" i="1"/>
  <c r="O10203" i="1"/>
  <c r="Q10202" i="1"/>
  <c r="O10202" i="1"/>
  <c r="Q10201" i="1"/>
  <c r="O10201" i="1"/>
  <c r="Q10200" i="1"/>
  <c r="O10200" i="1"/>
  <c r="Q10199" i="1"/>
  <c r="O10199" i="1"/>
  <c r="Q10198" i="1"/>
  <c r="O10198" i="1"/>
  <c r="Q10197" i="1"/>
  <c r="O10197" i="1"/>
  <c r="Q10196" i="1"/>
  <c r="O10196" i="1"/>
  <c r="Q10195" i="1"/>
  <c r="O10195" i="1"/>
  <c r="Q10194" i="1"/>
  <c r="O10194" i="1"/>
  <c r="Q10193" i="1"/>
  <c r="O10193" i="1"/>
  <c r="Q10192" i="1"/>
  <c r="O10192" i="1"/>
  <c r="Q10191" i="1"/>
  <c r="O10191" i="1"/>
  <c r="Q10190" i="1"/>
  <c r="O10190" i="1"/>
  <c r="Q10189" i="1"/>
  <c r="O10189" i="1"/>
  <c r="Q10188" i="1"/>
  <c r="O10188" i="1"/>
  <c r="Q10187" i="1"/>
  <c r="O10187" i="1"/>
  <c r="Q10186" i="1"/>
  <c r="O10186" i="1"/>
  <c r="Q10185" i="1"/>
  <c r="O10185" i="1"/>
  <c r="Q10184" i="1"/>
  <c r="O10184" i="1"/>
  <c r="Q10183" i="1"/>
  <c r="O10183" i="1"/>
  <c r="Q10182" i="1"/>
  <c r="O10182" i="1"/>
  <c r="Q10181" i="1"/>
  <c r="O10181" i="1"/>
  <c r="Q10180" i="1"/>
  <c r="O10180" i="1"/>
  <c r="Q10179" i="1"/>
  <c r="O10179" i="1"/>
  <c r="Q10178" i="1"/>
  <c r="O10178" i="1"/>
  <c r="Q10177" i="1"/>
  <c r="O10177" i="1"/>
  <c r="Q10176" i="1"/>
  <c r="O10176" i="1"/>
  <c r="Q10175" i="1"/>
  <c r="O10175" i="1"/>
  <c r="Q10174" i="1"/>
  <c r="O10174" i="1"/>
  <c r="Q10173" i="1"/>
  <c r="O10173" i="1"/>
  <c r="Q10172" i="1"/>
  <c r="O10172" i="1"/>
  <c r="Q10171" i="1"/>
  <c r="O10171" i="1"/>
  <c r="Q10170" i="1"/>
  <c r="O10170" i="1"/>
  <c r="Q10169" i="1"/>
  <c r="O10169" i="1"/>
  <c r="Q10168" i="1"/>
  <c r="O10168" i="1"/>
  <c r="Q10167" i="1"/>
  <c r="O10167" i="1"/>
  <c r="Q10166" i="1"/>
  <c r="O10166" i="1"/>
  <c r="Q10165" i="1"/>
  <c r="O10165" i="1"/>
  <c r="Q10164" i="1"/>
  <c r="O10164" i="1"/>
  <c r="Q10163" i="1"/>
  <c r="O10163" i="1"/>
  <c r="Q10162" i="1"/>
  <c r="O10162" i="1"/>
  <c r="Q10161" i="1"/>
  <c r="O10161" i="1"/>
  <c r="Q10160" i="1"/>
  <c r="O10160" i="1"/>
  <c r="Q10159" i="1"/>
  <c r="O10159" i="1"/>
  <c r="Q10158" i="1"/>
  <c r="O10158" i="1"/>
  <c r="Q10157" i="1"/>
  <c r="O10157" i="1"/>
  <c r="Q10156" i="1"/>
  <c r="O10156" i="1"/>
  <c r="Q10155" i="1"/>
  <c r="O10155" i="1"/>
  <c r="Q10154" i="1"/>
  <c r="O10154" i="1"/>
  <c r="Q10153" i="1"/>
  <c r="O10153" i="1"/>
  <c r="Q10152" i="1"/>
  <c r="O10152" i="1"/>
  <c r="Q10151" i="1"/>
  <c r="O10151" i="1"/>
  <c r="Q10150" i="1"/>
  <c r="O10150" i="1"/>
  <c r="Q10149" i="1"/>
  <c r="O10149" i="1"/>
  <c r="Q10148" i="1"/>
  <c r="O10148" i="1"/>
  <c r="Q10147" i="1"/>
  <c r="O10147" i="1"/>
  <c r="Q10146" i="1"/>
  <c r="O10146" i="1"/>
  <c r="Q10145" i="1"/>
  <c r="O10145" i="1"/>
  <c r="Q10144" i="1"/>
  <c r="O10144" i="1"/>
  <c r="Q10143" i="1"/>
  <c r="O10143" i="1"/>
  <c r="Q10142" i="1"/>
  <c r="O10142" i="1"/>
  <c r="Q10141" i="1"/>
  <c r="O10141" i="1"/>
  <c r="Q10140" i="1"/>
  <c r="O10140" i="1"/>
  <c r="Q10139" i="1"/>
  <c r="O10139" i="1"/>
  <c r="Q10138" i="1"/>
  <c r="O10138" i="1"/>
  <c r="Q10137" i="1"/>
  <c r="O10137" i="1"/>
  <c r="Q10136" i="1"/>
  <c r="O10136" i="1"/>
  <c r="Q10135" i="1"/>
  <c r="O10135" i="1"/>
  <c r="Q10134" i="1"/>
  <c r="O10134" i="1"/>
  <c r="Q10133" i="1"/>
  <c r="O10133" i="1"/>
  <c r="Q10132" i="1"/>
  <c r="O10132" i="1"/>
  <c r="Q10131" i="1"/>
  <c r="O10131" i="1"/>
  <c r="Q10130" i="1"/>
  <c r="O10130" i="1"/>
  <c r="Q10129" i="1"/>
  <c r="O10129" i="1"/>
  <c r="Q10128" i="1"/>
  <c r="O10128" i="1"/>
  <c r="Q10127" i="1"/>
  <c r="O10127" i="1"/>
  <c r="Q10126" i="1"/>
  <c r="O10126" i="1"/>
  <c r="Q10125" i="1"/>
  <c r="O10125" i="1"/>
  <c r="Q10124" i="1"/>
  <c r="O10124" i="1"/>
  <c r="Q10123" i="1"/>
  <c r="O10123" i="1"/>
  <c r="Q10122" i="1"/>
  <c r="O10122" i="1"/>
  <c r="Q10121" i="1"/>
  <c r="O10121" i="1"/>
  <c r="Q10120" i="1"/>
  <c r="O10120" i="1"/>
  <c r="Q10119" i="1"/>
  <c r="O10119" i="1"/>
  <c r="Q10118" i="1"/>
  <c r="O10118" i="1"/>
  <c r="Q10117" i="1"/>
  <c r="O10117" i="1"/>
  <c r="Q10116" i="1"/>
  <c r="O10116" i="1"/>
  <c r="Q10115" i="1"/>
  <c r="O10115" i="1"/>
  <c r="Q10114" i="1"/>
  <c r="O10114" i="1"/>
  <c r="Q10113" i="1"/>
  <c r="O10113" i="1"/>
  <c r="Q10112" i="1"/>
  <c r="O10112" i="1"/>
  <c r="Q10111" i="1"/>
  <c r="O10111" i="1"/>
  <c r="Q10110" i="1"/>
  <c r="O10110" i="1"/>
  <c r="Q10109" i="1"/>
  <c r="O10109" i="1"/>
  <c r="Q10108" i="1"/>
  <c r="O10108" i="1"/>
  <c r="Q10107" i="1"/>
  <c r="O10107" i="1"/>
  <c r="Q10106" i="1"/>
  <c r="O10106" i="1"/>
  <c r="Q10105" i="1"/>
  <c r="O10105" i="1"/>
  <c r="Q10104" i="1"/>
  <c r="O10104" i="1"/>
  <c r="Q10103" i="1"/>
  <c r="O10103" i="1"/>
  <c r="Q10102" i="1"/>
  <c r="O10102" i="1"/>
  <c r="Q10101" i="1"/>
  <c r="O10101" i="1"/>
  <c r="Q10100" i="1"/>
  <c r="O10100" i="1"/>
  <c r="Q10099" i="1"/>
  <c r="O10099" i="1"/>
  <c r="Q10098" i="1"/>
  <c r="O10098" i="1"/>
  <c r="Q10097" i="1"/>
  <c r="O10097" i="1"/>
  <c r="Q10096" i="1"/>
  <c r="O10096" i="1"/>
  <c r="Q10095" i="1"/>
  <c r="O10095" i="1"/>
  <c r="Q10094" i="1"/>
  <c r="O10094" i="1"/>
  <c r="Q10093" i="1"/>
  <c r="O10093" i="1"/>
  <c r="Q10092" i="1"/>
  <c r="O10092" i="1"/>
  <c r="Q10091" i="1"/>
  <c r="O10091" i="1"/>
  <c r="Q10090" i="1"/>
  <c r="O10090" i="1"/>
  <c r="Q10089" i="1"/>
  <c r="O10089" i="1"/>
  <c r="Q10088" i="1"/>
  <c r="O10088" i="1"/>
  <c r="Q10087" i="1"/>
  <c r="O10087" i="1"/>
  <c r="Q10086" i="1"/>
  <c r="O10086" i="1"/>
  <c r="Q10085" i="1"/>
  <c r="O10085" i="1"/>
  <c r="Q10084" i="1"/>
  <c r="O10084" i="1"/>
  <c r="Q10083" i="1"/>
  <c r="O10083" i="1"/>
  <c r="Q10082" i="1"/>
  <c r="O10082" i="1"/>
  <c r="Q10081" i="1"/>
  <c r="O10081" i="1"/>
  <c r="Q10080" i="1"/>
  <c r="O10080" i="1"/>
  <c r="Q10079" i="1"/>
  <c r="O10079" i="1"/>
  <c r="Q10078" i="1"/>
  <c r="O10078" i="1"/>
  <c r="Q10077" i="1"/>
  <c r="O10077" i="1"/>
  <c r="Q10076" i="1"/>
  <c r="O10076" i="1"/>
  <c r="Q10075" i="1"/>
  <c r="O10075" i="1"/>
  <c r="Q10074" i="1"/>
  <c r="O10074" i="1"/>
  <c r="Q10073" i="1"/>
  <c r="O10073" i="1"/>
  <c r="Q10072" i="1"/>
  <c r="O10072" i="1"/>
  <c r="Q10071" i="1"/>
  <c r="O10071" i="1"/>
  <c r="Q10070" i="1"/>
  <c r="O10070" i="1"/>
  <c r="Q10069" i="1"/>
  <c r="O10069" i="1"/>
  <c r="Q10068" i="1"/>
  <c r="O10068" i="1"/>
  <c r="Q10067" i="1"/>
  <c r="O10067" i="1"/>
  <c r="Q10066" i="1"/>
  <c r="O10066" i="1"/>
  <c r="Q10065" i="1"/>
  <c r="O10065" i="1"/>
  <c r="Q10064" i="1"/>
  <c r="O10064" i="1"/>
  <c r="Q10063" i="1"/>
  <c r="O10063" i="1"/>
  <c r="Q10062" i="1"/>
  <c r="O10062" i="1"/>
  <c r="Q10061" i="1"/>
  <c r="O10061" i="1"/>
  <c r="Q10060" i="1"/>
  <c r="O10060" i="1"/>
  <c r="Q10059" i="1"/>
  <c r="O10059" i="1"/>
  <c r="Q10058" i="1"/>
  <c r="O10058" i="1"/>
  <c r="Q10057" i="1"/>
  <c r="O10057" i="1"/>
  <c r="Q10056" i="1"/>
  <c r="O10056" i="1"/>
  <c r="Q10055" i="1"/>
  <c r="O10055" i="1"/>
  <c r="Q10054" i="1"/>
  <c r="O10054" i="1"/>
  <c r="Q10053" i="1"/>
  <c r="O10053" i="1"/>
  <c r="Q10052" i="1"/>
  <c r="O10052" i="1"/>
  <c r="Q10051" i="1"/>
  <c r="O10051" i="1"/>
  <c r="Q10050" i="1"/>
  <c r="O10050" i="1"/>
  <c r="Q10049" i="1"/>
  <c r="O10049" i="1"/>
  <c r="Q10048" i="1"/>
  <c r="O10048" i="1"/>
  <c r="Q10047" i="1"/>
  <c r="O10047" i="1"/>
  <c r="Q10046" i="1"/>
  <c r="O10046" i="1"/>
  <c r="Q10045" i="1"/>
  <c r="O10045" i="1"/>
  <c r="Q10044" i="1"/>
  <c r="O10044" i="1"/>
  <c r="Q10043" i="1"/>
  <c r="O10043" i="1"/>
  <c r="Q10042" i="1"/>
  <c r="O10042" i="1"/>
  <c r="Q10041" i="1"/>
  <c r="O10041" i="1"/>
  <c r="Q10040" i="1"/>
  <c r="O10040" i="1"/>
  <c r="Q10039" i="1"/>
  <c r="O10039" i="1"/>
  <c r="Q10038" i="1"/>
  <c r="O10038" i="1"/>
  <c r="Q10037" i="1"/>
  <c r="O10037" i="1"/>
  <c r="Q10036" i="1"/>
  <c r="O10036" i="1"/>
  <c r="Q10035" i="1"/>
  <c r="O10035" i="1"/>
  <c r="Q10034" i="1"/>
  <c r="O10034" i="1"/>
  <c r="Q10033" i="1"/>
  <c r="O10033" i="1"/>
  <c r="Q10032" i="1"/>
  <c r="O10032" i="1"/>
  <c r="Q10031" i="1"/>
  <c r="O10031" i="1"/>
  <c r="Q10030" i="1"/>
  <c r="O10030" i="1"/>
  <c r="Q10029" i="1"/>
  <c r="O10029" i="1"/>
  <c r="Q10028" i="1"/>
  <c r="O10028" i="1"/>
  <c r="Q10027" i="1"/>
  <c r="O10027" i="1"/>
  <c r="Q10026" i="1"/>
  <c r="O10026" i="1"/>
  <c r="Q10025" i="1"/>
  <c r="O10025" i="1"/>
  <c r="Q10024" i="1"/>
  <c r="O10024" i="1"/>
  <c r="Q10023" i="1"/>
  <c r="O10023" i="1"/>
  <c r="Q10022" i="1"/>
  <c r="O10022" i="1"/>
  <c r="Q10021" i="1"/>
  <c r="O10021" i="1"/>
  <c r="Q10020" i="1"/>
  <c r="O10020" i="1"/>
  <c r="Q10019" i="1"/>
  <c r="O10019" i="1"/>
  <c r="Q10018" i="1"/>
  <c r="O10018" i="1"/>
  <c r="Q10017" i="1"/>
  <c r="O10017" i="1"/>
  <c r="Q10016" i="1"/>
  <c r="O10016" i="1"/>
  <c r="Q10015" i="1"/>
  <c r="O10015" i="1"/>
  <c r="Q10014" i="1"/>
  <c r="O10014" i="1"/>
  <c r="Q10013" i="1"/>
  <c r="O10013" i="1"/>
  <c r="Q10012" i="1"/>
  <c r="O10012" i="1"/>
  <c r="Q10011" i="1"/>
  <c r="O10011" i="1"/>
  <c r="Q10010" i="1"/>
  <c r="O10010" i="1"/>
  <c r="Q10009" i="1"/>
  <c r="O10009" i="1"/>
  <c r="Q10008" i="1"/>
  <c r="O10008" i="1"/>
  <c r="Q10007" i="1"/>
  <c r="O10007" i="1"/>
  <c r="Q10006" i="1"/>
  <c r="O10006" i="1"/>
  <c r="Q10005" i="1"/>
  <c r="O10005" i="1"/>
  <c r="Q10004" i="1"/>
  <c r="O10004" i="1"/>
  <c r="Q10003" i="1"/>
  <c r="O10003" i="1"/>
  <c r="Q10002" i="1"/>
  <c r="O10002" i="1"/>
  <c r="Q10001" i="1"/>
  <c r="O10001" i="1"/>
  <c r="Q10000" i="1"/>
  <c r="O10000" i="1"/>
  <c r="Q9999" i="1"/>
  <c r="O9999" i="1"/>
  <c r="Q9998" i="1"/>
  <c r="O9998" i="1"/>
  <c r="Q9997" i="1"/>
  <c r="O9997" i="1"/>
  <c r="Q9996" i="1"/>
  <c r="O9996" i="1"/>
  <c r="Q9995" i="1"/>
  <c r="O9995" i="1"/>
  <c r="Q9994" i="1"/>
  <c r="O9994" i="1"/>
  <c r="Q9993" i="1"/>
  <c r="O9993" i="1"/>
  <c r="Q9992" i="1"/>
  <c r="O9992" i="1"/>
  <c r="Q9991" i="1"/>
  <c r="O9991" i="1"/>
  <c r="Q9990" i="1"/>
  <c r="O9990" i="1"/>
  <c r="Q9989" i="1"/>
  <c r="O9989" i="1"/>
  <c r="Q9988" i="1"/>
  <c r="O9988" i="1"/>
  <c r="Q9987" i="1"/>
  <c r="O9987" i="1"/>
  <c r="Q9986" i="1"/>
  <c r="O9986" i="1"/>
  <c r="Q9985" i="1"/>
  <c r="O9985" i="1"/>
  <c r="Q9984" i="1"/>
  <c r="O9984" i="1"/>
  <c r="Q9983" i="1"/>
  <c r="O9983" i="1"/>
  <c r="Q9982" i="1"/>
  <c r="O9982" i="1"/>
  <c r="Q9981" i="1"/>
  <c r="O9981" i="1"/>
  <c r="Q9980" i="1"/>
  <c r="O9980" i="1"/>
  <c r="Q9979" i="1"/>
  <c r="O9979" i="1"/>
  <c r="Q9978" i="1"/>
  <c r="O9978" i="1"/>
  <c r="Q9977" i="1"/>
  <c r="O9977" i="1"/>
  <c r="Q9976" i="1"/>
  <c r="O9976" i="1"/>
  <c r="Q9975" i="1"/>
  <c r="O9975" i="1"/>
  <c r="Q9974" i="1"/>
  <c r="O9974" i="1"/>
  <c r="Q9973" i="1"/>
  <c r="O9973" i="1"/>
  <c r="Q9972" i="1"/>
  <c r="O9972" i="1"/>
  <c r="Q9971" i="1"/>
  <c r="O9971" i="1"/>
  <c r="Q9970" i="1"/>
  <c r="O9970" i="1"/>
  <c r="Q9969" i="1"/>
  <c r="O9969" i="1"/>
  <c r="Q9968" i="1"/>
  <c r="O9968" i="1"/>
  <c r="Q9967" i="1"/>
  <c r="O9967" i="1"/>
  <c r="Q9966" i="1"/>
  <c r="O9966" i="1"/>
  <c r="Q9965" i="1"/>
  <c r="O9965" i="1"/>
  <c r="Q9964" i="1"/>
  <c r="O9964" i="1"/>
  <c r="Q9963" i="1"/>
  <c r="O9963" i="1"/>
  <c r="Q9962" i="1"/>
  <c r="O9962" i="1"/>
  <c r="Q9961" i="1"/>
  <c r="O9961" i="1"/>
  <c r="Q9960" i="1"/>
  <c r="O9960" i="1"/>
  <c r="Q9959" i="1"/>
  <c r="O9959" i="1"/>
  <c r="Q9958" i="1"/>
  <c r="O9958" i="1"/>
  <c r="Q9957" i="1"/>
  <c r="O9957" i="1"/>
  <c r="Q9956" i="1"/>
  <c r="O9956" i="1"/>
  <c r="Q9955" i="1"/>
  <c r="O9955" i="1"/>
  <c r="Q9954" i="1"/>
  <c r="O9954" i="1"/>
  <c r="Q9953" i="1"/>
  <c r="O9953" i="1"/>
  <c r="Q9952" i="1"/>
  <c r="O9952" i="1"/>
  <c r="Q9951" i="1"/>
  <c r="O9951" i="1"/>
  <c r="Q9950" i="1"/>
  <c r="O9950" i="1"/>
  <c r="Q9949" i="1"/>
  <c r="O9949" i="1"/>
  <c r="Q9948" i="1"/>
  <c r="O9948" i="1"/>
  <c r="Q9947" i="1"/>
  <c r="O9947" i="1"/>
  <c r="Q9946" i="1"/>
  <c r="O9946" i="1"/>
  <c r="Q9945" i="1"/>
  <c r="O9945" i="1"/>
  <c r="Q9944" i="1"/>
  <c r="O9944" i="1"/>
  <c r="Q9943" i="1"/>
  <c r="O9943" i="1"/>
  <c r="Q9942" i="1"/>
  <c r="O9942" i="1"/>
  <c r="Q9941" i="1"/>
  <c r="O9941" i="1"/>
  <c r="Q9940" i="1"/>
  <c r="O9940" i="1"/>
  <c r="Q9939" i="1"/>
  <c r="O9939" i="1"/>
  <c r="Q9938" i="1"/>
  <c r="O9938" i="1"/>
  <c r="Q9937" i="1"/>
  <c r="O9937" i="1"/>
  <c r="Q9936" i="1"/>
  <c r="O9936" i="1"/>
  <c r="Q9935" i="1"/>
  <c r="O9935" i="1"/>
  <c r="Q9934" i="1"/>
  <c r="O9934" i="1"/>
  <c r="Q9933" i="1"/>
  <c r="O9933" i="1"/>
  <c r="Q9932" i="1"/>
  <c r="O9932" i="1"/>
  <c r="Q9931" i="1"/>
  <c r="O9931" i="1"/>
  <c r="Q9930" i="1"/>
  <c r="O9930" i="1"/>
  <c r="Q9929" i="1"/>
  <c r="O9929" i="1"/>
  <c r="Q9928" i="1"/>
  <c r="O9928" i="1"/>
  <c r="Q9927" i="1"/>
  <c r="O9927" i="1"/>
  <c r="Q9926" i="1"/>
  <c r="O9926" i="1"/>
  <c r="Q9925" i="1"/>
  <c r="O9925" i="1"/>
  <c r="Q9924" i="1"/>
  <c r="O9924" i="1"/>
  <c r="Q9923" i="1"/>
  <c r="O9923" i="1"/>
  <c r="Q9922" i="1"/>
  <c r="O9922" i="1"/>
  <c r="Q9921" i="1"/>
  <c r="O9921" i="1"/>
  <c r="Q9920" i="1"/>
  <c r="O9920" i="1"/>
  <c r="Q9919" i="1"/>
  <c r="O9919" i="1"/>
  <c r="Q9918" i="1"/>
  <c r="O9918" i="1"/>
  <c r="Q9917" i="1"/>
  <c r="O9917" i="1"/>
  <c r="Q9916" i="1"/>
  <c r="O9916" i="1"/>
  <c r="Q9915" i="1"/>
  <c r="O9915" i="1"/>
  <c r="Q9914" i="1"/>
  <c r="O9914" i="1"/>
  <c r="Q9913" i="1"/>
  <c r="O9913" i="1"/>
  <c r="Q9912" i="1"/>
  <c r="O9912" i="1"/>
  <c r="Q9911" i="1"/>
  <c r="O9911" i="1"/>
  <c r="Q9910" i="1"/>
  <c r="O9910" i="1"/>
  <c r="Q9909" i="1"/>
  <c r="O9909" i="1"/>
  <c r="Q9908" i="1"/>
  <c r="O9908" i="1"/>
  <c r="Q9907" i="1"/>
  <c r="O9907" i="1"/>
  <c r="Q9906" i="1"/>
  <c r="O9906" i="1"/>
  <c r="Q9905" i="1"/>
  <c r="O9905" i="1"/>
  <c r="Q9904" i="1"/>
  <c r="O9904" i="1"/>
  <c r="Q9903" i="1"/>
  <c r="O9903" i="1"/>
  <c r="Q9902" i="1"/>
  <c r="O9902" i="1"/>
  <c r="Q9901" i="1"/>
  <c r="O9901" i="1"/>
  <c r="Q9900" i="1"/>
  <c r="O9900" i="1"/>
  <c r="Q9899" i="1"/>
  <c r="O9899" i="1"/>
  <c r="Q9898" i="1"/>
  <c r="O9898" i="1"/>
  <c r="Q9897" i="1"/>
  <c r="O9897" i="1"/>
  <c r="Q9896" i="1"/>
  <c r="O9896" i="1"/>
  <c r="Q9895" i="1"/>
  <c r="O9895" i="1"/>
  <c r="Q9894" i="1"/>
  <c r="O9894" i="1"/>
  <c r="Q9893" i="1"/>
  <c r="O9893" i="1"/>
  <c r="Q9892" i="1"/>
  <c r="O9892" i="1"/>
  <c r="Q9891" i="1"/>
  <c r="O9891" i="1"/>
  <c r="Q9890" i="1"/>
  <c r="O9890" i="1"/>
  <c r="Q9889" i="1"/>
  <c r="O9889" i="1"/>
  <c r="Q9888" i="1"/>
  <c r="O9888" i="1"/>
  <c r="Q9887" i="1"/>
  <c r="O9887" i="1"/>
  <c r="Q9886" i="1"/>
  <c r="O9886" i="1"/>
  <c r="Q9885" i="1"/>
  <c r="O9885" i="1"/>
  <c r="Q9884" i="1"/>
  <c r="O9884" i="1"/>
  <c r="Q9883" i="1"/>
  <c r="O9883" i="1"/>
  <c r="Q9882" i="1"/>
  <c r="O9882" i="1"/>
  <c r="Q9881" i="1"/>
  <c r="O9881" i="1"/>
  <c r="Q9880" i="1"/>
  <c r="O9880" i="1"/>
  <c r="Q9879" i="1"/>
  <c r="O9879" i="1"/>
  <c r="Q9878" i="1"/>
  <c r="O9878" i="1"/>
  <c r="Q9877" i="1"/>
  <c r="O9877" i="1"/>
  <c r="Q9876" i="1"/>
  <c r="O9876" i="1"/>
  <c r="Q9875" i="1"/>
  <c r="O9875" i="1"/>
  <c r="Q9874" i="1"/>
  <c r="O9874" i="1"/>
  <c r="Q9873" i="1"/>
  <c r="O9873" i="1"/>
  <c r="Q9872" i="1"/>
  <c r="O9872" i="1"/>
  <c r="Q9871" i="1"/>
  <c r="O9871" i="1"/>
  <c r="Q9870" i="1"/>
  <c r="O9870" i="1"/>
  <c r="Q9869" i="1"/>
  <c r="O9869" i="1"/>
  <c r="Q9868" i="1"/>
  <c r="O9868" i="1"/>
  <c r="Q9867" i="1"/>
  <c r="O9867" i="1"/>
  <c r="Q9866" i="1"/>
  <c r="O9866" i="1"/>
  <c r="Q9865" i="1"/>
  <c r="O9865" i="1"/>
  <c r="Q9864" i="1"/>
  <c r="O9864" i="1"/>
  <c r="Q9863" i="1"/>
  <c r="O9863" i="1"/>
  <c r="Q9862" i="1"/>
  <c r="O9862" i="1"/>
  <c r="Q9861" i="1"/>
  <c r="O9861" i="1"/>
  <c r="Q9860" i="1"/>
  <c r="O9860" i="1"/>
  <c r="Q9859" i="1"/>
  <c r="O9859" i="1"/>
  <c r="Q9858" i="1"/>
  <c r="O9858" i="1"/>
  <c r="Q9857" i="1"/>
  <c r="O9857" i="1"/>
  <c r="Q9856" i="1"/>
  <c r="O9856" i="1"/>
  <c r="Q9855" i="1"/>
  <c r="O9855" i="1"/>
  <c r="Q9854" i="1"/>
  <c r="O9854" i="1"/>
  <c r="Q9853" i="1"/>
  <c r="O9853" i="1"/>
  <c r="Q9852" i="1"/>
  <c r="O9852" i="1"/>
  <c r="Q9851" i="1"/>
  <c r="O9851" i="1"/>
  <c r="Q9850" i="1"/>
  <c r="O9850" i="1"/>
  <c r="Q9849" i="1"/>
  <c r="O9849" i="1"/>
  <c r="Q9848" i="1"/>
  <c r="O9848" i="1"/>
  <c r="Q9847" i="1"/>
  <c r="O9847" i="1"/>
  <c r="Q9846" i="1"/>
  <c r="O9846" i="1"/>
  <c r="Q9845" i="1"/>
  <c r="O9845" i="1"/>
  <c r="Q9844" i="1"/>
  <c r="O9844" i="1"/>
  <c r="Q9843" i="1"/>
  <c r="O9843" i="1"/>
  <c r="Q9842" i="1"/>
  <c r="O9842" i="1"/>
  <c r="Q9841" i="1"/>
  <c r="O9841" i="1"/>
  <c r="Q9840" i="1"/>
  <c r="O9840" i="1"/>
  <c r="Q9839" i="1"/>
  <c r="O9839" i="1"/>
  <c r="Q9838" i="1"/>
  <c r="O9838" i="1"/>
  <c r="Q9837" i="1"/>
  <c r="O9837" i="1"/>
  <c r="Q9836" i="1"/>
  <c r="O9836" i="1"/>
  <c r="Q9835" i="1"/>
  <c r="O9835" i="1"/>
  <c r="Q9834" i="1"/>
  <c r="O9834" i="1"/>
  <c r="Q9833" i="1"/>
  <c r="O9833" i="1"/>
  <c r="Q9832" i="1"/>
  <c r="O9832" i="1"/>
  <c r="Q9831" i="1"/>
  <c r="O9831" i="1"/>
  <c r="Q9830" i="1"/>
  <c r="O9830" i="1"/>
  <c r="Q9829" i="1"/>
  <c r="O9829" i="1"/>
  <c r="Q9828" i="1"/>
  <c r="O9828" i="1"/>
  <c r="Q9827" i="1"/>
  <c r="O9827" i="1"/>
  <c r="Q9826" i="1"/>
  <c r="O9826" i="1"/>
  <c r="Q9825" i="1"/>
  <c r="O9825" i="1"/>
  <c r="Q9824" i="1"/>
  <c r="O9824" i="1"/>
  <c r="Q9823" i="1"/>
  <c r="O9823" i="1"/>
  <c r="Q9822" i="1"/>
  <c r="O9822" i="1"/>
  <c r="Q9821" i="1"/>
  <c r="O9821" i="1"/>
  <c r="Q9820" i="1"/>
  <c r="O9820" i="1"/>
  <c r="Q9819" i="1"/>
  <c r="O9819" i="1"/>
  <c r="Q9818" i="1"/>
  <c r="O9818" i="1"/>
  <c r="Q9817" i="1"/>
  <c r="O9817" i="1"/>
  <c r="Q9816" i="1"/>
  <c r="O9816" i="1"/>
  <c r="Q9815" i="1"/>
  <c r="O9815" i="1"/>
  <c r="Q9814" i="1"/>
  <c r="O9814" i="1"/>
  <c r="Q9813" i="1"/>
  <c r="O9813" i="1"/>
  <c r="Q9812" i="1"/>
  <c r="O9812" i="1"/>
  <c r="Q9811" i="1"/>
  <c r="O9811" i="1"/>
  <c r="Q9810" i="1"/>
  <c r="O9810" i="1"/>
  <c r="Q9809" i="1"/>
  <c r="O9809" i="1"/>
  <c r="Q9808" i="1"/>
  <c r="O9808" i="1"/>
  <c r="Q9807" i="1"/>
  <c r="O9807" i="1"/>
  <c r="Q9806" i="1"/>
  <c r="O9806" i="1"/>
  <c r="Q9805" i="1"/>
  <c r="O9805" i="1"/>
  <c r="Q9804" i="1"/>
  <c r="O9804" i="1"/>
  <c r="Q9803" i="1"/>
  <c r="O9803" i="1"/>
  <c r="Q9802" i="1"/>
  <c r="O9802" i="1"/>
  <c r="Q9801" i="1"/>
  <c r="O9801" i="1"/>
  <c r="Q9800" i="1"/>
  <c r="O9800" i="1"/>
  <c r="Q9799" i="1"/>
  <c r="O9799" i="1"/>
  <c r="Q9798" i="1"/>
  <c r="O9798" i="1"/>
  <c r="Q9797" i="1"/>
  <c r="O9797" i="1"/>
  <c r="Q9796" i="1"/>
  <c r="O9796" i="1"/>
  <c r="Q9795" i="1"/>
  <c r="O9795" i="1"/>
  <c r="Q9794" i="1"/>
  <c r="O9794" i="1"/>
  <c r="Q9793" i="1"/>
  <c r="O9793" i="1"/>
  <c r="Q9792" i="1"/>
  <c r="O9792" i="1"/>
  <c r="Q9791" i="1"/>
  <c r="O9791" i="1"/>
  <c r="Q9790" i="1"/>
  <c r="O9790" i="1"/>
  <c r="Q9789" i="1"/>
  <c r="O9789" i="1"/>
  <c r="Q9788" i="1"/>
  <c r="O9788" i="1"/>
  <c r="Q9787" i="1"/>
  <c r="O9787" i="1"/>
  <c r="Q9786" i="1"/>
  <c r="O9786" i="1"/>
  <c r="Q9785" i="1"/>
  <c r="O9785" i="1"/>
  <c r="Q9784" i="1"/>
  <c r="O9784" i="1"/>
  <c r="Q9783" i="1"/>
  <c r="O9783" i="1"/>
  <c r="Q9782" i="1"/>
  <c r="O9782" i="1"/>
  <c r="Q9781" i="1"/>
  <c r="O9781" i="1"/>
  <c r="Q9780" i="1"/>
  <c r="O9780" i="1"/>
  <c r="Q9779" i="1"/>
  <c r="O9779" i="1"/>
  <c r="Q9778" i="1"/>
  <c r="O9778" i="1"/>
  <c r="Q9777" i="1"/>
  <c r="O9777" i="1"/>
  <c r="Q9776" i="1"/>
  <c r="O9776" i="1"/>
  <c r="Q9775" i="1"/>
  <c r="O9775" i="1"/>
  <c r="Q9774" i="1"/>
  <c r="O9774" i="1"/>
  <c r="Q9773" i="1"/>
  <c r="O9773" i="1"/>
  <c r="Q9772" i="1"/>
  <c r="O9772" i="1"/>
  <c r="Q9771" i="1"/>
  <c r="O9771" i="1"/>
  <c r="Q9770" i="1"/>
  <c r="O9770" i="1"/>
  <c r="Q9769" i="1"/>
  <c r="O9769" i="1"/>
  <c r="Q9768" i="1"/>
  <c r="O9768" i="1"/>
  <c r="Q9767" i="1"/>
  <c r="O9767" i="1"/>
  <c r="Q9766" i="1"/>
  <c r="O9766" i="1"/>
  <c r="Q9765" i="1"/>
  <c r="O9765" i="1"/>
  <c r="Q9764" i="1"/>
  <c r="O9764" i="1"/>
  <c r="Q9763" i="1"/>
  <c r="O9763" i="1"/>
  <c r="Q9762" i="1"/>
  <c r="O9762" i="1"/>
  <c r="Q9761" i="1"/>
  <c r="O9761" i="1"/>
  <c r="Q9760" i="1"/>
  <c r="O9760" i="1"/>
  <c r="Q9759" i="1"/>
  <c r="O9759" i="1"/>
  <c r="Q9758" i="1"/>
  <c r="O9758" i="1"/>
  <c r="Q9757" i="1"/>
  <c r="O9757" i="1"/>
  <c r="Q9756" i="1"/>
  <c r="O9756" i="1"/>
  <c r="Q9755" i="1"/>
  <c r="O9755" i="1"/>
  <c r="Q9754" i="1"/>
  <c r="O9754" i="1"/>
  <c r="Q9753" i="1"/>
  <c r="O9753" i="1"/>
  <c r="Q9752" i="1"/>
  <c r="O9752" i="1"/>
  <c r="Q9751" i="1"/>
  <c r="O9751" i="1"/>
  <c r="Q9750" i="1"/>
  <c r="O9750" i="1"/>
  <c r="Q9749" i="1"/>
  <c r="O9749" i="1"/>
  <c r="Q9748" i="1"/>
  <c r="O9748" i="1"/>
  <c r="Q9747" i="1"/>
  <c r="O9747" i="1"/>
  <c r="Q9746" i="1"/>
  <c r="O9746" i="1"/>
  <c r="Q9745" i="1"/>
  <c r="O9745" i="1"/>
  <c r="Q9744" i="1"/>
  <c r="O9744" i="1"/>
  <c r="Q9743" i="1"/>
  <c r="O9743" i="1"/>
  <c r="Q9742" i="1"/>
  <c r="O9742" i="1"/>
  <c r="Q9741" i="1"/>
  <c r="O9741" i="1"/>
  <c r="Q9740" i="1"/>
  <c r="O9740" i="1"/>
  <c r="Q9739" i="1"/>
  <c r="O9739" i="1"/>
  <c r="Q9738" i="1"/>
  <c r="O9738" i="1"/>
  <c r="Q9737" i="1"/>
  <c r="O9737" i="1"/>
  <c r="Q9736" i="1"/>
  <c r="O9736" i="1"/>
  <c r="Q9735" i="1"/>
  <c r="O9735" i="1"/>
  <c r="Q9734" i="1"/>
  <c r="O9734" i="1"/>
  <c r="Q9733" i="1"/>
  <c r="O9733" i="1"/>
  <c r="Q9732" i="1"/>
  <c r="O9732" i="1"/>
  <c r="Q9731" i="1"/>
  <c r="O9731" i="1"/>
  <c r="Q9730" i="1"/>
  <c r="O9730" i="1"/>
  <c r="Q9729" i="1"/>
  <c r="O9729" i="1"/>
  <c r="Q9728" i="1"/>
  <c r="O9728" i="1"/>
  <c r="Q9727" i="1"/>
  <c r="O9727" i="1"/>
  <c r="Q9726" i="1"/>
  <c r="O9726" i="1"/>
  <c r="Q9725" i="1"/>
  <c r="O9725" i="1"/>
  <c r="Q9724" i="1"/>
  <c r="O9724" i="1"/>
  <c r="Q9723" i="1"/>
  <c r="O9723" i="1"/>
  <c r="Q9722" i="1"/>
  <c r="O9722" i="1"/>
  <c r="Q9721" i="1"/>
  <c r="O9721" i="1"/>
  <c r="Q9720" i="1"/>
  <c r="O9720" i="1"/>
  <c r="Q9719" i="1"/>
  <c r="O9719" i="1"/>
  <c r="Q9718" i="1"/>
  <c r="O9718" i="1"/>
  <c r="Q9717" i="1"/>
  <c r="O9717" i="1"/>
  <c r="Q9716" i="1"/>
  <c r="O9716" i="1"/>
  <c r="Q9715" i="1"/>
  <c r="O9715" i="1"/>
  <c r="Q9714" i="1"/>
  <c r="O9714" i="1"/>
  <c r="Q9713" i="1"/>
  <c r="O9713" i="1"/>
  <c r="Q9712" i="1"/>
  <c r="O9712" i="1"/>
  <c r="Q9711" i="1"/>
  <c r="O9711" i="1"/>
  <c r="Q9710" i="1"/>
  <c r="O9710" i="1"/>
  <c r="Q9709" i="1"/>
  <c r="O9709" i="1"/>
  <c r="Q9708" i="1"/>
  <c r="O9708" i="1"/>
  <c r="Q9707" i="1"/>
  <c r="O9707" i="1"/>
  <c r="Q9706" i="1"/>
  <c r="O9706" i="1"/>
  <c r="Q9705" i="1"/>
  <c r="O9705" i="1"/>
  <c r="Q9704" i="1"/>
  <c r="O9704" i="1"/>
  <c r="Q9703" i="1"/>
  <c r="O9703" i="1"/>
  <c r="Q9702" i="1"/>
  <c r="O9702" i="1"/>
  <c r="Q9701" i="1"/>
  <c r="O9701" i="1"/>
  <c r="Q9700" i="1"/>
  <c r="O9700" i="1"/>
  <c r="Q9699" i="1"/>
  <c r="O9699" i="1"/>
  <c r="Q9698" i="1"/>
  <c r="O9698" i="1"/>
  <c r="Q9697" i="1"/>
  <c r="O9697" i="1"/>
  <c r="Q9696" i="1"/>
  <c r="O9696" i="1"/>
  <c r="Q9695" i="1"/>
  <c r="O9695" i="1"/>
  <c r="Q9694" i="1"/>
  <c r="O9694" i="1"/>
  <c r="Q9693" i="1"/>
  <c r="O9693" i="1"/>
  <c r="Q9692" i="1"/>
  <c r="O9692" i="1"/>
  <c r="Q9691" i="1"/>
  <c r="O9691" i="1"/>
  <c r="Q9690" i="1"/>
  <c r="O9690" i="1"/>
  <c r="Q9689" i="1"/>
  <c r="O9689" i="1"/>
  <c r="Q9688" i="1"/>
  <c r="O9688" i="1"/>
  <c r="Q9687" i="1"/>
  <c r="O9687" i="1"/>
  <c r="Q9686" i="1"/>
  <c r="O9686" i="1"/>
  <c r="Q9685" i="1"/>
  <c r="O9685" i="1"/>
  <c r="Q9684" i="1"/>
  <c r="O9684" i="1"/>
  <c r="Q9683" i="1"/>
  <c r="O9683" i="1"/>
  <c r="Q9682" i="1"/>
  <c r="O9682" i="1"/>
  <c r="Q9681" i="1"/>
  <c r="O9681" i="1"/>
  <c r="Q9680" i="1"/>
  <c r="O9680" i="1"/>
  <c r="Q9679" i="1"/>
  <c r="O9679" i="1"/>
  <c r="Q9678" i="1"/>
  <c r="O9678" i="1"/>
  <c r="Q9677" i="1"/>
  <c r="O9677" i="1"/>
  <c r="Q9676" i="1"/>
  <c r="O9676" i="1"/>
  <c r="Q9675" i="1"/>
  <c r="O9675" i="1"/>
  <c r="Q9674" i="1"/>
  <c r="O9674" i="1"/>
  <c r="Q9673" i="1"/>
  <c r="O9673" i="1"/>
  <c r="Q9672" i="1"/>
  <c r="O9672" i="1"/>
  <c r="Q9671" i="1"/>
  <c r="O9671" i="1"/>
  <c r="Q9670" i="1"/>
  <c r="O9670" i="1"/>
  <c r="Q9669" i="1"/>
  <c r="O9669" i="1"/>
  <c r="Q9668" i="1"/>
  <c r="O9668" i="1"/>
  <c r="Q9667" i="1"/>
  <c r="O9667" i="1"/>
  <c r="Q9666" i="1"/>
  <c r="O9666" i="1"/>
  <c r="Q9665" i="1"/>
  <c r="O9665" i="1"/>
  <c r="Q9664" i="1"/>
  <c r="O9664" i="1"/>
  <c r="Q9663" i="1"/>
  <c r="O9663" i="1"/>
  <c r="Q9662" i="1"/>
  <c r="O9662" i="1"/>
  <c r="Q9661" i="1"/>
  <c r="O9661" i="1"/>
  <c r="Q9660" i="1"/>
  <c r="O9660" i="1"/>
  <c r="Q9659" i="1"/>
  <c r="O9659" i="1"/>
  <c r="Q9658" i="1"/>
  <c r="O9658" i="1"/>
  <c r="Q9657" i="1"/>
  <c r="O9657" i="1"/>
  <c r="Q9656" i="1"/>
  <c r="O9656" i="1"/>
  <c r="Q9655" i="1"/>
  <c r="O9655" i="1"/>
  <c r="Q9654" i="1"/>
  <c r="O9654" i="1"/>
  <c r="Q9653" i="1"/>
  <c r="O9653" i="1"/>
  <c r="Q9652" i="1"/>
  <c r="O9652" i="1"/>
  <c r="Q9651" i="1"/>
  <c r="O9651" i="1"/>
  <c r="Q9650" i="1"/>
  <c r="O9650" i="1"/>
  <c r="Q9649" i="1"/>
  <c r="O9649" i="1"/>
  <c r="Q9648" i="1"/>
  <c r="O9648" i="1"/>
  <c r="Q9647" i="1"/>
  <c r="O9647" i="1"/>
  <c r="Q9646" i="1"/>
  <c r="O9646" i="1"/>
  <c r="Q9645" i="1"/>
  <c r="O9645" i="1"/>
  <c r="Q9644" i="1"/>
  <c r="O9644" i="1"/>
  <c r="Q9643" i="1"/>
  <c r="O9643" i="1"/>
  <c r="Q9642" i="1"/>
  <c r="O9642" i="1"/>
  <c r="Q9641" i="1"/>
  <c r="O9641" i="1"/>
  <c r="Q9640" i="1"/>
  <c r="O9640" i="1"/>
  <c r="Q9639" i="1"/>
  <c r="O9639" i="1"/>
  <c r="Q9638" i="1"/>
  <c r="O9638" i="1"/>
  <c r="Q9637" i="1"/>
  <c r="O9637" i="1"/>
  <c r="Q9636" i="1"/>
  <c r="O9636" i="1"/>
  <c r="Q9635" i="1"/>
  <c r="O9635" i="1"/>
  <c r="Q9634" i="1"/>
  <c r="O9634" i="1"/>
  <c r="Q9633" i="1"/>
  <c r="O9633" i="1"/>
  <c r="Q9632" i="1"/>
  <c r="O9632" i="1"/>
  <c r="Q9631" i="1"/>
  <c r="O9631" i="1"/>
  <c r="Q9630" i="1"/>
  <c r="O9630" i="1"/>
  <c r="Q9629" i="1"/>
  <c r="O9629" i="1"/>
  <c r="Q9628" i="1"/>
  <c r="O9628" i="1"/>
  <c r="Q9627" i="1"/>
  <c r="O9627" i="1"/>
  <c r="Q9626" i="1"/>
  <c r="O9626" i="1"/>
  <c r="Q9625" i="1"/>
  <c r="O9625" i="1"/>
  <c r="Q9624" i="1"/>
  <c r="O9624" i="1"/>
  <c r="Q9623" i="1"/>
  <c r="O9623" i="1"/>
  <c r="Q9622" i="1"/>
  <c r="O9622" i="1"/>
  <c r="Q9621" i="1"/>
  <c r="O9621" i="1"/>
  <c r="Q9620" i="1"/>
  <c r="O9620" i="1"/>
  <c r="Q9619" i="1"/>
  <c r="O9619" i="1"/>
  <c r="Q9618" i="1"/>
  <c r="O9618" i="1"/>
  <c r="Q9617" i="1"/>
  <c r="O9617" i="1"/>
  <c r="Q9616" i="1"/>
  <c r="O9616" i="1"/>
  <c r="Q9615" i="1"/>
  <c r="O9615" i="1"/>
  <c r="Q9614" i="1"/>
  <c r="O9614" i="1"/>
  <c r="Q9613" i="1"/>
  <c r="O9613" i="1"/>
  <c r="Q9612" i="1"/>
  <c r="O9612" i="1"/>
  <c r="Q9611" i="1"/>
  <c r="O9611" i="1"/>
  <c r="Q9610" i="1"/>
  <c r="O9610" i="1"/>
  <c r="Q9609" i="1"/>
  <c r="O9609" i="1"/>
  <c r="Q9608" i="1"/>
  <c r="O9608" i="1"/>
  <c r="Q9607" i="1"/>
  <c r="O9607" i="1"/>
  <c r="Q9606" i="1"/>
  <c r="O9606" i="1"/>
  <c r="Q9605" i="1"/>
  <c r="O9605" i="1"/>
  <c r="Q9604" i="1"/>
  <c r="O9604" i="1"/>
  <c r="Q9603" i="1"/>
  <c r="O9603" i="1"/>
  <c r="Q9602" i="1"/>
  <c r="O9602" i="1"/>
  <c r="Q9601" i="1"/>
  <c r="O9601" i="1"/>
  <c r="Q9600" i="1"/>
  <c r="O9600" i="1"/>
  <c r="Q9599" i="1"/>
  <c r="O9599" i="1"/>
  <c r="Q9598" i="1"/>
  <c r="O9598" i="1"/>
  <c r="Q9597" i="1"/>
  <c r="O9597" i="1"/>
  <c r="Q9596" i="1"/>
  <c r="O9596" i="1"/>
  <c r="Q9595" i="1"/>
  <c r="O9595" i="1"/>
  <c r="Q9594" i="1"/>
  <c r="O9594" i="1"/>
  <c r="Q9593" i="1"/>
  <c r="O9593" i="1"/>
  <c r="Q9592" i="1"/>
  <c r="O9592" i="1"/>
  <c r="Q9591" i="1"/>
  <c r="O9591" i="1"/>
  <c r="Q9590" i="1"/>
  <c r="O9590" i="1"/>
  <c r="Q9589" i="1"/>
  <c r="O9589" i="1"/>
  <c r="Q9588" i="1"/>
  <c r="O9588" i="1"/>
  <c r="Q9587" i="1"/>
  <c r="O9587" i="1"/>
  <c r="Q9586" i="1"/>
  <c r="O9586" i="1"/>
  <c r="Q9585" i="1"/>
  <c r="O9585" i="1"/>
  <c r="Q9584" i="1"/>
  <c r="O9584" i="1"/>
  <c r="Q9583" i="1"/>
  <c r="O9583" i="1"/>
  <c r="Q9582" i="1"/>
  <c r="O9582" i="1"/>
  <c r="Q9581" i="1"/>
  <c r="O9581" i="1"/>
  <c r="Q9580" i="1"/>
  <c r="O9580" i="1"/>
  <c r="Q9579" i="1"/>
  <c r="O9579" i="1"/>
  <c r="Q9578" i="1"/>
  <c r="O9578" i="1"/>
  <c r="Q9577" i="1"/>
  <c r="O9577" i="1"/>
  <c r="Q9576" i="1"/>
  <c r="O9576" i="1"/>
  <c r="Q9575" i="1"/>
  <c r="O9575" i="1"/>
  <c r="Q9574" i="1"/>
  <c r="O9574" i="1"/>
  <c r="Q9573" i="1"/>
  <c r="O9573" i="1"/>
  <c r="Q9572" i="1"/>
  <c r="O9572" i="1"/>
  <c r="Q9571" i="1"/>
  <c r="O9571" i="1"/>
  <c r="Q9570" i="1"/>
  <c r="O9570" i="1"/>
  <c r="Q9569" i="1"/>
  <c r="O9569" i="1"/>
  <c r="Q9568" i="1"/>
  <c r="O9568" i="1"/>
  <c r="Q9567" i="1"/>
  <c r="O9567" i="1"/>
  <c r="Q9566" i="1"/>
  <c r="O9566" i="1"/>
  <c r="Q9565" i="1"/>
  <c r="O9565" i="1"/>
  <c r="Q9564" i="1"/>
  <c r="O9564" i="1"/>
  <c r="Q9563" i="1"/>
  <c r="O9563" i="1"/>
  <c r="Q9562" i="1"/>
  <c r="O9562" i="1"/>
  <c r="Q9561" i="1"/>
  <c r="O9561" i="1"/>
  <c r="Q9560" i="1"/>
  <c r="O9560" i="1"/>
  <c r="Q9559" i="1"/>
  <c r="O9559" i="1"/>
  <c r="Q9558" i="1"/>
  <c r="O9558" i="1"/>
  <c r="Q9557" i="1"/>
  <c r="O9557" i="1"/>
  <c r="Q9556" i="1"/>
  <c r="O9556" i="1"/>
  <c r="Q9555" i="1"/>
  <c r="O9555" i="1"/>
  <c r="Q9554" i="1"/>
  <c r="O9554" i="1"/>
  <c r="Q9553" i="1"/>
  <c r="O9553" i="1"/>
  <c r="Q9552" i="1"/>
  <c r="O9552" i="1"/>
  <c r="Q9551" i="1"/>
  <c r="O9551" i="1"/>
  <c r="Q9550" i="1"/>
  <c r="O9550" i="1"/>
  <c r="Q9549" i="1"/>
  <c r="O9549" i="1"/>
  <c r="Q9548" i="1"/>
  <c r="O9548" i="1"/>
  <c r="Q9547" i="1"/>
  <c r="O9547" i="1"/>
  <c r="Q9546" i="1"/>
  <c r="O9546" i="1"/>
  <c r="Q9545" i="1"/>
  <c r="O9545" i="1"/>
  <c r="Q9544" i="1"/>
  <c r="O9544" i="1"/>
  <c r="Q9543" i="1"/>
  <c r="O9543" i="1"/>
  <c r="Q9542" i="1"/>
  <c r="O9542" i="1"/>
  <c r="Q9541" i="1"/>
  <c r="O9541" i="1"/>
  <c r="Q9540" i="1"/>
  <c r="O9540" i="1"/>
  <c r="Q9539" i="1"/>
  <c r="O9539" i="1"/>
  <c r="Q9538" i="1"/>
  <c r="O9538" i="1"/>
  <c r="Q9537" i="1"/>
  <c r="O9537" i="1"/>
  <c r="Q9536" i="1"/>
  <c r="O9536" i="1"/>
  <c r="Q9535" i="1"/>
  <c r="O9535" i="1"/>
  <c r="Q9534" i="1"/>
  <c r="O9534" i="1"/>
  <c r="Q9533" i="1"/>
  <c r="O9533" i="1"/>
  <c r="Q9532" i="1"/>
  <c r="O9532" i="1"/>
  <c r="Q9531" i="1"/>
  <c r="O9531" i="1"/>
  <c r="Q9530" i="1"/>
  <c r="O9530" i="1"/>
  <c r="Q9529" i="1"/>
  <c r="O9529" i="1"/>
  <c r="Q9528" i="1"/>
  <c r="O9528" i="1"/>
  <c r="Q9527" i="1"/>
  <c r="O9527" i="1"/>
  <c r="Q9526" i="1"/>
  <c r="O9526" i="1"/>
  <c r="Q9525" i="1"/>
  <c r="O9525" i="1"/>
  <c r="Q9524" i="1"/>
  <c r="O9524" i="1"/>
  <c r="Q9523" i="1"/>
  <c r="O9523" i="1"/>
  <c r="Q9522" i="1"/>
  <c r="O9522" i="1"/>
  <c r="Q9521" i="1"/>
  <c r="O9521" i="1"/>
  <c r="Q9520" i="1"/>
  <c r="O9520" i="1"/>
  <c r="Q9519" i="1"/>
  <c r="O9519" i="1"/>
  <c r="Q9518" i="1"/>
  <c r="O9518" i="1"/>
  <c r="Q9517" i="1"/>
  <c r="O9517" i="1"/>
  <c r="Q9516" i="1"/>
  <c r="O9516" i="1"/>
  <c r="Q9515" i="1"/>
  <c r="O9515" i="1"/>
  <c r="Q9514" i="1"/>
  <c r="O9514" i="1"/>
  <c r="Q9513" i="1"/>
  <c r="O9513" i="1"/>
  <c r="Q9512" i="1"/>
  <c r="O9512" i="1"/>
  <c r="Q9511" i="1"/>
  <c r="O9511" i="1"/>
  <c r="Q9510" i="1"/>
  <c r="O9510" i="1"/>
  <c r="Q9509" i="1"/>
  <c r="O9509" i="1"/>
  <c r="Q9508" i="1"/>
  <c r="O9508" i="1"/>
  <c r="Q9507" i="1"/>
  <c r="O9507" i="1"/>
  <c r="Q9506" i="1"/>
  <c r="O9506" i="1"/>
  <c r="Q9505" i="1"/>
  <c r="O9505" i="1"/>
  <c r="Q9504" i="1"/>
  <c r="O9504" i="1"/>
  <c r="Q9503" i="1"/>
  <c r="O9503" i="1"/>
  <c r="Q9502" i="1"/>
  <c r="O9502" i="1"/>
  <c r="Q9501" i="1"/>
  <c r="O9501" i="1"/>
  <c r="Q9500" i="1"/>
  <c r="O9500" i="1"/>
  <c r="Q9499" i="1"/>
  <c r="O9499" i="1"/>
  <c r="Q9498" i="1"/>
  <c r="O9498" i="1"/>
  <c r="Q9497" i="1"/>
  <c r="O9497" i="1"/>
  <c r="Q9496" i="1"/>
  <c r="O9496" i="1"/>
  <c r="Q9495" i="1"/>
  <c r="O9495" i="1"/>
  <c r="Q9494" i="1"/>
  <c r="O9494" i="1"/>
  <c r="Q9493" i="1"/>
  <c r="O9493" i="1"/>
  <c r="Q9492" i="1"/>
  <c r="O9492" i="1"/>
  <c r="Q9491" i="1"/>
  <c r="O9491" i="1"/>
  <c r="Q9490" i="1"/>
  <c r="O9490" i="1"/>
  <c r="Q9489" i="1"/>
  <c r="O9489" i="1"/>
  <c r="Q9488" i="1"/>
  <c r="O9488" i="1"/>
  <c r="Q9487" i="1"/>
  <c r="O9487" i="1"/>
  <c r="Q9486" i="1"/>
  <c r="O9486" i="1"/>
  <c r="Q9485" i="1"/>
  <c r="O9485" i="1"/>
  <c r="Q9484" i="1"/>
  <c r="O9484" i="1"/>
  <c r="Q9483" i="1"/>
  <c r="O9483" i="1"/>
  <c r="Q9482" i="1"/>
  <c r="O9482" i="1"/>
  <c r="Q9481" i="1"/>
  <c r="O9481" i="1"/>
  <c r="Q9480" i="1"/>
  <c r="O9480" i="1"/>
  <c r="Q9479" i="1"/>
  <c r="O9479" i="1"/>
  <c r="Q9478" i="1"/>
  <c r="O9478" i="1"/>
  <c r="Q9477" i="1"/>
  <c r="O9477" i="1"/>
  <c r="Q9476" i="1"/>
  <c r="O9476" i="1"/>
  <c r="Q9475" i="1"/>
  <c r="O9475" i="1"/>
  <c r="Q9474" i="1"/>
  <c r="O9474" i="1"/>
  <c r="Q9473" i="1"/>
  <c r="O9473" i="1"/>
  <c r="Q9472" i="1"/>
  <c r="O9472" i="1"/>
  <c r="Q9471" i="1"/>
  <c r="O9471" i="1"/>
  <c r="Q9470" i="1"/>
  <c r="O9470" i="1"/>
  <c r="Q9469" i="1"/>
  <c r="O9469" i="1"/>
  <c r="Q9468" i="1"/>
  <c r="O9468" i="1"/>
  <c r="Q9467" i="1"/>
  <c r="O9467" i="1"/>
  <c r="Q9466" i="1"/>
  <c r="O9466" i="1"/>
  <c r="Q9465" i="1"/>
  <c r="O9465" i="1"/>
  <c r="Q9464" i="1"/>
  <c r="O9464" i="1"/>
  <c r="Q9463" i="1"/>
  <c r="O9463" i="1"/>
  <c r="Q9462" i="1"/>
  <c r="O9462" i="1"/>
  <c r="Q9461" i="1"/>
  <c r="O9461" i="1"/>
  <c r="Q9460" i="1"/>
  <c r="O9460" i="1"/>
  <c r="Q9459" i="1"/>
  <c r="O9459" i="1"/>
  <c r="Q9458" i="1"/>
  <c r="O9458" i="1"/>
  <c r="Q9457" i="1"/>
  <c r="O9457" i="1"/>
  <c r="Q9456" i="1"/>
  <c r="O9456" i="1"/>
  <c r="Q9455" i="1"/>
  <c r="O9455" i="1"/>
  <c r="Q9454" i="1"/>
  <c r="O9454" i="1"/>
  <c r="Q9453" i="1"/>
  <c r="O9453" i="1"/>
  <c r="Q9452" i="1"/>
  <c r="O9452" i="1"/>
  <c r="Q9451" i="1"/>
  <c r="O9451" i="1"/>
  <c r="Q9450" i="1"/>
  <c r="O9450" i="1"/>
  <c r="Q9449" i="1"/>
  <c r="O9449" i="1"/>
  <c r="Q9448" i="1"/>
  <c r="O9448" i="1"/>
  <c r="Q9447" i="1"/>
  <c r="O9447" i="1"/>
  <c r="Q9446" i="1"/>
  <c r="O9446" i="1"/>
  <c r="Q9445" i="1"/>
  <c r="O9445" i="1"/>
  <c r="Q9444" i="1"/>
  <c r="O9444" i="1"/>
  <c r="Q9443" i="1"/>
  <c r="O9443" i="1"/>
  <c r="Q9442" i="1"/>
  <c r="O9442" i="1"/>
  <c r="Q9441" i="1"/>
  <c r="O9441" i="1"/>
  <c r="Q9440" i="1"/>
  <c r="O9440" i="1"/>
  <c r="Q9439" i="1"/>
  <c r="O9439" i="1"/>
  <c r="Q9438" i="1"/>
  <c r="O9438" i="1"/>
  <c r="Q9437" i="1"/>
  <c r="O9437" i="1"/>
  <c r="Q9436" i="1"/>
  <c r="O9436" i="1"/>
  <c r="Q9435" i="1"/>
  <c r="O9435" i="1"/>
  <c r="Q9434" i="1"/>
  <c r="O9434" i="1"/>
  <c r="Q9433" i="1"/>
  <c r="O9433" i="1"/>
  <c r="Q9432" i="1"/>
  <c r="O9432" i="1"/>
  <c r="Q9431" i="1"/>
  <c r="O9431" i="1"/>
  <c r="Q9430" i="1"/>
  <c r="O9430" i="1"/>
  <c r="Q9429" i="1"/>
  <c r="O9429" i="1"/>
  <c r="Q9428" i="1"/>
  <c r="O9428" i="1"/>
  <c r="Q9427" i="1"/>
  <c r="O9427" i="1"/>
  <c r="Q9426" i="1"/>
  <c r="O9426" i="1"/>
  <c r="Q9425" i="1"/>
  <c r="O9425" i="1"/>
  <c r="Q9424" i="1"/>
  <c r="O9424" i="1"/>
  <c r="Q9423" i="1"/>
  <c r="O9423" i="1"/>
  <c r="Q9422" i="1"/>
  <c r="O9422" i="1"/>
  <c r="Q9421" i="1"/>
  <c r="O9421" i="1"/>
  <c r="Q9420" i="1"/>
  <c r="O9420" i="1"/>
  <c r="Q9419" i="1"/>
  <c r="O9419" i="1"/>
  <c r="Q9418" i="1"/>
  <c r="O9418" i="1"/>
  <c r="Q9417" i="1"/>
  <c r="O9417" i="1"/>
  <c r="Q9416" i="1"/>
  <c r="O9416" i="1"/>
  <c r="Q9415" i="1"/>
  <c r="O9415" i="1"/>
  <c r="Q9414" i="1"/>
  <c r="O9414" i="1"/>
  <c r="Q9413" i="1"/>
  <c r="O9413" i="1"/>
  <c r="Q9412" i="1"/>
  <c r="O9412" i="1"/>
  <c r="Q9411" i="1"/>
  <c r="O9411" i="1"/>
  <c r="Q9410" i="1"/>
  <c r="O9410" i="1"/>
  <c r="Q9409" i="1"/>
  <c r="O9409" i="1"/>
  <c r="Q9408" i="1"/>
  <c r="O9408" i="1"/>
  <c r="Q9407" i="1"/>
  <c r="O9407" i="1"/>
  <c r="Q9406" i="1"/>
  <c r="O9406" i="1"/>
  <c r="Q9405" i="1"/>
  <c r="O9405" i="1"/>
  <c r="Q9404" i="1"/>
  <c r="O9404" i="1"/>
  <c r="Q9403" i="1"/>
  <c r="O9403" i="1"/>
  <c r="Q9402" i="1"/>
  <c r="O9402" i="1"/>
  <c r="Q9401" i="1"/>
  <c r="O9401" i="1"/>
  <c r="Q9400" i="1"/>
  <c r="O9400" i="1"/>
  <c r="Q9399" i="1"/>
  <c r="O9399" i="1"/>
  <c r="Q9398" i="1"/>
  <c r="O9398" i="1"/>
  <c r="Q9397" i="1"/>
  <c r="O9397" i="1"/>
  <c r="Q9396" i="1"/>
  <c r="O9396" i="1"/>
  <c r="Q9395" i="1"/>
  <c r="O9395" i="1"/>
  <c r="Q9394" i="1"/>
  <c r="O9394" i="1"/>
  <c r="Q9393" i="1"/>
  <c r="O9393" i="1"/>
  <c r="Q9392" i="1"/>
  <c r="O9392" i="1"/>
  <c r="Q9391" i="1"/>
  <c r="O9391" i="1"/>
  <c r="Q9390" i="1"/>
  <c r="O9390" i="1"/>
  <c r="Q9389" i="1"/>
  <c r="O9389" i="1"/>
  <c r="Q9388" i="1"/>
  <c r="O9388" i="1"/>
  <c r="Q9387" i="1"/>
  <c r="O9387" i="1"/>
  <c r="Q9386" i="1"/>
  <c r="O9386" i="1"/>
  <c r="Q9385" i="1"/>
  <c r="O9385" i="1"/>
  <c r="Q9384" i="1"/>
  <c r="O9384" i="1"/>
  <c r="Q9383" i="1"/>
  <c r="O9383" i="1"/>
  <c r="Q9382" i="1"/>
  <c r="O9382" i="1"/>
  <c r="Q9381" i="1"/>
  <c r="O9381" i="1"/>
  <c r="Q9380" i="1"/>
  <c r="O9380" i="1"/>
  <c r="Q9379" i="1"/>
  <c r="O9379" i="1"/>
  <c r="Q9378" i="1"/>
  <c r="O9378" i="1"/>
  <c r="Q9377" i="1"/>
  <c r="O9377" i="1"/>
  <c r="Q9376" i="1"/>
  <c r="O9376" i="1"/>
  <c r="Q9375" i="1"/>
  <c r="O9375" i="1"/>
  <c r="Q9374" i="1"/>
  <c r="O9374" i="1"/>
  <c r="Q9373" i="1"/>
  <c r="O9373" i="1"/>
  <c r="Q9372" i="1"/>
  <c r="O9372" i="1"/>
  <c r="Q9371" i="1"/>
  <c r="O9371" i="1"/>
  <c r="Q9370" i="1"/>
  <c r="O9370" i="1"/>
  <c r="Q9369" i="1"/>
  <c r="O9369" i="1"/>
  <c r="Q9368" i="1"/>
  <c r="O9368" i="1"/>
  <c r="Q9367" i="1"/>
  <c r="O9367" i="1"/>
  <c r="Q9366" i="1"/>
  <c r="O9366" i="1"/>
  <c r="Q9365" i="1"/>
  <c r="O9365" i="1"/>
  <c r="Q9364" i="1"/>
  <c r="O9364" i="1"/>
  <c r="Q9363" i="1"/>
  <c r="O9363" i="1"/>
  <c r="Q9362" i="1"/>
  <c r="O9362" i="1"/>
  <c r="Q9361" i="1"/>
  <c r="O9361" i="1"/>
  <c r="Q9360" i="1"/>
  <c r="O9360" i="1"/>
  <c r="Q9359" i="1"/>
  <c r="O9359" i="1"/>
  <c r="Q9358" i="1"/>
  <c r="O9358" i="1"/>
  <c r="Q9357" i="1"/>
  <c r="O9357" i="1"/>
  <c r="Q9356" i="1"/>
  <c r="O9356" i="1"/>
  <c r="Q9355" i="1"/>
  <c r="O9355" i="1"/>
  <c r="Q9354" i="1"/>
  <c r="O9354" i="1"/>
  <c r="Q9353" i="1"/>
  <c r="O9353" i="1"/>
  <c r="Q9352" i="1"/>
  <c r="O9352" i="1"/>
  <c r="Q9351" i="1"/>
  <c r="O9351" i="1"/>
  <c r="Q9350" i="1"/>
  <c r="O9350" i="1"/>
  <c r="Q9349" i="1"/>
  <c r="O9349" i="1"/>
  <c r="Q9348" i="1"/>
  <c r="O9348" i="1"/>
  <c r="Q9347" i="1"/>
  <c r="O9347" i="1"/>
  <c r="Q9346" i="1"/>
  <c r="O9346" i="1"/>
  <c r="Q9345" i="1"/>
  <c r="O9345" i="1"/>
  <c r="Q9344" i="1"/>
  <c r="O9344" i="1"/>
  <c r="Q9343" i="1"/>
  <c r="O9343" i="1"/>
  <c r="Q9342" i="1"/>
  <c r="O9342" i="1"/>
  <c r="Q9341" i="1"/>
  <c r="O9341" i="1"/>
  <c r="Q9340" i="1"/>
  <c r="O9340" i="1"/>
  <c r="Q9339" i="1"/>
  <c r="O9339" i="1"/>
  <c r="Q9338" i="1"/>
  <c r="O9338" i="1"/>
  <c r="Q9337" i="1"/>
  <c r="O9337" i="1"/>
  <c r="Q9336" i="1"/>
  <c r="O9336" i="1"/>
  <c r="Q9335" i="1"/>
  <c r="O9335" i="1"/>
  <c r="Q9334" i="1"/>
  <c r="O9334" i="1"/>
  <c r="Q9333" i="1"/>
  <c r="O9333" i="1"/>
  <c r="Q9332" i="1"/>
  <c r="O9332" i="1"/>
  <c r="Q9331" i="1"/>
  <c r="O9331" i="1"/>
  <c r="Q9330" i="1"/>
  <c r="O9330" i="1"/>
  <c r="Q9329" i="1"/>
  <c r="O9329" i="1"/>
  <c r="Q9328" i="1"/>
  <c r="O9328" i="1"/>
  <c r="Q9327" i="1"/>
  <c r="O9327" i="1"/>
  <c r="Q9326" i="1"/>
  <c r="O9326" i="1"/>
  <c r="Q9325" i="1"/>
  <c r="O9325" i="1"/>
  <c r="Q9324" i="1"/>
  <c r="O9324" i="1"/>
  <c r="Q9323" i="1"/>
  <c r="O9323" i="1"/>
  <c r="Q9322" i="1"/>
  <c r="O9322" i="1"/>
  <c r="Q9321" i="1"/>
  <c r="O9321" i="1"/>
  <c r="Q9320" i="1"/>
  <c r="O9320" i="1"/>
  <c r="Q9319" i="1"/>
  <c r="O9319" i="1"/>
  <c r="Q9318" i="1"/>
  <c r="O9318" i="1"/>
  <c r="Q9317" i="1"/>
  <c r="O9317" i="1"/>
  <c r="Q9316" i="1"/>
  <c r="O9316" i="1"/>
  <c r="Q9315" i="1"/>
  <c r="O9315" i="1"/>
  <c r="Q9314" i="1"/>
  <c r="O9314" i="1"/>
  <c r="Q9313" i="1"/>
  <c r="O9313" i="1"/>
  <c r="Q9312" i="1"/>
  <c r="O9312" i="1"/>
  <c r="Q9311" i="1"/>
  <c r="O9311" i="1"/>
  <c r="Q9310" i="1"/>
  <c r="O9310" i="1"/>
  <c r="Q9309" i="1"/>
  <c r="O9309" i="1"/>
  <c r="Q9308" i="1"/>
  <c r="O9308" i="1"/>
  <c r="Q9307" i="1"/>
  <c r="O9307" i="1"/>
  <c r="Q9306" i="1"/>
  <c r="O9306" i="1"/>
  <c r="Q9305" i="1"/>
  <c r="O9305" i="1"/>
  <c r="Q9304" i="1"/>
  <c r="O9304" i="1"/>
  <c r="Q9303" i="1"/>
  <c r="O9303" i="1"/>
  <c r="Q9302" i="1"/>
  <c r="O9302" i="1"/>
  <c r="Q9301" i="1"/>
  <c r="O9301" i="1"/>
  <c r="Q9300" i="1"/>
  <c r="O9300" i="1"/>
  <c r="Q9299" i="1"/>
  <c r="O9299" i="1"/>
  <c r="Q9298" i="1"/>
  <c r="O9298" i="1"/>
  <c r="Q9297" i="1"/>
  <c r="O9297" i="1"/>
  <c r="Q9296" i="1"/>
  <c r="O9296" i="1"/>
  <c r="Q9295" i="1"/>
  <c r="O9295" i="1"/>
  <c r="Q9294" i="1"/>
  <c r="O9294" i="1"/>
  <c r="Q9293" i="1"/>
  <c r="O9293" i="1"/>
  <c r="Q9292" i="1"/>
  <c r="O9292" i="1"/>
  <c r="Q9291" i="1"/>
  <c r="O9291" i="1"/>
  <c r="Q9290" i="1"/>
  <c r="O9290" i="1"/>
  <c r="Q9289" i="1"/>
  <c r="O9289" i="1"/>
  <c r="Q9288" i="1"/>
  <c r="O9288" i="1"/>
  <c r="Q9287" i="1"/>
  <c r="O9287" i="1"/>
  <c r="Q9286" i="1"/>
  <c r="O9286" i="1"/>
  <c r="Q9285" i="1"/>
  <c r="O9285" i="1"/>
  <c r="Q9284" i="1"/>
  <c r="O9284" i="1"/>
  <c r="Q9283" i="1"/>
  <c r="O9283" i="1"/>
  <c r="Q9282" i="1"/>
  <c r="O9282" i="1"/>
  <c r="Q9281" i="1"/>
  <c r="O9281" i="1"/>
  <c r="Q9280" i="1"/>
  <c r="O9280" i="1"/>
  <c r="Q9279" i="1"/>
  <c r="O9279" i="1"/>
  <c r="Q9278" i="1"/>
  <c r="O9278" i="1"/>
  <c r="Q9277" i="1"/>
  <c r="O9277" i="1"/>
  <c r="Q9276" i="1"/>
  <c r="O9276" i="1"/>
  <c r="Q9275" i="1"/>
  <c r="O9275" i="1"/>
  <c r="Q9274" i="1"/>
  <c r="O9274" i="1"/>
  <c r="Q9273" i="1"/>
  <c r="O9273" i="1"/>
  <c r="Q9272" i="1"/>
  <c r="O9272" i="1"/>
  <c r="Q9271" i="1"/>
  <c r="O9271" i="1"/>
  <c r="Q9270" i="1"/>
  <c r="O9270" i="1"/>
  <c r="Q9269" i="1"/>
  <c r="O9269" i="1"/>
  <c r="Q9268" i="1"/>
  <c r="O9268" i="1"/>
  <c r="Q9267" i="1"/>
  <c r="O9267" i="1"/>
  <c r="Q9266" i="1"/>
  <c r="O9266" i="1"/>
  <c r="Q9265" i="1"/>
  <c r="O9265" i="1"/>
  <c r="Q9264" i="1"/>
  <c r="O9264" i="1"/>
  <c r="Q9263" i="1"/>
  <c r="O9263" i="1"/>
  <c r="Q9262" i="1"/>
  <c r="O9262" i="1"/>
  <c r="Q9261" i="1"/>
  <c r="O9261" i="1"/>
  <c r="Q9260" i="1"/>
  <c r="O9260" i="1"/>
  <c r="Q9259" i="1"/>
  <c r="O9259" i="1"/>
  <c r="Q9258" i="1"/>
  <c r="O9258" i="1"/>
  <c r="Q9257" i="1"/>
  <c r="O9257" i="1"/>
  <c r="Q9256" i="1"/>
  <c r="O9256" i="1"/>
  <c r="Q9255" i="1"/>
  <c r="O9255" i="1"/>
  <c r="Q9254" i="1"/>
  <c r="O9254" i="1"/>
  <c r="Q9253" i="1"/>
  <c r="O9253" i="1"/>
  <c r="Q9252" i="1"/>
  <c r="O9252" i="1"/>
  <c r="Q9251" i="1"/>
  <c r="O9251" i="1"/>
  <c r="Q9250" i="1"/>
  <c r="O9250" i="1"/>
  <c r="Q9249" i="1"/>
  <c r="O9249" i="1"/>
  <c r="Q9248" i="1"/>
  <c r="O9248" i="1"/>
  <c r="Q9247" i="1"/>
  <c r="O9247" i="1"/>
  <c r="Q9246" i="1"/>
  <c r="O9246" i="1"/>
  <c r="Q9245" i="1"/>
  <c r="O9245" i="1"/>
  <c r="Q9244" i="1"/>
  <c r="O9244" i="1"/>
  <c r="Q9243" i="1"/>
  <c r="O9243" i="1"/>
  <c r="Q9242" i="1"/>
  <c r="O9242" i="1"/>
  <c r="Q9241" i="1"/>
  <c r="O9241" i="1"/>
  <c r="Q9240" i="1"/>
  <c r="O9240" i="1"/>
  <c r="Q9239" i="1"/>
  <c r="O9239" i="1"/>
  <c r="Q9238" i="1"/>
  <c r="O9238" i="1"/>
  <c r="Q9237" i="1"/>
  <c r="O9237" i="1"/>
  <c r="Q9236" i="1"/>
  <c r="O9236" i="1"/>
  <c r="Q9235" i="1"/>
  <c r="O9235" i="1"/>
  <c r="Q9234" i="1"/>
  <c r="O9234" i="1"/>
  <c r="Q9233" i="1"/>
  <c r="O9233" i="1"/>
  <c r="Q9232" i="1"/>
  <c r="O9232" i="1"/>
  <c r="Q9231" i="1"/>
  <c r="O9231" i="1"/>
  <c r="Q9230" i="1"/>
  <c r="O9230" i="1"/>
  <c r="Q9229" i="1"/>
  <c r="O9229" i="1"/>
  <c r="Q9228" i="1"/>
  <c r="O9228" i="1"/>
  <c r="Q9227" i="1"/>
  <c r="O9227" i="1"/>
  <c r="Q9226" i="1"/>
  <c r="O9226" i="1"/>
  <c r="Q9225" i="1"/>
  <c r="O9225" i="1"/>
  <c r="Q9224" i="1"/>
  <c r="O9224" i="1"/>
  <c r="Q9223" i="1"/>
  <c r="O9223" i="1"/>
  <c r="Q9222" i="1"/>
  <c r="O9222" i="1"/>
  <c r="Q9221" i="1"/>
  <c r="O9221" i="1"/>
  <c r="Q9220" i="1"/>
  <c r="O9220" i="1"/>
  <c r="Q9219" i="1"/>
  <c r="O9219" i="1"/>
  <c r="Q9218" i="1"/>
  <c r="O9218" i="1"/>
  <c r="Q9217" i="1"/>
  <c r="O9217" i="1"/>
  <c r="Q9216" i="1"/>
  <c r="O9216" i="1"/>
  <c r="Q9215" i="1"/>
  <c r="O9215" i="1"/>
  <c r="Q9214" i="1"/>
  <c r="O9214" i="1"/>
  <c r="Q9213" i="1"/>
  <c r="O9213" i="1"/>
  <c r="Q9212" i="1"/>
  <c r="O9212" i="1"/>
  <c r="Q9211" i="1"/>
  <c r="O9211" i="1"/>
  <c r="Q9210" i="1"/>
  <c r="O9210" i="1"/>
  <c r="Q9209" i="1"/>
  <c r="O9209" i="1"/>
  <c r="Q9208" i="1"/>
  <c r="O9208" i="1"/>
  <c r="Q9207" i="1"/>
  <c r="O9207" i="1"/>
  <c r="Q9206" i="1"/>
  <c r="O9206" i="1"/>
  <c r="Q9205" i="1"/>
  <c r="O9205" i="1"/>
  <c r="Q9204" i="1"/>
  <c r="O9204" i="1"/>
  <c r="Q9203" i="1"/>
  <c r="O9203" i="1"/>
  <c r="Q9202" i="1"/>
  <c r="O9202" i="1"/>
  <c r="Q9201" i="1"/>
  <c r="O9201" i="1"/>
  <c r="Q9200" i="1"/>
  <c r="O9200" i="1"/>
  <c r="Q9199" i="1"/>
  <c r="O9199" i="1"/>
  <c r="Q9198" i="1"/>
  <c r="O9198" i="1"/>
  <c r="Q9197" i="1"/>
  <c r="O9197" i="1"/>
  <c r="Q9196" i="1"/>
  <c r="O9196" i="1"/>
  <c r="Q9195" i="1"/>
  <c r="O9195" i="1"/>
  <c r="Q9194" i="1"/>
  <c r="O9194" i="1"/>
  <c r="Q9193" i="1"/>
  <c r="O9193" i="1"/>
  <c r="Q9192" i="1"/>
  <c r="O9192" i="1"/>
  <c r="Q9191" i="1"/>
  <c r="O9191" i="1"/>
  <c r="Q9190" i="1"/>
  <c r="O9190" i="1"/>
  <c r="Q9189" i="1"/>
  <c r="O9189" i="1"/>
  <c r="Q9188" i="1"/>
  <c r="O9188" i="1"/>
  <c r="Q9187" i="1"/>
  <c r="O9187" i="1"/>
  <c r="Q9186" i="1"/>
  <c r="O9186" i="1"/>
  <c r="Q9185" i="1"/>
  <c r="O9185" i="1"/>
  <c r="Q9184" i="1"/>
  <c r="O9184" i="1"/>
  <c r="Q9183" i="1"/>
  <c r="O9183" i="1"/>
  <c r="Q9182" i="1"/>
  <c r="O9182" i="1"/>
  <c r="Q9181" i="1"/>
  <c r="O9181" i="1"/>
  <c r="Q9180" i="1"/>
  <c r="O9180" i="1"/>
  <c r="Q9179" i="1"/>
  <c r="O9179" i="1"/>
  <c r="Q9178" i="1"/>
  <c r="O9178" i="1"/>
  <c r="Q9177" i="1"/>
  <c r="O9177" i="1"/>
  <c r="Q9176" i="1"/>
  <c r="O9176" i="1"/>
  <c r="Q9175" i="1"/>
  <c r="O9175" i="1"/>
  <c r="Q9174" i="1"/>
  <c r="O9174" i="1"/>
  <c r="Q9173" i="1"/>
  <c r="O9173" i="1"/>
  <c r="Q9172" i="1"/>
  <c r="O9172" i="1"/>
  <c r="Q9171" i="1"/>
  <c r="O9171" i="1"/>
  <c r="Q9170" i="1"/>
  <c r="O9170" i="1"/>
  <c r="Q9169" i="1"/>
  <c r="O9169" i="1"/>
  <c r="Q9168" i="1"/>
  <c r="O9168" i="1"/>
  <c r="Q9167" i="1"/>
  <c r="O9167" i="1"/>
  <c r="Q9166" i="1"/>
  <c r="O9166" i="1"/>
  <c r="Q9165" i="1"/>
  <c r="O9165" i="1"/>
  <c r="Q9164" i="1"/>
  <c r="O9164" i="1"/>
  <c r="Q9163" i="1"/>
  <c r="O9163" i="1"/>
  <c r="Q9162" i="1"/>
  <c r="O9162" i="1"/>
  <c r="Q9161" i="1"/>
  <c r="O9161" i="1"/>
  <c r="Q9160" i="1"/>
  <c r="O9160" i="1"/>
  <c r="Q9159" i="1"/>
  <c r="O9159" i="1"/>
  <c r="Q9158" i="1"/>
  <c r="O9158" i="1"/>
  <c r="Q9157" i="1"/>
  <c r="O9157" i="1"/>
  <c r="Q9156" i="1"/>
  <c r="O9156" i="1"/>
  <c r="Q9155" i="1"/>
  <c r="O9155" i="1"/>
  <c r="Q9154" i="1"/>
  <c r="O9154" i="1"/>
  <c r="Q9153" i="1"/>
  <c r="O9153" i="1"/>
  <c r="Q9152" i="1"/>
  <c r="O9152" i="1"/>
  <c r="Q9151" i="1"/>
  <c r="O9151" i="1"/>
  <c r="Q9150" i="1"/>
  <c r="O9150" i="1"/>
  <c r="Q9149" i="1"/>
  <c r="O9149" i="1"/>
  <c r="Q9148" i="1"/>
  <c r="O9148" i="1"/>
  <c r="Q9147" i="1"/>
  <c r="O9147" i="1"/>
  <c r="Q9146" i="1"/>
  <c r="O9146" i="1"/>
  <c r="Q9145" i="1"/>
  <c r="O9145" i="1"/>
  <c r="Q9144" i="1"/>
  <c r="O9144" i="1"/>
  <c r="Q9143" i="1"/>
  <c r="O9143" i="1"/>
  <c r="Q9142" i="1"/>
  <c r="O9142" i="1"/>
  <c r="Q9141" i="1"/>
  <c r="O9141" i="1"/>
  <c r="Q9140" i="1"/>
  <c r="O9140" i="1"/>
  <c r="Q9139" i="1"/>
  <c r="O9139" i="1"/>
  <c r="Q9138" i="1"/>
  <c r="O9138" i="1"/>
  <c r="Q9137" i="1"/>
  <c r="O9137" i="1"/>
  <c r="Q9136" i="1"/>
  <c r="O9136" i="1"/>
  <c r="Q9135" i="1"/>
  <c r="O9135" i="1"/>
  <c r="Q9134" i="1"/>
  <c r="O9134" i="1"/>
  <c r="Q9133" i="1"/>
  <c r="O9133" i="1"/>
  <c r="Q9132" i="1"/>
  <c r="O9132" i="1"/>
  <c r="Q9131" i="1"/>
  <c r="O9131" i="1"/>
  <c r="Q9130" i="1"/>
  <c r="O9130" i="1"/>
  <c r="Q9129" i="1"/>
  <c r="O9129" i="1"/>
  <c r="Q9128" i="1"/>
  <c r="O9128" i="1"/>
  <c r="Q9127" i="1"/>
  <c r="O9127" i="1"/>
  <c r="Q9126" i="1"/>
  <c r="O9126" i="1"/>
  <c r="Q9125" i="1"/>
  <c r="O9125" i="1"/>
  <c r="Q9124" i="1"/>
  <c r="O9124" i="1"/>
  <c r="Q9123" i="1"/>
  <c r="O9123" i="1"/>
  <c r="Q9122" i="1"/>
  <c r="O9122" i="1"/>
  <c r="Q9121" i="1"/>
  <c r="O9121" i="1"/>
  <c r="Q9120" i="1"/>
  <c r="O9120" i="1"/>
  <c r="Q9119" i="1"/>
  <c r="O9119" i="1"/>
  <c r="Q9118" i="1"/>
  <c r="O9118" i="1"/>
  <c r="Q9117" i="1"/>
  <c r="O9117" i="1"/>
  <c r="Q9116" i="1"/>
  <c r="O9116" i="1"/>
  <c r="Q9115" i="1"/>
  <c r="O9115" i="1"/>
  <c r="Q9114" i="1"/>
  <c r="O9114" i="1"/>
  <c r="Q9113" i="1"/>
  <c r="O9113" i="1"/>
  <c r="Q9112" i="1"/>
  <c r="O9112" i="1"/>
  <c r="Q9111" i="1"/>
  <c r="O9111" i="1"/>
  <c r="Q9110" i="1"/>
  <c r="O9110" i="1"/>
  <c r="Q9109" i="1"/>
  <c r="O9109" i="1"/>
  <c r="Q9108" i="1"/>
  <c r="O9108" i="1"/>
  <c r="Q9107" i="1"/>
  <c r="O9107" i="1"/>
  <c r="Q9106" i="1"/>
  <c r="O9106" i="1"/>
  <c r="Q9105" i="1"/>
  <c r="O9105" i="1"/>
  <c r="Q9104" i="1"/>
  <c r="O9104" i="1"/>
  <c r="Q9103" i="1"/>
  <c r="O9103" i="1"/>
  <c r="Q9102" i="1"/>
  <c r="O9102" i="1"/>
  <c r="Q9101" i="1"/>
  <c r="O9101" i="1"/>
  <c r="Q9100" i="1"/>
  <c r="O9100" i="1"/>
  <c r="Q9099" i="1"/>
  <c r="O9099" i="1"/>
  <c r="Q9098" i="1"/>
  <c r="O9098" i="1"/>
  <c r="Q9097" i="1"/>
  <c r="O9097" i="1"/>
  <c r="Q9096" i="1"/>
  <c r="O9096" i="1"/>
  <c r="Q9095" i="1"/>
  <c r="O9095" i="1"/>
  <c r="Q9094" i="1"/>
  <c r="O9094" i="1"/>
  <c r="Q9093" i="1"/>
  <c r="O9093" i="1"/>
  <c r="Q9092" i="1"/>
  <c r="O9092" i="1"/>
  <c r="Q9091" i="1"/>
  <c r="O9091" i="1"/>
  <c r="Q9090" i="1"/>
  <c r="O9090" i="1"/>
  <c r="Q9089" i="1"/>
  <c r="O9089" i="1"/>
  <c r="Q9088" i="1"/>
  <c r="O9088" i="1"/>
  <c r="Q9087" i="1"/>
  <c r="O9087" i="1"/>
  <c r="Q9086" i="1"/>
  <c r="O9086" i="1"/>
  <c r="Q9085" i="1"/>
  <c r="O9085" i="1"/>
  <c r="Q9084" i="1"/>
  <c r="O9084" i="1"/>
  <c r="Q9083" i="1"/>
  <c r="O9083" i="1"/>
  <c r="Q9082" i="1"/>
  <c r="O9082" i="1"/>
  <c r="Q9081" i="1"/>
  <c r="O9081" i="1"/>
  <c r="Q9080" i="1"/>
  <c r="O9080" i="1"/>
  <c r="Q9079" i="1"/>
  <c r="O9079" i="1"/>
  <c r="Q9078" i="1"/>
  <c r="O9078" i="1"/>
  <c r="Q9077" i="1"/>
  <c r="O9077" i="1"/>
  <c r="Q9076" i="1"/>
  <c r="O9076" i="1"/>
  <c r="Q9075" i="1"/>
  <c r="O9075" i="1"/>
  <c r="Q9074" i="1"/>
  <c r="O9074" i="1"/>
  <c r="Q9073" i="1"/>
  <c r="O9073" i="1"/>
  <c r="Q9072" i="1"/>
  <c r="O9072" i="1"/>
  <c r="Q9071" i="1"/>
  <c r="O9071" i="1"/>
  <c r="Q9070" i="1"/>
  <c r="O9070" i="1"/>
  <c r="Q9069" i="1"/>
  <c r="O9069" i="1"/>
  <c r="Q9068" i="1"/>
  <c r="O9068" i="1"/>
  <c r="Q9067" i="1"/>
  <c r="O9067" i="1"/>
  <c r="Q9066" i="1"/>
  <c r="O9066" i="1"/>
  <c r="Q9065" i="1"/>
  <c r="O9065" i="1"/>
  <c r="Q9064" i="1"/>
  <c r="O9064" i="1"/>
  <c r="Q9063" i="1"/>
  <c r="O9063" i="1"/>
  <c r="Q9062" i="1"/>
  <c r="O9062" i="1"/>
  <c r="Q9061" i="1"/>
  <c r="O9061" i="1"/>
  <c r="Q9060" i="1"/>
  <c r="O9060" i="1"/>
  <c r="Q9059" i="1"/>
  <c r="O9059" i="1"/>
  <c r="Q9058" i="1"/>
  <c r="O9058" i="1"/>
  <c r="Q9057" i="1"/>
  <c r="O9057" i="1"/>
  <c r="Q9056" i="1"/>
  <c r="O9056" i="1"/>
  <c r="Q9055" i="1"/>
  <c r="O9055" i="1"/>
  <c r="Q9054" i="1"/>
  <c r="O9054" i="1"/>
  <c r="Q9053" i="1"/>
  <c r="O9053" i="1"/>
  <c r="Q9052" i="1"/>
  <c r="O9052" i="1"/>
  <c r="Q9051" i="1"/>
  <c r="O9051" i="1"/>
  <c r="Q9050" i="1"/>
  <c r="O9050" i="1"/>
  <c r="Q9049" i="1"/>
  <c r="O9049" i="1"/>
  <c r="Q9048" i="1"/>
  <c r="O9048" i="1"/>
  <c r="Q9047" i="1"/>
  <c r="O9047" i="1"/>
  <c r="Q9046" i="1"/>
  <c r="O9046" i="1"/>
  <c r="Q9045" i="1"/>
  <c r="O9045" i="1"/>
  <c r="Q9044" i="1"/>
  <c r="O9044" i="1"/>
  <c r="Q9043" i="1"/>
  <c r="O9043" i="1"/>
  <c r="Q9042" i="1"/>
  <c r="O9042" i="1"/>
  <c r="Q9041" i="1"/>
  <c r="O9041" i="1"/>
  <c r="Q9040" i="1"/>
  <c r="O9040" i="1"/>
  <c r="Q9039" i="1"/>
  <c r="O9039" i="1"/>
  <c r="Q9038" i="1"/>
  <c r="O9038" i="1"/>
  <c r="Q9037" i="1"/>
  <c r="O9037" i="1"/>
  <c r="Q9036" i="1"/>
  <c r="O9036" i="1"/>
  <c r="Q9035" i="1"/>
  <c r="O9035" i="1"/>
  <c r="Q9034" i="1"/>
  <c r="O9034" i="1"/>
  <c r="Q9033" i="1"/>
  <c r="O9033" i="1"/>
  <c r="Q9032" i="1"/>
  <c r="O9032" i="1"/>
  <c r="Q9031" i="1"/>
  <c r="O9031" i="1"/>
  <c r="Q9030" i="1"/>
  <c r="O9030" i="1"/>
  <c r="Q9029" i="1"/>
  <c r="O9029" i="1"/>
  <c r="Q9028" i="1"/>
  <c r="O9028" i="1"/>
  <c r="Q9027" i="1"/>
  <c r="O9027" i="1"/>
  <c r="Q9026" i="1"/>
  <c r="O9026" i="1"/>
  <c r="Q9025" i="1"/>
  <c r="O9025" i="1"/>
  <c r="Q9024" i="1"/>
  <c r="O9024" i="1"/>
  <c r="Q9023" i="1"/>
  <c r="O9023" i="1"/>
  <c r="Q9022" i="1"/>
  <c r="O9022" i="1"/>
  <c r="Q9021" i="1"/>
  <c r="O9021" i="1"/>
  <c r="Q9020" i="1"/>
  <c r="O9020" i="1"/>
  <c r="Q9019" i="1"/>
  <c r="O9019" i="1"/>
  <c r="Q9018" i="1"/>
  <c r="O9018" i="1"/>
  <c r="Q9017" i="1"/>
  <c r="O9017" i="1"/>
  <c r="Q9016" i="1"/>
  <c r="O9016" i="1"/>
  <c r="Q9015" i="1"/>
  <c r="O9015" i="1"/>
  <c r="Q9014" i="1"/>
  <c r="O9014" i="1"/>
  <c r="Q9013" i="1"/>
  <c r="O9013" i="1"/>
  <c r="Q9012" i="1"/>
  <c r="O9012" i="1"/>
  <c r="Q9011" i="1"/>
  <c r="O9011" i="1"/>
  <c r="Q9010" i="1"/>
  <c r="O9010" i="1"/>
  <c r="Q9009" i="1"/>
  <c r="O9009" i="1"/>
  <c r="Q9008" i="1"/>
  <c r="O9008" i="1"/>
  <c r="Q9007" i="1"/>
  <c r="O9007" i="1"/>
  <c r="Q9006" i="1"/>
  <c r="O9006" i="1"/>
  <c r="Q9005" i="1"/>
  <c r="O9005" i="1"/>
  <c r="Q9004" i="1"/>
  <c r="O9004" i="1"/>
  <c r="Q9003" i="1"/>
  <c r="O9003" i="1"/>
  <c r="Q9002" i="1"/>
  <c r="O9002" i="1"/>
  <c r="Q9001" i="1"/>
  <c r="O9001" i="1"/>
  <c r="Q9000" i="1"/>
  <c r="O9000" i="1"/>
  <c r="Q8999" i="1"/>
  <c r="O8999" i="1"/>
  <c r="Q8998" i="1"/>
  <c r="O8998" i="1"/>
  <c r="Q8997" i="1"/>
  <c r="O8997" i="1"/>
  <c r="Q8996" i="1"/>
  <c r="O8996" i="1"/>
  <c r="Q8995" i="1"/>
  <c r="O8995" i="1"/>
  <c r="Q8994" i="1"/>
  <c r="O8994" i="1"/>
  <c r="Q8993" i="1"/>
  <c r="O8993" i="1"/>
  <c r="Q8992" i="1"/>
  <c r="O8992" i="1"/>
  <c r="Q8991" i="1"/>
  <c r="O8991" i="1"/>
  <c r="Q8990" i="1"/>
  <c r="O8990" i="1"/>
  <c r="Q8989" i="1"/>
  <c r="O8989" i="1"/>
  <c r="Q8988" i="1"/>
  <c r="O8988" i="1"/>
  <c r="Q8987" i="1"/>
  <c r="O8987" i="1"/>
  <c r="Q8986" i="1"/>
  <c r="O8986" i="1"/>
  <c r="Q8985" i="1"/>
  <c r="O8985" i="1"/>
  <c r="Q8984" i="1"/>
  <c r="O8984" i="1"/>
  <c r="Q8983" i="1"/>
  <c r="O8983" i="1"/>
  <c r="Q8982" i="1"/>
  <c r="O8982" i="1"/>
  <c r="Q8981" i="1"/>
  <c r="O8981" i="1"/>
  <c r="Q8980" i="1"/>
  <c r="O8980" i="1"/>
  <c r="Q8979" i="1"/>
  <c r="O8979" i="1"/>
  <c r="Q8978" i="1"/>
  <c r="O8978" i="1"/>
  <c r="Q8977" i="1"/>
  <c r="O8977" i="1"/>
  <c r="Q8976" i="1"/>
  <c r="O8976" i="1"/>
  <c r="Q8975" i="1"/>
  <c r="O8975" i="1"/>
  <c r="Q8974" i="1"/>
  <c r="O8974" i="1"/>
  <c r="Q8973" i="1"/>
  <c r="O8973" i="1"/>
  <c r="Q8972" i="1"/>
  <c r="O8972" i="1"/>
  <c r="Q8971" i="1"/>
  <c r="O8971" i="1"/>
  <c r="Q8970" i="1"/>
  <c r="O8970" i="1"/>
  <c r="Q8969" i="1"/>
  <c r="O8969" i="1"/>
  <c r="Q8968" i="1"/>
  <c r="O8968" i="1"/>
  <c r="Q8967" i="1"/>
  <c r="O8967" i="1"/>
  <c r="Q8966" i="1"/>
  <c r="O8966" i="1"/>
  <c r="Q8965" i="1"/>
  <c r="O8965" i="1"/>
  <c r="Q8964" i="1"/>
  <c r="O8964" i="1"/>
  <c r="Q8963" i="1"/>
  <c r="O8963" i="1"/>
  <c r="Q8962" i="1"/>
  <c r="O8962" i="1"/>
  <c r="Q8961" i="1"/>
  <c r="O8961" i="1"/>
  <c r="Q8960" i="1"/>
  <c r="O8960" i="1"/>
  <c r="Q8959" i="1"/>
  <c r="O8959" i="1"/>
  <c r="Q8958" i="1"/>
  <c r="O8958" i="1"/>
  <c r="Q8957" i="1"/>
  <c r="O8957" i="1"/>
  <c r="Q8956" i="1"/>
  <c r="O8956" i="1"/>
  <c r="Q8955" i="1"/>
  <c r="O8955" i="1"/>
  <c r="Q8954" i="1"/>
  <c r="O8954" i="1"/>
  <c r="Q8953" i="1"/>
  <c r="O8953" i="1"/>
  <c r="Q8952" i="1"/>
  <c r="O8952" i="1"/>
  <c r="Q8951" i="1"/>
  <c r="O8951" i="1"/>
  <c r="Q8950" i="1"/>
  <c r="O8950" i="1"/>
  <c r="Q8949" i="1"/>
  <c r="O8949" i="1"/>
  <c r="Q8948" i="1"/>
  <c r="O8948" i="1"/>
  <c r="Q8947" i="1"/>
  <c r="O8947" i="1"/>
  <c r="Q8946" i="1"/>
  <c r="O8946" i="1"/>
  <c r="Q8945" i="1"/>
  <c r="O8945" i="1"/>
  <c r="Q8944" i="1"/>
  <c r="O8944" i="1"/>
  <c r="Q8943" i="1"/>
  <c r="O8943" i="1"/>
  <c r="Q8942" i="1"/>
  <c r="O8942" i="1"/>
  <c r="Q8941" i="1"/>
  <c r="O8941" i="1"/>
  <c r="Q8940" i="1"/>
  <c r="O8940" i="1"/>
  <c r="Q8939" i="1"/>
  <c r="O8939" i="1"/>
  <c r="Q8938" i="1"/>
  <c r="O8938" i="1"/>
  <c r="Q8937" i="1"/>
  <c r="O8937" i="1"/>
  <c r="Q8936" i="1"/>
  <c r="O8936" i="1"/>
  <c r="Q8935" i="1"/>
  <c r="O8935" i="1"/>
  <c r="Q8934" i="1"/>
  <c r="O8934" i="1"/>
  <c r="Q8933" i="1"/>
  <c r="O8933" i="1"/>
  <c r="Q8932" i="1"/>
  <c r="O8932" i="1"/>
  <c r="Q8931" i="1"/>
  <c r="O8931" i="1"/>
  <c r="Q8930" i="1"/>
  <c r="O8930" i="1"/>
  <c r="Q8929" i="1"/>
  <c r="O8929" i="1"/>
  <c r="Q8928" i="1"/>
  <c r="O8928" i="1"/>
  <c r="Q8927" i="1"/>
  <c r="O8927" i="1"/>
  <c r="Q8926" i="1"/>
  <c r="O8926" i="1"/>
  <c r="Q8925" i="1"/>
  <c r="O8925" i="1"/>
  <c r="Q8924" i="1"/>
  <c r="O8924" i="1"/>
  <c r="Q8923" i="1"/>
  <c r="O8923" i="1"/>
  <c r="Q8922" i="1"/>
  <c r="O8922" i="1"/>
  <c r="Q8921" i="1"/>
  <c r="O8921" i="1"/>
  <c r="Q8920" i="1"/>
  <c r="O8920" i="1"/>
  <c r="Q8919" i="1"/>
  <c r="O8919" i="1"/>
  <c r="Q8918" i="1"/>
  <c r="O8918" i="1"/>
  <c r="Q8917" i="1"/>
  <c r="O8917" i="1"/>
  <c r="Q8916" i="1"/>
  <c r="O8916" i="1"/>
  <c r="Q8915" i="1"/>
  <c r="O8915" i="1"/>
  <c r="Q8914" i="1"/>
  <c r="O8914" i="1"/>
  <c r="Q8913" i="1"/>
  <c r="O8913" i="1"/>
  <c r="Q8912" i="1"/>
  <c r="O8912" i="1"/>
  <c r="Q8911" i="1"/>
  <c r="O8911" i="1"/>
  <c r="Q8910" i="1"/>
  <c r="O8910" i="1"/>
  <c r="Q8909" i="1"/>
  <c r="O8909" i="1"/>
  <c r="Q8908" i="1"/>
  <c r="O8908" i="1"/>
  <c r="Q8907" i="1"/>
  <c r="O8907" i="1"/>
  <c r="Q8906" i="1"/>
  <c r="O8906" i="1"/>
  <c r="Q8905" i="1"/>
  <c r="O8905" i="1"/>
  <c r="Q8904" i="1"/>
  <c r="O8904" i="1"/>
  <c r="Q8903" i="1"/>
  <c r="O8903" i="1"/>
  <c r="Q8902" i="1"/>
  <c r="O8902" i="1"/>
  <c r="Q8901" i="1"/>
  <c r="O8901" i="1"/>
  <c r="Q8900" i="1"/>
  <c r="O8900" i="1"/>
  <c r="Q8899" i="1"/>
  <c r="O8899" i="1"/>
  <c r="Q8898" i="1"/>
  <c r="O8898" i="1"/>
  <c r="Q8897" i="1"/>
  <c r="O8897" i="1"/>
  <c r="Q8896" i="1"/>
  <c r="O8896" i="1"/>
  <c r="Q8895" i="1"/>
  <c r="O8895" i="1"/>
  <c r="Q8894" i="1"/>
  <c r="O8894" i="1"/>
  <c r="Q8893" i="1"/>
  <c r="O8893" i="1"/>
  <c r="Q8892" i="1"/>
  <c r="O8892" i="1"/>
  <c r="Q8891" i="1"/>
  <c r="O8891" i="1"/>
  <c r="Q8890" i="1"/>
  <c r="O8890" i="1"/>
  <c r="Q8889" i="1"/>
  <c r="O8889" i="1"/>
  <c r="Q8888" i="1"/>
  <c r="O8888" i="1"/>
  <c r="Q8887" i="1"/>
  <c r="O8887" i="1"/>
  <c r="Q8886" i="1"/>
  <c r="O8886" i="1"/>
  <c r="Q8885" i="1"/>
  <c r="O8885" i="1"/>
  <c r="Q8884" i="1"/>
  <c r="O8884" i="1"/>
  <c r="Q8883" i="1"/>
  <c r="O8883" i="1"/>
  <c r="Q8882" i="1"/>
  <c r="O8882" i="1"/>
  <c r="Q8881" i="1"/>
  <c r="O8881" i="1"/>
  <c r="Q8880" i="1"/>
  <c r="O8880" i="1"/>
  <c r="Q8879" i="1"/>
  <c r="O8879" i="1"/>
  <c r="Q8878" i="1"/>
  <c r="O8878" i="1"/>
  <c r="Q8877" i="1"/>
  <c r="O8877" i="1"/>
  <c r="Q8876" i="1"/>
  <c r="O8876" i="1"/>
  <c r="Q8875" i="1"/>
  <c r="O8875" i="1"/>
  <c r="Q8874" i="1"/>
  <c r="O8874" i="1"/>
  <c r="Q8873" i="1"/>
  <c r="O8873" i="1"/>
  <c r="Q8872" i="1"/>
  <c r="O8872" i="1"/>
  <c r="Q8871" i="1"/>
  <c r="O8871" i="1"/>
  <c r="Q8870" i="1"/>
  <c r="O8870" i="1"/>
  <c r="Q8869" i="1"/>
  <c r="O8869" i="1"/>
  <c r="Q8868" i="1"/>
  <c r="O8868" i="1"/>
  <c r="Q8867" i="1"/>
  <c r="O8867" i="1"/>
  <c r="Q8866" i="1"/>
  <c r="O8866" i="1"/>
  <c r="Q8865" i="1"/>
  <c r="O8865" i="1"/>
  <c r="Q8864" i="1"/>
  <c r="O8864" i="1"/>
  <c r="Q8863" i="1"/>
  <c r="O8863" i="1"/>
  <c r="Q8862" i="1"/>
  <c r="O8862" i="1"/>
  <c r="Q8861" i="1"/>
  <c r="O8861" i="1"/>
  <c r="Q8860" i="1"/>
  <c r="O8860" i="1"/>
  <c r="Q8859" i="1"/>
  <c r="O8859" i="1"/>
  <c r="Q8858" i="1"/>
  <c r="O8858" i="1"/>
  <c r="Q8857" i="1"/>
  <c r="O8857" i="1"/>
  <c r="Q8856" i="1"/>
  <c r="O8856" i="1"/>
  <c r="Q8855" i="1"/>
  <c r="O8855" i="1"/>
  <c r="Q8854" i="1"/>
  <c r="O8854" i="1"/>
  <c r="Q8853" i="1"/>
  <c r="O8853" i="1"/>
  <c r="Q8852" i="1"/>
  <c r="O8852" i="1"/>
  <c r="Q8851" i="1"/>
  <c r="O8851" i="1"/>
  <c r="Q8850" i="1"/>
  <c r="O8850" i="1"/>
  <c r="Q8849" i="1"/>
  <c r="O8849" i="1"/>
  <c r="Q8848" i="1"/>
  <c r="O8848" i="1"/>
  <c r="Q8847" i="1"/>
  <c r="O8847" i="1"/>
  <c r="Q8846" i="1"/>
  <c r="O8846" i="1"/>
  <c r="Q8845" i="1"/>
  <c r="O8845" i="1"/>
  <c r="Q8844" i="1"/>
  <c r="O8844" i="1"/>
  <c r="Q8843" i="1"/>
  <c r="O8843" i="1"/>
  <c r="Q8842" i="1"/>
  <c r="O8842" i="1"/>
  <c r="Q8841" i="1"/>
  <c r="O8841" i="1"/>
  <c r="Q8840" i="1"/>
  <c r="O8840" i="1"/>
  <c r="Q8839" i="1"/>
  <c r="O8839" i="1"/>
  <c r="Q8838" i="1"/>
  <c r="O8838" i="1"/>
  <c r="Q8837" i="1"/>
  <c r="O8837" i="1"/>
  <c r="Q8836" i="1"/>
  <c r="O8836" i="1"/>
  <c r="Q8835" i="1"/>
  <c r="O8835" i="1"/>
  <c r="Q8834" i="1"/>
  <c r="O8834" i="1"/>
  <c r="Q8833" i="1"/>
  <c r="O8833" i="1"/>
  <c r="Q8832" i="1"/>
  <c r="O8832" i="1"/>
  <c r="Q8831" i="1"/>
  <c r="O8831" i="1"/>
  <c r="Q8830" i="1"/>
  <c r="O8830" i="1"/>
  <c r="Q8829" i="1"/>
  <c r="O8829" i="1"/>
  <c r="Q8828" i="1"/>
  <c r="O8828" i="1"/>
  <c r="Q8827" i="1"/>
  <c r="O8827" i="1"/>
  <c r="Q8826" i="1"/>
  <c r="O8826" i="1"/>
  <c r="Q8825" i="1"/>
  <c r="O8825" i="1"/>
  <c r="Q8824" i="1"/>
  <c r="O8824" i="1"/>
  <c r="Q8823" i="1"/>
  <c r="O8823" i="1"/>
  <c r="Q8822" i="1"/>
  <c r="O8822" i="1"/>
  <c r="Q8821" i="1"/>
  <c r="O8821" i="1"/>
  <c r="Q8820" i="1"/>
  <c r="O8820" i="1"/>
  <c r="Q8819" i="1"/>
  <c r="O8819" i="1"/>
  <c r="Q8818" i="1"/>
  <c r="O8818" i="1"/>
  <c r="Q8817" i="1"/>
  <c r="O8817" i="1"/>
  <c r="Q8816" i="1"/>
  <c r="O8816" i="1"/>
  <c r="Q8815" i="1"/>
  <c r="O8815" i="1"/>
  <c r="Q8814" i="1"/>
  <c r="O8814" i="1"/>
  <c r="Q8813" i="1"/>
  <c r="O8813" i="1"/>
  <c r="Q8812" i="1"/>
  <c r="O8812" i="1"/>
  <c r="Q8811" i="1"/>
  <c r="O8811" i="1"/>
  <c r="Q8810" i="1"/>
  <c r="O8810" i="1"/>
  <c r="Q8809" i="1"/>
  <c r="O8809" i="1"/>
  <c r="Q8808" i="1"/>
  <c r="O8808" i="1"/>
  <c r="Q8807" i="1"/>
  <c r="O8807" i="1"/>
  <c r="Q8806" i="1"/>
  <c r="O8806" i="1"/>
  <c r="Q8805" i="1"/>
  <c r="O8805" i="1"/>
  <c r="Q8804" i="1"/>
  <c r="O8804" i="1"/>
  <c r="Q8803" i="1"/>
  <c r="O8803" i="1"/>
  <c r="Q8802" i="1"/>
  <c r="O8802" i="1"/>
  <c r="Q8801" i="1"/>
  <c r="O8801" i="1"/>
  <c r="Q8800" i="1"/>
  <c r="O8800" i="1"/>
  <c r="Q8799" i="1"/>
  <c r="O8799" i="1"/>
  <c r="Q8798" i="1"/>
  <c r="O8798" i="1"/>
  <c r="Q8797" i="1"/>
  <c r="O8797" i="1"/>
  <c r="Q8796" i="1"/>
  <c r="O8796" i="1"/>
  <c r="Q8795" i="1"/>
  <c r="O8795" i="1"/>
  <c r="Q8794" i="1"/>
  <c r="O8794" i="1"/>
  <c r="Q8793" i="1"/>
  <c r="O8793" i="1"/>
  <c r="Q8792" i="1"/>
  <c r="O8792" i="1"/>
  <c r="Q8791" i="1"/>
  <c r="O8791" i="1"/>
  <c r="Q8790" i="1"/>
  <c r="O8790" i="1"/>
  <c r="Q8789" i="1"/>
  <c r="O8789" i="1"/>
  <c r="Q8788" i="1"/>
  <c r="O8788" i="1"/>
  <c r="Q8787" i="1"/>
  <c r="O8787" i="1"/>
  <c r="Q8786" i="1"/>
  <c r="O8786" i="1"/>
  <c r="Q8785" i="1"/>
  <c r="O8785" i="1"/>
  <c r="Q8784" i="1"/>
  <c r="O8784" i="1"/>
  <c r="Q8783" i="1"/>
  <c r="O8783" i="1"/>
  <c r="Q8782" i="1"/>
  <c r="O8782" i="1"/>
  <c r="Q8781" i="1"/>
  <c r="O8781" i="1"/>
  <c r="Q8780" i="1"/>
  <c r="O8780" i="1"/>
  <c r="Q8779" i="1"/>
  <c r="O8779" i="1"/>
  <c r="Q8778" i="1"/>
  <c r="O8778" i="1"/>
  <c r="Q8777" i="1"/>
  <c r="O8777" i="1"/>
  <c r="Q8776" i="1"/>
  <c r="O8776" i="1"/>
  <c r="Q8775" i="1"/>
  <c r="O8775" i="1"/>
  <c r="Q8774" i="1"/>
  <c r="O8774" i="1"/>
  <c r="Q8773" i="1"/>
  <c r="O8773" i="1"/>
  <c r="Q8772" i="1"/>
  <c r="O8772" i="1"/>
  <c r="Q8771" i="1"/>
  <c r="O8771" i="1"/>
  <c r="Q8770" i="1"/>
  <c r="O8770" i="1"/>
  <c r="Q8769" i="1"/>
  <c r="O8769" i="1"/>
  <c r="Q8768" i="1"/>
  <c r="O8768" i="1"/>
  <c r="Q8767" i="1"/>
  <c r="O8767" i="1"/>
  <c r="Q8766" i="1"/>
  <c r="O8766" i="1"/>
  <c r="Q8765" i="1"/>
  <c r="O8765" i="1"/>
  <c r="Q8764" i="1"/>
  <c r="O8764" i="1"/>
  <c r="Q8763" i="1"/>
  <c r="O8763" i="1"/>
  <c r="Q8762" i="1"/>
  <c r="O8762" i="1"/>
  <c r="Q8761" i="1"/>
  <c r="O8761" i="1"/>
  <c r="Q8760" i="1"/>
  <c r="O8760" i="1"/>
  <c r="Q8759" i="1"/>
  <c r="O8759" i="1"/>
  <c r="Q8758" i="1"/>
  <c r="O8758" i="1"/>
  <c r="Q8757" i="1"/>
  <c r="O8757" i="1"/>
  <c r="Q8756" i="1"/>
  <c r="O8756" i="1"/>
  <c r="Q8755" i="1"/>
  <c r="O8755" i="1"/>
  <c r="Q8754" i="1"/>
  <c r="O8754" i="1"/>
  <c r="Q8753" i="1"/>
  <c r="O8753" i="1"/>
  <c r="Q8752" i="1"/>
  <c r="O8752" i="1"/>
  <c r="Q8751" i="1"/>
  <c r="O8751" i="1"/>
  <c r="Q8750" i="1"/>
  <c r="O8750" i="1"/>
  <c r="Q8749" i="1"/>
  <c r="O8749" i="1"/>
  <c r="Q8748" i="1"/>
  <c r="O8748" i="1"/>
  <c r="Q8747" i="1"/>
  <c r="O8747" i="1"/>
  <c r="Q8746" i="1"/>
  <c r="O8746" i="1"/>
  <c r="Q8745" i="1"/>
  <c r="O8745" i="1"/>
  <c r="Q8744" i="1"/>
  <c r="O8744" i="1"/>
  <c r="Q8743" i="1"/>
  <c r="O8743" i="1"/>
  <c r="Q8742" i="1"/>
  <c r="O8742" i="1"/>
  <c r="Q8741" i="1"/>
  <c r="O8741" i="1"/>
  <c r="Q8740" i="1"/>
  <c r="O8740" i="1"/>
  <c r="Q8739" i="1"/>
  <c r="O8739" i="1"/>
  <c r="Q8738" i="1"/>
  <c r="O8738" i="1"/>
  <c r="Q8737" i="1"/>
  <c r="O8737" i="1"/>
  <c r="Q8736" i="1"/>
  <c r="O8736" i="1"/>
  <c r="Q8735" i="1"/>
  <c r="O8735" i="1"/>
  <c r="Q8734" i="1"/>
  <c r="O8734" i="1"/>
  <c r="Q8733" i="1"/>
  <c r="O8733" i="1"/>
  <c r="Q8732" i="1"/>
  <c r="O8732" i="1"/>
  <c r="Q8731" i="1"/>
  <c r="O8731" i="1"/>
  <c r="Q8730" i="1"/>
  <c r="O8730" i="1"/>
  <c r="Q8729" i="1"/>
  <c r="O8729" i="1"/>
  <c r="Q8728" i="1"/>
  <c r="O8728" i="1"/>
  <c r="Q8727" i="1"/>
  <c r="O8727" i="1"/>
  <c r="Q8726" i="1"/>
  <c r="O8726" i="1"/>
  <c r="Q8725" i="1"/>
  <c r="O8725" i="1"/>
  <c r="Q8724" i="1"/>
  <c r="O8724" i="1"/>
  <c r="Q8723" i="1"/>
  <c r="O8723" i="1"/>
  <c r="Q8722" i="1"/>
  <c r="O8722" i="1"/>
  <c r="Q8721" i="1"/>
  <c r="O8721" i="1"/>
  <c r="Q8720" i="1"/>
  <c r="O8720" i="1"/>
  <c r="Q8719" i="1"/>
  <c r="O8719" i="1"/>
  <c r="Q8718" i="1"/>
  <c r="O8718" i="1"/>
  <c r="Q8717" i="1"/>
  <c r="O8717" i="1"/>
  <c r="Q8716" i="1"/>
  <c r="O8716" i="1"/>
  <c r="Q8715" i="1"/>
  <c r="O8715" i="1"/>
  <c r="Q8714" i="1"/>
  <c r="O8714" i="1"/>
  <c r="Q8713" i="1"/>
  <c r="O8713" i="1"/>
  <c r="Q8712" i="1"/>
  <c r="O8712" i="1"/>
  <c r="Q8711" i="1"/>
  <c r="O8711" i="1"/>
  <c r="Q8710" i="1"/>
  <c r="O8710" i="1"/>
  <c r="Q8709" i="1"/>
  <c r="O8709" i="1"/>
  <c r="Q8708" i="1"/>
  <c r="O8708" i="1"/>
  <c r="Q8707" i="1"/>
  <c r="O8707" i="1"/>
  <c r="Q8706" i="1"/>
  <c r="O8706" i="1"/>
  <c r="Q8705" i="1"/>
  <c r="O8705" i="1"/>
  <c r="Q8704" i="1"/>
  <c r="O8704" i="1"/>
  <c r="Q8703" i="1"/>
  <c r="O8703" i="1"/>
  <c r="Q8702" i="1"/>
  <c r="O8702" i="1"/>
  <c r="Q8701" i="1"/>
  <c r="O8701" i="1"/>
  <c r="Q8700" i="1"/>
  <c r="O8700" i="1"/>
  <c r="Q8699" i="1"/>
  <c r="O8699" i="1"/>
  <c r="Q8698" i="1"/>
  <c r="O8698" i="1"/>
  <c r="Q8697" i="1"/>
  <c r="O8697" i="1"/>
  <c r="Q8696" i="1"/>
  <c r="O8696" i="1"/>
  <c r="Q8695" i="1"/>
  <c r="O8695" i="1"/>
  <c r="Q8694" i="1"/>
  <c r="O8694" i="1"/>
  <c r="Q8693" i="1"/>
  <c r="O8693" i="1"/>
  <c r="Q8692" i="1"/>
  <c r="O8692" i="1"/>
  <c r="Q8691" i="1"/>
  <c r="O8691" i="1"/>
  <c r="Q8690" i="1"/>
  <c r="O8690" i="1"/>
  <c r="Q8689" i="1"/>
  <c r="O8689" i="1"/>
  <c r="Q8688" i="1"/>
  <c r="O8688" i="1"/>
  <c r="Q8687" i="1"/>
  <c r="O8687" i="1"/>
  <c r="Q8686" i="1"/>
  <c r="O8686" i="1"/>
  <c r="Q8685" i="1"/>
  <c r="O8685" i="1"/>
  <c r="Q8684" i="1"/>
  <c r="O8684" i="1"/>
  <c r="Q8683" i="1"/>
  <c r="O8683" i="1"/>
  <c r="Q8682" i="1"/>
  <c r="O8682" i="1"/>
  <c r="Q8681" i="1"/>
  <c r="O8681" i="1"/>
  <c r="Q8680" i="1"/>
  <c r="O8680" i="1"/>
  <c r="Q8679" i="1"/>
  <c r="O8679" i="1"/>
  <c r="Q8678" i="1"/>
  <c r="O8678" i="1"/>
  <c r="Q8677" i="1"/>
  <c r="O8677" i="1"/>
  <c r="Q8676" i="1"/>
  <c r="O8676" i="1"/>
  <c r="Q8675" i="1"/>
  <c r="O8675" i="1"/>
  <c r="Q8674" i="1"/>
  <c r="O8674" i="1"/>
  <c r="Q8673" i="1"/>
  <c r="O8673" i="1"/>
  <c r="Q8672" i="1"/>
  <c r="O8672" i="1"/>
  <c r="Q8671" i="1"/>
  <c r="O8671" i="1"/>
  <c r="Q8670" i="1"/>
  <c r="O8670" i="1"/>
  <c r="Q8669" i="1"/>
  <c r="O8669" i="1"/>
  <c r="Q8668" i="1"/>
  <c r="O8668" i="1"/>
  <c r="Q8667" i="1"/>
  <c r="O8667" i="1"/>
  <c r="Q8666" i="1"/>
  <c r="O8666" i="1"/>
  <c r="Q8665" i="1"/>
  <c r="O8665" i="1"/>
  <c r="Q8664" i="1"/>
  <c r="O8664" i="1"/>
  <c r="Q8663" i="1"/>
  <c r="O8663" i="1"/>
  <c r="Q8662" i="1"/>
  <c r="O8662" i="1"/>
  <c r="Q8661" i="1"/>
  <c r="O8661" i="1"/>
  <c r="Q8660" i="1"/>
  <c r="O8660" i="1"/>
  <c r="Q8659" i="1"/>
  <c r="O8659" i="1"/>
  <c r="Q8658" i="1"/>
  <c r="O8658" i="1"/>
  <c r="Q8657" i="1"/>
  <c r="O8657" i="1"/>
  <c r="Q8656" i="1"/>
  <c r="O8656" i="1"/>
  <c r="Q8655" i="1"/>
  <c r="O8655" i="1"/>
  <c r="Q8654" i="1"/>
  <c r="O8654" i="1"/>
  <c r="Q8653" i="1"/>
  <c r="O8653" i="1"/>
  <c r="Q8652" i="1"/>
  <c r="O8652" i="1"/>
  <c r="Q8651" i="1"/>
  <c r="O8651" i="1"/>
  <c r="Q8650" i="1"/>
  <c r="O8650" i="1"/>
  <c r="Q8649" i="1"/>
  <c r="O8649" i="1"/>
  <c r="Q8648" i="1"/>
  <c r="O8648" i="1"/>
  <c r="Q8647" i="1"/>
  <c r="O8647" i="1"/>
  <c r="Q8646" i="1"/>
  <c r="O8646" i="1"/>
  <c r="Q8645" i="1"/>
  <c r="O8645" i="1"/>
  <c r="Q8644" i="1"/>
  <c r="O8644" i="1"/>
  <c r="Q8643" i="1"/>
  <c r="O8643" i="1"/>
  <c r="Q8642" i="1"/>
  <c r="O8642" i="1"/>
  <c r="Q8641" i="1"/>
  <c r="O8641" i="1"/>
  <c r="Q8640" i="1"/>
  <c r="O8640" i="1"/>
  <c r="Q8639" i="1"/>
  <c r="O8639" i="1"/>
  <c r="Q8638" i="1"/>
  <c r="O8638" i="1"/>
  <c r="Q8637" i="1"/>
  <c r="O8637" i="1"/>
  <c r="Q8636" i="1"/>
  <c r="O8636" i="1"/>
  <c r="Q8635" i="1"/>
  <c r="O8635" i="1"/>
  <c r="Q8634" i="1"/>
  <c r="O8634" i="1"/>
  <c r="Q8633" i="1"/>
  <c r="O8633" i="1"/>
  <c r="Q8632" i="1"/>
  <c r="O8632" i="1"/>
  <c r="Q8631" i="1"/>
  <c r="O8631" i="1"/>
  <c r="Q8630" i="1"/>
  <c r="O8630" i="1"/>
  <c r="Q8629" i="1"/>
  <c r="O8629" i="1"/>
  <c r="Q8628" i="1"/>
  <c r="O8628" i="1"/>
  <c r="Q8627" i="1"/>
  <c r="O8627" i="1"/>
  <c r="Q8626" i="1"/>
  <c r="O8626" i="1"/>
  <c r="Q8625" i="1"/>
  <c r="O8625" i="1"/>
  <c r="Q8624" i="1"/>
  <c r="O8624" i="1"/>
  <c r="Q8623" i="1"/>
  <c r="O8623" i="1"/>
  <c r="Q8622" i="1"/>
  <c r="O8622" i="1"/>
  <c r="Q8621" i="1"/>
  <c r="O8621" i="1"/>
  <c r="Q8620" i="1"/>
  <c r="O8620" i="1"/>
  <c r="Q8619" i="1"/>
  <c r="O8619" i="1"/>
  <c r="Q8618" i="1"/>
  <c r="O8618" i="1"/>
  <c r="Q8617" i="1"/>
  <c r="O8617" i="1"/>
  <c r="Q8616" i="1"/>
  <c r="O8616" i="1"/>
  <c r="Q8615" i="1"/>
  <c r="O8615" i="1"/>
  <c r="Q8614" i="1"/>
  <c r="O8614" i="1"/>
  <c r="Q8613" i="1"/>
  <c r="O8613" i="1"/>
  <c r="Q8612" i="1"/>
  <c r="O8612" i="1"/>
  <c r="Q8611" i="1"/>
  <c r="O8611" i="1"/>
  <c r="Q8610" i="1"/>
  <c r="O8610" i="1"/>
  <c r="Q8609" i="1"/>
  <c r="O8609" i="1"/>
  <c r="Q8608" i="1"/>
  <c r="O8608" i="1"/>
  <c r="Q8607" i="1"/>
  <c r="O8607" i="1"/>
  <c r="Q8606" i="1"/>
  <c r="O8606" i="1"/>
  <c r="Q8605" i="1"/>
  <c r="O8605" i="1"/>
  <c r="Q8604" i="1"/>
  <c r="O8604" i="1"/>
  <c r="Q8603" i="1"/>
  <c r="O8603" i="1"/>
  <c r="Q8602" i="1"/>
  <c r="O8602" i="1"/>
  <c r="Q8601" i="1"/>
  <c r="O8601" i="1"/>
  <c r="Q8600" i="1"/>
  <c r="O8600" i="1"/>
  <c r="Q8599" i="1"/>
  <c r="O8599" i="1"/>
  <c r="Q8598" i="1"/>
  <c r="O8598" i="1"/>
  <c r="Q8597" i="1"/>
  <c r="O8597" i="1"/>
  <c r="Q8596" i="1"/>
  <c r="O8596" i="1"/>
  <c r="Q8595" i="1"/>
  <c r="O8595" i="1"/>
  <c r="Q8594" i="1"/>
  <c r="O8594" i="1"/>
  <c r="Q8593" i="1"/>
  <c r="O8593" i="1"/>
  <c r="Q8592" i="1"/>
  <c r="O8592" i="1"/>
  <c r="Q8591" i="1"/>
  <c r="O8591" i="1"/>
  <c r="Q8590" i="1"/>
  <c r="O8590" i="1"/>
  <c r="Q8589" i="1"/>
  <c r="O8589" i="1"/>
  <c r="Q8588" i="1"/>
  <c r="O8588" i="1"/>
  <c r="Q8587" i="1"/>
  <c r="O8587" i="1"/>
  <c r="Q8586" i="1"/>
  <c r="O8586" i="1"/>
  <c r="Q8585" i="1"/>
  <c r="O8585" i="1"/>
  <c r="Q8584" i="1"/>
  <c r="O8584" i="1"/>
  <c r="Q8583" i="1"/>
  <c r="O8583" i="1"/>
  <c r="Q8582" i="1"/>
  <c r="O8582" i="1"/>
  <c r="Q8581" i="1"/>
  <c r="O8581" i="1"/>
  <c r="Q8580" i="1"/>
  <c r="O8580" i="1"/>
  <c r="Q8579" i="1"/>
  <c r="O8579" i="1"/>
  <c r="Q8578" i="1"/>
  <c r="O8578" i="1"/>
  <c r="Q8577" i="1"/>
  <c r="O8577" i="1"/>
  <c r="Q8576" i="1"/>
  <c r="O8576" i="1"/>
  <c r="Q8575" i="1"/>
  <c r="O8575" i="1"/>
  <c r="Q8574" i="1"/>
  <c r="O8574" i="1"/>
  <c r="Q8573" i="1"/>
  <c r="O8573" i="1"/>
  <c r="Q8572" i="1"/>
  <c r="O8572" i="1"/>
  <c r="Q8571" i="1"/>
  <c r="O8571" i="1"/>
  <c r="Q8570" i="1"/>
  <c r="O8570" i="1"/>
  <c r="Q8569" i="1"/>
  <c r="O8569" i="1"/>
  <c r="Q8568" i="1"/>
  <c r="O8568" i="1"/>
  <c r="Q8567" i="1"/>
  <c r="O8567" i="1"/>
  <c r="Q8566" i="1"/>
  <c r="O8566" i="1"/>
  <c r="Q8565" i="1"/>
  <c r="O8565" i="1"/>
  <c r="Q8564" i="1"/>
  <c r="O8564" i="1"/>
  <c r="Q8563" i="1"/>
  <c r="O8563" i="1"/>
  <c r="Q8562" i="1"/>
  <c r="O8562" i="1"/>
  <c r="Q8561" i="1"/>
  <c r="O8561" i="1"/>
  <c r="Q8560" i="1"/>
  <c r="O8560" i="1"/>
  <c r="Q8559" i="1"/>
  <c r="O8559" i="1"/>
  <c r="Q8558" i="1"/>
  <c r="O8558" i="1"/>
  <c r="Q8557" i="1"/>
  <c r="O8557" i="1"/>
  <c r="Q8556" i="1"/>
  <c r="O8556" i="1"/>
  <c r="Q8555" i="1"/>
  <c r="O8555" i="1"/>
  <c r="Q8554" i="1"/>
  <c r="O8554" i="1"/>
  <c r="Q8553" i="1"/>
  <c r="O8553" i="1"/>
  <c r="Q8552" i="1"/>
  <c r="O8552" i="1"/>
  <c r="Q8551" i="1"/>
  <c r="O8551" i="1"/>
  <c r="Q8550" i="1"/>
  <c r="O8550" i="1"/>
  <c r="Q8549" i="1"/>
  <c r="O8549" i="1"/>
  <c r="Q8548" i="1"/>
  <c r="O8548" i="1"/>
  <c r="Q8547" i="1"/>
  <c r="O8547" i="1"/>
  <c r="Q8546" i="1"/>
  <c r="O8546" i="1"/>
  <c r="Q8545" i="1"/>
  <c r="O8545" i="1"/>
  <c r="Q8544" i="1"/>
  <c r="O8544" i="1"/>
  <c r="Q8543" i="1"/>
  <c r="O8543" i="1"/>
  <c r="Q8542" i="1"/>
  <c r="O8542" i="1"/>
  <c r="Q8541" i="1"/>
  <c r="O8541" i="1"/>
  <c r="Q8540" i="1"/>
  <c r="O8540" i="1"/>
  <c r="Q8539" i="1"/>
  <c r="O8539" i="1"/>
  <c r="Q8538" i="1"/>
  <c r="O8538" i="1"/>
  <c r="Q8537" i="1"/>
  <c r="O8537" i="1"/>
  <c r="Q8536" i="1"/>
  <c r="O8536" i="1"/>
  <c r="Q8535" i="1"/>
  <c r="O8535" i="1"/>
  <c r="Q8534" i="1"/>
  <c r="O8534" i="1"/>
  <c r="Q8533" i="1"/>
  <c r="O8533" i="1"/>
  <c r="Q8532" i="1"/>
  <c r="O8532" i="1"/>
  <c r="Q8531" i="1"/>
  <c r="O8531" i="1"/>
  <c r="Q8530" i="1"/>
  <c r="O8530" i="1"/>
  <c r="Q8529" i="1"/>
  <c r="O8529" i="1"/>
  <c r="Q8528" i="1"/>
  <c r="O8528" i="1"/>
  <c r="Q8527" i="1"/>
  <c r="O8527" i="1"/>
  <c r="Q8526" i="1"/>
  <c r="O8526" i="1"/>
  <c r="Q8525" i="1"/>
  <c r="O8525" i="1"/>
  <c r="Q8524" i="1"/>
  <c r="O8524" i="1"/>
  <c r="Q8523" i="1"/>
  <c r="O8523" i="1"/>
  <c r="Q8522" i="1"/>
  <c r="O8522" i="1"/>
  <c r="Q8521" i="1"/>
  <c r="O8521" i="1"/>
  <c r="Q8520" i="1"/>
  <c r="O8520" i="1"/>
  <c r="Q8519" i="1"/>
  <c r="O8519" i="1"/>
  <c r="Q8518" i="1"/>
  <c r="O8518" i="1"/>
  <c r="Q8517" i="1"/>
  <c r="O8517" i="1"/>
  <c r="Q8516" i="1"/>
  <c r="O8516" i="1"/>
  <c r="Q8515" i="1"/>
  <c r="O8515" i="1"/>
  <c r="Q8514" i="1"/>
  <c r="O8514" i="1"/>
  <c r="Q8513" i="1"/>
  <c r="O8513" i="1"/>
  <c r="Q8512" i="1"/>
  <c r="O8512" i="1"/>
  <c r="Q8511" i="1"/>
  <c r="O8511" i="1"/>
  <c r="Q8510" i="1"/>
  <c r="O8510" i="1"/>
  <c r="Q8509" i="1"/>
  <c r="O8509" i="1"/>
  <c r="Q8508" i="1"/>
  <c r="O8508" i="1"/>
  <c r="Q8507" i="1"/>
  <c r="O8507" i="1"/>
  <c r="Q8506" i="1"/>
  <c r="O8506" i="1"/>
  <c r="Q8505" i="1"/>
  <c r="O8505" i="1"/>
  <c r="Q8504" i="1"/>
  <c r="O8504" i="1"/>
  <c r="Q8503" i="1"/>
  <c r="O8503" i="1"/>
  <c r="Q8502" i="1"/>
  <c r="O8502" i="1"/>
  <c r="Q8501" i="1"/>
  <c r="O8501" i="1"/>
  <c r="Q8500" i="1"/>
  <c r="O8500" i="1"/>
  <c r="Q8499" i="1"/>
  <c r="O8499" i="1"/>
  <c r="Q8498" i="1"/>
  <c r="O8498" i="1"/>
  <c r="Q8497" i="1"/>
  <c r="O8497" i="1"/>
  <c r="Q8496" i="1"/>
  <c r="O8496" i="1"/>
  <c r="Q8495" i="1"/>
  <c r="O8495" i="1"/>
  <c r="Q8494" i="1"/>
  <c r="O8494" i="1"/>
  <c r="Q8493" i="1"/>
  <c r="O8493" i="1"/>
  <c r="Q8492" i="1"/>
  <c r="O8492" i="1"/>
  <c r="Q8491" i="1"/>
  <c r="O8491" i="1"/>
  <c r="Q8490" i="1"/>
  <c r="O8490" i="1"/>
  <c r="Q8489" i="1"/>
  <c r="O8489" i="1"/>
  <c r="Q8488" i="1"/>
  <c r="O8488" i="1"/>
  <c r="Q8487" i="1"/>
  <c r="O8487" i="1"/>
  <c r="Q8486" i="1"/>
  <c r="O8486" i="1"/>
  <c r="Q8485" i="1"/>
  <c r="O8485" i="1"/>
  <c r="Q8484" i="1"/>
  <c r="O8484" i="1"/>
  <c r="Q8483" i="1"/>
  <c r="O8483" i="1"/>
  <c r="Q8482" i="1"/>
  <c r="O8482" i="1"/>
  <c r="Q8481" i="1"/>
  <c r="O8481" i="1"/>
  <c r="Q8480" i="1"/>
  <c r="O8480" i="1"/>
  <c r="Q8479" i="1"/>
  <c r="O8479" i="1"/>
  <c r="Q8478" i="1"/>
  <c r="O8478" i="1"/>
  <c r="Q8477" i="1"/>
  <c r="O8477" i="1"/>
  <c r="Q8476" i="1"/>
  <c r="O8476" i="1"/>
  <c r="Q8475" i="1"/>
  <c r="O8475" i="1"/>
  <c r="Q8474" i="1"/>
  <c r="O8474" i="1"/>
  <c r="Q8473" i="1"/>
  <c r="O8473" i="1"/>
  <c r="Q8472" i="1"/>
  <c r="O8472" i="1"/>
  <c r="Q8471" i="1"/>
  <c r="O8471" i="1"/>
  <c r="Q8470" i="1"/>
  <c r="O8470" i="1"/>
  <c r="Q8469" i="1"/>
  <c r="O8469" i="1"/>
  <c r="Q8468" i="1"/>
  <c r="O8468" i="1"/>
  <c r="Q8467" i="1"/>
  <c r="O8467" i="1"/>
  <c r="Q8466" i="1"/>
  <c r="O8466" i="1"/>
  <c r="Q8465" i="1"/>
  <c r="O8465" i="1"/>
  <c r="Q8464" i="1"/>
  <c r="O8464" i="1"/>
  <c r="Q8463" i="1"/>
  <c r="O8463" i="1"/>
  <c r="Q8462" i="1"/>
  <c r="O8462" i="1"/>
  <c r="Q8461" i="1"/>
  <c r="O8461" i="1"/>
  <c r="Q8460" i="1"/>
  <c r="O8460" i="1"/>
  <c r="Q8459" i="1"/>
  <c r="O8459" i="1"/>
  <c r="Q8458" i="1"/>
  <c r="O8458" i="1"/>
  <c r="Q8457" i="1"/>
  <c r="O8457" i="1"/>
  <c r="Q8456" i="1"/>
  <c r="O8456" i="1"/>
  <c r="Q8455" i="1"/>
  <c r="O8455" i="1"/>
  <c r="Q8454" i="1"/>
  <c r="O8454" i="1"/>
  <c r="Q8453" i="1"/>
  <c r="O8453" i="1"/>
  <c r="Q8452" i="1"/>
  <c r="O8452" i="1"/>
  <c r="Q8451" i="1"/>
  <c r="O8451" i="1"/>
  <c r="Q8450" i="1"/>
  <c r="O8450" i="1"/>
  <c r="Q8449" i="1"/>
  <c r="O8449" i="1"/>
  <c r="Q8448" i="1"/>
  <c r="O8448" i="1"/>
  <c r="Q8447" i="1"/>
  <c r="O8447" i="1"/>
  <c r="Q8446" i="1"/>
  <c r="O8446" i="1"/>
  <c r="Q8445" i="1"/>
  <c r="O8445" i="1"/>
  <c r="Q8444" i="1"/>
  <c r="O8444" i="1"/>
  <c r="Q8443" i="1"/>
  <c r="O8443" i="1"/>
  <c r="Q8442" i="1"/>
  <c r="O8442" i="1"/>
  <c r="Q8441" i="1"/>
  <c r="O8441" i="1"/>
  <c r="Q8440" i="1"/>
  <c r="O8440" i="1"/>
  <c r="Q8439" i="1"/>
  <c r="O8439" i="1"/>
  <c r="Q8438" i="1"/>
  <c r="O8438" i="1"/>
  <c r="Q8437" i="1"/>
  <c r="O8437" i="1"/>
  <c r="Q8436" i="1"/>
  <c r="O8436" i="1"/>
  <c r="Q8435" i="1"/>
  <c r="O8435" i="1"/>
  <c r="Q8434" i="1"/>
  <c r="O8434" i="1"/>
  <c r="Q8433" i="1"/>
  <c r="O8433" i="1"/>
  <c r="Q8432" i="1"/>
  <c r="O8432" i="1"/>
  <c r="Q8431" i="1"/>
  <c r="O8431" i="1"/>
  <c r="Q8430" i="1"/>
  <c r="O8430" i="1"/>
  <c r="Q8429" i="1"/>
  <c r="O8429" i="1"/>
  <c r="Q8428" i="1"/>
  <c r="O8428" i="1"/>
  <c r="Q8427" i="1"/>
  <c r="O8427" i="1"/>
  <c r="Q8426" i="1"/>
  <c r="O8426" i="1"/>
  <c r="Q8425" i="1"/>
  <c r="O8425" i="1"/>
  <c r="Q8424" i="1"/>
  <c r="O8424" i="1"/>
  <c r="Q8423" i="1"/>
  <c r="O8423" i="1"/>
  <c r="Q8422" i="1"/>
  <c r="O8422" i="1"/>
  <c r="Q8421" i="1"/>
  <c r="O8421" i="1"/>
  <c r="Q8420" i="1"/>
  <c r="O8420" i="1"/>
  <c r="Q8419" i="1"/>
  <c r="O8419" i="1"/>
  <c r="Q8418" i="1"/>
  <c r="O8418" i="1"/>
  <c r="Q8417" i="1"/>
  <c r="O8417" i="1"/>
  <c r="Q8416" i="1"/>
  <c r="O8416" i="1"/>
  <c r="Q8415" i="1"/>
  <c r="O8415" i="1"/>
  <c r="Q8414" i="1"/>
  <c r="O8414" i="1"/>
  <c r="Q8413" i="1"/>
  <c r="O8413" i="1"/>
  <c r="Q8412" i="1"/>
  <c r="O8412" i="1"/>
  <c r="Q8411" i="1"/>
  <c r="O8411" i="1"/>
  <c r="Q8410" i="1"/>
  <c r="O8410" i="1"/>
  <c r="Q8409" i="1"/>
  <c r="O8409" i="1"/>
  <c r="Q8408" i="1"/>
  <c r="O8408" i="1"/>
  <c r="Q8407" i="1"/>
  <c r="O8407" i="1"/>
  <c r="Q8406" i="1"/>
  <c r="O8406" i="1"/>
  <c r="Q8405" i="1"/>
  <c r="O8405" i="1"/>
  <c r="Q8404" i="1"/>
  <c r="O8404" i="1"/>
  <c r="Q8403" i="1"/>
  <c r="O8403" i="1"/>
  <c r="Q8402" i="1"/>
  <c r="O8402" i="1"/>
  <c r="Q8401" i="1"/>
  <c r="O8401" i="1"/>
  <c r="Q8400" i="1"/>
  <c r="O8400" i="1"/>
  <c r="Q8399" i="1"/>
  <c r="O8399" i="1"/>
  <c r="Q8398" i="1"/>
  <c r="O8398" i="1"/>
  <c r="Q8397" i="1"/>
  <c r="O8397" i="1"/>
  <c r="Q8396" i="1"/>
  <c r="O8396" i="1"/>
  <c r="Q8395" i="1"/>
  <c r="O8395" i="1"/>
  <c r="Q8394" i="1"/>
  <c r="O8394" i="1"/>
  <c r="Q8393" i="1"/>
  <c r="O8393" i="1"/>
  <c r="Q8392" i="1"/>
  <c r="O8392" i="1"/>
  <c r="Q8391" i="1"/>
  <c r="O8391" i="1"/>
  <c r="Q8390" i="1"/>
  <c r="O8390" i="1"/>
  <c r="Q8389" i="1"/>
  <c r="O8389" i="1"/>
  <c r="Q8388" i="1"/>
  <c r="O8388" i="1"/>
  <c r="Q8387" i="1"/>
  <c r="O8387" i="1"/>
  <c r="Q8386" i="1"/>
  <c r="O8386" i="1"/>
  <c r="Q8385" i="1"/>
  <c r="O8385" i="1"/>
  <c r="Q8384" i="1"/>
  <c r="O8384" i="1"/>
  <c r="Q8383" i="1"/>
  <c r="O8383" i="1"/>
  <c r="Q8382" i="1"/>
  <c r="O8382" i="1"/>
  <c r="Q8381" i="1"/>
  <c r="O8381" i="1"/>
  <c r="Q8380" i="1"/>
  <c r="O8380" i="1"/>
  <c r="Q8379" i="1"/>
  <c r="O8379" i="1"/>
  <c r="Q8378" i="1"/>
  <c r="O8378" i="1"/>
  <c r="Q8377" i="1"/>
  <c r="O8377" i="1"/>
  <c r="Q8376" i="1"/>
  <c r="O8376" i="1"/>
  <c r="Q8375" i="1"/>
  <c r="O8375" i="1"/>
  <c r="Q8374" i="1"/>
  <c r="O8374" i="1"/>
  <c r="Q8373" i="1"/>
  <c r="O8373" i="1"/>
  <c r="Q8372" i="1"/>
  <c r="O8372" i="1"/>
  <c r="Q8371" i="1"/>
  <c r="O8371" i="1"/>
  <c r="Q8370" i="1"/>
  <c r="O8370" i="1"/>
  <c r="Q8369" i="1"/>
  <c r="O8369" i="1"/>
  <c r="Q8368" i="1"/>
  <c r="O8368" i="1"/>
  <c r="Q8367" i="1"/>
  <c r="O8367" i="1"/>
  <c r="Q8366" i="1"/>
  <c r="O8366" i="1"/>
  <c r="Q8365" i="1"/>
  <c r="O8365" i="1"/>
  <c r="Q8364" i="1"/>
  <c r="O8364" i="1"/>
  <c r="Q8363" i="1"/>
  <c r="O8363" i="1"/>
  <c r="Q8362" i="1"/>
  <c r="O8362" i="1"/>
  <c r="Q8361" i="1"/>
  <c r="O8361" i="1"/>
  <c r="Q8360" i="1"/>
  <c r="O8360" i="1"/>
  <c r="Q8359" i="1"/>
  <c r="O8359" i="1"/>
  <c r="Q8358" i="1"/>
  <c r="O8358" i="1"/>
  <c r="Q8357" i="1"/>
  <c r="O8357" i="1"/>
  <c r="Q8356" i="1"/>
  <c r="O8356" i="1"/>
  <c r="Q8355" i="1"/>
  <c r="O8355" i="1"/>
  <c r="Q8354" i="1"/>
  <c r="O8354" i="1"/>
  <c r="Q8353" i="1"/>
  <c r="O8353" i="1"/>
  <c r="Q8352" i="1"/>
  <c r="O8352" i="1"/>
  <c r="Q8351" i="1"/>
  <c r="O8351" i="1"/>
  <c r="Q8350" i="1"/>
  <c r="O8350" i="1"/>
  <c r="Q8349" i="1"/>
  <c r="O8349" i="1"/>
  <c r="Q8348" i="1"/>
  <c r="O8348" i="1"/>
  <c r="Q8347" i="1"/>
  <c r="O8347" i="1"/>
  <c r="Q8346" i="1"/>
  <c r="O8346" i="1"/>
  <c r="Q8345" i="1"/>
  <c r="O8345" i="1"/>
  <c r="Q8344" i="1"/>
  <c r="O8344" i="1"/>
  <c r="Q8343" i="1"/>
  <c r="O8343" i="1"/>
  <c r="Q8342" i="1"/>
  <c r="O8342" i="1"/>
  <c r="Q8341" i="1"/>
  <c r="O8341" i="1"/>
  <c r="Q8340" i="1"/>
  <c r="O8340" i="1"/>
  <c r="Q8339" i="1"/>
  <c r="O8339" i="1"/>
  <c r="Q8338" i="1"/>
  <c r="O8338" i="1"/>
  <c r="Q8337" i="1"/>
  <c r="O8337" i="1"/>
  <c r="Q8336" i="1"/>
  <c r="O8336" i="1"/>
  <c r="Q8335" i="1"/>
  <c r="O8335" i="1"/>
  <c r="Q8334" i="1"/>
  <c r="O8334" i="1"/>
  <c r="Q8333" i="1"/>
  <c r="O8333" i="1"/>
  <c r="Q8332" i="1"/>
  <c r="O8332" i="1"/>
  <c r="Q8331" i="1"/>
  <c r="O8331" i="1"/>
  <c r="Q8330" i="1"/>
  <c r="O8330" i="1"/>
  <c r="Q8329" i="1"/>
  <c r="O8329" i="1"/>
  <c r="Q8328" i="1"/>
  <c r="O8328" i="1"/>
  <c r="Q8327" i="1"/>
  <c r="O8327" i="1"/>
  <c r="Q8326" i="1"/>
  <c r="O8326" i="1"/>
  <c r="Q8325" i="1"/>
  <c r="O8325" i="1"/>
  <c r="Q8324" i="1"/>
  <c r="O8324" i="1"/>
  <c r="Q8323" i="1"/>
  <c r="O8323" i="1"/>
  <c r="Q8322" i="1"/>
  <c r="O8322" i="1"/>
  <c r="Q8321" i="1"/>
  <c r="O8321" i="1"/>
  <c r="Q8320" i="1"/>
  <c r="O8320" i="1"/>
  <c r="Q8319" i="1"/>
  <c r="O8319" i="1"/>
  <c r="Q8318" i="1"/>
  <c r="O8318" i="1"/>
  <c r="Q8317" i="1"/>
  <c r="O8317" i="1"/>
  <c r="Q8316" i="1"/>
  <c r="O8316" i="1"/>
  <c r="Q8315" i="1"/>
  <c r="O8315" i="1"/>
  <c r="Q8314" i="1"/>
  <c r="O8314" i="1"/>
  <c r="Q8313" i="1"/>
  <c r="O8313" i="1"/>
  <c r="Q8312" i="1"/>
  <c r="O8312" i="1"/>
  <c r="Q8311" i="1"/>
  <c r="O8311" i="1"/>
  <c r="Q8310" i="1"/>
  <c r="O8310" i="1"/>
  <c r="Q8309" i="1"/>
  <c r="O8309" i="1"/>
  <c r="Q8308" i="1"/>
  <c r="O8308" i="1"/>
  <c r="Q8307" i="1"/>
  <c r="O8307" i="1"/>
  <c r="Q8306" i="1"/>
  <c r="O8306" i="1"/>
  <c r="Q8305" i="1"/>
  <c r="O8305" i="1"/>
  <c r="Q8304" i="1"/>
  <c r="O8304" i="1"/>
  <c r="Q8303" i="1"/>
  <c r="O8303" i="1"/>
  <c r="Q8302" i="1"/>
  <c r="O8302" i="1"/>
  <c r="Q8301" i="1"/>
  <c r="O8301" i="1"/>
  <c r="Q8300" i="1"/>
  <c r="O8300" i="1"/>
  <c r="Q8299" i="1"/>
  <c r="O8299" i="1"/>
  <c r="Q8298" i="1"/>
  <c r="O8298" i="1"/>
  <c r="Q8297" i="1"/>
  <c r="O8297" i="1"/>
  <c r="Q8296" i="1"/>
  <c r="O8296" i="1"/>
  <c r="Q8295" i="1"/>
  <c r="O8295" i="1"/>
  <c r="Q8294" i="1"/>
  <c r="O8294" i="1"/>
  <c r="Q8293" i="1"/>
  <c r="O8293" i="1"/>
  <c r="Q8292" i="1"/>
  <c r="O8292" i="1"/>
  <c r="Q8291" i="1"/>
  <c r="O8291" i="1"/>
  <c r="Q8290" i="1"/>
  <c r="O8290" i="1"/>
  <c r="Q8289" i="1"/>
  <c r="O8289" i="1"/>
  <c r="Q8288" i="1"/>
  <c r="O8288" i="1"/>
  <c r="Q8287" i="1"/>
  <c r="O8287" i="1"/>
  <c r="Q8286" i="1"/>
  <c r="O8286" i="1"/>
  <c r="Q8285" i="1"/>
  <c r="O8285" i="1"/>
  <c r="Q8284" i="1"/>
  <c r="O8284" i="1"/>
  <c r="Q8283" i="1"/>
  <c r="O8283" i="1"/>
  <c r="Q8282" i="1"/>
  <c r="O8282" i="1"/>
  <c r="Q8281" i="1"/>
  <c r="O8281" i="1"/>
  <c r="Q8280" i="1"/>
  <c r="O8280" i="1"/>
  <c r="Q8279" i="1"/>
  <c r="O8279" i="1"/>
  <c r="Q8278" i="1"/>
  <c r="O8278" i="1"/>
  <c r="Q8277" i="1"/>
  <c r="O8277" i="1"/>
  <c r="Q8276" i="1"/>
  <c r="O8276" i="1"/>
  <c r="Q8275" i="1"/>
  <c r="O8275" i="1"/>
  <c r="Q8274" i="1"/>
  <c r="O8274" i="1"/>
  <c r="Q8273" i="1"/>
  <c r="O8273" i="1"/>
  <c r="Q8272" i="1"/>
  <c r="O8272" i="1"/>
  <c r="Q8271" i="1"/>
  <c r="O8271" i="1"/>
  <c r="Q8270" i="1"/>
  <c r="O8270" i="1"/>
  <c r="Q8269" i="1"/>
  <c r="O8269" i="1"/>
  <c r="Q8268" i="1"/>
  <c r="O8268" i="1"/>
  <c r="Q8267" i="1"/>
  <c r="O8267" i="1"/>
  <c r="Q8266" i="1"/>
  <c r="O8266" i="1"/>
  <c r="Q8265" i="1"/>
  <c r="O8265" i="1"/>
  <c r="Q8264" i="1"/>
  <c r="O8264" i="1"/>
  <c r="Q8263" i="1"/>
  <c r="O8263" i="1"/>
  <c r="Q8262" i="1"/>
  <c r="O8262" i="1"/>
  <c r="Q8261" i="1"/>
  <c r="O8261" i="1"/>
  <c r="Q8260" i="1"/>
  <c r="O8260" i="1"/>
  <c r="Q8259" i="1"/>
  <c r="O8259" i="1"/>
  <c r="Q8258" i="1"/>
  <c r="O8258" i="1"/>
  <c r="Q8257" i="1"/>
  <c r="O8257" i="1"/>
  <c r="Q8256" i="1"/>
  <c r="O8256" i="1"/>
  <c r="Q8255" i="1"/>
  <c r="O8255" i="1"/>
  <c r="Q8254" i="1"/>
  <c r="O8254" i="1"/>
  <c r="Q8253" i="1"/>
  <c r="O8253" i="1"/>
  <c r="Q8252" i="1"/>
  <c r="O8252" i="1"/>
  <c r="Q8251" i="1"/>
  <c r="O8251" i="1"/>
  <c r="Q8250" i="1"/>
  <c r="O8250" i="1"/>
  <c r="Q8249" i="1"/>
  <c r="O8249" i="1"/>
  <c r="Q8248" i="1"/>
  <c r="O8248" i="1"/>
  <c r="Q8247" i="1"/>
  <c r="O8247" i="1"/>
  <c r="Q8246" i="1"/>
  <c r="O8246" i="1"/>
  <c r="Q8245" i="1"/>
  <c r="O8245" i="1"/>
  <c r="Q8244" i="1"/>
  <c r="O8244" i="1"/>
  <c r="Q8243" i="1"/>
  <c r="O8243" i="1"/>
  <c r="Q8242" i="1"/>
  <c r="O8242" i="1"/>
  <c r="Q8241" i="1"/>
  <c r="O8241" i="1"/>
  <c r="Q8240" i="1"/>
  <c r="O8240" i="1"/>
  <c r="Q8239" i="1"/>
  <c r="O8239" i="1"/>
  <c r="Q8238" i="1"/>
  <c r="O8238" i="1"/>
  <c r="Q8237" i="1"/>
  <c r="O8237" i="1"/>
  <c r="Q8236" i="1"/>
  <c r="O8236" i="1"/>
  <c r="Q8235" i="1"/>
  <c r="O8235" i="1"/>
  <c r="Q8234" i="1"/>
  <c r="O8234" i="1"/>
  <c r="Q8233" i="1"/>
  <c r="O8233" i="1"/>
  <c r="Q8232" i="1"/>
  <c r="O8232" i="1"/>
  <c r="Q8231" i="1"/>
  <c r="O8231" i="1"/>
  <c r="Q8230" i="1"/>
  <c r="O8230" i="1"/>
  <c r="Q8229" i="1"/>
  <c r="O8229" i="1"/>
  <c r="Q8228" i="1"/>
  <c r="O8228" i="1"/>
  <c r="Q8227" i="1"/>
  <c r="O8227" i="1"/>
  <c r="Q8226" i="1"/>
  <c r="O8226" i="1"/>
  <c r="Q8225" i="1"/>
  <c r="O8225" i="1"/>
  <c r="Q8224" i="1"/>
  <c r="O8224" i="1"/>
  <c r="Q8223" i="1"/>
  <c r="O8223" i="1"/>
  <c r="Q8222" i="1"/>
  <c r="O8222" i="1"/>
  <c r="Q8221" i="1"/>
  <c r="O8221" i="1"/>
  <c r="Q8220" i="1"/>
  <c r="O8220" i="1"/>
  <c r="Q8219" i="1"/>
  <c r="O8219" i="1"/>
  <c r="Q8218" i="1"/>
  <c r="O8218" i="1"/>
  <c r="Q8217" i="1"/>
  <c r="O8217" i="1"/>
  <c r="Q8216" i="1"/>
  <c r="O8216" i="1"/>
  <c r="Q8215" i="1"/>
  <c r="O8215" i="1"/>
  <c r="Q8214" i="1"/>
  <c r="O8214" i="1"/>
  <c r="Q8213" i="1"/>
  <c r="O8213" i="1"/>
  <c r="Q8212" i="1"/>
  <c r="O8212" i="1"/>
  <c r="Q8211" i="1"/>
  <c r="O8211" i="1"/>
  <c r="Q8210" i="1"/>
  <c r="O8210" i="1"/>
  <c r="Q8209" i="1"/>
  <c r="O8209" i="1"/>
  <c r="Q8208" i="1"/>
  <c r="O8208" i="1"/>
  <c r="Q8207" i="1"/>
  <c r="O8207" i="1"/>
  <c r="Q8206" i="1"/>
  <c r="O8206" i="1"/>
  <c r="Q8205" i="1"/>
  <c r="O8205" i="1"/>
  <c r="Q8204" i="1"/>
  <c r="O8204" i="1"/>
  <c r="Q8203" i="1"/>
  <c r="O8203" i="1"/>
  <c r="Q8202" i="1"/>
  <c r="O8202" i="1"/>
  <c r="Q8201" i="1"/>
  <c r="O8201" i="1"/>
  <c r="Q8200" i="1"/>
  <c r="O8200" i="1"/>
  <c r="Q8199" i="1"/>
  <c r="O8199" i="1"/>
  <c r="Q8198" i="1"/>
  <c r="O8198" i="1"/>
  <c r="Q8197" i="1"/>
  <c r="O8197" i="1"/>
  <c r="Q8196" i="1"/>
  <c r="O8196" i="1"/>
  <c r="Q8195" i="1"/>
  <c r="O8195" i="1"/>
  <c r="Q8194" i="1"/>
  <c r="O8194" i="1"/>
  <c r="Q8193" i="1"/>
  <c r="O8193" i="1"/>
  <c r="Q8192" i="1"/>
  <c r="O8192" i="1"/>
  <c r="Q8191" i="1"/>
  <c r="O8191" i="1"/>
  <c r="Q8190" i="1"/>
  <c r="O8190" i="1"/>
  <c r="Q8189" i="1"/>
  <c r="O8189" i="1"/>
  <c r="Q8188" i="1"/>
  <c r="O8188" i="1"/>
  <c r="Q8187" i="1"/>
  <c r="O8187" i="1"/>
  <c r="Q8186" i="1"/>
  <c r="O8186" i="1"/>
  <c r="Q8185" i="1"/>
  <c r="O8185" i="1"/>
  <c r="Q8184" i="1"/>
  <c r="O8184" i="1"/>
  <c r="Q8183" i="1"/>
  <c r="O8183" i="1"/>
  <c r="Q8182" i="1"/>
  <c r="O8182" i="1"/>
  <c r="Q8181" i="1"/>
  <c r="O8181" i="1"/>
  <c r="Q8180" i="1"/>
  <c r="O8180" i="1"/>
  <c r="Q8179" i="1"/>
  <c r="O8179" i="1"/>
  <c r="Q8178" i="1"/>
  <c r="O8178" i="1"/>
  <c r="Q8177" i="1"/>
  <c r="O8177" i="1"/>
  <c r="Q8176" i="1"/>
  <c r="O8176" i="1"/>
  <c r="Q8175" i="1"/>
  <c r="O8175" i="1"/>
  <c r="Q8174" i="1"/>
  <c r="O8174" i="1"/>
  <c r="Q8173" i="1"/>
  <c r="O8173" i="1"/>
  <c r="Q8172" i="1"/>
  <c r="O8172" i="1"/>
  <c r="Q8171" i="1"/>
  <c r="O8171" i="1"/>
  <c r="Q8170" i="1"/>
  <c r="O8170" i="1"/>
  <c r="Q8169" i="1"/>
  <c r="O8169" i="1"/>
  <c r="Q8168" i="1"/>
  <c r="O8168" i="1"/>
  <c r="Q8167" i="1"/>
  <c r="O8167" i="1"/>
  <c r="Q8166" i="1"/>
  <c r="O8166" i="1"/>
  <c r="Q8165" i="1"/>
  <c r="O8165" i="1"/>
  <c r="Q8164" i="1"/>
  <c r="O8164" i="1"/>
  <c r="Q8163" i="1"/>
  <c r="O8163" i="1"/>
  <c r="Q8162" i="1"/>
  <c r="O8162" i="1"/>
  <c r="Q8161" i="1"/>
  <c r="O8161" i="1"/>
  <c r="Q8160" i="1"/>
  <c r="O8160" i="1"/>
  <c r="Q8159" i="1"/>
  <c r="O8159" i="1"/>
  <c r="Q8158" i="1"/>
  <c r="O8158" i="1"/>
  <c r="Q8157" i="1"/>
  <c r="O8157" i="1"/>
  <c r="Q8156" i="1"/>
  <c r="O8156" i="1"/>
  <c r="Q8155" i="1"/>
  <c r="O8155" i="1"/>
  <c r="Q8154" i="1"/>
  <c r="O8154" i="1"/>
  <c r="Q8153" i="1"/>
  <c r="O8153" i="1"/>
  <c r="Q8152" i="1"/>
  <c r="O8152" i="1"/>
  <c r="Q8151" i="1"/>
  <c r="O8151" i="1"/>
  <c r="Q8150" i="1"/>
  <c r="O8150" i="1"/>
  <c r="Q8149" i="1"/>
  <c r="O8149" i="1"/>
  <c r="Q8148" i="1"/>
  <c r="O8148" i="1"/>
  <c r="Q8147" i="1"/>
  <c r="O8147" i="1"/>
  <c r="Q8146" i="1"/>
  <c r="O8146" i="1"/>
  <c r="Q8145" i="1"/>
  <c r="O8145" i="1"/>
  <c r="Q8144" i="1"/>
  <c r="O8144" i="1"/>
  <c r="Q8143" i="1"/>
  <c r="O8143" i="1"/>
  <c r="Q8142" i="1"/>
  <c r="O8142" i="1"/>
  <c r="Q8141" i="1"/>
  <c r="O8141" i="1"/>
  <c r="Q8140" i="1"/>
  <c r="O8140" i="1"/>
  <c r="Q8139" i="1"/>
  <c r="O8139" i="1"/>
  <c r="Q8138" i="1"/>
  <c r="O8138" i="1"/>
  <c r="Q8137" i="1"/>
  <c r="O8137" i="1"/>
  <c r="Q8136" i="1"/>
  <c r="O8136" i="1"/>
  <c r="Q8135" i="1"/>
  <c r="O8135" i="1"/>
  <c r="Q8134" i="1"/>
  <c r="O8134" i="1"/>
  <c r="Q8133" i="1"/>
  <c r="O8133" i="1"/>
  <c r="Q8132" i="1"/>
  <c r="O8132" i="1"/>
  <c r="Q8131" i="1"/>
  <c r="O8131" i="1"/>
  <c r="Q8130" i="1"/>
  <c r="O8130" i="1"/>
  <c r="Q8129" i="1"/>
  <c r="O8129" i="1"/>
  <c r="Q8128" i="1"/>
  <c r="O8128" i="1"/>
  <c r="Q8127" i="1"/>
  <c r="O8127" i="1"/>
  <c r="Q8126" i="1"/>
  <c r="O8126" i="1"/>
  <c r="Q8125" i="1"/>
  <c r="O8125" i="1"/>
  <c r="Q8124" i="1"/>
  <c r="O8124" i="1"/>
  <c r="Q8123" i="1"/>
  <c r="O8123" i="1"/>
  <c r="Q8122" i="1"/>
  <c r="O8122" i="1"/>
  <c r="Q8121" i="1"/>
  <c r="O8121" i="1"/>
  <c r="Q8120" i="1"/>
  <c r="O8120" i="1"/>
  <c r="Q8119" i="1"/>
  <c r="O8119" i="1"/>
  <c r="Q8118" i="1"/>
  <c r="O8118" i="1"/>
  <c r="Q8117" i="1"/>
  <c r="O8117" i="1"/>
  <c r="Q8116" i="1"/>
  <c r="O8116" i="1"/>
  <c r="Q8115" i="1"/>
  <c r="O8115" i="1"/>
  <c r="Q8114" i="1"/>
  <c r="O8114" i="1"/>
  <c r="Q8113" i="1"/>
  <c r="O8113" i="1"/>
  <c r="Q8112" i="1"/>
  <c r="O8112" i="1"/>
  <c r="Q8111" i="1"/>
  <c r="O8111" i="1"/>
  <c r="Q8110" i="1"/>
  <c r="O8110" i="1"/>
  <c r="Q8109" i="1"/>
  <c r="O8109" i="1"/>
  <c r="Q8108" i="1"/>
  <c r="O8108" i="1"/>
  <c r="Q8107" i="1"/>
  <c r="O8107" i="1"/>
  <c r="Q8106" i="1"/>
  <c r="O8106" i="1"/>
  <c r="Q8105" i="1"/>
  <c r="O8105" i="1"/>
  <c r="Q8104" i="1"/>
  <c r="O8104" i="1"/>
  <c r="Q8103" i="1"/>
  <c r="O8103" i="1"/>
  <c r="Q8102" i="1"/>
  <c r="O8102" i="1"/>
  <c r="Q8101" i="1"/>
  <c r="O8101" i="1"/>
  <c r="Q8100" i="1"/>
  <c r="O8100" i="1"/>
  <c r="Q8099" i="1"/>
  <c r="O8099" i="1"/>
  <c r="Q8098" i="1"/>
  <c r="O8098" i="1"/>
  <c r="Q8097" i="1"/>
  <c r="O8097" i="1"/>
  <c r="Q8096" i="1"/>
  <c r="O8096" i="1"/>
  <c r="Q8095" i="1"/>
  <c r="O8095" i="1"/>
  <c r="Q8094" i="1"/>
  <c r="O8094" i="1"/>
  <c r="Q8093" i="1"/>
  <c r="O8093" i="1"/>
  <c r="Q8092" i="1"/>
  <c r="O8092" i="1"/>
  <c r="Q8091" i="1"/>
  <c r="O8091" i="1"/>
  <c r="Q8090" i="1"/>
  <c r="O8090" i="1"/>
  <c r="Q8089" i="1"/>
  <c r="O8089" i="1"/>
  <c r="Q8088" i="1"/>
  <c r="O8088" i="1"/>
  <c r="Q8087" i="1"/>
  <c r="O8087" i="1"/>
  <c r="Q8086" i="1"/>
  <c r="O8086" i="1"/>
  <c r="Q8085" i="1"/>
  <c r="O8085" i="1"/>
  <c r="Q8084" i="1"/>
  <c r="O8084" i="1"/>
  <c r="Q8083" i="1"/>
  <c r="O8083" i="1"/>
  <c r="Q8082" i="1"/>
  <c r="O8082" i="1"/>
  <c r="Q8081" i="1"/>
  <c r="O8081" i="1"/>
  <c r="Q8080" i="1"/>
  <c r="O8080" i="1"/>
  <c r="Q8079" i="1"/>
  <c r="O8079" i="1"/>
  <c r="Q8078" i="1"/>
  <c r="O8078" i="1"/>
  <c r="Q8077" i="1"/>
  <c r="O8077" i="1"/>
  <c r="Q8076" i="1"/>
  <c r="O8076" i="1"/>
  <c r="Q8075" i="1"/>
  <c r="O8075" i="1"/>
  <c r="Q8074" i="1"/>
  <c r="O8074" i="1"/>
  <c r="Q8073" i="1"/>
  <c r="O8073" i="1"/>
  <c r="Q8072" i="1"/>
  <c r="O8072" i="1"/>
  <c r="Q8071" i="1"/>
  <c r="O8071" i="1"/>
  <c r="Q8070" i="1"/>
  <c r="O8070" i="1"/>
  <c r="Q8069" i="1"/>
  <c r="O8069" i="1"/>
  <c r="Q8068" i="1"/>
  <c r="O8068" i="1"/>
  <c r="Q8067" i="1"/>
  <c r="O8067" i="1"/>
  <c r="Q8066" i="1"/>
  <c r="O8066" i="1"/>
  <c r="Q8065" i="1"/>
  <c r="O8065" i="1"/>
  <c r="Q8064" i="1"/>
  <c r="O8064" i="1"/>
  <c r="Q8063" i="1"/>
  <c r="O8063" i="1"/>
  <c r="Q8062" i="1"/>
  <c r="O8062" i="1"/>
  <c r="Q8061" i="1"/>
  <c r="O8061" i="1"/>
  <c r="Q8060" i="1"/>
  <c r="O8060" i="1"/>
  <c r="Q8059" i="1"/>
  <c r="O8059" i="1"/>
  <c r="Q8058" i="1"/>
  <c r="O8058" i="1"/>
  <c r="Q8057" i="1"/>
  <c r="O8057" i="1"/>
  <c r="Q8056" i="1"/>
  <c r="O8056" i="1"/>
  <c r="Q8055" i="1"/>
  <c r="O8055" i="1"/>
  <c r="Q8054" i="1"/>
  <c r="O8054" i="1"/>
  <c r="Q8053" i="1"/>
  <c r="O8053" i="1"/>
  <c r="Q8052" i="1"/>
  <c r="O8052" i="1"/>
  <c r="Q8051" i="1"/>
  <c r="O8051" i="1"/>
  <c r="Q8050" i="1"/>
  <c r="O8050" i="1"/>
  <c r="Q8049" i="1"/>
  <c r="O8049" i="1"/>
  <c r="Q8048" i="1"/>
  <c r="O8048" i="1"/>
  <c r="Q8047" i="1"/>
  <c r="O8047" i="1"/>
  <c r="Q8046" i="1"/>
  <c r="O8046" i="1"/>
  <c r="Q8045" i="1"/>
  <c r="O8045" i="1"/>
  <c r="Q8044" i="1"/>
  <c r="O8044" i="1"/>
  <c r="Q8043" i="1"/>
  <c r="O8043" i="1"/>
  <c r="Q8042" i="1"/>
  <c r="O8042" i="1"/>
  <c r="Q8041" i="1"/>
  <c r="O8041" i="1"/>
  <c r="Q8040" i="1"/>
  <c r="O8040" i="1"/>
  <c r="Q8039" i="1"/>
  <c r="O8039" i="1"/>
  <c r="Q8038" i="1"/>
  <c r="O8038" i="1"/>
  <c r="Q8037" i="1"/>
  <c r="O8037" i="1"/>
  <c r="Q8036" i="1"/>
  <c r="O8036" i="1"/>
  <c r="Q8035" i="1"/>
  <c r="O8035" i="1"/>
  <c r="Q8034" i="1"/>
  <c r="O8034" i="1"/>
  <c r="Q8033" i="1"/>
  <c r="O8033" i="1"/>
  <c r="Q8032" i="1"/>
  <c r="O8032" i="1"/>
  <c r="Q8031" i="1"/>
  <c r="O8031" i="1"/>
  <c r="Q8030" i="1"/>
  <c r="O8030" i="1"/>
  <c r="Q8029" i="1"/>
  <c r="O8029" i="1"/>
  <c r="Q8028" i="1"/>
  <c r="O8028" i="1"/>
  <c r="Q8027" i="1"/>
  <c r="O8027" i="1"/>
  <c r="Q8026" i="1"/>
  <c r="O8026" i="1"/>
  <c r="Q8025" i="1"/>
  <c r="O8025" i="1"/>
  <c r="Q8024" i="1"/>
  <c r="O8024" i="1"/>
  <c r="Q8023" i="1"/>
  <c r="O8023" i="1"/>
  <c r="Q8022" i="1"/>
  <c r="O8022" i="1"/>
  <c r="Q8021" i="1"/>
  <c r="O8021" i="1"/>
  <c r="Q8020" i="1"/>
  <c r="O8020" i="1"/>
  <c r="Q8019" i="1"/>
  <c r="O8019" i="1"/>
  <c r="Q8018" i="1"/>
  <c r="O8018" i="1"/>
  <c r="Q8017" i="1"/>
  <c r="O8017" i="1"/>
  <c r="Q8016" i="1"/>
  <c r="O8016" i="1"/>
  <c r="Q8015" i="1"/>
  <c r="O8015" i="1"/>
  <c r="Q8014" i="1"/>
  <c r="O8014" i="1"/>
  <c r="Q8013" i="1"/>
  <c r="O8013" i="1"/>
  <c r="Q8012" i="1"/>
  <c r="O8012" i="1"/>
  <c r="Q8011" i="1"/>
  <c r="O8011" i="1"/>
  <c r="Q8010" i="1"/>
  <c r="O8010" i="1"/>
  <c r="Q8009" i="1"/>
  <c r="O8009" i="1"/>
  <c r="Q8008" i="1"/>
  <c r="O8008" i="1"/>
  <c r="Q8007" i="1"/>
  <c r="O8007" i="1"/>
  <c r="Q8006" i="1"/>
  <c r="O8006" i="1"/>
  <c r="Q8005" i="1"/>
  <c r="O8005" i="1"/>
  <c r="Q8004" i="1"/>
  <c r="O8004" i="1"/>
  <c r="Q8003" i="1"/>
  <c r="O8003" i="1"/>
  <c r="Q8002" i="1"/>
  <c r="O8002" i="1"/>
  <c r="Q8001" i="1"/>
  <c r="O8001" i="1"/>
  <c r="Q8000" i="1"/>
  <c r="O8000" i="1"/>
  <c r="Q7999" i="1"/>
  <c r="O7999" i="1"/>
  <c r="Q7998" i="1"/>
  <c r="O7998" i="1"/>
  <c r="Q7997" i="1"/>
  <c r="O7997" i="1"/>
  <c r="Q7996" i="1"/>
  <c r="O7996" i="1"/>
  <c r="Q7995" i="1"/>
  <c r="O7995" i="1"/>
  <c r="Q7994" i="1"/>
  <c r="O7994" i="1"/>
  <c r="Q7993" i="1"/>
  <c r="O7993" i="1"/>
  <c r="Q7992" i="1"/>
  <c r="O7992" i="1"/>
  <c r="Q7991" i="1"/>
  <c r="O7991" i="1"/>
  <c r="Q7990" i="1"/>
  <c r="O7990" i="1"/>
  <c r="Q7989" i="1"/>
  <c r="O7989" i="1"/>
  <c r="Q7988" i="1"/>
  <c r="O7988" i="1"/>
  <c r="Q7987" i="1"/>
  <c r="O7987" i="1"/>
  <c r="Q7986" i="1"/>
  <c r="O7986" i="1"/>
  <c r="Q7985" i="1"/>
  <c r="O7985" i="1"/>
  <c r="Q7984" i="1"/>
  <c r="O7984" i="1"/>
  <c r="Q7983" i="1"/>
  <c r="O7983" i="1"/>
  <c r="Q7982" i="1"/>
  <c r="O7982" i="1"/>
  <c r="Q7981" i="1"/>
  <c r="O7981" i="1"/>
  <c r="Q7980" i="1"/>
  <c r="O7980" i="1"/>
  <c r="Q7979" i="1"/>
  <c r="O7979" i="1"/>
  <c r="Q7978" i="1"/>
  <c r="O7978" i="1"/>
  <c r="Q7977" i="1"/>
  <c r="O7977" i="1"/>
  <c r="Q7976" i="1"/>
  <c r="O7976" i="1"/>
  <c r="Q7975" i="1"/>
  <c r="O7975" i="1"/>
  <c r="Q7974" i="1"/>
  <c r="O7974" i="1"/>
  <c r="Q7973" i="1"/>
  <c r="O7973" i="1"/>
  <c r="Q7972" i="1"/>
  <c r="O7972" i="1"/>
  <c r="Q7971" i="1"/>
  <c r="O7971" i="1"/>
  <c r="Q7970" i="1"/>
  <c r="O7970" i="1"/>
  <c r="Q7969" i="1"/>
  <c r="O7969" i="1"/>
  <c r="Q7968" i="1"/>
  <c r="O7968" i="1"/>
  <c r="Q7967" i="1"/>
  <c r="O7967" i="1"/>
  <c r="Q7966" i="1"/>
  <c r="O7966" i="1"/>
  <c r="Q7965" i="1"/>
  <c r="O7965" i="1"/>
  <c r="Q7964" i="1"/>
  <c r="O7964" i="1"/>
  <c r="Q7963" i="1"/>
  <c r="O7963" i="1"/>
  <c r="Q7962" i="1"/>
  <c r="O7962" i="1"/>
  <c r="Q7961" i="1"/>
  <c r="O7961" i="1"/>
  <c r="Q7960" i="1"/>
  <c r="O7960" i="1"/>
  <c r="Q7959" i="1"/>
  <c r="O7959" i="1"/>
  <c r="Q7958" i="1"/>
  <c r="O7958" i="1"/>
  <c r="Q7957" i="1"/>
  <c r="O7957" i="1"/>
  <c r="Q7956" i="1"/>
  <c r="O7956" i="1"/>
  <c r="Q7955" i="1"/>
  <c r="O7955" i="1"/>
  <c r="Q7954" i="1"/>
  <c r="O7954" i="1"/>
  <c r="Q7953" i="1"/>
  <c r="O7953" i="1"/>
  <c r="Q7952" i="1"/>
  <c r="O7952" i="1"/>
  <c r="Q7951" i="1"/>
  <c r="O7951" i="1"/>
  <c r="Q7950" i="1"/>
  <c r="O7950" i="1"/>
  <c r="Q7949" i="1"/>
  <c r="O7949" i="1"/>
  <c r="Q7948" i="1"/>
  <c r="O7948" i="1"/>
  <c r="Q7947" i="1"/>
  <c r="O7947" i="1"/>
  <c r="Q7946" i="1"/>
  <c r="O7946" i="1"/>
  <c r="Q7945" i="1"/>
  <c r="O7945" i="1"/>
  <c r="Q7944" i="1"/>
  <c r="O7944" i="1"/>
  <c r="Q7943" i="1"/>
  <c r="O7943" i="1"/>
  <c r="Q7942" i="1"/>
  <c r="O7942" i="1"/>
  <c r="Q7941" i="1"/>
  <c r="O7941" i="1"/>
  <c r="Q7940" i="1"/>
  <c r="O7940" i="1"/>
  <c r="Q7939" i="1"/>
  <c r="O7939" i="1"/>
  <c r="Q7938" i="1"/>
  <c r="O7938" i="1"/>
  <c r="Q7937" i="1"/>
  <c r="O7937" i="1"/>
  <c r="Q7936" i="1"/>
  <c r="O7936" i="1"/>
  <c r="Q7935" i="1"/>
  <c r="O7935" i="1"/>
  <c r="Q7934" i="1"/>
  <c r="O7934" i="1"/>
  <c r="Q7933" i="1"/>
  <c r="O7933" i="1"/>
  <c r="Q7932" i="1"/>
  <c r="O7932" i="1"/>
  <c r="Q7931" i="1"/>
  <c r="O7931" i="1"/>
  <c r="Q7930" i="1"/>
  <c r="O7930" i="1"/>
  <c r="Q7929" i="1"/>
  <c r="O7929" i="1"/>
  <c r="Q7928" i="1"/>
  <c r="O7928" i="1"/>
  <c r="Q7927" i="1"/>
  <c r="O7927" i="1"/>
  <c r="Q7926" i="1"/>
  <c r="O7926" i="1"/>
  <c r="Q7925" i="1"/>
  <c r="O7925" i="1"/>
  <c r="Q7924" i="1"/>
  <c r="O7924" i="1"/>
  <c r="Q7923" i="1"/>
  <c r="O7923" i="1"/>
  <c r="Q7922" i="1"/>
  <c r="O7922" i="1"/>
  <c r="Q7921" i="1"/>
  <c r="O7921" i="1"/>
  <c r="Q7920" i="1"/>
  <c r="O7920" i="1"/>
  <c r="Q7919" i="1"/>
  <c r="O7919" i="1"/>
  <c r="Q7918" i="1"/>
  <c r="O7918" i="1"/>
  <c r="Q7917" i="1"/>
  <c r="O7917" i="1"/>
  <c r="Q7916" i="1"/>
  <c r="O7916" i="1"/>
  <c r="Q7915" i="1"/>
  <c r="O7915" i="1"/>
  <c r="Q7914" i="1"/>
  <c r="O7914" i="1"/>
  <c r="Q7913" i="1"/>
  <c r="O7913" i="1"/>
  <c r="Q7912" i="1"/>
  <c r="O7912" i="1"/>
  <c r="Q7911" i="1"/>
  <c r="O7911" i="1"/>
  <c r="Q7910" i="1"/>
  <c r="O7910" i="1"/>
  <c r="Q7909" i="1"/>
  <c r="O7909" i="1"/>
  <c r="Q7908" i="1"/>
  <c r="O7908" i="1"/>
  <c r="Q7907" i="1"/>
  <c r="O7907" i="1"/>
  <c r="Q7906" i="1"/>
  <c r="O7906" i="1"/>
  <c r="Q7905" i="1"/>
  <c r="O7905" i="1"/>
  <c r="Q7904" i="1"/>
  <c r="O7904" i="1"/>
  <c r="Q7903" i="1"/>
  <c r="O7903" i="1"/>
  <c r="Q7902" i="1"/>
  <c r="O7902" i="1"/>
  <c r="Q7901" i="1"/>
  <c r="O7901" i="1"/>
  <c r="Q7900" i="1"/>
  <c r="O7900" i="1"/>
  <c r="Q7899" i="1"/>
  <c r="O7899" i="1"/>
  <c r="Q7898" i="1"/>
  <c r="O7898" i="1"/>
  <c r="Q7897" i="1"/>
  <c r="O7897" i="1"/>
  <c r="Q7896" i="1"/>
  <c r="O7896" i="1"/>
  <c r="Q7895" i="1"/>
  <c r="O7895" i="1"/>
  <c r="Q7894" i="1"/>
  <c r="O7894" i="1"/>
  <c r="Q7893" i="1"/>
  <c r="O7893" i="1"/>
  <c r="Q7892" i="1"/>
  <c r="O7892" i="1"/>
  <c r="Q7891" i="1"/>
  <c r="O7891" i="1"/>
  <c r="Q7890" i="1"/>
  <c r="O7890" i="1"/>
  <c r="Q7889" i="1"/>
  <c r="O7889" i="1"/>
  <c r="Q7888" i="1"/>
  <c r="O7888" i="1"/>
  <c r="Q7887" i="1"/>
  <c r="O7887" i="1"/>
  <c r="Q7886" i="1"/>
  <c r="O7886" i="1"/>
  <c r="Q7885" i="1"/>
  <c r="O7885" i="1"/>
  <c r="Q7884" i="1"/>
  <c r="O7884" i="1"/>
  <c r="Q7883" i="1"/>
  <c r="O7883" i="1"/>
  <c r="Q7882" i="1"/>
  <c r="O7882" i="1"/>
  <c r="Q7881" i="1"/>
  <c r="O7881" i="1"/>
  <c r="Q7880" i="1"/>
  <c r="O7880" i="1"/>
  <c r="Q7879" i="1"/>
  <c r="O7879" i="1"/>
  <c r="Q7878" i="1"/>
  <c r="O7878" i="1"/>
  <c r="Q7877" i="1"/>
  <c r="O7877" i="1"/>
  <c r="Q7876" i="1"/>
  <c r="O7876" i="1"/>
  <c r="Q7875" i="1"/>
  <c r="O7875" i="1"/>
  <c r="Q7874" i="1"/>
  <c r="O7874" i="1"/>
  <c r="Q7873" i="1"/>
  <c r="O7873" i="1"/>
  <c r="Q7872" i="1"/>
  <c r="O7872" i="1"/>
  <c r="Q7871" i="1"/>
  <c r="O7871" i="1"/>
  <c r="Q7870" i="1"/>
  <c r="O7870" i="1"/>
  <c r="Q7869" i="1"/>
  <c r="O7869" i="1"/>
  <c r="Q7868" i="1"/>
  <c r="O7868" i="1"/>
  <c r="Q7867" i="1"/>
  <c r="O7867" i="1"/>
  <c r="Q7866" i="1"/>
  <c r="O7866" i="1"/>
  <c r="Q7865" i="1"/>
  <c r="O7865" i="1"/>
  <c r="Q7864" i="1"/>
  <c r="O7864" i="1"/>
  <c r="Q7863" i="1"/>
  <c r="O7863" i="1"/>
  <c r="Q7862" i="1"/>
  <c r="O7862" i="1"/>
  <c r="Q7861" i="1"/>
  <c r="O7861" i="1"/>
  <c r="Q7860" i="1"/>
  <c r="O7860" i="1"/>
  <c r="Q7859" i="1"/>
  <c r="O7859" i="1"/>
  <c r="Q7858" i="1"/>
  <c r="O7858" i="1"/>
  <c r="Q7857" i="1"/>
  <c r="O7857" i="1"/>
  <c r="Q7856" i="1"/>
  <c r="O7856" i="1"/>
  <c r="Q7855" i="1"/>
  <c r="O7855" i="1"/>
  <c r="Q7854" i="1"/>
  <c r="O7854" i="1"/>
  <c r="Q7853" i="1"/>
  <c r="O7853" i="1"/>
  <c r="Q7852" i="1"/>
  <c r="O7852" i="1"/>
  <c r="Q7851" i="1"/>
  <c r="O7851" i="1"/>
  <c r="Q7850" i="1"/>
  <c r="O7850" i="1"/>
  <c r="Q7849" i="1"/>
  <c r="O7849" i="1"/>
  <c r="Q7848" i="1"/>
  <c r="O7848" i="1"/>
  <c r="Q7847" i="1"/>
  <c r="O7847" i="1"/>
  <c r="Q7846" i="1"/>
  <c r="O7846" i="1"/>
  <c r="Q7845" i="1"/>
  <c r="O7845" i="1"/>
  <c r="Q7844" i="1"/>
  <c r="O7844" i="1"/>
  <c r="Q7843" i="1"/>
  <c r="O7843" i="1"/>
  <c r="Q7842" i="1"/>
  <c r="O7842" i="1"/>
  <c r="Q7841" i="1"/>
  <c r="O7841" i="1"/>
  <c r="Q7840" i="1"/>
  <c r="O7840" i="1"/>
  <c r="Q7839" i="1"/>
  <c r="O7839" i="1"/>
  <c r="Q7838" i="1"/>
  <c r="O7838" i="1"/>
  <c r="Q7837" i="1"/>
  <c r="O7837" i="1"/>
  <c r="Q7836" i="1"/>
  <c r="O7836" i="1"/>
  <c r="Q7835" i="1"/>
  <c r="O7835" i="1"/>
  <c r="Q7834" i="1"/>
  <c r="O7834" i="1"/>
  <c r="Q7833" i="1"/>
  <c r="O7833" i="1"/>
  <c r="Q7832" i="1"/>
  <c r="O7832" i="1"/>
  <c r="Q7831" i="1"/>
  <c r="O7831" i="1"/>
  <c r="Q7830" i="1"/>
  <c r="O7830" i="1"/>
  <c r="Q7829" i="1"/>
  <c r="O7829" i="1"/>
  <c r="Q7828" i="1"/>
  <c r="O7828" i="1"/>
  <c r="Q7827" i="1"/>
  <c r="O7827" i="1"/>
  <c r="Q7826" i="1"/>
  <c r="O7826" i="1"/>
  <c r="Q7825" i="1"/>
  <c r="O7825" i="1"/>
  <c r="Q7824" i="1"/>
  <c r="O7824" i="1"/>
  <c r="Q7823" i="1"/>
  <c r="O7823" i="1"/>
  <c r="Q7822" i="1"/>
  <c r="O7822" i="1"/>
  <c r="Q7821" i="1"/>
  <c r="O7821" i="1"/>
  <c r="Q7820" i="1"/>
  <c r="O7820" i="1"/>
  <c r="Q7819" i="1"/>
  <c r="O7819" i="1"/>
  <c r="Q7818" i="1"/>
  <c r="O7818" i="1"/>
  <c r="Q7817" i="1"/>
  <c r="O7817" i="1"/>
  <c r="Q7816" i="1"/>
  <c r="O7816" i="1"/>
  <c r="Q7815" i="1"/>
  <c r="O7815" i="1"/>
  <c r="Q7814" i="1"/>
  <c r="O7814" i="1"/>
  <c r="Q7813" i="1"/>
  <c r="O7813" i="1"/>
  <c r="Q7812" i="1"/>
  <c r="O7812" i="1"/>
  <c r="Q7811" i="1"/>
  <c r="O7811" i="1"/>
  <c r="Q7810" i="1"/>
  <c r="O7810" i="1"/>
  <c r="Q7809" i="1"/>
  <c r="O7809" i="1"/>
  <c r="Q7808" i="1"/>
  <c r="O7808" i="1"/>
  <c r="Q7807" i="1"/>
  <c r="O7807" i="1"/>
  <c r="Q7806" i="1"/>
  <c r="O7806" i="1"/>
  <c r="Q7805" i="1"/>
  <c r="O7805" i="1"/>
  <c r="Q7804" i="1"/>
  <c r="O7804" i="1"/>
  <c r="Q7803" i="1"/>
  <c r="O7803" i="1"/>
  <c r="Q7802" i="1"/>
  <c r="O7802" i="1"/>
  <c r="Q7801" i="1"/>
  <c r="O7801" i="1"/>
  <c r="Q7800" i="1"/>
  <c r="O7800" i="1"/>
  <c r="Q7799" i="1"/>
  <c r="O7799" i="1"/>
  <c r="Q7798" i="1"/>
  <c r="O7798" i="1"/>
  <c r="Q7797" i="1"/>
  <c r="O7797" i="1"/>
  <c r="Q7796" i="1"/>
  <c r="O7796" i="1"/>
  <c r="Q7795" i="1"/>
  <c r="O7795" i="1"/>
  <c r="Q7794" i="1"/>
  <c r="O7794" i="1"/>
  <c r="Q7793" i="1"/>
  <c r="O7793" i="1"/>
  <c r="Q7792" i="1"/>
  <c r="O7792" i="1"/>
  <c r="Q7791" i="1"/>
  <c r="O7791" i="1"/>
  <c r="Q7790" i="1"/>
  <c r="O7790" i="1"/>
  <c r="Q7789" i="1"/>
  <c r="O7789" i="1"/>
  <c r="Q7788" i="1"/>
  <c r="O7788" i="1"/>
  <c r="Q7787" i="1"/>
  <c r="O7787" i="1"/>
  <c r="Q7786" i="1"/>
  <c r="O7786" i="1"/>
  <c r="Q7785" i="1"/>
  <c r="O7785" i="1"/>
  <c r="Q7784" i="1"/>
  <c r="O7784" i="1"/>
  <c r="Q7783" i="1"/>
  <c r="O7783" i="1"/>
  <c r="Q7782" i="1"/>
  <c r="O7782" i="1"/>
  <c r="Q7781" i="1"/>
  <c r="O7781" i="1"/>
  <c r="Q7780" i="1"/>
  <c r="O7780" i="1"/>
  <c r="Q7779" i="1"/>
  <c r="O7779" i="1"/>
  <c r="Q7778" i="1"/>
  <c r="O7778" i="1"/>
  <c r="Q7777" i="1"/>
  <c r="O7777" i="1"/>
  <c r="Q7776" i="1"/>
  <c r="O7776" i="1"/>
  <c r="Q7775" i="1"/>
  <c r="O7775" i="1"/>
  <c r="Q7774" i="1"/>
  <c r="O7774" i="1"/>
  <c r="Q7773" i="1"/>
  <c r="O7773" i="1"/>
  <c r="Q7772" i="1"/>
  <c r="O7772" i="1"/>
  <c r="Q7771" i="1"/>
  <c r="O7771" i="1"/>
  <c r="Q7770" i="1"/>
  <c r="O7770" i="1"/>
  <c r="Q7769" i="1"/>
  <c r="O7769" i="1"/>
  <c r="Q7768" i="1"/>
  <c r="O7768" i="1"/>
  <c r="Q7767" i="1"/>
  <c r="O7767" i="1"/>
  <c r="Q7766" i="1"/>
  <c r="O7766" i="1"/>
  <c r="Q7765" i="1"/>
  <c r="O7765" i="1"/>
  <c r="Q7764" i="1"/>
  <c r="O7764" i="1"/>
  <c r="Q7763" i="1"/>
  <c r="O7763" i="1"/>
  <c r="Q7762" i="1"/>
  <c r="O7762" i="1"/>
  <c r="Q7761" i="1"/>
  <c r="O7761" i="1"/>
  <c r="Q7760" i="1"/>
  <c r="O7760" i="1"/>
  <c r="Q7759" i="1"/>
  <c r="O7759" i="1"/>
  <c r="Q7758" i="1"/>
  <c r="O7758" i="1"/>
  <c r="Q7757" i="1"/>
  <c r="O7757" i="1"/>
  <c r="Q7756" i="1"/>
  <c r="O7756" i="1"/>
  <c r="Q7755" i="1"/>
  <c r="O7755" i="1"/>
  <c r="Q7754" i="1"/>
  <c r="O7754" i="1"/>
  <c r="Q7753" i="1"/>
  <c r="O7753" i="1"/>
  <c r="Q7752" i="1"/>
  <c r="O7752" i="1"/>
  <c r="Q7751" i="1"/>
  <c r="O7751" i="1"/>
  <c r="Q7750" i="1"/>
  <c r="O7750" i="1"/>
  <c r="Q7749" i="1"/>
  <c r="O7749" i="1"/>
  <c r="Q7748" i="1"/>
  <c r="O7748" i="1"/>
  <c r="Q7747" i="1"/>
  <c r="O7747" i="1"/>
  <c r="Q7746" i="1"/>
  <c r="O7746" i="1"/>
  <c r="Q7745" i="1"/>
  <c r="O7745" i="1"/>
  <c r="Q7744" i="1"/>
  <c r="O7744" i="1"/>
  <c r="Q7743" i="1"/>
  <c r="O7743" i="1"/>
  <c r="Q7742" i="1"/>
  <c r="O7742" i="1"/>
  <c r="Q7741" i="1"/>
  <c r="O7741" i="1"/>
  <c r="Q7740" i="1"/>
  <c r="O7740" i="1"/>
  <c r="Q7739" i="1"/>
  <c r="O7739" i="1"/>
  <c r="Q7738" i="1"/>
  <c r="O7738" i="1"/>
  <c r="Q7737" i="1"/>
  <c r="O7737" i="1"/>
  <c r="Q7736" i="1"/>
  <c r="O7736" i="1"/>
  <c r="Q7735" i="1"/>
  <c r="O7735" i="1"/>
  <c r="Q7734" i="1"/>
  <c r="O7734" i="1"/>
  <c r="Q7733" i="1"/>
  <c r="O7733" i="1"/>
  <c r="Q7732" i="1"/>
  <c r="O7732" i="1"/>
  <c r="Q7731" i="1"/>
  <c r="O7731" i="1"/>
  <c r="Q7730" i="1"/>
  <c r="O7730" i="1"/>
  <c r="Q7729" i="1"/>
  <c r="O7729" i="1"/>
  <c r="Q7728" i="1"/>
  <c r="O7728" i="1"/>
  <c r="Q7727" i="1"/>
  <c r="O7727" i="1"/>
  <c r="Q7726" i="1"/>
  <c r="O7726" i="1"/>
  <c r="Q7725" i="1"/>
  <c r="O7725" i="1"/>
  <c r="Q7724" i="1"/>
  <c r="O7724" i="1"/>
  <c r="Q7723" i="1"/>
  <c r="O7723" i="1"/>
  <c r="Q7722" i="1"/>
  <c r="O7722" i="1"/>
  <c r="Q7721" i="1"/>
  <c r="O7721" i="1"/>
  <c r="Q7720" i="1"/>
  <c r="O7720" i="1"/>
  <c r="Q7719" i="1"/>
  <c r="O7719" i="1"/>
  <c r="Q7718" i="1"/>
  <c r="O7718" i="1"/>
  <c r="Q7717" i="1"/>
  <c r="O7717" i="1"/>
  <c r="Q7716" i="1"/>
  <c r="O7716" i="1"/>
  <c r="Q7715" i="1"/>
  <c r="O7715" i="1"/>
  <c r="Q7714" i="1"/>
  <c r="O7714" i="1"/>
  <c r="Q7713" i="1"/>
  <c r="O7713" i="1"/>
  <c r="Q7712" i="1"/>
  <c r="O7712" i="1"/>
  <c r="Q7711" i="1"/>
  <c r="O7711" i="1"/>
  <c r="Q7710" i="1"/>
  <c r="O7710" i="1"/>
  <c r="Q7709" i="1"/>
  <c r="O7709" i="1"/>
  <c r="Q7708" i="1"/>
  <c r="O7708" i="1"/>
  <c r="Q7707" i="1"/>
  <c r="O7707" i="1"/>
  <c r="Q7706" i="1"/>
  <c r="O7706" i="1"/>
  <c r="Q7705" i="1"/>
  <c r="O7705" i="1"/>
  <c r="Q7704" i="1"/>
  <c r="O7704" i="1"/>
  <c r="Q7703" i="1"/>
  <c r="O7703" i="1"/>
  <c r="Q7702" i="1"/>
  <c r="O7702" i="1"/>
  <c r="Q7701" i="1"/>
  <c r="O7701" i="1"/>
  <c r="Q7700" i="1"/>
  <c r="O7700" i="1"/>
  <c r="Q7699" i="1"/>
  <c r="O7699" i="1"/>
  <c r="Q7698" i="1"/>
  <c r="O7698" i="1"/>
  <c r="Q7697" i="1"/>
  <c r="O7697" i="1"/>
  <c r="Q7696" i="1"/>
  <c r="O7696" i="1"/>
  <c r="Q7695" i="1"/>
  <c r="O7695" i="1"/>
  <c r="Q7694" i="1"/>
  <c r="O7694" i="1"/>
  <c r="Q7693" i="1"/>
  <c r="O7693" i="1"/>
  <c r="Q7692" i="1"/>
  <c r="O7692" i="1"/>
  <c r="Q7691" i="1"/>
  <c r="O7691" i="1"/>
  <c r="Q7690" i="1"/>
  <c r="O7690" i="1"/>
  <c r="Q7689" i="1"/>
  <c r="O7689" i="1"/>
  <c r="Q7688" i="1"/>
  <c r="O7688" i="1"/>
  <c r="Q7687" i="1"/>
  <c r="O7687" i="1"/>
  <c r="Q7686" i="1"/>
  <c r="O7686" i="1"/>
  <c r="Q7685" i="1"/>
  <c r="O7685" i="1"/>
  <c r="Q7684" i="1"/>
  <c r="O7684" i="1"/>
  <c r="Q7683" i="1"/>
  <c r="O7683" i="1"/>
  <c r="Q7682" i="1"/>
  <c r="O7682" i="1"/>
  <c r="Q7681" i="1"/>
  <c r="O7681" i="1"/>
  <c r="Q7680" i="1"/>
  <c r="O7680" i="1"/>
  <c r="Q7679" i="1"/>
  <c r="O7679" i="1"/>
  <c r="Q7678" i="1"/>
  <c r="O7678" i="1"/>
  <c r="Q7677" i="1"/>
  <c r="O7677" i="1"/>
  <c r="Q7676" i="1"/>
  <c r="O7676" i="1"/>
  <c r="Q7675" i="1"/>
  <c r="O7675" i="1"/>
  <c r="Q7674" i="1"/>
  <c r="O7674" i="1"/>
  <c r="Q7673" i="1"/>
  <c r="O7673" i="1"/>
  <c r="Q7672" i="1"/>
  <c r="O7672" i="1"/>
  <c r="Q7671" i="1"/>
  <c r="O7671" i="1"/>
  <c r="Q7670" i="1"/>
  <c r="O7670" i="1"/>
  <c r="Q7669" i="1"/>
  <c r="O7669" i="1"/>
  <c r="Q7668" i="1"/>
  <c r="O7668" i="1"/>
  <c r="Q7667" i="1"/>
  <c r="O7667" i="1"/>
  <c r="Q7666" i="1"/>
  <c r="O7666" i="1"/>
  <c r="Q7665" i="1"/>
  <c r="O7665" i="1"/>
  <c r="Q7664" i="1"/>
  <c r="O7664" i="1"/>
  <c r="Q7663" i="1"/>
  <c r="O7663" i="1"/>
  <c r="Q7662" i="1"/>
  <c r="O7662" i="1"/>
  <c r="Q7661" i="1"/>
  <c r="O7661" i="1"/>
  <c r="Q7660" i="1"/>
  <c r="O7660" i="1"/>
  <c r="Q7659" i="1"/>
  <c r="O7659" i="1"/>
  <c r="Q7658" i="1"/>
  <c r="O7658" i="1"/>
  <c r="Q7657" i="1"/>
  <c r="O7657" i="1"/>
  <c r="Q7656" i="1"/>
  <c r="O7656" i="1"/>
  <c r="Q7655" i="1"/>
  <c r="O7655" i="1"/>
  <c r="Q7654" i="1"/>
  <c r="O7654" i="1"/>
  <c r="Q7653" i="1"/>
  <c r="O7653" i="1"/>
  <c r="Q7652" i="1"/>
  <c r="O7652" i="1"/>
  <c r="Q7651" i="1"/>
  <c r="O7651" i="1"/>
  <c r="Q7650" i="1"/>
  <c r="O7650" i="1"/>
  <c r="Q7649" i="1"/>
  <c r="O7649" i="1"/>
  <c r="Q7648" i="1"/>
  <c r="O7648" i="1"/>
  <c r="Q7647" i="1"/>
  <c r="O7647" i="1"/>
  <c r="Q7646" i="1"/>
  <c r="O7646" i="1"/>
  <c r="Q7645" i="1"/>
  <c r="O7645" i="1"/>
  <c r="Q7644" i="1"/>
  <c r="O7644" i="1"/>
  <c r="Q7643" i="1"/>
  <c r="O7643" i="1"/>
  <c r="Q7642" i="1"/>
  <c r="O7642" i="1"/>
  <c r="Q7641" i="1"/>
  <c r="O7641" i="1"/>
  <c r="Q7640" i="1"/>
  <c r="O7640" i="1"/>
  <c r="Q7639" i="1"/>
  <c r="O7639" i="1"/>
  <c r="Q7638" i="1"/>
  <c r="O7638" i="1"/>
  <c r="Q7637" i="1"/>
  <c r="O7637" i="1"/>
  <c r="Q7636" i="1"/>
  <c r="O7636" i="1"/>
  <c r="Q7635" i="1"/>
  <c r="O7635" i="1"/>
  <c r="Q7634" i="1"/>
  <c r="O7634" i="1"/>
  <c r="Q7633" i="1"/>
  <c r="O7633" i="1"/>
  <c r="Q7632" i="1"/>
  <c r="O7632" i="1"/>
  <c r="Q7631" i="1"/>
  <c r="O7631" i="1"/>
  <c r="Q7630" i="1"/>
  <c r="O7630" i="1"/>
  <c r="Q7629" i="1"/>
  <c r="O7629" i="1"/>
  <c r="Q7628" i="1"/>
  <c r="O7628" i="1"/>
  <c r="Q7627" i="1"/>
  <c r="O7627" i="1"/>
  <c r="Q7626" i="1"/>
  <c r="O7626" i="1"/>
  <c r="Q7625" i="1"/>
  <c r="O7625" i="1"/>
  <c r="Q7624" i="1"/>
  <c r="O7624" i="1"/>
  <c r="Q7623" i="1"/>
  <c r="O7623" i="1"/>
  <c r="Q7622" i="1"/>
  <c r="O7622" i="1"/>
  <c r="Q7621" i="1"/>
  <c r="O7621" i="1"/>
  <c r="Q7620" i="1"/>
  <c r="O7620" i="1"/>
  <c r="Q7619" i="1"/>
  <c r="O7619" i="1"/>
  <c r="Q7618" i="1"/>
  <c r="O7618" i="1"/>
  <c r="Q7617" i="1"/>
  <c r="O7617" i="1"/>
  <c r="Q7616" i="1"/>
  <c r="O7616" i="1"/>
  <c r="Q7615" i="1"/>
  <c r="O7615" i="1"/>
  <c r="Q7614" i="1"/>
  <c r="O7614" i="1"/>
  <c r="Q7613" i="1"/>
  <c r="O7613" i="1"/>
  <c r="Q7612" i="1"/>
  <c r="O7612" i="1"/>
  <c r="Q7611" i="1"/>
  <c r="O7611" i="1"/>
  <c r="Q7610" i="1"/>
  <c r="O7610" i="1"/>
  <c r="Q7609" i="1"/>
  <c r="O7609" i="1"/>
  <c r="Q7608" i="1"/>
  <c r="O7608" i="1"/>
  <c r="Q7607" i="1"/>
  <c r="O7607" i="1"/>
  <c r="Q7606" i="1"/>
  <c r="O7606" i="1"/>
  <c r="Q7605" i="1"/>
  <c r="O7605" i="1"/>
  <c r="Q7604" i="1"/>
  <c r="O7604" i="1"/>
  <c r="Q7603" i="1"/>
  <c r="O7603" i="1"/>
  <c r="Q7602" i="1"/>
  <c r="O7602" i="1"/>
  <c r="Q7601" i="1"/>
  <c r="O7601" i="1"/>
  <c r="Q7600" i="1"/>
  <c r="O7600" i="1"/>
  <c r="Q7599" i="1"/>
  <c r="O7599" i="1"/>
  <c r="Q7598" i="1"/>
  <c r="O7598" i="1"/>
  <c r="Q7597" i="1"/>
  <c r="O7597" i="1"/>
  <c r="Q7596" i="1"/>
  <c r="O7596" i="1"/>
  <c r="Q7595" i="1"/>
  <c r="O7595" i="1"/>
  <c r="Q7594" i="1"/>
  <c r="O7594" i="1"/>
  <c r="Q7593" i="1"/>
  <c r="O7593" i="1"/>
  <c r="Q7592" i="1"/>
  <c r="O7592" i="1"/>
  <c r="Q7591" i="1"/>
  <c r="O7591" i="1"/>
  <c r="Q7590" i="1"/>
  <c r="O7590" i="1"/>
  <c r="Q7589" i="1"/>
  <c r="O7589" i="1"/>
  <c r="Q7588" i="1"/>
  <c r="O7588" i="1"/>
  <c r="Q7587" i="1"/>
  <c r="O7587" i="1"/>
  <c r="Q7586" i="1"/>
  <c r="O7586" i="1"/>
  <c r="Q7585" i="1"/>
  <c r="O7585" i="1"/>
  <c r="Q7584" i="1"/>
  <c r="O7584" i="1"/>
  <c r="Q7583" i="1"/>
  <c r="O7583" i="1"/>
  <c r="Q7582" i="1"/>
  <c r="O7582" i="1"/>
  <c r="Q7581" i="1"/>
  <c r="O7581" i="1"/>
  <c r="Q7580" i="1"/>
  <c r="O7580" i="1"/>
  <c r="Q7579" i="1"/>
  <c r="O7579" i="1"/>
  <c r="Q7578" i="1"/>
  <c r="O7578" i="1"/>
  <c r="Q7577" i="1"/>
  <c r="O7577" i="1"/>
  <c r="Q7576" i="1"/>
  <c r="O7576" i="1"/>
  <c r="Q7575" i="1"/>
  <c r="O7575" i="1"/>
  <c r="Q7574" i="1"/>
  <c r="O7574" i="1"/>
  <c r="Q7573" i="1"/>
  <c r="O7573" i="1"/>
  <c r="Q7572" i="1"/>
  <c r="O7572" i="1"/>
  <c r="Q7571" i="1"/>
  <c r="O7571" i="1"/>
  <c r="Q7570" i="1"/>
  <c r="O7570" i="1"/>
  <c r="Q7569" i="1"/>
  <c r="O7569" i="1"/>
  <c r="Q7568" i="1"/>
  <c r="O7568" i="1"/>
  <c r="Q7567" i="1"/>
  <c r="O7567" i="1"/>
  <c r="Q7566" i="1"/>
  <c r="O7566" i="1"/>
  <c r="Q7565" i="1"/>
  <c r="O7565" i="1"/>
  <c r="Q7564" i="1"/>
  <c r="O7564" i="1"/>
  <c r="Q7563" i="1"/>
  <c r="O7563" i="1"/>
  <c r="Q7562" i="1"/>
  <c r="O7562" i="1"/>
  <c r="Q7561" i="1"/>
  <c r="O7561" i="1"/>
  <c r="Q7560" i="1"/>
  <c r="O7560" i="1"/>
  <c r="Q7559" i="1"/>
  <c r="O7559" i="1"/>
  <c r="Q7558" i="1"/>
  <c r="O7558" i="1"/>
  <c r="Q7557" i="1"/>
  <c r="O7557" i="1"/>
  <c r="Q7556" i="1"/>
  <c r="O7556" i="1"/>
  <c r="Q7555" i="1"/>
  <c r="O7555" i="1"/>
  <c r="Q7554" i="1"/>
  <c r="O7554" i="1"/>
  <c r="Q7553" i="1"/>
  <c r="O7553" i="1"/>
  <c r="Q7552" i="1"/>
  <c r="O7552" i="1"/>
  <c r="Q7551" i="1"/>
  <c r="O7551" i="1"/>
  <c r="Q7550" i="1"/>
  <c r="O7550" i="1"/>
  <c r="Q7549" i="1"/>
  <c r="O7549" i="1"/>
  <c r="Q7548" i="1"/>
  <c r="O7548" i="1"/>
  <c r="Q7547" i="1"/>
  <c r="O7547" i="1"/>
  <c r="Q7546" i="1"/>
  <c r="O7546" i="1"/>
  <c r="Q7545" i="1"/>
  <c r="O7545" i="1"/>
  <c r="Q7544" i="1"/>
  <c r="O7544" i="1"/>
  <c r="Q7543" i="1"/>
  <c r="O7543" i="1"/>
  <c r="Q7542" i="1"/>
  <c r="O7542" i="1"/>
  <c r="Q7541" i="1"/>
  <c r="O7541" i="1"/>
  <c r="Q7540" i="1"/>
  <c r="O7540" i="1"/>
  <c r="Q7539" i="1"/>
  <c r="O7539" i="1"/>
  <c r="Q7538" i="1"/>
  <c r="O7538" i="1"/>
  <c r="Q7537" i="1"/>
  <c r="O7537" i="1"/>
  <c r="Q7536" i="1"/>
  <c r="O7536" i="1"/>
  <c r="Q7535" i="1"/>
  <c r="O7535" i="1"/>
  <c r="Q7534" i="1"/>
  <c r="O7534" i="1"/>
  <c r="Q7533" i="1"/>
  <c r="O7533" i="1"/>
  <c r="Q7532" i="1"/>
  <c r="O7532" i="1"/>
  <c r="Q7531" i="1"/>
  <c r="O7531" i="1"/>
  <c r="Q7530" i="1"/>
  <c r="O7530" i="1"/>
  <c r="Q7529" i="1"/>
  <c r="O7529" i="1"/>
  <c r="Q7528" i="1"/>
  <c r="O7528" i="1"/>
  <c r="Q7527" i="1"/>
  <c r="O7527" i="1"/>
  <c r="Q7526" i="1"/>
  <c r="O7526" i="1"/>
  <c r="Q7525" i="1"/>
  <c r="O7525" i="1"/>
  <c r="Q7524" i="1"/>
  <c r="O7524" i="1"/>
  <c r="Q7523" i="1"/>
  <c r="O7523" i="1"/>
  <c r="Q7522" i="1"/>
  <c r="O7522" i="1"/>
  <c r="Q7521" i="1"/>
  <c r="O7521" i="1"/>
  <c r="Q7520" i="1"/>
  <c r="O7520" i="1"/>
  <c r="Q7519" i="1"/>
  <c r="O7519" i="1"/>
  <c r="Q7518" i="1"/>
  <c r="O7518" i="1"/>
  <c r="Q7517" i="1"/>
  <c r="O7517" i="1"/>
  <c r="Q7516" i="1"/>
  <c r="O7516" i="1"/>
  <c r="Q7515" i="1"/>
  <c r="O7515" i="1"/>
  <c r="Q7514" i="1"/>
  <c r="O7514" i="1"/>
  <c r="Q7513" i="1"/>
  <c r="O7513" i="1"/>
  <c r="Q7512" i="1"/>
  <c r="O7512" i="1"/>
  <c r="Q7511" i="1"/>
  <c r="O7511" i="1"/>
  <c r="Q7510" i="1"/>
  <c r="O7510" i="1"/>
  <c r="Q7509" i="1"/>
  <c r="O7509" i="1"/>
  <c r="Q7508" i="1"/>
  <c r="O7508" i="1"/>
  <c r="Q7507" i="1"/>
  <c r="O7507" i="1"/>
  <c r="Q7506" i="1"/>
  <c r="O7506" i="1"/>
  <c r="Q7505" i="1"/>
  <c r="O7505" i="1"/>
  <c r="Q7504" i="1"/>
  <c r="O7504" i="1"/>
  <c r="Q7503" i="1"/>
  <c r="O7503" i="1"/>
  <c r="Q7502" i="1"/>
  <c r="O7502" i="1"/>
  <c r="Q7501" i="1"/>
  <c r="O7501" i="1"/>
  <c r="Q7500" i="1"/>
  <c r="O7500" i="1"/>
  <c r="Q7499" i="1"/>
  <c r="O7499" i="1"/>
  <c r="Q7498" i="1"/>
  <c r="O7498" i="1"/>
  <c r="Q7497" i="1"/>
  <c r="O7497" i="1"/>
  <c r="Q7496" i="1"/>
  <c r="O7496" i="1"/>
  <c r="Q7495" i="1"/>
  <c r="O7495" i="1"/>
  <c r="Q7494" i="1"/>
  <c r="O7494" i="1"/>
  <c r="Q7493" i="1"/>
  <c r="O7493" i="1"/>
  <c r="Q7492" i="1"/>
  <c r="O7492" i="1"/>
  <c r="Q7491" i="1"/>
  <c r="O7491" i="1"/>
  <c r="Q7490" i="1"/>
  <c r="O7490" i="1"/>
  <c r="Q7489" i="1"/>
  <c r="O7489" i="1"/>
  <c r="Q7488" i="1"/>
  <c r="O7488" i="1"/>
  <c r="Q7487" i="1"/>
  <c r="O7487" i="1"/>
  <c r="Q7486" i="1"/>
  <c r="O7486" i="1"/>
  <c r="Q7485" i="1"/>
  <c r="O7485" i="1"/>
  <c r="Q7484" i="1"/>
  <c r="O7484" i="1"/>
  <c r="Q7483" i="1"/>
  <c r="O7483" i="1"/>
  <c r="Q7482" i="1"/>
  <c r="O7482" i="1"/>
  <c r="Q7481" i="1"/>
  <c r="O7481" i="1"/>
  <c r="Q7480" i="1"/>
  <c r="O7480" i="1"/>
  <c r="Q7479" i="1"/>
  <c r="O7479" i="1"/>
  <c r="Q7478" i="1"/>
  <c r="O7478" i="1"/>
  <c r="Q7477" i="1"/>
  <c r="O7477" i="1"/>
  <c r="Q7476" i="1"/>
  <c r="O7476" i="1"/>
  <c r="Q7475" i="1"/>
  <c r="O7475" i="1"/>
  <c r="Q7474" i="1"/>
  <c r="O7474" i="1"/>
  <c r="Q7473" i="1"/>
  <c r="O7473" i="1"/>
  <c r="Q7472" i="1"/>
  <c r="O7472" i="1"/>
  <c r="Q7471" i="1"/>
  <c r="O7471" i="1"/>
  <c r="Q7470" i="1"/>
  <c r="O7470" i="1"/>
  <c r="Q7469" i="1"/>
  <c r="O7469" i="1"/>
  <c r="Q7468" i="1"/>
  <c r="O7468" i="1"/>
  <c r="Q7467" i="1"/>
  <c r="O7467" i="1"/>
  <c r="Q7466" i="1"/>
  <c r="O7466" i="1"/>
  <c r="Q7465" i="1"/>
  <c r="O7465" i="1"/>
  <c r="Q7464" i="1"/>
  <c r="O7464" i="1"/>
  <c r="Q7463" i="1"/>
  <c r="O7463" i="1"/>
  <c r="Q7462" i="1"/>
  <c r="O7462" i="1"/>
  <c r="Q7461" i="1"/>
  <c r="O7461" i="1"/>
  <c r="Q7460" i="1"/>
  <c r="O7460" i="1"/>
  <c r="Q7459" i="1"/>
  <c r="O7459" i="1"/>
  <c r="Q7458" i="1"/>
  <c r="O7458" i="1"/>
  <c r="Q7457" i="1"/>
  <c r="O7457" i="1"/>
  <c r="Q7456" i="1"/>
  <c r="O7456" i="1"/>
  <c r="Q7455" i="1"/>
  <c r="O7455" i="1"/>
  <c r="Q7454" i="1"/>
  <c r="O7454" i="1"/>
  <c r="Q7453" i="1"/>
  <c r="O7453" i="1"/>
  <c r="Q7452" i="1"/>
  <c r="O7452" i="1"/>
  <c r="Q7451" i="1"/>
  <c r="O7451" i="1"/>
  <c r="Q7450" i="1"/>
  <c r="O7450" i="1"/>
  <c r="Q7449" i="1"/>
  <c r="O7449" i="1"/>
  <c r="Q7448" i="1"/>
  <c r="O7448" i="1"/>
  <c r="Q7447" i="1"/>
  <c r="O7447" i="1"/>
  <c r="Q7446" i="1"/>
  <c r="O7446" i="1"/>
  <c r="Q7445" i="1"/>
  <c r="O7445" i="1"/>
  <c r="Q7444" i="1"/>
  <c r="O7444" i="1"/>
  <c r="Q7443" i="1"/>
  <c r="O7443" i="1"/>
  <c r="Q7442" i="1"/>
  <c r="O7442" i="1"/>
  <c r="Q7441" i="1"/>
  <c r="O7441" i="1"/>
  <c r="Q7440" i="1"/>
  <c r="O7440" i="1"/>
  <c r="Q7439" i="1"/>
  <c r="O7439" i="1"/>
  <c r="Q7438" i="1"/>
  <c r="O7438" i="1"/>
  <c r="Q7437" i="1"/>
  <c r="O7437" i="1"/>
  <c r="Q7436" i="1"/>
  <c r="O7436" i="1"/>
  <c r="Q7435" i="1"/>
  <c r="O7435" i="1"/>
  <c r="Q7434" i="1"/>
  <c r="O7434" i="1"/>
  <c r="Q7433" i="1"/>
  <c r="O7433" i="1"/>
  <c r="Q7432" i="1"/>
  <c r="O7432" i="1"/>
  <c r="Q7431" i="1"/>
  <c r="O7431" i="1"/>
  <c r="Q7430" i="1"/>
  <c r="O7430" i="1"/>
  <c r="Q7429" i="1"/>
  <c r="O7429" i="1"/>
  <c r="Q7428" i="1"/>
  <c r="O7428" i="1"/>
  <c r="Q7427" i="1"/>
  <c r="O7427" i="1"/>
  <c r="Q7426" i="1"/>
  <c r="O7426" i="1"/>
  <c r="Q7425" i="1"/>
  <c r="O7425" i="1"/>
  <c r="Q7424" i="1"/>
  <c r="O7424" i="1"/>
  <c r="Q7423" i="1"/>
  <c r="O7423" i="1"/>
  <c r="Q7422" i="1"/>
  <c r="O7422" i="1"/>
  <c r="Q7421" i="1"/>
  <c r="O7421" i="1"/>
  <c r="Q7420" i="1"/>
  <c r="O7420" i="1"/>
  <c r="Q7419" i="1"/>
  <c r="O7419" i="1"/>
  <c r="Q7418" i="1"/>
  <c r="O7418" i="1"/>
  <c r="Q7417" i="1"/>
  <c r="O7417" i="1"/>
  <c r="Q7416" i="1"/>
  <c r="O7416" i="1"/>
  <c r="Q7415" i="1"/>
  <c r="O7415" i="1"/>
  <c r="Q7414" i="1"/>
  <c r="O7414" i="1"/>
  <c r="Q7413" i="1"/>
  <c r="O7413" i="1"/>
  <c r="Q7412" i="1"/>
  <c r="O7412" i="1"/>
  <c r="Q7411" i="1"/>
  <c r="O7411" i="1"/>
  <c r="Q7410" i="1"/>
  <c r="O7410" i="1"/>
  <c r="Q7409" i="1"/>
  <c r="O7409" i="1"/>
  <c r="Q7408" i="1"/>
  <c r="O7408" i="1"/>
  <c r="Q7407" i="1"/>
  <c r="O7407" i="1"/>
  <c r="Q7406" i="1"/>
  <c r="O7406" i="1"/>
  <c r="Q7405" i="1"/>
  <c r="O7405" i="1"/>
  <c r="Q7404" i="1"/>
  <c r="O7404" i="1"/>
  <c r="Q7403" i="1"/>
  <c r="O7403" i="1"/>
  <c r="Q7402" i="1"/>
  <c r="O7402" i="1"/>
  <c r="Q7401" i="1"/>
  <c r="O7401" i="1"/>
  <c r="Q7400" i="1"/>
  <c r="O7400" i="1"/>
  <c r="Q7399" i="1"/>
  <c r="O7399" i="1"/>
  <c r="Q7398" i="1"/>
  <c r="O7398" i="1"/>
  <c r="Q7397" i="1"/>
  <c r="O7397" i="1"/>
  <c r="Q7396" i="1"/>
  <c r="O7396" i="1"/>
  <c r="Q7395" i="1"/>
  <c r="O7395" i="1"/>
  <c r="Q7394" i="1"/>
  <c r="O7394" i="1"/>
  <c r="Q7393" i="1"/>
  <c r="O7393" i="1"/>
  <c r="Q7392" i="1"/>
  <c r="O7392" i="1"/>
  <c r="Q7391" i="1"/>
  <c r="O7391" i="1"/>
  <c r="Q7390" i="1"/>
  <c r="O7390" i="1"/>
  <c r="Q7389" i="1"/>
  <c r="O7389" i="1"/>
  <c r="Q7388" i="1"/>
  <c r="O7388" i="1"/>
  <c r="Q7387" i="1"/>
  <c r="O7387" i="1"/>
  <c r="Q7386" i="1"/>
  <c r="O7386" i="1"/>
  <c r="Q7385" i="1"/>
  <c r="O7385" i="1"/>
  <c r="Q7384" i="1"/>
  <c r="O7384" i="1"/>
  <c r="Q7383" i="1"/>
  <c r="O7383" i="1"/>
  <c r="Q7382" i="1"/>
  <c r="O7382" i="1"/>
  <c r="Q7381" i="1"/>
  <c r="O7381" i="1"/>
  <c r="Q7380" i="1"/>
  <c r="O7380" i="1"/>
  <c r="Q7379" i="1"/>
  <c r="O7379" i="1"/>
  <c r="Q7378" i="1"/>
  <c r="O7378" i="1"/>
  <c r="Q7377" i="1"/>
  <c r="O7377" i="1"/>
  <c r="Q7376" i="1"/>
  <c r="O7376" i="1"/>
  <c r="Q7375" i="1"/>
  <c r="O7375" i="1"/>
  <c r="Q7374" i="1"/>
  <c r="O7374" i="1"/>
  <c r="Q7373" i="1"/>
  <c r="O7373" i="1"/>
  <c r="Q7372" i="1"/>
  <c r="O7372" i="1"/>
  <c r="Q7371" i="1"/>
  <c r="O7371" i="1"/>
  <c r="Q7370" i="1"/>
  <c r="O7370" i="1"/>
  <c r="Q7369" i="1"/>
  <c r="O7369" i="1"/>
  <c r="Q7368" i="1"/>
  <c r="O7368" i="1"/>
  <c r="Q7367" i="1"/>
  <c r="O7367" i="1"/>
  <c r="Q7366" i="1"/>
  <c r="O7366" i="1"/>
  <c r="Q7365" i="1"/>
  <c r="O7365" i="1"/>
  <c r="Q7364" i="1"/>
  <c r="O7364" i="1"/>
  <c r="Q7363" i="1"/>
  <c r="O7363" i="1"/>
  <c r="Q7362" i="1"/>
  <c r="O7362" i="1"/>
  <c r="Q7361" i="1"/>
  <c r="O7361" i="1"/>
  <c r="Q7360" i="1"/>
  <c r="O7360" i="1"/>
  <c r="Q7359" i="1"/>
  <c r="O7359" i="1"/>
  <c r="Q7358" i="1"/>
  <c r="O7358" i="1"/>
  <c r="Q7357" i="1"/>
  <c r="O7357" i="1"/>
  <c r="Q7356" i="1"/>
  <c r="O7356" i="1"/>
  <c r="Q7355" i="1"/>
  <c r="O7355" i="1"/>
  <c r="Q7354" i="1"/>
  <c r="O7354" i="1"/>
  <c r="Q7353" i="1"/>
  <c r="O7353" i="1"/>
  <c r="Q7352" i="1"/>
  <c r="O7352" i="1"/>
  <c r="Q7351" i="1"/>
  <c r="O7351" i="1"/>
  <c r="Q7350" i="1"/>
  <c r="O7350" i="1"/>
  <c r="Q7349" i="1"/>
  <c r="O7349" i="1"/>
  <c r="Q7348" i="1"/>
  <c r="O7348" i="1"/>
  <c r="Q7347" i="1"/>
  <c r="O7347" i="1"/>
  <c r="Q7346" i="1"/>
  <c r="O7346" i="1"/>
  <c r="Q7345" i="1"/>
  <c r="O7345" i="1"/>
  <c r="Q7344" i="1"/>
  <c r="O7344" i="1"/>
  <c r="Q7343" i="1"/>
  <c r="O7343" i="1"/>
  <c r="Q7342" i="1"/>
  <c r="O7342" i="1"/>
  <c r="Q7341" i="1"/>
  <c r="O7341" i="1"/>
  <c r="Q7340" i="1"/>
  <c r="O7340" i="1"/>
  <c r="Q7339" i="1"/>
  <c r="O7339" i="1"/>
  <c r="Q7338" i="1"/>
  <c r="O7338" i="1"/>
  <c r="Q7337" i="1"/>
  <c r="O7337" i="1"/>
  <c r="Q7336" i="1"/>
  <c r="O7336" i="1"/>
  <c r="Q7335" i="1"/>
  <c r="O7335" i="1"/>
  <c r="Q7334" i="1"/>
  <c r="O7334" i="1"/>
  <c r="Q7333" i="1"/>
  <c r="O7333" i="1"/>
  <c r="Q7332" i="1"/>
  <c r="O7332" i="1"/>
  <c r="Q7331" i="1"/>
  <c r="O7331" i="1"/>
  <c r="Q7330" i="1"/>
  <c r="O7330" i="1"/>
  <c r="Q7329" i="1"/>
  <c r="O7329" i="1"/>
  <c r="Q7328" i="1"/>
  <c r="O7328" i="1"/>
  <c r="Q7327" i="1"/>
  <c r="O7327" i="1"/>
  <c r="Q7326" i="1"/>
  <c r="O7326" i="1"/>
  <c r="Q7325" i="1"/>
  <c r="O7325" i="1"/>
  <c r="Q7324" i="1"/>
  <c r="O7324" i="1"/>
  <c r="Q7323" i="1"/>
  <c r="O7323" i="1"/>
  <c r="Q7322" i="1"/>
  <c r="O7322" i="1"/>
  <c r="Q7321" i="1"/>
  <c r="O7321" i="1"/>
  <c r="Q7320" i="1"/>
  <c r="O7320" i="1"/>
  <c r="Q7319" i="1"/>
  <c r="O7319" i="1"/>
  <c r="Q7318" i="1"/>
  <c r="O7318" i="1"/>
  <c r="Q7317" i="1"/>
  <c r="O7317" i="1"/>
  <c r="Q7316" i="1"/>
  <c r="O7316" i="1"/>
  <c r="Q7315" i="1"/>
  <c r="O7315" i="1"/>
  <c r="Q7314" i="1"/>
  <c r="O7314" i="1"/>
  <c r="Q7313" i="1"/>
  <c r="O7313" i="1"/>
  <c r="Q7312" i="1"/>
  <c r="O7312" i="1"/>
  <c r="Q7311" i="1"/>
  <c r="O7311" i="1"/>
  <c r="Q7310" i="1"/>
  <c r="O7310" i="1"/>
  <c r="Q7309" i="1"/>
  <c r="O7309" i="1"/>
  <c r="Q7308" i="1"/>
  <c r="O7308" i="1"/>
  <c r="Q7307" i="1"/>
  <c r="O7307" i="1"/>
  <c r="Q7306" i="1"/>
  <c r="O7306" i="1"/>
  <c r="Q7305" i="1"/>
  <c r="O7305" i="1"/>
  <c r="Q7304" i="1"/>
  <c r="O7304" i="1"/>
  <c r="Q7303" i="1"/>
  <c r="O7303" i="1"/>
  <c r="Q7302" i="1"/>
  <c r="O7302" i="1"/>
  <c r="Q7301" i="1"/>
  <c r="O7301" i="1"/>
  <c r="Q7300" i="1"/>
  <c r="O7300" i="1"/>
  <c r="Q7299" i="1"/>
  <c r="O7299" i="1"/>
  <c r="Q7298" i="1"/>
  <c r="O7298" i="1"/>
  <c r="Q7297" i="1"/>
  <c r="O7297" i="1"/>
  <c r="Q7296" i="1"/>
  <c r="O7296" i="1"/>
  <c r="Q7295" i="1"/>
  <c r="O7295" i="1"/>
  <c r="Q7294" i="1"/>
  <c r="O7294" i="1"/>
  <c r="Q7293" i="1"/>
  <c r="O7293" i="1"/>
  <c r="Q7292" i="1"/>
  <c r="O7292" i="1"/>
  <c r="Q7291" i="1"/>
  <c r="O7291" i="1"/>
  <c r="Q7290" i="1"/>
  <c r="O7290" i="1"/>
  <c r="Q7289" i="1"/>
  <c r="O7289" i="1"/>
  <c r="Q7288" i="1"/>
  <c r="O7288" i="1"/>
  <c r="Q7287" i="1"/>
  <c r="O7287" i="1"/>
  <c r="Q7286" i="1"/>
  <c r="O7286" i="1"/>
  <c r="Q7285" i="1"/>
  <c r="O7285" i="1"/>
  <c r="Q7284" i="1"/>
  <c r="O7284" i="1"/>
  <c r="Q7283" i="1"/>
  <c r="O7283" i="1"/>
  <c r="Q7282" i="1"/>
  <c r="O7282" i="1"/>
  <c r="Q7281" i="1"/>
  <c r="O7281" i="1"/>
  <c r="Q7280" i="1"/>
  <c r="O7280" i="1"/>
  <c r="Q7279" i="1"/>
  <c r="O7279" i="1"/>
  <c r="Q7278" i="1"/>
  <c r="O7278" i="1"/>
  <c r="Q7277" i="1"/>
  <c r="O7277" i="1"/>
  <c r="Q7276" i="1"/>
  <c r="O7276" i="1"/>
  <c r="Q7275" i="1"/>
  <c r="O7275" i="1"/>
  <c r="Q7274" i="1"/>
  <c r="O7274" i="1"/>
  <c r="Q7273" i="1"/>
  <c r="O7273" i="1"/>
  <c r="Q7272" i="1"/>
  <c r="O7272" i="1"/>
  <c r="Q7271" i="1"/>
  <c r="O7271" i="1"/>
  <c r="Q7270" i="1"/>
  <c r="O7270" i="1"/>
  <c r="Q7269" i="1"/>
  <c r="O7269" i="1"/>
  <c r="Q7268" i="1"/>
  <c r="O7268" i="1"/>
  <c r="Q7267" i="1"/>
  <c r="O7267" i="1"/>
  <c r="Q7266" i="1"/>
  <c r="O7266" i="1"/>
  <c r="Q7265" i="1"/>
  <c r="O7265" i="1"/>
  <c r="Q7264" i="1"/>
  <c r="O7264" i="1"/>
  <c r="Q7263" i="1"/>
  <c r="O7263" i="1"/>
  <c r="Q7262" i="1"/>
  <c r="O7262" i="1"/>
  <c r="Q7261" i="1"/>
  <c r="O7261" i="1"/>
  <c r="Q7260" i="1"/>
  <c r="O7260" i="1"/>
  <c r="Q7259" i="1"/>
  <c r="O7259" i="1"/>
  <c r="Q7258" i="1"/>
  <c r="O7258" i="1"/>
  <c r="Q7257" i="1"/>
  <c r="O7257" i="1"/>
  <c r="Q7256" i="1"/>
  <c r="O7256" i="1"/>
  <c r="Q7255" i="1"/>
  <c r="O7255" i="1"/>
  <c r="Q7254" i="1"/>
  <c r="O7254" i="1"/>
  <c r="Q7253" i="1"/>
  <c r="O7253" i="1"/>
  <c r="Q7252" i="1"/>
  <c r="O7252" i="1"/>
  <c r="Q7251" i="1"/>
  <c r="O7251" i="1"/>
  <c r="Q7250" i="1"/>
  <c r="O7250" i="1"/>
  <c r="Q7249" i="1"/>
  <c r="O7249" i="1"/>
  <c r="Q7248" i="1"/>
  <c r="O7248" i="1"/>
  <c r="Q7247" i="1"/>
  <c r="O7247" i="1"/>
  <c r="Q7246" i="1"/>
  <c r="O7246" i="1"/>
  <c r="Q7245" i="1"/>
  <c r="O7245" i="1"/>
  <c r="Q7244" i="1"/>
  <c r="O7244" i="1"/>
  <c r="Q7243" i="1"/>
  <c r="O7243" i="1"/>
  <c r="Q7242" i="1"/>
  <c r="O7242" i="1"/>
  <c r="Q7241" i="1"/>
  <c r="O7241" i="1"/>
  <c r="Q7240" i="1"/>
  <c r="O7240" i="1"/>
  <c r="Q7239" i="1"/>
  <c r="O7239" i="1"/>
  <c r="Q7238" i="1"/>
  <c r="O7238" i="1"/>
  <c r="Q7237" i="1"/>
  <c r="O7237" i="1"/>
  <c r="Q7236" i="1"/>
  <c r="O7236" i="1"/>
  <c r="Q7235" i="1"/>
  <c r="O7235" i="1"/>
  <c r="Q7234" i="1"/>
  <c r="O7234" i="1"/>
  <c r="Q7233" i="1"/>
  <c r="O7233" i="1"/>
  <c r="Q7232" i="1"/>
  <c r="O7232" i="1"/>
  <c r="Q7231" i="1"/>
  <c r="O7231" i="1"/>
  <c r="Q7230" i="1"/>
  <c r="O7230" i="1"/>
  <c r="Q7229" i="1"/>
  <c r="O7229" i="1"/>
  <c r="Q7228" i="1"/>
  <c r="O7228" i="1"/>
  <c r="Q7227" i="1"/>
  <c r="O7227" i="1"/>
  <c r="Q7226" i="1"/>
  <c r="O7226" i="1"/>
  <c r="Q7225" i="1"/>
  <c r="O7225" i="1"/>
  <c r="Q7224" i="1"/>
  <c r="O7224" i="1"/>
  <c r="Q7223" i="1"/>
  <c r="O7223" i="1"/>
  <c r="Q7222" i="1"/>
  <c r="O7222" i="1"/>
  <c r="Q7221" i="1"/>
  <c r="O7221" i="1"/>
  <c r="Q7220" i="1"/>
  <c r="O7220" i="1"/>
  <c r="Q7219" i="1"/>
  <c r="O7219" i="1"/>
  <c r="Q7218" i="1"/>
  <c r="O7218" i="1"/>
  <c r="Q7217" i="1"/>
  <c r="O7217" i="1"/>
  <c r="Q7216" i="1"/>
  <c r="O7216" i="1"/>
  <c r="Q7215" i="1"/>
  <c r="O7215" i="1"/>
  <c r="Q7214" i="1"/>
  <c r="O7214" i="1"/>
  <c r="Q7213" i="1"/>
  <c r="O7213" i="1"/>
  <c r="Q7212" i="1"/>
  <c r="O7212" i="1"/>
  <c r="Q7211" i="1"/>
  <c r="O7211" i="1"/>
  <c r="Q7210" i="1"/>
  <c r="O7210" i="1"/>
  <c r="Q7209" i="1"/>
  <c r="O7209" i="1"/>
  <c r="Q7208" i="1"/>
  <c r="O7208" i="1"/>
  <c r="Q7207" i="1"/>
  <c r="O7207" i="1"/>
  <c r="Q7206" i="1"/>
  <c r="O7206" i="1"/>
  <c r="Q7205" i="1"/>
  <c r="O7205" i="1"/>
  <c r="Q7204" i="1"/>
  <c r="O7204" i="1"/>
  <c r="Q7203" i="1"/>
  <c r="O7203" i="1"/>
  <c r="Q7202" i="1"/>
  <c r="O7202" i="1"/>
  <c r="Q7201" i="1"/>
  <c r="O7201" i="1"/>
  <c r="Q7200" i="1"/>
  <c r="O7200" i="1"/>
  <c r="Q7199" i="1"/>
  <c r="O7199" i="1"/>
  <c r="Q7198" i="1"/>
  <c r="O7198" i="1"/>
  <c r="Q7197" i="1"/>
  <c r="O7197" i="1"/>
  <c r="Q7196" i="1"/>
  <c r="O7196" i="1"/>
  <c r="Q7195" i="1"/>
  <c r="O7195" i="1"/>
  <c r="Q7194" i="1"/>
  <c r="O7194" i="1"/>
  <c r="Q7193" i="1"/>
  <c r="O7193" i="1"/>
  <c r="Q7192" i="1"/>
  <c r="O7192" i="1"/>
  <c r="Q7191" i="1"/>
  <c r="O7191" i="1"/>
  <c r="Q7190" i="1"/>
  <c r="O7190" i="1"/>
  <c r="Q7189" i="1"/>
  <c r="O7189" i="1"/>
  <c r="Q7188" i="1"/>
  <c r="O7188" i="1"/>
  <c r="Q7187" i="1"/>
  <c r="O7187" i="1"/>
  <c r="Q7186" i="1"/>
  <c r="O7186" i="1"/>
  <c r="Q7185" i="1"/>
  <c r="O7185" i="1"/>
  <c r="Q7184" i="1"/>
  <c r="O7184" i="1"/>
  <c r="Q7183" i="1"/>
  <c r="O7183" i="1"/>
  <c r="Q7182" i="1"/>
  <c r="O7182" i="1"/>
  <c r="Q7181" i="1"/>
  <c r="O7181" i="1"/>
  <c r="Q7180" i="1"/>
  <c r="O7180" i="1"/>
  <c r="Q7179" i="1"/>
  <c r="O7179" i="1"/>
  <c r="Q7178" i="1"/>
  <c r="O7178" i="1"/>
  <c r="Q7177" i="1"/>
  <c r="O7177" i="1"/>
  <c r="Q7176" i="1"/>
  <c r="O7176" i="1"/>
  <c r="Q7175" i="1"/>
  <c r="O7175" i="1"/>
  <c r="Q7174" i="1"/>
  <c r="O7174" i="1"/>
  <c r="Q7173" i="1"/>
  <c r="O7173" i="1"/>
  <c r="Q7172" i="1"/>
  <c r="O7172" i="1"/>
  <c r="Q7171" i="1"/>
  <c r="O7171" i="1"/>
  <c r="Q7170" i="1"/>
  <c r="O7170" i="1"/>
  <c r="Q7169" i="1"/>
  <c r="O7169" i="1"/>
  <c r="Q7168" i="1"/>
  <c r="O7168" i="1"/>
  <c r="Q7167" i="1"/>
  <c r="O7167" i="1"/>
  <c r="Q7166" i="1"/>
  <c r="O7166" i="1"/>
  <c r="Q7165" i="1"/>
  <c r="O7165" i="1"/>
  <c r="Q7164" i="1"/>
  <c r="O7164" i="1"/>
  <c r="Q7163" i="1"/>
  <c r="O7163" i="1"/>
  <c r="Q7162" i="1"/>
  <c r="O7162" i="1"/>
  <c r="Q7161" i="1"/>
  <c r="O7161" i="1"/>
  <c r="Q7160" i="1"/>
  <c r="O7160" i="1"/>
  <c r="Q7159" i="1"/>
  <c r="O7159" i="1"/>
  <c r="Q7158" i="1"/>
  <c r="O7158" i="1"/>
  <c r="Q7157" i="1"/>
  <c r="O7157" i="1"/>
  <c r="Q7156" i="1"/>
  <c r="O7156" i="1"/>
  <c r="Q7155" i="1"/>
  <c r="O7155" i="1"/>
  <c r="Q7154" i="1"/>
  <c r="O7154" i="1"/>
  <c r="Q7153" i="1"/>
  <c r="O7153" i="1"/>
  <c r="Q7152" i="1"/>
  <c r="O7152" i="1"/>
  <c r="Q7151" i="1"/>
  <c r="O7151" i="1"/>
  <c r="Q7150" i="1"/>
  <c r="O7150" i="1"/>
  <c r="Q7149" i="1"/>
  <c r="O7149" i="1"/>
  <c r="Q7148" i="1"/>
  <c r="O7148" i="1"/>
  <c r="Q7147" i="1"/>
  <c r="O7147" i="1"/>
  <c r="Q7146" i="1"/>
  <c r="O7146" i="1"/>
  <c r="Q7145" i="1"/>
  <c r="O7145" i="1"/>
  <c r="Q7144" i="1"/>
  <c r="O7144" i="1"/>
  <c r="Q7143" i="1"/>
  <c r="O7143" i="1"/>
  <c r="Q7142" i="1"/>
  <c r="O7142" i="1"/>
  <c r="Q7141" i="1"/>
  <c r="O7141" i="1"/>
  <c r="Q7140" i="1"/>
  <c r="O7140" i="1"/>
  <c r="Q7139" i="1"/>
  <c r="O7139" i="1"/>
  <c r="Q7138" i="1"/>
  <c r="O7138" i="1"/>
  <c r="Q7137" i="1"/>
  <c r="O7137" i="1"/>
  <c r="Q7136" i="1"/>
  <c r="O7136" i="1"/>
  <c r="Q7135" i="1"/>
  <c r="O7135" i="1"/>
  <c r="Q7134" i="1"/>
  <c r="O7134" i="1"/>
  <c r="Q7133" i="1"/>
  <c r="O7133" i="1"/>
  <c r="Q7132" i="1"/>
  <c r="O7132" i="1"/>
  <c r="Q7131" i="1"/>
  <c r="O7131" i="1"/>
  <c r="Q7130" i="1"/>
  <c r="O7130" i="1"/>
  <c r="Q7129" i="1"/>
  <c r="O7129" i="1"/>
  <c r="Q7128" i="1"/>
  <c r="O7128" i="1"/>
  <c r="Q7127" i="1"/>
  <c r="O7127" i="1"/>
  <c r="Q7126" i="1"/>
  <c r="O7126" i="1"/>
  <c r="Q7125" i="1"/>
  <c r="O7125" i="1"/>
  <c r="Q7124" i="1"/>
  <c r="O7124" i="1"/>
  <c r="Q7123" i="1"/>
  <c r="O7123" i="1"/>
  <c r="Q7122" i="1"/>
  <c r="O7122" i="1"/>
  <c r="Q7121" i="1"/>
  <c r="O7121" i="1"/>
  <c r="Q7120" i="1"/>
  <c r="O7120" i="1"/>
  <c r="Q7119" i="1"/>
  <c r="O7119" i="1"/>
  <c r="Q7118" i="1"/>
  <c r="O7118" i="1"/>
  <c r="Q7117" i="1"/>
  <c r="O7117" i="1"/>
  <c r="Q7116" i="1"/>
  <c r="O7116" i="1"/>
  <c r="Q7115" i="1"/>
  <c r="O7115" i="1"/>
  <c r="Q7114" i="1"/>
  <c r="O7114" i="1"/>
  <c r="Q7113" i="1"/>
  <c r="O7113" i="1"/>
  <c r="Q7112" i="1"/>
  <c r="O7112" i="1"/>
  <c r="Q7111" i="1"/>
  <c r="O7111" i="1"/>
  <c r="Q7110" i="1"/>
  <c r="O7110" i="1"/>
  <c r="Q7109" i="1"/>
  <c r="O7109" i="1"/>
  <c r="Q7108" i="1"/>
  <c r="O7108" i="1"/>
  <c r="Q7107" i="1"/>
  <c r="O7107" i="1"/>
  <c r="Q7106" i="1"/>
  <c r="O7106" i="1"/>
  <c r="Q7105" i="1"/>
  <c r="O7105" i="1"/>
  <c r="Q7104" i="1"/>
  <c r="O7104" i="1"/>
  <c r="Q7103" i="1"/>
  <c r="O7103" i="1"/>
  <c r="Q7102" i="1"/>
  <c r="O7102" i="1"/>
  <c r="Q7101" i="1"/>
  <c r="O7101" i="1"/>
  <c r="Q7100" i="1"/>
  <c r="O7100" i="1"/>
  <c r="Q7099" i="1"/>
  <c r="O7099" i="1"/>
  <c r="Q7098" i="1"/>
  <c r="O7098" i="1"/>
  <c r="Q7097" i="1"/>
  <c r="O7097" i="1"/>
  <c r="Q7096" i="1"/>
  <c r="O7096" i="1"/>
  <c r="Q7095" i="1"/>
  <c r="O7095" i="1"/>
  <c r="Q7094" i="1"/>
  <c r="O7094" i="1"/>
  <c r="Q7093" i="1"/>
  <c r="O7093" i="1"/>
  <c r="Q7092" i="1"/>
  <c r="O7092" i="1"/>
  <c r="Q7091" i="1"/>
  <c r="O7091" i="1"/>
  <c r="Q7090" i="1"/>
  <c r="O7090" i="1"/>
  <c r="Q7089" i="1"/>
  <c r="O7089" i="1"/>
  <c r="Q7088" i="1"/>
  <c r="O7088" i="1"/>
  <c r="Q7087" i="1"/>
  <c r="O7087" i="1"/>
  <c r="Q7086" i="1"/>
  <c r="O7086" i="1"/>
  <c r="Q7085" i="1"/>
  <c r="O7085" i="1"/>
  <c r="Q7084" i="1"/>
  <c r="O7084" i="1"/>
  <c r="Q7083" i="1"/>
  <c r="O7083" i="1"/>
  <c r="Q7082" i="1"/>
  <c r="O7082" i="1"/>
  <c r="Q7081" i="1"/>
  <c r="O7081" i="1"/>
  <c r="Q7080" i="1"/>
  <c r="O7080" i="1"/>
  <c r="Q7079" i="1"/>
  <c r="O7079" i="1"/>
  <c r="Q7078" i="1"/>
  <c r="O7078" i="1"/>
  <c r="Q7077" i="1"/>
  <c r="O7077" i="1"/>
  <c r="Q7076" i="1"/>
  <c r="O7076" i="1"/>
  <c r="Q7075" i="1"/>
  <c r="O7075" i="1"/>
  <c r="Q7074" i="1"/>
  <c r="O7074" i="1"/>
  <c r="Q7073" i="1"/>
  <c r="O7073" i="1"/>
  <c r="Q7072" i="1"/>
  <c r="O7072" i="1"/>
  <c r="Q7071" i="1"/>
  <c r="O7071" i="1"/>
  <c r="Q7070" i="1"/>
  <c r="O7070" i="1"/>
  <c r="Q7069" i="1"/>
  <c r="O7069" i="1"/>
  <c r="Q7068" i="1"/>
  <c r="O7068" i="1"/>
  <c r="Q7067" i="1"/>
  <c r="O7067" i="1"/>
  <c r="Q7066" i="1"/>
  <c r="O7066" i="1"/>
  <c r="Q7065" i="1"/>
  <c r="O7065" i="1"/>
  <c r="Q7064" i="1"/>
  <c r="O7064" i="1"/>
  <c r="Q7063" i="1"/>
  <c r="O7063" i="1"/>
  <c r="Q7062" i="1"/>
  <c r="O7062" i="1"/>
  <c r="Q7061" i="1"/>
  <c r="O7061" i="1"/>
  <c r="Q7060" i="1"/>
  <c r="O7060" i="1"/>
  <c r="Q7059" i="1"/>
  <c r="O7059" i="1"/>
  <c r="Q7058" i="1"/>
  <c r="O7058" i="1"/>
  <c r="Q7057" i="1"/>
  <c r="O7057" i="1"/>
  <c r="Q7056" i="1"/>
  <c r="O7056" i="1"/>
  <c r="Q7055" i="1"/>
  <c r="O7055" i="1"/>
  <c r="Q7054" i="1"/>
  <c r="O7054" i="1"/>
  <c r="Q7053" i="1"/>
  <c r="O7053" i="1"/>
  <c r="Q7052" i="1"/>
  <c r="O7052" i="1"/>
  <c r="Q7051" i="1"/>
  <c r="O7051" i="1"/>
  <c r="Q7050" i="1"/>
  <c r="O7050" i="1"/>
  <c r="Q7049" i="1"/>
  <c r="O7049" i="1"/>
  <c r="Q7048" i="1"/>
  <c r="O7048" i="1"/>
  <c r="Q7047" i="1"/>
  <c r="O7047" i="1"/>
  <c r="Q7046" i="1"/>
  <c r="O7046" i="1"/>
  <c r="Q7045" i="1"/>
  <c r="O7045" i="1"/>
  <c r="Q7044" i="1"/>
  <c r="O7044" i="1"/>
  <c r="Q7043" i="1"/>
  <c r="O7043" i="1"/>
  <c r="Q7042" i="1"/>
  <c r="O7042" i="1"/>
  <c r="Q7041" i="1"/>
  <c r="O7041" i="1"/>
  <c r="Q7040" i="1"/>
  <c r="O7040" i="1"/>
  <c r="Q7039" i="1"/>
  <c r="O7039" i="1"/>
  <c r="Q7038" i="1"/>
  <c r="O7038" i="1"/>
  <c r="Q7037" i="1"/>
  <c r="O7037" i="1"/>
  <c r="Q7036" i="1"/>
  <c r="O7036" i="1"/>
  <c r="Q7035" i="1"/>
  <c r="O7035" i="1"/>
  <c r="Q7034" i="1"/>
  <c r="O7034" i="1"/>
  <c r="Q7033" i="1"/>
  <c r="O7033" i="1"/>
  <c r="Q7032" i="1"/>
  <c r="O7032" i="1"/>
  <c r="Q7031" i="1"/>
  <c r="O7031" i="1"/>
  <c r="Q7030" i="1"/>
  <c r="O7030" i="1"/>
  <c r="Q7029" i="1"/>
  <c r="O7029" i="1"/>
  <c r="Q7028" i="1"/>
  <c r="O7028" i="1"/>
  <c r="Q7027" i="1"/>
  <c r="O7027" i="1"/>
  <c r="Q7026" i="1"/>
  <c r="O7026" i="1"/>
  <c r="Q7025" i="1"/>
  <c r="O7025" i="1"/>
  <c r="Q7024" i="1"/>
  <c r="O7024" i="1"/>
  <c r="Q7023" i="1"/>
  <c r="O7023" i="1"/>
  <c r="Q7022" i="1"/>
  <c r="O7022" i="1"/>
  <c r="Q7021" i="1"/>
  <c r="O7021" i="1"/>
  <c r="Q7020" i="1"/>
  <c r="O7020" i="1"/>
  <c r="Q7019" i="1"/>
  <c r="O7019" i="1"/>
  <c r="Q7018" i="1"/>
  <c r="O7018" i="1"/>
  <c r="Q7017" i="1"/>
  <c r="O7017" i="1"/>
  <c r="Q7016" i="1"/>
  <c r="O7016" i="1"/>
  <c r="Q7015" i="1"/>
  <c r="O7015" i="1"/>
  <c r="Q7014" i="1"/>
  <c r="O7014" i="1"/>
  <c r="Q7013" i="1"/>
  <c r="O7013" i="1"/>
  <c r="Q7012" i="1"/>
  <c r="O7012" i="1"/>
  <c r="Q7011" i="1"/>
  <c r="O7011" i="1"/>
  <c r="Q7010" i="1"/>
  <c r="O7010" i="1"/>
  <c r="Q7009" i="1"/>
  <c r="O7009" i="1"/>
  <c r="Q7008" i="1"/>
  <c r="O7008" i="1"/>
  <c r="Q7007" i="1"/>
  <c r="O7007" i="1"/>
  <c r="Q7006" i="1"/>
  <c r="O7006" i="1"/>
  <c r="Q7005" i="1"/>
  <c r="O7005" i="1"/>
  <c r="Q7004" i="1"/>
  <c r="O7004" i="1"/>
  <c r="Q7003" i="1"/>
  <c r="O7003" i="1"/>
  <c r="Q7002" i="1"/>
  <c r="O7002" i="1"/>
  <c r="Q7001" i="1"/>
  <c r="O7001" i="1"/>
  <c r="Q7000" i="1"/>
  <c r="O7000" i="1"/>
  <c r="Q6999" i="1"/>
  <c r="O6999" i="1"/>
  <c r="Q6998" i="1"/>
  <c r="O6998" i="1"/>
  <c r="Q6997" i="1"/>
  <c r="O6997" i="1"/>
  <c r="Q6996" i="1"/>
  <c r="O6996" i="1"/>
  <c r="Q6995" i="1"/>
  <c r="O6995" i="1"/>
  <c r="Q6994" i="1"/>
  <c r="O6994" i="1"/>
  <c r="Q6993" i="1"/>
  <c r="O6993" i="1"/>
  <c r="Q6992" i="1"/>
  <c r="O6992" i="1"/>
  <c r="Q6991" i="1"/>
  <c r="O6991" i="1"/>
  <c r="Q6990" i="1"/>
  <c r="O6990" i="1"/>
  <c r="Q6989" i="1"/>
  <c r="O6989" i="1"/>
  <c r="Q6988" i="1"/>
  <c r="O6988" i="1"/>
  <c r="Q6987" i="1"/>
  <c r="O6987" i="1"/>
  <c r="Q6986" i="1"/>
  <c r="O6986" i="1"/>
  <c r="Q6985" i="1"/>
  <c r="O6985" i="1"/>
  <c r="Q6984" i="1"/>
  <c r="O6984" i="1"/>
  <c r="Q6983" i="1"/>
  <c r="O6983" i="1"/>
  <c r="Q6982" i="1"/>
  <c r="O6982" i="1"/>
  <c r="Q6981" i="1"/>
  <c r="O6981" i="1"/>
  <c r="Q6980" i="1"/>
  <c r="O6980" i="1"/>
  <c r="Q6979" i="1"/>
  <c r="O6979" i="1"/>
  <c r="Q6978" i="1"/>
  <c r="O6978" i="1"/>
  <c r="Q6977" i="1"/>
  <c r="O6977" i="1"/>
  <c r="Q6976" i="1"/>
  <c r="O6976" i="1"/>
  <c r="Q6975" i="1"/>
  <c r="O6975" i="1"/>
  <c r="Q6974" i="1"/>
  <c r="O6974" i="1"/>
  <c r="Q6973" i="1"/>
  <c r="O6973" i="1"/>
  <c r="Q6972" i="1"/>
  <c r="O6972" i="1"/>
  <c r="Q6971" i="1"/>
  <c r="O6971" i="1"/>
  <c r="Q6970" i="1"/>
  <c r="O6970" i="1"/>
  <c r="Q6969" i="1"/>
  <c r="O6969" i="1"/>
  <c r="Q6968" i="1"/>
  <c r="O6968" i="1"/>
  <c r="Q6967" i="1"/>
  <c r="O6967" i="1"/>
  <c r="Q6966" i="1"/>
  <c r="O6966" i="1"/>
  <c r="Q6965" i="1"/>
  <c r="O6965" i="1"/>
  <c r="Q6964" i="1"/>
  <c r="O6964" i="1"/>
  <c r="Q6963" i="1"/>
  <c r="O6963" i="1"/>
  <c r="Q6962" i="1"/>
  <c r="O6962" i="1"/>
  <c r="Q6961" i="1"/>
  <c r="O6961" i="1"/>
  <c r="Q6960" i="1"/>
  <c r="O6960" i="1"/>
  <c r="Q6959" i="1"/>
  <c r="O6959" i="1"/>
  <c r="Q6958" i="1"/>
  <c r="O6958" i="1"/>
  <c r="Q6957" i="1"/>
  <c r="O6957" i="1"/>
  <c r="Q6956" i="1"/>
  <c r="O6956" i="1"/>
  <c r="Q6955" i="1"/>
  <c r="O6955" i="1"/>
  <c r="Q6954" i="1"/>
  <c r="O6954" i="1"/>
  <c r="Q6953" i="1"/>
  <c r="O6953" i="1"/>
  <c r="Q6952" i="1"/>
  <c r="O6952" i="1"/>
  <c r="Q6951" i="1"/>
  <c r="O6951" i="1"/>
  <c r="Q6950" i="1"/>
  <c r="O6950" i="1"/>
  <c r="Q6949" i="1"/>
  <c r="O6949" i="1"/>
  <c r="Q6948" i="1"/>
  <c r="O6948" i="1"/>
  <c r="Q6947" i="1"/>
  <c r="O6947" i="1"/>
  <c r="Q6946" i="1"/>
  <c r="O6946" i="1"/>
  <c r="Q6945" i="1"/>
  <c r="O6945" i="1"/>
  <c r="Q6944" i="1"/>
  <c r="O6944" i="1"/>
  <c r="Q6943" i="1"/>
  <c r="O6943" i="1"/>
  <c r="Q6942" i="1"/>
  <c r="O6942" i="1"/>
  <c r="Q6941" i="1"/>
  <c r="O6941" i="1"/>
  <c r="Q6940" i="1"/>
  <c r="O6940" i="1"/>
  <c r="Q6939" i="1"/>
  <c r="O6939" i="1"/>
  <c r="Q6938" i="1"/>
  <c r="O6938" i="1"/>
  <c r="Q6937" i="1"/>
  <c r="O6937" i="1"/>
  <c r="Q6936" i="1"/>
  <c r="O6936" i="1"/>
  <c r="Q6935" i="1"/>
  <c r="O6935" i="1"/>
  <c r="Q6934" i="1"/>
  <c r="O6934" i="1"/>
  <c r="Q6933" i="1"/>
  <c r="O6933" i="1"/>
  <c r="Q6932" i="1"/>
  <c r="O6932" i="1"/>
  <c r="Q6931" i="1"/>
  <c r="O6931" i="1"/>
  <c r="Q6930" i="1"/>
  <c r="O6930" i="1"/>
  <c r="Q6929" i="1"/>
  <c r="O6929" i="1"/>
  <c r="Q6928" i="1"/>
  <c r="O6928" i="1"/>
  <c r="Q6927" i="1"/>
  <c r="O6927" i="1"/>
  <c r="Q6926" i="1"/>
  <c r="O6926" i="1"/>
  <c r="Q6925" i="1"/>
  <c r="O6925" i="1"/>
  <c r="Q6924" i="1"/>
  <c r="O6924" i="1"/>
  <c r="Q6923" i="1"/>
  <c r="O6923" i="1"/>
  <c r="Q6922" i="1"/>
  <c r="O6922" i="1"/>
  <c r="Q6921" i="1"/>
  <c r="O6921" i="1"/>
  <c r="Q6920" i="1"/>
  <c r="O6920" i="1"/>
  <c r="Q6919" i="1"/>
  <c r="O6919" i="1"/>
  <c r="Q6918" i="1"/>
  <c r="O6918" i="1"/>
  <c r="Q6917" i="1"/>
  <c r="O6917" i="1"/>
  <c r="Q6916" i="1"/>
  <c r="O6916" i="1"/>
  <c r="Q6915" i="1"/>
  <c r="O6915" i="1"/>
  <c r="Q6914" i="1"/>
  <c r="O6914" i="1"/>
  <c r="Q6913" i="1"/>
  <c r="O6913" i="1"/>
  <c r="Q6912" i="1"/>
  <c r="O6912" i="1"/>
  <c r="Q6911" i="1"/>
  <c r="O6911" i="1"/>
  <c r="Q6910" i="1"/>
  <c r="O6910" i="1"/>
  <c r="Q6909" i="1"/>
  <c r="O6909" i="1"/>
  <c r="Q6908" i="1"/>
  <c r="O6908" i="1"/>
  <c r="Q6907" i="1"/>
  <c r="O6907" i="1"/>
  <c r="Q6906" i="1"/>
  <c r="O6906" i="1"/>
  <c r="Q6905" i="1"/>
  <c r="O6905" i="1"/>
  <c r="Q6904" i="1"/>
  <c r="O6904" i="1"/>
  <c r="Q6903" i="1"/>
  <c r="O6903" i="1"/>
  <c r="Q6902" i="1"/>
  <c r="O6902" i="1"/>
  <c r="Q6901" i="1"/>
  <c r="O6901" i="1"/>
  <c r="Q6900" i="1"/>
  <c r="O6900" i="1"/>
  <c r="Q6899" i="1"/>
  <c r="O6899" i="1"/>
  <c r="Q6898" i="1"/>
  <c r="O6898" i="1"/>
  <c r="Q6897" i="1"/>
  <c r="O6897" i="1"/>
  <c r="Q6896" i="1"/>
  <c r="O6896" i="1"/>
  <c r="Q6895" i="1"/>
  <c r="O6895" i="1"/>
  <c r="Q6894" i="1"/>
  <c r="O6894" i="1"/>
  <c r="Q6893" i="1"/>
  <c r="O6893" i="1"/>
  <c r="Q6892" i="1"/>
  <c r="O6892" i="1"/>
  <c r="Q6891" i="1"/>
  <c r="O6891" i="1"/>
  <c r="Q6890" i="1"/>
  <c r="O6890" i="1"/>
  <c r="Q6889" i="1"/>
  <c r="O6889" i="1"/>
  <c r="Q6888" i="1"/>
  <c r="O6888" i="1"/>
  <c r="Q6887" i="1"/>
  <c r="O6887" i="1"/>
  <c r="Q6886" i="1"/>
  <c r="O6886" i="1"/>
  <c r="Q6885" i="1"/>
  <c r="O6885" i="1"/>
  <c r="Q6884" i="1"/>
  <c r="O6884" i="1"/>
  <c r="Q6883" i="1"/>
  <c r="O6883" i="1"/>
  <c r="Q6882" i="1"/>
  <c r="O6882" i="1"/>
  <c r="Q6881" i="1"/>
  <c r="O6881" i="1"/>
  <c r="Q6880" i="1"/>
  <c r="O6880" i="1"/>
  <c r="Q6879" i="1"/>
  <c r="O6879" i="1"/>
  <c r="Q6878" i="1"/>
  <c r="O6878" i="1"/>
  <c r="Q6877" i="1"/>
  <c r="O6877" i="1"/>
  <c r="Q6876" i="1"/>
  <c r="O6876" i="1"/>
  <c r="Q6875" i="1"/>
  <c r="O6875" i="1"/>
  <c r="Q6874" i="1"/>
  <c r="O6874" i="1"/>
  <c r="Q6873" i="1"/>
  <c r="O6873" i="1"/>
  <c r="Q6872" i="1"/>
  <c r="O6872" i="1"/>
  <c r="Q6871" i="1"/>
  <c r="O6871" i="1"/>
  <c r="Q6870" i="1"/>
  <c r="O6870" i="1"/>
  <c r="Q6869" i="1"/>
  <c r="O6869" i="1"/>
  <c r="Q6868" i="1"/>
  <c r="O6868" i="1"/>
  <c r="Q6867" i="1"/>
  <c r="O6867" i="1"/>
  <c r="Q6866" i="1"/>
  <c r="O6866" i="1"/>
  <c r="Q6865" i="1"/>
  <c r="O6865" i="1"/>
  <c r="Q6864" i="1"/>
  <c r="O6864" i="1"/>
  <c r="Q6863" i="1"/>
  <c r="O6863" i="1"/>
  <c r="Q6862" i="1"/>
  <c r="O6862" i="1"/>
  <c r="Q6861" i="1"/>
  <c r="O6861" i="1"/>
  <c r="Q6860" i="1"/>
  <c r="O6860" i="1"/>
  <c r="Q6859" i="1"/>
  <c r="O6859" i="1"/>
  <c r="Q6858" i="1"/>
  <c r="O6858" i="1"/>
  <c r="Q6857" i="1"/>
  <c r="O6857" i="1"/>
  <c r="Q6856" i="1"/>
  <c r="O6856" i="1"/>
  <c r="Q6855" i="1"/>
  <c r="O6855" i="1"/>
  <c r="Q6854" i="1"/>
  <c r="O6854" i="1"/>
  <c r="Q6853" i="1"/>
  <c r="O6853" i="1"/>
  <c r="Q6852" i="1"/>
  <c r="O6852" i="1"/>
  <c r="Q6851" i="1"/>
  <c r="O6851" i="1"/>
  <c r="Q6850" i="1"/>
  <c r="O6850" i="1"/>
  <c r="Q6849" i="1"/>
  <c r="O6849" i="1"/>
  <c r="Q6848" i="1"/>
  <c r="O6848" i="1"/>
  <c r="Q6847" i="1"/>
  <c r="O6847" i="1"/>
  <c r="Q6846" i="1"/>
  <c r="O6846" i="1"/>
  <c r="Q6845" i="1"/>
  <c r="O6845" i="1"/>
  <c r="Q6844" i="1"/>
  <c r="O6844" i="1"/>
  <c r="Q6843" i="1"/>
  <c r="O6843" i="1"/>
  <c r="Q6842" i="1"/>
  <c r="O6842" i="1"/>
  <c r="Q6841" i="1"/>
  <c r="O6841" i="1"/>
  <c r="Q6840" i="1"/>
  <c r="O6840" i="1"/>
  <c r="Q6839" i="1"/>
  <c r="O6839" i="1"/>
  <c r="Q6838" i="1"/>
  <c r="O6838" i="1"/>
  <c r="Q6837" i="1"/>
  <c r="O6837" i="1"/>
  <c r="Q6836" i="1"/>
  <c r="O6836" i="1"/>
  <c r="Q6835" i="1"/>
  <c r="O6835" i="1"/>
  <c r="Q6834" i="1"/>
  <c r="O6834" i="1"/>
  <c r="Q6833" i="1"/>
  <c r="O6833" i="1"/>
  <c r="Q6832" i="1"/>
  <c r="O6832" i="1"/>
  <c r="Q6831" i="1"/>
  <c r="O6831" i="1"/>
  <c r="Q6830" i="1"/>
  <c r="O6830" i="1"/>
  <c r="Q6829" i="1"/>
  <c r="O6829" i="1"/>
  <c r="Q6828" i="1"/>
  <c r="O6828" i="1"/>
  <c r="Q6827" i="1"/>
  <c r="O6827" i="1"/>
  <c r="Q6826" i="1"/>
  <c r="O6826" i="1"/>
  <c r="Q6825" i="1"/>
  <c r="O6825" i="1"/>
  <c r="Q6824" i="1"/>
  <c r="O6824" i="1"/>
  <c r="Q6823" i="1"/>
  <c r="O6823" i="1"/>
  <c r="Q6822" i="1"/>
  <c r="O6822" i="1"/>
  <c r="Q6821" i="1"/>
  <c r="O6821" i="1"/>
  <c r="Q6820" i="1"/>
  <c r="O6820" i="1"/>
  <c r="Q6819" i="1"/>
  <c r="O6819" i="1"/>
  <c r="Q6818" i="1"/>
  <c r="O6818" i="1"/>
  <c r="Q6817" i="1"/>
  <c r="O6817" i="1"/>
  <c r="Q6816" i="1"/>
  <c r="O6816" i="1"/>
  <c r="Q6815" i="1"/>
  <c r="O6815" i="1"/>
  <c r="Q6814" i="1"/>
  <c r="O6814" i="1"/>
  <c r="Q6813" i="1"/>
  <c r="O6813" i="1"/>
  <c r="Q6812" i="1"/>
  <c r="O6812" i="1"/>
  <c r="Q6811" i="1"/>
  <c r="O6811" i="1"/>
  <c r="Q6810" i="1"/>
  <c r="O6810" i="1"/>
  <c r="Q6809" i="1"/>
  <c r="O6809" i="1"/>
  <c r="Q6808" i="1"/>
  <c r="O6808" i="1"/>
  <c r="Q6807" i="1"/>
  <c r="O6807" i="1"/>
  <c r="Q6806" i="1"/>
  <c r="O6806" i="1"/>
  <c r="Q6805" i="1"/>
  <c r="O6805" i="1"/>
  <c r="Q6804" i="1"/>
  <c r="O6804" i="1"/>
  <c r="Q6803" i="1"/>
  <c r="O6803" i="1"/>
  <c r="Q6802" i="1"/>
  <c r="O6802" i="1"/>
  <c r="Q6801" i="1"/>
  <c r="O6801" i="1"/>
  <c r="Q6800" i="1"/>
  <c r="O6800" i="1"/>
  <c r="Q6799" i="1"/>
  <c r="O6799" i="1"/>
  <c r="Q6798" i="1"/>
  <c r="O6798" i="1"/>
  <c r="Q6797" i="1"/>
  <c r="O6797" i="1"/>
  <c r="Q6796" i="1"/>
  <c r="O6796" i="1"/>
  <c r="Q6795" i="1"/>
  <c r="O6795" i="1"/>
  <c r="Q6794" i="1"/>
  <c r="O6794" i="1"/>
  <c r="Q6793" i="1"/>
  <c r="O6793" i="1"/>
  <c r="Q6792" i="1"/>
  <c r="O6792" i="1"/>
  <c r="Q6791" i="1"/>
  <c r="O6791" i="1"/>
  <c r="Q6790" i="1"/>
  <c r="O6790" i="1"/>
  <c r="Q6789" i="1"/>
  <c r="O6789" i="1"/>
  <c r="Q6788" i="1"/>
  <c r="O6788" i="1"/>
  <c r="Q6787" i="1"/>
  <c r="O6787" i="1"/>
  <c r="Q6786" i="1"/>
  <c r="O6786" i="1"/>
  <c r="Q6785" i="1"/>
  <c r="O6785" i="1"/>
  <c r="Q6784" i="1"/>
  <c r="O6784" i="1"/>
  <c r="Q6783" i="1"/>
  <c r="O6783" i="1"/>
  <c r="Q6782" i="1"/>
  <c r="O6782" i="1"/>
  <c r="Q6781" i="1"/>
  <c r="O6781" i="1"/>
  <c r="Q6780" i="1"/>
  <c r="O6780" i="1"/>
  <c r="Q6779" i="1"/>
  <c r="O6779" i="1"/>
  <c r="Q6778" i="1"/>
  <c r="O6778" i="1"/>
  <c r="Q6777" i="1"/>
  <c r="O6777" i="1"/>
  <c r="Q6776" i="1"/>
  <c r="O6776" i="1"/>
  <c r="Q6775" i="1"/>
  <c r="O6775" i="1"/>
  <c r="Q6774" i="1"/>
  <c r="O6774" i="1"/>
  <c r="Q6773" i="1"/>
  <c r="O6773" i="1"/>
  <c r="Q6772" i="1"/>
  <c r="O6772" i="1"/>
  <c r="Q6771" i="1"/>
  <c r="O6771" i="1"/>
  <c r="Q6770" i="1"/>
  <c r="O6770" i="1"/>
  <c r="Q6769" i="1"/>
  <c r="O6769" i="1"/>
  <c r="Q6768" i="1"/>
  <c r="O6768" i="1"/>
  <c r="Q6767" i="1"/>
  <c r="O6767" i="1"/>
  <c r="Q6766" i="1"/>
  <c r="O6766" i="1"/>
  <c r="Q6765" i="1"/>
  <c r="O6765" i="1"/>
  <c r="Q6764" i="1"/>
  <c r="O6764" i="1"/>
  <c r="Q6763" i="1"/>
  <c r="O6763" i="1"/>
  <c r="Q6762" i="1"/>
  <c r="O6762" i="1"/>
  <c r="Q6761" i="1"/>
  <c r="O6761" i="1"/>
  <c r="Q6760" i="1"/>
  <c r="O6760" i="1"/>
  <c r="Q6759" i="1"/>
  <c r="O6759" i="1"/>
  <c r="Q6758" i="1"/>
  <c r="O6758" i="1"/>
  <c r="Q6757" i="1"/>
  <c r="O6757" i="1"/>
  <c r="Q6756" i="1"/>
  <c r="O6756" i="1"/>
  <c r="Q6755" i="1"/>
  <c r="O6755" i="1"/>
  <c r="Q6754" i="1"/>
  <c r="O6754" i="1"/>
  <c r="Q6753" i="1"/>
  <c r="O6753" i="1"/>
  <c r="Q6752" i="1"/>
  <c r="O6752" i="1"/>
  <c r="Q6751" i="1"/>
  <c r="O6751" i="1"/>
  <c r="Q6750" i="1"/>
  <c r="O6750" i="1"/>
  <c r="Q6749" i="1"/>
  <c r="O6749" i="1"/>
  <c r="Q6748" i="1"/>
  <c r="O6748" i="1"/>
  <c r="Q6747" i="1"/>
  <c r="O6747" i="1"/>
  <c r="Q6746" i="1"/>
  <c r="O6746" i="1"/>
  <c r="Q6745" i="1"/>
  <c r="O6745" i="1"/>
  <c r="Q6744" i="1"/>
  <c r="O6744" i="1"/>
  <c r="Q6743" i="1"/>
  <c r="O6743" i="1"/>
  <c r="Q6742" i="1"/>
  <c r="O6742" i="1"/>
  <c r="Q6741" i="1"/>
  <c r="O6741" i="1"/>
  <c r="Q6740" i="1"/>
  <c r="O6740" i="1"/>
  <c r="Q6739" i="1"/>
  <c r="O6739" i="1"/>
  <c r="Q6738" i="1"/>
  <c r="O6738" i="1"/>
  <c r="Q6737" i="1"/>
  <c r="O6737" i="1"/>
  <c r="Q6736" i="1"/>
  <c r="O6736" i="1"/>
  <c r="Q6735" i="1"/>
  <c r="O6735" i="1"/>
  <c r="Q6734" i="1"/>
  <c r="O6734" i="1"/>
  <c r="Q6733" i="1"/>
  <c r="O6733" i="1"/>
  <c r="Q6732" i="1"/>
  <c r="O6732" i="1"/>
  <c r="Q6731" i="1"/>
  <c r="O6731" i="1"/>
  <c r="Q6730" i="1"/>
  <c r="O6730" i="1"/>
  <c r="Q6729" i="1"/>
  <c r="O6729" i="1"/>
  <c r="Q6728" i="1"/>
  <c r="O6728" i="1"/>
  <c r="Q6727" i="1"/>
  <c r="O6727" i="1"/>
  <c r="Q6726" i="1"/>
  <c r="O6726" i="1"/>
  <c r="Q6725" i="1"/>
  <c r="O6725" i="1"/>
  <c r="Q6724" i="1"/>
  <c r="O6724" i="1"/>
  <c r="Q6723" i="1"/>
  <c r="O6723" i="1"/>
  <c r="Q6722" i="1"/>
  <c r="O6722" i="1"/>
  <c r="Q6721" i="1"/>
  <c r="O6721" i="1"/>
  <c r="Q6720" i="1"/>
  <c r="O6720" i="1"/>
  <c r="Q6719" i="1"/>
  <c r="O6719" i="1"/>
  <c r="Q6718" i="1"/>
  <c r="O6718" i="1"/>
  <c r="Q6717" i="1"/>
  <c r="O6717" i="1"/>
  <c r="Q6716" i="1"/>
  <c r="O6716" i="1"/>
  <c r="Q6715" i="1"/>
  <c r="O6715" i="1"/>
  <c r="Q6714" i="1"/>
  <c r="O6714" i="1"/>
  <c r="Q6713" i="1"/>
  <c r="O6713" i="1"/>
  <c r="Q6712" i="1"/>
  <c r="O6712" i="1"/>
  <c r="Q6711" i="1"/>
  <c r="O6711" i="1"/>
  <c r="Q6710" i="1"/>
  <c r="O6710" i="1"/>
  <c r="Q6709" i="1"/>
  <c r="O6709" i="1"/>
  <c r="Q6708" i="1"/>
  <c r="O6708" i="1"/>
  <c r="Q6707" i="1"/>
  <c r="O6707" i="1"/>
  <c r="Q6706" i="1"/>
  <c r="O6706" i="1"/>
  <c r="Q6705" i="1"/>
  <c r="O6705" i="1"/>
  <c r="Q6704" i="1"/>
  <c r="O6704" i="1"/>
  <c r="Q6703" i="1"/>
  <c r="O6703" i="1"/>
  <c r="Q6702" i="1"/>
  <c r="O6702" i="1"/>
  <c r="Q6701" i="1"/>
  <c r="O6701" i="1"/>
  <c r="Q6700" i="1"/>
  <c r="O6700" i="1"/>
  <c r="Q6699" i="1"/>
  <c r="O6699" i="1"/>
  <c r="Q6698" i="1"/>
  <c r="O6698" i="1"/>
  <c r="Q6697" i="1"/>
  <c r="O6697" i="1"/>
  <c r="Q6696" i="1"/>
  <c r="O6696" i="1"/>
  <c r="Q6695" i="1"/>
  <c r="O6695" i="1"/>
  <c r="Q6694" i="1"/>
  <c r="O6694" i="1"/>
  <c r="Q6693" i="1"/>
  <c r="O6693" i="1"/>
  <c r="Q6692" i="1"/>
  <c r="O6692" i="1"/>
  <c r="Q6691" i="1"/>
  <c r="O6691" i="1"/>
  <c r="Q6690" i="1"/>
  <c r="O6690" i="1"/>
  <c r="Q6689" i="1"/>
  <c r="O6689" i="1"/>
  <c r="Q6688" i="1"/>
  <c r="O6688" i="1"/>
  <c r="Q6687" i="1"/>
  <c r="O6687" i="1"/>
  <c r="Q6686" i="1"/>
  <c r="O6686" i="1"/>
  <c r="Q6685" i="1"/>
  <c r="O6685" i="1"/>
  <c r="Q6684" i="1"/>
  <c r="O6684" i="1"/>
  <c r="Q6683" i="1"/>
  <c r="O6683" i="1"/>
  <c r="Q6682" i="1"/>
  <c r="O6682" i="1"/>
  <c r="Q6681" i="1"/>
  <c r="O6681" i="1"/>
  <c r="Q6680" i="1"/>
  <c r="O6680" i="1"/>
  <c r="Q6679" i="1"/>
  <c r="O6679" i="1"/>
  <c r="Q6678" i="1"/>
  <c r="O6678" i="1"/>
  <c r="Q6677" i="1"/>
  <c r="O6677" i="1"/>
  <c r="Q6676" i="1"/>
  <c r="O6676" i="1"/>
  <c r="Q6675" i="1"/>
  <c r="O6675" i="1"/>
  <c r="Q6674" i="1"/>
  <c r="O6674" i="1"/>
  <c r="Q6673" i="1"/>
  <c r="O6673" i="1"/>
  <c r="Q6672" i="1"/>
  <c r="O6672" i="1"/>
  <c r="Q6671" i="1"/>
  <c r="O6671" i="1"/>
  <c r="Q6670" i="1"/>
  <c r="O6670" i="1"/>
  <c r="Q6669" i="1"/>
  <c r="O6669" i="1"/>
  <c r="Q6668" i="1"/>
  <c r="O6668" i="1"/>
  <c r="Q6667" i="1"/>
  <c r="O6667" i="1"/>
  <c r="Q6666" i="1"/>
  <c r="O6666" i="1"/>
  <c r="Q6665" i="1"/>
  <c r="O6665" i="1"/>
  <c r="Q6664" i="1"/>
  <c r="O6664" i="1"/>
  <c r="Q6663" i="1"/>
  <c r="O6663" i="1"/>
  <c r="Q6662" i="1"/>
  <c r="O6662" i="1"/>
  <c r="Q6661" i="1"/>
  <c r="O6661" i="1"/>
  <c r="Q6660" i="1"/>
  <c r="O6660" i="1"/>
  <c r="Q6659" i="1"/>
  <c r="O6659" i="1"/>
  <c r="Q6658" i="1"/>
  <c r="O6658" i="1"/>
  <c r="Q6657" i="1"/>
  <c r="O6657" i="1"/>
  <c r="Q6656" i="1"/>
  <c r="O6656" i="1"/>
  <c r="Q6655" i="1"/>
  <c r="O6655" i="1"/>
  <c r="Q6654" i="1"/>
  <c r="O6654" i="1"/>
  <c r="Q6653" i="1"/>
  <c r="O6653" i="1"/>
  <c r="Q6652" i="1"/>
  <c r="O6652" i="1"/>
  <c r="Q6651" i="1"/>
  <c r="O6651" i="1"/>
  <c r="Q6650" i="1"/>
  <c r="O6650" i="1"/>
  <c r="Q6649" i="1"/>
  <c r="O6649" i="1"/>
  <c r="Q6648" i="1"/>
  <c r="O6648" i="1"/>
  <c r="Q6647" i="1"/>
  <c r="O6647" i="1"/>
  <c r="Q6646" i="1"/>
  <c r="O6646" i="1"/>
  <c r="Q6645" i="1"/>
  <c r="O6645" i="1"/>
  <c r="Q6644" i="1"/>
  <c r="O6644" i="1"/>
  <c r="Q6643" i="1"/>
  <c r="O6643" i="1"/>
  <c r="Q6642" i="1"/>
  <c r="O6642" i="1"/>
  <c r="Q6641" i="1"/>
  <c r="O6641" i="1"/>
  <c r="Q6640" i="1"/>
  <c r="O6640" i="1"/>
  <c r="Q6639" i="1"/>
  <c r="O6639" i="1"/>
  <c r="Q6638" i="1"/>
  <c r="O6638" i="1"/>
  <c r="Q6637" i="1"/>
  <c r="O6637" i="1"/>
  <c r="Q6636" i="1"/>
  <c r="O6636" i="1"/>
  <c r="Q6635" i="1"/>
  <c r="O6635" i="1"/>
  <c r="Q6634" i="1"/>
  <c r="O6634" i="1"/>
  <c r="Q6633" i="1"/>
  <c r="O6633" i="1"/>
  <c r="Q6632" i="1"/>
  <c r="O6632" i="1"/>
  <c r="Q6631" i="1"/>
  <c r="O6631" i="1"/>
  <c r="Q6630" i="1"/>
  <c r="O6630" i="1"/>
  <c r="Q6629" i="1"/>
  <c r="O6629" i="1"/>
  <c r="Q6628" i="1"/>
  <c r="O6628" i="1"/>
  <c r="Q6627" i="1"/>
  <c r="O6627" i="1"/>
  <c r="Q6626" i="1"/>
  <c r="O6626" i="1"/>
  <c r="Q6625" i="1"/>
  <c r="O6625" i="1"/>
  <c r="Q6624" i="1"/>
  <c r="O6624" i="1"/>
  <c r="Q6623" i="1"/>
  <c r="O6623" i="1"/>
  <c r="Q6622" i="1"/>
  <c r="O6622" i="1"/>
  <c r="Q6621" i="1"/>
  <c r="O6621" i="1"/>
  <c r="Q6620" i="1"/>
  <c r="O6620" i="1"/>
  <c r="Q6619" i="1"/>
  <c r="O6619" i="1"/>
  <c r="Q6618" i="1"/>
  <c r="O6618" i="1"/>
  <c r="Q6617" i="1"/>
  <c r="O6617" i="1"/>
  <c r="Q6616" i="1"/>
  <c r="O6616" i="1"/>
  <c r="Q6615" i="1"/>
  <c r="O6615" i="1"/>
  <c r="Q6614" i="1"/>
  <c r="O6614" i="1"/>
  <c r="Q6613" i="1"/>
  <c r="O6613" i="1"/>
  <c r="Q6612" i="1"/>
  <c r="O6612" i="1"/>
  <c r="Q6611" i="1"/>
  <c r="O6611" i="1"/>
  <c r="Q6610" i="1"/>
  <c r="O6610" i="1"/>
  <c r="Q6609" i="1"/>
  <c r="O6609" i="1"/>
  <c r="Q6608" i="1"/>
  <c r="O6608" i="1"/>
  <c r="Q6607" i="1"/>
  <c r="O6607" i="1"/>
  <c r="Q6606" i="1"/>
  <c r="O6606" i="1"/>
  <c r="Q6605" i="1"/>
  <c r="O6605" i="1"/>
  <c r="Q6604" i="1"/>
  <c r="O6604" i="1"/>
  <c r="Q6603" i="1"/>
  <c r="O6603" i="1"/>
  <c r="Q6602" i="1"/>
  <c r="O6602" i="1"/>
  <c r="Q6601" i="1"/>
  <c r="O6601" i="1"/>
  <c r="Q6600" i="1"/>
  <c r="O6600" i="1"/>
  <c r="Q6599" i="1"/>
  <c r="O6599" i="1"/>
  <c r="Q6598" i="1"/>
  <c r="O6598" i="1"/>
  <c r="Q6597" i="1"/>
  <c r="O6597" i="1"/>
  <c r="Q6596" i="1"/>
  <c r="O6596" i="1"/>
  <c r="Q6595" i="1"/>
  <c r="O6595" i="1"/>
  <c r="Q6594" i="1"/>
  <c r="O6594" i="1"/>
  <c r="Q6593" i="1"/>
  <c r="O6593" i="1"/>
  <c r="Q6592" i="1"/>
  <c r="O6592" i="1"/>
  <c r="Q6591" i="1"/>
  <c r="O6591" i="1"/>
  <c r="Q6590" i="1"/>
  <c r="O6590" i="1"/>
  <c r="Q6589" i="1"/>
  <c r="O6589" i="1"/>
  <c r="Q6588" i="1"/>
  <c r="O6588" i="1"/>
  <c r="Q6587" i="1"/>
  <c r="O6587" i="1"/>
  <c r="Q6586" i="1"/>
  <c r="O6586" i="1"/>
  <c r="Q6585" i="1"/>
  <c r="O6585" i="1"/>
  <c r="Q6584" i="1"/>
  <c r="O6584" i="1"/>
  <c r="Q6583" i="1"/>
  <c r="O6583" i="1"/>
  <c r="Q6582" i="1"/>
  <c r="O6582" i="1"/>
  <c r="Q6581" i="1"/>
  <c r="O6581" i="1"/>
  <c r="Q6580" i="1"/>
  <c r="O6580" i="1"/>
  <c r="Q6579" i="1"/>
  <c r="O6579" i="1"/>
  <c r="Q6578" i="1"/>
  <c r="O6578" i="1"/>
  <c r="Q6577" i="1"/>
  <c r="O6577" i="1"/>
  <c r="Q6576" i="1"/>
  <c r="O6576" i="1"/>
  <c r="Q6575" i="1"/>
  <c r="O6575" i="1"/>
  <c r="Q6574" i="1"/>
  <c r="O6574" i="1"/>
  <c r="Q6573" i="1"/>
  <c r="O6573" i="1"/>
  <c r="Q6572" i="1"/>
  <c r="O6572" i="1"/>
  <c r="Q6571" i="1"/>
  <c r="O6571" i="1"/>
  <c r="Q6570" i="1"/>
  <c r="O6570" i="1"/>
  <c r="Q6569" i="1"/>
  <c r="O6569" i="1"/>
  <c r="Q6568" i="1"/>
  <c r="O6568" i="1"/>
  <c r="Q6567" i="1"/>
  <c r="O6567" i="1"/>
  <c r="Q6566" i="1"/>
  <c r="O6566" i="1"/>
  <c r="Q6565" i="1"/>
  <c r="O6565" i="1"/>
  <c r="Q6564" i="1"/>
  <c r="O6564" i="1"/>
  <c r="Q6563" i="1"/>
  <c r="O6563" i="1"/>
  <c r="Q6562" i="1"/>
  <c r="O6562" i="1"/>
  <c r="Q6561" i="1"/>
  <c r="O6561" i="1"/>
  <c r="Q6560" i="1"/>
  <c r="O6560" i="1"/>
  <c r="Q6559" i="1"/>
  <c r="O6559" i="1"/>
  <c r="Q6558" i="1"/>
  <c r="O6558" i="1"/>
  <c r="Q6557" i="1"/>
  <c r="O6557" i="1"/>
  <c r="Q6556" i="1"/>
  <c r="O6556" i="1"/>
  <c r="Q6555" i="1"/>
  <c r="O6555" i="1"/>
  <c r="Q6554" i="1"/>
  <c r="O6554" i="1"/>
  <c r="Q6553" i="1"/>
  <c r="O6553" i="1"/>
  <c r="Q6552" i="1"/>
  <c r="O6552" i="1"/>
  <c r="Q6551" i="1"/>
  <c r="O6551" i="1"/>
  <c r="Q6550" i="1"/>
  <c r="O6550" i="1"/>
  <c r="Q6549" i="1"/>
  <c r="O6549" i="1"/>
  <c r="Q6548" i="1"/>
  <c r="O6548" i="1"/>
  <c r="Q6547" i="1"/>
  <c r="O6547" i="1"/>
  <c r="Q6546" i="1"/>
  <c r="O6546" i="1"/>
  <c r="Q6545" i="1"/>
  <c r="O6545" i="1"/>
  <c r="Q6544" i="1"/>
  <c r="O6544" i="1"/>
  <c r="Q6543" i="1"/>
  <c r="O6543" i="1"/>
  <c r="Q6542" i="1"/>
  <c r="O6542" i="1"/>
  <c r="Q6541" i="1"/>
  <c r="O6541" i="1"/>
  <c r="Q6540" i="1"/>
  <c r="O6540" i="1"/>
  <c r="Q6539" i="1"/>
  <c r="O6539" i="1"/>
  <c r="Q6538" i="1"/>
  <c r="O6538" i="1"/>
  <c r="Q6537" i="1"/>
  <c r="O6537" i="1"/>
  <c r="Q6536" i="1"/>
  <c r="O6536" i="1"/>
  <c r="Q6535" i="1"/>
  <c r="O6535" i="1"/>
  <c r="Q6534" i="1"/>
  <c r="O6534" i="1"/>
  <c r="Q6533" i="1"/>
  <c r="O6533" i="1"/>
  <c r="Q6532" i="1"/>
  <c r="O6532" i="1"/>
  <c r="Q6531" i="1"/>
  <c r="O6531" i="1"/>
  <c r="Q6530" i="1"/>
  <c r="O6530" i="1"/>
  <c r="Q6529" i="1"/>
  <c r="O6529" i="1"/>
  <c r="Q6528" i="1"/>
  <c r="O6528" i="1"/>
  <c r="Q6527" i="1"/>
  <c r="O6527" i="1"/>
  <c r="Q6526" i="1"/>
  <c r="O6526" i="1"/>
  <c r="Q6525" i="1"/>
  <c r="O6525" i="1"/>
  <c r="Q6524" i="1"/>
  <c r="O6524" i="1"/>
  <c r="Q6523" i="1"/>
  <c r="O6523" i="1"/>
  <c r="Q6522" i="1"/>
  <c r="O6522" i="1"/>
  <c r="Q6521" i="1"/>
  <c r="O6521" i="1"/>
  <c r="Q6520" i="1"/>
  <c r="O6520" i="1"/>
  <c r="Q6519" i="1"/>
  <c r="O6519" i="1"/>
  <c r="Q6518" i="1"/>
  <c r="O6518" i="1"/>
  <c r="Q6517" i="1"/>
  <c r="O6517" i="1"/>
  <c r="Q6516" i="1"/>
  <c r="O6516" i="1"/>
  <c r="Q6515" i="1"/>
  <c r="O6515" i="1"/>
  <c r="Q6514" i="1"/>
  <c r="O6514" i="1"/>
  <c r="Q6513" i="1"/>
  <c r="O6513" i="1"/>
  <c r="Q6512" i="1"/>
  <c r="O6512" i="1"/>
  <c r="Q6511" i="1"/>
  <c r="O6511" i="1"/>
  <c r="Q6510" i="1"/>
  <c r="O6510" i="1"/>
  <c r="Q6509" i="1"/>
  <c r="O6509" i="1"/>
  <c r="Q6508" i="1"/>
  <c r="O6508" i="1"/>
  <c r="Q6507" i="1"/>
  <c r="O6507" i="1"/>
  <c r="Q6506" i="1"/>
  <c r="O6506" i="1"/>
  <c r="Q6505" i="1"/>
  <c r="O6505" i="1"/>
  <c r="Q6504" i="1"/>
  <c r="O6504" i="1"/>
  <c r="Q6503" i="1"/>
  <c r="O6503" i="1"/>
  <c r="Q6502" i="1"/>
  <c r="O6502" i="1"/>
  <c r="Q6501" i="1"/>
  <c r="O6501" i="1"/>
  <c r="Q6500" i="1"/>
  <c r="O6500" i="1"/>
  <c r="Q6499" i="1"/>
  <c r="O6499" i="1"/>
  <c r="Q6498" i="1"/>
  <c r="O6498" i="1"/>
  <c r="Q6497" i="1"/>
  <c r="O6497" i="1"/>
  <c r="Q6496" i="1"/>
  <c r="O6496" i="1"/>
  <c r="Q6495" i="1"/>
  <c r="O6495" i="1"/>
  <c r="Q6494" i="1"/>
  <c r="O6494" i="1"/>
  <c r="Q6493" i="1"/>
  <c r="O6493" i="1"/>
  <c r="Q6492" i="1"/>
  <c r="O6492" i="1"/>
  <c r="Q6491" i="1"/>
  <c r="O6491" i="1"/>
  <c r="Q6490" i="1"/>
  <c r="O6490" i="1"/>
  <c r="Q6489" i="1"/>
  <c r="O6489" i="1"/>
  <c r="Q6488" i="1"/>
  <c r="O6488" i="1"/>
  <c r="Q6487" i="1"/>
  <c r="O6487" i="1"/>
  <c r="Q6486" i="1"/>
  <c r="O6486" i="1"/>
  <c r="Q6485" i="1"/>
  <c r="O6485" i="1"/>
  <c r="Q6484" i="1"/>
  <c r="O6484" i="1"/>
  <c r="Q6483" i="1"/>
  <c r="O6483" i="1"/>
  <c r="Q6482" i="1"/>
  <c r="O6482" i="1"/>
  <c r="Q6481" i="1"/>
  <c r="O6481" i="1"/>
  <c r="Q6480" i="1"/>
  <c r="O6480" i="1"/>
  <c r="Q6479" i="1"/>
  <c r="O6479" i="1"/>
  <c r="Q6478" i="1"/>
  <c r="O6478" i="1"/>
  <c r="Q6477" i="1"/>
  <c r="O6477" i="1"/>
  <c r="Q6476" i="1"/>
  <c r="O6476" i="1"/>
  <c r="Q6475" i="1"/>
  <c r="O6475" i="1"/>
  <c r="Q6474" i="1"/>
  <c r="O6474" i="1"/>
  <c r="Q6473" i="1"/>
  <c r="O6473" i="1"/>
  <c r="Q6472" i="1"/>
  <c r="O6472" i="1"/>
  <c r="Q6471" i="1"/>
  <c r="O6471" i="1"/>
  <c r="Q6470" i="1"/>
  <c r="O6470" i="1"/>
  <c r="Q6469" i="1"/>
  <c r="O6469" i="1"/>
  <c r="Q6468" i="1"/>
  <c r="O6468" i="1"/>
  <c r="Q6467" i="1"/>
  <c r="O6467" i="1"/>
  <c r="Q6466" i="1"/>
  <c r="O6466" i="1"/>
  <c r="Q6465" i="1"/>
  <c r="O6465" i="1"/>
  <c r="Q6464" i="1"/>
  <c r="O6464" i="1"/>
  <c r="Q6463" i="1"/>
  <c r="O6463" i="1"/>
  <c r="Q6462" i="1"/>
  <c r="O6462" i="1"/>
  <c r="Q6461" i="1"/>
  <c r="O6461" i="1"/>
  <c r="Q6460" i="1"/>
  <c r="O6460" i="1"/>
  <c r="Q6459" i="1"/>
  <c r="O6459" i="1"/>
  <c r="Q6458" i="1"/>
  <c r="O6458" i="1"/>
  <c r="Q6457" i="1"/>
  <c r="O6457" i="1"/>
  <c r="Q6456" i="1"/>
  <c r="O6456" i="1"/>
  <c r="Q6455" i="1"/>
  <c r="O6455" i="1"/>
  <c r="Q6454" i="1"/>
  <c r="O6454" i="1"/>
  <c r="Q6453" i="1"/>
  <c r="O6453" i="1"/>
  <c r="Q6452" i="1"/>
  <c r="O6452" i="1"/>
  <c r="Q6451" i="1"/>
  <c r="O6451" i="1"/>
  <c r="Q6450" i="1"/>
  <c r="O6450" i="1"/>
  <c r="Q6449" i="1"/>
  <c r="O6449" i="1"/>
  <c r="Q6448" i="1"/>
  <c r="O6448" i="1"/>
  <c r="Q6447" i="1"/>
  <c r="O6447" i="1"/>
  <c r="Q6446" i="1"/>
  <c r="O6446" i="1"/>
  <c r="Q6445" i="1"/>
  <c r="O6445" i="1"/>
  <c r="Q6444" i="1"/>
  <c r="O6444" i="1"/>
  <c r="Q6443" i="1"/>
  <c r="O6443" i="1"/>
  <c r="Q6442" i="1"/>
  <c r="O6442" i="1"/>
  <c r="Q6441" i="1"/>
  <c r="O6441" i="1"/>
  <c r="Q6440" i="1"/>
  <c r="O6440" i="1"/>
  <c r="Q6439" i="1"/>
  <c r="O6439" i="1"/>
  <c r="Q6438" i="1"/>
  <c r="O6438" i="1"/>
  <c r="Q6437" i="1"/>
  <c r="O6437" i="1"/>
  <c r="Q6436" i="1"/>
  <c r="O6436" i="1"/>
  <c r="Q6435" i="1"/>
  <c r="O6435" i="1"/>
  <c r="Q6434" i="1"/>
  <c r="O6434" i="1"/>
  <c r="Q6433" i="1"/>
  <c r="O6433" i="1"/>
  <c r="Q6432" i="1"/>
  <c r="O6432" i="1"/>
  <c r="Q6431" i="1"/>
  <c r="O6431" i="1"/>
  <c r="Q6430" i="1"/>
  <c r="O6430" i="1"/>
  <c r="Q6429" i="1"/>
  <c r="O6429" i="1"/>
  <c r="Q6428" i="1"/>
  <c r="O6428" i="1"/>
  <c r="Q6427" i="1"/>
  <c r="O6427" i="1"/>
  <c r="Q6426" i="1"/>
  <c r="O6426" i="1"/>
  <c r="Q6425" i="1"/>
  <c r="O6425" i="1"/>
  <c r="Q6424" i="1"/>
  <c r="O6424" i="1"/>
  <c r="Q6423" i="1"/>
  <c r="O6423" i="1"/>
  <c r="Q6422" i="1"/>
  <c r="O6422" i="1"/>
  <c r="Q6421" i="1"/>
  <c r="O6421" i="1"/>
  <c r="Q6420" i="1"/>
  <c r="O6420" i="1"/>
  <c r="Q6419" i="1"/>
  <c r="O6419" i="1"/>
  <c r="Q6418" i="1"/>
  <c r="O6418" i="1"/>
  <c r="Q6417" i="1"/>
  <c r="O6417" i="1"/>
  <c r="Q6416" i="1"/>
  <c r="O6416" i="1"/>
  <c r="Q6415" i="1"/>
  <c r="O6415" i="1"/>
  <c r="Q6414" i="1"/>
  <c r="O6414" i="1"/>
  <c r="Q6413" i="1"/>
  <c r="O6413" i="1"/>
  <c r="Q6412" i="1"/>
  <c r="O6412" i="1"/>
  <c r="Q6411" i="1"/>
  <c r="O6411" i="1"/>
  <c r="Q6410" i="1"/>
  <c r="O6410" i="1"/>
  <c r="Q6409" i="1"/>
  <c r="O6409" i="1"/>
  <c r="Q6408" i="1"/>
  <c r="O6408" i="1"/>
  <c r="Q6407" i="1"/>
  <c r="O6407" i="1"/>
  <c r="Q6406" i="1"/>
  <c r="O6406" i="1"/>
  <c r="Q6405" i="1"/>
  <c r="O6405" i="1"/>
  <c r="Q6404" i="1"/>
  <c r="O6404" i="1"/>
  <c r="Q6403" i="1"/>
  <c r="O6403" i="1"/>
  <c r="Q6402" i="1"/>
  <c r="O6402" i="1"/>
  <c r="Q6401" i="1"/>
  <c r="O6401" i="1"/>
  <c r="Q6400" i="1"/>
  <c r="O6400" i="1"/>
  <c r="Q6399" i="1"/>
  <c r="O6399" i="1"/>
  <c r="Q6398" i="1"/>
  <c r="O6398" i="1"/>
  <c r="Q6397" i="1"/>
  <c r="O6397" i="1"/>
  <c r="Q6396" i="1"/>
  <c r="O6396" i="1"/>
  <c r="Q6395" i="1"/>
  <c r="O6395" i="1"/>
  <c r="Q6394" i="1"/>
  <c r="O6394" i="1"/>
  <c r="Q6393" i="1"/>
  <c r="O6393" i="1"/>
  <c r="Q6392" i="1"/>
  <c r="O6392" i="1"/>
  <c r="Q6391" i="1"/>
  <c r="O6391" i="1"/>
  <c r="Q6390" i="1"/>
  <c r="O6390" i="1"/>
  <c r="Q6389" i="1"/>
  <c r="O6389" i="1"/>
  <c r="Q6388" i="1"/>
  <c r="O6388" i="1"/>
  <c r="Q6387" i="1"/>
  <c r="O6387" i="1"/>
  <c r="Q6386" i="1"/>
  <c r="O6386" i="1"/>
  <c r="Q6385" i="1"/>
  <c r="O6385" i="1"/>
  <c r="Q6384" i="1"/>
  <c r="O6384" i="1"/>
  <c r="Q6383" i="1"/>
  <c r="O6383" i="1"/>
  <c r="Q6382" i="1"/>
  <c r="O6382" i="1"/>
  <c r="Q6381" i="1"/>
  <c r="O6381" i="1"/>
  <c r="Q6380" i="1"/>
  <c r="O6380" i="1"/>
  <c r="Q6379" i="1"/>
  <c r="O6379" i="1"/>
  <c r="Q6378" i="1"/>
  <c r="O6378" i="1"/>
  <c r="Q6377" i="1"/>
  <c r="O6377" i="1"/>
  <c r="Q6376" i="1"/>
  <c r="O6376" i="1"/>
  <c r="Q6375" i="1"/>
  <c r="O6375" i="1"/>
  <c r="Q6374" i="1"/>
  <c r="O6374" i="1"/>
  <c r="Q6373" i="1"/>
  <c r="O6373" i="1"/>
  <c r="Q6372" i="1"/>
  <c r="O6372" i="1"/>
  <c r="Q6371" i="1"/>
  <c r="O6371" i="1"/>
  <c r="Q6370" i="1"/>
  <c r="O6370" i="1"/>
  <c r="Q6369" i="1"/>
  <c r="O6369" i="1"/>
  <c r="Q6368" i="1"/>
  <c r="O6368" i="1"/>
  <c r="Q6367" i="1"/>
  <c r="O6367" i="1"/>
  <c r="Q6366" i="1"/>
  <c r="O6366" i="1"/>
  <c r="Q6365" i="1"/>
  <c r="O6365" i="1"/>
  <c r="Q6364" i="1"/>
  <c r="O6364" i="1"/>
  <c r="Q6363" i="1"/>
  <c r="O6363" i="1"/>
  <c r="Q6362" i="1"/>
  <c r="O6362" i="1"/>
  <c r="Q6361" i="1"/>
  <c r="O6361" i="1"/>
  <c r="Q6360" i="1"/>
  <c r="O6360" i="1"/>
  <c r="Q6359" i="1"/>
  <c r="O6359" i="1"/>
  <c r="Q6358" i="1"/>
  <c r="O6358" i="1"/>
  <c r="Q6357" i="1"/>
  <c r="O6357" i="1"/>
  <c r="Q6356" i="1"/>
  <c r="O6356" i="1"/>
  <c r="Q6355" i="1"/>
  <c r="O6355" i="1"/>
  <c r="Q6354" i="1"/>
  <c r="O6354" i="1"/>
  <c r="Q6353" i="1"/>
  <c r="O6353" i="1"/>
  <c r="Q6352" i="1"/>
  <c r="O6352" i="1"/>
  <c r="Q6351" i="1"/>
  <c r="O6351" i="1"/>
  <c r="Q6350" i="1"/>
  <c r="O6350" i="1"/>
  <c r="Q6349" i="1"/>
  <c r="O6349" i="1"/>
  <c r="Q6348" i="1"/>
  <c r="O6348" i="1"/>
  <c r="Q6347" i="1"/>
  <c r="O6347" i="1"/>
  <c r="Q6346" i="1"/>
  <c r="O6346" i="1"/>
  <c r="Q6345" i="1"/>
  <c r="O6345" i="1"/>
  <c r="Q6344" i="1"/>
  <c r="O6344" i="1"/>
  <c r="Q6343" i="1"/>
  <c r="O6343" i="1"/>
  <c r="Q6342" i="1"/>
  <c r="O6342" i="1"/>
  <c r="Q6341" i="1"/>
  <c r="O6341" i="1"/>
  <c r="Q6340" i="1"/>
  <c r="O6340" i="1"/>
  <c r="Q6339" i="1"/>
  <c r="O6339" i="1"/>
  <c r="Q6338" i="1"/>
  <c r="O6338" i="1"/>
  <c r="Q6337" i="1"/>
  <c r="O6337" i="1"/>
  <c r="Q6336" i="1"/>
  <c r="O6336" i="1"/>
  <c r="Q6335" i="1"/>
  <c r="O6335" i="1"/>
  <c r="Q6334" i="1"/>
  <c r="O6334" i="1"/>
  <c r="Q6333" i="1"/>
  <c r="O6333" i="1"/>
  <c r="Q6332" i="1"/>
  <c r="O6332" i="1"/>
  <c r="Q6331" i="1"/>
  <c r="O6331" i="1"/>
  <c r="Q6330" i="1"/>
  <c r="O6330" i="1"/>
  <c r="Q6329" i="1"/>
  <c r="O6329" i="1"/>
  <c r="Q6328" i="1"/>
  <c r="O6328" i="1"/>
  <c r="Q6327" i="1"/>
  <c r="O6327" i="1"/>
  <c r="Q6326" i="1"/>
  <c r="O6326" i="1"/>
  <c r="Q6325" i="1"/>
  <c r="O6325" i="1"/>
  <c r="Q6324" i="1"/>
  <c r="O6324" i="1"/>
  <c r="Q6323" i="1"/>
  <c r="O6323" i="1"/>
  <c r="Q6322" i="1"/>
  <c r="O6322" i="1"/>
  <c r="Q6321" i="1"/>
  <c r="O6321" i="1"/>
  <c r="Q6320" i="1"/>
  <c r="O6320" i="1"/>
  <c r="Q6319" i="1"/>
  <c r="O6319" i="1"/>
  <c r="Q6318" i="1"/>
  <c r="O6318" i="1"/>
  <c r="Q6317" i="1"/>
  <c r="O6317" i="1"/>
  <c r="Q6316" i="1"/>
  <c r="O6316" i="1"/>
  <c r="Q6315" i="1"/>
  <c r="O6315" i="1"/>
  <c r="Q6314" i="1"/>
  <c r="O6314" i="1"/>
  <c r="Q6313" i="1"/>
  <c r="O6313" i="1"/>
  <c r="Q6312" i="1"/>
  <c r="O6312" i="1"/>
  <c r="Q6311" i="1"/>
  <c r="O6311" i="1"/>
  <c r="Q6310" i="1"/>
  <c r="O6310" i="1"/>
  <c r="Q6309" i="1"/>
  <c r="O6309" i="1"/>
  <c r="Q6308" i="1"/>
  <c r="O6308" i="1"/>
  <c r="Q6307" i="1"/>
  <c r="O6307" i="1"/>
  <c r="Q6306" i="1"/>
  <c r="O6306" i="1"/>
  <c r="Q6305" i="1"/>
  <c r="O6305" i="1"/>
  <c r="Q6304" i="1"/>
  <c r="O6304" i="1"/>
  <c r="Q6303" i="1"/>
  <c r="O6303" i="1"/>
  <c r="Q6302" i="1"/>
  <c r="O6302" i="1"/>
  <c r="Q6301" i="1"/>
  <c r="O6301" i="1"/>
  <c r="Q6300" i="1"/>
  <c r="O6300" i="1"/>
  <c r="Q6299" i="1"/>
  <c r="O6299" i="1"/>
  <c r="Q6298" i="1"/>
  <c r="O6298" i="1"/>
  <c r="Q6297" i="1"/>
  <c r="O6297" i="1"/>
  <c r="Q6296" i="1"/>
  <c r="O6296" i="1"/>
  <c r="Q6295" i="1"/>
  <c r="O6295" i="1"/>
  <c r="Q6294" i="1"/>
  <c r="O6294" i="1"/>
  <c r="Q6293" i="1"/>
  <c r="O6293" i="1"/>
  <c r="Q6292" i="1"/>
  <c r="O6292" i="1"/>
  <c r="Q6291" i="1"/>
  <c r="O6291" i="1"/>
  <c r="Q6290" i="1"/>
  <c r="O6290" i="1"/>
  <c r="Q6289" i="1"/>
  <c r="O6289" i="1"/>
  <c r="Q6288" i="1"/>
  <c r="O6288" i="1"/>
  <c r="Q6287" i="1"/>
  <c r="O6287" i="1"/>
  <c r="Q6286" i="1"/>
  <c r="O6286" i="1"/>
  <c r="Q6285" i="1"/>
  <c r="O6285" i="1"/>
  <c r="Q6284" i="1"/>
  <c r="O6284" i="1"/>
  <c r="Q6283" i="1"/>
  <c r="O6283" i="1"/>
  <c r="Q6282" i="1"/>
  <c r="O6282" i="1"/>
  <c r="Q6281" i="1"/>
  <c r="O6281" i="1"/>
  <c r="Q6280" i="1"/>
  <c r="O6280" i="1"/>
  <c r="Q6279" i="1"/>
  <c r="O6279" i="1"/>
  <c r="Q6278" i="1"/>
  <c r="O6278" i="1"/>
  <c r="Q6277" i="1"/>
  <c r="O6277" i="1"/>
  <c r="Q6276" i="1"/>
  <c r="O6276" i="1"/>
  <c r="Q6275" i="1"/>
  <c r="O6275" i="1"/>
  <c r="Q6274" i="1"/>
  <c r="O6274" i="1"/>
  <c r="Q6273" i="1"/>
  <c r="O6273" i="1"/>
  <c r="Q6272" i="1"/>
  <c r="O6272" i="1"/>
  <c r="Q6271" i="1"/>
  <c r="O6271" i="1"/>
  <c r="Q6270" i="1"/>
  <c r="O6270" i="1"/>
  <c r="Q6269" i="1"/>
  <c r="O6269" i="1"/>
  <c r="Q6268" i="1"/>
  <c r="O6268" i="1"/>
  <c r="Q6267" i="1"/>
  <c r="O6267" i="1"/>
  <c r="Q6266" i="1"/>
  <c r="O6266" i="1"/>
  <c r="Q6265" i="1"/>
  <c r="O6265" i="1"/>
  <c r="Q6264" i="1"/>
  <c r="O6264" i="1"/>
  <c r="Q6263" i="1"/>
  <c r="O6263" i="1"/>
  <c r="Q6262" i="1"/>
  <c r="O6262" i="1"/>
  <c r="Q6261" i="1"/>
  <c r="O6261" i="1"/>
  <c r="Q6260" i="1"/>
  <c r="O6260" i="1"/>
  <c r="Q6259" i="1"/>
  <c r="O6259" i="1"/>
  <c r="Q6258" i="1"/>
  <c r="O6258" i="1"/>
  <c r="Q6257" i="1"/>
  <c r="O6257" i="1"/>
  <c r="Q6256" i="1"/>
  <c r="O6256" i="1"/>
  <c r="Q6255" i="1"/>
  <c r="O6255" i="1"/>
  <c r="Q6254" i="1"/>
  <c r="O6254" i="1"/>
  <c r="Q6253" i="1"/>
  <c r="O6253" i="1"/>
  <c r="Q6252" i="1"/>
  <c r="O6252" i="1"/>
  <c r="Q6251" i="1"/>
  <c r="O6251" i="1"/>
  <c r="Q6250" i="1"/>
  <c r="O6250" i="1"/>
  <c r="Q6249" i="1"/>
  <c r="O6249" i="1"/>
  <c r="Q6248" i="1"/>
  <c r="O6248" i="1"/>
  <c r="Q6247" i="1"/>
  <c r="O6247" i="1"/>
  <c r="Q6246" i="1"/>
  <c r="O6246" i="1"/>
  <c r="Q6245" i="1"/>
  <c r="O6245" i="1"/>
  <c r="Q6244" i="1"/>
  <c r="O6244" i="1"/>
  <c r="Q6243" i="1"/>
  <c r="O6243" i="1"/>
  <c r="Q6242" i="1"/>
  <c r="O6242" i="1"/>
  <c r="Q6241" i="1"/>
  <c r="O6241" i="1"/>
  <c r="Q6240" i="1"/>
  <c r="O6240" i="1"/>
  <c r="Q6239" i="1"/>
  <c r="O6239" i="1"/>
  <c r="Q6238" i="1"/>
  <c r="O6238" i="1"/>
  <c r="Q6237" i="1"/>
  <c r="O6237" i="1"/>
  <c r="Q6236" i="1"/>
  <c r="O6236" i="1"/>
  <c r="Q6235" i="1"/>
  <c r="O6235" i="1"/>
  <c r="Q6234" i="1"/>
  <c r="O6234" i="1"/>
  <c r="Q6233" i="1"/>
  <c r="O6233" i="1"/>
  <c r="Q6232" i="1"/>
  <c r="O6232" i="1"/>
  <c r="Q6231" i="1"/>
  <c r="O6231" i="1"/>
  <c r="Q6230" i="1"/>
  <c r="O6230" i="1"/>
  <c r="Q6229" i="1"/>
  <c r="O6229" i="1"/>
  <c r="Q6228" i="1"/>
  <c r="O6228" i="1"/>
  <c r="Q6227" i="1"/>
  <c r="O6227" i="1"/>
  <c r="Q6226" i="1"/>
  <c r="O6226" i="1"/>
  <c r="Q6225" i="1"/>
  <c r="O6225" i="1"/>
  <c r="Q6224" i="1"/>
  <c r="O6224" i="1"/>
  <c r="Q6223" i="1"/>
  <c r="O6223" i="1"/>
  <c r="Q6222" i="1"/>
  <c r="O6222" i="1"/>
  <c r="Q6221" i="1"/>
  <c r="O6221" i="1"/>
  <c r="Q6220" i="1"/>
  <c r="O6220" i="1"/>
  <c r="Q6219" i="1"/>
  <c r="O6219" i="1"/>
  <c r="Q6218" i="1"/>
  <c r="O6218" i="1"/>
  <c r="Q6217" i="1"/>
  <c r="O6217" i="1"/>
  <c r="Q6216" i="1"/>
  <c r="O6216" i="1"/>
  <c r="Q6215" i="1"/>
  <c r="O6215" i="1"/>
  <c r="Q6214" i="1"/>
  <c r="O6214" i="1"/>
  <c r="Q6213" i="1"/>
  <c r="O6213" i="1"/>
  <c r="Q6212" i="1"/>
  <c r="O6212" i="1"/>
  <c r="Q6211" i="1"/>
  <c r="O6211" i="1"/>
  <c r="Q6210" i="1"/>
  <c r="O6210" i="1"/>
  <c r="Q6209" i="1"/>
  <c r="O6209" i="1"/>
  <c r="Q6208" i="1"/>
  <c r="O6208" i="1"/>
  <c r="Q6207" i="1"/>
  <c r="O6207" i="1"/>
  <c r="Q6206" i="1"/>
  <c r="O6206" i="1"/>
  <c r="Q6205" i="1"/>
  <c r="O6205" i="1"/>
  <c r="Q6204" i="1"/>
  <c r="O6204" i="1"/>
  <c r="Q6203" i="1"/>
  <c r="O6203" i="1"/>
  <c r="Q6202" i="1"/>
  <c r="O6202" i="1"/>
  <c r="Q6201" i="1"/>
  <c r="O6201" i="1"/>
  <c r="Q6200" i="1"/>
  <c r="O6200" i="1"/>
  <c r="Q6199" i="1"/>
  <c r="O6199" i="1"/>
  <c r="Q6198" i="1"/>
  <c r="O6198" i="1"/>
  <c r="Q6197" i="1"/>
  <c r="O6197" i="1"/>
  <c r="Q6196" i="1"/>
  <c r="O6196" i="1"/>
  <c r="Q6195" i="1"/>
  <c r="O6195" i="1"/>
  <c r="Q6194" i="1"/>
  <c r="O6194" i="1"/>
  <c r="Q6193" i="1"/>
  <c r="O6193" i="1"/>
  <c r="Q6192" i="1"/>
  <c r="O6192" i="1"/>
  <c r="Q6191" i="1"/>
  <c r="O6191" i="1"/>
  <c r="Q6190" i="1"/>
  <c r="O6190" i="1"/>
  <c r="Q6189" i="1"/>
  <c r="O6189" i="1"/>
  <c r="Q6188" i="1"/>
  <c r="O6188" i="1"/>
  <c r="Q6187" i="1"/>
  <c r="O6187" i="1"/>
  <c r="Q6186" i="1"/>
  <c r="O6186" i="1"/>
  <c r="Q6185" i="1"/>
  <c r="O6185" i="1"/>
  <c r="Q6184" i="1"/>
  <c r="O6184" i="1"/>
  <c r="Q6183" i="1"/>
  <c r="O6183" i="1"/>
  <c r="Q6182" i="1"/>
  <c r="O6182" i="1"/>
  <c r="Q6181" i="1"/>
  <c r="O6181" i="1"/>
  <c r="Q6180" i="1"/>
  <c r="O6180" i="1"/>
  <c r="Q6179" i="1"/>
  <c r="O6179" i="1"/>
  <c r="Q6178" i="1"/>
  <c r="O6178" i="1"/>
  <c r="Q6177" i="1"/>
  <c r="O6177" i="1"/>
  <c r="Q6176" i="1"/>
  <c r="O6176" i="1"/>
  <c r="Q6175" i="1"/>
  <c r="O6175" i="1"/>
  <c r="Q6174" i="1"/>
  <c r="O6174" i="1"/>
  <c r="Q6173" i="1"/>
  <c r="O6173" i="1"/>
  <c r="Q6172" i="1"/>
  <c r="O6172" i="1"/>
  <c r="Q6171" i="1"/>
  <c r="O6171" i="1"/>
  <c r="Q6170" i="1"/>
  <c r="O6170" i="1"/>
  <c r="Q6169" i="1"/>
  <c r="O6169" i="1"/>
  <c r="Q6168" i="1"/>
  <c r="O6168" i="1"/>
  <c r="Q6167" i="1"/>
  <c r="O6167" i="1"/>
  <c r="Q6166" i="1"/>
  <c r="O6166" i="1"/>
  <c r="Q6165" i="1"/>
  <c r="O6165" i="1"/>
  <c r="Q6164" i="1"/>
  <c r="O6164" i="1"/>
  <c r="Q6163" i="1"/>
  <c r="O6163" i="1"/>
  <c r="Q6162" i="1"/>
  <c r="O6162" i="1"/>
  <c r="Q6161" i="1"/>
  <c r="O6161" i="1"/>
  <c r="Q6160" i="1"/>
  <c r="O6160" i="1"/>
  <c r="Q6159" i="1"/>
  <c r="O6159" i="1"/>
  <c r="Q6158" i="1"/>
  <c r="O6158" i="1"/>
  <c r="Q6157" i="1"/>
  <c r="O6157" i="1"/>
  <c r="Q6156" i="1"/>
  <c r="O6156" i="1"/>
  <c r="Q6155" i="1"/>
  <c r="O6155" i="1"/>
  <c r="Q6154" i="1"/>
  <c r="O6154" i="1"/>
  <c r="Q6153" i="1"/>
  <c r="O6153" i="1"/>
  <c r="Q6152" i="1"/>
  <c r="O6152" i="1"/>
  <c r="Q6151" i="1"/>
  <c r="O6151" i="1"/>
  <c r="Q6150" i="1"/>
  <c r="O6150" i="1"/>
  <c r="Q6149" i="1"/>
  <c r="O6149" i="1"/>
  <c r="Q6148" i="1"/>
  <c r="O6148" i="1"/>
  <c r="Q6147" i="1"/>
  <c r="O6147" i="1"/>
  <c r="Q6146" i="1"/>
  <c r="O6146" i="1"/>
  <c r="Q6145" i="1"/>
  <c r="O6145" i="1"/>
  <c r="Q6144" i="1"/>
  <c r="O6144" i="1"/>
  <c r="Q6143" i="1"/>
  <c r="O6143" i="1"/>
  <c r="Q6142" i="1"/>
  <c r="O6142" i="1"/>
  <c r="Q6141" i="1"/>
  <c r="O6141" i="1"/>
  <c r="Q6140" i="1"/>
  <c r="O6140" i="1"/>
  <c r="Q6139" i="1"/>
  <c r="O6139" i="1"/>
  <c r="Q6138" i="1"/>
  <c r="O6138" i="1"/>
  <c r="Q6137" i="1"/>
  <c r="O6137" i="1"/>
  <c r="Q6136" i="1"/>
  <c r="O6136" i="1"/>
  <c r="Q6135" i="1"/>
  <c r="O6135" i="1"/>
  <c r="Q6134" i="1"/>
  <c r="O6134" i="1"/>
  <c r="Q6133" i="1"/>
  <c r="O6133" i="1"/>
  <c r="Q6132" i="1"/>
  <c r="O6132" i="1"/>
  <c r="Q6131" i="1"/>
  <c r="O6131" i="1"/>
  <c r="Q6130" i="1"/>
  <c r="O6130" i="1"/>
  <c r="Q6129" i="1"/>
  <c r="O6129" i="1"/>
  <c r="Q6128" i="1"/>
  <c r="O6128" i="1"/>
  <c r="Q6127" i="1"/>
  <c r="O6127" i="1"/>
  <c r="Q6126" i="1"/>
  <c r="O6126" i="1"/>
  <c r="Q6125" i="1"/>
  <c r="O6125" i="1"/>
  <c r="Q6124" i="1"/>
  <c r="O6124" i="1"/>
  <c r="Q6123" i="1"/>
  <c r="O6123" i="1"/>
  <c r="Q6122" i="1"/>
  <c r="O6122" i="1"/>
  <c r="Q6121" i="1"/>
  <c r="O6121" i="1"/>
  <c r="Q6120" i="1"/>
  <c r="O6120" i="1"/>
  <c r="Q6119" i="1"/>
  <c r="O6119" i="1"/>
  <c r="Q6118" i="1"/>
  <c r="O6118" i="1"/>
  <c r="Q6117" i="1"/>
  <c r="O6117" i="1"/>
  <c r="Q6116" i="1"/>
  <c r="O6116" i="1"/>
  <c r="Q6115" i="1"/>
  <c r="O6115" i="1"/>
  <c r="Q6114" i="1"/>
  <c r="O6114" i="1"/>
  <c r="Q6113" i="1"/>
  <c r="O6113" i="1"/>
  <c r="Q6112" i="1"/>
  <c r="O6112" i="1"/>
  <c r="Q6111" i="1"/>
  <c r="O6111" i="1"/>
  <c r="Q6110" i="1"/>
  <c r="O6110" i="1"/>
  <c r="Q6109" i="1"/>
  <c r="O6109" i="1"/>
  <c r="Q6108" i="1"/>
  <c r="O6108" i="1"/>
  <c r="Q6107" i="1"/>
  <c r="O6107" i="1"/>
  <c r="Q6106" i="1"/>
  <c r="O6106" i="1"/>
  <c r="Q6105" i="1"/>
  <c r="O6105" i="1"/>
  <c r="Q6104" i="1"/>
  <c r="O6104" i="1"/>
  <c r="Q6103" i="1"/>
  <c r="O6103" i="1"/>
  <c r="Q6102" i="1"/>
  <c r="O6102" i="1"/>
  <c r="Q6101" i="1"/>
  <c r="O6101" i="1"/>
  <c r="Q6100" i="1"/>
  <c r="O6100" i="1"/>
  <c r="Q6099" i="1"/>
  <c r="O6099" i="1"/>
  <c r="Q6098" i="1"/>
  <c r="O6098" i="1"/>
  <c r="Q6097" i="1"/>
  <c r="O6097" i="1"/>
  <c r="Q6096" i="1"/>
  <c r="O6096" i="1"/>
  <c r="Q6095" i="1"/>
  <c r="O6095" i="1"/>
  <c r="Q6094" i="1"/>
  <c r="O6094" i="1"/>
  <c r="Q6093" i="1"/>
  <c r="O6093" i="1"/>
  <c r="Q6092" i="1"/>
  <c r="O6092" i="1"/>
  <c r="Q6091" i="1"/>
  <c r="O6091" i="1"/>
  <c r="Q6090" i="1"/>
  <c r="O6090" i="1"/>
  <c r="Q6089" i="1"/>
  <c r="O6089" i="1"/>
  <c r="Q6088" i="1"/>
  <c r="O6088" i="1"/>
  <c r="Q6087" i="1"/>
  <c r="O6087" i="1"/>
  <c r="Q6086" i="1"/>
  <c r="O6086" i="1"/>
  <c r="Q6085" i="1"/>
  <c r="O6085" i="1"/>
  <c r="Q6084" i="1"/>
  <c r="O6084" i="1"/>
  <c r="Q6083" i="1"/>
  <c r="O6083" i="1"/>
  <c r="Q6082" i="1"/>
  <c r="O6082" i="1"/>
  <c r="Q6081" i="1"/>
  <c r="O6081" i="1"/>
  <c r="Q6080" i="1"/>
  <c r="O6080" i="1"/>
  <c r="Q6079" i="1"/>
  <c r="O6079" i="1"/>
  <c r="Q6078" i="1"/>
  <c r="O6078" i="1"/>
  <c r="Q6077" i="1"/>
  <c r="O6077" i="1"/>
  <c r="Q6076" i="1"/>
  <c r="O6076" i="1"/>
  <c r="Q6075" i="1"/>
  <c r="O6075" i="1"/>
  <c r="Q6074" i="1"/>
  <c r="O6074" i="1"/>
  <c r="Q6073" i="1"/>
  <c r="O6073" i="1"/>
  <c r="Q6072" i="1"/>
  <c r="O6072" i="1"/>
  <c r="Q6071" i="1"/>
  <c r="O6071" i="1"/>
  <c r="Q6070" i="1"/>
  <c r="O6070" i="1"/>
  <c r="Q6069" i="1"/>
  <c r="O6069" i="1"/>
  <c r="Q6068" i="1"/>
  <c r="O6068" i="1"/>
  <c r="Q6067" i="1"/>
  <c r="O6067" i="1"/>
  <c r="Q6066" i="1"/>
  <c r="O6066" i="1"/>
  <c r="Q6065" i="1"/>
  <c r="O6065" i="1"/>
  <c r="Q6064" i="1"/>
  <c r="O6064" i="1"/>
  <c r="Q6063" i="1"/>
  <c r="O6063" i="1"/>
  <c r="Q6062" i="1"/>
  <c r="O6062" i="1"/>
  <c r="Q6061" i="1"/>
  <c r="O6061" i="1"/>
  <c r="Q6060" i="1"/>
  <c r="O6060" i="1"/>
  <c r="Q6059" i="1"/>
  <c r="O6059" i="1"/>
  <c r="Q6058" i="1"/>
  <c r="O6058" i="1"/>
  <c r="Q6057" i="1"/>
  <c r="O6057" i="1"/>
  <c r="Q6056" i="1"/>
  <c r="O6056" i="1"/>
  <c r="Q6055" i="1"/>
  <c r="O6055" i="1"/>
  <c r="Q6054" i="1"/>
  <c r="O6054" i="1"/>
  <c r="Q6053" i="1"/>
  <c r="O6053" i="1"/>
  <c r="Q6052" i="1"/>
  <c r="O6052" i="1"/>
  <c r="Q6051" i="1"/>
  <c r="O6051" i="1"/>
  <c r="Q6050" i="1"/>
  <c r="O6050" i="1"/>
  <c r="Q6049" i="1"/>
  <c r="O6049" i="1"/>
  <c r="Q6048" i="1"/>
  <c r="O6048" i="1"/>
  <c r="Q6047" i="1"/>
  <c r="O6047" i="1"/>
  <c r="Q6046" i="1"/>
  <c r="O6046" i="1"/>
  <c r="Q6045" i="1"/>
  <c r="O6045" i="1"/>
  <c r="Q6044" i="1"/>
  <c r="O6044" i="1"/>
  <c r="Q6043" i="1"/>
  <c r="O6043" i="1"/>
  <c r="Q6042" i="1"/>
  <c r="O6042" i="1"/>
  <c r="Q6041" i="1"/>
  <c r="O6041" i="1"/>
  <c r="Q6040" i="1"/>
  <c r="O6040" i="1"/>
  <c r="Q6039" i="1"/>
  <c r="O6039" i="1"/>
  <c r="Q6038" i="1"/>
  <c r="O6038" i="1"/>
  <c r="Q6037" i="1"/>
  <c r="O6037" i="1"/>
  <c r="Q6036" i="1"/>
  <c r="O6036" i="1"/>
  <c r="Q6035" i="1"/>
  <c r="O6035" i="1"/>
  <c r="Q6034" i="1"/>
  <c r="O6034" i="1"/>
  <c r="Q6033" i="1"/>
  <c r="O6033" i="1"/>
  <c r="Q6032" i="1"/>
  <c r="O6032" i="1"/>
  <c r="Q6031" i="1"/>
  <c r="O6031" i="1"/>
  <c r="Q6030" i="1"/>
  <c r="O6030" i="1"/>
  <c r="Q6029" i="1"/>
  <c r="O6029" i="1"/>
  <c r="Q6028" i="1"/>
  <c r="O6028" i="1"/>
  <c r="Q6027" i="1"/>
  <c r="O6027" i="1"/>
  <c r="Q6026" i="1"/>
  <c r="O6026" i="1"/>
  <c r="Q6025" i="1"/>
  <c r="O6025" i="1"/>
  <c r="Q6024" i="1"/>
  <c r="O6024" i="1"/>
  <c r="Q6023" i="1"/>
  <c r="O6023" i="1"/>
  <c r="Q6022" i="1"/>
  <c r="O6022" i="1"/>
  <c r="Q6021" i="1"/>
  <c r="O6021" i="1"/>
  <c r="Q6020" i="1"/>
  <c r="O6020" i="1"/>
  <c r="Q6019" i="1"/>
  <c r="O6019" i="1"/>
  <c r="Q6018" i="1"/>
  <c r="O6018" i="1"/>
  <c r="Q6017" i="1"/>
  <c r="O6017" i="1"/>
  <c r="Q6016" i="1"/>
  <c r="O6016" i="1"/>
  <c r="Q6015" i="1"/>
  <c r="O6015" i="1"/>
  <c r="Q6014" i="1"/>
  <c r="O6014" i="1"/>
  <c r="Q6013" i="1"/>
  <c r="O6013" i="1"/>
  <c r="Q6012" i="1"/>
  <c r="O6012" i="1"/>
  <c r="Q6011" i="1"/>
  <c r="O6011" i="1"/>
  <c r="Q6010" i="1"/>
  <c r="O6010" i="1"/>
  <c r="Q6009" i="1"/>
  <c r="O6009" i="1"/>
  <c r="Q6008" i="1"/>
  <c r="O6008" i="1"/>
  <c r="Q6007" i="1"/>
  <c r="O6007" i="1"/>
  <c r="Q6006" i="1"/>
  <c r="O6006" i="1"/>
  <c r="Q6005" i="1"/>
  <c r="O6005" i="1"/>
  <c r="Q6004" i="1"/>
  <c r="O6004" i="1"/>
  <c r="Q6003" i="1"/>
  <c r="O6003" i="1"/>
  <c r="Q6002" i="1"/>
  <c r="O6002" i="1"/>
  <c r="Q6001" i="1"/>
  <c r="O6001" i="1"/>
  <c r="Q6000" i="1"/>
  <c r="O6000" i="1"/>
  <c r="Q5999" i="1"/>
  <c r="O5999" i="1"/>
  <c r="Q5998" i="1"/>
  <c r="O5998" i="1"/>
  <c r="Q5997" i="1"/>
  <c r="O5997" i="1"/>
  <c r="Q5996" i="1"/>
  <c r="O5996" i="1"/>
  <c r="Q5995" i="1"/>
  <c r="O5995" i="1"/>
  <c r="Q5994" i="1"/>
  <c r="O5994" i="1"/>
  <c r="Q5993" i="1"/>
  <c r="O5993" i="1"/>
  <c r="Q5992" i="1"/>
  <c r="O5992" i="1"/>
  <c r="Q5991" i="1"/>
  <c r="O5991" i="1"/>
  <c r="Q5990" i="1"/>
  <c r="O5990" i="1"/>
  <c r="Q5989" i="1"/>
  <c r="O5989" i="1"/>
  <c r="Q5988" i="1"/>
  <c r="O5988" i="1"/>
  <c r="Q5987" i="1"/>
  <c r="O5987" i="1"/>
  <c r="Q5986" i="1"/>
  <c r="O5986" i="1"/>
  <c r="Q5985" i="1"/>
  <c r="O5985" i="1"/>
  <c r="Q5984" i="1"/>
  <c r="O5984" i="1"/>
  <c r="Q5983" i="1"/>
  <c r="O5983" i="1"/>
  <c r="Q5982" i="1"/>
  <c r="O5982" i="1"/>
  <c r="Q5981" i="1"/>
  <c r="O5981" i="1"/>
  <c r="Q5980" i="1"/>
  <c r="O5980" i="1"/>
  <c r="Q5979" i="1"/>
  <c r="O5979" i="1"/>
  <c r="Q5978" i="1"/>
  <c r="O5978" i="1"/>
  <c r="Q5977" i="1"/>
  <c r="O5977" i="1"/>
  <c r="Q5976" i="1"/>
  <c r="O5976" i="1"/>
  <c r="Q5975" i="1"/>
  <c r="O5975" i="1"/>
  <c r="Q5974" i="1"/>
  <c r="O5974" i="1"/>
  <c r="Q5973" i="1"/>
  <c r="O5973" i="1"/>
  <c r="Q5972" i="1"/>
  <c r="O5972" i="1"/>
  <c r="Q5971" i="1"/>
  <c r="O5971" i="1"/>
  <c r="Q5970" i="1"/>
  <c r="O5970" i="1"/>
  <c r="Q5969" i="1"/>
  <c r="O5969" i="1"/>
  <c r="Q5968" i="1"/>
  <c r="O5968" i="1"/>
  <c r="Q5967" i="1"/>
  <c r="O5967" i="1"/>
  <c r="Q5966" i="1"/>
  <c r="O5966" i="1"/>
  <c r="Q5965" i="1"/>
  <c r="O5965" i="1"/>
  <c r="Q5964" i="1"/>
  <c r="O5964" i="1"/>
  <c r="Q5963" i="1"/>
  <c r="O5963" i="1"/>
  <c r="Q5962" i="1"/>
  <c r="O5962" i="1"/>
  <c r="Q5961" i="1"/>
  <c r="O5961" i="1"/>
  <c r="Q5960" i="1"/>
  <c r="O5960" i="1"/>
  <c r="Q5959" i="1"/>
  <c r="O5959" i="1"/>
  <c r="Q5958" i="1"/>
  <c r="O5958" i="1"/>
  <c r="Q5957" i="1"/>
  <c r="O5957" i="1"/>
  <c r="Q5956" i="1"/>
  <c r="O5956" i="1"/>
  <c r="Q5955" i="1"/>
  <c r="O5955" i="1"/>
  <c r="Q5954" i="1"/>
  <c r="O5954" i="1"/>
  <c r="Q5953" i="1"/>
  <c r="O5953" i="1"/>
  <c r="Q5952" i="1"/>
  <c r="O5952" i="1"/>
  <c r="Q5951" i="1"/>
  <c r="O5951" i="1"/>
  <c r="Q5950" i="1"/>
  <c r="O5950" i="1"/>
  <c r="Q5949" i="1"/>
  <c r="O5949" i="1"/>
  <c r="Q5948" i="1"/>
  <c r="O5948" i="1"/>
  <c r="Q5947" i="1"/>
  <c r="O5947" i="1"/>
  <c r="Q5946" i="1"/>
  <c r="O5946" i="1"/>
  <c r="Q5945" i="1"/>
  <c r="O5945" i="1"/>
  <c r="Q5944" i="1"/>
  <c r="O5944" i="1"/>
  <c r="Q5943" i="1"/>
  <c r="O5943" i="1"/>
  <c r="Q5942" i="1"/>
  <c r="O5942" i="1"/>
  <c r="Q5941" i="1"/>
  <c r="O5941" i="1"/>
  <c r="Q5940" i="1"/>
  <c r="O5940" i="1"/>
  <c r="Q5939" i="1"/>
  <c r="O5939" i="1"/>
  <c r="Q5938" i="1"/>
  <c r="O5938" i="1"/>
  <c r="Q5937" i="1"/>
  <c r="O5937" i="1"/>
  <c r="Q5936" i="1"/>
  <c r="O5936" i="1"/>
  <c r="Q5935" i="1"/>
  <c r="O5935" i="1"/>
  <c r="Q5934" i="1"/>
  <c r="O5934" i="1"/>
  <c r="Q5933" i="1"/>
  <c r="O5933" i="1"/>
  <c r="Q5932" i="1"/>
  <c r="O5932" i="1"/>
  <c r="Q5931" i="1"/>
  <c r="O5931" i="1"/>
  <c r="Q5930" i="1"/>
  <c r="O5930" i="1"/>
  <c r="Q5929" i="1"/>
  <c r="O5929" i="1"/>
  <c r="Q5928" i="1"/>
  <c r="O5928" i="1"/>
  <c r="Q5927" i="1"/>
  <c r="O5927" i="1"/>
  <c r="Q5926" i="1"/>
  <c r="O5926" i="1"/>
  <c r="Q5925" i="1"/>
  <c r="O5925" i="1"/>
  <c r="Q5924" i="1"/>
  <c r="O5924" i="1"/>
  <c r="Q5923" i="1"/>
  <c r="O5923" i="1"/>
  <c r="Q5922" i="1"/>
  <c r="O5922" i="1"/>
  <c r="Q5921" i="1"/>
  <c r="O5921" i="1"/>
  <c r="Q5920" i="1"/>
  <c r="O5920" i="1"/>
  <c r="Q5919" i="1"/>
  <c r="O5919" i="1"/>
  <c r="Q5918" i="1"/>
  <c r="O5918" i="1"/>
  <c r="Q5917" i="1"/>
  <c r="O5917" i="1"/>
  <c r="Q5916" i="1"/>
  <c r="O5916" i="1"/>
  <c r="Q5915" i="1"/>
  <c r="O5915" i="1"/>
  <c r="Q5914" i="1"/>
  <c r="O5914" i="1"/>
  <c r="Q5913" i="1"/>
  <c r="O5913" i="1"/>
  <c r="Q5912" i="1"/>
  <c r="O5912" i="1"/>
  <c r="Q5911" i="1"/>
  <c r="O5911" i="1"/>
  <c r="Q5910" i="1"/>
  <c r="O5910" i="1"/>
  <c r="Q5909" i="1"/>
  <c r="O5909" i="1"/>
  <c r="Q5908" i="1"/>
  <c r="O5908" i="1"/>
  <c r="Q5907" i="1"/>
  <c r="O5907" i="1"/>
  <c r="Q5906" i="1"/>
  <c r="O5906" i="1"/>
  <c r="Q5905" i="1"/>
  <c r="O5905" i="1"/>
  <c r="Q5904" i="1"/>
  <c r="O5904" i="1"/>
  <c r="Q5903" i="1"/>
  <c r="O5903" i="1"/>
  <c r="Q5902" i="1"/>
  <c r="O5902" i="1"/>
  <c r="Q5901" i="1"/>
  <c r="O5901" i="1"/>
  <c r="Q5900" i="1"/>
  <c r="O5900" i="1"/>
  <c r="Q5899" i="1"/>
  <c r="O5899" i="1"/>
  <c r="Q5898" i="1"/>
  <c r="O5898" i="1"/>
  <c r="Q5897" i="1"/>
  <c r="O5897" i="1"/>
  <c r="Q5896" i="1"/>
  <c r="O5896" i="1"/>
  <c r="Q5895" i="1"/>
  <c r="O5895" i="1"/>
  <c r="Q5894" i="1"/>
  <c r="O5894" i="1"/>
  <c r="Q5893" i="1"/>
  <c r="O5893" i="1"/>
  <c r="Q5892" i="1"/>
  <c r="O5892" i="1"/>
  <c r="Q5891" i="1"/>
  <c r="O5891" i="1"/>
  <c r="Q5890" i="1"/>
  <c r="O5890" i="1"/>
  <c r="Q5889" i="1"/>
  <c r="O5889" i="1"/>
  <c r="Q5888" i="1"/>
  <c r="O5888" i="1"/>
  <c r="Q5887" i="1"/>
  <c r="O5887" i="1"/>
  <c r="Q5886" i="1"/>
  <c r="O5886" i="1"/>
  <c r="Q5885" i="1"/>
  <c r="O5885" i="1"/>
  <c r="Q5884" i="1"/>
  <c r="O5884" i="1"/>
  <c r="Q5883" i="1"/>
  <c r="O5883" i="1"/>
  <c r="Q5882" i="1"/>
  <c r="O5882" i="1"/>
  <c r="Q5881" i="1"/>
  <c r="O5881" i="1"/>
  <c r="Q5880" i="1"/>
  <c r="O5880" i="1"/>
  <c r="Q5879" i="1"/>
  <c r="O5879" i="1"/>
  <c r="Q5878" i="1"/>
  <c r="O5878" i="1"/>
  <c r="Q5877" i="1"/>
  <c r="O5877" i="1"/>
  <c r="Q5876" i="1"/>
  <c r="O5876" i="1"/>
  <c r="Q5875" i="1"/>
  <c r="O5875" i="1"/>
  <c r="Q5874" i="1"/>
  <c r="O5874" i="1"/>
  <c r="Q5873" i="1"/>
  <c r="O5873" i="1"/>
  <c r="Q5872" i="1"/>
  <c r="O5872" i="1"/>
  <c r="Q5871" i="1"/>
  <c r="O5871" i="1"/>
  <c r="Q5870" i="1"/>
  <c r="O5870" i="1"/>
  <c r="Q5869" i="1"/>
  <c r="O5869" i="1"/>
  <c r="Q5868" i="1"/>
  <c r="O5868" i="1"/>
  <c r="Q5867" i="1"/>
  <c r="O5867" i="1"/>
  <c r="Q5866" i="1"/>
  <c r="O5866" i="1"/>
  <c r="Q5865" i="1"/>
  <c r="O5865" i="1"/>
  <c r="Q5864" i="1"/>
  <c r="O5864" i="1"/>
  <c r="Q5863" i="1"/>
  <c r="O5863" i="1"/>
  <c r="Q5862" i="1"/>
  <c r="O5862" i="1"/>
  <c r="Q5861" i="1"/>
  <c r="O5861" i="1"/>
  <c r="Q5860" i="1"/>
  <c r="O5860" i="1"/>
  <c r="Q5859" i="1"/>
  <c r="O5859" i="1"/>
  <c r="Q5858" i="1"/>
  <c r="O5858" i="1"/>
  <c r="Q5857" i="1"/>
  <c r="O5857" i="1"/>
  <c r="Q5856" i="1"/>
  <c r="O5856" i="1"/>
  <c r="Q5855" i="1"/>
  <c r="O5855" i="1"/>
  <c r="Q5854" i="1"/>
  <c r="O5854" i="1"/>
  <c r="Q5853" i="1"/>
  <c r="O5853" i="1"/>
  <c r="Q5852" i="1"/>
  <c r="O5852" i="1"/>
  <c r="Q5851" i="1"/>
  <c r="O5851" i="1"/>
  <c r="Q5850" i="1"/>
  <c r="O5850" i="1"/>
  <c r="Q5849" i="1"/>
  <c r="O5849" i="1"/>
  <c r="Q5848" i="1"/>
  <c r="O5848" i="1"/>
  <c r="Q5847" i="1"/>
  <c r="O5847" i="1"/>
  <c r="Q5846" i="1"/>
  <c r="O5846" i="1"/>
  <c r="Q5845" i="1"/>
  <c r="O5845" i="1"/>
  <c r="Q5844" i="1"/>
  <c r="O5844" i="1"/>
  <c r="Q5843" i="1"/>
  <c r="O5843" i="1"/>
  <c r="Q5842" i="1"/>
  <c r="O5842" i="1"/>
  <c r="Q5841" i="1"/>
  <c r="O5841" i="1"/>
  <c r="Q5840" i="1"/>
  <c r="O5840" i="1"/>
  <c r="Q5839" i="1"/>
  <c r="O5839" i="1"/>
  <c r="Q5838" i="1"/>
  <c r="O5838" i="1"/>
  <c r="Q5837" i="1"/>
  <c r="O5837" i="1"/>
  <c r="Q5836" i="1"/>
  <c r="O5836" i="1"/>
  <c r="Q5835" i="1"/>
  <c r="O5835" i="1"/>
  <c r="Q5834" i="1"/>
  <c r="O5834" i="1"/>
  <c r="Q5833" i="1"/>
  <c r="O5833" i="1"/>
  <c r="Q5832" i="1"/>
  <c r="O5832" i="1"/>
  <c r="Q5831" i="1"/>
  <c r="O5831" i="1"/>
  <c r="Q5830" i="1"/>
  <c r="O5830" i="1"/>
  <c r="Q5829" i="1"/>
  <c r="O5829" i="1"/>
  <c r="Q5828" i="1"/>
  <c r="O5828" i="1"/>
  <c r="Q5827" i="1"/>
  <c r="O5827" i="1"/>
  <c r="Q5826" i="1"/>
  <c r="O5826" i="1"/>
  <c r="Q5825" i="1"/>
  <c r="O5825" i="1"/>
  <c r="Q5824" i="1"/>
  <c r="O5824" i="1"/>
  <c r="Q5823" i="1"/>
  <c r="O5823" i="1"/>
  <c r="Q5822" i="1"/>
  <c r="O5822" i="1"/>
  <c r="Q5821" i="1"/>
  <c r="O5821" i="1"/>
  <c r="Q5820" i="1"/>
  <c r="O5820" i="1"/>
  <c r="Q5819" i="1"/>
  <c r="O5819" i="1"/>
  <c r="Q5818" i="1"/>
  <c r="O5818" i="1"/>
  <c r="Q5817" i="1"/>
  <c r="O5817" i="1"/>
  <c r="Q5816" i="1"/>
  <c r="O5816" i="1"/>
  <c r="Q5815" i="1"/>
  <c r="O5815" i="1"/>
  <c r="Q5814" i="1"/>
  <c r="O5814" i="1"/>
  <c r="Q5813" i="1"/>
  <c r="O5813" i="1"/>
  <c r="Q5812" i="1"/>
  <c r="O5812" i="1"/>
  <c r="Q5811" i="1"/>
  <c r="O5811" i="1"/>
  <c r="Q5810" i="1"/>
  <c r="O5810" i="1"/>
  <c r="Q5809" i="1"/>
  <c r="O5809" i="1"/>
  <c r="Q5808" i="1"/>
  <c r="O5808" i="1"/>
  <c r="Q5807" i="1"/>
  <c r="O5807" i="1"/>
  <c r="Q5806" i="1"/>
  <c r="O5806" i="1"/>
  <c r="Q5805" i="1"/>
  <c r="O5805" i="1"/>
  <c r="Q5804" i="1"/>
  <c r="O5804" i="1"/>
  <c r="Q5803" i="1"/>
  <c r="O5803" i="1"/>
  <c r="Q5802" i="1"/>
  <c r="O5802" i="1"/>
  <c r="Q5801" i="1"/>
  <c r="O5801" i="1"/>
  <c r="Q5800" i="1"/>
  <c r="O5800" i="1"/>
  <c r="Q5799" i="1"/>
  <c r="O5799" i="1"/>
  <c r="Q5798" i="1"/>
  <c r="O5798" i="1"/>
  <c r="Q5797" i="1"/>
  <c r="O5797" i="1"/>
  <c r="Q5796" i="1"/>
  <c r="O5796" i="1"/>
  <c r="Q5795" i="1"/>
  <c r="O5795" i="1"/>
  <c r="Q5794" i="1"/>
  <c r="O5794" i="1"/>
  <c r="Q5793" i="1"/>
  <c r="O5793" i="1"/>
  <c r="Q5792" i="1"/>
  <c r="O5792" i="1"/>
  <c r="Q5791" i="1"/>
  <c r="O5791" i="1"/>
  <c r="Q5790" i="1"/>
  <c r="O5790" i="1"/>
  <c r="Q5789" i="1"/>
  <c r="O5789" i="1"/>
  <c r="Q5788" i="1"/>
  <c r="O5788" i="1"/>
  <c r="Q5787" i="1"/>
  <c r="O5787" i="1"/>
  <c r="Q5786" i="1"/>
  <c r="O5786" i="1"/>
  <c r="Q5785" i="1"/>
  <c r="O5785" i="1"/>
  <c r="Q5784" i="1"/>
  <c r="O5784" i="1"/>
  <c r="Q5783" i="1"/>
  <c r="O5783" i="1"/>
  <c r="Q5782" i="1"/>
  <c r="O5782" i="1"/>
  <c r="Q5781" i="1"/>
  <c r="O5781" i="1"/>
  <c r="Q5780" i="1"/>
  <c r="O5780" i="1"/>
  <c r="Q5779" i="1"/>
  <c r="O5779" i="1"/>
  <c r="Q5778" i="1"/>
  <c r="O5778" i="1"/>
  <c r="Q5777" i="1"/>
  <c r="O5777" i="1"/>
  <c r="Q5776" i="1"/>
  <c r="O5776" i="1"/>
  <c r="Q5775" i="1"/>
  <c r="O5775" i="1"/>
  <c r="Q5774" i="1"/>
  <c r="O5774" i="1"/>
  <c r="Q5773" i="1"/>
  <c r="O5773" i="1"/>
  <c r="Q5772" i="1"/>
  <c r="O5772" i="1"/>
  <c r="Q5771" i="1"/>
  <c r="O5771" i="1"/>
  <c r="Q5770" i="1"/>
  <c r="O5770" i="1"/>
  <c r="Q5769" i="1"/>
  <c r="O5769" i="1"/>
  <c r="Q5768" i="1"/>
  <c r="O5768" i="1"/>
  <c r="Q5767" i="1"/>
  <c r="O5767" i="1"/>
  <c r="Q5766" i="1"/>
  <c r="O5766" i="1"/>
  <c r="Q5765" i="1"/>
  <c r="O5765" i="1"/>
  <c r="Q5764" i="1"/>
  <c r="O5764" i="1"/>
  <c r="Q5763" i="1"/>
  <c r="O5763" i="1"/>
  <c r="Q5762" i="1"/>
  <c r="O5762" i="1"/>
  <c r="Q5761" i="1"/>
  <c r="O5761" i="1"/>
  <c r="Q5760" i="1"/>
  <c r="O5760" i="1"/>
  <c r="Q5759" i="1"/>
  <c r="O5759" i="1"/>
  <c r="Q5758" i="1"/>
  <c r="O5758" i="1"/>
  <c r="Q5757" i="1"/>
  <c r="O5757" i="1"/>
  <c r="Q5756" i="1"/>
  <c r="O5756" i="1"/>
  <c r="Q5755" i="1"/>
  <c r="O5755" i="1"/>
  <c r="Q5754" i="1"/>
  <c r="O5754" i="1"/>
  <c r="Q5753" i="1"/>
  <c r="O5753" i="1"/>
  <c r="Q5752" i="1"/>
  <c r="O5752" i="1"/>
  <c r="Q5751" i="1"/>
  <c r="O5751" i="1"/>
  <c r="Q5750" i="1"/>
  <c r="O5750" i="1"/>
  <c r="Q5749" i="1"/>
  <c r="O5749" i="1"/>
  <c r="Q5748" i="1"/>
  <c r="O5748" i="1"/>
  <c r="Q5747" i="1"/>
  <c r="O5747" i="1"/>
  <c r="Q5746" i="1"/>
  <c r="O5746" i="1"/>
  <c r="Q5745" i="1"/>
  <c r="O5745" i="1"/>
  <c r="Q5744" i="1"/>
  <c r="O5744" i="1"/>
  <c r="Q5743" i="1"/>
  <c r="O5743" i="1"/>
  <c r="Q5742" i="1"/>
  <c r="O5742" i="1"/>
  <c r="Q5741" i="1"/>
  <c r="O5741" i="1"/>
  <c r="Q5740" i="1"/>
  <c r="O5740" i="1"/>
  <c r="Q5739" i="1"/>
  <c r="O5739" i="1"/>
  <c r="Q5738" i="1"/>
  <c r="O5738" i="1"/>
  <c r="Q5737" i="1"/>
  <c r="O5737" i="1"/>
  <c r="Q5736" i="1"/>
  <c r="O5736" i="1"/>
  <c r="Q5735" i="1"/>
  <c r="O5735" i="1"/>
  <c r="Q5734" i="1"/>
  <c r="O5734" i="1"/>
  <c r="Q5733" i="1"/>
  <c r="O5733" i="1"/>
  <c r="Q5732" i="1"/>
  <c r="O5732" i="1"/>
  <c r="Q5731" i="1"/>
  <c r="O5731" i="1"/>
  <c r="Q5730" i="1"/>
  <c r="O5730" i="1"/>
  <c r="Q5729" i="1"/>
  <c r="O5729" i="1"/>
  <c r="Q5728" i="1"/>
  <c r="O5728" i="1"/>
  <c r="Q5727" i="1"/>
  <c r="O5727" i="1"/>
  <c r="Q5726" i="1"/>
  <c r="O5726" i="1"/>
  <c r="Q5725" i="1"/>
  <c r="O5725" i="1"/>
  <c r="Q5724" i="1"/>
  <c r="O5724" i="1"/>
  <c r="Q5723" i="1"/>
  <c r="O5723" i="1"/>
  <c r="Q5722" i="1"/>
  <c r="O5722" i="1"/>
  <c r="Q5721" i="1"/>
  <c r="O5721" i="1"/>
  <c r="Q5720" i="1"/>
  <c r="O5720" i="1"/>
  <c r="Q5719" i="1"/>
  <c r="O5719" i="1"/>
  <c r="Q5718" i="1"/>
  <c r="O5718" i="1"/>
  <c r="Q5717" i="1"/>
  <c r="O5717" i="1"/>
  <c r="Q5716" i="1"/>
  <c r="O5716" i="1"/>
  <c r="Q5715" i="1"/>
  <c r="O5715" i="1"/>
  <c r="Q5714" i="1"/>
  <c r="O5714" i="1"/>
  <c r="Q5713" i="1"/>
  <c r="O5713" i="1"/>
  <c r="Q5712" i="1"/>
  <c r="O5712" i="1"/>
  <c r="Q5711" i="1"/>
  <c r="O5711" i="1"/>
  <c r="Q5710" i="1"/>
  <c r="O5710" i="1"/>
  <c r="Q5709" i="1"/>
  <c r="O5709" i="1"/>
  <c r="Q5708" i="1"/>
  <c r="O5708" i="1"/>
  <c r="Q5707" i="1"/>
  <c r="O5707" i="1"/>
  <c r="Q5706" i="1"/>
  <c r="O5706" i="1"/>
  <c r="Q5705" i="1"/>
  <c r="O5705" i="1"/>
  <c r="Q5704" i="1"/>
  <c r="O5704" i="1"/>
  <c r="Q5703" i="1"/>
  <c r="O5703" i="1"/>
  <c r="Q5702" i="1"/>
  <c r="O5702" i="1"/>
  <c r="Q5701" i="1"/>
  <c r="O5701" i="1"/>
  <c r="Q5700" i="1"/>
  <c r="O5700" i="1"/>
  <c r="Q5699" i="1"/>
  <c r="O5699" i="1"/>
  <c r="Q5698" i="1"/>
  <c r="O5698" i="1"/>
  <c r="Q5697" i="1"/>
  <c r="O5697" i="1"/>
  <c r="Q5696" i="1"/>
  <c r="O5696" i="1"/>
  <c r="Q5695" i="1"/>
  <c r="O5695" i="1"/>
  <c r="Q5694" i="1"/>
  <c r="O5694" i="1"/>
  <c r="Q5693" i="1"/>
  <c r="O5693" i="1"/>
  <c r="Q5692" i="1"/>
  <c r="O5692" i="1"/>
  <c r="Q5691" i="1"/>
  <c r="O5691" i="1"/>
  <c r="Q5690" i="1"/>
  <c r="O5690" i="1"/>
  <c r="Q5689" i="1"/>
  <c r="O5689" i="1"/>
  <c r="Q5688" i="1"/>
  <c r="O5688" i="1"/>
  <c r="Q5687" i="1"/>
  <c r="O5687" i="1"/>
  <c r="Q5686" i="1"/>
  <c r="O5686" i="1"/>
  <c r="Q5685" i="1"/>
  <c r="O5685" i="1"/>
  <c r="Q5684" i="1"/>
  <c r="O5684" i="1"/>
  <c r="Q5683" i="1"/>
  <c r="O5683" i="1"/>
  <c r="Q5682" i="1"/>
  <c r="O5682" i="1"/>
  <c r="Q5681" i="1"/>
  <c r="O5681" i="1"/>
  <c r="Q5680" i="1"/>
  <c r="O5680" i="1"/>
  <c r="Q5679" i="1"/>
  <c r="O5679" i="1"/>
  <c r="Q5678" i="1"/>
  <c r="O5678" i="1"/>
  <c r="Q5677" i="1"/>
  <c r="O5677" i="1"/>
  <c r="Q5676" i="1"/>
  <c r="O5676" i="1"/>
  <c r="Q5675" i="1"/>
  <c r="O5675" i="1"/>
  <c r="Q5674" i="1"/>
  <c r="O5674" i="1"/>
  <c r="Q5673" i="1"/>
  <c r="O5673" i="1"/>
  <c r="Q5672" i="1"/>
  <c r="O5672" i="1"/>
  <c r="Q5671" i="1"/>
  <c r="O5671" i="1"/>
  <c r="Q5670" i="1"/>
  <c r="O5670" i="1"/>
  <c r="Q5669" i="1"/>
  <c r="O5669" i="1"/>
  <c r="Q5668" i="1"/>
  <c r="O5668" i="1"/>
  <c r="Q5667" i="1"/>
  <c r="O5667" i="1"/>
  <c r="Q5666" i="1"/>
  <c r="O5666" i="1"/>
  <c r="Q5665" i="1"/>
  <c r="O5665" i="1"/>
  <c r="Q5664" i="1"/>
  <c r="O5664" i="1"/>
  <c r="Q5663" i="1"/>
  <c r="O5663" i="1"/>
  <c r="Q5662" i="1"/>
  <c r="O5662" i="1"/>
  <c r="Q5661" i="1"/>
  <c r="O5661" i="1"/>
  <c r="Q5660" i="1"/>
  <c r="O5660" i="1"/>
  <c r="Q5659" i="1"/>
  <c r="O5659" i="1"/>
  <c r="Q5658" i="1"/>
  <c r="O5658" i="1"/>
  <c r="Q5657" i="1"/>
  <c r="O5657" i="1"/>
  <c r="Q5656" i="1"/>
  <c r="O5656" i="1"/>
  <c r="Q5655" i="1"/>
  <c r="O5655" i="1"/>
  <c r="Q5654" i="1"/>
  <c r="O5654" i="1"/>
  <c r="Q5653" i="1"/>
  <c r="O5653" i="1"/>
  <c r="Q5652" i="1"/>
  <c r="O5652" i="1"/>
  <c r="Q5651" i="1"/>
  <c r="O5651" i="1"/>
  <c r="Q5650" i="1"/>
  <c r="O5650" i="1"/>
  <c r="Q5649" i="1"/>
  <c r="O5649" i="1"/>
  <c r="Q5648" i="1"/>
  <c r="O5648" i="1"/>
  <c r="Q5647" i="1"/>
  <c r="O5647" i="1"/>
  <c r="Q5646" i="1"/>
  <c r="O5646" i="1"/>
  <c r="Q5645" i="1"/>
  <c r="O5645" i="1"/>
  <c r="Q5644" i="1"/>
  <c r="O5644" i="1"/>
  <c r="Q5643" i="1"/>
  <c r="O5643" i="1"/>
  <c r="Q5642" i="1"/>
  <c r="O5642" i="1"/>
  <c r="Q5641" i="1"/>
  <c r="O5641" i="1"/>
  <c r="Q5640" i="1"/>
  <c r="O5640" i="1"/>
  <c r="Q5639" i="1"/>
  <c r="O5639" i="1"/>
  <c r="Q5638" i="1"/>
  <c r="O5638" i="1"/>
  <c r="Q5637" i="1"/>
  <c r="O5637" i="1"/>
  <c r="Q5636" i="1"/>
  <c r="O5636" i="1"/>
  <c r="Q5635" i="1"/>
  <c r="O5635" i="1"/>
  <c r="Q5634" i="1"/>
  <c r="O5634" i="1"/>
  <c r="Q5633" i="1"/>
  <c r="O5633" i="1"/>
  <c r="Q5632" i="1"/>
  <c r="O5632" i="1"/>
  <c r="Q5631" i="1"/>
  <c r="O5631" i="1"/>
  <c r="Q5630" i="1"/>
  <c r="O5630" i="1"/>
  <c r="Q5629" i="1"/>
  <c r="O5629" i="1"/>
  <c r="Q5628" i="1"/>
  <c r="O5628" i="1"/>
  <c r="Q5627" i="1"/>
  <c r="O5627" i="1"/>
  <c r="Q5626" i="1"/>
  <c r="O5626" i="1"/>
  <c r="Q5625" i="1"/>
  <c r="O5625" i="1"/>
  <c r="Q5624" i="1"/>
  <c r="O5624" i="1"/>
  <c r="Q5623" i="1"/>
  <c r="O5623" i="1"/>
  <c r="Q5622" i="1"/>
  <c r="O5622" i="1"/>
  <c r="Q5621" i="1"/>
  <c r="O5621" i="1"/>
  <c r="Q5620" i="1"/>
  <c r="O5620" i="1"/>
  <c r="Q5619" i="1"/>
  <c r="O5619" i="1"/>
  <c r="Q5618" i="1"/>
  <c r="O5618" i="1"/>
  <c r="Q5617" i="1"/>
  <c r="O5617" i="1"/>
  <c r="Q5616" i="1"/>
  <c r="O5616" i="1"/>
  <c r="Q5615" i="1"/>
  <c r="O5615" i="1"/>
  <c r="Q5614" i="1"/>
  <c r="O5614" i="1"/>
  <c r="Q5613" i="1"/>
  <c r="O5613" i="1"/>
  <c r="Q5612" i="1"/>
  <c r="O5612" i="1"/>
  <c r="Q5611" i="1"/>
  <c r="O5611" i="1"/>
  <c r="Q5610" i="1"/>
  <c r="O5610" i="1"/>
  <c r="Q5609" i="1"/>
  <c r="O5609" i="1"/>
  <c r="Q5608" i="1"/>
  <c r="O5608" i="1"/>
  <c r="Q5607" i="1"/>
  <c r="O5607" i="1"/>
  <c r="Q5606" i="1"/>
  <c r="O5606" i="1"/>
  <c r="Q5605" i="1"/>
  <c r="O5605" i="1"/>
  <c r="Q5604" i="1"/>
  <c r="O5604" i="1"/>
  <c r="Q5603" i="1"/>
  <c r="O5603" i="1"/>
  <c r="Q5602" i="1"/>
  <c r="O5602" i="1"/>
  <c r="Q5601" i="1"/>
  <c r="O5601" i="1"/>
  <c r="Q5600" i="1"/>
  <c r="O5600" i="1"/>
  <c r="Q5599" i="1"/>
  <c r="O5599" i="1"/>
  <c r="Q5598" i="1"/>
  <c r="O5598" i="1"/>
  <c r="Q5597" i="1"/>
  <c r="O5597" i="1"/>
  <c r="Q5596" i="1"/>
  <c r="O5596" i="1"/>
  <c r="Q5595" i="1"/>
  <c r="O5595" i="1"/>
  <c r="Q5594" i="1"/>
  <c r="O5594" i="1"/>
  <c r="Q5593" i="1"/>
  <c r="O5593" i="1"/>
  <c r="Q5592" i="1"/>
  <c r="O5592" i="1"/>
  <c r="Q5591" i="1"/>
  <c r="O5591" i="1"/>
  <c r="Q5590" i="1"/>
  <c r="O5590" i="1"/>
  <c r="Q5589" i="1"/>
  <c r="O5589" i="1"/>
  <c r="Q5588" i="1"/>
  <c r="O5588" i="1"/>
  <c r="Q5587" i="1"/>
  <c r="O5587" i="1"/>
  <c r="Q5586" i="1"/>
  <c r="O5586" i="1"/>
  <c r="Q5585" i="1"/>
  <c r="O5585" i="1"/>
  <c r="Q5584" i="1"/>
  <c r="O5584" i="1"/>
  <c r="Q5583" i="1"/>
  <c r="O5583" i="1"/>
  <c r="Q5582" i="1"/>
  <c r="O5582" i="1"/>
  <c r="Q5581" i="1"/>
  <c r="O5581" i="1"/>
  <c r="Q5580" i="1"/>
  <c r="O5580" i="1"/>
  <c r="Q5579" i="1"/>
  <c r="O5579" i="1"/>
  <c r="Q5578" i="1"/>
  <c r="O5578" i="1"/>
  <c r="Q5577" i="1"/>
  <c r="O5577" i="1"/>
  <c r="Q5576" i="1"/>
  <c r="O5576" i="1"/>
  <c r="Q5575" i="1"/>
  <c r="O5575" i="1"/>
  <c r="Q5574" i="1"/>
  <c r="O5574" i="1"/>
  <c r="Q5573" i="1"/>
  <c r="O5573" i="1"/>
  <c r="Q5572" i="1"/>
  <c r="O5572" i="1"/>
  <c r="Q5571" i="1"/>
  <c r="O5571" i="1"/>
  <c r="Q5570" i="1"/>
  <c r="O5570" i="1"/>
  <c r="Q5569" i="1"/>
  <c r="O5569" i="1"/>
  <c r="Q5568" i="1"/>
  <c r="O5568" i="1"/>
  <c r="Q5567" i="1"/>
  <c r="O5567" i="1"/>
  <c r="Q5566" i="1"/>
  <c r="O5566" i="1"/>
  <c r="Q5565" i="1"/>
  <c r="O5565" i="1"/>
  <c r="Q5564" i="1"/>
  <c r="O5564" i="1"/>
  <c r="Q5563" i="1"/>
  <c r="O5563" i="1"/>
  <c r="Q5562" i="1"/>
  <c r="O5562" i="1"/>
  <c r="Q5561" i="1"/>
  <c r="O5561" i="1"/>
  <c r="Q5560" i="1"/>
  <c r="O5560" i="1"/>
  <c r="Q5559" i="1"/>
  <c r="O5559" i="1"/>
  <c r="Q5558" i="1"/>
  <c r="O5558" i="1"/>
  <c r="Q5557" i="1"/>
  <c r="O5557" i="1"/>
  <c r="Q5556" i="1"/>
  <c r="O5556" i="1"/>
  <c r="Q5555" i="1"/>
  <c r="O5555" i="1"/>
  <c r="Q5554" i="1"/>
  <c r="O5554" i="1"/>
  <c r="Q5553" i="1"/>
  <c r="O5553" i="1"/>
  <c r="Q5552" i="1"/>
  <c r="O5552" i="1"/>
  <c r="Q5551" i="1"/>
  <c r="O5551" i="1"/>
  <c r="Q5550" i="1"/>
  <c r="O5550" i="1"/>
  <c r="Q5549" i="1"/>
  <c r="O5549" i="1"/>
  <c r="Q5548" i="1"/>
  <c r="O5548" i="1"/>
  <c r="Q5547" i="1"/>
  <c r="O5547" i="1"/>
  <c r="Q5546" i="1"/>
  <c r="O5546" i="1"/>
  <c r="Q5545" i="1"/>
  <c r="O5545" i="1"/>
  <c r="Q5544" i="1"/>
  <c r="O5544" i="1"/>
  <c r="Q5543" i="1"/>
  <c r="O5543" i="1"/>
  <c r="Q5542" i="1"/>
  <c r="O5542" i="1"/>
  <c r="Q5541" i="1"/>
  <c r="O5541" i="1"/>
  <c r="Q5540" i="1"/>
  <c r="O5540" i="1"/>
  <c r="Q5539" i="1"/>
  <c r="O5539" i="1"/>
  <c r="Q5538" i="1"/>
  <c r="O5538" i="1"/>
  <c r="Q5537" i="1"/>
  <c r="O5537" i="1"/>
  <c r="Q5536" i="1"/>
  <c r="O5536" i="1"/>
  <c r="Q5535" i="1"/>
  <c r="O5535" i="1"/>
  <c r="Q5534" i="1"/>
  <c r="O5534" i="1"/>
  <c r="Q5533" i="1"/>
  <c r="O5533" i="1"/>
  <c r="Q5532" i="1"/>
  <c r="O5532" i="1"/>
  <c r="Q5531" i="1"/>
  <c r="O5531" i="1"/>
  <c r="Q5530" i="1"/>
  <c r="O5530" i="1"/>
  <c r="Q5529" i="1"/>
  <c r="O5529" i="1"/>
  <c r="Q5528" i="1"/>
  <c r="O5528" i="1"/>
  <c r="Q5527" i="1"/>
  <c r="O5527" i="1"/>
  <c r="Q5526" i="1"/>
  <c r="O5526" i="1"/>
  <c r="Q5525" i="1"/>
  <c r="O5525" i="1"/>
  <c r="Q5524" i="1"/>
  <c r="O5524" i="1"/>
  <c r="Q5523" i="1"/>
  <c r="O5523" i="1"/>
  <c r="Q5522" i="1"/>
  <c r="O5522" i="1"/>
  <c r="Q5521" i="1"/>
  <c r="O5521" i="1"/>
  <c r="Q5520" i="1"/>
  <c r="O5520" i="1"/>
  <c r="Q5519" i="1"/>
  <c r="O5519" i="1"/>
  <c r="Q5518" i="1"/>
  <c r="O5518" i="1"/>
  <c r="Q5517" i="1"/>
  <c r="O5517" i="1"/>
  <c r="Q5516" i="1"/>
  <c r="O5516" i="1"/>
  <c r="Q5515" i="1"/>
  <c r="O5515" i="1"/>
  <c r="Q5514" i="1"/>
  <c r="O5514" i="1"/>
  <c r="Q5513" i="1"/>
  <c r="O5513" i="1"/>
  <c r="Q5512" i="1"/>
  <c r="O5512" i="1"/>
  <c r="Q5511" i="1"/>
  <c r="O5511" i="1"/>
  <c r="Q5510" i="1"/>
  <c r="O5510" i="1"/>
  <c r="Q5509" i="1"/>
  <c r="O5509" i="1"/>
  <c r="Q5508" i="1"/>
  <c r="O5508" i="1"/>
  <c r="Q5507" i="1"/>
  <c r="O5507" i="1"/>
  <c r="Q5506" i="1"/>
  <c r="O5506" i="1"/>
  <c r="Q5505" i="1"/>
  <c r="O5505" i="1"/>
  <c r="Q5504" i="1"/>
  <c r="O5504" i="1"/>
  <c r="Q5503" i="1"/>
  <c r="O5503" i="1"/>
  <c r="Q5502" i="1"/>
  <c r="O5502" i="1"/>
  <c r="Q5501" i="1"/>
  <c r="O5501" i="1"/>
  <c r="Q5500" i="1"/>
  <c r="O5500" i="1"/>
  <c r="Q5499" i="1"/>
  <c r="O5499" i="1"/>
  <c r="Q5498" i="1"/>
  <c r="O5498" i="1"/>
  <c r="Q5497" i="1"/>
  <c r="O5497" i="1"/>
  <c r="Q5496" i="1"/>
  <c r="O5496" i="1"/>
  <c r="Q5495" i="1"/>
  <c r="O5495" i="1"/>
  <c r="Q5494" i="1"/>
  <c r="O5494" i="1"/>
  <c r="Q5493" i="1"/>
  <c r="O5493" i="1"/>
  <c r="Q5492" i="1"/>
  <c r="O5492" i="1"/>
  <c r="Q5491" i="1"/>
  <c r="O5491" i="1"/>
  <c r="Q5490" i="1"/>
  <c r="O5490" i="1"/>
  <c r="Q5489" i="1"/>
  <c r="O5489" i="1"/>
  <c r="Q5488" i="1"/>
  <c r="O5488" i="1"/>
  <c r="Q5487" i="1"/>
  <c r="O5487" i="1"/>
  <c r="Q5486" i="1"/>
  <c r="O5486" i="1"/>
  <c r="Q5485" i="1"/>
  <c r="O5485" i="1"/>
  <c r="Q5484" i="1"/>
  <c r="O5484" i="1"/>
  <c r="Q5483" i="1"/>
  <c r="O5483" i="1"/>
  <c r="Q5482" i="1"/>
  <c r="O5482" i="1"/>
  <c r="Q5481" i="1"/>
  <c r="O5481" i="1"/>
  <c r="Q5480" i="1"/>
  <c r="O5480" i="1"/>
  <c r="Q5479" i="1"/>
  <c r="O5479" i="1"/>
  <c r="Q5478" i="1"/>
  <c r="O5478" i="1"/>
  <c r="Q5477" i="1"/>
  <c r="O5477" i="1"/>
  <c r="Q5476" i="1"/>
  <c r="O5476" i="1"/>
  <c r="Q5475" i="1"/>
  <c r="O5475" i="1"/>
  <c r="Q5474" i="1"/>
  <c r="O5474" i="1"/>
  <c r="Q5473" i="1"/>
  <c r="O5473" i="1"/>
  <c r="Q5472" i="1"/>
  <c r="O5472" i="1"/>
  <c r="Q5471" i="1"/>
  <c r="O5471" i="1"/>
  <c r="Q5470" i="1"/>
  <c r="O5470" i="1"/>
  <c r="Q5469" i="1"/>
  <c r="O5469" i="1"/>
  <c r="Q5468" i="1"/>
  <c r="O5468" i="1"/>
  <c r="Q5467" i="1"/>
  <c r="O5467" i="1"/>
  <c r="Q5466" i="1"/>
  <c r="O5466" i="1"/>
  <c r="Q5465" i="1"/>
  <c r="O5465" i="1"/>
  <c r="Q5464" i="1"/>
  <c r="O5464" i="1"/>
  <c r="Q5463" i="1"/>
  <c r="O5463" i="1"/>
  <c r="Q5462" i="1"/>
  <c r="O5462" i="1"/>
  <c r="Q5461" i="1"/>
  <c r="O5461" i="1"/>
  <c r="Q5460" i="1"/>
  <c r="O5460" i="1"/>
  <c r="Q5459" i="1"/>
  <c r="O5459" i="1"/>
  <c r="Q5458" i="1"/>
  <c r="O5458" i="1"/>
  <c r="Q5457" i="1"/>
  <c r="O5457" i="1"/>
  <c r="Q5456" i="1"/>
  <c r="O5456" i="1"/>
  <c r="Q5455" i="1"/>
  <c r="O5455" i="1"/>
  <c r="Q5454" i="1"/>
  <c r="O5454" i="1"/>
  <c r="Q5453" i="1"/>
  <c r="O5453" i="1"/>
  <c r="Q5452" i="1"/>
  <c r="O5452" i="1"/>
  <c r="Q5451" i="1"/>
  <c r="O5451" i="1"/>
  <c r="Q5450" i="1"/>
  <c r="O5450" i="1"/>
  <c r="Q5449" i="1"/>
  <c r="O5449" i="1"/>
  <c r="Q5448" i="1"/>
  <c r="O5448" i="1"/>
  <c r="Q5447" i="1"/>
  <c r="O5447" i="1"/>
  <c r="Q5446" i="1"/>
  <c r="O5446" i="1"/>
  <c r="Q5445" i="1"/>
  <c r="O5445" i="1"/>
  <c r="Q5444" i="1"/>
  <c r="O5444" i="1"/>
  <c r="Q5443" i="1"/>
  <c r="O5443" i="1"/>
  <c r="Q5442" i="1"/>
  <c r="O5442" i="1"/>
  <c r="Q5441" i="1"/>
  <c r="O5441" i="1"/>
  <c r="Q5440" i="1"/>
  <c r="O5440" i="1"/>
  <c r="Q5439" i="1"/>
  <c r="O5439" i="1"/>
  <c r="Q5438" i="1"/>
  <c r="O5438" i="1"/>
  <c r="Q5437" i="1"/>
  <c r="O5437" i="1"/>
  <c r="Q5436" i="1"/>
  <c r="O5436" i="1"/>
  <c r="Q5435" i="1"/>
  <c r="O5435" i="1"/>
  <c r="Q5434" i="1"/>
  <c r="O5434" i="1"/>
  <c r="Q5433" i="1"/>
  <c r="O5433" i="1"/>
  <c r="Q5432" i="1"/>
  <c r="O5432" i="1"/>
  <c r="Q5431" i="1"/>
  <c r="O5431" i="1"/>
  <c r="Q5430" i="1"/>
  <c r="O5430" i="1"/>
  <c r="Q5429" i="1"/>
  <c r="O5429" i="1"/>
  <c r="Q5428" i="1"/>
  <c r="O5428" i="1"/>
  <c r="Q5427" i="1"/>
  <c r="O5427" i="1"/>
  <c r="Q5426" i="1"/>
  <c r="O5426" i="1"/>
  <c r="Q5425" i="1"/>
  <c r="O5425" i="1"/>
  <c r="Q5424" i="1"/>
  <c r="O5424" i="1"/>
  <c r="Q5423" i="1"/>
  <c r="O5423" i="1"/>
  <c r="Q5422" i="1"/>
  <c r="O5422" i="1"/>
  <c r="Q5421" i="1"/>
  <c r="O5421" i="1"/>
  <c r="Q5420" i="1"/>
  <c r="O5420" i="1"/>
  <c r="Q5419" i="1"/>
  <c r="O5419" i="1"/>
  <c r="Q5418" i="1"/>
  <c r="O5418" i="1"/>
  <c r="Q5417" i="1"/>
  <c r="O5417" i="1"/>
  <c r="Q5416" i="1"/>
  <c r="O5416" i="1"/>
  <c r="Q5415" i="1"/>
  <c r="O5415" i="1"/>
  <c r="Q5414" i="1"/>
  <c r="O5414" i="1"/>
  <c r="Q5413" i="1"/>
  <c r="O5413" i="1"/>
  <c r="Q5412" i="1"/>
  <c r="O5412" i="1"/>
  <c r="Q5411" i="1"/>
  <c r="O5411" i="1"/>
  <c r="Q5410" i="1"/>
  <c r="O5410" i="1"/>
  <c r="Q5409" i="1"/>
  <c r="O5409" i="1"/>
  <c r="Q5408" i="1"/>
  <c r="O5408" i="1"/>
  <c r="Q5407" i="1"/>
  <c r="O5407" i="1"/>
  <c r="Q5406" i="1"/>
  <c r="O5406" i="1"/>
  <c r="Q5405" i="1"/>
  <c r="O5405" i="1"/>
  <c r="Q5404" i="1"/>
  <c r="O5404" i="1"/>
  <c r="Q5403" i="1"/>
  <c r="O5403" i="1"/>
  <c r="Q5402" i="1"/>
  <c r="O5402" i="1"/>
  <c r="Q5401" i="1"/>
  <c r="O5401" i="1"/>
  <c r="Q5400" i="1"/>
  <c r="O5400" i="1"/>
  <c r="Q5399" i="1"/>
  <c r="O5399" i="1"/>
  <c r="Q5398" i="1"/>
  <c r="O5398" i="1"/>
  <c r="Q5397" i="1"/>
  <c r="O5397" i="1"/>
  <c r="Q5396" i="1"/>
  <c r="O5396" i="1"/>
  <c r="Q5395" i="1"/>
  <c r="O5395" i="1"/>
  <c r="Q5394" i="1"/>
  <c r="O5394" i="1"/>
  <c r="Q5393" i="1"/>
  <c r="O5393" i="1"/>
  <c r="Q5392" i="1"/>
  <c r="O5392" i="1"/>
  <c r="Q5391" i="1"/>
  <c r="O5391" i="1"/>
  <c r="Q5390" i="1"/>
  <c r="O5390" i="1"/>
  <c r="Q5389" i="1"/>
  <c r="O5389" i="1"/>
  <c r="Q5388" i="1"/>
  <c r="O5388" i="1"/>
  <c r="Q5387" i="1"/>
  <c r="O5387" i="1"/>
  <c r="Q5386" i="1"/>
  <c r="O5386" i="1"/>
  <c r="Q5385" i="1"/>
  <c r="O5385" i="1"/>
  <c r="Q5384" i="1"/>
  <c r="O5384" i="1"/>
  <c r="Q5383" i="1"/>
  <c r="O5383" i="1"/>
  <c r="Q5382" i="1"/>
  <c r="O5382" i="1"/>
  <c r="Q5381" i="1"/>
  <c r="O5381" i="1"/>
  <c r="Q5380" i="1"/>
  <c r="O5380" i="1"/>
  <c r="Q5379" i="1"/>
  <c r="O5379" i="1"/>
  <c r="Q5378" i="1"/>
  <c r="O5378" i="1"/>
  <c r="Q5377" i="1"/>
  <c r="O5377" i="1"/>
  <c r="Q5376" i="1"/>
  <c r="O5376" i="1"/>
  <c r="Q5375" i="1"/>
  <c r="O5375" i="1"/>
  <c r="Q5374" i="1"/>
  <c r="O5374" i="1"/>
  <c r="Q5373" i="1"/>
  <c r="O5373" i="1"/>
  <c r="Q5372" i="1"/>
  <c r="O5372" i="1"/>
  <c r="Q5371" i="1"/>
  <c r="O5371" i="1"/>
  <c r="Q5370" i="1"/>
  <c r="O5370" i="1"/>
  <c r="Q5369" i="1"/>
  <c r="O5369" i="1"/>
  <c r="Q5368" i="1"/>
  <c r="O5368" i="1"/>
  <c r="Q5367" i="1"/>
  <c r="O5367" i="1"/>
  <c r="Q5366" i="1"/>
  <c r="O5366" i="1"/>
  <c r="Q5365" i="1"/>
  <c r="O5365" i="1"/>
  <c r="Q5364" i="1"/>
  <c r="O5364" i="1"/>
  <c r="Q5363" i="1"/>
  <c r="O5363" i="1"/>
  <c r="Q5362" i="1"/>
  <c r="O5362" i="1"/>
  <c r="Q5361" i="1"/>
  <c r="O5361" i="1"/>
  <c r="Q5360" i="1"/>
  <c r="O5360" i="1"/>
  <c r="Q5359" i="1"/>
  <c r="O5359" i="1"/>
  <c r="Q5358" i="1"/>
  <c r="O5358" i="1"/>
  <c r="Q5357" i="1"/>
  <c r="O5357" i="1"/>
  <c r="Q5356" i="1"/>
  <c r="O5356" i="1"/>
  <c r="Q5355" i="1"/>
  <c r="O5355" i="1"/>
  <c r="Q5354" i="1"/>
  <c r="O5354" i="1"/>
  <c r="Q5353" i="1"/>
  <c r="O5353" i="1"/>
  <c r="Q5352" i="1"/>
  <c r="O5352" i="1"/>
  <c r="Q5351" i="1"/>
  <c r="O5351" i="1"/>
  <c r="Q5350" i="1"/>
  <c r="O5350" i="1"/>
  <c r="Q5349" i="1"/>
  <c r="O5349" i="1"/>
  <c r="Q5348" i="1"/>
  <c r="O5348" i="1"/>
  <c r="Q5347" i="1"/>
  <c r="O5347" i="1"/>
  <c r="Q5346" i="1"/>
  <c r="O5346" i="1"/>
  <c r="Q5345" i="1"/>
  <c r="O5345" i="1"/>
  <c r="Q5344" i="1"/>
  <c r="O5344" i="1"/>
  <c r="Q5343" i="1"/>
  <c r="O5343" i="1"/>
  <c r="Q5342" i="1"/>
  <c r="O5342" i="1"/>
  <c r="Q5341" i="1"/>
  <c r="O5341" i="1"/>
  <c r="Q5340" i="1"/>
  <c r="O5340" i="1"/>
  <c r="Q5339" i="1"/>
  <c r="O5339" i="1"/>
  <c r="Q5338" i="1"/>
  <c r="O5338" i="1"/>
  <c r="Q5337" i="1"/>
  <c r="O5337" i="1"/>
  <c r="Q5336" i="1"/>
  <c r="O5336" i="1"/>
  <c r="Q5335" i="1"/>
  <c r="O5335" i="1"/>
  <c r="Q5334" i="1"/>
  <c r="O5334" i="1"/>
  <c r="Q5333" i="1"/>
  <c r="O5333" i="1"/>
  <c r="Q5332" i="1"/>
  <c r="O5332" i="1"/>
  <c r="Q5331" i="1"/>
  <c r="O5331" i="1"/>
  <c r="Q5330" i="1"/>
  <c r="O5330" i="1"/>
  <c r="Q5329" i="1"/>
  <c r="O5329" i="1"/>
  <c r="Q5328" i="1"/>
  <c r="O5328" i="1"/>
  <c r="Q5327" i="1"/>
  <c r="O5327" i="1"/>
  <c r="Q5326" i="1"/>
  <c r="O5326" i="1"/>
  <c r="Q5325" i="1"/>
  <c r="O5325" i="1"/>
  <c r="Q5324" i="1"/>
  <c r="O5324" i="1"/>
  <c r="Q5323" i="1"/>
  <c r="O5323" i="1"/>
  <c r="Q5322" i="1"/>
  <c r="O5322" i="1"/>
  <c r="Q5321" i="1"/>
  <c r="O5321" i="1"/>
  <c r="Q5320" i="1"/>
  <c r="O5320" i="1"/>
  <c r="Q5319" i="1"/>
  <c r="O5319" i="1"/>
  <c r="Q5318" i="1"/>
  <c r="O5318" i="1"/>
  <c r="Q5317" i="1"/>
  <c r="O5317" i="1"/>
  <c r="Q5316" i="1"/>
  <c r="O5316" i="1"/>
  <c r="Q5315" i="1"/>
  <c r="O5315" i="1"/>
  <c r="Q5314" i="1"/>
  <c r="O5314" i="1"/>
  <c r="Q5313" i="1"/>
  <c r="O5313" i="1"/>
  <c r="Q5312" i="1"/>
  <c r="O5312" i="1"/>
  <c r="Q5311" i="1"/>
  <c r="O5311" i="1"/>
  <c r="Q5310" i="1"/>
  <c r="O5310" i="1"/>
  <c r="Q5309" i="1"/>
  <c r="O5309" i="1"/>
  <c r="Q5308" i="1"/>
  <c r="O5308" i="1"/>
  <c r="Q5307" i="1"/>
  <c r="O5307" i="1"/>
  <c r="Q5306" i="1"/>
  <c r="O5306" i="1"/>
  <c r="Q5305" i="1"/>
  <c r="O5305" i="1"/>
  <c r="Q5304" i="1"/>
  <c r="O5304" i="1"/>
  <c r="Q5303" i="1"/>
  <c r="O5303" i="1"/>
  <c r="Q5302" i="1"/>
  <c r="O5302" i="1"/>
  <c r="Q5301" i="1"/>
  <c r="O5301" i="1"/>
  <c r="Q5300" i="1"/>
  <c r="O5300" i="1"/>
  <c r="Q5299" i="1"/>
  <c r="O5299" i="1"/>
  <c r="Q5298" i="1"/>
  <c r="O5298" i="1"/>
  <c r="Q5297" i="1"/>
  <c r="O5297" i="1"/>
  <c r="Q5296" i="1"/>
  <c r="O5296" i="1"/>
  <c r="Q5295" i="1"/>
  <c r="O5295" i="1"/>
  <c r="Q5294" i="1"/>
  <c r="O5294" i="1"/>
  <c r="Q5293" i="1"/>
  <c r="O5293" i="1"/>
  <c r="Q5292" i="1"/>
  <c r="O5292" i="1"/>
  <c r="Q5291" i="1"/>
  <c r="O5291" i="1"/>
  <c r="Q5290" i="1"/>
  <c r="O5290" i="1"/>
  <c r="Q5289" i="1"/>
  <c r="O5289" i="1"/>
  <c r="Q5288" i="1"/>
  <c r="O5288" i="1"/>
  <c r="Q5287" i="1"/>
  <c r="O5287" i="1"/>
  <c r="Q5286" i="1"/>
  <c r="O5286" i="1"/>
  <c r="Q5285" i="1"/>
  <c r="O5285" i="1"/>
  <c r="Q5284" i="1"/>
  <c r="O5284" i="1"/>
  <c r="Q5283" i="1"/>
  <c r="O5283" i="1"/>
  <c r="Q5282" i="1"/>
  <c r="O5282" i="1"/>
  <c r="Q5281" i="1"/>
  <c r="O5281" i="1"/>
  <c r="Q5280" i="1"/>
  <c r="O5280" i="1"/>
  <c r="Q5279" i="1"/>
  <c r="O5279" i="1"/>
  <c r="Q5278" i="1"/>
  <c r="O5278" i="1"/>
  <c r="Q5277" i="1"/>
  <c r="O5277" i="1"/>
  <c r="Q5276" i="1"/>
  <c r="O5276" i="1"/>
  <c r="Q5275" i="1"/>
  <c r="O5275" i="1"/>
  <c r="Q5274" i="1"/>
  <c r="O5274" i="1"/>
  <c r="Q5273" i="1"/>
  <c r="O5273" i="1"/>
  <c r="Q5272" i="1"/>
  <c r="O5272" i="1"/>
  <c r="Q5271" i="1"/>
  <c r="O5271" i="1"/>
  <c r="Q5270" i="1"/>
  <c r="O5270" i="1"/>
  <c r="Q5269" i="1"/>
  <c r="O5269" i="1"/>
  <c r="Q5268" i="1"/>
  <c r="O5268" i="1"/>
  <c r="Q5267" i="1"/>
  <c r="O5267" i="1"/>
  <c r="Q5266" i="1"/>
  <c r="O5266" i="1"/>
  <c r="Q5265" i="1"/>
  <c r="O5265" i="1"/>
  <c r="Q5264" i="1"/>
  <c r="O5264" i="1"/>
  <c r="Q5263" i="1"/>
  <c r="O5263" i="1"/>
  <c r="Q5262" i="1"/>
  <c r="O5262" i="1"/>
  <c r="Q5261" i="1"/>
  <c r="O5261" i="1"/>
  <c r="Q5260" i="1"/>
  <c r="O5260" i="1"/>
  <c r="Q5259" i="1"/>
  <c r="O5259" i="1"/>
  <c r="Q5258" i="1"/>
  <c r="O5258" i="1"/>
  <c r="Q5257" i="1"/>
  <c r="O5257" i="1"/>
  <c r="Q5256" i="1"/>
  <c r="O5256" i="1"/>
  <c r="Q5255" i="1"/>
  <c r="O5255" i="1"/>
  <c r="Q5254" i="1"/>
  <c r="O5254" i="1"/>
  <c r="Q5253" i="1"/>
  <c r="O5253" i="1"/>
  <c r="Q5252" i="1"/>
  <c r="O5252" i="1"/>
  <c r="Q5251" i="1"/>
  <c r="O5251" i="1"/>
  <c r="Q5250" i="1"/>
  <c r="O5250" i="1"/>
  <c r="Q5249" i="1"/>
  <c r="O5249" i="1"/>
  <c r="Q5248" i="1"/>
  <c r="O5248" i="1"/>
  <c r="Q5247" i="1"/>
  <c r="O5247" i="1"/>
  <c r="Q5246" i="1"/>
  <c r="O5246" i="1"/>
  <c r="Q5245" i="1"/>
  <c r="O5245" i="1"/>
  <c r="Q5244" i="1"/>
  <c r="O5244" i="1"/>
  <c r="Q5243" i="1"/>
  <c r="O5243" i="1"/>
  <c r="Q5242" i="1"/>
  <c r="O5242" i="1"/>
  <c r="Q5241" i="1"/>
  <c r="O5241" i="1"/>
  <c r="Q5240" i="1"/>
  <c r="O5240" i="1"/>
  <c r="Q5239" i="1"/>
  <c r="O5239" i="1"/>
  <c r="Q5238" i="1"/>
  <c r="O5238" i="1"/>
  <c r="Q5237" i="1"/>
  <c r="O5237" i="1"/>
  <c r="Q5236" i="1"/>
  <c r="O5236" i="1"/>
  <c r="Q5235" i="1"/>
  <c r="O5235" i="1"/>
  <c r="Q5234" i="1"/>
  <c r="O5234" i="1"/>
  <c r="Q5233" i="1"/>
  <c r="O5233" i="1"/>
  <c r="Q5232" i="1"/>
  <c r="O5232" i="1"/>
  <c r="Q5231" i="1"/>
  <c r="O5231" i="1"/>
  <c r="Q5230" i="1"/>
  <c r="O5230" i="1"/>
  <c r="Q5229" i="1"/>
  <c r="O5229" i="1"/>
  <c r="Q5228" i="1"/>
  <c r="O5228" i="1"/>
  <c r="Q5227" i="1"/>
  <c r="O5227" i="1"/>
  <c r="Q5226" i="1"/>
  <c r="O5226" i="1"/>
  <c r="Q5225" i="1"/>
  <c r="O5225" i="1"/>
  <c r="Q5224" i="1"/>
  <c r="O5224" i="1"/>
  <c r="Q5223" i="1"/>
  <c r="O5223" i="1"/>
  <c r="Q5222" i="1"/>
  <c r="O5222" i="1"/>
  <c r="Q5221" i="1"/>
  <c r="O5221" i="1"/>
  <c r="Q5220" i="1"/>
  <c r="O5220" i="1"/>
  <c r="Q5219" i="1"/>
  <c r="O5219" i="1"/>
  <c r="Q5218" i="1"/>
  <c r="O5218" i="1"/>
  <c r="Q5217" i="1"/>
  <c r="O5217" i="1"/>
  <c r="Q5216" i="1"/>
  <c r="O5216" i="1"/>
  <c r="Q5215" i="1"/>
  <c r="O5215" i="1"/>
  <c r="Q5214" i="1"/>
  <c r="O5214" i="1"/>
  <c r="Q5213" i="1"/>
  <c r="O5213" i="1"/>
  <c r="Q5212" i="1"/>
  <c r="O5212" i="1"/>
  <c r="Q5211" i="1"/>
  <c r="O5211" i="1"/>
  <c r="Q5210" i="1"/>
  <c r="O5210" i="1"/>
  <c r="Q5209" i="1"/>
  <c r="O5209" i="1"/>
  <c r="Q5208" i="1"/>
  <c r="O5208" i="1"/>
  <c r="Q5207" i="1"/>
  <c r="O5207" i="1"/>
  <c r="Q5206" i="1"/>
  <c r="O5206" i="1"/>
  <c r="Q5205" i="1"/>
  <c r="O5205" i="1"/>
  <c r="Q5204" i="1"/>
  <c r="O5204" i="1"/>
  <c r="Q5203" i="1"/>
  <c r="O5203" i="1"/>
  <c r="Q5202" i="1"/>
  <c r="O5202" i="1"/>
  <c r="Q5201" i="1"/>
  <c r="O5201" i="1"/>
  <c r="Q5200" i="1"/>
  <c r="O5200" i="1"/>
  <c r="Q5199" i="1"/>
  <c r="O5199" i="1"/>
  <c r="Q5198" i="1"/>
  <c r="O5198" i="1"/>
  <c r="Q5197" i="1"/>
  <c r="O5197" i="1"/>
  <c r="Q5196" i="1"/>
  <c r="O5196" i="1"/>
  <c r="Q5195" i="1"/>
  <c r="O5195" i="1"/>
  <c r="Q5194" i="1"/>
  <c r="O5194" i="1"/>
  <c r="Q5193" i="1"/>
  <c r="O5193" i="1"/>
  <c r="Q5192" i="1"/>
  <c r="O5192" i="1"/>
  <c r="Q5191" i="1"/>
  <c r="O5191" i="1"/>
  <c r="Q5190" i="1"/>
  <c r="O5190" i="1"/>
  <c r="Q5189" i="1"/>
  <c r="O5189" i="1"/>
  <c r="Q5188" i="1"/>
  <c r="O5188" i="1"/>
  <c r="Q5187" i="1"/>
  <c r="O5187" i="1"/>
  <c r="Q5186" i="1"/>
  <c r="O5186" i="1"/>
  <c r="Q5185" i="1"/>
  <c r="O5185" i="1"/>
  <c r="Q5184" i="1"/>
  <c r="O5184" i="1"/>
  <c r="Q5183" i="1"/>
  <c r="O5183" i="1"/>
  <c r="Q5182" i="1"/>
  <c r="O5182" i="1"/>
  <c r="Q5181" i="1"/>
  <c r="O5181" i="1"/>
  <c r="Q5180" i="1"/>
  <c r="O5180" i="1"/>
  <c r="Q5179" i="1"/>
  <c r="O5179" i="1"/>
  <c r="Q5178" i="1"/>
  <c r="O5178" i="1"/>
  <c r="Q5177" i="1"/>
  <c r="O5177" i="1"/>
  <c r="Q5176" i="1"/>
  <c r="O5176" i="1"/>
  <c r="Q5175" i="1"/>
  <c r="O5175" i="1"/>
  <c r="Q5174" i="1"/>
  <c r="O5174" i="1"/>
  <c r="Q5173" i="1"/>
  <c r="O5173" i="1"/>
  <c r="Q5172" i="1"/>
  <c r="O5172" i="1"/>
  <c r="Q5171" i="1"/>
  <c r="O5171" i="1"/>
  <c r="Q5170" i="1"/>
  <c r="O5170" i="1"/>
  <c r="Q5169" i="1"/>
  <c r="O5169" i="1"/>
  <c r="Q5168" i="1"/>
  <c r="O5168" i="1"/>
  <c r="Q5167" i="1"/>
  <c r="O5167" i="1"/>
  <c r="Q5166" i="1"/>
  <c r="O5166" i="1"/>
  <c r="Q5165" i="1"/>
  <c r="O5165" i="1"/>
  <c r="Q5164" i="1"/>
  <c r="O5164" i="1"/>
  <c r="Q5163" i="1"/>
  <c r="O5163" i="1"/>
  <c r="Q5162" i="1"/>
  <c r="O5162" i="1"/>
  <c r="Q5161" i="1"/>
  <c r="O5161" i="1"/>
  <c r="Q5160" i="1"/>
  <c r="O5160" i="1"/>
  <c r="Q5159" i="1"/>
  <c r="O5159" i="1"/>
  <c r="Q5158" i="1"/>
  <c r="O5158" i="1"/>
  <c r="Q5157" i="1"/>
  <c r="O5157" i="1"/>
  <c r="Q5156" i="1"/>
  <c r="O5156" i="1"/>
  <c r="Q5155" i="1"/>
  <c r="O5155" i="1"/>
  <c r="Q5154" i="1"/>
  <c r="O5154" i="1"/>
  <c r="Q5153" i="1"/>
  <c r="O5153" i="1"/>
  <c r="Q5152" i="1"/>
  <c r="O5152" i="1"/>
  <c r="Q5151" i="1"/>
  <c r="O5151" i="1"/>
  <c r="Q5150" i="1"/>
  <c r="O5150" i="1"/>
  <c r="Q5149" i="1"/>
  <c r="O5149" i="1"/>
  <c r="Q5148" i="1"/>
  <c r="O5148" i="1"/>
  <c r="Q5147" i="1"/>
  <c r="O5147" i="1"/>
  <c r="Q5146" i="1"/>
  <c r="O5146" i="1"/>
  <c r="Q5145" i="1"/>
  <c r="O5145" i="1"/>
  <c r="Q5144" i="1"/>
  <c r="O5144" i="1"/>
  <c r="Q5143" i="1"/>
  <c r="O5143" i="1"/>
  <c r="Q5142" i="1"/>
  <c r="O5142" i="1"/>
  <c r="Q5141" i="1"/>
  <c r="O5141" i="1"/>
  <c r="Q5140" i="1"/>
  <c r="O5140" i="1"/>
  <c r="Q5139" i="1"/>
  <c r="O5139" i="1"/>
  <c r="Q5138" i="1"/>
  <c r="O5138" i="1"/>
  <c r="Q5137" i="1"/>
  <c r="O5137" i="1"/>
  <c r="Q5136" i="1"/>
  <c r="O5136" i="1"/>
  <c r="Q5135" i="1"/>
  <c r="O5135" i="1"/>
  <c r="Q5134" i="1"/>
  <c r="O5134" i="1"/>
  <c r="Q5133" i="1"/>
  <c r="O5133" i="1"/>
  <c r="Q5132" i="1"/>
  <c r="O5132" i="1"/>
  <c r="Q5131" i="1"/>
  <c r="O5131" i="1"/>
  <c r="Q5130" i="1"/>
  <c r="O5130" i="1"/>
  <c r="Q5129" i="1"/>
  <c r="O5129" i="1"/>
  <c r="Q5128" i="1"/>
  <c r="O5128" i="1"/>
  <c r="Q5127" i="1"/>
  <c r="O5127" i="1"/>
  <c r="Q5126" i="1"/>
  <c r="O5126" i="1"/>
  <c r="Q5125" i="1"/>
  <c r="O5125" i="1"/>
  <c r="Q5124" i="1"/>
  <c r="O5124" i="1"/>
  <c r="Q5123" i="1"/>
  <c r="O5123" i="1"/>
  <c r="Q5122" i="1"/>
  <c r="O5122" i="1"/>
  <c r="Q5121" i="1"/>
  <c r="O5121" i="1"/>
  <c r="Q5120" i="1"/>
  <c r="O5120" i="1"/>
  <c r="Q5119" i="1"/>
  <c r="O5119" i="1"/>
  <c r="Q5118" i="1"/>
  <c r="O5118" i="1"/>
  <c r="Q5117" i="1"/>
  <c r="O5117" i="1"/>
  <c r="Q5116" i="1"/>
  <c r="O5116" i="1"/>
  <c r="Q5115" i="1"/>
  <c r="O5115" i="1"/>
  <c r="Q5114" i="1"/>
  <c r="O5114" i="1"/>
  <c r="Q5113" i="1"/>
  <c r="O5113" i="1"/>
  <c r="Q5112" i="1"/>
  <c r="O5112" i="1"/>
  <c r="Q5111" i="1"/>
  <c r="O5111" i="1"/>
  <c r="Q5110" i="1"/>
  <c r="O5110" i="1"/>
  <c r="Q5109" i="1"/>
  <c r="O5109" i="1"/>
  <c r="Q5108" i="1"/>
  <c r="O5108" i="1"/>
  <c r="Q5107" i="1"/>
  <c r="O5107" i="1"/>
  <c r="Q5106" i="1"/>
  <c r="O5106" i="1"/>
  <c r="Q5105" i="1"/>
  <c r="O5105" i="1"/>
  <c r="Q5104" i="1"/>
  <c r="O5104" i="1"/>
  <c r="Q5103" i="1"/>
  <c r="O5103" i="1"/>
  <c r="Q5102" i="1"/>
  <c r="O5102" i="1"/>
  <c r="Q5101" i="1"/>
  <c r="O5101" i="1"/>
  <c r="Q5100" i="1"/>
  <c r="O5100" i="1"/>
  <c r="Q5099" i="1"/>
  <c r="O5099" i="1"/>
  <c r="Q5098" i="1"/>
  <c r="O5098" i="1"/>
  <c r="Q5097" i="1"/>
  <c r="O5097" i="1"/>
  <c r="Q5096" i="1"/>
  <c r="O5096" i="1"/>
  <c r="Q5095" i="1"/>
  <c r="O5095" i="1"/>
  <c r="Q5094" i="1"/>
  <c r="O5094" i="1"/>
  <c r="Q5093" i="1"/>
  <c r="O5093" i="1"/>
  <c r="Q5092" i="1"/>
  <c r="O5092" i="1"/>
  <c r="Q5091" i="1"/>
  <c r="O5091" i="1"/>
  <c r="Q5090" i="1"/>
  <c r="O5090" i="1"/>
  <c r="Q5089" i="1"/>
  <c r="O5089" i="1"/>
  <c r="Q5088" i="1"/>
  <c r="O5088" i="1"/>
  <c r="Q5087" i="1"/>
  <c r="O5087" i="1"/>
  <c r="Q5086" i="1"/>
  <c r="O5086" i="1"/>
  <c r="Q5085" i="1"/>
  <c r="O5085" i="1"/>
  <c r="Q5084" i="1"/>
  <c r="O5084" i="1"/>
  <c r="Q5083" i="1"/>
  <c r="O5083" i="1"/>
  <c r="Q5082" i="1"/>
  <c r="O5082" i="1"/>
  <c r="Q5081" i="1"/>
  <c r="O5081" i="1"/>
  <c r="Q5080" i="1"/>
  <c r="O5080" i="1"/>
  <c r="Q5079" i="1"/>
  <c r="O5079" i="1"/>
  <c r="Q5078" i="1"/>
  <c r="O5078" i="1"/>
  <c r="Q5077" i="1"/>
  <c r="O5077" i="1"/>
  <c r="Q5076" i="1"/>
  <c r="O5076" i="1"/>
  <c r="Q5075" i="1"/>
  <c r="O5075" i="1"/>
  <c r="Q5074" i="1"/>
  <c r="O5074" i="1"/>
  <c r="Q5073" i="1"/>
  <c r="O5073" i="1"/>
  <c r="Q5072" i="1"/>
  <c r="O5072" i="1"/>
  <c r="Q5071" i="1"/>
  <c r="O5071" i="1"/>
  <c r="Q5070" i="1"/>
  <c r="O5070" i="1"/>
  <c r="Q5069" i="1"/>
  <c r="O5069" i="1"/>
  <c r="Q5068" i="1"/>
  <c r="O5068" i="1"/>
  <c r="Q5067" i="1"/>
  <c r="O5067" i="1"/>
  <c r="Q5066" i="1"/>
  <c r="O5066" i="1"/>
  <c r="Q5065" i="1"/>
  <c r="O5065" i="1"/>
  <c r="Q5064" i="1"/>
  <c r="O5064" i="1"/>
  <c r="Q5063" i="1"/>
  <c r="O5063" i="1"/>
  <c r="Q5062" i="1"/>
  <c r="O5062" i="1"/>
  <c r="Q5061" i="1"/>
  <c r="O5061" i="1"/>
  <c r="Q5060" i="1"/>
  <c r="O5060" i="1"/>
  <c r="Q5059" i="1"/>
  <c r="O5059" i="1"/>
  <c r="Q5058" i="1"/>
  <c r="O5058" i="1"/>
  <c r="Q5057" i="1"/>
  <c r="O5057" i="1"/>
  <c r="Q5056" i="1"/>
  <c r="O5056" i="1"/>
  <c r="Q5055" i="1"/>
  <c r="O5055" i="1"/>
  <c r="Q5054" i="1"/>
  <c r="O5054" i="1"/>
  <c r="Q5053" i="1"/>
  <c r="O5053" i="1"/>
  <c r="Q5052" i="1"/>
  <c r="O5052" i="1"/>
  <c r="Q5051" i="1"/>
  <c r="O5051" i="1"/>
  <c r="Q5050" i="1"/>
  <c r="O5050" i="1"/>
  <c r="Q5049" i="1"/>
  <c r="O5049" i="1"/>
  <c r="Q5048" i="1"/>
  <c r="O5048" i="1"/>
  <c r="Q5047" i="1"/>
  <c r="O5047" i="1"/>
  <c r="Q5046" i="1"/>
  <c r="O5046" i="1"/>
  <c r="Q5045" i="1"/>
  <c r="O5045" i="1"/>
  <c r="Q5044" i="1"/>
  <c r="O5044" i="1"/>
  <c r="Q5043" i="1"/>
  <c r="O5043" i="1"/>
  <c r="Q5042" i="1"/>
  <c r="O5042" i="1"/>
  <c r="Q5041" i="1"/>
  <c r="O5041" i="1"/>
  <c r="Q5040" i="1"/>
  <c r="O5040" i="1"/>
  <c r="Q5039" i="1"/>
  <c r="O5039" i="1"/>
  <c r="Q5038" i="1"/>
  <c r="O5038" i="1"/>
  <c r="Q5037" i="1"/>
  <c r="O5037" i="1"/>
  <c r="Q5036" i="1"/>
  <c r="O5036" i="1"/>
  <c r="Q5035" i="1"/>
  <c r="O5035" i="1"/>
  <c r="Q5034" i="1"/>
  <c r="O5034" i="1"/>
  <c r="Q5033" i="1"/>
  <c r="O5033" i="1"/>
  <c r="Q5032" i="1"/>
  <c r="O5032" i="1"/>
  <c r="Q5031" i="1"/>
  <c r="O5031" i="1"/>
  <c r="Q5030" i="1"/>
  <c r="O5030" i="1"/>
  <c r="Q5029" i="1"/>
  <c r="O5029" i="1"/>
  <c r="Q5028" i="1"/>
  <c r="O5028" i="1"/>
  <c r="Q5027" i="1"/>
  <c r="O5027" i="1"/>
  <c r="Q5026" i="1"/>
  <c r="O5026" i="1"/>
  <c r="Q5025" i="1"/>
  <c r="O5025" i="1"/>
  <c r="Q5024" i="1"/>
  <c r="O5024" i="1"/>
  <c r="Q5023" i="1"/>
  <c r="O5023" i="1"/>
  <c r="Q5022" i="1"/>
  <c r="O5022" i="1"/>
  <c r="Q5021" i="1"/>
  <c r="O5021" i="1"/>
  <c r="Q5020" i="1"/>
  <c r="O5020" i="1"/>
  <c r="Q5019" i="1"/>
  <c r="O5019" i="1"/>
  <c r="Q5018" i="1"/>
  <c r="O5018" i="1"/>
  <c r="Q5017" i="1"/>
  <c r="O5017" i="1"/>
  <c r="Q5016" i="1"/>
  <c r="O5016" i="1"/>
  <c r="Q5015" i="1"/>
  <c r="O5015" i="1"/>
  <c r="Q5014" i="1"/>
  <c r="O5014" i="1"/>
  <c r="Q5013" i="1"/>
  <c r="O5013" i="1"/>
  <c r="Q5012" i="1"/>
  <c r="O5012" i="1"/>
  <c r="Q5011" i="1"/>
  <c r="O5011" i="1"/>
  <c r="Q5010" i="1"/>
  <c r="O5010" i="1"/>
  <c r="Q5009" i="1"/>
  <c r="O5009" i="1"/>
  <c r="Q5008" i="1"/>
  <c r="O5008" i="1"/>
  <c r="Q5007" i="1"/>
  <c r="O5007" i="1"/>
  <c r="Q5006" i="1"/>
  <c r="O5006" i="1"/>
  <c r="Q5005" i="1"/>
  <c r="O5005" i="1"/>
  <c r="Q5004" i="1"/>
  <c r="O5004" i="1"/>
  <c r="Q5003" i="1"/>
  <c r="O5003" i="1"/>
  <c r="Q5002" i="1"/>
  <c r="O5002" i="1"/>
  <c r="Q5001" i="1"/>
  <c r="O5001" i="1"/>
  <c r="Q5000" i="1"/>
  <c r="O5000" i="1"/>
  <c r="Q4999" i="1"/>
  <c r="O4999" i="1"/>
  <c r="Q4998" i="1"/>
  <c r="O4998" i="1"/>
  <c r="Q4997" i="1"/>
  <c r="O4997" i="1"/>
  <c r="Q4996" i="1"/>
  <c r="O4996" i="1"/>
  <c r="Q4995" i="1"/>
  <c r="O4995" i="1"/>
  <c r="Q4994" i="1"/>
  <c r="O4994" i="1"/>
  <c r="Q4993" i="1"/>
  <c r="O4993" i="1"/>
  <c r="Q4992" i="1"/>
  <c r="O4992" i="1"/>
  <c r="Q4991" i="1"/>
  <c r="O4991" i="1"/>
  <c r="Q4990" i="1"/>
  <c r="O4990" i="1"/>
  <c r="Q4989" i="1"/>
  <c r="O4989" i="1"/>
  <c r="Q4988" i="1"/>
  <c r="O4988" i="1"/>
  <c r="Q4987" i="1"/>
  <c r="O4987" i="1"/>
  <c r="Q4986" i="1"/>
  <c r="O4986" i="1"/>
  <c r="Q4985" i="1"/>
  <c r="O4985" i="1"/>
  <c r="Q4984" i="1"/>
  <c r="O4984" i="1"/>
  <c r="Q4983" i="1"/>
  <c r="O4983" i="1"/>
  <c r="Q4982" i="1"/>
  <c r="O4982" i="1"/>
  <c r="Q4981" i="1"/>
  <c r="O4981" i="1"/>
  <c r="Q4980" i="1"/>
  <c r="O4980" i="1"/>
  <c r="Q4979" i="1"/>
  <c r="O4979" i="1"/>
  <c r="Q4978" i="1"/>
  <c r="O4978" i="1"/>
  <c r="Q4977" i="1"/>
  <c r="O4977" i="1"/>
  <c r="Q4976" i="1"/>
  <c r="O4976" i="1"/>
  <c r="Q4975" i="1"/>
  <c r="O4975" i="1"/>
  <c r="Q4974" i="1"/>
  <c r="O4974" i="1"/>
  <c r="Q4973" i="1"/>
  <c r="O4973" i="1"/>
  <c r="Q4972" i="1"/>
  <c r="O4972" i="1"/>
  <c r="Q4971" i="1"/>
  <c r="O4971" i="1"/>
  <c r="Q4970" i="1"/>
  <c r="O4970" i="1"/>
  <c r="Q4969" i="1"/>
  <c r="O4969" i="1"/>
  <c r="Q4968" i="1"/>
  <c r="O4968" i="1"/>
  <c r="Q4967" i="1"/>
  <c r="O4967" i="1"/>
  <c r="Q4966" i="1"/>
  <c r="O4966" i="1"/>
  <c r="Q4965" i="1"/>
  <c r="O4965" i="1"/>
  <c r="Q4964" i="1"/>
  <c r="O4964" i="1"/>
  <c r="Q4963" i="1"/>
  <c r="O4963" i="1"/>
  <c r="Q4962" i="1"/>
  <c r="O4962" i="1"/>
  <c r="Q4961" i="1"/>
  <c r="O4961" i="1"/>
  <c r="Q4960" i="1"/>
  <c r="O4960" i="1"/>
  <c r="Q4959" i="1"/>
  <c r="O4959" i="1"/>
  <c r="Q4958" i="1"/>
  <c r="O4958" i="1"/>
  <c r="Q4957" i="1"/>
  <c r="O4957" i="1"/>
  <c r="Q4956" i="1"/>
  <c r="O4956" i="1"/>
  <c r="Q4955" i="1"/>
  <c r="O4955" i="1"/>
  <c r="Q4954" i="1"/>
  <c r="O4954" i="1"/>
  <c r="Q4953" i="1"/>
  <c r="O4953" i="1"/>
  <c r="Q4952" i="1"/>
  <c r="O4952" i="1"/>
  <c r="Q4951" i="1"/>
  <c r="O4951" i="1"/>
  <c r="Q4950" i="1"/>
  <c r="O4950" i="1"/>
  <c r="Q4949" i="1"/>
  <c r="O4949" i="1"/>
  <c r="Q4948" i="1"/>
  <c r="O4948" i="1"/>
  <c r="Q4947" i="1"/>
  <c r="O4947" i="1"/>
  <c r="Q4946" i="1"/>
  <c r="O4946" i="1"/>
  <c r="Q4945" i="1"/>
  <c r="O4945" i="1"/>
  <c r="Q4944" i="1"/>
  <c r="O4944" i="1"/>
  <c r="Q4943" i="1"/>
  <c r="O4943" i="1"/>
  <c r="Q4942" i="1"/>
  <c r="O4942" i="1"/>
  <c r="Q4941" i="1"/>
  <c r="O4941" i="1"/>
  <c r="Q4940" i="1"/>
  <c r="O4940" i="1"/>
  <c r="Q4939" i="1"/>
  <c r="O4939" i="1"/>
  <c r="Q4938" i="1"/>
  <c r="O4938" i="1"/>
  <c r="Q4937" i="1"/>
  <c r="O4937" i="1"/>
  <c r="Q4936" i="1"/>
  <c r="O4936" i="1"/>
  <c r="Q4935" i="1"/>
  <c r="O4935" i="1"/>
  <c r="Q4934" i="1"/>
  <c r="O4934" i="1"/>
  <c r="Q4933" i="1"/>
  <c r="O4933" i="1"/>
  <c r="Q4932" i="1"/>
  <c r="O4932" i="1"/>
  <c r="Q4931" i="1"/>
  <c r="O4931" i="1"/>
  <c r="Q4930" i="1"/>
  <c r="O4930" i="1"/>
  <c r="Q4929" i="1"/>
  <c r="O4929" i="1"/>
  <c r="Q4928" i="1"/>
  <c r="O4928" i="1"/>
  <c r="Q4927" i="1"/>
  <c r="O4927" i="1"/>
  <c r="Q4926" i="1"/>
  <c r="O4926" i="1"/>
  <c r="Q4925" i="1"/>
  <c r="O4925" i="1"/>
  <c r="Q4924" i="1"/>
  <c r="O4924" i="1"/>
  <c r="Q4923" i="1"/>
  <c r="O4923" i="1"/>
  <c r="Q4922" i="1"/>
  <c r="O4922" i="1"/>
  <c r="Q4921" i="1"/>
  <c r="O4921" i="1"/>
  <c r="Q4920" i="1"/>
  <c r="O4920" i="1"/>
  <c r="Q4919" i="1"/>
  <c r="O4919" i="1"/>
  <c r="Q4918" i="1"/>
  <c r="O4918" i="1"/>
  <c r="Q4917" i="1"/>
  <c r="O4917" i="1"/>
  <c r="Q4916" i="1"/>
  <c r="O4916" i="1"/>
  <c r="Q4915" i="1"/>
  <c r="O4915" i="1"/>
  <c r="Q4914" i="1"/>
  <c r="O4914" i="1"/>
  <c r="Q4913" i="1"/>
  <c r="O4913" i="1"/>
  <c r="Q4912" i="1"/>
  <c r="O4912" i="1"/>
  <c r="Q4911" i="1"/>
  <c r="O4911" i="1"/>
  <c r="Q4910" i="1"/>
  <c r="O4910" i="1"/>
  <c r="Q4909" i="1"/>
  <c r="O4909" i="1"/>
  <c r="Q4908" i="1"/>
  <c r="O4908" i="1"/>
  <c r="Q4907" i="1"/>
  <c r="O4907" i="1"/>
  <c r="Q4906" i="1"/>
  <c r="O4906" i="1"/>
  <c r="Q4905" i="1"/>
  <c r="O4905" i="1"/>
  <c r="Q4904" i="1"/>
  <c r="O4904" i="1"/>
  <c r="Q4903" i="1"/>
  <c r="O4903" i="1"/>
  <c r="Q4902" i="1"/>
  <c r="O4902" i="1"/>
  <c r="Q4901" i="1"/>
  <c r="O4901" i="1"/>
  <c r="Q4900" i="1"/>
  <c r="O4900" i="1"/>
  <c r="Q4899" i="1"/>
  <c r="O4899" i="1"/>
  <c r="Q4898" i="1"/>
  <c r="O4898" i="1"/>
  <c r="Q4897" i="1"/>
  <c r="O4897" i="1"/>
  <c r="Q4896" i="1"/>
  <c r="O4896" i="1"/>
  <c r="Q4895" i="1"/>
  <c r="O4895" i="1"/>
  <c r="Q4894" i="1"/>
  <c r="O4894" i="1"/>
  <c r="Q4893" i="1"/>
  <c r="O4893" i="1"/>
  <c r="Q4892" i="1"/>
  <c r="O4892" i="1"/>
  <c r="Q4891" i="1"/>
  <c r="O4891" i="1"/>
  <c r="Q4890" i="1"/>
  <c r="O4890" i="1"/>
  <c r="Q4889" i="1"/>
  <c r="O4889" i="1"/>
  <c r="Q4888" i="1"/>
  <c r="O4888" i="1"/>
  <c r="Q4887" i="1"/>
  <c r="O4887" i="1"/>
  <c r="Q4886" i="1"/>
  <c r="O4886" i="1"/>
  <c r="Q4885" i="1"/>
  <c r="O4885" i="1"/>
  <c r="Q4884" i="1"/>
  <c r="O4884" i="1"/>
  <c r="Q4883" i="1"/>
  <c r="O4883" i="1"/>
  <c r="Q4882" i="1"/>
  <c r="O4882" i="1"/>
  <c r="Q4881" i="1"/>
  <c r="O4881" i="1"/>
  <c r="Q4880" i="1"/>
  <c r="O4880" i="1"/>
  <c r="Q4879" i="1"/>
  <c r="O4879" i="1"/>
  <c r="Q4878" i="1"/>
  <c r="O4878" i="1"/>
  <c r="Q4877" i="1"/>
  <c r="O4877" i="1"/>
  <c r="Q4876" i="1"/>
  <c r="O4876" i="1"/>
  <c r="Q4875" i="1"/>
  <c r="O4875" i="1"/>
  <c r="Q4874" i="1"/>
  <c r="O4874" i="1"/>
  <c r="Q4873" i="1"/>
  <c r="O4873" i="1"/>
  <c r="Q4872" i="1"/>
  <c r="O4872" i="1"/>
  <c r="Q4871" i="1"/>
  <c r="O4871" i="1"/>
  <c r="Q4870" i="1"/>
  <c r="O4870" i="1"/>
  <c r="Q4869" i="1"/>
  <c r="O4869" i="1"/>
  <c r="Q4868" i="1"/>
  <c r="O4868" i="1"/>
  <c r="Q4867" i="1"/>
  <c r="O4867" i="1"/>
  <c r="Q4866" i="1"/>
  <c r="O4866" i="1"/>
  <c r="Q4865" i="1"/>
  <c r="O4865" i="1"/>
  <c r="Q4864" i="1"/>
  <c r="O4864" i="1"/>
  <c r="Q4863" i="1"/>
  <c r="O4863" i="1"/>
  <c r="Q4862" i="1"/>
  <c r="O4862" i="1"/>
  <c r="Q4861" i="1"/>
  <c r="O4861" i="1"/>
  <c r="Q4860" i="1"/>
  <c r="O4860" i="1"/>
  <c r="Q4859" i="1"/>
  <c r="O4859" i="1"/>
  <c r="Q4858" i="1"/>
  <c r="O4858" i="1"/>
  <c r="Q4857" i="1"/>
  <c r="O4857" i="1"/>
  <c r="Q4856" i="1"/>
  <c r="O4856" i="1"/>
  <c r="Q4855" i="1"/>
  <c r="O4855" i="1"/>
  <c r="Q4854" i="1"/>
  <c r="O4854" i="1"/>
  <c r="Q4853" i="1"/>
  <c r="O4853" i="1"/>
  <c r="Q4852" i="1"/>
  <c r="O4852" i="1"/>
  <c r="Q4851" i="1"/>
  <c r="O4851" i="1"/>
  <c r="Q4850" i="1"/>
  <c r="O4850" i="1"/>
  <c r="Q4849" i="1"/>
  <c r="O4849" i="1"/>
  <c r="Q4848" i="1"/>
  <c r="O4848" i="1"/>
  <c r="Q4847" i="1"/>
  <c r="O4847" i="1"/>
  <c r="Q4846" i="1"/>
  <c r="O4846" i="1"/>
  <c r="Q4845" i="1"/>
  <c r="O4845" i="1"/>
  <c r="Q4844" i="1"/>
  <c r="O4844" i="1"/>
  <c r="Q4843" i="1"/>
  <c r="O4843" i="1"/>
  <c r="Q4842" i="1"/>
  <c r="O4842" i="1"/>
  <c r="Q4841" i="1"/>
  <c r="O4841" i="1"/>
  <c r="Q4840" i="1"/>
  <c r="O4840" i="1"/>
  <c r="Q4839" i="1"/>
  <c r="O4839" i="1"/>
  <c r="Q4838" i="1"/>
  <c r="O4838" i="1"/>
  <c r="Q4837" i="1"/>
  <c r="O4837" i="1"/>
  <c r="Q4836" i="1"/>
  <c r="O4836" i="1"/>
  <c r="Q4835" i="1"/>
  <c r="O4835" i="1"/>
  <c r="Q4834" i="1"/>
  <c r="O4834" i="1"/>
  <c r="Q4833" i="1"/>
  <c r="O4833" i="1"/>
  <c r="Q4832" i="1"/>
  <c r="O4832" i="1"/>
  <c r="Q4831" i="1"/>
  <c r="O4831" i="1"/>
  <c r="Q4830" i="1"/>
  <c r="O4830" i="1"/>
  <c r="Q4829" i="1"/>
  <c r="O4829" i="1"/>
  <c r="Q4828" i="1"/>
  <c r="O4828" i="1"/>
  <c r="Q4827" i="1"/>
  <c r="O4827" i="1"/>
  <c r="Q4826" i="1"/>
  <c r="O4826" i="1"/>
  <c r="Q4825" i="1"/>
  <c r="O4825" i="1"/>
  <c r="Q4824" i="1"/>
  <c r="O4824" i="1"/>
  <c r="Q4823" i="1"/>
  <c r="O4823" i="1"/>
  <c r="Q4822" i="1"/>
  <c r="O4822" i="1"/>
  <c r="Q4821" i="1"/>
  <c r="O4821" i="1"/>
  <c r="Q4820" i="1"/>
  <c r="O4820" i="1"/>
  <c r="Q4819" i="1"/>
  <c r="O4819" i="1"/>
  <c r="Q4818" i="1"/>
  <c r="O4818" i="1"/>
  <c r="Q4817" i="1"/>
  <c r="O4817" i="1"/>
  <c r="Q4816" i="1"/>
  <c r="O4816" i="1"/>
  <c r="Q4815" i="1"/>
  <c r="O4815" i="1"/>
  <c r="Q4814" i="1"/>
  <c r="O4814" i="1"/>
  <c r="Q4813" i="1"/>
  <c r="O4813" i="1"/>
  <c r="Q4812" i="1"/>
  <c r="O4812" i="1"/>
  <c r="Q4811" i="1"/>
  <c r="O4811" i="1"/>
  <c r="Q4810" i="1"/>
  <c r="O4810" i="1"/>
  <c r="Q4809" i="1"/>
  <c r="O4809" i="1"/>
  <c r="Q4808" i="1"/>
  <c r="O4808" i="1"/>
  <c r="Q4807" i="1"/>
  <c r="O4807" i="1"/>
  <c r="Q4806" i="1"/>
  <c r="O4806" i="1"/>
  <c r="Q4805" i="1"/>
  <c r="O4805" i="1"/>
  <c r="Q4804" i="1"/>
  <c r="O4804" i="1"/>
  <c r="Q4803" i="1"/>
  <c r="O4803" i="1"/>
  <c r="Q4802" i="1"/>
  <c r="O4802" i="1"/>
  <c r="Q4801" i="1"/>
  <c r="O4801" i="1"/>
  <c r="Q4800" i="1"/>
  <c r="O4800" i="1"/>
  <c r="Q4799" i="1"/>
  <c r="O4799" i="1"/>
  <c r="Q4798" i="1"/>
  <c r="O4798" i="1"/>
  <c r="Q4797" i="1"/>
  <c r="O4797" i="1"/>
  <c r="Q4796" i="1"/>
  <c r="O4796" i="1"/>
  <c r="Q4795" i="1"/>
  <c r="O4795" i="1"/>
  <c r="Q4794" i="1"/>
  <c r="O4794" i="1"/>
  <c r="Q4793" i="1"/>
  <c r="O4793" i="1"/>
  <c r="Q4792" i="1"/>
  <c r="O4792" i="1"/>
  <c r="Q4791" i="1"/>
  <c r="O4791" i="1"/>
  <c r="Q4790" i="1"/>
  <c r="O4790" i="1"/>
  <c r="Q4789" i="1"/>
  <c r="O4789" i="1"/>
  <c r="Q4788" i="1"/>
  <c r="O4788" i="1"/>
  <c r="Q4787" i="1"/>
  <c r="O4787" i="1"/>
  <c r="Q4786" i="1"/>
  <c r="O4786" i="1"/>
  <c r="Q4785" i="1"/>
  <c r="O4785" i="1"/>
  <c r="Q4784" i="1"/>
  <c r="O4784" i="1"/>
  <c r="Q4783" i="1"/>
  <c r="O4783" i="1"/>
  <c r="Q4782" i="1"/>
  <c r="O4782" i="1"/>
  <c r="Q4781" i="1"/>
  <c r="O4781" i="1"/>
  <c r="Q4780" i="1"/>
  <c r="O4780" i="1"/>
  <c r="Q4779" i="1"/>
  <c r="O4779" i="1"/>
  <c r="Q4778" i="1"/>
  <c r="O4778" i="1"/>
  <c r="Q4777" i="1"/>
  <c r="O4777" i="1"/>
  <c r="Q4776" i="1"/>
  <c r="O4776" i="1"/>
  <c r="Q4775" i="1"/>
  <c r="O4775" i="1"/>
  <c r="Q4774" i="1"/>
  <c r="O4774" i="1"/>
  <c r="Q4773" i="1"/>
  <c r="O4773" i="1"/>
  <c r="Q4772" i="1"/>
  <c r="O4772" i="1"/>
  <c r="Q4771" i="1"/>
  <c r="O4771" i="1"/>
  <c r="Q4770" i="1"/>
  <c r="O4770" i="1"/>
  <c r="Q4769" i="1"/>
  <c r="O4769" i="1"/>
  <c r="Q4768" i="1"/>
  <c r="O4768" i="1"/>
  <c r="Q4767" i="1"/>
  <c r="O4767" i="1"/>
  <c r="Q4766" i="1"/>
  <c r="O4766" i="1"/>
  <c r="Q4765" i="1"/>
  <c r="O4765" i="1"/>
  <c r="Q4764" i="1"/>
  <c r="O4764" i="1"/>
  <c r="Q4763" i="1"/>
  <c r="O4763" i="1"/>
  <c r="Q4762" i="1"/>
  <c r="O4762" i="1"/>
  <c r="Q4761" i="1"/>
  <c r="O4761" i="1"/>
  <c r="Q4760" i="1"/>
  <c r="O4760" i="1"/>
  <c r="Q4759" i="1"/>
  <c r="O4759" i="1"/>
  <c r="Q4758" i="1"/>
  <c r="O4758" i="1"/>
  <c r="Q4757" i="1"/>
  <c r="O4757" i="1"/>
  <c r="Q4756" i="1"/>
  <c r="O4756" i="1"/>
  <c r="Q4755" i="1"/>
  <c r="O4755" i="1"/>
  <c r="Q4754" i="1"/>
  <c r="O4754" i="1"/>
  <c r="Q4753" i="1"/>
  <c r="O4753" i="1"/>
  <c r="Q4752" i="1"/>
  <c r="O4752" i="1"/>
  <c r="Q4751" i="1"/>
  <c r="O4751" i="1"/>
  <c r="Q4750" i="1"/>
  <c r="O4750" i="1"/>
  <c r="Q4749" i="1"/>
  <c r="O4749" i="1"/>
  <c r="Q4748" i="1"/>
  <c r="O4748" i="1"/>
  <c r="Q4747" i="1"/>
  <c r="O4747" i="1"/>
  <c r="Q4746" i="1"/>
  <c r="O4746" i="1"/>
  <c r="Q4745" i="1"/>
  <c r="O4745" i="1"/>
  <c r="Q4744" i="1"/>
  <c r="O4744" i="1"/>
  <c r="Q4743" i="1"/>
  <c r="O4743" i="1"/>
  <c r="Q4742" i="1"/>
  <c r="O4742" i="1"/>
  <c r="Q4741" i="1"/>
  <c r="O4741" i="1"/>
  <c r="Q4740" i="1"/>
  <c r="O4740" i="1"/>
  <c r="Q4739" i="1"/>
  <c r="O4739" i="1"/>
  <c r="Q4738" i="1"/>
  <c r="O4738" i="1"/>
  <c r="Q4737" i="1"/>
  <c r="O4737" i="1"/>
  <c r="Q4736" i="1"/>
  <c r="O4736" i="1"/>
  <c r="Q4735" i="1"/>
  <c r="O4735" i="1"/>
  <c r="Q4734" i="1"/>
  <c r="O4734" i="1"/>
  <c r="Q4733" i="1"/>
  <c r="O4733" i="1"/>
  <c r="Q4732" i="1"/>
  <c r="O4732" i="1"/>
  <c r="Q4731" i="1"/>
  <c r="O4731" i="1"/>
  <c r="Q4730" i="1"/>
  <c r="O4730" i="1"/>
  <c r="Q4729" i="1"/>
  <c r="O4729" i="1"/>
  <c r="Q4728" i="1"/>
  <c r="O4728" i="1"/>
  <c r="Q4727" i="1"/>
  <c r="O4727" i="1"/>
  <c r="Q4726" i="1"/>
  <c r="O4726" i="1"/>
  <c r="Q4725" i="1"/>
  <c r="O4725" i="1"/>
  <c r="Q4724" i="1"/>
  <c r="O4724" i="1"/>
  <c r="Q4723" i="1"/>
  <c r="O4723" i="1"/>
  <c r="Q4722" i="1"/>
  <c r="O4722" i="1"/>
  <c r="Q4721" i="1"/>
  <c r="O4721" i="1"/>
  <c r="Q4720" i="1"/>
  <c r="O4720" i="1"/>
  <c r="Q4719" i="1"/>
  <c r="O4719" i="1"/>
  <c r="Q4718" i="1"/>
  <c r="O4718" i="1"/>
  <c r="Q4717" i="1"/>
  <c r="O4717" i="1"/>
  <c r="Q4716" i="1"/>
  <c r="O4716" i="1"/>
  <c r="Q4715" i="1"/>
  <c r="O4715" i="1"/>
  <c r="Q4714" i="1"/>
  <c r="O4714" i="1"/>
  <c r="Q4713" i="1"/>
  <c r="O4713" i="1"/>
  <c r="Q4712" i="1"/>
  <c r="O4712" i="1"/>
  <c r="Q4711" i="1"/>
  <c r="O4711" i="1"/>
  <c r="Q4710" i="1"/>
  <c r="O4710" i="1"/>
  <c r="Q4709" i="1"/>
  <c r="O4709" i="1"/>
  <c r="Q4708" i="1"/>
  <c r="O4708" i="1"/>
  <c r="Q4707" i="1"/>
  <c r="O4707" i="1"/>
  <c r="Q4706" i="1"/>
  <c r="O4706" i="1"/>
  <c r="Q4705" i="1"/>
  <c r="O4705" i="1"/>
  <c r="Q4704" i="1"/>
  <c r="O4704" i="1"/>
  <c r="Q4703" i="1"/>
  <c r="O4703" i="1"/>
  <c r="Q4702" i="1"/>
  <c r="O4702" i="1"/>
  <c r="Q4701" i="1"/>
  <c r="O4701" i="1"/>
  <c r="Q4700" i="1"/>
  <c r="O4700" i="1"/>
  <c r="Q4699" i="1"/>
  <c r="O4699" i="1"/>
  <c r="Q4698" i="1"/>
  <c r="O4698" i="1"/>
  <c r="Q4697" i="1"/>
  <c r="O4697" i="1"/>
  <c r="Q4696" i="1"/>
  <c r="O4696" i="1"/>
  <c r="Q4695" i="1"/>
  <c r="O4695" i="1"/>
  <c r="Q4694" i="1"/>
  <c r="O4694" i="1"/>
  <c r="Q4693" i="1"/>
  <c r="O4693" i="1"/>
  <c r="Q4692" i="1"/>
  <c r="O4692" i="1"/>
  <c r="Q4691" i="1"/>
  <c r="O4691" i="1"/>
  <c r="Q4690" i="1"/>
  <c r="O4690" i="1"/>
  <c r="Q4689" i="1"/>
  <c r="O4689" i="1"/>
  <c r="Q4688" i="1"/>
  <c r="O4688" i="1"/>
  <c r="Q4687" i="1"/>
  <c r="O4687" i="1"/>
  <c r="Q4686" i="1"/>
  <c r="O4686" i="1"/>
  <c r="Q4685" i="1"/>
  <c r="O4685" i="1"/>
  <c r="Q4684" i="1"/>
  <c r="O4684" i="1"/>
  <c r="Q4683" i="1"/>
  <c r="O4683" i="1"/>
  <c r="Q4682" i="1"/>
  <c r="O4682" i="1"/>
  <c r="Q4681" i="1"/>
  <c r="O4681" i="1"/>
  <c r="Q4680" i="1"/>
  <c r="O4680" i="1"/>
  <c r="Q4679" i="1"/>
  <c r="O4679" i="1"/>
  <c r="Q4678" i="1"/>
  <c r="O4678" i="1"/>
  <c r="Q4677" i="1"/>
  <c r="O4677" i="1"/>
  <c r="Q4676" i="1"/>
  <c r="O4676" i="1"/>
  <c r="Q4675" i="1"/>
  <c r="O4675" i="1"/>
  <c r="Q4674" i="1"/>
  <c r="O4674" i="1"/>
  <c r="Q4673" i="1"/>
  <c r="O4673" i="1"/>
  <c r="Q4672" i="1"/>
  <c r="O4672" i="1"/>
  <c r="Q4671" i="1"/>
  <c r="O4671" i="1"/>
  <c r="Q4670" i="1"/>
  <c r="O4670" i="1"/>
  <c r="Q4669" i="1"/>
  <c r="O4669" i="1"/>
  <c r="Q4668" i="1"/>
  <c r="O4668" i="1"/>
  <c r="Q4667" i="1"/>
  <c r="O4667" i="1"/>
  <c r="Q4666" i="1"/>
  <c r="O4666" i="1"/>
  <c r="Q4665" i="1"/>
  <c r="O4665" i="1"/>
  <c r="Q4664" i="1"/>
  <c r="O4664" i="1"/>
  <c r="Q4663" i="1"/>
  <c r="O4663" i="1"/>
  <c r="Q4662" i="1"/>
  <c r="O4662" i="1"/>
  <c r="Q4661" i="1"/>
  <c r="O4661" i="1"/>
  <c r="Q4660" i="1"/>
  <c r="O4660" i="1"/>
  <c r="Q4659" i="1"/>
  <c r="O4659" i="1"/>
  <c r="Q4658" i="1"/>
  <c r="O4658" i="1"/>
  <c r="Q4657" i="1"/>
  <c r="O4657" i="1"/>
  <c r="Q4656" i="1"/>
  <c r="O4656" i="1"/>
  <c r="Q4655" i="1"/>
  <c r="O4655" i="1"/>
  <c r="Q4654" i="1"/>
  <c r="O4654" i="1"/>
  <c r="Q4653" i="1"/>
  <c r="O4653" i="1"/>
  <c r="Q4652" i="1"/>
  <c r="O4652" i="1"/>
  <c r="Q4651" i="1"/>
  <c r="O4651" i="1"/>
  <c r="Q4650" i="1"/>
  <c r="O4650" i="1"/>
  <c r="Q4649" i="1"/>
  <c r="O4649" i="1"/>
  <c r="Q4648" i="1"/>
  <c r="O4648" i="1"/>
  <c r="Q4647" i="1"/>
  <c r="O4647" i="1"/>
  <c r="Q4646" i="1"/>
  <c r="O4646" i="1"/>
  <c r="Q4645" i="1"/>
  <c r="O4645" i="1"/>
  <c r="Q4644" i="1"/>
  <c r="O4644" i="1"/>
  <c r="Q4643" i="1"/>
  <c r="O4643" i="1"/>
  <c r="Q4642" i="1"/>
  <c r="O4642" i="1"/>
  <c r="Q4641" i="1"/>
  <c r="O4641" i="1"/>
  <c r="Q4640" i="1"/>
  <c r="O4640" i="1"/>
  <c r="Q4639" i="1"/>
  <c r="O4639" i="1"/>
  <c r="Q4638" i="1"/>
  <c r="O4638" i="1"/>
  <c r="Q4637" i="1"/>
  <c r="O4637" i="1"/>
  <c r="Q4636" i="1"/>
  <c r="O4636" i="1"/>
  <c r="Q4635" i="1"/>
  <c r="O4635" i="1"/>
  <c r="Q4634" i="1"/>
  <c r="O4634" i="1"/>
  <c r="Q4633" i="1"/>
  <c r="O4633" i="1"/>
  <c r="Q4632" i="1"/>
  <c r="O4632" i="1"/>
  <c r="Q4631" i="1"/>
  <c r="O4631" i="1"/>
  <c r="Q4630" i="1"/>
  <c r="O4630" i="1"/>
  <c r="Q4629" i="1"/>
  <c r="O4629" i="1"/>
  <c r="Q4628" i="1"/>
  <c r="O4628" i="1"/>
  <c r="Q4627" i="1"/>
  <c r="O4627" i="1"/>
  <c r="Q4626" i="1"/>
  <c r="O4626" i="1"/>
  <c r="Q4625" i="1"/>
  <c r="O4625" i="1"/>
  <c r="Q4624" i="1"/>
  <c r="O4624" i="1"/>
  <c r="Q4623" i="1"/>
  <c r="O4623" i="1"/>
  <c r="Q4622" i="1"/>
  <c r="O4622" i="1"/>
  <c r="Q4621" i="1"/>
  <c r="O4621" i="1"/>
  <c r="Q4620" i="1"/>
  <c r="O4620" i="1"/>
  <c r="Q4619" i="1"/>
  <c r="O4619" i="1"/>
  <c r="Q4618" i="1"/>
  <c r="O4618" i="1"/>
  <c r="Q4617" i="1"/>
  <c r="O4617" i="1"/>
  <c r="Q4616" i="1"/>
  <c r="O4616" i="1"/>
  <c r="Q4615" i="1"/>
  <c r="O4615" i="1"/>
  <c r="Q4614" i="1"/>
  <c r="O4614" i="1"/>
  <c r="Q4613" i="1"/>
  <c r="O4613" i="1"/>
  <c r="Q4612" i="1"/>
  <c r="O4612" i="1"/>
  <c r="Q4611" i="1"/>
  <c r="O4611" i="1"/>
  <c r="Q4610" i="1"/>
  <c r="O4610" i="1"/>
  <c r="Q4609" i="1"/>
  <c r="O4609" i="1"/>
  <c r="Q4608" i="1"/>
  <c r="O4608" i="1"/>
  <c r="Q4607" i="1"/>
  <c r="O4607" i="1"/>
  <c r="Q4606" i="1"/>
  <c r="O4606" i="1"/>
  <c r="Q4605" i="1"/>
  <c r="O4605" i="1"/>
  <c r="Q4604" i="1"/>
  <c r="O4604" i="1"/>
  <c r="Q4603" i="1"/>
  <c r="O4603" i="1"/>
  <c r="Q4602" i="1"/>
  <c r="O4602" i="1"/>
  <c r="Q4601" i="1"/>
  <c r="O4601" i="1"/>
  <c r="Q4600" i="1"/>
  <c r="O4600" i="1"/>
  <c r="Q4599" i="1"/>
  <c r="O4599" i="1"/>
  <c r="Q4598" i="1"/>
  <c r="O4598" i="1"/>
  <c r="Q4597" i="1"/>
  <c r="O4597" i="1"/>
  <c r="Q4596" i="1"/>
  <c r="O4596" i="1"/>
  <c r="Q4595" i="1"/>
  <c r="O4595" i="1"/>
  <c r="Q4594" i="1"/>
  <c r="O4594" i="1"/>
  <c r="Q4593" i="1"/>
  <c r="O4593" i="1"/>
  <c r="Q4592" i="1"/>
  <c r="O4592" i="1"/>
  <c r="Q4591" i="1"/>
  <c r="O4591" i="1"/>
  <c r="Q4590" i="1"/>
  <c r="O4590" i="1"/>
  <c r="Q4589" i="1"/>
  <c r="O4589" i="1"/>
  <c r="Q4588" i="1"/>
  <c r="O4588" i="1"/>
  <c r="Q4587" i="1"/>
  <c r="O4587" i="1"/>
  <c r="Q4586" i="1"/>
  <c r="O4586" i="1"/>
  <c r="Q4585" i="1"/>
  <c r="O4585" i="1"/>
  <c r="Q4584" i="1"/>
  <c r="O4584" i="1"/>
  <c r="Q4583" i="1"/>
  <c r="O4583" i="1"/>
  <c r="Q4582" i="1"/>
  <c r="O4582" i="1"/>
  <c r="Q4581" i="1"/>
  <c r="O4581" i="1"/>
  <c r="Q4580" i="1"/>
  <c r="O4580" i="1"/>
  <c r="Q4579" i="1"/>
  <c r="O4579" i="1"/>
  <c r="Q4578" i="1"/>
  <c r="O4578" i="1"/>
  <c r="Q4577" i="1"/>
  <c r="O4577" i="1"/>
  <c r="Q4576" i="1"/>
  <c r="O4576" i="1"/>
  <c r="Q4575" i="1"/>
  <c r="O4575" i="1"/>
  <c r="Q4574" i="1"/>
  <c r="O4574" i="1"/>
  <c r="Q4573" i="1"/>
  <c r="O4573" i="1"/>
  <c r="Q4572" i="1"/>
  <c r="O4572" i="1"/>
  <c r="Q4571" i="1"/>
  <c r="O4571" i="1"/>
  <c r="Q4570" i="1"/>
  <c r="O4570" i="1"/>
  <c r="Q4569" i="1"/>
  <c r="O4569" i="1"/>
  <c r="Q4568" i="1"/>
  <c r="O4568" i="1"/>
  <c r="Q4567" i="1"/>
  <c r="O4567" i="1"/>
  <c r="Q4566" i="1"/>
  <c r="O4566" i="1"/>
  <c r="Q4565" i="1"/>
  <c r="O4565" i="1"/>
  <c r="Q4564" i="1"/>
  <c r="O4564" i="1"/>
  <c r="Q4563" i="1"/>
  <c r="O4563" i="1"/>
  <c r="Q4562" i="1"/>
  <c r="O4562" i="1"/>
  <c r="Q4561" i="1"/>
  <c r="O4561" i="1"/>
  <c r="Q4560" i="1"/>
  <c r="O4560" i="1"/>
  <c r="Q4559" i="1"/>
  <c r="O4559" i="1"/>
  <c r="Q4558" i="1"/>
  <c r="O4558" i="1"/>
  <c r="Q4557" i="1"/>
  <c r="O4557" i="1"/>
  <c r="Q4556" i="1"/>
  <c r="O4556" i="1"/>
  <c r="Q4555" i="1"/>
  <c r="O4555" i="1"/>
  <c r="Q4554" i="1"/>
  <c r="O4554" i="1"/>
  <c r="Q4553" i="1"/>
  <c r="O4553" i="1"/>
  <c r="Q4552" i="1"/>
  <c r="O4552" i="1"/>
  <c r="Q4551" i="1"/>
  <c r="O4551" i="1"/>
  <c r="Q4550" i="1"/>
  <c r="O4550" i="1"/>
  <c r="Q4549" i="1"/>
  <c r="O4549" i="1"/>
  <c r="Q4548" i="1"/>
  <c r="O4548" i="1"/>
  <c r="Q4547" i="1"/>
  <c r="O4547" i="1"/>
  <c r="Q4546" i="1"/>
  <c r="O4546" i="1"/>
  <c r="Q4545" i="1"/>
  <c r="O4545" i="1"/>
  <c r="Q4544" i="1"/>
  <c r="O4544" i="1"/>
  <c r="Q4543" i="1"/>
  <c r="O4543" i="1"/>
  <c r="Q4542" i="1"/>
  <c r="O4542" i="1"/>
  <c r="Q4541" i="1"/>
  <c r="O4541" i="1"/>
  <c r="Q4540" i="1"/>
  <c r="O4540" i="1"/>
  <c r="Q4539" i="1"/>
  <c r="O4539" i="1"/>
  <c r="Q4538" i="1"/>
  <c r="O4538" i="1"/>
  <c r="Q4537" i="1"/>
  <c r="O4537" i="1"/>
  <c r="Q4536" i="1"/>
  <c r="O4536" i="1"/>
  <c r="Q4535" i="1"/>
  <c r="O4535" i="1"/>
  <c r="Q4534" i="1"/>
  <c r="O4534" i="1"/>
  <c r="Q4533" i="1"/>
  <c r="O4533" i="1"/>
  <c r="Q4532" i="1"/>
  <c r="O4532" i="1"/>
  <c r="Q4531" i="1"/>
  <c r="O4531" i="1"/>
  <c r="Q4530" i="1"/>
  <c r="O4530" i="1"/>
  <c r="Q4529" i="1"/>
  <c r="O4529" i="1"/>
  <c r="Q4528" i="1"/>
  <c r="O4528" i="1"/>
  <c r="Q4527" i="1"/>
  <c r="O4527" i="1"/>
  <c r="Q4526" i="1"/>
  <c r="O4526" i="1"/>
  <c r="Q4525" i="1"/>
  <c r="O4525" i="1"/>
  <c r="Q4524" i="1"/>
  <c r="O4524" i="1"/>
  <c r="Q4523" i="1"/>
  <c r="O4523" i="1"/>
  <c r="Q4522" i="1"/>
  <c r="O4522" i="1"/>
  <c r="Q4521" i="1"/>
  <c r="O4521" i="1"/>
  <c r="Q4520" i="1"/>
  <c r="O4520" i="1"/>
  <c r="Q4519" i="1"/>
  <c r="O4519" i="1"/>
  <c r="Q4518" i="1"/>
  <c r="O4518" i="1"/>
  <c r="Q4517" i="1"/>
  <c r="O4517" i="1"/>
  <c r="Q4516" i="1"/>
  <c r="O4516" i="1"/>
  <c r="Q4515" i="1"/>
  <c r="O4515" i="1"/>
  <c r="Q4514" i="1"/>
  <c r="O4514" i="1"/>
  <c r="Q4513" i="1"/>
  <c r="O4513" i="1"/>
  <c r="Q4512" i="1"/>
  <c r="O4512" i="1"/>
  <c r="Q4511" i="1"/>
  <c r="O4511" i="1"/>
  <c r="Q4510" i="1"/>
  <c r="O4510" i="1"/>
  <c r="Q4509" i="1"/>
  <c r="O4509" i="1"/>
  <c r="Q4508" i="1"/>
  <c r="O4508" i="1"/>
  <c r="Q4507" i="1"/>
  <c r="O4507" i="1"/>
  <c r="Q4506" i="1"/>
  <c r="O4506" i="1"/>
  <c r="Q4505" i="1"/>
  <c r="O4505" i="1"/>
  <c r="Q4504" i="1"/>
  <c r="O4504" i="1"/>
  <c r="Q4503" i="1"/>
  <c r="O4503" i="1"/>
  <c r="Q4502" i="1"/>
  <c r="O4502" i="1"/>
  <c r="Q4501" i="1"/>
  <c r="O4501" i="1"/>
  <c r="Q4500" i="1"/>
  <c r="O4500" i="1"/>
  <c r="Q4499" i="1"/>
  <c r="O4499" i="1"/>
  <c r="Q4498" i="1"/>
  <c r="O4498" i="1"/>
  <c r="Q4497" i="1"/>
  <c r="O4497" i="1"/>
  <c r="Q4496" i="1"/>
  <c r="O4496" i="1"/>
  <c r="Q4495" i="1"/>
  <c r="O4495" i="1"/>
  <c r="Q4494" i="1"/>
  <c r="O4494" i="1"/>
  <c r="Q4493" i="1"/>
  <c r="O4493" i="1"/>
  <c r="Q4492" i="1"/>
  <c r="O4492" i="1"/>
  <c r="Q4491" i="1"/>
  <c r="O4491" i="1"/>
  <c r="Q4490" i="1"/>
  <c r="O4490" i="1"/>
  <c r="Q4489" i="1"/>
  <c r="O4489" i="1"/>
  <c r="Q4488" i="1"/>
  <c r="O4488" i="1"/>
  <c r="Q4487" i="1"/>
  <c r="O4487" i="1"/>
  <c r="Q4486" i="1"/>
  <c r="O4486" i="1"/>
  <c r="Q4485" i="1"/>
  <c r="O4485" i="1"/>
  <c r="Q4484" i="1"/>
  <c r="O4484" i="1"/>
  <c r="Q4483" i="1"/>
  <c r="O4483" i="1"/>
  <c r="Q4482" i="1"/>
  <c r="O4482" i="1"/>
  <c r="Q4481" i="1"/>
  <c r="O4481" i="1"/>
  <c r="Q4480" i="1"/>
  <c r="O4480" i="1"/>
  <c r="Q4479" i="1"/>
  <c r="O4479" i="1"/>
  <c r="Q4478" i="1"/>
  <c r="O4478" i="1"/>
  <c r="Q4477" i="1"/>
  <c r="O4477" i="1"/>
  <c r="Q4476" i="1"/>
  <c r="O4476" i="1"/>
  <c r="Q4475" i="1"/>
  <c r="O4475" i="1"/>
  <c r="Q4474" i="1"/>
  <c r="O4474" i="1"/>
  <c r="Q4473" i="1"/>
  <c r="O4473" i="1"/>
  <c r="Q4472" i="1"/>
  <c r="O4472" i="1"/>
  <c r="Q4471" i="1"/>
  <c r="O4471" i="1"/>
  <c r="Q4470" i="1"/>
  <c r="O4470" i="1"/>
  <c r="Q4469" i="1"/>
  <c r="O4469" i="1"/>
  <c r="Q4468" i="1"/>
  <c r="O4468" i="1"/>
  <c r="Q4467" i="1"/>
  <c r="O4467" i="1"/>
  <c r="Q4466" i="1"/>
  <c r="O4466" i="1"/>
  <c r="Q4465" i="1"/>
  <c r="O4465" i="1"/>
  <c r="Q4464" i="1"/>
  <c r="O4464" i="1"/>
  <c r="Q4463" i="1"/>
  <c r="O4463" i="1"/>
  <c r="Q4462" i="1"/>
  <c r="O4462" i="1"/>
  <c r="Q4461" i="1"/>
  <c r="O4461" i="1"/>
  <c r="Q4460" i="1"/>
  <c r="O4460" i="1"/>
  <c r="Q4459" i="1"/>
  <c r="O4459" i="1"/>
  <c r="Q4458" i="1"/>
  <c r="O4458" i="1"/>
  <c r="Q4457" i="1"/>
  <c r="O4457" i="1"/>
  <c r="Q4456" i="1"/>
  <c r="O4456" i="1"/>
  <c r="Q4455" i="1"/>
  <c r="O4455" i="1"/>
  <c r="Q4454" i="1"/>
  <c r="O4454" i="1"/>
  <c r="Q4453" i="1"/>
  <c r="O4453" i="1"/>
  <c r="Q4452" i="1"/>
  <c r="O4452" i="1"/>
  <c r="Q4451" i="1"/>
  <c r="O4451" i="1"/>
  <c r="Q4450" i="1"/>
  <c r="O4450" i="1"/>
  <c r="Q4449" i="1"/>
  <c r="O4449" i="1"/>
  <c r="Q4448" i="1"/>
  <c r="O4448" i="1"/>
  <c r="Q4447" i="1"/>
  <c r="O4447" i="1"/>
  <c r="Q4446" i="1"/>
  <c r="O4446" i="1"/>
  <c r="Q4445" i="1"/>
  <c r="O4445" i="1"/>
  <c r="Q4444" i="1"/>
  <c r="O4444" i="1"/>
  <c r="Q4443" i="1"/>
  <c r="O4443" i="1"/>
  <c r="Q4442" i="1"/>
  <c r="O4442" i="1"/>
  <c r="Q4441" i="1"/>
  <c r="O4441" i="1"/>
  <c r="Q4440" i="1"/>
  <c r="O4440" i="1"/>
  <c r="Q4439" i="1"/>
  <c r="O4439" i="1"/>
  <c r="Q4438" i="1"/>
  <c r="O4438" i="1"/>
  <c r="Q4437" i="1"/>
  <c r="O4437" i="1"/>
  <c r="Q4436" i="1"/>
  <c r="O4436" i="1"/>
  <c r="Q4435" i="1"/>
  <c r="O4435" i="1"/>
  <c r="Q4434" i="1"/>
  <c r="O4434" i="1"/>
  <c r="Q4433" i="1"/>
  <c r="O4433" i="1"/>
  <c r="Q4432" i="1"/>
  <c r="O4432" i="1"/>
  <c r="Q4431" i="1"/>
  <c r="O4431" i="1"/>
  <c r="Q4430" i="1"/>
  <c r="O4430" i="1"/>
  <c r="Q4429" i="1"/>
  <c r="O4429" i="1"/>
  <c r="Q4428" i="1"/>
  <c r="O4428" i="1"/>
  <c r="Q4427" i="1"/>
  <c r="O4427" i="1"/>
  <c r="Q4426" i="1"/>
  <c r="O4426" i="1"/>
  <c r="Q4425" i="1"/>
  <c r="O4425" i="1"/>
  <c r="Q4424" i="1"/>
  <c r="O4424" i="1"/>
  <c r="Q4423" i="1"/>
  <c r="O4423" i="1"/>
  <c r="Q4422" i="1"/>
  <c r="O4422" i="1"/>
  <c r="Q4421" i="1"/>
  <c r="O4421" i="1"/>
  <c r="Q4420" i="1"/>
  <c r="O4420" i="1"/>
  <c r="Q4419" i="1"/>
  <c r="O4419" i="1"/>
  <c r="Q4418" i="1"/>
  <c r="O4418" i="1"/>
  <c r="Q4417" i="1"/>
  <c r="O4417" i="1"/>
  <c r="Q4416" i="1"/>
  <c r="O4416" i="1"/>
  <c r="Q4415" i="1"/>
  <c r="O4415" i="1"/>
  <c r="Q4414" i="1"/>
  <c r="O4414" i="1"/>
  <c r="Q4413" i="1"/>
  <c r="O4413" i="1"/>
  <c r="Q4412" i="1"/>
  <c r="O4412" i="1"/>
  <c r="Q4411" i="1"/>
  <c r="O4411" i="1"/>
  <c r="Q4410" i="1"/>
  <c r="O4410" i="1"/>
  <c r="Q4409" i="1"/>
  <c r="O4409" i="1"/>
  <c r="Q4408" i="1"/>
  <c r="O4408" i="1"/>
  <c r="Q4407" i="1"/>
  <c r="O4407" i="1"/>
  <c r="Q4406" i="1"/>
  <c r="O4406" i="1"/>
  <c r="Q4405" i="1"/>
  <c r="O4405" i="1"/>
  <c r="Q4404" i="1"/>
  <c r="O4404" i="1"/>
  <c r="Q4403" i="1"/>
  <c r="O4403" i="1"/>
  <c r="Q4402" i="1"/>
  <c r="O4402" i="1"/>
  <c r="Q4401" i="1"/>
  <c r="O4401" i="1"/>
  <c r="Q4400" i="1"/>
  <c r="O4400" i="1"/>
  <c r="Q4399" i="1"/>
  <c r="O4399" i="1"/>
  <c r="Q4398" i="1"/>
  <c r="O4398" i="1"/>
  <c r="Q4397" i="1"/>
  <c r="O4397" i="1"/>
  <c r="Q4396" i="1"/>
  <c r="O4396" i="1"/>
  <c r="Q4395" i="1"/>
  <c r="O4395" i="1"/>
  <c r="Q4394" i="1"/>
  <c r="O4394" i="1"/>
  <c r="Q4393" i="1"/>
  <c r="O4393" i="1"/>
  <c r="Q4392" i="1"/>
  <c r="O4392" i="1"/>
  <c r="Q4391" i="1"/>
  <c r="O4391" i="1"/>
  <c r="Q4390" i="1"/>
  <c r="O4390" i="1"/>
  <c r="Q4389" i="1"/>
  <c r="O4389" i="1"/>
  <c r="Q4388" i="1"/>
  <c r="O4388" i="1"/>
  <c r="Q4387" i="1"/>
  <c r="O4387" i="1"/>
  <c r="Q4386" i="1"/>
  <c r="O4386" i="1"/>
  <c r="Q4385" i="1"/>
  <c r="O4385" i="1"/>
  <c r="Q4384" i="1"/>
  <c r="O4384" i="1"/>
  <c r="Q4383" i="1"/>
  <c r="O4383" i="1"/>
  <c r="Q4382" i="1"/>
  <c r="O4382" i="1"/>
  <c r="Q4381" i="1"/>
  <c r="O4381" i="1"/>
  <c r="Q4380" i="1"/>
  <c r="O4380" i="1"/>
  <c r="Q4379" i="1"/>
  <c r="O4379" i="1"/>
  <c r="Q4378" i="1"/>
  <c r="O4378" i="1"/>
  <c r="Q4377" i="1"/>
  <c r="O4377" i="1"/>
  <c r="Q4376" i="1"/>
  <c r="O4376" i="1"/>
  <c r="Q4375" i="1"/>
  <c r="O4375" i="1"/>
  <c r="Q4374" i="1"/>
  <c r="O4374" i="1"/>
  <c r="Q4373" i="1"/>
  <c r="O4373" i="1"/>
  <c r="Q4372" i="1"/>
  <c r="O4372" i="1"/>
  <c r="Q4371" i="1"/>
  <c r="O4371" i="1"/>
  <c r="Q4370" i="1"/>
  <c r="O4370" i="1"/>
  <c r="Q4369" i="1"/>
  <c r="O4369" i="1"/>
  <c r="Q4368" i="1"/>
  <c r="O4368" i="1"/>
  <c r="Q4367" i="1"/>
  <c r="O4367" i="1"/>
  <c r="Q4366" i="1"/>
  <c r="O4366" i="1"/>
  <c r="Q4365" i="1"/>
  <c r="O4365" i="1"/>
  <c r="Q4364" i="1"/>
  <c r="O4364" i="1"/>
  <c r="Q4363" i="1"/>
  <c r="O4363" i="1"/>
  <c r="Q4362" i="1"/>
  <c r="O4362" i="1"/>
  <c r="Q4361" i="1"/>
  <c r="O4361" i="1"/>
  <c r="Q4360" i="1"/>
  <c r="O4360" i="1"/>
  <c r="Q4359" i="1"/>
  <c r="O4359" i="1"/>
  <c r="Q4358" i="1"/>
  <c r="O4358" i="1"/>
  <c r="Q4357" i="1"/>
  <c r="O4357" i="1"/>
  <c r="Q4356" i="1"/>
  <c r="O4356" i="1"/>
  <c r="Q4355" i="1"/>
  <c r="O4355" i="1"/>
  <c r="Q4354" i="1"/>
  <c r="O4354" i="1"/>
  <c r="Q4353" i="1"/>
  <c r="O4353" i="1"/>
  <c r="Q4352" i="1"/>
  <c r="O4352" i="1"/>
  <c r="Q4351" i="1"/>
  <c r="O4351" i="1"/>
  <c r="Q4350" i="1"/>
  <c r="O4350" i="1"/>
  <c r="Q4349" i="1"/>
  <c r="O4349" i="1"/>
  <c r="Q4348" i="1"/>
  <c r="O4348" i="1"/>
  <c r="Q4347" i="1"/>
  <c r="O4347" i="1"/>
  <c r="Q4346" i="1"/>
  <c r="O4346" i="1"/>
  <c r="Q4345" i="1"/>
  <c r="O4345" i="1"/>
  <c r="Q4344" i="1"/>
  <c r="O4344" i="1"/>
  <c r="Q4343" i="1"/>
  <c r="O4343" i="1"/>
  <c r="Q4342" i="1"/>
  <c r="O4342" i="1"/>
  <c r="Q4341" i="1"/>
  <c r="O4341" i="1"/>
  <c r="Q4340" i="1"/>
  <c r="O4340" i="1"/>
  <c r="Q4339" i="1"/>
  <c r="O4339" i="1"/>
  <c r="Q4338" i="1"/>
  <c r="O4338" i="1"/>
  <c r="Q4337" i="1"/>
  <c r="O4337" i="1"/>
  <c r="Q4336" i="1"/>
  <c r="O4336" i="1"/>
  <c r="Q4335" i="1"/>
  <c r="O4335" i="1"/>
  <c r="Q4334" i="1"/>
  <c r="O4334" i="1"/>
  <c r="Q4333" i="1"/>
  <c r="O4333" i="1"/>
  <c r="Q4332" i="1"/>
  <c r="O4332" i="1"/>
  <c r="Q4331" i="1"/>
  <c r="O4331" i="1"/>
  <c r="Q4330" i="1"/>
  <c r="O4330" i="1"/>
  <c r="Q4329" i="1"/>
  <c r="O4329" i="1"/>
  <c r="Q4328" i="1"/>
  <c r="O4328" i="1"/>
  <c r="Q4327" i="1"/>
  <c r="O4327" i="1"/>
  <c r="Q4326" i="1"/>
  <c r="O4326" i="1"/>
  <c r="Q4325" i="1"/>
  <c r="O4325" i="1"/>
  <c r="Q4324" i="1"/>
  <c r="O4324" i="1"/>
  <c r="Q4323" i="1"/>
  <c r="O4323" i="1"/>
  <c r="Q4322" i="1"/>
  <c r="O4322" i="1"/>
  <c r="Q4321" i="1"/>
  <c r="O4321" i="1"/>
  <c r="Q4320" i="1"/>
  <c r="O4320" i="1"/>
  <c r="Q4319" i="1"/>
  <c r="O4319" i="1"/>
  <c r="Q4318" i="1"/>
  <c r="O4318" i="1"/>
  <c r="Q4317" i="1"/>
  <c r="O4317" i="1"/>
  <c r="Q4316" i="1"/>
  <c r="O4316" i="1"/>
  <c r="Q4315" i="1"/>
  <c r="O4315" i="1"/>
  <c r="Q4314" i="1"/>
  <c r="O4314" i="1"/>
  <c r="Q4313" i="1"/>
  <c r="O4313" i="1"/>
  <c r="Q4312" i="1"/>
  <c r="O4312" i="1"/>
  <c r="Q4311" i="1"/>
  <c r="O4311" i="1"/>
  <c r="Q4310" i="1"/>
  <c r="O4310" i="1"/>
  <c r="Q4309" i="1"/>
  <c r="O4309" i="1"/>
  <c r="Q4308" i="1"/>
  <c r="O4308" i="1"/>
  <c r="Q4307" i="1"/>
  <c r="O4307" i="1"/>
  <c r="Q4306" i="1"/>
  <c r="O4306" i="1"/>
  <c r="Q4305" i="1"/>
  <c r="O4305" i="1"/>
  <c r="Q4304" i="1"/>
  <c r="O4304" i="1"/>
  <c r="Q4303" i="1"/>
  <c r="O4303" i="1"/>
  <c r="Q4302" i="1"/>
  <c r="O4302" i="1"/>
  <c r="Q4301" i="1"/>
  <c r="O4301" i="1"/>
  <c r="Q4300" i="1"/>
  <c r="O4300" i="1"/>
  <c r="Q4299" i="1"/>
  <c r="O4299" i="1"/>
  <c r="Q4298" i="1"/>
  <c r="O4298" i="1"/>
  <c r="Q4297" i="1"/>
  <c r="O4297" i="1"/>
  <c r="Q4296" i="1"/>
  <c r="O4296" i="1"/>
  <c r="Q4295" i="1"/>
  <c r="O4295" i="1"/>
  <c r="Q4294" i="1"/>
  <c r="O4294" i="1"/>
  <c r="Q4293" i="1"/>
  <c r="O4293" i="1"/>
  <c r="Q4292" i="1"/>
  <c r="O4292" i="1"/>
  <c r="Q4291" i="1"/>
  <c r="O4291" i="1"/>
  <c r="Q4290" i="1"/>
  <c r="O4290" i="1"/>
  <c r="Q4289" i="1"/>
  <c r="O4289" i="1"/>
  <c r="Q4288" i="1"/>
  <c r="O4288" i="1"/>
  <c r="Q4287" i="1"/>
  <c r="O4287" i="1"/>
  <c r="Q4286" i="1"/>
  <c r="O4286" i="1"/>
  <c r="Q4285" i="1"/>
  <c r="O4285" i="1"/>
  <c r="Q4284" i="1"/>
  <c r="O4284" i="1"/>
  <c r="Q4283" i="1"/>
  <c r="O4283" i="1"/>
  <c r="Q4282" i="1"/>
  <c r="O4282" i="1"/>
  <c r="Q4281" i="1"/>
  <c r="O4281" i="1"/>
  <c r="Q4280" i="1"/>
  <c r="O4280" i="1"/>
  <c r="Q4279" i="1"/>
  <c r="O4279" i="1"/>
  <c r="Q4278" i="1"/>
  <c r="O4278" i="1"/>
  <c r="Q4277" i="1"/>
  <c r="O4277" i="1"/>
  <c r="Q4276" i="1"/>
  <c r="O4276" i="1"/>
  <c r="Q4275" i="1"/>
  <c r="O4275" i="1"/>
  <c r="Q4274" i="1"/>
  <c r="O4274" i="1"/>
  <c r="Q4273" i="1"/>
  <c r="O4273" i="1"/>
  <c r="Q4272" i="1"/>
  <c r="O4272" i="1"/>
  <c r="Q4271" i="1"/>
  <c r="O4271" i="1"/>
  <c r="Q4270" i="1"/>
  <c r="O4270" i="1"/>
  <c r="Q4269" i="1"/>
  <c r="O4269" i="1"/>
  <c r="Q4268" i="1"/>
  <c r="O4268" i="1"/>
  <c r="Q4267" i="1"/>
  <c r="O4267" i="1"/>
  <c r="Q4266" i="1"/>
  <c r="O4266" i="1"/>
  <c r="Q4265" i="1"/>
  <c r="O4265" i="1"/>
  <c r="Q4264" i="1"/>
  <c r="O4264" i="1"/>
  <c r="Q4263" i="1"/>
  <c r="O4263" i="1"/>
  <c r="Q4262" i="1"/>
  <c r="O4262" i="1"/>
  <c r="Q4261" i="1"/>
  <c r="O4261" i="1"/>
  <c r="Q4260" i="1"/>
  <c r="O4260" i="1"/>
  <c r="Q4259" i="1"/>
  <c r="O4259" i="1"/>
  <c r="Q4258" i="1"/>
  <c r="O4258" i="1"/>
  <c r="Q4257" i="1"/>
  <c r="O4257" i="1"/>
  <c r="Q4256" i="1"/>
  <c r="O4256" i="1"/>
  <c r="Q4255" i="1"/>
  <c r="O4255" i="1"/>
  <c r="Q4254" i="1"/>
  <c r="O4254" i="1"/>
  <c r="Q4253" i="1"/>
  <c r="O4253" i="1"/>
  <c r="Q4252" i="1"/>
  <c r="O4252" i="1"/>
  <c r="Q4251" i="1"/>
  <c r="O4251" i="1"/>
  <c r="Q4250" i="1"/>
  <c r="O4250" i="1"/>
  <c r="Q4249" i="1"/>
  <c r="O4249" i="1"/>
  <c r="Q4248" i="1"/>
  <c r="O4248" i="1"/>
  <c r="Q4247" i="1"/>
  <c r="O4247" i="1"/>
  <c r="Q4246" i="1"/>
  <c r="O4246" i="1"/>
  <c r="Q4245" i="1"/>
  <c r="O4245" i="1"/>
  <c r="Q4244" i="1"/>
  <c r="O4244" i="1"/>
  <c r="Q4243" i="1"/>
  <c r="O4243" i="1"/>
  <c r="Q4242" i="1"/>
  <c r="O4242" i="1"/>
  <c r="Q4241" i="1"/>
  <c r="O4241" i="1"/>
  <c r="Q4240" i="1"/>
  <c r="O4240" i="1"/>
  <c r="Q4239" i="1"/>
  <c r="O4239" i="1"/>
  <c r="Q4238" i="1"/>
  <c r="O4238" i="1"/>
  <c r="Q4237" i="1"/>
  <c r="O4237" i="1"/>
  <c r="Q4236" i="1"/>
  <c r="O4236" i="1"/>
  <c r="Q4235" i="1"/>
  <c r="O4235" i="1"/>
  <c r="Q4234" i="1"/>
  <c r="O4234" i="1"/>
  <c r="Q4233" i="1"/>
  <c r="O4233" i="1"/>
  <c r="Q4232" i="1"/>
  <c r="O4232" i="1"/>
  <c r="Q4231" i="1"/>
  <c r="O4231" i="1"/>
  <c r="Q4230" i="1"/>
  <c r="O4230" i="1"/>
  <c r="Q4229" i="1"/>
  <c r="O4229" i="1"/>
  <c r="Q4228" i="1"/>
  <c r="O4228" i="1"/>
  <c r="Q4227" i="1"/>
  <c r="O4227" i="1"/>
  <c r="Q4226" i="1"/>
  <c r="O4226" i="1"/>
  <c r="Q4225" i="1"/>
  <c r="O4225" i="1"/>
  <c r="Q4224" i="1"/>
  <c r="O4224" i="1"/>
  <c r="Q4223" i="1"/>
  <c r="O4223" i="1"/>
  <c r="Q4222" i="1"/>
  <c r="O4222" i="1"/>
  <c r="Q4221" i="1"/>
  <c r="O4221" i="1"/>
  <c r="Q4220" i="1"/>
  <c r="O4220" i="1"/>
  <c r="Q4219" i="1"/>
  <c r="O4219" i="1"/>
  <c r="Q4218" i="1"/>
  <c r="O4218" i="1"/>
  <c r="Q4217" i="1"/>
  <c r="O4217" i="1"/>
  <c r="Q4216" i="1"/>
  <c r="O4216" i="1"/>
  <c r="Q4215" i="1"/>
  <c r="O4215" i="1"/>
  <c r="Q4214" i="1"/>
  <c r="O4214" i="1"/>
  <c r="Q4213" i="1"/>
  <c r="O4213" i="1"/>
  <c r="Q4212" i="1"/>
  <c r="O4212" i="1"/>
  <c r="Q4211" i="1"/>
  <c r="O4211" i="1"/>
  <c r="Q4210" i="1"/>
  <c r="O4210" i="1"/>
  <c r="Q4209" i="1"/>
  <c r="O4209" i="1"/>
  <c r="Q4208" i="1"/>
  <c r="O4208" i="1"/>
  <c r="Q4207" i="1"/>
  <c r="O4207" i="1"/>
  <c r="Q4206" i="1"/>
  <c r="O4206" i="1"/>
  <c r="Q4205" i="1"/>
  <c r="O4205" i="1"/>
  <c r="Q4204" i="1"/>
  <c r="O4204" i="1"/>
  <c r="Q4203" i="1"/>
  <c r="O4203" i="1"/>
  <c r="Q4202" i="1"/>
  <c r="O4202" i="1"/>
  <c r="Q4201" i="1"/>
  <c r="O4201" i="1"/>
  <c r="Q4200" i="1"/>
  <c r="O4200" i="1"/>
  <c r="Q4199" i="1"/>
  <c r="O4199" i="1"/>
  <c r="Q4198" i="1"/>
  <c r="O4198" i="1"/>
  <c r="Q4197" i="1"/>
  <c r="O4197" i="1"/>
  <c r="Q4196" i="1"/>
  <c r="O4196" i="1"/>
  <c r="Q4195" i="1"/>
  <c r="O4195" i="1"/>
  <c r="Q4194" i="1"/>
  <c r="O4194" i="1"/>
  <c r="Q4193" i="1"/>
  <c r="O4193" i="1"/>
  <c r="Q4192" i="1"/>
  <c r="O4192" i="1"/>
  <c r="Q4191" i="1"/>
  <c r="O4191" i="1"/>
  <c r="Q4190" i="1"/>
  <c r="O4190" i="1"/>
  <c r="Q4189" i="1"/>
  <c r="O4189" i="1"/>
  <c r="Q4188" i="1"/>
  <c r="O4188" i="1"/>
  <c r="Q4187" i="1"/>
  <c r="O4187" i="1"/>
  <c r="Q4186" i="1"/>
  <c r="O4186" i="1"/>
  <c r="Q4185" i="1"/>
  <c r="O4185" i="1"/>
  <c r="Q4184" i="1"/>
  <c r="O4184" i="1"/>
  <c r="Q4183" i="1"/>
  <c r="O4183" i="1"/>
  <c r="Q4182" i="1"/>
  <c r="O4182" i="1"/>
  <c r="Q4181" i="1"/>
  <c r="O4181" i="1"/>
  <c r="Q4180" i="1"/>
  <c r="O4180" i="1"/>
  <c r="Q4179" i="1"/>
  <c r="O4179" i="1"/>
  <c r="Q4178" i="1"/>
  <c r="O4178" i="1"/>
  <c r="Q4177" i="1"/>
  <c r="O4177" i="1"/>
  <c r="Q4176" i="1"/>
  <c r="O4176" i="1"/>
  <c r="Q4175" i="1"/>
  <c r="O4175" i="1"/>
  <c r="Q4174" i="1"/>
  <c r="O4174" i="1"/>
  <c r="Q4173" i="1"/>
  <c r="O4173" i="1"/>
  <c r="Q4172" i="1"/>
  <c r="O4172" i="1"/>
  <c r="Q4171" i="1"/>
  <c r="O4171" i="1"/>
  <c r="Q4170" i="1"/>
  <c r="O4170" i="1"/>
  <c r="Q4169" i="1"/>
  <c r="O4169" i="1"/>
  <c r="Q4168" i="1"/>
  <c r="O4168" i="1"/>
  <c r="Q4167" i="1"/>
  <c r="O4167" i="1"/>
  <c r="Q4166" i="1"/>
  <c r="O4166" i="1"/>
  <c r="Q4165" i="1"/>
  <c r="O4165" i="1"/>
  <c r="Q4164" i="1"/>
  <c r="O4164" i="1"/>
  <c r="Q4163" i="1"/>
  <c r="O4163" i="1"/>
  <c r="Q4162" i="1"/>
  <c r="O4162" i="1"/>
  <c r="Q4161" i="1"/>
  <c r="O4161" i="1"/>
  <c r="Q4160" i="1"/>
  <c r="O4160" i="1"/>
  <c r="Q4159" i="1"/>
  <c r="O4159" i="1"/>
  <c r="Q4158" i="1"/>
  <c r="O4158" i="1"/>
  <c r="Q4157" i="1"/>
  <c r="O4157" i="1"/>
  <c r="Q4156" i="1"/>
  <c r="O4156" i="1"/>
  <c r="Q4155" i="1"/>
  <c r="O4155" i="1"/>
  <c r="Q4154" i="1"/>
  <c r="O4154" i="1"/>
  <c r="Q4153" i="1"/>
  <c r="O4153" i="1"/>
  <c r="Q4152" i="1"/>
  <c r="O4152" i="1"/>
  <c r="Q4151" i="1"/>
  <c r="O4151" i="1"/>
  <c r="Q4150" i="1"/>
  <c r="O4150" i="1"/>
  <c r="Q4149" i="1"/>
  <c r="O4149" i="1"/>
  <c r="Q4148" i="1"/>
  <c r="O4148" i="1"/>
  <c r="Q4147" i="1"/>
  <c r="O4147" i="1"/>
  <c r="Q4146" i="1"/>
  <c r="O4146" i="1"/>
  <c r="Q4145" i="1"/>
  <c r="O4145" i="1"/>
  <c r="Q4144" i="1"/>
  <c r="O4144" i="1"/>
  <c r="Q4143" i="1"/>
  <c r="O4143" i="1"/>
  <c r="Q4142" i="1"/>
  <c r="O4142" i="1"/>
  <c r="Q4141" i="1"/>
  <c r="O4141" i="1"/>
  <c r="Q4140" i="1"/>
  <c r="O4140" i="1"/>
  <c r="Q4139" i="1"/>
  <c r="O4139" i="1"/>
  <c r="Q4138" i="1"/>
  <c r="O4138" i="1"/>
  <c r="Q4137" i="1"/>
  <c r="O4137" i="1"/>
  <c r="Q4136" i="1"/>
  <c r="O4136" i="1"/>
  <c r="Q4135" i="1"/>
  <c r="O4135" i="1"/>
  <c r="Q4134" i="1"/>
  <c r="O4134" i="1"/>
  <c r="Q4133" i="1"/>
  <c r="O4133" i="1"/>
  <c r="Q4132" i="1"/>
  <c r="O4132" i="1"/>
  <c r="Q4131" i="1"/>
  <c r="O4131" i="1"/>
  <c r="Q4130" i="1"/>
  <c r="O4130" i="1"/>
  <c r="Q4129" i="1"/>
  <c r="O4129" i="1"/>
  <c r="Q4128" i="1"/>
  <c r="O4128" i="1"/>
  <c r="Q4127" i="1"/>
  <c r="O4127" i="1"/>
  <c r="Q4126" i="1"/>
  <c r="O4126" i="1"/>
  <c r="Q4125" i="1"/>
  <c r="O4125" i="1"/>
  <c r="Q4124" i="1"/>
  <c r="O4124" i="1"/>
  <c r="Q4123" i="1"/>
  <c r="O4123" i="1"/>
  <c r="Q4122" i="1"/>
  <c r="O4122" i="1"/>
  <c r="Q4121" i="1"/>
  <c r="O4121" i="1"/>
  <c r="Q4120" i="1"/>
  <c r="O4120" i="1"/>
  <c r="Q4119" i="1"/>
  <c r="O4119" i="1"/>
  <c r="Q4118" i="1"/>
  <c r="O4118" i="1"/>
  <c r="Q4117" i="1"/>
  <c r="O4117" i="1"/>
  <c r="Q4116" i="1"/>
  <c r="O4116" i="1"/>
  <c r="Q4115" i="1"/>
  <c r="O4115" i="1"/>
  <c r="Q4114" i="1"/>
  <c r="O4114" i="1"/>
  <c r="Q4113" i="1"/>
  <c r="O4113" i="1"/>
  <c r="Q4112" i="1"/>
  <c r="O4112" i="1"/>
  <c r="Q4111" i="1"/>
  <c r="O4111" i="1"/>
  <c r="Q4110" i="1"/>
  <c r="O4110" i="1"/>
  <c r="Q4109" i="1"/>
  <c r="O4109" i="1"/>
  <c r="Q4108" i="1"/>
  <c r="O4108" i="1"/>
  <c r="Q4107" i="1"/>
  <c r="O4107" i="1"/>
  <c r="Q4106" i="1"/>
  <c r="O4106" i="1"/>
  <c r="Q4105" i="1"/>
  <c r="O4105" i="1"/>
  <c r="Q4104" i="1"/>
  <c r="O4104" i="1"/>
  <c r="Q4103" i="1"/>
  <c r="O4103" i="1"/>
  <c r="Q4102" i="1"/>
  <c r="O4102" i="1"/>
  <c r="Q4101" i="1"/>
  <c r="O4101" i="1"/>
  <c r="Q4100" i="1"/>
  <c r="O4100" i="1"/>
  <c r="Q4099" i="1"/>
  <c r="O4099" i="1"/>
  <c r="Q4098" i="1"/>
  <c r="O4098" i="1"/>
  <c r="Q4097" i="1"/>
  <c r="O4097" i="1"/>
  <c r="Q4096" i="1"/>
  <c r="O4096" i="1"/>
  <c r="Q4095" i="1"/>
  <c r="O4095" i="1"/>
  <c r="Q4094" i="1"/>
  <c r="O4094" i="1"/>
  <c r="Q4093" i="1"/>
  <c r="O4093" i="1"/>
  <c r="Q4092" i="1"/>
  <c r="O4092" i="1"/>
  <c r="Q4091" i="1"/>
  <c r="O4091" i="1"/>
  <c r="Q4090" i="1"/>
  <c r="O4090" i="1"/>
  <c r="Q4089" i="1"/>
  <c r="O4089" i="1"/>
  <c r="Q4088" i="1"/>
  <c r="O4088" i="1"/>
  <c r="Q4087" i="1"/>
  <c r="O4087" i="1"/>
  <c r="Q4086" i="1"/>
  <c r="O4086" i="1"/>
  <c r="Q4085" i="1"/>
  <c r="O4085" i="1"/>
  <c r="Q4084" i="1"/>
  <c r="O4084" i="1"/>
  <c r="Q4083" i="1"/>
  <c r="O4083" i="1"/>
  <c r="Q4082" i="1"/>
  <c r="O4082" i="1"/>
  <c r="Q4081" i="1"/>
  <c r="O4081" i="1"/>
  <c r="Q4080" i="1"/>
  <c r="O4080" i="1"/>
  <c r="Q4079" i="1"/>
  <c r="O4079" i="1"/>
  <c r="Q4078" i="1"/>
  <c r="O4078" i="1"/>
  <c r="Q4077" i="1"/>
  <c r="O4077" i="1"/>
  <c r="Q4076" i="1"/>
  <c r="O4076" i="1"/>
  <c r="Q4075" i="1"/>
  <c r="O4075" i="1"/>
  <c r="Q4074" i="1"/>
  <c r="O4074" i="1"/>
  <c r="Q4073" i="1"/>
  <c r="O4073" i="1"/>
  <c r="Q4072" i="1"/>
  <c r="O4072" i="1"/>
  <c r="Q4071" i="1"/>
  <c r="O4071" i="1"/>
  <c r="Q4070" i="1"/>
  <c r="O4070" i="1"/>
  <c r="Q4069" i="1"/>
  <c r="O4069" i="1"/>
  <c r="Q4068" i="1"/>
  <c r="O4068" i="1"/>
  <c r="Q4067" i="1"/>
  <c r="O4067" i="1"/>
  <c r="Q4066" i="1"/>
  <c r="O4066" i="1"/>
  <c r="Q4065" i="1"/>
  <c r="O4065" i="1"/>
  <c r="Q4064" i="1"/>
  <c r="O4064" i="1"/>
  <c r="Q4063" i="1"/>
  <c r="O4063" i="1"/>
  <c r="Q4062" i="1"/>
  <c r="O4062" i="1"/>
  <c r="Q4061" i="1"/>
  <c r="O4061" i="1"/>
  <c r="Q4060" i="1"/>
  <c r="O4060" i="1"/>
  <c r="Q4059" i="1"/>
  <c r="O4059" i="1"/>
  <c r="Q4058" i="1"/>
  <c r="O4058" i="1"/>
  <c r="Q4057" i="1"/>
  <c r="O4057" i="1"/>
  <c r="Q4056" i="1"/>
  <c r="O4056" i="1"/>
  <c r="Q4055" i="1"/>
  <c r="O4055" i="1"/>
  <c r="Q4054" i="1"/>
  <c r="O4054" i="1"/>
  <c r="Q4053" i="1"/>
  <c r="O4053" i="1"/>
  <c r="Q4052" i="1"/>
  <c r="O4052" i="1"/>
  <c r="Q4051" i="1"/>
  <c r="O4051" i="1"/>
  <c r="Q4050" i="1"/>
  <c r="O4050" i="1"/>
  <c r="Q4049" i="1"/>
  <c r="O4049" i="1"/>
  <c r="Q4048" i="1"/>
  <c r="O4048" i="1"/>
  <c r="Q4047" i="1"/>
  <c r="O4047" i="1"/>
  <c r="Q4046" i="1"/>
  <c r="O4046" i="1"/>
  <c r="Q4045" i="1"/>
  <c r="O4045" i="1"/>
  <c r="Q4044" i="1"/>
  <c r="O4044" i="1"/>
  <c r="Q4043" i="1"/>
  <c r="O4043" i="1"/>
  <c r="Q4042" i="1"/>
  <c r="O4042" i="1"/>
  <c r="Q4041" i="1"/>
  <c r="O4041" i="1"/>
  <c r="Q4040" i="1"/>
  <c r="O4040" i="1"/>
  <c r="Q4039" i="1"/>
  <c r="O4039" i="1"/>
  <c r="Q4038" i="1"/>
  <c r="O4038" i="1"/>
  <c r="Q4037" i="1"/>
  <c r="O4037" i="1"/>
  <c r="Q4036" i="1"/>
  <c r="O4036" i="1"/>
  <c r="Q4035" i="1"/>
  <c r="O4035" i="1"/>
  <c r="Q4034" i="1"/>
  <c r="O4034" i="1"/>
  <c r="Q4033" i="1"/>
  <c r="O4033" i="1"/>
  <c r="Q4032" i="1"/>
  <c r="O4032" i="1"/>
  <c r="Q4031" i="1"/>
  <c r="O4031" i="1"/>
  <c r="Q4030" i="1"/>
  <c r="O4030" i="1"/>
  <c r="Q4029" i="1"/>
  <c r="O4029" i="1"/>
  <c r="Q4028" i="1"/>
  <c r="O4028" i="1"/>
  <c r="Q4027" i="1"/>
  <c r="O4027" i="1"/>
  <c r="Q4026" i="1"/>
  <c r="O4026" i="1"/>
  <c r="Q4025" i="1"/>
  <c r="O4025" i="1"/>
  <c r="Q4024" i="1"/>
  <c r="O4024" i="1"/>
  <c r="Q4023" i="1"/>
  <c r="O4023" i="1"/>
  <c r="Q4022" i="1"/>
  <c r="O4022" i="1"/>
  <c r="Q4021" i="1"/>
  <c r="O4021" i="1"/>
  <c r="Q4020" i="1"/>
  <c r="O4020" i="1"/>
  <c r="Q4019" i="1"/>
  <c r="O4019" i="1"/>
  <c r="Q4018" i="1"/>
  <c r="O4018" i="1"/>
  <c r="Q4017" i="1"/>
  <c r="O4017" i="1"/>
  <c r="Q4016" i="1"/>
  <c r="O4016" i="1"/>
  <c r="Q4015" i="1"/>
  <c r="O4015" i="1"/>
  <c r="Q4014" i="1"/>
  <c r="O4014" i="1"/>
  <c r="Q4013" i="1"/>
  <c r="O4013" i="1"/>
  <c r="Q4012" i="1"/>
  <c r="O4012" i="1"/>
  <c r="Q4011" i="1"/>
  <c r="O4011" i="1"/>
  <c r="Q4010" i="1"/>
  <c r="O4010" i="1"/>
  <c r="Q4009" i="1"/>
  <c r="O4009" i="1"/>
  <c r="Q4008" i="1"/>
  <c r="O4008" i="1"/>
  <c r="Q4007" i="1"/>
  <c r="O4007" i="1"/>
  <c r="Q4006" i="1"/>
  <c r="O4006" i="1"/>
  <c r="Q4005" i="1"/>
  <c r="O4005" i="1"/>
  <c r="Q4004" i="1"/>
  <c r="O4004" i="1"/>
  <c r="Q4003" i="1"/>
  <c r="O4003" i="1"/>
  <c r="Q4002" i="1"/>
  <c r="O4002" i="1"/>
  <c r="Q4001" i="1"/>
  <c r="O4001" i="1"/>
  <c r="Q4000" i="1"/>
  <c r="O4000" i="1"/>
  <c r="Q3999" i="1"/>
  <c r="O3999" i="1"/>
  <c r="Q3998" i="1"/>
  <c r="O3998" i="1"/>
  <c r="Q3997" i="1"/>
  <c r="O3997" i="1"/>
  <c r="Q3996" i="1"/>
  <c r="O3996" i="1"/>
  <c r="Q3995" i="1"/>
  <c r="O3995" i="1"/>
  <c r="Q3994" i="1"/>
  <c r="O3994" i="1"/>
  <c r="Q3993" i="1"/>
  <c r="O3993" i="1"/>
  <c r="Q3992" i="1"/>
  <c r="O3992" i="1"/>
  <c r="Q3991" i="1"/>
  <c r="O3991" i="1"/>
  <c r="Q3990" i="1"/>
  <c r="O3990" i="1"/>
  <c r="Q3989" i="1"/>
  <c r="O3989" i="1"/>
  <c r="Q3988" i="1"/>
  <c r="O3988" i="1"/>
  <c r="Q3987" i="1"/>
  <c r="O3987" i="1"/>
  <c r="Q3986" i="1"/>
  <c r="O3986" i="1"/>
  <c r="Q3985" i="1"/>
  <c r="O3985" i="1"/>
  <c r="Q3984" i="1"/>
  <c r="O3984" i="1"/>
  <c r="Q3983" i="1"/>
  <c r="O3983" i="1"/>
  <c r="Q3982" i="1"/>
  <c r="O3982" i="1"/>
  <c r="Q3981" i="1"/>
  <c r="O3981" i="1"/>
  <c r="Q3980" i="1"/>
  <c r="O3980" i="1"/>
  <c r="Q3979" i="1"/>
  <c r="O3979" i="1"/>
  <c r="Q3978" i="1"/>
  <c r="O3978" i="1"/>
  <c r="Q3977" i="1"/>
  <c r="O3977" i="1"/>
  <c r="Q3976" i="1"/>
  <c r="O3976" i="1"/>
  <c r="Q3975" i="1"/>
  <c r="O3975" i="1"/>
  <c r="Q3974" i="1"/>
  <c r="O3974" i="1"/>
  <c r="Q3973" i="1"/>
  <c r="O3973" i="1"/>
  <c r="Q3972" i="1"/>
  <c r="O3972" i="1"/>
  <c r="Q3971" i="1"/>
  <c r="O3971" i="1"/>
  <c r="Q3970" i="1"/>
  <c r="O3970" i="1"/>
  <c r="Q3969" i="1"/>
  <c r="O3969" i="1"/>
  <c r="Q3968" i="1"/>
  <c r="O3968" i="1"/>
  <c r="Q3967" i="1"/>
  <c r="O3967" i="1"/>
  <c r="Q3966" i="1"/>
  <c r="O3966" i="1"/>
  <c r="Q3965" i="1"/>
  <c r="O3965" i="1"/>
  <c r="Q3964" i="1"/>
  <c r="O3964" i="1"/>
  <c r="Q3963" i="1"/>
  <c r="O3963" i="1"/>
  <c r="Q3962" i="1"/>
  <c r="O3962" i="1"/>
  <c r="Q3961" i="1"/>
  <c r="O3961" i="1"/>
  <c r="Q3960" i="1"/>
  <c r="O3960" i="1"/>
  <c r="Q3959" i="1"/>
  <c r="O3959" i="1"/>
  <c r="Q3958" i="1"/>
  <c r="O3958" i="1"/>
  <c r="Q3957" i="1"/>
  <c r="O3957" i="1"/>
  <c r="Q3956" i="1"/>
  <c r="O3956" i="1"/>
  <c r="Q3955" i="1"/>
  <c r="O3955" i="1"/>
  <c r="Q3954" i="1"/>
  <c r="O3954" i="1"/>
  <c r="Q3953" i="1"/>
  <c r="O3953" i="1"/>
  <c r="Q3952" i="1"/>
  <c r="O3952" i="1"/>
  <c r="Q3951" i="1"/>
  <c r="O3951" i="1"/>
  <c r="Q3950" i="1"/>
  <c r="O3950" i="1"/>
  <c r="Q3949" i="1"/>
  <c r="O3949" i="1"/>
  <c r="Q3948" i="1"/>
  <c r="O3948" i="1"/>
  <c r="Q3947" i="1"/>
  <c r="O3947" i="1"/>
  <c r="Q3946" i="1"/>
  <c r="O3946" i="1"/>
  <c r="Q3945" i="1"/>
  <c r="O3945" i="1"/>
  <c r="Q3944" i="1"/>
  <c r="O3944" i="1"/>
  <c r="Q3943" i="1"/>
  <c r="O3943" i="1"/>
  <c r="Q3942" i="1"/>
  <c r="O3942" i="1"/>
  <c r="Q3941" i="1"/>
  <c r="O3941" i="1"/>
  <c r="Q3940" i="1"/>
  <c r="O3940" i="1"/>
  <c r="Q3939" i="1"/>
  <c r="O3939" i="1"/>
  <c r="Q3938" i="1"/>
  <c r="O3938" i="1"/>
  <c r="Q3937" i="1"/>
  <c r="O3937" i="1"/>
  <c r="Q3936" i="1"/>
  <c r="O3936" i="1"/>
  <c r="Q3935" i="1"/>
  <c r="O3935" i="1"/>
  <c r="Q3934" i="1"/>
  <c r="O3934" i="1"/>
  <c r="Q3933" i="1"/>
  <c r="O3933" i="1"/>
  <c r="Q3932" i="1"/>
  <c r="O3932" i="1"/>
  <c r="Q3931" i="1"/>
  <c r="O3931" i="1"/>
  <c r="Q3930" i="1"/>
  <c r="O3930" i="1"/>
  <c r="Q3929" i="1"/>
  <c r="O3929" i="1"/>
  <c r="Q3928" i="1"/>
  <c r="O3928" i="1"/>
  <c r="Q3927" i="1"/>
  <c r="O3927" i="1"/>
  <c r="Q3926" i="1"/>
  <c r="O3926" i="1"/>
  <c r="Q3925" i="1"/>
  <c r="O3925" i="1"/>
  <c r="Q3924" i="1"/>
  <c r="O3924" i="1"/>
  <c r="Q3923" i="1"/>
  <c r="O3923" i="1"/>
  <c r="Q3922" i="1"/>
  <c r="O3922" i="1"/>
  <c r="Q3921" i="1"/>
  <c r="O3921" i="1"/>
  <c r="Q3920" i="1"/>
  <c r="O3920" i="1"/>
  <c r="Q3919" i="1"/>
  <c r="O3919" i="1"/>
  <c r="Q3918" i="1"/>
  <c r="O3918" i="1"/>
  <c r="Q3917" i="1"/>
  <c r="O3917" i="1"/>
  <c r="Q3916" i="1"/>
  <c r="O3916" i="1"/>
  <c r="Q3915" i="1"/>
  <c r="O3915" i="1"/>
  <c r="Q3914" i="1"/>
  <c r="O3914" i="1"/>
  <c r="Q3913" i="1"/>
  <c r="O3913" i="1"/>
  <c r="Q3912" i="1"/>
  <c r="O3912" i="1"/>
  <c r="Q3911" i="1"/>
  <c r="O3911" i="1"/>
  <c r="Q3910" i="1"/>
  <c r="O3910" i="1"/>
  <c r="Q3909" i="1"/>
  <c r="O3909" i="1"/>
  <c r="Q3908" i="1"/>
  <c r="O3908" i="1"/>
  <c r="Q3907" i="1"/>
  <c r="O3907" i="1"/>
  <c r="Q3906" i="1"/>
  <c r="O3906" i="1"/>
  <c r="Q3905" i="1"/>
  <c r="O3905" i="1"/>
  <c r="Q3904" i="1"/>
  <c r="O3904" i="1"/>
  <c r="Q3903" i="1"/>
  <c r="O3903" i="1"/>
  <c r="Q3902" i="1"/>
  <c r="O3902" i="1"/>
  <c r="Q3901" i="1"/>
  <c r="O3901" i="1"/>
  <c r="Q3900" i="1"/>
  <c r="O3900" i="1"/>
  <c r="Q3899" i="1"/>
  <c r="O3899" i="1"/>
  <c r="Q3898" i="1"/>
  <c r="O3898" i="1"/>
  <c r="Q3897" i="1"/>
  <c r="O3897" i="1"/>
  <c r="Q3896" i="1"/>
  <c r="O3896" i="1"/>
  <c r="Q3895" i="1"/>
  <c r="O3895" i="1"/>
  <c r="Q3894" i="1"/>
  <c r="O3894" i="1"/>
  <c r="Q3893" i="1"/>
  <c r="O3893" i="1"/>
  <c r="Q3892" i="1"/>
  <c r="O3892" i="1"/>
  <c r="Q3891" i="1"/>
  <c r="O3891" i="1"/>
  <c r="Q3890" i="1"/>
  <c r="O3890" i="1"/>
  <c r="Q3889" i="1"/>
  <c r="O3889" i="1"/>
  <c r="Q3888" i="1"/>
  <c r="O3888" i="1"/>
  <c r="Q3887" i="1"/>
  <c r="O3887" i="1"/>
  <c r="Q3886" i="1"/>
  <c r="O3886" i="1"/>
  <c r="Q3885" i="1"/>
  <c r="O3885" i="1"/>
  <c r="Q3884" i="1"/>
  <c r="O3884" i="1"/>
  <c r="Q3883" i="1"/>
  <c r="O3883" i="1"/>
  <c r="Q3882" i="1"/>
  <c r="O3882" i="1"/>
  <c r="Q3881" i="1"/>
  <c r="O3881" i="1"/>
  <c r="Q3880" i="1"/>
  <c r="O3880" i="1"/>
  <c r="Q3879" i="1"/>
  <c r="O3879" i="1"/>
  <c r="Q3878" i="1"/>
  <c r="O3878" i="1"/>
  <c r="Q3877" i="1"/>
  <c r="O3877" i="1"/>
  <c r="Q3876" i="1"/>
  <c r="O3876" i="1"/>
  <c r="Q3875" i="1"/>
  <c r="O3875" i="1"/>
  <c r="Q3874" i="1"/>
  <c r="O3874" i="1"/>
  <c r="Q3873" i="1"/>
  <c r="O3873" i="1"/>
  <c r="Q3872" i="1"/>
  <c r="O3872" i="1"/>
  <c r="Q3871" i="1"/>
  <c r="O3871" i="1"/>
  <c r="Q3870" i="1"/>
  <c r="O3870" i="1"/>
  <c r="Q3869" i="1"/>
  <c r="O3869" i="1"/>
  <c r="Q3868" i="1"/>
  <c r="O3868" i="1"/>
  <c r="Q3867" i="1"/>
  <c r="O3867" i="1"/>
  <c r="Q3866" i="1"/>
  <c r="O3866" i="1"/>
  <c r="Q3865" i="1"/>
  <c r="O3865" i="1"/>
  <c r="Q3864" i="1"/>
  <c r="O3864" i="1"/>
  <c r="Q3863" i="1"/>
  <c r="O3863" i="1"/>
  <c r="Q3862" i="1"/>
  <c r="O3862" i="1"/>
  <c r="Q3861" i="1"/>
  <c r="O3861" i="1"/>
  <c r="Q3860" i="1"/>
  <c r="O3860" i="1"/>
  <c r="Q3859" i="1"/>
  <c r="O3859" i="1"/>
  <c r="Q3858" i="1"/>
  <c r="O3858" i="1"/>
  <c r="Q3857" i="1"/>
  <c r="O3857" i="1"/>
  <c r="Q3856" i="1"/>
  <c r="O3856" i="1"/>
  <c r="Q3855" i="1"/>
  <c r="O3855" i="1"/>
  <c r="Q3854" i="1"/>
  <c r="O3854" i="1"/>
  <c r="Q3853" i="1"/>
  <c r="O3853" i="1"/>
  <c r="Q3852" i="1"/>
  <c r="O3852" i="1"/>
  <c r="Q3851" i="1"/>
  <c r="O3851" i="1"/>
  <c r="Q3850" i="1"/>
  <c r="O3850" i="1"/>
  <c r="Q3849" i="1"/>
  <c r="O3849" i="1"/>
  <c r="Q3848" i="1"/>
  <c r="O3848" i="1"/>
  <c r="Q3847" i="1"/>
  <c r="O3847" i="1"/>
  <c r="Q3846" i="1"/>
  <c r="O3846" i="1"/>
  <c r="Q3845" i="1"/>
  <c r="O3845" i="1"/>
  <c r="Q3844" i="1"/>
  <c r="O3844" i="1"/>
  <c r="Q3843" i="1"/>
  <c r="O3843" i="1"/>
  <c r="Q3842" i="1"/>
  <c r="O3842" i="1"/>
  <c r="Q3841" i="1"/>
  <c r="O3841" i="1"/>
  <c r="Q3840" i="1"/>
  <c r="O3840" i="1"/>
  <c r="Q3839" i="1"/>
  <c r="O3839" i="1"/>
  <c r="Q3838" i="1"/>
  <c r="O3838" i="1"/>
  <c r="Q3837" i="1"/>
  <c r="O3837" i="1"/>
  <c r="Q3836" i="1"/>
  <c r="O3836" i="1"/>
  <c r="Q3835" i="1"/>
  <c r="O3835" i="1"/>
  <c r="Q3834" i="1"/>
  <c r="O3834" i="1"/>
  <c r="Q3833" i="1"/>
  <c r="O3833" i="1"/>
  <c r="Q3832" i="1"/>
  <c r="O3832" i="1"/>
  <c r="Q3831" i="1"/>
  <c r="O3831" i="1"/>
  <c r="Q3830" i="1"/>
  <c r="O3830" i="1"/>
  <c r="Q3829" i="1"/>
  <c r="O3829" i="1"/>
  <c r="Q3828" i="1"/>
  <c r="O3828" i="1"/>
  <c r="Q3827" i="1"/>
  <c r="O3827" i="1"/>
  <c r="Q3826" i="1"/>
  <c r="O3826" i="1"/>
  <c r="Q3825" i="1"/>
  <c r="O3825" i="1"/>
  <c r="Q3824" i="1"/>
  <c r="O3824" i="1"/>
  <c r="Q3823" i="1"/>
  <c r="O3823" i="1"/>
  <c r="Q3822" i="1"/>
  <c r="O3822" i="1"/>
  <c r="Q3821" i="1"/>
  <c r="O3821" i="1"/>
  <c r="Q3820" i="1"/>
  <c r="O3820" i="1"/>
  <c r="Q3819" i="1"/>
  <c r="O3819" i="1"/>
  <c r="Q3818" i="1"/>
  <c r="O3818" i="1"/>
  <c r="Q3817" i="1"/>
  <c r="O3817" i="1"/>
  <c r="Q3816" i="1"/>
  <c r="O3816" i="1"/>
  <c r="Q3815" i="1"/>
  <c r="O3815" i="1"/>
  <c r="Q3814" i="1"/>
  <c r="O3814" i="1"/>
  <c r="Q3813" i="1"/>
  <c r="O3813" i="1"/>
  <c r="Q3812" i="1"/>
  <c r="O3812" i="1"/>
  <c r="Q3811" i="1"/>
  <c r="O3811" i="1"/>
  <c r="Q3810" i="1"/>
  <c r="O3810" i="1"/>
  <c r="Q3809" i="1"/>
  <c r="O3809" i="1"/>
  <c r="Q3808" i="1"/>
  <c r="O3808" i="1"/>
  <c r="Q3807" i="1"/>
  <c r="O3807" i="1"/>
  <c r="Q3806" i="1"/>
  <c r="O3806" i="1"/>
  <c r="Q3805" i="1"/>
  <c r="O3805" i="1"/>
  <c r="Q3804" i="1"/>
  <c r="O3804" i="1"/>
  <c r="Q3803" i="1"/>
  <c r="O3803" i="1"/>
  <c r="Q3802" i="1"/>
  <c r="O3802" i="1"/>
  <c r="Q3801" i="1"/>
  <c r="O3801" i="1"/>
  <c r="Q3800" i="1"/>
  <c r="O3800" i="1"/>
  <c r="Q3799" i="1"/>
  <c r="O3799" i="1"/>
  <c r="Q3798" i="1"/>
  <c r="O3798" i="1"/>
  <c r="Q3797" i="1"/>
  <c r="O3797" i="1"/>
  <c r="Q3796" i="1"/>
  <c r="O3796" i="1"/>
  <c r="Q3795" i="1"/>
  <c r="O3795" i="1"/>
  <c r="Q3794" i="1"/>
  <c r="O3794" i="1"/>
  <c r="Q3793" i="1"/>
  <c r="O3793" i="1"/>
  <c r="Q3792" i="1"/>
  <c r="O3792" i="1"/>
  <c r="Q3791" i="1"/>
  <c r="O3791" i="1"/>
  <c r="Q3790" i="1"/>
  <c r="O3790" i="1"/>
  <c r="Q3789" i="1"/>
  <c r="O3789" i="1"/>
  <c r="Q3788" i="1"/>
  <c r="O3788" i="1"/>
  <c r="Q3787" i="1"/>
  <c r="O3787" i="1"/>
  <c r="Q3786" i="1"/>
  <c r="O3786" i="1"/>
  <c r="Q3785" i="1"/>
  <c r="O3785" i="1"/>
  <c r="Q3784" i="1"/>
  <c r="O3784" i="1"/>
  <c r="Q3783" i="1"/>
  <c r="O3783" i="1"/>
  <c r="Q3782" i="1"/>
  <c r="O3782" i="1"/>
  <c r="Q3781" i="1"/>
  <c r="O3781" i="1"/>
  <c r="Q3780" i="1"/>
  <c r="O3780" i="1"/>
  <c r="Q3779" i="1"/>
  <c r="O3779" i="1"/>
  <c r="Q3778" i="1"/>
  <c r="O3778" i="1"/>
  <c r="Q3777" i="1"/>
  <c r="O3777" i="1"/>
  <c r="Q3776" i="1"/>
  <c r="O3776" i="1"/>
  <c r="Q3775" i="1"/>
  <c r="O3775" i="1"/>
  <c r="Q3774" i="1"/>
  <c r="O3774" i="1"/>
  <c r="Q3773" i="1"/>
  <c r="O3773" i="1"/>
  <c r="Q3772" i="1"/>
  <c r="O3772" i="1"/>
  <c r="Q3771" i="1"/>
  <c r="O3771" i="1"/>
  <c r="Q3770" i="1"/>
  <c r="O3770" i="1"/>
  <c r="Q3769" i="1"/>
  <c r="O3769" i="1"/>
  <c r="Q3768" i="1"/>
  <c r="O3768" i="1"/>
  <c r="Q3767" i="1"/>
  <c r="O3767" i="1"/>
  <c r="Q3766" i="1"/>
  <c r="O3766" i="1"/>
  <c r="Q3765" i="1"/>
  <c r="O3765" i="1"/>
  <c r="Q3764" i="1"/>
  <c r="O3764" i="1"/>
  <c r="Q3763" i="1"/>
  <c r="O3763" i="1"/>
  <c r="Q3762" i="1"/>
  <c r="O3762" i="1"/>
  <c r="Q3761" i="1"/>
  <c r="O3761" i="1"/>
  <c r="Q3760" i="1"/>
  <c r="O3760" i="1"/>
  <c r="Q3759" i="1"/>
  <c r="O3759" i="1"/>
  <c r="Q3758" i="1"/>
  <c r="O3758" i="1"/>
  <c r="Q3757" i="1"/>
  <c r="O3757" i="1"/>
  <c r="Q3756" i="1"/>
  <c r="O3756" i="1"/>
  <c r="Q3755" i="1"/>
  <c r="O3755" i="1"/>
  <c r="Q3754" i="1"/>
  <c r="O3754" i="1"/>
  <c r="Q3753" i="1"/>
  <c r="O3753" i="1"/>
  <c r="Q3752" i="1"/>
  <c r="O3752" i="1"/>
  <c r="Q3751" i="1"/>
  <c r="O3751" i="1"/>
  <c r="Q3750" i="1"/>
  <c r="O3750" i="1"/>
  <c r="Q3749" i="1"/>
  <c r="O3749" i="1"/>
  <c r="Q3748" i="1"/>
  <c r="O3748" i="1"/>
  <c r="Q3747" i="1"/>
  <c r="O3747" i="1"/>
  <c r="Q3746" i="1"/>
  <c r="O3746" i="1"/>
  <c r="Q3745" i="1"/>
  <c r="O3745" i="1"/>
  <c r="Q3744" i="1"/>
  <c r="O3744" i="1"/>
  <c r="Q3743" i="1"/>
  <c r="O3743" i="1"/>
  <c r="Q3742" i="1"/>
  <c r="O3742" i="1"/>
  <c r="Q3741" i="1"/>
  <c r="O3741" i="1"/>
  <c r="Q3740" i="1"/>
  <c r="O3740" i="1"/>
  <c r="Q3739" i="1"/>
  <c r="O3739" i="1"/>
  <c r="Q3738" i="1"/>
  <c r="O3738" i="1"/>
  <c r="Q3737" i="1"/>
  <c r="O3737" i="1"/>
  <c r="Q3736" i="1"/>
  <c r="O3736" i="1"/>
  <c r="Q3735" i="1"/>
  <c r="O3735" i="1"/>
  <c r="Q3734" i="1"/>
  <c r="O3734" i="1"/>
  <c r="Q3733" i="1"/>
  <c r="O3733" i="1"/>
  <c r="Q3732" i="1"/>
  <c r="O3732" i="1"/>
  <c r="Q3731" i="1"/>
  <c r="O3731" i="1"/>
  <c r="Q3730" i="1"/>
  <c r="O3730" i="1"/>
  <c r="Q3729" i="1"/>
  <c r="O3729" i="1"/>
  <c r="Q3728" i="1"/>
  <c r="O3728" i="1"/>
  <c r="Q3727" i="1"/>
  <c r="O3727" i="1"/>
  <c r="Q3726" i="1"/>
  <c r="O3726" i="1"/>
  <c r="Q3725" i="1"/>
  <c r="O3725" i="1"/>
  <c r="Q3724" i="1"/>
  <c r="O3724" i="1"/>
  <c r="Q3723" i="1"/>
  <c r="O3723" i="1"/>
  <c r="Q3722" i="1"/>
  <c r="O3722" i="1"/>
  <c r="Q3721" i="1"/>
  <c r="O3721" i="1"/>
  <c r="Q3720" i="1"/>
  <c r="O3720" i="1"/>
  <c r="Q3719" i="1"/>
  <c r="O3719" i="1"/>
  <c r="Q3718" i="1"/>
  <c r="O3718" i="1"/>
  <c r="Q3717" i="1"/>
  <c r="O3717" i="1"/>
  <c r="Q3716" i="1"/>
  <c r="O3716" i="1"/>
  <c r="Q3715" i="1"/>
  <c r="O3715" i="1"/>
  <c r="Q3714" i="1"/>
  <c r="O3714" i="1"/>
  <c r="Q3713" i="1"/>
  <c r="O3713" i="1"/>
  <c r="Q3712" i="1"/>
  <c r="O3712" i="1"/>
  <c r="Q3711" i="1"/>
  <c r="O3711" i="1"/>
  <c r="Q3710" i="1"/>
  <c r="O3710" i="1"/>
  <c r="Q3709" i="1"/>
  <c r="O3709" i="1"/>
  <c r="Q3708" i="1"/>
  <c r="O3708" i="1"/>
  <c r="Q3707" i="1"/>
  <c r="O3707" i="1"/>
  <c r="Q3706" i="1"/>
  <c r="O3706" i="1"/>
  <c r="Q3705" i="1"/>
  <c r="O3705" i="1"/>
  <c r="Q3704" i="1"/>
  <c r="O3704" i="1"/>
  <c r="Q3703" i="1"/>
  <c r="O3703" i="1"/>
  <c r="Q3702" i="1"/>
  <c r="O3702" i="1"/>
  <c r="Q3701" i="1"/>
  <c r="O3701" i="1"/>
  <c r="Q3700" i="1"/>
  <c r="O3700" i="1"/>
  <c r="Q3699" i="1"/>
  <c r="O3699" i="1"/>
  <c r="Q3698" i="1"/>
  <c r="O3698" i="1"/>
  <c r="Q3697" i="1"/>
  <c r="O3697" i="1"/>
  <c r="Q3696" i="1"/>
  <c r="O3696" i="1"/>
  <c r="Q3695" i="1"/>
  <c r="O3695" i="1"/>
  <c r="Q3694" i="1"/>
  <c r="O3694" i="1"/>
  <c r="Q3693" i="1"/>
  <c r="O3693" i="1"/>
  <c r="Q3692" i="1"/>
  <c r="O3692" i="1"/>
  <c r="Q3691" i="1"/>
  <c r="O3691" i="1"/>
  <c r="Q3690" i="1"/>
  <c r="O3690" i="1"/>
  <c r="Q3689" i="1"/>
  <c r="O3689" i="1"/>
  <c r="Q3688" i="1"/>
  <c r="O3688" i="1"/>
  <c r="Q3687" i="1"/>
  <c r="O3687" i="1"/>
  <c r="Q3686" i="1"/>
  <c r="O3686" i="1"/>
  <c r="Q3685" i="1"/>
  <c r="O3685" i="1"/>
  <c r="Q3684" i="1"/>
  <c r="O3684" i="1"/>
  <c r="Q3683" i="1"/>
  <c r="O3683" i="1"/>
  <c r="Q3682" i="1"/>
  <c r="O3682" i="1"/>
  <c r="Q3681" i="1"/>
  <c r="O3681" i="1"/>
  <c r="Q3680" i="1"/>
  <c r="O3680" i="1"/>
  <c r="Q3679" i="1"/>
  <c r="O3679" i="1"/>
  <c r="Q3678" i="1"/>
  <c r="O3678" i="1"/>
  <c r="Q3677" i="1"/>
  <c r="O3677" i="1"/>
  <c r="Q3676" i="1"/>
  <c r="O3676" i="1"/>
  <c r="Q3675" i="1"/>
  <c r="O3675" i="1"/>
  <c r="Q3674" i="1"/>
  <c r="O3674" i="1"/>
  <c r="Q3673" i="1"/>
  <c r="O3673" i="1"/>
  <c r="Q3672" i="1"/>
  <c r="O3672" i="1"/>
  <c r="Q3671" i="1"/>
  <c r="O3671" i="1"/>
  <c r="Q3670" i="1"/>
  <c r="O3670" i="1"/>
  <c r="Q3669" i="1"/>
  <c r="O3669" i="1"/>
  <c r="Q3668" i="1"/>
  <c r="O3668" i="1"/>
  <c r="Q3667" i="1"/>
  <c r="O3667" i="1"/>
  <c r="Q3666" i="1"/>
  <c r="O3666" i="1"/>
  <c r="Q3665" i="1"/>
  <c r="O3665" i="1"/>
  <c r="Q3664" i="1"/>
  <c r="O3664" i="1"/>
  <c r="Q3663" i="1"/>
  <c r="O3663" i="1"/>
  <c r="Q3662" i="1"/>
  <c r="O3662" i="1"/>
  <c r="Q3661" i="1"/>
  <c r="O3661" i="1"/>
  <c r="Q3660" i="1"/>
  <c r="O3660" i="1"/>
  <c r="Q3659" i="1"/>
  <c r="O3659" i="1"/>
  <c r="Q3658" i="1"/>
  <c r="O3658" i="1"/>
  <c r="Q3657" i="1"/>
  <c r="O3657" i="1"/>
  <c r="Q3656" i="1"/>
  <c r="O3656" i="1"/>
  <c r="Q3655" i="1"/>
  <c r="O3655" i="1"/>
  <c r="Q3654" i="1"/>
  <c r="O3654" i="1"/>
  <c r="Q3653" i="1"/>
  <c r="O3653" i="1"/>
  <c r="Q3652" i="1"/>
  <c r="O3652" i="1"/>
  <c r="Q3651" i="1"/>
  <c r="O3651" i="1"/>
  <c r="Q3650" i="1"/>
  <c r="O3650" i="1"/>
  <c r="Q3649" i="1"/>
  <c r="O3649" i="1"/>
  <c r="Q3648" i="1"/>
  <c r="O3648" i="1"/>
  <c r="Q3647" i="1"/>
  <c r="O3647" i="1"/>
  <c r="Q3646" i="1"/>
  <c r="O3646" i="1"/>
  <c r="Q3645" i="1"/>
  <c r="O3645" i="1"/>
  <c r="Q3644" i="1"/>
  <c r="O3644" i="1"/>
  <c r="Q3643" i="1"/>
  <c r="O3643" i="1"/>
  <c r="Q3642" i="1"/>
  <c r="O3642" i="1"/>
  <c r="Q3641" i="1"/>
  <c r="O3641" i="1"/>
  <c r="Q3640" i="1"/>
  <c r="O3640" i="1"/>
  <c r="Q3639" i="1"/>
  <c r="O3639" i="1"/>
  <c r="Q3638" i="1"/>
  <c r="O3638" i="1"/>
  <c r="Q3637" i="1"/>
  <c r="O3637" i="1"/>
  <c r="Q3636" i="1"/>
  <c r="O3636" i="1"/>
  <c r="Q3635" i="1"/>
  <c r="O3635" i="1"/>
  <c r="Q3634" i="1"/>
  <c r="O3634" i="1"/>
  <c r="Q3633" i="1"/>
  <c r="O3633" i="1"/>
  <c r="Q3632" i="1"/>
  <c r="O3632" i="1"/>
  <c r="Q3631" i="1"/>
  <c r="O3631" i="1"/>
  <c r="Q3630" i="1"/>
  <c r="O3630" i="1"/>
  <c r="Q3629" i="1"/>
  <c r="O3629" i="1"/>
  <c r="Q3628" i="1"/>
  <c r="O3628" i="1"/>
  <c r="Q3627" i="1"/>
  <c r="O3627" i="1"/>
  <c r="Q3626" i="1"/>
  <c r="O3626" i="1"/>
  <c r="Q3625" i="1"/>
  <c r="O3625" i="1"/>
  <c r="Q3624" i="1"/>
  <c r="O3624" i="1"/>
  <c r="Q3623" i="1"/>
  <c r="O3623" i="1"/>
  <c r="Q3622" i="1"/>
  <c r="O3622" i="1"/>
  <c r="Q3621" i="1"/>
  <c r="O3621" i="1"/>
  <c r="Q3620" i="1"/>
  <c r="O3620" i="1"/>
  <c r="Q3619" i="1"/>
  <c r="O3619" i="1"/>
  <c r="Q3618" i="1"/>
  <c r="O3618" i="1"/>
  <c r="Q3617" i="1"/>
  <c r="O3617" i="1"/>
  <c r="Q3616" i="1"/>
  <c r="O3616" i="1"/>
  <c r="Q3615" i="1"/>
  <c r="O3615" i="1"/>
  <c r="Q3614" i="1"/>
  <c r="O3614" i="1"/>
  <c r="Q3613" i="1"/>
  <c r="O3613" i="1"/>
  <c r="Q3612" i="1"/>
  <c r="O3612" i="1"/>
  <c r="Q3611" i="1"/>
  <c r="O3611" i="1"/>
  <c r="Q3610" i="1"/>
  <c r="O3610" i="1"/>
  <c r="Q3609" i="1"/>
  <c r="O3609" i="1"/>
  <c r="Q3608" i="1"/>
  <c r="O3608" i="1"/>
  <c r="Q3607" i="1"/>
  <c r="O3607" i="1"/>
  <c r="Q3606" i="1"/>
  <c r="O3606" i="1"/>
  <c r="Q3605" i="1"/>
  <c r="O3605" i="1"/>
  <c r="Q3604" i="1"/>
  <c r="O3604" i="1"/>
  <c r="Q3603" i="1"/>
  <c r="O3603" i="1"/>
  <c r="Q3602" i="1"/>
  <c r="O3602" i="1"/>
  <c r="Q3601" i="1"/>
  <c r="O3601" i="1"/>
  <c r="Q3600" i="1"/>
  <c r="O3600" i="1"/>
  <c r="Q3599" i="1"/>
  <c r="O3599" i="1"/>
  <c r="Q3598" i="1"/>
  <c r="O3598" i="1"/>
  <c r="Q3597" i="1"/>
  <c r="O3597" i="1"/>
  <c r="Q3596" i="1"/>
  <c r="O3596" i="1"/>
  <c r="Q3595" i="1"/>
  <c r="O3595" i="1"/>
  <c r="Q3594" i="1"/>
  <c r="O3594" i="1"/>
  <c r="Q3593" i="1"/>
  <c r="O3593" i="1"/>
  <c r="Q3592" i="1"/>
  <c r="O3592" i="1"/>
  <c r="Q3591" i="1"/>
  <c r="O3591" i="1"/>
  <c r="Q3590" i="1"/>
  <c r="O3590" i="1"/>
  <c r="Q3589" i="1"/>
  <c r="O3589" i="1"/>
  <c r="Q3588" i="1"/>
  <c r="O3588" i="1"/>
  <c r="Q3587" i="1"/>
  <c r="O3587" i="1"/>
  <c r="Q3586" i="1"/>
  <c r="O3586" i="1"/>
  <c r="Q3585" i="1"/>
  <c r="O3585" i="1"/>
  <c r="Q3584" i="1"/>
  <c r="O3584" i="1"/>
  <c r="Q3583" i="1"/>
  <c r="O3583" i="1"/>
  <c r="Q3582" i="1"/>
  <c r="O3582" i="1"/>
  <c r="Q3581" i="1"/>
  <c r="O3581" i="1"/>
  <c r="Q3580" i="1"/>
  <c r="O3580" i="1"/>
  <c r="Q3579" i="1"/>
  <c r="O3579" i="1"/>
  <c r="Q3578" i="1"/>
  <c r="O3578" i="1"/>
  <c r="Q3577" i="1"/>
  <c r="O3577" i="1"/>
  <c r="Q3576" i="1"/>
  <c r="O3576" i="1"/>
  <c r="Q3575" i="1"/>
  <c r="O3575" i="1"/>
  <c r="Q3574" i="1"/>
  <c r="O3574" i="1"/>
  <c r="Q3573" i="1"/>
  <c r="O3573" i="1"/>
  <c r="Q3572" i="1"/>
  <c r="O3572" i="1"/>
  <c r="Q3571" i="1"/>
  <c r="O3571" i="1"/>
  <c r="Q3570" i="1"/>
  <c r="O3570" i="1"/>
  <c r="Q3569" i="1"/>
  <c r="O3569" i="1"/>
  <c r="Q3568" i="1"/>
  <c r="O3568" i="1"/>
  <c r="Q3567" i="1"/>
  <c r="O3567" i="1"/>
  <c r="Q3566" i="1"/>
  <c r="O3566" i="1"/>
  <c r="Q3565" i="1"/>
  <c r="O3565" i="1"/>
  <c r="Q3564" i="1"/>
  <c r="O3564" i="1"/>
  <c r="Q3563" i="1"/>
  <c r="O3563" i="1"/>
  <c r="Q3562" i="1"/>
  <c r="O3562" i="1"/>
  <c r="Q3561" i="1"/>
  <c r="O3561" i="1"/>
  <c r="Q3560" i="1"/>
  <c r="O3560" i="1"/>
  <c r="Q3559" i="1"/>
  <c r="O3559" i="1"/>
  <c r="Q3558" i="1"/>
  <c r="O3558" i="1"/>
  <c r="Q3557" i="1"/>
  <c r="O3557" i="1"/>
  <c r="Q3556" i="1"/>
  <c r="O3556" i="1"/>
  <c r="Q3555" i="1"/>
  <c r="O3555" i="1"/>
  <c r="Q3554" i="1"/>
  <c r="O3554" i="1"/>
  <c r="Q3553" i="1"/>
  <c r="O3553" i="1"/>
  <c r="Q3552" i="1"/>
  <c r="O3552" i="1"/>
  <c r="Q3551" i="1"/>
  <c r="O3551" i="1"/>
  <c r="Q3550" i="1"/>
  <c r="O3550" i="1"/>
  <c r="Q3549" i="1"/>
  <c r="O3549" i="1"/>
  <c r="Q3548" i="1"/>
  <c r="O3548" i="1"/>
  <c r="Q3547" i="1"/>
  <c r="O3547" i="1"/>
  <c r="Q3546" i="1"/>
  <c r="O3546" i="1"/>
  <c r="Q3545" i="1"/>
  <c r="O3545" i="1"/>
  <c r="Q3544" i="1"/>
  <c r="O3544" i="1"/>
  <c r="Q3543" i="1"/>
  <c r="O3543" i="1"/>
  <c r="Q3542" i="1"/>
  <c r="O3542" i="1"/>
  <c r="Q3541" i="1"/>
  <c r="O3541" i="1"/>
  <c r="Q3540" i="1"/>
  <c r="O3540" i="1"/>
  <c r="Q3539" i="1"/>
  <c r="O3539" i="1"/>
  <c r="Q3538" i="1"/>
  <c r="O3538" i="1"/>
  <c r="Q3537" i="1"/>
  <c r="O3537" i="1"/>
  <c r="Q3536" i="1"/>
  <c r="O3536" i="1"/>
  <c r="Q3535" i="1"/>
  <c r="O3535" i="1"/>
  <c r="Q3534" i="1"/>
  <c r="O3534" i="1"/>
  <c r="Q3533" i="1"/>
  <c r="O3533" i="1"/>
  <c r="Q3532" i="1"/>
  <c r="O3532" i="1"/>
  <c r="Q3531" i="1"/>
  <c r="O3531" i="1"/>
  <c r="Q3530" i="1"/>
  <c r="O3530" i="1"/>
  <c r="Q3529" i="1"/>
  <c r="O3529" i="1"/>
  <c r="Q3528" i="1"/>
  <c r="O3528" i="1"/>
  <c r="Q3527" i="1"/>
  <c r="O3527" i="1"/>
  <c r="Q3526" i="1"/>
  <c r="O3526" i="1"/>
  <c r="Q3525" i="1"/>
  <c r="O3525" i="1"/>
  <c r="Q3524" i="1"/>
  <c r="O3524" i="1"/>
  <c r="Q3523" i="1"/>
  <c r="O3523" i="1"/>
  <c r="Q3522" i="1"/>
  <c r="O3522" i="1"/>
  <c r="Q3521" i="1"/>
  <c r="O3521" i="1"/>
  <c r="Q3520" i="1"/>
  <c r="O3520" i="1"/>
  <c r="Q3519" i="1"/>
  <c r="O3519" i="1"/>
  <c r="Q3518" i="1"/>
  <c r="O3518" i="1"/>
  <c r="Q3517" i="1"/>
  <c r="O3517" i="1"/>
  <c r="Q3516" i="1"/>
  <c r="O3516" i="1"/>
  <c r="Q3515" i="1"/>
  <c r="O3515" i="1"/>
  <c r="Q3514" i="1"/>
  <c r="O3514" i="1"/>
  <c r="Q3513" i="1"/>
  <c r="O3513" i="1"/>
  <c r="Q3512" i="1"/>
  <c r="O3512" i="1"/>
  <c r="Q3511" i="1"/>
  <c r="O3511" i="1"/>
  <c r="Q3510" i="1"/>
  <c r="O3510" i="1"/>
  <c r="Q3509" i="1"/>
  <c r="O3509" i="1"/>
  <c r="Q3508" i="1"/>
  <c r="O3508" i="1"/>
  <c r="Q3507" i="1"/>
  <c r="O3507" i="1"/>
  <c r="Q3506" i="1"/>
  <c r="O3506" i="1"/>
  <c r="Q3505" i="1"/>
  <c r="O3505" i="1"/>
  <c r="Q3504" i="1"/>
  <c r="O3504" i="1"/>
  <c r="Q3503" i="1"/>
  <c r="O3503" i="1"/>
  <c r="Q3502" i="1"/>
  <c r="O3502" i="1"/>
  <c r="Q3501" i="1"/>
  <c r="O3501" i="1"/>
  <c r="Q3500" i="1"/>
  <c r="O3500" i="1"/>
  <c r="Q3499" i="1"/>
  <c r="O3499" i="1"/>
  <c r="Q3498" i="1"/>
  <c r="O3498" i="1"/>
  <c r="Q3497" i="1"/>
  <c r="O3497" i="1"/>
  <c r="Q3496" i="1"/>
  <c r="O3496" i="1"/>
  <c r="Q3495" i="1"/>
  <c r="O3495" i="1"/>
  <c r="Q3494" i="1"/>
  <c r="O3494" i="1"/>
  <c r="Q3493" i="1"/>
  <c r="O3493" i="1"/>
  <c r="Q3492" i="1"/>
  <c r="O3492" i="1"/>
  <c r="Q3491" i="1"/>
  <c r="O3491" i="1"/>
  <c r="Q3490" i="1"/>
  <c r="O3490" i="1"/>
  <c r="Q3489" i="1"/>
  <c r="O3489" i="1"/>
  <c r="Q3488" i="1"/>
  <c r="O3488" i="1"/>
  <c r="Q3487" i="1"/>
  <c r="O3487" i="1"/>
  <c r="Q3486" i="1"/>
  <c r="O3486" i="1"/>
  <c r="Q3485" i="1"/>
  <c r="O3485" i="1"/>
  <c r="Q3484" i="1"/>
  <c r="O3484" i="1"/>
  <c r="Q3483" i="1"/>
  <c r="O3483" i="1"/>
  <c r="Q3482" i="1"/>
  <c r="O3482" i="1"/>
  <c r="Q3481" i="1"/>
  <c r="O3481" i="1"/>
  <c r="Q3480" i="1"/>
  <c r="O3480" i="1"/>
  <c r="Q3479" i="1"/>
  <c r="O3479" i="1"/>
  <c r="Q3478" i="1"/>
  <c r="O3478" i="1"/>
  <c r="Q3477" i="1"/>
  <c r="O3477" i="1"/>
  <c r="Q3476" i="1"/>
  <c r="O3476" i="1"/>
  <c r="Q3475" i="1"/>
  <c r="O3475" i="1"/>
  <c r="Q3474" i="1"/>
  <c r="O3474" i="1"/>
  <c r="Q3473" i="1"/>
  <c r="O3473" i="1"/>
  <c r="Q3472" i="1"/>
  <c r="O3472" i="1"/>
  <c r="Q3471" i="1"/>
  <c r="O3471" i="1"/>
  <c r="Q3470" i="1"/>
  <c r="O3470" i="1"/>
  <c r="Q3469" i="1"/>
  <c r="O3469" i="1"/>
  <c r="Q3468" i="1"/>
  <c r="O3468" i="1"/>
  <c r="Q3467" i="1"/>
  <c r="O3467" i="1"/>
  <c r="Q3466" i="1"/>
  <c r="O3466" i="1"/>
  <c r="Q3465" i="1"/>
  <c r="O3465" i="1"/>
  <c r="Q3464" i="1"/>
  <c r="O3464" i="1"/>
  <c r="Q3463" i="1"/>
  <c r="O3463" i="1"/>
  <c r="Q3462" i="1"/>
  <c r="O3462" i="1"/>
  <c r="Q3461" i="1"/>
  <c r="O3461" i="1"/>
  <c r="Q3460" i="1"/>
  <c r="O3460" i="1"/>
  <c r="Q3459" i="1"/>
  <c r="O3459" i="1"/>
  <c r="Q3458" i="1"/>
  <c r="O3458" i="1"/>
  <c r="Q3457" i="1"/>
  <c r="O3457" i="1"/>
  <c r="Q3456" i="1"/>
  <c r="O3456" i="1"/>
  <c r="Q3455" i="1"/>
  <c r="O3455" i="1"/>
  <c r="Q3454" i="1"/>
  <c r="O3454" i="1"/>
  <c r="Q3453" i="1"/>
  <c r="O3453" i="1"/>
  <c r="Q3452" i="1"/>
  <c r="O3452" i="1"/>
  <c r="Q3451" i="1"/>
  <c r="O3451" i="1"/>
  <c r="Q3450" i="1"/>
  <c r="O3450" i="1"/>
  <c r="Q3449" i="1"/>
  <c r="O3449" i="1"/>
  <c r="Q3448" i="1"/>
  <c r="O3448" i="1"/>
  <c r="Q3447" i="1"/>
  <c r="O3447" i="1"/>
  <c r="Q3446" i="1"/>
  <c r="O3446" i="1"/>
  <c r="Q3445" i="1"/>
  <c r="O3445" i="1"/>
  <c r="Q3444" i="1"/>
  <c r="O3444" i="1"/>
  <c r="Q3443" i="1"/>
  <c r="O3443" i="1"/>
  <c r="Q3442" i="1"/>
  <c r="O3442" i="1"/>
  <c r="Q3441" i="1"/>
  <c r="O3441" i="1"/>
  <c r="Q3440" i="1"/>
  <c r="O3440" i="1"/>
  <c r="Q3439" i="1"/>
  <c r="O3439" i="1"/>
  <c r="Q3438" i="1"/>
  <c r="O3438" i="1"/>
  <c r="Q3437" i="1"/>
  <c r="O3437" i="1"/>
  <c r="Q3436" i="1"/>
  <c r="O3436" i="1"/>
  <c r="Q3435" i="1"/>
  <c r="O3435" i="1"/>
  <c r="Q3434" i="1"/>
  <c r="O3434" i="1"/>
  <c r="Q3433" i="1"/>
  <c r="O3433" i="1"/>
  <c r="Q3432" i="1"/>
  <c r="O3432" i="1"/>
  <c r="Q3431" i="1"/>
  <c r="O3431" i="1"/>
  <c r="Q3430" i="1"/>
  <c r="O3430" i="1"/>
  <c r="Q3429" i="1"/>
  <c r="O3429" i="1"/>
  <c r="Q3428" i="1"/>
  <c r="O3428" i="1"/>
  <c r="Q3427" i="1"/>
  <c r="O3427" i="1"/>
  <c r="Q3426" i="1"/>
  <c r="O3426" i="1"/>
  <c r="Q3425" i="1"/>
  <c r="O3425" i="1"/>
  <c r="Q3424" i="1"/>
  <c r="O3424" i="1"/>
  <c r="Q3423" i="1"/>
  <c r="O3423" i="1"/>
  <c r="Q3422" i="1"/>
  <c r="O3422" i="1"/>
  <c r="Q3421" i="1"/>
  <c r="O3421" i="1"/>
  <c r="Q3420" i="1"/>
  <c r="O3420" i="1"/>
  <c r="Q3419" i="1"/>
  <c r="O3419" i="1"/>
  <c r="Q3418" i="1"/>
  <c r="O3418" i="1"/>
  <c r="Q3417" i="1"/>
  <c r="O3417" i="1"/>
  <c r="Q3416" i="1"/>
  <c r="O3416" i="1"/>
  <c r="Q3415" i="1"/>
  <c r="O3415" i="1"/>
  <c r="Q3414" i="1"/>
  <c r="O3414" i="1"/>
  <c r="Q3413" i="1"/>
  <c r="O3413" i="1"/>
  <c r="Q3412" i="1"/>
  <c r="O3412" i="1"/>
  <c r="Q3411" i="1"/>
  <c r="O3411" i="1"/>
  <c r="Q3410" i="1"/>
  <c r="O3410" i="1"/>
  <c r="Q3409" i="1"/>
  <c r="O3409" i="1"/>
  <c r="Q3408" i="1"/>
  <c r="O3408" i="1"/>
  <c r="Q3407" i="1"/>
  <c r="O3407" i="1"/>
  <c r="Q3406" i="1"/>
  <c r="O3406" i="1"/>
  <c r="Q3405" i="1"/>
  <c r="O3405" i="1"/>
  <c r="Q3404" i="1"/>
  <c r="O3404" i="1"/>
  <c r="Q3403" i="1"/>
  <c r="O3403" i="1"/>
  <c r="Q3402" i="1"/>
  <c r="O3402" i="1"/>
  <c r="Q3401" i="1"/>
  <c r="O3401" i="1"/>
  <c r="Q3400" i="1"/>
  <c r="O3400" i="1"/>
  <c r="Q3399" i="1"/>
  <c r="O3399" i="1"/>
  <c r="Q3398" i="1"/>
  <c r="O3398" i="1"/>
  <c r="Q3397" i="1"/>
  <c r="O3397" i="1"/>
  <c r="Q3396" i="1"/>
  <c r="O3396" i="1"/>
  <c r="Q3395" i="1"/>
  <c r="O3395" i="1"/>
  <c r="Q3394" i="1"/>
  <c r="O3394" i="1"/>
  <c r="Q3393" i="1"/>
  <c r="O3393" i="1"/>
  <c r="Q3392" i="1"/>
  <c r="O3392" i="1"/>
  <c r="Q3391" i="1"/>
  <c r="O3391" i="1"/>
  <c r="Q3390" i="1"/>
  <c r="O3390" i="1"/>
  <c r="Q3389" i="1"/>
  <c r="O3389" i="1"/>
  <c r="Q3388" i="1"/>
  <c r="O3388" i="1"/>
  <c r="Q3387" i="1"/>
  <c r="O3387" i="1"/>
  <c r="Q3386" i="1"/>
  <c r="O3386" i="1"/>
  <c r="Q3385" i="1"/>
  <c r="O3385" i="1"/>
  <c r="Q3384" i="1"/>
  <c r="O3384" i="1"/>
  <c r="Q3383" i="1"/>
  <c r="O3383" i="1"/>
  <c r="Q3382" i="1"/>
  <c r="O3382" i="1"/>
  <c r="Q3381" i="1"/>
  <c r="O3381" i="1"/>
  <c r="Q3380" i="1"/>
  <c r="O3380" i="1"/>
  <c r="Q3379" i="1"/>
  <c r="O3379" i="1"/>
  <c r="Q3378" i="1"/>
  <c r="O3378" i="1"/>
  <c r="Q3377" i="1"/>
  <c r="O3377" i="1"/>
  <c r="Q3376" i="1"/>
  <c r="O3376" i="1"/>
  <c r="Q3375" i="1"/>
  <c r="O3375" i="1"/>
  <c r="Q3374" i="1"/>
  <c r="O3374" i="1"/>
  <c r="Q3373" i="1"/>
  <c r="O3373" i="1"/>
  <c r="Q3372" i="1"/>
  <c r="O3372" i="1"/>
  <c r="Q3371" i="1"/>
  <c r="O3371" i="1"/>
  <c r="Q3370" i="1"/>
  <c r="O3370" i="1"/>
  <c r="Q3369" i="1"/>
  <c r="O3369" i="1"/>
  <c r="Q3368" i="1"/>
  <c r="O3368" i="1"/>
  <c r="Q3367" i="1"/>
  <c r="O3367" i="1"/>
  <c r="Q3366" i="1"/>
  <c r="O3366" i="1"/>
  <c r="Q3365" i="1"/>
  <c r="O3365" i="1"/>
  <c r="Q3364" i="1"/>
  <c r="O3364" i="1"/>
  <c r="Q3363" i="1"/>
  <c r="O3363" i="1"/>
  <c r="Q3362" i="1"/>
  <c r="O3362" i="1"/>
  <c r="Q3361" i="1"/>
  <c r="O3361" i="1"/>
  <c r="Q3360" i="1"/>
  <c r="O3360" i="1"/>
  <c r="Q3359" i="1"/>
  <c r="O3359" i="1"/>
  <c r="Q3358" i="1"/>
  <c r="O3358" i="1"/>
  <c r="Q3357" i="1"/>
  <c r="O3357" i="1"/>
  <c r="Q3356" i="1"/>
  <c r="O3356" i="1"/>
  <c r="Q3355" i="1"/>
  <c r="O3355" i="1"/>
  <c r="Q3354" i="1"/>
  <c r="O3354" i="1"/>
  <c r="Q3353" i="1"/>
  <c r="O3353" i="1"/>
  <c r="Q3352" i="1"/>
  <c r="O3352" i="1"/>
  <c r="Q3351" i="1"/>
  <c r="O3351" i="1"/>
  <c r="Q3350" i="1"/>
  <c r="O3350" i="1"/>
  <c r="Q3349" i="1"/>
  <c r="O3349" i="1"/>
  <c r="Q3348" i="1"/>
  <c r="O3348" i="1"/>
  <c r="Q3347" i="1"/>
  <c r="O3347" i="1"/>
  <c r="Q3346" i="1"/>
  <c r="O3346" i="1"/>
  <c r="Q3345" i="1"/>
  <c r="O3345" i="1"/>
  <c r="Q3344" i="1"/>
  <c r="O3344" i="1"/>
  <c r="Q3343" i="1"/>
  <c r="O3343" i="1"/>
  <c r="Q3342" i="1"/>
  <c r="O3342" i="1"/>
  <c r="Q3341" i="1"/>
  <c r="O3341" i="1"/>
  <c r="Q3340" i="1"/>
  <c r="O3340" i="1"/>
  <c r="Q3339" i="1"/>
  <c r="O3339" i="1"/>
  <c r="Q3338" i="1"/>
  <c r="O3338" i="1"/>
  <c r="Q3337" i="1"/>
  <c r="O3337" i="1"/>
  <c r="Q3336" i="1"/>
  <c r="O3336" i="1"/>
  <c r="Q3335" i="1"/>
  <c r="O3335" i="1"/>
  <c r="Q3334" i="1"/>
  <c r="O3334" i="1"/>
  <c r="Q3333" i="1"/>
  <c r="O3333" i="1"/>
  <c r="Q3332" i="1"/>
  <c r="O3332" i="1"/>
  <c r="Q3331" i="1"/>
  <c r="O3331" i="1"/>
  <c r="Q3330" i="1"/>
  <c r="O3330" i="1"/>
  <c r="Q3329" i="1"/>
  <c r="O3329" i="1"/>
  <c r="Q3328" i="1"/>
  <c r="O3328" i="1"/>
  <c r="Q3327" i="1"/>
  <c r="O3327" i="1"/>
  <c r="Q3326" i="1"/>
  <c r="O3326" i="1"/>
  <c r="Q3325" i="1"/>
  <c r="O3325" i="1"/>
  <c r="Q3324" i="1"/>
  <c r="O3324" i="1"/>
  <c r="Q3323" i="1"/>
  <c r="O3323" i="1"/>
  <c r="Q3322" i="1"/>
  <c r="O3322" i="1"/>
  <c r="Q3321" i="1"/>
  <c r="O3321" i="1"/>
  <c r="Q3320" i="1"/>
  <c r="O3320" i="1"/>
  <c r="Q3319" i="1"/>
  <c r="O3319" i="1"/>
  <c r="Q3318" i="1"/>
  <c r="O3318" i="1"/>
  <c r="Q3317" i="1"/>
  <c r="O3317" i="1"/>
  <c r="Q3316" i="1"/>
  <c r="O3316" i="1"/>
  <c r="Q3315" i="1"/>
  <c r="O3315" i="1"/>
  <c r="Q3314" i="1"/>
  <c r="O3314" i="1"/>
  <c r="Q3313" i="1"/>
  <c r="O3313" i="1"/>
  <c r="Q3312" i="1"/>
  <c r="O3312" i="1"/>
  <c r="Q3311" i="1"/>
  <c r="O3311" i="1"/>
  <c r="Q3310" i="1"/>
  <c r="O3310" i="1"/>
  <c r="Q3309" i="1"/>
  <c r="O3309" i="1"/>
  <c r="Q3308" i="1"/>
  <c r="O3308" i="1"/>
  <c r="Q3307" i="1"/>
  <c r="O3307" i="1"/>
  <c r="Q3306" i="1"/>
  <c r="O3306" i="1"/>
  <c r="Q3305" i="1"/>
  <c r="O3305" i="1"/>
  <c r="Q3304" i="1"/>
  <c r="O3304" i="1"/>
  <c r="Q3303" i="1"/>
  <c r="O3303" i="1"/>
  <c r="Q3302" i="1"/>
  <c r="O3302" i="1"/>
  <c r="Q3301" i="1"/>
  <c r="O3301" i="1"/>
  <c r="Q3300" i="1"/>
  <c r="O3300" i="1"/>
  <c r="Q3299" i="1"/>
  <c r="O3299" i="1"/>
  <c r="Q3298" i="1"/>
  <c r="O3298" i="1"/>
  <c r="Q3297" i="1"/>
  <c r="O3297" i="1"/>
  <c r="Q3296" i="1"/>
  <c r="O3296" i="1"/>
  <c r="Q3295" i="1"/>
  <c r="O3295" i="1"/>
  <c r="Q3294" i="1"/>
  <c r="O3294" i="1"/>
  <c r="Q3293" i="1"/>
  <c r="O3293" i="1"/>
  <c r="Q3292" i="1"/>
  <c r="O3292" i="1"/>
  <c r="Q3291" i="1"/>
  <c r="O3291" i="1"/>
  <c r="Q3290" i="1"/>
  <c r="O3290" i="1"/>
  <c r="Q3289" i="1"/>
  <c r="O3289" i="1"/>
  <c r="Q3288" i="1"/>
  <c r="O3288" i="1"/>
  <c r="Q3287" i="1"/>
  <c r="O3287" i="1"/>
  <c r="Q3286" i="1"/>
  <c r="O3286" i="1"/>
  <c r="Q3285" i="1"/>
  <c r="O3285" i="1"/>
  <c r="Q3284" i="1"/>
  <c r="O3284" i="1"/>
  <c r="Q3283" i="1"/>
  <c r="O3283" i="1"/>
  <c r="Q3282" i="1"/>
  <c r="O3282" i="1"/>
  <c r="Q3281" i="1"/>
  <c r="O3281" i="1"/>
  <c r="Q3280" i="1"/>
  <c r="O3280" i="1"/>
  <c r="Q3279" i="1"/>
  <c r="O3279" i="1"/>
  <c r="Q3278" i="1"/>
  <c r="O3278" i="1"/>
  <c r="Q3277" i="1"/>
  <c r="O3277" i="1"/>
  <c r="Q3276" i="1"/>
  <c r="O3276" i="1"/>
  <c r="Q3275" i="1"/>
  <c r="O3275" i="1"/>
  <c r="Q3274" i="1"/>
  <c r="O3274" i="1"/>
  <c r="Q3273" i="1"/>
  <c r="O3273" i="1"/>
  <c r="Q3272" i="1"/>
  <c r="O3272" i="1"/>
  <c r="Q3271" i="1"/>
  <c r="O3271" i="1"/>
  <c r="Q3270" i="1"/>
  <c r="O3270" i="1"/>
  <c r="Q3269" i="1"/>
  <c r="O3269" i="1"/>
  <c r="Q3268" i="1"/>
  <c r="O3268" i="1"/>
  <c r="Q3267" i="1"/>
  <c r="O3267" i="1"/>
  <c r="Q3266" i="1"/>
  <c r="O3266" i="1"/>
  <c r="Q3265" i="1"/>
  <c r="O3265" i="1"/>
  <c r="Q3264" i="1"/>
  <c r="O3264" i="1"/>
  <c r="Q3263" i="1"/>
  <c r="O3263" i="1"/>
  <c r="Q3262" i="1"/>
  <c r="O3262" i="1"/>
  <c r="Q3261" i="1"/>
  <c r="O3261" i="1"/>
  <c r="Q3260" i="1"/>
  <c r="O3260" i="1"/>
  <c r="Q3259" i="1"/>
  <c r="O3259" i="1"/>
  <c r="Q3258" i="1"/>
  <c r="O3258" i="1"/>
  <c r="Q3257" i="1"/>
  <c r="O3257" i="1"/>
  <c r="Q3256" i="1"/>
  <c r="O3256" i="1"/>
  <c r="Q3255" i="1"/>
  <c r="O3255" i="1"/>
  <c r="Q3254" i="1"/>
  <c r="O3254" i="1"/>
  <c r="Q3253" i="1"/>
  <c r="O3253" i="1"/>
  <c r="Q3252" i="1"/>
  <c r="O3252" i="1"/>
  <c r="Q3251" i="1"/>
  <c r="O3251" i="1"/>
  <c r="Q3250" i="1"/>
  <c r="O3250" i="1"/>
  <c r="Q3249" i="1"/>
  <c r="O3249" i="1"/>
  <c r="Q3248" i="1"/>
  <c r="O3248" i="1"/>
  <c r="Q3247" i="1"/>
  <c r="O3247" i="1"/>
  <c r="Q3246" i="1"/>
  <c r="O3246" i="1"/>
  <c r="Q3245" i="1"/>
  <c r="O3245" i="1"/>
  <c r="Q3244" i="1"/>
  <c r="O3244" i="1"/>
  <c r="Q3243" i="1"/>
  <c r="O3243" i="1"/>
  <c r="Q3242" i="1"/>
  <c r="O3242" i="1"/>
  <c r="Q3241" i="1"/>
  <c r="O3241" i="1"/>
  <c r="Q3240" i="1"/>
  <c r="O3240" i="1"/>
  <c r="Q3239" i="1"/>
  <c r="O3239" i="1"/>
  <c r="Q3238" i="1"/>
  <c r="O3238" i="1"/>
  <c r="Q3237" i="1"/>
  <c r="O3237" i="1"/>
  <c r="Q3236" i="1"/>
  <c r="O3236" i="1"/>
  <c r="Q3235" i="1"/>
  <c r="O3235" i="1"/>
  <c r="Q3234" i="1"/>
  <c r="O3234" i="1"/>
  <c r="Q3233" i="1"/>
  <c r="O3233" i="1"/>
  <c r="Q3232" i="1"/>
  <c r="O3232" i="1"/>
  <c r="Q3231" i="1"/>
  <c r="O3231" i="1"/>
  <c r="Q3230" i="1"/>
  <c r="O3230" i="1"/>
  <c r="Q3229" i="1"/>
  <c r="O3229" i="1"/>
  <c r="Q3228" i="1"/>
  <c r="O3228" i="1"/>
  <c r="Q3227" i="1"/>
  <c r="O3227" i="1"/>
  <c r="Q3226" i="1"/>
  <c r="O3226" i="1"/>
  <c r="Q3225" i="1"/>
  <c r="O3225" i="1"/>
  <c r="Q3224" i="1"/>
  <c r="O3224" i="1"/>
  <c r="Q3223" i="1"/>
  <c r="O3223" i="1"/>
  <c r="Q3222" i="1"/>
  <c r="O3222" i="1"/>
  <c r="Q3221" i="1"/>
  <c r="O3221" i="1"/>
  <c r="Q3220" i="1"/>
  <c r="O3220" i="1"/>
  <c r="Q3219" i="1"/>
  <c r="O3219" i="1"/>
  <c r="Q3218" i="1"/>
  <c r="O3218" i="1"/>
  <c r="Q3217" i="1"/>
  <c r="O3217" i="1"/>
  <c r="Q3216" i="1"/>
  <c r="O3216" i="1"/>
  <c r="Q3215" i="1"/>
  <c r="O3215" i="1"/>
  <c r="Q3214" i="1"/>
  <c r="O3214" i="1"/>
  <c r="Q3213" i="1"/>
  <c r="O3213" i="1"/>
  <c r="Q3212" i="1"/>
  <c r="O3212" i="1"/>
  <c r="Q3211" i="1"/>
  <c r="O3211" i="1"/>
  <c r="Q3210" i="1"/>
  <c r="O3210" i="1"/>
  <c r="Q3209" i="1"/>
  <c r="O3209" i="1"/>
  <c r="Q3208" i="1"/>
  <c r="O3208" i="1"/>
  <c r="Q3207" i="1"/>
  <c r="O3207" i="1"/>
  <c r="Q3206" i="1"/>
  <c r="O3206" i="1"/>
  <c r="Q3205" i="1"/>
  <c r="O3205" i="1"/>
  <c r="Q3204" i="1"/>
  <c r="O3204" i="1"/>
  <c r="Q3203" i="1"/>
  <c r="O3203" i="1"/>
  <c r="Q3202" i="1"/>
  <c r="O3202" i="1"/>
  <c r="Q3201" i="1"/>
  <c r="O3201" i="1"/>
  <c r="Q3200" i="1"/>
  <c r="O3200" i="1"/>
  <c r="Q3199" i="1"/>
  <c r="O3199" i="1"/>
  <c r="Q3198" i="1"/>
  <c r="O3198" i="1"/>
  <c r="Q3197" i="1"/>
  <c r="O3197" i="1"/>
  <c r="Q3196" i="1"/>
  <c r="O3196" i="1"/>
  <c r="Q3195" i="1"/>
  <c r="O3195" i="1"/>
  <c r="Q3194" i="1"/>
  <c r="O3194" i="1"/>
  <c r="Q3193" i="1"/>
  <c r="O3193" i="1"/>
  <c r="Q3192" i="1"/>
  <c r="O3192" i="1"/>
  <c r="Q3191" i="1"/>
  <c r="O3191" i="1"/>
  <c r="Q3190" i="1"/>
  <c r="O3190" i="1"/>
  <c r="Q3189" i="1"/>
  <c r="O3189" i="1"/>
  <c r="Q3188" i="1"/>
  <c r="O3188" i="1"/>
  <c r="Q3187" i="1"/>
  <c r="O3187" i="1"/>
  <c r="Q3186" i="1"/>
  <c r="O3186" i="1"/>
  <c r="Q3185" i="1"/>
  <c r="O3185" i="1"/>
  <c r="Q3184" i="1"/>
  <c r="O3184" i="1"/>
  <c r="Q3183" i="1"/>
  <c r="O3183" i="1"/>
  <c r="Q3182" i="1"/>
  <c r="O3182" i="1"/>
  <c r="Q3181" i="1"/>
  <c r="O3181" i="1"/>
  <c r="Q3180" i="1"/>
  <c r="O3180" i="1"/>
  <c r="Q3179" i="1"/>
  <c r="O3179" i="1"/>
  <c r="Q3178" i="1"/>
  <c r="O3178" i="1"/>
  <c r="Q3177" i="1"/>
  <c r="O3177" i="1"/>
  <c r="Q3176" i="1"/>
  <c r="O3176" i="1"/>
  <c r="Q3175" i="1"/>
  <c r="O3175" i="1"/>
  <c r="Q3174" i="1"/>
  <c r="O3174" i="1"/>
  <c r="Q3173" i="1"/>
  <c r="O3173" i="1"/>
  <c r="Q3172" i="1"/>
  <c r="O3172" i="1"/>
  <c r="Q3171" i="1"/>
  <c r="O3171" i="1"/>
  <c r="Q3170" i="1"/>
  <c r="O3170" i="1"/>
  <c r="Q3169" i="1"/>
  <c r="O3169" i="1"/>
  <c r="Q3168" i="1"/>
  <c r="O3168" i="1"/>
  <c r="Q3167" i="1"/>
  <c r="O3167" i="1"/>
  <c r="Q3166" i="1"/>
  <c r="O3166" i="1"/>
  <c r="Q3165" i="1"/>
  <c r="O3165" i="1"/>
  <c r="Q3164" i="1"/>
  <c r="O3164" i="1"/>
  <c r="Q3163" i="1"/>
  <c r="O3163" i="1"/>
  <c r="Q3162" i="1"/>
  <c r="O3162" i="1"/>
  <c r="Q3161" i="1"/>
  <c r="O3161" i="1"/>
  <c r="Q3160" i="1"/>
  <c r="O3160" i="1"/>
  <c r="Q3159" i="1"/>
  <c r="O3159" i="1"/>
  <c r="Q3158" i="1"/>
  <c r="O3158" i="1"/>
  <c r="Q3157" i="1"/>
  <c r="O3157" i="1"/>
  <c r="Q3156" i="1"/>
  <c r="O3156" i="1"/>
  <c r="Q3155" i="1"/>
  <c r="O3155" i="1"/>
  <c r="Q3154" i="1"/>
  <c r="O3154" i="1"/>
  <c r="Q3153" i="1"/>
  <c r="O3153" i="1"/>
  <c r="Q3152" i="1"/>
  <c r="O3152" i="1"/>
  <c r="Q3151" i="1"/>
  <c r="O3151" i="1"/>
  <c r="Q3150" i="1"/>
  <c r="O3150" i="1"/>
  <c r="Q3149" i="1"/>
  <c r="O3149" i="1"/>
  <c r="Q3148" i="1"/>
  <c r="O3148" i="1"/>
  <c r="Q3147" i="1"/>
  <c r="O3147" i="1"/>
  <c r="Q3146" i="1"/>
  <c r="O3146" i="1"/>
  <c r="Q3145" i="1"/>
  <c r="O3145" i="1"/>
  <c r="Q3144" i="1"/>
  <c r="O3144" i="1"/>
  <c r="Q3143" i="1"/>
  <c r="O3143" i="1"/>
  <c r="Q3142" i="1"/>
  <c r="O3142" i="1"/>
  <c r="Q3141" i="1"/>
  <c r="O3141" i="1"/>
  <c r="Q3140" i="1"/>
  <c r="O3140" i="1"/>
  <c r="Q3139" i="1"/>
  <c r="O3139" i="1"/>
  <c r="Q3138" i="1"/>
  <c r="O3138" i="1"/>
  <c r="Q3137" i="1"/>
  <c r="O3137" i="1"/>
  <c r="Q3136" i="1"/>
  <c r="O3136" i="1"/>
  <c r="Q3135" i="1"/>
  <c r="O3135" i="1"/>
  <c r="Q3134" i="1"/>
  <c r="O3134" i="1"/>
  <c r="Q3133" i="1"/>
  <c r="O3133" i="1"/>
  <c r="Q3132" i="1"/>
  <c r="O3132" i="1"/>
  <c r="Q3131" i="1"/>
  <c r="O3131" i="1"/>
  <c r="Q3130" i="1"/>
  <c r="O3130" i="1"/>
  <c r="Q3129" i="1"/>
  <c r="O3129" i="1"/>
  <c r="Q3128" i="1"/>
  <c r="O3128" i="1"/>
  <c r="Q3127" i="1"/>
  <c r="O3127" i="1"/>
  <c r="Q3126" i="1"/>
  <c r="O3126" i="1"/>
  <c r="Q3125" i="1"/>
  <c r="O3125" i="1"/>
  <c r="Q3124" i="1"/>
  <c r="O3124" i="1"/>
  <c r="Q3123" i="1"/>
  <c r="O3123" i="1"/>
  <c r="Q3122" i="1"/>
  <c r="O3122" i="1"/>
  <c r="Q3121" i="1"/>
  <c r="O3121" i="1"/>
  <c r="Q3120" i="1"/>
  <c r="O3120" i="1"/>
  <c r="Q3119" i="1"/>
  <c r="O3119" i="1"/>
  <c r="Q3118" i="1"/>
  <c r="O3118" i="1"/>
  <c r="Q3117" i="1"/>
  <c r="O3117" i="1"/>
  <c r="Q3116" i="1"/>
  <c r="O3116" i="1"/>
  <c r="Q3115" i="1"/>
  <c r="O3115" i="1"/>
  <c r="Q3114" i="1"/>
  <c r="O3114" i="1"/>
  <c r="Q3113" i="1"/>
  <c r="O3113" i="1"/>
  <c r="Q3112" i="1"/>
  <c r="O3112" i="1"/>
  <c r="Q3111" i="1"/>
  <c r="O3111" i="1"/>
  <c r="Q3110" i="1"/>
  <c r="O3110" i="1"/>
  <c r="Q3109" i="1"/>
  <c r="O3109" i="1"/>
  <c r="Q3108" i="1"/>
  <c r="O3108" i="1"/>
  <c r="Q3107" i="1"/>
  <c r="O3107" i="1"/>
  <c r="Q3106" i="1"/>
  <c r="O3106" i="1"/>
  <c r="Q3105" i="1"/>
  <c r="O3105" i="1"/>
  <c r="Q3104" i="1"/>
  <c r="O3104" i="1"/>
  <c r="Q3103" i="1"/>
  <c r="O3103" i="1"/>
  <c r="Q3102" i="1"/>
  <c r="O3102" i="1"/>
  <c r="Q3101" i="1"/>
  <c r="O3101" i="1"/>
  <c r="Q3100" i="1"/>
  <c r="O3100" i="1"/>
  <c r="Q3099" i="1"/>
  <c r="O3099" i="1"/>
  <c r="Q3098" i="1"/>
  <c r="O3098" i="1"/>
  <c r="Q3097" i="1"/>
  <c r="O3097" i="1"/>
  <c r="Q3096" i="1"/>
  <c r="O3096" i="1"/>
  <c r="Q3095" i="1"/>
  <c r="O3095" i="1"/>
  <c r="Q3094" i="1"/>
  <c r="O3094" i="1"/>
  <c r="Q3093" i="1"/>
  <c r="O3093" i="1"/>
  <c r="Q3092" i="1"/>
  <c r="O3092" i="1"/>
  <c r="Q3091" i="1"/>
  <c r="O3091" i="1"/>
  <c r="Q3090" i="1"/>
  <c r="O3090" i="1"/>
  <c r="Q3089" i="1"/>
  <c r="O3089" i="1"/>
  <c r="Q3088" i="1"/>
  <c r="O3088" i="1"/>
  <c r="Q3087" i="1"/>
  <c r="O3087" i="1"/>
  <c r="Q3086" i="1"/>
  <c r="O3086" i="1"/>
  <c r="Q3085" i="1"/>
  <c r="O3085" i="1"/>
  <c r="Q3084" i="1"/>
  <c r="O3084" i="1"/>
  <c r="Q3083" i="1"/>
  <c r="O3083" i="1"/>
  <c r="Q3082" i="1"/>
  <c r="O3082" i="1"/>
  <c r="Q3081" i="1"/>
  <c r="O3081" i="1"/>
  <c r="Q3080" i="1"/>
  <c r="O3080" i="1"/>
  <c r="Q3079" i="1"/>
  <c r="O3079" i="1"/>
  <c r="Q3078" i="1"/>
  <c r="O3078" i="1"/>
  <c r="Q3077" i="1"/>
  <c r="O3077" i="1"/>
  <c r="Q3076" i="1"/>
  <c r="O3076" i="1"/>
  <c r="Q3075" i="1"/>
  <c r="O3075" i="1"/>
  <c r="Q3074" i="1"/>
  <c r="O3074" i="1"/>
  <c r="Q3073" i="1"/>
  <c r="O3073" i="1"/>
  <c r="Q3072" i="1"/>
  <c r="O3072" i="1"/>
  <c r="Q3071" i="1"/>
  <c r="O3071" i="1"/>
  <c r="Q3070" i="1"/>
  <c r="O3070" i="1"/>
  <c r="Q3069" i="1"/>
  <c r="O3069" i="1"/>
  <c r="Q3068" i="1"/>
  <c r="O3068" i="1"/>
  <c r="Q3067" i="1"/>
  <c r="O3067" i="1"/>
  <c r="Q3066" i="1"/>
  <c r="O3066" i="1"/>
  <c r="Q3065" i="1"/>
  <c r="O3065" i="1"/>
  <c r="Q3064" i="1"/>
  <c r="O3064" i="1"/>
  <c r="Q3063" i="1"/>
  <c r="O3063" i="1"/>
  <c r="Q3062" i="1"/>
  <c r="O3062" i="1"/>
  <c r="Q3061" i="1"/>
  <c r="O3061" i="1"/>
  <c r="Q3060" i="1"/>
  <c r="O3060" i="1"/>
  <c r="Q3059" i="1"/>
  <c r="O3059" i="1"/>
  <c r="Q3058" i="1"/>
  <c r="O3058" i="1"/>
  <c r="Q3057" i="1"/>
  <c r="O3057" i="1"/>
  <c r="Q3056" i="1"/>
  <c r="O3056" i="1"/>
  <c r="Q3055" i="1"/>
  <c r="O3055" i="1"/>
  <c r="Q3054" i="1"/>
  <c r="O3054" i="1"/>
  <c r="Q3053" i="1"/>
  <c r="O3053" i="1"/>
  <c r="Q3052" i="1"/>
  <c r="O3052" i="1"/>
  <c r="Q3051" i="1"/>
  <c r="O3051" i="1"/>
  <c r="Q3050" i="1"/>
  <c r="O3050" i="1"/>
  <c r="Q3049" i="1"/>
  <c r="O3049" i="1"/>
  <c r="Q3048" i="1"/>
  <c r="O3048" i="1"/>
  <c r="Q3047" i="1"/>
  <c r="O3047" i="1"/>
  <c r="Q3046" i="1"/>
  <c r="O3046" i="1"/>
  <c r="Q3045" i="1"/>
  <c r="O3045" i="1"/>
  <c r="Q3044" i="1"/>
  <c r="O3044" i="1"/>
  <c r="Q3043" i="1"/>
  <c r="O3043" i="1"/>
  <c r="Q3042" i="1"/>
  <c r="O3042" i="1"/>
  <c r="Q3041" i="1"/>
  <c r="O3041" i="1"/>
  <c r="Q3040" i="1"/>
  <c r="O3040" i="1"/>
  <c r="Q3039" i="1"/>
  <c r="O3039" i="1"/>
  <c r="Q3038" i="1"/>
  <c r="O3038" i="1"/>
  <c r="Q3037" i="1"/>
  <c r="O3037" i="1"/>
  <c r="Q3036" i="1"/>
  <c r="O3036" i="1"/>
  <c r="Q3035" i="1"/>
  <c r="O3035" i="1"/>
  <c r="Q3034" i="1"/>
  <c r="O3034" i="1"/>
  <c r="Q3033" i="1"/>
  <c r="O3033" i="1"/>
  <c r="Q3032" i="1"/>
  <c r="O3032" i="1"/>
  <c r="Q3031" i="1"/>
  <c r="O3031" i="1"/>
  <c r="Q3030" i="1"/>
  <c r="O3030" i="1"/>
  <c r="Q3029" i="1"/>
  <c r="O3029" i="1"/>
  <c r="Q3028" i="1"/>
  <c r="O3028" i="1"/>
  <c r="Q3027" i="1"/>
  <c r="O3027" i="1"/>
  <c r="Q3026" i="1"/>
  <c r="O3026" i="1"/>
  <c r="Q3025" i="1"/>
  <c r="O3025" i="1"/>
  <c r="Q3024" i="1"/>
  <c r="O3024" i="1"/>
  <c r="Q3023" i="1"/>
  <c r="O3023" i="1"/>
  <c r="Q3022" i="1"/>
  <c r="O3022" i="1"/>
  <c r="Q3021" i="1"/>
  <c r="O3021" i="1"/>
  <c r="Q3020" i="1"/>
  <c r="O3020" i="1"/>
  <c r="Q3019" i="1"/>
  <c r="O3019" i="1"/>
  <c r="Q3018" i="1"/>
  <c r="O3018" i="1"/>
  <c r="Q3017" i="1"/>
  <c r="O3017" i="1"/>
  <c r="Q3016" i="1"/>
  <c r="O3016" i="1"/>
  <c r="Q3015" i="1"/>
  <c r="O3015" i="1"/>
  <c r="Q3014" i="1"/>
  <c r="O3014" i="1"/>
  <c r="Q3013" i="1"/>
  <c r="O3013" i="1"/>
  <c r="Q3012" i="1"/>
  <c r="O3012" i="1"/>
  <c r="Q3011" i="1"/>
  <c r="O3011" i="1"/>
  <c r="Q3010" i="1"/>
  <c r="O3010" i="1"/>
  <c r="Q3009" i="1"/>
  <c r="O3009" i="1"/>
  <c r="Q3008" i="1"/>
  <c r="O3008" i="1"/>
  <c r="Q3007" i="1"/>
  <c r="O3007" i="1"/>
  <c r="Q3006" i="1"/>
  <c r="O3006" i="1"/>
  <c r="Q3005" i="1"/>
  <c r="O3005" i="1"/>
  <c r="Q3004" i="1"/>
  <c r="O3004" i="1"/>
  <c r="Q3003" i="1"/>
  <c r="O3003" i="1"/>
  <c r="Q3002" i="1"/>
  <c r="O3002" i="1"/>
  <c r="Q3001" i="1"/>
  <c r="O3001" i="1"/>
  <c r="Q3000" i="1"/>
  <c r="O3000" i="1"/>
  <c r="Q2999" i="1"/>
  <c r="O2999" i="1"/>
  <c r="Q2998" i="1"/>
  <c r="O2998" i="1"/>
  <c r="Q2997" i="1"/>
  <c r="O2997" i="1"/>
  <c r="Q2996" i="1"/>
  <c r="O2996" i="1"/>
  <c r="Q2995" i="1"/>
  <c r="O2995" i="1"/>
  <c r="Q2994" i="1"/>
  <c r="O2994" i="1"/>
  <c r="Q2993" i="1"/>
  <c r="O2993" i="1"/>
  <c r="Q2992" i="1"/>
  <c r="O2992" i="1"/>
  <c r="Q2991" i="1"/>
  <c r="O2991" i="1"/>
  <c r="Q2990" i="1"/>
  <c r="O2990" i="1"/>
  <c r="Q2989" i="1"/>
  <c r="O2989" i="1"/>
  <c r="Q2988" i="1"/>
  <c r="O2988" i="1"/>
  <c r="Q2987" i="1"/>
  <c r="O2987" i="1"/>
  <c r="Q2986" i="1"/>
  <c r="O2986" i="1"/>
  <c r="Q2985" i="1"/>
  <c r="O2985" i="1"/>
  <c r="Q2984" i="1"/>
  <c r="O2984" i="1"/>
  <c r="Q2983" i="1"/>
  <c r="O2983" i="1"/>
  <c r="Q2982" i="1"/>
  <c r="O2982" i="1"/>
  <c r="Q2981" i="1"/>
  <c r="O2981" i="1"/>
  <c r="Q2980" i="1"/>
  <c r="O2980" i="1"/>
  <c r="Q2979" i="1"/>
  <c r="O2979" i="1"/>
  <c r="Q2978" i="1"/>
  <c r="O2978" i="1"/>
  <c r="Q2977" i="1"/>
  <c r="O2977" i="1"/>
  <c r="Q2976" i="1"/>
  <c r="O2976" i="1"/>
  <c r="Q2975" i="1"/>
  <c r="O2975" i="1"/>
  <c r="Q2974" i="1"/>
  <c r="O2974" i="1"/>
  <c r="Q2973" i="1"/>
  <c r="O2973" i="1"/>
  <c r="Q2972" i="1"/>
  <c r="O2972" i="1"/>
  <c r="Q2971" i="1"/>
  <c r="O2971" i="1"/>
  <c r="Q2970" i="1"/>
  <c r="O2970" i="1"/>
  <c r="Q2969" i="1"/>
  <c r="O2969" i="1"/>
  <c r="Q2968" i="1"/>
  <c r="O2968" i="1"/>
  <c r="Q2967" i="1"/>
  <c r="O2967" i="1"/>
  <c r="Q2966" i="1"/>
  <c r="O2966" i="1"/>
  <c r="Q2965" i="1"/>
  <c r="O2965" i="1"/>
  <c r="Q2964" i="1"/>
  <c r="O2964" i="1"/>
  <c r="Q2963" i="1"/>
  <c r="O2963" i="1"/>
  <c r="Q2962" i="1"/>
  <c r="O2962" i="1"/>
  <c r="Q2961" i="1"/>
  <c r="O2961" i="1"/>
  <c r="Q2960" i="1"/>
  <c r="O2960" i="1"/>
  <c r="Q2959" i="1"/>
  <c r="O2959" i="1"/>
  <c r="Q2958" i="1"/>
  <c r="O2958" i="1"/>
  <c r="Q2957" i="1"/>
  <c r="O2957" i="1"/>
  <c r="Q2956" i="1"/>
  <c r="O2956" i="1"/>
  <c r="Q2955" i="1"/>
  <c r="O2955" i="1"/>
  <c r="Q2954" i="1"/>
  <c r="O2954" i="1"/>
  <c r="Q2953" i="1"/>
  <c r="O2953" i="1"/>
  <c r="Q2952" i="1"/>
  <c r="O2952" i="1"/>
  <c r="Q2951" i="1"/>
  <c r="O2951" i="1"/>
  <c r="Q2950" i="1"/>
  <c r="O2950" i="1"/>
  <c r="Q2949" i="1"/>
  <c r="O2949" i="1"/>
  <c r="Q2948" i="1"/>
  <c r="O2948" i="1"/>
  <c r="Q2947" i="1"/>
  <c r="O2947" i="1"/>
  <c r="Q2946" i="1"/>
  <c r="O2946" i="1"/>
  <c r="Q2945" i="1"/>
  <c r="O2945" i="1"/>
  <c r="Q2944" i="1"/>
  <c r="O2944" i="1"/>
  <c r="Q2943" i="1"/>
  <c r="O2943" i="1"/>
  <c r="Q2942" i="1"/>
  <c r="O2942" i="1"/>
  <c r="Q2941" i="1"/>
  <c r="O2941" i="1"/>
  <c r="Q2940" i="1"/>
  <c r="O2940" i="1"/>
  <c r="Q2939" i="1"/>
  <c r="O2939" i="1"/>
  <c r="Q2938" i="1"/>
  <c r="O2938" i="1"/>
  <c r="Q2937" i="1"/>
  <c r="O2937" i="1"/>
  <c r="Q2936" i="1"/>
  <c r="O2936" i="1"/>
  <c r="Q2935" i="1"/>
  <c r="O2935" i="1"/>
  <c r="Q2934" i="1"/>
  <c r="O2934" i="1"/>
  <c r="Q2933" i="1"/>
  <c r="O2933" i="1"/>
  <c r="Q2932" i="1"/>
  <c r="O2932" i="1"/>
  <c r="Q2931" i="1"/>
  <c r="O2931" i="1"/>
  <c r="Q2930" i="1"/>
  <c r="O2930" i="1"/>
  <c r="Q2929" i="1"/>
  <c r="O2929" i="1"/>
  <c r="Q2928" i="1"/>
  <c r="O2928" i="1"/>
  <c r="Q2927" i="1"/>
  <c r="O2927" i="1"/>
  <c r="Q2926" i="1"/>
  <c r="O2926" i="1"/>
  <c r="Q2925" i="1"/>
  <c r="O2925" i="1"/>
  <c r="Q2924" i="1"/>
  <c r="O2924" i="1"/>
  <c r="Q2923" i="1"/>
  <c r="O2923" i="1"/>
  <c r="Q2922" i="1"/>
  <c r="O2922" i="1"/>
  <c r="Q2921" i="1"/>
  <c r="O2921" i="1"/>
  <c r="Q2920" i="1"/>
  <c r="O2920" i="1"/>
  <c r="Q2919" i="1"/>
  <c r="O2919" i="1"/>
  <c r="Q2918" i="1"/>
  <c r="O2918" i="1"/>
  <c r="Q2917" i="1"/>
  <c r="O2917" i="1"/>
  <c r="Q2916" i="1"/>
  <c r="O2916" i="1"/>
  <c r="Q2915" i="1"/>
  <c r="O2915" i="1"/>
  <c r="Q2914" i="1"/>
  <c r="O2914" i="1"/>
  <c r="Q2913" i="1"/>
  <c r="O2913" i="1"/>
  <c r="Q2912" i="1"/>
  <c r="O2912" i="1"/>
  <c r="Q2911" i="1"/>
  <c r="O2911" i="1"/>
  <c r="Q2910" i="1"/>
  <c r="O2910" i="1"/>
  <c r="Q2909" i="1"/>
  <c r="O2909" i="1"/>
  <c r="Q2908" i="1"/>
  <c r="O2908" i="1"/>
  <c r="Q2907" i="1"/>
  <c r="O2907" i="1"/>
  <c r="Q2906" i="1"/>
  <c r="O2906" i="1"/>
  <c r="Q2905" i="1"/>
  <c r="O2905" i="1"/>
  <c r="Q2904" i="1"/>
  <c r="O2904" i="1"/>
  <c r="Q2903" i="1"/>
  <c r="O2903" i="1"/>
  <c r="Q2902" i="1"/>
  <c r="O2902" i="1"/>
  <c r="Q2901" i="1"/>
  <c r="O2901" i="1"/>
  <c r="Q2900" i="1"/>
  <c r="O2900" i="1"/>
  <c r="Q2899" i="1"/>
  <c r="O2899" i="1"/>
  <c r="Q2898" i="1"/>
  <c r="O2898" i="1"/>
  <c r="Q2897" i="1"/>
  <c r="O2897" i="1"/>
  <c r="Q2896" i="1"/>
  <c r="O2896" i="1"/>
  <c r="Q2895" i="1"/>
  <c r="O2895" i="1"/>
  <c r="Q2894" i="1"/>
  <c r="O2894" i="1"/>
  <c r="Q2893" i="1"/>
  <c r="O2893" i="1"/>
  <c r="Q2892" i="1"/>
  <c r="O2892" i="1"/>
  <c r="Q2891" i="1"/>
  <c r="O2891" i="1"/>
  <c r="Q2890" i="1"/>
  <c r="O2890" i="1"/>
  <c r="Q2889" i="1"/>
  <c r="O2889" i="1"/>
  <c r="Q2888" i="1"/>
  <c r="O2888" i="1"/>
  <c r="Q2887" i="1"/>
  <c r="O2887" i="1"/>
  <c r="Q2886" i="1"/>
  <c r="O2886" i="1"/>
  <c r="Q2885" i="1"/>
  <c r="O2885" i="1"/>
  <c r="Q2884" i="1"/>
  <c r="O2884" i="1"/>
  <c r="Q2883" i="1"/>
  <c r="O2883" i="1"/>
  <c r="Q2882" i="1"/>
  <c r="O2882" i="1"/>
  <c r="Q2881" i="1"/>
  <c r="O2881" i="1"/>
  <c r="Q2880" i="1"/>
  <c r="O2880" i="1"/>
  <c r="Q2879" i="1"/>
  <c r="O2879" i="1"/>
  <c r="Q2878" i="1"/>
  <c r="O2878" i="1"/>
  <c r="Q2877" i="1"/>
  <c r="O2877" i="1"/>
  <c r="Q2876" i="1"/>
  <c r="O2876" i="1"/>
  <c r="Q2875" i="1"/>
  <c r="O2875" i="1"/>
  <c r="Q2874" i="1"/>
  <c r="O2874" i="1"/>
  <c r="Q2873" i="1"/>
  <c r="O2873" i="1"/>
  <c r="Q2872" i="1"/>
  <c r="O2872" i="1"/>
  <c r="Q2871" i="1"/>
  <c r="O2871" i="1"/>
  <c r="Q2870" i="1"/>
  <c r="O2870" i="1"/>
  <c r="Q2869" i="1"/>
  <c r="O2869" i="1"/>
  <c r="Q2868" i="1"/>
  <c r="O2868" i="1"/>
  <c r="Q2867" i="1"/>
  <c r="O2867" i="1"/>
  <c r="Q2866" i="1"/>
  <c r="O2866" i="1"/>
  <c r="Q2865" i="1"/>
  <c r="O2865" i="1"/>
  <c r="Q2864" i="1"/>
  <c r="O2864" i="1"/>
  <c r="Q2863" i="1"/>
  <c r="O2863" i="1"/>
  <c r="Q2862" i="1"/>
  <c r="O2862" i="1"/>
  <c r="Q2861" i="1"/>
  <c r="O2861" i="1"/>
  <c r="Q2860" i="1"/>
  <c r="O2860" i="1"/>
  <c r="Q2859" i="1"/>
  <c r="O2859" i="1"/>
  <c r="Q2858" i="1"/>
  <c r="O2858" i="1"/>
  <c r="Q2857" i="1"/>
  <c r="O2857" i="1"/>
  <c r="Q2856" i="1"/>
  <c r="O2856" i="1"/>
  <c r="Q2855" i="1"/>
  <c r="O2855" i="1"/>
  <c r="Q2854" i="1"/>
  <c r="O2854" i="1"/>
  <c r="Q2853" i="1"/>
  <c r="O2853" i="1"/>
  <c r="Q2852" i="1"/>
  <c r="O2852" i="1"/>
  <c r="Q2851" i="1"/>
  <c r="O2851" i="1"/>
  <c r="Q2850" i="1"/>
  <c r="O2850" i="1"/>
  <c r="Q2849" i="1"/>
  <c r="O2849" i="1"/>
  <c r="Q2848" i="1"/>
  <c r="O2848" i="1"/>
  <c r="Q2847" i="1"/>
  <c r="O2847" i="1"/>
  <c r="Q2846" i="1"/>
  <c r="O2846" i="1"/>
  <c r="Q2845" i="1"/>
  <c r="O2845" i="1"/>
  <c r="Q2844" i="1"/>
  <c r="O2844" i="1"/>
  <c r="Q2843" i="1"/>
  <c r="O2843" i="1"/>
  <c r="Q2842" i="1"/>
  <c r="O2842" i="1"/>
  <c r="Q2841" i="1"/>
  <c r="O2841" i="1"/>
  <c r="Q2840" i="1"/>
  <c r="O2840" i="1"/>
  <c r="Q2839" i="1"/>
  <c r="O2839" i="1"/>
  <c r="Q2838" i="1"/>
  <c r="O2838" i="1"/>
  <c r="Q2837" i="1"/>
  <c r="O2837" i="1"/>
  <c r="Q2836" i="1"/>
  <c r="O2836" i="1"/>
  <c r="Q2835" i="1"/>
  <c r="O2835" i="1"/>
  <c r="Q2834" i="1"/>
  <c r="O2834" i="1"/>
  <c r="Q2833" i="1"/>
  <c r="O2833" i="1"/>
  <c r="Q2832" i="1"/>
  <c r="O2832" i="1"/>
  <c r="Q2831" i="1"/>
  <c r="O2831" i="1"/>
  <c r="Q2830" i="1"/>
  <c r="O2830" i="1"/>
  <c r="Q2829" i="1"/>
  <c r="O2829" i="1"/>
  <c r="Q2828" i="1"/>
  <c r="O2828" i="1"/>
  <c r="Q2827" i="1"/>
  <c r="O2827" i="1"/>
  <c r="Q2826" i="1"/>
  <c r="O2826" i="1"/>
  <c r="Q2825" i="1"/>
  <c r="O2825" i="1"/>
  <c r="Q2824" i="1"/>
  <c r="O2824" i="1"/>
  <c r="Q2823" i="1"/>
  <c r="O2823" i="1"/>
  <c r="Q2822" i="1"/>
  <c r="O2822" i="1"/>
  <c r="Q2821" i="1"/>
  <c r="O2821" i="1"/>
  <c r="Q2820" i="1"/>
  <c r="O2820" i="1"/>
  <c r="Q2819" i="1"/>
  <c r="O2819" i="1"/>
  <c r="Q2818" i="1"/>
  <c r="O2818" i="1"/>
  <c r="Q2817" i="1"/>
  <c r="O2817" i="1"/>
  <c r="Q2816" i="1"/>
  <c r="O2816" i="1"/>
  <c r="Q2815" i="1"/>
  <c r="O2815" i="1"/>
  <c r="Q2814" i="1"/>
  <c r="O2814" i="1"/>
  <c r="Q2813" i="1"/>
  <c r="O2813" i="1"/>
  <c r="Q2812" i="1"/>
  <c r="O2812" i="1"/>
  <c r="Q2811" i="1"/>
  <c r="O2811" i="1"/>
  <c r="Q2810" i="1"/>
  <c r="O2810" i="1"/>
  <c r="Q2809" i="1"/>
  <c r="O2809" i="1"/>
  <c r="Q2808" i="1"/>
  <c r="O2808" i="1"/>
  <c r="Q2807" i="1"/>
  <c r="O2807" i="1"/>
  <c r="Q2806" i="1"/>
  <c r="O2806" i="1"/>
  <c r="Q2805" i="1"/>
  <c r="O2805" i="1"/>
  <c r="Q2804" i="1"/>
  <c r="O2804" i="1"/>
  <c r="Q2803" i="1"/>
  <c r="O2803" i="1"/>
  <c r="Q2802" i="1"/>
  <c r="O2802" i="1"/>
  <c r="Q2801" i="1"/>
  <c r="O2801" i="1"/>
  <c r="Q2800" i="1"/>
  <c r="O2800" i="1"/>
  <c r="Q2799" i="1"/>
  <c r="O2799" i="1"/>
  <c r="Q2798" i="1"/>
  <c r="O2798" i="1"/>
  <c r="Q2797" i="1"/>
  <c r="O2797" i="1"/>
  <c r="Q2796" i="1"/>
  <c r="O2796" i="1"/>
  <c r="Q2795" i="1"/>
  <c r="O2795" i="1"/>
  <c r="Q2794" i="1"/>
  <c r="O2794" i="1"/>
  <c r="Q2793" i="1"/>
  <c r="O2793" i="1"/>
  <c r="Q2792" i="1"/>
  <c r="O2792" i="1"/>
  <c r="Q2791" i="1"/>
  <c r="O2791" i="1"/>
  <c r="Q2790" i="1"/>
  <c r="O2790" i="1"/>
  <c r="Q2789" i="1"/>
  <c r="O2789" i="1"/>
  <c r="Q2788" i="1"/>
  <c r="O2788" i="1"/>
  <c r="Q2787" i="1"/>
  <c r="O2787" i="1"/>
  <c r="Q2786" i="1"/>
  <c r="O2786" i="1"/>
  <c r="Q2785" i="1"/>
  <c r="O2785" i="1"/>
  <c r="Q2784" i="1"/>
  <c r="O2784" i="1"/>
  <c r="Q2783" i="1"/>
  <c r="O2783" i="1"/>
  <c r="Q2782" i="1"/>
  <c r="O2782" i="1"/>
  <c r="Q2781" i="1"/>
  <c r="O2781" i="1"/>
  <c r="Q2780" i="1"/>
  <c r="O2780" i="1"/>
  <c r="Q2779" i="1"/>
  <c r="O2779" i="1"/>
  <c r="Q2778" i="1"/>
  <c r="O2778" i="1"/>
  <c r="Q2777" i="1"/>
  <c r="O2777" i="1"/>
  <c r="Q2776" i="1"/>
  <c r="O2776" i="1"/>
  <c r="Q2775" i="1"/>
  <c r="O2775" i="1"/>
  <c r="Q2774" i="1"/>
  <c r="O2774" i="1"/>
  <c r="Q2773" i="1"/>
  <c r="O2773" i="1"/>
  <c r="Q2772" i="1"/>
  <c r="O2772" i="1"/>
  <c r="Q2771" i="1"/>
  <c r="O2771" i="1"/>
  <c r="Q2770" i="1"/>
  <c r="O2770" i="1"/>
  <c r="Q2769" i="1"/>
  <c r="O2769" i="1"/>
  <c r="Q2768" i="1"/>
  <c r="O2768" i="1"/>
  <c r="Q2767" i="1"/>
  <c r="O2767" i="1"/>
  <c r="Q2766" i="1"/>
  <c r="O2766" i="1"/>
  <c r="Q2765" i="1"/>
  <c r="O2765" i="1"/>
  <c r="Q2764" i="1"/>
  <c r="O2764" i="1"/>
  <c r="Q2763" i="1"/>
  <c r="O2763" i="1"/>
  <c r="Q2762" i="1"/>
  <c r="O2762" i="1"/>
  <c r="Q2761" i="1"/>
  <c r="O2761" i="1"/>
  <c r="Q2760" i="1"/>
  <c r="O2760" i="1"/>
  <c r="Q2759" i="1"/>
  <c r="O2759" i="1"/>
  <c r="Q2758" i="1"/>
  <c r="O2758" i="1"/>
  <c r="Q2757" i="1"/>
  <c r="O2757" i="1"/>
  <c r="Q2756" i="1"/>
  <c r="O2756" i="1"/>
  <c r="Q2755" i="1"/>
  <c r="O2755" i="1"/>
  <c r="Q2754" i="1"/>
  <c r="O2754" i="1"/>
  <c r="Q2753" i="1"/>
  <c r="O2753" i="1"/>
  <c r="Q2752" i="1"/>
  <c r="O2752" i="1"/>
  <c r="Q2751" i="1"/>
  <c r="O2751" i="1"/>
  <c r="Q2750" i="1"/>
  <c r="O2750" i="1"/>
  <c r="Q2749" i="1"/>
  <c r="O2749" i="1"/>
  <c r="Q2748" i="1"/>
  <c r="O2748" i="1"/>
  <c r="Q2747" i="1"/>
  <c r="O2747" i="1"/>
  <c r="Q2746" i="1"/>
  <c r="O2746" i="1"/>
  <c r="Q2745" i="1"/>
  <c r="O2745" i="1"/>
  <c r="Q2744" i="1"/>
  <c r="O2744" i="1"/>
  <c r="Q2743" i="1"/>
  <c r="O2743" i="1"/>
  <c r="Q2742" i="1"/>
  <c r="O2742" i="1"/>
  <c r="Q2741" i="1"/>
  <c r="O2741" i="1"/>
  <c r="Q2740" i="1"/>
  <c r="O2740" i="1"/>
  <c r="Q2739" i="1"/>
  <c r="O2739" i="1"/>
  <c r="Q2738" i="1"/>
  <c r="O2738" i="1"/>
  <c r="Q2737" i="1"/>
  <c r="O2737" i="1"/>
  <c r="Q2736" i="1"/>
  <c r="O2736" i="1"/>
  <c r="Q2735" i="1"/>
  <c r="O2735" i="1"/>
  <c r="Q2734" i="1"/>
  <c r="O2734" i="1"/>
  <c r="Q2733" i="1"/>
  <c r="O2733" i="1"/>
  <c r="Q2732" i="1"/>
  <c r="O2732" i="1"/>
  <c r="Q2731" i="1"/>
  <c r="O2731" i="1"/>
  <c r="Q2730" i="1"/>
  <c r="O2730" i="1"/>
  <c r="Q2729" i="1"/>
  <c r="O2729" i="1"/>
  <c r="Q2728" i="1"/>
  <c r="O2728" i="1"/>
  <c r="Q2727" i="1"/>
  <c r="O2727" i="1"/>
  <c r="Q2726" i="1"/>
  <c r="O2726" i="1"/>
  <c r="Q2725" i="1"/>
  <c r="O2725" i="1"/>
  <c r="Q2724" i="1"/>
  <c r="O2724" i="1"/>
  <c r="Q2723" i="1"/>
  <c r="O2723" i="1"/>
  <c r="Q2722" i="1"/>
  <c r="O2722" i="1"/>
  <c r="Q2721" i="1"/>
  <c r="O2721" i="1"/>
  <c r="Q2720" i="1"/>
  <c r="O2720" i="1"/>
  <c r="Q2719" i="1"/>
  <c r="O2719" i="1"/>
  <c r="Q2718" i="1"/>
  <c r="O2718" i="1"/>
  <c r="Q2717" i="1"/>
  <c r="O2717" i="1"/>
  <c r="Q2716" i="1"/>
  <c r="O2716" i="1"/>
  <c r="Q2715" i="1"/>
  <c r="O2715" i="1"/>
  <c r="Q2714" i="1"/>
  <c r="O2714" i="1"/>
  <c r="Q2713" i="1"/>
  <c r="O2713" i="1"/>
  <c r="Q2712" i="1"/>
  <c r="O2712" i="1"/>
  <c r="Q2711" i="1"/>
  <c r="O2711" i="1"/>
  <c r="Q2710" i="1"/>
  <c r="O2710" i="1"/>
  <c r="Q2709" i="1"/>
  <c r="O2709" i="1"/>
  <c r="Q2708" i="1"/>
  <c r="O2708" i="1"/>
  <c r="Q2707" i="1"/>
  <c r="O2707" i="1"/>
  <c r="Q2706" i="1"/>
  <c r="O2706" i="1"/>
  <c r="Q2705" i="1"/>
  <c r="O2705" i="1"/>
  <c r="Q2704" i="1"/>
  <c r="O2704" i="1"/>
  <c r="Q2703" i="1"/>
  <c r="O2703" i="1"/>
  <c r="Q2702" i="1"/>
  <c r="O2702" i="1"/>
  <c r="Q2701" i="1"/>
  <c r="O2701" i="1"/>
  <c r="Q2700" i="1"/>
  <c r="O2700" i="1"/>
  <c r="Q2699" i="1"/>
  <c r="O2699" i="1"/>
  <c r="Q2698" i="1"/>
  <c r="O2698" i="1"/>
  <c r="Q2697" i="1"/>
  <c r="O2697" i="1"/>
  <c r="Q2696" i="1"/>
  <c r="O2696" i="1"/>
  <c r="Q2695" i="1"/>
  <c r="O2695" i="1"/>
  <c r="Q2694" i="1"/>
  <c r="O2694" i="1"/>
  <c r="Q2693" i="1"/>
  <c r="O2693" i="1"/>
  <c r="Q2692" i="1"/>
  <c r="O2692" i="1"/>
  <c r="Q2691" i="1"/>
  <c r="O2691" i="1"/>
  <c r="Q2690" i="1"/>
  <c r="O2690" i="1"/>
  <c r="Q2689" i="1"/>
  <c r="O2689" i="1"/>
  <c r="Q2688" i="1"/>
  <c r="O2688" i="1"/>
  <c r="Q2687" i="1"/>
  <c r="O2687" i="1"/>
  <c r="Q2686" i="1"/>
  <c r="O2686" i="1"/>
  <c r="Q2685" i="1"/>
  <c r="O2685" i="1"/>
  <c r="Q2684" i="1"/>
  <c r="O2684" i="1"/>
  <c r="Q2683" i="1"/>
  <c r="O2683" i="1"/>
  <c r="Q2682" i="1"/>
  <c r="O2682" i="1"/>
  <c r="Q2681" i="1"/>
  <c r="O2681" i="1"/>
  <c r="Q2680" i="1"/>
  <c r="O2680" i="1"/>
  <c r="Q2679" i="1"/>
  <c r="O2679" i="1"/>
  <c r="Q2678" i="1"/>
  <c r="O2678" i="1"/>
  <c r="Q2677" i="1"/>
  <c r="O2677" i="1"/>
  <c r="Q2676" i="1"/>
  <c r="O2676" i="1"/>
  <c r="Q2675" i="1"/>
  <c r="O2675" i="1"/>
  <c r="Q2674" i="1"/>
  <c r="O2674" i="1"/>
  <c r="Q2673" i="1"/>
  <c r="O2673" i="1"/>
  <c r="Q2672" i="1"/>
  <c r="O2672" i="1"/>
  <c r="Q2671" i="1"/>
  <c r="O2671" i="1"/>
  <c r="Q2670" i="1"/>
  <c r="O2670" i="1"/>
  <c r="Q2669" i="1"/>
  <c r="O2669" i="1"/>
  <c r="Q2668" i="1"/>
  <c r="O2668" i="1"/>
  <c r="Q2667" i="1"/>
  <c r="O2667" i="1"/>
  <c r="Q2666" i="1"/>
  <c r="O2666" i="1"/>
  <c r="Q2665" i="1"/>
  <c r="O2665" i="1"/>
  <c r="Q2664" i="1"/>
  <c r="O2664" i="1"/>
  <c r="Q2663" i="1"/>
  <c r="O2663" i="1"/>
  <c r="Q2662" i="1"/>
  <c r="O2662" i="1"/>
  <c r="Q2661" i="1"/>
  <c r="O2661" i="1"/>
  <c r="Q2660" i="1"/>
  <c r="O2660" i="1"/>
  <c r="Q2659" i="1"/>
  <c r="O2659" i="1"/>
  <c r="Q2658" i="1"/>
  <c r="O2658" i="1"/>
  <c r="Q2657" i="1"/>
  <c r="O2657" i="1"/>
  <c r="Q2656" i="1"/>
  <c r="O2656" i="1"/>
  <c r="Q2655" i="1"/>
  <c r="O2655" i="1"/>
  <c r="Q2654" i="1"/>
  <c r="O2654" i="1"/>
  <c r="Q2653" i="1"/>
  <c r="O2653" i="1"/>
  <c r="Q2652" i="1"/>
  <c r="O2652" i="1"/>
  <c r="Q2651" i="1"/>
  <c r="O2651" i="1"/>
  <c r="Q2650" i="1"/>
  <c r="O2650" i="1"/>
  <c r="Q2649" i="1"/>
  <c r="O2649" i="1"/>
  <c r="Q2648" i="1"/>
  <c r="O2648" i="1"/>
  <c r="Q2647" i="1"/>
  <c r="O2647" i="1"/>
  <c r="Q2646" i="1"/>
  <c r="O2646" i="1"/>
  <c r="Q2645" i="1"/>
  <c r="O2645" i="1"/>
  <c r="Q2644" i="1"/>
  <c r="O2644" i="1"/>
  <c r="Q2643" i="1"/>
  <c r="O2643" i="1"/>
  <c r="Q2642" i="1"/>
  <c r="O2642" i="1"/>
  <c r="Q2641" i="1"/>
  <c r="O2641" i="1"/>
  <c r="Q2640" i="1"/>
  <c r="O2640" i="1"/>
  <c r="Q2639" i="1"/>
  <c r="O2639" i="1"/>
  <c r="Q2638" i="1"/>
  <c r="O2638" i="1"/>
  <c r="Q2637" i="1"/>
  <c r="O2637" i="1"/>
  <c r="Q2636" i="1"/>
  <c r="O2636" i="1"/>
  <c r="Q2635" i="1"/>
  <c r="O2635" i="1"/>
  <c r="Q2634" i="1"/>
  <c r="O2634" i="1"/>
  <c r="Q2633" i="1"/>
  <c r="O2633" i="1"/>
  <c r="Q2632" i="1"/>
  <c r="O2632" i="1"/>
  <c r="Q2631" i="1"/>
  <c r="O2631" i="1"/>
  <c r="Q2630" i="1"/>
  <c r="O2630" i="1"/>
  <c r="Q2629" i="1"/>
  <c r="O2629" i="1"/>
  <c r="Q2628" i="1"/>
  <c r="O2628" i="1"/>
  <c r="Q2627" i="1"/>
  <c r="O2627" i="1"/>
  <c r="Q2626" i="1"/>
  <c r="O2626" i="1"/>
  <c r="Q2625" i="1"/>
  <c r="O2625" i="1"/>
  <c r="Q2624" i="1"/>
  <c r="O2624" i="1"/>
  <c r="Q2623" i="1"/>
  <c r="O2623" i="1"/>
  <c r="Q2622" i="1"/>
  <c r="O2622" i="1"/>
  <c r="Q2621" i="1"/>
  <c r="O2621" i="1"/>
  <c r="Q2620" i="1"/>
  <c r="O2620" i="1"/>
  <c r="Q2619" i="1"/>
  <c r="O2619" i="1"/>
  <c r="Q2618" i="1"/>
  <c r="O2618" i="1"/>
  <c r="Q2617" i="1"/>
  <c r="O2617" i="1"/>
  <c r="Q2616" i="1"/>
  <c r="O2616" i="1"/>
  <c r="Q2615" i="1"/>
  <c r="O2615" i="1"/>
  <c r="Q2614" i="1"/>
  <c r="O2614" i="1"/>
  <c r="Q2613" i="1"/>
  <c r="O2613" i="1"/>
  <c r="Q2612" i="1"/>
  <c r="O2612" i="1"/>
  <c r="Q2611" i="1"/>
  <c r="O2611" i="1"/>
  <c r="Q2610" i="1"/>
  <c r="O2610" i="1"/>
  <c r="Q2609" i="1"/>
  <c r="O2609" i="1"/>
  <c r="Q2608" i="1"/>
  <c r="O2608" i="1"/>
  <c r="Q2607" i="1"/>
  <c r="O2607" i="1"/>
  <c r="Q2606" i="1"/>
  <c r="O2606" i="1"/>
  <c r="Q2605" i="1"/>
  <c r="O2605" i="1"/>
  <c r="Q2604" i="1"/>
  <c r="O2604" i="1"/>
  <c r="Q2603" i="1"/>
  <c r="O2603" i="1"/>
  <c r="Q2602" i="1"/>
  <c r="O2602" i="1"/>
  <c r="Q2601" i="1"/>
  <c r="O2601" i="1"/>
  <c r="Q2600" i="1"/>
  <c r="O2600" i="1"/>
  <c r="Q2599" i="1"/>
  <c r="O2599" i="1"/>
  <c r="Q2598" i="1"/>
  <c r="O2598" i="1"/>
  <c r="Q2597" i="1"/>
  <c r="O2597" i="1"/>
  <c r="Q2596" i="1"/>
  <c r="O2596" i="1"/>
  <c r="Q2595" i="1"/>
  <c r="O2595" i="1"/>
  <c r="Q2594" i="1"/>
  <c r="O2594" i="1"/>
  <c r="Q2593" i="1"/>
  <c r="O2593" i="1"/>
  <c r="Q2592" i="1"/>
  <c r="O2592" i="1"/>
  <c r="Q2591" i="1"/>
  <c r="O2591" i="1"/>
  <c r="Q2590" i="1"/>
  <c r="O2590" i="1"/>
  <c r="Q2589" i="1"/>
  <c r="O2589" i="1"/>
  <c r="Q2588" i="1"/>
  <c r="O2588" i="1"/>
  <c r="Q2587" i="1"/>
  <c r="O2587" i="1"/>
  <c r="Q2586" i="1"/>
  <c r="O2586" i="1"/>
  <c r="Q2585" i="1"/>
  <c r="O2585" i="1"/>
  <c r="Q2584" i="1"/>
  <c r="O2584" i="1"/>
  <c r="Q2583" i="1"/>
  <c r="O2583" i="1"/>
  <c r="Q2582" i="1"/>
  <c r="O2582" i="1"/>
  <c r="Q2581" i="1"/>
  <c r="O2581" i="1"/>
  <c r="Q2580" i="1"/>
  <c r="O2580" i="1"/>
  <c r="Q2579" i="1"/>
  <c r="O2579" i="1"/>
  <c r="Q2578" i="1"/>
  <c r="O2578" i="1"/>
  <c r="Q2577" i="1"/>
  <c r="O2577" i="1"/>
  <c r="Q2576" i="1"/>
  <c r="O2576" i="1"/>
  <c r="Q2575" i="1"/>
  <c r="O2575" i="1"/>
  <c r="Q2574" i="1"/>
  <c r="O2574" i="1"/>
  <c r="Q2573" i="1"/>
  <c r="O2573" i="1"/>
  <c r="Q2572" i="1"/>
  <c r="O2572" i="1"/>
  <c r="Q2571" i="1"/>
  <c r="O2571" i="1"/>
  <c r="Q2570" i="1"/>
  <c r="O2570" i="1"/>
  <c r="Q2569" i="1"/>
  <c r="O2569" i="1"/>
  <c r="Q2568" i="1"/>
  <c r="O2568" i="1"/>
  <c r="Q2567" i="1"/>
  <c r="O2567" i="1"/>
  <c r="Q2566" i="1"/>
  <c r="O2566" i="1"/>
  <c r="Q2565" i="1"/>
  <c r="O2565" i="1"/>
  <c r="Q2564" i="1"/>
  <c r="O2564" i="1"/>
  <c r="Q2563" i="1"/>
  <c r="O2563" i="1"/>
  <c r="Q2562" i="1"/>
  <c r="O2562" i="1"/>
  <c r="Q2561" i="1"/>
  <c r="O2561" i="1"/>
  <c r="Q2560" i="1"/>
  <c r="O2560" i="1"/>
  <c r="Q2559" i="1"/>
  <c r="O2559" i="1"/>
  <c r="Q2558" i="1"/>
  <c r="O2558" i="1"/>
  <c r="Q2557" i="1"/>
  <c r="O2557" i="1"/>
  <c r="Q2556" i="1"/>
  <c r="O2556" i="1"/>
  <c r="Q2555" i="1"/>
  <c r="O2555" i="1"/>
  <c r="Q2554" i="1"/>
  <c r="O2554" i="1"/>
  <c r="Q2553" i="1"/>
  <c r="O2553" i="1"/>
  <c r="Q2552" i="1"/>
  <c r="O2552" i="1"/>
  <c r="Q2551" i="1"/>
  <c r="O2551" i="1"/>
  <c r="Q2550" i="1"/>
  <c r="O2550" i="1"/>
  <c r="Q2549" i="1"/>
  <c r="O2549" i="1"/>
  <c r="Q2548" i="1"/>
  <c r="O2548" i="1"/>
  <c r="Q2547" i="1"/>
  <c r="O2547" i="1"/>
  <c r="Q2546" i="1"/>
  <c r="O2546" i="1"/>
  <c r="Q2545" i="1"/>
  <c r="O2545" i="1"/>
  <c r="Q2544" i="1"/>
  <c r="O2544" i="1"/>
  <c r="Q2543" i="1"/>
  <c r="O2543" i="1"/>
  <c r="Q2542" i="1"/>
  <c r="O2542" i="1"/>
  <c r="Q2541" i="1"/>
  <c r="O2541" i="1"/>
  <c r="Q2540" i="1"/>
  <c r="O2540" i="1"/>
  <c r="Q2539" i="1"/>
  <c r="O2539" i="1"/>
  <c r="Q2538" i="1"/>
  <c r="O2538" i="1"/>
  <c r="Q2537" i="1"/>
  <c r="O2537" i="1"/>
  <c r="Q2536" i="1"/>
  <c r="O2536" i="1"/>
  <c r="Q2535" i="1"/>
  <c r="O2535" i="1"/>
  <c r="Q2534" i="1"/>
  <c r="O2534" i="1"/>
  <c r="Q2533" i="1"/>
  <c r="O2533" i="1"/>
  <c r="Q2532" i="1"/>
  <c r="O2532" i="1"/>
  <c r="Q2531" i="1"/>
  <c r="O2531" i="1"/>
  <c r="Q2530" i="1"/>
  <c r="O2530" i="1"/>
  <c r="Q2529" i="1"/>
  <c r="O2529" i="1"/>
  <c r="Q2528" i="1"/>
  <c r="O2528" i="1"/>
  <c r="Q2527" i="1"/>
  <c r="O2527" i="1"/>
  <c r="Q2526" i="1"/>
  <c r="O2526" i="1"/>
  <c r="Q2525" i="1"/>
  <c r="O2525" i="1"/>
  <c r="Q2524" i="1"/>
  <c r="O2524" i="1"/>
  <c r="Q2523" i="1"/>
  <c r="O2523" i="1"/>
  <c r="Q2522" i="1"/>
  <c r="O2522" i="1"/>
  <c r="Q2521" i="1"/>
  <c r="O2521" i="1"/>
  <c r="Q2520" i="1"/>
  <c r="O2520" i="1"/>
  <c r="Q2519" i="1"/>
  <c r="O2519" i="1"/>
  <c r="Q2518" i="1"/>
  <c r="O2518" i="1"/>
  <c r="Q2517" i="1"/>
  <c r="O2517" i="1"/>
  <c r="Q2516" i="1"/>
  <c r="O2516" i="1"/>
  <c r="Q2515" i="1"/>
  <c r="O2515" i="1"/>
  <c r="Q2514" i="1"/>
  <c r="O2514" i="1"/>
  <c r="Q2513" i="1"/>
  <c r="O2513" i="1"/>
  <c r="Q2512" i="1"/>
  <c r="O2512" i="1"/>
  <c r="Q2511" i="1"/>
  <c r="O2511" i="1"/>
  <c r="Q2510" i="1"/>
  <c r="O2510" i="1"/>
  <c r="Q2509" i="1"/>
  <c r="O2509" i="1"/>
  <c r="Q2508" i="1"/>
  <c r="O2508" i="1"/>
  <c r="Q2507" i="1"/>
  <c r="O2507" i="1"/>
  <c r="Q2506" i="1"/>
  <c r="O2506" i="1"/>
  <c r="Q2505" i="1"/>
  <c r="O2505" i="1"/>
  <c r="Q2504" i="1"/>
  <c r="O2504" i="1"/>
  <c r="Q2503" i="1"/>
  <c r="O2503" i="1"/>
  <c r="Q2502" i="1"/>
  <c r="O2502" i="1"/>
  <c r="Q2501" i="1"/>
  <c r="O2501" i="1"/>
  <c r="Q2500" i="1"/>
  <c r="O2500" i="1"/>
  <c r="Q2499" i="1"/>
  <c r="O2499" i="1"/>
  <c r="Q2498" i="1"/>
  <c r="O2498" i="1"/>
  <c r="Q2497" i="1"/>
  <c r="O2497" i="1"/>
  <c r="Q2496" i="1"/>
  <c r="O2496" i="1"/>
  <c r="Q2495" i="1"/>
  <c r="O2495" i="1"/>
  <c r="Q2494" i="1"/>
  <c r="O2494" i="1"/>
  <c r="Q2493" i="1"/>
  <c r="O2493" i="1"/>
  <c r="Q2492" i="1"/>
  <c r="O2492" i="1"/>
  <c r="Q2491" i="1"/>
  <c r="O2491" i="1"/>
  <c r="Q2490" i="1"/>
  <c r="O2490" i="1"/>
  <c r="Q2489" i="1"/>
  <c r="O2489" i="1"/>
  <c r="Q2488" i="1"/>
  <c r="O2488" i="1"/>
  <c r="Q2487" i="1"/>
  <c r="O2487" i="1"/>
  <c r="Q2486" i="1"/>
  <c r="O2486" i="1"/>
  <c r="Q2485" i="1"/>
  <c r="O2485" i="1"/>
  <c r="Q2484" i="1"/>
  <c r="O2484" i="1"/>
  <c r="Q2483" i="1"/>
  <c r="O2483" i="1"/>
  <c r="Q2482" i="1"/>
  <c r="O2482" i="1"/>
  <c r="Q2481" i="1"/>
  <c r="O2481" i="1"/>
  <c r="Q2480" i="1"/>
  <c r="O2480" i="1"/>
  <c r="Q2479" i="1"/>
  <c r="O2479" i="1"/>
  <c r="Q2478" i="1"/>
  <c r="O2478" i="1"/>
  <c r="Q2477" i="1"/>
  <c r="O2477" i="1"/>
  <c r="Q2476" i="1"/>
  <c r="O2476" i="1"/>
  <c r="Q2475" i="1"/>
  <c r="O2475" i="1"/>
  <c r="Q2474" i="1"/>
  <c r="O2474" i="1"/>
  <c r="Q2473" i="1"/>
  <c r="O2473" i="1"/>
  <c r="Q2472" i="1"/>
  <c r="O2472" i="1"/>
  <c r="Q2471" i="1"/>
  <c r="O2471" i="1"/>
  <c r="Q2470" i="1"/>
  <c r="O2470" i="1"/>
  <c r="Q2469" i="1"/>
  <c r="O2469" i="1"/>
  <c r="Q2468" i="1"/>
  <c r="O2468" i="1"/>
  <c r="Q2467" i="1"/>
  <c r="O2467" i="1"/>
  <c r="Q2466" i="1"/>
  <c r="O2466" i="1"/>
  <c r="Q2465" i="1"/>
  <c r="O2465" i="1"/>
  <c r="Q2464" i="1"/>
  <c r="O2464" i="1"/>
  <c r="Q2463" i="1"/>
  <c r="O2463" i="1"/>
  <c r="Q2462" i="1"/>
  <c r="O2462" i="1"/>
  <c r="Q2461" i="1"/>
  <c r="O2461" i="1"/>
  <c r="Q2460" i="1"/>
  <c r="O2460" i="1"/>
  <c r="Q2459" i="1"/>
  <c r="O2459" i="1"/>
  <c r="Q2458" i="1"/>
  <c r="O2458" i="1"/>
  <c r="Q2457" i="1"/>
  <c r="O2457" i="1"/>
  <c r="Q2456" i="1"/>
  <c r="O2456" i="1"/>
  <c r="Q2455" i="1"/>
  <c r="O2455" i="1"/>
  <c r="Q2454" i="1"/>
  <c r="O2454" i="1"/>
  <c r="Q2453" i="1"/>
  <c r="O2453" i="1"/>
  <c r="Q2452" i="1"/>
  <c r="O2452" i="1"/>
  <c r="Q2451" i="1"/>
  <c r="O2451" i="1"/>
  <c r="Q2450" i="1"/>
  <c r="O2450" i="1"/>
  <c r="Q2449" i="1"/>
  <c r="O2449" i="1"/>
  <c r="Q2448" i="1"/>
  <c r="O2448" i="1"/>
  <c r="Q2447" i="1"/>
  <c r="O2447" i="1"/>
  <c r="Q2446" i="1"/>
  <c r="O2446" i="1"/>
  <c r="Q2445" i="1"/>
  <c r="O2445" i="1"/>
  <c r="Q2444" i="1"/>
  <c r="O2444" i="1"/>
  <c r="Q2443" i="1"/>
  <c r="O2443" i="1"/>
  <c r="Q2442" i="1"/>
  <c r="O2442" i="1"/>
  <c r="Q2441" i="1"/>
  <c r="O2441" i="1"/>
  <c r="Q2440" i="1"/>
  <c r="O2440" i="1"/>
  <c r="Q2439" i="1"/>
  <c r="O2439" i="1"/>
  <c r="Q2438" i="1"/>
  <c r="O2438" i="1"/>
  <c r="Q2437" i="1"/>
  <c r="O2437" i="1"/>
  <c r="Q2436" i="1"/>
  <c r="O2436" i="1"/>
  <c r="Q2435" i="1"/>
  <c r="O2435" i="1"/>
  <c r="Q2434" i="1"/>
  <c r="O2434" i="1"/>
  <c r="Q2433" i="1"/>
  <c r="O2433" i="1"/>
  <c r="Q2432" i="1"/>
  <c r="O2432" i="1"/>
  <c r="Q2431" i="1"/>
  <c r="O2431" i="1"/>
  <c r="Q2430" i="1"/>
  <c r="O2430" i="1"/>
  <c r="Q2429" i="1"/>
  <c r="O2429" i="1"/>
  <c r="Q2428" i="1"/>
  <c r="O2428" i="1"/>
  <c r="Q2427" i="1"/>
  <c r="O2427" i="1"/>
  <c r="Q2426" i="1"/>
  <c r="O2426" i="1"/>
  <c r="Q2425" i="1"/>
  <c r="O2425" i="1"/>
  <c r="Q2424" i="1"/>
  <c r="O2424" i="1"/>
  <c r="Q2423" i="1"/>
  <c r="O2423" i="1"/>
  <c r="Q2422" i="1"/>
  <c r="O2422" i="1"/>
  <c r="Q2421" i="1"/>
  <c r="O2421" i="1"/>
  <c r="Q2420" i="1"/>
  <c r="O2420" i="1"/>
  <c r="Q2419" i="1"/>
  <c r="O2419" i="1"/>
  <c r="Q2418" i="1"/>
  <c r="O2418" i="1"/>
  <c r="Q2417" i="1"/>
  <c r="O2417" i="1"/>
  <c r="Q2416" i="1"/>
  <c r="O2416" i="1"/>
  <c r="Q2415" i="1"/>
  <c r="O2415" i="1"/>
  <c r="Q2414" i="1"/>
  <c r="O2414" i="1"/>
  <c r="Q2413" i="1"/>
  <c r="O2413" i="1"/>
  <c r="Q2412" i="1"/>
  <c r="O2412" i="1"/>
  <c r="Q2411" i="1"/>
  <c r="O2411" i="1"/>
  <c r="Q2410" i="1"/>
  <c r="O2410" i="1"/>
  <c r="Q2409" i="1"/>
  <c r="O2409" i="1"/>
  <c r="Q2408" i="1"/>
  <c r="O2408" i="1"/>
  <c r="Q2407" i="1"/>
  <c r="O2407" i="1"/>
  <c r="Q2406" i="1"/>
  <c r="O2406" i="1"/>
  <c r="Q2405" i="1"/>
  <c r="O2405" i="1"/>
  <c r="Q2404" i="1"/>
  <c r="O2404" i="1"/>
  <c r="Q2403" i="1"/>
  <c r="O2403" i="1"/>
  <c r="Q2402" i="1"/>
  <c r="O2402" i="1"/>
  <c r="Q2401" i="1"/>
  <c r="O2401" i="1"/>
  <c r="Q2400" i="1"/>
  <c r="O2400" i="1"/>
  <c r="Q2399" i="1"/>
  <c r="O2399" i="1"/>
  <c r="Q2398" i="1"/>
  <c r="O2398" i="1"/>
  <c r="Q2397" i="1"/>
  <c r="O2397" i="1"/>
  <c r="Q2396" i="1"/>
  <c r="O2396" i="1"/>
  <c r="Q2395" i="1"/>
  <c r="O2395" i="1"/>
  <c r="Q2394" i="1"/>
  <c r="O2394" i="1"/>
  <c r="Q2393" i="1"/>
  <c r="O2393" i="1"/>
  <c r="Q2392" i="1"/>
  <c r="O2392" i="1"/>
  <c r="Q2391" i="1"/>
  <c r="O2391" i="1"/>
  <c r="Q2390" i="1"/>
  <c r="O2390" i="1"/>
  <c r="Q2389" i="1"/>
  <c r="O2389" i="1"/>
  <c r="Q2388" i="1"/>
  <c r="O2388" i="1"/>
  <c r="Q2387" i="1"/>
  <c r="O2387" i="1"/>
  <c r="Q2386" i="1"/>
  <c r="O2386" i="1"/>
  <c r="Q2385" i="1"/>
  <c r="O2385" i="1"/>
  <c r="Q2384" i="1"/>
  <c r="O2384" i="1"/>
  <c r="Q2383" i="1"/>
  <c r="O2383" i="1"/>
  <c r="Q2382" i="1"/>
  <c r="O2382" i="1"/>
  <c r="Q2381" i="1"/>
  <c r="O2381" i="1"/>
  <c r="Q2380" i="1"/>
  <c r="O2380" i="1"/>
  <c r="Q2379" i="1"/>
  <c r="O2379" i="1"/>
  <c r="Q2378" i="1"/>
  <c r="O2378" i="1"/>
  <c r="Q2377" i="1"/>
  <c r="O2377" i="1"/>
  <c r="Q2376" i="1"/>
  <c r="O2376" i="1"/>
  <c r="Q2375" i="1"/>
  <c r="O2375" i="1"/>
  <c r="Q2374" i="1"/>
  <c r="O2374" i="1"/>
  <c r="Q2373" i="1"/>
  <c r="O2373" i="1"/>
  <c r="Q2372" i="1"/>
  <c r="O2372" i="1"/>
  <c r="Q2371" i="1"/>
  <c r="O2371" i="1"/>
  <c r="Q2370" i="1"/>
  <c r="O2370" i="1"/>
  <c r="Q2369" i="1"/>
  <c r="O2369" i="1"/>
  <c r="Q2368" i="1"/>
  <c r="O2368" i="1"/>
  <c r="Q2367" i="1"/>
  <c r="O2367" i="1"/>
  <c r="Q2366" i="1"/>
  <c r="O2366" i="1"/>
  <c r="Q2365" i="1"/>
  <c r="O2365" i="1"/>
  <c r="Q2364" i="1"/>
  <c r="O2364" i="1"/>
  <c r="Q2363" i="1"/>
  <c r="O2363" i="1"/>
  <c r="Q2362" i="1"/>
  <c r="O2362" i="1"/>
  <c r="Q2361" i="1"/>
  <c r="O2361" i="1"/>
  <c r="Q2360" i="1"/>
  <c r="O2360" i="1"/>
  <c r="Q2359" i="1"/>
  <c r="O2359" i="1"/>
  <c r="Q2358" i="1"/>
  <c r="O2358" i="1"/>
  <c r="Q2357" i="1"/>
  <c r="O2357" i="1"/>
  <c r="Q2356" i="1"/>
  <c r="O2356" i="1"/>
  <c r="Q2355" i="1"/>
  <c r="O2355" i="1"/>
  <c r="Q2354" i="1"/>
  <c r="O2354" i="1"/>
  <c r="Q2353" i="1"/>
  <c r="O2353" i="1"/>
  <c r="Q2352" i="1"/>
  <c r="O2352" i="1"/>
  <c r="Q2351" i="1"/>
  <c r="O2351" i="1"/>
  <c r="Q2350" i="1"/>
  <c r="O2350" i="1"/>
  <c r="Q2349" i="1"/>
  <c r="O2349" i="1"/>
  <c r="Q2348" i="1"/>
  <c r="O2348" i="1"/>
  <c r="Q2347" i="1"/>
  <c r="O2347" i="1"/>
  <c r="Q2346" i="1"/>
  <c r="O2346" i="1"/>
  <c r="Q2345" i="1"/>
  <c r="O2345" i="1"/>
  <c r="Q2344" i="1"/>
  <c r="O2344" i="1"/>
  <c r="Q2343" i="1"/>
  <c r="O2343" i="1"/>
  <c r="Q2342" i="1"/>
  <c r="O2342" i="1"/>
  <c r="Q2341" i="1"/>
  <c r="O2341" i="1"/>
  <c r="Q2340" i="1"/>
  <c r="O2340" i="1"/>
  <c r="Q2339" i="1"/>
  <c r="O2339" i="1"/>
  <c r="Q2338" i="1"/>
  <c r="O2338" i="1"/>
  <c r="Q2337" i="1"/>
  <c r="O2337" i="1"/>
  <c r="Q2336" i="1"/>
  <c r="O2336" i="1"/>
  <c r="Q2335" i="1"/>
  <c r="O2335" i="1"/>
  <c r="Q2334" i="1"/>
  <c r="O2334" i="1"/>
  <c r="Q2333" i="1"/>
  <c r="O2333" i="1"/>
  <c r="Q2332" i="1"/>
  <c r="O2332" i="1"/>
  <c r="Q2331" i="1"/>
  <c r="O2331" i="1"/>
  <c r="Q2330" i="1"/>
  <c r="O2330" i="1"/>
  <c r="Q2329" i="1"/>
  <c r="O2329" i="1"/>
  <c r="Q2328" i="1"/>
  <c r="O2328" i="1"/>
  <c r="Q2327" i="1"/>
  <c r="O2327" i="1"/>
  <c r="Q2326" i="1"/>
  <c r="O2326" i="1"/>
  <c r="Q2325" i="1"/>
  <c r="O2325" i="1"/>
  <c r="Q2324" i="1"/>
  <c r="O2324" i="1"/>
  <c r="Q2323" i="1"/>
  <c r="O2323" i="1"/>
  <c r="Q2322" i="1"/>
  <c r="O2322" i="1"/>
  <c r="Q2321" i="1"/>
  <c r="O2321" i="1"/>
  <c r="Q2320" i="1"/>
  <c r="O2320" i="1"/>
  <c r="Q2319" i="1"/>
  <c r="O2319" i="1"/>
  <c r="Q2318" i="1"/>
  <c r="O2318" i="1"/>
  <c r="Q2317" i="1"/>
  <c r="O2317" i="1"/>
  <c r="Q2316" i="1"/>
  <c r="O2316" i="1"/>
  <c r="Q2315" i="1"/>
  <c r="O2315" i="1"/>
  <c r="Q2314" i="1"/>
  <c r="O2314" i="1"/>
  <c r="Q2313" i="1"/>
  <c r="O2313" i="1"/>
  <c r="Q2312" i="1"/>
  <c r="O2312" i="1"/>
  <c r="Q2311" i="1"/>
  <c r="O2311" i="1"/>
  <c r="Q2310" i="1"/>
  <c r="O2310" i="1"/>
  <c r="Q2309" i="1"/>
  <c r="O2309" i="1"/>
  <c r="Q2308" i="1"/>
  <c r="O2308" i="1"/>
  <c r="Q2307" i="1"/>
  <c r="O2307" i="1"/>
  <c r="Q2306" i="1"/>
  <c r="O2306" i="1"/>
  <c r="Q2305" i="1"/>
  <c r="O2305" i="1"/>
  <c r="Q2304" i="1"/>
  <c r="O2304" i="1"/>
  <c r="Q2303" i="1"/>
  <c r="O2303" i="1"/>
  <c r="Q2302" i="1"/>
  <c r="O2302" i="1"/>
  <c r="Q2301" i="1"/>
  <c r="O2301" i="1"/>
  <c r="Q2300" i="1"/>
  <c r="O2300" i="1"/>
  <c r="Q2299" i="1"/>
  <c r="O2299" i="1"/>
  <c r="Q2298" i="1"/>
  <c r="O2298" i="1"/>
  <c r="Q2297" i="1"/>
  <c r="O2297" i="1"/>
  <c r="Q2296" i="1"/>
  <c r="O2296" i="1"/>
  <c r="Q2295" i="1"/>
  <c r="O2295" i="1"/>
  <c r="Q2294" i="1"/>
  <c r="O2294" i="1"/>
  <c r="Q2293" i="1"/>
  <c r="O2293" i="1"/>
  <c r="Q2292" i="1"/>
  <c r="O2292" i="1"/>
  <c r="Q2291" i="1"/>
  <c r="O2291" i="1"/>
  <c r="Q2290" i="1"/>
  <c r="O2290" i="1"/>
  <c r="Q2289" i="1"/>
  <c r="O2289" i="1"/>
  <c r="Q2288" i="1"/>
  <c r="O2288" i="1"/>
  <c r="Q2287" i="1"/>
  <c r="O2287" i="1"/>
  <c r="Q2286" i="1"/>
  <c r="O2286" i="1"/>
  <c r="Q2285" i="1"/>
  <c r="O2285" i="1"/>
  <c r="Q2284" i="1"/>
  <c r="O2284" i="1"/>
  <c r="Q2283" i="1"/>
  <c r="O2283" i="1"/>
  <c r="Q2282" i="1"/>
  <c r="O2282" i="1"/>
  <c r="Q2281" i="1"/>
  <c r="O2281" i="1"/>
  <c r="Q2280" i="1"/>
  <c r="O2280" i="1"/>
  <c r="Q2279" i="1"/>
  <c r="O2279" i="1"/>
  <c r="Q2278" i="1"/>
  <c r="O2278" i="1"/>
  <c r="Q2277" i="1"/>
  <c r="O2277" i="1"/>
  <c r="Q2276" i="1"/>
  <c r="O2276" i="1"/>
  <c r="Q2275" i="1"/>
  <c r="O2275" i="1"/>
  <c r="Q2274" i="1"/>
  <c r="O2274" i="1"/>
  <c r="Q2273" i="1"/>
  <c r="O2273" i="1"/>
  <c r="Q2272" i="1"/>
  <c r="O2272" i="1"/>
  <c r="Q2271" i="1"/>
  <c r="O2271" i="1"/>
  <c r="Q2270" i="1"/>
  <c r="O2270" i="1"/>
  <c r="Q2269" i="1"/>
  <c r="O2269" i="1"/>
  <c r="Q2268" i="1"/>
  <c r="O2268" i="1"/>
  <c r="Q2267" i="1"/>
  <c r="O2267" i="1"/>
  <c r="Q2266" i="1"/>
  <c r="O2266" i="1"/>
  <c r="Q2265" i="1"/>
  <c r="O2265" i="1"/>
  <c r="Q2264" i="1"/>
  <c r="O2264" i="1"/>
  <c r="Q2263" i="1"/>
  <c r="O2263" i="1"/>
  <c r="Q2262" i="1"/>
  <c r="O2262" i="1"/>
  <c r="Q2261" i="1"/>
  <c r="O2261" i="1"/>
  <c r="Q2260" i="1"/>
  <c r="O2260" i="1"/>
  <c r="Q2259" i="1"/>
  <c r="O2259" i="1"/>
  <c r="Q2258" i="1"/>
  <c r="O2258" i="1"/>
  <c r="Q2257" i="1"/>
  <c r="O2257" i="1"/>
  <c r="Q2256" i="1"/>
  <c r="O2256" i="1"/>
  <c r="Q2255" i="1"/>
  <c r="O2255" i="1"/>
  <c r="Q2254" i="1"/>
  <c r="O2254" i="1"/>
  <c r="Q2253" i="1"/>
  <c r="O2253" i="1"/>
  <c r="Q2252" i="1"/>
  <c r="O2252" i="1"/>
  <c r="Q2251" i="1"/>
  <c r="O2251" i="1"/>
  <c r="Q2250" i="1"/>
  <c r="O2250" i="1"/>
  <c r="Q2249" i="1"/>
  <c r="O2249" i="1"/>
  <c r="Q2248" i="1"/>
  <c r="O2248" i="1"/>
  <c r="Q2247" i="1"/>
  <c r="O2247" i="1"/>
  <c r="Q2246" i="1"/>
  <c r="O2246" i="1"/>
  <c r="Q2245" i="1"/>
  <c r="O2245" i="1"/>
  <c r="Q2244" i="1"/>
  <c r="O2244" i="1"/>
  <c r="Q2243" i="1"/>
  <c r="O2243" i="1"/>
  <c r="Q2242" i="1"/>
  <c r="O2242" i="1"/>
  <c r="Q2241" i="1"/>
  <c r="O2241" i="1"/>
  <c r="Q2240" i="1"/>
  <c r="O2240" i="1"/>
  <c r="Q2239" i="1"/>
  <c r="O2239" i="1"/>
  <c r="Q2238" i="1"/>
  <c r="O2238" i="1"/>
  <c r="Q2237" i="1"/>
  <c r="O2237" i="1"/>
  <c r="Q2236" i="1"/>
  <c r="O2236" i="1"/>
  <c r="Q2235" i="1"/>
  <c r="O2235" i="1"/>
  <c r="Q2234" i="1"/>
  <c r="O2234" i="1"/>
  <c r="Q2233" i="1"/>
  <c r="O2233" i="1"/>
  <c r="Q2232" i="1"/>
  <c r="O2232" i="1"/>
  <c r="Q2231" i="1"/>
  <c r="O2231" i="1"/>
  <c r="Q2230" i="1"/>
  <c r="O2230" i="1"/>
  <c r="Q2229" i="1"/>
  <c r="O2229" i="1"/>
  <c r="Q2228" i="1"/>
  <c r="O2228" i="1"/>
  <c r="Q2227" i="1"/>
  <c r="O2227" i="1"/>
  <c r="Q2226" i="1"/>
  <c r="O2226" i="1"/>
  <c r="Q2225" i="1"/>
  <c r="O2225" i="1"/>
  <c r="Q2224" i="1"/>
  <c r="O2224" i="1"/>
  <c r="Q2223" i="1"/>
  <c r="O2223" i="1"/>
  <c r="Q2222" i="1"/>
  <c r="O2222" i="1"/>
  <c r="Q2221" i="1"/>
  <c r="O2221" i="1"/>
  <c r="Q2220" i="1"/>
  <c r="O2220" i="1"/>
  <c r="Q2219" i="1"/>
  <c r="O2219" i="1"/>
  <c r="Q2218" i="1"/>
  <c r="O2218" i="1"/>
  <c r="Q2217" i="1"/>
  <c r="O2217" i="1"/>
  <c r="Q2216" i="1"/>
  <c r="O2216" i="1"/>
  <c r="Q2215" i="1"/>
  <c r="O2215" i="1"/>
  <c r="Q2214" i="1"/>
  <c r="O2214" i="1"/>
  <c r="Q2213" i="1"/>
  <c r="O2213" i="1"/>
  <c r="Q2212" i="1"/>
  <c r="O2212" i="1"/>
  <c r="Q2211" i="1"/>
  <c r="O2211" i="1"/>
  <c r="Q2210" i="1"/>
  <c r="O2210" i="1"/>
  <c r="Q2209" i="1"/>
  <c r="O2209" i="1"/>
  <c r="Q2208" i="1"/>
  <c r="O2208" i="1"/>
  <c r="Q2207" i="1"/>
  <c r="O2207" i="1"/>
  <c r="Q2206" i="1"/>
  <c r="O2206" i="1"/>
  <c r="Q2205" i="1"/>
  <c r="O2205" i="1"/>
  <c r="Q2204" i="1"/>
  <c r="O2204" i="1"/>
  <c r="Q2203" i="1"/>
  <c r="O2203" i="1"/>
  <c r="Q2202" i="1"/>
  <c r="O2202" i="1"/>
  <c r="Q2201" i="1"/>
  <c r="O2201" i="1"/>
  <c r="Q2200" i="1"/>
  <c r="O2200" i="1"/>
  <c r="Q2199" i="1"/>
  <c r="O2199" i="1"/>
  <c r="Q2198" i="1"/>
  <c r="O2198" i="1"/>
  <c r="Q2197" i="1"/>
  <c r="O2197" i="1"/>
  <c r="Q2196" i="1"/>
  <c r="O2196" i="1"/>
  <c r="Q2195" i="1"/>
  <c r="O2195" i="1"/>
  <c r="Q2194" i="1"/>
  <c r="O2194" i="1"/>
  <c r="Q2193" i="1"/>
  <c r="O2193" i="1"/>
  <c r="Q2192" i="1"/>
  <c r="O2192" i="1"/>
  <c r="Q2191" i="1"/>
  <c r="O2191" i="1"/>
  <c r="Q2190" i="1"/>
  <c r="O2190" i="1"/>
  <c r="Q2189" i="1"/>
  <c r="O2189" i="1"/>
  <c r="Q2188" i="1"/>
  <c r="O2188" i="1"/>
  <c r="Q2187" i="1"/>
  <c r="O2187" i="1"/>
  <c r="Q2186" i="1"/>
  <c r="O2186" i="1"/>
  <c r="Q2185" i="1"/>
  <c r="O2185" i="1"/>
  <c r="Q2184" i="1"/>
  <c r="O2184" i="1"/>
  <c r="Q2183" i="1"/>
  <c r="O2183" i="1"/>
  <c r="Q2182" i="1"/>
  <c r="O2182" i="1"/>
  <c r="Q2181" i="1"/>
  <c r="O2181" i="1"/>
  <c r="Q2180" i="1"/>
  <c r="O2180" i="1"/>
  <c r="Q2179" i="1"/>
  <c r="O2179" i="1"/>
  <c r="Q2178" i="1"/>
  <c r="O2178" i="1"/>
  <c r="Q2177" i="1"/>
  <c r="O2177" i="1"/>
  <c r="Q2176" i="1"/>
  <c r="O2176" i="1"/>
  <c r="Q2175" i="1"/>
  <c r="O2175" i="1"/>
  <c r="Q2174" i="1"/>
  <c r="O2174" i="1"/>
  <c r="Q2173" i="1"/>
  <c r="O2173" i="1"/>
  <c r="Q2172" i="1"/>
  <c r="O2172" i="1"/>
  <c r="Q2171" i="1"/>
  <c r="O2171" i="1"/>
  <c r="Q2170" i="1"/>
  <c r="O2170" i="1"/>
  <c r="Q2169" i="1"/>
  <c r="O2169" i="1"/>
  <c r="Q2168" i="1"/>
  <c r="O2168" i="1"/>
  <c r="Q2167" i="1"/>
  <c r="O2167" i="1"/>
  <c r="Q2166" i="1"/>
  <c r="O2166" i="1"/>
  <c r="Q2165" i="1"/>
  <c r="O2165" i="1"/>
  <c r="Q2164" i="1"/>
  <c r="O2164" i="1"/>
  <c r="Q2163" i="1"/>
  <c r="O2163" i="1"/>
  <c r="Q2162" i="1"/>
  <c r="O2162" i="1"/>
  <c r="Q2161" i="1"/>
  <c r="O2161" i="1"/>
  <c r="Q2160" i="1"/>
  <c r="O2160" i="1"/>
  <c r="Q2159" i="1"/>
  <c r="O2159" i="1"/>
  <c r="Q2158" i="1"/>
  <c r="O2158" i="1"/>
  <c r="Q2157" i="1"/>
  <c r="O2157" i="1"/>
  <c r="Q2156" i="1"/>
  <c r="O2156" i="1"/>
  <c r="Q2155" i="1"/>
  <c r="O2155" i="1"/>
  <c r="Q2154" i="1"/>
  <c r="O2154" i="1"/>
  <c r="Q2153" i="1"/>
  <c r="O2153" i="1"/>
  <c r="Q2152" i="1"/>
  <c r="O2152" i="1"/>
  <c r="Q2151" i="1"/>
  <c r="O2151" i="1"/>
  <c r="Q2150" i="1"/>
  <c r="O2150" i="1"/>
  <c r="Q2149" i="1"/>
  <c r="O2149" i="1"/>
  <c r="Q2148" i="1"/>
  <c r="O2148" i="1"/>
  <c r="Q2147" i="1"/>
  <c r="O2147" i="1"/>
  <c r="Q2146" i="1"/>
  <c r="O2146" i="1"/>
  <c r="Q2145" i="1"/>
  <c r="O2145" i="1"/>
  <c r="Q2144" i="1"/>
  <c r="O2144" i="1"/>
  <c r="Q2143" i="1"/>
  <c r="O2143" i="1"/>
  <c r="Q2142" i="1"/>
  <c r="O2142" i="1"/>
  <c r="Q2141" i="1"/>
  <c r="O2141" i="1"/>
  <c r="Q2140" i="1"/>
  <c r="O2140" i="1"/>
  <c r="Q2139" i="1"/>
  <c r="O2139" i="1"/>
  <c r="Q2138" i="1"/>
  <c r="O2138" i="1"/>
  <c r="Q2137" i="1"/>
  <c r="O2137" i="1"/>
  <c r="Q2136" i="1"/>
  <c r="O2136" i="1"/>
  <c r="Q2135" i="1"/>
  <c r="O2135" i="1"/>
  <c r="Q2134" i="1"/>
  <c r="O2134" i="1"/>
  <c r="Q2133" i="1"/>
  <c r="O2133" i="1"/>
  <c r="Q2132" i="1"/>
  <c r="O2132" i="1"/>
  <c r="Q2131" i="1"/>
  <c r="O2131" i="1"/>
  <c r="Q2130" i="1"/>
  <c r="O2130" i="1"/>
  <c r="Q2129" i="1"/>
  <c r="O2129" i="1"/>
  <c r="Q2128" i="1"/>
  <c r="O2128" i="1"/>
  <c r="Q2127" i="1"/>
  <c r="O2127" i="1"/>
  <c r="Q2126" i="1"/>
  <c r="O2126" i="1"/>
  <c r="Q2125" i="1"/>
  <c r="O2125" i="1"/>
  <c r="Q2124" i="1"/>
  <c r="O2124" i="1"/>
  <c r="Q2123" i="1"/>
  <c r="O2123" i="1"/>
  <c r="Q2122" i="1"/>
  <c r="O2122" i="1"/>
  <c r="Q2121" i="1"/>
  <c r="O2121" i="1"/>
  <c r="Q2120" i="1"/>
  <c r="O2120" i="1"/>
  <c r="Q2119" i="1"/>
  <c r="O2119" i="1"/>
  <c r="Q2118" i="1"/>
  <c r="O2118" i="1"/>
  <c r="Q2117" i="1"/>
  <c r="O2117" i="1"/>
  <c r="Q2116" i="1"/>
  <c r="O2116" i="1"/>
  <c r="Q2115" i="1"/>
  <c r="O2115" i="1"/>
  <c r="Q2114" i="1"/>
  <c r="O2114" i="1"/>
  <c r="Q2113" i="1"/>
  <c r="O2113" i="1"/>
  <c r="Q2112" i="1"/>
  <c r="O2112" i="1"/>
  <c r="Q2111" i="1"/>
  <c r="O2111" i="1"/>
  <c r="Q2110" i="1"/>
  <c r="O2110" i="1"/>
  <c r="Q2109" i="1"/>
  <c r="O2109" i="1"/>
  <c r="Q2108" i="1"/>
  <c r="O2108" i="1"/>
  <c r="Q2107" i="1"/>
  <c r="O2107" i="1"/>
  <c r="Q2106" i="1"/>
  <c r="O2106" i="1"/>
  <c r="Q2105" i="1"/>
  <c r="O2105" i="1"/>
  <c r="Q2104" i="1"/>
  <c r="O2104" i="1"/>
  <c r="Q2103" i="1"/>
  <c r="O2103" i="1"/>
  <c r="Q2102" i="1"/>
  <c r="O2102" i="1"/>
  <c r="Q2101" i="1"/>
  <c r="O2101" i="1"/>
  <c r="Q2100" i="1"/>
  <c r="O2100" i="1"/>
  <c r="Q2099" i="1"/>
  <c r="O2099" i="1"/>
  <c r="Q2098" i="1"/>
  <c r="O2098" i="1"/>
  <c r="Q2097" i="1"/>
  <c r="O2097" i="1"/>
  <c r="Q2096" i="1"/>
  <c r="O2096" i="1"/>
  <c r="Q2095" i="1"/>
  <c r="O2095" i="1"/>
  <c r="Q2094" i="1"/>
  <c r="O2094" i="1"/>
  <c r="Q2093" i="1"/>
  <c r="O2093" i="1"/>
  <c r="Q2092" i="1"/>
  <c r="O2092" i="1"/>
  <c r="Q2091" i="1"/>
  <c r="O2091" i="1"/>
  <c r="Q2090" i="1"/>
  <c r="O2090" i="1"/>
  <c r="Q2089" i="1"/>
  <c r="O2089" i="1"/>
  <c r="Q2088" i="1"/>
  <c r="O2088" i="1"/>
  <c r="Q2087" i="1"/>
  <c r="O2087" i="1"/>
  <c r="Q2086" i="1"/>
  <c r="O2086" i="1"/>
  <c r="Q2085" i="1"/>
  <c r="O2085" i="1"/>
  <c r="Q2084" i="1"/>
  <c r="O2084" i="1"/>
  <c r="Q2083" i="1"/>
  <c r="O2083" i="1"/>
  <c r="Q2082" i="1"/>
  <c r="O2082" i="1"/>
  <c r="Q2081" i="1"/>
  <c r="O2081" i="1"/>
  <c r="Q2080" i="1"/>
  <c r="O2080" i="1"/>
  <c r="Q2079" i="1"/>
  <c r="O2079" i="1"/>
  <c r="Q2078" i="1"/>
  <c r="O2078" i="1"/>
  <c r="Q2077" i="1"/>
  <c r="O2077" i="1"/>
  <c r="Q2076" i="1"/>
  <c r="O2076" i="1"/>
  <c r="Q2075" i="1"/>
  <c r="O2075" i="1"/>
  <c r="Q2074" i="1"/>
  <c r="O2074" i="1"/>
  <c r="Q2073" i="1"/>
  <c r="O2073" i="1"/>
  <c r="Q2072" i="1"/>
  <c r="O2072" i="1"/>
  <c r="Q2071" i="1"/>
  <c r="O2071" i="1"/>
  <c r="Q2070" i="1"/>
  <c r="O2070" i="1"/>
  <c r="Q2069" i="1"/>
  <c r="O2069" i="1"/>
  <c r="Q2068" i="1"/>
  <c r="O2068" i="1"/>
  <c r="Q2067" i="1"/>
  <c r="O2067" i="1"/>
  <c r="Q2066" i="1"/>
  <c r="O2066" i="1"/>
  <c r="Q2065" i="1"/>
  <c r="O2065" i="1"/>
  <c r="Q2064" i="1"/>
  <c r="O2064" i="1"/>
  <c r="Q2063" i="1"/>
  <c r="O2063" i="1"/>
  <c r="Q2062" i="1"/>
  <c r="O2062" i="1"/>
  <c r="Q2061" i="1"/>
  <c r="O2061" i="1"/>
  <c r="Q2060" i="1"/>
  <c r="O2060" i="1"/>
  <c r="Q2059" i="1"/>
  <c r="O2059" i="1"/>
  <c r="Q2058" i="1"/>
  <c r="O2058" i="1"/>
  <c r="Q2057" i="1"/>
  <c r="O2057" i="1"/>
  <c r="Q2056" i="1"/>
  <c r="O2056" i="1"/>
  <c r="Q2055" i="1"/>
  <c r="O2055" i="1"/>
  <c r="Q2054" i="1"/>
  <c r="O2054" i="1"/>
  <c r="Q2053" i="1"/>
  <c r="O2053" i="1"/>
  <c r="Q2052" i="1"/>
  <c r="O2052" i="1"/>
  <c r="Q2051" i="1"/>
  <c r="O2051" i="1"/>
  <c r="Q2050" i="1"/>
  <c r="O2050" i="1"/>
  <c r="Q2049" i="1"/>
  <c r="O2049" i="1"/>
  <c r="Q2048" i="1"/>
  <c r="O2048" i="1"/>
  <c r="Q2047" i="1"/>
  <c r="O2047" i="1"/>
  <c r="Q2046" i="1"/>
  <c r="O2046" i="1"/>
  <c r="Q2045" i="1"/>
  <c r="O2045" i="1"/>
  <c r="Q2044" i="1"/>
  <c r="O2044" i="1"/>
  <c r="Q2043" i="1"/>
  <c r="O2043" i="1"/>
  <c r="Q2042" i="1"/>
  <c r="O2042" i="1"/>
  <c r="Q2041" i="1"/>
  <c r="O2041" i="1"/>
  <c r="Q2040" i="1"/>
  <c r="O2040" i="1"/>
  <c r="Q2039" i="1"/>
  <c r="O2039" i="1"/>
  <c r="Q2038" i="1"/>
  <c r="O2038" i="1"/>
  <c r="Q2037" i="1"/>
  <c r="O2037" i="1"/>
  <c r="Q2036" i="1"/>
  <c r="O2036" i="1"/>
  <c r="Q2035" i="1"/>
  <c r="O2035" i="1"/>
  <c r="Q2034" i="1"/>
  <c r="O2034" i="1"/>
  <c r="Q2033" i="1"/>
  <c r="O2033" i="1"/>
  <c r="Q2032" i="1"/>
  <c r="O2032" i="1"/>
  <c r="Q2031" i="1"/>
  <c r="O2031" i="1"/>
  <c r="Q2030" i="1"/>
  <c r="O2030" i="1"/>
  <c r="Q2029" i="1"/>
  <c r="O2029" i="1"/>
  <c r="Q2028" i="1"/>
  <c r="O2028" i="1"/>
  <c r="Q2027" i="1"/>
  <c r="O2027" i="1"/>
  <c r="Q2026" i="1"/>
  <c r="O2026" i="1"/>
  <c r="Q2025" i="1"/>
  <c r="O2025" i="1"/>
  <c r="Q2024" i="1"/>
  <c r="O2024" i="1"/>
  <c r="Q2023" i="1"/>
  <c r="O2023" i="1"/>
  <c r="Q2022" i="1"/>
  <c r="O2022" i="1"/>
  <c r="Q2021" i="1"/>
  <c r="O2021" i="1"/>
  <c r="Q2020" i="1"/>
  <c r="O2020" i="1"/>
  <c r="Q2019" i="1"/>
  <c r="O2019" i="1"/>
  <c r="Q2018" i="1"/>
  <c r="O2018" i="1"/>
  <c r="Q2017" i="1"/>
  <c r="O2017" i="1"/>
  <c r="Q2016" i="1"/>
  <c r="O2016" i="1"/>
  <c r="Q2015" i="1"/>
  <c r="O2015" i="1"/>
  <c r="Q2014" i="1"/>
  <c r="O2014" i="1"/>
  <c r="Q2013" i="1"/>
  <c r="O2013" i="1"/>
  <c r="Q2012" i="1"/>
  <c r="O2012" i="1"/>
  <c r="Q2011" i="1"/>
  <c r="O2011" i="1"/>
  <c r="Q2010" i="1"/>
  <c r="O2010" i="1"/>
  <c r="Q2009" i="1"/>
  <c r="O2009" i="1"/>
  <c r="Q2008" i="1"/>
  <c r="O2008" i="1"/>
  <c r="Q2007" i="1"/>
  <c r="O2007" i="1"/>
  <c r="Q2006" i="1"/>
  <c r="O2006" i="1"/>
  <c r="Q2005" i="1"/>
  <c r="O2005" i="1"/>
  <c r="Q2004" i="1"/>
  <c r="O2004" i="1"/>
  <c r="Q2003" i="1"/>
  <c r="O2003" i="1"/>
  <c r="Q2002" i="1"/>
  <c r="O2002" i="1"/>
  <c r="Q2001" i="1"/>
  <c r="O2001" i="1"/>
  <c r="Q2000" i="1"/>
  <c r="O2000" i="1"/>
  <c r="Q1999" i="1"/>
  <c r="O1999" i="1"/>
  <c r="Q1998" i="1"/>
  <c r="O1998" i="1"/>
  <c r="Q1997" i="1"/>
  <c r="O1997" i="1"/>
  <c r="Q1996" i="1"/>
  <c r="O1996" i="1"/>
  <c r="Q1995" i="1"/>
  <c r="O1995" i="1"/>
  <c r="Q1994" i="1"/>
  <c r="O1994" i="1"/>
  <c r="Q1993" i="1"/>
  <c r="O1993" i="1"/>
  <c r="Q1992" i="1"/>
  <c r="O1992" i="1"/>
  <c r="Q1991" i="1"/>
  <c r="O1991" i="1"/>
  <c r="Q1990" i="1"/>
  <c r="O1990" i="1"/>
  <c r="Q1989" i="1"/>
  <c r="O1989" i="1"/>
  <c r="Q1988" i="1"/>
  <c r="O1988" i="1"/>
  <c r="Q1987" i="1"/>
  <c r="O1987" i="1"/>
  <c r="Q1986" i="1"/>
  <c r="O1986" i="1"/>
  <c r="Q1985" i="1"/>
  <c r="O1985" i="1"/>
  <c r="Q1984" i="1"/>
  <c r="O1984" i="1"/>
  <c r="Q1983" i="1"/>
  <c r="O1983" i="1"/>
  <c r="Q1982" i="1"/>
  <c r="O1982" i="1"/>
  <c r="Q1981" i="1"/>
  <c r="O1981" i="1"/>
  <c r="Q1980" i="1"/>
  <c r="O1980" i="1"/>
  <c r="Q1979" i="1"/>
  <c r="O1979" i="1"/>
  <c r="Q1978" i="1"/>
  <c r="O1978" i="1"/>
  <c r="Q1977" i="1"/>
  <c r="O1977" i="1"/>
  <c r="Q1976" i="1"/>
  <c r="O1976" i="1"/>
  <c r="Q1975" i="1"/>
  <c r="O1975" i="1"/>
  <c r="Q1974" i="1"/>
  <c r="O1974" i="1"/>
  <c r="Q1973" i="1"/>
  <c r="O1973" i="1"/>
  <c r="Q1972" i="1"/>
  <c r="O1972" i="1"/>
  <c r="Q1971" i="1"/>
  <c r="O1971" i="1"/>
  <c r="Q1970" i="1"/>
  <c r="O1970" i="1"/>
  <c r="Q1969" i="1"/>
  <c r="O1969" i="1"/>
  <c r="Q1968" i="1"/>
  <c r="O1968" i="1"/>
  <c r="Q1967" i="1"/>
  <c r="O1967" i="1"/>
  <c r="Q1966" i="1"/>
  <c r="O1966" i="1"/>
  <c r="Q1965" i="1"/>
  <c r="O1965" i="1"/>
  <c r="Q1964" i="1"/>
  <c r="O1964" i="1"/>
  <c r="Q1963" i="1"/>
  <c r="O1963" i="1"/>
  <c r="Q1962" i="1"/>
  <c r="O1962" i="1"/>
  <c r="Q1961" i="1"/>
  <c r="O1961" i="1"/>
  <c r="Q1960" i="1"/>
  <c r="O1960" i="1"/>
  <c r="Q1959" i="1"/>
  <c r="O1959" i="1"/>
  <c r="Q1958" i="1"/>
  <c r="O1958" i="1"/>
  <c r="Q1957" i="1"/>
  <c r="O1957" i="1"/>
  <c r="Q1956" i="1"/>
  <c r="O1956" i="1"/>
  <c r="Q1955" i="1"/>
  <c r="O1955" i="1"/>
  <c r="Q1954" i="1"/>
  <c r="O1954" i="1"/>
  <c r="Q1953" i="1"/>
  <c r="O1953" i="1"/>
  <c r="Q1952" i="1"/>
  <c r="O1952" i="1"/>
  <c r="Q1951" i="1"/>
  <c r="O1951" i="1"/>
  <c r="Q1950" i="1"/>
  <c r="O1950" i="1"/>
  <c r="Q1949" i="1"/>
  <c r="O1949" i="1"/>
  <c r="Q1948" i="1"/>
  <c r="O1948" i="1"/>
  <c r="Q1947" i="1"/>
  <c r="O1947" i="1"/>
  <c r="Q1946" i="1"/>
  <c r="O1946" i="1"/>
  <c r="Q1945" i="1"/>
  <c r="O1945" i="1"/>
  <c r="Q1944" i="1"/>
  <c r="O1944" i="1"/>
  <c r="Q1943" i="1"/>
  <c r="O1943" i="1"/>
  <c r="Q1942" i="1"/>
  <c r="O1942" i="1"/>
  <c r="Q1941" i="1"/>
  <c r="O1941" i="1"/>
  <c r="Q1940" i="1"/>
  <c r="O1940" i="1"/>
  <c r="Q1939" i="1"/>
  <c r="O1939" i="1"/>
  <c r="Q1938" i="1"/>
  <c r="O1938" i="1"/>
  <c r="Q1937" i="1"/>
  <c r="O1937" i="1"/>
  <c r="Q1936" i="1"/>
  <c r="O1936" i="1"/>
  <c r="Q1935" i="1"/>
  <c r="O1935" i="1"/>
  <c r="Q1934" i="1"/>
  <c r="O1934" i="1"/>
  <c r="Q1933" i="1"/>
  <c r="O1933" i="1"/>
  <c r="Q1932" i="1"/>
  <c r="O1932" i="1"/>
  <c r="Q1931" i="1"/>
  <c r="O1931" i="1"/>
  <c r="Q1930" i="1"/>
  <c r="O1930" i="1"/>
  <c r="Q1929" i="1"/>
  <c r="O1929" i="1"/>
  <c r="Q1928" i="1"/>
  <c r="O1928" i="1"/>
  <c r="Q1927" i="1"/>
  <c r="O1927" i="1"/>
  <c r="Q1926" i="1"/>
  <c r="O1926" i="1"/>
  <c r="Q1925" i="1"/>
  <c r="O1925" i="1"/>
  <c r="Q1924" i="1"/>
  <c r="O1924" i="1"/>
  <c r="Q1923" i="1"/>
  <c r="O1923" i="1"/>
  <c r="Q1922" i="1"/>
  <c r="O1922" i="1"/>
  <c r="Q1921" i="1"/>
  <c r="O1921" i="1"/>
  <c r="Q1920" i="1"/>
  <c r="O1920" i="1"/>
  <c r="Q1919" i="1"/>
  <c r="O1919" i="1"/>
  <c r="Q1918" i="1"/>
  <c r="O1918" i="1"/>
  <c r="Q1917" i="1"/>
  <c r="O1917" i="1"/>
  <c r="Q1916" i="1"/>
  <c r="O1916" i="1"/>
  <c r="Q1915" i="1"/>
  <c r="O1915" i="1"/>
  <c r="Q1914" i="1"/>
  <c r="O1914" i="1"/>
  <c r="Q1913" i="1"/>
  <c r="O1913" i="1"/>
  <c r="Q1912" i="1"/>
  <c r="O1912" i="1"/>
  <c r="Q1911" i="1"/>
  <c r="O1911" i="1"/>
  <c r="Q1910" i="1"/>
  <c r="O1910" i="1"/>
  <c r="Q1909" i="1"/>
  <c r="O1909" i="1"/>
  <c r="Q1908" i="1"/>
  <c r="O1908" i="1"/>
  <c r="Q1907" i="1"/>
  <c r="O1907" i="1"/>
  <c r="Q1906" i="1"/>
  <c r="O1906" i="1"/>
  <c r="Q1905" i="1"/>
  <c r="O1905" i="1"/>
  <c r="Q1904" i="1"/>
  <c r="O1904" i="1"/>
  <c r="Q1903" i="1"/>
  <c r="O1903" i="1"/>
  <c r="Q1902" i="1"/>
  <c r="O1902" i="1"/>
  <c r="Q1901" i="1"/>
  <c r="O1901" i="1"/>
  <c r="Q1900" i="1"/>
  <c r="O1900" i="1"/>
  <c r="Q1899" i="1"/>
  <c r="O1899" i="1"/>
  <c r="Q1898" i="1"/>
  <c r="O1898" i="1"/>
  <c r="Q1897" i="1"/>
  <c r="O1897" i="1"/>
  <c r="Q1896" i="1"/>
  <c r="O1896" i="1"/>
  <c r="Q1895" i="1"/>
  <c r="O1895" i="1"/>
  <c r="Q1894" i="1"/>
  <c r="O1894" i="1"/>
  <c r="Q1893" i="1"/>
  <c r="O1893" i="1"/>
  <c r="Q1892" i="1"/>
  <c r="O1892" i="1"/>
  <c r="Q1891" i="1"/>
  <c r="O1891" i="1"/>
  <c r="Q1890" i="1"/>
  <c r="O1890" i="1"/>
  <c r="Q1889" i="1"/>
  <c r="O1889" i="1"/>
  <c r="Q1888" i="1"/>
  <c r="O1888" i="1"/>
  <c r="Q1887" i="1"/>
  <c r="O1887" i="1"/>
  <c r="Q1886" i="1"/>
  <c r="O1886" i="1"/>
  <c r="Q1885" i="1"/>
  <c r="O1885" i="1"/>
  <c r="Q1884" i="1"/>
  <c r="O1884" i="1"/>
  <c r="Q1883" i="1"/>
  <c r="O1883" i="1"/>
  <c r="Q1882" i="1"/>
  <c r="O1882" i="1"/>
  <c r="Q1881" i="1"/>
  <c r="O1881" i="1"/>
  <c r="Q1880" i="1"/>
  <c r="O1880" i="1"/>
  <c r="Q1879" i="1"/>
  <c r="O1879" i="1"/>
  <c r="Q1878" i="1"/>
  <c r="O1878" i="1"/>
  <c r="Q1877" i="1"/>
  <c r="O1877" i="1"/>
  <c r="Q1876" i="1"/>
  <c r="O1876" i="1"/>
  <c r="Q1875" i="1"/>
  <c r="O1875" i="1"/>
  <c r="Q1874" i="1"/>
  <c r="O1874" i="1"/>
  <c r="Q1873" i="1"/>
  <c r="O1873" i="1"/>
  <c r="Q1872" i="1"/>
  <c r="O1872" i="1"/>
  <c r="Q1871" i="1"/>
  <c r="O1871" i="1"/>
  <c r="Q1870" i="1"/>
  <c r="O1870" i="1"/>
  <c r="Q1869" i="1"/>
  <c r="O1869" i="1"/>
  <c r="Q1868" i="1"/>
  <c r="O1868" i="1"/>
  <c r="Q1867" i="1"/>
  <c r="O1867" i="1"/>
  <c r="Q1866" i="1"/>
  <c r="O1866" i="1"/>
  <c r="Q1865" i="1"/>
  <c r="O1865" i="1"/>
  <c r="Q1864" i="1"/>
  <c r="O1864" i="1"/>
  <c r="Q1863" i="1"/>
  <c r="O1863" i="1"/>
  <c r="Q1862" i="1"/>
  <c r="O1862" i="1"/>
  <c r="Q1861" i="1"/>
  <c r="O1861" i="1"/>
  <c r="Q1860" i="1"/>
  <c r="O1860" i="1"/>
  <c r="Q1859" i="1"/>
  <c r="O1859" i="1"/>
  <c r="Q1858" i="1"/>
  <c r="O1858" i="1"/>
  <c r="Q1857" i="1"/>
  <c r="O1857" i="1"/>
  <c r="Q1856" i="1"/>
  <c r="O1856" i="1"/>
  <c r="Q1855" i="1"/>
  <c r="O1855" i="1"/>
  <c r="Q1854" i="1"/>
  <c r="O1854" i="1"/>
  <c r="Q1853" i="1"/>
  <c r="O1853" i="1"/>
  <c r="Q1852" i="1"/>
  <c r="O1852" i="1"/>
  <c r="Q1851" i="1"/>
  <c r="O1851" i="1"/>
  <c r="Q1850" i="1"/>
  <c r="O1850" i="1"/>
  <c r="Q1849" i="1"/>
  <c r="O1849" i="1"/>
  <c r="Q1848" i="1"/>
  <c r="O1848" i="1"/>
  <c r="Q1847" i="1"/>
  <c r="O1847" i="1"/>
  <c r="Q1846" i="1"/>
  <c r="O1846" i="1"/>
  <c r="Q1845" i="1"/>
  <c r="O1845" i="1"/>
  <c r="Q1844" i="1"/>
  <c r="O1844" i="1"/>
  <c r="Q1843" i="1"/>
  <c r="O1843" i="1"/>
  <c r="Q1842" i="1"/>
  <c r="O1842" i="1"/>
  <c r="Q1841" i="1"/>
  <c r="O1841" i="1"/>
  <c r="Q1840" i="1"/>
  <c r="O1840" i="1"/>
  <c r="Q1839" i="1"/>
  <c r="O1839" i="1"/>
  <c r="Q1838" i="1"/>
  <c r="O1838" i="1"/>
  <c r="Q1837" i="1"/>
  <c r="O1837" i="1"/>
  <c r="Q1836" i="1"/>
  <c r="O1836" i="1"/>
  <c r="Q1835" i="1"/>
  <c r="O1835" i="1"/>
  <c r="Q1834" i="1"/>
  <c r="O1834" i="1"/>
  <c r="Q1833" i="1"/>
  <c r="O1833" i="1"/>
  <c r="Q1832" i="1"/>
  <c r="O1832" i="1"/>
  <c r="Q1831" i="1"/>
  <c r="O1831" i="1"/>
  <c r="Q1830" i="1"/>
  <c r="O1830" i="1"/>
  <c r="Q1829" i="1"/>
  <c r="O1829" i="1"/>
  <c r="Q1828" i="1"/>
  <c r="O1828" i="1"/>
  <c r="Q1827" i="1"/>
  <c r="O1827" i="1"/>
  <c r="Q1826" i="1"/>
  <c r="O1826" i="1"/>
  <c r="Q1825" i="1"/>
  <c r="O1825" i="1"/>
  <c r="Q1824" i="1"/>
  <c r="O1824" i="1"/>
  <c r="Q1823" i="1"/>
  <c r="O1823" i="1"/>
  <c r="Q1822" i="1"/>
  <c r="O1822" i="1"/>
  <c r="Q1821" i="1"/>
  <c r="O1821" i="1"/>
  <c r="Q1820" i="1"/>
  <c r="O1820" i="1"/>
  <c r="Q1819" i="1"/>
  <c r="O1819" i="1"/>
  <c r="Q1818" i="1"/>
  <c r="O1818" i="1"/>
  <c r="Q1817" i="1"/>
  <c r="O1817" i="1"/>
  <c r="Q1816" i="1"/>
  <c r="O1816" i="1"/>
  <c r="Q1815" i="1"/>
  <c r="O1815" i="1"/>
  <c r="Q1814" i="1"/>
  <c r="O1814" i="1"/>
  <c r="Q1813" i="1"/>
  <c r="O1813" i="1"/>
  <c r="Q1812" i="1"/>
  <c r="O1812" i="1"/>
  <c r="Q1811" i="1"/>
  <c r="O1811" i="1"/>
  <c r="Q1810" i="1"/>
  <c r="O1810" i="1"/>
  <c r="Q1809" i="1"/>
  <c r="O1809" i="1"/>
  <c r="Q1808" i="1"/>
  <c r="O1808" i="1"/>
  <c r="Q1807" i="1"/>
  <c r="O1807" i="1"/>
  <c r="Q1806" i="1"/>
  <c r="O1806" i="1"/>
  <c r="Q1805" i="1"/>
  <c r="O1805" i="1"/>
  <c r="Q1804" i="1"/>
  <c r="O1804" i="1"/>
  <c r="Q1803" i="1"/>
  <c r="O1803" i="1"/>
  <c r="Q1802" i="1"/>
  <c r="O1802" i="1"/>
  <c r="Q1801" i="1"/>
  <c r="O1801" i="1"/>
  <c r="Q1800" i="1"/>
  <c r="O1800" i="1"/>
  <c r="Q1799" i="1"/>
  <c r="O1799" i="1"/>
  <c r="Q1798" i="1"/>
  <c r="O1798" i="1"/>
  <c r="Q1797" i="1"/>
  <c r="O1797" i="1"/>
  <c r="Q1796" i="1"/>
  <c r="O1796" i="1"/>
  <c r="Q1795" i="1"/>
  <c r="O1795" i="1"/>
  <c r="Q1794" i="1"/>
  <c r="O1794" i="1"/>
  <c r="Q1793" i="1"/>
  <c r="O1793" i="1"/>
  <c r="Q1792" i="1"/>
  <c r="O1792" i="1"/>
  <c r="Q1791" i="1"/>
  <c r="O1791" i="1"/>
  <c r="Q1790" i="1"/>
  <c r="O1790" i="1"/>
  <c r="Q1789" i="1"/>
  <c r="O1789" i="1"/>
  <c r="Q1788" i="1"/>
  <c r="O1788" i="1"/>
  <c r="Q1787" i="1"/>
  <c r="O1787" i="1"/>
  <c r="Q1786" i="1"/>
  <c r="O1786" i="1"/>
  <c r="Q1785" i="1"/>
  <c r="O1785" i="1"/>
  <c r="Q1784" i="1"/>
  <c r="O1784" i="1"/>
  <c r="Q1783" i="1"/>
  <c r="O1783" i="1"/>
  <c r="Q1782" i="1"/>
  <c r="O1782" i="1"/>
  <c r="Q1781" i="1"/>
  <c r="O1781" i="1"/>
  <c r="Q1780" i="1"/>
  <c r="O1780" i="1"/>
  <c r="Q1779" i="1"/>
  <c r="O1779" i="1"/>
  <c r="Q1778" i="1"/>
  <c r="O1778" i="1"/>
  <c r="Q1777" i="1"/>
  <c r="O1777" i="1"/>
  <c r="Q1776" i="1"/>
  <c r="O1776" i="1"/>
  <c r="Q1775" i="1"/>
  <c r="O1775" i="1"/>
  <c r="Q1774" i="1"/>
  <c r="O1774" i="1"/>
  <c r="Q1773" i="1"/>
  <c r="O1773" i="1"/>
  <c r="Q1772" i="1"/>
  <c r="O1772" i="1"/>
  <c r="Q1771" i="1"/>
  <c r="O1771" i="1"/>
  <c r="Q1770" i="1"/>
  <c r="O1770" i="1"/>
  <c r="Q1769" i="1"/>
  <c r="O1769" i="1"/>
  <c r="Q1768" i="1"/>
  <c r="O1768" i="1"/>
  <c r="Q1767" i="1"/>
  <c r="O1767" i="1"/>
  <c r="Q1766" i="1"/>
  <c r="O1766" i="1"/>
  <c r="Q1765" i="1"/>
  <c r="O1765" i="1"/>
  <c r="Q1764" i="1"/>
  <c r="O1764" i="1"/>
  <c r="Q1763" i="1"/>
  <c r="O1763" i="1"/>
  <c r="Q1762" i="1"/>
  <c r="O1762" i="1"/>
  <c r="Q1761" i="1"/>
  <c r="O1761" i="1"/>
  <c r="Q1760" i="1"/>
  <c r="O1760" i="1"/>
  <c r="Q1759" i="1"/>
  <c r="O1759" i="1"/>
  <c r="Q1758" i="1"/>
  <c r="O1758" i="1"/>
  <c r="Q1757" i="1"/>
  <c r="O1757" i="1"/>
  <c r="Q1756" i="1"/>
  <c r="O1756" i="1"/>
  <c r="Q1755" i="1"/>
  <c r="O1755" i="1"/>
  <c r="Q1754" i="1"/>
  <c r="O1754" i="1"/>
  <c r="Q1753" i="1"/>
  <c r="O1753" i="1"/>
  <c r="Q1752" i="1"/>
  <c r="O1752" i="1"/>
  <c r="Q1751" i="1"/>
  <c r="O1751" i="1"/>
  <c r="Q1750" i="1"/>
  <c r="O1750" i="1"/>
  <c r="Q1749" i="1"/>
  <c r="O1749" i="1"/>
  <c r="Q1748" i="1"/>
  <c r="O1748" i="1"/>
  <c r="Q1747" i="1"/>
  <c r="O1747" i="1"/>
  <c r="Q1746" i="1"/>
  <c r="O1746" i="1"/>
  <c r="Q1745" i="1"/>
  <c r="O1745" i="1"/>
  <c r="Q1744" i="1"/>
  <c r="O1744" i="1"/>
  <c r="Q1743" i="1"/>
  <c r="O1743" i="1"/>
  <c r="Q1742" i="1"/>
  <c r="O1742" i="1"/>
  <c r="Q1741" i="1"/>
  <c r="O1741" i="1"/>
  <c r="Q1740" i="1"/>
  <c r="O1740" i="1"/>
  <c r="Q1739" i="1"/>
  <c r="O1739" i="1"/>
  <c r="Q1738" i="1"/>
  <c r="O1738" i="1"/>
  <c r="Q1737" i="1"/>
  <c r="O1737" i="1"/>
  <c r="Q1736" i="1"/>
  <c r="O1736" i="1"/>
  <c r="Q1735" i="1"/>
  <c r="O1735" i="1"/>
  <c r="Q1734" i="1"/>
  <c r="O1734" i="1"/>
  <c r="Q1733" i="1"/>
  <c r="O1733" i="1"/>
  <c r="Q1732" i="1"/>
  <c r="O1732" i="1"/>
  <c r="Q1731" i="1"/>
  <c r="O1731" i="1"/>
  <c r="Q1730" i="1"/>
  <c r="O1730" i="1"/>
  <c r="Q1729" i="1"/>
  <c r="O1729" i="1"/>
  <c r="Q1728" i="1"/>
  <c r="O1728" i="1"/>
  <c r="Q1727" i="1"/>
  <c r="O1727" i="1"/>
  <c r="Q1726" i="1"/>
  <c r="O1726" i="1"/>
  <c r="Q1725" i="1"/>
  <c r="O1725" i="1"/>
  <c r="Q1724" i="1"/>
  <c r="O1724" i="1"/>
  <c r="Q1723" i="1"/>
  <c r="O1723" i="1"/>
  <c r="Q1722" i="1"/>
  <c r="O1722" i="1"/>
  <c r="Q1721" i="1"/>
  <c r="O1721" i="1"/>
  <c r="Q1720" i="1"/>
  <c r="O1720" i="1"/>
  <c r="Q1719" i="1"/>
  <c r="O1719" i="1"/>
  <c r="Q1718" i="1"/>
  <c r="O1718" i="1"/>
  <c r="Q1717" i="1"/>
  <c r="O1717" i="1"/>
  <c r="Q1716" i="1"/>
  <c r="O1716" i="1"/>
  <c r="Q1715" i="1"/>
  <c r="O1715" i="1"/>
  <c r="Q1714" i="1"/>
  <c r="O1714" i="1"/>
  <c r="Q1713" i="1"/>
  <c r="O1713" i="1"/>
  <c r="Q1712" i="1"/>
  <c r="O1712" i="1"/>
  <c r="Q1711" i="1"/>
  <c r="O1711" i="1"/>
  <c r="Q1710" i="1"/>
  <c r="O1710" i="1"/>
  <c r="Q1709" i="1"/>
  <c r="O1709" i="1"/>
  <c r="Q1708" i="1"/>
  <c r="O1708" i="1"/>
  <c r="Q1707" i="1"/>
  <c r="O1707" i="1"/>
  <c r="Q1706" i="1"/>
  <c r="O1706" i="1"/>
  <c r="Q1705" i="1"/>
  <c r="O1705" i="1"/>
  <c r="Q1704" i="1"/>
  <c r="O1704" i="1"/>
  <c r="Q1703" i="1"/>
  <c r="O1703" i="1"/>
  <c r="Q1702" i="1"/>
  <c r="O1702" i="1"/>
  <c r="Q1701" i="1"/>
  <c r="O1701" i="1"/>
  <c r="Q1700" i="1"/>
  <c r="O1700" i="1"/>
  <c r="Q1699" i="1"/>
  <c r="O1699" i="1"/>
  <c r="Q1698" i="1"/>
  <c r="O1698" i="1"/>
  <c r="Q1697" i="1"/>
  <c r="O1697" i="1"/>
  <c r="Q1696" i="1"/>
  <c r="O1696" i="1"/>
  <c r="Q1695" i="1"/>
  <c r="O1695" i="1"/>
  <c r="Q1694" i="1"/>
  <c r="O1694" i="1"/>
  <c r="Q1693" i="1"/>
  <c r="O1693" i="1"/>
  <c r="Q1692" i="1"/>
  <c r="O1692" i="1"/>
  <c r="Q1691" i="1"/>
  <c r="O1691" i="1"/>
  <c r="Q1690" i="1"/>
  <c r="O1690" i="1"/>
  <c r="Q1689" i="1"/>
  <c r="O1689" i="1"/>
  <c r="Q1688" i="1"/>
  <c r="O1688" i="1"/>
  <c r="Q1687" i="1"/>
  <c r="O1687" i="1"/>
  <c r="Q1686" i="1"/>
  <c r="O1686" i="1"/>
  <c r="Q1685" i="1"/>
  <c r="O1685" i="1"/>
  <c r="Q1684" i="1"/>
  <c r="O1684" i="1"/>
  <c r="Q1683" i="1"/>
  <c r="O1683" i="1"/>
  <c r="Q1682" i="1"/>
  <c r="O1682" i="1"/>
  <c r="Q1681" i="1"/>
  <c r="O1681" i="1"/>
  <c r="Q1680" i="1"/>
  <c r="O1680" i="1"/>
  <c r="Q1679" i="1"/>
  <c r="O1679" i="1"/>
  <c r="Q1678" i="1"/>
  <c r="O1678" i="1"/>
  <c r="Q1677" i="1"/>
  <c r="O1677" i="1"/>
  <c r="Q1676" i="1"/>
  <c r="O1676" i="1"/>
  <c r="Q1675" i="1"/>
  <c r="O1675" i="1"/>
  <c r="Q1674" i="1"/>
  <c r="O1674" i="1"/>
  <c r="Q1673" i="1"/>
  <c r="O1673" i="1"/>
  <c r="Q1672" i="1"/>
  <c r="O1672" i="1"/>
  <c r="Q1671" i="1"/>
  <c r="O1671" i="1"/>
  <c r="Q1670" i="1"/>
  <c r="O1670" i="1"/>
  <c r="Q1669" i="1"/>
  <c r="O1669" i="1"/>
  <c r="Q1668" i="1"/>
  <c r="O1668" i="1"/>
  <c r="Q1667" i="1"/>
  <c r="O1667" i="1"/>
  <c r="Q1666" i="1"/>
  <c r="O1666" i="1"/>
  <c r="Q1665" i="1"/>
  <c r="O1665" i="1"/>
  <c r="Q1664" i="1"/>
  <c r="O1664" i="1"/>
  <c r="Q1663" i="1"/>
  <c r="O1663" i="1"/>
  <c r="Q1662" i="1"/>
  <c r="O1662" i="1"/>
  <c r="Q1661" i="1"/>
  <c r="O1661" i="1"/>
  <c r="Q1660" i="1"/>
  <c r="O1660" i="1"/>
  <c r="Q1659" i="1"/>
  <c r="O1659" i="1"/>
  <c r="Q1658" i="1"/>
  <c r="O1658" i="1"/>
  <c r="Q1657" i="1"/>
  <c r="O1657" i="1"/>
  <c r="Q1656" i="1"/>
  <c r="O1656" i="1"/>
  <c r="Q1655" i="1"/>
  <c r="O1655" i="1"/>
  <c r="Q1654" i="1"/>
  <c r="O1654" i="1"/>
  <c r="Q1653" i="1"/>
  <c r="O1653" i="1"/>
  <c r="Q1652" i="1"/>
  <c r="O1652" i="1"/>
  <c r="Q1651" i="1"/>
  <c r="O1651" i="1"/>
  <c r="Q1650" i="1"/>
  <c r="O1650" i="1"/>
  <c r="Q1649" i="1"/>
  <c r="O1649" i="1"/>
  <c r="Q1648" i="1"/>
  <c r="O1648" i="1"/>
  <c r="Q1647" i="1"/>
  <c r="O1647" i="1"/>
  <c r="Q1646" i="1"/>
  <c r="O1646" i="1"/>
  <c r="Q1645" i="1"/>
  <c r="O1645" i="1"/>
  <c r="Q1644" i="1"/>
  <c r="O1644" i="1"/>
  <c r="Q1643" i="1"/>
  <c r="O1643" i="1"/>
  <c r="Q1642" i="1"/>
  <c r="O1642" i="1"/>
  <c r="Q1641" i="1"/>
  <c r="O1641" i="1"/>
  <c r="Q1640" i="1"/>
  <c r="O1640" i="1"/>
  <c r="Q1639" i="1"/>
  <c r="O1639" i="1"/>
  <c r="Q1638" i="1"/>
  <c r="O1638" i="1"/>
  <c r="Q1637" i="1"/>
  <c r="O1637" i="1"/>
  <c r="Q1636" i="1"/>
  <c r="O1636" i="1"/>
  <c r="Q1635" i="1"/>
  <c r="O1635" i="1"/>
  <c r="Q1634" i="1"/>
  <c r="O1634" i="1"/>
  <c r="Q1633" i="1"/>
  <c r="O1633" i="1"/>
  <c r="Q1632" i="1"/>
  <c r="O1632" i="1"/>
  <c r="Q1631" i="1"/>
  <c r="O1631" i="1"/>
  <c r="Q1630" i="1"/>
  <c r="O1630" i="1"/>
  <c r="Q1629" i="1"/>
  <c r="O1629" i="1"/>
  <c r="Q1628" i="1"/>
  <c r="O1628" i="1"/>
  <c r="Q1627" i="1"/>
  <c r="O1627" i="1"/>
  <c r="Q1626" i="1"/>
  <c r="O1626" i="1"/>
  <c r="Q1625" i="1"/>
  <c r="O1625" i="1"/>
  <c r="Q1624" i="1"/>
  <c r="O1624" i="1"/>
  <c r="Q1623" i="1"/>
  <c r="O1623" i="1"/>
  <c r="Q1622" i="1"/>
  <c r="O1622" i="1"/>
  <c r="Q1621" i="1"/>
  <c r="O1621" i="1"/>
  <c r="Q1620" i="1"/>
  <c r="O1620" i="1"/>
  <c r="Q1619" i="1"/>
  <c r="O1619" i="1"/>
  <c r="Q1618" i="1"/>
  <c r="O1618" i="1"/>
  <c r="Q1617" i="1"/>
  <c r="O1617" i="1"/>
  <c r="Q1616" i="1"/>
  <c r="O1616" i="1"/>
  <c r="Q1615" i="1"/>
  <c r="O1615" i="1"/>
  <c r="Q1614" i="1"/>
  <c r="O1614" i="1"/>
  <c r="Q1613" i="1"/>
  <c r="O1613" i="1"/>
  <c r="Q1612" i="1"/>
  <c r="O1612" i="1"/>
  <c r="Q1611" i="1"/>
  <c r="O1611" i="1"/>
  <c r="Q1610" i="1"/>
  <c r="O1610" i="1"/>
  <c r="Q1609" i="1"/>
  <c r="O1609" i="1"/>
  <c r="Q1608" i="1"/>
  <c r="O1608" i="1"/>
  <c r="Q1607" i="1"/>
  <c r="O1607" i="1"/>
  <c r="Q1606" i="1"/>
  <c r="O1606" i="1"/>
  <c r="Q1605" i="1"/>
  <c r="O1605" i="1"/>
  <c r="Q1604" i="1"/>
  <c r="O1604" i="1"/>
  <c r="Q1603" i="1"/>
  <c r="O1603" i="1"/>
  <c r="Q1602" i="1"/>
  <c r="O1602" i="1"/>
  <c r="Q1601" i="1"/>
  <c r="O1601" i="1"/>
  <c r="Q1600" i="1"/>
  <c r="O1600" i="1"/>
  <c r="Q1599" i="1"/>
  <c r="O1599" i="1"/>
  <c r="Q1598" i="1"/>
  <c r="O1598" i="1"/>
  <c r="Q1597" i="1"/>
  <c r="O1597" i="1"/>
  <c r="Q1596" i="1"/>
  <c r="O1596" i="1"/>
  <c r="Q1595" i="1"/>
  <c r="O1595" i="1"/>
  <c r="Q1594" i="1"/>
  <c r="O1594" i="1"/>
  <c r="Q1593" i="1"/>
  <c r="O1593" i="1"/>
  <c r="Q1592" i="1"/>
  <c r="O1592" i="1"/>
  <c r="Q1591" i="1"/>
  <c r="O1591" i="1"/>
  <c r="Q1590" i="1"/>
  <c r="O1590" i="1"/>
  <c r="Q1589" i="1"/>
  <c r="O1589" i="1"/>
  <c r="Q1588" i="1"/>
  <c r="O1588" i="1"/>
  <c r="Q1587" i="1"/>
  <c r="O1587" i="1"/>
  <c r="Q1586" i="1"/>
  <c r="O1586" i="1"/>
  <c r="Q1585" i="1"/>
  <c r="O1585" i="1"/>
  <c r="Q1584" i="1"/>
  <c r="O1584" i="1"/>
  <c r="Q1583" i="1"/>
  <c r="O1583" i="1"/>
  <c r="Q1582" i="1"/>
  <c r="O1582" i="1"/>
  <c r="Q1581" i="1"/>
  <c r="O1581" i="1"/>
  <c r="Q1580" i="1"/>
  <c r="O1580" i="1"/>
  <c r="Q1579" i="1"/>
  <c r="O1579" i="1"/>
  <c r="Q1578" i="1"/>
  <c r="O1578" i="1"/>
  <c r="Q1577" i="1"/>
  <c r="O1577" i="1"/>
  <c r="Q1576" i="1"/>
  <c r="O1576" i="1"/>
  <c r="Q1575" i="1"/>
  <c r="O1575" i="1"/>
  <c r="Q1574" i="1"/>
  <c r="O1574" i="1"/>
  <c r="Q1573" i="1"/>
  <c r="O1573" i="1"/>
  <c r="Q1572" i="1"/>
  <c r="O1572" i="1"/>
  <c r="Q1571" i="1"/>
  <c r="O1571" i="1"/>
  <c r="Q1570" i="1"/>
  <c r="O1570" i="1"/>
  <c r="Q1569" i="1"/>
  <c r="O1569" i="1"/>
  <c r="Q1568" i="1"/>
  <c r="O1568" i="1"/>
  <c r="Q1567" i="1"/>
  <c r="O1567" i="1"/>
  <c r="Q1566" i="1"/>
  <c r="O1566" i="1"/>
  <c r="Q1565" i="1"/>
  <c r="O1565" i="1"/>
  <c r="Q1564" i="1"/>
  <c r="O1564" i="1"/>
  <c r="Q1563" i="1"/>
  <c r="O1563" i="1"/>
  <c r="Q1562" i="1"/>
  <c r="O1562" i="1"/>
  <c r="Q1561" i="1"/>
  <c r="O1561" i="1"/>
  <c r="Q1560" i="1"/>
  <c r="O1560" i="1"/>
  <c r="Q1559" i="1"/>
  <c r="O1559" i="1"/>
  <c r="Q1558" i="1"/>
  <c r="O1558" i="1"/>
  <c r="Q1557" i="1"/>
  <c r="O1557" i="1"/>
  <c r="Q1556" i="1"/>
  <c r="O1556" i="1"/>
  <c r="Q1555" i="1"/>
  <c r="O1555" i="1"/>
  <c r="Q1554" i="1"/>
  <c r="O1554" i="1"/>
  <c r="Q1553" i="1"/>
  <c r="O1553" i="1"/>
  <c r="Q1552" i="1"/>
  <c r="O1552" i="1"/>
  <c r="Q1551" i="1"/>
  <c r="O1551" i="1"/>
  <c r="Q1550" i="1"/>
  <c r="O1550" i="1"/>
  <c r="Q1549" i="1"/>
  <c r="O1549" i="1"/>
  <c r="Q1548" i="1"/>
  <c r="O1548" i="1"/>
  <c r="Q1547" i="1"/>
  <c r="O1547" i="1"/>
  <c r="Q1546" i="1"/>
  <c r="O1546" i="1"/>
  <c r="Q1545" i="1"/>
  <c r="O1545" i="1"/>
  <c r="Q1544" i="1"/>
  <c r="O1544" i="1"/>
  <c r="Q1543" i="1"/>
  <c r="O1543" i="1"/>
  <c r="Q1542" i="1"/>
  <c r="O1542" i="1"/>
  <c r="Q1541" i="1"/>
  <c r="O1541" i="1"/>
  <c r="Q1540" i="1"/>
  <c r="O1540" i="1"/>
  <c r="Q1539" i="1"/>
  <c r="O1539" i="1"/>
  <c r="Q1538" i="1"/>
  <c r="O1538" i="1"/>
  <c r="Q1537" i="1"/>
  <c r="O1537" i="1"/>
  <c r="Q1536" i="1"/>
  <c r="O1536" i="1"/>
  <c r="Q1535" i="1"/>
  <c r="O1535" i="1"/>
  <c r="Q1534" i="1"/>
  <c r="O1534" i="1"/>
  <c r="Q1533" i="1"/>
  <c r="O1533" i="1"/>
  <c r="Q1532" i="1"/>
  <c r="O1532" i="1"/>
  <c r="Q1531" i="1"/>
  <c r="O1531" i="1"/>
  <c r="Q1530" i="1"/>
  <c r="O1530" i="1"/>
  <c r="Q1529" i="1"/>
  <c r="O1529" i="1"/>
  <c r="Q1528" i="1"/>
  <c r="O1528" i="1"/>
  <c r="Q1527" i="1"/>
  <c r="O1527" i="1"/>
  <c r="Q1526" i="1"/>
  <c r="O1526" i="1"/>
  <c r="Q1525" i="1"/>
  <c r="O1525" i="1"/>
  <c r="Q1524" i="1"/>
  <c r="O1524" i="1"/>
  <c r="Q1523" i="1"/>
  <c r="O1523" i="1"/>
  <c r="Q1522" i="1"/>
  <c r="O1522" i="1"/>
  <c r="Q1521" i="1"/>
  <c r="O1521" i="1"/>
  <c r="Q1520" i="1"/>
  <c r="O1520" i="1"/>
  <c r="Q1519" i="1"/>
  <c r="O1519" i="1"/>
  <c r="Q1518" i="1"/>
  <c r="O1518" i="1"/>
  <c r="Q1517" i="1"/>
  <c r="O1517" i="1"/>
  <c r="Q1516" i="1"/>
  <c r="O1516" i="1"/>
  <c r="Q1515" i="1"/>
  <c r="O1515" i="1"/>
  <c r="Q1514" i="1"/>
  <c r="O1514" i="1"/>
  <c r="Q1513" i="1"/>
  <c r="O1513" i="1"/>
  <c r="Q1512" i="1"/>
  <c r="O1512" i="1"/>
  <c r="Q1511" i="1"/>
  <c r="O1511" i="1"/>
  <c r="Q1510" i="1"/>
  <c r="O1510" i="1"/>
  <c r="Q1509" i="1"/>
  <c r="O1509" i="1"/>
  <c r="Q1508" i="1"/>
  <c r="O1508" i="1"/>
  <c r="Q1507" i="1"/>
  <c r="O1507" i="1"/>
  <c r="Q1506" i="1"/>
  <c r="O1506" i="1"/>
  <c r="Q1505" i="1"/>
  <c r="O1505" i="1"/>
  <c r="Q1504" i="1"/>
  <c r="O1504" i="1"/>
  <c r="Q1503" i="1"/>
  <c r="O1503" i="1"/>
  <c r="Q1502" i="1"/>
  <c r="O1502" i="1"/>
  <c r="Q1501" i="1"/>
  <c r="O1501" i="1"/>
  <c r="Q1500" i="1"/>
  <c r="O1500" i="1"/>
  <c r="Q1499" i="1"/>
  <c r="O1499" i="1"/>
  <c r="Q1498" i="1"/>
  <c r="O1498" i="1"/>
  <c r="Q1497" i="1"/>
  <c r="O1497" i="1"/>
  <c r="Q1496" i="1"/>
  <c r="O1496" i="1"/>
  <c r="Q1495" i="1"/>
  <c r="O1495" i="1"/>
  <c r="Q1494" i="1"/>
  <c r="O1494" i="1"/>
  <c r="Q1493" i="1"/>
  <c r="O1493" i="1"/>
  <c r="Q1492" i="1"/>
  <c r="O1492" i="1"/>
  <c r="Q1491" i="1"/>
  <c r="O1491" i="1"/>
  <c r="Q1490" i="1"/>
  <c r="O1490" i="1"/>
  <c r="Q1489" i="1"/>
  <c r="O1489" i="1"/>
  <c r="Q1488" i="1"/>
  <c r="O1488" i="1"/>
  <c r="Q1487" i="1"/>
  <c r="O1487" i="1"/>
  <c r="Q1486" i="1"/>
  <c r="O1486" i="1"/>
  <c r="Q1485" i="1"/>
  <c r="O1485" i="1"/>
  <c r="Q1484" i="1"/>
  <c r="O1484" i="1"/>
  <c r="Q1483" i="1"/>
  <c r="O1483" i="1"/>
  <c r="Q1482" i="1"/>
  <c r="O1482" i="1"/>
  <c r="Q1481" i="1"/>
  <c r="O1481" i="1"/>
  <c r="Q1480" i="1"/>
  <c r="O1480" i="1"/>
  <c r="Q1479" i="1"/>
  <c r="O1479" i="1"/>
  <c r="Q1478" i="1"/>
  <c r="O1478" i="1"/>
  <c r="Q1477" i="1"/>
  <c r="O1477" i="1"/>
  <c r="Q1476" i="1"/>
  <c r="O1476" i="1"/>
  <c r="Q1475" i="1"/>
  <c r="O1475" i="1"/>
  <c r="Q1474" i="1"/>
  <c r="O1474" i="1"/>
  <c r="Q1473" i="1"/>
  <c r="O1473" i="1"/>
  <c r="Q1472" i="1"/>
  <c r="O1472" i="1"/>
  <c r="Q1471" i="1"/>
  <c r="O1471" i="1"/>
  <c r="Q1470" i="1"/>
  <c r="O1470" i="1"/>
  <c r="Q1469" i="1"/>
  <c r="O1469" i="1"/>
  <c r="Q1468" i="1"/>
  <c r="O1468" i="1"/>
  <c r="Q1467" i="1"/>
  <c r="O1467" i="1"/>
  <c r="Q1466" i="1"/>
  <c r="O1466" i="1"/>
  <c r="Q1465" i="1"/>
  <c r="O1465" i="1"/>
  <c r="Q1464" i="1"/>
  <c r="O1464" i="1"/>
  <c r="Q1463" i="1"/>
  <c r="O1463" i="1"/>
  <c r="Q1462" i="1"/>
  <c r="O1462" i="1"/>
  <c r="Q1461" i="1"/>
  <c r="O1461" i="1"/>
  <c r="Q1460" i="1"/>
  <c r="O1460" i="1"/>
  <c r="Q1459" i="1"/>
  <c r="O1459" i="1"/>
  <c r="Q1458" i="1"/>
  <c r="O1458" i="1"/>
  <c r="Q1457" i="1"/>
  <c r="O1457" i="1"/>
  <c r="Q1456" i="1"/>
  <c r="O1456" i="1"/>
  <c r="Q1455" i="1"/>
  <c r="O1455" i="1"/>
  <c r="Q1454" i="1"/>
  <c r="O1454" i="1"/>
  <c r="Q1453" i="1"/>
  <c r="O1453" i="1"/>
  <c r="Q1452" i="1"/>
  <c r="O1452" i="1"/>
  <c r="Q1451" i="1"/>
  <c r="O1451" i="1"/>
  <c r="Q1450" i="1"/>
  <c r="O1450" i="1"/>
  <c r="Q1449" i="1"/>
  <c r="O1449" i="1"/>
  <c r="Q1448" i="1"/>
  <c r="O1448" i="1"/>
  <c r="Q1447" i="1"/>
  <c r="O1447" i="1"/>
  <c r="Q1446" i="1"/>
  <c r="O1446" i="1"/>
  <c r="Q1445" i="1"/>
  <c r="O1445" i="1"/>
  <c r="Q1444" i="1"/>
  <c r="O1444" i="1"/>
  <c r="Q1443" i="1"/>
  <c r="O1443" i="1"/>
  <c r="Q1442" i="1"/>
  <c r="O1442" i="1"/>
  <c r="Q1441" i="1"/>
  <c r="O1441" i="1"/>
  <c r="Q1440" i="1"/>
  <c r="O1440" i="1"/>
  <c r="Q1439" i="1"/>
  <c r="O1439" i="1"/>
  <c r="Q1438" i="1"/>
  <c r="O1438" i="1"/>
  <c r="Q1437" i="1"/>
  <c r="O1437" i="1"/>
  <c r="Q1436" i="1"/>
  <c r="O1436" i="1"/>
  <c r="Q1435" i="1"/>
  <c r="O1435" i="1"/>
  <c r="Q1434" i="1"/>
  <c r="O1434" i="1"/>
  <c r="Q1433" i="1"/>
  <c r="O1433" i="1"/>
  <c r="Q1432" i="1"/>
  <c r="O1432" i="1"/>
  <c r="Q1431" i="1"/>
  <c r="O1431" i="1"/>
  <c r="Q1430" i="1"/>
  <c r="O1430" i="1"/>
  <c r="Q1429" i="1"/>
  <c r="O1429" i="1"/>
  <c r="Q1428" i="1"/>
  <c r="O1428" i="1"/>
  <c r="Q1427" i="1"/>
  <c r="O1427" i="1"/>
  <c r="Q1426" i="1"/>
  <c r="O1426" i="1"/>
  <c r="Q1425" i="1"/>
  <c r="O1425" i="1"/>
  <c r="Q1424" i="1"/>
  <c r="O1424" i="1"/>
  <c r="Q1423" i="1"/>
  <c r="O1423" i="1"/>
  <c r="Q1422" i="1"/>
  <c r="O1422" i="1"/>
  <c r="Q1421" i="1"/>
  <c r="O1421" i="1"/>
  <c r="Q1420" i="1"/>
  <c r="O1420" i="1"/>
  <c r="Q1419" i="1"/>
  <c r="O1419" i="1"/>
  <c r="Q1418" i="1"/>
  <c r="O1418" i="1"/>
  <c r="Q1417" i="1"/>
  <c r="O1417" i="1"/>
  <c r="Q1416" i="1"/>
  <c r="O1416" i="1"/>
  <c r="Q1415" i="1"/>
  <c r="O1415" i="1"/>
  <c r="Q1414" i="1"/>
  <c r="O1414" i="1"/>
  <c r="Q1413" i="1"/>
  <c r="O1413" i="1"/>
  <c r="Q1412" i="1"/>
  <c r="O1412" i="1"/>
  <c r="Q1411" i="1"/>
  <c r="O1411" i="1"/>
  <c r="Q1410" i="1"/>
  <c r="O1410" i="1"/>
  <c r="Q1409" i="1"/>
  <c r="O1409" i="1"/>
  <c r="Q1408" i="1"/>
  <c r="O1408" i="1"/>
  <c r="Q1407" i="1"/>
  <c r="O1407" i="1"/>
  <c r="Q1406" i="1"/>
  <c r="O1406" i="1"/>
  <c r="Q1405" i="1"/>
  <c r="O1405" i="1"/>
  <c r="Q1404" i="1"/>
  <c r="O1404" i="1"/>
  <c r="Q1403" i="1"/>
  <c r="O1403" i="1"/>
  <c r="Q1402" i="1"/>
  <c r="O1402" i="1"/>
  <c r="Q1401" i="1"/>
  <c r="O1401" i="1"/>
  <c r="Q1400" i="1"/>
  <c r="O1400" i="1"/>
  <c r="Q1399" i="1"/>
  <c r="O1399" i="1"/>
  <c r="Q1398" i="1"/>
  <c r="O1398" i="1"/>
  <c r="Q1397" i="1"/>
  <c r="O1397" i="1"/>
  <c r="Q1396" i="1"/>
  <c r="O1396" i="1"/>
  <c r="Q1395" i="1"/>
  <c r="O1395" i="1"/>
  <c r="Q1394" i="1"/>
  <c r="O1394" i="1"/>
  <c r="Q1393" i="1"/>
  <c r="O1393" i="1"/>
  <c r="Q1392" i="1"/>
  <c r="O1392" i="1"/>
  <c r="Q1391" i="1"/>
  <c r="O1391" i="1"/>
  <c r="Q1390" i="1"/>
  <c r="O1390" i="1"/>
  <c r="Q1389" i="1"/>
  <c r="O1389" i="1"/>
  <c r="Q1388" i="1"/>
  <c r="O1388" i="1"/>
  <c r="Q1387" i="1"/>
  <c r="O1387" i="1"/>
  <c r="Q1386" i="1"/>
  <c r="O1386" i="1"/>
  <c r="Q1385" i="1"/>
  <c r="O1385" i="1"/>
  <c r="Q1384" i="1"/>
  <c r="O1384" i="1"/>
  <c r="Q1383" i="1"/>
  <c r="O1383" i="1"/>
  <c r="Q1382" i="1"/>
  <c r="O1382" i="1"/>
  <c r="Q1381" i="1"/>
  <c r="O1381" i="1"/>
  <c r="Q1380" i="1"/>
  <c r="O1380" i="1"/>
  <c r="Q1379" i="1"/>
  <c r="O1379" i="1"/>
  <c r="Q1378" i="1"/>
  <c r="O1378" i="1"/>
  <c r="Q1377" i="1"/>
  <c r="O1377" i="1"/>
  <c r="Q1376" i="1"/>
  <c r="O1376" i="1"/>
  <c r="Q1375" i="1"/>
  <c r="O1375" i="1"/>
  <c r="Q1374" i="1"/>
  <c r="O1374" i="1"/>
  <c r="Q1373" i="1"/>
  <c r="O1373" i="1"/>
  <c r="Q1372" i="1"/>
  <c r="O1372" i="1"/>
  <c r="Q1371" i="1"/>
  <c r="O1371" i="1"/>
  <c r="Q1370" i="1"/>
  <c r="O1370" i="1"/>
  <c r="Q1369" i="1"/>
  <c r="O1369" i="1"/>
  <c r="Q1368" i="1"/>
  <c r="O1368" i="1"/>
  <c r="Q1367" i="1"/>
  <c r="O1367" i="1"/>
  <c r="Q1366" i="1"/>
  <c r="O1366" i="1"/>
  <c r="Q1365" i="1"/>
  <c r="O1365" i="1"/>
  <c r="Q1364" i="1"/>
  <c r="O1364" i="1"/>
  <c r="Q1363" i="1"/>
  <c r="O1363" i="1"/>
  <c r="Q1362" i="1"/>
  <c r="O1362" i="1"/>
  <c r="Q1361" i="1"/>
  <c r="O1361" i="1"/>
  <c r="Q1360" i="1"/>
  <c r="O1360" i="1"/>
  <c r="Q1359" i="1"/>
  <c r="O1359" i="1"/>
  <c r="Q1358" i="1"/>
  <c r="O1358" i="1"/>
  <c r="Q1357" i="1"/>
  <c r="O1357" i="1"/>
  <c r="Q1356" i="1"/>
  <c r="O1356" i="1"/>
  <c r="Q1355" i="1"/>
  <c r="O1355" i="1"/>
  <c r="Q1354" i="1"/>
  <c r="O1354" i="1"/>
  <c r="Q1353" i="1"/>
  <c r="O1353" i="1"/>
  <c r="Q1352" i="1"/>
  <c r="O1352" i="1"/>
  <c r="Q1351" i="1"/>
  <c r="O1351" i="1"/>
  <c r="Q1350" i="1"/>
  <c r="O1350" i="1"/>
  <c r="Q1349" i="1"/>
  <c r="O1349" i="1"/>
  <c r="Q1348" i="1"/>
  <c r="O1348" i="1"/>
  <c r="Q1347" i="1"/>
  <c r="O1347" i="1"/>
  <c r="Q1346" i="1"/>
  <c r="O1346" i="1"/>
  <c r="Q1345" i="1"/>
  <c r="O1345" i="1"/>
  <c r="Q1344" i="1"/>
  <c r="O1344" i="1"/>
  <c r="Q1343" i="1"/>
  <c r="O1343" i="1"/>
  <c r="Q1342" i="1"/>
  <c r="O1342" i="1"/>
  <c r="Q1341" i="1"/>
  <c r="O1341" i="1"/>
  <c r="Q1340" i="1"/>
  <c r="O1340" i="1"/>
  <c r="Q1339" i="1"/>
  <c r="O1339" i="1"/>
  <c r="Q1338" i="1"/>
  <c r="O1338" i="1"/>
  <c r="Q1337" i="1"/>
  <c r="O1337" i="1"/>
  <c r="Q1336" i="1"/>
  <c r="O1336" i="1"/>
  <c r="Q1335" i="1"/>
  <c r="O1335" i="1"/>
  <c r="Q1334" i="1"/>
  <c r="O1334" i="1"/>
  <c r="Q1333" i="1"/>
  <c r="O1333" i="1"/>
  <c r="Q1332" i="1"/>
  <c r="O1332" i="1"/>
  <c r="Q1331" i="1"/>
  <c r="O1331" i="1"/>
  <c r="Q1330" i="1"/>
  <c r="O1330" i="1"/>
  <c r="Q1329" i="1"/>
  <c r="O1329" i="1"/>
  <c r="Q1328" i="1"/>
  <c r="O1328" i="1"/>
  <c r="Q1327" i="1"/>
  <c r="O1327" i="1"/>
  <c r="Q1326" i="1"/>
  <c r="O1326" i="1"/>
  <c r="Q1325" i="1"/>
  <c r="O1325" i="1"/>
  <c r="Q1324" i="1"/>
  <c r="O1324" i="1"/>
  <c r="Q1323" i="1"/>
  <c r="O1323" i="1"/>
  <c r="Q1322" i="1"/>
  <c r="O1322" i="1"/>
  <c r="Q1321" i="1"/>
  <c r="O1321" i="1"/>
  <c r="Q1320" i="1"/>
  <c r="O1320" i="1"/>
  <c r="Q1319" i="1"/>
  <c r="O1319" i="1"/>
  <c r="Q1318" i="1"/>
  <c r="O1318" i="1"/>
  <c r="Q1317" i="1"/>
  <c r="O1317" i="1"/>
  <c r="Q1316" i="1"/>
  <c r="O1316" i="1"/>
  <c r="Q1315" i="1"/>
  <c r="O1315" i="1"/>
  <c r="Q1314" i="1"/>
  <c r="O1314" i="1"/>
  <c r="Q1313" i="1"/>
  <c r="O1313" i="1"/>
  <c r="Q1312" i="1"/>
  <c r="O1312" i="1"/>
  <c r="Q1311" i="1"/>
  <c r="O1311" i="1"/>
  <c r="Q1310" i="1"/>
  <c r="O1310" i="1"/>
  <c r="Q1309" i="1"/>
  <c r="O1309" i="1"/>
  <c r="Q1308" i="1"/>
  <c r="O1308" i="1"/>
  <c r="Q1307" i="1"/>
  <c r="O1307" i="1"/>
  <c r="Q1306" i="1"/>
  <c r="O1306" i="1"/>
  <c r="Q1305" i="1"/>
  <c r="O1305" i="1"/>
  <c r="Q1304" i="1"/>
  <c r="O1304" i="1"/>
  <c r="Q1303" i="1"/>
  <c r="O1303" i="1"/>
  <c r="Q1302" i="1"/>
  <c r="O1302" i="1"/>
  <c r="Q1301" i="1"/>
  <c r="O1301" i="1"/>
  <c r="Q1300" i="1"/>
  <c r="O1300" i="1"/>
  <c r="Q1299" i="1"/>
  <c r="O1299" i="1"/>
  <c r="Q1298" i="1"/>
  <c r="O1298" i="1"/>
  <c r="Q1297" i="1"/>
  <c r="O1297" i="1"/>
  <c r="Q1296" i="1"/>
  <c r="O1296" i="1"/>
  <c r="Q1295" i="1"/>
  <c r="O1295" i="1"/>
  <c r="Q1294" i="1"/>
  <c r="O1294" i="1"/>
  <c r="Q1293" i="1"/>
  <c r="O1293" i="1"/>
  <c r="Q1292" i="1"/>
  <c r="O1292" i="1"/>
  <c r="Q1291" i="1"/>
  <c r="O1291" i="1"/>
  <c r="Q1290" i="1"/>
  <c r="O1290" i="1"/>
  <c r="Q1289" i="1"/>
  <c r="O1289" i="1"/>
  <c r="Q1288" i="1"/>
  <c r="O1288" i="1"/>
  <c r="Q1287" i="1"/>
  <c r="O1287" i="1"/>
  <c r="Q1286" i="1"/>
  <c r="O1286" i="1"/>
  <c r="Q1285" i="1"/>
  <c r="O1285" i="1"/>
  <c r="Q1284" i="1"/>
  <c r="O1284" i="1"/>
  <c r="Q1283" i="1"/>
  <c r="O1283" i="1"/>
  <c r="Q1282" i="1"/>
  <c r="O1282" i="1"/>
  <c r="Q1281" i="1"/>
  <c r="O1281" i="1"/>
  <c r="Q1280" i="1"/>
  <c r="O1280" i="1"/>
  <c r="Q1279" i="1"/>
  <c r="O1279" i="1"/>
  <c r="Q1278" i="1"/>
  <c r="O1278" i="1"/>
  <c r="Q1277" i="1"/>
  <c r="O1277" i="1"/>
  <c r="Q1276" i="1"/>
  <c r="O1276" i="1"/>
  <c r="Q1275" i="1"/>
  <c r="O1275" i="1"/>
  <c r="Q1274" i="1"/>
  <c r="O1274" i="1"/>
  <c r="Q1273" i="1"/>
  <c r="O1273" i="1"/>
  <c r="Q1272" i="1"/>
  <c r="O1272" i="1"/>
  <c r="Q1271" i="1"/>
  <c r="O1271" i="1"/>
  <c r="Q1270" i="1"/>
  <c r="O1270" i="1"/>
  <c r="Q1269" i="1"/>
  <c r="O1269" i="1"/>
  <c r="Q1268" i="1"/>
  <c r="O1268" i="1"/>
  <c r="Q1267" i="1"/>
  <c r="O1267" i="1"/>
  <c r="Q1266" i="1"/>
  <c r="O1266" i="1"/>
  <c r="Q1265" i="1"/>
  <c r="O1265" i="1"/>
  <c r="Q1264" i="1"/>
  <c r="O1264" i="1"/>
  <c r="Q1263" i="1"/>
  <c r="O1263" i="1"/>
  <c r="Q1262" i="1"/>
  <c r="O1262" i="1"/>
  <c r="Q1261" i="1"/>
  <c r="O1261" i="1"/>
  <c r="Q1260" i="1"/>
  <c r="O1260" i="1"/>
  <c r="Q1259" i="1"/>
  <c r="O1259" i="1"/>
  <c r="Q1258" i="1"/>
  <c r="O1258" i="1"/>
  <c r="Q1257" i="1"/>
  <c r="O1257" i="1"/>
  <c r="Q1256" i="1"/>
  <c r="O1256" i="1"/>
  <c r="Q1255" i="1"/>
  <c r="O1255" i="1"/>
  <c r="Q1254" i="1"/>
  <c r="O1254" i="1"/>
  <c r="Q1253" i="1"/>
  <c r="O1253" i="1"/>
  <c r="Q1252" i="1"/>
  <c r="O1252" i="1"/>
  <c r="Q1251" i="1"/>
  <c r="O1251" i="1"/>
  <c r="Q1250" i="1"/>
  <c r="O1250" i="1"/>
  <c r="Q1249" i="1"/>
  <c r="O1249" i="1"/>
  <c r="Q1248" i="1"/>
  <c r="O1248" i="1"/>
  <c r="Q1247" i="1"/>
  <c r="O1247" i="1"/>
  <c r="Q1246" i="1"/>
  <c r="O1246" i="1"/>
  <c r="Q1245" i="1"/>
  <c r="O1245" i="1"/>
  <c r="Q1244" i="1"/>
  <c r="O1244" i="1"/>
  <c r="Q1243" i="1"/>
  <c r="O1243" i="1"/>
  <c r="Q1242" i="1"/>
  <c r="O1242" i="1"/>
  <c r="Q1241" i="1"/>
  <c r="O1241" i="1"/>
  <c r="Q1240" i="1"/>
  <c r="O1240" i="1"/>
  <c r="Q1239" i="1"/>
  <c r="O1239" i="1"/>
  <c r="Q1238" i="1"/>
  <c r="O1238" i="1"/>
  <c r="Q1237" i="1"/>
  <c r="O1237" i="1"/>
  <c r="Q1236" i="1"/>
  <c r="O1236" i="1"/>
  <c r="Q1235" i="1"/>
  <c r="O1235" i="1"/>
  <c r="Q1234" i="1"/>
  <c r="O1234" i="1"/>
  <c r="Q1233" i="1"/>
  <c r="O1233" i="1"/>
  <c r="Q1232" i="1"/>
  <c r="O1232" i="1"/>
  <c r="Q1231" i="1"/>
  <c r="O1231" i="1"/>
  <c r="Q1230" i="1"/>
  <c r="O1230" i="1"/>
  <c r="Q1229" i="1"/>
  <c r="O1229" i="1"/>
  <c r="Q1228" i="1"/>
  <c r="O1228" i="1"/>
  <c r="Q1227" i="1"/>
  <c r="O1227" i="1"/>
  <c r="Q1226" i="1"/>
  <c r="O1226" i="1"/>
  <c r="Q1225" i="1"/>
  <c r="O1225" i="1"/>
  <c r="Q1224" i="1"/>
  <c r="O1224" i="1"/>
  <c r="Q1223" i="1"/>
  <c r="O1223" i="1"/>
  <c r="Q1222" i="1"/>
  <c r="O1222" i="1"/>
  <c r="Q1221" i="1"/>
  <c r="O1221" i="1"/>
  <c r="Q1220" i="1"/>
  <c r="O1220" i="1"/>
  <c r="Q1219" i="1"/>
  <c r="O1219" i="1"/>
  <c r="Q1218" i="1"/>
  <c r="O1218" i="1"/>
  <c r="Q1217" i="1"/>
  <c r="O1217" i="1"/>
  <c r="Q1216" i="1"/>
  <c r="O1216" i="1"/>
  <c r="Q1215" i="1"/>
  <c r="O1215" i="1"/>
  <c r="Q1214" i="1"/>
  <c r="O1214" i="1"/>
  <c r="Q1213" i="1"/>
  <c r="O1213" i="1"/>
  <c r="Q1212" i="1"/>
  <c r="O1212" i="1"/>
  <c r="Q1211" i="1"/>
  <c r="O1211" i="1"/>
  <c r="Q1210" i="1"/>
  <c r="O1210" i="1"/>
  <c r="Q1209" i="1"/>
  <c r="O1209" i="1"/>
  <c r="Q1208" i="1"/>
  <c r="O1208" i="1"/>
  <c r="Q1207" i="1"/>
  <c r="O1207" i="1"/>
  <c r="Q1206" i="1"/>
  <c r="O1206" i="1"/>
  <c r="Q1205" i="1"/>
  <c r="O1205" i="1"/>
  <c r="Q1204" i="1"/>
  <c r="O1204" i="1"/>
  <c r="Q1203" i="1"/>
  <c r="O1203" i="1"/>
  <c r="Q1202" i="1"/>
  <c r="O1202" i="1"/>
  <c r="Q1201" i="1"/>
  <c r="O1201" i="1"/>
  <c r="Q1200" i="1"/>
  <c r="O1200" i="1"/>
  <c r="Q1199" i="1"/>
  <c r="O1199" i="1"/>
  <c r="Q1198" i="1"/>
  <c r="O1198" i="1"/>
  <c r="Q1197" i="1"/>
  <c r="O1197" i="1"/>
  <c r="Q1196" i="1"/>
  <c r="O1196" i="1"/>
  <c r="Q1195" i="1"/>
  <c r="O1195" i="1"/>
  <c r="Q1194" i="1"/>
  <c r="O1194" i="1"/>
  <c r="Q1193" i="1"/>
  <c r="O1193" i="1"/>
  <c r="Q1192" i="1"/>
  <c r="O1192" i="1"/>
  <c r="Q1191" i="1"/>
  <c r="O1191" i="1"/>
  <c r="Q1190" i="1"/>
  <c r="O1190" i="1"/>
  <c r="Q1189" i="1"/>
  <c r="O1189" i="1"/>
  <c r="Q1188" i="1"/>
  <c r="O1188" i="1"/>
  <c r="Q1187" i="1"/>
  <c r="O1187" i="1"/>
  <c r="Q1186" i="1"/>
  <c r="O1186" i="1"/>
  <c r="Q1185" i="1"/>
  <c r="O1185" i="1"/>
  <c r="Q1184" i="1"/>
  <c r="O1184" i="1"/>
  <c r="Q1183" i="1"/>
  <c r="O1183" i="1"/>
  <c r="Q1182" i="1"/>
  <c r="O1182" i="1"/>
  <c r="Q1181" i="1"/>
  <c r="O1181" i="1"/>
  <c r="Q1180" i="1"/>
  <c r="O1180" i="1"/>
  <c r="Q1179" i="1"/>
  <c r="O1179" i="1"/>
  <c r="Q1178" i="1"/>
  <c r="O1178" i="1"/>
  <c r="Q1177" i="1"/>
  <c r="O1177" i="1"/>
  <c r="Q1176" i="1"/>
  <c r="O1176" i="1"/>
  <c r="Q1175" i="1"/>
  <c r="O1175" i="1"/>
  <c r="Q1174" i="1"/>
  <c r="O1174" i="1"/>
  <c r="Q1173" i="1"/>
  <c r="O1173" i="1"/>
  <c r="Q1172" i="1"/>
  <c r="O1172" i="1"/>
  <c r="Q1171" i="1"/>
  <c r="O1171" i="1"/>
  <c r="Q1170" i="1"/>
  <c r="O1170" i="1"/>
  <c r="Q1169" i="1"/>
  <c r="O1169" i="1"/>
  <c r="Q1168" i="1"/>
  <c r="O1168" i="1"/>
  <c r="Q1167" i="1"/>
  <c r="O1167" i="1"/>
  <c r="Q1166" i="1"/>
  <c r="O1166" i="1"/>
  <c r="Q1165" i="1"/>
  <c r="O1165" i="1"/>
  <c r="Q1164" i="1"/>
  <c r="O1164" i="1"/>
  <c r="Q1163" i="1"/>
  <c r="O1163" i="1"/>
  <c r="Q1162" i="1"/>
  <c r="O1162" i="1"/>
  <c r="Q1161" i="1"/>
  <c r="O1161" i="1"/>
  <c r="Q1160" i="1"/>
  <c r="O1160" i="1"/>
  <c r="Q1159" i="1"/>
  <c r="O1159" i="1"/>
  <c r="Q1158" i="1"/>
  <c r="O1158" i="1"/>
  <c r="Q1157" i="1"/>
  <c r="O1157" i="1"/>
  <c r="Q1156" i="1"/>
  <c r="O1156" i="1"/>
  <c r="Q1155" i="1"/>
  <c r="O1155" i="1"/>
  <c r="Q1154" i="1"/>
  <c r="O1154" i="1"/>
  <c r="Q1153" i="1"/>
  <c r="O1153" i="1"/>
  <c r="Q1152" i="1"/>
  <c r="O1152" i="1"/>
  <c r="Q1151" i="1"/>
  <c r="O1151" i="1"/>
  <c r="Q1150" i="1"/>
  <c r="O1150" i="1"/>
  <c r="Q1149" i="1"/>
  <c r="O1149" i="1"/>
  <c r="Q1148" i="1"/>
  <c r="O1148" i="1"/>
  <c r="Q1147" i="1"/>
  <c r="O1147" i="1"/>
  <c r="Q1146" i="1"/>
  <c r="O1146" i="1"/>
  <c r="Q1145" i="1"/>
  <c r="O1145" i="1"/>
  <c r="Q1144" i="1"/>
  <c r="O1144" i="1"/>
  <c r="Q1143" i="1"/>
  <c r="O1143" i="1"/>
  <c r="Q1142" i="1"/>
  <c r="O1142" i="1"/>
  <c r="Q1141" i="1"/>
  <c r="O1141" i="1"/>
  <c r="Q1140" i="1"/>
  <c r="O1140" i="1"/>
  <c r="Q1139" i="1"/>
  <c r="O1139" i="1"/>
  <c r="Q1138" i="1"/>
  <c r="O1138" i="1"/>
  <c r="Q1137" i="1"/>
  <c r="O1137" i="1"/>
  <c r="Q1136" i="1"/>
  <c r="O1136" i="1"/>
  <c r="Q1135" i="1"/>
  <c r="O1135" i="1"/>
  <c r="Q1134" i="1"/>
  <c r="O1134" i="1"/>
  <c r="Q1133" i="1"/>
  <c r="O1133" i="1"/>
  <c r="Q1132" i="1"/>
  <c r="O1132" i="1"/>
  <c r="Q1131" i="1"/>
  <c r="O1131" i="1"/>
  <c r="Q1130" i="1"/>
  <c r="O1130" i="1"/>
  <c r="Q1129" i="1"/>
  <c r="O1129" i="1"/>
  <c r="Q1128" i="1"/>
  <c r="O1128" i="1"/>
  <c r="Q1127" i="1"/>
  <c r="O1127" i="1"/>
  <c r="Q1126" i="1"/>
  <c r="O1126" i="1"/>
  <c r="Q1125" i="1"/>
  <c r="O1125" i="1"/>
  <c r="Q1124" i="1"/>
  <c r="O1124" i="1"/>
  <c r="Q1123" i="1"/>
  <c r="O1123" i="1"/>
  <c r="Q1122" i="1"/>
  <c r="O1122" i="1"/>
  <c r="Q1121" i="1"/>
  <c r="O1121" i="1"/>
  <c r="Q1120" i="1"/>
  <c r="O1120" i="1"/>
  <c r="Q1119" i="1"/>
  <c r="O1119" i="1"/>
  <c r="Q1118" i="1"/>
  <c r="O1118" i="1"/>
  <c r="Q1117" i="1"/>
  <c r="O1117" i="1"/>
  <c r="Q1116" i="1"/>
  <c r="O1116" i="1"/>
  <c r="Q1115" i="1"/>
  <c r="O1115" i="1"/>
  <c r="Q1114" i="1"/>
  <c r="O1114" i="1"/>
  <c r="Q1113" i="1"/>
  <c r="O1113" i="1"/>
  <c r="Q1112" i="1"/>
  <c r="O1112" i="1"/>
  <c r="Q1111" i="1"/>
  <c r="O1111" i="1"/>
  <c r="Q1110" i="1"/>
  <c r="O1110" i="1"/>
  <c r="Q1109" i="1"/>
  <c r="O1109" i="1"/>
  <c r="Q1108" i="1"/>
  <c r="O1108" i="1"/>
  <c r="Q1107" i="1"/>
  <c r="O1107" i="1"/>
  <c r="Q1106" i="1"/>
  <c r="O1106" i="1"/>
  <c r="Q1105" i="1"/>
  <c r="O1105" i="1"/>
  <c r="Q1104" i="1"/>
  <c r="O1104" i="1"/>
  <c r="Q1103" i="1"/>
  <c r="O1103" i="1"/>
  <c r="Q1102" i="1"/>
  <c r="O1102" i="1"/>
  <c r="Q1101" i="1"/>
  <c r="O1101" i="1"/>
  <c r="Q1100" i="1"/>
  <c r="O1100" i="1"/>
  <c r="Q1099" i="1"/>
  <c r="O1099" i="1"/>
  <c r="Q1098" i="1"/>
  <c r="O1098" i="1"/>
  <c r="Q1097" i="1"/>
  <c r="O1097" i="1"/>
  <c r="Q1096" i="1"/>
  <c r="O1096" i="1"/>
  <c r="Q1095" i="1"/>
  <c r="O1095" i="1"/>
  <c r="Q1094" i="1"/>
  <c r="O1094" i="1"/>
  <c r="Q1093" i="1"/>
  <c r="O1093" i="1"/>
  <c r="Q1092" i="1"/>
  <c r="O1092" i="1"/>
  <c r="Q1091" i="1"/>
  <c r="O1091" i="1"/>
  <c r="Q1090" i="1"/>
  <c r="O1090" i="1"/>
  <c r="Q1089" i="1"/>
  <c r="O1089" i="1"/>
  <c r="Q1088" i="1"/>
  <c r="O1088" i="1"/>
  <c r="Q1087" i="1"/>
  <c r="O1087" i="1"/>
  <c r="Q1086" i="1"/>
  <c r="O1086" i="1"/>
  <c r="Q1085" i="1"/>
  <c r="O1085" i="1"/>
  <c r="Q1084" i="1"/>
  <c r="O1084" i="1"/>
  <c r="Q1083" i="1"/>
  <c r="O1083" i="1"/>
  <c r="Q1082" i="1"/>
  <c r="O1082" i="1"/>
  <c r="Q1081" i="1"/>
  <c r="O1081" i="1"/>
  <c r="Q1080" i="1"/>
  <c r="O1080" i="1"/>
  <c r="Q1079" i="1"/>
  <c r="O1079" i="1"/>
  <c r="Q1078" i="1"/>
  <c r="O1078" i="1"/>
  <c r="Q1077" i="1"/>
  <c r="O1077" i="1"/>
  <c r="Q1076" i="1"/>
  <c r="O1076" i="1"/>
  <c r="Q1075" i="1"/>
  <c r="O1075" i="1"/>
  <c r="Q1074" i="1"/>
  <c r="O1074" i="1"/>
  <c r="Q1073" i="1"/>
  <c r="O1073" i="1"/>
  <c r="Q1072" i="1"/>
  <c r="O1072" i="1"/>
  <c r="Q1071" i="1"/>
  <c r="O1071" i="1"/>
  <c r="Q1070" i="1"/>
  <c r="O1070" i="1"/>
  <c r="Q1069" i="1"/>
  <c r="O1069" i="1"/>
  <c r="Q1068" i="1"/>
  <c r="O1068" i="1"/>
  <c r="Q1067" i="1"/>
  <c r="O1067" i="1"/>
  <c r="Q1066" i="1"/>
  <c r="O1066" i="1"/>
  <c r="Q1065" i="1"/>
  <c r="O1065" i="1"/>
  <c r="Q1064" i="1"/>
  <c r="O1064" i="1"/>
  <c r="Q1063" i="1"/>
  <c r="O1063" i="1"/>
  <c r="Q1062" i="1"/>
  <c r="O1062" i="1"/>
  <c r="Q1061" i="1"/>
  <c r="O1061" i="1"/>
  <c r="Q1060" i="1"/>
  <c r="O1060" i="1"/>
  <c r="Q1059" i="1"/>
  <c r="O1059" i="1"/>
  <c r="Q1058" i="1"/>
  <c r="O1058" i="1"/>
  <c r="Q1057" i="1"/>
  <c r="O1057" i="1"/>
  <c r="Q1056" i="1"/>
  <c r="O1056" i="1"/>
  <c r="Q1055" i="1"/>
  <c r="O1055" i="1"/>
  <c r="Q1054" i="1"/>
  <c r="O1054" i="1"/>
  <c r="Q1053" i="1"/>
  <c r="O1053" i="1"/>
  <c r="Q1052" i="1"/>
  <c r="O1052" i="1"/>
  <c r="Q1051" i="1"/>
  <c r="O1051" i="1"/>
  <c r="Q1050" i="1"/>
  <c r="O1050" i="1"/>
  <c r="Q1049" i="1"/>
  <c r="O1049" i="1"/>
  <c r="Q1048" i="1"/>
  <c r="O1048" i="1"/>
  <c r="Q1047" i="1"/>
  <c r="O1047" i="1"/>
  <c r="Q1046" i="1"/>
  <c r="O1046" i="1"/>
  <c r="Q1045" i="1"/>
  <c r="O1045" i="1"/>
  <c r="Q1044" i="1"/>
  <c r="O1044" i="1"/>
  <c r="Q1043" i="1"/>
  <c r="O1043" i="1"/>
  <c r="Q1042" i="1"/>
  <c r="O1042" i="1"/>
  <c r="Q1041" i="1"/>
  <c r="O1041" i="1"/>
  <c r="Q1040" i="1"/>
  <c r="O1040" i="1"/>
  <c r="Q1039" i="1"/>
  <c r="O1039" i="1"/>
  <c r="Q1038" i="1"/>
  <c r="O1038" i="1"/>
  <c r="Q1037" i="1"/>
  <c r="O1037" i="1"/>
  <c r="Q1036" i="1"/>
  <c r="O1036" i="1"/>
  <c r="Q1035" i="1"/>
  <c r="O1035" i="1"/>
  <c r="Q1034" i="1"/>
  <c r="O1034" i="1"/>
  <c r="Q1033" i="1"/>
  <c r="O1033" i="1"/>
  <c r="Q1032" i="1"/>
  <c r="O1032" i="1"/>
  <c r="Q1031" i="1"/>
  <c r="O1031" i="1"/>
  <c r="Q1030" i="1"/>
  <c r="O1030" i="1"/>
  <c r="Q1029" i="1"/>
  <c r="O1029" i="1"/>
  <c r="Q1028" i="1"/>
  <c r="O1028" i="1"/>
  <c r="Q1027" i="1"/>
  <c r="O1027" i="1"/>
  <c r="Q1026" i="1"/>
  <c r="O1026" i="1"/>
  <c r="Q1025" i="1"/>
  <c r="O1025" i="1"/>
  <c r="Q1024" i="1"/>
  <c r="O1024" i="1"/>
  <c r="Q1023" i="1"/>
  <c r="O1023" i="1"/>
  <c r="Q1022" i="1"/>
  <c r="O1022" i="1"/>
  <c r="Q1021" i="1"/>
  <c r="O1021" i="1"/>
  <c r="Q1020" i="1"/>
  <c r="O1020" i="1"/>
  <c r="Q1019" i="1"/>
  <c r="O1019" i="1"/>
  <c r="Q1018" i="1"/>
  <c r="O1018" i="1"/>
  <c r="Q1017" i="1"/>
  <c r="O1017" i="1"/>
  <c r="Q1016" i="1"/>
  <c r="O1016" i="1"/>
  <c r="Q1015" i="1"/>
  <c r="O1015" i="1"/>
  <c r="Q1014" i="1"/>
  <c r="O1014" i="1"/>
  <c r="Q1013" i="1"/>
  <c r="O1013" i="1"/>
  <c r="Q1012" i="1"/>
  <c r="O1012" i="1"/>
  <c r="Q1011" i="1"/>
  <c r="O1011" i="1"/>
  <c r="Q1010" i="1"/>
  <c r="O1010" i="1"/>
  <c r="Q1009" i="1"/>
  <c r="O1009" i="1"/>
  <c r="Q1008" i="1"/>
  <c r="O1008" i="1"/>
  <c r="Q1007" i="1"/>
  <c r="O1007" i="1"/>
  <c r="Q1006" i="1"/>
  <c r="O1006" i="1"/>
  <c r="Q1005" i="1"/>
  <c r="O1005" i="1"/>
  <c r="Q1004" i="1"/>
  <c r="O1004" i="1"/>
  <c r="Q1003" i="1"/>
  <c r="O1003" i="1"/>
  <c r="Q1002" i="1"/>
  <c r="O1002" i="1"/>
  <c r="Q1001" i="1"/>
  <c r="O1001" i="1"/>
  <c r="Q1000" i="1"/>
  <c r="O1000" i="1"/>
  <c r="Q999" i="1"/>
  <c r="O999" i="1"/>
  <c r="Q998" i="1"/>
  <c r="O998" i="1"/>
  <c r="Q997" i="1"/>
  <c r="O997" i="1"/>
  <c r="Q996" i="1"/>
  <c r="O996" i="1"/>
  <c r="Q995" i="1"/>
  <c r="O995" i="1"/>
  <c r="Q994" i="1"/>
  <c r="O994" i="1"/>
  <c r="Q993" i="1"/>
  <c r="O993" i="1"/>
  <c r="Q992" i="1"/>
  <c r="O992" i="1"/>
  <c r="Q991" i="1"/>
  <c r="O991" i="1"/>
  <c r="Q990" i="1"/>
  <c r="O990" i="1"/>
  <c r="Q989" i="1"/>
  <c r="O989" i="1"/>
  <c r="Q988" i="1"/>
  <c r="O988" i="1"/>
  <c r="Q987" i="1"/>
  <c r="O987" i="1"/>
  <c r="Q986" i="1"/>
  <c r="O986" i="1"/>
  <c r="Q985" i="1"/>
  <c r="O985" i="1"/>
  <c r="Q984" i="1"/>
  <c r="O984" i="1"/>
  <c r="Q983" i="1"/>
  <c r="O983" i="1"/>
  <c r="Q982" i="1"/>
  <c r="O982" i="1"/>
  <c r="Q981" i="1"/>
  <c r="O981" i="1"/>
  <c r="Q980" i="1"/>
  <c r="O980" i="1"/>
  <c r="Q979" i="1"/>
  <c r="O979" i="1"/>
  <c r="Q978" i="1"/>
  <c r="O978" i="1"/>
  <c r="Q977" i="1"/>
  <c r="O977" i="1"/>
  <c r="Q976" i="1"/>
  <c r="O976" i="1"/>
  <c r="Q975" i="1"/>
  <c r="O975" i="1"/>
  <c r="Q974" i="1"/>
  <c r="O974" i="1"/>
  <c r="Q973" i="1"/>
  <c r="O973" i="1"/>
  <c r="Q972" i="1"/>
  <c r="O972" i="1"/>
  <c r="Q971" i="1"/>
  <c r="O971" i="1"/>
  <c r="Q970" i="1"/>
  <c r="O970" i="1"/>
  <c r="Q969" i="1"/>
  <c r="O969" i="1"/>
  <c r="Q968" i="1"/>
  <c r="O968" i="1"/>
  <c r="Q967" i="1"/>
  <c r="O967" i="1"/>
  <c r="Q966" i="1"/>
  <c r="O966" i="1"/>
  <c r="Q965" i="1"/>
  <c r="O965" i="1"/>
  <c r="Q964" i="1"/>
  <c r="O964" i="1"/>
  <c r="Q963" i="1"/>
  <c r="O963" i="1"/>
  <c r="Q962" i="1"/>
  <c r="O962" i="1"/>
  <c r="Q961" i="1"/>
  <c r="O961" i="1"/>
  <c r="Q960" i="1"/>
  <c r="O960" i="1"/>
  <c r="Q959" i="1"/>
  <c r="O959" i="1"/>
  <c r="Q958" i="1"/>
  <c r="O958" i="1"/>
  <c r="Q957" i="1"/>
  <c r="O957" i="1"/>
  <c r="Q956" i="1"/>
  <c r="O956" i="1"/>
  <c r="Q955" i="1"/>
  <c r="O955" i="1"/>
  <c r="Q954" i="1"/>
  <c r="O954" i="1"/>
  <c r="Q953" i="1"/>
  <c r="O953" i="1"/>
  <c r="Q952" i="1"/>
  <c r="O952" i="1"/>
  <c r="Q951" i="1"/>
  <c r="O951" i="1"/>
  <c r="Q950" i="1"/>
  <c r="O950" i="1"/>
  <c r="Q949" i="1"/>
  <c r="O949" i="1"/>
  <c r="Q948" i="1"/>
  <c r="O948" i="1"/>
  <c r="Q947" i="1"/>
  <c r="O947" i="1"/>
  <c r="Q946" i="1"/>
  <c r="O946" i="1"/>
  <c r="Q945" i="1"/>
  <c r="O945" i="1"/>
  <c r="Q944" i="1"/>
  <c r="O944" i="1"/>
  <c r="Q943" i="1"/>
  <c r="O943" i="1"/>
  <c r="Q942" i="1"/>
  <c r="O942" i="1"/>
  <c r="Q941" i="1"/>
  <c r="O941" i="1"/>
  <c r="Q940" i="1"/>
  <c r="O940" i="1"/>
  <c r="Q939" i="1"/>
  <c r="O939" i="1"/>
  <c r="Q938" i="1"/>
  <c r="O938" i="1"/>
  <c r="Q937" i="1"/>
  <c r="O937" i="1"/>
  <c r="Q936" i="1"/>
  <c r="O936" i="1"/>
  <c r="Q935" i="1"/>
  <c r="O935" i="1"/>
  <c r="Q934" i="1"/>
  <c r="O934" i="1"/>
  <c r="Q933" i="1"/>
  <c r="O933" i="1"/>
  <c r="Q932" i="1"/>
  <c r="O932" i="1"/>
  <c r="Q931" i="1"/>
  <c r="O931" i="1"/>
  <c r="Q930" i="1"/>
  <c r="O930" i="1"/>
  <c r="Q929" i="1"/>
  <c r="O929" i="1"/>
  <c r="Q928" i="1"/>
  <c r="O928" i="1"/>
  <c r="Q927" i="1"/>
  <c r="O927" i="1"/>
  <c r="Q926" i="1"/>
  <c r="O926" i="1"/>
  <c r="Q925" i="1"/>
  <c r="O925" i="1"/>
  <c r="Q924" i="1"/>
  <c r="O924" i="1"/>
  <c r="Q923" i="1"/>
  <c r="O923" i="1"/>
  <c r="Q922" i="1"/>
  <c r="O922" i="1"/>
  <c r="Q921" i="1"/>
  <c r="O921" i="1"/>
  <c r="Q920" i="1"/>
  <c r="O920" i="1"/>
  <c r="Q919" i="1"/>
  <c r="O919" i="1"/>
  <c r="Q918" i="1"/>
  <c r="O918" i="1"/>
  <c r="Q917" i="1"/>
  <c r="O917" i="1"/>
  <c r="Q916" i="1"/>
  <c r="O916" i="1"/>
  <c r="Q915" i="1"/>
  <c r="O915" i="1"/>
  <c r="Q914" i="1"/>
  <c r="O914" i="1"/>
  <c r="Q913" i="1"/>
  <c r="O913" i="1"/>
  <c r="Q912" i="1"/>
  <c r="O912" i="1"/>
  <c r="Q911" i="1"/>
  <c r="O911" i="1"/>
  <c r="Q910" i="1"/>
  <c r="O910" i="1"/>
  <c r="Q909" i="1"/>
  <c r="O909" i="1"/>
  <c r="Q908" i="1"/>
  <c r="O908" i="1"/>
  <c r="Q907" i="1"/>
  <c r="O907" i="1"/>
  <c r="Q906" i="1"/>
  <c r="O906" i="1"/>
  <c r="Q905" i="1"/>
  <c r="O905" i="1"/>
  <c r="Q904" i="1"/>
  <c r="O904" i="1"/>
  <c r="Q903" i="1"/>
  <c r="O903" i="1"/>
  <c r="Q902" i="1"/>
  <c r="O902" i="1"/>
  <c r="Q901" i="1"/>
  <c r="O901" i="1"/>
  <c r="Q900" i="1"/>
  <c r="O900" i="1"/>
  <c r="Q899" i="1"/>
  <c r="O899" i="1"/>
  <c r="Q898" i="1"/>
  <c r="O898" i="1"/>
  <c r="Q897" i="1"/>
  <c r="O897" i="1"/>
  <c r="Q896" i="1"/>
  <c r="O896" i="1"/>
  <c r="Q895" i="1"/>
  <c r="O895" i="1"/>
  <c r="Q894" i="1"/>
  <c r="O894" i="1"/>
  <c r="Q893" i="1"/>
  <c r="O893" i="1"/>
  <c r="Q892" i="1"/>
  <c r="O892" i="1"/>
  <c r="Q891" i="1"/>
  <c r="O891" i="1"/>
  <c r="Q890" i="1"/>
  <c r="O890" i="1"/>
  <c r="Q889" i="1"/>
  <c r="O889" i="1"/>
  <c r="Q888" i="1"/>
  <c r="O888" i="1"/>
  <c r="Q887" i="1"/>
  <c r="O887" i="1"/>
  <c r="Q886" i="1"/>
  <c r="O886" i="1"/>
  <c r="Q885" i="1"/>
  <c r="O885" i="1"/>
  <c r="Q884" i="1"/>
  <c r="O884" i="1"/>
  <c r="Q883" i="1"/>
  <c r="O883" i="1"/>
  <c r="Q882" i="1"/>
  <c r="O882" i="1"/>
  <c r="Q881" i="1"/>
  <c r="O881" i="1"/>
  <c r="Q880" i="1"/>
  <c r="O880" i="1"/>
  <c r="Q879" i="1"/>
  <c r="O879" i="1"/>
  <c r="Q878" i="1"/>
  <c r="O878" i="1"/>
  <c r="Q877" i="1"/>
  <c r="O877" i="1"/>
  <c r="Q876" i="1"/>
  <c r="O876" i="1"/>
  <c r="Q875" i="1"/>
  <c r="O875" i="1"/>
  <c r="Q874" i="1"/>
  <c r="O874" i="1"/>
  <c r="Q873" i="1"/>
  <c r="O873" i="1"/>
  <c r="Q872" i="1"/>
  <c r="O872" i="1"/>
  <c r="Q871" i="1"/>
  <c r="O871" i="1"/>
  <c r="Q870" i="1"/>
  <c r="O870" i="1"/>
  <c r="Q869" i="1"/>
  <c r="O869" i="1"/>
  <c r="Q868" i="1"/>
  <c r="O868" i="1"/>
  <c r="Q867" i="1"/>
  <c r="O867" i="1"/>
  <c r="Q866" i="1"/>
  <c r="O866" i="1"/>
  <c r="Q865" i="1"/>
  <c r="O865" i="1"/>
  <c r="Q864" i="1"/>
  <c r="O864" i="1"/>
  <c r="Q863" i="1"/>
  <c r="O863" i="1"/>
  <c r="Q862" i="1"/>
  <c r="O862" i="1"/>
  <c r="Q861" i="1"/>
  <c r="O861" i="1"/>
  <c r="Q860" i="1"/>
  <c r="O860" i="1"/>
  <c r="Q859" i="1"/>
  <c r="O859" i="1"/>
  <c r="Q858" i="1"/>
  <c r="O858" i="1"/>
  <c r="Q857" i="1"/>
  <c r="O857" i="1"/>
  <c r="Q856" i="1"/>
  <c r="O856" i="1"/>
  <c r="Q855" i="1"/>
  <c r="O855" i="1"/>
  <c r="Q854" i="1"/>
  <c r="O854" i="1"/>
  <c r="Q853" i="1"/>
  <c r="O853" i="1"/>
  <c r="Q852" i="1"/>
  <c r="O852" i="1"/>
  <c r="Q851" i="1"/>
  <c r="O851" i="1"/>
  <c r="Q850" i="1"/>
  <c r="O850" i="1"/>
  <c r="Q849" i="1"/>
  <c r="O849" i="1"/>
  <c r="Q848" i="1"/>
  <c r="O848" i="1"/>
  <c r="Q847" i="1"/>
  <c r="O847" i="1"/>
  <c r="Q846" i="1"/>
  <c r="O846" i="1"/>
  <c r="Q845" i="1"/>
  <c r="O845" i="1"/>
  <c r="Q844" i="1"/>
  <c r="O844" i="1"/>
  <c r="Q843" i="1"/>
  <c r="O843" i="1"/>
  <c r="Q842" i="1"/>
  <c r="O842" i="1"/>
  <c r="Q841" i="1"/>
  <c r="O841" i="1"/>
  <c r="Q840" i="1"/>
  <c r="O840" i="1"/>
  <c r="Q839" i="1"/>
  <c r="O839" i="1"/>
  <c r="Q838" i="1"/>
  <c r="O838" i="1"/>
  <c r="Q837" i="1"/>
  <c r="O837" i="1"/>
  <c r="Q836" i="1"/>
  <c r="O836" i="1"/>
  <c r="Q835" i="1"/>
  <c r="O835" i="1"/>
  <c r="Q834" i="1"/>
  <c r="O834" i="1"/>
  <c r="Q833" i="1"/>
  <c r="O833" i="1"/>
  <c r="Q832" i="1"/>
  <c r="O832" i="1"/>
  <c r="Q831" i="1"/>
  <c r="O831" i="1"/>
  <c r="Q830" i="1"/>
  <c r="O830" i="1"/>
  <c r="Q829" i="1"/>
  <c r="O829" i="1"/>
  <c r="Q828" i="1"/>
  <c r="O828" i="1"/>
  <c r="Q827" i="1"/>
  <c r="O827" i="1"/>
  <c r="Q826" i="1"/>
  <c r="O826" i="1"/>
  <c r="Q825" i="1"/>
  <c r="O825" i="1"/>
  <c r="Q824" i="1"/>
  <c r="O824" i="1"/>
  <c r="Q823" i="1"/>
  <c r="O823" i="1"/>
  <c r="Q822" i="1"/>
  <c r="O822" i="1"/>
  <c r="Q821" i="1"/>
  <c r="O821" i="1"/>
  <c r="Q820" i="1"/>
  <c r="O820" i="1"/>
  <c r="Q819" i="1"/>
  <c r="O819" i="1"/>
  <c r="Q818" i="1"/>
  <c r="O818" i="1"/>
  <c r="Q817" i="1"/>
  <c r="O817" i="1"/>
  <c r="Q816" i="1"/>
  <c r="O816" i="1"/>
  <c r="Q815" i="1"/>
  <c r="O815" i="1"/>
  <c r="Q814" i="1"/>
  <c r="O814" i="1"/>
  <c r="Q813" i="1"/>
  <c r="O813" i="1"/>
  <c r="Q812" i="1"/>
  <c r="O812" i="1"/>
  <c r="Q811" i="1"/>
  <c r="O811" i="1"/>
  <c r="Q810" i="1"/>
  <c r="O810" i="1"/>
  <c r="Q809" i="1"/>
  <c r="O809" i="1"/>
  <c r="Q808" i="1"/>
  <c r="O808" i="1"/>
  <c r="Q807" i="1"/>
  <c r="O807" i="1"/>
  <c r="Q806" i="1"/>
  <c r="O806" i="1"/>
  <c r="Q805" i="1"/>
  <c r="O805" i="1"/>
  <c r="Q804" i="1"/>
  <c r="O804" i="1"/>
  <c r="Q803" i="1"/>
  <c r="O803" i="1"/>
  <c r="Q802" i="1"/>
  <c r="O802" i="1"/>
  <c r="Q801" i="1"/>
  <c r="O801" i="1"/>
  <c r="Q800" i="1"/>
  <c r="O800" i="1"/>
  <c r="Q799" i="1"/>
  <c r="O799" i="1"/>
  <c r="Q798" i="1"/>
  <c r="O798" i="1"/>
  <c r="Q797" i="1"/>
  <c r="O797" i="1"/>
  <c r="Q796" i="1"/>
  <c r="O796" i="1"/>
  <c r="Q795" i="1"/>
  <c r="O795" i="1"/>
  <c r="Q794" i="1"/>
  <c r="O794" i="1"/>
  <c r="Q793" i="1"/>
  <c r="O793" i="1"/>
  <c r="Q792" i="1"/>
  <c r="O792" i="1"/>
  <c r="Q791" i="1"/>
  <c r="O791" i="1"/>
  <c r="Q790" i="1"/>
  <c r="O790" i="1"/>
  <c r="Q789" i="1"/>
  <c r="O789" i="1"/>
  <c r="Q788" i="1"/>
  <c r="O788" i="1"/>
  <c r="Q787" i="1"/>
  <c r="O787" i="1"/>
  <c r="Q786" i="1"/>
  <c r="O786" i="1"/>
  <c r="Q785" i="1"/>
  <c r="O785" i="1"/>
  <c r="Q784" i="1"/>
  <c r="O784" i="1"/>
  <c r="Q783" i="1"/>
  <c r="O783" i="1"/>
  <c r="Q782" i="1"/>
  <c r="O782" i="1"/>
  <c r="Q781" i="1"/>
  <c r="O781" i="1"/>
  <c r="Q780" i="1"/>
  <c r="O780" i="1"/>
  <c r="Q779" i="1"/>
  <c r="O779" i="1"/>
  <c r="Q778" i="1"/>
  <c r="O778" i="1"/>
  <c r="Q777" i="1"/>
  <c r="O777" i="1"/>
  <c r="Q776" i="1"/>
  <c r="O776" i="1"/>
  <c r="Q775" i="1"/>
  <c r="O775" i="1"/>
  <c r="Q774" i="1"/>
  <c r="O774" i="1"/>
  <c r="Q773" i="1"/>
  <c r="O773" i="1"/>
  <c r="Q772" i="1"/>
  <c r="O772" i="1"/>
  <c r="Q771" i="1"/>
  <c r="O771" i="1"/>
  <c r="Q770" i="1"/>
  <c r="O770" i="1"/>
  <c r="Q769" i="1"/>
  <c r="O769" i="1"/>
  <c r="Q768" i="1"/>
  <c r="O768" i="1"/>
  <c r="Q767" i="1"/>
  <c r="O767" i="1"/>
  <c r="Q766" i="1"/>
  <c r="O766" i="1"/>
  <c r="Q765" i="1"/>
  <c r="O765" i="1"/>
  <c r="Q764" i="1"/>
  <c r="O764" i="1"/>
  <c r="Q763" i="1"/>
  <c r="O763" i="1"/>
  <c r="Q762" i="1"/>
  <c r="O762" i="1"/>
  <c r="Q761" i="1"/>
  <c r="O761" i="1"/>
  <c r="Q760" i="1"/>
  <c r="O760" i="1"/>
  <c r="Q759" i="1"/>
  <c r="O759" i="1"/>
  <c r="Q758" i="1"/>
  <c r="O758" i="1"/>
  <c r="Q757" i="1"/>
  <c r="O757" i="1"/>
  <c r="Q756" i="1"/>
  <c r="O756" i="1"/>
  <c r="Q755" i="1"/>
  <c r="O755" i="1"/>
  <c r="Q754" i="1"/>
  <c r="O754" i="1"/>
  <c r="Q753" i="1"/>
  <c r="O753" i="1"/>
  <c r="Q752" i="1"/>
  <c r="O752" i="1"/>
  <c r="Q751" i="1"/>
  <c r="O751" i="1"/>
  <c r="Q750" i="1"/>
  <c r="O750" i="1"/>
  <c r="Q749" i="1"/>
  <c r="O749" i="1"/>
  <c r="Q748" i="1"/>
  <c r="O748" i="1"/>
  <c r="Q747" i="1"/>
  <c r="O747" i="1"/>
  <c r="Q746" i="1"/>
  <c r="O746" i="1"/>
  <c r="Q745" i="1"/>
  <c r="O745" i="1"/>
  <c r="Q744" i="1"/>
  <c r="O744" i="1"/>
  <c r="Q743" i="1"/>
  <c r="O743" i="1"/>
  <c r="Q742" i="1"/>
  <c r="O742" i="1"/>
  <c r="Q741" i="1"/>
  <c r="O741" i="1"/>
  <c r="Q740" i="1"/>
  <c r="O740" i="1"/>
  <c r="Q739" i="1"/>
  <c r="O739" i="1"/>
  <c r="Q738" i="1"/>
  <c r="O738" i="1"/>
  <c r="Q737" i="1"/>
  <c r="O737" i="1"/>
  <c r="Q736" i="1"/>
  <c r="O736" i="1"/>
  <c r="Q735" i="1"/>
  <c r="O735" i="1"/>
  <c r="Q734" i="1"/>
  <c r="O734" i="1"/>
  <c r="Q733" i="1"/>
  <c r="O733" i="1"/>
  <c r="Q732" i="1"/>
  <c r="O732" i="1"/>
  <c r="Q731" i="1"/>
  <c r="O731" i="1"/>
  <c r="Q730" i="1"/>
  <c r="O730" i="1"/>
  <c r="Q729" i="1"/>
  <c r="O729" i="1"/>
  <c r="Q728" i="1"/>
  <c r="O728" i="1"/>
  <c r="Q727" i="1"/>
  <c r="O727" i="1"/>
  <c r="Q726" i="1"/>
  <c r="O726" i="1"/>
  <c r="Q725" i="1"/>
  <c r="O725" i="1"/>
  <c r="Q724" i="1"/>
  <c r="O724" i="1"/>
  <c r="Q723" i="1"/>
  <c r="O723" i="1"/>
  <c r="Q722" i="1"/>
  <c r="O722" i="1"/>
  <c r="Q721" i="1"/>
  <c r="O721" i="1"/>
  <c r="Q720" i="1"/>
  <c r="O720" i="1"/>
  <c r="Q719" i="1"/>
  <c r="O719" i="1"/>
  <c r="Q718" i="1"/>
  <c r="O718" i="1"/>
  <c r="Q717" i="1"/>
  <c r="O717" i="1"/>
  <c r="Q716" i="1"/>
  <c r="O716" i="1"/>
  <c r="Q715" i="1"/>
  <c r="O715" i="1"/>
  <c r="Q714" i="1"/>
  <c r="O714" i="1"/>
  <c r="Q713" i="1"/>
  <c r="O713" i="1"/>
  <c r="Q712" i="1"/>
  <c r="O712" i="1"/>
  <c r="Q711" i="1"/>
  <c r="O711" i="1"/>
  <c r="Q710" i="1"/>
  <c r="O710" i="1"/>
  <c r="Q709" i="1"/>
  <c r="O709" i="1"/>
  <c r="Q708" i="1"/>
  <c r="O708" i="1"/>
  <c r="Q707" i="1"/>
  <c r="O707" i="1"/>
  <c r="Q706" i="1"/>
  <c r="O706" i="1"/>
  <c r="Q705" i="1"/>
  <c r="O705" i="1"/>
  <c r="Q704" i="1"/>
  <c r="O704" i="1"/>
  <c r="Q703" i="1"/>
  <c r="O703" i="1"/>
  <c r="Q702" i="1"/>
  <c r="O702" i="1"/>
  <c r="Q701" i="1"/>
  <c r="O701" i="1"/>
  <c r="Q700" i="1"/>
  <c r="O700" i="1"/>
  <c r="Q699" i="1"/>
  <c r="O699" i="1"/>
  <c r="Q698" i="1"/>
  <c r="O698" i="1"/>
  <c r="Q697" i="1"/>
  <c r="O697" i="1"/>
  <c r="Q696" i="1"/>
  <c r="O696" i="1"/>
  <c r="Q695" i="1"/>
  <c r="O695" i="1"/>
  <c r="Q694" i="1"/>
  <c r="O694" i="1"/>
  <c r="Q693" i="1"/>
  <c r="O693" i="1"/>
  <c r="Q692" i="1"/>
  <c r="O692" i="1"/>
  <c r="Q691" i="1"/>
  <c r="O691" i="1"/>
  <c r="Q690" i="1"/>
  <c r="O690" i="1"/>
  <c r="Q689" i="1"/>
  <c r="O689" i="1"/>
  <c r="Q688" i="1"/>
  <c r="O688" i="1"/>
  <c r="Q687" i="1"/>
  <c r="O687" i="1"/>
  <c r="Q686" i="1"/>
  <c r="O686" i="1"/>
  <c r="Q685" i="1"/>
  <c r="O685" i="1"/>
  <c r="Q684" i="1"/>
  <c r="O684" i="1"/>
  <c r="Q683" i="1"/>
  <c r="O683" i="1"/>
  <c r="Q682" i="1"/>
  <c r="O682" i="1"/>
  <c r="Q681" i="1"/>
  <c r="O681" i="1"/>
  <c r="Q680" i="1"/>
  <c r="O680" i="1"/>
  <c r="Q679" i="1"/>
  <c r="O679" i="1"/>
  <c r="Q678" i="1"/>
  <c r="O678" i="1"/>
  <c r="Q677" i="1"/>
  <c r="O677" i="1"/>
  <c r="Q676" i="1"/>
  <c r="O676" i="1"/>
  <c r="Q675" i="1"/>
  <c r="O675" i="1"/>
  <c r="Q674" i="1"/>
  <c r="O674" i="1"/>
  <c r="Q673" i="1"/>
  <c r="O673" i="1"/>
  <c r="Q672" i="1"/>
  <c r="O672" i="1"/>
  <c r="Q671" i="1"/>
  <c r="O671" i="1"/>
  <c r="Q670" i="1"/>
  <c r="O670" i="1"/>
  <c r="Q669" i="1"/>
  <c r="O669" i="1"/>
  <c r="Q668" i="1"/>
  <c r="O668" i="1"/>
  <c r="Q667" i="1"/>
  <c r="O667" i="1"/>
  <c r="Q666" i="1"/>
  <c r="O666" i="1"/>
  <c r="Q665" i="1"/>
  <c r="O665" i="1"/>
  <c r="Q664" i="1"/>
  <c r="O664" i="1"/>
  <c r="Q663" i="1"/>
  <c r="O663" i="1"/>
  <c r="Q662" i="1"/>
  <c r="O662" i="1"/>
  <c r="Q661" i="1"/>
  <c r="O661" i="1"/>
  <c r="Q660" i="1"/>
  <c r="O660" i="1"/>
  <c r="Q659" i="1"/>
  <c r="O659" i="1"/>
  <c r="Q658" i="1"/>
  <c r="O658" i="1"/>
  <c r="Q657" i="1"/>
  <c r="O657" i="1"/>
  <c r="Q656" i="1"/>
  <c r="O656" i="1"/>
  <c r="Q655" i="1"/>
  <c r="O655" i="1"/>
  <c r="Q654" i="1"/>
  <c r="O654" i="1"/>
  <c r="Q653" i="1"/>
  <c r="O653" i="1"/>
  <c r="Q652" i="1"/>
  <c r="O652" i="1"/>
  <c r="Q651" i="1"/>
  <c r="O651" i="1"/>
  <c r="Q650" i="1"/>
  <c r="O650" i="1"/>
  <c r="Q649" i="1"/>
  <c r="O649" i="1"/>
  <c r="Q648" i="1"/>
  <c r="O648" i="1"/>
  <c r="Q647" i="1"/>
  <c r="O647" i="1"/>
  <c r="Q646" i="1"/>
  <c r="O646" i="1"/>
  <c r="Q645" i="1"/>
  <c r="O645" i="1"/>
  <c r="Q644" i="1"/>
  <c r="O644" i="1"/>
  <c r="Q643" i="1"/>
  <c r="O643" i="1"/>
  <c r="Q642" i="1"/>
  <c r="O642" i="1"/>
  <c r="Q641" i="1"/>
  <c r="O641" i="1"/>
  <c r="Q640" i="1"/>
  <c r="O640" i="1"/>
  <c r="Q639" i="1"/>
  <c r="O639" i="1"/>
  <c r="Q638" i="1"/>
  <c r="O638" i="1"/>
  <c r="Q637" i="1"/>
  <c r="O637" i="1"/>
  <c r="Q636" i="1"/>
  <c r="O636" i="1"/>
  <c r="Q635" i="1"/>
  <c r="O635" i="1"/>
  <c r="Q634" i="1"/>
  <c r="O634" i="1"/>
  <c r="Q633" i="1"/>
  <c r="O633" i="1"/>
  <c r="Q632" i="1"/>
  <c r="O632" i="1"/>
  <c r="Q631" i="1"/>
  <c r="O631" i="1"/>
  <c r="Q630" i="1"/>
  <c r="O630" i="1"/>
  <c r="Q629" i="1"/>
  <c r="O629" i="1"/>
  <c r="Q628" i="1"/>
  <c r="O628" i="1"/>
  <c r="Q627" i="1"/>
  <c r="O627" i="1"/>
  <c r="Q626" i="1"/>
  <c r="O626" i="1"/>
  <c r="Q625" i="1"/>
  <c r="O625" i="1"/>
  <c r="Q624" i="1"/>
  <c r="O624" i="1"/>
  <c r="Q623" i="1"/>
  <c r="O623" i="1"/>
  <c r="Q622" i="1"/>
  <c r="O622" i="1"/>
  <c r="Q621" i="1"/>
  <c r="O621" i="1"/>
  <c r="Q620" i="1"/>
  <c r="O620" i="1"/>
  <c r="Q619" i="1"/>
  <c r="O619" i="1"/>
  <c r="Q618" i="1"/>
  <c r="O618" i="1"/>
  <c r="Q617" i="1"/>
  <c r="O617" i="1"/>
  <c r="Q616" i="1"/>
  <c r="O616" i="1"/>
  <c r="Q615" i="1"/>
  <c r="O615" i="1"/>
  <c r="Q614" i="1"/>
  <c r="O614" i="1"/>
  <c r="Q613" i="1"/>
  <c r="O613" i="1"/>
  <c r="Q612" i="1"/>
  <c r="O612" i="1"/>
  <c r="Q611" i="1"/>
  <c r="O611" i="1"/>
  <c r="Q610" i="1"/>
  <c r="O610" i="1"/>
  <c r="Q609" i="1"/>
  <c r="O609" i="1"/>
  <c r="Q608" i="1"/>
  <c r="O608" i="1"/>
  <c r="Q607" i="1"/>
  <c r="O607" i="1"/>
  <c r="Q606" i="1"/>
  <c r="O606" i="1"/>
  <c r="Q605" i="1"/>
  <c r="O605" i="1"/>
  <c r="Q604" i="1"/>
  <c r="O604" i="1"/>
  <c r="Q603" i="1"/>
  <c r="O603" i="1"/>
  <c r="Q602" i="1"/>
  <c r="O602" i="1"/>
  <c r="Q601" i="1"/>
  <c r="O601" i="1"/>
  <c r="Q600" i="1"/>
  <c r="O600" i="1"/>
  <c r="Q599" i="1"/>
  <c r="O599" i="1"/>
  <c r="Q598" i="1"/>
  <c r="O598" i="1"/>
  <c r="Q597" i="1"/>
  <c r="O597" i="1"/>
  <c r="Q596" i="1"/>
  <c r="O596" i="1"/>
  <c r="Q595" i="1"/>
  <c r="O595" i="1"/>
  <c r="Q594" i="1"/>
  <c r="O594" i="1"/>
  <c r="Q593" i="1"/>
  <c r="O593" i="1"/>
  <c r="Q592" i="1"/>
  <c r="O592" i="1"/>
  <c r="Q591" i="1"/>
  <c r="O591" i="1"/>
  <c r="Q590" i="1"/>
  <c r="O590" i="1"/>
  <c r="Q589" i="1"/>
  <c r="O589" i="1"/>
  <c r="Q588" i="1"/>
  <c r="O588" i="1"/>
  <c r="Q587" i="1"/>
  <c r="O587" i="1"/>
  <c r="Q586" i="1"/>
  <c r="O586" i="1"/>
  <c r="Q585" i="1"/>
  <c r="O585" i="1"/>
  <c r="Q584" i="1"/>
  <c r="O584" i="1"/>
  <c r="Q583" i="1"/>
  <c r="O583" i="1"/>
  <c r="Q582" i="1"/>
  <c r="O582" i="1"/>
  <c r="Q581" i="1"/>
  <c r="O581" i="1"/>
  <c r="Q580" i="1"/>
  <c r="O580" i="1"/>
  <c r="Q579" i="1"/>
  <c r="O579" i="1"/>
  <c r="Q578" i="1"/>
  <c r="O578" i="1"/>
  <c r="Q577" i="1"/>
  <c r="O577" i="1"/>
  <c r="Q576" i="1"/>
  <c r="O576" i="1"/>
  <c r="Q575" i="1"/>
  <c r="O575" i="1"/>
  <c r="Q574" i="1"/>
  <c r="O574" i="1"/>
  <c r="Q573" i="1"/>
  <c r="O573" i="1"/>
  <c r="Q572" i="1"/>
  <c r="O572" i="1"/>
  <c r="Q571" i="1"/>
  <c r="O571" i="1"/>
  <c r="Q570" i="1"/>
  <c r="O570" i="1"/>
  <c r="Q569" i="1"/>
  <c r="O569" i="1"/>
  <c r="Q568" i="1"/>
  <c r="O568" i="1"/>
  <c r="Q567" i="1"/>
  <c r="O567" i="1"/>
  <c r="Q566" i="1"/>
  <c r="O566" i="1"/>
  <c r="Q565" i="1"/>
  <c r="O565" i="1"/>
  <c r="Q564" i="1"/>
  <c r="O564" i="1"/>
  <c r="Q563" i="1"/>
  <c r="O563" i="1"/>
  <c r="Q562" i="1"/>
  <c r="O562" i="1"/>
  <c r="Q561" i="1"/>
  <c r="O561" i="1"/>
  <c r="Q560" i="1"/>
  <c r="O560" i="1"/>
  <c r="Q559" i="1"/>
  <c r="O559" i="1"/>
  <c r="Q558" i="1"/>
  <c r="O558" i="1"/>
  <c r="Q557" i="1"/>
  <c r="O557" i="1"/>
  <c r="Q556" i="1"/>
  <c r="O556" i="1"/>
  <c r="Q555" i="1"/>
  <c r="O555" i="1"/>
  <c r="Q554" i="1"/>
  <c r="O554" i="1"/>
  <c r="Q553" i="1"/>
  <c r="O553" i="1"/>
  <c r="Q552" i="1"/>
  <c r="O552" i="1"/>
  <c r="Q551" i="1"/>
  <c r="O551" i="1"/>
  <c r="Q550" i="1"/>
  <c r="O550" i="1"/>
  <c r="Q549" i="1"/>
  <c r="O549" i="1"/>
  <c r="Q548" i="1"/>
  <c r="O548" i="1"/>
  <c r="Q547" i="1"/>
  <c r="O547" i="1"/>
  <c r="Q546" i="1"/>
  <c r="O546" i="1"/>
  <c r="Q545" i="1"/>
  <c r="O545" i="1"/>
  <c r="Q544" i="1"/>
  <c r="O544" i="1"/>
  <c r="Q543" i="1"/>
  <c r="O543" i="1"/>
  <c r="Q542" i="1"/>
  <c r="O542" i="1"/>
  <c r="Q541" i="1"/>
  <c r="O541" i="1"/>
  <c r="Q540" i="1"/>
  <c r="O540" i="1"/>
  <c r="Q539" i="1"/>
  <c r="O539" i="1"/>
  <c r="Q538" i="1"/>
  <c r="O538" i="1"/>
  <c r="Q537" i="1"/>
  <c r="O537" i="1"/>
  <c r="Q536" i="1"/>
  <c r="O536" i="1"/>
  <c r="Q535" i="1"/>
  <c r="O535" i="1"/>
  <c r="Q534" i="1"/>
  <c r="O534" i="1"/>
  <c r="Q533" i="1"/>
  <c r="O533" i="1"/>
  <c r="Q532" i="1"/>
  <c r="O532" i="1"/>
  <c r="Q531" i="1"/>
  <c r="O531" i="1"/>
  <c r="Q530" i="1"/>
  <c r="O530" i="1"/>
  <c r="Q529" i="1"/>
  <c r="O529" i="1"/>
  <c r="Q528" i="1"/>
  <c r="O528" i="1"/>
  <c r="Q527" i="1"/>
  <c r="O527" i="1"/>
  <c r="Q526" i="1"/>
  <c r="O526" i="1"/>
  <c r="Q525" i="1"/>
  <c r="O525" i="1"/>
  <c r="Q524" i="1"/>
  <c r="O524" i="1"/>
  <c r="Q523" i="1"/>
  <c r="O523" i="1"/>
  <c r="Q522" i="1"/>
  <c r="O522" i="1"/>
  <c r="Q521" i="1"/>
  <c r="O521" i="1"/>
  <c r="Q520" i="1"/>
  <c r="O520" i="1"/>
  <c r="Q519" i="1"/>
  <c r="O519" i="1"/>
  <c r="Q518" i="1"/>
  <c r="O518" i="1"/>
  <c r="Q517" i="1"/>
  <c r="O517" i="1"/>
  <c r="Q516" i="1"/>
  <c r="O516" i="1"/>
  <c r="Q515" i="1"/>
  <c r="O515" i="1"/>
  <c r="Q514" i="1"/>
  <c r="O514" i="1"/>
  <c r="Q513" i="1"/>
  <c r="O513" i="1"/>
  <c r="Q512" i="1"/>
  <c r="O512" i="1"/>
  <c r="Q511" i="1"/>
  <c r="O511" i="1"/>
  <c r="Q510" i="1"/>
  <c r="O510" i="1"/>
  <c r="Q509" i="1"/>
  <c r="O509" i="1"/>
  <c r="Q508" i="1"/>
  <c r="O508" i="1"/>
  <c r="Q507" i="1"/>
  <c r="O507" i="1"/>
  <c r="Q506" i="1"/>
  <c r="O506" i="1"/>
  <c r="Q505" i="1"/>
  <c r="O505" i="1"/>
  <c r="Q504" i="1"/>
  <c r="O504" i="1"/>
  <c r="Q503" i="1"/>
  <c r="O503" i="1"/>
  <c r="Q502" i="1"/>
  <c r="O502" i="1"/>
  <c r="Q501" i="1"/>
  <c r="O501" i="1"/>
  <c r="Q500" i="1"/>
  <c r="O500" i="1"/>
  <c r="Q499" i="1"/>
  <c r="O499" i="1"/>
  <c r="Q498" i="1"/>
  <c r="O498" i="1"/>
  <c r="Q497" i="1"/>
  <c r="O497" i="1"/>
  <c r="Q496" i="1"/>
  <c r="O496" i="1"/>
  <c r="Q495" i="1"/>
  <c r="O495" i="1"/>
  <c r="Q494" i="1"/>
  <c r="O494" i="1"/>
  <c r="Q493" i="1"/>
  <c r="O493" i="1"/>
  <c r="Q492" i="1"/>
  <c r="O492" i="1"/>
  <c r="Q491" i="1"/>
  <c r="O491" i="1"/>
  <c r="Q490" i="1"/>
  <c r="O490" i="1"/>
  <c r="Q489" i="1"/>
  <c r="O489" i="1"/>
  <c r="Q488" i="1"/>
  <c r="O488" i="1"/>
  <c r="Q487" i="1"/>
  <c r="O487" i="1"/>
  <c r="Q486" i="1"/>
  <c r="O486" i="1"/>
  <c r="Q485" i="1"/>
  <c r="O485" i="1"/>
  <c r="Q484" i="1"/>
  <c r="O484" i="1"/>
  <c r="Q483" i="1"/>
  <c r="O483" i="1"/>
  <c r="Q482" i="1"/>
  <c r="O482" i="1"/>
  <c r="Q481" i="1"/>
  <c r="O481" i="1"/>
  <c r="Q480" i="1"/>
  <c r="O480" i="1"/>
  <c r="Q479" i="1"/>
  <c r="O479" i="1"/>
  <c r="Q478" i="1"/>
  <c r="O478" i="1"/>
  <c r="Q477" i="1"/>
  <c r="O477" i="1"/>
  <c r="Q476" i="1"/>
  <c r="O476" i="1"/>
  <c r="Q475" i="1"/>
  <c r="O475" i="1"/>
  <c r="Q474" i="1"/>
  <c r="O474" i="1"/>
  <c r="Q473" i="1"/>
  <c r="O473" i="1"/>
  <c r="Q472" i="1"/>
  <c r="O472" i="1"/>
  <c r="Q471" i="1"/>
  <c r="O471" i="1"/>
  <c r="Q470" i="1"/>
  <c r="O470" i="1"/>
  <c r="Q469" i="1"/>
  <c r="O469" i="1"/>
  <c r="Q468" i="1"/>
  <c r="O468" i="1"/>
  <c r="Q467" i="1"/>
  <c r="O467" i="1"/>
  <c r="Q466" i="1"/>
  <c r="O466" i="1"/>
  <c r="Q465" i="1"/>
  <c r="O465" i="1"/>
  <c r="Q464" i="1"/>
  <c r="O464" i="1"/>
  <c r="Q463" i="1"/>
  <c r="O463" i="1"/>
  <c r="Q462" i="1"/>
  <c r="O462" i="1"/>
  <c r="Q461" i="1"/>
  <c r="O461" i="1"/>
  <c r="Q460" i="1"/>
  <c r="O460" i="1"/>
  <c r="Q459" i="1"/>
  <c r="O459" i="1"/>
  <c r="Q458" i="1"/>
  <c r="O458" i="1"/>
  <c r="Q457" i="1"/>
  <c r="O457" i="1"/>
  <c r="Q456" i="1"/>
  <c r="O456" i="1"/>
  <c r="Q455" i="1"/>
  <c r="O455" i="1"/>
  <c r="Q454" i="1"/>
  <c r="O454" i="1"/>
  <c r="Q453" i="1"/>
  <c r="O453" i="1"/>
  <c r="Q452" i="1"/>
  <c r="O452" i="1"/>
  <c r="Q451" i="1"/>
  <c r="O451" i="1"/>
  <c r="Q450" i="1"/>
  <c r="O450" i="1"/>
  <c r="Q449" i="1"/>
  <c r="O449" i="1"/>
  <c r="Q448" i="1"/>
  <c r="O448" i="1"/>
  <c r="Q447" i="1"/>
  <c r="O447" i="1"/>
  <c r="Q446" i="1"/>
  <c r="O446" i="1"/>
  <c r="Q445" i="1"/>
  <c r="O445" i="1"/>
  <c r="Q444" i="1"/>
  <c r="O444" i="1"/>
  <c r="Q443" i="1"/>
  <c r="O443" i="1"/>
  <c r="Q442" i="1"/>
  <c r="O442" i="1"/>
  <c r="Q441" i="1"/>
  <c r="O441" i="1"/>
  <c r="Q440" i="1"/>
  <c r="O440" i="1"/>
  <c r="Q439" i="1"/>
  <c r="O439" i="1"/>
  <c r="Q438" i="1"/>
  <c r="O438" i="1"/>
  <c r="Q437" i="1"/>
  <c r="O437" i="1"/>
  <c r="Q436" i="1"/>
  <c r="O436" i="1"/>
  <c r="Q435" i="1"/>
  <c r="O435" i="1"/>
  <c r="Q434" i="1"/>
  <c r="O434" i="1"/>
  <c r="Q433" i="1"/>
  <c r="O433" i="1"/>
  <c r="Q432" i="1"/>
  <c r="O432" i="1"/>
  <c r="Q431" i="1"/>
  <c r="O431" i="1"/>
  <c r="Q430" i="1"/>
  <c r="O430" i="1"/>
  <c r="Q429" i="1"/>
  <c r="O429" i="1"/>
  <c r="Q428" i="1"/>
  <c r="O428" i="1"/>
  <c r="Q427" i="1"/>
  <c r="O427" i="1"/>
  <c r="Q426" i="1"/>
  <c r="O426" i="1"/>
  <c r="Q425" i="1"/>
  <c r="O425" i="1"/>
  <c r="Q424" i="1"/>
  <c r="O424" i="1"/>
  <c r="Q423" i="1"/>
  <c r="O423" i="1"/>
  <c r="Q422" i="1"/>
  <c r="O422" i="1"/>
  <c r="Q421" i="1"/>
  <c r="O421" i="1"/>
  <c r="Q420" i="1"/>
  <c r="O420" i="1"/>
  <c r="Q419" i="1"/>
  <c r="O419" i="1"/>
  <c r="Q418" i="1"/>
  <c r="O418" i="1"/>
  <c r="Q417" i="1"/>
  <c r="O417" i="1"/>
  <c r="Q416" i="1"/>
  <c r="O416" i="1"/>
  <c r="Q415" i="1"/>
  <c r="O415" i="1"/>
  <c r="Q414" i="1"/>
  <c r="O414" i="1"/>
  <c r="Q413" i="1"/>
  <c r="O413" i="1"/>
  <c r="Q412" i="1"/>
  <c r="O412" i="1"/>
  <c r="Q411" i="1"/>
  <c r="O411" i="1"/>
  <c r="Q410" i="1"/>
  <c r="O410" i="1"/>
  <c r="Q409" i="1"/>
  <c r="O409" i="1"/>
  <c r="Q408" i="1"/>
  <c r="O408" i="1"/>
  <c r="Q407" i="1"/>
  <c r="O407" i="1"/>
  <c r="Q406" i="1"/>
  <c r="O406" i="1"/>
  <c r="Q405" i="1"/>
  <c r="O405" i="1"/>
  <c r="Q404" i="1"/>
  <c r="O404" i="1"/>
  <c r="Q403" i="1"/>
  <c r="O403" i="1"/>
  <c r="Q402" i="1"/>
  <c r="O402" i="1"/>
  <c r="Q401" i="1"/>
  <c r="O401" i="1"/>
  <c r="Q400" i="1"/>
  <c r="O400" i="1"/>
  <c r="Q399" i="1"/>
  <c r="O399" i="1"/>
  <c r="Q398" i="1"/>
  <c r="O398" i="1"/>
  <c r="Q397" i="1"/>
  <c r="O397" i="1"/>
  <c r="Q396" i="1"/>
  <c r="O396" i="1"/>
  <c r="Q395" i="1"/>
  <c r="O395" i="1"/>
  <c r="Q394" i="1"/>
  <c r="O394" i="1"/>
  <c r="Q393" i="1"/>
  <c r="O393" i="1"/>
  <c r="Q392" i="1"/>
  <c r="O392" i="1"/>
  <c r="Q391" i="1"/>
  <c r="O391" i="1"/>
  <c r="Q390" i="1"/>
  <c r="O390" i="1"/>
  <c r="Q389" i="1"/>
  <c r="O389" i="1"/>
  <c r="Q388" i="1"/>
  <c r="O388" i="1"/>
  <c r="Q387" i="1"/>
  <c r="O387" i="1"/>
  <c r="Q386" i="1"/>
  <c r="O386" i="1"/>
  <c r="Q385" i="1"/>
  <c r="O385" i="1"/>
  <c r="Q384" i="1"/>
  <c r="O384" i="1"/>
  <c r="Q383" i="1"/>
  <c r="O383" i="1"/>
  <c r="Q382" i="1"/>
  <c r="O382" i="1"/>
  <c r="Q381" i="1"/>
  <c r="O381" i="1"/>
  <c r="Q380" i="1"/>
  <c r="O380" i="1"/>
  <c r="Q379" i="1"/>
  <c r="O379" i="1"/>
  <c r="Q378" i="1"/>
  <c r="O378" i="1"/>
  <c r="Q377" i="1"/>
  <c r="O377" i="1"/>
  <c r="Q376" i="1"/>
  <c r="O376" i="1"/>
  <c r="Q375" i="1"/>
  <c r="O375" i="1"/>
  <c r="Q374" i="1"/>
  <c r="O374" i="1"/>
  <c r="Q373" i="1"/>
  <c r="O373" i="1"/>
  <c r="Q372" i="1"/>
  <c r="O372" i="1"/>
  <c r="Q371" i="1"/>
  <c r="O371" i="1"/>
  <c r="Q370" i="1"/>
  <c r="O370" i="1"/>
  <c r="Q369" i="1"/>
  <c r="O369" i="1"/>
  <c r="Q368" i="1"/>
  <c r="O368" i="1"/>
  <c r="Q367" i="1"/>
  <c r="O367" i="1"/>
  <c r="Q366" i="1"/>
  <c r="O366" i="1"/>
  <c r="Q365" i="1"/>
  <c r="O365" i="1"/>
  <c r="Q364" i="1"/>
  <c r="O364" i="1"/>
  <c r="Q363" i="1"/>
  <c r="O363" i="1"/>
  <c r="Q362" i="1"/>
  <c r="O362" i="1"/>
  <c r="Q361" i="1"/>
  <c r="O361" i="1"/>
  <c r="Q360" i="1"/>
  <c r="O360" i="1"/>
  <c r="Q359" i="1"/>
  <c r="O359" i="1"/>
  <c r="Q358" i="1"/>
  <c r="O358" i="1"/>
  <c r="Q357" i="1"/>
  <c r="O357" i="1"/>
  <c r="Q356" i="1"/>
  <c r="O356" i="1"/>
  <c r="Q355" i="1"/>
  <c r="O355" i="1"/>
  <c r="Q354" i="1"/>
  <c r="O354" i="1"/>
  <c r="Q353" i="1"/>
  <c r="O353" i="1"/>
  <c r="Q352" i="1"/>
  <c r="O352" i="1"/>
  <c r="Q351" i="1"/>
  <c r="O351" i="1"/>
  <c r="Q350" i="1"/>
  <c r="O350" i="1"/>
  <c r="Q349" i="1"/>
  <c r="O349" i="1"/>
  <c r="Q348" i="1"/>
  <c r="O348" i="1"/>
  <c r="Q347" i="1"/>
  <c r="O347" i="1"/>
  <c r="Q346" i="1"/>
  <c r="O346" i="1"/>
  <c r="Q345" i="1"/>
  <c r="O345" i="1"/>
  <c r="Q344" i="1"/>
  <c r="O344" i="1"/>
  <c r="Q343" i="1"/>
  <c r="O343" i="1"/>
  <c r="Q342" i="1"/>
  <c r="O342" i="1"/>
  <c r="Q341" i="1"/>
  <c r="O341" i="1"/>
  <c r="Q340" i="1"/>
  <c r="O340" i="1"/>
  <c r="Q339" i="1"/>
  <c r="O339" i="1"/>
  <c r="Q338" i="1"/>
  <c r="O338" i="1"/>
  <c r="Q337" i="1"/>
  <c r="O337" i="1"/>
  <c r="Q336" i="1"/>
  <c r="O336" i="1"/>
  <c r="Q335" i="1"/>
  <c r="O335" i="1"/>
  <c r="Q334" i="1"/>
  <c r="O334" i="1"/>
  <c r="Q333" i="1"/>
  <c r="O333" i="1"/>
  <c r="Q332" i="1"/>
  <c r="O332" i="1"/>
  <c r="Q331" i="1"/>
  <c r="O331" i="1"/>
  <c r="Q330" i="1"/>
  <c r="O330" i="1"/>
  <c r="Q329" i="1"/>
  <c r="O329" i="1"/>
  <c r="Q328" i="1"/>
  <c r="O328" i="1"/>
  <c r="Q327" i="1"/>
  <c r="O327" i="1"/>
  <c r="Q326" i="1"/>
  <c r="O326" i="1"/>
  <c r="Q325" i="1"/>
  <c r="O325" i="1"/>
  <c r="Q324" i="1"/>
  <c r="O324" i="1"/>
  <c r="Q323" i="1"/>
  <c r="O323" i="1"/>
  <c r="Q322" i="1"/>
  <c r="O322" i="1"/>
  <c r="Q321" i="1"/>
  <c r="O321" i="1"/>
  <c r="Q320" i="1"/>
  <c r="O320" i="1"/>
  <c r="Q319" i="1"/>
  <c r="O319" i="1"/>
  <c r="Q318" i="1"/>
  <c r="O318" i="1"/>
  <c r="Q317" i="1"/>
  <c r="O317" i="1"/>
  <c r="Q316" i="1"/>
  <c r="O316" i="1"/>
  <c r="Q315" i="1"/>
  <c r="O315" i="1"/>
  <c r="Q314" i="1"/>
  <c r="O314" i="1"/>
  <c r="Q313" i="1"/>
  <c r="O313" i="1"/>
  <c r="Q312" i="1"/>
  <c r="O312" i="1"/>
  <c r="Q311" i="1"/>
  <c r="O311" i="1"/>
  <c r="Q310" i="1"/>
  <c r="O310" i="1"/>
  <c r="Q309" i="1"/>
  <c r="O309" i="1"/>
  <c r="Q308" i="1"/>
  <c r="O308" i="1"/>
  <c r="Q307" i="1"/>
  <c r="O307" i="1"/>
  <c r="Q306" i="1"/>
  <c r="O306" i="1"/>
  <c r="Q305" i="1"/>
  <c r="O305" i="1"/>
  <c r="Q304" i="1"/>
  <c r="O304" i="1"/>
  <c r="Q303" i="1"/>
  <c r="O303" i="1"/>
  <c r="Q302" i="1"/>
  <c r="O302" i="1"/>
  <c r="Q301" i="1"/>
  <c r="O301" i="1"/>
  <c r="Q300" i="1"/>
  <c r="O300" i="1"/>
  <c r="Q299" i="1"/>
  <c r="O299" i="1"/>
  <c r="Q298" i="1"/>
  <c r="O298" i="1"/>
  <c r="Q297" i="1"/>
  <c r="O297" i="1"/>
  <c r="Q296" i="1"/>
  <c r="O296" i="1"/>
  <c r="Q295" i="1"/>
  <c r="O295" i="1"/>
  <c r="Q294" i="1"/>
  <c r="O294" i="1"/>
  <c r="Q293" i="1"/>
  <c r="O293" i="1"/>
  <c r="Q292" i="1"/>
  <c r="O292" i="1"/>
  <c r="Q291" i="1"/>
  <c r="O291" i="1"/>
  <c r="Q290" i="1"/>
  <c r="O290" i="1"/>
  <c r="Q289" i="1"/>
  <c r="O289" i="1"/>
  <c r="Q288" i="1"/>
  <c r="O288" i="1"/>
  <c r="Q287" i="1"/>
  <c r="O287" i="1"/>
  <c r="Q286" i="1"/>
  <c r="O286" i="1"/>
  <c r="Q285" i="1"/>
  <c r="O285" i="1"/>
  <c r="Q284" i="1"/>
  <c r="O284" i="1"/>
  <c r="Q283" i="1"/>
  <c r="O283" i="1"/>
  <c r="Q282" i="1"/>
  <c r="O282" i="1"/>
  <c r="Q281" i="1"/>
  <c r="O281" i="1"/>
  <c r="Q280" i="1"/>
  <c r="O280" i="1"/>
  <c r="Q279" i="1"/>
  <c r="O279" i="1"/>
  <c r="Q278" i="1"/>
  <c r="O278" i="1"/>
  <c r="Q277" i="1"/>
  <c r="O277" i="1"/>
  <c r="Q276" i="1"/>
  <c r="O276" i="1"/>
  <c r="Q275" i="1"/>
  <c r="O275" i="1"/>
  <c r="Q274" i="1"/>
  <c r="O274" i="1"/>
  <c r="Q273" i="1"/>
  <c r="O273" i="1"/>
  <c r="Q272" i="1"/>
  <c r="O272" i="1"/>
  <c r="Q271" i="1"/>
  <c r="O271" i="1"/>
  <c r="Q270" i="1"/>
  <c r="O270" i="1"/>
  <c r="Q269" i="1"/>
  <c r="O269" i="1"/>
  <c r="Q268" i="1"/>
  <c r="O268" i="1"/>
  <c r="Q267" i="1"/>
  <c r="O267" i="1"/>
  <c r="Q266" i="1"/>
  <c r="O266" i="1"/>
  <c r="Q265" i="1"/>
  <c r="O265" i="1"/>
  <c r="Q264" i="1"/>
  <c r="O264" i="1"/>
  <c r="Q263" i="1"/>
  <c r="O263" i="1"/>
  <c r="Q262" i="1"/>
  <c r="O262" i="1"/>
  <c r="Q261" i="1"/>
  <c r="O261" i="1"/>
  <c r="Q260" i="1"/>
  <c r="O260" i="1"/>
  <c r="Q259" i="1"/>
  <c r="O259" i="1"/>
  <c r="Q258" i="1"/>
  <c r="O258" i="1"/>
  <c r="Q257" i="1"/>
  <c r="O257" i="1"/>
  <c r="Q256" i="1"/>
  <c r="O256" i="1"/>
  <c r="Q255" i="1"/>
  <c r="O255" i="1"/>
  <c r="Q254" i="1"/>
  <c r="O254" i="1"/>
  <c r="Q253" i="1"/>
  <c r="O253" i="1"/>
  <c r="Q252" i="1"/>
  <c r="O252" i="1"/>
  <c r="Q251" i="1"/>
  <c r="O251" i="1"/>
  <c r="Q250" i="1"/>
  <c r="O250" i="1"/>
  <c r="Q249" i="1"/>
  <c r="O249" i="1"/>
  <c r="Q248" i="1"/>
  <c r="O248" i="1"/>
  <c r="Q247" i="1"/>
  <c r="O247" i="1"/>
  <c r="Q246" i="1"/>
  <c r="O246" i="1"/>
  <c r="Q245" i="1"/>
  <c r="O245" i="1"/>
  <c r="Q244" i="1"/>
  <c r="O244" i="1"/>
  <c r="Q243" i="1"/>
  <c r="O243" i="1"/>
  <c r="Q242" i="1"/>
  <c r="O242" i="1"/>
  <c r="Q241" i="1"/>
  <c r="O241" i="1"/>
  <c r="Q240" i="1"/>
  <c r="O240" i="1"/>
  <c r="Q239" i="1"/>
  <c r="O239" i="1"/>
  <c r="Q238" i="1"/>
  <c r="O238" i="1"/>
  <c r="Q237" i="1"/>
  <c r="O237" i="1"/>
  <c r="Q236" i="1"/>
  <c r="O236" i="1"/>
  <c r="Q235" i="1"/>
  <c r="O235" i="1"/>
  <c r="Q234" i="1"/>
  <c r="O234" i="1"/>
  <c r="Q233" i="1"/>
  <c r="O233" i="1"/>
  <c r="Q232" i="1"/>
  <c r="O232" i="1"/>
  <c r="Q231" i="1"/>
  <c r="O231" i="1"/>
  <c r="Q230" i="1"/>
  <c r="O230" i="1"/>
  <c r="Q229" i="1"/>
  <c r="O229" i="1"/>
  <c r="Q228" i="1"/>
  <c r="O228" i="1"/>
  <c r="Q227" i="1"/>
  <c r="O227" i="1"/>
  <c r="Q226" i="1"/>
  <c r="O226" i="1"/>
  <c r="Q225" i="1"/>
  <c r="O225" i="1"/>
  <c r="Q224" i="1"/>
  <c r="O224" i="1"/>
  <c r="Q223" i="1"/>
  <c r="O223" i="1"/>
  <c r="Q222" i="1"/>
  <c r="O222" i="1"/>
  <c r="Q221" i="1"/>
  <c r="O221" i="1"/>
  <c r="Q220" i="1"/>
  <c r="O220" i="1"/>
  <c r="Q219" i="1"/>
  <c r="O219" i="1"/>
  <c r="Q218" i="1"/>
  <c r="O218" i="1"/>
  <c r="Q217" i="1"/>
  <c r="O217" i="1"/>
  <c r="Q216" i="1"/>
  <c r="O216" i="1"/>
  <c r="Q215" i="1"/>
  <c r="O215" i="1"/>
  <c r="Q214" i="1"/>
  <c r="O214" i="1"/>
  <c r="Q213" i="1"/>
  <c r="O213" i="1"/>
  <c r="Q212" i="1"/>
  <c r="O212" i="1"/>
  <c r="Q211" i="1"/>
  <c r="O211" i="1"/>
  <c r="Q210" i="1"/>
  <c r="O210" i="1"/>
  <c r="Q209" i="1"/>
  <c r="O209" i="1"/>
  <c r="Q208" i="1"/>
  <c r="O208" i="1"/>
  <c r="Q207" i="1"/>
  <c r="O207" i="1"/>
  <c r="Q206" i="1"/>
  <c r="O206" i="1"/>
  <c r="Q205" i="1"/>
  <c r="O205" i="1"/>
  <c r="Q204" i="1"/>
  <c r="O204" i="1"/>
  <c r="Q203" i="1"/>
  <c r="O203" i="1"/>
  <c r="Q202" i="1"/>
  <c r="O202" i="1"/>
  <c r="Q201" i="1"/>
  <c r="O201" i="1"/>
  <c r="Q200" i="1"/>
  <c r="O200" i="1"/>
  <c r="Q199" i="1"/>
  <c r="O199" i="1"/>
  <c r="Q198" i="1"/>
  <c r="O198" i="1"/>
  <c r="Q197" i="1"/>
  <c r="O197" i="1"/>
  <c r="Q196" i="1"/>
  <c r="O196" i="1"/>
  <c r="Q195" i="1"/>
  <c r="O195" i="1"/>
  <c r="Q194" i="1"/>
  <c r="O194" i="1"/>
  <c r="Q193" i="1"/>
  <c r="O193" i="1"/>
  <c r="Q192" i="1"/>
  <c r="O192" i="1"/>
  <c r="Q191" i="1"/>
  <c r="O191" i="1"/>
  <c r="Q190" i="1"/>
  <c r="O190" i="1"/>
  <c r="Q189" i="1"/>
  <c r="O189" i="1"/>
  <c r="Q188" i="1"/>
  <c r="O188" i="1"/>
  <c r="Q187" i="1"/>
  <c r="O187" i="1"/>
  <c r="Q186" i="1"/>
  <c r="O186" i="1"/>
  <c r="Q185" i="1"/>
  <c r="O185" i="1"/>
  <c r="Q184" i="1"/>
  <c r="O184" i="1"/>
  <c r="Q183" i="1"/>
  <c r="O183" i="1"/>
  <c r="Q182" i="1"/>
  <c r="O182" i="1"/>
  <c r="Q181" i="1"/>
  <c r="O181" i="1"/>
  <c r="Q180" i="1"/>
  <c r="O180" i="1"/>
  <c r="Q179" i="1"/>
  <c r="O179" i="1"/>
  <c r="Q178" i="1"/>
  <c r="O178" i="1"/>
  <c r="Q177" i="1"/>
  <c r="O177" i="1"/>
  <c r="Q176" i="1"/>
  <c r="O176" i="1"/>
  <c r="Q175" i="1"/>
  <c r="O175" i="1"/>
  <c r="Q174" i="1"/>
  <c r="O174" i="1"/>
  <c r="Q173" i="1"/>
  <c r="O173" i="1"/>
  <c r="Q172" i="1"/>
  <c r="O172" i="1"/>
  <c r="Q171" i="1"/>
  <c r="O171" i="1"/>
  <c r="Q170" i="1"/>
  <c r="O170" i="1"/>
  <c r="Q169" i="1"/>
  <c r="O169" i="1"/>
  <c r="Q168" i="1"/>
  <c r="O168" i="1"/>
  <c r="Q167" i="1"/>
  <c r="O167" i="1"/>
  <c r="Q166" i="1"/>
  <c r="O166" i="1"/>
  <c r="Q165" i="1"/>
  <c r="O165" i="1"/>
  <c r="Q164" i="1"/>
  <c r="O164" i="1"/>
  <c r="Q163" i="1"/>
  <c r="O163" i="1"/>
  <c r="Q162" i="1"/>
  <c r="O162" i="1"/>
  <c r="Q161" i="1"/>
  <c r="O161" i="1"/>
  <c r="Q160" i="1"/>
  <c r="O160" i="1"/>
  <c r="Q159" i="1"/>
  <c r="O159" i="1"/>
  <c r="Q158" i="1"/>
  <c r="O158" i="1"/>
  <c r="Q157" i="1"/>
  <c r="O157" i="1"/>
  <c r="Q156" i="1"/>
  <c r="O156" i="1"/>
  <c r="Q155" i="1"/>
  <c r="O155" i="1"/>
  <c r="Q154" i="1"/>
  <c r="O154" i="1"/>
  <c r="Q153" i="1"/>
  <c r="O153" i="1"/>
  <c r="Q152" i="1"/>
  <c r="O152" i="1"/>
  <c r="Q151" i="1"/>
  <c r="O151" i="1"/>
  <c r="Q150" i="1"/>
  <c r="O150" i="1"/>
  <c r="Q149" i="1"/>
  <c r="O149" i="1"/>
  <c r="Q148" i="1"/>
  <c r="O148" i="1"/>
  <c r="Q147" i="1"/>
  <c r="O147" i="1"/>
  <c r="Q146" i="1"/>
  <c r="O146" i="1"/>
  <c r="Q145" i="1"/>
  <c r="O145" i="1"/>
  <c r="Q144" i="1"/>
  <c r="O144" i="1"/>
  <c r="Q143" i="1"/>
  <c r="O143" i="1"/>
  <c r="Q142" i="1"/>
  <c r="O142" i="1"/>
  <c r="Q141" i="1"/>
  <c r="O141" i="1"/>
  <c r="Q140" i="1"/>
  <c r="O140" i="1"/>
  <c r="Q139" i="1"/>
  <c r="O139" i="1"/>
  <c r="Q138" i="1"/>
  <c r="O138" i="1"/>
  <c r="Q137" i="1"/>
  <c r="O137" i="1"/>
  <c r="Q136" i="1"/>
  <c r="O136" i="1"/>
  <c r="Q135" i="1"/>
  <c r="O135" i="1"/>
  <c r="Q134" i="1"/>
  <c r="O134" i="1"/>
  <c r="Q133" i="1"/>
  <c r="O133" i="1"/>
  <c r="Q132" i="1"/>
  <c r="O132" i="1"/>
  <c r="Q131" i="1"/>
  <c r="O131" i="1"/>
  <c r="Q130" i="1"/>
  <c r="O130" i="1"/>
  <c r="Q129" i="1"/>
  <c r="O129" i="1"/>
  <c r="Q128" i="1"/>
  <c r="O128" i="1"/>
  <c r="Q127" i="1"/>
  <c r="O127" i="1"/>
  <c r="Q126" i="1"/>
  <c r="O126" i="1"/>
  <c r="Q125" i="1"/>
  <c r="O125" i="1"/>
  <c r="Q124" i="1"/>
  <c r="O124" i="1"/>
  <c r="Q123" i="1"/>
  <c r="O123" i="1"/>
  <c r="Q122" i="1"/>
  <c r="O122" i="1"/>
  <c r="Q121" i="1"/>
  <c r="O121" i="1"/>
  <c r="Q120" i="1"/>
  <c r="O120" i="1"/>
  <c r="Q119" i="1"/>
  <c r="O119" i="1"/>
  <c r="Q118" i="1"/>
  <c r="O118" i="1"/>
  <c r="Q117" i="1"/>
  <c r="O117" i="1"/>
  <c r="Q116" i="1"/>
  <c r="O116" i="1"/>
  <c r="Q115" i="1"/>
  <c r="O115" i="1"/>
  <c r="Q114" i="1"/>
  <c r="O114" i="1"/>
  <c r="Q113" i="1"/>
  <c r="O113" i="1"/>
  <c r="Q112" i="1"/>
  <c r="O112" i="1"/>
  <c r="Q111" i="1"/>
  <c r="O111" i="1"/>
  <c r="Q110" i="1"/>
  <c r="O110" i="1"/>
  <c r="Q109" i="1"/>
  <c r="O109" i="1"/>
  <c r="Q108" i="1"/>
  <c r="O108" i="1"/>
  <c r="Q107" i="1"/>
  <c r="O107" i="1"/>
  <c r="Q106" i="1"/>
  <c r="O106" i="1"/>
  <c r="Q105" i="1"/>
  <c r="O105" i="1"/>
  <c r="Q104" i="1"/>
  <c r="O104" i="1"/>
  <c r="Q103" i="1"/>
  <c r="O103" i="1"/>
  <c r="Q102" i="1"/>
  <c r="O102" i="1"/>
  <c r="Q101" i="1"/>
  <c r="O101" i="1"/>
  <c r="Q100" i="1"/>
  <c r="O100" i="1"/>
  <c r="Q99" i="1"/>
  <c r="O99" i="1"/>
  <c r="Q98" i="1"/>
  <c r="O98" i="1"/>
  <c r="Q97" i="1"/>
  <c r="O97" i="1"/>
  <c r="Q96" i="1"/>
  <c r="O96" i="1"/>
  <c r="Q95" i="1"/>
  <c r="O95" i="1"/>
  <c r="Q94" i="1"/>
  <c r="O94" i="1"/>
  <c r="Q93" i="1"/>
  <c r="O93" i="1"/>
  <c r="Q92" i="1"/>
  <c r="O92" i="1"/>
  <c r="Q91" i="1"/>
  <c r="O91" i="1"/>
  <c r="Q90" i="1"/>
  <c r="O90" i="1"/>
  <c r="Q89" i="1"/>
  <c r="O89" i="1"/>
  <c r="Q88" i="1"/>
  <c r="O88" i="1"/>
  <c r="Q87" i="1"/>
  <c r="O87" i="1"/>
  <c r="Q86" i="1"/>
  <c r="O86" i="1"/>
  <c r="Q85" i="1"/>
  <c r="O85" i="1"/>
  <c r="Q84" i="1"/>
  <c r="O84" i="1"/>
  <c r="Q83" i="1"/>
  <c r="O83" i="1"/>
  <c r="Q82" i="1"/>
  <c r="O82" i="1"/>
  <c r="Q81" i="1"/>
  <c r="O81" i="1"/>
  <c r="Q80" i="1"/>
  <c r="O80" i="1"/>
  <c r="Q79" i="1"/>
  <c r="O79" i="1"/>
  <c r="Q78" i="1"/>
  <c r="O78" i="1"/>
  <c r="Q77" i="1"/>
  <c r="O77" i="1"/>
  <c r="Q76" i="1"/>
  <c r="O76" i="1"/>
  <c r="Q75" i="1"/>
  <c r="O75" i="1"/>
  <c r="Q74" i="1"/>
  <c r="O74" i="1"/>
  <c r="Q73" i="1"/>
  <c r="O73" i="1"/>
  <c r="Q72" i="1"/>
  <c r="O72" i="1"/>
  <c r="Q71" i="1"/>
  <c r="O71" i="1"/>
  <c r="Q70" i="1"/>
  <c r="O70" i="1"/>
  <c r="Q69" i="1"/>
  <c r="O69" i="1"/>
  <c r="Q68" i="1"/>
  <c r="O68" i="1"/>
  <c r="Q67" i="1"/>
  <c r="O67" i="1"/>
  <c r="Q66" i="1"/>
  <c r="O66" i="1"/>
  <c r="Q65" i="1"/>
  <c r="O65" i="1"/>
  <c r="Q64" i="1"/>
  <c r="O64" i="1"/>
  <c r="Q63" i="1"/>
  <c r="O63" i="1"/>
  <c r="Q62" i="1"/>
  <c r="O62" i="1"/>
  <c r="Q61" i="1"/>
  <c r="O61" i="1"/>
  <c r="Q60" i="1"/>
  <c r="O60" i="1"/>
  <c r="Q59" i="1"/>
  <c r="O59" i="1"/>
  <c r="Q58" i="1"/>
  <c r="O58" i="1"/>
  <c r="Q57" i="1"/>
  <c r="O57" i="1"/>
  <c r="Q56" i="1"/>
  <c r="O56" i="1"/>
  <c r="Q55" i="1"/>
  <c r="O55" i="1"/>
  <c r="Q54" i="1"/>
  <c r="O54" i="1"/>
  <c r="Q53" i="1"/>
  <c r="O53" i="1"/>
  <c r="Q52" i="1"/>
  <c r="O52" i="1"/>
  <c r="Q51" i="1"/>
  <c r="O51" i="1"/>
  <c r="Q50" i="1"/>
  <c r="O50" i="1"/>
  <c r="Q49" i="1"/>
  <c r="O49" i="1"/>
  <c r="Q48" i="1"/>
  <c r="O48" i="1"/>
  <c r="Q47" i="1"/>
  <c r="O47" i="1"/>
  <c r="Q46" i="1"/>
  <c r="O46" i="1"/>
  <c r="Q45" i="1"/>
  <c r="O45" i="1"/>
  <c r="Q44" i="1"/>
  <c r="O44" i="1"/>
  <c r="Q43" i="1"/>
  <c r="O43" i="1"/>
  <c r="Q42" i="1"/>
  <c r="O42" i="1"/>
  <c r="Q41" i="1"/>
  <c r="O41" i="1"/>
  <c r="Q40" i="1"/>
  <c r="O40" i="1"/>
  <c r="Q39" i="1"/>
  <c r="O39" i="1"/>
  <c r="Q38" i="1"/>
  <c r="O38" i="1"/>
  <c r="Q37" i="1"/>
  <c r="O37" i="1"/>
  <c r="Q36" i="1"/>
  <c r="O36" i="1"/>
  <c r="Q35" i="1"/>
  <c r="O35" i="1"/>
  <c r="Q34" i="1"/>
  <c r="O34" i="1"/>
  <c r="Q33" i="1"/>
  <c r="O33" i="1"/>
  <c r="Q32" i="1"/>
  <c r="O32" i="1"/>
  <c r="Q31" i="1"/>
  <c r="O31" i="1"/>
  <c r="Q30" i="1"/>
  <c r="O30" i="1"/>
  <c r="Q29" i="1"/>
  <c r="O29" i="1"/>
  <c r="Q28" i="1"/>
  <c r="O28" i="1"/>
  <c r="Q27" i="1"/>
  <c r="O27" i="1"/>
  <c r="Q26" i="1"/>
  <c r="O26" i="1"/>
  <c r="Q25" i="1"/>
  <c r="O25" i="1"/>
  <c r="Q24" i="1"/>
  <c r="O24" i="1"/>
  <c r="Q23" i="1"/>
  <c r="O23" i="1"/>
  <c r="Q22" i="1"/>
  <c r="O22" i="1"/>
  <c r="Q21" i="1"/>
  <c r="O21" i="1"/>
  <c r="Q20" i="1"/>
  <c r="O20" i="1"/>
  <c r="Q19" i="1"/>
  <c r="O19" i="1"/>
  <c r="Q18" i="1"/>
  <c r="O18" i="1"/>
  <c r="Q17" i="1"/>
  <c r="O17" i="1"/>
  <c r="Q16" i="1"/>
  <c r="O16" i="1"/>
  <c r="Q15" i="1"/>
  <c r="O15" i="1"/>
  <c r="Q14" i="1"/>
  <c r="O14" i="1"/>
  <c r="Q13" i="1"/>
  <c r="O13" i="1"/>
  <c r="Q12" i="1"/>
  <c r="O12" i="1"/>
  <c r="Q11" i="1"/>
  <c r="O11" i="1"/>
  <c r="Q10" i="1"/>
  <c r="O10" i="1"/>
  <c r="Q9" i="1"/>
  <c r="O9" i="1"/>
  <c r="Q8" i="1"/>
  <c r="O8" i="1"/>
  <c r="Q7" i="1"/>
  <c r="O7" i="1"/>
  <c r="Q6" i="1"/>
  <c r="O6" i="1"/>
  <c r="Q5" i="1"/>
  <c r="O5" i="1"/>
  <c r="Q4" i="1"/>
  <c r="O4" i="1"/>
  <c r="Q3" i="1"/>
  <c r="O3" i="1"/>
  <c r="Q2" i="1"/>
  <c r="O2" i="1"/>
</calcChain>
</file>

<file path=xl/sharedStrings.xml><?xml version="1.0" encoding="utf-8"?>
<sst xmlns="http://schemas.openxmlformats.org/spreadsheetml/2006/main" count="163312" uniqueCount="58450">
  <si>
    <t>ID</t>
    <phoneticPr fontId="3" type="noConversion"/>
  </si>
  <si>
    <t>标识</t>
    <phoneticPr fontId="3" type="noConversion"/>
  </si>
  <si>
    <t>拓展名</t>
    <phoneticPr fontId="3" type="noConversion"/>
  </si>
  <si>
    <t>组件</t>
    <phoneticPr fontId="3" type="noConversion"/>
  </si>
  <si>
    <t>中文名</t>
    <phoneticPr fontId="3" type="noConversion"/>
  </si>
  <si>
    <t>形态</t>
    <phoneticPr fontId="3" type="noConversion"/>
  </si>
  <si>
    <t>星座(Zh)</t>
    <phoneticPr fontId="3" type="noConversion"/>
  </si>
  <si>
    <t>星座(En)</t>
    <phoneticPr fontId="3" type="noConversion"/>
  </si>
  <si>
    <t>赤纬(J2000)</t>
    <phoneticPr fontId="3" type="noConversion"/>
  </si>
  <si>
    <t>赤纬D(J2000)</t>
    <phoneticPr fontId="2" type="noConversion"/>
  </si>
  <si>
    <t>可见光星等V</t>
    <phoneticPr fontId="3" type="noConversion"/>
  </si>
  <si>
    <t>摄影(蓝光)星等B</t>
    <phoneticPr fontId="3" type="noConversion"/>
  </si>
  <si>
    <t>B-V</t>
    <phoneticPr fontId="3" type="noConversion"/>
  </si>
  <si>
    <t>表面亮度(mag/arcmin2)</t>
    <phoneticPr fontId="3" type="noConversion"/>
  </si>
  <si>
    <t>长轴(分)</t>
    <phoneticPr fontId="3" type="noConversion"/>
  </si>
  <si>
    <t>短轴(分)</t>
    <phoneticPr fontId="3" type="noConversion"/>
  </si>
  <si>
    <t>方位角</t>
    <phoneticPr fontId="3" type="noConversion"/>
  </si>
  <si>
    <t>详细描述</t>
    <phoneticPr fontId="3" type="noConversion"/>
  </si>
  <si>
    <t>简略描述</t>
    <phoneticPr fontId="3" type="noConversion"/>
  </si>
  <si>
    <t>NGC1</t>
  </si>
  <si>
    <t>*</t>
  </si>
  <si>
    <t/>
  </si>
  <si>
    <t>Gxy</t>
  </si>
  <si>
    <t>Sb</t>
  </si>
  <si>
    <t>飞马座</t>
  </si>
  <si>
    <t>PEG</t>
  </si>
  <si>
    <t>0h7m15.9s</t>
  </si>
  <si>
    <t>+27h42m32s</t>
  </si>
  <si>
    <t>faint, small, round, between 11th and 14th magnitude stars</t>
  </si>
  <si>
    <t>F, S, R, bet * 11 and * 14</t>
  </si>
  <si>
    <t>NGC2</t>
  </si>
  <si>
    <t>Sab</t>
  </si>
  <si>
    <t>0h7m17.1s</t>
  </si>
  <si>
    <t>+27h40m43s</t>
  </si>
  <si>
    <t>very faint, small, south of GC 1</t>
  </si>
  <si>
    <t>vF, S, s of G.C. 1</t>
  </si>
  <si>
    <t>NGC3</t>
  </si>
  <si>
    <t>S0</t>
  </si>
  <si>
    <t>双鱼座</t>
  </si>
  <si>
    <t>PSC</t>
  </si>
  <si>
    <t>0h7m16.8s</t>
  </si>
  <si>
    <t>+8h18m5s</t>
  </si>
  <si>
    <t>faint, very small, round, almost stellar</t>
  </si>
  <si>
    <t>F, vS, R, alm stell</t>
  </si>
  <si>
    <t>NGC4</t>
  </si>
  <si>
    <t>0h7m24.5s</t>
  </si>
  <si>
    <t>+8h22m26s</t>
  </si>
  <si>
    <t>extremely faint</t>
  </si>
  <si>
    <t>eF</t>
  </si>
  <si>
    <t>NGC5</t>
  </si>
  <si>
    <t>E4</t>
  </si>
  <si>
    <t>仙女座</t>
  </si>
  <si>
    <t>AND</t>
  </si>
  <si>
    <t>0h7m48.8s</t>
  </si>
  <si>
    <t>+35h21m46s</t>
  </si>
  <si>
    <t>vF, vS, N = * 13, 14</t>
  </si>
  <si>
    <t>NGC6</t>
  </si>
  <si>
    <t>Dup</t>
  </si>
  <si>
    <t>E-S0</t>
  </si>
  <si>
    <t>0h9m32.6s</t>
  </si>
  <si>
    <t>+33h18m32s</t>
  </si>
  <si>
    <t>extremely faint, very small, considerably extended</t>
  </si>
  <si>
    <t>eF, vS, cE</t>
  </si>
  <si>
    <t>NGC7</t>
  </si>
  <si>
    <t>SBc</t>
  </si>
  <si>
    <t>玉夫座</t>
  </si>
  <si>
    <t>SCL</t>
  </si>
  <si>
    <t>0h8m20.7s</t>
  </si>
  <si>
    <t>-29h54m59s</t>
  </si>
  <si>
    <t>extremely faint, considerably large, much extended, very gradually very little brighter middle</t>
  </si>
  <si>
    <t>eF, cL, mE, vgvlbM</t>
  </si>
  <si>
    <t>NGC8</t>
  </si>
  <si>
    <t>Star(s)</t>
  </si>
  <si>
    <t>*2</t>
  </si>
  <si>
    <t>0h8m45.3s</t>
  </si>
  <si>
    <t>+23h50m19s</t>
  </si>
  <si>
    <t>very faint, nucleus in north end</t>
  </si>
  <si>
    <t>vF, N in n end</t>
  </si>
  <si>
    <t>NGC9</t>
  </si>
  <si>
    <t>Sb/P</t>
  </si>
  <si>
    <t>0h8m54.5s</t>
  </si>
  <si>
    <t>+23h49m4s</t>
  </si>
  <si>
    <t>faint, round, 9th or 10th magnitude star to southeast</t>
  </si>
  <si>
    <t>F, R, * 9, 10 sf</t>
  </si>
  <si>
    <t>NGC10</t>
  </si>
  <si>
    <t>SBbc</t>
  </si>
  <si>
    <t>0h8m34.3s</t>
  </si>
  <si>
    <t>-33h51m28s</t>
  </si>
  <si>
    <t>faint, considerably large, very little extended, gradually a little brighter middle</t>
  </si>
  <si>
    <t>F, cL, vlE, glbM</t>
  </si>
  <si>
    <t>NGC11</t>
  </si>
  <si>
    <t>Sa</t>
  </si>
  <si>
    <t>0h8m42.3s</t>
  </si>
  <si>
    <t>+37h26m53s</t>
  </si>
  <si>
    <t>very faint, very small, very little extended, 2 very faint stars involved</t>
  </si>
  <si>
    <t>vF, vS, vlE, 2 vF st inv</t>
  </si>
  <si>
    <t>NGC12</t>
  </si>
  <si>
    <t>0h8m44.8s</t>
  </si>
  <si>
    <t>+4h36m44s</t>
  </si>
  <si>
    <t>extremely faint, pretty large, very gradually a little brighter middle</t>
  </si>
  <si>
    <t>eF, pL, vglbM</t>
  </si>
  <si>
    <t>NGC13</t>
  </si>
  <si>
    <t>0h8m47.7s</t>
  </si>
  <si>
    <t>+33h25m59s</t>
  </si>
  <si>
    <t>very faint, very small, small star plus nebulosity</t>
  </si>
  <si>
    <t>vF, vS, S st + neb</t>
  </si>
  <si>
    <t>NGC14</t>
  </si>
  <si>
    <t>IBm</t>
  </si>
  <si>
    <t>0h8m46.3s</t>
  </si>
  <si>
    <t>+15h48m57s</t>
  </si>
  <si>
    <t>very faint, pretty small, round, gradually a little brighter middle</t>
  </si>
  <si>
    <t>vF, pS, R, glbM</t>
  </si>
  <si>
    <t>NGC15</t>
  </si>
  <si>
    <t>0h9m2.4s</t>
  </si>
  <si>
    <t>+21h37m30s</t>
  </si>
  <si>
    <t>very faint, very small, round, brighter middle</t>
  </si>
  <si>
    <t>vF, vS, R, bM</t>
  </si>
  <si>
    <t>NGC16</t>
  </si>
  <si>
    <t>E/SB0</t>
  </si>
  <si>
    <t>0h9m4.2s</t>
  </si>
  <si>
    <t>+27h43m48s</t>
  </si>
  <si>
    <t>pretty bright, small, round, brighter middle</t>
  </si>
  <si>
    <t>pB, S, R, bM</t>
  </si>
  <si>
    <t>NGC17</t>
  </si>
  <si>
    <t>S/P</t>
  </si>
  <si>
    <t>鲸鱼座</t>
  </si>
  <si>
    <t>CET</t>
  </si>
  <si>
    <t>0h11m6.6s</t>
  </si>
  <si>
    <t>-12h6m28s</t>
  </si>
  <si>
    <t>very faint, extremely small, irregularly round, double star 2 arcmin to west</t>
  </si>
  <si>
    <t>vF, eS, iR, D * 2' p</t>
  </si>
  <si>
    <t>NGC18</t>
  </si>
  <si>
    <t>0h9m23s</t>
  </si>
  <si>
    <t>+27h43m56s</t>
  </si>
  <si>
    <t>faint, very small, irregularly round, much brighter middle, h 4 19s to west</t>
  </si>
  <si>
    <t>F, vS, iR, mbM, h 4 p 19s</t>
  </si>
  <si>
    <t>NGC19</t>
  </si>
  <si>
    <t>0h10m40.8s</t>
  </si>
  <si>
    <t>+32h58m58s</t>
  </si>
  <si>
    <t>most extremely faint, a little extended, 3 very faint stars around</t>
  </si>
  <si>
    <t>eeF, lE, 3 vF st around</t>
  </si>
  <si>
    <t>NGC20</t>
  </si>
  <si>
    <t>F, * 10 att</t>
  </si>
  <si>
    <t>NGC21</t>
  </si>
  <si>
    <t>0h10m47s</t>
  </si>
  <si>
    <t>+33h21m7s</t>
  </si>
  <si>
    <t>extremely faint, small, a little extended</t>
  </si>
  <si>
    <t>eF, S, lE</t>
  </si>
  <si>
    <t>NGC22</t>
  </si>
  <si>
    <t>0h9m48.2s</t>
  </si>
  <si>
    <t>+27h49m58s</t>
  </si>
  <si>
    <t>very faint, pretty small, round, a little brighter middle, mottled but not resolved</t>
  </si>
  <si>
    <t>vF, pS, R, lbM, r</t>
  </si>
  <si>
    <t>NGC23</t>
  </si>
  <si>
    <t>SBa</t>
  </si>
  <si>
    <t>0h9m53.3s</t>
  </si>
  <si>
    <t>+25h55m26s</t>
  </si>
  <si>
    <t>3 small stars plus nebulosity</t>
  </si>
  <si>
    <t>3 S st + neb</t>
  </si>
  <si>
    <t>NGC24</t>
  </si>
  <si>
    <t>Sc</t>
  </si>
  <si>
    <t>0h9m56.1s</t>
  </si>
  <si>
    <t>-24h57m52s</t>
  </si>
  <si>
    <t>very faint, considerably large, much extended, gradually brighter middle</t>
  </si>
  <si>
    <t>vF, cL, mE, gbM</t>
  </si>
  <si>
    <t>NGC25</t>
  </si>
  <si>
    <t>凤凰座</t>
  </si>
  <si>
    <t>PHE</t>
  </si>
  <si>
    <t>0h9m59.3s</t>
  </si>
  <si>
    <t>-57h1m13s</t>
  </si>
  <si>
    <t>very faint, small, round</t>
  </si>
  <si>
    <t>vF, S, R</t>
  </si>
  <si>
    <t>NGC26</t>
  </si>
  <si>
    <t>0h10m25.9s</t>
  </si>
  <si>
    <t>+25h49m56s</t>
  </si>
  <si>
    <t>very faint, pretty large, round, 2 faint stars to north</t>
  </si>
  <si>
    <t>vF, pL, R, 2 F st n</t>
  </si>
  <si>
    <t>NGC27</t>
  </si>
  <si>
    <t>0h10m32.7s</t>
  </si>
  <si>
    <t>+28h59m49s</t>
  </si>
  <si>
    <t>extremely faint, very small, extended, bright star near</t>
  </si>
  <si>
    <t>eF, vS, E, B * nr</t>
  </si>
  <si>
    <t>NGC28</t>
  </si>
  <si>
    <t>E1</t>
  </si>
  <si>
    <t>0h10m25.2s</t>
  </si>
  <si>
    <t>-56h59m20s</t>
  </si>
  <si>
    <t>extremely faint, the preceding (western) of 2</t>
  </si>
  <si>
    <t>eF, p of 2</t>
  </si>
  <si>
    <t>NGC29</t>
  </si>
  <si>
    <t>pB, pL, E 0°</t>
  </si>
  <si>
    <t>NGC30</t>
  </si>
  <si>
    <t>0h10m50.8s</t>
  </si>
  <si>
    <t>+21h58m39s</t>
  </si>
  <si>
    <t>a 13th magnitude nebulous star</t>
  </si>
  <si>
    <t>Neb * 13</t>
  </si>
  <si>
    <t>NGC31</t>
  </si>
  <si>
    <t>0h10m38.5s</t>
  </si>
  <si>
    <t>-56h59m10s</t>
  </si>
  <si>
    <t>most extremely faint, small, round, following (eastern) of 2</t>
  </si>
  <si>
    <t>eeF, S, R, f of 2</t>
  </si>
  <si>
    <t>NGC32</t>
  </si>
  <si>
    <t>0h10m53.2s</t>
  </si>
  <si>
    <t>+18h47m33s</t>
  </si>
  <si>
    <t>faint (Auwers 1)</t>
  </si>
  <si>
    <t>F (Auw. 1)</t>
  </si>
  <si>
    <t>NGC33</t>
  </si>
  <si>
    <t>0h10m56.6s</t>
  </si>
  <si>
    <t>+3h40m35s</t>
  </si>
  <si>
    <t>extremely faint, very small, or nebulous star</t>
  </si>
  <si>
    <t>eF, vS, or neb st</t>
  </si>
  <si>
    <t>NGC34</t>
  </si>
  <si>
    <t>pF, S, R, 2 st nr</t>
  </si>
  <si>
    <t>NGC35</t>
  </si>
  <si>
    <t>0h11m10.4s</t>
  </si>
  <si>
    <t>-12h1m14s</t>
  </si>
  <si>
    <t>most extremely faint, pretty small, round</t>
  </si>
  <si>
    <t>eeF, pS, R</t>
  </si>
  <si>
    <t>NGC36</t>
  </si>
  <si>
    <t>SBb</t>
  </si>
  <si>
    <t>0h11m22.4s</t>
  </si>
  <si>
    <t>+6h23m20s</t>
  </si>
  <si>
    <t>very faint, pretty small, irregular figure</t>
  </si>
  <si>
    <t>vF, pS, iF</t>
  </si>
  <si>
    <t>NGC37</t>
  </si>
  <si>
    <t>SB0</t>
  </si>
  <si>
    <t>0h11m23s</t>
  </si>
  <si>
    <t>-56h57m25s</t>
  </si>
  <si>
    <t>extremely faint, small, round</t>
  </si>
  <si>
    <t>eF, S, R</t>
  </si>
  <si>
    <t>NGC38</t>
  </si>
  <si>
    <t>0h11m47s</t>
  </si>
  <si>
    <t>-5h35m11s</t>
  </si>
  <si>
    <t>faint, small, round, much brighter middle</t>
  </si>
  <si>
    <t>F, S, R, mbM</t>
  </si>
  <si>
    <t>NGC39</t>
  </si>
  <si>
    <t>0h12m18.8s</t>
  </si>
  <si>
    <t>+31h3m39s</t>
  </si>
  <si>
    <t>very faint, pretty small, round</t>
  </si>
  <si>
    <t>vF, pS, R</t>
  </si>
  <si>
    <t>NGC40</t>
  </si>
  <si>
    <t>蝴蝶结星云</t>
    <phoneticPr fontId="3" type="noConversion"/>
  </si>
  <si>
    <t>PN</t>
  </si>
  <si>
    <t>仙王座</t>
  </si>
  <si>
    <t>CEP</t>
  </si>
  <si>
    <t>0h13m1s</t>
  </si>
  <si>
    <t>+72h31m21s</t>
  </si>
  <si>
    <t>faint, very small, round, very suddenly much brighter middle, 12th magnitude star to southwest</t>
  </si>
  <si>
    <t>F, vS, R, vsmbM, * 12 sp</t>
  </si>
  <si>
    <t>NGC41</t>
  </si>
  <si>
    <t>0h12m48s</t>
  </si>
  <si>
    <t>+22h1m26s</t>
  </si>
  <si>
    <t>pretty faint, small, a little extended, gradually brighter middle</t>
  </si>
  <si>
    <t>pF, S, lE, gbM</t>
  </si>
  <si>
    <t>NGC42</t>
  </si>
  <si>
    <t>0h12m56.3s</t>
  </si>
  <si>
    <t>+22h6m3s</t>
  </si>
  <si>
    <t>faint, very small, stellar</t>
  </si>
  <si>
    <t>F, vS, stell</t>
  </si>
  <si>
    <t>NGC43</t>
  </si>
  <si>
    <t>0h13m0.9s</t>
  </si>
  <si>
    <t>+30h54m56s</t>
  </si>
  <si>
    <t>extremely faint, 12th magnitude star 45 arcsec to northwest</t>
  </si>
  <si>
    <t>eF, * 12 np 45"</t>
  </si>
  <si>
    <t>NGC44</t>
  </si>
  <si>
    <t>0h13m13.4s</t>
  </si>
  <si>
    <t>+31h17m12s</t>
  </si>
  <si>
    <t>extremely faint, very small</t>
  </si>
  <si>
    <t>eF, vS</t>
  </si>
  <si>
    <t>NGC45</t>
  </si>
  <si>
    <t>SBd</t>
  </si>
  <si>
    <t>0h14m4s</t>
  </si>
  <si>
    <t>-23h10m53s</t>
  </si>
  <si>
    <t>extremely faint, large, very gradually a very little brighter middle, large (bright) star in contact following (to the east)</t>
  </si>
  <si>
    <t>eF, L, vgvlbM, L * cont f</t>
  </si>
  <si>
    <t>NGC46</t>
  </si>
  <si>
    <t>0h14m10s</t>
  </si>
  <si>
    <t>+5h59m14s</t>
  </si>
  <si>
    <t>a nebula (Auwers 2)</t>
  </si>
  <si>
    <t>Nebula (Auw. 2)</t>
  </si>
  <si>
    <t>NGC47</t>
  </si>
  <si>
    <t>0h14m30.5s</t>
  </si>
  <si>
    <t>-7h10m4s</t>
  </si>
  <si>
    <t>very faint, very small</t>
  </si>
  <si>
    <t>vF, vS</t>
  </si>
  <si>
    <t>NGC48</t>
  </si>
  <si>
    <t>0h14m2.1s</t>
  </si>
  <si>
    <t>+48h14m6s</t>
  </si>
  <si>
    <t>most extremely faint, pretty large, round, very difficult</t>
  </si>
  <si>
    <t>eeF, pL, R, v diffic</t>
  </si>
  <si>
    <t>NGC49</t>
  </si>
  <si>
    <t>0h14m22.4s</t>
  </si>
  <si>
    <t>+48h14m50s</t>
  </si>
  <si>
    <t>most extremely faint, small, round, 2nd of 3</t>
  </si>
  <si>
    <t>eeF, S, R, 2nd of 3</t>
  </si>
  <si>
    <t>NGC50</t>
  </si>
  <si>
    <t>0h14m44.6s</t>
  </si>
  <si>
    <t>-7h20m42s</t>
  </si>
  <si>
    <t>very faint</t>
  </si>
  <si>
    <t>vF</t>
  </si>
  <si>
    <t>NGC51</t>
  </si>
  <si>
    <t>0h14m34.8s</t>
  </si>
  <si>
    <t>+48h15m22s</t>
  </si>
  <si>
    <t>pretty faint, pretty small, round, brighter middle</t>
  </si>
  <si>
    <t>pF, pS, R, bM</t>
  </si>
  <si>
    <t>NGC52</t>
  </si>
  <si>
    <t>0h14m40s</t>
  </si>
  <si>
    <t>+18h34m54s</t>
  </si>
  <si>
    <t>very faint, small, extended</t>
  </si>
  <si>
    <t>vF, S, E</t>
  </si>
  <si>
    <t>NGC53</t>
  </si>
  <si>
    <t>杜鹃座</t>
  </si>
  <si>
    <t>TUC</t>
  </si>
  <si>
    <t>0h14m43s</t>
  </si>
  <si>
    <t>-60h19m43s</t>
  </si>
  <si>
    <t>extremely faint, small, round, brighter middle</t>
  </si>
  <si>
    <t>eF, S, R, bM</t>
  </si>
  <si>
    <t>NGC54</t>
  </si>
  <si>
    <t>0h15m7.6s</t>
  </si>
  <si>
    <t>-7h6m24s</t>
  </si>
  <si>
    <t>very faint, pretty small, round, 5092 to southwest</t>
  </si>
  <si>
    <t>vF, pS, R, 5092 sp</t>
  </si>
  <si>
    <t>NGC55</t>
  </si>
  <si>
    <t>珍珠串星系</t>
  </si>
  <si>
    <t>SBm</t>
  </si>
  <si>
    <t>0h15m8s</t>
  </si>
  <si>
    <t>-39h13m10s</t>
  </si>
  <si>
    <t>very bright, very large, very much extended, triple nucleus</t>
  </si>
  <si>
    <t>vB, vL, vmE, triN</t>
  </si>
  <si>
    <t>NGC56</t>
  </si>
  <si>
    <t>NF</t>
  </si>
  <si>
    <t>0h15m20.6s</t>
  </si>
  <si>
    <t>+12h26m40s</t>
  </si>
  <si>
    <t>extremely faint, extremely large, diffuse</t>
  </si>
  <si>
    <t>eF, eL, diff</t>
  </si>
  <si>
    <t>NGC57</t>
  </si>
  <si>
    <t>0h15m30.9s</t>
  </si>
  <si>
    <t>+17h19m45s</t>
  </si>
  <si>
    <t>faint, small, round, suddenly brighter middle</t>
  </si>
  <si>
    <t>F, S, R, sbM</t>
  </si>
  <si>
    <t>NGC58</t>
  </si>
  <si>
    <t>NGC59</t>
  </si>
  <si>
    <t>0h15m25.3s</t>
  </si>
  <si>
    <t>-21h26m41s</t>
  </si>
  <si>
    <t>very faint, pretty small, irregularly round, gradually brighter middle</t>
  </si>
  <si>
    <t>vF, pS, iR, gbM</t>
  </si>
  <si>
    <t>NGC60</t>
  </si>
  <si>
    <t>0h15m58.2s</t>
  </si>
  <si>
    <t>-0h18m13s</t>
  </si>
  <si>
    <t>extremely faint, very small, round, a little brighter middle</t>
  </si>
  <si>
    <t>eF, vS, R, lbM</t>
  </si>
  <si>
    <t>NGC61</t>
  </si>
  <si>
    <t>A</t>
  </si>
  <si>
    <t>0h16m24s</t>
  </si>
  <si>
    <t>-6h19m2s</t>
  </si>
  <si>
    <t>very faint, small, irregularly round, pretty suddenly a very little brighter middle</t>
  </si>
  <si>
    <t>vF, S, iR, psvlbM</t>
  </si>
  <si>
    <t>NGC62</t>
  </si>
  <si>
    <t>0h17m5.3s</t>
  </si>
  <si>
    <t>-13h29m11s</t>
  </si>
  <si>
    <t>faint, very small, round, gradually a little brighter middle</t>
  </si>
  <si>
    <t>F, vS, R, glbM</t>
  </si>
  <si>
    <t>NGC63</t>
  </si>
  <si>
    <t>0h17m45.5s</t>
  </si>
  <si>
    <t>+11h27m0s</t>
  </si>
  <si>
    <t>pretty faint, small, round, suddenly brighter middle</t>
  </si>
  <si>
    <t>pF, S, R, sbM</t>
  </si>
  <si>
    <t>NGC64</t>
  </si>
  <si>
    <t>0h17m30.3s</t>
  </si>
  <si>
    <t>-6h49m30s</t>
  </si>
  <si>
    <t>most extremely faint, very small, round, very difficult</t>
  </si>
  <si>
    <t>eeF, vS, R, v diffic</t>
  </si>
  <si>
    <t>NGC65</t>
  </si>
  <si>
    <t>0h18m58.7s</t>
  </si>
  <si>
    <t>-22h52m48s</t>
  </si>
  <si>
    <t>extremely faint, very small, round, gradually brighter middle, western of 2</t>
  </si>
  <si>
    <t>eF, vS, R, gbM, p of 2</t>
  </si>
  <si>
    <t>NGC66</t>
  </si>
  <si>
    <t>0h19m4.9s</t>
  </si>
  <si>
    <t>-22h56m11s</t>
  </si>
  <si>
    <t>extremely faint, pretty small, extended 225°, 9th magnitude star 1 arcmin to north, eastern of 2</t>
  </si>
  <si>
    <t>eF, pS, E, 225°, * 9 n 1', f of 2</t>
  </si>
  <si>
    <t>NGC67</t>
  </si>
  <si>
    <t>E3</t>
  </si>
  <si>
    <t>0h18m14.9s</t>
  </si>
  <si>
    <t>+30h3m48s</t>
  </si>
  <si>
    <t>extremely faint, very small, round</t>
  </si>
  <si>
    <t>eF, vS, R</t>
  </si>
  <si>
    <t>NGC68</t>
  </si>
  <si>
    <t>0h18m18.2s</t>
  </si>
  <si>
    <t>+30h4m21s</t>
  </si>
  <si>
    <t>extremely faint, large, 3 or 4 stars plus nebulosity</t>
  </si>
  <si>
    <t>eF, L, 3 or 4 st + neb</t>
  </si>
  <si>
    <t>NGC69</t>
  </si>
  <si>
    <t>0h18m20.4s</t>
  </si>
  <si>
    <t>+30h2m26s</t>
  </si>
  <si>
    <t>NGC70</t>
  </si>
  <si>
    <t>Sbc</t>
  </si>
  <si>
    <t>0h18m22.4s</t>
  </si>
  <si>
    <t>+30h4m44s</t>
  </si>
  <si>
    <t>extremely faint, very small, round, between 2 faint stars</t>
  </si>
  <si>
    <t>eF, vS, R, bet 2 F st</t>
  </si>
  <si>
    <t>NGC71</t>
  </si>
  <si>
    <t>E-S0/P</t>
  </si>
  <si>
    <t>0h18m23.5s</t>
  </si>
  <si>
    <t>+30h3m47s</t>
  </si>
  <si>
    <t>NGC72</t>
  </si>
  <si>
    <t>SBab</t>
  </si>
  <si>
    <t>0h18m28.4s</t>
  </si>
  <si>
    <t>NGC73</t>
  </si>
  <si>
    <t>0h18m38.9s</t>
  </si>
  <si>
    <t>-15h19m18s</t>
  </si>
  <si>
    <t>very faint, small, round, extremely faint double star close to east</t>
  </si>
  <si>
    <t>vF, S, R, eF D * close f</t>
  </si>
  <si>
    <t>NGC74</t>
  </si>
  <si>
    <t>0h18m49.5s</t>
  </si>
  <si>
    <t>+30h3m41s</t>
  </si>
  <si>
    <t>extremely faint, small, extended, last of 6</t>
  </si>
  <si>
    <t>eF, S, E, last of 6</t>
  </si>
  <si>
    <t>NGC75</t>
  </si>
  <si>
    <t>0h19m26.3s</t>
  </si>
  <si>
    <t>+6h26m59s</t>
  </si>
  <si>
    <t>very faint, very small, round</t>
  </si>
  <si>
    <t>vF, vS, R</t>
  </si>
  <si>
    <t>NGC76</t>
  </si>
  <si>
    <t>C</t>
  </si>
  <si>
    <t>0h19m37.7s</t>
  </si>
  <si>
    <t>+29h56m3s</t>
  </si>
  <si>
    <t>very faint, small, brighter middle</t>
  </si>
  <si>
    <t>vF, S, bM</t>
  </si>
  <si>
    <t>NGC77</t>
  </si>
  <si>
    <t>0h20m1.6s</t>
  </si>
  <si>
    <t>-22h31m56s</t>
  </si>
  <si>
    <t>extremely faint, very small, irregular figure (due to a star?), 9th magnitude star 3 arcmin to the west</t>
  </si>
  <si>
    <t>eF, vS, iF (? *), * 9 p 3'</t>
  </si>
  <si>
    <t>NGC78</t>
  </si>
  <si>
    <t>SB0-a</t>
  </si>
  <si>
    <t>0h20m25.8s</t>
  </si>
  <si>
    <t>+0h49m35s</t>
  </si>
  <si>
    <t>NGC79</t>
  </si>
  <si>
    <t>0h21m2.8s</t>
  </si>
  <si>
    <t>+22h34m2s</t>
  </si>
  <si>
    <t>very faint, small, a very little brighter middle</t>
  </si>
  <si>
    <t>vF, S, vlbM</t>
  </si>
  <si>
    <t>NGC80</t>
  </si>
  <si>
    <t>0h21m10.9s</t>
  </si>
  <si>
    <t>+22h21m28s</t>
  </si>
  <si>
    <t>faint, small, round, pretty suddenly brighter middle</t>
  </si>
  <si>
    <t>F, S, R, psbM</t>
  </si>
  <si>
    <t>NGC81</t>
  </si>
  <si>
    <t>S</t>
  </si>
  <si>
    <t>0h21m13.2s</t>
  </si>
  <si>
    <t>+22h23m0s</t>
  </si>
  <si>
    <t>most extremely faint, southwest of h 17</t>
  </si>
  <si>
    <t>eeF, sp h 17</t>
  </si>
  <si>
    <t>NGC82</t>
  </si>
  <si>
    <t>0h21m17.6s</t>
  </si>
  <si>
    <t>+22h27m40s</t>
  </si>
  <si>
    <t>extremely faint, stellar</t>
  </si>
  <si>
    <t>eF, stellar</t>
  </si>
  <si>
    <t>NGC83</t>
  </si>
  <si>
    <t>E0</t>
  </si>
  <si>
    <t>0h21m22.6s</t>
  </si>
  <si>
    <t>+22h26m3s</t>
  </si>
  <si>
    <t>extended, binuclear, 3 bright stars near</t>
  </si>
  <si>
    <t>E, biN, 3 B st nr</t>
  </si>
  <si>
    <t>NGC84</t>
  </si>
  <si>
    <t>0h21m21.2s</t>
  </si>
  <si>
    <t>+22h37m9s</t>
  </si>
  <si>
    <t>extremely faint, star and nebulosity</t>
  </si>
  <si>
    <t>eF, st &amp; neb</t>
  </si>
  <si>
    <t>NGC85</t>
  </si>
  <si>
    <t>0h21m25.5s</t>
  </si>
  <si>
    <t>+22h30m44s</t>
  </si>
  <si>
    <t>most extremely faint, considerably large, round</t>
  </si>
  <si>
    <t>eeF, cL, R</t>
  </si>
  <si>
    <t>NGC86</t>
  </si>
  <si>
    <t>S?</t>
  </si>
  <si>
    <t>0h21m28.6s</t>
  </si>
  <si>
    <t>+22h33m23s</t>
  </si>
  <si>
    <t>extremely faint, very small, a little brighter middle</t>
  </si>
  <si>
    <t>eF, vS, lbM</t>
  </si>
  <si>
    <t>NGC87</t>
  </si>
  <si>
    <t>罗伯特四重星系</t>
  </si>
  <si>
    <t>IBm/P</t>
  </si>
  <si>
    <t>0h21m14.2s</t>
  </si>
  <si>
    <t>-48h37m44s</t>
  </si>
  <si>
    <t>extremely faint, small, round, gradually brighter middle, 1st of 4</t>
  </si>
  <si>
    <t>eF, S, R, gbM, 1st of 4</t>
  </si>
  <si>
    <t>NGC88</t>
  </si>
  <si>
    <t>0h21m22s</t>
  </si>
  <si>
    <t>-48h38m23s</t>
  </si>
  <si>
    <t>extremely faint, very small, round, 2nd of 4</t>
  </si>
  <si>
    <t>eF, vS, R, 2nd of 4</t>
  </si>
  <si>
    <t>NGC89</t>
  </si>
  <si>
    <t>0h21m24.3s</t>
  </si>
  <si>
    <t>-48h39m55s</t>
  </si>
  <si>
    <t>very faint, small, round, gradually brighter middle, 3rd of 4</t>
  </si>
  <si>
    <t>vF, S, R, gbM, 3rd of 4</t>
  </si>
  <si>
    <t>NGC90</t>
  </si>
  <si>
    <t>0h21m51.6s</t>
  </si>
  <si>
    <t>+22h24m2s</t>
  </si>
  <si>
    <t>very faint, a little extended.</t>
  </si>
  <si>
    <t>vF, lE</t>
  </si>
  <si>
    <t>NGC91</t>
  </si>
  <si>
    <t>0h21m51.7s</t>
  </si>
  <si>
    <t>+22h22m8s</t>
  </si>
  <si>
    <t>very faint, very small, 13th magnitude star to southwest.</t>
  </si>
  <si>
    <t>vF, vS, * 13 sp</t>
  </si>
  <si>
    <t>NGC92</t>
  </si>
  <si>
    <t>0h21m31.4s</t>
  </si>
  <si>
    <t>-48h37m29s</t>
  </si>
  <si>
    <t>faint, small, round, gradually brighter middle, 4th of 4</t>
  </si>
  <si>
    <t>F, S, R, gbM, 4th of 4</t>
  </si>
  <si>
    <t>NGC93</t>
  </si>
  <si>
    <t>0h22m3.4s</t>
  </si>
  <si>
    <t>+22h24m32s</t>
  </si>
  <si>
    <t>NGC94</t>
  </si>
  <si>
    <t>0h22m13.6s</t>
  </si>
  <si>
    <t>+22h29m0s</t>
  </si>
  <si>
    <t>NGC95</t>
  </si>
  <si>
    <t>SBc/P</t>
  </si>
  <si>
    <t>+10h29m31s</t>
  </si>
  <si>
    <t>faint, pretty large, round, gradually brighter middle</t>
  </si>
  <si>
    <t>F, pL, R, gbM</t>
  </si>
  <si>
    <t>NGC96</t>
  </si>
  <si>
    <t>0h22m17.8s</t>
  </si>
  <si>
    <t>+22h32m48s</t>
  </si>
  <si>
    <t>NGC97</t>
  </si>
  <si>
    <t>0h22m30s</t>
  </si>
  <si>
    <t>+29h44m44s</t>
  </si>
  <si>
    <t>faint, very small, round, gradually brighter middle</t>
  </si>
  <si>
    <t>F, vS, R, gbM</t>
  </si>
  <si>
    <t>NGC98</t>
  </si>
  <si>
    <t>0h22m49.3s</t>
  </si>
  <si>
    <t>-45h16m6s</t>
  </si>
  <si>
    <t>very faint, pretty small, round, brighter middle, mottled but not resolved</t>
  </si>
  <si>
    <t>vF, pS, R, bM, r</t>
  </si>
  <si>
    <t>NGC99</t>
  </si>
  <si>
    <t>Sc/P</t>
  </si>
  <si>
    <t>0h23m59.6s</t>
  </si>
  <si>
    <t>+15h46m12s</t>
  </si>
  <si>
    <t>very faint, pretty large, round, gradually brighter middle</t>
  </si>
  <si>
    <t>vF, pL, R, gbM</t>
  </si>
  <si>
    <t>NGC100</t>
  </si>
  <si>
    <t>0h24m2.6s</t>
  </si>
  <si>
    <t>+16h29m11s</t>
  </si>
  <si>
    <t>very faint, pretty small, much extended</t>
  </si>
  <si>
    <t>vF, pS, mE</t>
  </si>
  <si>
    <t>NGC101</t>
  </si>
  <si>
    <t>0h23m54.5s</t>
  </si>
  <si>
    <t>-32h32m11s</t>
  </si>
  <si>
    <t>pretty bright, pretty large, a little extended, 14th magnitude star to east</t>
  </si>
  <si>
    <t>pB, pL, lE, * 14 f</t>
  </si>
  <si>
    <t>NGC102</t>
  </si>
  <si>
    <t>0h24m36.5s</t>
  </si>
  <si>
    <t>-13h57m22s</t>
  </si>
  <si>
    <t>NGC103</t>
  </si>
  <si>
    <t>OCL</t>
  </si>
  <si>
    <t>II2p</t>
  </si>
  <si>
    <t>仙后座</t>
  </si>
  <si>
    <t>CAS</t>
  </si>
  <si>
    <t>0h25m17.3s</t>
  </si>
  <si>
    <t>+61h19m19s</t>
  </si>
  <si>
    <t>a cluster, pretty small, pretty compressed, stars from 11th to 18th magnitude</t>
  </si>
  <si>
    <t>Cl, pS, pC, st 11…18</t>
  </si>
  <si>
    <t>NGC104</t>
  </si>
  <si>
    <t>杜鹃座47球状星团</t>
  </si>
  <si>
    <t>GCL</t>
  </si>
  <si>
    <t>III</t>
  </si>
  <si>
    <t>0h24m5.2s</t>
  </si>
  <si>
    <t>-72h4m49s</t>
  </si>
  <si>
    <t>a globular cluster, very remarkable, very bright, very large, very much compressed middle</t>
  </si>
  <si>
    <t>globular!! vB, vL, vmCM</t>
  </si>
  <si>
    <t>NGC105</t>
  </si>
  <si>
    <t>0h25m16.9s</t>
  </si>
  <si>
    <t>+12h53m1s</t>
  </si>
  <si>
    <t>very faint, small, round, a very little brighter middle</t>
  </si>
  <si>
    <t>vF, S, R, vlbM</t>
  </si>
  <si>
    <t>NGC106</t>
  </si>
  <si>
    <t>Scd</t>
  </si>
  <si>
    <t>0h24m43.7s</t>
  </si>
  <si>
    <t>-5h8m56s</t>
  </si>
  <si>
    <t>pretty faint, very small, round, a little brighter middle</t>
  </si>
  <si>
    <t>pF, vS, R, lbM</t>
  </si>
  <si>
    <t>NGC107</t>
  </si>
  <si>
    <t>0h25m42.1s</t>
  </si>
  <si>
    <t>-8h17m0s</t>
  </si>
  <si>
    <t>faint, pretty large, 7th magnitude star 5 arcmin to southeast</t>
  </si>
  <si>
    <t>F, pL, * 7 sf 5'</t>
  </si>
  <si>
    <t>NGC108</t>
  </si>
  <si>
    <t>0h25m59.7s</t>
  </si>
  <si>
    <t>+29h12m43s</t>
  </si>
  <si>
    <t>pretty faint, pretty large, round, pretty suddenly a little brighter middle</t>
  </si>
  <si>
    <t>pF, pL, R, pslbM</t>
  </si>
  <si>
    <t>NGC109</t>
  </si>
  <si>
    <t>0h26m14.6s</t>
  </si>
  <si>
    <t>+21h48m28s</t>
  </si>
  <si>
    <t>very faint, small, 3 stars near</t>
  </si>
  <si>
    <t>vF, S, 3 st nr</t>
  </si>
  <si>
    <t>NGC110</t>
  </si>
  <si>
    <t>IV1p</t>
  </si>
  <si>
    <t>0h27m25.4s</t>
  </si>
  <si>
    <t>+71h23m26s</t>
  </si>
  <si>
    <t>a cluster, pretty round, a little compressed, stars from 9th to 12th magnitude</t>
  </si>
  <si>
    <t>Cl, pR, lC, st 9…12</t>
  </si>
  <si>
    <t>NGC111</t>
  </si>
  <si>
    <t>1h55m42.1s</t>
  </si>
  <si>
    <t>-3h3m58s</t>
  </si>
  <si>
    <t>very faint, small, round, a little brighter middle, 8.5 magnitude star 36 seconds of time to west and 2 arcmin to north (? = 5100)</t>
  </si>
  <si>
    <t>vF, S, R, lbM, * 8.5 p 36s, n 2' (?=5100)</t>
  </si>
  <si>
    <t>NGC112</t>
  </si>
  <si>
    <t>0h26m48.8s</t>
  </si>
  <si>
    <t>+31h42m10s</t>
  </si>
  <si>
    <t>NGC113</t>
  </si>
  <si>
    <t>0h26m54.7s</t>
  </si>
  <si>
    <t>-2h30m2s</t>
  </si>
  <si>
    <t>very faint, small, suddenly brighter middle</t>
  </si>
  <si>
    <t>vF, S, sbM</t>
  </si>
  <si>
    <t>NGC114</t>
  </si>
  <si>
    <t>0h26m58.2s</t>
  </si>
  <si>
    <t>-1h47m9s</t>
  </si>
  <si>
    <t>very faint, small star in center, western of 2</t>
  </si>
  <si>
    <t>vF, S * in centre, p of 2</t>
  </si>
  <si>
    <t>NGC115</t>
  </si>
  <si>
    <t>0h26m46s</t>
  </si>
  <si>
    <t>-33h40m34s</t>
  </si>
  <si>
    <t>very faint, pretty large, a little extended, double star 2 arcmin to northwest</t>
  </si>
  <si>
    <t>vF, pL, lE, D * 2' np</t>
  </si>
  <si>
    <t>NGC116</t>
  </si>
  <si>
    <t>0h27m9s</t>
  </si>
  <si>
    <t>-7h56m18s</t>
  </si>
  <si>
    <t>NGC117</t>
  </si>
  <si>
    <t>S0-a</t>
  </si>
  <si>
    <t>0h27m10.9s</t>
  </si>
  <si>
    <t>+1h20m3s</t>
  </si>
  <si>
    <t>faint, very small</t>
  </si>
  <si>
    <t>F, vS</t>
  </si>
  <si>
    <t>NGC118</t>
  </si>
  <si>
    <t>0h27m16.1s</t>
  </si>
  <si>
    <t>-1h46m47s</t>
  </si>
  <si>
    <t>very faint, small star in centre, eastern of 2</t>
  </si>
  <si>
    <t>vF, S * in centre, f of 2</t>
  </si>
  <si>
    <t>NGC119</t>
  </si>
  <si>
    <t>S0/P</t>
  </si>
  <si>
    <t>0h26m57.6s</t>
  </si>
  <si>
    <t>-56h58m40s</t>
  </si>
  <si>
    <t>pretty bright, small, round, much brighter middle</t>
  </si>
  <si>
    <t>pB, S, R, mbM</t>
  </si>
  <si>
    <t>NGC120</t>
  </si>
  <si>
    <t>0h27m30.1s</t>
  </si>
  <si>
    <t>-1h30m49s</t>
  </si>
  <si>
    <t>a nebulous star</t>
  </si>
  <si>
    <t>Nebulous *</t>
  </si>
  <si>
    <t>NGC121</t>
  </si>
  <si>
    <t>0h26m47.1s</t>
  </si>
  <si>
    <t>-71h32m12s</t>
  </si>
  <si>
    <t>pretty bright, pretty small, a little extended, very gradually brighter middle</t>
  </si>
  <si>
    <t>pB, pS, lE, vgbM</t>
  </si>
  <si>
    <t>NGC122</t>
  </si>
  <si>
    <t>0h27m38.3s</t>
  </si>
  <si>
    <t>-1h38m24s</t>
  </si>
  <si>
    <t>2 very faint nebulae 4 to 5 arcmin northwest of 8.5 magnitude star</t>
  </si>
  <si>
    <t>2vF neb 4'-5' np of * 8.5m</t>
  </si>
  <si>
    <t>NGC123</t>
  </si>
  <si>
    <t>0h27m36.2s</t>
  </si>
  <si>
    <t>-1h35m58s</t>
  </si>
  <si>
    <t>NGC124</t>
  </si>
  <si>
    <t>0h27m52.3s</t>
  </si>
  <si>
    <t>-1h48m37s</t>
  </si>
  <si>
    <t>very faint, large, diffuse, 2 faint stars to northwest</t>
  </si>
  <si>
    <t>vF, L, dif, 2 F st np</t>
  </si>
  <si>
    <t>NGC125</t>
  </si>
  <si>
    <t>0h28m50.3s</t>
  </si>
  <si>
    <t>+2h50m19s</t>
  </si>
  <si>
    <t>very faint, small, brighter middle, double star to southwest</t>
  </si>
  <si>
    <t>vF, S, bM, D * sp</t>
  </si>
  <si>
    <t>NGC126</t>
  </si>
  <si>
    <t>0h29m8.1s</t>
  </si>
  <si>
    <t>+2h48m40s</t>
  </si>
  <si>
    <t>very faint, small, a little extended</t>
  </si>
  <si>
    <t>vF, S, lE</t>
  </si>
  <si>
    <t>NGC127</t>
  </si>
  <si>
    <t>0h29m12.3s</t>
  </si>
  <si>
    <t>+2h52m24s</t>
  </si>
  <si>
    <t>very faint, very small, round, west of h 25</t>
  </si>
  <si>
    <t>vF, vS, R, p h 25</t>
  </si>
  <si>
    <t>NGC128</t>
  </si>
  <si>
    <t>NGC 128星系群</t>
  </si>
  <si>
    <t>0h29m14.9s</t>
  </si>
  <si>
    <t>+2h51m54s</t>
  </si>
  <si>
    <t>pretty bright, pretty small, a little extended 2°, brighter middle</t>
  </si>
  <si>
    <t>pB, pS, lE 2°, bM</t>
  </si>
  <si>
    <t>NGC129</t>
  </si>
  <si>
    <t>IV2p</t>
  </si>
  <si>
    <t>0h29m58s</t>
  </si>
  <si>
    <t>+60h12m42s</t>
  </si>
  <si>
    <t>a cluster, very large, pretty round, a little compressed, stars from 9th to 13th magnitude</t>
  </si>
  <si>
    <t>Cl, vL, pR, lC, st 9…13</t>
  </si>
  <si>
    <t>NGC130</t>
  </si>
  <si>
    <t>0h29m18.6s</t>
  </si>
  <si>
    <t>+2h52m16s</t>
  </si>
  <si>
    <t>very faint, very small, round, east of h 25</t>
  </si>
  <si>
    <t>vF, vS, R, f h 25</t>
  </si>
  <si>
    <t>NGC131</t>
  </si>
  <si>
    <t>0h29m38.1s</t>
  </si>
  <si>
    <t>-33h15m37s</t>
  </si>
  <si>
    <t>faint, pretty large, pretty much extended, very gradually brighter middle, western of 2</t>
  </si>
  <si>
    <t>F, pL, pmE, vgbM, p of 2</t>
  </si>
  <si>
    <t>NGC132</t>
  </si>
  <si>
    <t>0h30m10.6s</t>
  </si>
  <si>
    <t>+2h5m35s</t>
  </si>
  <si>
    <t>pretty faint, considerably large, round, very gradually a little brighter middle, mottled but not resolved</t>
  </si>
  <si>
    <t>pF, cL, R, vglbM, r</t>
  </si>
  <si>
    <t>NGC133</t>
  </si>
  <si>
    <t>0h31m18s</t>
  </si>
  <si>
    <t>+63h21m6s</t>
  </si>
  <si>
    <t>a cluster, pretty large, stars from 10th magnitude, double star involved</t>
  </si>
  <si>
    <t>Cl, pL, st 10…, D * inv</t>
  </si>
  <si>
    <t>NGC134</t>
  </si>
  <si>
    <t>大王乌贼星系</t>
  </si>
  <si>
    <t>0h30m21.8s</t>
  </si>
  <si>
    <t>-33h14m42s</t>
  </si>
  <si>
    <t>very bright, large, very much extended 47°, pretty suddenly brighter middle, eastern of 2, 10th magnitude star 45 arcsec to northwest</t>
  </si>
  <si>
    <t>vB, L, vmE 47°, psbM, f of 2, * 10 np 45"</t>
  </si>
  <si>
    <t>NGC135</t>
  </si>
  <si>
    <t>0h31m45.9s</t>
  </si>
  <si>
    <t>-13h20m16s</t>
  </si>
  <si>
    <t>NGC136</t>
  </si>
  <si>
    <t>0h31m30.7s</t>
  </si>
  <si>
    <t>+61h30m33s</t>
  </si>
  <si>
    <t>a globular cluster, very faint, small, extremely compressed</t>
  </si>
  <si>
    <t>globular, vF, S, eC</t>
  </si>
  <si>
    <t>NGC137</t>
  </si>
  <si>
    <t>0h30m58.1s</t>
  </si>
  <si>
    <t>+10h12m31s</t>
  </si>
  <si>
    <t>faint, irregular figure, a little brighter middle</t>
  </si>
  <si>
    <t>F, iF, lbM</t>
  </si>
  <si>
    <t>NGC138</t>
  </si>
  <si>
    <t>0h30m59.2s</t>
  </si>
  <si>
    <t>+5h9m35s</t>
  </si>
  <si>
    <t>faint, extremely small, suddenly brighter middle</t>
  </si>
  <si>
    <t>F, eS, sbM</t>
  </si>
  <si>
    <t>NGC139</t>
  </si>
  <si>
    <t>0h31m6.5s</t>
  </si>
  <si>
    <t>+5h4m42s</t>
  </si>
  <si>
    <t>extremely faint, small</t>
  </si>
  <si>
    <t>eF, S</t>
  </si>
  <si>
    <t>NGC140</t>
  </si>
  <si>
    <t>0h31m20.4s</t>
  </si>
  <si>
    <t>+30h47m31s</t>
  </si>
  <si>
    <t>very faint, small, round, gradually brighter middle</t>
  </si>
  <si>
    <t>vF, S, R, gbM</t>
  </si>
  <si>
    <t>NGC141</t>
  </si>
  <si>
    <t>0h31m17.6s</t>
  </si>
  <si>
    <t>+5h10m46s</t>
  </si>
  <si>
    <t>very faint, very small, irregularly round</t>
  </si>
  <si>
    <t>vF, vS, iR</t>
  </si>
  <si>
    <t>NGC142</t>
  </si>
  <si>
    <t>0h31m7.9s</t>
  </si>
  <si>
    <t>-22h37m10s</t>
  </si>
  <si>
    <t>extremely faint, small, a little extended, 1st of 3</t>
  </si>
  <si>
    <t>eF, S, lE, 1st of 3</t>
  </si>
  <si>
    <t>NGC143</t>
  </si>
  <si>
    <t>0h31m15.5s</t>
  </si>
  <si>
    <t>-22h33m36s</t>
  </si>
  <si>
    <t>extremely faint, small, much extended, 2nd of 3</t>
  </si>
  <si>
    <t>eF, S, mE, 2nd of 3</t>
  </si>
  <si>
    <t>NGC144</t>
  </si>
  <si>
    <t>0h31m20.7s</t>
  </si>
  <si>
    <t>-22h38m46s</t>
  </si>
  <si>
    <t>extremely faint, very small, round, 3rd of 3</t>
  </si>
  <si>
    <t>eF, vS, R, 3rd of 3</t>
  </si>
  <si>
    <t>NGC145</t>
  </si>
  <si>
    <t>SBdm</t>
  </si>
  <si>
    <t>0h31m45.6s</t>
  </si>
  <si>
    <t>-5h9m14s</t>
  </si>
  <si>
    <t>faint, pretty large, very little extended, very gradually brighter middle, 8th or 9th magnitude star 5 arcmin to east</t>
  </si>
  <si>
    <t>F, pL, vlE, vgbM, * 8·9 f 5'</t>
  </si>
  <si>
    <t>NGC146</t>
  </si>
  <si>
    <t>IV3p</t>
  </si>
  <si>
    <t>0h33m3s</t>
  </si>
  <si>
    <t>+63h18m6s</t>
  </si>
  <si>
    <t>a cluster, pretty large, a little compressed, stars from 11th to 12th magnitude, double star</t>
  </si>
  <si>
    <t>Cl, pL, lC, st 11-12, D *</t>
  </si>
  <si>
    <t>NGC147</t>
  </si>
  <si>
    <t>E5/P</t>
  </si>
  <si>
    <t>0h33m11.7s</t>
  </si>
  <si>
    <t>+48h30m26s</t>
  </si>
  <si>
    <t>very faint, very large, irregularly round, gradually then suddenly much brighter middle equal to 11th magnitude star</t>
  </si>
  <si>
    <t>vF, vL, iR, gsmbM * 11</t>
  </si>
  <si>
    <t>NGC148</t>
  </si>
  <si>
    <t>0h34m15.4s</t>
  </si>
  <si>
    <t>-31h47m10s</t>
  </si>
  <si>
    <t>very bright, small, a little extended 90°, suddenly much brighter middle equal to 11th magnitude star</t>
  </si>
  <si>
    <t>vB, S, lE 90°, smbM * 11</t>
  </si>
  <si>
    <t>NGC149</t>
  </si>
  <si>
    <t>0h33m50.2s</t>
  </si>
  <si>
    <t>+30h43m25s</t>
  </si>
  <si>
    <t>very faint, very small, round, gradually brighter middle equal to 14th magnitude star, 12th magnitude star to southwest</t>
  </si>
  <si>
    <t>vF, vS, R, gbM * 14, * 12 sp</t>
  </si>
  <si>
    <t>NGC150</t>
  </si>
  <si>
    <t>0h34m15.7s</t>
  </si>
  <si>
    <t>-27h48m18s</t>
  </si>
  <si>
    <t>pretty faint, pretty small, round</t>
  </si>
  <si>
    <t>pF, pS, R</t>
  </si>
  <si>
    <t>NGC151</t>
  </si>
  <si>
    <t>0h34m2.8s</t>
  </si>
  <si>
    <t>-9h42m18s</t>
  </si>
  <si>
    <t>pretty faint, pretty large, a little extended 90°, very gradually a little brighter middle</t>
  </si>
  <si>
    <t>pF, pL, lE 90°, vglbM</t>
  </si>
  <si>
    <t>NGC152</t>
  </si>
  <si>
    <t>0h32m56.9s</t>
  </si>
  <si>
    <t>-73h6m58s</t>
  </si>
  <si>
    <t>very faint, large, round, very gradually a little brighter middle</t>
  </si>
  <si>
    <t>vF, L, R, vglbM</t>
  </si>
  <si>
    <t>NGC153</t>
  </si>
  <si>
    <t>pF, pS, R, * nr nf</t>
  </si>
  <si>
    <t>NGC154</t>
  </si>
  <si>
    <t>E?</t>
  </si>
  <si>
    <t>0h34m19.4s</t>
  </si>
  <si>
    <t>-12h39m21s</t>
  </si>
  <si>
    <t>NGC155</t>
  </si>
  <si>
    <t>0h34m40s</t>
  </si>
  <si>
    <t>-10h45m58s</t>
  </si>
  <si>
    <t>pretty faint, small, round</t>
  </si>
  <si>
    <t>pF, S, R</t>
  </si>
  <si>
    <t>NGC156</t>
  </si>
  <si>
    <t>0h34m35.8s</t>
  </si>
  <si>
    <t>-8h20m22s</t>
  </si>
  <si>
    <t>very small, northwest of II 3</t>
  </si>
  <si>
    <t>vS, np II 3</t>
  </si>
  <si>
    <t>NGC157</t>
  </si>
  <si>
    <t>0h34m46.4s</t>
  </si>
  <si>
    <t>-8h23m46s</t>
  </si>
  <si>
    <t>pretty bright, large, extended, between 2 considerably bright stars</t>
  </si>
  <si>
    <t>pB, L, E, bet 2 cB st</t>
  </si>
  <si>
    <t>NGC158</t>
  </si>
  <si>
    <t>0h35m5.5s</t>
  </si>
  <si>
    <t>-8h20m42s</t>
  </si>
  <si>
    <t>very small, northeast of II 3</t>
  </si>
  <si>
    <t>vS, nf II 3</t>
  </si>
  <si>
    <t>NGC159</t>
  </si>
  <si>
    <t>0h34m35.4s</t>
  </si>
  <si>
    <t>-55h47m23s</t>
  </si>
  <si>
    <t>very faint, pretty small, round, gradually a little brighter middle, 3 stars to east</t>
  </si>
  <si>
    <t>vF, pS, R, glbM, 3 st f</t>
  </si>
  <si>
    <t>NGC160</t>
  </si>
  <si>
    <t>0h36m4.1s</t>
  </si>
  <si>
    <t>+23h57m29s</t>
  </si>
  <si>
    <t>very faint, very small, stellar, 8th magnitude star 4 arcmin away 17° east of north</t>
  </si>
  <si>
    <t>vF, vS, stell, * 8, 17°, 4'</t>
  </si>
  <si>
    <t>NGC161</t>
  </si>
  <si>
    <t>0h35m33.9s</t>
  </si>
  <si>
    <t>-2h50m54s</t>
  </si>
  <si>
    <t>extremely faint, extremely small, round, nearly between 2 stars</t>
  </si>
  <si>
    <t>eF, eS, R, nearly bet 2 st</t>
  </si>
  <si>
    <t>NGC162</t>
  </si>
  <si>
    <t>0h36m9.2s</t>
  </si>
  <si>
    <t>+23h57m44s</t>
  </si>
  <si>
    <t>extremely faint, stellar, h 39 to southwest</t>
  </si>
  <si>
    <t>eF, stellar, h 39 sp</t>
  </si>
  <si>
    <t>NGC163</t>
  </si>
  <si>
    <t>0h35m59.7s</t>
  </si>
  <si>
    <t>-10h7m17s</t>
  </si>
  <si>
    <t>NGC164</t>
  </si>
  <si>
    <t>0h36m32.9s</t>
  </si>
  <si>
    <t>+2h45m0s</t>
  </si>
  <si>
    <t>NGC165</t>
  </si>
  <si>
    <t>0h36m28.9s</t>
  </si>
  <si>
    <t>-10h6m23s</t>
  </si>
  <si>
    <t>faint, large, star in center, eastern of 2</t>
  </si>
  <si>
    <t>F, L, st in centre, f of 2</t>
  </si>
  <si>
    <t>NGC166</t>
  </si>
  <si>
    <t>0h35m48.8s</t>
  </si>
  <si>
    <t>-13h36m38s</t>
  </si>
  <si>
    <t>extremely faint, small, a little extended, 11th magnitude star to northwest</t>
  </si>
  <si>
    <t>eF, S, lE, * 11 np</t>
  </si>
  <si>
    <t>NGC167</t>
  </si>
  <si>
    <t>0h35m22.9s</t>
  </si>
  <si>
    <t>-23h22m29s</t>
  </si>
  <si>
    <t>very faint, pretty small, irregularly round</t>
  </si>
  <si>
    <t>vF, pS, iR</t>
  </si>
  <si>
    <t>NGC168</t>
  </si>
  <si>
    <t>0h36m38.6s</t>
  </si>
  <si>
    <t>-22h35m37s</t>
  </si>
  <si>
    <t>extremely faint, small, extended 30°, 10th magnitude star 3 arcmin to northeast</t>
  </si>
  <si>
    <t>eF, S, E 30°, * 10 nf 3'</t>
  </si>
  <si>
    <t>NGC169</t>
  </si>
  <si>
    <t>0h36m51.7s</t>
  </si>
  <si>
    <t>+23h59m29s</t>
  </si>
  <si>
    <t>faint, pretty large, double or binary nucleus, 6th magnitude star 4 arcmin to northeast</t>
  </si>
  <si>
    <t>F, pL, D or biN, * 6 nf 4'</t>
  </si>
  <si>
    <t>NGC170</t>
  </si>
  <si>
    <t>0h36m45.9s</t>
  </si>
  <si>
    <t>+1h53m11s</t>
  </si>
  <si>
    <t>faint, small, round</t>
  </si>
  <si>
    <t>F, S, R</t>
  </si>
  <si>
    <t>NGC171</t>
  </si>
  <si>
    <t>0h37m21.5s</t>
  </si>
  <si>
    <t>-19h56m4s</t>
  </si>
  <si>
    <t>very faint, pretty large, a little extended, 2 pretty bright stars to southeast</t>
  </si>
  <si>
    <t>vF, pL, lE, 2 pB st sf</t>
  </si>
  <si>
    <t>NGC172</t>
  </si>
  <si>
    <t>0h37m13.6s</t>
  </si>
  <si>
    <t>-22h35m12s</t>
  </si>
  <si>
    <t>extremely faint, small, extended</t>
  </si>
  <si>
    <t>eF, S, E</t>
  </si>
  <si>
    <t>NGC173</t>
  </si>
  <si>
    <t>0h37m12.4s</t>
  </si>
  <si>
    <t>+1h56m32s</t>
  </si>
  <si>
    <t>very faint, small, round, very gradually brighter middle, 11th magnitude star 80 arcsec to southwest</t>
  </si>
  <si>
    <t>vF, S, R, vgbM, * 11 sp 80"</t>
  </si>
  <si>
    <t>NGC174</t>
  </si>
  <si>
    <t>0h36m58.8s</t>
  </si>
  <si>
    <t>-29h28m40s</t>
  </si>
  <si>
    <t>extremely faint, small, very little extended, among bright stars</t>
  </si>
  <si>
    <t>eF, S, vlE, am B st</t>
  </si>
  <si>
    <t>NGC175</t>
  </si>
  <si>
    <t>pB, pL, E, gbM, r</t>
  </si>
  <si>
    <t>NGC176</t>
  </si>
  <si>
    <t>0h35m58.8s</t>
  </si>
  <si>
    <t>-73h9m58s</t>
  </si>
  <si>
    <t>extremely faint, small, very little extended, mottled but not resolved, 8th magnitude star near</t>
  </si>
  <si>
    <t>eF, S, vlE, r, * 8 nr</t>
  </si>
  <si>
    <t>NGC177</t>
  </si>
  <si>
    <t>0h37m34.3s</t>
  </si>
  <si>
    <t>-22h32m57s</t>
  </si>
  <si>
    <t>extremely faint, small, extended 175° (perhaps a star?)</t>
  </si>
  <si>
    <t>eF, S, E 175° (? *)</t>
  </si>
  <si>
    <t>NGC178</t>
  </si>
  <si>
    <t>0h39m8.4s</t>
  </si>
  <si>
    <t>-14h10m20s</t>
  </si>
  <si>
    <t>faint, small, much extended 0°, brighter middle</t>
  </si>
  <si>
    <t>F, S, mE 0°, bM</t>
  </si>
  <si>
    <t>NGC179</t>
  </si>
  <si>
    <t>0h37m46.3s</t>
  </si>
  <si>
    <t>-17h51m0s</t>
  </si>
  <si>
    <t>extremely faint, extremely small, round, bright star to northwest</t>
  </si>
  <si>
    <t>eF, eS, R, B * np</t>
  </si>
  <si>
    <t>NGC180</t>
  </si>
  <si>
    <t>0h37m57.7s</t>
  </si>
  <si>
    <t>+8h38m5s</t>
  </si>
  <si>
    <t>very faint, pretty large, irregularly round, star involved to northwest</t>
  </si>
  <si>
    <t>vF, pL, iR, * np inv</t>
  </si>
  <si>
    <t>NGC181</t>
  </si>
  <si>
    <t>0h38m23.3s</t>
  </si>
  <si>
    <t>+29h28m24s</t>
  </si>
  <si>
    <t>extremely faint, extremely small, irregular, very faint star attached</t>
  </si>
  <si>
    <t>eF, eS, irr, vF * att</t>
  </si>
  <si>
    <t>NGC182</t>
  </si>
  <si>
    <t>0h38m12.4s</t>
  </si>
  <si>
    <t>+2h43m43s</t>
  </si>
  <si>
    <t>very faint, small, irregularly round, very gradually brighter middle.</t>
  </si>
  <si>
    <t>vF, S, iR, vgbM</t>
  </si>
  <si>
    <t>NGC183</t>
  </si>
  <si>
    <t>0h38m29.3s</t>
  </si>
  <si>
    <t>+29h30m42s</t>
  </si>
  <si>
    <t>pretty faint, very small, round, gradually brighter middle</t>
  </si>
  <si>
    <t>pF, vS, R, gbM</t>
  </si>
  <si>
    <t>NGC184</t>
  </si>
  <si>
    <t>0h38m35.8s</t>
  </si>
  <si>
    <t>+29h26m51s</t>
  </si>
  <si>
    <t>extremely faint, extremely small</t>
  </si>
  <si>
    <t>eF, eS</t>
  </si>
  <si>
    <t>NGC185</t>
  </si>
  <si>
    <t>0h38m57.6s</t>
  </si>
  <si>
    <t>+48h20m14s</t>
  </si>
  <si>
    <t>pretty bright, very large, irregularly round, very gradually much brighter middle, mottled but nor resolved</t>
  </si>
  <si>
    <t>pB, vL, iR, vgmbM, r</t>
  </si>
  <si>
    <t>NGC186</t>
  </si>
  <si>
    <t>0h38m25.2s</t>
  </si>
  <si>
    <t>+3h9m58s</t>
  </si>
  <si>
    <t>faint, small, round, a little brighter middle</t>
  </si>
  <si>
    <t>F, S, R, lbM</t>
  </si>
  <si>
    <t>NGC187</t>
  </si>
  <si>
    <t>0h39m30.2s</t>
  </si>
  <si>
    <t>-14h39m23s</t>
  </si>
  <si>
    <t>faint, small, much extended 150°, brighter middle</t>
  </si>
  <si>
    <t>F, S, mE 150°, bM</t>
  </si>
  <si>
    <t>NGC188</t>
  </si>
  <si>
    <t>近极星团</t>
  </si>
  <si>
    <t>II2r</t>
  </si>
  <si>
    <t>0h47m30s</t>
  </si>
  <si>
    <t>+85h15m30s</t>
  </si>
  <si>
    <t>a cluster, very large, round, 150-200 stars from 10th to 18th magnitude</t>
  </si>
  <si>
    <t>Cl, vL, R, 150-200 st 10…18</t>
  </si>
  <si>
    <t>NGC189</t>
  </si>
  <si>
    <t>III2p</t>
  </si>
  <si>
    <t>0h39m35.6s</t>
  </si>
  <si>
    <t>+61h5m42s</t>
  </si>
  <si>
    <t>a cluster, pretty large, round, stars from 11th to 15th magnitude</t>
  </si>
  <si>
    <t>Cl, pL, R, st 11…15</t>
  </si>
  <si>
    <t>NGC190</t>
  </si>
  <si>
    <t>0h38m54.7s</t>
  </si>
  <si>
    <t>+7h3m44s</t>
  </si>
  <si>
    <t>very faint, small, a little extended, several stars near to southwest</t>
  </si>
  <si>
    <t>vF, S, lE, sev st nr sp</t>
  </si>
  <si>
    <t>NGC191</t>
  </si>
  <si>
    <t>0h38m59.2s</t>
  </si>
  <si>
    <t>-9h0m10s</t>
  </si>
  <si>
    <t>pretty bright, pretty large, irregularly extended 0°</t>
  </si>
  <si>
    <t>pB, pL, iE 0°</t>
  </si>
  <si>
    <t>NGC192</t>
  </si>
  <si>
    <t>0h39m13.5s</t>
  </si>
  <si>
    <t>+0h51m51s</t>
  </si>
  <si>
    <t>faint, pretty small, pretty much extended, brighter middle</t>
  </si>
  <si>
    <t>F, pS, pmE, bM</t>
  </si>
  <si>
    <t>NGC193</t>
  </si>
  <si>
    <t>0h39m18.5s</t>
  </si>
  <si>
    <t>+3h19m52s</t>
  </si>
  <si>
    <t>faint, large, western of 2, 15th magnitude star close to southwest</t>
  </si>
  <si>
    <t>F, L, p of 2, * 15 close sp</t>
  </si>
  <si>
    <t>NGC194</t>
  </si>
  <si>
    <t>0h39m18.3s</t>
  </si>
  <si>
    <t>+3h2m15s</t>
  </si>
  <si>
    <t>pretty bright, small, round, very gradually brighter middle</t>
  </si>
  <si>
    <t>pB, S, R, vgbM</t>
  </si>
  <si>
    <t>NGC195</t>
  </si>
  <si>
    <t>0h39m35.7s</t>
  </si>
  <si>
    <t>-9h11m39s</t>
  </si>
  <si>
    <t>faint.</t>
  </si>
  <si>
    <t>F</t>
  </si>
  <si>
    <t>NGC196</t>
  </si>
  <si>
    <t>0h39m17.8s</t>
  </si>
  <si>
    <t>+0h54m47s</t>
  </si>
  <si>
    <t>faint, pretty small, round, pretty suddenly much brighter middle</t>
  </si>
  <si>
    <t>F, pS, R, psmbM</t>
  </si>
  <si>
    <t>NGC197</t>
  </si>
  <si>
    <t>0h39m18.7s</t>
  </si>
  <si>
    <t>+0h53m33s</t>
  </si>
  <si>
    <t>extremely faint, south of h 41</t>
  </si>
  <si>
    <t>eF, s of h 41</t>
  </si>
  <si>
    <t>NGC198</t>
  </si>
  <si>
    <t>0h39m22.9s</t>
  </si>
  <si>
    <t>+2h47m54s</t>
  </si>
  <si>
    <t>faint, small, very gradually brighter middle</t>
  </si>
  <si>
    <t>F, S, vgbM</t>
  </si>
  <si>
    <t>NGC199</t>
  </si>
  <si>
    <t>0h39m33.1s</t>
  </si>
  <si>
    <t>+3h8m17s</t>
  </si>
  <si>
    <t>faint, very small, 8th magnitude star 27 seconds of time to west and 45 arcsec to south</t>
  </si>
  <si>
    <t>F, vS, * 8 p 27s, 45" s</t>
  </si>
  <si>
    <t>NGC200</t>
  </si>
  <si>
    <t>0h39m34.7s</t>
  </si>
  <si>
    <t>+2h53m13s</t>
  </si>
  <si>
    <t>pretty bright, small, very gradually brighter middle</t>
  </si>
  <si>
    <t>pB, S, vgbM</t>
  </si>
  <si>
    <t>NGC201</t>
  </si>
  <si>
    <t>0h39m34.9s</t>
  </si>
  <si>
    <t>+0h51m37s</t>
  </si>
  <si>
    <t>very faint, considerably large, extended, very gradually a little brighter middle</t>
  </si>
  <si>
    <t>vF, cL, E, vglbM</t>
  </si>
  <si>
    <t>NGC202</t>
  </si>
  <si>
    <t>0h39m39.7s</t>
  </si>
  <si>
    <t>+3h32m8s</t>
  </si>
  <si>
    <t>extremely faint, very small, irregularly brighter middle</t>
  </si>
  <si>
    <t>eF, vS, ibM</t>
  </si>
  <si>
    <t>NGC203</t>
  </si>
  <si>
    <t>0h39m39.5s</t>
  </si>
  <si>
    <t>+3h26m33s</t>
  </si>
  <si>
    <t>faint, round, 9th magnitude star 8 arcmin to southwest</t>
  </si>
  <si>
    <t>F, R, * 9 sp 8'</t>
  </si>
  <si>
    <t>NGC204</t>
  </si>
  <si>
    <t>0h39m44.2s</t>
  </si>
  <si>
    <t>+3h18m0s</t>
  </si>
  <si>
    <t>faint, pretty small, round, very gradually brighter middle, eastern of 2</t>
  </si>
  <si>
    <t>F, pS, R, vgbM, f of 2</t>
  </si>
  <si>
    <t>NGC205</t>
  </si>
  <si>
    <t>E5</t>
  </si>
  <si>
    <t>0h40m22.1s</t>
  </si>
  <si>
    <t>+41h41m7s</t>
  </si>
  <si>
    <t>very bright, very large, much extended 165°, very gradually very much brighter middle</t>
  </si>
  <si>
    <t>vB, vL, mE 165°, vgvmbM</t>
  </si>
  <si>
    <t>NGC206</t>
  </si>
  <si>
    <t>仙女座星系中的大恒星云</t>
  </si>
  <si>
    <t>GxyP</t>
  </si>
  <si>
    <t>0h40m32.3s</t>
  </si>
  <si>
    <t>+40h44m18s</t>
  </si>
  <si>
    <t>very faint, very large, much extended 0°</t>
  </si>
  <si>
    <t>vF, vL, mE 0°</t>
  </si>
  <si>
    <t>NGC207</t>
  </si>
  <si>
    <t>0h39m40.7s</t>
  </si>
  <si>
    <t>-14h14m11s</t>
  </si>
  <si>
    <t>very faint, small, a little extended, stellar</t>
  </si>
  <si>
    <t>vF, S, lE, stellar</t>
  </si>
  <si>
    <t>NGC208</t>
  </si>
  <si>
    <t>0h40m17.4s</t>
  </si>
  <si>
    <t>+2h45m21s</t>
  </si>
  <si>
    <t>pretty faint</t>
  </si>
  <si>
    <t>pF</t>
  </si>
  <si>
    <t>NGC209</t>
  </si>
  <si>
    <t>0h39m3.5s</t>
  </si>
  <si>
    <t>-18h36m30s</t>
  </si>
  <si>
    <t>NGC210</t>
  </si>
  <si>
    <t>0h40m34.8s</t>
  </si>
  <si>
    <t>-13h52m21s</t>
  </si>
  <si>
    <t>bright, pretty small, round, pretty suddenly brighter middle, mottled but not resolved, 11th magnitude star 2 arcmin to west</t>
  </si>
  <si>
    <t>B, pS, R, psbM, r, * 11 p 2'</t>
  </si>
  <si>
    <t>NGC211</t>
  </si>
  <si>
    <t>eF, S, mbMN</t>
  </si>
  <si>
    <t>NGC212</t>
  </si>
  <si>
    <t>0h40m13.4s</t>
  </si>
  <si>
    <t>-56h9m9s</t>
  </si>
  <si>
    <t>very faint, small, round, western of 2</t>
  </si>
  <si>
    <t>vF, S, R, p of 2</t>
  </si>
  <si>
    <t>NGC213</t>
  </si>
  <si>
    <t>0h41m9.9s</t>
  </si>
  <si>
    <t>+16h28m11s</t>
  </si>
  <si>
    <t>faint, small, between 2 small (faint) stars</t>
  </si>
  <si>
    <t>F, S, bet 2 S st</t>
  </si>
  <si>
    <t>NGC214</t>
  </si>
  <si>
    <t>0h41m28s</t>
  </si>
  <si>
    <t>+25h29m58s</t>
  </si>
  <si>
    <t>pretty faint, pretty small, gradually a very little brighter middle, mottled but not resolved</t>
  </si>
  <si>
    <t>pF, pS, gvlbM, r</t>
  </si>
  <si>
    <t>NGC215</t>
  </si>
  <si>
    <t>0h40m48.9s</t>
  </si>
  <si>
    <t>-56h12m51s</t>
  </si>
  <si>
    <t>faint, small, round, among stars, eastern of 2</t>
  </si>
  <si>
    <t>F, S, R, am st, f of 2</t>
  </si>
  <si>
    <t>NGC216</t>
  </si>
  <si>
    <t>0h41m27.1s</t>
  </si>
  <si>
    <t>-21h2m43s</t>
  </si>
  <si>
    <t>extremely faint, very small, a little extended</t>
  </si>
  <si>
    <t>eF, vS, lE</t>
  </si>
  <si>
    <t>NGC217</t>
  </si>
  <si>
    <t>0h41m33.9s</t>
  </si>
  <si>
    <t>-10h1m18s</t>
  </si>
  <si>
    <t>faint, small, a little extended 90°, gradually a little brighter middle</t>
  </si>
  <si>
    <t>F, S, lE 90°, glbM</t>
  </si>
  <si>
    <t>NGC218</t>
  </si>
  <si>
    <t>0h46m32s</t>
  </si>
  <si>
    <t>+36h19m32s</t>
  </si>
  <si>
    <t>extremely faint, very small, round, gradually brighter middle</t>
  </si>
  <si>
    <t>eF, vS, R, gbM</t>
  </si>
  <si>
    <t>NGC219</t>
  </si>
  <si>
    <t>E2</t>
  </si>
  <si>
    <t>0h42m11.3s</t>
  </si>
  <si>
    <t>+0h54m16s</t>
  </si>
  <si>
    <t>faint, small, round, 11th magnitude star 1 arcmin to southwest</t>
  </si>
  <si>
    <t>F, S, R, * 11 sp 1'</t>
  </si>
  <si>
    <t>NGC220</t>
  </si>
  <si>
    <t>0h40m30s</t>
  </si>
  <si>
    <t>-73h24m15s</t>
  </si>
  <si>
    <t>faint, irregularly round, very gradually brighter middle, 1st of several</t>
  </si>
  <si>
    <t>F, iR, vgbM, 1st of several</t>
  </si>
  <si>
    <t>NGC221</t>
  </si>
  <si>
    <t>0h42m41.8s</t>
  </si>
  <si>
    <t>+40h51m57s</t>
  </si>
  <si>
    <t>a remarkable object, very very bright, large, round, pretty suddenly much brighter middle and nucleus</t>
  </si>
  <si>
    <t>! vvB, L, R, psmbMN</t>
  </si>
  <si>
    <t>NGC222</t>
  </si>
  <si>
    <t>0h40m43.7s</t>
  </si>
  <si>
    <t>-73h23m9s</t>
  </si>
  <si>
    <t>very faint, round, 2nd of several</t>
  </si>
  <si>
    <t>vF, R, 2nd of several</t>
  </si>
  <si>
    <t>NGC223</t>
  </si>
  <si>
    <t>S0-a/P</t>
  </si>
  <si>
    <t>0h42m15.9s</t>
  </si>
  <si>
    <t>+0h50m46s</t>
  </si>
  <si>
    <t>NGC224</t>
  </si>
  <si>
    <t>仙女座星系</t>
  </si>
  <si>
    <t>0h42m44.3s</t>
  </si>
  <si>
    <t>+41h16m8s</t>
  </si>
  <si>
    <t>a magnificent object, most extremely bright, extremely large, very much extended (Andromeda)</t>
  </si>
  <si>
    <t>!!! eeB, eL, vmE (Andromeda)</t>
  </si>
  <si>
    <t>NGC225</t>
  </si>
  <si>
    <t>帆船星团</t>
  </si>
  <si>
    <t>III1p</t>
  </si>
  <si>
    <t>0h43m36s</t>
  </si>
  <si>
    <t>+61h46m0s</t>
  </si>
  <si>
    <t>a cluster, large, a little compressed, stars from 9th to 10th magnitude</t>
  </si>
  <si>
    <t>Cl, L, lC, st 9…10</t>
  </si>
  <si>
    <t>NGC226</t>
  </si>
  <si>
    <t>P</t>
  </si>
  <si>
    <t>0h42m53.9s</t>
  </si>
  <si>
    <t>+32h34m49s</t>
  </si>
  <si>
    <t>extremely faint, small, round, 13th magnitude star 20 arcsec to south</t>
  </si>
  <si>
    <t>eF, S, R, * 13 s 20"</t>
  </si>
  <si>
    <t>NGC227</t>
  </si>
  <si>
    <t>0h42m36.6s</t>
  </si>
  <si>
    <t>-1h31m41s</t>
  </si>
  <si>
    <t>faint, pretty large, a little brighter middle</t>
  </si>
  <si>
    <t>F, pL, lbM</t>
  </si>
  <si>
    <t>NGC228</t>
  </si>
  <si>
    <t>0h42m54.5s</t>
  </si>
  <si>
    <t>+23h30m12s</t>
  </si>
  <si>
    <t>extremely faint, small, round, fainter of 2</t>
  </si>
  <si>
    <t>eF, S, R, fainter of 2</t>
  </si>
  <si>
    <t>NGC229</t>
  </si>
  <si>
    <t>0h43m4.7s</t>
  </si>
  <si>
    <t>+23h30m34s</t>
  </si>
  <si>
    <t>very faint, small, round, smaller of 2</t>
  </si>
  <si>
    <t>vF, S, R, smaller of 2</t>
  </si>
  <si>
    <t>NGC230</t>
  </si>
  <si>
    <t>0h42m27s</t>
  </si>
  <si>
    <t>-23h37m44s</t>
  </si>
  <si>
    <t>extremely faint, extremely small, round, brighter middle and nucleus</t>
  </si>
  <si>
    <t>eF, eS, R, bMN</t>
  </si>
  <si>
    <t>NGC231</t>
  </si>
  <si>
    <t>0h41m6.4s</t>
  </si>
  <si>
    <t>-73h21m9s</t>
  </si>
  <si>
    <t>an irregular train of stars and nebulae</t>
  </si>
  <si>
    <t>i train of st and neb</t>
  </si>
  <si>
    <t>NGC232</t>
  </si>
  <si>
    <t>0h42m45.7s</t>
  </si>
  <si>
    <t>-23h33m42s</t>
  </si>
  <si>
    <t>extremely faint, small, round, brighter middle and nucleus</t>
  </si>
  <si>
    <t>eF, S, R, bMN</t>
  </si>
  <si>
    <t>NGC233</t>
  </si>
  <si>
    <t>0h43m36.5s</t>
  </si>
  <si>
    <t>+30h35m13s</t>
  </si>
  <si>
    <t>faint, very small, round, a little brighter middle</t>
  </si>
  <si>
    <t>F, vS, R, lbM</t>
  </si>
  <si>
    <t>NGC234</t>
  </si>
  <si>
    <t>0h43m32.3s</t>
  </si>
  <si>
    <t>+14h20m33s</t>
  </si>
  <si>
    <t>faint, pretty small, irregularly a little extended, brighter middle</t>
  </si>
  <si>
    <t>F, pS, i lE, bM</t>
  </si>
  <si>
    <t>NGC235</t>
  </si>
  <si>
    <t>0h42m52.7s</t>
  </si>
  <si>
    <t>-23h32m28s</t>
  </si>
  <si>
    <t>NGC236</t>
  </si>
  <si>
    <t>0h43m27.4s</t>
  </si>
  <si>
    <t>+2h57m29s</t>
  </si>
  <si>
    <t>very faint, pretty large</t>
  </si>
  <si>
    <t>vF, pL</t>
  </si>
  <si>
    <t>NGC237</t>
  </si>
  <si>
    <t>0h43m27.9s</t>
  </si>
  <si>
    <t>-0h7m31s</t>
  </si>
  <si>
    <t>very faint, pretty small, a little extended, a little brighter middle</t>
  </si>
  <si>
    <t>Vf, pS, lE, lbM</t>
  </si>
  <si>
    <t>NGC238</t>
  </si>
  <si>
    <t>0h43m25.6s</t>
  </si>
  <si>
    <t>-50h10m58s</t>
  </si>
  <si>
    <t>extremely faint, pretty large, round, gradually a very little brighter middle</t>
  </si>
  <si>
    <t>eF, pL, R, gvlbM</t>
  </si>
  <si>
    <t>NGC239</t>
  </si>
  <si>
    <t>0h44m37.5s</t>
  </si>
  <si>
    <t>-3h45m36s</t>
  </si>
  <si>
    <t>pretty faint, pretty small, extended 20°, brighter middle and nucleus, 8th magnitude star 20 seconds of time to east</t>
  </si>
  <si>
    <t>pF, pS, E 20°, bMN, * 8 f 20s</t>
  </si>
  <si>
    <t>NGC240</t>
  </si>
  <si>
    <t>0h45m1.9s</t>
  </si>
  <si>
    <t>+6h6m46s</t>
  </si>
  <si>
    <t>very faint, small, round, star near to south</t>
  </si>
  <si>
    <t>vF, S, R, * nr s</t>
  </si>
  <si>
    <t>NGC241</t>
  </si>
  <si>
    <t>0h43m33.2s</t>
  </si>
  <si>
    <t>-73h26m33s</t>
  </si>
  <si>
    <t>very faint, round</t>
  </si>
  <si>
    <t>vF, R</t>
  </si>
  <si>
    <t>NGC242</t>
  </si>
  <si>
    <t>vF, S, bi-N</t>
  </si>
  <si>
    <t>NGC243</t>
  </si>
  <si>
    <t>0h46m0.7s</t>
  </si>
  <si>
    <t>+29h57m35s</t>
  </si>
  <si>
    <t>faint, very small, round, gradually brighter middle, 10th magnitude star to the west</t>
  </si>
  <si>
    <t>F, vS, R, gbM, * 10 p</t>
  </si>
  <si>
    <t>NGC244</t>
  </si>
  <si>
    <t>0h45m46.5s</t>
  </si>
  <si>
    <t>-15h35m50s</t>
  </si>
  <si>
    <t>very faint, small, irregularly round, mottled but not resolved, 10th magnitude star 5 arcmin to south</t>
  </si>
  <si>
    <t>vF, S, iR, r, * 10 s 5'</t>
  </si>
  <si>
    <t>NGC245</t>
  </si>
  <si>
    <t>0h46m5.5s</t>
  </si>
  <si>
    <t>-1h43m24s</t>
  </si>
  <si>
    <t>faint, pretty small, irregular figure, extremely mottled but not resolved</t>
  </si>
  <si>
    <t>F, pS, iF, er</t>
  </si>
  <si>
    <t>NGC246</t>
  </si>
  <si>
    <t>头骨星云</t>
  </si>
  <si>
    <t>0h47m3.3s</t>
  </si>
  <si>
    <t>-11h52m17s</t>
  </si>
  <si>
    <t>very faint, large, 4 stars in diffuse nebula</t>
  </si>
  <si>
    <t>vF, L, 4 st in dif neb</t>
  </si>
  <si>
    <t>NGC247</t>
  </si>
  <si>
    <t>伯比奇链</t>
  </si>
  <si>
    <t>SBcd</t>
  </si>
  <si>
    <t>0h47m8.3s</t>
  </si>
  <si>
    <t>-20h45m36s</t>
  </si>
  <si>
    <t>faint, extremely large, very much extended 172°</t>
  </si>
  <si>
    <t>F, eL, vm E 172°</t>
  </si>
  <si>
    <t>NGC248</t>
  </si>
  <si>
    <t>Nb</t>
  </si>
  <si>
    <t>EN</t>
  </si>
  <si>
    <t>0h45m24s</t>
  </si>
  <si>
    <t>-73h22m49s</t>
  </si>
  <si>
    <t>faint, small, extended or binuclear, very gradually a little brighter middle</t>
  </si>
  <si>
    <t>F, S, E or biN, vglbM</t>
  </si>
  <si>
    <t>NGC249</t>
  </si>
  <si>
    <t>0h45m31.8s</t>
  </si>
  <si>
    <t>-73h4m49s</t>
  </si>
  <si>
    <t>faint, pretty large, very little extended, mottled but not resolved</t>
  </si>
  <si>
    <t>F, pL, vlE, r</t>
  </si>
  <si>
    <t>NGC250</t>
  </si>
  <si>
    <t>0h47m16s</t>
  </si>
  <si>
    <t>+7h54m36s</t>
  </si>
  <si>
    <t>extremely faint, very small, round, among 3 stars</t>
  </si>
  <si>
    <t>eF, vS, R, am 3 st</t>
  </si>
  <si>
    <t>NGC251</t>
  </si>
  <si>
    <t>0h47m53.9s</t>
  </si>
  <si>
    <t>+19h35m49s</t>
  </si>
  <si>
    <t>very faint, small, round, a little brighter middle, star involved, 2 very small (faint) stars to east</t>
  </si>
  <si>
    <t>vF, S, R, lbM, * inv, 2 vS st f</t>
  </si>
  <si>
    <t>NGC252</t>
  </si>
  <si>
    <t>0h48m1.7s</t>
  </si>
  <si>
    <t>+27h37m24s</t>
  </si>
  <si>
    <t>pretty bright, small, round, pretty much brighter middle, mottled but not resolved, double star to west</t>
  </si>
  <si>
    <t>pB, S, R, pmbM, r, ** p</t>
  </si>
  <si>
    <t>NGC253</t>
  </si>
  <si>
    <t>玉夫座星系</t>
  </si>
  <si>
    <t>0h47m33.1s</t>
  </si>
  <si>
    <t>-25h17m15s</t>
  </si>
  <si>
    <t>a most remarkable object, very very bright, very very large, very much extended 54°, gradually brighter middle</t>
  </si>
  <si>
    <t>!! vvB, vvL, vmE 54°, gbM</t>
  </si>
  <si>
    <t>NGC254</t>
  </si>
  <si>
    <t>0h47m27.5s</t>
  </si>
  <si>
    <t>-31h25m19s</t>
  </si>
  <si>
    <t>very bright, pretty small, a little extended, suddenly much brighter middle, 8th magnitude star 5 arcmin to northeast</t>
  </si>
  <si>
    <t>vB, pS, lE, smbM, * 8 nf 5'</t>
  </si>
  <si>
    <t>NGC255</t>
  </si>
  <si>
    <t>0h47m47.3s</t>
  </si>
  <si>
    <t>-11h28m6s</t>
  </si>
  <si>
    <t>faint, pretty small, round, gradually brighter middle</t>
  </si>
  <si>
    <t>F, pS, R, gbM</t>
  </si>
  <si>
    <t>NGC256</t>
  </si>
  <si>
    <t>0h45m53.3s</t>
  </si>
  <si>
    <t>-73h30m25s</t>
  </si>
  <si>
    <t>faint, small, round, gradually brighter middle, 9th magnitude star 40 arcsec to northeast</t>
  </si>
  <si>
    <t>F, S, R, gbM, * 9 nf 40"</t>
  </si>
  <si>
    <t>NGC257</t>
  </si>
  <si>
    <t>0h48m1.6s</t>
  </si>
  <si>
    <t>+8h17m48s</t>
  </si>
  <si>
    <t>pretty large, a little extended, gradually brighter middle, mottled but not resolved</t>
  </si>
  <si>
    <t>pL, lE, gbM, r</t>
  </si>
  <si>
    <t>NGC258</t>
  </si>
  <si>
    <t>0h48m12.8s</t>
  </si>
  <si>
    <t>+27h39m28s</t>
  </si>
  <si>
    <t>extremely faint, small, very faint star close</t>
  </si>
  <si>
    <t>eF, S, vF st close</t>
  </si>
  <si>
    <t>NGC259</t>
  </si>
  <si>
    <t>0h48m3.2s</t>
  </si>
  <si>
    <t>-2h46m33s</t>
  </si>
  <si>
    <t>faint, small, extended 135°, a little brighter middle</t>
  </si>
  <si>
    <t>F, S, E 135°, lbM</t>
  </si>
  <si>
    <t>NGC260</t>
  </si>
  <si>
    <t>0h48m34.9s</t>
  </si>
  <si>
    <t>+27h41m31s</t>
  </si>
  <si>
    <t>extremely faint, pretty small, a little extended</t>
  </si>
  <si>
    <t>eF, pS, lE</t>
  </si>
  <si>
    <t>NGC261</t>
  </si>
  <si>
    <t>0h46m27.9s</t>
  </si>
  <si>
    <t>-73h6m14s</t>
  </si>
  <si>
    <t>faint, pretty large, round, gradually brighter middle equivalent to 13th magnitude star</t>
  </si>
  <si>
    <t>F, pL, R, gbM * 13</t>
  </si>
  <si>
    <t>NGC262</t>
  </si>
  <si>
    <t>马卡良348</t>
  </si>
  <si>
    <t>0h48m47.1s</t>
  </si>
  <si>
    <t>+31h57m27s</t>
  </si>
  <si>
    <t>extremely faint, very small, round, very difficult</t>
  </si>
  <si>
    <t>eF, vS, R, v diffic</t>
  </si>
  <si>
    <t>NGC263</t>
  </si>
  <si>
    <t>0h48m48.4s</t>
  </si>
  <si>
    <t>-13h6m26s</t>
  </si>
  <si>
    <t>extremely faint, very small, a little extended 30°</t>
  </si>
  <si>
    <t>eF, vS, lE 30°</t>
  </si>
  <si>
    <t>NGC264</t>
  </si>
  <si>
    <t>0h48m20.9s</t>
  </si>
  <si>
    <t>-38h14m4s</t>
  </si>
  <si>
    <t>faint, small, round, very suddenly very much brighter middle equal to 13th magnitude star</t>
  </si>
  <si>
    <t>F, S, R, vsm bM * 13</t>
  </si>
  <si>
    <t>NGC265</t>
  </si>
  <si>
    <t>0h47m11.1s</t>
  </si>
  <si>
    <t>-73h28m38s</t>
  </si>
  <si>
    <t>faint, pretty small, round</t>
  </si>
  <si>
    <t>F, pS, R</t>
  </si>
  <si>
    <t>NGC266</t>
  </si>
  <si>
    <t>0h49m47.8s</t>
  </si>
  <si>
    <t>+32h16m39s</t>
  </si>
  <si>
    <t>pretty bright, pretty small, a little extended, pretty suddenly brighter middle, mottled but not resolved, 8th magnitude star 4 arcmin to southeast</t>
  </si>
  <si>
    <t>pB, pS, lE, psbM, r, * 8 sf 4'</t>
  </si>
  <si>
    <t>NGC267</t>
  </si>
  <si>
    <t>0h48m2.9s</t>
  </si>
  <si>
    <t>-73h16m27s</t>
  </si>
  <si>
    <t>a cluster, faint, pretty large, stars very small (faint)</t>
  </si>
  <si>
    <t>Cl, F, pL, st vS</t>
  </si>
  <si>
    <t>NGC268</t>
  </si>
  <si>
    <t>0h50m9.4s</t>
  </si>
  <si>
    <t>-5h11m38s</t>
  </si>
  <si>
    <t>very faint, pretty small, irregularly a little extended, mottled but not resolved</t>
  </si>
  <si>
    <t>vF, pS, ilE, r</t>
  </si>
  <si>
    <t>NGC269</t>
  </si>
  <si>
    <t>0h48m21s</t>
  </si>
  <si>
    <t>-73h31m54s</t>
  </si>
  <si>
    <t>NGC270</t>
  </si>
  <si>
    <t>0h50m32.4s</t>
  </si>
  <si>
    <t>-8h39m6s</t>
  </si>
  <si>
    <t>pretty faint, very small, irregularly round, pretty gradually brighter middle</t>
  </si>
  <si>
    <t>pF, vS, iR, pgbM</t>
  </si>
  <si>
    <t>NGC271</t>
  </si>
  <si>
    <t>0h50m41.9s</t>
  </si>
  <si>
    <t>-1h54m38s</t>
  </si>
  <si>
    <t>pretty faint, small, a little extended, pretty suddenly brighter middle, 8th magnitude star 5.5 seconds of time to east</t>
  </si>
  <si>
    <t>pF, S, lE, psbM, * 8 f 5s.5</t>
  </si>
  <si>
    <t>NGC272</t>
  </si>
  <si>
    <t>*Grp</t>
  </si>
  <si>
    <t>0h51m26s</t>
  </si>
  <si>
    <t>+35h49m18s</t>
  </si>
  <si>
    <t>a cluster, large, a little compressed</t>
  </si>
  <si>
    <t>Cl, L, lC</t>
  </si>
  <si>
    <t>NGC273</t>
  </si>
  <si>
    <t>0h50m48.4s</t>
  </si>
  <si>
    <t>-6h53m8s</t>
  </si>
  <si>
    <t>Vf, vS</t>
  </si>
  <si>
    <t>NGC274</t>
  </si>
  <si>
    <t>0h51m1.8s</t>
  </si>
  <si>
    <t>-7h3m24s</t>
  </si>
  <si>
    <t>pretty bright, pretty small, suddenly much brighter middle, northwestern of 2</t>
  </si>
  <si>
    <t>pB, pS, smbM, np of 2</t>
  </si>
  <si>
    <t>NGC275</t>
  </si>
  <si>
    <t>SBcd/P</t>
  </si>
  <si>
    <t>0h51m4.5s</t>
  </si>
  <si>
    <t>-7h3m55s</t>
  </si>
  <si>
    <t>vF, S, R, sf of 2</t>
  </si>
  <si>
    <t>NGC276</t>
  </si>
  <si>
    <t>0h52m6.5s</t>
  </si>
  <si>
    <t>-22h40m49s</t>
  </si>
  <si>
    <t>extremely faint, pretty small, extended 265°, 11th magnitude star 3 arcmin to north</t>
  </si>
  <si>
    <t>eF, pS, E 265°, * 11 n 3'</t>
  </si>
  <si>
    <t>NGC277</t>
  </si>
  <si>
    <t>0h51m17.2s</t>
  </si>
  <si>
    <t>-8h35m47s</t>
  </si>
  <si>
    <t>faint, pretty small, 11th magnitude star to northwest</t>
  </si>
  <si>
    <t>F, pS, * 11 np</t>
  </si>
  <si>
    <t>NGC278</t>
  </si>
  <si>
    <t>0h52m4.5s</t>
  </si>
  <si>
    <t>+47h33m3s</t>
  </si>
  <si>
    <t>considerably bright, pretty large, round, 2 stars of 10th magnitude near</t>
  </si>
  <si>
    <t>cB, pL, R, 2 st 10 nr</t>
  </si>
  <si>
    <t>NGC279</t>
  </si>
  <si>
    <t>0h52m8.9s</t>
  </si>
  <si>
    <t>-2h13m6s</t>
  </si>
  <si>
    <t>very faint, small, irregularly round, brighter middle, stellar</t>
  </si>
  <si>
    <t>vF, S, iR, bM, stellar</t>
  </si>
  <si>
    <t>NGC280</t>
  </si>
  <si>
    <t>SB?</t>
  </si>
  <si>
    <t>0h52m30.2s</t>
  </si>
  <si>
    <t>+24h21m3s</t>
  </si>
  <si>
    <t>extremely faint, small, round, 15th magnitude star 30 arcsec to east</t>
  </si>
  <si>
    <t>eF, S, R, * 15 f 30"</t>
  </si>
  <si>
    <t>NGC281</t>
  </si>
  <si>
    <t>吃豆人星云</t>
  </si>
  <si>
    <t>0h52m53.8s</t>
  </si>
  <si>
    <t>+56h37m30s</t>
  </si>
  <si>
    <t>faint, very large, diffuse, small (faint) triple star on northwestern edge</t>
  </si>
  <si>
    <t>F, vL, dif, S triple * on np edge</t>
  </si>
  <si>
    <t>NGC282</t>
  </si>
  <si>
    <t>0h52m42s</t>
  </si>
  <si>
    <t>+30h38m20s</t>
  </si>
  <si>
    <t>NGC283</t>
  </si>
  <si>
    <t>0h53m13.1s</t>
  </si>
  <si>
    <t>-13h9m48s</t>
  </si>
  <si>
    <t>extremely faint, small, round, 1st of 4</t>
  </si>
  <si>
    <t>eF, S, R, 1st of 4</t>
  </si>
  <si>
    <t>NGC284</t>
  </si>
  <si>
    <t>0h53m24.2s</t>
  </si>
  <si>
    <t>-13h9m30s</t>
  </si>
  <si>
    <t>extremely faint, small, round, 2nd of 4</t>
  </si>
  <si>
    <t>eF, S, R, 2nd of 4</t>
  </si>
  <si>
    <t>NGC285</t>
  </si>
  <si>
    <t>0h53m29.8s</t>
  </si>
  <si>
    <t>-13h9m37s</t>
  </si>
  <si>
    <t>extremely faint, small, round, 3rd of 4</t>
  </si>
  <si>
    <t>eF, S, R, 3rd of 4</t>
  </si>
  <si>
    <t>NGC286</t>
  </si>
  <si>
    <t>0h53m30.3s</t>
  </si>
  <si>
    <t>-13h6m44s</t>
  </si>
  <si>
    <t>extremely faint, small, round, 4th of 4</t>
  </si>
  <si>
    <t>eF, S, R, 4th of 4</t>
  </si>
  <si>
    <t>NGC287</t>
  </si>
  <si>
    <t>0h53m28.3s</t>
  </si>
  <si>
    <t>+32h28m57s</t>
  </si>
  <si>
    <t>extremely faint, small, round (perhaps RA (00) 46 52?)</t>
  </si>
  <si>
    <t>eF, S, R (? RA 46m 52s)</t>
  </si>
  <si>
    <t>NGC288</t>
  </si>
  <si>
    <t>X</t>
  </si>
  <si>
    <t>0h52m45.5s</t>
  </si>
  <si>
    <t>-26h35m51s</t>
  </si>
  <si>
    <t>a globular cluster, bright, large, a little extended, stars from 12th to 16th magnitude</t>
  </si>
  <si>
    <t>globular, B, L, lE, st 12…16</t>
  </si>
  <si>
    <t>NGC289</t>
  </si>
  <si>
    <t>0h52m42.1s</t>
  </si>
  <si>
    <t>-31h12m20s</t>
  </si>
  <si>
    <t>very bright, large, pretty much extended, gradually brighter middle, 11th magnitude star to northwest</t>
  </si>
  <si>
    <t>vB, L, pmE, gbM, * 11 np</t>
  </si>
  <si>
    <t>NGC290</t>
  </si>
  <si>
    <t>0h51m14.7s</t>
  </si>
  <si>
    <t>-73h9m45s</t>
  </si>
  <si>
    <t>NGC291</t>
  </si>
  <si>
    <t>-8h46m3s</t>
  </si>
  <si>
    <t>very faint, very small, a little extended, almost stellar</t>
  </si>
  <si>
    <t>vF, vS, lE, alm stellar</t>
  </si>
  <si>
    <t>NGC292</t>
  </si>
  <si>
    <t>小麦哲伦云</t>
  </si>
  <si>
    <t>0h52m38s</t>
  </si>
  <si>
    <t>-72h48m0s</t>
  </si>
  <si>
    <t>a cluster, faint, most extremely large, round, stars from 12th to 18th magnitude</t>
  </si>
  <si>
    <t>Cl, F, eeL, R, st 12…18</t>
  </si>
  <si>
    <t>NGC293</t>
  </si>
  <si>
    <t>0h54m16s</t>
  </si>
  <si>
    <t>-7h14m8s</t>
  </si>
  <si>
    <t>very faint, small</t>
  </si>
  <si>
    <t>vF, S</t>
  </si>
  <si>
    <t>NGC294</t>
  </si>
  <si>
    <t>0h53m5.7s</t>
  </si>
  <si>
    <t>-73h22m50s</t>
  </si>
  <si>
    <t>very faint, pretty large, round, very gradually a little brighter middle, mottled but not resolved</t>
  </si>
  <si>
    <t>vF, pL, R, vglbM, r</t>
  </si>
  <si>
    <t>NGC295</t>
  </si>
  <si>
    <t>0h59m32.3s</t>
  </si>
  <si>
    <t>+31h47m53s</t>
  </si>
  <si>
    <t>faint, small, round, star 10 arcsec north, II 214 to northeast</t>
  </si>
  <si>
    <t>F, S, R, * 10" n, II 214 nf</t>
  </si>
  <si>
    <t>NGC296</t>
  </si>
  <si>
    <t>0h55m7.4s</t>
  </si>
  <si>
    <t>+31h32m32s</t>
  </si>
  <si>
    <t>faint, a little extended, 10th magnitude star 2 arcmin to northeast</t>
  </si>
  <si>
    <t>F, lE, * 10 nf 2'</t>
  </si>
  <si>
    <t>NGC297</t>
  </si>
  <si>
    <t>0h54m58.9s</t>
  </si>
  <si>
    <t>-7h21m1s</t>
  </si>
  <si>
    <t>NGC298</t>
  </si>
  <si>
    <t>0h55m2.2s</t>
  </si>
  <si>
    <t>-7h20m1s</t>
  </si>
  <si>
    <t>NGC299</t>
  </si>
  <si>
    <t>0h53m24.7s</t>
  </si>
  <si>
    <t>-72h11m47s</t>
  </si>
  <si>
    <t>pretty bright, very small, round, gradually a very little brighter middle, mottled but not resolved</t>
  </si>
  <si>
    <t>pB, vS, R, gvlbR, r</t>
  </si>
  <si>
    <t>NGC300</t>
  </si>
  <si>
    <t>南风车星系</t>
  </si>
  <si>
    <t>0h54m53.3s</t>
  </si>
  <si>
    <t>-37h41m3s</t>
  </si>
  <si>
    <t>pretty bright, very large, very much irregularly extended, very gradually pretty much brighter middle</t>
  </si>
  <si>
    <t>pB, vL, vmiE, vgpmbM</t>
  </si>
  <si>
    <t>NGC301</t>
  </si>
  <si>
    <t>0h56m18.3s</t>
  </si>
  <si>
    <t>-10h40m24s</t>
  </si>
  <si>
    <t>extremely faint, small, irregularly round, gradually brighter middle, 8th magnitude star 30 seconds of time to west</t>
  </si>
  <si>
    <t>eF, S, iR, gbM, * 8 p 30s</t>
  </si>
  <si>
    <t>NGC302</t>
  </si>
  <si>
    <t>0h56m25.2s</t>
  </si>
  <si>
    <t>-10h39m44s</t>
  </si>
  <si>
    <t>NGC303</t>
  </si>
  <si>
    <t>S+S</t>
  </si>
  <si>
    <t>0h54m54.6s</t>
  </si>
  <si>
    <t>-16h39m18s</t>
  </si>
  <si>
    <t>NGC304</t>
  </si>
  <si>
    <t>0h56m6s</t>
  </si>
  <si>
    <t>+24h7m38s</t>
  </si>
  <si>
    <t>pretty faint, small, round, suddenly a very little brighter middle</t>
  </si>
  <si>
    <t>pF, S, R, svlbM</t>
  </si>
  <si>
    <t>NGC305</t>
  </si>
  <si>
    <t>0h56m21s</t>
  </si>
  <si>
    <t>+12h3m48s</t>
  </si>
  <si>
    <t>a cluster, small, scattered stars</t>
  </si>
  <si>
    <t>Cl, S, sc st</t>
  </si>
  <si>
    <t>NGC306</t>
  </si>
  <si>
    <t>0h54m15.1s</t>
  </si>
  <si>
    <t>-72h14m33s</t>
  </si>
  <si>
    <t>NGC307</t>
  </si>
  <si>
    <t>0h56m32.5s</t>
  </si>
  <si>
    <t>-1h46m20s</t>
  </si>
  <si>
    <t>pretty faint, small, extended</t>
  </si>
  <si>
    <t>pF, S, E</t>
  </si>
  <si>
    <t>NGC308</t>
  </si>
  <si>
    <t>0h56m34.3s</t>
  </si>
  <si>
    <t>-1h47m1s</t>
  </si>
  <si>
    <t>very faint, extremely small, 1 arcmin southeast of h 77</t>
  </si>
  <si>
    <t>vF, eS, 1' sf h 77</t>
  </si>
  <si>
    <t>NGC309</t>
  </si>
  <si>
    <t>0h56m42.6s</t>
  </si>
  <si>
    <t>-9h54m51s</t>
  </si>
  <si>
    <t>pretty bright, pretty large, 12th or 13th magnitude star to north</t>
  </si>
  <si>
    <t>pB, pL, * 12·13 n</t>
  </si>
  <si>
    <t>NGC310</t>
  </si>
  <si>
    <t>0h56m47.9s</t>
  </si>
  <si>
    <t>-1h45m53s</t>
  </si>
  <si>
    <t>stellar</t>
  </si>
  <si>
    <t>Stellar</t>
  </si>
  <si>
    <t>NGC311</t>
  </si>
  <si>
    <t>0h57m32.8s</t>
  </si>
  <si>
    <t>+30h16m49s</t>
  </si>
  <si>
    <t>NGC312</t>
  </si>
  <si>
    <t>0h56m15.7s</t>
  </si>
  <si>
    <t>-52h46m59s</t>
  </si>
  <si>
    <t>faint, small, round, 12th magnitude star to east</t>
  </si>
  <si>
    <t>F, S, R, * 12 f</t>
  </si>
  <si>
    <t>NGC313</t>
  </si>
  <si>
    <t>0h57m45.7s</t>
  </si>
  <si>
    <t>+30h22m0s</t>
  </si>
  <si>
    <t>very faint, extremely small, 1 arcmin northwest of II 210</t>
  </si>
  <si>
    <t>vF, eS, 1' np II 210</t>
  </si>
  <si>
    <t>NGC314</t>
  </si>
  <si>
    <t>0h56m52.4s</t>
  </si>
  <si>
    <t>-31h57m47s</t>
  </si>
  <si>
    <t>extremely faint, very small, round, pretty bright star 2 arcmin to east</t>
  </si>
  <si>
    <t>eF, vS, R, pB * f 2'</t>
  </si>
  <si>
    <t>NGC315</t>
  </si>
  <si>
    <t>0h57m49s</t>
  </si>
  <si>
    <t>+30h21m7s</t>
  </si>
  <si>
    <t>pretty bright, pretty large, round, gradually brighter middle, 9th magnitude star 3 arcmin to northeast</t>
  </si>
  <si>
    <t>pB, pL, R, gbM, * 9 nf 3'</t>
  </si>
  <si>
    <t>NGC316</t>
  </si>
  <si>
    <t>0h57m52.4s</t>
  </si>
  <si>
    <t>+30h21m16s</t>
  </si>
  <si>
    <t>very faint, extremely small, stellar, 1 arcmin east of II 210</t>
  </si>
  <si>
    <t>vF, eS, stellar, 1' f II 210</t>
  </si>
  <si>
    <t>NGC317</t>
  </si>
  <si>
    <t>B</t>
  </si>
  <si>
    <t>0h57m40.5s</t>
  </si>
  <si>
    <t>+43h47m31s</t>
  </si>
  <si>
    <t>most extremely faint, pretty small, a little extended, double star close to east</t>
  </si>
  <si>
    <t>eeF, pS, lE, D * close f</t>
  </si>
  <si>
    <t>NGC318</t>
  </si>
  <si>
    <t>0h58m5.2s</t>
  </si>
  <si>
    <t>+30h25m34s</t>
  </si>
  <si>
    <t>NGC319</t>
  </si>
  <si>
    <t>0h56m57.6s</t>
  </si>
  <si>
    <t>-43h50m19s</t>
  </si>
  <si>
    <t>NGC320</t>
  </si>
  <si>
    <t>0h58m46.4s</t>
  </si>
  <si>
    <t>-20h50m25s</t>
  </si>
  <si>
    <t>very faint, pretty small, extended 160°, 10th magnitude star to north</t>
  </si>
  <si>
    <t>vF, pS, E 160°, * 10 n</t>
  </si>
  <si>
    <t>NGC321</t>
  </si>
  <si>
    <t>0h57m39.2s</t>
  </si>
  <si>
    <t>-5h5m9s</t>
  </si>
  <si>
    <t>NGC322</t>
  </si>
  <si>
    <t>0h57m10s</t>
  </si>
  <si>
    <t>-43h43m37s</t>
  </si>
  <si>
    <t>very faint, very small, round, a little brighter middle, 3 stars to west</t>
  </si>
  <si>
    <t>vF, vS, R, lbM, 3 st p</t>
  </si>
  <si>
    <t>NGC323</t>
  </si>
  <si>
    <t>0h56m41.7s</t>
  </si>
  <si>
    <t>-52h58m33s</t>
  </si>
  <si>
    <t>pretty faint, small, round, brighter middle, western of 2</t>
  </si>
  <si>
    <t>pF, S, R, bM, p of 2</t>
  </si>
  <si>
    <t>NGC324</t>
  </si>
  <si>
    <t>0h57m14.6s</t>
  </si>
  <si>
    <t>-40h57m34s</t>
  </si>
  <si>
    <t>questionable?, faint, small, stellar</t>
  </si>
  <si>
    <t>(?), F, S, stellar</t>
  </si>
  <si>
    <t>NGC325</t>
  </si>
  <si>
    <t>0h57m47.9s</t>
  </si>
  <si>
    <t>-5h6m45s</t>
  </si>
  <si>
    <t>NGC326</t>
  </si>
  <si>
    <t>0h58m22.6s</t>
  </si>
  <si>
    <t>+26h51m57s</t>
  </si>
  <si>
    <t>faint, a little extended, 9th or 10th magnitude star to southeast</t>
  </si>
  <si>
    <t>F, lE, * 9·10 sf</t>
  </si>
  <si>
    <t>NGC327</t>
  </si>
  <si>
    <t>0h57m55.2s</t>
  </si>
  <si>
    <t>-5h7m51s</t>
  </si>
  <si>
    <t>faint, small, extended</t>
  </si>
  <si>
    <t>F, S, E</t>
  </si>
  <si>
    <t>NGC328</t>
  </si>
  <si>
    <t>0h56m57.3s</t>
  </si>
  <si>
    <t>-52h55m25s</t>
  </si>
  <si>
    <t>very faint, a little extended, very gradually brighter middle, eastern of 2</t>
  </si>
  <si>
    <t>vF, lE, vgbM, f of 2</t>
  </si>
  <si>
    <t>NGC329</t>
  </si>
  <si>
    <t>0h58m1.4s</t>
  </si>
  <si>
    <t>-5h4m14s</t>
  </si>
  <si>
    <t>faint, extended</t>
  </si>
  <si>
    <t>F, E</t>
  </si>
  <si>
    <t>NGC330</t>
  </si>
  <si>
    <t>0h56m19.8s</t>
  </si>
  <si>
    <t>-72h27m44s</t>
  </si>
  <si>
    <t>a globular cluster, very bright, small, a little extended, stars from 13th to 15th magnitude</t>
  </si>
  <si>
    <t>globular, vB, S, lE, st 13…15</t>
  </si>
  <si>
    <t>NGC331</t>
  </si>
  <si>
    <t>0h47m6.7s</t>
  </si>
  <si>
    <t>-2h43m52s</t>
  </si>
  <si>
    <t>extremely faint, very small, round, a little brighter middle, 12th magnitude star 3 arcmin northeast</t>
  </si>
  <si>
    <t>eF, vS, R, lbM, * 12 nf 3'</t>
  </si>
  <si>
    <t>NGC332</t>
  </si>
  <si>
    <t>0h58m49s</t>
  </si>
  <si>
    <t>+7h6m40s</t>
  </si>
  <si>
    <t>very faint, small, round, several stars near to south</t>
  </si>
  <si>
    <t>vF, S, R, sev st nr s</t>
  </si>
  <si>
    <t>NGC333</t>
  </si>
  <si>
    <t>0h58m51.3s</t>
  </si>
  <si>
    <t>-16h28m8s</t>
  </si>
  <si>
    <t>no description</t>
  </si>
  <si>
    <t>No description</t>
  </si>
  <si>
    <t>NGC334</t>
  </si>
  <si>
    <t>0h58m49.8s</t>
  </si>
  <si>
    <t>-35h6m56s</t>
  </si>
  <si>
    <t>very faint, small, round, gradually a little brighter middle, 2 stars of 11th magnitude to south</t>
  </si>
  <si>
    <t>vF, S, R, glbM, 2 st 11 s</t>
  </si>
  <si>
    <t>NGC335</t>
  </si>
  <si>
    <t>0h59m19.6s</t>
  </si>
  <si>
    <t>-18h14m3s</t>
  </si>
  <si>
    <t>very faint, pretty small, extended, brighter middle</t>
  </si>
  <si>
    <t>vF, pS, E, bM</t>
  </si>
  <si>
    <t>NGC336</t>
  </si>
  <si>
    <t>0h58m3s</t>
  </si>
  <si>
    <t>-18h23m9s</t>
  </si>
  <si>
    <t>very faint, very small, round, suddenly brighter middle</t>
  </si>
  <si>
    <t>vF, vS, R, sbM</t>
  </si>
  <si>
    <t>NGC337</t>
  </si>
  <si>
    <t>0h59m49.9s</t>
  </si>
  <si>
    <t>-7h34m41s</t>
  </si>
  <si>
    <t>pretty faint, large, extended, gradually a little brighter middle, 10th magnitude star 21 seconds of time to the east</t>
  </si>
  <si>
    <t>pF, L, E, glbM, * 10 f 21s</t>
  </si>
  <si>
    <t>NGC338</t>
  </si>
  <si>
    <t>1h0m36.5s</t>
  </si>
  <si>
    <t>+30h40m9s</t>
  </si>
  <si>
    <t>very faint, very small, irregular figure, brighter middle</t>
  </si>
  <si>
    <t>vF, vS, iF, bM</t>
  </si>
  <si>
    <t>NGC339</t>
  </si>
  <si>
    <t>0h57m45s</t>
  </si>
  <si>
    <t>-74h28m20s</t>
  </si>
  <si>
    <t>faint, large, round, very gradually brighter middle</t>
  </si>
  <si>
    <t>F, L, R, vgbM</t>
  </si>
  <si>
    <t>NGC340</t>
  </si>
  <si>
    <t>1h0m34.8s</t>
  </si>
  <si>
    <t>-6h51m58s</t>
  </si>
  <si>
    <t>NGC341</t>
  </si>
  <si>
    <t>1h0m45.8s</t>
  </si>
  <si>
    <t>-9h11m10s</t>
  </si>
  <si>
    <t>faint, pretty large, round, a little brighter middle, mottled but not resolved</t>
  </si>
  <si>
    <t>F, pL, R, lbM, r</t>
  </si>
  <si>
    <t>NGC342</t>
  </si>
  <si>
    <t>1h0m49.8s</t>
  </si>
  <si>
    <t>-6h46m20s</t>
  </si>
  <si>
    <t>NGC343</t>
  </si>
  <si>
    <t>0h58m23.9s</t>
  </si>
  <si>
    <t>-23h13m28s</t>
  </si>
  <si>
    <t>extremely faint, very small, irregularly round, suddenly brighter middle and nucleus (perhaps a star?)</t>
  </si>
  <si>
    <t>eF, vS, iR, sbMN (? *)</t>
  </si>
  <si>
    <t>NGC344</t>
  </si>
  <si>
    <t>0h58m25.4s</t>
  </si>
  <si>
    <t>-23h13m44s</t>
  </si>
  <si>
    <t>NGC345</t>
  </si>
  <si>
    <t>1h1m22s</t>
  </si>
  <si>
    <t>-6h53m3s</t>
  </si>
  <si>
    <t>very faint, very small, gradually brighter middle</t>
  </si>
  <si>
    <t>vF, vS, gbM</t>
  </si>
  <si>
    <t>NGC346</t>
  </si>
  <si>
    <t>EN+OCL</t>
  </si>
  <si>
    <t>0h59m5s</t>
  </si>
  <si>
    <t>-72h10m38s</t>
  </si>
  <si>
    <t>bright, large, very irregular figure, much brighter middle similar to double star, mottled but not resolved</t>
  </si>
  <si>
    <t>B, L, viF, mbMD *, r</t>
  </si>
  <si>
    <t>NGC347</t>
  </si>
  <si>
    <t>1h1m35.1s</t>
  </si>
  <si>
    <t>-6h44m1s</t>
  </si>
  <si>
    <t>NGC348</t>
  </si>
  <si>
    <t>1h0m51.8s</t>
  </si>
  <si>
    <t>-53h14m42s</t>
  </si>
  <si>
    <t>NGC349</t>
  </si>
  <si>
    <t>1h1m50.7s</t>
  </si>
  <si>
    <t>-6h47m59s</t>
  </si>
  <si>
    <t>NGC350</t>
  </si>
  <si>
    <t>1h1m56.6s</t>
  </si>
  <si>
    <t>-6h47m43s</t>
  </si>
  <si>
    <t>NGC351</t>
  </si>
  <si>
    <t>1h1m57.8s</t>
  </si>
  <si>
    <t>-1h56m11s</t>
  </si>
  <si>
    <t>extremely faint, pretty small, northwestern of 2</t>
  </si>
  <si>
    <t>eF, pS, np of 2</t>
  </si>
  <si>
    <t>NGC352</t>
  </si>
  <si>
    <t>1h2m9.1s</t>
  </si>
  <si>
    <t>-4h14m43s</t>
  </si>
  <si>
    <t>pretty faint, small, irregularly extended, 8th magnitude star 97 seconds of time to east</t>
  </si>
  <si>
    <t>pF, S, iE, * 8 f 97s</t>
  </si>
  <si>
    <t>NGC353</t>
  </si>
  <si>
    <t>1h2m24.6s</t>
  </si>
  <si>
    <t>-1h57m25s</t>
  </si>
  <si>
    <t>extremely faint, pretty small, round, southeastern of 2</t>
  </si>
  <si>
    <t>eF, pS, R, sf of 2</t>
  </si>
  <si>
    <t>NGC354</t>
  </si>
  <si>
    <t>1h3m16.3s</t>
  </si>
  <si>
    <t>+22h20m34s</t>
  </si>
  <si>
    <t>very faint, very small, round, very small (faint) star involved, 14th magnitude star close to west</t>
  </si>
  <si>
    <t>vF, vS, R, vS * inv, * 14 close p</t>
  </si>
  <si>
    <t>NGC355</t>
  </si>
  <si>
    <t>1h3m6.9s</t>
  </si>
  <si>
    <t>-6h19m25s</t>
  </si>
  <si>
    <t>NGC356</t>
  </si>
  <si>
    <t>1h3m7s</t>
  </si>
  <si>
    <t>-6h59m17s</t>
  </si>
  <si>
    <t>very faint, small, irregularly round</t>
  </si>
  <si>
    <t>vF, S, iR</t>
  </si>
  <si>
    <t>NGC357</t>
  </si>
  <si>
    <t>1h3m21.8s</t>
  </si>
  <si>
    <t>-6h20m21s</t>
  </si>
  <si>
    <t>faint, small, irregularly round, suddenly brighter middle, 14th magnitude star 20 arcsec to northeast</t>
  </si>
  <si>
    <t>F, S, iR, sbM, * 14 nf 20"</t>
  </si>
  <si>
    <t>NGC358</t>
  </si>
  <si>
    <t>*3</t>
  </si>
  <si>
    <t>1h5m10.8s</t>
  </si>
  <si>
    <t>+62h1m16s</t>
  </si>
  <si>
    <t>a cluster, very little rich</t>
  </si>
  <si>
    <t>Cl, vl Ri</t>
  </si>
  <si>
    <t>NGC359</t>
  </si>
  <si>
    <t>1h4m16.9s</t>
  </si>
  <si>
    <t>-0h45m52s</t>
  </si>
  <si>
    <t>NGC360</t>
  </si>
  <si>
    <t>1h2m51.5s</t>
  </si>
  <si>
    <t>-65h36m32s</t>
  </si>
  <si>
    <t>extremely faint, very much extended 145°, a very little brighter middle</t>
  </si>
  <si>
    <t>eF, vmE 145°, vlbM</t>
  </si>
  <si>
    <t>NGC361</t>
  </si>
  <si>
    <t>OCL+EN</t>
  </si>
  <si>
    <t>1h2m11.1s</t>
  </si>
  <si>
    <t>-71h36m24s</t>
  </si>
  <si>
    <t>very very faint, pretty large, very little extended, very gradually brighter middle</t>
  </si>
  <si>
    <t>vvF, pL, vlE, vgbM</t>
  </si>
  <si>
    <t>NGC362</t>
  </si>
  <si>
    <t>1h3m14.3s</t>
  </si>
  <si>
    <t>-70h50m52s</t>
  </si>
  <si>
    <t>a globular cluster, very bright, very large, very compressed, very much brighter middle, stars from 13th to 14th magnitude</t>
  </si>
  <si>
    <t>globular, vB, vL, vC, vmbM, st 13-14</t>
  </si>
  <si>
    <t>NGC363</t>
  </si>
  <si>
    <t>1h6m15.7s</t>
  </si>
  <si>
    <t>-16h32m32s</t>
  </si>
  <si>
    <t>extremely faint, extremely small, round</t>
  </si>
  <si>
    <t>eF, eS, R</t>
  </si>
  <si>
    <t>NGC364</t>
  </si>
  <si>
    <t>1h4m40.8s</t>
  </si>
  <si>
    <t>-0h48m10s</t>
  </si>
  <si>
    <t>NGC365</t>
  </si>
  <si>
    <t>1h4m18.6s</t>
  </si>
  <si>
    <t>-35h7m20s</t>
  </si>
  <si>
    <t>faint, small, round, gradually a little brighter middle</t>
  </si>
  <si>
    <t>F, S, R, glbM</t>
  </si>
  <si>
    <t>NGC366</t>
  </si>
  <si>
    <t>II3p</t>
  </si>
  <si>
    <t>1h6m25.9s</t>
  </si>
  <si>
    <t>+62h13m44s</t>
  </si>
  <si>
    <t>a cluster, small</t>
  </si>
  <si>
    <t>Cl, S</t>
  </si>
  <si>
    <t>NGC367</t>
  </si>
  <si>
    <t>1h5m48.9s</t>
  </si>
  <si>
    <t>-12h7m42s</t>
  </si>
  <si>
    <t>extremely faint, pretty small, extended 175°, brighter on the north side, 3 stars of 12th magnitude to northwest</t>
  </si>
  <si>
    <t>eF, pS, E 175°, bn, 3 st 12 np</t>
  </si>
  <si>
    <t>NGC368</t>
  </si>
  <si>
    <t>1h4m21.9s</t>
  </si>
  <si>
    <t>-43h16m34s</t>
  </si>
  <si>
    <t>extremely faint, very small, 7th or 8th magnitude star 3 arcmin to southwest</t>
  </si>
  <si>
    <t>eF, vS, * 7·8 sp 3'</t>
  </si>
  <si>
    <t>NGC369</t>
  </si>
  <si>
    <t>1h5m8.8s</t>
  </si>
  <si>
    <t>-17h45m33s</t>
  </si>
  <si>
    <t>very faint, very small, round, gradually brighter middle</t>
  </si>
  <si>
    <t>vF, vS, R, gbM</t>
  </si>
  <si>
    <t>NGC370</t>
  </si>
  <si>
    <t>1h6m44.6s</t>
  </si>
  <si>
    <t>+32h25m45s</t>
  </si>
  <si>
    <t>very faint, 13th magnitude star 15 arcsec to south, diffuse</t>
  </si>
  <si>
    <t>vF, * 13 s 15", dif</t>
  </si>
  <si>
    <t>NGC371</t>
  </si>
  <si>
    <t>1h3m26s</t>
  </si>
  <si>
    <t>-72h3m54s</t>
  </si>
  <si>
    <t>a cluster, faint, large, round, pretty compressed, stars from 14th to 16th magnitude</t>
  </si>
  <si>
    <t>Cl, F, L, R, pC, st 14…16</t>
  </si>
  <si>
    <t>NGC372</t>
  </si>
  <si>
    <t>Stellar, mbM, r</t>
  </si>
  <si>
    <t>NGC373</t>
  </si>
  <si>
    <t>1h6m58.3s</t>
  </si>
  <si>
    <t>+32h18m32s</t>
  </si>
  <si>
    <t>NGC374</t>
  </si>
  <si>
    <t>1h7m5.8s</t>
  </si>
  <si>
    <t>+32h47m41s</t>
  </si>
  <si>
    <t>faint, small, between two 15th magnitude stars</t>
  </si>
  <si>
    <t>F, S, bet 2 st 15</t>
  </si>
  <si>
    <t>NGC375</t>
  </si>
  <si>
    <t>双鱼座云</t>
  </si>
  <si>
    <t>+32h20m55s</t>
  </si>
  <si>
    <t>NGC376</t>
  </si>
  <si>
    <t>1h3m53.4s</t>
  </si>
  <si>
    <t>-72h49m26s</t>
  </si>
  <si>
    <t>a globular cluster, bright, small, round</t>
  </si>
  <si>
    <t>globular, B, S, R</t>
  </si>
  <si>
    <t>NGC377</t>
  </si>
  <si>
    <t>1h6m35.1s</t>
  </si>
  <si>
    <t>-20h19m53s</t>
  </si>
  <si>
    <t>very faint, very small, much extended, suddenly brighter middle and nucleus</t>
  </si>
  <si>
    <t>vF, vS, mE, sbMN</t>
  </si>
  <si>
    <t>NGC378</t>
  </si>
  <si>
    <t>1h6m12s</t>
  </si>
  <si>
    <t>-30h10m41s</t>
  </si>
  <si>
    <t>NGC379</t>
  </si>
  <si>
    <t>1h7m15.7s</t>
  </si>
  <si>
    <t>+32h31m13s</t>
  </si>
  <si>
    <t>pF, S, R, bM</t>
  </si>
  <si>
    <t>NGC380</t>
  </si>
  <si>
    <t>1h7m17.6s</t>
  </si>
  <si>
    <t>+32h28m58s</t>
  </si>
  <si>
    <t>NGC381</t>
  </si>
  <si>
    <t>1h8m20s</t>
  </si>
  <si>
    <t>+61h35m0s</t>
  </si>
  <si>
    <t>a cluster, pretty compressed</t>
  </si>
  <si>
    <t>Cl, pC</t>
  </si>
  <si>
    <t>NGC382</t>
  </si>
  <si>
    <t>1h7m23.9s</t>
  </si>
  <si>
    <t>+32h24m12s</t>
  </si>
  <si>
    <t>very faint, small, round, southwestern of double nebula</t>
  </si>
  <si>
    <t>vF, S, R, sp of D neb</t>
  </si>
  <si>
    <t>NGC383</t>
  </si>
  <si>
    <t>NGC 383星系群</t>
  </si>
  <si>
    <t>1h7m24.9s</t>
  </si>
  <si>
    <t>+32h24m44s</t>
  </si>
  <si>
    <t>pretty faint, pretty large, round, gradually brighter middle, northeastern of double nebula</t>
  </si>
  <si>
    <t>pF, pL, R, gbM, nf of D neb</t>
  </si>
  <si>
    <t>NGC384</t>
  </si>
  <si>
    <t>1h7m25s</t>
  </si>
  <si>
    <t>+32h17m34s</t>
  </si>
  <si>
    <t>pretty faint, pretty small, southwestern of 2</t>
  </si>
  <si>
    <t>pF, pS, sp of 2</t>
  </si>
  <si>
    <t>NGC385</t>
  </si>
  <si>
    <t>1h7m27.2s</t>
  </si>
  <si>
    <t>+32h19m10s</t>
  </si>
  <si>
    <t>pretty faint, pretty small, round, northeastern of 2</t>
  </si>
  <si>
    <t>pF, pS, R, nf of 2</t>
  </si>
  <si>
    <t>NGC386</t>
  </si>
  <si>
    <t>1h7m31.2s</t>
  </si>
  <si>
    <t>+32h21m45s</t>
  </si>
  <si>
    <t>considerably faint, small, round</t>
  </si>
  <si>
    <t>cF, S, R</t>
  </si>
  <si>
    <t>NGC387</t>
  </si>
  <si>
    <t>1h7m33s</t>
  </si>
  <si>
    <t>+32h23m27s</t>
  </si>
  <si>
    <t>NGC388</t>
  </si>
  <si>
    <t>1h7m47.1s</t>
  </si>
  <si>
    <t>+32h18m38s</t>
  </si>
  <si>
    <t>NGC389</t>
  </si>
  <si>
    <t>1h8m29.8s</t>
  </si>
  <si>
    <t>+39h41m42s</t>
  </si>
  <si>
    <t>extremely faint, extremely small, round, star near</t>
  </si>
  <si>
    <t>eF, eS, R, * nr</t>
  </si>
  <si>
    <t>NGC390</t>
  </si>
  <si>
    <t>1h7m53.7s</t>
  </si>
  <si>
    <t>+32h26m1s</t>
  </si>
  <si>
    <t>very faint, very small, stellar</t>
  </si>
  <si>
    <t>vF, vS, stellar</t>
  </si>
  <si>
    <t>NGC391</t>
  </si>
  <si>
    <t>1h7m22.5s</t>
  </si>
  <si>
    <t>+0h55m33s</t>
  </si>
  <si>
    <t>faint, small, mottled but not resolved (Auwers 9)</t>
  </si>
  <si>
    <t>F, S, r (Auw. 9)</t>
  </si>
  <si>
    <t>NGC392</t>
  </si>
  <si>
    <t>1h8m23.3s</t>
  </si>
  <si>
    <t>+33h8m0s</t>
  </si>
  <si>
    <t>faint, very small, round, much brighter middle, between 2 stars</t>
  </si>
  <si>
    <t>F, vS, R, mbM, bet 2 st</t>
  </si>
  <si>
    <t>NGC393</t>
  </si>
  <si>
    <t>1h8m36.9s</t>
  </si>
  <si>
    <t>+39h38m38s</t>
  </si>
  <si>
    <t>faint, very small, very little extended, gradually brighter middle, four small (faint) stars near</t>
  </si>
  <si>
    <t>F, vS, vlE, gbM, 4 S st nr</t>
  </si>
  <si>
    <t>NGC394</t>
  </si>
  <si>
    <t>1h8m26.1s</t>
  </si>
  <si>
    <t>+33h8m52s</t>
  </si>
  <si>
    <t>faint, small, 50 arcsec northeast of II 218</t>
  </si>
  <si>
    <t>F, S, 50" nf II 218</t>
  </si>
  <si>
    <t>NGC395</t>
  </si>
  <si>
    <t>1h5m7.3s</t>
  </si>
  <si>
    <t>-71h59m39s</t>
  </si>
  <si>
    <t>very faint, pretty large, round, gradually a little brighter middle</t>
  </si>
  <si>
    <t>vF, pL, R, glbM</t>
  </si>
  <si>
    <t>NGC396</t>
  </si>
  <si>
    <t>1h8m8.5s</t>
  </si>
  <si>
    <t>+4h31m51s</t>
  </si>
  <si>
    <t>NGC397</t>
  </si>
  <si>
    <t>1h8m31s</t>
  </si>
  <si>
    <t>+33h6m35s</t>
  </si>
  <si>
    <t>extremely faint, small, round, very faint star to west</t>
  </si>
  <si>
    <t>eF, S, R, vF * p</t>
  </si>
  <si>
    <t>NGC398</t>
  </si>
  <si>
    <t>1h8m53.6s</t>
  </si>
  <si>
    <t>+32h30m54s</t>
  </si>
  <si>
    <t>NGC399</t>
  </si>
  <si>
    <t>1h8m59.1s</t>
  </si>
  <si>
    <t>+32h38m1s</t>
  </si>
  <si>
    <t>NGC400</t>
  </si>
  <si>
    <t>1h9m2.5s</t>
  </si>
  <si>
    <t>+32h43m59s</t>
  </si>
  <si>
    <t>extremely faint, very small, GC 217 to east</t>
  </si>
  <si>
    <t>eF, vS, GC 217 f</t>
  </si>
  <si>
    <t>NGC401</t>
  </si>
  <si>
    <t>1h9m7.7s</t>
  </si>
  <si>
    <t>+32h45m36s</t>
  </si>
  <si>
    <t>extremely faint, stellar, 217 to east</t>
  </si>
  <si>
    <t>eF, stellar, 217 f</t>
  </si>
  <si>
    <t>NGC402</t>
  </si>
  <si>
    <t>1h9m13.4s</t>
  </si>
  <si>
    <t>+32h48m21s</t>
  </si>
  <si>
    <t>extremely faint, very small, round, 217 three arcmin to south</t>
  </si>
  <si>
    <t>eF, vS, R, 217 s 3'</t>
  </si>
  <si>
    <t>NGC403</t>
  </si>
  <si>
    <t>1h9m14.2s</t>
  </si>
  <si>
    <t>+32h45m6s</t>
  </si>
  <si>
    <t>very faint, pretty small, considerably extended, 11th magnitude star 85 arcsec to south</t>
  </si>
  <si>
    <t>vF, pS, cE, * 11 s 85"</t>
  </si>
  <si>
    <t>NGC404</t>
  </si>
  <si>
    <t>奎宿九之魂</t>
  </si>
  <si>
    <t>1h9m26.9s</t>
  </si>
  <si>
    <t>+35h43m6s</t>
  </si>
  <si>
    <t>pretty bright, considerably large, round, gradually brighter middle, β Andromedae to southeast</t>
  </si>
  <si>
    <t>pB, cL, R, gbM, β Andr. sf</t>
  </si>
  <si>
    <t>NGC405</t>
  </si>
  <si>
    <t>1h8m33.6s</t>
  </si>
  <si>
    <t>-46h40m6s</t>
  </si>
  <si>
    <t>extremely small, stellar, = 7th magnitude star</t>
  </si>
  <si>
    <t>eS, stellar, = * 7m</t>
  </si>
  <si>
    <t>NGC406</t>
  </si>
  <si>
    <t>1h7m24.4s</t>
  </si>
  <si>
    <t>-69h52m34s</t>
  </si>
  <si>
    <t>faint, very large, round, very gradually a little brighter middle</t>
  </si>
  <si>
    <t>F, vL, R, vglbM</t>
  </si>
  <si>
    <t>NGC407</t>
  </si>
  <si>
    <t>1h10m36.5s</t>
  </si>
  <si>
    <t>+33h7m31s</t>
  </si>
  <si>
    <t>very faint, very small, southwestern of 2</t>
  </si>
  <si>
    <t>vF, vS, sp of 2</t>
  </si>
  <si>
    <t>NGC408</t>
  </si>
  <si>
    <t>1h10m51s</t>
  </si>
  <si>
    <t>+33h9m8s</t>
  </si>
  <si>
    <t>very faint, very small, (WH) II 220 eight seconds of time to east</t>
  </si>
  <si>
    <t>vF, vS, II 220 f 8s</t>
  </si>
  <si>
    <t>NGC409</t>
  </si>
  <si>
    <t>1h9m33.2s</t>
  </si>
  <si>
    <t>-35h48m20s</t>
  </si>
  <si>
    <t>extremely faint, small, round, very small (faint) star near</t>
  </si>
  <si>
    <t>eF, S, R, vS * nr</t>
  </si>
  <si>
    <t>NGC410</t>
  </si>
  <si>
    <t>cD</t>
  </si>
  <si>
    <t>1h10m58.8s</t>
  </si>
  <si>
    <t>+33h9m9s</t>
  </si>
  <si>
    <t>pretty bright, pretty large, northeastern of 2</t>
  </si>
  <si>
    <t>pB, pL, nf of 2</t>
  </si>
  <si>
    <t>NGC411</t>
  </si>
  <si>
    <t>1h7m55.7s</t>
  </si>
  <si>
    <t>-71h46m7s</t>
  </si>
  <si>
    <t>NGC412</t>
  </si>
  <si>
    <t>1h10m20s</t>
  </si>
  <si>
    <t>-20h0m54s</t>
  </si>
  <si>
    <t>very faint, extremely small, round, suddenly brighter middle and nucleus (nebulous?)</t>
  </si>
  <si>
    <t>vF, eS, R, sbMN (Neb?)</t>
  </si>
  <si>
    <t>NGC413</t>
  </si>
  <si>
    <t>1h12m31.3s</t>
  </si>
  <si>
    <t>-2h47m36s</t>
  </si>
  <si>
    <t>extremely faint, pretty small, very little extended</t>
  </si>
  <si>
    <t>eF, pS, vlE</t>
  </si>
  <si>
    <t>NGC414</t>
  </si>
  <si>
    <t>1h11m17.6s</t>
  </si>
  <si>
    <t>+33h6m49s</t>
  </si>
  <si>
    <t>very faint, small, irregularly round, much brighter middle, II 220 to northwest</t>
  </si>
  <si>
    <t>vF, S, iR, mbM, II 220 np</t>
  </si>
  <si>
    <t>NGC415</t>
  </si>
  <si>
    <t>1h10m5.5s</t>
  </si>
  <si>
    <t>-35h29m25s</t>
  </si>
  <si>
    <t>very faint, small, round, gradually a little brighter middle</t>
  </si>
  <si>
    <t>vF, S, R, glbM</t>
  </si>
  <si>
    <t>NGC416</t>
  </si>
  <si>
    <t>1h7m58.5s</t>
  </si>
  <si>
    <t>-72h21m25s</t>
  </si>
  <si>
    <t>NGC417</t>
  </si>
  <si>
    <t>1h11m5.5s</t>
  </si>
  <si>
    <t>-18h8m55s</t>
  </si>
  <si>
    <t>NGC418</t>
  </si>
  <si>
    <t>1h10m35.6s</t>
  </si>
  <si>
    <t>-30h13m16s</t>
  </si>
  <si>
    <t>faint, pretty large, round, very gradually a little brighter middle, western of 2</t>
  </si>
  <si>
    <t>F, pL, R, vglbM, p of 2</t>
  </si>
  <si>
    <t>NGC419</t>
  </si>
  <si>
    <t>1h8m17.2s</t>
  </si>
  <si>
    <t>-72h53m0s</t>
  </si>
  <si>
    <t>pretty bright, pretty large, round, gradually brighter middle</t>
  </si>
  <si>
    <t>pB, pL, R, gbM</t>
  </si>
  <si>
    <t>NGC420</t>
  </si>
  <si>
    <t>1h12m14.4s</t>
  </si>
  <si>
    <t>+32h7m25s</t>
  </si>
  <si>
    <t>faint, pretty small, round, brighter middle</t>
  </si>
  <si>
    <t>eF, vS (only seen by H)</t>
  </si>
  <si>
    <t>NGC421</t>
  </si>
  <si>
    <t>1h12m9.6s</t>
  </si>
  <si>
    <t>+32h7m23s</t>
  </si>
  <si>
    <t>extremely faint, very small (only seen by H)</t>
  </si>
  <si>
    <t>F, pS, R, bM</t>
  </si>
  <si>
    <t>NGC422</t>
  </si>
  <si>
    <t>1h9m25.4s</t>
  </si>
  <si>
    <t>-71h46m0s</t>
  </si>
  <si>
    <t>vF (in Nubec. minor)</t>
  </si>
  <si>
    <t>NGC423</t>
  </si>
  <si>
    <t>1h11m22.1s</t>
  </si>
  <si>
    <t>-29h14m4s</t>
  </si>
  <si>
    <t>extremely faint, small, extended, gradually a little brighter middle, eastern of 2</t>
  </si>
  <si>
    <t>eF, S, E, glbM, f of 2</t>
  </si>
  <si>
    <t>NGC424</t>
  </si>
  <si>
    <t>1h11m27.6s</t>
  </si>
  <si>
    <t>-38h5m1s</t>
  </si>
  <si>
    <t>NGC425</t>
  </si>
  <si>
    <t>1h13m2.7s</t>
  </si>
  <si>
    <t>+38h46m9s</t>
  </si>
  <si>
    <t>very faint, very small, round, a little brighter middle, 11th magnitude star attached</t>
  </si>
  <si>
    <t>vF, vS, R, lbM, * 11 att</t>
  </si>
  <si>
    <t>NGC426</t>
  </si>
  <si>
    <t>1h12m48.5s</t>
  </si>
  <si>
    <t>-0h17m23s</t>
  </si>
  <si>
    <t>Vf, vS, R</t>
  </si>
  <si>
    <t>NGC427</t>
  </si>
  <si>
    <t>1h12m19.2s</t>
  </si>
  <si>
    <t>-32h3m40s</t>
  </si>
  <si>
    <t>3 very small (faint) stars with nebulosity (?)</t>
  </si>
  <si>
    <t>3 vS st with neby (?)</t>
  </si>
  <si>
    <t>NGC428</t>
  </si>
  <si>
    <t>1h12m55.6s</t>
  </si>
  <si>
    <t>+0h58m53s</t>
  </si>
  <si>
    <t>faint, large, round, brighter middle, extremely mottled but not resolved</t>
  </si>
  <si>
    <t>F, L, R, bM, er</t>
  </si>
  <si>
    <t>NGC429</t>
  </si>
  <si>
    <t>1h12m57.4s</t>
  </si>
  <si>
    <t>-0h20m42s</t>
  </si>
  <si>
    <t>NGC430</t>
  </si>
  <si>
    <t>1h12m59.9s</t>
  </si>
  <si>
    <t>-0h15m9s</t>
  </si>
  <si>
    <t>faint, very small, round, very suddenly brighter middle like a star</t>
  </si>
  <si>
    <t>F, vS, R, vsbM *</t>
  </si>
  <si>
    <t>NGC431</t>
  </si>
  <si>
    <t>1h14m4.6s</t>
  </si>
  <si>
    <t>+33h42m19s</t>
  </si>
  <si>
    <t>faint, small, very suddenly brighter middle</t>
  </si>
  <si>
    <t>F, S, vsbM</t>
  </si>
  <si>
    <t>NGC432</t>
  </si>
  <si>
    <t>1h11m46.3s</t>
  </si>
  <si>
    <t>-61h31m39s</t>
  </si>
  <si>
    <t>faint, small, round, gradually brighter middle, 12th magnitude star to east</t>
  </si>
  <si>
    <t>F, S, R, gbM, * 12 f</t>
  </si>
  <si>
    <t>NGC433</t>
  </si>
  <si>
    <t>1h15m9.2s</t>
  </si>
  <si>
    <t>+60h7m33s</t>
  </si>
  <si>
    <t>a cluster, small, a little compressed</t>
  </si>
  <si>
    <t>Cl, S, lC</t>
  </si>
  <si>
    <t>NGC434</t>
  </si>
  <si>
    <t>1h12m14.3s</t>
  </si>
  <si>
    <t>-58h14m50s</t>
  </si>
  <si>
    <t>bright, small, round, pretty suddenly brighter middle</t>
  </si>
  <si>
    <t>B, S, R, psbM</t>
  </si>
  <si>
    <t>NGC435</t>
  </si>
  <si>
    <t>1h13m59.8s</t>
  </si>
  <si>
    <t>+2h4m16s</t>
  </si>
  <si>
    <t>NGC436</t>
  </si>
  <si>
    <t>I3m</t>
  </si>
  <si>
    <t>1h15m58s</t>
  </si>
  <si>
    <t>+58h48m42s</t>
  </si>
  <si>
    <t>a cluster, small, irregular figure, pretty compressed</t>
  </si>
  <si>
    <t>Cl, S, iF, pC</t>
  </si>
  <si>
    <t>NGC437</t>
  </si>
  <si>
    <t>1h14m22.3s</t>
  </si>
  <si>
    <t>+5h55m35s</t>
  </si>
  <si>
    <t>pretty faint, very small, round, faint star to northwest</t>
  </si>
  <si>
    <t>pF, vS, R, F * np</t>
  </si>
  <si>
    <t>NGC438</t>
  </si>
  <si>
    <t>1h13m34.3s</t>
  </si>
  <si>
    <t>-37h54m5s</t>
  </si>
  <si>
    <t>pretty faint, small, round, gradually a little brighter middle</t>
  </si>
  <si>
    <t>pF, S, R, glbM</t>
  </si>
  <si>
    <t>NGC439</t>
  </si>
  <si>
    <t>1h13m47.2s</t>
  </si>
  <si>
    <t>-31h44m50s</t>
  </si>
  <si>
    <t>pretty bright, small, round, gradually brighter middle</t>
  </si>
  <si>
    <t>pB, S, R, gbM</t>
  </si>
  <si>
    <t>NGC440</t>
  </si>
  <si>
    <t>1h12m48.4s</t>
  </si>
  <si>
    <t>-58h16m58s</t>
  </si>
  <si>
    <t>faint, very small, round</t>
  </si>
  <si>
    <t>F, vS, R</t>
  </si>
  <si>
    <t>NGC441</t>
  </si>
  <si>
    <t>1h13m51.1s</t>
  </si>
  <si>
    <t>-31h47m20s</t>
  </si>
  <si>
    <t>pretty faint, small, round, gradually brighter middle</t>
  </si>
  <si>
    <t>pF, S, R, gbM</t>
  </si>
  <si>
    <t>NGC442</t>
  </si>
  <si>
    <t>1h14m38.6s</t>
  </si>
  <si>
    <t>-1h1m14s</t>
  </si>
  <si>
    <t>very faint, small, round, bright star to southeast</t>
  </si>
  <si>
    <t>vF, S, R, B * sf</t>
  </si>
  <si>
    <t>NGC443</t>
  </si>
  <si>
    <t>1h15m7.5s</t>
  </si>
  <si>
    <t>+33h22m40s</t>
  </si>
  <si>
    <t>faint, small, round, 15th magnitude star 8 seconds of time to west on parallel</t>
  </si>
  <si>
    <t>F, S, R, * 15 p 8s on par.</t>
  </si>
  <si>
    <t>NGC444</t>
  </si>
  <si>
    <t>1h15m49.6s</t>
  </si>
  <si>
    <t>+31h4m50s</t>
  </si>
  <si>
    <t>very faint, much extended 135°, a little brighter middle</t>
  </si>
  <si>
    <t>vF, mE 135°, lbM</t>
  </si>
  <si>
    <t>NGC445</t>
  </si>
  <si>
    <t>1h14m52.6s</t>
  </si>
  <si>
    <t>+1h55m3s</t>
  </si>
  <si>
    <t>NGC446</t>
  </si>
  <si>
    <t>1h16m3.7s</t>
  </si>
  <si>
    <t>+4h17m40s</t>
  </si>
  <si>
    <t>F, vS, stellar</t>
  </si>
  <si>
    <t>NGC447</t>
  </si>
  <si>
    <t>1h15m37.9s</t>
  </si>
  <si>
    <t>+33h3m59s</t>
  </si>
  <si>
    <t>faint, pretty large, brighter middle, 11th magnitude star to northeast</t>
  </si>
  <si>
    <t>F, pL, bM, * 11 nf</t>
  </si>
  <si>
    <t>NGC448</t>
  </si>
  <si>
    <t>1h15m16.5s</t>
  </si>
  <si>
    <t>-1h37m31s</t>
  </si>
  <si>
    <t>pretty bright, very small, a little extended</t>
  </si>
  <si>
    <t>pB, vS, lE</t>
  </si>
  <si>
    <t>NGC449</t>
  </si>
  <si>
    <t>1h16m7.5s</t>
  </si>
  <si>
    <t>+33h5m20s</t>
  </si>
  <si>
    <t>very faint, very small, round, a very little brighter middle, very faint star involved</t>
  </si>
  <si>
    <t>vF, vS, R, vlbM, vF st inv</t>
  </si>
  <si>
    <t>NGC450</t>
  </si>
  <si>
    <t>1h15m30.4s</t>
  </si>
  <si>
    <t>-0h51m41s</t>
  </si>
  <si>
    <t>very faint, large</t>
  </si>
  <si>
    <t>vF, L</t>
  </si>
  <si>
    <t>NGC451</t>
  </si>
  <si>
    <t>1h16m12.4s</t>
  </si>
  <si>
    <t>+33h3m49s</t>
  </si>
  <si>
    <t>very faint, very small, round, very little brighter middle</t>
  </si>
  <si>
    <t>vF, vS, R, vlbM</t>
  </si>
  <si>
    <t>NGC452</t>
  </si>
  <si>
    <t>1h16m15s</t>
  </si>
  <si>
    <t>+31h2m0s</t>
  </si>
  <si>
    <t>very faint, extended, 9th magnitude star to northwest, small (faint) star to northeast, very near</t>
  </si>
  <si>
    <t>vF, E, * 9 np, S * nf, v nr</t>
  </si>
  <si>
    <t>NGC453</t>
  </si>
  <si>
    <t>1h16m17.3s</t>
  </si>
  <si>
    <t>+33h0m53s</t>
  </si>
  <si>
    <t>very faint, very small, round, very faint star involved</t>
  </si>
  <si>
    <t>vF, vS, R, vF st inv</t>
  </si>
  <si>
    <t>NGC454</t>
  </si>
  <si>
    <t>1h14m21.6s</t>
  </si>
  <si>
    <t>-55h24m2s</t>
  </si>
  <si>
    <t>very faint, small, round, brighter middle</t>
  </si>
  <si>
    <t>vF, S, R, bM</t>
  </si>
  <si>
    <t>NGC455</t>
  </si>
  <si>
    <t>1h15m57.6s</t>
  </si>
  <si>
    <t>+5h10m42s</t>
  </si>
  <si>
    <t>faint, very small, almost stellar</t>
  </si>
  <si>
    <t>F, vS, alm stell</t>
  </si>
  <si>
    <t>NGC456</t>
  </si>
  <si>
    <t>1h13m46s</t>
  </si>
  <si>
    <t>-73h17m30s</t>
  </si>
  <si>
    <t>pretty faint, pretty large, irregularly round, mottled but not resolved, 1st of several</t>
  </si>
  <si>
    <t>pF, pL, iR, r, 1st of sev</t>
  </si>
  <si>
    <t>NGC457</t>
  </si>
  <si>
    <t>蜻蜓星团</t>
  </si>
  <si>
    <t>I3r</t>
  </si>
  <si>
    <t>1h19m33s</t>
  </si>
  <si>
    <t>+58h17m42s</t>
  </si>
  <si>
    <t>cluster, bright, large, pretty rich, stars of 7th, 8th and 10th magnitudes</t>
  </si>
  <si>
    <t>Cl, B, L, pRi, st 7, 8, 10</t>
  </si>
  <si>
    <t>NGC458</t>
  </si>
  <si>
    <t>1h14m51.6s</t>
  </si>
  <si>
    <t>-71h33m4s</t>
  </si>
  <si>
    <t>pretty faint, large, round, very gradually brighter middle</t>
  </si>
  <si>
    <t>pF, L, R, vgbM</t>
  </si>
  <si>
    <t>NGC459</t>
  </si>
  <si>
    <t>1h18m8.2s</t>
  </si>
  <si>
    <t>+17h33m45s</t>
  </si>
  <si>
    <t>NGC460</t>
  </si>
  <si>
    <t>1h14m38s</t>
  </si>
  <si>
    <t>faint, pretty large, irregularly round, gradually brighter middle, mottled but not resolved, 2nd of several</t>
  </si>
  <si>
    <t>F, pL, iR, gbM, r, 2nd of sev</t>
  </si>
  <si>
    <t>NGC461</t>
  </si>
  <si>
    <t>1h17m20.3s</t>
  </si>
  <si>
    <t>-33h50m28s</t>
  </si>
  <si>
    <t>pretty bright, round, gradually a little brighter middle (perhaps 1° wrong?)</t>
  </si>
  <si>
    <t>pB, R, glbM (? 1° wrong)</t>
  </si>
  <si>
    <t>NGC462</t>
  </si>
  <si>
    <t>1h18m10.9s</t>
  </si>
  <si>
    <t>+4h13m35s</t>
  </si>
  <si>
    <t>extremely faint, very small, stellar</t>
  </si>
  <si>
    <t>eF, vS, stellar</t>
  </si>
  <si>
    <t>NGC463</t>
  </si>
  <si>
    <t>1h18m58.2s</t>
  </si>
  <si>
    <t>+16h19m31s</t>
  </si>
  <si>
    <t>NGC464</t>
  </si>
  <si>
    <t>1h19m26.6s</t>
  </si>
  <si>
    <t>+34h57m21s</t>
  </si>
  <si>
    <t>small</t>
  </si>
  <si>
    <t>NGC465</t>
  </si>
  <si>
    <t>1h15m42.7s</t>
  </si>
  <si>
    <t>-73h19m27s</t>
  </si>
  <si>
    <t>pretty bright, pretty large, irregular figure, 3rd of several</t>
  </si>
  <si>
    <t>pB, pL, iF, 3rd of sev</t>
  </si>
  <si>
    <t>NGC466</t>
  </si>
  <si>
    <t>1h17m13.5s</t>
  </si>
  <si>
    <t>-58h54m35s</t>
  </si>
  <si>
    <t>very faint, pretty small, round, gradually brighter middle</t>
  </si>
  <si>
    <t>vF, pS, R, gbM</t>
  </si>
  <si>
    <t>NGC467</t>
  </si>
  <si>
    <t>1h19m10.1s</t>
  </si>
  <si>
    <t>+3h18m5s</t>
  </si>
  <si>
    <t>NGC468</t>
  </si>
  <si>
    <t>1h19m48.4s</t>
  </si>
  <si>
    <t>+32h46m2s</t>
  </si>
  <si>
    <t>extremely faint, very small, 9th or 10th magnitude star 14 seconds of time to west, very difficult</t>
  </si>
  <si>
    <t>vF, eS, stellar</t>
  </si>
  <si>
    <t>NGC469</t>
  </si>
  <si>
    <t>+14h52m19s</t>
  </si>
  <si>
    <t>NGC470</t>
  </si>
  <si>
    <t>1h19m44.8s</t>
  </si>
  <si>
    <t>+3h24m33s</t>
  </si>
  <si>
    <t>pretty bright, large, irregularly round</t>
  </si>
  <si>
    <t>pB, L, iR</t>
  </si>
  <si>
    <t>NGC471</t>
  </si>
  <si>
    <t>1h19m59.6s</t>
  </si>
  <si>
    <t>+14h47m9s</t>
  </si>
  <si>
    <t>nebulous 12th magnitude star</t>
  </si>
  <si>
    <t>Neb * 12 m</t>
  </si>
  <si>
    <t>NGC472</t>
  </si>
  <si>
    <t>1h20m28.9s</t>
  </si>
  <si>
    <t>+32h42m30s</t>
  </si>
  <si>
    <t>eF, vS, * 9, 10 p 14s, v diff</t>
  </si>
  <si>
    <t>NGC473</t>
  </si>
  <si>
    <t>1h19m54.9s</t>
  </si>
  <si>
    <t>+16h32m42s</t>
  </si>
  <si>
    <t>NGC474</t>
  </si>
  <si>
    <t>1h20m6.7s</t>
  </si>
  <si>
    <t>+3h24m58s</t>
  </si>
  <si>
    <t>pretty bright, small, suddenly much brighter middle, eastern of 2</t>
  </si>
  <si>
    <t>pB, S, smbM, f of 2</t>
  </si>
  <si>
    <t>NGC475</t>
  </si>
  <si>
    <t>1h20m1.9s</t>
  </si>
  <si>
    <t>+14h51m42s</t>
  </si>
  <si>
    <t>NGC476</t>
  </si>
  <si>
    <t>1h20m19.8s</t>
  </si>
  <si>
    <t>+16h1m14s</t>
  </si>
  <si>
    <t>NGC477</t>
  </si>
  <si>
    <t>1h21m20.3s</t>
  </si>
  <si>
    <t>+40h29m19s</t>
  </si>
  <si>
    <t>very faint, pretty small, very little extended, very gradually a little brighter middle</t>
  </si>
  <si>
    <t>vF, pS, vlE, vglbM</t>
  </si>
  <si>
    <t>NGC478</t>
  </si>
  <si>
    <t>1h20m8.9s</t>
  </si>
  <si>
    <t>-22h22m41s</t>
  </si>
  <si>
    <t>extremely faint, extremely small, round, suddenly brighter middle and nucleus</t>
  </si>
  <si>
    <t>eF, eS, R, sbMN</t>
  </si>
  <si>
    <t>NGC479</t>
  </si>
  <si>
    <t>1h21m15.7s</t>
  </si>
  <si>
    <t>+3h51m46s</t>
  </si>
  <si>
    <t>NGC480</t>
  </si>
  <si>
    <t>1h20m34.3s</t>
  </si>
  <si>
    <t>-9h52m49s</t>
  </si>
  <si>
    <t>extremely faint, very small, round, (nebulous?)</t>
  </si>
  <si>
    <t>eF, vS, R, (neb ?)</t>
  </si>
  <si>
    <t>NGC481</t>
  </si>
  <si>
    <t>1h21m12.6s</t>
  </si>
  <si>
    <t>-9h12m40s</t>
  </si>
  <si>
    <t>very faint, very small, round, faint star to northwest</t>
  </si>
  <si>
    <t>vF, vS, R, F * np</t>
  </si>
  <si>
    <t>NGC482</t>
  </si>
  <si>
    <t>1h20m20.4s</t>
  </si>
  <si>
    <t>-40h57m58s</t>
  </si>
  <si>
    <t>extremely faint, a little extended</t>
  </si>
  <si>
    <t>eF, lE</t>
  </si>
  <si>
    <t>NGC483</t>
  </si>
  <si>
    <t>1h21m56.3s</t>
  </si>
  <si>
    <t>+33h31m14s</t>
  </si>
  <si>
    <t>NGC484</t>
  </si>
  <si>
    <t>1h19m34.8s</t>
  </si>
  <si>
    <t>-58h31m28s</t>
  </si>
  <si>
    <t>very bright, small, a little extended, pretty suddenly much brighter middle</t>
  </si>
  <si>
    <t>vB, S, lE, psmbM</t>
  </si>
  <si>
    <t>NGC485</t>
  </si>
  <si>
    <t>1h21m27.5s</t>
  </si>
  <si>
    <t>+7h1m5s</t>
  </si>
  <si>
    <t>considerably faint, pretty large, round, 8th magnitude star 3 1/2 arcmin to southwest</t>
  </si>
  <si>
    <t>cF, pL, R, * 8 sp 3?'</t>
  </si>
  <si>
    <t>NGC486</t>
  </si>
  <si>
    <t>1h21m43s</t>
  </si>
  <si>
    <t>+5h20m47s</t>
  </si>
  <si>
    <t>extremely faint, extremely small, stellar, 5 arcmin north of h 103</t>
  </si>
  <si>
    <t>eF, eS, stell, 5' n of h 103</t>
  </si>
  <si>
    <t>NGC487</t>
  </si>
  <si>
    <t>1h21m55s</t>
  </si>
  <si>
    <t>-16h22m12s</t>
  </si>
  <si>
    <t>NGC488</t>
  </si>
  <si>
    <t>转马星系</t>
  </si>
  <si>
    <t>1h21m46.6s</t>
  </si>
  <si>
    <t>+5h15m21s</t>
  </si>
  <si>
    <t>pretty bright, large, round, suddenly very much brighter middle, 8th magnitude star 10 arcmin to east</t>
  </si>
  <si>
    <t>pB, L, R, svmbM, * 8 f 10'</t>
  </si>
  <si>
    <t>NGC489</t>
  </si>
  <si>
    <t>1h21m53.8s</t>
  </si>
  <si>
    <t>+9h12m23s</t>
  </si>
  <si>
    <t>pretty bright, small, extended</t>
  </si>
  <si>
    <t>pB, S, E</t>
  </si>
  <si>
    <t>NGC490</t>
  </si>
  <si>
    <t>1h22m2.8s</t>
  </si>
  <si>
    <t>+5h22m4s</t>
  </si>
  <si>
    <t>very faint, very small, round, 8 arcmin northeast of h 103</t>
  </si>
  <si>
    <t>vF, vS, R, 8' nf h 103</t>
  </si>
  <si>
    <t>NGC491</t>
  </si>
  <si>
    <t>1h21m20.2s</t>
  </si>
  <si>
    <t>-34h3m49s</t>
  </si>
  <si>
    <t>bright, small, very little extended, brighter middle, very small (faint) star near</t>
  </si>
  <si>
    <t>B, S, vlE, bM, vS * nr</t>
  </si>
  <si>
    <t>NGC492</t>
  </si>
  <si>
    <t>1h22m13.5s</t>
  </si>
  <si>
    <t>+5h25m1s</t>
  </si>
  <si>
    <t>NGC493</t>
  </si>
  <si>
    <t>1h22m9.2s</t>
  </si>
  <si>
    <t>+0h56m47s</t>
  </si>
  <si>
    <t>very faint, large, much extended 60°, a little brighter middle</t>
  </si>
  <si>
    <t>vF, L, mE 60°, lbM</t>
  </si>
  <si>
    <t>NGC494</t>
  </si>
  <si>
    <t>1h22m55.4s</t>
  </si>
  <si>
    <t>+33h10m22s</t>
  </si>
  <si>
    <t>very faint, pretty large, extended, 3 faint stars to south</t>
  </si>
  <si>
    <t>vF, pL, E, 3 F st s</t>
  </si>
  <si>
    <t>NGC495</t>
  </si>
  <si>
    <t>1h22m56s</t>
  </si>
  <si>
    <t>+33h28m15s</t>
  </si>
  <si>
    <t>very faint, small, 1st of 3</t>
  </si>
  <si>
    <t>vF, S, 1st of 3</t>
  </si>
  <si>
    <t>NGC496</t>
  </si>
  <si>
    <t>1h23m11.6s</t>
  </si>
  <si>
    <t>+33h31m41s</t>
  </si>
  <si>
    <t>very faint, very small (C in Birr diagram), 2nd of 3</t>
  </si>
  <si>
    <t>vF, vS (C in Birr diagr.), 2nd of 3</t>
  </si>
  <si>
    <t>NGC497</t>
  </si>
  <si>
    <t>1h22m23.9s</t>
  </si>
  <si>
    <t>-0h52m29s</t>
  </si>
  <si>
    <t>extremely faint, pretty small, round, very little brighter middle, mottled but not resolved</t>
  </si>
  <si>
    <t>eF, pS, R, vlbM, r</t>
  </si>
  <si>
    <t>NGC498</t>
  </si>
  <si>
    <t>1h23m11.2s</t>
  </si>
  <si>
    <t>+33h29m24s</t>
  </si>
  <si>
    <t>most extremely faint, northwest of h 106 (D in Birr diagram)</t>
  </si>
  <si>
    <t>eeF, np h 106 (D in Birr diagr.)</t>
  </si>
  <si>
    <t>NGC499</t>
  </si>
  <si>
    <t>1h23m11.5s</t>
  </si>
  <si>
    <t>+33h27m35s</t>
  </si>
  <si>
    <t>pretty bright, pretty large, round, 3rd of 3</t>
  </si>
  <si>
    <t>pB, pL, R, 3rd of 3</t>
  </si>
  <si>
    <t>NGC500</t>
  </si>
  <si>
    <t>1h22m39.3s</t>
  </si>
  <si>
    <t>+5h23m16s</t>
  </si>
  <si>
    <t>very faint, very small, much brighter middle, 11th magnitude star 1 arcmin to northeast</t>
  </si>
  <si>
    <t>vF, vS, mbM, * 11 nf 1'</t>
  </si>
  <si>
    <t>NGC501</t>
  </si>
  <si>
    <t>1h23m22.4s</t>
  </si>
  <si>
    <t>+33h26m1s</t>
  </si>
  <si>
    <t>very faint, small (E in Birr diagram)</t>
  </si>
  <si>
    <t>vF, S (E in Birr diagr.)</t>
  </si>
  <si>
    <t>NGC502</t>
  </si>
  <si>
    <t>1h22m55.6s</t>
  </si>
  <si>
    <t>+9h2m58s</t>
  </si>
  <si>
    <t>considerably bright, small, round, brighter middle and nucleus</t>
  </si>
  <si>
    <t>cB, S, R, bmN</t>
  </si>
  <si>
    <t>NGC503</t>
  </si>
  <si>
    <t>1h23m28.4s</t>
  </si>
  <si>
    <t>+33h19m56s</t>
  </si>
  <si>
    <t>extremely faint, extremely small, double star 4 arcmin to southwest</t>
  </si>
  <si>
    <t>eF, eS, D * 4' sp</t>
  </si>
  <si>
    <t>NGC504</t>
  </si>
  <si>
    <t>1h23m28.1s</t>
  </si>
  <si>
    <t>+33h12m14s</t>
  </si>
  <si>
    <t>NGC505</t>
  </si>
  <si>
    <t>1h22m57.1s</t>
  </si>
  <si>
    <t>+9h28m8s</t>
  </si>
  <si>
    <t>NGC506</t>
  </si>
  <si>
    <t>1h23m35.5s</t>
  </si>
  <si>
    <t>+33h14m38s</t>
  </si>
  <si>
    <t>very faint, very small, southwest of h 108</t>
  </si>
  <si>
    <t>vF, vS, sp h 108</t>
  </si>
  <si>
    <t>NGC507</t>
  </si>
  <si>
    <t>NGC 507星系群</t>
  </si>
  <si>
    <t>1h23m40s</t>
  </si>
  <si>
    <t>+33h15m24s</t>
  </si>
  <si>
    <t>very faint, pretty large, round, brighter middle, southern of 2</t>
  </si>
  <si>
    <t>vF, pL, R, bM, s of 2</t>
  </si>
  <si>
    <t>NGC508</t>
  </si>
  <si>
    <t>1h23m40.7s</t>
  </si>
  <si>
    <t>+33h16m49s</t>
  </si>
  <si>
    <t>very faint, small, northern of 2</t>
  </si>
  <si>
    <t>vF, S, n of 2</t>
  </si>
  <si>
    <t>NGC509</t>
  </si>
  <si>
    <t>1h23m24.1s</t>
  </si>
  <si>
    <t>+9h26m0s</t>
  </si>
  <si>
    <t>NGC510</t>
  </si>
  <si>
    <t>1h23m55.5s</t>
  </si>
  <si>
    <t>+33h29m51s</t>
  </si>
  <si>
    <t>very faint, very small, a little extended</t>
  </si>
  <si>
    <t>vF, vS, lE</t>
  </si>
  <si>
    <t>NGC511</t>
  </si>
  <si>
    <t>1h23m30.7s</t>
  </si>
  <si>
    <t>+11h17m27s</t>
  </si>
  <si>
    <t>extremely faint, very small, small (faint) star involved, small star attached</t>
  </si>
  <si>
    <t>eF, vS, S * inv, S * att</t>
  </si>
  <si>
    <t>NGC512</t>
  </si>
  <si>
    <t>1h23m59.8s</t>
  </si>
  <si>
    <t>+33h54m26s</t>
  </si>
  <si>
    <t>NGC513</t>
  </si>
  <si>
    <t>1h24m26.9s</t>
  </si>
  <si>
    <t>+33h47m56s</t>
  </si>
  <si>
    <t>faint, small, stellar</t>
  </si>
  <si>
    <t>F, S, stellar</t>
  </si>
  <si>
    <t>NGC514</t>
  </si>
  <si>
    <t>1h24m3.9s</t>
  </si>
  <si>
    <t>+12h55m2s</t>
  </si>
  <si>
    <t>faint, large, a little extended, very gradually a little brighter middle, double star to east</t>
  </si>
  <si>
    <t>F, L, lE, vglbM, ** f</t>
  </si>
  <si>
    <t>NGC515</t>
  </si>
  <si>
    <t>1h24m38.7s</t>
  </si>
  <si>
    <t>+33h28m20s</t>
  </si>
  <si>
    <t>pretty faint, very small, round, northwestern of 2</t>
  </si>
  <si>
    <t>pF, vS, R, np of 2</t>
  </si>
  <si>
    <t>NGC516</t>
  </si>
  <si>
    <t>1h24m8s</t>
  </si>
  <si>
    <t>+9h33m7s</t>
  </si>
  <si>
    <t>extremely faint, small, very difficult, I 151 forty-one seconds of time to east</t>
  </si>
  <si>
    <t>eF, S, v diffic, I 151 f 41s</t>
  </si>
  <si>
    <t>NGC517</t>
  </si>
  <si>
    <t>1h24m43.8s</t>
  </si>
  <si>
    <t>+33h25m44s</t>
  </si>
  <si>
    <t>pretty faint, round, stellar, southeastern of 2</t>
  </si>
  <si>
    <t>pF, R, stellar, sf of 2</t>
  </si>
  <si>
    <t>NGC518</t>
  </si>
  <si>
    <t>1h24m17.7s</t>
  </si>
  <si>
    <t>+9h19m51s</t>
  </si>
  <si>
    <t>NGC519</t>
  </si>
  <si>
    <t>1h24m28.7s</t>
  </si>
  <si>
    <t>-1h38m29s</t>
  </si>
  <si>
    <t>NGC520</t>
  </si>
  <si>
    <t>Sa/P</t>
  </si>
  <si>
    <t>1h24m34.7s</t>
  </si>
  <si>
    <t>+3h47m39s</t>
  </si>
  <si>
    <t>faint, considerably large, extended 137°</t>
  </si>
  <si>
    <t>F, cL, E 137°</t>
  </si>
  <si>
    <t>NGC521</t>
  </si>
  <si>
    <t>1h24m33.6s</t>
  </si>
  <si>
    <t>+1h43m53s</t>
  </si>
  <si>
    <t>NGC522</t>
  </si>
  <si>
    <t>1h24m45.9s</t>
  </si>
  <si>
    <t>+9h59m42s</t>
  </si>
  <si>
    <t>extremely faint, pretty large, irregular figure, perhaps cluster plus nebula</t>
  </si>
  <si>
    <t>eF, pL, iF, ? Cl + neb</t>
  </si>
  <si>
    <t>NGC523</t>
  </si>
  <si>
    <t>Sbc/P</t>
  </si>
  <si>
    <t>1h25m20.7s</t>
  </si>
  <si>
    <t>+34h1m31s</t>
  </si>
  <si>
    <t>a double nebula, very faint, very small, position angle 90°, distance 30 arcsec</t>
  </si>
  <si>
    <t>D neb, vF, vS, pos 90°, dist 30"</t>
  </si>
  <si>
    <t>NGC524</t>
  </si>
  <si>
    <t>1h24m47.8s</t>
  </si>
  <si>
    <t>+9h32m19s</t>
  </si>
  <si>
    <t>very bright, pretty large, much brighter middle, 4 small (faint) stars near</t>
  </si>
  <si>
    <t>vB, pL, mbM, 4 S st nr</t>
  </si>
  <si>
    <t>NGC525</t>
  </si>
  <si>
    <t>1h24m52.8s</t>
  </si>
  <si>
    <t>+9h42m14s</t>
  </si>
  <si>
    <t>very faint, very small, 11th or 12th magnitude star 5 seconds of time to west</t>
  </si>
  <si>
    <t>vF, vS, * 11·12 p 5s</t>
  </si>
  <si>
    <t>NGC526</t>
  </si>
  <si>
    <t>E</t>
  </si>
  <si>
    <t>1h23m56.9s</t>
  </si>
  <si>
    <t>-35h4m9s</t>
  </si>
  <si>
    <t>faint, small, a little extended, the preceding (western) of 2</t>
  </si>
  <si>
    <t>F, S, lE, p of 2</t>
  </si>
  <si>
    <t>NGC527</t>
  </si>
  <si>
    <t>1h23m58s</t>
  </si>
  <si>
    <t>-35h6m55s</t>
  </si>
  <si>
    <t>faint, small, a little extended, brighter middle, the following (eastern) of 2</t>
  </si>
  <si>
    <t>F, S, lE, bM, f of 2</t>
  </si>
  <si>
    <t>NGC528</t>
  </si>
  <si>
    <t>1h25m33.6s</t>
  </si>
  <si>
    <t>+33h40m14s</t>
  </si>
  <si>
    <t>faint, pretty large, round, a little brighter middle</t>
  </si>
  <si>
    <t>F, pL, R, lbM</t>
  </si>
  <si>
    <t>NGC529</t>
  </si>
  <si>
    <t>1h25m40.2s</t>
  </si>
  <si>
    <t>+34h42m47s</t>
  </si>
  <si>
    <t>pretty bright, very small, suddenly brighter middle, western of 2</t>
  </si>
  <si>
    <t>pB, vS, sbM, p of 2</t>
  </si>
  <si>
    <t>NGC530</t>
  </si>
  <si>
    <t>1h24m41.7s</t>
  </si>
  <si>
    <t>-1h35m13s</t>
  </si>
  <si>
    <t>extremely faint, small, much extended, faint star to southeast</t>
  </si>
  <si>
    <t>eF, S, mE, F * sf</t>
  </si>
  <si>
    <t>NGC531</t>
  </si>
  <si>
    <t>1h26m18.8s</t>
  </si>
  <si>
    <t>+34h45m15s</t>
  </si>
  <si>
    <t>NGC532</t>
  </si>
  <si>
    <t>1h25m17.1s</t>
  </si>
  <si>
    <t>+9h15m51s</t>
  </si>
  <si>
    <t>very faint, pretty large, extended 30°, brighter middle</t>
  </si>
  <si>
    <t>vF, pL, E 30°, bM</t>
  </si>
  <si>
    <t>NGC533</t>
  </si>
  <si>
    <t>1h25m31.4s</t>
  </si>
  <si>
    <t>+1h45m33s</t>
  </si>
  <si>
    <t>NGC534</t>
  </si>
  <si>
    <t>1h24m44.5s</t>
  </si>
  <si>
    <t>-38h7m44s</t>
  </si>
  <si>
    <t>most extremely faint, small, round, very gradually brighter middle, 1st of 4</t>
  </si>
  <si>
    <t>eeF, S, R, vgbM, 1st of 4</t>
  </si>
  <si>
    <t>NGC535</t>
  </si>
  <si>
    <t>1h25m31s</t>
  </si>
  <si>
    <t>-1h24m32s</t>
  </si>
  <si>
    <t>very faint, very small, 1st of 3</t>
  </si>
  <si>
    <t>vF, vS, 1st of 3</t>
  </si>
  <si>
    <t>NGC536</t>
  </si>
  <si>
    <t>1h26m21.6s</t>
  </si>
  <si>
    <t>+34h42m12s</t>
  </si>
  <si>
    <t>pretty bright, pretty large, gradually brighter middle, eastern of 2</t>
  </si>
  <si>
    <t>pB, pL, gbM, f of 2</t>
  </si>
  <si>
    <t>NGC537</t>
  </si>
  <si>
    <t>Stellar (? = GC 306)</t>
  </si>
  <si>
    <t>NGC538</t>
  </si>
  <si>
    <t>1h25m26.1s</t>
  </si>
  <si>
    <t>-1h33m3s</t>
  </si>
  <si>
    <t>extremely faint, small, much extended, faint star to north</t>
  </si>
  <si>
    <t>eF, S, mE, F * n</t>
  </si>
  <si>
    <t>NGC539</t>
  </si>
  <si>
    <t>1h25m21.7s</t>
  </si>
  <si>
    <t>-18h9m52s</t>
  </si>
  <si>
    <t>NGC540</t>
  </si>
  <si>
    <t>1h27m8.8s</t>
  </si>
  <si>
    <t>-20h2m12s</t>
  </si>
  <si>
    <t>very faint, very small, round, suddenly brighter middle and nucleus</t>
  </si>
  <si>
    <t>vF, vS, R, sbMN</t>
  </si>
  <si>
    <t>NGC541</t>
  </si>
  <si>
    <t>1h25m44.3s</t>
  </si>
  <si>
    <t>-1h22m46s</t>
  </si>
  <si>
    <t>faint, small, round, brighter middle</t>
  </si>
  <si>
    <t>F, S, R, bM</t>
  </si>
  <si>
    <t>NGC542</t>
  </si>
  <si>
    <t>1h26m30.9s</t>
  </si>
  <si>
    <t>+34h40m34s</t>
  </si>
  <si>
    <t>extremely faint, difficult</t>
  </si>
  <si>
    <t>eF, diffic</t>
  </si>
  <si>
    <t>NGC543</t>
  </si>
  <si>
    <t>1h25m50s</t>
  </si>
  <si>
    <t>-1h17m33s</t>
  </si>
  <si>
    <t>NGC544</t>
  </si>
  <si>
    <t>1h25m11.8s</t>
  </si>
  <si>
    <t>-38h5m40s</t>
  </si>
  <si>
    <t>most extremely faint, small, round, very gradually brighter middle, 2nd of 4</t>
  </si>
  <si>
    <t>eeF, S, R, vgbM, 2nd of 4</t>
  </si>
  <si>
    <t>NGC545</t>
  </si>
  <si>
    <t>1h25m59s</t>
  </si>
  <si>
    <t>-1h20m26s</t>
  </si>
  <si>
    <t>stellar, preceding (western) of double nebula</t>
  </si>
  <si>
    <t>Stellar, p of D neb</t>
  </si>
  <si>
    <t>NGC546</t>
  </si>
  <si>
    <t>1h25m12.6s</t>
  </si>
  <si>
    <t>-38h4m9s</t>
  </si>
  <si>
    <t>most extremely faint, small, round, very gradually better middle, 3rd of 4</t>
  </si>
  <si>
    <t>eeF, S, R, vgbM, 3rd of 4</t>
  </si>
  <si>
    <t>NGC547</t>
  </si>
  <si>
    <t>1h26m0.7s</t>
  </si>
  <si>
    <t>-1h20m42s</t>
  </si>
  <si>
    <t>Stellar, f of D neb</t>
  </si>
  <si>
    <t>NGC548</t>
  </si>
  <si>
    <t>1h26m2.5s</t>
  </si>
  <si>
    <t>-1h13m31s</t>
  </si>
  <si>
    <t>NGC549</t>
  </si>
  <si>
    <t>1h25m7s</t>
  </si>
  <si>
    <t>-38h0m26s</t>
  </si>
  <si>
    <t>most extremely faint, small, round, very gradually brighter middle, 4th of 4</t>
  </si>
  <si>
    <t>eeF, S, R, vgbM, 4th of 4</t>
  </si>
  <si>
    <t>NGC550</t>
  </si>
  <si>
    <t>1h26m42.4s</t>
  </si>
  <si>
    <t>+2h1m20s</t>
  </si>
  <si>
    <t>faint, small, extended 90°, brighter middle, mottled but not resolved</t>
  </si>
  <si>
    <t>F, S, E 90°, bM, r</t>
  </si>
  <si>
    <t>NGC551</t>
  </si>
  <si>
    <t>1h27m40.6s</t>
  </si>
  <si>
    <t>+37h10m59s</t>
  </si>
  <si>
    <t>very faint, small, extended, very gradually a little brighter middle, 13th magnitude star near</t>
  </si>
  <si>
    <t>vF, S, E, vglbM, * 13 nr</t>
  </si>
  <si>
    <t>NGC552</t>
  </si>
  <si>
    <t>1h26m57s</t>
  </si>
  <si>
    <t>+33h33m28s</t>
  </si>
  <si>
    <t>very small, stellar, the preceding (western) of 2, questionable RA</t>
  </si>
  <si>
    <t>vS, stellar, p of 2, ? RA</t>
  </si>
  <si>
    <t>NGC553</t>
  </si>
  <si>
    <t>1h27m3s</t>
  </si>
  <si>
    <t>+33h32m55s</t>
  </si>
  <si>
    <t>very small, stellar, the following (eastern) of 2, questionable RA</t>
  </si>
  <si>
    <t>vS, stellar, f of 2, ? RA</t>
  </si>
  <si>
    <t>NGC554</t>
  </si>
  <si>
    <t>1h27m9.6s</t>
  </si>
  <si>
    <t>-22h43m32s</t>
  </si>
  <si>
    <t>extremely faint, very small, extended, the 1st of 3 (the others being NGC 555 and NGC 556), 11th magnitude star to east</t>
  </si>
  <si>
    <t>eF, vS, E, 1st of 3, * 11 f</t>
  </si>
  <si>
    <t>NGC555</t>
  </si>
  <si>
    <t>1h27m11.7s</t>
  </si>
  <si>
    <t>-22h45m42s</t>
  </si>
  <si>
    <t>extremely faint, small, irregularly round, 2nd of 3</t>
  </si>
  <si>
    <t>eF, S, iR, 2nd of 3</t>
  </si>
  <si>
    <t>NGC556</t>
  </si>
  <si>
    <t>1h27m12.5s</t>
  </si>
  <si>
    <t>-22h41m50s</t>
  </si>
  <si>
    <t>NGC557</t>
  </si>
  <si>
    <t>1h26m25.1s</t>
  </si>
  <si>
    <t>-1h38m18s</t>
  </si>
  <si>
    <t>extremely faint, small, round, 10th magnitude star to northeast</t>
  </si>
  <si>
    <t>eF, S, R, * 10 nf</t>
  </si>
  <si>
    <t>NGC558</t>
  </si>
  <si>
    <t>1h27m16.1s</t>
  </si>
  <si>
    <t>-1h58m14s</t>
  </si>
  <si>
    <t>extremely faint, small, extended, 10th-magnitude star to west</t>
  </si>
  <si>
    <t>eF, S, E, * 10 p</t>
  </si>
  <si>
    <t>NGC559</t>
  </si>
  <si>
    <t>II2m</t>
  </si>
  <si>
    <t>1h29m31s</t>
  </si>
  <si>
    <t>a cluster, bright, pretty large, pretty rich</t>
  </si>
  <si>
    <t>Cl, B, pL, pRi</t>
  </si>
  <si>
    <t>NGC560</t>
  </si>
  <si>
    <t>1h27m25.3s</t>
  </si>
  <si>
    <t>-1h54m45s</t>
  </si>
  <si>
    <t>very faint, very small, irregularly extended, western of 2</t>
  </si>
  <si>
    <t>vF, vS, iE, p of 2</t>
  </si>
  <si>
    <t>NGC561</t>
  </si>
  <si>
    <t>1h28m18.7s</t>
  </si>
  <si>
    <t>+34h18m30s</t>
  </si>
  <si>
    <t>extremely faint, pretty large, round</t>
  </si>
  <si>
    <t>eF, pL, R</t>
  </si>
  <si>
    <t>NGC562</t>
  </si>
  <si>
    <t>1h28m29.3s</t>
  </si>
  <si>
    <t>+48h23m13s</t>
  </si>
  <si>
    <t>extremely faint, pretty small, round, double star near to south</t>
  </si>
  <si>
    <t>eF, pS, R, D * nr s</t>
  </si>
  <si>
    <t>NGC563</t>
  </si>
  <si>
    <t>very faint, pretty small, a little extended, brighter middle and nucleus, several faint stars near</t>
  </si>
  <si>
    <t>vF, pS, lE, bMN, sev F st nr</t>
  </si>
  <si>
    <t>NGC564</t>
  </si>
  <si>
    <t>1h27m48.2s</t>
  </si>
  <si>
    <t>-1h52m43s</t>
  </si>
  <si>
    <t>very faint, very small, irregular figure, eastern of 2</t>
  </si>
  <si>
    <t>vF, vS, iF, f of 2</t>
  </si>
  <si>
    <t>NGC565</t>
  </si>
  <si>
    <t>1h28m10s</t>
  </si>
  <si>
    <t>-1h18m21s</t>
  </si>
  <si>
    <t>small, extended (perhaps bi-nuclear?)</t>
  </si>
  <si>
    <t>S, E (? bi N)</t>
  </si>
  <si>
    <t>NGC566</t>
  </si>
  <si>
    <t>1h29m2.9s</t>
  </si>
  <si>
    <t>+32h19m56s</t>
  </si>
  <si>
    <t>NGC567</t>
  </si>
  <si>
    <t>1h27m2.3s</t>
  </si>
  <si>
    <t>-10h15m53s</t>
  </si>
  <si>
    <t>NGC568</t>
  </si>
  <si>
    <t>1h27m56.9s</t>
  </si>
  <si>
    <t>-35h43m3s</t>
  </si>
  <si>
    <t>NGC569</t>
  </si>
  <si>
    <t>1h29m7.1s</t>
  </si>
  <si>
    <t>+11h7m54s</t>
  </si>
  <si>
    <t>NGC570</t>
  </si>
  <si>
    <t>1h28m58.5s</t>
  </si>
  <si>
    <t>-0h56m55s</t>
  </si>
  <si>
    <t>very faint, pretty large, round, much brighter middle and nucleus</t>
  </si>
  <si>
    <t>vF, pL, R, mbMN</t>
  </si>
  <si>
    <t>NGC571</t>
  </si>
  <si>
    <t>1h29m56.1s</t>
  </si>
  <si>
    <t>+32h30m3s</t>
  </si>
  <si>
    <t>very faint, pretty small, 13th or 14th magnitude star to southwest</t>
  </si>
  <si>
    <t>vF, pS, * 13·14 sp</t>
  </si>
  <si>
    <t>NGC572</t>
  </si>
  <si>
    <t>1h28m36.4s</t>
  </si>
  <si>
    <t>-39h18m26s</t>
  </si>
  <si>
    <t>extremely faint, small, attached to small (faint) star, bright star near</t>
  </si>
  <si>
    <t>eF, S, att to S *, B * nr</t>
  </si>
  <si>
    <t>NGC573</t>
  </si>
  <si>
    <t>1h30m49.3s</t>
  </si>
  <si>
    <t>+41h15m26s</t>
  </si>
  <si>
    <t>NGC574</t>
  </si>
  <si>
    <t>1h29m3.1s</t>
  </si>
  <si>
    <t>-35h35m55s</t>
  </si>
  <si>
    <t>very small, double star involved at position angle 225°</t>
  </si>
  <si>
    <t>vS, D * pos 225° inv</t>
  </si>
  <si>
    <t>NGC575</t>
  </si>
  <si>
    <t>1h30m46.4s</t>
  </si>
  <si>
    <t>+21h26m25s</t>
  </si>
  <si>
    <t>extremely faint, pretty large, irregularly round</t>
  </si>
  <si>
    <t>eF, pL, iR</t>
  </si>
  <si>
    <t>NGC576</t>
  </si>
  <si>
    <t>1h28m57.4s</t>
  </si>
  <si>
    <t>-51h35m53s</t>
  </si>
  <si>
    <t>faint, small, round, brighter middle, among 11th magnitude stars</t>
  </si>
  <si>
    <t>F, S, R, bM, am st 11</t>
  </si>
  <si>
    <t>NGC577</t>
  </si>
  <si>
    <t>1h30m40.6s</t>
  </si>
  <si>
    <t>-1h59m39s</t>
  </si>
  <si>
    <t>faint</t>
  </si>
  <si>
    <t>NGC578</t>
  </si>
  <si>
    <t>1h30m28.9s</t>
  </si>
  <si>
    <t>-22h40m0s</t>
  </si>
  <si>
    <t>bright, large, pretty much extended, gradually pretty much brighter middle</t>
  </si>
  <si>
    <t>B, L, pmE, gpmbM</t>
  </si>
  <si>
    <t>NGC579</t>
  </si>
  <si>
    <t>三角座</t>
  </si>
  <si>
    <t>TRI</t>
  </si>
  <si>
    <t>1h31m46.7s</t>
  </si>
  <si>
    <t>+33h36m52s</t>
  </si>
  <si>
    <t>very faint, pretty large, gradually brighter middle</t>
  </si>
  <si>
    <t>vF, pL, gbM</t>
  </si>
  <si>
    <t>NGC580</t>
  </si>
  <si>
    <t>NGC581</t>
  </si>
  <si>
    <t>1h33m23s</t>
  </si>
  <si>
    <t>+60h39m30s</t>
  </si>
  <si>
    <t>a cluster, pretty large, bright, round, rich, stars from 10th to 11th magnitude</t>
  </si>
  <si>
    <t>Cl, pL, B, R, Ri, st 10…11</t>
  </si>
  <si>
    <t>NGC582</t>
  </si>
  <si>
    <t>1h31m58.2s</t>
  </si>
  <si>
    <t>+33h28m32s</t>
  </si>
  <si>
    <t>very faint, pretty large, pretty much extended, 12th magnitude star to west</t>
  </si>
  <si>
    <t>vF, pL, pmE, * 12 p</t>
  </si>
  <si>
    <t>NGC583</t>
  </si>
  <si>
    <t>1h29m44.1s</t>
  </si>
  <si>
    <t>-18h20m22s</t>
  </si>
  <si>
    <t>NGC584</t>
  </si>
  <si>
    <t>小主轴星系</t>
  </si>
  <si>
    <t>1h31m20.5s</t>
  </si>
  <si>
    <t>-6h52m2s</t>
  </si>
  <si>
    <t>very bright, pretty large, round, much brighter middle, western of 2</t>
  </si>
  <si>
    <t>vB, pL, R, mbM, p of 2</t>
  </si>
  <si>
    <t>NGC585</t>
  </si>
  <si>
    <t>1h31m42.2s</t>
  </si>
  <si>
    <t>-0h55m58s</t>
  </si>
  <si>
    <t>NGC586</t>
  </si>
  <si>
    <t>1h31m36.8s</t>
  </si>
  <si>
    <t>-6h53m35s</t>
  </si>
  <si>
    <t>NGC587</t>
  </si>
  <si>
    <t>1h32m33.3s</t>
  </si>
  <si>
    <t>+35h21m30s</t>
  </si>
  <si>
    <t>very very faint, small, perhaps a small cluster</t>
  </si>
  <si>
    <t>vvF, S, ? S Cl</t>
  </si>
  <si>
    <t>NGC588</t>
  </si>
  <si>
    <t>1h32m45.7s</t>
  </si>
  <si>
    <t>+30h38m56s</t>
  </si>
  <si>
    <t>faint, western of 2</t>
  </si>
  <si>
    <t>F, p of 2</t>
  </si>
  <si>
    <t>NGC589</t>
  </si>
  <si>
    <t>1h32m39.9s</t>
  </si>
  <si>
    <t>-12h2m32s</t>
  </si>
  <si>
    <t>very faint, small, round, gradually brighter middle and nucleus, 10th magnitude star 2 arcmin to southwest</t>
  </si>
  <si>
    <t>vF, S, R, gbMN, * 10 sp 2'</t>
  </si>
  <si>
    <t>NGC590</t>
  </si>
  <si>
    <t>1h33m40.7s</t>
  </si>
  <si>
    <t>+44h55m45s</t>
  </si>
  <si>
    <t>faint, very small, partially resolved? perhaps some stars seen?</t>
  </si>
  <si>
    <t>F, vS, rr ?</t>
  </si>
  <si>
    <t>NGC591</t>
  </si>
  <si>
    <t>1h33m31.1s</t>
  </si>
  <si>
    <t>+35h40m6s</t>
  </si>
  <si>
    <t>extremely faint, pretty small, round, a little brighter middle, bright star to southeast</t>
  </si>
  <si>
    <t>eF, pS, R, lbM, B * sf</t>
  </si>
  <si>
    <t>NGC592</t>
  </si>
  <si>
    <t>1h33m12s</t>
  </si>
  <si>
    <t>+30h38m47s</t>
  </si>
  <si>
    <t>faint, pretty large, eastern of 2</t>
  </si>
  <si>
    <t>F, pL, f of 2</t>
  </si>
  <si>
    <t>NGC593</t>
  </si>
  <si>
    <t>1h32m20.6s</t>
  </si>
  <si>
    <t>-12h21m16s</t>
  </si>
  <si>
    <t>a very small cluster, a little extended, nebulous</t>
  </si>
  <si>
    <t>vS, Cl, lE, nebulous</t>
  </si>
  <si>
    <t>NGC594</t>
  </si>
  <si>
    <t>1h32m57s</t>
  </si>
  <si>
    <t>-16h32m7s</t>
  </si>
  <si>
    <t>faint, pretty small, extended, gradually a little brighter middle</t>
  </si>
  <si>
    <t>F, pS, E, glbM</t>
  </si>
  <si>
    <t>NGC595</t>
  </si>
  <si>
    <t>1h33m34s</t>
  </si>
  <si>
    <t>+30h41m32s</t>
  </si>
  <si>
    <t>very faint, small, round, involved in M33</t>
  </si>
  <si>
    <t>vF, S, R, inv in M 33</t>
  </si>
  <si>
    <t>NGC596</t>
  </si>
  <si>
    <t>1h32m52s</t>
  </si>
  <si>
    <t>-7h1m55s</t>
  </si>
  <si>
    <t>pretty bright, round, brighter middle, mottled but not resolved, 6th magnitude star 12 arcmin to east</t>
  </si>
  <si>
    <t>pB, R, bM, r, * 6 f 12'</t>
  </si>
  <si>
    <t>NGC597</t>
  </si>
  <si>
    <t>1h32m14.9s</t>
  </si>
  <si>
    <t>-33h29m49s</t>
  </si>
  <si>
    <t>NGC598</t>
  </si>
  <si>
    <t>三角座星系</t>
  </si>
  <si>
    <t>1h33m51.9s</t>
  </si>
  <si>
    <t>+30h39m29s</t>
  </si>
  <si>
    <t>a remarkable object, extremely bright, extremely large, round, very gradually much brighter middle and nucleus</t>
  </si>
  <si>
    <t>! eB, cL, R, vgbMN</t>
  </si>
  <si>
    <t>NGC599</t>
  </si>
  <si>
    <t>1h32m53.7s</t>
  </si>
  <si>
    <t>-12h11m27s</t>
  </si>
  <si>
    <t>faint, small, irregular figure, extremely mottled but not resolved</t>
  </si>
  <si>
    <t>F, S, iF, er</t>
  </si>
  <si>
    <t>NGC600</t>
  </si>
  <si>
    <t>1h33m5.4s</t>
  </si>
  <si>
    <t>-7h18m44s</t>
  </si>
  <si>
    <t>most extremely faint</t>
  </si>
  <si>
    <t>eeF</t>
  </si>
  <si>
    <t>NGC601</t>
  </si>
  <si>
    <t>1h33m6.5s</t>
  </si>
  <si>
    <t>-12h12m30s</t>
  </si>
  <si>
    <t>very faint, very small, round, 4 arcmin southeast of II 473</t>
  </si>
  <si>
    <t>vF, vS, R, 4' sf II 473</t>
  </si>
  <si>
    <t>NGC602</t>
  </si>
  <si>
    <t>水蛇座</t>
  </si>
  <si>
    <t>HYI</t>
  </si>
  <si>
    <t>1h29m26.4s</t>
  </si>
  <si>
    <t>-73h33m26s</t>
  </si>
  <si>
    <t>bright, small, round, pretty suddenly brighter middle similar to a star, mottled but not resolved</t>
  </si>
  <si>
    <t>B, S, R, psbM * r</t>
  </si>
  <si>
    <t>NGC603</t>
  </si>
  <si>
    <t>1h34m44.2s</t>
  </si>
  <si>
    <t>+30h13m57s</t>
  </si>
  <si>
    <t>small nebula or cluster with 3 stars involved</t>
  </si>
  <si>
    <t>S neb or Cl with 3 st inv</t>
  </si>
  <si>
    <t>NGC604</t>
  </si>
  <si>
    <t>1h34m32.6s</t>
  </si>
  <si>
    <t>+30h47m4s</t>
  </si>
  <si>
    <t>bright, very small, round, very very little brighter middle</t>
  </si>
  <si>
    <t>B, vS, R, vvlbM</t>
  </si>
  <si>
    <t>NGC605</t>
  </si>
  <si>
    <t>1h35m2.3s</t>
  </si>
  <si>
    <t>+41h14m52s</t>
  </si>
  <si>
    <t>NGC606</t>
  </si>
  <si>
    <t>1h34m50.3s</t>
  </si>
  <si>
    <t>+21h25m5s</t>
  </si>
  <si>
    <t>extremely faint, pretty small, round, very little brighter middle, mottled but not resolved?</t>
  </si>
  <si>
    <t>eF, pS, R, vlbM, r ?</t>
  </si>
  <si>
    <t>NGC607</t>
  </si>
  <si>
    <t>1h34m16.4s</t>
  </si>
  <si>
    <t>-7h24m41s</t>
  </si>
  <si>
    <t>an 11th magnitude star, nebulous? (Auwers 15)</t>
  </si>
  <si>
    <t>* 11, nebulous ? (Auw 15)</t>
  </si>
  <si>
    <t>NGC608</t>
  </si>
  <si>
    <t>1h35m28.1s</t>
  </si>
  <si>
    <t>+33h39m23s</t>
  </si>
  <si>
    <t>very faint, pretty suddenly brighter middle, stellar</t>
  </si>
  <si>
    <t>vF, psbM, stellar</t>
  </si>
  <si>
    <t>NGC609</t>
  </si>
  <si>
    <t>II3r</t>
  </si>
  <si>
    <t>1h36m23.7s</t>
  </si>
  <si>
    <t>+64h32m12s</t>
  </si>
  <si>
    <t>a cluster, small, pretty rich, stars from 14th magnitude downwards</t>
  </si>
  <si>
    <t>Cl, S, pRi, st 14 ..</t>
  </si>
  <si>
    <t>NGC610</t>
  </si>
  <si>
    <t>1h33m33s</t>
  </si>
  <si>
    <t>-20h8m38s</t>
  </si>
  <si>
    <t>extremely faint, very small, round, very gradually brighter middle, 10th magnitude star 2 arcmin to west</t>
  </si>
  <si>
    <t>eF, vS, R, vgbM, * 10 p 2'</t>
  </si>
  <si>
    <t>NGC611</t>
  </si>
  <si>
    <t>-20h7m38s</t>
  </si>
  <si>
    <t>extremely faint, very small, (perhaps a faint star?), 30 arcsec northeast of last</t>
  </si>
  <si>
    <t>eF, vS, (? F *), 30" nf last</t>
  </si>
  <si>
    <t>NGC612</t>
  </si>
  <si>
    <t>1h33m57.7s</t>
  </si>
  <si>
    <t>-36h29m35s</t>
  </si>
  <si>
    <t>faint, very small, round, 12th magnitude star to west</t>
  </si>
  <si>
    <t>F, vS, R, * 12 p</t>
  </si>
  <si>
    <t>NGC613</t>
  </si>
  <si>
    <t>1h34m18.4s</t>
  </si>
  <si>
    <t>-29h25m7s</t>
  </si>
  <si>
    <t>very bright, very large, very much extended 118°, suddenly brighter middle, 10th magnitude star to northeast</t>
  </si>
  <si>
    <t>vB, vL, vmE 118°, sbM, * 10 nf</t>
  </si>
  <si>
    <t>NGC614</t>
  </si>
  <si>
    <t>1h35m52.2s</t>
  </si>
  <si>
    <t>+33h40m55s</t>
  </si>
  <si>
    <t>pretty faint, pretty suddenly brighter middle, stellar</t>
  </si>
  <si>
    <t>pF, psbM, stellar</t>
  </si>
  <si>
    <t>NGC615</t>
  </si>
  <si>
    <t>1h35m5.7s</t>
  </si>
  <si>
    <t>-7h20m25s</t>
  </si>
  <si>
    <t>pretty bright, pretty large, irregularly a little extended, gradually brighter middle, mottled but not resolved, 8th magnitude star 10 arcmin to northwest</t>
  </si>
  <si>
    <t>pB, pL, ilE, gbM, r, * 8 np 10'</t>
  </si>
  <si>
    <t>NGC616</t>
  </si>
  <si>
    <t>1h36m4.2s</t>
  </si>
  <si>
    <t>+33h46m15s</t>
  </si>
  <si>
    <t>nebulous double star, 8th magnitude star to northwest</t>
  </si>
  <si>
    <t>Neb D *, * 8 np</t>
  </si>
  <si>
    <t>NGC617</t>
  </si>
  <si>
    <t>1h34m2.5s</t>
  </si>
  <si>
    <t>-9h46m25s</t>
  </si>
  <si>
    <t>NGC618</t>
  </si>
  <si>
    <t>1h41m36.8s</t>
  </si>
  <si>
    <t>+33h17m42s</t>
  </si>
  <si>
    <t>pB, pL, bM (? Place)</t>
  </si>
  <si>
    <t>NGC619</t>
  </si>
  <si>
    <t>1h34m51.7s</t>
  </si>
  <si>
    <t>-36h29m22s</t>
  </si>
  <si>
    <t>most extremely faint, very small, round, western of 2</t>
  </si>
  <si>
    <t>eeF, vS, R, p of 2</t>
  </si>
  <si>
    <t>NGC620</t>
  </si>
  <si>
    <t>C/P</t>
  </si>
  <si>
    <t>1h36m59.6s</t>
  </si>
  <si>
    <t>+42h19m22s</t>
  </si>
  <si>
    <t>NGC621</t>
  </si>
  <si>
    <t>1h36m48.9s</t>
  </si>
  <si>
    <t>+35h30m45s</t>
  </si>
  <si>
    <t>very faint, extremely small, round, brighter middle and nucleus</t>
  </si>
  <si>
    <t>vF, eS, R, bMN</t>
  </si>
  <si>
    <t>NGC622</t>
  </si>
  <si>
    <t>1h36m0.1s</t>
  </si>
  <si>
    <t>+0h39m49s</t>
  </si>
  <si>
    <t>extremely faint, pretty large, diffuse</t>
  </si>
  <si>
    <t>eF, pL, dif</t>
  </si>
  <si>
    <t>NGC623</t>
  </si>
  <si>
    <t>1h35m6.5s</t>
  </si>
  <si>
    <t>-36h29m24s</t>
  </si>
  <si>
    <t>faint, small, round, eastern of 2</t>
  </si>
  <si>
    <t>F, S, R, f of 2</t>
  </si>
  <si>
    <t>NGC624</t>
  </si>
  <si>
    <t>1h35m51.2s</t>
  </si>
  <si>
    <t>-10h0m11s</t>
  </si>
  <si>
    <t>extremely faint, small, among very small (faint) stars</t>
  </si>
  <si>
    <t>eF, S, am vS st</t>
  </si>
  <si>
    <t>NGC625</t>
  </si>
  <si>
    <t>1h35m4.4s</t>
  </si>
  <si>
    <t>-41h26m15s</t>
  </si>
  <si>
    <t>bright, large, much extended, gradually pretty much brighter middle</t>
  </si>
  <si>
    <t>B, L, mE, gpmbM</t>
  </si>
  <si>
    <t>NGC626</t>
  </si>
  <si>
    <t>1h35m11.9s</t>
  </si>
  <si>
    <t>-39h8m46s</t>
  </si>
  <si>
    <t>pretty faint, small, round, brighter middle</t>
  </si>
  <si>
    <t>NGC627</t>
  </si>
  <si>
    <t>1h42m37s</t>
  </si>
  <si>
    <t>+33h34m44s</t>
  </si>
  <si>
    <t>vF, R, place doubtful</t>
  </si>
  <si>
    <t>NGC628</t>
  </si>
  <si>
    <t>幻影星系</t>
  </si>
  <si>
    <t>1h36m41.7s</t>
  </si>
  <si>
    <t>+15h47m0s</t>
  </si>
  <si>
    <t>a globular cluster, faint, very large, round, very gradually then pretty suddenly much brighter middle, partially resolved, some stars seen</t>
  </si>
  <si>
    <t>globular, F, vL, R, vg, psmbM, rr</t>
  </si>
  <si>
    <t>NGC629</t>
  </si>
  <si>
    <t>1h39m2.1s</t>
  </si>
  <si>
    <t>+72h52m6s</t>
  </si>
  <si>
    <t>an irregular figure, 3 stars plus nebulosity (Auwers 15)</t>
  </si>
  <si>
    <t>iF, 3 st + neb (Auw 16)</t>
  </si>
  <si>
    <t>NGC630</t>
  </si>
  <si>
    <t>1h35m36.6s</t>
  </si>
  <si>
    <t>-39h21m28s</t>
  </si>
  <si>
    <t>NGC631</t>
  </si>
  <si>
    <t>1h36m47s</t>
  </si>
  <si>
    <t>+5h50m9s</t>
  </si>
  <si>
    <t>very faint, small, gradually brighter middle</t>
  </si>
  <si>
    <t>vF, S, gbM</t>
  </si>
  <si>
    <t>NGC632</t>
  </si>
  <si>
    <t>1h37m17.5s</t>
  </si>
  <si>
    <t>+5h52m38s</t>
  </si>
  <si>
    <t>pretty bright, small, round, pretty suddenly brighter middle</t>
  </si>
  <si>
    <t>pB, S, R, psbM</t>
  </si>
  <si>
    <t>NGC633</t>
  </si>
  <si>
    <t>1h36m23.3s</t>
  </si>
  <si>
    <t>-37h19m15s</t>
  </si>
  <si>
    <t>pretty bright, small, round, gradually brighter middle, double star to northwest</t>
  </si>
  <si>
    <t>pB, S, R, gbM, ** np</t>
  </si>
  <si>
    <t>NGC634</t>
  </si>
  <si>
    <t>1h38m18.6s</t>
  </si>
  <si>
    <t>+35h21m53s</t>
  </si>
  <si>
    <t>extremely faint, extremely small, several faint stars involved</t>
  </si>
  <si>
    <t>eF, eS, sev F st inv</t>
  </si>
  <si>
    <t>NGC635</t>
  </si>
  <si>
    <t>1h38m17.9s</t>
  </si>
  <si>
    <t>-22h55m44s</t>
  </si>
  <si>
    <t>NGC636</t>
  </si>
  <si>
    <t>1h39m6.5s</t>
  </si>
  <si>
    <t>-7h30m44s</t>
  </si>
  <si>
    <t>pretty bright, very small, round, much brighter middle, mottled but not resolved</t>
  </si>
  <si>
    <t>pB, vS, R, mbM, r</t>
  </si>
  <si>
    <t>NGC637</t>
  </si>
  <si>
    <t>I3p</t>
  </si>
  <si>
    <t>1h43m3s</t>
  </si>
  <si>
    <t>+64h2m12s</t>
  </si>
  <si>
    <t>a cluster, pretty small, bright and very faint stars</t>
  </si>
  <si>
    <t>Cl, pS, B &amp; vF st</t>
  </si>
  <si>
    <t>NGC638</t>
  </si>
  <si>
    <t>1h39m37.8s</t>
  </si>
  <si>
    <t>+7h14m14s</t>
  </si>
  <si>
    <t>NGC639</t>
  </si>
  <si>
    <t>1h38m59.1s</t>
  </si>
  <si>
    <t>-29h55m30s</t>
  </si>
  <si>
    <t>very faint, very small, western of 2</t>
  </si>
  <si>
    <t>vF, vS, p of 2</t>
  </si>
  <si>
    <t>NGC640</t>
  </si>
  <si>
    <t>1h39m24.9s</t>
  </si>
  <si>
    <t>-9h24m4s</t>
  </si>
  <si>
    <t>extremely faint, small, a little extended 170°, a little brighter middle and nucleus, a star about 10 seconds of time and 4 arcmin distant</t>
  </si>
  <si>
    <t>eF, S, lE 170°, lbMN, * 10 s 4'</t>
  </si>
  <si>
    <t>NGC641</t>
  </si>
  <si>
    <t>1h38m39s</t>
  </si>
  <si>
    <t>-42h31m39s</t>
  </si>
  <si>
    <t>faint, small, round, gradually pretty much brighter middle, western of 2</t>
  </si>
  <si>
    <t>F, S, R, gpmbM, p of 2</t>
  </si>
  <si>
    <t>NGC642</t>
  </si>
  <si>
    <t>1h39m6.2s</t>
  </si>
  <si>
    <t>-29h54m55s</t>
  </si>
  <si>
    <t>very faint, pretty small, round, gradually brighter middle, star near to east, eastern of 2</t>
  </si>
  <si>
    <t>vF, pS, R, gbM, * f, nr, f of 2</t>
  </si>
  <si>
    <t>NGC643</t>
  </si>
  <si>
    <t>1h35m0.7s</t>
  </si>
  <si>
    <t>-75h33m24s</t>
  </si>
  <si>
    <t>very faint, pretty small, round, very gradually a little brighter middle</t>
  </si>
  <si>
    <t>vF, pS, R, vglbM</t>
  </si>
  <si>
    <t>NGC644</t>
  </si>
  <si>
    <t>1h38m52.8s</t>
  </si>
  <si>
    <t>-42h35m8s</t>
  </si>
  <si>
    <t>faint, small, very little extended, gradually a little brighter middle, eastern of 2</t>
  </si>
  <si>
    <t>F, S, vlE, glbM, f of 2</t>
  </si>
  <si>
    <t>NGC645</t>
  </si>
  <si>
    <t>1h40m8.8s</t>
  </si>
  <si>
    <t>+5h43m34s</t>
  </si>
  <si>
    <t>faint, pretty large, much extended</t>
  </si>
  <si>
    <t>F, pL, mE</t>
  </si>
  <si>
    <t>NGC646</t>
  </si>
  <si>
    <t>1h37m21.1s</t>
  </si>
  <si>
    <t>-64h53m43s</t>
  </si>
  <si>
    <t>very faint, irregularly round, very gradually a little brighter middle</t>
  </si>
  <si>
    <t>vF, iR, vglbM</t>
  </si>
  <si>
    <t>NGC647</t>
  </si>
  <si>
    <t>1h39m56.1s</t>
  </si>
  <si>
    <t>-9h14m31s</t>
  </si>
  <si>
    <t>extremely faint, pretty small, a little extended 160°, brighter middle and nucleus, 8th magnitude star 16 seconds of time to east</t>
  </si>
  <si>
    <t>eF, pS, lE 160°, bMN, * 8 f 16s</t>
  </si>
  <si>
    <t>NGC648</t>
  </si>
  <si>
    <t>1h38m39.8s</t>
  </si>
  <si>
    <t>-17h49m52s</t>
  </si>
  <si>
    <t>very faint, very small, very little extended, suddenly brighter middle and nucleus</t>
  </si>
  <si>
    <t>vF, vS, vlE, sbMN</t>
  </si>
  <si>
    <t>NGC649</t>
  </si>
  <si>
    <t>1h40m7.5s</t>
  </si>
  <si>
    <t>-9h16m18s</t>
  </si>
  <si>
    <t>extremely faint, small, extended 0°, brighter middle or double star?</t>
  </si>
  <si>
    <t>eF, S, E 0°, bM D * ?</t>
  </si>
  <si>
    <t>NGC650</t>
  </si>
  <si>
    <t>小哑铃星云</t>
  </si>
  <si>
    <t>英仙座</t>
  </si>
  <si>
    <t>PER</t>
  </si>
  <si>
    <t>1h42m18.1s</t>
  </si>
  <si>
    <t>+51h34m17s</t>
  </si>
  <si>
    <t>very bright, eastern of double nebula</t>
  </si>
  <si>
    <t>vB, p of D neb</t>
  </si>
  <si>
    <t>NGC651</t>
  </si>
  <si>
    <t>1h42m22s</t>
  </si>
  <si>
    <t>+51h34m50s</t>
  </si>
  <si>
    <t>very bright, western of double nebula</t>
  </si>
  <si>
    <t>vB, f of D neb</t>
  </si>
  <si>
    <t>NGC652</t>
  </si>
  <si>
    <t>1h40m43.2s</t>
  </si>
  <si>
    <t>+7h59m0s</t>
  </si>
  <si>
    <t>most extremely faint, pretty small, round, very difficult</t>
  </si>
  <si>
    <t>eeF, pS, R, v diffic</t>
  </si>
  <si>
    <t>NGC653</t>
  </si>
  <si>
    <t>1h42m25.6s</t>
  </si>
  <si>
    <t>+35h38m19s</t>
  </si>
  <si>
    <t>very faint, pretty large, much extended, a little brighter middle, several faint stars involved</t>
  </si>
  <si>
    <t>vF, pL, mE, lbM, sev F st inv</t>
  </si>
  <si>
    <t>NGC654</t>
  </si>
  <si>
    <t>迷蝶星团</t>
  </si>
  <si>
    <t>II3m</t>
  </si>
  <si>
    <t>1h43m59.4s</t>
  </si>
  <si>
    <t>+61h52m58s</t>
  </si>
  <si>
    <t>a cluster, irregular figure, rich, one magnitude 6 or 7 star, stars from 11th to 14th magnitude</t>
  </si>
  <si>
    <t>Cl, iF, Ri, one * 6·7, st 11…14</t>
  </si>
  <si>
    <t>NGC655</t>
  </si>
  <si>
    <t>1h41m55.1s</t>
  </si>
  <si>
    <t>-13h4m57s</t>
  </si>
  <si>
    <t>extremely faint, extremely small, gradually brighter middle and nucleus</t>
  </si>
  <si>
    <t>eF, eS, gbMN</t>
  </si>
  <si>
    <t>NGC656</t>
  </si>
  <si>
    <t>1h42m27.3s</t>
  </si>
  <si>
    <t>+26h8m36s</t>
  </si>
  <si>
    <t>faint, very small, round, mottled but not resolved?</t>
  </si>
  <si>
    <t>F, vS, R, r ?</t>
  </si>
  <si>
    <t>NGC657</t>
  </si>
  <si>
    <t>1h43m29.8s</t>
  </si>
  <si>
    <t>+55h52m30s</t>
  </si>
  <si>
    <t>a cluster, pretty rich, 12th magnitude stars</t>
  </si>
  <si>
    <t>Cl, pRi, st 12</t>
  </si>
  <si>
    <t>NGC658</t>
  </si>
  <si>
    <t>1h42m9.8s</t>
  </si>
  <si>
    <t>+12h36m5s</t>
  </si>
  <si>
    <t>pretty faint, pretty small, much extended, much brighter middle</t>
  </si>
  <si>
    <t>pF, pS, mE, mbM</t>
  </si>
  <si>
    <t>NGC659</t>
  </si>
  <si>
    <t>阴阳星团</t>
  </si>
  <si>
    <t>1h44m24s</t>
  </si>
  <si>
    <t>+60h40m12s</t>
  </si>
  <si>
    <t>a cluster, a little rich, bright stars</t>
  </si>
  <si>
    <t>Cl, lRi, st B</t>
  </si>
  <si>
    <t>NGC660</t>
  </si>
  <si>
    <t>SBa/PRG</t>
  </si>
  <si>
    <t>1h43m1.8s</t>
  </si>
  <si>
    <t>+13h38m37s</t>
  </si>
  <si>
    <t>pretty bright, pretty large, extended, brighter middle, mottled but not resolved</t>
  </si>
  <si>
    <t>pB, pL, E, bM, r</t>
  </si>
  <si>
    <t>NGC661</t>
  </si>
  <si>
    <t>1h44m14.6s</t>
  </si>
  <si>
    <t>+28h42m24s</t>
  </si>
  <si>
    <t>faint, small, round, brighter middle, mottled but not resolved</t>
  </si>
  <si>
    <t>F, S, R, bM, r</t>
  </si>
  <si>
    <t>NGC662</t>
  </si>
  <si>
    <t>1h44m35.5s</t>
  </si>
  <si>
    <t>+37h41m47s</t>
  </si>
  <si>
    <t>NGC663</t>
  </si>
  <si>
    <t>割草机星团</t>
  </si>
  <si>
    <t>III2m</t>
  </si>
  <si>
    <t>1h46m17s</t>
  </si>
  <si>
    <t>+61h13m6s</t>
  </si>
  <si>
    <t>a cluster, bright, large, extremely rich, pretty large (bright) stars</t>
  </si>
  <si>
    <t>Cl, B, L, eRi, st pL</t>
  </si>
  <si>
    <t>NGC664</t>
  </si>
  <si>
    <t>1h43m45.9s</t>
  </si>
  <si>
    <t>+4h13m21s</t>
  </si>
  <si>
    <t>NGC665</t>
  </si>
  <si>
    <t>1h44m56s</t>
  </si>
  <si>
    <t>+10h25m23s</t>
  </si>
  <si>
    <t>faint, small, a little extended, brighter middle, mottled but not resolved</t>
  </si>
  <si>
    <t>F, S, lE, bM, r</t>
  </si>
  <si>
    <t>NGC666</t>
  </si>
  <si>
    <t>1h46m6s</t>
  </si>
  <si>
    <t>+34h22m29s</t>
  </si>
  <si>
    <t>very faint star in extremely faint, extremely small nebulosity</t>
  </si>
  <si>
    <t>vF * in eF, eS neby</t>
  </si>
  <si>
    <t>NGC667</t>
  </si>
  <si>
    <t>1h44m56.6s</t>
  </si>
  <si>
    <t>-22h55m9s</t>
  </si>
  <si>
    <t>extremely faint, small, round, 10th magnitude star 100 arcsec to northwest</t>
  </si>
  <si>
    <t>eF, S, R, * 10 np 100"</t>
  </si>
  <si>
    <t>NGC668</t>
  </si>
  <si>
    <t>1h46m22.6s</t>
  </si>
  <si>
    <t>+36h27m36s</t>
  </si>
  <si>
    <t>pretty faint, pretty small, round, gradually brighter middle</t>
  </si>
  <si>
    <t>pF, pS, R, gbM</t>
  </si>
  <si>
    <t>NGC669</t>
  </si>
  <si>
    <t>1h47m16s</t>
  </si>
  <si>
    <t>+35h33m47s</t>
  </si>
  <si>
    <t>pretty faint, pretty large, much extended, gradually brighter middle</t>
  </si>
  <si>
    <t>pF, pL, mE, gbM</t>
  </si>
  <si>
    <t>NGC670</t>
  </si>
  <si>
    <t>1h47m24.9s</t>
  </si>
  <si>
    <t>+27h53m10s</t>
  </si>
  <si>
    <t>faint, small, a little extended</t>
  </si>
  <si>
    <t>F, S, lE</t>
  </si>
  <si>
    <t>NGC671</t>
  </si>
  <si>
    <t>白羊座</t>
  </si>
  <si>
    <t>ARI</t>
  </si>
  <si>
    <t>1h46m59.1s</t>
  </si>
  <si>
    <t>+13h7m31s</t>
  </si>
  <si>
    <t>extremely faint, pretty small, round, between star and double star</t>
  </si>
  <si>
    <t>eF, pS, R, bet D * and *</t>
  </si>
  <si>
    <t>NGC672</t>
  </si>
  <si>
    <t>1h47m54s</t>
  </si>
  <si>
    <t>+27h25m58s</t>
  </si>
  <si>
    <t>faint, pretty large, much extended 80°</t>
  </si>
  <si>
    <t>F, pL, mE 80°</t>
  </si>
  <si>
    <t>NGC673</t>
  </si>
  <si>
    <t>1h48m22.4s</t>
  </si>
  <si>
    <t>+11h31m17s</t>
  </si>
  <si>
    <t>pretty faint, pretty large, extended, a little brighter middle, 11th magnitude star 3 arcmin to northeast</t>
  </si>
  <si>
    <t>pF, pL, E, lbM, * 11 nf 3'</t>
  </si>
  <si>
    <t>NGC674</t>
  </si>
  <si>
    <t>1h51m17.5s</t>
  </si>
  <si>
    <t>+22h21m27s</t>
  </si>
  <si>
    <t>pretty bright, very much extended, 14th magntude star 8 seconds of time to east</t>
  </si>
  <si>
    <t>pB, vmE, * 14 f 8s</t>
  </si>
  <si>
    <t>NGC675</t>
  </si>
  <si>
    <t>1h49m8.5s</t>
  </si>
  <si>
    <t>+13h3m35s</t>
  </si>
  <si>
    <t>very faint, small, round, a little brighter middle, southwestern of 2</t>
  </si>
  <si>
    <t>vF, S, R, lbM, sp of 2</t>
  </si>
  <si>
    <t>NGC676</t>
  </si>
  <si>
    <t>1h48m57.2s</t>
  </si>
  <si>
    <t>+5h54m22s</t>
  </si>
  <si>
    <t>very faint, extended 161°, suddenly brighter middle equivalent to 9th magnitude star</t>
  </si>
  <si>
    <t>vF, E 161°, sbM * 9</t>
  </si>
  <si>
    <t>NGC677</t>
  </si>
  <si>
    <t>1h49m14s</t>
  </si>
  <si>
    <t>+13h3m21s</t>
  </si>
  <si>
    <t>most extremely faint, small, round, northeastern of 2</t>
  </si>
  <si>
    <t>eeF, S, R, nf of 2</t>
  </si>
  <si>
    <t>NGC678</t>
  </si>
  <si>
    <t>1h49m24.8s</t>
  </si>
  <si>
    <t>+21h59m49s</t>
  </si>
  <si>
    <t>pretty bright, small, irregularly round, much brighter middle, western of 2</t>
  </si>
  <si>
    <t>pB, S, iR, mbM, p of 2</t>
  </si>
  <si>
    <t>NGC679</t>
  </si>
  <si>
    <t>1h49m43.7s</t>
  </si>
  <si>
    <t>+35h47m10s</t>
  </si>
  <si>
    <t>faint, stellar</t>
  </si>
  <si>
    <t>F, Stellar</t>
  </si>
  <si>
    <t>NGC680</t>
  </si>
  <si>
    <t>1h49m47.3s</t>
  </si>
  <si>
    <t>+21h58m16s</t>
  </si>
  <si>
    <t>pretty bright, small, irregularly round, much brighter middle, eastern of 2</t>
  </si>
  <si>
    <t>pB, S, iR, mbM, f of 2</t>
  </si>
  <si>
    <t>NGC681</t>
  </si>
  <si>
    <t>1h49m10.8s</t>
  </si>
  <si>
    <t>-10h25m38s</t>
  </si>
  <si>
    <t>pretty faint, considerably large, round, gradually a little brighter middle, small (faint) star 90 arcsec to west</t>
  </si>
  <si>
    <t>pF, cL, R, glbM, S * p 90"</t>
  </si>
  <si>
    <t>NGC682</t>
  </si>
  <si>
    <t>1h49m4.4s</t>
  </si>
  <si>
    <t>-14h58m28s</t>
  </si>
  <si>
    <t>considerably faint, small, round, gradually very little brighter middle</t>
  </si>
  <si>
    <t>cF, S, R, gvlbM</t>
  </si>
  <si>
    <t>NGC683</t>
  </si>
  <si>
    <t>1h49m46.6s</t>
  </si>
  <si>
    <t>+11h42m7s</t>
  </si>
  <si>
    <t>extremely faint, two 14th magnitude stars 90 arcsec to west</t>
  </si>
  <si>
    <t>eF, 2 st 14 p 90"</t>
  </si>
  <si>
    <t>NGC684</t>
  </si>
  <si>
    <t>1h50m14.1s</t>
  </si>
  <si>
    <t>+27h38m46s</t>
  </si>
  <si>
    <t>faint, very little extended, 13th magnitude star 100 arcsec to east</t>
  </si>
  <si>
    <t>F, vlE, * 13 f 100"</t>
  </si>
  <si>
    <t>NGC685</t>
  </si>
  <si>
    <t>波江座</t>
  </si>
  <si>
    <t>ERI</t>
  </si>
  <si>
    <t>1h47m42.8s</t>
  </si>
  <si>
    <t>-52h45m43s</t>
  </si>
  <si>
    <t>faint, very large, round, very gradually very little brighter middle</t>
  </si>
  <si>
    <t>F, vL, R, vgvlbM</t>
  </si>
  <si>
    <t>NGC686</t>
  </si>
  <si>
    <t>天炉座</t>
  </si>
  <si>
    <t>FOR</t>
  </si>
  <si>
    <t>1h48m56s</t>
  </si>
  <si>
    <t>-23h47m53s</t>
  </si>
  <si>
    <t>very faint, very small, round, gradually brighter middle, extremely mottled but not resolved, 2 stars near</t>
  </si>
  <si>
    <t>vF, vS, R, gbM, er, 2 st nr</t>
  </si>
  <si>
    <t>NGC687</t>
  </si>
  <si>
    <t>1h50m33.2s</t>
  </si>
  <si>
    <t>+36h22m15s</t>
  </si>
  <si>
    <t>very faint, stellar</t>
  </si>
  <si>
    <t>vF, stellar</t>
  </si>
  <si>
    <t>NGC688</t>
  </si>
  <si>
    <t>1h50m44.1s</t>
  </si>
  <si>
    <t>+35h17m5s</t>
  </si>
  <si>
    <t>very faint, very small, mottled but not resolved?</t>
  </si>
  <si>
    <t>vF, vS, r ?</t>
  </si>
  <si>
    <t>NGC689</t>
  </si>
  <si>
    <t>1h49m51.5s</t>
  </si>
  <si>
    <t>-27h27m59s</t>
  </si>
  <si>
    <t>NGC690</t>
  </si>
  <si>
    <t>1h47m48s</t>
  </si>
  <si>
    <t>-16h43m17s</t>
  </si>
  <si>
    <t>very faint, very small, round, a little brighter middle</t>
  </si>
  <si>
    <t>vF, vS, R, lbM</t>
  </si>
  <si>
    <t>NGC691</t>
  </si>
  <si>
    <t>1h50m41.7s</t>
  </si>
  <si>
    <t>+21h45m37s</t>
  </si>
  <si>
    <t>faint, considerably large, very gradually a little brighter middle</t>
  </si>
  <si>
    <t>F, cL, vglbM</t>
  </si>
  <si>
    <t>NGC692</t>
  </si>
  <si>
    <t>1h48m42.2s</t>
  </si>
  <si>
    <t>-48h38m53s</t>
  </si>
  <si>
    <t>bright, small, round, gradually brighter middle</t>
  </si>
  <si>
    <t>B, S, R, gbM</t>
  </si>
  <si>
    <t>NGC693</t>
  </si>
  <si>
    <t>1h50m30.9s</t>
  </si>
  <si>
    <t>+6h8m41s</t>
  </si>
  <si>
    <t>pretty faint, small, extended 90°, very gradually a little brighter middle, 10th magnitude star to northeast</t>
  </si>
  <si>
    <t>pF, S, E 90°, vglbM, * 10 nf</t>
  </si>
  <si>
    <t>NGC694</t>
  </si>
  <si>
    <t>1h50m58.4s</t>
  </si>
  <si>
    <t>faint, small, round, between two 15th magnitude stars</t>
  </si>
  <si>
    <t>F, S, R, bet 2 st 15</t>
  </si>
  <si>
    <t>NGC695</t>
  </si>
  <si>
    <t>1h51m14.2s</t>
  </si>
  <si>
    <t>+22h34m58s</t>
  </si>
  <si>
    <t>very small, stellar</t>
  </si>
  <si>
    <t>vS, stellar</t>
  </si>
  <si>
    <t>NGC696</t>
  </si>
  <si>
    <t>1h49m31.2s</t>
  </si>
  <si>
    <t>-34h54m18s</t>
  </si>
  <si>
    <t>NGC697</t>
  </si>
  <si>
    <t>F, cL, E, mbM</t>
  </si>
  <si>
    <t>NGC698</t>
  </si>
  <si>
    <t>1h49m43.6s</t>
  </si>
  <si>
    <t>-34h49m53s</t>
  </si>
  <si>
    <t>NGC699</t>
  </si>
  <si>
    <t>1h50m43.6s</t>
  </si>
  <si>
    <t>-12h2m8s</t>
  </si>
  <si>
    <t>extremely faint, pretty small, extended 105°, brighter on northwest, curved</t>
  </si>
  <si>
    <t>eF, pS, E 105°, bnp, curved</t>
  </si>
  <si>
    <t>NGC700</t>
  </si>
  <si>
    <t>1h52m16.8s</t>
  </si>
  <si>
    <t>+36h2m12s</t>
  </si>
  <si>
    <t>extremely faint, very small, round, southwest of h 157</t>
  </si>
  <si>
    <t>eF, vS, R, sp h 157</t>
  </si>
  <si>
    <t>NGC701</t>
  </si>
  <si>
    <t>1h51m3.8s</t>
  </si>
  <si>
    <t>-9h42m12s</t>
  </si>
  <si>
    <t>faint, pretty large, extended, very gradually very little brighter middle, mottled but not resolved</t>
  </si>
  <si>
    <t>F, pL, E, vgvlbM, r</t>
  </si>
  <si>
    <t>NGC702</t>
  </si>
  <si>
    <t>SBbc/P</t>
  </si>
  <si>
    <t>1h51m19.2s</t>
  </si>
  <si>
    <t>-4h3m20s</t>
  </si>
  <si>
    <t>extremely faint, very little extended 0°, 13th magnitude star 90 arcsec to south</t>
  </si>
  <si>
    <t>eF, vlE 0°, * 13 s 90"</t>
  </si>
  <si>
    <t>NGC703</t>
  </si>
  <si>
    <t>1h52m39.6s</t>
  </si>
  <si>
    <t>+36h10m20s</t>
  </si>
  <si>
    <t>very faint, very small, round, 1st of 4</t>
  </si>
  <si>
    <t>vF, vS, R, 1st of 4</t>
  </si>
  <si>
    <t>NGC704</t>
  </si>
  <si>
    <t>1h52m37.7s</t>
  </si>
  <si>
    <t>+36h7m37s</t>
  </si>
  <si>
    <t>very faint, very small, round, 2nd of 4</t>
  </si>
  <si>
    <t>vF, vS, R, 2nd of 4</t>
  </si>
  <si>
    <t>NGC705</t>
  </si>
  <si>
    <t>1h52m41.6s</t>
  </si>
  <si>
    <t>+36h8m40s</t>
  </si>
  <si>
    <t>very faint, very small, round, 3rd of 4</t>
  </si>
  <si>
    <t>vF, vS, R, 3rd of 4</t>
  </si>
  <si>
    <t>NGC706</t>
  </si>
  <si>
    <t>1h51m50.7s</t>
  </si>
  <si>
    <t>+6h17m46s</t>
  </si>
  <si>
    <t>faint, small, brighter middle, 13th magnitude star 1 arcmin to north</t>
  </si>
  <si>
    <t>F, S, bM, * 13 n 1'</t>
  </si>
  <si>
    <t>NGC707</t>
  </si>
  <si>
    <t>1h51m27s</t>
  </si>
  <si>
    <t>-8h30m22s</t>
  </si>
  <si>
    <t>very faint, faint star in centre</t>
  </si>
  <si>
    <t>vF, F * in centre</t>
  </si>
  <si>
    <t>NGC708</t>
  </si>
  <si>
    <t>1h52m46.4s</t>
  </si>
  <si>
    <t>+36h9m8s</t>
  </si>
  <si>
    <t>faint, pretty large, brighter middle, 4th of 4</t>
  </si>
  <si>
    <t>F, pL, bM, 4th of 4</t>
  </si>
  <si>
    <t>NGC709</t>
  </si>
  <si>
    <t>1h52m50.6s</t>
  </si>
  <si>
    <t>+36h13m23s</t>
  </si>
  <si>
    <t>very faint, pretty small, between 2 stars, group to southwest</t>
  </si>
  <si>
    <t>vF, pS, bet 2 st, group sp</t>
  </si>
  <si>
    <t>NGC710</t>
  </si>
  <si>
    <t>1h52m54s</t>
  </si>
  <si>
    <t>+36h3m12s</t>
  </si>
  <si>
    <t>very faint, pretty small, 2 stars to south</t>
  </si>
  <si>
    <t>vF, pS, 2 st s</t>
  </si>
  <si>
    <t>NGC711</t>
  </si>
  <si>
    <t>1h52m27.7s</t>
  </si>
  <si>
    <t>+17h30m47s</t>
  </si>
  <si>
    <t>very faint star in very faint, very small nebulosity</t>
  </si>
  <si>
    <t>vF * in vF, vS neby</t>
  </si>
  <si>
    <t>NGC712</t>
  </si>
  <si>
    <t>1h53m8.4s</t>
  </si>
  <si>
    <t>+36h49m11s</t>
  </si>
  <si>
    <t>very faint, round, among pretty bright stars</t>
  </si>
  <si>
    <t>vF, R, am pB st</t>
  </si>
  <si>
    <t>NGC713</t>
  </si>
  <si>
    <t>1h55m21.6s</t>
  </si>
  <si>
    <t>-9h5m0s</t>
  </si>
  <si>
    <t>extremely faint, pretty small, extended 90°, gradually a little brighter middle and nucleus, 14th magnitude star to northwest</t>
  </si>
  <si>
    <t>eF, pS, E 90°, glbMN, * 14 np</t>
  </si>
  <si>
    <t>NGC714</t>
  </si>
  <si>
    <t>1h53m29.6s</t>
  </si>
  <si>
    <t>+36h13m17s</t>
  </si>
  <si>
    <t>faint, very small, round, two 13th magnitude stars to west and northwest</t>
  </si>
  <si>
    <t>F, vS, R, 2 st 13 p and np</t>
  </si>
  <si>
    <t>NGC715</t>
  </si>
  <si>
    <t>1h53m12.4s</t>
  </si>
  <si>
    <t>-12h52m24s</t>
  </si>
  <si>
    <t>extremely faint, small, gradually brighter middle and nucleus</t>
  </si>
  <si>
    <t>eF, S, gbMN</t>
  </si>
  <si>
    <t>NGC716</t>
  </si>
  <si>
    <t>1h52m59.5s</t>
  </si>
  <si>
    <t>+12h42m30s</t>
  </si>
  <si>
    <t>extremely faint, small, round, bright star to east</t>
  </si>
  <si>
    <t>eF, S, R, B * f</t>
  </si>
  <si>
    <t>NGC717</t>
  </si>
  <si>
    <t>1h53m55s</t>
  </si>
  <si>
    <t>+36h13m47s</t>
  </si>
  <si>
    <t>very faint, pretty small, 15th magnitude star 1 arcmin to southeast</t>
  </si>
  <si>
    <t>vF, pS, * 15 sf 1'</t>
  </si>
  <si>
    <t>NGC718</t>
  </si>
  <si>
    <t>1h53m13s</t>
  </si>
  <si>
    <t>+4h11m44s</t>
  </si>
  <si>
    <t>pretty bright, small, irregularly round, pretty suddenly much brighter middle</t>
  </si>
  <si>
    <t>pB, S, iR, psmbM</t>
  </si>
  <si>
    <t>NGC719</t>
  </si>
  <si>
    <t>1h53m38.8s</t>
  </si>
  <si>
    <t>+19h50m27s</t>
  </si>
  <si>
    <t>extremely faint, round, very faint star to east</t>
  </si>
  <si>
    <t>eF, R, vF * f</t>
  </si>
  <si>
    <t>NGC720</t>
  </si>
  <si>
    <t>1h53m0.4s</t>
  </si>
  <si>
    <t>-13h44m19s</t>
  </si>
  <si>
    <t>considerably bright, pretty large, a little extended, pretty suddenly much brighter middle</t>
  </si>
  <si>
    <t>cB, pL, lE, psmbM</t>
  </si>
  <si>
    <t>NGC721</t>
  </si>
  <si>
    <t>1h54m45.4s</t>
  </si>
  <si>
    <t>+39h22m59s</t>
  </si>
  <si>
    <t>extremely faint, pretty large</t>
  </si>
  <si>
    <t>eF, pL</t>
  </si>
  <si>
    <t>NGC722</t>
  </si>
  <si>
    <t>1h54m46.9s</t>
  </si>
  <si>
    <t>+20h41m54s</t>
  </si>
  <si>
    <t>very faint, very small, round, β Arietis to north</t>
  </si>
  <si>
    <t>vF, vS, R, β Arietis n</t>
  </si>
  <si>
    <t>NGC723</t>
  </si>
  <si>
    <t>1h53m45.6s</t>
  </si>
  <si>
    <t>-23h45m26s</t>
  </si>
  <si>
    <t>pretty faint, very small, round, very gradually brighter middle</t>
  </si>
  <si>
    <t>pF, vS, R, vgbM</t>
  </si>
  <si>
    <t>NGC724</t>
  </si>
  <si>
    <t>vF, pL, R, gbM, S * ssp [?=h 166]</t>
  </si>
  <si>
    <t>NGC725</t>
  </si>
  <si>
    <t>1h52m35.3s</t>
  </si>
  <si>
    <t>-16h31m3s</t>
  </si>
  <si>
    <t>NGC726</t>
  </si>
  <si>
    <t>Sd</t>
  </si>
  <si>
    <t>1h55m31.9s</t>
  </si>
  <si>
    <t>-10h47m58s</t>
  </si>
  <si>
    <t>very faint, pretty large, irregularly round, 9th magnitude star 3 arcmin to east</t>
  </si>
  <si>
    <t>vF, pL, iR, * 9 3' f</t>
  </si>
  <si>
    <t>NGC727</t>
  </si>
  <si>
    <t>1h53m49.3s</t>
  </si>
  <si>
    <t>-35h51m21s</t>
  </si>
  <si>
    <t>NGC728</t>
  </si>
  <si>
    <t>1h55m1.5s</t>
  </si>
  <si>
    <t>+4h13m22s</t>
  </si>
  <si>
    <t>suspected nebula (d'Arrest, not found)</t>
  </si>
  <si>
    <t>Suspected neb (d'A, not found)</t>
  </si>
  <si>
    <t>NGC729</t>
  </si>
  <si>
    <t>eeF, S, R</t>
  </si>
  <si>
    <t>NGC730</t>
  </si>
  <si>
    <t>1h55m18s</t>
  </si>
  <si>
    <t>+5h38m9s</t>
  </si>
  <si>
    <t>very faint, very stellar</t>
  </si>
  <si>
    <t>vF, very stellar</t>
  </si>
  <si>
    <t>NGC731</t>
  </si>
  <si>
    <t>1h54m55.9s</t>
  </si>
  <si>
    <t>-9h0m41s</t>
  </si>
  <si>
    <t>NGC732</t>
  </si>
  <si>
    <t>1h56m27.7s</t>
  </si>
  <si>
    <t>+36h48m8s</t>
  </si>
  <si>
    <t>a very faint star in very faint, very small, round nebulosity</t>
  </si>
  <si>
    <t>vF * in vF, vS, R neby</t>
  </si>
  <si>
    <t>NGC733</t>
  </si>
  <si>
    <t>1h56m33.8s</t>
  </si>
  <si>
    <t>+33h3m21s</t>
  </si>
  <si>
    <t>very faint, 2 arcmin west of h 169</t>
  </si>
  <si>
    <t>vF, 2' p h 169</t>
  </si>
  <si>
    <t>NGC734</t>
  </si>
  <si>
    <t>1h53m28.7s</t>
  </si>
  <si>
    <t>-16h59m44s</t>
  </si>
  <si>
    <t>very faint, very small, round, brighter middle and nucleus, 11th magnitude star 11 seconds of time to west</t>
  </si>
  <si>
    <t>vF, vS, R, bMN, * 11 p 11s</t>
  </si>
  <si>
    <t>NGC735</t>
  </si>
  <si>
    <t>1h56m38.2s</t>
  </si>
  <si>
    <t>+34h10m39s</t>
  </si>
  <si>
    <t>most extremely faint, stellar</t>
  </si>
  <si>
    <t>eeF, stellar</t>
  </si>
  <si>
    <t>NGC736</t>
  </si>
  <si>
    <t>1h56m41s</t>
  </si>
  <si>
    <t>+33h2m40s</t>
  </si>
  <si>
    <t>pretty bright, round, brighter middle</t>
  </si>
  <si>
    <t>pB, R, bM</t>
  </si>
  <si>
    <t>NGC737</t>
  </si>
  <si>
    <t>1h56m40.8s</t>
  </si>
  <si>
    <t>+33h2m59s</t>
  </si>
  <si>
    <t>stellar nebula (perhaps a faint star?), 27 arcsec north of h 169</t>
  </si>
  <si>
    <t>Stellar neb (? F *), 27" n of h 169</t>
  </si>
  <si>
    <t>NGC738</t>
  </si>
  <si>
    <t>1h56m45.6s</t>
  </si>
  <si>
    <t>+33h3m32s</t>
  </si>
  <si>
    <t>nebula, 75 arcsec northeast of h 169</t>
  </si>
  <si>
    <t>Neb, 75" nf h 169</t>
  </si>
  <si>
    <t>NGC739</t>
  </si>
  <si>
    <t>1h56m54.6s</t>
  </si>
  <si>
    <t>+33h16m2s</t>
  </si>
  <si>
    <t>considerably faint, very small, round, in triangle of stars</t>
  </si>
  <si>
    <t>cF, vS, R, in Δ of st</t>
  </si>
  <si>
    <t>NGC740</t>
  </si>
  <si>
    <t>1h56m55s</t>
  </si>
  <si>
    <t>+33h0m56s</t>
  </si>
  <si>
    <t>faint, large, considerably extended</t>
  </si>
  <si>
    <t>F, L, cE</t>
  </si>
  <si>
    <t>NGC741</t>
  </si>
  <si>
    <t>1h56m20.9s</t>
  </si>
  <si>
    <t>+5h37m43s</t>
  </si>
  <si>
    <t>pretty faint, small, round, western of 2, position angle 102°</t>
  </si>
  <si>
    <t>pF, S, R, p of 2, pos 102°</t>
  </si>
  <si>
    <t>NGC742</t>
  </si>
  <si>
    <t>1h56m24.1s</t>
  </si>
  <si>
    <t>+5h37m33s</t>
  </si>
  <si>
    <t>very faint, very small, round, suddenly brighter middle, eastern of 2</t>
  </si>
  <si>
    <t>vF, vS, R, sbM, f of 2</t>
  </si>
  <si>
    <t>NGC743</t>
  </si>
  <si>
    <t>II1p</t>
  </si>
  <si>
    <t>1h58m37s</t>
  </si>
  <si>
    <t>+60h10m0s</t>
  </si>
  <si>
    <t>a cluster, not rich, double star (h 1098)</t>
  </si>
  <si>
    <t>Cl, not Ri, D * (h 1098)</t>
  </si>
  <si>
    <t>NGC744</t>
  </si>
  <si>
    <t>1h58m33s</t>
  </si>
  <si>
    <t>+55h28m24s</t>
  </si>
  <si>
    <t>a cluster, pretty large, pretty rich, irregular figure, stars from 11th through 13th magnitude</t>
  </si>
  <si>
    <t>Cl, pL, pRi, iF, st 11…13</t>
  </si>
  <si>
    <t>NGC745</t>
  </si>
  <si>
    <t>1h54m7.8s</t>
  </si>
  <si>
    <t>-56h41m37s</t>
  </si>
  <si>
    <t>NGC746</t>
  </si>
  <si>
    <t>Im</t>
  </si>
  <si>
    <t>1h57m51s</t>
  </si>
  <si>
    <t>+44h55m6s</t>
  </si>
  <si>
    <t>very faint, pretty small, a little extended, several stars near</t>
  </si>
  <si>
    <t>vF, pS, lE, sev st nr</t>
  </si>
  <si>
    <t>NGC747</t>
  </si>
  <si>
    <t>1h57m30.4s</t>
  </si>
  <si>
    <t>-9h27m46s</t>
  </si>
  <si>
    <t>extremely faint, pretty small, a little extended 180°</t>
  </si>
  <si>
    <t>eF, pS, lE 180°</t>
  </si>
  <si>
    <t>NGC748</t>
  </si>
  <si>
    <t>1h56m21.8s</t>
  </si>
  <si>
    <t>-4h28m2s</t>
  </si>
  <si>
    <t>pretty faint, 9th magnitude star to northwest</t>
  </si>
  <si>
    <t>pF, * 9 np</t>
  </si>
  <si>
    <t>NGC749</t>
  </si>
  <si>
    <t>1h55m40.9s</t>
  </si>
  <si>
    <t>-29h55m20s</t>
  </si>
  <si>
    <t>pretty bright, small, extended, brighter middle</t>
  </si>
  <si>
    <t>pB, S, E, bM</t>
  </si>
  <si>
    <t>NGC750</t>
  </si>
  <si>
    <t>1h57m32.6s</t>
  </si>
  <si>
    <t>+33h12m35s</t>
  </si>
  <si>
    <t>considerably bright, pretty large, round, a double nebula (with NGC 751), separation 25 arcsec at position angle 173°</t>
  </si>
  <si>
    <t>cB, pL, R, D neb 173° 25"</t>
  </si>
  <si>
    <t>NGC751</t>
  </si>
  <si>
    <t>1h57m33.1s</t>
  </si>
  <si>
    <t>+33h12m9s</t>
  </si>
  <si>
    <t>pretty faint, extremely small, round, brighter middle, a double nebula (with NGC 750), separation 25 arcsec at position angle 173°</t>
  </si>
  <si>
    <t>pF, eS, R, bM, D neb 173° 25"</t>
  </si>
  <si>
    <t>NGC752</t>
  </si>
  <si>
    <t>III1m</t>
  </si>
  <si>
    <t>1h57m35s</t>
  </si>
  <si>
    <t>+37h50m0s</t>
  </si>
  <si>
    <t>a cluster, very very large, rich, stars large (bright) and scattered</t>
  </si>
  <si>
    <t>Cl, vvL, Ri, st L &amp; sc</t>
  </si>
  <si>
    <t>NGC753</t>
  </si>
  <si>
    <t>1h57m42.4s</t>
  </si>
  <si>
    <t>+35h54m57s</t>
  </si>
  <si>
    <t>pretty bright, pretty large, round, gradually much brighter middle</t>
  </si>
  <si>
    <t>pB, pL, R, gmbM</t>
  </si>
  <si>
    <t>NGC754</t>
  </si>
  <si>
    <t>1h54m20.8s</t>
  </si>
  <si>
    <t>-56h45m40s</t>
  </si>
  <si>
    <t>NGC755</t>
  </si>
  <si>
    <t>1h56m22.6s</t>
  </si>
  <si>
    <t>-9h3m45s</t>
  </si>
  <si>
    <t>very faint, pretty small, very little extended</t>
  </si>
  <si>
    <t>vF, pS, vlE</t>
  </si>
  <si>
    <t>NGC756</t>
  </si>
  <si>
    <t>1h54m29s</t>
  </si>
  <si>
    <t>-16h42m27s</t>
  </si>
  <si>
    <t>faint, very small, round, brighter middle and nucleus</t>
  </si>
  <si>
    <t>F, vS, R, bMN</t>
  </si>
  <si>
    <t>NGC757</t>
  </si>
  <si>
    <t>faint, small, gradually brighter middle and nucle, (= h 177?)</t>
  </si>
  <si>
    <t>F, S, gbMN, (? = h 177)</t>
  </si>
  <si>
    <t>NGC758</t>
  </si>
  <si>
    <t>NGC759</t>
  </si>
  <si>
    <t>1h57m50.3s</t>
  </si>
  <si>
    <t>+36h20m35s</t>
  </si>
  <si>
    <t>a cluster, very small, round</t>
  </si>
  <si>
    <t>Cl, vS, R</t>
  </si>
  <si>
    <t>NGC760</t>
  </si>
  <si>
    <t>1h57m47.3s</t>
  </si>
  <si>
    <t>+33h21m19s</t>
  </si>
  <si>
    <t>very faint, round, 456 to northeast</t>
  </si>
  <si>
    <t>vF, R, 456 nf</t>
  </si>
  <si>
    <t>NGC761</t>
  </si>
  <si>
    <t>1h57m49.6s</t>
  </si>
  <si>
    <t>+33h22m35s</t>
  </si>
  <si>
    <t>pretty faint, considerably large, 4 faint stars near</t>
  </si>
  <si>
    <t>pF, cL, 4 F st nr</t>
  </si>
  <si>
    <t>NGC762</t>
  </si>
  <si>
    <t>1h56m57.9s</t>
  </si>
  <si>
    <t>-5h24m8s</t>
  </si>
  <si>
    <t>very faint, small, a little extended, very gradually a little brighter middle</t>
  </si>
  <si>
    <t>vF, S, lE, vglbM</t>
  </si>
  <si>
    <t>NGC763</t>
  </si>
  <si>
    <t>vF, pL, E 65°, gbMN</t>
  </si>
  <si>
    <t>NGC764</t>
  </si>
  <si>
    <t>1h57m3.3s</t>
  </si>
  <si>
    <t>-16h3m41s</t>
  </si>
  <si>
    <t>extremely faint, very small, irregularly round, gradually brighter middle</t>
  </si>
  <si>
    <t>eF, vS, iR, gbM</t>
  </si>
  <si>
    <t>NGC765</t>
  </si>
  <si>
    <t>1h58m48.1s</t>
  </si>
  <si>
    <t>+24h53m32s</t>
  </si>
  <si>
    <t>NGC766</t>
  </si>
  <si>
    <t>1h58m42s</t>
  </si>
  <si>
    <t>+8h20m50s</t>
  </si>
  <si>
    <t>very faint, small, round, 11th magnitude star 2 arcmin distant at position angle 75°</t>
  </si>
  <si>
    <t>vF, S, R, * 11, 2', 75°</t>
  </si>
  <si>
    <t>NGC767</t>
  </si>
  <si>
    <t>1h58m50.8s</t>
  </si>
  <si>
    <t>-9h35m14s</t>
  </si>
  <si>
    <t>extremely faint, pretty small, extended 160°</t>
  </si>
  <si>
    <t>eF, pS, E 160°</t>
  </si>
  <si>
    <t>NGC768</t>
  </si>
  <si>
    <t>1h58m40.8s</t>
  </si>
  <si>
    <t>+0h31m44s</t>
  </si>
  <si>
    <t>extremely faint, pretty small, round, 8th magnitude star 30 seconds of time to east</t>
  </si>
  <si>
    <t>eF, pS, R, * 8 f 30s</t>
  </si>
  <si>
    <t>NGC769</t>
  </si>
  <si>
    <t>1h59m35.8s</t>
  </si>
  <si>
    <t>+30h54m35s</t>
  </si>
  <si>
    <t>very faint, very small, irregularly round, brighter middle, faint star attached</t>
  </si>
  <si>
    <t>vF, vS, iR, bM, F * att</t>
  </si>
  <si>
    <t>NGC770</t>
  </si>
  <si>
    <t>1h59m13.5s</t>
  </si>
  <si>
    <t>+18h57m18s</t>
  </si>
  <si>
    <t>very faint, small, round, southwest of I 112</t>
  </si>
  <si>
    <t>vF, S, R, sp I 112</t>
  </si>
  <si>
    <t>NGC771</t>
  </si>
  <si>
    <t>2h3m26s</t>
  </si>
  <si>
    <t>+72h25m19s</t>
  </si>
  <si>
    <t>suspected nebulous star (50 Cassiopeiae)</t>
  </si>
  <si>
    <t>Suspected neb * (50 Cassiop.)</t>
  </si>
  <si>
    <t>NGC772</t>
  </si>
  <si>
    <t>蕨菜星系</t>
  </si>
  <si>
    <t>1h59m19.5s</t>
  </si>
  <si>
    <t>+19h0m27s</t>
  </si>
  <si>
    <t>B, cL, R, gbM, r</t>
  </si>
  <si>
    <t>NGC773</t>
  </si>
  <si>
    <t>1h58m51.9s</t>
  </si>
  <si>
    <t>-11h30m55s</t>
  </si>
  <si>
    <t>considerably faint, pretty large, extended 0°, gradually a little brighter middle</t>
  </si>
  <si>
    <t>cF, pL, E 0°, glbM</t>
  </si>
  <si>
    <t>NGC774</t>
  </si>
  <si>
    <t>1h59m34.7s</t>
  </si>
  <si>
    <t>+14h0m30s</t>
  </si>
  <si>
    <t>NGC775</t>
  </si>
  <si>
    <t>1h58m32.5s</t>
  </si>
  <si>
    <t>-26h17m38s</t>
  </si>
  <si>
    <t>NGC776</t>
  </si>
  <si>
    <t>1h59m54.6s</t>
  </si>
  <si>
    <t>+23h38m39s</t>
  </si>
  <si>
    <t>faint, pretty large</t>
  </si>
  <si>
    <t>F, pL</t>
  </si>
  <si>
    <t>NGC777</t>
  </si>
  <si>
    <t>2h0m14.8s</t>
  </si>
  <si>
    <t>+31h25m47s</t>
  </si>
  <si>
    <t>pretty bright, pretty large, round, gradually a little brighter middle</t>
  </si>
  <si>
    <t>pB, pL, R, glbM</t>
  </si>
  <si>
    <t>NGC778</t>
  </si>
  <si>
    <t>2h0m19.4s</t>
  </si>
  <si>
    <t>+31h18m47s</t>
  </si>
  <si>
    <t>NGC779</t>
  </si>
  <si>
    <t>1h59m42.6s</t>
  </si>
  <si>
    <t>-5h57m51s</t>
  </si>
  <si>
    <t>considerably bright, large, much extended 162°, much brighter middle</t>
  </si>
  <si>
    <t>cB, L, mE 162°, mbM</t>
  </si>
  <si>
    <t>NGC780</t>
  </si>
  <si>
    <t>2h0m35.1s</t>
  </si>
  <si>
    <t>+28h13m33s</t>
  </si>
  <si>
    <t>very faint, very small, extended, 3 stars to west</t>
  </si>
  <si>
    <t>vF, vS, E, 3 st p</t>
  </si>
  <si>
    <t>NGC781</t>
  </si>
  <si>
    <t>2h0m8.8s</t>
  </si>
  <si>
    <t>+12h39m20s</t>
  </si>
  <si>
    <t>NGC782</t>
  </si>
  <si>
    <t>1h57m40.1s</t>
  </si>
  <si>
    <t>-57h47m27s</t>
  </si>
  <si>
    <t>pretty bright, pretty large, a little extended, 12th magnitude star attached</t>
  </si>
  <si>
    <t>pB, pL, lE, * 12 att</t>
  </si>
  <si>
    <t>NGC783</t>
  </si>
  <si>
    <t>2h1m6.6s</t>
  </si>
  <si>
    <t>+31h52m55s</t>
  </si>
  <si>
    <t>extremely faint, small, irregularly round, very faint star attached</t>
  </si>
  <si>
    <t>eF, S, iR, vF st att</t>
  </si>
  <si>
    <t>NGC784</t>
  </si>
  <si>
    <t>2h1m17.1s</t>
  </si>
  <si>
    <t>+28h50m17s</t>
  </si>
  <si>
    <t>very faint, large, extended (double?)</t>
  </si>
  <si>
    <t>vF, L, E (? double)</t>
  </si>
  <si>
    <t>NGC785</t>
  </si>
  <si>
    <t>2h1m40s</t>
  </si>
  <si>
    <t>+31h49m36s</t>
  </si>
  <si>
    <t>extremely faint, extremely small, very faint star attached</t>
  </si>
  <si>
    <t>eF, eS, vF * att</t>
  </si>
  <si>
    <t>NGC786</t>
  </si>
  <si>
    <t>2h1m24.6s</t>
  </si>
  <si>
    <t>+15h38m46s</t>
  </si>
  <si>
    <t>NGC787</t>
  </si>
  <si>
    <t>2h0m48.6s</t>
  </si>
  <si>
    <t>-9h0m9s</t>
  </si>
  <si>
    <t>NGC788</t>
  </si>
  <si>
    <t>2h1m6.4s</t>
  </si>
  <si>
    <t>-6h48m56s</t>
  </si>
  <si>
    <t>NGC789</t>
  </si>
  <si>
    <t>2h2m26s</t>
  </si>
  <si>
    <t>+32h4m20s</t>
  </si>
  <si>
    <t>very faint, small, irregularly extended</t>
  </si>
  <si>
    <t>NGC790</t>
  </si>
  <si>
    <t>2h1m21.6s</t>
  </si>
  <si>
    <t>-5h22m14s</t>
  </si>
  <si>
    <t>considerably faint, considerably small, round, brighter middle</t>
  </si>
  <si>
    <t>cF, cS, R, bM</t>
  </si>
  <si>
    <t>NGC791</t>
  </si>
  <si>
    <t>2h1m44.2s</t>
  </si>
  <si>
    <t>+8h29m59s</t>
  </si>
  <si>
    <t>very faint, small, 14th magnitude star 3 arcmin to east</t>
  </si>
  <si>
    <t>vF, S, * 14 f 3'</t>
  </si>
  <si>
    <t>NGC792</t>
  </si>
  <si>
    <t>2h2m15.3s</t>
  </si>
  <si>
    <t>+15h42m44s</t>
  </si>
  <si>
    <t>extremely faint, small, round, 11th magnitude star at position angle 75°</t>
  </si>
  <si>
    <t>eF, S, R, * 11 75°</t>
  </si>
  <si>
    <t>NGC793</t>
  </si>
  <si>
    <t>2h2m54.5s</t>
  </si>
  <si>
    <t>+31h58m53s</t>
  </si>
  <si>
    <t>very very faint, between 2 stars, southeast of 5210</t>
  </si>
  <si>
    <t>vvF, bet 2 st, sf 5210</t>
  </si>
  <si>
    <t>NGC794</t>
  </si>
  <si>
    <t>2h2m29.4s</t>
  </si>
  <si>
    <t>+18h22m22s</t>
  </si>
  <si>
    <t>very faint, considerably small, stellar</t>
  </si>
  <si>
    <t>vF, cS, stellar</t>
  </si>
  <si>
    <t>NGC795</t>
  </si>
  <si>
    <t>1h59m49.3s</t>
  </si>
  <si>
    <t>-55h49m28s</t>
  </si>
  <si>
    <t>pretty faint, small, round, 2 stars of 11th magnitude near</t>
  </si>
  <si>
    <t>pF, S, R, 2 st 11 nr</t>
  </si>
  <si>
    <t>NGC796</t>
  </si>
  <si>
    <t>1h56m43.8s</t>
  </si>
  <si>
    <t>-74h13m12s</t>
  </si>
  <si>
    <t>extremely faint, very small, round, star 25 arcsec to northwest</t>
  </si>
  <si>
    <t>eF, vS, R, * np 25"</t>
  </si>
  <si>
    <t>NGC797</t>
  </si>
  <si>
    <t>2h3m27.9s</t>
  </si>
  <si>
    <t>+38h7m3s</t>
  </si>
  <si>
    <t>very faint, small, irregularly round, suddenly brighter middle, star near</t>
  </si>
  <si>
    <t>vF, S, iR, sbM, * nr</t>
  </si>
  <si>
    <t>NGC798</t>
  </si>
  <si>
    <t>E6</t>
  </si>
  <si>
    <t>2h3m19.6s</t>
  </si>
  <si>
    <t>+32h4m39s</t>
  </si>
  <si>
    <t>NGC799</t>
  </si>
  <si>
    <t>2h2m12.2s</t>
  </si>
  <si>
    <t>-0h6m1s</t>
  </si>
  <si>
    <t>most extremely faint, pretty small, round, northern of 2</t>
  </si>
  <si>
    <t>eeF, pS, R, n of 2</t>
  </si>
  <si>
    <t>NGC800</t>
  </si>
  <si>
    <t>2h2m11.8s</t>
  </si>
  <si>
    <t>-0h7m51s</t>
  </si>
  <si>
    <t>most extremely faint, pretty small, round, southern of 2</t>
  </si>
  <si>
    <t>eeF, S, R, s of 2</t>
  </si>
  <si>
    <t>NGC801</t>
  </si>
  <si>
    <t>2h3m44.9s</t>
  </si>
  <si>
    <t>+38h15m34s</t>
  </si>
  <si>
    <t>extremely faint, pretty small, irregularly round, double star close to east</t>
  </si>
  <si>
    <t>eF, pS, iR, D * close f</t>
  </si>
  <si>
    <t>NGC802</t>
  </si>
  <si>
    <t>1h59m6.1s</t>
  </si>
  <si>
    <t>-67h52m13s</t>
  </si>
  <si>
    <t>most extremely faint, very small, round, 13th magnitude star 100 arcsec to west</t>
  </si>
  <si>
    <t>eeF, vS, R, * 13 p 100"</t>
  </si>
  <si>
    <t>NGC803</t>
  </si>
  <si>
    <t>2h3m44.8s</t>
  </si>
  <si>
    <t>+16h1m52s</t>
  </si>
  <si>
    <t>very faint, small, irregularly round, gradually a little bighter middle, 10th magnitude star 3.5 seconds of time to west</t>
  </si>
  <si>
    <t>vF, S, iR, glbM, * 10 p 3s.5</t>
  </si>
  <si>
    <t>NGC804</t>
  </si>
  <si>
    <t>2h4m2.2s</t>
  </si>
  <si>
    <t>+30h49m57s</t>
  </si>
  <si>
    <t>most extremely faint, very small, round, a little brighter middle</t>
  </si>
  <si>
    <t>eeF, vS, R, lbM</t>
  </si>
  <si>
    <t>NGC805</t>
  </si>
  <si>
    <t>2h4m29.5s</t>
  </si>
  <si>
    <t>+28h48m46s</t>
  </si>
  <si>
    <t>extremely faint, extremely small, round, two 14th magnitude stars to west</t>
  </si>
  <si>
    <t>eF, eS, R, 2 st 14 p</t>
  </si>
  <si>
    <t>NGC806</t>
  </si>
  <si>
    <t>2h3m31.2s</t>
  </si>
  <si>
    <t>-9h55m58s</t>
  </si>
  <si>
    <t>most extremely faint, small, round, very difficult, pretty bright star to north</t>
  </si>
  <si>
    <t>eeF, S, R, v diffic, pB * n</t>
  </si>
  <si>
    <t>NGC807</t>
  </si>
  <si>
    <t>2h4m55.5s</t>
  </si>
  <si>
    <t>+28h59m16s</t>
  </si>
  <si>
    <t>very faint, very small, irregularly round, between 2 stars to north and southwest</t>
  </si>
  <si>
    <t>vF, vS, iR, bet 2 st n and sp</t>
  </si>
  <si>
    <t>NGC808</t>
  </si>
  <si>
    <t>2h3m56.5s</t>
  </si>
  <si>
    <t>-23h18m44s</t>
  </si>
  <si>
    <t>NGC809</t>
  </si>
  <si>
    <t>2h4m18.9s</t>
  </si>
  <si>
    <t>-8h44m6s</t>
  </si>
  <si>
    <t>NGC810</t>
  </si>
  <si>
    <t>2h5m28.6s</t>
  </si>
  <si>
    <t>+13h15m4s</t>
  </si>
  <si>
    <t>NGC811</t>
  </si>
  <si>
    <t>2h4m30s</t>
  </si>
  <si>
    <t>-9h6m21s</t>
  </si>
  <si>
    <t>extremely faint, extremely small, round (nebulous?), 10th magnitude star 1 arcmin to south</t>
  </si>
  <si>
    <t>eF, eS, R (? neb), * 10 s 1'</t>
  </si>
  <si>
    <t>NGC812</t>
  </si>
  <si>
    <t>2h6m51.7s</t>
  </si>
  <si>
    <t>+44h34m21s</t>
  </si>
  <si>
    <t>extremely faint, pretty large, extended 45°, brighter middle</t>
  </si>
  <si>
    <t>eF, pL, E 45°, bM</t>
  </si>
  <si>
    <t>NGC813</t>
  </si>
  <si>
    <t>2h1m36.1s</t>
  </si>
  <si>
    <t>-68h26m21s</t>
  </si>
  <si>
    <t>NGC814</t>
  </si>
  <si>
    <t>2h10m37.6s</t>
  </si>
  <si>
    <t>-15h46m24s</t>
  </si>
  <si>
    <t>extremely faint, small, round, gradually brighter middle</t>
  </si>
  <si>
    <t>eF, S, R, gbM</t>
  </si>
  <si>
    <t>NGC815</t>
  </si>
  <si>
    <t>C+C</t>
  </si>
  <si>
    <t>2h10m39.4s</t>
  </si>
  <si>
    <t>-15h48m46s</t>
  </si>
  <si>
    <t>NGC816</t>
  </si>
  <si>
    <t>2h8m8.8s</t>
  </si>
  <si>
    <t>+29h15m23s</t>
  </si>
  <si>
    <t>very faint, very small, irregular figure</t>
  </si>
  <si>
    <t>vF, vS, iF</t>
  </si>
  <si>
    <t>NGC817</t>
  </si>
  <si>
    <t>2h7m33.6s</t>
  </si>
  <si>
    <t>+17h12m7s</t>
  </si>
  <si>
    <t>extremely faint, very small, round, 2 stars near</t>
  </si>
  <si>
    <t>eF, vS, R, 2 st nr</t>
  </si>
  <si>
    <t>NGC818</t>
  </si>
  <si>
    <t>2h8m44.4s</t>
  </si>
  <si>
    <t>+38h46m38s</t>
  </si>
  <si>
    <t>pretty bright, considerably large, a little extended, much brighter middle</t>
  </si>
  <si>
    <t>pB, cL, lE, mbM</t>
  </si>
  <si>
    <t>NGC819</t>
  </si>
  <si>
    <t>2h8m34.5s</t>
  </si>
  <si>
    <t>+29h14m5s</t>
  </si>
  <si>
    <t>pretty faint, very small, round, 13th magnitude star to north</t>
  </si>
  <si>
    <t>pF, vS, R, * 13 n</t>
  </si>
  <si>
    <t>NGC820</t>
  </si>
  <si>
    <t>2h8m24.9s</t>
  </si>
  <si>
    <t>+14h20m59s</t>
  </si>
  <si>
    <t>faint, very small, round, brighter middle</t>
  </si>
  <si>
    <t>F, vS, R, bM</t>
  </si>
  <si>
    <t>NGC821</t>
  </si>
  <si>
    <t>2h8m21s</t>
  </si>
  <si>
    <t>+10h59m39s</t>
  </si>
  <si>
    <t>pretty bright, very small, very little extended, suddenly very much brighter middle, 10th magnitude star 1 arcmin to northwest</t>
  </si>
  <si>
    <t>pB, vS, vlE, svmbM, * 10 np 1'</t>
  </si>
  <si>
    <t>NGC822</t>
  </si>
  <si>
    <t>2h6m39.2s</t>
  </si>
  <si>
    <t>-41h9m25s</t>
  </si>
  <si>
    <t>considerably faint, very small, round, suddenly brighter middle, mottled but not resolved</t>
  </si>
  <si>
    <t>cF, vS, R, sbM, r</t>
  </si>
  <si>
    <t>NGC823</t>
  </si>
  <si>
    <t>2h7m20s</t>
  </si>
  <si>
    <t>-25h26m30s</t>
  </si>
  <si>
    <t>very faint, very faint double star involved</t>
  </si>
  <si>
    <t>vF, vF D * inv</t>
  </si>
  <si>
    <t>NGC824</t>
  </si>
  <si>
    <t>2h6m53.2s</t>
  </si>
  <si>
    <t>-36h27m12s</t>
  </si>
  <si>
    <t>faint, small, round, very suddenly very much brighter middle equivalent to 13th magnitude star</t>
  </si>
  <si>
    <t>F, S, R, vsvmbM * 13</t>
  </si>
  <si>
    <t>NGC825</t>
  </si>
  <si>
    <t>2h8m32.4s</t>
  </si>
  <si>
    <t>+6h19m24s</t>
  </si>
  <si>
    <t>faint, small, much extended</t>
  </si>
  <si>
    <t>F, S, mE</t>
  </si>
  <si>
    <t>NGC826</t>
  </si>
  <si>
    <t>2h9m25.1s</t>
  </si>
  <si>
    <t>+30h44m22s</t>
  </si>
  <si>
    <t>extremely faint, small, round, a little brighter middle</t>
  </si>
  <si>
    <t>eF, S, R, lbM</t>
  </si>
  <si>
    <t>NGC827</t>
  </si>
  <si>
    <t>2h8m56.3s</t>
  </si>
  <si>
    <t>+7h58m18s</t>
  </si>
  <si>
    <t>very faint, small, extended, brighter middle, among stars</t>
  </si>
  <si>
    <t>vF, S, E, bM, am st</t>
  </si>
  <si>
    <t>NGC828</t>
  </si>
  <si>
    <t>2h10m9.5s</t>
  </si>
  <si>
    <t>+39h11m28s</t>
  </si>
  <si>
    <t>pretty bright, small, irregularly round, double star 15 arcmin to east</t>
  </si>
  <si>
    <t>pB, S, iR, D * f 15s</t>
  </si>
  <si>
    <t>NGC829</t>
  </si>
  <si>
    <t>2h8m42.2s</t>
  </si>
  <si>
    <t>-7h47m25s</t>
  </si>
  <si>
    <t>faint, small, 11th magnitude star to south, 1st of 3</t>
  </si>
  <si>
    <t>F, S, * 11 s, 1st of 3</t>
  </si>
  <si>
    <t>NGC830</t>
  </si>
  <si>
    <t>2h8m58.7s</t>
  </si>
  <si>
    <t>-7h46m3s</t>
  </si>
  <si>
    <t>pretty faint, very small, round, 2nd of 3</t>
  </si>
  <si>
    <t>pF, vS, R, 2nd of 3</t>
  </si>
  <si>
    <t>NGC831</t>
  </si>
  <si>
    <t>2h9m34.5s</t>
  </si>
  <si>
    <t>+6h5m48s</t>
  </si>
  <si>
    <t>very faint, pretty small</t>
  </si>
  <si>
    <t>vF, pS</t>
  </si>
  <si>
    <t>NGC832</t>
  </si>
  <si>
    <t>3h11m5.4s</t>
  </si>
  <si>
    <t>+35h23m11s</t>
  </si>
  <si>
    <t>faint, very small, 9th or 10th magnitude star to southwest</t>
  </si>
  <si>
    <t>F, vS, * 9·10 sp</t>
  </si>
  <si>
    <t>NGC833</t>
  </si>
  <si>
    <t>2h9m20.8s</t>
  </si>
  <si>
    <t>-10h7m58s</t>
  </si>
  <si>
    <t>faint, small, round, 1st of 4</t>
  </si>
  <si>
    <t>F, S, R, 1st of 4</t>
  </si>
  <si>
    <t>NGC834</t>
  </si>
  <si>
    <t>2h11m1.2s</t>
  </si>
  <si>
    <t>+37h39m58s</t>
  </si>
  <si>
    <t>NGC835</t>
  </si>
  <si>
    <t>SBab/P</t>
  </si>
  <si>
    <t>2h9m24.6s</t>
  </si>
  <si>
    <t>-10h8m7s</t>
  </si>
  <si>
    <t>F, S, R, 2nd of 4</t>
  </si>
  <si>
    <t>NGC836</t>
  </si>
  <si>
    <t>2h10m24.8s</t>
  </si>
  <si>
    <t>-22h3m18s</t>
  </si>
  <si>
    <t>extremely faint, small, round, gradually brighter middle and nucleus</t>
  </si>
  <si>
    <t>eF, S, R, gbMN</t>
  </si>
  <si>
    <t>NGC837</t>
  </si>
  <si>
    <t>2h10m16.1s</t>
  </si>
  <si>
    <t>-22h25m53s</t>
  </si>
  <si>
    <t>extremely faint, pretty small, much extended 0°, 10th magnitude star 1 arcmin to north</t>
  </si>
  <si>
    <t>eF, pS, mE 0°, * 10 n 1'</t>
  </si>
  <si>
    <t>NGC838</t>
  </si>
  <si>
    <t>2h9m38.4s</t>
  </si>
  <si>
    <t>-10h8m45s</t>
  </si>
  <si>
    <t>NGC839</t>
  </si>
  <si>
    <t>2h9m42.9s</t>
  </si>
  <si>
    <t>-10h11m0s</t>
  </si>
  <si>
    <t>very faint, pretty small, 4th of 4</t>
  </si>
  <si>
    <t>vF, pS, R, 4th of 4</t>
  </si>
  <si>
    <t>NGC840</t>
  </si>
  <si>
    <t>+7h50m45s</t>
  </si>
  <si>
    <t>NGC841</t>
  </si>
  <si>
    <t>2h11m17.4s</t>
  </si>
  <si>
    <t>+37h29m51s</t>
  </si>
  <si>
    <t>pretty bright, very small, much brighter middle and nucleus equivalent to a 13th or 14th magnitude star</t>
  </si>
  <si>
    <t>pB, vS, mbMN = * 13·14</t>
  </si>
  <si>
    <t>NGC842</t>
  </si>
  <si>
    <t>2h9m50.7s</t>
  </si>
  <si>
    <t>-7h45m45s</t>
  </si>
  <si>
    <t>very faint, very small, round, pretty suddenly bright middle, the 3rd of 3</t>
  </si>
  <si>
    <t>vF, vS, R, psbM, 3rd of 3</t>
  </si>
  <si>
    <t>NGC843</t>
  </si>
  <si>
    <t>2h11m8.2s</t>
  </si>
  <si>
    <t>+32h5m54s</t>
  </si>
  <si>
    <t>a globular cluster, faint, small, round</t>
  </si>
  <si>
    <t>globular, F, S, R</t>
  </si>
  <si>
    <t>NGC844</t>
  </si>
  <si>
    <t>2h10m14.3s</t>
  </si>
  <si>
    <t>+6h3m0s</t>
  </si>
  <si>
    <t>faint, small</t>
  </si>
  <si>
    <t>F, S</t>
  </si>
  <si>
    <t>NGC845</t>
  </si>
  <si>
    <t>2h12m19.7s</t>
  </si>
  <si>
    <t>+37h28m39s</t>
  </si>
  <si>
    <t>very faint, irregular figure, stellar</t>
  </si>
  <si>
    <t>vF, iF, stellar</t>
  </si>
  <si>
    <t>NGC846</t>
  </si>
  <si>
    <t>2h12m12.1s</t>
  </si>
  <si>
    <t>+44h34m5s</t>
  </si>
  <si>
    <t>NGC847</t>
  </si>
  <si>
    <t>vF, pL, R</t>
  </si>
  <si>
    <t>NGC848</t>
  </si>
  <si>
    <t>2h10m17.4s</t>
  </si>
  <si>
    <t>-10h19m14s</t>
  </si>
  <si>
    <t>most extremely faint, pretty large, very difficult, star to northeast</t>
  </si>
  <si>
    <t>eeF, pL, v diffic, * nf</t>
  </si>
  <si>
    <t>NGC849</t>
  </si>
  <si>
    <t>2h10m11.2s</t>
  </si>
  <si>
    <t>-22h19m23s</t>
  </si>
  <si>
    <t>extremely faint, very small, round (nebulous?)</t>
  </si>
  <si>
    <t>eF, vS, R (? neb)</t>
  </si>
  <si>
    <t>NGC850</t>
  </si>
  <si>
    <t>2h11m13.5s</t>
  </si>
  <si>
    <t>-1h29m6s</t>
  </si>
  <si>
    <t>extremely faint, extremely small, irregular figure</t>
  </si>
  <si>
    <t>eF, eS, iF</t>
  </si>
  <si>
    <t>NGC851</t>
  </si>
  <si>
    <t>2h11m12.2s</t>
  </si>
  <si>
    <t>+3h46m47s</t>
  </si>
  <si>
    <t>extremely faint, pretty small, round, very difficult</t>
  </si>
  <si>
    <t>eF, pS, R, v diffic</t>
  </si>
  <si>
    <t>NGC852</t>
  </si>
  <si>
    <t>2h8m55.2s</t>
  </si>
  <si>
    <t>-56h44m12s</t>
  </si>
  <si>
    <t>pretty faint, pretty small, round, gradually a little brighter middle, mottled but not resolved</t>
  </si>
  <si>
    <t>pF, pS, R, glbM, r</t>
  </si>
  <si>
    <t>NGC853</t>
  </si>
  <si>
    <t>Sm</t>
  </si>
  <si>
    <t>2h11m41s</t>
  </si>
  <si>
    <t>-9h18m19s</t>
  </si>
  <si>
    <t>NGC854</t>
  </si>
  <si>
    <t>2h11m30.6s</t>
  </si>
  <si>
    <t>-35h50m8s</t>
  </si>
  <si>
    <t>considerably faint, pretty small, a little extended 0°, gradually brighter middle</t>
  </si>
  <si>
    <t>cF, pS, lE 0°, gbM</t>
  </si>
  <si>
    <t>NGC855</t>
  </si>
  <si>
    <t>2h14m3.7s</t>
  </si>
  <si>
    <t>+27h52m40s</t>
  </si>
  <si>
    <t>faint, small, a little extended 90°, brighter middle</t>
  </si>
  <si>
    <t>F, S, lE 90°, bM</t>
  </si>
  <si>
    <t>NGC856</t>
  </si>
  <si>
    <t>2h13m38.4s</t>
  </si>
  <si>
    <t>-0h43m0s</t>
  </si>
  <si>
    <t>extremely faint, small, a little extended, faint star close to east</t>
  </si>
  <si>
    <t>eF, S, lE, F * close f</t>
  </si>
  <si>
    <t>NGC857</t>
  </si>
  <si>
    <t>2h12m37s</t>
  </si>
  <si>
    <t>-31h56m40s</t>
  </si>
  <si>
    <t>considerably bright, small, extended, pretty suddenly much brighter middle</t>
  </si>
  <si>
    <t>cB, S, E, psmbM</t>
  </si>
  <si>
    <t>NGC858</t>
  </si>
  <si>
    <t>2h12m30.2s</t>
  </si>
  <si>
    <t>-22h28m17s</t>
  </si>
  <si>
    <t>NGC859</t>
  </si>
  <si>
    <t>pF, pS, R, lbM</t>
  </si>
  <si>
    <t>NGC860</t>
  </si>
  <si>
    <t>2h15m0.1s</t>
  </si>
  <si>
    <t>+30h46m46s</t>
  </si>
  <si>
    <t>a 13th magnitude star in faint nebulosity</t>
  </si>
  <si>
    <t>* 13 in F neb</t>
  </si>
  <si>
    <t>NGC861</t>
  </si>
  <si>
    <t>2h15m51.1s</t>
  </si>
  <si>
    <t>+35h54m50s</t>
  </si>
  <si>
    <t>very faint, small, double star attached on southwest</t>
  </si>
  <si>
    <t>vF, S, D * att sp</t>
  </si>
  <si>
    <t>NGC862</t>
  </si>
  <si>
    <t>2h13m2.8s</t>
  </si>
  <si>
    <t>-42h2m1s</t>
  </si>
  <si>
    <t>faint, very small, suddenly very much brighter middle</t>
  </si>
  <si>
    <t>F, vS, svmbM</t>
  </si>
  <si>
    <t>NGC863</t>
  </si>
  <si>
    <t>2h14m33.5s</t>
  </si>
  <si>
    <t>-0h45m58s</t>
  </si>
  <si>
    <t>very faint, round, brighter middle, stellar</t>
  </si>
  <si>
    <t>vF, R, bM, stellar</t>
  </si>
  <si>
    <t>NGC864</t>
  </si>
  <si>
    <t>2h15m27.5s</t>
  </si>
  <si>
    <t>+6h0m7s</t>
  </si>
  <si>
    <t>extremely faint, considerably large, round, gradually brighter middle, 12th magnitude star attached on southeast</t>
  </si>
  <si>
    <t>eF, cL, R, gbM, * 12 sf att</t>
  </si>
  <si>
    <t>NGC865</t>
  </si>
  <si>
    <t>2h16m15.1s</t>
  </si>
  <si>
    <t>+28h36m3s</t>
  </si>
  <si>
    <t>extremely faint, extremely small, irregularly round</t>
  </si>
  <si>
    <t>eF, eS, iR</t>
  </si>
  <si>
    <t>NGC866</t>
  </si>
  <si>
    <t>NGC867</t>
  </si>
  <si>
    <t>2h17m4.8s</t>
  </si>
  <si>
    <t>+1h14m41s</t>
  </si>
  <si>
    <t>extremely faint, very small, round, brighter middle</t>
  </si>
  <si>
    <t>eF, vS, R, bM</t>
  </si>
  <si>
    <t>NGC868</t>
  </si>
  <si>
    <t>2h15m58.5s</t>
  </si>
  <si>
    <t>-0h42m46s</t>
  </si>
  <si>
    <t>extremely faint, pretty small, round</t>
  </si>
  <si>
    <t>eF, pS, R</t>
  </si>
  <si>
    <t>NGC869</t>
  </si>
  <si>
    <t>双星团</t>
  </si>
  <si>
    <t>2h19m4s</t>
  </si>
  <si>
    <t>+57h8m6s</t>
  </si>
  <si>
    <t>a remarkable object, a cluster, very very large, very rich, stars from 7th to 14th magnitude</t>
  </si>
  <si>
    <t>! Cl, vvL, vRi, st 7…14</t>
  </si>
  <si>
    <t>NGC870</t>
  </si>
  <si>
    <t>2h17m9.1s</t>
  </si>
  <si>
    <t>+14h31m22s</t>
  </si>
  <si>
    <t>extremely faint, stellar, 2 very faint stars close to southwest, south of h 208</t>
  </si>
  <si>
    <t>eF, stellar, 2 vF st close sp, s of h 208</t>
  </si>
  <si>
    <t>NGC871</t>
  </si>
  <si>
    <t>2h17m10.6s</t>
  </si>
  <si>
    <t>+14h32m51s</t>
  </si>
  <si>
    <t>very faint, very small, extended, 10th magnitude star 5 arcmin to southeast</t>
  </si>
  <si>
    <t>vF, vS, E, * 10 sf 5'</t>
  </si>
  <si>
    <t>NGC872</t>
  </si>
  <si>
    <t>2h15m25.2s</t>
  </si>
  <si>
    <t>-17h46m55s</t>
  </si>
  <si>
    <t>very faint, pretty small, much extended 0°, gradually very little brighter middle, several faint stars involved</t>
  </si>
  <si>
    <t>vF, pS, mE 0°, gvlbM, sev F st inv</t>
  </si>
  <si>
    <t>NGC873</t>
  </si>
  <si>
    <t>2h16m32.3s</t>
  </si>
  <si>
    <t>-11h20m55s</t>
  </si>
  <si>
    <t>faint, pretty large, round, very gradually a little brighter middle</t>
  </si>
  <si>
    <t>F, pL, R, vglbM</t>
  </si>
  <si>
    <t>NGC874</t>
  </si>
  <si>
    <t>2h16m2.1s</t>
  </si>
  <si>
    <t>-23h18m21s</t>
  </si>
  <si>
    <t>extremely faint, pretty small, extended 170°, possibly a double star, 10th magnitude star to the northwest</t>
  </si>
  <si>
    <t>eF, pS, E 170° (? D *), * 10 np</t>
  </si>
  <si>
    <t>NGC875</t>
  </si>
  <si>
    <t>vF, vS (?? = III 2)</t>
  </si>
  <si>
    <t>NGC876</t>
  </si>
  <si>
    <t>2h17m53.2s</t>
  </si>
  <si>
    <t>+14h31m16s</t>
  </si>
  <si>
    <t>extremely faint, small, round, 107 arcsec southwest of h 210</t>
  </si>
  <si>
    <t>eF, S, R, 107" sp h 210</t>
  </si>
  <si>
    <t>NGC877</t>
  </si>
  <si>
    <t>2h17m59.7s</t>
  </si>
  <si>
    <t>+14h32m38s</t>
  </si>
  <si>
    <t>pretty faint, pretty large, a little extended, pretty gradually brighter middle, 12th magnitude star 1 arcmin to southeast, 9th magnitude star 285 arcsec distant at position angle 166°</t>
  </si>
  <si>
    <t>pF, pL, lE, pgbM, * 12 sf 1', * 9 166°, 285"</t>
  </si>
  <si>
    <t>NGC878</t>
  </si>
  <si>
    <t>2h17m54.2s</t>
  </si>
  <si>
    <t>-23h23m4s</t>
  </si>
  <si>
    <t>NGC879</t>
  </si>
  <si>
    <t>Irr</t>
  </si>
  <si>
    <t>2h16m51.3s</t>
  </si>
  <si>
    <t>-8h57m49s</t>
  </si>
  <si>
    <t>extremely faint, pretty small, irregularly round, brighter middle</t>
  </si>
  <si>
    <t>eF, pS, iR, bM</t>
  </si>
  <si>
    <t>NGC880</t>
  </si>
  <si>
    <t>2h18m27.2s</t>
  </si>
  <si>
    <t>-4h12m19s</t>
  </si>
  <si>
    <t>extremely faint, very small, round, suddenly brighter middle and nucleus</t>
  </si>
  <si>
    <t>eF, vS, R, sbMN</t>
  </si>
  <si>
    <t>NGC881</t>
  </si>
  <si>
    <t>2h18m45.3s</t>
  </si>
  <si>
    <t>-6h38m22s</t>
  </si>
  <si>
    <t>faint, pretty small, extended, brighter middle, 2 or 3 stars near</t>
  </si>
  <si>
    <t>F, pS, E, bM, 2 or 3 st nr</t>
  </si>
  <si>
    <t>NGC882</t>
  </si>
  <si>
    <t>2h19m39.8s</t>
  </si>
  <si>
    <t>+15h48m53s</t>
  </si>
  <si>
    <t>extremely faint, round, gradually brighter middle, 16th magnitude star near</t>
  </si>
  <si>
    <t>eF, R, gbM, * 16 nr</t>
  </si>
  <si>
    <t>NGC883</t>
  </si>
  <si>
    <t>2h19m5.2s</t>
  </si>
  <si>
    <t>-6h47m26s</t>
  </si>
  <si>
    <t>pretty faint, pretty small, very little extended, brighter middle, double star near</t>
  </si>
  <si>
    <t>pF, pS, vlE, bM, D * nr</t>
  </si>
  <si>
    <t>NGC884</t>
  </si>
  <si>
    <t>2h22m5s</t>
  </si>
  <si>
    <t>+57h7m48s</t>
  </si>
  <si>
    <t>most remarkable object, a cluster, very large, very rich, ruby star in middle</t>
  </si>
  <si>
    <t>! Cl, vL, vRi, ruby * M</t>
  </si>
  <si>
    <t>NGC885</t>
  </si>
  <si>
    <t>vF, pS, R, lbM</t>
  </si>
  <si>
    <t>NGC886</t>
  </si>
  <si>
    <t>2h23m28.1s</t>
  </si>
  <si>
    <t>+63h46m16s</t>
  </si>
  <si>
    <t>a cluster, large, a little compressed, scattered, stars from 9th to 13th magnitude</t>
  </si>
  <si>
    <t>Cl, L, lC, sc, st 9…13</t>
  </si>
  <si>
    <t>NGC887</t>
  </si>
  <si>
    <t>2h19m32.6s</t>
  </si>
  <si>
    <t>-16h4m9s</t>
  </si>
  <si>
    <t>faint, small, irregularly round, pretty gradually brighter middle</t>
  </si>
  <si>
    <t>F, S, iR, pgbM</t>
  </si>
  <si>
    <t>NGC888</t>
  </si>
  <si>
    <t>E1/P</t>
  </si>
  <si>
    <t>时钟座</t>
  </si>
  <si>
    <t>HOR</t>
  </si>
  <si>
    <t>2h17m27.1s</t>
  </si>
  <si>
    <t>-59h51m38s</t>
  </si>
  <si>
    <t>extremely faint, small, round, 2 or 3 very faint stars near</t>
  </si>
  <si>
    <t>eF, S, R, 2 or 3 vF st nr</t>
  </si>
  <si>
    <t>NGC889</t>
  </si>
  <si>
    <t>2h19m6.8s</t>
  </si>
  <si>
    <t>-41h44m57s</t>
  </si>
  <si>
    <t>very faint, very small, round, brighter middle, 7th magnitude star to southeast</t>
  </si>
  <si>
    <t>vF, vS, R, bM, * 7 sf</t>
  </si>
  <si>
    <t>NGC890</t>
  </si>
  <si>
    <t>2h22m1s</t>
  </si>
  <si>
    <t>+33h15m59s</t>
  </si>
  <si>
    <t>bright, small, round, brighter middle, 3 faint stars to southwest</t>
  </si>
  <si>
    <t>B, S, R, bM, 3 F st sp</t>
  </si>
  <si>
    <t>NGC891</t>
  </si>
  <si>
    <t>2h22m33s</t>
  </si>
  <si>
    <t>+42h20m50s</t>
  </si>
  <si>
    <t>a remarkable object, bright, very large, very much extended 22°</t>
  </si>
  <si>
    <t>! B, vL, vmE 22°</t>
  </si>
  <si>
    <t>NGC892</t>
  </si>
  <si>
    <t>2h20m52s</t>
  </si>
  <si>
    <t>-23h6m49s</t>
  </si>
  <si>
    <t>extremely faint, extremely small, extended? nebulous?</t>
  </si>
  <si>
    <t>eF, eS, E?, neb?</t>
  </si>
  <si>
    <t>NGC893</t>
  </si>
  <si>
    <t>2h19m58.1s</t>
  </si>
  <si>
    <t>-41h24m10s</t>
  </si>
  <si>
    <t>pretty faint, pretty small, round, a little brighter middle, 8th magnitude star 4 arcmin to east</t>
  </si>
  <si>
    <t>pF, pS, R, lbM, * 8 f 4'</t>
  </si>
  <si>
    <t>NGC894</t>
  </si>
  <si>
    <t>2h21m34.5s</t>
  </si>
  <si>
    <t>-5h30m35s</t>
  </si>
  <si>
    <t>very faint, extended, brighter middle, a double nebula, connected with NGC 895</t>
  </si>
  <si>
    <t>vF, E, bM, D neb, connected</t>
  </si>
  <si>
    <t>NGC895</t>
  </si>
  <si>
    <t>2h21m36.5s</t>
  </si>
  <si>
    <t>-5h31m16s</t>
  </si>
  <si>
    <t>F, vL, iR, gbM, D neb, connected</t>
  </si>
  <si>
    <t>NGC896</t>
  </si>
  <si>
    <t>2h25m27.8s</t>
  </si>
  <si>
    <t>+62h1m10s</t>
  </si>
  <si>
    <t>extremely faint, pretty large, irregular figure</t>
  </si>
  <si>
    <t>eF, pL, iF</t>
  </si>
  <si>
    <t>NGC897</t>
  </si>
  <si>
    <t>2h21m6.4s</t>
  </si>
  <si>
    <t>-33h43m15s</t>
  </si>
  <si>
    <t>pretty bright, small, round, pretty suddenly brighter middle, 10th magnitude star 35 arcsec to east</t>
  </si>
  <si>
    <t>pB, S, R, psbM, * 10 f 35"</t>
  </si>
  <si>
    <t>NGC898</t>
  </si>
  <si>
    <t>2h23m20.2s</t>
  </si>
  <si>
    <t>+41h57m6s</t>
  </si>
  <si>
    <t>NGC899</t>
  </si>
  <si>
    <t>2h21m53.1s</t>
  </si>
  <si>
    <t>-20h49m23s</t>
  </si>
  <si>
    <t>pretty bright, small, gradually brighter middle, mottled but not resolved, double star to west</t>
  </si>
  <si>
    <t>pB, S, gbM, r, D * p</t>
  </si>
  <si>
    <t>NGC900</t>
  </si>
  <si>
    <t>2h23m32.1s</t>
  </si>
  <si>
    <t>+26h30m43s</t>
  </si>
  <si>
    <t>NGC901</t>
  </si>
  <si>
    <t>2h23m34s</t>
  </si>
  <si>
    <t>+26h33m24s</t>
  </si>
  <si>
    <t>NGC902</t>
  </si>
  <si>
    <t>2h22m21.8s</t>
  </si>
  <si>
    <t>-16h40m44s</t>
  </si>
  <si>
    <t>NGC903</t>
  </si>
  <si>
    <t>2h24m0.8s</t>
  </si>
  <si>
    <t>+27h21m25s</t>
  </si>
  <si>
    <t>NGC904</t>
  </si>
  <si>
    <t>2h24m5.5s</t>
  </si>
  <si>
    <t>+27h20m35s</t>
  </si>
  <si>
    <t>NGC905</t>
  </si>
  <si>
    <t>2h22m43.5s</t>
  </si>
  <si>
    <t>-8h43m7s</t>
  </si>
  <si>
    <t>extremely faint, extremely small, round, perhaps a star</t>
  </si>
  <si>
    <t>eF, eS, R, ? *</t>
  </si>
  <si>
    <t>NGC906</t>
  </si>
  <si>
    <t>2h25m16.2s</t>
  </si>
  <si>
    <t>+42h5m25s</t>
  </si>
  <si>
    <t>extremely faint, irregularly extended</t>
  </si>
  <si>
    <t>eF, iE</t>
  </si>
  <si>
    <t>NGC907</t>
  </si>
  <si>
    <t>2h23m1.7s</t>
  </si>
  <si>
    <t>-20h42m41s</t>
  </si>
  <si>
    <t>faint, small, extended 90°, gradually brighter middle</t>
  </si>
  <si>
    <t>F, S, E 90°, gbM</t>
  </si>
  <si>
    <t>NGC908</t>
  </si>
  <si>
    <t>2h23m4.6s</t>
  </si>
  <si>
    <t>-21h14m0s</t>
  </si>
  <si>
    <t>considerably bright, very large, extended</t>
  </si>
  <si>
    <t>cB, vL, E</t>
  </si>
  <si>
    <t>NGC909</t>
  </si>
  <si>
    <t>2h25m22.7s</t>
  </si>
  <si>
    <t>+42h2m10s</t>
  </si>
  <si>
    <t>very faint, very small, very small (faint) star involved</t>
  </si>
  <si>
    <t>vF, vS, vS * inv</t>
  </si>
  <si>
    <t>NGC910</t>
  </si>
  <si>
    <t>2h25m26.8s</t>
  </si>
  <si>
    <t>+41h49m27s</t>
  </si>
  <si>
    <t>very faint, pretty small, stellar</t>
  </si>
  <si>
    <t>vF, pS, stellar</t>
  </si>
  <si>
    <t>NGC911</t>
  </si>
  <si>
    <t>2h25m42.4s</t>
  </si>
  <si>
    <t>+41h57m24s</t>
  </si>
  <si>
    <t>NGC912</t>
  </si>
  <si>
    <t>2h25m42.7s</t>
  </si>
  <si>
    <t>+41h46m41s</t>
  </si>
  <si>
    <t>NGC913</t>
  </si>
  <si>
    <t>2h25m44.8s</t>
  </si>
  <si>
    <t>+41h47m57s</t>
  </si>
  <si>
    <t>NGC914</t>
  </si>
  <si>
    <t>2h26m5.1s</t>
  </si>
  <si>
    <t>+42h8m41s</t>
  </si>
  <si>
    <t>NGC915</t>
  </si>
  <si>
    <t>2h25m45.5s</t>
  </si>
  <si>
    <t>+27h13m18s</t>
  </si>
  <si>
    <t>NGC916</t>
  </si>
  <si>
    <t>2h25m47.6s</t>
  </si>
  <si>
    <t>+27h14m35s</t>
  </si>
  <si>
    <t>NGC917</t>
  </si>
  <si>
    <t>2h26m7.7s</t>
  </si>
  <si>
    <t>+31h54m44s</t>
  </si>
  <si>
    <t>very faint, small, round, 4 stars near (perhaps a very small cluster?)</t>
  </si>
  <si>
    <t>vF, S, R, 4 st nr (? vS Cl)</t>
  </si>
  <si>
    <t>NGC918</t>
  </si>
  <si>
    <t>2h25m50.8s</t>
  </si>
  <si>
    <t>+18h29m45s</t>
  </si>
  <si>
    <t>pretty faint, large, round, 10th magnitude star 3 arcmin to southeast</t>
  </si>
  <si>
    <t>pF, L, R, * 10 sf 3'</t>
  </si>
  <si>
    <t>NGC919</t>
  </si>
  <si>
    <t>2h26m16.6s</t>
  </si>
  <si>
    <t>+27h12m41s</t>
  </si>
  <si>
    <t>NGC920</t>
  </si>
  <si>
    <t>2h28m45.8s</t>
  </si>
  <si>
    <t>+45h58m16s</t>
  </si>
  <si>
    <t>extremely faint, extremely small, round, 1 or 2 extremely faint stars near</t>
  </si>
  <si>
    <t>eF, eS, R, 1 or 2 eF st nr</t>
  </si>
  <si>
    <t>NGC921</t>
  </si>
  <si>
    <t>2h26m33.5s</t>
  </si>
  <si>
    <t>-15h50m51s</t>
  </si>
  <si>
    <t>NGC922</t>
  </si>
  <si>
    <t>2h25m3.5s</t>
  </si>
  <si>
    <t>-24h47m21s</t>
  </si>
  <si>
    <t>considerably faint, pretty large, round, gradually pretty much better middle</t>
  </si>
  <si>
    <t>cF, pL, R, gpmbM</t>
  </si>
  <si>
    <t>NGC923</t>
  </si>
  <si>
    <t>2h27m34.6s</t>
  </si>
  <si>
    <t>+41h58m41s</t>
  </si>
  <si>
    <t>very faint, small, round, gradually then suddenly brighter middle</t>
  </si>
  <si>
    <t>vF, S, R, gsbM</t>
  </si>
  <si>
    <t>NGC924</t>
  </si>
  <si>
    <t>2h26m46.7s</t>
  </si>
  <si>
    <t>+20h29m50s</t>
  </si>
  <si>
    <t>extremely faint, very small, irregularly round</t>
  </si>
  <si>
    <t>eF, vS, iR</t>
  </si>
  <si>
    <t>NGC925</t>
  </si>
  <si>
    <t>2h27m16.8s</t>
  </si>
  <si>
    <t>considerably faint, considerably large, extended, very gradually brighter middle, two 13th magnitude stars to northwest</t>
  </si>
  <si>
    <t>cF, cL, E, vgbM, 2 st 13 np</t>
  </si>
  <si>
    <t>NGC926</t>
  </si>
  <si>
    <t>2h26m6.6s</t>
  </si>
  <si>
    <t>-0h19m57s</t>
  </si>
  <si>
    <t>NGC927</t>
  </si>
  <si>
    <t>2h26m37.3s</t>
  </si>
  <si>
    <t>+12h9m19s</t>
  </si>
  <si>
    <t>faint, small, brighter middle</t>
  </si>
  <si>
    <t>F, S, bM</t>
  </si>
  <si>
    <t>NGC928</t>
  </si>
  <si>
    <t>2h27m40.8s</t>
  </si>
  <si>
    <t>+27h13m15s</t>
  </si>
  <si>
    <t>NGC929</t>
  </si>
  <si>
    <t>2h27m18.1s</t>
  </si>
  <si>
    <t>-12h5m14s</t>
  </si>
  <si>
    <t>extremely faint, small, extended 170°, 8.5 magnitude star 4 arcmin to north</t>
  </si>
  <si>
    <t>eF, S, E 170°, * 8.5 n 4'</t>
  </si>
  <si>
    <t>NGC930</t>
  </si>
  <si>
    <t>2h27m56.7s</t>
  </si>
  <si>
    <t>+20h20m33s</t>
  </si>
  <si>
    <t>extremely faint, small, irregularly round, very gradually brighter middle, II 489 one arcmin southeast</t>
  </si>
  <si>
    <t>eF, S, iR, vgbM, II 489 sf 1'</t>
  </si>
  <si>
    <t>NGC931</t>
  </si>
  <si>
    <t>2h28m14.5s</t>
  </si>
  <si>
    <t>+31h18m40s</t>
  </si>
  <si>
    <t>faint, pretty large, irregularly round</t>
  </si>
  <si>
    <t>F, pL, iR</t>
  </si>
  <si>
    <t>NGC932</t>
  </si>
  <si>
    <t>2h27m54.6s</t>
  </si>
  <si>
    <t>+20h19m59s</t>
  </si>
  <si>
    <t>faint, small, a little extended, 3 stars involved</t>
  </si>
  <si>
    <t>F, S, lE, 3 st inv</t>
  </si>
  <si>
    <t>NGC933</t>
  </si>
  <si>
    <t>2h29m17.4s</t>
  </si>
  <si>
    <t>+45h54m43s</t>
  </si>
  <si>
    <t>extremely faint, extremely small, round, bright star to northeast</t>
  </si>
  <si>
    <t>eF, eS, R, B * nf</t>
  </si>
  <si>
    <t>NGC934</t>
  </si>
  <si>
    <t>2h27m32.9s</t>
  </si>
  <si>
    <t>-0h14m39s</t>
  </si>
  <si>
    <t>very faint, extremely small, perhaps a planetary nebula?</t>
  </si>
  <si>
    <t>vF, eS, ? planetary</t>
  </si>
  <si>
    <t>NGC935</t>
  </si>
  <si>
    <t>2h28m11.2s</t>
  </si>
  <si>
    <t>+19h35m57s</t>
  </si>
  <si>
    <t>pretty bright, pretty small, round, star 6 seconds of time to east</t>
  </si>
  <si>
    <t>pB, pS, R, * f 6s</t>
  </si>
  <si>
    <t>NGC936</t>
  </si>
  <si>
    <t>达斯·维德的星际战舰</t>
  </si>
  <si>
    <t>2h27m37.5s</t>
  </si>
  <si>
    <t>-1h9m23s</t>
  </si>
  <si>
    <t>very bright, very large, round, much brighter middle and nucleus, western of 2</t>
  </si>
  <si>
    <t>vB, vL, R, mbMN, p of 2</t>
  </si>
  <si>
    <t>NGC937</t>
  </si>
  <si>
    <t>2h29m28.1s</t>
  </si>
  <si>
    <t>+42h14m59s</t>
  </si>
  <si>
    <t>a very faint star slightly nebulous</t>
  </si>
  <si>
    <t>vF * slightly nebulous</t>
  </si>
  <si>
    <t>NGC938</t>
  </si>
  <si>
    <t>2h28m33.5s</t>
  </si>
  <si>
    <t>+20h17m2s</t>
  </si>
  <si>
    <t>pretty bright, small, round, a little brighter middle, 11th magnitude star to southeast</t>
  </si>
  <si>
    <t>pB, S, R, lbM, * 11 sf</t>
  </si>
  <si>
    <t>NGC939</t>
  </si>
  <si>
    <t>2h26m21.4s</t>
  </si>
  <si>
    <t>-44h26m47s</t>
  </si>
  <si>
    <t>very very faint, small, round, gradually very little brighter middle</t>
  </si>
  <si>
    <t>vvF, S, R, gvlbM</t>
  </si>
  <si>
    <t>NGC940</t>
  </si>
  <si>
    <t>2h29m27.4s</t>
  </si>
  <si>
    <t>+31h38m29s</t>
  </si>
  <si>
    <t>NGC941</t>
  </si>
  <si>
    <t>2h28m27.8s</t>
  </si>
  <si>
    <t>-1h9m4s</t>
  </si>
  <si>
    <t>very faint, considerably large, round, eastern of 2</t>
  </si>
  <si>
    <t>vF, cL, R, f of 2</t>
  </si>
  <si>
    <t>NGC942</t>
  </si>
  <si>
    <t>2h29m10.2s</t>
  </si>
  <si>
    <t>-10h50m8s</t>
  </si>
  <si>
    <t>very faint, round, perhaps a nebulous double star with (NGC) 943</t>
  </si>
  <si>
    <t>vF, R, neb D * ?</t>
  </si>
  <si>
    <t>NGC943</t>
  </si>
  <si>
    <t>2h29m9.5s</t>
  </si>
  <si>
    <t>-10h49m41s</t>
  </si>
  <si>
    <t>NGC944</t>
  </si>
  <si>
    <t>2h26m41.6s</t>
  </si>
  <si>
    <t>-14h30m57s</t>
  </si>
  <si>
    <t>extremely faint, small, much extended 0°, suddenly brighter middle.</t>
  </si>
  <si>
    <t>eF, S, mE 0°, sbM</t>
  </si>
  <si>
    <t>NGC945</t>
  </si>
  <si>
    <t>2h28m37.2s</t>
  </si>
  <si>
    <t>-10h32m20s</t>
  </si>
  <si>
    <t>very faint, large, irregularly round, gradually a little brighter middle</t>
  </si>
  <si>
    <t>vF, L, iR, glbM</t>
  </si>
  <si>
    <t>NGC946</t>
  </si>
  <si>
    <t>2h30m38.4s</t>
  </si>
  <si>
    <t>+42h13m59s</t>
  </si>
  <si>
    <t>NGC947</t>
  </si>
  <si>
    <t>2h28m33.3s</t>
  </si>
  <si>
    <t>-19h2m32s</t>
  </si>
  <si>
    <t>pretty bright, extended, gradually brighter middle</t>
  </si>
  <si>
    <t>pB, E, gbM</t>
  </si>
  <si>
    <t>NGC948</t>
  </si>
  <si>
    <t>2h28m45.4s</t>
  </si>
  <si>
    <t>-10h30m50s</t>
  </si>
  <si>
    <t>NGC949</t>
  </si>
  <si>
    <t>2h30m48.8s</t>
  </si>
  <si>
    <t>+37h8m9s</t>
  </si>
  <si>
    <t>considerably bright, large, extended, very gradually brighter middle</t>
  </si>
  <si>
    <t>cB, L, E, vgbM</t>
  </si>
  <si>
    <t>NGC950</t>
  </si>
  <si>
    <t>2h29m11.6s</t>
  </si>
  <si>
    <t>-11h1m30s</t>
  </si>
  <si>
    <t>extremely faint, small, gradually brighter middle</t>
  </si>
  <si>
    <t>eF, S, gbM</t>
  </si>
  <si>
    <t>NGC951</t>
  </si>
  <si>
    <t>2h28m56.9s</t>
  </si>
  <si>
    <t>-22h20m57s</t>
  </si>
  <si>
    <t>extremely faint, small, extended 0°, perhaps a double star?</t>
  </si>
  <si>
    <t>eF, S, E 0°, ? D *</t>
  </si>
  <si>
    <t>NGC952</t>
  </si>
  <si>
    <t>NGC953</t>
  </si>
  <si>
    <t>2h31m9.8s</t>
  </si>
  <si>
    <t>+29h35m20s</t>
  </si>
  <si>
    <t>pretty faint, small, round, much brighter middle</t>
  </si>
  <si>
    <t>pF, S, R, mbM</t>
  </si>
  <si>
    <t>NGC954</t>
  </si>
  <si>
    <t>2h28m51.6s</t>
  </si>
  <si>
    <t>-41h24m9s</t>
  </si>
  <si>
    <t>very faint, pretty large, a little extended, gradually brighter middle, 8th magnitude star 3 arcmin to southeast</t>
  </si>
  <si>
    <t>vF, pL, lE, gbM, * 8 sf 3'</t>
  </si>
  <si>
    <t>NGC955</t>
  </si>
  <si>
    <t>2h30m33.1s</t>
  </si>
  <si>
    <t>-1h6m30s</t>
  </si>
  <si>
    <t>pretty bright, small, extended, pretty suddenly brighter middle</t>
  </si>
  <si>
    <t>pB, S, E, psbM</t>
  </si>
  <si>
    <t>NGC956</t>
  </si>
  <si>
    <t>2h32m14.9s</t>
  </si>
  <si>
    <t>+44h38m48s</t>
  </si>
  <si>
    <t>a cluster, pretty rich, stars from 9th to 15th magnitude</t>
  </si>
  <si>
    <t>Cl, pRi, st 9…15</t>
  </si>
  <si>
    <t>NGC957</t>
  </si>
  <si>
    <t>2h33m21s</t>
  </si>
  <si>
    <t>+57h33m36s</t>
  </si>
  <si>
    <t>a cluster, pretty large, pretty rich, stars from 13th to 15th magnitude</t>
  </si>
  <si>
    <t>Cl, pL, pRi, st 13…15</t>
  </si>
  <si>
    <t>NGC958</t>
  </si>
  <si>
    <t>2h30m42.5s</t>
  </si>
  <si>
    <t>-2h56m27s</t>
  </si>
  <si>
    <t>pretty faint, irregularly a little extended, brighter middle</t>
  </si>
  <si>
    <t>pF, ilE, bM</t>
  </si>
  <si>
    <t>NGC959</t>
  </si>
  <si>
    <t>2h32m24s</t>
  </si>
  <si>
    <t>+35h29m42s</t>
  </si>
  <si>
    <t>extremely faint, pretty large, a little extended, a little brighter middle</t>
  </si>
  <si>
    <t>eF, pL, lE, lbM</t>
  </si>
  <si>
    <t>NGC960</t>
  </si>
  <si>
    <t>2h31m41.3s</t>
  </si>
  <si>
    <t>-9h18m1s</t>
  </si>
  <si>
    <t>extremely faint, very small, round, possibly nebulous, 9th magnitude star to southwest</t>
  </si>
  <si>
    <t>eF, vS, R, ? neb, * 9 sp</t>
  </si>
  <si>
    <t>NGC961</t>
  </si>
  <si>
    <t>2h41m2.2s</t>
  </si>
  <si>
    <t>-6h56m8s</t>
  </si>
  <si>
    <t>extremely faint, pretty small, extended 230°, 10th magnitude star attached</t>
  </si>
  <si>
    <t>eF, pS, E 230°, * 10 att</t>
  </si>
  <si>
    <t>NGC962</t>
  </si>
  <si>
    <t>2h32m39.9s</t>
  </si>
  <si>
    <t>+28h4m15s</t>
  </si>
  <si>
    <t>NGC963</t>
  </si>
  <si>
    <t>2h30m31.1s</t>
  </si>
  <si>
    <t>-4h12m56s</t>
  </si>
  <si>
    <t>extremely faint, small, round, gradually brighter middle, mottled but not resolved</t>
  </si>
  <si>
    <t>eF, S, R, gbM, r</t>
  </si>
  <si>
    <t>NGC964</t>
  </si>
  <si>
    <t>2h31m5.7s</t>
  </si>
  <si>
    <t>-36h2m5s</t>
  </si>
  <si>
    <t>pretty bright, pretty small, much extended 215°</t>
  </si>
  <si>
    <t>pB, pS, mE 215°</t>
  </si>
  <si>
    <t>NGC965</t>
  </si>
  <si>
    <t>2h32m25.1s</t>
  </si>
  <si>
    <t>-18h38m25s</t>
  </si>
  <si>
    <t>NGC966</t>
  </si>
  <si>
    <t>2h31m47.1s</t>
  </si>
  <si>
    <t>-19h52m54s</t>
  </si>
  <si>
    <t>extremely faint, round, 9th-magnitude star 2 arcmin to southwest</t>
  </si>
  <si>
    <t>eF, R, * 9 sp 2'</t>
  </si>
  <si>
    <t>NGC967</t>
  </si>
  <si>
    <t>2h32m12.8s</t>
  </si>
  <si>
    <t>-17h12m59s</t>
  </si>
  <si>
    <t>faint, small, irregularly round, gradually brighter middle</t>
  </si>
  <si>
    <t>F, S, iR, gbM</t>
  </si>
  <si>
    <t>NGC968</t>
  </si>
  <si>
    <t>2h34m6.1s</t>
  </si>
  <si>
    <t>+34h28m50s</t>
  </si>
  <si>
    <t>NGC969</t>
  </si>
  <si>
    <t>2h34m8s</t>
  </si>
  <si>
    <t>+32h56m47s</t>
  </si>
  <si>
    <t>small, round, pretty suddenly bright middle, 1st of 5</t>
  </si>
  <si>
    <t>S, R, psbM, 1st of 5</t>
  </si>
  <si>
    <t>NGC970</t>
  </si>
  <si>
    <t>2h34m11.7s</t>
  </si>
  <si>
    <t>+32h58m35s</t>
  </si>
  <si>
    <t>very faint, very small, round, 2nd of 5</t>
  </si>
  <si>
    <t>vF, vS, R, 2nd of 5</t>
  </si>
  <si>
    <t>NGC971</t>
  </si>
  <si>
    <t>2h34m15.7s</t>
  </si>
  <si>
    <t>+32h58m45s</t>
  </si>
  <si>
    <t>very faint, very small, round, 3rd of 5</t>
  </si>
  <si>
    <t>vF, vS, R, 3rd of 5</t>
  </si>
  <si>
    <t>NGC972</t>
  </si>
  <si>
    <t>2h34m13.3s</t>
  </si>
  <si>
    <t>+29h18m37s</t>
  </si>
  <si>
    <t>pretty bright, considerably large, a little extended, gradually much brighter middle, 3 stars to south</t>
  </si>
  <si>
    <t>pB, cL, lE, gmbM, 3 st s</t>
  </si>
  <si>
    <t>NGC973</t>
  </si>
  <si>
    <t>2h34m20.1s</t>
  </si>
  <si>
    <t>+32h30m20s</t>
  </si>
  <si>
    <t>most extremely faint, small, much extended, pretty bright star near to southwest</t>
  </si>
  <si>
    <t>eeF, S, mE, pB * nr sp</t>
  </si>
  <si>
    <t>NGC974</t>
  </si>
  <si>
    <t>2h34m25.7s</t>
  </si>
  <si>
    <t>+32h57m18s</t>
  </si>
  <si>
    <t>very faint, round, brighter middle, 4th of 5</t>
  </si>
  <si>
    <t>vF, R, bM, 4th of 5</t>
  </si>
  <si>
    <t>NGC975</t>
  </si>
  <si>
    <t>2h33m22.7s</t>
  </si>
  <si>
    <t>+9h36m7s</t>
  </si>
  <si>
    <t>very faint, considerably extended</t>
  </si>
  <si>
    <t>vF, cE</t>
  </si>
  <si>
    <t>NGC976</t>
  </si>
  <si>
    <t>2h33m59.9s</t>
  </si>
  <si>
    <t>+20h58m38s</t>
  </si>
  <si>
    <t>very faint, very small, 4 faint stars near</t>
  </si>
  <si>
    <t>vF, vS, 4 F st nr</t>
  </si>
  <si>
    <t>NGC977</t>
  </si>
  <si>
    <t>2h33m3.4s</t>
  </si>
  <si>
    <t>-10h45m34s</t>
  </si>
  <si>
    <t>extremely faint, pretty small, round, very little brighter middle, among scattered stars</t>
  </si>
  <si>
    <t>eF, pS, R, vlbM, am sc st</t>
  </si>
  <si>
    <t>NGC978</t>
  </si>
  <si>
    <t>2h34m47s</t>
  </si>
  <si>
    <t>+32h50m42s</t>
  </si>
  <si>
    <t>pretty bright, round, 5th of 5</t>
  </si>
  <si>
    <t>pB, R, 5th of 5</t>
  </si>
  <si>
    <t>NGC979</t>
  </si>
  <si>
    <t>2h31m38.7s</t>
  </si>
  <si>
    <t>-44h31m27s</t>
  </si>
  <si>
    <t>faint, small, round, between 2 stars in parallel</t>
  </si>
  <si>
    <t>F, S, R, bet 2 st in par</t>
  </si>
  <si>
    <t>NGC980</t>
  </si>
  <si>
    <t>2h35m18.5s</t>
  </si>
  <si>
    <t>+40h55m37s</t>
  </si>
  <si>
    <t>very faint, pretty small, southwestern of 2</t>
  </si>
  <si>
    <t>vF, pS, sp of 2</t>
  </si>
  <si>
    <t>NGC981</t>
  </si>
  <si>
    <t>2h32m59.8s</t>
  </si>
  <si>
    <t>-10h58m25s</t>
  </si>
  <si>
    <t>NGC982</t>
  </si>
  <si>
    <t>2h35m24.8s</t>
  </si>
  <si>
    <t>+40h52m10s</t>
  </si>
  <si>
    <t>faint, small, northeastern of 2</t>
  </si>
  <si>
    <t>F, S, nf of 2</t>
  </si>
  <si>
    <t>NGC983</t>
  </si>
  <si>
    <t>2h38m55.7s</t>
  </si>
  <si>
    <t>+34h37m19s</t>
  </si>
  <si>
    <t>NGC984</t>
  </si>
  <si>
    <t>2h34m43s</t>
  </si>
  <si>
    <t>+23h24m49s</t>
  </si>
  <si>
    <t>very faint, extremely small, round, brighter middle</t>
  </si>
  <si>
    <t>vF, eS, R, bM</t>
  </si>
  <si>
    <t>NGC985</t>
  </si>
  <si>
    <t>Ring/P</t>
  </si>
  <si>
    <t>2h34m37.4s</t>
  </si>
  <si>
    <t>-8h47m6s</t>
  </si>
  <si>
    <t>very faint, very small, round, brighter middle and nucleus</t>
  </si>
  <si>
    <t>vF, vS, R, bMN</t>
  </si>
  <si>
    <t>NGC986</t>
  </si>
  <si>
    <t>2h33m34.1s</t>
  </si>
  <si>
    <t>-39h2m45s</t>
  </si>
  <si>
    <t>pretty bright, large, pretty much extended, suddenly brighter middle, bi-nuclear</t>
  </si>
  <si>
    <t>pB, L, pmE, sbM, bi-N</t>
  </si>
  <si>
    <t>NGC987</t>
  </si>
  <si>
    <t>2h36m49.5s</t>
  </si>
  <si>
    <t>+33h19m38s</t>
  </si>
  <si>
    <t>faint, small, very little extended, brighter middle, mottled but not resolved, 2 stars of 14th magnitude to northwest</t>
  </si>
  <si>
    <t>F, S, vlE, bM, r, 2 st 14 np</t>
  </si>
  <si>
    <t>NGC988</t>
  </si>
  <si>
    <t>2h35m27.3s</t>
  </si>
  <si>
    <t>-9h21m18s</t>
  </si>
  <si>
    <t>nebulous 7.5 magnitude star</t>
  </si>
  <si>
    <t>Neb * 7.5 m</t>
  </si>
  <si>
    <t>NGC989</t>
  </si>
  <si>
    <t>2h33m46s</t>
  </si>
  <si>
    <t>-16h30m41s</t>
  </si>
  <si>
    <t>NGC990</t>
  </si>
  <si>
    <t>2h36m18.1s</t>
  </si>
  <si>
    <t>+11h38m32s</t>
  </si>
  <si>
    <t>NGC991</t>
  </si>
  <si>
    <t>2h35m32.6s</t>
  </si>
  <si>
    <t>-7h9m18s</t>
  </si>
  <si>
    <t>very faint, considerably large, irregular figure, very little brighter middle</t>
  </si>
  <si>
    <t>vF, cL, iF, vlbM</t>
  </si>
  <si>
    <t>NGC992</t>
  </si>
  <si>
    <t>2h37m25.5s</t>
  </si>
  <si>
    <t>+21h6m1s</t>
  </si>
  <si>
    <t>pretty faint, pretty small, much extended, star to south</t>
  </si>
  <si>
    <t>pF, pS, mE, * s</t>
  </si>
  <si>
    <t>NGC993</t>
  </si>
  <si>
    <t>2h36m46s</t>
  </si>
  <si>
    <t>+2h3m1s</t>
  </si>
  <si>
    <t>NGC994</t>
  </si>
  <si>
    <t>eeF, pS, R, vF * close, nr 5251</t>
  </si>
  <si>
    <t>NGC995</t>
  </si>
  <si>
    <t>2h38m31.9s</t>
  </si>
  <si>
    <t>+41h31m44s</t>
  </si>
  <si>
    <t>NGC996</t>
  </si>
  <si>
    <t>2h38m39.6s</t>
  </si>
  <si>
    <t>+41h38m50s</t>
  </si>
  <si>
    <t>NGC997</t>
  </si>
  <si>
    <t>E+C</t>
  </si>
  <si>
    <t>2h37m14.4s</t>
  </si>
  <si>
    <t>+7h18m22s</t>
  </si>
  <si>
    <t>NGC998</t>
  </si>
  <si>
    <t>2h37m16.5s</t>
  </si>
  <si>
    <t>+7h20m9s</t>
  </si>
  <si>
    <t>NGC999</t>
  </si>
  <si>
    <t>2h38m47.4s</t>
  </si>
  <si>
    <t>+41h40m16s</t>
  </si>
  <si>
    <t>NGC1000</t>
  </si>
  <si>
    <t>2h38m49.7s</t>
  </si>
  <si>
    <t>+41h27m37s</t>
  </si>
  <si>
    <t>very very faint, pretty small, diffuse</t>
  </si>
  <si>
    <t>vvF, pS, dif</t>
  </si>
  <si>
    <t>NGC1001</t>
  </si>
  <si>
    <t>2h39m12.6s</t>
  </si>
  <si>
    <t>+41h40m18s</t>
  </si>
  <si>
    <t>NGC1002</t>
  </si>
  <si>
    <t>very faint, very small, irregularly round, brighter middle and nucleus</t>
  </si>
  <si>
    <t>vF, vS, iR, bMN</t>
  </si>
  <si>
    <t>NGC1003</t>
  </si>
  <si>
    <t>2h39m16.6s</t>
  </si>
  <si>
    <t>+40h52m22s</t>
  </si>
  <si>
    <t>pretty faint, large, extended 90°±, much brighter middle, mottled but not resolved</t>
  </si>
  <si>
    <t>pF, L, E 90° ±, mbM, r</t>
  </si>
  <si>
    <t>NGC1004</t>
  </si>
  <si>
    <t>2h37m41.7s</t>
  </si>
  <si>
    <t>+1h58m32s</t>
  </si>
  <si>
    <t>pretty faint, very small, round, very much brighter middle, 11th magnitude star 2 seconds of time to west</t>
  </si>
  <si>
    <t>pF, vS, R, vmbM, * 11 p 2s</t>
  </si>
  <si>
    <t>NGC1005</t>
  </si>
  <si>
    <t>2h39m27.6s</t>
  </si>
  <si>
    <t>+41h29m36s</t>
  </si>
  <si>
    <t>NGC1006</t>
  </si>
  <si>
    <t>2h37m34.8s</t>
  </si>
  <si>
    <t>-11h1m31s</t>
  </si>
  <si>
    <t>most extremely faint, pretty small, round, a little brighter middle</t>
  </si>
  <si>
    <t>eeF, pS, R, lbM</t>
  </si>
  <si>
    <t>NGC1007</t>
  </si>
  <si>
    <t>2h37m52.2s</t>
  </si>
  <si>
    <t>+2h9m20s</t>
  </si>
  <si>
    <t>NGC1008</t>
  </si>
  <si>
    <t>2h37m55.2s</t>
  </si>
  <si>
    <t>+2h4m49s</t>
  </si>
  <si>
    <t>very faint, extremely small, stellar</t>
  </si>
  <si>
    <t>NGC1009</t>
  </si>
  <si>
    <t>2h38m18.9s</t>
  </si>
  <si>
    <t>+2h18m36s</t>
  </si>
  <si>
    <t>most extremely faint, pretty small, round, 9th magnitude star to southeast</t>
  </si>
  <si>
    <t>eeF, pS, R, * 9 sf</t>
  </si>
  <si>
    <t>NGC1010</t>
  </si>
  <si>
    <t>NGC1011</t>
  </si>
  <si>
    <t>2h37m38.8s</t>
  </si>
  <si>
    <t>-11h0m18s</t>
  </si>
  <si>
    <t>NGC1012</t>
  </si>
  <si>
    <t>2h39m14.7s</t>
  </si>
  <si>
    <t>+30h9m5s</t>
  </si>
  <si>
    <t>faint, pretty small, irregularly round, brighter middle, star involved</t>
  </si>
  <si>
    <t>F, pS, iR, bM, st inv</t>
  </si>
  <si>
    <t>NGC1013</t>
  </si>
  <si>
    <t>2h37m50.4s</t>
  </si>
  <si>
    <t>-11h30m24s</t>
  </si>
  <si>
    <t>most extremely faint, very small, round, between two distant double stars</t>
  </si>
  <si>
    <t>eeF, vS, R, bet 2 dist D st</t>
  </si>
  <si>
    <t>NGC1014</t>
  </si>
  <si>
    <t>2h38m0.8s</t>
  </si>
  <si>
    <t>-9h34m19s</t>
  </si>
  <si>
    <t>extremely faint, extremely small, irregularly round, preceding (western) of 2</t>
  </si>
  <si>
    <t>eF, eS, iR, p of 2</t>
  </si>
  <si>
    <t>NGC1015</t>
  </si>
  <si>
    <t>2h38m11.6s</t>
  </si>
  <si>
    <t>-1h19m6s</t>
  </si>
  <si>
    <t>NGC1016</t>
  </si>
  <si>
    <t>2h38m19.6s</t>
  </si>
  <si>
    <t>+2h7m9s</t>
  </si>
  <si>
    <t>NGC1017</t>
  </si>
  <si>
    <t>2h37m49.9s</t>
  </si>
  <si>
    <t>-11h0m38s</t>
  </si>
  <si>
    <t>NGC1018</t>
  </si>
  <si>
    <t>2h38m10.3s</t>
  </si>
  <si>
    <t>-9h32m39s</t>
  </si>
  <si>
    <t>extremely faint, very small, extended 180°, following (eastern) of 2</t>
  </si>
  <si>
    <t>eF, vS, E 180°, f of 2</t>
  </si>
  <si>
    <t>NGC1019</t>
  </si>
  <si>
    <t>2h38m27.4s</t>
  </si>
  <si>
    <t>+1h54m29s</t>
  </si>
  <si>
    <t>NGC1020</t>
  </si>
  <si>
    <t>2h38m44.3s</t>
  </si>
  <si>
    <t>+2h13m52s</t>
  </si>
  <si>
    <t>NGC1021</t>
  </si>
  <si>
    <t>2h38m47.9s</t>
  </si>
  <si>
    <t>+2h13m2s</t>
  </si>
  <si>
    <t>NGC1022</t>
  </si>
  <si>
    <t>2h38m32.5s</t>
  </si>
  <si>
    <t>-6h40m39s</t>
  </si>
  <si>
    <t>considerably bright, pretty large, round, much brighter middle, 11th magnitude star 2 arcmin to northeast</t>
  </si>
  <si>
    <t>cB, pL, R, mbM, * 11 nf 2'</t>
  </si>
  <si>
    <t>NGC1023</t>
  </si>
  <si>
    <t>仙人掌星系</t>
  </si>
  <si>
    <t>2h40m24.1s</t>
  </si>
  <si>
    <t>+39h3m48s</t>
  </si>
  <si>
    <t>very bright, very large, very much extended, very very much brighter middle</t>
  </si>
  <si>
    <t>vB, vL, vmE, vvmbM</t>
  </si>
  <si>
    <t>NGC1024</t>
  </si>
  <si>
    <t>2h39m11.8s</t>
  </si>
  <si>
    <t>+10h50m52s</t>
  </si>
  <si>
    <t>pretty faint, small, a little extended, brighter middle, 11th magnitude star 1 arcmin to northeast</t>
  </si>
  <si>
    <t>pF, S, lE, bM, * 11 nf 1'</t>
  </si>
  <si>
    <t>NGC1025</t>
  </si>
  <si>
    <t>2h36m19.9s</t>
  </si>
  <si>
    <t>-54h51m49s</t>
  </si>
  <si>
    <t>extremely faint, small, round, preceding (western) of 2</t>
  </si>
  <si>
    <t>eF, S, R, p of 2</t>
  </si>
  <si>
    <t>NGC1026</t>
  </si>
  <si>
    <t>2h39m19.2s</t>
  </si>
  <si>
    <t>+6h32m40s</t>
  </si>
  <si>
    <t>pretty faint, small, round, pretty suddenly brighter middle</t>
  </si>
  <si>
    <t>pF, S, R, psbM</t>
  </si>
  <si>
    <t>NGC1027</t>
  </si>
  <si>
    <t>2h42m36s</t>
  </si>
  <si>
    <t>+61h35m42s</t>
  </si>
  <si>
    <t>a cluster, large, scattered stars, one 10th magnitude</t>
  </si>
  <si>
    <t>Cl, L, sc st, one 10 m</t>
  </si>
  <si>
    <t>NGC1028</t>
  </si>
  <si>
    <t>2h39m37.1s</t>
  </si>
  <si>
    <t>+10h50m36s</t>
  </si>
  <si>
    <t>NGC1029</t>
  </si>
  <si>
    <t>2h39m36.4s</t>
  </si>
  <si>
    <t>+10h47m36s</t>
  </si>
  <si>
    <t>NGC1030</t>
  </si>
  <si>
    <t>2h39m50.5s</t>
  </si>
  <si>
    <t>+18h1m26s</t>
  </si>
  <si>
    <t>very faint, irregularly extended</t>
  </si>
  <si>
    <t>vF, iE</t>
  </si>
  <si>
    <t>NGC1031</t>
  </si>
  <si>
    <t>2h36m38.6s</t>
  </si>
  <si>
    <t>-54h51m32s</t>
  </si>
  <si>
    <t>faint, small, round, gradually brighter middle, 11th magnitude star 2 arcmin to south</t>
  </si>
  <si>
    <t>F, S, R, gbM, * 11 s 2'</t>
  </si>
  <si>
    <t>NGC1032</t>
  </si>
  <si>
    <t>2h39m23.6s</t>
  </si>
  <si>
    <t>+1h5m38s</t>
  </si>
  <si>
    <t>pretty bright, small, very little extended, brighter middle, 3 star trapezoid</t>
  </si>
  <si>
    <t>pB, S, vlE, bM, 3 st trap</t>
  </si>
  <si>
    <t>NGC1033</t>
  </si>
  <si>
    <t>2h40m16.1s</t>
  </si>
  <si>
    <t>-8h46m35s</t>
  </si>
  <si>
    <t>extremely faint, pretty large, irregularly extended 190°, suddenly brighter middle and nucleus</t>
  </si>
  <si>
    <t>eF, pL, iE 190°, sbMN</t>
  </si>
  <si>
    <t>NGC1034</t>
  </si>
  <si>
    <t>2h38m13.9s</t>
  </si>
  <si>
    <t>-15h48m33s</t>
  </si>
  <si>
    <t>very faint, very small, a little extended, a little brighter middle, 2 bright stars 20 seconds of time to the west</t>
  </si>
  <si>
    <t>vF, vS, lE, lbM, 2 B st p 20s</t>
  </si>
  <si>
    <t>NGC1035</t>
  </si>
  <si>
    <t>2h39m29s</t>
  </si>
  <si>
    <t>-8h7m57s</t>
  </si>
  <si>
    <t>pretty faint, large, much extended, mottled but not resolved, 17th magnitude star attached on southeast</t>
  </si>
  <si>
    <t>pF, L, mE, r, * 17 att sf</t>
  </si>
  <si>
    <t>NGC1036</t>
  </si>
  <si>
    <t>2h40m29s</t>
  </si>
  <si>
    <t>+19h17m49s</t>
  </si>
  <si>
    <t>NGC1037</t>
  </si>
  <si>
    <t>2h39m58.3s</t>
  </si>
  <si>
    <t>-1h44m3s</t>
  </si>
  <si>
    <t>most extremely faint, very small, much extended, very difficult</t>
  </si>
  <si>
    <t>eeF, vS, mE, v diffic</t>
  </si>
  <si>
    <t>NGC1038</t>
  </si>
  <si>
    <t>2h40m6.3s</t>
  </si>
  <si>
    <t>+1h30m34s</t>
  </si>
  <si>
    <t>extremely faint, pretty small, round, a little brighter middle</t>
  </si>
  <si>
    <t>eF, pS, R, lbM</t>
  </si>
  <si>
    <t>NGC1039</t>
  </si>
  <si>
    <t>螺旋星团</t>
  </si>
  <si>
    <t>2h42m5s</t>
  </si>
  <si>
    <t>+42h45m42s</t>
  </si>
  <si>
    <t>a cluster, bright, very large, a little compressed, scattered 9th magnitude stars</t>
  </si>
  <si>
    <t>Cl, B, vL, lC, sc st 9</t>
  </si>
  <si>
    <t>NGC1040</t>
  </si>
  <si>
    <t>2h43m12.5s</t>
  </si>
  <si>
    <t>+41h30m1s</t>
  </si>
  <si>
    <t>NGC1041</t>
  </si>
  <si>
    <t>2h40m25.2s</t>
  </si>
  <si>
    <t>-5h26m24s</t>
  </si>
  <si>
    <t>pretty faint, pretty small, irregularly round, brighter middle</t>
  </si>
  <si>
    <t>pF, pS, iR, bM</t>
  </si>
  <si>
    <t>NGC1042</t>
  </si>
  <si>
    <t>2h40m23.9s</t>
  </si>
  <si>
    <t>-8h26m3s</t>
  </si>
  <si>
    <t>most extremely faint, large, round, northwestern of 2</t>
  </si>
  <si>
    <t>eeF, L, R, np of 2</t>
  </si>
  <si>
    <t>NGC1043</t>
  </si>
  <si>
    <t>2h40m46.5s</t>
  </si>
  <si>
    <t>+1h20m35s</t>
  </si>
  <si>
    <t>most extremely faint, small, round, very difficult</t>
  </si>
  <si>
    <t>eeF, S, R, v diffic</t>
  </si>
  <si>
    <t>NGC1044</t>
  </si>
  <si>
    <t>2h41m6.1s</t>
  </si>
  <si>
    <t>+8h44m19s</t>
  </si>
  <si>
    <t>very faint, very small, preceding (western) of 2, 10th magnitude star to west</t>
  </si>
  <si>
    <t>vF, vS, p of 2, * 10 p</t>
  </si>
  <si>
    <t>NGC1045</t>
  </si>
  <si>
    <t>2h40m29.1s</t>
  </si>
  <si>
    <t>-11h16m40s</t>
  </si>
  <si>
    <t>NGC1046</t>
  </si>
  <si>
    <t>2h41m12.8s</t>
  </si>
  <si>
    <t>+8h43m12s</t>
  </si>
  <si>
    <t>extremely faint, very small, following (eastern) of 2</t>
  </si>
  <si>
    <t>eF, vS, f of 2</t>
  </si>
  <si>
    <t>NGC1047</t>
  </si>
  <si>
    <t>2h40m32.8s</t>
  </si>
  <si>
    <t>-8h8m50s</t>
  </si>
  <si>
    <t>NGC1048</t>
  </si>
  <si>
    <t>2h40m37.9s</t>
  </si>
  <si>
    <t>-8h32m1s</t>
  </si>
  <si>
    <t>most extremely faint, pretty small, round, southeastern of 2</t>
  </si>
  <si>
    <t>eeF, pS, R, sf of 2</t>
  </si>
  <si>
    <t>NGC1049</t>
  </si>
  <si>
    <t>天炉座矮星系球状星团3</t>
  </si>
  <si>
    <t>2h39m48.1s</t>
  </si>
  <si>
    <t>-34h15m30s</t>
  </si>
  <si>
    <t>pretty bright, small, round, stellar</t>
  </si>
  <si>
    <t>pB, S, R, stellar</t>
  </si>
  <si>
    <t>NGC1050</t>
  </si>
  <si>
    <t>2h42m35.6s</t>
  </si>
  <si>
    <t>+34h45m51s</t>
  </si>
  <si>
    <t>faint, small, 18th magnitude star involved on north</t>
  </si>
  <si>
    <t>F, S, * 18 inv n</t>
  </si>
  <si>
    <t>NGC1051</t>
  </si>
  <si>
    <t>extremely faint, a little extended northwest - southeast, attached star on northwest</t>
  </si>
  <si>
    <t>eF, lE npsf, * att np</t>
  </si>
  <si>
    <t>NGC1052</t>
  </si>
  <si>
    <t>2h41m4.6s</t>
  </si>
  <si>
    <t>-8h15m17s</t>
  </si>
  <si>
    <t>bright, pretty large, round, much brighter middle equivalent to 12th magnitude star</t>
  </si>
  <si>
    <t>B, pL, R, mbM * 12</t>
  </si>
  <si>
    <t>NGC1053</t>
  </si>
  <si>
    <t>very faint, very small, a little extended, 3 or 4 stars in a line near</t>
  </si>
  <si>
    <t>vF, vS, lE, 3 or 4 st in line nr</t>
  </si>
  <si>
    <t>NGC1054</t>
  </si>
  <si>
    <t>2h42m15.8s</t>
  </si>
  <si>
    <t>+18h13m3s</t>
  </si>
  <si>
    <t>NGC1055</t>
  </si>
  <si>
    <t>2h41m45.3s</t>
  </si>
  <si>
    <t>+0h26m34s</t>
  </si>
  <si>
    <t>pretty faint, considerably large, irregularly extended 80°, brighter middle, 11th magnitude star 1 arcmin north</t>
  </si>
  <si>
    <t>pF, cL, iE 80°, bM, * 11 n 1'</t>
  </si>
  <si>
    <t>NGC1056</t>
  </si>
  <si>
    <t>2h42m48.4s</t>
  </si>
  <si>
    <t>+28h34m28s</t>
  </si>
  <si>
    <t>NGC1057</t>
  </si>
  <si>
    <t>2h43m2.8s</t>
  </si>
  <si>
    <t>+32h29m30s</t>
  </si>
  <si>
    <t>very faint, double</t>
  </si>
  <si>
    <t>vF, double</t>
  </si>
  <si>
    <t>NGC1058</t>
  </si>
  <si>
    <t>2h43m29.9s</t>
  </si>
  <si>
    <t>+37h20m29s</t>
  </si>
  <si>
    <t>pretty faint, considerably large, round, gradually a little brighter middle</t>
  </si>
  <si>
    <t>pF, cL, R, glbM</t>
  </si>
  <si>
    <t>NGC1059</t>
  </si>
  <si>
    <t>2h42m35.5s</t>
  </si>
  <si>
    <t>+17h59m46s</t>
  </si>
  <si>
    <t>extremely faint, hardly sure (d'Arrest not found)</t>
  </si>
  <si>
    <t>eF, hardly sure (d'A not found)</t>
  </si>
  <si>
    <t>NGC1060</t>
  </si>
  <si>
    <t>2h43m15s</t>
  </si>
  <si>
    <t>+32h25m29s</t>
  </si>
  <si>
    <t>faint, pretty large, round, a little brighter middle, 7.5 magnitude star 46 seconds of time to east, 3 arcmin south</t>
  </si>
  <si>
    <t>F, pL, R, lbM, * 7.5 f 46s, 3' s</t>
  </si>
  <si>
    <t>NGC1061</t>
  </si>
  <si>
    <t>2h43m15.8s</t>
  </si>
  <si>
    <t>+32h28m2s</t>
  </si>
  <si>
    <t>NGC1062</t>
  </si>
  <si>
    <t>2h43m24.4s</t>
  </si>
  <si>
    <t>+32h27m45s</t>
  </si>
  <si>
    <t>NGC1063</t>
  </si>
  <si>
    <t>2h42m9.9s</t>
  </si>
  <si>
    <t>-5h34m6s</t>
  </si>
  <si>
    <t>very faint, pretty small, irregularly round, mottled but not resolved?</t>
  </si>
  <si>
    <t>vF, pS, iR, r ?</t>
  </si>
  <si>
    <t>NGC1064</t>
  </si>
  <si>
    <t>2h42m23.3s</t>
  </si>
  <si>
    <t>-9h21m46s</t>
  </si>
  <si>
    <t>NGC1065</t>
  </si>
  <si>
    <t>2h42m6.2s</t>
  </si>
  <si>
    <t>-15h5m30s</t>
  </si>
  <si>
    <t>most extremely faint, pretty small, star near to south, 7.5 magnitude star to west</t>
  </si>
  <si>
    <t>eeF, pS, * nr s, * 7.5 p</t>
  </si>
  <si>
    <t>NGC1066</t>
  </si>
  <si>
    <t>2h43m49.9s</t>
  </si>
  <si>
    <t>+32h28m32s</t>
  </si>
  <si>
    <t>very faint, pretty large, round, a little brighter middle, southern of 2</t>
  </si>
  <si>
    <t>vF, pL, R, lbM, s of 2</t>
  </si>
  <si>
    <t>NGC1067</t>
  </si>
  <si>
    <t>2h43m50.6s</t>
  </si>
  <si>
    <t>+32h30m42s</t>
  </si>
  <si>
    <t>extremely faint, small, northern of 2</t>
  </si>
  <si>
    <t>eF, S, n of 2</t>
  </si>
  <si>
    <t>NGC1068</t>
  </si>
  <si>
    <t>鲸鱼座A</t>
  </si>
  <si>
    <t>2h42m40.8s</t>
  </si>
  <si>
    <t>-0h0m46s</t>
  </si>
  <si>
    <t>very bright, pretty large, irregularly round, suddenly brighter middle, partially resolved nucleus (some stars seen)</t>
  </si>
  <si>
    <t>vB, pL, iR, sbMrrN</t>
  </si>
  <si>
    <t>NGC1069</t>
  </si>
  <si>
    <t>2h42m59.9s</t>
  </si>
  <si>
    <t>-8h17m20s</t>
  </si>
  <si>
    <t>most extremely faint, pretty small, round, 8.5 magnitude star near to east</t>
  </si>
  <si>
    <t>eeF, pS, R, * 8.5 nr f</t>
  </si>
  <si>
    <t>NGC1070</t>
  </si>
  <si>
    <t>2h43m22s</t>
  </si>
  <si>
    <t>+4h58m7s</t>
  </si>
  <si>
    <t>pretty faint, small, irregularly round, gradually brighter middle</t>
  </si>
  <si>
    <t>pF, S, iR, gbM</t>
  </si>
  <si>
    <t>NGC1071</t>
  </si>
  <si>
    <t>2h43m7.8s</t>
  </si>
  <si>
    <t>-8h46m27s</t>
  </si>
  <si>
    <t>extremely faint, very small, extended 0°, between 2 stars</t>
  </si>
  <si>
    <t>eF, vS, E 0°, bet 2 st</t>
  </si>
  <si>
    <t>NGC1072</t>
  </si>
  <si>
    <t>2h43m31.3s</t>
  </si>
  <si>
    <t>+0h18m25s</t>
  </si>
  <si>
    <t>extremely faint, very small, round, several very faint stars involved</t>
  </si>
  <si>
    <t>eF, vS, R, sev vF st inv</t>
  </si>
  <si>
    <t>NGC1073</t>
  </si>
  <si>
    <t>2h43m40.3s</t>
  </si>
  <si>
    <t>+1h22m34s</t>
  </si>
  <si>
    <t>very faint, large, a little brighter middle, extremely mottled but not resolved</t>
  </si>
  <si>
    <t>vF, L, lbM, er</t>
  </si>
  <si>
    <t>NGC1074</t>
  </si>
  <si>
    <t>2h43m36s</t>
  </si>
  <si>
    <t>-16h17m49s</t>
  </si>
  <si>
    <t>NGC1075</t>
  </si>
  <si>
    <t>2h43m33.5s</t>
  </si>
  <si>
    <t>-16h12m4s</t>
  </si>
  <si>
    <t>very faint, very small, brighter middle and nucleus</t>
  </si>
  <si>
    <t>vF, vS, bMN</t>
  </si>
  <si>
    <t>NGC1076</t>
  </si>
  <si>
    <t>2h43m29.1s</t>
  </si>
  <si>
    <t>-14h45m18s</t>
  </si>
  <si>
    <t>very faint, pretty small, round, bright star 22 seconds of time to east</t>
  </si>
  <si>
    <t>vF, pS, R, B * f 22s</t>
  </si>
  <si>
    <t>NGC1077</t>
  </si>
  <si>
    <t>2h46m0.6s</t>
  </si>
  <si>
    <t>+40h5m24s</t>
  </si>
  <si>
    <t>very faint, pretty large, extended</t>
  </si>
  <si>
    <t>vF, pL, E</t>
  </si>
  <si>
    <t>NGC1078</t>
  </si>
  <si>
    <t>2h44m8s</t>
  </si>
  <si>
    <t>-9h27m7s</t>
  </si>
  <si>
    <t>extremely faint, extremely small, round (= (NGC) 1064?)</t>
  </si>
  <si>
    <t>eF, eS, R (? = 1064)</t>
  </si>
  <si>
    <t>NGC1079</t>
  </si>
  <si>
    <t>SB0-a/P</t>
  </si>
  <si>
    <t>2h43m44.5s</t>
  </si>
  <si>
    <t>-29h0m10s</t>
  </si>
  <si>
    <t>bright, pretty large, pretty much extended, suddenly brighter middle</t>
  </si>
  <si>
    <t>B, pL, pmE, sbM</t>
  </si>
  <si>
    <t>NGC1080</t>
  </si>
  <si>
    <t>2h45m10.1s</t>
  </si>
  <si>
    <t>-4h42m39s</t>
  </si>
  <si>
    <t>very faint, pretty small, irregular round</t>
  </si>
  <si>
    <t>NGC1081</t>
  </si>
  <si>
    <t>2h45m5.4s</t>
  </si>
  <si>
    <t>-15h35m15s</t>
  </si>
  <si>
    <t>NGC1082</t>
  </si>
  <si>
    <t>2h45m41.2s</t>
  </si>
  <si>
    <t>-8h10m48s</t>
  </si>
  <si>
    <t>most extremely faint, pretty small, a little extended</t>
  </si>
  <si>
    <t>eeF, pS, lE</t>
  </si>
  <si>
    <t>NGC1083</t>
  </si>
  <si>
    <t>2h45m40.7s</t>
  </si>
  <si>
    <t>-15h21m26s</t>
  </si>
  <si>
    <t>most extremely faint, pretty small, much extended, northwestern of 2</t>
  </si>
  <si>
    <t>eeF, pS, mE, np of 2</t>
  </si>
  <si>
    <t>NGC1084</t>
  </si>
  <si>
    <t>2h45m59.8s</t>
  </si>
  <si>
    <t>-7h34m40s</t>
  </si>
  <si>
    <t>very bright, pretty large, extended, gradually pretty much brighter middle</t>
  </si>
  <si>
    <t>vB, pL, E, gpmbM</t>
  </si>
  <si>
    <t>NGC1085</t>
  </si>
  <si>
    <t>2h46m25.2s</t>
  </si>
  <si>
    <t>+3h36m28s</t>
  </si>
  <si>
    <t>faint, small, round, a little brighter middle, between 2 stars</t>
  </si>
  <si>
    <t>F, S, R, lbM, bet 2 st</t>
  </si>
  <si>
    <t>NGC1086</t>
  </si>
  <si>
    <t>2h47m56.2s</t>
  </si>
  <si>
    <t>+41h14m48s</t>
  </si>
  <si>
    <t>very faint, pretty small, double star near</t>
  </si>
  <si>
    <t>vF, pS, D * nr</t>
  </si>
  <si>
    <t>NGC1087</t>
  </si>
  <si>
    <t>-0h29m57s</t>
  </si>
  <si>
    <t>NGC1088</t>
  </si>
  <si>
    <t>2h47m3.9s</t>
  </si>
  <si>
    <t>+16h12m1s</t>
  </si>
  <si>
    <t>very faint, small, irregular figure</t>
  </si>
  <si>
    <t>vF, S, iF</t>
  </si>
  <si>
    <t>NGC1089</t>
  </si>
  <si>
    <t>2h46m10s</t>
  </si>
  <si>
    <t>-15h4m25s</t>
  </si>
  <si>
    <t>most extremely faint, small, round, southeastern of 2</t>
  </si>
  <si>
    <t>eeF, S, R, sf of 2</t>
  </si>
  <si>
    <t>NGC1090</t>
  </si>
  <si>
    <t>2h46m34s</t>
  </si>
  <si>
    <t>-0h14m52s</t>
  </si>
  <si>
    <t>very faint, pretty large, irregularly round, brighter middle</t>
  </si>
  <si>
    <t>vF, pL, iR, bM</t>
  </si>
  <si>
    <t>NGC1091</t>
  </si>
  <si>
    <t>2h45m22.3s</t>
  </si>
  <si>
    <t>-17h32m0s</t>
  </si>
  <si>
    <t>NGC1092</t>
  </si>
  <si>
    <t>2h45m29.5s</t>
  </si>
  <si>
    <t>-17h32m33s</t>
  </si>
  <si>
    <t>very faint, very small, round, suddenly brighter middle and nucleus.</t>
  </si>
  <si>
    <t>NGC1093</t>
  </si>
  <si>
    <t>2h48m16.1s</t>
  </si>
  <si>
    <t>+34h25m12s</t>
  </si>
  <si>
    <t>NGC1094</t>
  </si>
  <si>
    <t>2h47m27.8s</t>
  </si>
  <si>
    <t>-0h17m7s</t>
  </si>
  <si>
    <t>very faint, small, round, 2 small (faint) stars to west</t>
  </si>
  <si>
    <t>vF, S, R, 2 S st p</t>
  </si>
  <si>
    <t>NGC1095</t>
  </si>
  <si>
    <t>2h47m37.7s</t>
  </si>
  <si>
    <t>+4h38m17s</t>
  </si>
  <si>
    <t>NGC1096</t>
  </si>
  <si>
    <t>2h43m49.3s</t>
  </si>
  <si>
    <t>-59h54m50s</t>
  </si>
  <si>
    <t>faint, pretty small, round, gradually a little brighter middle</t>
  </si>
  <si>
    <t>F, pS, R, glbM</t>
  </si>
  <si>
    <t>NGC1097</t>
  </si>
  <si>
    <t>2h46m19.5s</t>
  </si>
  <si>
    <t>-30h16m32s</t>
  </si>
  <si>
    <t>very bright, large, very much extended 151°, very bright middle and nucleus</t>
  </si>
  <si>
    <t>vB, L, vmE 151°, vbMN</t>
  </si>
  <si>
    <t>NGC1098</t>
  </si>
  <si>
    <t>2h44m53.6s</t>
  </si>
  <si>
    <t>-17h39m34s</t>
  </si>
  <si>
    <t>faint, very small, round, brighter middle and nucleus, 1st of 3</t>
  </si>
  <si>
    <t>F, vS, R, bMN, 1st of 3</t>
  </si>
  <si>
    <t>NGC1099</t>
  </si>
  <si>
    <t>2h45m17.8s</t>
  </si>
  <si>
    <t>-17h42m31s</t>
  </si>
  <si>
    <t>faint, pretty small, a little extended, brighter middle and nucleus, 2nd of 3</t>
  </si>
  <si>
    <t>F, pS, lE, bMN, 2nd of 3</t>
  </si>
  <si>
    <t>NGC1100</t>
  </si>
  <si>
    <t>2h45m35.9s</t>
  </si>
  <si>
    <t>-17h41m19s</t>
  </si>
  <si>
    <t>faint, very small, a little extended, brighter middle and nucleus, 3rd of 3</t>
  </si>
  <si>
    <t>F, vS, lE, bMN, 3rd of 3</t>
  </si>
  <si>
    <t>NGC1101</t>
  </si>
  <si>
    <t>2h48m14.7s</t>
  </si>
  <si>
    <t>+4h34m43s</t>
  </si>
  <si>
    <t>very faint, extremely small, round, brighter middle, 13th magnitude star to west</t>
  </si>
  <si>
    <t>vF, eS, R, bM, * 13 p</t>
  </si>
  <si>
    <t>NGC1102</t>
  </si>
  <si>
    <t>2h47m12.8s</t>
  </si>
  <si>
    <t>-22h12m32s</t>
  </si>
  <si>
    <t>NGC1103</t>
  </si>
  <si>
    <t>2h48m6s</t>
  </si>
  <si>
    <t>-13h57m34s</t>
  </si>
  <si>
    <t>most extremely faint, small, extended, 15th magnitude star involved, 11th magnitude star to east</t>
  </si>
  <si>
    <t>eeF, S, E, * 15 inv, * 11 f</t>
  </si>
  <si>
    <t>NGC1104</t>
  </si>
  <si>
    <t>2h48m38.7s</t>
  </si>
  <si>
    <t>-0h16m17s</t>
  </si>
  <si>
    <t>very faint, very small, mottled but not resolved, 14th magnitude star to south</t>
  </si>
  <si>
    <t>vF, vS, r, * 14 s</t>
  </si>
  <si>
    <t>NGC1105</t>
  </si>
  <si>
    <t>2h43m41.9s</t>
  </si>
  <si>
    <t>-15h42m21s</t>
  </si>
  <si>
    <t>NGC1106</t>
  </si>
  <si>
    <t>2h50m40.5s</t>
  </si>
  <si>
    <t>+41h40m20s</t>
  </si>
  <si>
    <t>very faint, very small, very faint star attached on south</t>
  </si>
  <si>
    <t>vF, vS, vF * att s</t>
  </si>
  <si>
    <t>NGC1107</t>
  </si>
  <si>
    <t>2h49m19.5s</t>
  </si>
  <si>
    <t>+8h5m36s</t>
  </si>
  <si>
    <t>NGC1108</t>
  </si>
  <si>
    <t>2h48m38.5s</t>
  </si>
  <si>
    <t>-7h57m2s</t>
  </si>
  <si>
    <t>NGC1109</t>
  </si>
  <si>
    <t>2h47m43.5s</t>
  </si>
  <si>
    <t>+13h15m20s</t>
  </si>
  <si>
    <t>NGC1110</t>
  </si>
  <si>
    <t>2h49m9.4s</t>
  </si>
  <si>
    <t>-7h50m17s</t>
  </si>
  <si>
    <t>extremely faint, pretty large, extended 348°</t>
  </si>
  <si>
    <t>eF, pL, E 348°</t>
  </si>
  <si>
    <t>NGC1111</t>
  </si>
  <si>
    <t>2h48m39.3s</t>
  </si>
  <si>
    <t>+13h15m33s</t>
  </si>
  <si>
    <t>NGC1112</t>
  </si>
  <si>
    <t>2h49m0.4s</t>
  </si>
  <si>
    <t>+13h13m25s</t>
  </si>
  <si>
    <t>faint, pretty small</t>
  </si>
  <si>
    <t>F, pS</t>
  </si>
  <si>
    <t>NGC1113</t>
  </si>
  <si>
    <t>2h49m4.6s</t>
  </si>
  <si>
    <t>+13h18m27s</t>
  </si>
  <si>
    <t>NGC1114</t>
  </si>
  <si>
    <t>2h49m7s</t>
  </si>
  <si>
    <t>-16h59m38s</t>
  </si>
  <si>
    <t>pretty faint, pretty large, pretty much extended, gradually a little brighter middle</t>
  </si>
  <si>
    <t>pF, pL, pmE, glbM</t>
  </si>
  <si>
    <t>NGC1115</t>
  </si>
  <si>
    <t>2h50m25.4s</t>
  </si>
  <si>
    <t>+13h16m1s</t>
  </si>
  <si>
    <t>NGC1116</t>
  </si>
  <si>
    <t>2h50m35.8s</t>
  </si>
  <si>
    <t>+13h20m6s</t>
  </si>
  <si>
    <t>NGC1117</t>
  </si>
  <si>
    <t>2h51m12.9s</t>
  </si>
  <si>
    <t>+13h11m33s</t>
  </si>
  <si>
    <t>Close to a S *</t>
  </si>
  <si>
    <t>NGC1118</t>
  </si>
  <si>
    <t>2h49m58.7s</t>
  </si>
  <si>
    <t>-12h9m50s</t>
  </si>
  <si>
    <t>extremely faint, very small, extended east-west</t>
  </si>
  <si>
    <t>eF, vS, E pf</t>
  </si>
  <si>
    <t>NGC1119</t>
  </si>
  <si>
    <t>2h48m17s</t>
  </si>
  <si>
    <t>-17h59m17s</t>
  </si>
  <si>
    <t>faint, extremely small, round (perhaps a faint star?)</t>
  </si>
  <si>
    <t>F, eS, R (? F *)</t>
  </si>
  <si>
    <t>NGC1120</t>
  </si>
  <si>
    <t>2h49m4s</t>
  </si>
  <si>
    <t>-14h28m13s</t>
  </si>
  <si>
    <t>NGC1121</t>
  </si>
  <si>
    <t>2h50m39.1s</t>
  </si>
  <si>
    <t>faint, much extended</t>
  </si>
  <si>
    <t>F, mE</t>
  </si>
  <si>
    <t>NGC1122</t>
  </si>
  <si>
    <t>2h52m51.2s</t>
  </si>
  <si>
    <t>+42h12m19s</t>
  </si>
  <si>
    <t>very faint, pretty small, round, star near to north</t>
  </si>
  <si>
    <t>vF, pS, R, * nr n</t>
  </si>
  <si>
    <t>NGC1123</t>
  </si>
  <si>
    <t>cF, S, iR, vgbM, r</t>
  </si>
  <si>
    <t>NGC1124</t>
  </si>
  <si>
    <t>2h51m36s</t>
  </si>
  <si>
    <t>-25h42m5s</t>
  </si>
  <si>
    <t>extremely faint, extremely small, irregularly round, gradually brighter middle, 9th magnitude star 1 arcmin northeast</t>
  </si>
  <si>
    <t>eF, eS, iR, gbM, * 9 nf 1'</t>
  </si>
  <si>
    <t>NGC1125</t>
  </si>
  <si>
    <t>2h51m40.3s</t>
  </si>
  <si>
    <t>-16h39m3s</t>
  </si>
  <si>
    <t>very faint, small, a little extended, gradually brighter middle</t>
  </si>
  <si>
    <t>vF, S, lE, gbM</t>
  </si>
  <si>
    <t>NGC1126</t>
  </si>
  <si>
    <t>2h52m18.7s</t>
  </si>
  <si>
    <t>-1h17m47s</t>
  </si>
  <si>
    <t>most extremely faint, small, round, h273 to east</t>
  </si>
  <si>
    <t>eeF, S, R, h 273 f</t>
  </si>
  <si>
    <t>NGC1127</t>
  </si>
  <si>
    <t>2h52m51.8s</t>
  </si>
  <si>
    <t>+13h15m25s</t>
  </si>
  <si>
    <t>NGC1128</t>
  </si>
  <si>
    <t>2h57m41.5s</t>
  </si>
  <si>
    <t>+6h1m36s</t>
  </si>
  <si>
    <t>extremely faint, small, a little extended, 2 faint stars close to west</t>
  </si>
  <si>
    <t>eF, S, lE, 2 F st close p</t>
  </si>
  <si>
    <t>NGC1129</t>
  </si>
  <si>
    <t>2h54m27.3s</t>
  </si>
  <si>
    <t>+41h34m47s</t>
  </si>
  <si>
    <t>extremely faint, pretty small, irregularly round, very gradually a little brighter middle, double or faint star to southwest</t>
  </si>
  <si>
    <t>cF, pS, iR, vglbM, D or F * sp</t>
  </si>
  <si>
    <t>NGC1130</t>
  </si>
  <si>
    <t>2h54m24.5s</t>
  </si>
  <si>
    <t>+41h36m22s</t>
  </si>
  <si>
    <t>NGC1131</t>
  </si>
  <si>
    <t>2h54m34s</t>
  </si>
  <si>
    <t>+41h33m33s</t>
  </si>
  <si>
    <t>NGC1132</t>
  </si>
  <si>
    <t>-1h16m28s</t>
  </si>
  <si>
    <t>extremely faint, pretty large, gradually brighter middle, 8th magnitude star to east</t>
  </si>
  <si>
    <t>eF, pL, gbM, * 8 f</t>
  </si>
  <si>
    <t>NGC1133</t>
  </si>
  <si>
    <t>2h52m42.2s</t>
  </si>
  <si>
    <t>-8h48m16s</t>
  </si>
  <si>
    <t>very faint, very small, a little extended 45°, two stars to northwest and northeast</t>
  </si>
  <si>
    <t>vF, vS, lE 45°, 2 st np, nf</t>
  </si>
  <si>
    <t>NGC1134</t>
  </si>
  <si>
    <t>2h53m41.1s</t>
  </si>
  <si>
    <t>+13h0m53s</t>
  </si>
  <si>
    <t>faint, small, irregularly round, mottled but not resolved</t>
  </si>
  <si>
    <t>F, S, iR, r</t>
  </si>
  <si>
    <t>NGC1135</t>
  </si>
  <si>
    <t>2h50m47.2s</t>
  </si>
  <si>
    <t>-54h55m46s</t>
  </si>
  <si>
    <t>faint, round, gradually brighter middle</t>
  </si>
  <si>
    <t>F, R, gbM</t>
  </si>
  <si>
    <t>NGC1136</t>
  </si>
  <si>
    <t>2h50m53.6s</t>
  </si>
  <si>
    <t>-54h58m34s</t>
  </si>
  <si>
    <t>NGC1137</t>
  </si>
  <si>
    <t>2h54m2.7s</t>
  </si>
  <si>
    <t>+2h57m43s</t>
  </si>
  <si>
    <t>very faint, pretty small, round, a little brighter middle</t>
  </si>
  <si>
    <t>NGC1138</t>
  </si>
  <si>
    <t>2h56m36.3s</t>
  </si>
  <si>
    <t>+43h2m50s</t>
  </si>
  <si>
    <t>very faint, very small, round, gradually brighter middle, in a triangle with 2 small (faint) stars</t>
  </si>
  <si>
    <t>vF, vS, R, gbM, 2 S st Δ</t>
  </si>
  <si>
    <t>NGC1139</t>
  </si>
  <si>
    <t>2h52m46.7s</t>
  </si>
  <si>
    <t>-14h31m44s</t>
  </si>
  <si>
    <t>very faint, small, round, gradually brighter middle and nucleus</t>
  </si>
  <si>
    <t>vF, S, R, gbMN</t>
  </si>
  <si>
    <t>NGC1140</t>
  </si>
  <si>
    <t>2h54m33.5s</t>
  </si>
  <si>
    <t>-10h1m41s</t>
  </si>
  <si>
    <t>NGC1141</t>
  </si>
  <si>
    <t>Ring A</t>
  </si>
  <si>
    <t>2h55m9.7s</t>
  </si>
  <si>
    <t>-0h10m41s</t>
  </si>
  <si>
    <t>very faint, small, western of double nebula</t>
  </si>
  <si>
    <t>vF, S, p of D neb</t>
  </si>
  <si>
    <t>NGC1142</t>
  </si>
  <si>
    <t>Ring B</t>
  </si>
  <si>
    <t>2h55m12.2s</t>
  </si>
  <si>
    <t>-0h11m2s</t>
  </si>
  <si>
    <t>pretty faint, small, round, eastern of double nebula</t>
  </si>
  <si>
    <t>pF, S, R, f of D neb</t>
  </si>
  <si>
    <t>NGC1143</t>
  </si>
  <si>
    <t>NGC1144</t>
  </si>
  <si>
    <t>eF, S, R, f of 2</t>
  </si>
  <si>
    <t>NGC1145</t>
  </si>
  <si>
    <t>2h54m33.4s</t>
  </si>
  <si>
    <t>-18h38m9s</t>
  </si>
  <si>
    <t>faint, pretty large, pretty much extended, 2 small (faint) stars to east</t>
  </si>
  <si>
    <t>F, pL, pmE, 2 S st f</t>
  </si>
  <si>
    <t>NGC1146</t>
  </si>
  <si>
    <t>2h57m41s</t>
  </si>
  <si>
    <t>+46h25m3s</t>
  </si>
  <si>
    <t>cluster, very small, very faint plus nebulosity</t>
  </si>
  <si>
    <t>Cl, vS, vF + neb</t>
  </si>
  <si>
    <t>NGC1147</t>
  </si>
  <si>
    <t>2h55m9.2s</t>
  </si>
  <si>
    <t>-9h7m11s</t>
  </si>
  <si>
    <t>extremely faint, very small, extended 0°, 9.5 magnitude star 6 arcmin to east</t>
  </si>
  <si>
    <t>eF, vS, E 0°, * 9.5 f 6'</t>
  </si>
  <si>
    <t>NGC1148</t>
  </si>
  <si>
    <t>2h57m4.3s</t>
  </si>
  <si>
    <t>-7h41m8s</t>
  </si>
  <si>
    <t>extremely faint, pretty small, round, very difficult, northwestern of 2</t>
  </si>
  <si>
    <t>eF, pS, R, v diffic, np of 2</t>
  </si>
  <si>
    <t>NGC1149</t>
  </si>
  <si>
    <t>2h57m23.8s</t>
  </si>
  <si>
    <t>-0h18m32s</t>
  </si>
  <si>
    <t>very faint, very small, round, brighter middle, small (faint) star 30 arcsec to west</t>
  </si>
  <si>
    <t>vF, vS, R, bM, S * p 30"</t>
  </si>
  <si>
    <t>NGC1150</t>
  </si>
  <si>
    <t>2h57m1.3s</t>
  </si>
  <si>
    <t>-15h2m55s</t>
  </si>
  <si>
    <t>very faint, small, round, suddenly brighter middle and nucleus</t>
  </si>
  <si>
    <t>vF, S, R, sbMN</t>
  </si>
  <si>
    <t>NGC1151</t>
  </si>
  <si>
    <t>2h57m4.6s</t>
  </si>
  <si>
    <t>-15h0m48s</t>
  </si>
  <si>
    <t>extremely faint, small, round (nebulous?), near last</t>
  </si>
  <si>
    <t>eF, S, R (neb ?), nr last</t>
  </si>
  <si>
    <t>NGC1152</t>
  </si>
  <si>
    <t>2h57m33.6s</t>
  </si>
  <si>
    <t>-7h45m35s</t>
  </si>
  <si>
    <t>most extremely faint, small, round, very difficult, southeastern of 2, star to south</t>
  </si>
  <si>
    <t>eeF, S, R, v diffic, sf of 2, * s</t>
  </si>
  <si>
    <t>NGC1153</t>
  </si>
  <si>
    <t>2h58m10.2s</t>
  </si>
  <si>
    <t>+3h21m43s</t>
  </si>
  <si>
    <t>faint, very small, irregularly a little extended, suddenly brighter middle, extremely mottled but not resolved</t>
  </si>
  <si>
    <t>F, vS, ilE, sbM, er</t>
  </si>
  <si>
    <t>NGC1154</t>
  </si>
  <si>
    <t>2h58m7.6s</t>
  </si>
  <si>
    <t>-10h21m49s</t>
  </si>
  <si>
    <t>extremely faint, small, a little brighter middle, southwestern of 2</t>
  </si>
  <si>
    <t>eF, S, lbM, sp of 2</t>
  </si>
  <si>
    <t>NGC1155</t>
  </si>
  <si>
    <t>2h58m13s</t>
  </si>
  <si>
    <t>-10h21m1s</t>
  </si>
  <si>
    <t>extremely faint, small, a little brighter middle, northeastern of 2</t>
  </si>
  <si>
    <t>eF, S, lbM, nf of 2</t>
  </si>
  <si>
    <t>NGC1156</t>
  </si>
  <si>
    <t>2h59m42.1s</t>
  </si>
  <si>
    <t>+25h14m14s</t>
  </si>
  <si>
    <t>pretty bright, considerably large, pretty much extended 0°, between 2 stars</t>
  </si>
  <si>
    <t>pB, cL, pmE 0°, bet 2 st</t>
  </si>
  <si>
    <t>NGC1157</t>
  </si>
  <si>
    <t>2h58m6.6s</t>
  </si>
  <si>
    <t>-15h7m5s</t>
  </si>
  <si>
    <t>extremely faint, pretty small, extended 0°, suddenly brighter middle and nucleus</t>
  </si>
  <si>
    <t>eF, pS, E 0°, sbMN</t>
  </si>
  <si>
    <t>NGC1158</t>
  </si>
  <si>
    <t>2h57m11.4s</t>
  </si>
  <si>
    <t>-14h23m42s</t>
  </si>
  <si>
    <t>extremely faint, small, round, suddenly brighter middle and nucleus</t>
  </si>
  <si>
    <t>eF, S, R, sbMN</t>
  </si>
  <si>
    <t>NGC1159</t>
  </si>
  <si>
    <t>3h0m46.4s</t>
  </si>
  <si>
    <t>+43h9m46s</t>
  </si>
  <si>
    <t>very faint, small, round, very little brighter middle</t>
  </si>
  <si>
    <t>NGC1160</t>
  </si>
  <si>
    <t>3h1m13.2s</t>
  </si>
  <si>
    <t>+44h57m20s</t>
  </si>
  <si>
    <t>NGC1161</t>
  </si>
  <si>
    <t>3h1m14.1s</t>
  </si>
  <si>
    <t>+44h53m51s</t>
  </si>
  <si>
    <t>faint, pretty small, a little extended, suddenly brighter middle</t>
  </si>
  <si>
    <t>F, pS, lE, sbM</t>
  </si>
  <si>
    <t>NGC1162</t>
  </si>
  <si>
    <t>2h58m55.9s</t>
  </si>
  <si>
    <t>-12h23m54s</t>
  </si>
  <si>
    <t>faint, round, gradually a little brighter middle, stellar</t>
  </si>
  <si>
    <t>F, R, glbM, stellar</t>
  </si>
  <si>
    <t>NGC1163</t>
  </si>
  <si>
    <t>3h0m22s</t>
  </si>
  <si>
    <t>-17h9m10s</t>
  </si>
  <si>
    <t>very faint, pretty small, much extended 75°</t>
  </si>
  <si>
    <t>vF, pS, mE 75°</t>
  </si>
  <si>
    <t>NGC1164</t>
  </si>
  <si>
    <t>3h1m59.8s</t>
  </si>
  <si>
    <t>+42h35m8s</t>
  </si>
  <si>
    <t>NGC1165</t>
  </si>
  <si>
    <t>2h58m47.7s</t>
  </si>
  <si>
    <t>-32h5m58s</t>
  </si>
  <si>
    <t>very faint, pretty large, extended, very little brighter middle</t>
  </si>
  <si>
    <t>vF, pL, E, vlbM</t>
  </si>
  <si>
    <t>NGC1166</t>
  </si>
  <si>
    <t>3h0m34.9s</t>
  </si>
  <si>
    <t>+11h50m34s</t>
  </si>
  <si>
    <t>NGC1167</t>
  </si>
  <si>
    <t>3h1m42.3s</t>
  </si>
  <si>
    <t>+35h12m21s</t>
  </si>
  <si>
    <t>very faint, pretty large, round, suddenly pretty much brighter middle</t>
  </si>
  <si>
    <t>vF, pL, R, spmbM</t>
  </si>
  <si>
    <t>NGC1168</t>
  </si>
  <si>
    <t>3h0m47s</t>
  </si>
  <si>
    <t>+11h46m20s</t>
  </si>
  <si>
    <t>NGC1169</t>
  </si>
  <si>
    <t>3h3m34.8s</t>
  </si>
  <si>
    <t>+46h23m11s</t>
  </si>
  <si>
    <t>pretty faint, pretty small, irregular figure, suddenly brighter middle</t>
  </si>
  <si>
    <t>pF, pS, iF, sbM</t>
  </si>
  <si>
    <t>NGC1170</t>
  </si>
  <si>
    <t>3h2m26.8s</t>
  </si>
  <si>
    <t>+27h4m22s</t>
  </si>
  <si>
    <t>extremely large, diffused</t>
  </si>
  <si>
    <t>eL, dif</t>
  </si>
  <si>
    <t>NGC1171</t>
  </si>
  <si>
    <t>3h3m58.9s</t>
  </si>
  <si>
    <t>+43h23m52s</t>
  </si>
  <si>
    <t>very faint, pretty large, irregular figure</t>
  </si>
  <si>
    <t>vF, pL, iF</t>
  </si>
  <si>
    <t>NGC1172</t>
  </si>
  <si>
    <t>3h1m36s</t>
  </si>
  <si>
    <t>-14h50m12s</t>
  </si>
  <si>
    <t>pretty faint, pretty large, round, pretty suddenly bright middle</t>
  </si>
  <si>
    <t>pF, pL, R, psbM</t>
  </si>
  <si>
    <t>NGC1173</t>
  </si>
  <si>
    <t>3h3m57.7s</t>
  </si>
  <si>
    <t>+42h23m1s</t>
  </si>
  <si>
    <t>extremely faint, very small, stellar nucleus</t>
  </si>
  <si>
    <t>eF, vS, stellar Nucl</t>
  </si>
  <si>
    <t>NGC1174</t>
  </si>
  <si>
    <t>3h5m30.9s</t>
  </si>
  <si>
    <t>+42h50m8s</t>
  </si>
  <si>
    <t>pretty faint, pretty small, a little extended, pretty bright star close to east</t>
  </si>
  <si>
    <t>pF, pS, lE, pB * close f</t>
  </si>
  <si>
    <t>NGC1175</t>
  </si>
  <si>
    <t>3h4m32.3s</t>
  </si>
  <si>
    <t>+42h20m25s</t>
  </si>
  <si>
    <t>faint, considerably large, extended</t>
  </si>
  <si>
    <t>F, cL, E</t>
  </si>
  <si>
    <t>NGC1176</t>
  </si>
  <si>
    <t>3h4m34.8s</t>
  </si>
  <si>
    <t>+42h23m38s</t>
  </si>
  <si>
    <t>13th magnitude star in very faint nebulosity</t>
  </si>
  <si>
    <t>* 13 in vF neb</t>
  </si>
  <si>
    <t>NGC1177</t>
  </si>
  <si>
    <t>3h4m37.2s</t>
  </si>
  <si>
    <t>+42h21m46s</t>
  </si>
  <si>
    <t>very faint, small, round, northeast of II 607</t>
  </si>
  <si>
    <t>vF, S, R, nf II 607</t>
  </si>
  <si>
    <t>NGC1178</t>
  </si>
  <si>
    <t>3h4m38.7s</t>
  </si>
  <si>
    <t>+42h18m51s</t>
  </si>
  <si>
    <t>13th-magnitude star in very faint nebulosity (?)</t>
  </si>
  <si>
    <t>* 13 in vF neb (?)</t>
  </si>
  <si>
    <t>NGC1179</t>
  </si>
  <si>
    <t>3h2m38.5s</t>
  </si>
  <si>
    <t>-18h53m52s</t>
  </si>
  <si>
    <t>extremely faint, pretty small, gradually brighter middle, 12th magnitude star 1 arcmin to east</t>
  </si>
  <si>
    <t>eF, pS, gbM, * 12 f 1'</t>
  </si>
  <si>
    <t>NGC1180</t>
  </si>
  <si>
    <t>3h1m51s</t>
  </si>
  <si>
    <t>-15h1m49s</t>
  </si>
  <si>
    <t>extremely faint, very small, round, brighter middle and nucleus</t>
  </si>
  <si>
    <t>eF, vS, R, bMN</t>
  </si>
  <si>
    <t>NGC1181</t>
  </si>
  <si>
    <t>3h1m42.8s</t>
  </si>
  <si>
    <t>-15h3m10s</t>
  </si>
  <si>
    <t>NGC1182</t>
  </si>
  <si>
    <t>3h3m28.4s</t>
  </si>
  <si>
    <t>-9h40m14s</t>
  </si>
  <si>
    <t>extremely faint, pretty small, extended 120°, 10th magnitude star 2 1/2 arcmin southwest</t>
  </si>
  <si>
    <t>eF, pS, E 120°, * sp 2?'</t>
  </si>
  <si>
    <t>NGC1183</t>
  </si>
  <si>
    <t>3h4m46.1s</t>
  </si>
  <si>
    <t>+42h22m10s</t>
  </si>
  <si>
    <t>13th magnitude star involved in nebulosity</t>
  </si>
  <si>
    <t>* 13 inv in neb</t>
  </si>
  <si>
    <t>NGC1184</t>
  </si>
  <si>
    <t>3h16m45.3s</t>
  </si>
  <si>
    <t>+80h47m35s</t>
  </si>
  <si>
    <t>NGC1185</t>
  </si>
  <si>
    <t>3h2m59.2s</t>
  </si>
  <si>
    <t>-9h7m59s</t>
  </si>
  <si>
    <t>extremely faint, pretty small, extended 15°</t>
  </si>
  <si>
    <t>eF, pS, E 15°</t>
  </si>
  <si>
    <t>NGC1186</t>
  </si>
  <si>
    <t>F * with neb appendages</t>
  </si>
  <si>
    <t>NGC1187</t>
  </si>
  <si>
    <t>3h2m37.6s</t>
  </si>
  <si>
    <t>-22h52m2s</t>
  </si>
  <si>
    <t>pretty faint, considerably large, pretty much extended, gradually brighter middle equivalent to a 16th magnitude star, mottled but not resolved</t>
  </si>
  <si>
    <t>pF, cL, pmE, gbM * 16, r</t>
  </si>
  <si>
    <t>NGC1188</t>
  </si>
  <si>
    <t>3h3m43.4s</t>
  </si>
  <si>
    <t>-15h29m5s</t>
  </si>
  <si>
    <t>extremely faint, very small, round, preceding h286</t>
  </si>
  <si>
    <t>eF, vS, R, p h 286</t>
  </si>
  <si>
    <t>NGC1189</t>
  </si>
  <si>
    <t>3h3m24.2s</t>
  </si>
  <si>
    <t>-15h37m23s</t>
  </si>
  <si>
    <t>NGC1190</t>
  </si>
  <si>
    <t>3h3m26s</t>
  </si>
  <si>
    <t>-15h39m44s</t>
  </si>
  <si>
    <t>NGC1191</t>
  </si>
  <si>
    <t>3h3m30.8s</t>
  </si>
  <si>
    <t>-15h41m8s</t>
  </si>
  <si>
    <t>NGC1192</t>
  </si>
  <si>
    <t>3h3m34.6s</t>
  </si>
  <si>
    <t>-15h40m44s</t>
  </si>
  <si>
    <t>NGC1193</t>
  </si>
  <si>
    <t>3h5m55s</t>
  </si>
  <si>
    <t>+44h23m0s</t>
  </si>
  <si>
    <t>faint, considerably large, extremely mottled but not resolved</t>
  </si>
  <si>
    <t>F, cL, er</t>
  </si>
  <si>
    <t>NGC1194</t>
  </si>
  <si>
    <t>3h3m49.1s</t>
  </si>
  <si>
    <t>-1h6m12s</t>
  </si>
  <si>
    <t>NGC1195</t>
  </si>
  <si>
    <t>3h3m32.7s</t>
  </si>
  <si>
    <t>-12h2m21s</t>
  </si>
  <si>
    <t>extremely faint, extremely small, 12th magnitude star to southeast, h 2505 to southeast</t>
  </si>
  <si>
    <t>eF, eS, * 12 sf, h 2505 sf</t>
  </si>
  <si>
    <t>NGC1196</t>
  </si>
  <si>
    <t>3h3m35.2s</t>
  </si>
  <si>
    <t>-12h4m33s</t>
  </si>
  <si>
    <t>very faint, southwestern of 2</t>
  </si>
  <si>
    <t>vF, sp of 2</t>
  </si>
  <si>
    <t>NGC1197</t>
  </si>
  <si>
    <t>3h6m14.1s</t>
  </si>
  <si>
    <t>+44h3m40s</t>
  </si>
  <si>
    <t>pretty faint, pretty small, considerably extended, several very faint stars near</t>
  </si>
  <si>
    <t>pF, pS, cE, sev vF st nr</t>
  </si>
  <si>
    <t>NGC1198</t>
  </si>
  <si>
    <t>3h6m13.3s</t>
  </si>
  <si>
    <t>+41h50m56s</t>
  </si>
  <si>
    <t>nebulous 11th magnitude star</t>
  </si>
  <si>
    <t>Neb * 11</t>
  </si>
  <si>
    <t>NGC1199</t>
  </si>
  <si>
    <t>3h3m38.4s</t>
  </si>
  <si>
    <t>-15h36m48s</t>
  </si>
  <si>
    <t>considerably bright, pretty small, irregularly round, suddenly much brighter middle</t>
  </si>
  <si>
    <t>cB, pS, iR, smbM</t>
  </si>
  <si>
    <t>NGC1200</t>
  </si>
  <si>
    <t>3h3m54.5s</t>
  </si>
  <si>
    <t>-11h59m29s</t>
  </si>
  <si>
    <t>pretty faint, considerably large, irregularly round, brighter middle, northeastern of 2</t>
  </si>
  <si>
    <t>pF, cL, iR, bM, nf of 2</t>
  </si>
  <si>
    <t>NGC1201</t>
  </si>
  <si>
    <t>E/S0</t>
  </si>
  <si>
    <t>3h4m7.9s</t>
  </si>
  <si>
    <t>-26h4m8s</t>
  </si>
  <si>
    <t>considerably bright, pretty small, very little extended, mottled but not resolved, small (faint) star near</t>
  </si>
  <si>
    <t>cB, pS, vlE, r, S * nr</t>
  </si>
  <si>
    <t>NGC1202</t>
  </si>
  <si>
    <t>3h5m2.4s</t>
  </si>
  <si>
    <t>-6h29m31s</t>
  </si>
  <si>
    <t>extremely faint, small, two stars 4 arcmin northeast</t>
  </si>
  <si>
    <t>eF, S, 2 st 4' nf</t>
  </si>
  <si>
    <t>NGC1203</t>
  </si>
  <si>
    <t>3h5m14s</t>
  </si>
  <si>
    <t>-14h22m51s</t>
  </si>
  <si>
    <t>very faint, small, round, brighter middle and nucleus (nebulous?)</t>
  </si>
  <si>
    <t>vF, S, R, bMN (neb ?)</t>
  </si>
  <si>
    <t>NGC1204</t>
  </si>
  <si>
    <t>3h4m39.9s</t>
  </si>
  <si>
    <t>-12h20m30s</t>
  </si>
  <si>
    <t>extremely faint, extended 45°, mottled but not resolved, several stars involved</t>
  </si>
  <si>
    <t>eF, E 45°, r, sev st inv</t>
  </si>
  <si>
    <t>NGC1205</t>
  </si>
  <si>
    <t>extremely faint, pretty small, extended 25°, 9.5 magnitude star 3 arcmin southwest</t>
  </si>
  <si>
    <t>eF, pS, E 25°, * 9.5 3' sp</t>
  </si>
  <si>
    <t>NGC1206</t>
  </si>
  <si>
    <t>3h6m9.7s</t>
  </si>
  <si>
    <t>-8h49m58s</t>
  </si>
  <si>
    <t>extremely faint, very small, very little extended 0°</t>
  </si>
  <si>
    <t>eF, vS, vlE 0°</t>
  </si>
  <si>
    <t>NGC1207</t>
  </si>
  <si>
    <t>3h8m15.4s</t>
  </si>
  <si>
    <t>+38h22m56s</t>
  </si>
  <si>
    <t>considerably faint, very small, round, pretty suddenly brighter in west-northwestern end</t>
  </si>
  <si>
    <t>cF, vS, R, psb in npp end</t>
  </si>
  <si>
    <t>NGC1208</t>
  </si>
  <si>
    <t>3h6m11.7s</t>
  </si>
  <si>
    <t>-9h32m27s</t>
  </si>
  <si>
    <t>pretty bright, small, a little extended 80°±, a little brighter middle</t>
  </si>
  <si>
    <t>pB, S, lE 80° ±, lbM</t>
  </si>
  <si>
    <t>NGC1209</t>
  </si>
  <si>
    <t>3h6m2.9s</t>
  </si>
  <si>
    <t>-15h36m40s</t>
  </si>
  <si>
    <t>bright, small, considerably extended, pretty suddenly brighter middle</t>
  </si>
  <si>
    <t>B, S, cE, psbM</t>
  </si>
  <si>
    <t>NGC1210</t>
  </si>
  <si>
    <t>3h6m45.3s</t>
  </si>
  <si>
    <t>-25h42m59s</t>
  </si>
  <si>
    <t>extremely faint, very small, irregularly round, gradually brighter middle and nucleus</t>
  </si>
  <si>
    <t>eF, vS, iR, gbMN</t>
  </si>
  <si>
    <t>NGC1211</t>
  </si>
  <si>
    <t>3h6m52.4s</t>
  </si>
  <si>
    <t>-0h47m39s</t>
  </si>
  <si>
    <t>pretty bright, very small, round, much brighter middle and nucleus equivalent to a 9th or 10th magnitude star</t>
  </si>
  <si>
    <t>pB, vS, R, mbMN = * 9·10</t>
  </si>
  <si>
    <t>NGC1212</t>
  </si>
  <si>
    <t>3h9m42.3s</t>
  </si>
  <si>
    <t>+40h53m35s</t>
  </si>
  <si>
    <t>extremely faint, small, round, Algol near</t>
  </si>
  <si>
    <t>eF, S, R, Algol nr</t>
  </si>
  <si>
    <t>NGC1213</t>
  </si>
  <si>
    <t>3h9m17.3s</t>
  </si>
  <si>
    <t>+38h38m57s</t>
  </si>
  <si>
    <t>extremely faint, a little extended, star close to north, difficult</t>
  </si>
  <si>
    <t>eF, lE, * close n, diffic</t>
  </si>
  <si>
    <t>NGC1214</t>
  </si>
  <si>
    <t>3h6m56s</t>
  </si>
  <si>
    <t>faint, pretty small, irregularly round, h 285 to west</t>
  </si>
  <si>
    <t>F, pS, iR, h 285 p</t>
  </si>
  <si>
    <t>NGC1215</t>
  </si>
  <si>
    <t>3h7m9.6s</t>
  </si>
  <si>
    <t>-9h35m34s</t>
  </si>
  <si>
    <t>NGC1216</t>
  </si>
  <si>
    <t>3h7m18.5s</t>
  </si>
  <si>
    <t>-9h36m45s</t>
  </si>
  <si>
    <t>extremely faint, small, stellar, 3rd of 3</t>
  </si>
  <si>
    <t>eF, S, stellar, 3rd of 3</t>
  </si>
  <si>
    <t>NGC1217</t>
  </si>
  <si>
    <t>3h6m6s</t>
  </si>
  <si>
    <t>-39h2m9s</t>
  </si>
  <si>
    <t>NGC1218</t>
  </si>
  <si>
    <t>3h8m26.1s</t>
  </si>
  <si>
    <t>+4h6m41s</t>
  </si>
  <si>
    <t>NGC1219</t>
  </si>
  <si>
    <t>3h8m28.1s</t>
  </si>
  <si>
    <t>+2h6m29s</t>
  </si>
  <si>
    <t>faint, pretty large, round</t>
  </si>
  <si>
    <t>F, pL, R</t>
  </si>
  <si>
    <t>NGC1220</t>
  </si>
  <si>
    <t>3h11m40.6s</t>
  </si>
  <si>
    <t>+53h20m53s</t>
  </si>
  <si>
    <t>cluster, very small, stars very faint</t>
  </si>
  <si>
    <t>Cl, vS, st vF</t>
  </si>
  <si>
    <t>NGC1221</t>
  </si>
  <si>
    <t>3h8m15.6s</t>
  </si>
  <si>
    <t>-4h15m35s</t>
  </si>
  <si>
    <t>extremely faint, very small, extended 170°, star to south</t>
  </si>
  <si>
    <t>eF, vS, E 170°, * s</t>
  </si>
  <si>
    <t>NGC1222</t>
  </si>
  <si>
    <t>3h8m56.9s</t>
  </si>
  <si>
    <t>-2h57m20s</t>
  </si>
  <si>
    <t>very faint star in pretty faint, small, round nebula</t>
  </si>
  <si>
    <t>vF * in pF, S, R neb</t>
  </si>
  <si>
    <t>NGC1223</t>
  </si>
  <si>
    <t>3h8m19.9s</t>
  </si>
  <si>
    <t>-4h8m19s</t>
  </si>
  <si>
    <t>extremely faint, small, round, gradually brighter middle and nucleus, preceding (western) of 2</t>
  </si>
  <si>
    <t>eF, S, R, gbMN, p of 2</t>
  </si>
  <si>
    <t>NGC1224</t>
  </si>
  <si>
    <t>3h11m13.5s</t>
  </si>
  <si>
    <t>+41h21m48s</t>
  </si>
  <si>
    <t>NGC1225</t>
  </si>
  <si>
    <t>3h8m47.3s</t>
  </si>
  <si>
    <t>-4h6m6s</t>
  </si>
  <si>
    <t>extremely faint, very small, round, following (eastern) of 2</t>
  </si>
  <si>
    <t>eF, vS, R, f of 2</t>
  </si>
  <si>
    <t>NGC1226</t>
  </si>
  <si>
    <t>NGC1227</t>
  </si>
  <si>
    <t>3h11m7.8s</t>
  </si>
  <si>
    <t>+35h19m31s</t>
  </si>
  <si>
    <t>NGC1228</t>
  </si>
  <si>
    <t>3h8m11.7s</t>
  </si>
  <si>
    <t>-22h55m21s</t>
  </si>
  <si>
    <t>extremely faint, extremely small, round, gradually brighter middle, preceding (western) of 2</t>
  </si>
  <si>
    <t>eF, eS, R, gbM, p of 2</t>
  </si>
  <si>
    <t>NGC1229</t>
  </si>
  <si>
    <t>SBb/P</t>
  </si>
  <si>
    <t>3h8m10.8s</t>
  </si>
  <si>
    <t>-22h57m38s</t>
  </si>
  <si>
    <t>eF, eS, R, gbM, f of 2</t>
  </si>
  <si>
    <t>NGC1230</t>
  </si>
  <si>
    <t>SB0/P</t>
  </si>
  <si>
    <t>3h8m16.3s</t>
  </si>
  <si>
    <t>-22h59m2s</t>
  </si>
  <si>
    <t>perhaps a faint star</t>
  </si>
  <si>
    <t>? F *</t>
  </si>
  <si>
    <t>NGC1231</t>
  </si>
  <si>
    <t>3h6m29.3s</t>
  </si>
  <si>
    <t>-15h34m9s</t>
  </si>
  <si>
    <t>extremely faint, pretty large, extended (perhaps nebulous)</t>
  </si>
  <si>
    <t>eF, pL, E (? neb)</t>
  </si>
  <si>
    <t>NGC1232</t>
  </si>
  <si>
    <t>上帝之眼星系</t>
  </si>
  <si>
    <t>3h9m45.3s</t>
  </si>
  <si>
    <t>-20h34m45s</t>
  </si>
  <si>
    <t>pretty bright, considerably large, round, gradually brighter middle, mottled but not resolved</t>
  </si>
  <si>
    <t>pB, cL, R, gbM, r</t>
  </si>
  <si>
    <t>NGC1233</t>
  </si>
  <si>
    <t>3h12m33.1s</t>
  </si>
  <si>
    <t>+39h19m9s</t>
  </si>
  <si>
    <t>faint, very small, round, diffuse</t>
  </si>
  <si>
    <t>F, vS, R, diff</t>
  </si>
  <si>
    <t>NGC1234</t>
  </si>
  <si>
    <t>3h9m39s</t>
  </si>
  <si>
    <t>-7h50m45s</t>
  </si>
  <si>
    <t>extremely faint, small, irregularly round, star or stars involved</t>
  </si>
  <si>
    <t>eF, S, iR, * or st inv</t>
  </si>
  <si>
    <t>NGC1235</t>
  </si>
  <si>
    <t>NGC1236</t>
  </si>
  <si>
    <t>3h11m27.9s</t>
  </si>
  <si>
    <t>+10h48m32s</t>
  </si>
  <si>
    <t>NGC1237</t>
  </si>
  <si>
    <t>3h10m8.9s</t>
  </si>
  <si>
    <t>-8h41m31s</t>
  </si>
  <si>
    <t>very faint, small, extended 170°, perhaps a double star</t>
  </si>
  <si>
    <t>vF, S, E 170°, ? D *</t>
  </si>
  <si>
    <t>NGC1238</t>
  </si>
  <si>
    <t>3h10m52.6s</t>
  </si>
  <si>
    <t>-10h44m51s</t>
  </si>
  <si>
    <t>very faint, pretty small, round, II 900 to northeast</t>
  </si>
  <si>
    <t>vF, pS, R, II 900 nf</t>
  </si>
  <si>
    <t>NGC1239</t>
  </si>
  <si>
    <t>3h10m53.7s</t>
  </si>
  <si>
    <t>-2h33m9s</t>
  </si>
  <si>
    <t>extremely faint, stellar (RA +30 seconds of time?)</t>
  </si>
  <si>
    <t>eF, stellar (? RA + 30s)</t>
  </si>
  <si>
    <t>NGC1240</t>
  </si>
  <si>
    <t>*4</t>
  </si>
  <si>
    <t>3h13m26.6s</t>
  </si>
  <si>
    <t>+30h30m27s</t>
  </si>
  <si>
    <t>extremely faint, very small, perhaps very small (faint) star?</t>
  </si>
  <si>
    <t>eF, vS, ? vS st</t>
  </si>
  <si>
    <t>NGC1241</t>
  </si>
  <si>
    <t>3h11m14.6s</t>
  </si>
  <si>
    <t>-8h55m20s</t>
  </si>
  <si>
    <t>faint, pretty large, round, very gradually a little brighter middle, 9th magnitude star to north</t>
  </si>
  <si>
    <t>F, pL, R, vglbM, * 9 n</t>
  </si>
  <si>
    <t>NGC1242</t>
  </si>
  <si>
    <t>3h11m19.3s</t>
  </si>
  <si>
    <t>-8h54m11s</t>
  </si>
  <si>
    <t>NGC1243</t>
  </si>
  <si>
    <t>3h11m25.4s</t>
  </si>
  <si>
    <t>-8h56m43s</t>
  </si>
  <si>
    <t>NGC1244</t>
  </si>
  <si>
    <t>3h6m31s</t>
  </si>
  <si>
    <t>-66h46m33s</t>
  </si>
  <si>
    <t>faint, small, pretty much extended, gradually brighter middle</t>
  </si>
  <si>
    <t>F, S, pmE, gbM</t>
  </si>
  <si>
    <t>NGC1245</t>
  </si>
  <si>
    <t>帕特里克海星星团</t>
  </si>
  <si>
    <t>III1r</t>
  </si>
  <si>
    <t>3h14m41.4s</t>
  </si>
  <si>
    <t>+47h14m19s</t>
  </si>
  <si>
    <t>cluster, pretty large, rich, compressed, irregularly round, stars from 12th to 15th magnitude</t>
  </si>
  <si>
    <t>Cl, pL, Ri, C, iR, st 12…15</t>
  </si>
  <si>
    <t>NGC1246</t>
  </si>
  <si>
    <t>3h7m2.3s</t>
  </si>
  <si>
    <t>-66h56m18s</t>
  </si>
  <si>
    <t>NGC1247</t>
  </si>
  <si>
    <t>3h12m14.3s</t>
  </si>
  <si>
    <t>-10h28m52s</t>
  </si>
  <si>
    <t>faint, pretty large, extended 80°</t>
  </si>
  <si>
    <t>F, pL, E 80°</t>
  </si>
  <si>
    <t>NGC1248</t>
  </si>
  <si>
    <t>3h12m48.4s</t>
  </si>
  <si>
    <t>-5h13m29s</t>
  </si>
  <si>
    <t>considerably faint, small, a little extended, brighter middle, 9th magnitude star 5 arcmin to north</t>
  </si>
  <si>
    <t>cF, S, lE, bM, * 9 n 5'</t>
  </si>
  <si>
    <t>NGC1249</t>
  </si>
  <si>
    <t>3h10m1.1s</t>
  </si>
  <si>
    <t>-53h20m10s</t>
  </si>
  <si>
    <t>bright, large, very much extended 80°, very gradually brighter middle</t>
  </si>
  <si>
    <t>B, L, vmE 80°, vgbM</t>
  </si>
  <si>
    <t>NGC1250</t>
  </si>
  <si>
    <t>3h15m21s</t>
  </si>
  <si>
    <t>+41h21m20s</t>
  </si>
  <si>
    <t>NGC1251</t>
  </si>
  <si>
    <t>3h14m9.1s</t>
  </si>
  <si>
    <t>+1h27m25s</t>
  </si>
  <si>
    <t>NGC1252</t>
  </si>
  <si>
    <t>3h10m44s</t>
  </si>
  <si>
    <t>-57h45m30s</t>
  </si>
  <si>
    <t>cluster of 18 or 20 stars</t>
  </si>
  <si>
    <t>Cl of 18 or 20 st</t>
  </si>
  <si>
    <t>NGC1253</t>
  </si>
  <si>
    <t>3h14m9.2s</t>
  </si>
  <si>
    <t>-2h49m23s</t>
  </si>
  <si>
    <t>a 12th magnitude star with nebulosity to east, 90 arcsec long</t>
  </si>
  <si>
    <t>* 12 with neb f, 90" l</t>
  </si>
  <si>
    <t>NGC1254</t>
  </si>
  <si>
    <t>3h14m23.8s</t>
  </si>
  <si>
    <t>+2h40m40s</t>
  </si>
  <si>
    <t>NGC1255</t>
  </si>
  <si>
    <t>3h13m32s</t>
  </si>
  <si>
    <t>-25h43m28s</t>
  </si>
  <si>
    <t>faint, pretty large, faint star close to west</t>
  </si>
  <si>
    <t>F, pL, F * close p</t>
  </si>
  <si>
    <t>NGC1256</t>
  </si>
  <si>
    <t>3h13m58.1s</t>
  </si>
  <si>
    <t>-21h59m11s</t>
  </si>
  <si>
    <t>faint, small, extended, almost stellar, 8th magnitude star to northwest</t>
  </si>
  <si>
    <t>F, S, E, alm stell, * 8 np</t>
  </si>
  <si>
    <t>NGC1257</t>
  </si>
  <si>
    <t>3h16m59.5s</t>
  </si>
  <si>
    <t>+41h31m46s</t>
  </si>
  <si>
    <t>stellar nebula</t>
  </si>
  <si>
    <t>Stellar neb</t>
  </si>
  <si>
    <t>NGC1258</t>
  </si>
  <si>
    <t>3h14m5.4s</t>
  </si>
  <si>
    <t>-21h46m28s</t>
  </si>
  <si>
    <t>extremely faint, pretty small, very little extended, 12 arcmin north of h 2516</t>
  </si>
  <si>
    <t>eF, pS, vlE, 12' n of h 2516</t>
  </si>
  <si>
    <t>NGC1259</t>
  </si>
  <si>
    <t>3h17m17.3s</t>
  </si>
  <si>
    <t>+41h23m8s</t>
  </si>
  <si>
    <t>NGC1260</t>
  </si>
  <si>
    <t>3h17m27.2s</t>
  </si>
  <si>
    <t>+41h24m19s</t>
  </si>
  <si>
    <t>NGC1261</t>
  </si>
  <si>
    <t>II</t>
  </si>
  <si>
    <t>3h12m15.3s</t>
  </si>
  <si>
    <t>-55h12m59s</t>
  </si>
  <si>
    <t>a globular cluster, bright, large, round, partially resolved (some stars seen)</t>
  </si>
  <si>
    <t>globular, B, L, R, rr</t>
  </si>
  <si>
    <t>NGC1262</t>
  </si>
  <si>
    <t>3h15m33.6s</t>
  </si>
  <si>
    <t>-15h52m48s</t>
  </si>
  <si>
    <t>extremely faint, pretty small, irregularly round, suddenly brighter middle and nucleus</t>
  </si>
  <si>
    <t>eF, pS, iR, sbMN</t>
  </si>
  <si>
    <t>NGC1263</t>
  </si>
  <si>
    <t>3h15m39.5s</t>
  </si>
  <si>
    <t>-15h5m54s</t>
  </si>
  <si>
    <t>very faint, small, a little extended, suddenly brighter middle</t>
  </si>
  <si>
    <t>vF, S, lE, sbM</t>
  </si>
  <si>
    <t>NGC1264</t>
  </si>
  <si>
    <t>3h17m59.5s</t>
  </si>
  <si>
    <t>+41h31m13s</t>
  </si>
  <si>
    <t>very faint, small, very little brighter middle</t>
  </si>
  <si>
    <t>NGC1265</t>
  </si>
  <si>
    <t>3h18m8.4s</t>
  </si>
  <si>
    <t>+41h45m16s</t>
  </si>
  <si>
    <t>very faint, very small, much brighter middle</t>
  </si>
  <si>
    <t>vF, vS, mbM</t>
  </si>
  <si>
    <t>NGC1266</t>
  </si>
  <si>
    <t>3h16m0.7s</t>
  </si>
  <si>
    <t>-2h25m36s</t>
  </si>
  <si>
    <t>very faint, pretty small, 13th magnitude star 2 arcmin to southwest</t>
  </si>
  <si>
    <t>vF, pS, * 13 sp 2'</t>
  </si>
  <si>
    <t>NGC1267</t>
  </si>
  <si>
    <t>3h18m44.8s</t>
  </si>
  <si>
    <t>+41h28m3s</t>
  </si>
  <si>
    <t>faint, very small, round, stellar</t>
  </si>
  <si>
    <t>F, vS, R, stell</t>
  </si>
  <si>
    <t>NGC1268</t>
  </si>
  <si>
    <t>3h18m45.2s</t>
  </si>
  <si>
    <t>+41h29m21s</t>
  </si>
  <si>
    <t>extremely faint, small, a little extended, cometic</t>
  </si>
  <si>
    <t>eF, S, lE, com</t>
  </si>
  <si>
    <t>NGC1269</t>
  </si>
  <si>
    <t>雪领星系</t>
  </si>
  <si>
    <t>3h17m18.3s</t>
  </si>
  <si>
    <t>-41h6m26s</t>
  </si>
  <si>
    <t>very bright, round, gradually much brighter middle</t>
  </si>
  <si>
    <t>vB, R, gmbM</t>
  </si>
  <si>
    <t>NGC1270</t>
  </si>
  <si>
    <t>3h18m58.1s</t>
  </si>
  <si>
    <t>+41h28m13s</t>
  </si>
  <si>
    <t>NGC1271</t>
  </si>
  <si>
    <t>SB0?</t>
  </si>
  <si>
    <t>3h19m11.2s</t>
  </si>
  <si>
    <t>+41h21m13s</t>
  </si>
  <si>
    <t>NGC1272</t>
  </si>
  <si>
    <t>3h19m21.3s</t>
  </si>
  <si>
    <t>+41h29m26s</t>
  </si>
  <si>
    <t>NGC1273</t>
  </si>
  <si>
    <t>3h19m26.8s</t>
  </si>
  <si>
    <t>+41h32m24s</t>
  </si>
  <si>
    <t>NGC1274</t>
  </si>
  <si>
    <t>3h19m40.6s</t>
  </si>
  <si>
    <t>+41h32m58s</t>
  </si>
  <si>
    <t>NGC1275</t>
  </si>
  <si>
    <t>英仙座A</t>
  </si>
  <si>
    <t>3h19m48.1s</t>
  </si>
  <si>
    <t>+41h30m41s</t>
  </si>
  <si>
    <t>NGC1276</t>
  </si>
  <si>
    <t>3h19m51.1s</t>
  </si>
  <si>
    <t>+41h38m33s</t>
  </si>
  <si>
    <t>NGC1277</t>
  </si>
  <si>
    <t>3h19m51.4s</t>
  </si>
  <si>
    <t>+41h34m27s</t>
  </si>
  <si>
    <t>very faint, very small, northwest of II 603</t>
  </si>
  <si>
    <t>vF, vS, np II 603</t>
  </si>
  <si>
    <t>NGC1278</t>
  </si>
  <si>
    <t>3h19m54.1s</t>
  </si>
  <si>
    <t>+41h33m49s</t>
  </si>
  <si>
    <t>pretty bright, pretty small, round, brighter middle</t>
  </si>
  <si>
    <t>pB, pS, R, bM</t>
  </si>
  <si>
    <t>NGC1279</t>
  </si>
  <si>
    <t>3h19m59.1s</t>
  </si>
  <si>
    <t>+41h28m47s</t>
  </si>
  <si>
    <t>NGC1280</t>
  </si>
  <si>
    <t>3h17m57s</t>
  </si>
  <si>
    <t>-0h10m8s</t>
  </si>
  <si>
    <t>very faint, very small, round, gradually brighter middle, mottled but not resolved</t>
  </si>
  <si>
    <t>vF, vS, R, gbM, r</t>
  </si>
  <si>
    <t>NGC1281</t>
  </si>
  <si>
    <t>3h20m6.3s</t>
  </si>
  <si>
    <t>+41h37m47s</t>
  </si>
  <si>
    <t>very faint, small, 11th magnitude star one arcmin to west</t>
  </si>
  <si>
    <t>vF, S, * 11 p 1'</t>
  </si>
  <si>
    <t>NGC1282</t>
  </si>
  <si>
    <t>3h20m12s</t>
  </si>
  <si>
    <t>+41h22m1s</t>
  </si>
  <si>
    <t>very faint, small, a little brighter middle and nucleus</t>
  </si>
  <si>
    <t>vF, S, lbMN</t>
  </si>
  <si>
    <t>NGC1283</t>
  </si>
  <si>
    <t>3h20m15.5s</t>
  </si>
  <si>
    <t>+41h23m55s</t>
  </si>
  <si>
    <t>NGC1284</t>
  </si>
  <si>
    <t>3h17m45.4s</t>
  </si>
  <si>
    <t>-10h17m19s</t>
  </si>
  <si>
    <t>extremely faint, very small, 2 stars to south</t>
  </si>
  <si>
    <t>eF, vS, 2 st s</t>
  </si>
  <si>
    <t>NGC1285</t>
  </si>
  <si>
    <t>3h17m53.4s</t>
  </si>
  <si>
    <t>-7h17m51s</t>
  </si>
  <si>
    <t>pretty faint, small</t>
  </si>
  <si>
    <t>pF, S</t>
  </si>
  <si>
    <t>NGC1286</t>
  </si>
  <si>
    <t>3h17m48.5s</t>
  </si>
  <si>
    <t>-7h36m59s</t>
  </si>
  <si>
    <t>extremely faint, extremely small, round, 4 bright stars to south</t>
  </si>
  <si>
    <t>eF, eS, R, 4 B st s</t>
  </si>
  <si>
    <t>NGC1287</t>
  </si>
  <si>
    <t>3h18m33.3s</t>
  </si>
  <si>
    <t>-2h43m50s</t>
  </si>
  <si>
    <t>NGC1288</t>
  </si>
  <si>
    <t>3h17m13.2s</t>
  </si>
  <si>
    <t>-32h34m35s</t>
  </si>
  <si>
    <t>NGC1289</t>
  </si>
  <si>
    <t>3h18m49.8s</t>
  </si>
  <si>
    <t>-1h58m23s</t>
  </si>
  <si>
    <t>very faint, small, round, 4 stars following (to the east)</t>
  </si>
  <si>
    <t>vF, S, R, 4 st f</t>
  </si>
  <si>
    <t>NGC1290</t>
  </si>
  <si>
    <t>3h19m25.1s</t>
  </si>
  <si>
    <t>-13h59m21s</t>
  </si>
  <si>
    <t>NGC1291</t>
  </si>
  <si>
    <t>globular, vB, pL, R, mbM, er</t>
  </si>
  <si>
    <t>NGC1292</t>
  </si>
  <si>
    <t>3h18m14.8s</t>
  </si>
  <si>
    <t>-27h36m38s</t>
  </si>
  <si>
    <t>faint, pretty small, a little extended, very gradually brighter middle, small (faint) double star near</t>
  </si>
  <si>
    <t>F, pS, lE, vgbM, S D * nr</t>
  </si>
  <si>
    <t>NGC1293</t>
  </si>
  <si>
    <t>3h21m36.4s</t>
  </si>
  <si>
    <t>+41h23m36s</t>
  </si>
  <si>
    <t>very faint, round, brighter middle, northwestern of 2</t>
  </si>
  <si>
    <t>vF, R, bM, np of 2</t>
  </si>
  <si>
    <t>NGC1294</t>
  </si>
  <si>
    <t>3h21m40s</t>
  </si>
  <si>
    <t>+41h21m38s</t>
  </si>
  <si>
    <t>very faint, round, brighter middle, southeastern of 2</t>
  </si>
  <si>
    <t>vF, R, bM, sf of 2</t>
  </si>
  <si>
    <t>NGC1295</t>
  </si>
  <si>
    <t>3h20m3.2s</t>
  </si>
  <si>
    <t>-13h59m52s</t>
  </si>
  <si>
    <t>extremely faint, very small, gradually brighter middle and nucleus, 10th magnitude star 3 arcmin following (to the east)</t>
  </si>
  <si>
    <t>eF, vS, gbMN, * 10 f 3'</t>
  </si>
  <si>
    <t>NGC1296</t>
  </si>
  <si>
    <t>3h18m49.7s</t>
  </si>
  <si>
    <t>-13h3m44s</t>
  </si>
  <si>
    <t>NGC1297</t>
  </si>
  <si>
    <t>3h19m14s</t>
  </si>
  <si>
    <t>-19h6m0s</t>
  </si>
  <si>
    <t>NGC1298</t>
  </si>
  <si>
    <t>3h20m13s</t>
  </si>
  <si>
    <t>-2h6m49s</t>
  </si>
  <si>
    <t>faint, pretty small, round, 13th magnitude star to southwest</t>
  </si>
  <si>
    <t>F, pS, R, * 13 sp</t>
  </si>
  <si>
    <t>NGC1299</t>
  </si>
  <si>
    <t>3h20m9.6s</t>
  </si>
  <si>
    <t>-6h15m43s</t>
  </si>
  <si>
    <t>very faint, small, very little extended, gradually brighter middle, extremely mottled but not resolved</t>
  </si>
  <si>
    <t>vF, S, vlE, gbM, er</t>
  </si>
  <si>
    <t>NGC1300</t>
  </si>
  <si>
    <t>3h19m40.7s</t>
  </si>
  <si>
    <t>-19h24m41s</t>
  </si>
  <si>
    <t>considerably bright, very large, very much extended, pretty suddenly very much brighter middle</t>
  </si>
  <si>
    <t>cB, vL, vmE, psvmbM</t>
  </si>
  <si>
    <t>NGC1301</t>
  </si>
  <si>
    <t>3h20m35.4s</t>
  </si>
  <si>
    <t>-18h42m57s</t>
  </si>
  <si>
    <t>very faint, much extended 135°</t>
  </si>
  <si>
    <t>vF, mE 135°</t>
  </si>
  <si>
    <t>NGC1302</t>
  </si>
  <si>
    <t>-26h3m38s</t>
  </si>
  <si>
    <t>small, round, pretty suddenly very much brighter middle, 9th magnitude star 1 arcmin northwest</t>
  </si>
  <si>
    <t>S, R, psvmbM, * 9 np 1'</t>
  </si>
  <si>
    <t>NGC1303</t>
  </si>
  <si>
    <t>3h20m40.7s</t>
  </si>
  <si>
    <t>-7h23m39s</t>
  </si>
  <si>
    <t>very faint, several stars involved</t>
  </si>
  <si>
    <t>vF, sev st inv</t>
  </si>
  <si>
    <t>NGC1304</t>
  </si>
  <si>
    <t>3h21m12.7s</t>
  </si>
  <si>
    <t>-4h35m1s</t>
  </si>
  <si>
    <t>NGC1305</t>
  </si>
  <si>
    <t>3h21m22.9s</t>
  </si>
  <si>
    <t>-2h18m59s</t>
  </si>
  <si>
    <t>pretty bright, pretty small, round, 16th magnitude star attached</t>
  </si>
  <si>
    <t>pB, pS, R, * 16 att</t>
  </si>
  <si>
    <t>NGC1306</t>
  </si>
  <si>
    <t>3h21m3s</t>
  </si>
  <si>
    <t>-25h30m44s</t>
  </si>
  <si>
    <t>very faint, very small, gradually brighter middle, magnitude 10.5 star 4 arcmin to east</t>
  </si>
  <si>
    <t>vF, vS, gbM, * 10.5 f 4'</t>
  </si>
  <si>
    <t>NGC1307</t>
  </si>
  <si>
    <t>eF, vS, R, * 9.5 nf</t>
  </si>
  <si>
    <t>NGC1308</t>
  </si>
  <si>
    <t>3h22m28.5s</t>
  </si>
  <si>
    <t>-2h45m26s</t>
  </si>
  <si>
    <t>extremely faint, small, irregular figure, among 3 or 4 stars</t>
  </si>
  <si>
    <t>eF, S, iF, am 3 or 4 st</t>
  </si>
  <si>
    <t>NGC1309</t>
  </si>
  <si>
    <t>3h22m6.3s</t>
  </si>
  <si>
    <t>-15h24m0s</t>
  </si>
  <si>
    <t>considerably bright, considerably large, irregularly round, gradually brighter middle, 8th magnitude star 4 arcmin southwest</t>
  </si>
  <si>
    <t>cB, cL, iR, gbM, * 8 sp 4'</t>
  </si>
  <si>
    <t>NGC1310</t>
  </si>
  <si>
    <t>3h21m3.5s</t>
  </si>
  <si>
    <t>-37h6m8s</t>
  </si>
  <si>
    <t>a globular cluster, very faint, pretty large, round, very gradually very little brighter middle</t>
  </si>
  <si>
    <t>globular, vF, pL, R, vgvlbM</t>
  </si>
  <si>
    <t>NGC1311</t>
  </si>
  <si>
    <t>3h20m6.7s</t>
  </si>
  <si>
    <t>-52h11m14s</t>
  </si>
  <si>
    <t>faint, pretty large, much extended 37°, gradually brighter middle</t>
  </si>
  <si>
    <t>F, pL, mE 37°, gbM</t>
  </si>
  <si>
    <t>NGC1312</t>
  </si>
  <si>
    <t>金牛座</t>
  </si>
  <si>
    <t>TAU</t>
  </si>
  <si>
    <t>3h23m41.8s</t>
  </si>
  <si>
    <t>+1h11m4s</t>
  </si>
  <si>
    <t>NGC1313</t>
  </si>
  <si>
    <t>网罟座</t>
  </si>
  <si>
    <t>RET</t>
  </si>
  <si>
    <t>3h18m16s</t>
  </si>
  <si>
    <t>-66h29m43s</t>
  </si>
  <si>
    <t>pretty bright, large, extended, very gradually brighter middle, mottled but not resolved</t>
  </si>
  <si>
    <t>pB, L, E, vgbM, r</t>
  </si>
  <si>
    <t>NGC1314</t>
  </si>
  <si>
    <t>3h22m41.1s</t>
  </si>
  <si>
    <t>-4h11m11s</t>
  </si>
  <si>
    <t>a 10th magnitude star with an extremely faint, considerably large, extended nebula to south</t>
  </si>
  <si>
    <t>* 10 with eF, cL, E neb s</t>
  </si>
  <si>
    <t>NGC1315</t>
  </si>
  <si>
    <t>3h23m6.5s</t>
  </si>
  <si>
    <t>-21h22m29s</t>
  </si>
  <si>
    <t>NGC1316</t>
  </si>
  <si>
    <t>天炉座A</t>
  </si>
  <si>
    <t>3h22m41.4s</t>
  </si>
  <si>
    <t>-37h12m28s</t>
  </si>
  <si>
    <t>very bright, considerably large, very little extended, very suddenly very much brighter middle and nucleus</t>
  </si>
  <si>
    <t>vB, cL, vlE, vsvmbMN</t>
  </si>
  <si>
    <t>NGC1317</t>
  </si>
  <si>
    <t>天炉座B</t>
  </si>
  <si>
    <t>3h22m44.2s</t>
  </si>
  <si>
    <t>-37h6m12s</t>
  </si>
  <si>
    <t>pretty bright, pretty small, pretty suddenly brighter middle</t>
  </si>
  <si>
    <t>pB, pS, psbM</t>
  </si>
  <si>
    <t>NGC1318</t>
  </si>
  <si>
    <t>NGC1319</t>
  </si>
  <si>
    <t>3h23m56.5s</t>
  </si>
  <si>
    <t>-21h31m38s</t>
  </si>
  <si>
    <t>faint, small, round, brighter middle, western of 2</t>
  </si>
  <si>
    <t>F, S, R, bM, p of 2</t>
  </si>
  <si>
    <t>NGC1320</t>
  </si>
  <si>
    <t>3h24m48.6s</t>
  </si>
  <si>
    <t>-3h2m33s</t>
  </si>
  <si>
    <t>NGC1321</t>
  </si>
  <si>
    <t>-3h0m55s</t>
  </si>
  <si>
    <t>faint, small, extended east-west, double or binuclear</t>
  </si>
  <si>
    <t>F, S, E pf, D or biN</t>
  </si>
  <si>
    <t>NGC1322</t>
  </si>
  <si>
    <t>3h24m54.6s</t>
  </si>
  <si>
    <t>-2h55m7s</t>
  </si>
  <si>
    <t>NGC1323</t>
  </si>
  <si>
    <t>3h24m56s</t>
  </si>
  <si>
    <t>-2h49m18s</t>
  </si>
  <si>
    <t>extremely faint, extremely small, 13th magnitude star 25± arcsec to southwest</t>
  </si>
  <si>
    <t>eF, eS, * 13 sp 25"±</t>
  </si>
  <si>
    <t>NGC1324</t>
  </si>
  <si>
    <t>3h25m1.7s</t>
  </si>
  <si>
    <t>-5h44m43s</t>
  </si>
  <si>
    <t>very faint, pretty small, pretty much extended</t>
  </si>
  <si>
    <t>vF, pS, pmE</t>
  </si>
  <si>
    <t>NGC1325</t>
  </si>
  <si>
    <t>3h24m25.5s</t>
  </si>
  <si>
    <t>-21h32m35s</t>
  </si>
  <si>
    <t>faint, much extended 239°, cometic, 9.5 magnitude star attached</t>
  </si>
  <si>
    <t>F, mE 239°, com, * 9.5 att</t>
  </si>
  <si>
    <t>NGC1326</t>
  </si>
  <si>
    <t>3h23m56.4s</t>
  </si>
  <si>
    <t>-36h27m51s</t>
  </si>
  <si>
    <t>a planetary nebula? pretty small, very suddenly very much brighter middle and nucleus</t>
  </si>
  <si>
    <t>planetary? pS, vsvmbMN</t>
  </si>
  <si>
    <t>NGC1327</t>
  </si>
  <si>
    <t>3h25m23.2s</t>
  </si>
  <si>
    <t>-25h40m46s</t>
  </si>
  <si>
    <t>extremely faint, very small, possibly nebulous</t>
  </si>
  <si>
    <t>eF, vS, neb ?</t>
  </si>
  <si>
    <t>NGC1328</t>
  </si>
  <si>
    <t>3h25m39s</t>
  </si>
  <si>
    <t>-4h7m28s</t>
  </si>
  <si>
    <t>NGC1329</t>
  </si>
  <si>
    <t>3h26m2.5s</t>
  </si>
  <si>
    <t>-17h35m30s</t>
  </si>
  <si>
    <t>NGC1330</t>
  </si>
  <si>
    <t>3h29m4.4s</t>
  </si>
  <si>
    <t>+41h40m32s</t>
  </si>
  <si>
    <t>very faint stars in very faint, small nebulosity</t>
  </si>
  <si>
    <t>vF st in vF, S neb</t>
  </si>
  <si>
    <t>NGC1331</t>
  </si>
  <si>
    <t>3h26m28.2s</t>
  </si>
  <si>
    <t>-21h21m20s</t>
  </si>
  <si>
    <t>NGC1332</t>
  </si>
  <si>
    <t>3h26m17s</t>
  </si>
  <si>
    <t>-21h20m4s</t>
  </si>
  <si>
    <t>very bright, small, extended 114°, suddenly much brighter middle and nucleus</t>
  </si>
  <si>
    <t>vB, S, E 114°, smbMN</t>
  </si>
  <si>
    <t>NGC1333</t>
  </si>
  <si>
    <t>胚胎星云</t>
  </si>
  <si>
    <t>RN</t>
  </si>
  <si>
    <t>3h29m18s</t>
  </si>
  <si>
    <t>+31h25m0s</t>
  </si>
  <si>
    <t>faint, large, 10th magnitude star to northeast (Auwers No. 17)</t>
  </si>
  <si>
    <t>F, L, * 10 nf (Auw No 17)</t>
  </si>
  <si>
    <t>NGC1334</t>
  </si>
  <si>
    <t>3h30m1.7s</t>
  </si>
  <si>
    <t>+41h49m57s</t>
  </si>
  <si>
    <t>extremely faint, pretty large, a little brighter middle</t>
  </si>
  <si>
    <t>eF, pL, lbM</t>
  </si>
  <si>
    <t>NGC1335</t>
  </si>
  <si>
    <t>3h30m19.4s</t>
  </si>
  <si>
    <t>+41h34m24s</t>
  </si>
  <si>
    <t>very faint star in very faint, extremely small nebulosity</t>
  </si>
  <si>
    <t>vF * in vF, eS neb</t>
  </si>
  <si>
    <t>NGC1336</t>
  </si>
  <si>
    <t>3h26m32s</t>
  </si>
  <si>
    <t>-35h42m48s</t>
  </si>
  <si>
    <t>very faint, small, very little extended, gradually brighter middle</t>
  </si>
  <si>
    <t>vF, S, vlE, gbM</t>
  </si>
  <si>
    <t>NGC1337</t>
  </si>
  <si>
    <t>3h28m5.6s</t>
  </si>
  <si>
    <t>-8h23m18s</t>
  </si>
  <si>
    <t>extremely faint, very large, much extended north-south</t>
  </si>
  <si>
    <t>eF, vL, mE ns</t>
  </si>
  <si>
    <t>NGC1338</t>
  </si>
  <si>
    <t>3h28m54.4s</t>
  </si>
  <si>
    <t>-12h9m11s</t>
  </si>
  <si>
    <t>very faint, small, irregularly round, a little brighter middle, mottled but not resolved</t>
  </si>
  <si>
    <t>vF, S, iR, lbM, r</t>
  </si>
  <si>
    <t>NGC1339</t>
  </si>
  <si>
    <t>3h28m6.5s</t>
  </si>
  <si>
    <t>-32h17m8s</t>
  </si>
  <si>
    <t>considerably bright, pretty small, round, pretty suddenly brighter middle, double star to west</t>
  </si>
  <si>
    <t>cB, pS, R, psbM, D * p</t>
  </si>
  <si>
    <t>NGC1340</t>
  </si>
  <si>
    <t>3h28m19.5s</t>
  </si>
  <si>
    <t>-31h4m5s</t>
  </si>
  <si>
    <t>very bright, pretty small, a little extended, pretty suddenly brighter middle (? I 257)</t>
  </si>
  <si>
    <t>vB, pS, lE, psbM (? I 257)</t>
  </si>
  <si>
    <t>NGC1341</t>
  </si>
  <si>
    <t>3h27m58.3s</t>
  </si>
  <si>
    <t>-37h8m58s</t>
  </si>
  <si>
    <t>faint, small, round, 12th magnitude star to southeast</t>
  </si>
  <si>
    <t>F, S, R, * 12 sf</t>
  </si>
  <si>
    <t>NGC1342</t>
  </si>
  <si>
    <t>小蝎星团</t>
  </si>
  <si>
    <t>III3p</t>
  </si>
  <si>
    <t>3h31m38s</t>
  </si>
  <si>
    <t>+37h22m36s</t>
  </si>
  <si>
    <t>a cluster, very large, about 60 stars</t>
  </si>
  <si>
    <t>Cl, vL, ab 60 st</t>
  </si>
  <si>
    <t>NGC1343</t>
  </si>
  <si>
    <t>3h37m49.8s</t>
  </si>
  <si>
    <t>+72h34m17s</t>
  </si>
  <si>
    <t>faint, very small, irregularly round, gradually brighter middle, double star very near</t>
  </si>
  <si>
    <t>F, vS, iR, gbM, D * v nr</t>
  </si>
  <si>
    <t>NGC1344</t>
  </si>
  <si>
    <t>cB, pL, iR, vgbM</t>
  </si>
  <si>
    <t>NGC1345</t>
  </si>
  <si>
    <t>3h29m31.5s</t>
  </si>
  <si>
    <t>-17h46m45s</t>
  </si>
  <si>
    <t>very faint, small, round, pretty suddenly a little brighter middle</t>
  </si>
  <si>
    <t>vF, S, R, pslbM</t>
  </si>
  <si>
    <t>NGC1346</t>
  </si>
  <si>
    <t>3h30m13.2s</t>
  </si>
  <si>
    <t>-5h32m35s</t>
  </si>
  <si>
    <t>extremely faint, extremely small, round, brighter middle, 13th magnitude star to west</t>
  </si>
  <si>
    <t>eF, eS, R, bM, * 13 p</t>
  </si>
  <si>
    <t>NGC1347</t>
  </si>
  <si>
    <t>3h29m41.8s</t>
  </si>
  <si>
    <t>-22h16m45s</t>
  </si>
  <si>
    <t>extremely faint, pretty small, extended 130°, suddenly brighter middle and nucleus</t>
  </si>
  <si>
    <t>eF, pS, E 130°, sbMN</t>
  </si>
  <si>
    <t>NGC1348</t>
  </si>
  <si>
    <t>3h34m6s</t>
  </si>
  <si>
    <t>+51h25m12s</t>
  </si>
  <si>
    <t>a cluster, a little rich, stars large (bright)</t>
  </si>
  <si>
    <t>Cl, lRi, st L</t>
  </si>
  <si>
    <t>NGC1349</t>
  </si>
  <si>
    <t>3h31m27.4s</t>
  </si>
  <si>
    <t>+4h22m53s</t>
  </si>
  <si>
    <t>most extremely faint, small, round, between 2 stars</t>
  </si>
  <si>
    <t>eeF, S, R, bet 2 st</t>
  </si>
  <si>
    <t>NGC1350</t>
  </si>
  <si>
    <t>宇宙大眼睛星系</t>
  </si>
  <si>
    <t>3h31m7.9s</t>
  </si>
  <si>
    <t>-33h37m38s</t>
  </si>
  <si>
    <t>bright, large, much extended, very much brighter middle and round nucleus</t>
  </si>
  <si>
    <t>B, L, mE, vmbMRN</t>
  </si>
  <si>
    <t>NGC1351</t>
  </si>
  <si>
    <t>3h30m34.9s</t>
  </si>
  <si>
    <t>-34h51m12s</t>
  </si>
  <si>
    <t>pretty bright, pretty small, round, pretty suddenly brighter middle</t>
  </si>
  <si>
    <t>pB, pS, R, psbM</t>
  </si>
  <si>
    <t>NGC1352</t>
  </si>
  <si>
    <t>3h31m32.9s</t>
  </si>
  <si>
    <t>-19h16m40s</t>
  </si>
  <si>
    <t>extremely faint, pretty suddenly a little brighter middle, diffuse, 8th magnitude star to southeast</t>
  </si>
  <si>
    <t>eF, pslbM, diff, * 8 sf</t>
  </si>
  <si>
    <t>NGC1353</t>
  </si>
  <si>
    <t>3h32m3.1s</t>
  </si>
  <si>
    <t>-20h49m8s</t>
  </si>
  <si>
    <t>pretty bright, considerably large, irregularly extended, much brighter middle</t>
  </si>
  <si>
    <t>pB, cL, iE, mbM</t>
  </si>
  <si>
    <t>NGC1354</t>
  </si>
  <si>
    <t>3h32m29.2s</t>
  </si>
  <si>
    <t>-15h13m15s</t>
  </si>
  <si>
    <t>very faint, small, a little extended, gradually a little brighter middle</t>
  </si>
  <si>
    <t>vF, S, lE, glbM</t>
  </si>
  <si>
    <t>NGC1355</t>
  </si>
  <si>
    <t>3h33m23.5s</t>
  </si>
  <si>
    <t>-4h59m54s</t>
  </si>
  <si>
    <t>NGC1356</t>
  </si>
  <si>
    <t>3h30m40.7s</t>
  </si>
  <si>
    <t>-50h18m33s</t>
  </si>
  <si>
    <t>very faint, pretty large, irregularly round, gradually brighter middle, star near</t>
  </si>
  <si>
    <t>vF, pL, iR, gbM, * nr</t>
  </si>
  <si>
    <t>NGC1357</t>
  </si>
  <si>
    <t>3h33m17.1s</t>
  </si>
  <si>
    <t>-13h39m52s</t>
  </si>
  <si>
    <t>pretty faint, pretty large, round, a little brighter middle, 9th magnitude star to northeast</t>
  </si>
  <si>
    <t>pF, pL, R, lbM, * 9 nf</t>
  </si>
  <si>
    <t>NGC1358</t>
  </si>
  <si>
    <t>3h33m39.7s</t>
  </si>
  <si>
    <t>-5h5m20s</t>
  </si>
  <si>
    <t>very faint, small, between 2 stars</t>
  </si>
  <si>
    <t>vF, S, bet 2 st</t>
  </si>
  <si>
    <t>NGC1359</t>
  </si>
  <si>
    <t>SBm/P</t>
  </si>
  <si>
    <t>3h33m47.8s</t>
  </si>
  <si>
    <t>-19h29m27s</t>
  </si>
  <si>
    <t>faint, large, round, very gradually a little brighter middle</t>
  </si>
  <si>
    <t>F, L, R, vglbM</t>
  </si>
  <si>
    <t>NGC1360</t>
  </si>
  <si>
    <t>知更鸟蛋星云</t>
  </si>
  <si>
    <t>3h33m14.6s</t>
  </si>
  <si>
    <t>-25h52m16s</t>
  </si>
  <si>
    <t>an 8th magnitude star in bright, large nebula, extended north-south</t>
  </si>
  <si>
    <t>* 8 in B, L neb, E ns</t>
  </si>
  <si>
    <t>NGC1361</t>
  </si>
  <si>
    <t>E3/P</t>
  </si>
  <si>
    <t>3h34m17.7s</t>
  </si>
  <si>
    <t>-6h15m52s</t>
  </si>
  <si>
    <t>NGC1362</t>
  </si>
  <si>
    <t>3h33m53s</t>
  </si>
  <si>
    <t>-20h16m56s</t>
  </si>
  <si>
    <t>NGC1363</t>
  </si>
  <si>
    <t>3h34m49.5s</t>
  </si>
  <si>
    <t>-9h50m32s</t>
  </si>
  <si>
    <t>very faint, small, round, 7th magnitude star 3.5 arcmin southwest, southwestern of 2</t>
  </si>
  <si>
    <t>vF, S, R, * 7 sp 3'.5, sp of 2</t>
  </si>
  <si>
    <t>NGC1364</t>
  </si>
  <si>
    <t>3h34m59s</t>
  </si>
  <si>
    <t>-9h50m20s</t>
  </si>
  <si>
    <t>very faint, small, very little extended, northeastern of 2</t>
  </si>
  <si>
    <t>vF, S, vlE, nf of 2</t>
  </si>
  <si>
    <t>NGC1365</t>
  </si>
  <si>
    <t>大棒旋星系</t>
  </si>
  <si>
    <t>3h33m36.7s</t>
  </si>
  <si>
    <t>-36h8m27s</t>
  </si>
  <si>
    <t>a very remarkable object, very bright, very large, much extended, mottled but not resolved nucleus</t>
  </si>
  <si>
    <t>!! vB, vL, mE, rN</t>
  </si>
  <si>
    <t>NGC1366</t>
  </si>
  <si>
    <t>3h33m53.6s</t>
  </si>
  <si>
    <t>-31h11m36s</t>
  </si>
  <si>
    <t>very faint, small, irregular figure, a little brighter middle</t>
  </si>
  <si>
    <t>vF, S, iF, lbM</t>
  </si>
  <si>
    <t>NGC1367</t>
  </si>
  <si>
    <t>3h35m1.2s</t>
  </si>
  <si>
    <t>-24h56m0s</t>
  </si>
  <si>
    <t>NGC1368</t>
  </si>
  <si>
    <t>3h34m58.8s</t>
  </si>
  <si>
    <t>-15h39m20s</t>
  </si>
  <si>
    <t>NGC1369</t>
  </si>
  <si>
    <t>3h36m45.2s</t>
  </si>
  <si>
    <t>-36h15m20s</t>
  </si>
  <si>
    <t>NGC1370</t>
  </si>
  <si>
    <t>3h35m14.4s</t>
  </si>
  <si>
    <t>-20h22m24s</t>
  </si>
  <si>
    <t>very faint, small, round, between two 14th magnitude stars</t>
  </si>
  <si>
    <t>vF, S, R, bet 2 st 14</t>
  </si>
  <si>
    <t>NGC1371</t>
  </si>
  <si>
    <t>pB, pL, vlE, psbM</t>
  </si>
  <si>
    <t>NGC1372</t>
  </si>
  <si>
    <t>3h36m59.7s</t>
  </si>
  <si>
    <t>-15h52m54s</t>
  </si>
  <si>
    <t>very faint, very small, round, gradually a little brighter middle</t>
  </si>
  <si>
    <t>vF, vS, R, glbM</t>
  </si>
  <si>
    <t>NGC1373</t>
  </si>
  <si>
    <t>3h34m59.1s</t>
  </si>
  <si>
    <t>-35h10m16s</t>
  </si>
  <si>
    <t>extremely faint, very small, western of 3</t>
  </si>
  <si>
    <t>eF, vS, p of 3</t>
  </si>
  <si>
    <t>NGC1374</t>
  </si>
  <si>
    <t>3h35m16.6s</t>
  </si>
  <si>
    <t>-35h13m33s</t>
  </si>
  <si>
    <t>very bright, pretty large, a little extended, gradually much brighter middle, 2nd of 3</t>
  </si>
  <si>
    <t>vB, pL, lE, gmbM, 2nd of 3</t>
  </si>
  <si>
    <t>NGC1375</t>
  </si>
  <si>
    <t>3h35m16.8s</t>
  </si>
  <si>
    <t>-35h15m57s</t>
  </si>
  <si>
    <t>bright, small, a little extended, pretty much brighter middle, 3rd of 3</t>
  </si>
  <si>
    <t>B, S, lE, pmbM, 3rd of 3</t>
  </si>
  <si>
    <t>NGC1376</t>
  </si>
  <si>
    <t>3h37m6s</t>
  </si>
  <si>
    <t>-5h2m34s</t>
  </si>
  <si>
    <t>extremely faint, pretty large, irregularly round, brighter middle, mottled but not resolved</t>
  </si>
  <si>
    <t>eF, pL, iR, bM, r</t>
  </si>
  <si>
    <t>NGC1377</t>
  </si>
  <si>
    <t>3h36m39s</t>
  </si>
  <si>
    <t>-20h54m5s</t>
  </si>
  <si>
    <t>faint, small, round, gradually brighter middle</t>
  </si>
  <si>
    <t>F, S, R, gbM</t>
  </si>
  <si>
    <t>NGC1378</t>
  </si>
  <si>
    <t>3h35m58.2s</t>
  </si>
  <si>
    <t>-35h12m40s</t>
  </si>
  <si>
    <t>NGC1379</t>
  </si>
  <si>
    <t>3h36m3.8s</t>
  </si>
  <si>
    <t>-35h26m27s</t>
  </si>
  <si>
    <t>a globular cluster, brighter, pretty large, round, gradually pretty much brighter middle</t>
  </si>
  <si>
    <t>globular, B, pL, R, gpmbM</t>
  </si>
  <si>
    <t>NGC1380</t>
  </si>
  <si>
    <t>3h36m27.5s</t>
  </si>
  <si>
    <t>-34h58m31s</t>
  </si>
  <si>
    <t>very bright, large, round, pretty suddenly brighter middle</t>
  </si>
  <si>
    <t>vB, L, R, psbM</t>
  </si>
  <si>
    <t>NGC1381</t>
  </si>
  <si>
    <t>3h36m31.8s</t>
  </si>
  <si>
    <t>-35h17m43s</t>
  </si>
  <si>
    <t>NGC1382</t>
  </si>
  <si>
    <t>3h37m9s</t>
  </si>
  <si>
    <t>-35h11m44s</t>
  </si>
  <si>
    <t>NGC1383</t>
  </si>
  <si>
    <t>3h37m39.2s</t>
  </si>
  <si>
    <t>pretty faint, small, round, pretty suddenly much brighter middle</t>
  </si>
  <si>
    <t>pF, S, R, psmbM</t>
  </si>
  <si>
    <t>NGC1384</t>
  </si>
  <si>
    <t>3h39m13.5s</t>
  </si>
  <si>
    <t>+15h49m10s</t>
  </si>
  <si>
    <t>nebulous 13th magnitude star</t>
  </si>
  <si>
    <t>NGC1385</t>
  </si>
  <si>
    <t>3h37m28.6s</t>
  </si>
  <si>
    <t>-24h30m10s</t>
  </si>
  <si>
    <t>pretty bright, pretty small, round, gradually pretty much brighter middle</t>
  </si>
  <si>
    <t>pB, pS, R, gpmbM</t>
  </si>
  <si>
    <t>NGC1386</t>
  </si>
  <si>
    <t>3h36m46.3s</t>
  </si>
  <si>
    <t>-35h59m56s</t>
  </si>
  <si>
    <t>NGC1387</t>
  </si>
  <si>
    <t>3h36m57.2s</t>
  </si>
  <si>
    <t>-35h30m21s</t>
  </si>
  <si>
    <t>a globular cluster, very bright, pretty large, round, gradually much brighter middle</t>
  </si>
  <si>
    <t>globular, vB, pL, R, gmbM</t>
  </si>
  <si>
    <t>NGC1388</t>
  </si>
  <si>
    <t>3h38m12s</t>
  </si>
  <si>
    <t>-15h53m58s</t>
  </si>
  <si>
    <t>NGC1389</t>
  </si>
  <si>
    <t>3h37m11.7s</t>
  </si>
  <si>
    <t>-35h44m44s</t>
  </si>
  <si>
    <t>NGC1390</t>
  </si>
  <si>
    <t>3h37m52.2s</t>
  </si>
  <si>
    <t>-19h0m27s</t>
  </si>
  <si>
    <t>very faint, pretty small, extended 260°</t>
  </si>
  <si>
    <t>vF, pS, E 260°</t>
  </si>
  <si>
    <t>NGC1391</t>
  </si>
  <si>
    <t>3h38m52.9s</t>
  </si>
  <si>
    <t>-18h21m16s</t>
  </si>
  <si>
    <t>NGC1392</t>
  </si>
  <si>
    <t>3h37m30.3s</t>
  </si>
  <si>
    <t>-37h8m5s</t>
  </si>
  <si>
    <t>NGC1393</t>
  </si>
  <si>
    <t>3h38m38.4s</t>
  </si>
  <si>
    <t>-18h25m43s</t>
  </si>
  <si>
    <t>NGC1394</t>
  </si>
  <si>
    <t>3h39m6.7s</t>
  </si>
  <si>
    <t>-18h17m32s</t>
  </si>
  <si>
    <t>very faint, very small, extended 170°, suddenly brighter middle and nucleus</t>
  </si>
  <si>
    <t>vF, vS, E 170°, sbMN</t>
  </si>
  <si>
    <t>NGC1395</t>
  </si>
  <si>
    <t>3h38m29.6s</t>
  </si>
  <si>
    <t>-23h1m38s</t>
  </si>
  <si>
    <t>bright, pretty small, extended, pretty suddenly much brighter middle</t>
  </si>
  <si>
    <t>B, pS, E, psmbM</t>
  </si>
  <si>
    <t>NGC1396</t>
  </si>
  <si>
    <t>3h38m6.5s</t>
  </si>
  <si>
    <t>-35h26m23s</t>
  </si>
  <si>
    <t>NGC1397</t>
  </si>
  <si>
    <t>3h39m47.1s</t>
  </si>
  <si>
    <t>-4h40m11s</t>
  </si>
  <si>
    <t>NGC1398</t>
  </si>
  <si>
    <t>3h38m52s</t>
  </si>
  <si>
    <t>-26h20m14s</t>
  </si>
  <si>
    <t>considerably bright, considerably large, round, very much brighter middle</t>
  </si>
  <si>
    <t>cB, cL, R, vmbM</t>
  </si>
  <si>
    <t>NGC1399</t>
  </si>
  <si>
    <t>3h38m28.9s</t>
  </si>
  <si>
    <t>-35h26m59s</t>
  </si>
  <si>
    <t>a globular cluster, very bright, pretty large, pretty suddenly much brighter middle, partially resolved (some stars seen)</t>
  </si>
  <si>
    <t>globular, vB, pL, psbM, rr</t>
  </si>
  <si>
    <t>NGC1400</t>
  </si>
  <si>
    <t>3h39m30.7s</t>
  </si>
  <si>
    <t>-18h41m17s</t>
  </si>
  <si>
    <t>considerably bright, pretty small, round, pretty suddenly much brighter middle</t>
  </si>
  <si>
    <t>cB, pS, R, psmbM</t>
  </si>
  <si>
    <t>NGC1401</t>
  </si>
  <si>
    <t>3h39m21.8s</t>
  </si>
  <si>
    <t>-22h43m28s</t>
  </si>
  <si>
    <t>NGC1402</t>
  </si>
  <si>
    <t>3h39m30.4s</t>
  </si>
  <si>
    <t>-18h31m37s</t>
  </si>
  <si>
    <t>NGC1403</t>
  </si>
  <si>
    <t>3h39m10.8s</t>
  </si>
  <si>
    <t>-22h23m20s</t>
  </si>
  <si>
    <t>very faint, extremely small, nebulous star</t>
  </si>
  <si>
    <t>vF, eS, neb *</t>
  </si>
  <si>
    <t>NGC1404</t>
  </si>
  <si>
    <t>3h38m51.7s</t>
  </si>
  <si>
    <t>-35h35m34s</t>
  </si>
  <si>
    <t>very bright, pretty large, round, pretty suddenly much brighter middle</t>
  </si>
  <si>
    <t>vB, pL, R, psmbM</t>
  </si>
  <si>
    <t>NGC1405</t>
  </si>
  <si>
    <t>3h40m19s</t>
  </si>
  <si>
    <t>-15h31m51s</t>
  </si>
  <si>
    <t>extremely faint, pretty large, much extended 150°, gradually a little brighter middle, faint star involved</t>
  </si>
  <si>
    <t>eF, pL, mE 150°, glbM, F st inv</t>
  </si>
  <si>
    <t>NGC1406</t>
  </si>
  <si>
    <t>3h39m23s</t>
  </si>
  <si>
    <t>-31h19m20s</t>
  </si>
  <si>
    <t>faint, considerably large, very much extended, very gradually a little brighter middle, 7th magnitude star to northwest</t>
  </si>
  <si>
    <t>F, cL, vmE, vglbM, * 7 np</t>
  </si>
  <si>
    <t>NGC1407</t>
  </si>
  <si>
    <t>波江座A星系群</t>
  </si>
  <si>
    <t>3h40m11.8s</t>
  </si>
  <si>
    <t>-18h34m49s</t>
  </si>
  <si>
    <t>very bright, large, round, suddenly very much brighter middle and nucleus</t>
  </si>
  <si>
    <t>vB, L, R, svmbMN</t>
  </si>
  <si>
    <t>NGC1408</t>
  </si>
  <si>
    <t>3h39m20s</t>
  </si>
  <si>
    <t>-35h31m30s</t>
  </si>
  <si>
    <t>NGC1409</t>
  </si>
  <si>
    <t>3h41m10.4s</t>
  </si>
  <si>
    <t>-1h18m7s</t>
  </si>
  <si>
    <t>extremely faint, stellar or a little extended</t>
  </si>
  <si>
    <t>eF, stellar or lE</t>
  </si>
  <si>
    <t>NGC1410</t>
  </si>
  <si>
    <t>3h41m10.8s</t>
  </si>
  <si>
    <t>-1h17m55s</t>
  </si>
  <si>
    <t>makes a double nebula with h 304, position 0°</t>
  </si>
  <si>
    <t>Makes D neb with h 304, pos 0°</t>
  </si>
  <si>
    <t>NGC1411</t>
  </si>
  <si>
    <t>3h38m44.9s</t>
  </si>
  <si>
    <t>-44h6m2s</t>
  </si>
  <si>
    <t>bright, pretty small, round, suddenly much brighter middle</t>
  </si>
  <si>
    <t>B, pS, R, smbM</t>
  </si>
  <si>
    <t>NGC1412</t>
  </si>
  <si>
    <t>3h40m29.3s</t>
  </si>
  <si>
    <t>-26h51m43s</t>
  </si>
  <si>
    <t>faint, small, extended, gradually brighter middle, star 2 arcmin to southwest</t>
  </si>
  <si>
    <t>F, S, E, gbM, * sf 2'</t>
  </si>
  <si>
    <t>NGC1413</t>
  </si>
  <si>
    <t>3h40m11.5s</t>
  </si>
  <si>
    <t>-15h36m37s</t>
  </si>
  <si>
    <t>NGC1414</t>
  </si>
  <si>
    <t>3h40m57s</t>
  </si>
  <si>
    <t>-21h42m48s</t>
  </si>
  <si>
    <t>extremely faint, pretty small, much extended 0°, brighter middle and nucleus</t>
  </si>
  <si>
    <t>eF, pS, mE 0°, bMN</t>
  </si>
  <si>
    <t>NGC1415</t>
  </si>
  <si>
    <t>3h40m56.9s</t>
  </si>
  <si>
    <t>-22h33m51s</t>
  </si>
  <si>
    <t>pretty bright, small, a little extended, pretty gradually a little brighter middle, star to southeast</t>
  </si>
  <si>
    <t>pB, S, lE, pglbM, * sf</t>
  </si>
  <si>
    <t>NGC1416</t>
  </si>
  <si>
    <t>3h41m2.8s</t>
  </si>
  <si>
    <t>-22h43m9s</t>
  </si>
  <si>
    <t>extremely faint, small, round, 8.6 magnitude star 2 arcmin to north</t>
  </si>
  <si>
    <t>eF, S, R, * 8.6 n 2'</t>
  </si>
  <si>
    <t>NGC1417</t>
  </si>
  <si>
    <t>3h41m57.2s</t>
  </si>
  <si>
    <t>-4h42m19s</t>
  </si>
  <si>
    <t>pretty faint, pretty large, a little extended, a little brighter middle, star to southeast</t>
  </si>
  <si>
    <t>pF, pL, lE, lbM, * sf</t>
  </si>
  <si>
    <t>NGC1418</t>
  </si>
  <si>
    <t>3h42m16.2s</t>
  </si>
  <si>
    <t>-4h43m54s</t>
  </si>
  <si>
    <t>very faint, small, extended, 11th magnitude star 1 arcmin to southeast</t>
  </si>
  <si>
    <t>vF, S, E, * 11 sf 1'</t>
  </si>
  <si>
    <t>NGC1419</t>
  </si>
  <si>
    <t>3h40m42s</t>
  </si>
  <si>
    <t>-37h30m40s</t>
  </si>
  <si>
    <t>pretty faint, pretty small, round, pretty suddenly brighter middle</t>
  </si>
  <si>
    <t>pF, pS, R, psbM</t>
  </si>
  <si>
    <t>NGC1420</t>
  </si>
  <si>
    <t>3h42m40s</t>
  </si>
  <si>
    <t>-5h51m8s</t>
  </si>
  <si>
    <t>faint, very small, 13th magnitude star to west</t>
  </si>
  <si>
    <t>F, vS, * 13 p</t>
  </si>
  <si>
    <t>NGC1421</t>
  </si>
  <si>
    <t>3h42m29.4s</t>
  </si>
  <si>
    <t>-13h29m16s</t>
  </si>
  <si>
    <t>faint, considerably large, much extended 0°, mottled but not resolved</t>
  </si>
  <si>
    <t>F, cL, mE 0°, r</t>
  </si>
  <si>
    <t>NGC1422</t>
  </si>
  <si>
    <t>3h41m31.3s</t>
  </si>
  <si>
    <t>-21h40m51s</t>
  </si>
  <si>
    <t>extremely faint, pretty small, extended 80°</t>
  </si>
  <si>
    <t>eF, pS, E 80°</t>
  </si>
  <si>
    <t>NGC1423</t>
  </si>
  <si>
    <t>3h42m40.1s</t>
  </si>
  <si>
    <t>-6h22m54s</t>
  </si>
  <si>
    <t>NGC1424</t>
  </si>
  <si>
    <t>3h43m14s</t>
  </si>
  <si>
    <t>-4h43m49s</t>
  </si>
  <si>
    <t>very faint, 10th or 11th magnitude star to northwest</t>
  </si>
  <si>
    <t>vF, * 10·11 np</t>
  </si>
  <si>
    <t>NGC1425</t>
  </si>
  <si>
    <t>3h42m11.5s</t>
  </si>
  <si>
    <t>-29h53m39s</t>
  </si>
  <si>
    <t>faint, pretty large, irregularly round, gradually brighter middle</t>
  </si>
  <si>
    <t>F, pL, iR, gbM</t>
  </si>
  <si>
    <t>NGC1426</t>
  </si>
  <si>
    <t>3h42m49.3s</t>
  </si>
  <si>
    <t>-22h6m28s</t>
  </si>
  <si>
    <t>pretty faint, small, a little extended, brighter middle</t>
  </si>
  <si>
    <t>pF, S, lE, bM</t>
  </si>
  <si>
    <t>NGC1427</t>
  </si>
  <si>
    <t>3h42m19.2s</t>
  </si>
  <si>
    <t>-35h23m34s</t>
  </si>
  <si>
    <t>NGC1428</t>
  </si>
  <si>
    <t>3h42m22.9s</t>
  </si>
  <si>
    <t>-35h9m14s</t>
  </si>
  <si>
    <t>NGC1429</t>
  </si>
  <si>
    <t>3h44m4.1s</t>
  </si>
  <si>
    <t>-4h43m5s</t>
  </si>
  <si>
    <t>extremely faint, very small, extended 0°, gradually brighter middle and nucleus, eastern of 2</t>
  </si>
  <si>
    <t>eF, vS, E 0°, gbMN, f of 2</t>
  </si>
  <si>
    <t>NGC1430</t>
  </si>
  <si>
    <t>3h43m25.2s</t>
  </si>
  <si>
    <t>-18h13m28s</t>
  </si>
  <si>
    <t>extremely faint, small, extended 20°, suddenly brighter middle and nucleus</t>
  </si>
  <si>
    <t>eF, S, E 20°, sbMN</t>
  </si>
  <si>
    <t>NGC1431</t>
  </si>
  <si>
    <t>3h44m40.7s</t>
  </si>
  <si>
    <t>+2h50m8s</t>
  </si>
  <si>
    <t>NGC1432</t>
  </si>
  <si>
    <t>昴宿四星云</t>
  </si>
  <si>
    <t>3h45m49.5s</t>
  </si>
  <si>
    <t>+24h22m6s</t>
  </si>
  <si>
    <t>extremely faint, very large, diffuse (Maja Plejadum)</t>
  </si>
  <si>
    <t>eF, vL, dif (Maja Plejadum)</t>
  </si>
  <si>
    <t>NGC1433</t>
  </si>
  <si>
    <t>3h42m1.2s</t>
  </si>
  <si>
    <t>-47h13m19s</t>
  </si>
  <si>
    <t>very bright, large, pretty much extended, very suddenly very much brighter middle equivalent to 10th magnitude star</t>
  </si>
  <si>
    <t>vB, L, pmE, vsvmbM * 10</t>
  </si>
  <si>
    <t>NGC1434</t>
  </si>
  <si>
    <t>3h46m12.8s</t>
  </si>
  <si>
    <t>-9h40m59s</t>
  </si>
  <si>
    <t>extremely faint, small, round, 8.5 magnitude star 25 seconds of time to east and 3 arcmin to north</t>
  </si>
  <si>
    <t>eF, S, R, * 8.5 f 25s, n 3'</t>
  </si>
  <si>
    <t>NGC1435</t>
  </si>
  <si>
    <t>昴宿五星云</t>
  </si>
  <si>
    <t>3h46m10s</t>
  </si>
  <si>
    <t>+23h45m54s</t>
  </si>
  <si>
    <t>very faint, very large, diffuse (Merope)</t>
  </si>
  <si>
    <t>vF, vL, dif (Merope)</t>
  </si>
  <si>
    <t>NGC1436</t>
  </si>
  <si>
    <t>3h43m37.1s</t>
  </si>
  <si>
    <t>-35h51m15s</t>
  </si>
  <si>
    <t>a globular cluster, very bright, pretty much extended, pretty gradually brighter middle</t>
  </si>
  <si>
    <t>globular, vB, pmE, pgbM</t>
  </si>
  <si>
    <t>NGC1437</t>
  </si>
  <si>
    <t>F, vL, R, glbM</t>
  </si>
  <si>
    <t>NGC1438</t>
  </si>
  <si>
    <t>3h45m17.1s</t>
  </si>
  <si>
    <t>-23h0m8s</t>
  </si>
  <si>
    <t>extremely faint, much extended, nuclear, 10th magnitude star 1 arcmin to east</t>
  </si>
  <si>
    <t>eF, mE, N, * 10 f 1'</t>
  </si>
  <si>
    <t>NGC1439</t>
  </si>
  <si>
    <t>3h44m49.8s</t>
  </si>
  <si>
    <t>-21h55m13s</t>
  </si>
  <si>
    <t>faint, pretty small, gradually pretty much brighter middle</t>
  </si>
  <si>
    <t>F, pS, gpmbM</t>
  </si>
  <si>
    <t>NGC1440</t>
  </si>
  <si>
    <t>3h45m2.9s</t>
  </si>
  <si>
    <t>-18h15m59s</t>
  </si>
  <si>
    <t>pretty bright, pretty small, round, suddenly much brighter middle equivalent to 13th magnitude star</t>
  </si>
  <si>
    <t>pB, pS, R, smbM * 13</t>
  </si>
  <si>
    <t>NGC1441</t>
  </si>
  <si>
    <t>3h45m43s</t>
  </si>
  <si>
    <t>-4h5m30s</t>
  </si>
  <si>
    <t>very faint, small, irregularly extended, 12th magnitude star to east</t>
  </si>
  <si>
    <t>vF, S, iE, * 12 f</t>
  </si>
  <si>
    <t>NGC1442</t>
  </si>
  <si>
    <t>pB, vS, bM (? = II 458)</t>
  </si>
  <si>
    <t>NGC1443</t>
  </si>
  <si>
    <t>3h45m53.1s</t>
  </si>
  <si>
    <t>-4h3m8s</t>
  </si>
  <si>
    <t>very faint, northeast of II 597</t>
  </si>
  <si>
    <t>vF, nf II 597</t>
  </si>
  <si>
    <t>NGC1444</t>
  </si>
  <si>
    <t>3h49m25s</t>
  </si>
  <si>
    <t>+52h39m18s</t>
  </si>
  <si>
    <t>a cluster of about 30 stars from 12th to 14th magnitude</t>
  </si>
  <si>
    <t>Cl of ab 30 st 12…14</t>
  </si>
  <si>
    <t>NGC1445</t>
  </si>
  <si>
    <t>3h44m56.2s</t>
  </si>
  <si>
    <t>-9h51m21s</t>
  </si>
  <si>
    <t>very faint, small, round, 9th magnitude star 2 arcmin to northwest</t>
  </si>
  <si>
    <t>vF, S, R, * 9 np 2'</t>
  </si>
  <si>
    <t>NGC1446</t>
  </si>
  <si>
    <t>3h45m57.5s</t>
  </si>
  <si>
    <t>-4h6m42s</t>
  </si>
  <si>
    <t>extremely faint, east of II 597</t>
  </si>
  <si>
    <t>eF, f II 597</t>
  </si>
  <si>
    <t>NGC1447</t>
  </si>
  <si>
    <t>3h45m47.1s</t>
  </si>
  <si>
    <t>-9h1m6s</t>
  </si>
  <si>
    <t>very faint, small, round, nebulous?, 7th or 8th magnitude star 3 arcmin to east</t>
  </si>
  <si>
    <t>vF, S, R, neb? * 7·8 f 3'</t>
  </si>
  <si>
    <t>NGC1448</t>
  </si>
  <si>
    <t>3h44m31.3s</t>
  </si>
  <si>
    <t>-44h38m45s</t>
  </si>
  <si>
    <t>pretty bright, large, very much extended 222°</t>
  </si>
  <si>
    <t>pB, L, vmE 222°</t>
  </si>
  <si>
    <t>NGC1449</t>
  </si>
  <si>
    <t>3h46m3s</t>
  </si>
  <si>
    <t>-4h8m17s</t>
  </si>
  <si>
    <t>very faint, very small, very little extended</t>
  </si>
  <si>
    <t>vF, vS, vlE</t>
  </si>
  <si>
    <t>NGC1450</t>
  </si>
  <si>
    <t>3h45m36.5s</t>
  </si>
  <si>
    <t>-9h14m5s</t>
  </si>
  <si>
    <t>extremely faint, pretty small, round (perhaps double? distance 0.4 arcmin)</t>
  </si>
  <si>
    <t>eF, pS, R (? D, dist 0'.4)</t>
  </si>
  <si>
    <t>NGC1451</t>
  </si>
  <si>
    <t>3h46m7.1s</t>
  </si>
  <si>
    <t>-4h4m9s</t>
  </si>
  <si>
    <t>NGC1452</t>
  </si>
  <si>
    <t>3h45m22.3s</t>
  </si>
  <si>
    <t>-18h37m59s</t>
  </si>
  <si>
    <t>faint, round, a little brighter middle</t>
  </si>
  <si>
    <t>F, R, lbM</t>
  </si>
  <si>
    <t>NGC1453</t>
  </si>
  <si>
    <t>3h46m27.2s</t>
  </si>
  <si>
    <t>-3h58m8s</t>
  </si>
  <si>
    <t>pretty bright, small, round, 17th magnitude star in middle</t>
  </si>
  <si>
    <t>pB, S, R, * 17 m</t>
  </si>
  <si>
    <t>NGC1454</t>
  </si>
  <si>
    <t>3h45m59.3s</t>
  </si>
  <si>
    <t>-20h39m6s</t>
  </si>
  <si>
    <t>very faint, extremely small, round, (perhaps a star?), magnitude 9.5 star 3 arcmin to southwest</t>
  </si>
  <si>
    <t>vF, eS, R, (? *), * 9.5 sp 3'</t>
  </si>
  <si>
    <t>NGC1455</t>
  </si>
  <si>
    <t>vF, S, lE 30°, sbMN</t>
  </si>
  <si>
    <t>NGC1456</t>
  </si>
  <si>
    <t>3h48m8.3s</t>
  </si>
  <si>
    <t>+22h33m30s</t>
  </si>
  <si>
    <t>double star of magnitudes 10 to 12, companion nebulous (130° position angle, 9 arcsec separation)</t>
  </si>
  <si>
    <t>D * 10-12, comp nebulous (130°, 9")</t>
  </si>
  <si>
    <t>NGC1457</t>
  </si>
  <si>
    <t>pretty faint, pretty large, extremely extended 42°, very gradually pretty much brighter middle</t>
  </si>
  <si>
    <t>pF, pL, eE 42°, vgpmbM</t>
  </si>
  <si>
    <t>NGC1458</t>
  </si>
  <si>
    <t>very faint, very small, round, planetary nebula? nebulous?</t>
  </si>
  <si>
    <t>vF, vS, R, planetary? neb?</t>
  </si>
  <si>
    <t>NGC1459</t>
  </si>
  <si>
    <t>3h46m57.9s</t>
  </si>
  <si>
    <t>-25h31m17s</t>
  </si>
  <si>
    <t>extremely faint, pretty small, gradually brighter middle</t>
  </si>
  <si>
    <t>eF, pS, gbM</t>
  </si>
  <si>
    <t>NGC1460</t>
  </si>
  <si>
    <t>3h46m13.6s</t>
  </si>
  <si>
    <t>-36h41m48s</t>
  </si>
  <si>
    <t>faint, small, round, star attached</t>
  </si>
  <si>
    <t>F, S, R, * att</t>
  </si>
  <si>
    <t>NGC1461</t>
  </si>
  <si>
    <t>3h48m27.1s</t>
  </si>
  <si>
    <t>-16h23m34s</t>
  </si>
  <si>
    <t>pretty bright, small, a little extended, much brighter middle and nucleus</t>
  </si>
  <si>
    <t>pB, S, lE, mbMN</t>
  </si>
  <si>
    <t>NGC1462</t>
  </si>
  <si>
    <t>3h50m23.4s</t>
  </si>
  <si>
    <t>+6h58m23s</t>
  </si>
  <si>
    <t>very faint, small, very little extended</t>
  </si>
  <si>
    <t>vF, S, vlE</t>
  </si>
  <si>
    <t>NGC1463</t>
  </si>
  <si>
    <t>3h46m15.5s</t>
  </si>
  <si>
    <t>-59h48m37s</t>
  </si>
  <si>
    <t>considerably faint, small, round, gradually a little brighter middle, among 7 bright stars</t>
  </si>
  <si>
    <t>cF, S, R, glbM, am 7 B st</t>
  </si>
  <si>
    <t>NGC1464</t>
  </si>
  <si>
    <t>3h51m24.4s</t>
  </si>
  <si>
    <t>-15h24m8s</t>
  </si>
  <si>
    <t>pretty faint, small, round, 2 stars near</t>
  </si>
  <si>
    <t>NGC1465</t>
  </si>
  <si>
    <t>3h53m31.9s</t>
  </si>
  <si>
    <t>+32h29m34s</t>
  </si>
  <si>
    <t>pretty faint, pretty small, round, pretty bright star near to west</t>
  </si>
  <si>
    <t>pF, pS, R, pB * nr p</t>
  </si>
  <si>
    <t>NGC1466</t>
  </si>
  <si>
    <t>3h44m33.4s</t>
  </si>
  <si>
    <t>-71h40m18s</t>
  </si>
  <si>
    <t>pretty faint, pretty small, irregularly round, gradually a little brighter middle, 7th magnitude star to east</t>
  </si>
  <si>
    <t>pF, pS, iR, glbM, * 7 f</t>
  </si>
  <si>
    <t>NGC1467</t>
  </si>
  <si>
    <t>3h51m52.7s</t>
  </si>
  <si>
    <t>-8h50m16s</t>
  </si>
  <si>
    <t>extremely faint, very small, round, 9th magnitude star 4 arcmin to south</t>
  </si>
  <si>
    <t>eF, vS, R, * 9 s 4'</t>
  </si>
  <si>
    <t>NGC1468</t>
  </si>
  <si>
    <t>3h52m12.5s</t>
  </si>
  <si>
    <t>-6h20m55s</t>
  </si>
  <si>
    <t>NGC1469</t>
  </si>
  <si>
    <t>鹿豹座</t>
  </si>
  <si>
    <t>CAM</t>
  </si>
  <si>
    <t>4h0m27.8s</t>
  </si>
  <si>
    <t>+68h34m39s</t>
  </si>
  <si>
    <t>very faint, very small, round, bright star near</t>
  </si>
  <si>
    <t>vF, vS, R, B * nr</t>
  </si>
  <si>
    <t>NGC1470</t>
  </si>
  <si>
    <t>3h52m9.8s</t>
  </si>
  <si>
    <t>-9h0m0s</t>
  </si>
  <si>
    <t>extremely faint, small, extended 0°</t>
  </si>
  <si>
    <t>eF, S, E 0°</t>
  </si>
  <si>
    <t>NGC1471</t>
  </si>
  <si>
    <t>vF, vS, E 45°</t>
  </si>
  <si>
    <t>NGC1472</t>
  </si>
  <si>
    <t>3h53m47.3s</t>
  </si>
  <si>
    <t>-8h34m5s</t>
  </si>
  <si>
    <t>very faint, extremely small, stellar nucleus, 1st of 3</t>
  </si>
  <si>
    <t>vF, eS, stell N, 1st of 3</t>
  </si>
  <si>
    <t>NGC1473</t>
  </si>
  <si>
    <t>3h47m26.2s</t>
  </si>
  <si>
    <t>-68h13m14s</t>
  </si>
  <si>
    <t>considerably faint, pretty large, round, gradually a very little brighter middle</t>
  </si>
  <si>
    <t>cF, pL, R, gvlbM</t>
  </si>
  <si>
    <t>NGC1474</t>
  </si>
  <si>
    <t>3h54m30.3s</t>
  </si>
  <si>
    <t>+10h42m25s</t>
  </si>
  <si>
    <t>NGC1475</t>
  </si>
  <si>
    <t>3h53m49.8s</t>
  </si>
  <si>
    <t>-8h8m15s</t>
  </si>
  <si>
    <t>extremely faint, extremely small, round, 14th magnitude star 4 arcmin to northwest</t>
  </si>
  <si>
    <t>eF, eS, R, * 14 np 4'</t>
  </si>
  <si>
    <t>NGC1476</t>
  </si>
  <si>
    <t>3h52m8.6s</t>
  </si>
  <si>
    <t>-44h31m56s</t>
  </si>
  <si>
    <t>considerably faint, small, extended 90°, gradually brighter middle</t>
  </si>
  <si>
    <t>cF, S, E 90°, gbM</t>
  </si>
  <si>
    <t>NGC1477</t>
  </si>
  <si>
    <t>3h54m2.8s</t>
  </si>
  <si>
    <t>-8h34m28s</t>
  </si>
  <si>
    <t>extremely faint, very small, 2nd of 3</t>
  </si>
  <si>
    <t>eF, vS, 2nd of 3</t>
  </si>
  <si>
    <t>NGC1478</t>
  </si>
  <si>
    <t>3h54m7.3s</t>
  </si>
  <si>
    <t>-8h33m18s</t>
  </si>
  <si>
    <t>extremely faint, very small. 3rd of 3</t>
  </si>
  <si>
    <t>eF, vS, 3rd of 3</t>
  </si>
  <si>
    <t>NGC1479</t>
  </si>
  <si>
    <t>3h54m20.4s</t>
  </si>
  <si>
    <t>-10h12m31s</t>
  </si>
  <si>
    <t>extremely faint, small, extended, western of 2</t>
  </si>
  <si>
    <t>eF, S, E, p of 2</t>
  </si>
  <si>
    <t>NGC1480</t>
  </si>
  <si>
    <t>3h54m32s</t>
  </si>
  <si>
    <t>-10h15m30s</t>
  </si>
  <si>
    <t>extremely faint, small, irregularly round, eastern of 2 (the other being NGC 1479), 10th magnitude star 30 seconds of time to east</t>
  </si>
  <si>
    <t>eF, S, iR, f of 2, * 10 f 30s</t>
  </si>
  <si>
    <t>NGC1481</t>
  </si>
  <si>
    <t>3h54m28.9s</t>
  </si>
  <si>
    <t>-20h25m36s</t>
  </si>
  <si>
    <t>extremely faint, small, round, 2 bright stars to east, western of 2</t>
  </si>
  <si>
    <t>eF, S, R, 2 B st f, p of 2</t>
  </si>
  <si>
    <t>NGC1482</t>
  </si>
  <si>
    <t>3h54m38.9s</t>
  </si>
  <si>
    <t>-20h30m7s</t>
  </si>
  <si>
    <t>faint, small, very little extended, 2 stars of 10th magnitude near, eastern of 2</t>
  </si>
  <si>
    <t>F, S, vlE, 2 st 10 nr, f of 2</t>
  </si>
  <si>
    <t>NGC1483</t>
  </si>
  <si>
    <t>3h52m47.7s</t>
  </si>
  <si>
    <t>-47h28m42s</t>
  </si>
  <si>
    <t>considerably faint, pretty large, round, very gradually a little brighter middle</t>
  </si>
  <si>
    <t>cF, pL, R, vglbM</t>
  </si>
  <si>
    <t>NGC1484</t>
  </si>
  <si>
    <t>3h54m17.4s</t>
  </si>
  <si>
    <t>-36h58m15s</t>
  </si>
  <si>
    <t>very faint, large, extended, very gradually a very little brighter middle</t>
  </si>
  <si>
    <t>vF, L, E, vgvlbM</t>
  </si>
  <si>
    <t>NGC1485</t>
  </si>
  <si>
    <t>4h5m3.4s</t>
  </si>
  <si>
    <t>+70h59m48s</t>
  </si>
  <si>
    <t>NGC1486</t>
  </si>
  <si>
    <t>3h56m18.8s</t>
  </si>
  <si>
    <t>-21h49m15s</t>
  </si>
  <si>
    <t>NGC1487</t>
  </si>
  <si>
    <t>3h55m45s</t>
  </si>
  <si>
    <t>-42h22m4s</t>
  </si>
  <si>
    <t>pretty bright, pretty large, round, gradually brighter middle, 2 stars in a triangle (with the object)</t>
  </si>
  <si>
    <t>pB, pL, R, gbM, 2 st form a Δ</t>
  </si>
  <si>
    <t>NGC1488</t>
  </si>
  <si>
    <t>4h0m4.7s</t>
  </si>
  <si>
    <t>+18h34m0s</t>
  </si>
  <si>
    <t>a 12th magnitude star involved in nebulosity (Auwers 19)</t>
  </si>
  <si>
    <t>* 12 inv in Neb (Auw 19)</t>
  </si>
  <si>
    <t>NGC1489</t>
  </si>
  <si>
    <t>3h57m38.1s</t>
  </si>
  <si>
    <t>-19h13m2s</t>
  </si>
  <si>
    <t>extremely faint, pretty small, extended 190</t>
  </si>
  <si>
    <t>eF, pS, E 190°</t>
  </si>
  <si>
    <t>NGC1490</t>
  </si>
  <si>
    <t>3h53m34.1s</t>
  </si>
  <si>
    <t>-66h1m5s</t>
  </si>
  <si>
    <t>pretty bright, small, very little extended, pretty much brighter middle</t>
  </si>
  <si>
    <t>pB, S, vlE, pmbM</t>
  </si>
  <si>
    <t>NGC1491</t>
  </si>
  <si>
    <t>化石足迹星云</t>
  </si>
  <si>
    <t>4h3m13.5s</t>
  </si>
  <si>
    <t>+51h18m58s</t>
  </si>
  <si>
    <t>very bright, small, irregular figure, brighter middle, mottled but not resolved, star involved</t>
  </si>
  <si>
    <t>vB, S, iF, bM, r, * inv</t>
  </si>
  <si>
    <t>NGC1492</t>
  </si>
  <si>
    <t>3h58m13.1s</t>
  </si>
  <si>
    <t>-35h26m45s</t>
  </si>
  <si>
    <t>NGC1493</t>
  </si>
  <si>
    <t>3h57m27.5s</t>
  </si>
  <si>
    <t>-46h12m42s</t>
  </si>
  <si>
    <t>faint, considerably large, round, very gradually a little brighter middle</t>
  </si>
  <si>
    <t>F, cL, R, vglbM</t>
  </si>
  <si>
    <t>NGC1494</t>
  </si>
  <si>
    <t>3h57m42.5s</t>
  </si>
  <si>
    <t>-48h54m34s</t>
  </si>
  <si>
    <t>faint, large, round, very gradually a very little brighter middle, 3 stars to north</t>
  </si>
  <si>
    <t>F, L, R, vgvlbM, 3 st n</t>
  </si>
  <si>
    <t>NGC1495</t>
  </si>
  <si>
    <t>3h58m21.4s</t>
  </si>
  <si>
    <t>-44h27m57s</t>
  </si>
  <si>
    <t>extremely faint, small, a little extended 90°, very gradually a very little brighter middle</t>
  </si>
  <si>
    <t>eF, S, lE 90°, vgvlbM</t>
  </si>
  <si>
    <t>NGC1496</t>
  </si>
  <si>
    <t>4h4m31.8s</t>
  </si>
  <si>
    <t>+52h39m41s</t>
  </si>
  <si>
    <t>a cluster, segment of a ring</t>
  </si>
  <si>
    <t>Cl, segment of a ring</t>
  </si>
  <si>
    <t>NGC1497</t>
  </si>
  <si>
    <t>4h2m6.8s</t>
  </si>
  <si>
    <t>+23h8m0s</t>
  </si>
  <si>
    <t>extremely faint, very small, irregularly round, much brighter middle</t>
  </si>
  <si>
    <t>eF, vS, iR, mbM</t>
  </si>
  <si>
    <t>NGC1498</t>
  </si>
  <si>
    <t>4h3m6.8s</t>
  </si>
  <si>
    <t>-11h49m38s</t>
  </si>
  <si>
    <t>a cluster, small, compressed</t>
  </si>
  <si>
    <t>Cl, S, C</t>
  </si>
  <si>
    <t>NGC1499</t>
  </si>
  <si>
    <t>加利福尼亚星云</t>
  </si>
  <si>
    <t>4h1m10s</t>
  </si>
  <si>
    <t>very faint, very large, extended north-south, diffuse</t>
  </si>
  <si>
    <t>vF, vL, E ns, dif</t>
  </si>
  <si>
    <t>NGC1500</t>
  </si>
  <si>
    <t>DOR</t>
  </si>
  <si>
    <t>3h58m14s</t>
  </si>
  <si>
    <t>-52h19m42s</t>
  </si>
  <si>
    <t>faint, very small, round, pretty much brighter middle, 8th magnitude star to northwest</t>
  </si>
  <si>
    <t>F, vS, R, pmbM, * 8 np</t>
  </si>
  <si>
    <t>NGC1501</t>
  </si>
  <si>
    <t>骆驼之眼星云</t>
  </si>
  <si>
    <t>4h6m59.4s</t>
  </si>
  <si>
    <t>+60h55m17s</t>
  </si>
  <si>
    <t>a planetary, pretty bright, pretty small, very little extended, 1 arcmin diameter</t>
  </si>
  <si>
    <t>planetary, pB, pS, vlE, 1' diam</t>
  </si>
  <si>
    <t>NGC1502</t>
  </si>
  <si>
    <t>海盗旗星团</t>
  </si>
  <si>
    <t>4h7m49.2s</t>
  </si>
  <si>
    <t>+62h19m54s</t>
  </si>
  <si>
    <t>a cluster, pretty rich, considerably compressed, irregular figure</t>
  </si>
  <si>
    <t>Cl, pRi, cC, iF</t>
  </si>
  <si>
    <t>NGC1503</t>
  </si>
  <si>
    <t>3h56m33.3s</t>
  </si>
  <si>
    <t>-66h2m26s</t>
  </si>
  <si>
    <t>extremely faint, pretty small, round, 10th magnitude star to northwest</t>
  </si>
  <si>
    <t>eF, pS, R, * 10 np</t>
  </si>
  <si>
    <t>NGC1504</t>
  </si>
  <si>
    <t>4h2m29.6s</t>
  </si>
  <si>
    <t>-9h20m6s</t>
  </si>
  <si>
    <t>NGC1505</t>
  </si>
  <si>
    <t>4h2m36.3s</t>
  </si>
  <si>
    <t>-9h19m19s</t>
  </si>
  <si>
    <t>NGC1506</t>
  </si>
  <si>
    <t>4h0m21.6s</t>
  </si>
  <si>
    <t>-52h34m24s</t>
  </si>
  <si>
    <t>very most extremely faint, small, round, between 2 stars of magnitude 12 and 13</t>
  </si>
  <si>
    <t>eeeF, S, R, bet 2 st 12 and 13</t>
  </si>
  <si>
    <t>NGC1507</t>
  </si>
  <si>
    <t>4h4m27.2s</t>
  </si>
  <si>
    <t>-2h11m19s</t>
  </si>
  <si>
    <t>very faint, pretty large, much extended, a very little brighter middle, extremely mottled but not resolved</t>
  </si>
  <si>
    <t>vF, pL, mE, vlbM, er</t>
  </si>
  <si>
    <t>NGC1508</t>
  </si>
  <si>
    <t>4h5m47.6s</t>
  </si>
  <si>
    <t>+25h24m33s</t>
  </si>
  <si>
    <t>very faint, very small, round, brighter middle, mottled but not resolved</t>
  </si>
  <si>
    <t>vF, vS, R, bM, r</t>
  </si>
  <si>
    <t>NGC1509</t>
  </si>
  <si>
    <t>4h3m55.1s</t>
  </si>
  <si>
    <t>-11h10m43s</t>
  </si>
  <si>
    <t>very faint, very small, a little extended, faint star near to west</t>
  </si>
  <si>
    <t>vF, vS, lE, F * nr p</t>
  </si>
  <si>
    <t>NGC1510</t>
  </si>
  <si>
    <t>4h3m32.5s</t>
  </si>
  <si>
    <t>-43h23m59s</t>
  </si>
  <si>
    <t>faint, pretty large, round, very gradually much brighter middle</t>
  </si>
  <si>
    <t>F, pL, R, vgmbM</t>
  </si>
  <si>
    <t>NGC1511</t>
  </si>
  <si>
    <t>3h59m36.8s</t>
  </si>
  <si>
    <t>-67h38m5s</t>
  </si>
  <si>
    <t>pretty bright, pretty small, much extended 121.5°, gradually brighter middle</t>
  </si>
  <si>
    <t>pB, pS, mE 121°.5 gbM</t>
  </si>
  <si>
    <t>NGC1512</t>
  </si>
  <si>
    <t>4h3m54s</t>
  </si>
  <si>
    <t>-43h20m56s</t>
  </si>
  <si>
    <t>a globular cluster, bright, considerably large, round, brighter middle, partially resolved, some stars seen</t>
  </si>
  <si>
    <t>globular, B, cL, R, bM, rr</t>
  </si>
  <si>
    <t>NGC1513</t>
  </si>
  <si>
    <t>II1m</t>
  </si>
  <si>
    <t>4h9m57s</t>
  </si>
  <si>
    <t>+49h30m54s</t>
  </si>
  <si>
    <t>a cluster, large, very rich, pretty compressed, stars very large</t>
  </si>
  <si>
    <t>Cl, L, vRi, pC, st vL</t>
  </si>
  <si>
    <t>NGC1514</t>
  </si>
  <si>
    <t>水晶球星云</t>
  </si>
  <si>
    <t>4h9m17s</t>
  </si>
  <si>
    <t>+30h46m35s</t>
  </si>
  <si>
    <t>9th magnitude star in a 3 arcmin diameter nebula</t>
  </si>
  <si>
    <t>* 9m in neb 3' diam</t>
  </si>
  <si>
    <t>NGC1515</t>
  </si>
  <si>
    <t>4h4m2.1s</t>
  </si>
  <si>
    <t>-54h6m0s</t>
  </si>
  <si>
    <t>bright, large, very much extended 10°, brighter middle</t>
  </si>
  <si>
    <t>B, L, vmE 10°, bM</t>
  </si>
  <si>
    <t>NGC1516</t>
  </si>
  <si>
    <t>4h8m7.5s</t>
  </si>
  <si>
    <t>-8h49m46s</t>
  </si>
  <si>
    <t>most extremely faint, small, extended, pretty suddenly much brighter middle, extremely mottled but not resolved</t>
  </si>
  <si>
    <t>eeF, S, E, psmbM, er</t>
  </si>
  <si>
    <t>NGC1517</t>
  </si>
  <si>
    <t>4h9m11.9s</t>
  </si>
  <si>
    <t>+8h38m56s</t>
  </si>
  <si>
    <t>very faint, very small, round, mottled but not resolved, 9th or 10th magnitude star to southeast</t>
  </si>
  <si>
    <t>vF, vS, R, r, * 9, 10 sf</t>
  </si>
  <si>
    <t>NGC1518</t>
  </si>
  <si>
    <t>4h6m49s</t>
  </si>
  <si>
    <t>-21h10m46s</t>
  </si>
  <si>
    <t>bright, large, pretty much extended, gradually brighter middle, 8th magnitude star to southwest</t>
  </si>
  <si>
    <t>B, L, pmE, gbM, * 8 sp</t>
  </si>
  <si>
    <t>NGC1519</t>
  </si>
  <si>
    <t>4h8m7.2s</t>
  </si>
  <si>
    <t>-17h11m34s</t>
  </si>
  <si>
    <t>very faint, small, a little extended, very small star involved</t>
  </si>
  <si>
    <t>vF, S, lE, vS * inv</t>
  </si>
  <si>
    <t>NGC1520</t>
  </si>
  <si>
    <t>山案座</t>
  </si>
  <si>
    <t>MEN</t>
  </si>
  <si>
    <t>3h57m51.1s</t>
  </si>
  <si>
    <t>-76h48m20s</t>
  </si>
  <si>
    <t>a cluster, pretty large, a little rich, stars of 9th to 10th magnitude</t>
  </si>
  <si>
    <t>Cl, pL, lRi, st 9-10</t>
  </si>
  <si>
    <t>NGC1521</t>
  </si>
  <si>
    <t>4h8m18.7s</t>
  </si>
  <si>
    <t>-21h3m6s</t>
  </si>
  <si>
    <t>NGC1522</t>
  </si>
  <si>
    <t>4h6m7.6s</t>
  </si>
  <si>
    <t>-52h40m10s</t>
  </si>
  <si>
    <t>extremely faint, very small, round, very little brighter middle</t>
  </si>
  <si>
    <t>eF, vS, R, vlbM</t>
  </si>
  <si>
    <t>NGC1523</t>
  </si>
  <si>
    <t>4h6m11s</t>
  </si>
  <si>
    <t>-54h5m16s</t>
  </si>
  <si>
    <t>NGC1524</t>
  </si>
  <si>
    <t>eF, pS, R, gbM, D neb 340°, 0'.5</t>
  </si>
  <si>
    <t>NGC1525</t>
  </si>
  <si>
    <t>4h8m8.2s</t>
  </si>
  <si>
    <t>-8h50m5s</t>
  </si>
  <si>
    <t>NGC1526</t>
  </si>
  <si>
    <t>4h5m12.3s</t>
  </si>
  <si>
    <t>-65h50m24s</t>
  </si>
  <si>
    <t>extremely faint, very small, round, gradually a little brighter middle</t>
  </si>
  <si>
    <t>eF, vS, R, glbM</t>
  </si>
  <si>
    <t>NGC1527</t>
  </si>
  <si>
    <t>4h8m24.1s</t>
  </si>
  <si>
    <t>-47h53m48s</t>
  </si>
  <si>
    <t>pretty bright, pretty small, extended 77°, very suddenly much bright middle and round nucleus</t>
  </si>
  <si>
    <t>pB, pS, E 77°, vsmbMRN</t>
  </si>
  <si>
    <t>NGC1528</t>
  </si>
  <si>
    <t>M&amp;M双星团</t>
  </si>
  <si>
    <t>4h15m19s</t>
  </si>
  <si>
    <t>+51h12m42s</t>
  </si>
  <si>
    <t>a cluster, bright, very rich, considerably compressed</t>
  </si>
  <si>
    <t>Cl, B, vRi, cC</t>
  </si>
  <si>
    <t>NGC1529</t>
  </si>
  <si>
    <t>4h7m19.9s</t>
  </si>
  <si>
    <t>-62h53m58s</t>
  </si>
  <si>
    <t>NGC1530</t>
  </si>
  <si>
    <t>4h23m26.9s</t>
  </si>
  <si>
    <t>+75h17m40s</t>
  </si>
  <si>
    <t>pretty bright, large</t>
  </si>
  <si>
    <t>pB, L</t>
  </si>
  <si>
    <t>NGC1531</t>
  </si>
  <si>
    <t>4h11m59.1s</t>
  </si>
  <si>
    <t>-32h51m3s</t>
  </si>
  <si>
    <t>pretty bright, pretty large, round, brighter middle, northwestern of 2</t>
  </si>
  <si>
    <t>pB, pL, R, bM, np of 2</t>
  </si>
  <si>
    <t>NGC1532</t>
  </si>
  <si>
    <t>4h12m3.8s</t>
  </si>
  <si>
    <t>-32h52m23s</t>
  </si>
  <si>
    <t>bright, very large, very much extended 32°, pretty suddenly much brighter middle</t>
  </si>
  <si>
    <t>B, vL, vmE 32°, psmbM</t>
  </si>
  <si>
    <t>NGC1533</t>
  </si>
  <si>
    <t>4h9m51.9s</t>
  </si>
  <si>
    <t>-56h7m4s</t>
  </si>
  <si>
    <t>very bright, very large, round, suddenly much brighter middle, 2 stars of magnitude 10 to northeast</t>
  </si>
  <si>
    <t>vB, vL, R, smbM, 2 st 10 nf</t>
  </si>
  <si>
    <t>NGC1534</t>
  </si>
  <si>
    <t>4h8m46.2s</t>
  </si>
  <si>
    <t>-62h47m50s</t>
  </si>
  <si>
    <t>faint, small, round, very small star 3/4 of a degree to southeast</t>
  </si>
  <si>
    <t>F, S, R, vS * ?d sf</t>
  </si>
  <si>
    <t>NGC1535</t>
  </si>
  <si>
    <t>埃及艳后之眼星云</t>
  </si>
  <si>
    <t>4h14m15.8s</t>
  </si>
  <si>
    <t>-12h44m20s</t>
  </si>
  <si>
    <t>a planetary nebula, very bright, small, round, pretty suddenly or very suddenly brighter middle, mottled but not resolved</t>
  </si>
  <si>
    <t>planetary, vB, S, R, ps, vsbM, r</t>
  </si>
  <si>
    <t>NGC1536</t>
  </si>
  <si>
    <t>4h11m0.2s</t>
  </si>
  <si>
    <t>-56h28m57s</t>
  </si>
  <si>
    <t>very faint, round, pretty large, very little brighter middle</t>
  </si>
  <si>
    <t>vF, R, pL, vlbM</t>
  </si>
  <si>
    <t>NGC1537</t>
  </si>
  <si>
    <t>4h13m40.7s</t>
  </si>
  <si>
    <t>-31h38m44s</t>
  </si>
  <si>
    <t>very bright, pretty small, a little extended, pretty suddenly very much brighter middle</t>
  </si>
  <si>
    <t>vB, pS, lE, psvmbM</t>
  </si>
  <si>
    <t>NGC1538</t>
  </si>
  <si>
    <t>4h14m56s</t>
  </si>
  <si>
    <t>-13h11m29s</t>
  </si>
  <si>
    <t>NGC1539</t>
  </si>
  <si>
    <t>4h19m1.9s</t>
  </si>
  <si>
    <t>+26h49m39s</t>
  </si>
  <si>
    <t>NGC1540</t>
  </si>
  <si>
    <t>4h15m10.2s</t>
  </si>
  <si>
    <t>-28h28m46s</t>
  </si>
  <si>
    <t>very faint, very small, extended, gradually a very little brighter middle, mottled but not resolved</t>
  </si>
  <si>
    <t>vF, vS, E, gvlbM, r</t>
  </si>
  <si>
    <t>NGC1541</t>
  </si>
  <si>
    <t>4h17m0.2s</t>
  </si>
  <si>
    <t>+0h50m7s</t>
  </si>
  <si>
    <t>NGC1542</t>
  </si>
  <si>
    <t>4h17m14.1s</t>
  </si>
  <si>
    <t>+4h46m55s</t>
  </si>
  <si>
    <t>NGC1543</t>
  </si>
  <si>
    <t>4h12m43.1s</t>
  </si>
  <si>
    <t>-57h44m14s</t>
  </si>
  <si>
    <t>bright, pretty large, extended, suddenly much brighter middle and nucleus equal to an 11th magnitude star</t>
  </si>
  <si>
    <t>B, pL, E, smbMN = * 11</t>
  </si>
  <si>
    <t>NGC1544</t>
  </si>
  <si>
    <t>5h2m36.2s</t>
  </si>
  <si>
    <t>+86h13m22s</t>
  </si>
  <si>
    <t>NGC1545</t>
  </si>
  <si>
    <t>4h20m56.2s</t>
  </si>
  <si>
    <t>+50h15m19s</t>
  </si>
  <si>
    <t>a cluster, pretty rich, a little compressed, stars large</t>
  </si>
  <si>
    <t>Cl, pRi, lC, st L</t>
  </si>
  <si>
    <t>NGC1546</t>
  </si>
  <si>
    <t>4h14m36.7s</t>
  </si>
  <si>
    <t>-56h3m37s</t>
  </si>
  <si>
    <t>pretty bright, a little extended, gradually brighter middle and extended nucleus, double star to west</t>
  </si>
  <si>
    <t>pB, lE, gbMEN, ** p</t>
  </si>
  <si>
    <t>NGC1547</t>
  </si>
  <si>
    <t>4h17m12.3s</t>
  </si>
  <si>
    <t>-17h51m27s</t>
  </si>
  <si>
    <t>pretty faint, pretty small, irregularly round (a cluster or nebula with stars involved?)</t>
  </si>
  <si>
    <t>pF, pS, iR (? Cl or neb w st inv)</t>
  </si>
  <si>
    <t>NGC1548</t>
  </si>
  <si>
    <t>4h20m49.6s</t>
  </si>
  <si>
    <t>+36h53m55s</t>
  </si>
  <si>
    <t>a cluster, very large, a little rich, a little compressed, stars from 10th to 12th magnitude</t>
  </si>
  <si>
    <t>Cl, vL, lRi, lC, st 10…12</t>
  </si>
  <si>
    <t>NGC1549</t>
  </si>
  <si>
    <t>4h15m45s</t>
  </si>
  <si>
    <t>-55h35m29s</t>
  </si>
  <si>
    <t>bright, pretty small, round</t>
  </si>
  <si>
    <t>B, pS, R</t>
  </si>
  <si>
    <t>NGC1550</t>
  </si>
  <si>
    <t>4h19m38.1s</t>
  </si>
  <si>
    <t>+2h24m34s</t>
  </si>
  <si>
    <t>very faint, small, round, 13th magnitude star near</t>
  </si>
  <si>
    <t>vF, S, R, * 13 nr</t>
  </si>
  <si>
    <t>NGC1551</t>
  </si>
  <si>
    <t>F, vS, R, probably = 835</t>
  </si>
  <si>
    <t>NGC1552</t>
  </si>
  <si>
    <t>4h20m17.6s</t>
  </si>
  <si>
    <t>-0h41m33s</t>
  </si>
  <si>
    <t>considerably faint, pretty small, a little extended, very gradually brighter middle, 11th magnitude star to southwest</t>
  </si>
  <si>
    <t>cF, pS, lE, vgbM, * 11 sp</t>
  </si>
  <si>
    <t>NGC1553</t>
  </si>
  <si>
    <t>4h16m10.6s</t>
  </si>
  <si>
    <t>-55h46m46s</t>
  </si>
  <si>
    <t>very bright, pretty small, round, gradually much brighter middle, among 3 stars</t>
  </si>
  <si>
    <t>vB, pS, R, gmbM, am 3 st</t>
  </si>
  <si>
    <t>NGC1554</t>
  </si>
  <si>
    <t>斯特鲁维遗失星云</t>
  </si>
  <si>
    <t>4h21m43.5s</t>
  </si>
  <si>
    <t>+19h31m16s</t>
  </si>
  <si>
    <t>a magnificent or otherwise interesting object, variable, small, round, with a northern nucleus equivalent to a 13th magnitude star</t>
  </si>
  <si>
    <t>!!! var, S, R, Nn = * 13</t>
  </si>
  <si>
    <t>NGC1555</t>
  </si>
  <si>
    <t>欣德变光星云</t>
  </si>
  <si>
    <t>4h21m56.7s</t>
  </si>
  <si>
    <t>+19h32m4s</t>
  </si>
  <si>
    <t>a magnificent or otherwise interesting object, very faint, small, variable (Auwers 20)</t>
  </si>
  <si>
    <t>!!! vF, S, variable (Auw 20)</t>
  </si>
  <si>
    <t>NGC1556</t>
  </si>
  <si>
    <t>4h17m44.7s</t>
  </si>
  <si>
    <t>-50h9m51s</t>
  </si>
  <si>
    <t>considerably faint, small, round, very gradually a little brighter middle</t>
  </si>
  <si>
    <t>cF, S, R, vglbM</t>
  </si>
  <si>
    <t>NGC1557</t>
  </si>
  <si>
    <t>4h13m14s</t>
  </si>
  <si>
    <t>-70h30m30s</t>
  </si>
  <si>
    <t>a cluster, very little compressed, about 20 scattered stars</t>
  </si>
  <si>
    <t>Cl, vlC, ab 20 sc st</t>
  </si>
  <si>
    <t>NGC1558</t>
  </si>
  <si>
    <t>雕具座</t>
  </si>
  <si>
    <t>CAE</t>
  </si>
  <si>
    <t>4h20m15.7s</t>
  </si>
  <si>
    <t>-45h1m52s</t>
  </si>
  <si>
    <t>pretty faint, small, extended, gradually brighter middle</t>
  </si>
  <si>
    <t>pF, S, E, gbM</t>
  </si>
  <si>
    <t>NGC1559</t>
  </si>
  <si>
    <t>4h17m36.7s</t>
  </si>
  <si>
    <t>-62h47m2s</t>
  </si>
  <si>
    <t>very bright, very large, much extended, very gradually pretty much brighter middle, 14th magnitude star attached on north</t>
  </si>
  <si>
    <t>vB, vL, mE, vgpmbM, * 14 att n</t>
  </si>
  <si>
    <t>NGC1560</t>
  </si>
  <si>
    <t>4h32m47.5s</t>
  </si>
  <si>
    <t>+71h52m46s</t>
  </si>
  <si>
    <t>very faint, large, extended, 9.3 magnitude star to southwest</t>
  </si>
  <si>
    <t>vF, L, E, * 9.3 sp</t>
  </si>
  <si>
    <t>NGC1561</t>
  </si>
  <si>
    <t>4h23m1s</t>
  </si>
  <si>
    <t>-15h50m43s</t>
  </si>
  <si>
    <t>very faint, very small, a little extended 170°, gradually a little brighter middle, 8th magnitude star 6 seconds to west</t>
  </si>
  <si>
    <t>vF, vS, lE 170°, glbM, * 8 p 6s</t>
  </si>
  <si>
    <t>NGC1562</t>
  </si>
  <si>
    <t>4h21m47.6s</t>
  </si>
  <si>
    <t>-15h45m19s</t>
  </si>
  <si>
    <t>very faint, extremely small, round, gradually a little brighter middle</t>
  </si>
  <si>
    <t>vF, eS, R, glbM</t>
  </si>
  <si>
    <t>NGC1563</t>
  </si>
  <si>
    <t>4h22m53.9s</t>
  </si>
  <si>
    <t>-15h43m58s</t>
  </si>
  <si>
    <t>extremely faint, very small, round, a little brighter middle, a double nebula with NGC 1564</t>
  </si>
  <si>
    <t>eF, vS, R, lbM, D</t>
  </si>
  <si>
    <t>NGC1564</t>
  </si>
  <si>
    <t>4h23m0.9s</t>
  </si>
  <si>
    <t>-15h44m20s</t>
  </si>
  <si>
    <t>extremely faint, very small, round, a little brighter middle, a double nebula with NGC 1563</t>
  </si>
  <si>
    <t>NGC1565</t>
  </si>
  <si>
    <t>4h23m23.6s</t>
  </si>
  <si>
    <t>-15h44m41s</t>
  </si>
  <si>
    <t>NGC1566</t>
  </si>
  <si>
    <t>4h20m0.5s</t>
  </si>
  <si>
    <t>-54h56m14s</t>
  </si>
  <si>
    <t>bright, very large, very gradually then suddenly very much brighter middle, 15 seconds of time diameter in RA</t>
  </si>
  <si>
    <t>B, vL, vg, svmbM, 15s d in RA</t>
  </si>
  <si>
    <t>NGC1567</t>
  </si>
  <si>
    <t>4h21m8.7s</t>
  </si>
  <si>
    <t>-48h15m17s</t>
  </si>
  <si>
    <t>NGC1568</t>
  </si>
  <si>
    <t>4h24m20.6s</t>
  </si>
  <si>
    <t>-0h44m17s</t>
  </si>
  <si>
    <t>extremely faint, very small, round, nearly between 2 stars</t>
  </si>
  <si>
    <t>eF, vS, R, nearly bet 2 st</t>
  </si>
  <si>
    <t>NGC1569</t>
  </si>
  <si>
    <t>4h30m49.1s</t>
  </si>
  <si>
    <t>+64h50m53s</t>
  </si>
  <si>
    <t>pretty bright, small, a little extended, brighter nucleus and middle, 9.5 magnitude star 1 arcmin to north</t>
  </si>
  <si>
    <t>pB, S, lE, bNM, * 9.5 n 1'</t>
  </si>
  <si>
    <t>NGC1570</t>
  </si>
  <si>
    <t>4h22m8.9s</t>
  </si>
  <si>
    <t>-43h37m48s</t>
  </si>
  <si>
    <t>NGC1571</t>
  </si>
  <si>
    <t>vF, S, R, gbM, ** nf</t>
  </si>
  <si>
    <t>NGC1572</t>
  </si>
  <si>
    <t>4h22m42.7s</t>
  </si>
  <si>
    <t>-40h36m4s</t>
  </si>
  <si>
    <t>pretty faint, small, round, 13th magnitude star 1 arcmin to northeast</t>
  </si>
  <si>
    <t>pF, S, R, * 13 nf 1'</t>
  </si>
  <si>
    <t>NGC1573</t>
  </si>
  <si>
    <t>4h35m4.2s</t>
  </si>
  <si>
    <t>+73h15m47s</t>
  </si>
  <si>
    <t>very faint, small, magnitude 9.5 star to east</t>
  </si>
  <si>
    <t>vF, S, * 9.5 f</t>
  </si>
  <si>
    <t>NGC1574</t>
  </si>
  <si>
    <t>4h21m58.6s</t>
  </si>
  <si>
    <t>-56h58m28s</t>
  </si>
  <si>
    <t>pretty bright, small, round, pretty gradually brighter middle, 2 small (faint) stars to southeast</t>
  </si>
  <si>
    <t>pB, S, R, pgbM, 2 S st sf</t>
  </si>
  <si>
    <t>NGC1575</t>
  </si>
  <si>
    <t>4h26m20.5s</t>
  </si>
  <si>
    <t>-10h5m56s</t>
  </si>
  <si>
    <t>very faint, pretty small, round, 9.5 magnitude star 2 arcmin to south</t>
  </si>
  <si>
    <t>vF, pS, R, * 9.5 s 2'</t>
  </si>
  <si>
    <t>NGC1576</t>
  </si>
  <si>
    <t>4h26m18.7s</t>
  </si>
  <si>
    <t>-3h37m15s</t>
  </si>
  <si>
    <t>extremely faint, brighter middle, between 2 stars</t>
  </si>
  <si>
    <t>eF, bM, bet 2 st</t>
  </si>
  <si>
    <t>NGC1577</t>
  </si>
  <si>
    <t>vF, pL, R, lbM, * nr s</t>
  </si>
  <si>
    <t>NGC1578</t>
  </si>
  <si>
    <t>4h23m46.7s</t>
  </si>
  <si>
    <t>-51h35m58s</t>
  </si>
  <si>
    <t>NGC1579</t>
  </si>
  <si>
    <t>北三裂星云</t>
  </si>
  <si>
    <t>4h30m14.2s</t>
  </si>
  <si>
    <t>+35h16m47s</t>
  </si>
  <si>
    <t>pretty bright, very large, irregularly round, much brighter middle, 8th magnitude star 2 arcmin distant at position angle 350°</t>
  </si>
  <si>
    <t>pB, vL, iR, mbM, * 8 350°, 2'</t>
  </si>
  <si>
    <t>NGC1580</t>
  </si>
  <si>
    <t>4h28m18.4s</t>
  </si>
  <si>
    <t>-5h10m45s</t>
  </si>
  <si>
    <t>very faint, very small, round, mottled but not resolved</t>
  </si>
  <si>
    <t>vF, vS, R, r</t>
  </si>
  <si>
    <t>NGC1581</t>
  </si>
  <si>
    <t>4h24m44.9s</t>
  </si>
  <si>
    <t>-54h56m32s</t>
  </si>
  <si>
    <t>faint, small, extended, gradually a little brighter middle</t>
  </si>
  <si>
    <t>F, S, E, glbM</t>
  </si>
  <si>
    <t>NGC1582</t>
  </si>
  <si>
    <t>4h31m39s</t>
  </si>
  <si>
    <t>+43h44m36s</t>
  </si>
  <si>
    <t>a cluster, very large, pretty rich, a little compressed, stars large (bright)</t>
  </si>
  <si>
    <t>Cl, vL, pRi, lC, st L</t>
  </si>
  <si>
    <t>NGC1583</t>
  </si>
  <si>
    <t>4h28m20.7s</t>
  </si>
  <si>
    <t>-17h35m46s</t>
  </si>
  <si>
    <t>faint, very small, round, suddenly brighter middle and nucleus</t>
  </si>
  <si>
    <t>F, vS, R, sbMN</t>
  </si>
  <si>
    <t>NGC1584</t>
  </si>
  <si>
    <t>4h28m10.2s</t>
  </si>
  <si>
    <t>-17h31m26s</t>
  </si>
  <si>
    <t>faint, extremely small, round, suddenly brighter middle and nucleus</t>
  </si>
  <si>
    <t>F, eS, R, sbMN</t>
  </si>
  <si>
    <t>NGC1585</t>
  </si>
  <si>
    <t>4h27m33s</t>
  </si>
  <si>
    <t>-42h9m54s</t>
  </si>
  <si>
    <t>pretty faint, small, round, gradually brighter middle, 12th magnitude star at position angle 287.8°</t>
  </si>
  <si>
    <t>pF, S, R, gbM, * 12, 287°.8</t>
  </si>
  <si>
    <t>NGC1586</t>
  </si>
  <si>
    <t>4h30m38.2s</t>
  </si>
  <si>
    <t>-0h18m19s</t>
  </si>
  <si>
    <t>very faint, irregular figure, very little brighter middle, between a double star and a 14th magnitude star</t>
  </si>
  <si>
    <t>vF, iF, vlbM, bet ** &amp; * 14</t>
  </si>
  <si>
    <t>NGC1587</t>
  </si>
  <si>
    <t>4h30m40s</t>
  </si>
  <si>
    <t>+0h39m45s</t>
  </si>
  <si>
    <t>faint, pretty small, round, mottled but not resolved, western of double nebula</t>
  </si>
  <si>
    <t>F, pS, R, r, p of D neb</t>
  </si>
  <si>
    <t>NGC1588</t>
  </si>
  <si>
    <t>4h30m43.7s</t>
  </si>
  <si>
    <t>+0h39m55s</t>
  </si>
  <si>
    <t>faint, very small, round, mottled but not resolved, eastern of double nebula</t>
  </si>
  <si>
    <t>F, vS, R, r, f of D neb</t>
  </si>
  <si>
    <t>NGC1589</t>
  </si>
  <si>
    <t>4h30m45.4s</t>
  </si>
  <si>
    <t>+0h51m48s</t>
  </si>
  <si>
    <t>faint, pretty large, a little extended 132°, a star 80 arcsec distant at position angle 42°</t>
  </si>
  <si>
    <t>F, pL, lE 132°, * 42°, 80"</t>
  </si>
  <si>
    <t>NGC1590</t>
  </si>
  <si>
    <t>4h31m10.2s</t>
  </si>
  <si>
    <t>+7h37m51s</t>
  </si>
  <si>
    <t>faint, small, 12th magnitude star to northeast</t>
  </si>
  <si>
    <t>F, S, * 12 nf</t>
  </si>
  <si>
    <t>NGC1591</t>
  </si>
  <si>
    <t>4h29m30.7s</t>
  </si>
  <si>
    <t>-26h42m46s</t>
  </si>
  <si>
    <t>NGC1592</t>
  </si>
  <si>
    <t>4h29m40.7s</t>
  </si>
  <si>
    <t>-27h24m29s</t>
  </si>
  <si>
    <t>NGC1593</t>
  </si>
  <si>
    <t>4h32m6.1s</t>
  </si>
  <si>
    <t>+0h34m4s</t>
  </si>
  <si>
    <t>NGC1594</t>
  </si>
  <si>
    <t>4h30m51.5s</t>
  </si>
  <si>
    <t>-5h47m52s</t>
  </si>
  <si>
    <t>NGC1595</t>
  </si>
  <si>
    <t>雕具座星系群</t>
  </si>
  <si>
    <t>4h28m21.6s</t>
  </si>
  <si>
    <t>-47h48m55s</t>
  </si>
  <si>
    <t>NGC1596</t>
  </si>
  <si>
    <t>4h27m38s</t>
  </si>
  <si>
    <t>-55h1m35s</t>
  </si>
  <si>
    <t>bright, pretty large, much extended 15°, suddenly much brighter middle, western of 2</t>
  </si>
  <si>
    <t>B, pL, mE 15°, smbM, p of 2</t>
  </si>
  <si>
    <t>NGC1597</t>
  </si>
  <si>
    <t>4h31m13.4s</t>
  </si>
  <si>
    <t>-11h17m24s</t>
  </si>
  <si>
    <t>NGC1598</t>
  </si>
  <si>
    <t>4h28m33.4s</t>
  </si>
  <si>
    <t>-47h46m57s</t>
  </si>
  <si>
    <t>NGC1599</t>
  </si>
  <si>
    <t>4h31m38.8s</t>
  </si>
  <si>
    <t>-4h35m19s</t>
  </si>
  <si>
    <t>NGC1600</t>
  </si>
  <si>
    <t>4h31m39.9s</t>
  </si>
  <si>
    <t>-5h5m14s</t>
  </si>
  <si>
    <t>NGC1601</t>
  </si>
  <si>
    <t>4h31m41.7s</t>
  </si>
  <si>
    <t>-5h3m35s</t>
  </si>
  <si>
    <t>NGC1602</t>
  </si>
  <si>
    <t>4h27m54.4s</t>
  </si>
  <si>
    <t>-55h3m24s</t>
  </si>
  <si>
    <t>extremely faint, pretty large, a little extended, the following (eastern) of 2</t>
  </si>
  <si>
    <t>eF, pL, lE, f of 2</t>
  </si>
  <si>
    <t>NGC1603</t>
  </si>
  <si>
    <t>4h31m49.9s</t>
  </si>
  <si>
    <t>-5h5m38s</t>
  </si>
  <si>
    <t>NGC1604</t>
  </si>
  <si>
    <t>4h31m58.5s</t>
  </si>
  <si>
    <t>-5h22m10s</t>
  </si>
  <si>
    <t>extremely faint, small, round, between a star and a double star</t>
  </si>
  <si>
    <t>eF, S, R, bet * and D *</t>
  </si>
  <si>
    <t>NGC1605</t>
  </si>
  <si>
    <t>4h34m52.2s</t>
  </si>
  <si>
    <t>+45h16m17s</t>
  </si>
  <si>
    <t>cluster, very faint, pretty small, compressed, stars extremely small</t>
  </si>
  <si>
    <t>Cl, vF, pS, C, st eS</t>
  </si>
  <si>
    <t>NGC1606</t>
  </si>
  <si>
    <t>4h32m3.3s</t>
  </si>
  <si>
    <t>-5h1m55s</t>
  </si>
  <si>
    <t>NGC1607</t>
  </si>
  <si>
    <t>4h32m3.1s</t>
  </si>
  <si>
    <t>-4h27m38s</t>
  </si>
  <si>
    <t>NGC1608</t>
  </si>
  <si>
    <t>pretty faint, considerably small, 12th magnitude star 2 arcmin to north</t>
  </si>
  <si>
    <t>pF, eS, * 12 m 2' n</t>
  </si>
  <si>
    <t>NGC1609</t>
  </si>
  <si>
    <t>4h32m45s</t>
  </si>
  <si>
    <t>-4h22m19s</t>
  </si>
  <si>
    <t>very faint, extremely small, 17th magnitude star 45 arcsec to north</t>
  </si>
  <si>
    <t>vF, eS, * 17 45" n</t>
  </si>
  <si>
    <t>NGC1610</t>
  </si>
  <si>
    <t>4h32m44.7s</t>
  </si>
  <si>
    <t>-4h34m55s</t>
  </si>
  <si>
    <t>NGC1611</t>
  </si>
  <si>
    <t>4h33m5.8s</t>
  </si>
  <si>
    <t>-4h17m49s</t>
  </si>
  <si>
    <t>extremely faint, small, extended 90°±</t>
  </si>
  <si>
    <t>eF, S, E 90° ±</t>
  </si>
  <si>
    <t>NGC1612</t>
  </si>
  <si>
    <t>4h33m13.1s</t>
  </si>
  <si>
    <t>-4h10m19s</t>
  </si>
  <si>
    <t>very faint, very small, round, gradually much brighter middle</t>
  </si>
  <si>
    <t>vF, vS, R, gmbM</t>
  </si>
  <si>
    <t>NGC1613</t>
  </si>
  <si>
    <t>4h33m25.3s</t>
  </si>
  <si>
    <t>-4h15m54s</t>
  </si>
  <si>
    <t>faint, very small, round, much brighter middle</t>
  </si>
  <si>
    <t>F, vS, R, mbM</t>
  </si>
  <si>
    <t>NGC1614</t>
  </si>
  <si>
    <t>4h33m59.8s</t>
  </si>
  <si>
    <t>-8h34m45s</t>
  </si>
  <si>
    <t>pretty faint, small, round, a little brighter middle</t>
  </si>
  <si>
    <t>pF, S, R, lbM</t>
  </si>
  <si>
    <t>NGC1615</t>
  </si>
  <si>
    <t>4h36m1.9s</t>
  </si>
  <si>
    <t>+19h57m3s</t>
  </si>
  <si>
    <t>very faint, very small, round, a little brighter middle, very small star involved</t>
  </si>
  <si>
    <t>vF, vS, R, lbM, vS * inv</t>
  </si>
  <si>
    <t>NGC1616</t>
  </si>
  <si>
    <t>4h32m41.9s</t>
  </si>
  <si>
    <t>-43h42m54s</t>
  </si>
  <si>
    <t>faint, small, extended, very gradually a little brighter middle</t>
  </si>
  <si>
    <t>F, S, E, vglbM</t>
  </si>
  <si>
    <t>NGC1617</t>
  </si>
  <si>
    <t>4h31m39.5s</t>
  </si>
  <si>
    <t>-54h36m7s</t>
  </si>
  <si>
    <t>bright, large, much extended 106°, very gradually then very suddenly much brighter middle and nucleus 5 arcsec (across)</t>
  </si>
  <si>
    <t>B, L, mE 106°, vg, vsmbMN 5"</t>
  </si>
  <si>
    <t>NGC1618</t>
  </si>
  <si>
    <t>4h36m6.6s</t>
  </si>
  <si>
    <t>-3h8m55s</t>
  </si>
  <si>
    <t>faint, small, irregular figure, little brighter middle, 2 stars to southeast</t>
  </si>
  <si>
    <t>F, S, iF, lbM, 2 st sf</t>
  </si>
  <si>
    <t>NGC1619</t>
  </si>
  <si>
    <t>4h36m11.4s</t>
  </si>
  <si>
    <t>-4h49m57s</t>
  </si>
  <si>
    <t>most extremely faint, small, round</t>
  </si>
  <si>
    <t>NGC1620</t>
  </si>
  <si>
    <t>4h36m37.2s</t>
  </si>
  <si>
    <t>-0h8m39s</t>
  </si>
  <si>
    <t>very faint, pretty large, much extended 140°, bright double star to northeast</t>
  </si>
  <si>
    <t>vF, pL, mE 140°, B ** nf</t>
  </si>
  <si>
    <t>NGC1621</t>
  </si>
  <si>
    <t>4h36m25s</t>
  </si>
  <si>
    <t>-4h59m12s</t>
  </si>
  <si>
    <t>extremely faint, small, round, little brighter middle</t>
  </si>
  <si>
    <t>NGC1622</t>
  </si>
  <si>
    <t>4h36m36.6s</t>
  </si>
  <si>
    <t>-3h11m18s</t>
  </si>
  <si>
    <t>very faint, small, 20th magnitude star 5 seconds of time to west, (WH) II 524 to west</t>
  </si>
  <si>
    <t>vF, S, * 20 p 5s, II 524 p</t>
  </si>
  <si>
    <t>NGC1623</t>
  </si>
  <si>
    <t>4h35m32.2s</t>
  </si>
  <si>
    <t>-13h33m23s</t>
  </si>
  <si>
    <t>extremely faint, very small, round, gradually brighter middle and nucleus</t>
  </si>
  <si>
    <t>eF, vS, R, gbMN</t>
  </si>
  <si>
    <t>NGC1624</t>
  </si>
  <si>
    <t>I2pn</t>
  </si>
  <si>
    <t>4h40m36.4s</t>
  </si>
  <si>
    <t>+50h27m42s</t>
  </si>
  <si>
    <t>faint, considerably large, irregular figure, 6 or 7 stars plus nebula</t>
  </si>
  <si>
    <t>F, cL, iF, 6 or 7 st + neb</t>
  </si>
  <si>
    <t>NGC1625</t>
  </si>
  <si>
    <t>4h37m6.3s</t>
  </si>
  <si>
    <t>-3h18m14s</t>
  </si>
  <si>
    <t>very faint, extended 141°, suddenly brighter middle, faint star attached on northwest, 6th magnitude star 48 seconds of time to west</t>
  </si>
  <si>
    <t>vF, E 141°, sbM, F * att np, * 6 p 48s</t>
  </si>
  <si>
    <t>NGC1626</t>
  </si>
  <si>
    <t>eF, vS, R, * 8 np</t>
  </si>
  <si>
    <t>NGC1627</t>
  </si>
  <si>
    <t>4h37m37.9s</t>
  </si>
  <si>
    <t>-4h53m17s</t>
  </si>
  <si>
    <t>extremely faint, pretty large, round, 2 stars to southeast, southern of 2</t>
  </si>
  <si>
    <t>eF, pL, R, 2 st sf, s of 2</t>
  </si>
  <si>
    <t>NGC1628</t>
  </si>
  <si>
    <t>4h37m36.1s</t>
  </si>
  <si>
    <t>-4h42m57s</t>
  </si>
  <si>
    <t>very faint, pretty small, much extended north south, northern of 2</t>
  </si>
  <si>
    <t>vF, pS, mE ns, n of 2</t>
  </si>
  <si>
    <t>NGC1629</t>
  </si>
  <si>
    <t>4h29m37s</t>
  </si>
  <si>
    <t>-71h50m18s</t>
  </si>
  <si>
    <t>NGC1630</t>
  </si>
  <si>
    <t>4h37m15.4s</t>
  </si>
  <si>
    <t>-18h54m7s</t>
  </si>
  <si>
    <t>NGC1631</t>
  </si>
  <si>
    <t>4h38m24.1s</t>
  </si>
  <si>
    <t>-20h39m1s</t>
  </si>
  <si>
    <t>nebula; no description</t>
  </si>
  <si>
    <t>Neb. No description</t>
  </si>
  <si>
    <t>NGC1632</t>
  </si>
  <si>
    <t>4h39m58.5s</t>
  </si>
  <si>
    <t>-9h27m21s</t>
  </si>
  <si>
    <t>NGC1633</t>
  </si>
  <si>
    <t>4h40m9.1s</t>
  </si>
  <si>
    <t>+7h20m59s</t>
  </si>
  <si>
    <t>extremely faint, small, round, 8th magnitude star to southwest, preceding (western) of double nebula</t>
  </si>
  <si>
    <t>eF, S, R, * 8 sp, p of D neb</t>
  </si>
  <si>
    <t>NGC1634</t>
  </si>
  <si>
    <t>4h40m9.8s</t>
  </si>
  <si>
    <t>+7h20m20s</t>
  </si>
  <si>
    <t>extremely faint, very small, following (eastern) of double nebula</t>
  </si>
  <si>
    <t>eF, vS, f of D neb</t>
  </si>
  <si>
    <t>NGC1635</t>
  </si>
  <si>
    <t>4h40m7.9s</t>
  </si>
  <si>
    <t>-0h32m50s</t>
  </si>
  <si>
    <t>faint, small, round, brighter middle, 11th magnitude star 12.5 seconds of time to northeast</t>
  </si>
  <si>
    <t>F, S, R, bM, * 11 nf 12s.5</t>
  </si>
  <si>
    <t>NGC1636</t>
  </si>
  <si>
    <t>4h40m40.2s</t>
  </si>
  <si>
    <t>-8h36m28s</t>
  </si>
  <si>
    <t>very faint, pretty small, round, very gradually brighter middle, mottled but not resolved, star 1 arcmin to northeast</t>
  </si>
  <si>
    <t>vF, pS, R, vgbM, r, * nf 1'</t>
  </si>
  <si>
    <t>NGC1637</t>
  </si>
  <si>
    <t>4h41m28.2s</t>
  </si>
  <si>
    <t>-2h51m28s</t>
  </si>
  <si>
    <t>considerably bright, large, round, very gradually brighter middle</t>
  </si>
  <si>
    <t>cB, L, R, vgbM</t>
  </si>
  <si>
    <t>NGC1638</t>
  </si>
  <si>
    <t>4h41m36.4s</t>
  </si>
  <si>
    <t>-1h48m30s</t>
  </si>
  <si>
    <t>faint, pretty large, a little extended</t>
  </si>
  <si>
    <t>F, pL, lE</t>
  </si>
  <si>
    <t>NGC1639</t>
  </si>
  <si>
    <t>4h40m52.3s</t>
  </si>
  <si>
    <t>-16h59m29s</t>
  </si>
  <si>
    <t>extremely faint, very small, round, between 2 stars</t>
  </si>
  <si>
    <t>eF, vS, R, bet 2 st</t>
  </si>
  <si>
    <t>NGC1640</t>
  </si>
  <si>
    <t>4h42m14.5s</t>
  </si>
  <si>
    <t>-20h26m5s</t>
  </si>
  <si>
    <t>very faint, pretty small, extended 40°, gradually brighter middle</t>
  </si>
  <si>
    <t>vF, pS, E 40°, gbM</t>
  </si>
  <si>
    <t>NGC1641</t>
  </si>
  <si>
    <t>4h35m38s</t>
  </si>
  <si>
    <t>-65h46m6s</t>
  </si>
  <si>
    <t>cluster, pretty large, pretty rich, pretty much compressed, stars from 11th to 16th magnitude</t>
  </si>
  <si>
    <t>Cl, pL, pRi, pmC, st 11…16</t>
  </si>
  <si>
    <t>NGC1642</t>
  </si>
  <si>
    <t>4h42m54.9s</t>
  </si>
  <si>
    <t>+0h37m8s</t>
  </si>
  <si>
    <t>faint, round, cometary, making a triangle with two 18th magnitude stars to the east</t>
  </si>
  <si>
    <t>F, R, Cometary, Δ with 2 st 18, f</t>
  </si>
  <si>
    <t>NGC1643</t>
  </si>
  <si>
    <t>4h43m43.9s</t>
  </si>
  <si>
    <t>-5h19m8s</t>
  </si>
  <si>
    <t>extremely faint, very small, irregularly round, brighter middle</t>
  </si>
  <si>
    <t>eF, vS, iR, bM</t>
  </si>
  <si>
    <t>NGC1644</t>
  </si>
  <si>
    <t>4h37m39.6s</t>
  </si>
  <si>
    <t>-66h11m49s</t>
  </si>
  <si>
    <t>NGC1645</t>
  </si>
  <si>
    <t>4h44m6.3s</t>
  </si>
  <si>
    <t>-5h27m54s</t>
  </si>
  <si>
    <t>very faint, pretty small, round (h 328 to northwest)</t>
  </si>
  <si>
    <t>vF, pS, R (h 328 np)</t>
  </si>
  <si>
    <t>NGC1646</t>
  </si>
  <si>
    <t>4h44m23.5s</t>
  </si>
  <si>
    <t>-8h31m53s</t>
  </si>
  <si>
    <t>faint, very small, irregularly round, brighter middle, 7th magnitude star to northwest</t>
  </si>
  <si>
    <t>F, vS, iR, bM, * 7 np</t>
  </si>
  <si>
    <t>NGC1647</t>
  </si>
  <si>
    <t>海盗之月星团</t>
  </si>
  <si>
    <t>4h45m42.2s</t>
  </si>
  <si>
    <t>+19h7m9s</t>
  </si>
  <si>
    <t>cluster, very large, large stars, scattered</t>
  </si>
  <si>
    <t>Cl, vL, st L, sc</t>
  </si>
  <si>
    <t>NGC1648</t>
  </si>
  <si>
    <t>4h44m34.7s</t>
  </si>
  <si>
    <t>-8h28m42s</t>
  </si>
  <si>
    <t>most extremely faint, pretty small, very difficult, (WH) II 523 to southwest</t>
  </si>
  <si>
    <t>eeF, pS, v diffic, II 523 sp</t>
  </si>
  <si>
    <t>NGC1649</t>
  </si>
  <si>
    <t>4h38m22.9s</t>
  </si>
  <si>
    <t>-68h40m23s</t>
  </si>
  <si>
    <t>NGC1650</t>
  </si>
  <si>
    <t>4h45m11.4s</t>
  </si>
  <si>
    <t>-15h52m12s</t>
  </si>
  <si>
    <t>very faint, pretty small, extended 0°, brighter middle and nucleus</t>
  </si>
  <si>
    <t>vF, pS, E 0°, bMN</t>
  </si>
  <si>
    <t>NGC1651</t>
  </si>
  <si>
    <t>4h37m32.7s</t>
  </si>
  <si>
    <t>-70h35m8s</t>
  </si>
  <si>
    <t>pretty faint, large, very little extended, very gradually a little brighter middle</t>
  </si>
  <si>
    <t>pF, L, vlE, vglbM</t>
  </si>
  <si>
    <t>NGC1652</t>
  </si>
  <si>
    <t>NGC1653</t>
  </si>
  <si>
    <t>4h45m47.5s</t>
  </si>
  <si>
    <t>-2h23m34s</t>
  </si>
  <si>
    <t>faint, considerably small, round, a little brighter middle</t>
  </si>
  <si>
    <t>F, cS, R, lbM</t>
  </si>
  <si>
    <t>NGC1654</t>
  </si>
  <si>
    <t>4h45m48.4s</t>
  </si>
  <si>
    <t>-2h5m0s</t>
  </si>
  <si>
    <t>faint, small, round, a little brighter middle, mottled but not resolved? western of 2</t>
  </si>
  <si>
    <t>F, S, R, lbM, r? p of 2</t>
  </si>
  <si>
    <t>NGC1655</t>
  </si>
  <si>
    <t>4h47m11.8s</t>
  </si>
  <si>
    <t>+20h55m25s</t>
  </si>
  <si>
    <t>pretty bright, round, gradually brighter middle, 10th magnitude star to south</t>
  </si>
  <si>
    <t>pB, R, gbM, * 10 s</t>
  </si>
  <si>
    <t>NGC1656</t>
  </si>
  <si>
    <t>4h45m53.3s</t>
  </si>
  <si>
    <t>-5h8m11s</t>
  </si>
  <si>
    <t>extremely faint, irregular figure?</t>
  </si>
  <si>
    <t>eF, iF ?</t>
  </si>
  <si>
    <t>NGC1657</t>
  </si>
  <si>
    <t>4h46m7.3s</t>
  </si>
  <si>
    <t>-2h4m37s</t>
  </si>
  <si>
    <t>fainter but larger than preceding (western) one</t>
  </si>
  <si>
    <t>Fainter but larger than p one</t>
  </si>
  <si>
    <t>NGC1658</t>
  </si>
  <si>
    <t>4h44m1.1s</t>
  </si>
  <si>
    <t>-41h27m49s</t>
  </si>
  <si>
    <t>faint, pretty small, pretty much extended, gradually a little brighter middle</t>
  </si>
  <si>
    <t>F, pS, pmE, glbM</t>
  </si>
  <si>
    <t>NGC1659</t>
  </si>
  <si>
    <t>4h46m30s</t>
  </si>
  <si>
    <t>-4h47m19s</t>
  </si>
  <si>
    <t>pretty faint, pretty small, irregularly extended 90°±, brighter middle</t>
  </si>
  <si>
    <t>pF, pS, iE 90° ±, bM</t>
  </si>
  <si>
    <t>NGC1660</t>
  </si>
  <si>
    <t>4h44m11.1s</t>
  </si>
  <si>
    <t>-41h29m52s</t>
  </si>
  <si>
    <t>NGC1661</t>
  </si>
  <si>
    <t>猎户座</t>
  </si>
  <si>
    <t>ORI</t>
  </si>
  <si>
    <t>4h47m7.7s</t>
  </si>
  <si>
    <t>-2h3m18s</t>
  </si>
  <si>
    <t>very faint, very small, brighter middle</t>
  </si>
  <si>
    <t>vF, vS, bM</t>
  </si>
  <si>
    <t>NGC1662</t>
  </si>
  <si>
    <t>I2p</t>
  </si>
  <si>
    <t>4h48m27s</t>
  </si>
  <si>
    <t>+10h55m48s</t>
  </si>
  <si>
    <t>a cluster of large (bright) and small (faint) scattered stars</t>
  </si>
  <si>
    <t>Cl of L &amp; S sc st</t>
  </si>
  <si>
    <t>NGC1663</t>
  </si>
  <si>
    <t>4h49m24.3s</t>
  </si>
  <si>
    <t>+13h8m27s</t>
  </si>
  <si>
    <t>a cluster, a little rich, stars large (bright) and small (faint)</t>
  </si>
  <si>
    <t>Cl, lRi, st L &amp; S</t>
  </si>
  <si>
    <t>NGC1664</t>
  </si>
  <si>
    <t>4-H 星团</t>
  </si>
  <si>
    <t>御夫座</t>
  </si>
  <si>
    <t>AUR</t>
  </si>
  <si>
    <t>4h51m5.4s</t>
  </si>
  <si>
    <t>+43h40m34s</t>
  </si>
  <si>
    <t>a cluster, a little rich, a little compressed, pretty large</t>
  </si>
  <si>
    <t>Cl, lRi, lC, pL</t>
  </si>
  <si>
    <t>NGC1665</t>
  </si>
  <si>
    <t>4h48m17s</t>
  </si>
  <si>
    <t>-5h25m38s</t>
  </si>
  <si>
    <t>extremely faint, pretty large, round, a little brighter middle</t>
  </si>
  <si>
    <t>eF, pL, R, lbM</t>
  </si>
  <si>
    <t>NGC1666</t>
  </si>
  <si>
    <t>4h48m32.8s</t>
  </si>
  <si>
    <t>-6h34m10s</t>
  </si>
  <si>
    <t>NGC1667</t>
  </si>
  <si>
    <t>4h48m37s</t>
  </si>
  <si>
    <t>-6h19m13s</t>
  </si>
  <si>
    <t>pretty faint, pretty small, round, mottled but not resolved?</t>
  </si>
  <si>
    <t>pF, pS, R, r?</t>
  </si>
  <si>
    <t>NGC1668</t>
  </si>
  <si>
    <t>4h46m5.9s</t>
  </si>
  <si>
    <t>-44h43m58s</t>
  </si>
  <si>
    <t>extremely faint, round, attached to 14th magnitude star</t>
  </si>
  <si>
    <t>eF, R, att to * 14</t>
  </si>
  <si>
    <t>NGC1669</t>
  </si>
  <si>
    <t>4h43m0s</t>
  </si>
  <si>
    <t>-65h48m51s</t>
  </si>
  <si>
    <t>NGC1670</t>
  </si>
  <si>
    <t>4h49m42.6s</t>
  </si>
  <si>
    <t>-2h45m36s</t>
  </si>
  <si>
    <t>NGC1671</t>
  </si>
  <si>
    <t>4h49m33.8s</t>
  </si>
  <si>
    <t>+0h15m12s</t>
  </si>
  <si>
    <t>NGC1672</t>
  </si>
  <si>
    <t>4h45m42.8s</t>
  </si>
  <si>
    <t>-59h14m52s</t>
  </si>
  <si>
    <t>bright, large, suddenly much brighter middle and nucleus</t>
  </si>
  <si>
    <t>B, L, smbMN</t>
  </si>
  <si>
    <t>NGC1673</t>
  </si>
  <si>
    <t>4h42m39.7s</t>
  </si>
  <si>
    <t>-69h49m17s</t>
  </si>
  <si>
    <t>very faint, small, attached to 10th magnitude star</t>
  </si>
  <si>
    <t>vF, S, att to * 10</t>
  </si>
  <si>
    <t>NGC1674</t>
  </si>
  <si>
    <t>4h52m25s</t>
  </si>
  <si>
    <t>+23h51m37s</t>
  </si>
  <si>
    <t>two faint nebulae in the same field</t>
  </si>
  <si>
    <t>Two F neb in same field</t>
  </si>
  <si>
    <t>NGC1675</t>
  </si>
  <si>
    <t>NGC1676</t>
  </si>
  <si>
    <t>4h43m54.2s</t>
  </si>
  <si>
    <t>-68h49m40s</t>
  </si>
  <si>
    <t>very faint, pretty large, irregularly round, mottled but not resolved</t>
  </si>
  <si>
    <t>vF, pL, iR, r</t>
  </si>
  <si>
    <t>NGC1677</t>
  </si>
  <si>
    <t>pF, pL, lE</t>
  </si>
  <si>
    <t>NGC1678</t>
  </si>
  <si>
    <t>4h51m35.4s</t>
  </si>
  <si>
    <t>-2h37m22s</t>
  </si>
  <si>
    <t>NGC1679</t>
  </si>
  <si>
    <t>4h49m55.5s</t>
  </si>
  <si>
    <t>-31h58m2s</t>
  </si>
  <si>
    <t>very bright, large, irregularly round, 4 stars involved</t>
  </si>
  <si>
    <t>vB, L, iR, 4 st inv</t>
  </si>
  <si>
    <t>NGC1680</t>
  </si>
  <si>
    <t>绘架座</t>
  </si>
  <si>
    <t>PIC</t>
  </si>
  <si>
    <t>4h48m33.7s</t>
  </si>
  <si>
    <t>-47h49m0s</t>
  </si>
  <si>
    <t>very faint, small, round, mottled but not resolved or star involved</t>
  </si>
  <si>
    <t>vF, S, R, r or st inv</t>
  </si>
  <si>
    <t>NGC1681</t>
  </si>
  <si>
    <t>4h51m50.1s</t>
  </si>
  <si>
    <t>-5h48m11s</t>
  </si>
  <si>
    <t>NGC1682</t>
  </si>
  <si>
    <t>4h52m19.7s</t>
  </si>
  <si>
    <t>-3h6m19s</t>
  </si>
  <si>
    <t>very faint, very small, II 528 twelve seconds± of time to east, 9th magnitude star 4.5 arcmin to south</t>
  </si>
  <si>
    <t>vF, vS, II 528 f 12s ±, * 9 s 4'.5</t>
  </si>
  <si>
    <t>NGC1683</t>
  </si>
  <si>
    <t>4h52m17.5s</t>
  </si>
  <si>
    <t>-3h1m27s</t>
  </si>
  <si>
    <t>NGC1684</t>
  </si>
  <si>
    <t>4h52m31.1s</t>
  </si>
  <si>
    <t>-3h6m20s</t>
  </si>
  <si>
    <t>pretty faint, pretty small, round, brighter middle, 9th magnitude star at position angle 225°±</t>
  </si>
  <si>
    <t>pF, pS, R, bM, * 9, 225° ±</t>
  </si>
  <si>
    <t>NGC1685</t>
  </si>
  <si>
    <t>4h52m34.2s</t>
  </si>
  <si>
    <t>-2h56m59s</t>
  </si>
  <si>
    <t>NGC1686</t>
  </si>
  <si>
    <t>4h52m54.7s</t>
  </si>
  <si>
    <t>-15h20m47s</t>
  </si>
  <si>
    <t>extremely faint, very small, much extended 30°</t>
  </si>
  <si>
    <t>eF, vS, mE 30°</t>
  </si>
  <si>
    <t>NGC1687</t>
  </si>
  <si>
    <t>4h51m21.1s</t>
  </si>
  <si>
    <t>-33h56m21s</t>
  </si>
  <si>
    <t>very faint, small, round, very gradually a little brighter middle</t>
  </si>
  <si>
    <t>vF, S, R, vglbM</t>
  </si>
  <si>
    <t>NGC1688</t>
  </si>
  <si>
    <t>4h48m23.5s</t>
  </si>
  <si>
    <t>-59h48m0s</t>
  </si>
  <si>
    <t>pretty bright, pretty large, irregularly round, pretty gradually much brighter middle</t>
  </si>
  <si>
    <t>pB, pL, iR, pgmbM</t>
  </si>
  <si>
    <t>NGC1689</t>
  </si>
  <si>
    <t>pB, pS, lE</t>
  </si>
  <si>
    <t>NGC1690</t>
  </si>
  <si>
    <t>4h54m19.3s</t>
  </si>
  <si>
    <t>+1h38m26s</t>
  </si>
  <si>
    <t>very faint, very small, among very small (faint) stars, large (bright) star to southwest</t>
  </si>
  <si>
    <t>vF, vS, am vS st, L * sp</t>
  </si>
  <si>
    <t>NGC1691</t>
  </si>
  <si>
    <t>4h54m38.3s</t>
  </si>
  <si>
    <t>+3h16m4s</t>
  </si>
  <si>
    <t>faint, small, 11th magnitude star involved</t>
  </si>
  <si>
    <t>F, S, * 11 inv</t>
  </si>
  <si>
    <t>NGC1692</t>
  </si>
  <si>
    <t>4h55m23.7s</t>
  </si>
  <si>
    <t>-20h34m16s</t>
  </si>
  <si>
    <t>NGC1693</t>
  </si>
  <si>
    <t>4h47m38.8s</t>
  </si>
  <si>
    <t>-69h20m37s</t>
  </si>
  <si>
    <t>NGC1694</t>
  </si>
  <si>
    <t>4h55m16.8s</t>
  </si>
  <si>
    <t>-4h39m8s</t>
  </si>
  <si>
    <t>NGC1695</t>
  </si>
  <si>
    <t>4h47m44.5s</t>
  </si>
  <si>
    <t>-69h22m26s</t>
  </si>
  <si>
    <t>NGC1696</t>
  </si>
  <si>
    <t>4h48m30s</t>
  </si>
  <si>
    <t>-68h14m35s</t>
  </si>
  <si>
    <t>very faint, extended, very little brighter middle</t>
  </si>
  <si>
    <t>vF, E, vlbM</t>
  </si>
  <si>
    <t>NGC1697</t>
  </si>
  <si>
    <t>4h48m36.4s</t>
  </si>
  <si>
    <t>-68h33m29s</t>
  </si>
  <si>
    <t>a globular cluster, pretty bright, large, round, partially resolved (some stars seen)</t>
  </si>
  <si>
    <t>globular, pB, L, R, rr</t>
  </si>
  <si>
    <t>NGC1698</t>
  </si>
  <si>
    <t>4h49m4.5s</t>
  </si>
  <si>
    <t>-69h6m49s</t>
  </si>
  <si>
    <t>pretty bright, pretty small, round, gradually a little brighter middle</t>
  </si>
  <si>
    <t>pB, pS, R, glbM</t>
  </si>
  <si>
    <t>NGC1699</t>
  </si>
  <si>
    <t>4h56m59.5s</t>
  </si>
  <si>
    <t>-4h45m26s</t>
  </si>
  <si>
    <t>most extremely faint, pretty small, round, between 2 stars, north of 932</t>
  </si>
  <si>
    <t>eeF, pS, R, bet 2 st, n of 932</t>
  </si>
  <si>
    <t>NGC1700</t>
  </si>
  <si>
    <t>4h56m56.2s</t>
  </si>
  <si>
    <t>-4h51m55s</t>
  </si>
  <si>
    <t>considerably bright, small, much brighter starlike middle</t>
  </si>
  <si>
    <t>cB, S, mbM *</t>
  </si>
  <si>
    <t>NGC1701</t>
  </si>
  <si>
    <t>4h55m51.1s</t>
  </si>
  <si>
    <t>-29h53m1s</t>
  </si>
  <si>
    <t>faint, small, very little extended, gradually a little brighter middle, 10th magnitude star 75 arcsec to southeast</t>
  </si>
  <si>
    <t>F, S, vlE, glbM, * 10, 75" sf</t>
  </si>
  <si>
    <t>NGC1702</t>
  </si>
  <si>
    <t>4h49m27.7s</t>
  </si>
  <si>
    <t>-69h51m3s</t>
  </si>
  <si>
    <t>cluster, very faint, small</t>
  </si>
  <si>
    <t>Cl, vF, S</t>
  </si>
  <si>
    <t>NGC1703</t>
  </si>
  <si>
    <t>4h52m51.9s</t>
  </si>
  <si>
    <t>-59h44m34s</t>
  </si>
  <si>
    <t>faint, large, round, very gradually a little brighter middle, double star attached</t>
  </si>
  <si>
    <t>F, L, R, vglbM, ** att</t>
  </si>
  <si>
    <t>NGC1704</t>
  </si>
  <si>
    <t>-69h45m23s</t>
  </si>
  <si>
    <t>faint, pretty small, a little extended, mottled but not resolved</t>
  </si>
  <si>
    <t>F, pS, lE, r</t>
  </si>
  <si>
    <t>NGC1705</t>
  </si>
  <si>
    <t>4h54m13.9s</t>
  </si>
  <si>
    <t>-53h21m38s</t>
  </si>
  <si>
    <t>pretty faint, small, round, pretty much brighter middle</t>
  </si>
  <si>
    <t>pF, S, R, pmbM</t>
  </si>
  <si>
    <t>NGC1706</t>
  </si>
  <si>
    <t>-62h59m10s</t>
  </si>
  <si>
    <t>faint, pretty small, round, very gradually a little brighter middle</t>
  </si>
  <si>
    <t>F, pS, R, vglbM</t>
  </si>
  <si>
    <t>NGC1707</t>
  </si>
  <si>
    <t>4h58m21.1s</t>
  </si>
  <si>
    <t>+8h14m20s</t>
  </si>
  <si>
    <t>small, round, well resolved, clearly consisting of stars</t>
  </si>
  <si>
    <t>S, R, rrr</t>
  </si>
  <si>
    <t>NGC1708</t>
  </si>
  <si>
    <t>5h3m27s</t>
  </si>
  <si>
    <t>+52h50m0s</t>
  </si>
  <si>
    <t>cluster, very large, pretty rich, a little compressed, large and small stars</t>
  </si>
  <si>
    <t>Cl, vL, pRi, lC, st L and S</t>
  </si>
  <si>
    <t>NGC1709</t>
  </si>
  <si>
    <t>4h58m44s</t>
  </si>
  <si>
    <t>-0h28m40s</t>
  </si>
  <si>
    <t>very faint, very small, northwest of (WH) II 516</t>
  </si>
  <si>
    <t>vF, vS, np II 516</t>
  </si>
  <si>
    <t>NGC1710</t>
  </si>
  <si>
    <t>天兔座</t>
  </si>
  <si>
    <t>LEP</t>
  </si>
  <si>
    <t>4h57m16.8s</t>
  </si>
  <si>
    <t>-15h17m20s</t>
  </si>
  <si>
    <t>very faint, very small, round, brighter middle and nucleus, 13th magnitude star involved</t>
  </si>
  <si>
    <t>vF, vS, R, bMN, * 13 inv</t>
  </si>
  <si>
    <t>NGC1711</t>
  </si>
  <si>
    <t>4h50m36.2s</t>
  </si>
  <si>
    <t>-69h59m8s</t>
  </si>
  <si>
    <t>globular cluster, bright, small, irregularly round, well resolved, clearly consisting of stars, stars of magnitude 14</t>
  </si>
  <si>
    <t>globular, B, S, iR, rrr, st 14</t>
  </si>
  <si>
    <t>NGC1712</t>
  </si>
  <si>
    <t>4h50m58.5s</t>
  </si>
  <si>
    <t>-69h24m27s</t>
  </si>
  <si>
    <t>cluster, pretty bright, small</t>
  </si>
  <si>
    <t>Cl, pB, S</t>
  </si>
  <si>
    <t>NGC1713</t>
  </si>
  <si>
    <t>4h58m54.7s</t>
  </si>
  <si>
    <t>-0h29m19s</t>
  </si>
  <si>
    <t>NGC1714</t>
  </si>
  <si>
    <t>4h52m8.4s</t>
  </si>
  <si>
    <t>-66h55m32s</t>
  </si>
  <si>
    <t>very bright, small, extended or bi-nuclear, brighter middle, southwestern of 2</t>
  </si>
  <si>
    <t>vB, S, E or bi-N, bM, sp of 2</t>
  </si>
  <si>
    <t>NGC1715</t>
  </si>
  <si>
    <t>4h52m10.5s</t>
  </si>
  <si>
    <t>-66h54m32s</t>
  </si>
  <si>
    <t>very faint, small, round, suddenly brighter middle, 2 stars near, northeastern of 2</t>
  </si>
  <si>
    <t>vF, S, R, sbM, 2 st nr, nf of 2</t>
  </si>
  <si>
    <t>NGC1716</t>
  </si>
  <si>
    <t>4h58m13.2s</t>
  </si>
  <si>
    <t>-20h21m48s</t>
  </si>
  <si>
    <t>pretty faint, pretty large, round, gradually a little brighter middle</t>
  </si>
  <si>
    <t>pF, pL, R, glbM</t>
  </si>
  <si>
    <t>NGC1717</t>
  </si>
  <si>
    <t>4h58m17.6s</t>
  </si>
  <si>
    <t>-0h14m58s</t>
  </si>
  <si>
    <t>np h 340 (? F *)</t>
  </si>
  <si>
    <t>NGC1718</t>
  </si>
  <si>
    <t>4h52m25.4s</t>
  </si>
  <si>
    <t>-67h3m3s</t>
  </si>
  <si>
    <t>NGC1719</t>
  </si>
  <si>
    <t>4h59m34.5s</t>
  </si>
  <si>
    <t>-0h15m38s</t>
  </si>
  <si>
    <t>pretty faint, small, irregularly round, pretty suddenly a little brighter middle</t>
  </si>
  <si>
    <t>pF, S, iR, pslbM</t>
  </si>
  <si>
    <t>NGC1720</t>
  </si>
  <si>
    <t>4h59m20.5s</t>
  </si>
  <si>
    <t>-7h51m33s</t>
  </si>
  <si>
    <t>pretty faint, pretty large, a little brighter middle, h 341 near</t>
  </si>
  <si>
    <t>pF, pL, lbM, h 341 nr</t>
  </si>
  <si>
    <t>NGC1721</t>
  </si>
  <si>
    <t>4h59m17.4s</t>
  </si>
  <si>
    <t>-11h7m6s</t>
  </si>
  <si>
    <t>NGC1722</t>
  </si>
  <si>
    <t>4h51m50.7s</t>
  </si>
  <si>
    <t>-69h23m56s</t>
  </si>
  <si>
    <t>cluster, pretty faint, small, round, 2nd of 3</t>
  </si>
  <si>
    <t>Cl, pF, S, R, 2nd of 3</t>
  </si>
  <si>
    <t>NGC1723</t>
  </si>
  <si>
    <t>SBa/P</t>
  </si>
  <si>
    <t>4h59m25.9s</t>
  </si>
  <si>
    <t>-10h58m50s</t>
  </si>
  <si>
    <t>faint, between two 9th magnitude stars, 10th magnitude stars north and south, 3rd star to east</t>
  </si>
  <si>
    <t>F, bet 2 st 9, 10 n &amp; s, 3rd * f</t>
  </si>
  <si>
    <t>NGC1724</t>
  </si>
  <si>
    <t>5h3m33s</t>
  </si>
  <si>
    <t>+49h29m30s</t>
  </si>
  <si>
    <t>cluster, very small, stars plus nebula?</t>
  </si>
  <si>
    <t>Cl, vS, st + neb?</t>
  </si>
  <si>
    <t>NGC1725</t>
  </si>
  <si>
    <t>4h59m22.9s</t>
  </si>
  <si>
    <t>-11h7m55s</t>
  </si>
  <si>
    <t>NGC1726</t>
  </si>
  <si>
    <t>4h59m41.9s</t>
  </si>
  <si>
    <t>-7h45m18s</t>
  </si>
  <si>
    <t>faint, round, 13th magnitude star to south</t>
  </si>
  <si>
    <t>F, R, * 13 s</t>
  </si>
  <si>
    <t>NGC1727</t>
  </si>
  <si>
    <t>4h52m20s</t>
  </si>
  <si>
    <t>-69h20m42s</t>
  </si>
  <si>
    <t>cluster, pretty bright, pretty small, pretty much extended, stars of 12th magnitude</t>
  </si>
  <si>
    <t>Cl, pB, pS, pmE, st 12</t>
  </si>
  <si>
    <t>NGC1728</t>
  </si>
  <si>
    <t>4h59m27.8s</t>
  </si>
  <si>
    <t>-11h7m24s</t>
  </si>
  <si>
    <t>NGC1729</t>
  </si>
  <si>
    <t>5h0m15.6s</t>
  </si>
  <si>
    <t>-3h21m11s</t>
  </si>
  <si>
    <t>very faint, pretty large, 2 bright stars very near</t>
  </si>
  <si>
    <t>vF, pL, 2B st v nr</t>
  </si>
  <si>
    <t>NGC1730</t>
  </si>
  <si>
    <t>4h59m31.7s</t>
  </si>
  <si>
    <t>-15h49m24s</t>
  </si>
  <si>
    <t>faint, pretty small, a little extended, between 2 faint stars (per Ormond Stone, a double nebula of 10 arcsec separation)</t>
  </si>
  <si>
    <t>F, pS, lE, bet 2 F st (O St D, Δ 10")</t>
  </si>
  <si>
    <t>NGC1731</t>
  </si>
  <si>
    <t>4h53m32.1s</t>
  </si>
  <si>
    <t>-66h55m31s</t>
  </si>
  <si>
    <t>cluster, pretty large, a little rich, a little compressed, stars from 10th to 15th magnitude</t>
  </si>
  <si>
    <t>Cl, pL, lRi, lC, st 10…15</t>
  </si>
  <si>
    <t>NGC1732</t>
  </si>
  <si>
    <t>4h53m10.6s</t>
  </si>
  <si>
    <t>-68h39m0s</t>
  </si>
  <si>
    <t>small, round, close double star in middle</t>
  </si>
  <si>
    <t>S, R, close ** in M</t>
  </si>
  <si>
    <t>NGC1733</t>
  </si>
  <si>
    <t>4h54m4.8s</t>
  </si>
  <si>
    <t>-66h40m58s</t>
  </si>
  <si>
    <t>extremely faint, pretty small, round, gradually brighter middle</t>
  </si>
  <si>
    <t>eF, pS, R, gbM</t>
  </si>
  <si>
    <t>NGC1734</t>
  </si>
  <si>
    <t>4h53m33.6s</t>
  </si>
  <si>
    <t>-68h46m8s</t>
  </si>
  <si>
    <t>pretty bright, large, round, gradually much brighter middle</t>
  </si>
  <si>
    <t>pB, L, R, gmbM</t>
  </si>
  <si>
    <t>NGC1735</t>
  </si>
  <si>
    <t>4h54m19.7s</t>
  </si>
  <si>
    <t>-67h5m59s</t>
  </si>
  <si>
    <t>pretty faint, pretty small, round, 2 stars attached</t>
  </si>
  <si>
    <t>pF, pS, R, 2 st att</t>
  </si>
  <si>
    <t>NGC1736</t>
  </si>
  <si>
    <t>4h53m1.6s</t>
  </si>
  <si>
    <t>-68h3m12s</t>
  </si>
  <si>
    <t>bright, round, mottled but not resolved</t>
  </si>
  <si>
    <t>B, R, r</t>
  </si>
  <si>
    <t>NGC1737</t>
  </si>
  <si>
    <t>4h53m57.8s</t>
  </si>
  <si>
    <t>-69h10m28s</t>
  </si>
  <si>
    <t>very faint, small, 1st of 4</t>
  </si>
  <si>
    <t>vF, S, 1st of 4</t>
  </si>
  <si>
    <t>NGC1738</t>
  </si>
  <si>
    <t>5h1m46.5s</t>
  </si>
  <si>
    <t>-18h9m27s</t>
  </si>
  <si>
    <t>very faint, small, extended 45°</t>
  </si>
  <si>
    <t>vF, S, E 45°</t>
  </si>
  <si>
    <t>NGC1739</t>
  </si>
  <si>
    <t>5h1m47.3s</t>
  </si>
  <si>
    <t>-18h10m2s</t>
  </si>
  <si>
    <t>extremely faint, very small, a little extended, in field with last</t>
  </si>
  <si>
    <t>eF, vS, lE, in field with last</t>
  </si>
  <si>
    <t>NGC1740</t>
  </si>
  <si>
    <t>5h1m54.7s</t>
  </si>
  <si>
    <t>-3h17m45s</t>
  </si>
  <si>
    <t>extremely faint, very small, 12th magnitude star to southwest</t>
  </si>
  <si>
    <t>eF, vS, * 12 sp</t>
  </si>
  <si>
    <t>NGC1741</t>
  </si>
  <si>
    <t>Sdm</t>
  </si>
  <si>
    <t>5h1m38.7s</t>
  </si>
  <si>
    <t>-4h15m32s</t>
  </si>
  <si>
    <t>very faint, very small, very small excentric part involved</t>
  </si>
  <si>
    <t>vF, vS, vS excent pt inv</t>
  </si>
  <si>
    <t>NGC1742</t>
  </si>
  <si>
    <t>5h2m0.5s</t>
  </si>
  <si>
    <t>-3h17m14s</t>
  </si>
  <si>
    <t>very faint, very small, 3.6 seconds of time to the east of h 342</t>
  </si>
  <si>
    <t>vF, vS, 3s.6 f h 342</t>
  </si>
  <si>
    <t>NGC1743</t>
  </si>
  <si>
    <t>4h54m3.2s</t>
  </si>
  <si>
    <t>-69h11m57s</t>
  </si>
  <si>
    <t>bright, pretty large, round, gradually brighter middle, mottled but not resolved, 2nd of 4</t>
  </si>
  <si>
    <t>B, pL, R, gbM, r, 2nd of 4</t>
  </si>
  <si>
    <t>NGC1744</t>
  </si>
  <si>
    <t>4h59m57.6s</t>
  </si>
  <si>
    <t>-26h1m22s</t>
  </si>
  <si>
    <t>faint, very large, very much extended, very gradually very little brighter middle</t>
  </si>
  <si>
    <t>F, vL, vmE, vgvlbM</t>
  </si>
  <si>
    <t>NGC1745</t>
  </si>
  <si>
    <t>4h54m20.7s</t>
  </si>
  <si>
    <t>-69h9m32s</t>
  </si>
  <si>
    <t>faint, small, 3rd of 4</t>
  </si>
  <si>
    <t>F, S, 3rd of 4</t>
  </si>
  <si>
    <t>NGC1746</t>
  </si>
  <si>
    <t>5h3m50s</t>
  </si>
  <si>
    <t>+23h46m12s</t>
  </si>
  <si>
    <t>cluster, poor</t>
  </si>
  <si>
    <t>Cl, P</t>
  </si>
  <si>
    <t>NGC1747</t>
  </si>
  <si>
    <t>4h55m11s</t>
  </si>
  <si>
    <t>-67h10m8s</t>
  </si>
  <si>
    <t>cluster, pretty small, a little rich, stars very small</t>
  </si>
  <si>
    <t>Cl, pS, lRi, st vS</t>
  </si>
  <si>
    <t>NGC1748</t>
  </si>
  <si>
    <t>4h54m23.7s</t>
  </si>
  <si>
    <t>-69h11m6s</t>
  </si>
  <si>
    <t>pretty bright, very small, round, 4th of 4</t>
  </si>
  <si>
    <t>pB, vS, R, 4th of 4</t>
  </si>
  <si>
    <t>NGC1749</t>
  </si>
  <si>
    <t>4h54m56.1s</t>
  </si>
  <si>
    <t>-68h11m20s</t>
  </si>
  <si>
    <t>very faint, round, preceding (western) of 2</t>
  </si>
  <si>
    <t>vF, R, p of 2</t>
  </si>
  <si>
    <t>NGC1750</t>
  </si>
  <si>
    <t>5h3m54s</t>
  </si>
  <si>
    <t>+23h39m30s</t>
  </si>
  <si>
    <t>cluster, large stars, very considerably scarce</t>
  </si>
  <si>
    <t>Cl, st L, vc sc</t>
  </si>
  <si>
    <t>NGC1751</t>
  </si>
  <si>
    <t>4h54m12.1s</t>
  </si>
  <si>
    <t>-69h48m23s</t>
  </si>
  <si>
    <t>NGC1752</t>
  </si>
  <si>
    <t>5h2m9.6s</t>
  </si>
  <si>
    <t>-8h14m27s</t>
  </si>
  <si>
    <t>faint, pretty large, pretty much extended, two or three 11th magnitude  stars to northeast</t>
  </si>
  <si>
    <t>F, pL, pmE, 2 or 3 st 11 nf</t>
  </si>
  <si>
    <t>NGC1753</t>
  </si>
  <si>
    <t>5h2m32.2s</t>
  </si>
  <si>
    <t>-3h20m41s</t>
  </si>
  <si>
    <t>most extremely faint, pretty small, round, southeast of h 342</t>
  </si>
  <si>
    <t>eeF, pS, R, sf h 342</t>
  </si>
  <si>
    <t>NGC1754</t>
  </si>
  <si>
    <t>4h54m17.9s</t>
  </si>
  <si>
    <t>-70h26m30s</t>
  </si>
  <si>
    <t>faint, small, round, 13th magnitude star attached at 135°</t>
  </si>
  <si>
    <t>F, S, R, * 13 att, 135°</t>
  </si>
  <si>
    <t>NGC1755</t>
  </si>
  <si>
    <t>4h55m14.9s</t>
  </si>
  <si>
    <t>-68h12m15s</t>
  </si>
  <si>
    <t>very bright, pretty large, round, gradually brighter middle</t>
  </si>
  <si>
    <t>vB, pL, R, gbM, f of 2</t>
  </si>
  <si>
    <t>NGC1756</t>
  </si>
  <si>
    <t>4h54m49.9s</t>
  </si>
  <si>
    <t>-69h14m15s</t>
  </si>
  <si>
    <t>NGC1757</t>
  </si>
  <si>
    <t>5h2m39.3s</t>
  </si>
  <si>
    <t>-4h43m23s</t>
  </si>
  <si>
    <t>very large diffuse nebula in zigzags??</t>
  </si>
  <si>
    <t>vL dif neb in zigzags ??</t>
  </si>
  <si>
    <t>NGC1758</t>
  </si>
  <si>
    <t>5h4m36s</t>
  </si>
  <si>
    <t>+23h47m54s</t>
  </si>
  <si>
    <t>cluster, pretty compressed, stars large and small</t>
  </si>
  <si>
    <t>Cl, pC, st L and S</t>
  </si>
  <si>
    <t>NGC1759</t>
  </si>
  <si>
    <t>5h0m49s</t>
  </si>
  <si>
    <t>-38h40m25s</t>
  </si>
  <si>
    <t>very faint, pretty large, very gradually a little brighter middle</t>
  </si>
  <si>
    <t>vF, pL, vglbM</t>
  </si>
  <si>
    <t>NGC1760</t>
  </si>
  <si>
    <t>4h56m36s</t>
  </si>
  <si>
    <t>-66h31m24s</t>
  </si>
  <si>
    <t>very faint, small, 3 very small stars involved</t>
  </si>
  <si>
    <t>vF, S, 3 vS st inv</t>
  </si>
  <si>
    <t>NGC1761</t>
  </si>
  <si>
    <t>4h56m42s</t>
  </si>
  <si>
    <t>-66h28m45s</t>
  </si>
  <si>
    <t>cluster, large, much compressed, double star of 9th magnitude</t>
  </si>
  <si>
    <t>Cl, L, mC, ** 9 m</t>
  </si>
  <si>
    <t>NGC1762</t>
  </si>
  <si>
    <t>5h3m37s</t>
  </si>
  <si>
    <t>+1h34m24s</t>
  </si>
  <si>
    <t>NGC1763</t>
  </si>
  <si>
    <t>4h56m45s</t>
  </si>
  <si>
    <t>-66h25m6s</t>
  </si>
  <si>
    <t>very bright, very large, very irregularly much extended</t>
  </si>
  <si>
    <t>vB, vL, vimE</t>
  </si>
  <si>
    <t>NGC1764</t>
  </si>
  <si>
    <t>4h56m27.8s</t>
  </si>
  <si>
    <t>-67h41m38s</t>
  </si>
  <si>
    <t>NGC1765</t>
  </si>
  <si>
    <t>4h58m24.3s</t>
  </si>
  <si>
    <t>-62h1m40s</t>
  </si>
  <si>
    <t>considerably faint, small, round, gradually a little brighter middle</t>
  </si>
  <si>
    <t>cF, S, R, glbM</t>
  </si>
  <si>
    <t>NGC1766</t>
  </si>
  <si>
    <t>4h55m57.7s</t>
  </si>
  <si>
    <t>-70h13m31s</t>
  </si>
  <si>
    <t>considerably faint, small, gradually brighter middle</t>
  </si>
  <si>
    <t>cF, S, gbM</t>
  </si>
  <si>
    <t>NGC1767</t>
  </si>
  <si>
    <t>4h56m27.4s</t>
  </si>
  <si>
    <t>-69h24m2s</t>
  </si>
  <si>
    <t>no description (in Nubecula major)</t>
  </si>
  <si>
    <t>No descr (in Nubec Major)</t>
  </si>
  <si>
    <t>NGC1768</t>
  </si>
  <si>
    <t>4h57m0.2s</t>
  </si>
  <si>
    <t>-68h14m58s</t>
  </si>
  <si>
    <t>NGC1769</t>
  </si>
  <si>
    <t>4h57m44.7s</t>
  </si>
  <si>
    <t>-66h27m49s</t>
  </si>
  <si>
    <t>bright, large, irregularly round, very suddenly much brighter middle like a double star of 10th magnitude</t>
  </si>
  <si>
    <t>B, L, iR, vsmbM ** 10</t>
  </si>
  <si>
    <t>NGC1770</t>
  </si>
  <si>
    <t>4h57m18s</t>
  </si>
  <si>
    <t>-68h24m54s</t>
  </si>
  <si>
    <t>cluster plus nebula, pretty large, pretty rich, stars from 11th to 18th magnitude</t>
  </si>
  <si>
    <t>Cl + neb, pL, pRi, st 11…18</t>
  </si>
  <si>
    <t>NGC1771</t>
  </si>
  <si>
    <t>4h58m55.6s</t>
  </si>
  <si>
    <t>-63h17m54s</t>
  </si>
  <si>
    <t>very faint, much extended, gradually a little brighter middle, 7.8 magnitude star to northwest</t>
  </si>
  <si>
    <t>vF, mE, glbM, * 7·8 np</t>
  </si>
  <si>
    <t>NGC1772</t>
  </si>
  <si>
    <t>4h56m52.9s</t>
  </si>
  <si>
    <t>-69h33m22s</t>
  </si>
  <si>
    <t>pretty bright, pretty small, irregularly round, partially resolved, some stars seen</t>
  </si>
  <si>
    <t>pB, pS, iR, rr</t>
  </si>
  <si>
    <t>NGC1773</t>
  </si>
  <si>
    <t>4h58m12s</t>
  </si>
  <si>
    <t>-66h21m57s</t>
  </si>
  <si>
    <t>pretty faint, pretty large, irregularly round, 2 or 3 bright stars near</t>
  </si>
  <si>
    <t>pF, pL, iR, 2 or 3 B st nr</t>
  </si>
  <si>
    <t>NGC1774</t>
  </si>
  <si>
    <t>4h58m6.9s</t>
  </si>
  <si>
    <t>-67h14m33s</t>
  </si>
  <si>
    <t>bright, small, round, suddenly much brighter middle, double star plus nebula</t>
  </si>
  <si>
    <t>B, S, R, smbM, ** + neb</t>
  </si>
  <si>
    <t>NGC1775</t>
  </si>
  <si>
    <t>4h56m53.4s</t>
  </si>
  <si>
    <t>-70h25m47s</t>
  </si>
  <si>
    <t>NGC1776</t>
  </si>
  <si>
    <t>4h58m39.8s</t>
  </si>
  <si>
    <t>-66h25m47s</t>
  </si>
  <si>
    <t>NGC1777</t>
  </si>
  <si>
    <t>4h55m47.8s</t>
  </si>
  <si>
    <t>-74h17m8s</t>
  </si>
  <si>
    <t>extremely faint, extended, 9th magnitude double star attached on the east</t>
  </si>
  <si>
    <t>eF, E, ** 9 att, f</t>
  </si>
  <si>
    <t>NGC1778</t>
  </si>
  <si>
    <t>5h8m5s</t>
  </si>
  <si>
    <t>+37h1m24s</t>
  </si>
  <si>
    <t>cluster, pretty compressed, a little rich, irregular figure, stars large</t>
  </si>
  <si>
    <t>Cl, pC, lRi, iF, st L</t>
  </si>
  <si>
    <t>NGC1779</t>
  </si>
  <si>
    <t>5h5m18s</t>
  </si>
  <si>
    <t>-9h8m52s</t>
  </si>
  <si>
    <t>pretty bright, small, round, gradually pretty much brighter middle</t>
  </si>
  <si>
    <t>pB, S, R, gpmbM</t>
  </si>
  <si>
    <t>NGC1780</t>
  </si>
  <si>
    <t>5h6m20.7s</t>
  </si>
  <si>
    <t>-19h28m1s</t>
  </si>
  <si>
    <t>extremely faint, extremely small, gradually brighter middle</t>
  </si>
  <si>
    <t>eF, eS, gbM</t>
  </si>
  <si>
    <t>NGC1781</t>
  </si>
  <si>
    <t>5h7m55.1s</t>
  </si>
  <si>
    <t>-18h11m24s</t>
  </si>
  <si>
    <t>NGC1782</t>
  </si>
  <si>
    <t>4h57m51.2s</t>
  </si>
  <si>
    <t>-69h23m32s</t>
  </si>
  <si>
    <t>globular cluster, pretty bright, small, round, pretty much brighter middle, partially resolved, some stars seen</t>
  </si>
  <si>
    <t>globular, pB, S, R, pmbM, rr</t>
  </si>
  <si>
    <t>NGC1783</t>
  </si>
  <si>
    <t>4h59m8.8s</t>
  </si>
  <si>
    <t>-65h59m7s</t>
  </si>
  <si>
    <t>considerably bright, large, round, very gradually pretty much brighter middle, mottled but not resolved</t>
  </si>
  <si>
    <t>cB, L, R, vgpmbM, r</t>
  </si>
  <si>
    <t>NGC1784</t>
  </si>
  <si>
    <t>5h5m27.1s</t>
  </si>
  <si>
    <t>-11h52m16s</t>
  </si>
  <si>
    <t>pretty bright, pretty large, very little extended, very gradually brighter middle, among stars</t>
  </si>
  <si>
    <t>pB, pL, vlE, vgbM, am st</t>
  </si>
  <si>
    <t>NGC1785</t>
  </si>
  <si>
    <t>4h58m35.3s</t>
  </si>
  <si>
    <t>-68h50m37s</t>
  </si>
  <si>
    <t>no description, in Nubecula major</t>
  </si>
  <si>
    <t>No description, in Nubec major</t>
  </si>
  <si>
    <t>NGC1786</t>
  </si>
  <si>
    <t>4h59m7.9s</t>
  </si>
  <si>
    <t>-67h44m43s</t>
  </si>
  <si>
    <t>very bright, pretty small, a little extended, very suddenly very much brighter middle equivalent to 9th magnitude star</t>
  </si>
  <si>
    <t>vB, pS, lE, vsvmbM * 9</t>
  </si>
  <si>
    <t>NGC1787</t>
  </si>
  <si>
    <t>5h0m2s</t>
  </si>
  <si>
    <t>-65h47m42s</t>
  </si>
  <si>
    <t>cluster, very large, pretty rich</t>
  </si>
  <si>
    <t>Cl, vL, pRi</t>
  </si>
  <si>
    <t>NGC1788</t>
  </si>
  <si>
    <t>宇宙蝙蝠星云</t>
  </si>
  <si>
    <t>5h6m53.2s</t>
  </si>
  <si>
    <t>-3h20m28s</t>
  </si>
  <si>
    <t>bright, considerably large, round, brighter middle like a 15th magnitude triple star, 10th magnitude star involved in the nebulosity at a distance of 1 1/2 arcmin, and position angle 318°</t>
  </si>
  <si>
    <t>B, cL, R, bM *** 15, * 10, 1?' 318°, inv in the neby</t>
  </si>
  <si>
    <t>NGC1789</t>
  </si>
  <si>
    <t>-71h54m3s</t>
  </si>
  <si>
    <t>NGC1790</t>
  </si>
  <si>
    <t>5h11m7.2s</t>
  </si>
  <si>
    <t>+52h3m30s</t>
  </si>
  <si>
    <t>cluster, group of eight or nine 10th magnitude stars</t>
  </si>
  <si>
    <t>Cl, group of 8 or 9 st 10</t>
  </si>
  <si>
    <t>NGC1791</t>
  </si>
  <si>
    <t>4h59m6.6s</t>
  </si>
  <si>
    <t>-70h10m8s</t>
  </si>
  <si>
    <t>NGC1792</t>
  </si>
  <si>
    <t>天鸽座</t>
  </si>
  <si>
    <t>COL</t>
  </si>
  <si>
    <t>5h5m13.8s</t>
  </si>
  <si>
    <t>-37h58m47s</t>
  </si>
  <si>
    <t>very bright, very large, much extended 314°, gradually a little bright middle, partially resolved, some stars seen</t>
  </si>
  <si>
    <t>vB, vL, mE 314°, glbM, rr</t>
  </si>
  <si>
    <t>NGC1793</t>
  </si>
  <si>
    <t>4h59m38.3s</t>
  </si>
  <si>
    <t>-69h33m28s</t>
  </si>
  <si>
    <t>NGC1794</t>
  </si>
  <si>
    <t>vF, eS, gbM (? = III 268)</t>
  </si>
  <si>
    <t>NGC1795</t>
  </si>
  <si>
    <t>4h59m47s</t>
  </si>
  <si>
    <t>-69h48m5s</t>
  </si>
  <si>
    <t>NGC1796</t>
  </si>
  <si>
    <t>5h2m42.8s</t>
  </si>
  <si>
    <t>-61h8m23s</t>
  </si>
  <si>
    <t>pretty faint, pretty small, pretty much extended, very gradually a little brighter middle</t>
  </si>
  <si>
    <t>pF, pS, pmE, vglbM</t>
  </si>
  <si>
    <t>NGC1797</t>
  </si>
  <si>
    <t>5h7m44.9s</t>
  </si>
  <si>
    <t>-8h1m8s</t>
  </si>
  <si>
    <t>most extremely faint, small, round, very faint star to northwest</t>
  </si>
  <si>
    <t>eeF, S, R, vF * np</t>
  </si>
  <si>
    <t>NGC1798</t>
  </si>
  <si>
    <t>5h11m39.3s</t>
  </si>
  <si>
    <t>+47h41m44s</t>
  </si>
  <si>
    <t>small, a cluster or a cluster plus nebulosity</t>
  </si>
  <si>
    <t>S, Cl or Cl + neb</t>
  </si>
  <si>
    <t>NGC1799</t>
  </si>
  <si>
    <t>5h7m44.5s</t>
  </si>
  <si>
    <t>-7h58m8s</t>
  </si>
  <si>
    <t>NGC1800</t>
  </si>
  <si>
    <t>5h6m25.4s</t>
  </si>
  <si>
    <t>-31h57m16s</t>
  </si>
  <si>
    <t>pretty bright, pretty much extended, gradually pretty much brighter middle, 13th magnitude star to east</t>
  </si>
  <si>
    <t>pB, pmE, gpmbM, * 13 f</t>
  </si>
  <si>
    <t>NGC1801</t>
  </si>
  <si>
    <t>5h0m34.6s</t>
  </si>
  <si>
    <t>-69h36m50s</t>
  </si>
  <si>
    <t>faint, pretty large, round, very gradually a little brighter middle, preceding (western) of 2</t>
  </si>
  <si>
    <t>NGC1802</t>
  </si>
  <si>
    <t>5h10m14s</t>
  </si>
  <si>
    <t>+24h7m30s</t>
  </si>
  <si>
    <t>cluster, stars considerably scattered</t>
  </si>
  <si>
    <t>Cl, st c sc</t>
  </si>
  <si>
    <t>NGC1803</t>
  </si>
  <si>
    <t>5h5m26.5s</t>
  </si>
  <si>
    <t>-49h34m3s</t>
  </si>
  <si>
    <t>faint, small, round, very gradually a little brighter middle, 11th magnitude star to the southeast, perhaps nebulous</t>
  </si>
  <si>
    <t>F, S, R, vglbM, * 11 sf, ? neb</t>
  </si>
  <si>
    <t>NGC1804</t>
  </si>
  <si>
    <t>5h1m3.3s</t>
  </si>
  <si>
    <t>-69h4m58s</t>
  </si>
  <si>
    <t>NGC1805</t>
  </si>
  <si>
    <t>5h2m21.4s</t>
  </si>
  <si>
    <t>-66h6m44s</t>
  </si>
  <si>
    <t>bright, very small, very suddenly much brighter middle, stars plus nebulosity</t>
  </si>
  <si>
    <t>B, vS, vsmbM, st + neb</t>
  </si>
  <si>
    <t>NGC1806</t>
  </si>
  <si>
    <t>5h2m11.4s</t>
  </si>
  <si>
    <t>-67h59m2s</t>
  </si>
  <si>
    <t>pretty bright, large, gradually brighter middle</t>
  </si>
  <si>
    <t>pB, L, gbM</t>
  </si>
  <si>
    <t>NGC1807</t>
  </si>
  <si>
    <t>贫双星团</t>
  </si>
  <si>
    <t>5h10m46s</t>
  </si>
  <si>
    <t>+16h30m48s</t>
  </si>
  <si>
    <t>cluster, pretty rich, large and small stars</t>
  </si>
  <si>
    <t>Cl, pRi, st L &amp; S</t>
  </si>
  <si>
    <t>NGC1808</t>
  </si>
  <si>
    <t>5h7m42.5s</t>
  </si>
  <si>
    <t>-37h30m48s</t>
  </si>
  <si>
    <t>bright, large, extended, pretty suddenly bright middle</t>
  </si>
  <si>
    <t>B, L, E, psbM</t>
  </si>
  <si>
    <t>NGC1809</t>
  </si>
  <si>
    <t>5h2m5.3s</t>
  </si>
  <si>
    <t>-69h34m6s</t>
  </si>
  <si>
    <t>pretty faint, small, round, gradually brighter middle, 2nd of 2</t>
  </si>
  <si>
    <t>pF, S, R, gbM, 2nd of 2</t>
  </si>
  <si>
    <t>NGC1810</t>
  </si>
  <si>
    <t>5h3m23.3s</t>
  </si>
  <si>
    <t>-66h22m55s</t>
  </si>
  <si>
    <t>considerably faint, small, round, a little brighter middle, globular cluster following (to the east)</t>
  </si>
  <si>
    <t>cF, S, R, lbM, globular f</t>
  </si>
  <si>
    <t>NGC1811</t>
  </si>
  <si>
    <t>5h8m42.5s</t>
  </si>
  <si>
    <t>-29h16m35s</t>
  </si>
  <si>
    <t>considerably faint, small, a little extended, preceding (western) of 2</t>
  </si>
  <si>
    <t>cF, S, lE, p of 2</t>
  </si>
  <si>
    <t>NGC1812</t>
  </si>
  <si>
    <t>5h8m52.8s</t>
  </si>
  <si>
    <t>-29h15m6s</t>
  </si>
  <si>
    <t>faint, small, round, gradually a little brighter middle, following (eastern) of 2</t>
  </si>
  <si>
    <t>F, S, R, glbM, f of 2</t>
  </si>
  <si>
    <t>NGC1813</t>
  </si>
  <si>
    <t>5h2m40.4s</t>
  </si>
  <si>
    <t>-70h19m5s</t>
  </si>
  <si>
    <t>very faint, small, round, mottled but not resolved</t>
  </si>
  <si>
    <t>vF, S, R, r</t>
  </si>
  <si>
    <t>NGC1814</t>
  </si>
  <si>
    <t>5h3m46.5s</t>
  </si>
  <si>
    <t>-67h18m3s</t>
  </si>
  <si>
    <t>very faint, round, smaller of 2 in cluster</t>
  </si>
  <si>
    <t>vF, R, s of 2 in Cl</t>
  </si>
  <si>
    <t>NGC1815</t>
  </si>
  <si>
    <t>5h2m27.3s</t>
  </si>
  <si>
    <t>-70h37m16s</t>
  </si>
  <si>
    <t>faint, very small, round, very little brighter middle, among stars</t>
  </si>
  <si>
    <t>F, vS, R, vlbM, am st</t>
  </si>
  <si>
    <t>NGC1816</t>
  </si>
  <si>
    <t>5h3m50.8s</t>
  </si>
  <si>
    <t>-67h15m39s</t>
  </si>
  <si>
    <t>very faint, round, 2nd nebula in cluster</t>
  </si>
  <si>
    <t>vF, R, 2nd neb in Cl</t>
  </si>
  <si>
    <t>NGC1817</t>
  </si>
  <si>
    <t>5h12m27s</t>
  </si>
  <si>
    <t>+16h41m0s</t>
  </si>
  <si>
    <t>cluster, large, rich, a little compressed, stars from 11th to 14th magnitude</t>
  </si>
  <si>
    <t>Cl, L, Ri, lC, st 11…14</t>
  </si>
  <si>
    <t>NGC1818</t>
  </si>
  <si>
    <t>5h4m14.8s</t>
  </si>
  <si>
    <t>-66h26m4s</t>
  </si>
  <si>
    <t>globular cluster, very bright, pretty large, round, very much compressed, partially resolved, some stars seen</t>
  </si>
  <si>
    <t>globular, vB, pL, R, vmC, rr</t>
  </si>
  <si>
    <t>NGC1819</t>
  </si>
  <si>
    <t>5h11m46s</t>
  </si>
  <si>
    <t>+5h12m3s</t>
  </si>
  <si>
    <t>NGC1820</t>
  </si>
  <si>
    <t>5h4m4s</t>
  </si>
  <si>
    <t>-67h16m18s</t>
  </si>
  <si>
    <t>cluster, pretty large, rich, compressed, irregular figure</t>
  </si>
  <si>
    <t>Cl, pL, Ri, C, iF</t>
  </si>
  <si>
    <t>NGC1821</t>
  </si>
  <si>
    <t>-15h8m4s</t>
  </si>
  <si>
    <t>NGC1822</t>
  </si>
  <si>
    <t>5h5m9.2s</t>
  </si>
  <si>
    <t>-66h12m38s</t>
  </si>
  <si>
    <t>very faint, small, preceding (western) of 2</t>
  </si>
  <si>
    <t>vF, S, p of 2</t>
  </si>
  <si>
    <t>NGC1823</t>
  </si>
  <si>
    <t>5h3m25s</t>
  </si>
  <si>
    <t>-70h20m8s</t>
  </si>
  <si>
    <t>cluster, pretty faint, large, irregular figure, stars from 12th to 15th magnitude</t>
  </si>
  <si>
    <t>Cl, pF, L, iF, st 12…15</t>
  </si>
  <si>
    <t>NGC1824</t>
  </si>
  <si>
    <t>5h6m56s</t>
  </si>
  <si>
    <t>-59h43m31s</t>
  </si>
  <si>
    <t>very faint, pretty large, very much extended 162°</t>
  </si>
  <si>
    <t>vF, pL, vmE 162°</t>
  </si>
  <si>
    <t>NGC1825</t>
  </si>
  <si>
    <t>5h4m19s</t>
  </si>
  <si>
    <t>-68h55m36s</t>
  </si>
  <si>
    <t>NGC1826</t>
  </si>
  <si>
    <t>5h5m34s</t>
  </si>
  <si>
    <t>-66h13m52s</t>
  </si>
  <si>
    <t>very faint, small, following (eastern) of 2</t>
  </si>
  <si>
    <t>vF, S, f of 2</t>
  </si>
  <si>
    <t>NGC1827</t>
  </si>
  <si>
    <t>5h10m4.4s</t>
  </si>
  <si>
    <t>-36h57m37s</t>
  </si>
  <si>
    <t>very faint, very much extended, long ray, 11th magnitude star involved</t>
  </si>
  <si>
    <t>vF, vmE, long ray, * 11 inv</t>
  </si>
  <si>
    <t>NGC1828</t>
  </si>
  <si>
    <t>5h4m20.9s</t>
  </si>
  <si>
    <t>-69h23m18s</t>
  </si>
  <si>
    <t>faint, small, round, 1st of 3</t>
  </si>
  <si>
    <t>F, S, R, 1st of 3</t>
  </si>
  <si>
    <t>NGC1829</t>
  </si>
  <si>
    <t>5h4m57.4s</t>
  </si>
  <si>
    <t>-68h3m20s</t>
  </si>
  <si>
    <t>faint, pretty large, round, mottled but not resolved</t>
  </si>
  <si>
    <t>F, pL, R, r</t>
  </si>
  <si>
    <t>NGC1830</t>
  </si>
  <si>
    <t>5h4m38.3s</t>
  </si>
  <si>
    <t>-69h20m25s</t>
  </si>
  <si>
    <t>faint, pretty small, round, 2nd of 3</t>
  </si>
  <si>
    <t>F, pS, R, 2nd of 3</t>
  </si>
  <si>
    <t>NGC1831</t>
  </si>
  <si>
    <t>5h6m16.2s</t>
  </si>
  <si>
    <t>-64h55m7s</t>
  </si>
  <si>
    <t>bright, large, round, gradually a little brighter middle, mottled but not resolved</t>
  </si>
  <si>
    <t>B, L, R, glbM, r</t>
  </si>
  <si>
    <t>NGC1832</t>
  </si>
  <si>
    <t>5h12m3s</t>
  </si>
  <si>
    <t>-15h41m20s</t>
  </si>
  <si>
    <t>pretty bright, irregularly round, much brighter middle, considerable star 1 arcmin to northeast</t>
  </si>
  <si>
    <t>pB, iR, mbM, c * nf 1'</t>
  </si>
  <si>
    <t>NGC1833</t>
  </si>
  <si>
    <t>5h4m21.8s</t>
  </si>
  <si>
    <t>-70h43m54s</t>
  </si>
  <si>
    <t>very faint, pretty large, 1st of several</t>
  </si>
  <si>
    <t>vF, pL, 1st of sev</t>
  </si>
  <si>
    <t>NGC1834</t>
  </si>
  <si>
    <t>5h5m11.4s</t>
  </si>
  <si>
    <t>-69h12m27s</t>
  </si>
  <si>
    <t>planetary?, bright, extremely small, a little extended</t>
  </si>
  <si>
    <t>planetary ? B, eS, lE</t>
  </si>
  <si>
    <t>NGC1835</t>
  </si>
  <si>
    <t>5h5m5.7s</t>
  </si>
  <si>
    <t>-69h24m15s</t>
  </si>
  <si>
    <t>considerably bright, small, round, gradually much brighter middle, 3rd of 3</t>
  </si>
  <si>
    <t>cB, S, R, gmbM, 3rd of 3</t>
  </si>
  <si>
    <t>NGC1836</t>
  </si>
  <si>
    <t>5h5m34.5s</t>
  </si>
  <si>
    <t>-68h37m41s</t>
  </si>
  <si>
    <t>star plus nebula, 1st of several</t>
  </si>
  <si>
    <t>st + neb, 1st of sev</t>
  </si>
  <si>
    <t>NGC1837</t>
  </si>
  <si>
    <t>5h4m55.9s</t>
  </si>
  <si>
    <t>-70h42m51s</t>
  </si>
  <si>
    <t>cluster, large, rich, scattered stars</t>
  </si>
  <si>
    <t>Cl, L, Ri, st sc</t>
  </si>
  <si>
    <t>NGC1838</t>
  </si>
  <si>
    <t>5h6m47s</t>
  </si>
  <si>
    <t>-68h25m24s</t>
  </si>
  <si>
    <t>cluster, large, very little compressed</t>
  </si>
  <si>
    <t>Cl, L, vlC</t>
  </si>
  <si>
    <t>NGC1839</t>
  </si>
  <si>
    <t>5h6m2.4s</t>
  </si>
  <si>
    <t>-68h37m37s</t>
  </si>
  <si>
    <t>stars plus nebula, pretty bright, irregular figure, 2nd of several</t>
  </si>
  <si>
    <t>st + neb, pB, iF, 2nd of sev</t>
  </si>
  <si>
    <t>NGC1840</t>
  </si>
  <si>
    <t>5h5m19.2s</t>
  </si>
  <si>
    <t>-71h45m47s</t>
  </si>
  <si>
    <t>faint, round, brighter middle, mottled but not resolved (min of RA questionable?)</t>
  </si>
  <si>
    <t>F, R, bM, r (? min of RA)</t>
  </si>
  <si>
    <t>NGC1841</t>
  </si>
  <si>
    <t>4h45m23.1s</t>
  </si>
  <si>
    <t>-83h59m49s</t>
  </si>
  <si>
    <t>pretty faint, large, irregularly round, very suddenly brighter middle, mottled but not resolved</t>
  </si>
  <si>
    <t>pF, L, iR, vsbM, r</t>
  </si>
  <si>
    <t>NGC1842</t>
  </si>
  <si>
    <t>5h7m18.2s</t>
  </si>
  <si>
    <t>-67h16m24s</t>
  </si>
  <si>
    <t>very very faint, round, preceding (western) of 2</t>
  </si>
  <si>
    <t>vvF, R, p of 2</t>
  </si>
  <si>
    <t>NGC1843</t>
  </si>
  <si>
    <t>5h14m6.1s</t>
  </si>
  <si>
    <t>-10h37m36s</t>
  </si>
  <si>
    <t>NGC1844</t>
  </si>
  <si>
    <t>5h7m30.7s</t>
  </si>
  <si>
    <t>-67h19m25s</t>
  </si>
  <si>
    <t>pretty faint, pretty large, round, gradually brighter middle, following (eastern) of 2</t>
  </si>
  <si>
    <t>pF, pL, R, gbM, f of 2</t>
  </si>
  <si>
    <t>NGC1845</t>
  </si>
  <si>
    <t>5h5m45s</t>
  </si>
  <si>
    <t>-70h34m54s</t>
  </si>
  <si>
    <t>cluster, very little compressed middle, stars of 9th and 11th through 16th magnitude</t>
  </si>
  <si>
    <t>Cl, vlCM, st 9, 11…16</t>
  </si>
  <si>
    <t>NGC1846</t>
  </si>
  <si>
    <t>5h7m34.7s</t>
  </si>
  <si>
    <t>-67h27m31s</t>
  </si>
  <si>
    <t>pretty bright, considerably large, round, very gradually a little brighter middle, mottled but not resolved</t>
  </si>
  <si>
    <t>pB, cL, R, vglbM, r</t>
  </si>
  <si>
    <t>NGC1847</t>
  </si>
  <si>
    <t>5h7m8.2s</t>
  </si>
  <si>
    <t>-68h58m17s</t>
  </si>
  <si>
    <t>bright, small, a little extended, double star in middle</t>
  </si>
  <si>
    <t>B, S, lE, ** in M</t>
  </si>
  <si>
    <t>NGC1848</t>
  </si>
  <si>
    <t>5h7m27.2s</t>
  </si>
  <si>
    <t>-71h11m44s</t>
  </si>
  <si>
    <t>cluster, very little compressed, stars from 9th magnitude</t>
  </si>
  <si>
    <t>Cl, vlC, st 9…</t>
  </si>
  <si>
    <t>NGC1849</t>
  </si>
  <si>
    <t>5h9m34.9s</t>
  </si>
  <si>
    <t>-66h18m57s</t>
  </si>
  <si>
    <t>NGC1850</t>
  </si>
  <si>
    <t>5h8m44.8s</t>
  </si>
  <si>
    <t>-68h45m42s</t>
  </si>
  <si>
    <t>remarkable object, a globular cluster, very bright, large, a little extended, very much compressed middle, partially resolved, some stars seen</t>
  </si>
  <si>
    <t>globular! vB, L, lE, vmCM, rr</t>
  </si>
  <si>
    <t>NGC1851</t>
  </si>
  <si>
    <t>5h14m6.3s</t>
  </si>
  <si>
    <t>-40h2m48s</t>
  </si>
  <si>
    <t>remarkable object, a globular cluster, very bright, very large, round, very suddenly very very much brighter middle, well resolved, clearly consisting of stars</t>
  </si>
  <si>
    <t>globular! vB, vL, R, vsvvbM, rrr</t>
  </si>
  <si>
    <t>NGC1852</t>
  </si>
  <si>
    <t>5h9m24s</t>
  </si>
  <si>
    <t>-67h46m39s</t>
  </si>
  <si>
    <t>NGC1853</t>
  </si>
  <si>
    <t>5h12m16s</t>
  </si>
  <si>
    <t>-57h23m58s</t>
  </si>
  <si>
    <t>faint, small, much extended 45°, very gradually very little brighter middle, 11th magnitude star to northeast</t>
  </si>
  <si>
    <t>F, S, mE 45°, vgvlbM, * 11 nf</t>
  </si>
  <si>
    <t>NGC1854</t>
  </si>
  <si>
    <t>5h9m20s</t>
  </si>
  <si>
    <t>-68h50m51s</t>
  </si>
  <si>
    <t>globular cluster, considerably bright, small, round, gradually brighter middle, 2nd of 3</t>
  </si>
  <si>
    <t>globular, cB, S, R, gbM, 2nd of 3</t>
  </si>
  <si>
    <t>NGC1855</t>
  </si>
  <si>
    <t>Cl, vB, L, R, st 12</t>
  </si>
  <si>
    <t>NGC1856</t>
  </si>
  <si>
    <t>5h9m29.4s</t>
  </si>
  <si>
    <t>-69h7m40s</t>
  </si>
  <si>
    <t>bright, pretty large, round, gradually brighter middle, 12 seconds of time diameter in RA</t>
  </si>
  <si>
    <t>B, pL, R, gbM, 12s diam RA</t>
  </si>
  <si>
    <t>NGC1857</t>
  </si>
  <si>
    <t>5h20m5s</t>
  </si>
  <si>
    <t>+39h20m36s</t>
  </si>
  <si>
    <t>cluster, pretty rich, pretty compressed, stars from 7th magnitude downward.</t>
  </si>
  <si>
    <t>Cl, pRi, pC, st 7…</t>
  </si>
  <si>
    <t>NGC1858</t>
  </si>
  <si>
    <t>5h9m55s</t>
  </si>
  <si>
    <t>-68h53m54s</t>
  </si>
  <si>
    <t>bright, large, irregularly extended, binuclear, a cluster plus nebulosity</t>
  </si>
  <si>
    <t>B, L, iE, biN, Cl + neb</t>
  </si>
  <si>
    <t>NGC1859</t>
  </si>
  <si>
    <t>5h11m31.8s</t>
  </si>
  <si>
    <t>-65h14m59s</t>
  </si>
  <si>
    <t>faint, small, round, very gradually brighter middle, 7th magnitude star 6 arcmin to northeast</t>
  </si>
  <si>
    <t>F, S, R, vgbM, * 7 nf 6'</t>
  </si>
  <si>
    <t>NGC1860</t>
  </si>
  <si>
    <t>5h10m39.6s</t>
  </si>
  <si>
    <t>-68h45m8s</t>
  </si>
  <si>
    <t>faint, pretty large, round, very gradually brighter middle</t>
  </si>
  <si>
    <t>F, pL, R, vgbM</t>
  </si>
  <si>
    <t>NGC1861</t>
  </si>
  <si>
    <t>5h10m22.2s</t>
  </si>
  <si>
    <t>-70h46m38s</t>
  </si>
  <si>
    <t>NGC1862</t>
  </si>
  <si>
    <t>5h12m34.6s</t>
  </si>
  <si>
    <t>-66h9m16s</t>
  </si>
  <si>
    <t>pretty faint, large, irregularly round, very gradually brighter middle, mottled but not resolved</t>
  </si>
  <si>
    <t>pF, L, iR, vgbM, r</t>
  </si>
  <si>
    <t>NGC1863</t>
  </si>
  <si>
    <t>5h11m39.6s</t>
  </si>
  <si>
    <t>-68h43m37s</t>
  </si>
  <si>
    <t>very bright, very small, round, mottled but not resolved or stellar</t>
  </si>
  <si>
    <t>vB, vS, R, r or stellar</t>
  </si>
  <si>
    <t>NGC1864</t>
  </si>
  <si>
    <t>5h12m40.7s</t>
  </si>
  <si>
    <t>-67h37m17s</t>
  </si>
  <si>
    <t>faint, pretty small, irregularly round, brighter middle, mottled but not resolved or stellar</t>
  </si>
  <si>
    <t>F, pS, iR, bM, r or stellar</t>
  </si>
  <si>
    <t>NGC1865</t>
  </si>
  <si>
    <t>5h12m25.1s</t>
  </si>
  <si>
    <t>-68h46m16s</t>
  </si>
  <si>
    <t>very faint, pretty large, round, very gradually a little brighter middle</t>
  </si>
  <si>
    <t>vF, pL, R, vglbM</t>
  </si>
  <si>
    <t>NGC1866</t>
  </si>
  <si>
    <t>5h13m39.1s</t>
  </si>
  <si>
    <t>-65h27m56s</t>
  </si>
  <si>
    <t>very bright, large, round, very gradually much brighter middle, mottled but not resolved</t>
  </si>
  <si>
    <t>vB, L, R, vgmbM, r</t>
  </si>
  <si>
    <t>NGC1867</t>
  </si>
  <si>
    <t>5h13m42.5s</t>
  </si>
  <si>
    <t>-66h17m39s</t>
  </si>
  <si>
    <t>NGC1868</t>
  </si>
  <si>
    <t>5h14m36.5s</t>
  </si>
  <si>
    <t>-63h57m18s</t>
  </si>
  <si>
    <t>pretty bright, pretty large, round, very gradually a little brighter middle</t>
  </si>
  <si>
    <t>pB, pL, R, vglbM</t>
  </si>
  <si>
    <t>NGC1869</t>
  </si>
  <si>
    <t>5h13m52s</t>
  </si>
  <si>
    <t>-67h22m40s</t>
  </si>
  <si>
    <t>cluster, large, pretty rich, scattered stars</t>
  </si>
  <si>
    <t>Cl, L, pRi, st sc</t>
  </si>
  <si>
    <t>NGC1870</t>
  </si>
  <si>
    <t>5h13m10s</t>
  </si>
  <si>
    <t>-69h7m1s</t>
  </si>
  <si>
    <t>bright, small, round, gradually a little brighter middle</t>
  </si>
  <si>
    <t>B, S, R, glbM</t>
  </si>
  <si>
    <t>NGC1871</t>
  </si>
  <si>
    <t>5h13m51.8s</t>
  </si>
  <si>
    <t>-67h27m10s</t>
  </si>
  <si>
    <t>cluster, a little rich, 2nd of several</t>
  </si>
  <si>
    <t>Cl, lRi, 2nd of sev</t>
  </si>
  <si>
    <t>NGC1872</t>
  </si>
  <si>
    <t>5h13m10.8s</t>
  </si>
  <si>
    <t>-69h19m2s</t>
  </si>
  <si>
    <t>pretty bright, round, gradually brighter middle, 1st of group</t>
  </si>
  <si>
    <t>pB, R, gbM, 1st of group</t>
  </si>
  <si>
    <t>NGC1873</t>
  </si>
  <si>
    <t>5h13m55.7s</t>
  </si>
  <si>
    <t>-67h20m4s</t>
  </si>
  <si>
    <t>cluster, 3rd of several</t>
  </si>
  <si>
    <t>Cl, 3rd of sev</t>
  </si>
  <si>
    <t>NGC1874</t>
  </si>
  <si>
    <t>5h13m11.7s</t>
  </si>
  <si>
    <t>-69h22m35s</t>
  </si>
  <si>
    <t>nebula and cluster, binuclear</t>
  </si>
  <si>
    <t>neb and Cl, biN</t>
  </si>
  <si>
    <t>NGC1875</t>
  </si>
  <si>
    <t>5h21m45.7s</t>
  </si>
  <si>
    <t>+6h41m20s</t>
  </si>
  <si>
    <t>NGC1876</t>
  </si>
  <si>
    <t>5h13m18.5s</t>
  </si>
  <si>
    <t>-69h21m52s</t>
  </si>
  <si>
    <t>pretty bright, irregularly round, binuclear, 2nd in group</t>
  </si>
  <si>
    <t>pB, iR, biN, 2nd in group</t>
  </si>
  <si>
    <t>NGC1877</t>
  </si>
  <si>
    <t>5h13m39s</t>
  </si>
  <si>
    <t>-69h23m0s</t>
  </si>
  <si>
    <t>very faint, 3rd of group in cluster</t>
  </si>
  <si>
    <t>vF, 3rd of group in Cl</t>
  </si>
  <si>
    <t>NGC1878</t>
  </si>
  <si>
    <t>5h12m51s</t>
  </si>
  <si>
    <t>-70h28m18s</t>
  </si>
  <si>
    <t>very faint, a little extended, gradually a very little brighter middle, mottled but not resolved</t>
  </si>
  <si>
    <t>vF, lE, gvlbM, r</t>
  </si>
  <si>
    <t>NGC1879</t>
  </si>
  <si>
    <t>5h19m48.1s</t>
  </si>
  <si>
    <t>-32h8m33s</t>
  </si>
  <si>
    <t>very faint, large, round, very gradually very little brighter middle, 12th magnitude star to west</t>
  </si>
  <si>
    <t>vF, L, R, vgvlbM, * 12 p</t>
  </si>
  <si>
    <t>NGC1880</t>
  </si>
  <si>
    <t>5h13m39.2s</t>
  </si>
  <si>
    <t>-69h22m52s</t>
  </si>
  <si>
    <t>4th of group in cluster</t>
  </si>
  <si>
    <t>4th of group in Cl</t>
  </si>
  <si>
    <t>NGC1881</t>
  </si>
  <si>
    <t>5h13m36s</t>
  </si>
  <si>
    <t>-69h17m54s</t>
  </si>
  <si>
    <t>very faint, double star to west</t>
  </si>
  <si>
    <t>vF, ** p</t>
  </si>
  <si>
    <t>NGC1882</t>
  </si>
  <si>
    <t>5h15m33.4s</t>
  </si>
  <si>
    <t>-66h7m47s</t>
  </si>
  <si>
    <t>pretty faint, round, very gradually very little brighter middle, mottled but not resolved</t>
  </si>
  <si>
    <t>pF, R, vgvlbM, r</t>
  </si>
  <si>
    <t>NGC1883</t>
  </si>
  <si>
    <t>5h25m54.1s</t>
  </si>
  <si>
    <t>+46h29m25s</t>
  </si>
  <si>
    <t>cluster, very faint, pretty rich, pretty compressed, irregular figure</t>
  </si>
  <si>
    <t>Cl, vF, pRi, pC, iF</t>
  </si>
  <si>
    <t>NGC1884</t>
  </si>
  <si>
    <t>5h15m58s</t>
  </si>
  <si>
    <t>-66h9m48s</t>
  </si>
  <si>
    <t>NGC1885</t>
  </si>
  <si>
    <t>5h15m5.9s</t>
  </si>
  <si>
    <t>-68h58m40s</t>
  </si>
  <si>
    <t>pretty bright, very small, round, brighter middle</t>
  </si>
  <si>
    <t>pB, vS, R, bM</t>
  </si>
  <si>
    <t>NGC1886</t>
  </si>
  <si>
    <t>5h21m48.2s</t>
  </si>
  <si>
    <t>-23h48m36s</t>
  </si>
  <si>
    <t>very faint, pretty large, extended 240°, 8th magnitude star 40 arcsec to southwest</t>
  </si>
  <si>
    <t>vF, pL, E 240°, * 8 sp 40"</t>
  </si>
  <si>
    <t>NGC1887</t>
  </si>
  <si>
    <t>5h16m6s</t>
  </si>
  <si>
    <t>-66h19m7s</t>
  </si>
  <si>
    <t>very faint, very small, round, star 25 arcsec to west</t>
  </si>
  <si>
    <t>vF, vS, R, * p 25"</t>
  </si>
  <si>
    <t>NGC1888</t>
  </si>
  <si>
    <t>5h22m34.4s</t>
  </si>
  <si>
    <t>-11h30m1s</t>
  </si>
  <si>
    <t>pretty bright, pretty large, round, mottled but not resolved</t>
  </si>
  <si>
    <t>pB, pL, R, r</t>
  </si>
  <si>
    <t>NGC1889</t>
  </si>
  <si>
    <t>5h22m35.3s</t>
  </si>
  <si>
    <t>-11h29m49s</t>
  </si>
  <si>
    <t>Makes a close D neb with h 352</t>
  </si>
  <si>
    <t>NGC1890</t>
  </si>
  <si>
    <t>5h13m45.9s</t>
  </si>
  <si>
    <t>-72h4m41s</t>
  </si>
  <si>
    <t>NGC1891</t>
  </si>
  <si>
    <t>5h21m44s</t>
  </si>
  <si>
    <t>-35h47m24s</t>
  </si>
  <si>
    <t>cluster, large, scattered, double star taken</t>
  </si>
  <si>
    <t>Cl, L, sc, ** taken</t>
  </si>
  <si>
    <t>NGC1892</t>
  </si>
  <si>
    <t>5h17m9.5s</t>
  </si>
  <si>
    <t>-64h57m37s</t>
  </si>
  <si>
    <t>considerably faint, pretty large, extended 90°±, very gradually little brighter middle</t>
  </si>
  <si>
    <t>cF, pL, E 90° ±, vglbM</t>
  </si>
  <si>
    <t>NGC1893</t>
  </si>
  <si>
    <t>字母Y星团</t>
  </si>
  <si>
    <t>II2mn</t>
  </si>
  <si>
    <t>5h22m45.6s</t>
  </si>
  <si>
    <t>+33h24m52s</t>
  </si>
  <si>
    <t>cluster, large, rich, a little compressed</t>
  </si>
  <si>
    <t>Cl, L, Ri, lC</t>
  </si>
  <si>
    <t>NGC1894</t>
  </si>
  <si>
    <t>5h15m51.3s</t>
  </si>
  <si>
    <t>-69h28m7s</t>
  </si>
  <si>
    <t>faint, pretty large, rich, suddenly brighter middle, mottled but not resolved, star involved</t>
  </si>
  <si>
    <t>F, pL, R, sbM, r, st inv</t>
  </si>
  <si>
    <t>NGC1895</t>
  </si>
  <si>
    <t>5h16m52.4s</t>
  </si>
  <si>
    <t>-67h19m47s</t>
  </si>
  <si>
    <t>pretty faint, pretty large, rich, gradually very little brighter middle</t>
  </si>
  <si>
    <t>pF, pL, R, gvlbM</t>
  </si>
  <si>
    <t>NGC1896</t>
  </si>
  <si>
    <t>5h25m6s</t>
  </si>
  <si>
    <t>+29h22m0s</t>
  </si>
  <si>
    <t>cluster, very large, rich, very little compressed, stars from 9th to 12th magnitude</t>
  </si>
  <si>
    <t>Cl, vL, Ri, vlC, st 9…12</t>
  </si>
  <si>
    <t>NGC1897</t>
  </si>
  <si>
    <t>5h17m32.4s</t>
  </si>
  <si>
    <t>-67h26m56s</t>
  </si>
  <si>
    <t>NGC1898</t>
  </si>
  <si>
    <t>5h16m42.4s</t>
  </si>
  <si>
    <t>-69h39m23s</t>
  </si>
  <si>
    <t>NGC1899</t>
  </si>
  <si>
    <t>5h17m46s</t>
  </si>
  <si>
    <t>-67h54m0s</t>
  </si>
  <si>
    <t>faint, pretty small, round, very gradually a little brighter middle, three 10th magnitude stars to west</t>
  </si>
  <si>
    <t>F, pS, R, vglbM, 3 st 10 p</t>
  </si>
  <si>
    <t>NGC1900</t>
  </si>
  <si>
    <t>5h19m9.4s</t>
  </si>
  <si>
    <t>-63h1m25s</t>
  </si>
  <si>
    <t>faint, pretty large, a little extended, very gradually very little brighter middle, 7th magnitude star to northwest</t>
  </si>
  <si>
    <t>F, pL, lE, vgvlbM, * 7 np</t>
  </si>
  <si>
    <t>NGC1901</t>
  </si>
  <si>
    <t>III3m</t>
  </si>
  <si>
    <t>5h17m48s</t>
  </si>
  <si>
    <t>-68h26m0s</t>
  </si>
  <si>
    <t>cluster, bright middle, a little rich, stars from 7th magnitude downwards</t>
  </si>
  <si>
    <t>Cl, BM, lRi, st 7…</t>
  </si>
  <si>
    <t>NGC1902</t>
  </si>
  <si>
    <t>5h18m19.2s</t>
  </si>
  <si>
    <t>-66h37m39s</t>
  </si>
  <si>
    <t>globular cluster, pretty bright, pretty large, round, pretty much brighter middle, partially resolved, some stars seen</t>
  </si>
  <si>
    <t>globular, pB, pL, R, pmbM, rr</t>
  </si>
  <si>
    <t>NGC1903</t>
  </si>
  <si>
    <t>5h17m22.4s</t>
  </si>
  <si>
    <t>-69h20m7s</t>
  </si>
  <si>
    <t>very bright, small, round, gradually much brighter middle</t>
  </si>
  <si>
    <t>vB, S, R, gmbM</t>
  </si>
  <si>
    <t>NGC1904</t>
  </si>
  <si>
    <t>V</t>
  </si>
  <si>
    <t>5h24m10.6s</t>
  </si>
  <si>
    <t>-24h31m25s</t>
  </si>
  <si>
    <t>a globular cluster, pretty large, extremely rich, extremely compressed, well resolved, clearly consisting of stars</t>
  </si>
  <si>
    <t>globular, pL, eRi, eC, rrr</t>
  </si>
  <si>
    <t>NGC1905</t>
  </si>
  <si>
    <t>5h18m23.6s</t>
  </si>
  <si>
    <t>-67h16m41s</t>
  </si>
  <si>
    <t>faint, small, round, mottled but not resolved</t>
  </si>
  <si>
    <t>F, S, R, r</t>
  </si>
  <si>
    <t>NGC1906</t>
  </si>
  <si>
    <t>5h24m47.1s</t>
  </si>
  <si>
    <t>-15h56m34s</t>
  </si>
  <si>
    <t>extremely faint, pretty small, extended 0°, gradually a little brighter middle</t>
  </si>
  <si>
    <t>eF, pS, E 0°, glbM</t>
  </si>
  <si>
    <t>NGC1907</t>
  </si>
  <si>
    <t>5h28m4.5s</t>
  </si>
  <si>
    <t>+35h19m32s</t>
  </si>
  <si>
    <t>cluster, pretty rich, pretty compressed, round, stars from 9th to 12th magnitude</t>
  </si>
  <si>
    <t>Cl, pRi, pC, R, st 9…12</t>
  </si>
  <si>
    <t>NGC1908</t>
  </si>
  <si>
    <t>5h25m53.7s</t>
  </si>
  <si>
    <t>-2h31m44s</t>
  </si>
  <si>
    <t>very diffused nebula suspected</t>
  </si>
  <si>
    <t>v diffused neb susp</t>
  </si>
  <si>
    <t>NGC1909</t>
  </si>
  <si>
    <t>5h25m54s</t>
  </si>
  <si>
    <t>-8h1m0s</t>
  </si>
  <si>
    <t>extremely large, strongly suspected (2° in PD)</t>
  </si>
  <si>
    <t>eL, strongly susp (2° in PD)</t>
  </si>
  <si>
    <t>NGC1910</t>
  </si>
  <si>
    <t>剑鱼座S星团</t>
  </si>
  <si>
    <t>5h18m33.4s</t>
  </si>
  <si>
    <t>-69h13m49s</t>
  </si>
  <si>
    <t>cluster, large, pretty rich, irregularly round, stars from 11th to 16th magnitude</t>
  </si>
  <si>
    <t>Cl, L, pRi, iR, st 11…16</t>
  </si>
  <si>
    <t>NGC1911</t>
  </si>
  <si>
    <t>5h20m33s</t>
  </si>
  <si>
    <t>-66h46m43s</t>
  </si>
  <si>
    <t>faint, round, gradually brighter middle, among stars</t>
  </si>
  <si>
    <t>F, R, gbM, am st</t>
  </si>
  <si>
    <t>NGC1912</t>
  </si>
  <si>
    <t>海星星团</t>
  </si>
  <si>
    <t>5h28m43s</t>
  </si>
  <si>
    <t>+35h51m18s</t>
  </si>
  <si>
    <t>cluster, bright, very large, very rich, irregular figure, large and small stars</t>
  </si>
  <si>
    <t>Cl, B, vL, vRi, iF, st L &amp; S</t>
  </si>
  <si>
    <t>NGC1913</t>
  </si>
  <si>
    <t>5h18m19.4s</t>
  </si>
  <si>
    <t>-69h32m12s</t>
  </si>
  <si>
    <t>standard</t>
  </si>
  <si>
    <t>NGC1914</t>
  </si>
  <si>
    <t>5h17m39.8s</t>
  </si>
  <si>
    <t>-71h15m21s</t>
  </si>
  <si>
    <t>faint, large, irregularly extended</t>
  </si>
  <si>
    <t>F, L, iE</t>
  </si>
  <si>
    <t>NGC1915</t>
  </si>
  <si>
    <t>5h19m42.3s</t>
  </si>
  <si>
    <t>-66h49m17s</t>
  </si>
  <si>
    <t>NGC1916</t>
  </si>
  <si>
    <t>5h18m36.5s</t>
  </si>
  <si>
    <t>-69h24m25s</t>
  </si>
  <si>
    <t>bright, small, round, very gradually very much brighter middle, mottled but not resolved</t>
  </si>
  <si>
    <t>B, S, R, vgvmbM, r</t>
  </si>
  <si>
    <t>NGC1917</t>
  </si>
  <si>
    <t>5h19m1.2s</t>
  </si>
  <si>
    <t>-68h59m54s</t>
  </si>
  <si>
    <t>NGC1918</t>
  </si>
  <si>
    <t>SNR</t>
  </si>
  <si>
    <t>5h19m7.1s</t>
  </si>
  <si>
    <t>-69h39m45s</t>
  </si>
  <si>
    <t>NGC1919</t>
  </si>
  <si>
    <t>5h20m18s</t>
  </si>
  <si>
    <t>-66h53m20s</t>
  </si>
  <si>
    <t>cluster, extremely faint, large, irregularly round, much compressed, partially resolved, some stars seen</t>
  </si>
  <si>
    <t>Cl, eF, L, iR, mC, rr</t>
  </si>
  <si>
    <t>NGC1920</t>
  </si>
  <si>
    <t>pB, pL, R, vgbM</t>
  </si>
  <si>
    <t>NGC1921</t>
  </si>
  <si>
    <t>5h19m22.8s</t>
  </si>
  <si>
    <t>-69h47m16s</t>
  </si>
  <si>
    <t>very faint, pretty small, a little extended, mottled but not resolved</t>
  </si>
  <si>
    <t>vF, pS, lE, r</t>
  </si>
  <si>
    <t>NGC1922</t>
  </si>
  <si>
    <t>5h19m50s</t>
  </si>
  <si>
    <t>-69h30m6s</t>
  </si>
  <si>
    <t>NGC1923</t>
  </si>
  <si>
    <t>5h21m34.1s</t>
  </si>
  <si>
    <t>-65h29m12s</t>
  </si>
  <si>
    <t>NGC1924</t>
  </si>
  <si>
    <t>5h28m1.9s</t>
  </si>
  <si>
    <t>-5h18m37s</t>
  </si>
  <si>
    <t>very faint, pretty large, irregularly round, stars near</t>
  </si>
  <si>
    <t>vF, pL, iR, st nr</t>
  </si>
  <si>
    <t>NGC1925</t>
  </si>
  <si>
    <t>5h21m30s</t>
  </si>
  <si>
    <t>-65h48m48s</t>
  </si>
  <si>
    <t>cluster, very little rich, a little compressed, stars of 10th magnitude</t>
  </si>
  <si>
    <t>Cl, vlRi, lC, st 10</t>
  </si>
  <si>
    <t>NGC1926</t>
  </si>
  <si>
    <t>5h20m34.2s</t>
  </si>
  <si>
    <t>-69h31m27s</t>
  </si>
  <si>
    <t>pretty bright, pretty large, irregularly round, mottled but not resolved, in diffuse nebula</t>
  </si>
  <si>
    <t>pB, pL, iR, r, in dif n</t>
  </si>
  <si>
    <t>NGC1927</t>
  </si>
  <si>
    <t>5h28m42.9s</t>
  </si>
  <si>
    <t>-8h22m38s</t>
  </si>
  <si>
    <t>diffused nebulosity</t>
  </si>
  <si>
    <t>Diffused nebulosity</t>
  </si>
  <si>
    <t>NGC1928</t>
  </si>
  <si>
    <t>5h20m56.6s</t>
  </si>
  <si>
    <t>-69h28m41s</t>
  </si>
  <si>
    <t>pretty faint, pretty large, round, gradually brighter middle</t>
  </si>
  <si>
    <t>pF, pL, R, gbM</t>
  </si>
  <si>
    <t>NGC1929</t>
  </si>
  <si>
    <t>5h21m37s</t>
  </si>
  <si>
    <t>-67h54m48s</t>
  </si>
  <si>
    <t>faint, preceding of group</t>
  </si>
  <si>
    <t>F, p of group</t>
  </si>
  <si>
    <t>NGC1930</t>
  </si>
  <si>
    <t>5h25m56.6s</t>
  </si>
  <si>
    <t>-46h43m42s</t>
  </si>
  <si>
    <t>pretty faint, small, round, brighter middle, 4 bright stars to west</t>
  </si>
  <si>
    <t>pF, S, R, bM, 4 B st p</t>
  </si>
  <si>
    <t>NGC1931</t>
  </si>
  <si>
    <t>苍蝇星云</t>
  </si>
  <si>
    <t>5h31m25.7s</t>
  </si>
  <si>
    <t>+34h14m42s</t>
  </si>
  <si>
    <t>very bright, large, round, bright triple star in middle</t>
  </si>
  <si>
    <t>vB, L, R, B *** in M</t>
  </si>
  <si>
    <t>NGC1932</t>
  </si>
  <si>
    <t>5h22m17.3s</t>
  </si>
  <si>
    <t>-66h9m14s</t>
  </si>
  <si>
    <t>pretty bright, small, round, suddenly much brighter middle, part of a double nebula separated by 80 arcsec, at a position angle of 26° (relative to each other)</t>
  </si>
  <si>
    <t>pB, S, R, smbM, D neb 26°, 80"</t>
  </si>
  <si>
    <t>NGC1933</t>
  </si>
  <si>
    <t>5h22m27.3s</t>
  </si>
  <si>
    <t>-66h9m8s</t>
  </si>
  <si>
    <t>extremely faint, round, stellar, part of a double nebula separated by 80 arcsec, at a position angle of 26° (relative to each other)</t>
  </si>
  <si>
    <t>eF, R, stellar, D neb 26°, 80"</t>
  </si>
  <si>
    <t>NGC1934</t>
  </si>
  <si>
    <t>5h21m54s</t>
  </si>
  <si>
    <t>-67h54m54s</t>
  </si>
  <si>
    <t>2nd nebula of group</t>
  </si>
  <si>
    <t>2nd neb of group</t>
  </si>
  <si>
    <t>NGC1935</t>
  </si>
  <si>
    <t>5h21m58.8s</t>
  </si>
  <si>
    <t>-67h57m27s</t>
  </si>
  <si>
    <t>pretty faint, small, round, 3rd of group</t>
  </si>
  <si>
    <t>pF, S, R, 3rd of group</t>
  </si>
  <si>
    <t>NGC1936</t>
  </si>
  <si>
    <t>5h22m14.6s</t>
  </si>
  <si>
    <t>-67h58m34s</t>
  </si>
  <si>
    <t>a remarkable object, pretty bright, small, round, 4th of group</t>
  </si>
  <si>
    <t>!, pB, S, R, 4th of group</t>
  </si>
  <si>
    <t>NGC1937</t>
  </si>
  <si>
    <t>5h22m24s</t>
  </si>
  <si>
    <t>very faint, pretty large, follows a group</t>
  </si>
  <si>
    <t>vF, pL, follows a group</t>
  </si>
  <si>
    <t>NGC1938</t>
  </si>
  <si>
    <t>5h21m24.8s</t>
  </si>
  <si>
    <t>-69h56m22s</t>
  </si>
  <si>
    <t>pretty bright, pretty small, round, gradually a little brighter middle, part of a double nebula separated by 50 arcsec, with a position angle of 339°</t>
  </si>
  <si>
    <t>pB, pS, R, glbM, D neb 339°, 50"</t>
  </si>
  <si>
    <t>NGC1939</t>
  </si>
  <si>
    <t>5h21m26.7s</t>
  </si>
  <si>
    <t>-69h56m59s</t>
  </si>
  <si>
    <t>faint, small, round, gradually a little brighter middle, part of a double nebula separated by 50 arcsec, with a position angle of 339°</t>
  </si>
  <si>
    <t>F, S, R, glbM, D neb 339°, 50"</t>
  </si>
  <si>
    <t>NGC1940</t>
  </si>
  <si>
    <t>5h22m43.8s</t>
  </si>
  <si>
    <t>-67h11m12s</t>
  </si>
  <si>
    <t>pretty bright, very small, round, brighter middle, 2 stars of 9th and 10th magnitude to east</t>
  </si>
  <si>
    <t>pB, vS, R, bM, 2 st 9 &amp; 10 f</t>
  </si>
  <si>
    <t>NGC1941</t>
  </si>
  <si>
    <t>5h23m7.8s</t>
  </si>
  <si>
    <t>-66h22m43s</t>
  </si>
  <si>
    <t>very small, nebula plus stars</t>
  </si>
  <si>
    <t>vS, neb + st</t>
  </si>
  <si>
    <t>NGC1942</t>
  </si>
  <si>
    <t>5h24m44.6s</t>
  </si>
  <si>
    <t>-63h56m32s</t>
  </si>
  <si>
    <t>extremely faint, stellar, 14th magnitude star plus nebula</t>
  </si>
  <si>
    <t>eF, stell, * 14 + neb</t>
  </si>
  <si>
    <t>NGC1943</t>
  </si>
  <si>
    <t>5h22m28.8s</t>
  </si>
  <si>
    <t>-70h9m18s</t>
  </si>
  <si>
    <t>pretty faint, pretty small, irregularly round, very gradually a little brighter middle, 15th magnitude star 60 arcsec distant at position angle 190°.6</t>
  </si>
  <si>
    <t>pF, pS, iR, vglbM, * 15, 190°.6, 60"</t>
  </si>
  <si>
    <t>NGC1944</t>
  </si>
  <si>
    <t>5h21m57.4s</t>
  </si>
  <si>
    <t>-72h29m40s</t>
  </si>
  <si>
    <t>pretty bright, pretty large, round, brighter middle</t>
  </si>
  <si>
    <t>pB, pL, R, bM</t>
  </si>
  <si>
    <t>NGC1945</t>
  </si>
  <si>
    <t>5h24m54s</t>
  </si>
  <si>
    <t>-66h27m12s</t>
  </si>
  <si>
    <t>most excessively extremely faint, very very large, irregularly diffuse</t>
  </si>
  <si>
    <t>eeeF, vvL, irr dif</t>
  </si>
  <si>
    <t>NGC1946</t>
  </si>
  <si>
    <t>5h25m16.4s</t>
  </si>
  <si>
    <t>-66h23m41s</t>
  </si>
  <si>
    <t>pretty faint, round, gradually brighter middle, mottled but not resolved</t>
  </si>
  <si>
    <t>pF, R, gbM, r</t>
  </si>
  <si>
    <t>NGC1947</t>
  </si>
  <si>
    <t>5h26m47.3s</t>
  </si>
  <si>
    <t>-63h45m39s</t>
  </si>
  <si>
    <t>pretty bright, large, round, gradually a little brighter middle, 9th magnitude star to northwest</t>
  </si>
  <si>
    <t>pB, L, R, glbM, * 9 np</t>
  </si>
  <si>
    <t>NGC1948</t>
  </si>
  <si>
    <t>5h25m46.3s</t>
  </si>
  <si>
    <t>-66h16m1s</t>
  </si>
  <si>
    <t>cluster, considerably large, rich, stars of 13th magnitude</t>
  </si>
  <si>
    <t>Cl, cL, Ri, st 13</t>
  </si>
  <si>
    <t>NGC1949</t>
  </si>
  <si>
    <t>5h25m5s</t>
  </si>
  <si>
    <t>-68h28m16s</t>
  </si>
  <si>
    <t>NGC1950</t>
  </si>
  <si>
    <t>5h24m33.1s</t>
  </si>
  <si>
    <t>-69h54m9s</t>
  </si>
  <si>
    <t>The 1st of a group of 7!</t>
  </si>
  <si>
    <t>NGC1951</t>
  </si>
  <si>
    <t>5h26m6.9s</t>
  </si>
  <si>
    <t>-66h35m50s</t>
  </si>
  <si>
    <t>B, lE, sbM ** 10 &amp; 11</t>
  </si>
  <si>
    <t>NGC1952</t>
  </si>
  <si>
    <t>蟹状星云</t>
  </si>
  <si>
    <t>5h34m31.9s</t>
  </si>
  <si>
    <t>+22h0m52s</t>
  </si>
  <si>
    <t>very bright, very large, extended 135°±, very gradually a little brighter middle, mottled but not resolved</t>
  </si>
  <si>
    <t>vB, vL, E 135° ±, vglbM, r</t>
  </si>
  <si>
    <t>NGC1953</t>
  </si>
  <si>
    <t>5h25m27.9s</t>
  </si>
  <si>
    <t>-68h50m18s</t>
  </si>
  <si>
    <t>pretty bright, small, round, gradually a little brighter middle</t>
  </si>
  <si>
    <t>pB, S, R, glbM</t>
  </si>
  <si>
    <t>NGC1954</t>
  </si>
  <si>
    <t>5h32m48.3s</t>
  </si>
  <si>
    <t>-14h3m44s</t>
  </si>
  <si>
    <t>very faint, small, round, suddenly much brighter middle</t>
  </si>
  <si>
    <t>vF, S, R, smbM</t>
  </si>
  <si>
    <t>NGC1955</t>
  </si>
  <si>
    <t>5h26m10s</t>
  </si>
  <si>
    <t>-67h29m51s</t>
  </si>
  <si>
    <t>a cluster, rich, 2nd of several</t>
  </si>
  <si>
    <t>Cl, Ri, 2nd of sev</t>
  </si>
  <si>
    <t>NGC1956</t>
  </si>
  <si>
    <t>5h19m35.6s</t>
  </si>
  <si>
    <t>-77h43m47s</t>
  </si>
  <si>
    <t>NGC1957</t>
  </si>
  <si>
    <t>5h32m55.1s</t>
  </si>
  <si>
    <t>-14h7m57s</t>
  </si>
  <si>
    <t>extremely faint, pretty small, round, brighter middle and nucleus, 15th magnitude star involved</t>
  </si>
  <si>
    <t>eF, pS, R, bMN, * 15 inv</t>
  </si>
  <si>
    <t>NGC1958</t>
  </si>
  <si>
    <t>5h25m30.6s</t>
  </si>
  <si>
    <t>-69h50m13s</t>
  </si>
  <si>
    <t>F, pL, iR, vgbM, 2nd of group!</t>
  </si>
  <si>
    <t>NGC1959</t>
  </si>
  <si>
    <t>5h25m36.7s</t>
  </si>
  <si>
    <t>-69h55m37s</t>
  </si>
  <si>
    <t>F, vL, vgbM, 3rd of group!</t>
  </si>
  <si>
    <t>NGC1960</t>
  </si>
  <si>
    <t>风车星团</t>
  </si>
  <si>
    <t>5h36m17.7s</t>
  </si>
  <si>
    <t>+34h8m27s</t>
  </si>
  <si>
    <t>Cl, B, vL, vRi, lC, st 9…11 sc</t>
  </si>
  <si>
    <t>NGC1961</t>
  </si>
  <si>
    <t>5h42m3.9s</t>
  </si>
  <si>
    <t>+69h22m43s</t>
  </si>
  <si>
    <t>considerably faint, pretty large, irregular figure, much brighter middle, extremely mottled but not resolved, star involved (questionable Polar Distance)</t>
  </si>
  <si>
    <t>cF, pL, iF, mbM, er, * inv (? PD)</t>
  </si>
  <si>
    <t>NGC1962</t>
  </si>
  <si>
    <t>5h26m17.8s</t>
  </si>
  <si>
    <t>-68h50m16s</t>
  </si>
  <si>
    <t>vF, pL, R, 1st of 4!</t>
  </si>
  <si>
    <t>NGC1963</t>
  </si>
  <si>
    <t>5h32m10.8s</t>
  </si>
  <si>
    <t>-36h22m50s</t>
  </si>
  <si>
    <t>a cluster, stars from 8th to 11th magnitude</t>
  </si>
  <si>
    <t>Cl, st 8…11</t>
  </si>
  <si>
    <t>NGC1964</t>
  </si>
  <si>
    <t>5h33m21.8s</t>
  </si>
  <si>
    <t>-21h56m43s</t>
  </si>
  <si>
    <t>F, vS, R, vsvmbM * 12, 3 st inv</t>
  </si>
  <si>
    <t>NGC1965</t>
  </si>
  <si>
    <t>5h26m29.1s</t>
  </si>
  <si>
    <t>-68h48m23s</t>
  </si>
  <si>
    <t>F, S, 2nd of 4!</t>
  </si>
  <si>
    <t>NGC1966</t>
  </si>
  <si>
    <t>5h26m45s</t>
  </si>
  <si>
    <t>-68h48m54s</t>
  </si>
  <si>
    <t>pB, R, pslbM, 3rd of 4, in pL, irr Cl</t>
  </si>
  <si>
    <t>NGC1967</t>
  </si>
  <si>
    <t>5h26m43.4s</t>
  </si>
  <si>
    <t>-69h6m6s</t>
  </si>
  <si>
    <t>NGC1968</t>
  </si>
  <si>
    <t>5h27m24s</t>
  </si>
  <si>
    <t>-67h27m48s</t>
  </si>
  <si>
    <t>a cluster, rich, 3rd of several</t>
  </si>
  <si>
    <t>Cl, Ri, 3rd of sev</t>
  </si>
  <si>
    <t>NGC1969</t>
  </si>
  <si>
    <t>5h26m32.4s</t>
  </si>
  <si>
    <t>-69h50m29s</t>
  </si>
  <si>
    <t>F, S, 4th of gr of 7</t>
  </si>
  <si>
    <t>NGC1970</t>
  </si>
  <si>
    <t>5h26m52.7s</t>
  </si>
  <si>
    <t>-68h50m12s</t>
  </si>
  <si>
    <t>4th of 4</t>
  </si>
  <si>
    <t>NGC1971</t>
  </si>
  <si>
    <t>5h26m45.3s</t>
  </si>
  <si>
    <t>-69h51m6s</t>
  </si>
  <si>
    <t>5th of gr of 7</t>
  </si>
  <si>
    <t>NGC1972</t>
  </si>
  <si>
    <t>5h26m47.4s</t>
  </si>
  <si>
    <t>-69h50m18s</t>
  </si>
  <si>
    <t>6th of gr of 7! D, a vS neb np</t>
  </si>
  <si>
    <t>NGC1973</t>
  </si>
  <si>
    <t>美人鱼的钱包星云</t>
  </si>
  <si>
    <t>5h35m4.8s</t>
  </si>
  <si>
    <t>-4h43m55s</t>
  </si>
  <si>
    <t>* 8·9 inv in Neb (V 30)</t>
  </si>
  <si>
    <t>NGC1974</t>
  </si>
  <si>
    <t>5h28m0.4s</t>
  </si>
  <si>
    <t>-67h25m23s</t>
  </si>
  <si>
    <t>a cluster, large, irregular</t>
  </si>
  <si>
    <t>Cl, L, irr</t>
  </si>
  <si>
    <t>NGC1975</t>
  </si>
  <si>
    <t>跑步者星云</t>
  </si>
  <si>
    <t>5h35m18s</t>
  </si>
  <si>
    <t>-4h41m0s</t>
  </si>
  <si>
    <t>B ** inv in neb (V 30)</t>
  </si>
  <si>
    <t>NGC1976</t>
  </si>
  <si>
    <t>猎户座大星云</t>
  </si>
  <si>
    <t>EN+RN</t>
  </si>
  <si>
    <t>5h35m17.1s</t>
  </si>
  <si>
    <t>-5h23m25s</t>
  </si>
  <si>
    <t>!!! Θ? Orionis and the great neb</t>
  </si>
  <si>
    <t>NGC1977</t>
  </si>
  <si>
    <t>RN+OCL</t>
  </si>
  <si>
    <t>-4h49m15s</t>
  </si>
  <si>
    <t>!!, c? 42 Orionis and neb</t>
  </si>
  <si>
    <t>NGC1978</t>
  </si>
  <si>
    <t>5h28m45.2s</t>
  </si>
  <si>
    <t>-66h14m14s</t>
  </si>
  <si>
    <t>very bright, very large, a little extended, very gradually pretty much brighter middle</t>
  </si>
  <si>
    <t>vB, vL, lE, vgpmbM</t>
  </si>
  <si>
    <t>NGC1979</t>
  </si>
  <si>
    <t>5h34m1.1s</t>
  </si>
  <si>
    <t>-23h18m37s</t>
  </si>
  <si>
    <t>NGC1980</t>
  </si>
  <si>
    <t>猎户座遗失宝石</t>
  </si>
  <si>
    <t>5h35m25s</t>
  </si>
  <si>
    <t>-5h54m54s</t>
  </si>
  <si>
    <t>vF, vvL, ι 44 Orionis inv</t>
  </si>
  <si>
    <t>NGC1981</t>
  </si>
  <si>
    <t>煤车星团</t>
  </si>
  <si>
    <t>5h35m12s</t>
  </si>
  <si>
    <t>-4h26m0s</t>
  </si>
  <si>
    <t>a cluster, very bright, a little rich, stars large, scattered</t>
  </si>
  <si>
    <t>Cl, vB, lRi, st L, sc</t>
  </si>
  <si>
    <t>NGC1982</t>
  </si>
  <si>
    <t>迪马伦星云</t>
  </si>
  <si>
    <t>5h35m31.3s</t>
  </si>
  <si>
    <t>-5h16m3s</t>
  </si>
  <si>
    <t>! vB, vL, R with tail, mbM * 8·9</t>
  </si>
  <si>
    <t>NGC1983</t>
  </si>
  <si>
    <t>5h27m44.3s</t>
  </si>
  <si>
    <t>-68h59m10s</t>
  </si>
  <si>
    <t>a cluster, very large, pretty rich, irregular figure</t>
  </si>
  <si>
    <t>Cl, vL, pRi, iF</t>
  </si>
  <si>
    <t>NGC1984</t>
  </si>
  <si>
    <t>5h27m41s</t>
  </si>
  <si>
    <t>-69h8m4s</t>
  </si>
  <si>
    <t>Cl, place of **</t>
  </si>
  <si>
    <t>NGC1985</t>
  </si>
  <si>
    <t>5h37m47.8s</t>
  </si>
  <si>
    <t>+31h59m20s</t>
  </si>
  <si>
    <t>considerably faint, small, round, pretty suddenly brighter middle</t>
  </si>
  <si>
    <t>cF, S, R, psbM</t>
  </si>
  <si>
    <t>NGC1986</t>
  </si>
  <si>
    <t>5h27m39s</t>
  </si>
  <si>
    <t>-69h58m22s</t>
  </si>
  <si>
    <t>bright, pretty large, round, gradually brighter middle</t>
  </si>
  <si>
    <t>B, pL, R, gbM</t>
  </si>
  <si>
    <t>NGC1987</t>
  </si>
  <si>
    <t>5h27m17.2s</t>
  </si>
  <si>
    <t>-70h44m15s</t>
  </si>
  <si>
    <t>faint, large, irregularly round, 3 stars to west</t>
  </si>
  <si>
    <t>F, L, iR, 3 st p</t>
  </si>
  <si>
    <t>NGC1988</t>
  </si>
  <si>
    <t>5h37m26.5s</t>
  </si>
  <si>
    <t>+21h13m7s</t>
  </si>
  <si>
    <t>!!!, variable (?)</t>
  </si>
  <si>
    <t>NGC1989</t>
  </si>
  <si>
    <t>5h34m23.4s</t>
  </si>
  <si>
    <t>-30h48m2s</t>
  </si>
  <si>
    <t>very faint, small, round, a little brighter middle, star near</t>
  </si>
  <si>
    <t>vF, S, R, lbM, st nr</t>
  </si>
  <si>
    <t>NGC1990</t>
  </si>
  <si>
    <t>参宿二星云</t>
  </si>
  <si>
    <t>5h36m12.8s</t>
  </si>
  <si>
    <t>-1h12m5s</t>
  </si>
  <si>
    <t>!!!, eL, E, ε Orionis inv p</t>
  </si>
  <si>
    <t>NGC1991</t>
  </si>
  <si>
    <t>Cl, 4th of sev</t>
  </si>
  <si>
    <t>NGC1992</t>
  </si>
  <si>
    <t>5h34m31.8s</t>
  </si>
  <si>
    <t>-30h53m49s</t>
  </si>
  <si>
    <t>most extremely faint, very small</t>
  </si>
  <si>
    <t>eeF, vS</t>
  </si>
  <si>
    <t>NGC1993</t>
  </si>
  <si>
    <t>5h35m25.4s</t>
  </si>
  <si>
    <t>-17h48m54s</t>
  </si>
  <si>
    <t>NGC1994</t>
  </si>
  <si>
    <t>5h28m21.8s</t>
  </si>
  <si>
    <t>-69h8m31s</t>
  </si>
  <si>
    <t>a cluster, extremely small, stars from 11th to 16th magnitude</t>
  </si>
  <si>
    <t>Cl, eS, st 11…16</t>
  </si>
  <si>
    <t>NGC1995</t>
  </si>
  <si>
    <t>5h33m3.3s</t>
  </si>
  <si>
    <t>-48h40m28s</t>
  </si>
  <si>
    <t>most extremely faint, round, brighter middle, difficult, western of 2</t>
  </si>
  <si>
    <t>eeF, R, bM, diffic, p of 2</t>
  </si>
  <si>
    <t>NGC1996</t>
  </si>
  <si>
    <t>5h38m10.2s</t>
  </si>
  <si>
    <t>+25h49m4s</t>
  </si>
  <si>
    <t>a cluster, large, a little compressed, a little rich</t>
  </si>
  <si>
    <t>Cl, L, lC, lRi</t>
  </si>
  <si>
    <t>NGC1997</t>
  </si>
  <si>
    <t>5h30m34.4s</t>
  </si>
  <si>
    <t>-63h12m15s</t>
  </si>
  <si>
    <t>extremely faint, considerably small, round</t>
  </si>
  <si>
    <t>eF, cS, R</t>
  </si>
  <si>
    <t>NGC1998</t>
  </si>
  <si>
    <t>5h33m15.7s</t>
  </si>
  <si>
    <t>-48h41m43s</t>
  </si>
  <si>
    <t>vF, R, gbM, st s, f of 2</t>
  </si>
  <si>
    <t>NGC1999</t>
  </si>
  <si>
    <t>第13珍珠星云</t>
  </si>
  <si>
    <t>5h36m25.4s</t>
  </si>
  <si>
    <t>-6h42m57s</t>
  </si>
  <si>
    <t>* 10, 11 inv in Neb</t>
  </si>
  <si>
    <t>NGC2000</t>
  </si>
  <si>
    <t>5h27m29.3s</t>
  </si>
  <si>
    <t>-71h52m46s</t>
  </si>
  <si>
    <t>faint, pretty large, round, a very little brighter middle</t>
  </si>
  <si>
    <t>F, pL, R, vlbM</t>
  </si>
  <si>
    <t>NGC2001</t>
  </si>
  <si>
    <t>5h29m2.1s</t>
  </si>
  <si>
    <t>-68h46m10s</t>
  </si>
  <si>
    <t>a cluster, stars of 13th magnitude</t>
  </si>
  <si>
    <t>Cl, st 13m</t>
  </si>
  <si>
    <t>NGC2002</t>
  </si>
  <si>
    <t>5h30m20.4s</t>
  </si>
  <si>
    <t>-66h53m3s</t>
  </si>
  <si>
    <t>very bright, small, round, double star plus nebula in very large cluster</t>
  </si>
  <si>
    <t>vB, S, R, ** + neb in vLCl</t>
  </si>
  <si>
    <t>NGC2003</t>
  </si>
  <si>
    <t>5h30m54.4s</t>
  </si>
  <si>
    <t>-66h27m59s</t>
  </si>
  <si>
    <t>bright, small, stellar, mottled but not resolved</t>
  </si>
  <si>
    <t>B, S, stellar, r</t>
  </si>
  <si>
    <t>NGC2004</t>
  </si>
  <si>
    <t>5h30m40.3s</t>
  </si>
  <si>
    <t>-67h17m10s</t>
  </si>
  <si>
    <t>a globular cluster, bright, pretty large, pretty rich, compressed, stars of 12th magnitude</t>
  </si>
  <si>
    <t>globular, B, pL, pRi, C, st 12</t>
  </si>
  <si>
    <t>NGC2005</t>
  </si>
  <si>
    <t>5h30m10.9s</t>
  </si>
  <si>
    <t>-69h45m9s</t>
  </si>
  <si>
    <t>no description, in Nubecula Major</t>
  </si>
  <si>
    <t>NGC2006</t>
  </si>
  <si>
    <t>5h31m19.6s</t>
  </si>
  <si>
    <t>-66h58m19s</t>
  </si>
  <si>
    <t>a cluster, extremely large, very rich, very bright very small nucleus and middle</t>
  </si>
  <si>
    <t>Cl, eL, vRi, vBvSNM</t>
  </si>
  <si>
    <t>NGC2007</t>
  </si>
  <si>
    <t>5h34m58.9s</t>
  </si>
  <si>
    <t>-50h55m18s</t>
  </si>
  <si>
    <t>NGC2008</t>
  </si>
  <si>
    <t>5h35m3.8s</t>
  </si>
  <si>
    <t>-50h57m58s</t>
  </si>
  <si>
    <t>extremely faint, pretty large, round, a very little brighter middle</t>
  </si>
  <si>
    <t>eF, pL, R, vlbM</t>
  </si>
  <si>
    <t>NGC2009</t>
  </si>
  <si>
    <t>5h30m59.2s</t>
  </si>
  <si>
    <t>-69h10m54s</t>
  </si>
  <si>
    <t>pretty faint, pretty small, round, gradually a little brighter middle, in a cluster</t>
  </si>
  <si>
    <t>pF, pS, R, glbM, in Cl</t>
  </si>
  <si>
    <t>NGC2010</t>
  </si>
  <si>
    <t>5h30m35s</t>
  </si>
  <si>
    <t>-70h49m11s</t>
  </si>
  <si>
    <t>NGC2011</t>
  </si>
  <si>
    <t>5h32m20.3s</t>
  </si>
  <si>
    <t>-67h31m24s</t>
  </si>
  <si>
    <t>very bright, small, round, pretty suddenly much brighter middle</t>
  </si>
  <si>
    <t>vB, S, R, psmbM</t>
  </si>
  <si>
    <t>NGC2012</t>
  </si>
  <si>
    <t>5h22m35.1s</t>
  </si>
  <si>
    <t>-79h51m7s</t>
  </si>
  <si>
    <t>very faint, small, a little extended, brighter middle, 2 stars 9 (arcmin) to northeast</t>
  </si>
  <si>
    <t>vF, S, lE, bM, 2 st 9 nf</t>
  </si>
  <si>
    <t>NGC2013</t>
  </si>
  <si>
    <t>5h44m1.6s</t>
  </si>
  <si>
    <t>+55h47m22s</t>
  </si>
  <si>
    <t>a cluster, very little rich, stars of 11th magnitude</t>
  </si>
  <si>
    <t>Cl, vlRi, st 11</t>
  </si>
  <si>
    <t>NGC2014</t>
  </si>
  <si>
    <t>5h32m19.9s</t>
  </si>
  <si>
    <t>-67h41m24s</t>
  </si>
  <si>
    <t>a cluster, pretty large, pretty compressed, irregular figure, stars from 9th to 15th magnitude</t>
  </si>
  <si>
    <t>Cl, pL, pC, iF, st 9…15</t>
  </si>
  <si>
    <t>NGC2015</t>
  </si>
  <si>
    <t>5h32m6s</t>
  </si>
  <si>
    <t>-69h14m36s</t>
  </si>
  <si>
    <t>a cluster, very large, rich, very little compressed</t>
  </si>
  <si>
    <t>Cl, vL, Ri, vlC</t>
  </si>
  <si>
    <t>NGC2016</t>
  </si>
  <si>
    <t>5h31m36s</t>
  </si>
  <si>
    <t>-69h56m30s</t>
  </si>
  <si>
    <t>faint, very large, irregularly round, gradually brighter middle</t>
  </si>
  <si>
    <t>F, vL, iR, gbM</t>
  </si>
  <si>
    <t>NGC2017</t>
  </si>
  <si>
    <t>5h39m16.2s</t>
  </si>
  <si>
    <t>-17h50m59s</t>
  </si>
  <si>
    <t>a cluster of large (bright) stars</t>
  </si>
  <si>
    <t>Cl of L st</t>
  </si>
  <si>
    <t>NGC2018</t>
  </si>
  <si>
    <t>5h31m20.2s</t>
  </si>
  <si>
    <t>-71h3m58s</t>
  </si>
  <si>
    <t>pretty bright, pretty large, round, pretty gradually a little brighter middle, 10th magnitude star involved on west</t>
  </si>
  <si>
    <t>pB, pL, R, pglbM, * 10 p inv</t>
  </si>
  <si>
    <t>NGC2019</t>
  </si>
  <si>
    <t>5h31m56.7s</t>
  </si>
  <si>
    <t>-70h9m35s</t>
  </si>
  <si>
    <t>bright, pretty large, gradually brighter middle</t>
  </si>
  <si>
    <t>B, pL, gbM</t>
  </si>
  <si>
    <t>NGC2020</t>
  </si>
  <si>
    <t>5h33m12.7s</t>
  </si>
  <si>
    <t>-67h42m57s</t>
  </si>
  <si>
    <t>faint, very large, very little extended, very gradually a little brighter middle</t>
  </si>
  <si>
    <t>F, vL, vlE, vglbM</t>
  </si>
  <si>
    <t>NGC2021</t>
  </si>
  <si>
    <t>5h33m30.7s</t>
  </si>
  <si>
    <t>-67h27m11s</t>
  </si>
  <si>
    <t>very faint, small, round, in pretty large cluster</t>
  </si>
  <si>
    <t>vF, S, R, in pLCl</t>
  </si>
  <si>
    <t>NGC2022</t>
  </si>
  <si>
    <t>吻月星云</t>
  </si>
  <si>
    <t>5h42m6.2s</t>
  </si>
  <si>
    <t>+9h5m12s</t>
  </si>
  <si>
    <t>a planetary nebula, pretty bright, very small, very little extended</t>
  </si>
  <si>
    <t>planetary, pB, vS, vlE</t>
  </si>
  <si>
    <t>NGC2023</t>
  </si>
  <si>
    <t>5h41m38.2s</t>
  </si>
  <si>
    <t>-2h15m33s</t>
  </si>
  <si>
    <t>a bright star in middle of large, little extended nebula</t>
  </si>
  <si>
    <t>B * in M of L, lE neb</t>
  </si>
  <si>
    <t>NGC2024</t>
  </si>
  <si>
    <t>火焰星云</t>
  </si>
  <si>
    <t>5h41m42s</t>
  </si>
  <si>
    <t>-1h51m24s</t>
  </si>
  <si>
    <t>a remarkable object, irregular, bright, very very large, black spaces included</t>
  </si>
  <si>
    <t>! irr, B, vvL, black sp incl</t>
  </si>
  <si>
    <t>NGC2025</t>
  </si>
  <si>
    <t>5h32m33.7s</t>
  </si>
  <si>
    <t>-71h42m56s</t>
  </si>
  <si>
    <t>very bright, very small, a little extended, gradually much brighter middle, mottled but not resolved</t>
  </si>
  <si>
    <t>vB, vS, lE, gmbM, r</t>
  </si>
  <si>
    <t>NGC2026</t>
  </si>
  <si>
    <t>5h43m12s</t>
  </si>
  <si>
    <t>+20h8m0s</t>
  </si>
  <si>
    <t>a cluster, a little rich, a little compressed, stars pretty large (bright)</t>
  </si>
  <si>
    <t>Cl, lRi, lC, st pL</t>
  </si>
  <si>
    <t>NGC2027</t>
  </si>
  <si>
    <t>5h34m59.8s</t>
  </si>
  <si>
    <t>-66h54m59s</t>
  </si>
  <si>
    <t>a cluster, very large, rich, stars from 9th to 11th magnitude</t>
  </si>
  <si>
    <t>Cl, vL, Ri, st 9…11</t>
  </si>
  <si>
    <t>NGC2028</t>
  </si>
  <si>
    <t>5h33m48.6s</t>
  </si>
  <si>
    <t>-69h57m7s</t>
  </si>
  <si>
    <t>NGC2029</t>
  </si>
  <si>
    <t>5h35m38s</t>
  </si>
  <si>
    <t>-66h2m0s</t>
  </si>
  <si>
    <t>pretty bright, pretty large, round, gradually brighter middle, in considerably large cluster</t>
  </si>
  <si>
    <t>pB, pL, R, gbM, in cLCl</t>
  </si>
  <si>
    <t>NGC2030</t>
  </si>
  <si>
    <t>5h35m0s</t>
  </si>
  <si>
    <t>-67h33m18s</t>
  </si>
  <si>
    <t>pretty bright, large, irregularly round, gradually brighter middle, 1st of 3</t>
  </si>
  <si>
    <t>pB, L, iR, gbM, 1st of 3</t>
  </si>
  <si>
    <t>NGC2031</t>
  </si>
  <si>
    <t>5h33m41.9s</t>
  </si>
  <si>
    <t>-70h59m13s</t>
  </si>
  <si>
    <t>a globular cluster, bright, pretty large, round, gradually brighter middle, partially resolved (some stars seen)</t>
  </si>
  <si>
    <t>globular, B, pL, R, gbM, rr</t>
  </si>
  <si>
    <t>NGC2032</t>
  </si>
  <si>
    <t>5h35m20s</t>
  </si>
  <si>
    <t>-67h34m36s</t>
  </si>
  <si>
    <t>bright, large, extended, 2nd of 3</t>
  </si>
  <si>
    <t>B, L, E, 2nd of 3</t>
  </si>
  <si>
    <t>NGC2033</t>
  </si>
  <si>
    <t>5h34m30.6s</t>
  </si>
  <si>
    <t>-69h46m48s</t>
  </si>
  <si>
    <t>a cluster, in Nubecula Major</t>
  </si>
  <si>
    <t>Cl, in Nubec major</t>
  </si>
  <si>
    <t>NGC2034</t>
  </si>
  <si>
    <t>5h35m32.8s</t>
  </si>
  <si>
    <t>-66h54m13s</t>
  </si>
  <si>
    <t>a cluster, very large, rich</t>
  </si>
  <si>
    <t>Cl, vL, Ri</t>
  </si>
  <si>
    <t>NGC2035</t>
  </si>
  <si>
    <t>5h35m32.5s</t>
  </si>
  <si>
    <t>-67h35m8s</t>
  </si>
  <si>
    <t>bright, large, round, brighter middle, 3rd of 3</t>
  </si>
  <si>
    <t>B, L, R, bM, 3rd of 3</t>
  </si>
  <si>
    <t>NGC2036</t>
  </si>
  <si>
    <t>5h34m31.5s</t>
  </si>
  <si>
    <t>-70h3m52s</t>
  </si>
  <si>
    <t>NGC2037</t>
  </si>
  <si>
    <t>5h34m54s</t>
  </si>
  <si>
    <t>-69h44m12s</t>
  </si>
  <si>
    <t>a cluster in Nubecula Major</t>
  </si>
  <si>
    <t>NGC2038</t>
  </si>
  <si>
    <t>5h34m42.4s</t>
  </si>
  <si>
    <t>-70h33m47s</t>
  </si>
  <si>
    <t>pretty bright, small, round, gradually brighter middle, 9th magnitude star 5 arcmin to northwest</t>
  </si>
  <si>
    <t>pB, S, R, gmM, * 9 np 5'</t>
  </si>
  <si>
    <t>NGC2039</t>
  </si>
  <si>
    <t>5h44m1s</t>
  </si>
  <si>
    <t>+8h41m30s</t>
  </si>
  <si>
    <t>a cluster, very large, a little rich, a little compressed</t>
  </si>
  <si>
    <t>Cl, vL, lRi, lC</t>
  </si>
  <si>
    <t>NGC2040</t>
  </si>
  <si>
    <t>5h36m7.6s</t>
  </si>
  <si>
    <t>-67h34m4s</t>
  </si>
  <si>
    <t>faint, large, irregularly round, gradually a little brighter middle, mottled but not resolved</t>
  </si>
  <si>
    <t>F, L, iR, glbM, r</t>
  </si>
  <si>
    <t>NGC2041</t>
  </si>
  <si>
    <t>5h36m28.1s</t>
  </si>
  <si>
    <t>-66h59m23s</t>
  </si>
  <si>
    <t>bright, small, round, very gradually a little brighter middle</t>
  </si>
  <si>
    <t>B, S, R, vglbM</t>
  </si>
  <si>
    <t>NGC2042</t>
  </si>
  <si>
    <t>5h36m9.6s</t>
  </si>
  <si>
    <t>-68h55m25s</t>
  </si>
  <si>
    <t>a cluster, very large, rich, stars from 12th to 15th magnitude</t>
  </si>
  <si>
    <t>Cl, vL, Ri, st 12…15</t>
  </si>
  <si>
    <t>NGC2043</t>
  </si>
  <si>
    <t>5h35m57.3s</t>
  </si>
  <si>
    <t>-70h4m28s</t>
  </si>
  <si>
    <t>small, extended group of faint stars involved in faint nebulosity</t>
  </si>
  <si>
    <t>S, E group of F st inv in F neby</t>
  </si>
  <si>
    <t>NGC2044</t>
  </si>
  <si>
    <t>5h36m6s</t>
  </si>
  <si>
    <t>-69h11m55s</t>
  </si>
  <si>
    <t>NGC2045</t>
  </si>
  <si>
    <t>5h45m1.4s</t>
  </si>
  <si>
    <t>+12h53m18s</t>
  </si>
  <si>
    <t>a magnitude 8 or 9 star with faint nebulosity</t>
  </si>
  <si>
    <t>* 8·9 with F neb</t>
  </si>
  <si>
    <t>NGC2046</t>
  </si>
  <si>
    <t>5h35m37.6s</t>
  </si>
  <si>
    <t>-70h14m27s</t>
  </si>
  <si>
    <t>very faint, round, gradually brighter middle, 1st of 7</t>
  </si>
  <si>
    <t>vF, R, gbM, 1st of 7</t>
  </si>
  <si>
    <t>NGC2047</t>
  </si>
  <si>
    <t>5h35m53.1s</t>
  </si>
  <si>
    <t>-70h11m34s</t>
  </si>
  <si>
    <t>faint, small, a little extended, 2nd of 7</t>
  </si>
  <si>
    <t>F, S, lE, 2nd of 7</t>
  </si>
  <si>
    <t>NGC2048</t>
  </si>
  <si>
    <t>EN+*</t>
  </si>
  <si>
    <t>5h35m55.4s</t>
  </si>
  <si>
    <t>-69h38m58s</t>
  </si>
  <si>
    <t>very faint, large, pretty much extended</t>
  </si>
  <si>
    <t>vF, L, pmE</t>
  </si>
  <si>
    <t>NGC2049</t>
  </si>
  <si>
    <t>5h43m15.1s</t>
  </si>
  <si>
    <t>-30h4m41s</t>
  </si>
  <si>
    <t>NGC2050</t>
  </si>
  <si>
    <t>5h36m38.9s</t>
  </si>
  <si>
    <t>-69h23m1s</t>
  </si>
  <si>
    <t>cluster plus nebula, much compressed, irregular figure, stars very small</t>
  </si>
  <si>
    <t>Cl + neb, mC, iF, st vS</t>
  </si>
  <si>
    <t>NGC2051</t>
  </si>
  <si>
    <t>5h36m7.4s</t>
  </si>
  <si>
    <t>-71h0m41s</t>
  </si>
  <si>
    <t>NGC2052</t>
  </si>
  <si>
    <t>5h37m11.1s</t>
  </si>
  <si>
    <t>-69h46m27s</t>
  </si>
  <si>
    <t>extremely faint, very very small, very gradually a little brighter middle</t>
  </si>
  <si>
    <t>eF, vvS, vglbM</t>
  </si>
  <si>
    <t>NGC2053</t>
  </si>
  <si>
    <t>5h37m39.8s</t>
  </si>
  <si>
    <t>-67h24m47s</t>
  </si>
  <si>
    <t>faint, pretty large, a little extended, gradually brighter middle</t>
  </si>
  <si>
    <t>F, pL, lE, gbM</t>
  </si>
  <si>
    <t>NGC2054</t>
  </si>
  <si>
    <t>5h45m15.6s</t>
  </si>
  <si>
    <t>-10h4m58s</t>
  </si>
  <si>
    <t>very faint, pretty small, irregularly round, mottled but not resolved?, 9th to magnitude 10.7 star 7 arcmin to north</t>
  </si>
  <si>
    <t>vF, pS, iR, r? * 9·10 7' n</t>
  </si>
  <si>
    <t>NGC2055</t>
  </si>
  <si>
    <t>5h37m3s</t>
  </si>
  <si>
    <t>-69h25m54s</t>
  </si>
  <si>
    <t>cluster, very large, rich, stars from 10th to 15th magnitude</t>
  </si>
  <si>
    <t>Cl, vL, Ri, st 10…15</t>
  </si>
  <si>
    <t>NGC2056</t>
  </si>
  <si>
    <t>5h36m34.1s</t>
  </si>
  <si>
    <t>-70h40m19s</t>
  </si>
  <si>
    <t>pretty bright, round, brighter middle, preceding (western) of 2 (the other being NGC 2075), 9th magnitude star between (them)</t>
  </si>
  <si>
    <t>pB, R, bM, p of 2, * 9 bet</t>
  </si>
  <si>
    <t>NGC2057</t>
  </si>
  <si>
    <t>5h36m55.2s</t>
  </si>
  <si>
    <t>-70h16m8s</t>
  </si>
  <si>
    <t>pretty faint, small, round, gradually brighter middle, 3rd of 7</t>
  </si>
  <si>
    <t>pF, S, R, gbM, 3rd of 7</t>
  </si>
  <si>
    <t>NGC2058</t>
  </si>
  <si>
    <t>5h36m54.3s</t>
  </si>
  <si>
    <t>-70h9m44s</t>
  </si>
  <si>
    <t>very bright, pretty large, round, gradually brighter middle, 4th of 7</t>
  </si>
  <si>
    <t>vB, pL, R, gbM, 4th of 7</t>
  </si>
  <si>
    <t>NGC2059</t>
  </si>
  <si>
    <t>5h37m0.6s</t>
  </si>
  <si>
    <t>-70h7m45s</t>
  </si>
  <si>
    <t>very faint, 5th of 7</t>
  </si>
  <si>
    <t>vF, 5th of 7</t>
  </si>
  <si>
    <t>NGC2060</t>
  </si>
  <si>
    <t>剑鱼座30 B</t>
  </si>
  <si>
    <t>5h37m51.6s</t>
  </si>
  <si>
    <t>-69h10m23s</t>
  </si>
  <si>
    <t>nebula, no description, in Nubecula major</t>
  </si>
  <si>
    <t>neb, no descrip, in Nub maj</t>
  </si>
  <si>
    <t>NGC2061</t>
  </si>
  <si>
    <t>5h42m41.9s</t>
  </si>
  <si>
    <t>-34h0m14s</t>
  </si>
  <si>
    <t>cluster, large, a little compressed, stars of 13th magnitude</t>
  </si>
  <si>
    <t>Cl, L, lC, st 13</t>
  </si>
  <si>
    <t>NGC2062</t>
  </si>
  <si>
    <t>5h40m2.8s</t>
  </si>
  <si>
    <t>-66h52m33s</t>
  </si>
  <si>
    <t>very faint, pretty small, extended, gradually a little brighter middle, two 10th magnitude stars to south</t>
  </si>
  <si>
    <t>vF, pS, E, glbM, 2 st 10 s</t>
  </si>
  <si>
    <t>NGC2063</t>
  </si>
  <si>
    <t>5h46m44s</t>
  </si>
  <si>
    <t>+8h42m50s</t>
  </si>
  <si>
    <t>cluster, poor, small scattered stars</t>
  </si>
  <si>
    <t>Cl, poor, S sc st</t>
  </si>
  <si>
    <t>NGC2064</t>
  </si>
  <si>
    <t>5h46m18.4s</t>
  </si>
  <si>
    <t>+0h0m21s</t>
  </si>
  <si>
    <t>extremely faint, very small, 9th or 10th magnitude star 4 arcmin to northwest</t>
  </si>
  <si>
    <t>eF, vS, * 9·10 np 4'</t>
  </si>
  <si>
    <t>NGC2065</t>
  </si>
  <si>
    <t>5h37m38.5s</t>
  </si>
  <si>
    <t>-70h14m12s</t>
  </si>
  <si>
    <t>bright, round, 6th of 7</t>
  </si>
  <si>
    <t>B, R, 6th of 7</t>
  </si>
  <si>
    <t>NGC2066</t>
  </si>
  <si>
    <t>5h37m43.2s</t>
  </si>
  <si>
    <t>-70h10m0s</t>
  </si>
  <si>
    <t>very faint, very small, extended, 7th of 7</t>
  </si>
  <si>
    <t>vF, vS, E, 7th of 7</t>
  </si>
  <si>
    <t>NGC2067</t>
  </si>
  <si>
    <t>5h46m32s</t>
  </si>
  <si>
    <t>+0h7m54s</t>
  </si>
  <si>
    <t>faint, pretty large, M78 to the south</t>
  </si>
  <si>
    <t>F, pL, M 78 s</t>
  </si>
  <si>
    <t>NGC2068</t>
  </si>
  <si>
    <t xml:space="preserve">鬼马小精灵星云 </t>
  </si>
  <si>
    <t>5h46m45s</t>
  </si>
  <si>
    <t>+0h4m48s</t>
  </si>
  <si>
    <t>bright, large, wispy, gradually much brighter nucleus, 3 stars involved, mottled but not resolved</t>
  </si>
  <si>
    <t>B, L, wisp, gmbN, 3 st inv, r</t>
  </si>
  <si>
    <t>NGC2069</t>
  </si>
  <si>
    <t>5h38m40s</t>
  </si>
  <si>
    <t>-69h0m18s</t>
  </si>
  <si>
    <t>faint, large, extended</t>
  </si>
  <si>
    <t>F, L, E</t>
  </si>
  <si>
    <t>NGC2070</t>
  </si>
  <si>
    <t>狼蛛星云</t>
  </si>
  <si>
    <t>5h38m42.5s</t>
  </si>
  <si>
    <t>-69h6m3s</t>
  </si>
  <si>
    <t>!!! vB, vL, looped</t>
  </si>
  <si>
    <t>NGC2071</t>
  </si>
  <si>
    <t>5h47m7.2s</t>
  </si>
  <si>
    <t>+0h17m39s</t>
  </si>
  <si>
    <t>double star (10th and 14th magnitudes) with very faint large chevelure</t>
  </si>
  <si>
    <t>D * (10 &amp; 14 m) with vF, L chev</t>
  </si>
  <si>
    <t>NGC2072</t>
  </si>
  <si>
    <t>5h38m24.5s</t>
  </si>
  <si>
    <t>-70h14m3s</t>
  </si>
  <si>
    <t>NGC2073</t>
  </si>
  <si>
    <t>5h45m53.8s</t>
  </si>
  <si>
    <t>-21h59m57s</t>
  </si>
  <si>
    <t>NGC2074</t>
  </si>
  <si>
    <t>5h39m3.6s</t>
  </si>
  <si>
    <t>-69h29m53s</t>
  </si>
  <si>
    <t>pretty bright, pretty large, much extended, 5 stars involved</t>
  </si>
  <si>
    <t>pB, pL, mE, 5 st inv</t>
  </si>
  <si>
    <t>NGC2075</t>
  </si>
  <si>
    <t>5h38m20.8s</t>
  </si>
  <si>
    <t>-70h41m9s</t>
  </si>
  <si>
    <t>bright, round, brighter middle, partially resolved, some stars seen, following (eastern) of 2</t>
  </si>
  <si>
    <t>B, R, bM, rr, f of 2</t>
  </si>
  <si>
    <t>NGC2076</t>
  </si>
  <si>
    <t>5h46m47.4s</t>
  </si>
  <si>
    <t>-16h46m58s</t>
  </si>
  <si>
    <t>very faint, pretty small, irregularly extended, brighter middle</t>
  </si>
  <si>
    <t>vF, pS, iE, bM</t>
  </si>
  <si>
    <t>NGC2077</t>
  </si>
  <si>
    <t>5h39m36s</t>
  </si>
  <si>
    <t>-69h39m26s</t>
  </si>
  <si>
    <t>faint, round, preceding (western) of double nebula</t>
  </si>
  <si>
    <t>F, R, p of D neb</t>
  </si>
  <si>
    <t>NGC2078</t>
  </si>
  <si>
    <t>5h39m39.3s</t>
  </si>
  <si>
    <t>-69h44m38s</t>
  </si>
  <si>
    <t>nebula, northwestern of group of 7</t>
  </si>
  <si>
    <t>neb, np of gr of 7</t>
  </si>
  <si>
    <t>NGC2079</t>
  </si>
  <si>
    <t>5h39m40s</t>
  </si>
  <si>
    <t>-69h46m26s</t>
  </si>
  <si>
    <t>nebula, southwestern of group of 7</t>
  </si>
  <si>
    <t>neb, sp of gr of 7</t>
  </si>
  <si>
    <t>NGC2080</t>
  </si>
  <si>
    <t>鬼头星云</t>
  </si>
  <si>
    <t>5h39m44.2s</t>
  </si>
  <si>
    <t>-69h38m44s</t>
  </si>
  <si>
    <t>bright, round, following (eastern) of double nebula</t>
  </si>
  <si>
    <t>B, R, f of D neb</t>
  </si>
  <si>
    <t>NGC2081</t>
  </si>
  <si>
    <t>5h39m59.5s</t>
  </si>
  <si>
    <t>-69h24m21s</t>
  </si>
  <si>
    <t>cluster, very faint, much compressed, stars plus nebulosity</t>
  </si>
  <si>
    <t>Cl, vF, mC, st + neb</t>
  </si>
  <si>
    <t>NGC2082</t>
  </si>
  <si>
    <t>5h41m50.9s</t>
  </si>
  <si>
    <t>-64h18m5s</t>
  </si>
  <si>
    <t>pretty faint, large, round, gradually a little brighter middle</t>
  </si>
  <si>
    <t>pF, L, R, glbM</t>
  </si>
  <si>
    <t>NGC2083</t>
  </si>
  <si>
    <t>5h39m59.3s</t>
  </si>
  <si>
    <t>-69h44m16s</t>
  </si>
  <si>
    <t>nebula, northeastern of group of 7</t>
  </si>
  <si>
    <t>neb, nf of gr of 7</t>
  </si>
  <si>
    <t>NGC2084</t>
  </si>
  <si>
    <t>5h40m7.1s</t>
  </si>
  <si>
    <t>-69h45m34s</t>
  </si>
  <si>
    <t>nebula, southeastern of group of 7</t>
  </si>
  <si>
    <t>neb, sf of gr of 7</t>
  </si>
  <si>
    <t>NGC2085</t>
  </si>
  <si>
    <t>5h40m9s</t>
  </si>
  <si>
    <t>-69h40m24s</t>
  </si>
  <si>
    <t>very faint, round, 10th magnitude star very near</t>
  </si>
  <si>
    <t>vF, R, * 10 v nr</t>
  </si>
  <si>
    <t>NGC2086</t>
  </si>
  <si>
    <t>5h40m13s</t>
  </si>
  <si>
    <t>-69h40m5s</t>
  </si>
  <si>
    <t>bright, pretty small, round, a little brighter middle, 10th magnitude star to west</t>
  </si>
  <si>
    <t>B, pS, R, lbM, * 10 p</t>
  </si>
  <si>
    <t>NGC2087</t>
  </si>
  <si>
    <t>5h44m16.1s</t>
  </si>
  <si>
    <t>-55h31m59s</t>
  </si>
  <si>
    <t>extremely faint, pretty small, round, very little brighter middle</t>
  </si>
  <si>
    <t>eF, pS, R, vlbM</t>
  </si>
  <si>
    <t>NGC2088</t>
  </si>
  <si>
    <t>5h40m59.9s</t>
  </si>
  <si>
    <t>-68h27m56s</t>
  </si>
  <si>
    <t>NGC2089</t>
  </si>
  <si>
    <t>5h47m51.3s</t>
  </si>
  <si>
    <t>-17h36m10s</t>
  </si>
  <si>
    <t>NGC2090</t>
  </si>
  <si>
    <t>5h47m1.6s</t>
  </si>
  <si>
    <t>-34h15m3s</t>
  </si>
  <si>
    <t>globular cluster, bright, pretty large, irregularly round, gradually brighter middle</t>
  </si>
  <si>
    <t>globular, B, pL, iR, gbM</t>
  </si>
  <si>
    <t>NGC2091</t>
  </si>
  <si>
    <t>5h40m58.1s</t>
  </si>
  <si>
    <t>-69h26m14s</t>
  </si>
  <si>
    <t>very faint, small, much extended, gradually a little brighter middle, perhaps double?</t>
  </si>
  <si>
    <t>vF, S, mE, glbM, ? D</t>
  </si>
  <si>
    <t>NGC2092</t>
  </si>
  <si>
    <t>5h41m22.1s</t>
  </si>
  <si>
    <t>-69h13m27s</t>
  </si>
  <si>
    <t>very faint, pretty large, round, partially resolved, some stars seen</t>
  </si>
  <si>
    <t>vF, pL, R, rr</t>
  </si>
  <si>
    <t>NGC2093</t>
  </si>
  <si>
    <t>5h41m49.8s</t>
  </si>
  <si>
    <t>-68h55m17s</t>
  </si>
  <si>
    <t>NGC2094</t>
  </si>
  <si>
    <t>5h42m8s</t>
  </si>
  <si>
    <t>-68h21m48s</t>
  </si>
  <si>
    <t>NGC2095</t>
  </si>
  <si>
    <t>5h42m50s</t>
  </si>
  <si>
    <t>-67h19m12s</t>
  </si>
  <si>
    <t>cluster, faint, considerably small, irregular</t>
  </si>
  <si>
    <t>Cl, F, cS, irr</t>
  </si>
  <si>
    <t>NGC2096</t>
  </si>
  <si>
    <t>5h42m17.9s</t>
  </si>
  <si>
    <t>-68h27m31s</t>
  </si>
  <si>
    <t>neb, no descrip, in Nub major</t>
  </si>
  <si>
    <t>NGC2097</t>
  </si>
  <si>
    <t>5h44m16s</t>
  </si>
  <si>
    <t>-62h47m8s</t>
  </si>
  <si>
    <t>very faint, pretty small, irregularly round, pretty suddenly a little brighter middle equivalent to a 16th magnitude star</t>
  </si>
  <si>
    <t>vF, pS, iR, pslbM * 16</t>
  </si>
  <si>
    <t>NGC2098</t>
  </si>
  <si>
    <t>5h42m30.4s</t>
  </si>
  <si>
    <t>-68h16m32s</t>
  </si>
  <si>
    <t>globular cluster, bright, small, partially resolved, some stars seen</t>
  </si>
  <si>
    <t>globular, B, S, rr</t>
  </si>
  <si>
    <t>NGC2099</t>
  </si>
  <si>
    <t>一月椒盐星团</t>
  </si>
  <si>
    <t>II1r</t>
  </si>
  <si>
    <t>5h52m18.3s</t>
  </si>
  <si>
    <t>+32h33m11s</t>
  </si>
  <si>
    <t>cluster, rich, pretty compressed middle, stars large and small</t>
  </si>
  <si>
    <t>Cl, Ri, pCM, st L &amp; S</t>
  </si>
  <si>
    <t>NGC2100</t>
  </si>
  <si>
    <t>5h42m9.1s</t>
  </si>
  <si>
    <t>-69h12m43s</t>
  </si>
  <si>
    <t>a globular cluster, bright, pretty large, irregularly round, partially resolved (some stars seen)</t>
  </si>
  <si>
    <t>globular, B, pL, irrR, rr</t>
  </si>
  <si>
    <t>NGC2101</t>
  </si>
  <si>
    <t>5h46m22.4s</t>
  </si>
  <si>
    <t>-52h5m24s</t>
  </si>
  <si>
    <t>eF, pS, R, 3 st 10 sf</t>
  </si>
  <si>
    <t>NGC2102</t>
  </si>
  <si>
    <t>5h42m20.6s</t>
  </si>
  <si>
    <t>-69h29m14s</t>
  </si>
  <si>
    <t>NGC2103</t>
  </si>
  <si>
    <t>5h41m40s</t>
  </si>
  <si>
    <t>-71h19m54s</t>
  </si>
  <si>
    <t>pretty bright, large, pretty much extended, gradually brighter middle equivalent to 13th magnitude star</t>
  </si>
  <si>
    <t>pB, L, pmE, gbM * 13</t>
  </si>
  <si>
    <t>NGC2104</t>
  </si>
  <si>
    <t>5h47m4.2s</t>
  </si>
  <si>
    <t>-51h33m11s</t>
  </si>
  <si>
    <t>NGC2105</t>
  </si>
  <si>
    <t>5h44m19.2s</t>
  </si>
  <si>
    <t>-66h55m4s</t>
  </si>
  <si>
    <t>NGC2106</t>
  </si>
  <si>
    <t>5h50m46.3s</t>
  </si>
  <si>
    <t>-21h34m1s</t>
  </si>
  <si>
    <t>NGC2107</t>
  </si>
  <si>
    <t>5h43m13s</t>
  </si>
  <si>
    <t>-70h38m24s</t>
  </si>
  <si>
    <t>pretty bright, pretty small, round, gradually brighter middle</t>
  </si>
  <si>
    <t>pB, pS, R, gbM</t>
  </si>
  <si>
    <t>NGC2108</t>
  </si>
  <si>
    <t>5h43m55.3s</t>
  </si>
  <si>
    <t>-69h10m51s</t>
  </si>
  <si>
    <t>extremely faint, pretty large, a little extended</t>
  </si>
  <si>
    <t>eF, pL, lE</t>
  </si>
  <si>
    <t>NGC2109</t>
  </si>
  <si>
    <t>5h44m23s</t>
  </si>
  <si>
    <t>-68h32m52s</t>
  </si>
  <si>
    <t>NGC2110</t>
  </si>
  <si>
    <t>5h52m11.2s</t>
  </si>
  <si>
    <t>-7h27m23s</t>
  </si>
  <si>
    <t>extremely faint, considerably small, a little extended, pretty suddenly a little brighter middle, extremely mottled but not resolved</t>
  </si>
  <si>
    <t>eF, cS, lE, pslbM, er</t>
  </si>
  <si>
    <t>NGC2111</t>
  </si>
  <si>
    <t>5h44m33.1s</t>
  </si>
  <si>
    <t>-70h59m36s</t>
  </si>
  <si>
    <t>NGC2112</t>
  </si>
  <si>
    <t>5h53m45.2s</t>
  </si>
  <si>
    <t>+0h24m39s</t>
  </si>
  <si>
    <t>a cluster, pretty large, a little rich, pretty compressed, stars small (faint)</t>
  </si>
  <si>
    <t>Cl, pL, lRi, pC, st S</t>
  </si>
  <si>
    <t>NGC2113</t>
  </si>
  <si>
    <t>5h45m24.6s</t>
  </si>
  <si>
    <t>a cluster, faint, small, irregular figure, very little compressed, partially resolved (some stars seen)</t>
  </si>
  <si>
    <t>Cl, F, S, iF, vlC, rr</t>
  </si>
  <si>
    <t>NGC2114</t>
  </si>
  <si>
    <t>5h46m12.2s</t>
  </si>
  <si>
    <t>-68h2m54s</t>
  </si>
  <si>
    <t>NGC2115</t>
  </si>
  <si>
    <t>5h51m19.8s</t>
  </si>
  <si>
    <t>-50h35m0s</t>
  </si>
  <si>
    <t>eeF, vS, 3 st 10 sp</t>
  </si>
  <si>
    <t>NGC2116</t>
  </si>
  <si>
    <t>5h47m15.2s</t>
  </si>
  <si>
    <t>-68h30m29s</t>
  </si>
  <si>
    <t>faint, small, round, 11th magnitude star to west</t>
  </si>
  <si>
    <t>F, S, R, * 11 p</t>
  </si>
  <si>
    <t>NGC2117</t>
  </si>
  <si>
    <t>5h47m46s</t>
  </si>
  <si>
    <t>-67h27m1s</t>
  </si>
  <si>
    <t>faint, pretty large, irregularly round, very little brighter middle, clearly consisting of stars</t>
  </si>
  <si>
    <t>F, pL, iR, vlbM, rrr</t>
  </si>
  <si>
    <t>NGC2118</t>
  </si>
  <si>
    <t>5h47m39.6s</t>
  </si>
  <si>
    <t>-69h7m55s</t>
  </si>
  <si>
    <t>a globular cluster, very bright, very small, very suddenly much brighter middle, partially resolved (some stars seen)</t>
  </si>
  <si>
    <t>globular, vB, vS, vsmbM, rr</t>
  </si>
  <si>
    <t>NGC2119</t>
  </si>
  <si>
    <t>5h57m26.9s</t>
  </si>
  <si>
    <t>+11h56m56s</t>
  </si>
  <si>
    <t>NGC2120</t>
  </si>
  <si>
    <t>5h50m34.8s</t>
  </si>
  <si>
    <t>-63h40m30s</t>
  </si>
  <si>
    <t>NGC2121</t>
  </si>
  <si>
    <t>5h48m12.4s</t>
  </si>
  <si>
    <t>-71h28m52s</t>
  </si>
  <si>
    <t>very faint, considerably large, very gradually brighter middle</t>
  </si>
  <si>
    <t>vF, cL, vgbM</t>
  </si>
  <si>
    <t>NGC2122</t>
  </si>
  <si>
    <t>5h48m52.6s</t>
  </si>
  <si>
    <t>-70h4m12s</t>
  </si>
  <si>
    <t>Cl, pB, iF, gvmCM, st 15</t>
  </si>
  <si>
    <t>NGC2123</t>
  </si>
  <si>
    <t>5h51m43.4s</t>
  </si>
  <si>
    <t>-65h19m18s</t>
  </si>
  <si>
    <t>pretty bright, very small, round, gradually brighter middle</t>
  </si>
  <si>
    <t>pB, vS, R, gbM</t>
  </si>
  <si>
    <t>NGC2124</t>
  </si>
  <si>
    <t>5h57m52.3s</t>
  </si>
  <si>
    <t>-20h5m6s</t>
  </si>
  <si>
    <t>most extremely faint, pretty small, extended, mottled but not resolved</t>
  </si>
  <si>
    <t>eeF, pS, E, r</t>
  </si>
  <si>
    <t>NGC2125</t>
  </si>
  <si>
    <t>5h50m54.3s</t>
  </si>
  <si>
    <t>-69h28m45s</t>
  </si>
  <si>
    <t>NGC2126</t>
  </si>
  <si>
    <t>6h2m32.9s</t>
  </si>
  <si>
    <t>+49h51m57s</t>
  </si>
  <si>
    <t>Cl, not Ri, * 7 m north</t>
  </si>
  <si>
    <t>NGC2127</t>
  </si>
  <si>
    <t>5h51m22.4s</t>
  </si>
  <si>
    <t>-69h21m41s</t>
  </si>
  <si>
    <t>pretty bright, very small, round, gradually much brighter middle</t>
  </si>
  <si>
    <t>pB, vS, R, gmbM</t>
  </si>
  <si>
    <t>NGC2128</t>
  </si>
  <si>
    <t>6h4m34s</t>
  </si>
  <si>
    <t>+57h37m39s</t>
  </si>
  <si>
    <t>NGC2129</t>
  </si>
  <si>
    <t>双子座</t>
  </si>
  <si>
    <t>GEM</t>
  </si>
  <si>
    <t>6h1m6.5s</t>
  </si>
  <si>
    <t>+23h19m4s</t>
  </si>
  <si>
    <t>Cl, pL, 40 or 50 st 8…15</t>
  </si>
  <si>
    <t>NGC2130</t>
  </si>
  <si>
    <t>5h52m23.8s</t>
  </si>
  <si>
    <t>-67h20m3s</t>
  </si>
  <si>
    <t>NGC2131</t>
  </si>
  <si>
    <t>5h58m47.2s</t>
  </si>
  <si>
    <t>-26h39m11s</t>
  </si>
  <si>
    <t>NGC2132</t>
  </si>
  <si>
    <t>5h55m9.1s</t>
  </si>
  <si>
    <t>-59h54m37s</t>
  </si>
  <si>
    <t>a cluster, very little compressed, stars large and small</t>
  </si>
  <si>
    <t>Cl, vlC, st L &amp; S</t>
  </si>
  <si>
    <t>NGC2133</t>
  </si>
  <si>
    <t>5h51m28.8s</t>
  </si>
  <si>
    <t>-71h10m30s</t>
  </si>
  <si>
    <t>faint, pretty large, round, gradually pretty much brighter middle</t>
  </si>
  <si>
    <t>F, pL, R, gpmbM</t>
  </si>
  <si>
    <t>NGC2134</t>
  </si>
  <si>
    <t>5h51m56.7s</t>
  </si>
  <si>
    <t>-71h5m50s</t>
  </si>
  <si>
    <t>a globular cluster, bright, pretty large, round, gradually much brighter middle, mottled but not resolved</t>
  </si>
  <si>
    <t>globular, B, pL, R, gmbM, r</t>
  </si>
  <si>
    <t>NGC2135</t>
  </si>
  <si>
    <t>5h53m35s</t>
  </si>
  <si>
    <t>-67h25m38s</t>
  </si>
  <si>
    <t>faint, pretty small, round, mottled but not resolved, among stars</t>
  </si>
  <si>
    <t>F, pS, R, r, am st</t>
  </si>
  <si>
    <t>NGC2136</t>
  </si>
  <si>
    <t>5h52m58.5s</t>
  </si>
  <si>
    <t>-69h29m33s</t>
  </si>
  <si>
    <t>a globular cluster, pretty bright, round, gradually much brighter middle, partially resolved (some stars seen), stars from 14th to 16th magnitude</t>
  </si>
  <si>
    <t>globular, pB, R, gmbM, rr, st 14…16</t>
  </si>
  <si>
    <t>NGC2137</t>
  </si>
  <si>
    <t>5h53m13.2s</t>
  </si>
  <si>
    <t>-69h28m55s</t>
  </si>
  <si>
    <t>very faint, small, round, eastern of 2</t>
  </si>
  <si>
    <t>vF, S, R, f of 2</t>
  </si>
  <si>
    <t>NGC2138</t>
  </si>
  <si>
    <t>5h54m48.8s</t>
  </si>
  <si>
    <t>-65h50m7s</t>
  </si>
  <si>
    <t>NGC2139</t>
  </si>
  <si>
    <t>6h1m8s</t>
  </si>
  <si>
    <t>-23h40m22s</t>
  </si>
  <si>
    <t>NGC2140</t>
  </si>
  <si>
    <t>5h54m16.3s</t>
  </si>
  <si>
    <t>-68h36m0s</t>
  </si>
  <si>
    <t>NGC2141</t>
  </si>
  <si>
    <t>6h2m55s</t>
  </si>
  <si>
    <t>+10h26m47s</t>
  </si>
  <si>
    <t>F, pS, dif (Sw not found)</t>
  </si>
  <si>
    <t>NGC2142</t>
  </si>
  <si>
    <t>麒麟座</t>
  </si>
  <si>
    <t>MON</t>
  </si>
  <si>
    <t>6h1m50.3s</t>
  </si>
  <si>
    <t>-10h35m51s</t>
  </si>
  <si>
    <t>* (3 Monoc) inv in pL, F, neb</t>
  </si>
  <si>
    <t>NGC2143</t>
  </si>
  <si>
    <t>6h3m7.4s</t>
  </si>
  <si>
    <t>+5h43m42s</t>
  </si>
  <si>
    <t>a cluster, large, pretty rich, very little compressed, stars of 10th magnitude</t>
  </si>
  <si>
    <t>Cl, L, pRi, vlC, st 10</t>
  </si>
  <si>
    <t>NGC2144</t>
  </si>
  <si>
    <t>5h40m56.3s</t>
  </si>
  <si>
    <t>-82h7m8s</t>
  </si>
  <si>
    <t>faint, pretty small, irregularly round, brighter middle</t>
  </si>
  <si>
    <t>F, pS, iR, bM</t>
  </si>
  <si>
    <t>NGC2145</t>
  </si>
  <si>
    <t>5h54m22.8s</t>
  </si>
  <si>
    <t>-70h54m7s</t>
  </si>
  <si>
    <t>faint, a little extended, mottled but not resolved</t>
  </si>
  <si>
    <t>F, lE, r</t>
  </si>
  <si>
    <t>NGC2146</t>
  </si>
  <si>
    <t>脏手星系</t>
  </si>
  <si>
    <t>6h18m38.3s</t>
  </si>
  <si>
    <t>+78h21m21s</t>
  </si>
  <si>
    <t>pretty bright, 2 arcmin long, a little extended</t>
  </si>
  <si>
    <t>pB, 2' l, lE</t>
  </si>
  <si>
    <t>NGC2147</t>
  </si>
  <si>
    <t>5h55m45.7s</t>
  </si>
  <si>
    <t>-68h12m6s</t>
  </si>
  <si>
    <t>NGC2148</t>
  </si>
  <si>
    <t>5h58m45.6s</t>
  </si>
  <si>
    <t>-59h7m35s</t>
  </si>
  <si>
    <t>eF, S, R, * 12 v nr</t>
  </si>
  <si>
    <t>NGC2149</t>
  </si>
  <si>
    <t>6h3m30.7s</t>
  </si>
  <si>
    <t>-9h43m50s</t>
  </si>
  <si>
    <t>faint, 12th magnitude star involved</t>
  </si>
  <si>
    <t>F, * 12 inv</t>
  </si>
  <si>
    <t>NGC2150</t>
  </si>
  <si>
    <t>5h55m46.4s</t>
  </si>
  <si>
    <t>-69h33m39s</t>
  </si>
  <si>
    <t>faint, very small, round, very suddenly much brighter middle, stellar</t>
  </si>
  <si>
    <t>F, vS, R, vsmbM, stellar</t>
  </si>
  <si>
    <t>NGC2151</t>
  </si>
  <si>
    <t>5h56m20.5s</t>
  </si>
  <si>
    <t>-69h1m3s</t>
  </si>
  <si>
    <t>NGC2152</t>
  </si>
  <si>
    <t>6h0m55s</t>
  </si>
  <si>
    <t>-50h44m27s</t>
  </si>
  <si>
    <t>most extremely faint, round, 15th magnitude star attached</t>
  </si>
  <si>
    <t>eeF, R, * 15 att</t>
  </si>
  <si>
    <t>NGC2153</t>
  </si>
  <si>
    <t>5h57m51.8s</t>
  </si>
  <si>
    <t>-66h24m3s</t>
  </si>
  <si>
    <t>most extremely faint, a little extended, 16th magnitude star attached</t>
  </si>
  <si>
    <t>eeF, lE, * 16 att</t>
  </si>
  <si>
    <t>NGC2154</t>
  </si>
  <si>
    <t>5h57m38.3s</t>
  </si>
  <si>
    <t>-67h15m44s</t>
  </si>
  <si>
    <t>NGC2155</t>
  </si>
  <si>
    <t>5h58m33.3s</t>
  </si>
  <si>
    <t>-65h28m35s</t>
  </si>
  <si>
    <t>NGC2156</t>
  </si>
  <si>
    <t>5h57m50.4s</t>
  </si>
  <si>
    <t>-68h27m39s</t>
  </si>
  <si>
    <t>pretty bright, small, round, gradually brighter middle, 1st of 3</t>
  </si>
  <si>
    <t>pB, S, R, gbM, 1st of 3</t>
  </si>
  <si>
    <t>NGC2157</t>
  </si>
  <si>
    <t>5h57m34.9s</t>
  </si>
  <si>
    <t>-69h11m50s</t>
  </si>
  <si>
    <t>a globular cluster, very bright, small, round, very gradually very much brighter middle, partially resolved (some stars seen)</t>
  </si>
  <si>
    <t>globular, vB, S, R, vgvmbM, rr</t>
  </si>
  <si>
    <t>NGC2158</t>
  </si>
  <si>
    <t>6h7m25.6s</t>
  </si>
  <si>
    <t>+24h5m46s</t>
  </si>
  <si>
    <t>a cluster, pretty small, much compressed, very rich, irregular triangle, stars extremely small (faint)</t>
  </si>
  <si>
    <t>Cl, pS, mC, vRi, irr Δ, st eS</t>
  </si>
  <si>
    <t>NGC2159</t>
  </si>
  <si>
    <t>5h58m3s</t>
  </si>
  <si>
    <t>-68h37m28s</t>
  </si>
  <si>
    <t>pF, S, R, gbM, * 15 att nf</t>
  </si>
  <si>
    <t>NGC2160</t>
  </si>
  <si>
    <t>5h58m12.9s</t>
  </si>
  <si>
    <t>-68h17m23s</t>
  </si>
  <si>
    <t>NGC2161</t>
  </si>
  <si>
    <t>5h55m43.2s</t>
  </si>
  <si>
    <t>-74h21m14s</t>
  </si>
  <si>
    <t>NGC2162</t>
  </si>
  <si>
    <t>6h0m30.4s</t>
  </si>
  <si>
    <t>-63h43m20s</t>
  </si>
  <si>
    <t>NGC2163</t>
  </si>
  <si>
    <t>6h7m49.5s</t>
  </si>
  <si>
    <t>+18h39m27s</t>
  </si>
  <si>
    <t>eF, E, dif, * 11 att s</t>
  </si>
  <si>
    <t>NGC2164</t>
  </si>
  <si>
    <t>5h58m55s</t>
  </si>
  <si>
    <t>-68h30m56s</t>
  </si>
  <si>
    <t>a globular cluster, very bright, round, much compressed middle, partially resolved (some stars seen)</t>
  </si>
  <si>
    <t>globular, vB, R, mCM, rr</t>
  </si>
  <si>
    <t>NGC2165</t>
  </si>
  <si>
    <t>6h11m4s</t>
  </si>
  <si>
    <t>+51h40m42s</t>
  </si>
  <si>
    <t>a cluster, pretty large, poor, stars of 11th magnitude</t>
  </si>
  <si>
    <t>Cl, pL, poor, st 11</t>
  </si>
  <si>
    <t>NGC2166</t>
  </si>
  <si>
    <t>5h59m33.8s</t>
  </si>
  <si>
    <t>-67h56m29s</t>
  </si>
  <si>
    <t>NGC2167</t>
  </si>
  <si>
    <t>6h6m58.6s</t>
  </si>
  <si>
    <t>-6h12m10s</t>
  </si>
  <si>
    <t>nebulous 7th magnitude star, among 3 stars</t>
  </si>
  <si>
    <t>Nebulous * 7, am 3 st</t>
  </si>
  <si>
    <t>NGC2168</t>
  </si>
  <si>
    <t>鞋扣星团</t>
  </si>
  <si>
    <t>6h9m0s</t>
  </si>
  <si>
    <t>+24h21m0s</t>
  </si>
  <si>
    <t>Cl, vL, cRi, pC, st 9...16</t>
  </si>
  <si>
    <t>NGC2169</t>
  </si>
  <si>
    <t>37星团</t>
  </si>
  <si>
    <t>6h8m24.3s</t>
  </si>
  <si>
    <t>+13h57m53s</t>
  </si>
  <si>
    <t>Cl, S, lRi, pmC, ** Σ 848</t>
  </si>
  <si>
    <t>NGC2170</t>
  </si>
  <si>
    <t>麒麟座R2 IRS3</t>
  </si>
  <si>
    <t>6h7m31.3s</t>
  </si>
  <si>
    <t>-6h23m53s</t>
  </si>
  <si>
    <t>* 9 in vF, pL neb, E 170°</t>
  </si>
  <si>
    <t>NGC2171</t>
  </si>
  <si>
    <t>*Cloud</t>
  </si>
  <si>
    <t>5h44m13.8s</t>
  </si>
  <si>
    <t>-70h40m9s</t>
  </si>
  <si>
    <t>extremely faint, large, round, gradually a little brighter middle</t>
  </si>
  <si>
    <t>eF, L, R, glbM</t>
  </si>
  <si>
    <t>NGC2172</t>
  </si>
  <si>
    <t>6h0m5.9s</t>
  </si>
  <si>
    <t>-68h38m13s</t>
  </si>
  <si>
    <t>faint, considerably large, round, a little brighter middle</t>
  </si>
  <si>
    <t>F, cL, R, lbM</t>
  </si>
  <si>
    <t>NGC2173</t>
  </si>
  <si>
    <t>5h57m58.5s</t>
  </si>
  <si>
    <t>-72h58m41s</t>
  </si>
  <si>
    <t>pretty faint, pretty large, round, gradually much brighter middle</t>
  </si>
  <si>
    <t>pF, pL, R, gmbM</t>
  </si>
  <si>
    <t>NGC2174</t>
  </si>
  <si>
    <t>猴头星云</t>
  </si>
  <si>
    <t>6h9m0.3s</t>
  </si>
  <si>
    <t>+20h38m26s</t>
  </si>
  <si>
    <t>extremely faint, between 3 very faint stars</t>
  </si>
  <si>
    <t>eF, bet 3 vF st</t>
  </si>
  <si>
    <t>NGC2175</t>
  </si>
  <si>
    <t>6h9m38.6s</t>
  </si>
  <si>
    <t>+20h29m18s</t>
  </si>
  <si>
    <t>8th-magnitude star in nebulosity</t>
  </si>
  <si>
    <t>* 8 m in neb (Auw No 21)</t>
  </si>
  <si>
    <t>NGC2176</t>
  </si>
  <si>
    <t>6h1m19.4s</t>
  </si>
  <si>
    <t>-66h51m12s</t>
  </si>
  <si>
    <t>most extremely faint, pretty large, round, gradually brighter middle</t>
  </si>
  <si>
    <t>eeF, pL, R, gbM</t>
  </si>
  <si>
    <t>NGC2177</t>
  </si>
  <si>
    <t>6h1m16.5s</t>
  </si>
  <si>
    <t>-67h44m0s</t>
  </si>
  <si>
    <t>faint, very small, irregularly round, a little brighter middle, mottled but not resolved</t>
  </si>
  <si>
    <t>F, vS, iR, lbM, r</t>
  </si>
  <si>
    <t>NGC2178</t>
  </si>
  <si>
    <t>6h2m47.5s</t>
  </si>
  <si>
    <t>-63h45m50s</t>
  </si>
  <si>
    <t>NGC2179</t>
  </si>
  <si>
    <t>6h8m2.1s</t>
  </si>
  <si>
    <t>-21h44m46s</t>
  </si>
  <si>
    <t>faint, pretty small, very much extended, gradually a little brighter middle</t>
  </si>
  <si>
    <t>F, pS, vmE, glbM</t>
  </si>
  <si>
    <t>NGC2180</t>
  </si>
  <si>
    <t>6h9m36.2s</t>
  </si>
  <si>
    <t>+4h42m44s</t>
  </si>
  <si>
    <t>a cluster, pretty rich, a little compressed, stars large and small</t>
  </si>
  <si>
    <t>Cl, pRi, lC, st L and S</t>
  </si>
  <si>
    <t>NGC2181</t>
  </si>
  <si>
    <t>6h2m43.7s</t>
  </si>
  <si>
    <t>-65h15m54s</t>
  </si>
  <si>
    <t>NGC2182</t>
  </si>
  <si>
    <t>6h9m30.9s</t>
  </si>
  <si>
    <t>-6h19m35s</t>
  </si>
  <si>
    <t>pB **, L * neb, E 90° ±</t>
  </si>
  <si>
    <t>NGC2183</t>
  </si>
  <si>
    <t>6h10m46.9s</t>
  </si>
  <si>
    <t>-6h12m43s</t>
  </si>
  <si>
    <t>eF, S, lE, * 11·12 sp</t>
  </si>
  <si>
    <t>NGC2184</t>
  </si>
  <si>
    <t>6h11m0s</t>
  </si>
  <si>
    <t>-3h29m0s</t>
  </si>
  <si>
    <t>a cluster, large, very little compressed</t>
  </si>
  <si>
    <t>NGC2185</t>
  </si>
  <si>
    <t>6h11m0.4s</t>
  </si>
  <si>
    <t>-6h13m36s</t>
  </si>
  <si>
    <t>* 11 and 4 S st in vF, L neb</t>
  </si>
  <si>
    <t>NGC2186</t>
  </si>
  <si>
    <t>6h12m7.1s</t>
  </si>
  <si>
    <t>+5h27m31s</t>
  </si>
  <si>
    <t>a cluster, pretty large, pretty rich, pretty compressed, stars large and small</t>
  </si>
  <si>
    <t>Cl, pL, pRi, pC, st L and S</t>
  </si>
  <si>
    <t>NGC2187</t>
  </si>
  <si>
    <t>6h3m52.4s</t>
  </si>
  <si>
    <t>-69h34m40s</t>
  </si>
  <si>
    <t>pB, pS, R, gbM, vF, R, glbM, D neb 12°.5</t>
  </si>
  <si>
    <t>NGC2188</t>
  </si>
  <si>
    <t>6h10m9.7s</t>
  </si>
  <si>
    <t>-34h6m18s</t>
  </si>
  <si>
    <t>pretty faint, pretty large, very much extended, gradually a very little brighter middle</t>
  </si>
  <si>
    <t>pF, pL, vmE, gvlbM</t>
  </si>
  <si>
    <t>NGC2189</t>
  </si>
  <si>
    <t>6h12m17s</t>
  </si>
  <si>
    <t>+1h3m42s</t>
  </si>
  <si>
    <t>2 clusters nr 2 st 9·10 &amp; 10·11</t>
  </si>
  <si>
    <t>NGC2190</t>
  </si>
  <si>
    <t>6h1m4.1s</t>
  </si>
  <si>
    <t>-74h43m32s</t>
  </si>
  <si>
    <t>NGC2191</t>
  </si>
  <si>
    <t>船底座</t>
  </si>
  <si>
    <t>CAR</t>
  </si>
  <si>
    <t>6h8m23.7s</t>
  </si>
  <si>
    <t>-52h30m44s</t>
  </si>
  <si>
    <t>pB, vS, E, vsbM, * 9 p 5s</t>
  </si>
  <si>
    <t>NGC2192</t>
  </si>
  <si>
    <t>6h15m17.4s</t>
  </si>
  <si>
    <t>+39h51m19s</t>
  </si>
  <si>
    <t>a cluster, considerably large, compressed, irregular figure, stars very small</t>
  </si>
  <si>
    <t>Cl, cL, C, iF, st vS</t>
  </si>
  <si>
    <t>NGC2193</t>
  </si>
  <si>
    <t>6h6m17.9s</t>
  </si>
  <si>
    <t>-65h5m57s</t>
  </si>
  <si>
    <t>faint, irregular figure, gradually a little brighter middle, 2 or 3 stars involved</t>
  </si>
  <si>
    <t>F, iF, glbM, 2 or 3 st inv</t>
  </si>
  <si>
    <t>NGC2194</t>
  </si>
  <si>
    <t>漫游者星团</t>
  </si>
  <si>
    <t>6h13m45.9s</t>
  </si>
  <si>
    <t>+12h48m24s</t>
  </si>
  <si>
    <t>Cl, L, Ri, gvmCM</t>
  </si>
  <si>
    <t>NGC2195</t>
  </si>
  <si>
    <t>6h14m34.8s</t>
  </si>
  <si>
    <t>+17h38m22s</t>
  </si>
  <si>
    <t>F, S, 2 S st inv, * 10 n 31"</t>
  </si>
  <si>
    <t>NGC2196</t>
  </si>
  <si>
    <t>6h12m9.6s</t>
  </si>
  <si>
    <t>-21h48m22s</t>
  </si>
  <si>
    <t>pretty faint, pretty small, very little extended, pretty much brighter middle, star near</t>
  </si>
  <si>
    <t>pF, pS, vlE, pmbM, st nr</t>
  </si>
  <si>
    <t>NGC2197</t>
  </si>
  <si>
    <t>6h6m8.7s</t>
  </si>
  <si>
    <t>-67h5m51s</t>
  </si>
  <si>
    <t>NGC2198</t>
  </si>
  <si>
    <t>6h13m54s</t>
  </si>
  <si>
    <t>+0h59m42s</t>
  </si>
  <si>
    <t>Cl, bet 2 st 9·10 and 10·11</t>
  </si>
  <si>
    <t>NGC2199</t>
  </si>
  <si>
    <t>6h4m44.9s</t>
  </si>
  <si>
    <t>-73h24m0s</t>
  </si>
  <si>
    <t>NGC2200</t>
  </si>
  <si>
    <t>船尾座</t>
  </si>
  <si>
    <t>PUP</t>
  </si>
  <si>
    <t>6h13m17.4s</t>
  </si>
  <si>
    <t>-43h39m47s</t>
  </si>
  <si>
    <t>eF, pS, R, vlbM, ? 134° PD</t>
  </si>
  <si>
    <t>NGC2201</t>
  </si>
  <si>
    <t>6h13m31.4s</t>
  </si>
  <si>
    <t>-43h42m18s</t>
  </si>
  <si>
    <t>eF, S, R, pslbM, ? 134° PD</t>
  </si>
  <si>
    <t>NGC2202</t>
  </si>
  <si>
    <t>6h16m50.7s</t>
  </si>
  <si>
    <t>+5h59m48s</t>
  </si>
  <si>
    <t>** Chief of Cl</t>
  </si>
  <si>
    <t>NGC2203</t>
  </si>
  <si>
    <t>6h4m42.7s</t>
  </si>
  <si>
    <t>-75h26m18s</t>
  </si>
  <si>
    <t>pretty bright, pretty large, irregularly round, very gradually pretty much brighter middle, mottled but not resolved</t>
  </si>
  <si>
    <t>pB, pL, iR, vgpmbM, r</t>
  </si>
  <si>
    <t>NGC2204</t>
  </si>
  <si>
    <t>大犬座</t>
  </si>
  <si>
    <t>CMA</t>
  </si>
  <si>
    <t>6h15m33s</t>
  </si>
  <si>
    <t>-18h39m54s</t>
  </si>
  <si>
    <t>a cluster, large, pretty rich, a little compressed</t>
  </si>
  <si>
    <t>Cl, L, pRi, lC</t>
  </si>
  <si>
    <t>NGC2205</t>
  </si>
  <si>
    <t>6h10m32.8s</t>
  </si>
  <si>
    <t>-62h32m19s</t>
  </si>
  <si>
    <t>NGC2206</t>
  </si>
  <si>
    <t>6h15m59.7s</t>
  </si>
  <si>
    <t>-26h45m55s</t>
  </si>
  <si>
    <t>faint, pretty small, very little extended, pretty suddenly a little brighter middle</t>
  </si>
  <si>
    <t>F, pS, vlE, pslbM</t>
  </si>
  <si>
    <t>NGC2207</t>
  </si>
  <si>
    <t>6h16m21.8s</t>
  </si>
  <si>
    <t>-21h22m22s</t>
  </si>
  <si>
    <t>pB, pL, mE 87°, pslbMRN</t>
  </si>
  <si>
    <t>NGC2208</t>
  </si>
  <si>
    <t>6h22m34.6s</t>
  </si>
  <si>
    <t>+51h54m36s</t>
  </si>
  <si>
    <t>pretty faint, pretty small, a little extended</t>
  </si>
  <si>
    <t>pF, pS, lE</t>
  </si>
  <si>
    <t>NGC2209</t>
  </si>
  <si>
    <t>6h8m33.5s</t>
  </si>
  <si>
    <t>-73h50m16s</t>
  </si>
  <si>
    <t>very faint, considerably large, round, gradually a very little brighter middle</t>
  </si>
  <si>
    <t>vF, cL, R, gvlbM</t>
  </si>
  <si>
    <t>NGC2210</t>
  </si>
  <si>
    <t>6h11m31.9s</t>
  </si>
  <si>
    <t>-69h7m15s</t>
  </si>
  <si>
    <t>very bright, pretty large, round, much brighter middle, mottled but not resolved</t>
  </si>
  <si>
    <t>vB, pL, R, mbM, r</t>
  </si>
  <si>
    <t>NGC2211</t>
  </si>
  <si>
    <t>6h18m30.2s</t>
  </si>
  <si>
    <t>-18h32m16s</t>
  </si>
  <si>
    <t>very faint, pretty small, extended 45°, brighter middle and nucleus</t>
  </si>
  <si>
    <t>vF, pS, E 45°, bMN</t>
  </si>
  <si>
    <t>NGC2212</t>
  </si>
  <si>
    <t>6h18m35.7s</t>
  </si>
  <si>
    <t>-18h31m12s</t>
  </si>
  <si>
    <t>extremely faint, very small, round, in field with last</t>
  </si>
  <si>
    <t>eF, vS, R, in field with last</t>
  </si>
  <si>
    <t>NGC2213</t>
  </si>
  <si>
    <t>6h10m42s</t>
  </si>
  <si>
    <t>-71h31m42s</t>
  </si>
  <si>
    <t>vF, S, R, glbM, *** P</t>
  </si>
  <si>
    <t>NGC2214</t>
  </si>
  <si>
    <t>6h12m57.5s</t>
  </si>
  <si>
    <t>-68h15m33s</t>
  </si>
  <si>
    <t>bright, pretty small, a little extended, gradually brighter middle, clearly consisting of stars</t>
  </si>
  <si>
    <t>B, pS, lE, gbM, rrr</t>
  </si>
  <si>
    <t>NGC2215</t>
  </si>
  <si>
    <t>6h20m49.2s</t>
  </si>
  <si>
    <t>-7h17m2s</t>
  </si>
  <si>
    <t>a cluster, considerably large, pretty rich, pretty compressed, stars from 11th to 15th magnitude</t>
  </si>
  <si>
    <t>Cl, cL, pRi, pC, st 11…15</t>
  </si>
  <si>
    <t>NGC2216</t>
  </si>
  <si>
    <t>6h21m30.7s</t>
  </si>
  <si>
    <t>-22h5m14s</t>
  </si>
  <si>
    <t>NGC2217</t>
  </si>
  <si>
    <t>6h21m39.8s</t>
  </si>
  <si>
    <t>-27h14m3s</t>
  </si>
  <si>
    <t>very bright, small, round, pretty suddenly much brighter middle, mottled but not resolved</t>
  </si>
  <si>
    <t>vB, S, R, psmbM, r</t>
  </si>
  <si>
    <t>NGC2218</t>
  </si>
  <si>
    <t>6h24m42s</t>
  </si>
  <si>
    <t>+19h20m42s</t>
  </si>
  <si>
    <t>faint cluster (Auwers No. 22)</t>
  </si>
  <si>
    <t>F, Cl (Auwers No 22)</t>
  </si>
  <si>
    <t>NGC2219</t>
  </si>
  <si>
    <t>6h23m44.3s</t>
  </si>
  <si>
    <t>-4h40m36s</t>
  </si>
  <si>
    <t>Cl, P, vlC, st 6, 11…12</t>
  </si>
  <si>
    <t>NGC2220</t>
  </si>
  <si>
    <t>6h21m12s</t>
  </si>
  <si>
    <t>-44h45m28s</t>
  </si>
  <si>
    <t>a cluster, bright, poor, stars from 8th magnitude</t>
  </si>
  <si>
    <t>Cl, B, P, st 8…</t>
  </si>
  <si>
    <t>NGC2221</t>
  </si>
  <si>
    <t>6h20m15.8s</t>
  </si>
  <si>
    <t>-57h34m43s</t>
  </si>
  <si>
    <t>very faint, a little extended, very gradually brighter middle, western of 2</t>
  </si>
  <si>
    <t>vF, lE, vgbM, p of 2</t>
  </si>
  <si>
    <t>NGC2222</t>
  </si>
  <si>
    <t>6h20m16.8s</t>
  </si>
  <si>
    <t>-57h32m0s</t>
  </si>
  <si>
    <t>very faint, a little extended, very gradually a very little brighter middle, eastern of 2</t>
  </si>
  <si>
    <t>vF, lE, vgvlbM, f of 2</t>
  </si>
  <si>
    <t>NGC2223</t>
  </si>
  <si>
    <t>6h24m35.8s</t>
  </si>
  <si>
    <t>-22h50m19s</t>
  </si>
  <si>
    <t>faint, pretty large, round, very gradually a little brighter middle, 2 stars involved</t>
  </si>
  <si>
    <t>F, pL, R, vglbM, 2 st inv</t>
  </si>
  <si>
    <t>NGC2224</t>
  </si>
  <si>
    <t>6h27m32s</t>
  </si>
  <si>
    <t>Cl, pC, with neb?</t>
  </si>
  <si>
    <t>NGC2225</t>
  </si>
  <si>
    <t>6h26m37.5s</t>
  </si>
  <si>
    <t>-9h38m32s</t>
  </si>
  <si>
    <t>a cluster, poor, a little compressed middle, stars from 12th to 15th magnitude</t>
  </si>
  <si>
    <t>Cl, P, lCM, st 12…15</t>
  </si>
  <si>
    <t>NGC2226</t>
  </si>
  <si>
    <t>S, v diffic, * 10 close s</t>
  </si>
  <si>
    <t>NGC2227</t>
  </si>
  <si>
    <t>6h25m57.9s</t>
  </si>
  <si>
    <t>-22h0m17s</t>
  </si>
  <si>
    <t>eF, R, ** p 270°, 90"</t>
  </si>
  <si>
    <t>NGC2228</t>
  </si>
  <si>
    <t>6h21m15.9s</t>
  </si>
  <si>
    <t>-64h27m33s</t>
  </si>
  <si>
    <t>NGC2229</t>
  </si>
  <si>
    <t>6h21m23.8s</t>
  </si>
  <si>
    <t>-64h57m24s</t>
  </si>
  <si>
    <t>extremely faint, very small, round, 1st of 3</t>
  </si>
  <si>
    <t>eF, vS, R, 1st of 3</t>
  </si>
  <si>
    <t>NGC2230</t>
  </si>
  <si>
    <t>6h21m27.9s</t>
  </si>
  <si>
    <t>-64h59m34s</t>
  </si>
  <si>
    <t>extremely faint, small, a little extended, 2nd of 3</t>
  </si>
  <si>
    <t>eF, S, lE, 2nd of 3</t>
  </si>
  <si>
    <t>NGC2231</t>
  </si>
  <si>
    <t>6h20m43s</t>
  </si>
  <si>
    <t>-67h31m7s</t>
  </si>
  <si>
    <t>faint, pretty large, round, gradually a very little brighter middle, double star to east</t>
  </si>
  <si>
    <t>F, pL, R, gvlbM, ** f</t>
  </si>
  <si>
    <t>NGC2232</t>
  </si>
  <si>
    <t>双锥状星团</t>
  </si>
  <si>
    <t>6h27m15s</t>
  </si>
  <si>
    <t>-4h45m30s</t>
  </si>
  <si>
    <t>B * (10 Monoc) + CL</t>
  </si>
  <si>
    <t>NGC2233</t>
  </si>
  <si>
    <t>6h21m40.1s</t>
  </si>
  <si>
    <t>-65h2m0s</t>
  </si>
  <si>
    <t>extremely faint, small, 3rd of 3</t>
  </si>
  <si>
    <t>eF, S, 3rd of 3</t>
  </si>
  <si>
    <t>NGC2234</t>
  </si>
  <si>
    <t>6h29m29.2s</t>
  </si>
  <si>
    <t>+16h43m8s</t>
  </si>
  <si>
    <t>a cluster, extremely large, pretty rich, a little compressed, stars large and small</t>
  </si>
  <si>
    <t>Cl, eL, pRi, lC, st L &amp; S</t>
  </si>
  <si>
    <t>NGC2235</t>
  </si>
  <si>
    <t>6h22m22.2s</t>
  </si>
  <si>
    <t>-64h56m5s</t>
  </si>
  <si>
    <t>very faint, small, round, 12th magnitude star near</t>
  </si>
  <si>
    <t>vF, S, R, * 12 nr</t>
  </si>
  <si>
    <t>NGC2236</t>
  </si>
  <si>
    <t>6h29m39.6s</t>
  </si>
  <si>
    <t>+6h49m51s</t>
  </si>
  <si>
    <t>Cl, pRi, pC, st 10, 12…15</t>
  </si>
  <si>
    <t>NGC2237</t>
  </si>
  <si>
    <t>玫瑰星云</t>
  </si>
  <si>
    <t>6h30m54.6s</t>
  </si>
  <si>
    <t>+5h2m52s</t>
  </si>
  <si>
    <t>pB, vvL, dif (? = 5361)</t>
  </si>
  <si>
    <t>NGC2238</t>
  </si>
  <si>
    <t>6h30m40.3s</t>
  </si>
  <si>
    <t>+5h0m47s</t>
  </si>
  <si>
    <t>S * in nebulosity</t>
  </si>
  <si>
    <t>NGC2239</t>
  </si>
  <si>
    <t>6h32m19s</t>
  </si>
  <si>
    <t>+4h51m24s</t>
  </si>
  <si>
    <t>8th-magnitude star in a large, poor, bright cluster</t>
  </si>
  <si>
    <t>* 8 in L, P, B Cl</t>
  </si>
  <si>
    <t>NGC2240</t>
  </si>
  <si>
    <t>6h33m10.5s</t>
  </si>
  <si>
    <t>+35h15m2s</t>
  </si>
  <si>
    <t>Cl, pL, P, vlC, st 7, 10…15</t>
  </si>
  <si>
    <t>NGC2241</t>
  </si>
  <si>
    <t>6h22m53.3s</t>
  </si>
  <si>
    <t>-68h55m29s</t>
  </si>
  <si>
    <t>NGC2242</t>
  </si>
  <si>
    <t>6h34m7.4s</t>
  </si>
  <si>
    <t>+44h46m40s</t>
  </si>
  <si>
    <t>most extremely faint, very small, round, faint star to northeast</t>
  </si>
  <si>
    <t>eeF, vS, R, F * nf</t>
  </si>
  <si>
    <t>NGC2243</t>
  </si>
  <si>
    <t>I2r</t>
  </si>
  <si>
    <t>6h29m34.4s</t>
  </si>
  <si>
    <t>-31h16m53s</t>
  </si>
  <si>
    <t>pB, cL, R, vglbM, 4'</t>
  </si>
  <si>
    <t>NGC2244</t>
  </si>
  <si>
    <t>Cl, beautiful, st sc (12 Monoc)</t>
  </si>
  <si>
    <t>NGC2245</t>
  </si>
  <si>
    <t>6h32m41.2s</t>
  </si>
  <si>
    <t>+10h9m24s</t>
  </si>
  <si>
    <t>pL, com, mbN sf alm *, * 7·8 nf</t>
  </si>
  <si>
    <t>NGC2246</t>
  </si>
  <si>
    <t>6h32m33.7s</t>
  </si>
  <si>
    <t>+5h7m42s</t>
  </si>
  <si>
    <t>most extremely faint, large, irregularly round, extremely difficult</t>
  </si>
  <si>
    <t>eeF, L, irrR, e diffic</t>
  </si>
  <si>
    <t>NGC2247</t>
  </si>
  <si>
    <t>6h33m5.1s</t>
  </si>
  <si>
    <t>+10h19m18s</t>
  </si>
  <si>
    <t>Neb * in eF, eL neby, nf IV 3</t>
  </si>
  <si>
    <t>NGC2248</t>
  </si>
  <si>
    <t>6h34m35.3s</t>
  </si>
  <si>
    <t>+26h18m21s</t>
  </si>
  <si>
    <t>Small cluster (Auw 23)</t>
  </si>
  <si>
    <t>NGC2249</t>
  </si>
  <si>
    <t>6h25m49.6s</t>
  </si>
  <si>
    <t>-68h55m11s</t>
  </si>
  <si>
    <t>pretty bright, pretty large, round, very gradually brighter middle, double star to west</t>
  </si>
  <si>
    <t>pB, pL, R, vgbM, ** p</t>
  </si>
  <si>
    <t>NGC2250</t>
  </si>
  <si>
    <t>6h33m49.8s</t>
  </si>
  <si>
    <t>-5h5m4s</t>
  </si>
  <si>
    <t>Cl, pRi, lC, iF, st 8, 12…14</t>
  </si>
  <si>
    <t>NGC2251</t>
  </si>
  <si>
    <t>6h34m38.4s</t>
  </si>
  <si>
    <t>+8h21m59s</t>
  </si>
  <si>
    <t>a cluster, very large, extended, rich, a little compressed</t>
  </si>
  <si>
    <t>Cl, vL, E, Ri, lC</t>
  </si>
  <si>
    <t>NGC2252</t>
  </si>
  <si>
    <t>6h34m19.8s</t>
  </si>
  <si>
    <t>+5h19m22s</t>
  </si>
  <si>
    <t>a cluster, very large, pretty rich, a little compressed, stars small (faint)</t>
  </si>
  <si>
    <t>Cl, vL, pRi, lC, st S</t>
  </si>
  <si>
    <t>NGC2253</t>
  </si>
  <si>
    <t>6h42m0s</t>
  </si>
  <si>
    <t>+65h51m0s</t>
  </si>
  <si>
    <t>very faint, stars extremely small (faint)</t>
  </si>
  <si>
    <t>vF, st eS</t>
  </si>
  <si>
    <t>NGC2254</t>
  </si>
  <si>
    <t>6h35m46.6s</t>
  </si>
  <si>
    <t>+7h40m15s</t>
  </si>
  <si>
    <t>a cluster, small, pretty compressed, irregular figure, stars from 11th to 13th magnitude</t>
  </si>
  <si>
    <t>Cl, S, pC, iF, st 11…13</t>
  </si>
  <si>
    <t>NGC2255</t>
  </si>
  <si>
    <t>6h33m58.6s</t>
  </si>
  <si>
    <t>-34h48m42s</t>
  </si>
  <si>
    <t>extremely faint, small, a little extended, very little brighter middle</t>
  </si>
  <si>
    <t>eF, S, lE, vlbM</t>
  </si>
  <si>
    <t>NGC2256</t>
  </si>
  <si>
    <t>6h47m14.2s</t>
  </si>
  <si>
    <t>+74h14m13s</t>
  </si>
  <si>
    <t>F, R, * 9.5 3' sf</t>
  </si>
  <si>
    <t>NGC2257</t>
  </si>
  <si>
    <t>6h30m13s</t>
  </si>
  <si>
    <t>-64h19m29s</t>
  </si>
  <si>
    <t>faint, considerably large, round, very gradually a little brighter middle, mottled but not resolved, 17.0 seconds of time diameter</t>
  </si>
  <si>
    <t>F, cL, R, vglbM, r, 17s.0 d</t>
  </si>
  <si>
    <t>NGC2258</t>
  </si>
  <si>
    <t>6h47m46.5s</t>
  </si>
  <si>
    <t>+74h28m53s</t>
  </si>
  <si>
    <t>F, 2 st 10·11 f</t>
  </si>
  <si>
    <t>NGC2259</t>
  </si>
  <si>
    <t>6h38m33.3s</t>
  </si>
  <si>
    <t>+10h52m57s</t>
  </si>
  <si>
    <t>a cluster, considerably rich, extremely compressed, irregular figure, stars extremely small (faint)</t>
  </si>
  <si>
    <t>Cl, cRi, eC, iF, st eS</t>
  </si>
  <si>
    <t>NGC2260</t>
  </si>
  <si>
    <t>6h38m3s</t>
  </si>
  <si>
    <t>-1h28m20s</t>
  </si>
  <si>
    <t>a cluster, very large, poor, very little compressed, stars large and small</t>
  </si>
  <si>
    <t>Cl, vL, P, vlC, st L &amp; S</t>
  </si>
  <si>
    <t>NGC2261</t>
  </si>
  <si>
    <t>哈勃变光星云</t>
  </si>
  <si>
    <t>6h39m9.5s</t>
  </si>
  <si>
    <t>+8h44m40s</t>
  </si>
  <si>
    <t>B, vmE 330°, N com = * 11</t>
  </si>
  <si>
    <t>NGC2262</t>
  </si>
  <si>
    <t>6h39m38.7s</t>
  </si>
  <si>
    <t>+1h8m30s</t>
  </si>
  <si>
    <t>a cluster, very compressed, irregularly round, brighter middle, stars extremely small (faint)</t>
  </si>
  <si>
    <t>Cl, vC, iR, bM, st eS</t>
  </si>
  <si>
    <t>NGC2263</t>
  </si>
  <si>
    <t>6h38m28.8s</t>
  </si>
  <si>
    <t>-24h50m55s</t>
  </si>
  <si>
    <t>pretty faint, a little extended, between 2 very small (faint) stars, pretty suddenly a little brighter middle</t>
  </si>
  <si>
    <t>pF, lE, bet 2 vS st, pslbM</t>
  </si>
  <si>
    <t>NGC2264</t>
  </si>
  <si>
    <t>圣诞树星团</t>
  </si>
  <si>
    <t>IV3pn</t>
  </si>
  <si>
    <t>6h40m58.2s</t>
  </si>
  <si>
    <t>+9h53m44s</t>
  </si>
  <si>
    <t>15 Monoc, Cl, **, ? Neb</t>
  </si>
  <si>
    <t>NGC2265</t>
  </si>
  <si>
    <t>6h41m41.6s</t>
  </si>
  <si>
    <t>+11h54m19s</t>
  </si>
  <si>
    <t>Cl, P, 30 or 40 st 12…13</t>
  </si>
  <si>
    <t>NGC2266</t>
  </si>
  <si>
    <t>6h43m19.2s</t>
  </si>
  <si>
    <t>+26h58m10s</t>
  </si>
  <si>
    <t>a cluster, pretty small, extremely compressed, rich, stars from 11th to 15th magnitude</t>
  </si>
  <si>
    <t>Cl, pS, eC, Ri, st 11…15</t>
  </si>
  <si>
    <t>NGC2267</t>
  </si>
  <si>
    <t>6h40m51.7s</t>
  </si>
  <si>
    <t>-32h28m56s</t>
  </si>
  <si>
    <t>pB, S, R, 2 or 3 st v nr</t>
  </si>
  <si>
    <t>NGC2268</t>
  </si>
  <si>
    <t>7h14m17.5s</t>
  </si>
  <si>
    <t>+84h22m56s</t>
  </si>
  <si>
    <t>pretty faint, pretty large, a little extended</t>
  </si>
  <si>
    <t>NGC2269</t>
  </si>
  <si>
    <t>猎头星团</t>
  </si>
  <si>
    <t>6h43m17s</t>
  </si>
  <si>
    <t>+4h37m28s</t>
  </si>
  <si>
    <t>a cluster, very much compressed, not rich, stars very small</t>
  </si>
  <si>
    <t>Cl, vmC, not Ri, st vS</t>
  </si>
  <si>
    <t>NGC2270</t>
  </si>
  <si>
    <t>6h43m57.7s</t>
  </si>
  <si>
    <t>+3h28m45s</t>
  </si>
  <si>
    <t>a cluster, a little compressed, not rich</t>
  </si>
  <si>
    <t>Cl, lC, not Ri</t>
  </si>
  <si>
    <t>NGC2271</t>
  </si>
  <si>
    <t>6h42m52.9s</t>
  </si>
  <si>
    <t>-23h28m33s</t>
  </si>
  <si>
    <t>pretty faint, small, round, gradually brighter middle, among stars</t>
  </si>
  <si>
    <t>pF, S, R, gbM, am st</t>
  </si>
  <si>
    <t>NGC2272</t>
  </si>
  <si>
    <t>6h42m41.2s</t>
  </si>
  <si>
    <t>-27h27m35s</t>
  </si>
  <si>
    <t>pretty faint, pretty small, very little extended, brighter middle, mottled but not resolved</t>
  </si>
  <si>
    <t>pF, pS, vlE, bM, r</t>
  </si>
  <si>
    <t>NGC2273</t>
  </si>
  <si>
    <t>天猫座</t>
  </si>
  <si>
    <t>LYN</t>
  </si>
  <si>
    <t>6h50m8.4s</t>
  </si>
  <si>
    <t>+60h50m45s</t>
  </si>
  <si>
    <t>faint, small, irregularly round, mottled but not resolved?</t>
  </si>
  <si>
    <t>F, S, iR, r?</t>
  </si>
  <si>
    <t>NGC2274</t>
  </si>
  <si>
    <t>6h47m17.4s</t>
  </si>
  <si>
    <t>+33h34m3s</t>
  </si>
  <si>
    <t>NGC2275</t>
  </si>
  <si>
    <t>6h47m17.9s</t>
  </si>
  <si>
    <t>+33h35m57s</t>
  </si>
  <si>
    <t>NGC2276</t>
  </si>
  <si>
    <t>7h27m13.6s</t>
  </si>
  <si>
    <t>+85h45m18s</t>
  </si>
  <si>
    <t>F, 60", lbM</t>
  </si>
  <si>
    <t>NGC2277</t>
  </si>
  <si>
    <t>6h47m47s</t>
  </si>
  <si>
    <t>+33h27m17s</t>
  </si>
  <si>
    <t>cluster, very small, a little rich</t>
  </si>
  <si>
    <t>Cl, vS, lRi</t>
  </si>
  <si>
    <t>NGC2278</t>
  </si>
  <si>
    <t>6h48m16.3s</t>
  </si>
  <si>
    <t>+33h23m43s</t>
  </si>
  <si>
    <t>NGC2279</t>
  </si>
  <si>
    <t>6h48m24.7s</t>
  </si>
  <si>
    <t>very faint, very small, stellar nucleus</t>
  </si>
  <si>
    <t>vF, vS, stellar Nucl</t>
  </si>
  <si>
    <t>NGC2280</t>
  </si>
  <si>
    <t>6h44m48.9s</t>
  </si>
  <si>
    <t>-27h38m20s</t>
  </si>
  <si>
    <t>pretty faint, pretty large, a little extended, gradually brighter middle</t>
  </si>
  <si>
    <t>pF, pL, lE, gbM</t>
  </si>
  <si>
    <t>NGC2281</t>
  </si>
  <si>
    <t>碎心星团</t>
  </si>
  <si>
    <t>6h48m17.8s</t>
  </si>
  <si>
    <t>+41h4m44s</t>
  </si>
  <si>
    <t>cluster, pretty rich, very little compressed, stars pretty large</t>
  </si>
  <si>
    <t>Cl, pRi, vlC, st pL</t>
  </si>
  <si>
    <t>NGC2282</t>
  </si>
  <si>
    <t>6h46m51.2s</t>
  </si>
  <si>
    <t>+1h18m54s</t>
  </si>
  <si>
    <t>10th magnitude star in faint, round nebulosity</t>
  </si>
  <si>
    <t>* 10 in F, R neby</t>
  </si>
  <si>
    <t>NGC2283</t>
  </si>
  <si>
    <t>6h45m52.6s</t>
  </si>
  <si>
    <t>-18h12m37s</t>
  </si>
  <si>
    <t>3 or 4 S st + neb</t>
  </si>
  <si>
    <t>NGC2284</t>
  </si>
  <si>
    <t>6h49m9.5s</t>
  </si>
  <si>
    <t>+33h11m40s</t>
  </si>
  <si>
    <t>faint, mottled but not resolved</t>
  </si>
  <si>
    <t>F, r</t>
  </si>
  <si>
    <t>NGC2285</t>
  </si>
  <si>
    <t>6h49m36s</t>
  </si>
  <si>
    <t>+33h21m54s</t>
  </si>
  <si>
    <t>extremely faint, extremely small, mottled but not resolved?</t>
  </si>
  <si>
    <t>eF, eS, r ?</t>
  </si>
  <si>
    <t>NGC2286</t>
  </si>
  <si>
    <t>IV3m</t>
  </si>
  <si>
    <t>6h47m40.1s</t>
  </si>
  <si>
    <t>-3h8m52s</t>
  </si>
  <si>
    <t>Cl, L, C, ab 100 st 9…15</t>
  </si>
  <si>
    <t>NGC2287</t>
  </si>
  <si>
    <t>小蜂巢星团</t>
  </si>
  <si>
    <t>6h46m0s</t>
  </si>
  <si>
    <t>-20h45m24s</t>
  </si>
  <si>
    <t>cluster, very large, bright, a little compressed, stars from 8th magnitude</t>
  </si>
  <si>
    <t>Cl, vL, B, lC, st 8…</t>
  </si>
  <si>
    <t>NGC2288</t>
  </si>
  <si>
    <t>6h50m51.9s</t>
  </si>
  <si>
    <t>+33h27m45s</t>
  </si>
  <si>
    <t>cF, S, R, (β of Lord R's diag)</t>
  </si>
  <si>
    <t>NGC2289</t>
  </si>
  <si>
    <t>6h50m53.5s</t>
  </si>
  <si>
    <t>+33h28m44s</t>
  </si>
  <si>
    <t>eF, vS, (= γ)</t>
  </si>
  <si>
    <t>NGC2290</t>
  </si>
  <si>
    <t>6h50m56.9s</t>
  </si>
  <si>
    <t>+33h26m15s</t>
  </si>
  <si>
    <t>F, S, gbM (= α)</t>
  </si>
  <si>
    <t>NGC2291</t>
  </si>
  <si>
    <t>6h50m58.6s</t>
  </si>
  <si>
    <t>+33h31m30s</t>
  </si>
  <si>
    <t>eF, vS, (= δ)</t>
  </si>
  <si>
    <t>NGC2292</t>
  </si>
  <si>
    <t>6h47m39.4s</t>
  </si>
  <si>
    <t>-26h44m47s</t>
  </si>
  <si>
    <t>extremely faint, round, gradually brighter middle, double nebula, among stars</t>
  </si>
  <si>
    <t>eF, R, gbM, D neb, am st</t>
  </si>
  <si>
    <t>NGC2293</t>
  </si>
  <si>
    <t>6h47m42.8s</t>
  </si>
  <si>
    <t>-26h45m17s</t>
  </si>
  <si>
    <t>pretty bright, round, gradually brighter middle, double nebula, among stars</t>
  </si>
  <si>
    <t>pB, R, gbM, D neb, am st</t>
  </si>
  <si>
    <t>NGC2294</t>
  </si>
  <si>
    <t>6h51m11.3s</t>
  </si>
  <si>
    <t>+33h31m38s</t>
  </si>
  <si>
    <t>eeF, (ε of Lord R's diag)</t>
  </si>
  <si>
    <t>NGC2295</t>
  </si>
  <si>
    <t>6h47m23.2s</t>
  </si>
  <si>
    <t>-26h44m10s</t>
  </si>
  <si>
    <t>eF, S, R, bet st, D neb p</t>
  </si>
  <si>
    <t>NGC2296</t>
  </si>
  <si>
    <t>6h48m39s</t>
  </si>
  <si>
    <t>-16h54m4s</t>
  </si>
  <si>
    <t>NGC2297</t>
  </si>
  <si>
    <t>6h44m24.5s</t>
  </si>
  <si>
    <t>-63h43m3s</t>
  </si>
  <si>
    <t>NGC2298</t>
  </si>
  <si>
    <t>VI</t>
  </si>
  <si>
    <t>6h48m59.2s</t>
  </si>
  <si>
    <t>-36h0m17s</t>
  </si>
  <si>
    <t>a globular cluster, bright, pretty large, irregularly round, gradually brighter middle, partially resolved (some stars seen)</t>
  </si>
  <si>
    <t>globular, B, pL, iR, gbM, rr</t>
  </si>
  <si>
    <t>NGC2299</t>
  </si>
  <si>
    <t>6h51m56.6s</t>
  </si>
  <si>
    <t>-7h5m4s</t>
  </si>
  <si>
    <t>Cl of 30 or 40 st</t>
  </si>
  <si>
    <t>NGC2300</t>
  </si>
  <si>
    <t>7h32m20.3s</t>
  </si>
  <si>
    <t>+85h42m33s</t>
  </si>
  <si>
    <t>pretty bright, pretty large, a little extended, brighter middle</t>
  </si>
  <si>
    <t>pB, pL, lE, bM</t>
  </si>
  <si>
    <t>NGC2301</t>
  </si>
  <si>
    <t>海格的龙星团</t>
  </si>
  <si>
    <t>6h51m45.2s</t>
  </si>
  <si>
    <t>+0h27m33s</t>
  </si>
  <si>
    <t>a cluster, rich, large, irregular figure, stars large and small</t>
  </si>
  <si>
    <t>Cl, Ri, L, iF, st L &amp; S</t>
  </si>
  <si>
    <t>NGC2302</t>
  </si>
  <si>
    <t>a cluster, large, poor, a little compressed</t>
  </si>
  <si>
    <t>Cl, L, P, lC</t>
  </si>
  <si>
    <t>NGC2303</t>
  </si>
  <si>
    <t>6h56m17.4s</t>
  </si>
  <si>
    <t>+45h29m36s</t>
  </si>
  <si>
    <t>extremely faint, very small, round, several stars near</t>
  </si>
  <si>
    <t>eF, vS, R, sev st nr</t>
  </si>
  <si>
    <t>NGC2304</t>
  </si>
  <si>
    <t>6h55m11.8s</t>
  </si>
  <si>
    <t>+17h59m19s</t>
  </si>
  <si>
    <t>a cluster, pretty large, rich, much compressed, stars very small</t>
  </si>
  <si>
    <t>Cl, pL, Ri, mC, st vS</t>
  </si>
  <si>
    <t>NGC2305</t>
  </si>
  <si>
    <t>E2/P</t>
  </si>
  <si>
    <t>飞鱼座</t>
  </si>
  <si>
    <t>VOL</t>
  </si>
  <si>
    <t>6h48m37.3s</t>
  </si>
  <si>
    <t>-64h16m22s</t>
  </si>
  <si>
    <t>very faint, very small, round, making a triangle with 2 stars</t>
  </si>
  <si>
    <t>vF, vS, R, 2 st Δ</t>
  </si>
  <si>
    <t>NGC2306</t>
  </si>
  <si>
    <t>6h54m29.5s</t>
  </si>
  <si>
    <t>-7h11m55s</t>
  </si>
  <si>
    <t>a cluster, poor, very little compressed</t>
  </si>
  <si>
    <t>Cl, P, vlC</t>
  </si>
  <si>
    <t>NGC2307</t>
  </si>
  <si>
    <t>6h48m51s</t>
  </si>
  <si>
    <t>-64h20m6s</t>
  </si>
  <si>
    <t>very faint, pretty small, very little extended 90°</t>
  </si>
  <si>
    <t>vF, pS, vlE 90°</t>
  </si>
  <si>
    <t>NGC2308</t>
  </si>
  <si>
    <t>6h58m37.5s</t>
  </si>
  <si>
    <t>+45h12m40s</t>
  </si>
  <si>
    <t>extremely faint, very small, very faint star involved</t>
  </si>
  <si>
    <t>eF, vS, vF * inv</t>
  </si>
  <si>
    <t>NGC2309</t>
  </si>
  <si>
    <t>6h56m3.6s</t>
  </si>
  <si>
    <t>-7h10m28s</t>
  </si>
  <si>
    <t>a cluster, pretty large, pretty rich, much compressed, stars of 13th magnitude</t>
  </si>
  <si>
    <t>Cl, pL, pRi, mC, st 13</t>
  </si>
  <si>
    <t>NGC2310</t>
  </si>
  <si>
    <t>6h53m53.8s</t>
  </si>
  <si>
    <t>-40h51m49s</t>
  </si>
  <si>
    <t>pretty bright, pretty large, very much extended 45°, pretty suddenly a little brighter middle</t>
  </si>
  <si>
    <t>pB, pL, vmE 45°, pslbM</t>
  </si>
  <si>
    <t>NGC2311</t>
  </si>
  <si>
    <t>6h57m47.5s</t>
  </si>
  <si>
    <t>-4h36m41s</t>
  </si>
  <si>
    <t>NGC2312</t>
  </si>
  <si>
    <t>6h58m47s</t>
  </si>
  <si>
    <t>+10h17m44s</t>
  </si>
  <si>
    <t>a cluster, poor</t>
  </si>
  <si>
    <t>NGC2313</t>
  </si>
  <si>
    <t>6h58m2.8s</t>
  </si>
  <si>
    <t>-7h56m42s</t>
  </si>
  <si>
    <t>NGC2314</t>
  </si>
  <si>
    <t>7h10m31.8s</t>
  </si>
  <si>
    <t>+75h19m40s</t>
  </si>
  <si>
    <t>NGC2315</t>
  </si>
  <si>
    <t>7h2m33s</t>
  </si>
  <si>
    <t>+50h35m27s</t>
  </si>
  <si>
    <t>NGC2316</t>
  </si>
  <si>
    <t>RN+EN</t>
  </si>
  <si>
    <t>6h59m40.8s</t>
  </si>
  <si>
    <t>-7h46m38s</t>
  </si>
  <si>
    <t>a remarkable object, a cluster, very large, rich, pretty compressed, extended, stars from 12th to 16th magnitude</t>
  </si>
  <si>
    <t>pF, S, R, r, S st inv</t>
  </si>
  <si>
    <t>NGC2317</t>
  </si>
  <si>
    <t>Makes a close D neb with h 421</t>
  </si>
  <si>
    <t>NGC2318</t>
  </si>
  <si>
    <t>6h59m27s</t>
  </si>
  <si>
    <t>-13h41m52s</t>
  </si>
  <si>
    <t>Cl, L, sc, st 8…9</t>
  </si>
  <si>
    <t>NGC2319</t>
  </si>
  <si>
    <t>7h0m32.2s</t>
  </si>
  <si>
    <t>+3h2m34s</t>
  </si>
  <si>
    <t>Cl of v sc st, st 8, 9…</t>
  </si>
  <si>
    <t>NGC2320</t>
  </si>
  <si>
    <t>7h5m41.9s</t>
  </si>
  <si>
    <t>+50h34m51s</t>
  </si>
  <si>
    <t>pB, S, iR, gbM, * 8, 120°</t>
  </si>
  <si>
    <t>NGC2321</t>
  </si>
  <si>
    <t>7h5m58.9s</t>
  </si>
  <si>
    <t>+50h45m24s</t>
  </si>
  <si>
    <t>vF, 12' n of h 424</t>
  </si>
  <si>
    <t>NGC2322</t>
  </si>
  <si>
    <t>7h6m0.3s</t>
  </si>
  <si>
    <t>+50h30m38s</t>
  </si>
  <si>
    <t>NGC2323</t>
  </si>
  <si>
    <t>心状星团</t>
  </si>
  <si>
    <t>7h2m47.8s</t>
  </si>
  <si>
    <t>-8h22m33s</t>
  </si>
  <si>
    <t>! Cl, vL, Ri, pC, E, st 12…16</t>
  </si>
  <si>
    <t>NGC2324</t>
  </si>
  <si>
    <t>7h4m7.9s</t>
  </si>
  <si>
    <t>+1h2m41s</t>
  </si>
  <si>
    <t>a cluster, large, rich, considerably compressed, stars from 12th to 16th magnitude</t>
  </si>
  <si>
    <t>Cl, L, Ri, cC, st 12…16</t>
  </si>
  <si>
    <t>NGC2325</t>
  </si>
  <si>
    <t>7h2m40.2s</t>
  </si>
  <si>
    <t>-28h41m52s</t>
  </si>
  <si>
    <t>pretty bright, pretty large, a little extended, gradually brighter middle</t>
  </si>
  <si>
    <t>pB, pL, lE, gbM</t>
  </si>
  <si>
    <t>NGC2326</t>
  </si>
  <si>
    <t>7h8m10.9s</t>
  </si>
  <si>
    <t>+50h40m56s</t>
  </si>
  <si>
    <t>vF, pL, iR, psmbM, st p</t>
  </si>
  <si>
    <t>NGC2327</t>
  </si>
  <si>
    <t>7h4m7.2s</t>
  </si>
  <si>
    <t>-11h18m51s</t>
  </si>
  <si>
    <t>pB ** inv in S, vF, neb</t>
  </si>
  <si>
    <t>NGC2328</t>
  </si>
  <si>
    <t>7h2m36.1s</t>
  </si>
  <si>
    <t>-42h4m5s</t>
  </si>
  <si>
    <t>very faint, small, very little extended, brighter middle, among stars</t>
  </si>
  <si>
    <t>vF, S, vlE, bM, am st</t>
  </si>
  <si>
    <t>NGC2329</t>
  </si>
  <si>
    <t>7h9m7.9s</t>
  </si>
  <si>
    <t>+48h36m57s</t>
  </si>
  <si>
    <t>NGC2330</t>
  </si>
  <si>
    <t>7h9m28.3s</t>
  </si>
  <si>
    <t>+50h9m11s</t>
  </si>
  <si>
    <t>Not seen by Kobold (with the 18-inch refractor at Strassburg), who observed eleven nebulae about this place</t>
  </si>
  <si>
    <t>vF, vS, v stellar</t>
  </si>
  <si>
    <t>NGC2331</t>
  </si>
  <si>
    <t>7h6m59.8s</t>
  </si>
  <si>
    <t>+27h15m42s</t>
  </si>
  <si>
    <t>Cl, L, vlC, S Cl inv</t>
  </si>
  <si>
    <t>NGC2332</t>
  </si>
  <si>
    <t>7h9m33.8s</t>
  </si>
  <si>
    <t>+50h10m55s</t>
  </si>
  <si>
    <t>NGC2333</t>
  </si>
  <si>
    <t>7h8m21.2s</t>
  </si>
  <si>
    <t>+35h10m12s</t>
  </si>
  <si>
    <t>NGC2334</t>
  </si>
  <si>
    <t>7h11m33.6s</t>
  </si>
  <si>
    <t>+50h14m56s</t>
  </si>
  <si>
    <t>vF, bet 2 st 12</t>
  </si>
  <si>
    <t>NGC2335</t>
  </si>
  <si>
    <t>7h6m49.4s</t>
  </si>
  <si>
    <t>-10h1m43s</t>
  </si>
  <si>
    <t>NGC2336</t>
  </si>
  <si>
    <t>7h27m3.6s</t>
  </si>
  <si>
    <t>+80h10m40s</t>
  </si>
  <si>
    <t>pretty bright, pretty large, round, 2 stars of 11th magnitude near</t>
  </si>
  <si>
    <t>pB, pL, R, 2 st 11 nr</t>
  </si>
  <si>
    <t>NGC2337</t>
  </si>
  <si>
    <t>7h10m13.6s</t>
  </si>
  <si>
    <t>+44h27m25s</t>
  </si>
  <si>
    <t>NGC2338</t>
  </si>
  <si>
    <t>7h7m43s</t>
  </si>
  <si>
    <t>-5h43m0s</t>
  </si>
  <si>
    <t>a cluster, very little compressed</t>
  </si>
  <si>
    <t>Cl, vlC</t>
  </si>
  <si>
    <t>NGC2339</t>
  </si>
  <si>
    <t>7h8m20.3s</t>
  </si>
  <si>
    <t>+18h46m46s</t>
  </si>
  <si>
    <t>NGC2340</t>
  </si>
  <si>
    <t>7h11m10.7s</t>
  </si>
  <si>
    <t>+50h10m29s</t>
  </si>
  <si>
    <t>pretty faint, small, round, gradually a little brighter middle, mottled but not resolved</t>
  </si>
  <si>
    <t>pF, S, R, glbM, r</t>
  </si>
  <si>
    <t>NGC2341</t>
  </si>
  <si>
    <t>7h9m12s</t>
  </si>
  <si>
    <t>+20h36m12s</t>
  </si>
  <si>
    <t>NGC2342</t>
  </si>
  <si>
    <t>7h9m18.1s</t>
  </si>
  <si>
    <t>+20h38m13s</t>
  </si>
  <si>
    <t>pretty faint, small, a little extended, very little brighter middle</t>
  </si>
  <si>
    <t>pF, S, lE, vlbM</t>
  </si>
  <si>
    <t>NGC2343</t>
  </si>
  <si>
    <t>箭头星团</t>
  </si>
  <si>
    <t>7h8m6.7s</t>
  </si>
  <si>
    <t>-10h37m0s</t>
  </si>
  <si>
    <t>a cluster, considerably large, poor, a little compressed</t>
  </si>
  <si>
    <t>Cl, cL, P, lC</t>
  </si>
  <si>
    <t>NGC2344</t>
  </si>
  <si>
    <t>7h12m28.6s</t>
  </si>
  <si>
    <t>+47h10m2s</t>
  </si>
  <si>
    <t>pretty bright, pretty small, round, a little brighter middle</t>
  </si>
  <si>
    <t>pB, pS, R, lbM</t>
  </si>
  <si>
    <t>NGC2345</t>
  </si>
  <si>
    <t>7h8m18.7s</t>
  </si>
  <si>
    <t>-13h11m37s</t>
  </si>
  <si>
    <t>a cluster, pretty large, pretty rich, gradually brighter middle, stars from 10th to 14th magnitude</t>
  </si>
  <si>
    <t>Cl, pL, pRi, gbM, st 10…14</t>
  </si>
  <si>
    <t>NGC2346</t>
  </si>
  <si>
    <t>蝴蝶星云</t>
  </si>
  <si>
    <t>7h9m22.5s</t>
  </si>
  <si>
    <t>-0h48m22s</t>
  </si>
  <si>
    <t>* 10 nff with S, vF, neb</t>
  </si>
  <si>
    <t>NGC2347</t>
  </si>
  <si>
    <t>7h16m4s</t>
  </si>
  <si>
    <t>+64h42m41s</t>
  </si>
  <si>
    <t>very faint, small, round, a little brighter middle</t>
  </si>
  <si>
    <t>vF, S, R, lbM</t>
  </si>
  <si>
    <t>NGC2348</t>
  </si>
  <si>
    <t>7h3m2.7s</t>
  </si>
  <si>
    <t>-67h23m39s</t>
  </si>
  <si>
    <t>Cl, P, lC, 30 st ±</t>
  </si>
  <si>
    <t>NGC2349</t>
  </si>
  <si>
    <t>7h10m48.1s</t>
  </si>
  <si>
    <t>-8h35m34s</t>
  </si>
  <si>
    <t>cluster, considerably large, poor, considerably compressed</t>
  </si>
  <si>
    <t>Cl, cL, P, cC</t>
  </si>
  <si>
    <t>NGC2350</t>
  </si>
  <si>
    <t>小犬座</t>
  </si>
  <si>
    <t>CMI</t>
  </si>
  <si>
    <t>7h13m12.1s</t>
  </si>
  <si>
    <t>+12h15m59s</t>
  </si>
  <si>
    <t>NGC2351</t>
  </si>
  <si>
    <t>7h13m30s</t>
  </si>
  <si>
    <t>-10h28m58s</t>
  </si>
  <si>
    <t>a cluster, a little compressed, double star taken</t>
  </si>
  <si>
    <t>Cl, lC, ** taken</t>
  </si>
  <si>
    <t>NGC2352</t>
  </si>
  <si>
    <t>7h13m5.7s</t>
  </si>
  <si>
    <t>-24h2m20s</t>
  </si>
  <si>
    <t>a cluster, pretty rich, pretty compressed</t>
  </si>
  <si>
    <t>Cl, pRi, pC</t>
  </si>
  <si>
    <t>NGC2353</t>
  </si>
  <si>
    <t>艾弗里岛星团</t>
  </si>
  <si>
    <t>7h14m30.3s</t>
  </si>
  <si>
    <t>-10h15m57s</t>
  </si>
  <si>
    <t>Cl, L, lC, one vB *</t>
  </si>
  <si>
    <t>NGC2354</t>
  </si>
  <si>
    <t>7h14m10s</t>
  </si>
  <si>
    <t>-25h41m24s</t>
  </si>
  <si>
    <t>a cluster, considerably rich, a little compressed</t>
  </si>
  <si>
    <t>Cl, cRi, lC</t>
  </si>
  <si>
    <t>NGC2355</t>
  </si>
  <si>
    <t>7h16m59.2s</t>
  </si>
  <si>
    <t>+13h45m0s</t>
  </si>
  <si>
    <t>cluster, pretty large, rich (including 30 Canis Majoris)</t>
  </si>
  <si>
    <t>Cl, pS, pRi, mC, st 15…16</t>
  </si>
  <si>
    <t>NGC2356</t>
  </si>
  <si>
    <t>a cluster, a little compressed</t>
  </si>
  <si>
    <t>Cl, lC</t>
  </si>
  <si>
    <t>NGC2357</t>
  </si>
  <si>
    <t>7h17m40.9s</t>
  </si>
  <si>
    <t>+23h21m23s</t>
  </si>
  <si>
    <t>extremely faint, large, much extended, brighter middle, faint star involved</t>
  </si>
  <si>
    <t>eF, L, mE, bM, F st inv</t>
  </si>
  <si>
    <t>NGC2358</t>
  </si>
  <si>
    <t>7h16m56.3s</t>
  </si>
  <si>
    <t>-17h7m0s</t>
  </si>
  <si>
    <t>a cluster, poor, a little compressed</t>
  </si>
  <si>
    <t>Cl, P, lC</t>
  </si>
  <si>
    <t>NGC2359</t>
  </si>
  <si>
    <t>雷神的头盔</t>
  </si>
  <si>
    <t>7h18m30s</t>
  </si>
  <si>
    <t>-13h15m50s</t>
  </si>
  <si>
    <t>!!, vF, vvL, viF</t>
  </si>
  <si>
    <t>NGC2360</t>
  </si>
  <si>
    <t>卡罗琳星团</t>
  </si>
  <si>
    <t>7h17m43.1s</t>
  </si>
  <si>
    <t>-15h38m29s</t>
  </si>
  <si>
    <t>cluster, very large, rich, pretty compressed, stars from 9th to 12th magnitude</t>
  </si>
  <si>
    <t>Cl, vL, Ri, pC, st 9…12</t>
  </si>
  <si>
    <t>NGC2361</t>
  </si>
  <si>
    <t>7h18m23.7s</t>
  </si>
  <si>
    <t>-13h12m32s</t>
  </si>
  <si>
    <t>very very faint, very small</t>
  </si>
  <si>
    <t>vvF, vS</t>
  </si>
  <si>
    <t>NGC2362</t>
  </si>
  <si>
    <t>弧矢增六星团</t>
  </si>
  <si>
    <t>7h18m41.4s</t>
  </si>
  <si>
    <t>-24h57m15s</t>
  </si>
  <si>
    <t>Cl, pL, Ri (30 Can maj)</t>
  </si>
  <si>
    <t>NGC2363</t>
  </si>
  <si>
    <t>7h28m29.9s</t>
  </si>
  <si>
    <t>+69h11m34s</t>
  </si>
  <si>
    <t>Neb * or vF, vS, III 748 sf</t>
  </si>
  <si>
    <t>NGC2364</t>
  </si>
  <si>
    <t>7h20m46.4s</t>
  </si>
  <si>
    <t>-7h32m58s</t>
  </si>
  <si>
    <t>a cluster, pretty compressed, stars pretty large (bright), bifid</t>
  </si>
  <si>
    <t>Cl, pC, st pL, bifid</t>
  </si>
  <si>
    <t>NGC2365</t>
  </si>
  <si>
    <t>7h22m22.3s</t>
  </si>
  <si>
    <t>+22h5m0s</t>
  </si>
  <si>
    <t>very faint, pretty small, round, pretty suddenly brighter middle</t>
  </si>
  <si>
    <t>vF, pS, R, psbM</t>
  </si>
  <si>
    <t>NGC2366</t>
  </si>
  <si>
    <t>7h28m54.8s</t>
  </si>
  <si>
    <t>+69h12m58s</t>
  </si>
  <si>
    <t>vF, pL, mbM, vS * inv, curved tails</t>
  </si>
  <si>
    <t>NGC2367</t>
  </si>
  <si>
    <t>查理·布朗的圣诞树</t>
  </si>
  <si>
    <t>7h20m6s</t>
  </si>
  <si>
    <t>-21h52m54s</t>
  </si>
  <si>
    <t>a cluster, small, poor, a little compressed</t>
  </si>
  <si>
    <t>Cl, S, P, lC</t>
  </si>
  <si>
    <t>NGC2368</t>
  </si>
  <si>
    <t>7h21m2.2s</t>
  </si>
  <si>
    <t>-10h22m28s</t>
  </si>
  <si>
    <t>a cluster, small, pretty rich, stars of 15th magnitude</t>
  </si>
  <si>
    <t>Cl, S, pRi, st 15</t>
  </si>
  <si>
    <t>NGC2369</t>
  </si>
  <si>
    <t>7h16m37.7s</t>
  </si>
  <si>
    <t>-62h20m38s</t>
  </si>
  <si>
    <t>pretty bright, pretty large, irregularly extended, gradually a little brighter middle</t>
  </si>
  <si>
    <t>pB, pL, iE, glbM</t>
  </si>
  <si>
    <t>NGC2370</t>
  </si>
  <si>
    <t>7h25m1.5s</t>
  </si>
  <si>
    <t>+23h47m1s</t>
  </si>
  <si>
    <t>extremely faint, very small, extended</t>
  </si>
  <si>
    <t>eF, vS, E</t>
  </si>
  <si>
    <t>NGC2371</t>
  </si>
  <si>
    <t>双子座星云</t>
  </si>
  <si>
    <t>7h25m33.9s</t>
  </si>
  <si>
    <t>+29h29m18s</t>
  </si>
  <si>
    <t>bright, small, round, brighter middle and nucleus, western part of a double nebula</t>
  </si>
  <si>
    <t>B, S, R, bMN, p of D neb</t>
  </si>
  <si>
    <t>NGC2372</t>
  </si>
  <si>
    <t>pB, S, R, bMN, f of D neb</t>
  </si>
  <si>
    <t>NGC2373</t>
  </si>
  <si>
    <t>7h26m36.9s</t>
  </si>
  <si>
    <t>+33h49m27s</t>
  </si>
  <si>
    <t>eF, vS (ζ in Ld R's diag)</t>
  </si>
  <si>
    <t>NGC2374</t>
  </si>
  <si>
    <t>7h23m56s</t>
  </si>
  <si>
    <t>-13h15m48s</t>
  </si>
  <si>
    <t>a cluster, very large, pretty rich, a little compressed, stars large</t>
  </si>
  <si>
    <t>NGC2375</t>
  </si>
  <si>
    <t>7h27m9.4s</t>
  </si>
  <si>
    <t>+33h49m57s</t>
  </si>
  <si>
    <t>eF, vS, h 446 f 17s, 1' s (ε)</t>
  </si>
  <si>
    <t>NGC2376</t>
  </si>
  <si>
    <t>7h26m35.9s</t>
  </si>
  <si>
    <t>+23h4m24s</t>
  </si>
  <si>
    <t>NGC2377</t>
  </si>
  <si>
    <t>7h24m56.7s</t>
  </si>
  <si>
    <t>-9h39m38s</t>
  </si>
  <si>
    <t>extremely faint, very small star involved, 11th magnitude star to south</t>
  </si>
  <si>
    <t>eF, vS * inv, * 11 s</t>
  </si>
  <si>
    <t>NGC2378</t>
  </si>
  <si>
    <t>7h27m23.9s</t>
  </si>
  <si>
    <t>+33h49m55s</t>
  </si>
  <si>
    <t>2 vF close st in eF neb, h 446 f 2s, 1' s</t>
  </si>
  <si>
    <t>NGC2379</t>
  </si>
  <si>
    <t>7h27m26.2s</t>
  </si>
  <si>
    <t>+33h48m43s</t>
  </si>
  <si>
    <t>vF, vS (δ)</t>
  </si>
  <si>
    <t>NGC2380</t>
  </si>
  <si>
    <t>7h23m54.5s</t>
  </si>
  <si>
    <t>-27h31m43s</t>
  </si>
  <si>
    <t>pretty faint, pretty small, round, very suddenly much brighter middle, among stars</t>
  </si>
  <si>
    <t>pF, pS, R, vsmbM, am st</t>
  </si>
  <si>
    <t>NGC2381</t>
  </si>
  <si>
    <t>7h19m57.4s</t>
  </si>
  <si>
    <t>-63h4m1s</t>
  </si>
  <si>
    <t>very faint, very small, round, among stars</t>
  </si>
  <si>
    <t>vF, vS, R, am st</t>
  </si>
  <si>
    <t>NGC2382</t>
  </si>
  <si>
    <t>NGC2383</t>
  </si>
  <si>
    <t>7h24m39.9s</t>
  </si>
  <si>
    <t>-20h56m51s</t>
  </si>
  <si>
    <t>a cluster, pretty small, pretty much compressed, stars of 12th magnitude</t>
  </si>
  <si>
    <t>Cl, pS, pmC, st 12</t>
  </si>
  <si>
    <t>NGC2384</t>
  </si>
  <si>
    <t>7h25m10s</t>
  </si>
  <si>
    <t>-21h1m18s</t>
  </si>
  <si>
    <t>Cl, lC, bifid, **</t>
  </si>
  <si>
    <t>NGC2385</t>
  </si>
  <si>
    <t>7h28m28.2s</t>
  </si>
  <si>
    <t>+33h50m17s</t>
  </si>
  <si>
    <t>NGC2386</t>
  </si>
  <si>
    <t>7h28m38.1s</t>
  </si>
  <si>
    <t>+33h46m35s</t>
  </si>
  <si>
    <t>NGC2387</t>
  </si>
  <si>
    <t>7h29m26.1s</t>
  </si>
  <si>
    <t>+36h46m8s</t>
  </si>
  <si>
    <t>pretty bright, small, stellar</t>
  </si>
  <si>
    <t>pB, S, stellar</t>
  </si>
  <si>
    <t>NGC2388</t>
  </si>
  <si>
    <t>7h28m53.5s</t>
  </si>
  <si>
    <t>+33h49m8s</t>
  </si>
  <si>
    <t>NGC2389</t>
  </si>
  <si>
    <t>7h29m4.8s</t>
  </si>
  <si>
    <t>+33h51m39s</t>
  </si>
  <si>
    <t>very faint, small, round, pretty suddenly brighter middle</t>
  </si>
  <si>
    <t>vF, S, R, psbM</t>
  </si>
  <si>
    <t>NGC2390</t>
  </si>
  <si>
    <t>7h29m4.2s</t>
  </si>
  <si>
    <t>+33h50m13s</t>
  </si>
  <si>
    <t>NGC2391</t>
  </si>
  <si>
    <t>7h29m7.6s</t>
  </si>
  <si>
    <t>+33h49m33s</t>
  </si>
  <si>
    <t>NGC2392</t>
  </si>
  <si>
    <t>爱斯基摩星云</t>
  </si>
  <si>
    <t>7h29m10.8s</t>
  </si>
  <si>
    <t>+20h54m45s</t>
  </si>
  <si>
    <t>About its spectrum see Pickering, [A.N.] 4089, p.141</t>
  </si>
  <si>
    <t>B, S, R, * 9 M, * 8 nf 100"</t>
  </si>
  <si>
    <t>NGC2393</t>
  </si>
  <si>
    <t>7h30m4.9s</t>
  </si>
  <si>
    <t>+34h1m40s</t>
  </si>
  <si>
    <t>extremely faint, pretty small, a little extended, diffuse, mottled but not resolved?</t>
  </si>
  <si>
    <t>eF, pS, lE, dif, r?</t>
  </si>
  <si>
    <t>NGC2394</t>
  </si>
  <si>
    <t>7h28m36.5s</t>
  </si>
  <si>
    <t>+7h5m14s</t>
  </si>
  <si>
    <t>a cluster, large, poor, very little compressed, stars large</t>
  </si>
  <si>
    <t>Cl, L, P, vlC, st L</t>
  </si>
  <si>
    <t>NGC2395</t>
  </si>
  <si>
    <t>7h27m12.8s</t>
  </si>
  <si>
    <t>+13h36m30s</t>
  </si>
  <si>
    <t>a cluster, pretty rich, compressed</t>
  </si>
  <si>
    <t>Cl, pRi, C</t>
  </si>
  <si>
    <t>NGC2396</t>
  </si>
  <si>
    <t>7h28m0s</t>
  </si>
  <si>
    <t>-11h43m0s</t>
  </si>
  <si>
    <t>a cluster, very large, very little compressed</t>
  </si>
  <si>
    <t>Cl, vL, vlC</t>
  </si>
  <si>
    <t>NGC2397</t>
  </si>
  <si>
    <t>7h21m19.5s</t>
  </si>
  <si>
    <t>-69h0m5s</t>
  </si>
  <si>
    <t>pB, cL, cE 117°, lbM</t>
  </si>
  <si>
    <t>NGC2398</t>
  </si>
  <si>
    <t>7h30m16.2s</t>
  </si>
  <si>
    <t>+24h29m17s</t>
  </si>
  <si>
    <t>very faint, extremely small, brighter middle, mottled but not resolved?</t>
  </si>
  <si>
    <t>vF, eS, bM, r ?</t>
  </si>
  <si>
    <t>NGC2399</t>
  </si>
  <si>
    <t>7h29m49.9s</t>
  </si>
  <si>
    <t>-0h12m49s</t>
  </si>
  <si>
    <t>two faint nebulae (Auwers 24 &amp;amp; 25), ? very small clusters</t>
  </si>
  <si>
    <t>Two F neb (Auw 24 &amp; 25) ? vS clusters</t>
  </si>
  <si>
    <t>NGC2400</t>
  </si>
  <si>
    <t>7h29m55.1s</t>
  </si>
  <si>
    <t>-0h12m51s</t>
  </si>
  <si>
    <t>NGC2401</t>
  </si>
  <si>
    <t>7h29m24.3s</t>
  </si>
  <si>
    <t>-13h58m0s</t>
  </si>
  <si>
    <t>cluster, small, considerably rich, considerably compressed, stars very small</t>
  </si>
  <si>
    <t>Cl, S, cRi, cC, st vS</t>
  </si>
  <si>
    <t>NGC2402</t>
  </si>
  <si>
    <t>7h30m46.5s</t>
  </si>
  <si>
    <t>+9h38m51s</t>
  </si>
  <si>
    <t>extremely faint, small, round, slightly brighter middle, star involved</t>
  </si>
  <si>
    <t>eF, S, R, lbM, * inv</t>
  </si>
  <si>
    <t>NGC2403</t>
  </si>
  <si>
    <t>7h36m50.6s</t>
  </si>
  <si>
    <t>+65h36m6s</t>
  </si>
  <si>
    <t>very remarkable, considerably bright, extremely large, very much extended, very gradually much brighter middle and nucleus</t>
  </si>
  <si>
    <t>!! cB, eL, vmE, vgmbMN</t>
  </si>
  <si>
    <t>NGC2404</t>
  </si>
  <si>
    <t>7h37m7s</t>
  </si>
  <si>
    <t>+65h36m40s</t>
  </si>
  <si>
    <t>NGC2405</t>
  </si>
  <si>
    <t>7h32m13.9s</t>
  </si>
  <si>
    <t>+25h54m22s</t>
  </si>
  <si>
    <t>NGC2406</t>
  </si>
  <si>
    <t>7h31m47.7s</t>
  </si>
  <si>
    <t>+18h17m19s</t>
  </si>
  <si>
    <t>extremely faint, extremely small, very small nucleus?</t>
  </si>
  <si>
    <t>eF, eS, vSN ?</t>
  </si>
  <si>
    <t>NGC2407</t>
  </si>
  <si>
    <t>7h31m56.6s</t>
  </si>
  <si>
    <t>+18h20m1s</t>
  </si>
  <si>
    <t>NGC2408</t>
  </si>
  <si>
    <t>7h40m30s</t>
  </si>
  <si>
    <t>+71h40m0s</t>
  </si>
  <si>
    <t>cluster, very slightly compressed</t>
  </si>
  <si>
    <t>NGC2409</t>
  </si>
  <si>
    <t>菲尔瑟213</t>
  </si>
  <si>
    <t>7h31m36.7s</t>
  </si>
  <si>
    <t>-17h11m23s</t>
  </si>
  <si>
    <t>cluster, small but bright, stars from 8th to 10th magnitude</t>
  </si>
  <si>
    <t>Cl, S but B, st 8…10</t>
  </si>
  <si>
    <t>NGC2410</t>
  </si>
  <si>
    <t>7h35m2.2s</t>
  </si>
  <si>
    <t>+32h49m21s</t>
  </si>
  <si>
    <t>extremely faint, very small, several very faint stars involved</t>
  </si>
  <si>
    <t>eF, vS, sev vF st inv</t>
  </si>
  <si>
    <t>NGC2411</t>
  </si>
  <si>
    <t>7h34m36.4s</t>
  </si>
  <si>
    <t>+18h16m55s</t>
  </si>
  <si>
    <t>14th-magnitude star, slightly nebulous</t>
  </si>
  <si>
    <t>* 14 m slightly nebs</t>
  </si>
  <si>
    <t>NGC2412</t>
  </si>
  <si>
    <t>7h34m21.5s</t>
  </si>
  <si>
    <t>+8h32m51s</t>
  </si>
  <si>
    <t>very faint, 8th-magnitude star 59 arcsec and 1.5 seconds of time to the southeast, 13th-magnitude star 10 arcsec away</t>
  </si>
  <si>
    <t>vF, * 8 f 59s, 1'.5 s, * 13 s, 10"</t>
  </si>
  <si>
    <t>NGC2413</t>
  </si>
  <si>
    <t>7h33m19s</t>
  </si>
  <si>
    <t>-13h7m9s</t>
  </si>
  <si>
    <t>cluster, very large, poor, very slightly compressed</t>
  </si>
  <si>
    <t>Cl, vL, P, vlC</t>
  </si>
  <si>
    <t>NGC2414</t>
  </si>
  <si>
    <t>7h33m12.8s</t>
  </si>
  <si>
    <t>-15h27m14s</t>
  </si>
  <si>
    <t>cluster, poor, slightly compressed, stars 9th-magnitude etc</t>
  </si>
  <si>
    <t>Cl, P, lC, st 9, &amp;c</t>
  </si>
  <si>
    <t>NGC2415</t>
  </si>
  <si>
    <t>7h36m56.5s</t>
  </si>
  <si>
    <t>+35h14m31s</t>
  </si>
  <si>
    <t>pretty bright, considerably small, round, very gradually very slightly brighter middle, mottled but not resolved, almost planetary nebular</t>
  </si>
  <si>
    <t>pB, cS, R, vgvlbM, r, alm planetary</t>
  </si>
  <si>
    <t>NGC2416</t>
  </si>
  <si>
    <t>7h35m41.4s</t>
  </si>
  <si>
    <t>+11h36m45s</t>
  </si>
  <si>
    <t>NGC2417</t>
  </si>
  <si>
    <t>7h30m12.1s</t>
  </si>
  <si>
    <t>-62h15m9s</t>
  </si>
  <si>
    <t>very faint, large, round, gradually brighter middle, mottled but not resolved</t>
  </si>
  <si>
    <t>vF, L, R, gbM, R</t>
  </si>
  <si>
    <t>NGC2418</t>
  </si>
  <si>
    <t>7h36m37.4s</t>
  </si>
  <si>
    <t>+17h53m2s</t>
  </si>
  <si>
    <t>very faint, extremely small, brighter middle</t>
  </si>
  <si>
    <t>vF, eS, bM</t>
  </si>
  <si>
    <t>NGC2419</t>
  </si>
  <si>
    <t>7h38m8.5s</t>
  </si>
  <si>
    <t>+38h52m57s</t>
  </si>
  <si>
    <t>pretty bright, pretty large, slightly extended 90°, very gradually brighter middle, 7th or 8th magnitude star 4 arcmin distant in direction 267°</t>
  </si>
  <si>
    <t>pB, pL, lE 90°, vgbM, * 7·8 267°, 4' dist</t>
  </si>
  <si>
    <t>NGC2420</t>
  </si>
  <si>
    <t>彗闪星团</t>
  </si>
  <si>
    <t>7h38m23.8s</t>
  </si>
  <si>
    <t>+21h34m27s</t>
  </si>
  <si>
    <t>cluster, considerably large, rich, compressed, stars from 11th to 18th magnitude</t>
  </si>
  <si>
    <t>Cl, cL, Ri, C, st 11…18</t>
  </si>
  <si>
    <t>NGC2421</t>
  </si>
  <si>
    <t>I2m</t>
  </si>
  <si>
    <t>7h36m12s</t>
  </si>
  <si>
    <t>-20h36m42s</t>
  </si>
  <si>
    <t>cluster, large, considerably rich, stars from 11th to 13th magnitude</t>
  </si>
  <si>
    <t>Cl, L, cRi, st 11…13</t>
  </si>
  <si>
    <t>NGC2422</t>
  </si>
  <si>
    <t>7h36m35s</t>
  </si>
  <si>
    <t>-14h28m47s</t>
  </si>
  <si>
    <t>cluster, bright, very large, pretty rich, stars large and small</t>
  </si>
  <si>
    <t>Cl, B, vL, pRi, st L and S</t>
  </si>
  <si>
    <t>NGC2423</t>
  </si>
  <si>
    <t>IV2m</t>
  </si>
  <si>
    <t>7h37m6.7s</t>
  </si>
  <si>
    <t>-13h52m17s</t>
  </si>
  <si>
    <t>cluster, very large, rich, pretty compressed, stars very small</t>
  </si>
  <si>
    <t>Cl, vL, Ri, pC, st vS</t>
  </si>
  <si>
    <t>NGC2424</t>
  </si>
  <si>
    <t>7h40m39.3s</t>
  </si>
  <si>
    <t>+39h14m0s</t>
  </si>
  <si>
    <t>very faint, pretty small, much extended, slightly brightly middle, mottled but not resolved?</t>
  </si>
  <si>
    <t>vE, pS, mE, lbM, r ?</t>
  </si>
  <si>
    <t>NGC2425</t>
  </si>
  <si>
    <t>7h38m17.6s</t>
  </si>
  <si>
    <t>-14h52m40s</t>
  </si>
  <si>
    <t>cluster, poor, small, stars very small</t>
  </si>
  <si>
    <t>Cl, P, S, st vS</t>
  </si>
  <si>
    <t>NGC2426</t>
  </si>
  <si>
    <t>7h43m18.4s</t>
  </si>
  <si>
    <t>+52h19m5s</t>
  </si>
  <si>
    <t>considerably faint, round, very gradually brighter middle, mottled but not resolved, 8th magnitude star to west</t>
  </si>
  <si>
    <t>cF, R, vgbM, r, * 8 p</t>
  </si>
  <si>
    <t>NGC2427</t>
  </si>
  <si>
    <t>7h36m27.9s</t>
  </si>
  <si>
    <t>-47h38m9s</t>
  </si>
  <si>
    <t>extremely faint, large, pretty much extended, gradually much brighter middle, 2 stars involved</t>
  </si>
  <si>
    <t>eF, L, pmE, gmbM, 2 st inv</t>
  </si>
  <si>
    <t>NGC2428</t>
  </si>
  <si>
    <t>7h39m22s</t>
  </si>
  <si>
    <t>-16h31m42s</t>
  </si>
  <si>
    <t>cluster, very large, very slightly compressed</t>
  </si>
  <si>
    <t>NGC2429</t>
  </si>
  <si>
    <t>7h43m47.5s</t>
  </si>
  <si>
    <t>+52h21m27s</t>
  </si>
  <si>
    <t>pretty faint, pretty small, very much extended, 12th magnitude star attached</t>
  </si>
  <si>
    <t>pF, pS, vmE, * 12 att</t>
  </si>
  <si>
    <t>NGC2430</t>
  </si>
  <si>
    <t>7h39m41s</t>
  </si>
  <si>
    <t>-16h17m46s</t>
  </si>
  <si>
    <t>NGC2431</t>
  </si>
  <si>
    <t>7h45m13.3s</t>
  </si>
  <si>
    <t>+53h4m32s</t>
  </si>
  <si>
    <t>planetary nebula, pretty bright, pretty small, very slightly extended, mottled but not resolved, 3.75 sec of time diameter</t>
  </si>
  <si>
    <t>NGC2432</t>
  </si>
  <si>
    <t>7h40m53s</t>
  </si>
  <si>
    <t>-19h4m36s</t>
  </si>
  <si>
    <t>cluster, pretty large, pretty compressed, extended 0°, stars large and small</t>
  </si>
  <si>
    <t>Cl, pL, pC, E 0°, st L and S</t>
  </si>
  <si>
    <t>NGC2433</t>
  </si>
  <si>
    <t>7h42m43.6s</t>
  </si>
  <si>
    <t>+9h15m33s</t>
  </si>
  <si>
    <t>extremely faint, with a 15th-magnitude star 90 arcsec to the southwest</t>
  </si>
  <si>
    <t>eF, * 15, 90" sp</t>
  </si>
  <si>
    <t>NGC2434</t>
  </si>
  <si>
    <t>7h34m51.5s</t>
  </si>
  <si>
    <t>-69h17m4s</t>
  </si>
  <si>
    <t>pretty bright, small, round, pretty much brighter middle, three 11th-magnitude stars to north</t>
  </si>
  <si>
    <t>pB, S, R, pmbM, 3 st 11 n</t>
  </si>
  <si>
    <t>NGC2435</t>
  </si>
  <si>
    <t>7h44m13.4s</t>
  </si>
  <si>
    <t>+31h39m2s</t>
  </si>
  <si>
    <t>faint, small, slightly brighter middle</t>
  </si>
  <si>
    <t>F, S, lbM</t>
  </si>
  <si>
    <t>NGC2436</t>
  </si>
  <si>
    <t>NGC2437</t>
  </si>
  <si>
    <t>7h41m46.8s</t>
  </si>
  <si>
    <t>-14h48m36s</t>
  </si>
  <si>
    <t>a remarkable object, cluster, very bright, very rich, very large, involving a planetary nebula</t>
  </si>
  <si>
    <t>!, Cl, vB, vRi, vL, inv planetary</t>
  </si>
  <si>
    <t>NGC2438</t>
  </si>
  <si>
    <t>7h41m50.6s</t>
  </si>
  <si>
    <t>-14h44m5s</t>
  </si>
  <si>
    <t>planetary, pB, pS, vlE, r, 3s.75 d</t>
  </si>
  <si>
    <t>NGC2439</t>
  </si>
  <si>
    <t>宽箭头星团</t>
  </si>
  <si>
    <t>7h40m45.4s</t>
  </si>
  <si>
    <t>-31h41m33s</t>
  </si>
  <si>
    <t>cluster, bright, pretty rich, pretty large, slightly compressed, stars of 9th and 12th through 14th magnitude</t>
  </si>
  <si>
    <t>Cl, B, pRi, pL, lC, st 9,12…14</t>
  </si>
  <si>
    <t>NGC2440</t>
  </si>
  <si>
    <t>白蝴蝶星云</t>
  </si>
  <si>
    <t>7h41m55.4s</t>
  </si>
  <si>
    <t>-18h12m29s</t>
  </si>
  <si>
    <t>planetary nebula, considerably bright, not very well defined</t>
  </si>
  <si>
    <t>planetary, cB, not v well def</t>
  </si>
  <si>
    <t>NGC2441</t>
  </si>
  <si>
    <t>7h51m54.5s</t>
  </si>
  <si>
    <t>+73h0m55s</t>
  </si>
  <si>
    <t>NGC2442</t>
  </si>
  <si>
    <t>肉钩星系</t>
  </si>
  <si>
    <t>7h36m23.8s</t>
  </si>
  <si>
    <t>-69h31m51s</t>
  </si>
  <si>
    <t>considerably large, very faint, round</t>
  </si>
  <si>
    <t>cL, vF, R, D neb, 40°</t>
  </si>
  <si>
    <t>NGC2443</t>
  </si>
  <si>
    <t>pL, vF, R, D * inv M</t>
  </si>
  <si>
    <t>NGC2444</t>
  </si>
  <si>
    <t>7h46m53s</t>
  </si>
  <si>
    <t>+39h1m57s</t>
  </si>
  <si>
    <t>very faint, much brighter middle</t>
  </si>
  <si>
    <t>vF, mbM</t>
  </si>
  <si>
    <t>NGC2445</t>
  </si>
  <si>
    <t>7h46m55s</t>
  </si>
  <si>
    <t>+39h0m56s</t>
  </si>
  <si>
    <t>very faint, much brighter middle, small star attached to south</t>
  </si>
  <si>
    <t>vF, mbM, S * att s</t>
  </si>
  <si>
    <t>NGC2446</t>
  </si>
  <si>
    <t>7h48m39.2s</t>
  </si>
  <si>
    <t>+54h36m42s</t>
  </si>
  <si>
    <t>faint, among 4 stars</t>
  </si>
  <si>
    <t>F, am 4 st</t>
  </si>
  <si>
    <t>NGC2447</t>
  </si>
  <si>
    <t>蝴蝶星团</t>
  </si>
  <si>
    <t>7h44m30s</t>
  </si>
  <si>
    <t>-23h51m24s</t>
  </si>
  <si>
    <t>cluster, large, pretty rich, slightly compressed, stars from 8th to 13th magnitude</t>
  </si>
  <si>
    <t>Cl, L, pRi, lC, st 8…13</t>
  </si>
  <si>
    <t>NGC2448</t>
  </si>
  <si>
    <t>7h44m34.5s</t>
  </si>
  <si>
    <t>-24h40m51s</t>
  </si>
  <si>
    <t>cluster of 18 or 20 stars from 11th to 13th magnitude</t>
  </si>
  <si>
    <t>Cl of 18 or 20 st 11…13</t>
  </si>
  <si>
    <t>NGC2449</t>
  </si>
  <si>
    <t>7h47m20.4s</t>
  </si>
  <si>
    <t>+26h55m50s</t>
  </si>
  <si>
    <t>extremely faint, extremely small, round, brighter middle, mottled but not resolved</t>
  </si>
  <si>
    <t>eF, eS, R, bM, r</t>
  </si>
  <si>
    <t>NGC2450</t>
  </si>
  <si>
    <t>7h47m32.2s</t>
  </si>
  <si>
    <t>+27h1m10s</t>
  </si>
  <si>
    <t>extremely faint, very small, small star involved</t>
  </si>
  <si>
    <t>eF, vS, S * inv</t>
  </si>
  <si>
    <t>NGC2451</t>
  </si>
  <si>
    <t>刺蝎星团</t>
  </si>
  <si>
    <t>7h45m24s</t>
  </si>
  <si>
    <t>-37h57m0s</t>
  </si>
  <si>
    <t>a cluster, very very large, very little compressed, 1 star of magnitude 4.5</t>
  </si>
  <si>
    <t>Cl, vvL, vlC, 1 * 4·5 m</t>
  </si>
  <si>
    <t>NGC2452</t>
  </si>
  <si>
    <t>7h47m26.2s</t>
  </si>
  <si>
    <t>-27h20m6s</t>
  </si>
  <si>
    <t>a planetary nebula, faint, small, a little extended, among 60 stars</t>
  </si>
  <si>
    <t>planetary, F, S, lE, am 60 st</t>
  </si>
  <si>
    <t>NGC2453</t>
  </si>
  <si>
    <t>7h47m34.1s</t>
  </si>
  <si>
    <t>-27h11m41s</t>
  </si>
  <si>
    <t>a cluster, small, pretty rich, pretty compressed</t>
  </si>
  <si>
    <t>Cl, S, pRi, pC</t>
  </si>
  <si>
    <t>NGC2454</t>
  </si>
  <si>
    <t>7h50m34.9s</t>
  </si>
  <si>
    <t>+16h22m9s</t>
  </si>
  <si>
    <t>NGC2455</t>
  </si>
  <si>
    <t>7h49m0s</t>
  </si>
  <si>
    <t>-21h18m6s</t>
  </si>
  <si>
    <t>a cluster, considerably large, pretty rich, a little compressed, stars of 12th magnitude</t>
  </si>
  <si>
    <t>Cl, cL, pRi, lC, st 12</t>
  </si>
  <si>
    <t>NGC2456</t>
  </si>
  <si>
    <t>7h54m10.7s</t>
  </si>
  <si>
    <t>+55h29m43s</t>
  </si>
  <si>
    <t>very faint, round, very gradually brighter middle</t>
  </si>
  <si>
    <t>vF, R, vgbM</t>
  </si>
  <si>
    <t>NGC2457</t>
  </si>
  <si>
    <t>7h54m45.7s</t>
  </si>
  <si>
    <t>+55h32m50s</t>
  </si>
  <si>
    <t>faint, pretty large, round, h467 to the southwest</t>
  </si>
  <si>
    <t>F, pL, R, h 467 sp</t>
  </si>
  <si>
    <t>NGC2458</t>
  </si>
  <si>
    <t>7h55m51.6s</t>
  </si>
  <si>
    <t>+56h42m39s</t>
  </si>
  <si>
    <t>very faint, 12th magnitude star close</t>
  </si>
  <si>
    <t>vF, * 12 close</t>
  </si>
  <si>
    <t>NGC2459</t>
  </si>
  <si>
    <t>7h52m1.7s</t>
  </si>
  <si>
    <t>+9h33m29s</t>
  </si>
  <si>
    <t>very faint, small, partially resolved group (some stars seen) plus nebulosity</t>
  </si>
  <si>
    <t>vF, S, rr group + neb</t>
  </si>
  <si>
    <t>NGC2460</t>
  </si>
  <si>
    <t>7h56m52.8s</t>
  </si>
  <si>
    <t>+60h20m58s</t>
  </si>
  <si>
    <t>faint, small, round, small star in centre</t>
  </si>
  <si>
    <t>F, S, R, S * in centre</t>
  </si>
  <si>
    <t>NGC2461</t>
  </si>
  <si>
    <t>7h56m26.2s</t>
  </si>
  <si>
    <t>+56h40m26s</t>
  </si>
  <si>
    <t>13th magnitude star, slightly nebulous</t>
  </si>
  <si>
    <t>* 13 slightly nebulous</t>
  </si>
  <si>
    <t>NGC2462</t>
  </si>
  <si>
    <t>7h56m31.9s</t>
  </si>
  <si>
    <t>+56h41m12s</t>
  </si>
  <si>
    <t>very faint, very small, very little brighter middle</t>
  </si>
  <si>
    <t>vF, vS, vlbM</t>
  </si>
  <si>
    <t>NGC2463</t>
  </si>
  <si>
    <t>7h57m12.2s</t>
  </si>
  <si>
    <t>+56h40m37s</t>
  </si>
  <si>
    <t>extremely faint, round</t>
  </si>
  <si>
    <t>eF, R</t>
  </si>
  <si>
    <t>NGC2464</t>
  </si>
  <si>
    <t>7h57m32.3s</t>
  </si>
  <si>
    <t>+56h41m27s</t>
  </si>
  <si>
    <t>pretty small cluster, stars extremely faint, nebulous</t>
  </si>
  <si>
    <t>pS Cl, st eF, nebulous</t>
  </si>
  <si>
    <t>NGC2465</t>
  </si>
  <si>
    <t>7h57m25s</t>
  </si>
  <si>
    <t>+56h49m17s</t>
  </si>
  <si>
    <t>star, nebulous ?</t>
  </si>
  <si>
    <t>*, nebulous?</t>
  </si>
  <si>
    <t>NGC2466</t>
  </si>
  <si>
    <t>7h45m15.6s</t>
  </si>
  <si>
    <t>-71h24m39s</t>
  </si>
  <si>
    <t>NGC2467</t>
  </si>
  <si>
    <t>骷髅头星云</t>
  </si>
  <si>
    <t>7h52m26s</t>
  </si>
  <si>
    <t>-26h26m12s</t>
  </si>
  <si>
    <t>pretty bright, very large, round, extremely mottled but not resolved, middle equivalent to 8th magnitude star</t>
  </si>
  <si>
    <t>pB, vL, R, er, * 8 M</t>
  </si>
  <si>
    <t>NGC2468</t>
  </si>
  <si>
    <t>7h58m2.2s</t>
  </si>
  <si>
    <t>+56h21m33s</t>
  </si>
  <si>
    <t>faint, round, brighter middle</t>
  </si>
  <si>
    <t>F, R, bM</t>
  </si>
  <si>
    <t>NGC2469</t>
  </si>
  <si>
    <t>7h58m3.2s</t>
  </si>
  <si>
    <t>+56h40m48s</t>
  </si>
  <si>
    <t>faint, very small, round, 9th magnitude star to southeast</t>
  </si>
  <si>
    <t>F, vS, R, * 9 sf</t>
  </si>
  <si>
    <t>NGC2470</t>
  </si>
  <si>
    <t>7h54m20.4s</t>
  </si>
  <si>
    <t>+4h27m36s</t>
  </si>
  <si>
    <t>extremely faint, small, a little extended, between 2 stars</t>
  </si>
  <si>
    <t>eF, S, lE, bet 2 st</t>
  </si>
  <si>
    <t>NGC2471</t>
  </si>
  <si>
    <t>7h58m33.2s</t>
  </si>
  <si>
    <t>+56h46m32s</t>
  </si>
  <si>
    <t>* 13, slightly nebulous</t>
  </si>
  <si>
    <t>NGC2472</t>
  </si>
  <si>
    <t>7h58m41.7s</t>
  </si>
  <si>
    <t>+56h42m4s</t>
  </si>
  <si>
    <t>2 of 10 nebulae in line with h469, 470)</t>
  </si>
  <si>
    <t>2 of 10 neb, in line with h 469, 470</t>
  </si>
  <si>
    <t>NGC2473</t>
  </si>
  <si>
    <t>7h55m35s</t>
  </si>
  <si>
    <t>+56h44m11s</t>
  </si>
  <si>
    <t>NGC2474</t>
  </si>
  <si>
    <t>7h58m0.3s</t>
  </si>
  <si>
    <t>+52h51m44s</t>
  </si>
  <si>
    <t>faint, pretty small, extended?, brighter middle and very small (faint) star?, large (bright) star to northeast</t>
  </si>
  <si>
    <t>F, pS, E ?, bMvS * ?, L * nf</t>
  </si>
  <si>
    <t>NGC2475</t>
  </si>
  <si>
    <t>7h57m58.8s</t>
  </si>
  <si>
    <t>+52h51m26s</t>
  </si>
  <si>
    <t>Makes double nebula with h 471</t>
  </si>
  <si>
    <t>Makes D neb with h 471</t>
  </si>
  <si>
    <t>NGC2476</t>
  </si>
  <si>
    <t>7h56m45.2s</t>
  </si>
  <si>
    <t>+39h55m40s</t>
  </si>
  <si>
    <t>very small (faint) star in extremely faint, small nebula</t>
  </si>
  <si>
    <t>vS * in eF, S neb</t>
  </si>
  <si>
    <t>NGC2477</t>
  </si>
  <si>
    <t>电吉他星团</t>
  </si>
  <si>
    <t>7h52m10s</t>
  </si>
  <si>
    <t>-38h31m48s</t>
  </si>
  <si>
    <t>a remarkable object, a cluster, bright, rich, large, a little compressed, 12th magnitude stars</t>
  </si>
  <si>
    <t>!, Cl, B, Ri, L, lC, st 12</t>
  </si>
  <si>
    <t>NGC2478</t>
  </si>
  <si>
    <t>a cluster</t>
  </si>
  <si>
    <t>Cluster</t>
  </si>
  <si>
    <t>NGC2479</t>
  </si>
  <si>
    <t>7h55m6s</t>
  </si>
  <si>
    <t>-17h42m28s</t>
  </si>
  <si>
    <t>a cluster, pretty large, pretty rich, pretty compressed, stars small (faint)</t>
  </si>
  <si>
    <t>Cl, pL, pRi, pC, st S</t>
  </si>
  <si>
    <t>NGC2480</t>
  </si>
  <si>
    <t>7h57m10.6s</t>
  </si>
  <si>
    <t>+23h46m47s</t>
  </si>
  <si>
    <t>very faint, extended northwest southeast, close northwest of h 473</t>
  </si>
  <si>
    <t>vF, E npsf, close np h 473</t>
  </si>
  <si>
    <t>NGC2481</t>
  </si>
  <si>
    <t>7h57m13.7s</t>
  </si>
  <si>
    <t>+23h46m3s</t>
  </si>
  <si>
    <t>faint, small, a little extended, brighter middle, extremely mottled but not resolved</t>
  </si>
  <si>
    <t>F, S, lE, bM, er</t>
  </si>
  <si>
    <t>NGC2482</t>
  </si>
  <si>
    <t>7h55m12s</t>
  </si>
  <si>
    <t>-24h15m30s</t>
  </si>
  <si>
    <t>a cluster, large, considerably rich, very little compressed</t>
  </si>
  <si>
    <t>Cl, L, cRi, vlC</t>
  </si>
  <si>
    <t>NGC2483</t>
  </si>
  <si>
    <t>7h55m39s</t>
  </si>
  <si>
    <t>-27h53m42s</t>
  </si>
  <si>
    <t>NGC2484</t>
  </si>
  <si>
    <t>7h58m28.1s</t>
  </si>
  <si>
    <t>+37h47m12s</t>
  </si>
  <si>
    <t>very faint, very small, round, brighter middle, mottled but not resolved?</t>
  </si>
  <si>
    <t>vF, vS, R, bM, r?</t>
  </si>
  <si>
    <t>NGC2485</t>
  </si>
  <si>
    <t>7h56m48.7s</t>
  </si>
  <si>
    <t>+7h28m39s</t>
  </si>
  <si>
    <t>a nebulous star of 12 magnitude</t>
  </si>
  <si>
    <t>NGC2486</t>
  </si>
  <si>
    <t>7h57m56.5s</t>
  </si>
  <si>
    <t>+25h9m40s</t>
  </si>
  <si>
    <t>very faint, small, pretty suddenly brighter middle</t>
  </si>
  <si>
    <t>vF, S, psbM</t>
  </si>
  <si>
    <t>NGC2487</t>
  </si>
  <si>
    <t>7h58m20.3s</t>
  </si>
  <si>
    <t>+25h8m57s</t>
  </si>
  <si>
    <t>NGC2488</t>
  </si>
  <si>
    <t>8h1m45.6s</t>
  </si>
  <si>
    <t>+56h33m10s</t>
  </si>
  <si>
    <t>NGC2489</t>
  </si>
  <si>
    <t>7h56m15.9s</t>
  </si>
  <si>
    <t>-30h3m51s</t>
  </si>
  <si>
    <t>a cluster, pretty large, considerably rich, pretty compressed, stars from 11th to 13th magnitude</t>
  </si>
  <si>
    <t>Cl, pL, eRi, pC, st 11…13</t>
  </si>
  <si>
    <t>NGC2490</t>
  </si>
  <si>
    <t>7h59m17.9s</t>
  </si>
  <si>
    <t>+27h4m40s</t>
  </si>
  <si>
    <t>very faint, small, round, 13th magnitude star 1 arcmin to east, preceding (western) of 2</t>
  </si>
  <si>
    <t>vF, S, R, * 13 1' f, p of 2</t>
  </si>
  <si>
    <t>NGC2491</t>
  </si>
  <si>
    <t>7h58m27.3s</t>
  </si>
  <si>
    <t>+7h59m4s</t>
  </si>
  <si>
    <t>extremely extremely faint, pretty small, irregularly round, very difficult, bright star to west</t>
  </si>
  <si>
    <t>eeF, pS, irrR, v diffic, B * p</t>
  </si>
  <si>
    <t>NGC2492</t>
  </si>
  <si>
    <t>7h59m29.7s</t>
  </si>
  <si>
    <t>+27h1m35s</t>
  </si>
  <si>
    <t>very faint, small, round, brighter middle, following (eastern) of 2</t>
  </si>
  <si>
    <t>vF, S, R, bM, f of 2</t>
  </si>
  <si>
    <t>NGC2493</t>
  </si>
  <si>
    <t>8h0m23.8s</t>
  </si>
  <si>
    <t>+39h49m51s</t>
  </si>
  <si>
    <t>considerably bright, small, round, suddenly brighter middle</t>
  </si>
  <si>
    <t>cB, S, R, sbM</t>
  </si>
  <si>
    <t>NGC2494</t>
  </si>
  <si>
    <t>7h59m7.2s</t>
  </si>
  <si>
    <t>-0h38m15s</t>
  </si>
  <si>
    <t>NGC2495</t>
  </si>
  <si>
    <t>8h0m33.2s</t>
  </si>
  <si>
    <t>+39h50m26s</t>
  </si>
  <si>
    <t>Follows III 750 by 2 or 3 arcmin, extremely faint, very small</t>
  </si>
  <si>
    <t>Follows III 750 2' or 3', eF, vS</t>
  </si>
  <si>
    <t>NGC2496</t>
  </si>
  <si>
    <t>7h58m37.4s</t>
  </si>
  <si>
    <t>+8h1m41s</t>
  </si>
  <si>
    <t>very faint, pretty small, round, a little brighter middle, star close to east</t>
  </si>
  <si>
    <t>vF, pS, R, lbM, * close f</t>
  </si>
  <si>
    <t>NGC2497</t>
  </si>
  <si>
    <t>8h2m11.1s</t>
  </si>
  <si>
    <t>+56h56m32s</t>
  </si>
  <si>
    <t>NGC2498</t>
  </si>
  <si>
    <t>7h59m38.7s</t>
  </si>
  <si>
    <t>+24h59m0s</t>
  </si>
  <si>
    <t>NGC2499</t>
  </si>
  <si>
    <t>7h58m51.7s</t>
  </si>
  <si>
    <t>+7h29m34s</t>
  </si>
  <si>
    <t>extremely faint, pretty small, irregularly round</t>
  </si>
  <si>
    <t>eF, pS, iR</t>
  </si>
  <si>
    <t>NGC2500</t>
  </si>
  <si>
    <t>8h1m53s</t>
  </si>
  <si>
    <t>+50h44m12s</t>
  </si>
  <si>
    <t>faint, large, round, very gradually brighter middle, mottled but not resolved, among stars</t>
  </si>
  <si>
    <t>F, L, R, vgbM, r, am st</t>
  </si>
  <si>
    <t>NGC2501</t>
  </si>
  <si>
    <t>7h58m30s</t>
  </si>
  <si>
    <t>-14h21m15s</t>
  </si>
  <si>
    <t>considerably faint, small, very little extended 90°, gradually a little brighter middle, among stars</t>
  </si>
  <si>
    <t>cF, S, vlE 90°, glbM, am st</t>
  </si>
  <si>
    <t>NGC2502</t>
  </si>
  <si>
    <t>7h55m51.5s</t>
  </si>
  <si>
    <t>-52h18m25s</t>
  </si>
  <si>
    <t>pretty faint, small, round, very gradually pretty much brighter middle</t>
  </si>
  <si>
    <t>pF, S, R, vgpmbM</t>
  </si>
  <si>
    <t>NGC2503</t>
  </si>
  <si>
    <t>巨蟹座</t>
  </si>
  <si>
    <t>CNC</t>
  </si>
  <si>
    <t>8h0m36.8s</t>
  </si>
  <si>
    <t>+22h24m0s</t>
  </si>
  <si>
    <t>extremely faint, small, gradually a little brighter middle</t>
  </si>
  <si>
    <t>eF, S, glbM</t>
  </si>
  <si>
    <t>NGC2504</t>
  </si>
  <si>
    <t>7h59m52.2s</t>
  </si>
  <si>
    <t>+5h36m28s</t>
  </si>
  <si>
    <t>NGC2505</t>
  </si>
  <si>
    <t>8h4m6.7s</t>
  </si>
  <si>
    <t>+53h32m59s</t>
  </si>
  <si>
    <t>NGC2506</t>
  </si>
  <si>
    <t>8h0m1.7s</t>
  </si>
  <si>
    <t>-10h46m11s</t>
  </si>
  <si>
    <t>a cluster, pretty large, very rich, compressed, stars from 11th to 20th magnitude</t>
  </si>
  <si>
    <t>Cl, pL, vRi, C, st 11…20</t>
  </si>
  <si>
    <t>NGC2507</t>
  </si>
  <si>
    <t>8h1m37.1s</t>
  </si>
  <si>
    <t>+15h42m37s</t>
  </si>
  <si>
    <t>pretty bright, pretty large, irregularly round, very gradually brighter middle, extremely mottled but not resolved, star 80 arcsec away in position angle 232°</t>
  </si>
  <si>
    <t>pB, pL, iR, vgbM, er, * 232°, 80"</t>
  </si>
  <si>
    <t>NGC2508</t>
  </si>
  <si>
    <t>8h1m57.1s</t>
  </si>
  <si>
    <t>+8h33m7s</t>
  </si>
  <si>
    <t>faint, very small, very little extended, 2 stars to west</t>
  </si>
  <si>
    <t>F, vS, vlE, 2 st p</t>
  </si>
  <si>
    <t>NGC2509</t>
  </si>
  <si>
    <t>8h0m47.8s</t>
  </si>
  <si>
    <t>-19h3m2s</t>
  </si>
  <si>
    <t>a cluster, bright, pretty rich, a little compressed, stars small (faint)</t>
  </si>
  <si>
    <t>Cl, B, pRi, lC, st S</t>
  </si>
  <si>
    <t>NGC2510</t>
  </si>
  <si>
    <t>8h2m10.5s</t>
  </si>
  <si>
    <t>+9h29m10s</t>
  </si>
  <si>
    <t>γ in Lord Rosse's diagram</t>
  </si>
  <si>
    <t>NGC2511</t>
  </si>
  <si>
    <t>8h2m15s</t>
  </si>
  <si>
    <t>+9h23m43s</t>
  </si>
  <si>
    <t>extremely faint, III 512 to northeast, (= β) [in Lord Rosse's diagram]</t>
  </si>
  <si>
    <t>eF, III 512 nf, (= β)</t>
  </si>
  <si>
    <t>NGC2512</t>
  </si>
  <si>
    <t>8h3m7.6s</t>
  </si>
  <si>
    <t>+23h23m30s</t>
  </si>
  <si>
    <t>NGC2513</t>
  </si>
  <si>
    <t>8h2m24.7s</t>
  </si>
  <si>
    <t>+9h24m50s</t>
  </si>
  <si>
    <t>faint, small, round, pretty suddenly much brighter middle, mottled but not resolved</t>
  </si>
  <si>
    <t>F, S, R, psmbM, r</t>
  </si>
  <si>
    <t>NGC2514</t>
  </si>
  <si>
    <t>8h2m49.7s</t>
  </si>
  <si>
    <t>+15h48m28s</t>
  </si>
  <si>
    <t>extremely faint, pretty small, irregularly round, diffuse</t>
  </si>
  <si>
    <t>eF, pS, irrR, dif</t>
  </si>
  <si>
    <t>NGC2515</t>
  </si>
  <si>
    <t>8h3m21.3s</t>
  </si>
  <si>
    <t>+20h11m17s</t>
  </si>
  <si>
    <t>very faint, cometic</t>
  </si>
  <si>
    <t>vF, cometic</t>
  </si>
  <si>
    <t>NGC2516</t>
  </si>
  <si>
    <t>短跑人星团</t>
  </si>
  <si>
    <t>7h58m4s</t>
  </si>
  <si>
    <t>-60h45m12s</t>
  </si>
  <si>
    <t>a cluster, very bright, very large, pretty rich, stars from 7th to 13th magnitude</t>
  </si>
  <si>
    <t>Cl, vB, vL, pRi, st 7…13</t>
  </si>
  <si>
    <t>NGC2517</t>
  </si>
  <si>
    <t>8h2m47s</t>
  </si>
  <si>
    <t>-12h19m2s</t>
  </si>
  <si>
    <t>faint, very small, round, between three 13th to 14th magnitude stars</t>
  </si>
  <si>
    <t>F, vS, R, bet 3 st 13·14</t>
  </si>
  <si>
    <t>NGC2518</t>
  </si>
  <si>
    <t>8h7m20.2s</t>
  </si>
  <si>
    <t>+51h7m56s</t>
  </si>
  <si>
    <t>two nebulae (the other being NGC 2519), faint, large, round, gradually brighter middle, with a difference of 42 seconds of time in right ascension</t>
  </si>
  <si>
    <t>Two neb, F, L, R, gbM, Δα = 42s</t>
  </si>
  <si>
    <t>NGC2519</t>
  </si>
  <si>
    <t>8h7m58.8s</t>
  </si>
  <si>
    <t>+51h7m44s</t>
  </si>
  <si>
    <t>two nebulae (the other being NGC 2518), faint, large, round, gradually brighter middle, with a difference of 42 seconds of time in right ascension</t>
  </si>
  <si>
    <t>NGC2520</t>
  </si>
  <si>
    <t>8h4m58.1s</t>
  </si>
  <si>
    <t>-28h8m46s</t>
  </si>
  <si>
    <t>a cluster, bright, pretty rich, pretty compressed</t>
  </si>
  <si>
    <t>Cl, B, pRi, pC</t>
  </si>
  <si>
    <t>NGC2521</t>
  </si>
  <si>
    <t>8h8m49.4s</t>
  </si>
  <si>
    <t>+57h46m11s</t>
  </si>
  <si>
    <t>pretty faint, pretty large, round, pretty suddenly brighter middle, 9th magnitude star 3 arcmin to northwest</t>
  </si>
  <si>
    <t>pF, pL, R, psbM, * 9, np 3'</t>
  </si>
  <si>
    <t>NGC2522</t>
  </si>
  <si>
    <t>8h6m13.5s</t>
  </si>
  <si>
    <t>+17h42m24s</t>
  </si>
  <si>
    <t>very faint, very small, extended, pretty suddenly brighter middle</t>
  </si>
  <si>
    <t>vF, vS, E, psbM</t>
  </si>
  <si>
    <t>NGC2523</t>
  </si>
  <si>
    <t>8h15m0s</t>
  </si>
  <si>
    <t>+73h34m44s</t>
  </si>
  <si>
    <t>pretty bright, pretty large, a little extended, a little brighter middle, star near</t>
  </si>
  <si>
    <t>pB, pL, lE, lbM, * nr</t>
  </si>
  <si>
    <t>NGC2524</t>
  </si>
  <si>
    <t>8h8m9.6s</t>
  </si>
  <si>
    <t>+39h9m28s</t>
  </si>
  <si>
    <t>NGC2525</t>
  </si>
  <si>
    <t>8h5m38s</t>
  </si>
  <si>
    <t>-11h25m39s</t>
  </si>
  <si>
    <t>considerably faint, pretty large, round, very gradually a very little brighter middle, among stars</t>
  </si>
  <si>
    <t>cF, pL, R, vgvlbM, am st</t>
  </si>
  <si>
    <t>NGC2526</t>
  </si>
  <si>
    <t>8h6m58.4s</t>
  </si>
  <si>
    <t>+8h0m15s</t>
  </si>
  <si>
    <t>very faint, small, much extended</t>
  </si>
  <si>
    <t>vF, S, mE</t>
  </si>
  <si>
    <t>NGC2527</t>
  </si>
  <si>
    <t>Cl, vL, pRi, lC, st 10…15</t>
  </si>
  <si>
    <t>NGC2528</t>
  </si>
  <si>
    <t>8h7m25s</t>
  </si>
  <si>
    <t>+39h11m41s</t>
  </si>
  <si>
    <t>NGC2529</t>
  </si>
  <si>
    <t>8h6m57.3s</t>
  </si>
  <si>
    <t>+17h49m43s</t>
  </si>
  <si>
    <t>extremely faint (suspected)</t>
  </si>
  <si>
    <t>eF (suspected)</t>
  </si>
  <si>
    <t>NGC2530</t>
  </si>
  <si>
    <t>8h7m55.7s</t>
  </si>
  <si>
    <t>+17h49m6s</t>
  </si>
  <si>
    <t>extremely faint, a little extended, a very small (faint) star to the north</t>
  </si>
  <si>
    <t>eF, lE, vS * n</t>
  </si>
  <si>
    <t>NGC2531</t>
  </si>
  <si>
    <t>8h7m56s</t>
  </si>
  <si>
    <t>+17h50m6s</t>
  </si>
  <si>
    <t>NGC2532</t>
  </si>
  <si>
    <t>8h10m15.2s</t>
  </si>
  <si>
    <t>+33h57m22s</t>
  </si>
  <si>
    <t>pretty bright, pretty large, round, very gradually a little brighter middle, mottled but not resolved, 2 stars to northeast</t>
  </si>
  <si>
    <t>pB, pL, R, vglbM, r, 2 st nf</t>
  </si>
  <si>
    <t>NGC2533</t>
  </si>
  <si>
    <t>8h7m4s</t>
  </si>
  <si>
    <t>-29h52m0s</t>
  </si>
  <si>
    <t>a cluster, pretty large, rich, compressed, stars of 9th and 13th to 14th magnitude</t>
  </si>
  <si>
    <t>Cl, pL, Ri, C, st 9, 13…14</t>
  </si>
  <si>
    <t>NGC2534</t>
  </si>
  <si>
    <t>8h12m54.1s</t>
  </si>
  <si>
    <t>+55h40m19s</t>
  </si>
  <si>
    <t>pretty faint, pretty large, round, pretty suddenly brighter middle, 8th magnitude star at position angle 164°</t>
  </si>
  <si>
    <t>pF, pL, R, psbM, * 8, 164°</t>
  </si>
  <si>
    <t>NGC2535</t>
  </si>
  <si>
    <t>8h11m13.6s</t>
  </si>
  <si>
    <t>+25h12m26s</t>
  </si>
  <si>
    <t>NGC2536</t>
  </si>
  <si>
    <t>8h11m16.1s</t>
  </si>
  <si>
    <t>+25h10m47s</t>
  </si>
  <si>
    <t>NGC2537</t>
  </si>
  <si>
    <t>熊掌星系</t>
  </si>
  <si>
    <t>8h13m14.4s</t>
  </si>
  <si>
    <t>+45h59m29s</t>
  </si>
  <si>
    <t>a globular cluster, pretty bright, pretty large, round, well resolved, clearly consisting of stars, stars of 20th magnitude</t>
  </si>
  <si>
    <t>globular, pB, pL, R, rrr, st 20</t>
  </si>
  <si>
    <t>NGC2538</t>
  </si>
  <si>
    <t>8h11m23s</t>
  </si>
  <si>
    <t>+3h37m59s</t>
  </si>
  <si>
    <t>very faint, very small, round, much brighter middle</t>
  </si>
  <si>
    <t>vF, vS, R, mbM</t>
  </si>
  <si>
    <t>NGC2539</t>
  </si>
  <si>
    <t>盘状星团</t>
  </si>
  <si>
    <t>8h10m36.9s</t>
  </si>
  <si>
    <t>-12h49m14s</t>
  </si>
  <si>
    <t>a cluster, very large, rich, a little compressed, stars from 11th to 13th magnitude</t>
  </si>
  <si>
    <t>Cl, vL, Ri, lC, st 11…13</t>
  </si>
  <si>
    <t>NGC2540</t>
  </si>
  <si>
    <t>8h12m46.5s</t>
  </si>
  <si>
    <t>+26h21m41s</t>
  </si>
  <si>
    <t>very faint, pretty large, irregularly round, brighter middle, mottled but not resolved</t>
  </si>
  <si>
    <t>vF, pL, iR, bM, r</t>
  </si>
  <si>
    <t>NGC2541</t>
  </si>
  <si>
    <t>8h14m40s</t>
  </si>
  <si>
    <t>+49h3m43s</t>
  </si>
  <si>
    <t>faint, large, extended, very gradually brighter middle</t>
  </si>
  <si>
    <t>F, L, E, vgbM</t>
  </si>
  <si>
    <t>NGC2542</t>
  </si>
  <si>
    <t>8h11m16.2s</t>
  </si>
  <si>
    <t>-12h55m35s</t>
  </si>
  <si>
    <t>a nebulous 5th magnitude star</t>
  </si>
  <si>
    <t>Nebulous * 5th mag</t>
  </si>
  <si>
    <t>NGC2543</t>
  </si>
  <si>
    <t>8h12m57.8s</t>
  </si>
  <si>
    <t>+36h15m13s</t>
  </si>
  <si>
    <t>faint, pretty large, irregularly round, very gradually brighter middle, double star near</t>
  </si>
  <si>
    <t>F, pL, iR, vgbM, D * nr</t>
  </si>
  <si>
    <t>NGC2544</t>
  </si>
  <si>
    <t>8h21m40.3s</t>
  </si>
  <si>
    <t>+73h59m18s</t>
  </si>
  <si>
    <t>most extremely faint, pretty small, round, several bright stars around</t>
  </si>
  <si>
    <t>eeF, pS, R, sev B st around</t>
  </si>
  <si>
    <t>NGC2545</t>
  </si>
  <si>
    <t>8h14m14.1s</t>
  </si>
  <si>
    <t>+21h21m22s</t>
  </si>
  <si>
    <t>faint, small, a little extended 45°, 8th magnitude star 4 arcmin to northwest</t>
  </si>
  <si>
    <t>F, S, lE 45°, * 8 np 4'</t>
  </si>
  <si>
    <t>NGC2546</t>
  </si>
  <si>
    <t>心与匕首星团</t>
  </si>
  <si>
    <t>8h12m24s</t>
  </si>
  <si>
    <t>-37h37m0s</t>
  </si>
  <si>
    <t>a cluster, bright, large, a little compressed, irregularly extended, stars from 9th to 12th magnitude</t>
  </si>
  <si>
    <t>Cl, B, L, lC, iE, st 9…12</t>
  </si>
  <si>
    <t>NGC2547</t>
  </si>
  <si>
    <t>金耳环星团</t>
  </si>
  <si>
    <t>船帆座</t>
  </si>
  <si>
    <t>VEL</t>
  </si>
  <si>
    <t>8h10m9s</t>
  </si>
  <si>
    <t>-49h13m30s</t>
  </si>
  <si>
    <t>a cluster, bright, large, a little compressed, stars from 7th to 16th magnitude</t>
  </si>
  <si>
    <t>Cl, B, L, lC, st 7…16</t>
  </si>
  <si>
    <t>NGC2548</t>
  </si>
  <si>
    <t>蜂巢星团</t>
  </si>
  <si>
    <t>长蛇座</t>
  </si>
  <si>
    <t>HYA</t>
  </si>
  <si>
    <t>8h13m43.1s</t>
  </si>
  <si>
    <t>-5h45m2s</t>
  </si>
  <si>
    <t>a cluster, very large, pretty rich, pretty much compressed, stars from 9th to 13th magnitude</t>
  </si>
  <si>
    <t>Cl, vL, pRi, pmC, st 9…13</t>
  </si>
  <si>
    <t>NGC2549</t>
  </si>
  <si>
    <t>8h18m58.3s</t>
  </si>
  <si>
    <t>+57h48m11s</t>
  </si>
  <si>
    <t>pretty bright, small, much extended 0°, pretty suddenly much brighter middle</t>
  </si>
  <si>
    <t>pB, S, mE 0°, psmbM</t>
  </si>
  <si>
    <t>NGC2550</t>
  </si>
  <si>
    <t>8h24m33.7s</t>
  </si>
  <si>
    <t>+74h0m43s</t>
  </si>
  <si>
    <t>most extremely faint, pretty small, considerably extended</t>
  </si>
  <si>
    <t>eeF, pS, cE</t>
  </si>
  <si>
    <t>NGC2551</t>
  </si>
  <si>
    <t>8h24m50.2s</t>
  </si>
  <si>
    <t>+73h24m45s</t>
  </si>
  <si>
    <t>very faint, small, faint star in centre</t>
  </si>
  <si>
    <t>vF, S, F * in centre</t>
  </si>
  <si>
    <t>NGC2552</t>
  </si>
  <si>
    <t>8h19m19.6s</t>
  </si>
  <si>
    <t>+50h0m25s</t>
  </si>
  <si>
    <t>extremely faint, considerably large, a little extended 45°</t>
  </si>
  <si>
    <t>eF, cL, lE 45°</t>
  </si>
  <si>
    <t>NGC2553</t>
  </si>
  <si>
    <t>8h17m35.1s</t>
  </si>
  <si>
    <t>+20h54m12s</t>
  </si>
  <si>
    <t>very faint, small, gradually a little brighter middle</t>
  </si>
  <si>
    <t>vF, S, glbM</t>
  </si>
  <si>
    <t>NGC2554</t>
  </si>
  <si>
    <t>8h17m53.4s</t>
  </si>
  <si>
    <t>+23h28m20s</t>
  </si>
  <si>
    <t>faint, small, round, much brighter middle, mottled but not resolved</t>
  </si>
  <si>
    <t>F, S, R, mbM, r</t>
  </si>
  <si>
    <t>NGC2555</t>
  </si>
  <si>
    <t>8h17m56.3s</t>
  </si>
  <si>
    <t>+0h44m42s</t>
  </si>
  <si>
    <t>very faint, considerably small, irregular figure, 3 small (faint) stars involved?</t>
  </si>
  <si>
    <t>vF, cS, iF, 3 S st inv?</t>
  </si>
  <si>
    <t>NGC2556</t>
  </si>
  <si>
    <t>8h19m0.8s</t>
  </si>
  <si>
    <t>+20h56m15s</t>
  </si>
  <si>
    <t>NGC2557</t>
  </si>
  <si>
    <t>马吕斯星系团</t>
  </si>
  <si>
    <t>8h19m10.9s</t>
  </si>
  <si>
    <t>+21h26m10s</t>
  </si>
  <si>
    <t>extremely faint, extremely small, round, a little brighter middle</t>
  </si>
  <si>
    <t>eF, eS, R, lbM</t>
  </si>
  <si>
    <t>NGC2558</t>
  </si>
  <si>
    <t>8h19m12.7s</t>
  </si>
  <si>
    <t>+20h30m41s</t>
  </si>
  <si>
    <t>very faint, small, round, suddenly brighter middle, stellar</t>
  </si>
  <si>
    <t>vF, S, R, sbM, stellar</t>
  </si>
  <si>
    <t>NGC2559</t>
  </si>
  <si>
    <t>8h17m6.1s</t>
  </si>
  <si>
    <t>-27h27m25s</t>
  </si>
  <si>
    <t>faint, pretty large, gradually much brighter middle, among 60 stars</t>
  </si>
  <si>
    <t>F, pL, gmbM, am 60 st</t>
  </si>
  <si>
    <t>NGC2560</t>
  </si>
  <si>
    <t>8h19m51.9s</t>
  </si>
  <si>
    <t>+20h59m5s</t>
  </si>
  <si>
    <t>NGC2561</t>
  </si>
  <si>
    <t>8h19m36.7s</t>
  </si>
  <si>
    <t>+4h39m24s</t>
  </si>
  <si>
    <t>very faint, small, round, making a triangle with 2 stars</t>
  </si>
  <si>
    <t>vF, S, R, 2 st Δ</t>
  </si>
  <si>
    <t>NGC2562</t>
  </si>
  <si>
    <t>8h20m23.5s</t>
  </si>
  <si>
    <t>+21h7m54s</t>
  </si>
  <si>
    <t>very faint, considerably small, round</t>
  </si>
  <si>
    <t>vF, cS, R</t>
  </si>
  <si>
    <t>NGC2563</t>
  </si>
  <si>
    <t>8h20m35.7s</t>
  </si>
  <si>
    <t>+21h4m5s</t>
  </si>
  <si>
    <t>considerably faint, small, round, brighter middle</t>
  </si>
  <si>
    <t>cF, S, R, bM</t>
  </si>
  <si>
    <t>NGC2564</t>
  </si>
  <si>
    <t>8h18m30s</t>
  </si>
  <si>
    <t>-21h48m58s</t>
  </si>
  <si>
    <t>very faint, small, round, gradually brighter middle, among many stars</t>
  </si>
  <si>
    <t>vF, S, R, gbM, am many st</t>
  </si>
  <si>
    <t>NGC2565</t>
  </si>
  <si>
    <t>8h19m48.2s</t>
  </si>
  <si>
    <t>+22h1m53s</t>
  </si>
  <si>
    <t>faint, binuclear</t>
  </si>
  <si>
    <t>F, biN</t>
  </si>
  <si>
    <t>NGC2566</t>
  </si>
  <si>
    <t>8h18m45.5s</t>
  </si>
  <si>
    <t>-25h30m2s</t>
  </si>
  <si>
    <t>very faint, considerably large, extremely mottled but not resolved</t>
  </si>
  <si>
    <t>vF, cL, er</t>
  </si>
  <si>
    <t>NGC2567</t>
  </si>
  <si>
    <t>8h18m32s</t>
  </si>
  <si>
    <t>-30h38m24s</t>
  </si>
  <si>
    <t>a cluster, pretty large, pretty rich, a little compressed, irregularly round, stars from 11th to 14th magnitude</t>
  </si>
  <si>
    <t>Cl, pL, pRi, lC, iR, st 11…14</t>
  </si>
  <si>
    <t>NGC2568</t>
  </si>
  <si>
    <t>8h18m18.1s</t>
  </si>
  <si>
    <t>-37h6m19s</t>
  </si>
  <si>
    <t>very faint, pretty large, faint star involved</t>
  </si>
  <si>
    <t>vF, pL, F * inv</t>
  </si>
  <si>
    <t>NGC2569</t>
  </si>
  <si>
    <t>8h21m21.1s</t>
  </si>
  <si>
    <t>+20h52m5s</t>
  </si>
  <si>
    <t>very faint, considerably extended, 3 very small (faint) stars to east</t>
  </si>
  <si>
    <t>vF, cE, 3 vS st f</t>
  </si>
  <si>
    <t>NGC2570</t>
  </si>
  <si>
    <t>8h21m22.6s</t>
  </si>
  <si>
    <t>+20h54m38s</t>
  </si>
  <si>
    <t>most extremely faint, large, round, northern of 2</t>
  </si>
  <si>
    <t>eeF, L, R, n of 2</t>
  </si>
  <si>
    <t>NGC2571</t>
  </si>
  <si>
    <t>8h18m56.3s</t>
  </si>
  <si>
    <t>-29h44m57s</t>
  </si>
  <si>
    <t>a cluster, very large, considerably rich, a little compressed, stars from 9th magnitude</t>
  </si>
  <si>
    <t>Cl, vL, cRi, lC, st 9…</t>
  </si>
  <si>
    <t>NGC2572</t>
  </si>
  <si>
    <t>8h21m24.7s</t>
  </si>
  <si>
    <t>+19h8m52s</t>
  </si>
  <si>
    <t>extremely faint, very small, irregular figure, 13th magnitude star attached</t>
  </si>
  <si>
    <t>eF, vS, iF, * 13 att</t>
  </si>
  <si>
    <t>NGC2573</t>
  </si>
  <si>
    <t>南极星系</t>
  </si>
  <si>
    <t>南极座</t>
  </si>
  <si>
    <t>OCT</t>
  </si>
  <si>
    <t>1h41m53.2s</t>
  </si>
  <si>
    <t>-89h20m3s</t>
  </si>
  <si>
    <t>faint, small, round, gradually a little brighter middle, Polarissima Australis</t>
  </si>
  <si>
    <t>F, S, R, glbM, Polariss Austr</t>
  </si>
  <si>
    <t>NGC2574</t>
  </si>
  <si>
    <t>8h20m48.1s</t>
  </si>
  <si>
    <t>-8h55m6s</t>
  </si>
  <si>
    <t>extremely faint, pretty small, partially resolved (some stars seen), magnitude 7.5 star 5 arcmin to northeast</t>
  </si>
  <si>
    <t>eF, pS, rr, * 7.5 nf 5'</t>
  </si>
  <si>
    <t>NGC2575</t>
  </si>
  <si>
    <t>8h22m45s</t>
  </si>
  <si>
    <t>+24h17m49s</t>
  </si>
  <si>
    <t>extremely faint, pretty large, irregularly round, several faint stars involved</t>
  </si>
  <si>
    <t>eF, pL, iR, sev F st inv</t>
  </si>
  <si>
    <t>NGC2576</t>
  </si>
  <si>
    <t>8h22m57.8s</t>
  </si>
  <si>
    <t>+25h44m22s</t>
  </si>
  <si>
    <t>extremely faint, extremely small, stellar</t>
  </si>
  <si>
    <t>eF, eS, stellar</t>
  </si>
  <si>
    <t>NGC2577</t>
  </si>
  <si>
    <t>8h22m43.4s</t>
  </si>
  <si>
    <t>+22h33m13s</t>
  </si>
  <si>
    <t>faint, small, irregular figure, mottled but not resolved</t>
  </si>
  <si>
    <t>F, S, iF, r</t>
  </si>
  <si>
    <t>NGC2578</t>
  </si>
  <si>
    <t>8h21m24.2s</t>
  </si>
  <si>
    <t>-13h19m5s</t>
  </si>
  <si>
    <t>faint, very little extended, gradually brighter middle, mottled but not resolved, among 50 stars</t>
  </si>
  <si>
    <t>F, vlE, gbM, r, am 50 st</t>
  </si>
  <si>
    <t>NGC2579</t>
  </si>
  <si>
    <t>8h20m52.7s</t>
  </si>
  <si>
    <t>-36h12m58s</t>
  </si>
  <si>
    <t>a double star (h 4083) in a pretty small nebula, among 70 stars</t>
  </si>
  <si>
    <t>D * (h 4083) in pS neb, am 70 st</t>
  </si>
  <si>
    <t>NGC2580</t>
  </si>
  <si>
    <t>8h21m28s</t>
  </si>
  <si>
    <t>-30h17m30s</t>
  </si>
  <si>
    <t>a cluster, considerably large, pretty rich, pretty compressed, round, stars of 12th magnitude</t>
  </si>
  <si>
    <t>Cl, cL, pRi, pC, R, st 12</t>
  </si>
  <si>
    <t>NGC2581</t>
  </si>
  <si>
    <t>8h24m30.9s</t>
  </si>
  <si>
    <t>+18h35m49s</t>
  </si>
  <si>
    <t>very faint, very small, round, very faint star involved, faint star attached</t>
  </si>
  <si>
    <t>vF, vS, R, vF * inv, F * att</t>
  </si>
  <si>
    <t>NGC2582</t>
  </si>
  <si>
    <t>8h25m12.1s</t>
  </si>
  <si>
    <t>+20h20m3s</t>
  </si>
  <si>
    <t>very faint, pretty small, round, gradually a little brighter middle, star 75 arcsec to west</t>
  </si>
  <si>
    <t>vF, pS, R, glbM, * p 75"</t>
  </si>
  <si>
    <t>NGC2583</t>
  </si>
  <si>
    <t>8h23m7.9s</t>
  </si>
  <si>
    <t>-5h0m9s</t>
  </si>
  <si>
    <t>very faint, small, round, suddenly brighter middle and nucleus, 1st of 4</t>
  </si>
  <si>
    <t>vF, S, R, sbMN, 1st of 4</t>
  </si>
  <si>
    <t>NGC2584</t>
  </si>
  <si>
    <t>8h23m15.5s</t>
  </si>
  <si>
    <t>-4h58m15s</t>
  </si>
  <si>
    <t>very faint, small, round, 2nd of 4</t>
  </si>
  <si>
    <t>vF, S, R, 2nd of 4</t>
  </si>
  <si>
    <t>NGC2585</t>
  </si>
  <si>
    <t>8h23m26.2s</t>
  </si>
  <si>
    <t>-4h54m55s</t>
  </si>
  <si>
    <t>very faint, small, round, 3rd of 4</t>
  </si>
  <si>
    <t>vF, S, R, 3rd of 4</t>
  </si>
  <si>
    <t>NGC2586</t>
  </si>
  <si>
    <t>8h23m31.4s</t>
  </si>
  <si>
    <t>-4h57m5s</t>
  </si>
  <si>
    <t>extremely faint, pretty small, round, 4th of 4 (nebulous?)</t>
  </si>
  <si>
    <t>eF, pS, R, 4th of 4 (? neb)</t>
  </si>
  <si>
    <t>NGC2587</t>
  </si>
  <si>
    <t>8h23m24s</t>
  </si>
  <si>
    <t>-29h30m31s</t>
  </si>
  <si>
    <t>a cluster, pretty much compressed middle, irregular figure, stars from 9th to 13th magnitude</t>
  </si>
  <si>
    <t>Cl, pmCM, iF, st 9…13</t>
  </si>
  <si>
    <t>NGC2588</t>
  </si>
  <si>
    <t>8h23m9.5s</t>
  </si>
  <si>
    <t>-32h58m30s</t>
  </si>
  <si>
    <t>a cluster, faint, small, round, gradually brighter middle, stars of 15th magnitude</t>
  </si>
  <si>
    <t>Cl, F, S, R, gbM, st 15</t>
  </si>
  <si>
    <t>NGC2589</t>
  </si>
  <si>
    <t>8h24m29.4s</t>
  </si>
  <si>
    <t>-8h46m4s</t>
  </si>
  <si>
    <t>NGC2590</t>
  </si>
  <si>
    <t>8h25m2s</t>
  </si>
  <si>
    <t>-0h35m28s</t>
  </si>
  <si>
    <t>a faint star involved in very faint, very small, little extended nebula</t>
  </si>
  <si>
    <t>F * inv in vF, vS, lE neb</t>
  </si>
  <si>
    <t>NGC2591</t>
  </si>
  <si>
    <t>8h37m25.5s</t>
  </si>
  <si>
    <t>+78h1m32s</t>
  </si>
  <si>
    <t>faint, small, extended, a little brighter middle</t>
  </si>
  <si>
    <t>F, S, E, lbM</t>
  </si>
  <si>
    <t>NGC2592</t>
  </si>
  <si>
    <t>8h27m8.1s</t>
  </si>
  <si>
    <t>+25h58m15s</t>
  </si>
  <si>
    <t>pretty faint, small, round, very suddenly brighter middle similar to a star</t>
  </si>
  <si>
    <t>pF, S, R, vsbM *</t>
  </si>
  <si>
    <t>NGC2593</t>
  </si>
  <si>
    <t>8h26m47.8s</t>
  </si>
  <si>
    <t>+17h22m28s</t>
  </si>
  <si>
    <t>NGC2594</t>
  </si>
  <si>
    <t>8h27m17.1s</t>
  </si>
  <si>
    <t>+25h52m43s</t>
  </si>
  <si>
    <t>NGC2595</t>
  </si>
  <si>
    <t>8h27m41.9s</t>
  </si>
  <si>
    <t>+21h28m46s</t>
  </si>
  <si>
    <t>very faint, pretty large, irregular figure, mottled but not resolved, double star 2 arcmin to southwest</t>
  </si>
  <si>
    <t>vF, pL, iF, r, D * sp 2'</t>
  </si>
  <si>
    <t>NGC2596</t>
  </si>
  <si>
    <t>8h27m26.6s</t>
  </si>
  <si>
    <t>+17h17m4s</t>
  </si>
  <si>
    <t>NGC2597</t>
  </si>
  <si>
    <t>8h29m57.4s</t>
  </si>
  <si>
    <t>+21h30m9s</t>
  </si>
  <si>
    <t>NGC2598</t>
  </si>
  <si>
    <t>8h30m2.5s</t>
  </si>
  <si>
    <t>+21h29m18s</t>
  </si>
  <si>
    <t>NGC2599</t>
  </si>
  <si>
    <t>8h32m11.2s</t>
  </si>
  <si>
    <t>+22h33m39s</t>
  </si>
  <si>
    <t>very faint, small, stellar</t>
  </si>
  <si>
    <t>vF, S, stellar</t>
  </si>
  <si>
    <t>NGC2600</t>
  </si>
  <si>
    <t>大熊座</t>
  </si>
  <si>
    <t>UMA</t>
  </si>
  <si>
    <t>8h34m44.8s</t>
  </si>
  <si>
    <t>+52h42m55s</t>
  </si>
  <si>
    <t>NGC2601</t>
  </si>
  <si>
    <t>8h25m30.4s</t>
  </si>
  <si>
    <t>-68h7m4s</t>
  </si>
  <si>
    <t>NGC2602</t>
  </si>
  <si>
    <t>8h35m4.3s</t>
  </si>
  <si>
    <t>+52h49m53s</t>
  </si>
  <si>
    <t>extremely faint, small, round, star at 95°</t>
  </si>
  <si>
    <t>eF, S, R, * 95°</t>
  </si>
  <si>
    <t>NGC2603</t>
  </si>
  <si>
    <t>8h34m31.2s</t>
  </si>
  <si>
    <t>+52h50m25s</t>
  </si>
  <si>
    <t>NGC2604</t>
  </si>
  <si>
    <t>8h33m22.9s</t>
  </si>
  <si>
    <t>+29h32m19s</t>
  </si>
  <si>
    <t>very faint, pretty large, round, a little brighter middle, mottled but not resolved, double star near</t>
  </si>
  <si>
    <t>vF, pL, R, lbM, r, D * nr</t>
  </si>
  <si>
    <t>NGC2605</t>
  </si>
  <si>
    <t>S0?</t>
  </si>
  <si>
    <t>8h34m53.3s</t>
  </si>
  <si>
    <t>+52h48m16s</t>
  </si>
  <si>
    <t>faint, small, a little brighter middle</t>
  </si>
  <si>
    <t>NGC2606</t>
  </si>
  <si>
    <t>8h35m34.4s</t>
  </si>
  <si>
    <t>+52h47m19s</t>
  </si>
  <si>
    <t>considerably faint, small, round, star at 310°</t>
  </si>
  <si>
    <t>cF, S, R, * 310°</t>
  </si>
  <si>
    <t>NGC2607</t>
  </si>
  <si>
    <t>8h33m56.6s</t>
  </si>
  <si>
    <t>+26h58m23s</t>
  </si>
  <si>
    <t>NGC2608</t>
  </si>
  <si>
    <t>8h35m17.2s</t>
  </si>
  <si>
    <t>+28h28m24s</t>
  </si>
  <si>
    <t>faint, very little extended, much brighter middle, mottled but not resolved</t>
  </si>
  <si>
    <t>F, vlE, mbM, r</t>
  </si>
  <si>
    <t>NGC2609</t>
  </si>
  <si>
    <t>8h29m30s</t>
  </si>
  <si>
    <t>-61h6m36s</t>
  </si>
  <si>
    <t>a cluster, pretty small, a little rich, a little compressed</t>
  </si>
  <si>
    <t>Cl, pS, lRi, lC</t>
  </si>
  <si>
    <t>NGC2610</t>
  </si>
  <si>
    <t>8h33m23.4s</t>
  </si>
  <si>
    <t>-16h8m55s</t>
  </si>
  <si>
    <t>faint, small, attached to a 13th magnitude star, 7th magnitude star to northeast</t>
  </si>
  <si>
    <t>F, S, att to * 13, * 7 nf</t>
  </si>
  <si>
    <t>NGC2611</t>
  </si>
  <si>
    <t>8h35m29.1s</t>
  </si>
  <si>
    <t>+25h1m40s</t>
  </si>
  <si>
    <t>very faint, small, pretty much extended, gradually brighter middle</t>
  </si>
  <si>
    <t>vF, S, pmE, gbM</t>
  </si>
  <si>
    <t>NGC2612</t>
  </si>
  <si>
    <t>8h33m50.1s</t>
  </si>
  <si>
    <t>-13h10m27s</t>
  </si>
  <si>
    <t>bright, small, extended, pretty suddenly brighter middle, between 2 stars</t>
  </si>
  <si>
    <t>B, S, E, psbM, bet 2 st</t>
  </si>
  <si>
    <t>NGC2613</t>
  </si>
  <si>
    <t>罗盘座</t>
  </si>
  <si>
    <t>PYX</t>
  </si>
  <si>
    <t>8h33m22.8s</t>
  </si>
  <si>
    <t>-22h58m22s</t>
  </si>
  <si>
    <t>considerably bright, large, very much extended 110°</t>
  </si>
  <si>
    <t>cB, L, vmE 110°</t>
  </si>
  <si>
    <t>NGC2614</t>
  </si>
  <si>
    <t>8h42m47.6s</t>
  </si>
  <si>
    <t>+72h58m36s</t>
  </si>
  <si>
    <t>NGC2615</t>
  </si>
  <si>
    <t>8h34m33.1s</t>
  </si>
  <si>
    <t>-2h32m50s</t>
  </si>
  <si>
    <t>faint, pretty small, a little extended, a little brighter middle, faint star involved, mottled but not resolved</t>
  </si>
  <si>
    <t>F, pS, lE, lbM, F * inv r</t>
  </si>
  <si>
    <t>NGC2616</t>
  </si>
  <si>
    <t>8h35m34s</t>
  </si>
  <si>
    <t>-1h51m3s</t>
  </si>
  <si>
    <t>very faint, small, round, star near to northeast</t>
  </si>
  <si>
    <t>vF, S, R, * nr nf</t>
  </si>
  <si>
    <t>NGC2617</t>
  </si>
  <si>
    <t>8h35m38.9s</t>
  </si>
  <si>
    <t>-4h5m16s</t>
  </si>
  <si>
    <t>extremely faint, very small, 2 very faint stars involved</t>
  </si>
  <si>
    <t>eF, vS, 2 vF st inv</t>
  </si>
  <si>
    <t>NGC2618</t>
  </si>
  <si>
    <t>8h35m53.5s</t>
  </si>
  <si>
    <t>+0h42m28s</t>
  </si>
  <si>
    <t>NGC2619</t>
  </si>
  <si>
    <t>8h37m32.6s</t>
  </si>
  <si>
    <t>+28h42m18s</t>
  </si>
  <si>
    <t>faint, pretty small, round, brighter middle, mottled but not resolved</t>
  </si>
  <si>
    <t>F, pS, R, bM, r</t>
  </si>
  <si>
    <t>NGC2620</t>
  </si>
  <si>
    <t>8h37m28.3s</t>
  </si>
  <si>
    <t>+24h56m49s</t>
  </si>
  <si>
    <t>NGC2621</t>
  </si>
  <si>
    <t>8h37m36.9s</t>
  </si>
  <si>
    <t>+25h0m1s</t>
  </si>
  <si>
    <t>NGC2622</t>
  </si>
  <si>
    <t>8h38m10.9s</t>
  </si>
  <si>
    <t>+24h53m43s</t>
  </si>
  <si>
    <t>NGC2623</t>
  </si>
  <si>
    <t>8h38m24.1s</t>
  </si>
  <si>
    <t>+25h45m17s</t>
  </si>
  <si>
    <t>NGC2624</t>
  </si>
  <si>
    <t>8h38m9.6s</t>
  </si>
  <si>
    <t>+19h43m34s</t>
  </si>
  <si>
    <t>NGC2625</t>
  </si>
  <si>
    <t>8h38m23.1s</t>
  </si>
  <si>
    <t>+19h42m58s</t>
  </si>
  <si>
    <t>NGC2626</t>
  </si>
  <si>
    <t>8h35m31s</t>
  </si>
  <si>
    <t>-40h40m20s</t>
  </si>
  <si>
    <t>a 9th magnitude star involved in a pretty bright, pretty large, round nebula</t>
  </si>
  <si>
    <t>* 9 inv in pB, pL, R neb</t>
  </si>
  <si>
    <t>NGC2627</t>
  </si>
  <si>
    <t>8h37m15s</t>
  </si>
  <si>
    <t>-29h57m18s</t>
  </si>
  <si>
    <t>a cluster, considerably large, pretty rich, pretty compressed, stars from 11th to 13th magnitude</t>
  </si>
  <si>
    <t>Cl, cL, pRi, pC, st 11…13</t>
  </si>
  <si>
    <t>NGC2628</t>
  </si>
  <si>
    <t>8h40m22.6s</t>
  </si>
  <si>
    <t>+23h32m23s</t>
  </si>
  <si>
    <t>NGC2629</t>
  </si>
  <si>
    <t>8h47m15.2s</t>
  </si>
  <si>
    <t>+72h59m8s</t>
  </si>
  <si>
    <t>NGC2630</t>
  </si>
  <si>
    <t>8h47m6s</t>
  </si>
  <si>
    <t>+73h0m0s</t>
  </si>
  <si>
    <t>2 vF, vS, v nr III 982</t>
  </si>
  <si>
    <t>NGC2631</t>
  </si>
  <si>
    <t>2 very faint, very small, very near III 982</t>
  </si>
  <si>
    <t>NGC2632</t>
  </si>
  <si>
    <t>8h40m24s</t>
  </si>
  <si>
    <t>+19h40m12s</t>
  </si>
  <si>
    <t>Praesepe Cancri</t>
  </si>
  <si>
    <t>Paesepe Cancri</t>
  </si>
  <si>
    <t>NGC2633</t>
  </si>
  <si>
    <t>8h48m4.6s</t>
  </si>
  <si>
    <t>+74h5m57s</t>
  </si>
  <si>
    <t>NGC2634</t>
  </si>
  <si>
    <t>8h48m25.5s</t>
  </si>
  <si>
    <t>+73h58m2s</t>
  </si>
  <si>
    <t>NGC2635</t>
  </si>
  <si>
    <t>8h38m25.9s</t>
  </si>
  <si>
    <t>-34h46m18s</t>
  </si>
  <si>
    <t>a cluster, pretty much compressed, irregular triangle, stars from 13th magnitude</t>
  </si>
  <si>
    <t>Cl, pmC, irr Δ, st 13…</t>
  </si>
  <si>
    <t>NGC2636</t>
  </si>
  <si>
    <t>8h48m24.4s</t>
  </si>
  <si>
    <t>+73h40m18s</t>
  </si>
  <si>
    <t>very faint, small, 2 stars of 11th or 12th magnitude to east</t>
  </si>
  <si>
    <t>vF, S, 2 st 11·12 f</t>
  </si>
  <si>
    <t>NGC2637</t>
  </si>
  <si>
    <t>8h41m13.4s</t>
  </si>
  <si>
    <t>+19h41m25s</t>
  </si>
  <si>
    <t>NGC2638</t>
  </si>
  <si>
    <t>8h42m25.8s</t>
  </si>
  <si>
    <t>+37h13m15s</t>
  </si>
  <si>
    <t>NGC2639</t>
  </si>
  <si>
    <t>8h43m37.8s</t>
  </si>
  <si>
    <t>+50h12m22s</t>
  </si>
  <si>
    <t>considerably bright, small, extended 130°, pretty suddenly much brighter middle</t>
  </si>
  <si>
    <t>cB, S, E 130°, psmbM</t>
  </si>
  <si>
    <t>NGC2640</t>
  </si>
  <si>
    <t>8h37m24.7s</t>
  </si>
  <si>
    <t>-55h7m25s</t>
  </si>
  <si>
    <t>pretty bright, small, round, 3 or 4 very small (faint) stars near to west</t>
  </si>
  <si>
    <t>pB, S, R, 3 or 4 vS st p nr</t>
  </si>
  <si>
    <t>NGC2641</t>
  </si>
  <si>
    <t>8h47m57.4s</t>
  </si>
  <si>
    <t>+72h53m47s</t>
  </si>
  <si>
    <t>NGC2642</t>
  </si>
  <si>
    <t>8h40m44.4s</t>
  </si>
  <si>
    <t>-4h7m20s</t>
  </si>
  <si>
    <t>very faint, pretty large, gradually brighter middle, 2 bright stars to south, one to east</t>
  </si>
  <si>
    <t>vF, pL, gbM, 2 B st s, one f</t>
  </si>
  <si>
    <t>NGC2643</t>
  </si>
  <si>
    <t>8h42m9s</t>
  </si>
  <si>
    <t>+19h31m20s</t>
  </si>
  <si>
    <t>an extremely faint nebulous star</t>
  </si>
  <si>
    <t>eF neb *</t>
  </si>
  <si>
    <t>NGC2644</t>
  </si>
  <si>
    <t>8h41m32s</t>
  </si>
  <si>
    <t>+4h58m51s</t>
  </si>
  <si>
    <t>very faint, pretty large, irregularly oval, several small points</t>
  </si>
  <si>
    <t>vF, pL, irr oval, sev S points</t>
  </si>
  <si>
    <t>NGC2645</t>
  </si>
  <si>
    <t>8h39m3.1s</t>
  </si>
  <si>
    <t>-46h13m38s</t>
  </si>
  <si>
    <t>a cluster, small, stars large (bright) and small (faint)</t>
  </si>
  <si>
    <t>Cl, S, st L and S</t>
  </si>
  <si>
    <t>NGC2646</t>
  </si>
  <si>
    <t>8h50m21.8s</t>
  </si>
  <si>
    <t>+73h27m46s</t>
  </si>
  <si>
    <t>very faint, small, 2 faint stars 2.5 arcmin to southeast</t>
  </si>
  <si>
    <t>vF, S, 2 F st 2'.5 sf</t>
  </si>
  <si>
    <t>NGC2647</t>
  </si>
  <si>
    <t>8h42m43s</t>
  </si>
  <si>
    <t>+19h39m4s</t>
  </si>
  <si>
    <t>Neb *</t>
  </si>
  <si>
    <t>NGC2648</t>
  </si>
  <si>
    <t>8h42m39.8s</t>
  </si>
  <si>
    <t>+14h17m6s</t>
  </si>
  <si>
    <t>faint, small, very little extended 135°, pretty suddenly brighter middle</t>
  </si>
  <si>
    <t>F, S, vlE 135°, psbM</t>
  </si>
  <si>
    <t>NGC2649</t>
  </si>
  <si>
    <t>8h44m8.1s</t>
  </si>
  <si>
    <t>+34h43m3s</t>
  </si>
  <si>
    <t>faint, large, round, mottled but not resolved</t>
  </si>
  <si>
    <t>F, L, R, r</t>
  </si>
  <si>
    <t>NGC2650</t>
  </si>
  <si>
    <t>8h49m58.3s</t>
  </si>
  <si>
    <t>+70h17m58s</t>
  </si>
  <si>
    <t>pretty bright, pretty large, irregular figure, extremely mottled but not resolved</t>
  </si>
  <si>
    <t>pB, pL, iF, er</t>
  </si>
  <si>
    <t>NGC2651</t>
  </si>
  <si>
    <t>8h43m55.1s</t>
  </si>
  <si>
    <t>+11h46m16s</t>
  </si>
  <si>
    <t>NGC2652</t>
  </si>
  <si>
    <t>六分仪座</t>
  </si>
  <si>
    <t>SEX</t>
  </si>
  <si>
    <t>9h42m33.2s</t>
  </si>
  <si>
    <t>-3h41m57s</t>
  </si>
  <si>
    <t>faint, pretty small, extended 50°, gradually brighter middle and stellar nucleus, 9th magnitude star 50 arcsec to southwest</t>
  </si>
  <si>
    <t>F, pS, E 50°, gbM stell N, * 9 sp 50"</t>
  </si>
  <si>
    <t>NGC2653</t>
  </si>
  <si>
    <t>8h54m55.5s</t>
  </si>
  <si>
    <t>+78h23m39s</t>
  </si>
  <si>
    <t>very faint, very small, faint star close to north, I 288 to south</t>
  </si>
  <si>
    <t>vF, vS, F * close n, I 288 s</t>
  </si>
  <si>
    <t>NGC2654</t>
  </si>
  <si>
    <t>8h49m12s</t>
  </si>
  <si>
    <t>+60h13m15s</t>
  </si>
  <si>
    <t>pretty faint, small, faint star in middle, faint star close to southwest</t>
  </si>
  <si>
    <t>pF, S, F * in M, F * close sp</t>
  </si>
  <si>
    <t>NGC2655</t>
  </si>
  <si>
    <t>8h55m37.7s</t>
  </si>
  <si>
    <t>+78h13m25s</t>
  </si>
  <si>
    <t>very bright, considerably large, a little extended 90°, gradually then suddenly very much brighter middle</t>
  </si>
  <si>
    <t>vB, cL, lE 90°, gsvmbM</t>
  </si>
  <si>
    <t>NGC2656</t>
  </si>
  <si>
    <t>8h47m53.1s</t>
  </si>
  <si>
    <t>+53h52m34s</t>
  </si>
  <si>
    <t>extremely faint, pretty suddenly brighter middle</t>
  </si>
  <si>
    <t>eF, psbM</t>
  </si>
  <si>
    <t>NGC2657</t>
  </si>
  <si>
    <t>8h45m15.8s</t>
  </si>
  <si>
    <t>+9h38m45s</t>
  </si>
  <si>
    <t>very faint, very small, irregularly round, faint star attached on east</t>
  </si>
  <si>
    <t>vF, vS, iR, F * att f</t>
  </si>
  <si>
    <t>NGC2658</t>
  </si>
  <si>
    <t>8h43m27.3s</t>
  </si>
  <si>
    <t>-32h39m22s</t>
  </si>
  <si>
    <t>a cluster, pretty small, a little rich, a little compressed, irregular figure, stars from 12th to 13th magnitude</t>
  </si>
  <si>
    <t>Cl, pS, lRi, lC, iF, st 12·13</t>
  </si>
  <si>
    <t>NGC2659</t>
  </si>
  <si>
    <t>8h42m36s</t>
  </si>
  <si>
    <t>-45h0m0s</t>
  </si>
  <si>
    <t>a cluster, large, rich, pretty much extended, stars from 11th to 14th magnitude</t>
  </si>
  <si>
    <t>Cl, L, Ri, pmE, st 11…14</t>
  </si>
  <si>
    <t>NGC2660</t>
  </si>
  <si>
    <t>8h42m38s</t>
  </si>
  <si>
    <t>-47h12m2s</t>
  </si>
  <si>
    <t>a cluster, pretty small, much compressed, irregularly round, gradually brighter middle, stars from 13th to 15th magnitude</t>
  </si>
  <si>
    <t>Cl, pS, mC, iR, gbM, st 13…15</t>
  </si>
  <si>
    <t>NGC2661</t>
  </si>
  <si>
    <t>8h45m59.5s</t>
  </si>
  <si>
    <t>+12h37m11s</t>
  </si>
  <si>
    <t>extremely faint, considerably large, round, a little brighter middle</t>
  </si>
  <si>
    <t>eF, cL, R, lbM</t>
  </si>
  <si>
    <t>NGC2662</t>
  </si>
  <si>
    <t>8h45m32s</t>
  </si>
  <si>
    <t>-15h7m16s</t>
  </si>
  <si>
    <t>very faint, very small, round, brighter middle, 15th magnitude star near</t>
  </si>
  <si>
    <t>vF, vS, R, bM, * 15 nr</t>
  </si>
  <si>
    <t>NGC2663</t>
  </si>
  <si>
    <t>8h45m8.3s</t>
  </si>
  <si>
    <t>-33h47m42s</t>
  </si>
  <si>
    <t>NGC2664</t>
  </si>
  <si>
    <t>8h47m10.4s</t>
  </si>
  <si>
    <t>+12h36m13s</t>
  </si>
  <si>
    <t>a cluster, stars from 9th to 10th magnitude</t>
  </si>
  <si>
    <t>Cl, st 9…10</t>
  </si>
  <si>
    <t>NGC2665</t>
  </si>
  <si>
    <t>8h46m0.8s</t>
  </si>
  <si>
    <t>-19h18m12s</t>
  </si>
  <si>
    <t>faint, small, round, gradually brighter middle and nucleus</t>
  </si>
  <si>
    <t>F, S, R, gbMN</t>
  </si>
  <si>
    <t>NGC2666</t>
  </si>
  <si>
    <t>8h49m47.3s</t>
  </si>
  <si>
    <t>+44h42m16s</t>
  </si>
  <si>
    <t>NGC2667</t>
  </si>
  <si>
    <t>8h48m27.2s</t>
  </si>
  <si>
    <t>+19h1m11s</t>
  </si>
  <si>
    <t>NGC2668</t>
  </si>
  <si>
    <t>8h49m22.5s</t>
  </si>
  <si>
    <t>+36h42m39s</t>
  </si>
  <si>
    <t>NGC2669</t>
  </si>
  <si>
    <t>8h46m19s</t>
  </si>
  <si>
    <t>-52h56m6s</t>
  </si>
  <si>
    <t>a cluster, large, poor, a little compressed, stars from 10th to 13th magnitude</t>
  </si>
  <si>
    <t>Cl, L, P, lC, st 10…13</t>
  </si>
  <si>
    <t>NGC2670</t>
  </si>
  <si>
    <t>8h45m30s</t>
  </si>
  <si>
    <t>-48h47m30s</t>
  </si>
  <si>
    <t>a cluster, pretty large, poor, a little compressed, stars from 13th magnitude</t>
  </si>
  <si>
    <t>Cl, pL, P, lC, st 13…</t>
  </si>
  <si>
    <t>NGC2671</t>
  </si>
  <si>
    <t>8h46m12s</t>
  </si>
  <si>
    <t>-41h52m38s</t>
  </si>
  <si>
    <t>a cluster, pretty rich, a little compressed middle, stars from 12th to 13th magnitude</t>
  </si>
  <si>
    <t>Cl, pRi, lCM, st 12…13</t>
  </si>
  <si>
    <t>NGC2672</t>
  </si>
  <si>
    <t>8h49m21.8s</t>
  </si>
  <si>
    <t>+19h4m28s</t>
  </si>
  <si>
    <t>pretty bright, pretty large, irregularly round, much brighter middle</t>
  </si>
  <si>
    <t>pB, pL, iR, mbM</t>
  </si>
  <si>
    <t>NGC2673</t>
  </si>
  <si>
    <t>8h49m24.1s</t>
  </si>
  <si>
    <t>+19h4m29s</t>
  </si>
  <si>
    <t>vF, vS, close f h 526</t>
  </si>
  <si>
    <t>NGC2674</t>
  </si>
  <si>
    <t>8h49m13.2s</t>
  </si>
  <si>
    <t>-14h17m37s</t>
  </si>
  <si>
    <t>extremely faint, small, nebulous?</t>
  </si>
  <si>
    <t>eF, S, neb ?</t>
  </si>
  <si>
    <t>NGC2675</t>
  </si>
  <si>
    <t>8h52m5s</t>
  </si>
  <si>
    <t>+53h37m2s</t>
  </si>
  <si>
    <t>very faint, rich, 15th magnitude star 12 seconds of time to west</t>
  </si>
  <si>
    <t>vF, R, * 15 p 12s</t>
  </si>
  <si>
    <t>NGC2676</t>
  </si>
  <si>
    <t>8h51m35.6s</t>
  </si>
  <si>
    <t>+47h33m30s</t>
  </si>
  <si>
    <t>most extremely faint, pretty small, round, 4 pretty bright stars to northeast</t>
  </si>
  <si>
    <t>eeF, pS, R, 4 pB st nf</t>
  </si>
  <si>
    <t>NGC2677</t>
  </si>
  <si>
    <t>8h50m1.3s</t>
  </si>
  <si>
    <t>+19h0m37s</t>
  </si>
  <si>
    <t>extremely faint, very small, partially resolved (some stars seen), (very small cluster)</t>
  </si>
  <si>
    <t>eF, vS, rr (vS Cl)</t>
  </si>
  <si>
    <t>NGC2678</t>
  </si>
  <si>
    <t>8h50m2.7s</t>
  </si>
  <si>
    <t>+11h20m19s</t>
  </si>
  <si>
    <t>a cluster, very little compressed, poor</t>
  </si>
  <si>
    <t>Cl, vlC, P</t>
  </si>
  <si>
    <t>NGC2679</t>
  </si>
  <si>
    <t>8h51m32.9s</t>
  </si>
  <si>
    <t>+30h51m54s</t>
  </si>
  <si>
    <t>pretty faint, pretty small, round, brighter middle, a double nebula with NGC 2680</t>
  </si>
  <si>
    <t>pF, pS, R, bM, D neb</t>
  </si>
  <si>
    <t>NGC2680</t>
  </si>
  <si>
    <t>8h51m33.6s</t>
  </si>
  <si>
    <t>+30h51m57s</t>
  </si>
  <si>
    <t>very faint, very small, round, brighter middle, a double nebula with NGC 2679</t>
  </si>
  <si>
    <t>vF, vS, R, bM, D neb</t>
  </si>
  <si>
    <t>NGC2681</t>
  </si>
  <si>
    <t>8h53m32.5s</t>
  </si>
  <si>
    <t>+51h18m47s</t>
  </si>
  <si>
    <t>very bright, very large, very gradaully then very suddenly much brighter middle equal to 10th magnitude star</t>
  </si>
  <si>
    <t>vB, vL, vg, vsmbM * 10</t>
  </si>
  <si>
    <t>NGC2682</t>
  </si>
  <si>
    <t>金眼星团</t>
  </si>
  <si>
    <t>8h51m18s</t>
  </si>
  <si>
    <t>+11h49m0s</t>
  </si>
  <si>
    <t>a remarkble object, a cluster, very bright, very large, extremely rich, a little compressed, stars from 10th to 15th magnitude</t>
  </si>
  <si>
    <t>! Cl, vB, vL, eRi, lC, st 10…15</t>
  </si>
  <si>
    <t>NGC2683</t>
  </si>
  <si>
    <t>UFO星系</t>
  </si>
  <si>
    <t>8h52m41.3s</t>
  </si>
  <si>
    <t>+33h25m12s</t>
  </si>
  <si>
    <t>very bright, very large, very much extended 39°, gradually much brighter middle</t>
  </si>
  <si>
    <t>vB, vL, vmE 39°, gmbM</t>
  </si>
  <si>
    <t>NGC2684</t>
  </si>
  <si>
    <t>8h54m53.8s</t>
  </si>
  <si>
    <t>+49h9m37s</t>
  </si>
  <si>
    <t>faint, pretty large, round, gradually brighter middle, 4 small (faint) stars near</t>
  </si>
  <si>
    <t>F, pL, R, gbM, 4 S st nr</t>
  </si>
  <si>
    <t>NGC2685</t>
  </si>
  <si>
    <t>螺旋星系</t>
  </si>
  <si>
    <t>8h55m34.9s</t>
  </si>
  <si>
    <t>+58h44m5s</t>
  </si>
  <si>
    <t>pretty faint, round, faint star in centre</t>
  </si>
  <si>
    <t>pF, R, F * in centre</t>
  </si>
  <si>
    <t>NGC2686</t>
  </si>
  <si>
    <t>纺锤星系</t>
  </si>
  <si>
    <t>8h54m58.8s</t>
  </si>
  <si>
    <t>+49h8m33s</t>
  </si>
  <si>
    <t>very faint, very small, double or single star close to east</t>
  </si>
  <si>
    <t>vF, vS, D or * close f</t>
  </si>
  <si>
    <t>NGC2687</t>
  </si>
  <si>
    <t>8h55m5.8s</t>
  </si>
  <si>
    <t>+49h9m22s</t>
  </si>
  <si>
    <t>very small</t>
  </si>
  <si>
    <t>vS</t>
  </si>
  <si>
    <t>NGC2688</t>
  </si>
  <si>
    <t>8h55m11.4s</t>
  </si>
  <si>
    <t>+49h7m21s</t>
  </si>
  <si>
    <t>very very faint, small</t>
  </si>
  <si>
    <t>vvF, S</t>
  </si>
  <si>
    <t>NGC2689</t>
  </si>
  <si>
    <t>8h55m25.3s</t>
  </si>
  <si>
    <t>+49h6m55s</t>
  </si>
  <si>
    <t>NGC2690</t>
  </si>
  <si>
    <t>8h52m38s</t>
  </si>
  <si>
    <t>-2h36m13s</t>
  </si>
  <si>
    <t>NGC2691</t>
  </si>
  <si>
    <t>8h54m46.3s</t>
  </si>
  <si>
    <t>+39h32m21s</t>
  </si>
  <si>
    <t>pretty faint, very small, much brighter middle</t>
  </si>
  <si>
    <t>pF, vS, mbM</t>
  </si>
  <si>
    <t>NGC2692</t>
  </si>
  <si>
    <t>8h56m57.8s</t>
  </si>
  <si>
    <t>+52h3m57s</t>
  </si>
  <si>
    <t>NGC2693</t>
  </si>
  <si>
    <t>8h56m59.4s</t>
  </si>
  <si>
    <t>+51h20m52s</t>
  </si>
  <si>
    <t>pretty bright, a little extended, pretty suddenly much brighter middle</t>
  </si>
  <si>
    <t>pB, lE, psmbM</t>
  </si>
  <si>
    <t>NGC2694</t>
  </si>
  <si>
    <t>8h56m59.2s</t>
  </si>
  <si>
    <t>+51h19m57s</t>
  </si>
  <si>
    <t>very faint, very small, 1 arcmin south of h 535</t>
  </si>
  <si>
    <t>vF, vS, 1' s of h 535</t>
  </si>
  <si>
    <t>NGC2695</t>
  </si>
  <si>
    <t>8h54m27s</t>
  </si>
  <si>
    <t>-3h4m1s</t>
  </si>
  <si>
    <t>pretty faint, considerably small, round</t>
  </si>
  <si>
    <t>pF, cS, R</t>
  </si>
  <si>
    <t>NGC2696</t>
  </si>
  <si>
    <t>8h50m42s</t>
  </si>
  <si>
    <t>-5h0m34s</t>
  </si>
  <si>
    <t>NGC2697</t>
  </si>
  <si>
    <t>8h54m59.3s</t>
  </si>
  <si>
    <t>-2h59m16s</t>
  </si>
  <si>
    <t>NGC2698</t>
  </si>
  <si>
    <t>8h55m36.4s</t>
  </si>
  <si>
    <t>-3h11m3s</t>
  </si>
  <si>
    <t>very faint, pretty small, round, 9th magnitude star 4 arcmin to northwest</t>
  </si>
  <si>
    <t>vF, pS, R, * 9 np 4'</t>
  </si>
  <si>
    <t>NGC2699</t>
  </si>
  <si>
    <t>8h55m48.8s</t>
  </si>
  <si>
    <t>-3h7m38s</t>
  </si>
  <si>
    <t>very faint, small, round, 15th magnitude to northwest</t>
  </si>
  <si>
    <t>vF, S, R, * 15 np</t>
  </si>
  <si>
    <t>NGC2700</t>
  </si>
  <si>
    <t>8h55m50.6s</t>
  </si>
  <si>
    <t>-3h6m58s</t>
  </si>
  <si>
    <t>extremely faint, very small, 1 arcmin north of 1727</t>
  </si>
  <si>
    <t>eF, vS, 1' n of 1727</t>
  </si>
  <si>
    <t>NGC2701</t>
  </si>
  <si>
    <t>8h59m5.5s</t>
  </si>
  <si>
    <t>+53h46m14s</t>
  </si>
  <si>
    <t>pretty bright, fan-shaped, 11th magnitude star attached</t>
  </si>
  <si>
    <t>pB, fan-shaped, * 11 att</t>
  </si>
  <si>
    <t>NGC2702</t>
  </si>
  <si>
    <t>8h55m54.6s</t>
  </si>
  <si>
    <t>-3h3m53s</t>
  </si>
  <si>
    <t>very faint, very small, 4 arcmin northeast of 1727</t>
  </si>
  <si>
    <t>vF, vS, 4' nf 1727</t>
  </si>
  <si>
    <t>NGC2703</t>
  </si>
  <si>
    <t>8h55m47.1s</t>
  </si>
  <si>
    <t>-3h18m23s</t>
  </si>
  <si>
    <t>extremely faint, a little extended, doubtful</t>
  </si>
  <si>
    <t>eF, lE, doubtful</t>
  </si>
  <si>
    <t>NGC2704</t>
  </si>
  <si>
    <t>8h56m47.7s</t>
  </si>
  <si>
    <t>+39h22m57s</t>
  </si>
  <si>
    <t>NGC2705</t>
  </si>
  <si>
    <t>8h56m0s</t>
  </si>
  <si>
    <t>-3h0m51s</t>
  </si>
  <si>
    <t>very faint, very small, 3 stars of 14th magnitude to the east and northeast</t>
  </si>
  <si>
    <t>vF, vS, 3 st 14 f, nf</t>
  </si>
  <si>
    <t>NGC2706</t>
  </si>
  <si>
    <t>8h56m12.3s</t>
  </si>
  <si>
    <t>-2h33m48s</t>
  </si>
  <si>
    <t>very faint, pretty small, much extended, star near to east</t>
  </si>
  <si>
    <t>vF, pS, mE, * nr f</t>
  </si>
  <si>
    <t>NGC2707</t>
  </si>
  <si>
    <t>8h56m5.6s</t>
  </si>
  <si>
    <t>-3h3m57s</t>
  </si>
  <si>
    <t>NGC2708</t>
  </si>
  <si>
    <t>8h56m7.9s</t>
  </si>
  <si>
    <t>-3h21m38s</t>
  </si>
  <si>
    <t>pretty faint, pretty small, extended, 2 stars near</t>
  </si>
  <si>
    <t>pF, pS, E, 2 st nr</t>
  </si>
  <si>
    <t>NGC2709</t>
  </si>
  <si>
    <t>8h56m12.8s</t>
  </si>
  <si>
    <t>-3h14m33s</t>
  </si>
  <si>
    <t>very faint, pretty small, a little extended, north northeast of II 281</t>
  </si>
  <si>
    <t>vF, pS, lE, nnf II 281</t>
  </si>
  <si>
    <t>NGC2710</t>
  </si>
  <si>
    <t>8h59m48.4s</t>
  </si>
  <si>
    <t>+55h42m21s</t>
  </si>
  <si>
    <t>NGC2711</t>
  </si>
  <si>
    <t>8h57m23.5s</t>
  </si>
  <si>
    <t>+17h17m17s</t>
  </si>
  <si>
    <t>NGC2712</t>
  </si>
  <si>
    <t>8h59m30.6s</t>
  </si>
  <si>
    <t>+44h54m50s</t>
  </si>
  <si>
    <t>pretty bright, large, extended, very gradually brighter middle equivalent to 18th magnitude star</t>
  </si>
  <si>
    <t>pB, L, E, vgbM * 18</t>
  </si>
  <si>
    <t>NGC2713</t>
  </si>
  <si>
    <t>8h57m20.6s</t>
  </si>
  <si>
    <t>+2h55m17s</t>
  </si>
  <si>
    <t>pretty bright, irregularly round, much brighter middle</t>
  </si>
  <si>
    <t>pB, iR, mbM</t>
  </si>
  <si>
    <t>NGC2714</t>
  </si>
  <si>
    <t>8h53m29.8s</t>
  </si>
  <si>
    <t>-59h13m3s</t>
  </si>
  <si>
    <t>extremely faint, small, round, pretty suddenly a little brighter middle</t>
  </si>
  <si>
    <t>eF, S, R, pslbM</t>
  </si>
  <si>
    <t>NGC2715</t>
  </si>
  <si>
    <t>9h8m5.9s</t>
  </si>
  <si>
    <t>+78h5m9s</t>
  </si>
  <si>
    <t>pretty bright, large, extended</t>
  </si>
  <si>
    <t>pB, L, E</t>
  </si>
  <si>
    <t>NGC2716</t>
  </si>
  <si>
    <t>8h57m35.8s</t>
  </si>
  <si>
    <t>+3h5m25s</t>
  </si>
  <si>
    <t>NGC2717</t>
  </si>
  <si>
    <t>8h57m1.1s</t>
  </si>
  <si>
    <t>-24h40m26s</t>
  </si>
  <si>
    <t>pretty faint, small, round, very gradualy pretty much brighter middle</t>
  </si>
  <si>
    <t>NGC2718</t>
  </si>
  <si>
    <t>8h58m50.3s</t>
  </si>
  <si>
    <t>+6h17m38s</t>
  </si>
  <si>
    <t>faint, pretty large, extended, among 3 stars</t>
  </si>
  <si>
    <t>F, pL, E, am 3 st</t>
  </si>
  <si>
    <t>NGC2719</t>
  </si>
  <si>
    <t>9h0m15.6s</t>
  </si>
  <si>
    <t>+35h43m40s</t>
  </si>
  <si>
    <t>very faint, small, extended 110°, 2 very faint stars involved</t>
  </si>
  <si>
    <t>vF, S, E 110°, 2 vF st inv</t>
  </si>
  <si>
    <t>NGC2720</t>
  </si>
  <si>
    <t>8h59m8s</t>
  </si>
  <si>
    <t>+11h8m59s</t>
  </si>
  <si>
    <t>NGC2721</t>
  </si>
  <si>
    <t>8h58m56.5s</t>
  </si>
  <si>
    <t>-4h54m5s</t>
  </si>
  <si>
    <t>considerably faint, pretty large, round, very gradually brighter middle</t>
  </si>
  <si>
    <t>cF, pL, R, vgbM</t>
  </si>
  <si>
    <t>NGC2722</t>
  </si>
  <si>
    <t>8h58m46.1s</t>
  </si>
  <si>
    <t>-3h42m35s</t>
  </si>
  <si>
    <t>NGC2723</t>
  </si>
  <si>
    <t>9h0m14.3s</t>
  </si>
  <si>
    <t>+3h10m42s</t>
  </si>
  <si>
    <t>NGC2724</t>
  </si>
  <si>
    <t>9h1m1.8s</t>
  </si>
  <si>
    <t>+35h45m45s</t>
  </si>
  <si>
    <t>extremely faint, small, stellar</t>
  </si>
  <si>
    <t>eF, S, stellar</t>
  </si>
  <si>
    <t>NGC2725</t>
  </si>
  <si>
    <t>9h1m3.2s</t>
  </si>
  <si>
    <t>+11h5m51s</t>
  </si>
  <si>
    <t>faint, pretty large, preceding (western) of 2</t>
  </si>
  <si>
    <t>F, pL, p of 2</t>
  </si>
  <si>
    <t>NGC2726</t>
  </si>
  <si>
    <t>9h4m56.8s</t>
  </si>
  <si>
    <t>+59h56m0s</t>
  </si>
  <si>
    <t>considerably faint, pretty small, irregularly round, extremely mottled but not resolved</t>
  </si>
  <si>
    <t>cF, pS, iR, er</t>
  </si>
  <si>
    <t>NGC2727</t>
  </si>
  <si>
    <t>vF, L, R, bM</t>
  </si>
  <si>
    <t>NGC2728</t>
  </si>
  <si>
    <t>9h1m40.9s</t>
  </si>
  <si>
    <t>+11h5m1s</t>
  </si>
  <si>
    <t>very faint, pretty large, a little extended, eastern of 2</t>
  </si>
  <si>
    <t>vF, pL, lE, f of 2</t>
  </si>
  <si>
    <t>NGC2729</t>
  </si>
  <si>
    <t>9h1m28.6s</t>
  </si>
  <si>
    <t>+3h43m16s</t>
  </si>
  <si>
    <t>NGC2730</t>
  </si>
  <si>
    <t>9h2m15.8s</t>
  </si>
  <si>
    <t>+16h50m18s</t>
  </si>
  <si>
    <t>very faint, large, round</t>
  </si>
  <si>
    <t>vF, L, R</t>
  </si>
  <si>
    <t>NGC2731</t>
  </si>
  <si>
    <t>9h2m8.2s</t>
  </si>
  <si>
    <t>+8h18m2s</t>
  </si>
  <si>
    <t>NGC2732</t>
  </si>
  <si>
    <t>9h13m25s</t>
  </si>
  <si>
    <t>+79h11m16s</t>
  </si>
  <si>
    <t>pretty bright, small, extended 45°, 13th magnitude star to northeast</t>
  </si>
  <si>
    <t>pB, S, E 45°, * 13 nf</t>
  </si>
  <si>
    <t>NGC2733</t>
  </si>
  <si>
    <t>NGC2734</t>
  </si>
  <si>
    <t>9h3m1.5s</t>
  </si>
  <si>
    <t>+16h51m51s</t>
  </si>
  <si>
    <t>NGC2735</t>
  </si>
  <si>
    <t>9h2m38.5s</t>
  </si>
  <si>
    <t>+25h56m5s</t>
  </si>
  <si>
    <t>a small (faint) star involved in very faint, very small nebula, extended east-west</t>
  </si>
  <si>
    <t>S * inv in vF, vS neb, E pf</t>
  </si>
  <si>
    <t>NGC2736</t>
  </si>
  <si>
    <t>铅笔星云</t>
  </si>
  <si>
    <t>9h0m17s</t>
  </si>
  <si>
    <t>-45h56m53s</t>
  </si>
  <si>
    <t>a remarkable object, most extremely faint, very large, very very much extended 19°</t>
  </si>
  <si>
    <t>! eeF, vL, vvmE 19°</t>
  </si>
  <si>
    <t>NGC2737</t>
  </si>
  <si>
    <t>9h3m59.6s</t>
  </si>
  <si>
    <t>+21h54m23s</t>
  </si>
  <si>
    <t>very faint, very small, part of a double nebula with the following entry</t>
  </si>
  <si>
    <t>vF, vS, D neb</t>
  </si>
  <si>
    <t>NGC2738</t>
  </si>
  <si>
    <t>9h4m0.5s</t>
  </si>
  <si>
    <t>+21h58m6s</t>
  </si>
  <si>
    <t>pretty bright, small, irregular figure, part of a double nebula with the preceding entry</t>
  </si>
  <si>
    <t>pB, S, iF, D neb</t>
  </si>
  <si>
    <t>NGC2739</t>
  </si>
  <si>
    <t>9h6m2.7s</t>
  </si>
  <si>
    <t>+51h44m40s</t>
  </si>
  <si>
    <t>very faint, small, round, northwest of h 549</t>
  </si>
  <si>
    <t>vF, S, R, np h 549</t>
  </si>
  <si>
    <t>NGC2740</t>
  </si>
  <si>
    <t>9h6m5s</t>
  </si>
  <si>
    <t>+51h44m8s</t>
  </si>
  <si>
    <t>NGC2741</t>
  </si>
  <si>
    <t>9h3m16.5s</t>
  </si>
  <si>
    <t>+18h15m38s</t>
  </si>
  <si>
    <t>very faint, western of 2</t>
  </si>
  <si>
    <t>vF, p of 2</t>
  </si>
  <si>
    <t>NGC2742</t>
  </si>
  <si>
    <t>9h7m33.2s</t>
  </si>
  <si>
    <t>+60h28m46s</t>
  </si>
  <si>
    <t>considerably bright, considerably large, extended 90°, extremely mottled but not resolved</t>
  </si>
  <si>
    <t>cB, cL, E 90°, er</t>
  </si>
  <si>
    <t>NGC2743</t>
  </si>
  <si>
    <t>9h4m54s</t>
  </si>
  <si>
    <t>+25h0m15s</t>
  </si>
  <si>
    <t>extremely faint, small, round, very little brighter middle</t>
  </si>
  <si>
    <t>eF, S, R, vlbM</t>
  </si>
  <si>
    <t>NGC2744</t>
  </si>
  <si>
    <t>9h4m39.1s</t>
  </si>
  <si>
    <t>+18h27m51s</t>
  </si>
  <si>
    <t>very faint, small, round, mottled but not resolved, double star near</t>
  </si>
  <si>
    <t>vF, S, R, r, D * nr</t>
  </si>
  <si>
    <t>NGC2745</t>
  </si>
  <si>
    <t>9h4m39.3s</t>
  </si>
  <si>
    <t>+18h15m28s</t>
  </si>
  <si>
    <t>extremely faint, very small, stellar, eastern of 2</t>
  </si>
  <si>
    <t>eF, vS, stell, f of 2</t>
  </si>
  <si>
    <t>NGC2746</t>
  </si>
  <si>
    <t>9h5m59.5s</t>
  </si>
  <si>
    <t>+35h22m38s</t>
  </si>
  <si>
    <t>extremely faint, small, round, very gradually a little brighter middle, 12th magnitude star 50 arcsec to north northwest</t>
  </si>
  <si>
    <t>eF, S, R, vglbM, * 12 nnp 50"</t>
  </si>
  <si>
    <t>NGC2747</t>
  </si>
  <si>
    <t>9h5m18.3s</t>
  </si>
  <si>
    <t>+18h26m34s</t>
  </si>
  <si>
    <t>NGC2748</t>
  </si>
  <si>
    <t>9h13m43s</t>
  </si>
  <si>
    <t>+76h28m33s</t>
  </si>
  <si>
    <t>pretty bright, pretty large, extended, very gradually a little brighter middle</t>
  </si>
  <si>
    <t>pB, pL, E, vglbM</t>
  </si>
  <si>
    <t>NGC2749</t>
  </si>
  <si>
    <t>9h5m21.3s</t>
  </si>
  <si>
    <t>+18h18m49s</t>
  </si>
  <si>
    <t>pretty faint, small, round, brighter middle and nucleus equal to 15th magnitude star</t>
  </si>
  <si>
    <t>pF, S, R, bMN = * 15</t>
  </si>
  <si>
    <t>NGC2750</t>
  </si>
  <si>
    <t>9h5m48s</t>
  </si>
  <si>
    <t>+25h26m15s</t>
  </si>
  <si>
    <t>very faint, considerably large, brighter middle and nucleus, 2 considerable stars to west</t>
  </si>
  <si>
    <t>vF, cL, R, bMN, 2 c st p</t>
  </si>
  <si>
    <t>NGC2751</t>
  </si>
  <si>
    <t>9h5m32.4s</t>
  </si>
  <si>
    <t>+18h15m43s</t>
  </si>
  <si>
    <t>NGC2752</t>
  </si>
  <si>
    <t>9h5m42.9s</t>
  </si>
  <si>
    <t>+18h20m23s</t>
  </si>
  <si>
    <t>pretty faint, pretty large, very much extended, gradually brighter middle</t>
  </si>
  <si>
    <t>pF, pL, vmE, gbM</t>
  </si>
  <si>
    <t>NGC2753</t>
  </si>
  <si>
    <t>9h7m8.5s</t>
  </si>
  <si>
    <t>+25h20m39s</t>
  </si>
  <si>
    <t>very faint, very small, 14th magnitude star 40 arcsec to northwest</t>
  </si>
  <si>
    <t>vF, vS, * 14 np 40"</t>
  </si>
  <si>
    <t>NGC2754</t>
  </si>
  <si>
    <t>9h5m11.2s</t>
  </si>
  <si>
    <t>-19h5m5s</t>
  </si>
  <si>
    <t>extremely faint, small, round, 1st of 3</t>
  </si>
  <si>
    <t>eF, S, R, 1st of 3</t>
  </si>
  <si>
    <t>NGC2755</t>
  </si>
  <si>
    <t>9h7m58.3s</t>
  </si>
  <si>
    <t>+41h42m31s</t>
  </si>
  <si>
    <t>very faint, small, irregular figure, a little brighter middle, mottled but not resolved</t>
  </si>
  <si>
    <t>vF, S, iF, lbM, r</t>
  </si>
  <si>
    <t>NGC2756</t>
  </si>
  <si>
    <t>9h9m0.9s</t>
  </si>
  <si>
    <t>+53h50m55s</t>
  </si>
  <si>
    <t>pretty bright, pretty small, extended, very gradually brighter middle</t>
  </si>
  <si>
    <t>pB, pS, E, vgbM</t>
  </si>
  <si>
    <t>NGC2757</t>
  </si>
  <si>
    <t>9h5m23.4s</t>
  </si>
  <si>
    <t>-19h2m5s</t>
  </si>
  <si>
    <t>extremely faint, 2nd of 3, perhaps a star</t>
  </si>
  <si>
    <t>eF, 2nd of 3, ? *</t>
  </si>
  <si>
    <t>NGC2758</t>
  </si>
  <si>
    <t>9h5m31.1s</t>
  </si>
  <si>
    <t>-19h2m34s</t>
  </si>
  <si>
    <t>extremely faint, small, extended 0°, 3rd of 3</t>
  </si>
  <si>
    <t>eF, S, E 0°, 3rd of 3</t>
  </si>
  <si>
    <t>NGC2759</t>
  </si>
  <si>
    <t>9h8m37.2s</t>
  </si>
  <si>
    <t>+37h37m17s</t>
  </si>
  <si>
    <t>NGC2760</t>
  </si>
  <si>
    <t>9h15m41.9s</t>
  </si>
  <si>
    <t>+76h22m57s</t>
  </si>
  <si>
    <t>very faint, small, round, nearly between stars of 8th and 9th magnitude</t>
  </si>
  <si>
    <t>vF, S, R, nearly bet * 8 &amp; * 9</t>
  </si>
  <si>
    <t>NGC2761</t>
  </si>
  <si>
    <t>9h7m30.7s</t>
  </si>
  <si>
    <t>+18h26m6s</t>
  </si>
  <si>
    <t>NGC2762</t>
  </si>
  <si>
    <t>9h9m54.4s</t>
  </si>
  <si>
    <t>+50h25m6s</t>
  </si>
  <si>
    <t>very very faint, small, round, 1st of 4</t>
  </si>
  <si>
    <t>vvF, S, R, 1st of 4</t>
  </si>
  <si>
    <t>NGC2763</t>
  </si>
  <si>
    <t>9h6m49s</t>
  </si>
  <si>
    <t>-15h29m57s</t>
  </si>
  <si>
    <t>very faint, pretty small, brighter middle, small (faint) star 30 arcsec to north</t>
  </si>
  <si>
    <t>vF, pS, bM, S * 30" n</t>
  </si>
  <si>
    <t>NGC2764</t>
  </si>
  <si>
    <t>9h8m17.4s</t>
  </si>
  <si>
    <t>+21h26m35s</t>
  </si>
  <si>
    <t>considerably faint, very small, round, extremely mottled but not resolved, between 2 pretty bright stars</t>
  </si>
  <si>
    <t>cF, vS, R, er, bet 2 pB st</t>
  </si>
  <si>
    <t>NGC2765</t>
  </si>
  <si>
    <t>9h7m36.5s</t>
  </si>
  <si>
    <t>+3h23m34s</t>
  </si>
  <si>
    <t>very faint, pretty large, extended, gradually brighter middle, extremely mottled but not resolved</t>
  </si>
  <si>
    <t>vF, pL, E, gbM, er</t>
  </si>
  <si>
    <t>NGC2766</t>
  </si>
  <si>
    <t>9h8m47.4s</t>
  </si>
  <si>
    <t>+29h51m55s</t>
  </si>
  <si>
    <t>NGC2767</t>
  </si>
  <si>
    <t>9h10m11.8s</t>
  </si>
  <si>
    <t>+50h24m7s</t>
  </si>
  <si>
    <t>very faint, suddenly brighter middle equal to 15th magnitude star, 2nd of 4</t>
  </si>
  <si>
    <t>vF, sbM * 15, 2nd of 4</t>
  </si>
  <si>
    <t>NGC2768</t>
  </si>
  <si>
    <t>9h11m37.4s</t>
  </si>
  <si>
    <t>+60h2m11s</t>
  </si>
  <si>
    <t>considerably bright, considerably large, a little extended, pretty suddenly brighter middle and large bright nucleus</t>
  </si>
  <si>
    <t>cB, cL, lE, psbMLBN</t>
  </si>
  <si>
    <t>NGC2769</t>
  </si>
  <si>
    <t>NGC 2769星系群</t>
  </si>
  <si>
    <t>9h10m32.3s</t>
  </si>
  <si>
    <t>+50h26m1s</t>
  </si>
  <si>
    <t>pretty faint, small, extended, pretty suddenly a little brighter middle, 3rd of 4</t>
  </si>
  <si>
    <t>pF, S, E, pslbM, 3rd of 4</t>
  </si>
  <si>
    <t>NGC2770</t>
  </si>
  <si>
    <t>超新星工厂星系</t>
  </si>
  <si>
    <t>9h9m33.5s</t>
  </si>
  <si>
    <t>+33h7m27s</t>
  </si>
  <si>
    <t>faint, large, much extended 150°, mottled but not resolved, 2 stars to north</t>
  </si>
  <si>
    <t>F, L, mE 150°, r, 2 st n</t>
  </si>
  <si>
    <t>NGC2771</t>
  </si>
  <si>
    <t>9h10m39.7s</t>
  </si>
  <si>
    <t>+50h22m45s</t>
  </si>
  <si>
    <t>very faint, small, a little extended, 4th of 4</t>
  </si>
  <si>
    <t>vF, S, lE, 4th of 4</t>
  </si>
  <si>
    <t>NGC2772</t>
  </si>
  <si>
    <t>9h7m41.8s</t>
  </si>
  <si>
    <t>-23h37m10s</t>
  </si>
  <si>
    <t>extremely faint, a little extended, a little brighter middle</t>
  </si>
  <si>
    <t>eF, lE, lbM</t>
  </si>
  <si>
    <t>NGC2773</t>
  </si>
  <si>
    <t>9h9m44.1s</t>
  </si>
  <si>
    <t>+7h10m27s</t>
  </si>
  <si>
    <t>NGC2774</t>
  </si>
  <si>
    <t>9h10m39.9s</t>
  </si>
  <si>
    <t>+18h41m48s</t>
  </si>
  <si>
    <t>very faint, small, round, among 5 small (faint) stars</t>
  </si>
  <si>
    <t>vF, S, R, am 5 S st</t>
  </si>
  <si>
    <t>NGC2775</t>
  </si>
  <si>
    <t>9h10m20.1s</t>
  </si>
  <si>
    <t>+7h2m14s</t>
  </si>
  <si>
    <t>considerably bright, considerably large, round, very gradually then very suddenly much brighter middle, mottled but not resolved</t>
  </si>
  <si>
    <t>cB, cL, R, vgvsmbM, r</t>
  </si>
  <si>
    <t>NGC2776</t>
  </si>
  <si>
    <t>9h12m14.5s</t>
  </si>
  <si>
    <t>+44h57m17s</t>
  </si>
  <si>
    <t>pretty bright, large, round, very gradually brighter middle, mottled but not resolved</t>
  </si>
  <si>
    <t>pB, L, R, vgbM, r</t>
  </si>
  <si>
    <t>NGC2777</t>
  </si>
  <si>
    <t>9h10m41.8s</t>
  </si>
  <si>
    <t>+7h12m26s</t>
  </si>
  <si>
    <t>NGC2778</t>
  </si>
  <si>
    <t>9h12m24.5s</t>
  </si>
  <si>
    <t>+35h1m40s</t>
  </si>
  <si>
    <t>pretty bright, small, round, pretty suddenly much brighter middle</t>
  </si>
  <si>
    <t>pB, S, R, psmbM</t>
  </si>
  <si>
    <t>NGC2779</t>
  </si>
  <si>
    <t>9h12m28.3s</t>
  </si>
  <si>
    <t>+35h3m14s</t>
  </si>
  <si>
    <t>extremely faint, very small, 92 arcsec northeast of h 566</t>
  </si>
  <si>
    <t>eF, vS, 92" nf h 566</t>
  </si>
  <si>
    <t>NGC2780</t>
  </si>
  <si>
    <t>SB/P</t>
  </si>
  <si>
    <t>9h12m44.3s</t>
  </si>
  <si>
    <t>+34h55m32s</t>
  </si>
  <si>
    <t>very faint, small, round, small (faint) double star to west</t>
  </si>
  <si>
    <t>vF, S, R, S D * p</t>
  </si>
  <si>
    <t>NGC2781</t>
  </si>
  <si>
    <t>9h11m27.5s</t>
  </si>
  <si>
    <t>-14h49m2s</t>
  </si>
  <si>
    <t>bright, small, very little extended, pretty suddenly much brighter middle</t>
  </si>
  <si>
    <t>B, S, vlE, psmbM</t>
  </si>
  <si>
    <t>NGC2782</t>
  </si>
  <si>
    <t>9h14m5s</t>
  </si>
  <si>
    <t>+40h6m49s</t>
  </si>
  <si>
    <t>considerably bright, round, much brighter middle and bright nucleus</t>
  </si>
  <si>
    <t>cB, R, mbMBN</t>
  </si>
  <si>
    <t>NGC2783</t>
  </si>
  <si>
    <t>9h13m39.4s</t>
  </si>
  <si>
    <t>+29h59m35s</t>
  </si>
  <si>
    <t>very faint, very small, round, 2 pretty bright stars to southwest</t>
  </si>
  <si>
    <t>vF, vS, R, 2 pB st sp</t>
  </si>
  <si>
    <t>NGC2784</t>
  </si>
  <si>
    <t>9h12m19.4s</t>
  </si>
  <si>
    <t>-24h10m21s</t>
  </si>
  <si>
    <t>bright, large, much extended 64°, gradually much brighter middle</t>
  </si>
  <si>
    <t>B, L, mE 64°, gmbM</t>
  </si>
  <si>
    <t>NGC2785</t>
  </si>
  <si>
    <t>9h15m15.2s</t>
  </si>
  <si>
    <t>+40h55m5s</t>
  </si>
  <si>
    <t>extremely faint, pretty small, irregularly extended, several extremely faint stars involved</t>
  </si>
  <si>
    <t>eF, pS, iE, sev eF st inv</t>
  </si>
  <si>
    <t>NGC2786</t>
  </si>
  <si>
    <t>Sa     R</t>
  </si>
  <si>
    <t>9h13m35.5s</t>
  </si>
  <si>
    <t>+12h26m26s</t>
  </si>
  <si>
    <t>NGC2787</t>
  </si>
  <si>
    <t>9h19m18.4s</t>
  </si>
  <si>
    <t>+69h12m13s</t>
  </si>
  <si>
    <t>bright, pretty large, a little extended 90°, much brighter middle, mottled but not resolved, very small (faint) star involved to the southeast</t>
  </si>
  <si>
    <t>B, pL, lE 90°, mbM, r, vS * sf inv</t>
  </si>
  <si>
    <t>NGC2788</t>
  </si>
  <si>
    <t>9h9m3.3s</t>
  </si>
  <si>
    <t>-67h55m57s</t>
  </si>
  <si>
    <t>very faint, very small, much extended 105°</t>
  </si>
  <si>
    <t>vF, vS, mE 105°</t>
  </si>
  <si>
    <t>NGC2789</t>
  </si>
  <si>
    <t>9h14m59.7s</t>
  </si>
  <si>
    <t>+29h43m49s</t>
  </si>
  <si>
    <t>NGC2790</t>
  </si>
  <si>
    <t>9h15m2.7s</t>
  </si>
  <si>
    <t>+19h41m51s</t>
  </si>
  <si>
    <t>NGC2791</t>
  </si>
  <si>
    <t>9h15m1.9s</t>
  </si>
  <si>
    <t>+17h35m34s</t>
  </si>
  <si>
    <t>faint, round</t>
  </si>
  <si>
    <t>F, R</t>
  </si>
  <si>
    <t>NGC2792</t>
  </si>
  <si>
    <t>9h12m26.5s</t>
  </si>
  <si>
    <t>-42h25m39s</t>
  </si>
  <si>
    <t>a remarkable object, a planetary nebula, pretty bright equal to a 9th magnitude star, very small, round, among stars</t>
  </si>
  <si>
    <t>! planetary, pB = * 9, vS, R, am st</t>
  </si>
  <si>
    <t>NGC2793</t>
  </si>
  <si>
    <t>9h16m46.6s</t>
  </si>
  <si>
    <t>+34h25m56s</t>
  </si>
  <si>
    <t>very faint, small, round, double star 5 seconds of time to west, 5 arcmin to north</t>
  </si>
  <si>
    <t>vF, S, R, D * p 5s, n 5'</t>
  </si>
  <si>
    <t>NGC2794</t>
  </si>
  <si>
    <t>9h16m1.7s</t>
  </si>
  <si>
    <t>+17h35m22s</t>
  </si>
  <si>
    <t>extremely faint, very small, southwestern of 2</t>
  </si>
  <si>
    <t>eF, vS, sp of 2</t>
  </si>
  <si>
    <t>NGC2795</t>
  </si>
  <si>
    <t>9h16m3.7s</t>
  </si>
  <si>
    <t>+17h37m42s</t>
  </si>
  <si>
    <t>extremely faint, very small, northeastern of 2</t>
  </si>
  <si>
    <t>eF, vS, nf of 2</t>
  </si>
  <si>
    <t>NGC2796</t>
  </si>
  <si>
    <t>9h16m41.8s</t>
  </si>
  <si>
    <t>+30h54m58s</t>
  </si>
  <si>
    <t>NGC2797</t>
  </si>
  <si>
    <t>9h16m21.7s</t>
  </si>
  <si>
    <t>+17h43m38s</t>
  </si>
  <si>
    <t>extremely faint, several stars near</t>
  </si>
  <si>
    <t>eF, sev st nr</t>
  </si>
  <si>
    <t>NGC2798</t>
  </si>
  <si>
    <t>9h17m22.9s</t>
  </si>
  <si>
    <t>+42h0m0s</t>
  </si>
  <si>
    <t>NGC2799</t>
  </si>
  <si>
    <t>9h17m31s</t>
  </si>
  <si>
    <t>+41h59m38s</t>
  </si>
  <si>
    <t>F, cL, vmE, f II 708</t>
  </si>
  <si>
    <t>NGC2800</t>
  </si>
  <si>
    <t>9h18m35.1s</t>
  </si>
  <si>
    <t>+52h30m53s</t>
  </si>
  <si>
    <t>very faint, small, a little extended, star attached, star involved</t>
  </si>
  <si>
    <t>vF, S, lE, * att, * inv</t>
  </si>
  <si>
    <t>NGC2801</t>
  </si>
  <si>
    <t>9h16m44.2s</t>
  </si>
  <si>
    <t>+19h56m7s</t>
  </si>
  <si>
    <t>NGC2802</t>
  </si>
  <si>
    <t>9h16m41.4s</t>
  </si>
  <si>
    <t>+18h57m50s</t>
  </si>
  <si>
    <t>very faint, small, round, mottled but not resolved, northwestern of 2</t>
  </si>
  <si>
    <t>vF, S, R, r, np of 2</t>
  </si>
  <si>
    <t>NGC2803</t>
  </si>
  <si>
    <t>9h16m43.8s</t>
  </si>
  <si>
    <t>+18h57m16s</t>
  </si>
  <si>
    <t>very faint, small, round, mottled but not resolved, southeastern of 2</t>
  </si>
  <si>
    <t>vF, S, R, r, sf of 2</t>
  </si>
  <si>
    <t>NGC2804</t>
  </si>
  <si>
    <t>9h16m49.9s</t>
  </si>
  <si>
    <t>+20h11m54s</t>
  </si>
  <si>
    <t>NGC2805</t>
  </si>
  <si>
    <t>9h20m20.4s</t>
  </si>
  <si>
    <t>+64h6m10s</t>
  </si>
  <si>
    <t>very faint, large, round, much brighter middle</t>
  </si>
  <si>
    <t>vF, L, R, mbM</t>
  </si>
  <si>
    <t>NGC2806</t>
  </si>
  <si>
    <t>9h16m56.7s</t>
  </si>
  <si>
    <t>+20h4m16s</t>
  </si>
  <si>
    <t>very faint, stellar, preceding (west of) h 578</t>
  </si>
  <si>
    <t>vF, stellar, p h 578</t>
  </si>
  <si>
    <t>NGC2807</t>
  </si>
  <si>
    <t>9h17m0.7s</t>
  </si>
  <si>
    <t>+20h2m10s</t>
  </si>
  <si>
    <t>very faint, very small, h 578 is 7 seconds of time to the east and 2 arcmin to the north</t>
  </si>
  <si>
    <t>vF, vS, h 578 f 7s, n 2'</t>
  </si>
  <si>
    <t>NGC2808</t>
  </si>
  <si>
    <t>I</t>
  </si>
  <si>
    <t>9h12m2.6s</t>
  </si>
  <si>
    <t>-64h51m45s</t>
  </si>
  <si>
    <t>a remarkable object, a globular cluster, very large, extremely rich, very gradually extremely compressed middle, 45 seconds of time diameter, stars from 13th to 15th magnitude</t>
  </si>
  <si>
    <t>! globular, vL, eRi, vgeCM 45s d, st 13…15</t>
  </si>
  <si>
    <t>NGC2809</t>
  </si>
  <si>
    <t>9h17m6.9s</t>
  </si>
  <si>
    <t>+20h4m9s</t>
  </si>
  <si>
    <t>NGC2810</t>
  </si>
  <si>
    <t>9h22m4.5s</t>
  </si>
  <si>
    <t>+71h50m38s</t>
  </si>
  <si>
    <t>faint, considerably small, brighter middle</t>
  </si>
  <si>
    <t>F, cS, bM</t>
  </si>
  <si>
    <t>NGC2811</t>
  </si>
  <si>
    <t>9h16m11.2s</t>
  </si>
  <si>
    <t>-16h18m45s</t>
  </si>
  <si>
    <t>pretty bright, pretty small, extended, pretty suddenly much brighter middle</t>
  </si>
  <si>
    <t>pB, pS, E, psmbM</t>
  </si>
  <si>
    <t>NGC2812</t>
  </si>
  <si>
    <t>9h17m40.8s</t>
  </si>
  <si>
    <t>+19h55m9s</t>
  </si>
  <si>
    <t>NGC2813</t>
  </si>
  <si>
    <t>9h17m45.4s</t>
  </si>
  <si>
    <t>+19h54m25s</t>
  </si>
  <si>
    <t>NGC2814</t>
  </si>
  <si>
    <t>9h21m11.5s</t>
  </si>
  <si>
    <t>+64h15m7s</t>
  </si>
  <si>
    <t>faint, small, irregular figure, 1st of 2 (d'Arrest, not found)</t>
  </si>
  <si>
    <t>F, S, iF, 1st of 2 (d'A not found)</t>
  </si>
  <si>
    <t>NGC2815</t>
  </si>
  <si>
    <t>9h16m19.5s</t>
  </si>
  <si>
    <t>-23h38m2s</t>
  </si>
  <si>
    <t>faint, small, a little extended, gradually brighter middle</t>
  </si>
  <si>
    <t>F, S, lE, gbM</t>
  </si>
  <si>
    <t>NGC2816</t>
  </si>
  <si>
    <t>9h21m46s</t>
  </si>
  <si>
    <t>+64h15m31s</t>
  </si>
  <si>
    <t>faint, pretty much extended</t>
  </si>
  <si>
    <t>F, pmE</t>
  </si>
  <si>
    <t>NGC2817</t>
  </si>
  <si>
    <t>9h17m10.6s</t>
  </si>
  <si>
    <t>-4h45m10s</t>
  </si>
  <si>
    <t>NGC2818</t>
  </si>
  <si>
    <t>PN+OCL</t>
  </si>
  <si>
    <t>9h16m10s</t>
  </si>
  <si>
    <t>-36h37m34s</t>
  </si>
  <si>
    <t>a remarkable object, a planetary nebula, pretty bright, pretty large, round, very gradually a little brighter middle, in a large cluster</t>
  </si>
  <si>
    <t>! planetary, pB, pL, R, vglbM, in L Cl</t>
  </si>
  <si>
    <t>NGC2819</t>
  </si>
  <si>
    <t>9h18m9.4s</t>
  </si>
  <si>
    <t>+16h11m53s</t>
  </si>
  <si>
    <t>pretty bright, very small, round</t>
  </si>
  <si>
    <t>pB, vS, R</t>
  </si>
  <si>
    <t>NGC2820</t>
  </si>
  <si>
    <t>F, S, E, 2nd of 2</t>
  </si>
  <si>
    <t>NGC2821</t>
  </si>
  <si>
    <t>9h16m47.8s</t>
  </si>
  <si>
    <t>-26h49m0s</t>
  </si>
  <si>
    <t>extremely faint, 11th magnitude star attached</t>
  </si>
  <si>
    <t>eF, * 11 att</t>
  </si>
  <si>
    <t>NGC2822</t>
  </si>
  <si>
    <t>9h13m49.8s</t>
  </si>
  <si>
    <t>-69h38m39s</t>
  </si>
  <si>
    <t>pretty faint, very small, round, gradually a little brighter middle</t>
  </si>
  <si>
    <t>pF, vS, R, glbM</t>
  </si>
  <si>
    <t>NGC2823</t>
  </si>
  <si>
    <t>9h19m17.4s</t>
  </si>
  <si>
    <t>+34h0m30s</t>
  </si>
  <si>
    <t>NGC2824</t>
  </si>
  <si>
    <t>9h19m2.3s</t>
  </si>
  <si>
    <t>+26h16m13s</t>
  </si>
  <si>
    <t>a cluster, small, stars faint, very compressed</t>
  </si>
  <si>
    <t>Cl, S, st F, vC</t>
  </si>
  <si>
    <t>NGC2825</t>
  </si>
  <si>
    <t>9h19m22.4s</t>
  </si>
  <si>
    <t>+33h44m35s</t>
  </si>
  <si>
    <t>faint, pretty small, a little extended, brighter middle</t>
  </si>
  <si>
    <t>F, pS, lE, bM</t>
  </si>
  <si>
    <t>NGC2826</t>
  </si>
  <si>
    <t>9h19m24.1s</t>
  </si>
  <si>
    <t>+33h37m25s</t>
  </si>
  <si>
    <t>very faint, very small, round, h 581 is 7 arcmin to the north</t>
  </si>
  <si>
    <t>vF, vS, R, h 581 n 7'</t>
  </si>
  <si>
    <t>NGC2827</t>
  </si>
  <si>
    <t>9h19m18.9s</t>
  </si>
  <si>
    <t>+33h52m51s</t>
  </si>
  <si>
    <t>very faint, very small, round, 1st of 3</t>
  </si>
  <si>
    <t>vF, vS, R, 1st of 3</t>
  </si>
  <si>
    <t>NGC2828</t>
  </si>
  <si>
    <t>9h19m34.8s</t>
  </si>
  <si>
    <t>+33h53m19s</t>
  </si>
  <si>
    <t>very faint, very small, round, 2nd of 3</t>
  </si>
  <si>
    <t>vF, vS, R, 2nd of 3</t>
  </si>
  <si>
    <t>NGC2829</t>
  </si>
  <si>
    <t>9h19m52.3s</t>
  </si>
  <si>
    <t>+33h38m58s</t>
  </si>
  <si>
    <t>extremely faint, very small, round, northeast of 1807</t>
  </si>
  <si>
    <t>eF, vS, R, nf 1807</t>
  </si>
  <si>
    <t>NGC2830</t>
  </si>
  <si>
    <t>9h19m41.2s</t>
  </si>
  <si>
    <t>+33h44m17s</t>
  </si>
  <si>
    <t>considerably bright, considerably large, extended, 1st of 3</t>
  </si>
  <si>
    <t>cB, cL, E, 1st of 3</t>
  </si>
  <si>
    <t>NGC2831</t>
  </si>
  <si>
    <t>9h19m45.6s</t>
  </si>
  <si>
    <t>+33h44m41s</t>
  </si>
  <si>
    <t>F, S, lE, bM, 2nd of 3</t>
  </si>
  <si>
    <t>NGC2832</t>
  </si>
  <si>
    <t>9h19m46.8s</t>
  </si>
  <si>
    <t>+33h44m59s</t>
  </si>
  <si>
    <t>faint, very small, round, 3rd of 3</t>
  </si>
  <si>
    <t>F, vS, R, 3rd of 3</t>
  </si>
  <si>
    <t>NGC2833</t>
  </si>
  <si>
    <t>9h19m57.8s</t>
  </si>
  <si>
    <t>+33h55m39s</t>
  </si>
  <si>
    <t>faint, pretty small, round, 3rd of 3 in line</t>
  </si>
  <si>
    <t>F, pS, R, 3rd of 3 in line</t>
  </si>
  <si>
    <t>NGC2834</t>
  </si>
  <si>
    <t>9h20m2.5s</t>
  </si>
  <si>
    <t>+33h42m38s</t>
  </si>
  <si>
    <t>NGC2835</t>
  </si>
  <si>
    <t>9h17m52.6s</t>
  </si>
  <si>
    <t>-22h21m19s</t>
  </si>
  <si>
    <t>faint, 10th magnitude star involved on the east, between two 9th magnitude stars</t>
  </si>
  <si>
    <t>F, * 10 inv f, bet 2 st 9</t>
  </si>
  <si>
    <t>NGC2836</t>
  </si>
  <si>
    <t>9h13m45.3s</t>
  </si>
  <si>
    <t>-69h19m59s</t>
  </si>
  <si>
    <t>NGC2837</t>
  </si>
  <si>
    <t>9h18m23.4s</t>
  </si>
  <si>
    <t>-16h28m53s</t>
  </si>
  <si>
    <t>extremely faint, round, brighter middle, star 8.5 seconds of time to east</t>
  </si>
  <si>
    <t>eF, R, bM, * f 8s.5</t>
  </si>
  <si>
    <t>NGC2838</t>
  </si>
  <si>
    <t>9h20m43s</t>
  </si>
  <si>
    <t>+39h18m59s</t>
  </si>
  <si>
    <t>NGC2839</t>
  </si>
  <si>
    <t>9h20m36.3s</t>
  </si>
  <si>
    <t>+33h39m4s</t>
  </si>
  <si>
    <t>NGC2840</t>
  </si>
  <si>
    <t>9h20m52.7s</t>
  </si>
  <si>
    <t>+35h22m6s</t>
  </si>
  <si>
    <t>considerably faint, small, round, 10th magnitude star 2 arcmin to northwest</t>
  </si>
  <si>
    <t>cF, S, R, * 10 np 2'</t>
  </si>
  <si>
    <t>NGC2841</t>
  </si>
  <si>
    <t>虎眼星系</t>
  </si>
  <si>
    <t>9h22m2.3s</t>
  </si>
  <si>
    <t>+50h58m35s</t>
  </si>
  <si>
    <t>very bright, large, very much extended 151°, very suddenly much brighter middle equal to 10th magnitude star</t>
  </si>
  <si>
    <t>vB, L, vmE 151°, vsmbM = * 10</t>
  </si>
  <si>
    <t>NGC2842</t>
  </si>
  <si>
    <t>9h15m36.4s</t>
  </si>
  <si>
    <t>-63h4m10s</t>
  </si>
  <si>
    <t>faint, very small, between 2 stars</t>
  </si>
  <si>
    <t>F, vS, bet 2 st</t>
  </si>
  <si>
    <t>NGC2843</t>
  </si>
  <si>
    <t>9h20m28.7s</t>
  </si>
  <si>
    <t>+18h55m34s</t>
  </si>
  <si>
    <t>a small (faint) star and nebula</t>
  </si>
  <si>
    <t>S * and neb</t>
  </si>
  <si>
    <t>NGC2844</t>
  </si>
  <si>
    <t>9h21m48s</t>
  </si>
  <si>
    <t>+40h9m7s</t>
  </si>
  <si>
    <t>considerably faint, considerably small</t>
  </si>
  <si>
    <t>cF, cS</t>
  </si>
  <si>
    <t>NGC2845</t>
  </si>
  <si>
    <t>9h18m36.9s</t>
  </si>
  <si>
    <t>-38h0m35s</t>
  </si>
  <si>
    <t>very faint, small, round, 12th magnitude star attached on southeast</t>
  </si>
  <si>
    <t>vF, S, R, * 12 att sf</t>
  </si>
  <si>
    <t>NGC2846</t>
  </si>
  <si>
    <t>9h19m40.4s</t>
  </si>
  <si>
    <t>-14h40m32s</t>
  </si>
  <si>
    <t>a very small cluster (nebulous?), 10th magnitude star 4 arcmin to southeast</t>
  </si>
  <si>
    <t>vS Cl (neb?), * 10 sf 4'</t>
  </si>
  <si>
    <t>NGC2847</t>
  </si>
  <si>
    <t>9h20m8.6s</t>
  </si>
  <si>
    <t>-16h31m2s</t>
  </si>
  <si>
    <t>very faint, small, involved in h 587, on the northwest</t>
  </si>
  <si>
    <t>vF, S, inv in h 587, np</t>
  </si>
  <si>
    <t>NGC2848</t>
  </si>
  <si>
    <t>9h20m9.8s</t>
  </si>
  <si>
    <t>-16h31m32s</t>
  </si>
  <si>
    <t>very faint, considerably large, extended 45°, gradually a little brighter middle, 11th magnitude star 3 arcmin to northeast</t>
  </si>
  <si>
    <t>vF, cL, E 45°, glbM, * 11 nf 3'</t>
  </si>
  <si>
    <t>NGC2849</t>
  </si>
  <si>
    <t>9h19m22.8s</t>
  </si>
  <si>
    <t>-40h31m13s</t>
  </si>
  <si>
    <t>extremely faint, considerably large, round, very gradually a little brighter middle, partially resolved (some stars seen)</t>
  </si>
  <si>
    <t>eF, cL, R, vglbM, rr</t>
  </si>
  <si>
    <t>NGC2850</t>
  </si>
  <si>
    <t>9h20m56.9s</t>
  </si>
  <si>
    <t>-4h56m22s</t>
  </si>
  <si>
    <t>NGC2851</t>
  </si>
  <si>
    <t>9h20m30.3s</t>
  </si>
  <si>
    <t>-16h29m43s</t>
  </si>
  <si>
    <t>extremely faint, pretty small, much extended, following (east of) III 488</t>
  </si>
  <si>
    <t>eF, pS, mE, f III 488</t>
  </si>
  <si>
    <t>NGC2852</t>
  </si>
  <si>
    <t>9h23m14.5s</t>
  </si>
  <si>
    <t>+40h9m52s</t>
  </si>
  <si>
    <t>very faint, considerably small, round, 10th magnitude star 2 arcmin preceding (to west), 1st of 2</t>
  </si>
  <si>
    <t>vF, cS, R, * 10 p 2', 1st of 2</t>
  </si>
  <si>
    <t>NGC2853</t>
  </si>
  <si>
    <t>9h23m17.4s</t>
  </si>
  <si>
    <t>+40h12m1s</t>
  </si>
  <si>
    <t>very faint, small, very gradually brighter middle, 2nd of 2</t>
  </si>
  <si>
    <t>vF, S, vgbM, 2nd of 2</t>
  </si>
  <si>
    <t>NGC2854</t>
  </si>
  <si>
    <t>9h24m2.9s</t>
  </si>
  <si>
    <t>+49h12m14s</t>
  </si>
  <si>
    <t>considerably faint, considerably small, very little extended, pretty gradually a little brighter middle</t>
  </si>
  <si>
    <t>cF, cS, vlE, pglbM</t>
  </si>
  <si>
    <t>NGC2855</t>
  </si>
  <si>
    <t>9h21m27.5s</t>
  </si>
  <si>
    <t>-11h54m37s</t>
  </si>
  <si>
    <t>pretty bright, pretty large, round, gradually much brighter middle and nucleus</t>
  </si>
  <si>
    <t>pB, pL, R, gmbMN</t>
  </si>
  <si>
    <t>NGC2856</t>
  </si>
  <si>
    <t>9h24m16.2s</t>
  </si>
  <si>
    <t>+49h14m57s</t>
  </si>
  <si>
    <t>considerably faint, considerably small, a little extended, brighter middle</t>
  </si>
  <si>
    <t>cF, cS, lE, bM</t>
  </si>
  <si>
    <t>NGC2857</t>
  </si>
  <si>
    <t>9h24m37.7s</t>
  </si>
  <si>
    <t>+49h21m26s</t>
  </si>
  <si>
    <t>very faint, pretty large, 4 stars preceding (to the west)</t>
  </si>
  <si>
    <t>vF, pL, 4 st p</t>
  </si>
  <si>
    <t>NGC2858</t>
  </si>
  <si>
    <t>9h22m54.9s</t>
  </si>
  <si>
    <t>+3h9m27s</t>
  </si>
  <si>
    <t>very faint, small, much brighter middle</t>
  </si>
  <si>
    <t>vF, S, mbM</t>
  </si>
  <si>
    <t>NGC2859</t>
  </si>
  <si>
    <t>小狮座</t>
  </si>
  <si>
    <t>LMI</t>
  </si>
  <si>
    <t>9h24m18.6s</t>
  </si>
  <si>
    <t>+34h30m48s</t>
  </si>
  <si>
    <t>very bright, pretty large, round, suddenly much brighter middle</t>
  </si>
  <si>
    <t>vB, pL, R, smbM</t>
  </si>
  <si>
    <t>NGC2860</t>
  </si>
  <si>
    <t>9h24m53.2s</t>
  </si>
  <si>
    <t>+41h3m36s</t>
  </si>
  <si>
    <t>NGC2861</t>
  </si>
  <si>
    <t>9h23m36.5s</t>
  </si>
  <si>
    <t>+2h8m10s</t>
  </si>
  <si>
    <t>pretty faint, small, irregularly round, 14th magnitude star following (to the east)</t>
  </si>
  <si>
    <t>pF, S, iR, * 14 f</t>
  </si>
  <si>
    <t>NGC2862</t>
  </si>
  <si>
    <t>狮子座</t>
  </si>
  <si>
    <t>LEO</t>
  </si>
  <si>
    <t>9h24m55s</t>
  </si>
  <si>
    <t>+26h46m31s</t>
  </si>
  <si>
    <t>faint, small, extended, brighter middle</t>
  </si>
  <si>
    <t>F, S, E, bM</t>
  </si>
  <si>
    <t>NGC2863</t>
  </si>
  <si>
    <t>-10h25m59s</t>
  </si>
  <si>
    <t>considerably faint, small, extended, between 2 stars of 12th and 16th magnitude</t>
  </si>
  <si>
    <t>cF, S, E, bet 2 st 12, 16</t>
  </si>
  <si>
    <t>NGC2864</t>
  </si>
  <si>
    <t>9h24m15.4s</t>
  </si>
  <si>
    <t>+5h56m24s</t>
  </si>
  <si>
    <t>very faint, pretty large, a little extended</t>
  </si>
  <si>
    <t>vF, pL, lE</t>
  </si>
  <si>
    <t>NGC2865</t>
  </si>
  <si>
    <t>9h23m30.2s</t>
  </si>
  <si>
    <t>-23h9m41s</t>
  </si>
  <si>
    <t>NGC2866</t>
  </si>
  <si>
    <t>9h22m6.5s</t>
  </si>
  <si>
    <t>-51h6m8s</t>
  </si>
  <si>
    <t>NGC2867</t>
  </si>
  <si>
    <t>9h21m25.4s</t>
  </si>
  <si>
    <t>-58h18m40s</t>
  </si>
  <si>
    <t>, while the GC reads 59°·13, 13</t>
  </si>
  <si>
    <t>!! planetary = * 8, vS, R, * 15, 59° 13"</t>
  </si>
  <si>
    <t>NGC2868</t>
  </si>
  <si>
    <t>9h23m27.2s</t>
  </si>
  <si>
    <t>-10h25m44s</t>
  </si>
  <si>
    <t>extremely faint, small, round, 10 seconds of time preceding (to the west of) next, (?RA 09h 22m)</t>
  </si>
  <si>
    <t>eF, S, R, 10s p next (?RA 9h 22m)</t>
  </si>
  <si>
    <t>NGC2869</t>
  </si>
  <si>
    <t>eF, pS, E 170°, gbM, bet 2 F st</t>
  </si>
  <si>
    <t>NGC2870</t>
  </si>
  <si>
    <t>9h27m53.7s</t>
  </si>
  <si>
    <t>+57h22m33s</t>
  </si>
  <si>
    <t>considerably faint, small, extended, very gradually a little brighter middle</t>
  </si>
  <si>
    <t>cF, S, E, vglbM</t>
  </si>
  <si>
    <t>NGC2871</t>
  </si>
  <si>
    <t>9h25m39.4s</t>
  </si>
  <si>
    <t>+11h26m38s</t>
  </si>
  <si>
    <t>extremely faint, h 597 an arcmin to southeast</t>
  </si>
  <si>
    <t>eF, h 597 sf 1'</t>
  </si>
  <si>
    <t>NGC2872</t>
  </si>
  <si>
    <t>9h25m42.9s</t>
  </si>
  <si>
    <t>+11h25m58s</t>
  </si>
  <si>
    <t>NGC2873</t>
  </si>
  <si>
    <t>9h25m48.5s</t>
  </si>
  <si>
    <t>+11h27m17s</t>
  </si>
  <si>
    <t>very faint, very small, round, north of extended nebula</t>
  </si>
  <si>
    <t>vF, vS, R, n of E neb</t>
  </si>
  <si>
    <t>NGC2874</t>
  </si>
  <si>
    <t>9h25m47.8s</t>
  </si>
  <si>
    <t>+11h25m33s</t>
  </si>
  <si>
    <t>vF, pL, mE</t>
  </si>
  <si>
    <t>NGC2875</t>
  </si>
  <si>
    <t>9h25m48.7s</t>
  </si>
  <si>
    <t>+11h25m56s</t>
  </si>
  <si>
    <t>extremely faint, northeast of h 598</t>
  </si>
  <si>
    <t>eF, nf h 598</t>
  </si>
  <si>
    <t>NGC2876</t>
  </si>
  <si>
    <t>9h25m13.8s</t>
  </si>
  <si>
    <t>-6h43m0s</t>
  </si>
  <si>
    <t>faint, small, several very faint stars involved</t>
  </si>
  <si>
    <t>F, S, sev vF st inv</t>
  </si>
  <si>
    <t>NGC2877</t>
  </si>
  <si>
    <t>9h25m47.1s</t>
  </si>
  <si>
    <t>+2h13m43s</t>
  </si>
  <si>
    <t>NGC2878</t>
  </si>
  <si>
    <t>9h25m47.4s</t>
  </si>
  <si>
    <t>+2h5m24s</t>
  </si>
  <si>
    <t>NGC2879</t>
  </si>
  <si>
    <t>9h25m22.6s</t>
  </si>
  <si>
    <t>-11h39m8s</t>
  </si>
  <si>
    <t>NGC2880</t>
  </si>
  <si>
    <t>9h29m34.6s</t>
  </si>
  <si>
    <t>+62h29m28s</t>
  </si>
  <si>
    <t>bright, considerably small, round, much brighter middle, among stars</t>
  </si>
  <si>
    <t>B, cS, R, mbM, am st</t>
  </si>
  <si>
    <t>NGC2881</t>
  </si>
  <si>
    <t>9h25m54.7s</t>
  </si>
  <si>
    <t>-11h59m44s</t>
  </si>
  <si>
    <t>extremely faint, pretty small, 2 stars 4 arcmin following (to the east)</t>
  </si>
  <si>
    <t>eF, pS, 2 st 4' f</t>
  </si>
  <si>
    <t>NGC2882</t>
  </si>
  <si>
    <t>9h26m35.9s</t>
  </si>
  <si>
    <t>+7h57m15s</t>
  </si>
  <si>
    <t>faint, pretty large, extended</t>
  </si>
  <si>
    <t>F, pL, E</t>
  </si>
  <si>
    <t>NGC2883</t>
  </si>
  <si>
    <t>9h25m18.4s</t>
  </si>
  <si>
    <t>-34h6m8s</t>
  </si>
  <si>
    <t>very faint, small, very gradually a little brighter middle, well resolved, clearly consisting of stars, stars of 15th magnitude</t>
  </si>
  <si>
    <t>vF, S, vglbM, rrr, st 15</t>
  </si>
  <si>
    <t>NGC2884</t>
  </si>
  <si>
    <t>9h26m24.5s</t>
  </si>
  <si>
    <t>-11h33m20s</t>
  </si>
  <si>
    <t>faint, small, mottled but not resolved?</t>
  </si>
  <si>
    <t>F, S, r?</t>
  </si>
  <si>
    <t>NGC2885</t>
  </si>
  <si>
    <t>9h27m18.4s</t>
  </si>
  <si>
    <t>+23h1m12s</t>
  </si>
  <si>
    <t>extremely faint, very small, extended 90°</t>
  </si>
  <si>
    <t>eF, vS, E 90°</t>
  </si>
  <si>
    <t>NGC2886</t>
  </si>
  <si>
    <t>9h26m38.7s</t>
  </si>
  <si>
    <t>-21h44m18s</t>
  </si>
  <si>
    <t>most extremely faint, pretty large</t>
  </si>
  <si>
    <t>eeF, pL</t>
  </si>
  <si>
    <t>NGC2887</t>
  </si>
  <si>
    <t>9h23m24.3s</t>
  </si>
  <si>
    <t>-63h48m44s</t>
  </si>
  <si>
    <t>faint, small, round, pretty much brighter middle, bright star near</t>
  </si>
  <si>
    <t>F, S, R, pmbM, B * nr</t>
  </si>
  <si>
    <t>NGC2888</t>
  </si>
  <si>
    <t>9h26m19.6s</t>
  </si>
  <si>
    <t>-28h2m10s</t>
  </si>
  <si>
    <t>considerably faint, small, round, gradually much brighter middle</t>
  </si>
  <si>
    <t>cF, S, R, gmbM</t>
  </si>
  <si>
    <t>NGC2889</t>
  </si>
  <si>
    <t>9h27m12.5s</t>
  </si>
  <si>
    <t>-11h38m36s</t>
  </si>
  <si>
    <t>pretty faint, pretty small, very little extended, very gradually a little brighter middle, mottled but not resolved</t>
  </si>
  <si>
    <t>pF, pS, vlE, vglbM, r</t>
  </si>
  <si>
    <t>NGC2890</t>
  </si>
  <si>
    <t>9h26m29.8s</t>
  </si>
  <si>
    <t>NGC2891</t>
  </si>
  <si>
    <t>9h26m56.6s</t>
  </si>
  <si>
    <t>-24h46m58s</t>
  </si>
  <si>
    <t>NGC2892</t>
  </si>
  <si>
    <t>9h32m52.8s</t>
  </si>
  <si>
    <t>+67h37m3s</t>
  </si>
  <si>
    <t>pretty faint, pretty small, round, a little brighter middle</t>
  </si>
  <si>
    <t>NGC2893</t>
  </si>
  <si>
    <t>9h30m16.9s</t>
  </si>
  <si>
    <t>+29h32m25s</t>
  </si>
  <si>
    <t>very faint, small, round, very suddenly brighter middle equal to 12th magnitude star</t>
  </si>
  <si>
    <t>vF, S, R, vsbM * 12</t>
  </si>
  <si>
    <t>NGC2894</t>
  </si>
  <si>
    <t>9h29m30.2s</t>
  </si>
  <si>
    <t>+7h43m6s</t>
  </si>
  <si>
    <t>very faint, extended, extremely mottled but not resolved, 2 or 3 stars involved</t>
  </si>
  <si>
    <t>vF, E, er, 2 or 3 st inv</t>
  </si>
  <si>
    <t>NGC2895</t>
  </si>
  <si>
    <t>9h32m24.8s</t>
  </si>
  <si>
    <t>+57h28m59s</t>
  </si>
  <si>
    <t>very faint, very small, round, very gradually brighter middle, double star 7 arcmin to south</t>
  </si>
  <si>
    <t>vF, vS, R, vgbM, D * 7' s</t>
  </si>
  <si>
    <t>NGC2896</t>
  </si>
  <si>
    <t>+23h39m49s</t>
  </si>
  <si>
    <t>faint, very small, round, 17th magnitude star attached</t>
  </si>
  <si>
    <t>F, vS, R, * 17 att</t>
  </si>
  <si>
    <t>NGC2897</t>
  </si>
  <si>
    <t>9h29m45.7s</t>
  </si>
  <si>
    <t>+2h12m27s</t>
  </si>
  <si>
    <t>NGC2898</t>
  </si>
  <si>
    <t>9h29m46.3s</t>
  </si>
  <si>
    <t>+2h3m54s</t>
  </si>
  <si>
    <t>NGC2899</t>
  </si>
  <si>
    <t>9h27m3s</t>
  </si>
  <si>
    <t>-56h6m20s</t>
  </si>
  <si>
    <t>faint, pretty large, round, gradually much brighter middle, among 80 stars</t>
  </si>
  <si>
    <t>F, pL, R, gmbM, am 80 st</t>
  </si>
  <si>
    <t>NGC2900</t>
  </si>
  <si>
    <t>9h30m15s</t>
  </si>
  <si>
    <t>+4h8m37s</t>
  </si>
  <si>
    <t>most extremely faint, pretty large, round</t>
  </si>
  <si>
    <t>eeF, pL, R</t>
  </si>
  <si>
    <t>NGC2901</t>
  </si>
  <si>
    <t>9h32m36s</t>
  </si>
  <si>
    <t>+31h6m0s</t>
  </si>
  <si>
    <t>NGC2902</t>
  </si>
  <si>
    <t>9h30m53.1s</t>
  </si>
  <si>
    <t>-14h44m8s</t>
  </si>
  <si>
    <t>NGC2903</t>
  </si>
  <si>
    <t>9h32m9.7s</t>
  </si>
  <si>
    <t>+21h29m57s</t>
  </si>
  <si>
    <t>considerably bright, very large, extended, gradually much brighter middle, mottled but not resolved, southwestern of 2</t>
  </si>
  <si>
    <t>cB, vL, E, gmbM, r, sp of 2</t>
  </si>
  <si>
    <t>NGC2904</t>
  </si>
  <si>
    <t>唧筒座</t>
  </si>
  <si>
    <t>ANT</t>
  </si>
  <si>
    <t>-30h23m6s</t>
  </si>
  <si>
    <t>faint, small, a little extended, pretty suddenly brighter middle</t>
  </si>
  <si>
    <t>F, S, lE, psbM</t>
  </si>
  <si>
    <t>NGC2905</t>
  </si>
  <si>
    <t>9h32m11.8s</t>
  </si>
  <si>
    <t>+21h31m7s</t>
  </si>
  <si>
    <t>very faint, considerably large, round, pretty suddenly brighter middle, mottled but not resolved, northeastern of 2</t>
  </si>
  <si>
    <t>vF, cL, R, psbM, r, nf of 2</t>
  </si>
  <si>
    <t>NGC2906</t>
  </si>
  <si>
    <t>9h32m6.2s</t>
  </si>
  <si>
    <t>+8h26m32s</t>
  </si>
  <si>
    <t>faint, pretty small, a little extended, gradually brighter middle</t>
  </si>
  <si>
    <t>F, pS, lE, gbM</t>
  </si>
  <si>
    <t>NGC2907</t>
  </si>
  <si>
    <t>9h31m36.6s</t>
  </si>
  <si>
    <t>-16h44m1s</t>
  </si>
  <si>
    <t>pretty faint, small, a little extended, much brighter to southeast</t>
  </si>
  <si>
    <t>pF, S, lE, mb sf</t>
  </si>
  <si>
    <t>NGC2908</t>
  </si>
  <si>
    <t>天龙座</t>
  </si>
  <si>
    <t>DRA</t>
  </si>
  <si>
    <t>9h43m31.2s</t>
  </si>
  <si>
    <t>+79h42m5s</t>
  </si>
  <si>
    <t>NGC2909</t>
  </si>
  <si>
    <t>9h36m59.8s</t>
  </si>
  <si>
    <t>+65h56m28s</t>
  </si>
  <si>
    <t>extremely faint, small, pretty suddenly brighter middle</t>
  </si>
  <si>
    <t>eF, S, psbM</t>
  </si>
  <si>
    <t>NGC2910</t>
  </si>
  <si>
    <t>9h30m29s</t>
  </si>
  <si>
    <t>-52h54m50s</t>
  </si>
  <si>
    <t>a cluster, considerably large, pretty rich, pretty compressed, stars from 10th to 14th magnitude</t>
  </si>
  <si>
    <t>Cl, cL, pRi, pC, st 10…14</t>
  </si>
  <si>
    <t>NGC2911</t>
  </si>
  <si>
    <t>9h33m46.5s</t>
  </si>
  <si>
    <t>+10h9m10s</t>
  </si>
  <si>
    <t>faint, pretty large, round, gradually brighter middle, western of 2</t>
  </si>
  <si>
    <t>F, pL, R, gbM, p of 2</t>
  </si>
  <si>
    <t>NGC2912</t>
  </si>
  <si>
    <t>9h33m56.9s</t>
  </si>
  <si>
    <t>+10h11m33s</t>
  </si>
  <si>
    <t>extremely faint, h608 to the southwest</t>
  </si>
  <si>
    <t>eF, h 608 sp</t>
  </si>
  <si>
    <t>NGC2913</t>
  </si>
  <si>
    <t>9h34m2.7s</t>
  </si>
  <si>
    <t>+9h28m42s</t>
  </si>
  <si>
    <t>very faint, pretty large, irregularly round</t>
  </si>
  <si>
    <t>vF, pL, iR</t>
  </si>
  <si>
    <t>NGC2914</t>
  </si>
  <si>
    <t>+10h6m33s</t>
  </si>
  <si>
    <t>very faint, small, round, brighter middle and nucleus, eastern of 2</t>
  </si>
  <si>
    <t>vF, S, R, bMN, f of 2</t>
  </si>
  <si>
    <t>NGC2915</t>
  </si>
  <si>
    <t>堰蜓座</t>
  </si>
  <si>
    <t>CHA</t>
  </si>
  <si>
    <t>9h26m13.6s</t>
  </si>
  <si>
    <t>-76h37m36s</t>
  </si>
  <si>
    <t>NGC2916</t>
  </si>
  <si>
    <t>9h34m57.5s</t>
  </si>
  <si>
    <t>+21h42m16s</t>
  </si>
  <si>
    <t>faint, small, very little extended</t>
  </si>
  <si>
    <t>F, S, vlE</t>
  </si>
  <si>
    <t>NGC2917</t>
  </si>
  <si>
    <t>9h34m27s</t>
  </si>
  <si>
    <t>-2h30m14s</t>
  </si>
  <si>
    <t>pretty faint, small, much brighter middle</t>
  </si>
  <si>
    <t>pF, S, mbM</t>
  </si>
  <si>
    <t>NGC2918</t>
  </si>
  <si>
    <t>9h35m44s</t>
  </si>
  <si>
    <t>+31h42m19s</t>
  </si>
  <si>
    <t>very faint, considerably small, round, suddenly brighter middle and nucleus</t>
  </si>
  <si>
    <t>vF, cS, R, sbMN</t>
  </si>
  <si>
    <t>NGC2919</t>
  </si>
  <si>
    <t>9h34m47.6s</t>
  </si>
  <si>
    <t>+10h17m2s</t>
  </si>
  <si>
    <t>NGC2920</t>
  </si>
  <si>
    <t>9h34m12s</t>
  </si>
  <si>
    <t>-20h51m33s</t>
  </si>
  <si>
    <t>extremely faint, small, round, western of 2</t>
  </si>
  <si>
    <t>NGC2921</t>
  </si>
  <si>
    <t>9h34m31.1s</t>
  </si>
  <si>
    <t>-20h55m11s</t>
  </si>
  <si>
    <t>very faint, pretty small, a little extended, very gradually a little brighter middle, eastern of 2</t>
  </si>
  <si>
    <t>vF, pS, lE, vglbM, f of 2</t>
  </si>
  <si>
    <t>NGC2922</t>
  </si>
  <si>
    <t>9h36m52.6s</t>
  </si>
  <si>
    <t>+37h41m41s</t>
  </si>
  <si>
    <t>NGC2923</t>
  </si>
  <si>
    <t>9h36m3.8s</t>
  </si>
  <si>
    <t>+16h45m39s</t>
  </si>
  <si>
    <t>NGC2924</t>
  </si>
  <si>
    <t>9h35m10.9s</t>
  </si>
  <si>
    <t>-16h23m53s</t>
  </si>
  <si>
    <t>pretty bright, small, round</t>
  </si>
  <si>
    <t>pB, S, R</t>
  </si>
  <si>
    <t>NGC2925</t>
  </si>
  <si>
    <t>9h33m10.9s</t>
  </si>
  <si>
    <t>-53h23m45s</t>
  </si>
  <si>
    <t>a cluster, pretty rich, pretty compressed, double star taken</t>
  </si>
  <si>
    <t>Cl, pRi, pC, D * taken</t>
  </si>
  <si>
    <t>NGC2926</t>
  </si>
  <si>
    <t>9h37m31s</t>
  </si>
  <si>
    <t>+32h50m30s</t>
  </si>
  <si>
    <t>NGC2927</t>
  </si>
  <si>
    <t>9h37m15.1s</t>
  </si>
  <si>
    <t>+23h35m25s</t>
  </si>
  <si>
    <t>NGC2928</t>
  </si>
  <si>
    <t>9h37m10.1s</t>
  </si>
  <si>
    <t>+16h58m39s</t>
  </si>
  <si>
    <t>NGC2929</t>
  </si>
  <si>
    <t>9h37m29.7s</t>
  </si>
  <si>
    <t>+23h9m40s</t>
  </si>
  <si>
    <t>extremely faint, very small, a little extended, very little brighter middle, 1st of 3</t>
  </si>
  <si>
    <t>eF, vS, lE, vlbM, 1st of 3</t>
  </si>
  <si>
    <t>NGC2930</t>
  </si>
  <si>
    <t>9h37m32.6s</t>
  </si>
  <si>
    <t>+23h12m13s</t>
  </si>
  <si>
    <t>extremely faint, small, 2nd of 3</t>
  </si>
  <si>
    <t>eF, S, 2nd of 3</t>
  </si>
  <si>
    <t>NGC2931</t>
  </si>
  <si>
    <t>9h37m37.6s</t>
  </si>
  <si>
    <t>+23h14m26s</t>
  </si>
  <si>
    <t>extremely faint, very small, 3rd of 3</t>
  </si>
  <si>
    <t>NGC2932</t>
  </si>
  <si>
    <t>9h35m54s</t>
  </si>
  <si>
    <t>-46h55m0s</t>
  </si>
  <si>
    <t>a cluster, extremely large, very rich, stars large and small (meaning bright and faint)</t>
  </si>
  <si>
    <t>Cl, eL, vRi, st L and S</t>
  </si>
  <si>
    <t>NGC2933</t>
  </si>
  <si>
    <t>9h37m55s</t>
  </si>
  <si>
    <t>+17h0m53s</t>
  </si>
  <si>
    <t>faint, very small, a little extended, southwestern of 2</t>
  </si>
  <si>
    <t>F, vS, lE, sp of 2</t>
  </si>
  <si>
    <t>NGC2934</t>
  </si>
  <si>
    <t>9h37m55.1s</t>
  </si>
  <si>
    <t>+17h3m18s</t>
  </si>
  <si>
    <t>extremely faint, northeastern of 2</t>
  </si>
  <si>
    <t>eF, nf of 2</t>
  </si>
  <si>
    <t>NGC2935</t>
  </si>
  <si>
    <t>9h36m44.6s</t>
  </si>
  <si>
    <t>-21h7m40s</t>
  </si>
  <si>
    <t>pretty bright, pretty small, very little extended, gradually much brighter middle</t>
  </si>
  <si>
    <t>pB, pS, vlE, gmbM</t>
  </si>
  <si>
    <t>NGC2936</t>
  </si>
  <si>
    <t>企鹅星系</t>
  </si>
  <si>
    <t>9h37m44.4s</t>
  </si>
  <si>
    <t>+2h45m38s</t>
  </si>
  <si>
    <t>very faint, irregularly round</t>
  </si>
  <si>
    <t>vF, iR</t>
  </si>
  <si>
    <t>NGC2937</t>
  </si>
  <si>
    <t>蛋星系</t>
  </si>
  <si>
    <t>9h37m45.1s</t>
  </si>
  <si>
    <t>+2h44m53s</t>
  </si>
  <si>
    <t>F, S, like a neb *</t>
  </si>
  <si>
    <t>NGC2938</t>
  </si>
  <si>
    <t>9h38m24.7s</t>
  </si>
  <si>
    <t>+76h19m9s</t>
  </si>
  <si>
    <t>extremely faint, small, irregular figure, double star 3 arcmin to east</t>
  </si>
  <si>
    <t>eF, S, iF, D * f 3'</t>
  </si>
  <si>
    <t>NGC2939</t>
  </si>
  <si>
    <t>9h38m7.9s</t>
  </si>
  <si>
    <t>+9h31m25s</t>
  </si>
  <si>
    <t>very faint, small, very little extended, brighter middle, triangle of stars to northeast</t>
  </si>
  <si>
    <t>vF, S, vlE, bM, Δ st nf</t>
  </si>
  <si>
    <t>NGC2940</t>
  </si>
  <si>
    <t>9h38m5.1s</t>
  </si>
  <si>
    <t>+9h37m2s</t>
  </si>
  <si>
    <t>very faint, small, 5 arcmin north of h614</t>
  </si>
  <si>
    <t>vF, S, 5' n of h 614</t>
  </si>
  <si>
    <t>NGC2941</t>
  </si>
  <si>
    <t>9h38m24.3s</t>
  </si>
  <si>
    <t>+17h2m40s</t>
  </si>
  <si>
    <t>extremely faint, very small, a little extended, western of 2</t>
  </si>
  <si>
    <t>eF, vS, lE, p of 2</t>
  </si>
  <si>
    <t>NGC2942</t>
  </si>
  <si>
    <t>9h39m8s</t>
  </si>
  <si>
    <t>+34h0m22s</t>
  </si>
  <si>
    <t>faint, pretty large, very little extended 0°, very gradually a little brighter middle</t>
  </si>
  <si>
    <t>F, pL, vlE 0°, vglbM</t>
  </si>
  <si>
    <t>NGC2943</t>
  </si>
  <si>
    <t>9h38m32.9s</t>
  </si>
  <si>
    <t>+17h1m52s</t>
  </si>
  <si>
    <t>faint, small, irregularly round, brighter middle, eastern of 2</t>
  </si>
  <si>
    <t>F, S, iR, bM, f of 2</t>
  </si>
  <si>
    <t>NGC2944</t>
  </si>
  <si>
    <t>9h39m18s</t>
  </si>
  <si>
    <t>faint, very small, a little brighter middle</t>
  </si>
  <si>
    <t>F, vS, lbM</t>
  </si>
  <si>
    <t>NGC2945</t>
  </si>
  <si>
    <t>9h37m41s</t>
  </si>
  <si>
    <t>-22h2m4s</t>
  </si>
  <si>
    <t>faint, small, round, gradually a little brighter middle, 2 or 3 small (faint) stars near</t>
  </si>
  <si>
    <t>F, S, R, glbM, 2 or 3 S st nr</t>
  </si>
  <si>
    <t>NGC2946</t>
  </si>
  <si>
    <t>9h39m1.6s</t>
  </si>
  <si>
    <t>+17h1m32s</t>
  </si>
  <si>
    <t>NGC2947</t>
  </si>
  <si>
    <t>9h36m5.8s</t>
  </si>
  <si>
    <t>-12h26m12s</t>
  </si>
  <si>
    <t>extremely faint, pretty large, irregularly round, gradually brighter middle</t>
  </si>
  <si>
    <t>eF, pL, iR, gbM</t>
  </si>
  <si>
    <t>NGC2948</t>
  </si>
  <si>
    <t>9h38m59.2s</t>
  </si>
  <si>
    <t>+6h57m21s</t>
  </si>
  <si>
    <t>very faint, pretty large, very gradually brighter middle</t>
  </si>
  <si>
    <t>vF, pL, vgbM</t>
  </si>
  <si>
    <t>NGC2949</t>
  </si>
  <si>
    <t>9h39m55.1s</t>
  </si>
  <si>
    <t>+16h47m4s</t>
  </si>
  <si>
    <t>very faint, double?</t>
  </si>
  <si>
    <t>vF, double?</t>
  </si>
  <si>
    <t>NGC2950</t>
  </si>
  <si>
    <t>9h42m34.8s</t>
  </si>
  <si>
    <t>+58h51m5s</t>
  </si>
  <si>
    <t>bright, pretty small, round, very gradually very much brighter middle and nucleus</t>
  </si>
  <si>
    <t>B, pS, R, vgvmbMN</t>
  </si>
  <si>
    <t>NGC2951</t>
  </si>
  <si>
    <t>9h39m40.8s</t>
  </si>
  <si>
    <t>-0h14m4s</t>
  </si>
  <si>
    <t>NGC2952</t>
  </si>
  <si>
    <t>9h37m37.1s</t>
  </si>
  <si>
    <t>-10h11m4s</t>
  </si>
  <si>
    <t>extremely faint, pretty small, irregularly round, suddenly brighter middle, 9.5 magnitude star 30 seconds of time to the east</t>
  </si>
  <si>
    <t>eF, pS, iR, sbM, * 9.5 f 30s</t>
  </si>
  <si>
    <t>NGC2953</t>
  </si>
  <si>
    <t>9h40m27.7s</t>
  </si>
  <si>
    <t>+14h50m37s</t>
  </si>
  <si>
    <t>most extremely faint, suspected</t>
  </si>
  <si>
    <t>eeF, suspected</t>
  </si>
  <si>
    <t>NGC2954</t>
  </si>
  <si>
    <t>9h40m24s</t>
  </si>
  <si>
    <t>+14h55m21s</t>
  </si>
  <si>
    <t>very faint, small, round, northern of 2</t>
  </si>
  <si>
    <t>vF, S, R, n of 2</t>
  </si>
  <si>
    <t>NGC2955</t>
  </si>
  <si>
    <t>9h41m16.4s</t>
  </si>
  <si>
    <t>+35h52m58s</t>
  </si>
  <si>
    <t>considerably faint, pretty small, irregularly round, gradually a little brighter middle, mottled but not resolved</t>
  </si>
  <si>
    <t>cF, pS, iR, glbM, r</t>
  </si>
  <si>
    <t>NGC2956</t>
  </si>
  <si>
    <t>9h39m16.9s</t>
  </si>
  <si>
    <t>-19h6m4s</t>
  </si>
  <si>
    <t>very faint, very small, round, 9.5 magnitude star 4 arcmin to southeast</t>
  </si>
  <si>
    <t>vF, vS, R, * 9.5 sf 4'</t>
  </si>
  <si>
    <t>NGC2957</t>
  </si>
  <si>
    <t>9h47m17.9s</t>
  </si>
  <si>
    <t>+72h59m2s</t>
  </si>
  <si>
    <t>extremely faint, 13th magnitude star near</t>
  </si>
  <si>
    <t>eF, * 13 nr</t>
  </si>
  <si>
    <t>NGC2958</t>
  </si>
  <si>
    <t>9h40m41.6s</t>
  </si>
  <si>
    <t>+11h53m19s</t>
  </si>
  <si>
    <t>very faint, pretty small, round, a very little brighter middle</t>
  </si>
  <si>
    <t>vF, pS, R, vlbM</t>
  </si>
  <si>
    <t>NGC2959</t>
  </si>
  <si>
    <t>9h45m8.9s</t>
  </si>
  <si>
    <t>+68h35m42s</t>
  </si>
  <si>
    <t>faint, pretty large, round, very gradually a little brighter middle, star to north</t>
  </si>
  <si>
    <t>F, pL, R, vglbM, st n</t>
  </si>
  <si>
    <t>NGC2960</t>
  </si>
  <si>
    <t>9h40m36.5s</t>
  </si>
  <si>
    <t>+3h34m38s</t>
  </si>
  <si>
    <t>very faint, round, gradually brighter middle</t>
  </si>
  <si>
    <t>vF, R, gbM</t>
  </si>
  <si>
    <t>NGC2961</t>
  </si>
  <si>
    <t>9h45m22.3s</t>
  </si>
  <si>
    <t>+68h36m33s</t>
  </si>
  <si>
    <t>considerably faint, small, a little extended, northeast of h618</t>
  </si>
  <si>
    <t>cF, S, lE, nf h 618</t>
  </si>
  <si>
    <t>NGC2962</t>
  </si>
  <si>
    <t>9h40m54s</t>
  </si>
  <si>
    <t>+5h9m57s</t>
  </si>
  <si>
    <t>faint, very small, very little extended, pretty suddenly brighter middle</t>
  </si>
  <si>
    <t>F, vS, vlE, psbM</t>
  </si>
  <si>
    <t>NGC2963</t>
  </si>
  <si>
    <t>9h47m49.8s</t>
  </si>
  <si>
    <t>+72h57m52s</t>
  </si>
  <si>
    <t>NGC2964</t>
  </si>
  <si>
    <t>9h42m54.1s</t>
  </si>
  <si>
    <t>+31h50m49s</t>
  </si>
  <si>
    <t>bright, very large, a little extended, very gradually brighter middle, southwestern of 3</t>
  </si>
  <si>
    <t>B, vL, lE, vgbM, sp of 3</t>
  </si>
  <si>
    <t>NGC2965</t>
  </si>
  <si>
    <t>9h43m19.1s</t>
  </si>
  <si>
    <t>+36h14m54s</t>
  </si>
  <si>
    <t>extremely faint, very small, round, brighter middle, mottled but not resolved</t>
  </si>
  <si>
    <t>eF, vS, R, bM, r</t>
  </si>
  <si>
    <t>NGC2966</t>
  </si>
  <si>
    <t>9h42m11.4s</t>
  </si>
  <si>
    <t>+4h40m25s</t>
  </si>
  <si>
    <t>very faint star in very faint, a little extended nebulosity, faint star 30 arcsec to west</t>
  </si>
  <si>
    <t>vF * in vF, lE neb, F * p 30"</t>
  </si>
  <si>
    <t>NGC2967</t>
  </si>
  <si>
    <t>9h42m3.3s</t>
  </si>
  <si>
    <t>+0h20m10s</t>
  </si>
  <si>
    <t>pretty faint, pretty large, round, very gradually a little brighter middle</t>
  </si>
  <si>
    <t>pF, pL, R, vglbM</t>
  </si>
  <si>
    <t>NGC2968</t>
  </si>
  <si>
    <t>9h43m11.9s</t>
  </si>
  <si>
    <t>+31h55m43s</t>
  </si>
  <si>
    <t>pretty bright, pretty large, a little extended, very gradually a little brighter middle, 2nd of 3</t>
  </si>
  <si>
    <t>pB, pL, lE, vglbM, 2nd of 3</t>
  </si>
  <si>
    <t>NGC2969</t>
  </si>
  <si>
    <t>9h41m54.5s</t>
  </si>
  <si>
    <t>-8h36m12s</t>
  </si>
  <si>
    <t>very faint, pretty small, irregularly round, very gradually a little brighter middle</t>
  </si>
  <si>
    <t>vF, pS, iR, vglbM</t>
  </si>
  <si>
    <t>NGC2970</t>
  </si>
  <si>
    <t>9h43m31s</t>
  </si>
  <si>
    <t>+31h58m39s</t>
  </si>
  <si>
    <t>faint, northeastern of 3</t>
  </si>
  <si>
    <t>F, nf of 3</t>
  </si>
  <si>
    <t>NGC2971</t>
  </si>
  <si>
    <t>9h43m46.1s</t>
  </si>
  <si>
    <t>+36h10m47s</t>
  </si>
  <si>
    <t>extremely faint, pretty small, irregularly round, a very little brighter middle</t>
  </si>
  <si>
    <t>eF, pS, iR, vlbM</t>
  </si>
  <si>
    <t>NGC2972</t>
  </si>
  <si>
    <t>I1p</t>
  </si>
  <si>
    <t>9h40m11.5s</t>
  </si>
  <si>
    <t>-50h19m13s</t>
  </si>
  <si>
    <t>cluster, small, a little rich, pretty compressed, 13th magnitude stars</t>
  </si>
  <si>
    <t>Cl, S, lRi, pC, st 13</t>
  </si>
  <si>
    <t>NGC2973</t>
  </si>
  <si>
    <t>9h41m34.7s</t>
  </si>
  <si>
    <t>-30h2m53s</t>
  </si>
  <si>
    <t>extremely faint, pretty small, 8th magnitude star to east</t>
  </si>
  <si>
    <t>eF, pS, * 8 f</t>
  </si>
  <si>
    <t>NGC2974</t>
  </si>
  <si>
    <t>bright, considerably small, irregularly round, brighter middle, 9th magnitude star 43 arcsec to southwest</t>
  </si>
  <si>
    <t>B, cS, iR, bM, * 9 sp 43"</t>
  </si>
  <si>
    <t>NGC2975</t>
  </si>
  <si>
    <t>9h41m16s</t>
  </si>
  <si>
    <t>-16h40m26s</t>
  </si>
  <si>
    <t>most extremely faint, small, round, gradually brighter middle</t>
  </si>
  <si>
    <t>eeF, S, R, gbM</t>
  </si>
  <si>
    <t>NGC2976</t>
  </si>
  <si>
    <t>9h47m14.7s</t>
  </si>
  <si>
    <t>+67h55m3s</t>
  </si>
  <si>
    <t>bright, very large, much extended 152°, star involved</t>
  </si>
  <si>
    <t>B, vL, mE 152°, st inv</t>
  </si>
  <si>
    <t>NGC2977</t>
  </si>
  <si>
    <t>9h43m46.5s</t>
  </si>
  <si>
    <t>+74h51m38s</t>
  </si>
  <si>
    <t>considerably bright, pretty large, irregular figure (place doubtful)</t>
  </si>
  <si>
    <t>cB, pL, iF (place doubtful)</t>
  </si>
  <si>
    <t>NGC2978</t>
  </si>
  <si>
    <t>9h43m16.7s</t>
  </si>
  <si>
    <t>-9h44m46s</t>
  </si>
  <si>
    <t>extremely faint, small, round, III 528 ten arcmin to north</t>
  </si>
  <si>
    <t>eF, S, R, III 528 n 10'</t>
  </si>
  <si>
    <t>NGC2979</t>
  </si>
  <si>
    <t>9h43m8.6s</t>
  </si>
  <si>
    <t>-10h22m59s</t>
  </si>
  <si>
    <t>pretty faint, pretty small, a very little extended, pretty suddenly bright middle</t>
  </si>
  <si>
    <t>pF, pS, vlE, psbM</t>
  </si>
  <si>
    <t>NGC2980</t>
  </si>
  <si>
    <t>very faint, pretty small, a little extended 0°, very gradually a little brighter middle</t>
  </si>
  <si>
    <t>vF, pS, lE 0°, vglbM</t>
  </si>
  <si>
    <t>NGC2981</t>
  </si>
  <si>
    <t>9h44m56.6s</t>
  </si>
  <si>
    <t>+31h5m53s</t>
  </si>
  <si>
    <t>NGC2982</t>
  </si>
  <si>
    <t>9h42m0s</t>
  </si>
  <si>
    <t>-44h1m36s</t>
  </si>
  <si>
    <t>cluster, poor, extended, stars from 10th to 11th magnitude</t>
  </si>
  <si>
    <t>Cl, P, E, st 10…11</t>
  </si>
  <si>
    <t>NGC2983</t>
  </si>
  <si>
    <t>9h43m41.1s</t>
  </si>
  <si>
    <t>-20h28m39s</t>
  </si>
  <si>
    <t>faint, pretty small, round, brighter middle, mottled but not resolved, stellar</t>
  </si>
  <si>
    <t>F, pS, R, bM, r, stellar</t>
  </si>
  <si>
    <t>NGC2984</t>
  </si>
  <si>
    <t>9h43m40.3s</t>
  </si>
  <si>
    <t>+11h3m41s</t>
  </si>
  <si>
    <t>extremely faint, very small, round, brighter middle (? PD 15')</t>
  </si>
  <si>
    <t>eF, vS, R, bM (? PD 15')</t>
  </si>
  <si>
    <t>NGC2985</t>
  </si>
  <si>
    <t>9h50m21.4s</t>
  </si>
  <si>
    <t>+72h16m43s</t>
  </si>
  <si>
    <t>very bright, considerably large, round, pretty suddenly much brighter middle, star involved to east</t>
  </si>
  <si>
    <t>vB, cL, R, psmbM, * inv f</t>
  </si>
  <si>
    <t>NGC2986</t>
  </si>
  <si>
    <t>9h44m15.9s</t>
  </si>
  <si>
    <t>-21h16m41s</t>
  </si>
  <si>
    <t>pretty bright, pretty small, irregularly round, much brighter middle</t>
  </si>
  <si>
    <t>pB, pS, iR, mbM</t>
  </si>
  <si>
    <t>NGC2987</t>
  </si>
  <si>
    <t>9h45m41.4s</t>
  </si>
  <si>
    <t>+4h56m29s</t>
  </si>
  <si>
    <t>extremely faint, small, irregular figure, several very faint stars involved</t>
  </si>
  <si>
    <t>eF, S, iF, sev vF st inv</t>
  </si>
  <si>
    <t>NGC2988</t>
  </si>
  <si>
    <t>9h46m47.8s</t>
  </si>
  <si>
    <t>+22h0m44s</t>
  </si>
  <si>
    <t>extremely faint, west of h634</t>
  </si>
  <si>
    <t>eF, p h 634</t>
  </si>
  <si>
    <t>NGC2989</t>
  </si>
  <si>
    <t>9h45m25.2s</t>
  </si>
  <si>
    <t>-18h22m28s</t>
  </si>
  <si>
    <t>faint, round, gradually brighter middle, double star to east</t>
  </si>
  <si>
    <t>F, R, gbM, D * f</t>
  </si>
  <si>
    <t>NGC2990</t>
  </si>
  <si>
    <t>9h46m17.3s</t>
  </si>
  <si>
    <t>+5h42m32s</t>
  </si>
  <si>
    <t>faint, pretty small, a little extended 90°</t>
  </si>
  <si>
    <t>F, pS, lE 90°</t>
  </si>
  <si>
    <t>NGC2991</t>
  </si>
  <si>
    <t>9h46m49.9s</t>
  </si>
  <si>
    <t>+22h0m48s</t>
  </si>
  <si>
    <t>faint, very small, brighter middle, southwestern of 2</t>
  </si>
  <si>
    <t>F, vS, bM, sp of 2</t>
  </si>
  <si>
    <t>NGC2992</t>
  </si>
  <si>
    <t>9h45m41.9s</t>
  </si>
  <si>
    <t>-14h19m37s</t>
  </si>
  <si>
    <t>considerably faint, small, round, brighter middle, stellar, western of 2</t>
  </si>
  <si>
    <t>cF, S, R, bM, stellar, p of 2</t>
  </si>
  <si>
    <t>NGC2993</t>
  </si>
  <si>
    <t>9h45m48.3s</t>
  </si>
  <si>
    <t>-14h22m8s</t>
  </si>
  <si>
    <t>cF, S, R, bM, stellar, f of 2</t>
  </si>
  <si>
    <t>NGC2994</t>
  </si>
  <si>
    <t>9h47m16.1s</t>
  </si>
  <si>
    <t>+22h5m21s</t>
  </si>
  <si>
    <t>faint, small, round, brighter middle, northeastern of 2</t>
  </si>
  <si>
    <t>F, S, R, bM, nf of 2</t>
  </si>
  <si>
    <t>NGC2995</t>
  </si>
  <si>
    <t>9h44m0s</t>
  </si>
  <si>
    <t>-54h35m0s</t>
  </si>
  <si>
    <t>cluster, poor, a little compressed</t>
  </si>
  <si>
    <t>NGC2996</t>
  </si>
  <si>
    <t>9h46m30.2s</t>
  </si>
  <si>
    <t>-21h34m16s</t>
  </si>
  <si>
    <t>very faint, small, 20th magnitude star 1 arcmin to east</t>
  </si>
  <si>
    <t>vF, S, * 20 f 1'</t>
  </si>
  <si>
    <t>NGC2997</t>
  </si>
  <si>
    <t>9h45m38.6s</t>
  </si>
  <si>
    <t>-31h11m26s</t>
  </si>
  <si>
    <t>a remarkable object, very faint, very large, very gradually then very suddenly bright middle and 4 arcsec nucleus, 19s.5 d</t>
  </si>
  <si>
    <t>! vF, vL, vgvsbMN 4", 19s.5 d</t>
  </si>
  <si>
    <t>NGC2998</t>
  </si>
  <si>
    <t>9h48m43.6s</t>
  </si>
  <si>
    <t>+44h4m54s</t>
  </si>
  <si>
    <t>pretty faint, pretty large, extended 51°, brighter middle and nucleus, mottled but not resolved</t>
  </si>
  <si>
    <t>pF, pL, E 51°, bMN, r</t>
  </si>
  <si>
    <t>NGC2999</t>
  </si>
  <si>
    <t>Cl, S, lRi, iF, st 12…15</t>
  </si>
  <si>
    <t>NGC3000</t>
  </si>
  <si>
    <t>9h48m51.2s</t>
  </si>
  <si>
    <t>+44h7m54s</t>
  </si>
  <si>
    <t>very faint, small, irregularly round, mottled but not resolved</t>
  </si>
  <si>
    <t>vF, S, iR, r</t>
  </si>
  <si>
    <t>NGC3001</t>
  </si>
  <si>
    <t>9h46m18.5s</t>
  </si>
  <si>
    <t>-30h26m13s</t>
  </si>
  <si>
    <t>faint, small, round, 12th magnitude star attached at 320°</t>
  </si>
  <si>
    <t>F, S, R, * 12 att 320°</t>
  </si>
  <si>
    <t>NGC3002</t>
  </si>
  <si>
    <t>9h48m57.1s</t>
  </si>
  <si>
    <t>+44h3m24s</t>
  </si>
  <si>
    <t>NGC3003</t>
  </si>
  <si>
    <t>9h48m35.9s</t>
  </si>
  <si>
    <t>+33h25m19s</t>
  </si>
  <si>
    <t>a remarkable object, extremely bright, large, very much extended 90°</t>
  </si>
  <si>
    <t>! cB, L, vmE 90°</t>
  </si>
  <si>
    <t>NGC3004</t>
  </si>
  <si>
    <t>9h49m2.1s</t>
  </si>
  <si>
    <t>+44h6m42s</t>
  </si>
  <si>
    <t>extremely faint, suspected</t>
  </si>
  <si>
    <t>eF, suspected</t>
  </si>
  <si>
    <t>NGC3005</t>
  </si>
  <si>
    <t>9h49m14.9s</t>
  </si>
  <si>
    <t>+44h7m50s</t>
  </si>
  <si>
    <t>very faint, pretty small, extended north northwest south southeast</t>
  </si>
  <si>
    <t>vF, pS, E nnpssf</t>
  </si>
  <si>
    <t>NGC3006</t>
  </si>
  <si>
    <t>9h49m17.2s</t>
  </si>
  <si>
    <t>+44h1m32s</t>
  </si>
  <si>
    <t>NGC3007</t>
  </si>
  <si>
    <t>9h47m45.5s</t>
  </si>
  <si>
    <t>-6h26m16s</t>
  </si>
  <si>
    <t>extremely faint, small, irregularly round, a little brighter middle, mottled but not resolved</t>
  </si>
  <si>
    <t>eF, S, iR, lbM, r</t>
  </si>
  <si>
    <t>NGC3008</t>
  </si>
  <si>
    <t>9h49m34.1s</t>
  </si>
  <si>
    <t>+44h6m10s</t>
  </si>
  <si>
    <t>pretty faint, small, extended, 13th or 14th magnitude star one arcmin to west</t>
  </si>
  <si>
    <t>pF, S, E, * 13·14 p 1'</t>
  </si>
  <si>
    <t>NGC3009</t>
  </si>
  <si>
    <t>9h50m11.2s</t>
  </si>
  <si>
    <t>+44h17m43s</t>
  </si>
  <si>
    <t>pretty faint, round, brighter middle, mottled but not resolved, preceding (western) of 2</t>
  </si>
  <si>
    <t>pF, R, bM, r, p of 2</t>
  </si>
  <si>
    <t>NGC3010</t>
  </si>
  <si>
    <t>9h50m33.2s</t>
  </si>
  <si>
    <t>+44h18m53s</t>
  </si>
  <si>
    <t>faint, pretty suddenly brighter middle, partially resolved, some stars seen, following (eastern) of 2</t>
  </si>
  <si>
    <t>F, psbM, rr, f of 2</t>
  </si>
  <si>
    <t>NGC3011</t>
  </si>
  <si>
    <t>9h49m41.1s</t>
  </si>
  <si>
    <t>+32h13m18s</t>
  </si>
  <si>
    <t>most extremely faint, extremely small, stellar</t>
  </si>
  <si>
    <t>eeF, eS, stellar</t>
  </si>
  <si>
    <t>NGC3012</t>
  </si>
  <si>
    <t>9h49m52s</t>
  </si>
  <si>
    <t>+34h42m53s</t>
  </si>
  <si>
    <t>very faint, pretty large, round, cometic</t>
  </si>
  <si>
    <t>vF, pL, R, com</t>
  </si>
  <si>
    <t>NGC3013</t>
  </si>
  <si>
    <t>9h50m9.3s</t>
  </si>
  <si>
    <t>+33h34m11s</t>
  </si>
  <si>
    <t>pretty faint, pretty small, round, brighter middle, h645 to east</t>
  </si>
  <si>
    <t>pF, pS, R, bM, h 645 f</t>
  </si>
  <si>
    <t>NGC3014</t>
  </si>
  <si>
    <t>9h49m7.8s</t>
  </si>
  <si>
    <t>-4h44m34s</t>
  </si>
  <si>
    <t>extremely faint, pretty large, preceding (western) of 2</t>
  </si>
  <si>
    <t>eF, pL, p of 2</t>
  </si>
  <si>
    <t>NGC3015</t>
  </si>
  <si>
    <t>9h49m22.9s</t>
  </si>
  <si>
    <t>+1h8m43s</t>
  </si>
  <si>
    <t>F, vS, alm stellar</t>
  </si>
  <si>
    <t>NGC3016</t>
  </si>
  <si>
    <t>9h49m50.6s</t>
  </si>
  <si>
    <t>+12h41m43s</t>
  </si>
  <si>
    <t>very faint, small, round, preceding (western) of 2</t>
  </si>
  <si>
    <t>NGC3017</t>
  </si>
  <si>
    <t>9h49m3s</t>
  </si>
  <si>
    <t>-2h49m17s</t>
  </si>
  <si>
    <t>extremely faint, very small, 11th magnitude star 3 arcmin to northwest</t>
  </si>
  <si>
    <t>eF, vS, * 11 np 3'</t>
  </si>
  <si>
    <t>NGC3018</t>
  </si>
  <si>
    <t>9h49m41.6s</t>
  </si>
  <si>
    <t>+0h37m22s</t>
  </si>
  <si>
    <t>NGC3019</t>
  </si>
  <si>
    <t>9h50m7.2s</t>
  </si>
  <si>
    <t>+12h44m46s</t>
  </si>
  <si>
    <t>extremely faint, following (eastern) of 2</t>
  </si>
  <si>
    <t>eF, f of 2</t>
  </si>
  <si>
    <t>NGC3020</t>
  </si>
  <si>
    <t>9h50m6.5s</t>
  </si>
  <si>
    <t>+12h48m49s</t>
  </si>
  <si>
    <t>extremely faint, pretty small, a little extended 0°, mottled but not resolved</t>
  </si>
  <si>
    <t>eF, pS, lE 0°, r</t>
  </si>
  <si>
    <t>NGC3021</t>
  </si>
  <si>
    <t>9h50m57.2s</t>
  </si>
  <si>
    <t>+33h33m15s</t>
  </si>
  <si>
    <t>pretty bright, pretty small, very little extended, much brighter middle, 10th magnitude star at 140°</t>
  </si>
  <si>
    <t>pB, pS, vlE, mbM, * 10, 140°</t>
  </si>
  <si>
    <t>NGC3022</t>
  </si>
  <si>
    <t>9h49m39.2s</t>
  </si>
  <si>
    <t>-5h9m59s</t>
  </si>
  <si>
    <t>faint, round, very gradually a little brighter middle, following (eastern) of 2</t>
  </si>
  <si>
    <t>F, R, vglbM, f of 2</t>
  </si>
  <si>
    <t>NGC3023</t>
  </si>
  <si>
    <t>9h49m52.6s</t>
  </si>
  <si>
    <t>pretty faint, pretty large, irregularly round, a little brighter middle, diffuse</t>
  </si>
  <si>
    <t>pF, pL, iR, lbM, dif</t>
  </si>
  <si>
    <t>NGC3024</t>
  </si>
  <si>
    <t>9h50m27.3s</t>
  </si>
  <si>
    <t>+12h45m56s</t>
  </si>
  <si>
    <t>extremely faint, pretty large, extended, mottled but not resolved</t>
  </si>
  <si>
    <t>eF, pL, E, r</t>
  </si>
  <si>
    <t>NGC3025</t>
  </si>
  <si>
    <t>9h49m29s</t>
  </si>
  <si>
    <t>-21h44m29s</t>
  </si>
  <si>
    <t>extremely faint, very small, round, 9th magnitude star to south</t>
  </si>
  <si>
    <t>eF, vS, R, * 9 s</t>
  </si>
  <si>
    <t>NGC3026</t>
  </si>
  <si>
    <t>9h50m54.8s</t>
  </si>
  <si>
    <t>+28h33m5s</t>
  </si>
  <si>
    <t>most extremely faint, pretty small, a little extended, very difficult</t>
  </si>
  <si>
    <t>eeF, pS, lE, v diffic</t>
  </si>
  <si>
    <t>NGC3027</t>
  </si>
  <si>
    <t>9h55m40.3s</t>
  </si>
  <si>
    <t>+72h12m15s</t>
  </si>
  <si>
    <t>very faint, very large, a little extended, mottled but not resolved</t>
  </si>
  <si>
    <t>vF, vL, lE, r</t>
  </si>
  <si>
    <t>NGC3028</t>
  </si>
  <si>
    <t>9h49m54.2s</t>
  </si>
  <si>
    <t>-19h11m4s</t>
  </si>
  <si>
    <t>NGC3029</t>
  </si>
  <si>
    <t>9h48m53.8s</t>
  </si>
  <si>
    <t>-8h3m4s</t>
  </si>
  <si>
    <t>NGC3030</t>
  </si>
  <si>
    <t>9h50m10.5s</t>
  </si>
  <si>
    <t>-12h13m33s</t>
  </si>
  <si>
    <t>NGC3031</t>
  </si>
  <si>
    <t>波德星系</t>
  </si>
  <si>
    <t>9h55m33.5s</t>
  </si>
  <si>
    <t>+69h4m2s</t>
  </si>
  <si>
    <t>a remarkable object, extremely bright, extremely large, extended 156°, gradually then suddenly very much brighter middle and bright nucleus</t>
  </si>
  <si>
    <t>! eB, eL, E 156°, gsvmbMBN</t>
  </si>
  <si>
    <t>NGC3032</t>
  </si>
  <si>
    <t>9h52m8.1s</t>
  </si>
  <si>
    <t>+29h14m12s</t>
  </si>
  <si>
    <t>faint, small, suddenly brighter middle equivalent to 12th magnitude star, between 2 bright stars</t>
  </si>
  <si>
    <t>F, S, sbM * 12, bet 2 B st</t>
  </si>
  <si>
    <t>NGC3033</t>
  </si>
  <si>
    <t>9h48m40s</t>
  </si>
  <si>
    <t>-56h24m42s</t>
  </si>
  <si>
    <t>cluster, pretty large, pretty rich, irregular figure, stars from 11th to 12th magnitude</t>
  </si>
  <si>
    <t>Cl, pL, pRi, iF, st 11…12</t>
  </si>
  <si>
    <t>NGC3034</t>
  </si>
  <si>
    <t>雪茄星系</t>
  </si>
  <si>
    <t>9h55m54s</t>
  </si>
  <si>
    <t>+69h40m59s</t>
  </si>
  <si>
    <t>vB, vL, vmE (ray)</t>
  </si>
  <si>
    <t>NGC3035</t>
  </si>
  <si>
    <t>9h51m54.9s</t>
  </si>
  <si>
    <t>-6h49m22s</t>
  </si>
  <si>
    <t>pretty faint, pretty large, round, several very faint stars involved</t>
  </si>
  <si>
    <t>pF, pL, R, sev vF st inv</t>
  </si>
  <si>
    <t>NGC3036</t>
  </si>
  <si>
    <t>9h49m15.9s</t>
  </si>
  <si>
    <t>-62h40m32s</t>
  </si>
  <si>
    <t>cluster, considerably large, a little compressed</t>
  </si>
  <si>
    <t>Cl, cL, lC</t>
  </si>
  <si>
    <t>NGC3037</t>
  </si>
  <si>
    <t>9h51m24.2s</t>
  </si>
  <si>
    <t>-27h0m39s</t>
  </si>
  <si>
    <t>faint, pretty small, round, a little brighter middle</t>
  </si>
  <si>
    <t>F, pS, R, lbM</t>
  </si>
  <si>
    <t>NGC3038</t>
  </si>
  <si>
    <t>9h51m15.3s</t>
  </si>
  <si>
    <t>-32h45m13s</t>
  </si>
  <si>
    <t>pretty bright, pretty small, round</t>
  </si>
  <si>
    <t>pB, pS, R</t>
  </si>
  <si>
    <t>NGC3039</t>
  </si>
  <si>
    <t>9h52m29.5s</t>
  </si>
  <si>
    <t>+2h9m13s</t>
  </si>
  <si>
    <t>NGC3040</t>
  </si>
  <si>
    <t>9h53m5s</t>
  </si>
  <si>
    <t>+19h25m58s</t>
  </si>
  <si>
    <t>very faint, very small, brighter middle, mottled but not resolved</t>
  </si>
  <si>
    <t>vF, vS, bM, r</t>
  </si>
  <si>
    <t>NGC3041</t>
  </si>
  <si>
    <t>9h53m7.1s</t>
  </si>
  <si>
    <t>+16h40m39s</t>
  </si>
  <si>
    <t>a globular cluster, faint, large, round, very gradually a little brighter middle, partially resolved, some stars seen, 2 bright stars to southwest</t>
  </si>
  <si>
    <t>globular, F, L, R, vglbM, rr, 2 B st sp</t>
  </si>
  <si>
    <t>NGC3042</t>
  </si>
  <si>
    <t>9h53m20.2s</t>
  </si>
  <si>
    <t>+0h41m52s</t>
  </si>
  <si>
    <t>pretty bright, small, very little extended, gradually brighter middle</t>
  </si>
  <si>
    <t>pB, S, vlE, gbM</t>
  </si>
  <si>
    <t>NGC3043</t>
  </si>
  <si>
    <t>9h56m14.4s</t>
  </si>
  <si>
    <t>+59h18m26s</t>
  </si>
  <si>
    <t>considerably faint, pretty small, a little extended, very gradually brighter middle, 10th magnitude star 7 arcmin to north</t>
  </si>
  <si>
    <t>cF, pS, lE, vgbM, * 10 n 7'</t>
  </si>
  <si>
    <t>NGC3044</t>
  </si>
  <si>
    <t>9h53m40.8s</t>
  </si>
  <si>
    <t>+1h34m46s</t>
  </si>
  <si>
    <t>very faint, very large, very much extended 122°</t>
  </si>
  <si>
    <t>vF, vL, vmE 122°</t>
  </si>
  <si>
    <t>NGC3045</t>
  </si>
  <si>
    <t>9h53m17.7s</t>
  </si>
  <si>
    <t>-18h38m38s</t>
  </si>
  <si>
    <t>very faint, pretty small, round, a little brighter middle, southwestern of 2</t>
  </si>
  <si>
    <t>vF, pS, R, lbM, sp of 2</t>
  </si>
  <si>
    <t>NGC3046</t>
  </si>
  <si>
    <t>9h53m20s</t>
  </si>
  <si>
    <t>-27h19m54s</t>
  </si>
  <si>
    <t>pretty faint, round, southwestern of 2</t>
  </si>
  <si>
    <t>pF, R, sp of 2</t>
  </si>
  <si>
    <t>NGC3047</t>
  </si>
  <si>
    <t>9h54m32s</t>
  </si>
  <si>
    <t>-1h17m28s</t>
  </si>
  <si>
    <t>NGC3048</t>
  </si>
  <si>
    <t>9h54m56.5s</t>
  </si>
  <si>
    <t>+16h27m22s</t>
  </si>
  <si>
    <t>NGC3049</t>
  </si>
  <si>
    <t>9h54m49.5s</t>
  </si>
  <si>
    <t>+9h16m19s</t>
  </si>
  <si>
    <t>very faint, very small, faint star very near</t>
  </si>
  <si>
    <t>vF, vS, F * v nr</t>
  </si>
  <si>
    <t>NGC3050</t>
  </si>
  <si>
    <t>very faint, pretty small, very little extended, gradually brighter middle and nucleus</t>
  </si>
  <si>
    <t>vF, pS, vlE, gbMN</t>
  </si>
  <si>
    <t>NGC3051</t>
  </si>
  <si>
    <t>9h53m58.4s</t>
  </si>
  <si>
    <t>-27h17m10s</t>
  </si>
  <si>
    <t>pretty faint, small, round, gradually brighter middle, northeastern of 2</t>
  </si>
  <si>
    <t>pF, S, R, gbM, nf of 2</t>
  </si>
  <si>
    <t>NGC3052</t>
  </si>
  <si>
    <t>9h54m28s</t>
  </si>
  <si>
    <t>-18h38m20s</t>
  </si>
  <si>
    <t>faint, pretty large, round, gradually a little brighter middle, northeastern of 2</t>
  </si>
  <si>
    <t>F, pL, R, glbM, nf of 2</t>
  </si>
  <si>
    <t>NGC3053</t>
  </si>
  <si>
    <t>9h55m33.6s</t>
  </si>
  <si>
    <t>+16h26m0s</t>
  </si>
  <si>
    <t>NGC3054</t>
  </si>
  <si>
    <t>9h54m28.7s</t>
  </si>
  <si>
    <t>-25h42m13s</t>
  </si>
  <si>
    <t>pretty bright, large, irregularly oblong</t>
  </si>
  <si>
    <t>pB, L, irr oblong</t>
  </si>
  <si>
    <t>NGC3055</t>
  </si>
  <si>
    <t>9h55m17.8s</t>
  </si>
  <si>
    <t>+4h16m10s</t>
  </si>
  <si>
    <t>faint, pretty large, very little extended, very gradually brighter middle, partially resolved, some stars seen, 7th magnitude star 92 seconds of time to east</t>
  </si>
  <si>
    <t>F, pL, vlE, vgbM, rr, * 7 f 92s</t>
  </si>
  <si>
    <t>NGC3056</t>
  </si>
  <si>
    <t>9h54m32.7s</t>
  </si>
  <si>
    <t>-28h17m54s</t>
  </si>
  <si>
    <t>pretty bright, small, round, very gradually much brighter middle, 11th magnitude star attached 204°</t>
  </si>
  <si>
    <t>pB, S, R, vgmbM, * 11 att 204°</t>
  </si>
  <si>
    <t>NGC3057</t>
  </si>
  <si>
    <t>10h5m39.5s</t>
  </si>
  <si>
    <t>+80h17m7s</t>
  </si>
  <si>
    <t>extremely faint, pretty large, very little brighter middle, 2 small (faint) stars to south</t>
  </si>
  <si>
    <t>eF, pL, vlbM, 2 S st s</t>
  </si>
  <si>
    <t>NGC3058</t>
  </si>
  <si>
    <t>9h53m36.1s</t>
  </si>
  <si>
    <t>-12h28m56s</t>
  </si>
  <si>
    <t>extremely faint, pretty large, double or binuclear</t>
  </si>
  <si>
    <t>eF, pL, D or biN</t>
  </si>
  <si>
    <t>NGC3059</t>
  </si>
  <si>
    <t>9h50m8s</t>
  </si>
  <si>
    <t>-73h55m17s</t>
  </si>
  <si>
    <t>faint, large, irregularly round, gradually a little brighter middle, small (faint) star involved</t>
  </si>
  <si>
    <t>F, L, iR, glbM, S * inv</t>
  </si>
  <si>
    <t>NGC3060</t>
  </si>
  <si>
    <t>9h56m19.2s</t>
  </si>
  <si>
    <t>+16h49m53s</t>
  </si>
  <si>
    <t>very faint, considerably small, very little extended, easily resolvable</t>
  </si>
  <si>
    <t>vF, cS, vlE, er</t>
  </si>
  <si>
    <t>NGC3061</t>
  </si>
  <si>
    <t>9h56m11.9s</t>
  </si>
  <si>
    <t>+75h51m59s</t>
  </si>
  <si>
    <t>very faint, pretty large, mottled but not resolved</t>
  </si>
  <si>
    <t>vF, pL, r</t>
  </si>
  <si>
    <t>NGC3062</t>
  </si>
  <si>
    <t>9h56m35.7s</t>
  </si>
  <si>
    <t>+1h25m45s</t>
  </si>
  <si>
    <t>very faint, very small, almost stellar</t>
  </si>
  <si>
    <t>vF, vS, alm stellar</t>
  </si>
  <si>
    <t>NGC3063</t>
  </si>
  <si>
    <t>10h1m41.6s</t>
  </si>
  <si>
    <t>+72h7m4s</t>
  </si>
  <si>
    <t>NGC3064</t>
  </si>
  <si>
    <t>9h55m41.4s</t>
  </si>
  <si>
    <t>-6h21m51s</t>
  </si>
  <si>
    <t>extremely faint, very small, extended 45°</t>
  </si>
  <si>
    <t>eF, vS, E 45°</t>
  </si>
  <si>
    <t>NGC3065</t>
  </si>
  <si>
    <t>10h1m55.1s</t>
  </si>
  <si>
    <t>+72h10m12s</t>
  </si>
  <si>
    <t>pretty faint, very small, round, brighter middle, 11th magnitude star near</t>
  </si>
  <si>
    <t>pF, vS, R, bM, * 11 nr</t>
  </si>
  <si>
    <t>NGC3066</t>
  </si>
  <si>
    <t>10h2m10s</t>
  </si>
  <si>
    <t>+72h7m32s</t>
  </si>
  <si>
    <t>very faint, very small, very gradually a little brighter middle</t>
  </si>
  <si>
    <t>vF, vS, vglbM</t>
  </si>
  <si>
    <t>NGC3067</t>
  </si>
  <si>
    <t>9h58m21.5s</t>
  </si>
  <si>
    <t>+32h22m12s</t>
  </si>
  <si>
    <t>pretty bright, pretty large, extended 106°, gradually brighter middle, 9th magnitude star 4 arcmin away at position angle 74°</t>
  </si>
  <si>
    <t>pB, pL, E 106°, gbM, * 9, 74°, 4'</t>
  </si>
  <si>
    <t>NGC3068</t>
  </si>
  <si>
    <t>9h58m40.1s</t>
  </si>
  <si>
    <t>+28h52m41s</t>
  </si>
  <si>
    <t>most extremely faint, extremely small, stellar (?)</t>
  </si>
  <si>
    <t>eeF, eS, stellar (?)</t>
  </si>
  <si>
    <t>NGC3069</t>
  </si>
  <si>
    <t>9h57m56.7s</t>
  </si>
  <si>
    <t>+10h25m58s</t>
  </si>
  <si>
    <t>NGC3070</t>
  </si>
  <si>
    <t>9h58m6.9s</t>
  </si>
  <si>
    <t>+10h21m37s</t>
  </si>
  <si>
    <t>pretty bright, pretty small, round, gradually much brighter middle and nucleus, among 3 stars</t>
  </si>
  <si>
    <t>pB, pS, R, gmbMN, am 3 st</t>
  </si>
  <si>
    <t>NGC3071</t>
  </si>
  <si>
    <t>9h58m52.9s</t>
  </si>
  <si>
    <t>+31h37m15s</t>
  </si>
  <si>
    <t>Neb * 13 m</t>
  </si>
  <si>
    <t>NGC3072</t>
  </si>
  <si>
    <t>9h57m23.9s</t>
  </si>
  <si>
    <t>-19h21m17s</t>
  </si>
  <si>
    <t>very faint, pretty small, a little extended, gradually a little brighter middle</t>
  </si>
  <si>
    <t>vF, pS, lE, glbm</t>
  </si>
  <si>
    <t>NGC3073</t>
  </si>
  <si>
    <t>10h0m52.2s</t>
  </si>
  <si>
    <t>+55h37m6s</t>
  </si>
  <si>
    <t>very faint, small, very gradually a little brighter middle</t>
  </si>
  <si>
    <t>vF, S, vglbM</t>
  </si>
  <si>
    <t>NGC3074</t>
  </si>
  <si>
    <t>9h59m41.2s</t>
  </si>
  <si>
    <t>+35h23m36s</t>
  </si>
  <si>
    <t>very faint, pretty large, irregularly round, very gradually very little brighter middle</t>
  </si>
  <si>
    <t>vF, pL, iR, vgvlbM</t>
  </si>
  <si>
    <t>NGC3075</t>
  </si>
  <si>
    <t>9h58m56.3s</t>
  </si>
  <si>
    <t>+14h25m10s</t>
  </si>
  <si>
    <t>very very faint, 14th magnitude star attached, 11th magnitude star to east</t>
  </si>
  <si>
    <t>vvF, * 14 att, * 11 f</t>
  </si>
  <si>
    <t>NGC3076</t>
  </si>
  <si>
    <t>9h57m37.7s</t>
  </si>
  <si>
    <t>-18h10m42s</t>
  </si>
  <si>
    <t>NGC3077</t>
  </si>
  <si>
    <t>花环星系</t>
  </si>
  <si>
    <t>10h3m20.3s</t>
  </si>
  <si>
    <t>+68h44m6s</t>
  </si>
  <si>
    <t>considerably bright, considerably large, much brighter middle, round with ray</t>
  </si>
  <si>
    <t>cB, cL, mbM, R with ray</t>
  </si>
  <si>
    <t>NGC3078</t>
  </si>
  <si>
    <t>9h58m24.5s</t>
  </si>
  <si>
    <t>-26h55m34s</t>
  </si>
  <si>
    <t>NGC3079</t>
  </si>
  <si>
    <t>幻影飞碟星系</t>
  </si>
  <si>
    <t>10h1m57.7s</t>
  </si>
  <si>
    <t>+55h40m53s</t>
  </si>
  <si>
    <t>very bright, large, much extended 135°</t>
  </si>
  <si>
    <t>vB, L, mE 135°</t>
  </si>
  <si>
    <t>NGC3080</t>
  </si>
  <si>
    <t>9h59m55.9s</t>
  </si>
  <si>
    <t>+13h2m39s</t>
  </si>
  <si>
    <t>NGC3081</t>
  </si>
  <si>
    <t>9h59m29.5s</t>
  </si>
  <si>
    <t>-22h49m34s</t>
  </si>
  <si>
    <t>very faint, considerably small, a little brighter middle, triangle of small (faint) stars to northwest</t>
  </si>
  <si>
    <t>vF, cS, lbM, Δ S st np</t>
  </si>
  <si>
    <t>NGC3082</t>
  </si>
  <si>
    <t>-30h21m27s</t>
  </si>
  <si>
    <t>very faint, small, round, double star attached</t>
  </si>
  <si>
    <t>vF, S, R, D * att</t>
  </si>
  <si>
    <t>NGC3083</t>
  </si>
  <si>
    <t>9h59m49.6s</t>
  </si>
  <si>
    <t>-2h52m39s</t>
  </si>
  <si>
    <t>NGC3084</t>
  </si>
  <si>
    <t>9h59m6.1s</t>
  </si>
  <si>
    <t>-27h7m42s</t>
  </si>
  <si>
    <t>very faint, small, round, 13th magnitude star attached on southeast</t>
  </si>
  <si>
    <t>vF, S, R, * 13 att sf</t>
  </si>
  <si>
    <t>NGC3085</t>
  </si>
  <si>
    <t>9h59m29.1s</t>
  </si>
  <si>
    <t>-19h29m34s</t>
  </si>
  <si>
    <t>NGC3086</t>
  </si>
  <si>
    <t>10h0m10.9s</t>
  </si>
  <si>
    <t>-2h58m33s</t>
  </si>
  <si>
    <t>extremely faint, small, irregularly round</t>
  </si>
  <si>
    <t>eF, S, iR</t>
  </si>
  <si>
    <t>NGC3087</t>
  </si>
  <si>
    <t>9h59m8.6s</t>
  </si>
  <si>
    <t>-34h13m32s</t>
  </si>
  <si>
    <t>pretty bright, small, round, pretty much brighter middle, between 2 stars</t>
  </si>
  <si>
    <t>pB, S, R, pmbM, bet 2 st</t>
  </si>
  <si>
    <t>NGC3088</t>
  </si>
  <si>
    <t>10h1m8.3s</t>
  </si>
  <si>
    <t>+22h24m22s</t>
  </si>
  <si>
    <t>NGC3089</t>
  </si>
  <si>
    <t>9h59m36.6s</t>
  </si>
  <si>
    <t>-28h19m52s</t>
  </si>
  <si>
    <t>pretty faint, pretty small, round, very small (faint) star involved</t>
  </si>
  <si>
    <t>pF, pS, R, vS st inv</t>
  </si>
  <si>
    <t>NGC3090</t>
  </si>
  <si>
    <t>10h0m30.2s</t>
  </si>
  <si>
    <t>-2h58m7s</t>
  </si>
  <si>
    <t>NGC3091</t>
  </si>
  <si>
    <t>10h0m14.1s</t>
  </si>
  <si>
    <t>-19h38m12s</t>
  </si>
  <si>
    <t>pretty bright, pretty small, irregularly round, brighter middle, western of 2</t>
  </si>
  <si>
    <t>pB, pS, iR, bM, p of 2</t>
  </si>
  <si>
    <t>NGC3092</t>
  </si>
  <si>
    <t>10h0m47.4s</t>
  </si>
  <si>
    <t>-3h0m44s</t>
  </si>
  <si>
    <t>NGC3093</t>
  </si>
  <si>
    <t>10h0m53.5s</t>
  </si>
  <si>
    <t>-2h58m17s</t>
  </si>
  <si>
    <t>NGC3094</t>
  </si>
  <si>
    <t>10h1m25.9s</t>
  </si>
  <si>
    <t>faint, brighter middle, 9th magnitude star half an arcmin to southeast</t>
  </si>
  <si>
    <t>F, bM, * 9 ?' sf</t>
  </si>
  <si>
    <t>NGC3095</t>
  </si>
  <si>
    <t>10h0m5.7s</t>
  </si>
  <si>
    <t>-31h33m12s</t>
  </si>
  <si>
    <t>faint, large, extended, very gradually very little brighter middle</t>
  </si>
  <si>
    <t>F, L, E, vgvlbm</t>
  </si>
  <si>
    <t>NGC3096</t>
  </si>
  <si>
    <t>10h0m33.1s</t>
  </si>
  <si>
    <t>-19h39m44s</t>
  </si>
  <si>
    <t>extremely faint, round, little brighter middle, eastern of 2</t>
  </si>
  <si>
    <t>eF, R, lbM, f of 2</t>
  </si>
  <si>
    <t>NGC3097</t>
  </si>
  <si>
    <t>10h3m58.4s</t>
  </si>
  <si>
    <t>+60h4m59s</t>
  </si>
  <si>
    <t>nebulous star? 2 arcmin northwest of h662</t>
  </si>
  <si>
    <t>Neb *? 2' np h 662</t>
  </si>
  <si>
    <t>NGC3098</t>
  </si>
  <si>
    <t>10h2m16.7s</t>
  </si>
  <si>
    <t>+24h42m41s</t>
  </si>
  <si>
    <t>pretty bright, small, extended 85°, pretty suddenly brighter middle and nucleus</t>
  </si>
  <si>
    <t>pB, S, E 85°, psbMN</t>
  </si>
  <si>
    <t>NGC3099</t>
  </si>
  <si>
    <t>10h2m36.5s</t>
  </si>
  <si>
    <t>+32h42m26s</t>
  </si>
  <si>
    <t>NGC3100</t>
  </si>
  <si>
    <t>10h0m40.8s</t>
  </si>
  <si>
    <t>-31h39m51s</t>
  </si>
  <si>
    <t>NGC3101</t>
  </si>
  <si>
    <t>10h1m35.5s</t>
  </si>
  <si>
    <t>-2h59m41s</t>
  </si>
  <si>
    <t>NGC3102</t>
  </si>
  <si>
    <t>10h4m31.7s</t>
  </si>
  <si>
    <t>+60h6m28s</t>
  </si>
  <si>
    <t>very faint, very small, round, brighter middle, 11th magnitude star at position angle 142°</t>
  </si>
  <si>
    <t>vF, vS, R, bM, * 11, 142°</t>
  </si>
  <si>
    <t>NGC3103</t>
  </si>
  <si>
    <t>NGC3104</t>
  </si>
  <si>
    <t>10h3m57.1s</t>
  </si>
  <si>
    <t>+40h45m26s</t>
  </si>
  <si>
    <t>extremely faint, pretty large, extended, very faint star involved</t>
  </si>
  <si>
    <t>eF, pL, E, vF * inv</t>
  </si>
  <si>
    <t>NGC3105</t>
  </si>
  <si>
    <t>10h0m39.5s</t>
  </si>
  <si>
    <t>-54h47m15s</t>
  </si>
  <si>
    <t>cluster, compact, a little extended, stars from 13th to 16th magnitude</t>
  </si>
  <si>
    <t>Cl, C, lE, st 13…16</t>
  </si>
  <si>
    <t>NGC3106</t>
  </si>
  <si>
    <t>10h4m5.2s</t>
  </si>
  <si>
    <t>+31h11m9s</t>
  </si>
  <si>
    <t>NGC3107</t>
  </si>
  <si>
    <t>10h4m22.4s</t>
  </si>
  <si>
    <t>+13h37m19s</t>
  </si>
  <si>
    <t>pretty faint, pretty large, irregularly round, 8th magnitude star 112 arcsec distant at position angle 148°</t>
  </si>
  <si>
    <t>pF, pL, iR, * 8 148°, 112"</t>
  </si>
  <si>
    <t>NGC3108</t>
  </si>
  <si>
    <t>10h2m29.1s</t>
  </si>
  <si>
    <t>-31h40m33s</t>
  </si>
  <si>
    <t>NGC3109</t>
  </si>
  <si>
    <t>10h3m6.6s</t>
  </si>
  <si>
    <t>-26h9m30s</t>
  </si>
  <si>
    <t>considerably faint, very large, very much extended 82°, a little brighter middle</t>
  </si>
  <si>
    <t>cF, vL, vmE 82°, lbM</t>
  </si>
  <si>
    <t>NGC3110</t>
  </si>
  <si>
    <t>10h4m1.9s</t>
  </si>
  <si>
    <t>-6h28m29s</t>
  </si>
  <si>
    <t>faint, very small, irregularly round, mottled but not resolved</t>
  </si>
  <si>
    <t>F, vS, iR, r</t>
  </si>
  <si>
    <t>NGC3111</t>
  </si>
  <si>
    <t>10h6m7.4s</t>
  </si>
  <si>
    <t>+47h15m47s</t>
  </si>
  <si>
    <t>pretty bright, small, round, suddenly much brighter middle equivalent to 12th magnitude star</t>
  </si>
  <si>
    <t>pB, S, R, smbM * 12</t>
  </si>
  <si>
    <t>NGC3112</t>
  </si>
  <si>
    <t>10h3m59s</t>
  </si>
  <si>
    <t>-20h46m56s</t>
  </si>
  <si>
    <t>extremely faint, extremely small, round, perhaps nebulous</t>
  </si>
  <si>
    <t>eF, eS, R, ? Neb</t>
  </si>
  <si>
    <t>NGC3113</t>
  </si>
  <si>
    <t>10h4m26s</t>
  </si>
  <si>
    <t>-28h26m41s</t>
  </si>
  <si>
    <t>extremely faint, large, makes a triangle with two 8th magnitude stars</t>
  </si>
  <si>
    <t>eF, L, Δ 2 st 8 m</t>
  </si>
  <si>
    <t>NGC3114</t>
  </si>
  <si>
    <t>手状星团</t>
  </si>
  <si>
    <t>10h2m36s</t>
  </si>
  <si>
    <t>-60h6m0s</t>
  </si>
  <si>
    <t>cluster, extremely large, a little compact, bright, stars from 9th to 14th magnitude</t>
  </si>
  <si>
    <t>Cl, eL, lC, B, st 9…14</t>
  </si>
  <si>
    <t>NGC3115</t>
  </si>
  <si>
    <t>10h5m14.1s</t>
  </si>
  <si>
    <t>-7h43m5s</t>
  </si>
  <si>
    <t>very bright, large, very much extended 46°, very gradually suddenly much brighter middle and extended nucleus</t>
  </si>
  <si>
    <t>vB, L, vmE 46°, vgsmbMEN</t>
  </si>
  <si>
    <t>NGC3116</t>
  </si>
  <si>
    <t>10h6m45s</t>
  </si>
  <si>
    <t>+31h5m54s</t>
  </si>
  <si>
    <t>nebulous star, 13th magnitude</t>
  </si>
  <si>
    <t>Neb * 13m</t>
  </si>
  <si>
    <t>NGC3117</t>
  </si>
  <si>
    <t>10h6m10.4s</t>
  </si>
  <si>
    <t>+2h54m48s</t>
  </si>
  <si>
    <t>very faint, very small, round, small star involved</t>
  </si>
  <si>
    <t>vF, vS, R, S * inv</t>
  </si>
  <si>
    <t>NGC3118</t>
  </si>
  <si>
    <t>10h7m11.4s</t>
  </si>
  <si>
    <t>+33h1m38s</t>
  </si>
  <si>
    <t>small group of very faint stars in very faint nebula</t>
  </si>
  <si>
    <t>S group of vF st in vF neb</t>
  </si>
  <si>
    <t>NGC3119</t>
  </si>
  <si>
    <t>10h6m47.8s</t>
  </si>
  <si>
    <t>+14h18m20s</t>
  </si>
  <si>
    <t>NGC3120</t>
  </si>
  <si>
    <t>10h5m22.8s</t>
  </si>
  <si>
    <t>-34h13m15s</t>
  </si>
  <si>
    <t>NGC3121</t>
  </si>
  <si>
    <t>10h6m51.8s</t>
  </si>
  <si>
    <t>+14h22m26s</t>
  </si>
  <si>
    <t>pF, pL, glbM, * 9.5 np (Auw 26)</t>
  </si>
  <si>
    <t>NGC3122</t>
  </si>
  <si>
    <t>F, S, lE, er</t>
  </si>
  <si>
    <t>NGC3123</t>
  </si>
  <si>
    <t>10h18m11.9s</t>
  </si>
  <si>
    <t>+0h2m25s</t>
  </si>
  <si>
    <t>nebula, no description</t>
  </si>
  <si>
    <t>Neb, no description</t>
  </si>
  <si>
    <t>NGC3124</t>
  </si>
  <si>
    <t>10h6m40s</t>
  </si>
  <si>
    <t>-19h13m18s</t>
  </si>
  <si>
    <t>faint, pretty large, round, a little brighter middle, double star to south</t>
  </si>
  <si>
    <t>F, pL, R, lbM, D * s</t>
  </si>
  <si>
    <t>NGC3125</t>
  </si>
  <si>
    <t>10h6m33.2s</t>
  </si>
  <si>
    <t>-29h56m8s</t>
  </si>
  <si>
    <t>considerably faint, small, round, very gradually brighter middle</t>
  </si>
  <si>
    <t>cF, S, R, vgbM</t>
  </si>
  <si>
    <t>NGC3126</t>
  </si>
  <si>
    <t>10h8m20.6s</t>
  </si>
  <si>
    <t>+31h51m49s</t>
  </si>
  <si>
    <t>faint, small, a little extended, nucleus = 15th magnitude star</t>
  </si>
  <si>
    <t>F, S, lE, N = * 15</t>
  </si>
  <si>
    <t>NGC3127</t>
  </si>
  <si>
    <t>10h6m24.7s</t>
  </si>
  <si>
    <t>-16h7m34s</t>
  </si>
  <si>
    <t>extremely faint, pretty large, much extended 45°</t>
  </si>
  <si>
    <t>eF, pL, mE 45°</t>
  </si>
  <si>
    <t>NGC3128</t>
  </si>
  <si>
    <t>10h6m1.4s</t>
  </si>
  <si>
    <t>-16h7m22s</t>
  </si>
  <si>
    <t>extremely faint, pretty large, much extended 170°, a little brighter middle</t>
  </si>
  <si>
    <t>eF, pL, mE 170°, lbM</t>
  </si>
  <si>
    <t>NGC3129</t>
  </si>
  <si>
    <t>10h8m22s</t>
  </si>
  <si>
    <t>+18h25m37s</t>
  </si>
  <si>
    <t>extremely faint, considerably small, very little extended, mottled but not resolved</t>
  </si>
  <si>
    <t>eF, cS, vlE, r</t>
  </si>
  <si>
    <t>NGC3130</t>
  </si>
  <si>
    <t>10h8m12.3s</t>
  </si>
  <si>
    <t>+9h58m36s</t>
  </si>
  <si>
    <t>extremely faint, small, pretty suddenly brighter middle, 5th magnitude star to southeast</t>
  </si>
  <si>
    <t>eF, S, psbM, * 5 sf</t>
  </si>
  <si>
    <t>NGC3131</t>
  </si>
  <si>
    <t>10h8m36.2s</t>
  </si>
  <si>
    <t>+18h13m52s</t>
  </si>
  <si>
    <t>pretty bright, pretty small, pretty much extended, gradually brighter middle</t>
  </si>
  <si>
    <t>pB, pS, pmE, gbM</t>
  </si>
  <si>
    <t>NGC3132</t>
  </si>
  <si>
    <t>双环星云</t>
  </si>
  <si>
    <t>10h7m1.8s</t>
  </si>
  <si>
    <t>-40h26m10s</t>
  </si>
  <si>
    <t>a most remarkable object, planetary, very bright, very large, a little extended middle equivalent to 9th magnitude star, 4 seconds of time diameter</t>
  </si>
  <si>
    <t>!! planetary, vB, vL, lE * 9 m, 4s d</t>
  </si>
  <si>
    <t>NGC3133</t>
  </si>
  <si>
    <t>10h7m12.7s</t>
  </si>
  <si>
    <t>-11h57m55s</t>
  </si>
  <si>
    <t>NGC3134</t>
  </si>
  <si>
    <t>10h12m29.1s</t>
  </si>
  <si>
    <t>+12h22m37s</t>
  </si>
  <si>
    <t>very faint, disc</t>
  </si>
  <si>
    <t>vF, disc</t>
  </si>
  <si>
    <t>NGC3135</t>
  </si>
  <si>
    <t>10h10m54.4s</t>
  </si>
  <si>
    <t>+45h57m2s</t>
  </si>
  <si>
    <t>NGC3136</t>
  </si>
  <si>
    <t>10h5m48.2s</t>
  </si>
  <si>
    <t>-67h22m39s</t>
  </si>
  <si>
    <t>pretty bright, pretty small, round, gradually brighter middle, 13th magnitude star to north</t>
  </si>
  <si>
    <t>pB, pS, R, gbM, * 13 n</t>
  </si>
  <si>
    <t>NGC3137</t>
  </si>
  <si>
    <t>10h9m7.4s</t>
  </si>
  <si>
    <t>-29h3m49s</t>
  </si>
  <si>
    <t>NGC3138</t>
  </si>
  <si>
    <t>10h9m16.6s</t>
  </si>
  <si>
    <t>-11h57m26s</t>
  </si>
  <si>
    <t>extremely faint, very small, round, 1st of 2</t>
  </si>
  <si>
    <t>eF, vS, R, 1st of 2</t>
  </si>
  <si>
    <t>NGC3139</t>
  </si>
  <si>
    <t>10h10m5.1s</t>
  </si>
  <si>
    <t>-11h46m40s</t>
  </si>
  <si>
    <t>extremely faint, very small, round, 2nd of 2</t>
  </si>
  <si>
    <t>eF, vS, R, 2nd of 2</t>
  </si>
  <si>
    <t>NGC3140</t>
  </si>
  <si>
    <t>10h9m27.8s</t>
  </si>
  <si>
    <t>-16h37m40s</t>
  </si>
  <si>
    <t>extremely faint, pretty small, round, suddenly brighter middle and nucleus, 1st of 2</t>
  </si>
  <si>
    <t>eF, pS, R, sbMN, 1st of 2</t>
  </si>
  <si>
    <t>NGC3141</t>
  </si>
  <si>
    <t>10h9m19.8s</t>
  </si>
  <si>
    <t>-16h39m11s</t>
  </si>
  <si>
    <t>extremely faint, small, round, 2nd of 2</t>
  </si>
  <si>
    <t>eF, S, R, 2nd of 2</t>
  </si>
  <si>
    <t>NGC3142</t>
  </si>
  <si>
    <t>10h10m6.4s</t>
  </si>
  <si>
    <t>-8h28m46s</t>
  </si>
  <si>
    <t>faint, round (d'Arrest PD (97) 43.3, 1 observation)</t>
  </si>
  <si>
    <t>F, R, (d'A, PD 43'.3, 1 obs)</t>
  </si>
  <si>
    <t>NGC3143</t>
  </si>
  <si>
    <t>10h10m3.9s</t>
  </si>
  <si>
    <t>-12h34m55s</t>
  </si>
  <si>
    <t>NGC3144</t>
  </si>
  <si>
    <t>10h15m32.1s</t>
  </si>
  <si>
    <t>+74h13m14s</t>
  </si>
  <si>
    <t>very faint, small, round, 13th magnitude star attached on east</t>
  </si>
  <si>
    <t>vF, S, R, * 13 att f</t>
  </si>
  <si>
    <t>NGC3145</t>
  </si>
  <si>
    <t>10h10m9.9s</t>
  </si>
  <si>
    <t>-12h26m4s</t>
  </si>
  <si>
    <t>faint, pretty large, round, very gradually then suddenly a little brighter middle</t>
  </si>
  <si>
    <t>F, pL, R, vgslbM</t>
  </si>
  <si>
    <t>NGC3146</t>
  </si>
  <si>
    <t>10h11m9.8s</t>
  </si>
  <si>
    <t>-20h52m15s</t>
  </si>
  <si>
    <t>NGC3147</t>
  </si>
  <si>
    <t>10h16m53.2s</t>
  </si>
  <si>
    <t>+73h24m1s</t>
  </si>
  <si>
    <t>very bright, large, round, very gradually then very suddenly very much brighter middle</t>
  </si>
  <si>
    <t>vB, L, R, vgvsvmbM</t>
  </si>
  <si>
    <t>NGC3148</t>
  </si>
  <si>
    <t>10h13m43.8s</t>
  </si>
  <si>
    <t>+50h29m49s</t>
  </si>
  <si>
    <t>7th magnitude star in photosphere 2 or 3 arcmin in diameter</t>
  </si>
  <si>
    <t>* 7 in photosphere 2' or 3' d</t>
  </si>
  <si>
    <t>NGC3149</t>
  </si>
  <si>
    <t>10h3m43.4s</t>
  </si>
  <si>
    <t>-80h25m20s</t>
  </si>
  <si>
    <t>faint, small, a little extended, very little brighter middle, 15th magnitude star involved</t>
  </si>
  <si>
    <t>F, S, lE, vlbM, * 15 inv</t>
  </si>
  <si>
    <t>NGC3150</t>
  </si>
  <si>
    <t>10h13m26.2s</t>
  </si>
  <si>
    <t>+38h39m29s</t>
  </si>
  <si>
    <t>NGC3151</t>
  </si>
  <si>
    <t>10h13m29s</t>
  </si>
  <si>
    <t>+38h37m13s</t>
  </si>
  <si>
    <t>NGC3152</t>
  </si>
  <si>
    <t>10h13m34.1s</t>
  </si>
  <si>
    <t>+38h50m37s</t>
  </si>
  <si>
    <t>extremely faint, very small, irregularly round, extremely faint star close to southwest</t>
  </si>
  <si>
    <t>eF, vS, iR, eF * close sp</t>
  </si>
  <si>
    <t>NGC3153</t>
  </si>
  <si>
    <t>10h12m50.5s</t>
  </si>
  <si>
    <t>+12h40m0s</t>
  </si>
  <si>
    <t>extremely faint, pretty large, very little extended, mottled but not resolved, star involved</t>
  </si>
  <si>
    <t>eF, pL, vlE, r, st inv</t>
  </si>
  <si>
    <t>NGC3154</t>
  </si>
  <si>
    <t>10h13m1.1s</t>
  </si>
  <si>
    <t>+17h2m4s</t>
  </si>
  <si>
    <t>NGC3155</t>
  </si>
  <si>
    <t>10h17m39.7s</t>
  </si>
  <si>
    <t>+74h20m52s</t>
  </si>
  <si>
    <t>NGC3156</t>
  </si>
  <si>
    <t>10h12m41.1s</t>
  </si>
  <si>
    <t>+3h7m47s</t>
  </si>
  <si>
    <t>faint, considerably small, round, pretty suddenly brighter middle, 9th or 10th magnitude star 2 arcmin to southeast</t>
  </si>
  <si>
    <t>F, cS, R, psbM, * 9·10 sf 2'</t>
  </si>
  <si>
    <t>NGC3157</t>
  </si>
  <si>
    <t>10h11m42.4s</t>
  </si>
  <si>
    <t>-31h38m34s</t>
  </si>
  <si>
    <t>very faint, pretty small, extended, 8th or 9th magnitude star to southwest</t>
  </si>
  <si>
    <t>vF, pS, E, * 8·9 sp</t>
  </si>
  <si>
    <t>NGC3158</t>
  </si>
  <si>
    <t>10h13m50.5s</t>
  </si>
  <si>
    <t>+38h45m56s</t>
  </si>
  <si>
    <t>considerably bright, considerably small, round, pretty suddenly brighter middle, mottled but not resolved</t>
  </si>
  <si>
    <t>cB, cS, R, psbM, r</t>
  </si>
  <si>
    <t>NGC3159</t>
  </si>
  <si>
    <t>10h13m52.8s</t>
  </si>
  <si>
    <t>+38h39m18s</t>
  </si>
  <si>
    <t>NGC3160</t>
  </si>
  <si>
    <t>10h13m55.2s</t>
  </si>
  <si>
    <t>+38h50m34s</t>
  </si>
  <si>
    <t>NGC3161</t>
  </si>
  <si>
    <t>10h13m59.1s</t>
  </si>
  <si>
    <t>+38h39m28s</t>
  </si>
  <si>
    <t>NGC3162</t>
  </si>
  <si>
    <t>10h13m31.5s</t>
  </si>
  <si>
    <t>+22h44m14s</t>
  </si>
  <si>
    <t>pretty faint, considerably large, round, very gradually a little brighter middle, mottled but not resolved, small (faint) star involved</t>
  </si>
  <si>
    <t>pF, cL, R, vglbM, r, S * inv</t>
  </si>
  <si>
    <t>NGC3163</t>
  </si>
  <si>
    <t>10h14m7.1s</t>
  </si>
  <si>
    <t>+38h39m10s</t>
  </si>
  <si>
    <t>NGC3164</t>
  </si>
  <si>
    <t>10h15m11.5s</t>
  </si>
  <si>
    <t>+56h40m20s</t>
  </si>
  <si>
    <t>extremely faint, small, round, very gradually a little brighter middle</t>
  </si>
  <si>
    <t>eF, S, R, vglbM</t>
  </si>
  <si>
    <t>NGC3165</t>
  </si>
  <si>
    <t>10h13m31.4s</t>
  </si>
  <si>
    <t>+3h22m30s</t>
  </si>
  <si>
    <t>very faint, much extended 0°, 1st of 3</t>
  </si>
  <si>
    <t>vF, mE 0°, 1st of 3</t>
  </si>
  <si>
    <t>NGC3166</t>
  </si>
  <si>
    <t>10h13m45.5s</t>
  </si>
  <si>
    <t>+3h25m33s</t>
  </si>
  <si>
    <t>bright, pretty small, round, pretty suddenly much brighter middle, 2nd of 3</t>
  </si>
  <si>
    <t>B, pS, R, psmbM, 2nd of 3</t>
  </si>
  <si>
    <t>NGC3167</t>
  </si>
  <si>
    <t>faint, small, perhaps very small cluster of very faint stars</t>
  </si>
  <si>
    <t>F, S, ? vS Cl of vF st</t>
  </si>
  <si>
    <t>NGC3168</t>
  </si>
  <si>
    <t>10h16m23s</t>
  </si>
  <si>
    <t>+60h14m6s</t>
  </si>
  <si>
    <t>faint, pretty suddenly brighter middle, stellar, 7th or 8th magnitude star 5 arcmin to northwest</t>
  </si>
  <si>
    <t>F, psbM, stellar, * 7·8 np 5'</t>
  </si>
  <si>
    <t>NGC3169</t>
  </si>
  <si>
    <t>10h14m14.7s</t>
  </si>
  <si>
    <t>+3h28m1s</t>
  </si>
  <si>
    <t>bright, pretty large, very little extended, pretty gradually much brighter middle, 11th magnitude star 80 arcsec distant at position angle 78°, 3rd of 3</t>
  </si>
  <si>
    <t>B, pL, vlE, pgmbM, * 11, 78°, 80", 3rd of 3</t>
  </si>
  <si>
    <t>NGC3170</t>
  </si>
  <si>
    <t>10h16m14.4s</t>
  </si>
  <si>
    <t>+46h36m45s</t>
  </si>
  <si>
    <t>NGC3171</t>
  </si>
  <si>
    <t>10h15m36.8s</t>
  </si>
  <si>
    <t>-20h38m51s</t>
  </si>
  <si>
    <t>NGC3172</t>
  </si>
  <si>
    <t>北极星系</t>
  </si>
  <si>
    <t>小熊座</t>
  </si>
  <si>
    <t>UMI</t>
  </si>
  <si>
    <t>11h47m14.5s</t>
  </si>
  <si>
    <t>+89h5m37s</t>
  </si>
  <si>
    <t>very faint, round, gradually brighter middle, 11th magnitude star 2 arcmin to south, Polarissima Borealis</t>
  </si>
  <si>
    <t>vF, R, gbM, * 11 s 2', Polarissima Borealis</t>
  </si>
  <si>
    <t>NGC3173</t>
  </si>
  <si>
    <t>10h14m35s</t>
  </si>
  <si>
    <t>-27h41m36s</t>
  </si>
  <si>
    <t>extremely faint, small, round, two bright stars to the east</t>
  </si>
  <si>
    <t>eF, S, R, 2 B st f</t>
  </si>
  <si>
    <t>NGC3174</t>
  </si>
  <si>
    <t>considerably faint, small, stellar, small star near to east [Place very questionable]</t>
  </si>
  <si>
    <t>eF, S, stellar, S * f nr [Place??]</t>
  </si>
  <si>
    <t>NGC3175</t>
  </si>
  <si>
    <t>10h14m42.3s</t>
  </si>
  <si>
    <t>-28h52m16s</t>
  </si>
  <si>
    <t>considerably bright, large, much extended 51°, very gradually a little brighter middle</t>
  </si>
  <si>
    <t>cB, L, mE 51°, vglbM</t>
  </si>
  <si>
    <t>NGC3176</t>
  </si>
  <si>
    <t>10h14m52.1s</t>
  </si>
  <si>
    <t>-20h0m45s</t>
  </si>
  <si>
    <t>extremely faint, pretty small, irregularly round, perhaps nebulous</t>
  </si>
  <si>
    <t>eF, pS, iR, ? Neb</t>
  </si>
  <si>
    <t>NGC3177</t>
  </si>
  <si>
    <t>10h16m34.1s</t>
  </si>
  <si>
    <t>+21h7m23s</t>
  </si>
  <si>
    <t>NGC3178</t>
  </si>
  <si>
    <t>10h16m9.4s</t>
  </si>
  <si>
    <t>-15h47m28s</t>
  </si>
  <si>
    <t>pretty bright, pretty large, gradually pretty much brighter middle</t>
  </si>
  <si>
    <t>pB, pL, gpmbM</t>
  </si>
  <si>
    <t>NGC3179</t>
  </si>
  <si>
    <t>10h17m57.2s</t>
  </si>
  <si>
    <t>+41h6m53s</t>
  </si>
  <si>
    <t>small, round, brighter middle and nucleus, in line with 2 stars</t>
  </si>
  <si>
    <t>S, R, bMN, in line with 2 st</t>
  </si>
  <si>
    <t>NGC3180</t>
  </si>
  <si>
    <t>小风车星系</t>
  </si>
  <si>
    <t>10h18m10.7s</t>
  </si>
  <si>
    <t>+41h26m57s</t>
  </si>
  <si>
    <t>very faint, extended, (and along with NGC 3181) connected with h688</t>
  </si>
  <si>
    <t>vF, E, connected with h 688</t>
  </si>
  <si>
    <t>NGC3181</t>
  </si>
  <si>
    <t>10h18m11.5s</t>
  </si>
  <si>
    <t>+41h24m48s</t>
  </si>
  <si>
    <t>very faint, extended, (and along with NGC 3180) connected with h688</t>
  </si>
  <si>
    <t>NGC3182</t>
  </si>
  <si>
    <t>10h19m33s</t>
  </si>
  <si>
    <t>+58h12m22s</t>
  </si>
  <si>
    <t>considerably bright, considerably large, irregularly round, very gradually brighter middle</t>
  </si>
  <si>
    <t>cB, cL, iR, vgbM</t>
  </si>
  <si>
    <t>NGC3183</t>
  </si>
  <si>
    <t>10h21m48.6s</t>
  </si>
  <si>
    <t>+74h10m38s</t>
  </si>
  <si>
    <t>faint, pretty large, extended, a little brighter middle</t>
  </si>
  <si>
    <t>F, pL, E, lbM</t>
  </si>
  <si>
    <t>NGC3184</t>
  </si>
  <si>
    <t>10h18m17s</t>
  </si>
  <si>
    <t>+41h25m24s</t>
  </si>
  <si>
    <t>pB, vL, R, vgbM</t>
  </si>
  <si>
    <t>NGC3185</t>
  </si>
  <si>
    <t>狮子座四重星系</t>
  </si>
  <si>
    <t>10h17m38.4s</t>
  </si>
  <si>
    <t>+21h41m19s</t>
  </si>
  <si>
    <t>pretty faint, pretty large, gradually much brighter middle</t>
  </si>
  <si>
    <t>pF, pL, gmbM</t>
  </si>
  <si>
    <t>NGC3186</t>
  </si>
  <si>
    <t>10h15m53.4s</t>
  </si>
  <si>
    <t>+6h57m52s</t>
  </si>
  <si>
    <t>pretty faint, very small, gradually brighter middle, several faint stars near</t>
  </si>
  <si>
    <t>pF, vS, gbM, sev F st nr</t>
  </si>
  <si>
    <t>NGC3187</t>
  </si>
  <si>
    <t>10h17m47.7s</t>
  </si>
  <si>
    <t>+21h52m26s</t>
  </si>
  <si>
    <t>very faint, extended</t>
  </si>
  <si>
    <t>vF, E</t>
  </si>
  <si>
    <t>NGC3188</t>
  </si>
  <si>
    <t>10h19m42.9s</t>
  </si>
  <si>
    <t>+57h25m23s</t>
  </si>
  <si>
    <t>NGC3189</t>
  </si>
  <si>
    <t>NGC3190星系群</t>
  </si>
  <si>
    <t>10h18m4.2s</t>
  </si>
  <si>
    <t>+21h49m56s</t>
  </si>
  <si>
    <t>very very faint, much extended, parallel to h692</t>
  </si>
  <si>
    <t>vvF, mE, parallel to h 692</t>
  </si>
  <si>
    <t>NGC3190</t>
  </si>
  <si>
    <t>10h18m5.6s</t>
  </si>
  <si>
    <t>+21h49m58s</t>
  </si>
  <si>
    <t>B, pS, E, psbMN</t>
  </si>
  <si>
    <t>NGC3191</t>
  </si>
  <si>
    <t>10h19m5.1s</t>
  </si>
  <si>
    <t>+46h27m18s</t>
  </si>
  <si>
    <t>NGC3192</t>
  </si>
  <si>
    <t>eF, vS, (?=h 691)</t>
  </si>
  <si>
    <t>NGC3193</t>
  </si>
  <si>
    <t>10h18m24.8s</t>
  </si>
  <si>
    <t>+21h53m38s</t>
  </si>
  <si>
    <t>B, S, vlE, pslbM, * 9.5 354°, 80"</t>
  </si>
  <si>
    <t>NGC3194</t>
  </si>
  <si>
    <t>vF, vS, [Place ??]</t>
  </si>
  <si>
    <t>NGC3195</t>
  </si>
  <si>
    <t>10h9m21.1s</t>
  </si>
  <si>
    <t>-80h51m29s</t>
  </si>
  <si>
    <t>a remarkable object, a planetary nebula, pretty bright, small, a little extended, 13 arcsec diameter, 3 small (faint) stars near</t>
  </si>
  <si>
    <t>! planetary, pB, S, lE, 13s d, 3 S st nr</t>
  </si>
  <si>
    <t>NGC3196</t>
  </si>
  <si>
    <t>10h18m49s</t>
  </si>
  <si>
    <t>+27h40m10s</t>
  </si>
  <si>
    <t>NGC3197</t>
  </si>
  <si>
    <t>10h14m27.3s</t>
  </si>
  <si>
    <t>+77h49m13s</t>
  </si>
  <si>
    <t>very faint, very small [Place very questionable]</t>
  </si>
  <si>
    <t>NGC3198</t>
  </si>
  <si>
    <t>10h19m54.9s</t>
  </si>
  <si>
    <t>+45h33m0s</t>
  </si>
  <si>
    <t>pretty bright, very large, much extended 45°, very gradually brighter middle</t>
  </si>
  <si>
    <t>pB, vL, mE 45°, vgbM</t>
  </si>
  <si>
    <t>NGC3199</t>
  </si>
  <si>
    <t>10h17m24s</t>
  </si>
  <si>
    <t>-57h55m18s</t>
  </si>
  <si>
    <t>a remarkable object, very bright, very large, falcate, double star involved</t>
  </si>
  <si>
    <t>! vB, vL, falcate, D * inv</t>
  </si>
  <si>
    <t>NGC3200</t>
  </si>
  <si>
    <t>10h18m36.4s</t>
  </si>
  <si>
    <t>-17h58m56s</t>
  </si>
  <si>
    <t>pretty bright, extended 160°, brighter middle and nucleus</t>
  </si>
  <si>
    <t>pB, E 160°, bMN</t>
  </si>
  <si>
    <t>NGC3201</t>
  </si>
  <si>
    <t>10h17m36.8s</t>
  </si>
  <si>
    <t>-46h24m38s</t>
  </si>
  <si>
    <t>globular cluster, very large, irregularly round, a little compressed middle, stars from 13th to 16th magnitude</t>
  </si>
  <si>
    <t>globular, vL, iR, lCM, st 13…16</t>
  </si>
  <si>
    <t>NGC3202</t>
  </si>
  <si>
    <t>10h20m31.6s</t>
  </si>
  <si>
    <t>+43h1m17s</t>
  </si>
  <si>
    <t>considerably faint, small, round, very gradually brighter middle, 1st of 3</t>
  </si>
  <si>
    <t>cF, S, R, vgbM, 1st of 3</t>
  </si>
  <si>
    <t>NGC3203</t>
  </si>
  <si>
    <t>10h19m33.6s</t>
  </si>
  <si>
    <t>-26h41m56s</t>
  </si>
  <si>
    <t>pretty bright, small, considerably extended, gradually brighter middle</t>
  </si>
  <si>
    <t>pB, S, cE, gbM</t>
  </si>
  <si>
    <t>NGC3204</t>
  </si>
  <si>
    <t>10h20m11.2s</t>
  </si>
  <si>
    <t>+27h49m2s</t>
  </si>
  <si>
    <t>extremely faint, pretty large, gradually brighter middle</t>
  </si>
  <si>
    <t>eF, pL, gbM</t>
  </si>
  <si>
    <t>NGC3205</t>
  </si>
  <si>
    <t>10h20m50s</t>
  </si>
  <si>
    <t>+42h58m18s</t>
  </si>
  <si>
    <t>considerably faint, small, round, very gradually brighter middle, 2nd of 3</t>
  </si>
  <si>
    <t>cF, S, R, vgbM, 2nd of 3</t>
  </si>
  <si>
    <t>NGC3206</t>
  </si>
  <si>
    <t>10h21m47.6s</t>
  </si>
  <si>
    <t>+56h55m51s</t>
  </si>
  <si>
    <t>pretty bright, considerably large, extended, very gradually little brighter middle</t>
  </si>
  <si>
    <t>pB, cL, E, vglbM</t>
  </si>
  <si>
    <t>NGC3207</t>
  </si>
  <si>
    <t>10h21m0.5s</t>
  </si>
  <si>
    <t>+42h59m9s</t>
  </si>
  <si>
    <t>considerably faint, small, round, stellar, 3rd of 3</t>
  </si>
  <si>
    <t>cF, S, R, stellar, 3rd of 3</t>
  </si>
  <si>
    <t>NGC3208</t>
  </si>
  <si>
    <t>10h19m41.4s</t>
  </si>
  <si>
    <t>-25h48m52s</t>
  </si>
  <si>
    <t>NGC3209</t>
  </si>
  <si>
    <t>10h20m38.5s</t>
  </si>
  <si>
    <t>+25h30m17s</t>
  </si>
  <si>
    <t>faint, small, round, has a star</t>
  </si>
  <si>
    <t>F, S, R, has a *</t>
  </si>
  <si>
    <t>NGC3210</t>
  </si>
  <si>
    <t>10h27m59.2s</t>
  </si>
  <si>
    <t>+79h49m59s</t>
  </si>
  <si>
    <t>stellar, 1st of 3 in line, 1 arcmin apart</t>
  </si>
  <si>
    <t>Stellar, 1st of 3 in line, 1' apart</t>
  </si>
  <si>
    <t>NGC3211</t>
  </si>
  <si>
    <t>10h17m50.4s</t>
  </si>
  <si>
    <t>-62h40m12s</t>
  </si>
  <si>
    <t>planetary = a 10th magnitude star, round, among 150 stars</t>
  </si>
  <si>
    <t>planetary = * 10, R, am 150 st</t>
  </si>
  <si>
    <t>NGC3212</t>
  </si>
  <si>
    <t>10h28m16.4s</t>
  </si>
  <si>
    <t>+79h49m26s</t>
  </si>
  <si>
    <t>very faint, small, 2nd of 3</t>
  </si>
  <si>
    <t>vF, S, 2nd of 3</t>
  </si>
  <si>
    <t>NGC3213</t>
  </si>
  <si>
    <t>10h21m17.4s</t>
  </si>
  <si>
    <t>+19h39m6s</t>
  </si>
  <si>
    <t>NGC3214</t>
  </si>
  <si>
    <t>10h23m8.7s</t>
  </si>
  <si>
    <t>+57h2m20s</t>
  </si>
  <si>
    <t>considerably bright, very small, round, suddenly brighter middle, 5 arcmin to west of III 911</t>
  </si>
  <si>
    <t>cB, vS, R, sbM, 5' p III 911</t>
  </si>
  <si>
    <t>NGC3215</t>
  </si>
  <si>
    <t>10h28m40.8s</t>
  </si>
  <si>
    <t>+79h48m45s</t>
  </si>
  <si>
    <t>vF, S, 3rd of 3</t>
  </si>
  <si>
    <t>NGC3216</t>
  </si>
  <si>
    <t>10h21m41.2s</t>
  </si>
  <si>
    <t>+23h55m24s</t>
  </si>
  <si>
    <t>very faint, pretty small, round, brighter middle</t>
  </si>
  <si>
    <t>vF, pS, R, bM</t>
  </si>
  <si>
    <t>NGC3217</t>
  </si>
  <si>
    <t>10h23m32.6s</t>
  </si>
  <si>
    <t>+10h57m35s</t>
  </si>
  <si>
    <t>very faint disc</t>
  </si>
  <si>
    <t>vF disc</t>
  </si>
  <si>
    <t>NGC3218</t>
  </si>
  <si>
    <t>considerably bright, considerably large, extremely mottled but not resolved (place very questionable)</t>
  </si>
  <si>
    <t>cB, cL, er [Place ??]</t>
  </si>
  <si>
    <t>NGC3219</t>
  </si>
  <si>
    <t>10h22m37.4s</t>
  </si>
  <si>
    <t>+38h34m47s</t>
  </si>
  <si>
    <t>NGC3220</t>
  </si>
  <si>
    <t>10h23m44.7s</t>
  </si>
  <si>
    <t>+57h1m36s</t>
  </si>
  <si>
    <t>pretty faint, considerably large, extended 92°, 9th magnitude star 9.5 arcmin to east</t>
  </si>
  <si>
    <t>pF, cL, E 92°, * 9 f 9'.5</t>
  </si>
  <si>
    <t>NGC3221</t>
  </si>
  <si>
    <t>10h22m20.2s</t>
  </si>
  <si>
    <t>+21h34m8s</t>
  </si>
  <si>
    <t>extremely faint, much extended, with ray</t>
  </si>
  <si>
    <t>eF, mE, ray</t>
  </si>
  <si>
    <t>NGC3222</t>
  </si>
  <si>
    <t>10h22m34.4s</t>
  </si>
  <si>
    <t>+19h53m12s</t>
  </si>
  <si>
    <t>faint, a little brighter middle, partially resolved with some stars seen (per Schultz, binuclear), Auwers 27</t>
  </si>
  <si>
    <t>F, lbM, rr (Schultz, bi N), Auw 27</t>
  </si>
  <si>
    <t>NGC3223</t>
  </si>
  <si>
    <t>10h21m34.8s</t>
  </si>
  <si>
    <t>-34h16m1s</t>
  </si>
  <si>
    <t>pretty bright, very large, very little extended, pretty suddenly a little brighter middle and nucleus</t>
  </si>
  <si>
    <t>pB, vL, vlE, pslbMN</t>
  </si>
  <si>
    <t>NGC3224</t>
  </si>
  <si>
    <t>10h21m41.1s</t>
  </si>
  <si>
    <t>-34h41m46s</t>
  </si>
  <si>
    <t>very faint, pretty small, round, very gradually much brighter middle</t>
  </si>
  <si>
    <t>vF, pS, R, vgmbM</t>
  </si>
  <si>
    <t>NGC3225</t>
  </si>
  <si>
    <t>10h25m9.9s</t>
  </si>
  <si>
    <t>+58h8m59s</t>
  </si>
  <si>
    <t>considerably faint, pretty large, a little extended, very gradually brighter middle</t>
  </si>
  <si>
    <t>cF, pL, lE, vgbM</t>
  </si>
  <si>
    <t>NGC3226</t>
  </si>
  <si>
    <t>10h23m26.9s</t>
  </si>
  <si>
    <t>+19h53m51s</t>
  </si>
  <si>
    <t>pretty bright, considerably large, round, double nebula (with 3227), separation 138 arcsec at position angle 159°</t>
  </si>
  <si>
    <t>pB, cL, R, D neb, 159°, 138"</t>
  </si>
  <si>
    <t>NGC3227</t>
  </si>
  <si>
    <t>10h23m30.4s</t>
  </si>
  <si>
    <t>+19h51m55s</t>
  </si>
  <si>
    <t>NGC3228</t>
  </si>
  <si>
    <t>女王的私藏星团</t>
  </si>
  <si>
    <t>10h21m22s</t>
  </si>
  <si>
    <t>-51h43m42s</t>
  </si>
  <si>
    <t>cluster, nine large and a few small stars</t>
  </si>
  <si>
    <t>Cl, 9 L and a few S st</t>
  </si>
  <si>
    <t>NGC3229</t>
  </si>
  <si>
    <t>10h23m24.6s</t>
  </si>
  <si>
    <t>+0h3m56s</t>
  </si>
  <si>
    <t>NGC3230</t>
  </si>
  <si>
    <t>10h23m44s</t>
  </si>
  <si>
    <t>+12h34m3s</t>
  </si>
  <si>
    <t>pretty faint, pretty small, suddenly brighter middle equal to a 14th magnitude star, 9th to 10th magnitude star 19 arcsec to south</t>
  </si>
  <si>
    <t>pF, pS, sbM * 14, * 9·10 s 19"</t>
  </si>
  <si>
    <t>NGC3231</t>
  </si>
  <si>
    <t>10h26m57.8s</t>
  </si>
  <si>
    <t>+66h48m45s</t>
  </si>
  <si>
    <t>cluster, considerably large, poor, a little compressed, stars from 10th to 12th magnitude</t>
  </si>
  <si>
    <t>Cl, cL, P, lC, st 10…12</t>
  </si>
  <si>
    <t>NGC3232</t>
  </si>
  <si>
    <t>10h24m24.4s</t>
  </si>
  <si>
    <t>+28h1m42s</t>
  </si>
  <si>
    <t>extremely faint, 11th magnitude star 150 arcsec to west and a little south, preceding (western) of 2</t>
  </si>
  <si>
    <t>eF, * 11 p 150", ls, p of 2</t>
  </si>
  <si>
    <t>NGC3233</t>
  </si>
  <si>
    <t>10h21m57.5s</t>
  </si>
  <si>
    <t>-22h16m4s</t>
  </si>
  <si>
    <t>extremely faint, pretty large, irregular figure, stellar nucleus</t>
  </si>
  <si>
    <t>eF, pL, iF, stell N</t>
  </si>
  <si>
    <t>NGC3234</t>
  </si>
  <si>
    <t>10h24m59.3s</t>
  </si>
  <si>
    <t>+28h1m27s</t>
  </si>
  <si>
    <t>pretty bright, pretty small, round, pretty suddenly bright middle (perhaps = 2095)</t>
  </si>
  <si>
    <t>pB, pS, R, psbM (? = 2095)</t>
  </si>
  <si>
    <t>NGC3235</t>
  </si>
  <si>
    <t>F, S, f of 2</t>
  </si>
  <si>
    <t>NGC3236</t>
  </si>
  <si>
    <t>10h26m48.4s</t>
  </si>
  <si>
    <t>+61h16m24s</t>
  </si>
  <si>
    <t>extremely faint, very small, pretty suddenly bright middle, two stars 11th to 12th magnitude to east</t>
  </si>
  <si>
    <t>eF, vS, psbM, 2 st 11·12 f</t>
  </si>
  <si>
    <t>NGC3237</t>
  </si>
  <si>
    <t>10h25m43.4s</t>
  </si>
  <si>
    <t>+39h38m50s</t>
  </si>
  <si>
    <t>very faint, very small, round, pretty gradually brighter middle</t>
  </si>
  <si>
    <t>vF, vS, R, pgbM</t>
  </si>
  <si>
    <t>NGC3238</t>
  </si>
  <si>
    <t>10h26m42.9s</t>
  </si>
  <si>
    <t>+57h13m34s</t>
  </si>
  <si>
    <t>faint, small, round, pretty suddenly little brighter middle</t>
  </si>
  <si>
    <t>F, S, R, pslbM</t>
  </si>
  <si>
    <t>NGC3239</t>
  </si>
  <si>
    <t>10h25m5.5s</t>
  </si>
  <si>
    <t>+17h9m37s</t>
  </si>
  <si>
    <t>very faint, 9th magnitude star involved near middle</t>
  </si>
  <si>
    <t>vF, * 9 inv nr M</t>
  </si>
  <si>
    <t>NGC3240</t>
  </si>
  <si>
    <t>10h24m30.9s</t>
  </si>
  <si>
    <t>-21h47m29s</t>
  </si>
  <si>
    <t>extremely faint, small, round, star near</t>
  </si>
  <si>
    <t>eF, S, R, * nr</t>
  </si>
  <si>
    <t>NGC3241</t>
  </si>
  <si>
    <t>10h24m17s</t>
  </si>
  <si>
    <t>-32h29m0s</t>
  </si>
  <si>
    <t>faint, pretty much extended, gradually a little brighter middle, 11th magnitude star to northwest</t>
  </si>
  <si>
    <t>F, pmE, glbM, * 11 np</t>
  </si>
  <si>
    <t>NGC3242</t>
  </si>
  <si>
    <t>木魂星云</t>
  </si>
  <si>
    <t>10h24m46.1s</t>
  </si>
  <si>
    <t>-18h38m31s</t>
  </si>
  <si>
    <t>a remarkable planetary, very bright, a little extended 147°, 45 arcsec diameter, blue</t>
  </si>
  <si>
    <t>! planetary, vB, lE 147°, 45" d, blue</t>
  </si>
  <si>
    <t>NGC3243</t>
  </si>
  <si>
    <t>10h26m21.3s</t>
  </si>
  <si>
    <t>-2h37m20s</t>
  </si>
  <si>
    <t>very faint, small, a little extended, between 2 stars</t>
  </si>
  <si>
    <t>vF, S, lE, bet 2 st</t>
  </si>
  <si>
    <t>NGC3244</t>
  </si>
  <si>
    <t>10h25m28.8s</t>
  </si>
  <si>
    <t>-39h49m40s</t>
  </si>
  <si>
    <t>very faint, 11th magnitude star 90 arcsec to north</t>
  </si>
  <si>
    <t>vF, * 11 n 90"</t>
  </si>
  <si>
    <t>NGC3245</t>
  </si>
  <si>
    <t>10h27m18.2s</t>
  </si>
  <si>
    <t>+28h30m28s</t>
  </si>
  <si>
    <t>very bright, pretty large, extended 0°, suddenly much brighter middle and extended nucleus</t>
  </si>
  <si>
    <t>vB, pL, E 0°, smbMEN</t>
  </si>
  <si>
    <t>NGC3246</t>
  </si>
  <si>
    <t>10h26m41.9s</t>
  </si>
  <si>
    <t>+3h51m45s</t>
  </si>
  <si>
    <t>extremely faint, small, round, making a triangle with two stars, 6th magnitude star 8 arcmin distant at position angle 300°</t>
  </si>
  <si>
    <t>eF, S, R, 2 st Δ, * 6, 300°, 8'</t>
  </si>
  <si>
    <t>NGC3247</t>
  </si>
  <si>
    <t>10h24m12s</t>
  </si>
  <si>
    <t>-57h45m48s</t>
  </si>
  <si>
    <t>stars involved in a nebula</t>
  </si>
  <si>
    <t>st inv in neb</t>
  </si>
  <si>
    <t>NGC3248</t>
  </si>
  <si>
    <t>10h27m45.3s</t>
  </si>
  <si>
    <t>+22h50m51s</t>
  </si>
  <si>
    <t>pretty bright, small, round, pretty suddenly bright middle</t>
  </si>
  <si>
    <t>NGC3249</t>
  </si>
  <si>
    <t>10h26m22s</t>
  </si>
  <si>
    <t>-34h57m50s</t>
  </si>
  <si>
    <t>extremely faint, pretty large, round, very gradually very little brighter middle</t>
  </si>
  <si>
    <t>eF, pL, R, vgvlbM</t>
  </si>
  <si>
    <t>NGC3250</t>
  </si>
  <si>
    <t>10h26m32.1s</t>
  </si>
  <si>
    <t>-39h56m37s</t>
  </si>
  <si>
    <t>pretty bright, pretty large, round, very gradually then pretty suddenly bright middle, 13th magnitude star at position angle of 45°</t>
  </si>
  <si>
    <t>pB, pL, R, vgpsbM, * 13, 45°</t>
  </si>
  <si>
    <t>NGC3251</t>
  </si>
  <si>
    <t>10h29m16.5s</t>
  </si>
  <si>
    <t>+26h5m56s</t>
  </si>
  <si>
    <t>very faint, pretty large, 3 bight stars to southwest</t>
  </si>
  <si>
    <t>vF, pL, 3 B st sp</t>
  </si>
  <si>
    <t>NGC3252</t>
  </si>
  <si>
    <t>10h34m22.3s</t>
  </si>
  <si>
    <t>+73h45m50s</t>
  </si>
  <si>
    <t>extremely faint, pretty small, much extended, mottled but not resolved</t>
  </si>
  <si>
    <t>eF, pS, mE, r</t>
  </si>
  <si>
    <t>NGC3253</t>
  </si>
  <si>
    <t>10h28m27.3s</t>
  </si>
  <si>
    <t>+12h42m14s</t>
  </si>
  <si>
    <t>NGC3254</t>
  </si>
  <si>
    <t>10h29m19.9s</t>
  </si>
  <si>
    <t>+29h29m32s</t>
  </si>
  <si>
    <t>considerably bright, large, much extended 45°, pretty suddenly much brighter middle and nucleus</t>
  </si>
  <si>
    <t>cB, L, mE 45°, psmbMN</t>
  </si>
  <si>
    <t>NGC3255</t>
  </si>
  <si>
    <t>10h26m31.3s</t>
  </si>
  <si>
    <t>-60h40m42s</t>
  </si>
  <si>
    <t>a cluster, pretty small, very compressed, stars of 15th magnitude</t>
  </si>
  <si>
    <t>Cl, pS, vC, st 15</t>
  </si>
  <si>
    <t>NGC3256</t>
  </si>
  <si>
    <t>10h27m51.4s</t>
  </si>
  <si>
    <t>-43h54m19s</t>
  </si>
  <si>
    <t>considerably bright, small, round, gradually much brighter middle</t>
  </si>
  <si>
    <t>cB, S, R, gmbM</t>
  </si>
  <si>
    <t>NGC3257</t>
  </si>
  <si>
    <t>10h28m47s</t>
  </si>
  <si>
    <t>-35h39m29s</t>
  </si>
  <si>
    <t>very faint, very small, round, pretty suddenly brighter middle, 1st of 4</t>
  </si>
  <si>
    <t>vF, vS, R, psbM, 1st of 4</t>
  </si>
  <si>
    <t>NGC3258</t>
  </si>
  <si>
    <t>10h28m53.4s</t>
  </si>
  <si>
    <t>-35h36m18s</t>
  </si>
  <si>
    <t>considerably faint, small, round, pretty suddenly a little brighter middle, 2nd of 4</t>
  </si>
  <si>
    <t>cF, S, R, pslbM, 2nd of 4</t>
  </si>
  <si>
    <t>NGC3259</t>
  </si>
  <si>
    <t>10h32m34.5s</t>
  </si>
  <si>
    <t>+65h2m28s</t>
  </si>
  <si>
    <t>NGC3260</t>
  </si>
  <si>
    <t>10h29m6.1s</t>
  </si>
  <si>
    <t>-35h35m45s</t>
  </si>
  <si>
    <t>very very faint, very small, round, pretty suddenly a little brighter middle, 3rd of 4</t>
  </si>
  <si>
    <t>vvF, vS, R, pslbM, 3rd of 4</t>
  </si>
  <si>
    <t>NGC3261</t>
  </si>
  <si>
    <t>10h29m1.4s</t>
  </si>
  <si>
    <t>-44h39m27s</t>
  </si>
  <si>
    <t>faint, small, round, among stars</t>
  </si>
  <si>
    <t>F, S, R, am st</t>
  </si>
  <si>
    <t>NGC3262</t>
  </si>
  <si>
    <t>-44h9m36s</t>
  </si>
  <si>
    <t>NGC3263</t>
  </si>
  <si>
    <t>10h29m13.3s</t>
  </si>
  <si>
    <t>-44h7m22s</t>
  </si>
  <si>
    <t>faint, small, much extended 280°, pretty suddenly brighter middle</t>
  </si>
  <si>
    <t>F, S, mE 280°, psbM</t>
  </si>
  <si>
    <t>NGC3264</t>
  </si>
  <si>
    <t>10h32m19.9s</t>
  </si>
  <si>
    <t>+56h5m2s</t>
  </si>
  <si>
    <t>extremely faint, between 2 small (faint) stars</t>
  </si>
  <si>
    <t>eF, bet 2 S st</t>
  </si>
  <si>
    <t>NGC3265</t>
  </si>
  <si>
    <t>10h31m6.8s</t>
  </si>
  <si>
    <t>+28h47m49s</t>
  </si>
  <si>
    <t>pretty faint, small, round, pretty suddenly brighter middle, star to southeast</t>
  </si>
  <si>
    <t>pF, S, R, psbM, * sf</t>
  </si>
  <si>
    <t>NGC3266</t>
  </si>
  <si>
    <t>10h33m17.6s</t>
  </si>
  <si>
    <t>+64h44m59s</t>
  </si>
  <si>
    <t>considerably faint, very small, round, pretty suddenly much brighter middle like a star</t>
  </si>
  <si>
    <t>cF, vS, R, psmbM *</t>
  </si>
  <si>
    <t>NGC3267</t>
  </si>
  <si>
    <t>10h29m48.5s</t>
  </si>
  <si>
    <t>-35h19m22s</t>
  </si>
  <si>
    <t>extremely faint, very small, round, 1st of 4</t>
  </si>
  <si>
    <t>eF, vS, R, 1st of 4</t>
  </si>
  <si>
    <t>NGC3268</t>
  </si>
  <si>
    <t>10h30m0.3s</t>
  </si>
  <si>
    <t>-35h19m32s</t>
  </si>
  <si>
    <t>faint, small, round, 2nd of 4</t>
  </si>
  <si>
    <t>NGC3269</t>
  </si>
  <si>
    <t>10h29m57s</t>
  </si>
  <si>
    <t>-35h13m26s</t>
  </si>
  <si>
    <t>faint, small, round, brighter middle, 3rd of 4</t>
  </si>
  <si>
    <t>F, S, R, bM, 3rd of 4</t>
  </si>
  <si>
    <t>NGC3270</t>
  </si>
  <si>
    <t>10h31m30s</t>
  </si>
  <si>
    <t>+24h52m10s</t>
  </si>
  <si>
    <t>considerably faint, very small, extended, gradually a little brighter middle</t>
  </si>
  <si>
    <t>cF, vS, E, glbM</t>
  </si>
  <si>
    <t>NGC3271</t>
  </si>
  <si>
    <t>10h30m26.5s</t>
  </si>
  <si>
    <t>-35h21m36s</t>
  </si>
  <si>
    <t>pretty faint, small, extended, pretty much brighter middle, 4th of 4</t>
  </si>
  <si>
    <t>pF, S, E, pmbM, 4th of 4</t>
  </si>
  <si>
    <t>NGC3272</t>
  </si>
  <si>
    <t>10h31m48.1s</t>
  </si>
  <si>
    <t>+28h28m10s</t>
  </si>
  <si>
    <t>faint, very small, irregularly round, h 721 to northeast</t>
  </si>
  <si>
    <t>F, vS, iR, h 721 nf</t>
  </si>
  <si>
    <t>NGC3273</t>
  </si>
  <si>
    <t>10h30m29s</t>
  </si>
  <si>
    <t>-35h36m40s</t>
  </si>
  <si>
    <t>very faint, very small, round, pretty suddenly a little brighter middle, 4th of 4</t>
  </si>
  <si>
    <t>vF, vS, R, pslbM, 4th of 4</t>
  </si>
  <si>
    <t>NGC3274</t>
  </si>
  <si>
    <t>10h32m17.1s</t>
  </si>
  <si>
    <t>+27h40m8s</t>
  </si>
  <si>
    <t>faint, pretty large, round, gradually a little brighter middle, double star to east</t>
  </si>
  <si>
    <t>F, pL, R, glbM, D * f</t>
  </si>
  <si>
    <t>NGC3275</t>
  </si>
  <si>
    <t>10h30m51.7s</t>
  </si>
  <si>
    <t>-36h44m13s</t>
  </si>
  <si>
    <t>faint, large, very little extended, pretty suddenly a little brighter middle</t>
  </si>
  <si>
    <t>F, L, vlE, pslbM</t>
  </si>
  <si>
    <t>NGC3276</t>
  </si>
  <si>
    <t>10h31m9.1s</t>
  </si>
  <si>
    <t>-39h56m42s</t>
  </si>
  <si>
    <t>faint, small, 8th magnitude star to west</t>
  </si>
  <si>
    <t>F, S, * 8 p</t>
  </si>
  <si>
    <t>NGC3277</t>
  </si>
  <si>
    <t>10h32m55.4s</t>
  </si>
  <si>
    <t>+28h30m44s</t>
  </si>
  <si>
    <t>considerably bright, considerably small, round, pretty gradually much brighter middle</t>
  </si>
  <si>
    <t>cB, cS, R, pgmbM</t>
  </si>
  <si>
    <t>NGC3278</t>
  </si>
  <si>
    <t>10h31m35.5s</t>
  </si>
  <si>
    <t>-39h57m21s</t>
  </si>
  <si>
    <t>faint, small, round, double star to northeast</t>
  </si>
  <si>
    <t>F, S, R, D * nf</t>
  </si>
  <si>
    <t>NGC3279</t>
  </si>
  <si>
    <t>10h34m42.6s</t>
  </si>
  <si>
    <t>+11h11m49s</t>
  </si>
  <si>
    <t>NGC3280</t>
  </si>
  <si>
    <t>10h32m43.8s</t>
  </si>
  <si>
    <t>-12h38m12s</t>
  </si>
  <si>
    <t>NGC3281</t>
  </si>
  <si>
    <t>10h31m52.2s</t>
  </si>
  <si>
    <t>-34h51m16s</t>
  </si>
  <si>
    <t>extremely faint, pretty large, extended, gradually a little brighter middle</t>
  </si>
  <si>
    <t>eF, pL, E, glbM</t>
  </si>
  <si>
    <t>NGC3282</t>
  </si>
  <si>
    <t>10h32m21.8s</t>
  </si>
  <si>
    <t>-22h18m7s</t>
  </si>
  <si>
    <t>extremely faint star in extremely faint, very small nebula, between 2 stars</t>
  </si>
  <si>
    <t>eF * in eF, vS neb, bet 2 st</t>
  </si>
  <si>
    <t>NGC3283</t>
  </si>
  <si>
    <t>10h31m11.2s</t>
  </si>
  <si>
    <t>-46h15m2s</t>
  </si>
  <si>
    <t>NGC3284</t>
  </si>
  <si>
    <t>10h36m21.3s</t>
  </si>
  <si>
    <t>+58h37m13s</t>
  </si>
  <si>
    <t>NGC3285</t>
  </si>
  <si>
    <t>10h33m35.8s</t>
  </si>
  <si>
    <t>-27h27m16s</t>
  </si>
  <si>
    <t>pretty bright, small, a little extended, gradually brighter middle, 1st of 9</t>
  </si>
  <si>
    <t>pB, S, lE, gbM, 1st of 9</t>
  </si>
  <si>
    <t>NGC3286</t>
  </si>
  <si>
    <t>vF, pS, R, pslbM</t>
  </si>
  <si>
    <t>NGC3287</t>
  </si>
  <si>
    <t>10h34m47.3s</t>
  </si>
  <si>
    <t>+21h38m52s</t>
  </si>
  <si>
    <t>faint, pretty large, double star 24 seconds of time to west, 4 arcmin to south</t>
  </si>
  <si>
    <t>F, pL, D * p 24s, s 4'</t>
  </si>
  <si>
    <t>NGC3288</t>
  </si>
  <si>
    <t>10h36m25.5s</t>
  </si>
  <si>
    <t>+58h33m22s</t>
  </si>
  <si>
    <t>extremely faint, considerably small, round, very gradually a little brighter middle</t>
  </si>
  <si>
    <t>eF, cS, R, vglbM</t>
  </si>
  <si>
    <t>NGC3289</t>
  </si>
  <si>
    <t>10h34m7.3s</t>
  </si>
  <si>
    <t>-35h19m23s</t>
  </si>
  <si>
    <t>NGC3290</t>
  </si>
  <si>
    <t>10h35m17.5s</t>
  </si>
  <si>
    <t>-17h16m36s</t>
  </si>
  <si>
    <t>extremely faint, small, a little extended 0°, gradually brighter middle, bright star 6 arcmin to north</t>
  </si>
  <si>
    <t>eF, S, lE 0°, gbM, B * n 6'</t>
  </si>
  <si>
    <t>NGC3291</t>
  </si>
  <si>
    <t>10h36m6.2s</t>
  </si>
  <si>
    <t>+37h16m30s</t>
  </si>
  <si>
    <t>a 13th magnitude star involved in a very faint nebula</t>
  </si>
  <si>
    <t>* 13 inv in vF neb</t>
  </si>
  <si>
    <t>NGC3292</t>
  </si>
  <si>
    <t>10h35m34.4s</t>
  </si>
  <si>
    <t>-6h10m46s</t>
  </si>
  <si>
    <t>NGC3293</t>
  </si>
  <si>
    <t>宝石星团</t>
  </si>
  <si>
    <t>10h35m51s</t>
  </si>
  <si>
    <t>-58h13m48s</t>
  </si>
  <si>
    <t>a cluster, bright, rich, pretty large</t>
  </si>
  <si>
    <t>Cl, B, Ri, pL</t>
  </si>
  <si>
    <t>NGC3294</t>
  </si>
  <si>
    <t>10h36m16s</t>
  </si>
  <si>
    <t>+37h19m29s</t>
  </si>
  <si>
    <t>considerably bright, large, much extended 135°, gradually a little brighter middle</t>
  </si>
  <si>
    <t>cB, L, mE 135°, glbM</t>
  </si>
  <si>
    <t>NGC3295</t>
  </si>
  <si>
    <t>eF, pL, bM, D or st inv</t>
  </si>
  <si>
    <t>NGC3296</t>
  </si>
  <si>
    <t>10h32m45.3s</t>
  </si>
  <si>
    <t>-12h43m0s</t>
  </si>
  <si>
    <t>extremely faint, pretty small, round, brighter middle</t>
  </si>
  <si>
    <t>eF, pS, R, bM</t>
  </si>
  <si>
    <t>NGC3297</t>
  </si>
  <si>
    <t>10h33m11.7s</t>
  </si>
  <si>
    <t>-12h40m16s</t>
  </si>
  <si>
    <t>NGC3298</t>
  </si>
  <si>
    <t>10h37m12.2s</t>
  </si>
  <si>
    <t>+50h7m13s</t>
  </si>
  <si>
    <t>very faint, pretty small, irregularly extended</t>
  </si>
  <si>
    <t>vF, pS, iE</t>
  </si>
  <si>
    <t>NGC3299</t>
  </si>
  <si>
    <t>10h36m23.9s</t>
  </si>
  <si>
    <t>+12h42m26s</t>
  </si>
  <si>
    <t>extremely faint, considerably large, round, very gradually brighter middle, mottled but not resolved</t>
  </si>
  <si>
    <t>eF, cL, R, vgbM, r</t>
  </si>
  <si>
    <t>NGC3300</t>
  </si>
  <si>
    <t>10h36m38.5s</t>
  </si>
  <si>
    <t>+14h10m16s</t>
  </si>
  <si>
    <t>considerably faint, considerably small, round, pretty much brighter middle, mottled but not resolved, among bright stars</t>
  </si>
  <si>
    <t>cF, cS, R, pmbM, r, am B st</t>
  </si>
  <si>
    <t>NGC3301</t>
  </si>
  <si>
    <t>10h36m55.8s</t>
  </si>
  <si>
    <t>+21h52m54s</t>
  </si>
  <si>
    <t>cB, S, lE 53°, psbM, r</t>
  </si>
  <si>
    <t>NGC3302</t>
  </si>
  <si>
    <t>10h35m47.4s</t>
  </si>
  <si>
    <t>-32h21m30s</t>
  </si>
  <si>
    <t>NGC3303</t>
  </si>
  <si>
    <t>10h36m59.9s</t>
  </si>
  <si>
    <t>+18h8m13s</t>
  </si>
  <si>
    <t>very faint, very small, very little extended, gradually a little brighter middle, mottled but not resolved</t>
  </si>
  <si>
    <t>vF, vS, vlE, glbM, r</t>
  </si>
  <si>
    <t>NGC3304</t>
  </si>
  <si>
    <t>10h37m37.9s</t>
  </si>
  <si>
    <t>+37h27m23s</t>
  </si>
  <si>
    <t>very faint, considerably small, pretty suddenly brighter middle, extremely mottled but not resolved</t>
  </si>
  <si>
    <t>vF, cS, psbM, er</t>
  </si>
  <si>
    <t>NGC3305</t>
  </si>
  <si>
    <t>10h36m11.7s</t>
  </si>
  <si>
    <t>-27h9m44s</t>
  </si>
  <si>
    <t>vF, S, R, 2nd of 9</t>
  </si>
  <si>
    <t>NGC3306</t>
  </si>
  <si>
    <t>10h37m10.1s</t>
  </si>
  <si>
    <t>+12h39m9s</t>
  </si>
  <si>
    <t>NGC3307</t>
  </si>
  <si>
    <t>10h36m17.2s</t>
  </si>
  <si>
    <t>-27h31m44s</t>
  </si>
  <si>
    <t>eeF, 3rd of 9</t>
  </si>
  <si>
    <t>NGC3308</t>
  </si>
  <si>
    <t>10h36m22.3s</t>
  </si>
  <si>
    <t>-27h26m14s</t>
  </si>
  <si>
    <t>F, S, R, 4th of 9</t>
  </si>
  <si>
    <t>NGC3309</t>
  </si>
  <si>
    <t>10h36m35.7s</t>
  </si>
  <si>
    <t>-27h31m3s</t>
  </si>
  <si>
    <t>B, L, R, p of D neb, 5th of 9</t>
  </si>
  <si>
    <t>NGC3310</t>
  </si>
  <si>
    <t>10h38m45.6s</t>
  </si>
  <si>
    <t>+53h30m12s</t>
  </si>
  <si>
    <t>cB, pL, R, vg, vsmbMN 15"</t>
  </si>
  <si>
    <t>NGC3311</t>
  </si>
  <si>
    <t>10h36m42.7s</t>
  </si>
  <si>
    <t>B, L, R, f of D neb, 6th of 9</t>
  </si>
  <si>
    <t>NGC3312</t>
  </si>
  <si>
    <t>10h37m2.3s</t>
  </si>
  <si>
    <t>-27h33m56s</t>
  </si>
  <si>
    <t>cF, E, gbM, 7th of 9</t>
  </si>
  <si>
    <t>NGC3313</t>
  </si>
  <si>
    <t>10h37m25.5s</t>
  </si>
  <si>
    <t>-25h19m8s</t>
  </si>
  <si>
    <t>eF, pS, iR, gbMN, * 15 n 3"</t>
  </si>
  <si>
    <t>NGC3314</t>
  </si>
  <si>
    <t>10h37m12.7s</t>
  </si>
  <si>
    <t>-27h41m0s</t>
  </si>
  <si>
    <t>8th of 9 nebulae</t>
  </si>
  <si>
    <t>8th of 9 neb</t>
  </si>
  <si>
    <t>NGC3315</t>
  </si>
  <si>
    <t>10h37m19.2s</t>
  </si>
  <si>
    <t>-27h11m30s</t>
  </si>
  <si>
    <t>vF, pL, iR, gvlbM, * 1' np</t>
  </si>
  <si>
    <t>NGC3316</t>
  </si>
  <si>
    <t>10h37m37.2s</t>
  </si>
  <si>
    <t>-27h35m39s</t>
  </si>
  <si>
    <t>F, S, R, bM, 9th of 9</t>
  </si>
  <si>
    <t>NGC3317</t>
  </si>
  <si>
    <t>10h37m43.1s</t>
  </si>
  <si>
    <t>-27h31m9s</t>
  </si>
  <si>
    <t>Neb *, 5' n of h 3284</t>
  </si>
  <si>
    <t>NGC3318</t>
  </si>
  <si>
    <t>10h37m15s</t>
  </si>
  <si>
    <t>-41h37m38s</t>
  </si>
  <si>
    <t>considerably faint, pretty large, pretty much extended, a little brighter middle</t>
  </si>
  <si>
    <t>cF, pL, pmE, lbM</t>
  </si>
  <si>
    <t>NGC3319</t>
  </si>
  <si>
    <t>10h39m9.6s</t>
  </si>
  <si>
    <t>+41h41m14s</t>
  </si>
  <si>
    <t>cF, L, iE, mb, s of M</t>
  </si>
  <si>
    <t>NGC3320</t>
  </si>
  <si>
    <t>10h39m36.5s</t>
  </si>
  <si>
    <t>+47h23m50s</t>
  </si>
  <si>
    <t>faint, pretty small, much extended, 10th magnitude star to northeast</t>
  </si>
  <si>
    <t>F, pS, mE, * 10 nf</t>
  </si>
  <si>
    <t>NGC3321</t>
  </si>
  <si>
    <t>10h38m50.5s</t>
  </si>
  <si>
    <t>-11h38m56s</t>
  </si>
  <si>
    <t>eF, pS, mE 160°, * np end</t>
  </si>
  <si>
    <t>NGC3322</t>
  </si>
  <si>
    <t>faint, irregular figure, star to west</t>
  </si>
  <si>
    <t>F, iF, * p</t>
  </si>
  <si>
    <t>NGC3323</t>
  </si>
  <si>
    <t>10h39m39.1s</t>
  </si>
  <si>
    <t>+25h19m21s</t>
  </si>
  <si>
    <t>NGC3324</t>
  </si>
  <si>
    <t>钥匙孔星云</t>
  </si>
  <si>
    <t>10h37m19.3s</t>
  </si>
  <si>
    <t>-58h38m3s</t>
  </si>
  <si>
    <t>pretty bright, very very large, irregular figure, double star involved</t>
  </si>
  <si>
    <t>pB, vvL, iF, D * inv</t>
  </si>
  <si>
    <t>NGC3325</t>
  </si>
  <si>
    <t>10h39m20.4s</t>
  </si>
  <si>
    <t>-0h11m59s</t>
  </si>
  <si>
    <t>faint, very small, very small star involved</t>
  </si>
  <si>
    <t>F, vS, vS * inv</t>
  </si>
  <si>
    <t>NGC3326</t>
  </si>
  <si>
    <t>10h39m31.8s</t>
  </si>
  <si>
    <t>+5h6m26s</t>
  </si>
  <si>
    <t>NGC3327</t>
  </si>
  <si>
    <t>10h39m57.8s</t>
  </si>
  <si>
    <t>+24h5m30s</t>
  </si>
  <si>
    <t>very faint, small, round, gradually brighter middle, very small (faint) star attached</t>
  </si>
  <si>
    <t>vF, S, R, gbM, vS * att</t>
  </si>
  <si>
    <t>NGC3328</t>
  </si>
  <si>
    <t>10h39m54.2s</t>
  </si>
  <si>
    <t>+9h18m2s</t>
  </si>
  <si>
    <t>very faint, faint star involved</t>
  </si>
  <si>
    <t>vF, F st inv</t>
  </si>
  <si>
    <t>NGC3329</t>
  </si>
  <si>
    <t>10h44m39s</t>
  </si>
  <si>
    <t>+76h48m35s</t>
  </si>
  <si>
    <t>pretty bright, small, a little extended, pretty suddenly much brighter middle</t>
  </si>
  <si>
    <t>pB, S, lE, psmbM</t>
  </si>
  <si>
    <t>NGC3330</t>
  </si>
  <si>
    <t>10h38m46s</t>
  </si>
  <si>
    <t>-54h6m54s</t>
  </si>
  <si>
    <t>a cluster, poor, stars from 9th magnitude</t>
  </si>
  <si>
    <t>Cl, P, st 9…</t>
  </si>
  <si>
    <t>NGC3331</t>
  </si>
  <si>
    <t>10h40m9s</t>
  </si>
  <si>
    <t>-23h49m14s</t>
  </si>
  <si>
    <t>very faint, small, very little extended 0°</t>
  </si>
  <si>
    <t>vF, S, vlE 0°</t>
  </si>
  <si>
    <t>NGC3332</t>
  </si>
  <si>
    <t>10h40m28.2s</t>
  </si>
  <si>
    <t>+9h10m57s</t>
  </si>
  <si>
    <t>very faint, small, a little extended 130°</t>
  </si>
  <si>
    <t>vF, S, lE 130°</t>
  </si>
  <si>
    <t>NGC3333</t>
  </si>
  <si>
    <t>10h39m49.7s</t>
  </si>
  <si>
    <t>-36h2m10s</t>
  </si>
  <si>
    <t>extremely faint, very small, much extended, 15th magnitude star attached</t>
  </si>
  <si>
    <t>eF, vS, mE, * 15 att</t>
  </si>
  <si>
    <t>NGC3334</t>
  </si>
  <si>
    <t>10h41m31.1s</t>
  </si>
  <si>
    <t>+37h18m45s</t>
  </si>
  <si>
    <t>considerably faint, very small, round, brighter middle</t>
  </si>
  <si>
    <t>cF, vS, R, bM</t>
  </si>
  <si>
    <t>NGC3335</t>
  </si>
  <si>
    <t>10h39m34.1s</t>
  </si>
  <si>
    <t>-23h55m19s</t>
  </si>
  <si>
    <t>very faint, small, irregularly round, gradually brighter middle</t>
  </si>
  <si>
    <t>vF, S, iR, gbM</t>
  </si>
  <si>
    <t>NGC3336</t>
  </si>
  <si>
    <t>10h40m16.8s</t>
  </si>
  <si>
    <t>-27h46m38s</t>
  </si>
  <si>
    <t>very faint, pretty large, a little extended, gradually a little brighter middle</t>
  </si>
  <si>
    <t>vF, pL, lE, glbM</t>
  </si>
  <si>
    <t>NGC3337</t>
  </si>
  <si>
    <t>10h41m47.5s</t>
  </si>
  <si>
    <t>+4h59m20s</t>
  </si>
  <si>
    <t>extremely faint, very small, almost stellar</t>
  </si>
  <si>
    <t>eF, vS, alm stellar</t>
  </si>
  <si>
    <t>NGC3338</t>
  </si>
  <si>
    <t>10h42m7.6s</t>
  </si>
  <si>
    <t>+13h44m48s</t>
  </si>
  <si>
    <t>F, cL, E, vgbM, * 7 p 10s</t>
  </si>
  <si>
    <t>NGC3339</t>
  </si>
  <si>
    <t>10h42m10s</t>
  </si>
  <si>
    <t>-0h22m6s</t>
  </si>
  <si>
    <t>NGC3340</t>
  </si>
  <si>
    <t>10h42m17.9s</t>
  </si>
  <si>
    <t>-0h22m37s</t>
  </si>
  <si>
    <t>NGC3341</t>
  </si>
  <si>
    <t>10h42m31.5s</t>
  </si>
  <si>
    <t>+5h2m39s</t>
  </si>
  <si>
    <t>NGC3342</t>
  </si>
  <si>
    <t>NGC3343</t>
  </si>
  <si>
    <t>10h46m10.3s</t>
  </si>
  <si>
    <t>+73h21m12s</t>
  </si>
  <si>
    <t>NGC3344</t>
  </si>
  <si>
    <t>洋葱切片星系</t>
  </si>
  <si>
    <t>10h43m30.9s</t>
  </si>
  <si>
    <t>+24h55m22s</t>
  </si>
  <si>
    <t>considerably bright, large, gradually brighter middle, star involved, 2 stars to east</t>
  </si>
  <si>
    <t>cB, L, gbM, * inv, 2 st f</t>
  </si>
  <si>
    <t>NGC3345</t>
  </si>
  <si>
    <t>10h43m32s</t>
  </si>
  <si>
    <t>+11h59m6s</t>
  </si>
  <si>
    <t>eeF (if anything)</t>
  </si>
  <si>
    <t>NGC3346</t>
  </si>
  <si>
    <t>10h43m38.7s</t>
  </si>
  <si>
    <t>+14h52m20s</t>
  </si>
  <si>
    <t>considerably faint, very large, round, very gradually a very little brighter middle, extremely mottled but not resolved</t>
  </si>
  <si>
    <t>cF, vL, R, vgvlbM, er</t>
  </si>
  <si>
    <t>NGC3347</t>
  </si>
  <si>
    <t>10h42m46.6s</t>
  </si>
  <si>
    <t>-36h21m12s</t>
  </si>
  <si>
    <t>pretty faint, small, much extended 0°±, very suddenly very much brighter middle, 1st of 3</t>
  </si>
  <si>
    <t>pF, S, mE 0° ±, vsvmbM, 1st of 3</t>
  </si>
  <si>
    <t>NGC3348</t>
  </si>
  <si>
    <t>10h47m10s</t>
  </si>
  <si>
    <t>+72h50m20s</t>
  </si>
  <si>
    <t>B, S, ilE, psbM, * 11 282°, 21s</t>
  </si>
  <si>
    <t>NGC3349</t>
  </si>
  <si>
    <t>10h43m52.7s</t>
  </si>
  <si>
    <t>+6h45m26s</t>
  </si>
  <si>
    <t>NGC3350</t>
  </si>
  <si>
    <t>10h44m22.9s</t>
  </si>
  <si>
    <t>+30h43m31s</t>
  </si>
  <si>
    <t>extremely faint, very small, 2 stars of 9th or 10th magnitude to south</t>
  </si>
  <si>
    <t>eF, vS, 2 st 9·10 s</t>
  </si>
  <si>
    <t>NGC3351</t>
  </si>
  <si>
    <t>10h43m57.8s</t>
  </si>
  <si>
    <t>+11h42m12s</t>
  </si>
  <si>
    <t>bright, large, round, pretty gradually much brighter middle and nucleus</t>
  </si>
  <si>
    <t>B, L, R, pgmbMN</t>
  </si>
  <si>
    <t>NGC3352</t>
  </si>
  <si>
    <t>10h44m14.8s</t>
  </si>
  <si>
    <t>+22h22m17s</t>
  </si>
  <si>
    <t>pretty bright, small, round, brighter middle and nucleus</t>
  </si>
  <si>
    <t>pB, S, R, bMN</t>
  </si>
  <si>
    <t>NGC3353</t>
  </si>
  <si>
    <t>10h45m22.2s</t>
  </si>
  <si>
    <t>+55h57m35s</t>
  </si>
  <si>
    <t>faint, considerably small, round, pretty gradually brighter middle, star 90 arcsec to south</t>
  </si>
  <si>
    <t>F, cS, R, pgbM, * s 90"</t>
  </si>
  <si>
    <t>NGC3354</t>
  </si>
  <si>
    <t>10h43m2.8s</t>
  </si>
  <si>
    <t>-36h21m46s</t>
  </si>
  <si>
    <t>faint, small, very little extended, pretty suddenly brighter middle, 2nd of 3</t>
  </si>
  <si>
    <t>F, S, vlE, psbM, 2nd of 3</t>
  </si>
  <si>
    <t>NGC3355</t>
  </si>
  <si>
    <t>10h43m32.6s</t>
  </si>
  <si>
    <t>-23h11m36s</t>
  </si>
  <si>
    <t>NGC3356</t>
  </si>
  <si>
    <t>10h44m12.4s</t>
  </si>
  <si>
    <t>+6h45m32s</t>
  </si>
  <si>
    <t>very faint, pretty small, round, brighter middle, 9th magnitude star about 150 arcsec to the south</t>
  </si>
  <si>
    <t>vF, pS, R, bM, * 9 s 150" ±</t>
  </si>
  <si>
    <t>NGC3357</t>
  </si>
  <si>
    <t>10h44m20.9s</t>
  </si>
  <si>
    <t>+14h5m4s</t>
  </si>
  <si>
    <t>faint, small, much brighter middle</t>
  </si>
  <si>
    <t>F, S, mbM</t>
  </si>
  <si>
    <t>NGC3358</t>
  </si>
  <si>
    <t>10h43m33s</t>
  </si>
  <si>
    <t>-36h24m39s</t>
  </si>
  <si>
    <t>considerably faint, very small, very little extended, very small (faint) star attached, 3rd of 3</t>
  </si>
  <si>
    <t>cF, vS, vlE, vS * att, 3rd of 3</t>
  </si>
  <si>
    <t>NGC3359</t>
  </si>
  <si>
    <t>10h46m36.3s</t>
  </si>
  <si>
    <t>+63h13m24s</t>
  </si>
  <si>
    <t>pretty bright, large, extended 0°, gradually a little brighter middle</t>
  </si>
  <si>
    <t>pB, L, E 0°, glbM</t>
  </si>
  <si>
    <t>NGC3360</t>
  </si>
  <si>
    <t>10h44m16.2s</t>
  </si>
  <si>
    <t>-11h14m33s</t>
  </si>
  <si>
    <t>faint pair of nebulae, the eastern one the brighter</t>
  </si>
  <si>
    <t>F pair of neb, f one the brighter</t>
  </si>
  <si>
    <t>NGC3361</t>
  </si>
  <si>
    <t>10h44m29.1s</t>
  </si>
  <si>
    <t>-11h12m29s</t>
  </si>
  <si>
    <t>NGC3362</t>
  </si>
  <si>
    <t>10h44m51.7s</t>
  </si>
  <si>
    <t>+6h35m50s</t>
  </si>
  <si>
    <t>NGC3363</t>
  </si>
  <si>
    <t>10h45m9.5s</t>
  </si>
  <si>
    <t>+22h4m43s</t>
  </si>
  <si>
    <t>faint, pretty small, irregularly round, a little brighter middle, mottled but not resolved</t>
  </si>
  <si>
    <t>F, pS, iR, lbM, r</t>
  </si>
  <si>
    <t>NGC3364</t>
  </si>
  <si>
    <t>10h48m29.5s</t>
  </si>
  <si>
    <t>+72h25m30s</t>
  </si>
  <si>
    <t>very faint, large, round, very gradually brighter middle, mottled but not resolved, double star to southeast</t>
  </si>
  <si>
    <t>vF, L, R, vgbM, r, D * sf</t>
  </si>
  <si>
    <t>NGC3365</t>
  </si>
  <si>
    <t>10h46m12.7s</t>
  </si>
  <si>
    <t>+1h48m46s</t>
  </si>
  <si>
    <t>considerably faint, large, extremely extended 159°, very gradually a very little brighter middle</t>
  </si>
  <si>
    <t>eF, L, eE 159°, vgvlbM</t>
  </si>
  <si>
    <t>NGC3366</t>
  </si>
  <si>
    <t>10h35m8.1s</t>
  </si>
  <si>
    <t>-43h41m37s</t>
  </si>
  <si>
    <t>faint, extended, gradually brighter middle, 6.7 magnitude star very near</t>
  </si>
  <si>
    <t>F, E, gbM, * 6·7 v nr</t>
  </si>
  <si>
    <t>NGC3367</t>
  </si>
  <si>
    <t>10h46m34.9s</t>
  </si>
  <si>
    <t>+13h45m1s</t>
  </si>
  <si>
    <t>pretty bright, considerably large, irregularly round, very gradually a little brighter middle, mottled but not resolved, 1st of 3</t>
  </si>
  <si>
    <t>pB, cL, iR, vglbM, r, 1st of 3</t>
  </si>
  <si>
    <t>NGC3368</t>
  </si>
  <si>
    <t>10h46m45.8s</t>
  </si>
  <si>
    <t>+11h49m12s</t>
  </si>
  <si>
    <t>very bright, very large, a little extended, very suddenly very much brighter middle, mottled but not resolved</t>
  </si>
  <si>
    <t>vB, vL, lE, vsvmbM, r</t>
  </si>
  <si>
    <t>NGC3369</t>
  </si>
  <si>
    <t>10h46m44.7s</t>
  </si>
  <si>
    <t>-25h14m39s</t>
  </si>
  <si>
    <t>NGC3370</t>
  </si>
  <si>
    <t>10h47m4s</t>
  </si>
  <si>
    <t>+17h16m26s</t>
  </si>
  <si>
    <t>considerably bright, pretty large, very little extended, gradually brighter middle, mottled but not resolved</t>
  </si>
  <si>
    <t>cB, pL, vlE, gbM, r</t>
  </si>
  <si>
    <t>NGC3371</t>
  </si>
  <si>
    <t>10h48m16.7s</t>
  </si>
  <si>
    <t>+12h37m43s</t>
  </si>
  <si>
    <t>extremely faint, round, 2nd of 3</t>
  </si>
  <si>
    <t>eF, R, 2nd of 3</t>
  </si>
  <si>
    <t>NGC3372</t>
  </si>
  <si>
    <t>船底座星云</t>
  </si>
  <si>
    <t>10h45m6s</t>
  </si>
  <si>
    <t>-59h52m0s</t>
  </si>
  <si>
    <t>a remarkable object, the Great nebula, η Arg?s</t>
  </si>
  <si>
    <t>! Great neb, η Arg?s</t>
  </si>
  <si>
    <t>NGC3373</t>
  </si>
  <si>
    <t>10h48m28s</t>
  </si>
  <si>
    <t>+12h31m59s</t>
  </si>
  <si>
    <t>faint, round, 3rd of 3</t>
  </si>
  <si>
    <t>F, R, 3rd of 3</t>
  </si>
  <si>
    <t>NGC3374</t>
  </si>
  <si>
    <t>10h48m1s</t>
  </si>
  <si>
    <t>+43h11m10s</t>
  </si>
  <si>
    <t>very faint, considerably small, irregularly round</t>
  </si>
  <si>
    <t>vF, cS, iR</t>
  </si>
  <si>
    <t>NGC3375</t>
  </si>
  <si>
    <t>10h47m0.7s</t>
  </si>
  <si>
    <t>-9h56m31s</t>
  </si>
  <si>
    <t>faint, small, round, gradually much brighter middle</t>
  </si>
  <si>
    <t>F, S, R, gmbM</t>
  </si>
  <si>
    <t>NGC3376</t>
  </si>
  <si>
    <t>10h47m26.5s</t>
  </si>
  <si>
    <t>+6h2m55s</t>
  </si>
  <si>
    <t>NGC3377</t>
  </si>
  <si>
    <t>10h47m42.3s</t>
  </si>
  <si>
    <t>+13h59m9s</t>
  </si>
  <si>
    <t>very bright, considerably large, a little extended, suddenly very much brighter middle and bright nucleus</t>
  </si>
  <si>
    <t>vB, cL, lE, svmbMBN</t>
  </si>
  <si>
    <t>NGC3378</t>
  </si>
  <si>
    <t>10h46m43.3s</t>
  </si>
  <si>
    <t>-40h0m56s</t>
  </si>
  <si>
    <t>NGC3379</t>
  </si>
  <si>
    <t>10h47m49.5s</t>
  </si>
  <si>
    <t>+12h34m52s</t>
  </si>
  <si>
    <t>very bright, considerably large, round, pretty suddenly brighter middle, mottled but not resolved</t>
  </si>
  <si>
    <t>vB, cL, R, psbM, r</t>
  </si>
  <si>
    <t>NGC3380</t>
  </si>
  <si>
    <t>10h48m12.1s</t>
  </si>
  <si>
    <t>+28h36m7s</t>
  </si>
  <si>
    <t>pretty bright, pretty small, round, suddenly brighter middle</t>
  </si>
  <si>
    <t>pB, pS, R, sbM</t>
  </si>
  <si>
    <t>NGC3381</t>
  </si>
  <si>
    <t>10h48m24.7s</t>
  </si>
  <si>
    <t>+34h42m41s</t>
  </si>
  <si>
    <t>pretty faint, considerably large, irregularly round, very gradually a little brighter middle, 1st of 3</t>
  </si>
  <si>
    <t>pF, cL, iR, vglbM, 1st of 3</t>
  </si>
  <si>
    <t>NGC3382</t>
  </si>
  <si>
    <t>10h48m25.5s</t>
  </si>
  <si>
    <t>+36h43m32s</t>
  </si>
  <si>
    <t>faint, small, irregularly round, perhaps a small cluster?</t>
  </si>
  <si>
    <t>F, S, iR, ? S Cl</t>
  </si>
  <si>
    <t>NGC3383</t>
  </si>
  <si>
    <t>10h47m19.2s</t>
  </si>
  <si>
    <t>-24h26m16s</t>
  </si>
  <si>
    <t>faint, pretty large, irregularly round, gradually a little brighter middle</t>
  </si>
  <si>
    <t>F, pL, iR, glbM</t>
  </si>
  <si>
    <t>NGC3384</t>
  </si>
  <si>
    <t>vB, L, R, psmbM, 2nd of 3</t>
  </si>
  <si>
    <t>NGC3385</t>
  </si>
  <si>
    <t>10h48m11.6s</t>
  </si>
  <si>
    <t>+4h55m42s</t>
  </si>
  <si>
    <t>very faint, small, round, southern of 2</t>
  </si>
  <si>
    <t>vF, S, R, s of 2</t>
  </si>
  <si>
    <t>NGC3386</t>
  </si>
  <si>
    <t>10h48m11.8s</t>
  </si>
  <si>
    <t>+4h59m57s</t>
  </si>
  <si>
    <t>very faint, small, a little extended, brighter middle, northern of 2</t>
  </si>
  <si>
    <t>vF, S, lE, bM, n of 2</t>
  </si>
  <si>
    <t>NGC3387</t>
  </si>
  <si>
    <t>10h48m16.9s</t>
  </si>
  <si>
    <t>+4h58m1s</t>
  </si>
  <si>
    <t>NGC3388</t>
  </si>
  <si>
    <t>10h51m25.5s</t>
  </si>
  <si>
    <t>+8h34m3s</t>
  </si>
  <si>
    <t>NGC3389</t>
  </si>
  <si>
    <t>F, L, E pf, vglbM, 3rd of 3</t>
  </si>
  <si>
    <t>NGC3390</t>
  </si>
  <si>
    <t>10h48m4.3s</t>
  </si>
  <si>
    <t>-31h32m0s</t>
  </si>
  <si>
    <t>faint, small, pretty much extended 0°</t>
  </si>
  <si>
    <t>F, S, pmE 0°</t>
  </si>
  <si>
    <t>NGC3391</t>
  </si>
  <si>
    <t>10h48m56.4s</t>
  </si>
  <si>
    <t>+14h13m10s</t>
  </si>
  <si>
    <t>faint, small, round, between 2 nearby stars</t>
  </si>
  <si>
    <t>F, S, R, bet 2 st, nr</t>
  </si>
  <si>
    <t>NGC3392</t>
  </si>
  <si>
    <t>10h51m2.9s</t>
  </si>
  <si>
    <t>+65h46m53s</t>
  </si>
  <si>
    <t>very faint, small, pretty suddenly brighter middle, star near</t>
  </si>
  <si>
    <t>vF, S, psbM, st nr</t>
  </si>
  <si>
    <t>NGC3393</t>
  </si>
  <si>
    <t>10h48m23.4s</t>
  </si>
  <si>
    <t>-25h9m42s</t>
  </si>
  <si>
    <t>faint, small, round, pretty suddenly brighter middle, two 10th magnitude stars to east</t>
  </si>
  <si>
    <t>F, S, R, psbM, 2 st 10 f</t>
  </si>
  <si>
    <t>NGC3394</t>
  </si>
  <si>
    <t>10h50m39.8s</t>
  </si>
  <si>
    <t>+65h43m40s</t>
  </si>
  <si>
    <t>considerably faint, small, a little extended, very gradually brighter middle</t>
  </si>
  <si>
    <t>cF, S, lE, vgbM</t>
  </si>
  <si>
    <t>NGC3395</t>
  </si>
  <si>
    <t>10h49m49.9s</t>
  </si>
  <si>
    <t>+32h58m53s</t>
  </si>
  <si>
    <t>considerably bright, pretty small, irregularly a little extended, 1st of 2</t>
  </si>
  <si>
    <t>cB, pS, ilE, 1st of 2</t>
  </si>
  <si>
    <t>NGC3396</t>
  </si>
  <si>
    <t>10h49m55.6s</t>
  </si>
  <si>
    <t>+32h59m26s</t>
  </si>
  <si>
    <t>pB, pS, ilE, 2nd of 2</t>
  </si>
  <si>
    <t>NGC3397</t>
  </si>
  <si>
    <t>considerably bright, very small, irregular figure (place very uncertain?)</t>
  </si>
  <si>
    <t>cB, vS, iF [Place ??]</t>
  </si>
  <si>
    <t>NGC3398</t>
  </si>
  <si>
    <t>10h51m31.2s</t>
  </si>
  <si>
    <t>+55h23m28s</t>
  </si>
  <si>
    <t>very faint, small, extended, extremely mottled but not resolved</t>
  </si>
  <si>
    <t>vF, S, E, er</t>
  </si>
  <si>
    <t>NGC3399</t>
  </si>
  <si>
    <t>10h49m27.6s</t>
  </si>
  <si>
    <t>+16h13m8s</t>
  </si>
  <si>
    <t>NGC3400</t>
  </si>
  <si>
    <t>10h50m45.5s</t>
  </si>
  <si>
    <t>+28h28m8s</t>
  </si>
  <si>
    <t>NGC3401</t>
  </si>
  <si>
    <t>10h49m12s</t>
  </si>
  <si>
    <t>+5h48m8s</t>
  </si>
  <si>
    <t>extremely faint (not verified)</t>
  </si>
  <si>
    <t>eF (not verified)</t>
  </si>
  <si>
    <t>NGC3402</t>
  </si>
  <si>
    <t>10h50m26.1s</t>
  </si>
  <si>
    <t>-12h50m42s</t>
  </si>
  <si>
    <t>NGC3403</t>
  </si>
  <si>
    <t>10h53m54.3s</t>
  </si>
  <si>
    <t>+73h41m24s</t>
  </si>
  <si>
    <t>pretty faint, large, irregularly extended, very gradually brighter middle</t>
  </si>
  <si>
    <t>pF, L, iE, vgbM</t>
  </si>
  <si>
    <t>NGC3404</t>
  </si>
  <si>
    <t>10h50m17.8s</t>
  </si>
  <si>
    <t>-12h6m29s</t>
  </si>
  <si>
    <t>pretty bright, very large, extended east-west</t>
  </si>
  <si>
    <t>pB, vL, E pf</t>
  </si>
  <si>
    <t>NGC3405</t>
  </si>
  <si>
    <t>10h49m44.3s</t>
  </si>
  <si>
    <t>+16h14m33s</t>
  </si>
  <si>
    <t>faint, extremely small, almost stellar, close to small (faint) star</t>
  </si>
  <si>
    <t>F, eS, alm stell, close to S *</t>
  </si>
  <si>
    <t>NGC3406</t>
  </si>
  <si>
    <t>10h51m43.7s</t>
  </si>
  <si>
    <t>+51h1m22s</t>
  </si>
  <si>
    <t>pretty bright, round, pretty gradually brighter middle</t>
  </si>
  <si>
    <t>pB, R, pgbM</t>
  </si>
  <si>
    <t>NGC3407</t>
  </si>
  <si>
    <t>10h52m17.8s</t>
  </si>
  <si>
    <t>+61h22m46s</t>
  </si>
  <si>
    <t>very faint, very small, round, very small (faint) star near</t>
  </si>
  <si>
    <t>vF, vS, R, vS * nr</t>
  </si>
  <si>
    <t>NGC3408</t>
  </si>
  <si>
    <t>10h52m11.5s</t>
  </si>
  <si>
    <t>+58h26m19s</t>
  </si>
  <si>
    <t>very faint, considerably small, round, 2 pretty bright stars to south</t>
  </si>
  <si>
    <t>vF, cS, R, 2 pB st s</t>
  </si>
  <si>
    <t>NGC3409</t>
  </si>
  <si>
    <t>10h50m20.2s</t>
  </si>
  <si>
    <t>-17h2m41s</t>
  </si>
  <si>
    <t>extremely faint, small, extended 200°, 2 very faint stars involved</t>
  </si>
  <si>
    <t>eF, S, E 200°, 2 vF st inv</t>
  </si>
  <si>
    <t>NGC3410</t>
  </si>
  <si>
    <t>10h51m53.6s</t>
  </si>
  <si>
    <t>+51h0m23s</t>
  </si>
  <si>
    <t>faint, pretty small, diffuse, 2 arcmin southeast of h771</t>
  </si>
  <si>
    <t>F, pS, dif, 2' sf h 771</t>
  </si>
  <si>
    <t>NGC3411</t>
  </si>
  <si>
    <t>NGC3412</t>
  </si>
  <si>
    <t>10h50m53.3s</t>
  </si>
  <si>
    <t>+13h24m46s</t>
  </si>
  <si>
    <t>bright, small, a little extended 135°±, suddenly much brighter middle and nucleus</t>
  </si>
  <si>
    <t>B, S, lE 135° ±, smbMN</t>
  </si>
  <si>
    <t>NGC3413</t>
  </si>
  <si>
    <t>10h51m20.7s</t>
  </si>
  <si>
    <t>+32h45m58s</t>
  </si>
  <si>
    <t>NGC3414</t>
  </si>
  <si>
    <t>10h51m16.1s</t>
  </si>
  <si>
    <t>+27h58m30s</t>
  </si>
  <si>
    <t>bright, pretty large, round, much brighter middle</t>
  </si>
  <si>
    <t>B, pL, R, mbM</t>
  </si>
  <si>
    <t>NGC3415</t>
  </si>
  <si>
    <t>10h51m42.4s</t>
  </si>
  <si>
    <t>+43h42m46s</t>
  </si>
  <si>
    <t>pretty bright, small, very little extended, stellar, 3 small (faint) stars near</t>
  </si>
  <si>
    <t>pB, S, vlE, stellar, 3 S st nr</t>
  </si>
  <si>
    <t>NGC3416</t>
  </si>
  <si>
    <t>10h51m48.3s</t>
  </si>
  <si>
    <t>+43h45m53s</t>
  </si>
  <si>
    <t>extremely faint (perhaps faint star?), north of h772</t>
  </si>
  <si>
    <t>eF (? F *), n of h 772</t>
  </si>
  <si>
    <t>NGC3417</t>
  </si>
  <si>
    <t>10h51m1.7s</t>
  </si>
  <si>
    <t>+8h28m25s</t>
  </si>
  <si>
    <t>eF, vS, alm stell</t>
  </si>
  <si>
    <t>NGC3418</t>
  </si>
  <si>
    <t>10h51m23.9s</t>
  </si>
  <si>
    <t>+28h6m44s</t>
  </si>
  <si>
    <t>NGC3419</t>
  </si>
  <si>
    <t>10h51m17.8s</t>
  </si>
  <si>
    <t>+13h56m44s</t>
  </si>
  <si>
    <t>faint, very small, round, almost stellar, small (faint) star very near</t>
  </si>
  <si>
    <t>F, vS, R, alm stell, S * v nr</t>
  </si>
  <si>
    <t>NGC3420</t>
  </si>
  <si>
    <t>10h50m9.6s</t>
  </si>
  <si>
    <t>-17h14m35s</t>
  </si>
  <si>
    <t>extremely faint, very small, round, pretty gradually brighter middle and nucleus, magnitude 8.5 star 6 arcmin to south</t>
  </si>
  <si>
    <t>eF, vS, R, pgbMN, * 8.5 s 6'</t>
  </si>
  <si>
    <t>NGC3421</t>
  </si>
  <si>
    <t>10h50m57.6s</t>
  </si>
  <si>
    <t>-12h26m52s</t>
  </si>
  <si>
    <t>2 nebulae, faint, round</t>
  </si>
  <si>
    <t>2 neb, F, R</t>
  </si>
  <si>
    <t>NGC3422</t>
  </si>
  <si>
    <t>巨爵座</t>
  </si>
  <si>
    <t>CRT</t>
  </si>
  <si>
    <t>10h51m17.4s</t>
  </si>
  <si>
    <t>-12h24m7s</t>
  </si>
  <si>
    <t>NGC3423</t>
  </si>
  <si>
    <t>10h51m14.4s</t>
  </si>
  <si>
    <t>+5h50m24s</t>
  </si>
  <si>
    <t>faint, very large, round, very gradually brighter middle, partially resolved (some stars seen)</t>
  </si>
  <si>
    <t>F, vL, R, vgbM, rr</t>
  </si>
  <si>
    <t>NGC3424</t>
  </si>
  <si>
    <t>10h51m46.2s</t>
  </si>
  <si>
    <t>+32h54m1s</t>
  </si>
  <si>
    <t>pretty faint, pretty large, a little extended, southwestern of 3</t>
  </si>
  <si>
    <t>pF, pL, lE, sp of 3</t>
  </si>
  <si>
    <t>NGC3425</t>
  </si>
  <si>
    <t>NGC3426</t>
  </si>
  <si>
    <t>10h51m41.7s</t>
  </si>
  <si>
    <t>+18h28m52s</t>
  </si>
  <si>
    <t>pretty faint, small, round, double star to north</t>
  </si>
  <si>
    <t>pF, S, R, D * n</t>
  </si>
  <si>
    <t>NGC3427</t>
  </si>
  <si>
    <t>10h51m26.2s</t>
  </si>
  <si>
    <t>+8h17m54s</t>
  </si>
  <si>
    <t>Neb, no descr.</t>
  </si>
  <si>
    <t>NGC3428</t>
  </si>
  <si>
    <t>10h51m29.5s</t>
  </si>
  <si>
    <t>+9h16m45s</t>
  </si>
  <si>
    <t>NGC3429</t>
  </si>
  <si>
    <t>pF, R</t>
  </si>
  <si>
    <t>NGC3430</t>
  </si>
  <si>
    <t>+32h57m3s</t>
  </si>
  <si>
    <t>pretty bright, large, irregularly extended, gradually brighter middle, 2nd of 3</t>
  </si>
  <si>
    <t>pB, L, iE, gbM, 2nd of 3</t>
  </si>
  <si>
    <t>NGC3431</t>
  </si>
  <si>
    <t>10h51m15s</t>
  </si>
  <si>
    <t>-17h0m30s</t>
  </si>
  <si>
    <t>extremely faint, small, extended 130°, gradually brighter middle</t>
  </si>
  <si>
    <t>eF, S, E 130°, gbM</t>
  </si>
  <si>
    <t>NGC3432</t>
  </si>
  <si>
    <t>编制针星系</t>
  </si>
  <si>
    <t>10h52m31s</t>
  </si>
  <si>
    <t>+36h37m8s</t>
  </si>
  <si>
    <t>pretty bright, pretty large, very much extended 40°, double star close to southwest</t>
  </si>
  <si>
    <t>pB, pL, vmE 40°, ** close sp</t>
  </si>
  <si>
    <t>NGC3433</t>
  </si>
  <si>
    <t>10h52m4s</t>
  </si>
  <si>
    <t>+10h8m52s</t>
  </si>
  <si>
    <t>very faint, very large, round, very gradually brighter middle</t>
  </si>
  <si>
    <t>vF, vL, R, vgbM</t>
  </si>
  <si>
    <t>NGC3434</t>
  </si>
  <si>
    <t>10h51m58s</t>
  </si>
  <si>
    <t>+3h47m31s</t>
  </si>
  <si>
    <t>NGC3435</t>
  </si>
  <si>
    <t>10h54m48.2s</t>
  </si>
  <si>
    <t>+61h17m20s</t>
  </si>
  <si>
    <t>considerably faint, pretty small, a little extended, very gradually brighter middle</t>
  </si>
  <si>
    <t>cF, pS, lE, vgbM</t>
  </si>
  <si>
    <t>NGC3436</t>
  </si>
  <si>
    <t>10h52m27.4s</t>
  </si>
  <si>
    <t>+8h5m39s</t>
  </si>
  <si>
    <t>extremely small</t>
  </si>
  <si>
    <t>eS</t>
  </si>
  <si>
    <t>NGC3437</t>
  </si>
  <si>
    <t>10h52m35.3s</t>
  </si>
  <si>
    <t>+22h56m6s</t>
  </si>
  <si>
    <t>pretty bright, pretty large, a little extended 120°, gradually brighter middle</t>
  </si>
  <si>
    <t>pB, pL, lE 120°, gbM</t>
  </si>
  <si>
    <t>NGC3438</t>
  </si>
  <si>
    <t>10h52m25.9s</t>
  </si>
  <si>
    <t>+10h32m51s</t>
  </si>
  <si>
    <t>very faint, extremely small, almost stellar</t>
  </si>
  <si>
    <t>vF, eS, alm stell</t>
  </si>
  <si>
    <t>NGC3439</t>
  </si>
  <si>
    <t>10h52m25.7s</t>
  </si>
  <si>
    <t>+8h33m28s</t>
  </si>
  <si>
    <t>most extremely faint, very small, almost stellar</t>
  </si>
  <si>
    <t>eeF, vS, alm stell</t>
  </si>
  <si>
    <t>NGC3440</t>
  </si>
  <si>
    <t>10h53m49.5s</t>
  </si>
  <si>
    <t>+57h7m8s</t>
  </si>
  <si>
    <t>NGC3441</t>
  </si>
  <si>
    <t>+7h13m30s</t>
  </si>
  <si>
    <t>pretty bright</t>
  </si>
  <si>
    <t>pB</t>
  </si>
  <si>
    <t>NGC3442</t>
  </si>
  <si>
    <t>10h53m8s</t>
  </si>
  <si>
    <t>+33h54m36s</t>
  </si>
  <si>
    <t>faint, very small, round, much brighter middle, mottled but not resolved?</t>
  </si>
  <si>
    <t>F, vS, R, mbM, r?</t>
  </si>
  <si>
    <t>NGC3443</t>
  </si>
  <si>
    <t>10h53m0.1s</t>
  </si>
  <si>
    <t>+17h34m26s</t>
  </si>
  <si>
    <t>most extremely faint, very small, round</t>
  </si>
  <si>
    <t>eeF, vS, R</t>
  </si>
  <si>
    <t>NGC3444</t>
  </si>
  <si>
    <t>10h52m59.4s</t>
  </si>
  <si>
    <t>+10h12m38s</t>
  </si>
  <si>
    <t>extremely faint, very small, pretty much extended</t>
  </si>
  <si>
    <t>eF, vS, pmE</t>
  </si>
  <si>
    <t>NGC3445</t>
  </si>
  <si>
    <t>10h54m35.8s</t>
  </si>
  <si>
    <t>+56h59m24s</t>
  </si>
  <si>
    <t>considerably bright, pretty large, irregularly round, very gradually a little brighter middle, 10th magnitude star 2 arcmin to northeast</t>
  </si>
  <si>
    <t>cB, pL, iR, vglbM, * 10 nf 2'</t>
  </si>
  <si>
    <t>NGC3446</t>
  </si>
  <si>
    <t>10h52m12s</t>
  </si>
  <si>
    <t>-45h9m36s</t>
  </si>
  <si>
    <t>cluster, pretty large, poor, a little compressed, irregular figure, stars from 9th to 13th magnitude</t>
  </si>
  <si>
    <t>Cl, pL, P, lC, iF, st 9…13</t>
  </si>
  <si>
    <t>NGC3447</t>
  </si>
  <si>
    <t>SBdm/P</t>
  </si>
  <si>
    <t>10h53m24s</t>
  </si>
  <si>
    <t>+16h46m19s</t>
  </si>
  <si>
    <t>extremely faint, very large, very gradually very little brighter middle, bright double star to southwest</t>
  </si>
  <si>
    <t>eF, vL, vgvlbM, B ** sp</t>
  </si>
  <si>
    <t>NGC3448</t>
  </si>
  <si>
    <t>10h54m38.8s</t>
  </si>
  <si>
    <t>+54h18m19s</t>
  </si>
  <si>
    <t>bright, pretty large, much extended 67°.0, gradually brighter middle</t>
  </si>
  <si>
    <t>B, pL, mE 67°.0, gbM</t>
  </si>
  <si>
    <t>NGC3449</t>
  </si>
  <si>
    <t>10h52m53.8s</t>
  </si>
  <si>
    <t>-32h55m40s</t>
  </si>
  <si>
    <t>faint, small, round, 6.7 magnitude star to southeast</t>
  </si>
  <si>
    <t>F, S, R, * 6·7 sf</t>
  </si>
  <si>
    <t>NGC3450</t>
  </si>
  <si>
    <t>10h48m3.5s</t>
  </si>
  <si>
    <t>-20h50m56s</t>
  </si>
  <si>
    <t>very faint, large, round, very gradually a little brighter middle, mottled but not resolved</t>
  </si>
  <si>
    <t>vF, L, R, vglbM, r</t>
  </si>
  <si>
    <t>NGC3451</t>
  </si>
  <si>
    <t>10h54m21.1s</t>
  </si>
  <si>
    <t>+27h14m23s</t>
  </si>
  <si>
    <t>faint, pretty large, very little extended, very little brighter middle</t>
  </si>
  <si>
    <t>F, pL, vlE, vlbM</t>
  </si>
  <si>
    <t>NGC3452</t>
  </si>
  <si>
    <t>10h54m14.1s</t>
  </si>
  <si>
    <t>-11h24m18s</t>
  </si>
  <si>
    <t>extremely faint, round, north of small (faint) star</t>
  </si>
  <si>
    <t>eF, R, n of S *</t>
  </si>
  <si>
    <t>NGC3453</t>
  </si>
  <si>
    <t>10h53m40.4s</t>
  </si>
  <si>
    <t>-21h47m36s</t>
  </si>
  <si>
    <t>NGC3454</t>
  </si>
  <si>
    <t>10h54m29.4s</t>
  </si>
  <si>
    <t>+17h20m37s</t>
  </si>
  <si>
    <t>pretty faint, a little extended, northwestern of 2</t>
  </si>
  <si>
    <t>pF, lE, np of 2</t>
  </si>
  <si>
    <t>NGC3455</t>
  </si>
  <si>
    <t>10h54m30.9s</t>
  </si>
  <si>
    <t>pretty faint, small, extended, gradually brighter middle, mottled but not resolved, southeastern of 2</t>
  </si>
  <si>
    <t>pF, S, E, gbM, r, sf of 2</t>
  </si>
  <si>
    <t>NGC3456</t>
  </si>
  <si>
    <t>10h54m3.3s</t>
  </si>
  <si>
    <t>-16h1m39s</t>
  </si>
  <si>
    <t>extremely faint, attached to 12th magnitude star on east</t>
  </si>
  <si>
    <t>eF, att to * 12 f</t>
  </si>
  <si>
    <t>NGC3457</t>
  </si>
  <si>
    <t>10h54m48.6s</t>
  </si>
  <si>
    <t>+17h37m17s</t>
  </si>
  <si>
    <t>2 or 3 small (faint) stars and nebulosity</t>
  </si>
  <si>
    <t>2 or 3 S st and neb</t>
  </si>
  <si>
    <t>NGC3458</t>
  </si>
  <si>
    <t>10h56m1.4s</t>
  </si>
  <si>
    <t>+57h7m2s</t>
  </si>
  <si>
    <t>very bright, very small, round, stellar</t>
  </si>
  <si>
    <t>vB, vS, R, stellar</t>
  </si>
  <si>
    <t>NGC3459</t>
  </si>
  <si>
    <t>10h54m44.4s</t>
  </si>
  <si>
    <t>-17h2m30s</t>
  </si>
  <si>
    <t>very faint, small, extended, gradually brighter middle</t>
  </si>
  <si>
    <t>vF, S, E, gbM</t>
  </si>
  <si>
    <t>NGC3460</t>
  </si>
  <si>
    <t>pB, R, no * nr (?? = h 793)</t>
  </si>
  <si>
    <t>NGC3461</t>
  </si>
  <si>
    <t>10h54m55.2s</t>
  </si>
  <si>
    <t>+17h42m30s</t>
  </si>
  <si>
    <t>faint nebula 5 arcmin northeast of the last</t>
  </si>
  <si>
    <t>F neb 5' nf last</t>
  </si>
  <si>
    <t>NGC3462</t>
  </si>
  <si>
    <t>10h55m21s</t>
  </si>
  <si>
    <t>+7h41m49s</t>
  </si>
  <si>
    <t>very faint, very small, very little extended, pretty suddenly brighter middle</t>
  </si>
  <si>
    <t>vF, vS, vlE, psbM</t>
  </si>
  <si>
    <t>NGC3463</t>
  </si>
  <si>
    <t>10h55m13.3s</t>
  </si>
  <si>
    <t>-26h8m25s</t>
  </si>
  <si>
    <t>NGC3464</t>
  </si>
  <si>
    <t>10h54m39.8s</t>
  </si>
  <si>
    <t>-21h3m59s</t>
  </si>
  <si>
    <t>extremely faint, pretty large, extended 125°</t>
  </si>
  <si>
    <t>eF, pL, E 125°</t>
  </si>
  <si>
    <t>NGC3465</t>
  </si>
  <si>
    <t>10h59m31.3s</t>
  </si>
  <si>
    <t>+75h11m30s</t>
  </si>
  <si>
    <t>extremely faint, pretty large, round, very gradually a little brighter middle, double star to northeast</t>
  </si>
  <si>
    <t>eF, pL, R, vglbM, ** nf</t>
  </si>
  <si>
    <t>NGC3466</t>
  </si>
  <si>
    <t>10h56m15.4s</t>
  </si>
  <si>
    <t>+9h45m15s</t>
  </si>
  <si>
    <t>very faint, 9th magnitude star at position angle 90°, preceding (western) of 2</t>
  </si>
  <si>
    <t>vF, * 9 90°, p of 2</t>
  </si>
  <si>
    <t>NGC3467</t>
  </si>
  <si>
    <t>10h56m44.1s</t>
  </si>
  <si>
    <t>+9h45m32s</t>
  </si>
  <si>
    <t>very faint, round, very suddenly much brighter middle equivalent to 12th magnitude star, following (eastern) of 2</t>
  </si>
  <si>
    <t>vF, R, vsmbM * 12, f of 2</t>
  </si>
  <si>
    <t>NGC3468</t>
  </si>
  <si>
    <t>10h57m31.2s</t>
  </si>
  <si>
    <t>+40h56m47s</t>
  </si>
  <si>
    <t>faint, extremely small, round, brighter middle</t>
  </si>
  <si>
    <t>F, eS, R, bM</t>
  </si>
  <si>
    <t>NGC3469</t>
  </si>
  <si>
    <t>10h56m57.6s</t>
  </si>
  <si>
    <t>-14h18m1s</t>
  </si>
  <si>
    <t>most extremely faint, small</t>
  </si>
  <si>
    <t>eeF, S</t>
  </si>
  <si>
    <t>NGC3470</t>
  </si>
  <si>
    <t>10h58m44.8s</t>
  </si>
  <si>
    <t>+59h30m38s</t>
  </si>
  <si>
    <t>very faint, small, round, very gradually brighter middle</t>
  </si>
  <si>
    <t>vF, S, R, vgbM</t>
  </si>
  <si>
    <t>NGC3471</t>
  </si>
  <si>
    <t>10h59m8.8s</t>
  </si>
  <si>
    <t>+61h31m49s</t>
  </si>
  <si>
    <t>NGC3472</t>
  </si>
  <si>
    <t>乌鸦座</t>
  </si>
  <si>
    <t>CRV</t>
  </si>
  <si>
    <t>11h57m28.1s</t>
  </si>
  <si>
    <t>-19h37m26s</t>
  </si>
  <si>
    <t>NGC3473</t>
  </si>
  <si>
    <t>10h58m5.2s</t>
  </si>
  <si>
    <t>+17h7m30s</t>
  </si>
  <si>
    <t>very faint, extended, between 2 stars</t>
  </si>
  <si>
    <t>vF, E, bet 2 st</t>
  </si>
  <si>
    <t>NGC3474</t>
  </si>
  <si>
    <t>10h58m8.7s</t>
  </si>
  <si>
    <t>+17h5m46s</t>
  </si>
  <si>
    <t>very faint, pretty small, round, south of III 67</t>
  </si>
  <si>
    <t>vF, pS, R, s of III 67</t>
  </si>
  <si>
    <t>NGC3475</t>
  </si>
  <si>
    <t>10h58m25.2s</t>
  </si>
  <si>
    <t>+24h13m37s</t>
  </si>
  <si>
    <t>very faint, round, gradually brighter middle, 13th magnitude star 1 arcmin north per (WH), 2 arcmin south per (JH)</t>
  </si>
  <si>
    <t>vF, R, gbM, * 13, (H) 1' n, (h) 2' s</t>
  </si>
  <si>
    <t>NGC3476</t>
  </si>
  <si>
    <t>10h58m7.6s</t>
  </si>
  <si>
    <t>+9h16m34s</t>
  </si>
  <si>
    <t>NGC3477</t>
  </si>
  <si>
    <t>10h58m12.5s</t>
  </si>
  <si>
    <t>+9h13m4s</t>
  </si>
  <si>
    <t>eeF, eS, stell</t>
  </si>
  <si>
    <t>NGC3478</t>
  </si>
  <si>
    <t>10h59m27.4s</t>
  </si>
  <si>
    <t>+46h7m23s</t>
  </si>
  <si>
    <t>NGC3479</t>
  </si>
  <si>
    <t>10h58m55.4s</t>
  </si>
  <si>
    <t>-14h57m40s</t>
  </si>
  <si>
    <t>extremely faint, pretty small, extended 90°, gradually brighter middle and nucleus</t>
  </si>
  <si>
    <t>eF, pS, E 90°, gbMN</t>
  </si>
  <si>
    <t>NGC3480</t>
  </si>
  <si>
    <t>S, stellar</t>
  </si>
  <si>
    <t>NGC3481</t>
  </si>
  <si>
    <t>10h59m26.4s</t>
  </si>
  <si>
    <t>-7h32m39s</t>
  </si>
  <si>
    <t>extremely faint, very small, partially resolved (some stars seen), probably very faint cluster, 9th magnitude star 5 arcmin to southeast</t>
  </si>
  <si>
    <t>eF, vS, rr, prob vF Cl, * 9 5' sf</t>
  </si>
  <si>
    <t>NGC3482</t>
  </si>
  <si>
    <t>10h58m34.2s</t>
  </si>
  <si>
    <t>-46h35m3s</t>
  </si>
  <si>
    <t>NGC3483</t>
  </si>
  <si>
    <t>10h59m0.1s</t>
  </si>
  <si>
    <t>-28h28m40s</t>
  </si>
  <si>
    <t>pretty faint, small, round, brighter middle, among stars</t>
  </si>
  <si>
    <t>pF, S, R, bM, am st</t>
  </si>
  <si>
    <t>NGC3484</t>
  </si>
  <si>
    <t>11h3m6s</t>
  </si>
  <si>
    <t>+75h49m6s</t>
  </si>
  <si>
    <t>very doubtful object</t>
  </si>
  <si>
    <t>Very doubtful object</t>
  </si>
  <si>
    <t>NGC3485</t>
  </si>
  <si>
    <t>11h0m2.4s</t>
  </si>
  <si>
    <t>+14h50m28s</t>
  </si>
  <si>
    <t>faint, large, round, gradually a little brighter middle, mottled but not resolved</t>
  </si>
  <si>
    <t>F, L, R, glbM, r</t>
  </si>
  <si>
    <t>NGC3486</t>
  </si>
  <si>
    <t>11h0m24s</t>
  </si>
  <si>
    <t>+28h58m32s</t>
  </si>
  <si>
    <t>considerably bright, considerably large, round, gradually much brighter middle</t>
  </si>
  <si>
    <t>cB, cL, R, gmbM</t>
  </si>
  <si>
    <t>NGC3487</t>
  </si>
  <si>
    <t>11h0m46.6s</t>
  </si>
  <si>
    <t>+17h35m15s</t>
  </si>
  <si>
    <t>NGC3488</t>
  </si>
  <si>
    <t>11h1m23.6s</t>
  </si>
  <si>
    <t>+57h40m39s</t>
  </si>
  <si>
    <t>per (JH) extremely faint, per (WH) considerably bright, very little extended, pretty small, 13th magnitude star attached on south</t>
  </si>
  <si>
    <t>(h) eF, (H) cB, vlE, pS, * 13 s att</t>
  </si>
  <si>
    <t>NGC3489</t>
  </si>
  <si>
    <t>11h0m18.4s</t>
  </si>
  <si>
    <t>+13h54m3s</t>
  </si>
  <si>
    <t>very bright, pretty large, a little extended 80°±, suddenly much brighter middle and nucleus</t>
  </si>
  <si>
    <t>vB, pL, lE 80° ±, smbMN</t>
  </si>
  <si>
    <t>NGC3490</t>
  </si>
  <si>
    <t>10h59m54.3s</t>
  </si>
  <si>
    <t>+9h21m44s</t>
  </si>
  <si>
    <t>NGC3491</t>
  </si>
  <si>
    <t>11h0m35.4s</t>
  </si>
  <si>
    <t>+12h9m42s</t>
  </si>
  <si>
    <t>extremely faint, considerably small, round, brighter middle and nucleus</t>
  </si>
  <si>
    <t>eF, cS, R, bMN</t>
  </si>
  <si>
    <t>NGC3492</t>
  </si>
  <si>
    <t>11h0m57.3s</t>
  </si>
  <si>
    <t>+10h30m23s</t>
  </si>
  <si>
    <t>pretty faint, small, 9.5 magnitude star 20 seconds of time to west, 1 arcmin to south</t>
  </si>
  <si>
    <t>pF, S, * 9.5 p 20s, 1' s</t>
  </si>
  <si>
    <t>NGC3493</t>
  </si>
  <si>
    <t>11h1m27.8s</t>
  </si>
  <si>
    <t>+27h43m12s</t>
  </si>
  <si>
    <t>very faint, round, brighter middle, star to southwest</t>
  </si>
  <si>
    <t>vF, R, bM, * sp</t>
  </si>
  <si>
    <t>NGC3494</t>
  </si>
  <si>
    <t>11h1m10.9s</t>
  </si>
  <si>
    <t>+3h46m28s</t>
  </si>
  <si>
    <t>very small, h809 six arcmin to south</t>
  </si>
  <si>
    <t>vS, h 809 6' s</t>
  </si>
  <si>
    <t>NGC3495</t>
  </si>
  <si>
    <t>11h1m15.8s</t>
  </si>
  <si>
    <t>+3h37m37s</t>
  </si>
  <si>
    <t>very faint, pretty large, much extended</t>
  </si>
  <si>
    <t>NGC3496</t>
  </si>
  <si>
    <t>10h59m36s</t>
  </si>
  <si>
    <t>-60h20m12s</t>
  </si>
  <si>
    <t>cluster, pretty large, pretty rich, a little compressed, star 1</t>
  </si>
  <si>
    <t>Cl, pL, pRi, lC, st 13</t>
  </si>
  <si>
    <t>NGC3497</t>
  </si>
  <si>
    <t>11h7m18.1s</t>
  </si>
  <si>
    <t>-19h28m17s</t>
  </si>
  <si>
    <t>very faint, very small, irregularly round, gradually a little brighter middle</t>
  </si>
  <si>
    <t>vF, vS, iR, glbM</t>
  </si>
  <si>
    <t>NGC3498</t>
  </si>
  <si>
    <t>11h1m55s</t>
  </si>
  <si>
    <t>+14h22m38s</t>
  </si>
  <si>
    <t>extremely faint, pretty large (d'Arrest not found)</t>
  </si>
  <si>
    <t>eF, pL (d'A not found)</t>
  </si>
  <si>
    <t>NGC3499</t>
  </si>
  <si>
    <t>11h3m10.9s</t>
  </si>
  <si>
    <t>+56h13m20s</t>
  </si>
  <si>
    <t>NGC3500</t>
  </si>
  <si>
    <t>11h1m51.3s</t>
  </si>
  <si>
    <t>+75h12m4s</t>
  </si>
  <si>
    <t>a {III 967 = very faint, III 968 = extremely faint} double nebula, very near (Place very questionable)</t>
  </si>
  <si>
    <t>vF, eF, D neb, v near (?? Place)</t>
  </si>
  <si>
    <t>NGC3501</t>
  </si>
  <si>
    <t>11h2m47.3s</t>
  </si>
  <si>
    <t>+17h59m23s</t>
  </si>
  <si>
    <t>very faint, much extended north-south, gradually brighter middle, 3 arcmin long</t>
  </si>
  <si>
    <t>vF, mE ns, gbM, 3' long</t>
  </si>
  <si>
    <t>NGC3502</t>
  </si>
  <si>
    <t>extremely faint, pretty large, irregularly round, gradually a little brighter middle</t>
  </si>
  <si>
    <t>eF, pL, iR, glbM</t>
  </si>
  <si>
    <t>NGC3503</t>
  </si>
  <si>
    <t>11h1m17.2s</t>
  </si>
  <si>
    <t>-59h50m50s</t>
  </si>
  <si>
    <t>3 small (faint) stars of 10th magnitude in very faint nebula</t>
  </si>
  <si>
    <t>3 S st 10 m in vF neb</t>
  </si>
  <si>
    <t>NGC3504</t>
  </si>
  <si>
    <t>11h3m11.1s</t>
  </si>
  <si>
    <t>+27h58m23s</t>
  </si>
  <si>
    <t>bright, large, extended, much brighter middle and nucleus, partially resolved (some stars seen), preceding (western) of 2</t>
  </si>
  <si>
    <t>B, L, E, mbMN, rr, p of 2</t>
  </si>
  <si>
    <t>NGC3505</t>
  </si>
  <si>
    <t>11h2m59.7s</t>
  </si>
  <si>
    <t>-16h17m19s</t>
  </si>
  <si>
    <t>pretty faint, small, round, gradually a little brighter middle, 14th magnitude star near</t>
  </si>
  <si>
    <t>pF, S, R, glbM, * 14 nr</t>
  </si>
  <si>
    <t>NGC3506</t>
  </si>
  <si>
    <t>11h3m12.8s</t>
  </si>
  <si>
    <t>+11h4m37s</t>
  </si>
  <si>
    <t>very faint, considerably small, round, very gradually very little brighter middle</t>
  </si>
  <si>
    <t>vF, cS, R, vgvlbM</t>
  </si>
  <si>
    <t>NGC3507</t>
  </si>
  <si>
    <t>11h3m25.5s</t>
  </si>
  <si>
    <t>+18h8m5s</t>
  </si>
  <si>
    <t>considerably faint, pretty large, round, suddenly brighter middle small star, 9th magnitude star attached 25°</t>
  </si>
  <si>
    <t>cF, pL, R, sbMS *, * 9 att 25°</t>
  </si>
  <si>
    <t>NGC3508</t>
  </si>
  <si>
    <t>F, (H) S, (h) vL, bM, * nf inv</t>
  </si>
  <si>
    <t>NGC3509</t>
  </si>
  <si>
    <t>11h4m24.4s</t>
  </si>
  <si>
    <t>+4h49m42s</t>
  </si>
  <si>
    <t>extremely faint, small, a little extended?</t>
  </si>
  <si>
    <t>eF, S, lE?</t>
  </si>
  <si>
    <t>NGC3510</t>
  </si>
  <si>
    <t>11h3m43.7s</t>
  </si>
  <si>
    <t>+28h53m5s</t>
  </si>
  <si>
    <t>faint, large, considerably extended, 7th magnitude star 8 arcmin distant at position angle 310°</t>
  </si>
  <si>
    <t>F, L, cE, * 7, 310° 8'</t>
  </si>
  <si>
    <t>NGC3511</t>
  </si>
  <si>
    <t>11h3m23.7s</t>
  </si>
  <si>
    <t>-23h5m11s</t>
  </si>
  <si>
    <t>very faint, very large, much extended</t>
  </si>
  <si>
    <t>vF, vL, mE</t>
  </si>
  <si>
    <t>NGC3512</t>
  </si>
  <si>
    <t>11h4m2.7s</t>
  </si>
  <si>
    <t>+28h2m15s</t>
  </si>
  <si>
    <t>faint, pretty small, round, pretty gradually brighter middle, following (eastern) of 2</t>
  </si>
  <si>
    <t>F, pS, R, pgbM, f of 2</t>
  </si>
  <si>
    <t>NGC3513</t>
  </si>
  <si>
    <t>11h3m45.8s</t>
  </si>
  <si>
    <t>-23h14m39s</t>
  </si>
  <si>
    <t>NGC3514</t>
  </si>
  <si>
    <t>11h3m59.9s</t>
  </si>
  <si>
    <t>-18h46m50s</t>
  </si>
  <si>
    <t>very faint, pretty large, round, very gradually very little brighter middle</t>
  </si>
  <si>
    <t>vF, pL, R, vgvlbM</t>
  </si>
  <si>
    <t>NGC3515</t>
  </si>
  <si>
    <t>11h4m37.3s</t>
  </si>
  <si>
    <t>+28h13m41s</t>
  </si>
  <si>
    <t>very faint, small, round, several extremely faint stars involved</t>
  </si>
  <si>
    <t>vF, S, R, sev eF st inv</t>
  </si>
  <si>
    <t>NGC3516</t>
  </si>
  <si>
    <t>11h6m47.5s</t>
  </si>
  <si>
    <t>+72h34m9s</t>
  </si>
  <si>
    <t>pretty bright, very small, irregularly round, pretty suddenly much brighter starlike middle</t>
  </si>
  <si>
    <t>pB, vS, iR, psmbM *</t>
  </si>
  <si>
    <t>NGC3517</t>
  </si>
  <si>
    <t>11h5m36.9s</t>
  </si>
  <si>
    <t>+56h31m31s</t>
  </si>
  <si>
    <t>extremely faint, small, round, very gradually brighter middle</t>
  </si>
  <si>
    <t>eF, S, R, vgbM</t>
  </si>
  <si>
    <t>NGC3518</t>
  </si>
  <si>
    <t>extremely faint, extremely small, a little extended (110°)</t>
  </si>
  <si>
    <t>eF, eS, lE</t>
  </si>
  <si>
    <t>NGC3519</t>
  </si>
  <si>
    <t>-61h22m5s</t>
  </si>
  <si>
    <t>cluster, pretty rich, pretty compressed</t>
  </si>
  <si>
    <t>NGC3520</t>
  </si>
  <si>
    <t>11h7m8.7s</t>
  </si>
  <si>
    <t>-18h1m29s</t>
  </si>
  <si>
    <t>extremely faint, very small, irregularly round, gradually brighter middle, several very faint stars involved</t>
  </si>
  <si>
    <t>eF, vS, iR, gbM, sev vF st inv</t>
  </si>
  <si>
    <t>NGC3521</t>
  </si>
  <si>
    <t>11h5m48.8s</t>
  </si>
  <si>
    <t>-0h2m13s</t>
  </si>
  <si>
    <t>considerably bright, considerably large, much extended 140°±, very suddenly much brighter middle and nucleus</t>
  </si>
  <si>
    <t>cB, cL, mE 140° ±, vsmbMN</t>
  </si>
  <si>
    <t>NGC3522</t>
  </si>
  <si>
    <t>11h6m40.4s</t>
  </si>
  <si>
    <t>+20h5m10s</t>
  </si>
  <si>
    <t>pretty faint, very small, a little extended</t>
  </si>
  <si>
    <t>pF, vS, lE</t>
  </si>
  <si>
    <t>NGC3523</t>
  </si>
  <si>
    <t>11h3m6.7s</t>
  </si>
  <si>
    <t>+75h6m57s</t>
  </si>
  <si>
    <t>faint, pretty large, a little brighter middle (place doubtful)</t>
  </si>
  <si>
    <t>F, pL, lbM (place doubtful)</t>
  </si>
  <si>
    <t>NGC3524</t>
  </si>
  <si>
    <t>11h6m32.1s</t>
  </si>
  <si>
    <t>+11h23m6s</t>
  </si>
  <si>
    <t>faint, small, a little extended, pretty suddenly brighter middle, 2 stars to northwest in line</t>
  </si>
  <si>
    <t>F, S, lE, psbM, 2 st np in line</t>
  </si>
  <si>
    <t>NGC3525</t>
  </si>
  <si>
    <t>faint, pretty small, gradually brighter middle and nucleus</t>
  </si>
  <si>
    <t>F, pS, gbMN</t>
  </si>
  <si>
    <t>NGC3526</t>
  </si>
  <si>
    <t>11h6m56.4s</t>
  </si>
  <si>
    <t>+7h10m24s</t>
  </si>
  <si>
    <t>extremely faint, very much extended, position angle 50°±</t>
  </si>
  <si>
    <t>eF, vmE, pos 50° ±</t>
  </si>
  <si>
    <t>NGC3527</t>
  </si>
  <si>
    <t>11h7m18.3s</t>
  </si>
  <si>
    <t>+28h31m40s</t>
  </si>
  <si>
    <t>extremely faint, small, 10th magnitude star 60 arcsec to west</t>
  </si>
  <si>
    <t>eF, S, * 10 p 60"</t>
  </si>
  <si>
    <t>NGC3528</t>
  </si>
  <si>
    <t>F, S, R, pslbM, p of 2</t>
  </si>
  <si>
    <t>NGC3529</t>
  </si>
  <si>
    <t>11h7m19.2s</t>
  </si>
  <si>
    <t>-19h33m22s</t>
  </si>
  <si>
    <t>extremely faint, small, round, very little brighter middle, following (eastern) of 2</t>
  </si>
  <si>
    <t>eF, S, R, vlbM, f of 2</t>
  </si>
  <si>
    <t>NGC3530</t>
  </si>
  <si>
    <t>11h8m40.3s</t>
  </si>
  <si>
    <t>+57h13m49s</t>
  </si>
  <si>
    <t>very faint, small, round, pretty gradually brighter middle</t>
  </si>
  <si>
    <t>vF, S, R, pgbM</t>
  </si>
  <si>
    <t>NGC3531</t>
  </si>
  <si>
    <t>E 50°, * 11 at sp end (? = 5546)</t>
  </si>
  <si>
    <t>NGC3532</t>
  </si>
  <si>
    <t>许愿井星团</t>
  </si>
  <si>
    <t>11h5m40s</t>
  </si>
  <si>
    <t>-58h44m0s</t>
  </si>
  <si>
    <t>A very remarkable object, a cluster, extremely large, round, a little compressed, stars from 8th to 12th magnitude</t>
  </si>
  <si>
    <t>!!, Cl, eL, R, lC, st 8…12</t>
  </si>
  <si>
    <t>NGC3533</t>
  </si>
  <si>
    <t>半人马座</t>
  </si>
  <si>
    <t>CEN</t>
  </si>
  <si>
    <t>11h7m7.5s</t>
  </si>
  <si>
    <t>-37h10m23s</t>
  </si>
  <si>
    <t>most extremely faint, very small (faint) star attached</t>
  </si>
  <si>
    <t>eeF, vS * att</t>
  </si>
  <si>
    <t>NGC3534</t>
  </si>
  <si>
    <t>11h8m57s</t>
  </si>
  <si>
    <t>+26h35m48s</t>
  </si>
  <si>
    <t>very faint, 9th magnitude star 3 arcmin to northwest</t>
  </si>
  <si>
    <t>vF, * 9 np 3'</t>
  </si>
  <si>
    <t>NGC3535</t>
  </si>
  <si>
    <t>11h8m33.9s</t>
  </si>
  <si>
    <t>+4h49m57s</t>
  </si>
  <si>
    <t>considerably faint, very small, round, brighter middle, mottled but not resolved</t>
  </si>
  <si>
    <t>cF, vS, R, bM, r</t>
  </si>
  <si>
    <t>NGC3536</t>
  </si>
  <si>
    <t>11h8m51.2s</t>
  </si>
  <si>
    <t>+28h28m34s</t>
  </si>
  <si>
    <t>NGC3537</t>
  </si>
  <si>
    <t>11h8m26.5s</t>
  </si>
  <si>
    <t>-10h15m24s</t>
  </si>
  <si>
    <t>very faint, small, very faint star involved</t>
  </si>
  <si>
    <t>vF, S, vF st inv</t>
  </si>
  <si>
    <t>NGC3538</t>
  </si>
  <si>
    <t>11h11m32.9s</t>
  </si>
  <si>
    <t>+75h34m16s</t>
  </si>
  <si>
    <t>very faint, pretty large, 17th magnitude star near</t>
  </si>
  <si>
    <t>vF, pL, * 17 nr</t>
  </si>
  <si>
    <t>NGC3539</t>
  </si>
  <si>
    <t>11h9m8.8s</t>
  </si>
  <si>
    <t>+28h40m21s</t>
  </si>
  <si>
    <t>NGC3540</t>
  </si>
  <si>
    <t>11h9m16s</t>
  </si>
  <si>
    <t>+36h1m17s</t>
  </si>
  <si>
    <t>very faint, round, pretty suddenly brighter middle, 7th magnitude star 7 arcmin to west</t>
  </si>
  <si>
    <t>vF, R, psbM, * 7 p 7'</t>
  </si>
  <si>
    <t>NGC3541</t>
  </si>
  <si>
    <t>11h8m32.2s</t>
  </si>
  <si>
    <t>-10h29m31s</t>
  </si>
  <si>
    <t>nebulous star</t>
  </si>
  <si>
    <t>NGC3542</t>
  </si>
  <si>
    <t>11h9m55.6s</t>
  </si>
  <si>
    <t>+36h56m47s</t>
  </si>
  <si>
    <t>vF, S, irrR, lbM, r</t>
  </si>
  <si>
    <t>NGC3543</t>
  </si>
  <si>
    <t>11h10m56.5s</t>
  </si>
  <si>
    <t>+61h20m49s</t>
  </si>
  <si>
    <t>extremely faint, very small, extended 0°±, mottled but not resolved</t>
  </si>
  <si>
    <t>eF, vS, E 0° ±, r</t>
  </si>
  <si>
    <t>NGC3544</t>
  </si>
  <si>
    <t>11h11m30.4s</t>
  </si>
  <si>
    <t>-18h17m24s</t>
  </si>
  <si>
    <t>very faint, large, much extended 95°, brighter middle, equal to (WH) II 819?</t>
  </si>
  <si>
    <t>vF, L, mE 95°, bM, ? = II 819</t>
  </si>
  <si>
    <t>NGC3545</t>
  </si>
  <si>
    <t>11h10m13.1s</t>
  </si>
  <si>
    <t>+36h58m1s</t>
  </si>
  <si>
    <t>very faint, very small, irregularly round, a little brighter middle, mottled but not resolved</t>
  </si>
  <si>
    <t>vF, vS, irrR, lbM, r</t>
  </si>
  <si>
    <t>NGC3546</t>
  </si>
  <si>
    <t>11h9m46.7s</t>
  </si>
  <si>
    <t>-13h22m49s</t>
  </si>
  <si>
    <t>nebulous 12th magnitude star, with another 12th magnitude star 2 arcmin to the northeast</t>
  </si>
  <si>
    <t>Neb * 12, * 12 2' nf</t>
  </si>
  <si>
    <t>NGC3547</t>
  </si>
  <si>
    <t>11h9m55.9s</t>
  </si>
  <si>
    <t>+10h43m15s</t>
  </si>
  <si>
    <t>faint, small, a little extended, very little brighter middle</t>
  </si>
  <si>
    <t>F, S, lE, vlbM</t>
  </si>
  <si>
    <t>NGC3548</t>
  </si>
  <si>
    <t>eF, S, * 8, p</t>
  </si>
  <si>
    <t>NGC3549</t>
  </si>
  <si>
    <t>11h10m56.8s</t>
  </si>
  <si>
    <t>+53h23m17s</t>
  </si>
  <si>
    <t>considerably bright, considerably large, considerably extended 160°</t>
  </si>
  <si>
    <t>cB, cL, cE 160°</t>
  </si>
  <si>
    <t>NGC3550</t>
  </si>
  <si>
    <t>11h10m38.3s</t>
  </si>
  <si>
    <t>+28h46m4s</t>
  </si>
  <si>
    <t>faint (perhaps variable?), small, round, brighter middle, 9th magnitude star 1 arcmin to east, 1st of 4</t>
  </si>
  <si>
    <t>F (? Var), S, R, bM, * 9 f 1', 1st of 4</t>
  </si>
  <si>
    <t>NGC3551</t>
  </si>
  <si>
    <t>11h9m44.3s</t>
  </si>
  <si>
    <t>+21h45m33s</t>
  </si>
  <si>
    <t>most extremely  faint, very small, round, southwestern of 2</t>
  </si>
  <si>
    <t>eeF, vS, R, sp of 2</t>
  </si>
  <si>
    <t>NGC3552</t>
  </si>
  <si>
    <t>11h10m42.8s</t>
  </si>
  <si>
    <t>+28h41m35s</t>
  </si>
  <si>
    <t>extremely faint, very small, 2nd of 4</t>
  </si>
  <si>
    <t>eF, vS, 2nd of 4</t>
  </si>
  <si>
    <t>NGC3553</t>
  </si>
  <si>
    <t>11h10m40.3s</t>
  </si>
  <si>
    <t>+28h41m9s</t>
  </si>
  <si>
    <t>extremely faint, very small, forms double nebula with III 352</t>
  </si>
  <si>
    <t>eF, vS, forms D neb with III 352</t>
  </si>
  <si>
    <t>NGC3554</t>
  </si>
  <si>
    <t>11h10m47.8s</t>
  </si>
  <si>
    <t>+28h39m38s</t>
  </si>
  <si>
    <t>very faint, pretty small, round, brighter middle, 3rd of 4</t>
  </si>
  <si>
    <t>vF, pS, R, bM, 3rd of 4</t>
  </si>
  <si>
    <t>NGC3555</t>
  </si>
  <si>
    <t>11h9m50.2s</t>
  </si>
  <si>
    <t>+21h48m38s</t>
  </si>
  <si>
    <t>very faint, round, northeastern of 2</t>
  </si>
  <si>
    <t>vF, R, nf of 2</t>
  </si>
  <si>
    <t>NGC3556</t>
  </si>
  <si>
    <t>冲浪板星系</t>
  </si>
  <si>
    <t>11h11m29.4s</t>
  </si>
  <si>
    <t>+55h40m22s</t>
  </si>
  <si>
    <t>considerably bright, very large, very much extended 79°, pretty bright middle, mottled but not resolved</t>
  </si>
  <si>
    <t>cB, vL, vmE 79°, pbM, r</t>
  </si>
  <si>
    <t>NGC3557</t>
  </si>
  <si>
    <t>11h9m57.4s</t>
  </si>
  <si>
    <t>-37h32m22s</t>
  </si>
  <si>
    <t>bright, small, round, pretty gradually much brighter middle, 1st of 3</t>
  </si>
  <si>
    <t>B, S, R, pgmbM, 1st of 3</t>
  </si>
  <si>
    <t>NGC3558</t>
  </si>
  <si>
    <t>11h10m55.9s</t>
  </si>
  <si>
    <t>+28h32m37s</t>
  </si>
  <si>
    <t>NGC3559</t>
  </si>
  <si>
    <t>11h10m45.1s</t>
  </si>
  <si>
    <t>+12h0m59s</t>
  </si>
  <si>
    <t>extremely faint, pretty small, a little extended, mottled but not resolved</t>
  </si>
  <si>
    <t>eF, pS, lE, r</t>
  </si>
  <si>
    <t>NGC3560</t>
  </si>
  <si>
    <t>NGC3561</t>
  </si>
  <si>
    <t>安巴楚勉之结</t>
  </si>
  <si>
    <t>11h11m13.2s</t>
  </si>
  <si>
    <t>+28h41m48s</t>
  </si>
  <si>
    <t>very faint, pretty large, 4th of 4</t>
  </si>
  <si>
    <t>vF, pL, 4th of 4</t>
  </si>
  <si>
    <t>NGC3562</t>
  </si>
  <si>
    <t>11h12m58.4s</t>
  </si>
  <si>
    <t>+72h52m45s</t>
  </si>
  <si>
    <t>pretty faint, pretty small, a little extended, gradually brighter middle, 15th magnitude star 70 arcsec distant at position angle 22°</t>
  </si>
  <si>
    <t>pF, pS, lE, gbM, * 15, 22°, 70"</t>
  </si>
  <si>
    <t>NGC3563</t>
  </si>
  <si>
    <t>11h11m25.2s</t>
  </si>
  <si>
    <t>+26h57m51s</t>
  </si>
  <si>
    <t>pretty faint, pretty large, 8th magnitude star 2 arcmin to north</t>
  </si>
  <si>
    <t>pF, pL, * 8 m 2' n</t>
  </si>
  <si>
    <t>NGC3564</t>
  </si>
  <si>
    <t>11h10m36.2s</t>
  </si>
  <si>
    <t>-37h32m54s</t>
  </si>
  <si>
    <t>pretty faint, small, round, brighter middle, 2nd of 3</t>
  </si>
  <si>
    <t>pF, S, R, bM, 2nd of 3</t>
  </si>
  <si>
    <t>NGC3565</t>
  </si>
  <si>
    <t>11h7m47.8s</t>
  </si>
  <si>
    <t>-20h1m20s</t>
  </si>
  <si>
    <t>very faint, very small, round, gradually brighter middle and nucleus, 1st of 2</t>
  </si>
  <si>
    <t>vF, vS, R, gbMN, 1st of 2</t>
  </si>
  <si>
    <t>NGC3566</t>
  </si>
  <si>
    <t>11h7m52.1s</t>
  </si>
  <si>
    <t>-20h1m44s</t>
  </si>
  <si>
    <t>most extremely faint, extremely small, round, gradually brighter middle, 2nd of 2</t>
  </si>
  <si>
    <t>eeF, eS, R, gbM, 2nd of 2</t>
  </si>
  <si>
    <t>NGC3567</t>
  </si>
  <si>
    <t>11h11m18.7s</t>
  </si>
  <si>
    <t>+5h50m11s</t>
  </si>
  <si>
    <t>extremely faint, round, suddenly brighter middle, mottled but not resolved</t>
  </si>
  <si>
    <t>eF, R, sbM, r</t>
  </si>
  <si>
    <t>NGC3568</t>
  </si>
  <si>
    <t>11h10m48.4s</t>
  </si>
  <si>
    <t>-37h26m56s</t>
  </si>
  <si>
    <t>very faint, pretty large, round, star involved, 3 bright stars near, 3rd of 3</t>
  </si>
  <si>
    <t>vF, pL, R, * inv, 3 B st nr, 3rd of 3</t>
  </si>
  <si>
    <t>NGC3569</t>
  </si>
  <si>
    <t>11h12m8s</t>
  </si>
  <si>
    <t>+35h27m7s</t>
  </si>
  <si>
    <t>NGC3570</t>
  </si>
  <si>
    <t>11h12m3.3s</t>
  </si>
  <si>
    <t>+27h35m25s</t>
  </si>
  <si>
    <t>NGC3571</t>
  </si>
  <si>
    <t>pretty faint, pretty large, irregular figure, brighter middle</t>
  </si>
  <si>
    <t>pF, pL, iF, bM</t>
  </si>
  <si>
    <t>NGC3572</t>
  </si>
  <si>
    <t>11h10m26.6s</t>
  </si>
  <si>
    <t>-60h14m38s</t>
  </si>
  <si>
    <t>cluster, pretty rich, a little compressed</t>
  </si>
  <si>
    <t>Cl, pRi, lC</t>
  </si>
  <si>
    <t>NGC3573</t>
  </si>
  <si>
    <t>11h11m18.1s</t>
  </si>
  <si>
    <t>-36h52m32s</t>
  </si>
  <si>
    <t>extremely faint, small, round, gradually a little brighter middle, 3 stars of 11th magnitude to east</t>
  </si>
  <si>
    <t>eF, S, R, glbM, 3 st 11 f</t>
  </si>
  <si>
    <t>NGC3574</t>
  </si>
  <si>
    <t>11h12m12.1s</t>
  </si>
  <si>
    <t>+27h37m31s</t>
  </si>
  <si>
    <t>NGC3575</t>
  </si>
  <si>
    <t>pretty bright, pretty large, round, 11th magnitude star to west</t>
  </si>
  <si>
    <t>pB, pL, R, * 11 p</t>
  </si>
  <si>
    <t>NGC3576</t>
  </si>
  <si>
    <t>自由女神星云</t>
  </si>
  <si>
    <t>11h11m32.7s</t>
  </si>
  <si>
    <t>-61h21m44s</t>
  </si>
  <si>
    <t>faint, a little extended, 1st of 6</t>
  </si>
  <si>
    <t>F, lE, 1st of 6</t>
  </si>
  <si>
    <t>NGC3577</t>
  </si>
  <si>
    <t>11h13m44.8s</t>
  </si>
  <si>
    <t>+48h16m24s</t>
  </si>
  <si>
    <t>extremely faint, very small, preceding (western) of 2</t>
  </si>
  <si>
    <t>eF, vS, p of 2</t>
  </si>
  <si>
    <t>NGC3578</t>
  </si>
  <si>
    <t>11h12m49.9s</t>
  </si>
  <si>
    <t>-15h56m43s</t>
  </si>
  <si>
    <t>doubtful object, probably a nebula</t>
  </si>
  <si>
    <t>Doubtful object, probably a neb</t>
  </si>
  <si>
    <t>NGC3579</t>
  </si>
  <si>
    <t>11h11m59.6s</t>
  </si>
  <si>
    <t>-61h14m35s</t>
  </si>
  <si>
    <t>faint, a little extended, suddenly brighter middle, 2nd of 6</t>
  </si>
  <si>
    <t>F, lE, sbM, 2nd of 6</t>
  </si>
  <si>
    <t>NGC3580</t>
  </si>
  <si>
    <t>11h13m16s</t>
  </si>
  <si>
    <t>+3h39m27s</t>
  </si>
  <si>
    <t>very faint, 14th magnitude star to east</t>
  </si>
  <si>
    <t>vF, * 14 f</t>
  </si>
  <si>
    <t>NGC3581</t>
  </si>
  <si>
    <t>11h12m1.9s</t>
  </si>
  <si>
    <t>-61h18m6s</t>
  </si>
  <si>
    <t>12th magnitude star with fan-shaped nebula attached, 3rd of 6</t>
  </si>
  <si>
    <t>* 12 with fan-shaped neb att, 3rd of 6</t>
  </si>
  <si>
    <t>NGC3582</t>
  </si>
  <si>
    <t>11h12m11.9s</t>
  </si>
  <si>
    <t>-61h16m24s</t>
  </si>
  <si>
    <t>bright, brighter stellar middle, 4th of 6</t>
  </si>
  <si>
    <t>B, bM*, 4th of 6</t>
  </si>
  <si>
    <t>NGC3583</t>
  </si>
  <si>
    <t>11h14m11s</t>
  </si>
  <si>
    <t>+48h19m6s</t>
  </si>
  <si>
    <t>pretty bright, pretty large, round, very gradually much brighter middle</t>
  </si>
  <si>
    <t>pB, pL, R, vgmbM</t>
  </si>
  <si>
    <t>NGC3584</t>
  </si>
  <si>
    <t>11h12m19.8s</t>
  </si>
  <si>
    <t>-61h13m42s</t>
  </si>
  <si>
    <t>faint, large, extended 0°, brighter middle, 5th of 6</t>
  </si>
  <si>
    <t>F, L, E 0°, bM, 5th of 6</t>
  </si>
  <si>
    <t>NGC3585</t>
  </si>
  <si>
    <t>11h13m17.3s</t>
  </si>
  <si>
    <t>-26h45m18s</t>
  </si>
  <si>
    <t>bright, pretty large, extended, very suddenly much brighter middle and nucleus, forming a triangle with 2 bright stars</t>
  </si>
  <si>
    <t>B, pL, E, vsmbMN, 2 B st Δ</t>
  </si>
  <si>
    <t>NGC3586</t>
  </si>
  <si>
    <t>11h12m29.9s</t>
  </si>
  <si>
    <t>-61h21m8s</t>
  </si>
  <si>
    <t>extremely faint, small, extended 160°±, 6th of 6</t>
  </si>
  <si>
    <t>eF, S, E 160° ±, 6th of 6</t>
  </si>
  <si>
    <t>NGC3587</t>
  </si>
  <si>
    <t>夜枭星云</t>
  </si>
  <si>
    <t>11h14m47.7s</t>
  </si>
  <si>
    <t>+55h1m10s</t>
  </si>
  <si>
    <t>a very remarkable object, a planetary nebula, very bright, very large, round, very very gradually then very suddenly bright middle, 150 arcsec diameter</t>
  </si>
  <si>
    <t>!!, planetary, vB, vL, R, vvg, vsbM, 150" d</t>
  </si>
  <si>
    <t>NGC3588</t>
  </si>
  <si>
    <t>11h14m2.4s</t>
  </si>
  <si>
    <t>+20h23m11s</t>
  </si>
  <si>
    <t>very faint, considerably small, 4 seconds of time east and 8 arcmin south of δ Leonis</t>
  </si>
  <si>
    <t>vF, cS, 4s f δ Leonis [&amp; 8' s]</t>
  </si>
  <si>
    <t>NGC3589</t>
  </si>
  <si>
    <t>11h15m13.3s</t>
  </si>
  <si>
    <t>+60h42m2s</t>
  </si>
  <si>
    <t>very faint, large, extended, very gradually brighter middle, in triangle of little (faint) stars</t>
  </si>
  <si>
    <t>vF, L, E, vgbM, in Δ of L st</t>
  </si>
  <si>
    <t>NGC3590</t>
  </si>
  <si>
    <t>11h12m58.9s</t>
  </si>
  <si>
    <t>-60h47m20s</t>
  </si>
  <si>
    <t>cluster, pretty rich, compressed, extended</t>
  </si>
  <si>
    <t>Cl, pRi, C, E</t>
  </si>
  <si>
    <t>NGC3591</t>
  </si>
  <si>
    <t>11h14m3.2s</t>
  </si>
  <si>
    <t>-14h5m12s</t>
  </si>
  <si>
    <t>very faint, small, irregularly round, a little brighter middle</t>
  </si>
  <si>
    <t>vF, S, iR, lbM</t>
  </si>
  <si>
    <t>NGC3592</t>
  </si>
  <si>
    <t>11h14m27.5s</t>
  </si>
  <si>
    <t>+17h15m34s</t>
  </si>
  <si>
    <t>extremely faint, small, pretty much extended, position angle 60°</t>
  </si>
  <si>
    <t>eF, S, pmE, pos 60°</t>
  </si>
  <si>
    <t>NGC3593</t>
  </si>
  <si>
    <t>11h14m37s</t>
  </si>
  <si>
    <t>+12h49m6s</t>
  </si>
  <si>
    <t>bright, considerably large, extended 90±, pretty suddenly much brighter middle</t>
  </si>
  <si>
    <t>B, cL, E 90±, psmbM</t>
  </si>
  <si>
    <t>NGC3594</t>
  </si>
  <si>
    <t>11h16m13.9s</t>
  </si>
  <si>
    <t>+55h42m17s</t>
  </si>
  <si>
    <t>NGC3595</t>
  </si>
  <si>
    <t>11h15m25.4s</t>
  </si>
  <si>
    <t>+47h26m49s</t>
  </si>
  <si>
    <t>very faint, very small, very little extended, stellar, considerably bright star to north</t>
  </si>
  <si>
    <t>vF, vS, vlE, stellar, cB * n</t>
  </si>
  <si>
    <t>NGC3596</t>
  </si>
  <si>
    <t>11h15m6.1s</t>
  </si>
  <si>
    <t>+14h47m13s</t>
  </si>
  <si>
    <t>NGC3597</t>
  </si>
  <si>
    <t>11h14m42s</t>
  </si>
  <si>
    <t>-23h43m38s</t>
  </si>
  <si>
    <t>NGC3598</t>
  </si>
  <si>
    <t>11h15m11.5s</t>
  </si>
  <si>
    <t>+17h15m45s</t>
  </si>
  <si>
    <t>faint, very small, stellar, star to north</t>
  </si>
  <si>
    <t>F, vS, stell, * n</t>
  </si>
  <si>
    <t>NGC3599</t>
  </si>
  <si>
    <t>11h15m26.8s</t>
  </si>
  <si>
    <t>+18h6m37s</t>
  </si>
  <si>
    <t>bright, pretty small, round, pretty gradually much brighter middle</t>
  </si>
  <si>
    <t>B, pS, R, pgmbM</t>
  </si>
  <si>
    <t>NGC3600</t>
  </si>
  <si>
    <t>11h15m52s</t>
  </si>
  <si>
    <t>+41h35m28s</t>
  </si>
  <si>
    <t>pretty faint, small, a little extended 0°±, very gradually brighter middle</t>
  </si>
  <si>
    <t>pF, S, lE 0° ±, vgbM</t>
  </si>
  <si>
    <t>NGC3601</t>
  </si>
  <si>
    <t>11h15m33.2s</t>
  </si>
  <si>
    <t>+5h6m56s</t>
  </si>
  <si>
    <t>very faint, pretty small, almost stellar</t>
  </si>
  <si>
    <t>vF, pS, alm stell</t>
  </si>
  <si>
    <t>NGC3602</t>
  </si>
  <si>
    <t>11h15m48.3s</t>
  </si>
  <si>
    <t>+17h24m58s</t>
  </si>
  <si>
    <t>NGC3603</t>
  </si>
  <si>
    <t>I1pn</t>
  </si>
  <si>
    <t>11h15m6.6s</t>
  </si>
  <si>
    <t>-61h15m40s</t>
  </si>
  <si>
    <t>globular cluster and nebula, stars 15th to 18th magnitude</t>
  </si>
  <si>
    <t>globular and neb, st 15…18</t>
  </si>
  <si>
    <t>NGC3604</t>
  </si>
  <si>
    <t>11h17m30.1s</t>
  </si>
  <si>
    <t>+4h33m19s</t>
  </si>
  <si>
    <t>pretty bright, small, a little extended, much brighter middle</t>
  </si>
  <si>
    <t>pB, S, lE, mbM</t>
  </si>
  <si>
    <t>NGC3605</t>
  </si>
  <si>
    <t>11h16m46.6s</t>
  </si>
  <si>
    <t>+18h1m3s</t>
  </si>
  <si>
    <t>faint, small, round, southwestern of 3</t>
  </si>
  <si>
    <t>F, S, R, sp of 3</t>
  </si>
  <si>
    <t>NGC3606</t>
  </si>
  <si>
    <t>11h16m15.6s</t>
  </si>
  <si>
    <t>-33h49m39s</t>
  </si>
  <si>
    <t>NGC3607</t>
  </si>
  <si>
    <t>11h16m54.5s</t>
  </si>
  <si>
    <t>+18h3m8s</t>
  </si>
  <si>
    <t>very bright, large, round, very much brighter middle, 2nd of 3</t>
  </si>
  <si>
    <t>vB, L, R, vmbM, 2nd of 3</t>
  </si>
  <si>
    <t>NGC3608</t>
  </si>
  <si>
    <t>11h16m59s</t>
  </si>
  <si>
    <t>+18h8m53s</t>
  </si>
  <si>
    <t>bright, pretty large, round, pretty suddenly brighter middle, 3rd of 3</t>
  </si>
  <si>
    <t>B, pL, R, psbM, 3rd of 3</t>
  </si>
  <si>
    <t>NGC3609</t>
  </si>
  <si>
    <t>11h17m50.6s</t>
  </si>
  <si>
    <t>+26h37m31s</t>
  </si>
  <si>
    <t>pretty faint, small, brighter middle</t>
  </si>
  <si>
    <t>pF, S, bM</t>
  </si>
  <si>
    <t>NGC3610</t>
  </si>
  <si>
    <t>11h18m24.9s</t>
  </si>
  <si>
    <t>+58h47m12s</t>
  </si>
  <si>
    <t>very bright, pretty small, a little extended 90°±, very suddenly very much brighter middle and small nucleus</t>
  </si>
  <si>
    <t>vB, pS, lE 90° ±, vsvmbMSN</t>
  </si>
  <si>
    <t>NGC3611</t>
  </si>
  <si>
    <t>pF, cS, iR, psmbM, * 10 np 3'</t>
  </si>
  <si>
    <t>NGC3612</t>
  </si>
  <si>
    <t>pL, dif, * 10·11 nf 2'</t>
  </si>
  <si>
    <t>NGC3613</t>
  </si>
  <si>
    <t>11h18m35.9s</t>
  </si>
  <si>
    <t>+58h0m2s</t>
  </si>
  <si>
    <t>very bright, considerably large, much extended 305°, suddenly much brighter middle and nucleus</t>
  </si>
  <si>
    <t>vB, cL, mE 305°, smbMN</t>
  </si>
  <si>
    <t>NGC3614</t>
  </si>
  <si>
    <t>11h18m21.6s</t>
  </si>
  <si>
    <t>+45h44m55s</t>
  </si>
  <si>
    <t>faint, pretty large, a little extended 90°±, gradually a little brighter middle, mottled but not resolved</t>
  </si>
  <si>
    <t>F, pL, lE 90° ±, glbM, r</t>
  </si>
  <si>
    <t>NGC3615</t>
  </si>
  <si>
    <t>11h18m6.5s</t>
  </si>
  <si>
    <t>+23h23m51s</t>
  </si>
  <si>
    <t>considerably faint, very small, suddenly much brighter middle, stellar, preceding (western) of 2</t>
  </si>
  <si>
    <t>cF, vS, smbM, stellar, p of 2</t>
  </si>
  <si>
    <t>NGC3616</t>
  </si>
  <si>
    <t>11h18m8.6s</t>
  </si>
  <si>
    <t>+14h45m58s</t>
  </si>
  <si>
    <t>NGC3617</t>
  </si>
  <si>
    <t>11h17m50.8s</t>
  </si>
  <si>
    <t>-26h8m2s</t>
  </si>
  <si>
    <t>NGC3618</t>
  </si>
  <si>
    <t>11h18m32.4s</t>
  </si>
  <si>
    <t>+23h28m8s</t>
  </si>
  <si>
    <t>NGC3619</t>
  </si>
  <si>
    <t>11h19m21.5s</t>
  </si>
  <si>
    <t>+57h45m30s</t>
  </si>
  <si>
    <t>considerably bright, considerably large, round, very gradually much brighter middle</t>
  </si>
  <si>
    <t>cB, cL, R, vgmbM</t>
  </si>
  <si>
    <t>NGC3620</t>
  </si>
  <si>
    <t>11h16m5s</t>
  </si>
  <si>
    <t>-76h13m2s</t>
  </si>
  <si>
    <t>faint, pretty small, pretty much extended, gradually brighter middle</t>
  </si>
  <si>
    <t>F, pS, pmE, gbM</t>
  </si>
  <si>
    <t>NGC3621</t>
  </si>
  <si>
    <t>眼镜框星系</t>
  </si>
  <si>
    <t>11h18m15.8s</t>
  </si>
  <si>
    <t>-32h48m40s</t>
  </si>
  <si>
    <t>considerably bright, very large, extended 160°, among 4 stars</t>
  </si>
  <si>
    <t>cB, vL, E 160°, am 4 st</t>
  </si>
  <si>
    <t>NGC3622</t>
  </si>
  <si>
    <t>11h20m12.2s</t>
  </si>
  <si>
    <t>+67h14m31s</t>
  </si>
  <si>
    <t>NGC3623</t>
  </si>
  <si>
    <t>狮子座三重星系</t>
  </si>
  <si>
    <t>11h18m55.6s</t>
  </si>
  <si>
    <t>+13h5m27s</t>
  </si>
  <si>
    <t>bright, very large, much extended 165°±, gradually brighter middle and bright nucleus</t>
  </si>
  <si>
    <t>B, vL, mE 165° ±, gbMBN</t>
  </si>
  <si>
    <t>NGC3624</t>
  </si>
  <si>
    <t>11h18m50.9s</t>
  </si>
  <si>
    <t>+7h31m15s</t>
  </si>
  <si>
    <t>NGC3625</t>
  </si>
  <si>
    <t>11h20m31.2s</t>
  </si>
  <si>
    <t>+57h46m52s</t>
  </si>
  <si>
    <t>faint, small, a little extended 135°±</t>
  </si>
  <si>
    <t>F, S, lE 135° ±</t>
  </si>
  <si>
    <t>NGC3626</t>
  </si>
  <si>
    <t>11h20m3.6s</t>
  </si>
  <si>
    <t>+18h21m24s</t>
  </si>
  <si>
    <t>bright, small, very little extended, suddenly brighter middle</t>
  </si>
  <si>
    <t>B, S, vlE, sbM</t>
  </si>
  <si>
    <t>NGC3627</t>
  </si>
  <si>
    <t>11h20m15.1s</t>
  </si>
  <si>
    <t>+12h59m24s</t>
  </si>
  <si>
    <t>bright, very large, much extended 150°, much brighter middle, 2 stars to northwest</t>
  </si>
  <si>
    <t>B, vL, mE 150°, mbM, 2 st np</t>
  </si>
  <si>
    <t>NGC3628</t>
  </si>
  <si>
    <t>汉堡星系</t>
  </si>
  <si>
    <t>11h20m16.7s</t>
  </si>
  <si>
    <t>+13h35m24s</t>
  </si>
  <si>
    <t>pretty bright, very large, very much extended 102°</t>
  </si>
  <si>
    <t>pB, vL, vmE 102°</t>
  </si>
  <si>
    <t>NGC3629</t>
  </si>
  <si>
    <t>11h20m31.7s</t>
  </si>
  <si>
    <t>+26h57m46s</t>
  </si>
  <si>
    <t>considerably faint, large, round, very gradually very little brighter middle</t>
  </si>
  <si>
    <t>cF, L, R, vgvlbM</t>
  </si>
  <si>
    <t>NGC3630</t>
  </si>
  <si>
    <t>11h20m16.9s</t>
  </si>
  <si>
    <t>+2h57m52s</t>
  </si>
  <si>
    <t>pretty bright, small, round, suddenly much brighter middle and nucleus</t>
  </si>
  <si>
    <t>pB, S, R, smbMN</t>
  </si>
  <si>
    <t>NGC3631</t>
  </si>
  <si>
    <t>11h21m2.7s</t>
  </si>
  <si>
    <t>+53h10m11s</t>
  </si>
  <si>
    <t>pretty bright, large, round, suddenly very much brighter middle and mottled but not resolved nucleus</t>
  </si>
  <si>
    <t>pB, L, R, svmbMrN</t>
  </si>
  <si>
    <t>NGC3632</t>
  </si>
  <si>
    <t>pB, * inv</t>
  </si>
  <si>
    <t>NGC3633</t>
  </si>
  <si>
    <t>11h20m26.2s</t>
  </si>
  <si>
    <t>+3h35m8s</t>
  </si>
  <si>
    <t>very faint, small, round, 2 stars near</t>
  </si>
  <si>
    <t>vF, S, R, 2 st nr</t>
  </si>
  <si>
    <t>NGC3634</t>
  </si>
  <si>
    <t>11h20m30.3s</t>
  </si>
  <si>
    <t>-9h0m49s</t>
  </si>
  <si>
    <t>extremely faint, extremely small, round, brighter middle and nucleus, 0.4 arcmin from NGC 3635 at position angle 85°</t>
  </si>
  <si>
    <t>eF, eS, R, bMN, 85° dist 0'.4</t>
  </si>
  <si>
    <t>NGC3635</t>
  </si>
  <si>
    <t>11h20m31.3s</t>
  </si>
  <si>
    <t>-9h0m47s</t>
  </si>
  <si>
    <t>extremely faint, extremely small, round, brighter middle and nucleus, 0.4 arcmin from NGC 3634 at position angle 85°</t>
  </si>
  <si>
    <t>NGC3636</t>
  </si>
  <si>
    <t>11h20m25s</t>
  </si>
  <si>
    <t>-10h16m55s</t>
  </si>
  <si>
    <t>faint, very small, round, a little brighter middle, 7th magnitude star to east, preceding (western) of 2</t>
  </si>
  <si>
    <t>F, vS, R, lbM, * 7 f, p of 2</t>
  </si>
  <si>
    <t>NGC3637</t>
  </si>
  <si>
    <t>11h20m39.6s</t>
  </si>
  <si>
    <t>-10h15m25s</t>
  </si>
  <si>
    <t>faint, very small, round, pretty suddenly brighter middle, 7th magnitude star to west, following (eastern) of 2</t>
  </si>
  <si>
    <t>F, vS, R, psbM, * 7 p, f of 2</t>
  </si>
  <si>
    <t>NGC3638</t>
  </si>
  <si>
    <t>11h20m9.9s</t>
  </si>
  <si>
    <t>-8h6m20s</t>
  </si>
  <si>
    <t>extremely faint, very small, 2 stars of 10th magnitude to east</t>
  </si>
  <si>
    <t>eF, vS, 2 st 10 f</t>
  </si>
  <si>
    <t>NGC3639</t>
  </si>
  <si>
    <t>11h21m35.5s</t>
  </si>
  <si>
    <t>+18h27m31s</t>
  </si>
  <si>
    <t>pretty faint, small, round, very little brighter middle, 15 arcmin east of h856</t>
  </si>
  <si>
    <t>pF, S, R, vlbM, 15' f h 856</t>
  </si>
  <si>
    <t>NGC3640</t>
  </si>
  <si>
    <t>11h21m6.7s</t>
  </si>
  <si>
    <t>+3h14m5s</t>
  </si>
  <si>
    <t>bright, pretty large, round, pretty suddenly brighter middle</t>
  </si>
  <si>
    <t>B, pL, R, psbM</t>
  </si>
  <si>
    <t>NGC3641</t>
  </si>
  <si>
    <t>11h21m8.8s</t>
  </si>
  <si>
    <t>+3h11m41s</t>
  </si>
  <si>
    <t>faint, very small, almost stellar, (WH) II 33 (= NGC 3640) 2 arcmin to north</t>
  </si>
  <si>
    <t>F, vS, alm stell, II 33 2' n</t>
  </si>
  <si>
    <t>NGC3642</t>
  </si>
  <si>
    <t>11h22m17.5s</t>
  </si>
  <si>
    <t>+59h4m30s</t>
  </si>
  <si>
    <t>pretty bright, pretty large, round, very gradually brighter middle</t>
  </si>
  <si>
    <t>NGC3643</t>
  </si>
  <si>
    <t>11h21m24.9s</t>
  </si>
  <si>
    <t>+3h0m51s</t>
  </si>
  <si>
    <t>NGC3644</t>
  </si>
  <si>
    <t>11h21m32.9s</t>
  </si>
  <si>
    <t>+2h48m37s</t>
  </si>
  <si>
    <t>NGC3645</t>
  </si>
  <si>
    <t>NGC3646</t>
  </si>
  <si>
    <t>11h21m43.2s</t>
  </si>
  <si>
    <t>+20h10m9s</t>
  </si>
  <si>
    <t>considerably faint, considerably large, a little extended, gradually brighter middle, southwestern of 2</t>
  </si>
  <si>
    <t>cF, cL, lE, gbM, sp of 2</t>
  </si>
  <si>
    <t>NGC3647</t>
  </si>
  <si>
    <t>11h21m32.5s</t>
  </si>
  <si>
    <t>+2h53m14s</t>
  </si>
  <si>
    <t>extremely faint nebulous star</t>
  </si>
  <si>
    <t>NGC3648</t>
  </si>
  <si>
    <t>11h22m31.3s</t>
  </si>
  <si>
    <t>+39h52m37s</t>
  </si>
  <si>
    <t>pretty bright, small, pretty much extended, brighter middle and nucleus perhaps a close double star?</t>
  </si>
  <si>
    <t>pB, S, pmE, bMN = close ** ?</t>
  </si>
  <si>
    <t>NGC3649</t>
  </si>
  <si>
    <t>11h22m14.8s</t>
  </si>
  <si>
    <t>+20h12m31s</t>
  </si>
  <si>
    <t>very faint, pretty small, round, gradually brighter middle, northeastern of 2</t>
  </si>
  <si>
    <t>vF, pS, R, gbM, nf of 2</t>
  </si>
  <si>
    <t>NGC3650</t>
  </si>
  <si>
    <t>11h22m35.4s</t>
  </si>
  <si>
    <t>+20h42m17s</t>
  </si>
  <si>
    <t>extremely faint, small, round, between 2 stars</t>
  </si>
  <si>
    <t>eF, S, R, bet 2 st</t>
  </si>
  <si>
    <t>NGC3651</t>
  </si>
  <si>
    <t>11h22m26.3s</t>
  </si>
  <si>
    <t>+24h17m56s</t>
  </si>
  <si>
    <t>considerably faint, very small, round, brighter middle, northwest of 2</t>
  </si>
  <si>
    <t>cF, vS, R, bM, np of 2</t>
  </si>
  <si>
    <t>NGC3652</t>
  </si>
  <si>
    <t>11h22m39s</t>
  </si>
  <si>
    <t>+37h45m54s</t>
  </si>
  <si>
    <t>pretty faint, considerably large, a little extended, very gradually brighter middle</t>
  </si>
  <si>
    <t>pF, cL, lE, vgbM</t>
  </si>
  <si>
    <t>NGC3653</t>
  </si>
  <si>
    <t>11h22m30s</t>
  </si>
  <si>
    <t>+24h16m47s</t>
  </si>
  <si>
    <t>very faint, very small, southeastern of 2</t>
  </si>
  <si>
    <t>vF, vS, sf of 2</t>
  </si>
  <si>
    <t>NGC3654</t>
  </si>
  <si>
    <t>11h24m10.9s</t>
  </si>
  <si>
    <t>+69h24m46s</t>
  </si>
  <si>
    <t>faint, small, a little extended 15°±</t>
  </si>
  <si>
    <t>F, S, lE 15° ±</t>
  </si>
  <si>
    <t>NGC3655</t>
  </si>
  <si>
    <t>11h22m54.7s</t>
  </si>
  <si>
    <t>+16h35m23s</t>
  </si>
  <si>
    <t>pretty bright, pretty small, irregularly round, brighter middle, mottled but not resolved</t>
  </si>
  <si>
    <t>pB, pS, iR, bM, r</t>
  </si>
  <si>
    <t>NGC3656</t>
  </si>
  <si>
    <t>11h23m38.6s</t>
  </si>
  <si>
    <t>+53h50m32s</t>
  </si>
  <si>
    <t>pretty bright, small, round, very gradually brighter middle, 12th magnitude star to west</t>
  </si>
  <si>
    <t>pB, S, R, vgbM, * 12 p</t>
  </si>
  <si>
    <t>NGC3657</t>
  </si>
  <si>
    <t>11h23m55.4s</t>
  </si>
  <si>
    <t>+52h55m16s</t>
  </si>
  <si>
    <t>considerably faint, very small, round, stellar</t>
  </si>
  <si>
    <t>cF, vS, R, stellar</t>
  </si>
  <si>
    <t>NGC3658</t>
  </si>
  <si>
    <t>11h23m58.5s</t>
  </si>
  <si>
    <t>+38h33m49s</t>
  </si>
  <si>
    <t>faint, small, round, suddenly very much brighter middle and nucleus = 14th magnitude star</t>
  </si>
  <si>
    <t>F, S, R, svmbMN = * 14 mag</t>
  </si>
  <si>
    <t>NGC3659</t>
  </si>
  <si>
    <t>11h23m45.1s</t>
  </si>
  <si>
    <t>+17h49m1s</t>
  </si>
  <si>
    <t>considerably faint, small, a little extended, mottled but not resolved</t>
  </si>
  <si>
    <t>cF, S, lE, r</t>
  </si>
  <si>
    <t>NGC3660</t>
  </si>
  <si>
    <t>11h23m32.2s</t>
  </si>
  <si>
    <t>-8h39m31s</t>
  </si>
  <si>
    <t>faint, pretty large, irregularly round, very gradually brighter middle</t>
  </si>
  <si>
    <t>F, pL, iR, vgbM</t>
  </si>
  <si>
    <t>NGC3661</t>
  </si>
  <si>
    <t>11h23m38.3s</t>
  </si>
  <si>
    <t>-13h49m51s</t>
  </si>
  <si>
    <t>faint, small, round, stellar, preceding (western) of 2</t>
  </si>
  <si>
    <t>F, S, R, stellar, p of 2</t>
  </si>
  <si>
    <t>NGC3662</t>
  </si>
  <si>
    <t>11h23m46.4s</t>
  </si>
  <si>
    <t>-1h6m19s</t>
  </si>
  <si>
    <t>very faint, small, attached to 13th magnitude star</t>
  </si>
  <si>
    <t>vF, S, att to * 13 m</t>
  </si>
  <si>
    <t>NGC3663</t>
  </si>
  <si>
    <t>11h23m59.9s</t>
  </si>
  <si>
    <t>-12h17m48s</t>
  </si>
  <si>
    <t>extremely faint, fan shaped, star close</t>
  </si>
  <si>
    <t>eF, fan shaped, * close</t>
  </si>
  <si>
    <t>NGC3664</t>
  </si>
  <si>
    <t>11h24m24.4s</t>
  </si>
  <si>
    <t>+3h19m35s</t>
  </si>
  <si>
    <t>pretty faint, binuclear</t>
  </si>
  <si>
    <t>pF, biN</t>
  </si>
  <si>
    <t>NGC3665</t>
  </si>
  <si>
    <t>11h24m43.6s</t>
  </si>
  <si>
    <t>+38h45m47s</t>
  </si>
  <si>
    <t>considerably bright, considerably large, irregularly round, pretty gradually much brighter middle</t>
  </si>
  <si>
    <t>cB, cL, iR, pgmbM</t>
  </si>
  <si>
    <t>NGC3666</t>
  </si>
  <si>
    <t>11h24m26.2s</t>
  </si>
  <si>
    <t>+11h20m32s</t>
  </si>
  <si>
    <t>faint, extended 90°±, 6th magnitude star 34 seconds to east and 5 arcmin to north</t>
  </si>
  <si>
    <t>F, E 90° ±, 6 mag * f 34s, 5' n</t>
  </si>
  <si>
    <t>NGC3667</t>
  </si>
  <si>
    <t>11h24m16.9s</t>
  </si>
  <si>
    <t>-13h51m24s</t>
  </si>
  <si>
    <t>pretty faint, pretty large, irregularly round, very little brighter middle</t>
  </si>
  <si>
    <t>pF, pL, iR, vlbM</t>
  </si>
  <si>
    <t>NGC3668</t>
  </si>
  <si>
    <t>11h25m30.3s</t>
  </si>
  <si>
    <t>+63h26m47s</t>
  </si>
  <si>
    <t>faint, pretty small, irregularly round, gradually brighter middle, 9th magnitude star to northwest</t>
  </si>
  <si>
    <t>F, pS, iR, gbM, * 9 np</t>
  </si>
  <si>
    <t>NGC3669</t>
  </si>
  <si>
    <t>11h25m26.5s</t>
  </si>
  <si>
    <t>+57h43m17s</t>
  </si>
  <si>
    <t>very faint, pretty large, pretty much extended 135°±, extremely mottled but not resolved</t>
  </si>
  <si>
    <t>vF, pL, pmE 135° ±, er</t>
  </si>
  <si>
    <t>NGC3670</t>
  </si>
  <si>
    <t>11h24m49.6s</t>
  </si>
  <si>
    <t>+23h56m44s</t>
  </si>
  <si>
    <t>NGC3671</t>
  </si>
  <si>
    <t>11h25m52.5s</t>
  </si>
  <si>
    <t>+60h28m48s</t>
  </si>
  <si>
    <t>very faint, very small, 2 very small stars involved</t>
  </si>
  <si>
    <t>vF, vS, 2 vS st inv</t>
  </si>
  <si>
    <t>NGC3672</t>
  </si>
  <si>
    <t>11h25m2.3s</t>
  </si>
  <si>
    <t>-9h47m41s</t>
  </si>
  <si>
    <t>pretty bright, large, extended 0°±, gradually brighter middle</t>
  </si>
  <si>
    <t>pB, L, E 0° ±, gbM</t>
  </si>
  <si>
    <t>NGC3673</t>
  </si>
  <si>
    <t>11h25m12.7s</t>
  </si>
  <si>
    <t>-26h44m12s</t>
  </si>
  <si>
    <t>faint, very large, gradually very little brighter middle, 7th magnitude star 6 arcmin south</t>
  </si>
  <si>
    <t>F, vL, gvlbM, * 7 s 6'</t>
  </si>
  <si>
    <t>NGC3674</t>
  </si>
  <si>
    <t>11h26m26.3s</t>
  </si>
  <si>
    <t>+57h2m55s</t>
  </si>
  <si>
    <t>pretty faint, irregular figure</t>
  </si>
  <si>
    <t>pF, iF</t>
  </si>
  <si>
    <t>NGC3675</t>
  </si>
  <si>
    <t>11h26m8.1s</t>
  </si>
  <si>
    <t>+43h35m11s</t>
  </si>
  <si>
    <t>very bright, considerably large, very much extended 0°±, very suddenly much brighter middle and nucleus, many stars to west</t>
  </si>
  <si>
    <t>vB, cL, vmE 0° ±, vsmbMN, many st p</t>
  </si>
  <si>
    <t>NGC3676</t>
  </si>
  <si>
    <t>11h25m37.4s</t>
  </si>
  <si>
    <t>-11h8m21s</t>
  </si>
  <si>
    <t>extremely faint, very small, round, 2 stars of 10th magnitude to northeast and southeast</t>
  </si>
  <si>
    <t>eF, vS, R, 2 st 10 nf, sf</t>
  </si>
  <si>
    <t>NGC3677</t>
  </si>
  <si>
    <t>11h26m17.6s</t>
  </si>
  <si>
    <t>+46h58m28s</t>
  </si>
  <si>
    <t>extremely faint, small, round, very suddenly brighter stellar middle, 2 stars of 11th magnitude to northeast</t>
  </si>
  <si>
    <t>eF, S, R, vsbM *, 2 st 11 nf</t>
  </si>
  <si>
    <t>NGC3678</t>
  </si>
  <si>
    <t>11h26m15.7s</t>
  </si>
  <si>
    <t>+27h52m1s</t>
  </si>
  <si>
    <t>very faint, small, round, pretty suddenly brighter middle, 12th magnitude star to northeast</t>
  </si>
  <si>
    <t>vF, S, R, psbM, * 12 nf</t>
  </si>
  <si>
    <t>NGC3679</t>
  </si>
  <si>
    <t>11h21m47.9s</t>
  </si>
  <si>
    <t>-5h45m28s</t>
  </si>
  <si>
    <t>extremely faint, considerably large, round, mottled but not resolved (very near very bright star)</t>
  </si>
  <si>
    <t>eF, cL, R, r (v near vB *)</t>
  </si>
  <si>
    <t>NGC3680</t>
  </si>
  <si>
    <t>11h25m38s</t>
  </si>
  <si>
    <t>-43h15m0s</t>
  </si>
  <si>
    <t>cluster, considerably large, pretty rich, a little compressed, stars from 10th to 14th magnitude</t>
  </si>
  <si>
    <t>Cl, cL, pRi, lC, st 10…14</t>
  </si>
  <si>
    <t>NGC3681</t>
  </si>
  <si>
    <t>11h26m29.7s</t>
  </si>
  <si>
    <t>+16h51m50s</t>
  </si>
  <si>
    <t>bright, pretty small, round, brighter middle</t>
  </si>
  <si>
    <t>B, pS, R, bM</t>
  </si>
  <si>
    <t>NGC3682</t>
  </si>
  <si>
    <t>11h27m41.3s</t>
  </si>
  <si>
    <t>+66h35m27s</t>
  </si>
  <si>
    <t>considerably bright, small, irregularly round, suddenly pretty much brighter middle and nucleus</t>
  </si>
  <si>
    <t>cB, S, iR, spmbMN</t>
  </si>
  <si>
    <t>NGC3683</t>
  </si>
  <si>
    <t>11h27m31.7s</t>
  </si>
  <si>
    <t>+56h52m40s</t>
  </si>
  <si>
    <t>considerably bright, pretty large, extended</t>
  </si>
  <si>
    <t>cB, pL, E</t>
  </si>
  <si>
    <t>NGC3684</t>
  </si>
  <si>
    <t>11h27m11.1s</t>
  </si>
  <si>
    <t>+17h1m51s</t>
  </si>
  <si>
    <t>pretty bright, pretty large, extended, very gradually brighter middle</t>
  </si>
  <si>
    <t>pB, pL, E, vgbM</t>
  </si>
  <si>
    <t>NGC3685</t>
  </si>
  <si>
    <t>11h28m16.2s</t>
  </si>
  <si>
    <t>+4h19m39s</t>
  </si>
  <si>
    <t>NGC3686</t>
  </si>
  <si>
    <t>11h27m44.1s</t>
  </si>
  <si>
    <t>+17h13m24s</t>
  </si>
  <si>
    <t>pretty bright, large, very little extended, very gradually brighter middle, mottled but not resolved</t>
  </si>
  <si>
    <t>pB, L, vlE, vgbM, r</t>
  </si>
  <si>
    <t>NGC3687</t>
  </si>
  <si>
    <t>11h28m0.5s</t>
  </si>
  <si>
    <t>+29h30m40s</t>
  </si>
  <si>
    <t>pretty bright, pretty small, round, a little brighter middle, mottled but not resolved</t>
  </si>
  <si>
    <t>pB, pS, R, lbM, r</t>
  </si>
  <si>
    <t>NGC3688</t>
  </si>
  <si>
    <t>11h27m44.4s</t>
  </si>
  <si>
    <t>-9h9m54s</t>
  </si>
  <si>
    <t>extremely faint, extremely small, a little elongated 0°, gradually brighter middle</t>
  </si>
  <si>
    <t>eF, eS, lE 0°, gbM</t>
  </si>
  <si>
    <t>NGC3689</t>
  </si>
  <si>
    <t>11h28m10.8s</t>
  </si>
  <si>
    <t>+25h39m41s</t>
  </si>
  <si>
    <t>NGC3690</t>
  </si>
  <si>
    <t>11h28m32.6s</t>
  </si>
  <si>
    <t>+58h33m52s</t>
  </si>
  <si>
    <t>pretty bright, pretty small, very little extended 80°±, pretty gradually brighter middle, small star near to southeast</t>
  </si>
  <si>
    <t>pB, pS, vlE 80° ±, pgbM, S st sf nr</t>
  </si>
  <si>
    <t>NGC3691</t>
  </si>
  <si>
    <t>11h28m9.4s</t>
  </si>
  <si>
    <t>+16h55m12s</t>
  </si>
  <si>
    <t>NGC3692</t>
  </si>
  <si>
    <t>11h28m23.8s</t>
  </si>
  <si>
    <t>+9h24m28s</t>
  </si>
  <si>
    <t>faint, much extended, mottled but not resolved</t>
  </si>
  <si>
    <t>F, mE, r</t>
  </si>
  <si>
    <t>NGC3693</t>
  </si>
  <si>
    <t>11h28m11.5s</t>
  </si>
  <si>
    <t>-13h11m39s</t>
  </si>
  <si>
    <t>considerably faint, small, extended, gradually brighter middle</t>
  </si>
  <si>
    <t>cF, S, E, gbM</t>
  </si>
  <si>
    <t>NGC3694</t>
  </si>
  <si>
    <t>11h28m54s</t>
  </si>
  <si>
    <t>+35h24m50s</t>
  </si>
  <si>
    <t>considerably faint, small, round, much brighter middle</t>
  </si>
  <si>
    <t>cF, S, R, mbM</t>
  </si>
  <si>
    <t>NGC3695</t>
  </si>
  <si>
    <t>11h29m17.3s</t>
  </si>
  <si>
    <t>+35h34m32s</t>
  </si>
  <si>
    <t>extremely faint, pretty small, h899 4 arcmin to south</t>
  </si>
  <si>
    <t>eF, pS, h 899 4' s</t>
  </si>
  <si>
    <t>NGC3696</t>
  </si>
  <si>
    <t>11h28m43.9s</t>
  </si>
  <si>
    <t>-11h16m59s</t>
  </si>
  <si>
    <t>NGC3697</t>
  </si>
  <si>
    <t>11h28m50.4s</t>
  </si>
  <si>
    <t>+20h47m42s</t>
  </si>
  <si>
    <t>NGC3698</t>
  </si>
  <si>
    <t>NGC3699</t>
  </si>
  <si>
    <t>11h27m57.2s</t>
  </si>
  <si>
    <t>-59h57m27s</t>
  </si>
  <si>
    <t>bright, pretty large, irregularly round, pretty gradually pretty much brighter middle</t>
  </si>
  <si>
    <t>B, pL, iR, pgpmbM</t>
  </si>
  <si>
    <t>NGC3700</t>
  </si>
  <si>
    <t>11h29m38.5s</t>
  </si>
  <si>
    <t>+35h30m54s</t>
  </si>
  <si>
    <t>extremely faint, h 899 preceding (to the west)</t>
  </si>
  <si>
    <t>eF, h 899 p</t>
  </si>
  <si>
    <t>NGC3701</t>
  </si>
  <si>
    <t>11h29m28.8s</t>
  </si>
  <si>
    <t>+24h5m37s</t>
  </si>
  <si>
    <t>NGC3702</t>
  </si>
  <si>
    <t>11h30m13.4s</t>
  </si>
  <si>
    <t>-8h51m44s</t>
  </si>
  <si>
    <t>extremely faint, extremely small, round, gradually a little brighter middle</t>
  </si>
  <si>
    <t>eF, eS, R, glbM</t>
  </si>
  <si>
    <t>NGC3703</t>
  </si>
  <si>
    <t>11h29m9s</t>
  </si>
  <si>
    <t>-8h26m47s</t>
  </si>
  <si>
    <t>extremely faint, very small, gradually brighter middle and nucleus</t>
  </si>
  <si>
    <t>eF, vS, gbMN</t>
  </si>
  <si>
    <t>NGC3704</t>
  </si>
  <si>
    <t>11h30m4.6s</t>
  </si>
  <si>
    <t>-11h32m45s</t>
  </si>
  <si>
    <t>very faint, pretty small, 9th or 10th magnitude star 2 arcmin to south southeast</t>
  </si>
  <si>
    <t>vF, pS, * 9·10 2' ssf</t>
  </si>
  <si>
    <t>NGC3705</t>
  </si>
  <si>
    <t>11h30m7.6s</t>
  </si>
  <si>
    <t>pretty faint, pretty large, round, very suddenly much brighter middle, mottled but not resolved</t>
  </si>
  <si>
    <t>pF, pL, R, vsmbM, r</t>
  </si>
  <si>
    <t>NGC3706</t>
  </si>
  <si>
    <t>11h29m44.2s</t>
  </si>
  <si>
    <t>-36h23m29s</t>
  </si>
  <si>
    <t>pretty bright, considerably small, round, pretty suddenly much brighter middle</t>
  </si>
  <si>
    <t>pB, cS, R, psmbM</t>
  </si>
  <si>
    <t>NGC3707</t>
  </si>
  <si>
    <t>11h30m11.5s</t>
  </si>
  <si>
    <t>-11h32m34s</t>
  </si>
  <si>
    <t>very faint, small, 15th magnitude star (nebulous?) 2 seconds of time following (to the east)</t>
  </si>
  <si>
    <t>vF, S, * 15 (neb?) 2s f</t>
  </si>
  <si>
    <t>NGC3708</t>
  </si>
  <si>
    <t>11h30m39.2s</t>
  </si>
  <si>
    <t>-3h13m21s</t>
  </si>
  <si>
    <t>NGC3709</t>
  </si>
  <si>
    <t>-3h15m21s</t>
  </si>
  <si>
    <t>NGC3710</t>
  </si>
  <si>
    <t>11h31m6.9s</t>
  </si>
  <si>
    <t>+22h46m7s</t>
  </si>
  <si>
    <t>faint, small, 7th or 8th magnitude star 5 arcmin to northeast</t>
  </si>
  <si>
    <t>F, S, * 7·8 nf 5'</t>
  </si>
  <si>
    <t>NGC3711</t>
  </si>
  <si>
    <t>11h29m25.5s</t>
  </si>
  <si>
    <t>-11h4m47s</t>
  </si>
  <si>
    <t>extremely faint, very small, 9th magnitude star 4 arcmin to south</t>
  </si>
  <si>
    <t>eF, vS, * 9 s 4'</t>
  </si>
  <si>
    <t>NGC3712</t>
  </si>
  <si>
    <t>11h31m53.6s</t>
  </si>
  <si>
    <t>+28h21m31s</t>
  </si>
  <si>
    <t>faint, very small, round, suddenly much brighter middle</t>
  </si>
  <si>
    <t>f, vS, R, smbM</t>
  </si>
  <si>
    <t>NGC3713</t>
  </si>
  <si>
    <t>11h31m41.9s</t>
  </si>
  <si>
    <t>+28h9m14s</t>
  </si>
  <si>
    <t>faint, considerably small, round, suddenly brighter middle and nucleus</t>
  </si>
  <si>
    <t>F, cS, R, sbMN</t>
  </si>
  <si>
    <t>NGC3714</t>
  </si>
  <si>
    <t>NGC3715</t>
  </si>
  <si>
    <t>11h31m32.2s</t>
  </si>
  <si>
    <t>-14h13m52s</t>
  </si>
  <si>
    <t>pretty faint, small, round, very gradually a very little brighter middle</t>
  </si>
  <si>
    <t>pF, S, R, vgvlbM</t>
  </si>
  <si>
    <t>NGC3716</t>
  </si>
  <si>
    <t>11h31m41.2s</t>
  </si>
  <si>
    <t>+3h29m17s</t>
  </si>
  <si>
    <t>NGC3717</t>
  </si>
  <si>
    <t>11h31m32s</t>
  </si>
  <si>
    <t>-30h18m30s</t>
  </si>
  <si>
    <t>pretty bright, small, much extended, 13th magnitude star attached</t>
  </si>
  <si>
    <t>pB, S, mE, * 13 att</t>
  </si>
  <si>
    <t>NGC3718</t>
  </si>
  <si>
    <t>11h32m34.7s</t>
  </si>
  <si>
    <t>+53h4m2s</t>
  </si>
  <si>
    <t>pretty bright, very large, round, very gradually a little brighter middle</t>
  </si>
  <si>
    <t>pB, vL, R, vglbM</t>
  </si>
  <si>
    <t>NGC3719</t>
  </si>
  <si>
    <t>11h32m13.5s</t>
  </si>
  <si>
    <t>+0h49m9s</t>
  </si>
  <si>
    <t>very faint, northwestern of 2</t>
  </si>
  <si>
    <t>vF, np of 2</t>
  </si>
  <si>
    <t>NGC3720</t>
  </si>
  <si>
    <t>11h32m21.6s</t>
  </si>
  <si>
    <t>+0h48m14s</t>
  </si>
  <si>
    <t>very faint, southeastern of 2</t>
  </si>
  <si>
    <t>vF, sf of 2</t>
  </si>
  <si>
    <t>NGC3721</t>
  </si>
  <si>
    <t>11h34m7.8s</t>
  </si>
  <si>
    <t>-9h28m0s</t>
  </si>
  <si>
    <t>extremely faint, extremely small, round, gradually brighter middle</t>
  </si>
  <si>
    <t>eF, eS, R, gbM</t>
  </si>
  <si>
    <t>NGC3722</t>
  </si>
  <si>
    <t>11h34m23.2s</t>
  </si>
  <si>
    <t>-9h40m46s</t>
  </si>
  <si>
    <t>extremely faint, very small, round, suddenly brighter middle and nucleus, 1st of 2</t>
  </si>
  <si>
    <t>eF, vS, R, sbMN, 1st of 2</t>
  </si>
  <si>
    <t>NGC3723</t>
  </si>
  <si>
    <t>11h32m30.5s</t>
  </si>
  <si>
    <t>-9h58m8s</t>
  </si>
  <si>
    <t>faint, small, ronnd</t>
  </si>
  <si>
    <t>NGC3724</t>
  </si>
  <si>
    <t>11h34m28.7s</t>
  </si>
  <si>
    <t>-9h39m34s</t>
  </si>
  <si>
    <t>extremely faint, very small, round, suddenly brighter middle and nucleus, second of 2</t>
  </si>
  <si>
    <t>eF, vS, R, sbMN, 2nd of 2</t>
  </si>
  <si>
    <t>NGC3725</t>
  </si>
  <si>
    <t>11h33m40.7s</t>
  </si>
  <si>
    <t>+61h53m20s</t>
  </si>
  <si>
    <t>considerably faint, small, round, gradually a very little brighter middle, mottled but not resolved</t>
  </si>
  <si>
    <t>cF, S, R, gvlbM, r</t>
  </si>
  <si>
    <t>NGC3726</t>
  </si>
  <si>
    <t>11h33m20.8s</t>
  </si>
  <si>
    <t>+47h1m40s</t>
  </si>
  <si>
    <t>pretty bright, very large, a little extended 0°, very suddenly much brighter middle equal to 15th magnitude star, 11th magnitude star to north</t>
  </si>
  <si>
    <t>pB, vL, lE 0°, vsmbM * 15, * 11 n</t>
  </si>
  <si>
    <t>NGC3727</t>
  </si>
  <si>
    <t>11h33m40.9s</t>
  </si>
  <si>
    <t>-13h52m42s</t>
  </si>
  <si>
    <t>extremely faint, extremely small, round, gradually brighter middle and nucleus, 11th magnitude star 1 arcmin to southeast</t>
  </si>
  <si>
    <t>eF, eS, R, gbMN, * 11 sf 1'</t>
  </si>
  <si>
    <t>NGC3728</t>
  </si>
  <si>
    <t>11h33m15.7s</t>
  </si>
  <si>
    <t>+24h26m51s</t>
  </si>
  <si>
    <t>NGC3729</t>
  </si>
  <si>
    <t>11h33m49.2s</t>
  </si>
  <si>
    <t>+53h7m35s</t>
  </si>
  <si>
    <t>pretty bright, pretty large, a little extended 0°±, gradually brighter middle, 12th magnitude star near</t>
  </si>
  <si>
    <t>pB, pL, lE 0° ±, gbM, * 12 nr</t>
  </si>
  <si>
    <t>NGC3730</t>
  </si>
  <si>
    <t>11h34m16.9s</t>
  </si>
  <si>
    <t>-9h34m34s</t>
  </si>
  <si>
    <t>extremely faint, small, a little extended 140°, gradually a little brighter northern middle</t>
  </si>
  <si>
    <t>eF, S, lE 140°, glbnM</t>
  </si>
  <si>
    <t>NGC3731</t>
  </si>
  <si>
    <t>11h34m11.6s</t>
  </si>
  <si>
    <t>+12h30m46s</t>
  </si>
  <si>
    <t>NGC3732</t>
  </si>
  <si>
    <t>11h34m13.9s</t>
  </si>
  <si>
    <t>-9h50m43s</t>
  </si>
  <si>
    <t>F, S, R, psbM, * 14 sp 225°</t>
  </si>
  <si>
    <t>NGC3733</t>
  </si>
  <si>
    <t>11h35m1.7s</t>
  </si>
  <si>
    <t>+54h51m1s</t>
  </si>
  <si>
    <t>extremely faint, small, irregularly round, 6th magnitude star to southeast</t>
  </si>
  <si>
    <t>eF, S, iR, * 6 m sf</t>
  </si>
  <si>
    <t>NGC3734</t>
  </si>
  <si>
    <t>11h34m40.6s</t>
  </si>
  <si>
    <t>-14h4m52s</t>
  </si>
  <si>
    <t>NGC3735</t>
  </si>
  <si>
    <t>11h35m57.1s</t>
  </si>
  <si>
    <t>+70h32m8s</t>
  </si>
  <si>
    <t>pretty bright, large, much extended 130°, much brighter middle</t>
  </si>
  <si>
    <t>pB, L, mE 130°, mbM</t>
  </si>
  <si>
    <t>NGC3736</t>
  </si>
  <si>
    <t>11h35m41.7s</t>
  </si>
  <si>
    <t>+73h27m9s</t>
  </si>
  <si>
    <t>NGC3737</t>
  </si>
  <si>
    <t>11h35m36.2s</t>
  </si>
  <si>
    <t>+54h56m56s</t>
  </si>
  <si>
    <t>NGC3738</t>
  </si>
  <si>
    <t>11h35m48.2s</t>
  </si>
  <si>
    <t>+54h31m26s</t>
  </si>
  <si>
    <t>pretty bright, pretty large, brighter middle</t>
  </si>
  <si>
    <t>pB, pL, bM</t>
  </si>
  <si>
    <t>NGC3739</t>
  </si>
  <si>
    <t>11h35m37.5s</t>
  </si>
  <si>
    <t>+25h5m19s</t>
  </si>
  <si>
    <t>very faint, between two 12th magnitude stars</t>
  </si>
  <si>
    <t>vF, btw 2 st 12 m</t>
  </si>
  <si>
    <t>NGC3740</t>
  </si>
  <si>
    <t>11h36m12.1s</t>
  </si>
  <si>
    <t>+59h58m36s</t>
  </si>
  <si>
    <t>very faint, very small, round, very gradually brighter middle</t>
  </si>
  <si>
    <t>vF, vS, R, vgbM</t>
  </si>
  <si>
    <t>NGC3741</t>
  </si>
  <si>
    <t>11h36m6s</t>
  </si>
  <si>
    <t>+45h17m3s</t>
  </si>
  <si>
    <t>NGC3742</t>
  </si>
  <si>
    <t>11h35m32.1s</t>
  </si>
  <si>
    <t>-37h57m22s</t>
  </si>
  <si>
    <t>pretty faint, pretty large, very little extended, gradually a little brighter middle</t>
  </si>
  <si>
    <t>pF, pL, vlE, glbM</t>
  </si>
  <si>
    <t>NGC3743</t>
  </si>
  <si>
    <t>11h35m57.3s</t>
  </si>
  <si>
    <t>+21h43m23s</t>
  </si>
  <si>
    <t>faint, small, round, 9th magnitude star 1 arcmin to southeast</t>
  </si>
  <si>
    <t>F, S, R, * 9 1' sf</t>
  </si>
  <si>
    <t>NGC3744</t>
  </si>
  <si>
    <t>11h35m57.8s</t>
  </si>
  <si>
    <t>+23h0m44s</t>
  </si>
  <si>
    <t>NGC3745</t>
  </si>
  <si>
    <t>科普兰七重星系</t>
  </si>
  <si>
    <t>11h37m44.5s</t>
  </si>
  <si>
    <t>+22h1m16s</t>
  </si>
  <si>
    <t>NGC3746</t>
  </si>
  <si>
    <t>11h37m43.6s</t>
  </si>
  <si>
    <t>+22h0m35s</t>
  </si>
  <si>
    <t>NGC3747</t>
  </si>
  <si>
    <t>11h32m31.2s</t>
  </si>
  <si>
    <t>+74h22m44s</t>
  </si>
  <si>
    <t>extremely faint, small, place doubtful</t>
  </si>
  <si>
    <t>eF, S, place doubtful</t>
  </si>
  <si>
    <t>NGC3748</t>
  </si>
  <si>
    <t>11h37m49.1s</t>
  </si>
  <si>
    <t>+22h1m35s</t>
  </si>
  <si>
    <t>NGC3749</t>
  </si>
  <si>
    <t>11h35m53s</t>
  </si>
  <si>
    <t>-37h59m51s</t>
  </si>
  <si>
    <t>faint, considerably small, a little extended, gradually a very little brighter middle</t>
  </si>
  <si>
    <t>F, cS, lE, gvlbM</t>
  </si>
  <si>
    <t>NGC3750</t>
  </si>
  <si>
    <t>11h37m51.6s</t>
  </si>
  <si>
    <t>+21h58m29s</t>
  </si>
  <si>
    <t>pretty bright, round, considerably brighter middle, 1st of 3 in line</t>
  </si>
  <si>
    <t>pB, R, cbM, 1st of 3 in line</t>
  </si>
  <si>
    <t>NGC3751</t>
  </si>
  <si>
    <t>11h37m53.9s</t>
  </si>
  <si>
    <t>+21h56m13s</t>
  </si>
  <si>
    <t>faint, large, extended 45°</t>
  </si>
  <si>
    <t>F, L, E 45°</t>
  </si>
  <si>
    <t>NGC3752</t>
  </si>
  <si>
    <t>11h32m32.3s</t>
  </si>
  <si>
    <t>+74h37m43s</t>
  </si>
  <si>
    <t>pretty bright, pretty large</t>
  </si>
  <si>
    <t>pB, pL</t>
  </si>
  <si>
    <t>NGC3753</t>
  </si>
  <si>
    <t>11h37m53.8s</t>
  </si>
  <si>
    <t>+21h58m53s</t>
  </si>
  <si>
    <t>pB, pL, 2nd of 3 in line</t>
  </si>
  <si>
    <t>NGC3754</t>
  </si>
  <si>
    <t>11h37m55s</t>
  </si>
  <si>
    <t>+21h59m8s</t>
  </si>
  <si>
    <t>very faint, round, 3rd of 3 in line</t>
  </si>
  <si>
    <t>vF, R, 3rd of 3 in line</t>
  </si>
  <si>
    <t>NGC3755</t>
  </si>
  <si>
    <t>11h36m33.2s</t>
  </si>
  <si>
    <t>+36h24m37s</t>
  </si>
  <si>
    <t>extremely faint, pretty large, pretty much extended, gradually brighter middle</t>
  </si>
  <si>
    <t>eF, pL, pmE, gbM</t>
  </si>
  <si>
    <t>NGC3756</t>
  </si>
  <si>
    <t>11h36m47.8s</t>
  </si>
  <si>
    <t>+54h17m39s</t>
  </si>
  <si>
    <t>pretty faint, large, a little extended</t>
  </si>
  <si>
    <t>pF, L, lE</t>
  </si>
  <si>
    <t>NGC3757</t>
  </si>
  <si>
    <t>11h37m2.9s</t>
  </si>
  <si>
    <t>+58h24m58s</t>
  </si>
  <si>
    <t>vF, R, stellar, vS * 1 d sf</t>
  </si>
  <si>
    <t>NGC3758</t>
  </si>
  <si>
    <t>11h36m29.1s</t>
  </si>
  <si>
    <t>+21h35m49s</t>
  </si>
  <si>
    <t>pB, S, R, bM, * 8.5 3' f</t>
  </si>
  <si>
    <t>NGC3759</t>
  </si>
  <si>
    <t>11h36m53.8s</t>
  </si>
  <si>
    <t>+54h49m23s</t>
  </si>
  <si>
    <t>faint, small, irregularly round, 11th magnitude star near</t>
  </si>
  <si>
    <t>F, S, iR, * 11 nr</t>
  </si>
  <si>
    <t>NGC3760</t>
  </si>
  <si>
    <t>B, pS, mbMN = * 13, * 11 p 4s, s 175"</t>
  </si>
  <si>
    <t>NGC3761</t>
  </si>
  <si>
    <t>11h36m44.1s</t>
  </si>
  <si>
    <t>+22h59m33s</t>
  </si>
  <si>
    <t>NGC3762</t>
  </si>
  <si>
    <t>11h37m23.8s</t>
  </si>
  <si>
    <t>+61h45m33s</t>
  </si>
  <si>
    <t>faint, very little extended, gradually brighter middle</t>
  </si>
  <si>
    <t>F, vlE, gbM</t>
  </si>
  <si>
    <t>NGC3763</t>
  </si>
  <si>
    <t>11h36m30.2s</t>
  </si>
  <si>
    <t>-9h50m50s</t>
  </si>
  <si>
    <t>F, dif, sp 7 st</t>
  </si>
  <si>
    <t>NGC3764</t>
  </si>
  <si>
    <t>11h36m54.5s</t>
  </si>
  <si>
    <t>+17h53m21s</t>
  </si>
  <si>
    <t>NGC3765</t>
  </si>
  <si>
    <t>11h37m4.3s</t>
  </si>
  <si>
    <t>+24h5m47s</t>
  </si>
  <si>
    <t>NGC3766</t>
  </si>
  <si>
    <t>珍珠星团</t>
  </si>
  <si>
    <t>11h36m14.3s</t>
  </si>
  <si>
    <t>-61h36m36s</t>
  </si>
  <si>
    <t>a cluster, pretty large, pretty rich, pretty compressed, stars from 8th to 13th magnitude</t>
  </si>
  <si>
    <t>Cl, pL, pRi, pC, st 8…13</t>
  </si>
  <si>
    <t>NGC3767</t>
  </si>
  <si>
    <t>11h37m15.5s</t>
  </si>
  <si>
    <t>+16h52m39s</t>
  </si>
  <si>
    <t>NGC3768</t>
  </si>
  <si>
    <t>11h37m14.4s</t>
  </si>
  <si>
    <t>+17h50m22s</t>
  </si>
  <si>
    <t>NGC3769</t>
  </si>
  <si>
    <t>11h37m44.1s</t>
  </si>
  <si>
    <t>+47h53m36s</t>
  </si>
  <si>
    <t>pretty bright, small, pretty much extended</t>
  </si>
  <si>
    <t>pB, S, pmE</t>
  </si>
  <si>
    <t>NGC3770</t>
  </si>
  <si>
    <t>11h37m58.7s</t>
  </si>
  <si>
    <t>+59h37m2s</t>
  </si>
  <si>
    <t>pretty faint, small, round, gradually brighter middle, mottled but not resolved</t>
  </si>
  <si>
    <t>pF, S, R, gbM, r</t>
  </si>
  <si>
    <t>NGC3771</t>
  </si>
  <si>
    <t>11h39m5.9s</t>
  </si>
  <si>
    <t>-9h20m52s</t>
  </si>
  <si>
    <t>vF, eS, R, * 10 p 15s</t>
  </si>
  <si>
    <t>NGC3772</t>
  </si>
  <si>
    <t>11h37m48.4s</t>
  </si>
  <si>
    <t>+22h41m26s</t>
  </si>
  <si>
    <t>very faint, small, extended, mottled but not resolved</t>
  </si>
  <si>
    <t>vF, S, E, r</t>
  </si>
  <si>
    <t>NGC3773</t>
  </si>
  <si>
    <t>11h38m13s</t>
  </si>
  <si>
    <t>+12h6m45s</t>
  </si>
  <si>
    <t>considerably faint, considerably small, round, pretty suddenly brighter middle</t>
  </si>
  <si>
    <t>cF, cS, R, psbM</t>
  </si>
  <si>
    <t>NGC3774</t>
  </si>
  <si>
    <t>11h38m30.3s</t>
  </si>
  <si>
    <t>-8h58m35s</t>
  </si>
  <si>
    <t>extremely faint, very small, extended 75°, 9th magnitude star 3 arcmin to northwest</t>
  </si>
  <si>
    <t>eF, vS, E 75°, * 9 np 3'</t>
  </si>
  <si>
    <t>NGC3775</t>
  </si>
  <si>
    <t>11h38m26.7s</t>
  </si>
  <si>
    <t>-10h38m17s</t>
  </si>
  <si>
    <t>pretty bright, brighter middle and nucleus</t>
  </si>
  <si>
    <t>pB, bMN</t>
  </si>
  <si>
    <t>NGC3776</t>
  </si>
  <si>
    <t>室女座</t>
  </si>
  <si>
    <t>VIR</t>
  </si>
  <si>
    <t>11h38m17.9s</t>
  </si>
  <si>
    <t>-3h21m14s</t>
  </si>
  <si>
    <t>NGC3777</t>
  </si>
  <si>
    <t>11h36m6.8s</t>
  </si>
  <si>
    <t>-12h34m9s</t>
  </si>
  <si>
    <t>eF, pS, iR, gbM, S * or neb f</t>
  </si>
  <si>
    <t>NGC3778</t>
  </si>
  <si>
    <t>11h38m21.4s</t>
  </si>
  <si>
    <t>-50h42m56s</t>
  </si>
  <si>
    <t>eF, S, R, am 50 S st</t>
  </si>
  <si>
    <t>NGC3779</t>
  </si>
  <si>
    <t>11h38m50.8s</t>
  </si>
  <si>
    <t>-10h35m3s</t>
  </si>
  <si>
    <t>NGC3780</t>
  </si>
  <si>
    <t>11h39m21.9s</t>
  </si>
  <si>
    <t>+56h16m14s</t>
  </si>
  <si>
    <t>pretty faint, large, very little extended, very gradually brighter middle, mottled but not resolved</t>
  </si>
  <si>
    <t>pF, L, vlE, vgbM, r</t>
  </si>
  <si>
    <t>NGC3781</t>
  </si>
  <si>
    <t>11h39m3.9s</t>
  </si>
  <si>
    <t>+26h21m45s</t>
  </si>
  <si>
    <t>NGC3782</t>
  </si>
  <si>
    <t>11h39m20.5s</t>
  </si>
  <si>
    <t>+46h30m47s</t>
  </si>
  <si>
    <t>F, S, att to * 15, another * inv</t>
  </si>
  <si>
    <t>NGC3783</t>
  </si>
  <si>
    <t>11h39m1.6s</t>
  </si>
  <si>
    <t>-37h44m18s</t>
  </si>
  <si>
    <t>cB, R, sbMN *, * 9 sf</t>
  </si>
  <si>
    <t>NGC3784</t>
  </si>
  <si>
    <t>11h39m29.7s</t>
  </si>
  <si>
    <t>+26h18m35s</t>
  </si>
  <si>
    <t>NGC3785</t>
  </si>
  <si>
    <t>11h39m32.9s</t>
  </si>
  <si>
    <t>+26h18m10s</t>
  </si>
  <si>
    <t>NGC3786</t>
  </si>
  <si>
    <t>11h39m42.5s</t>
  </si>
  <si>
    <t>+31h54m31s</t>
  </si>
  <si>
    <t>pB, pL, E 57°, gbM, p of 2</t>
  </si>
  <si>
    <t>NGC3787</t>
  </si>
  <si>
    <t>11h39m38.1s</t>
  </si>
  <si>
    <t>+20h27m18s</t>
  </si>
  <si>
    <t>vF, vS, R, * 15 p</t>
  </si>
  <si>
    <t>NGC3788</t>
  </si>
  <si>
    <t>11h39m44.7s</t>
  </si>
  <si>
    <t>+31h55m50s</t>
  </si>
  <si>
    <t>cB, pL, pmE 177°, pgbM</t>
  </si>
  <si>
    <t>NGC3789</t>
  </si>
  <si>
    <t>11h38m9s</t>
  </si>
  <si>
    <t>-9h36m24s</t>
  </si>
  <si>
    <t>extremely faint, very small, extended 0°, gradually brighter middle</t>
  </si>
  <si>
    <t>eF, vS, E 0°, gbM</t>
  </si>
  <si>
    <t>NGC3790</t>
  </si>
  <si>
    <t>11h39m47.2s</t>
  </si>
  <si>
    <t>+17h42m44s</t>
  </si>
  <si>
    <t>considerably faint, very small, pretty much extended, suddenly brighter middle, 2 small (faint) stars to east, 1st of 3</t>
  </si>
  <si>
    <t>cF, vS, pmE, sbM, 2 S st f, 1st of 3</t>
  </si>
  <si>
    <t>NGC3791</t>
  </si>
  <si>
    <t>11h39m41.6s</t>
  </si>
  <si>
    <t>-9h22m0s</t>
  </si>
  <si>
    <t>vF, vS, R, gbM, * 8 s 6'</t>
  </si>
  <si>
    <t>NGC3792</t>
  </si>
  <si>
    <t>11h39m38.5s</t>
  </si>
  <si>
    <t>+5h6m0s</t>
  </si>
  <si>
    <t>very faint, diffuse</t>
  </si>
  <si>
    <t>vF, dif</t>
  </si>
  <si>
    <t>NGC3793</t>
  </si>
  <si>
    <t>11h40m2s</t>
  </si>
  <si>
    <t>+31h52m41s</t>
  </si>
  <si>
    <t>vS, f h 932</t>
  </si>
  <si>
    <t>NGC3794</t>
  </si>
  <si>
    <t>11h40m54s</t>
  </si>
  <si>
    <t>+56h12m6s</t>
  </si>
  <si>
    <t>cF, pS, vS * v nr</t>
  </si>
  <si>
    <t>NGC3795</t>
  </si>
  <si>
    <t>11h40m6.7s</t>
  </si>
  <si>
    <t>+58h36m45s</t>
  </si>
  <si>
    <t>NGC3796</t>
  </si>
  <si>
    <t>11h40m31s</t>
  </si>
  <si>
    <t>+60h17m56s</t>
  </si>
  <si>
    <t>faint, considerably small, round, much brighter middle</t>
  </si>
  <si>
    <t>F, cS, R, mbM</t>
  </si>
  <si>
    <t>NGC3797</t>
  </si>
  <si>
    <t>11h40m13.4s</t>
  </si>
  <si>
    <t>+31h54m23s</t>
  </si>
  <si>
    <t>NGC3798</t>
  </si>
  <si>
    <t>11h40m13.9s</t>
  </si>
  <si>
    <t>+24h41m49s</t>
  </si>
  <si>
    <t>faint, considerably small, a little extended, stellar, mottled but not resolved</t>
  </si>
  <si>
    <t>F, cS, lE, stellar, r</t>
  </si>
  <si>
    <t>NGC3799</t>
  </si>
  <si>
    <t>11h40m9.3s</t>
  </si>
  <si>
    <t>+15h19m39s</t>
  </si>
  <si>
    <t>considerably faint, round, western of 2</t>
  </si>
  <si>
    <t>cF, R, p of 2</t>
  </si>
  <si>
    <t>NGC3800</t>
  </si>
  <si>
    <t>11h40m13.3s</t>
  </si>
  <si>
    <t>+15h20m32s</t>
  </si>
  <si>
    <t>faint, pretty small, extended, pretty gradually a little brighter middle, mottled but not resolved, eastern of 2</t>
  </si>
  <si>
    <t>F, pS, E, pglbM, r, f of 2</t>
  </si>
  <si>
    <t>NGC3801</t>
  </si>
  <si>
    <t>11h40m16.8s</t>
  </si>
  <si>
    <t>+17h43m39s</t>
  </si>
  <si>
    <t>pretty faint, pretty large, round, brighter middle, mottled but not resolved, 2nd of 3</t>
  </si>
  <si>
    <t>pF, pL, R, bM, r, 2nd of 3</t>
  </si>
  <si>
    <t>NGC3802</t>
  </si>
  <si>
    <t>11h40m18.7s</t>
  </si>
  <si>
    <t>+17h45m55s</t>
  </si>
  <si>
    <t>vF, pS, r, 2 vB st p, 3rd of 3</t>
  </si>
  <si>
    <t>NGC3803</t>
  </si>
  <si>
    <t>11h40m17.3s</t>
  </si>
  <si>
    <t>+17h48m6s</t>
  </si>
  <si>
    <t>NGC3804</t>
  </si>
  <si>
    <t>pretty bright, extended</t>
  </si>
  <si>
    <t>pB, E</t>
  </si>
  <si>
    <t>NGC3805</t>
  </si>
  <si>
    <t>11h40m41.6s</t>
  </si>
  <si>
    <t>+20h20m37s</t>
  </si>
  <si>
    <t>considerably bright, considerably small, round, brighter middle, mottled but not resolved</t>
  </si>
  <si>
    <t>cB, cS, R, bM, r</t>
  </si>
  <si>
    <t>NGC3806</t>
  </si>
  <si>
    <t>11h40m46.7s</t>
  </si>
  <si>
    <t>+17h47m44s</t>
  </si>
  <si>
    <t>F, pL, * 9·10 s 5'</t>
  </si>
  <si>
    <t>NGC3807</t>
  </si>
  <si>
    <t>11h40m54.7s</t>
  </si>
  <si>
    <t>+17h49m7s</t>
  </si>
  <si>
    <t>vF, S, R (? vF *)</t>
  </si>
  <si>
    <t>NGC3808</t>
  </si>
  <si>
    <t>11h40m44s</t>
  </si>
  <si>
    <t>+22h25m47s</t>
  </si>
  <si>
    <t>NGC3809</t>
  </si>
  <si>
    <t>11h41m15.9s</t>
  </si>
  <si>
    <t>+59h53m10s</t>
  </si>
  <si>
    <t>NGC3810</t>
  </si>
  <si>
    <t>11h40m58.6s</t>
  </si>
  <si>
    <t>+11h28m13s</t>
  </si>
  <si>
    <t>bright, large, very little extended</t>
  </si>
  <si>
    <t>B, L, vlE</t>
  </si>
  <si>
    <t>NGC3811</t>
  </si>
  <si>
    <t>11h41m16.5s</t>
  </si>
  <si>
    <t>+47h41m28s</t>
  </si>
  <si>
    <t>faint, small, very little extended, gradually a little brighter middle</t>
  </si>
  <si>
    <t>F, S, vlE, glbM</t>
  </si>
  <si>
    <t>NGC3812</t>
  </si>
  <si>
    <t>11h41m7.8s</t>
  </si>
  <si>
    <t>+24h49m21s</t>
  </si>
  <si>
    <t>cF, vS, R, 1st of 3, * 6 sf 3'</t>
  </si>
  <si>
    <t>NGC3813</t>
  </si>
  <si>
    <t>11h41m18.5s</t>
  </si>
  <si>
    <t>+36h32m48s</t>
  </si>
  <si>
    <t>cB, pL, pmE 90° ±, bM</t>
  </si>
  <si>
    <t>NGC3814</t>
  </si>
  <si>
    <t>11h41m27.7s</t>
  </si>
  <si>
    <t>+24h48m20s</t>
  </si>
  <si>
    <t>vS, nebs *, p III 339</t>
  </si>
  <si>
    <t>NGC3815</t>
  </si>
  <si>
    <t>11h41m39.3s</t>
  </si>
  <si>
    <t>+24h48m1s</t>
  </si>
  <si>
    <t>considerably faint, small, 3rd of 3</t>
  </si>
  <si>
    <t>cF, S, 3rd of 3</t>
  </si>
  <si>
    <t>NGC3816</t>
  </si>
  <si>
    <t>11h41m47.8s</t>
  </si>
  <si>
    <t>+20h6m13s</t>
  </si>
  <si>
    <t>NGC3817</t>
  </si>
  <si>
    <t>11h41m52.8s</t>
  </si>
  <si>
    <t>+10h18m16s</t>
  </si>
  <si>
    <t>faint, 1st of 4</t>
  </si>
  <si>
    <t>F, 1st of 4</t>
  </si>
  <si>
    <t>NGC3818</t>
  </si>
  <si>
    <t>11h41m57.3s</t>
  </si>
  <si>
    <t>-6h9m20s</t>
  </si>
  <si>
    <t>faint, pretty small, round, pretty suddenly brighter middle</t>
  </si>
  <si>
    <t>F, pS, R, psbM</t>
  </si>
  <si>
    <t>NGC3819</t>
  </si>
  <si>
    <t>11h42m5.8s</t>
  </si>
  <si>
    <t>+10h21m6s</t>
  </si>
  <si>
    <t>very faint, 2nd of 4</t>
  </si>
  <si>
    <t>vF, 2nd of 4</t>
  </si>
  <si>
    <t>NGC3820</t>
  </si>
  <si>
    <t>11h42m4.8s</t>
  </si>
  <si>
    <t>+10h23m4s</t>
  </si>
  <si>
    <t>eF, vS, h 950 s</t>
  </si>
  <si>
    <t>NGC3821</t>
  </si>
  <si>
    <t>11h42m9s</t>
  </si>
  <si>
    <t>+20h18m55s</t>
  </si>
  <si>
    <t>very faint, considerably small, round, brighter middle, between 2 stars</t>
  </si>
  <si>
    <t>vF, cS, R, bM, bet 2 st</t>
  </si>
  <si>
    <t>NGC3822</t>
  </si>
  <si>
    <t>11h42m11.1s</t>
  </si>
  <si>
    <t>+10h16m41s</t>
  </si>
  <si>
    <t>pretty faint, pretty small, 3rd of 4</t>
  </si>
  <si>
    <t>pF, pS, 3rd of 4</t>
  </si>
  <si>
    <t>NGC3823</t>
  </si>
  <si>
    <t>11h42m15.1s</t>
  </si>
  <si>
    <t>-13h52m0s</t>
  </si>
  <si>
    <t>faint, considerably small, a little extended, pretty suddenly a little brighter middle</t>
  </si>
  <si>
    <t>F, cS, lE, pslbM</t>
  </si>
  <si>
    <t>NGC3824</t>
  </si>
  <si>
    <t>11h42m44.8s</t>
  </si>
  <si>
    <t>+52h46m48s</t>
  </si>
  <si>
    <t>very faint, considerably small, pretty much extended</t>
  </si>
  <si>
    <t>vF, cS, pmE</t>
  </si>
  <si>
    <t>NGC3825</t>
  </si>
  <si>
    <t>11h42m23.8s</t>
  </si>
  <si>
    <t>+10h15m53s</t>
  </si>
  <si>
    <t>pretty faint, pretty small, 4th of 4</t>
  </si>
  <si>
    <t>pF, pS, 4th of 4</t>
  </si>
  <si>
    <t>NGC3826</t>
  </si>
  <si>
    <t>11h42m32.9s</t>
  </si>
  <si>
    <t>+26h29m21s</t>
  </si>
  <si>
    <t>pretty faint, small, round, pretty suddenly brighter middle, stellar</t>
  </si>
  <si>
    <t>pF, S, R, psbM, stellar</t>
  </si>
  <si>
    <t>NGC3827</t>
  </si>
  <si>
    <t>11h42m36.2s</t>
  </si>
  <si>
    <t>+18h50m43s</t>
  </si>
  <si>
    <t>NGC3828</t>
  </si>
  <si>
    <t>11h42m58.3s</t>
  </si>
  <si>
    <t>+16h29m16s</t>
  </si>
  <si>
    <t>very faint, small, diffuse</t>
  </si>
  <si>
    <t>vF, S, dif</t>
  </si>
  <si>
    <t>NGC3829</t>
  </si>
  <si>
    <t>11h43m27.3s</t>
  </si>
  <si>
    <t>+52h42m41s</t>
  </si>
  <si>
    <t>NGC3830</t>
  </si>
  <si>
    <t>NGC3831</t>
  </si>
  <si>
    <t>11h43m18.6s</t>
  </si>
  <si>
    <t>-12h52m41s</t>
  </si>
  <si>
    <t>NGC3832</t>
  </si>
  <si>
    <t>11h43m31.4s</t>
  </si>
  <si>
    <t>+22h43m31s</t>
  </si>
  <si>
    <t>vF, pL, 2 suspected neb nr</t>
  </si>
  <si>
    <t>NGC3833</t>
  </si>
  <si>
    <t>11h43m28.9s</t>
  </si>
  <si>
    <t>+10h9m41s</t>
  </si>
  <si>
    <t>extremely faint, pretty small</t>
  </si>
  <si>
    <t>eF, pS</t>
  </si>
  <si>
    <t>NGC3834</t>
  </si>
  <si>
    <t>11h43m37.7s</t>
  </si>
  <si>
    <t>+19h5m26s</t>
  </si>
  <si>
    <t>vF, vS, slbMN * 13</t>
  </si>
  <si>
    <t>NGC3835</t>
  </si>
  <si>
    <t>11h44m5s</t>
  </si>
  <si>
    <t>+60h7m13s</t>
  </si>
  <si>
    <t>pB, E, gbM, ** 8 sf 5'</t>
  </si>
  <si>
    <t>NGC3836</t>
  </si>
  <si>
    <t>11h43m29.8s</t>
  </si>
  <si>
    <t>-16h47m51s</t>
  </si>
  <si>
    <t>faint, small, faint star close to north</t>
  </si>
  <si>
    <t>F, S, F * close n</t>
  </si>
  <si>
    <t>NGC3837</t>
  </si>
  <si>
    <t>11h43m56.6s</t>
  </si>
  <si>
    <t>+19h53m41s</t>
  </si>
  <si>
    <t>considerably faint, small, round, 1st of 5</t>
  </si>
  <si>
    <t>cF, S, R, 1st of 5</t>
  </si>
  <si>
    <t>NGC3838</t>
  </si>
  <si>
    <t>11h44m13.4s</t>
  </si>
  <si>
    <t>+57h56m55s</t>
  </si>
  <si>
    <t>pB, cS, E, psbM * 12</t>
  </si>
  <si>
    <t>NGC3839</t>
  </si>
  <si>
    <t>11h43m54.4s</t>
  </si>
  <si>
    <t>+10h47m4s</t>
  </si>
  <si>
    <t>NGC3840</t>
  </si>
  <si>
    <t>11h43m59s</t>
  </si>
  <si>
    <t>+20h4m37s</t>
  </si>
  <si>
    <t>NGC3841</t>
  </si>
  <si>
    <t>11h44m2.1s</t>
  </si>
  <si>
    <t>+19h58m20s</t>
  </si>
  <si>
    <t>considerably faint, small, round, 2nd of 5</t>
  </si>
  <si>
    <t>cF, S, R, 2nd of 5</t>
  </si>
  <si>
    <t>NGC3842</t>
  </si>
  <si>
    <t>11h44m2s</t>
  </si>
  <si>
    <t>+19h57m0s</t>
  </si>
  <si>
    <t>faint, small, round, very gradually a little brighter middle, 3rd of 5</t>
  </si>
  <si>
    <t>F, S, R, vglbM, 3rd of 5</t>
  </si>
  <si>
    <t>NGC3843</t>
  </si>
  <si>
    <t>11h43m54.6s</t>
  </si>
  <si>
    <t>+7h55m34s</t>
  </si>
  <si>
    <t>faint, extended southwest-northeast, 11th magnitude star to west</t>
  </si>
  <si>
    <t>F, E sp nf, * 11 p</t>
  </si>
  <si>
    <t>NGC3844</t>
  </si>
  <si>
    <t>11h44m0.9s</t>
  </si>
  <si>
    <t>+20h1m46s</t>
  </si>
  <si>
    <t>very faint, pretty small, a little extended</t>
  </si>
  <si>
    <t>vF, pS, lE</t>
  </si>
  <si>
    <t>NGC3845</t>
  </si>
  <si>
    <t>11h44m5.5s</t>
  </si>
  <si>
    <t>+19h59m46s</t>
  </si>
  <si>
    <t>very faint, pretty small, 4th of 5</t>
  </si>
  <si>
    <t>vF, pS, 4th of 5</t>
  </si>
  <si>
    <t>NGC3846</t>
  </si>
  <si>
    <t>11h44m28.9s</t>
  </si>
  <si>
    <t>+55h39m8s</t>
  </si>
  <si>
    <t>NGC3847</t>
  </si>
  <si>
    <t>11h44m14s</t>
  </si>
  <si>
    <t>+33h30m52s</t>
  </si>
  <si>
    <t>NGC3848</t>
  </si>
  <si>
    <t>NGC3849</t>
  </si>
  <si>
    <t>11h45m35.2s</t>
  </si>
  <si>
    <t>+3h13m56s</t>
  </si>
  <si>
    <t>F, S, F * 2' ssp</t>
  </si>
  <si>
    <t>NGC3850</t>
  </si>
  <si>
    <t>11h45m35.5s</t>
  </si>
  <si>
    <t>+55h53m12s</t>
  </si>
  <si>
    <t>NGC3851</t>
  </si>
  <si>
    <t>11h44m20.4s</t>
  </si>
  <si>
    <t>+19h58m52s</t>
  </si>
  <si>
    <t>extremely faint, very small, round, 5th of 5</t>
  </si>
  <si>
    <t>eF, vS, R, 5th of 5</t>
  </si>
  <si>
    <t>NGC3852</t>
  </si>
  <si>
    <t>NGC3853</t>
  </si>
  <si>
    <t>11h44m28.3s</t>
  </si>
  <si>
    <t>+16h33m30s</t>
  </si>
  <si>
    <t>small, round, brighter middle</t>
  </si>
  <si>
    <t>S, R, bM</t>
  </si>
  <si>
    <t>NGC3854</t>
  </si>
  <si>
    <t>11h44m51.9s</t>
  </si>
  <si>
    <t>-9h13m59s</t>
  </si>
  <si>
    <t>eF, vS, lE 70°, bMN</t>
  </si>
  <si>
    <t>NGC3855</t>
  </si>
  <si>
    <t>11h44m25.8s</t>
  </si>
  <si>
    <t>+33h21m21s</t>
  </si>
  <si>
    <t>eF, vS, PD doubtful</t>
  </si>
  <si>
    <t>NGC3856</t>
  </si>
  <si>
    <t>North of the last one, others near</t>
  </si>
  <si>
    <t>NGC3857</t>
  </si>
  <si>
    <t>11h44m50.1s</t>
  </si>
  <si>
    <t>+19h31m59s</t>
  </si>
  <si>
    <t>NGC3858</t>
  </si>
  <si>
    <t>11h45m11.6s</t>
  </si>
  <si>
    <t>-9h18m52s</t>
  </si>
  <si>
    <t>eF, eS, R, gbM, * 9.5 p 3s</t>
  </si>
  <si>
    <t>NGC3859</t>
  </si>
  <si>
    <t>11h44m52.4s</t>
  </si>
  <si>
    <t>+19h27m17s</t>
  </si>
  <si>
    <t>extremely faint, very small, round, a little brighter middle, mottled but not resolved?</t>
  </si>
  <si>
    <t>eF, vS, R, lbM, r?</t>
  </si>
  <si>
    <t>NGC3860</t>
  </si>
  <si>
    <t>11h44m49.2s</t>
  </si>
  <si>
    <t>+19h47m42s</t>
  </si>
  <si>
    <t>very faint, very small, mottled but not resolved</t>
  </si>
  <si>
    <t>vF, vS, r</t>
  </si>
  <si>
    <t>NGC3861</t>
  </si>
  <si>
    <t>11h45m3.8s</t>
  </si>
  <si>
    <t>+19h58m25s</t>
  </si>
  <si>
    <t>NGC3862</t>
  </si>
  <si>
    <t>11h45m5s</t>
  </si>
  <si>
    <t>+19h36m23s</t>
  </si>
  <si>
    <t>vF, vS, R, * 17 n</t>
  </si>
  <si>
    <t>NGC3863</t>
  </si>
  <si>
    <t>11h45m5.5s</t>
  </si>
  <si>
    <t>+8h28m12s</t>
  </si>
  <si>
    <t>very faint, 2 arcmin long, much extended 70°, gradually a little brighter middle</t>
  </si>
  <si>
    <t>vF, 2' l, mE 70°, glbM</t>
  </si>
  <si>
    <t>NGC3864</t>
  </si>
  <si>
    <t>D</t>
  </si>
  <si>
    <t>11h45m15.6s</t>
  </si>
  <si>
    <t>+19h23m32s</t>
  </si>
  <si>
    <t>NGC3865</t>
  </si>
  <si>
    <t>faint, pretty large, diffuse</t>
  </si>
  <si>
    <t>F, pL, dif</t>
  </si>
  <si>
    <t>NGC3866</t>
  </si>
  <si>
    <t>sf last one, not so L</t>
  </si>
  <si>
    <t>NGC3867</t>
  </si>
  <si>
    <t>11h45m29.6s</t>
  </si>
  <si>
    <t>+19h24m1s</t>
  </si>
  <si>
    <t>faint, small, irregularly round, much brighter middle, southern of 2</t>
  </si>
  <si>
    <t>F, S, irrR, mbM, s of 2</t>
  </si>
  <si>
    <t>NGC3868</t>
  </si>
  <si>
    <t>11h45m30s</t>
  </si>
  <si>
    <t>+19h26m41s</t>
  </si>
  <si>
    <t>very faint, very small, round, much brighter middle, northern of 2</t>
  </si>
  <si>
    <t>vF, vS, R, mbM, n of 2</t>
  </si>
  <si>
    <t>NGC3869</t>
  </si>
  <si>
    <t>11h45m45.5s</t>
  </si>
  <si>
    <t>+10h49m29s</t>
  </si>
  <si>
    <t>faint, small, irregularly round, pretty suddenly brighter middle</t>
  </si>
  <si>
    <t>F, S, iR, psbM</t>
  </si>
  <si>
    <t>NGC3870</t>
  </si>
  <si>
    <t>11h45m56.6s</t>
  </si>
  <si>
    <t>+50h12m2s</t>
  </si>
  <si>
    <t>NGC3871</t>
  </si>
  <si>
    <t>11h46m10.1s</t>
  </si>
  <si>
    <t>+33h6m34s</t>
  </si>
  <si>
    <t>eF, R, gbM, 1st of 4 (?)</t>
  </si>
  <si>
    <t>NGC3872</t>
  </si>
  <si>
    <t>11h45m48.9s</t>
  </si>
  <si>
    <t>+13h46m0s</t>
  </si>
  <si>
    <t>B, S, R, smbM *</t>
  </si>
  <si>
    <t>NGC3873</t>
  </si>
  <si>
    <t>11h45m46s</t>
  </si>
  <si>
    <t>+19h46m26s</t>
  </si>
  <si>
    <t>vF, pS, lE, III 387 sf</t>
  </si>
  <si>
    <t>NGC3874</t>
  </si>
  <si>
    <t>11h45m37.9s</t>
  </si>
  <si>
    <t>+8h34m27s</t>
  </si>
  <si>
    <t>very faint, very small, suspected</t>
  </si>
  <si>
    <t>vF, vS, suspected</t>
  </si>
  <si>
    <t>NGC3875</t>
  </si>
  <si>
    <t>11h45m49.4s</t>
  </si>
  <si>
    <t>+19h46m3s</t>
  </si>
  <si>
    <t>NGC3876</t>
  </si>
  <si>
    <t>11h45m26.5s</t>
  </si>
  <si>
    <t>+9h9m39s</t>
  </si>
  <si>
    <t>very faint, mottled but not resolved</t>
  </si>
  <si>
    <t>vF, r</t>
  </si>
  <si>
    <t>NGC3877</t>
  </si>
  <si>
    <t>11h46m7.3s</t>
  </si>
  <si>
    <t>+47h29m40s</t>
  </si>
  <si>
    <t>bright, large, much extended 37°</t>
  </si>
  <si>
    <t>B, L, mE 37°</t>
  </si>
  <si>
    <t>NGC3878</t>
  </si>
  <si>
    <t>11h46m17.7s</t>
  </si>
  <si>
    <t>+33h12m18s</t>
  </si>
  <si>
    <t>very faint, round, 2nd of 4</t>
  </si>
  <si>
    <t>vF, R, 2nd of 4</t>
  </si>
  <si>
    <t>NGC3879</t>
  </si>
  <si>
    <t>11h46m49.6s</t>
  </si>
  <si>
    <t>+69h23m0s</t>
  </si>
  <si>
    <t>F, pL, mE 105° ± (d'A not found)</t>
  </si>
  <si>
    <t>NGC3880</t>
  </si>
  <si>
    <t>11h46m22.2s</t>
  </si>
  <si>
    <t>+33h9m44s</t>
  </si>
  <si>
    <t>very faint, round, gradually brighter middle, 3rd of 4</t>
  </si>
  <si>
    <t>vF, R, gbM, 3rd of 4</t>
  </si>
  <si>
    <t>NGC3881</t>
  </si>
  <si>
    <t>11h46m34.4s</t>
  </si>
  <si>
    <t>+33h6m25s</t>
  </si>
  <si>
    <t>very faint, round, gradually brighter middle, 4th of 4</t>
  </si>
  <si>
    <t>vF, R, gbM, 4th of 4</t>
  </si>
  <si>
    <t>NGC3882</t>
  </si>
  <si>
    <t>11h46m6.1s</t>
  </si>
  <si>
    <t>-56h23m20s</t>
  </si>
  <si>
    <t>very faint, a little extended, 2 stars involved</t>
  </si>
  <si>
    <t>vF, lE, 2 st inv</t>
  </si>
  <si>
    <t>NGC3883</t>
  </si>
  <si>
    <t>11h46m47.1s</t>
  </si>
  <si>
    <t>+20h40m33s</t>
  </si>
  <si>
    <t>very faint, considerably large</t>
  </si>
  <si>
    <t>vF, cL</t>
  </si>
  <si>
    <t>NGC3884</t>
  </si>
  <si>
    <t>11h46m12.1s</t>
  </si>
  <si>
    <t>+20h23m29s</t>
  </si>
  <si>
    <t>cF, S, iR, gbM, r, * 7 sp 6'</t>
  </si>
  <si>
    <t>NGC3885</t>
  </si>
  <si>
    <t>11h46m46.5s</t>
  </si>
  <si>
    <t>-27h55m20s</t>
  </si>
  <si>
    <t>considerably faint, very small, very little extended, brighter middle, very faint star to southeast</t>
  </si>
  <si>
    <t>cF, vS, vlE, bM, vF * sf</t>
  </si>
  <si>
    <t>NGC3886</t>
  </si>
  <si>
    <t>11h47m5.5s</t>
  </si>
  <si>
    <t>+19h50m14s</t>
  </si>
  <si>
    <t>NGC3887</t>
  </si>
  <si>
    <t>11h47m4.6s</t>
  </si>
  <si>
    <t>-16h51m14s</t>
  </si>
  <si>
    <t>pretty bright, large, irregularly round, very gradually pretty much brighter middle</t>
  </si>
  <si>
    <t>pB, L, iR, vgpmbM</t>
  </si>
  <si>
    <t>NGC3888</t>
  </si>
  <si>
    <t>11h47m34.9s</t>
  </si>
  <si>
    <t>+55h57m58s</t>
  </si>
  <si>
    <t>pretty bright, small, a little extended, pretty gradually brighter middle</t>
  </si>
  <si>
    <t>pB, S, lE, pgbM</t>
  </si>
  <si>
    <t>NGC3889</t>
  </si>
  <si>
    <t>11h47m48.1s</t>
  </si>
  <si>
    <t>+56h1m7s</t>
  </si>
  <si>
    <t>vF, vS, 5' s of II 785</t>
  </si>
  <si>
    <t>NGC3890</t>
  </si>
  <si>
    <t>11h49m19.5s</t>
  </si>
  <si>
    <t>+74h18m7s</t>
  </si>
  <si>
    <t>NGC3891</t>
  </si>
  <si>
    <t>11h48m3.2s</t>
  </si>
  <si>
    <t>+30h21m35s</t>
  </si>
  <si>
    <t>pretty bright, small, brighter middle</t>
  </si>
  <si>
    <t>pB, S, bM</t>
  </si>
  <si>
    <t>NGC3892</t>
  </si>
  <si>
    <t>11h48m1s</t>
  </si>
  <si>
    <t>-10h57m44s</t>
  </si>
  <si>
    <t>pretty bright, pretty large, round, gradually brighter middle, mottled but not resolved</t>
  </si>
  <si>
    <t>pB, pL, R, gbM, r</t>
  </si>
  <si>
    <t>NGC3893</t>
  </si>
  <si>
    <t>11h48m38.2s</t>
  </si>
  <si>
    <t>+48h42m41s</t>
  </si>
  <si>
    <t>NGC3894</t>
  </si>
  <si>
    <t>11h48m50.2s</t>
  </si>
  <si>
    <t>+59h24m59s</t>
  </si>
  <si>
    <t>bright, pretty large, irregularly round, pretty gradually much brighter middle, western of 2</t>
  </si>
  <si>
    <t>B, pL, iR, pgmbM, p of 2</t>
  </si>
  <si>
    <t>NGC3895</t>
  </si>
  <si>
    <t>11h49m3.8s</t>
  </si>
  <si>
    <t>+59h25m59s</t>
  </si>
  <si>
    <t>pretty faint, pretty large, very little extended, gradually brighter middle, eastern of 2</t>
  </si>
  <si>
    <t>pF, pL, vlE, gbM, f of 2</t>
  </si>
  <si>
    <t>NGC3896</t>
  </si>
  <si>
    <t>11h48m56.3s</t>
  </si>
  <si>
    <t>+48h40m29s</t>
  </si>
  <si>
    <t>NGC3897</t>
  </si>
  <si>
    <t>11h48m59.4s</t>
  </si>
  <si>
    <t>+35h0m57s</t>
  </si>
  <si>
    <t>NGC3898</t>
  </si>
  <si>
    <t>11h49m15.3s</t>
  </si>
  <si>
    <t>+56h5m5s</t>
  </si>
  <si>
    <t>bright, pretty large, a little extended, suddenly very much brighter middle</t>
  </si>
  <si>
    <t>B, pL, lE, svmbM</t>
  </si>
  <si>
    <t>NGC3899</t>
  </si>
  <si>
    <t>11h50m4.5s</t>
  </si>
  <si>
    <t>+26h28m49s</t>
  </si>
  <si>
    <t>pretty bright, round, suddenly much brighter middle</t>
  </si>
  <si>
    <t>pB, R, smbM</t>
  </si>
  <si>
    <t>NGC3900</t>
  </si>
  <si>
    <t>11h49m9.3s</t>
  </si>
  <si>
    <t>+27h1m18s</t>
  </si>
  <si>
    <t>bright, pretty large, very little extended 0°±, brighter middle and nucleus</t>
  </si>
  <si>
    <t>B, pL, vlE 0° ±, bMN</t>
  </si>
  <si>
    <t>NGC3901</t>
  </si>
  <si>
    <t>11h42m49.2s</t>
  </si>
  <si>
    <t>+77h22m22s</t>
  </si>
  <si>
    <t>pretty faint, pretty large, mottled but not resolved. Place doubtful</t>
  </si>
  <si>
    <t>pF, pL, r, Place doubtful</t>
  </si>
  <si>
    <t>NGC3902</t>
  </si>
  <si>
    <t>11h49m18.7s</t>
  </si>
  <si>
    <t>+26h7m18s</t>
  </si>
  <si>
    <t>faint, pretty small, a little extended, very gradually a little brighter middle</t>
  </si>
  <si>
    <t>F, pS, lE, vglbM</t>
  </si>
  <si>
    <t>NGC3903</t>
  </si>
  <si>
    <t>11h49m3.3s</t>
  </si>
  <si>
    <t>-37h31m2s</t>
  </si>
  <si>
    <t>pretty bright, considerably small, very little extended, a little brighter middle</t>
  </si>
  <si>
    <t>pB, cS, vlE, lbM</t>
  </si>
  <si>
    <t>NGC3904</t>
  </si>
  <si>
    <t>11h49m13.2s</t>
  </si>
  <si>
    <t>-29h16m37s</t>
  </si>
  <si>
    <t>NGC3905</t>
  </si>
  <si>
    <t>11h49m4.9s</t>
  </si>
  <si>
    <t>-9h43m44s</t>
  </si>
  <si>
    <t>very faint, large, diffuse</t>
  </si>
  <si>
    <t>vF, L, dif</t>
  </si>
  <si>
    <t>NGC3906</t>
  </si>
  <si>
    <t>11h49m40.2s</t>
  </si>
  <si>
    <t>+48h25m32s</t>
  </si>
  <si>
    <t>NGC3907</t>
  </si>
  <si>
    <t>11h49m30.1s</t>
  </si>
  <si>
    <t>-1h5m10s</t>
  </si>
  <si>
    <t>NGC3908</t>
  </si>
  <si>
    <t>11h49m52.6s</t>
  </si>
  <si>
    <t>+12h11m11s</t>
  </si>
  <si>
    <t>NGC3909</t>
  </si>
  <si>
    <t>11h49m30s</t>
  </si>
  <si>
    <t>-48h15m54s</t>
  </si>
  <si>
    <t>a cluster, very large, a little compressed, stars from 9th to 14th magnitude</t>
  </si>
  <si>
    <t>Cl, vL, lC, st 9…14</t>
  </si>
  <si>
    <t>NGC3910</t>
  </si>
  <si>
    <t>11h49m59.3s</t>
  </si>
  <si>
    <t>+21h20m2s</t>
  </si>
  <si>
    <t>small, round, much brighter middle, 10th or 11th magnitude star 50 arcsec to north</t>
  </si>
  <si>
    <t>S, R, mbM, * 10·11 n 50"</t>
  </si>
  <si>
    <t>NGC3911</t>
  </si>
  <si>
    <t>11h50m5.9s</t>
  </si>
  <si>
    <t>+24h55m13s</t>
  </si>
  <si>
    <t>very faint, small, western of 2</t>
  </si>
  <si>
    <t>NGC3912</t>
  </si>
  <si>
    <t>faint, pretty large, round, pretty gradually brighter middle</t>
  </si>
  <si>
    <t>F, pL, R, pgbM</t>
  </si>
  <si>
    <t>NGC3913</t>
  </si>
  <si>
    <t>11h50m38.4s</t>
  </si>
  <si>
    <t>+55h21m14s</t>
  </si>
  <si>
    <t>NGC3914</t>
  </si>
  <si>
    <t>11h50m32.6s</t>
  </si>
  <si>
    <t>+6h34m3s</t>
  </si>
  <si>
    <t>faint, very small, round, a little brighter middle, 13th magnitude star 80 arcsec to northwest</t>
  </si>
  <si>
    <t>F, vS, R, lbM, * 13 np 80"</t>
  </si>
  <si>
    <t>NGC3915</t>
  </si>
  <si>
    <t>11h49m24.2s</t>
  </si>
  <si>
    <t>-5h7m5s</t>
  </si>
  <si>
    <t>extremely faint, extremely small, between 2 stars</t>
  </si>
  <si>
    <t>eF, eS, bet 2 st</t>
  </si>
  <si>
    <t>NGC3916</t>
  </si>
  <si>
    <t>11h50m51.2s</t>
  </si>
  <si>
    <t>+55h8m37s</t>
  </si>
  <si>
    <t>extremely faint, round, gradually brighter middle</t>
  </si>
  <si>
    <t>eF, R, gbM</t>
  </si>
  <si>
    <t>NGC3917</t>
  </si>
  <si>
    <t>11h50m45.6s</t>
  </si>
  <si>
    <t>+51h49m29s</t>
  </si>
  <si>
    <t>faint, large, very much extended, very gradually brighter middle</t>
  </si>
  <si>
    <t>F, L, vmE, vgbM</t>
  </si>
  <si>
    <t>NGC3918</t>
  </si>
  <si>
    <t>蓝行星状星云</t>
  </si>
  <si>
    <t>11h50m17.8s</t>
  </si>
  <si>
    <t>-57h10m55s</t>
  </si>
  <si>
    <t>a planetary nebula, a remarkable object, small, round, blue, = to a 7th magnitude star, diameter = 1.5 seconds of time</t>
  </si>
  <si>
    <t>planetary, !, S, R, blue, = * 7m, d=1s.5</t>
  </si>
  <si>
    <t>NGC3919</t>
  </si>
  <si>
    <t>11h50m41.5s</t>
  </si>
  <si>
    <t>+20h0m56s</t>
  </si>
  <si>
    <t>NGC3920</t>
  </si>
  <si>
    <t>11h49m22.1s</t>
  </si>
  <si>
    <t>+24h56m19s</t>
  </si>
  <si>
    <t>nebula, eastern of 2</t>
  </si>
  <si>
    <t>Neb, f of 2</t>
  </si>
  <si>
    <t>NGC3921</t>
  </si>
  <si>
    <t>11h51m6.8s</t>
  </si>
  <si>
    <t>+55h4m46s</t>
  </si>
  <si>
    <t>pretty faint, small, round, pretty suddenly pretty much brighter middle</t>
  </si>
  <si>
    <t>pF, S, R, pspmbM</t>
  </si>
  <si>
    <t>NGC3922</t>
  </si>
  <si>
    <t>11h51m13.4s</t>
  </si>
  <si>
    <t>+50h9m24s</t>
  </si>
  <si>
    <t>NGC3923</t>
  </si>
  <si>
    <t>11h51m1.6s</t>
  </si>
  <si>
    <t>-28h48m21s</t>
  </si>
  <si>
    <t>bright, pretty large, a little extended, gradually much brighter middle, mottled but not resolved, very small (faint) star involved on southwest</t>
  </si>
  <si>
    <t>B, pL, lE, gmbM, r, vS * sp inv</t>
  </si>
  <si>
    <t>NGC3924</t>
  </si>
  <si>
    <t>pB, S, iF, bM</t>
  </si>
  <si>
    <t>NGC3925</t>
  </si>
  <si>
    <t>11h51m20.9s</t>
  </si>
  <si>
    <t>+21h53m19s</t>
  </si>
  <si>
    <t>NGC3926</t>
  </si>
  <si>
    <t>11h51m26.5s</t>
  </si>
  <si>
    <t>+22h1m42s</t>
  </si>
  <si>
    <t>extremely faint, extremely small, very little extended, extremely mottled but not resolved, star near</t>
  </si>
  <si>
    <t>eF, eS, vlE, er, st nr</t>
  </si>
  <si>
    <t>NGC3927</t>
  </si>
  <si>
    <t>pretty faint, pretty small</t>
  </si>
  <si>
    <t>pF, pS</t>
  </si>
  <si>
    <t>NGC3928</t>
  </si>
  <si>
    <t>微螺旋星系</t>
  </si>
  <si>
    <t>11h51m47.6s</t>
  </si>
  <si>
    <t>+48h40m59s</t>
  </si>
  <si>
    <t>NGC3929</t>
  </si>
  <si>
    <t>11h51m42.5s</t>
  </si>
  <si>
    <t>+21h0m12s</t>
  </si>
  <si>
    <t>NGC3930</t>
  </si>
  <si>
    <t>11h51m45.7s</t>
  </si>
  <si>
    <t>+38h0m52s</t>
  </si>
  <si>
    <t>extremely faint, considerably large, irregular figure, gradually a little brighter middle, 7th magnitude star to east</t>
  </si>
  <si>
    <t>eF, cL, iF, glbM, * 7 f</t>
  </si>
  <si>
    <t>NGC3931</t>
  </si>
  <si>
    <t>+52h0m5s</t>
  </si>
  <si>
    <t>NGC3932</t>
  </si>
  <si>
    <t>11h51m53s</t>
  </si>
  <si>
    <t>+48h40m3s</t>
  </si>
  <si>
    <t>very faint, very difficult, II 740 to northwest</t>
  </si>
  <si>
    <t>vF, v diffic, II 740 np</t>
  </si>
  <si>
    <t>NGC3933</t>
  </si>
  <si>
    <t>11h52m1.9s</t>
  </si>
  <si>
    <t>+16h48m36s</t>
  </si>
  <si>
    <t>pretty faint, a little extended</t>
  </si>
  <si>
    <t>pF, lE</t>
  </si>
  <si>
    <t>NGC3934</t>
  </si>
  <si>
    <t>11h52m12.5s</t>
  </si>
  <si>
    <t>+16h51m6s</t>
  </si>
  <si>
    <t>NGC3935</t>
  </si>
  <si>
    <t>11h52m23.9s</t>
  </si>
  <si>
    <t>+32h24m16s</t>
  </si>
  <si>
    <t>pretty faint, small, a little extended, pretty suddenly brighter middle</t>
  </si>
  <si>
    <t>pF, S, lE, psbM</t>
  </si>
  <si>
    <t>NGC3936</t>
  </si>
  <si>
    <t>11h52m20.4s</t>
  </si>
  <si>
    <t>-26h54m21s</t>
  </si>
  <si>
    <t>very faint, considerably large, very much extended 59°</t>
  </si>
  <si>
    <t>vF, cL, vmE 59°</t>
  </si>
  <si>
    <t>NGC3937</t>
  </si>
  <si>
    <t>11h52m42.6s</t>
  </si>
  <si>
    <t>+20h37m54s</t>
  </si>
  <si>
    <t>NGC3938</t>
  </si>
  <si>
    <t>11h52m49.2s</t>
  </si>
  <si>
    <t>+44h7m17s</t>
  </si>
  <si>
    <t>bright, very large, round, brighter middle and pretty bright nucleus, extremely mottled but not resolved</t>
  </si>
  <si>
    <t>B, vL, R, bMpBN, er</t>
  </si>
  <si>
    <t>NGC3939</t>
  </si>
  <si>
    <t>extremely faint, very small, round (Place doubtful)</t>
  </si>
  <si>
    <t>eF, vS, R (Place doubtful)</t>
  </si>
  <si>
    <t>NGC3940</t>
  </si>
  <si>
    <t>11h52m46.5s</t>
  </si>
  <si>
    <t>+20h59m23s</t>
  </si>
  <si>
    <t>NGC3941</t>
  </si>
  <si>
    <t>11h52m55.3s</t>
  </si>
  <si>
    <t>+36h59m13s</t>
  </si>
  <si>
    <t>very bright, pretty large, round, suddenly much brighter middle equal to 9th magnitude star</t>
  </si>
  <si>
    <t>vB, pL, R, smbM * 9</t>
  </si>
  <si>
    <t>NGC3942</t>
  </si>
  <si>
    <t>11h51m30s</t>
  </si>
  <si>
    <t>-11h25m29s</t>
  </si>
  <si>
    <t>extremely faint, pretty small, extended 160°, gradually a very little brighter middle</t>
  </si>
  <si>
    <t>eF, pS, E 160°, gvlbM</t>
  </si>
  <si>
    <t>NGC3943</t>
  </si>
  <si>
    <t>11h52m56.6s</t>
  </si>
  <si>
    <t>+20h28m45s</t>
  </si>
  <si>
    <t>pretty faint, pretty small, extended, 8th magnitude star 24 seconds to west</t>
  </si>
  <si>
    <t>pF, pS, E, * 8 p 24s</t>
  </si>
  <si>
    <t>NGC3944</t>
  </si>
  <si>
    <t>11h53m5s</t>
  </si>
  <si>
    <t>+26h12m27s</t>
  </si>
  <si>
    <t>NGC3945</t>
  </si>
  <si>
    <t>11h53m13.4s</t>
  </si>
  <si>
    <t>+60h40m31s</t>
  </si>
  <si>
    <t>bright, pretty large, round, gradually much brighter middle, mottled but not resolved, 12th magnitude star to southwest</t>
  </si>
  <si>
    <t>B, pL, R, gmbM, r, * 12 sp</t>
  </si>
  <si>
    <t>NGC3946</t>
  </si>
  <si>
    <t>11h53m20.6s</t>
  </si>
  <si>
    <t>+21h1m17s</t>
  </si>
  <si>
    <t>very faint, very little brighter middle, diffuse</t>
  </si>
  <si>
    <t>vF, vlbM, dif</t>
  </si>
  <si>
    <t>NGC3947</t>
  </si>
  <si>
    <t>11h53m20.3s</t>
  </si>
  <si>
    <t>+20h45m6s</t>
  </si>
  <si>
    <t>faint, pretty small, irregularly extended, a little brighter middle, double star to west</t>
  </si>
  <si>
    <t>F, pS, iE, lbM, ** p</t>
  </si>
  <si>
    <t>NGC3948</t>
  </si>
  <si>
    <t>11h53m36.6s</t>
  </si>
  <si>
    <t>+20h57m4s</t>
  </si>
  <si>
    <t>NGC3949</t>
  </si>
  <si>
    <t>11h53m41.4s</t>
  </si>
  <si>
    <t>+47h51m36s</t>
  </si>
  <si>
    <t>considerably bright, pretty large, pretty much extended, very gradually brighter middle</t>
  </si>
  <si>
    <t>cB, pL, pmE, vgbM</t>
  </si>
  <si>
    <t>NGC3950</t>
  </si>
  <si>
    <t>11h53m41.1s</t>
  </si>
  <si>
    <t>+47h53m6s</t>
  </si>
  <si>
    <t>extremely faint, 2.6 arcmin north of h 1009</t>
  </si>
  <si>
    <t>eF, 2'.6 n of h 1009</t>
  </si>
  <si>
    <t>NGC3951</t>
  </si>
  <si>
    <t>11h53m41.3s</t>
  </si>
  <si>
    <t>+23h22m56s</t>
  </si>
  <si>
    <t>very faint, considerably small, very little extended</t>
  </si>
  <si>
    <t>vF, cS, vlE</t>
  </si>
  <si>
    <t>NGC3952</t>
  </si>
  <si>
    <t>11h53m40.1s</t>
  </si>
  <si>
    <t>-3h59m50s</t>
  </si>
  <si>
    <t>considerably faint, considerably small, a little extended 90°±, brighter middle, mottled but not resolved</t>
  </si>
  <si>
    <t>cF, cS, lE 90° ±, bM, r</t>
  </si>
  <si>
    <t>NGC3953</t>
  </si>
  <si>
    <t>11h53m48.4s</t>
  </si>
  <si>
    <t>+52h19m30s</t>
  </si>
  <si>
    <t>considerably bright, large, extended 0°±, very suddenly brighter middle and large mottled but not resolved nucleus</t>
  </si>
  <si>
    <t>cB, L, E 0° ±, vsbMLrN</t>
  </si>
  <si>
    <t>NGC3954</t>
  </si>
  <si>
    <t>11h53m41.7s</t>
  </si>
  <si>
    <t>+20h52m57s</t>
  </si>
  <si>
    <t>NGC3955</t>
  </si>
  <si>
    <t>11h53m57.2s</t>
  </si>
  <si>
    <t>-23h9m52s</t>
  </si>
  <si>
    <t>considerably faint, small, extended 170°±, a little brighter on the south</t>
  </si>
  <si>
    <t>cF, S, E 170° ±, lbs</t>
  </si>
  <si>
    <t>NGC3956</t>
  </si>
  <si>
    <t>11h54m0.9s</t>
  </si>
  <si>
    <t>-20h34m0s</t>
  </si>
  <si>
    <t>considerably faint, pretty large, pretty much extended 57°</t>
  </si>
  <si>
    <t>cF, pL, pmE 57°</t>
  </si>
  <si>
    <t>NGC3957</t>
  </si>
  <si>
    <t>11h54m1.5s</t>
  </si>
  <si>
    <t>-19h34m8s</t>
  </si>
  <si>
    <t>faint, small, extended, mottled but not resolved</t>
  </si>
  <si>
    <t>F, S, E, r</t>
  </si>
  <si>
    <t>NGC3958</t>
  </si>
  <si>
    <t>11h54m33.5s</t>
  </si>
  <si>
    <t>+58h22m0s</t>
  </si>
  <si>
    <t>pretty faint, pretty small, pretty much extended, very gradually brighter middle</t>
  </si>
  <si>
    <t>pF, pS, pmE, vgbM</t>
  </si>
  <si>
    <t>NGC3959</t>
  </si>
  <si>
    <t>11h54m37.6s</t>
  </si>
  <si>
    <t>-7h45m23s</t>
  </si>
  <si>
    <t>very faint, small, between 2 very faint stars</t>
  </si>
  <si>
    <t>vF, S, bet 2 vF st</t>
  </si>
  <si>
    <t>NGC3960</t>
  </si>
  <si>
    <t>11h50m33.1s</t>
  </si>
  <si>
    <t>-55h40m35s</t>
  </si>
  <si>
    <t>a cluster, pretty large, pretty rich, gradually pretty much brighter middle, stars 13th magnitude</t>
  </si>
  <si>
    <t>Cl, pL, pRi, gpmbM, st 13</t>
  </si>
  <si>
    <t>NGC3961</t>
  </si>
  <si>
    <t>11h54m57.5s</t>
  </si>
  <si>
    <t>+69h19m47s</t>
  </si>
  <si>
    <t>NGC3962</t>
  </si>
  <si>
    <t>11h54m39.8s</t>
  </si>
  <si>
    <t>-13h58m29s</t>
  </si>
  <si>
    <t>considerably bright, pretty large, irregularly round, gradually much brighter middle, in a triangle with 2 stars</t>
  </si>
  <si>
    <t>cB, pL, iR, gmbM, Δ 2 st</t>
  </si>
  <si>
    <t>NGC3963</t>
  </si>
  <si>
    <t>11h54m58.8s</t>
  </si>
  <si>
    <t>+58h29m36s</t>
  </si>
  <si>
    <t>pretty faint, considerably large, round, very gradually then suddenly brighter middle</t>
  </si>
  <si>
    <t>pF, cL, R, vg, sbM</t>
  </si>
  <si>
    <t>NGC3964</t>
  </si>
  <si>
    <t>11h54m53.4s</t>
  </si>
  <si>
    <t>+28h15m46s</t>
  </si>
  <si>
    <t>very faint, small, extended, 10th magnitude star attached on northeast</t>
  </si>
  <si>
    <t>vF, S, E, * 10 nf att</t>
  </si>
  <si>
    <t>NGC3965</t>
  </si>
  <si>
    <t>11h54m23.1s</t>
  </si>
  <si>
    <t>-10h51m59s</t>
  </si>
  <si>
    <t>extremely faint, extremely small, round, brighter middle and nucleus, 9.5 magnitude star 4 arcmin to northwest</t>
  </si>
  <si>
    <t>eF, eS, R, bMN, * 9.5 np 4'</t>
  </si>
  <si>
    <t>NGC3966</t>
  </si>
  <si>
    <t>11h56m44.2s</t>
  </si>
  <si>
    <t>+32h1m17s</t>
  </si>
  <si>
    <t>faint, pretty large, a little extended, brighter middle, 12th magnitude star to west</t>
  </si>
  <si>
    <t>F, pL, lE, bM, * 12 p</t>
  </si>
  <si>
    <t>NGC3967</t>
  </si>
  <si>
    <t>11h55m10.3s</t>
  </si>
  <si>
    <t>-7h50m35s</t>
  </si>
  <si>
    <t>very faint, small, faint star close to west</t>
  </si>
  <si>
    <t>vF, S, F * close p</t>
  </si>
  <si>
    <t>NGC3968</t>
  </si>
  <si>
    <t>11h55m28.7s</t>
  </si>
  <si>
    <t>+11h58m7s</t>
  </si>
  <si>
    <t>pretty bright, large, irregularly round, brighter middle, 10th magnitude star 3 arcmin distant at position angle 65°</t>
  </si>
  <si>
    <t>pB, L, iR, bM, * 10, 65°, 3'</t>
  </si>
  <si>
    <t>NGC3969</t>
  </si>
  <si>
    <t>11h55m9.1s</t>
  </si>
  <si>
    <t>-18h55m38s</t>
  </si>
  <si>
    <t>extremely faint, very small, gradually brighter middle and nucleus, 10th magnitude star 4 arcmin to northwest</t>
  </si>
  <si>
    <t>eF, vS, gbMN, * 10 np 4'</t>
  </si>
  <si>
    <t>NGC3970</t>
  </si>
  <si>
    <t>11h55m28.1s</t>
  </si>
  <si>
    <t>-12h3m41s</t>
  </si>
  <si>
    <t>faint, small, round, pretty suddenly brighter middle, western of 2</t>
  </si>
  <si>
    <t>F, S, R, psbM, p of 2</t>
  </si>
  <si>
    <t>NGC3971</t>
  </si>
  <si>
    <t>11h55m36.3s</t>
  </si>
  <si>
    <t>+29h59m45s</t>
  </si>
  <si>
    <t>pretty faint, very small, round, brighter middle</t>
  </si>
  <si>
    <t>pF, vS, R, bM</t>
  </si>
  <si>
    <t>NGC3972</t>
  </si>
  <si>
    <t>11h55m45.3s</t>
  </si>
  <si>
    <t>+55h19m12s</t>
  </si>
  <si>
    <t>NGC3973</t>
  </si>
  <si>
    <t>11h55m37s</t>
  </si>
  <si>
    <t>+11h59m50s</t>
  </si>
  <si>
    <t>extremely faint, extremely small, 10th magnitude star 1 arcmin to southeast (requires verification)</t>
  </si>
  <si>
    <t>eF, eS, * 10 1' sf (requires verification)</t>
  </si>
  <si>
    <t>NGC3974</t>
  </si>
  <si>
    <t>11h55m40.1s</t>
  </si>
  <si>
    <t>-12h1m38s</t>
  </si>
  <si>
    <t>very faint, small, round, brighter middle, eastern of 2</t>
  </si>
  <si>
    <t>NGC3975</t>
  </si>
  <si>
    <t>11h55m53.7s</t>
  </si>
  <si>
    <t>+60h31m47s</t>
  </si>
  <si>
    <t>very faint, very small, II 840 seventeen seconds of time to the east</t>
  </si>
  <si>
    <t>vF, vS, II 840 f 17s</t>
  </si>
  <si>
    <t>NGC3976</t>
  </si>
  <si>
    <t>11h55m57.2s</t>
  </si>
  <si>
    <t>+6h44m54s</t>
  </si>
  <si>
    <t>bright, pretty large, considerably extended 30°, very suddenly much brighter middle and nucleus</t>
  </si>
  <si>
    <t>B, pL, cE 30°, vsmbMN</t>
  </si>
  <si>
    <t>NGC3977</t>
  </si>
  <si>
    <t>11h56m7.3s</t>
  </si>
  <si>
    <t>+55h23m27s</t>
  </si>
  <si>
    <t>NGC3978</t>
  </si>
  <si>
    <t>11h56m10.6s</t>
  </si>
  <si>
    <t>+60h31m22s</t>
  </si>
  <si>
    <t>considerably faint, small, a little extended, brighter middle, 8th magnitude star 6 arcmin distant at position angle 90°</t>
  </si>
  <si>
    <t>cF, S, lE, bM, * 8 90°, 6'</t>
  </si>
  <si>
    <t>NGC3979</t>
  </si>
  <si>
    <t>11h56m1.1s</t>
  </si>
  <si>
    <t>-2h43m14s</t>
  </si>
  <si>
    <t>pretty faint, 11th or 12th magnitude star to northeast</t>
  </si>
  <si>
    <t>pF, * 11·12 nf</t>
  </si>
  <si>
    <t>NGC3980</t>
  </si>
  <si>
    <t>eF, pL, E, D * nr</t>
  </si>
  <si>
    <t>NGC3981</t>
  </si>
  <si>
    <t>11h56m7s</t>
  </si>
  <si>
    <t>-19h53m50s</t>
  </si>
  <si>
    <t>NGC3982</t>
  </si>
  <si>
    <t>11h56m28s</t>
  </si>
  <si>
    <t>+55h7m30s</t>
  </si>
  <si>
    <t>bright, pretty large, round, gradually then suddenly brighter middle and disc</t>
  </si>
  <si>
    <t>B, pL, R, g, sbM disc</t>
  </si>
  <si>
    <t>NGC3983</t>
  </si>
  <si>
    <t>11h56m23.6s</t>
  </si>
  <si>
    <t>+23h52m5s</t>
  </si>
  <si>
    <t>NGC3984</t>
  </si>
  <si>
    <t>NGC3985</t>
  </si>
  <si>
    <t>11h56m41.5s</t>
  </si>
  <si>
    <t>+48h20m8s</t>
  </si>
  <si>
    <t>very faint, considerably small, another suspected</t>
  </si>
  <si>
    <t>vF, cS, another suspected</t>
  </si>
  <si>
    <t>NGC3986</t>
  </si>
  <si>
    <t>pF, S, pmE 90° ±, * 11 nr</t>
  </si>
  <si>
    <t>NGC3987</t>
  </si>
  <si>
    <t>11h57m20.9s</t>
  </si>
  <si>
    <t>+25h11m43s</t>
  </si>
  <si>
    <t>NGC3988</t>
  </si>
  <si>
    <t>11h57m24.2s</t>
  </si>
  <si>
    <t>+27h52m41s</t>
  </si>
  <si>
    <t>very faint, small, round, brighter middle like a star, western of 2</t>
  </si>
  <si>
    <t>vF, S, R, bM *, p of 2</t>
  </si>
  <si>
    <t>NGC3989</t>
  </si>
  <si>
    <t>11h57m26.6s</t>
  </si>
  <si>
    <t>+25h13m58s</t>
  </si>
  <si>
    <t>NGC3990</t>
  </si>
  <si>
    <t>11h57m35.5s</t>
  </si>
  <si>
    <t>+55h27m31s</t>
  </si>
  <si>
    <t>pretty faint, small, a little extended, pretty suddenly a little brighter middle</t>
  </si>
  <si>
    <t>pF, S, lE, pslbM</t>
  </si>
  <si>
    <t>NGC3991</t>
  </si>
  <si>
    <t>Im/P</t>
  </si>
  <si>
    <t>11h57m30.7s</t>
  </si>
  <si>
    <t>+32h20m8s</t>
  </si>
  <si>
    <t>faint, small, a little extended, 1st of 3</t>
  </si>
  <si>
    <t>F, S, lE, 1st of 3</t>
  </si>
  <si>
    <t>NGC3992</t>
  </si>
  <si>
    <t>吸尘器星系</t>
  </si>
  <si>
    <t>11h57m35.4s</t>
  </si>
  <si>
    <t>+53h22m25s</t>
  </si>
  <si>
    <t>considerably bright, very large, pretty much extended, suddenly brighter middle and bright mottled but not resolved nucleus</t>
  </si>
  <si>
    <t>cB, vL, pmE, sbMBrN</t>
  </si>
  <si>
    <t>NGC3993</t>
  </si>
  <si>
    <t>11h57m37.6s</t>
  </si>
  <si>
    <t>+25h14m25s</t>
  </si>
  <si>
    <t>very faint, pretty small, extended, 3 stars near</t>
  </si>
  <si>
    <t>vF, pS, E, 3 st nr</t>
  </si>
  <si>
    <t>NGC3994</t>
  </si>
  <si>
    <t>11h57m36.8s</t>
  </si>
  <si>
    <t>pretty bright, very small, 2nd of 3</t>
  </si>
  <si>
    <t>pB, vS, 2nd of 3</t>
  </si>
  <si>
    <t>NGC3995</t>
  </si>
  <si>
    <t>11h57m44s</t>
  </si>
  <si>
    <t>+32h17m35s</t>
  </si>
  <si>
    <t>faint, pretty large, irregularly round, brighter middle, 3rd of 3</t>
  </si>
  <si>
    <t>F, pL, iR, bM, 3rd of 3</t>
  </si>
  <si>
    <t>NGC3996</t>
  </si>
  <si>
    <t>11h57m46.1s</t>
  </si>
  <si>
    <t>+14h17m51s</t>
  </si>
  <si>
    <t>very faint, pretty large, round, 2 stars to east</t>
  </si>
  <si>
    <t>vF, pL, R, 2 st f</t>
  </si>
  <si>
    <t>NGC3997</t>
  </si>
  <si>
    <t>11h57m48.5s</t>
  </si>
  <si>
    <t>+25h16m15s</t>
  </si>
  <si>
    <t>pretty faint, very small, extended 25°, between 2 stars</t>
  </si>
  <si>
    <t>pF, vS, E 25°, bet 2 st</t>
  </si>
  <si>
    <t>NGC3998</t>
  </si>
  <si>
    <t>11h57m55.9s</t>
  </si>
  <si>
    <t>+55h27m14s</t>
  </si>
  <si>
    <t>considerably bright, pretty small, round, very gradually then suddenly much brighter middle</t>
  </si>
  <si>
    <t>cB, pS, R, vg, smbM</t>
  </si>
  <si>
    <t>NGC3999</t>
  </si>
  <si>
    <t>11h57m56.4s</t>
  </si>
  <si>
    <t>+25h4m6s</t>
  </si>
  <si>
    <t>NGC4000</t>
  </si>
  <si>
    <t>11h57m57s</t>
  </si>
  <si>
    <t>+25h8m38s</t>
  </si>
  <si>
    <t>vF, vS, lE, * 8 m 2' f, 5597 is sf</t>
  </si>
  <si>
    <t>NGC4001</t>
  </si>
  <si>
    <t>dE4</t>
  </si>
  <si>
    <t>11h58m6.7s</t>
  </si>
  <si>
    <t>+47h20m7s</t>
  </si>
  <si>
    <t>S, R, 7' np h 1040</t>
  </si>
  <si>
    <t>NGC4002</t>
  </si>
  <si>
    <t>11h57m59.3s</t>
  </si>
  <si>
    <t>+23h12m10s</t>
  </si>
  <si>
    <t>very faint, very small, round, northern of 2</t>
  </si>
  <si>
    <t>vF, vS, R, n of 2</t>
  </si>
  <si>
    <t>NGC4003</t>
  </si>
  <si>
    <t>11h57m59s</t>
  </si>
  <si>
    <t>+23h7m31s</t>
  </si>
  <si>
    <t>very faint, very small, round, southern of 2</t>
  </si>
  <si>
    <t>vF, vS, R, s of 2</t>
  </si>
  <si>
    <t>NGC4004</t>
  </si>
  <si>
    <t>11h58m5.1s</t>
  </si>
  <si>
    <t>+27h52m43s</t>
  </si>
  <si>
    <t>F, vS, R, * 12 near</t>
  </si>
  <si>
    <t>NGC4005</t>
  </si>
  <si>
    <t>NGC 4005星系群</t>
  </si>
  <si>
    <t>11h58m10s</t>
  </si>
  <si>
    <t>+25h7m20s</t>
  </si>
  <si>
    <t>pF, vS, mbM, * 7 np 2'</t>
  </si>
  <si>
    <t>NGC4006</t>
  </si>
  <si>
    <t>11h58m5.9s</t>
  </si>
  <si>
    <t>-2h7m13s</t>
  </si>
  <si>
    <t>faint, small, round, brighter middle, 11th magnitude star to northeast</t>
  </si>
  <si>
    <t>F, S, R, bM, * 11 nf</t>
  </si>
  <si>
    <t>NGC4007</t>
  </si>
  <si>
    <t>NGC4008</t>
  </si>
  <si>
    <t>11h58m17.1s</t>
  </si>
  <si>
    <t>+28h11m34s</t>
  </si>
  <si>
    <t>pB, pS, E, psbM, * inv n</t>
  </si>
  <si>
    <t>NGC4009</t>
  </si>
  <si>
    <t>11h58m15s</t>
  </si>
  <si>
    <t>+25h11m27s</t>
  </si>
  <si>
    <t>very faint, extremely small</t>
  </si>
  <si>
    <t>vF, eS</t>
  </si>
  <si>
    <t>NGC4010</t>
  </si>
  <si>
    <t>11h58m37.1s</t>
  </si>
  <si>
    <t>+47h15m37s</t>
  </si>
  <si>
    <t>faint, pretty large, much extended, very gradually a little brighter middle</t>
  </si>
  <si>
    <t>F, pL, mE, vglbM</t>
  </si>
  <si>
    <t>NGC4011</t>
  </si>
  <si>
    <t>11h58m25.4s</t>
  </si>
  <si>
    <t>+25h5m52s</t>
  </si>
  <si>
    <t>very faint, very small, 12th magnitude star to northwest</t>
  </si>
  <si>
    <t>vF, vS, * 12 np</t>
  </si>
  <si>
    <t>NGC4012</t>
  </si>
  <si>
    <t>11h58m27.5s</t>
  </si>
  <si>
    <t>+10h1m18s</t>
  </si>
  <si>
    <t>NGC4013</t>
  </si>
  <si>
    <t>11h58m31.3s</t>
  </si>
  <si>
    <t>+43h56m50s</t>
  </si>
  <si>
    <t>B, cL, mE 62°, vsvmbM * 10</t>
  </si>
  <si>
    <t>NGC4014</t>
  </si>
  <si>
    <t>后发座</t>
  </si>
  <si>
    <t>COM</t>
  </si>
  <si>
    <t>11h58m35.8s</t>
  </si>
  <si>
    <t>+16h10m38s</t>
  </si>
  <si>
    <t>NGC4015</t>
  </si>
  <si>
    <t>11h58m42.5s</t>
  </si>
  <si>
    <t>+25h2m12s</t>
  </si>
  <si>
    <t>faint, very small, extended, much brighter middle</t>
  </si>
  <si>
    <t>F, vS, E, mbM</t>
  </si>
  <si>
    <t>NGC4016</t>
  </si>
  <si>
    <t>11h58m29s</t>
  </si>
  <si>
    <t>+27h31m44s</t>
  </si>
  <si>
    <t>NGC4017</t>
  </si>
  <si>
    <t>11h58m45.7s</t>
  </si>
  <si>
    <t>+27h27m11s</t>
  </si>
  <si>
    <t>F, L, E, gbfM</t>
  </si>
  <si>
    <t>NGC4018</t>
  </si>
  <si>
    <t>11h58m40.6s</t>
  </si>
  <si>
    <t>+25h19m2s</t>
  </si>
  <si>
    <t>mE np sf, 2 st s</t>
  </si>
  <si>
    <t>NGC4019</t>
  </si>
  <si>
    <t>12h1m10.5s</t>
  </si>
  <si>
    <t>+14h6m15s</t>
  </si>
  <si>
    <t>eF, * 9 sf 5'</t>
  </si>
  <si>
    <t>NGC4020</t>
  </si>
  <si>
    <t>11h58m56.8s</t>
  </si>
  <si>
    <t>+30h24m49s</t>
  </si>
  <si>
    <t>pB, pL, E 19°.5, biN</t>
  </si>
  <si>
    <t>NGC4021</t>
  </si>
  <si>
    <t>11h59m2.5s</t>
  </si>
  <si>
    <t>+25h5m1s</t>
  </si>
  <si>
    <t>NGC4022</t>
  </si>
  <si>
    <t>11h59m1s</t>
  </si>
  <si>
    <t>+25h13m21s</t>
  </si>
  <si>
    <t>pretty faint, very small, stellar</t>
  </si>
  <si>
    <t>pF, vS, stellar</t>
  </si>
  <si>
    <t>NGC4023</t>
  </si>
  <si>
    <t>11h59m5.3s</t>
  </si>
  <si>
    <t>+24h59m21s</t>
  </si>
  <si>
    <t>pretty faint, pretty large, diffuse</t>
  </si>
  <si>
    <t>pF, pL, dif</t>
  </si>
  <si>
    <t>NGC4024</t>
  </si>
  <si>
    <t>11h58m31.5s</t>
  </si>
  <si>
    <t>-18h20m48s</t>
  </si>
  <si>
    <t>faint, very small, irregular figure, brighter middle</t>
  </si>
  <si>
    <t>F, vS, iF, bM</t>
  </si>
  <si>
    <t>NGC4025</t>
  </si>
  <si>
    <t>11h59m10s</t>
  </si>
  <si>
    <t>+37h47m32s</t>
  </si>
  <si>
    <t>NGC4026</t>
  </si>
  <si>
    <t>11h59m25s</t>
  </si>
  <si>
    <t>+50h57m43s</t>
  </si>
  <si>
    <t>vB, cL, mE 176°, vsvmbMBN</t>
  </si>
  <si>
    <t>NGC4027</t>
  </si>
  <si>
    <t>11h59m30.5s</t>
  </si>
  <si>
    <t>-19h15m57s</t>
  </si>
  <si>
    <t>a globular cluster, pretty faint, pretty large, round, partially resolved (some stars seen), stars of 16th magnitude</t>
  </si>
  <si>
    <t>globular, pF, pL, R, rr, st 16</t>
  </si>
  <si>
    <t>NGC4028</t>
  </si>
  <si>
    <t>very faint, very small, very little extended, mottled but not resolved</t>
  </si>
  <si>
    <t>vF, vS, vlE, r</t>
  </si>
  <si>
    <t>NGC4029</t>
  </si>
  <si>
    <t>12h0m3.2s</t>
  </si>
  <si>
    <t>+8h10m56s</t>
  </si>
  <si>
    <t>very faint, very small, a little extended, stellar nucleus</t>
  </si>
  <si>
    <t>vF, vS, lE, stellar N</t>
  </si>
  <si>
    <t>NGC4030</t>
  </si>
  <si>
    <t>12h0m23.4s</t>
  </si>
  <si>
    <t>-1h6m2s</t>
  </si>
  <si>
    <t>cB, L, vlE, psmbM, B st nr</t>
  </si>
  <si>
    <t>NGC4031</t>
  </si>
  <si>
    <t>12h0m31.3s</t>
  </si>
  <si>
    <t>+31h56m48s</t>
  </si>
  <si>
    <t>eF, vS, * 17 v nr south</t>
  </si>
  <si>
    <t>NGC4032</t>
  </si>
  <si>
    <t>12h0m32.9s</t>
  </si>
  <si>
    <t>+20h4m29s</t>
  </si>
  <si>
    <t>pretty faint, pretty large, round, gradually brighter middle, 12th magnitude star to northeast</t>
  </si>
  <si>
    <t>pF, pL, R, gbM, * 12 nf</t>
  </si>
  <si>
    <t>NGC4033</t>
  </si>
  <si>
    <t>12h0m34.7s</t>
  </si>
  <si>
    <t>-17h50m36s</t>
  </si>
  <si>
    <t>pretty bright, small, a little extended, brighter middle</t>
  </si>
  <si>
    <t>pB, S, lE, bM</t>
  </si>
  <si>
    <t>NGC4034</t>
  </si>
  <si>
    <t>12h1m29.6s</t>
  </si>
  <si>
    <t>+69h19m26s</t>
  </si>
  <si>
    <t>extremely faint, small, irregular figure, gradually a very little brighter middle</t>
  </si>
  <si>
    <t>eF, S, iF, gvlbM</t>
  </si>
  <si>
    <t>NGC4035</t>
  </si>
  <si>
    <t>12h0m29.2s</t>
  </si>
  <si>
    <t>-15h56m57s</t>
  </si>
  <si>
    <t>eF, pL, * 9 m 45° ±</t>
  </si>
  <si>
    <t>NGC4036</t>
  </si>
  <si>
    <t>12h1m27s</t>
  </si>
  <si>
    <t>+61h53m46s</t>
  </si>
  <si>
    <t>very bright, very large, extended</t>
  </si>
  <si>
    <t>vB, vL, E</t>
  </si>
  <si>
    <t>NGC4037</t>
  </si>
  <si>
    <t>12h1m23.8s</t>
  </si>
  <si>
    <t>+13h24m2s</t>
  </si>
  <si>
    <t>extremely faint, pretty large, round, mottled but not resolved</t>
  </si>
  <si>
    <t>eF, pL, R, r</t>
  </si>
  <si>
    <t>NGC4038</t>
  </si>
  <si>
    <t>触须星系</t>
  </si>
  <si>
    <t>12h1m52.8s</t>
  </si>
  <si>
    <t>-18h51m52s</t>
  </si>
  <si>
    <t>pretty bright, considerably large, round, very gradually brighter middle</t>
  </si>
  <si>
    <t>pB, cL, R, vgbM</t>
  </si>
  <si>
    <t>NGC4039</t>
  </si>
  <si>
    <t>12h1m53.8s</t>
  </si>
  <si>
    <t>-18h53m8s</t>
  </si>
  <si>
    <t>pretty faint, pretty large</t>
  </si>
  <si>
    <t>pF, pL</t>
  </si>
  <si>
    <t>NGC4040</t>
  </si>
  <si>
    <t>12h2m5.4s</t>
  </si>
  <si>
    <t>+17h49m26s</t>
  </si>
  <si>
    <t>extremely faint, pretty small, round, 3 stars near</t>
  </si>
  <si>
    <t>eF, pS, R, 3 st nr</t>
  </si>
  <si>
    <t>NGC4041</t>
  </si>
  <si>
    <t>12h2m11.9s</t>
  </si>
  <si>
    <t>+62h8m13s</t>
  </si>
  <si>
    <t>B, cL, R, g, psvmbMrN</t>
  </si>
  <si>
    <t>NGC4042</t>
  </si>
  <si>
    <t>12h2m46.8s</t>
  </si>
  <si>
    <t>+20h9m51s</t>
  </si>
  <si>
    <t>NGC4043</t>
  </si>
  <si>
    <t>12h2m23s</t>
  </si>
  <si>
    <t>+4h19m48s</t>
  </si>
  <si>
    <t>pF, S, R, psbM, ** f 30s</t>
  </si>
  <si>
    <t>NGC4044</t>
  </si>
  <si>
    <t>12h2m29.4s</t>
  </si>
  <si>
    <t>-0h12m45s</t>
  </si>
  <si>
    <t>NGC4045</t>
  </si>
  <si>
    <t>12h2m42.2s</t>
  </si>
  <si>
    <t>+1h58m37s</t>
  </si>
  <si>
    <t>pretty faint, large, round, suddenly brighter middle, star to southeast</t>
  </si>
  <si>
    <t>pF, L, R, sbM, * sf</t>
  </si>
  <si>
    <t>NGC4046</t>
  </si>
  <si>
    <t>F, pS, Δ 2F st (Qy = h 1057)</t>
  </si>
  <si>
    <t>NGC4047</t>
  </si>
  <si>
    <t>12h2m50.6s</t>
  </si>
  <si>
    <t>+48h38m12s</t>
  </si>
  <si>
    <t>NGC4048</t>
  </si>
  <si>
    <t>12h2m50.1s</t>
  </si>
  <si>
    <t>+18h0m56s</t>
  </si>
  <si>
    <t>very faint, very small, round, pretty suddenly brighter middle</t>
  </si>
  <si>
    <t>vF, vS, R, psbM</t>
  </si>
  <si>
    <t>NGC4049</t>
  </si>
  <si>
    <t>12h2m54.5s</t>
  </si>
  <si>
    <t>+18h45m9s</t>
  </si>
  <si>
    <t>extremely faint, pretty small, round, gradually a little brighter middle</t>
  </si>
  <si>
    <t>eF, pS, R, glbM</t>
  </si>
  <si>
    <t>NGC4050</t>
  </si>
  <si>
    <t>12h2m53.9s</t>
  </si>
  <si>
    <t>-16h22m27s</t>
  </si>
  <si>
    <t>faint, considerably large, irregularly round, a little brighter middle</t>
  </si>
  <si>
    <t>F, cL, iR, lbM</t>
  </si>
  <si>
    <t>NGC4051</t>
  </si>
  <si>
    <t>12h3m9.6s</t>
  </si>
  <si>
    <t>+44h31m55s</t>
  </si>
  <si>
    <t>bright, very large, extended, very gradually then very suddenly much brighter middle equivalent to 11th magnitude star</t>
  </si>
  <si>
    <t>B, vL, E, vgvsmbM * 11</t>
  </si>
  <si>
    <t>NGC4052</t>
  </si>
  <si>
    <t>南十字座</t>
  </si>
  <si>
    <t>CRU</t>
  </si>
  <si>
    <t>12h2m0s</t>
  </si>
  <si>
    <t>-63h13m18s</t>
  </si>
  <si>
    <t>a cluster, pretty rich, a little compressed</t>
  </si>
  <si>
    <t>NGC4053</t>
  </si>
  <si>
    <t>12h3m11.5s</t>
  </si>
  <si>
    <t>+19h43m45s</t>
  </si>
  <si>
    <t>faint, very small, very little extended, almost stellar</t>
  </si>
  <si>
    <t>F, vS, vlE, alm stell</t>
  </si>
  <si>
    <t>NGC4054</t>
  </si>
  <si>
    <t>12h3m12.3s</t>
  </si>
  <si>
    <t>+57h53m36s</t>
  </si>
  <si>
    <t>NGC4055</t>
  </si>
  <si>
    <t>12h4m1.5s</t>
  </si>
  <si>
    <t>+20h13m58s</t>
  </si>
  <si>
    <t>pretty bright (Polar Distance very doubtful)</t>
  </si>
  <si>
    <t>pB (PD very doubtful)</t>
  </si>
  <si>
    <t>NGC4056</t>
  </si>
  <si>
    <t>12h3m57.8s</t>
  </si>
  <si>
    <t>+20h18m47s</t>
  </si>
  <si>
    <t>NGC4057</t>
  </si>
  <si>
    <t>12h4m6.3s</t>
  </si>
  <si>
    <t>+20h14m9s</t>
  </si>
  <si>
    <t>NGC4058</t>
  </si>
  <si>
    <t>12h3m48.9s</t>
  </si>
  <si>
    <t>+3h32m53s</t>
  </si>
  <si>
    <t>NGC4059</t>
  </si>
  <si>
    <t>12h4m11.3s</t>
  </si>
  <si>
    <t>+20h24m35s</t>
  </si>
  <si>
    <t>NGC4060</t>
  </si>
  <si>
    <t>12h4m1s</t>
  </si>
  <si>
    <t>+20h20m17s</t>
  </si>
  <si>
    <t>NGC4061</t>
  </si>
  <si>
    <t>vF, S, R, p of D neb, Pos 80°</t>
  </si>
  <si>
    <t>NGC4062</t>
  </si>
  <si>
    <t>12h4m3.8s</t>
  </si>
  <si>
    <t>+31h53m43s</t>
  </si>
  <si>
    <t>pretty bright, very large, much extended 97°, very gradually brighter middle</t>
  </si>
  <si>
    <t>pB, vL, mE 97°, vgbM</t>
  </si>
  <si>
    <t>NGC4063</t>
  </si>
  <si>
    <t>12h4m5.9s</t>
  </si>
  <si>
    <t>+1h50m49s</t>
  </si>
  <si>
    <t>extremely faint, very small, bright pts involved</t>
  </si>
  <si>
    <t>eF, vS, B pts inv</t>
  </si>
  <si>
    <t>NGC4064</t>
  </si>
  <si>
    <t>12h4m11s</t>
  </si>
  <si>
    <t>+18h26m36s</t>
  </si>
  <si>
    <t>bright, extended, gradually brighter middle</t>
  </si>
  <si>
    <t>B, E, gbM</t>
  </si>
  <si>
    <t>NGC4065</t>
  </si>
  <si>
    <t>pF, R, f of D neb</t>
  </si>
  <si>
    <t>NGC4066</t>
  </si>
  <si>
    <t>12h4m9.4s</t>
  </si>
  <si>
    <t>+20h20m52s</t>
  </si>
  <si>
    <t>NGC4067</t>
  </si>
  <si>
    <t>12h4m11.5s</t>
  </si>
  <si>
    <t>+10h51m16s</t>
  </si>
  <si>
    <t>NGC4068</t>
  </si>
  <si>
    <t>12h4m2.3s</t>
  </si>
  <si>
    <t>+52h35m26s</t>
  </si>
  <si>
    <t>pretty faint, small, stellar</t>
  </si>
  <si>
    <t>pF, S, stellar</t>
  </si>
  <si>
    <t>NGC4069</t>
  </si>
  <si>
    <t>12h4m6.1s</t>
  </si>
  <si>
    <t>+20h19m28s</t>
  </si>
  <si>
    <t>NGC4070</t>
  </si>
  <si>
    <t>NGC4071</t>
  </si>
  <si>
    <t>苍蝇座</t>
  </si>
  <si>
    <t>MUS</t>
  </si>
  <si>
    <t>12h4m15.3s</t>
  </si>
  <si>
    <t>-67h18m33s</t>
  </si>
  <si>
    <t>very faint, very small, round, brighter middle like a star, among stars</t>
  </si>
  <si>
    <t>vF, vS, R, bM *, am st</t>
  </si>
  <si>
    <t>NGC4072</t>
  </si>
  <si>
    <t>12h4m13.9s</t>
  </si>
  <si>
    <t>+20h12m37s</t>
  </si>
  <si>
    <t>extremely faint, southeast of h 1065 - 67</t>
  </si>
  <si>
    <t>eF, sf h 1065-67</t>
  </si>
  <si>
    <t>NGC4073</t>
  </si>
  <si>
    <t>12h4m27.1s</t>
  </si>
  <si>
    <t>+1h53m47s</t>
  </si>
  <si>
    <t>faint, pretty small, round, pretty gradually brighter middle, northwestern of 2</t>
  </si>
  <si>
    <t>F, pS, R, pgbM, np of 2</t>
  </si>
  <si>
    <t>NGC4074</t>
  </si>
  <si>
    <t>12h4m29.7s</t>
  </si>
  <si>
    <t>+20h19m1s</t>
  </si>
  <si>
    <t>NGC4075</t>
  </si>
  <si>
    <t>12h4m37.8s</t>
  </si>
  <si>
    <t>+2h4m22s</t>
  </si>
  <si>
    <t>NGC4076</t>
  </si>
  <si>
    <t>12h4m32.6s</t>
  </si>
  <si>
    <t>+20h12m16s</t>
  </si>
  <si>
    <t>NGC4077</t>
  </si>
  <si>
    <t>12h4m38s</t>
  </si>
  <si>
    <t>+1h47m18s</t>
  </si>
  <si>
    <t>considerably faint, considerably small, very little extended, brighter middle, southeastern of 2</t>
  </si>
  <si>
    <t>cF, cS, vlE, bM, sf of 2</t>
  </si>
  <si>
    <t>NGC4078</t>
  </si>
  <si>
    <t>12h4m47.7s</t>
  </si>
  <si>
    <t>+10h35m45s</t>
  </si>
  <si>
    <t>NGC4079</t>
  </si>
  <si>
    <t>12h4m49.9s</t>
  </si>
  <si>
    <t>-2h22m59s</t>
  </si>
  <si>
    <t>faint, large, round, 10th magnitude star 1 arcmin to north</t>
  </si>
  <si>
    <t>F, L, R, * 10 n 1'</t>
  </si>
  <si>
    <t>NGC4080</t>
  </si>
  <si>
    <t>12h4m51.9s</t>
  </si>
  <si>
    <t>+26h59m32s</t>
  </si>
  <si>
    <t>considerably faint, pretty small, extended, gradually brighter middle</t>
  </si>
  <si>
    <t>cF, pS, E, gbM</t>
  </si>
  <si>
    <t>NGC4081</t>
  </si>
  <si>
    <t>12h4m33.2s</t>
  </si>
  <si>
    <t>+64h26m14s</t>
  </si>
  <si>
    <t>faint, small, much extended, double star near</t>
  </si>
  <si>
    <t>F, S, mE, D * nr</t>
  </si>
  <si>
    <t>NGC4082</t>
  </si>
  <si>
    <t>12h5m11.4s</t>
  </si>
  <si>
    <t>+10h40m15s</t>
  </si>
  <si>
    <t>very faint, very small, a little extended, a little brighter middle</t>
  </si>
  <si>
    <t>vF, vS, lE, lbM</t>
  </si>
  <si>
    <t>NGC4083</t>
  </si>
  <si>
    <t>12h5m14s</t>
  </si>
  <si>
    <t>+10h36m49s</t>
  </si>
  <si>
    <t>NGC4084</t>
  </si>
  <si>
    <t>12h5m15.3s</t>
  </si>
  <si>
    <t>+21h12m54s</t>
  </si>
  <si>
    <t>NGC4085</t>
  </si>
  <si>
    <t>12h5m22.4s</t>
  </si>
  <si>
    <t>+50h21m12s</t>
  </si>
  <si>
    <t>bright, pretty large, pretty much extended 78°, very suddenly brighter middle</t>
  </si>
  <si>
    <t>B, pL, pmE 78°, vsbM</t>
  </si>
  <si>
    <t>NGC4086</t>
  </si>
  <si>
    <t>12h5m29.3s</t>
  </si>
  <si>
    <t>+20h14m50s</t>
  </si>
  <si>
    <t>NGC4087</t>
  </si>
  <si>
    <t>12h5m35.3s</t>
  </si>
  <si>
    <t>-26h31m20s</t>
  </si>
  <si>
    <t>NGC4088</t>
  </si>
  <si>
    <t>12h5m34.6s</t>
  </si>
  <si>
    <t>+50h32m26s</t>
  </si>
  <si>
    <t>bright, considerably large, extended 55°, a little brighter middle</t>
  </si>
  <si>
    <t>B, cL, E 55°, lbM</t>
  </si>
  <si>
    <t>NGC4089</t>
  </si>
  <si>
    <t>12h5m37.5s</t>
  </si>
  <si>
    <t>+20h33m23s</t>
  </si>
  <si>
    <t>NGC4090</t>
  </si>
  <si>
    <t>12h5m28s</t>
  </si>
  <si>
    <t>+20h18m33s</t>
  </si>
  <si>
    <t>very faint, very small, 15th magnitude star 1 arcmin to east</t>
  </si>
  <si>
    <t>vF, vS, * 15 f 1'</t>
  </si>
  <si>
    <t>NGC4091</t>
  </si>
  <si>
    <t>12h5m40.2s</t>
  </si>
  <si>
    <t>NGC4092</t>
  </si>
  <si>
    <t>12h5m50.2s</t>
  </si>
  <si>
    <t>+20h28m39s</t>
  </si>
  <si>
    <t>faint, pretty small, round, 11th magnitude star to northwest</t>
  </si>
  <si>
    <t>F, pS, R, * 11 np</t>
  </si>
  <si>
    <t>NGC4093</t>
  </si>
  <si>
    <t>12h5m51.4s</t>
  </si>
  <si>
    <t>+20h31m20s</t>
  </si>
  <si>
    <t>NGC4094</t>
  </si>
  <si>
    <t>12h5m53.9s</t>
  </si>
  <si>
    <t>-14h31m34s</t>
  </si>
  <si>
    <t>extremely faint, large, pretty much extended, very gradually brighter middle, 2 stars of 11th magnitude near</t>
  </si>
  <si>
    <t>eF, L, pmE, vgbM, 2 st 11 nr</t>
  </si>
  <si>
    <t>NGC4095</t>
  </si>
  <si>
    <t>12h5m54.2s</t>
  </si>
  <si>
    <t>+20h34m25s</t>
  </si>
  <si>
    <t>NGC4096</t>
  </si>
  <si>
    <t>12h6m0.9s</t>
  </si>
  <si>
    <t>+47h28m33s</t>
  </si>
  <si>
    <t>pretty bright, very large, much extended 32°</t>
  </si>
  <si>
    <t>pB, vL, mE 32°</t>
  </si>
  <si>
    <t>NGC4097</t>
  </si>
  <si>
    <t>12h6m2.4s</t>
  </si>
  <si>
    <t>+36h51m50s</t>
  </si>
  <si>
    <t>extremely faint, very small, round, stellar, 10th magnitude star 2 arcmin to southwest</t>
  </si>
  <si>
    <t>eF, vS, R, stellar, * 10 sp 2'</t>
  </si>
  <si>
    <t>NGC4098</t>
  </si>
  <si>
    <t>12h6m3.6s</t>
  </si>
  <si>
    <t>+20h36m28s</t>
  </si>
  <si>
    <t>extremely faint, extremely small, round, brighter middle</t>
  </si>
  <si>
    <t>eF, eS, R, bM</t>
  </si>
  <si>
    <t>NGC4099</t>
  </si>
  <si>
    <t>NGC4100</t>
  </si>
  <si>
    <t>12h6m8.3s</t>
  </si>
  <si>
    <t>+49h34m58s</t>
  </si>
  <si>
    <t>pretty bright, very large, very much extended 161°, very gradually a very little brighter middle</t>
  </si>
  <si>
    <t>pB, vL, vmE 161°, vgvlbM</t>
  </si>
  <si>
    <t>NGC4101</t>
  </si>
  <si>
    <t>12h6m10.7s</t>
  </si>
  <si>
    <t>+25h33m25s</t>
  </si>
  <si>
    <t>extremely faint, very small, round, very gradually brighter middle</t>
  </si>
  <si>
    <t>eF, vS, R, vgbM</t>
  </si>
  <si>
    <t>NGC4102</t>
  </si>
  <si>
    <t>12h6m23.3s</t>
  </si>
  <si>
    <t>+52h42m39s</t>
  </si>
  <si>
    <t>bright, pretty small, round, brighter middle and bright nucleus, 12th magnitude star very near to southwest</t>
  </si>
  <si>
    <t>B, pS, R, bMBN, * 12 sp, v nr</t>
  </si>
  <si>
    <t>NGC4103</t>
  </si>
  <si>
    <t>长尾星团</t>
  </si>
  <si>
    <t>12h6m39.5s</t>
  </si>
  <si>
    <t>-61h15m0s</t>
  </si>
  <si>
    <t>a cluster, pretty large, pretty compressed, irregularly round, stars from 10th to 14th magnitude</t>
  </si>
  <si>
    <t>Cl, pL, pC, iR, st 10…14</t>
  </si>
  <si>
    <t>NGC4104</t>
  </si>
  <si>
    <t>12h6m38.7s</t>
  </si>
  <si>
    <t>+28h10m25s</t>
  </si>
  <si>
    <t>pretty bright, pretty small, a little extended, brighter middle</t>
  </si>
  <si>
    <t>pB, pS, lE, bM</t>
  </si>
  <si>
    <t>NGC4105</t>
  </si>
  <si>
    <t>12h6m40.6s</t>
  </si>
  <si>
    <t>-29h45m36s</t>
  </si>
  <si>
    <t>pretty faint, pretty small, round, pretty suddenly brighter middle, mottled but not resolved, western of 2</t>
  </si>
  <si>
    <t>pF, pS, R, psbM, r, p of 2</t>
  </si>
  <si>
    <t>NGC4106</t>
  </si>
  <si>
    <t>12h6m45.5s</t>
  </si>
  <si>
    <t>-29h46m6s</t>
  </si>
  <si>
    <t>pretty faint, pretty small, round, pretty gradually brighter middle, eastern of 2</t>
  </si>
  <si>
    <t>pF, pS, R, pgbM, f of 2</t>
  </si>
  <si>
    <t>NGC4107</t>
  </si>
  <si>
    <t>a planetary nebula, pretty bright, small, a little extended, 10th or 11th magnitude star to southeast</t>
  </si>
  <si>
    <t>planetary, pB, S, lE, * 10·11 sf</t>
  </si>
  <si>
    <t>NGC4108</t>
  </si>
  <si>
    <t>12h6m44.3s</t>
  </si>
  <si>
    <t>+67h9m48s</t>
  </si>
  <si>
    <t>NGC4109</t>
  </si>
  <si>
    <t>猎犬座</t>
  </si>
  <si>
    <t>CVN</t>
  </si>
  <si>
    <t>12h6m51.1s</t>
  </si>
  <si>
    <t>+42h59m46s</t>
  </si>
  <si>
    <t>very faint, I 195 is 6 arcmin to north-northeast</t>
  </si>
  <si>
    <t>vF, I 195 nnf 6'</t>
  </si>
  <si>
    <t>NGC4110</t>
  </si>
  <si>
    <t>12h7m3.4s</t>
  </si>
  <si>
    <t>+18h31m55s</t>
  </si>
  <si>
    <t>NGC4111</t>
  </si>
  <si>
    <t>12h7m2.9s</t>
  </si>
  <si>
    <t>+43h4m0s</t>
  </si>
  <si>
    <t>very bright, pretty small, much extended 151°</t>
  </si>
  <si>
    <t>vB, pS, mE 151°</t>
  </si>
  <si>
    <t>NGC4112</t>
  </si>
  <si>
    <t>12h7m9.2s</t>
  </si>
  <si>
    <t>-40h12m28s</t>
  </si>
  <si>
    <t>faint, small, very little extended, gradually a little brighter middle, 3 bright stars near</t>
  </si>
  <si>
    <t>F, S, vlE, glbM, 3 B st nr</t>
  </si>
  <si>
    <t>NGC4113</t>
  </si>
  <si>
    <t>12h7m8.5s</t>
  </si>
  <si>
    <t>+32h59m46s</t>
  </si>
  <si>
    <t>NGC4114</t>
  </si>
  <si>
    <t>12h7m12.2s</t>
  </si>
  <si>
    <t>-14h11m5s</t>
  </si>
  <si>
    <t>cnsiderably faint, small, irregularly round, gradually brighter middle</t>
  </si>
  <si>
    <t>cF, S, iR, gbM</t>
  </si>
  <si>
    <t>NGC4115</t>
  </si>
  <si>
    <t>12h7m9.4s</t>
  </si>
  <si>
    <t>+14h24m25s</t>
  </si>
  <si>
    <t>NGC4116</t>
  </si>
  <si>
    <t>12h7m37s</t>
  </si>
  <si>
    <t>+2h41m28s</t>
  </si>
  <si>
    <t>very faint, extended (hook shape), southwestern of 2</t>
  </si>
  <si>
    <t>vF, E (hook shape), sp of 2</t>
  </si>
  <si>
    <t>NGC4117</t>
  </si>
  <si>
    <t>12h7m46.1s</t>
  </si>
  <si>
    <t>+43h7m35s</t>
  </si>
  <si>
    <t>NGC4118</t>
  </si>
  <si>
    <t>12h7m52.9s</t>
  </si>
  <si>
    <t>+43h6m41s</t>
  </si>
  <si>
    <t>extremely faint, very small, 1 arcmin south of III 708</t>
  </si>
  <si>
    <t>eF, vS, 1' s of III 708</t>
  </si>
  <si>
    <t>NGC4119</t>
  </si>
  <si>
    <t>12h8m9.5s</t>
  </si>
  <si>
    <t>+10h22m44s</t>
  </si>
  <si>
    <t>a little extended</t>
  </si>
  <si>
    <t>lE</t>
  </si>
  <si>
    <t>NGC4120</t>
  </si>
  <si>
    <t>12h8m31.4s</t>
  </si>
  <si>
    <t>+69h32m40s</t>
  </si>
  <si>
    <t>NGC4121</t>
  </si>
  <si>
    <t>12h7m56.5s</t>
  </si>
  <si>
    <t>+65h6m52s</t>
  </si>
  <si>
    <t>faint, very small, a little extended, mottled but not resolved</t>
  </si>
  <si>
    <t>F, vS, lE, r</t>
  </si>
  <si>
    <t>NGC4122</t>
  </si>
  <si>
    <t>eF, vS, R, mbM</t>
  </si>
  <si>
    <t>NGC4123</t>
  </si>
  <si>
    <t>12h8m11.2s</t>
  </si>
  <si>
    <t>+2h52m42s</t>
  </si>
  <si>
    <t>considerably faint, very large, extended 90°±, brighter middle and nucleus</t>
  </si>
  <si>
    <t>cF, vL, E 90° ±, bMN</t>
  </si>
  <si>
    <t>NGC4124</t>
  </si>
  <si>
    <t>pB, pL, mE 118°, bM, r</t>
  </si>
  <si>
    <t>NGC4125</t>
  </si>
  <si>
    <t>E6/P</t>
  </si>
  <si>
    <t>12h8m5.5s</t>
  </si>
  <si>
    <t>+65h10m28s</t>
  </si>
  <si>
    <t>pretty bright, pretty large, considerably extended, much brighter middle (Auwers 28)</t>
  </si>
  <si>
    <t>pB, pL, cE, mbM (Auw 28)</t>
  </si>
  <si>
    <t>NGC4126</t>
  </si>
  <si>
    <t>12h8m37.4s</t>
  </si>
  <si>
    <t>+16h8m35s</t>
  </si>
  <si>
    <t>very faint, small, round, pretty suddenly a little brighter middle, between 2 very small (faint) stars</t>
  </si>
  <si>
    <t>vF, S, R, pslbM, bet 2 vS st</t>
  </si>
  <si>
    <t>NGC4127</t>
  </si>
  <si>
    <t>12h8m25.8s</t>
  </si>
  <si>
    <t>+76h48m16s</t>
  </si>
  <si>
    <t>faint, pretty large, very little extended, gradually a little brighter middle</t>
  </si>
  <si>
    <t>F, pL, vlE, glbM</t>
  </si>
  <si>
    <t>NGC4128</t>
  </si>
  <si>
    <t>12h8m32.2s</t>
  </si>
  <si>
    <t>+68h46m5s</t>
  </si>
  <si>
    <t>considerably bright, a little extended, brighter middle</t>
  </si>
  <si>
    <t>cB, lE, bM</t>
  </si>
  <si>
    <t>NGC4129</t>
  </si>
  <si>
    <t>12h8m53.2s</t>
  </si>
  <si>
    <t>-9h2m12s</t>
  </si>
  <si>
    <t>faint, pretty large, pretty much extended 95°±, very gradually a little brighter middle</t>
  </si>
  <si>
    <t>F, pL, pmE 95° ±, vglbM</t>
  </si>
  <si>
    <t>NGC4130</t>
  </si>
  <si>
    <t>pE, lbM, * 13 p 5'</t>
  </si>
  <si>
    <t>NGC4131</t>
  </si>
  <si>
    <t>12h8m47.1s</t>
  </si>
  <si>
    <t>+29h18m17s</t>
  </si>
  <si>
    <t>considerably faint, small, round, 1st of 3</t>
  </si>
  <si>
    <t>cF, S, R, 1st of 3</t>
  </si>
  <si>
    <t>NGC4132</t>
  </si>
  <si>
    <t>12h9m1.5s</t>
  </si>
  <si>
    <t>+29h15m1s</t>
  </si>
  <si>
    <t>considerably faint, small, irregularly round, 2nd of 3</t>
  </si>
  <si>
    <t>cF, S, iR, 2nd of 3</t>
  </si>
  <si>
    <t>NGC4133</t>
  </si>
  <si>
    <t>12h8m49.3s</t>
  </si>
  <si>
    <t>+74h54m16s</t>
  </si>
  <si>
    <t>pretty bright, considerably large, round, gradually much brighter middle</t>
  </si>
  <si>
    <t>pB, cL, R, gmbM</t>
  </si>
  <si>
    <t>NGC4134</t>
  </si>
  <si>
    <t>12h9m9.9s</t>
  </si>
  <si>
    <t>+29h10m37s</t>
  </si>
  <si>
    <t>pretty faint, pretty large, a little extended, 3rd of 3</t>
  </si>
  <si>
    <t>pF, pL, lE, 3rd of 3</t>
  </si>
  <si>
    <t>NGC4135</t>
  </si>
  <si>
    <t>12h9m8.8s</t>
  </si>
  <si>
    <t>+44h0m13s</t>
  </si>
  <si>
    <t>very faint, pretty small, round, 2 faint stars involved</t>
  </si>
  <si>
    <t>vF, pS, R, 2 F st inv</t>
  </si>
  <si>
    <t>NGC4136</t>
  </si>
  <si>
    <t>12h9m17.8s</t>
  </si>
  <si>
    <t>+29h55m40s</t>
  </si>
  <si>
    <t>faint, very large, very gradually much brighter middle</t>
  </si>
  <si>
    <t>F, vL, vgmbM</t>
  </si>
  <si>
    <t>NGC4137</t>
  </si>
  <si>
    <t>12h9m17.4s</t>
  </si>
  <si>
    <t>+44h5m24s</t>
  </si>
  <si>
    <t>very faint, pretty small, round, a little fainter than the southwestern one</t>
  </si>
  <si>
    <t>vF, pS, R, 1 fainter than sp one</t>
  </si>
  <si>
    <t>NGC4138</t>
  </si>
  <si>
    <t>12h9m29.7s</t>
  </si>
  <si>
    <t>+43h41m8s</t>
  </si>
  <si>
    <t>bright, pretty large, a little extended, very gradually brighter middle, star to northwest</t>
  </si>
  <si>
    <t>B, pL, lE, vgbM, * np</t>
  </si>
  <si>
    <t>NGC4139</t>
  </si>
  <si>
    <t>12h4m34s</t>
  </si>
  <si>
    <t>+1h48m5s</t>
  </si>
  <si>
    <t>faint, small, difficult, western of double nebula</t>
  </si>
  <si>
    <t>F, S, diffic, p of D neb</t>
  </si>
  <si>
    <t>NGC4140</t>
  </si>
  <si>
    <t>faint, small, difficult, eastern of double nebula</t>
  </si>
  <si>
    <t>F, S, diffic, f of D neb</t>
  </si>
  <si>
    <t>NGC4141</t>
  </si>
  <si>
    <t>12h9m47.4s</t>
  </si>
  <si>
    <t>+58h50m58s</t>
  </si>
  <si>
    <t>very faint, pretty small, a little extended, gradually brighter middle, mottled but not resolved</t>
  </si>
  <si>
    <t>vF, pS, lE, gbM, r</t>
  </si>
  <si>
    <t>NGC4142</t>
  </si>
  <si>
    <t>12h9m30.2s</t>
  </si>
  <si>
    <t>+53h6m14s</t>
  </si>
  <si>
    <t>very faint, small, irregular figure, very gradually a little brighter middle, extremely mottled but not resolved</t>
  </si>
  <si>
    <t>vF, S, iF, vglbM, er</t>
  </si>
  <si>
    <t>NGC4143</t>
  </si>
  <si>
    <t>12h9m36.2s</t>
  </si>
  <si>
    <t>+42h32m4s</t>
  </si>
  <si>
    <t>considerably bright, round, very gradually then very suddenly brighter middle and nucleus</t>
  </si>
  <si>
    <t>cB, R, vg, vsbMN</t>
  </si>
  <si>
    <t>NGC4144</t>
  </si>
  <si>
    <t>12h9m59.3s</t>
  </si>
  <si>
    <t>+46h27m26s</t>
  </si>
  <si>
    <t>pretty faint, considerably large, very much extended 109°, very gradually brighter middle</t>
  </si>
  <si>
    <t>pF, cL, vmE 109°, vgbM</t>
  </si>
  <si>
    <t>NGC4145</t>
  </si>
  <si>
    <t>12h10m1.7s</t>
  </si>
  <si>
    <t>+39h52m58s</t>
  </si>
  <si>
    <t>bright, very large, very gradually a little brighter middle</t>
  </si>
  <si>
    <t>B, vL, vglbM</t>
  </si>
  <si>
    <t>NGC4146</t>
  </si>
  <si>
    <t>12h10m18.2s</t>
  </si>
  <si>
    <t>+26h25m52s</t>
  </si>
  <si>
    <t>NGC4147</t>
  </si>
  <si>
    <t>踢罐星团</t>
  </si>
  <si>
    <t>12h10m6.2s</t>
  </si>
  <si>
    <t>+18h32m33s</t>
  </si>
  <si>
    <t>a globular cluster, very bright, pretty large, round, gradually brighter middle, well resolved, clearly consisting of stars</t>
  </si>
  <si>
    <t>globular, vB, pL, R, gbM, rrr</t>
  </si>
  <si>
    <t>NGC4148</t>
  </si>
  <si>
    <t>12h10m7.9s</t>
  </si>
  <si>
    <t>+35h52m42s</t>
  </si>
  <si>
    <t>faint, small, 12th magnitude star to southeast</t>
  </si>
  <si>
    <t>F, S, * 12 sf</t>
  </si>
  <si>
    <t>NGC4149</t>
  </si>
  <si>
    <t>12h10m32.8s</t>
  </si>
  <si>
    <t>+58h18m14s</t>
  </si>
  <si>
    <t>NGC4150</t>
  </si>
  <si>
    <t>12h10m33.6s</t>
  </si>
  <si>
    <t>+30h24m7s</t>
  </si>
  <si>
    <t>bright, small, round, pretty gradually much brighter middle</t>
  </si>
  <si>
    <t>B, S, R, pgmbM</t>
  </si>
  <si>
    <t>NGC4151</t>
  </si>
  <si>
    <t>12h10m32.3s</t>
  </si>
  <si>
    <t>+39h24m24s</t>
  </si>
  <si>
    <t>very bright, small, round, very suddenly much brighter middle and bright nucleus, western of 2</t>
  </si>
  <si>
    <t>vB, S, R, vsmbMBN, p of 2</t>
  </si>
  <si>
    <t>NGC4152</t>
  </si>
  <si>
    <t>12h10m37.5s</t>
  </si>
  <si>
    <t>+16h1m59s</t>
  </si>
  <si>
    <t>pretty bright, pretty large, round, pretty gradually much brighter middle, mottled but not resolved</t>
  </si>
  <si>
    <t>pB, pL, R, pgmbM, r</t>
  </si>
  <si>
    <t>NGC4153</t>
  </si>
  <si>
    <t>bright, pretty large, extended, brighter middle</t>
  </si>
  <si>
    <t>B, pL, E, bM</t>
  </si>
  <si>
    <t>NGC4154</t>
  </si>
  <si>
    <t>very faint, small, extended 90°±</t>
  </si>
  <si>
    <t>vF, S, E 90° ±</t>
  </si>
  <si>
    <t>NGC4155</t>
  </si>
  <si>
    <t>12h10m45.6s</t>
  </si>
  <si>
    <t>+19h2m28s</t>
  </si>
  <si>
    <t>NGC4156</t>
  </si>
  <si>
    <t>12h10m49.4s</t>
  </si>
  <si>
    <t>+39h28m23s</t>
  </si>
  <si>
    <t>pretty faint, small, extended, very gradually brighter middle, eastern of 2</t>
  </si>
  <si>
    <t>pF, S, E, vgbM, f of 2</t>
  </si>
  <si>
    <t>NGC4157</t>
  </si>
  <si>
    <t>12h11m4.4s</t>
  </si>
  <si>
    <t>+50h29m5s</t>
  </si>
  <si>
    <t>pretty faint, considerably large, very much extended 60°± (double?)</t>
  </si>
  <si>
    <t>pF, cL, vmE 60° ± (double?)</t>
  </si>
  <si>
    <t>NGC4158</t>
  </si>
  <si>
    <t>12h11m10.2s</t>
  </si>
  <si>
    <t>+20h10m33s</t>
  </si>
  <si>
    <t>faint, pretty small, a little extended, brighter middle, pretty bright star to southeast</t>
  </si>
  <si>
    <t>F, pS, lE, bM, pB * sf</t>
  </si>
  <si>
    <t>NGC4159</t>
  </si>
  <si>
    <t>12h10m53.3s</t>
  </si>
  <si>
    <t>+76h7m35s</t>
  </si>
  <si>
    <t>extremely faint, pretty small, round, in a triangle with 2 stars</t>
  </si>
  <si>
    <t>eF, pS, R, Δ 2 st</t>
  </si>
  <si>
    <t>NGC4160</t>
  </si>
  <si>
    <t>12h12m11.6s</t>
  </si>
  <si>
    <t>+43h44m18s</t>
  </si>
  <si>
    <t>NGC4161</t>
  </si>
  <si>
    <t>12h11m32.9s</t>
  </si>
  <si>
    <t>+57h44m15s</t>
  </si>
  <si>
    <t>NGC4162</t>
  </si>
  <si>
    <t>12h11m52.5s</t>
  </si>
  <si>
    <t>+24h7m26s</t>
  </si>
  <si>
    <t>bright, large, irregularly extended, brighter middle</t>
  </si>
  <si>
    <t>B, L, iE, bM</t>
  </si>
  <si>
    <t>NGC4163</t>
  </si>
  <si>
    <t>12h12m9s</t>
  </si>
  <si>
    <t>+36h10m7s</t>
  </si>
  <si>
    <t>bright, very large, very much extended 152°, very suddenly very much brighter middle</t>
  </si>
  <si>
    <t>vF, pL, vlE, er</t>
  </si>
  <si>
    <t>NGC4164</t>
  </si>
  <si>
    <t>12h12m5.4s</t>
  </si>
  <si>
    <t>+13h12m21s</t>
  </si>
  <si>
    <t>vF, 2'-3' s of 5625</t>
  </si>
  <si>
    <t>NGC4165</t>
  </si>
  <si>
    <t>12h12m11.8s</t>
  </si>
  <si>
    <t>+13h14m46s</t>
  </si>
  <si>
    <t>extremely faint, 10th magnitude star to northwest, h1119 (= NGC 4168) to the east</t>
  </si>
  <si>
    <t>eF, * 10 np, h 1119 f</t>
  </si>
  <si>
    <t>NGC4166</t>
  </si>
  <si>
    <t>12h12m9.7s</t>
  </si>
  <si>
    <t>+17h45m26s</t>
  </si>
  <si>
    <t>NGC4167</t>
  </si>
  <si>
    <t>F, pL, R, vgbM, ** sp 10'</t>
  </si>
  <si>
    <t>NGC4168</t>
  </si>
  <si>
    <t>12h12m17.2s</t>
  </si>
  <si>
    <t>+13h12m16s</t>
  </si>
  <si>
    <t>pretty bright, pretty large, irregular figure, pretty suddenly brighter middle, mottled but not resolved, star involved</t>
  </si>
  <si>
    <t>pB, pL, iF, psbM, r, * inv</t>
  </si>
  <si>
    <t>NGC4169</t>
  </si>
  <si>
    <t>方盒星系群</t>
  </si>
  <si>
    <t>12h12m18.7s</t>
  </si>
  <si>
    <t>+29h10m46s</t>
  </si>
  <si>
    <t>faint, small, 1st of 4</t>
  </si>
  <si>
    <t>F, S, 1st of 4</t>
  </si>
  <si>
    <t>NGC4170</t>
  </si>
  <si>
    <t>12h12m12.9s</t>
  </si>
  <si>
    <t>+29h10m2s</t>
  </si>
  <si>
    <t>eF, very near h 1120, 21, 22, 24</t>
  </si>
  <si>
    <t>NGC4171</t>
  </si>
  <si>
    <t>12h12m38.3s</t>
  </si>
  <si>
    <t>+29h13m30s</t>
  </si>
  <si>
    <t>NGC4172</t>
  </si>
  <si>
    <t>12h12m14.7s</t>
  </si>
  <si>
    <t>+56h10m35s</t>
  </si>
  <si>
    <t>NGC4173</t>
  </si>
  <si>
    <t>12h12m21.5s</t>
  </si>
  <si>
    <t>+29h12m26s</t>
  </si>
  <si>
    <t>faint, small, 2nd of 4</t>
  </si>
  <si>
    <t>F, S, 2nd of 4</t>
  </si>
  <si>
    <t>NGC4174</t>
  </si>
  <si>
    <t>12h12m26.9s</t>
  </si>
  <si>
    <t>+29h8m57s</t>
  </si>
  <si>
    <t>NGC4175</t>
  </si>
  <si>
    <t>12h12m31s</t>
  </si>
  <si>
    <t>+29h10m7s</t>
  </si>
  <si>
    <t>faint, extremely small, 4th of 4</t>
  </si>
  <si>
    <t>F, eS, 4th of 4</t>
  </si>
  <si>
    <t>NGC4176</t>
  </si>
  <si>
    <t>12h12m36.8s</t>
  </si>
  <si>
    <t>-9h9m37s</t>
  </si>
  <si>
    <t>eF, vS, R, slbM, * 10</t>
  </si>
  <si>
    <t>NGC4177</t>
  </si>
  <si>
    <t>12h12m41.2s</t>
  </si>
  <si>
    <t>-14h0m50s</t>
  </si>
  <si>
    <t>very faint, pretty large, round, very gradually brighter middle</t>
  </si>
  <si>
    <t>vF, pL, R, vgbM</t>
  </si>
  <si>
    <t>NGC4178</t>
  </si>
  <si>
    <t>12h12m46.2s</t>
  </si>
  <si>
    <t>+10h51m51s</t>
  </si>
  <si>
    <t>very faint, very large, extended 45°±, 7th magnitude star to east</t>
  </si>
  <si>
    <t>vF, vL, E 45° ±, * 7 f</t>
  </si>
  <si>
    <t>NGC4179</t>
  </si>
  <si>
    <t>12h12m52.1s</t>
  </si>
  <si>
    <t>+1h17m59s</t>
  </si>
  <si>
    <t>pretty bright, pretty small, pretty much extended 135°±, brighter middle and nucleus</t>
  </si>
  <si>
    <t>pB, pS, pmE 135° ±, bMN</t>
  </si>
  <si>
    <t>NGC4180</t>
  </si>
  <si>
    <t>12h13m3s</t>
  </si>
  <si>
    <t>+7h2m22s</t>
  </si>
  <si>
    <t>pretty faint, small, a little extended 0°±, mottled but not resolved</t>
  </si>
  <si>
    <t>pF, S, lE 0° ±, r</t>
  </si>
  <si>
    <t>NGC4181</t>
  </si>
  <si>
    <t>12h12m48.9s</t>
  </si>
  <si>
    <t>+52h54m14s</t>
  </si>
  <si>
    <t>NGC4182</t>
  </si>
  <si>
    <t>12h13m19.8s</t>
  </si>
  <si>
    <t>+4h2m10s</t>
  </si>
  <si>
    <t>vS (? vS Cl)</t>
  </si>
  <si>
    <t>NGC4183</t>
  </si>
  <si>
    <t>12h13m16.8s</t>
  </si>
  <si>
    <t>+43h41m53s</t>
  </si>
  <si>
    <t>vF, cL, mE 170° ±</t>
  </si>
  <si>
    <t>NGC4184</t>
  </si>
  <si>
    <t>12h13m32.5s</t>
  </si>
  <si>
    <t>-62h42m47s</t>
  </si>
  <si>
    <t>a cluster, much compressed, stars extremely small (faint)</t>
  </si>
  <si>
    <t>Cl, mC, st eS</t>
  </si>
  <si>
    <t>NGC4185</t>
  </si>
  <si>
    <t>12h13m22.2s</t>
  </si>
  <si>
    <t>+28h30m37s</t>
  </si>
  <si>
    <t>considerably faint, large, round, gradually brighter middle</t>
  </si>
  <si>
    <t>cF, L, R, gbM</t>
  </si>
  <si>
    <t>NGC4186</t>
  </si>
  <si>
    <t>12h14m6.4s</t>
  </si>
  <si>
    <t>+14h43m33s</t>
  </si>
  <si>
    <t>pF, S, R, sp M 98</t>
  </si>
  <si>
    <t>NGC4187</t>
  </si>
  <si>
    <t>12h13m29.3s</t>
  </si>
  <si>
    <t>+50h44m30s</t>
  </si>
  <si>
    <t>pretty bright, small, a little extended</t>
  </si>
  <si>
    <t>pB, S, lE</t>
  </si>
  <si>
    <t>NGC4188</t>
  </si>
  <si>
    <t>12h14m7.4s</t>
  </si>
  <si>
    <t>-12h35m10s</t>
  </si>
  <si>
    <t>NGC4189</t>
  </si>
  <si>
    <t>12h13m47.2s</t>
  </si>
  <si>
    <t>+13h25m29s</t>
  </si>
  <si>
    <t>faint, large, a little extended, very gradually a little brighter middle, mottled but not resolved</t>
  </si>
  <si>
    <t>F, L, lE, vglbM, r</t>
  </si>
  <si>
    <t>NGC4190</t>
  </si>
  <si>
    <t>12h13m44.4s</t>
  </si>
  <si>
    <t>+36h38m1s</t>
  </si>
  <si>
    <t>considerably faint, pretty small, round, very gradually a little brighter middle, mottled but not resolved</t>
  </si>
  <si>
    <t>cF, pS, R, vglbM, r</t>
  </si>
  <si>
    <t>NGC4191</t>
  </si>
  <si>
    <t>12h13m50.3s</t>
  </si>
  <si>
    <t>+7h12m3s</t>
  </si>
  <si>
    <t>cF, R, bM, Near S *</t>
  </si>
  <si>
    <t>NGC4192</t>
  </si>
  <si>
    <t>12h13m47.8s</t>
  </si>
  <si>
    <t>+14h53m58s</t>
  </si>
  <si>
    <t>B, vL, vmE 152°, vsvmbM</t>
  </si>
  <si>
    <t>NGC4193</t>
  </si>
  <si>
    <t>12h13m53.4s</t>
  </si>
  <si>
    <t>+13h10m22s</t>
  </si>
  <si>
    <t>very faint, pretty large, extended, very gradually brighter middle</t>
  </si>
  <si>
    <t>vF, pL, E, vgbM</t>
  </si>
  <si>
    <t>NGC4194</t>
  </si>
  <si>
    <t>美杜莎星系</t>
  </si>
  <si>
    <t>12h14m9.7s</t>
  </si>
  <si>
    <t>+54h31m35s</t>
  </si>
  <si>
    <t>pretty bright, very small, very suddenly much brighter middle equal to 12th magnitude star</t>
  </si>
  <si>
    <t>pB, vS, vsbM * 12</t>
  </si>
  <si>
    <t>NGC4195</t>
  </si>
  <si>
    <t>12h14m18.1s</t>
  </si>
  <si>
    <t>+59h36m56s</t>
  </si>
  <si>
    <t>NGC4196</t>
  </si>
  <si>
    <t>12h14m29.6s</t>
  </si>
  <si>
    <t>+28h25m25s</t>
  </si>
  <si>
    <t>pB, S, R, vsmbM *</t>
  </si>
  <si>
    <t>NGC4197</t>
  </si>
  <si>
    <t>12h14m38.6s</t>
  </si>
  <si>
    <t>+5h48m22s</t>
  </si>
  <si>
    <t>pretty faint, pretty much extended, very gradually brighter middle</t>
  </si>
  <si>
    <t>pF, pmE, vgbM</t>
  </si>
  <si>
    <t>NGC4198</t>
  </si>
  <si>
    <t>12h14m21.8s</t>
  </si>
  <si>
    <t>+56h0m42s</t>
  </si>
  <si>
    <t>pretty faint, pretty small, a little extended, gradually brighter middle</t>
  </si>
  <si>
    <t>pF, pS, lE, gbM</t>
  </si>
  <si>
    <t>NGC4199</t>
  </si>
  <si>
    <t>12h14m48.6s</t>
  </si>
  <si>
    <t>+59h54m23s</t>
  </si>
  <si>
    <t>NGC4200</t>
  </si>
  <si>
    <t>12h14m44.3s</t>
  </si>
  <si>
    <t>+12h10m51s</t>
  </si>
  <si>
    <t>considerably faint, a little extended, a little brighter middle</t>
  </si>
  <si>
    <t>cF, lE, lbM</t>
  </si>
  <si>
    <t>NGC4201</t>
  </si>
  <si>
    <t>12h14m41.9s</t>
  </si>
  <si>
    <t>-11h35m0s</t>
  </si>
  <si>
    <t>NGC4202</t>
  </si>
  <si>
    <t>12h18m8.5s</t>
  </si>
  <si>
    <t>-1h3m50s</t>
  </si>
  <si>
    <t>faint, irregular, cometary, faint star 1 arcmin to northeast</t>
  </si>
  <si>
    <t>F, irr, cometary, F * 1' nf</t>
  </si>
  <si>
    <t>NGC4203</t>
  </si>
  <si>
    <t>12h15m5s</t>
  </si>
  <si>
    <t>+33h11m51s</t>
  </si>
  <si>
    <t>NGC4204</t>
  </si>
  <si>
    <t>12h15m14.2s</t>
  </si>
  <si>
    <t>+20h39m32s</t>
  </si>
  <si>
    <t>very faint, considerably large, irregularly round, very gradually brighter middle</t>
  </si>
  <si>
    <t>vF, cL, iR, vgbM</t>
  </si>
  <si>
    <t>NGC4205</t>
  </si>
  <si>
    <t>12h14m55.3s</t>
  </si>
  <si>
    <t>+63h46m56s</t>
  </si>
  <si>
    <t>pB, pS, R, * 12 f, ln</t>
  </si>
  <si>
    <t>NGC4206</t>
  </si>
  <si>
    <t>12h15m16.7s</t>
  </si>
  <si>
    <t>+13h1m22s</t>
  </si>
  <si>
    <t>faint, very much extended</t>
  </si>
  <si>
    <t>F, vmE</t>
  </si>
  <si>
    <t>NGC4207</t>
  </si>
  <si>
    <t>12h15m30.1s</t>
  </si>
  <si>
    <t>+9h35m8s</t>
  </si>
  <si>
    <t>pretty faint, pretty small, a little extended, 14th magnitude star to northwest</t>
  </si>
  <si>
    <t>pF, pS, lE, * 14 np</t>
  </si>
  <si>
    <t>NGC4208</t>
  </si>
  <si>
    <t>12h15m39.2s</t>
  </si>
  <si>
    <t>+13h54m7s</t>
  </si>
  <si>
    <t>very faint, pretty large, round, gradually brighter middle (perhaps = h1144)</t>
  </si>
  <si>
    <t>vF, pL, R, gbM (?=h 1144)</t>
  </si>
  <si>
    <t>NGC4209</t>
  </si>
  <si>
    <t>12h15m40.9s</t>
  </si>
  <si>
    <t>+28h28m14s</t>
  </si>
  <si>
    <t>NGC4210</t>
  </si>
  <si>
    <t>12h15m15.8s</t>
  </si>
  <si>
    <t>+65h59m10s</t>
  </si>
  <si>
    <t>pretty faint, pretty small, round, very gradually brighter middle</t>
  </si>
  <si>
    <t>pF, pS, R, vgbM</t>
  </si>
  <si>
    <t>NGC4211</t>
  </si>
  <si>
    <t>12h15m35.8s</t>
  </si>
  <si>
    <t>+28h10m39s</t>
  </si>
  <si>
    <t>very faint, extremely small, much brighter middle</t>
  </si>
  <si>
    <t>vF, eS, mbM</t>
  </si>
  <si>
    <t>NGC4212</t>
  </si>
  <si>
    <t>bright, large, extended 107°, gradually then suddenly bright middle, mottled but not resolved</t>
  </si>
  <si>
    <t>B, L, E 107°, g, sbM, r</t>
  </si>
  <si>
    <t>NGC4213</t>
  </si>
  <si>
    <t>12h15m37.5s</t>
  </si>
  <si>
    <t>+23h58m55s</t>
  </si>
  <si>
    <t>considerably faint, very small, round</t>
  </si>
  <si>
    <t>cF, vS, R</t>
  </si>
  <si>
    <t>NGC4214</t>
  </si>
  <si>
    <t>12h15m38.8s</t>
  </si>
  <si>
    <t>+36h19m39s</t>
  </si>
  <si>
    <t>considerably bright, considerably large, irregularly extended, binuclear</t>
  </si>
  <si>
    <t>cB, cL, iE, biN</t>
  </si>
  <si>
    <t>NGC4215</t>
  </si>
  <si>
    <t>12h15m54.6s</t>
  </si>
  <si>
    <t>+6h24m3s</t>
  </si>
  <si>
    <t>B, pS, E, sbM * 11</t>
  </si>
  <si>
    <t>NGC4216</t>
  </si>
  <si>
    <t>银纹星系</t>
  </si>
  <si>
    <t>12h15m54s</t>
  </si>
  <si>
    <t>+13h8m52s</t>
  </si>
  <si>
    <t>very bright, very large, very much extended 17°, suddenly brighter middle and nucleus</t>
  </si>
  <si>
    <t>vB, vL, vmE 17°, sbMN</t>
  </si>
  <si>
    <t>NGC4217</t>
  </si>
  <si>
    <t>12h15m50.6s</t>
  </si>
  <si>
    <t>+47h5m24s</t>
  </si>
  <si>
    <t>pF, L, mE 45°, ** n, p of 2</t>
  </si>
  <si>
    <t>NGC4218</t>
  </si>
  <si>
    <t>12h15m46s</t>
  </si>
  <si>
    <t>+48h7m54s</t>
  </si>
  <si>
    <t>NGC4219</t>
  </si>
  <si>
    <t>12h16m27.4s</t>
  </si>
  <si>
    <t>-43h19m21s</t>
  </si>
  <si>
    <t>pretty faint, pretty large, pretty much extended, very gradually a little brighter middle</t>
  </si>
  <si>
    <t>pF, pL, pmE, vglbM</t>
  </si>
  <si>
    <t>NGC4220</t>
  </si>
  <si>
    <t>12h16m11.8s</t>
  </si>
  <si>
    <t>+47h52m59s</t>
  </si>
  <si>
    <t>cB, pL, pmE 134°, psbM</t>
  </si>
  <si>
    <t>NGC4221</t>
  </si>
  <si>
    <t>12h16m0s</t>
  </si>
  <si>
    <t>+66h13m53s</t>
  </si>
  <si>
    <t>NGC4222</t>
  </si>
  <si>
    <t>12h16m22.6s</t>
  </si>
  <si>
    <t>+13h18m25s</t>
  </si>
  <si>
    <t>NGC4223</t>
  </si>
  <si>
    <t>12h17m25.8s</t>
  </si>
  <si>
    <t>+6h41m22s</t>
  </si>
  <si>
    <t>pretty faint, pretty large, round, mottled but not resolved (RA uncertain by 10m)</t>
  </si>
  <si>
    <t>pF, pL, R, r (? RA 10m)</t>
  </si>
  <si>
    <t>NGC4224</t>
  </si>
  <si>
    <t>12h16m33.9s</t>
  </si>
  <si>
    <t>+7h27m44s</t>
  </si>
  <si>
    <t>pretty bright, pretty small, a little extended, gradually brighter middle, mottled but not resolved</t>
  </si>
  <si>
    <t>pB, pS, lE, gbM, r</t>
  </si>
  <si>
    <t>NGC4225</t>
  </si>
  <si>
    <t>12h16m38.3s</t>
  </si>
  <si>
    <t>-12h19m37s</t>
  </si>
  <si>
    <t>F, eS, R, * 170°, 60"</t>
  </si>
  <si>
    <t>NGC4226</t>
  </si>
  <si>
    <t>12h16m26.3s</t>
  </si>
  <si>
    <t>+47h1m32s</t>
  </si>
  <si>
    <t>faint, small, a little extended, eastern of 2</t>
  </si>
  <si>
    <t>F, S, lE, f of 2</t>
  </si>
  <si>
    <t>NGC4227</t>
  </si>
  <si>
    <t>12h16m33.7s</t>
  </si>
  <si>
    <t>+33h31m20s</t>
  </si>
  <si>
    <t>faint, very small, very little extended, pretty suddenly brighter middle, southwestern of 2</t>
  </si>
  <si>
    <t>F, vS, vlE, psbM, sp of 2</t>
  </si>
  <si>
    <t>NGC4228</t>
  </si>
  <si>
    <t>very faint, large, round, gradually brighter middle (possibly = h1146)</t>
  </si>
  <si>
    <t>vF, L, R, gbM [?=h 1146]</t>
  </si>
  <si>
    <t>NGC4229</t>
  </si>
  <si>
    <t>12h16m38.7s</t>
  </si>
  <si>
    <t>+33h33m40s</t>
  </si>
  <si>
    <t>considerably faint, very small, a little extended, pretty suddenly brighter middle, northeastern of 2</t>
  </si>
  <si>
    <t>cF, vS, lE, psbM, nf of 2</t>
  </si>
  <si>
    <t>NGC4230</t>
  </si>
  <si>
    <t>12h17m16s</t>
  </si>
  <si>
    <t>-55h5m12s</t>
  </si>
  <si>
    <t>cluster, faint, pretty large, irregular figure, stars from 13th to 15th magnitude</t>
  </si>
  <si>
    <t>Cl, F, pL, iF, st 13…15</t>
  </si>
  <si>
    <t>NGC4231</t>
  </si>
  <si>
    <t>12h16m48.9s</t>
  </si>
  <si>
    <t>+47h27m29s</t>
  </si>
  <si>
    <t>vF, vS, n of D neb</t>
  </si>
  <si>
    <t>NGC4232</t>
  </si>
  <si>
    <t>12h16m49s</t>
  </si>
  <si>
    <t>+47h26m20s</t>
  </si>
  <si>
    <t>vF, vS, s of D neb</t>
  </si>
  <si>
    <t>NGC4233</t>
  </si>
  <si>
    <t>12h17m7.6s</t>
  </si>
  <si>
    <t>+7h37m27s</t>
  </si>
  <si>
    <t>pretty faint, round, very suddenly brighter middle and small nucleus</t>
  </si>
  <si>
    <t>pF, R, vsbMSN</t>
  </si>
  <si>
    <t>NGC4234</t>
  </si>
  <si>
    <t>12h17m9.1s</t>
  </si>
  <si>
    <t>+3h41m0s</t>
  </si>
  <si>
    <t>pretty bright, large, round, gradually brighter middle</t>
  </si>
  <si>
    <t>pB, L, R, gbM</t>
  </si>
  <si>
    <t>NGC4235</t>
  </si>
  <si>
    <t>12h17m9.7s</t>
  </si>
  <si>
    <t>+7h11m27s</t>
  </si>
  <si>
    <t>pretty bright, pretty large, pretty much extended, brighter middle, western of 2</t>
  </si>
  <si>
    <t>pB, pL, pmE, bM, p of 2</t>
  </si>
  <si>
    <t>NGC4236</t>
  </si>
  <si>
    <t>12h16m43.3s</t>
  </si>
  <si>
    <t>+69h27m49s</t>
  </si>
  <si>
    <t>vF, eL, mE 160° ±, vgbM</t>
  </si>
  <si>
    <t>NGC4237</t>
  </si>
  <si>
    <t>12h17m11.4s</t>
  </si>
  <si>
    <t>+15h19m24s</t>
  </si>
  <si>
    <t>pretty bright, pretty large, a little extended, very gradually brighter middle, mottled but not resolved</t>
  </si>
  <si>
    <t>pB, pL, lE, vgbM, r</t>
  </si>
  <si>
    <t>NGC4238</t>
  </si>
  <si>
    <t>12h16m56s</t>
  </si>
  <si>
    <t>+63h24m38s</t>
  </si>
  <si>
    <t>NGC4239</t>
  </si>
  <si>
    <t>12h17m14.9s</t>
  </si>
  <si>
    <t>+16h31m54s</t>
  </si>
  <si>
    <t>NGC4240</t>
  </si>
  <si>
    <t>12h17m24.3s</t>
  </si>
  <si>
    <t>-9h57m6s</t>
  </si>
  <si>
    <t>pB, S, * 12 sp ?'</t>
  </si>
  <si>
    <t>NGC4241</t>
  </si>
  <si>
    <t>12h17m59.9s</t>
  </si>
  <si>
    <t>+6h39m15s</t>
  </si>
  <si>
    <t>very faint, large, very gradually brighter middle, 7th magnitude star to south</t>
  </si>
  <si>
    <t>vF, L, vgbM, * 7 s</t>
  </si>
  <si>
    <t>NGC4242</t>
  </si>
  <si>
    <t>12h17m30s</t>
  </si>
  <si>
    <t>+45h37m9s</t>
  </si>
  <si>
    <t>very faint, considerably large, irregularly round, very gradually brighter middle, mottled but not resolved</t>
  </si>
  <si>
    <t>vF, cL, iR, vgbM, r</t>
  </si>
  <si>
    <t>NGC4243</t>
  </si>
  <si>
    <t>pretty bright, extremely small, pretty bright star close to west</t>
  </si>
  <si>
    <t>pB, eS, pB * close p</t>
  </si>
  <si>
    <t>NGC4244</t>
  </si>
  <si>
    <t>12h17m29.9s</t>
  </si>
  <si>
    <t>+37h48m28s</t>
  </si>
  <si>
    <t>pB, vL, eE 43°, vgbM</t>
  </si>
  <si>
    <t>NGC4245</t>
  </si>
  <si>
    <t>12h17m36.9s</t>
  </si>
  <si>
    <t>+29h36m27s</t>
  </si>
  <si>
    <t>considerably bright, pretty large, very little extended, suddenly much brighter middle, mottled but not resolved</t>
  </si>
  <si>
    <t>cB, pL, vlE, smbM, r</t>
  </si>
  <si>
    <t>NGC4246</t>
  </si>
  <si>
    <t>12h17m58.1s</t>
  </si>
  <si>
    <t>+7h11m8s</t>
  </si>
  <si>
    <t>NGC4247</t>
  </si>
  <si>
    <t>12h17m57.9s</t>
  </si>
  <si>
    <t>+7h16m28s</t>
  </si>
  <si>
    <t>F, S, R, bM, 6' n of III 91</t>
  </si>
  <si>
    <t>NGC4248</t>
  </si>
  <si>
    <t>12h17m50.4s</t>
  </si>
  <si>
    <t>+47h24m33s</t>
  </si>
  <si>
    <t>very faint, small, pretty much extended, pretty suddenly brighter middle</t>
  </si>
  <si>
    <t>vF, S, pmE, psbM</t>
  </si>
  <si>
    <t>NGC4249</t>
  </si>
  <si>
    <t>12h17m59.3s</t>
  </si>
  <si>
    <t>+5h35m57s</t>
  </si>
  <si>
    <t>NGC4250</t>
  </si>
  <si>
    <t>12h17m25.9s</t>
  </si>
  <si>
    <t>+70h48m10s</t>
  </si>
  <si>
    <t>pretty bright, small, round, pretty gradually brighter middle</t>
  </si>
  <si>
    <t>pB, S, R, pgbM</t>
  </si>
  <si>
    <t>NGC4251</t>
  </si>
  <si>
    <t>12h18m8.4s</t>
  </si>
  <si>
    <t>+28h10m31s</t>
  </si>
  <si>
    <t>vB, S, E, vsvmbMN, * 6·7 f 90s</t>
  </si>
  <si>
    <t>NGC4252</t>
  </si>
  <si>
    <t>12h18m30.9s</t>
  </si>
  <si>
    <t>+5h33m36s</t>
  </si>
  <si>
    <t>NGC4253</t>
  </si>
  <si>
    <t>12h18m26.4s</t>
  </si>
  <si>
    <t>+29h48m47s</t>
  </si>
  <si>
    <t>NGC4254</t>
  </si>
  <si>
    <t>室女座星系团风车</t>
  </si>
  <si>
    <t>12h18m49.3s</t>
  </si>
  <si>
    <t>+14h25m3s</t>
  </si>
  <si>
    <t>a very remarkable object, (per William and John Herschel) bright, large, round, gradually brighter middle, mottled but not resolved, (per the 3rd Lord Rosse and Leavenworth), 3 branched spiral</t>
  </si>
  <si>
    <t>!! (H, h) B, L, R, gbM, r, (R &amp; L) 3-branched spiral</t>
  </si>
  <si>
    <t>NGC4255</t>
  </si>
  <si>
    <t>12h18m56.1s</t>
  </si>
  <si>
    <t>+4h47m11s</t>
  </si>
  <si>
    <t>small, pretty much brighter middle</t>
  </si>
  <si>
    <t>S, pmbM</t>
  </si>
  <si>
    <t>NGC4256</t>
  </si>
  <si>
    <t>12h18m42.8s</t>
  </si>
  <si>
    <t>+65h53m54s</t>
  </si>
  <si>
    <t>pB, L, cE 38°, bMBN</t>
  </si>
  <si>
    <t>NGC4257</t>
  </si>
  <si>
    <t>12h19m6.5s</t>
  </si>
  <si>
    <t>vF, pS, R, * 18 s 2'</t>
  </si>
  <si>
    <t>NGC4258</t>
  </si>
  <si>
    <t>12h18m57.8s</t>
  </si>
  <si>
    <t>+47h18m25s</t>
  </si>
  <si>
    <t>very bright, very large, very much extended 0°, suddenly brighter middle and bright nucleus</t>
  </si>
  <si>
    <t>vB, vL, vmE 0°, sbMBN</t>
  </si>
  <si>
    <t>NGC4259</t>
  </si>
  <si>
    <t>12h19m22.1s</t>
  </si>
  <si>
    <t>+5h22m37s</t>
  </si>
  <si>
    <t>NGC4260</t>
  </si>
  <si>
    <t>12h19m22.2s</t>
  </si>
  <si>
    <t>+6h5m54s</t>
  </si>
  <si>
    <t>pretty bright, extended, pretty suddenly brighter middle</t>
  </si>
  <si>
    <t>pB, E, psbM</t>
  </si>
  <si>
    <t>NGC4261</t>
  </si>
  <si>
    <t>12h19m23.1s</t>
  </si>
  <si>
    <t>+5h49m28s</t>
  </si>
  <si>
    <t>NGC4262</t>
  </si>
  <si>
    <t>12h19m30.6s</t>
  </si>
  <si>
    <t>+14h52m40s</t>
  </si>
  <si>
    <t>bright, small, round, mottled but not resolved</t>
  </si>
  <si>
    <t>B, S, R, r</t>
  </si>
  <si>
    <t>NGC4263</t>
  </si>
  <si>
    <t>12h19m42.2s</t>
  </si>
  <si>
    <t>-12h13m32s</t>
  </si>
  <si>
    <t>faint, large, extended, very gradually brighter middle, western of 2</t>
  </si>
  <si>
    <t>NGC4264</t>
  </si>
  <si>
    <t>12h19m35.6s</t>
  </si>
  <si>
    <t>+5h50m49s</t>
  </si>
  <si>
    <t>NGC4265</t>
  </si>
  <si>
    <t>NGC4266</t>
  </si>
  <si>
    <t>12h19m42.1s</t>
  </si>
  <si>
    <t>+5h32m17s</t>
  </si>
  <si>
    <t>NGC4267</t>
  </si>
  <si>
    <t>12h19m45.3s</t>
  </si>
  <si>
    <t>+12h47m54s</t>
  </si>
  <si>
    <t>pretty bright, very small, round, very suddenly much brighter middle</t>
  </si>
  <si>
    <t>pB, vS, R, vsmbM</t>
  </si>
  <si>
    <t>NGC4268</t>
  </si>
  <si>
    <t>12h19m47.1s</t>
  </si>
  <si>
    <t>+5h17m3s</t>
  </si>
  <si>
    <t>pF, S, 2nd of 6 neb</t>
  </si>
  <si>
    <t>NGC4269</t>
  </si>
  <si>
    <t>12h19m49.2s</t>
  </si>
  <si>
    <t>+6h0m55s</t>
  </si>
  <si>
    <t>pF, S, R, * 9 f 1s.7, n 85"</t>
  </si>
  <si>
    <t>NGC4270</t>
  </si>
  <si>
    <t>12h19m49.4s</t>
  </si>
  <si>
    <t>+5h27m48s</t>
  </si>
  <si>
    <t>NGC4271</t>
  </si>
  <si>
    <t>12h19m32.7s</t>
  </si>
  <si>
    <t>+56h44m14s</t>
  </si>
  <si>
    <t>pretty bright, pretty large, irregular figure</t>
  </si>
  <si>
    <t>pB, pL, iF</t>
  </si>
  <si>
    <t>NGC4272</t>
  </si>
  <si>
    <t>12h19m47.6s</t>
  </si>
  <si>
    <t>+30h20m20s</t>
  </si>
  <si>
    <t>considerably faint, small, irregularly round, gradually much brighter middle</t>
  </si>
  <si>
    <t>cF, S, iR, gmbM</t>
  </si>
  <si>
    <t>NGC4273</t>
  </si>
  <si>
    <t>12h19m56s</t>
  </si>
  <si>
    <t>+5h20m37s</t>
  </si>
  <si>
    <t>pretty bright, large, extended, gradually brighter middle</t>
  </si>
  <si>
    <t>pB, L, E, gbM</t>
  </si>
  <si>
    <t>NGC4274</t>
  </si>
  <si>
    <t>12h19m50.8s</t>
  </si>
  <si>
    <t>+29h36m49s</t>
  </si>
  <si>
    <t>very bright, very large, extended 90°, much brighter middle and nucleus</t>
  </si>
  <si>
    <t>vB, vL, E 90°, mbMN</t>
  </si>
  <si>
    <t>NGC4275</t>
  </si>
  <si>
    <t>12h19m52.6s</t>
  </si>
  <si>
    <t>+27h37m16s</t>
  </si>
  <si>
    <t>faint, small, very little extended, gradually brighter middle, 15th magnitude star near</t>
  </si>
  <si>
    <t>F, S, vlE, gbM, * 15 nr</t>
  </si>
  <si>
    <t>NGC4276</t>
  </si>
  <si>
    <t>浮士德V023</t>
  </si>
  <si>
    <t>12h20m7.7s</t>
  </si>
  <si>
    <t>+7h41m29s</t>
  </si>
  <si>
    <t>NGC4277</t>
  </si>
  <si>
    <t>12h20m3.6s</t>
  </si>
  <si>
    <t>+5h20m31s</t>
  </si>
  <si>
    <t>NGC4278</t>
  </si>
  <si>
    <t>12h20m6.7s</t>
  </si>
  <si>
    <t>+29h16m49s</t>
  </si>
  <si>
    <t>very bright, pretty large, round, much brighter middle, mottled but not resolved, 1st of 3</t>
  </si>
  <si>
    <t>vB, pL, R, mbM, r, 1st of 3</t>
  </si>
  <si>
    <t>NGC4279</t>
  </si>
  <si>
    <t>12h20m24.9s</t>
  </si>
  <si>
    <t>-11h39m58s</t>
  </si>
  <si>
    <t>NGC4280</t>
  </si>
  <si>
    <t>12h20m31.9s</t>
  </si>
  <si>
    <t>-11h39m9s</t>
  </si>
  <si>
    <t>NGC4281</t>
  </si>
  <si>
    <t>12h20m21.6s</t>
  </si>
  <si>
    <t>+5h23m11s</t>
  </si>
  <si>
    <t>bright, very large, round, pretty gradually brighter middle</t>
  </si>
  <si>
    <t>B, vL, R, pgbM</t>
  </si>
  <si>
    <t>NGC4282</t>
  </si>
  <si>
    <t>12h20m24.2s</t>
  </si>
  <si>
    <t>+5h34m24s</t>
  </si>
  <si>
    <t>NGC4283</t>
  </si>
  <si>
    <t>12h20m20.6s</t>
  </si>
  <si>
    <t>+29h18m39s</t>
  </si>
  <si>
    <t>bright, small, round, brighter middle, 2nd of 3</t>
  </si>
  <si>
    <t>B, S, R, bM, 2nd of 3</t>
  </si>
  <si>
    <t>NGC4284</t>
  </si>
  <si>
    <t>12h20m12.8s</t>
  </si>
  <si>
    <t>+58h5m36s</t>
  </si>
  <si>
    <t>considerably faint, a little extended, western of 2</t>
  </si>
  <si>
    <t>cF, lE, p of 2</t>
  </si>
  <si>
    <t>NGC4285</t>
  </si>
  <si>
    <t>12h20m39.8s</t>
  </si>
  <si>
    <t>-11h38m32s</t>
  </si>
  <si>
    <t>NGC4286</t>
  </si>
  <si>
    <t>12h20m42.1s</t>
  </si>
  <si>
    <t>+29h20m44s</t>
  </si>
  <si>
    <t>very faint, 3rd of 3</t>
  </si>
  <si>
    <t>vF, 3rd of 3</t>
  </si>
  <si>
    <t>NGC4287</t>
  </si>
  <si>
    <t>12h20m48.4s</t>
  </si>
  <si>
    <t>+5h38m26s</t>
  </si>
  <si>
    <t>NGC4288</t>
  </si>
  <si>
    <t>12h20m38s</t>
  </si>
  <si>
    <t>+46h17m40s</t>
  </si>
  <si>
    <t>very faint, pretty small, round, very gradually brighter middle, mottled but not resolved</t>
  </si>
  <si>
    <t>vF, pS, R, vgbM, r</t>
  </si>
  <si>
    <t>NGC4289</t>
  </si>
  <si>
    <t>12h21m2.4s</t>
  </si>
  <si>
    <t>+3h43m22s</t>
  </si>
  <si>
    <t>vF, S, * 8.5 12s f</t>
  </si>
  <si>
    <t>NGC4290</t>
  </si>
  <si>
    <t>12h20m47.5s</t>
  </si>
  <si>
    <t>+58h5m33s</t>
  </si>
  <si>
    <t>NGC4291</t>
  </si>
  <si>
    <t>12h20m17.3s</t>
  </si>
  <si>
    <t>+75h22m16s</t>
  </si>
  <si>
    <t>pretty bright, very small, round, a little brighter middle, 3 stars to east</t>
  </si>
  <si>
    <t>pB, vS, R, lbM, 3 st f</t>
  </si>
  <si>
    <t>NGC4292</t>
  </si>
  <si>
    <t>12h21m16.4s</t>
  </si>
  <si>
    <t>+4h35m46s</t>
  </si>
  <si>
    <t>F, S, R, vglbM, * 9 np 72"</t>
  </si>
  <si>
    <t>NGC4293</t>
  </si>
  <si>
    <t>12h21m12.9s</t>
  </si>
  <si>
    <t>+18h22m58s</t>
  </si>
  <si>
    <t>faint, very large, extended, little brighter middle, mottled but not resolved</t>
  </si>
  <si>
    <t>F, vL, E, lbM, r</t>
  </si>
  <si>
    <t>NGC4294</t>
  </si>
  <si>
    <t>12h21m17.8s</t>
  </si>
  <si>
    <t>+11h30m35s</t>
  </si>
  <si>
    <t>F, L, mE 135° ±, biN, p of 2</t>
  </si>
  <si>
    <t>NGC4295</t>
  </si>
  <si>
    <t>12h21m9.7s</t>
  </si>
  <si>
    <t>+28h9m56s</t>
  </si>
  <si>
    <t>NGC4296</t>
  </si>
  <si>
    <t>12h21m28.4s</t>
  </si>
  <si>
    <t>+6h39m13s</t>
  </si>
  <si>
    <t>NGC4297</t>
  </si>
  <si>
    <t>12h21m27.4s</t>
  </si>
  <si>
    <t>+6h40m17s</t>
  </si>
  <si>
    <t>extremely faint, extremely small, (not found by d'Arrest)</t>
  </si>
  <si>
    <t>eF, eS, (d'A not found)</t>
  </si>
  <si>
    <t>NGC4298</t>
  </si>
  <si>
    <t>12h21m32.9s</t>
  </si>
  <si>
    <t>+14h36m24s</t>
  </si>
  <si>
    <t>F, L, E, vgbM, p of 2</t>
  </si>
  <si>
    <t>NGC4299</t>
  </si>
  <si>
    <t>12h21m40.5s</t>
  </si>
  <si>
    <t>+11h30m5s</t>
  </si>
  <si>
    <t>faint, large, a little extended, very gradually brighter middle, eastern of 2</t>
  </si>
  <si>
    <t>F, L, lE, vgbM, f of 2</t>
  </si>
  <si>
    <t>NGC4300</t>
  </si>
  <si>
    <t>12h21m41.3s</t>
  </si>
  <si>
    <t>+5h23m5s</t>
  </si>
  <si>
    <t>faint, a little extended, very gradually brighter middle</t>
  </si>
  <si>
    <t>F, lE, vgbM</t>
  </si>
  <si>
    <t>NGC4301</t>
  </si>
  <si>
    <t>12h22m27.2s</t>
  </si>
  <si>
    <t>+4h33m57s</t>
  </si>
  <si>
    <t>faint, considerably large, a little extended, northern of 2</t>
  </si>
  <si>
    <t>F, E, 10' nf h 1196</t>
  </si>
  <si>
    <t>NGC4302</t>
  </si>
  <si>
    <t>12h21m42.2s</t>
  </si>
  <si>
    <t>+14h35m54s</t>
  </si>
  <si>
    <t>large, very much extended 177°, eastern of 2</t>
  </si>
  <si>
    <t>L, vmE 177°, f of 2</t>
  </si>
  <si>
    <t>NGC4303</t>
  </si>
  <si>
    <t>胖螺旋星系</t>
  </si>
  <si>
    <t>12h21m54.9s</t>
  </si>
  <si>
    <t>+4h28m22s</t>
  </si>
  <si>
    <t>vB, vL, vsbM *, biN</t>
  </si>
  <si>
    <t>NGC4304</t>
  </si>
  <si>
    <t>12h22m12.7s</t>
  </si>
  <si>
    <t>-33h29m5s</t>
  </si>
  <si>
    <t>very faint, very large, round, very gradually a very little brighter middle, mottled but not resolved</t>
  </si>
  <si>
    <t>vF, vL, R, vgvlbM, r</t>
  </si>
  <si>
    <t>NGC4305</t>
  </si>
  <si>
    <t>12h22m3.6s</t>
  </si>
  <si>
    <t>+12h44m27s</t>
  </si>
  <si>
    <t>NGC4306</t>
  </si>
  <si>
    <t>12h22m4.2s</t>
  </si>
  <si>
    <t>+12h47m15s</t>
  </si>
  <si>
    <t>vF, pL, R, h 1203 sp</t>
  </si>
  <si>
    <t>NGC4307</t>
  </si>
  <si>
    <t>12h22m5.2s</t>
  </si>
  <si>
    <t>+9h2m31s</t>
  </si>
  <si>
    <t>pF, L, mE, 3 knots</t>
  </si>
  <si>
    <t>NGC4308</t>
  </si>
  <si>
    <t>12h21m56.8s</t>
  </si>
  <si>
    <t>+30h4m27s</t>
  </si>
  <si>
    <t>vF, S, vF st inv, np I 76</t>
  </si>
  <si>
    <t>NGC4309</t>
  </si>
  <si>
    <t>12h22m12.3s</t>
  </si>
  <si>
    <t>+7h8m41s</t>
  </si>
  <si>
    <t>F, S, * 11 f 12s</t>
  </si>
  <si>
    <t>NGC4310</t>
  </si>
  <si>
    <t>12h22m26.4s</t>
  </si>
  <si>
    <t>+29h12m29s</t>
  </si>
  <si>
    <t>F, cL, lE, n of 2</t>
  </si>
  <si>
    <t>NGC4311</t>
  </si>
  <si>
    <t>12h22m26.3s</t>
  </si>
  <si>
    <t>+29h12m16s</t>
  </si>
  <si>
    <t>faint, southern of 2</t>
  </si>
  <si>
    <t>F, s of 2</t>
  </si>
  <si>
    <t>NGC4312</t>
  </si>
  <si>
    <t>12h22m31.4s</t>
  </si>
  <si>
    <t>+15h32m17s</t>
  </si>
  <si>
    <t>pretty bright, considerably large, extended, gradually brighter middle</t>
  </si>
  <si>
    <t>pB, cL, E, gbM</t>
  </si>
  <si>
    <t>NGC4313</t>
  </si>
  <si>
    <t>12h22m38.3s</t>
  </si>
  <si>
    <t>+11h48m4s</t>
  </si>
  <si>
    <t>very faint, large, extended 135°±, mottled but not resolved</t>
  </si>
  <si>
    <t>vF, L, E 135° ±, r</t>
  </si>
  <si>
    <t>NGC4314</t>
  </si>
  <si>
    <t>12h22m31.8s</t>
  </si>
  <si>
    <t>+29h53m45s</t>
  </si>
  <si>
    <t>considerably bright, large, extended 150°±, suddenly brighter middle, star to northwest</t>
  </si>
  <si>
    <t>cB, L, E 150° ±, sbM, * np</t>
  </si>
  <si>
    <t>NGC4315</t>
  </si>
  <si>
    <t>12h22m45.3s</t>
  </si>
  <si>
    <t>+9h18m20s</t>
  </si>
  <si>
    <t>NGC4316</t>
  </si>
  <si>
    <t>12h22m42.1s</t>
  </si>
  <si>
    <t>+9h19m57s</t>
  </si>
  <si>
    <t>very faint, small, much extended, 2 knots</t>
  </si>
  <si>
    <t>vF, S, mE, 2 knots</t>
  </si>
  <si>
    <t>NGC4317</t>
  </si>
  <si>
    <t>12h22m41s</t>
  </si>
  <si>
    <t>+31h2m12s</t>
  </si>
  <si>
    <t>NGC4318</t>
  </si>
  <si>
    <t>12h22m43.2s</t>
  </si>
  <si>
    <t>+8h11m57s</t>
  </si>
  <si>
    <t>extremely faint, 8th magnitude star 5' north</t>
  </si>
  <si>
    <t>eF, * 8 n 5'</t>
  </si>
  <si>
    <t>NGC4319</t>
  </si>
  <si>
    <t>12h21m43.9s</t>
  </si>
  <si>
    <t>+75h19m21s</t>
  </si>
  <si>
    <t>pretty bright, pretty small, very little extended, suddenly brighter middle</t>
  </si>
  <si>
    <t>pB, pS, vlE, sbM</t>
  </si>
  <si>
    <t>NGC4320</t>
  </si>
  <si>
    <t>12h22m57.8s</t>
  </si>
  <si>
    <t>+10h32m57s</t>
  </si>
  <si>
    <t>faint, very small, southwestern of 2</t>
  </si>
  <si>
    <t>F, vS, sp of 2</t>
  </si>
  <si>
    <t>NGC4321</t>
  </si>
  <si>
    <t>吹风机星系</t>
  </si>
  <si>
    <t>12h22m54.9s</t>
  </si>
  <si>
    <t>+15h49m22s</t>
  </si>
  <si>
    <t>a most remarkable object, pretty faint, very large, round, very gradually then pretty suddenly bright middle and mottled but not resolved nucleus; (per Leavenworth) 2-branched spiral</t>
  </si>
  <si>
    <t>!! pF, vL, R, vg, psbMrN (L) 2-branched spiral</t>
  </si>
  <si>
    <t>NGC4322</t>
  </si>
  <si>
    <t>12h23m1.7s</t>
  </si>
  <si>
    <t>+15h54m19s</t>
  </si>
  <si>
    <t>2 (objects), very faint, north of M100</t>
  </si>
  <si>
    <t>2, vF, n of M 100</t>
  </si>
  <si>
    <t>NGC4323</t>
  </si>
  <si>
    <t>12h23m16s</t>
  </si>
  <si>
    <t>+15h54m7s</t>
  </si>
  <si>
    <t>NGC4324</t>
  </si>
  <si>
    <t>12h23m6s</t>
  </si>
  <si>
    <t>+5h15m0s</t>
  </si>
  <si>
    <t>pB, R or lE, bM</t>
  </si>
  <si>
    <t>NGC4325</t>
  </si>
  <si>
    <t>室女座星系团</t>
  </si>
  <si>
    <t>12h23m6.6s</t>
  </si>
  <si>
    <t>+10h37m18s</t>
  </si>
  <si>
    <t>very faint, very small, irregularly round, northeastern of 2</t>
  </si>
  <si>
    <t>vF, vS, iR, nf of 2</t>
  </si>
  <si>
    <t>NGC4326</t>
  </si>
  <si>
    <t>12h23m11.6s</t>
  </si>
  <si>
    <t>+6h4m21s</t>
  </si>
  <si>
    <t>very faint, small, round, brighter middle, 1st of 3</t>
  </si>
  <si>
    <t>vF, S, R, bM, 1st of 3</t>
  </si>
  <si>
    <t>NGC4327</t>
  </si>
  <si>
    <t>12h23m11.8s</t>
  </si>
  <si>
    <t>+15h45m6s</t>
  </si>
  <si>
    <t>very faint, south of (WH) II 84</t>
  </si>
  <si>
    <t>vF, s of II 84</t>
  </si>
  <si>
    <t>NGC4328</t>
  </si>
  <si>
    <t>12h23m20s</t>
  </si>
  <si>
    <t>+15h49m13s</t>
  </si>
  <si>
    <t>NGC4329</t>
  </si>
  <si>
    <t>12h23m20.7s</t>
  </si>
  <si>
    <t>-12h33m29s</t>
  </si>
  <si>
    <t>NGC4330</t>
  </si>
  <si>
    <t>12h23m17s</t>
  </si>
  <si>
    <t>+11h22m7s</t>
  </si>
  <si>
    <t>very faint, large, much extended</t>
  </si>
  <si>
    <t>vF, L, mE</t>
  </si>
  <si>
    <t>NGC4331</t>
  </si>
  <si>
    <t>12h22m35.7s</t>
  </si>
  <si>
    <t>+76h10m7s</t>
  </si>
  <si>
    <t>extremely faint, extended 0°±</t>
  </si>
  <si>
    <t>eF, E 0° ±</t>
  </si>
  <si>
    <t>NGC4332</t>
  </si>
  <si>
    <t>12h22m46.7s</t>
  </si>
  <si>
    <t>+65h50m39s</t>
  </si>
  <si>
    <t>pretty faint, small, very little extended, very gradually brighter middle</t>
  </si>
  <si>
    <t>pF, S, vlE, vgbM</t>
  </si>
  <si>
    <t>NGC4333</t>
  </si>
  <si>
    <t>12h23m22.2s</t>
  </si>
  <si>
    <t>+6h2m28s</t>
  </si>
  <si>
    <t>faint, pretty small, round, brighter middle, 2nd of 3</t>
  </si>
  <si>
    <t>F, pS, R, bM, 2nd of 3</t>
  </si>
  <si>
    <t>NGC4334</t>
  </si>
  <si>
    <t>12h23m24.1s</t>
  </si>
  <si>
    <t>+7h28m24s</t>
  </si>
  <si>
    <t>pretty faint, small, round, star very near</t>
  </si>
  <si>
    <t>pF, S, R, * v nr</t>
  </si>
  <si>
    <t>NGC4335</t>
  </si>
  <si>
    <t>12h23m1.9s</t>
  </si>
  <si>
    <t>+58h26m40s</t>
  </si>
  <si>
    <t>pretty bright, small, extended, gradually brighter middle</t>
  </si>
  <si>
    <t>pB, S, E, gbM</t>
  </si>
  <si>
    <t>NGC4336</t>
  </si>
  <si>
    <t>12h23m29.7s</t>
  </si>
  <si>
    <t>+19h25m37s</t>
  </si>
  <si>
    <t>very faint, pretty large, irregularly round, possibly binuclear</t>
  </si>
  <si>
    <t>vF, pL, iR, biN ?</t>
  </si>
  <si>
    <t>NGC4337</t>
  </si>
  <si>
    <t>12h24m3.2s</t>
  </si>
  <si>
    <t>-58h7m25s</t>
  </si>
  <si>
    <t>a cluster, pretty rich, a little compressed, stars from 12th to 14th magnitude</t>
  </si>
  <si>
    <t>Cl, pRi, lC, st 12…14</t>
  </si>
  <si>
    <t>NGC4338</t>
  </si>
  <si>
    <t>vF, lE, com</t>
  </si>
  <si>
    <t>NGC4339</t>
  </si>
  <si>
    <t>12h23m34.9s</t>
  </si>
  <si>
    <t>+6h4m55s</t>
  </si>
  <si>
    <t>bright, pretty large, round, brighter middle, 3rd of 3</t>
  </si>
  <si>
    <t>B, pL, R, bM, 3rd of 3</t>
  </si>
  <si>
    <t>NGC4340</t>
  </si>
  <si>
    <t>12h23m35.2s</t>
  </si>
  <si>
    <t>+16h43m22s</t>
  </si>
  <si>
    <t>NGC4341</t>
  </si>
  <si>
    <t>12h23m53.1s</t>
  </si>
  <si>
    <t>+7h6m25s</t>
  </si>
  <si>
    <t>NGC4342</t>
  </si>
  <si>
    <t>12h23m39.1s</t>
  </si>
  <si>
    <t>+7h3m16s</t>
  </si>
  <si>
    <t>NGC4343</t>
  </si>
  <si>
    <t>12h23m38.7s</t>
  </si>
  <si>
    <t>+6h57m16s</t>
  </si>
  <si>
    <t>pretty faint, small, elongated, possibly double</t>
  </si>
  <si>
    <t>pF, S, E, ? D</t>
  </si>
  <si>
    <t>NGC4344</t>
  </si>
  <si>
    <t>12h23m37.5s</t>
  </si>
  <si>
    <t>+17h32m30s</t>
  </si>
  <si>
    <t>very faint, pretty small, round, very gradually a little brighter middle, in a triangle with 2 stars</t>
  </si>
  <si>
    <t>vF, pS, R, vglbM, Δ 2 st</t>
  </si>
  <si>
    <t>NGC4345</t>
  </si>
  <si>
    <t>F, pL, gbM</t>
  </si>
  <si>
    <t>NGC4346</t>
  </si>
  <si>
    <t>12h23m27.9s</t>
  </si>
  <si>
    <t>+46h59m38s</t>
  </si>
  <si>
    <t>vF, S, mE 100° ±, vsmbMBN</t>
  </si>
  <si>
    <t>NGC4347</t>
  </si>
  <si>
    <t>12h23m52.3s</t>
  </si>
  <si>
    <t>-3h14m25s</t>
  </si>
  <si>
    <t>NGC4348</t>
  </si>
  <si>
    <t>12h23m53.9s</t>
  </si>
  <si>
    <t>-3h26m33s</t>
  </si>
  <si>
    <t>F, pL, E 70° ±, vlbM</t>
  </si>
  <si>
    <t>NGC4349</t>
  </si>
  <si>
    <t>12h24m6s</t>
  </si>
  <si>
    <t>-61h52m13s</t>
  </si>
  <si>
    <t>a cluster, very bright, very large, a little compressed, stars from 12th to 14th magnitude</t>
  </si>
  <si>
    <t>Cl, vB, vL, lC, st 12…14</t>
  </si>
  <si>
    <t>NGC4350</t>
  </si>
  <si>
    <t>12h23m57.8s</t>
  </si>
  <si>
    <t>+16h41m36s</t>
  </si>
  <si>
    <t>considerably bright, very small, much extended, very suddenly brighter middle</t>
  </si>
  <si>
    <t>cB, vS, mE, vsbM</t>
  </si>
  <si>
    <t>NGC4351</t>
  </si>
  <si>
    <t>12h24m1.5s</t>
  </si>
  <si>
    <t>+12h12m17s</t>
  </si>
  <si>
    <t>very bright, pretty large, round, pretty suddenly bright middle, mottled but not resolved</t>
  </si>
  <si>
    <t>F, pL, iR, bM</t>
  </si>
  <si>
    <t>NGC4352</t>
  </si>
  <si>
    <t>12h24m4.9s</t>
  </si>
  <si>
    <t>+11h13m4s</t>
  </si>
  <si>
    <t>considerably faint, considerably small, a little extended</t>
  </si>
  <si>
    <t>cF, cS, lE</t>
  </si>
  <si>
    <t>NGC4353</t>
  </si>
  <si>
    <t>12h24m0.2s</t>
  </si>
  <si>
    <t>+7h47m3s</t>
  </si>
  <si>
    <t>NGC4354</t>
  </si>
  <si>
    <t>most extremely faint, pretty large, very difficult</t>
  </si>
  <si>
    <t>eeF, pL, v diffic</t>
  </si>
  <si>
    <t>NGC4355</t>
  </si>
  <si>
    <t>12h26m54.6s</t>
  </si>
  <si>
    <t>-0h52m40s</t>
  </si>
  <si>
    <t>NGC4356</t>
  </si>
  <si>
    <t>12h24m14.6s</t>
  </si>
  <si>
    <t>+8h32m13s</t>
  </si>
  <si>
    <t>NGC4357</t>
  </si>
  <si>
    <t>12h23m59.1s</t>
  </si>
  <si>
    <t>+48h46m48s</t>
  </si>
  <si>
    <t>very bright, pretty large, round, brighter middle, star to northwest</t>
  </si>
  <si>
    <t>F, pS, gbM (?=II 743)</t>
  </si>
  <si>
    <t>NGC4358</t>
  </si>
  <si>
    <t>12h24m2.1s</t>
  </si>
  <si>
    <t>+58h23m7s</t>
  </si>
  <si>
    <t>extremely faint, extremely small, a little elongated</t>
  </si>
  <si>
    <t>NGC4359</t>
  </si>
  <si>
    <t>12h24m11.4s</t>
  </si>
  <si>
    <t>+31h31m17s</t>
  </si>
  <si>
    <t>considerably faint, pretty much extended 90°, very little brighter middle</t>
  </si>
  <si>
    <t>cF, pmE 90°, vlbM</t>
  </si>
  <si>
    <t>NGC4360</t>
  </si>
  <si>
    <t>12h24m21.8s</t>
  </si>
  <si>
    <t>+9h17m35s</t>
  </si>
  <si>
    <t>F, F st inv, * 9.5 np</t>
  </si>
  <si>
    <t>NGC4361</t>
  </si>
  <si>
    <t>洒水器星云</t>
  </si>
  <si>
    <t>12h24m30.8s</t>
  </si>
  <si>
    <t>-18h47m3s</t>
  </si>
  <si>
    <t>very bright, large, round, very suddenly much brighter middle and nucleus, mottled but not resolved</t>
  </si>
  <si>
    <t>vB, L, R, vsmbMN, r</t>
  </si>
  <si>
    <t>NGC4362</t>
  </si>
  <si>
    <t>12h24m11.3s</t>
  </si>
  <si>
    <t>+58h21m39s</t>
  </si>
  <si>
    <t>vF, cS, R, r</t>
  </si>
  <si>
    <t>NGC4363</t>
  </si>
  <si>
    <t>12h23m28.6s</t>
  </si>
  <si>
    <t>+74h57m7s</t>
  </si>
  <si>
    <t>NGC4364</t>
  </si>
  <si>
    <t>considerably faint, considerably small, round</t>
  </si>
  <si>
    <t>cF, cS, R</t>
  </si>
  <si>
    <t>NGC4365</t>
  </si>
  <si>
    <t>12h24m28.2s</t>
  </si>
  <si>
    <t>+7h19m3s</t>
  </si>
  <si>
    <t>cB, pL, vlE, gl, smbM</t>
  </si>
  <si>
    <t>NGC4366</t>
  </si>
  <si>
    <t>12h24m47s</t>
  </si>
  <si>
    <t>+7h21m10s</t>
  </si>
  <si>
    <t>NGC4367</t>
  </si>
  <si>
    <t>12h24m35.1s</t>
  </si>
  <si>
    <t>+12h10m58s</t>
  </si>
  <si>
    <t>NGC4368</t>
  </si>
  <si>
    <t>NGC4369</t>
  </si>
  <si>
    <t>12h24m36.4s</t>
  </si>
  <si>
    <t>+39h22m58s</t>
  </si>
  <si>
    <t>considerably bright, small, round, much brighter middle and nucleus, mottled but not resolved</t>
  </si>
  <si>
    <t>cB, S, R, mbMN, r</t>
  </si>
  <si>
    <t>NGC4370</t>
  </si>
  <si>
    <t>12h24m55s</t>
  </si>
  <si>
    <t>+7h26m40s</t>
  </si>
  <si>
    <t>pretty faint, pretty small, a little extended, brighter middle</t>
  </si>
  <si>
    <t>pF, pS, lE, bM</t>
  </si>
  <si>
    <t>NGC4371</t>
  </si>
  <si>
    <t>12h24m55.4s</t>
  </si>
  <si>
    <t>+11h42m15s</t>
  </si>
  <si>
    <t>bright, pretty small, round, gradually brighter middle</t>
  </si>
  <si>
    <t>B, pS, R, gbM</t>
  </si>
  <si>
    <t>NGC4372</t>
  </si>
  <si>
    <t>XII</t>
  </si>
  <si>
    <t>12h25m45.4s</t>
  </si>
  <si>
    <t>-72h39m31s</t>
  </si>
  <si>
    <t>a globular cluster, pretty faint, large, round, stars from 12th to 16th magnitude</t>
  </si>
  <si>
    <t>globular, pF, L, R, st 12…16</t>
  </si>
  <si>
    <t>NGC4373</t>
  </si>
  <si>
    <t>12h25m17.7s</t>
  </si>
  <si>
    <t>-39h45m38s</t>
  </si>
  <si>
    <t>pretty bright, small, round, pretty gradually very much brighter middle</t>
  </si>
  <si>
    <t>pB, S, R, pgvmbM</t>
  </si>
  <si>
    <t>NGC4374</t>
  </si>
  <si>
    <t>马卡良星系链</t>
  </si>
  <si>
    <t>12h25m3.6s</t>
  </si>
  <si>
    <t>+12h53m13s</t>
  </si>
  <si>
    <t>vB, pL, R, psbM, r</t>
  </si>
  <si>
    <t>NGC4375</t>
  </si>
  <si>
    <t>12h25m0.4s</t>
  </si>
  <si>
    <t>+28h33m31s</t>
  </si>
  <si>
    <t>faint, small, round, brighter middle, star 90</t>
  </si>
  <si>
    <t>F, S, R, bM, * nf 90"</t>
  </si>
  <si>
    <t>NGC4376</t>
  </si>
  <si>
    <t>12h25m18.1s</t>
  </si>
  <si>
    <t>+5h44m28s</t>
  </si>
  <si>
    <t>NGC4377</t>
  </si>
  <si>
    <t>12h25m12.4s</t>
  </si>
  <si>
    <t>+14h45m44s</t>
  </si>
  <si>
    <t>bright, small, round, suddenly much brighter middle</t>
  </si>
  <si>
    <t>B, S, R, smbM</t>
  </si>
  <si>
    <t>NGC4378</t>
  </si>
  <si>
    <t>12h25m18s</t>
  </si>
  <si>
    <t>+4h55m31s</t>
  </si>
  <si>
    <t>B, S, * 8·9 sf 3'</t>
  </si>
  <si>
    <t>NGC4379</t>
  </si>
  <si>
    <t>12h25m14.7s</t>
  </si>
  <si>
    <t>+15h36m28s</t>
  </si>
  <si>
    <t>pretty small, round, pretty suddenly brighter middle and nucleus</t>
  </si>
  <si>
    <t>pS, R, psbMN</t>
  </si>
  <si>
    <t>NGC4380</t>
  </si>
  <si>
    <t>12h25m22.1s</t>
  </si>
  <si>
    <t>+10h1m0s</t>
  </si>
  <si>
    <t>very faint, pretty large, round, a little brighter middle</t>
  </si>
  <si>
    <t>vF, pL, R, lbM</t>
  </si>
  <si>
    <t>NGC4381</t>
  </si>
  <si>
    <t>NGC4382</t>
  </si>
  <si>
    <t>12h25m23.9s</t>
  </si>
  <si>
    <t>+18h11m27s</t>
  </si>
  <si>
    <t>vB, pL, R, bM, * np</t>
  </si>
  <si>
    <t>NGC4383</t>
  </si>
  <si>
    <t>12h25m25.5s</t>
  </si>
  <si>
    <t>+16h28m12s</t>
  </si>
  <si>
    <t>eS, stellar or neb * 11·12</t>
  </si>
  <si>
    <t>NGC4384</t>
  </si>
  <si>
    <t>12h25m11.9s</t>
  </si>
  <si>
    <t>+54h30m22s</t>
  </si>
  <si>
    <t>considerably faint, small, irregularly round</t>
  </si>
  <si>
    <t>cF, S, iR</t>
  </si>
  <si>
    <t>NGC4385</t>
  </si>
  <si>
    <t>12h25m42.6s</t>
  </si>
  <si>
    <t>+0h34m21s</t>
  </si>
  <si>
    <t>vF, vS, alm stell</t>
  </si>
  <si>
    <t>NGC4386</t>
  </si>
  <si>
    <t>12h24m27.7s</t>
  </si>
  <si>
    <t>+75h31m46s</t>
  </si>
  <si>
    <t>pretty bright, considerably large, a little extended, pretty suddenly much brighter middle</t>
  </si>
  <si>
    <t>pB, cL, lE, psmbM</t>
  </si>
  <si>
    <t>NGC4387</t>
  </si>
  <si>
    <t>星系构成的脸</t>
  </si>
  <si>
    <t>12h25m41.7s</t>
  </si>
  <si>
    <t>+12h48m37s</t>
  </si>
  <si>
    <t>pretty faint, very small, round, 13th magnitude star 90 arcsec to northwest, northwestern of 2</t>
  </si>
  <si>
    <t>pF, vS, R, * 13 90" np, np of 2</t>
  </si>
  <si>
    <t>NGC4388</t>
  </si>
  <si>
    <t>12h25m46.9s</t>
  </si>
  <si>
    <t>+12h39m43s</t>
  </si>
  <si>
    <t>very faint, extended, southeastern of 2</t>
  </si>
  <si>
    <t>vF, E, sf of 2</t>
  </si>
  <si>
    <t>NGC4389</t>
  </si>
  <si>
    <t>12h25m35s</t>
  </si>
  <si>
    <t>+45h41m6s</t>
  </si>
  <si>
    <t>pretty bright, pretty large, irregularly extended, very gradually a little brighter middle</t>
  </si>
  <si>
    <t>pB, pL, iE, vglbM</t>
  </si>
  <si>
    <t>NGC4390</t>
  </si>
  <si>
    <t>12h25m50.5s</t>
  </si>
  <si>
    <t>+10h27m32s</t>
  </si>
  <si>
    <t>very faint, pretty large, round</t>
  </si>
  <si>
    <t>NGC4391</t>
  </si>
  <si>
    <t>12h25m18.9s</t>
  </si>
  <si>
    <t>+64h56m1s</t>
  </si>
  <si>
    <t>cF, S, R, sbM, *** sp</t>
  </si>
  <si>
    <t>NGC4392</t>
  </si>
  <si>
    <t>12h25m18.7s</t>
  </si>
  <si>
    <t>+45h50m51s</t>
  </si>
  <si>
    <t>NGC4393</t>
  </si>
  <si>
    <t>12h25m51.3s</t>
  </si>
  <si>
    <t>+27h33m43s</t>
  </si>
  <si>
    <t>very faint, very large, irregular figure, bright star to west</t>
  </si>
  <si>
    <t>vF, vL, iF, B * p</t>
  </si>
  <si>
    <t>NGC4394</t>
  </si>
  <si>
    <t>12h25m55.6s</t>
  </si>
  <si>
    <t>+18h12m51s</t>
  </si>
  <si>
    <t>pretty bright, a little extended, brighter middle</t>
  </si>
  <si>
    <t>pB, lE, bM</t>
  </si>
  <si>
    <t>NGC4395</t>
  </si>
  <si>
    <t>12h25m48.8s</t>
  </si>
  <si>
    <t>+33h32m48s</t>
  </si>
  <si>
    <t>eF, vL, np of D neb</t>
  </si>
  <si>
    <t>NGC4396</t>
  </si>
  <si>
    <t>12h25m59.2s</t>
  </si>
  <si>
    <t>+15h40m16s</t>
  </si>
  <si>
    <t>NGC4397</t>
  </si>
  <si>
    <t>12h25m58.2s</t>
  </si>
  <si>
    <t>+18h18m6s</t>
  </si>
  <si>
    <t>very faint, small, II 55 to southwest</t>
  </si>
  <si>
    <t>vF, S, II 55 sp</t>
  </si>
  <si>
    <t>NGC4398</t>
  </si>
  <si>
    <t>12h26m7.4s</t>
  </si>
  <si>
    <t>+10h41m10s</t>
  </si>
  <si>
    <t>faint, pretty small, III 39 preceding (to west) by 14 seconds, and 14 arcmin south</t>
  </si>
  <si>
    <t>F, pS, III 39 p 14s, 14' s</t>
  </si>
  <si>
    <t>NGC4399</t>
  </si>
  <si>
    <t>12h25m42.9s</t>
  </si>
  <si>
    <t>+33h31m0s</t>
  </si>
  <si>
    <t>vF, form trapezium with 2958 and 62</t>
  </si>
  <si>
    <t>NGC4400</t>
  </si>
  <si>
    <t>12h25m55.9s</t>
  </si>
  <si>
    <t>+33h30m57s</t>
  </si>
  <si>
    <t>NGC4401</t>
  </si>
  <si>
    <t>12h25m57.9s</t>
  </si>
  <si>
    <t>vF, vL, pslbM, sf of D neb</t>
  </si>
  <si>
    <t>NGC4402</t>
  </si>
  <si>
    <t>12h26m7.8s</t>
  </si>
  <si>
    <t>+13h6m47s</t>
  </si>
  <si>
    <t>F, L, mE 90° (Auw 30)</t>
  </si>
  <si>
    <t>NGC4403</t>
  </si>
  <si>
    <t>12h26m12.8s</t>
  </si>
  <si>
    <t>-7h41m5s</t>
  </si>
  <si>
    <t>very faint, very small, extended</t>
  </si>
  <si>
    <t>vF, vS, E</t>
  </si>
  <si>
    <t>NGC4404</t>
  </si>
  <si>
    <t>12h26m16.1s</t>
  </si>
  <si>
    <t>-7h40m49s</t>
  </si>
  <si>
    <t>NGC4405</t>
  </si>
  <si>
    <t>12h26m7.1s</t>
  </si>
  <si>
    <t>+16h10m52s</t>
  </si>
  <si>
    <t>pretty faint, small, round, very suddenly brighter middle, mottled but not resolved</t>
  </si>
  <si>
    <t>pF, S, R, vsbM, r</t>
  </si>
  <si>
    <t>NGC4406</t>
  </si>
  <si>
    <t>浮士德V051</t>
  </si>
  <si>
    <t>12h26m11.5s</t>
  </si>
  <si>
    <t>+12h56m47s</t>
  </si>
  <si>
    <t>very bright, large, round, gradually brighter middle and nucleus, mottled but not resolved</t>
  </si>
  <si>
    <t>vB, L, R, gbMN, r</t>
  </si>
  <si>
    <t>NGC4407</t>
  </si>
  <si>
    <t>12h26m32.1s</t>
  </si>
  <si>
    <t>+12h36m37s</t>
  </si>
  <si>
    <t>following (eastern) of 2 nebulae</t>
  </si>
  <si>
    <t>f of 2 neb</t>
  </si>
  <si>
    <t>NGC4408</t>
  </si>
  <si>
    <t>12h26m17.1s</t>
  </si>
  <si>
    <t>+27h52m16s</t>
  </si>
  <si>
    <t>faint, small, mottled but not resolved</t>
  </si>
  <si>
    <t>F, S, r</t>
  </si>
  <si>
    <t>NGC4409</t>
  </si>
  <si>
    <t>12h26m58.4s</t>
  </si>
  <si>
    <t>+2h29m39s</t>
  </si>
  <si>
    <t>very faint, pretty small, mottled but not resolved</t>
  </si>
  <si>
    <t>vF, pS, r</t>
  </si>
  <si>
    <t>NGC4410</t>
  </si>
  <si>
    <t>12h26m29.6s</t>
  </si>
  <si>
    <t>+9h1m8s</t>
  </si>
  <si>
    <t>pretty faint, very large, round, gradually brighter middle</t>
  </si>
  <si>
    <t>pF, vL, R, gbM</t>
  </si>
  <si>
    <t>NGC4411</t>
  </si>
  <si>
    <t>12h26m47.2s</t>
  </si>
  <si>
    <t>+8h53m4s</t>
  </si>
  <si>
    <t>NGC4412</t>
  </si>
  <si>
    <t>12h26m36s</t>
  </si>
  <si>
    <t>+3h57m53s</t>
  </si>
  <si>
    <t>faint, pretty large, round, gradually brighter middle, mottled but not resolved</t>
  </si>
  <si>
    <t>F, pL, R, gbM, r</t>
  </si>
  <si>
    <t>NGC4413</t>
  </si>
  <si>
    <t>extremely faint, small, gradually brighter middle, 2 stars north and northwest</t>
  </si>
  <si>
    <t>cF, S, gbM, 2 st n, np</t>
  </si>
  <si>
    <t>NGC4414</t>
  </si>
  <si>
    <t>12h26m27.1s</t>
  </si>
  <si>
    <t>+31h13m25s</t>
  </si>
  <si>
    <t>vB, L, E, g, vsmbM *</t>
  </si>
  <si>
    <t>NGC4415</t>
  </si>
  <si>
    <t>12h26m40.5s</t>
  </si>
  <si>
    <t>+8h26m10s</t>
  </si>
  <si>
    <t>NGC4416</t>
  </si>
  <si>
    <t>12h26m46.7s</t>
  </si>
  <si>
    <t>+7h55m8s</t>
  </si>
  <si>
    <t>vF, L, R, * 7 sp 5'</t>
  </si>
  <si>
    <t>NGC4417</t>
  </si>
  <si>
    <t>12h26m50.4s</t>
  </si>
  <si>
    <t>+9h35m4s</t>
  </si>
  <si>
    <t>F, pL, E, lbp</t>
  </si>
  <si>
    <t>NGC4418</t>
  </si>
  <si>
    <t>(per) William Herschel very faint, considerably large, much extended, (per) John Herschel faint, small, round, star near</t>
  </si>
  <si>
    <t>(H) vF, cL, mE, (h) F, S, R, * nr</t>
  </si>
  <si>
    <t>NGC4419</t>
  </si>
  <si>
    <t>12h26m56.4s</t>
  </si>
  <si>
    <t>+15h2m52s</t>
  </si>
  <si>
    <t>bright, pretty much extended 135°±, suddenly brighter middle</t>
  </si>
  <si>
    <t>B, pmE 135° ±, sbM</t>
  </si>
  <si>
    <t>NGC4420</t>
  </si>
  <si>
    <t>faint, pretty large, a little extended, mottled but not resolved (equal to III 17?)</t>
  </si>
  <si>
    <t>F, pL, lE, r (?=III 17)</t>
  </si>
  <si>
    <t>NGC4421</t>
  </si>
  <si>
    <t>12h27m2.5s</t>
  </si>
  <si>
    <t>+15h27m39s</t>
  </si>
  <si>
    <t>pretty bright, pretty large, pretty gradually brighter middle, bright star to northwest</t>
  </si>
  <si>
    <t>pB, pL, pgbM, B * np</t>
  </si>
  <si>
    <t>NGC4422</t>
  </si>
  <si>
    <t>12h27m12s</t>
  </si>
  <si>
    <t>-5h49m49s</t>
  </si>
  <si>
    <t>F, vS, R, psbM, 2 S st nr</t>
  </si>
  <si>
    <t>NGC4423</t>
  </si>
  <si>
    <t>12h27m9.1s</t>
  </si>
  <si>
    <t>+5h52m49s</t>
  </si>
  <si>
    <t>NGC4424</t>
  </si>
  <si>
    <t>12h27m11.4s</t>
  </si>
  <si>
    <t>+9h25m17s</t>
  </si>
  <si>
    <t>faint, pretty large, irregularly round, brighter middle</t>
  </si>
  <si>
    <t>NGC4425</t>
  </si>
  <si>
    <t>12h27m13.3s</t>
  </si>
  <si>
    <t>+12h44m5s</t>
  </si>
  <si>
    <t>NGC4426</t>
  </si>
  <si>
    <t>12h27m10.5s</t>
  </si>
  <si>
    <t>+27h50m22s</t>
  </si>
  <si>
    <t>cluster, faint, small</t>
  </si>
  <si>
    <t>Cl, F, S</t>
  </si>
  <si>
    <t>NGC4427</t>
  </si>
  <si>
    <t>very faint, perhaps 2 or 3 faint stars in nebulosity</t>
  </si>
  <si>
    <t>vF, ? 2 or 3 F st in neb</t>
  </si>
  <si>
    <t>NGC4428</t>
  </si>
  <si>
    <t>12h27m28.1s</t>
  </si>
  <si>
    <t>-8h10m5s</t>
  </si>
  <si>
    <t>NGC4429</t>
  </si>
  <si>
    <t>12h27m26.3s</t>
  </si>
  <si>
    <t>+11h6m27s</t>
  </si>
  <si>
    <t>bright, large, considerably extended, pretty suddenly brighter middle, 10th magnitude star to northeast</t>
  </si>
  <si>
    <t>B, L, cE, psbM, * 10 nf</t>
  </si>
  <si>
    <t>NGC4430</t>
  </si>
  <si>
    <t>12h27m26.2s</t>
  </si>
  <si>
    <t>+6h15m46s</t>
  </si>
  <si>
    <t>NGC4431</t>
  </si>
  <si>
    <t>12h27m27.4s</t>
  </si>
  <si>
    <t>+12h17m26s</t>
  </si>
  <si>
    <t>very faint, very small, considerably extended, gradually brighter middle</t>
  </si>
  <si>
    <t>vF, vS, cE, gbM</t>
  </si>
  <si>
    <t>NGC4432</t>
  </si>
  <si>
    <t>12h27m33s</t>
  </si>
  <si>
    <t>+6h14m0s</t>
  </si>
  <si>
    <t>2 st in eF neb</t>
  </si>
  <si>
    <t>NGC4433</t>
  </si>
  <si>
    <t>12h27m38.5s</t>
  </si>
  <si>
    <t>-8h16m45s</t>
  </si>
  <si>
    <t>NGC4434</t>
  </si>
  <si>
    <t>12h27m36.6s</t>
  </si>
  <si>
    <t>+8h9m16s</t>
  </si>
  <si>
    <t>pretty faint, very small</t>
  </si>
  <si>
    <t>pF, vS</t>
  </si>
  <si>
    <t>NGC4435</t>
  </si>
  <si>
    <t>双眼星系</t>
  </si>
  <si>
    <t>12h27m40.5s</t>
  </si>
  <si>
    <t>+13h4m47s</t>
  </si>
  <si>
    <t>very bright, considerably large, round, northwestern of 2</t>
  </si>
  <si>
    <t>vB, cL, R, np of 2</t>
  </si>
  <si>
    <t>NGC4436</t>
  </si>
  <si>
    <t>12h27m41.3s</t>
  </si>
  <si>
    <t>+12h18m57s</t>
  </si>
  <si>
    <t>NGC4437</t>
  </si>
  <si>
    <t>12h32m45.6s</t>
  </si>
  <si>
    <t>+0h6m56s</t>
  </si>
  <si>
    <t>faint, extremely extended 75°, 10th magnitude star to the northeast, place is that of the star</t>
  </si>
  <si>
    <t>F, eE 75°, * 10 nf, place that of *</t>
  </si>
  <si>
    <t>NGC4438</t>
  </si>
  <si>
    <t>12h27m45.6s</t>
  </si>
  <si>
    <t>+13h0m31s</t>
  </si>
  <si>
    <t>bright, considerably large, very little extended, mottled but not resolved, southeastern of 2</t>
  </si>
  <si>
    <t>B, cL, vlE, r, sf of 2</t>
  </si>
  <si>
    <t>NGC4439</t>
  </si>
  <si>
    <t>12h28m26.3s</t>
  </si>
  <si>
    <t>-60h6m11s</t>
  </si>
  <si>
    <t>a cluster, small, stars from 11th to 12th magnitude</t>
  </si>
  <si>
    <t>Cl, S, st 11…12</t>
  </si>
  <si>
    <t>NGC4440</t>
  </si>
  <si>
    <t>12h27m53.5s</t>
  </si>
  <si>
    <t>+12h17m36s</t>
  </si>
  <si>
    <t>bright, pretty small, round, brighter middle, mottled but not resolved</t>
  </si>
  <si>
    <t>B, pS, R, bM, r</t>
  </si>
  <si>
    <t>NGC4441</t>
  </si>
  <si>
    <t>12h27m20.2s</t>
  </si>
  <si>
    <t>+64h48m8s</t>
  </si>
  <si>
    <t>pretty bright, small, irregularly round, brighter middle</t>
  </si>
  <si>
    <t>pB, S, iR, bM</t>
  </si>
  <si>
    <t>NGC4442</t>
  </si>
  <si>
    <t>12h28m3.9s</t>
  </si>
  <si>
    <t>+9h48m14s</t>
  </si>
  <si>
    <t>NGC4443</t>
  </si>
  <si>
    <t>12h29m2.9s</t>
  </si>
  <si>
    <t>+13h11m4s</t>
  </si>
  <si>
    <t>faint, small, κ in Lord Rosse's diagram</t>
  </si>
  <si>
    <t>F, S, κ in Ld R's diagram</t>
  </si>
  <si>
    <t>NGC4444</t>
  </si>
  <si>
    <t>12h28m36.1s</t>
  </si>
  <si>
    <t>-43h15m44s</t>
  </si>
  <si>
    <t>extremely faint, large, round, very gradually brighter middle</t>
  </si>
  <si>
    <t>eF, L, R, vgbM</t>
  </si>
  <si>
    <t>NGC4445</t>
  </si>
  <si>
    <t>12h28m16.1s</t>
  </si>
  <si>
    <t>+9h26m12s</t>
  </si>
  <si>
    <t>NGC4446</t>
  </si>
  <si>
    <t>12h28m6.8s</t>
  </si>
  <si>
    <t>+13h54m44s</t>
  </si>
  <si>
    <t>NGC4447</t>
  </si>
  <si>
    <t>12h28m12.4s</t>
  </si>
  <si>
    <t>+13h53m59s</t>
  </si>
  <si>
    <t>NGC4448</t>
  </si>
  <si>
    <t>12h28m15.5s</t>
  </si>
  <si>
    <t>+28h37m17s</t>
  </si>
  <si>
    <t>bright, large, extended 90°, suddenly brighter middle</t>
  </si>
  <si>
    <t>B, L, E 90°, sbM</t>
  </si>
  <si>
    <t>NGC4449</t>
  </si>
  <si>
    <t>12h28m11.3s</t>
  </si>
  <si>
    <t>+44h5m42s</t>
  </si>
  <si>
    <t>very bright, considerably large, much extended, double or bifid (either a double nebula, or a single nebula split into two lobes), well-resolved (clearly consisting of stars), 9th-magnitude star 5 arcmin to east</t>
  </si>
  <si>
    <t>vB, cL, mE, D or bifid, rrr, * 9 f 5'</t>
  </si>
  <si>
    <t>NGC4450</t>
  </si>
  <si>
    <t>12h28m29.3s</t>
  </si>
  <si>
    <t>+17h5m3s</t>
  </si>
  <si>
    <t>bright, large, round, gradually very much brighter middle like a star, mottled but not resolved, bright star to southwest</t>
  </si>
  <si>
    <t>B, L, R, gvmbM *, r, B * sp</t>
  </si>
  <si>
    <t>NGC4451</t>
  </si>
  <si>
    <t>12h28m40.5s</t>
  </si>
  <si>
    <t>+9h15m32s</t>
  </si>
  <si>
    <t>pretty bright, pretty small, round, brighter middle, 13th magnitude star to south</t>
  </si>
  <si>
    <t>pB, pS, R, bM, * 13 s</t>
  </si>
  <si>
    <t>NGC4452</t>
  </si>
  <si>
    <t>12h28m43.3s</t>
  </si>
  <si>
    <t>+11h45m18s</t>
  </si>
  <si>
    <t>pretty bright, small, very much extended</t>
  </si>
  <si>
    <t>pB, S, vmE</t>
  </si>
  <si>
    <t>NGC4453</t>
  </si>
  <si>
    <t>12h28m46.8s</t>
  </si>
  <si>
    <t>+6h30m44s</t>
  </si>
  <si>
    <t>faint, pretty small, brighter middle, mottled but not resolved</t>
  </si>
  <si>
    <t>F, pS, bM, r</t>
  </si>
  <si>
    <t>NGC4454</t>
  </si>
  <si>
    <t>12h28m50.6s</t>
  </si>
  <si>
    <t>-1h56m20s</t>
  </si>
  <si>
    <t>faint, large, round, gradually brighter middle, extremely mottled but not resolved</t>
  </si>
  <si>
    <t>F, L, R, gbM, er</t>
  </si>
  <si>
    <t>NGC4455</t>
  </si>
  <si>
    <t>12h28m44s</t>
  </si>
  <si>
    <t>+22h49m16s</t>
  </si>
  <si>
    <t>faint, large, extended, gradually brighter middle, 2 bright stars to northeast</t>
  </si>
  <si>
    <t>F, L, E, gbM, 2 B st nf</t>
  </si>
  <si>
    <t>NGC4456</t>
  </si>
  <si>
    <t>12h27m52.2s</t>
  </si>
  <si>
    <t>-30h5m52s</t>
  </si>
  <si>
    <t>most extremely faint, very small, 13th magnitude star attached</t>
  </si>
  <si>
    <t>eeF, vS, * 13 att</t>
  </si>
  <si>
    <t>NGC4457</t>
  </si>
  <si>
    <t>12h28m58.9s</t>
  </si>
  <si>
    <t>+3h34m16s</t>
  </si>
  <si>
    <t>considerably bright, pretty small, round, suddenly much brighter middle and nucleus</t>
  </si>
  <si>
    <t>cB, pS, R, smbMN</t>
  </si>
  <si>
    <t>NGC4458</t>
  </si>
  <si>
    <t>12h28m57.7s</t>
  </si>
  <si>
    <t>+13h14m32s</t>
  </si>
  <si>
    <t>pretty bright, small, round, brighter middle, western of 2</t>
  </si>
  <si>
    <t>pB, S, R, bM, p of 2</t>
  </si>
  <si>
    <t>NGC4459</t>
  </si>
  <si>
    <t>12h29m0s</t>
  </si>
  <si>
    <t>+13h58m43s</t>
  </si>
  <si>
    <t>pretty bright, pretty large, irregularly round, brighter middle, mottled but not resolved, 8th magnitude star 2 arcmin to southeast</t>
  </si>
  <si>
    <t>pB, pL, iR, bM, r, * 8 sf 2'</t>
  </si>
  <si>
    <t>NGC4460</t>
  </si>
  <si>
    <t>12h28m45.5s</t>
  </si>
  <si>
    <t>+44h51m52s</t>
  </si>
  <si>
    <t>bright, pretty large, extended 123°, pretty suddenly brighter middle</t>
  </si>
  <si>
    <t>B, pL, E 123°, psbM</t>
  </si>
  <si>
    <t>NGC4461</t>
  </si>
  <si>
    <t>pretty faint, small, round, brighter middle, following (eastern) of 2</t>
  </si>
  <si>
    <t>pF, S, R, bM, f of 2</t>
  </si>
  <si>
    <t>NGC4462</t>
  </si>
  <si>
    <t>12h29m21s</t>
  </si>
  <si>
    <t>-23h9m59s</t>
  </si>
  <si>
    <t>pretty bright, pretty small, extended 130°, suddenly brighter middle</t>
  </si>
  <si>
    <t>pB, pS, E 130°, sbM</t>
  </si>
  <si>
    <t>NGC4463</t>
  </si>
  <si>
    <t>12h29m55.2s</t>
  </si>
  <si>
    <t>-64h47m22s</t>
  </si>
  <si>
    <t>NGC4464</t>
  </si>
  <si>
    <t>12h29m21.2s</t>
  </si>
  <si>
    <t>+8h9m25s</t>
  </si>
  <si>
    <t>faint, very small, round, pretty gradually brighter middle</t>
  </si>
  <si>
    <t>F, vS, R, pgbM</t>
  </si>
  <si>
    <t>NGC4465</t>
  </si>
  <si>
    <t>12h29m23.5s</t>
  </si>
  <si>
    <t>+8h1m34s</t>
  </si>
  <si>
    <t>very faint, very diffuse</t>
  </si>
  <si>
    <t>vF, v dif</t>
  </si>
  <si>
    <t>NGC4466</t>
  </si>
  <si>
    <t>12h29m30.6s</t>
  </si>
  <si>
    <t>NGC4467</t>
  </si>
  <si>
    <t>12h29m30.3s</t>
  </si>
  <si>
    <t>+7h59m34s</t>
  </si>
  <si>
    <t>NGC4468</t>
  </si>
  <si>
    <t>12h29m30.9s</t>
  </si>
  <si>
    <t>+14h2m57s</t>
  </si>
  <si>
    <t>faint, considerably large</t>
  </si>
  <si>
    <t>F, cL</t>
  </si>
  <si>
    <t>NGC4469</t>
  </si>
  <si>
    <t>12h29m28.1s</t>
  </si>
  <si>
    <t>+8h45m1s</t>
  </si>
  <si>
    <t>pretty faint, pretty large, much extended, brighter middle, mottled but not resolved</t>
  </si>
  <si>
    <t>pF, pL, mE, bM, r</t>
  </si>
  <si>
    <t>NGC4470</t>
  </si>
  <si>
    <t>12h29m37.9s</t>
  </si>
  <si>
    <t>+7h49m26s</t>
  </si>
  <si>
    <t>NGC4471</t>
  </si>
  <si>
    <t>12h29m42s</t>
  </si>
  <si>
    <t>+7h53m46s</t>
  </si>
  <si>
    <t>very faint, very small (not found by d'Arrest</t>
  </si>
  <si>
    <t>vF, vS (not found by d'A)</t>
  </si>
  <si>
    <t>NGC4472</t>
  </si>
  <si>
    <t>12h29m46.7s</t>
  </si>
  <si>
    <t>+8h0m0s</t>
  </si>
  <si>
    <t>very bright, large, round, much brighter middle, mottled but not resolved</t>
  </si>
  <si>
    <t>vB, L, R, mbM, r</t>
  </si>
  <si>
    <t>NGC4473</t>
  </si>
  <si>
    <t>12h29m48.7s</t>
  </si>
  <si>
    <t>+13h25m47s</t>
  </si>
  <si>
    <t>NGC4474</t>
  </si>
  <si>
    <t>12h29m53.3s</t>
  </si>
  <si>
    <t>+14h4m7s</t>
  </si>
  <si>
    <t>pretty faint, round, mottled but not resolved</t>
  </si>
  <si>
    <t>pF, R, r</t>
  </si>
  <si>
    <t>NGC4475</t>
  </si>
  <si>
    <t>12h29m47.7s</t>
  </si>
  <si>
    <t>+27h14m36s</t>
  </si>
  <si>
    <t>NGC4476</t>
  </si>
  <si>
    <t>12h29m59s</t>
  </si>
  <si>
    <t>+12h20m55s</t>
  </si>
  <si>
    <t>faint, small, round, brighter middle, 1st of 3</t>
  </si>
  <si>
    <t>F, S, R, bM, 1st of 3</t>
  </si>
  <si>
    <t>NGC4477</t>
  </si>
  <si>
    <t>12h30m2s</t>
  </si>
  <si>
    <t>+13h38m13s</t>
  </si>
  <si>
    <t>pretty bright, considerably large</t>
  </si>
  <si>
    <t>pB, cL</t>
  </si>
  <si>
    <t>NGC4478</t>
  </si>
  <si>
    <t>12h30m17.3s</t>
  </si>
  <si>
    <t>+12h19m43s</t>
  </si>
  <si>
    <t>pretty bright, small, round, pretty suddenly brighter middle, 2nd of 3</t>
  </si>
  <si>
    <t>pB, S, R, psbM, 2nd of 3</t>
  </si>
  <si>
    <t>NGC4479</t>
  </si>
  <si>
    <t>12h30m18.3s</t>
  </si>
  <si>
    <t>+13h34m41s</t>
  </si>
  <si>
    <t>NGC4480</t>
  </si>
  <si>
    <t>12h30m26.7s</t>
  </si>
  <si>
    <t>+4h14m45s</t>
  </si>
  <si>
    <t>pretty faint, pretty small, extended, brighter on southern side</t>
  </si>
  <si>
    <t>pF, pS, E, bs</t>
  </si>
  <si>
    <t>NGC4481</t>
  </si>
  <si>
    <t>12h29m48.6s</t>
  </si>
  <si>
    <t>+64h2m0s</t>
  </si>
  <si>
    <t>pretty faint, very small, round, 13th magnitude star attached</t>
  </si>
  <si>
    <t>pF, vS, R, * 13 att</t>
  </si>
  <si>
    <t>NGC4482</t>
  </si>
  <si>
    <t>12h30m10.3s</t>
  </si>
  <si>
    <t>+10h46m45s</t>
  </si>
  <si>
    <t>NGC4483</t>
  </si>
  <si>
    <t>12h30m40.6s</t>
  </si>
  <si>
    <t>+9h0m56s</t>
  </si>
  <si>
    <t>NGC4484</t>
  </si>
  <si>
    <t>12h28m52.7s</t>
  </si>
  <si>
    <t>-11h39m6s</t>
  </si>
  <si>
    <t>NGC4485</t>
  </si>
  <si>
    <t>12h30m31.3s</t>
  </si>
  <si>
    <t>+41h42m3s</t>
  </si>
  <si>
    <t>bright, pretty small, irregularly round, northwestern of 2</t>
  </si>
  <si>
    <t>B, pS, iR, np of 2</t>
  </si>
  <si>
    <t>NGC4486</t>
  </si>
  <si>
    <t>室女座星系</t>
  </si>
  <si>
    <t>12h30m49.4s</t>
  </si>
  <si>
    <t>+12h23m26s</t>
  </si>
  <si>
    <t>very bright, very large, round, much brighter middle, 3rd of 3</t>
  </si>
  <si>
    <t>vB, vL, R, mbM, 3rd of 3</t>
  </si>
  <si>
    <t>NGC4487</t>
  </si>
  <si>
    <t>12h31m4.3s</t>
  </si>
  <si>
    <t>-8h3m13s</t>
  </si>
  <si>
    <t>faint, very large, extremely mottled but not resolved</t>
  </si>
  <si>
    <t>F, vL, er</t>
  </si>
  <si>
    <t>NGC4488</t>
  </si>
  <si>
    <t>12h30m51.3s</t>
  </si>
  <si>
    <t>+8h21m35s</t>
  </si>
  <si>
    <t>NGC4489</t>
  </si>
  <si>
    <t>12h30m52.2s</t>
  </si>
  <si>
    <t>+16h45m33s</t>
  </si>
  <si>
    <t>pretty faint, considerably small, round, gradually brighter middle</t>
  </si>
  <si>
    <t>pF, cS, R, gbM</t>
  </si>
  <si>
    <t>NGC4490</t>
  </si>
  <si>
    <t>茧星系</t>
  </si>
  <si>
    <t>12h30m36.1s</t>
  </si>
  <si>
    <t>+41h38m34s</t>
  </si>
  <si>
    <t>vB, vL, mE 130°, r, sf of 2</t>
  </si>
  <si>
    <t>NGC4491</t>
  </si>
  <si>
    <t>12h30m57.1s</t>
  </si>
  <si>
    <t>+11h29m0s</t>
  </si>
  <si>
    <t>faint, large, round</t>
  </si>
  <si>
    <t>F, L, R</t>
  </si>
  <si>
    <t>NGC4492</t>
  </si>
  <si>
    <t>12h30m59.7s</t>
  </si>
  <si>
    <t>+8h4m41s</t>
  </si>
  <si>
    <t>pretty faint, pretty large, very gradually a little brighter middle, 2 stars near</t>
  </si>
  <si>
    <t>pF, pL, vglbM, 2 st nr</t>
  </si>
  <si>
    <t>NGC4493</t>
  </si>
  <si>
    <t>12h31m8.3s</t>
  </si>
  <si>
    <t>+0h36m51s</t>
  </si>
  <si>
    <t>NGC4494</t>
  </si>
  <si>
    <t>12h31m24.1s</t>
  </si>
  <si>
    <t>+25h46m31s</t>
  </si>
  <si>
    <t>very bright, pretty large, round, very suddenly much brighter middle and nucleus</t>
  </si>
  <si>
    <t>vB, pL, R, vsmbMN</t>
  </si>
  <si>
    <t>NGC4495</t>
  </si>
  <si>
    <t>12h31m22.7s</t>
  </si>
  <si>
    <t>+29h8m12s</t>
  </si>
  <si>
    <t>pretty faint, considerably small, round, pretty suddenly a little brighter middle</t>
  </si>
  <si>
    <t>pF, cS, R, pslbM</t>
  </si>
  <si>
    <t>NGC4496</t>
  </si>
  <si>
    <t>12h31m39.3s</t>
  </si>
  <si>
    <t>+3h56m23s</t>
  </si>
  <si>
    <t>faint, considerably large, binuclear or a double nebula</t>
  </si>
  <si>
    <t>F, cL, biN or D neb</t>
  </si>
  <si>
    <t>NGC4497</t>
  </si>
  <si>
    <t>12h31m32.6s</t>
  </si>
  <si>
    <t>+11h37m30s</t>
  </si>
  <si>
    <t>very faint (d'Arrest says pretty faint)</t>
  </si>
  <si>
    <t>vF (d'A pF)</t>
  </si>
  <si>
    <t>NGC4498</t>
  </si>
  <si>
    <t>12h31m39.5s</t>
  </si>
  <si>
    <t>+16h51m10s</t>
  </si>
  <si>
    <t>very faint, pretty large, extended, prehaps binuclear</t>
  </si>
  <si>
    <t>vF, pL, E, ? biN</t>
  </si>
  <si>
    <t>NGC4499</t>
  </si>
  <si>
    <t>12h32m4.9s</t>
  </si>
  <si>
    <t>-39h58m57s</t>
  </si>
  <si>
    <t>NGC4500</t>
  </si>
  <si>
    <t>12h31m22s</t>
  </si>
  <si>
    <t>+57h57m54s</t>
  </si>
  <si>
    <t>B, cS, E, pgbM, * 9 f 50"</t>
  </si>
  <si>
    <t>NGC4501</t>
  </si>
  <si>
    <t>12h31m59s</t>
  </si>
  <si>
    <t>+14h25m11s</t>
  </si>
  <si>
    <t>bright, very large, very much extended</t>
  </si>
  <si>
    <t>B, vL, vmE</t>
  </si>
  <si>
    <t>NGC4502</t>
  </si>
  <si>
    <t>12h32m3.2s</t>
  </si>
  <si>
    <t>+16h41m17s</t>
  </si>
  <si>
    <t>NGC4503</t>
  </si>
  <si>
    <t>12h32m6.1s</t>
  </si>
  <si>
    <t>+11h10m32s</t>
  </si>
  <si>
    <t>NGC4504</t>
  </si>
  <si>
    <t>12h32m17.4s</t>
  </si>
  <si>
    <t>-7h33m48s</t>
  </si>
  <si>
    <t>pretty bright, considerably large, irregularly extended, gradually a very little brighter middle, extremely mottled but not resolved</t>
  </si>
  <si>
    <t>pB, cL, iE, gvlbM, er</t>
  </si>
  <si>
    <t>NGC4505</t>
  </si>
  <si>
    <t>12h31m40.8s</t>
  </si>
  <si>
    <t>+3h55m36s</t>
  </si>
  <si>
    <t>very faint, considerably large, mottled but not resolved, eastern of 2</t>
  </si>
  <si>
    <t>vF, cL, r, f of 2</t>
  </si>
  <si>
    <t>NGC4506</t>
  </si>
  <si>
    <t>12h32m10.5s</t>
  </si>
  <si>
    <t>+13h25m13s</t>
  </si>
  <si>
    <t>cF, pmE 90° ±, gbM, * 9 p 8s</t>
  </si>
  <si>
    <t>NGC4507</t>
  </si>
  <si>
    <t>夏普利-艾姆斯2</t>
  </si>
  <si>
    <t>12h35m36.6s</t>
  </si>
  <si>
    <t>-39h54m33s</t>
  </si>
  <si>
    <t>pB, S, R, psmbM * 16</t>
  </si>
  <si>
    <t>NGC4508</t>
  </si>
  <si>
    <t>+5h49m10s</t>
  </si>
  <si>
    <t>very small, round, suddenly brighter middle like a 13th-magnitude star</t>
  </si>
  <si>
    <t>vS, R, sbM * 13</t>
  </si>
  <si>
    <t>NGC4509</t>
  </si>
  <si>
    <t>Sab/P</t>
  </si>
  <si>
    <t>12h33m6.8s</t>
  </si>
  <si>
    <t>+32h5m32s</t>
  </si>
  <si>
    <t>NGC4510</t>
  </si>
  <si>
    <t>12h31m47.2s</t>
  </si>
  <si>
    <t>+64h14m2s</t>
  </si>
  <si>
    <t>a cluster, very small, stars faint, much compressed</t>
  </si>
  <si>
    <t>Cl, vS, st F, mC</t>
  </si>
  <si>
    <t>NGC4511</t>
  </si>
  <si>
    <t>12h32m7.9s</t>
  </si>
  <si>
    <t>+56h28m16s</t>
  </si>
  <si>
    <t>pretty faint, very small, irregularly round, very gradually brighter middle</t>
  </si>
  <si>
    <t>pF, vS, iR, vgbM</t>
  </si>
  <si>
    <t>NGC4512</t>
  </si>
  <si>
    <t>12h32m47.6s</t>
  </si>
  <si>
    <t>+63h56m22s</t>
  </si>
  <si>
    <t>bright, large, a little extended, a little brighter middle</t>
  </si>
  <si>
    <t>NGC4513</t>
  </si>
  <si>
    <t>12h32m1.6s</t>
  </si>
  <si>
    <t>+66h19m59s</t>
  </si>
  <si>
    <t>F, R (? vS Cl)</t>
  </si>
  <si>
    <t>NGC4514</t>
  </si>
  <si>
    <t>12h32m42.9s</t>
  </si>
  <si>
    <t>+29h42m44s</t>
  </si>
  <si>
    <t>NGC4515</t>
  </si>
  <si>
    <t>12h33m4.9s</t>
  </si>
  <si>
    <t>+16h15m56s</t>
  </si>
  <si>
    <t>faint, very small, brighter middle like a star</t>
  </si>
  <si>
    <t>F, vS, bM *</t>
  </si>
  <si>
    <t>NGC4516</t>
  </si>
  <si>
    <t>12h33m7.5s</t>
  </si>
  <si>
    <t>+14h34m29s</t>
  </si>
  <si>
    <t>faint, pretty small, round, mottled but not resolved</t>
  </si>
  <si>
    <t>F, pS, R, r</t>
  </si>
  <si>
    <t>NGC4517</t>
  </si>
  <si>
    <t>cB, vL, vmE 89°, pB * in cont</t>
  </si>
  <si>
    <t>NGC4518</t>
  </si>
  <si>
    <t>12h33m11.7s</t>
  </si>
  <si>
    <t>+7h51m8s</t>
  </si>
  <si>
    <t>NGC4519</t>
  </si>
  <si>
    <t>12h33m30.2s</t>
  </si>
  <si>
    <t>+8h39m18s</t>
  </si>
  <si>
    <t>faint, pretty large, round, brighter middle, mottled but not resolved</t>
  </si>
  <si>
    <t>F, pL, R, bM, r</t>
  </si>
  <si>
    <t>NGC4520</t>
  </si>
  <si>
    <t>12h33m49.9s</t>
  </si>
  <si>
    <t>-7h22m29s</t>
  </si>
  <si>
    <t>very faint, small, 2 very small stars involved</t>
  </si>
  <si>
    <t>vF, S, 2 vS st inv</t>
  </si>
  <si>
    <t>NGC4521</t>
  </si>
  <si>
    <t>pB, S, pmE, pgbM, * 10 p 12s</t>
  </si>
  <si>
    <t>NGC4522</t>
  </si>
  <si>
    <t>12h33m39.7s</t>
  </si>
  <si>
    <t>+9h10m27s</t>
  </si>
  <si>
    <t>extremely faint, pretty large, a little extended, very little brighter middle</t>
  </si>
  <si>
    <t>eF, pL, lE, vlbM</t>
  </si>
  <si>
    <t>NGC4523</t>
  </si>
  <si>
    <t>12h33m48s</t>
  </si>
  <si>
    <t>+15h10m6s</t>
  </si>
  <si>
    <t>Cl + neb, close to a **</t>
  </si>
  <si>
    <t>NGC4524</t>
  </si>
  <si>
    <t>12h33m54.4s</t>
  </si>
  <si>
    <t>very faint, irregular figure, brighter middle</t>
  </si>
  <si>
    <t>vF, iF, bM</t>
  </si>
  <si>
    <t>NGC4525</t>
  </si>
  <si>
    <t>12h33m51.1s</t>
  </si>
  <si>
    <t>+30h16m39s</t>
  </si>
  <si>
    <t>NGC4526</t>
  </si>
  <si>
    <t>遗失星系</t>
  </si>
  <si>
    <t>12h34m2.8s</t>
  </si>
  <si>
    <t>+7h41m56s</t>
  </si>
  <si>
    <t>vB, vL, mE 120° ±, psmbM, bet 2 st 7 m</t>
  </si>
  <si>
    <t>NGC4527</t>
  </si>
  <si>
    <t>12h34m8.8s</t>
  </si>
  <si>
    <t>+2h39m12s</t>
  </si>
  <si>
    <t>pB, L, pmE 69°, mbM</t>
  </si>
  <si>
    <t>NGC4528</t>
  </si>
  <si>
    <t>12h34m6s</t>
  </si>
  <si>
    <t>+11h19m16s</t>
  </si>
  <si>
    <t>pF, cS, R, bM, * 9 f 30s</t>
  </si>
  <si>
    <t>NGC4529</t>
  </si>
  <si>
    <t>12h32m51.7s</t>
  </si>
  <si>
    <t>+20h11m1s</t>
  </si>
  <si>
    <t>extremely faint, large</t>
  </si>
  <si>
    <t>eF, L</t>
  </si>
  <si>
    <t>NGC4530</t>
  </si>
  <si>
    <t>12h33m47.6s</t>
  </si>
  <si>
    <t>+41h21m14s</t>
  </si>
  <si>
    <t>nebulous star 4th magnitude, extremely questionable (8 Canum Venaticorum)</t>
  </si>
  <si>
    <t>Nebulous * 4 mag??? (8 Canum)</t>
  </si>
  <si>
    <t>NGC4531</t>
  </si>
  <si>
    <t>12h34m15.8s</t>
  </si>
  <si>
    <t>+13h4m33s</t>
  </si>
  <si>
    <t>NGC4532</t>
  </si>
  <si>
    <t>12h34m19.3s</t>
  </si>
  <si>
    <t>+6h28m2s</t>
  </si>
  <si>
    <t>pretty bright, pretty large, pretty much extended, very gradually brighter middle, mottled but not resolved</t>
  </si>
  <si>
    <t>pB, pL, pmE, vgbM, r</t>
  </si>
  <si>
    <t>NGC4533</t>
  </si>
  <si>
    <t>12h34m22.1s</t>
  </si>
  <si>
    <t>+2h19m31s</t>
  </si>
  <si>
    <t>F, V 2 sf</t>
  </si>
  <si>
    <t>NGC4534</t>
  </si>
  <si>
    <t>12h34m5.4s</t>
  </si>
  <si>
    <t>+35h31m6s</t>
  </si>
  <si>
    <t>considerably faint, large, a little extended, very gradually a little brighter middle, mottled but not resolved</t>
  </si>
  <si>
    <t>cF, L, lE, vglbM, r</t>
  </si>
  <si>
    <t>NGC4535</t>
  </si>
  <si>
    <t>科普兰遗失星系</t>
  </si>
  <si>
    <t>12h34m20.2s</t>
  </si>
  <si>
    <t>+8h11m51s</t>
  </si>
  <si>
    <t>pretty faint, very large, mottled but not resolved</t>
  </si>
  <si>
    <t>pF, vL, r</t>
  </si>
  <si>
    <t>NGC4536</t>
  </si>
  <si>
    <t>12h34m26.9s</t>
  </si>
  <si>
    <t>+2h11m14s</t>
  </si>
  <si>
    <t>B, vL, mE 110°, sbM, er</t>
  </si>
  <si>
    <t>NGC4537</t>
  </si>
  <si>
    <t>12h34m49.1s</t>
  </si>
  <si>
    <t>+50h48m20s</t>
  </si>
  <si>
    <t>eeF, S, R, nearly bet 2 st</t>
  </si>
  <si>
    <t>NGC4538</t>
  </si>
  <si>
    <t>12h34m40.8s</t>
  </si>
  <si>
    <t>+3h19m25s</t>
  </si>
  <si>
    <t>eF, vS, nearly R</t>
  </si>
  <si>
    <t>NGC4539</t>
  </si>
  <si>
    <t>12h34m34.6s</t>
  </si>
  <si>
    <t>+18h12m10s</t>
  </si>
  <si>
    <t>pretty bright, pretty much extended</t>
  </si>
  <si>
    <t>pB, pmE</t>
  </si>
  <si>
    <t>NGC4540</t>
  </si>
  <si>
    <t>12h34m50.9s</t>
  </si>
  <si>
    <t>+15h33m4s</t>
  </si>
  <si>
    <t>NGC4541</t>
  </si>
  <si>
    <t>12h35m10.7s</t>
  </si>
  <si>
    <t>-0h13m16s</t>
  </si>
  <si>
    <t>NGC4542</t>
  </si>
  <si>
    <t>NGC4543</t>
  </si>
  <si>
    <t>12h35m20.2s</t>
  </si>
  <si>
    <t>+6h6m56s</t>
  </si>
  <si>
    <t>pretty faint, considerably small, round, brighter middle</t>
  </si>
  <si>
    <t>pF, cS, R, bM</t>
  </si>
  <si>
    <t>NGC4544</t>
  </si>
  <si>
    <t>12h35m36.5s</t>
  </si>
  <si>
    <t>+3h2m8s</t>
  </si>
  <si>
    <t>very faint, small, round, between 2 stars</t>
  </si>
  <si>
    <t>vF, S, R, bet 2 st</t>
  </si>
  <si>
    <t>NGC4545</t>
  </si>
  <si>
    <t>12h34m34.1s</t>
  </si>
  <si>
    <t>+63h31m29s</t>
  </si>
  <si>
    <t>faint, large, irregularly round, very gradually brighter middle, small (faint) star to northeast</t>
  </si>
  <si>
    <t>F, L, iR, vgbM, S * nf</t>
  </si>
  <si>
    <t>NGC4546</t>
  </si>
  <si>
    <t>12h35m29.5s</t>
  </si>
  <si>
    <t>-3h47m35s</t>
  </si>
  <si>
    <t>very bright, considerably large, pretty much extended 78°, very suddenly much brighter middle and nucleus</t>
  </si>
  <si>
    <t>vB, cL, pmE 78°, vsmbMN</t>
  </si>
  <si>
    <t>NGC4547</t>
  </si>
  <si>
    <t>12h34m51.8s</t>
  </si>
  <si>
    <t>+58h55m2s</t>
  </si>
  <si>
    <t>vF, pS, E, vgbM, * 9 f 2', p of 2</t>
  </si>
  <si>
    <t>NGC4548</t>
  </si>
  <si>
    <t>12h35m26.4s</t>
  </si>
  <si>
    <t>+14h29m47s</t>
  </si>
  <si>
    <t>B, L, lE, lbM</t>
  </si>
  <si>
    <t>NGC4549</t>
  </si>
  <si>
    <t>12h35m21.3s</t>
  </si>
  <si>
    <t>+58h56m58s</t>
  </si>
  <si>
    <t>extremely faint, pretty small, extended, eastern of 2</t>
  </si>
  <si>
    <t>eF, pS, E, f of 2</t>
  </si>
  <si>
    <t>NGC4550</t>
  </si>
  <si>
    <t>12h35m30.6s</t>
  </si>
  <si>
    <t>+12h13m15s</t>
  </si>
  <si>
    <t>pretty bright, small, very little extended, southwestern of 2</t>
  </si>
  <si>
    <t>pB, S, vlE, sp of 2</t>
  </si>
  <si>
    <t>NGC4551</t>
  </si>
  <si>
    <t>12h35m38s</t>
  </si>
  <si>
    <t>+12h15m50s</t>
  </si>
  <si>
    <t>pretty bright, small, round, brighter middle, northeastern of 2</t>
  </si>
  <si>
    <t>pB, S, R, bM, nf of 2</t>
  </si>
  <si>
    <t>NGC4552</t>
  </si>
  <si>
    <t>12h35m39.9s</t>
  </si>
  <si>
    <t>+12h33m22s</t>
  </si>
  <si>
    <t>pretty bright, pretty small, round, gradually much brighter middle</t>
  </si>
  <si>
    <t>pB, pS, R, gmbM</t>
  </si>
  <si>
    <t>NGC4553</t>
  </si>
  <si>
    <t>12h36m7.5s</t>
  </si>
  <si>
    <t>-39h26m21s</t>
  </si>
  <si>
    <t>faint, very little extended, gradually a little brighter middle</t>
  </si>
  <si>
    <t>F, vlE, glbM</t>
  </si>
  <si>
    <t>NGC4554</t>
  </si>
  <si>
    <t>12h35m59.5s</t>
  </si>
  <si>
    <t>+11h15m55s</t>
  </si>
  <si>
    <t>NGC4555</t>
  </si>
  <si>
    <t>12h35m41s</t>
  </si>
  <si>
    <t>+26h31m26s</t>
  </si>
  <si>
    <t>bright, pretty small, irregularly round, very suddenly much brighter middle equivalent to 12th magnitude star</t>
  </si>
  <si>
    <t>B, pS, iR, vsmbM * 12</t>
  </si>
  <si>
    <t>NGC4556</t>
  </si>
  <si>
    <t>12h35m45.6s</t>
  </si>
  <si>
    <t>+26h54m33s</t>
  </si>
  <si>
    <t>pretty large, brighter middle and nucleus</t>
  </si>
  <si>
    <t>NGC4557</t>
  </si>
  <si>
    <t>12h35m49.7s</t>
  </si>
  <si>
    <t>+27h3m14s</t>
  </si>
  <si>
    <t>NGC4558</t>
  </si>
  <si>
    <t>12h35m52.6s</t>
  </si>
  <si>
    <t>+26h59m30s</t>
  </si>
  <si>
    <t>vF, nf of 2 or ? 3</t>
  </si>
  <si>
    <t>NGC4559</t>
  </si>
  <si>
    <t>锦鲤星系</t>
  </si>
  <si>
    <t>12h35m57.8s</t>
  </si>
  <si>
    <t>+27h57m35s</t>
  </si>
  <si>
    <t>very bright, very large, much extended 150°, gradually brighter middle, 3 stars to east</t>
  </si>
  <si>
    <t>vB, vL, mE 150°, gbM, 3 st f</t>
  </si>
  <si>
    <t>NGC4560</t>
  </si>
  <si>
    <t>considerably bright, pretty large, round, gradually brighter middle</t>
  </si>
  <si>
    <t>cB, pL, R, gbM</t>
  </si>
  <si>
    <t>NGC4561</t>
  </si>
  <si>
    <t>12h36m8.1s</t>
  </si>
  <si>
    <t>+19h19m18s</t>
  </si>
  <si>
    <t>pretty bright, pretty large, very little extended, a little brighter middle, mottled but not resolved</t>
  </si>
  <si>
    <t>pB, pL, vlE, lbM, r</t>
  </si>
  <si>
    <t>NGC4562</t>
  </si>
  <si>
    <t>12h35m34.5s</t>
  </si>
  <si>
    <t>+25h50m58s</t>
  </si>
  <si>
    <t>S, sp V 24</t>
  </si>
  <si>
    <t>NGC4563</t>
  </si>
  <si>
    <t>12h36m12.6s</t>
  </si>
  <si>
    <t>+26h56m30s</t>
  </si>
  <si>
    <t>NGC4564</t>
  </si>
  <si>
    <t>12h36m26.9s</t>
  </si>
  <si>
    <t>+11h26m23s</t>
  </si>
  <si>
    <t>pretty bright, small, a little extended, pretty suddenly brighter middle</t>
  </si>
  <si>
    <t>pB, S, lE, psbM</t>
  </si>
  <si>
    <t>NGC4565</t>
  </si>
  <si>
    <t>针状星系</t>
  </si>
  <si>
    <t>12h36m20.5s</t>
  </si>
  <si>
    <t>+25h59m16s</t>
  </si>
  <si>
    <t>B, eL, eE 135°, vsbMN = * 10·11</t>
  </si>
  <si>
    <t>NGC4566</t>
  </si>
  <si>
    <t>12h36m0.2s</t>
  </si>
  <si>
    <t>+54h13m14s</t>
  </si>
  <si>
    <t>NGC4567</t>
  </si>
  <si>
    <t>双胞胎星系</t>
  </si>
  <si>
    <t>12h36m32.7s</t>
  </si>
  <si>
    <t>+11h15m28s</t>
  </si>
  <si>
    <t>vF, L, np of D neb, pos 160° ±</t>
  </si>
  <si>
    <t>NGC4568</t>
  </si>
  <si>
    <t>12h36m34.2s</t>
  </si>
  <si>
    <t>+11h14m19s</t>
  </si>
  <si>
    <t>vF, L, sf of D neb, pos 160° ±</t>
  </si>
  <si>
    <t>NGC4569</t>
  </si>
  <si>
    <t>12h36m50s</t>
  </si>
  <si>
    <t>+13h9m50s</t>
  </si>
  <si>
    <t>pL, bMN</t>
  </si>
  <si>
    <t>NGC4570</t>
  </si>
  <si>
    <t>12h36m53.2s</t>
  </si>
  <si>
    <t>+7h14m49s</t>
  </si>
  <si>
    <t>cB, pS, mE 0° ±, sbMrN</t>
  </si>
  <si>
    <t>NGC4571</t>
  </si>
  <si>
    <t>12h36m56.4s</t>
  </si>
  <si>
    <t>+14h13m3s</t>
  </si>
  <si>
    <t>very faint, large, extended, very gradually brighter middle, 9th magnitude star near to northeast</t>
  </si>
  <si>
    <t>vF, L, E, vgbM, * 9 nf nr</t>
  </si>
  <si>
    <t>NGC4572</t>
  </si>
  <si>
    <t>12h35m45.5s</t>
  </si>
  <si>
    <t>+74h14m46s</t>
  </si>
  <si>
    <t>NGC4573</t>
  </si>
  <si>
    <t>12h37m43.7s</t>
  </si>
  <si>
    <t>-43h37m17s</t>
  </si>
  <si>
    <t>vF, S, * 10 n 30"</t>
  </si>
  <si>
    <t>NGC4574</t>
  </si>
  <si>
    <t>12h37m43.5s</t>
  </si>
  <si>
    <t>-35h31m5s</t>
  </si>
  <si>
    <t>very faint, large, a little extended, very gradually a little brighter middle</t>
  </si>
  <si>
    <t>vF, L, lE, vglbM</t>
  </si>
  <si>
    <t>NGC4575</t>
  </si>
  <si>
    <t>12h37m51.1s</t>
  </si>
  <si>
    <t>-40h32m15s</t>
  </si>
  <si>
    <t>faint, small, pretty much extended, 2 stars to west</t>
  </si>
  <si>
    <t>F, S, pmE, 2 st p</t>
  </si>
  <si>
    <t>NGC4576</t>
  </si>
  <si>
    <t>12h37m33.5s</t>
  </si>
  <si>
    <t>+4h22m3s</t>
  </si>
  <si>
    <t>faint, 7th magnitude star to southeast</t>
  </si>
  <si>
    <t>F, * 7 sf</t>
  </si>
  <si>
    <t>NGC4577</t>
  </si>
  <si>
    <t>12h39m12.4s</t>
  </si>
  <si>
    <t>+6h0m44s</t>
  </si>
  <si>
    <t>a remarkable object, very bright, very large, extremely extended 92°, very suddenly much bright middle and nucleus</t>
  </si>
  <si>
    <t>NGC4578</t>
  </si>
  <si>
    <t>12h37m30.6s</t>
  </si>
  <si>
    <t>+9h33m20s</t>
  </si>
  <si>
    <t>pretty faint, pretty small, round, suddenly brighter middle and nucleus, star to northwest</t>
  </si>
  <si>
    <t>pF, pS, R, sbMN, * np</t>
  </si>
  <si>
    <t>NGC4579</t>
  </si>
  <si>
    <t>+11h49m6s</t>
  </si>
  <si>
    <t>bright, large, irregularly round, very much brighter middle, mottled but not resolved</t>
  </si>
  <si>
    <t>B, L, iR, vmbM, r</t>
  </si>
  <si>
    <t>NGC4580</t>
  </si>
  <si>
    <t>12h37m48.3s</t>
  </si>
  <si>
    <t>+5h22m5s</t>
  </si>
  <si>
    <t>pretty bright, large, very gradually brighter middle</t>
  </si>
  <si>
    <t>pB, L, vgbM</t>
  </si>
  <si>
    <t>NGC4581</t>
  </si>
  <si>
    <t>12h38m5.1s</t>
  </si>
  <si>
    <t>+1h28m42s</t>
  </si>
  <si>
    <t>faint, small, brighter middle, stellar nucleus</t>
  </si>
  <si>
    <t>F, S, bM, stell N</t>
  </si>
  <si>
    <t>NGC4582</t>
  </si>
  <si>
    <t>12h38m10.1s</t>
  </si>
  <si>
    <t>+0h11m0s</t>
  </si>
  <si>
    <t>* 12 in F neb</t>
  </si>
  <si>
    <t>NGC4583</t>
  </si>
  <si>
    <t>12h38m4.4s</t>
  </si>
  <si>
    <t>+33h27m31s</t>
  </si>
  <si>
    <t>considerably faint, small, a little extended, brighter middle</t>
  </si>
  <si>
    <t>cF, S, lE, bM</t>
  </si>
  <si>
    <t>NGC4584</t>
  </si>
  <si>
    <t>12h38m17.8s</t>
  </si>
  <si>
    <t>+13h6m38s</t>
  </si>
  <si>
    <t>NGC4585</t>
  </si>
  <si>
    <t>12h38m13.2s</t>
  </si>
  <si>
    <t>+28h56m14s</t>
  </si>
  <si>
    <t>NGC4586</t>
  </si>
  <si>
    <t>12h38m28.3s</t>
  </si>
  <si>
    <t>+4h19m7s</t>
  </si>
  <si>
    <t>pretty bright, large, extended, pretty suddenly brighter middle</t>
  </si>
  <si>
    <t>pB, L, E, psbM</t>
  </si>
  <si>
    <t>NGC4587</t>
  </si>
  <si>
    <t>12h38m35.3s</t>
  </si>
  <si>
    <t>+2h39m28s</t>
  </si>
  <si>
    <t>faint, pretty small, much brighter middle</t>
  </si>
  <si>
    <t>F, pS, mbM</t>
  </si>
  <si>
    <t>NGC4588</t>
  </si>
  <si>
    <t>12h38m45.4s</t>
  </si>
  <si>
    <t>+6h46m3s</t>
  </si>
  <si>
    <t>NGC4589</t>
  </si>
  <si>
    <t>12h37m24.6s</t>
  </si>
  <si>
    <t>+74h11m31s</t>
  </si>
  <si>
    <t>considerably bright, large, a little extended, pretty gradually much brighter middle</t>
  </si>
  <si>
    <t>cB, L, lE, pgmbM</t>
  </si>
  <si>
    <t>NGC4590</t>
  </si>
  <si>
    <t>12h39m28s</t>
  </si>
  <si>
    <t>-26h44m32s</t>
  </si>
  <si>
    <t>a globular cluster, large, extremely rich, very compressed, irregularly round, clearly consisting of stars, stars of 12th magnitude</t>
  </si>
  <si>
    <t>globular, L, eRi, vC, iR, rrr, st 12</t>
  </si>
  <si>
    <t>NGC4591</t>
  </si>
  <si>
    <t>very faint, considerably small</t>
  </si>
  <si>
    <t>vF, cS</t>
  </si>
  <si>
    <t>NGC4592</t>
  </si>
  <si>
    <t>12h39m18.6s</t>
  </si>
  <si>
    <t>-0h31m53s</t>
  </si>
  <si>
    <t>faint, large, extended 90°±, very gradually brighter middle</t>
  </si>
  <si>
    <t>F, L, E 90° ±, vgbM</t>
  </si>
  <si>
    <t>NGC4593</t>
  </si>
  <si>
    <t>12h39m39.3s</t>
  </si>
  <si>
    <t>-5h20m38s</t>
  </si>
  <si>
    <t>pB, cL, E, sbMN = *</t>
  </si>
  <si>
    <t>NGC4594</t>
  </si>
  <si>
    <t>草帽星系</t>
  </si>
  <si>
    <t>12h39m59.3s</t>
  </si>
  <si>
    <t>-11h37m21s</t>
  </si>
  <si>
    <t>!, vB, vL, eE 92°, vsmbMN</t>
  </si>
  <si>
    <t>NGC4595</t>
  </si>
  <si>
    <t>12h39m51.7s</t>
  </si>
  <si>
    <t>+15h17m52s</t>
  </si>
  <si>
    <t>NGC4596</t>
  </si>
  <si>
    <t>12h39m56s</t>
  </si>
  <si>
    <t>+10h10m35s</t>
  </si>
  <si>
    <t>bright, pretty small, round, gradually much brighter middle, mottled but not resolved, 3 stars to east</t>
  </si>
  <si>
    <t>B, pS, R, gmbM, r, 3 st f</t>
  </si>
  <si>
    <t>NGC4597</t>
  </si>
  <si>
    <t>12h40m12.3s</t>
  </si>
  <si>
    <t>-5h48m2s</t>
  </si>
  <si>
    <t>faint, very large, brighter middle</t>
  </si>
  <si>
    <t>F, vL, bM</t>
  </si>
  <si>
    <t>NGC4598</t>
  </si>
  <si>
    <t>12h40m11.9s</t>
  </si>
  <si>
    <t>+8h23m0s</t>
  </si>
  <si>
    <t>extremely faint, large, round, very little brighter middle</t>
  </si>
  <si>
    <t>eF, L, R, vlbM</t>
  </si>
  <si>
    <t>NGC4599</t>
  </si>
  <si>
    <t>12h40m26.9s</t>
  </si>
  <si>
    <t>+1h11m48s</t>
  </si>
  <si>
    <t>NGC4600</t>
  </si>
  <si>
    <t>12h40m22.9s</t>
  </si>
  <si>
    <t>+3h7m4s</t>
  </si>
  <si>
    <t>faint, small, round, two 8th magnitude stars to east</t>
  </si>
  <si>
    <t>F, S, R, 2 st 8 f</t>
  </si>
  <si>
    <t>NGC4601</t>
  </si>
  <si>
    <t>12h40m46.6s</t>
  </si>
  <si>
    <t>-40h53m37s</t>
  </si>
  <si>
    <t>extremely faint, large, round, pretty suddenly a little brighter middle, western of 2</t>
  </si>
  <si>
    <t>eF, L, R, pslbM, p of 2</t>
  </si>
  <si>
    <t>NGC4602</t>
  </si>
  <si>
    <t>12h40m36.8s</t>
  </si>
  <si>
    <t>-5h7m57s</t>
  </si>
  <si>
    <t>faint, large, extended, very gradually a little brighter middle</t>
  </si>
  <si>
    <t>F, L, E, vglbM</t>
  </si>
  <si>
    <t>NGC4603</t>
  </si>
  <si>
    <t>12h40m55s</t>
  </si>
  <si>
    <t>-40h58m34s</t>
  </si>
  <si>
    <t>faint, large, round, very gradually brighter middle, mottled but not resolved</t>
  </si>
  <si>
    <t>F, L, R, vgbM, r</t>
  </si>
  <si>
    <t>NGC4604</t>
  </si>
  <si>
    <t>12h40m44.9s</t>
  </si>
  <si>
    <t>-5h18m10s</t>
  </si>
  <si>
    <t>NGC4605</t>
  </si>
  <si>
    <t>俄罗斯彩蛋星系</t>
  </si>
  <si>
    <t>+61h36m30s</t>
  </si>
  <si>
    <t>B, L, vmE 118°.6, glbM</t>
  </si>
  <si>
    <t>NGC4606</t>
  </si>
  <si>
    <t>12h40m57.5s</t>
  </si>
  <si>
    <t>+11h54m43s</t>
  </si>
  <si>
    <t>vF, pS, E, 2 or 3 vS st inv</t>
  </si>
  <si>
    <t>NGC4607</t>
  </si>
  <si>
    <t>12h41m12.2s</t>
  </si>
  <si>
    <t>+11h53m8s</t>
  </si>
  <si>
    <t>F, mE, 3' or 4' f III 43</t>
  </si>
  <si>
    <t>NGC4608</t>
  </si>
  <si>
    <t>12h41m13.2s</t>
  </si>
  <si>
    <t>+10h9m20s</t>
  </si>
  <si>
    <t>pB, pL, R, psbM, r, * 12 np 1'</t>
  </si>
  <si>
    <t>NGC4609</t>
  </si>
  <si>
    <t>煤袋星团</t>
  </si>
  <si>
    <t>12h42m19.8s</t>
  </si>
  <si>
    <t>-62h59m38s</t>
  </si>
  <si>
    <t>a cluster, pretty large, pretty compressed, considerably extended, stars of 10th magnitude</t>
  </si>
  <si>
    <t>Cl, pL, pC, cE, st 10</t>
  </si>
  <si>
    <t>NGC4610</t>
  </si>
  <si>
    <t>F, vL (Place uncertain)</t>
  </si>
  <si>
    <t>NGC4611</t>
  </si>
  <si>
    <t>12h41m25.4s</t>
  </si>
  <si>
    <t>+13h43m47s</t>
  </si>
  <si>
    <t>considerably faint, small, a little extended, between 2 very faint stars</t>
  </si>
  <si>
    <t>eF, S, lE, bet 2 vF st</t>
  </si>
  <si>
    <t>NGC4612</t>
  </si>
  <si>
    <t>12h41m32.8s</t>
  </si>
  <si>
    <t>+7h18m53s</t>
  </si>
  <si>
    <t>NGC4613</t>
  </si>
  <si>
    <t>12h41m29s</t>
  </si>
  <si>
    <t>+26h5m18s</t>
  </si>
  <si>
    <t>very faint, small, a little extended, 1st of 3</t>
  </si>
  <si>
    <t>vF, S, lE, 1st of 3</t>
  </si>
  <si>
    <t>NGC4614</t>
  </si>
  <si>
    <t>12h41m31.6s</t>
  </si>
  <si>
    <t>+26h2m35s</t>
  </si>
  <si>
    <t>faint, small, round, 12th magnitude star to northwest, 2nd of 3</t>
  </si>
  <si>
    <t>F, S, R, * 12 np, 2nd of 3</t>
  </si>
  <si>
    <t>NGC4615</t>
  </si>
  <si>
    <t>12h41m37.5s</t>
  </si>
  <si>
    <t>+26h4m22s</t>
  </si>
  <si>
    <t>faint, pretty large, extended, 3rd of 3</t>
  </si>
  <si>
    <t>F, pL, E, 3rd of 3</t>
  </si>
  <si>
    <t>NGC4616</t>
  </si>
  <si>
    <t>12h42m16.5s</t>
  </si>
  <si>
    <t>-40h38m30s</t>
  </si>
  <si>
    <t>eF, vS, R, * att nf, p of 2</t>
  </si>
  <si>
    <t>NGC4617</t>
  </si>
  <si>
    <t>12h41m5.7s</t>
  </si>
  <si>
    <t>+50h23m39s</t>
  </si>
  <si>
    <t>pretty faint, small, irregularly round, extremely mottled but not resolved</t>
  </si>
  <si>
    <t>pF, S, iR, er</t>
  </si>
  <si>
    <t>NGC4618</t>
  </si>
  <si>
    <t>12h41m33s</t>
  </si>
  <si>
    <t>+41h9m4s</t>
  </si>
  <si>
    <t>B, L, E, mbM, curved branch n</t>
  </si>
  <si>
    <t>NGC4619</t>
  </si>
  <si>
    <t>12h41m44.4s</t>
  </si>
  <si>
    <t>+35h3m46s</t>
  </si>
  <si>
    <t>F, pS, R, lbM, * 8·9 f</t>
  </si>
  <si>
    <t>NGC4620</t>
  </si>
  <si>
    <t>12h41m59.3s</t>
  </si>
  <si>
    <t>+12h56m36s</t>
  </si>
  <si>
    <t>NGC4621</t>
  </si>
  <si>
    <t>12h42m2.2s</t>
  </si>
  <si>
    <t>+11h38m50s</t>
  </si>
  <si>
    <t>bright, pretty large, a little extended, very suddenly very much brighter middle, 2 stars to west</t>
  </si>
  <si>
    <t>B, pL, lE, vsvmbM, 2 st p</t>
  </si>
  <si>
    <t>NGC4622</t>
  </si>
  <si>
    <t>半人马座星系链</t>
  </si>
  <si>
    <t>12h42m37.6s</t>
  </si>
  <si>
    <t>-40h44m38s</t>
  </si>
  <si>
    <t>pretty faint, small, round, pretty suddenly a little brighter middle, eastern of 2</t>
  </si>
  <si>
    <t>pF, S, R, pslbM, f of 2</t>
  </si>
  <si>
    <t>NGC4623</t>
  </si>
  <si>
    <t>12h42m10.6s</t>
  </si>
  <si>
    <t>+7h40m35s</t>
  </si>
  <si>
    <t>considerably faint, pretty large, extended, pretty suddenly a little brighter middle, mottled but not resolved</t>
  </si>
  <si>
    <t>cF, pL, E, pslbM, r</t>
  </si>
  <si>
    <t>NGC4624</t>
  </si>
  <si>
    <t>12h45m6.1s</t>
  </si>
  <si>
    <t>+3h3m19s</t>
  </si>
  <si>
    <t>bright, extended</t>
  </si>
  <si>
    <t>B, E</t>
  </si>
  <si>
    <t>NGC4625</t>
  </si>
  <si>
    <t>12h41m52.5s</t>
  </si>
  <si>
    <t>+41h16m25s</t>
  </si>
  <si>
    <t>NGC4626</t>
  </si>
  <si>
    <t>12h42m25.4s</t>
  </si>
  <si>
    <t>-7h2m41s</t>
  </si>
  <si>
    <t>very faint, considerably small, a little extended, gradually a little brighter middle</t>
  </si>
  <si>
    <t>vF, cS, lE, glbM</t>
  </si>
  <si>
    <t>NGC4627</t>
  </si>
  <si>
    <t>E4/P</t>
  </si>
  <si>
    <t>12h41m59.6s</t>
  </si>
  <si>
    <t>+32h34m26s</t>
  </si>
  <si>
    <t>faint, small, round, northwest of 2</t>
  </si>
  <si>
    <t>F, S, R, np of 2</t>
  </si>
  <si>
    <t>NGC4628</t>
  </si>
  <si>
    <t>12h42m25.3s</t>
  </si>
  <si>
    <t>-6h58m15s</t>
  </si>
  <si>
    <t>NGC4629</t>
  </si>
  <si>
    <t>12h42m32.7s</t>
  </si>
  <si>
    <t>-1h21m3s</t>
  </si>
  <si>
    <t>pretty bright, pretty large, extended, a little brighter middle, prehaps binuclear</t>
  </si>
  <si>
    <t>pB, pL, E, lbM, ? biN</t>
  </si>
  <si>
    <t>NGC4630</t>
  </si>
  <si>
    <t>12h42m31.1s</t>
  </si>
  <si>
    <t>+3h57m31s</t>
  </si>
  <si>
    <t>considerably faint, small, round, a little brighter middle</t>
  </si>
  <si>
    <t>cF, S, R, lbM</t>
  </si>
  <si>
    <t>NGC4631</t>
  </si>
  <si>
    <t>鲸鱼星系</t>
  </si>
  <si>
    <t>12h42m7.6s</t>
  </si>
  <si>
    <t>+32h32m30s</t>
  </si>
  <si>
    <t>remarkable, very bright, very large, extremely extended 70° or so, bright middle nucleus, 12th magnitude star attached on north</t>
  </si>
  <si>
    <t>!, vB, vL, eE 70° ±, bMN, * 12 att n</t>
  </si>
  <si>
    <t>NGC4632</t>
  </si>
  <si>
    <t>12h42m32.3s</t>
  </si>
  <si>
    <t>-0h4m50s</t>
  </si>
  <si>
    <t>pretty bright, large, extended 45°±</t>
  </si>
  <si>
    <t>pB, L, E 45° ±</t>
  </si>
  <si>
    <t>NGC4633</t>
  </si>
  <si>
    <t>12h42m37.1s</t>
  </si>
  <si>
    <t>+14h21m25s</t>
  </si>
  <si>
    <t>eeF, pS, F * close p, III 603 s</t>
  </si>
  <si>
    <t>NGC4634</t>
  </si>
  <si>
    <t>12h42m40.8s</t>
  </si>
  <si>
    <t>+14h17m46s</t>
  </si>
  <si>
    <t>vF, L, mE 135° ±, vgbM</t>
  </si>
  <si>
    <t>NGC4635</t>
  </si>
  <si>
    <t>12h42m38.7s</t>
  </si>
  <si>
    <t>+19h56m48s</t>
  </si>
  <si>
    <t>very faint, large, very gradually a little brighter middle</t>
  </si>
  <si>
    <t>vF, L, vglbM</t>
  </si>
  <si>
    <t>NGC4636</t>
  </si>
  <si>
    <t>12h42m49.7s</t>
  </si>
  <si>
    <t>+2h41m14s</t>
  </si>
  <si>
    <t>bright, large, irregularly round, very gradually very much brighter middle, mottled but not resolved</t>
  </si>
  <si>
    <t>B, L, iR, vgvmbM, r</t>
  </si>
  <si>
    <t>NGC4637</t>
  </si>
  <si>
    <t>12h42m54.2s</t>
  </si>
  <si>
    <t>+11h26m17s</t>
  </si>
  <si>
    <t>Makes a D neb with h 1402 (?)</t>
  </si>
  <si>
    <t>NGC4638</t>
  </si>
  <si>
    <t>12h42m47.3s</t>
  </si>
  <si>
    <t>+11h26m33s</t>
  </si>
  <si>
    <t>NGC4639</t>
  </si>
  <si>
    <t>12h42m52.3s</t>
  </si>
  <si>
    <t>+13h15m26s</t>
  </si>
  <si>
    <t>pB, S, E, r, * 12 sf 1'</t>
  </si>
  <si>
    <t>NGC4640</t>
  </si>
  <si>
    <t>12h42m57.8s</t>
  </si>
  <si>
    <t>+12h17m12s</t>
  </si>
  <si>
    <t>eF, pL, lE, * nr p</t>
  </si>
  <si>
    <t>NGC4641</t>
  </si>
  <si>
    <t>12h43m7.6s</t>
  </si>
  <si>
    <t>+12h3m5s</t>
  </si>
  <si>
    <t>eF, pL, R, F * nr f</t>
  </si>
  <si>
    <t>NGC4642</t>
  </si>
  <si>
    <t>12h43m17.6s</t>
  </si>
  <si>
    <t>-0h38m42s</t>
  </si>
  <si>
    <t>very faint, considerably small, extended</t>
  </si>
  <si>
    <t>vF, cS, E</t>
  </si>
  <si>
    <t>NGC4643</t>
  </si>
  <si>
    <t>12h43m20.1s</t>
  </si>
  <si>
    <t>+1h58m41s</t>
  </si>
  <si>
    <t>considerably bright, pretty small, a little extended, much brighter middle</t>
  </si>
  <si>
    <t>cB, pS, lE, mbM</t>
  </si>
  <si>
    <t>NGC4644</t>
  </si>
  <si>
    <t>12h42m42.6s</t>
  </si>
  <si>
    <t>+55h8m43s</t>
  </si>
  <si>
    <t>NGC4645</t>
  </si>
  <si>
    <t>12h44m9.9s</t>
  </si>
  <si>
    <t>-41h44m59s</t>
  </si>
  <si>
    <t>pretty bright, small, pretty suddenly brighter middle</t>
  </si>
  <si>
    <t>pB, S, psbM</t>
  </si>
  <si>
    <t>NGC4646</t>
  </si>
  <si>
    <t>12h42m52.1s</t>
  </si>
  <si>
    <t>+54h51m24s</t>
  </si>
  <si>
    <t>F, S, 4 vS st sp</t>
  </si>
  <si>
    <t>NGC4647</t>
  </si>
  <si>
    <t>12h43m32.5s</t>
  </si>
  <si>
    <t>+11h34m58s</t>
  </si>
  <si>
    <t>pF, pL, lE 115° ±, np of D neb</t>
  </si>
  <si>
    <t>NGC4648</t>
  </si>
  <si>
    <t>+74h25m20s</t>
  </si>
  <si>
    <t>pretty bright, considerably small, round, gradually brighter middle, double star to west</t>
  </si>
  <si>
    <t>pB, cS, R, gbM, ** p</t>
  </si>
  <si>
    <t>NGC4649</t>
  </si>
  <si>
    <t>12h43m39.8s</t>
  </si>
  <si>
    <t>+11h33m11s</t>
  </si>
  <si>
    <t>very bright, pretty large, round, eastern of double nebula</t>
  </si>
  <si>
    <t>vB, pL, R, f of D neb</t>
  </si>
  <si>
    <t>NGC4650</t>
  </si>
  <si>
    <t>12h44m19.4s</t>
  </si>
  <si>
    <t>-40h43m55s</t>
  </si>
  <si>
    <t>very faint, round, brighter middle, mottled but not resolved.</t>
  </si>
  <si>
    <t>vF, R, bM, r</t>
  </si>
  <si>
    <t>NGC4651</t>
  </si>
  <si>
    <t>伞星系</t>
  </si>
  <si>
    <t>12h43m42.5s</t>
  </si>
  <si>
    <t>+16h23m37s</t>
  </si>
  <si>
    <t>considerably bright, large, extended 90°, gradually brighter middle, mottled but not resolved</t>
  </si>
  <si>
    <t>cB, L, E 90°, gbM, r</t>
  </si>
  <si>
    <t>NGC4652</t>
  </si>
  <si>
    <t>12h43m19.7s</t>
  </si>
  <si>
    <t>+58h57m55s</t>
  </si>
  <si>
    <t>pretty faint, pretty large, gradually brighter middle, 2 bright stars 6 arcmin to northwest</t>
  </si>
  <si>
    <t>pF, pL, gbM, 2 B st 6' np</t>
  </si>
  <si>
    <t>NGC4653</t>
  </si>
  <si>
    <t>12h43m51s</t>
  </si>
  <si>
    <t>-0h33m40s</t>
  </si>
  <si>
    <t>NGC4654</t>
  </si>
  <si>
    <t>12h43m56.5s</t>
  </si>
  <si>
    <t>+13h7m35s</t>
  </si>
  <si>
    <t>faint, very large, pretty much extended, possible double, 3 stars near</t>
  </si>
  <si>
    <t>F, vL, pmE, ? D, 3 st nr</t>
  </si>
  <si>
    <t>NGC4655</t>
  </si>
  <si>
    <t>12h43m36.4s</t>
  </si>
  <si>
    <t>+41h1m9s</t>
  </si>
  <si>
    <t>very faint, very small, stellar, 15th magnitude star to east</t>
  </si>
  <si>
    <t>vF, vS, stellar, * 15 f</t>
  </si>
  <si>
    <t>NGC4656</t>
  </si>
  <si>
    <t>撬棒星系</t>
  </si>
  <si>
    <t>12h43m58.1s</t>
  </si>
  <si>
    <t>+32h10m11s</t>
  </si>
  <si>
    <t>a remarkable object, pretty bright, large, very much extended 34°, southwestern of 2</t>
  </si>
  <si>
    <t>!, pB, L, vmE 34°, sp of 2</t>
  </si>
  <si>
    <t>NGC4657</t>
  </si>
  <si>
    <t>鱼钩星系</t>
  </si>
  <si>
    <t>12h44m6.9s</t>
  </si>
  <si>
    <t>+32h12m33s</t>
  </si>
  <si>
    <t>remarkable, pretty faint, large, extended about 90°, northeastern of 2</t>
  </si>
  <si>
    <t>!, pF, L, E 90° ±, nf of 2</t>
  </si>
  <si>
    <t>NGC4658</t>
  </si>
  <si>
    <t>12h44m37.7s</t>
  </si>
  <si>
    <t>-10h5m4s</t>
  </si>
  <si>
    <t>very faint, large, extended, 16th magnitude star attached, 9th magnitude star to west</t>
  </si>
  <si>
    <t>vF, L, E, * 16 att, * 9 p</t>
  </si>
  <si>
    <t>NGC4659</t>
  </si>
  <si>
    <t>12h44m29.5s</t>
  </si>
  <si>
    <t>+13h29m56s</t>
  </si>
  <si>
    <t>faint, considerably small, round, brighter middle, mottled but not resolved</t>
  </si>
  <si>
    <t>F, cS, R, bM, r</t>
  </si>
  <si>
    <t>NGC4660</t>
  </si>
  <si>
    <t>12h44m31.8s</t>
  </si>
  <si>
    <t>+11h11m26s</t>
  </si>
  <si>
    <t>very bright, small, very suddenly very much brighter middle and nucleus</t>
  </si>
  <si>
    <t>vB, S, vsvmbMN</t>
  </si>
  <si>
    <t>NGC4661</t>
  </si>
  <si>
    <t>12h45m14.9s</t>
  </si>
  <si>
    <t>-40h49m28s</t>
  </si>
  <si>
    <t>NGC4662</t>
  </si>
  <si>
    <t>12h44m26.3s</t>
  </si>
  <si>
    <t>+37h7m16s</t>
  </si>
  <si>
    <t>pretty faint, pretty large, round, gradually brighter middle, mottled but not resolved</t>
  </si>
  <si>
    <t>pF, pL, R, gbM, r</t>
  </si>
  <si>
    <t>NGC4663</t>
  </si>
  <si>
    <t>12h44m47s</t>
  </si>
  <si>
    <t>-10h11m53s</t>
  </si>
  <si>
    <t>very faint, small, 13th or 14th magnitude star to east</t>
  </si>
  <si>
    <t>vF, S, * 13·14 f</t>
  </si>
  <si>
    <t>NGC4664</t>
  </si>
  <si>
    <t>pretty bright, 2 small stars in middle, small star to west (equal to h 1419?)</t>
  </si>
  <si>
    <t>pB, 2 S st in M, S * p (? h 1419)</t>
  </si>
  <si>
    <t>NGC4665</t>
  </si>
  <si>
    <t>B, pL, iR, mbM, * 10 sp</t>
  </si>
  <si>
    <t>NGC4666</t>
  </si>
  <si>
    <t>超级风星系</t>
  </si>
  <si>
    <t>12h45m8.2s</t>
  </si>
  <si>
    <t>-0h27m46s</t>
  </si>
  <si>
    <t>bright, very large, much extended 45°±, pretty suddenly brighter middle</t>
  </si>
  <si>
    <t>B, vL, mE 45° ±, psbM</t>
  </si>
  <si>
    <t>NGC4667</t>
  </si>
  <si>
    <t>bright, small, round, pretty suddenly brighter middle?</t>
  </si>
  <si>
    <t>B, S, R, psbM (?)</t>
  </si>
  <si>
    <t>NGC4668</t>
  </si>
  <si>
    <t>12h45m31.8s</t>
  </si>
  <si>
    <t>-0h32m10s</t>
  </si>
  <si>
    <t>NGC4669</t>
  </si>
  <si>
    <t>黑胶唱片星系</t>
  </si>
  <si>
    <t>12h44m46.7s</t>
  </si>
  <si>
    <t>+54h52m34s</t>
  </si>
  <si>
    <t>faint, extended, (mottled but not resolved?)</t>
  </si>
  <si>
    <t>F, E (? r)</t>
  </si>
  <si>
    <t>NGC4670</t>
  </si>
  <si>
    <t>12h45m16.9s</t>
  </si>
  <si>
    <t>+27h7m33s</t>
  </si>
  <si>
    <t>pretty faint, considerably small, round, brighter middle, mottled but not resolved, western of 2</t>
  </si>
  <si>
    <t>pF, cS, R, bM, r, p of 2</t>
  </si>
  <si>
    <t>NGC4671</t>
  </si>
  <si>
    <t>12h45m47.5s</t>
  </si>
  <si>
    <t>-7h4m11s</t>
  </si>
  <si>
    <t>NGC4672</t>
  </si>
  <si>
    <t>12h46m15.6s</t>
  </si>
  <si>
    <t>-41h42m21s</t>
  </si>
  <si>
    <t>NGC4673</t>
  </si>
  <si>
    <t>12h45m34.7s</t>
  </si>
  <si>
    <t>+27h3m40s</t>
  </si>
  <si>
    <t>faint, very small, round, suddenly brighter middle equivalent to 10th magnitude star, eastern of 2</t>
  </si>
  <si>
    <t>F, vS, R, sbM * 10, f of 2</t>
  </si>
  <si>
    <t>NGC4674</t>
  </si>
  <si>
    <t>12h46m3.3s</t>
  </si>
  <si>
    <t>-8h39m19s</t>
  </si>
  <si>
    <t>very faint, considerably small, round, gradually a little brighter middle</t>
  </si>
  <si>
    <t>vF, cS, R, glbM</t>
  </si>
  <si>
    <t>NGC4675</t>
  </si>
  <si>
    <t>12h45m31.7s</t>
  </si>
  <si>
    <t>+54h44m14s</t>
  </si>
  <si>
    <t>considerably faint, small, a little extended</t>
  </si>
  <si>
    <t>cF, S, lE</t>
  </si>
  <si>
    <t>NGC4676</t>
  </si>
  <si>
    <t>双鼠星系</t>
  </si>
  <si>
    <t>12h46m10.1s</t>
  </si>
  <si>
    <t>+30h43m57s</t>
  </si>
  <si>
    <t>very faint, pretty much extended, perhaps bi-nuclear</t>
  </si>
  <si>
    <t>vF, pmE, ? biN</t>
  </si>
  <si>
    <t>NGC4677</t>
  </si>
  <si>
    <t>12h46m57s</t>
  </si>
  <si>
    <t>-41h34m57s</t>
  </si>
  <si>
    <t>extremely faint, a little extended, very gradually brighter middle</t>
  </si>
  <si>
    <t>eF, lE, vgbM</t>
  </si>
  <si>
    <t>NGC4678</t>
  </si>
  <si>
    <t>12h49m41s</t>
  </si>
  <si>
    <t>-4h34m49s</t>
  </si>
  <si>
    <t>extremely faint, extremely small, round (nebulous?), star 2 seconds of time to east</t>
  </si>
  <si>
    <t>eF, eS, R (neb ?), * 2s f</t>
  </si>
  <si>
    <t>NGC4679</t>
  </si>
  <si>
    <t>12h47m30s</t>
  </si>
  <si>
    <t>-39h34m16s</t>
  </si>
  <si>
    <t>NGC4680</t>
  </si>
  <si>
    <t>12h46m54.7s</t>
  </si>
  <si>
    <t>-11h38m11s</t>
  </si>
  <si>
    <t>extremely faint, small, 1 or 2 stars involved</t>
  </si>
  <si>
    <t>eF, S, 1 or 2 st inv</t>
  </si>
  <si>
    <t>NGC4681</t>
  </si>
  <si>
    <t>12h47m28.7s</t>
  </si>
  <si>
    <t>-43h20m5s</t>
  </si>
  <si>
    <t>NGC4682</t>
  </si>
  <si>
    <t>12h47m15.5s</t>
  </si>
  <si>
    <t>-10h3m50s</t>
  </si>
  <si>
    <t>considerably faint, large, extended 45°±, gradually a very little brighter middle</t>
  </si>
  <si>
    <t>cF, L, E 45° ±, gvlbM</t>
  </si>
  <si>
    <t>NGC4683</t>
  </si>
  <si>
    <t>12h47m42.2s</t>
  </si>
  <si>
    <t>-41h31m44s</t>
  </si>
  <si>
    <t>extremely faint, pretty small, round, very gradually brighter middle, small star to southwest</t>
  </si>
  <si>
    <t>eF, pS, R, vgbM, S * sp</t>
  </si>
  <si>
    <t>NGC4684</t>
  </si>
  <si>
    <t>12h47m17.6s</t>
  </si>
  <si>
    <t>-2h43m37s</t>
  </si>
  <si>
    <t>bright, pretty large, pretty much extended 25°</t>
  </si>
  <si>
    <t>B, pL, pmE 25°</t>
  </si>
  <si>
    <t>NGC4685</t>
  </si>
  <si>
    <t>12h47m11.4s</t>
  </si>
  <si>
    <t>+19h27m53s</t>
  </si>
  <si>
    <t>faint, small, round, suddenly brighter middle like a star, partially resolved (some stars seen)</t>
  </si>
  <si>
    <t>F, S, R, sbM *, rr</t>
  </si>
  <si>
    <t>NGC4686</t>
  </si>
  <si>
    <t>12h46m39.7s</t>
  </si>
  <si>
    <t>+54h32m4s</t>
  </si>
  <si>
    <t>pretty faint, very small, very much extended, very suddenly much brighter middle</t>
  </si>
  <si>
    <t>pF, vS, vmE, vsmbM</t>
  </si>
  <si>
    <t>NGC4687</t>
  </si>
  <si>
    <t>12h47m23.8s</t>
  </si>
  <si>
    <t>+35h21m7s</t>
  </si>
  <si>
    <t>NGC4688</t>
  </si>
  <si>
    <t>12h47m46.5s</t>
  </si>
  <si>
    <t>+4h20m9s</t>
  </si>
  <si>
    <t>extremely faint, pretty large, 9th or 10th magnitude star 10 seconds of time to west</t>
  </si>
  <si>
    <t>eF, pL, * 9·10 p 10s</t>
  </si>
  <si>
    <t>NGC4689</t>
  </si>
  <si>
    <t>12h47m45.7s</t>
  </si>
  <si>
    <t>+13h45m44s</t>
  </si>
  <si>
    <t>pretty bright, very large, extended, very gradually a little brighter middle, mottled but not resolved</t>
  </si>
  <si>
    <t>pB, vL, E, vglbM, r</t>
  </si>
  <si>
    <t>NGC4690</t>
  </si>
  <si>
    <t>12h47m55.5s</t>
  </si>
  <si>
    <t>-1h39m22s</t>
  </si>
  <si>
    <t>NGC4691</t>
  </si>
  <si>
    <t>12h48m13.4s</t>
  </si>
  <si>
    <t>-3h19m57s</t>
  </si>
  <si>
    <t>pretty bright, pretty large, extended 90°±, much brighter middle</t>
  </si>
  <si>
    <t>pB, pL, E 90° ±, mbM</t>
  </si>
  <si>
    <t>NGC4692</t>
  </si>
  <si>
    <t>12h47m55.2s</t>
  </si>
  <si>
    <t>+27h13m20s</t>
  </si>
  <si>
    <t>faint, considerably small, round, brighter middle</t>
  </si>
  <si>
    <t>F, cS, R, bM</t>
  </si>
  <si>
    <t>NGC4693</t>
  </si>
  <si>
    <t>12h47m9s</t>
  </si>
  <si>
    <t>+71h10m34s</t>
  </si>
  <si>
    <t>vF, plE</t>
  </si>
  <si>
    <t>NGC4694</t>
  </si>
  <si>
    <t>12h48m14.9s</t>
  </si>
  <si>
    <t>+10h59m2s</t>
  </si>
  <si>
    <t>pretty faint, small, very little extended</t>
  </si>
  <si>
    <t>pF, S, vlE</t>
  </si>
  <si>
    <t>NGC4695</t>
  </si>
  <si>
    <t>12h47m32s</t>
  </si>
  <si>
    <t>+54h22m28s</t>
  </si>
  <si>
    <t>extremely faint, pretty small, very little extended, much brighter middle and nucleus</t>
  </si>
  <si>
    <t>eF, pS, vlE, mbMN</t>
  </si>
  <si>
    <t>NGC4696</t>
  </si>
  <si>
    <t>12h48m49.1s</t>
  </si>
  <si>
    <t>-41h18m42s</t>
  </si>
  <si>
    <t>pretty bright, large, round, gradually brighter middle, mottled but not resolved</t>
  </si>
  <si>
    <t>pB, L, R, gbM, r</t>
  </si>
  <si>
    <t>NGC4697</t>
  </si>
  <si>
    <t>12h48m35.8s</t>
  </si>
  <si>
    <t>-5h48m0s</t>
  </si>
  <si>
    <t>very bright, large, a little extended 45°±, suddenly much brighter middle and nucleus</t>
  </si>
  <si>
    <t>vB, L, lE 45° ±, smbMN</t>
  </si>
  <si>
    <t>NGC4698</t>
  </si>
  <si>
    <t>12h48m23s</t>
  </si>
  <si>
    <t>+8h29m18s</t>
  </si>
  <si>
    <t>considerably bright, pretty large, irregularly round, brighter middle, mottled but not resolved</t>
  </si>
  <si>
    <t>cB, pL, iR, bM, r</t>
  </si>
  <si>
    <t>NGC4699</t>
  </si>
  <si>
    <t>12h49m2.2s</t>
  </si>
  <si>
    <t>-8h39m50s</t>
  </si>
  <si>
    <t>very bright, round, very much brighter middle and mottled but not resolved nucleus, mottled but not resolved</t>
  </si>
  <si>
    <t>vB, R, vmbMrN, r</t>
  </si>
  <si>
    <t>NGC4700</t>
  </si>
  <si>
    <t>12h49m7.8s</t>
  </si>
  <si>
    <t>-11h24m42s</t>
  </si>
  <si>
    <t>faint, large, much extended 40°, a very little brighter middle, bright star to west</t>
  </si>
  <si>
    <t>F, L, mE 40°, vlbM, B * p</t>
  </si>
  <si>
    <t>NGC4701</t>
  </si>
  <si>
    <t>12h49m11.4s</t>
  </si>
  <si>
    <t>+3h23m20s</t>
  </si>
  <si>
    <t>NGC4702</t>
  </si>
  <si>
    <t>a cluster, faint, small, very much compressed</t>
  </si>
  <si>
    <t>Cl, F, S, vmC</t>
  </si>
  <si>
    <t>NGC4703</t>
  </si>
  <si>
    <t>12h49m18.9s</t>
  </si>
  <si>
    <t>-9h6m30s</t>
  </si>
  <si>
    <t>extremely faint, considerably small, pretty much extended</t>
  </si>
  <si>
    <t>eF, cS, pmE</t>
  </si>
  <si>
    <t>NGC4704</t>
  </si>
  <si>
    <t>12h48m46.4s</t>
  </si>
  <si>
    <t>+41h55m16s</t>
  </si>
  <si>
    <t>considerably faint, small, round, gradually brighter middle</t>
  </si>
  <si>
    <t>cF, S, R, gbM</t>
  </si>
  <si>
    <t>NGC4705</t>
  </si>
  <si>
    <t>12h49m24.9s</t>
  </si>
  <si>
    <t>-5h11m43s</t>
  </si>
  <si>
    <t>considerably faint, pretty large, a little extended</t>
  </si>
  <si>
    <t>cF, pL, lE</t>
  </si>
  <si>
    <t>NGC4706</t>
  </si>
  <si>
    <t>12h49m54s</t>
  </si>
  <si>
    <t>-41h16m46s</t>
  </si>
  <si>
    <t>NGC4707</t>
  </si>
  <si>
    <t>12h48m23.2s</t>
  </si>
  <si>
    <t>+51h9m48s</t>
  </si>
  <si>
    <t>small, stellar</t>
  </si>
  <si>
    <t>NGC4708</t>
  </si>
  <si>
    <t>12h49m41.6s</t>
  </si>
  <si>
    <t>-11h5m37s</t>
  </si>
  <si>
    <t>NGC4709</t>
  </si>
  <si>
    <t>12h50m3.9s</t>
  </si>
  <si>
    <t>-41h22m57s</t>
  </si>
  <si>
    <t>pretty bright, considerably small, round, gradually brighter middle</t>
  </si>
  <si>
    <t>pB, cS, R, gbM</t>
  </si>
  <si>
    <t>NGC4710</t>
  </si>
  <si>
    <t>12h49m38.7s</t>
  </si>
  <si>
    <t>+15h9m53s</t>
  </si>
  <si>
    <t>cB, pL, vmE 28°.5, sbMN</t>
  </si>
  <si>
    <t>NGC4711</t>
  </si>
  <si>
    <t>12h48m45.7s</t>
  </si>
  <si>
    <t>+35h19m58s</t>
  </si>
  <si>
    <t>faint, small, extended, gradually a little brighter middle, extremely mottled but not resolved</t>
  </si>
  <si>
    <t>F, S, E, glbM, er</t>
  </si>
  <si>
    <t>NGC4712</t>
  </si>
  <si>
    <t>12h49m34.1s</t>
  </si>
  <si>
    <t>+25h28m11s</t>
  </si>
  <si>
    <t>NGC4713</t>
  </si>
  <si>
    <t>12h49m57.6s</t>
  </si>
  <si>
    <t>+5h18m40s</t>
  </si>
  <si>
    <t>pretty bright, large, very little extended, gradually a little brighter middle</t>
  </si>
  <si>
    <t>pB, L, vlE, glbM</t>
  </si>
  <si>
    <t>NGC4714</t>
  </si>
  <si>
    <t>12h50m19.2s</t>
  </si>
  <si>
    <t>-13h19m28s</t>
  </si>
  <si>
    <t>NGC4715</t>
  </si>
  <si>
    <t>12h49m57.8s</t>
  </si>
  <si>
    <t>+27h49m22s</t>
  </si>
  <si>
    <t>NGC4716</t>
  </si>
  <si>
    <t>12h50m33.1s</t>
  </si>
  <si>
    <t>-9h27m3s</t>
  </si>
  <si>
    <t>Double neb, np brighter &amp; smbM, sf one fainter</t>
  </si>
  <si>
    <t>NGC4717</t>
  </si>
  <si>
    <t>12h50m34.5s</t>
  </si>
  <si>
    <t>NGC4718</t>
  </si>
  <si>
    <t>12h50m32.5s</t>
  </si>
  <si>
    <t>-5h16m55s</t>
  </si>
  <si>
    <t>extremely faint, very small, between 2 stars</t>
  </si>
  <si>
    <t>eF, vS, bet 2 st</t>
  </si>
  <si>
    <t>NGC4719</t>
  </si>
  <si>
    <t>12h50m8.6s</t>
  </si>
  <si>
    <t>+33h9m33s</t>
  </si>
  <si>
    <t>NGC4720</t>
  </si>
  <si>
    <t>12h50m42.6s</t>
  </si>
  <si>
    <t>-4h9m21s</t>
  </si>
  <si>
    <t>extremely faint, small, brighter middle</t>
  </si>
  <si>
    <t>eF, S, bM</t>
  </si>
  <si>
    <t>NGC4721</t>
  </si>
  <si>
    <t>12h50m19.8s</t>
  </si>
  <si>
    <t>+27h19m29s</t>
  </si>
  <si>
    <t>vF, vS, ? R</t>
  </si>
  <si>
    <t>NGC4722</t>
  </si>
  <si>
    <t>12h51m32.3s</t>
  </si>
  <si>
    <t>-13h19m48s</t>
  </si>
  <si>
    <t>Howe has only one, RA 12 44 14, NPD 102 34.0, with an 11.5 magnitude star 4 seconds east</t>
  </si>
  <si>
    <t>2 vF, vS, f III 356</t>
  </si>
  <si>
    <t>NGC4723</t>
  </si>
  <si>
    <t>12h51m3s</t>
  </si>
  <si>
    <t>-13h14m12s</t>
  </si>
  <si>
    <t>NGC4724</t>
  </si>
  <si>
    <t>12h50m53.6s</t>
  </si>
  <si>
    <t>-14h19m56s</t>
  </si>
  <si>
    <t>faint, very small, round, stellar, northwestern of 2</t>
  </si>
  <si>
    <t>F, vS, R, stellar, np of 2</t>
  </si>
  <si>
    <t>NGC4725</t>
  </si>
  <si>
    <t>12h50m26.5s</t>
  </si>
  <si>
    <t>+25h30m0s</t>
  </si>
  <si>
    <t>vB, vL, E, vg, vsvmbMeBN</t>
  </si>
  <si>
    <t>NGC4726</t>
  </si>
  <si>
    <t>12h50m46s</t>
  </si>
  <si>
    <t>-14h16m4s</t>
  </si>
  <si>
    <t>vF, 4' n of D neb</t>
  </si>
  <si>
    <t>NGC4727</t>
  </si>
  <si>
    <t>12h50m57.2s</t>
  </si>
  <si>
    <t>-14h19m59s</t>
  </si>
  <si>
    <t>faint, pretty large, round, a little brighter middle, southeastern of 2</t>
  </si>
  <si>
    <t>F, pL, R, lbM, sf of 2</t>
  </si>
  <si>
    <t>NGC4728</t>
  </si>
  <si>
    <t>12h50m28s</t>
  </si>
  <si>
    <t>+27h26m7s</t>
  </si>
  <si>
    <t>NGC4729</t>
  </si>
  <si>
    <t>12h51m46.2s</t>
  </si>
  <si>
    <t>-41h7m56s</t>
  </si>
  <si>
    <t>neb, 1st of 3 p, a little s of h 3433</t>
  </si>
  <si>
    <t>NGC4730</t>
  </si>
  <si>
    <t>12h52m0.5s</t>
  </si>
  <si>
    <t>-41h8m49s</t>
  </si>
  <si>
    <t>2nd of 3 p, a little s of h 3433</t>
  </si>
  <si>
    <t>NGC4731</t>
  </si>
  <si>
    <t>12h51m1s</t>
  </si>
  <si>
    <t>-6h23m33s</t>
  </si>
  <si>
    <t>William Herschel in 1784 described it as 'a little brighter middle', not 'suddenly brighter middle', as in the GC. There has apparently not been any change; it is diffused, without condensation. The RA in NGC (per John Herschel) is correct (Armagh, 2 observations)</t>
  </si>
  <si>
    <t>NGC4732</t>
  </si>
  <si>
    <t>12h50m7s</t>
  </si>
  <si>
    <t>+52h51m0s</t>
  </si>
  <si>
    <t>faint, small, very suddenly much brighter middle</t>
  </si>
  <si>
    <t>F, S, vsmbM</t>
  </si>
  <si>
    <t>NGC4733</t>
  </si>
  <si>
    <t>12h51m6.7s</t>
  </si>
  <si>
    <t>+10h54m43s</t>
  </si>
  <si>
    <t>considerably faint, pretty large, a little extended, mottled but not resolved, 12th magnitude star to west</t>
  </si>
  <si>
    <t>cF, pL, lE, r, * 12 p</t>
  </si>
  <si>
    <t>NGC4734</t>
  </si>
  <si>
    <t>12h51m12.8s</t>
  </si>
  <si>
    <t>+4h51m31s</t>
  </si>
  <si>
    <t>NGC4735</t>
  </si>
  <si>
    <t>12h51m1.9s</t>
  </si>
  <si>
    <t>+28h55m41s</t>
  </si>
  <si>
    <t>very faint, very little brighter middle</t>
  </si>
  <si>
    <t>vF, vlbM</t>
  </si>
  <si>
    <t>NGC4736</t>
  </si>
  <si>
    <t>鳄鱼眼星系</t>
  </si>
  <si>
    <t>12h50m53.1s</t>
  </si>
  <si>
    <t>+41h7m17s</t>
  </si>
  <si>
    <t>very bright, large, irregularly round, very suddenly very much bright middle and bright nucleus, mottled but not resolved</t>
  </si>
  <si>
    <t>vB, L, iR, vsvmbMBN, r</t>
  </si>
  <si>
    <t>NGC4737</t>
  </si>
  <si>
    <t>12h50m52.9s</t>
  </si>
  <si>
    <t>+34h9m26s</t>
  </si>
  <si>
    <t>NGC4738</t>
  </si>
  <si>
    <t>12h51m8.9s</t>
  </si>
  <si>
    <t>+28h47m18s</t>
  </si>
  <si>
    <t>very faint, extended 30°, very little brighter middle</t>
  </si>
  <si>
    <t>vF, E 30°, vlbM</t>
  </si>
  <si>
    <t>NGC4739</t>
  </si>
  <si>
    <t>12h51m37.1s</t>
  </si>
  <si>
    <t>-8h24m35s</t>
  </si>
  <si>
    <t>faint, pretty large, a little extended, pretty gradually a little brighter middle</t>
  </si>
  <si>
    <t>F, pL, lE, pglbM</t>
  </si>
  <si>
    <t>NGC4740</t>
  </si>
  <si>
    <t xml:space="preserve">.       Per Dreyer, NGC 4736 (= GC 3258 = JH 1456, Méchain, M94, 1860 RA 12 44 17, NPD 48 07.0) is </t>
  </si>
  <si>
    <t>pF, pS, R, mbM</t>
  </si>
  <si>
    <t>NGC4741</t>
  </si>
  <si>
    <t>12h50m59.4s</t>
  </si>
  <si>
    <t>+47h40m18s</t>
  </si>
  <si>
    <t>NGC4742</t>
  </si>
  <si>
    <t>12h51m48s</t>
  </si>
  <si>
    <t>-10h27m17s</t>
  </si>
  <si>
    <t>pB, vS, vbMN = * 11, * 10 sf</t>
  </si>
  <si>
    <t>NGC4743</t>
  </si>
  <si>
    <t>12h52m15.6s</t>
  </si>
  <si>
    <t>-41h23m24s</t>
  </si>
  <si>
    <t>NGC4744</t>
  </si>
  <si>
    <t>12h52m19.5s</t>
  </si>
  <si>
    <t>-41h3m38s</t>
  </si>
  <si>
    <t>faint, large, extended, gradually brighter middle, 3rd of 3</t>
  </si>
  <si>
    <t>F, L, E, gbM, 3rd of 3</t>
  </si>
  <si>
    <t>NGC4745</t>
  </si>
  <si>
    <t>12h51m26.1s</t>
  </si>
  <si>
    <t>+27h25m18s</t>
  </si>
  <si>
    <t>eF, * 6 n</t>
  </si>
  <si>
    <t>NGC4746</t>
  </si>
  <si>
    <t>12h51m55.2s</t>
  </si>
  <si>
    <t>+12h4m59s</t>
  </si>
  <si>
    <t>pretty bright, much extended, mottled but not resolved</t>
  </si>
  <si>
    <t>pB, mE, r</t>
  </si>
  <si>
    <t>NGC4747</t>
  </si>
  <si>
    <t>12h51m45.4s</t>
  </si>
  <si>
    <t>+25h46m26s</t>
  </si>
  <si>
    <t>NGC4748</t>
  </si>
  <si>
    <t>1</t>
  </si>
  <si>
    <t>12h52m12.6s</t>
  </si>
  <si>
    <t>-13h24m49s</t>
  </si>
  <si>
    <t>faint, very small, irregularly round, gradually brighter middle</t>
  </si>
  <si>
    <t>F, vS, iR, gbM</t>
  </si>
  <si>
    <t>NGC4749</t>
  </si>
  <si>
    <t>12h51m12.2s</t>
  </si>
  <si>
    <t>+71h38m6s</t>
  </si>
  <si>
    <t>very faint, considerably large, extended 135°±</t>
  </si>
  <si>
    <t>vF, cL, E 135° ±</t>
  </si>
  <si>
    <t>NGC4750</t>
  </si>
  <si>
    <t>12h50m6.5s</t>
  </si>
  <si>
    <t>+72h52m28s</t>
  </si>
  <si>
    <t>pretty bright, large, round, very gradually, very suddenly brighter middle</t>
  </si>
  <si>
    <t>pB, L, R, vg, vsbM</t>
  </si>
  <si>
    <t>NGC4751</t>
  </si>
  <si>
    <t>12h52m50.6s</t>
  </si>
  <si>
    <t>-42h39m36s</t>
  </si>
  <si>
    <t>bright, pretty small, round, very gradually, very suddenly much brighter middle</t>
  </si>
  <si>
    <t>B, pS, R, vg, vsmbM</t>
  </si>
  <si>
    <t>NGC4752</t>
  </si>
  <si>
    <t>12h51m29.1s</t>
  </si>
  <si>
    <t>+13h46m57s</t>
  </si>
  <si>
    <t>NGC4753</t>
  </si>
  <si>
    <t>尘卷暴星系</t>
  </si>
  <si>
    <t>12h52m22.1s</t>
  </si>
  <si>
    <t>-1h12m0s</t>
  </si>
  <si>
    <t>considerably bright, large, very little extended, very gradually a little brighter middle</t>
  </si>
  <si>
    <t>cB, L, vlE, vglbM</t>
  </si>
  <si>
    <t>NGC4754</t>
  </si>
  <si>
    <t>12h52m17.6s</t>
  </si>
  <si>
    <t>+11h18m50s</t>
  </si>
  <si>
    <t>bright, pretty large, round, pretty suddenly brighter middle, western of 2</t>
  </si>
  <si>
    <t>B, pL, R, psbM, p of 2</t>
  </si>
  <si>
    <t>NGC4755</t>
  </si>
  <si>
    <t>宝盒星团</t>
  </si>
  <si>
    <t>12h53m39s</t>
  </si>
  <si>
    <t>-60h21m42s</t>
  </si>
  <si>
    <t>Cl, vL, st vB (κ Crucis)</t>
  </si>
  <si>
    <t>NGC4756</t>
  </si>
  <si>
    <t>12h52m52.2s</t>
  </si>
  <si>
    <t>-15h24m45s</t>
  </si>
  <si>
    <t>NGC4757</t>
  </si>
  <si>
    <t>12h52m49.9s</t>
  </si>
  <si>
    <t>-10h18m39s</t>
  </si>
  <si>
    <t>NGC4758</t>
  </si>
  <si>
    <t>12h52m43.9s</t>
  </si>
  <si>
    <t>+15h50m55s</t>
  </si>
  <si>
    <t>very faint, pretty large, extended?</t>
  </si>
  <si>
    <t>vF, pL, E ?</t>
  </si>
  <si>
    <t>NGC4759</t>
  </si>
  <si>
    <t>12h53m4.5s</t>
  </si>
  <si>
    <t>-9h11m59s</t>
  </si>
  <si>
    <t>pretty large, double, with a 10th-magnitude star 2 arcmin to the southwest</t>
  </si>
  <si>
    <t>pL, double, * 10 2' sp</t>
  </si>
  <si>
    <t>NGC4760</t>
  </si>
  <si>
    <t>12h53m7.2s</t>
  </si>
  <si>
    <t>-10h29m41s</t>
  </si>
  <si>
    <t>pretty bright, round</t>
  </si>
  <si>
    <t>pB, R</t>
  </si>
  <si>
    <t>NGC4761</t>
  </si>
  <si>
    <t>12h53m9.7s</t>
  </si>
  <si>
    <t>-9h11m51s</t>
  </si>
  <si>
    <t>eF, eS, 1' f D neb II 559</t>
  </si>
  <si>
    <t>NGC4762</t>
  </si>
  <si>
    <t>纸风筝星系</t>
  </si>
  <si>
    <t>12h52m55.9s</t>
  </si>
  <si>
    <t>+11h13m50s</t>
  </si>
  <si>
    <t>pB, vmE 31°, 3 B st s, f of 2</t>
  </si>
  <si>
    <t>NGC4763</t>
  </si>
  <si>
    <t>12h53m27.1s</t>
  </si>
  <si>
    <t>-17h0m21s</t>
  </si>
  <si>
    <t>very faint, small, a little brighter middle</t>
  </si>
  <si>
    <t>vF, S, lbM</t>
  </si>
  <si>
    <t>NGC4764</t>
  </si>
  <si>
    <t>12h53m6.7s</t>
  </si>
  <si>
    <t>-9h15m27s</t>
  </si>
  <si>
    <t>eF, eS, sf D neb II 559</t>
  </si>
  <si>
    <t>NGC4765</t>
  </si>
  <si>
    <t>12h53m14.6s</t>
  </si>
  <si>
    <t>+4h27m47s</t>
  </si>
  <si>
    <t>faint, considerably small, round, gradually brighter middle</t>
  </si>
  <si>
    <t>F, cS, R, gbM</t>
  </si>
  <si>
    <t>NGC4766</t>
  </si>
  <si>
    <t>12h53m8.2s</t>
  </si>
  <si>
    <t>-10h22m43s</t>
  </si>
  <si>
    <t>NGC4767</t>
  </si>
  <si>
    <t>12h53m52.9s</t>
  </si>
  <si>
    <t>-39h42m52s</t>
  </si>
  <si>
    <t>bright, pretty small, a little extended, much brighter middle</t>
  </si>
  <si>
    <t>B, pS, lE, mbM</t>
  </si>
  <si>
    <t>NGC4768</t>
  </si>
  <si>
    <t>12h53m17.2s</t>
  </si>
  <si>
    <t>-9h31m54s</t>
  </si>
  <si>
    <t>vF, vS, p III 525 on parallel</t>
  </si>
  <si>
    <t>NGC4769</t>
  </si>
  <si>
    <t>12h53m18s</t>
  </si>
  <si>
    <t>-9h32m11s</t>
  </si>
  <si>
    <t>NGC4770</t>
  </si>
  <si>
    <t>12h53m32.2s</t>
  </si>
  <si>
    <t>-9h32m28s</t>
  </si>
  <si>
    <t>NGC4771</t>
  </si>
  <si>
    <t>12h53m20.9s</t>
  </si>
  <si>
    <t>+1h16m12s</t>
  </si>
  <si>
    <t>F, pL, mE, * 9 p 90°</t>
  </si>
  <si>
    <t>NGC4772</t>
  </si>
  <si>
    <t>12h53m29s</t>
  </si>
  <si>
    <t>+2h10m7s</t>
  </si>
  <si>
    <t>pretty faint, pretty small, round, much brighter middle</t>
  </si>
  <si>
    <t>NGC4773</t>
  </si>
  <si>
    <t>12h53m35.9s</t>
  </si>
  <si>
    <t>-8h38m18s</t>
  </si>
  <si>
    <t>NGC4774</t>
  </si>
  <si>
    <t>腰豆星系</t>
  </si>
  <si>
    <t>Ring</t>
  </si>
  <si>
    <t>12h53m6.6s</t>
  </si>
  <si>
    <t>+36h49m8s</t>
  </si>
  <si>
    <t>extremely faint, considerably small, round, brighter middle</t>
  </si>
  <si>
    <t>eF, cS, R, bM</t>
  </si>
  <si>
    <t>NGC4775</t>
  </si>
  <si>
    <t>12h53m45.9s</t>
  </si>
  <si>
    <t>-6h37m22s</t>
  </si>
  <si>
    <t>faint, considerably large, round, very gradually a little brighter middle, mottled but not resolved</t>
  </si>
  <si>
    <t>F, cL, R, vglbM, r</t>
  </si>
  <si>
    <t>NGC4776</t>
  </si>
  <si>
    <t>faint, small, round, very little brighter middle, western of double nebula</t>
  </si>
  <si>
    <t>F, S, R, vlbM, p of D neb</t>
  </si>
  <si>
    <t>NGC4777</t>
  </si>
  <si>
    <t>12h53m58.5s</t>
  </si>
  <si>
    <t>-8h46m31s</t>
  </si>
  <si>
    <t>NGC4778</t>
  </si>
  <si>
    <t>12h53m5.7s</t>
  </si>
  <si>
    <t>-9h12m14s</t>
  </si>
  <si>
    <t>very faint, small, round, very little brighter middle, eastern of double nebula</t>
  </si>
  <si>
    <t>vF, S, R, vlbM, f of D neb</t>
  </si>
  <si>
    <t>NGC4779</t>
  </si>
  <si>
    <t>12h53m50.7s</t>
  </si>
  <si>
    <t>+9h42m33s</t>
  </si>
  <si>
    <t>very faint, pretty large, round, mottled but not resolved</t>
  </si>
  <si>
    <t>vF, pL, R, r</t>
  </si>
  <si>
    <t>NGC4780</t>
  </si>
  <si>
    <t>12h54m5.2s</t>
  </si>
  <si>
    <t>-8h37m15s</t>
  </si>
  <si>
    <t>vF, f III 516 and 517</t>
  </si>
  <si>
    <t>NGC4781</t>
  </si>
  <si>
    <t>12h54m23.6s</t>
  </si>
  <si>
    <t>-10h32m10s</t>
  </si>
  <si>
    <t>considerably bright, very large, much extended</t>
  </si>
  <si>
    <t>cB, vL, mE</t>
  </si>
  <si>
    <t>NGC4782</t>
  </si>
  <si>
    <t>12h54m35.8s</t>
  </si>
  <si>
    <t>pretty faint, pretty small, round, much brighter middle, western of double nebula</t>
  </si>
  <si>
    <t>pF, pS, R, mbM, p of D neb</t>
  </si>
  <si>
    <t>NGC4783</t>
  </si>
  <si>
    <t>E0/P</t>
  </si>
  <si>
    <t>12h54m36.4s</t>
  </si>
  <si>
    <t>pretty faint, pretty small, round, much brighter middle, eastern of double nebula</t>
  </si>
  <si>
    <t>pF, pS, R, mbM, f of D neb</t>
  </si>
  <si>
    <t>NGC4784</t>
  </si>
  <si>
    <t>12h54m37s</t>
  </si>
  <si>
    <t>-10h36m46s</t>
  </si>
  <si>
    <t>NGC4785</t>
  </si>
  <si>
    <t>-48h44m59s</t>
  </si>
  <si>
    <t>NGC4786</t>
  </si>
  <si>
    <t>12h54m32.3s</t>
  </si>
  <si>
    <t>-6h51m33s</t>
  </si>
  <si>
    <t>pretty bright, pretty small, much brighter middle, mottled but not resolved</t>
  </si>
  <si>
    <t>pB, pS, mbM, r</t>
  </si>
  <si>
    <t>NGC4787</t>
  </si>
  <si>
    <t>12h54m5.8s</t>
  </si>
  <si>
    <t>+27h4m6s</t>
  </si>
  <si>
    <t>vF, vS, II 345 f</t>
  </si>
  <si>
    <t>NGC4788</t>
  </si>
  <si>
    <t>12h54m16.2s</t>
  </si>
  <si>
    <t>+27h18m11s</t>
  </si>
  <si>
    <t>NGC4789</t>
  </si>
  <si>
    <t>12h54m19.2s</t>
  </si>
  <si>
    <t>+27h4m4s</t>
  </si>
  <si>
    <t>F, R, * 9 att 1' n</t>
  </si>
  <si>
    <t>NGC4790</t>
  </si>
  <si>
    <t>12h54m51.9s</t>
  </si>
  <si>
    <t>-10h14m52s</t>
  </si>
  <si>
    <t>pretty faint, pretty small, irregularly round</t>
  </si>
  <si>
    <t>pF, pS, iR</t>
  </si>
  <si>
    <t>NGC4791</t>
  </si>
  <si>
    <t>12h54m43.9s</t>
  </si>
  <si>
    <t>+8h3m13s</t>
  </si>
  <si>
    <t>extremely faint, very small, a little extended, very little brighter middle</t>
  </si>
  <si>
    <t>eF, vS, lE, vlbM</t>
  </si>
  <si>
    <t>NGC4792</t>
  </si>
  <si>
    <t>12h55m3.6s</t>
  </si>
  <si>
    <t>-12h29m48s</t>
  </si>
  <si>
    <t>vS, R, 7' n np of II 538</t>
  </si>
  <si>
    <t>NGC4793</t>
  </si>
  <si>
    <t>12h54m40.7s</t>
  </si>
  <si>
    <t>+28h56m17s</t>
  </si>
  <si>
    <t>pB, pS, lE, * 8 nf 1'</t>
  </si>
  <si>
    <t>NGC4794</t>
  </si>
  <si>
    <t>12h55m10.4s</t>
  </si>
  <si>
    <t>-12h36m33s</t>
  </si>
  <si>
    <t>vF, S, 2 or 3 st near</t>
  </si>
  <si>
    <t>NGC4795</t>
  </si>
  <si>
    <t>12h55m2.8s</t>
  </si>
  <si>
    <t>+8h3m58s</t>
  </si>
  <si>
    <t>pretty faint, pretty large, round, brighter middle, mottled but not resolved</t>
  </si>
  <si>
    <t>pF, pL, R, bM, r</t>
  </si>
  <si>
    <t>NGC4796</t>
  </si>
  <si>
    <t>12h55m4.6s</t>
  </si>
  <si>
    <t>+8h4m1s</t>
  </si>
  <si>
    <t>eF, eS, alm stell, close f h 1474</t>
  </si>
  <si>
    <t>NGC4797</t>
  </si>
  <si>
    <t>12h54m55.3s</t>
  </si>
  <si>
    <t>+27h24m46s</t>
  </si>
  <si>
    <t>NGC4798</t>
  </si>
  <si>
    <t>pretty faint, pretty small, gradually brighter middle</t>
  </si>
  <si>
    <t>pF, pS, gbM</t>
  </si>
  <si>
    <t>NGC4799</t>
  </si>
  <si>
    <t>12h55m15.4s</t>
  </si>
  <si>
    <t>+2h53m48s</t>
  </si>
  <si>
    <t>considerably faint, small, very small (faint) star attached</t>
  </si>
  <si>
    <t>cF, S, vS * att</t>
  </si>
  <si>
    <t>NGC4800</t>
  </si>
  <si>
    <t>12h54m37.8s</t>
  </si>
  <si>
    <t>+46h31m53s</t>
  </si>
  <si>
    <t>pB, cS, R, psbM, * 14 p</t>
  </si>
  <si>
    <t>NGC4801</t>
  </si>
  <si>
    <t>12h54m37.6s</t>
  </si>
  <si>
    <t>+53h5m26s</t>
  </si>
  <si>
    <t>NGC4802</t>
  </si>
  <si>
    <t>12h55m49.6s</t>
  </si>
  <si>
    <t>-12h3m17s</t>
  </si>
  <si>
    <t>remarkable object, very bright, very large, very much extended 120°±, brighter middle suddenly bright nucleus</t>
  </si>
  <si>
    <t>vF, S, * 10 att</t>
  </si>
  <si>
    <t>NGC4803</t>
  </si>
  <si>
    <t>12h55m33.7s</t>
  </si>
  <si>
    <t>+8h14m24s</t>
  </si>
  <si>
    <t>NGC4804</t>
  </si>
  <si>
    <t>12h55m52.3s</t>
  </si>
  <si>
    <t>-12h57m24s</t>
  </si>
  <si>
    <t>S, att to pB *</t>
  </si>
  <si>
    <t>NGC4805</t>
  </si>
  <si>
    <t>12h55m24.3s</t>
  </si>
  <si>
    <t>+27h58m49s</t>
  </si>
  <si>
    <t>NGC4806</t>
  </si>
  <si>
    <t>12h56m12.4s</t>
  </si>
  <si>
    <t>-29h30m10s</t>
  </si>
  <si>
    <t>faint, considerably small, round, gradually a very little brighter middle</t>
  </si>
  <si>
    <t>F, cS, R, gvlbM</t>
  </si>
  <si>
    <t>NGC4807</t>
  </si>
  <si>
    <t>12h55m29.3s</t>
  </si>
  <si>
    <t>+27h31m16s</t>
  </si>
  <si>
    <t>NGC4808</t>
  </si>
  <si>
    <t>12h55m48.9s</t>
  </si>
  <si>
    <t>+4h18m13s</t>
  </si>
  <si>
    <t>pretty bright, considerably large, extended 135°±</t>
  </si>
  <si>
    <t>pB, cL, E 135° ±</t>
  </si>
  <si>
    <t>NGC4809</t>
  </si>
  <si>
    <t>12h54m50.9s</t>
  </si>
  <si>
    <t>+2h39m10s</t>
  </si>
  <si>
    <t>F, D neb, E at right angles to each other</t>
  </si>
  <si>
    <t>NGC4810</t>
  </si>
  <si>
    <t>12h54m51.2s</t>
  </si>
  <si>
    <t>+2h38m27s</t>
  </si>
  <si>
    <t>NGC4811</t>
  </si>
  <si>
    <t>12h56m52.3s</t>
  </si>
  <si>
    <t>-41h47m51s</t>
  </si>
  <si>
    <t>extremely faint, considerably small, round, gradually brighter middle, western of 2</t>
  </si>
  <si>
    <t>eF, cS, R, gbM, p of 2</t>
  </si>
  <si>
    <t>NGC4812</t>
  </si>
  <si>
    <t>12h56m52.6s</t>
  </si>
  <si>
    <t>-41h48m49s</t>
  </si>
  <si>
    <t>extremely faint, small, round, gradually brighter middle, eastern of 2</t>
  </si>
  <si>
    <t>eF, S, R, gbM, f of 2</t>
  </si>
  <si>
    <t>NGC4813</t>
  </si>
  <si>
    <t>12h56m36s</t>
  </si>
  <si>
    <t>-6h49m5s</t>
  </si>
  <si>
    <t>NGC4814</t>
  </si>
  <si>
    <t>12h55m21.8s</t>
  </si>
  <si>
    <t>+58h20m40s</t>
  </si>
  <si>
    <t>bright, pretty small, very little extended, very gradually brighter middle</t>
  </si>
  <si>
    <t>B, pS, vlE, vgbM</t>
  </si>
  <si>
    <t>NGC4815</t>
  </si>
  <si>
    <t>12h57m58.3s</t>
  </si>
  <si>
    <t>-64h57m42s</t>
  </si>
  <si>
    <t>a cluster, pretty large, pretty rich, irregular figure, stars from 10th to 18th magnitude</t>
  </si>
  <si>
    <t>Cl, pL, pRi, iF, st 10…18</t>
  </si>
  <si>
    <t>NGC4816</t>
  </si>
  <si>
    <t>12h56m12.3s</t>
  </si>
  <si>
    <t>+27h44m43s</t>
  </si>
  <si>
    <t>NGC4817</t>
  </si>
  <si>
    <t>12h56m29.6s</t>
  </si>
  <si>
    <t>+27h56m25s</t>
  </si>
  <si>
    <t>very faint, no nucleus</t>
  </si>
  <si>
    <t>vF, no N</t>
  </si>
  <si>
    <t>NGC4818</t>
  </si>
  <si>
    <t>12h56m48.9s</t>
  </si>
  <si>
    <t>-8h31m30s</t>
  </si>
  <si>
    <t>pretty bright, large, pretty much extended 0°, gradually brighter middle</t>
  </si>
  <si>
    <t>pB, L, pmE 0°, gbM</t>
  </si>
  <si>
    <t>NGC4819</t>
  </si>
  <si>
    <t>12h56m28s</t>
  </si>
  <si>
    <t>+26h59m13s</t>
  </si>
  <si>
    <t>NGC4820</t>
  </si>
  <si>
    <t>12h57m0.5s</t>
  </si>
  <si>
    <t>-13h43m8s</t>
  </si>
  <si>
    <t>vS, sp of II 563</t>
  </si>
  <si>
    <t>NGC4821</t>
  </si>
  <si>
    <t>12h56m29.3s</t>
  </si>
  <si>
    <t>+26h57m25s</t>
  </si>
  <si>
    <t>vF, vS, II 346 np</t>
  </si>
  <si>
    <t>NGC4822</t>
  </si>
  <si>
    <t>12h57m3.6s</t>
  </si>
  <si>
    <t>-10h45m44s</t>
  </si>
  <si>
    <t>faint, star involved</t>
  </si>
  <si>
    <t>F, st inv</t>
  </si>
  <si>
    <t>NGC4823</t>
  </si>
  <si>
    <t>12h57m25.6s</t>
  </si>
  <si>
    <t>-13h41m54s</t>
  </si>
  <si>
    <t>NGC4824</t>
  </si>
  <si>
    <t>12h56m36.2s</t>
  </si>
  <si>
    <t>+27h26m1s</t>
  </si>
  <si>
    <t>NGC4825</t>
  </si>
  <si>
    <t>12h57m12.2s</t>
  </si>
  <si>
    <t>pretty bright, irregular figure, brighter middle</t>
  </si>
  <si>
    <t>pB, iF, bM</t>
  </si>
  <si>
    <t>NGC4826</t>
  </si>
  <si>
    <t>黑眼星系</t>
  </si>
  <si>
    <t>12h56m43.8s</t>
  </si>
  <si>
    <t>+21h40m59s</t>
  </si>
  <si>
    <t>! vB, vL, vmE 120° ±, bMSBN</t>
  </si>
  <si>
    <t>NGC4827</t>
  </si>
  <si>
    <t>12h56m43.7s</t>
  </si>
  <si>
    <t>+27h10m43s</t>
  </si>
  <si>
    <t>NGC4828</t>
  </si>
  <si>
    <t>12h56m42.8s</t>
  </si>
  <si>
    <t>+28h1m15s</t>
  </si>
  <si>
    <t>NGC4829</t>
  </si>
  <si>
    <t>12h57m24.5s</t>
  </si>
  <si>
    <t>-13h44m14s</t>
  </si>
  <si>
    <t>vS, sf II 563</t>
  </si>
  <si>
    <t>NGC4830</t>
  </si>
  <si>
    <t>12h57m27.9s</t>
  </si>
  <si>
    <t>-19h41m28s</t>
  </si>
  <si>
    <t>F, L, st inv, * 8 m 5' sf</t>
  </si>
  <si>
    <t>NGC4831</t>
  </si>
  <si>
    <t>12h57m36.6s</t>
  </si>
  <si>
    <t>-27h17m31s</t>
  </si>
  <si>
    <t>NGC4832</t>
  </si>
  <si>
    <t>12h57m47.4s</t>
  </si>
  <si>
    <t>-39h45m43s</t>
  </si>
  <si>
    <t>pF, vS, R, sbM * 17, * 10, 70°.3</t>
  </si>
  <si>
    <t>NGC4833</t>
  </si>
  <si>
    <t>南天蝴蝶星团</t>
  </si>
  <si>
    <t>VIII</t>
  </si>
  <si>
    <t>12h59m35s</t>
  </si>
  <si>
    <t>-70h52m27s</t>
  </si>
  <si>
    <t>a globular cluster, bright, large, round, gradually, then very suddenly brighter middle, stars of 12th magnitude</t>
  </si>
  <si>
    <t>globular, B, L, R, g, vsbM, st 12</t>
  </si>
  <si>
    <t>NGC4834</t>
  </si>
  <si>
    <t>12h56m25.1s</t>
  </si>
  <si>
    <t>+52h17m45s</t>
  </si>
  <si>
    <t>very faint, small, irregularly round, brighter middle</t>
  </si>
  <si>
    <t>vF, S, iR, bM</t>
  </si>
  <si>
    <t>NGC4835</t>
  </si>
  <si>
    <t>12h58m7.7s</t>
  </si>
  <si>
    <t>-46h15m54s</t>
  </si>
  <si>
    <t>faint, pretty large, much extended, very gradually brighter middle</t>
  </si>
  <si>
    <t>F, pL, mE, vgbM</t>
  </si>
  <si>
    <t>NGC4836</t>
  </si>
  <si>
    <t>12h57m34.2s</t>
  </si>
  <si>
    <t>-12h44m37s</t>
  </si>
  <si>
    <t>NGC4837</t>
  </si>
  <si>
    <t>12h56m47.8s</t>
  </si>
  <si>
    <t>+48h17m46s</t>
  </si>
  <si>
    <t>Neb ?</t>
  </si>
  <si>
    <t>NGC4838</t>
  </si>
  <si>
    <t>12h57m56.1s</t>
  </si>
  <si>
    <t>-13h3m37s</t>
  </si>
  <si>
    <t>vF, pS, R, 3 S st sp</t>
  </si>
  <si>
    <t>NGC4839</t>
  </si>
  <si>
    <t>12h57m24.4s</t>
  </si>
  <si>
    <t>+27h29m51s</t>
  </si>
  <si>
    <t>NGC4840</t>
  </si>
  <si>
    <t>12h57m32.8s</t>
  </si>
  <si>
    <t>+27h36m38s</t>
  </si>
  <si>
    <t>NGC4841</t>
  </si>
  <si>
    <t>12h57m34s</t>
  </si>
  <si>
    <t>+28h28m56s</t>
  </si>
  <si>
    <t>pretty faint, pretty large, round, very small (faint) star attached</t>
  </si>
  <si>
    <t>pF, pL, R, vS * att</t>
  </si>
  <si>
    <t>NGC4842</t>
  </si>
  <si>
    <t>12h57m36s</t>
  </si>
  <si>
    <t>+27h29m35s</t>
  </si>
  <si>
    <t>vF, vS, h 1494 sp</t>
  </si>
  <si>
    <t>NGC4843</t>
  </si>
  <si>
    <t>12h58m0.9s</t>
  </si>
  <si>
    <t>-3h37m17s</t>
  </si>
  <si>
    <t>cF, E, er, * sf 30"</t>
  </si>
  <si>
    <t>NGC4844</t>
  </si>
  <si>
    <t>12h58m8.4s</t>
  </si>
  <si>
    <t>-13h4m46s</t>
  </si>
  <si>
    <t>NGC4845</t>
  </si>
  <si>
    <t>+1h34m32s</t>
  </si>
  <si>
    <t>pF, pL, pmE, vgbM, * nf 30°</t>
  </si>
  <si>
    <t>NGC4846</t>
  </si>
  <si>
    <t>12h57m47.7s</t>
  </si>
  <si>
    <t>+36h22m12s</t>
  </si>
  <si>
    <t>NGC4847</t>
  </si>
  <si>
    <t>12h58m28.9s</t>
  </si>
  <si>
    <t>-13h8m28s</t>
  </si>
  <si>
    <t>F, S neb *, * 9 p 40s on parallel</t>
  </si>
  <si>
    <t>NGC4848</t>
  </si>
  <si>
    <t>12h58m5.7s</t>
  </si>
  <si>
    <t>+28h14m33s</t>
  </si>
  <si>
    <t>pretty faint, small, a little extended</t>
  </si>
  <si>
    <t>pF, S, lE</t>
  </si>
  <si>
    <t>NGC4849</t>
  </si>
  <si>
    <t>12h58m12.7s</t>
  </si>
  <si>
    <t>+26h23m47s</t>
  </si>
  <si>
    <t>NGC4850</t>
  </si>
  <si>
    <t>12h58m21.7s</t>
  </si>
  <si>
    <t>+27h58m6s</t>
  </si>
  <si>
    <t>NGC4851</t>
  </si>
  <si>
    <t>12h58m21.8s</t>
  </si>
  <si>
    <t>+28h8m52s</t>
  </si>
  <si>
    <t>faint, very small, mottled but not resolved</t>
  </si>
  <si>
    <t>F, vS, r</t>
  </si>
  <si>
    <t>NGC4852</t>
  </si>
  <si>
    <t>13h0m9s</t>
  </si>
  <si>
    <t>-59h36m48s</t>
  </si>
  <si>
    <t>cluster, large, pretty rich, irregularly round, 10th magnitude stars</t>
  </si>
  <si>
    <t>Cl, L, pRi, iR, st 10</t>
  </si>
  <si>
    <t>NGC4853</t>
  </si>
  <si>
    <t>12h58m35.4s</t>
  </si>
  <si>
    <t>+27h35m45s</t>
  </si>
  <si>
    <t>faint, small, round, pretty suddenly a little brighter middle</t>
  </si>
  <si>
    <t>NGC4854</t>
  </si>
  <si>
    <t>12h58m47.6s</t>
  </si>
  <si>
    <t>+27h40m27s</t>
  </si>
  <si>
    <t>very faint, pretty large, cometic</t>
  </si>
  <si>
    <t>vF, pL, com</t>
  </si>
  <si>
    <t>NGC4855</t>
  </si>
  <si>
    <t>12h59m18.4s</t>
  </si>
  <si>
    <t>-13h13m50s</t>
  </si>
  <si>
    <t>faint, small, star involved</t>
  </si>
  <si>
    <t>F, S, st inv</t>
  </si>
  <si>
    <t>NGC4856</t>
  </si>
  <si>
    <t>12h59m21.1s</t>
  </si>
  <si>
    <t>-15h2m32s</t>
  </si>
  <si>
    <t>bright, round, pretty suddenly much brighter middle, 13th magnitude star to northwest</t>
  </si>
  <si>
    <t>B, R, psmbM, * 13 np</t>
  </si>
  <si>
    <t>NGC4857</t>
  </si>
  <si>
    <t>12h57m18.1s</t>
  </si>
  <si>
    <t>+70h12m11s</t>
  </si>
  <si>
    <t>extremely faint, very small, irregularly round, very little brighter middle</t>
  </si>
  <si>
    <t>eF, vS, iR, vlbM</t>
  </si>
  <si>
    <t>NGC4858</t>
  </si>
  <si>
    <t>12h59m2.3s</t>
  </si>
  <si>
    <t>+28h6m55s</t>
  </si>
  <si>
    <t>faint, very small, preceding (western) of double nebula</t>
  </si>
  <si>
    <t>F, vS, p of D neb</t>
  </si>
  <si>
    <t>NGC4859</t>
  </si>
  <si>
    <t>12h59m1.9s</t>
  </si>
  <si>
    <t>+26h48m56s</t>
  </si>
  <si>
    <t>NGC4860</t>
  </si>
  <si>
    <t>12h59m4s</t>
  </si>
  <si>
    <t>+28h7m24s</t>
  </si>
  <si>
    <t>pretty faint, small, round, following (eastern) of double nebula</t>
  </si>
  <si>
    <t>NGC4861</t>
  </si>
  <si>
    <t>12h59m1.8s</t>
  </si>
  <si>
    <t>+34h51m43s</t>
  </si>
  <si>
    <t>very faint, pretty large, very much extended 30°±, between 2 stars</t>
  </si>
  <si>
    <t>vF, pL, vmE 30° ±, bet 2 st</t>
  </si>
  <si>
    <t>NGC4862</t>
  </si>
  <si>
    <t>12h59m30.8s</t>
  </si>
  <si>
    <t>-14h7m55s</t>
  </si>
  <si>
    <t>NGC4863</t>
  </si>
  <si>
    <t>12h59m42.5s</t>
  </si>
  <si>
    <t>-14h1m46s</t>
  </si>
  <si>
    <t>extremely faint, small, much extended 45°, suddenly brighter middle and nucleus</t>
  </si>
  <si>
    <t>eF, S, mE 45°, sbMN</t>
  </si>
  <si>
    <t>NGC4864</t>
  </si>
  <si>
    <t>12h59m13.2s</t>
  </si>
  <si>
    <t>+27h58m35s</t>
  </si>
  <si>
    <t>faint, small, preceding (western) of 2</t>
  </si>
  <si>
    <t>F, S, p of 2</t>
  </si>
  <si>
    <t>NGC4865</t>
  </si>
  <si>
    <t>12h59m20s</t>
  </si>
  <si>
    <t>+28h5m3s</t>
  </si>
  <si>
    <t>very faint, very small, 7.8 magnitude star 13 seconds of time to east</t>
  </si>
  <si>
    <t>vF, vS, * 7·8 f 13s</t>
  </si>
  <si>
    <t>NGC4866</t>
  </si>
  <si>
    <t>12h59m27s</t>
  </si>
  <si>
    <t>+14h10m17s</t>
  </si>
  <si>
    <t>bright, pretty large, much extended 90°, suddenly brighter middle and nucleus, small star involved</t>
  </si>
  <si>
    <t>B, pL, mE 90°, sbMN, S * inv</t>
  </si>
  <si>
    <t>NGC4867</t>
  </si>
  <si>
    <t>12h59m15.5s</t>
  </si>
  <si>
    <t>+27h58m14s</t>
  </si>
  <si>
    <t>very faint, very small, stellar, following (to east of) h 1500</t>
  </si>
  <si>
    <t>vF, vS, stellar, f h 1500</t>
  </si>
  <si>
    <t>NGC4868</t>
  </si>
  <si>
    <t>12h59m9s</t>
  </si>
  <si>
    <t>+37h18m34s</t>
  </si>
  <si>
    <t>NGC4869</t>
  </si>
  <si>
    <t>12h59m23.5s</t>
  </si>
  <si>
    <t>+27h54m41s</t>
  </si>
  <si>
    <t>considerably faint, small, round, 7th magnitude star to north</t>
  </si>
  <si>
    <t>cF, S, R, * 7 n</t>
  </si>
  <si>
    <t>NGC4870</t>
  </si>
  <si>
    <t>12h59m17.8s</t>
  </si>
  <si>
    <t>+37h2m54s</t>
  </si>
  <si>
    <t>pretty faint, a little extended, between 2 stars</t>
  </si>
  <si>
    <t>pF, lE, bet 2 st</t>
  </si>
  <si>
    <t>NGC4871</t>
  </si>
  <si>
    <t>12h59m30.1s</t>
  </si>
  <si>
    <t>+27h57m23s</t>
  </si>
  <si>
    <t>vF, vS, stell N</t>
  </si>
  <si>
    <t>NGC4872</t>
  </si>
  <si>
    <t>12h59m35.8s</t>
  </si>
  <si>
    <t>+27h57m34s</t>
  </si>
  <si>
    <t>NGC4873</t>
  </si>
  <si>
    <t>12h59m32.9s</t>
  </si>
  <si>
    <t>+27h59m0s</t>
  </si>
  <si>
    <t>NGC4874</t>
  </si>
  <si>
    <t>12h59m34.3s</t>
  </si>
  <si>
    <t>+27h56m48s</t>
  </si>
  <si>
    <t>faint, h 1501 and 1502 preceding (to the west)</t>
  </si>
  <si>
    <t>F, h 1501 and 1502 p</t>
  </si>
  <si>
    <t>NGC4875</t>
  </si>
  <si>
    <t>12h59m38.1s</t>
  </si>
  <si>
    <t>+27h54m27s</t>
  </si>
  <si>
    <t>NGC4876</t>
  </si>
  <si>
    <t>12h59m44.6s</t>
  </si>
  <si>
    <t>+27h54m44s</t>
  </si>
  <si>
    <t>very faint, very small, no nucleus</t>
  </si>
  <si>
    <t>vF, vS, no Nucl</t>
  </si>
  <si>
    <t>NGC4877</t>
  </si>
  <si>
    <t>13h0m26.4s</t>
  </si>
  <si>
    <t>-15h16m58s</t>
  </si>
  <si>
    <t>pretty bright, pretty large, much brighter middle</t>
  </si>
  <si>
    <t>pB, pL, mbM</t>
  </si>
  <si>
    <t>NGC4878</t>
  </si>
  <si>
    <t>13h0m20.1s</t>
  </si>
  <si>
    <t>-6h6m14s</t>
  </si>
  <si>
    <t>very faint, very small, preceding (western) of 2</t>
  </si>
  <si>
    <t>NGC4879</t>
  </si>
  <si>
    <t>13h0m25.6s</t>
  </si>
  <si>
    <t>-6h6m40s</t>
  </si>
  <si>
    <t>pretty faint, considerably small, extended, pretty suddenly brighter middle, double star to northwest</t>
  </si>
  <si>
    <t>vF, vS, f of 2</t>
  </si>
  <si>
    <t>NGC4880</t>
  </si>
  <si>
    <t>13h0m10.5s</t>
  </si>
  <si>
    <t>+12h29m0s</t>
  </si>
  <si>
    <t>considerably faint, pretty large, round, very gradually a little brighter middle, mottled but not resolved</t>
  </si>
  <si>
    <t>cF, pL, R, vglbM, r</t>
  </si>
  <si>
    <t>NGC4881</t>
  </si>
  <si>
    <t>12h59m57.9s</t>
  </si>
  <si>
    <t>+28h14m47s</t>
  </si>
  <si>
    <t>faint, small, a little extended, 9th magnitude star to southwest</t>
  </si>
  <si>
    <t>F, S, lE, * 9 sp</t>
  </si>
  <si>
    <t>NGC4882</t>
  </si>
  <si>
    <t>13h0m4.6s</t>
  </si>
  <si>
    <t>+27h59m11s</t>
  </si>
  <si>
    <t>very faint, small, others near</t>
  </si>
  <si>
    <t>vF, S, others near</t>
  </si>
  <si>
    <t>NGC4883</t>
  </si>
  <si>
    <t>12h59m56.2s</t>
  </si>
  <si>
    <t>+28h2m3s</t>
  </si>
  <si>
    <t>NGC4884</t>
  </si>
  <si>
    <t>13h0m8.3s</t>
  </si>
  <si>
    <t>chief one of multiple nebulae</t>
  </si>
  <si>
    <t>Chief one of Multiple Neb</t>
  </si>
  <si>
    <t>NGC4885</t>
  </si>
  <si>
    <t>13h0m33.8s</t>
  </si>
  <si>
    <t>-6h51m11s</t>
  </si>
  <si>
    <t>NGC4886</t>
  </si>
  <si>
    <t>F, S, R, II 391 f 4s</t>
  </si>
  <si>
    <t>NGC4887</t>
  </si>
  <si>
    <t>13h0m39.3s</t>
  </si>
  <si>
    <t>-14h40m0s</t>
  </si>
  <si>
    <t>very faint, I 69 to northeast</t>
  </si>
  <si>
    <t>vF, I 69 nf</t>
  </si>
  <si>
    <t>NGC4888</t>
  </si>
  <si>
    <t>13h0m36.2s</t>
  </si>
  <si>
    <t>-6h4m32s</t>
  </si>
  <si>
    <t>pF, cS, E, psbM, ** np</t>
  </si>
  <si>
    <t>NGC4889</t>
  </si>
  <si>
    <t>后发座B</t>
  </si>
  <si>
    <t>pB, pmE, bM, * 7 n</t>
  </si>
  <si>
    <t>NGC4890</t>
  </si>
  <si>
    <t>13h0m38.9s</t>
  </si>
  <si>
    <t>-4h36m14s</t>
  </si>
  <si>
    <t>considerably faint, small, irregularly round, brighter middle</t>
  </si>
  <si>
    <t>cF, S, iR, bM</t>
  </si>
  <si>
    <t>NGC4891</t>
  </si>
  <si>
    <t>13h0m47s</t>
  </si>
  <si>
    <t>-13h25m35s</t>
  </si>
  <si>
    <t>faint nebulous star</t>
  </si>
  <si>
    <t>F, neb *</t>
  </si>
  <si>
    <t>NGC4892</t>
  </si>
  <si>
    <t>13h0m3.6s</t>
  </si>
  <si>
    <t>+26h53m53s</t>
  </si>
  <si>
    <t>NGC4893</t>
  </si>
  <si>
    <t>12h59m59.6s</t>
  </si>
  <si>
    <t>+37h11m38s</t>
  </si>
  <si>
    <t>very faint, 20th magnitude star to southwest, 17th magnitude star to northeast</t>
  </si>
  <si>
    <t>vF, * 20 sp, * 17 nf</t>
  </si>
  <si>
    <t>NGC4894</t>
  </si>
  <si>
    <t>13h0m16.7s</t>
  </si>
  <si>
    <t>+27h58m1s</t>
  </si>
  <si>
    <t>NGC4895</t>
  </si>
  <si>
    <t>13h0m18s</t>
  </si>
  <si>
    <t>+28h12m6s</t>
  </si>
  <si>
    <t>NGC4896</t>
  </si>
  <si>
    <t>13h0m30.9s</t>
  </si>
  <si>
    <t>+28h20m47s</t>
  </si>
  <si>
    <t>NGC4897</t>
  </si>
  <si>
    <t>13h0m52.9s</t>
  </si>
  <si>
    <t>-13h26m56s</t>
  </si>
  <si>
    <t>NGC4898</t>
  </si>
  <si>
    <t>后发座Z彗发星系</t>
  </si>
  <si>
    <t>13h0m17.7s</t>
  </si>
  <si>
    <t>+27h57m18s</t>
  </si>
  <si>
    <t>vF, S, close to h 1510</t>
  </si>
  <si>
    <t>NGC4899</t>
  </si>
  <si>
    <t>13h0m56.5s</t>
  </si>
  <si>
    <t>-13h56m43s</t>
  </si>
  <si>
    <t>pretty faint, extremely large</t>
  </si>
  <si>
    <t>pF, eL</t>
  </si>
  <si>
    <t>NGC4900</t>
  </si>
  <si>
    <t>13h0m39s</t>
  </si>
  <si>
    <t>+2h30m4s</t>
  </si>
  <si>
    <t>cB, cE, * 10 att 135° ±</t>
  </si>
  <si>
    <t>NGC4901</t>
  </si>
  <si>
    <t>12h59m56.3s</t>
  </si>
  <si>
    <t>+47h12m22s</t>
  </si>
  <si>
    <t>NGC4902</t>
  </si>
  <si>
    <t>13h0m59.6s</t>
  </si>
  <si>
    <t>-14h30m50s</t>
  </si>
  <si>
    <t>pretty bright, pretty large, irregularly round, star near</t>
  </si>
  <si>
    <t>pB, pL, iR, st nr</t>
  </si>
  <si>
    <t>NGC4903</t>
  </si>
  <si>
    <t>13h1m22.7s</t>
  </si>
  <si>
    <t>-30h56m6s</t>
  </si>
  <si>
    <t>very faint, considerably small, round, star attached, western of 2</t>
  </si>
  <si>
    <t>vF, cS, R, * att, p of 2</t>
  </si>
  <si>
    <t>NGC4904</t>
  </si>
  <si>
    <t>13h0m58.5s</t>
  </si>
  <si>
    <t>-0h1m37s</t>
  </si>
  <si>
    <t>NGC4905</t>
  </si>
  <si>
    <t>13h1m30.6s</t>
  </si>
  <si>
    <t>-30h52m3s</t>
  </si>
  <si>
    <t>very faint, very small, round, suddenly a little brighter middle, eastern of 2</t>
  </si>
  <si>
    <t>vF, vS, R, slbM, f of 2</t>
  </si>
  <si>
    <t>NGC4906</t>
  </si>
  <si>
    <t>13h0m39.8s</t>
  </si>
  <si>
    <t>+27h55m26s</t>
  </si>
  <si>
    <t>vF, vS, * 15 p</t>
  </si>
  <si>
    <t>NGC4907</t>
  </si>
  <si>
    <t>13h0m48.8s</t>
  </si>
  <si>
    <t>+28h9m25s</t>
  </si>
  <si>
    <t>extremely faint, very small, 13th magnitude star attached</t>
  </si>
  <si>
    <t>eF, vS, * 13 att</t>
  </si>
  <si>
    <t>NGC4908</t>
  </si>
  <si>
    <t>13h0m54.4s</t>
  </si>
  <si>
    <t>+28h0m25s</t>
  </si>
  <si>
    <t>GC</t>
  </si>
  <si>
    <t>NGC4909</t>
  </si>
  <si>
    <t>13h2m1.7s</t>
  </si>
  <si>
    <t>-42h46m18s</t>
  </si>
  <si>
    <t>eF, 3 or 4 st 11, 12 f</t>
  </si>
  <si>
    <t>NGC4910</t>
  </si>
  <si>
    <t>13h1m10s</t>
  </si>
  <si>
    <t>+1h40m0s</t>
  </si>
  <si>
    <t>extremely faint, very large, partially resolved, some stars seen</t>
  </si>
  <si>
    <t>eF, vL, rr</t>
  </si>
  <si>
    <t>NGC4911</t>
  </si>
  <si>
    <t>13h0m56.3s</t>
  </si>
  <si>
    <t>+27h47m25s</t>
  </si>
  <si>
    <t>1st of 4, F, pL, * 11 2' np</t>
  </si>
  <si>
    <t>NGC4912</t>
  </si>
  <si>
    <t>13h0m46s</t>
  </si>
  <si>
    <t>+37h22m42s</t>
  </si>
  <si>
    <t>Two neb, n of and in line with h 1514 (?)</t>
  </si>
  <si>
    <t>NGC4913</t>
  </si>
  <si>
    <t>13h0m46.5s</t>
  </si>
  <si>
    <t>+37h20m40s</t>
  </si>
  <si>
    <t>NGC4914</t>
  </si>
  <si>
    <t>13h0m42.9s</t>
  </si>
  <si>
    <t>+37h18m53s</t>
  </si>
  <si>
    <t>pretty bright, considerably small, round, suddenly much brighter middle, 17th magnitude star to northwest</t>
  </si>
  <si>
    <t>pB, cS, R, smbM, * 17 np</t>
  </si>
  <si>
    <t>NGC4915</t>
  </si>
  <si>
    <t>13h1m28.1s</t>
  </si>
  <si>
    <t>-4h32m46s</t>
  </si>
  <si>
    <t>NGC4916</t>
  </si>
  <si>
    <t>13h0m54.5s</t>
  </si>
  <si>
    <t>+37h21m40s</t>
  </si>
  <si>
    <t>Neb, nf h 1514 (?)</t>
  </si>
  <si>
    <t>NGC4917</t>
  </si>
  <si>
    <t>13h0m55.5s</t>
  </si>
  <si>
    <t>+47h13m21s</t>
  </si>
  <si>
    <t>extremely faint, small, extended, brighter middle</t>
  </si>
  <si>
    <t>eF, S, E, bM</t>
  </si>
  <si>
    <t>NGC4918</t>
  </si>
  <si>
    <t>13h1m50.7s</t>
  </si>
  <si>
    <t>-4h30m2s</t>
  </si>
  <si>
    <t>eF, eS, R, bMN, h 1513 sp 4'</t>
  </si>
  <si>
    <t>NGC4919</t>
  </si>
  <si>
    <t>13h1m17.6s</t>
  </si>
  <si>
    <t>+27h48m31s</t>
  </si>
  <si>
    <t>very faint, very small, 2nd of 4</t>
  </si>
  <si>
    <t>vF, vS, 2nd of 4</t>
  </si>
  <si>
    <t>NGC4920</t>
  </si>
  <si>
    <t>13h2m4.2s</t>
  </si>
  <si>
    <t>-11h22m42s</t>
  </si>
  <si>
    <t>NGC4921</t>
  </si>
  <si>
    <t>13h1m26.3s</t>
  </si>
  <si>
    <t>+27h53m8s</t>
  </si>
  <si>
    <t>faint, pretty large, 3rd of 4</t>
  </si>
  <si>
    <t>F, pL, 3rd of 4</t>
  </si>
  <si>
    <t>NGC4922</t>
  </si>
  <si>
    <t>13h1m24.7s</t>
  </si>
  <si>
    <t>+29h18m28s</t>
  </si>
  <si>
    <t>pB, S, R, lbM, * 11·12 f</t>
  </si>
  <si>
    <t>NGC4923</t>
  </si>
  <si>
    <t>13h1m31.8s</t>
  </si>
  <si>
    <t>+27h50m49s</t>
  </si>
  <si>
    <t>very faint, 4th of 4</t>
  </si>
  <si>
    <t>vF, 4th of 4</t>
  </si>
  <si>
    <t>NGC4924</t>
  </si>
  <si>
    <t>13h2m12.9s</t>
  </si>
  <si>
    <t>-14h58m9s</t>
  </si>
  <si>
    <t>cF, L, vlE 45° ±</t>
  </si>
  <si>
    <t>NGC4925</t>
  </si>
  <si>
    <t>13h2m7.3s</t>
  </si>
  <si>
    <t>-7h42m38s</t>
  </si>
  <si>
    <t>considerably faint, small</t>
  </si>
  <si>
    <t>cF, S</t>
  </si>
  <si>
    <t>NGC4926</t>
  </si>
  <si>
    <t>13h1m53.9s</t>
  </si>
  <si>
    <t>+27h37m28s</t>
  </si>
  <si>
    <t>NGC4927</t>
  </si>
  <si>
    <t>13h1m57.6s</t>
  </si>
  <si>
    <t>+28h0m22s</t>
  </si>
  <si>
    <t>NGC4928</t>
  </si>
  <si>
    <t>13h3m0.5s</t>
  </si>
  <si>
    <t>-8h5m5s</t>
  </si>
  <si>
    <t>faint, pretty small, very little extended, gradually a little brighter middle</t>
  </si>
  <si>
    <t>F, pS, vlE, glbM</t>
  </si>
  <si>
    <t>NGC4929</t>
  </si>
  <si>
    <t>13h2m44.5s</t>
  </si>
  <si>
    <t>+28h2m43s</t>
  </si>
  <si>
    <t>faint, small, 16th magnitude star close to west</t>
  </si>
  <si>
    <t>F, S, * 16 close p</t>
  </si>
  <si>
    <t>NGC4930</t>
  </si>
  <si>
    <t>13h4m5.1s</t>
  </si>
  <si>
    <t>-41h24m41s</t>
  </si>
  <si>
    <t>vF, R, Δ 2 st 8, 9, f</t>
  </si>
  <si>
    <t>NGC4931</t>
  </si>
  <si>
    <t>13h3m1.1s</t>
  </si>
  <si>
    <t>+28h1m55s</t>
  </si>
  <si>
    <t>NGC4932</t>
  </si>
  <si>
    <t>13h2m37.5s</t>
  </si>
  <si>
    <t>+50h26m21s</t>
  </si>
  <si>
    <t>NGC4933</t>
  </si>
  <si>
    <t>13h3m56.7s</t>
  </si>
  <si>
    <t>-11h29m51s</t>
  </si>
  <si>
    <t>pretty bright, pretty large, irregularly round</t>
  </si>
  <si>
    <t>pB, pL, iR</t>
  </si>
  <si>
    <t>NGC4934</t>
  </si>
  <si>
    <t>13h3m16.3s</t>
  </si>
  <si>
    <t>+28h1m48s</t>
  </si>
  <si>
    <t>NGC4935</t>
  </si>
  <si>
    <t>13h3m21.2s</t>
  </si>
  <si>
    <t>+14h22m41s</t>
  </si>
  <si>
    <t>very faint, very small, round, 3 stars to east</t>
  </si>
  <si>
    <t>vF, vS, R, 3 st f</t>
  </si>
  <si>
    <t>NGC4936</t>
  </si>
  <si>
    <t>13h4m17s</t>
  </si>
  <si>
    <t>-30h31m36s</t>
  </si>
  <si>
    <t>pretty bright, small, round, brighter middle, star 6 seconds of time to east</t>
  </si>
  <si>
    <t>pB, S, R, bM, * f 6s</t>
  </si>
  <si>
    <t>NGC4937</t>
  </si>
  <si>
    <t>13h4m51.9s</t>
  </si>
  <si>
    <t>-47h13m8s</t>
  </si>
  <si>
    <t>most extremely faint, small, round, preceding of 2</t>
  </si>
  <si>
    <t>eeF, S, R, p of 2</t>
  </si>
  <si>
    <t>NGC4938</t>
  </si>
  <si>
    <t>13h2m57.4s</t>
  </si>
  <si>
    <t>+51h19m9s</t>
  </si>
  <si>
    <t>extremely faint, round, pretty suddenly brighter middle</t>
  </si>
  <si>
    <t>eF, R, psbM</t>
  </si>
  <si>
    <t>NGC4939</t>
  </si>
  <si>
    <t>13h4m14.3s</t>
  </si>
  <si>
    <t>-10h20m24s</t>
  </si>
  <si>
    <t>NGC4940</t>
  </si>
  <si>
    <t>13h5m0.2s</t>
  </si>
  <si>
    <t>-47h14m13s</t>
  </si>
  <si>
    <t>NGC4941</t>
  </si>
  <si>
    <t>13h4m13s</t>
  </si>
  <si>
    <t>-5h33m5s</t>
  </si>
  <si>
    <t>pretty faint, large, extended, gradually brighter middle and bright nucleus, mottled but not resolved</t>
  </si>
  <si>
    <t>pF, L, E, gbMBN, r</t>
  </si>
  <si>
    <t>NGC4942</t>
  </si>
  <si>
    <t>13h4m19s</t>
  </si>
  <si>
    <t>-7h38m56s</t>
  </si>
  <si>
    <t>NGC4943</t>
  </si>
  <si>
    <t>13h3m45s</t>
  </si>
  <si>
    <t>+28h5m1s</t>
  </si>
  <si>
    <t>NGC4944</t>
  </si>
  <si>
    <t>13h3m50s</t>
  </si>
  <si>
    <t>+28h11m7s</t>
  </si>
  <si>
    <t>faint, small, round, brighter middle, 9th magnitude star 1 arcmin northeast</t>
  </si>
  <si>
    <t>F, S, R, bM, * 9 nf 1'</t>
  </si>
  <si>
    <t>NGC4945</t>
  </si>
  <si>
    <t>镊子星系</t>
  </si>
  <si>
    <t>13h5m26.1s</t>
  </si>
  <si>
    <t>-49h27m46s</t>
  </si>
  <si>
    <t>B, vL, vmE 38°.7</t>
  </si>
  <si>
    <t>NGC4946</t>
  </si>
  <si>
    <t>13h5m29.2s</t>
  </si>
  <si>
    <t>-43h35m30s</t>
  </si>
  <si>
    <t>bright, pretty small, round, gradually pretty much brighter middle, western of 2</t>
  </si>
  <si>
    <t>B, pS, R, gpmbM, p of 2</t>
  </si>
  <si>
    <t>NGC4947</t>
  </si>
  <si>
    <t>13h5m20.2s</t>
  </si>
  <si>
    <t>-35h20m13s</t>
  </si>
  <si>
    <t>NGC4948</t>
  </si>
  <si>
    <t>13h4m55.8s</t>
  </si>
  <si>
    <t>-7h56m47s</t>
  </si>
  <si>
    <t>eeF, pS, lE, I 130 f</t>
  </si>
  <si>
    <t>NGC4949</t>
  </si>
  <si>
    <t>13h4m18.1s</t>
  </si>
  <si>
    <t>+29h1m45s</t>
  </si>
  <si>
    <t>NGC4950</t>
  </si>
  <si>
    <t>13h5m36.4s</t>
  </si>
  <si>
    <t>-43h30m1s</t>
  </si>
  <si>
    <t>extremely faint, small, round, pretty suddenly a little brighter middle, eastern of 2</t>
  </si>
  <si>
    <t>eF, S, R, pslbM, f of 2</t>
  </si>
  <si>
    <t>NGC4951</t>
  </si>
  <si>
    <t>13h5m7.5s</t>
  </si>
  <si>
    <t>-6h29m39s</t>
  </si>
  <si>
    <t>faint, pretty large, a little extended, mottled but not resolved</t>
  </si>
  <si>
    <t>F, pL, lE, r</t>
  </si>
  <si>
    <t>NGC4952</t>
  </si>
  <si>
    <t>13h4m58.5s</t>
  </si>
  <si>
    <t>+29h7m21s</t>
  </si>
  <si>
    <t>F, S, R, psbM * 11</t>
  </si>
  <si>
    <t>NGC4953</t>
  </si>
  <si>
    <t>13h6m10.3s</t>
  </si>
  <si>
    <t>-37h35m10s</t>
  </si>
  <si>
    <t>vF, pS, am 3 S st</t>
  </si>
  <si>
    <t>NGC4954</t>
  </si>
  <si>
    <t>13h2m19.3s</t>
  </si>
  <si>
    <t>+75h24m17s</t>
  </si>
  <si>
    <t>NGC4955</t>
  </si>
  <si>
    <t>13h6m4.8s</t>
  </si>
  <si>
    <t>-29h45m16s</t>
  </si>
  <si>
    <t>NGC4956</t>
  </si>
  <si>
    <t>13h5m1s</t>
  </si>
  <si>
    <t>+35h10m40s</t>
  </si>
  <si>
    <t>pretty bright, considerably small, round, suddenly much brighter middle</t>
  </si>
  <si>
    <t>pB, cS, R, smbM</t>
  </si>
  <si>
    <t>NGC4957</t>
  </si>
  <si>
    <t>13h5m12.5s</t>
  </si>
  <si>
    <t>+27h34m10s</t>
  </si>
  <si>
    <t>NGC4958</t>
  </si>
  <si>
    <t>13h5m48.9s</t>
  </si>
  <si>
    <t>-8h1m12s</t>
  </si>
  <si>
    <t>vB, pS, E, bMBN</t>
  </si>
  <si>
    <t>NGC4959</t>
  </si>
  <si>
    <t>13h5m41s</t>
  </si>
  <si>
    <t>+33h10m46s</t>
  </si>
  <si>
    <t>NGC4960</t>
  </si>
  <si>
    <t>13h5m47.8s</t>
  </si>
  <si>
    <t>+27h44m3s</t>
  </si>
  <si>
    <t>F, S, R, N = * 16</t>
  </si>
  <si>
    <t>NGC4961</t>
  </si>
  <si>
    <t>faint, small, irregular figure</t>
  </si>
  <si>
    <t>F, S, iF</t>
  </si>
  <si>
    <t>NGC4962</t>
  </si>
  <si>
    <t>NGC4963</t>
  </si>
  <si>
    <t>13h5m51.9s</t>
  </si>
  <si>
    <t>+41h43m17s</t>
  </si>
  <si>
    <t>F, vS, R, stellar, vS * s</t>
  </si>
  <si>
    <t>NGC4964</t>
  </si>
  <si>
    <t>13h5m24.8s</t>
  </si>
  <si>
    <t>+56h19m23s</t>
  </si>
  <si>
    <t>NGC4965</t>
  </si>
  <si>
    <t>13h7m9.2s</t>
  </si>
  <si>
    <t>-28h13m42s</t>
  </si>
  <si>
    <t>very faint, very large, considerably extended, very gradually brighter middle</t>
  </si>
  <si>
    <t>vF, vL, cE, vgbM</t>
  </si>
  <si>
    <t>NGC4966</t>
  </si>
  <si>
    <t>13h6m17.3s</t>
  </si>
  <si>
    <t>+29h3m46s</t>
  </si>
  <si>
    <t>vF, vS, vlE, vglbM, ** sp</t>
  </si>
  <si>
    <t>NGC4967</t>
  </si>
  <si>
    <t>+53h33m52s</t>
  </si>
  <si>
    <t>very faint, small, extended, star attached</t>
  </si>
  <si>
    <t>vF, S, E, * att</t>
  </si>
  <si>
    <t>NGC4968</t>
  </si>
  <si>
    <t>13h7m6s</t>
  </si>
  <si>
    <t>-23h40m37s</t>
  </si>
  <si>
    <t>faint, pretty large, round, gradually a little brighter middle</t>
  </si>
  <si>
    <t>F, pL, R, glbM</t>
  </si>
  <si>
    <t>NGC4969</t>
  </si>
  <si>
    <t>13h7m2.4s</t>
  </si>
  <si>
    <t>+13h38m12s</t>
  </si>
  <si>
    <t>NGC4970</t>
  </si>
  <si>
    <t>13h7m33.6s</t>
  </si>
  <si>
    <t>-24h0m32s</t>
  </si>
  <si>
    <t>NGC4971</t>
  </si>
  <si>
    <t>13h6m54.9s</t>
  </si>
  <si>
    <t>+28h32m55s</t>
  </si>
  <si>
    <t>F, vS, lE, ** nr n</t>
  </si>
  <si>
    <t>NGC4972</t>
  </si>
  <si>
    <t>NGC4973</t>
  </si>
  <si>
    <t>13h5m32.1s</t>
  </si>
  <si>
    <t>+53h41m8s</t>
  </si>
  <si>
    <t>NGC4974</t>
  </si>
  <si>
    <t>13h5m55.9s</t>
  </si>
  <si>
    <t>+53h39m33s</t>
  </si>
  <si>
    <t>NGC4975</t>
  </si>
  <si>
    <t>13h7m50.3s</t>
  </si>
  <si>
    <t>-5h1m3s</t>
  </si>
  <si>
    <t>NGC4976</t>
  </si>
  <si>
    <t>13h8m37.4s</t>
  </si>
  <si>
    <t>-49h30m21s</t>
  </si>
  <si>
    <t>bright, pretty large, round, gradually much brighter middle</t>
  </si>
  <si>
    <t>B, pL, R, gmbM</t>
  </si>
  <si>
    <t>NGC4977</t>
  </si>
  <si>
    <t>13h6m4.4s</t>
  </si>
  <si>
    <t>+55h39m24s</t>
  </si>
  <si>
    <t>NGC4978</t>
  </si>
  <si>
    <t>13h7m50.4s</t>
  </si>
  <si>
    <t>+18h24m58s</t>
  </si>
  <si>
    <t>faint, very small, round, suddenly brighter middle, stellar</t>
  </si>
  <si>
    <t>F, vS, R, sbM, stellar</t>
  </si>
  <si>
    <t>NGC4979</t>
  </si>
  <si>
    <t>13h7m42.8s</t>
  </si>
  <si>
    <t>+24h48m40s</t>
  </si>
  <si>
    <t>NGC4980</t>
  </si>
  <si>
    <t>13h9m10.1s</t>
  </si>
  <si>
    <t>-28h38m30s</t>
  </si>
  <si>
    <t>NGC4981</t>
  </si>
  <si>
    <t>13h8m48.7s</t>
  </si>
  <si>
    <t>-6h46m39s</t>
  </si>
  <si>
    <t>B, pL, R, * 10 1' sf</t>
  </si>
  <si>
    <t>NGC4982</t>
  </si>
  <si>
    <t>13h8m46.1s</t>
  </si>
  <si>
    <t>-10h35m17s</t>
  </si>
  <si>
    <t>NGC4983</t>
  </si>
  <si>
    <t>13h8m27.4s</t>
  </si>
  <si>
    <t>+28h19m15s</t>
  </si>
  <si>
    <t>NGC4984</t>
  </si>
  <si>
    <t>13h8m57.1s</t>
  </si>
  <si>
    <t>-15h30m57s</t>
  </si>
  <si>
    <t>bright, pretty large, round, pretty suddenly much brighter middle</t>
  </si>
  <si>
    <t>B, pL, R, psmbM</t>
  </si>
  <si>
    <t>NGC4985</t>
  </si>
  <si>
    <t>13h8m12s</t>
  </si>
  <si>
    <t>+41h40m37s</t>
  </si>
  <si>
    <t>NGC4986</t>
  </si>
  <si>
    <t>13h8m24.5s</t>
  </si>
  <si>
    <t>+35h12m19s</t>
  </si>
  <si>
    <t>very faint, small, round, stellar</t>
  </si>
  <si>
    <t>vF, S, R, stellar</t>
  </si>
  <si>
    <t>NGC4987</t>
  </si>
  <si>
    <t>13h7m59s</t>
  </si>
  <si>
    <t>+51h55m46s</t>
  </si>
  <si>
    <t>NGC4988</t>
  </si>
  <si>
    <t>13h9m54.2s</t>
  </si>
  <si>
    <t>-43h6m20s</t>
  </si>
  <si>
    <t>NGC4989</t>
  </si>
  <si>
    <t>13h9m16s</t>
  </si>
  <si>
    <t>-5h23m47s</t>
  </si>
  <si>
    <t>pB, S, R, * 4 m sf (Auw 31)</t>
  </si>
  <si>
    <t>NGC4990</t>
  </si>
  <si>
    <t>13h9m17.3s</t>
  </si>
  <si>
    <t>-5h16m21s</t>
  </si>
  <si>
    <t>NGC4991</t>
  </si>
  <si>
    <t>13h9m15.2s</t>
  </si>
  <si>
    <t>+2h20m54s</t>
  </si>
  <si>
    <t>NGC4992</t>
  </si>
  <si>
    <t>13h9m5.7s</t>
  </si>
  <si>
    <t>+11h38m3s</t>
  </si>
  <si>
    <t>very faint, small, a little extended, 2 small (faint) stars to south</t>
  </si>
  <si>
    <t>vF, S, lE, 2 S st s</t>
  </si>
  <si>
    <t>NGC4993</t>
  </si>
  <si>
    <t>13h9m47.6s</t>
  </si>
  <si>
    <t>-23h23m2s</t>
  </si>
  <si>
    <t>NGC4994</t>
  </si>
  <si>
    <t>pF, cS, R, slbM, am st</t>
  </si>
  <si>
    <t>NGC4995</t>
  </si>
  <si>
    <t>13h9m40.6s</t>
  </si>
  <si>
    <t>-7h49m59s</t>
  </si>
  <si>
    <t>pretty bright, pretty large, round, very gradually pretty much brighter middle, 8th magnitude star to northwest</t>
  </si>
  <si>
    <t>pB, pL, R, vgpmbM, * 8 np</t>
  </si>
  <si>
    <t>NGC4996</t>
  </si>
  <si>
    <t>13h9m31.8s</t>
  </si>
  <si>
    <t>+0h51m27s</t>
  </si>
  <si>
    <t>NGC4997</t>
  </si>
  <si>
    <t>13h9m51.6s</t>
  </si>
  <si>
    <t>-16h30m55s</t>
  </si>
  <si>
    <t>No description, * 6.5 2' p</t>
  </si>
  <si>
    <t>NGC4998</t>
  </si>
  <si>
    <t>13h8m10.3s</t>
  </si>
  <si>
    <t>+50h39m52s</t>
  </si>
  <si>
    <t>NGC4999</t>
  </si>
  <si>
    <t>13h9m33.2s</t>
  </si>
  <si>
    <t>+1h40m21s</t>
  </si>
  <si>
    <t>considerably faint, pretty large, round, a little brighter middle, extremely mottled but not resolved</t>
  </si>
  <si>
    <t>cF, pL, R, lbM, er</t>
  </si>
  <si>
    <t>NGC5000</t>
  </si>
  <si>
    <t>13h9m47.5s</t>
  </si>
  <si>
    <t>+28h54m24s</t>
  </si>
  <si>
    <t>considerably faint, pretty small, a little extended</t>
  </si>
  <si>
    <t>cF, pS, lE</t>
  </si>
  <si>
    <t>NGC5001</t>
  </si>
  <si>
    <t>13h9m33s</t>
  </si>
  <si>
    <t>+53h29m39s</t>
  </si>
  <si>
    <t>NGC5002</t>
  </si>
  <si>
    <t>13h10m38.2s</t>
  </si>
  <si>
    <t>+36h38m3s</t>
  </si>
  <si>
    <t>very faint, pretty large, extended, 13th magnitude star attached on north</t>
  </si>
  <si>
    <t>vF, pL, E, * 13 att, n</t>
  </si>
  <si>
    <t>NGC5003</t>
  </si>
  <si>
    <t>13h8m37.8s</t>
  </si>
  <si>
    <t>+43h44m14s</t>
  </si>
  <si>
    <t>very faint, pretty small, a little brighter middle, Minute of RA?</t>
  </si>
  <si>
    <t>vF, pS, lbM, Minute of RA?</t>
  </si>
  <si>
    <t>NGC5004</t>
  </si>
  <si>
    <t>13h11m1.5s</t>
  </si>
  <si>
    <t>+29h38m12s</t>
  </si>
  <si>
    <t>NGC5005</t>
  </si>
  <si>
    <t>13h10m56.1s</t>
  </si>
  <si>
    <t>+37h3m31s</t>
  </si>
  <si>
    <t>very bright, very large, very much extended 66°, very suddenly brighter middle and nucleus</t>
  </si>
  <si>
    <t>vB, vL, vmE 66°, vsbMN</t>
  </si>
  <si>
    <t>NGC5006</t>
  </si>
  <si>
    <t>13h11m45.7s</t>
  </si>
  <si>
    <t>-19h15m41s</t>
  </si>
  <si>
    <t>faint star close to west</t>
  </si>
  <si>
    <t>F * close p</t>
  </si>
  <si>
    <t>NGC5007</t>
  </si>
  <si>
    <t>13h9m14.2s</t>
  </si>
  <si>
    <t>+62h10m31s</t>
  </si>
  <si>
    <t>NGC5008</t>
  </si>
  <si>
    <t>牧夫座</t>
  </si>
  <si>
    <t>BOO</t>
  </si>
  <si>
    <t>14h10m57s</t>
  </si>
  <si>
    <t>+25h29m47s</t>
  </si>
  <si>
    <t>pretty faint, pretty large, round</t>
  </si>
  <si>
    <t>pF, pL, R</t>
  </si>
  <si>
    <t>NGC5009</t>
  </si>
  <si>
    <t>13h10m47.2s</t>
  </si>
  <si>
    <t>+50h5m35s</t>
  </si>
  <si>
    <t>very faint, round, between 2 very small stars</t>
  </si>
  <si>
    <t>vF, R, bet 2 vS st</t>
  </si>
  <si>
    <t>NGC5010</t>
  </si>
  <si>
    <t>13h12m26.3s</t>
  </si>
  <si>
    <t>-15h47m51s</t>
  </si>
  <si>
    <t>very faint, round, brighter middle, 10th magnitude star 5 arcmin to northwest</t>
  </si>
  <si>
    <t>vF, R, bM, * 10 np 5'</t>
  </si>
  <si>
    <t>NGC5011</t>
  </si>
  <si>
    <t>13h12m51.6s</t>
  </si>
  <si>
    <t>-43h5m48s</t>
  </si>
  <si>
    <t>pretty bright, considerably small, round, among 4 stars</t>
  </si>
  <si>
    <t>pB, cS, R, am 4 st</t>
  </si>
  <si>
    <t>NGC5012</t>
  </si>
  <si>
    <t>13h11m36.7s</t>
  </si>
  <si>
    <t>+22h54m53s</t>
  </si>
  <si>
    <t>pretty faint, considerably large, extended 17°, binuclear, 9th magnitude star to east</t>
  </si>
  <si>
    <t>pF, cL, E 17°, biN, * 9 f</t>
  </si>
  <si>
    <t>NGC5013</t>
  </si>
  <si>
    <t>13h12m7.3s</t>
  </si>
  <si>
    <t>+3h11m58s</t>
  </si>
  <si>
    <t>NGC5014</t>
  </si>
  <si>
    <t>13h11m31.4s</t>
  </si>
  <si>
    <t>+36h16m54s</t>
  </si>
  <si>
    <t>pretty faint, small, extended, pretty suddenly brighter middle</t>
  </si>
  <si>
    <t>pF, S, E, psbM</t>
  </si>
  <si>
    <t>NGC5015</t>
  </si>
  <si>
    <t>13h12m22.8s</t>
  </si>
  <si>
    <t>-4h20m13s</t>
  </si>
  <si>
    <t>NGC5016</t>
  </si>
  <si>
    <t>13h12m6.5s</t>
  </si>
  <si>
    <t>+24h5m42s</t>
  </si>
  <si>
    <t>pretty bright, small</t>
  </si>
  <si>
    <t>pB, S</t>
  </si>
  <si>
    <t>NGC5017</t>
  </si>
  <si>
    <t>13h12m54.4s</t>
  </si>
  <si>
    <t>-16h45m56s</t>
  </si>
  <si>
    <t>very faint, round, brighter middle</t>
  </si>
  <si>
    <t>vF, R, bM</t>
  </si>
  <si>
    <t>NGC5018</t>
  </si>
  <si>
    <t>13h13m0.9s</t>
  </si>
  <si>
    <t>-19h31m10s</t>
  </si>
  <si>
    <t>considerably bright, small, round, much brghter middle pretty bright nucleus</t>
  </si>
  <si>
    <t>cB, S, R, mbMpBN</t>
  </si>
  <si>
    <t>NGC5019</t>
  </si>
  <si>
    <t>13h12m42.5s</t>
  </si>
  <si>
    <t>+4h43m45s</t>
  </si>
  <si>
    <t>extremely faint, very small, round, extremely mottled but not resolved</t>
  </si>
  <si>
    <t>eF, vS, R, er</t>
  </si>
  <si>
    <t>NGC5020</t>
  </si>
  <si>
    <t>13h12m39.8s</t>
  </si>
  <si>
    <t>+12h35m59s</t>
  </si>
  <si>
    <t>considerably faint, considerably large, very little extended, a little brighter middle</t>
  </si>
  <si>
    <t>cF, cL, vlE, lbM</t>
  </si>
  <si>
    <t>NGC5021</t>
  </si>
  <si>
    <t>13h12m6.1s</t>
  </si>
  <si>
    <t>+46h11m47s</t>
  </si>
  <si>
    <t>pretty faint, considerably small, round, 12th magnitude star 90 arcsec to northeast</t>
  </si>
  <si>
    <t>pF, cS, R, * 12 nf 90"</t>
  </si>
  <si>
    <t>NGC5022</t>
  </si>
  <si>
    <t>13h13m30.7s</t>
  </si>
  <si>
    <t>-19h32m51s</t>
  </si>
  <si>
    <t>very faint, pretty large, extended 30°, gradually brighter middle. east of II 746, faint star close preceding (to west)</t>
  </si>
  <si>
    <t>vF, pL, E 30°, gbM, f II 746, F * close p</t>
  </si>
  <si>
    <t>NGC5023</t>
  </si>
  <si>
    <t>13h12m11.7s</t>
  </si>
  <si>
    <t>+44h2m14s</t>
  </si>
  <si>
    <t>pretty faint, large, much extended 20°, very little brighter middle</t>
  </si>
  <si>
    <t>pF, L, mE 20°, vlbM</t>
  </si>
  <si>
    <t>NGC5024</t>
  </si>
  <si>
    <t>13h12m55.3s</t>
  </si>
  <si>
    <t>+18h10m11s</t>
  </si>
  <si>
    <t>remarkable object, a globular cluster, bright. very compressed, irregularly round, very very much brighter middle, stars of 12th magnitude</t>
  </si>
  <si>
    <t>!, globular, B, vC, iR, vvmbM, st 12</t>
  </si>
  <si>
    <t>NGC5025</t>
  </si>
  <si>
    <t>13h12m44.8s</t>
  </si>
  <si>
    <t>+31h48m31s</t>
  </si>
  <si>
    <t>very faint, small, a little extended, 13th magnitude star to north</t>
  </si>
  <si>
    <t>vF, S, lE, * 13 n</t>
  </si>
  <si>
    <t>NGC5026</t>
  </si>
  <si>
    <t>13h14m13.4s</t>
  </si>
  <si>
    <t>-42h57m41s</t>
  </si>
  <si>
    <t>pretty bright, pretty large, round, gradually brighter middle, 7th magnitude star to northeast</t>
  </si>
  <si>
    <t>pB, pL, R, gbM, * 7 nf</t>
  </si>
  <si>
    <t>NGC5027</t>
  </si>
  <si>
    <t>13h13m20.9s</t>
  </si>
  <si>
    <t>+6h3m43s</t>
  </si>
  <si>
    <t>NGC5028</t>
  </si>
  <si>
    <t>13h13m45.8s</t>
  </si>
  <si>
    <t>-13h2m31s</t>
  </si>
  <si>
    <t>very faint, small, 11th or 12th magnitude star to west</t>
  </si>
  <si>
    <t>vF, S, * 11·12 p</t>
  </si>
  <si>
    <t>NGC5029</t>
  </si>
  <si>
    <t>13h12m37.4s</t>
  </si>
  <si>
    <t>+47h3m48s</t>
  </si>
  <si>
    <t>NGC5030</t>
  </si>
  <si>
    <t>13h13m54.1s</t>
  </si>
  <si>
    <t>-16h29m28s</t>
  </si>
  <si>
    <t>NGC5031</t>
  </si>
  <si>
    <t>13h14m3.1s</t>
  </si>
  <si>
    <t>-16h7m21s</t>
  </si>
  <si>
    <t>NGC5032</t>
  </si>
  <si>
    <t>13h13m27s</t>
  </si>
  <si>
    <t>+27h48m4s</t>
  </si>
  <si>
    <t>NGC5033</t>
  </si>
  <si>
    <t>田鳖星系</t>
  </si>
  <si>
    <t>13h13m28s</t>
  </si>
  <si>
    <t>+36h35m36s</t>
  </si>
  <si>
    <t>very bright, pretty large, extended 167°, suddenly much brighter middle very bright nucleus, star to northwest</t>
  </si>
  <si>
    <t>vB, pL, E 167°, smbMvBN, * np</t>
  </si>
  <si>
    <t>NGC5034</t>
  </si>
  <si>
    <t>13h12m19.2s</t>
  </si>
  <si>
    <t>+70h38m59s</t>
  </si>
  <si>
    <t>NGC5035</t>
  </si>
  <si>
    <t>13h14m49.1s</t>
  </si>
  <si>
    <t>-16h29m32s</t>
  </si>
  <si>
    <t>faint, small, round, brighter middle and nucleus</t>
  </si>
  <si>
    <t>F, S, R, bMN</t>
  </si>
  <si>
    <t>NGC5036</t>
  </si>
  <si>
    <t>13h14m42.8s</t>
  </si>
  <si>
    <t>-4h10m41s</t>
  </si>
  <si>
    <t>extremely faint, very small, round, gradually brighter middle, 1st of 2</t>
  </si>
  <si>
    <t>eF, vS, R, gbM, 1st of 2</t>
  </si>
  <si>
    <t>NGC5037</t>
  </si>
  <si>
    <t>13h14m59.4s</t>
  </si>
  <si>
    <t>-16h35m24s</t>
  </si>
  <si>
    <t>considerably faint, pretty small, very little extended, brighter middle</t>
  </si>
  <si>
    <t>cF, pS, vlE, bm</t>
  </si>
  <si>
    <t>NGC5038</t>
  </si>
  <si>
    <t>13h15m2s</t>
  </si>
  <si>
    <t>-15h57m7s</t>
  </si>
  <si>
    <t>pretty bright, extended 90°, stellar</t>
  </si>
  <si>
    <t>pB, E 90°, stellar</t>
  </si>
  <si>
    <t>NGC5039</t>
  </si>
  <si>
    <t>13h14m52s</t>
  </si>
  <si>
    <t>-4h9m29s</t>
  </si>
  <si>
    <t>extremely faint, extremely small, extended 45°, 2nd of 2</t>
  </si>
  <si>
    <t>eF, eS, E 45°, 2nd of 2</t>
  </si>
  <si>
    <t>NGC5040</t>
  </si>
  <si>
    <t>13h13m32.6s</t>
  </si>
  <si>
    <t>+51h15m31s</t>
  </si>
  <si>
    <t>faint, small, irregularly round, very gradually much brighter middle</t>
  </si>
  <si>
    <t>F, S, iR, vgmbM</t>
  </si>
  <si>
    <t>NGC5041</t>
  </si>
  <si>
    <t>13h14m32.5s</t>
  </si>
  <si>
    <t>+30h42m19s</t>
  </si>
  <si>
    <t>NGC5042</t>
  </si>
  <si>
    <t>13h15m30.8s</t>
  </si>
  <si>
    <t>-23h59m2s</t>
  </si>
  <si>
    <t>faint, large, round, very gradually very little brighter middle, 9th magnitude star to west</t>
  </si>
  <si>
    <t>F, L, R, vgvlbM, * 9 p</t>
  </si>
  <si>
    <t>NGC5043</t>
  </si>
  <si>
    <t>13h16m40s</t>
  </si>
  <si>
    <t>-60h2m30s</t>
  </si>
  <si>
    <t>cluster, poor, extended, scattered stars of 11th magnitude</t>
  </si>
  <si>
    <t>Cl, P, E, sc st 11</t>
  </si>
  <si>
    <t>NGC5044</t>
  </si>
  <si>
    <t>NGC 5044星系群</t>
  </si>
  <si>
    <t>13h15m23.9s</t>
  </si>
  <si>
    <t>-16h23m4s</t>
  </si>
  <si>
    <t>NGC5045</t>
  </si>
  <si>
    <t>13h17m4.6s</t>
  </si>
  <si>
    <t>-63h24m48s</t>
  </si>
  <si>
    <t>cluster, very large, very rich, stars of 11th magnitude</t>
  </si>
  <si>
    <t>Cl, vL, vRi, st 11</t>
  </si>
  <si>
    <t>NGC5046</t>
  </si>
  <si>
    <t>13h15m45s</t>
  </si>
  <si>
    <t>-16h19m36s</t>
  </si>
  <si>
    <t>faint, very small, round, stellar nucleus</t>
  </si>
  <si>
    <t>F, vS, R, stellar Nuc!</t>
  </si>
  <si>
    <t>NGC5047</t>
  </si>
  <si>
    <t>13h15m48.4s</t>
  </si>
  <si>
    <t>-16h31m6s</t>
  </si>
  <si>
    <t>NGC5048</t>
  </si>
  <si>
    <t>13h16m8.3s</t>
  </si>
  <si>
    <t>-28h24m40s</t>
  </si>
  <si>
    <t>NGC5049</t>
  </si>
  <si>
    <t>13h15m59.3s</t>
  </si>
  <si>
    <t>-16h23m50s</t>
  </si>
  <si>
    <t>NGC5050</t>
  </si>
  <si>
    <t>13h15m41.6s</t>
  </si>
  <si>
    <t>+2h52m45s</t>
  </si>
  <si>
    <t>NGC5051</t>
  </si>
  <si>
    <t>13h16m20s</t>
  </si>
  <si>
    <t>-28h17m10s</t>
  </si>
  <si>
    <t>nebula, northeastern of 2</t>
  </si>
  <si>
    <t>Neb, nf of 2</t>
  </si>
  <si>
    <t>NGC5052</t>
  </si>
  <si>
    <t>13h15m35s</t>
  </si>
  <si>
    <t>+29h40m33s</t>
  </si>
  <si>
    <t>NGC5053</t>
  </si>
  <si>
    <t>XI</t>
  </si>
  <si>
    <t>13h16m27s</t>
  </si>
  <si>
    <t>+17h41m55s</t>
  </si>
  <si>
    <t>cluster, very faint, pretty large, irregularly round, very gradually brighter middle, stars of 15th magnitude</t>
  </si>
  <si>
    <t>Cl, vF, pL, iR, vgbM, st 15</t>
  </si>
  <si>
    <t>NGC5054</t>
  </si>
  <si>
    <t>13h16m58.3s</t>
  </si>
  <si>
    <t>-16h38m5s</t>
  </si>
  <si>
    <t>faint, pretty small, irregularly round</t>
  </si>
  <si>
    <t>F, pS, iR</t>
  </si>
  <si>
    <t>NGC5055</t>
  </si>
  <si>
    <t>向日葵星系</t>
  </si>
  <si>
    <t>13h15m49s</t>
  </si>
  <si>
    <t>+42h1m59s</t>
  </si>
  <si>
    <t>very bright, large, pretty much extended 120°±, very suddenly much brighter middle and bright nucleus</t>
  </si>
  <si>
    <t>vB, L, pmE 120° ±, vsmbMBN</t>
  </si>
  <si>
    <t>NGC5056</t>
  </si>
  <si>
    <t>13h16m12.4s</t>
  </si>
  <si>
    <t>+30h56m58s</t>
  </si>
  <si>
    <t>considerably faint, considerably small, round, southwestern of 2</t>
  </si>
  <si>
    <t>cF, cS, R, sp of 2</t>
  </si>
  <si>
    <t>NGC5057</t>
  </si>
  <si>
    <t>13h16m27.7s</t>
  </si>
  <si>
    <t>+31h1m55s</t>
  </si>
  <si>
    <t>considerably faint, considerably small, round, northeastern of 2</t>
  </si>
  <si>
    <t>cF, cS, R, nf of 2</t>
  </si>
  <si>
    <t>NGC5058</t>
  </si>
  <si>
    <t>13h16m52.2s</t>
  </si>
  <si>
    <t>+12h32m55s</t>
  </si>
  <si>
    <t>very very faint</t>
  </si>
  <si>
    <t>vvF</t>
  </si>
  <si>
    <t>NGC5059</t>
  </si>
  <si>
    <t>13h16m58.4s</t>
  </si>
  <si>
    <t>+7h50m41s</t>
  </si>
  <si>
    <t>NGC5060</t>
  </si>
  <si>
    <t>13h17m16.3s</t>
  </si>
  <si>
    <t>+6h2m14s</t>
  </si>
  <si>
    <t>NGC5061</t>
  </si>
  <si>
    <t>13h18m5.2s</t>
  </si>
  <si>
    <t>-26h50m14s</t>
  </si>
  <si>
    <t>very bright, small, round, very suddenly much brighter middle, 10th magnitude star to east</t>
  </si>
  <si>
    <t>vB, S, R, vsmbM * 10 f</t>
  </si>
  <si>
    <t>NGC5062</t>
  </si>
  <si>
    <t>13h18m23.6s</t>
  </si>
  <si>
    <t>-35h27m32s</t>
  </si>
  <si>
    <t>extremely faint, very small, extended, mottled but not resolved</t>
  </si>
  <si>
    <t>eF, vS, E, r</t>
  </si>
  <si>
    <t>NGC5063</t>
  </si>
  <si>
    <t>13h18m25.7s</t>
  </si>
  <si>
    <t>-35h21m11s</t>
  </si>
  <si>
    <t>extremely faint, very small, round, star near</t>
  </si>
  <si>
    <t>eF, vS, R, * nr</t>
  </si>
  <si>
    <t>NGC5064</t>
  </si>
  <si>
    <t>13h19m0s</t>
  </si>
  <si>
    <t>-47h54m35s</t>
  </si>
  <si>
    <t>bright, small, round, pretty suddenly a little brighter middle</t>
  </si>
  <si>
    <t>B, S, R, pslbM</t>
  </si>
  <si>
    <t>NGC5065</t>
  </si>
  <si>
    <t>13h17m30.6s</t>
  </si>
  <si>
    <t>+31h5m32s</t>
  </si>
  <si>
    <t>NGC5066</t>
  </si>
  <si>
    <t>13h18m28.4s</t>
  </si>
  <si>
    <t>-10h14m2s</t>
  </si>
  <si>
    <t>NGC5067</t>
  </si>
  <si>
    <t>13h18m27.7s</t>
  </si>
  <si>
    <t>-10h8m40s</t>
  </si>
  <si>
    <t>NGC5068</t>
  </si>
  <si>
    <t>13h18m54.5s</t>
  </si>
  <si>
    <t>-21h2m17s</t>
  </si>
  <si>
    <t>faint, large, irregularly round, brighter middle</t>
  </si>
  <si>
    <t>F, L, iR, bM</t>
  </si>
  <si>
    <t>NGC5069</t>
  </si>
  <si>
    <t>eF, vS (? = m 251)</t>
  </si>
  <si>
    <t>NGC5070</t>
  </si>
  <si>
    <t>13h19m12.6s</t>
  </si>
  <si>
    <t>-12h32m23s</t>
  </si>
  <si>
    <t>most extremely faint, extremely small, very faint star close, 5730 near</t>
  </si>
  <si>
    <t>eeF, eS, vF, * close, 5730 near</t>
  </si>
  <si>
    <t>NGC5071</t>
  </si>
  <si>
    <t>13h18m37.1s</t>
  </si>
  <si>
    <t>+7h56m10s</t>
  </si>
  <si>
    <t>eF, eS, stell</t>
  </si>
  <si>
    <t>NGC5072</t>
  </si>
  <si>
    <t>F, S, * 14 nf</t>
  </si>
  <si>
    <t>NGC5073</t>
  </si>
  <si>
    <t>13h19m20.8s</t>
  </si>
  <si>
    <t>-14h50m47s</t>
  </si>
  <si>
    <t>very faint, pretty large, pretty much extended 135°±</t>
  </si>
  <si>
    <t>vF, pL, pmE 135° ±</t>
  </si>
  <si>
    <t>NGC5074</t>
  </si>
  <si>
    <t>13h18m25.8s</t>
  </si>
  <si>
    <t>+31h28m6s</t>
  </si>
  <si>
    <t>NGC5075</t>
  </si>
  <si>
    <t>13h19m6.2s</t>
  </si>
  <si>
    <t>+7h49m54s</t>
  </si>
  <si>
    <t>vF, eS, stell</t>
  </si>
  <si>
    <t>NGC5076</t>
  </si>
  <si>
    <t>13h19m30.4s</t>
  </si>
  <si>
    <t>-12h44m26s</t>
  </si>
  <si>
    <t>very faint, considerably small, round, 1st of 3</t>
  </si>
  <si>
    <t>vF, cS, R, 1st of 3</t>
  </si>
  <si>
    <t>NGC5077</t>
  </si>
  <si>
    <t>13h19m31.6s</t>
  </si>
  <si>
    <t>-12h39m24s</t>
  </si>
  <si>
    <t>pretty bright, small, very little extended, suddenly brighter middle, 2nd of 3</t>
  </si>
  <si>
    <t>pB, S, vlE, sbM, 2nd of 3</t>
  </si>
  <si>
    <t>NGC5078</t>
  </si>
  <si>
    <t>13h19m49.8s</t>
  </si>
  <si>
    <t>-27h24m35s</t>
  </si>
  <si>
    <t>pretty bright, pretty small, considerably extended, pretty suddenly brighter middle, 7th or 8th magnitude star to east</t>
  </si>
  <si>
    <t>pB, pS, cE, psbM, * 7·8 f</t>
  </si>
  <si>
    <t>NGC5079</t>
  </si>
  <si>
    <t>13h19m37.9s</t>
  </si>
  <si>
    <t>-12h41m59s</t>
  </si>
  <si>
    <t>considerably faint, pretty small, very little extended, 3rd of 3</t>
  </si>
  <si>
    <t>cF, pS, vlE, 3rd of 3</t>
  </si>
  <si>
    <t>NGC5080</t>
  </si>
  <si>
    <t>13h19m19.2s</t>
  </si>
  <si>
    <t>+8h25m47s</t>
  </si>
  <si>
    <t>faint, small, 7th magnitude star to northeast</t>
  </si>
  <si>
    <t>F, S, * 7 nf</t>
  </si>
  <si>
    <t>NGC5081</t>
  </si>
  <si>
    <t>13h19m8.3s</t>
  </si>
  <si>
    <t>+28h30m23s</t>
  </si>
  <si>
    <t>pretty faint, small, irregularly round, 7th or 8th magnitude star to northwest</t>
  </si>
  <si>
    <t>pF, S, iR, * 7·8 np</t>
  </si>
  <si>
    <t>NGC5082</t>
  </si>
  <si>
    <t>13h20m39.8s</t>
  </si>
  <si>
    <t>-43h42m1s</t>
  </si>
  <si>
    <t>very faint, small, round, 1st of 4</t>
  </si>
  <si>
    <t>vF, S, R, 1st of 4</t>
  </si>
  <si>
    <t>NGC5083</t>
  </si>
  <si>
    <t>13h19m3.1s</t>
  </si>
  <si>
    <t>+39h35m22s</t>
  </si>
  <si>
    <t>NGC5084</t>
  </si>
  <si>
    <t>13h20m16.7s</t>
  </si>
  <si>
    <t>-21h49m39s</t>
  </si>
  <si>
    <t>considerably bright, considerably small, very little extended 90±, brightest toward the eastern side</t>
  </si>
  <si>
    <t>cB, cS, vlE 90° ±, bf</t>
  </si>
  <si>
    <t>NGC5085</t>
  </si>
  <si>
    <t>13h20m17.5s</t>
  </si>
  <si>
    <t>-24h26m25s</t>
  </si>
  <si>
    <t>NGC5086</t>
  </si>
  <si>
    <t>13h20m59.3s</t>
  </si>
  <si>
    <t>-43h43m43s</t>
  </si>
  <si>
    <t>NGC5087</t>
  </si>
  <si>
    <t>13h20m24.9s</t>
  </si>
  <si>
    <t>-20h36m39s</t>
  </si>
  <si>
    <t>considerably faint, very small, irregular figure</t>
  </si>
  <si>
    <t>cF, vS, iF</t>
  </si>
  <si>
    <t>NGC5088</t>
  </si>
  <si>
    <t>13h20m20.2s</t>
  </si>
  <si>
    <t>-12h34m20s</t>
  </si>
  <si>
    <t>NGC5089</t>
  </si>
  <si>
    <t>13h19m39.4s</t>
  </si>
  <si>
    <t>+30h15m20s</t>
  </si>
  <si>
    <t>pretty faint, pretty large, gradually brighter middle</t>
  </si>
  <si>
    <t>pF, pL, gbM</t>
  </si>
  <si>
    <t>NGC5090</t>
  </si>
  <si>
    <t>13h21m12.7s</t>
  </si>
  <si>
    <t>pretty bright, pretty large, round, 3rd of 4</t>
  </si>
  <si>
    <t>pB, pL, R, 3rd of 4</t>
  </si>
  <si>
    <t>NGC5091</t>
  </si>
  <si>
    <t>13h21m17.9s</t>
  </si>
  <si>
    <t>-43h43m13s</t>
  </si>
  <si>
    <t>considerably faint, small, very little extended, 4th of 4</t>
  </si>
  <si>
    <t>cF, S, vlE, 4th of 4</t>
  </si>
  <si>
    <t>NGC5092</t>
  </si>
  <si>
    <t>13h19m51.6s</t>
  </si>
  <si>
    <t>+23h0m0s</t>
  </si>
  <si>
    <t>pretty bright, pretty large, irregularly round, 17th magnitude star to south</t>
  </si>
  <si>
    <t>pB, pL, iR, * 17 s</t>
  </si>
  <si>
    <t>NGC5093</t>
  </si>
  <si>
    <t>13h19m37.8s</t>
  </si>
  <si>
    <t>+40h23m11s</t>
  </si>
  <si>
    <t>NGC5094</t>
  </si>
  <si>
    <t>13h20m46.8s</t>
  </si>
  <si>
    <t>-14h4m51s</t>
  </si>
  <si>
    <t>considerably faint, very small, round, gradually brighter middle</t>
  </si>
  <si>
    <t>cF, vS, R, gbM</t>
  </si>
  <si>
    <t>NGC5095</t>
  </si>
  <si>
    <t>13h20m36.8s</t>
  </si>
  <si>
    <t>-2h17m21s</t>
  </si>
  <si>
    <t>very faint, irregularly round, 11th magnitude star to southwest</t>
  </si>
  <si>
    <t>vF, iR, * 11 sp</t>
  </si>
  <si>
    <t>NGC5096</t>
  </si>
  <si>
    <t>13h20m8.6s</t>
  </si>
  <si>
    <t>+33h5m17s</t>
  </si>
  <si>
    <t>very faint, considerably small, round, brighter middle, southwestern of 2</t>
  </si>
  <si>
    <t>vF, cS, R, bM, sp of 2</t>
  </si>
  <si>
    <t>NGC5097</t>
  </si>
  <si>
    <t>13h20m59.6s</t>
  </si>
  <si>
    <t>-12h28m18s</t>
  </si>
  <si>
    <t>extremely faint, extremely small, round, stellar, nearly between 2 stars</t>
  </si>
  <si>
    <t>eF, eS, R, stell, nearly bet 2 st</t>
  </si>
  <si>
    <t>NGC5098</t>
  </si>
  <si>
    <t>13h20m14.7s</t>
  </si>
  <si>
    <t>+33h8m36s</t>
  </si>
  <si>
    <t>very faint, small, between 2 stars, northeastern of 2</t>
  </si>
  <si>
    <t>vF, S, bet 2 st, nf of 2</t>
  </si>
  <si>
    <t>NGC5099</t>
  </si>
  <si>
    <t>13h21m19.5s</t>
  </si>
  <si>
    <t>-13h2m30s</t>
  </si>
  <si>
    <t>NGC5100</t>
  </si>
  <si>
    <t>13h20m59.5s</t>
  </si>
  <si>
    <t>+8h58m44s</t>
  </si>
  <si>
    <t>a magnificent object (!!!), a globular cluster, ω Centauri</t>
  </si>
  <si>
    <t>vF, vS, lbM</t>
  </si>
  <si>
    <t>NGC5101</t>
  </si>
  <si>
    <t>13h21m46s</t>
  </si>
  <si>
    <t>-27h25m51s</t>
  </si>
  <si>
    <t>cB, pS, lE, psbM *</t>
  </si>
  <si>
    <t>NGC5102</t>
  </si>
  <si>
    <t>柱十一之魂</t>
  </si>
  <si>
    <t>13h21m57s</t>
  </si>
  <si>
    <t>-36h37m54s</t>
  </si>
  <si>
    <t>very bright, pretty small, round, suddenly very much brighter middle</t>
  </si>
  <si>
    <t>vB, pS, R, svmbM</t>
  </si>
  <si>
    <t>NGC5103</t>
  </si>
  <si>
    <t>13h20m30s</t>
  </si>
  <si>
    <t>+43h5m4s</t>
  </si>
  <si>
    <t>pretty bright, considerably small, extended</t>
  </si>
  <si>
    <t>pB, cS, E</t>
  </si>
  <si>
    <t>NGC5104</t>
  </si>
  <si>
    <t>13h21m22.9s</t>
  </si>
  <si>
    <t>+0h20m34s</t>
  </si>
  <si>
    <t>NGC5105</t>
  </si>
  <si>
    <t>13h21m49s</t>
  </si>
  <si>
    <t>-13h12m26s</t>
  </si>
  <si>
    <t>NGC5106</t>
  </si>
  <si>
    <t>vF, vS, PD very doubtful</t>
  </si>
  <si>
    <t>NGC5107</t>
  </si>
  <si>
    <t>13h21m24.4s</t>
  </si>
  <si>
    <t>+38h32m18s</t>
  </si>
  <si>
    <t>vF, S, cE 0° ±</t>
  </si>
  <si>
    <t>NGC5108</t>
  </si>
  <si>
    <t>13h23m18.7s</t>
  </si>
  <si>
    <t>-32h20m31s</t>
  </si>
  <si>
    <t>most extremely faint, western of 2</t>
  </si>
  <si>
    <t>eeF, p of 2</t>
  </si>
  <si>
    <t>NGC5109</t>
  </si>
  <si>
    <t>13h20m52.6s</t>
  </si>
  <si>
    <t>+57h38m32s</t>
  </si>
  <si>
    <t>cF, S, cE</t>
  </si>
  <si>
    <t>NGC5110</t>
  </si>
  <si>
    <t>13h22m56.4s</t>
  </si>
  <si>
    <t>-12h57m51s</t>
  </si>
  <si>
    <t>eF, pS, R, in line with 2 pB st</t>
  </si>
  <si>
    <t>NGC5111</t>
  </si>
  <si>
    <t>considerably faint, considerably small, irregularly round, gradually a little brighter middle</t>
  </si>
  <si>
    <t>cF, cS, iR, glbM</t>
  </si>
  <si>
    <t>NGC5112</t>
  </si>
  <si>
    <t>13h21m56.6s</t>
  </si>
  <si>
    <t>+38h44m7s</t>
  </si>
  <si>
    <t>faint, large, irregularly round, very gradually a little brighter middle</t>
  </si>
  <si>
    <t>F, L, iR, vglbM</t>
  </si>
  <si>
    <t>NGC5113</t>
  </si>
  <si>
    <t>cF, S, E (perhaps = h 1588)</t>
  </si>
  <si>
    <t>NGC5114</t>
  </si>
  <si>
    <t>13h24m1.6s</t>
  </si>
  <si>
    <t>-32h20m38s</t>
  </si>
  <si>
    <t>faint, a little extended, pretty suddenly brighter middle, eastern of 2</t>
  </si>
  <si>
    <t>F, lE, psbM, f of 2</t>
  </si>
  <si>
    <t>NGC5115</t>
  </si>
  <si>
    <t>13h23m0.4s</t>
  </si>
  <si>
    <t>+13h57m4s</t>
  </si>
  <si>
    <t>eeF, S, R, * nf, D * f 24s</t>
  </si>
  <si>
    <t>NGC5116</t>
  </si>
  <si>
    <t>13h22m55.7s</t>
  </si>
  <si>
    <t>+26h58m53s</t>
  </si>
  <si>
    <t>pretty faint, pretty small, pretty much extended, gradually a little brighter middle, mottled but not resolved</t>
  </si>
  <si>
    <t>pF, pS, pmE, glbM, r</t>
  </si>
  <si>
    <t>NGC5117</t>
  </si>
  <si>
    <t>+28h18m56s</t>
  </si>
  <si>
    <t>vF, L, Δ 2 st 11 np</t>
  </si>
  <si>
    <t>NGC5118</t>
  </si>
  <si>
    <t>13h23m27.4s</t>
  </si>
  <si>
    <t>+6h23m34s</t>
  </si>
  <si>
    <t>NGC5119</t>
  </si>
  <si>
    <t>13h24m0.3s</t>
  </si>
  <si>
    <t>-12h16m34s</t>
  </si>
  <si>
    <t>NGC5120</t>
  </si>
  <si>
    <t>13h25m40.3s</t>
  </si>
  <si>
    <t>-63h27m29s</t>
  </si>
  <si>
    <t>a cluster, extremely rich, much compressed, stars from 12th to 16th magnitude</t>
  </si>
  <si>
    <t>Cl, eRi, mC, st 12…16</t>
  </si>
  <si>
    <t>NGC5121</t>
  </si>
  <si>
    <t>13h24m45.4s</t>
  </si>
  <si>
    <t>-37h40m57s</t>
  </si>
  <si>
    <t>considerably bright, small, round, pretty suddenly much brighter middle, mottled but not resolved</t>
  </si>
  <si>
    <t>cB, S, R, psmbM, r</t>
  </si>
  <si>
    <t>NGC5122</t>
  </si>
  <si>
    <t>13h24m14.9s</t>
  </si>
  <si>
    <t>-10h39m16s</t>
  </si>
  <si>
    <t>NGC5123</t>
  </si>
  <si>
    <t>13h23m10.4s</t>
  </si>
  <si>
    <t>+43h5m10s</t>
  </si>
  <si>
    <t>pretty faint, small, round, gradually much brighter middle</t>
  </si>
  <si>
    <t>pF, S, R, gmbM</t>
  </si>
  <si>
    <t>NGC5124</t>
  </si>
  <si>
    <t>13h24m50.2s</t>
  </si>
  <si>
    <t>-30h18m29s</t>
  </si>
  <si>
    <t>NGC5125</t>
  </si>
  <si>
    <t>13h24m0.7s</t>
  </si>
  <si>
    <t>+9h42m37s</t>
  </si>
  <si>
    <t>NGC5126</t>
  </si>
  <si>
    <t>13h24m53.4s</t>
  </si>
  <si>
    <t>-30h20m1s</t>
  </si>
  <si>
    <t>NGC5127</t>
  </si>
  <si>
    <t>13h23m45.2s</t>
  </si>
  <si>
    <t>+31h33m55s</t>
  </si>
  <si>
    <t>pretty bright, pretty large, round, gradually much brighter middle, double star to west</t>
  </si>
  <si>
    <t>pB, pL, R, gmbM, ** p</t>
  </si>
  <si>
    <t>NGC5128</t>
  </si>
  <si>
    <t>半人马座A</t>
  </si>
  <si>
    <t>13h25m29s</t>
  </si>
  <si>
    <t>-43h0m58s</t>
  </si>
  <si>
    <t>!!, vB, vL, vmE 122°.5, bifid</t>
  </si>
  <si>
    <t>NGC5129</t>
  </si>
  <si>
    <t>13h24m10s</t>
  </si>
  <si>
    <t>+13h58m36s</t>
  </si>
  <si>
    <t>pretty bright, very small, round, gradually much brighter middle, double star to east</t>
  </si>
  <si>
    <t>pB, vS, R, gmbM, ** f</t>
  </si>
  <si>
    <t>NGC5130</t>
  </si>
  <si>
    <t>13h24m27.2s</t>
  </si>
  <si>
    <t>-10h12m37s</t>
  </si>
  <si>
    <t>NGC5131</t>
  </si>
  <si>
    <t>13h23m57s</t>
  </si>
  <si>
    <t>+30h59m15s</t>
  </si>
  <si>
    <t>faint, pretty small, a little extended, nucleus = 15th magnitude star</t>
  </si>
  <si>
    <t>F, pS, lE, N = * 15</t>
  </si>
  <si>
    <t>NGC5132</t>
  </si>
  <si>
    <t>13h24m28.9s</t>
  </si>
  <si>
    <t>+14h5m33s</t>
  </si>
  <si>
    <t>NGC5133</t>
  </si>
  <si>
    <t>13h24m52.9s</t>
  </si>
  <si>
    <t>-4h4m55s</t>
  </si>
  <si>
    <t>very faint, very small, irregularly round, brighter middle</t>
  </si>
  <si>
    <t>vF, vS, irrR, bM</t>
  </si>
  <si>
    <t>NGC5134</t>
  </si>
  <si>
    <t>13h25m18.5s</t>
  </si>
  <si>
    <t>-21h8m5s</t>
  </si>
  <si>
    <t>faint, pretty small, a little extended, very gradually brighter middle</t>
  </si>
  <si>
    <t>F, pS, lE, vgbM</t>
  </si>
  <si>
    <t>NGC5135</t>
  </si>
  <si>
    <t>13h25m44s</t>
  </si>
  <si>
    <t>-29h50m1s</t>
  </si>
  <si>
    <t>NGC5136</t>
  </si>
  <si>
    <t>13h24m51.4s</t>
  </si>
  <si>
    <t>+13h44m17s</t>
  </si>
  <si>
    <t>extremely faint, very small, round, pretty suddenly brighter middle</t>
  </si>
  <si>
    <t>eF, vS, R, psbM</t>
  </si>
  <si>
    <t>NGC5137</t>
  </si>
  <si>
    <t>13h24m52.5s</t>
  </si>
  <si>
    <t>+14h4m37s</t>
  </si>
  <si>
    <t>NGC5138</t>
  </si>
  <si>
    <t>13h27m16s</t>
  </si>
  <si>
    <t>-59h2m30s</t>
  </si>
  <si>
    <t>a cluster, rich, a little compressed, stars of 11th magnitude</t>
  </si>
  <si>
    <t>Cl, Ri, lC, st 11</t>
  </si>
  <si>
    <t>NGC5139</t>
  </si>
  <si>
    <t>半人马座奥米茄星团</t>
  </si>
  <si>
    <t>13h26m47s</t>
  </si>
  <si>
    <t>-47h28m51s</t>
  </si>
  <si>
    <t>!!!, globular cluster of stars, ω Centauri</t>
  </si>
  <si>
    <t>NGC5140</t>
  </si>
  <si>
    <t>13h26m21.7s</t>
  </si>
  <si>
    <t>-33h52m7s</t>
  </si>
  <si>
    <t>NGC5141</t>
  </si>
  <si>
    <t>+36h22m44s</t>
  </si>
  <si>
    <t>cF, cS, R, vsmbM *, * 12 sp, sp of 2</t>
  </si>
  <si>
    <t>NGC5142</t>
  </si>
  <si>
    <t>13h25m1.2s</t>
  </si>
  <si>
    <t>+36h23m59s</t>
  </si>
  <si>
    <t>F, cS, R, vsmbM *, nf of 2</t>
  </si>
  <si>
    <t>NGC5143</t>
  </si>
  <si>
    <t>13h25m1.4s</t>
  </si>
  <si>
    <t>+36h26m15s</t>
  </si>
  <si>
    <t>NGC5144</t>
  </si>
  <si>
    <t>13h22m53.9s</t>
  </si>
  <si>
    <t>+70h30m53s</t>
  </si>
  <si>
    <t>perhaps a planetary nebula, considerably bright, small, round, gradually, suddenly a little brighter middle</t>
  </si>
  <si>
    <t>planetary ?, cB, S, R, g, slbM</t>
  </si>
  <si>
    <t>NGC5145</t>
  </si>
  <si>
    <t>13h25m13.9s</t>
  </si>
  <si>
    <t>+43h16m2s</t>
  </si>
  <si>
    <t>pretty bright, very small, very little extended, gradually a little brighter middle</t>
  </si>
  <si>
    <t>pB, vS, vlE, glbM</t>
  </si>
  <si>
    <t>NGC5146</t>
  </si>
  <si>
    <t>13h26m37.4s</t>
  </si>
  <si>
    <t>-12h19m24s</t>
  </si>
  <si>
    <t>NGC5147</t>
  </si>
  <si>
    <t>13h26m19.6s</t>
  </si>
  <si>
    <t>+2h6m1s</t>
  </si>
  <si>
    <t>pretty bright, pretty large, very little extended, very suddenly much brighter middle equivalent to 12th magnitude star</t>
  </si>
  <si>
    <t>pB, pL, vlE, vsmbM * 12</t>
  </si>
  <si>
    <t>NGC5148</t>
  </si>
  <si>
    <t>13h26m38.8s</t>
  </si>
  <si>
    <t>+2h18m49s</t>
  </si>
  <si>
    <t>NGC5149</t>
  </si>
  <si>
    <t>13h26m9.1s</t>
  </si>
  <si>
    <t>+35h56m4s</t>
  </si>
  <si>
    <t>considerably faint, pretty small, extended, brighter middle, southwestern of 2</t>
  </si>
  <si>
    <t>cF, pS, E, bM, sp of 2</t>
  </si>
  <si>
    <t>NGC5150</t>
  </si>
  <si>
    <t>13h27m36.4s</t>
  </si>
  <si>
    <t>-29h33m45s</t>
  </si>
  <si>
    <t>cF, S, R, pslbM, * f 2'</t>
  </si>
  <si>
    <t>NGC5151</t>
  </si>
  <si>
    <t>13h26m40.8s</t>
  </si>
  <si>
    <t>+16h52m26s</t>
  </si>
  <si>
    <t>vF, S, R, * 8 nf 4'</t>
  </si>
  <si>
    <t>NGC5152</t>
  </si>
  <si>
    <t>13h27m51.5s</t>
  </si>
  <si>
    <t>-29h37m9s</t>
  </si>
  <si>
    <t>very faint, small, round, western of double nebula</t>
  </si>
  <si>
    <t>vF, S, R, p of D neb</t>
  </si>
  <si>
    <t>NGC5153</t>
  </si>
  <si>
    <t>13h27m54.3s</t>
  </si>
  <si>
    <t>-29h37m4s</t>
  </si>
  <si>
    <t>pretty faint, small, eastern of double nebula</t>
  </si>
  <si>
    <t>pF, S, f of D neb</t>
  </si>
  <si>
    <t>NGC5154</t>
  </si>
  <si>
    <t>13h26m28.6s</t>
  </si>
  <si>
    <t>+36h0m38s</t>
  </si>
  <si>
    <t>very faint, pretty large, round, northeastern of 2</t>
  </si>
  <si>
    <t>vF, pL, R, nf of 2</t>
  </si>
  <si>
    <t>NGC5155</t>
  </si>
  <si>
    <t>13h28m18s</t>
  </si>
  <si>
    <t>-63h28m0s</t>
  </si>
  <si>
    <t>a cluster, very rich</t>
  </si>
  <si>
    <t>Cl, vRi</t>
  </si>
  <si>
    <t>NGC5156</t>
  </si>
  <si>
    <t>13h28m44.2s</t>
  </si>
  <si>
    <t>-48h55m0s</t>
  </si>
  <si>
    <t>pretty bright, considerably small, irregularly extended, gradually a little brighter middle, mottled but not resolved</t>
  </si>
  <si>
    <t>pB, cS, iE, glbM, r</t>
  </si>
  <si>
    <t>NGC5157</t>
  </si>
  <si>
    <t>13h27m16.8s</t>
  </si>
  <si>
    <t>+32h1m51s</t>
  </si>
  <si>
    <t>faint, pretty small, very little extended, brighter middle, western of 2</t>
  </si>
  <si>
    <t>F, pS, vlE, bM, p of 2</t>
  </si>
  <si>
    <t>NGC5158</t>
  </si>
  <si>
    <t>13h27m46.9s</t>
  </si>
  <si>
    <t>+17h46m44s</t>
  </si>
  <si>
    <t>NGC5159</t>
  </si>
  <si>
    <t>13h28m16.1s</t>
  </si>
  <si>
    <t>+2h59m1s</t>
  </si>
  <si>
    <t>NGC5160</t>
  </si>
  <si>
    <t>13h28m21.6s</t>
  </si>
  <si>
    <t>+5h59m45s</t>
  </si>
  <si>
    <t>pF (? vF D * with F * close)</t>
  </si>
  <si>
    <t>NGC5161</t>
  </si>
  <si>
    <t>13h29m13.7s</t>
  </si>
  <si>
    <t>-33h10m28s</t>
  </si>
  <si>
    <t>pretty faint, large, very much extended, pretty gradually brighter middle, partially resolved (some stars seen)</t>
  </si>
  <si>
    <t>pF, L, vmE, pgbM, rr</t>
  </si>
  <si>
    <t>NGC5162</t>
  </si>
  <si>
    <t>13h29m25.9s</t>
  </si>
  <si>
    <t>+11h0m28s</t>
  </si>
  <si>
    <t>a magnificent or otherwise interesting object, Great Spiral nebula</t>
  </si>
  <si>
    <t>vF, pL, lE, F * nr nf</t>
  </si>
  <si>
    <t>NGC5163</t>
  </si>
  <si>
    <t>13h26m54.1s</t>
  </si>
  <si>
    <t>+52h45m15s</t>
  </si>
  <si>
    <t>considerably faint, stellar</t>
  </si>
  <si>
    <t>cF, stellar</t>
  </si>
  <si>
    <t>NGC5164</t>
  </si>
  <si>
    <t>13h27m11.9s</t>
  </si>
  <si>
    <t>+55h29m13s</t>
  </si>
  <si>
    <t>NGC5165</t>
  </si>
  <si>
    <t>13h28m39.1s</t>
  </si>
  <si>
    <t>+11h23m15s</t>
  </si>
  <si>
    <t>F, vS, R, * 13 sf</t>
  </si>
  <si>
    <t>NGC5166</t>
  </si>
  <si>
    <t>13h28m15s</t>
  </si>
  <si>
    <t>+32h1m56s</t>
  </si>
  <si>
    <t>pretty faint, pretty large, a little extended, a little brighter middle, eastern of 2</t>
  </si>
  <si>
    <t>pF, pL, lE, lbM, f of 2</t>
  </si>
  <si>
    <t>NGC5167</t>
  </si>
  <si>
    <t>13h28m40.2s</t>
  </si>
  <si>
    <t>+12h42m41s</t>
  </si>
  <si>
    <t>vF, sev vF st close</t>
  </si>
  <si>
    <t>NGC5168</t>
  </si>
  <si>
    <t>13h31m7.2s</t>
  </si>
  <si>
    <t>-60h56m21s</t>
  </si>
  <si>
    <t>a cluster, very faint, small, very rich, stars of 15th magnitude</t>
  </si>
  <si>
    <t>Cl, vF, S, vRi, st 15</t>
  </si>
  <si>
    <t>NGC5169</t>
  </si>
  <si>
    <t>13h28m10s</t>
  </si>
  <si>
    <t>+46h40m20s</t>
  </si>
  <si>
    <t>NGC5170</t>
  </si>
  <si>
    <t>13h29m48.8s</t>
  </si>
  <si>
    <t>-17h57m55s</t>
  </si>
  <si>
    <t>cF, L, mE 129°, pgbM</t>
  </si>
  <si>
    <t>NGC5171</t>
  </si>
  <si>
    <t>13h29m21.6s</t>
  </si>
  <si>
    <t>+11h44m7s</t>
  </si>
  <si>
    <t>NGC5172</t>
  </si>
  <si>
    <t>13h29m19s</t>
  </si>
  <si>
    <t>+17h3m6s</t>
  </si>
  <si>
    <t>NGC5173</t>
  </si>
  <si>
    <t>13h28m25.2s</t>
  </si>
  <si>
    <t>+46h35m32s</t>
  </si>
  <si>
    <t>F, vS, R, stellar</t>
  </si>
  <si>
    <t>NGC5174</t>
  </si>
  <si>
    <t>vF, pL, D neb, close</t>
  </si>
  <si>
    <t>NGC5175</t>
  </si>
  <si>
    <t>13h29m31s</t>
  </si>
  <si>
    <t>+11h2m30s</t>
  </si>
  <si>
    <t>NGC5176</t>
  </si>
  <si>
    <t>13h29m24.9s</t>
  </si>
  <si>
    <t>+11h46m55s</t>
  </si>
  <si>
    <t>No description, not seen by T</t>
  </si>
  <si>
    <t>NGC5177</t>
  </si>
  <si>
    <t>13h29m24.2s</t>
  </si>
  <si>
    <t>+11h47m48s</t>
  </si>
  <si>
    <t>NGC5178</t>
  </si>
  <si>
    <t>13h29m29.3s</t>
  </si>
  <si>
    <t>NGC5179</t>
  </si>
  <si>
    <t>13h29m30.8s</t>
  </si>
  <si>
    <t>+11h44m47s</t>
  </si>
  <si>
    <t>vF, * in centre</t>
  </si>
  <si>
    <t>NGC5180</t>
  </si>
  <si>
    <t>13h29m26.9s</t>
  </si>
  <si>
    <t>+16h49m33s</t>
  </si>
  <si>
    <t>very faint, small, round, among 3 stars, 7th magnitude star to northeast</t>
  </si>
  <si>
    <t>vF, S, R, am 3 st, * 7 nf</t>
  </si>
  <si>
    <t>NGC5181</t>
  </si>
  <si>
    <t>13h29m41.9s</t>
  </si>
  <si>
    <t>+13h18m16s</t>
  </si>
  <si>
    <t>NGC5182</t>
  </si>
  <si>
    <t>13h30m41.6s</t>
  </si>
  <si>
    <t>-28h9m1s</t>
  </si>
  <si>
    <t>vF, pL, vlE, * 7 nf 10'</t>
  </si>
  <si>
    <t>NGC5183</t>
  </si>
  <si>
    <t>13h30m6.1s</t>
  </si>
  <si>
    <t>-1h43m14s</t>
  </si>
  <si>
    <t>faint, considerably small, a little extended, gradually brighter middle, western of 2</t>
  </si>
  <si>
    <t>F, cS, lE, gbM, p of 2</t>
  </si>
  <si>
    <t>NGC5184</t>
  </si>
  <si>
    <t>13h30m11.4s</t>
  </si>
  <si>
    <t>-1h39m49s</t>
  </si>
  <si>
    <t>pretty faint, pretty large, irregularly round, brighter middle, eastern of 2</t>
  </si>
  <si>
    <t>pF, pL, iR, bM, f of 2</t>
  </si>
  <si>
    <t>NGC5185</t>
  </si>
  <si>
    <t>13h30m2.2s</t>
  </si>
  <si>
    <t>+13h24m58s</t>
  </si>
  <si>
    <t>NGC5186</t>
  </si>
  <si>
    <t>13h30m3.9s</t>
  </si>
  <si>
    <t>+12h10m31s</t>
  </si>
  <si>
    <t>NGC5187</t>
  </si>
  <si>
    <t>13h29m48.2s</t>
  </si>
  <si>
    <t>+31h7m48s</t>
  </si>
  <si>
    <t>NGC5188</t>
  </si>
  <si>
    <t>13h31m27.9s</t>
  </si>
  <si>
    <t>-34h47m42s</t>
  </si>
  <si>
    <t>faint, pretty large, very little extended, very gradually a little brighter middle</t>
  </si>
  <si>
    <t>F, pL, vlE, vglbM</t>
  </si>
  <si>
    <t>NGC5189</t>
  </si>
  <si>
    <t>螺旋行星状星云</t>
  </si>
  <si>
    <t>13h33m32.9s</t>
  </si>
  <si>
    <t>-65h58m25s</t>
  </si>
  <si>
    <t>!, B, pL, cE, bM, curved axis, 4 st inv</t>
  </si>
  <si>
    <t>NGC5190</t>
  </si>
  <si>
    <t>13h30m38.4s</t>
  </si>
  <si>
    <t>+18h8m4s</t>
  </si>
  <si>
    <t>cF, S, R, bM, *** f</t>
  </si>
  <si>
    <t>NGC5191</t>
  </si>
  <si>
    <t>13h30m47.3s</t>
  </si>
  <si>
    <t>+11h12m5s</t>
  </si>
  <si>
    <t>eF, * 9 f 57s</t>
  </si>
  <si>
    <t>NGC5192</t>
  </si>
  <si>
    <t>13h30m51.7s</t>
  </si>
  <si>
    <t>-1h46m44s</t>
  </si>
  <si>
    <t>NGC5193</t>
  </si>
  <si>
    <t>13h31m53.5s</t>
  </si>
  <si>
    <t>-33h14m5s</t>
  </si>
  <si>
    <t>pretty bright, small, round, gradually, pretty suddenly brighter middle</t>
  </si>
  <si>
    <t>pB, S, R, g, psbM</t>
  </si>
  <si>
    <t>NGC5194</t>
  </si>
  <si>
    <t>涡状星系</t>
  </si>
  <si>
    <t>13h29m52.6s</t>
  </si>
  <si>
    <t>+47h11m44s</t>
  </si>
  <si>
    <t>!!!, Great Spiral neb</t>
  </si>
  <si>
    <t>NGC5195</t>
  </si>
  <si>
    <t>M51替代者</t>
  </si>
  <si>
    <t>13h29m59.2s</t>
  </si>
  <si>
    <t>+47h16m3s</t>
  </si>
  <si>
    <t>B, pS, lE, vgbM, inv in M 51</t>
  </si>
  <si>
    <t>NGC5196</t>
  </si>
  <si>
    <t>13h31m19.6s</t>
  </si>
  <si>
    <t>-1h36m52s</t>
  </si>
  <si>
    <t>NGC5197</t>
  </si>
  <si>
    <t>13h31m25s</t>
  </si>
  <si>
    <t>-1h41m33s</t>
  </si>
  <si>
    <t>NGC5198</t>
  </si>
  <si>
    <t>+46h40m15s</t>
  </si>
  <si>
    <t>NGC5199</t>
  </si>
  <si>
    <t>13h30m42.7s</t>
  </si>
  <si>
    <t>+34h49m52s</t>
  </si>
  <si>
    <t>NGC5200</t>
  </si>
  <si>
    <t>13h31m42.4s</t>
  </si>
  <si>
    <t>-0h1m47s</t>
  </si>
  <si>
    <t>NGC5201</t>
  </si>
  <si>
    <t>13h29m16.2s</t>
  </si>
  <si>
    <t>+53h4m54s</t>
  </si>
  <si>
    <t>pretty faint, considerably small, round, very gradually a little brighter middle</t>
  </si>
  <si>
    <t>pF, cS, R, vglbM</t>
  </si>
  <si>
    <t>NGC5202</t>
  </si>
  <si>
    <t>13h32m0.5s</t>
  </si>
  <si>
    <t>-1h41m55s</t>
  </si>
  <si>
    <t>NGC5203</t>
  </si>
  <si>
    <t>13h32m13.4s</t>
  </si>
  <si>
    <t>-8h47m11s</t>
  </si>
  <si>
    <t>very faint, considerably small, round, gradually brighter middle, mottled but not resolved</t>
  </si>
  <si>
    <t>vF, cS, R, gbM, r</t>
  </si>
  <si>
    <t>NGC5204</t>
  </si>
  <si>
    <t>13h29m36.1s</t>
  </si>
  <si>
    <t>+58h25m6s</t>
  </si>
  <si>
    <t>pretty bright, considerably large, irregularly round, gradually much brighter middle, mottled but not resolved</t>
  </si>
  <si>
    <t>pB, cL, iR, gmbM, r</t>
  </si>
  <si>
    <t>NGC5205</t>
  </si>
  <si>
    <t>13h30m3.1s</t>
  </si>
  <si>
    <t>+62h30m45s</t>
  </si>
  <si>
    <t>very faint, pretty small, round, between 2 very faint stars</t>
  </si>
  <si>
    <t>vF, pS, R, bet 2 vF st</t>
  </si>
  <si>
    <t>NGC5206</t>
  </si>
  <si>
    <t>13h33m43.8s</t>
  </si>
  <si>
    <t>-48h9m7s</t>
  </si>
  <si>
    <t>NGC5207</t>
  </si>
  <si>
    <t>13h32m13.9s</t>
  </si>
  <si>
    <t>+13h53m29s</t>
  </si>
  <si>
    <t>F, S, cE, * 11 att np</t>
  </si>
  <si>
    <t>NGC5208</t>
  </si>
  <si>
    <t>13h32m27.9s</t>
  </si>
  <si>
    <t>+7h19m1s</t>
  </si>
  <si>
    <t>faint, very small, round, pretty suddenly brighter middle, western of 2</t>
  </si>
  <si>
    <t>F, vS, R, psbM, p of 2</t>
  </si>
  <si>
    <t>NGC5209</t>
  </si>
  <si>
    <t>13h32m42.5s</t>
  </si>
  <si>
    <t>+7h19m40s</t>
  </si>
  <si>
    <t>faint, very small, round, stellar, eastern of 2</t>
  </si>
  <si>
    <t>F, vS, R, stellar, f of 2</t>
  </si>
  <si>
    <t>NGC5210</t>
  </si>
  <si>
    <t>13h32m49.4s</t>
  </si>
  <si>
    <t>+7h10m12s</t>
  </si>
  <si>
    <t>faint, small, round, pretty suddenly brighter middle and nucleus</t>
  </si>
  <si>
    <t>F, S, R, psbMN</t>
  </si>
  <si>
    <t>NGC5211</t>
  </si>
  <si>
    <t>13h33m5.3s</t>
  </si>
  <si>
    <t>-1h2m9s</t>
  </si>
  <si>
    <t>NGC5212</t>
  </si>
  <si>
    <t>13h32m56.1s</t>
  </si>
  <si>
    <t>+7h17m17s</t>
  </si>
  <si>
    <t>NGC5213</t>
  </si>
  <si>
    <t>13h34m39.2s</t>
  </si>
  <si>
    <t>+4h7m51s</t>
  </si>
  <si>
    <t>NGC5214</t>
  </si>
  <si>
    <t>13h32m48.5s</t>
  </si>
  <si>
    <t>+41h52m20s</t>
  </si>
  <si>
    <t>NGC5215</t>
  </si>
  <si>
    <t>13h35m9.7s</t>
  </si>
  <si>
    <t>-33h29m2s</t>
  </si>
  <si>
    <t>eF, eS, * s and * p</t>
  </si>
  <si>
    <t>NGC5216</t>
  </si>
  <si>
    <t>基南系统</t>
  </si>
  <si>
    <t>13h32m7.1s</t>
  </si>
  <si>
    <t>+62h42m3s</t>
  </si>
  <si>
    <t>very remarkable object, (per William and John Herschel) very bright, very large, extended 55°, extremely suddenly bright middle and nucleus; (per Lacaille) 3 branched spiral</t>
  </si>
  <si>
    <t>pB, S, vlE</t>
  </si>
  <si>
    <t>NGC5217</t>
  </si>
  <si>
    <t>13h34m5.9s</t>
  </si>
  <si>
    <t>+17h51m26s</t>
  </si>
  <si>
    <t>NGC5218</t>
  </si>
  <si>
    <t>13h32m10.2s</t>
  </si>
  <si>
    <t>+62h46m5s</t>
  </si>
  <si>
    <t>NGC5219</t>
  </si>
  <si>
    <t>13h38m41.8s</t>
  </si>
  <si>
    <t>-45h51m17s</t>
  </si>
  <si>
    <t>very faint, small, round, star to north, near</t>
  </si>
  <si>
    <t>vF, S, R, * n, nr</t>
  </si>
  <si>
    <t>NGC5220</t>
  </si>
  <si>
    <t>13h35m56.7s</t>
  </si>
  <si>
    <t>-33h27m16s</t>
  </si>
  <si>
    <t>very faint, small, round, 10th magnitude star to east</t>
  </si>
  <si>
    <t>vF, S, R, * 10 f</t>
  </si>
  <si>
    <t>NGC5221</t>
  </si>
  <si>
    <t>13h34m56.2s</t>
  </si>
  <si>
    <t>+13h49m57s</t>
  </si>
  <si>
    <t>very faint, small, very little extended, 1st of 3</t>
  </si>
  <si>
    <t>vF, S, vlE, 1st of 3</t>
  </si>
  <si>
    <t>NGC5222</t>
  </si>
  <si>
    <t>13h34m55.9s</t>
  </si>
  <si>
    <t>+13h44m28s</t>
  </si>
  <si>
    <t>considerably faint, small, round, brighter middle, 2nd of 3</t>
  </si>
  <si>
    <t>cF, S, R, bM, 2nd of 3</t>
  </si>
  <si>
    <t>NGC5223</t>
  </si>
  <si>
    <t>13h34m25.1s</t>
  </si>
  <si>
    <t>+34h41m26s</t>
  </si>
  <si>
    <t>faint, considerably small, round, 10th magnitude star to west, western of 2</t>
  </si>
  <si>
    <t>F, cS, R, * 10 p, p of 2</t>
  </si>
  <si>
    <t>NGC5224</t>
  </si>
  <si>
    <t>13h35m8.8s</t>
  </si>
  <si>
    <t>+6h28m54s</t>
  </si>
  <si>
    <t>vF, S, * 9 nf inv ?</t>
  </si>
  <si>
    <t>NGC5225</t>
  </si>
  <si>
    <t>13h33m20s</t>
  </si>
  <si>
    <t>+51h29m27s</t>
  </si>
  <si>
    <t>considerably faint, pretty small, irregularly round, a little brighter middle</t>
  </si>
  <si>
    <t>cF, pS, iR, lbM</t>
  </si>
  <si>
    <t>NGC5226</t>
  </si>
  <si>
    <t>13h35m3.6s</t>
  </si>
  <si>
    <t>+13h55m17s</t>
  </si>
  <si>
    <t>eF, pS, h 1637 sp</t>
  </si>
  <si>
    <t>NGC5227</t>
  </si>
  <si>
    <t>13h35m24.7s</t>
  </si>
  <si>
    <t>+1h24m38s</t>
  </si>
  <si>
    <t>NGC5228</t>
  </si>
  <si>
    <t>13h34m35.1s</t>
  </si>
  <si>
    <t>+34h46m40s</t>
  </si>
  <si>
    <t>very faint, very small, round, eastern of 2</t>
  </si>
  <si>
    <t>vF, vS, R, f of 2</t>
  </si>
  <si>
    <t>NGC5229</t>
  </si>
  <si>
    <t>13h34m2.9s</t>
  </si>
  <si>
    <t>+47h54m52s</t>
  </si>
  <si>
    <t>extremely faint, large, much extended, very difficult</t>
  </si>
  <si>
    <t>eF, L, mE, v diffic</t>
  </si>
  <si>
    <t>NGC5230</t>
  </si>
  <si>
    <t>13h35m32.1s</t>
  </si>
  <si>
    <t>+13h40m31s</t>
  </si>
  <si>
    <t>faint, large, extended, very gradually brighter middle, 3rd of 3</t>
  </si>
  <si>
    <t>F, L, E, vgbM, 3rd of 3</t>
  </si>
  <si>
    <t>NGC5231</t>
  </si>
  <si>
    <t>13h35m48.3s</t>
  </si>
  <si>
    <t>+2h59m56s</t>
  </si>
  <si>
    <t>NGC5232</t>
  </si>
  <si>
    <t>13h36m8.2s</t>
  </si>
  <si>
    <t>-8h29m52s</t>
  </si>
  <si>
    <t>NGC5233</t>
  </si>
  <si>
    <t>13h35m13.4s</t>
  </si>
  <si>
    <t>+34h40m38s</t>
  </si>
  <si>
    <t>faint, small, round, very small (faint) star near</t>
  </si>
  <si>
    <t>F, S, R, vS * nr</t>
  </si>
  <si>
    <t>NGC5234</t>
  </si>
  <si>
    <t>13h37m29.8s</t>
  </si>
  <si>
    <t>-49h50m14s</t>
  </si>
  <si>
    <t>most extremely faint, small, a little extended</t>
  </si>
  <si>
    <t>eeF, S, lE</t>
  </si>
  <si>
    <t>NGC5235</t>
  </si>
  <si>
    <t>13h36m1.4s</t>
  </si>
  <si>
    <t>+6h35m6s</t>
  </si>
  <si>
    <t>very faint, pretty small, very little extended, 9th magnitude star to southwest</t>
  </si>
  <si>
    <t>vF, pS, vlE, * 9 sp</t>
  </si>
  <si>
    <t>NGC5236</t>
  </si>
  <si>
    <t>13h37m0.2s</t>
  </si>
  <si>
    <t>-29h52m2s</t>
  </si>
  <si>
    <t>!!, (H, h) vB, vL, E 55°, esbMN, (L) 3 branched spiral</t>
  </si>
  <si>
    <t>NGC5237</t>
  </si>
  <si>
    <t>13h37m38.9s</t>
  </si>
  <si>
    <t>-42h50m52s</t>
  </si>
  <si>
    <t>faint, pretty large, considerably extended, very gradually a little brighter middle</t>
  </si>
  <si>
    <t>F, pL, cE, vglbM</t>
  </si>
  <si>
    <t>NGC5238</t>
  </si>
  <si>
    <t>13h34m42.6s</t>
  </si>
  <si>
    <t>+51h36m50s</t>
  </si>
  <si>
    <t>considerably faint, pretty large, round, very little brighter middle</t>
  </si>
  <si>
    <t>cF, pL, R, vlbM</t>
  </si>
  <si>
    <t>NGC5239</t>
  </si>
  <si>
    <t>13h36m26.3s</t>
  </si>
  <si>
    <t>+7h22m11s</t>
  </si>
  <si>
    <t>very faint, pretty large, round, extremely mottled but not resolved</t>
  </si>
  <si>
    <t>vF, pL, R, er</t>
  </si>
  <si>
    <t>NGC5240</t>
  </si>
  <si>
    <t>13h35m55.1s</t>
  </si>
  <si>
    <t>+35h35m18s</t>
  </si>
  <si>
    <t>NGC5241</t>
  </si>
  <si>
    <t>13h36m39.9s</t>
  </si>
  <si>
    <t>-8h24m6s</t>
  </si>
  <si>
    <t>pretty faint, extremely small, very faint star close</t>
  </si>
  <si>
    <t>pF, eS, vF * close</t>
  </si>
  <si>
    <t>NGC5242</t>
  </si>
  <si>
    <t>13h37m7.3s</t>
  </si>
  <si>
    <t>+2h46m14s</t>
  </si>
  <si>
    <t>extremely faint, extremely large</t>
  </si>
  <si>
    <t>eF, eL</t>
  </si>
  <si>
    <t>NGC5243</t>
  </si>
  <si>
    <t>13h36m15.1s</t>
  </si>
  <si>
    <t>+38h20m36s</t>
  </si>
  <si>
    <t>cF, pL, E 65°, biN ?</t>
  </si>
  <si>
    <t>NGC5244</t>
  </si>
  <si>
    <t>vF, S, R, vglbM, * 13 att</t>
  </si>
  <si>
    <t>NGC5245</t>
  </si>
  <si>
    <t>13h37m23.2s</t>
  </si>
  <si>
    <t>+3h53m53s</t>
  </si>
  <si>
    <t>NGC5246</t>
  </si>
  <si>
    <t>13h37m29.3s</t>
  </si>
  <si>
    <t>+4h6m16s</t>
  </si>
  <si>
    <t>NGC5247</t>
  </si>
  <si>
    <t>13h38m2.9s</t>
  </si>
  <si>
    <t>-17h53m5s</t>
  </si>
  <si>
    <t>!!, (H, h) cF, vL, vg, psmbMLN, (L) 2 branched spiral</t>
  </si>
  <si>
    <t>NGC5248</t>
  </si>
  <si>
    <t>13h37m32s</t>
  </si>
  <si>
    <t>+8h53m10s</t>
  </si>
  <si>
    <t>B, L, E 150°, psbMrN</t>
  </si>
  <si>
    <t>NGC5249</t>
  </si>
  <si>
    <t>13h37m37.5s</t>
  </si>
  <si>
    <t>+15h58m20s</t>
  </si>
  <si>
    <t>NGC5250</t>
  </si>
  <si>
    <t>13h36m7.1s</t>
  </si>
  <si>
    <t>+51h14m11s</t>
  </si>
  <si>
    <t>NGC5251</t>
  </si>
  <si>
    <t>13h37m24.8s</t>
  </si>
  <si>
    <t>+27h25m9s</t>
  </si>
  <si>
    <t>NGC5252</t>
  </si>
  <si>
    <t>13h38m15.9s</t>
  </si>
  <si>
    <t>+4h32m33s</t>
  </si>
  <si>
    <t>NGC5253</t>
  </si>
  <si>
    <t>13h39m55.8s</t>
  </si>
  <si>
    <t>-31h38m30s</t>
  </si>
  <si>
    <t>bright, pretty large, extended 45°±, pretty suddenly much brighter middle</t>
  </si>
  <si>
    <t>B, pL, E 45° ±, psmbM</t>
  </si>
  <si>
    <t>NGC5254</t>
  </si>
  <si>
    <t>13h39m38s</t>
  </si>
  <si>
    <t>-11h29m39s</t>
  </si>
  <si>
    <t>pretty bright, large, pretty much extended, gradually a little brighter middle</t>
  </si>
  <si>
    <t>pB, L, pmE, glbM</t>
  </si>
  <si>
    <t>NGC5255</t>
  </si>
  <si>
    <t>13h37m17.9s</t>
  </si>
  <si>
    <t>+57h6m35s</t>
  </si>
  <si>
    <t>NGC5256</t>
  </si>
  <si>
    <t>13h38m17.4s</t>
  </si>
  <si>
    <t>+48h16m39s</t>
  </si>
  <si>
    <t>NGC5257</t>
  </si>
  <si>
    <t>13h39m52.8s</t>
  </si>
  <si>
    <t>+0h50m25s</t>
  </si>
  <si>
    <t>very faint, small, round, brighter middle, western of double nebula</t>
  </si>
  <si>
    <t>vF, S, R, bM, p of D neb</t>
  </si>
  <si>
    <t>NGC5258</t>
  </si>
  <si>
    <t>13h39m57.8s</t>
  </si>
  <si>
    <t>+0h49m54s</t>
  </si>
  <si>
    <t>F, S, iR, f of D neb</t>
  </si>
  <si>
    <t>NGC5259</t>
  </si>
  <si>
    <t>13h39m24.6s</t>
  </si>
  <si>
    <t>+30h59m28s</t>
  </si>
  <si>
    <t>NGC5260</t>
  </si>
  <si>
    <t>13h40m19.8s</t>
  </si>
  <si>
    <t>-23h51m30s</t>
  </si>
  <si>
    <t>extremely faint, pretty large, 3 stars to east in a line</t>
  </si>
  <si>
    <t>eF, pL, 3 st f in a line</t>
  </si>
  <si>
    <t>NGC5261</t>
  </si>
  <si>
    <t>13h40m16s</t>
  </si>
  <si>
    <t>+5h4m37s</t>
  </si>
  <si>
    <t>NGC5262</t>
  </si>
  <si>
    <t>13h35m38.5s</t>
  </si>
  <si>
    <t>+75h2m24s</t>
  </si>
  <si>
    <t>NGC5263</t>
  </si>
  <si>
    <t>13h39m55.6s</t>
  </si>
  <si>
    <t>+28h23m59s</t>
  </si>
  <si>
    <t>considerably faint, small, much extended 0°±, 9th magnitude star to southwest</t>
  </si>
  <si>
    <t>cF, S, mE 0° ±, * 9 sp</t>
  </si>
  <si>
    <t>NGC5264</t>
  </si>
  <si>
    <t>13h41m36.6s</t>
  </si>
  <si>
    <t>-29h54m43s</t>
  </si>
  <si>
    <t>very faint, pretty large, round, very little brighter middle</t>
  </si>
  <si>
    <t>vF, pL, R, vlbM</t>
  </si>
  <si>
    <t>NGC5265</t>
  </si>
  <si>
    <t>13h40m9s</t>
  </si>
  <si>
    <t>+36h51m41s</t>
  </si>
  <si>
    <t>faint, considerably small, very little extended, extremely mottled but not resolved</t>
  </si>
  <si>
    <t>F, cS, vlE, er</t>
  </si>
  <si>
    <t>NGC5266</t>
  </si>
  <si>
    <t>13h43m1.8s</t>
  </si>
  <si>
    <t>-48h10m9s</t>
  </si>
  <si>
    <t>bright, pretty large, very little extended, very gradually a little brighter middle, 3 stars near</t>
  </si>
  <si>
    <t>B, pL, vlE, vglbM, 3 st nr</t>
  </si>
  <si>
    <t>NGC5267</t>
  </si>
  <si>
    <t>13h40m40s</t>
  </si>
  <si>
    <t>+38h47m40s</t>
  </si>
  <si>
    <t>faint, small, round, gradually brighter middle, small star to northwest</t>
  </si>
  <si>
    <t>F, S, R, gbM, S * np</t>
  </si>
  <si>
    <t>NGC5268</t>
  </si>
  <si>
    <t>13h42m12.3s</t>
  </si>
  <si>
    <t>-13h51m37s</t>
  </si>
  <si>
    <t>a nebula (Auwers 32)</t>
  </si>
  <si>
    <t>A nebula (Auw 32)</t>
  </si>
  <si>
    <t>NGC5269</t>
  </si>
  <si>
    <t>13h44m44.1s</t>
  </si>
  <si>
    <t>-62h54m54s</t>
  </si>
  <si>
    <t>a cluster, poor, large, irregular figure, stars of 12th magnitude</t>
  </si>
  <si>
    <t>Cl, P, L, iF, st 12</t>
  </si>
  <si>
    <t>NGC5270</t>
  </si>
  <si>
    <t>13h42m10.9s</t>
  </si>
  <si>
    <t>+4h15m45s</t>
  </si>
  <si>
    <t>extremely faint, small, between 2 stars</t>
  </si>
  <si>
    <t>eF, S, bet 2 st</t>
  </si>
  <si>
    <t>NGC5271</t>
  </si>
  <si>
    <t>13h41m42.4s</t>
  </si>
  <si>
    <t>+30h7m31s</t>
  </si>
  <si>
    <t>very faint, very small, round, gradually a very little brighter middle</t>
  </si>
  <si>
    <t>vF, vS, R, gvlbM</t>
  </si>
  <si>
    <t>NGC5272</t>
  </si>
  <si>
    <t>13h42m11.2s</t>
  </si>
  <si>
    <t>+28h22m34s</t>
  </si>
  <si>
    <t>a very remarkable object, a globular cluster, extremely bright, very large, very suddenly much brighter middle, stars from 11th magnitude</t>
  </si>
  <si>
    <t>!!, globular cluster of stars, eB, vL, vsmbM, st 11…</t>
  </si>
  <si>
    <t>NGC5273</t>
  </si>
  <si>
    <t>13h42m8.3s</t>
  </si>
  <si>
    <t>+35h39m14s</t>
  </si>
  <si>
    <t>considerably bright, pretty large, round, gradually then pretty suddenly much brighter middle</t>
  </si>
  <si>
    <t>cB, pL, R, g, psmbM</t>
  </si>
  <si>
    <t>NGC5274</t>
  </si>
  <si>
    <t>13h42m23.3s</t>
  </si>
  <si>
    <t>+29h50m52s</t>
  </si>
  <si>
    <t>NGC5275</t>
  </si>
  <si>
    <t>13h42m23.6s</t>
  </si>
  <si>
    <t>+29h49m31s</t>
  </si>
  <si>
    <t>NGC5276</t>
  </si>
  <si>
    <t>13h42m21.9s</t>
  </si>
  <si>
    <t>+35h37m27s</t>
  </si>
  <si>
    <t>NGC5277</t>
  </si>
  <si>
    <t>13h42m38.4s</t>
  </si>
  <si>
    <t>+29h57m15s</t>
  </si>
  <si>
    <t>NGC5278</t>
  </si>
  <si>
    <t>13h41m39.9s</t>
  </si>
  <si>
    <t>+55h40m14s</t>
  </si>
  <si>
    <t>pretty faint, round, very small nebula 40 arcsec to east, star to north</t>
  </si>
  <si>
    <t>pF, R, vS neb 40" f, * n</t>
  </si>
  <si>
    <t>NGC5279</t>
  </si>
  <si>
    <t>13h41m43.7s</t>
  </si>
  <si>
    <t>+55h40m24s</t>
  </si>
  <si>
    <t>F, vS, f of 2</t>
  </si>
  <si>
    <t>NGC5280</t>
  </si>
  <si>
    <t>13h42m55.5s</t>
  </si>
  <si>
    <t>+29h52m9s</t>
  </si>
  <si>
    <t>NGC5281</t>
  </si>
  <si>
    <t>13h46m36.7s</t>
  </si>
  <si>
    <t>-62h54m34s</t>
  </si>
  <si>
    <t>a cluster, bright, small, pretty compressed, irregularly round, stars from 10th to 12th magnitude</t>
  </si>
  <si>
    <t>Cl, B, S, pC, iR, st 10…12</t>
  </si>
  <si>
    <t>NGC5282</t>
  </si>
  <si>
    <t>13h43m24.8s</t>
  </si>
  <si>
    <t>+30h4m12s</t>
  </si>
  <si>
    <t>faint, small, round, gradually brighter middle equivalent to 14th magnitude star</t>
  </si>
  <si>
    <t>F, S, R, gbM * 14</t>
  </si>
  <si>
    <t>NGC5283</t>
  </si>
  <si>
    <t>13h41m5.7s</t>
  </si>
  <si>
    <t>+67h40m23s</t>
  </si>
  <si>
    <t>F, S, stell</t>
  </si>
  <si>
    <t>NGC5284</t>
  </si>
  <si>
    <t>13h47m6s</t>
  </si>
  <si>
    <t>-59h13m39s</t>
  </si>
  <si>
    <t>a cluster, large, very rich, stars from 7th to 16th magnitude</t>
  </si>
  <si>
    <t>Cl, L, vRi, st 7…16</t>
  </si>
  <si>
    <t>NGC5285</t>
  </si>
  <si>
    <t>13h44m25.7s</t>
  </si>
  <si>
    <t>+2h6m38s</t>
  </si>
  <si>
    <t>extremely faint, very small, round, gradually a very little brighter middle</t>
  </si>
  <si>
    <t>eF, vS, R, gvlbM</t>
  </si>
  <si>
    <t>NGC5286</t>
  </si>
  <si>
    <t>13h46m26.5s</t>
  </si>
  <si>
    <t>-51h22m22s</t>
  </si>
  <si>
    <t>a globular cluster, very bright, pretty large, round, well resolved, clearly consisting of stars of 15th magnitude</t>
  </si>
  <si>
    <t>globular, vB, pL, R, rrr, st 15</t>
  </si>
  <si>
    <t>NGC5287</t>
  </si>
  <si>
    <t>13h44m52.5s</t>
  </si>
  <si>
    <t>+29h46m15s</t>
  </si>
  <si>
    <t>faint, small, irregular, mottled but not resolved?</t>
  </si>
  <si>
    <t>F, S, irr, r?</t>
  </si>
  <si>
    <t>NGC5288</t>
  </si>
  <si>
    <t>圆规座</t>
  </si>
  <si>
    <t>CIR</t>
  </si>
  <si>
    <t>13h48m45.6s</t>
  </si>
  <si>
    <t>-64h41m11s</t>
  </si>
  <si>
    <t>a cluster, small, compressed, irregularly round, stars of 14th magnitude</t>
  </si>
  <si>
    <t>Cl, S, C, iR, st 14</t>
  </si>
  <si>
    <t>NGC5289</t>
  </si>
  <si>
    <t>13h45m8.7s</t>
  </si>
  <si>
    <t>+41h30m13s</t>
  </si>
  <si>
    <t>very faint, very small, a little extended 90°±, suddenly brighter middle</t>
  </si>
  <si>
    <t>vF, vS, lE 90° ±, sbM</t>
  </si>
  <si>
    <t>NGC5290</t>
  </si>
  <si>
    <t>13h45m19.1s</t>
  </si>
  <si>
    <t>+41h42m47s</t>
  </si>
  <si>
    <t>considerably bright, pretty large, extended 90°±, brighter middle and nucleus</t>
  </si>
  <si>
    <t>cB, pL, E 90° ±, bMN</t>
  </si>
  <si>
    <t>NGC5291</t>
  </si>
  <si>
    <t>贝壳星系</t>
  </si>
  <si>
    <t>13h47m24.3s</t>
  </si>
  <si>
    <t>-30h24m19s</t>
  </si>
  <si>
    <t>very faint, round, a very little brighter middle, double star to west</t>
  </si>
  <si>
    <t>vF, R, vlbM, ** p</t>
  </si>
  <si>
    <t>NGC5292</t>
  </si>
  <si>
    <t>13h47m40s</t>
  </si>
  <si>
    <t>-30h56m22s</t>
  </si>
  <si>
    <t>NGC5293</t>
  </si>
  <si>
    <t>13h46m52.6s</t>
  </si>
  <si>
    <t>+16h16m22s</t>
  </si>
  <si>
    <t>extremely faint, very large, mottled but not resolved</t>
  </si>
  <si>
    <t>eF, vL, r</t>
  </si>
  <si>
    <t>NGC5294</t>
  </si>
  <si>
    <t>13h45m18.2s</t>
  </si>
  <si>
    <t>+55h17m25s</t>
  </si>
  <si>
    <t>extremely faint, 2 stars attached or involved</t>
  </si>
  <si>
    <t>eF, 2 st att or inv</t>
  </si>
  <si>
    <t>NGC5295</t>
  </si>
  <si>
    <t>13h38m39.3s</t>
  </si>
  <si>
    <t>+79h27m34s</t>
  </si>
  <si>
    <t>NGC5296</t>
  </si>
  <si>
    <t>13h46m18.6s</t>
  </si>
  <si>
    <t>+43h51m6s</t>
  </si>
  <si>
    <t>round, brighter middle, is southwest of h 1668</t>
  </si>
  <si>
    <t>R, bM, is sp h 1668</t>
  </si>
  <si>
    <t>NGC5297</t>
  </si>
  <si>
    <t>13h46m23.4s</t>
  </si>
  <si>
    <t>+43h52m21s</t>
  </si>
  <si>
    <t>considerably bright, large, pretty much extended 142°, gradually brighter middle</t>
  </si>
  <si>
    <t>cB, L, pmE 142°, gbM</t>
  </si>
  <si>
    <t>NGC5298</t>
  </si>
  <si>
    <t>13h48m36.3s</t>
  </si>
  <si>
    <t>-30h25m45s</t>
  </si>
  <si>
    <t>NGC5299</t>
  </si>
  <si>
    <t>13h50m48s</t>
  </si>
  <si>
    <t>-60h24m0s</t>
  </si>
  <si>
    <t>a cluster, very large, very rich</t>
  </si>
  <si>
    <t>Cl, vL, vRi</t>
  </si>
  <si>
    <t>NGC5300</t>
  </si>
  <si>
    <t>13h48m15.9s</t>
  </si>
  <si>
    <t>+3h57m2s</t>
  </si>
  <si>
    <t>very faint, very large, a little extended, very gradually brighter middle</t>
  </si>
  <si>
    <t>vF, vL, lE, vgbM</t>
  </si>
  <si>
    <t>NGC5301</t>
  </si>
  <si>
    <t>13h46m24.2s</t>
  </si>
  <si>
    <t>+46h6m27s</t>
  </si>
  <si>
    <t>considerably faint, large, very much extended</t>
  </si>
  <si>
    <t>cF, L, vmE</t>
  </si>
  <si>
    <t>NGC5302</t>
  </si>
  <si>
    <t>13h48m49.8s</t>
  </si>
  <si>
    <t>-30h30m43s</t>
  </si>
  <si>
    <t>NGC5303</t>
  </si>
  <si>
    <t>13h47m45.2s</t>
  </si>
  <si>
    <t>+38h18m16s</t>
  </si>
  <si>
    <t>pF, cS, lE, F ** inv</t>
  </si>
  <si>
    <t>NGC5304</t>
  </si>
  <si>
    <t>13h50m1.4s</t>
  </si>
  <si>
    <t>-30h34m43s</t>
  </si>
  <si>
    <t>RA is 13 42 03, the star following is of 12th magnitude, position angle 160 degrees, distance 0.7 arcmin</t>
  </si>
  <si>
    <t>eF, pS, lE, vF * f</t>
  </si>
  <si>
    <t>NGC5305</t>
  </si>
  <si>
    <t>13h47m55.7s</t>
  </si>
  <si>
    <t>+37h49m34s</t>
  </si>
  <si>
    <t>NGC5306</t>
  </si>
  <si>
    <t>13h49m11.2s</t>
  </si>
  <si>
    <t>-7h13m24s</t>
  </si>
  <si>
    <t>NGC5307</t>
  </si>
  <si>
    <t>13h51m3.3s</t>
  </si>
  <si>
    <t>-51h12m19s</t>
  </si>
  <si>
    <t>a planetary nebula, or a very faint, extremely small, double nebula</t>
  </si>
  <si>
    <t>planetary, or vF, eS, D neb</t>
  </si>
  <si>
    <t>NGC5308</t>
  </si>
  <si>
    <t>13h47m0s</t>
  </si>
  <si>
    <t>+60h58m22s</t>
  </si>
  <si>
    <t>B, pL, mE 57°, psbMBEN</t>
  </si>
  <si>
    <t>NGC5309</t>
  </si>
  <si>
    <t>13h49m55s</t>
  </si>
  <si>
    <t>-15h46m18s</t>
  </si>
  <si>
    <t>very faint, pretty small, round, between a star and a double star</t>
  </si>
  <si>
    <t>vF, pS, R, bet * and D *</t>
  </si>
  <si>
    <t>NGC5310</t>
  </si>
  <si>
    <t>13h49m47.8s</t>
  </si>
  <si>
    <t>+0h4m10s</t>
  </si>
  <si>
    <t>NGC5311</t>
  </si>
  <si>
    <t>13h48m55.8s</t>
  </si>
  <si>
    <t>+39h59m11s</t>
  </si>
  <si>
    <t>considerably faint, considerably small, round, suddenly brighter middle, western of 2</t>
  </si>
  <si>
    <t>cF, cS, R, sbM, p of 2</t>
  </si>
  <si>
    <t>NGC5312</t>
  </si>
  <si>
    <t>13h49m50.5s</t>
  </si>
  <si>
    <t>+33h37m20s</t>
  </si>
  <si>
    <t>very faint, round, stellar, 1st of 4</t>
  </si>
  <si>
    <t>vF, R, stellar, 1st of 4</t>
  </si>
  <si>
    <t>NGC5313</t>
  </si>
  <si>
    <t>13h49m44.3s</t>
  </si>
  <si>
    <t>+39h59m7s</t>
  </si>
  <si>
    <t>pretty bright, pretty small, very little extended, gradually a little brighter middle, eastern of 2</t>
  </si>
  <si>
    <t>pB, pS, vlE, glbM, f of 2</t>
  </si>
  <si>
    <t>NGC5314</t>
  </si>
  <si>
    <t>13h46m11.1s</t>
  </si>
  <si>
    <t>+70h20m23s</t>
  </si>
  <si>
    <t>vF, eS, stellar, eF * v close</t>
  </si>
  <si>
    <t>NGC5315</t>
  </si>
  <si>
    <t>13h53m57.1s</t>
  </si>
  <si>
    <t>-66h30m48s</t>
  </si>
  <si>
    <t>planetary, stellar = 10.5 mag</t>
  </si>
  <si>
    <t>NGC5316</t>
  </si>
  <si>
    <t>13h54m0s</t>
  </si>
  <si>
    <t>-61h51m0s</t>
  </si>
  <si>
    <t>a cluster, pretty large, pretty compressed, stars of 11th magnitude</t>
  </si>
  <si>
    <t>Cl, pL, pC, st 11</t>
  </si>
  <si>
    <t>NGC5317</t>
  </si>
  <si>
    <t>13h56m11.9s</t>
  </si>
  <si>
    <t>+5h0m56s</t>
  </si>
  <si>
    <t>NGC5318</t>
  </si>
  <si>
    <t>13h50m35.9s</t>
  </si>
  <si>
    <t>faint, small, round, pretty suddenly brighter middle, 2nd of 4</t>
  </si>
  <si>
    <t>F, S, R, psbM, 2nd of 4</t>
  </si>
  <si>
    <t>NGC5319</t>
  </si>
  <si>
    <t>13h50m40.5s</t>
  </si>
  <si>
    <t>+33h45m42s</t>
  </si>
  <si>
    <t>vF, R, n of III 423, 3rd of 4</t>
  </si>
  <si>
    <t>NGC5320</t>
  </si>
  <si>
    <t>13h50m20.2s</t>
  </si>
  <si>
    <t>+41h21m58s</t>
  </si>
  <si>
    <t>considerably faint, pretty large, round, gradually brighter middle</t>
  </si>
  <si>
    <t>cF, pL, R, gbM</t>
  </si>
  <si>
    <t>NGC5321</t>
  </si>
  <si>
    <t>13h50m43.6s</t>
  </si>
  <si>
    <t>+33h37m59s</t>
  </si>
  <si>
    <t>eF, pL, R, svmbM *, 4th of 4</t>
  </si>
  <si>
    <t>NGC5322</t>
  </si>
  <si>
    <t>13h49m14.9s</t>
  </si>
  <si>
    <t>+60h11m25s</t>
  </si>
  <si>
    <t>very bright, pretty large, irregularly round, pretty suddenly much brighter middle</t>
  </si>
  <si>
    <t>vB, pL, iR, psmbM</t>
  </si>
  <si>
    <t>NGC5323</t>
  </si>
  <si>
    <t>13h45m36s</t>
  </si>
  <si>
    <t>+76h49m42s</t>
  </si>
  <si>
    <t>very faint, pretty small, a little extended 0°±</t>
  </si>
  <si>
    <t>vF, pS, lE 0° ±</t>
  </si>
  <si>
    <t>NGC5324</t>
  </si>
  <si>
    <t>13h52m5.8s</t>
  </si>
  <si>
    <t>-6h3m29s</t>
  </si>
  <si>
    <t>considerably faint, large, irregularly round, brighter middle</t>
  </si>
  <si>
    <t>cF, L, iR, bM</t>
  </si>
  <si>
    <t>NGC5325</t>
  </si>
  <si>
    <t>13h50m54s</t>
  </si>
  <si>
    <t>+38h16m29s</t>
  </si>
  <si>
    <t>most extremely faint, pretty small, round, very difficult, 2 bright stars near</t>
  </si>
  <si>
    <t>eeF, pS, R, v diffic, 2 B st nr</t>
  </si>
  <si>
    <t>NGC5326</t>
  </si>
  <si>
    <t>13h50m50.5s</t>
  </si>
  <si>
    <t>+39h34m31s</t>
  </si>
  <si>
    <t>considerably faint, small, very little extended, suddenly brighter middle</t>
  </si>
  <si>
    <t>cF, S, vlE, sbM</t>
  </si>
  <si>
    <t>NGC5327</t>
  </si>
  <si>
    <t>13h52m4.1s</t>
  </si>
  <si>
    <t>-2h12m23s</t>
  </si>
  <si>
    <t>faint, pretty small, round, 2 stars to west</t>
  </si>
  <si>
    <t>F, pS, R, 2 st p</t>
  </si>
  <si>
    <t>NGC5328</t>
  </si>
  <si>
    <t>13h52m53.4s</t>
  </si>
  <si>
    <t>-28h29m21s</t>
  </si>
  <si>
    <t>pretty bright, small, round, suddenly a little brighter middle</t>
  </si>
  <si>
    <t>pB, S, R, slbM</t>
  </si>
  <si>
    <t>NGC5329</t>
  </si>
  <si>
    <t>13h52m10s</t>
  </si>
  <si>
    <t>+2h19m32s</t>
  </si>
  <si>
    <t>faint, very small, round, pretty suddenly brighter middle</t>
  </si>
  <si>
    <t>F, vS, R, psbM</t>
  </si>
  <si>
    <t>NGC5330</t>
  </si>
  <si>
    <t>13h52m59.2s</t>
  </si>
  <si>
    <t>-28h28m14s</t>
  </si>
  <si>
    <t>eeF, S, R, v diffic, nf 3676</t>
  </si>
  <si>
    <t>NGC5331</t>
  </si>
  <si>
    <t>13h52m16s</t>
  </si>
  <si>
    <t>+2h6m4s</t>
  </si>
  <si>
    <t>very faint, small, extended 0°, partially resolved (some stars seen)</t>
  </si>
  <si>
    <t>vF, S, E 0°, rr</t>
  </si>
  <si>
    <t>NGC5332</t>
  </si>
  <si>
    <t>13h52m7.9s</t>
  </si>
  <si>
    <t>+16h58m11s</t>
  </si>
  <si>
    <t>NGC5333</t>
  </si>
  <si>
    <t>13h54m24.1s</t>
  </si>
  <si>
    <t>-48h30m46s</t>
  </si>
  <si>
    <t>very faint, very small, round, 8th magnitude star to east</t>
  </si>
  <si>
    <t>vF, vS, R, * 8 f</t>
  </si>
  <si>
    <t>NGC5334</t>
  </si>
  <si>
    <t>13h52m54.5s</t>
  </si>
  <si>
    <t>-1h6m49s</t>
  </si>
  <si>
    <t>considerably faint, very large, round, a little brighter middle, mottled but not resolved</t>
  </si>
  <si>
    <t>cF, vL, R, lbM, r</t>
  </si>
  <si>
    <t>NGC5335</t>
  </si>
  <si>
    <t>13h52m56.5s</t>
  </si>
  <si>
    <t>+2h48m53s</t>
  </si>
  <si>
    <t>faint, irregularly round</t>
  </si>
  <si>
    <t>F, iR</t>
  </si>
  <si>
    <t>NGC5336</t>
  </si>
  <si>
    <t>13h52m9.8s</t>
  </si>
  <si>
    <t>+43h14m35s</t>
  </si>
  <si>
    <t>considerably faint, pretty large, round, pretty suddenly brighter middle</t>
  </si>
  <si>
    <t>cF, pL, R, psbM</t>
  </si>
  <si>
    <t>NGC5337</t>
  </si>
  <si>
    <t>13h52m23s</t>
  </si>
  <si>
    <t>+39h41m17s</t>
  </si>
  <si>
    <t>very faint, small, irregularly round, 7th magnitude star to west</t>
  </si>
  <si>
    <t>vF, S, iR, * 7 p</t>
  </si>
  <si>
    <t>NGC5338</t>
  </si>
  <si>
    <t>13h53m26.5s</t>
  </si>
  <si>
    <t>+5h12m28s</t>
  </si>
  <si>
    <t>vF, E pf, 4' f D *</t>
  </si>
  <si>
    <t>NGC5339</t>
  </si>
  <si>
    <t>-7h55m50s</t>
  </si>
  <si>
    <t>NGC5340</t>
  </si>
  <si>
    <t>13h48m59.8s</t>
  </si>
  <si>
    <t>+72h39m16s</t>
  </si>
  <si>
    <t>NGC5341</t>
  </si>
  <si>
    <t>13h52m32.1s</t>
  </si>
  <si>
    <t>+37h49m1s</t>
  </si>
  <si>
    <t>lE, bM, sp h 1697</t>
  </si>
  <si>
    <t>NGC5342</t>
  </si>
  <si>
    <t>13h51m25.9s</t>
  </si>
  <si>
    <t>+59h51m50s</t>
  </si>
  <si>
    <t>NGC5343</t>
  </si>
  <si>
    <t>13h54m11.7s</t>
  </si>
  <si>
    <t>-7h35m18s</t>
  </si>
  <si>
    <t>NGC5344</t>
  </si>
  <si>
    <t>13h50m12s</t>
  </si>
  <si>
    <t>+73h57m12s</t>
  </si>
  <si>
    <t>NGC5345</t>
  </si>
  <si>
    <t>13h54m14.1s</t>
  </si>
  <si>
    <t>-1h26m9s</t>
  </si>
  <si>
    <t>NGC5346</t>
  </si>
  <si>
    <t>13h53m2s</t>
  </si>
  <si>
    <t>+39h34m51s</t>
  </si>
  <si>
    <t>extremely faint, pretty large, irregularly round, gradually a little brighter middle, mottled but not resolved?</t>
  </si>
  <si>
    <t>eF, pL, irrR, glbM, r?</t>
  </si>
  <si>
    <t>NGC5347</t>
  </si>
  <si>
    <t>13h53m18s</t>
  </si>
  <si>
    <t>+33h29m27s</t>
  </si>
  <si>
    <t>pretty faint, considerably large, round, a little brighter middle</t>
  </si>
  <si>
    <t>pF, cL, R, lbM</t>
  </si>
  <si>
    <t>NGC5348</t>
  </si>
  <si>
    <t>13h54m11.1s</t>
  </si>
  <si>
    <t>+5h13m38s</t>
  </si>
  <si>
    <t>very faint, much extended north-south</t>
  </si>
  <si>
    <t>vF, mE ns</t>
  </si>
  <si>
    <t>NGC5349</t>
  </si>
  <si>
    <t>13h53m13.1s</t>
  </si>
  <si>
    <t>+37h52m59s</t>
  </si>
  <si>
    <t>bM, sp 1697</t>
  </si>
  <si>
    <t>NGC5350</t>
  </si>
  <si>
    <t>13h53m21.5s</t>
  </si>
  <si>
    <t>+40h21m50s</t>
  </si>
  <si>
    <t>considerably faint, prettylarge, brighter middle, 7th magnitude star to west, 1st of 4</t>
  </si>
  <si>
    <t>cF, pL, bM, * 7 p, 1st of 4</t>
  </si>
  <si>
    <t>NGC5351</t>
  </si>
  <si>
    <t>13h53m28s</t>
  </si>
  <si>
    <t>+37h54m54s</t>
  </si>
  <si>
    <t>considerably faint, large, a little extended 90°, very gradually brighter middle</t>
  </si>
  <si>
    <t>cF, L, lE 90°, vgbM</t>
  </si>
  <si>
    <t>NGC5352</t>
  </si>
  <si>
    <t>13h53m38.3s</t>
  </si>
  <si>
    <t>+36h8m3s</t>
  </si>
  <si>
    <t>considerably faint, small, round, a little brighter middle, star 90</t>
  </si>
  <si>
    <t>cF, S, R, lbM, * nf 90"</t>
  </si>
  <si>
    <t>NGC5353</t>
  </si>
  <si>
    <t>NGC 5353星系群</t>
  </si>
  <si>
    <t>13h53m26.7s</t>
  </si>
  <si>
    <t>+40h16m59s</t>
  </si>
  <si>
    <t>pretty bright, small, round, 2nd of 4</t>
  </si>
  <si>
    <t>pB, S, R, 2nd of 4</t>
  </si>
  <si>
    <t>NGC5354</t>
  </si>
  <si>
    <t>+40h18m11s</t>
  </si>
  <si>
    <t>pretty faint, small, round, 3rd of 4</t>
  </si>
  <si>
    <t>pF, S, R, 3rd of 4</t>
  </si>
  <si>
    <t>NGC5355</t>
  </si>
  <si>
    <t>13h53m45.5s</t>
  </si>
  <si>
    <t>+40h20m20s</t>
  </si>
  <si>
    <t>vF, pS, 4th of 4</t>
  </si>
  <si>
    <t>NGC5356</t>
  </si>
  <si>
    <t>13h54m58.3s</t>
  </si>
  <si>
    <t>+5h20m0s</t>
  </si>
  <si>
    <t>faint, pretty large, very much extended 17°, mottled but not resolved</t>
  </si>
  <si>
    <t>F, pL, vmE 17°, r</t>
  </si>
  <si>
    <t>NGC5357</t>
  </si>
  <si>
    <t>13h55m59.4s</t>
  </si>
  <si>
    <t>-30h20m30s</t>
  </si>
  <si>
    <t>pretty faint, small, round, gradually a little brighter middle, between two 10th magnitude stars</t>
  </si>
  <si>
    <t>pF, S, R, glbM, bet 2 st 10</t>
  </si>
  <si>
    <t>NGC5358</t>
  </si>
  <si>
    <t>13h54m0.4s</t>
  </si>
  <si>
    <t>+40h16m40s</t>
  </si>
  <si>
    <t>very faint, very small, round, 2 very faint stars involved</t>
  </si>
  <si>
    <t>vF, vS, R, 2 vF st inv</t>
  </si>
  <si>
    <t>NGC5359</t>
  </si>
  <si>
    <t>13h59m48s</t>
  </si>
  <si>
    <t>-70h24m0s</t>
  </si>
  <si>
    <t>a cluster, very large, a little rich, a little compressed, stars of 11th magnitude</t>
  </si>
  <si>
    <t>Cl, vL, lRi, lC, st 11</t>
  </si>
  <si>
    <t>NGC5360</t>
  </si>
  <si>
    <t>13h55m38.4s</t>
  </si>
  <si>
    <t>+4h59m0s</t>
  </si>
  <si>
    <t>NGC5361</t>
  </si>
  <si>
    <t>13h54m35.3s</t>
  </si>
  <si>
    <t>+38h26m58s</t>
  </si>
  <si>
    <t>extremely faint, considerably small, extended</t>
  </si>
  <si>
    <t>eF, cS, E</t>
  </si>
  <si>
    <t>NGC5362</t>
  </si>
  <si>
    <t>13h54m53.1s</t>
  </si>
  <si>
    <t>+41h18m49s</t>
  </si>
  <si>
    <t>pretty bright, pretty large, extended</t>
  </si>
  <si>
    <t>pB, pL, E</t>
  </si>
  <si>
    <t>NGC5363</t>
  </si>
  <si>
    <t>13h56m7.1s</t>
  </si>
  <si>
    <t>+5h15m14s</t>
  </si>
  <si>
    <t>bright, pretty large, round, pretty suddenly brighter middle, 8th magnitude star to northeast</t>
  </si>
  <si>
    <t>B, pL, R, psbM, * 8 nf</t>
  </si>
  <si>
    <t>NGC5364</t>
  </si>
  <si>
    <t>NGC5365</t>
  </si>
  <si>
    <t>13h57m50.5s</t>
  </si>
  <si>
    <t>-43h55m55s</t>
  </si>
  <si>
    <t>pretty bright, considerably small, round, pretty gradually brighter middle, among stars</t>
  </si>
  <si>
    <t>pB, cS, R, pgbM, am st</t>
  </si>
  <si>
    <t>NGC5366</t>
  </si>
  <si>
    <t>13h56m24.9s</t>
  </si>
  <si>
    <t>-0h14m51s</t>
  </si>
  <si>
    <t>small, round, 9th magnitude star 2 arcmin distant</t>
  </si>
  <si>
    <t>S, R, * 9 dist 2'</t>
  </si>
  <si>
    <t>NGC5367</t>
  </si>
  <si>
    <t>13h57m43.8s</t>
  </si>
  <si>
    <t>-39h58m42s</t>
  </si>
  <si>
    <t>a remarkable object, very bright, very large, very little then very suddenly much brighter middle like a double star</t>
  </si>
  <si>
    <t>!, vB, vL, vl, vsmbM **</t>
  </si>
  <si>
    <t>NGC5368</t>
  </si>
  <si>
    <t>13h54m29.1s</t>
  </si>
  <si>
    <t>+54h19m51s</t>
  </si>
  <si>
    <t>faint, considerably small, round, stellar, 16th magnitude star to northeast</t>
  </si>
  <si>
    <t>F, cS, R, stellar, * 16 nf</t>
  </si>
  <si>
    <t>NGC5369</t>
  </si>
  <si>
    <t>13h56m37.7s</t>
  </si>
  <si>
    <t>-5h28m11s</t>
  </si>
  <si>
    <t>NGC5370</t>
  </si>
  <si>
    <t>13h54m9.1s</t>
  </si>
  <si>
    <t>+60h40m43s</t>
  </si>
  <si>
    <t>NGC5371</t>
  </si>
  <si>
    <t>13h55m40s</t>
  </si>
  <si>
    <t>+40h27m44s</t>
  </si>
  <si>
    <t>pretty bright, large, round, brighter middle and faint nucleus</t>
  </si>
  <si>
    <t>pB, L, R, bMFN</t>
  </si>
  <si>
    <t>NGC5372</t>
  </si>
  <si>
    <t>13h54m45.9s</t>
  </si>
  <si>
    <t>+58h40m1s</t>
  </si>
  <si>
    <t>considerably faint, small, extended, double star involved?</t>
  </si>
  <si>
    <t>cF, S, E, ? ** inv</t>
  </si>
  <si>
    <t>NGC5373</t>
  </si>
  <si>
    <t>13h57m7.4s</t>
  </si>
  <si>
    <t>+5h15m9s</t>
  </si>
  <si>
    <t>vF, vS, stell</t>
  </si>
  <si>
    <t>NGC5374</t>
  </si>
  <si>
    <t>13h57m29.5s</t>
  </si>
  <si>
    <t>+6h5m49s</t>
  </si>
  <si>
    <t>considerably faint, pretty large, round, very gradually brighter middle, 11th magnitude star to northwest</t>
  </si>
  <si>
    <t>cF, pL, R, vgbM, * 11 np</t>
  </si>
  <si>
    <t>NGC5375</t>
  </si>
  <si>
    <t>13h56m55.9s</t>
  </si>
  <si>
    <t>+29h9m51s</t>
  </si>
  <si>
    <t>pretty bright, pretty large, round, a little brighter middle</t>
  </si>
  <si>
    <t>pB, pL, R, lbM</t>
  </si>
  <si>
    <t>NGC5376</t>
  </si>
  <si>
    <t>13h55m15.8s</t>
  </si>
  <si>
    <t>+59h30m25s</t>
  </si>
  <si>
    <t>considerably bright, pretty large, very little extended, very gradually much brighter middle</t>
  </si>
  <si>
    <t>cB, pL, vlE, vgmbM</t>
  </si>
  <si>
    <t>NGC5377</t>
  </si>
  <si>
    <t>13h56m16.7s</t>
  </si>
  <si>
    <t>+47h14m8s</t>
  </si>
  <si>
    <t>B, L, mE 42°, smbMN</t>
  </si>
  <si>
    <t>NGC5378</t>
  </si>
  <si>
    <t>13h56m50.9s</t>
  </si>
  <si>
    <t>+37h47m50s</t>
  </si>
  <si>
    <t>pretty bright, a little extended, very gradually a little brighter middle</t>
  </si>
  <si>
    <t>pB, lE, vglbM</t>
  </si>
  <si>
    <t>NGC5379</t>
  </si>
  <si>
    <t>13h55m34.4s</t>
  </si>
  <si>
    <t>+59h44m36s</t>
  </si>
  <si>
    <t>pretty bright, pretty small, extended, much brighter middle</t>
  </si>
  <si>
    <t>pB, pS, E, mbM</t>
  </si>
  <si>
    <t>NGC5380</t>
  </si>
  <si>
    <t>13h56m56.7s</t>
  </si>
  <si>
    <t>+37h36m37s</t>
  </si>
  <si>
    <t>faint, considerably small, round, suddenly much brighter middle</t>
  </si>
  <si>
    <t>F, cS, R, smbM</t>
  </si>
  <si>
    <t>NGC5381</t>
  </si>
  <si>
    <t>14h0m42s</t>
  </si>
  <si>
    <t>-59h33m0s</t>
  </si>
  <si>
    <t>a cluster, rich, very compressed, pretty large, stars from 11th to 12th magnitude</t>
  </si>
  <si>
    <t>Cl, Ri, vC, pL, st 11…12</t>
  </si>
  <si>
    <t>NGC5382</t>
  </si>
  <si>
    <t>13h58m14.8s</t>
  </si>
  <si>
    <t>+6h15m29s</t>
  </si>
  <si>
    <t>very faint, very small, mottled but not resolved, stellar</t>
  </si>
  <si>
    <t>vF, vS, r, stellar</t>
  </si>
  <si>
    <t>NGC5383</t>
  </si>
  <si>
    <t>13h57m4.9s</t>
  </si>
  <si>
    <t>+41h50m46s</t>
  </si>
  <si>
    <t>considerably bright, considerably large, round, gradually brighter middle</t>
  </si>
  <si>
    <t>cB, cL, R, gbM</t>
  </si>
  <si>
    <t>NGC5384</t>
  </si>
  <si>
    <t>13h58m12.8s</t>
  </si>
  <si>
    <t>+6h31m5s</t>
  </si>
  <si>
    <t>NGC5385</t>
  </si>
  <si>
    <t>13h52m31.8s</t>
  </si>
  <si>
    <t>+76h9m48s</t>
  </si>
  <si>
    <t>a cluster, poor, small</t>
  </si>
  <si>
    <t>Cl, P, S</t>
  </si>
  <si>
    <t>NGC5386</t>
  </si>
  <si>
    <t>13h58m22.2s</t>
  </si>
  <si>
    <t>+6h20m19s</t>
  </si>
  <si>
    <t>very faint, very small, binuclear, mottled but not resolved, stellar</t>
  </si>
  <si>
    <t>vF, vS, biN, r, stellar</t>
  </si>
  <si>
    <t>NGC5387</t>
  </si>
  <si>
    <t>13h58m24.7s</t>
  </si>
  <si>
    <t>+6h4m14s</t>
  </si>
  <si>
    <t>very faint ray, 2 arcmin long</t>
  </si>
  <si>
    <t>vF ray, 2' l</t>
  </si>
  <si>
    <t>NGC5388</t>
  </si>
  <si>
    <t>13h58m57.9s</t>
  </si>
  <si>
    <t>-14h9m3s</t>
  </si>
  <si>
    <t>faint, small, round, very gradually brighter middle</t>
  </si>
  <si>
    <t>F, S, R, vgbM</t>
  </si>
  <si>
    <t>NGC5389</t>
  </si>
  <si>
    <t>13h56m6.4s</t>
  </si>
  <si>
    <t>+59h44m30s</t>
  </si>
  <si>
    <t>pretty bright, pretty large, extended, much brighter middle and nucleus</t>
  </si>
  <si>
    <t>pB, pL, E, mbMN</t>
  </si>
  <si>
    <t>NGC5390</t>
  </si>
  <si>
    <t>F, L, vgbM, * 9 nf</t>
  </si>
  <si>
    <t>NGC5391</t>
  </si>
  <si>
    <t>13h57m36.5s</t>
  </si>
  <si>
    <t>+46h19m26s</t>
  </si>
  <si>
    <t>faint, very small, star close</t>
  </si>
  <si>
    <t>F, vS, * close</t>
  </si>
  <si>
    <t>NGC5392</t>
  </si>
  <si>
    <t>13h59m24.9s</t>
  </si>
  <si>
    <t>-3h12m32s</t>
  </si>
  <si>
    <t>very faint, considerably small, round, gradually brighter middle</t>
  </si>
  <si>
    <t>vF, cS, R, gbM</t>
  </si>
  <si>
    <t>NGC5393</t>
  </si>
  <si>
    <t>14h0m32s</t>
  </si>
  <si>
    <t>-28h52m30s</t>
  </si>
  <si>
    <t>NGC5394</t>
  </si>
  <si>
    <t>苍鹭星系</t>
  </si>
  <si>
    <t>13h58m33.7s</t>
  </si>
  <si>
    <t>+37h27m13s</t>
  </si>
  <si>
    <t>considerably faint, small, northwestern of 2</t>
  </si>
  <si>
    <t>cF, S, np of 2</t>
  </si>
  <si>
    <t>NGC5395</t>
  </si>
  <si>
    <t>13h58m37.9s</t>
  </si>
  <si>
    <t>+37h25m31s</t>
  </si>
  <si>
    <t>cF, cL, E 15°, lbM, sf of 2</t>
  </si>
  <si>
    <t>NGC5396</t>
  </si>
  <si>
    <t>vF, S, iR, sbM *</t>
  </si>
  <si>
    <t>NGC5397</t>
  </si>
  <si>
    <t>14h1m10.5s</t>
  </si>
  <si>
    <t>-33h56m44s</t>
  </si>
  <si>
    <t>NGC5398</t>
  </si>
  <si>
    <t>14h1m21.7s</t>
  </si>
  <si>
    <t>-33h3m47s</t>
  </si>
  <si>
    <t>NGC5399</t>
  </si>
  <si>
    <t>13h59m31.2s</t>
  </si>
  <si>
    <t>+34h46m24s</t>
  </si>
  <si>
    <t>extremely faint, very small, pretty much extended 90°</t>
  </si>
  <si>
    <t>eF, vS, pmE 90°</t>
  </si>
  <si>
    <t>NGC5400</t>
  </si>
  <si>
    <t>14h0m37.2s</t>
  </si>
  <si>
    <t>-2h51m27s</t>
  </si>
  <si>
    <t>NGC5401</t>
  </si>
  <si>
    <t>13h59m43.5s</t>
  </si>
  <si>
    <t>+36h14m17s</t>
  </si>
  <si>
    <t>considerably faint, considerably small, extended</t>
  </si>
  <si>
    <t>cF, cS, E</t>
  </si>
  <si>
    <t>NGC5402</t>
  </si>
  <si>
    <t>13h58m16.5s</t>
  </si>
  <si>
    <t>+59h48m52s</t>
  </si>
  <si>
    <t>NGC5403</t>
  </si>
  <si>
    <t>13h59m50.9s</t>
  </si>
  <si>
    <t>+38h10m55s</t>
  </si>
  <si>
    <t>NGC5404</t>
  </si>
  <si>
    <t>14h1m7.6s</t>
  </si>
  <si>
    <t>+0h5m10s</t>
  </si>
  <si>
    <t>* 12 in neb</t>
  </si>
  <si>
    <t>NGC5405</t>
  </si>
  <si>
    <t>14h1m9.5s</t>
  </si>
  <si>
    <t>+7h42m7s</t>
  </si>
  <si>
    <t>NGC5406</t>
  </si>
  <si>
    <t>14h0m20.1s</t>
  </si>
  <si>
    <t>+38h54m55s</t>
  </si>
  <si>
    <t>NGC5407</t>
  </si>
  <si>
    <t>14h0m50s</t>
  </si>
  <si>
    <t>+39h9m24s</t>
  </si>
  <si>
    <t>very faint, very small, round, brighter middle, in a cluster</t>
  </si>
  <si>
    <t>vF, vS, R, bM, in Cl</t>
  </si>
  <si>
    <t>NGC5408</t>
  </si>
  <si>
    <t>14h3m21s</t>
  </si>
  <si>
    <t>-41h22m43s</t>
  </si>
  <si>
    <t>extremely faint, extended, between 2 very small (faint) stars</t>
  </si>
  <si>
    <t>eF, E, bet 2 vS st</t>
  </si>
  <si>
    <t>NGC5409</t>
  </si>
  <si>
    <t>14h1m46s</t>
  </si>
  <si>
    <t>+9h29m26s</t>
  </si>
  <si>
    <t>eF, R, III 56 f 26s</t>
  </si>
  <si>
    <t>NGC5410</t>
  </si>
  <si>
    <t>14h0m54.5s</t>
  </si>
  <si>
    <t>+40h59m17s</t>
  </si>
  <si>
    <t>pretty faint, pretty small, brighter middle</t>
  </si>
  <si>
    <t>pF, pS, bM</t>
  </si>
  <si>
    <t>NGC5411</t>
  </si>
  <si>
    <t>14h1m59.1s</t>
  </si>
  <si>
    <t>+8h56m16s</t>
  </si>
  <si>
    <t>NGC5412</t>
  </si>
  <si>
    <t>13h57m13.4s</t>
  </si>
  <si>
    <t>+73h37m2s</t>
  </si>
  <si>
    <t>pretty faint, small, round, double star to west</t>
  </si>
  <si>
    <t>pF, S, R, D * p</t>
  </si>
  <si>
    <t>NGC5413</t>
  </si>
  <si>
    <t>13h57m53.5s</t>
  </si>
  <si>
    <t>+64h54m41s</t>
  </si>
  <si>
    <t>pF, pS, R, pslbM, * 7 p 37s</t>
  </si>
  <si>
    <t>NGC5414</t>
  </si>
  <si>
    <t>14h2m3.5s</t>
  </si>
  <si>
    <t>+9h55m46s</t>
  </si>
  <si>
    <t>S, F * in centre, * 10·11 nf</t>
  </si>
  <si>
    <t>NGC5415</t>
  </si>
  <si>
    <t>13h56m56.8s</t>
  </si>
  <si>
    <t>+70h45m18s</t>
  </si>
  <si>
    <t>extremely faint, very small, round, 2 faint stars near</t>
  </si>
  <si>
    <t>eF, vS, R, 2 F st nr</t>
  </si>
  <si>
    <t>NGC5416</t>
  </si>
  <si>
    <t>NGC 5416星系群</t>
  </si>
  <si>
    <t>14h2m11.4s</t>
  </si>
  <si>
    <t>+9h26m24s</t>
  </si>
  <si>
    <t>NGC5417</t>
  </si>
  <si>
    <t>14h2m13s</t>
  </si>
  <si>
    <t>+8h2m12s</t>
  </si>
  <si>
    <t>considerably faint, small, round, pretty suddenly brighter middle, star to west</t>
  </si>
  <si>
    <t>cF, S, R, psbM, * p</t>
  </si>
  <si>
    <t>NGC5418</t>
  </si>
  <si>
    <t>14h2m17.5s</t>
  </si>
  <si>
    <t>+7h41m2s</t>
  </si>
  <si>
    <t>NGC5419</t>
  </si>
  <si>
    <t>14h3m38.7s</t>
  </si>
  <si>
    <t>-33h58m42s</t>
  </si>
  <si>
    <t>pretty bright, pretty large, round, gradually pretty much brighter middle</t>
  </si>
  <si>
    <t>pB, pL, R, gpmbM</t>
  </si>
  <si>
    <t>NGC5420</t>
  </si>
  <si>
    <t>14h3m59.8s</t>
  </si>
  <si>
    <t>-14h37m2s</t>
  </si>
  <si>
    <t>faint, pretty small, much extended, cometic</t>
  </si>
  <si>
    <t>F, pS, mE, com</t>
  </si>
  <si>
    <t>NGC5421</t>
  </si>
  <si>
    <t>14h1m41.4s</t>
  </si>
  <si>
    <t>+33h49m36s</t>
  </si>
  <si>
    <t>faint, irregularly round, 2 very faint stars involved</t>
  </si>
  <si>
    <t>F, irrR, 2 vF st inv</t>
  </si>
  <si>
    <t>NGC5422</t>
  </si>
  <si>
    <t>14h0m41.8s</t>
  </si>
  <si>
    <t>+55h9m53s</t>
  </si>
  <si>
    <t>pretty bright, small, pretty much extended 45°±, very suddenly very much brighter middle and nucleus</t>
  </si>
  <si>
    <t>pB, S, pmE 45° ±, vsvmbMN</t>
  </si>
  <si>
    <t>NGC5423</t>
  </si>
  <si>
    <t>14h2m48.5s</t>
  </si>
  <si>
    <t>+9h20m31s</t>
  </si>
  <si>
    <t>vF, R, * in centre</t>
  </si>
  <si>
    <t>NGC5424</t>
  </si>
  <si>
    <t>14h2m55.7s</t>
  </si>
  <si>
    <t>+9h25m16s</t>
  </si>
  <si>
    <t>NGC5425</t>
  </si>
  <si>
    <t>14h0m47.9s</t>
  </si>
  <si>
    <t>+48h26m35s</t>
  </si>
  <si>
    <t>much extended 290 degrees</t>
  </si>
  <si>
    <t>eF, S, lE, B * 4' n</t>
  </si>
  <si>
    <t>NGC5426</t>
  </si>
  <si>
    <t>14h3m24.9s</t>
  </si>
  <si>
    <t>-6h4m8s</t>
  </si>
  <si>
    <t>pretty faint, considerably large, round, gradually much brighter middle, southwestern of 2</t>
  </si>
  <si>
    <t>pF, cL, R, gmbM, sp of 2</t>
  </si>
  <si>
    <t>NGC5427</t>
  </si>
  <si>
    <t>14h3m26s</t>
  </si>
  <si>
    <t>-6h1m51s</t>
  </si>
  <si>
    <t>pretty faint, considerably large, round, northeastern of 2</t>
  </si>
  <si>
    <t>pF, cL, R, nf of 2</t>
  </si>
  <si>
    <t>NGC5428</t>
  </si>
  <si>
    <t>14h3m28s</t>
  </si>
  <si>
    <t>-5h59m2s</t>
  </si>
  <si>
    <t>2 near II 310, one in line with II 309 and II 310</t>
  </si>
  <si>
    <t>NGC5429</t>
  </si>
  <si>
    <t>14h3m33.3s</t>
  </si>
  <si>
    <t>-6h2m16s</t>
  </si>
  <si>
    <t>NGC5430</t>
  </si>
  <si>
    <t>14h0m45.6s</t>
  </si>
  <si>
    <t>+59h19m44s</t>
  </si>
  <si>
    <t>pretty bright, small, irregularly extended, much brighter middle</t>
  </si>
  <si>
    <t>pB, S, iE, mbM</t>
  </si>
  <si>
    <t>NGC5431</t>
  </si>
  <si>
    <t>14h3m7.2s</t>
  </si>
  <si>
    <t>+9h21m47s</t>
  </si>
  <si>
    <t>NGC5432</t>
  </si>
  <si>
    <t>14h3m40.5s</t>
  </si>
  <si>
    <t>-5h58m28s</t>
  </si>
  <si>
    <t>NGC5433</t>
  </si>
  <si>
    <t>14h2m36.1s</t>
  </si>
  <si>
    <t>+32h30m37s</t>
  </si>
  <si>
    <t>very faint, considerably small, a little extended 0°, brighter middle</t>
  </si>
  <si>
    <t>vF, cS, lE 0°, bM</t>
  </si>
  <si>
    <t>NGC5434</t>
  </si>
  <si>
    <t>14h3m23.1s</t>
  </si>
  <si>
    <t>+9h26m52s</t>
  </si>
  <si>
    <t>NGC5435</t>
  </si>
  <si>
    <t>14h4m0.2s</t>
  </si>
  <si>
    <t>-5h55m50s</t>
  </si>
  <si>
    <t>vF, * 10·11 close f</t>
  </si>
  <si>
    <t>NGC5436</t>
  </si>
  <si>
    <t>14h3m41.1s</t>
  </si>
  <si>
    <t>+9h34m26s</t>
  </si>
  <si>
    <t>3 vF in a line, 2'-3' dist, n one brightest, nf * 8.6</t>
  </si>
  <si>
    <t>NGC5437</t>
  </si>
  <si>
    <t>14h3m47.3s</t>
  </si>
  <si>
    <t>NGC5438</t>
  </si>
  <si>
    <t>14h3m47.9s</t>
  </si>
  <si>
    <t>+9h36m40s</t>
  </si>
  <si>
    <t>NGC5439</t>
  </si>
  <si>
    <t>14h1m57.5s</t>
  </si>
  <si>
    <t>+46h18m41s</t>
  </si>
  <si>
    <t>very faint, pretty large, considerably extended, between 2 stars</t>
  </si>
  <si>
    <t>vF, pL, cE, bet 2 st</t>
  </si>
  <si>
    <t>NGC5440</t>
  </si>
  <si>
    <t>14h3m0.6s</t>
  </si>
  <si>
    <t>+34h45m24s</t>
  </si>
  <si>
    <t>pretty faint, considerably small, a little extended, brighter middle, 11th magnitude star to southwest</t>
  </si>
  <si>
    <t>pF, cS, lE, bM, * 11 sp</t>
  </si>
  <si>
    <t>NGC5441</t>
  </si>
  <si>
    <t>14h3m11.9s</t>
  </si>
  <si>
    <t>+34h41m4s</t>
  </si>
  <si>
    <t>NGC5442</t>
  </si>
  <si>
    <t>14h4m43.2s</t>
  </si>
  <si>
    <t>-9h42m46s</t>
  </si>
  <si>
    <t>NGC5443</t>
  </si>
  <si>
    <t>14h2m11.6s</t>
  </si>
  <si>
    <t>+55h48m52s</t>
  </si>
  <si>
    <t>pretty faint, large, extended</t>
  </si>
  <si>
    <t>pF, L, E</t>
  </si>
  <si>
    <t>NGC5444</t>
  </si>
  <si>
    <t>14h3m24.1s</t>
  </si>
  <si>
    <t>+35h7m57s</t>
  </si>
  <si>
    <t>pB, pL, ivlE, vsmbM</t>
  </si>
  <si>
    <t>NGC5445</t>
  </si>
  <si>
    <t>14h3m31.3s</t>
  </si>
  <si>
    <t>+35h1m29s</t>
  </si>
  <si>
    <t>faint, 13th magnitude star to west</t>
  </si>
  <si>
    <t>F, * 13 p</t>
  </si>
  <si>
    <t>NGC5446</t>
  </si>
  <si>
    <t>NGC5447</t>
  </si>
  <si>
    <t>14h2m29s</t>
  </si>
  <si>
    <t>+54h16m21s</t>
  </si>
  <si>
    <t>pB, S, R, gmbM, conn with M 101</t>
  </si>
  <si>
    <t>NGC5448</t>
  </si>
  <si>
    <t>14h2m50.4s</t>
  </si>
  <si>
    <t>+49h10m21s</t>
  </si>
  <si>
    <t>pB, cL, vmE 90° ±, smbMN</t>
  </si>
  <si>
    <t>NGC5449</t>
  </si>
  <si>
    <t>14h2m28.2s</t>
  </si>
  <si>
    <t>+54h19m53s</t>
  </si>
  <si>
    <t>vF, pL, gvlbM, all conn with M 101</t>
  </si>
  <si>
    <t>NGC5450</t>
  </si>
  <si>
    <t>F, pS, iR, glbM, all conn with M 101</t>
  </si>
  <si>
    <t>NGC5451</t>
  </si>
  <si>
    <t>14h2m36.5s</t>
  </si>
  <si>
    <t>+54h21m49s</t>
  </si>
  <si>
    <t>vF, pL, iR, vlbM, all conn with M 101</t>
  </si>
  <si>
    <t>NGC5452</t>
  </si>
  <si>
    <t>13h54m24.3s</t>
  </si>
  <si>
    <t>+78h13m14s</t>
  </si>
  <si>
    <t>very faint, pretty large, irregularly round, very gradually a very little brighter middle</t>
  </si>
  <si>
    <t>NGC5453</t>
  </si>
  <si>
    <t>14h2m56.7s</t>
  </si>
  <si>
    <t>+54h18m31s</t>
  </si>
  <si>
    <t>F, pL, lE, vlbM, conn w M 101</t>
  </si>
  <si>
    <t>NGC5454</t>
  </si>
  <si>
    <t>14h4m45.7s</t>
  </si>
  <si>
    <t>+14h22m55s</t>
  </si>
  <si>
    <t>NGC5455</t>
  </si>
  <si>
    <t>14h3m1s</t>
  </si>
  <si>
    <t>+54h14m27s</t>
  </si>
  <si>
    <t>pB, pS, R, psbM, conn w M 101</t>
  </si>
  <si>
    <t>NGC5456</t>
  </si>
  <si>
    <t>14h4m58.8s</t>
  </si>
  <si>
    <t>+11h52m18s</t>
  </si>
  <si>
    <t>NGC5457</t>
  </si>
  <si>
    <t>风车星系</t>
  </si>
  <si>
    <t>14h3m12.4s</t>
  </si>
  <si>
    <t>+54h20m58s</t>
  </si>
  <si>
    <t>pretty bright, very large, irregularly round, very suddenly much brighter middle with bright small nucleus</t>
  </si>
  <si>
    <t>pB, vL, iR, g, vsmbMBSN</t>
  </si>
  <si>
    <t>NGC5458</t>
  </si>
  <si>
    <t>+54h17m56s</t>
  </si>
  <si>
    <t>vF, pL, R, vlbM, conn w M 101</t>
  </si>
  <si>
    <t>NGC5459</t>
  </si>
  <si>
    <t>14h5m0.1s</t>
  </si>
  <si>
    <t>+13h7m57s</t>
  </si>
  <si>
    <t>F, S, lE, pB * sp</t>
  </si>
  <si>
    <t>NGC5460</t>
  </si>
  <si>
    <t>14h7m36s</t>
  </si>
  <si>
    <t>-48h18m0s</t>
  </si>
  <si>
    <t>a cluster, very large, very little compressed, stars from 8th magnitude downwards.</t>
  </si>
  <si>
    <t>Cl, vL, vlC, st 8…</t>
  </si>
  <si>
    <t>NGC5461</t>
  </si>
  <si>
    <t>14h3m41.5s</t>
  </si>
  <si>
    <t>+54h19m5s</t>
  </si>
  <si>
    <t>B, pS, R, psbM, conn with M 101</t>
  </si>
  <si>
    <t>NGC5462</t>
  </si>
  <si>
    <t>14h3m53s</t>
  </si>
  <si>
    <t>+54h22m2s</t>
  </si>
  <si>
    <t>pB, pL, iR, gbM, conn with M 101</t>
  </si>
  <si>
    <t>NGC5463</t>
  </si>
  <si>
    <t>14h6m10.6s</t>
  </si>
  <si>
    <t>+9h21m11s</t>
  </si>
  <si>
    <t>NGC5464</t>
  </si>
  <si>
    <t>14h7m4.1s</t>
  </si>
  <si>
    <t>-30h1m2s</t>
  </si>
  <si>
    <t>pretty faint, small, round, pretty suddenly a little brighter middle</t>
  </si>
  <si>
    <t>pF, S, R, pslbM</t>
  </si>
  <si>
    <t>NGC5465</t>
  </si>
  <si>
    <t>14h6m27.3s</t>
  </si>
  <si>
    <t>-5h30m24s</t>
  </si>
  <si>
    <t>cF, vS, sp III 286</t>
  </si>
  <si>
    <t>NGC5466</t>
  </si>
  <si>
    <t>雪球星团</t>
  </si>
  <si>
    <t>14h5m27.3s</t>
  </si>
  <si>
    <t>+28h32m6s</t>
  </si>
  <si>
    <t>a cluster, large, very rich, very much compressed, stars from 11th magnitude</t>
  </si>
  <si>
    <t>Cl, L, vRi, vmC, st 11…</t>
  </si>
  <si>
    <t>NGC5467</t>
  </si>
  <si>
    <t>14h6m29.4s</t>
  </si>
  <si>
    <t>-5h28m54s</t>
  </si>
  <si>
    <t>eF, vS, sp III 286</t>
  </si>
  <si>
    <t>NGC5468</t>
  </si>
  <si>
    <t>14h6m35s</t>
  </si>
  <si>
    <t>-5h27m11s</t>
  </si>
  <si>
    <t>faint, large, round, very gradually brighter middle, 9th magnitude star 4 arcmin to southeast</t>
  </si>
  <si>
    <t>F, L, R, vgbM, * 9 sf 4'</t>
  </si>
  <si>
    <t>NGC5469</t>
  </si>
  <si>
    <t>14h12m29.9s</t>
  </si>
  <si>
    <t>+8h38m52s</t>
  </si>
  <si>
    <t>NGC5470</t>
  </si>
  <si>
    <t>14h6m31.9s</t>
  </si>
  <si>
    <t>+6h1m45s</t>
  </si>
  <si>
    <t>faint, much extended, very gradually a little brighter middle</t>
  </si>
  <si>
    <t>F, mE, vglbM</t>
  </si>
  <si>
    <t>NGC5471</t>
  </si>
  <si>
    <t>14h4m28.9s</t>
  </si>
  <si>
    <t>+54h23m51s</t>
  </si>
  <si>
    <t>F, S, R, * 12·13 p</t>
  </si>
  <si>
    <t>NGC5472</t>
  </si>
  <si>
    <t>14h6m54.9s</t>
  </si>
  <si>
    <t>-5h27m36s</t>
  </si>
  <si>
    <t>pretty faint, very small, between 2 very faint stars</t>
  </si>
  <si>
    <t>pF, vS, bet 2 vF st</t>
  </si>
  <si>
    <t>NGC5473</t>
  </si>
  <si>
    <t>14h4m43.5s</t>
  </si>
  <si>
    <t>+54h53m36s</t>
  </si>
  <si>
    <t>NGC5474</t>
  </si>
  <si>
    <t>14h5m1.4s</t>
  </si>
  <si>
    <t>+53h39m46s</t>
  </si>
  <si>
    <t>pretty bright, large, brighter middle</t>
  </si>
  <si>
    <t>pB, L, bM</t>
  </si>
  <si>
    <t>NGC5475</t>
  </si>
  <si>
    <t>14h5m12.2s</t>
  </si>
  <si>
    <t>+55h44m32s</t>
  </si>
  <si>
    <t>pretty bright, small, pretty much extended, brighter middle</t>
  </si>
  <si>
    <t>pB, S, pmE, bM</t>
  </si>
  <si>
    <t>NGC5476</t>
  </si>
  <si>
    <t>14h8m8.4s</t>
  </si>
  <si>
    <t>-6h5m32s</t>
  </si>
  <si>
    <t>NGC5477</t>
  </si>
  <si>
    <t>14h5m33s</t>
  </si>
  <si>
    <t>+54h27m39s</t>
  </si>
  <si>
    <t>NGC5478</t>
  </si>
  <si>
    <t>14h8m8.5s</t>
  </si>
  <si>
    <t>-1h42m8s</t>
  </si>
  <si>
    <t>NGC5479</t>
  </si>
  <si>
    <t>14h5m57.3s</t>
  </si>
  <si>
    <t>+65h41m28s</t>
  </si>
  <si>
    <t>considerably faint, very small, round, nearly between 2 stars</t>
  </si>
  <si>
    <t>cF, vS, R, nearly bet 2 st</t>
  </si>
  <si>
    <t>NGC5480</t>
  </si>
  <si>
    <t>14h6m21.5s</t>
  </si>
  <si>
    <t>+50h43m30s</t>
  </si>
  <si>
    <t>faint, pretty small, very gradually brighter middle, northwestern of 2</t>
  </si>
  <si>
    <t>F, pS, vgbM, np of 2</t>
  </si>
  <si>
    <t>NGC5481</t>
  </si>
  <si>
    <t>14h6m41.1s</t>
  </si>
  <si>
    <t>+50h43m25s</t>
  </si>
  <si>
    <t>faint, very small, suddenly much brighter middle, stellar, southeastern of 2</t>
  </si>
  <si>
    <t>F, vS, smbM, stellar, sf of 2</t>
  </si>
  <si>
    <t>NGC5482</t>
  </si>
  <si>
    <t>14h8m30.8s</t>
  </si>
  <si>
    <t>+8h55m53s</t>
  </si>
  <si>
    <t>NGC5483</t>
  </si>
  <si>
    <t>14h10m25s</t>
  </si>
  <si>
    <t>-43h19m30s</t>
  </si>
  <si>
    <t>pretty faint, very large, round, very gradually brighter middle</t>
  </si>
  <si>
    <t>pF, vL, R, vgbM</t>
  </si>
  <si>
    <t>NGC5484</t>
  </si>
  <si>
    <t>14h6m48.1s</t>
  </si>
  <si>
    <t>+55h1m49s</t>
  </si>
  <si>
    <t>vF, S, R, 4' from I 232 (d'A not found)</t>
  </si>
  <si>
    <t>NGC5485</t>
  </si>
  <si>
    <t>14h7m11.4s</t>
  </si>
  <si>
    <t>+55h0m5s</t>
  </si>
  <si>
    <t>considerably bright, round, very gradually brighter middle, eastern of 2</t>
  </si>
  <si>
    <t>cB, R, vgbM, f of 2</t>
  </si>
  <si>
    <t>NGC5486</t>
  </si>
  <si>
    <t>14h7m24.9s</t>
  </si>
  <si>
    <t>+55h6m11s</t>
  </si>
  <si>
    <t>NGC5487</t>
  </si>
  <si>
    <t>14h9m43.9s</t>
  </si>
  <si>
    <t>+8h4m10s</t>
  </si>
  <si>
    <t>eF (Place uncertain)</t>
  </si>
  <si>
    <t>NGC5488</t>
  </si>
  <si>
    <t>14h8m2.9s</t>
  </si>
  <si>
    <t>-33h18m53s</t>
  </si>
  <si>
    <t>F, R, * 8 s nr</t>
  </si>
  <si>
    <t>NGC5489</t>
  </si>
  <si>
    <t>14h12m0.7s</t>
  </si>
  <si>
    <t>-46h5m20s</t>
  </si>
  <si>
    <t>NGC5490</t>
  </si>
  <si>
    <t>14h9m57.3s</t>
  </si>
  <si>
    <t>+17h32m44s</t>
  </si>
  <si>
    <t>cF, cS, R, sbMF **</t>
  </si>
  <si>
    <t>NGC5491</t>
  </si>
  <si>
    <t>14h10m57.4s</t>
  </si>
  <si>
    <t>+6h21m54s</t>
  </si>
  <si>
    <t>pretty bright, pretty small, round, gradually brighter middle, mottled but not resolved</t>
  </si>
  <si>
    <t>pB, pS, R, gbM, r</t>
  </si>
  <si>
    <t>NGC5492</t>
  </si>
  <si>
    <t>14h10m35.2s</t>
  </si>
  <si>
    <t>+19h36m43s</t>
  </si>
  <si>
    <t>pretty bright, very small, extended</t>
  </si>
  <si>
    <t>pB, vS, E</t>
  </si>
  <si>
    <t>NGC5493</t>
  </si>
  <si>
    <t>14h11m29.4s</t>
  </si>
  <si>
    <t>-5h2m38s</t>
  </si>
  <si>
    <t>pB, vS, R, psmbM*, * 18 inv</t>
  </si>
  <si>
    <t>NGC5494</t>
  </si>
  <si>
    <t>14h12m23.7s</t>
  </si>
  <si>
    <t>-30h38m41s</t>
  </si>
  <si>
    <t>I assume Swift XI#167, RA 14 04 31, NPD 119 52.1, faint, pretty small, round, not found by Howe, to be = 5494</t>
  </si>
  <si>
    <t>pB, L, R, gbM, rr</t>
  </si>
  <si>
    <t>NGC5495</t>
  </si>
  <si>
    <t>14h12m23.5s</t>
  </si>
  <si>
    <t>-27h6m28s</t>
  </si>
  <si>
    <t>the star is northeast, not southeast; 10th magnitude</t>
  </si>
  <si>
    <t>vF, S, R, bM, * sf</t>
  </si>
  <si>
    <t>NGC5496</t>
  </si>
  <si>
    <t>14h11m37.8s</t>
  </si>
  <si>
    <t>-1h9m30s</t>
  </si>
  <si>
    <t>pretty bright, very large, extended north-south</t>
  </si>
  <si>
    <t>pB, vL, E ns</t>
  </si>
  <si>
    <t>NGC5497</t>
  </si>
  <si>
    <t>14h10m31.5s</t>
  </si>
  <si>
    <t>+38h53m38s</t>
  </si>
  <si>
    <t>NGC5498</t>
  </si>
  <si>
    <t>14h11m4.4s</t>
  </si>
  <si>
    <t>+25h41m52s</t>
  </si>
  <si>
    <t>faint, small, round, a little brighter middle, mottled but not resolved?</t>
  </si>
  <si>
    <t>F, S, R, lbM, r?</t>
  </si>
  <si>
    <t>NGC5499</t>
  </si>
  <si>
    <t>14h10m47.7s</t>
  </si>
  <si>
    <t>+35h54m49s</t>
  </si>
  <si>
    <t>faint, small, round, gradually brighter middle, mottled but not resolved?</t>
  </si>
  <si>
    <t>F, S, R, gbM, r?</t>
  </si>
  <si>
    <t>NGC5500</t>
  </si>
  <si>
    <t>14h10m15.2s</t>
  </si>
  <si>
    <t>+48h32m48s</t>
  </si>
  <si>
    <t>considerably faint, considerably small, irregularly round</t>
  </si>
  <si>
    <t>cF, cS, iR</t>
  </si>
  <si>
    <t>NGC5501</t>
  </si>
  <si>
    <t>14h12m20.1s</t>
  </si>
  <si>
    <t>+1h16m22s</t>
  </si>
  <si>
    <t>very faint, small, partially resolved, some stars seen</t>
  </si>
  <si>
    <t>vF, S, rr</t>
  </si>
  <si>
    <t>NGC5502</t>
  </si>
  <si>
    <t>14h9m33.9s</t>
  </si>
  <si>
    <t>+60h24m36s</t>
  </si>
  <si>
    <t>most extremely faint, pretty small, round, very difficult, between 2 stars</t>
  </si>
  <si>
    <t>eeF, pS, R, v diffic, bet 2 st</t>
  </si>
  <si>
    <t>NGC5503</t>
  </si>
  <si>
    <t>eeF, vS, R, v diffic, 2 st nr</t>
  </si>
  <si>
    <t>NGC5504</t>
  </si>
  <si>
    <t>14h12m15.7s</t>
  </si>
  <si>
    <t>+15h50m29s</t>
  </si>
  <si>
    <t>very faint, very little extended, very little brighter middle</t>
  </si>
  <si>
    <t>vF, vlE, vlbM</t>
  </si>
  <si>
    <t>NGC5505</t>
  </si>
  <si>
    <t>14h12m31.6s</t>
  </si>
  <si>
    <t>+13h18m17s</t>
  </si>
  <si>
    <t>very faint, pretty small, between a star and a double star</t>
  </si>
  <si>
    <t>vF, pS, bet * and D *</t>
  </si>
  <si>
    <t>NGC5506</t>
  </si>
  <si>
    <t>14h13m14.8s</t>
  </si>
  <si>
    <t>-3h12m25s</t>
  </si>
  <si>
    <t>pretty bright, large, extended 20°±, little brighter middle</t>
  </si>
  <si>
    <t>pB, L, E 20° ±, lbM</t>
  </si>
  <si>
    <t>NGC5507</t>
  </si>
  <si>
    <t>14h13m19.8s</t>
  </si>
  <si>
    <t>-3h8m54s</t>
  </si>
  <si>
    <t>considerably faint, small, round, stellar</t>
  </si>
  <si>
    <t>cF, S, R, stellar</t>
  </si>
  <si>
    <t>NGC5508</t>
  </si>
  <si>
    <t>14h12m29s</t>
  </si>
  <si>
    <t>+24h38m8s</t>
  </si>
  <si>
    <t>extremely faint, extremely small, round, little brighter middle</t>
  </si>
  <si>
    <t>NGC5509</t>
  </si>
  <si>
    <t>14h12m39.9s</t>
  </si>
  <si>
    <t>+20h23m18s</t>
  </si>
  <si>
    <t>very faint, small, round, stellar nucleus</t>
  </si>
  <si>
    <t>vF, S, R, stellar Nucl</t>
  </si>
  <si>
    <t>NGC5510</t>
  </si>
  <si>
    <t>14h13m37.1s</t>
  </si>
  <si>
    <t>-17h59m3s</t>
  </si>
  <si>
    <t>NGC5511</t>
  </si>
  <si>
    <t>14h13m5.4s</t>
  </si>
  <si>
    <t>+8h37m56s</t>
  </si>
  <si>
    <t>very faint, small, 10th magnitude star to west</t>
  </si>
  <si>
    <t>vF, S, * 10 p</t>
  </si>
  <si>
    <t>NGC5512</t>
  </si>
  <si>
    <t>14h12m41.1s</t>
  </si>
  <si>
    <t>+30h51m20s</t>
  </si>
  <si>
    <t>very faint, very small, round, suddenly brighter middle and nucleus, mottled but not resolved?</t>
  </si>
  <si>
    <t>vF, vS, R, sbMN, r?</t>
  </si>
  <si>
    <t>NGC5513</t>
  </si>
  <si>
    <t>14h13m8.8s</t>
  </si>
  <si>
    <t>+20h24m56s</t>
  </si>
  <si>
    <t>NGC5514</t>
  </si>
  <si>
    <t>14h13m38.7s</t>
  </si>
  <si>
    <t>+7h39m36s</t>
  </si>
  <si>
    <t>faint, pretty small, round, little brighter middle, 16th magnitude star to northeast</t>
  </si>
  <si>
    <t>F, pS, R, lbM, * 16 nf</t>
  </si>
  <si>
    <t>NGC5515</t>
  </si>
  <si>
    <t>14h12m38.1s</t>
  </si>
  <si>
    <t>+39h18m36s</t>
  </si>
  <si>
    <t>NGC5516</t>
  </si>
  <si>
    <t>14h15m54.6s</t>
  </si>
  <si>
    <t>-48h6m53s</t>
  </si>
  <si>
    <t>pretty faint, small, round, pretty suddenly brighter middle, small (faint) double star to northeast</t>
  </si>
  <si>
    <t>pF, S, R, psbM, S ** nf</t>
  </si>
  <si>
    <t>NGC5517</t>
  </si>
  <si>
    <t>14h12m51.3s</t>
  </si>
  <si>
    <t>+35h42m40s</t>
  </si>
  <si>
    <t>faint, extremely small, round, brighter middle and nucleus</t>
  </si>
  <si>
    <t>F, eS, R, bMN</t>
  </si>
  <si>
    <t>NGC5518</t>
  </si>
  <si>
    <t>14h13m47.6s</t>
  </si>
  <si>
    <t>+20h50m56s</t>
  </si>
  <si>
    <t>NGC5519</t>
  </si>
  <si>
    <t>14h14m20.9s</t>
  </si>
  <si>
    <t>+7h30m56s</t>
  </si>
  <si>
    <t>very faint, pretty large, 10th magnitude star to west</t>
  </si>
  <si>
    <t>vF, pL, * 10 p</t>
  </si>
  <si>
    <t>NGC5520</t>
  </si>
  <si>
    <t>14h12m22.7s</t>
  </si>
  <si>
    <t>+50h20m55s</t>
  </si>
  <si>
    <t>faint, small, a little extended, stellar</t>
  </si>
  <si>
    <t>F, S, lE, stellar</t>
  </si>
  <si>
    <t>NGC5521</t>
  </si>
  <si>
    <t>14h15m23.7s</t>
  </si>
  <si>
    <t>+4h24m31s</t>
  </si>
  <si>
    <t>NGC5522</t>
  </si>
  <si>
    <t>14h14m50.2s</t>
  </si>
  <si>
    <t>+15h8m48s</t>
  </si>
  <si>
    <t>NGC5523</t>
  </si>
  <si>
    <t>14h14m51.4s</t>
  </si>
  <si>
    <t>+25h19m6s</t>
  </si>
  <si>
    <t>faint, pretty large, pretty much extended 90°, 10th magnitude star to northwest</t>
  </si>
  <si>
    <t>F, pL, pmE 90°, * 10 np</t>
  </si>
  <si>
    <t>NGC5524</t>
  </si>
  <si>
    <t>14h13m48.7s</t>
  </si>
  <si>
    <t>+36h22m53s</t>
  </si>
  <si>
    <t>NGC5525</t>
  </si>
  <si>
    <t>14h15m39.2s</t>
  </si>
  <si>
    <t>+14h16m56s</t>
  </si>
  <si>
    <t>NGC5526</t>
  </si>
  <si>
    <t>14h13m53.3s</t>
  </si>
  <si>
    <t>+57h46m20s</t>
  </si>
  <si>
    <t>NGC5527</t>
  </si>
  <si>
    <t>14h14m27.2s</t>
  </si>
  <si>
    <t>+36h24m16s</t>
  </si>
  <si>
    <t>NGC5528</t>
  </si>
  <si>
    <t>14h16m19.8s</t>
  </si>
  <si>
    <t>+8h17m35s</t>
  </si>
  <si>
    <t>most extremely faint, pretty small, round, 2 very faint stars near</t>
  </si>
  <si>
    <t>eeF, pS, R, 2 vF st nr</t>
  </si>
  <si>
    <t>NGC5529</t>
  </si>
  <si>
    <t>14h15m34s</t>
  </si>
  <si>
    <t>+36h13m37s</t>
  </si>
  <si>
    <t>considerably faint, pretty large, very much extended 110°, very gradually very much brighter middle</t>
  </si>
  <si>
    <t>cF, pL, vmE 110°, vgvmbM</t>
  </si>
  <si>
    <t>NGC5530</t>
  </si>
  <si>
    <t>豺狼座</t>
  </si>
  <si>
    <t>LUP</t>
  </si>
  <si>
    <t>14h18m27.1s</t>
  </si>
  <si>
    <t>-43h23m13s</t>
  </si>
  <si>
    <t>a remarkable object, very faint, pretty much extended, extremely suddenly very much brighter middle equivalent to 12th magnitude star</t>
  </si>
  <si>
    <t>!, vF, pmE, esvmbM * 12</t>
  </si>
  <si>
    <t>NGC5531</t>
  </si>
  <si>
    <t>14h16m43.2s</t>
  </si>
  <si>
    <t>+10h53m8s</t>
  </si>
  <si>
    <t>faint, small, round, III 47 ten seconds of time to the east</t>
  </si>
  <si>
    <t>F, S, R, III 47 f 10s</t>
  </si>
  <si>
    <t>NGC5532</t>
  </si>
  <si>
    <t>14h16m52.9s</t>
  </si>
  <si>
    <t>+10h48m27s</t>
  </si>
  <si>
    <t>NGC5533</t>
  </si>
  <si>
    <t>14h16m7.4s</t>
  </si>
  <si>
    <t>+35h20m38s</t>
  </si>
  <si>
    <t>pretty bright, round, very suddenly much brighter middle, 2 or 3 stars involved</t>
  </si>
  <si>
    <t>pB, R, vsmbM, 2 or 3 st inv</t>
  </si>
  <si>
    <t>NGC5534</t>
  </si>
  <si>
    <t>14h17m40.3s</t>
  </si>
  <si>
    <t>-7h25m1s</t>
  </si>
  <si>
    <t>pretty faint, star involved, 12th magnitude star to northwest</t>
  </si>
  <si>
    <t>pF, st inv, * 12 np</t>
  </si>
  <si>
    <t>NGC5535</t>
  </si>
  <si>
    <t>14h17m31.1s</t>
  </si>
  <si>
    <t>+8h12m27s</t>
  </si>
  <si>
    <t>NGC5536</t>
  </si>
  <si>
    <t>14h16m23.7s</t>
  </si>
  <si>
    <t>+39h30m8s</t>
  </si>
  <si>
    <t>considerably faint, very small, round, southwestern of 2</t>
  </si>
  <si>
    <t>cF, vS, R, sp of 2</t>
  </si>
  <si>
    <t>NGC5537</t>
  </si>
  <si>
    <t>14h17m37s</t>
  </si>
  <si>
    <t>+7h3m17s</t>
  </si>
  <si>
    <t>NGC5538</t>
  </si>
  <si>
    <t>14h17m42.4s</t>
  </si>
  <si>
    <t>+7h28m34s</t>
  </si>
  <si>
    <t>NGC5539</t>
  </si>
  <si>
    <t>S  M</t>
  </si>
  <si>
    <t>14h17m37.7s</t>
  </si>
  <si>
    <t>+8h10m43s</t>
  </si>
  <si>
    <t>faint, pretty large, irregular figure, gradually brighter middle</t>
  </si>
  <si>
    <t>F, pL, iF, gbM</t>
  </si>
  <si>
    <t>NGC5540</t>
  </si>
  <si>
    <t>14h14m54.2s</t>
  </si>
  <si>
    <t>+60h0m39s</t>
  </si>
  <si>
    <t>extremely faint, very small, round, stellar</t>
  </si>
  <si>
    <t>eF, vS, R, stellar</t>
  </si>
  <si>
    <t>NGC5541</t>
  </si>
  <si>
    <t>14h16m31.7s</t>
  </si>
  <si>
    <t>+39h35m18s</t>
  </si>
  <si>
    <t>considerably faint, small, round, gradually brighter middle, northeastern of 2</t>
  </si>
  <si>
    <t>cF, S, R, gbM, nf of 2</t>
  </si>
  <si>
    <t>NGC5542</t>
  </si>
  <si>
    <t>14h17m53.2s</t>
  </si>
  <si>
    <t>+7h33m31s</t>
  </si>
  <si>
    <t>NGC5543</t>
  </si>
  <si>
    <t>14h18m4s</t>
  </si>
  <si>
    <t>+7h39m15s</t>
  </si>
  <si>
    <t>NGC5544</t>
  </si>
  <si>
    <t>14h17m2.4s</t>
  </si>
  <si>
    <t>+36h34m16s</t>
  </si>
  <si>
    <t>faint, pretty small, elongated 80°, and a double nebula (with NGC 5545) or binuclear</t>
  </si>
  <si>
    <t>F, pS, E 80°, D neb or biN</t>
  </si>
  <si>
    <t>NGC5545</t>
  </si>
  <si>
    <t>14h17m4.8s</t>
  </si>
  <si>
    <t>+36h34m29s</t>
  </si>
  <si>
    <t>E, lbM, D neb or biN</t>
  </si>
  <si>
    <t>NGC5546</t>
  </si>
  <si>
    <t>14h18m9.1s</t>
  </si>
  <si>
    <t>+7h33m50s</t>
  </si>
  <si>
    <t>pretty bright, considerably small, gradually brighter middle</t>
  </si>
  <si>
    <t>pB, cS, gbM</t>
  </si>
  <si>
    <t>NGC5547</t>
  </si>
  <si>
    <t>14h9m45.1s</t>
  </si>
  <si>
    <t>+78h36m6s</t>
  </si>
  <si>
    <t>extremely faint, very small, extended 0°±</t>
  </si>
  <si>
    <t>eF, vS, E 0° ±</t>
  </si>
  <si>
    <t>NGC5548</t>
  </si>
  <si>
    <t>14h17m59.4s</t>
  </si>
  <si>
    <t>+25h8m12s</t>
  </si>
  <si>
    <t>considerably faint, pretty small, round, very suddenly very much brighter middle resembling a star</t>
  </si>
  <si>
    <t>cF, pS, R, vsvmbM *</t>
  </si>
  <si>
    <t>NGC5549</t>
  </si>
  <si>
    <t>14h18m38.7s</t>
  </si>
  <si>
    <t>+7h22m37s</t>
  </si>
  <si>
    <t>NGC5550</t>
  </si>
  <si>
    <t>14h18m28s</t>
  </si>
  <si>
    <t>+12h53m0s</t>
  </si>
  <si>
    <t>NGC5551</t>
  </si>
  <si>
    <t>14h18m54.8s</t>
  </si>
  <si>
    <t>+5h27m4s</t>
  </si>
  <si>
    <t>3 stars in nebulosity</t>
  </si>
  <si>
    <t>3 st in neby</t>
  </si>
  <si>
    <t>NGC5552</t>
  </si>
  <si>
    <t>14h19m3.9s</t>
  </si>
  <si>
    <t>+7h1m56s</t>
  </si>
  <si>
    <t>NGC5553</t>
  </si>
  <si>
    <t>14h18m29.6s</t>
  </si>
  <si>
    <t>+26h17m14s</t>
  </si>
  <si>
    <t>NGC5554</t>
  </si>
  <si>
    <t>14h19m15s</t>
  </si>
  <si>
    <t>+7h1m16s</t>
  </si>
  <si>
    <t>NGC5555</t>
  </si>
  <si>
    <t>14h18m48.1s</t>
  </si>
  <si>
    <t>-19h8m21s</t>
  </si>
  <si>
    <t>very faint, small, irregularly round, gradually brighter middle and nucleus</t>
  </si>
  <si>
    <t>vF, S, iR, gbMN</t>
  </si>
  <si>
    <t>NGC5556</t>
  </si>
  <si>
    <t>14h20m34s</t>
  </si>
  <si>
    <t>-29h14m29s</t>
  </si>
  <si>
    <t>extremely faint, large, small star involved</t>
  </si>
  <si>
    <t>eF, L, S * inv</t>
  </si>
  <si>
    <t>NGC5557</t>
  </si>
  <si>
    <t>14h18m25.6s</t>
  </si>
  <si>
    <t>+36h29m37s</t>
  </si>
  <si>
    <t>considerably bright, small, round, very suddenly brighter middle like a star</t>
  </si>
  <si>
    <t>cB, S, R, vsbM *</t>
  </si>
  <si>
    <t>NGC5558</t>
  </si>
  <si>
    <t>eF, S, lE, np of 2</t>
  </si>
  <si>
    <t>NGC5559</t>
  </si>
  <si>
    <t>14h19m12.5s</t>
  </si>
  <si>
    <t>+24h47m56s</t>
  </si>
  <si>
    <t>very faint, small, very little extended, brighter middle</t>
  </si>
  <si>
    <t>vF, S, vlE, bM</t>
  </si>
  <si>
    <t>NGC5560</t>
  </si>
  <si>
    <t>14h20m4.4s</t>
  </si>
  <si>
    <t>+3h59m34s</t>
  </si>
  <si>
    <t>pretty faint, considerably large, extended, gradually brighter middle</t>
  </si>
  <si>
    <t>pF, cL, E, gbM</t>
  </si>
  <si>
    <t>NGC5561</t>
  </si>
  <si>
    <t>14h17m22.8s</t>
  </si>
  <si>
    <t>+58h45m1s</t>
  </si>
  <si>
    <t>extremely faint, pretty small, round, faint star close to west</t>
  </si>
  <si>
    <t>eF, pS, R, F * close p</t>
  </si>
  <si>
    <t>NGC5562</t>
  </si>
  <si>
    <t>14h20m11s</t>
  </si>
  <si>
    <t>+10h15m48s</t>
  </si>
  <si>
    <t>very faint, small, very faint star 3 seconds of time to east</t>
  </si>
  <si>
    <t>vF, S, vF * 3s f</t>
  </si>
  <si>
    <t>NGC5563</t>
  </si>
  <si>
    <t>14h20m13.2s</t>
  </si>
  <si>
    <t>+7h3m20s</t>
  </si>
  <si>
    <t>NGC5564</t>
  </si>
  <si>
    <t>eF, S, probably = m 279</t>
  </si>
  <si>
    <t>NGC5565</t>
  </si>
  <si>
    <t>14h19m18.5s</t>
  </si>
  <si>
    <t>+6h59m42s</t>
  </si>
  <si>
    <t>extremely faint, small, very difficult, probably = Marth 279</t>
  </si>
  <si>
    <t>eF, S, v diffic, probably = m 279</t>
  </si>
  <si>
    <t>NGC5566</t>
  </si>
  <si>
    <t>14h20m20s</t>
  </si>
  <si>
    <t>+3h55m59s</t>
  </si>
  <si>
    <t>B, pL, R, psbM, r, * 12 f 1'.5</t>
  </si>
  <si>
    <t>NGC5567</t>
  </si>
  <si>
    <t>14h19m17.6s</t>
  </si>
  <si>
    <t>+35h8m18s</t>
  </si>
  <si>
    <t>pretty faint, round</t>
  </si>
  <si>
    <t>NGC5568</t>
  </si>
  <si>
    <t>14h19m21.4s</t>
  </si>
  <si>
    <t>+35h5m32s</t>
  </si>
  <si>
    <t>very faint, small, very diffuse</t>
  </si>
  <si>
    <t>vF, S, v dif</t>
  </si>
  <si>
    <t>NGC5569</t>
  </si>
  <si>
    <t>14h20m32.2s</t>
  </si>
  <si>
    <t>+3h58m59s</t>
  </si>
  <si>
    <t>NGC5570</t>
  </si>
  <si>
    <t>14h20m30s</t>
  </si>
  <si>
    <t>+7h34m0s</t>
  </si>
  <si>
    <t>faint, small, irregularly round</t>
  </si>
  <si>
    <t>F, S, iR</t>
  </si>
  <si>
    <t>NGC5571</t>
  </si>
  <si>
    <t>14h19m31.8s</t>
  </si>
  <si>
    <t>+35h9m4s</t>
  </si>
  <si>
    <t>small cluster of faint stars in nebulosity</t>
  </si>
  <si>
    <t>S Cl of F st in neb</t>
  </si>
  <si>
    <t>NGC5572</t>
  </si>
  <si>
    <t>14h19m35.3s</t>
  </si>
  <si>
    <t>+36h8m27s</t>
  </si>
  <si>
    <t>extremely faint, very small, brighter middle</t>
  </si>
  <si>
    <t>eF, vS, bM</t>
  </si>
  <si>
    <t>NGC5573</t>
  </si>
  <si>
    <t>14h20m41.4s</t>
  </si>
  <si>
    <t>+6h54m28s</t>
  </si>
  <si>
    <t>NGC5574</t>
  </si>
  <si>
    <t>14h20m55.9s</t>
  </si>
  <si>
    <t>+3h14m17s</t>
  </si>
  <si>
    <t>pretty faint, pretty small, a little extended, western of 2</t>
  </si>
  <si>
    <t>pF, pS, lE, p of 2</t>
  </si>
  <si>
    <t>NGC5575</t>
  </si>
  <si>
    <t>14h20m59.5s</t>
  </si>
  <si>
    <t>+6h12m10s</t>
  </si>
  <si>
    <t>faint, very small, or nebulous star</t>
  </si>
  <si>
    <t>F, vS, or neb *</t>
  </si>
  <si>
    <t>NGC5576</t>
  </si>
  <si>
    <t>14h21m3.7s</t>
  </si>
  <si>
    <t>+3h16m17s</t>
  </si>
  <si>
    <t>bright, small, round, very suddenly much brighter middle, eastern of 2</t>
  </si>
  <si>
    <t>B, S, R, vsmbM, f of 2</t>
  </si>
  <si>
    <t>NGC5577</t>
  </si>
  <si>
    <t>14h21m13.2s</t>
  </si>
  <si>
    <t>+3h26m11s</t>
  </si>
  <si>
    <t>pretty faint, pretty large, very much extended 53°</t>
  </si>
  <si>
    <t>pF, pL, vmE 53°</t>
  </si>
  <si>
    <t>NGC5578</t>
  </si>
  <si>
    <t>vF, vS, lE, mbMN</t>
  </si>
  <si>
    <t>NGC5579</t>
  </si>
  <si>
    <t>14h20m26.4s</t>
  </si>
  <si>
    <t>+35h11m21s</t>
  </si>
  <si>
    <t>very faint, considerably large, western of 2</t>
  </si>
  <si>
    <t>vF, cL, p of 2</t>
  </si>
  <si>
    <t>NGC5580</t>
  </si>
  <si>
    <t>14h21m38.3s</t>
  </si>
  <si>
    <t>+35h12m18s</t>
  </si>
  <si>
    <t>pretty bright, small, eastern of 2</t>
  </si>
  <si>
    <t>Pb, s, f of 2</t>
  </si>
  <si>
    <t>NGC5581</t>
  </si>
  <si>
    <t>14h21m16.2s</t>
  </si>
  <si>
    <t>+23h28m48s</t>
  </si>
  <si>
    <t>very faint star in very faint, very small, round nebulosity</t>
  </si>
  <si>
    <t>NGC5582</t>
  </si>
  <si>
    <t>14h20m43.2s</t>
  </si>
  <si>
    <t>+39h41m38s</t>
  </si>
  <si>
    <t>pretty bright, pretty small, round, brighter middle and faint nucleus, star to southwest</t>
  </si>
  <si>
    <t>pB, pS, R, bMFN, * sp</t>
  </si>
  <si>
    <t>NGC5583</t>
  </si>
  <si>
    <t>14h21m40.5s</t>
  </si>
  <si>
    <t>+13h13m56s</t>
  </si>
  <si>
    <t>very faint, pretty small, round, pretty bright star near</t>
  </si>
  <si>
    <t>vF, pS, R, pB * nr</t>
  </si>
  <si>
    <t>NGC5584</t>
  </si>
  <si>
    <t>14h22m23.8s</t>
  </si>
  <si>
    <t>-0h23m17s</t>
  </si>
  <si>
    <t>faint, large, much extended, diffuse, gradually a little brighter middle</t>
  </si>
  <si>
    <t>F, L, mE, dif, glbM</t>
  </si>
  <si>
    <t>NGC5585</t>
  </si>
  <si>
    <t>14h19m47.7s</t>
  </si>
  <si>
    <t>+56h43m44s</t>
  </si>
  <si>
    <t>pretty faint, large, irregularly round, very gradually much brighter middle, mottled but not resolved</t>
  </si>
  <si>
    <t>pF, L, iR, vgmbM, r</t>
  </si>
  <si>
    <t>NGC5586</t>
  </si>
  <si>
    <t>14h22m7.6s</t>
  </si>
  <si>
    <t>NGC5587</t>
  </si>
  <si>
    <t>14h22m10.8s</t>
  </si>
  <si>
    <t>+13h55m3s</t>
  </si>
  <si>
    <t>faint, considerably small, very little extended, 8th magnitude star to southeast</t>
  </si>
  <si>
    <t>F, cS, vlE, * 8 sf</t>
  </si>
  <si>
    <t>NGC5588</t>
  </si>
  <si>
    <t>14h21m24.9s</t>
  </si>
  <si>
    <t>+35h16m14s</t>
  </si>
  <si>
    <t>NGC5589</t>
  </si>
  <si>
    <t>vF, S, R, np of 2</t>
  </si>
  <si>
    <t>NGC5590</t>
  </si>
  <si>
    <t>cF, S, R, bM *, sf of 2</t>
  </si>
  <si>
    <t>NGC5591</t>
  </si>
  <si>
    <t>14h22m33.3s</t>
  </si>
  <si>
    <t>+13h43m1s</t>
  </si>
  <si>
    <t>extremely faint, small, round, pretty bright star near to southeast</t>
  </si>
  <si>
    <t>eF, S, R, pB * nr sf</t>
  </si>
  <si>
    <t>NGC5592</t>
  </si>
  <si>
    <t>14h23m54.9s</t>
  </si>
  <si>
    <t>-28h41m18s</t>
  </si>
  <si>
    <t>faint, small, extended, gradually a very little brighter middle, mottled but not resolved</t>
  </si>
  <si>
    <t>F, S, E, gvlbM, r</t>
  </si>
  <si>
    <t>NGC5593</t>
  </si>
  <si>
    <t>14h25m40s</t>
  </si>
  <si>
    <t>-54h47m54s</t>
  </si>
  <si>
    <t>cluster, very little rich, very little compressed, stars of 10th magnitude</t>
  </si>
  <si>
    <t>Cl, vlRi, vlC, st 10</t>
  </si>
  <si>
    <t>NGC5594</t>
  </si>
  <si>
    <t>14h23m10.2s</t>
  </si>
  <si>
    <t>+26h15m59s</t>
  </si>
  <si>
    <t>NGC5595</t>
  </si>
  <si>
    <t>天秤座</t>
  </si>
  <si>
    <t>LIB</t>
  </si>
  <si>
    <t>14h24m13.3s</t>
  </si>
  <si>
    <t>-16h43m21s</t>
  </si>
  <si>
    <t>faint, pretty large, round, very gradually brighter middle, western of 2</t>
  </si>
  <si>
    <t>F, pL, R, vgbM, p of 2</t>
  </si>
  <si>
    <t>NGC5596</t>
  </si>
  <si>
    <t>14h22m28.6s</t>
  </si>
  <si>
    <t>+37h7m22s</t>
  </si>
  <si>
    <t>extremely faint, small, round, stellar</t>
  </si>
  <si>
    <t>eF, S, R, stellar</t>
  </si>
  <si>
    <t>NGC5597</t>
  </si>
  <si>
    <t>14h24m27.4s</t>
  </si>
  <si>
    <t>-16h45m48s</t>
  </si>
  <si>
    <t>very faint, large, very little extended, very gradually a little brighter middle, eastern of 2</t>
  </si>
  <si>
    <t>vF, L, vlE, vglbM, f of 2</t>
  </si>
  <si>
    <t>NGC5598</t>
  </si>
  <si>
    <t>14h22m28.4s</t>
  </si>
  <si>
    <t>+40h19m13s</t>
  </si>
  <si>
    <t>NGC5599</t>
  </si>
  <si>
    <t>14h23m50.6s</t>
  </si>
  <si>
    <t>+6h34m32s</t>
  </si>
  <si>
    <t>NGC5600</t>
  </si>
  <si>
    <t>14h23m49.3s</t>
  </si>
  <si>
    <t>+14h38m19s</t>
  </si>
  <si>
    <t>pretty bright, pretty small, gradually brighter middle</t>
  </si>
  <si>
    <t>pB, pS, gbM</t>
  </si>
  <si>
    <t>NGC5601</t>
  </si>
  <si>
    <t>14h22m53.2s</t>
  </si>
  <si>
    <t>+40h18m36s</t>
  </si>
  <si>
    <t>very faint, between (WH) III 733 and 734</t>
  </si>
  <si>
    <t>vF, bet III 733 and 734</t>
  </si>
  <si>
    <t>NGC5602</t>
  </si>
  <si>
    <t>14h22m18.4s</t>
  </si>
  <si>
    <t>+50h30m10s</t>
  </si>
  <si>
    <t>pretty faint, pretty small, a little extended, much brighter middle</t>
  </si>
  <si>
    <t>pF, pS, lE, mbM</t>
  </si>
  <si>
    <t>NGC5603</t>
  </si>
  <si>
    <t>14h23m1.6s</t>
  </si>
  <si>
    <t>+40h22m40s</t>
  </si>
  <si>
    <t>considerably faint, pretty small, round, gradually brighter middle</t>
  </si>
  <si>
    <t>cF, pS, R, gbM</t>
  </si>
  <si>
    <t>NGC5604</t>
  </si>
  <si>
    <t>14h24m42.8s</t>
  </si>
  <si>
    <t>-3h12m43s</t>
  </si>
  <si>
    <t>faint, pretty small, round, very gradually brighter starlike middle, mottled but not resolved</t>
  </si>
  <si>
    <t>F, pS, R, vgbM *, r</t>
  </si>
  <si>
    <t>NGC5605</t>
  </si>
  <si>
    <t>14h25m7.5s</t>
  </si>
  <si>
    <t>-13h9m49s</t>
  </si>
  <si>
    <t>NGC5606</t>
  </si>
  <si>
    <t>14h27m47.2s</t>
  </si>
  <si>
    <t>-59h37m56s</t>
  </si>
  <si>
    <t>cluster, small, pretty compressed, stars large and small</t>
  </si>
  <si>
    <t>Cl, S, pC, st L &amp; S</t>
  </si>
  <si>
    <t>NGC5607</t>
  </si>
  <si>
    <t>14h19m26.7s</t>
  </si>
  <si>
    <t>+71h35m17s</t>
  </si>
  <si>
    <t>pretty faint, considerably small, irregularly round, brighter middle, extremely mottled but not resolved</t>
  </si>
  <si>
    <t>pF, cS, iR, bM, er</t>
  </si>
  <si>
    <t>NGC5608</t>
  </si>
  <si>
    <t>14h23m17.6s</t>
  </si>
  <si>
    <t>+41h46m32s</t>
  </si>
  <si>
    <t>faint, pretty large, a little extended, very gradually a little brighter middle</t>
  </si>
  <si>
    <t>F, pL, lE, vglbM</t>
  </si>
  <si>
    <t>NGC5609</t>
  </si>
  <si>
    <t>14h23m48.3s</t>
  </si>
  <si>
    <t>+34h50m34s</t>
  </si>
  <si>
    <t>NGC5610</t>
  </si>
  <si>
    <t>14h24m23s</t>
  </si>
  <si>
    <t>+24h36m52s</t>
  </si>
  <si>
    <t>very faint, small, pretty much extended 0°±, 9th magnitude star to east</t>
  </si>
  <si>
    <t>vF, S, pmE 0° ±, * 9 f</t>
  </si>
  <si>
    <t>NGC5611</t>
  </si>
  <si>
    <t>14h24m4.8s</t>
  </si>
  <si>
    <t>+33h2m52s</t>
  </si>
  <si>
    <t>NGC5612</t>
  </si>
  <si>
    <t>天燕座</t>
  </si>
  <si>
    <t>APS</t>
  </si>
  <si>
    <t>14h34m1.5s</t>
  </si>
  <si>
    <t>-78h23m16s</t>
  </si>
  <si>
    <t>very faint, extended, gradually brighter middle, mottled but not resolved</t>
  </si>
  <si>
    <t>vF, E, gbM, r</t>
  </si>
  <si>
    <t>NGC5613</t>
  </si>
  <si>
    <t>14h24m5.9s</t>
  </si>
  <si>
    <t>+34h53m33s</t>
  </si>
  <si>
    <t>pretty bright, small, round, suddenly much brighter middle</t>
  </si>
  <si>
    <t>eF, pS, dif, 2' n of h 1804</t>
  </si>
  <si>
    <t>NGC5614</t>
  </si>
  <si>
    <t>14h24m7.3s</t>
  </si>
  <si>
    <t>+34h51m33s</t>
  </si>
  <si>
    <t>pB, S, R, smbM</t>
  </si>
  <si>
    <t>NGC5615</t>
  </si>
  <si>
    <t>14h24m6.4s</t>
  </si>
  <si>
    <t>+34h51m55s</t>
  </si>
  <si>
    <t>close north of h1804 (perhaps a very faint star)</t>
  </si>
  <si>
    <t>close n of h 1804 (? vF *)</t>
  </si>
  <si>
    <t>NGC5616</t>
  </si>
  <si>
    <t>14h24m20.6s</t>
  </si>
  <si>
    <t>+36h27m41s</t>
  </si>
  <si>
    <t>very faint, small, considerably extended, very gradually brighter middle, extremely mottled but not resolved</t>
  </si>
  <si>
    <t>vF, S, cE, vgbM, er</t>
  </si>
  <si>
    <t>NGC5617</t>
  </si>
  <si>
    <t>德古拉星团</t>
  </si>
  <si>
    <t>14h29m44s</t>
  </si>
  <si>
    <t>-60h42m39s</t>
  </si>
  <si>
    <t>cluster, large, pretty rich, pretty compressed middle, stars of 8th magnitude and fainter</t>
  </si>
  <si>
    <t>Cl, L, pRi, pCM, st 8…</t>
  </si>
  <si>
    <t>NGC5618</t>
  </si>
  <si>
    <t>14h27m11.8s</t>
  </si>
  <si>
    <t>-2h15m46s</t>
  </si>
  <si>
    <t>NGC5619</t>
  </si>
  <si>
    <t>14h27m18.2s</t>
  </si>
  <si>
    <t>+4h48m11s</t>
  </si>
  <si>
    <t>NGC5620</t>
  </si>
  <si>
    <t>NGC5621</t>
  </si>
  <si>
    <t>14h27m50s</t>
  </si>
  <si>
    <t>+8h14m32s</t>
  </si>
  <si>
    <t>most extremely faint, large, mottled but not resolved</t>
  </si>
  <si>
    <t>eeF, L, r</t>
  </si>
  <si>
    <t>NGC5622</t>
  </si>
  <si>
    <t>14h26m12s</t>
  </si>
  <si>
    <t>+48h33m52s</t>
  </si>
  <si>
    <t>NGC5623</t>
  </si>
  <si>
    <t>龙星云</t>
  </si>
  <si>
    <t>14h27m8.7s</t>
  </si>
  <si>
    <t>+33h15m11s</t>
  </si>
  <si>
    <t>considerably faint, small, round, very suddenly much brighter middle, mottled but not resolved</t>
  </si>
  <si>
    <t>cF, S, R, vsmbM, r</t>
  </si>
  <si>
    <t>NGC5624</t>
  </si>
  <si>
    <t>14h26m35.4s</t>
  </si>
  <si>
    <t>+51h35m5s</t>
  </si>
  <si>
    <t>NGC5625</t>
  </si>
  <si>
    <t>14h27m2.4s</t>
  </si>
  <si>
    <t>+39h57m27s</t>
  </si>
  <si>
    <t>NGC5626</t>
  </si>
  <si>
    <t>14h29m49s</t>
  </si>
  <si>
    <t>-29h44m58s</t>
  </si>
  <si>
    <t>NGC5627</t>
  </si>
  <si>
    <t>14h28m34.2s</t>
  </si>
  <si>
    <t>+11h22m42s</t>
  </si>
  <si>
    <t>very faint, very small, round, 9th magnitude star to southwest</t>
  </si>
  <si>
    <t>vF, vS, R, * 9 sp</t>
  </si>
  <si>
    <t>NGC5628</t>
  </si>
  <si>
    <t>14h28m25.7s</t>
  </si>
  <si>
    <t>+17h55m30s</t>
  </si>
  <si>
    <t>pretty faint, small, round, gradually brighter middle and nucleus equivalent to 14th magnitude star</t>
  </si>
  <si>
    <t>pF, S, R, gbMN = 14 m</t>
  </si>
  <si>
    <t>NGC5629</t>
  </si>
  <si>
    <t>NGC 5629星系群</t>
  </si>
  <si>
    <t>14h28m16.1s</t>
  </si>
  <si>
    <t>+25h50m57s</t>
  </si>
  <si>
    <t>NGC5630</t>
  </si>
  <si>
    <t>14h27m36.5s</t>
  </si>
  <si>
    <t>+41h15m29s</t>
  </si>
  <si>
    <t>faint, small, extended 90°±, gradually brighter middle</t>
  </si>
  <si>
    <t>F, S, E 90° ±, gbM</t>
  </si>
  <si>
    <t>NGC5631</t>
  </si>
  <si>
    <t>14h26m33.3s</t>
  </si>
  <si>
    <t>+56h34m59s</t>
  </si>
  <si>
    <t>bright, small, round, pretty suddenly brighter middle and nucleus</t>
  </si>
  <si>
    <t>B, S, R, psbMN</t>
  </si>
  <si>
    <t>NGC5632</t>
  </si>
  <si>
    <t>14h37m53.4s</t>
  </si>
  <si>
    <t>-0h23m53s</t>
  </si>
  <si>
    <t>nebula, 11th magnitude star 150 seconds to east (Auwers 33)</t>
  </si>
  <si>
    <t>Neb, * 11 f 150s (Auw 33)</t>
  </si>
  <si>
    <t>NGC5633</t>
  </si>
  <si>
    <t>14h27m28.5s</t>
  </si>
  <si>
    <t>+46h8m51s</t>
  </si>
  <si>
    <t>considerably bright, pretty small, round, pretty gradually a little brighter middle</t>
  </si>
  <si>
    <t>cB, pS, R, pglbM</t>
  </si>
  <si>
    <t>NGC5634</t>
  </si>
  <si>
    <t>IV</t>
  </si>
  <si>
    <t>14h29m37.3s</t>
  </si>
  <si>
    <t>-5h58m33s</t>
  </si>
  <si>
    <t>globular cluster, very bright, considerably large, round, gradually brighter middle, well resolved, clearly consisting of stars, stars of 19th magnitude, 8th magnitude star to southeast</t>
  </si>
  <si>
    <t>globular, vB, cL, R, gbM, rrr, st 19, * 8 sf</t>
  </si>
  <si>
    <t>NGC5635</t>
  </si>
  <si>
    <t>14h28m31.5s</t>
  </si>
  <si>
    <t>+27h24m33s</t>
  </si>
  <si>
    <t>faint, small, extended, suddenly brighter middle</t>
  </si>
  <si>
    <t>F, S, E, sbM</t>
  </si>
  <si>
    <t>NGC5636</t>
  </si>
  <si>
    <t>14h29m39.1s</t>
  </si>
  <si>
    <t>+3h16m0s</t>
  </si>
  <si>
    <t>extremely faint, considerably large, round, northwestern of 2</t>
  </si>
  <si>
    <t>eF, cL, R, np of 2</t>
  </si>
  <si>
    <t>NGC5637</t>
  </si>
  <si>
    <t>14h28m59.5s</t>
  </si>
  <si>
    <t>+23h11m27s</t>
  </si>
  <si>
    <t>NGC5638</t>
  </si>
  <si>
    <t>14h29m40.4s</t>
  </si>
  <si>
    <t>+3h14m0s</t>
  </si>
  <si>
    <t>considerably bright, pretty large, round, southeastern of 2</t>
  </si>
  <si>
    <t>cB, pL, R, sf of 2</t>
  </si>
  <si>
    <t>NGC5639</t>
  </si>
  <si>
    <t>14h28m46.5s</t>
  </si>
  <si>
    <t>+30h24m45s</t>
  </si>
  <si>
    <t>very faint, round, 7th magnitude star to west, 11th magnitude star to south</t>
  </si>
  <si>
    <t>vF, R, * 7 p, * 11 s</t>
  </si>
  <si>
    <t>NGC5640</t>
  </si>
  <si>
    <t>14h20m40.7s</t>
  </si>
  <si>
    <t>+80h7m25s</t>
  </si>
  <si>
    <t>NGC5641</t>
  </si>
  <si>
    <t>14h29m16.6s</t>
  </si>
  <si>
    <t>+28h49m18s</t>
  </si>
  <si>
    <t>pretty bright, pretty small, a little extended, much brighter middle, mottled but not resolved?</t>
  </si>
  <si>
    <t>pB, pS, lE, mbM, r ?</t>
  </si>
  <si>
    <t>NGC5642</t>
  </si>
  <si>
    <t>14h29m13.4s</t>
  </si>
  <si>
    <t>+30h1m38s</t>
  </si>
  <si>
    <t>considerably faint, small, star involved, 12th magnitude star to northeast</t>
  </si>
  <si>
    <t>cF, S, * inv, * 12 nf</t>
  </si>
  <si>
    <t>NGC5643</t>
  </si>
  <si>
    <t>14h32m40.7s</t>
  </si>
  <si>
    <t>-44h10m28s</t>
  </si>
  <si>
    <t>pretty bright, large, round, very gradually a little brighter middle, star involved</t>
  </si>
  <si>
    <t>pB, L, R, vglbM, st inv</t>
  </si>
  <si>
    <t>NGC5644</t>
  </si>
  <si>
    <t>14h30m25.5s</t>
  </si>
  <si>
    <t>+11h55m41s</t>
  </si>
  <si>
    <t>NGC5645</t>
  </si>
  <si>
    <t>14h30m39.2s</t>
  </si>
  <si>
    <t>+7h16m29s</t>
  </si>
  <si>
    <t>considerably faint, pretty large, irregularly round, gradually brighter middle</t>
  </si>
  <si>
    <t>cF, pL, iR, gbM</t>
  </si>
  <si>
    <t>NGC5646</t>
  </si>
  <si>
    <t>14h29m33.8s</t>
  </si>
  <si>
    <t>+35h27m43s</t>
  </si>
  <si>
    <t>extremely faint, extended southwest-northeast, 45 arcsec long</t>
  </si>
  <si>
    <t>eF, E sp nf, 45" l</t>
  </si>
  <si>
    <t>NGC5647</t>
  </si>
  <si>
    <t>14h30m36s</t>
  </si>
  <si>
    <t>+11h52m38s</t>
  </si>
  <si>
    <t>faint, small, round, very little brighter middle</t>
  </si>
  <si>
    <t>F, S, R, vlbM</t>
  </si>
  <si>
    <t>NGC5648</t>
  </si>
  <si>
    <t>14h30m32.5s</t>
  </si>
  <si>
    <t>+14h1m24s</t>
  </si>
  <si>
    <t>very faint, small, no nucleus, h1824 near</t>
  </si>
  <si>
    <t>vF, S, no Nucl, h 1824 nr</t>
  </si>
  <si>
    <t>NGC5649</t>
  </si>
  <si>
    <t>eF, vS, np of 2</t>
  </si>
  <si>
    <t>NGC5650</t>
  </si>
  <si>
    <t>14h31m0.9s</t>
  </si>
  <si>
    <t>+5h58m42s</t>
  </si>
  <si>
    <t>NGC5651</t>
  </si>
  <si>
    <t>14h40m11.3s</t>
  </si>
  <si>
    <t>-0h17m24s</t>
  </si>
  <si>
    <t>nebula, round (Auwers 34)</t>
  </si>
  <si>
    <t>Neb, R (Auw 34)</t>
  </si>
  <si>
    <t>NGC5652</t>
  </si>
  <si>
    <t>pB, pL, vlE, bM</t>
  </si>
  <si>
    <t>NGC5653</t>
  </si>
  <si>
    <t>14h30m10.3s</t>
  </si>
  <si>
    <t>+31h12m55s</t>
  </si>
  <si>
    <t>NGC5654</t>
  </si>
  <si>
    <t>14h30m1.4s</t>
  </si>
  <si>
    <t>+36h21m37s</t>
  </si>
  <si>
    <t>faint, small, extended?, double star involved?</t>
  </si>
  <si>
    <t>F, S, E ?, ** inv ?</t>
  </si>
  <si>
    <t>NGC5655</t>
  </si>
  <si>
    <t>14h30m51s</t>
  </si>
  <si>
    <t>+13h58m9s</t>
  </si>
  <si>
    <t>most extremely faint, southeastern of 2</t>
  </si>
  <si>
    <t>eeF, sf of 2</t>
  </si>
  <si>
    <t>NGC5656</t>
  </si>
  <si>
    <t>14h30m25.4s</t>
  </si>
  <si>
    <t>+35h19m17s</t>
  </si>
  <si>
    <t>pretty faint, pretty large, round, much brighter middle, mottled but not resolved</t>
  </si>
  <si>
    <t>pF, pL, R, mbM, r</t>
  </si>
  <si>
    <t>NGC5657</t>
  </si>
  <si>
    <t>14h30m43.6s</t>
  </si>
  <si>
    <t>+29h10m50s</t>
  </si>
  <si>
    <t>faint, small, irregular, several very faint stars involved, mottled but not resolved?</t>
  </si>
  <si>
    <t>F, S, irr, sev vF st inv, r?</t>
  </si>
  <si>
    <t>NGC5658</t>
  </si>
  <si>
    <t>14h40m56.5s</t>
  </si>
  <si>
    <t>-0h19m4s</t>
  </si>
  <si>
    <t>nebula, faint, extended (Auwers 35)</t>
  </si>
  <si>
    <t>Neb, F, E (Auw 35)</t>
  </si>
  <si>
    <t>NGC5659</t>
  </si>
  <si>
    <t>14h31m6s</t>
  </si>
  <si>
    <t>+25h21m18s</t>
  </si>
  <si>
    <t>NGC5660</t>
  </si>
  <si>
    <t>14h29m48.7s</t>
  </si>
  <si>
    <t>+49h37m21s</t>
  </si>
  <si>
    <t>pretty bright, large, irregularly round, very gradually brighter middle</t>
  </si>
  <si>
    <t>pB, L, iR, vgbM</t>
  </si>
  <si>
    <t>NGC5661</t>
  </si>
  <si>
    <t>14h31m57.3s</t>
  </si>
  <si>
    <t>+6h15m2s</t>
  </si>
  <si>
    <t>NGC5662</t>
  </si>
  <si>
    <t>舞毒蛾星团</t>
  </si>
  <si>
    <t>14h35m30.8s</t>
  </si>
  <si>
    <t>-56h39m46s</t>
  </si>
  <si>
    <t>cluster, large, pretty rich, a little compressed, stars from 9th magnitude</t>
  </si>
  <si>
    <t>Cl, L, pRi, lC, st 9…</t>
  </si>
  <si>
    <t>NGC5663</t>
  </si>
  <si>
    <t>14h33m56.2s</t>
  </si>
  <si>
    <t>-16h34m50s</t>
  </si>
  <si>
    <t>NGC5664</t>
  </si>
  <si>
    <t>14h33m43.7s</t>
  </si>
  <si>
    <t>-14h37m10s</t>
  </si>
  <si>
    <t>NGC5665</t>
  </si>
  <si>
    <t>14h32m25.6s</t>
  </si>
  <si>
    <t>+8h4m45s</t>
  </si>
  <si>
    <t>NGC5666</t>
  </si>
  <si>
    <t>14h33m9.3s</t>
  </si>
  <si>
    <t>+10h30m39s</t>
  </si>
  <si>
    <t>very faint, very small, round, stellar</t>
  </si>
  <si>
    <t>vF, vS, R, stellar</t>
  </si>
  <si>
    <t>NGC5667</t>
  </si>
  <si>
    <t>14h30m22.7s</t>
  </si>
  <si>
    <t>+59h28m13s</t>
  </si>
  <si>
    <t>pretty bright, pretty small, extended 0°</t>
  </si>
  <si>
    <t>pB, pS, E 0°</t>
  </si>
  <si>
    <t>NGC5668</t>
  </si>
  <si>
    <t>14h33m24.2s</t>
  </si>
  <si>
    <t>+4h27m2s</t>
  </si>
  <si>
    <t>faint, pretty small, very little extended, 14th magnitude star involved</t>
  </si>
  <si>
    <t>F, pS, vlE, * 14 inv</t>
  </si>
  <si>
    <t>NGC5669</t>
  </si>
  <si>
    <t>14h32m44s</t>
  </si>
  <si>
    <t>+9h53m32s</t>
  </si>
  <si>
    <t>faint, large, round, a little brighter middle, mottled but not resolved</t>
  </si>
  <si>
    <t>F, L, R, lbM, r</t>
  </si>
  <si>
    <t>NGC5670</t>
  </si>
  <si>
    <t>14h35m36.1s</t>
  </si>
  <si>
    <t>-45h58m0s</t>
  </si>
  <si>
    <t>very faint, small, considerably extended, between 2 stars</t>
  </si>
  <si>
    <t>vF, S, cE, bet 2 st</t>
  </si>
  <si>
    <t>NGC5671</t>
  </si>
  <si>
    <t>14h27m42.3s</t>
  </si>
  <si>
    <t>+69h41m41s</t>
  </si>
  <si>
    <t>very faint, pretty large, round, brighter middle</t>
  </si>
  <si>
    <t>vF, pL, R, bM</t>
  </si>
  <si>
    <t>NGC5672</t>
  </si>
  <si>
    <t>14h32m38.5s</t>
  </si>
  <si>
    <t>+31h40m13s</t>
  </si>
  <si>
    <t>very faint, very large, irregularly round, a little brighter middle, double star to west</t>
  </si>
  <si>
    <t>vF, vL, iR, lbM, ** p</t>
  </si>
  <si>
    <t>NGC5673</t>
  </si>
  <si>
    <t>14h31m30.6s</t>
  </si>
  <si>
    <t>+49h57m31s</t>
  </si>
  <si>
    <t>faint, small, considerably extended, 15th magnitude star to northwest</t>
  </si>
  <si>
    <t>F, S, cE, * 15 np</t>
  </si>
  <si>
    <t>NGC5674</t>
  </si>
  <si>
    <t>14h33m52.2s</t>
  </si>
  <si>
    <t>NGC5675</t>
  </si>
  <si>
    <t>14h32m39.7s</t>
  </si>
  <si>
    <t>+36h18m9s</t>
  </si>
  <si>
    <t>faint, pretty small, extended, brighter middle</t>
  </si>
  <si>
    <t>F, pS, E, bM</t>
  </si>
  <si>
    <t>NGC5676</t>
  </si>
  <si>
    <t>14h32m46.4s</t>
  </si>
  <si>
    <t>+49h27m25s</t>
  </si>
  <si>
    <t>bright, large, extended 45°±, pretty gradually brighter middle, mottled but not resolved</t>
  </si>
  <si>
    <t>B, L, E 45° ±, pgbM, r</t>
  </si>
  <si>
    <t>NGC5677</t>
  </si>
  <si>
    <t>14h34m12.6s</t>
  </si>
  <si>
    <t>+25h28m6s</t>
  </si>
  <si>
    <t>very faint, very small, round, mottled but not resolved, 3 stars of 9th and 10th magnitude to northwest</t>
  </si>
  <si>
    <t>vF, vS, R, r, 3 st 9, 10 np</t>
  </si>
  <si>
    <t>NGC5678</t>
  </si>
  <si>
    <t>14h32m5.5s</t>
  </si>
  <si>
    <t>+57h55m23s</t>
  </si>
  <si>
    <t>bright, large, a little extended 0°, very gradually much brighter middle</t>
  </si>
  <si>
    <t>B, L, lE 0°, vgmbM</t>
  </si>
  <si>
    <t>NGC5679</t>
  </si>
  <si>
    <t>14h35m8.7s</t>
  </si>
  <si>
    <t>+5h21m33s</t>
  </si>
  <si>
    <t>very faint, small, round, 12th magnitude star attached</t>
  </si>
  <si>
    <t>vF, S, R, * 12 att</t>
  </si>
  <si>
    <t>NGC5680</t>
  </si>
  <si>
    <t>14h35m44.6s</t>
  </si>
  <si>
    <t>-0h0m48s</t>
  </si>
  <si>
    <t>NGC5681</t>
  </si>
  <si>
    <t>14h35m43s</t>
  </si>
  <si>
    <t>+8h18m0s</t>
  </si>
  <si>
    <t>NGC5682</t>
  </si>
  <si>
    <t>14h34m45.1s</t>
  </si>
  <si>
    <t>+48h40m13s</t>
  </si>
  <si>
    <t>faint, pretty small, extended</t>
  </si>
  <si>
    <t>F, pS, E</t>
  </si>
  <si>
    <t>NGC5683</t>
  </si>
  <si>
    <t>14h34m52.4s</t>
  </si>
  <si>
    <t>+48h39m45s</t>
  </si>
  <si>
    <t>faint, very small, a little extended</t>
  </si>
  <si>
    <t>F, vS, lE</t>
  </si>
  <si>
    <t>NGC5684</t>
  </si>
  <si>
    <t>14h35m50s</t>
  </si>
  <si>
    <t>+36h32m37s</t>
  </si>
  <si>
    <t>faint, considerably small, round, brighter middle, western of 2</t>
  </si>
  <si>
    <t>F, cS, R, bM, p of 2</t>
  </si>
  <si>
    <t>NGC5685</t>
  </si>
  <si>
    <t>14h36m15.3s</t>
  </si>
  <si>
    <t>+29h54m30s</t>
  </si>
  <si>
    <t>very faint, very small, round, gradually brighter middle and nucleus equal to 15th magnitude (star)</t>
  </si>
  <si>
    <t>vF, vS, R, gbM = 15 m</t>
  </si>
  <si>
    <t>NGC5686</t>
  </si>
  <si>
    <t>14h36m2.5s</t>
  </si>
  <si>
    <t>+36h30m13s</t>
  </si>
  <si>
    <t>NGC5687</t>
  </si>
  <si>
    <t>14h34m52.2s</t>
  </si>
  <si>
    <t>+54h28m36s</t>
  </si>
  <si>
    <t>pretty faint, small, irregular figure, mottled but not resolved, 10th magnitude star to east</t>
  </si>
  <si>
    <t>pF, S, iF, r, * 10 f</t>
  </si>
  <si>
    <t>NGC5688</t>
  </si>
  <si>
    <t>14h39m35.1s</t>
  </si>
  <si>
    <t>-45h1m7s</t>
  </si>
  <si>
    <t>faint, small, very gradually brighter middle, among stars</t>
  </si>
  <si>
    <t>F, S, vgbM, am st</t>
  </si>
  <si>
    <t>NGC5689</t>
  </si>
  <si>
    <t>14h35m29.6s</t>
  </si>
  <si>
    <t>+48h44m30s</t>
  </si>
  <si>
    <t>considerably bright, pretty large, extended 87°, pretty suddenly much brighter middle</t>
  </si>
  <si>
    <t>cB, pL, E 87°, psmbM</t>
  </si>
  <si>
    <t>NGC5690</t>
  </si>
  <si>
    <t>14h37m41.1s</t>
  </si>
  <si>
    <t>+2h17m26s</t>
  </si>
  <si>
    <t>very faint, much extended 138°, faint star attached on southeast, 7th magnitude star 4 arcmin to west</t>
  </si>
  <si>
    <t>vF, mE 138°, F * att sf, * 7 p 4'</t>
  </si>
  <si>
    <t>NGC5691</t>
  </si>
  <si>
    <t>pretty bright, pretty small, a little extended, gradually brighter middle</t>
  </si>
  <si>
    <t>pB, pS, lE, gbM</t>
  </si>
  <si>
    <t>NGC5692</t>
  </si>
  <si>
    <t>14h38m18s</t>
  </si>
  <si>
    <t>+3h24m36s</t>
  </si>
  <si>
    <t>NGC5693</t>
  </si>
  <si>
    <t>14h36m11.3s</t>
  </si>
  <si>
    <t>+48h35m7s</t>
  </si>
  <si>
    <t>faint, pretty large, 13th magnitude star attached on south</t>
  </si>
  <si>
    <t>F, pL, * 13 att s</t>
  </si>
  <si>
    <t>NGC5694</t>
  </si>
  <si>
    <t>VII</t>
  </si>
  <si>
    <t>14h39m36.5s</t>
  </si>
  <si>
    <t>-26h32m16s</t>
  </si>
  <si>
    <t>considerably bright, considerably small, round, pretty suddenly brighter middle, mottled but not resolved, 9.5 magnitude star to southwest</t>
  </si>
  <si>
    <t>cB, cS, R, psbM, r, * 9.5 sp</t>
  </si>
  <si>
    <t>NGC5695</t>
  </si>
  <si>
    <t>14h37m22s</t>
  </si>
  <si>
    <t>+36h34m4s</t>
  </si>
  <si>
    <t>pretty bright, considerably small, round, brighter middle, mottled but not resolved</t>
  </si>
  <si>
    <t>pB, cS, R, bM, r</t>
  </si>
  <si>
    <t>NGC5696</t>
  </si>
  <si>
    <t>14h36m57s</t>
  </si>
  <si>
    <t>+41h49m42s</t>
  </si>
  <si>
    <t>considerably faint, considerably small, round, a little brighter middle, mottled but not resolved</t>
  </si>
  <si>
    <t>cF, cS, R, lbM, r</t>
  </si>
  <si>
    <t>NGC5697</t>
  </si>
  <si>
    <t>14h36m32s</t>
  </si>
  <si>
    <t>faint, very small, round, brighter middle, 4 bright stars to west</t>
  </si>
  <si>
    <t>F, vS, R, bM, 4 B st p</t>
  </si>
  <si>
    <t>NGC5698</t>
  </si>
  <si>
    <t>14h37m14.6s</t>
  </si>
  <si>
    <t>+38h27m16s</t>
  </si>
  <si>
    <t>considerably faint, considerably small, a little extended, in triangle of stars</t>
  </si>
  <si>
    <t>cF, cS, lE, in Δ of st</t>
  </si>
  <si>
    <t>NGC5699</t>
  </si>
  <si>
    <t>14h38m42.4s</t>
  </si>
  <si>
    <t>+30h27m57s</t>
  </si>
  <si>
    <t>NGC5700</t>
  </si>
  <si>
    <t>14h37m1.6s</t>
  </si>
  <si>
    <t>+48h32m43s</t>
  </si>
  <si>
    <t>extremely faint, small, mottled but not resolved, 11th magnitude star 4' to southwest</t>
  </si>
  <si>
    <t>eF, S, r, * 11 sp 4'</t>
  </si>
  <si>
    <t>NGC5701</t>
  </si>
  <si>
    <t>14h39m11.1s</t>
  </si>
  <si>
    <t>+5h21m49s</t>
  </si>
  <si>
    <t>considerably bright, pretty small, round, much brighter middle, 11th magnitude star 15 seconds of time to west</t>
  </si>
  <si>
    <t>cB, pS, R, mbM, * 11 p 15s</t>
  </si>
  <si>
    <t>NGC5702</t>
  </si>
  <si>
    <t>14h38m55s</t>
  </si>
  <si>
    <t>+20h30m24s</t>
  </si>
  <si>
    <t>NGC5703</t>
  </si>
  <si>
    <t>14h38m50.2s</t>
  </si>
  <si>
    <t>+30h26m33s</t>
  </si>
  <si>
    <t>NGC5704</t>
  </si>
  <si>
    <t>14h38m16.2s</t>
  </si>
  <si>
    <t>+40h27m28s</t>
  </si>
  <si>
    <t>faint, considerably small, a little extended 0°±</t>
  </si>
  <si>
    <t>F, cS, lE 0° ±</t>
  </si>
  <si>
    <t>NGC5705</t>
  </si>
  <si>
    <t>14h39m49.8s</t>
  </si>
  <si>
    <t>-0h43m6s</t>
  </si>
  <si>
    <t>extremely faint, large, a little extended, extremely faint diffuse nebulosity around</t>
  </si>
  <si>
    <t>eF, L, lE, eF dif neby around</t>
  </si>
  <si>
    <t>NGC5706</t>
  </si>
  <si>
    <t>NGC5707</t>
  </si>
  <si>
    <t>14h37m30.8s</t>
  </si>
  <si>
    <t>+51h33m44s</t>
  </si>
  <si>
    <t>NGC5708</t>
  </si>
  <si>
    <t>14h37m55.7s</t>
  </si>
  <si>
    <t>+40h30m49s</t>
  </si>
  <si>
    <t>F, pL, E 0° ±, gbM</t>
  </si>
  <si>
    <t>NGC5709</t>
  </si>
  <si>
    <t>vF, S, iF, E pf</t>
  </si>
  <si>
    <t>NGC5710</t>
  </si>
  <si>
    <t>14h39m16.2s</t>
  </si>
  <si>
    <t>+20h2m37s</t>
  </si>
  <si>
    <t>very faint, small, very gradually brighter middle, double star to east, western of 2</t>
  </si>
  <si>
    <t>vF, S, vgbM, ** f, p of 2</t>
  </si>
  <si>
    <t>NGC5711</t>
  </si>
  <si>
    <t>14h39m22.5s</t>
  </si>
  <si>
    <t>+19h59m26s</t>
  </si>
  <si>
    <t>extremely extended, very small, double star attached, eastern of 2</t>
  </si>
  <si>
    <t>eF, vS, ** att, f of 2</t>
  </si>
  <si>
    <t>NGC5712</t>
  </si>
  <si>
    <t>14h29m41.6s</t>
  </si>
  <si>
    <t>+78h51m53s</t>
  </si>
  <si>
    <t>very faint, small, round, small cluster to west</t>
  </si>
  <si>
    <t>vF, S, R, S Cl p</t>
  </si>
  <si>
    <t>NGC5713</t>
  </si>
  <si>
    <t>considerably bright, pretty large, round, pretty suddenly much brighter middle, mottled but not resolved</t>
  </si>
  <si>
    <t>cB, pL, R, psmbM, r</t>
  </si>
  <si>
    <t>NGC5714</t>
  </si>
  <si>
    <t>14h38m12.1s</t>
  </si>
  <si>
    <t>+46h38m17s</t>
  </si>
  <si>
    <t>very faint, pretty small, extended east-west, double star to north, 1st of 6</t>
  </si>
  <si>
    <t>vF, pS, E pf, D * n, 1st of 6</t>
  </si>
  <si>
    <t>NGC5715</t>
  </si>
  <si>
    <t>14h43m39s</t>
  </si>
  <si>
    <t>-57h34m13s</t>
  </si>
  <si>
    <t>cluster, large, pretty rich, compressed middle, stars from 11th to 13th magnitude</t>
  </si>
  <si>
    <t>Cl, L, p Ri, CM, st 11…13</t>
  </si>
  <si>
    <t>NGC5716</t>
  </si>
  <si>
    <t>14h41m5.5s</t>
  </si>
  <si>
    <t>-17h28m36s</t>
  </si>
  <si>
    <t>NGC5717</t>
  </si>
  <si>
    <t>14h38m37.6s</t>
  </si>
  <si>
    <t>+46h39m49s</t>
  </si>
  <si>
    <t>very faint, small, round, double star near, 2nd of 6</t>
  </si>
  <si>
    <t>vF, S, R, D * nr, 2nd of 6</t>
  </si>
  <si>
    <t>NGC5718</t>
  </si>
  <si>
    <t>14h40m42.8s</t>
  </si>
  <si>
    <t>+3h27m56s</t>
  </si>
  <si>
    <t>very faint, small, round, very gradually a little brighter middle, 8th or 9th magnitude star to northeast</t>
  </si>
  <si>
    <t>vF, S, R, vglbM, * 8·9 nf</t>
  </si>
  <si>
    <t>NGC5719</t>
  </si>
  <si>
    <t>NGC5720</t>
  </si>
  <si>
    <t>14h38m33.2s</t>
  </si>
  <si>
    <t>+50h48m55s</t>
  </si>
  <si>
    <t>most extremely faint, pretty small, round, between 2 stars</t>
  </si>
  <si>
    <t>eeF, pS, R, bet 2 st</t>
  </si>
  <si>
    <t>NGC5721</t>
  </si>
  <si>
    <t>14h38m53s</t>
  </si>
  <si>
    <t>+46h40m28s</t>
  </si>
  <si>
    <t>very faint, small, round, 'forms a trapezium with faint nebulosity connecting?' NGC 5722, 5723 and 5724</t>
  </si>
  <si>
    <t>vF, S, R, Form trapezium F neb connecting?</t>
  </si>
  <si>
    <t>NGC5722</t>
  </si>
  <si>
    <t>14h38m54.3s</t>
  </si>
  <si>
    <t>+46h39m58s</t>
  </si>
  <si>
    <t>very faint, small, round, pretty suddenly brighter middle, 'forms a trapezium with faint nebulosity connecting?' NGC 5721, 5723 and 5724</t>
  </si>
  <si>
    <t>vF, S, R, psbM, Form trapezium F neb connecting?</t>
  </si>
  <si>
    <t>NGC5723</t>
  </si>
  <si>
    <t>14h38m57.8s</t>
  </si>
  <si>
    <t>+46h41m24s</t>
  </si>
  <si>
    <t>very faint, small, round, 'forms a trapezium with faint nebulosity connecting?' NGC 5721, 5722 and 5724</t>
  </si>
  <si>
    <t>NGC5724</t>
  </si>
  <si>
    <t>14h39m2s</t>
  </si>
  <si>
    <t>+46h41m32s</t>
  </si>
  <si>
    <t>very faint, small, round, 'forms a trapezium with faint nebulosity connecting?' NGC 5721, 5722 and 5723</t>
  </si>
  <si>
    <t>NGC5725</t>
  </si>
  <si>
    <t>14h40m58.2s</t>
  </si>
  <si>
    <t>+2h11m8s</t>
  </si>
  <si>
    <t>very faint, small, disc, 15th magnitude star 95</t>
  </si>
  <si>
    <t>vF, S, disc, * 15 s 95"</t>
  </si>
  <si>
    <t>NGC5726</t>
  </si>
  <si>
    <t>14h42m55.8s</t>
  </si>
  <si>
    <t>-18h26m39s</t>
  </si>
  <si>
    <t>faint, small, round, gradually brighter middle, magnitude 10.5 star 3' to northwest</t>
  </si>
  <si>
    <t>F, S, R, gbM, * 10.5 np 3'</t>
  </si>
  <si>
    <t>NGC5727</t>
  </si>
  <si>
    <t>14h40m26.1s</t>
  </si>
  <si>
    <t>+33h59m20s</t>
  </si>
  <si>
    <t>extremely faint, pretty large, round, diffuse</t>
  </si>
  <si>
    <t>eF, pL, R, dif</t>
  </si>
  <si>
    <t>NGC5728</t>
  </si>
  <si>
    <t>14h42m24s</t>
  </si>
  <si>
    <t>-17h15m8s</t>
  </si>
  <si>
    <t>pretty faint, pretty large, pretty much extended 45°±, much brighter middle, 10th magnitude star to south</t>
  </si>
  <si>
    <t>pF, pL, pmE 45° ±, mbM, * 10 s</t>
  </si>
  <si>
    <t>NGC5729</t>
  </si>
  <si>
    <t>14h42m6.9s</t>
  </si>
  <si>
    <t>-9h0m35s</t>
  </si>
  <si>
    <t>faint, pretty large, extended, mottled but not resolved</t>
  </si>
  <si>
    <t>F, pL, E, r</t>
  </si>
  <si>
    <t>NGC5730</t>
  </si>
  <si>
    <t>14h39m52.1s</t>
  </si>
  <si>
    <t>+42h44m33s</t>
  </si>
  <si>
    <t>very faint, considerably small, extended 90°±</t>
  </si>
  <si>
    <t>vF, cS, E 90° ±</t>
  </si>
  <si>
    <t>NGC5731</t>
  </si>
  <si>
    <t>14h40m9.3s</t>
  </si>
  <si>
    <t>+42h46m45s</t>
  </si>
  <si>
    <t>very faint, extremely small, a little extended</t>
  </si>
  <si>
    <t>vF, eS, lE</t>
  </si>
  <si>
    <t>NGC5732</t>
  </si>
  <si>
    <t>14h40m38.9s</t>
  </si>
  <si>
    <t>+38h38m17s</t>
  </si>
  <si>
    <t>NGC5733</t>
  </si>
  <si>
    <t>14h42m45.8s</t>
  </si>
  <si>
    <t>-0h21m5s</t>
  </si>
  <si>
    <t>NGC5734</t>
  </si>
  <si>
    <t>14h45m9.1s</t>
  </si>
  <si>
    <t>-20h52m13s</t>
  </si>
  <si>
    <t>NGC5735</t>
  </si>
  <si>
    <t>14h42m33.4s</t>
  </si>
  <si>
    <t>+28h43m36s</t>
  </si>
  <si>
    <t>very faint, large, irregularly round, a little brighter middle</t>
  </si>
  <si>
    <t>vF, L, iR, lbM</t>
  </si>
  <si>
    <t>NGC5736</t>
  </si>
  <si>
    <t>14h43m30.8s</t>
  </si>
  <si>
    <t>+11h12m11s</t>
  </si>
  <si>
    <t>most extremely faint, small, a little extended, very difficult</t>
  </si>
  <si>
    <t>eeF, S, lE, v diffic</t>
  </si>
  <si>
    <t>NGC5737</t>
  </si>
  <si>
    <t>14h43m12s</t>
  </si>
  <si>
    <t>+18h52m50s</t>
  </si>
  <si>
    <t>very faint, considerably small, round, very gradually a little brighter middle</t>
  </si>
  <si>
    <t>vF, cS, R, vglbM</t>
  </si>
  <si>
    <t>NGC5738</t>
  </si>
  <si>
    <t>14h43m56.5s</t>
  </si>
  <si>
    <t>+1h36m13s</t>
  </si>
  <si>
    <t>NGC5739</t>
  </si>
  <si>
    <t>14h42m28.9s</t>
  </si>
  <si>
    <t>+41h50m35s</t>
  </si>
  <si>
    <t>pretty bright, small, round, suddenly much brighter middle, mottled but not resolved, star near</t>
  </si>
  <si>
    <t>pB, S, R, smbM, r, * nr</t>
  </si>
  <si>
    <t>NGC5740</t>
  </si>
  <si>
    <t>14h44m24.5s</t>
  </si>
  <si>
    <t>+1h40m48s</t>
  </si>
  <si>
    <t>pretty bright, large, irregularly round, gradually brighter middle, mottled but not resolved</t>
  </si>
  <si>
    <t>pB, L, iR, gbM, r</t>
  </si>
  <si>
    <t>NGC5741</t>
  </si>
  <si>
    <t>14h45m51.6s</t>
  </si>
  <si>
    <t>-11h54m49s</t>
  </si>
  <si>
    <t>NGC5742</t>
  </si>
  <si>
    <t>14h45m36.8s</t>
  </si>
  <si>
    <t>-11h48m35s</t>
  </si>
  <si>
    <t>faint, pretty small, pretty much extended, gradually brighter middle and nucleus</t>
  </si>
  <si>
    <t>F, pS, pmE, gbMN</t>
  </si>
  <si>
    <t>NGC5743</t>
  </si>
  <si>
    <t>14h45m10.9s</t>
  </si>
  <si>
    <t>-20h54m47s</t>
  </si>
  <si>
    <t>faint, small, much extended, suddenly much brighter middle and nucleus</t>
  </si>
  <si>
    <t>F, S, mE, smbMN</t>
  </si>
  <si>
    <t>NGC5744</t>
  </si>
  <si>
    <t>14h46m38.4s</t>
  </si>
  <si>
    <t>-18h30m48s</t>
  </si>
  <si>
    <t>extremely faint, very small, nebulous?</t>
  </si>
  <si>
    <t>eF, vS, neb?</t>
  </si>
  <si>
    <t>NGC5745</t>
  </si>
  <si>
    <t>14h45m1.8s</t>
  </si>
  <si>
    <t>-13h56m48s</t>
  </si>
  <si>
    <t>very faint, small, extended, pretty suddenly a little brighter middle</t>
  </si>
  <si>
    <t>vF, S, E, pslbM</t>
  </si>
  <si>
    <t>NGC5746</t>
  </si>
  <si>
    <t>刃珠星系</t>
  </si>
  <si>
    <t>14h44m55.7s</t>
  </si>
  <si>
    <t>+1h57m22s</t>
  </si>
  <si>
    <t>bright, large, very much extended 170°, brighter middle and bright nucleus</t>
  </si>
  <si>
    <t>B, L, vmE 170°, bmBN</t>
  </si>
  <si>
    <t>NGC5747</t>
  </si>
  <si>
    <t>14h44m20.7s</t>
  </si>
  <si>
    <t>+12h7m55s</t>
  </si>
  <si>
    <t>NGC5748</t>
  </si>
  <si>
    <t>14h45m5s</t>
  </si>
  <si>
    <t>+21h55m0s</t>
  </si>
  <si>
    <t>NGC5749</t>
  </si>
  <si>
    <t>14h48m48.8s</t>
  </si>
  <si>
    <t>-54h29m37s</t>
  </si>
  <si>
    <t>cluster, pretty large, pretty rich, a little compressed, stars from 10th to 11th magnitude</t>
  </si>
  <si>
    <t>Cl, pL, pRi, lC, st 10…11</t>
  </si>
  <si>
    <t>NGC5750</t>
  </si>
  <si>
    <t>14h46m10.9s</t>
  </si>
  <si>
    <t>-0h13m24s</t>
  </si>
  <si>
    <t>pretty faint, pretty small, very little extended, mottled but not resolved</t>
  </si>
  <si>
    <t>pF, pS, vlE, r</t>
  </si>
  <si>
    <t>NGC5751</t>
  </si>
  <si>
    <t>14h43m49.1s</t>
  </si>
  <si>
    <t>+53h24m2s</t>
  </si>
  <si>
    <t>faint, small, very little extended, making a triangle with 2 stars of 10th or 11th magnitude</t>
  </si>
  <si>
    <t>F, S, vlE, Δ 2 st 10·11</t>
  </si>
  <si>
    <t>NGC5752</t>
  </si>
  <si>
    <t>14h45m14.2s</t>
  </si>
  <si>
    <t>+38h43m45s</t>
  </si>
  <si>
    <t>faint, 1 arcmin west of h 1878</t>
  </si>
  <si>
    <t>F, 1' p h 1878</t>
  </si>
  <si>
    <t>NGC5753</t>
  </si>
  <si>
    <t>14h45m18.8s</t>
  </si>
  <si>
    <t>+38h48m23s</t>
  </si>
  <si>
    <t>faint, brighter middle, northwest of h 1878</t>
  </si>
  <si>
    <t>F, bM, np h 1878</t>
  </si>
  <si>
    <t>NGC5754</t>
  </si>
  <si>
    <t>14h45m19.6s</t>
  </si>
  <si>
    <t>+38h43m58s</t>
  </si>
  <si>
    <t>NGC5755</t>
  </si>
  <si>
    <t>14h45m24.5s</t>
  </si>
  <si>
    <t>+38h46m49s</t>
  </si>
  <si>
    <t>faint, 2' northeast of h 1878</t>
  </si>
  <si>
    <t>F, 2' nf h 1878</t>
  </si>
  <si>
    <t>NGC5756</t>
  </si>
  <si>
    <t>14h47m33.7s</t>
  </si>
  <si>
    <t>-14h51m12s</t>
  </si>
  <si>
    <t>pretty bright, pretty large, pretty much extended, gradually pretty much brighter middle</t>
  </si>
  <si>
    <t>pB, pL, pmE, gpmbM</t>
  </si>
  <si>
    <t>NGC5757</t>
  </si>
  <si>
    <t>14h47m46.3s</t>
  </si>
  <si>
    <t>-19h4m40s</t>
  </si>
  <si>
    <t>NGC5758</t>
  </si>
  <si>
    <t>14h47m2.1s</t>
  </si>
  <si>
    <t>+13h40m4s</t>
  </si>
  <si>
    <t>extremely faint, pretty small, round, 9th magnitude star 22 seconds of time to east</t>
  </si>
  <si>
    <t>eF, pS, R, * 9 f 22s</t>
  </si>
  <si>
    <t>NGC5759</t>
  </si>
  <si>
    <t>14h47m14.9s</t>
  </si>
  <si>
    <t>+13h27m22s</t>
  </si>
  <si>
    <t>NGC5760</t>
  </si>
  <si>
    <t>14h47m42.2s</t>
  </si>
  <si>
    <t>+18h30m6s</t>
  </si>
  <si>
    <t>very faint, very small, considerably extended 90°, very gradually a little brighter middle</t>
  </si>
  <si>
    <t>vF, vS, cE 90°, vglbM</t>
  </si>
  <si>
    <t>NGC5761</t>
  </si>
  <si>
    <t>14h49m8.2s</t>
  </si>
  <si>
    <t>-20h22m32s</t>
  </si>
  <si>
    <t>very faint, small, round, gradually a little brighter middle and nucleus</t>
  </si>
  <si>
    <t>vF, S, R, glbMN</t>
  </si>
  <si>
    <t>NGC5762</t>
  </si>
  <si>
    <t>14h48m42.6s</t>
  </si>
  <si>
    <t>+12h27m26s</t>
  </si>
  <si>
    <t>NGC5763</t>
  </si>
  <si>
    <t>14h48m58.7s</t>
  </si>
  <si>
    <t>+12h29m26s</t>
  </si>
  <si>
    <t>most extremely faint, pretty small, very difficult, eastern of 2</t>
  </si>
  <si>
    <t>eeF, pS, v diffic, f of 2</t>
  </si>
  <si>
    <t>NGC5764</t>
  </si>
  <si>
    <t>14h53m31.8s</t>
  </si>
  <si>
    <t>-52h40m16s</t>
  </si>
  <si>
    <t>cluster, very faint, very small, very compressed</t>
  </si>
  <si>
    <t>Cl, vF, vS, vC</t>
  </si>
  <si>
    <t>NGC5765</t>
  </si>
  <si>
    <t>14h50m51.6s</t>
  </si>
  <si>
    <t>+5h6m53s</t>
  </si>
  <si>
    <t>a double nebula, both extremely faint</t>
  </si>
  <si>
    <t>D neb, both eF</t>
  </si>
  <si>
    <t>NGC5766</t>
  </si>
  <si>
    <t>14h53m9.5s</t>
  </si>
  <si>
    <t>-21h23m36s</t>
  </si>
  <si>
    <t>NGC5767</t>
  </si>
  <si>
    <t>14h49m34.3s</t>
  </si>
  <si>
    <t>+47h22m34s</t>
  </si>
  <si>
    <t>extremely faint, pretty small, round, star near</t>
  </si>
  <si>
    <t>eF, pS, R, * nr</t>
  </si>
  <si>
    <t>NGC5768</t>
  </si>
  <si>
    <t>14h52m7.9s</t>
  </si>
  <si>
    <t>-2h31m49s</t>
  </si>
  <si>
    <t>faint, round, brighter middle and faint nucleus, small star to south</t>
  </si>
  <si>
    <t>F, R, bMFN, S * s</t>
  </si>
  <si>
    <t>NGC5769</t>
  </si>
  <si>
    <t>14h52m41.5s</t>
  </si>
  <si>
    <t>+7h55m57s</t>
  </si>
  <si>
    <t>NGC5770</t>
  </si>
  <si>
    <t>14h53m14.9s</t>
  </si>
  <si>
    <t>+3h57m39s</t>
  </si>
  <si>
    <t>considerably faint, small, very little extended, brighter middle, binuclear</t>
  </si>
  <si>
    <t>cF, S, vlE, bM, biN</t>
  </si>
  <si>
    <t>NGC5771</t>
  </si>
  <si>
    <t>14h52m14.2s</t>
  </si>
  <si>
    <t>+29h50m45s</t>
  </si>
  <si>
    <t>NGC5772</t>
  </si>
  <si>
    <t>14h51m38.9s</t>
  </si>
  <si>
    <t>+40h35m58s</t>
  </si>
  <si>
    <t>pretty bright, pretty large, a little extended, pretty suddenly a little brighter middle, 8th magnitude star to northwest</t>
  </si>
  <si>
    <t>pB, pL, lE, pslbM, * 8 np</t>
  </si>
  <si>
    <t>NGC5773</t>
  </si>
  <si>
    <t>14h52m30.3s</t>
  </si>
  <si>
    <t>+29h48m29s</t>
  </si>
  <si>
    <t>NGC5774</t>
  </si>
  <si>
    <t>14h53m42.4s</t>
  </si>
  <si>
    <t>+3h34m58s</t>
  </si>
  <si>
    <t>pretty faint, pretty large, round, northwestern of 2</t>
  </si>
  <si>
    <t>pF, pL, R, np of 2</t>
  </si>
  <si>
    <t>NGC5775</t>
  </si>
  <si>
    <t>14h53m57.4s</t>
  </si>
  <si>
    <t>+3h32m42s</t>
  </si>
  <si>
    <t>faint, pretty small, very much extended 148°, gradually a very little brighter middle</t>
  </si>
  <si>
    <t>F, pS, vmE 148°, gvlbM</t>
  </si>
  <si>
    <t>NGC5776</t>
  </si>
  <si>
    <t>14h54m32.7s</t>
  </si>
  <si>
    <t>+2h58m1s</t>
  </si>
  <si>
    <t>very faint, pretty large, very little brighter middle, 8th or 9th magnitude star to southwest</t>
  </si>
  <si>
    <t>vF, pL, vlbM, * 8·9 sp</t>
  </si>
  <si>
    <t>NGC5777</t>
  </si>
  <si>
    <t>14h51m17.8s</t>
  </si>
  <si>
    <t>+58h58m40s</t>
  </si>
  <si>
    <t>NGC5778</t>
  </si>
  <si>
    <t>14h54m31.4s</t>
  </si>
  <si>
    <t>+18h38m34s</t>
  </si>
  <si>
    <t>most extremely faint, pretty small, round, pretty bright star close to east, difficult</t>
  </si>
  <si>
    <t>eeF, pS, R, pB * close f, diffic</t>
  </si>
  <si>
    <t>NGC5779</t>
  </si>
  <si>
    <t>14h52m9.4s</t>
  </si>
  <si>
    <t>+55h54m0s</t>
  </si>
  <si>
    <t>vF, pS, lE, lbM</t>
  </si>
  <si>
    <t>NGC5780</t>
  </si>
  <si>
    <t>14h54m22.6s</t>
  </si>
  <si>
    <t>+28h56m24s</t>
  </si>
  <si>
    <t>very faint, small, round, star near to southwest</t>
  </si>
  <si>
    <t>vF, S, R, * nr sp</t>
  </si>
  <si>
    <t>NGC5781</t>
  </si>
  <si>
    <t>14h56m41.1s</t>
  </si>
  <si>
    <t>-17h14m39s</t>
  </si>
  <si>
    <t>faint, small, round, brighter middle, 16th magnitude star to southwest</t>
  </si>
  <si>
    <t>F, S, R, bM, * 16 sp</t>
  </si>
  <si>
    <t>NGC5782</t>
  </si>
  <si>
    <t>14h55m55.3s</t>
  </si>
  <si>
    <t>+11h51m42s</t>
  </si>
  <si>
    <t>extremely faint, very small, extended, star near to southeast</t>
  </si>
  <si>
    <t>eF, vS, E, * nr sf</t>
  </si>
  <si>
    <t>NGC5783</t>
  </si>
  <si>
    <t>14h53m28.3s</t>
  </si>
  <si>
    <t>+52h4m36s</t>
  </si>
  <si>
    <t>pretty bright, pretty small, irregularly round, faint star involved</t>
  </si>
  <si>
    <t>pB, pS, iR, F * inv</t>
  </si>
  <si>
    <t>NGC5784</t>
  </si>
  <si>
    <t>14h54m16.4s</t>
  </si>
  <si>
    <t>+42h33m31s</t>
  </si>
  <si>
    <t>pretty bright, small, round, suddenly much brighter middle, stellar</t>
  </si>
  <si>
    <t>pB, S, R, smbM, stellar</t>
  </si>
  <si>
    <t>NGC5785</t>
  </si>
  <si>
    <t>vF, pS, F * close f, np of 2</t>
  </si>
  <si>
    <t>NGC5786</t>
  </si>
  <si>
    <t>14h58m56.4s</t>
  </si>
  <si>
    <t>-42h0m52s</t>
  </si>
  <si>
    <t>faint, much extended, bright star to southeast</t>
  </si>
  <si>
    <t>F, mE, B * sf</t>
  </si>
  <si>
    <t>NGC5787</t>
  </si>
  <si>
    <t>14h55m15.4s</t>
  </si>
  <si>
    <t>+42h30m26s</t>
  </si>
  <si>
    <t>faint, considerably small, round, pretty suddenly a little brighter middle</t>
  </si>
  <si>
    <t>F, cS, R, pslbM</t>
  </si>
  <si>
    <t>NGC5788</t>
  </si>
  <si>
    <t>14h53m16.8s</t>
  </si>
  <si>
    <t>+52h2m41s</t>
  </si>
  <si>
    <t>most extremely faint, small, round, very difficult, southeastern of 2</t>
  </si>
  <si>
    <t>eeF, S, R, v diffic, sf of 2</t>
  </si>
  <si>
    <t>NGC5789</t>
  </si>
  <si>
    <t>14h56m35.7s</t>
  </si>
  <si>
    <t>+30h14m0s</t>
  </si>
  <si>
    <t>extremely faint, pretty small, irregular figure</t>
  </si>
  <si>
    <t>eF, pS, iF</t>
  </si>
  <si>
    <t>NGC5790</t>
  </si>
  <si>
    <t>14h57m35.9s</t>
  </si>
  <si>
    <t>+8h17m7s</t>
  </si>
  <si>
    <t>extremely faint, very small, irregular figure, a little brighter middle</t>
  </si>
  <si>
    <t>eF, vS, iF, lbM</t>
  </si>
  <si>
    <t>NGC5791</t>
  </si>
  <si>
    <t>14h58m46s</t>
  </si>
  <si>
    <t>-19h16m1s</t>
  </si>
  <si>
    <t>pretty faint, small, round, stellar</t>
  </si>
  <si>
    <t>pF, S, R, stellar</t>
  </si>
  <si>
    <t>NGC5792</t>
  </si>
  <si>
    <t>14h58m22.6s</t>
  </si>
  <si>
    <t>-1h5m25s</t>
  </si>
  <si>
    <t>pretty bright, pretty large, round, much brighter middle, 8th or 9th magnitude star 1' to northwest</t>
  </si>
  <si>
    <t>pB, pL, R, mbM, * 8·9 np 1'</t>
  </si>
  <si>
    <t>NGC5793</t>
  </si>
  <si>
    <t>14h59m24.7s</t>
  </si>
  <si>
    <t>-16h41m36s</t>
  </si>
  <si>
    <t>extremely faint, pretty small, extended, brighter middle and nucleus</t>
  </si>
  <si>
    <t>eF, pS, E, bMN</t>
  </si>
  <si>
    <t>NGC5794</t>
  </si>
  <si>
    <t>14h55m53.6s</t>
  </si>
  <si>
    <t>+49h43m33s</t>
  </si>
  <si>
    <t>pretty faint, small, very suddenly brighter middle like 13th magnitude star, 1st of 4</t>
  </si>
  <si>
    <t>pF, S, vsbM * 13, 1st of 4</t>
  </si>
  <si>
    <t>NGC5795</t>
  </si>
  <si>
    <t>14h56m19s</t>
  </si>
  <si>
    <t>+49h23m55s</t>
  </si>
  <si>
    <t>very faint, pretty small, a little extended, pretty bright star close to western end</t>
  </si>
  <si>
    <t>vF, pS, lE, pB * close to p end</t>
  </si>
  <si>
    <t>NGC5796</t>
  </si>
  <si>
    <t>14h59m24s</t>
  </si>
  <si>
    <t>-16h37m25s</t>
  </si>
  <si>
    <t>faint, pretty small star in center</t>
  </si>
  <si>
    <t>F, pS * in centre</t>
  </si>
  <si>
    <t>NGC5797</t>
  </si>
  <si>
    <t>14h56m23.9s</t>
  </si>
  <si>
    <t>+49h41m44s</t>
  </si>
  <si>
    <t>faint, small, very suddenly brighter middle like 13th magnitude star, 2nd of 4</t>
  </si>
  <si>
    <t>F, S, vsbM * 13, 2nd of 4</t>
  </si>
  <si>
    <t>NGC5798</t>
  </si>
  <si>
    <t>14h57m37.9s</t>
  </si>
  <si>
    <t>+29h58m5s</t>
  </si>
  <si>
    <t>faint, small, round, very gradually brighter middle, star to northeast</t>
  </si>
  <si>
    <t>F, S, R, vgbM, * nf</t>
  </si>
  <si>
    <t>NGC5799</t>
  </si>
  <si>
    <t>15h5m35.5s</t>
  </si>
  <si>
    <t>-72h25m58s</t>
  </si>
  <si>
    <t>NGC5800</t>
  </si>
  <si>
    <t>15h1m47.8s</t>
  </si>
  <si>
    <t>-51h55m6s</t>
  </si>
  <si>
    <t>a cluster, pretty large, pretty rich, a little compressed</t>
  </si>
  <si>
    <t>Cl, pL, pRi, lC</t>
  </si>
  <si>
    <t>NGC5801</t>
  </si>
  <si>
    <t>15h0m25.9s</t>
  </si>
  <si>
    <t>-13h54m13s</t>
  </si>
  <si>
    <t>very faint, very small, suddenly brighter middle, 1st of 3</t>
  </si>
  <si>
    <t>vF, vS, sbM, 1st of 3</t>
  </si>
  <si>
    <t>NGC5802</t>
  </si>
  <si>
    <t>15h0m29.9s</t>
  </si>
  <si>
    <t>-13h55m6s</t>
  </si>
  <si>
    <t>very faint, very small, suddenly brighter middle, 2nd and brightest (of 3, the others being NGC 5801 and 5803)</t>
  </si>
  <si>
    <t>vF, vS, sbM, 2nd and brightest</t>
  </si>
  <si>
    <t>NGC5803</t>
  </si>
  <si>
    <t>15h0m34.4s</t>
  </si>
  <si>
    <t>-13h53m38s</t>
  </si>
  <si>
    <t>very faint, very small, suddenly brighter middle, 3rd of 3</t>
  </si>
  <si>
    <t>vF, vS, sbM, 3rd of 3</t>
  </si>
  <si>
    <t>NGC5804</t>
  </si>
  <si>
    <t>14h57m6.6s</t>
  </si>
  <si>
    <t>+49h40m7s</t>
  </si>
  <si>
    <t>very faint, very small, very suddenly much brighter middle, 6th magnitude star near</t>
  </si>
  <si>
    <t>vF, vS, vsmbM, * 6 nr</t>
  </si>
  <si>
    <t>NGC5805</t>
  </si>
  <si>
    <t>14h57m11.7s</t>
  </si>
  <si>
    <t>+49h37m43s</t>
  </si>
  <si>
    <t>NGC5806</t>
  </si>
  <si>
    <t>15h0m0.2s</t>
  </si>
  <si>
    <t>+1h53m27s</t>
  </si>
  <si>
    <t>considerably bright, considerably large, extended 165°±, suddenly brighter middle and nucleus</t>
  </si>
  <si>
    <t>cB, cL, E 165° ±, sbMN</t>
  </si>
  <si>
    <t>NGC5807</t>
  </si>
  <si>
    <t>14h55m48.4s</t>
  </si>
  <si>
    <t>+63h54m14s</t>
  </si>
  <si>
    <t>NGC5808</t>
  </si>
  <si>
    <t>14h54m2.7s</t>
  </si>
  <si>
    <t>+73h7m55s</t>
  </si>
  <si>
    <t>very faint, small, irregularly round, between 2 stars</t>
  </si>
  <si>
    <t>vF, S, iR, bet 2 st</t>
  </si>
  <si>
    <t>NGC5809</t>
  </si>
  <si>
    <t>15h0m52.2s</t>
  </si>
  <si>
    <t>-14h9m55s</t>
  </si>
  <si>
    <t>very faint, small, extended, gradually a little brighter middle</t>
  </si>
  <si>
    <t>vF, S, E, glbM</t>
  </si>
  <si>
    <t>NGC5810</t>
  </si>
  <si>
    <t>15h2m42.5s</t>
  </si>
  <si>
    <t>-17h52m6s</t>
  </si>
  <si>
    <t>extremely faint, very small, a little extended 230°, between 2 very faint stars</t>
  </si>
  <si>
    <t>eF, vS, lE 230°, bet 2 vF st</t>
  </si>
  <si>
    <t>NGC5811</t>
  </si>
  <si>
    <t>15h0m27.2s</t>
  </si>
  <si>
    <t>+1h37m24s</t>
  </si>
  <si>
    <t>NGC5812</t>
  </si>
  <si>
    <t>15h0m55.7s</t>
  </si>
  <si>
    <t>-7h27m27s</t>
  </si>
  <si>
    <t>considerably bright, small, round, suddenly very much brighter middle</t>
  </si>
  <si>
    <t>cB, S, R, svmbM</t>
  </si>
  <si>
    <t>NGC5813</t>
  </si>
  <si>
    <t>15h1m11.1s</t>
  </si>
  <si>
    <t>+1h42m7s</t>
  </si>
  <si>
    <t>bright, pretty small, round, pretty suddenly much brighter middle</t>
  </si>
  <si>
    <t>B, pS, R, psmbM</t>
  </si>
  <si>
    <t>NGC5814</t>
  </si>
  <si>
    <t>15h1m21.1s</t>
  </si>
  <si>
    <t>+1h38m14s</t>
  </si>
  <si>
    <t>NGC5815</t>
  </si>
  <si>
    <t>15h0m29.1s</t>
  </si>
  <si>
    <t>-16h50m2s</t>
  </si>
  <si>
    <t>extremely faint, pretty small, extended 10°, double star involved</t>
  </si>
  <si>
    <t>eF, pS, E 10°, D * inv</t>
  </si>
  <si>
    <t>NGC5816</t>
  </si>
  <si>
    <t>15h0m4.8s</t>
  </si>
  <si>
    <t>-16h5m37s</t>
  </si>
  <si>
    <t>faint, pretty small, gradually brighter middle and nucleus, stellar</t>
  </si>
  <si>
    <t>F, pS, gbMN, stellar</t>
  </si>
  <si>
    <t>NGC5817</t>
  </si>
  <si>
    <t>14h59m40.8s</t>
  </si>
  <si>
    <t>-16h10m50s</t>
  </si>
  <si>
    <t>NGC5818</t>
  </si>
  <si>
    <t>14h58m58.3s</t>
  </si>
  <si>
    <t>+49h49m19s</t>
  </si>
  <si>
    <t>very faint, pretty small, round, extremely faint star involved, between 2 stars</t>
  </si>
  <si>
    <t>vF, pS, R, eF * inv, bet 2 st</t>
  </si>
  <si>
    <t>NGC5819</t>
  </si>
  <si>
    <t>F, pL, Δ 2 st</t>
  </si>
  <si>
    <t>NGC5820</t>
  </si>
  <si>
    <t>14h58m39.9s</t>
  </si>
  <si>
    <t>+53h53m9s</t>
  </si>
  <si>
    <t>bright, extended 90°±, suddenly brighter middle, bright double star 8 arcmin to east</t>
  </si>
  <si>
    <t>B, E 90° ±, sbM, B D * f 8'</t>
  </si>
  <si>
    <t>NGC5821</t>
  </si>
  <si>
    <t>14h58m59.8s</t>
  </si>
  <si>
    <t>+53h55m24s</t>
  </si>
  <si>
    <t>NGC5822</t>
  </si>
  <si>
    <t>15h4m2.3s</t>
  </si>
  <si>
    <t>-54h20m21s</t>
  </si>
  <si>
    <t>cluster, very large, rich, a little compressed, stars from 9th to 12th magnitude</t>
  </si>
  <si>
    <t>Cl, vL, Ri lC, st 9…12</t>
  </si>
  <si>
    <t>NGC5823</t>
  </si>
  <si>
    <t>15h5m30.5s</t>
  </si>
  <si>
    <t>-55h36m13s</t>
  </si>
  <si>
    <t>cluster, considerably large, rich, a little compressed middle, stars from 13th to 14th magnitude</t>
  </si>
  <si>
    <t>Cl, cL, Ri, lCM, st 13…14</t>
  </si>
  <si>
    <t>NGC5824</t>
  </si>
  <si>
    <t>15h3m58.5s</t>
  </si>
  <si>
    <t>-33h4m2s</t>
  </si>
  <si>
    <t>pretty bright, small, stellar, nuclear</t>
  </si>
  <si>
    <t>pB, S, stell, N</t>
  </si>
  <si>
    <t>NGC5825</t>
  </si>
  <si>
    <t>15h2m0s</t>
  </si>
  <si>
    <t>+18h42m30s</t>
  </si>
  <si>
    <t>most extremely faint, pretty small, a little extended, pretty bright star close to east</t>
  </si>
  <si>
    <t>eeF, pS, lE, pB * close f</t>
  </si>
  <si>
    <t>NGC5826</t>
  </si>
  <si>
    <t>15h6m33.7s</t>
  </si>
  <si>
    <t>+55h28m45s</t>
  </si>
  <si>
    <t>NGC5827</t>
  </si>
  <si>
    <t>15h1m53.5s</t>
  </si>
  <si>
    <t>+25h57m51s</t>
  </si>
  <si>
    <t>NGC5828</t>
  </si>
  <si>
    <t>15h0m45.9s</t>
  </si>
  <si>
    <t>+49h59m36s</t>
  </si>
  <si>
    <t>extremely faint, pretty small, round, between 2 distant stars</t>
  </si>
  <si>
    <t>eF, pS, R, bet 2 dist st</t>
  </si>
  <si>
    <t>NGC5829</t>
  </si>
  <si>
    <t>15h2m42s</t>
  </si>
  <si>
    <t>+23h20m0s</t>
  </si>
  <si>
    <t>very faint, very large, irregularly round, brighter middle</t>
  </si>
  <si>
    <t>vF, vL, irrR, bM</t>
  </si>
  <si>
    <t>NGC5830</t>
  </si>
  <si>
    <t>15h1m51s</t>
  </si>
  <si>
    <t>+47h52m33s</t>
  </si>
  <si>
    <t>very faint, small, round, bright star near to east</t>
  </si>
  <si>
    <t>vF, S, R, B * nr f</t>
  </si>
  <si>
    <t>NGC5831</t>
  </si>
  <si>
    <t>15h4m6.8s</t>
  </si>
  <si>
    <t>+1h13m12s</t>
  </si>
  <si>
    <t>pretty bright, small, much brighter middle</t>
  </si>
  <si>
    <t>pB, S, mbM</t>
  </si>
  <si>
    <t>NGC5832</t>
  </si>
  <si>
    <t>14h57m45.7s</t>
  </si>
  <si>
    <t>+71h40m53s</t>
  </si>
  <si>
    <t>pretty bright, considerably large, irregularly round, brighter on west side, mottled but not resolved</t>
  </si>
  <si>
    <t>pB, cL, iR, bp, r</t>
  </si>
  <si>
    <t>NGC5833</t>
  </si>
  <si>
    <t>15h11m54.1s</t>
  </si>
  <si>
    <t>-72h51m32s</t>
  </si>
  <si>
    <t>faint, considerably small, a little extended, gradually a little brighter middle, among stars</t>
  </si>
  <si>
    <t>F, cS, lE, glbM, am st</t>
  </si>
  <si>
    <t>NGC5834</t>
  </si>
  <si>
    <t>eeF? (Marth: B, stellar)</t>
  </si>
  <si>
    <t>NGC5835</t>
  </si>
  <si>
    <t>15h2m25.3s</t>
  </si>
  <si>
    <t>+48h52m41s</t>
  </si>
  <si>
    <t>NGC5836</t>
  </si>
  <si>
    <t>14h59m31.1s</t>
  </si>
  <si>
    <t>+73h53m35s</t>
  </si>
  <si>
    <t>extremely faint, very small, a little extended, 2 stars involved</t>
  </si>
  <si>
    <t>eF, vS, lE, 2 st inv</t>
  </si>
  <si>
    <t>NGC5837</t>
  </si>
  <si>
    <t>15h4m40.6s</t>
  </si>
  <si>
    <t>+12h38m2s</t>
  </si>
  <si>
    <t>very faint, small, round, double star to northwest</t>
  </si>
  <si>
    <t>vF, S, R, D * np</t>
  </si>
  <si>
    <t>NGC5838</t>
  </si>
  <si>
    <t>15h5m26s</t>
  </si>
  <si>
    <t>+2h5m56s</t>
  </si>
  <si>
    <t>pretty bright, pretty small</t>
  </si>
  <si>
    <t>pB, pS</t>
  </si>
  <si>
    <t>NGC5839</t>
  </si>
  <si>
    <t>15h5m27.4s</t>
  </si>
  <si>
    <t>+1h38m4s</t>
  </si>
  <si>
    <t>NGC5840</t>
  </si>
  <si>
    <t>15h4m20.5s</t>
  </si>
  <si>
    <t>+29h30m22s</t>
  </si>
  <si>
    <t>NGC5841</t>
  </si>
  <si>
    <t>15h6m34.8s</t>
  </si>
  <si>
    <t>+2h0m18s</t>
  </si>
  <si>
    <t>NGC5842</t>
  </si>
  <si>
    <t>15h4m52.1s</t>
  </si>
  <si>
    <t>+21h4m13s</t>
  </si>
  <si>
    <t>NGC5843</t>
  </si>
  <si>
    <t>15h7m27.8s</t>
  </si>
  <si>
    <t>-36h19m42s</t>
  </si>
  <si>
    <t>very faint, small, a little extended, a very little brighter middle, mottled but not resolved</t>
  </si>
  <si>
    <t>vF, S, lE, vlbM, r</t>
  </si>
  <si>
    <t>NGC5844</t>
  </si>
  <si>
    <t>南三角座</t>
  </si>
  <si>
    <t>TRA</t>
  </si>
  <si>
    <t>15h10m40.7s</t>
  </si>
  <si>
    <t>-64h40m22s</t>
  </si>
  <si>
    <t>pretty bright, pretty large, round, very gradually a very little brighter middle</t>
  </si>
  <si>
    <t>pB, pL, R, vgvlbM</t>
  </si>
  <si>
    <t>NGC5845</t>
  </si>
  <si>
    <t>15h6m0.6s</t>
  </si>
  <si>
    <t>+1h38m1s</t>
  </si>
  <si>
    <t>NGC5846</t>
  </si>
  <si>
    <t>15h6m29s</t>
  </si>
  <si>
    <t>+1h36m19s</t>
  </si>
  <si>
    <t>very bright, pretty large, round, pretty suddenly brighter middle and nucleus, faint star involved to south, partially resolved (some stars seen)</t>
  </si>
  <si>
    <t>vB, pL, R, psbMN, F * inv s, rr</t>
  </si>
  <si>
    <t>NGC5847</t>
  </si>
  <si>
    <t>15h6m22.2s</t>
  </si>
  <si>
    <t>+6h22m47s</t>
  </si>
  <si>
    <t>NGC5848</t>
  </si>
  <si>
    <t>eF, S, close D * sf 7'</t>
  </si>
  <si>
    <t>NGC5849</t>
  </si>
  <si>
    <t>15h6m50.6s</t>
  </si>
  <si>
    <t>-14h34m16s</t>
  </si>
  <si>
    <t>13th magnitude star in a very faint nebula, 3 stars 1 second of time to west, 8th magnitude star 10 seconds of time to east and 15 arcmin to south</t>
  </si>
  <si>
    <t>* 13 in vF neb, 3 st p 1s, * 8 f 10s, 15' s</t>
  </si>
  <si>
    <t>NGC5850</t>
  </si>
  <si>
    <t>15h7m7.5s</t>
  </si>
  <si>
    <t>+1h32m39s</t>
  </si>
  <si>
    <t>considerably faint, small, a little extended, pretty suddenly brighter middle</t>
  </si>
  <si>
    <t>cF, S, lE, psbM</t>
  </si>
  <si>
    <t>NGC5851</t>
  </si>
  <si>
    <t>15h6m53.3s</t>
  </si>
  <si>
    <t>+12h51m29s</t>
  </si>
  <si>
    <t>extremely faint, very small, northwestern of 2</t>
  </si>
  <si>
    <t>NGC5852</t>
  </si>
  <si>
    <t>15h6m56.3s</t>
  </si>
  <si>
    <t>+12h50m51s</t>
  </si>
  <si>
    <t>extremely faint, very small, southeastern of 2</t>
  </si>
  <si>
    <t>eF, vS, sf of 2</t>
  </si>
  <si>
    <t>NGC5853</t>
  </si>
  <si>
    <t>15h5m53.2s</t>
  </si>
  <si>
    <t>+39h31m22s</t>
  </si>
  <si>
    <t>pretty faint, pretty small, round, much brighter middle, mottled but not resolved?</t>
  </si>
  <si>
    <t>pF, pS, R, mbM, r?</t>
  </si>
  <si>
    <t>NGC5854</t>
  </si>
  <si>
    <t>15h7m47.6s</t>
  </si>
  <si>
    <t>+2h34m7s</t>
  </si>
  <si>
    <t>pretty bright, small, very little extended, a little brighter middle, among stars</t>
  </si>
  <si>
    <t>pB, S, vlE, lbM, am st</t>
  </si>
  <si>
    <t>NGC5855</t>
  </si>
  <si>
    <t>15h7m48.9s</t>
  </si>
  <si>
    <t>+3h59m5s</t>
  </si>
  <si>
    <t>extremely faint, small, round, 2 stars to northeast</t>
  </si>
  <si>
    <t>eF, S, R, 2 st nf</t>
  </si>
  <si>
    <t>NGC5856</t>
  </si>
  <si>
    <t>15h7m20.3s</t>
  </si>
  <si>
    <t>+18h26m32s</t>
  </si>
  <si>
    <t>nebulous 6th magnitude star (??)</t>
  </si>
  <si>
    <t>Neb * 6 m (??)</t>
  </si>
  <si>
    <t>NGC5857</t>
  </si>
  <si>
    <t>15h7m27.3s</t>
  </si>
  <si>
    <t>+19h35m54s</t>
  </si>
  <si>
    <t>considerably faint, considerably small, extended, western of double nebula</t>
  </si>
  <si>
    <t>cF, cS, E, p of D neb</t>
  </si>
  <si>
    <t>NGC5858</t>
  </si>
  <si>
    <t>15h8m49.1s</t>
  </si>
  <si>
    <t>faint, small, stellar nucleus, II 192 to southeast</t>
  </si>
  <si>
    <t>F, S, stell N, II 192 sf</t>
  </si>
  <si>
    <t>NGC5859</t>
  </si>
  <si>
    <t>15h7m34.9s</t>
  </si>
  <si>
    <t>+19h34m55s</t>
  </si>
  <si>
    <t>pretty faint, pretty small, extended, eastern of double nebula</t>
  </si>
  <si>
    <t>pF, pS, E, f of D neb</t>
  </si>
  <si>
    <t>NGC5860</t>
  </si>
  <si>
    <t>S0+S0</t>
  </si>
  <si>
    <t>+42h38m31s</t>
  </si>
  <si>
    <t>NGC5861</t>
  </si>
  <si>
    <t>15h9m16.2s</t>
  </si>
  <si>
    <t>-11h19m20s</t>
  </si>
  <si>
    <t>faint, large, extended, mottled but not resolved</t>
  </si>
  <si>
    <t>F, L, E, r</t>
  </si>
  <si>
    <t>NGC5862</t>
  </si>
  <si>
    <t>15h6m3.2s</t>
  </si>
  <si>
    <t>+55h34m28s</t>
  </si>
  <si>
    <t>NGC5863</t>
  </si>
  <si>
    <t>15h10m48.3s</t>
  </si>
  <si>
    <t>-18h25m52s</t>
  </si>
  <si>
    <t>12th magnitude star in an extremely faint nebula, small, round</t>
  </si>
  <si>
    <t>* 12 in eF neb, S, R</t>
  </si>
  <si>
    <t>NGC5864</t>
  </si>
  <si>
    <t>15h9m33.5s</t>
  </si>
  <si>
    <t>+3h3m12s</t>
  </si>
  <si>
    <t>pretty faint, considerably small, irregularly a little extended, gradually brighter middle, 14th magnitude star to east</t>
  </si>
  <si>
    <t>pF, cS, ilE, gbM, * 14 f</t>
  </si>
  <si>
    <t>NGC5865</t>
  </si>
  <si>
    <t>15h9m49.1s</t>
  </si>
  <si>
    <t>+0h31m49s</t>
  </si>
  <si>
    <t>pretty bright, small, irregularly extended</t>
  </si>
  <si>
    <t>pB, S, iE</t>
  </si>
  <si>
    <t>NGC5866</t>
  </si>
  <si>
    <t>15h6m29.4s</t>
  </si>
  <si>
    <t>+55h45m49s</t>
  </si>
  <si>
    <t>very bright, considerably large, pretty much extended 146°, gradually brighter middle</t>
  </si>
  <si>
    <t>vB, cL, pmE 146°, gbM</t>
  </si>
  <si>
    <t>NGC5867</t>
  </si>
  <si>
    <t>15h6m24.3s</t>
  </si>
  <si>
    <t>+55h43m54s</t>
  </si>
  <si>
    <t>NGC5868</t>
  </si>
  <si>
    <t>eF, II 545 s 3'</t>
  </si>
  <si>
    <t>NGC5869</t>
  </si>
  <si>
    <t>15h9m49.4s</t>
  </si>
  <si>
    <t>+0h28m13s</t>
  </si>
  <si>
    <t>NGC5870</t>
  </si>
  <si>
    <t>extremely faint, pretty small, a little extended, very difficult, star to east</t>
  </si>
  <si>
    <t>eF, pS, lE, v diffic, * f</t>
  </si>
  <si>
    <t>NGC5871</t>
  </si>
  <si>
    <t>15h10m4.8s</t>
  </si>
  <si>
    <t>+0h29m51s</t>
  </si>
  <si>
    <t>extremely faint, forms trapezium with 3 nebulae to the west</t>
  </si>
  <si>
    <t>eF, forms trapezium with 3 neb p</t>
  </si>
  <si>
    <t>NGC5872</t>
  </si>
  <si>
    <t>15h10m55.6s</t>
  </si>
  <si>
    <t>-11h28m46s</t>
  </si>
  <si>
    <t>NGC5873</t>
  </si>
  <si>
    <t>15h12m50.7s</t>
  </si>
  <si>
    <t>-38h7m31s</t>
  </si>
  <si>
    <t>planetary nebula, stellar = 9.5 magnitude</t>
  </si>
  <si>
    <t>planetary, stellar = 9.5 mag</t>
  </si>
  <si>
    <t>NGC5874</t>
  </si>
  <si>
    <t>15h7m51.9s</t>
  </si>
  <si>
    <t>+54h45m10s</t>
  </si>
  <si>
    <t>very faint, pretty large, round, in triangle of 3 bright stars</t>
  </si>
  <si>
    <t>vF, pL, R, in Δ of 3 B st</t>
  </si>
  <si>
    <t>NGC5875</t>
  </si>
  <si>
    <t>15h9m13.1s</t>
  </si>
  <si>
    <t>+52h31m41s</t>
  </si>
  <si>
    <t>pretty bright, pretty large, a little extended</t>
  </si>
  <si>
    <t>pB, pL, lE</t>
  </si>
  <si>
    <t>NGC5876</t>
  </si>
  <si>
    <t>15h9m31.4s</t>
  </si>
  <si>
    <t>+54h30m23s</t>
  </si>
  <si>
    <t>NGC5877</t>
  </si>
  <si>
    <t>15h12m53.1s</t>
  </si>
  <si>
    <t>-4h55m27s</t>
  </si>
  <si>
    <t>very faint, small, 12th magnitude star attached on north</t>
  </si>
  <si>
    <t>vF, S, * 12 att n</t>
  </si>
  <si>
    <t>NGC5878</t>
  </si>
  <si>
    <t>15h13m45.7s</t>
  </si>
  <si>
    <t>-14h16m13s</t>
  </si>
  <si>
    <t>pretty bright, pretty large, pretty much extended 0°, pretty suddenly much brighter middle, star involved</t>
  </si>
  <si>
    <t>pB, pL, pmE 0°, psmbM, * inv</t>
  </si>
  <si>
    <t>NGC5879</t>
  </si>
  <si>
    <t>15h9m46.8s</t>
  </si>
  <si>
    <t>+57h0m2s</t>
  </si>
  <si>
    <t>considerably bright, small, extended, much brighter middle and round nucleus, mottled but not resolved</t>
  </si>
  <si>
    <t>cB, S, E, mbMRN, r</t>
  </si>
  <si>
    <t>NGC5880</t>
  </si>
  <si>
    <t>15h15m1s</t>
  </si>
  <si>
    <t>-14h34m42s</t>
  </si>
  <si>
    <t>extremely faint, very small, round, brighter middle, in field with (NGC) 5883</t>
  </si>
  <si>
    <t>eF, vS, R, bM, in field with 5883</t>
  </si>
  <si>
    <t>NGC5881</t>
  </si>
  <si>
    <t>15h6m20.6s</t>
  </si>
  <si>
    <t>+62h58m50s</t>
  </si>
  <si>
    <t>pretty faint, considerably small, round, very gradually brighter middle</t>
  </si>
  <si>
    <t>pF, cS, R, vgbM</t>
  </si>
  <si>
    <t>NGC5882</t>
  </si>
  <si>
    <t>天王星之魂星云</t>
  </si>
  <si>
    <t>15h16m50s</t>
  </si>
  <si>
    <t>-45h38m56s</t>
  </si>
  <si>
    <t>planetary nebula, very small, round, quite sharp</t>
  </si>
  <si>
    <t>planetary, vS, R, quite sharp</t>
  </si>
  <si>
    <t>NGC5883</t>
  </si>
  <si>
    <t>15h15m10.1s</t>
  </si>
  <si>
    <t>-14h36m59s</t>
  </si>
  <si>
    <t>NGC5884</t>
  </si>
  <si>
    <t>15h13m9.2s</t>
  </si>
  <si>
    <t>+31h51m44s</t>
  </si>
  <si>
    <t>faint, binuclear, (at) position angle 170°, distance 7</t>
  </si>
  <si>
    <t>F, biN, Pos 170°, Dist 7" ±</t>
  </si>
  <si>
    <t>NGC5885</t>
  </si>
  <si>
    <t>15h15m4.2s</t>
  </si>
  <si>
    <t>-10h5m9s</t>
  </si>
  <si>
    <t>faint, considerably large, round, very gradually brighter middle</t>
  </si>
  <si>
    <t>F, cL, R, vgbM</t>
  </si>
  <si>
    <t>NGC5886</t>
  </si>
  <si>
    <t>15h12m45.4s</t>
  </si>
  <si>
    <t>+41h14m2s</t>
  </si>
  <si>
    <t>NGC5887</t>
  </si>
  <si>
    <t>巨蛇座</t>
  </si>
  <si>
    <t>SER</t>
  </si>
  <si>
    <t>15h14m43.9s</t>
  </si>
  <si>
    <t>+1h9m17s</t>
  </si>
  <si>
    <t>NGC5888</t>
  </si>
  <si>
    <t>15h13m7.4s</t>
  </si>
  <si>
    <t>+41h15m52s</t>
  </si>
  <si>
    <t>NGC5889</t>
  </si>
  <si>
    <t>15h13m15.7s</t>
  </si>
  <si>
    <t>+41h19m40s</t>
  </si>
  <si>
    <t>most extremely faint, gradually a little brighter middle</t>
  </si>
  <si>
    <t>eeF, glbM</t>
  </si>
  <si>
    <t>NGC5890</t>
  </si>
  <si>
    <t>15h17m51.1s</t>
  </si>
  <si>
    <t>-17h35m19s</t>
  </si>
  <si>
    <t>very faint, very small, extended 235°</t>
  </si>
  <si>
    <t>vF, vS, E 235°</t>
  </si>
  <si>
    <t>NGC5891</t>
  </si>
  <si>
    <t>15h16m13.2s</t>
  </si>
  <si>
    <t>-11h29m38s</t>
  </si>
  <si>
    <t>very faint, pretty small, a little extended, gradually brighter middle, 11th magnitude star to east</t>
  </si>
  <si>
    <t>vF, pS, lE, gbM, * 11 f</t>
  </si>
  <si>
    <t>NGC5892</t>
  </si>
  <si>
    <t>法思703</t>
  </si>
  <si>
    <t>15h13m48.1s</t>
  </si>
  <si>
    <t>-15h27m51s</t>
  </si>
  <si>
    <t>extremely faint, large, gradually brighter middle</t>
  </si>
  <si>
    <t>eF, L, gbM</t>
  </si>
  <si>
    <t>NGC5893</t>
  </si>
  <si>
    <t>15h13m34.3s</t>
  </si>
  <si>
    <t>+41h57m33s</t>
  </si>
  <si>
    <t>faint, small, round, mottled but not resolved, 3 stars near</t>
  </si>
  <si>
    <t>F, S, R, r, 3 st nr</t>
  </si>
  <si>
    <t>NGC5894</t>
  </si>
  <si>
    <t>15h11m40.9s</t>
  </si>
  <si>
    <t>+59h48m31s</t>
  </si>
  <si>
    <t>pretty faint, pretty small, extended 0°±</t>
  </si>
  <si>
    <t>pF, pS, E 0° ±</t>
  </si>
  <si>
    <t>NGC5895</t>
  </si>
  <si>
    <t>15h13m50.1s</t>
  </si>
  <si>
    <t>+42h0m28s</t>
  </si>
  <si>
    <t>very faint, small, extended north-south, apparently connected (to (NGC) 5896)</t>
  </si>
  <si>
    <t>vF, S, E ns, apparently connected</t>
  </si>
  <si>
    <t>NGC5896</t>
  </si>
  <si>
    <t>15h13m50.6s</t>
  </si>
  <si>
    <t>+42h1m30s</t>
  </si>
  <si>
    <t>very faint, very small, round, apparently connected (to (NGC) 5895)</t>
  </si>
  <si>
    <t>vF, vS, R, apparently connected</t>
  </si>
  <si>
    <t>NGC5897</t>
  </si>
  <si>
    <t>鬼魂球状星团</t>
  </si>
  <si>
    <t>15h17m24.5s</t>
  </si>
  <si>
    <t>-21h0m35s</t>
  </si>
  <si>
    <t>globular cluster, pretty faint, large, very irregularly round, very gradually bighter middle, well resolved, clearly consisting of stars</t>
  </si>
  <si>
    <t>globular, pF, L, viR, vgbM, rrr</t>
  </si>
  <si>
    <t>NGC5898</t>
  </si>
  <si>
    <t>15h18m13.6s</t>
  </si>
  <si>
    <t>-24h5m51s</t>
  </si>
  <si>
    <t>faintg, small, round, gradually brighter middle</t>
  </si>
  <si>
    <t>NGC5899</t>
  </si>
  <si>
    <t>15h15m3.3s</t>
  </si>
  <si>
    <t>+42h2m59s</t>
  </si>
  <si>
    <t>considerably bright, pretty large, pretty much extended, suddenly much brighter middle and nucleus</t>
  </si>
  <si>
    <t>cB, pL, pmE, smbMN</t>
  </si>
  <si>
    <t>NGC5900</t>
  </si>
  <si>
    <t>15h15m5.2s</t>
  </si>
  <si>
    <t>+42h12m34s</t>
  </si>
  <si>
    <t>vF, S, vlE, gbm</t>
  </si>
  <si>
    <t>NGC5901</t>
  </si>
  <si>
    <t>15h15m2.3s</t>
  </si>
  <si>
    <t>+42h13m44s</t>
  </si>
  <si>
    <t>close north of h 1915, extremely faint, small</t>
  </si>
  <si>
    <t>Close n of h 1915, eF, S</t>
  </si>
  <si>
    <t>NGC5902</t>
  </si>
  <si>
    <t>15h14m22.3s</t>
  </si>
  <si>
    <t>+50h19m49s</t>
  </si>
  <si>
    <t>NGC5903</t>
  </si>
  <si>
    <t>15h18m36.5s</t>
  </si>
  <si>
    <t>-24h4m6s</t>
  </si>
  <si>
    <t>considerably faint, small, round, gradually pretty much brighter middle</t>
  </si>
  <si>
    <t>cF, S, R, gpmbM</t>
  </si>
  <si>
    <t>NGC5904</t>
  </si>
  <si>
    <t>玫瑰星团</t>
  </si>
  <si>
    <t>15h18m33.8s</t>
  </si>
  <si>
    <t>+2h5m0s</t>
  </si>
  <si>
    <t>a very remarkable object, a globular cluster, very bright, large, extremely compressed middle, stars from 11th to 15th magnitude</t>
  </si>
  <si>
    <t>!!, globular, vB, L, eCM, st 11…15</t>
  </si>
  <si>
    <t>NGC5905</t>
  </si>
  <si>
    <t>15h15m23.3s</t>
  </si>
  <si>
    <t>+55h31m4s</t>
  </si>
  <si>
    <t>NGC5906</t>
  </si>
  <si>
    <t>分裂星系</t>
  </si>
  <si>
    <t>15h15m52.1s</t>
  </si>
  <si>
    <t>+56h19m50s</t>
  </si>
  <si>
    <t>A ray, very much extended, parallel to h 1917 and close to the west of it</t>
  </si>
  <si>
    <t>A ray, vmE, par to h 1917 and close p it</t>
  </si>
  <si>
    <t>NGC5907</t>
  </si>
  <si>
    <t>15h15m53.8s</t>
  </si>
  <si>
    <t>+56h19m49s</t>
  </si>
  <si>
    <t>cB, vL, vmE 155°, vg, psbMN</t>
  </si>
  <si>
    <t>NGC5908</t>
  </si>
  <si>
    <t>15h16m43.1s</t>
  </si>
  <si>
    <t>+55h24m34s</t>
  </si>
  <si>
    <t>NGC5909</t>
  </si>
  <si>
    <t>15h11m27.9s</t>
  </si>
  <si>
    <t>+75h23m4s</t>
  </si>
  <si>
    <t>NGC5910</t>
  </si>
  <si>
    <t>15h19m24.7s</t>
  </si>
  <si>
    <t>+20h53m46s</t>
  </si>
  <si>
    <t>very faint, small, extremely mottled but not resolved</t>
  </si>
  <si>
    <t>vF, S, er</t>
  </si>
  <si>
    <t>NGC5911</t>
  </si>
  <si>
    <t>15h20m18.1s</t>
  </si>
  <si>
    <t>+3h31m8s</t>
  </si>
  <si>
    <t>very faint, very small, 2 small stars involved</t>
  </si>
  <si>
    <t>vF, vS, 2 S st inv</t>
  </si>
  <si>
    <t>NGC5912</t>
  </si>
  <si>
    <t>15h11m40.5s</t>
  </si>
  <si>
    <t>+75h23m5s</t>
  </si>
  <si>
    <t>NGC5913</t>
  </si>
  <si>
    <t>15h20m55.5s</t>
  </si>
  <si>
    <t>-2h34m42s</t>
  </si>
  <si>
    <t>very faint, pretty large, very little extended, mottled but not resolved</t>
  </si>
  <si>
    <t>vF, pL, vlE, r</t>
  </si>
  <si>
    <t>NGC5914</t>
  </si>
  <si>
    <t>15h18m43.7s</t>
  </si>
  <si>
    <t>+41h51m55s</t>
  </si>
  <si>
    <t>faint, very small, round, faint star involved</t>
  </si>
  <si>
    <t>F, vS, R, F st inv</t>
  </si>
  <si>
    <t>NGC5915</t>
  </si>
  <si>
    <t>15h21m33s</t>
  </si>
  <si>
    <t>-13h5m30s</t>
  </si>
  <si>
    <t>bright, small, round, gradually a little brighter middle, western of 2</t>
  </si>
  <si>
    <t>B, S, R, glbM, p of 2</t>
  </si>
  <si>
    <t>NGC5916</t>
  </si>
  <si>
    <t>15h21m37.8s</t>
  </si>
  <si>
    <t>-13h10m9s</t>
  </si>
  <si>
    <t>faint, small, a little extended, gradually a little brighter middle, eastern of 2</t>
  </si>
  <si>
    <t>F, S, lE, glbM, f of 2</t>
  </si>
  <si>
    <t>NGC5917</t>
  </si>
  <si>
    <t>15h21m32.5s</t>
  </si>
  <si>
    <t>-7h22m39s</t>
  </si>
  <si>
    <t>extremely faint, very small, pretty suddenly brighter middle</t>
  </si>
  <si>
    <t>eF, vS, psbM</t>
  </si>
  <si>
    <t>NGC5918</t>
  </si>
  <si>
    <t>15h19m25.1s</t>
  </si>
  <si>
    <t>+45h52m49s</t>
  </si>
  <si>
    <t>considerably faint, large, pretty much extended, gradually a little brighter middle, double star to south</t>
  </si>
  <si>
    <t>cF, L, pmE, glbM, ** s</t>
  </si>
  <si>
    <t>NGC5919</t>
  </si>
  <si>
    <t>15h21m36.8s</t>
  </si>
  <si>
    <t>+7h43m11s</t>
  </si>
  <si>
    <t>most extremely faint, pretty small, a little extended, northwestern of 2</t>
  </si>
  <si>
    <t>eeF, pS, lE, np of 2</t>
  </si>
  <si>
    <t>NGC5920</t>
  </si>
  <si>
    <t>15h21m51.8s</t>
  </si>
  <si>
    <t>+7h42m32s</t>
  </si>
  <si>
    <t>most extremely faint, pretty small, a little extended, southeastern of 2</t>
  </si>
  <si>
    <t>eeF, pS, lE, sf of 2</t>
  </si>
  <si>
    <t>NGC5921</t>
  </si>
  <si>
    <t>15h21m56.3s</t>
  </si>
  <si>
    <t>+5h4m13s</t>
  </si>
  <si>
    <t>considerably bright, considerably large, irregularly round, very suddenly brighter middle like 12th magnitude star, among stars</t>
  </si>
  <si>
    <t>cB, cL, iR, vsbM * 12, am st</t>
  </si>
  <si>
    <t>NGC5922</t>
  </si>
  <si>
    <t>15h23m33s</t>
  </si>
  <si>
    <t>+41h39m24s</t>
  </si>
  <si>
    <t>NGC5923</t>
  </si>
  <si>
    <t>15h21m14.1s</t>
  </si>
  <si>
    <t>+41h43m35s</t>
  </si>
  <si>
    <t>vF, pL, vlE, vgbM</t>
  </si>
  <si>
    <t>NGC5924</t>
  </si>
  <si>
    <t>北冕座</t>
  </si>
  <si>
    <t>CRB</t>
  </si>
  <si>
    <t>15h22m2s</t>
  </si>
  <si>
    <t>+31h13m57s</t>
  </si>
  <si>
    <t>nebulous star, very faint, small, faint star close to south</t>
  </si>
  <si>
    <t>Neb *, vF, S, F * close s</t>
  </si>
  <si>
    <t>NGC5925</t>
  </si>
  <si>
    <t>矩尺座</t>
  </si>
  <si>
    <t>NOR</t>
  </si>
  <si>
    <t>15h27m26s</t>
  </si>
  <si>
    <t>-54h31m42s</t>
  </si>
  <si>
    <t>cluster, very large, very rich, a little compressed, stars from 11th to 14th magnitude</t>
  </si>
  <si>
    <t>Cl, vL, vRi, lC, st 11…14</t>
  </si>
  <si>
    <t>NGC5926</t>
  </si>
  <si>
    <t>15h23m25s</t>
  </si>
  <si>
    <t>+12h42m57s</t>
  </si>
  <si>
    <t>faint, very small, 2 stars near</t>
  </si>
  <si>
    <t>F, vS, 2 st nr</t>
  </si>
  <si>
    <t>NGC5927</t>
  </si>
  <si>
    <t>15h28m0.5s</t>
  </si>
  <si>
    <t>-50h40m20s</t>
  </si>
  <si>
    <t>globular cluster, considerably bright, large, round, very gradually brighter middle, well resolved, clearly consisting of stars, stars of 15th magnitude</t>
  </si>
  <si>
    <t>globular, cB, L, R, vgbM, rrr, st 15</t>
  </si>
  <si>
    <t>NGC5928</t>
  </si>
  <si>
    <t>15h26m2.8s</t>
  </si>
  <si>
    <t>+18h4m25s</t>
  </si>
  <si>
    <t>pretty bright, considerably small, round, pretty suddenly brighter middle, 7th magnitude star to north</t>
  </si>
  <si>
    <t>pB, cS, R, psbM, * 7 n</t>
  </si>
  <si>
    <t>NGC5929</t>
  </si>
  <si>
    <t>15h26m6.1s</t>
  </si>
  <si>
    <t>very faint, very small, southwestern member of double nebula</t>
  </si>
  <si>
    <t>vF, vS, sp of D neb</t>
  </si>
  <si>
    <t>NGC5930</t>
  </si>
  <si>
    <t>15h26m8s</t>
  </si>
  <si>
    <t>+41h40m33s</t>
  </si>
  <si>
    <t>pF, pS, R, nf of D neb</t>
  </si>
  <si>
    <t>NGC5931</t>
  </si>
  <si>
    <t>15h29m29.6s</t>
  </si>
  <si>
    <t>+7h34m23s</t>
  </si>
  <si>
    <t>NGC5932</t>
  </si>
  <si>
    <t>15h26m48.2s</t>
  </si>
  <si>
    <t>+48h36m54s</t>
  </si>
  <si>
    <t>very faint, pretty small, round, northwestern of 2</t>
  </si>
  <si>
    <t>vF, pS, R, np of 2</t>
  </si>
  <si>
    <t>NGC5933</t>
  </si>
  <si>
    <t>15h27m1.5s</t>
  </si>
  <si>
    <t>+48h36m50s</t>
  </si>
  <si>
    <t>most extremely faint, very small, round, southeastern of 2</t>
  </si>
  <si>
    <t>eeF, vS, R, sf of 2</t>
  </si>
  <si>
    <t>NGC5934</t>
  </si>
  <si>
    <t>15h28m12.6s</t>
  </si>
  <si>
    <t>+42h55m47s</t>
  </si>
  <si>
    <t>faint, small, irregular, a little extended north-south, 2 small stars involved</t>
  </si>
  <si>
    <t>F, S, irr, lE ns, 2 S st inv</t>
  </si>
  <si>
    <t>NGC5935</t>
  </si>
  <si>
    <t>15h28m16.6s</t>
  </si>
  <si>
    <t>+42h56m41s</t>
  </si>
  <si>
    <t>13th or 14th magnitude star which seems slightly nebulous</t>
  </si>
  <si>
    <t>* 13·14 seems slightly nebs</t>
  </si>
  <si>
    <t>NGC5936</t>
  </si>
  <si>
    <t>15h30m0.8s</t>
  </si>
  <si>
    <t>+12h59m20s</t>
  </si>
  <si>
    <t>faint, pretty large, irregularly round, very gradually brighter middle, mottled but not resolved</t>
  </si>
  <si>
    <t>F, pL, iR, vgbM, r</t>
  </si>
  <si>
    <t>NGC5937</t>
  </si>
  <si>
    <t>15h30m46.2s</t>
  </si>
  <si>
    <t>-2h49m45s</t>
  </si>
  <si>
    <t>pretty bright, pretty small, round, very gradually brighter middle, 3 stars to east</t>
  </si>
  <si>
    <t>pB, pS, R, vgbM, 3 st f</t>
  </si>
  <si>
    <t>NGC5938</t>
  </si>
  <si>
    <t>15h36m26.1s</t>
  </si>
  <si>
    <t>-66h51m33s</t>
  </si>
  <si>
    <t>faint, small, among stars</t>
  </si>
  <si>
    <t>F, S, am st</t>
  </si>
  <si>
    <t>NGC5939</t>
  </si>
  <si>
    <t>15h24m45.8s</t>
  </si>
  <si>
    <t>+68h43m47s</t>
  </si>
  <si>
    <t>pretty bright, pretty small, a little extended</t>
  </si>
  <si>
    <t>NGC5940</t>
  </si>
  <si>
    <t>15h31m18.2s</t>
  </si>
  <si>
    <t>+7h27m27s</t>
  </si>
  <si>
    <t>extremely faint, pretty small, round, faint star to west, 1st of 4</t>
  </si>
  <si>
    <t>eF, pS, R, F * p, 1st of 4</t>
  </si>
  <si>
    <t>NGC5941</t>
  </si>
  <si>
    <t>15h31m40.3s</t>
  </si>
  <si>
    <t>most extremely faint, small, round, 2nd of 4</t>
  </si>
  <si>
    <t>eeF, S, R, 2nd of 4</t>
  </si>
  <si>
    <t>NGC5942</t>
  </si>
  <si>
    <t>15h31m36.8s</t>
  </si>
  <si>
    <t>+7h18m44s</t>
  </si>
  <si>
    <t>most extremely faint, small, round, 3rd of 4</t>
  </si>
  <si>
    <t>eeF, S, R, 3rd of 4</t>
  </si>
  <si>
    <t>NGC5943</t>
  </si>
  <si>
    <t>15h29m44s</t>
  </si>
  <si>
    <t>+42h46m43s</t>
  </si>
  <si>
    <t>very faint, pretty small, diffuse</t>
  </si>
  <si>
    <t>vF, pS, dif</t>
  </si>
  <si>
    <t>NGC5944</t>
  </si>
  <si>
    <t>15h31m47.6s</t>
  </si>
  <si>
    <t>+7h18m29s</t>
  </si>
  <si>
    <t>most extremely faint, small, round, 4th of 4</t>
  </si>
  <si>
    <t>eeF, S, R, 4th of 4</t>
  </si>
  <si>
    <t>NGC5945</t>
  </si>
  <si>
    <t>15h29m44.9s</t>
  </si>
  <si>
    <t>+42h55m9s</t>
  </si>
  <si>
    <t>pretty faint, pretty large, gradually much brighter middle, small star attached on northwest</t>
  </si>
  <si>
    <t>pF, pL, gmbM, S * att np</t>
  </si>
  <si>
    <t>NGC5946</t>
  </si>
  <si>
    <t>IX</t>
  </si>
  <si>
    <t>15h35m28.5s</t>
  </si>
  <si>
    <t>-50h39m32s</t>
  </si>
  <si>
    <t>globular cluster, considerably bright, pretty large, round, very gradually a little brighter middle, well resolved, clearly consisting of stars, stars of 16th magnitude</t>
  </si>
  <si>
    <t>globular, cB, pL, R, vglbM, rrr, st 16</t>
  </si>
  <si>
    <t>NGC5947</t>
  </si>
  <si>
    <t>15h30m36.6s</t>
  </si>
  <si>
    <t>+42h43m3s</t>
  </si>
  <si>
    <t>NGC5948</t>
  </si>
  <si>
    <t>15h32m58.6s</t>
  </si>
  <si>
    <t>+3h59m0s</t>
  </si>
  <si>
    <t>faint star in very faint nebulosity, very faint star close</t>
  </si>
  <si>
    <t>F * in vF neby, vF * close</t>
  </si>
  <si>
    <t>NGC5949</t>
  </si>
  <si>
    <t>15h28m0.7s</t>
  </si>
  <si>
    <t>+64h45m47s</t>
  </si>
  <si>
    <t>faint, small, a little extended 45°±, very gradually a little brighter middle</t>
  </si>
  <si>
    <t>F, S, lE 45° ±, vglbM</t>
  </si>
  <si>
    <t>NGC5950</t>
  </si>
  <si>
    <t>15h31m30.6s</t>
  </si>
  <si>
    <t>+40h25m50s</t>
  </si>
  <si>
    <t>very faint, small, round, small star to northwest</t>
  </si>
  <si>
    <t>vF, S, R, S * np</t>
  </si>
  <si>
    <t>NGC5951</t>
  </si>
  <si>
    <t>15h33m43.1s</t>
  </si>
  <si>
    <t>+15h0m27s</t>
  </si>
  <si>
    <t>faint, pretty small, extended 150°±</t>
  </si>
  <si>
    <t>F, pS, E 150° ±</t>
  </si>
  <si>
    <t>NGC5952</t>
  </si>
  <si>
    <t>15h34m56.3s</t>
  </si>
  <si>
    <t>+4h57m34s</t>
  </si>
  <si>
    <t>NGC5953</t>
  </si>
  <si>
    <t>15h34m32.3s</t>
  </si>
  <si>
    <t>+15h11m39s</t>
  </si>
  <si>
    <t>pretty bright, considerably small, western of double nebula</t>
  </si>
  <si>
    <t>pB, cS, p of D neb</t>
  </si>
  <si>
    <t>NGC5954</t>
  </si>
  <si>
    <t>15h34m34.9s</t>
  </si>
  <si>
    <t>+15h12m4s</t>
  </si>
  <si>
    <t>pB, cS, f of D neb</t>
  </si>
  <si>
    <t>NGC5955</t>
  </si>
  <si>
    <t>15h35m12.4s</t>
  </si>
  <si>
    <t>+5h3m48s</t>
  </si>
  <si>
    <t>NGC5956</t>
  </si>
  <si>
    <t>15h34m58.5s</t>
  </si>
  <si>
    <t>+11h45m1s</t>
  </si>
  <si>
    <t>faint, small, round, 16th magnitude star close to east</t>
  </si>
  <si>
    <t>F, S, R, * 16 close f</t>
  </si>
  <si>
    <t>NGC5957</t>
  </si>
  <si>
    <t>15h35m23.1s</t>
  </si>
  <si>
    <t>+12h2m52s</t>
  </si>
  <si>
    <t>pretty bright, pretty large, cometic, a little brighter middle</t>
  </si>
  <si>
    <t>pB, pL, com, lbM</t>
  </si>
  <si>
    <t>NGC5958</t>
  </si>
  <si>
    <t>15h34m49.1s</t>
  </si>
  <si>
    <t>+28h39m19s</t>
  </si>
  <si>
    <t>pretty faint, pretty large, irregularly round, brighter middle, mottled but not resolved</t>
  </si>
  <si>
    <t>pF, pL, iR, bM, r</t>
  </si>
  <si>
    <t>NGC5959</t>
  </si>
  <si>
    <t>15h37m22.3s</t>
  </si>
  <si>
    <t>-16h35m46s</t>
  </si>
  <si>
    <t>very faint, pretty small, very little extended, brighter middle and nucleus</t>
  </si>
  <si>
    <t>vF, pS, vlE, bMN</t>
  </si>
  <si>
    <t>NGC5960</t>
  </si>
  <si>
    <t>15h36m18.4s</t>
  </si>
  <si>
    <t>+5h39m57s</t>
  </si>
  <si>
    <t>very faint, small, nebulous star</t>
  </si>
  <si>
    <t>vF, S, neb *</t>
  </si>
  <si>
    <t>NGC5961</t>
  </si>
  <si>
    <t>15h35m16.2s</t>
  </si>
  <si>
    <t>+30h51m51s</t>
  </si>
  <si>
    <t>pretty faint, small, extended east-west</t>
  </si>
  <si>
    <t>pF, S, E pf</t>
  </si>
  <si>
    <t>NGC5962</t>
  </si>
  <si>
    <t>15h36m31.6s</t>
  </si>
  <si>
    <t>+16h36m28s</t>
  </si>
  <si>
    <t>pretty faint, pretty large, irregularly a little extended, gradually brighter middle</t>
  </si>
  <si>
    <t>pF, pL, ilE, gbM</t>
  </si>
  <si>
    <t>NGC5963</t>
  </si>
  <si>
    <t>15h33m27.8s</t>
  </si>
  <si>
    <t>+56h33m36s</t>
  </si>
  <si>
    <t>pretty faint, pretty small, irregular figure</t>
  </si>
  <si>
    <t>pF, pS, iF</t>
  </si>
  <si>
    <t>NGC5964</t>
  </si>
  <si>
    <t>15h37m36.2s</t>
  </si>
  <si>
    <t>+5h58m25s</t>
  </si>
  <si>
    <t>extremely faint, very large, round, very gradually brighter middle, mottled but not resolved</t>
  </si>
  <si>
    <t>eF, vL, R, vgbM, r</t>
  </si>
  <si>
    <t>NGC5965</t>
  </si>
  <si>
    <t>15h34m2s</t>
  </si>
  <si>
    <t>+56h41m8s</t>
  </si>
  <si>
    <t>considerably faint, considerably large, a little extended</t>
  </si>
  <si>
    <t>cF, cL, lE</t>
  </si>
  <si>
    <t>NGC5966</t>
  </si>
  <si>
    <t>15h35m52.2s</t>
  </si>
  <si>
    <t>+39h46m9s</t>
  </si>
  <si>
    <t>very faint, small, round, gradually brighter middle, two 8th magnitude stars to east</t>
  </si>
  <si>
    <t>vF, S, R, gbM, 2 st 8 f</t>
  </si>
  <si>
    <t>NGC5967</t>
  </si>
  <si>
    <t>15h48m16s</t>
  </si>
  <si>
    <t>-75h40m23s</t>
  </si>
  <si>
    <t>NGC5968</t>
  </si>
  <si>
    <t>15h39m57s</t>
  </si>
  <si>
    <t>-30h33m11s</t>
  </si>
  <si>
    <t>vF, L, R, gbM, r</t>
  </si>
  <si>
    <t>NGC5969</t>
  </si>
  <si>
    <t>15h34m50.9s</t>
  </si>
  <si>
    <t>+56h27m5s</t>
  </si>
  <si>
    <t>extremely small, round, stellar</t>
  </si>
  <si>
    <t>eS, R, stellar</t>
  </si>
  <si>
    <t>NGC5970</t>
  </si>
  <si>
    <t>15h38m30s</t>
  </si>
  <si>
    <t>pretty faint, pretty large, round, partially resolved (some stars seen)</t>
  </si>
  <si>
    <t>pF, pL, R, rr</t>
  </si>
  <si>
    <t>NGC5971</t>
  </si>
  <si>
    <t>15h35m36.9s</t>
  </si>
  <si>
    <t>+56h27m43s</t>
  </si>
  <si>
    <t>NGC5972</t>
  </si>
  <si>
    <t>15h38m54.1s</t>
  </si>
  <si>
    <t>+17h1m34s</t>
  </si>
  <si>
    <t>F, pS, irrR</t>
  </si>
  <si>
    <t>NGC5973</t>
  </si>
  <si>
    <t>15h40m15.6s</t>
  </si>
  <si>
    <t>-8h36m3s</t>
  </si>
  <si>
    <t>NGC5974</t>
  </si>
  <si>
    <t>15h39m2.3s</t>
  </si>
  <si>
    <t>+31h45m35s</t>
  </si>
  <si>
    <t>NGC5975</t>
  </si>
  <si>
    <t>15h39m58s</t>
  </si>
  <si>
    <t>+21h28m14s</t>
  </si>
  <si>
    <t>very faint, very small, irregularly round, several very faint stars involved</t>
  </si>
  <si>
    <t>vF, vS, irrR, sev vF st inv</t>
  </si>
  <si>
    <t>NGC5976</t>
  </si>
  <si>
    <t>15h36m47.8s</t>
  </si>
  <si>
    <t>+59h23m54s</t>
  </si>
  <si>
    <t>NGC5977</t>
  </si>
  <si>
    <t>15h40m33.4s</t>
  </si>
  <si>
    <t>+17h7m43s</t>
  </si>
  <si>
    <t>NGC5978</t>
  </si>
  <si>
    <t>15h42m27.1s</t>
  </si>
  <si>
    <t>-13h14m2s</t>
  </si>
  <si>
    <t>extremely faint, very small, suddenly brighter middle and nucleus, among stars</t>
  </si>
  <si>
    <t>eF, vS, sbMN, am st</t>
  </si>
  <si>
    <t>NGC5979</t>
  </si>
  <si>
    <t>15h47m41.1s</t>
  </si>
  <si>
    <t>-61h13m2s</t>
  </si>
  <si>
    <t>a remarkable object, a planetary nebula, pretty faint, very small, round, mottled but not resolved?, among 150 stars</t>
  </si>
  <si>
    <t>!, planetary, pF, vS, R, r? am 150 st</t>
  </si>
  <si>
    <t>NGC5980</t>
  </si>
  <si>
    <t>15h41m30.5s</t>
  </si>
  <si>
    <t>+15h47m15s</t>
  </si>
  <si>
    <t>faint, pretty small, extended 0°</t>
  </si>
  <si>
    <t>F, pS, E 0°</t>
  </si>
  <si>
    <t>NGC5981</t>
  </si>
  <si>
    <t>15h37m53.4s</t>
  </si>
  <si>
    <t>+59h23m29s</t>
  </si>
  <si>
    <t>NGC5982</t>
  </si>
  <si>
    <t>15h38m40s</t>
  </si>
  <si>
    <t>+59h21m22s</t>
  </si>
  <si>
    <t>considerably bright, small, round, pretty suddenly brighter middle, mottled but not resolved</t>
  </si>
  <si>
    <t>cB, S, R, psbM, r</t>
  </si>
  <si>
    <t>NGC5983</t>
  </si>
  <si>
    <t>15h42m45.5s</t>
  </si>
  <si>
    <t>+8h14m30s</t>
  </si>
  <si>
    <t>extremely faint, extremely small, round, very little brighter middle</t>
  </si>
  <si>
    <t>eF, eS, R, vlbM</t>
  </si>
  <si>
    <t>NGC5984</t>
  </si>
  <si>
    <t>15h42m53.1s</t>
  </si>
  <si>
    <t>+14h13m56s</t>
  </si>
  <si>
    <t>pretty bright, small, extended 135°±, brighter middle</t>
  </si>
  <si>
    <t>pB, S, E 135° ±, bM</t>
  </si>
  <si>
    <t>NGC5985</t>
  </si>
  <si>
    <t>15h39m37.1s</t>
  </si>
  <si>
    <t>+59h19m55s</t>
  </si>
  <si>
    <t>pretty bright, considerably large, irregularly extended, mottled but not resolved</t>
  </si>
  <si>
    <t>pB, cL, iE, r</t>
  </si>
  <si>
    <t>NGC5986</t>
  </si>
  <si>
    <t>15h46m3.5s</t>
  </si>
  <si>
    <t>-37h47m8s</t>
  </si>
  <si>
    <t>a remarkable object, a globular cluster, very bright, large, round, very gradually brighter middle, stars of 13th to 15th magnitude</t>
  </si>
  <si>
    <t>!, globular, vB, L, R, vgbM, st 13…15</t>
  </si>
  <si>
    <t>NGC5987</t>
  </si>
  <si>
    <t>15h39m56.9s</t>
  </si>
  <si>
    <t>+58h4m47s</t>
  </si>
  <si>
    <t>pretty faint, considerably small</t>
  </si>
  <si>
    <t>pF, cS</t>
  </si>
  <si>
    <t>NGC5988</t>
  </si>
  <si>
    <t>15h44m33.8s</t>
  </si>
  <si>
    <t>+10h17m35s</t>
  </si>
  <si>
    <t>most extremely faint, pretty small, round, faint star near to north</t>
  </si>
  <si>
    <t>eeF, pS, R, F * nr n</t>
  </si>
  <si>
    <t>NGC5989</t>
  </si>
  <si>
    <t>15h41m32.4s</t>
  </si>
  <si>
    <t>+59h45m18s</t>
  </si>
  <si>
    <t>NGC5990</t>
  </si>
  <si>
    <t>15h46m16.4s</t>
  </si>
  <si>
    <t>+2h24m56s</t>
  </si>
  <si>
    <t>NGC5991</t>
  </si>
  <si>
    <t>15h45m16.7s</t>
  </si>
  <si>
    <t>+24h37m52s</t>
  </si>
  <si>
    <t>NGC5992</t>
  </si>
  <si>
    <t>15h44m21.5s</t>
  </si>
  <si>
    <t>+41h5m9s</t>
  </si>
  <si>
    <t>very faint, very small, round, brighter middle, southwestern of 2</t>
  </si>
  <si>
    <t>vF, vS, R, bM, sp of 2</t>
  </si>
  <si>
    <t>NGC5993</t>
  </si>
  <si>
    <t>15h44m27.6s</t>
  </si>
  <si>
    <t>+41h7m15s</t>
  </si>
  <si>
    <t>considerably faint, very small, round, brighter middle, northeastern of 2</t>
  </si>
  <si>
    <t>cF, vS, R, bM, nf of 2</t>
  </si>
  <si>
    <t>NGC5994</t>
  </si>
  <si>
    <t>15h46m53.2s</t>
  </si>
  <si>
    <t>+17h52m23s</t>
  </si>
  <si>
    <t>small, southwest of II 97</t>
  </si>
  <si>
    <t>S, sp II 97</t>
  </si>
  <si>
    <t>NGC5995</t>
  </si>
  <si>
    <t>15h48m24.9s</t>
  </si>
  <si>
    <t>-13h45m26s</t>
  </si>
  <si>
    <t>extremely faint, small, round, very small star to west</t>
  </si>
  <si>
    <t>eF, S, R, vS * p</t>
  </si>
  <si>
    <t>NGC5996</t>
  </si>
  <si>
    <t>15h46m58.9s</t>
  </si>
  <si>
    <t>pF, cS, R, r, bet 2 D st</t>
  </si>
  <si>
    <t>NGC5997</t>
  </si>
  <si>
    <t>15h47m27.6s</t>
  </si>
  <si>
    <t>+8h19m18s</t>
  </si>
  <si>
    <t>extremely faint, most extremely small, stellar</t>
  </si>
  <si>
    <t>eF, eeS, stell</t>
  </si>
  <si>
    <t>NGC5998</t>
  </si>
  <si>
    <t>天蝎座</t>
  </si>
  <si>
    <t>SCO</t>
  </si>
  <si>
    <t>15h49m30s</t>
  </si>
  <si>
    <t>-28h36m0s</t>
  </si>
  <si>
    <t>cluster, pretty large, pretty rich, stars very small</t>
  </si>
  <si>
    <t>Cl, pL, pRi, st vS</t>
  </si>
  <si>
    <t>NGC5999</t>
  </si>
  <si>
    <t>15h52m8.5s</t>
  </si>
  <si>
    <t>-56h28m22s</t>
  </si>
  <si>
    <t>cluster, large, pretty rich, stars of 12th to 14th magnitude</t>
  </si>
  <si>
    <t>Cl, L, pRi, st 12…14</t>
  </si>
  <si>
    <t>NGC6000</t>
  </si>
  <si>
    <t>15h49m49.4s</t>
  </si>
  <si>
    <t>-29h23m13s</t>
  </si>
  <si>
    <t>very faint, small, round, suddenly brighter middle</t>
  </si>
  <si>
    <t>vF, S, R, sbM</t>
  </si>
  <si>
    <t>NGC6001</t>
  </si>
  <si>
    <t>15h47m45.9s</t>
  </si>
  <si>
    <t>+28h38m30s</t>
  </si>
  <si>
    <t>NGC6002</t>
  </si>
  <si>
    <t>15h47m44.3s</t>
  </si>
  <si>
    <t>+28h36m38s</t>
  </si>
  <si>
    <t>nebula 100 arcsec south of III 371</t>
  </si>
  <si>
    <t>Neb 100" s of III 371</t>
  </si>
  <si>
    <t>NGC6003</t>
  </si>
  <si>
    <t>15h49m25.6s</t>
  </si>
  <si>
    <t>+19h1m57s</t>
  </si>
  <si>
    <t>faint, very small, small star involved</t>
  </si>
  <si>
    <t>F, vS, S * inv</t>
  </si>
  <si>
    <t>NGC6004</t>
  </si>
  <si>
    <t>15h50m22.8s</t>
  </si>
  <si>
    <t>+18h56m22s</t>
  </si>
  <si>
    <t>very faint, pretty large, a little extended, a little brighter middle</t>
  </si>
  <si>
    <t>vF, pL, lE, lbM</t>
  </si>
  <si>
    <t>NGC6005</t>
  </si>
  <si>
    <t>15h55m47.4s</t>
  </si>
  <si>
    <t>-57h26m37s</t>
  </si>
  <si>
    <t>cluster, pretty small, pretty rich, much compressed, stars of 16th magnitude</t>
  </si>
  <si>
    <t>Cl, pS, pRi, mC, st 16</t>
  </si>
  <si>
    <t>NGC6006</t>
  </si>
  <si>
    <t>15h53m2.5s</t>
  </si>
  <si>
    <t>+12h0m21s</t>
  </si>
  <si>
    <t>NGC6007</t>
  </si>
  <si>
    <t>15h53m23.2s</t>
  </si>
  <si>
    <t>+11h57m35s</t>
  </si>
  <si>
    <t>NGC6008</t>
  </si>
  <si>
    <t>15h52m55.9s</t>
  </si>
  <si>
    <t>+21h6m4s</t>
  </si>
  <si>
    <t>very faint, round, pretty large, brighter middle</t>
  </si>
  <si>
    <t>vF, R, pL, bM</t>
  </si>
  <si>
    <t>NGC6009</t>
  </si>
  <si>
    <t>15h53m24.1s</t>
  </si>
  <si>
    <t>+12h3m30s</t>
  </si>
  <si>
    <t>NGC6010</t>
  </si>
  <si>
    <t>15h54m18.9s</t>
  </si>
  <si>
    <t>+0h32m35s</t>
  </si>
  <si>
    <t>pretty faint, small, extended 90°±, gradually brighter middle, mottled but not resolved</t>
  </si>
  <si>
    <t>pF, S, E 90° ±, gbM, r</t>
  </si>
  <si>
    <t>NGC6011</t>
  </si>
  <si>
    <t>15h46m32.4s</t>
  </si>
  <si>
    <t>+72h10m9s</t>
  </si>
  <si>
    <t>very faint, small, extended 90°±, very small star to east</t>
  </si>
  <si>
    <t>vF, S, E 90° ±, vS * f</t>
  </si>
  <si>
    <t>NGC6012</t>
  </si>
  <si>
    <t>15h54m13.6s</t>
  </si>
  <si>
    <t>+14h36m8s</t>
  </si>
  <si>
    <t>faint, between 2 bright stars</t>
  </si>
  <si>
    <t>F, bet 2 B st</t>
  </si>
  <si>
    <t>NGC6013</t>
  </si>
  <si>
    <t>武仙座</t>
  </si>
  <si>
    <t>HER</t>
  </si>
  <si>
    <t>15h52m52.9s</t>
  </si>
  <si>
    <t>+40h38m48s</t>
  </si>
  <si>
    <t>extremely faint, very small, irregularly round, a little brighter middle</t>
  </si>
  <si>
    <t>eF, vS, iR, lbM</t>
  </si>
  <si>
    <t>NGC6014</t>
  </si>
  <si>
    <t>15h55m57.5s</t>
  </si>
  <si>
    <t>+5h55m54s</t>
  </si>
  <si>
    <t>NGC6015</t>
  </si>
  <si>
    <t>15h51m25.4s</t>
  </si>
  <si>
    <t>+62h18m31s</t>
  </si>
  <si>
    <t>very faint, pretty large, round, very gradually brighter middle (d'Arrest: bright, much extended)</t>
  </si>
  <si>
    <t>vF, pL, R, vgbM (d'A: B, mE)</t>
  </si>
  <si>
    <t>NGC6016</t>
  </si>
  <si>
    <t>15h55m54.9s</t>
  </si>
  <si>
    <t>+26h58m2s</t>
  </si>
  <si>
    <t>NGC6017</t>
  </si>
  <si>
    <t>15h57m15.4s</t>
  </si>
  <si>
    <t>+5h59m56s</t>
  </si>
  <si>
    <t>a remarkable object, very faint, very small, round, disc gradually then suddenly much brighter middle</t>
  </si>
  <si>
    <t>!, vF, vS, R, disc g, smbM</t>
  </si>
  <si>
    <t>NGC6018</t>
  </si>
  <si>
    <t>15h57m29.8s</t>
  </si>
  <si>
    <t>+15h52m22s</t>
  </si>
  <si>
    <t>very faint, small, a little extended, western of 2</t>
  </si>
  <si>
    <t>vF, S, lE, p of 2</t>
  </si>
  <si>
    <t>NGC6019</t>
  </si>
  <si>
    <t>15h52m9.1s</t>
  </si>
  <si>
    <t>+64h50m27s</t>
  </si>
  <si>
    <t>NGC6020</t>
  </si>
  <si>
    <t>15h57m8.1s</t>
  </si>
  <si>
    <t>+22h24m18s</t>
  </si>
  <si>
    <t>extremely faint, extremely small, irregularly round, a little brighter middle</t>
  </si>
  <si>
    <t>eF, eS, iR, lbM</t>
  </si>
  <si>
    <t>NGC6021</t>
  </si>
  <si>
    <t>15h57m30.7s</t>
  </si>
  <si>
    <t>+15h57m23s</t>
  </si>
  <si>
    <t>extremely faint, very small, a little extended, eastern of 2</t>
  </si>
  <si>
    <t>eF, vS, lE, f of 2</t>
  </si>
  <si>
    <t>NGC6022</t>
  </si>
  <si>
    <t>15h57m47.9s</t>
  </si>
  <si>
    <t>+16h16m58s</t>
  </si>
  <si>
    <t>NGC6023</t>
  </si>
  <si>
    <t>15h57m49.5s</t>
  </si>
  <si>
    <t>+16h18m38s</t>
  </si>
  <si>
    <t>NGC6024</t>
  </si>
  <si>
    <t>15h53m7.8s</t>
  </si>
  <si>
    <t>+64h55m6s</t>
  </si>
  <si>
    <t>pretty faint, pretty small, round, brighter middle, star close</t>
  </si>
  <si>
    <t>pF, pS, R, bM, * close</t>
  </si>
  <si>
    <t>NGC6025</t>
  </si>
  <si>
    <t>16h3m17.7s</t>
  </si>
  <si>
    <t>-60h25m53s</t>
  </si>
  <si>
    <t>cluster, bright, very large, pretty rich, a little compressed, stars from 7th magnitude</t>
  </si>
  <si>
    <t>Cl, B, vL, pRi, lC, st 7…</t>
  </si>
  <si>
    <t>NGC6026</t>
  </si>
  <si>
    <t>16h1m21s</t>
  </si>
  <si>
    <t>-34h32m37s</t>
  </si>
  <si>
    <t>faint, small, round, gradually pretty much brighter middle, triangle of stars to northwest</t>
  </si>
  <si>
    <t>F, S, R, gpmbM, Δ of st np</t>
  </si>
  <si>
    <t>NGC6027</t>
  </si>
  <si>
    <t>赛弗特六重星系</t>
  </si>
  <si>
    <t>15h59m12.5s</t>
  </si>
  <si>
    <t>+20h45m50s</t>
  </si>
  <si>
    <t>extremely faint, very faint star involved, 2 very faint stars near</t>
  </si>
  <si>
    <t>eF, vF * inv, 2 vF st nr</t>
  </si>
  <si>
    <t>NGC6028</t>
  </si>
  <si>
    <t>16h1m29.1s</t>
  </si>
  <si>
    <t>+19h21m34s</t>
  </si>
  <si>
    <t>very faint, pretty small, no nucleus</t>
  </si>
  <si>
    <t>vF, pS, no Nucl</t>
  </si>
  <si>
    <t>NGC6029</t>
  </si>
  <si>
    <t>16h1m58.8s</t>
  </si>
  <si>
    <t>+12h34m29s</t>
  </si>
  <si>
    <t>NGC6030</t>
  </si>
  <si>
    <t>16h1m51.3s</t>
  </si>
  <si>
    <t>+17h57m27s</t>
  </si>
  <si>
    <t>NGC6031</t>
  </si>
  <si>
    <t>16h7m34.4s</t>
  </si>
  <si>
    <t>-54h1m0s</t>
  </si>
  <si>
    <t>cluster, small, much compressed, stars from 11th to 14th magnitude</t>
  </si>
  <si>
    <t>Cl, S, mC, st 11…14</t>
  </si>
  <si>
    <t>NGC6032</t>
  </si>
  <si>
    <t>16h3m1.1s</t>
  </si>
  <si>
    <t>+20h57m21s</t>
  </si>
  <si>
    <t>very faint, pretty large, a little extended, very little brighter middle, northwestern of 2</t>
  </si>
  <si>
    <t>vF, pL, lE, vlbM, np of 2</t>
  </si>
  <si>
    <t>NGC6033</t>
  </si>
  <si>
    <t>16h4m27.9s</t>
  </si>
  <si>
    <t>very faint nebulous star</t>
  </si>
  <si>
    <t>vF neb *</t>
  </si>
  <si>
    <t>NGC6034</t>
  </si>
  <si>
    <t>16h3m32s</t>
  </si>
  <si>
    <t>+17h11m55s</t>
  </si>
  <si>
    <t>NGC6035</t>
  </si>
  <si>
    <t>16h3m24.1s</t>
  </si>
  <si>
    <t>+20h53m27s</t>
  </si>
  <si>
    <t>very faint, pretty large, a little extended, southeastern of 2</t>
  </si>
  <si>
    <t>vF, pL, lE, sf of 2</t>
  </si>
  <si>
    <t>NGC6036</t>
  </si>
  <si>
    <t>16h4m30.7s</t>
  </si>
  <si>
    <t>+3h52m5s</t>
  </si>
  <si>
    <t>vF, vS, R, stell</t>
  </si>
  <si>
    <t>NGC6037</t>
  </si>
  <si>
    <t>16h4m29.8s</t>
  </si>
  <si>
    <t>+3h48m56s</t>
  </si>
  <si>
    <t>NGC6038</t>
  </si>
  <si>
    <t>16h2m40.4s</t>
  </si>
  <si>
    <t>+37h21m34s</t>
  </si>
  <si>
    <t>very faint, small, round, 10th magnitude star to southeast</t>
  </si>
  <si>
    <t>vF, S, R, * 10 sf</t>
  </si>
  <si>
    <t>NGC6039</t>
  </si>
  <si>
    <t>16h4m39.5s</t>
  </si>
  <si>
    <t>+17h42m1s</t>
  </si>
  <si>
    <t>most extremely faint, very small, round, southwestern of 3 in line</t>
  </si>
  <si>
    <t>eeF, vS, R, sp of 3 in line</t>
  </si>
  <si>
    <t>NGC6040</t>
  </si>
  <si>
    <t>16h4m26.7s</t>
  </si>
  <si>
    <t>+17h45m0s</t>
  </si>
  <si>
    <t>very faint, extremely small, faint star close</t>
  </si>
  <si>
    <t>vF, eS, F * close</t>
  </si>
  <si>
    <t>NGC6041</t>
  </si>
  <si>
    <t>16h4m35.8s</t>
  </si>
  <si>
    <t>+17h43m17s</t>
  </si>
  <si>
    <t>NGC6042</t>
  </si>
  <si>
    <t>NGC6043</t>
  </si>
  <si>
    <t>16h5m1.5s</t>
  </si>
  <si>
    <t>+17h46m33s</t>
  </si>
  <si>
    <t>most extremely faint, pretty small, a little extended, '4th of 10'</t>
  </si>
  <si>
    <t>eeF, pS, lE, "4th of 10"</t>
  </si>
  <si>
    <t>NGC6044</t>
  </si>
  <si>
    <t>16h4m59.6s</t>
  </si>
  <si>
    <t>+17h52m13s</t>
  </si>
  <si>
    <t>most extremely faint, very small, round, very faint star close to west</t>
  </si>
  <si>
    <t>eeF, vS, R, vF * close p</t>
  </si>
  <si>
    <t>NGC6045</t>
  </si>
  <si>
    <t>16h5m8s</t>
  </si>
  <si>
    <t>+17h45m29s</t>
  </si>
  <si>
    <t>NGC6046</t>
  </si>
  <si>
    <t>eF, pL, partly verified</t>
  </si>
  <si>
    <t>NGC6047</t>
  </si>
  <si>
    <t>16h5m9s</t>
  </si>
  <si>
    <t>+17h43m47s</t>
  </si>
  <si>
    <t>extremely faint, round, pretty small, faint star close to north</t>
  </si>
  <si>
    <t>eF, R, pS, F * close n</t>
  </si>
  <si>
    <t>NGC6048</t>
  </si>
  <si>
    <t>15h57m30.2s</t>
  </si>
  <si>
    <t>+70h41m20s</t>
  </si>
  <si>
    <t>NGC6049</t>
  </si>
  <si>
    <t>16h5m37.8s</t>
  </si>
  <si>
    <t>+8h5m48s</t>
  </si>
  <si>
    <t>7th magnitude star in photosphere</t>
  </si>
  <si>
    <t>* 7 in photosphere</t>
  </si>
  <si>
    <t>NGC6050</t>
  </si>
  <si>
    <t>16h5m23.5s</t>
  </si>
  <si>
    <t>NGC6051</t>
  </si>
  <si>
    <t>16h4m56.6s</t>
  </si>
  <si>
    <t>+23h55m56s</t>
  </si>
  <si>
    <t>faint, small, round, gradually brighter middle and nucleus, 10th magnitude star to southeast</t>
  </si>
  <si>
    <t>F, S, R, gbMN, * 10 sf</t>
  </si>
  <si>
    <t>NGC6052</t>
  </si>
  <si>
    <t>16h5m13.2s</t>
  </si>
  <si>
    <t>+20h32m32s</t>
  </si>
  <si>
    <t>faint, pretty large, irregularly round, (? = (WH) III 140)</t>
  </si>
  <si>
    <t>F, pL, iR (? = III 140)</t>
  </si>
  <si>
    <t>NGC6053</t>
  </si>
  <si>
    <t>16h5m39.5s</t>
  </si>
  <si>
    <t>+18h9m53s</t>
  </si>
  <si>
    <t>NGC6054</t>
  </si>
  <si>
    <t>16h5m38.1s</t>
  </si>
  <si>
    <t>+17h46m3s</t>
  </si>
  <si>
    <t>most extremely faint, pretty small, a little extended, faint star to the southwest</t>
  </si>
  <si>
    <t>eeF, pS, lE, F * sp</t>
  </si>
  <si>
    <t>NGC6055</t>
  </si>
  <si>
    <t>16h5m32.7s</t>
  </si>
  <si>
    <t>+18h9m34s</t>
  </si>
  <si>
    <t>NGC6056</t>
  </si>
  <si>
    <t>16h5m31.1s</t>
  </si>
  <si>
    <t>+17h57m46s</t>
  </si>
  <si>
    <t>most extremely faint, very difficult</t>
  </si>
  <si>
    <t>eeF, v diffic</t>
  </si>
  <si>
    <t>NGC6057</t>
  </si>
  <si>
    <t>eeF, eS, R</t>
  </si>
  <si>
    <t>NGC6058</t>
  </si>
  <si>
    <t>16h4m26.6s</t>
  </si>
  <si>
    <t>+40h41m1s</t>
  </si>
  <si>
    <t>pretty faint, very small, round, stellar</t>
  </si>
  <si>
    <t>pF, vS, R, stellar</t>
  </si>
  <si>
    <t>NGC6059</t>
  </si>
  <si>
    <t>蛇夫座</t>
  </si>
  <si>
    <t>OPH</t>
  </si>
  <si>
    <t>16h7m13.2s</t>
  </si>
  <si>
    <t>-6h24m47s</t>
  </si>
  <si>
    <t>NGC6060</t>
  </si>
  <si>
    <t>16h5m52.2s</t>
  </si>
  <si>
    <t>+21h29m4s</t>
  </si>
  <si>
    <t>extremely faint, extended, suddenly brighter middle</t>
  </si>
  <si>
    <t>eF, E, sbM</t>
  </si>
  <si>
    <t>NGC6061</t>
  </si>
  <si>
    <t>16h6m16.1s</t>
  </si>
  <si>
    <t>+18h15m0s</t>
  </si>
  <si>
    <t>most extremely faint, small, round, 4 bright stars to south</t>
  </si>
  <si>
    <t>eeF, S, R, 4 B st s</t>
  </si>
  <si>
    <t>NGC6062</t>
  </si>
  <si>
    <t>16h6m22.9s</t>
  </si>
  <si>
    <t>+19h46m37s</t>
  </si>
  <si>
    <t>extremely faint, round, a very little brighter middle, mottled but not resolved</t>
  </si>
  <si>
    <t>eF, R, vlbM, r</t>
  </si>
  <si>
    <t>NGC6063</t>
  </si>
  <si>
    <t>16h7m13.1s</t>
  </si>
  <si>
    <t>+7h58m46s</t>
  </si>
  <si>
    <t>NGC6064</t>
  </si>
  <si>
    <t>vF, vS, r, pB * sf (? = m 302)</t>
  </si>
  <si>
    <t>NGC6065</t>
  </si>
  <si>
    <t>16h7m22.9s</t>
  </si>
  <si>
    <t>+13h53m18s</t>
  </si>
  <si>
    <t>most extremely faint, very small, round, southwestern of 2</t>
  </si>
  <si>
    <t>NGC6066</t>
  </si>
  <si>
    <t>16h7m35.2s</t>
  </si>
  <si>
    <t>+13h56m39s</t>
  </si>
  <si>
    <t>most extremely faint, very small, round, 2 pretty bright stars near to south, northeastern of 2</t>
  </si>
  <si>
    <t>eeF, vS, R, 2 pB st nr, nf of 2</t>
  </si>
  <si>
    <t>NGC6067</t>
  </si>
  <si>
    <t>16h13m10.9s</t>
  </si>
  <si>
    <t>-54h13m8s</t>
  </si>
  <si>
    <t>a cluster, very bright, very large, very rich, a little compressed, stars from 10th magnitude</t>
  </si>
  <si>
    <t>Cl, vB, vL, vRi, lC, st 10…</t>
  </si>
  <si>
    <t>NGC6068</t>
  </si>
  <si>
    <t>15h55m25.5s</t>
  </si>
  <si>
    <t>+78h59m48s</t>
  </si>
  <si>
    <t>very faint, very small, a little extended 0°, mottled but not resolved</t>
  </si>
  <si>
    <t>Vf, vS, lE 0°, r</t>
  </si>
  <si>
    <t>NGC6069</t>
  </si>
  <si>
    <t>16h7m41.6s</t>
  </si>
  <si>
    <t>+38h55m53s</t>
  </si>
  <si>
    <t>very faint star in a very faint, very small, round nebula</t>
  </si>
  <si>
    <t>vF * in vF, vS, R neb</t>
  </si>
  <si>
    <t>NGC6070</t>
  </si>
  <si>
    <t>16h9m58.6s</t>
  </si>
  <si>
    <t>+0h42m36s</t>
  </si>
  <si>
    <t>faint, large, pretty much extended, very gradually brighter middle, mottled but not resolved</t>
  </si>
  <si>
    <t>F, L, pmE, vgbM, r</t>
  </si>
  <si>
    <t>NGC6071</t>
  </si>
  <si>
    <t>16h2m6.9s</t>
  </si>
  <si>
    <t>+70h25m2s</t>
  </si>
  <si>
    <t>NGC6072</t>
  </si>
  <si>
    <t>16h12m58.2s</t>
  </si>
  <si>
    <t>-36h13m46s</t>
  </si>
  <si>
    <t>pretty faint, round, very gradually a very little brighter middle, mottled but not resolved</t>
  </si>
  <si>
    <t>NGC6073</t>
  </si>
  <si>
    <t>16h10m10.9s</t>
  </si>
  <si>
    <t>+16h42m0s</t>
  </si>
  <si>
    <t>very faint, small, mottled but not resolved</t>
  </si>
  <si>
    <t>vF, S, r</t>
  </si>
  <si>
    <t>NGC6074</t>
  </si>
  <si>
    <t>16h11m17.3s</t>
  </si>
  <si>
    <t>+14h15m31s</t>
  </si>
  <si>
    <t>NGC6075</t>
  </si>
  <si>
    <t>16h11m22.6s</t>
  </si>
  <si>
    <t>+23h57m54s</t>
  </si>
  <si>
    <t>faint, very small, round, star or stars involved?, partially resolved (some stars seen)</t>
  </si>
  <si>
    <t>F, vS, R, * or st inv ?, rr</t>
  </si>
  <si>
    <t>NGC6076</t>
  </si>
  <si>
    <t>16h11m12.9s</t>
  </si>
  <si>
    <t>+26h52m19s</t>
  </si>
  <si>
    <t>NGC6077</t>
  </si>
  <si>
    <t>16h11m14s</t>
  </si>
  <si>
    <t>+26h55m26s</t>
  </si>
  <si>
    <t>faint, suddenly brighter middle</t>
  </si>
  <si>
    <t>F, sbM</t>
  </si>
  <si>
    <t>NGC6078</t>
  </si>
  <si>
    <t>16h12m5.4s</t>
  </si>
  <si>
    <t>+14h12m34s</t>
  </si>
  <si>
    <t>NGC6079</t>
  </si>
  <si>
    <t>16h4m28.7s</t>
  </si>
  <si>
    <t>+69h39m58s</t>
  </si>
  <si>
    <t>NGC6080</t>
  </si>
  <si>
    <t>16h12m58.5s</t>
  </si>
  <si>
    <t>+2h10m40s</t>
  </si>
  <si>
    <t>pretty bright, pretty small, round, much brighter middle</t>
  </si>
  <si>
    <t>pB, pS, R, mbM</t>
  </si>
  <si>
    <t>NGC6081</t>
  </si>
  <si>
    <t>16h12m56.8s</t>
  </si>
  <si>
    <t>+9h52m4s</t>
  </si>
  <si>
    <t>NGC6082</t>
  </si>
  <si>
    <t>16h15m36s</t>
  </si>
  <si>
    <t>-34h14m36s</t>
  </si>
  <si>
    <t>extremely faint, small, extended, a little brighter middle</t>
  </si>
  <si>
    <t>eF, S, E, lbM</t>
  </si>
  <si>
    <t>NGC6083</t>
  </si>
  <si>
    <t>16h13m12.6s</t>
  </si>
  <si>
    <t>+14h11m10s</t>
  </si>
  <si>
    <t>extremely faint, very small, difficult</t>
  </si>
  <si>
    <t>eF, vS, diffic</t>
  </si>
  <si>
    <t>NGC6084</t>
  </si>
  <si>
    <t>16h14m16.6s</t>
  </si>
  <si>
    <t>NGC6085</t>
  </si>
  <si>
    <t>16h12m35.1s</t>
  </si>
  <si>
    <t>+29h21m56s</t>
  </si>
  <si>
    <t>NGC6086</t>
  </si>
  <si>
    <t>16h12m35.6s</t>
  </si>
  <si>
    <t>+29h29m6s</t>
  </si>
  <si>
    <t>faint, very small, stellar nucleus</t>
  </si>
  <si>
    <t>F, vS, stellar N</t>
  </si>
  <si>
    <t>NGC6087</t>
  </si>
  <si>
    <t>矩尺座S星团</t>
  </si>
  <si>
    <t>16h18m51.8s</t>
  </si>
  <si>
    <t>-57h53m59s</t>
  </si>
  <si>
    <t>a cluster, bright, large, a little compressed, stars from 7th to 10th magnitude</t>
  </si>
  <si>
    <t>Cl, B, L, lC, st 7…10</t>
  </si>
  <si>
    <t>NGC6088</t>
  </si>
  <si>
    <t>16h10m44.1s</t>
  </si>
  <si>
    <t>+57h27m43s</t>
  </si>
  <si>
    <t>NGC6089</t>
  </si>
  <si>
    <t>16h12m40.3s</t>
  </si>
  <si>
    <t>+33h2m7s</t>
  </si>
  <si>
    <t>NGC6090</t>
  </si>
  <si>
    <t>16h11m40.7s</t>
  </si>
  <si>
    <t>+52h27m28s</t>
  </si>
  <si>
    <t>NGC6091</t>
  </si>
  <si>
    <t>16h7m52.9s</t>
  </si>
  <si>
    <t>+69h54m19s</t>
  </si>
  <si>
    <t>very faint, very small, round, star to north</t>
  </si>
  <si>
    <t>vF, vS, R, * n</t>
  </si>
  <si>
    <t>NGC6092</t>
  </si>
  <si>
    <t>16h14m4.5s</t>
  </si>
  <si>
    <t>+28h7m34s</t>
  </si>
  <si>
    <t>very faint, stellar nucleus</t>
  </si>
  <si>
    <t>vF, stellar N</t>
  </si>
  <si>
    <t>NGC6093</t>
  </si>
  <si>
    <t>16h17m2.5s</t>
  </si>
  <si>
    <t>-22h58m28s</t>
  </si>
  <si>
    <t>very remarkable, a globular cluster, very bright, large, very much brighter middle (variable star), well resolved, clearly consisting of stars, stars of 14th magnitude</t>
  </si>
  <si>
    <t>!! globular, vB, L, vmbM (var *), rrr, st 14</t>
  </si>
  <si>
    <t>NGC6094</t>
  </si>
  <si>
    <t>16h6m33.8s</t>
  </si>
  <si>
    <t>+72h29m42s</t>
  </si>
  <si>
    <t>NGC6095</t>
  </si>
  <si>
    <t>16h11m11s</t>
  </si>
  <si>
    <t>+61h16m5s</t>
  </si>
  <si>
    <t>extremely faint, pretty small, round, in line with 2 stars</t>
  </si>
  <si>
    <t>eF, pS, R, in line with 2 st</t>
  </si>
  <si>
    <t>NGC6096</t>
  </si>
  <si>
    <t>16h14m46.6s</t>
  </si>
  <si>
    <t>+26h33m34s</t>
  </si>
  <si>
    <t>NGC6097</t>
  </si>
  <si>
    <t>16h14m26.2s</t>
  </si>
  <si>
    <t>+35h6m33s</t>
  </si>
  <si>
    <t>a nebulous star of 13th magnitude</t>
  </si>
  <si>
    <t>NGC6098</t>
  </si>
  <si>
    <t>16h15m34s</t>
  </si>
  <si>
    <t>+19h27m42s</t>
  </si>
  <si>
    <t>extremely faint, very small, round, 8th magnitude star 41 seconds of time to the east, northwestern of 2</t>
  </si>
  <si>
    <t>eF, vS, R, * 8 f 41s, np of 2</t>
  </si>
  <si>
    <t>NGC6099</t>
  </si>
  <si>
    <t>16h15m35.5s</t>
  </si>
  <si>
    <t>+19h27m14s</t>
  </si>
  <si>
    <t>extremely faint, very small, round, southeastern of 2</t>
  </si>
  <si>
    <t>eF, vS, R, sf of 2</t>
  </si>
  <si>
    <t>NGC6100</t>
  </si>
  <si>
    <t>16h16m52.3s</t>
  </si>
  <si>
    <t>+0h50m28s</t>
  </si>
  <si>
    <t>most extremely faint, very small, most extremely faint star close to west</t>
  </si>
  <si>
    <t>eeF, vS, eeF * close p</t>
  </si>
  <si>
    <t>NGC6101</t>
  </si>
  <si>
    <t>16h25m48.6s</t>
  </si>
  <si>
    <t>-72h12m4s</t>
  </si>
  <si>
    <t>globular cluster, pretty faint, large, irregularly round, very gradually brighter middle, partially resolved (some stars seen), stars of 14th magnitude</t>
  </si>
  <si>
    <t>globular, pF, L, iR, vgbM, rr, st 14</t>
  </si>
  <si>
    <t>NGC6102</t>
  </si>
  <si>
    <t>16h15m36.9s</t>
  </si>
  <si>
    <t>+28h9m32s</t>
  </si>
  <si>
    <t>NGC6103</t>
  </si>
  <si>
    <t>16h15m44.5s</t>
  </si>
  <si>
    <t>+31h57m50s</t>
  </si>
  <si>
    <t>NGC6104</t>
  </si>
  <si>
    <t>16h16m30.6s</t>
  </si>
  <si>
    <t>+35h42m27s</t>
  </si>
  <si>
    <t>NGC6105</t>
  </si>
  <si>
    <t>16h17m9.2s</t>
  </si>
  <si>
    <t>+34h52m46s</t>
  </si>
  <si>
    <t>faint, small, round, gradually a very little brighter middle</t>
  </si>
  <si>
    <t>F, S, R, gvlbM</t>
  </si>
  <si>
    <t>NGC6106</t>
  </si>
  <si>
    <t>16h18m47s</t>
  </si>
  <si>
    <t>+7h24m40s</t>
  </si>
  <si>
    <t>faint, pretty large, a little extended, very gradually brighter middle, mottled but not resolved</t>
  </si>
  <si>
    <t>F, pL, lE, vgbM, r</t>
  </si>
  <si>
    <t>NGC6107</t>
  </si>
  <si>
    <t>16h17m20.1s</t>
  </si>
  <si>
    <t>+34h54m8s</t>
  </si>
  <si>
    <t>NGC6108</t>
  </si>
  <si>
    <t>16h17m25.5s</t>
  </si>
  <si>
    <t>+35h8m9s</t>
  </si>
  <si>
    <t>NGC6109</t>
  </si>
  <si>
    <t>16h17m40.5s</t>
  </si>
  <si>
    <t>+35h0m15s</t>
  </si>
  <si>
    <t>NGC6110</t>
  </si>
  <si>
    <t>16h17m43.9s</t>
  </si>
  <si>
    <t>+35h5m15s</t>
  </si>
  <si>
    <t>NGC6111</t>
  </si>
  <si>
    <t>16h14m22.7s</t>
  </si>
  <si>
    <t>+63h15m41s</t>
  </si>
  <si>
    <t>very faint, pretty small, a little extended, double star near to south</t>
  </si>
  <si>
    <t>vF, pS, lE, D * nr s</t>
  </si>
  <si>
    <t>NGC6112</t>
  </si>
  <si>
    <t>16h18m0.5s</t>
  </si>
  <si>
    <t>+35h6m39s</t>
  </si>
  <si>
    <t>NGC6113</t>
  </si>
  <si>
    <t>16h19m10.6s</t>
  </si>
  <si>
    <t>+14h8m1s</t>
  </si>
  <si>
    <t>NGC6114</t>
  </si>
  <si>
    <t>16h18m23.5s</t>
  </si>
  <si>
    <t>+35h10m28s</t>
  </si>
  <si>
    <t>extremely faint, small, round, gradually a little brighter middle</t>
  </si>
  <si>
    <t>eF, S, R, glbM</t>
  </si>
  <si>
    <t>NGC6115</t>
  </si>
  <si>
    <t>16h24m26.8s</t>
  </si>
  <si>
    <t>-51h57m12s</t>
  </si>
  <si>
    <t>cluster, extremely large, extremely rich</t>
  </si>
  <si>
    <t>Cl, eL, eRi</t>
  </si>
  <si>
    <t>NGC6116</t>
  </si>
  <si>
    <t>16h18m54.5s</t>
  </si>
  <si>
    <t>+35h9m14s</t>
  </si>
  <si>
    <t>NGC6117</t>
  </si>
  <si>
    <t>16h19m18.2s</t>
  </si>
  <si>
    <t>+37h5m43s</t>
  </si>
  <si>
    <t>NGC6118</t>
  </si>
  <si>
    <t>16h21m48.7s</t>
  </si>
  <si>
    <t>-2h17m1s</t>
  </si>
  <si>
    <t>very faint, considerably large, considerably extended 45°±, mottled but not resolved</t>
  </si>
  <si>
    <t>vF, cL, cE 45° ±, r</t>
  </si>
  <si>
    <t>NGC6119</t>
  </si>
  <si>
    <t>16h19m42s</t>
  </si>
  <si>
    <t>+37h48m24s</t>
  </si>
  <si>
    <t>very faint, extremely small, round</t>
  </si>
  <si>
    <t>vF, eS, R</t>
  </si>
  <si>
    <t>NGC6120</t>
  </si>
  <si>
    <t>Sd/P</t>
  </si>
  <si>
    <t>16h19m48.1s</t>
  </si>
  <si>
    <t>+37h46m27s</t>
  </si>
  <si>
    <t>very faint, very small, round, double star to northeast</t>
  </si>
  <si>
    <t>vF, vS, R, D * nf</t>
  </si>
  <si>
    <t>NGC6121</t>
  </si>
  <si>
    <t>蟹状星团</t>
  </si>
  <si>
    <t>16h23m35.5s</t>
  </si>
  <si>
    <t>-26h31m29s</t>
  </si>
  <si>
    <t>cluster, 8 or 10 bright stars in line, with 5 stars, well resolved, clearly consisting of stars</t>
  </si>
  <si>
    <t>Cl, 8 or 10 B st in line, with 5 st, rrr</t>
  </si>
  <si>
    <t>NGC6122</t>
  </si>
  <si>
    <t>16h20m9.4s</t>
  </si>
  <si>
    <t>+37h47m55s</t>
  </si>
  <si>
    <t>very faint, round, no nucleus</t>
  </si>
  <si>
    <t>vF, R, no N</t>
  </si>
  <si>
    <t>NGC6123</t>
  </si>
  <si>
    <t>16h17m19.6s</t>
  </si>
  <si>
    <t>+61h56m21s</t>
  </si>
  <si>
    <t>pretty faint, very small, extended, star near</t>
  </si>
  <si>
    <t>pF, vS, E, * nr</t>
  </si>
  <si>
    <t>NGC6124</t>
  </si>
  <si>
    <t>16h25m17.2s</t>
  </si>
  <si>
    <t>-40h40m1s</t>
  </si>
  <si>
    <t>a cluster, bright, large, pretty rich, a little compressed middle, stars from 9th to 11th magnitude</t>
  </si>
  <si>
    <t>Cl, B, L, pRi, lCM, st 9…11</t>
  </si>
  <si>
    <t>NGC6125</t>
  </si>
  <si>
    <t>16h19m11.2s</t>
  </si>
  <si>
    <t>+57h59m5s</t>
  </si>
  <si>
    <t>NGC6126</t>
  </si>
  <si>
    <t>16h21m27.8s</t>
  </si>
  <si>
    <t>+36h22m38s</t>
  </si>
  <si>
    <t>faint, very small, round, brighter middle and small nucleus</t>
  </si>
  <si>
    <t>F, vS, R, bMSN</t>
  </si>
  <si>
    <t>NGC6127</t>
  </si>
  <si>
    <t>pF, vS, R</t>
  </si>
  <si>
    <t>NGC6128</t>
  </si>
  <si>
    <t>NGC6129</t>
  </si>
  <si>
    <t>16h21m43.2s</t>
  </si>
  <si>
    <t>+37h59m47s</t>
  </si>
  <si>
    <t>NGC6130</t>
  </si>
  <si>
    <t>16h19m33.5s</t>
  </si>
  <si>
    <t>+57h36m54s</t>
  </si>
  <si>
    <t>pretty faint, pretty large, round, bright star near to west</t>
  </si>
  <si>
    <t>pF, pL, R, B * nr p</t>
  </si>
  <si>
    <t>NGC6131</t>
  </si>
  <si>
    <t>16h21m52.3s</t>
  </si>
  <si>
    <t>+38h56m12s</t>
  </si>
  <si>
    <t>very faint, pretty large, irregularly round, diffuse</t>
  </si>
  <si>
    <t>vF, pL, iR, dif</t>
  </si>
  <si>
    <t>NGC6132</t>
  </si>
  <si>
    <t>16h23m38.7s</t>
  </si>
  <si>
    <t>+11h47m12s</t>
  </si>
  <si>
    <t>extremely faint, very small, very little brighter middle</t>
  </si>
  <si>
    <t>eF, vS, vlbM</t>
  </si>
  <si>
    <t>NGC6133</t>
  </si>
  <si>
    <t>16h20m17s</t>
  </si>
  <si>
    <t>+56h39m12s</t>
  </si>
  <si>
    <t>most extremely faint, small, considerably extended, very difficult</t>
  </si>
  <si>
    <t>eeF, S, cE, v diffic</t>
  </si>
  <si>
    <t>NGC6134</t>
  </si>
  <si>
    <t>小枕星团</t>
  </si>
  <si>
    <t>16h27m43.6s</t>
  </si>
  <si>
    <t>-49h9m51s</t>
  </si>
  <si>
    <t>a cluster, considerably large, pretty rich, a little compressed middle, stars from 13th to 15th magnitude</t>
  </si>
  <si>
    <t>Cl, cL, pRi, lCM, st 13…15</t>
  </si>
  <si>
    <t>NGC6135</t>
  </si>
  <si>
    <t>16h14m24.9s</t>
  </si>
  <si>
    <t>+64h59m0s</t>
  </si>
  <si>
    <t>very faint, very small, much extended, 2 stars near</t>
  </si>
  <si>
    <t>vF, vS, mE, 2 st nr</t>
  </si>
  <si>
    <t>NGC6136</t>
  </si>
  <si>
    <t>16h20m59.4s</t>
  </si>
  <si>
    <t>+55h58m13s</t>
  </si>
  <si>
    <t>NGC6137</t>
  </si>
  <si>
    <t>16h23m3.1s</t>
  </si>
  <si>
    <t>+37h55m21s</t>
  </si>
  <si>
    <t>faint, small, irregularly round, brighter middle</t>
  </si>
  <si>
    <t>F, S, iR, bM</t>
  </si>
  <si>
    <t>NGC6138</t>
  </si>
  <si>
    <t>17h22m39.9s</t>
  </si>
  <si>
    <t>+41h6m8s</t>
  </si>
  <si>
    <t>NGC6139</t>
  </si>
  <si>
    <t>16h27m40.4s</t>
  </si>
  <si>
    <t>-38h50m54s</t>
  </si>
  <si>
    <t>bright, pretty large, round, pretty suddenly brighter middle, partially resolved (some stars seen)</t>
  </si>
  <si>
    <t>B, pL, R, psbM, rr</t>
  </si>
  <si>
    <t>NGC6140</t>
  </si>
  <si>
    <t>16h20m57s</t>
  </si>
  <si>
    <t>+65h23m24s</t>
  </si>
  <si>
    <t>considerably faint, pretty large, irregularly round</t>
  </si>
  <si>
    <t>cF, pL, iR</t>
  </si>
  <si>
    <t>NGC6141</t>
  </si>
  <si>
    <t>16h23m6.3s</t>
  </si>
  <si>
    <t>+40h51m30s</t>
  </si>
  <si>
    <t>NGC6142</t>
  </si>
  <si>
    <t>16h23m21s</t>
  </si>
  <si>
    <t>+37h15m30s</t>
  </si>
  <si>
    <t>NGC6143</t>
  </si>
  <si>
    <t>16h21m42.3s</t>
  </si>
  <si>
    <t>+55h5m11s</t>
  </si>
  <si>
    <t>pretty bright, irregularly round, very gradually very little brighter middle</t>
  </si>
  <si>
    <t>pB, iR, vgvlbM</t>
  </si>
  <si>
    <t>NGC6144</t>
  </si>
  <si>
    <t>16h27m14.1s</t>
  </si>
  <si>
    <t>-26h1m27s</t>
  </si>
  <si>
    <t>cluster, considerably large, much compressed gradually brighter middle, well resolved, clearly consisting of stars</t>
  </si>
  <si>
    <t>Cl, cL, mC, gbM, rrr</t>
  </si>
  <si>
    <t>NGC6145</t>
  </si>
  <si>
    <t>16h25m2.4s</t>
  </si>
  <si>
    <t>NGC6146</t>
  </si>
  <si>
    <t>16h25m10.2s</t>
  </si>
  <si>
    <t>+40h53m33s</t>
  </si>
  <si>
    <t>NGC6147</t>
  </si>
  <si>
    <t>16h25m5.8s</t>
  </si>
  <si>
    <t>+40h55m44s</t>
  </si>
  <si>
    <t>extremely faint, one of 3</t>
  </si>
  <si>
    <t>eF, one of 3</t>
  </si>
  <si>
    <t>NGC6148</t>
  </si>
  <si>
    <t>16h27m4s</t>
  </si>
  <si>
    <t>+24h5m34s</t>
  </si>
  <si>
    <t>very faint, small, with stars</t>
  </si>
  <si>
    <t>vF, S, with st</t>
  </si>
  <si>
    <t>NGC6149</t>
  </si>
  <si>
    <t>16h27m24.3s</t>
  </si>
  <si>
    <t>+19h35m51s</t>
  </si>
  <si>
    <t>very faint, pretty small, round, pretty bright star near to south</t>
  </si>
  <si>
    <t>vF, pS, R, pB * nr s</t>
  </si>
  <si>
    <t>NGC6150</t>
  </si>
  <si>
    <t>16h25m49.9s</t>
  </si>
  <si>
    <t>+40h29m20s</t>
  </si>
  <si>
    <t>NGC6151</t>
  </si>
  <si>
    <t>16h38m24.1s</t>
  </si>
  <si>
    <t>-73h15m7s</t>
  </si>
  <si>
    <t>very faint, very small, 9th magnitude star near</t>
  </si>
  <si>
    <t>vF, vS * 9 nr</t>
  </si>
  <si>
    <t>NGC6152</t>
  </si>
  <si>
    <t>16h32m45s</t>
  </si>
  <si>
    <t>-52h38m36s</t>
  </si>
  <si>
    <t>a cluster, large, a little compressed, stars large</t>
  </si>
  <si>
    <t>Cl, L, lC, st L</t>
  </si>
  <si>
    <t>NGC6153</t>
  </si>
  <si>
    <t>16h31m30.6s</t>
  </si>
  <si>
    <t>-40h15m11s</t>
  </si>
  <si>
    <t>a planetary nebula, stellar</t>
  </si>
  <si>
    <t>planetary, stellar</t>
  </si>
  <si>
    <t>NGC6154</t>
  </si>
  <si>
    <t>16h25m30.6s</t>
  </si>
  <si>
    <t>+49h50m25s</t>
  </si>
  <si>
    <t>very faint, small, round, a little brighter middle, extremely mottled but not resolved</t>
  </si>
  <si>
    <t>vF, S, R, lbM, er</t>
  </si>
  <si>
    <t>NGC6155</t>
  </si>
  <si>
    <t>16h26m8.3s</t>
  </si>
  <si>
    <t>+48h22m3s</t>
  </si>
  <si>
    <t>faint, pretty small, irregular figure, gradually brighter middle</t>
  </si>
  <si>
    <t>F, pS, iF, gbM</t>
  </si>
  <si>
    <t>NGC6156</t>
  </si>
  <si>
    <t>16h34m52.6s</t>
  </si>
  <si>
    <t>-60h37m9s</t>
  </si>
  <si>
    <t>pretty faint, pretty large, very little extended, gradually brighter middle</t>
  </si>
  <si>
    <t>pF, pL, vlE, gbM</t>
  </si>
  <si>
    <t>NGC6157</t>
  </si>
  <si>
    <t>16h25m48.3s</t>
  </si>
  <si>
    <t>+55h21m40s</t>
  </si>
  <si>
    <t>NGC6158</t>
  </si>
  <si>
    <t>16h27m40.9s</t>
  </si>
  <si>
    <t>+39h23m0s</t>
  </si>
  <si>
    <t>NGC6159</t>
  </si>
  <si>
    <t>16h27m25.1s</t>
  </si>
  <si>
    <t>+42h40m49s</t>
  </si>
  <si>
    <t>NGC6160</t>
  </si>
  <si>
    <t>16h27m41.1s</t>
  </si>
  <si>
    <t>+40h55m39s</t>
  </si>
  <si>
    <t>considerably faint, pretty large, round, gradually brighter middle, mottled but not resolved</t>
  </si>
  <si>
    <t>cF, pL, R, gbM, r</t>
  </si>
  <si>
    <t>NGC6161</t>
  </si>
  <si>
    <t>16h28m20.6s</t>
  </si>
  <si>
    <t>+32h48m37s</t>
  </si>
  <si>
    <t>NGC6162</t>
  </si>
  <si>
    <t>16h28m22.3s</t>
  </si>
  <si>
    <t>+32h50m59s</t>
  </si>
  <si>
    <t>NGC6163</t>
  </si>
  <si>
    <t>16h28m27.8s</t>
  </si>
  <si>
    <t>+32h50m49s</t>
  </si>
  <si>
    <t>NGC6164</t>
  </si>
  <si>
    <t>16h33m41s</t>
  </si>
  <si>
    <t>-48h4m46s</t>
  </si>
  <si>
    <t>extremely faint (strongly suspected), double star near to east</t>
  </si>
  <si>
    <t>eF (strongly susp), D * f nr</t>
  </si>
  <si>
    <t>NGC6165</t>
  </si>
  <si>
    <t>16h34m2s</t>
  </si>
  <si>
    <t>-48h9m4s</t>
  </si>
  <si>
    <t>faint, considerably small, a little extended, very gradually a little brighter middle, double star to west</t>
  </si>
  <si>
    <t>F, cS, lE, vglbM, D * p</t>
  </si>
  <si>
    <t>NGC6166</t>
  </si>
  <si>
    <t>16h28m38.5s</t>
  </si>
  <si>
    <t>+39h33m5s</t>
  </si>
  <si>
    <t>pretty faint, small, very little extended, very gradually much brighter middle</t>
  </si>
  <si>
    <t>pF, S, vlE, vgmbM</t>
  </si>
  <si>
    <t>NGC6167</t>
  </si>
  <si>
    <t>16h34m34.9s</t>
  </si>
  <si>
    <t>-49h46m19s</t>
  </si>
  <si>
    <t>a cluster, large, a little compressed, irregular figure</t>
  </si>
  <si>
    <t>Cl, L, lC, iF</t>
  </si>
  <si>
    <t>NGC6168</t>
  </si>
  <si>
    <t>16h31m21.3s</t>
  </si>
  <si>
    <t>+20h11m6s</t>
  </si>
  <si>
    <t>most extremely faint, much extended, faint star at western end, very difficult</t>
  </si>
  <si>
    <t>eeF, mE, F * at p end, v diffic</t>
  </si>
  <si>
    <t>NGC6169</t>
  </si>
  <si>
    <t>矩尺座μ星团</t>
  </si>
  <si>
    <t>16h34m5s</t>
  </si>
  <si>
    <t>-44h2m43s</t>
  </si>
  <si>
    <t>a cluster, μ Normae involved</t>
  </si>
  <si>
    <t>Cl, ? Normae inv</t>
  </si>
  <si>
    <t>NGC6170</t>
  </si>
  <si>
    <t>16h27m36.4s</t>
  </si>
  <si>
    <t>+59h33m47s</t>
  </si>
  <si>
    <t>NGC6171</t>
  </si>
  <si>
    <t>十字架星团</t>
  </si>
  <si>
    <t>16h32m31.9s</t>
  </si>
  <si>
    <t>-13h3m11s</t>
  </si>
  <si>
    <t>a globular cluster, large, very rich, very much compressed, round, well resolved, clearly consisting of stars</t>
  </si>
  <si>
    <t>globular, L, vRi, vmC, R, rrr</t>
  </si>
  <si>
    <t>NGC6172</t>
  </si>
  <si>
    <t>16h22m10.2s</t>
  </si>
  <si>
    <t>-1h30m51s</t>
  </si>
  <si>
    <t>NGC6173</t>
  </si>
  <si>
    <t>16h29m45s</t>
  </si>
  <si>
    <t>+40h48m40s</t>
  </si>
  <si>
    <t>NGC6174</t>
  </si>
  <si>
    <t>16h29m23.8s</t>
  </si>
  <si>
    <t>+40h52m30s</t>
  </si>
  <si>
    <t>NGC6175</t>
  </si>
  <si>
    <t>16h29m57.4s</t>
  </si>
  <si>
    <t>+40h37m49s</t>
  </si>
  <si>
    <t>NGC6176</t>
  </si>
  <si>
    <t>eF, eS, v diffic</t>
  </si>
  <si>
    <t>NGC6177</t>
  </si>
  <si>
    <t>16h30m38.8s</t>
  </si>
  <si>
    <t>+35h3m20s</t>
  </si>
  <si>
    <t>very faint, pretty large, irregularly extended, partially resolved (some stars seen), star near</t>
  </si>
  <si>
    <t>vF, pL, iE, rr, * nr</t>
  </si>
  <si>
    <t>NGC6178</t>
  </si>
  <si>
    <t>16h35m50.8s</t>
  </si>
  <si>
    <t>-45h38m48s</t>
  </si>
  <si>
    <t>a cluster, bright, small, stars pretty large</t>
  </si>
  <si>
    <t>Cl, B, S, st pL</t>
  </si>
  <si>
    <t>NGC6179</t>
  </si>
  <si>
    <t>16h30m46.9s</t>
  </si>
  <si>
    <t>+35h6m10s</t>
  </si>
  <si>
    <t>very faint, small, brighter middle and nucleus, 4 arcmin northeast of h 1964</t>
  </si>
  <si>
    <t>vF, S, bMN, 4' nf h 1964</t>
  </si>
  <si>
    <t>NGC6180</t>
  </si>
  <si>
    <t>16h30m33.9s</t>
  </si>
  <si>
    <t>+40h32m23s</t>
  </si>
  <si>
    <t>extremely faint, very small, round, much brighter middle</t>
  </si>
  <si>
    <t>NGC6181</t>
  </si>
  <si>
    <t>16h32m20.7s</t>
  </si>
  <si>
    <t>+19h49m32s</t>
  </si>
  <si>
    <t>pretty bright, pretty large, very little extended, pretty gradually much brighter middle</t>
  </si>
  <si>
    <t>pB, pL, vlE, pgmbM</t>
  </si>
  <si>
    <t>NGC6182</t>
  </si>
  <si>
    <t>16h29m33.9s</t>
  </si>
  <si>
    <t>NGC6183</t>
  </si>
  <si>
    <t>16h41m41.8s</t>
  </si>
  <si>
    <t>-69h22m21s</t>
  </si>
  <si>
    <t>very faint, extremely small, round, gradually brighter middle</t>
  </si>
  <si>
    <t>vF, eS, R, gbM</t>
  </si>
  <si>
    <t>NGC6184</t>
  </si>
  <si>
    <t>16h31m34.4s</t>
  </si>
  <si>
    <t>+40h33m56s</t>
  </si>
  <si>
    <t>NGC6185</t>
  </si>
  <si>
    <t>16h33m17.8s</t>
  </si>
  <si>
    <t>+35h20m32s</t>
  </si>
  <si>
    <t>faint, small, round, gradually brighter middle, 11th magnitude star to northwest</t>
  </si>
  <si>
    <t>F, S, R, gbM, * 11 np</t>
  </si>
  <si>
    <t>NGC6186</t>
  </si>
  <si>
    <t>16h34m25.4s</t>
  </si>
  <si>
    <t>+21h32m29s</t>
  </si>
  <si>
    <t>NGC6187</t>
  </si>
  <si>
    <t>16h31m36.6s</t>
  </si>
  <si>
    <t>+57h42m26s</t>
  </si>
  <si>
    <t>very faint, very small, a little brighter middle</t>
  </si>
  <si>
    <t>NGC6188</t>
  </si>
  <si>
    <t>环星云</t>
  </si>
  <si>
    <t>天坛座</t>
  </si>
  <si>
    <t>ARA</t>
  </si>
  <si>
    <t>16h40m5s</t>
  </si>
  <si>
    <t>-48h39m42s</t>
  </si>
  <si>
    <t>a remarkable object, faint, very large, very irregularly extended, bright star involved</t>
  </si>
  <si>
    <t>! F, vL, viE, B * inv</t>
  </si>
  <si>
    <t>NGC6189</t>
  </si>
  <si>
    <t>16h31m40.7s</t>
  </si>
  <si>
    <t>+59h37m36s</t>
  </si>
  <si>
    <t>NGC6190</t>
  </si>
  <si>
    <t>16h32m6.4s</t>
  </si>
  <si>
    <t>+58h26m21s</t>
  </si>
  <si>
    <t>very faint, pretty small, round, faint star near</t>
  </si>
  <si>
    <t>vF, pS, R, F * nr</t>
  </si>
  <si>
    <t>NGC6191</t>
  </si>
  <si>
    <t>pF, pL, E, 2 st p</t>
  </si>
  <si>
    <t>NGC6192</t>
  </si>
  <si>
    <t>16h40m20.8s</t>
  </si>
  <si>
    <t>-43h21m55s</t>
  </si>
  <si>
    <t>a cluster, pretty large, pretty rich, irregularly round, stars from 11th to 14th magnitude</t>
  </si>
  <si>
    <t>Cl, pL, pRi, iR, st 11…14</t>
  </si>
  <si>
    <t>NGC6193</t>
  </si>
  <si>
    <t>16h41m20.3s</t>
  </si>
  <si>
    <t>-48h45m48s</t>
  </si>
  <si>
    <t>a cluster, very large, a little rich, a little compressed, well resolved, clearly consisting of stars, faint nebula involved</t>
  </si>
  <si>
    <t>Cl, vL, lRi, lC, rrr, F neb inv</t>
  </si>
  <si>
    <t>NGC6194</t>
  </si>
  <si>
    <t>16h36m37s</t>
  </si>
  <si>
    <t>+36h12m2s</t>
  </si>
  <si>
    <t>very faint, very small, suddenly brighter middle equivalent to 12th magnitude star</t>
  </si>
  <si>
    <t>vF, vS, sbM * 12</t>
  </si>
  <si>
    <t>NGC6195</t>
  </si>
  <si>
    <t>16h36m32.6s</t>
  </si>
  <si>
    <t>+39h1m42s</t>
  </si>
  <si>
    <t>very faint, small, round, gradually brighter middle, between 2 stars</t>
  </si>
  <si>
    <t>vF, S, R, gbM, bet 2 st</t>
  </si>
  <si>
    <t>NGC6196</t>
  </si>
  <si>
    <t>16h37m53.8s</t>
  </si>
  <si>
    <t>+36h4m23s</t>
  </si>
  <si>
    <t>NGC6197</t>
  </si>
  <si>
    <t>16h37m59.8s</t>
  </si>
  <si>
    <t>+35h59m45s</t>
  </si>
  <si>
    <t>extremely faint, extended, stellar</t>
  </si>
  <si>
    <t>eF, E, stellar</t>
  </si>
  <si>
    <t>NGC6198</t>
  </si>
  <si>
    <t>16h35m30.6s</t>
  </si>
  <si>
    <t>+57h29m14s</t>
  </si>
  <si>
    <t>very faint, very small, round, 2 stars to east</t>
  </si>
  <si>
    <t>vF, vS, R, 2 st f</t>
  </si>
  <si>
    <t>NGC6199</t>
  </si>
  <si>
    <t>16h39m28.9s</t>
  </si>
  <si>
    <t>+36h3m34s</t>
  </si>
  <si>
    <t>NGC6200</t>
  </si>
  <si>
    <t>16h44m8.6s</t>
  </si>
  <si>
    <t>-47h28m11s</t>
  </si>
  <si>
    <t>a cluster (in Milky Way)</t>
  </si>
  <si>
    <t>Cl (in Milky Way)</t>
  </si>
  <si>
    <t>NGC6201</t>
  </si>
  <si>
    <t>16h40m14.4s</t>
  </si>
  <si>
    <t>+23h45m55s</t>
  </si>
  <si>
    <t>NGC6202</t>
  </si>
  <si>
    <t>16h43m23.2s</t>
  </si>
  <si>
    <t>+61h59m1s</t>
  </si>
  <si>
    <t>most extremely faint, pretty small, star to east</t>
  </si>
  <si>
    <t>eeF, pS, * f</t>
  </si>
  <si>
    <t>NGC6203</t>
  </si>
  <si>
    <t>16h40m27.3s</t>
  </si>
  <si>
    <t>+23h46m31s</t>
  </si>
  <si>
    <t>NGC6204</t>
  </si>
  <si>
    <t>16h46m7.9s</t>
  </si>
  <si>
    <t>-47h0m44s</t>
  </si>
  <si>
    <t>a cluster, pretty rich, extremely irregularly compressed middle, stars from 11th to 12th magnitude</t>
  </si>
  <si>
    <t>Cl, pRi, eiCM, st 11…12</t>
  </si>
  <si>
    <t>NGC6205</t>
  </si>
  <si>
    <t>武仙座球状星团</t>
  </si>
  <si>
    <t>16h41m41.5s</t>
  </si>
  <si>
    <t>+36h27m39s</t>
  </si>
  <si>
    <t>a very remarkable object, a globular cluster, extremely bright, very rich, very gradually extremely compressed middle, stars from 11th magnitude</t>
  </si>
  <si>
    <t>!! globular, eB, vRi, vgeCM, st 11…</t>
  </si>
  <si>
    <t>NGC6206</t>
  </si>
  <si>
    <t>16h40m7.9s</t>
  </si>
  <si>
    <t>+58h37m2s</t>
  </si>
  <si>
    <t>pretty faint, extremely small, round, stellar, 3 very faint stars near</t>
  </si>
  <si>
    <t>pF, eS, R, stell, 3 vF st nr</t>
  </si>
  <si>
    <t>NGC6207</t>
  </si>
  <si>
    <t>16h43m3.7s</t>
  </si>
  <si>
    <t>+36h49m55s</t>
  </si>
  <si>
    <t>pretty bright, pretty large, extended 45°±, very gradually much brighter middle</t>
  </si>
  <si>
    <t>pB, pL, E 45° ±, vgmbM</t>
  </si>
  <si>
    <t>NGC6208</t>
  </si>
  <si>
    <t>16h49m25.8s</t>
  </si>
  <si>
    <t>-53h42m18s</t>
  </si>
  <si>
    <t>a cluster, large, rich, a little compressed middle, stars from 9th to 12th magnitude</t>
  </si>
  <si>
    <t>Cl, L, Ri, lCM, st 9…12</t>
  </si>
  <si>
    <t>NGC6209</t>
  </si>
  <si>
    <t>16h54m57.7s</t>
  </si>
  <si>
    <t>-72h35m12s</t>
  </si>
  <si>
    <t>very faint, pretty large, very gradually a very little brighter middle</t>
  </si>
  <si>
    <t>vF, pL, vgvlbM</t>
  </si>
  <si>
    <t>NGC6210</t>
  </si>
  <si>
    <t>乌龟星云</t>
  </si>
  <si>
    <t>16h44m29.5s</t>
  </si>
  <si>
    <t>+23h48m2s</t>
  </si>
  <si>
    <t>a planetary nebula, very bright, very small, round, disc and border</t>
  </si>
  <si>
    <t>planetary, vB, vS, R, disc &amp; border</t>
  </si>
  <si>
    <t>NGC6211</t>
  </si>
  <si>
    <t>16h41m27.6s</t>
  </si>
  <si>
    <t>+57h47m2s</t>
  </si>
  <si>
    <t>very faint, pretty small, round, southwestern of 2</t>
  </si>
  <si>
    <t>vF, pS, R, sp of 2</t>
  </si>
  <si>
    <t>NGC6212</t>
  </si>
  <si>
    <t>+39h48m26s</t>
  </si>
  <si>
    <t>NGC6213</t>
  </si>
  <si>
    <t>16h41m37.3s</t>
  </si>
  <si>
    <t>+57h48m54s</t>
  </si>
  <si>
    <t>extremely faint, very small, round, northeastern of 2</t>
  </si>
  <si>
    <t>eF, vS, R, nf of 2</t>
  </si>
  <si>
    <t>NGC6214</t>
  </si>
  <si>
    <t>16h39m31.8s</t>
  </si>
  <si>
    <t>+66h2m23s</t>
  </si>
  <si>
    <t>NGC6215</t>
  </si>
  <si>
    <t>16h51m7s</t>
  </si>
  <si>
    <t>-58h59m35s</t>
  </si>
  <si>
    <t>pretty faint, round, very gradually a little brighter middle, 4th magnitude star 79 seconds of time to west</t>
  </si>
  <si>
    <t>pF, R, vglbM, * 4 p 79s</t>
  </si>
  <si>
    <t>NGC6216</t>
  </si>
  <si>
    <t>16h49m23.5s</t>
  </si>
  <si>
    <t>-44h43m53s</t>
  </si>
  <si>
    <t>a cluster, pretty small, pretty rich, pretty compressed, stars from 12th to 15th magnitude</t>
  </si>
  <si>
    <t>Cl, pS, pRi, pC, st 12…15</t>
  </si>
  <si>
    <t>NGC6217</t>
  </si>
  <si>
    <t>16h32m38.7s</t>
  </si>
  <si>
    <t>+78h11m57s</t>
  </si>
  <si>
    <t>bright, considerably large, a little extended, suddenly a little brighter middle</t>
  </si>
  <si>
    <t>B, cL, lE, slbM</t>
  </si>
  <si>
    <t>NGC6218</t>
  </si>
  <si>
    <t>口香糖球状星团</t>
  </si>
  <si>
    <t>16h47m14.5s</t>
  </si>
  <si>
    <t>-1h56m50s</t>
  </si>
  <si>
    <t>a very remarkable object, a globular cluster, very bright, very large, irregularly round, gradually much brighter middle, well resolved, clearly consisting of stars, stars from 10th magnitude</t>
  </si>
  <si>
    <t>!! globular, vB, vL, iR, gmbM, rrr, st 10…</t>
  </si>
  <si>
    <t>NGC6219</t>
  </si>
  <si>
    <t>16h46m22.6s</t>
  </si>
  <si>
    <t>+9h2m18s</t>
  </si>
  <si>
    <t>NGC6220</t>
  </si>
  <si>
    <t>16h47m13.2s</t>
  </si>
  <si>
    <t>-0h16m30s</t>
  </si>
  <si>
    <t>most extremely faint, pretty small, irregularly round, 3 faint stars to south</t>
  </si>
  <si>
    <t>eeF, pS, iR, 3 F st s</t>
  </si>
  <si>
    <t>NGC6221</t>
  </si>
  <si>
    <t>16h52m46.1s</t>
  </si>
  <si>
    <t>-59h13m6s</t>
  </si>
  <si>
    <t>a globular cluster, pretty bright, considerably large, round, gradually a little brighter middle, partially resolved (some stars seen)</t>
  </si>
  <si>
    <t>globular, pB, cL, R, glbM, rr</t>
  </si>
  <si>
    <t>NGC6222</t>
  </si>
  <si>
    <t>17h0m45.3s</t>
  </si>
  <si>
    <t>-44h39m18s</t>
  </si>
  <si>
    <t>Cl, vL, vRi, lbM, st 12…13</t>
  </si>
  <si>
    <t>NGC6223</t>
  </si>
  <si>
    <t>16h43m4.2s</t>
  </si>
  <si>
    <t>+61h34m43s</t>
  </si>
  <si>
    <t>NGC6224</t>
  </si>
  <si>
    <t>16h48m18.5s</t>
  </si>
  <si>
    <t>+6h18m44s</t>
  </si>
  <si>
    <t>most extremely faint, very small, a little extended, pretty bright star near to north, northern of 2</t>
  </si>
  <si>
    <t>eeF, vS, lE, pB * nr n, n of 2</t>
  </si>
  <si>
    <t>NGC6225</t>
  </si>
  <si>
    <t>16h48m21.6s</t>
  </si>
  <si>
    <t>+6h13m23s</t>
  </si>
  <si>
    <t>extremely faint, very small, a little extended, faint star involved, southern of 2</t>
  </si>
  <si>
    <t>eF, vS, lE, F st inv, s of 2</t>
  </si>
  <si>
    <t>NGC6226</t>
  </si>
  <si>
    <t>F, S, Δ with 2 st 12 &amp; 14</t>
  </si>
  <si>
    <t>NGC6227</t>
  </si>
  <si>
    <t>16h51m30s</t>
  </si>
  <si>
    <t>-40h54m0s</t>
  </si>
  <si>
    <t>a cluster, extremely large, extremely rich (in Milky Way)</t>
  </si>
  <si>
    <t>Cl, eL, eRi (Milky Way)</t>
  </si>
  <si>
    <t>NGC6228</t>
  </si>
  <si>
    <t>16h48m2.8s</t>
  </si>
  <si>
    <t>+26h12m46s</t>
  </si>
  <si>
    <t>NGC6229</t>
  </si>
  <si>
    <t>彗星奖球状星团</t>
  </si>
  <si>
    <t>16h46m58.9s</t>
  </si>
  <si>
    <t>+47h31m42s</t>
  </si>
  <si>
    <t>a globular cluster, very bright, large, round, disc and faint border, mottled but not resolved</t>
  </si>
  <si>
    <t>globular, vB, L, R, disc &amp; F border, r</t>
  </si>
  <si>
    <t>NGC6230</t>
  </si>
  <si>
    <t>16h50m46.8s</t>
  </si>
  <si>
    <t>+4h36m16s</t>
  </si>
  <si>
    <t>NGC6231</t>
  </si>
  <si>
    <t>伪彗星星云</t>
  </si>
  <si>
    <t>16h54m9.8s</t>
  </si>
  <si>
    <t>-41h49m30s</t>
  </si>
  <si>
    <t>a cluster, bright, considerably large, pretty rich, stars from 10th to 13th magnitude</t>
  </si>
  <si>
    <t>Cl, B, cL, pRi, st 10…13</t>
  </si>
  <si>
    <t>NGC6232</t>
  </si>
  <si>
    <t>16h43m19.9s</t>
  </si>
  <si>
    <t>+70h37m57s</t>
  </si>
  <si>
    <t>NGC6233</t>
  </si>
  <si>
    <t>16h50m15.6s</t>
  </si>
  <si>
    <t>+23h34m49s</t>
  </si>
  <si>
    <t>NGC6234</t>
  </si>
  <si>
    <t>16h51m57.2s</t>
  </si>
  <si>
    <t>+4h23m3s</t>
  </si>
  <si>
    <t>NGC6235</t>
  </si>
  <si>
    <t>16h53m25.4s</t>
  </si>
  <si>
    <t>-22h10m36s</t>
  </si>
  <si>
    <t>pretty bright, considerably large, irregularly round, well resolved, clearly consisting of stars, stars from 14th to 16th magnitude</t>
  </si>
  <si>
    <t>pB, cL, iR, rrr, st 14…16</t>
  </si>
  <si>
    <t>NGC6236</t>
  </si>
  <si>
    <t>16h44m34.3s</t>
  </si>
  <si>
    <t>+70h46m48s</t>
  </si>
  <si>
    <t>NGC6237</t>
  </si>
  <si>
    <t>16h44m7.4s</t>
  </si>
  <si>
    <t>+70h38m5s</t>
  </si>
  <si>
    <t>NGC6238</t>
  </si>
  <si>
    <t>16h47m15.9s</t>
  </si>
  <si>
    <t>+62h8m51s</t>
  </si>
  <si>
    <t>most extremely faint, extremely small, extremely faint star close, very difficult</t>
  </si>
  <si>
    <t>eeF, eS, eF * close, v diffic</t>
  </si>
  <si>
    <t>NGC6239</t>
  </si>
  <si>
    <t>16h50m5.2s</t>
  </si>
  <si>
    <t>+42h44m23s</t>
  </si>
  <si>
    <t>very faint, extended, binuclear northwest-southeast</t>
  </si>
  <si>
    <t>vF, E, biN np sf</t>
  </si>
  <si>
    <t>NGC6240</t>
  </si>
  <si>
    <t>16h52m58.8s</t>
  </si>
  <si>
    <t>+2h24m11s</t>
  </si>
  <si>
    <t>very faint, pretty large, a little extended, diffuse</t>
  </si>
  <si>
    <t>vF, pL, lE, dif</t>
  </si>
  <si>
    <t>NGC6241</t>
  </si>
  <si>
    <t>16h50m11s</t>
  </si>
  <si>
    <t>+45h25m16s</t>
  </si>
  <si>
    <t>NGC6242</t>
  </si>
  <si>
    <t>16h55m30.6s</t>
  </si>
  <si>
    <t>-39h28m1s</t>
  </si>
  <si>
    <t>a cluster, bright, large, rich, stars from 8th to 11th magnitude</t>
  </si>
  <si>
    <t>Cl, B, L, Ri, st 8…11</t>
  </si>
  <si>
    <t>NGC6243</t>
  </si>
  <si>
    <t>16h52m26.3s</t>
  </si>
  <si>
    <t>+23h19m58s</t>
  </si>
  <si>
    <t>very faint, very small, irregular figure, diffuse</t>
  </si>
  <si>
    <t>vF, vS, iF, dif</t>
  </si>
  <si>
    <t>NGC6244</t>
  </si>
  <si>
    <t>16h48m3.9s</t>
  </si>
  <si>
    <t>+62h12m2s</t>
  </si>
  <si>
    <t>very faint, very small, round, between 2 stars, northeastern of 2</t>
  </si>
  <si>
    <t>vF, vS, R, bet 2 st, nf of 2</t>
  </si>
  <si>
    <t>NGC6245</t>
  </si>
  <si>
    <t>16h45m22.4s</t>
  </si>
  <si>
    <t>+70h48m16s</t>
  </si>
  <si>
    <t>NGC6246</t>
  </si>
  <si>
    <t>16h49m53s</t>
  </si>
  <si>
    <t>+55h32m34s</t>
  </si>
  <si>
    <t>NGC6247</t>
  </si>
  <si>
    <t>16h48m19.4s</t>
  </si>
  <si>
    <t>+62h58m38s</t>
  </si>
  <si>
    <t>faint, pretty small, irregular figure</t>
  </si>
  <si>
    <t>F, pS, iF</t>
  </si>
  <si>
    <t>NGC6248</t>
  </si>
  <si>
    <t>16h46m22.3s</t>
  </si>
  <si>
    <t>+70h21m22s</t>
  </si>
  <si>
    <t>NGC6249</t>
  </si>
  <si>
    <t>16h57m41.7s</t>
  </si>
  <si>
    <t>-44h48m17s</t>
  </si>
  <si>
    <t>a cluster, pretty rich, very little compressed, irregular figure, stars large and small</t>
  </si>
  <si>
    <t>Cl, pRi, vlC, iF, st L &amp; S</t>
  </si>
  <si>
    <t>NGC6250</t>
  </si>
  <si>
    <t>16h57m56s</t>
  </si>
  <si>
    <t>-45h56m12s</t>
  </si>
  <si>
    <t>a cluster, large, a little rich, a little compressed, stars from 8th to 12th magnitude</t>
  </si>
  <si>
    <t>Cl, L, lRi, lC, st 8…12</t>
  </si>
  <si>
    <t>NGC6251</t>
  </si>
  <si>
    <t>16h32m31.8s</t>
  </si>
  <si>
    <t>+82h32m18s</t>
  </si>
  <si>
    <t>considerably faint, small, brighter middle, western of 2</t>
  </si>
  <si>
    <t>cF, S, bM, p of 2</t>
  </si>
  <si>
    <t>NGC6252</t>
  </si>
  <si>
    <t>16h32m40.3s</t>
  </si>
  <si>
    <t>+82h34m38s</t>
  </si>
  <si>
    <t>very faint, very small, eastern of 2</t>
  </si>
  <si>
    <t>NGC6253</t>
  </si>
  <si>
    <t>16h59m6.1s</t>
  </si>
  <si>
    <t>-52h42m57s</t>
  </si>
  <si>
    <t>a cluster, small, triangular, stars of 13th magnitude</t>
  </si>
  <si>
    <t>Cl, S, triangular, st 13</t>
  </si>
  <si>
    <t>NGC6254</t>
  </si>
  <si>
    <t>16h57m8.9s</t>
  </si>
  <si>
    <t>-4h5m56s</t>
  </si>
  <si>
    <t>a remarkable object, a globular cluster, bright, very large, round, gradually very much brighter middle, well resolved, clearly consisting of stars, stars from 10th to 15th magnitude</t>
  </si>
  <si>
    <t>! globular, B, vL, R, gvmbM, rrr, st 10…15</t>
  </si>
  <si>
    <t>NGC6255</t>
  </si>
  <si>
    <t>16h54m47.4s</t>
  </si>
  <si>
    <t>+36h30m6s</t>
  </si>
  <si>
    <t>extremely faint, considerably large, extended 90°</t>
  </si>
  <si>
    <t>eF, cL, E 90°</t>
  </si>
  <si>
    <t>NGC6256</t>
  </si>
  <si>
    <t>16h59m32.6s</t>
  </si>
  <si>
    <t>-37h7m15s</t>
  </si>
  <si>
    <t>a globular cluster, very faint, very large, irregularly round, very gradually brighter middle, well resolved, clearly consisting of stars</t>
  </si>
  <si>
    <t>globular, vF, vL, iR, vgbM, rrr</t>
  </si>
  <si>
    <t>NGC6257</t>
  </si>
  <si>
    <t>16h54m52.2s</t>
  </si>
  <si>
    <t>+39h36m50s</t>
  </si>
  <si>
    <t>very faint (very small double star?), faint double star to northeast</t>
  </si>
  <si>
    <t>vF (vS D * ?), F D * nf</t>
  </si>
  <si>
    <t>NGC6258</t>
  </si>
  <si>
    <t>16h52m29.7s</t>
  </si>
  <si>
    <t>+60h30m52s</t>
  </si>
  <si>
    <t>extremely faint, very small, round, bright star and double star to west</t>
  </si>
  <si>
    <t>eF, vS, R, B * and D * p</t>
  </si>
  <si>
    <t>NGC6259</t>
  </si>
  <si>
    <t>a remarkable object, a cluster, bright, very large, very rich, stars from 11th magnitude</t>
  </si>
  <si>
    <t>! Cl, B, vL, vRi, st 11…</t>
  </si>
  <si>
    <t>NGC6260</t>
  </si>
  <si>
    <t>16h51m50.3s</t>
  </si>
  <si>
    <t>+63h42m53s</t>
  </si>
  <si>
    <t>extremely faint, pretty small, round, several stars near to southeast</t>
  </si>
  <si>
    <t>eF, pS, R, sev st nr sf</t>
  </si>
  <si>
    <t>NGC6261</t>
  </si>
  <si>
    <t>16h56m30.4s</t>
  </si>
  <si>
    <t>+27h58m41s</t>
  </si>
  <si>
    <t>NGC6262</t>
  </si>
  <si>
    <t>16h58m42.9s</t>
  </si>
  <si>
    <t>+57h5m57s</t>
  </si>
  <si>
    <t>NGC6263</t>
  </si>
  <si>
    <t>16h56m43.1s</t>
  </si>
  <si>
    <t>+27h49m21s</t>
  </si>
  <si>
    <t>NGC6264</t>
  </si>
  <si>
    <t>16h57m16.1s</t>
  </si>
  <si>
    <t>+27h50m58s</t>
  </si>
  <si>
    <t>NGC6265</t>
  </si>
  <si>
    <t>16h57m29s</t>
  </si>
  <si>
    <t>+27h50m41s</t>
  </si>
  <si>
    <t>NGC6266</t>
  </si>
  <si>
    <t>闪球星团</t>
  </si>
  <si>
    <t>17h1m12.6s</t>
  </si>
  <si>
    <t>-30h6m42s</t>
  </si>
  <si>
    <t>a remarkable object, a globular cluster, very bright, large, gradually much brighter middle, well resolved, clearly consisting of stars, stars of 14th to 16th magnitude</t>
  </si>
  <si>
    <t>! globular, vB, L, gmbM, rrr, st 14…16</t>
  </si>
  <si>
    <t>NGC6267</t>
  </si>
  <si>
    <t>16h58m8.7s</t>
  </si>
  <si>
    <t>+22h59m7s</t>
  </si>
  <si>
    <t>NGC6268</t>
  </si>
  <si>
    <t>17h2m4.1s</t>
  </si>
  <si>
    <t>-39h43m16s</t>
  </si>
  <si>
    <t>a cluster, bright, pretty large, considerably rich, stars from 10th magnitude</t>
  </si>
  <si>
    <t>Cl, B, pL, cRi, st 10…</t>
  </si>
  <si>
    <t>NGC6269</t>
  </si>
  <si>
    <t>16h57m58s</t>
  </si>
  <si>
    <t>+27h51m18s</t>
  </si>
  <si>
    <t>NGC6270</t>
  </si>
  <si>
    <t>16h58m44.1s</t>
  </si>
  <si>
    <t>+27h51m32s</t>
  </si>
  <si>
    <t>NGC6271</t>
  </si>
  <si>
    <t>16h58m50.7s</t>
  </si>
  <si>
    <t>+27h57m53s</t>
  </si>
  <si>
    <t>NGC6272</t>
  </si>
  <si>
    <t>16h58m58.2s</t>
  </si>
  <si>
    <t>+27h55m51s</t>
  </si>
  <si>
    <t>NGC6273</t>
  </si>
  <si>
    <t>17h2m37.7s</t>
  </si>
  <si>
    <t>-26h16m3s</t>
  </si>
  <si>
    <t>a globular cluster, very bright, large, round, very compressed middle, well resolved, clearly consisting of stars, stars of 16th magnitude</t>
  </si>
  <si>
    <t>globular, vB, L, R, vCM, rrr, st 16</t>
  </si>
  <si>
    <t>NGC6274</t>
  </si>
  <si>
    <t>16h59m20.4s</t>
  </si>
  <si>
    <t>+29h56m47s</t>
  </si>
  <si>
    <t>NGC6275</t>
  </si>
  <si>
    <t>16h55m33.6s</t>
  </si>
  <si>
    <t>+63h14m34s</t>
  </si>
  <si>
    <t>NGC6276</t>
  </si>
  <si>
    <t>17h0m45s</t>
  </si>
  <si>
    <t>+23h2m40s</t>
  </si>
  <si>
    <t>NGC6277</t>
  </si>
  <si>
    <t>17h0m48.8s</t>
  </si>
  <si>
    <t>+23h2m24s</t>
  </si>
  <si>
    <t>NGC6278</t>
  </si>
  <si>
    <t>17h0m50.2s</t>
  </si>
  <si>
    <t>+23h0m40s</t>
  </si>
  <si>
    <t>NGC6279</t>
  </si>
  <si>
    <t>16h59m1.3s</t>
  </si>
  <si>
    <t>+47h14m16s</t>
  </si>
  <si>
    <t>very faint, pretty small, a little extended, coarse double star to northwest</t>
  </si>
  <si>
    <t>vF, pS, lE, coarse D * np</t>
  </si>
  <si>
    <t>NGC6280</t>
  </si>
  <si>
    <t>17h1m57.5s</t>
  </si>
  <si>
    <t>+6h39m59s</t>
  </si>
  <si>
    <t>NGC6281</t>
  </si>
  <si>
    <t>蛾翼星团</t>
  </si>
  <si>
    <t>17h4m47.2s</t>
  </si>
  <si>
    <t>-37h53m16s</t>
  </si>
  <si>
    <t>a cluster, large, pretty rich, a little compressed, stars from 9th to 11th magnitude</t>
  </si>
  <si>
    <t>Cl, L, pRi, lC, st 9…11</t>
  </si>
  <si>
    <t>NGC6282</t>
  </si>
  <si>
    <t>17h0m47s</t>
  </si>
  <si>
    <t>+29h49m13s</t>
  </si>
  <si>
    <t>NGC6283</t>
  </si>
  <si>
    <t>16h59m26.5s</t>
  </si>
  <si>
    <t>+49h55m19s</t>
  </si>
  <si>
    <t>NGC6284</t>
  </si>
  <si>
    <t>17h4m28.8s</t>
  </si>
  <si>
    <t>-24h45m51s</t>
  </si>
  <si>
    <t>a globular cluster, bright, large, round, compressed middle, well resolved, clearly consisting of stars, stars from 16th magnitude</t>
  </si>
  <si>
    <t>globular, B, L, R, CM, rrr, st 16…</t>
  </si>
  <si>
    <t>NGC6285</t>
  </si>
  <si>
    <t>16h58m23.9s</t>
  </si>
  <si>
    <t>+58h57m21s</t>
  </si>
  <si>
    <t>most extremely faint, small, round, very difficult, northwestern of 2</t>
  </si>
  <si>
    <t>eeF, S, R, v diffic, np of 2</t>
  </si>
  <si>
    <t>NGC6286</t>
  </si>
  <si>
    <t>16h58m31.6s</t>
  </si>
  <si>
    <t>+58h56m15s</t>
  </si>
  <si>
    <t>NGC6287</t>
  </si>
  <si>
    <t>17h5m9.4s</t>
  </si>
  <si>
    <t>-22h42m27s</t>
  </si>
  <si>
    <t>a globular cluster, considerably bright, large, round, gradually pretty much compressed middle, well resolved, clearly consisting of stars, stars from 16th magnitude</t>
  </si>
  <si>
    <t>globular, cB, L, R, gpmCM, rrr, st 16</t>
  </si>
  <si>
    <t>NGC6288</t>
  </si>
  <si>
    <t>16h57m24.3s</t>
  </si>
  <si>
    <t>+68h27m27s</t>
  </si>
  <si>
    <t>extremely faint, very small, round, southwestern of 2</t>
  </si>
  <si>
    <t>eF, vS, R, sp of 2</t>
  </si>
  <si>
    <t>NGC6289</t>
  </si>
  <si>
    <t>16h57m44.9s</t>
  </si>
  <si>
    <t>+68h30m51s</t>
  </si>
  <si>
    <t>extremely faint, pretty large, much extended, northeastern of 2</t>
  </si>
  <si>
    <t>eF, pL, mE, nf of 2</t>
  </si>
  <si>
    <t>NGC6290</t>
  </si>
  <si>
    <t>17h0m56.4s</t>
  </si>
  <si>
    <t>+58h58m15s</t>
  </si>
  <si>
    <t>extremely faint, pretty small, round, star close to east</t>
  </si>
  <si>
    <t>eF, pS, R, * close f</t>
  </si>
  <si>
    <t>NGC6291</t>
  </si>
  <si>
    <t>17h0m56s</t>
  </si>
  <si>
    <t>+58h56m16s</t>
  </si>
  <si>
    <t>most extremely faint, extremely small, round</t>
  </si>
  <si>
    <t>NGC6292</t>
  </si>
  <si>
    <t>17h3m3.5s</t>
  </si>
  <si>
    <t>+61h2m38s</t>
  </si>
  <si>
    <t>extremely faint, extended, very difficult, faint star near</t>
  </si>
  <si>
    <t>eF, E, v diffic, F st nr</t>
  </si>
  <si>
    <t>NGC6293</t>
  </si>
  <si>
    <t>17h10m10.4s</t>
  </si>
  <si>
    <t>-26h34m52s</t>
  </si>
  <si>
    <t>a globular cluster, very bright, large, round, pretty suddenly brighter middle, well resolved, clearly consisting of stars, stars from 16th magnitude</t>
  </si>
  <si>
    <t>globular, vB, L, R, psbM, rrr, st 16</t>
  </si>
  <si>
    <t>NGC6294</t>
  </si>
  <si>
    <t>17h10m16.1s</t>
  </si>
  <si>
    <t>-26h34m25s</t>
  </si>
  <si>
    <t>faint, small, very gradually brighter middle, globular cluster to west</t>
  </si>
  <si>
    <t>F, S, vgbM, globular p</t>
  </si>
  <si>
    <t>NGC6295</t>
  </si>
  <si>
    <t>17h3m15.3s</t>
  </si>
  <si>
    <t>+60h20m16s</t>
  </si>
  <si>
    <t>extremely faint, small, much extended, faint star near</t>
  </si>
  <si>
    <t>eF, S, mE, F * nr</t>
  </si>
  <si>
    <t>NGC6296</t>
  </si>
  <si>
    <t>17h8m44.6s</t>
  </si>
  <si>
    <t>+3h53m40s</t>
  </si>
  <si>
    <t>NGC6297</t>
  </si>
  <si>
    <t>17h3m36.4s</t>
  </si>
  <si>
    <t>+62h1m34s</t>
  </si>
  <si>
    <t>pretty bright, pretty small, round, between 2 stars, western of 2</t>
  </si>
  <si>
    <t>pB, pS, R, bet 2 st, p of 2</t>
  </si>
  <si>
    <t>NGC6298</t>
  </si>
  <si>
    <t>vF, eS, R, bet 2 st, f of 2</t>
  </si>
  <si>
    <t>NGC6299</t>
  </si>
  <si>
    <t>17h5m4.3s</t>
  </si>
  <si>
    <t>+62h27m30s</t>
  </si>
  <si>
    <t>NGC6300</t>
  </si>
  <si>
    <t>17h16m59.7s</t>
  </si>
  <si>
    <t>-62h49m13s</t>
  </si>
  <si>
    <t>faint, very large, very little extended, among stars, 2 stars involved</t>
  </si>
  <si>
    <t>F, vL, vlE, am st, 2 st inv</t>
  </si>
  <si>
    <t>NGC6301</t>
  </si>
  <si>
    <t>17h8m32.7s</t>
  </si>
  <si>
    <t>+42h20m21s</t>
  </si>
  <si>
    <t>F, stellar</t>
  </si>
  <si>
    <t>NGC6302</t>
  </si>
  <si>
    <t>小虫星云</t>
  </si>
  <si>
    <t>17h13m44.1s</t>
  </si>
  <si>
    <t>pretty bright, extended east-west (Swift: triple)</t>
  </si>
  <si>
    <t>pB, E pf (Swift: triple)</t>
  </si>
  <si>
    <t>NGC6303</t>
  </si>
  <si>
    <t>17h5m2.8s</t>
  </si>
  <si>
    <t>+68h49m40s</t>
  </si>
  <si>
    <t>extremely faint, pretty large, much extended, nearly between 2 stars</t>
  </si>
  <si>
    <t>eF, pL, mE, nearly bet 2 st</t>
  </si>
  <si>
    <t>NGC6304</t>
  </si>
  <si>
    <t>17h14m32.5s</t>
  </si>
  <si>
    <t>-29h27m42s</t>
  </si>
  <si>
    <t>a globular cluster, bright, considerably large, round, a little brighter middle, well resolved, clearly consisting of stars, stars from 16th magnitude</t>
  </si>
  <si>
    <t>globular, B, cL, R, lbM, rrr, st 16</t>
  </si>
  <si>
    <t>NGC6305</t>
  </si>
  <si>
    <t>17h18m0.9s</t>
  </si>
  <si>
    <t>-59h10m16s</t>
  </si>
  <si>
    <t>NGC6306</t>
  </si>
  <si>
    <t>17h7m36.9s</t>
  </si>
  <si>
    <t>+60h43m45s</t>
  </si>
  <si>
    <t>NGC6307</t>
  </si>
  <si>
    <t>17h7m40.4s</t>
  </si>
  <si>
    <t>+60h45m2s</t>
  </si>
  <si>
    <t>very faint, very small, a little extended, 13th magnitude star near to north</t>
  </si>
  <si>
    <t>vF, vS, lE, * 13 nr n</t>
  </si>
  <si>
    <t>NGC6308</t>
  </si>
  <si>
    <t>17h11m59.7s</t>
  </si>
  <si>
    <t>+23h22m46s</t>
  </si>
  <si>
    <t>NGC6309</t>
  </si>
  <si>
    <t>方盒星云</t>
  </si>
  <si>
    <t>17h14m4.3s</t>
  </si>
  <si>
    <t>-12h54m37s</t>
  </si>
  <si>
    <t>bright, small, between 2 stars very near</t>
  </si>
  <si>
    <t>B, S, bet 2 st v nr</t>
  </si>
  <si>
    <t>NGC6310</t>
  </si>
  <si>
    <t>17h7m57.3s</t>
  </si>
  <si>
    <t>+60h59m25s</t>
  </si>
  <si>
    <t>NGC6311</t>
  </si>
  <si>
    <t>17h10m43.5s</t>
  </si>
  <si>
    <t>+41h39m4s</t>
  </si>
  <si>
    <t>NGC6312</t>
  </si>
  <si>
    <t>17h10m48.1s</t>
  </si>
  <si>
    <t>+42h17m17s</t>
  </si>
  <si>
    <t>extremely faint, irregularly round, diffuse, very small star involved</t>
  </si>
  <si>
    <t>eF, irr R, dif, vS * inv</t>
  </si>
  <si>
    <t>NGC6313</t>
  </si>
  <si>
    <t>17h10m20.7s</t>
  </si>
  <si>
    <t>+48h19m54s</t>
  </si>
  <si>
    <t>most extremely faint, very small, a little extended, between 2 faint stars</t>
  </si>
  <si>
    <t>eeF, vS, lE, bet 2 F st</t>
  </si>
  <si>
    <t>NGC6314</t>
  </si>
  <si>
    <t>17h12m38.7s</t>
  </si>
  <si>
    <t>+23h16m14s</t>
  </si>
  <si>
    <t>NGC6315</t>
  </si>
  <si>
    <t>17h12m46s</t>
  </si>
  <si>
    <t>+23h13m25s</t>
  </si>
  <si>
    <t>NGC6316</t>
  </si>
  <si>
    <t>17h16m37.4s</t>
  </si>
  <si>
    <t>-28h8m22s</t>
  </si>
  <si>
    <t>a globular cluster, considerably bright, pretty small, round, gradually very much brighter middle, well resolved, clearly consisting of stars, stars from 16th magnitude</t>
  </si>
  <si>
    <t>globular, cB, pS, R, gvmbM, rrr, st 16</t>
  </si>
  <si>
    <t>NGC6317</t>
  </si>
  <si>
    <t>17h8m59.3s</t>
  </si>
  <si>
    <t>+62h53m53s</t>
  </si>
  <si>
    <t>most extremely faint, small, round, faint star near, southwestern of 2</t>
  </si>
  <si>
    <t>eeF, S, R, F * nr, sp of 2</t>
  </si>
  <si>
    <t>NGC6318</t>
  </si>
  <si>
    <t>17h16m13.4s</t>
  </si>
  <si>
    <t>-39h25m26s</t>
  </si>
  <si>
    <t>a cluster, pretty large, rich, round, gradually brighter middle, stars from 12th to 14th magnitude</t>
  </si>
  <si>
    <t>Cl, pL, Ri, R, gbM, st 12…14</t>
  </si>
  <si>
    <t>NGC6319</t>
  </si>
  <si>
    <t>17h9m44.1s</t>
  </si>
  <si>
    <t>+62h58m23s</t>
  </si>
  <si>
    <t>very faint, very small, round, a little brighter middle, northeastern of 2</t>
  </si>
  <si>
    <t>vF, vS, R, lbM, nf of 2</t>
  </si>
  <si>
    <t>NGC6320</t>
  </si>
  <si>
    <t>17h12m55.6s</t>
  </si>
  <si>
    <t>+40h16m2s</t>
  </si>
  <si>
    <t>extremely faint, 13th magnitude star 0.5 seconds of time to west</t>
  </si>
  <si>
    <t>eF, * 13 p 0s.5</t>
  </si>
  <si>
    <t>NGC6321</t>
  </si>
  <si>
    <t>17h14m24.1s</t>
  </si>
  <si>
    <t>+20h18m49s</t>
  </si>
  <si>
    <t>extremely faint, irregularly round, pretty small, very little brighter middle</t>
  </si>
  <si>
    <t>eF, iR, pS, vlbM</t>
  </si>
  <si>
    <t>NGC6322</t>
  </si>
  <si>
    <t>17h18m25.7s</t>
  </si>
  <si>
    <t>-42h56m2s</t>
  </si>
  <si>
    <t>a cluster, very large, pretty rich, a little compressed (place is that of northeastern star)</t>
  </si>
  <si>
    <t>Cl, vL, pRi, lC (place of * nf)</t>
  </si>
  <si>
    <t>NGC6323</t>
  </si>
  <si>
    <t>17h13m17.9s</t>
  </si>
  <si>
    <t>+43h46m56s</t>
  </si>
  <si>
    <t>NGC6324</t>
  </si>
  <si>
    <t>17h5m25.3s</t>
  </si>
  <si>
    <t>+75h24m28s</t>
  </si>
  <si>
    <t>very faint, small, extended, small star to south</t>
  </si>
  <si>
    <t>vF, S, E, S * s</t>
  </si>
  <si>
    <t>NGC6325</t>
  </si>
  <si>
    <t>17h17m59.2s</t>
  </si>
  <si>
    <t>-23h45m55s</t>
  </si>
  <si>
    <t>pretty faint, large, round, partially resolved (some stars seen)</t>
  </si>
  <si>
    <t>pF, L, R, rr</t>
  </si>
  <si>
    <t>NGC6326</t>
  </si>
  <si>
    <t>17h20m46.4s</t>
  </si>
  <si>
    <t>-51h45m14s</t>
  </si>
  <si>
    <t>a magnificent or otherwise interesting object, a planetary nebula, pretty bright, very small, round</t>
  </si>
  <si>
    <t>!!! planetary, pB, vS, R</t>
  </si>
  <si>
    <t>NGC6327</t>
  </si>
  <si>
    <t>17h14m2.2s</t>
  </si>
  <si>
    <t>+43h38m56s</t>
  </si>
  <si>
    <t>NGC6328</t>
  </si>
  <si>
    <t>17h23m40.9s</t>
  </si>
  <si>
    <t>-65h0m35s</t>
  </si>
  <si>
    <t>very faint, very small, very little extended, gradually a little brighter middle</t>
  </si>
  <si>
    <t>vF, vS, vlE, glbM</t>
  </si>
  <si>
    <t>NGC6329</t>
  </si>
  <si>
    <t>17h14m15.1s</t>
  </si>
  <si>
    <t>+43h41m6s</t>
  </si>
  <si>
    <t>NGC6330</t>
  </si>
  <si>
    <t>17h15m44.4s</t>
  </si>
  <si>
    <t>+29h24m15s</t>
  </si>
  <si>
    <t>NGC6331</t>
  </si>
  <si>
    <t>17h3m34.3s</t>
  </si>
  <si>
    <t>+78h37m47s</t>
  </si>
  <si>
    <t>NGC6332</t>
  </si>
  <si>
    <t>17h15m2.7s</t>
  </si>
  <si>
    <t>+43h39m37s</t>
  </si>
  <si>
    <t>very faint, oval, irregularly brighter middle</t>
  </si>
  <si>
    <t>vF, oval, ibM</t>
  </si>
  <si>
    <t>NGC6333</t>
  </si>
  <si>
    <t>17h19m11.8s</t>
  </si>
  <si>
    <t>-18h30m57s</t>
  </si>
  <si>
    <t>a globular cluster, bright, large, round, extremely compressed middle, well resolved, clearly consisting of stars, stars from 14th magnitude</t>
  </si>
  <si>
    <t>globular, B, L, R, eCM, rrr, st 14</t>
  </si>
  <si>
    <t>NGC6334</t>
  </si>
  <si>
    <t>猫掌星云</t>
  </si>
  <si>
    <t>17h20m48s</t>
  </si>
  <si>
    <t>-36h6m12s</t>
  </si>
  <si>
    <t>considerably faint, very large, irregularly considerably extended, very gradually a little brighter on east, 8th magnitude star involved</t>
  </si>
  <si>
    <t>cF, vL, icE, vglbf, * 8 inv</t>
  </si>
  <si>
    <t>NGC6335</t>
  </si>
  <si>
    <t>17h19m31.8s</t>
  </si>
  <si>
    <t>-30h9m49s</t>
  </si>
  <si>
    <t>a diffuse nebula in patches</t>
  </si>
  <si>
    <t>Dif neb in patches</t>
  </si>
  <si>
    <t>NGC6336</t>
  </si>
  <si>
    <t>17h16m16.5s</t>
  </si>
  <si>
    <t>+43h49m15s</t>
  </si>
  <si>
    <t>NGC6337</t>
  </si>
  <si>
    <t>麦圈星云</t>
  </si>
  <si>
    <t>17h22m15.7s</t>
  </si>
  <si>
    <t>-38h28m59s</t>
  </si>
  <si>
    <t>a magnificent or otherwise interesting object, an annular nebula, extremely faint, small, among stars</t>
  </si>
  <si>
    <t>!!! annular, eF, S, am st</t>
  </si>
  <si>
    <t>NGC6338</t>
  </si>
  <si>
    <t>17h15m22.6s</t>
  </si>
  <si>
    <t>+57h24m41s</t>
  </si>
  <si>
    <t>faint, small, round, very gradually a little brighter middle</t>
  </si>
  <si>
    <t>F, S, R, vglbM</t>
  </si>
  <si>
    <t>NGC6339</t>
  </si>
  <si>
    <t>17h17m6.6s</t>
  </si>
  <si>
    <t>+40h50m42s</t>
  </si>
  <si>
    <t>very faint, large, irregularly round, southwestern of 2</t>
  </si>
  <si>
    <t>vF, L, iR, sp of 2</t>
  </si>
  <si>
    <t>NGC6340</t>
  </si>
  <si>
    <t>17h10m23.9s</t>
  </si>
  <si>
    <t>+72h18m17s</t>
  </si>
  <si>
    <t>considerably faint, pretty large, round, very gradually much brighter middle</t>
  </si>
  <si>
    <t>cF, pL, R, vgmbM</t>
  </si>
  <si>
    <t>NGC6341</t>
  </si>
  <si>
    <t>17h17m7.3s</t>
  </si>
  <si>
    <t>+43h8m13s</t>
  </si>
  <si>
    <t>a globular cluster, very bright, very large, extremely compressed middle, well resolved, clearly consisting of stars, stars small</t>
  </si>
  <si>
    <t>globular, vB, vL, eCM, rrr, st S</t>
  </si>
  <si>
    <t>NGC6342</t>
  </si>
  <si>
    <t>17h21m10.2s</t>
  </si>
  <si>
    <t>-19h35m12s</t>
  </si>
  <si>
    <t>considerably bright, pretty small, a little extended, extremely mottled but not resolved</t>
  </si>
  <si>
    <t>cB, pS, lE, er</t>
  </si>
  <si>
    <t>NGC6343</t>
  </si>
  <si>
    <t>17h17m16.2s</t>
  </si>
  <si>
    <t>+41h3m10s</t>
  </si>
  <si>
    <t>very faint, small, a little extended, northeastern of 2</t>
  </si>
  <si>
    <t>vF, S, lE, nf of 2</t>
  </si>
  <si>
    <t>NGC6344</t>
  </si>
  <si>
    <t>17h17m18.1s</t>
  </si>
  <si>
    <t>+42h26m4s</t>
  </si>
  <si>
    <t>faint, small, round, 12th magnitude star to northeast, near</t>
  </si>
  <si>
    <t>F, S, R, * 12 nf, nr</t>
  </si>
  <si>
    <t>NGC6345</t>
  </si>
  <si>
    <t>17h15m23.9s</t>
  </si>
  <si>
    <t>+57h21m2s</t>
  </si>
  <si>
    <t>most extremely faint, very small, round, 2nd of 3</t>
  </si>
  <si>
    <t>eeF, vS, R, 2nd of 3</t>
  </si>
  <si>
    <t>NGC6346</t>
  </si>
  <si>
    <t>17h15m24.3s</t>
  </si>
  <si>
    <t>+57h19m23s</t>
  </si>
  <si>
    <t>most extremely faint, small, round, 3rd of 3</t>
  </si>
  <si>
    <t>eeF, S, R, 3rd of 3</t>
  </si>
  <si>
    <t>NGC6347</t>
  </si>
  <si>
    <t>17h19m54.6s</t>
  </si>
  <si>
    <t>+16h39m38s</t>
  </si>
  <si>
    <t>extremely faint, irregularly round, diffuse</t>
  </si>
  <si>
    <t>eF, iR, dif</t>
  </si>
  <si>
    <t>NGC6348</t>
  </si>
  <si>
    <t>17h18m21.1s</t>
  </si>
  <si>
    <t>+41h38m53s</t>
  </si>
  <si>
    <t>NGC6349</t>
  </si>
  <si>
    <t>17h19m6.4s</t>
  </si>
  <si>
    <t>+36h3m41s</t>
  </si>
  <si>
    <t>very faint, extremely small, round, a little brighter middle, western of 2</t>
  </si>
  <si>
    <t>vF, eS, R, lbM, p of 2</t>
  </si>
  <si>
    <t>NGC6350</t>
  </si>
  <si>
    <t>17h18m42.2s</t>
  </si>
  <si>
    <t>+41h41m40s</t>
  </si>
  <si>
    <t>NGC6351</t>
  </si>
  <si>
    <t>P?</t>
  </si>
  <si>
    <t>17h19m10.9s</t>
  </si>
  <si>
    <t>+36h3m36s</t>
  </si>
  <si>
    <t>very faint, very small, fainter than preceding (western) one</t>
  </si>
  <si>
    <t>vF, vS, fainter than p one</t>
  </si>
  <si>
    <t>NGC6352</t>
  </si>
  <si>
    <t>17h25m29.2s</t>
  </si>
  <si>
    <t>-48h25m20s</t>
  </si>
  <si>
    <t>pretty faint, large</t>
  </si>
  <si>
    <t>pF, L</t>
  </si>
  <si>
    <t>NGC6353</t>
  </si>
  <si>
    <t>17h21m12.4s</t>
  </si>
  <si>
    <t>+15h41m18s</t>
  </si>
  <si>
    <t>pretty bright, pretty small, 3 small stars involved, 10th magnitude star 1 arcmin to northeast</t>
  </si>
  <si>
    <t>pB, pS, 3 S st inv, * 10 nf 1'</t>
  </si>
  <si>
    <t>NGC6354</t>
  </si>
  <si>
    <t>17h24m34s</t>
  </si>
  <si>
    <t>-38h32m30s</t>
  </si>
  <si>
    <t>NGC6355</t>
  </si>
  <si>
    <t>17h23m58.6s</t>
  </si>
  <si>
    <t>-26h21m11s</t>
  </si>
  <si>
    <t>considerably faint, large, round, gradually brighter middle, well resolved, clearly consisting of stars</t>
  </si>
  <si>
    <t>cF, L, R, gbM, rrr</t>
  </si>
  <si>
    <t>NGC6356</t>
  </si>
  <si>
    <t>17h23m35s</t>
  </si>
  <si>
    <t>-17h48m45s</t>
  </si>
  <si>
    <t>globular cluster, very bright, considerably large, very gradually very much brighter middle, well resolved, clearly consisting of stars, stars from 20th magnitude downwards</t>
  </si>
  <si>
    <t>globular, vB, cL, vgvmbM, rrr, st 20</t>
  </si>
  <si>
    <t>NGC6357</t>
  </si>
  <si>
    <t>龙虾星云</t>
  </si>
  <si>
    <t>17h24m43.5s</t>
  </si>
  <si>
    <t>-34h12m5s</t>
  </si>
  <si>
    <t>faint, large, extended, very gradually a little brighter middle, double star involved</t>
  </si>
  <si>
    <t>F, L, E, vglbM, D * inv</t>
  </si>
  <si>
    <t>NGC6358</t>
  </si>
  <si>
    <t>17h18m52.8s</t>
  </si>
  <si>
    <t>+52h36m57s</t>
  </si>
  <si>
    <t>extremely faint, small, round, double star near to northwest</t>
  </si>
  <si>
    <t>eF, S, R, D * nr np</t>
  </si>
  <si>
    <t>NGC6359</t>
  </si>
  <si>
    <t>17h17m53s</t>
  </si>
  <si>
    <t>+61h46m51s</t>
  </si>
  <si>
    <t>pretty bright, small, round, bright middle and nucleus equal to 12th magnitude star</t>
  </si>
  <si>
    <t>pB, S, R, bMN = * 12</t>
  </si>
  <si>
    <t>NGC6360</t>
  </si>
  <si>
    <t>17h24m26.5s</t>
  </si>
  <si>
    <t>-29h51m46s</t>
  </si>
  <si>
    <t>nebula in patches (in the Milky Way)</t>
  </si>
  <si>
    <t>Neb in patches (Milky Way)</t>
  </si>
  <si>
    <t>NGC6361</t>
  </si>
  <si>
    <t>17h18m40.9s</t>
  </si>
  <si>
    <t>+60h36m29s</t>
  </si>
  <si>
    <t>very faint, pretty small, much extended, nearly between 2 stars</t>
  </si>
  <si>
    <t>vF, pS, mE, nearly bet 2 st</t>
  </si>
  <si>
    <t>NGC6362</t>
  </si>
  <si>
    <t>17h31m54.8s</t>
  </si>
  <si>
    <t>-67h2m51s</t>
  </si>
  <si>
    <t>globular cluster, considerably bright, large, very gradually much brighter middle, well resolved, clearly consisting of stars, stars from 14th to 17th magnitude</t>
  </si>
  <si>
    <t>globular, cB, L, vgmbM, rrr, st 14…17</t>
  </si>
  <si>
    <t>NGC6363</t>
  </si>
  <si>
    <t>NGC6364</t>
  </si>
  <si>
    <t>17h24m27.3s</t>
  </si>
  <si>
    <t>+29h23m28s</t>
  </si>
  <si>
    <t>pretty faint, very small, round, brighter middle equivalent to 13th magnitude star</t>
  </si>
  <si>
    <t>pF, vS, R, bM * 13</t>
  </si>
  <si>
    <t>NGC6365</t>
  </si>
  <si>
    <t>17h22m43.5s</t>
  </si>
  <si>
    <t>+62h10m24s</t>
  </si>
  <si>
    <t>most extremely faint, pretty large, irregularly round, extremely faint star involved, star to southeast</t>
  </si>
  <si>
    <t>eeF, pL, iR, eF st inv, * sf</t>
  </si>
  <si>
    <t>NGC6366</t>
  </si>
  <si>
    <t>17h27m44.3s</t>
  </si>
  <si>
    <t>-5h4m34s</t>
  </si>
  <si>
    <t>faint, large, very little brighter middle (= Auwers 36)</t>
  </si>
  <si>
    <t>F, L, vlbM (Auw 36)</t>
  </si>
  <si>
    <t>NGC6367</t>
  </si>
  <si>
    <t>17h25m8.9s</t>
  </si>
  <si>
    <t>+37h45m37s</t>
  </si>
  <si>
    <t>very faint star in very faint, very small, round nebula</t>
  </si>
  <si>
    <t>NGC6368</t>
  </si>
  <si>
    <t>17h27m11.4s</t>
  </si>
  <si>
    <t>+11h32m35s</t>
  </si>
  <si>
    <t>NGC6369</t>
  </si>
  <si>
    <t>小鬼魂星云</t>
  </si>
  <si>
    <t>17h29m20.4s</t>
  </si>
  <si>
    <t>-23h45m33s</t>
  </si>
  <si>
    <t>very remarkable, an annular nebula, pretty bright, small, round</t>
  </si>
  <si>
    <t>!! annular, pB, S, R</t>
  </si>
  <si>
    <t>NGC6370</t>
  </si>
  <si>
    <t>17h23m25.1s</t>
  </si>
  <si>
    <t>+56h58m30s</t>
  </si>
  <si>
    <t>very faint, very small, round, bright star near to north</t>
  </si>
  <si>
    <t>vF, vS, R, B * nr n</t>
  </si>
  <si>
    <t>NGC6371</t>
  </si>
  <si>
    <t>17h27m20.6s</t>
  </si>
  <si>
    <t>+26h30m18s</t>
  </si>
  <si>
    <t>very faint, small, round, northwestern of 2</t>
  </si>
  <si>
    <t>NGC6372</t>
  </si>
  <si>
    <t>17h27m31.9s</t>
  </si>
  <si>
    <t>+26h28m29s</t>
  </si>
  <si>
    <t>very faint, pretty small, irregular figure, southeastern of 2</t>
  </si>
  <si>
    <t>vF, pS, iF, sf of 2</t>
  </si>
  <si>
    <t>NGC6373</t>
  </si>
  <si>
    <t>17h24m8s</t>
  </si>
  <si>
    <t>+58h59m43s</t>
  </si>
  <si>
    <t>NGC6374</t>
  </si>
  <si>
    <t>17h34m42.2s</t>
  </si>
  <si>
    <t>-32h34m54s</t>
  </si>
  <si>
    <t>cluster, small, poor, bright star involved</t>
  </si>
  <si>
    <t>Cl, S, P, B * inv</t>
  </si>
  <si>
    <t>NGC6375</t>
  </si>
  <si>
    <t>17h29m21.8s</t>
  </si>
  <si>
    <t>+16h12m26s</t>
  </si>
  <si>
    <t>NGC6376</t>
  </si>
  <si>
    <t>17h25m19.2s</t>
  </si>
  <si>
    <t>+58h49m2s</t>
  </si>
  <si>
    <t>most extremely faint, extremely small, round, very difficult</t>
  </si>
  <si>
    <t>eeF, eS, R, v diffic</t>
  </si>
  <si>
    <t>NGC6377</t>
  </si>
  <si>
    <t>17h25m23s</t>
  </si>
  <si>
    <t>+58h49m22s</t>
  </si>
  <si>
    <t>NGC6378</t>
  </si>
  <si>
    <t>17h30m41.8s</t>
  </si>
  <si>
    <t>+6h16m53s</t>
  </si>
  <si>
    <t>very difficult</t>
  </si>
  <si>
    <t>v difficult</t>
  </si>
  <si>
    <t>NGC6379</t>
  </si>
  <si>
    <t>17h30m35s</t>
  </si>
  <si>
    <t>+16h17m19s</t>
  </si>
  <si>
    <t>NGC6380</t>
  </si>
  <si>
    <t>托南钦特拉1球状星团</t>
  </si>
  <si>
    <t>17h34m28s</t>
  </si>
  <si>
    <t>-39h4m7s</t>
  </si>
  <si>
    <t>extremely faint, pretty small, a little extended, 9th magnitude star attached</t>
  </si>
  <si>
    <t>eF, pS, lE, * 9 att</t>
  </si>
  <si>
    <t>NGC6381</t>
  </si>
  <si>
    <t>17h27m16.9s</t>
  </si>
  <si>
    <t>+60h0m50s</t>
  </si>
  <si>
    <t>NGC6382</t>
  </si>
  <si>
    <t>17h27m55.2s</t>
  </si>
  <si>
    <t>+56h52m8s</t>
  </si>
  <si>
    <t>NGC6383</t>
  </si>
  <si>
    <t>Cl, st 13, * 6·7 in M</t>
  </si>
  <si>
    <t>NGC6384</t>
  </si>
  <si>
    <t>17h32m24.2s</t>
  </si>
  <si>
    <t>+7h3m39s</t>
  </si>
  <si>
    <t>pretty bright, small, very little extended</t>
  </si>
  <si>
    <t>NGC6385</t>
  </si>
  <si>
    <t>17h28m1.5s</t>
  </si>
  <si>
    <t>+57h31m19s</t>
  </si>
  <si>
    <t>extremely faint, small, round, bright star to south</t>
  </si>
  <si>
    <t>eF, S, R, B * s</t>
  </si>
  <si>
    <t>NGC6386</t>
  </si>
  <si>
    <t>17h28m51.7s</t>
  </si>
  <si>
    <t>+52h43m26s</t>
  </si>
  <si>
    <t>very faint, pretty small, round, between 2 stars</t>
  </si>
  <si>
    <t>vF, pS, R, bet 2 st</t>
  </si>
  <si>
    <t>NGC6387</t>
  </si>
  <si>
    <t>17h28m23.9s</t>
  </si>
  <si>
    <t>+57h32m45s</t>
  </si>
  <si>
    <t>NGC6388</t>
  </si>
  <si>
    <t>17h36m17s</t>
  </si>
  <si>
    <t>-44h44m4s</t>
  </si>
  <si>
    <t>globular cluster, very bright, large, round, pretty gradually, then pretty suddenly very much brighter middle, well resolved, clearly consisting of stars, stars from 17th magnitude</t>
  </si>
  <si>
    <t>globular, vB, L, R, pg, psvmbM, rrr, st 17…</t>
  </si>
  <si>
    <t>NGC6389</t>
  </si>
  <si>
    <t>17h32m39.7s</t>
  </si>
  <si>
    <t>+16h24m7s</t>
  </si>
  <si>
    <t>NGC6390</t>
  </si>
  <si>
    <t>17h28m28.1s</t>
  </si>
  <si>
    <t>+60h5m40s</t>
  </si>
  <si>
    <t>most extremely faint, much extended, very difficult</t>
  </si>
  <si>
    <t>eeF, mE, v diffic</t>
  </si>
  <si>
    <t>NGC6391</t>
  </si>
  <si>
    <t>17h28m49s</t>
  </si>
  <si>
    <t>+58h51m3s</t>
  </si>
  <si>
    <t>NGC6392</t>
  </si>
  <si>
    <t>17h43m30.6s</t>
  </si>
  <si>
    <t>-69h47m4s</t>
  </si>
  <si>
    <t>considerably faint, small, round, gradually a little brighter middle, 13th magnitude star to southwest</t>
  </si>
  <si>
    <t>cF, S, R, glbM, * 13 sp</t>
  </si>
  <si>
    <t>NGC6393</t>
  </si>
  <si>
    <t>17h30m8.5s</t>
  </si>
  <si>
    <t>+59h31m55s</t>
  </si>
  <si>
    <t>extremely faint, pretty small, round, southern of 2</t>
  </si>
  <si>
    <t>eF, pS, R, s of 2</t>
  </si>
  <si>
    <t>NGC6394</t>
  </si>
  <si>
    <t>17h30m21.3s</t>
  </si>
  <si>
    <t>+59h38m24s</t>
  </si>
  <si>
    <t>extremely faint, pretty small, round, northern of 2</t>
  </si>
  <si>
    <t>eF, pS, R, n of 2</t>
  </si>
  <si>
    <t>NGC6395</t>
  </si>
  <si>
    <t>17h26m31s</t>
  </si>
  <si>
    <t>+71h5m50s</t>
  </si>
  <si>
    <t>very faint, pretty large, a little extended, double star to north</t>
  </si>
  <si>
    <t>vF, pL, lE, D * n</t>
  </si>
  <si>
    <t>NGC6396</t>
  </si>
  <si>
    <t>17h37m36.2s</t>
  </si>
  <si>
    <t>-35h1m33s</t>
  </si>
  <si>
    <t>cluster, pretty large, a little rich, a little compressed</t>
  </si>
  <si>
    <t>Cl, pL, lRi, lC</t>
  </si>
  <si>
    <t>NGC6397</t>
  </si>
  <si>
    <t>17h40m41.3s</t>
  </si>
  <si>
    <t>-53h40m23s</t>
  </si>
  <si>
    <t>globular cluster, bright, very large, rich, stars from 13th magnitude</t>
  </si>
  <si>
    <t>globular, B, vL, Ri, st 13</t>
  </si>
  <si>
    <t>NGC6398</t>
  </si>
  <si>
    <t>孔雀座</t>
  </si>
  <si>
    <t>PAV</t>
  </si>
  <si>
    <t>17h42m43.9s</t>
  </si>
  <si>
    <t>-61h41m38s</t>
  </si>
  <si>
    <t>extremely faint, small, round, preceding of 2</t>
  </si>
  <si>
    <t>NGC6399</t>
  </si>
  <si>
    <t>17h31m50.4s</t>
  </si>
  <si>
    <t>NGC6400</t>
  </si>
  <si>
    <t>幻影星团</t>
  </si>
  <si>
    <t>17h40m12s</t>
  </si>
  <si>
    <t>-36h57m42s</t>
  </si>
  <si>
    <t>a cluster, pretty large, pretty rich, irregularly round, stars from 9th to 10th magnitude</t>
  </si>
  <si>
    <t>Cl, pL, pRi, iR, st 9…10</t>
  </si>
  <si>
    <t>NGC6401</t>
  </si>
  <si>
    <t>17h38m36.9s</t>
  </si>
  <si>
    <t>-23h54m30s</t>
  </si>
  <si>
    <t>pretty bright, pretty large, round, 12th magnitude star involved on east</t>
  </si>
  <si>
    <t>pB, pL, R, * 12 f inv</t>
  </si>
  <si>
    <t>NGC6402</t>
  </si>
  <si>
    <t>17h37m36.1s</t>
  </si>
  <si>
    <t>-3h14m43s</t>
  </si>
  <si>
    <t>a remarkable object, a globular cluster, bright, very large, round, extremely rich, very gradually much brighter middle, well resolved, clearly consisting of stars, stars from 15th magnitude</t>
  </si>
  <si>
    <t>! globular, B, vL, R, eRi, vgmbM, rrr, st 15</t>
  </si>
  <si>
    <t>NGC6403</t>
  </si>
  <si>
    <t>17h43m23.6s</t>
  </si>
  <si>
    <t>-61h40m55s</t>
  </si>
  <si>
    <t>most extremely faint, eastern of 2</t>
  </si>
  <si>
    <t>eeF, f of 2</t>
  </si>
  <si>
    <t>NGC6404</t>
  </si>
  <si>
    <t>17h39m37.3s</t>
  </si>
  <si>
    <t>-33h14m48s</t>
  </si>
  <si>
    <t>a cluster, faint, large, pretty rich, a little compressed, stars from 13th to 15th magnitude</t>
  </si>
  <si>
    <t>Cl, F, L, pRi, lC, st 13…15</t>
  </si>
  <si>
    <t>NGC6405</t>
  </si>
  <si>
    <t>17h40m20s</t>
  </si>
  <si>
    <t>-32h15m30s</t>
  </si>
  <si>
    <t>a cluster, large, irregularly round, a little compressed, stars of 7th magnitude and from 10th magnitude</t>
  </si>
  <si>
    <t>Cl, L, iR, lC, st 7, 10…</t>
  </si>
  <si>
    <t>NGC6406</t>
  </si>
  <si>
    <t>17h38m19.2s</t>
  </si>
  <si>
    <t>+18h49m58s</t>
  </si>
  <si>
    <t>NGC6407</t>
  </si>
  <si>
    <t>17h44m57.8s</t>
  </si>
  <si>
    <t>-60h44m23s</t>
  </si>
  <si>
    <t>extremely faint, small, round, 3 stars near</t>
  </si>
  <si>
    <t>eF, S, R, 3 st nr</t>
  </si>
  <si>
    <t>NGC6408</t>
  </si>
  <si>
    <t>17h38m47.3s</t>
  </si>
  <si>
    <t>+18h52m42s</t>
  </si>
  <si>
    <t>NGC6409</t>
  </si>
  <si>
    <t>17h36m35.3s</t>
  </si>
  <si>
    <t>+50h45m59s</t>
  </si>
  <si>
    <t>NGC6410</t>
  </si>
  <si>
    <t>17h35m20.5s</t>
  </si>
  <si>
    <t>+60h47m32s</t>
  </si>
  <si>
    <t>most extremely faint, small, round, nearly between 2 stars, southwestern of 2</t>
  </si>
  <si>
    <t>eeF, S, R, nearly bet 2 st, sp of 2</t>
  </si>
  <si>
    <t>NGC6411</t>
  </si>
  <si>
    <t>17h35m32.6s</t>
  </si>
  <si>
    <t>+60h48m47s</t>
  </si>
  <si>
    <t>very small, gradually brighter middle</t>
  </si>
  <si>
    <t>vS, gbM</t>
  </si>
  <si>
    <t>NGC6412</t>
  </si>
  <si>
    <t>17h29m36.9s</t>
  </si>
  <si>
    <t>+75h42m17s</t>
  </si>
  <si>
    <t>a globular cluster, considerably large, round, very gradually brighter middle, partially resolved (some stars seen)</t>
  </si>
  <si>
    <t>globular, cL, R, vgbM, rr</t>
  </si>
  <si>
    <t>NGC6413</t>
  </si>
  <si>
    <t>17h40m40.7s</t>
  </si>
  <si>
    <t>+12h37m26s</t>
  </si>
  <si>
    <t>very faint, very small, suddenly much brighter middle</t>
  </si>
  <si>
    <t>vF, vS, smbM</t>
  </si>
  <si>
    <t>NGC6414</t>
  </si>
  <si>
    <t>17h30m36.7s</t>
  </si>
  <si>
    <t>+74h22m36s</t>
  </si>
  <si>
    <t>NGC6415</t>
  </si>
  <si>
    <t>17h44m18s</t>
  </si>
  <si>
    <t>-35h4m0s</t>
  </si>
  <si>
    <t>nebulous portion of the Milky Way</t>
  </si>
  <si>
    <t>Nebs portion of Milky Way</t>
  </si>
  <si>
    <t>NGC6416</t>
  </si>
  <si>
    <t>17h44m19.9s</t>
  </si>
  <si>
    <t>-32h21m40s</t>
  </si>
  <si>
    <t>a cluster, very large, rich, a little compressed</t>
  </si>
  <si>
    <t>Cl, vL, Ri, lC</t>
  </si>
  <si>
    <t>NGC6417</t>
  </si>
  <si>
    <t>17h41m47.8s</t>
  </si>
  <si>
    <t>+23h40m18s</t>
  </si>
  <si>
    <t>pretty faint, small, very little brighter middle</t>
  </si>
  <si>
    <t>pF, S, vlbM</t>
  </si>
  <si>
    <t>NGC6418</t>
  </si>
  <si>
    <t>17h38m9.4s</t>
  </si>
  <si>
    <t>+58h42m55s</t>
  </si>
  <si>
    <t>NGC6419</t>
  </si>
  <si>
    <t>17h36m5.6s</t>
  </si>
  <si>
    <t>+68h9m21s</t>
  </si>
  <si>
    <t>NGC6420</t>
  </si>
  <si>
    <t>17h36m16.2s</t>
  </si>
  <si>
    <t>+68h3m9s</t>
  </si>
  <si>
    <t>NGC6421</t>
  </si>
  <si>
    <t>17h45m44s</t>
  </si>
  <si>
    <t>-33h41m14s</t>
  </si>
  <si>
    <t>a cluster, very large, pretty rich, stars from 8th to 12th magnitude</t>
  </si>
  <si>
    <t>Cl, vL, pRi, st 8…12</t>
  </si>
  <si>
    <t>NGC6422</t>
  </si>
  <si>
    <t>17h36m29.8s</t>
  </si>
  <si>
    <t>+68h3m30s</t>
  </si>
  <si>
    <t>extremely faint, pretty small, round, nearly between 2 stars</t>
  </si>
  <si>
    <t>eF, pS, R, nearly bet 2 st</t>
  </si>
  <si>
    <t>NGC6423</t>
  </si>
  <si>
    <t>17h36m53.2s</t>
  </si>
  <si>
    <t>+68h10m16s</t>
  </si>
  <si>
    <t>most extremely faint, very small, round, star close to east</t>
  </si>
  <si>
    <t>eeF, vS, R, * close f</t>
  </si>
  <si>
    <t>NGC6424</t>
  </si>
  <si>
    <t>17h36m12s</t>
  </si>
  <si>
    <t>+69h59m22s</t>
  </si>
  <si>
    <t>NGC6425</t>
  </si>
  <si>
    <t>17h47m0s</t>
  </si>
  <si>
    <t>-31h31m48s</t>
  </si>
  <si>
    <t>a cluster, pretty small, a little rich, a little compressed, stars from 10th to 12th magnitude</t>
  </si>
  <si>
    <t>Cl, pS, lRi, lC, st 10…12</t>
  </si>
  <si>
    <t>NGC6426</t>
  </si>
  <si>
    <t>17h44m54.7s</t>
  </si>
  <si>
    <t>+3h10m15s</t>
  </si>
  <si>
    <t>very faint, considerably large, extended, very little brighter middle</t>
  </si>
  <si>
    <t>vF, cL, E, vlbM</t>
  </si>
  <si>
    <t>NGC6427</t>
  </si>
  <si>
    <t>17h43m38.5s</t>
  </si>
  <si>
    <t>+25h29m38s</t>
  </si>
  <si>
    <t>NGC6428</t>
  </si>
  <si>
    <t>17h43m52.4s</t>
  </si>
  <si>
    <t>+25h33m18s</t>
  </si>
  <si>
    <t>NGC6429</t>
  </si>
  <si>
    <t>17h44m5.3s</t>
  </si>
  <si>
    <t>+25h21m3s</t>
  </si>
  <si>
    <t>NGC6430</t>
  </si>
  <si>
    <t>17h45m14.2s</t>
  </si>
  <si>
    <t>+18h8m20s</t>
  </si>
  <si>
    <t>NGC6431</t>
  </si>
  <si>
    <t>NGC6432</t>
  </si>
  <si>
    <t>人马座</t>
  </si>
  <si>
    <t>SGR</t>
  </si>
  <si>
    <t>17h47m22.4s</t>
  </si>
  <si>
    <t>-24h53m16s</t>
  </si>
  <si>
    <t>a cluster, stars very small</t>
  </si>
  <si>
    <t>Cl, st vS</t>
  </si>
  <si>
    <t>NGC6433</t>
  </si>
  <si>
    <t>17h43m56.2s</t>
  </si>
  <si>
    <t>+36h48m2s</t>
  </si>
  <si>
    <t>very faint, small, pretty much extended, brighter middle</t>
  </si>
  <si>
    <t>vF, S, pmE, bM</t>
  </si>
  <si>
    <t>NGC6434</t>
  </si>
  <si>
    <t>17h36m48.8s</t>
  </si>
  <si>
    <t>+72h5m18s</t>
  </si>
  <si>
    <t>very faint, very small, round, stellar, 8th magnitude star to south</t>
  </si>
  <si>
    <t>vF, vS, R, stellar, * 8 s</t>
  </si>
  <si>
    <t>NGC6435</t>
  </si>
  <si>
    <t>17h40m11.1s</t>
  </si>
  <si>
    <t>+62h38m31s</t>
  </si>
  <si>
    <t>most extremely faint, very small, round, very faint double star near to east</t>
  </si>
  <si>
    <t>eeF, vS, R, vF D * nr f</t>
  </si>
  <si>
    <t>NGC6436</t>
  </si>
  <si>
    <t>17h41m13.2s</t>
  </si>
  <si>
    <t>+60h26m59s</t>
  </si>
  <si>
    <t>most extremely faint, pretty small, a little extended, triple star near</t>
  </si>
  <si>
    <t>eeF, pS, lE, *** nr</t>
  </si>
  <si>
    <t>NGC6437</t>
  </si>
  <si>
    <t>17h48m24s</t>
  </si>
  <si>
    <t>-35h21m0s</t>
  </si>
  <si>
    <t>a cluster, faint, extremely large, very small stars and nebula</t>
  </si>
  <si>
    <t>Cl, F, eL, vS st + neb</t>
  </si>
  <si>
    <t>NGC6438</t>
  </si>
  <si>
    <t>18h22m15.9s</t>
  </si>
  <si>
    <t>-85h24m6s</t>
  </si>
  <si>
    <t>pretty bright, round, very gradually brighter middle</t>
  </si>
  <si>
    <t>pB, R, vgbM</t>
  </si>
  <si>
    <t>NGC6439</t>
  </si>
  <si>
    <t>17h48m19.8s</t>
  </si>
  <si>
    <t>-16h28m44s</t>
  </si>
  <si>
    <t>a planetary nebula, stellar object equivalent to 13th magnitude star</t>
  </si>
  <si>
    <t>planetary, stellar = 13 m</t>
  </si>
  <si>
    <t>NGC6440</t>
  </si>
  <si>
    <t>17h48m52.6s</t>
  </si>
  <si>
    <t>-20h21m32s</t>
  </si>
  <si>
    <t>NGC6441</t>
  </si>
  <si>
    <t>银块星团</t>
  </si>
  <si>
    <t>17h50m12.9s</t>
  </si>
  <si>
    <t>-37h3m2s</t>
  </si>
  <si>
    <t>a globular cluster, very bright, pretty large, round, very gradually much brighter middle, well resolved, clearly consisting of stars, stars from 18th magnitude</t>
  </si>
  <si>
    <t>globular, vB, pL, R, vgmbM, rrr, st 18</t>
  </si>
  <si>
    <t>NGC6442</t>
  </si>
  <si>
    <t>17h46m51.3s</t>
  </si>
  <si>
    <t>+20h45m42s</t>
  </si>
  <si>
    <t>NGC6443</t>
  </si>
  <si>
    <t>17h44m33.7s</t>
  </si>
  <si>
    <t>+48h6m52s</t>
  </si>
  <si>
    <t>NGC6444</t>
  </si>
  <si>
    <t>17h49m35.1s</t>
  </si>
  <si>
    <t>-34h49m11s</t>
  </si>
  <si>
    <t>a cluster, very large, very rich, stars from 12th to 13th magnitude</t>
  </si>
  <si>
    <t>Cl, vL, vRi, st 12…13</t>
  </si>
  <si>
    <t>NGC6445</t>
  </si>
  <si>
    <t>小宝石星云</t>
  </si>
  <si>
    <t>17h49m15.1s</t>
  </si>
  <si>
    <t>-20h0m32s</t>
  </si>
  <si>
    <t>pretty bright, pretty small, round, gradually brighter middle, mottled but not resolved, 15th magnitude star to northwest</t>
  </si>
  <si>
    <t>pB, pS, R, gbM, r, * 15 np</t>
  </si>
  <si>
    <t>NGC6446</t>
  </si>
  <si>
    <t>17h46m7.5s</t>
  </si>
  <si>
    <t>+35h34m10s</t>
  </si>
  <si>
    <t>NGC6447</t>
  </si>
  <si>
    <t>17h46m17.1s</t>
  </si>
  <si>
    <t>+35h34m20s</t>
  </si>
  <si>
    <t>NGC6448</t>
  </si>
  <si>
    <t>17h44m20.5s</t>
  </si>
  <si>
    <t>+53h32m25s</t>
  </si>
  <si>
    <t>NGC6449</t>
  </si>
  <si>
    <t>17h43m46.6s</t>
  </si>
  <si>
    <t>+56h48m15s</t>
  </si>
  <si>
    <t>NGC6450</t>
  </si>
  <si>
    <t>17h47m32.3s</t>
  </si>
  <si>
    <t>+18h34m31s</t>
  </si>
  <si>
    <t>very faint, very small, bright star 2 arcmin to east</t>
  </si>
  <si>
    <t>vF, vS, B * f 2'</t>
  </si>
  <si>
    <t>NGC6451</t>
  </si>
  <si>
    <t>汤姆拇指星团</t>
  </si>
  <si>
    <t>17h50m40.5s</t>
  </si>
  <si>
    <t>-30h12m42s</t>
  </si>
  <si>
    <t>a cluster, pretty large, pretty rich, bifid, stars from 12th magnitude</t>
  </si>
  <si>
    <t>Cl, pL, pRi, bifid, st 12…</t>
  </si>
  <si>
    <t>NGC6452</t>
  </si>
  <si>
    <t>17h47m58.5s</t>
  </si>
  <si>
    <t>+20h50m15s</t>
  </si>
  <si>
    <t>NGC6453</t>
  </si>
  <si>
    <t>17h50m51.8s</t>
  </si>
  <si>
    <t>-34h35m53s</t>
  </si>
  <si>
    <t>considerably large, irregularly round, pretty much brighter middle, mottled but not resolved</t>
  </si>
  <si>
    <t>cL, iR, pmbM, r</t>
  </si>
  <si>
    <t>NGC6454</t>
  </si>
  <si>
    <t>17h44m56.5s</t>
  </si>
  <si>
    <t>+55h42m16s</t>
  </si>
  <si>
    <t>NGC6455</t>
  </si>
  <si>
    <t>17h51m8s</t>
  </si>
  <si>
    <t>-35h20m14s</t>
  </si>
  <si>
    <t>a cluster, partially resolved (some stars seen), stars extremely small plus nebula</t>
  </si>
  <si>
    <t>Cl, rr, st eS + neb</t>
  </si>
  <si>
    <t>NGC6456</t>
  </si>
  <si>
    <t>17h42m31.7s</t>
  </si>
  <si>
    <t>+67h35m32s</t>
  </si>
  <si>
    <t>most extremely faint, extremely small, round, very difficult, between 2 stars</t>
  </si>
  <si>
    <t>eeF, eS, R, v diffic, bet 2 st</t>
  </si>
  <si>
    <t>NGC6457</t>
  </si>
  <si>
    <t>17h42m52.7s</t>
  </si>
  <si>
    <t>+66h28m34s</t>
  </si>
  <si>
    <t>NGC6458</t>
  </si>
  <si>
    <t>17h49m10.9s</t>
  </si>
  <si>
    <t>+20h48m17s</t>
  </si>
  <si>
    <t>NGC6459</t>
  </si>
  <si>
    <t>17h45m47.1s</t>
  </si>
  <si>
    <t>+55h46m37s</t>
  </si>
  <si>
    <t>extremely faint, extremely small, round, mottled but not resolved</t>
  </si>
  <si>
    <t>eF, eS, R, r</t>
  </si>
  <si>
    <t>NGC6460</t>
  </si>
  <si>
    <t>17h49m30.3s</t>
  </si>
  <si>
    <t>+20h45m51s</t>
  </si>
  <si>
    <t>NGC6461</t>
  </si>
  <si>
    <t>17h39m56.6s</t>
  </si>
  <si>
    <t>+74h2m2s</t>
  </si>
  <si>
    <t>extremely faint, pretty small, round, 5 stars near</t>
  </si>
  <si>
    <t>eF, pS, R, 5 st nr</t>
  </si>
  <si>
    <t>NGC6462</t>
  </si>
  <si>
    <t>17h44m48.7s</t>
  </si>
  <si>
    <t>+61h54m38s</t>
  </si>
  <si>
    <t>faint, extremely small, round, a planetary nebula?</t>
  </si>
  <si>
    <t>F, eS, R, planetary ?</t>
  </si>
  <si>
    <t>NGC6463</t>
  </si>
  <si>
    <t>17h43m34.2s</t>
  </si>
  <si>
    <t>+67h36m15s</t>
  </si>
  <si>
    <t>most extremely faint, small, round, very difficult, 2nd of 6</t>
  </si>
  <si>
    <t>eeF, S, R, v diffic, 2nd of 6</t>
  </si>
  <si>
    <t>NGC6464</t>
  </si>
  <si>
    <t>17h45m47.6s</t>
  </si>
  <si>
    <t>+60h53m51s</t>
  </si>
  <si>
    <t>most extremely faint, pretty small, round, south of 4 stars</t>
  </si>
  <si>
    <t>eeF, pS, R, s of 4 st</t>
  </si>
  <si>
    <t>NGC6465</t>
  </si>
  <si>
    <t>17h52m55.4s</t>
  </si>
  <si>
    <t>-25h23m50s</t>
  </si>
  <si>
    <t>extremely faint, small (suspected)</t>
  </si>
  <si>
    <t>eF, S (suspected)</t>
  </si>
  <si>
    <t>NGC6466</t>
  </si>
  <si>
    <t>17h48m8s</t>
  </si>
  <si>
    <t>+51h23m58s</t>
  </si>
  <si>
    <t>NGC6467</t>
  </si>
  <si>
    <t>17h50m40.1s</t>
  </si>
  <si>
    <t>+17h32m18s</t>
  </si>
  <si>
    <t>NGC6468</t>
  </si>
  <si>
    <t>17h50m39.2s</t>
  </si>
  <si>
    <t>+17h12m36s</t>
  </si>
  <si>
    <t>NGC6469</t>
  </si>
  <si>
    <t>17h52m56.5s</t>
  </si>
  <si>
    <t>-22h18m43s</t>
  </si>
  <si>
    <t>a cluster, pretty rich (in Milky Way)</t>
  </si>
  <si>
    <t>Cl, pRi (in M Way)</t>
  </si>
  <si>
    <t>NGC6470</t>
  </si>
  <si>
    <t>17h44m14.7s</t>
  </si>
  <si>
    <t>+67h37m9s</t>
  </si>
  <si>
    <t>eeF, vS, R, v diffic, 3rd of 6</t>
  </si>
  <si>
    <t>NGC6471</t>
  </si>
  <si>
    <t>17h44m12.6s</t>
  </si>
  <si>
    <t>+67h35m34s</t>
  </si>
  <si>
    <t>most extremely faint, extremely small, round, star near, 4th of 6</t>
  </si>
  <si>
    <t>eeF, eS, R, * nr, 4th of 6</t>
  </si>
  <si>
    <t>NGC6472</t>
  </si>
  <si>
    <t>17h44m3s</t>
  </si>
  <si>
    <t>+67h37m49s</t>
  </si>
  <si>
    <t>most extremely faint, extremely small, round, very difficult, 5th of 6</t>
  </si>
  <si>
    <t>eeF, eS, R, v diffic, 5th of 6</t>
  </si>
  <si>
    <t>NGC6473</t>
  </si>
  <si>
    <t>17h46m54s</t>
  </si>
  <si>
    <t>+57h18m30s</t>
  </si>
  <si>
    <t>most extremely faint, small, round, southern of 2</t>
  </si>
  <si>
    <t>NGC6474</t>
  </si>
  <si>
    <t>17h47m5.5s</t>
  </si>
  <si>
    <t>+57h18m5s</t>
  </si>
  <si>
    <t>extremely faint, pretty small, round, northern of 3, 3 stars near</t>
  </si>
  <si>
    <t>eF, pS, R, n of 3, 3 st nr</t>
  </si>
  <si>
    <t>NGC6475</t>
  </si>
  <si>
    <t>托勒密星团</t>
  </si>
  <si>
    <t>17h53m50s</t>
  </si>
  <si>
    <t>-34h47m36s</t>
  </si>
  <si>
    <t>a cluster, very bright, pretty rich, a little compressed, stars from 7th to 12th magnitude</t>
  </si>
  <si>
    <t>Cl, vB, pRi, lC, st 7…12</t>
  </si>
  <si>
    <t>NGC6476</t>
  </si>
  <si>
    <t>17h54m12s</t>
  </si>
  <si>
    <t>-29h7m12s</t>
  </si>
  <si>
    <t>a nebula or nebulous part of Milky Way</t>
  </si>
  <si>
    <t>Neb or nebs part of M Way</t>
  </si>
  <si>
    <t>NGC6477</t>
  </si>
  <si>
    <t>17h44m29.7s</t>
  </si>
  <si>
    <t>+67h36m39s</t>
  </si>
  <si>
    <t>most extremely faint, extremely small, round, very difficult, star near</t>
  </si>
  <si>
    <t>eeF, eS, R, v diffic, * nr</t>
  </si>
  <si>
    <t>NGC6478</t>
  </si>
  <si>
    <t>17h48m38.3s</t>
  </si>
  <si>
    <t>+51h9m24s</t>
  </si>
  <si>
    <t>pretty bright, small, very much extended, spindle</t>
  </si>
  <si>
    <t>pB, S, vmE, spindle</t>
  </si>
  <si>
    <t>NGC6479</t>
  </si>
  <si>
    <t>17h48m21.7s</t>
  </si>
  <si>
    <t>+54h8m59s</t>
  </si>
  <si>
    <t>extremely faint, pretty small, round, 3 stars to north</t>
  </si>
  <si>
    <t>eF, pS, R, 3 st n</t>
  </si>
  <si>
    <t>NGC6480</t>
  </si>
  <si>
    <t>17h54m26s</t>
  </si>
  <si>
    <t>-30h27m6s</t>
  </si>
  <si>
    <t>NGC6481</t>
  </si>
  <si>
    <t>17h52m49s</t>
  </si>
  <si>
    <t>+4h10m2s</t>
  </si>
  <si>
    <t>very small, brighter middle</t>
  </si>
  <si>
    <t>vS, bM</t>
  </si>
  <si>
    <t>NGC6482</t>
  </si>
  <si>
    <t>17h51m48.7s</t>
  </si>
  <si>
    <t>+23h4m22s</t>
  </si>
  <si>
    <t>a remarkable object, very faint, small, round, very suddenly very much brighter middle and very small round nucleus</t>
  </si>
  <si>
    <t>! vF, S, R, vsvmbMvSRN</t>
  </si>
  <si>
    <t>NGC6483</t>
  </si>
  <si>
    <t>17h59m30.5s</t>
  </si>
  <si>
    <t>-63h40m7s</t>
  </si>
  <si>
    <t>faint, small, extended, brighter middle, between two 10th magnitude stars</t>
  </si>
  <si>
    <t>F, S, E, bM, bet 2 st 10</t>
  </si>
  <si>
    <t>NGC6484</t>
  </si>
  <si>
    <t>17h51m46.8s</t>
  </si>
  <si>
    <t>+24h28m59s</t>
  </si>
  <si>
    <t>NGC6485</t>
  </si>
  <si>
    <t>17h51m52.8s</t>
  </si>
  <si>
    <t>+31h27m43s</t>
  </si>
  <si>
    <t>NGC6486</t>
  </si>
  <si>
    <t>17h52m35.2s</t>
  </si>
  <si>
    <t>+29h49m7s</t>
  </si>
  <si>
    <t>a very small star slightly nebulous</t>
  </si>
  <si>
    <t>vS * slightly nebs</t>
  </si>
  <si>
    <t>NGC6487</t>
  </si>
  <si>
    <t>17h52m41.7s</t>
  </si>
  <si>
    <t>+29h50m19s</t>
  </si>
  <si>
    <t>NGC6488</t>
  </si>
  <si>
    <t>17h49m20.8s</t>
  </si>
  <si>
    <t>+62h13m24s</t>
  </si>
  <si>
    <t>pretty faint, pretty small, extended</t>
  </si>
  <si>
    <t>pF, pS, E</t>
  </si>
  <si>
    <t>NGC6489</t>
  </si>
  <si>
    <t>17h50m1.3s</t>
  </si>
  <si>
    <t>+60h5m33s</t>
  </si>
  <si>
    <t>most extremely faint, pretty large, a little extended, between 2 stars</t>
  </si>
  <si>
    <t>eeF, pL, lE, bet 2 st</t>
  </si>
  <si>
    <t>NGC6490</t>
  </si>
  <si>
    <t>17h54m30.4s</t>
  </si>
  <si>
    <t>+18h22m35s</t>
  </si>
  <si>
    <t>NGC6491</t>
  </si>
  <si>
    <t>17h50m0.6s</t>
  </si>
  <si>
    <t>+61h31m55s</t>
  </si>
  <si>
    <t>pretty faint, extremely small, very faint star attached, northwestern of 2</t>
  </si>
  <si>
    <t>pF, eS, vF * att, np of 2</t>
  </si>
  <si>
    <t>NGC6492</t>
  </si>
  <si>
    <t>18h2m48.3s</t>
  </si>
  <si>
    <t>-66h25m50s</t>
  </si>
  <si>
    <t>pretty faint, small, pretty much extended 90°, 12th magnitude star attached on east</t>
  </si>
  <si>
    <t>pF, S, pmE 90°, * 12 att f</t>
  </si>
  <si>
    <t>NGC6493</t>
  </si>
  <si>
    <t>17h50m22.5s</t>
  </si>
  <si>
    <t>+61h33m34s</t>
  </si>
  <si>
    <t>F, eS, R, planetary ?, F * v nr, sf of 2</t>
  </si>
  <si>
    <t>NGC6494</t>
  </si>
  <si>
    <t>17h56m56s</t>
  </si>
  <si>
    <t>-19h0m42s</t>
  </si>
  <si>
    <t>a cluster, bright, very large, pretty rich, a little compressed, stars from 10th magnitude</t>
  </si>
  <si>
    <t>Cl, B, vL, pRi, lC, st 10…</t>
  </si>
  <si>
    <t>NGC6495</t>
  </si>
  <si>
    <t>17h54m50.7s</t>
  </si>
  <si>
    <t>+18h19m39s</t>
  </si>
  <si>
    <t>NGC6496</t>
  </si>
  <si>
    <t>17h59m2s</t>
  </si>
  <si>
    <t>-44h15m52s</t>
  </si>
  <si>
    <t>a nebula and cluster, pretty large, much extended, gradually a very little brighter middle</t>
  </si>
  <si>
    <t>Neb + Cl, pL, mE, gvlbM</t>
  </si>
  <si>
    <t>NGC6497</t>
  </si>
  <si>
    <t>17h51m17.8s</t>
  </si>
  <si>
    <t>+59h28m16s</t>
  </si>
  <si>
    <t>extremely faint, pretty small, a little extended, star close to north, northwestern of 2</t>
  </si>
  <si>
    <t>eF, pS, lE, * close n, np of 2</t>
  </si>
  <si>
    <t>NGC6498</t>
  </si>
  <si>
    <t>pF, pS, R, F * v nr, sf of 2</t>
  </si>
  <si>
    <t>NGC6499</t>
  </si>
  <si>
    <t>17h55m20s</t>
  </si>
  <si>
    <t>+18h21m34s</t>
  </si>
  <si>
    <t>a small double star in a nebula</t>
  </si>
  <si>
    <t>S D * in neb</t>
  </si>
  <si>
    <t>NGC6500</t>
  </si>
  <si>
    <t>17h55m59.7s</t>
  </si>
  <si>
    <t>+18h20m20s</t>
  </si>
  <si>
    <t>NGC6501</t>
  </si>
  <si>
    <t>17h56m3.7s</t>
  </si>
  <si>
    <t>+18h22m25s</t>
  </si>
  <si>
    <t>very faint, very small, northeastern of 2</t>
  </si>
  <si>
    <t>vF, vS, nf of 2</t>
  </si>
  <si>
    <t>NGC6502</t>
  </si>
  <si>
    <t>18h4m14s</t>
  </si>
  <si>
    <t>-65h24m35s</t>
  </si>
  <si>
    <t>very faint, very small, eastern star of double star involved</t>
  </si>
  <si>
    <t>vF, vS, f * of D * inv</t>
  </si>
  <si>
    <t>NGC6503</t>
  </si>
  <si>
    <t>太空迷航星系</t>
  </si>
  <si>
    <t>17h49m27.5s</t>
  </si>
  <si>
    <t>+70h8m37s</t>
  </si>
  <si>
    <t>pretty faint, large, much extended, 9th magnitude star 4 arcmin to east (Auwers 37)</t>
  </si>
  <si>
    <t>pF, L, mE, * 9 f 4' (Auw 37)</t>
  </si>
  <si>
    <t>NGC6504</t>
  </si>
  <si>
    <t>17h56m5.6s</t>
  </si>
  <si>
    <t>+33h12m31s</t>
  </si>
  <si>
    <t>faint, very much extended, suddenly brighter middle</t>
  </si>
  <si>
    <t>F, vmE, sbM</t>
  </si>
  <si>
    <t>NGC6505</t>
  </si>
  <si>
    <t>17h51m7.3s</t>
  </si>
  <si>
    <t>+65h31m53s</t>
  </si>
  <si>
    <t>NGC6506</t>
  </si>
  <si>
    <t>17h59m53.4s</t>
  </si>
  <si>
    <t>-24h41m7s</t>
  </si>
  <si>
    <t>a cluster, rich, extremely large, very little compressed</t>
  </si>
  <si>
    <t>Cl, Ri, eL, vlC</t>
  </si>
  <si>
    <t>NGC6507</t>
  </si>
  <si>
    <t>17h59m50s</t>
  </si>
  <si>
    <t>-17h27m0s</t>
  </si>
  <si>
    <t>NGC6508</t>
  </si>
  <si>
    <t>17h49m46.3s</t>
  </si>
  <si>
    <t>+72h1m18s</t>
  </si>
  <si>
    <t>NGC6509</t>
  </si>
  <si>
    <t>17h59m25.3s</t>
  </si>
  <si>
    <t>+6h17m14s</t>
  </si>
  <si>
    <t>very faint, pretty large, irregularly round, a little brighter middle</t>
  </si>
  <si>
    <t>vF, pL, irrR, lbM</t>
  </si>
  <si>
    <t>NGC6510</t>
  </si>
  <si>
    <t>17h54m39.2s</t>
  </si>
  <si>
    <t>+60h49m2s</t>
  </si>
  <si>
    <t>most extremely faint, pretty small, a little extended, very difficult.</t>
  </si>
  <si>
    <t>NGC6511</t>
  </si>
  <si>
    <t>F, pL, bM (? = last one)</t>
  </si>
  <si>
    <t>NGC6512</t>
  </si>
  <si>
    <t>17h54m50.2s</t>
  </si>
  <si>
    <t>+62h38m44s</t>
  </si>
  <si>
    <t>very faint, round, 1st of 3</t>
  </si>
  <si>
    <t>vF, R, 1st of 3</t>
  </si>
  <si>
    <t>NGC6513</t>
  </si>
  <si>
    <t>17h59m34.3s</t>
  </si>
  <si>
    <t>+24h53m15s</t>
  </si>
  <si>
    <t>NGC6514</t>
  </si>
  <si>
    <t>三裂星云</t>
  </si>
  <si>
    <t>18h3m26s</t>
  </si>
  <si>
    <t>-22h59m27s</t>
  </si>
  <si>
    <t>a magnificent or otherwise interesting object, very bright, very large, trifid, double star involved</t>
  </si>
  <si>
    <t>!!! vB, vL, trifid, D * inv</t>
  </si>
  <si>
    <t>NGC6515</t>
  </si>
  <si>
    <t>17h57m25.3s</t>
  </si>
  <si>
    <t>+50h43m39s</t>
  </si>
  <si>
    <t>very faint, very small, round, 2 bright stars near</t>
  </si>
  <si>
    <t>vF, vS, R, 2 B st nr</t>
  </si>
  <si>
    <t>NGC6516</t>
  </si>
  <si>
    <t>17h55m16.6s</t>
  </si>
  <si>
    <t>+62h40m10s</t>
  </si>
  <si>
    <t>very faint, very small, 2nd of 3</t>
  </si>
  <si>
    <t>vF, vS, 2nd of 3</t>
  </si>
  <si>
    <t>NGC6517</t>
  </si>
  <si>
    <t>18h1m50.6s</t>
  </si>
  <si>
    <t>-8h57m30s</t>
  </si>
  <si>
    <t>pretty bright, pretty large, round, partially resolved (some stars seen)</t>
  </si>
  <si>
    <t>pB, pL, R, rr</t>
  </si>
  <si>
    <t>NGC6518</t>
  </si>
  <si>
    <t>17h59m43.6s</t>
  </si>
  <si>
    <t>+28h52m2s</t>
  </si>
  <si>
    <t>Two very faint close stars in very faint, very small nebula</t>
  </si>
  <si>
    <t>2 vF, close st in vF, vS neb</t>
  </si>
  <si>
    <t>NGC6519</t>
  </si>
  <si>
    <t>18h3m20.1s</t>
  </si>
  <si>
    <t>-29h48m14s</t>
  </si>
  <si>
    <t>very faint, northwest of I 49</t>
  </si>
  <si>
    <t>vF, np I 49</t>
  </si>
  <si>
    <t>NGC6520</t>
  </si>
  <si>
    <t>亡灵宝藏星团</t>
  </si>
  <si>
    <t>18h3m25s</t>
  </si>
  <si>
    <t>-27h53m28s</t>
  </si>
  <si>
    <t>a cluster, pretty small, rich, a little compressed, stars from 9th to 13th magnitude</t>
  </si>
  <si>
    <t>Cl, pS, Ri, lC, st 9…13</t>
  </si>
  <si>
    <t>NGC6521</t>
  </si>
  <si>
    <t>17h55m48.3s</t>
  </si>
  <si>
    <t>+62h36m42s</t>
  </si>
  <si>
    <t>faint, pretty large, 3rd of 3</t>
  </si>
  <si>
    <t>F, pL, 3rd of 3</t>
  </si>
  <si>
    <t>NGC6522</t>
  </si>
  <si>
    <t>巴德窗</t>
  </si>
  <si>
    <t>18h3m34.1s</t>
  </si>
  <si>
    <t>-30h2m0s</t>
  </si>
  <si>
    <t>a globular cluster, bright, pretty large, round, gradually very much brighter middle, well resolved, clearly consisting of stars, stars from 16th magnitude</t>
  </si>
  <si>
    <t>globular, B, pL, R, gvmbM, rrr, st 16</t>
  </si>
  <si>
    <t>NGC6523</t>
  </si>
  <si>
    <t>礁湖星云</t>
  </si>
  <si>
    <t>18h3m42s</t>
  </si>
  <si>
    <t>-24h22m48s</t>
  </si>
  <si>
    <t>a magnificent or otherwise interesting object, very bright, extremely large, extremely irregular figure, with large cluster</t>
  </si>
  <si>
    <t>!!! vB, eL, eiF, with L Cl</t>
  </si>
  <si>
    <t>NGC6524</t>
  </si>
  <si>
    <t>17h59m14.8s</t>
  </si>
  <si>
    <t>+45h53m17s</t>
  </si>
  <si>
    <t>NGC6525</t>
  </si>
  <si>
    <t>18h2m6s</t>
  </si>
  <si>
    <t>+11h1m31s</t>
  </si>
  <si>
    <t>a cluster, poor, stars large</t>
  </si>
  <si>
    <t>Cl, P, st L</t>
  </si>
  <si>
    <t>NGC6526</t>
  </si>
  <si>
    <t>18h4m6s</t>
  </si>
  <si>
    <t>-24h26m30s</t>
  </si>
  <si>
    <t>faint, large, extremely extended</t>
  </si>
  <si>
    <t>NGC6527</t>
  </si>
  <si>
    <t>18h1m46.2s</t>
  </si>
  <si>
    <t>NGC6528</t>
  </si>
  <si>
    <t>18h4m49.6s</t>
  </si>
  <si>
    <t>-30h3m19s</t>
  </si>
  <si>
    <t>a globular cluster, pretty faint, considerably small, round, gradually brighter middle, well resolved, clearly consisting of stars, stars from 16th magnitude</t>
  </si>
  <si>
    <t>globular, pF, cS, R, gbM, rrr, st 16</t>
  </si>
  <si>
    <t>NGC6529</t>
  </si>
  <si>
    <t>18h5m29s</t>
  </si>
  <si>
    <t>-36h17m48s</t>
  </si>
  <si>
    <t>a cluster in the Milky Way</t>
  </si>
  <si>
    <t>Cl in Milky Way</t>
  </si>
  <si>
    <t>NGC6530</t>
  </si>
  <si>
    <t>赫歇尔36</t>
  </si>
  <si>
    <t>18h4m30s</t>
  </si>
  <si>
    <t>-24h21m30s</t>
  </si>
  <si>
    <t>a cluster, bright, large, pretty rich, to the east of M8</t>
  </si>
  <si>
    <t>Cl, B, L, pRi, f M 8</t>
  </si>
  <si>
    <t>NGC6531</t>
  </si>
  <si>
    <t>韦伯的十字架</t>
  </si>
  <si>
    <t>18h4m13.3s</t>
  </si>
  <si>
    <t>-22h30m0s</t>
  </si>
  <si>
    <t>a cluster, pretty rich, a little compressed, stars from 9th to 12th magnitude</t>
  </si>
  <si>
    <t>Cl, pRi, lC, st 9…12</t>
  </si>
  <si>
    <t>NGC6532</t>
  </si>
  <si>
    <t>17h59m13.8s</t>
  </si>
  <si>
    <t>+56h13m55s</t>
  </si>
  <si>
    <t>NGC6533</t>
  </si>
  <si>
    <t>extremely large, extremely irregular figure, stars to east</t>
  </si>
  <si>
    <t>eL, eiF, st f</t>
  </si>
  <si>
    <t>NGC6534</t>
  </si>
  <si>
    <t>17h54m52.5s</t>
  </si>
  <si>
    <t>+64h24m7s</t>
  </si>
  <si>
    <t>NGC6535</t>
  </si>
  <si>
    <t>18h3m50.7s</t>
  </si>
  <si>
    <t>-0h17m47s</t>
  </si>
  <si>
    <t>pretty faint, very small, very small nebulous star to west (Auwers 38)</t>
  </si>
  <si>
    <t>pF, vS, vS neb * p (Auw 38)</t>
  </si>
  <si>
    <t>NGC6536</t>
  </si>
  <si>
    <t>17h57m16.3s</t>
  </si>
  <si>
    <t>+64h56m16s</t>
  </si>
  <si>
    <t>NGC6537</t>
  </si>
  <si>
    <t>红蜘蛛星云</t>
  </si>
  <si>
    <t>18h5m13s</t>
  </si>
  <si>
    <t>-19h50m32s</t>
  </si>
  <si>
    <t>a planetary nebula, bright, small, stellar</t>
  </si>
  <si>
    <t>planetary, B, S, stellar</t>
  </si>
  <si>
    <t>NGC6538</t>
  </si>
  <si>
    <t>17h54m17.1s</t>
  </si>
  <si>
    <t>+73h25m27s</t>
  </si>
  <si>
    <t>extremely faint, very small, a little extended, between two extremely faint stars</t>
  </si>
  <si>
    <t>eF, vS, lE, bet 2 eF st</t>
  </si>
  <si>
    <t>NGC6539</t>
  </si>
  <si>
    <t>18h4m49.8s</t>
  </si>
  <si>
    <t>-7h35m7s</t>
  </si>
  <si>
    <t>no description (Auwers 39)</t>
  </si>
  <si>
    <t>No descript (Auw 39)</t>
  </si>
  <si>
    <t>NGC6540</t>
  </si>
  <si>
    <t>18h6m8.6s</t>
  </si>
  <si>
    <t>-27h45m53s</t>
  </si>
  <si>
    <t>pretty faint, small, irregularly extended, extremely mottled but not resolved or a cluster</t>
  </si>
  <si>
    <t>pF, S, iE, er or Cl</t>
  </si>
  <si>
    <t>NGC6541</t>
  </si>
  <si>
    <t>砂锅星团</t>
  </si>
  <si>
    <t>南冕座</t>
  </si>
  <si>
    <t>CRA</t>
  </si>
  <si>
    <t>18h8m2.2s</t>
  </si>
  <si>
    <t>-43h42m40s</t>
  </si>
  <si>
    <t>a globular cluster, bright, round, extremely compressed, gradually brighter middle, well resolved, clearly consisting of stars, stars from 15th to 16th magnitude</t>
  </si>
  <si>
    <t>globular, B, R, eC, gbM, rrr, st 15…16</t>
  </si>
  <si>
    <t>NGC6542</t>
  </si>
  <si>
    <t>17h59m39s</t>
  </si>
  <si>
    <t>+61h21m32s</t>
  </si>
  <si>
    <t>extremely faint, small, much extended, 2 stars to southwest</t>
  </si>
  <si>
    <t>eF, S, mE, 2 st sp</t>
  </si>
  <si>
    <t>NGC6543</t>
  </si>
  <si>
    <t>猫眼星云</t>
  </si>
  <si>
    <t>17h58m33.4s</t>
  </si>
  <si>
    <t>+66h38m1s</t>
  </si>
  <si>
    <t>a planetary nebula, very bright, pretty small, suddenly brighter middle and very small nucleus</t>
  </si>
  <si>
    <t>planetary, vB, pS, sbMvSN</t>
  </si>
  <si>
    <t>NGC6544</t>
  </si>
  <si>
    <t>18h7m20.6s</t>
  </si>
  <si>
    <t>-24h59m49s</t>
  </si>
  <si>
    <t>considerably faint, pretty large, irregularly round, mottled but not resolved</t>
  </si>
  <si>
    <t>cF, pL, iR, r</t>
  </si>
  <si>
    <t>NGC6545</t>
  </si>
  <si>
    <t>18h12m14.9s</t>
  </si>
  <si>
    <t>-63h46m33s</t>
  </si>
  <si>
    <t>most extremely faint, most extremely small, round</t>
  </si>
  <si>
    <t>eeF, eeS, R</t>
  </si>
  <si>
    <t>NGC6546</t>
  </si>
  <si>
    <t>18h7m22s</t>
  </si>
  <si>
    <t>-23h17m48s</t>
  </si>
  <si>
    <t>NGC6547</t>
  </si>
  <si>
    <t>18h5m10s</t>
  </si>
  <si>
    <t>NGC6548</t>
  </si>
  <si>
    <t>18h5m59.2s</t>
  </si>
  <si>
    <t>+18h35m14s</t>
  </si>
  <si>
    <t>NGC6549</t>
  </si>
  <si>
    <t>18h5m49.4s</t>
  </si>
  <si>
    <t>+18h32m16s</t>
  </si>
  <si>
    <t>very faint, pretty large, irregularly round, near III 555</t>
  </si>
  <si>
    <t>vF, pL, iR, near III 555</t>
  </si>
  <si>
    <t>NGC6550</t>
  </si>
  <si>
    <t>very faint, pretty small, round, several faint stars involved, near m 361</t>
  </si>
  <si>
    <t>vF, pS, R, sev F st inv, near m 361</t>
  </si>
  <si>
    <t>NGC6551</t>
  </si>
  <si>
    <t>18h9m0s</t>
  </si>
  <si>
    <t>-29h33m0s</t>
  </si>
  <si>
    <t>very faint, very small, round, partially resolved (some stars seen)</t>
  </si>
  <si>
    <t>vF, vS, R, rr</t>
  </si>
  <si>
    <t>NGC6552</t>
  </si>
  <si>
    <t>18h0m7s</t>
  </si>
  <si>
    <t>+66h36m55s</t>
  </si>
  <si>
    <t>NGC6553</t>
  </si>
  <si>
    <t>18h9m15.6s</t>
  </si>
  <si>
    <t>-25h54m26s</t>
  </si>
  <si>
    <t>a globular cluster, faint, large, a little extended, very gradually a little brighter middle, partially resolved (some stars seen), stars from 20th magnitude</t>
  </si>
  <si>
    <t>globular, F, L, lE, vglbM, rr, st 20</t>
  </si>
  <si>
    <t>NGC6554</t>
  </si>
  <si>
    <t>18h9m23s</t>
  </si>
  <si>
    <t>-18h22m42s</t>
  </si>
  <si>
    <t>a cluster, pretty rich, very little compressed, stars large and small</t>
  </si>
  <si>
    <t>Cl, pRi, vlC, st L &amp; S</t>
  </si>
  <si>
    <t>NGC6555</t>
  </si>
  <si>
    <t>18h7m49s</t>
  </si>
  <si>
    <t>+17h36m17s</t>
  </si>
  <si>
    <t>NGC6556</t>
  </si>
  <si>
    <t>18h9m56s</t>
  </si>
  <si>
    <t>-27h31m27s</t>
  </si>
  <si>
    <t>faint, very large, considerably extended, a little brighter middle, partially resolved (some stars seen)</t>
  </si>
  <si>
    <t>F, vL, cE, lbM, rr</t>
  </si>
  <si>
    <t>NGC6557</t>
  </si>
  <si>
    <t>18h21m24.7s</t>
  </si>
  <si>
    <t>-76h34m58s</t>
  </si>
  <si>
    <t>NGC6558</t>
  </si>
  <si>
    <t>18h10m18.4s</t>
  </si>
  <si>
    <t>-31h45m47s</t>
  </si>
  <si>
    <t>a globular cluster, pretty bright, pretty large, round, gradually a little brighter middle, well resolved, clearly consisting of stars, stars from 16th magnitude</t>
  </si>
  <si>
    <t>globular, pB, pL, R, glbM, rrr, st 16</t>
  </si>
  <si>
    <t>NGC6559</t>
  </si>
  <si>
    <t>18h9m57.6s</t>
  </si>
  <si>
    <t>-24h6m35s</t>
  </si>
  <si>
    <t>very faint, very large, a little extended, double star involved</t>
  </si>
  <si>
    <t>vF, vL, lE, ** inv</t>
  </si>
  <si>
    <t>NGC6560</t>
  </si>
  <si>
    <t>18h5m13.8s</t>
  </si>
  <si>
    <t>+46h52m54s</t>
  </si>
  <si>
    <t>most extremely faint, pretty small, irregularly round</t>
  </si>
  <si>
    <t>eeF, pS, iR</t>
  </si>
  <si>
    <t>NGC6561</t>
  </si>
  <si>
    <t>18h10m33s</t>
  </si>
  <si>
    <t>-16h44m48s</t>
  </si>
  <si>
    <t>a cluster, large, a little compressed, stars considerably large</t>
  </si>
  <si>
    <t>Cl, L, lC, st cL</t>
  </si>
  <si>
    <t>NGC6562</t>
  </si>
  <si>
    <t>18h5m0.8s</t>
  </si>
  <si>
    <t>+56h15m49s</t>
  </si>
  <si>
    <t>faint, pretty small, round, brighter middle, between 2 stars</t>
  </si>
  <si>
    <t>F, pS, R, bM, bet 2 st</t>
  </si>
  <si>
    <t>NGC6563</t>
  </si>
  <si>
    <t>南指环星云</t>
  </si>
  <si>
    <t>18h12m2.6s</t>
  </si>
  <si>
    <t>-33h52m4s</t>
  </si>
  <si>
    <t>a planetary nebula, faint, large, considerably extended, hazy border</t>
  </si>
  <si>
    <t>planetary, F, L, cE, hazy border</t>
  </si>
  <si>
    <t>NGC6564</t>
  </si>
  <si>
    <t>18h9m2.3s</t>
  </si>
  <si>
    <t>+17h23m40s</t>
  </si>
  <si>
    <t>NGC6565</t>
  </si>
  <si>
    <t>18h11m52.5s</t>
  </si>
  <si>
    <t>-28h10m41s</t>
  </si>
  <si>
    <t>NGC6566</t>
  </si>
  <si>
    <t>18h7m0.7s</t>
  </si>
  <si>
    <t>+52h15m38s</t>
  </si>
  <si>
    <t>extremely faint, very small, round, 16th magnitude star near</t>
  </si>
  <si>
    <t>eF, vS, R, * 16 nr</t>
  </si>
  <si>
    <t>NGC6567</t>
  </si>
  <si>
    <t>18h13m45.1s</t>
  </si>
  <si>
    <t>-19h4m32s</t>
  </si>
  <si>
    <t>a planetary nebula, stellar, 11th magnitude, in a cluster</t>
  </si>
  <si>
    <t>planetary, stell, 11 mag, in a Cl</t>
  </si>
  <si>
    <t>NGC6568</t>
  </si>
  <si>
    <t>18h12m44s</t>
  </si>
  <si>
    <t>-21h35m0s</t>
  </si>
  <si>
    <t>a cluster, very large, a little compressed</t>
  </si>
  <si>
    <t>Cl, vL, lC</t>
  </si>
  <si>
    <t>NGC6569</t>
  </si>
  <si>
    <t>18h13m38.9s</t>
  </si>
  <si>
    <t>-31h49m33s</t>
  </si>
  <si>
    <t>a globular cluster, considerably bright, large, round, well resolved, clearly consisting of stars, stars from 15th magnitude</t>
  </si>
  <si>
    <t>globular, cB, L, R, rrr, st 15…</t>
  </si>
  <si>
    <t>NGC6570</t>
  </si>
  <si>
    <t>18h11m7.3s</t>
  </si>
  <si>
    <t>+14h5m34s</t>
  </si>
  <si>
    <t>NGC6571</t>
  </si>
  <si>
    <t>18h10m49.3s</t>
  </si>
  <si>
    <t>+21h14m21s</t>
  </si>
  <si>
    <t>eF, vS, stell</t>
  </si>
  <si>
    <t>NGC6572</t>
  </si>
  <si>
    <t>蓝壁球星云</t>
  </si>
  <si>
    <t>18h12m6.4s</t>
  </si>
  <si>
    <t>+6h51m15s</t>
  </si>
  <si>
    <t>a planetary nebula, very bright, very small, round, a little hazy</t>
  </si>
  <si>
    <t>planetary, vB, vS, R, l hazy</t>
  </si>
  <si>
    <t>NGC6573</t>
  </si>
  <si>
    <t>18h13m41.5s</t>
  </si>
  <si>
    <t>-22h7m8s</t>
  </si>
  <si>
    <t>NGC6574</t>
  </si>
  <si>
    <t>18h11m51.2s</t>
  </si>
  <si>
    <t>+14h58m54s</t>
  </si>
  <si>
    <t>NGC6575</t>
  </si>
  <si>
    <t>18h10m57.5s</t>
  </si>
  <si>
    <t>+31h6m58s</t>
  </si>
  <si>
    <t>NGC6576</t>
  </si>
  <si>
    <t>18h11m47.9s</t>
  </si>
  <si>
    <t>+21h25m44s</t>
  </si>
  <si>
    <t>NGC6577</t>
  </si>
  <si>
    <t>18h12m1.1s</t>
  </si>
  <si>
    <t>+21h27m50s</t>
  </si>
  <si>
    <t>NGC6578</t>
  </si>
  <si>
    <t>18h16m16.5s</t>
  </si>
  <si>
    <t>-20h27m0s</t>
  </si>
  <si>
    <t>a planetary nebula, stellar, equal to 13th magnitude star</t>
  </si>
  <si>
    <t>planetary, stellar = 13 mag</t>
  </si>
  <si>
    <t>NGC6579</t>
  </si>
  <si>
    <t>18h12m31.8s</t>
  </si>
  <si>
    <t>+21h25m14s</t>
  </si>
  <si>
    <t>faint, western of double nebula</t>
  </si>
  <si>
    <t>F, p of D neb</t>
  </si>
  <si>
    <t>NGC6580</t>
  </si>
  <si>
    <t>18h12m33.7s</t>
  </si>
  <si>
    <t>+21h25m33s</t>
  </si>
  <si>
    <t>faint, eastern of double nebula</t>
  </si>
  <si>
    <t>F, f of D neb</t>
  </si>
  <si>
    <t>NGC6581</t>
  </si>
  <si>
    <t>18h12m18.3s</t>
  </si>
  <si>
    <t>+25h39m46s</t>
  </si>
  <si>
    <t>extremely faint, diffuse, between 2 faint stars</t>
  </si>
  <si>
    <t>eF, dif, bet 2 F st</t>
  </si>
  <si>
    <t>NGC6582</t>
  </si>
  <si>
    <t>18h11m1.8s</t>
  </si>
  <si>
    <t>+49h54m41s</t>
  </si>
  <si>
    <t>NGC6583</t>
  </si>
  <si>
    <t>18h15m48.8s</t>
  </si>
  <si>
    <t>-22h8m15s</t>
  </si>
  <si>
    <t>a cluster, pretty rich, pretty compressed, considerably extended, stars from 13th magnitude</t>
  </si>
  <si>
    <t>Cl, pRi, pC, cE, st 13…</t>
  </si>
  <si>
    <t>NGC6584</t>
  </si>
  <si>
    <t>望远镜座</t>
  </si>
  <si>
    <t>TEL</t>
  </si>
  <si>
    <t>18h18m37.7s</t>
  </si>
  <si>
    <t>-52h12m52s</t>
  </si>
  <si>
    <t>a globular cluster, considerably bright, considerably large, round, gradually much brighter middle, well resolved, clearly consisting of stars, stars from 15th magnitude</t>
  </si>
  <si>
    <t>globular, cB, cL, R, gmbM, rrr, st 15</t>
  </si>
  <si>
    <t>NGC6585</t>
  </si>
  <si>
    <t>18h12m21.9s</t>
  </si>
  <si>
    <t>+39h38m0s</t>
  </si>
  <si>
    <t>most extremely faint, small, extremely extended, between several bright stars</t>
  </si>
  <si>
    <t>eeF, S, eE, bet sev B st</t>
  </si>
  <si>
    <t>NGC6586</t>
  </si>
  <si>
    <t>18h13m38.4s</t>
  </si>
  <si>
    <t>+21h5m27s</t>
  </si>
  <si>
    <t>NGC6587</t>
  </si>
  <si>
    <t>18h13m50.8s</t>
  </si>
  <si>
    <t>+18h49m33s</t>
  </si>
  <si>
    <t>NGC6588</t>
  </si>
  <si>
    <t>18h21m27s</t>
  </si>
  <si>
    <t>-63h48m24s</t>
  </si>
  <si>
    <t>extremely faint, small, 6th magnitude star to southwest</t>
  </si>
  <si>
    <t>eF, S, * 6 sp</t>
  </si>
  <si>
    <t>NGC6589</t>
  </si>
  <si>
    <t>18h16m51.7s</t>
  </si>
  <si>
    <t>-19h46m41s</t>
  </si>
  <si>
    <t>a double star in center of extremely faint, pretty large nebulosity</t>
  </si>
  <si>
    <t>D * in centre of eF, pL neby</t>
  </si>
  <si>
    <t>NGC6590</t>
  </si>
  <si>
    <t>18h17m4.8s</t>
  </si>
  <si>
    <t>-19h51m58s</t>
  </si>
  <si>
    <t>a double star in center of pretty faint, pretty large, round nebulosity</t>
  </si>
  <si>
    <t>D * in centre of pF, pL, R neby</t>
  </si>
  <si>
    <t>NGC6591</t>
  </si>
  <si>
    <t>18h14m3.7s</t>
  </si>
  <si>
    <t>+21h3m49s</t>
  </si>
  <si>
    <t>most extremely faint, very small, stellar</t>
  </si>
  <si>
    <t>eeF, vS, stell</t>
  </si>
  <si>
    <t>NGC6592</t>
  </si>
  <si>
    <t>18h9m50.6s</t>
  </si>
  <si>
    <t>+61h25m21s</t>
  </si>
  <si>
    <t>NGC6593</t>
  </si>
  <si>
    <t>18h14m3.6s</t>
  </si>
  <si>
    <t>+22h17m5s</t>
  </si>
  <si>
    <t>NGC6594</t>
  </si>
  <si>
    <t>18h10m5.6s</t>
  </si>
  <si>
    <t>+61h8m1s</t>
  </si>
  <si>
    <t>NGC6595</t>
  </si>
  <si>
    <t>F, pL, cE, ** inv</t>
  </si>
  <si>
    <t>NGC6596</t>
  </si>
  <si>
    <t>18h17m33s</t>
  </si>
  <si>
    <t>-16h39m0s</t>
  </si>
  <si>
    <t>NGC6597</t>
  </si>
  <si>
    <t>18h11m13.4s</t>
  </si>
  <si>
    <t>+61h10m52s</t>
  </si>
  <si>
    <t>NGC6598</t>
  </si>
  <si>
    <t>18h8m55.7s</t>
  </si>
  <si>
    <t>+69h4m7s</t>
  </si>
  <si>
    <t>NGC6599</t>
  </si>
  <si>
    <t>18h15m42.9s</t>
  </si>
  <si>
    <t>+24h54m47s</t>
  </si>
  <si>
    <t>pretty faint, very small, round, gradually brighter middle, small star attached on east</t>
  </si>
  <si>
    <t>pF, vS, R, gbM, S * att f</t>
  </si>
  <si>
    <t>NGC6600</t>
  </si>
  <si>
    <t>NGC6601</t>
  </si>
  <si>
    <t>18h11m44.2s</t>
  </si>
  <si>
    <t>+61h27m11s</t>
  </si>
  <si>
    <t>NGC6602</t>
  </si>
  <si>
    <t>18h16m34.2s</t>
  </si>
  <si>
    <t>+25h2m37s</t>
  </si>
  <si>
    <t>a cluster, very small, stars faint, 30 arcsec (wide), nebulous?</t>
  </si>
  <si>
    <t>Cl, vS, st F, 30", nebulous?</t>
  </si>
  <si>
    <t>NGC6603</t>
  </si>
  <si>
    <t>I1r</t>
  </si>
  <si>
    <t>18h18m24s</t>
  </si>
  <si>
    <t>-18h24m24s</t>
  </si>
  <si>
    <t>a remarkable object, a cluster, very rich, very much compressed, round, stars from 15th magnitude (in the Milky Way)</t>
  </si>
  <si>
    <t>!, Cl, vRi, vmC, R, st 15 (M Way)</t>
  </si>
  <si>
    <t>NGC6604</t>
  </si>
  <si>
    <t>18h18m6s</t>
  </si>
  <si>
    <t>-12h13m0s</t>
  </si>
  <si>
    <t>a cluster, a little rich, a little compressed</t>
  </si>
  <si>
    <t>Cl, lRi, lC</t>
  </si>
  <si>
    <t>NGC6605</t>
  </si>
  <si>
    <t>18h16m24s</t>
  </si>
  <si>
    <t>-15h0m0s</t>
  </si>
  <si>
    <t>a cluster, a little rich, a little compressed, stars from 10th to 12th magnitude</t>
  </si>
  <si>
    <t>Cl, lRi, lC, st 10…12</t>
  </si>
  <si>
    <t>NGC6606</t>
  </si>
  <si>
    <t>天琴座</t>
  </si>
  <si>
    <t>LYR</t>
  </si>
  <si>
    <t>18h14m41.3s</t>
  </si>
  <si>
    <t>+43h16m7s</t>
  </si>
  <si>
    <t>very faint, small, round, gradually brighter middle, very faint star involved</t>
  </si>
  <si>
    <t>vF, S, R, gbM, vf * inv</t>
  </si>
  <si>
    <t>NGC6607</t>
  </si>
  <si>
    <t>+61h20m0s</t>
  </si>
  <si>
    <t>NGC6608</t>
  </si>
  <si>
    <t>18h12m29.2s</t>
  </si>
  <si>
    <t>+61h17m55s</t>
  </si>
  <si>
    <t>very faint, extremely small, round, very faint star near</t>
  </si>
  <si>
    <t>vF, eS, R, vF * nr</t>
  </si>
  <si>
    <t>NGC6609</t>
  </si>
  <si>
    <t>18h12m33.6s</t>
  </si>
  <si>
    <t>+61h19m56s</t>
  </si>
  <si>
    <t>vF, pS, lE, F * nr</t>
  </si>
  <si>
    <t>NGC6610</t>
  </si>
  <si>
    <t>faint, small, extended, much brighter middle, mottled but not resolved</t>
  </si>
  <si>
    <t>F, S, E, mbM, r</t>
  </si>
  <si>
    <t>NGC6611</t>
  </si>
  <si>
    <t>鹰星云</t>
  </si>
  <si>
    <t>II3mn</t>
  </si>
  <si>
    <t>18h18m45s</t>
  </si>
  <si>
    <t>-13h47m54s</t>
  </si>
  <si>
    <t>a cluster, at least 100 stars large and small</t>
  </si>
  <si>
    <t>Cl, at least 100 st L &amp; S</t>
  </si>
  <si>
    <t>NGC6612</t>
  </si>
  <si>
    <t>18h16m10.9s</t>
  </si>
  <si>
    <t>+36h4m45s</t>
  </si>
  <si>
    <t>NGC6613</t>
  </si>
  <si>
    <t>黑天鹅星团</t>
  </si>
  <si>
    <t>II3pn</t>
  </si>
  <si>
    <t>18h19m58s</t>
  </si>
  <si>
    <t>-17h6m6s</t>
  </si>
  <si>
    <t>NGC6614</t>
  </si>
  <si>
    <t>18h25m7.3s</t>
  </si>
  <si>
    <t>-63h14m54s</t>
  </si>
  <si>
    <t>very faint, small, round, gradually a very little brighter middle, 9th magnitude star to west</t>
  </si>
  <si>
    <t>vF, S, R, gvlbM, * 9 p</t>
  </si>
  <si>
    <t>NGC6615</t>
  </si>
  <si>
    <t>18h18m33.4s</t>
  </si>
  <si>
    <t>+13h15m55s</t>
  </si>
  <si>
    <t>NGC6616</t>
  </si>
  <si>
    <t>18h17m41s</t>
  </si>
  <si>
    <t>+22h14m16s</t>
  </si>
  <si>
    <t>very faint, extremely small, much extended, 2 faint stars near</t>
  </si>
  <si>
    <t>vF, eS, mE, 2 F st nr</t>
  </si>
  <si>
    <t>NGC6617</t>
  </si>
  <si>
    <t>18h14m2.9s</t>
  </si>
  <si>
    <t>+61h19m10s</t>
  </si>
  <si>
    <t>NGC6618</t>
  </si>
  <si>
    <t>奥米茄星云</t>
  </si>
  <si>
    <t>18h20m47s</t>
  </si>
  <si>
    <t>-16h10m18s</t>
  </si>
  <si>
    <t>a magnificent or otherwise interesting object, bright, extremely large, extremely irregular figure, 2 hooked</t>
  </si>
  <si>
    <t>!!!, B, eL, eiF, 2 hooked</t>
  </si>
  <si>
    <t>NGC6619</t>
  </si>
  <si>
    <t>18h18m55.5s</t>
  </si>
  <si>
    <t>+23h39m19s</t>
  </si>
  <si>
    <t>NGC6620</t>
  </si>
  <si>
    <t>18h22m54.2s</t>
  </si>
  <si>
    <t>-26h49m16s</t>
  </si>
  <si>
    <t>NGC6621</t>
  </si>
  <si>
    <t>爱德华星系</t>
  </si>
  <si>
    <t>18h12m55.6s</t>
  </si>
  <si>
    <t>+68h21m47s</t>
  </si>
  <si>
    <t>pretty faint, pretty small, round, a little brighter middle, southern of 2</t>
  </si>
  <si>
    <t>pF, pS, R, lbM, s of 2</t>
  </si>
  <si>
    <t>NGC6622</t>
  </si>
  <si>
    <t>18h12m59.9s</t>
  </si>
  <si>
    <t>+68h21m15s</t>
  </si>
  <si>
    <t>pF, pS, R, lbM, n of 2</t>
  </si>
  <si>
    <t>NGC6623</t>
  </si>
  <si>
    <t>18h19m42.9s</t>
  </si>
  <si>
    <t>+23h42m34s</t>
  </si>
  <si>
    <t>NGC6624</t>
  </si>
  <si>
    <t>18h23m40.5s</t>
  </si>
  <si>
    <t>-30h21m38s</t>
  </si>
  <si>
    <t>a globular cluster, very bright, pretty large, round, well resolved, clearly consisting of stars, stars from 16th magnitude</t>
  </si>
  <si>
    <t>globular, vB, pL, R, rrr, st 16</t>
  </si>
  <si>
    <t>NGC6625</t>
  </si>
  <si>
    <t>盾牌座</t>
  </si>
  <si>
    <t>SCT</t>
  </si>
  <si>
    <t>18h23m12.8s</t>
  </si>
  <si>
    <t>-12h0m47s</t>
  </si>
  <si>
    <t>a cluster, a little compressed, a little rich, stars from 11th to 12th magnitude</t>
  </si>
  <si>
    <t>Cl, lC, lRi, st 11…12</t>
  </si>
  <si>
    <t>NGC6626</t>
  </si>
  <si>
    <t>18h24m32.9s</t>
  </si>
  <si>
    <t>-24h52m10s</t>
  </si>
  <si>
    <t>a remarkable object, a globular cluster, very bright, large, round, gradually an extremely compressed middle, well resolved, clearly consisting of stars, stars from 14th to 16th magnitude</t>
  </si>
  <si>
    <t>!, globular, vB, L, R, geCM, rrr, st 14…16</t>
  </si>
  <si>
    <t>NGC6627</t>
  </si>
  <si>
    <t>18h22m38.9s</t>
  </si>
  <si>
    <t>+15h41m54s</t>
  </si>
  <si>
    <t>NGC6628</t>
  </si>
  <si>
    <t>18h22m21.7s</t>
  </si>
  <si>
    <t>+23h28m39s</t>
  </si>
  <si>
    <t>very faint, small, a little extended, brighter middle</t>
  </si>
  <si>
    <t>vF, S, lE, bM</t>
  </si>
  <si>
    <t>NGC6629</t>
  </si>
  <si>
    <t>18h25m42.4s</t>
  </si>
  <si>
    <t>-23h12m8s</t>
  </si>
  <si>
    <t>a planetary nebula or a globular cluster, pretty bright, most extremely small, round</t>
  </si>
  <si>
    <t>planetary or globular, pB, eeS, R</t>
  </si>
  <si>
    <t>NGC6630</t>
  </si>
  <si>
    <t>18h32m34.5s</t>
  </si>
  <si>
    <t>-63h17m31s</t>
  </si>
  <si>
    <t>NGC6631</t>
  </si>
  <si>
    <t>18h27m9.5s</t>
  </si>
  <si>
    <t>-12h1m35s</t>
  </si>
  <si>
    <t>a cluster, pretty large, pretty rich, stars from 12th to 15th magnitude</t>
  </si>
  <si>
    <t>Cl, pL, pRi, st 12…15</t>
  </si>
  <si>
    <t>NGC6632</t>
  </si>
  <si>
    <t>18h25m3.1s</t>
  </si>
  <si>
    <t>+27h32m9s</t>
  </si>
  <si>
    <t>NGC6633</t>
  </si>
  <si>
    <t>双胞胎星团</t>
  </si>
  <si>
    <t>18h27m15.1s</t>
  </si>
  <si>
    <t>+6h30m30s</t>
  </si>
  <si>
    <t>a cluster, a little compressed, large stars</t>
  </si>
  <si>
    <t>Cl, lC, st L</t>
  </si>
  <si>
    <t>NGC6634</t>
  </si>
  <si>
    <t>18h29m55.3s</t>
  </si>
  <si>
    <t>-33h30m40s</t>
  </si>
  <si>
    <t>a nebula, without stars</t>
  </si>
  <si>
    <t>Neb, without stars</t>
  </si>
  <si>
    <t>NGC6635</t>
  </si>
  <si>
    <t>18h27m37s</t>
  </si>
  <si>
    <t>+14h49m7s</t>
  </si>
  <si>
    <t>NGC6636</t>
  </si>
  <si>
    <t>18h22m2.6s</t>
  </si>
  <si>
    <t>+66h37m3s</t>
  </si>
  <si>
    <t>most extremely faint, pretty small, round, 3 stars near</t>
  </si>
  <si>
    <t>eeF, pS, R, 3 st nr</t>
  </si>
  <si>
    <t>NGC6637</t>
  </si>
  <si>
    <t>18h31m23.2s</t>
  </si>
  <si>
    <t>-32h20m51s</t>
  </si>
  <si>
    <t>a globular cluster, bright, large, round, well resolved, clearly consisting of stars, stars from 14th to 16th magnitude</t>
  </si>
  <si>
    <t>globular, B, L, R, rrr, st 14…16</t>
  </si>
  <si>
    <t>NGC6638</t>
  </si>
  <si>
    <t>18h30m56.2s</t>
  </si>
  <si>
    <t>-25h29m45s</t>
  </si>
  <si>
    <t>a globular cluster, bright, small, round, partially resolved (some stars seen)</t>
  </si>
  <si>
    <t>globular, B, S, R, rr</t>
  </si>
  <si>
    <t>NGC6639</t>
  </si>
  <si>
    <t>18h30m57.8s</t>
  </si>
  <si>
    <t>-13h10m14s</t>
  </si>
  <si>
    <t>a cluster (in the Milky Way)</t>
  </si>
  <si>
    <t>Cl (in M Way)</t>
  </si>
  <si>
    <t>NGC6640</t>
  </si>
  <si>
    <t>18h28m8.1s</t>
  </si>
  <si>
    <t>+34h18m9s</t>
  </si>
  <si>
    <t>NGC6641</t>
  </si>
  <si>
    <t>18h28m57.3s</t>
  </si>
  <si>
    <t>+22h54m12s</t>
  </si>
  <si>
    <t>NGC6642</t>
  </si>
  <si>
    <t>蝌蚪星团</t>
  </si>
  <si>
    <t>18h31m54.3s</t>
  </si>
  <si>
    <t>a globular cluster, pretty bright, pretty large, irregularly round, gradually pretty much brighter middle, well resolved, clearly consisting of stars, stars of 16th magnitude</t>
  </si>
  <si>
    <t>globular, pB, pL, iR, gpmbM, rrr, st 16</t>
  </si>
  <si>
    <t>NGC6643</t>
  </si>
  <si>
    <t>18h19m45.6s</t>
  </si>
  <si>
    <t>+74h34m6s</t>
  </si>
  <si>
    <t>pretty bright, pretty large, extended 50°, 2 stars to west (Auwers 40)</t>
  </si>
  <si>
    <t>pB, pL, E 50°, 2 st p (Auw 40)</t>
  </si>
  <si>
    <t>NGC6644</t>
  </si>
  <si>
    <t>18h32m34.7s</t>
  </si>
  <si>
    <t>-25h7m42s</t>
  </si>
  <si>
    <t>NGC6645</t>
  </si>
  <si>
    <t>18h32m37.8s</t>
  </si>
  <si>
    <t>-16h53m2s</t>
  </si>
  <si>
    <t>a cluster, pretty large, very rich, pretty compressed, stars from 11th to 15th magnitude</t>
  </si>
  <si>
    <t>Cl, pL, vRi, pC, st 11…15</t>
  </si>
  <si>
    <t>NGC6646</t>
  </si>
  <si>
    <t>18h29m38.7s</t>
  </si>
  <si>
    <t>+39h51m54s</t>
  </si>
  <si>
    <t>NGC6647</t>
  </si>
  <si>
    <t>18h32m49s</t>
  </si>
  <si>
    <t>-17h13m42s</t>
  </si>
  <si>
    <t>a cluster, large, rich, a little compressed, stars very small</t>
  </si>
  <si>
    <t>Cl, L, Ri, lC, st vS</t>
  </si>
  <si>
    <t>NGC6648</t>
  </si>
  <si>
    <t>18h25m37.4s</t>
  </si>
  <si>
    <t>+64h58m33s</t>
  </si>
  <si>
    <t>small, pretty much extended, double star involved (Auwers 41)</t>
  </si>
  <si>
    <t>S, pmE, ** inv (Auw 41)</t>
  </si>
  <si>
    <t>NGC6649</t>
  </si>
  <si>
    <t>18h33m28.3s</t>
  </si>
  <si>
    <t>-10h24m8s</t>
  </si>
  <si>
    <t>a cluster, poor, a little compressed, pretty small, stars of 9th or 10th and from 12th to 13th magnitude</t>
  </si>
  <si>
    <t>Cl, P, lC, pS, st 9·10, 12…13</t>
  </si>
  <si>
    <t>NGC6650</t>
  </si>
  <si>
    <t>18h25m27.9s</t>
  </si>
  <si>
    <t>+68h0m23s</t>
  </si>
  <si>
    <t>NGC6651</t>
  </si>
  <si>
    <t>18h24m19.7s</t>
  </si>
  <si>
    <t>+71h36m8s</t>
  </si>
  <si>
    <t>NGC6652</t>
  </si>
  <si>
    <t>18h35m45.7s</t>
  </si>
  <si>
    <t>-32h59m23s</t>
  </si>
  <si>
    <t>bright, small, a little extended, well resolved, clearly consisting of stars, stars from the 15th magnitude</t>
  </si>
  <si>
    <t>B, S, lE, rrr, st 15</t>
  </si>
  <si>
    <t>NGC6653</t>
  </si>
  <si>
    <t>18h44m38.6s</t>
  </si>
  <si>
    <t>-73h15m47s</t>
  </si>
  <si>
    <t>NGC6654</t>
  </si>
  <si>
    <t>18h24m7.6s</t>
  </si>
  <si>
    <t>+73h10m58s</t>
  </si>
  <si>
    <t>a 12th or 13th magnitude star in pretty bright, pretty large nebulosity</t>
  </si>
  <si>
    <t>* 12·13 in pB, pL neby</t>
  </si>
  <si>
    <t>NGC6655</t>
  </si>
  <si>
    <t>18h34m30.8s</t>
  </si>
  <si>
    <t>-5h55m16s</t>
  </si>
  <si>
    <t>pretty faint, very small, extended (Auwers 42)</t>
  </si>
  <si>
    <t>pF, vS, E (Auw 42)</t>
  </si>
  <si>
    <t>NGC6656</t>
  </si>
  <si>
    <t>人马座大星团</t>
  </si>
  <si>
    <t>18h36m24.2s</t>
  </si>
  <si>
    <t>-23h54m10s</t>
  </si>
  <si>
    <t>a most remarkable object, a globular cluster, very bright, very large, round, very rich, very much compressed, stars from 11th to 15th magnitude</t>
  </si>
  <si>
    <t>!!, globular, vB, vL, R, vRi, vmC, st 11…15</t>
  </si>
  <si>
    <t>NGC6657</t>
  </si>
  <si>
    <t>18h33m1.5s</t>
  </si>
  <si>
    <t>+34h3m39s</t>
  </si>
  <si>
    <t>very faint, very small, suddenly brighter middle</t>
  </si>
  <si>
    <t>vF, vS, sbM</t>
  </si>
  <si>
    <t>NGC6658</t>
  </si>
  <si>
    <t>18h33m55.7s</t>
  </si>
  <si>
    <t>+22h53m17s</t>
  </si>
  <si>
    <t>NGC6659</t>
  </si>
  <si>
    <t>18h34m0s</t>
  </si>
  <si>
    <t>+23h35m42s</t>
  </si>
  <si>
    <t>NGC6660</t>
  </si>
  <si>
    <t>18h34m36.7s</t>
  </si>
  <si>
    <t>+22h54m33s</t>
  </si>
  <si>
    <t>pretty bright, pretty small, round, much brighter middle, between 2 stars</t>
  </si>
  <si>
    <t>pB, pS, R, mbM, bet 2 st</t>
  </si>
  <si>
    <t>NGC6661</t>
  </si>
  <si>
    <t>NGC6662</t>
  </si>
  <si>
    <t>18h34m11.2s</t>
  </si>
  <si>
    <t>+32h3m53s</t>
  </si>
  <si>
    <t>a faint star in very faint, very small, a little extended nebulosity</t>
  </si>
  <si>
    <t>F * in vF, vS, lE neby</t>
  </si>
  <si>
    <t>NGC6663</t>
  </si>
  <si>
    <t>18h33m33.7s</t>
  </si>
  <si>
    <t>+40h2m57s</t>
  </si>
  <si>
    <t>NGC6664</t>
  </si>
  <si>
    <t>圣诞雪橇星团</t>
  </si>
  <si>
    <t>18h36m30.6s</t>
  </si>
  <si>
    <t>-8h11m15s</t>
  </si>
  <si>
    <t>a cluster, large, pretty rich, very little compressed</t>
  </si>
  <si>
    <t>Cl, L, pRi, vlC</t>
  </si>
  <si>
    <t>NGC6665</t>
  </si>
  <si>
    <t>18h34m30s</t>
  </si>
  <si>
    <t>+30h43m15s</t>
  </si>
  <si>
    <t>NGC6666</t>
  </si>
  <si>
    <t>18h34m44s</t>
  </si>
  <si>
    <t>+33h35m18s</t>
  </si>
  <si>
    <t>extremely faint, small, round, very difficult</t>
  </si>
  <si>
    <t>eF, S, R, v diffic</t>
  </si>
  <si>
    <t>NGC6667</t>
  </si>
  <si>
    <t>18h30m39.7s</t>
  </si>
  <si>
    <t>+67h59m12s</t>
  </si>
  <si>
    <t>very faint, pretty large, a little extended, very faint double star near</t>
  </si>
  <si>
    <t>vF, pL, lE, vF D * nr</t>
  </si>
  <si>
    <t>NGC6668</t>
  </si>
  <si>
    <t>pB, pS, mE</t>
  </si>
  <si>
    <t>NGC6669</t>
  </si>
  <si>
    <t>18h37m15s</t>
  </si>
  <si>
    <t>+22h11m47s</t>
  </si>
  <si>
    <t>NGC6670</t>
  </si>
  <si>
    <t>18h33m33.4s</t>
  </si>
  <si>
    <t>+59h53m16s</t>
  </si>
  <si>
    <t>most extremely faint, small, much extended, very difficult</t>
  </si>
  <si>
    <t>eeF, S, mE, v diffic</t>
  </si>
  <si>
    <t>NGC6671</t>
  </si>
  <si>
    <t>18h37m26.2s</t>
  </si>
  <si>
    <t>+26h25m3s</t>
  </si>
  <si>
    <t>NGC6672</t>
  </si>
  <si>
    <t>18h36m14.5s</t>
  </si>
  <si>
    <t>+42h56m49s</t>
  </si>
  <si>
    <t>2 close stars, north one nebulous</t>
  </si>
  <si>
    <t>2 close st, n one nebs</t>
  </si>
  <si>
    <t>NGC6673</t>
  </si>
  <si>
    <t>18h45m6.3s</t>
  </si>
  <si>
    <t>-62h17m49s</t>
  </si>
  <si>
    <t>pretty faint, small, round, pretty suddenly brighter middle, mottled but not resolved</t>
  </si>
  <si>
    <t>pF, S, R, psbM, r</t>
  </si>
  <si>
    <t>NGC6674</t>
  </si>
  <si>
    <t>18h38m33.9s</t>
  </si>
  <si>
    <t>+25h22m28s</t>
  </si>
  <si>
    <t>NGC6675</t>
  </si>
  <si>
    <t>+40h3m28s</t>
  </si>
  <si>
    <t>very faint, extended, 45 arcsec (width)</t>
  </si>
  <si>
    <t>vF, E, 45"</t>
  </si>
  <si>
    <t>NGC6676</t>
  </si>
  <si>
    <t>18h33m9.6s</t>
  </si>
  <si>
    <t>+66h57m36s</t>
  </si>
  <si>
    <t>most extremely faint, pretty small, a little extended, a little brighter middle, very difficult</t>
  </si>
  <si>
    <t>eeF, pS, lE, lbM, v diffic</t>
  </si>
  <si>
    <t>NGC6677</t>
  </si>
  <si>
    <t>18h33m30.4s</t>
  </si>
  <si>
    <t>+67h8m13s</t>
  </si>
  <si>
    <t>very faint, very small, between star very close and very faint double star</t>
  </si>
  <si>
    <t>vF, vS, bet * v close &amp; vF D *</t>
  </si>
  <si>
    <t>NGC6678</t>
  </si>
  <si>
    <t>NGC6679</t>
  </si>
  <si>
    <t>18h33m35.7s</t>
  </si>
  <si>
    <t>+67h6m36s</t>
  </si>
  <si>
    <t>eF, close double</t>
  </si>
  <si>
    <t>NGC6680</t>
  </si>
  <si>
    <t>18h39m44s</t>
  </si>
  <si>
    <t>+22h18m59s</t>
  </si>
  <si>
    <t>extremely faint, small, close to a small star</t>
  </si>
  <si>
    <t>eF, S, close to a S *</t>
  </si>
  <si>
    <t>NGC6681</t>
  </si>
  <si>
    <t>18h43m12.7s</t>
  </si>
  <si>
    <t>-32h17m29s</t>
  </si>
  <si>
    <t>a globular cluster, bright, pretty large, round, gradually brighter middle, stars from 14th to 17th magnitude</t>
  </si>
  <si>
    <t>globular, B, pL, R, gbM, st 14…17</t>
  </si>
  <si>
    <t>NGC6682</t>
  </si>
  <si>
    <t>18h39m37s</t>
  </si>
  <si>
    <t>-4h48m48s</t>
  </si>
  <si>
    <t>a cluster, large, rich, stars from 10th to 18th magnitude</t>
  </si>
  <si>
    <t>Cl, L, Ri, st 10…18</t>
  </si>
  <si>
    <t>NGC6683</t>
  </si>
  <si>
    <t>18h42m12.7s</t>
  </si>
  <si>
    <t>-6h12m45s</t>
  </si>
  <si>
    <t>a cluster, very rich, very little compressed (in the Milky Way)</t>
  </si>
  <si>
    <t>Cl, vRi, vlC (in M. Way)</t>
  </si>
  <si>
    <t>NGC6684</t>
  </si>
  <si>
    <t>18h48m57.4s</t>
  </si>
  <si>
    <t>-65h10m22s</t>
  </si>
  <si>
    <t>very bright, pretty large, round, very gradually then pretty suddenly very much brighter middle, 7th magnitude star to west</t>
  </si>
  <si>
    <t>vB, pL, R, vg, psvmbM, * 7 p</t>
  </si>
  <si>
    <t>NGC6685</t>
  </si>
  <si>
    <t>18h39m58.6s</t>
  </si>
  <si>
    <t>+39h58m56s</t>
  </si>
  <si>
    <t>most extremely faint, very small, round, very difficult, southwestern of 2</t>
  </si>
  <si>
    <t>eeF, vS, R, v diffic, sp of 2</t>
  </si>
  <si>
    <t>NGC6686</t>
  </si>
  <si>
    <t>18h40m6.9s</t>
  </si>
  <si>
    <t>+40h8m17s</t>
  </si>
  <si>
    <t>most extremely faint, extremely small, round, very difficult, northeastern of 2</t>
  </si>
  <si>
    <t>eeF, eS, R, v diffic, nf of 2</t>
  </si>
  <si>
    <t>NGC6687</t>
  </si>
  <si>
    <t>18h37m22s</t>
  </si>
  <si>
    <t>+59h38m35s</t>
  </si>
  <si>
    <t>extremely faint, pretty large, round, between 2 stars</t>
  </si>
  <si>
    <t>eF, pL, R, bet 2 st</t>
  </si>
  <si>
    <t>NGC6688</t>
  </si>
  <si>
    <t>18h40m39.9s</t>
  </si>
  <si>
    <t>+36h17m22s</t>
  </si>
  <si>
    <t>NGC6689</t>
  </si>
  <si>
    <t>18h34m49.9s</t>
  </si>
  <si>
    <t>+70h31m27s</t>
  </si>
  <si>
    <t>very faint, pretty small, 8th magnitude star 7 arcmin to east</t>
  </si>
  <si>
    <t>vF, pS, * 8 f, 7' dist</t>
  </si>
  <si>
    <t>NGC6690</t>
  </si>
  <si>
    <t>pF, L, R, bet 2 st</t>
  </si>
  <si>
    <t>NGC6691</t>
  </si>
  <si>
    <t>18h39m12s</t>
  </si>
  <si>
    <t>+55h38m30s</t>
  </si>
  <si>
    <t>very faint, pretty large, round, pretty bright star near to south</t>
  </si>
  <si>
    <t>vF, pL, R, pB * S nr</t>
  </si>
  <si>
    <t>NGC6692</t>
  </si>
  <si>
    <t>18h41m41.5s</t>
  </si>
  <si>
    <t>+34h50m39s</t>
  </si>
  <si>
    <t>very faint, very small, irregularly extended, several very faint stars involved</t>
  </si>
  <si>
    <t>vF, vS, irr E, sev vF st inv</t>
  </si>
  <si>
    <t>NGC6693</t>
  </si>
  <si>
    <t>18h41m32s</t>
  </si>
  <si>
    <t>+36h54m54s</t>
  </si>
  <si>
    <t>NGC6694</t>
  </si>
  <si>
    <t>I1m</t>
  </si>
  <si>
    <t>18h45m15s</t>
  </si>
  <si>
    <t>-9h23m6s</t>
  </si>
  <si>
    <t>a cluster, considerably large, pretty rich, pretty compressed, stars from 12th to 15th magnitude</t>
  </si>
  <si>
    <t>Cl, cL, pRi, pC, st 12…15</t>
  </si>
  <si>
    <t>NGC6695</t>
  </si>
  <si>
    <t>18h42m42.8s</t>
  </si>
  <si>
    <t>+40h22m2s</t>
  </si>
  <si>
    <t>very faint, small, irregularly extended north-south, very little brighter middle</t>
  </si>
  <si>
    <t>vF, S, irrE ns, vlbM</t>
  </si>
  <si>
    <t>NGC6696</t>
  </si>
  <si>
    <t>18h40m5s</t>
  </si>
  <si>
    <t>+59h20m0s</t>
  </si>
  <si>
    <t>NGC6697</t>
  </si>
  <si>
    <t>18h45m14.9s</t>
  </si>
  <si>
    <t>+25h30m46s</t>
  </si>
  <si>
    <t>NGC6698</t>
  </si>
  <si>
    <t>18h48m10s</t>
  </si>
  <si>
    <t>-25h53m45s</t>
  </si>
  <si>
    <t>a suspected cluster, considerably large, stars very faint</t>
  </si>
  <si>
    <t>Suspected Cl, cL, st vF</t>
  </si>
  <si>
    <t>NGC6699</t>
  </si>
  <si>
    <t>18h52m1.9s</t>
  </si>
  <si>
    <t>-57h19m14s</t>
  </si>
  <si>
    <t>pretty faint, pretty small, a little extended 90°, pretty suddenly a little brighter middle</t>
  </si>
  <si>
    <t>pF, pS, lE 90°, pslbM</t>
  </si>
  <si>
    <t>NGC6700</t>
  </si>
  <si>
    <t>18h46m4.3s</t>
  </si>
  <si>
    <t>+32h16m46s</t>
  </si>
  <si>
    <t>extremely faint, a little extended, diffuse, irregularly round</t>
  </si>
  <si>
    <t>eF, lE, dif, iR</t>
  </si>
  <si>
    <t>NGC6701</t>
  </si>
  <si>
    <t>18h43m12.6s</t>
  </si>
  <si>
    <t>+60h39m11s</t>
  </si>
  <si>
    <t>pretty bright, pretty small, much extended, faint star close to east</t>
  </si>
  <si>
    <t>pB, pS, mE, F * close f</t>
  </si>
  <si>
    <t>NGC6702</t>
  </si>
  <si>
    <t>18h46m57.6s</t>
  </si>
  <si>
    <t>+45h42m22s</t>
  </si>
  <si>
    <t>NGC6703</t>
  </si>
  <si>
    <t>18h47m18.9s</t>
  </si>
  <si>
    <t>+45h33m3s</t>
  </si>
  <si>
    <t>bright, small, round, much brighter middle</t>
  </si>
  <si>
    <t>B, S, R, mbM</t>
  </si>
  <si>
    <t>NGC6704</t>
  </si>
  <si>
    <t>18h50m45.8s</t>
  </si>
  <si>
    <t>-5h12m18s</t>
  </si>
  <si>
    <t>a cluster, bright, 60 stars of 13th magnitude (Auwers 43)</t>
  </si>
  <si>
    <t>Cl, B, 60 st 13 (Auw 43)</t>
  </si>
  <si>
    <t>NGC6705</t>
  </si>
  <si>
    <t>野鸭星团</t>
  </si>
  <si>
    <t>18h51m5s</t>
  </si>
  <si>
    <t>-6h16m12s</t>
  </si>
  <si>
    <t>a remarkable object, a cluster, very bright, large, irregularly round, rich, a 9th magnitude star and stars from 11th magnitude</t>
  </si>
  <si>
    <t>!, Cl, vB, L, iR, Ri, *9, st 11…</t>
  </si>
  <si>
    <t>NGC6706</t>
  </si>
  <si>
    <t>18h56m51s</t>
  </si>
  <si>
    <t>-63h9m59s</t>
  </si>
  <si>
    <t>a nebula. No description</t>
  </si>
  <si>
    <t>NGC6707</t>
  </si>
  <si>
    <t>18h55m21.9s</t>
  </si>
  <si>
    <t>-53h49m9s</t>
  </si>
  <si>
    <t>faint, small, very little extended, gradually brighter middle</t>
  </si>
  <si>
    <t>F, S, vlE, gbM</t>
  </si>
  <si>
    <t>NGC6708</t>
  </si>
  <si>
    <t>18h55m35.6s</t>
  </si>
  <si>
    <t>-53h43m24s</t>
  </si>
  <si>
    <t>pretty faint, small, round, gradually pretty much brighter middle, last of group</t>
  </si>
  <si>
    <t>pF, S, R, gpmbM, last of gr</t>
  </si>
  <si>
    <t>NGC6709</t>
  </si>
  <si>
    <t>飞独角兽星团</t>
  </si>
  <si>
    <t>天鹰座</t>
  </si>
  <si>
    <t>AQL</t>
  </si>
  <si>
    <t>18h51m30s</t>
  </si>
  <si>
    <t>+10h20m0s</t>
  </si>
  <si>
    <t>a cluster, pretty rich, a little compressed, irregular figure</t>
  </si>
  <si>
    <t>Cl, pRi, lC, iF</t>
  </si>
  <si>
    <t>NGC6710</t>
  </si>
  <si>
    <t>18h50m34s</t>
  </si>
  <si>
    <t>+26h50m19s</t>
  </si>
  <si>
    <t>NGC6711</t>
  </si>
  <si>
    <t>18h49m0.9s</t>
  </si>
  <si>
    <t>+47h39m27s</t>
  </si>
  <si>
    <t>NGC6712</t>
  </si>
  <si>
    <t>18h53m4.3s</t>
  </si>
  <si>
    <t>-8h42m20s</t>
  </si>
  <si>
    <t>a globular cluster, pretty bright, very large, irregular, very gradually a little brighter middle, well resolved, clearly consisting of stars</t>
  </si>
  <si>
    <t>globular, pB, vL, irr, vglbM, rrr</t>
  </si>
  <si>
    <t>NGC6713</t>
  </si>
  <si>
    <t>18h50m44.2s</t>
  </si>
  <si>
    <t>+33h57m37s</t>
  </si>
  <si>
    <t>NGC6714</t>
  </si>
  <si>
    <t>18h45m49s</t>
  </si>
  <si>
    <t>+66h43m30s</t>
  </si>
  <si>
    <t>most extremely faint, pretty small, very difficult, several bright stars to north</t>
  </si>
  <si>
    <t>eeF, pS, v diffic, sev B st n</t>
  </si>
  <si>
    <t>NGC6715</t>
  </si>
  <si>
    <t>18h55m3.3s</t>
  </si>
  <si>
    <t>-30h28m40s</t>
  </si>
  <si>
    <t>a globular cluster, very bright, large, round, gradually then suddenly much brighter middle, well resolved, clearly consisting of stars, stars of 15th magnitude</t>
  </si>
  <si>
    <t>globular, vB, L, R, g, smbM, rrr, st 15</t>
  </si>
  <si>
    <t>NGC6716</t>
  </si>
  <si>
    <t>18h54m34s</t>
  </si>
  <si>
    <t>-19h54m30s</t>
  </si>
  <si>
    <t>a cluster, pretty rich, stars from 9th to 13th magnitude</t>
  </si>
  <si>
    <t>Cl, pRi, st 9…13</t>
  </si>
  <si>
    <t>NGC6717</t>
  </si>
  <si>
    <t>18h55m6.2s</t>
  </si>
  <si>
    <t>-22h42m1s</t>
  </si>
  <si>
    <t>faint, small, partially resolved (some stars seen), a cluster plus nebulosity</t>
  </si>
  <si>
    <t>F, S, rr, Cl + neb</t>
  </si>
  <si>
    <t>NGC6718</t>
  </si>
  <si>
    <t>19h1m28.9s</t>
  </si>
  <si>
    <t>-66h6m37s</t>
  </si>
  <si>
    <t>very faint, small, round, gradually a little brighter middle, 9th magnitude star to southwest</t>
  </si>
  <si>
    <t>vF, S, R, glbM, * 9 sp</t>
  </si>
  <si>
    <t>NGC6719</t>
  </si>
  <si>
    <t>19h3m7.3s</t>
  </si>
  <si>
    <t>-68h35m16s</t>
  </si>
  <si>
    <t>very faint, pretty large, round, very gradually a very little brighter middle</t>
  </si>
  <si>
    <t>NGC6720</t>
  </si>
  <si>
    <t>指环星云</t>
  </si>
  <si>
    <t>18h53m35.1s</t>
  </si>
  <si>
    <t>+33h1m47s</t>
  </si>
  <si>
    <t>a magnificent or otherwise interesting object, an annular nebula, bright, pretty large, considerably extended (in Lyra)</t>
  </si>
  <si>
    <t>!!!, annular, B, pL, cE (in Lyra)</t>
  </si>
  <si>
    <t>NGC6721</t>
  </si>
  <si>
    <t>19h0m50.9s</t>
  </si>
  <si>
    <t>-57h45m34s</t>
  </si>
  <si>
    <t>pretty faint, considerably small, round, very much brighter middle</t>
  </si>
  <si>
    <t>pF, cS, R, vmbM</t>
  </si>
  <si>
    <t>NGC6722</t>
  </si>
  <si>
    <t>19h3m40.1s</t>
  </si>
  <si>
    <t>-64h53m42s</t>
  </si>
  <si>
    <t>pretty faint, small, extended, gradually a little brighter middle, 2 stars of 8th magnitude to west</t>
  </si>
  <si>
    <t>pF, S, E, glbM, 2 st 8 p</t>
  </si>
  <si>
    <t>NGC6723</t>
  </si>
  <si>
    <t>吊灯星团</t>
  </si>
  <si>
    <t>18h59m33.2s</t>
  </si>
  <si>
    <t>-36h37m52s</t>
  </si>
  <si>
    <t>a globular cluster, very large, very little extended, very gradually brighter middle, well resolved, clearly consisting of stars, stars from 14th to 16th magnitude</t>
  </si>
  <si>
    <t>globular, vL, vlE, vgbM, rrr, st 14…16</t>
  </si>
  <si>
    <t>NGC6724</t>
  </si>
  <si>
    <t>18h56m46s</t>
  </si>
  <si>
    <t>+10h25m42s</t>
  </si>
  <si>
    <t>Cl</t>
  </si>
  <si>
    <t>NGC6725</t>
  </si>
  <si>
    <t>19h1m56.4s</t>
  </si>
  <si>
    <t>-53h51m51s</t>
  </si>
  <si>
    <t>NGC6726</t>
  </si>
  <si>
    <t>19h1m39.2s</t>
  </si>
  <si>
    <t>-36h53m29s</t>
  </si>
  <si>
    <t>a 6th or 7th magnitude star in a faint, pretty large nebulosity</t>
  </si>
  <si>
    <t>* 6·7 in F, pL, neb</t>
  </si>
  <si>
    <t>NGC6727</t>
  </si>
  <si>
    <t>19h1m42.2s</t>
  </si>
  <si>
    <t>-36h52m35s</t>
  </si>
  <si>
    <t>an 8th magnitude star in a faint, pretty large nebulosity</t>
  </si>
  <si>
    <t>* 8 in F, pL neb</t>
  </si>
  <si>
    <t>NGC6728</t>
  </si>
  <si>
    <t>19h0m14s</t>
  </si>
  <si>
    <t>-8h57m26s</t>
  </si>
  <si>
    <t>a cluster, very large, poor</t>
  </si>
  <si>
    <t>Cl, vL, P</t>
  </si>
  <si>
    <t>NGC6729</t>
  </si>
  <si>
    <t>南冕座R星云</t>
  </si>
  <si>
    <t>19h1m55.3s</t>
  </si>
  <si>
    <t>-36h57m28s</t>
  </si>
  <si>
    <t>a variable star (11th magnitude and fainter) with nebulosity, a very remarkable object</t>
  </si>
  <si>
    <t>Var * (11…) with neb!!</t>
  </si>
  <si>
    <t>NGC6730</t>
  </si>
  <si>
    <t>19h7m33.6s</t>
  </si>
  <si>
    <t>-68h54m44s</t>
  </si>
  <si>
    <t>very faint, small, round, pretty much brighter middle, 7th or 8th magnitude star to northeast</t>
  </si>
  <si>
    <t>vF, S, R, pmbM, * 7·8 nf</t>
  </si>
  <si>
    <t>NGC6731</t>
  </si>
  <si>
    <t>18h57m13.5s</t>
  </si>
  <si>
    <t>+43h4m38s</t>
  </si>
  <si>
    <t>NGC6732</t>
  </si>
  <si>
    <t>18h56m24.1s</t>
  </si>
  <si>
    <t>+52h22m39s</t>
  </si>
  <si>
    <t>pretty bright, very small, round, faint star to north</t>
  </si>
  <si>
    <t>pB, vS, R, F * n</t>
  </si>
  <si>
    <t>NGC6733</t>
  </si>
  <si>
    <t>19h6m10.7s</t>
  </si>
  <si>
    <t>-62h11m48s</t>
  </si>
  <si>
    <t>most extremely faint, very gradually a little brighter middle, very difficult</t>
  </si>
  <si>
    <t>eeF, vglbM, v difficult</t>
  </si>
  <si>
    <t>NGC6734</t>
  </si>
  <si>
    <t>19h7m14.4s</t>
  </si>
  <si>
    <t>-65h27m39s</t>
  </si>
  <si>
    <t>very faint, small, round, gradually a little brighter middle, western of 2</t>
  </si>
  <si>
    <t>vF, S, R, glbM, p of 2</t>
  </si>
  <si>
    <t>NGC6735</t>
  </si>
  <si>
    <t>19h0m45.3s</t>
  </si>
  <si>
    <t>-0h27m21s</t>
  </si>
  <si>
    <t>a cluster, very large, poor, stars from 12th magnitude</t>
  </si>
  <si>
    <t>Cl, vL, P, st 12…</t>
  </si>
  <si>
    <t>NGC6736</t>
  </si>
  <si>
    <t>19h7m29.3s</t>
  </si>
  <si>
    <t>-65h25m43s</t>
  </si>
  <si>
    <t>extremely faint, small, round, gradually a little brighter middle, eastern of 2</t>
  </si>
  <si>
    <t>eF, S, R, glbM, f of 2</t>
  </si>
  <si>
    <t>NGC6737</t>
  </si>
  <si>
    <t>19h2m10s</t>
  </si>
  <si>
    <t>-18h32m48s</t>
  </si>
  <si>
    <t>a cluster, pretty large, pretty rich, round, stars from 12th to 15th magnitude</t>
  </si>
  <si>
    <t>Cl, pL, pRi, R, st 12…15</t>
  </si>
  <si>
    <t>NGC6738</t>
  </si>
  <si>
    <t>19h1m20s</t>
  </si>
  <si>
    <t>+11h36m54s</t>
  </si>
  <si>
    <t>NGC6739</t>
  </si>
  <si>
    <t>19h7m48.7s</t>
  </si>
  <si>
    <t>-61h22m3s</t>
  </si>
  <si>
    <t>considerably faint, very small, considerably extended, pretty suddenly brighter middle, 3 stars to west</t>
  </si>
  <si>
    <t>cF, vS, cE, psbM, 3 st p</t>
  </si>
  <si>
    <t>NGC6740</t>
  </si>
  <si>
    <t>19h0m50.5s</t>
  </si>
  <si>
    <t>+28h46m16s</t>
  </si>
  <si>
    <t>NGC6741</t>
  </si>
  <si>
    <t>幻影条纹星云</t>
  </si>
  <si>
    <t>19h2m37s</t>
  </si>
  <si>
    <t>-0h26m56s</t>
  </si>
  <si>
    <t>a planetary nebular, stellar</t>
  </si>
  <si>
    <t>NGC6742</t>
  </si>
  <si>
    <t>18h59m19.8s</t>
  </si>
  <si>
    <t>+48h27m59s</t>
  </si>
  <si>
    <t>NGC6743</t>
  </si>
  <si>
    <t>19h1m26.7s</t>
  </si>
  <si>
    <t>+29h17m14s</t>
  </si>
  <si>
    <t>a cluster, pretty large, poor, stars from 11th to 12th magnitude</t>
  </si>
  <si>
    <t>Cl, pL, P, st 11…12</t>
  </si>
  <si>
    <t>NGC6744</t>
  </si>
  <si>
    <t>19h9m46.1s</t>
  </si>
  <si>
    <t>-63h51m24s</t>
  </si>
  <si>
    <t>considerably bright, considerably large, round, very gradually then suddenly very much brighter middle, mottled but not resolved</t>
  </si>
  <si>
    <t>cB, cL, R, vg, svmbM, r</t>
  </si>
  <si>
    <t>NGC6745</t>
  </si>
  <si>
    <t>鸟头星系</t>
  </si>
  <si>
    <t>19h1m41.9s</t>
  </si>
  <si>
    <t>+40h45m33s</t>
  </si>
  <si>
    <t>very faint, a little extended north-south</t>
  </si>
  <si>
    <t>vF, lE ns</t>
  </si>
  <si>
    <t>NGC6746</t>
  </si>
  <si>
    <t>19h10m22.3s</t>
  </si>
  <si>
    <t>-61h58m6s</t>
  </si>
  <si>
    <t>extremely faint, considerably small, round, gradually a little brighter middle</t>
  </si>
  <si>
    <t>eF, cS, R, glbM</t>
  </si>
  <si>
    <t>NGC6747</t>
  </si>
  <si>
    <t>18h55m21.5s</t>
  </si>
  <si>
    <t>+72h46m20s</t>
  </si>
  <si>
    <t>most extremely faint, very difficult, pretty bright star to southeast</t>
  </si>
  <si>
    <t>eeF, v diffic, pB st sf</t>
  </si>
  <si>
    <t>NGC6748</t>
  </si>
  <si>
    <t>19h5m55.5s</t>
  </si>
  <si>
    <t>-5h59m30s</t>
  </si>
  <si>
    <t>pretty bright, very small, brighter middle</t>
  </si>
  <si>
    <t>pB, vS, bM</t>
  </si>
  <si>
    <t>NGC6749</t>
  </si>
  <si>
    <t>19h5m15.3s</t>
  </si>
  <si>
    <t>+1h54m5s</t>
  </si>
  <si>
    <t>a cluster, large, a little compressed, stars large and small</t>
  </si>
  <si>
    <t>Cl, L, lC, st L &amp; S</t>
  </si>
  <si>
    <t>NGC6750</t>
  </si>
  <si>
    <t>19h0m36s</t>
  </si>
  <si>
    <t>+59h10m2s</t>
  </si>
  <si>
    <t>NGC6751</t>
  </si>
  <si>
    <t>蒲公英星云</t>
  </si>
  <si>
    <t>NGC6752</t>
  </si>
  <si>
    <t>孔雀座球状星团</t>
  </si>
  <si>
    <t>19h10m51.8s</t>
  </si>
  <si>
    <t>-59h58m53s</t>
  </si>
  <si>
    <t>a globular cluster, bright, very large, irregularly round, well resolved, clearly consisting of stars, stars from 11th to 16th magnitude</t>
  </si>
  <si>
    <t>globular, B, vL, iR, rrr, st 11…16</t>
  </si>
  <si>
    <t>NGC6753</t>
  </si>
  <si>
    <t>19h11m23.7s</t>
  </si>
  <si>
    <t>-57h2m56s</t>
  </si>
  <si>
    <t>NGC6754</t>
  </si>
  <si>
    <t>19h11m25s</t>
  </si>
  <si>
    <t>-50h38m31s</t>
  </si>
  <si>
    <t>pretty faint, pretty large, much extended 63°, very gradually a little brighter middle</t>
  </si>
  <si>
    <t>pF, pL, mE 63°, vglbM</t>
  </si>
  <si>
    <t>NGC6755</t>
  </si>
  <si>
    <t>可能的双星团</t>
  </si>
  <si>
    <t>19h7m49s</t>
  </si>
  <si>
    <t>+4h16m0s</t>
  </si>
  <si>
    <t>a cluster, very large, very rich, pretty compressed, stars from 12th to 14th magnitude</t>
  </si>
  <si>
    <t>Cl, vL, vRi, pC, st 12…14</t>
  </si>
  <si>
    <t>NGC6756</t>
  </si>
  <si>
    <t>19h8m42.5s</t>
  </si>
  <si>
    <t>+4h42m21s</t>
  </si>
  <si>
    <t>a cluster, small, rich, a little compressed, stars from 11th to 12th magnitude</t>
  </si>
  <si>
    <t>Cl, S, Ri, lC, st 11…12</t>
  </si>
  <si>
    <t>NGC6757</t>
  </si>
  <si>
    <t>19h5m6.1s</t>
  </si>
  <si>
    <t>+55h43m3s</t>
  </si>
  <si>
    <t>pretty faint, much extended, 3 faint stars involved</t>
  </si>
  <si>
    <t>pF, mE, 3 F st inv</t>
  </si>
  <si>
    <t>NGC6758</t>
  </si>
  <si>
    <t>19h13m52.5s</t>
  </si>
  <si>
    <t>-56h18m34s</t>
  </si>
  <si>
    <t>NGC6759</t>
  </si>
  <si>
    <t>19h6m57s</t>
  </si>
  <si>
    <t>+50h20m54s</t>
  </si>
  <si>
    <t>very faint, small, round, very faint double star close to southwest</t>
  </si>
  <si>
    <t>vF, S, R, vF D * close sp</t>
  </si>
  <si>
    <t>NGC6760</t>
  </si>
  <si>
    <t>19h11m12.1s</t>
  </si>
  <si>
    <t>+1h1m52s</t>
  </si>
  <si>
    <t>pretty bright, pretty large, very gradually a little brighter middle (Auwers 44)</t>
  </si>
  <si>
    <t>pB, pL, vglbM (Auw. 44)</t>
  </si>
  <si>
    <t>NGC6761</t>
  </si>
  <si>
    <t>19h15m4.7s</t>
  </si>
  <si>
    <t>-50h39m25s</t>
  </si>
  <si>
    <t>NGC6762</t>
  </si>
  <si>
    <t>19h5m37s</t>
  </si>
  <si>
    <t>+63h56m3s</t>
  </si>
  <si>
    <t>extremely faint, much extended</t>
  </si>
  <si>
    <t>eF, mE</t>
  </si>
  <si>
    <t>NGC6763</t>
  </si>
  <si>
    <t>eF, vS, cE, F * nr</t>
  </si>
  <si>
    <t>NGC6764</t>
  </si>
  <si>
    <t>天鹅座</t>
  </si>
  <si>
    <t>CYG</t>
  </si>
  <si>
    <t>19h8m16.6s</t>
  </si>
  <si>
    <t>+50h55m59s</t>
  </si>
  <si>
    <t>pretty faint, pretty large, much extended, several very faint stars involved</t>
  </si>
  <si>
    <t>pF, pL, mE, sev vF st inv</t>
  </si>
  <si>
    <t>NGC6765</t>
  </si>
  <si>
    <t>19h11m6.5s</t>
  </si>
  <si>
    <t>+30h32m47s</t>
  </si>
  <si>
    <t>NGC6766</t>
  </si>
  <si>
    <t>20h10m23.7s</t>
  </si>
  <si>
    <t>+46h27m42s</t>
  </si>
  <si>
    <t>NGC6767</t>
  </si>
  <si>
    <t>19h11m34s</t>
  </si>
  <si>
    <t>+37h43m34s</t>
  </si>
  <si>
    <t>very faint, small, round, stellar, small star near to north</t>
  </si>
  <si>
    <t>vF, S, R, stellar, S * nr n</t>
  </si>
  <si>
    <t>NGC6768</t>
  </si>
  <si>
    <t>19h16m32.7s</t>
  </si>
  <si>
    <t>-40h12m31s</t>
  </si>
  <si>
    <t>NGC6769</t>
  </si>
  <si>
    <t>19h18m22.8s</t>
  </si>
  <si>
    <t>-60h30m3s</t>
  </si>
  <si>
    <t>very faint, small, round, a little brighter middle, 1st of 3</t>
  </si>
  <si>
    <t>vF, S, R, lbM, 1st of 3</t>
  </si>
  <si>
    <t>NGC6770</t>
  </si>
  <si>
    <t>19h18m37s</t>
  </si>
  <si>
    <t>-60h29m46s</t>
  </si>
  <si>
    <t>NGC6771</t>
  </si>
  <si>
    <t>19h18m39.4s</t>
  </si>
  <si>
    <t>-60h32m47s</t>
  </si>
  <si>
    <t>NGC6772</t>
  </si>
  <si>
    <t>19h14m36.4s</t>
  </si>
  <si>
    <t>-2h42m22s</t>
  </si>
  <si>
    <t>very faint, large, round, very very little brighter middle, mottled but not resolved</t>
  </si>
  <si>
    <t>vF, L, R, vvlbM, r</t>
  </si>
  <si>
    <t>NGC6773</t>
  </si>
  <si>
    <t>19h15m8s</t>
  </si>
  <si>
    <t>NGC6774</t>
  </si>
  <si>
    <t>19h16m18s</t>
  </si>
  <si>
    <t>-16h19m30s</t>
  </si>
  <si>
    <t>NGC6775</t>
  </si>
  <si>
    <t>19h16m42s</t>
  </si>
  <si>
    <t>a cluster, poor, a little compressed, stars from 10th to 11th magnitude</t>
  </si>
  <si>
    <t>Cl, P, lC, st 10…11</t>
  </si>
  <si>
    <t>NGC6776</t>
  </si>
  <si>
    <t>五角星系</t>
  </si>
  <si>
    <t>19h25m19.1s</t>
  </si>
  <si>
    <t>-63h51m36s</t>
  </si>
  <si>
    <t>NGC6777</t>
  </si>
  <si>
    <t>19h26m32s</t>
  </si>
  <si>
    <t>-71h27m52s</t>
  </si>
  <si>
    <t>Neb without st</t>
  </si>
  <si>
    <t>NGC6778</t>
  </si>
  <si>
    <t>M76之子</t>
  </si>
  <si>
    <t>19h18m24.9s</t>
  </si>
  <si>
    <t>-1h35m45s</t>
  </si>
  <si>
    <t>small, extended, ill-defined disc</t>
  </si>
  <si>
    <t>S, E, ill-defined disc</t>
  </si>
  <si>
    <t>NGC6779</t>
  </si>
  <si>
    <t>19h16m35.5s</t>
  </si>
  <si>
    <t>+30h11m7s</t>
  </si>
  <si>
    <t>a globular cluster, bright, large, irregularly round, gradually much compressed middle, well resolved, clearly consisting of stars, stars from 11th to 14th magnitude</t>
  </si>
  <si>
    <t>globular, B, L, iR, gvmCM, rrr, st 11…14</t>
  </si>
  <si>
    <t>NGC6780</t>
  </si>
  <si>
    <t>19h22m50.8s</t>
  </si>
  <si>
    <t>-55h46m33s</t>
  </si>
  <si>
    <t>NGC6781</t>
  </si>
  <si>
    <t>雪球星云</t>
  </si>
  <si>
    <t>19h18m28.3s</t>
  </si>
  <si>
    <t>+6h32m25s</t>
  </si>
  <si>
    <t>a planetary nebula, faint, large, round, very suddenly brighter middle and disc, small star to northeast</t>
  </si>
  <si>
    <t>planetary, F, L, R, vsbM disc, S * nf</t>
  </si>
  <si>
    <t>NGC6782</t>
  </si>
  <si>
    <t>19h23m57.9s</t>
  </si>
  <si>
    <t>-59h55m20s</t>
  </si>
  <si>
    <t>considerably faint, considerably small, round, a little brighter middle, 9th magnitude star to south</t>
  </si>
  <si>
    <t>cF, cS, R, lbM, * 9 s</t>
  </si>
  <si>
    <t>NGC6783</t>
  </si>
  <si>
    <t>19h16m47.5s</t>
  </si>
  <si>
    <t>+46h1m5s</t>
  </si>
  <si>
    <t>NGC6784</t>
  </si>
  <si>
    <t>19h26m31.2s</t>
  </si>
  <si>
    <t>-65h37m36s</t>
  </si>
  <si>
    <t>most extremely excessively faint, pretty small, among small stars</t>
  </si>
  <si>
    <t>eeeF, pS, am S st</t>
  </si>
  <si>
    <t>NGC6785</t>
  </si>
  <si>
    <t>eS, stellar</t>
  </si>
  <si>
    <t>NGC6786</t>
  </si>
  <si>
    <t>19h10m53.8s</t>
  </si>
  <si>
    <t>+73h24m39s</t>
  </si>
  <si>
    <t>most extremely faint, small, round, 2 stars to northeast</t>
  </si>
  <si>
    <t>eeF, S, R, 2 st nf</t>
  </si>
  <si>
    <t>NGC6787</t>
  </si>
  <si>
    <t>19h16m10.5s</t>
  </si>
  <si>
    <t>+60h25m3s</t>
  </si>
  <si>
    <t>most extremely faint, pretty small, 4 stars to southeast, extremely difficult</t>
  </si>
  <si>
    <t>eeF, pS, 4 st sf, e diffic</t>
  </si>
  <si>
    <t>NGC6788</t>
  </si>
  <si>
    <t>19h26m49.7s</t>
  </si>
  <si>
    <t>-54h57m2s</t>
  </si>
  <si>
    <t>pretty bright, small, much extended, pretty suddenly a little brighter middle</t>
  </si>
  <si>
    <t>pB, S, mE, pslbM</t>
  </si>
  <si>
    <t>NGC6789</t>
  </si>
  <si>
    <t>19h16m41.7s</t>
  </si>
  <si>
    <t>+63h58m19s</t>
  </si>
  <si>
    <t>NGC6790</t>
  </si>
  <si>
    <t>19h22m57s</t>
  </si>
  <si>
    <t>+1h30m49s</t>
  </si>
  <si>
    <t>a planetary nebula, bright, extremely small, stellar image equivalent to 9.5 magnitude</t>
  </si>
  <si>
    <t>planetary, B, eS, stell = 9.5 mag</t>
  </si>
  <si>
    <t>NGC6791</t>
  </si>
  <si>
    <t>19h20m52.7s</t>
  </si>
  <si>
    <t>very faint (Auwers 45)</t>
  </si>
  <si>
    <t>vF (Auw 45)</t>
  </si>
  <si>
    <t>NGC6792</t>
  </si>
  <si>
    <t>19h20m57.3s</t>
  </si>
  <si>
    <t>+43h7m56s</t>
  </si>
  <si>
    <t>faint, extended 26°, gradually a little brighter middle, 9.5 magnitude star to southeast</t>
  </si>
  <si>
    <t>F, E 26°, glbM, * 9.5 sf</t>
  </si>
  <si>
    <t>NGC6793</t>
  </si>
  <si>
    <t>狐狸座</t>
  </si>
  <si>
    <t>VUL</t>
  </si>
  <si>
    <t>19h23m12.6s</t>
  </si>
  <si>
    <t>+22h9m27s</t>
  </si>
  <si>
    <t>NGC6794</t>
  </si>
  <si>
    <t>19h28m3.8s</t>
  </si>
  <si>
    <t>-38h55m7s</t>
  </si>
  <si>
    <t>extremely faint, pretty small, round, very gradually a very little brighter middle</t>
  </si>
  <si>
    <t>eF, pS, R, vgvlbM</t>
  </si>
  <si>
    <t>NGC6795</t>
  </si>
  <si>
    <t>19h26m19.2s</t>
  </si>
  <si>
    <t>+3h30m46s</t>
  </si>
  <si>
    <t>a cluster, rich, between two 9th magnitude stars</t>
  </si>
  <si>
    <t>Cl, Ri, bet 2 st 9</t>
  </si>
  <si>
    <t>NGC6796</t>
  </si>
  <si>
    <t>19h21m31s</t>
  </si>
  <si>
    <t>+61h8m42s</t>
  </si>
  <si>
    <t>very faint, pretty small, much extended north-south</t>
  </si>
  <si>
    <t>vF, pS, mE ns</t>
  </si>
  <si>
    <t>NGC6797</t>
  </si>
  <si>
    <t>19h29m0.6s</t>
  </si>
  <si>
    <t>-25h39m59s</t>
  </si>
  <si>
    <t>a nebula with a 9th magnitude star attached on the east</t>
  </si>
  <si>
    <t>Neb with * 9 m att f</t>
  </si>
  <si>
    <t>NGC6798</t>
  </si>
  <si>
    <t>19h24m3.1s</t>
  </si>
  <si>
    <t>+53h37m27s</t>
  </si>
  <si>
    <t>faint, very small, round, star very near</t>
  </si>
  <si>
    <t>F, vS, R, * v nr</t>
  </si>
  <si>
    <t>NGC6799</t>
  </si>
  <si>
    <t>19h32m16.7s</t>
  </si>
  <si>
    <t>-55h54m28s</t>
  </si>
  <si>
    <t>extremely faint, very small, round, a little brighter middle, 3 very small stars near</t>
  </si>
  <si>
    <t>eF, vS, R, lbM, 3 vS st nr</t>
  </si>
  <si>
    <t>NGC6800</t>
  </si>
  <si>
    <t>19h27m0s</t>
  </si>
  <si>
    <t>+25h5m30s</t>
  </si>
  <si>
    <t>a cluster, very large, pretty rich, very little compressed, stars from 10th magnitude</t>
  </si>
  <si>
    <t>Cl, vL, pRi, vlC, st 10…</t>
  </si>
  <si>
    <t>NGC6801</t>
  </si>
  <si>
    <t>19h27m35.9s</t>
  </si>
  <si>
    <t>+54h22m21s</t>
  </si>
  <si>
    <t>extremely faint, pretty small, round, faint star near to south</t>
  </si>
  <si>
    <t>eF, pS, R, F * s nr</t>
  </si>
  <si>
    <t>NGC6802</t>
  </si>
  <si>
    <t>19h30m36s</t>
  </si>
  <si>
    <t>+20h15m42s</t>
  </si>
  <si>
    <t>a cluster, large, very compressed, extended 0°, stars from 14th to 18th magnitude</t>
  </si>
  <si>
    <t>Cl, L, vC, E 0°, st 14…18</t>
  </si>
  <si>
    <t>NGC6803</t>
  </si>
  <si>
    <t>19h31m16.3s</t>
  </si>
  <si>
    <t>+10h3m26s</t>
  </si>
  <si>
    <t>planetary nebula, stellar</t>
  </si>
  <si>
    <t>NGC6804</t>
  </si>
  <si>
    <t>收缩星云</t>
  </si>
  <si>
    <t>19h31m35.4s</t>
  </si>
  <si>
    <t>+9h13m33s</t>
  </si>
  <si>
    <t>considerably bright, small, irregularly round, well resolved, clearly consisting of stars</t>
  </si>
  <si>
    <t>cB, S, iR, rrr</t>
  </si>
  <si>
    <t>NGC6805</t>
  </si>
  <si>
    <t>19h36m45.8s</t>
  </si>
  <si>
    <t>-37h33m14s</t>
  </si>
  <si>
    <t>extremely faint, round, very gradually brighter middle</t>
  </si>
  <si>
    <t>eF, R, vgbM</t>
  </si>
  <si>
    <t>NGC6806</t>
  </si>
  <si>
    <t>19h37m4.8s</t>
  </si>
  <si>
    <t>-42h17m45s</t>
  </si>
  <si>
    <t>extremely faint, very small, 14th magnitude star attached</t>
  </si>
  <si>
    <t>eF, vS, * 14 att</t>
  </si>
  <si>
    <t>NGC6807</t>
  </si>
  <si>
    <t>19h34m33.5s</t>
  </si>
  <si>
    <t>+5h41m4s</t>
  </si>
  <si>
    <t>NGC6808</t>
  </si>
  <si>
    <t>19h43m54.4s</t>
  </si>
  <si>
    <t>-70h37m56s</t>
  </si>
  <si>
    <t>pretty bright, extended, binuclear, 8th magnitude star to east</t>
  </si>
  <si>
    <t>pB, E, biN, * 8 f</t>
  </si>
  <si>
    <t>NGC6809</t>
  </si>
  <si>
    <t>幽灵星团</t>
  </si>
  <si>
    <t>19h39m59.4s</t>
  </si>
  <si>
    <t>-30h57m42s</t>
  </si>
  <si>
    <t>a globular cluster, pretty bright, large, round, very rich, very gradually brighter middle, stars from 12th to 15th magnitude</t>
  </si>
  <si>
    <t>globular, pB, L, R, vRi, vgbM, st 12…15</t>
  </si>
  <si>
    <t>NGC6810</t>
  </si>
  <si>
    <t>19h43m34.3s</t>
  </si>
  <si>
    <t>-58h39m22s</t>
  </si>
  <si>
    <t>pretty small, round, very gradually brighter middle</t>
  </si>
  <si>
    <t>pS, R, vgbM</t>
  </si>
  <si>
    <t>NGC6811</t>
  </si>
  <si>
    <t>洞穴星团</t>
  </si>
  <si>
    <t>19h37m9.6s</t>
  </si>
  <si>
    <t>+46h22m32s</t>
  </si>
  <si>
    <t>a cluster, large, pretty rich, a little compressed, stars from 11th to 14th magnitude</t>
  </si>
  <si>
    <t>Cl, L, pRi, lC, st 11…14</t>
  </si>
  <si>
    <t>NGC6812</t>
  </si>
  <si>
    <t>19h45m23.9s</t>
  </si>
  <si>
    <t>-55h20m49s</t>
  </si>
  <si>
    <t>pretty bright, pretty small, pretty much extended, gradually a little brighter middle</t>
  </si>
  <si>
    <t>pB, pS, pmE, glbM</t>
  </si>
  <si>
    <t>NGC6813</t>
  </si>
  <si>
    <t>19h40m24s</t>
  </si>
  <si>
    <t>+27h18m34s</t>
  </si>
  <si>
    <t>a double star in a very faint, small nebula</t>
  </si>
  <si>
    <t>** in vF, S neb</t>
  </si>
  <si>
    <t>NGC6814</t>
  </si>
  <si>
    <t>19h42m40.5s</t>
  </si>
  <si>
    <t>-10h19m28s</t>
  </si>
  <si>
    <t>NGC6815</t>
  </si>
  <si>
    <t>19h40m44s</t>
  </si>
  <si>
    <t>+26h45m32s</t>
  </si>
  <si>
    <t>a cluster, very large, pretty rich, a little compressed, stars from 10th to 15th magnitude</t>
  </si>
  <si>
    <t>NGC6816</t>
  </si>
  <si>
    <t>19h44m2.4s</t>
  </si>
  <si>
    <t>-28h24m3s</t>
  </si>
  <si>
    <t>extremely faint, pretty small, round, a very little brighter middle, star to northwest</t>
  </si>
  <si>
    <t>eF, pS, R, vlbM, * np</t>
  </si>
  <si>
    <t>NGC6817</t>
  </si>
  <si>
    <t>19h37m23.5s</t>
  </si>
  <si>
    <t>+62h23m2s</t>
  </si>
  <si>
    <t>NGC6818</t>
  </si>
  <si>
    <t>19h43m57.8s</t>
  </si>
  <si>
    <t>-14h9m9s</t>
  </si>
  <si>
    <t>a planetary nebula, bright, very small, round</t>
  </si>
  <si>
    <t>planetary, B, vS, R</t>
  </si>
  <si>
    <t>NGC6819</t>
  </si>
  <si>
    <t>狐头星团</t>
  </si>
  <si>
    <t>19h41m18s</t>
  </si>
  <si>
    <t>+40h11m0s</t>
  </si>
  <si>
    <t>a cluster, very large, very rich, stars from 11th to 15th magnitude</t>
  </si>
  <si>
    <t>Cl, vL, vRi, st 11…15</t>
  </si>
  <si>
    <t>NGC6820</t>
  </si>
  <si>
    <t>19h42m28s</t>
  </si>
  <si>
    <t>+23h5m15s</t>
  </si>
  <si>
    <t>NGC6821</t>
  </si>
  <si>
    <t>19h44m24.2s</t>
  </si>
  <si>
    <t>-6h50m4s</t>
  </si>
  <si>
    <t>NGC6822</t>
  </si>
  <si>
    <t>巴纳德星系</t>
  </si>
  <si>
    <t>19h44m56.6s</t>
  </si>
  <si>
    <t>-14h48m23s</t>
  </si>
  <si>
    <t>very faint, large, extended, diffuse</t>
  </si>
  <si>
    <t>vF, L, E, dif</t>
  </si>
  <si>
    <t>NGC6823</t>
  </si>
  <si>
    <t>I3pn</t>
  </si>
  <si>
    <t>19h43m10s</t>
  </si>
  <si>
    <t>+23h18m0s</t>
  </si>
  <si>
    <t>a cluster, considerably rich, extended, stars from 11th to 12th magnitude</t>
  </si>
  <si>
    <t>Cl, eRi, E, st 11…12</t>
  </si>
  <si>
    <t>NGC6824</t>
  </si>
  <si>
    <t>19h43m40.5s</t>
  </si>
  <si>
    <t>+56h6m32s</t>
  </si>
  <si>
    <t>pretty bright, irregularly faint, brighter middle</t>
  </si>
  <si>
    <t>NGC6825</t>
  </si>
  <si>
    <t>19h41m54.5s</t>
  </si>
  <si>
    <t>+64h4m24s</t>
  </si>
  <si>
    <t>extremely faint, very small, very difficult, faint star near</t>
  </si>
  <si>
    <t>eF, vS, v diffic, F * nr</t>
  </si>
  <si>
    <t>NGC6826</t>
  </si>
  <si>
    <t>眨眼行星状星云</t>
  </si>
  <si>
    <t>19h44m48.2s</t>
  </si>
  <si>
    <t>+50h31m32s</t>
  </si>
  <si>
    <t>a planetary nebula, bright, pretty large, round, 11th magnitude star in middle</t>
  </si>
  <si>
    <t>planetary, B, pL, R, * 11 M</t>
  </si>
  <si>
    <t>NGC6827</t>
  </si>
  <si>
    <t>19h48m53.2s</t>
  </si>
  <si>
    <t>+21h12m58s</t>
  </si>
  <si>
    <t>very faint, extended, diffuse, several stars involved</t>
  </si>
  <si>
    <t>vF, E, dif, sev st inv</t>
  </si>
  <si>
    <t>NGC6828</t>
  </si>
  <si>
    <t>19h50m17s</t>
  </si>
  <si>
    <t>+7h54m14s</t>
  </si>
  <si>
    <t>NGC6829</t>
  </si>
  <si>
    <t>19h47m7.5s</t>
  </si>
  <si>
    <t>+59h54m26s</t>
  </si>
  <si>
    <t>extremely faint, pretty small, round, pretty bright star close to south, western of 2</t>
  </si>
  <si>
    <t>eF, pS, R, pB * close s, p of 2</t>
  </si>
  <si>
    <t>NGC6830</t>
  </si>
  <si>
    <t>贵宾犬星团</t>
  </si>
  <si>
    <t>19h51m0s</t>
  </si>
  <si>
    <t>+23h6m0s</t>
  </si>
  <si>
    <t>a cluster, large, pretty rich, pretty compressed, stars from 11th to 12th magnitude</t>
  </si>
  <si>
    <t>Cl, L, pRi, pC, st 11…12</t>
  </si>
  <si>
    <t>NGC6831</t>
  </si>
  <si>
    <t>19h47m57.2s</t>
  </si>
  <si>
    <t>+59h53m35s</t>
  </si>
  <si>
    <t>extremely faint, small, round, eastern of 2</t>
  </si>
  <si>
    <t>NGC6832</t>
  </si>
  <si>
    <t>19h48m15.5s</t>
  </si>
  <si>
    <t>+59h25m22s</t>
  </si>
  <si>
    <t>a cluster, very large, a little compressed, stars from the 7th magnitude</t>
  </si>
  <si>
    <t>Cl, vL, lC, st 7…</t>
  </si>
  <si>
    <t>NGC6833</t>
  </si>
  <si>
    <t>19h49m46.6s</t>
  </si>
  <si>
    <t>+48h57m42s</t>
  </si>
  <si>
    <t>NGC6834</t>
  </si>
  <si>
    <t>19h52m12.5s</t>
  </si>
  <si>
    <t>+29h24m29s</t>
  </si>
  <si>
    <t>a cluster, poor, a little compressed, stars from 11th to 12th magnitude</t>
  </si>
  <si>
    <t>Cl, P, lC, st 11…12</t>
  </si>
  <si>
    <t>NGC6835</t>
  </si>
  <si>
    <t>19h54m32.8s</t>
  </si>
  <si>
    <t>-12h34m3s</t>
  </si>
  <si>
    <t>NGC6836</t>
  </si>
  <si>
    <t>19h54m40.3s</t>
  </si>
  <si>
    <t>-12h41m18s</t>
  </si>
  <si>
    <t>very faint, pretty large, round, diffuse</t>
  </si>
  <si>
    <t>vF, pL, R, dif</t>
  </si>
  <si>
    <t>NGC6837</t>
  </si>
  <si>
    <t>19h53m8s</t>
  </si>
  <si>
    <t>+11h41m54s</t>
  </si>
  <si>
    <t>a cluster, small, poor</t>
  </si>
  <si>
    <t>Cl, S, P</t>
  </si>
  <si>
    <t>NGC6838</t>
  </si>
  <si>
    <t>神仙鱼星团</t>
  </si>
  <si>
    <t>天箭座</t>
  </si>
  <si>
    <t>SGE</t>
  </si>
  <si>
    <t>19h53m46.1s</t>
  </si>
  <si>
    <t>+18h46m44s</t>
  </si>
  <si>
    <t>a cluster, very large, very rich, pretty much compressed, stars from 11th to 16th magnitude</t>
  </si>
  <si>
    <t>Cl, vL, vRi, pmC, st 11…16</t>
  </si>
  <si>
    <t>NGC6839</t>
  </si>
  <si>
    <t>19h54m33s</t>
  </si>
  <si>
    <t>+17h56m20s</t>
  </si>
  <si>
    <t>a cluster, very small, very compressed</t>
  </si>
  <si>
    <t>Cl, vS, vC</t>
  </si>
  <si>
    <t>NGC6840</t>
  </si>
  <si>
    <t>19h55m17s</t>
  </si>
  <si>
    <t>+12h7m18s</t>
  </si>
  <si>
    <t>NGC6841</t>
  </si>
  <si>
    <t>19h57m49.1s</t>
  </si>
  <si>
    <t>-31h48m39s</t>
  </si>
  <si>
    <t>NGC6842</t>
  </si>
  <si>
    <t>19h55m2.3s</t>
  </si>
  <si>
    <t>+29h17m23s</t>
  </si>
  <si>
    <t>faint pretty large, very little extended</t>
  </si>
  <si>
    <t>F, pL, vlE</t>
  </si>
  <si>
    <t>NGC6843</t>
  </si>
  <si>
    <t>19h56m6s</t>
  </si>
  <si>
    <t>+12h9m52s</t>
  </si>
  <si>
    <t>NGC6844</t>
  </si>
  <si>
    <t>20h2m50s</t>
  </si>
  <si>
    <t>-65h13m44s</t>
  </si>
  <si>
    <t>extremely faint, very small, round, pretty suddenly brighter middle, 11th magnitude star to northwest</t>
  </si>
  <si>
    <t>eF, vS, R, psbM, * 11 np</t>
  </si>
  <si>
    <t>NGC6845</t>
  </si>
  <si>
    <t>克莱莫拉30</t>
  </si>
  <si>
    <t>20h0m58s</t>
  </si>
  <si>
    <t>-47h4m12s</t>
  </si>
  <si>
    <t>very faint, small, very little extended, gradually a little brighter middle</t>
  </si>
  <si>
    <t>vF, S, vlE, glbM</t>
  </si>
  <si>
    <t>NGC6846</t>
  </si>
  <si>
    <t>19h56m28.1s</t>
  </si>
  <si>
    <t>extremely faint, very small, 3 stars involved</t>
  </si>
  <si>
    <t>eF, vS, 3 st inv</t>
  </si>
  <si>
    <t>NGC6847</t>
  </si>
  <si>
    <t>a nebula, mottled but not resolved</t>
  </si>
  <si>
    <t>Neb, r</t>
  </si>
  <si>
    <t>NGC6848</t>
  </si>
  <si>
    <t>20h2m46.9s</t>
  </si>
  <si>
    <t>-56h5m25s</t>
  </si>
  <si>
    <t>considerably faint, considerably large, round, very gradually a little brighter middle, 2 stars to east</t>
  </si>
  <si>
    <t>cF, cL, R, vglbM, 2 st f</t>
  </si>
  <si>
    <t>NGC6849</t>
  </si>
  <si>
    <t>20h6m15.6s</t>
  </si>
  <si>
    <t>-40h11m54s</t>
  </si>
  <si>
    <t>pretty bright, small, round, very small star to northwest</t>
  </si>
  <si>
    <t>pB, S, R, vS * np</t>
  </si>
  <si>
    <t>NGC6850</t>
  </si>
  <si>
    <t>20h3m29.8s</t>
  </si>
  <si>
    <t>-54h50m43s</t>
  </si>
  <si>
    <t>NGC6851</t>
  </si>
  <si>
    <t>20h3m34.3s</t>
  </si>
  <si>
    <t>-48h17m4s</t>
  </si>
  <si>
    <t>pretty faint, small, very little extended, pretty suddenly brighter middle</t>
  </si>
  <si>
    <t>pF, S, vlE, psbM</t>
  </si>
  <si>
    <t>NGC6852</t>
  </si>
  <si>
    <t>20h0m39.2s</t>
  </si>
  <si>
    <t>+1h43m43s</t>
  </si>
  <si>
    <t>a faint nebula, among stars</t>
  </si>
  <si>
    <t>F neb, am st</t>
  </si>
  <si>
    <t>NGC6853</t>
  </si>
  <si>
    <t>哑铃星云</t>
  </si>
  <si>
    <t>19h59m36.3s</t>
  </si>
  <si>
    <t>+22h43m18s</t>
  </si>
  <si>
    <t>a magnificent or otherwise interesting object, very bright, very large, binuclear, irregularly extended (Dumbbell)</t>
  </si>
  <si>
    <t>!!!, vB, vL, biN, iE (Dumbbell)</t>
  </si>
  <si>
    <t>NGC6854</t>
  </si>
  <si>
    <t>20h5m38.6s</t>
  </si>
  <si>
    <t>-54h22m30s</t>
  </si>
  <si>
    <t>NGC6855</t>
  </si>
  <si>
    <t>20h6m49.7s</t>
  </si>
  <si>
    <t>-56h23m23s</t>
  </si>
  <si>
    <t>NGC6856</t>
  </si>
  <si>
    <t>19h59m17.1s</t>
  </si>
  <si>
    <t>+56h7m53s</t>
  </si>
  <si>
    <t>a cluster, pretty small, pretty much compressed, irregularly round, stars from 12th to 16th magnitude</t>
  </si>
  <si>
    <t>Cl, pS, pmC, iR, st 12…16</t>
  </si>
  <si>
    <t>NGC6857</t>
  </si>
  <si>
    <t>20h1m48s</t>
  </si>
  <si>
    <t>faint, among Milky Way stars</t>
  </si>
  <si>
    <t>F, am Milky Way st</t>
  </si>
  <si>
    <t>NGC6858</t>
  </si>
  <si>
    <t>20h3m0s</t>
  </si>
  <si>
    <t>+11h15m36s</t>
  </si>
  <si>
    <t>a cluster, considerably large, extended, pretty rich, stars from 13th magnitude</t>
  </si>
  <si>
    <t>Cl, cL, E, pRi, st 13…</t>
  </si>
  <si>
    <t>NGC6859</t>
  </si>
  <si>
    <t>20h3m49.5s</t>
  </si>
  <si>
    <t>+0h26m40s</t>
  </si>
  <si>
    <t>a very small cluster, 10th magnitude star 1 second of time to west, 1' 29</t>
  </si>
  <si>
    <t>vS Cl, * 10 p 1s, s 1' 29" (Auw 46)</t>
  </si>
  <si>
    <t>NGC6860</t>
  </si>
  <si>
    <t>20h8m47.1s</t>
  </si>
  <si>
    <t>-61h5m59s</t>
  </si>
  <si>
    <t>faint, pretty small, gradually brighter middle</t>
  </si>
  <si>
    <t>F, pS, gbM</t>
  </si>
  <si>
    <t>NGC6861</t>
  </si>
  <si>
    <t>20h7m19.4s</t>
  </si>
  <si>
    <t>-48h22m10s</t>
  </si>
  <si>
    <t>bright, small, considerably extended, gradually pretty much brighter middle</t>
  </si>
  <si>
    <t>B, S, cE, gpmbM</t>
  </si>
  <si>
    <t>NGC6862</t>
  </si>
  <si>
    <t>20h8m54.5s</t>
  </si>
  <si>
    <t>-56h23m30s</t>
  </si>
  <si>
    <t>faint, small, a little extended, gradually a little brighter middle</t>
  </si>
  <si>
    <t>F, S, lE, glbM</t>
  </si>
  <si>
    <t>NGC6863</t>
  </si>
  <si>
    <t>20h5m7.3s</t>
  </si>
  <si>
    <t>-3h33m13s</t>
  </si>
  <si>
    <t>a cluster, small, very much compressed, stars of 19th magnitude</t>
  </si>
  <si>
    <t>Cl, S, vmC, st 19</t>
  </si>
  <si>
    <t>NGC6864</t>
  </si>
  <si>
    <t>20h6m4.8s</t>
  </si>
  <si>
    <t>-21h55m15s</t>
  </si>
  <si>
    <t>a globular cluster, bright, pretty large, round, very much brighter middle and bright nucleus, partially resolved (some stars seen)</t>
  </si>
  <si>
    <t>globular, B, pL, R, vmbMBN, rr</t>
  </si>
  <si>
    <t>NGC6865</t>
  </si>
  <si>
    <t>20h5m56.4s</t>
  </si>
  <si>
    <t>-9h2m26s</t>
  </si>
  <si>
    <t>NGC6866</t>
  </si>
  <si>
    <t>风筝星团</t>
  </si>
  <si>
    <t>20h3m55.1s</t>
  </si>
  <si>
    <t>+44h9m33s</t>
  </si>
  <si>
    <t>a cluster, large, very rich, considerably compressed</t>
  </si>
  <si>
    <t>Cl, L, vRi, cC</t>
  </si>
  <si>
    <t>NGC6867</t>
  </si>
  <si>
    <t>20h10m30s</t>
  </si>
  <si>
    <t>-54h47m3s</t>
  </si>
  <si>
    <t>most extremely faint, large, pretty much extended</t>
  </si>
  <si>
    <t>eeF, L, pmE</t>
  </si>
  <si>
    <t>NGC6868</t>
  </si>
  <si>
    <t>20h9m54s</t>
  </si>
  <si>
    <t>-48h22m48s</t>
  </si>
  <si>
    <t>very bright, small, round, pretty gradually very much brighter middle</t>
  </si>
  <si>
    <t>vB, S, R, pgvmbM</t>
  </si>
  <si>
    <t>NGC6869</t>
  </si>
  <si>
    <t>20h0m42.3s</t>
  </si>
  <si>
    <t>+66h13m41s</t>
  </si>
  <si>
    <t>NGC6870</t>
  </si>
  <si>
    <t>20h10m10.4s</t>
  </si>
  <si>
    <t>-48h17m12s</t>
  </si>
  <si>
    <t>considerably faint, considerably small, extended 90°, gradually brighter middle</t>
  </si>
  <si>
    <t>cF, cS, E 90°, gbM</t>
  </si>
  <si>
    <t>NGC6871</t>
  </si>
  <si>
    <t>20h6m27s</t>
  </si>
  <si>
    <t>+35h47m24s</t>
  </si>
  <si>
    <t>a cluster, stars large and small, double star involved</t>
  </si>
  <si>
    <t>Cl, st L and S, ** inv</t>
  </si>
  <si>
    <t>NGC6872</t>
  </si>
  <si>
    <t>秃鹰星系</t>
  </si>
  <si>
    <t>20h16m57s</t>
  </si>
  <si>
    <t>-70h46m4s</t>
  </si>
  <si>
    <t>faint, pretty small, a little extended, gradually a little brighter middle, 9th magnitude star 10.5 seconds of time to west, 1st of 4</t>
  </si>
  <si>
    <t>F, pS, lE, glbM, * 9 p 10s.5, 1st of 4</t>
  </si>
  <si>
    <t>NGC6873</t>
  </si>
  <si>
    <t>20h7m13s</t>
  </si>
  <si>
    <t>+21h6m8s</t>
  </si>
  <si>
    <t>a cluster, a little compressed, stars from 10th to 13th magnitude, double star involved</t>
  </si>
  <si>
    <t>Cl, lC, st 10…13, ** inv</t>
  </si>
  <si>
    <t>NGC6874</t>
  </si>
  <si>
    <t>IV1m</t>
  </si>
  <si>
    <t>20h7m48s</t>
  </si>
  <si>
    <t>+38h14m0s</t>
  </si>
  <si>
    <t>NGC6875</t>
  </si>
  <si>
    <t>20h13m12.3s</t>
  </si>
  <si>
    <t>-46h9m41s</t>
  </si>
  <si>
    <t>faint, very small, round, very gradually much brighter middle, 7th magnitude star to northeast</t>
  </si>
  <si>
    <t>F, vS, R, vgmbM, * 7 nf</t>
  </si>
  <si>
    <t>NGC6876</t>
  </si>
  <si>
    <t>20h18m19.1s</t>
  </si>
  <si>
    <t>-70h51m30s</t>
  </si>
  <si>
    <t>pretty bright, small, round, extremely small (faint) star to southeast, 2nd of 4</t>
  </si>
  <si>
    <t>pB, S, R, eS * sf, 2nd of 4</t>
  </si>
  <si>
    <t>NGC6877</t>
  </si>
  <si>
    <t>20h18m35.9s</t>
  </si>
  <si>
    <t>-70h51m10s</t>
  </si>
  <si>
    <t>NGC6878</t>
  </si>
  <si>
    <t>20h13m53.2s</t>
  </si>
  <si>
    <t>-44h31m36s</t>
  </si>
  <si>
    <t>NGC6879</t>
  </si>
  <si>
    <t>20h10m26.6s</t>
  </si>
  <si>
    <t>+16h55m25s</t>
  </si>
  <si>
    <t>a planetary nebula, stellar, equivalent to 10th-magnitude star</t>
  </si>
  <si>
    <t>planetary, stellar = 10m</t>
  </si>
  <si>
    <t>NGC6880</t>
  </si>
  <si>
    <t>20h19m29.6s</t>
  </si>
  <si>
    <t>-70h51m34s</t>
  </si>
  <si>
    <t>faint, small, round, mottled but not resolved, very small (faint) star attached, 4th of 4</t>
  </si>
  <si>
    <t>F, S, R, r, vS * att, 4th of 4</t>
  </si>
  <si>
    <t>NGC6881</t>
  </si>
  <si>
    <t>20h10m52.5s</t>
  </si>
  <si>
    <t>+37h24m44s</t>
  </si>
  <si>
    <t>NGC6882</t>
  </si>
  <si>
    <t>20h11m58s</t>
  </si>
  <si>
    <t>+26h29m0s</t>
  </si>
  <si>
    <t>NGC6883</t>
  </si>
  <si>
    <t>20h11m18s</t>
  </si>
  <si>
    <t>+35h51m0s</t>
  </si>
  <si>
    <t>a cluster, pretty rich, double star involved</t>
  </si>
  <si>
    <t>Cl, pRi, ** inv</t>
  </si>
  <si>
    <t>NGC6884</t>
  </si>
  <si>
    <t>NGC6885</t>
  </si>
  <si>
    <t>狐狸座20星团</t>
  </si>
  <si>
    <t>Cl, vB, vL, Ri, lC, st 6…11</t>
  </si>
  <si>
    <t>NGC6886</t>
  </si>
  <si>
    <t>20h12m42.8s</t>
  </si>
  <si>
    <t>+19h59m24s</t>
  </si>
  <si>
    <t>a planetary nebula, stellar, equivalent to 10th magnitude</t>
  </si>
  <si>
    <t>planetary, stellar = 10 m</t>
  </si>
  <si>
    <t>NGC6887</t>
  </si>
  <si>
    <t>20h17m17s</t>
  </si>
  <si>
    <t>-52h47m50s</t>
  </si>
  <si>
    <t>pretty faint, considerably large, pretty much extended, gradually a little brighter middle</t>
  </si>
  <si>
    <t>pF, cL, pmE, glbM</t>
  </si>
  <si>
    <t>NGC6888</t>
  </si>
  <si>
    <t>眉月星云</t>
  </si>
  <si>
    <t>20h12m6.5s</t>
  </si>
  <si>
    <t>+38h21m18s</t>
  </si>
  <si>
    <t>faint, very large, very much extended, double star attached</t>
  </si>
  <si>
    <t>F, vL, vmE, ** att</t>
  </si>
  <si>
    <t>NGC6889</t>
  </si>
  <si>
    <t>20h18m53.3s</t>
  </si>
  <si>
    <t>-53h57m24s</t>
  </si>
  <si>
    <t>very faint, large, a little extended</t>
  </si>
  <si>
    <t>vF, L, lE</t>
  </si>
  <si>
    <t>NGC6890</t>
  </si>
  <si>
    <t>20h18m18s</t>
  </si>
  <si>
    <t>-44h48m23s</t>
  </si>
  <si>
    <t>pretty faint, small, round, very gradually a little brighter middle</t>
  </si>
  <si>
    <t>pF, S, R, vglbM</t>
  </si>
  <si>
    <t>NGC6891</t>
  </si>
  <si>
    <t>海豚座</t>
  </si>
  <si>
    <t>DEL</t>
  </si>
  <si>
    <t>20h15m8.9s</t>
  </si>
  <si>
    <t>+12h42m17s</t>
  </si>
  <si>
    <t>a planetary nebula, stellar, equivalent to 9.5 magnitude</t>
  </si>
  <si>
    <t>planetary, stellar = 9.5 m</t>
  </si>
  <si>
    <t>NGC6892</t>
  </si>
  <si>
    <t>20h16m57.1s</t>
  </si>
  <si>
    <t>+18h1m12s</t>
  </si>
  <si>
    <t>an extremely faint nebulous star (perhaps an extremely small cluster?)</t>
  </si>
  <si>
    <t>eF neb * (? eS Cl)</t>
  </si>
  <si>
    <t>NGC6893</t>
  </si>
  <si>
    <t>20h20m49.6s</t>
  </si>
  <si>
    <t>-48h14m22s</t>
  </si>
  <si>
    <t>pretty faint, small, round, suddenly very bright middle equivalent to 12th magnitude star</t>
  </si>
  <si>
    <t>pF, S, R, svbM * 12</t>
  </si>
  <si>
    <t>NGC6894</t>
  </si>
  <si>
    <t>小指环星云</t>
  </si>
  <si>
    <t>20h16m24s</t>
  </si>
  <si>
    <t>+30h33m57s</t>
  </si>
  <si>
    <t>a very remarkable object, an annular nebula, faint, small, very very little extended</t>
  </si>
  <si>
    <t>!!, Ring, F, S, vvlE</t>
  </si>
  <si>
    <t>NGC6895</t>
  </si>
  <si>
    <t>20h16m32s</t>
  </si>
  <si>
    <t>+50h14m24s</t>
  </si>
  <si>
    <t>NGC6896</t>
  </si>
  <si>
    <t>20h18m3.6s</t>
  </si>
  <si>
    <t>+30h38m26s</t>
  </si>
  <si>
    <t>a cluster (plus a nebula), small, stars very small (faint)</t>
  </si>
  <si>
    <t>Cl (+ neb ?), S, st vS</t>
  </si>
  <si>
    <t>NGC6897</t>
  </si>
  <si>
    <t>摩羯座</t>
  </si>
  <si>
    <t>CAP</t>
  </si>
  <si>
    <t>20h21m1.3s</t>
  </si>
  <si>
    <t>-12h15m18s</t>
  </si>
  <si>
    <t>NGC6898</t>
  </si>
  <si>
    <t>20h21m8s</t>
  </si>
  <si>
    <t>-12h21m32s</t>
  </si>
  <si>
    <t>NGC6899</t>
  </si>
  <si>
    <t>20h24m22.3s</t>
  </si>
  <si>
    <t>-50h26m1s</t>
  </si>
  <si>
    <t>faint, small, round, gradually a little brighter middle, among stars</t>
  </si>
  <si>
    <t>F, S, R, glbM, am st</t>
  </si>
  <si>
    <t>NGC6900</t>
  </si>
  <si>
    <t>20h21m35.1s</t>
  </si>
  <si>
    <t>-2h34m11s</t>
  </si>
  <si>
    <t>NGC6901</t>
  </si>
  <si>
    <t>20h22m21.6s</t>
  </si>
  <si>
    <t>+6h25m47s</t>
  </si>
  <si>
    <t>NGC6902</t>
  </si>
  <si>
    <t>20h24m27.9s</t>
  </si>
  <si>
    <t>-43h39m11s</t>
  </si>
  <si>
    <t>NGC6903</t>
  </si>
  <si>
    <t>20h23m44.9s</t>
  </si>
  <si>
    <t>-19h19m33s</t>
  </si>
  <si>
    <t>considerably large, extended, brighter middle equivalent to 17th magnitude star, 10th magnitude star attached on north</t>
  </si>
  <si>
    <t>cL, E, bM * 17, * 10 att n</t>
  </si>
  <si>
    <t>NGC6904</t>
  </si>
  <si>
    <t>20h21m48.3s</t>
  </si>
  <si>
    <t>a cluster, small, very little compressed, stars from 10th to 11th magnitude</t>
  </si>
  <si>
    <t>Cl, S, vlC, st 10…11</t>
  </si>
  <si>
    <t>NGC6905</t>
  </si>
  <si>
    <t>蓝闪星云</t>
  </si>
  <si>
    <t>20h22m23s</t>
  </si>
  <si>
    <t>+20h6m18s</t>
  </si>
  <si>
    <t>a very remarkable object, a planetary nebula, bright, pretty small, round, 4 small (faint) stars near</t>
  </si>
  <si>
    <t>!!, planetary, B, pS, R, 4 S st nr</t>
  </si>
  <si>
    <t>NGC6906</t>
  </si>
  <si>
    <t>20h23m34s</t>
  </si>
  <si>
    <t>+6h26m40s</t>
  </si>
  <si>
    <t>NGC6907</t>
  </si>
  <si>
    <t>巨兽星系</t>
  </si>
  <si>
    <t>20h25m6.6s</t>
  </si>
  <si>
    <t>-24h48m33s</t>
  </si>
  <si>
    <t>considerably faint, considerably large, very little extended, very gradually a little brighter middle, mottled but not resolved, 3 stars preceding (to the west)</t>
  </si>
  <si>
    <t>cF, cL, vlE, vglbM, r, 3 st p</t>
  </si>
  <si>
    <t>NGC6908</t>
  </si>
  <si>
    <t>20h25m9s</t>
  </si>
  <si>
    <t>-24h48m10s</t>
  </si>
  <si>
    <t>extremely faint, very small, a little extended, h 2076 preceding (to the west)</t>
  </si>
  <si>
    <t>eF, vS, lE, h 2076 p</t>
  </si>
  <si>
    <t>NGC6909</t>
  </si>
  <si>
    <t>20h27m38.8s</t>
  </si>
  <si>
    <t>-47h1m38s</t>
  </si>
  <si>
    <t>pretty bright, pretty large, gradually brighter middle, 2 stars of 10th magnitude near</t>
  </si>
  <si>
    <t>pB, pL, gbM, 2 st 10 nr</t>
  </si>
  <si>
    <t>NGC6910</t>
  </si>
  <si>
    <t>尺蠖星团</t>
  </si>
  <si>
    <t>20h23m12s</t>
  </si>
  <si>
    <t>+40h46m43s</t>
  </si>
  <si>
    <t>a cluster, pretty bright, pretty small, poor, pretty compressed, stars of 10th to 12th magnitude</t>
  </si>
  <si>
    <t>Cl, pB, pS, P, pC, st 10…12</t>
  </si>
  <si>
    <t>NGC6911</t>
  </si>
  <si>
    <t>20h19m38.3s</t>
  </si>
  <si>
    <t>+66h43m44s</t>
  </si>
  <si>
    <t>extremely faint, large, a little brighter middle, pretty bright star near</t>
  </si>
  <si>
    <t>eF, L, lbM, pB * nr</t>
  </si>
  <si>
    <t>NGC6912</t>
  </si>
  <si>
    <t>20h26m52.1s</t>
  </si>
  <si>
    <t>-18h37m3s</t>
  </si>
  <si>
    <t>very faint, 2 stars of 14th or 15th magnitude to northwest, 8th magnitude star to east</t>
  </si>
  <si>
    <t>vF, 2 st 14·15 np, * 8 f</t>
  </si>
  <si>
    <t>NGC6913</t>
  </si>
  <si>
    <t>冷却塔星团</t>
  </si>
  <si>
    <t>20h24m6s</t>
  </si>
  <si>
    <t>+38h29m36s</t>
  </si>
  <si>
    <t>a cluster, poor, a little compressed, stars large and small (meaning bright and faint)</t>
  </si>
  <si>
    <t>Cl, P, lC, st L and S</t>
  </si>
  <si>
    <t>NGC6914</t>
  </si>
  <si>
    <t>20h24m43s</t>
  </si>
  <si>
    <t>+42h29m0s</t>
  </si>
  <si>
    <t>very faint, very large, irregularly round, diffuse, 2 stars attached on west</t>
  </si>
  <si>
    <t>vF, vL, iR, dif, 2 st att p</t>
  </si>
  <si>
    <t>NGC6915</t>
  </si>
  <si>
    <t>20h27m46s</t>
  </si>
  <si>
    <t>-3h4m36s</t>
  </si>
  <si>
    <t>NGC6916</t>
  </si>
  <si>
    <t>20h23m33.1s</t>
  </si>
  <si>
    <t>+58h20m39s</t>
  </si>
  <si>
    <t>most extremely faint, pretty small, faint star close on west, very difficult</t>
  </si>
  <si>
    <t>eeF, pS, F * close p, v diffic</t>
  </si>
  <si>
    <t>NGC6917</t>
  </si>
  <si>
    <t>20h27m28.4s</t>
  </si>
  <si>
    <t>+8h5m50s</t>
  </si>
  <si>
    <t>very faint, small, attached to a small (faint) star</t>
  </si>
  <si>
    <t>vF, S, att to a S *</t>
  </si>
  <si>
    <t>NGC6918</t>
  </si>
  <si>
    <t>印地安座</t>
  </si>
  <si>
    <t>IND</t>
  </si>
  <si>
    <t>20h30m46.9s</t>
  </si>
  <si>
    <t>-47h28m27s</t>
  </si>
  <si>
    <t>very faint, 12th magnitude star attached on southwest</t>
  </si>
  <si>
    <t>vF, * 12 att sp</t>
  </si>
  <si>
    <t>NGC6919</t>
  </si>
  <si>
    <t>显微镜座</t>
  </si>
  <si>
    <t>MIC</t>
  </si>
  <si>
    <t>20h31m38s</t>
  </si>
  <si>
    <t>-44h13m0s</t>
  </si>
  <si>
    <t>NGC6920</t>
  </si>
  <si>
    <t>20h43m57.1s</t>
  </si>
  <si>
    <t>-80h0m1s</t>
  </si>
  <si>
    <t>NGC6921</t>
  </si>
  <si>
    <t>20h28m28.9s</t>
  </si>
  <si>
    <t>+25h43m26s</t>
  </si>
  <si>
    <t>NGC6922</t>
  </si>
  <si>
    <t>20h29m52.8s</t>
  </si>
  <si>
    <t>-2h11m30s</t>
  </si>
  <si>
    <t>NGC6923</t>
  </si>
  <si>
    <t>20h31m39s</t>
  </si>
  <si>
    <t>-30h49m55s</t>
  </si>
  <si>
    <t>pretty faint, considerably small, round, gradually brighter middle, between 2 stars</t>
  </si>
  <si>
    <t>pF, cS, R, gbM, bet 2 st</t>
  </si>
  <si>
    <t>NGC6924</t>
  </si>
  <si>
    <t>20h33m19.1s</t>
  </si>
  <si>
    <t>-25h28m28s</t>
  </si>
  <si>
    <t>very faint, pretty small, round, suddenly brighter middle and nucleus</t>
  </si>
  <si>
    <t>vF, pS, R, sbMN</t>
  </si>
  <si>
    <t>NGC6925</t>
  </si>
  <si>
    <t>20h34m20.5s</t>
  </si>
  <si>
    <t>-31h58m48s</t>
  </si>
  <si>
    <t>considerably bright, large, much extended 6°, pretty suddenly a little brighter middle</t>
  </si>
  <si>
    <t>cB, L, mE 6°, pslbM</t>
  </si>
  <si>
    <t>NGC6926</t>
  </si>
  <si>
    <t>20h33m5.9s</t>
  </si>
  <si>
    <t>-2h1m44s</t>
  </si>
  <si>
    <t>very faint, pretty large, extended 176°, preceding (western) of 2</t>
  </si>
  <si>
    <t>vF, pL, E 176°, p of 2</t>
  </si>
  <si>
    <t>NGC6927</t>
  </si>
  <si>
    <t>20h32m38.1s</t>
  </si>
  <si>
    <t>+9h55m1s</t>
  </si>
  <si>
    <t>NGC6928</t>
  </si>
  <si>
    <t>20h32m50.1s</t>
  </si>
  <si>
    <t>+9h55m39s</t>
  </si>
  <si>
    <t>pretty bright, pretty large, much extended</t>
  </si>
  <si>
    <t>pB, pL, mE</t>
  </si>
  <si>
    <t>NGC6929</t>
  </si>
  <si>
    <t>20h33m21.6s</t>
  </si>
  <si>
    <t>-2h2m12s</t>
  </si>
  <si>
    <t>very faint, very small, south following (southeastern) of 2</t>
  </si>
  <si>
    <t>NGC6930</t>
  </si>
  <si>
    <t>20h32m58.8s</t>
  </si>
  <si>
    <t>+9h52m26s</t>
  </si>
  <si>
    <t>NGC6931</t>
  </si>
  <si>
    <t>20h33m41.4s</t>
  </si>
  <si>
    <t>-11h22m8s</t>
  </si>
  <si>
    <t>extremely faint, pretty small, extended 120°, gradually brighter middle</t>
  </si>
  <si>
    <t>eF, pS, E 120°, gbM</t>
  </si>
  <si>
    <t>NGC6932</t>
  </si>
  <si>
    <t>20h42m8.6s</t>
  </si>
  <si>
    <t>-73h37m8s</t>
  </si>
  <si>
    <t>faint, small, round, gradually brighter middle, 5 stars preceding (to the west)</t>
  </si>
  <si>
    <t>F, S, R, gbM, 5 st p</t>
  </si>
  <si>
    <t>NGC6933</t>
  </si>
  <si>
    <t>20h33m38.2s</t>
  </si>
  <si>
    <t>+7h23m16s</t>
  </si>
  <si>
    <t>pretty bright, very small, h 2081 following (to the east)</t>
  </si>
  <si>
    <t>pB, vS, h 2081 f</t>
  </si>
  <si>
    <t>NGC6934</t>
  </si>
  <si>
    <t>20h34m11.6s</t>
  </si>
  <si>
    <t>+7h24m17s</t>
  </si>
  <si>
    <t>a globular cluster, bright, large, round, well resolved and clearly consisting of stars, stars from 16th magnitude, 9th magnitude star preceding (to the west)</t>
  </si>
  <si>
    <t>globular, B, L, R, rrr, st 16…, * 9 p</t>
  </si>
  <si>
    <t>NGC6935</t>
  </si>
  <si>
    <t>20h38m20s</t>
  </si>
  <si>
    <t>-52h6m37s</t>
  </si>
  <si>
    <t>pretty bright, considerably large, round, gradually a little brighter middle, mottled but not resolved, preceding (western) of 2</t>
  </si>
  <si>
    <t>pB, cL, R, glbM, r, p of 2</t>
  </si>
  <si>
    <t>NGC6936</t>
  </si>
  <si>
    <t>20h35m56.3s</t>
  </si>
  <si>
    <t>-25h16m48s</t>
  </si>
  <si>
    <t>very faint, very small, round, suddenly a little brighter middle</t>
  </si>
  <si>
    <t>vF, vS, R, slbM</t>
  </si>
  <si>
    <t>NGC6937</t>
  </si>
  <si>
    <t>20h38m45.8s</t>
  </si>
  <si>
    <t>-52h8m38s</t>
  </si>
  <si>
    <t>very faint, considerably small, round, suddenly a little brighter middle, following (eastern) of 2</t>
  </si>
  <si>
    <t>vF, cS, R, slbM, f of 2</t>
  </si>
  <si>
    <t>NGC6938</t>
  </si>
  <si>
    <t>20h34m42s</t>
  </si>
  <si>
    <t>+22h13m2s</t>
  </si>
  <si>
    <t>cluster, very large, poor, very little compressed</t>
  </si>
  <si>
    <t>NGC6939</t>
  </si>
  <si>
    <t>鬼套星团</t>
  </si>
  <si>
    <t>20h31m30s</t>
  </si>
  <si>
    <t>+60h39m42s</t>
  </si>
  <si>
    <t>a cluster, pretty large, extremely rich, pretty compressed middle, stars from 11th to 16th magnitude</t>
  </si>
  <si>
    <t>Cl, pL, eRi, pCM, st 11…16</t>
  </si>
  <si>
    <t>NGC6940</t>
  </si>
  <si>
    <t>魔斯拉星团</t>
  </si>
  <si>
    <t>20h34m32.3s</t>
  </si>
  <si>
    <t>+28h16m49s</t>
  </si>
  <si>
    <t>a cluster, very bright, very large, very rich, considerably compressed, stars pretty large (bright)</t>
  </si>
  <si>
    <t>Cl, vB, vL, vRi, cC, st pL</t>
  </si>
  <si>
    <t>NGC6941</t>
  </si>
  <si>
    <t>20h36m23.5s</t>
  </si>
  <si>
    <t>-4h37m8s</t>
  </si>
  <si>
    <t>NGC6942</t>
  </si>
  <si>
    <t>20h40m37.9s</t>
  </si>
  <si>
    <t>-54h18m8s</t>
  </si>
  <si>
    <t>pretty bright, pretty large, round, pretty suddenly a little brighter middle</t>
  </si>
  <si>
    <t>pB, pL, R, pslbM</t>
  </si>
  <si>
    <t>NGC6943</t>
  </si>
  <si>
    <t>20h44m33.7s</t>
  </si>
  <si>
    <t>-68h44m53s</t>
  </si>
  <si>
    <t>pretty faint, large, much extended, very gradually a little brighter middle, very small star</t>
  </si>
  <si>
    <t>pF, L, mE, vglbM vs *</t>
  </si>
  <si>
    <t>NGC6944</t>
  </si>
  <si>
    <t>20h38m23.8s</t>
  </si>
  <si>
    <t>+6h59m49s</t>
  </si>
  <si>
    <t>NGC6945</t>
  </si>
  <si>
    <t>宝瓶座</t>
  </si>
  <si>
    <t>AQR</t>
  </si>
  <si>
    <t>20h39m0.5s</t>
  </si>
  <si>
    <t>-4h58m20s</t>
  </si>
  <si>
    <t>pretty faint, very small, round, much brighter middle</t>
  </si>
  <si>
    <t>pF, vS, R, mbM</t>
  </si>
  <si>
    <t>NGC6946</t>
  </si>
  <si>
    <t>烟花星系</t>
  </si>
  <si>
    <t>20h34m52.1s</t>
  </si>
  <si>
    <t>+60h9m12s</t>
  </si>
  <si>
    <t>very faint, very large, very gradually then very suddenly brighter middle, partially resolved (some stars seen)</t>
  </si>
  <si>
    <t>vF, vL, vg, vsbM, rr</t>
  </si>
  <si>
    <t>NGC6947</t>
  </si>
  <si>
    <t>20h41m15s</t>
  </si>
  <si>
    <t>-32h29m11s</t>
  </si>
  <si>
    <t>very faint, large, round, gradually brighter middle</t>
  </si>
  <si>
    <t>vF, L, R, gbM</t>
  </si>
  <si>
    <t>NGC6948</t>
  </si>
  <si>
    <t>20h43m28.9s</t>
  </si>
  <si>
    <t>-53h21m26s</t>
  </si>
  <si>
    <t>very faint, pretty small, considerably extended, a little brighter middle</t>
  </si>
  <si>
    <t>vF, pS, cE, lbM</t>
  </si>
  <si>
    <t>NGC6949</t>
  </si>
  <si>
    <t>20h35m7s</t>
  </si>
  <si>
    <t>+64h48m12s</t>
  </si>
  <si>
    <t>NGC6950</t>
  </si>
  <si>
    <t>20h41m5s</t>
  </si>
  <si>
    <t>+16h37m14s</t>
  </si>
  <si>
    <t>NGC6951</t>
  </si>
  <si>
    <t>20h37m14s</t>
  </si>
  <si>
    <t>+66h6m21s</t>
  </si>
  <si>
    <t>NGC6952</t>
  </si>
  <si>
    <t>pB, oval, dif, * 15 close f</t>
  </si>
  <si>
    <t>NGC6953</t>
  </si>
  <si>
    <t>20h38m41s</t>
  </si>
  <si>
    <t>+65h48m12s</t>
  </si>
  <si>
    <t>NGC6954</t>
  </si>
  <si>
    <t>20h44m3.3s</t>
  </si>
  <si>
    <t>+3h12m34s</t>
  </si>
  <si>
    <t>NGC6955</t>
  </si>
  <si>
    <t>20h44m17.9s</t>
  </si>
  <si>
    <t>+2h35m43s</t>
  </si>
  <si>
    <t>NGC6956</t>
  </si>
  <si>
    <t>20h43m53.7s</t>
  </si>
  <si>
    <t>+12h30m44s</t>
  </si>
  <si>
    <t>very faint, small, stellar, double star attached</t>
  </si>
  <si>
    <t>vF, S, stellar, ** att</t>
  </si>
  <si>
    <t>NGC6957</t>
  </si>
  <si>
    <t>20h44m47.7s</t>
  </si>
  <si>
    <t>+2h34m50s</t>
  </si>
  <si>
    <t>NGC6958</t>
  </si>
  <si>
    <t>20h48m42.6s</t>
  </si>
  <si>
    <t>-37h59m52s</t>
  </si>
  <si>
    <t>bright, considerably small, pretty gradually much brighter middle, 4 stars to west</t>
  </si>
  <si>
    <t>B, cS, R, pgmbM, 4 st p</t>
  </si>
  <si>
    <t>NGC6959</t>
  </si>
  <si>
    <t>20h47m7.2s</t>
  </si>
  <si>
    <t>+0h25m49s</t>
  </si>
  <si>
    <t>NGC6960</t>
  </si>
  <si>
    <t>纤维星云</t>
  </si>
  <si>
    <t>20h45m42s</t>
  </si>
  <si>
    <t>+30h43m0s</t>
  </si>
  <si>
    <t>a very remarkable object, pretty bright, considerably large, extremely irregular figure, κ Cygni involved</t>
  </si>
  <si>
    <t>!! pB, cL, eiF, κ Cygni inv</t>
  </si>
  <si>
    <t>NGC6961</t>
  </si>
  <si>
    <t>20h47m10.4s</t>
  </si>
  <si>
    <t>+0h21m50s</t>
  </si>
  <si>
    <t>NGC6962</t>
  </si>
  <si>
    <t>20h47m18.9s</t>
  </si>
  <si>
    <t>+0h19m19s</t>
  </si>
  <si>
    <t>NGC6963</t>
  </si>
  <si>
    <t>20h47m19s</t>
  </si>
  <si>
    <t>+0h30m33s</t>
  </si>
  <si>
    <t>a nebulous 13th magnitude star</t>
  </si>
  <si>
    <t>neb * 13 m</t>
  </si>
  <si>
    <t>NGC6964</t>
  </si>
  <si>
    <t>20h47m24.2s</t>
  </si>
  <si>
    <t>+0h18m5s</t>
  </si>
  <si>
    <t>faint, very small, round, brighter middle, 14th magnitude star 1/2 an arcmin to southeast</t>
  </si>
  <si>
    <t>F, vS, R, bM, * 14 sf ?'</t>
  </si>
  <si>
    <t>NGC6965</t>
  </si>
  <si>
    <t>20h47m20.5s</t>
  </si>
  <si>
    <t>+0h29m3s</t>
  </si>
  <si>
    <t>NGC6966</t>
  </si>
  <si>
    <t>20h47m26.7s</t>
  </si>
  <si>
    <t>+0h22m5s</t>
  </si>
  <si>
    <t>NGC6967</t>
  </si>
  <si>
    <t>20h47m34s</t>
  </si>
  <si>
    <t>+0h24m44s</t>
  </si>
  <si>
    <t>extremely faint, very small, 10th magnitude star 50 arcsec to east</t>
  </si>
  <si>
    <t>eF, vS, * 10 50" f</t>
  </si>
  <si>
    <t>NGC6968</t>
  </si>
  <si>
    <t>20h48m32.4s</t>
  </si>
  <si>
    <t>-8h21m35s</t>
  </si>
  <si>
    <t>faint, small, round, gradually brighter middle, faint star involved</t>
  </si>
  <si>
    <t>F, S, R, gbM, F * inv</t>
  </si>
  <si>
    <t>NGC6969</t>
  </si>
  <si>
    <t>20h48m27.6s</t>
  </si>
  <si>
    <t>+7h44m25s</t>
  </si>
  <si>
    <t>NGC6970</t>
  </si>
  <si>
    <t>20h52m9.4s</t>
  </si>
  <si>
    <t>-48h46m41s</t>
  </si>
  <si>
    <t>pretty bright, small, a little extended, gradually brighter middle</t>
  </si>
  <si>
    <t>pB, S, lE, gbM</t>
  </si>
  <si>
    <t>NGC6971</t>
  </si>
  <si>
    <t>20h49m23.7s</t>
  </si>
  <si>
    <t>+5h59m43s</t>
  </si>
  <si>
    <t>NGC6972</t>
  </si>
  <si>
    <t>20h49m58.9s</t>
  </si>
  <si>
    <t>+9h53m59s</t>
  </si>
  <si>
    <t>NGC6973</t>
  </si>
  <si>
    <t>20h52m6s</t>
  </si>
  <si>
    <t>-5h53m39s</t>
  </si>
  <si>
    <t>NGC6974</t>
  </si>
  <si>
    <t>20h51m4s</t>
  </si>
  <si>
    <t>+31h49m54s</t>
  </si>
  <si>
    <t>a nebulous star, nebulosity considerably extended east-west</t>
  </si>
  <si>
    <t>Neb *, neby cE pf</t>
  </si>
  <si>
    <t>NGC6975</t>
  </si>
  <si>
    <t>20h52m25.9s</t>
  </si>
  <si>
    <t>-5h46m17s</t>
  </si>
  <si>
    <t>very faint, small, perhaps = m427?</t>
  </si>
  <si>
    <t>vF, S, ? = m 427</t>
  </si>
  <si>
    <t>NGC6976</t>
  </si>
  <si>
    <t>eF, iR</t>
  </si>
  <si>
    <t>NGC6977</t>
  </si>
  <si>
    <t>20h52m29.6s</t>
  </si>
  <si>
    <t>-5h44m45s</t>
  </si>
  <si>
    <t>NGC6978</t>
  </si>
  <si>
    <t>20h52m35.4s</t>
  </si>
  <si>
    <t>-5h42m40s</t>
  </si>
  <si>
    <t>NGC6979</t>
  </si>
  <si>
    <t>弗莱明三角星云</t>
  </si>
  <si>
    <t>20h50m30s</t>
  </si>
  <si>
    <t>+32h1m36s</t>
  </si>
  <si>
    <t>very faint, small, irregularly extended, several faint stars near to east</t>
  </si>
  <si>
    <t>vF, S, iE, sev F st f nr</t>
  </si>
  <si>
    <t>NGC6980</t>
  </si>
  <si>
    <t>20h52m48.9s</t>
  </si>
  <si>
    <t>-5h50m13s</t>
  </si>
  <si>
    <t>NGC6981</t>
  </si>
  <si>
    <t>20h53m27.9s</t>
  </si>
  <si>
    <t>-12h32m11s</t>
  </si>
  <si>
    <t>a globular cluster, pretty bright, pretty large, round, gradually much compressed middle, well resolved, clearly consisting of stars</t>
  </si>
  <si>
    <t>globular, pB, pL, R, gmCM, rrr</t>
  </si>
  <si>
    <t>NGC6982</t>
  </si>
  <si>
    <t>20h57m18.3s</t>
  </si>
  <si>
    <t>-51h51m46s</t>
  </si>
  <si>
    <t>very faint, small, extended, western of 2</t>
  </si>
  <si>
    <t>vF, S, E, p of 2</t>
  </si>
  <si>
    <t>NGC6983</t>
  </si>
  <si>
    <t>20h56m43.5s</t>
  </si>
  <si>
    <t>-43h59m10s</t>
  </si>
  <si>
    <t>NGC6984</t>
  </si>
  <si>
    <t>20h57m54.2s</t>
  </si>
  <si>
    <t>-51h52m15s</t>
  </si>
  <si>
    <t>faint, pretty large, very little extended, very gradually brighter middle, eastern of 2</t>
  </si>
  <si>
    <t>F, pL, vlE, vgbM, f of 2</t>
  </si>
  <si>
    <t>NGC6985</t>
  </si>
  <si>
    <t>20h45m3s</t>
  </si>
  <si>
    <t>-11h6m15s</t>
  </si>
  <si>
    <t>NGC6986</t>
  </si>
  <si>
    <t>20h56m30.6s</t>
  </si>
  <si>
    <t>-18h33m58s</t>
  </si>
  <si>
    <t>very faint, very small, round, gradually a little brighter middle and nucleus</t>
  </si>
  <si>
    <t>vF, vS, R, glbMN</t>
  </si>
  <si>
    <t>NGC6987</t>
  </si>
  <si>
    <t>20h58m10.4s</t>
  </si>
  <si>
    <t>-48h37m48s</t>
  </si>
  <si>
    <t>pretty faint, small, very little extended, gradually pretty much brighter middle, bright star 1 arcmin to west</t>
  </si>
  <si>
    <t>pF, S, vlE, gpmbM, B * p 1'</t>
  </si>
  <si>
    <t>NGC6988</t>
  </si>
  <si>
    <t>20h55m48.9s</t>
  </si>
  <si>
    <t>+10h30m30s</t>
  </si>
  <si>
    <t>NGC6989</t>
  </si>
  <si>
    <t>20h54m6s</t>
  </si>
  <si>
    <t>+45h14m26s</t>
  </si>
  <si>
    <t>a cluster, considerably large, stars pretty small (faint)</t>
  </si>
  <si>
    <t>Cl, cL, st pS</t>
  </si>
  <si>
    <t>NGC6990</t>
  </si>
  <si>
    <t>女巫扫帚星系</t>
  </si>
  <si>
    <t>20h59m57s</t>
  </si>
  <si>
    <t>-55h33m43s</t>
  </si>
  <si>
    <t>most extremely faint, very small, very much extended 0°, 13th magnitude star attached on north</t>
  </si>
  <si>
    <t>eeF, vS, vmE 0°, * 13 att, n</t>
  </si>
  <si>
    <t>NGC6991</t>
  </si>
  <si>
    <t>20h55m39s</t>
  </si>
  <si>
    <t>+47h26m54s</t>
  </si>
  <si>
    <t>a cluster, large, poor, very little compressed</t>
  </si>
  <si>
    <t>Cl, L, P, vlC</t>
  </si>
  <si>
    <t>NGC6992</t>
  </si>
  <si>
    <t>东面纱星云</t>
  </si>
  <si>
    <t>20h56m18s</t>
  </si>
  <si>
    <t>+31h44m30s</t>
  </si>
  <si>
    <t>a very remarkable object, extremely faint, extremely large, extremely extended, extremely irregular figure, bifurcated</t>
  </si>
  <si>
    <t>!!, eF, eL, eE, eiF, bifurcated</t>
  </si>
  <si>
    <t>NGC6993</t>
  </si>
  <si>
    <t>20h53m54s</t>
  </si>
  <si>
    <t>-25h28m20s</t>
  </si>
  <si>
    <t>very faint, very small, round, suddenly brighter middle and  nucleus</t>
  </si>
  <si>
    <t>NGC6994</t>
  </si>
  <si>
    <t>20h58m56s</t>
  </si>
  <si>
    <t>-12h38m0s</t>
  </si>
  <si>
    <t>a cluster, extremely poor, very little compressed, no nebulosity</t>
  </si>
  <si>
    <t>Cl, eP, vlC, no neb</t>
  </si>
  <si>
    <t>NGC6995</t>
  </si>
  <si>
    <t>网星云</t>
  </si>
  <si>
    <t>20h57m10s</t>
  </si>
  <si>
    <t>+31h14m0s</t>
  </si>
  <si>
    <t>faint, extremely large, nebulae and stars in groups</t>
  </si>
  <si>
    <t>F, eL, neb &amp; st in groups</t>
  </si>
  <si>
    <t>NGC6996</t>
  </si>
  <si>
    <t>鸟巢</t>
  </si>
  <si>
    <t>20h56m30s</t>
  </si>
  <si>
    <t>+45h28m24s</t>
  </si>
  <si>
    <t>NGC6997</t>
  </si>
  <si>
    <t>+44h39m0s</t>
  </si>
  <si>
    <t>a cluster, poor, a little compressed, stars large (bright)</t>
  </si>
  <si>
    <t>Cl, P, lC, st L</t>
  </si>
  <si>
    <t>NGC6998</t>
  </si>
  <si>
    <t>21h1m37.7s</t>
  </si>
  <si>
    <t>-28h1m54s</t>
  </si>
  <si>
    <t>NGC6999</t>
  </si>
  <si>
    <t>21h1m59.6s</t>
  </si>
  <si>
    <t>-28h3m32s</t>
  </si>
  <si>
    <t>NGC7000</t>
  </si>
  <si>
    <t>北美洲星云</t>
  </si>
  <si>
    <t>20h59m18s</t>
  </si>
  <si>
    <t>+44h31m0s</t>
  </si>
  <si>
    <t>faint, most extremely large, diffuse nebulosity</t>
  </si>
  <si>
    <t>F, eeL, dif nebulosity</t>
  </si>
  <si>
    <t>NGC7001</t>
  </si>
  <si>
    <t>21h1m7.7s</t>
  </si>
  <si>
    <t>-0h11m41s</t>
  </si>
  <si>
    <t>NGC7002</t>
  </si>
  <si>
    <t>21h3m45s</t>
  </si>
  <si>
    <t>-49h1m45s</t>
  </si>
  <si>
    <t>NGC7003</t>
  </si>
  <si>
    <t>21h0m42.3s</t>
  </si>
  <si>
    <t>+17h48m17s</t>
  </si>
  <si>
    <t>very faint, very small, a little extended, 15th magnitude star close to east</t>
  </si>
  <si>
    <t>vF, vS, lE, * 15 close f</t>
  </si>
  <si>
    <t>NGC7004</t>
  </si>
  <si>
    <t>21h4m2s</t>
  </si>
  <si>
    <t>-49h6m51s</t>
  </si>
  <si>
    <t>extremely faint, round, a little brighter middle, 11th magnitude star to east</t>
  </si>
  <si>
    <t>eF, R, lbM, * 11 f</t>
  </si>
  <si>
    <t>NGC7005</t>
  </si>
  <si>
    <t>21h1m56s</t>
  </si>
  <si>
    <t>-12h52m39s</t>
  </si>
  <si>
    <t>a cluster, small, poor (nebulous?)</t>
  </si>
  <si>
    <t>Cl, S, P (? Neb)</t>
  </si>
  <si>
    <t>NGC7006</t>
  </si>
  <si>
    <t>21h1m29.5s</t>
  </si>
  <si>
    <t>+16h11m17s</t>
  </si>
  <si>
    <t>NGC7007</t>
  </si>
  <si>
    <t>21h5m27.8s</t>
  </si>
  <si>
    <t>-52h33m7s</t>
  </si>
  <si>
    <t>pretty bright, small, round, pretty suddenly brighter middle, among stars</t>
  </si>
  <si>
    <t>pB, S, R, psbM, am st</t>
  </si>
  <si>
    <t>NGC7008</t>
  </si>
  <si>
    <t>胎儿星云</t>
  </si>
  <si>
    <t>21h0m32.8s</t>
  </si>
  <si>
    <t>+54h32m38s</t>
  </si>
  <si>
    <t>considerably bright, large, extended 45°±, mottled but not resolved, double star attached</t>
  </si>
  <si>
    <t>cB, L, E 45° ±, r, ** att</t>
  </si>
  <si>
    <t>NGC7009</t>
  </si>
  <si>
    <t>土星状星云</t>
  </si>
  <si>
    <t>21h4m10.8s</t>
  </si>
  <si>
    <t>-11h21m47s</t>
  </si>
  <si>
    <t>a magnificent or otherwise interesting object, a planetary nebula, very bright, small, elliptic</t>
  </si>
  <si>
    <t>!!!, planetary, vB, S, elliptic</t>
  </si>
  <si>
    <t>NGC7010</t>
  </si>
  <si>
    <t>21h4m39.4s</t>
  </si>
  <si>
    <t>-12h20m16s</t>
  </si>
  <si>
    <t>NGC7011</t>
  </si>
  <si>
    <t>21h1m50s</t>
  </si>
  <si>
    <t>+47h21m17s</t>
  </si>
  <si>
    <t>a cluster, no description</t>
  </si>
  <si>
    <t>Cl, no description</t>
  </si>
  <si>
    <t>NGC7012</t>
  </si>
  <si>
    <t>21h6m45.5s</t>
  </si>
  <si>
    <t>-44h48m52s</t>
  </si>
  <si>
    <t>faint, pretty large, extended, very gradually a very little brighter middle, star to west</t>
  </si>
  <si>
    <t>F, pL, E, vgvlbM, * p</t>
  </si>
  <si>
    <t>NGC7013</t>
  </si>
  <si>
    <t>21h3m33.6s</t>
  </si>
  <si>
    <t>+29h53m49s</t>
  </si>
  <si>
    <t>pretty bright, considerably small, round, pretty suddenly brighter middle, pretty bright star to northwest</t>
  </si>
  <si>
    <t>pB, cS, R, psbM, pB * np</t>
  </si>
  <si>
    <t>NGC7014</t>
  </si>
  <si>
    <t>21h7m52s</t>
  </si>
  <si>
    <t>-47h10m43s</t>
  </si>
  <si>
    <t>pretty faint, small, round, brighter middle, 2 stars of 12th magnitude to north</t>
  </si>
  <si>
    <t>pF, S, R, bM, 2 st 12 n</t>
  </si>
  <si>
    <t>NGC7015</t>
  </si>
  <si>
    <t>小马座</t>
  </si>
  <si>
    <t>EQU</t>
  </si>
  <si>
    <t>21h5m37.3s</t>
  </si>
  <si>
    <t>+11h24m49s</t>
  </si>
  <si>
    <t>very faint, pretty small, gradually a little brighter middle</t>
  </si>
  <si>
    <t>vF, pS, glbM</t>
  </si>
  <si>
    <t>NGC7016</t>
  </si>
  <si>
    <t>21h7m16.2s</t>
  </si>
  <si>
    <t>-25h28m7s</t>
  </si>
  <si>
    <t>very faint, extremely small, round, brighter middle and nucleus, 1st of 3</t>
  </si>
  <si>
    <t>vF, eS, R, bMN, 1st of 3</t>
  </si>
  <si>
    <t>NGC7017</t>
  </si>
  <si>
    <t>21h7m20.5s</t>
  </si>
  <si>
    <t>-25h29m15s</t>
  </si>
  <si>
    <t>extremely faint, very small, round, brighter middle and nucleus, 2nd of 3</t>
  </si>
  <si>
    <t>eF, vS, R, bMN, 2nd of 3</t>
  </si>
  <si>
    <t>NGC7018</t>
  </si>
  <si>
    <t>21h7m25.4s</t>
  </si>
  <si>
    <t>-25h25m45s</t>
  </si>
  <si>
    <t>very faint, very small, very little extended, gradually a little brighter middle, 3rd of 3</t>
  </si>
  <si>
    <t>vF, vS, vlE, glbM, 3rd of 3</t>
  </si>
  <si>
    <t>NGC7019</t>
  </si>
  <si>
    <t>21h6m25.8s</t>
  </si>
  <si>
    <t>-24h24m46s</t>
  </si>
  <si>
    <t>NGC7020</t>
  </si>
  <si>
    <t>21h11m19.9s</t>
  </si>
  <si>
    <t>-64h1m31s</t>
  </si>
  <si>
    <t>pretty bright, considerably small, a little extended, pretty gradually brighter middle</t>
  </si>
  <si>
    <t>pB, cS, lE, pgbM</t>
  </si>
  <si>
    <t>NGC7021</t>
  </si>
  <si>
    <t>pF, cS, R, psbM, * 7·8 p</t>
  </si>
  <si>
    <t>NGC7022</t>
  </si>
  <si>
    <t>21h9m35.1s</t>
  </si>
  <si>
    <t>-49h18m13s</t>
  </si>
  <si>
    <t>most extremely faint, small, round, bright triple star to southeast</t>
  </si>
  <si>
    <t>eeF, S, R, B *** sf</t>
  </si>
  <si>
    <t>NGC7023</t>
  </si>
  <si>
    <t>鸢尾花星云</t>
  </si>
  <si>
    <t>21h1m35.5s</t>
  </si>
  <si>
    <t>+68h10m10s</t>
  </si>
  <si>
    <t>a 7th magnitude star in an extremely faint, extremely large nebulosity</t>
  </si>
  <si>
    <t>* 7 in eF, eL neby</t>
  </si>
  <si>
    <t>NGC7024</t>
  </si>
  <si>
    <t>21h6m4.8s</t>
  </si>
  <si>
    <t>+41h29m47s</t>
  </si>
  <si>
    <t>a cluster, poor, a little compressed, stars from 10th magnitude</t>
  </si>
  <si>
    <t>Cl, P, lC, st 10…</t>
  </si>
  <si>
    <t>NGC7025</t>
  </si>
  <si>
    <t>21h7m47.4s</t>
  </si>
  <si>
    <t>+16h20m9s</t>
  </si>
  <si>
    <t>NGC7026</t>
  </si>
  <si>
    <t>乳酪汉堡星云</t>
  </si>
  <si>
    <t>21h6m18.6s</t>
  </si>
  <si>
    <t>+47h51m10s</t>
  </si>
  <si>
    <t>pretty bright, binuclear, planetary nebula</t>
  </si>
  <si>
    <t>pB, biN, planetary</t>
  </si>
  <si>
    <t>NGC7027</t>
  </si>
  <si>
    <t>粉枕星云</t>
  </si>
  <si>
    <t>21h7m1.7s</t>
  </si>
  <si>
    <t>+42h14m12s</t>
  </si>
  <si>
    <t>a planetary nebula, stellar = 8.5 magnitude</t>
  </si>
  <si>
    <t>planetary, stellar = 8.5 m</t>
  </si>
  <si>
    <t>NGC7028</t>
  </si>
  <si>
    <t>21h8m15s</t>
  </si>
  <si>
    <t>+18h28m48s</t>
  </si>
  <si>
    <t>NGC7029</t>
  </si>
  <si>
    <t>21h11m51.7s</t>
  </si>
  <si>
    <t>-49h17m1s</t>
  </si>
  <si>
    <t>bright, considerably small, round, pretty gradually much brighter middle</t>
  </si>
  <si>
    <t>B, cS, R, pgmbM</t>
  </si>
  <si>
    <t>NGC7030</t>
  </si>
  <si>
    <t>21h11m13.3s</t>
  </si>
  <si>
    <t>-20h29m12s</t>
  </si>
  <si>
    <t>NGC7031</t>
  </si>
  <si>
    <t>21h6m52s</t>
  </si>
  <si>
    <t>+50h50m36s</t>
  </si>
  <si>
    <t>a cluster of triple stars, a little compressed</t>
  </si>
  <si>
    <t>Cl of triple st, lC</t>
  </si>
  <si>
    <t>NGC7032</t>
  </si>
  <si>
    <t>21h15m22.9s</t>
  </si>
  <si>
    <t>-68h17m15s</t>
  </si>
  <si>
    <t>NGC7033</t>
  </si>
  <si>
    <t>21h9m36.2s</t>
  </si>
  <si>
    <t>+15h7m31s</t>
  </si>
  <si>
    <t>NGC7034</t>
  </si>
  <si>
    <t>21h9m38.1s</t>
  </si>
  <si>
    <t>+15h9m4s</t>
  </si>
  <si>
    <t>NGC7035</t>
  </si>
  <si>
    <t>21h10m45.5s</t>
  </si>
  <si>
    <t>-23h8m7s</t>
  </si>
  <si>
    <t>NGC7036</t>
  </si>
  <si>
    <t>21h10m12s</t>
  </si>
  <si>
    <t>+15h22m36s</t>
  </si>
  <si>
    <t>NGC7037</t>
  </si>
  <si>
    <t>21h10m48s</t>
  </si>
  <si>
    <t>+33h44m48s</t>
  </si>
  <si>
    <t>a cluster, pretty rich, irregular figure, stars from 11th to 15th magnitude</t>
  </si>
  <si>
    <t>Cl, pRi, iF, st 11…15</t>
  </si>
  <si>
    <t>NGC7038</t>
  </si>
  <si>
    <t>21h15m7.5s</t>
  </si>
  <si>
    <t>-47h13m13s</t>
  </si>
  <si>
    <t>NGC7039</t>
  </si>
  <si>
    <t>21h11m12s</t>
  </si>
  <si>
    <t>+45h39m0s</t>
  </si>
  <si>
    <t>a cluster, very large, pretty rich, extended, stars from 10th magnitude</t>
  </si>
  <si>
    <t>Cl, vL, pRi, E, st 10…</t>
  </si>
  <si>
    <t>NGC7040</t>
  </si>
  <si>
    <t>21h13m16.5s</t>
  </si>
  <si>
    <t>+8h51m54s</t>
  </si>
  <si>
    <t>extremely faint, very large, much extended north-south (A. N. 2479)</t>
  </si>
  <si>
    <t>eF, vL, mE ns (A.N. 2479)</t>
  </si>
  <si>
    <t>NGC7041</t>
  </si>
  <si>
    <t>21h16m32.1s</t>
  </si>
  <si>
    <t>-48h21m47s</t>
  </si>
  <si>
    <t>bright, considerably small, considerably extended, pretty suddenly much brighter middle, 10th magnitude star to east</t>
  </si>
  <si>
    <t>B, cS, cE, psmbM, * 10 f</t>
  </si>
  <si>
    <t>NGC7042</t>
  </si>
  <si>
    <t>21h13m45.7s</t>
  </si>
  <si>
    <t>+13h34m30s</t>
  </si>
  <si>
    <t>NGC7043</t>
  </si>
  <si>
    <t>21h14m4.2s</t>
  </si>
  <si>
    <t>+13h37m35s</t>
  </si>
  <si>
    <t>NGC7044</t>
  </si>
  <si>
    <t>21h13m9.4s</t>
  </si>
  <si>
    <t>+42h29m46s</t>
  </si>
  <si>
    <t>a cluster, very faint, pretty large, very rich, very compressed, stars from 15th to 18th magnitude</t>
  </si>
  <si>
    <t>Cl, vF, pL, vRi, vC, st 15…18</t>
  </si>
  <si>
    <t>NGC7045</t>
  </si>
  <si>
    <t>21h14m50.3s</t>
  </si>
  <si>
    <t>+4h30m28s</t>
  </si>
  <si>
    <t>NGC7046</t>
  </si>
  <si>
    <t>21h14m56s</t>
  </si>
  <si>
    <t>+2h50m4s</t>
  </si>
  <si>
    <t>NGC7047</t>
  </si>
  <si>
    <t>21h16m27.4s</t>
  </si>
  <si>
    <t>-0h49m35s</t>
  </si>
  <si>
    <t>extremely faint, very small, binuclear east-west</t>
  </si>
  <si>
    <t>eF, vS, biN pf</t>
  </si>
  <si>
    <t>NGC7048</t>
  </si>
  <si>
    <t>躲猫猫星云</t>
  </si>
  <si>
    <t>21h14m15.2s</t>
  </si>
  <si>
    <t>+46h17m21s</t>
  </si>
  <si>
    <t>pretty faint, pretty large, diffuse, irregularly round, a very little brighter middle</t>
  </si>
  <si>
    <t>pF, pL, dif, iR, vlbM</t>
  </si>
  <si>
    <t>NGC7049</t>
  </si>
  <si>
    <t>21h19m0.2s</t>
  </si>
  <si>
    <t>-48h33m41s</t>
  </si>
  <si>
    <t>very bright, pretty small, extended, much brighter middle</t>
  </si>
  <si>
    <t>vB, pS, E, mbM</t>
  </si>
  <si>
    <t>NGC7050</t>
  </si>
  <si>
    <t>21h15m16.8s</t>
  </si>
  <si>
    <t>+36h10m18s</t>
  </si>
  <si>
    <t>NGC7051</t>
  </si>
  <si>
    <t>21h19m51.3s</t>
  </si>
  <si>
    <t>-8h46m57s</t>
  </si>
  <si>
    <t>very faint, round, gradually brighter middle, double star near</t>
  </si>
  <si>
    <t>vF, R, gbM, ** nr</t>
  </si>
  <si>
    <t>NGC7052</t>
  </si>
  <si>
    <t>21h18m33s</t>
  </si>
  <si>
    <t>+26h26m50s</t>
  </si>
  <si>
    <t>faint, small, very little extended, mottled but not resolved</t>
  </si>
  <si>
    <t>F, S, vlE, r</t>
  </si>
  <si>
    <t>NGC7053</t>
  </si>
  <si>
    <t>21h21m7.5s</t>
  </si>
  <si>
    <t>+23h5m7s</t>
  </si>
  <si>
    <t>NGC7054</t>
  </si>
  <si>
    <t>21h20m43.5s</t>
  </si>
  <si>
    <t>+39h10m18s</t>
  </si>
  <si>
    <t>very faint, very small, round, faint star involved</t>
  </si>
  <si>
    <t>vF, vS, R, F * inv</t>
  </si>
  <si>
    <t>NGC7055</t>
  </si>
  <si>
    <t>21h19m25.8s</t>
  </si>
  <si>
    <t>+57h35m25s</t>
  </si>
  <si>
    <t>a cluster, faint, pretty small, poor</t>
  </si>
  <si>
    <t>Cl, F, pS, P</t>
  </si>
  <si>
    <t>NGC7056</t>
  </si>
  <si>
    <t>21h22m7.5s</t>
  </si>
  <si>
    <t>+18h39m56s</t>
  </si>
  <si>
    <t>NGC7057</t>
  </si>
  <si>
    <t>21h24m58.5s</t>
  </si>
  <si>
    <t>-42h27m37s</t>
  </si>
  <si>
    <t>extremely faint, very small, round, western of 2</t>
  </si>
  <si>
    <t>eF, vS, R, p of 2</t>
  </si>
  <si>
    <t>NGC7058</t>
  </si>
  <si>
    <t>21h21m48.3s</t>
  </si>
  <si>
    <t>+50h48m28s</t>
  </si>
  <si>
    <t>NGC7059</t>
  </si>
  <si>
    <t>21h27m21.7s</t>
  </si>
  <si>
    <t>-60h0m53s</t>
  </si>
  <si>
    <t>bright, pretty large, a little compressed, gradually pretty much brighter middle</t>
  </si>
  <si>
    <t>B, pL, lC, gpmbM</t>
  </si>
  <si>
    <t>NGC7060</t>
  </si>
  <si>
    <t>21h25m53.5s</t>
  </si>
  <si>
    <t>-42h24m39s</t>
  </si>
  <si>
    <t>very faint, pretty small, round, eastern of 2</t>
  </si>
  <si>
    <t>vF, pS, R, f of 2</t>
  </si>
  <si>
    <t>NGC7061</t>
  </si>
  <si>
    <t>21h27m26.7s</t>
  </si>
  <si>
    <t>-49h3m48s</t>
  </si>
  <si>
    <t>NGC7062</t>
  </si>
  <si>
    <t>21h23m27.4s</t>
  </si>
  <si>
    <t>+46h22m43s</t>
  </si>
  <si>
    <t>a cluster, pretty small, pretty rich, pretty compressed, stars from 13th magnitude</t>
  </si>
  <si>
    <t>Cl, pS, pRi, pC, st 13…</t>
  </si>
  <si>
    <t>NGC7063</t>
  </si>
  <si>
    <t>21h24m22s</t>
  </si>
  <si>
    <t>+36h29m12s</t>
  </si>
  <si>
    <t>a cluster, poor, stars from 10th magnitude</t>
  </si>
  <si>
    <t>Cl, P, st 10…</t>
  </si>
  <si>
    <t>NGC7064</t>
  </si>
  <si>
    <t>21h29m3.2s</t>
  </si>
  <si>
    <t>-52h46m2s</t>
  </si>
  <si>
    <t>extremely faint, pretty large, very much extended 91°, star to south</t>
  </si>
  <si>
    <t>eF, pL, vmE 91°, * s</t>
  </si>
  <si>
    <t>NGC7065</t>
  </si>
  <si>
    <t>21h26m42.2s</t>
  </si>
  <si>
    <t>-6h59m41s</t>
  </si>
  <si>
    <t>very faint, suddenly brighter middle (Marth has 19m 33s)</t>
  </si>
  <si>
    <t>vF, sbM, (m has 19m 33s)</t>
  </si>
  <si>
    <t>NGC7066</t>
  </si>
  <si>
    <t>21h26m13.7s</t>
  </si>
  <si>
    <t>+14h10m59s</t>
  </si>
  <si>
    <t>most extremely faint, close southeast of middle of 3 faint stars</t>
  </si>
  <si>
    <t>eeF, close sf of M of 3 F st</t>
  </si>
  <si>
    <t>NGC7067</t>
  </si>
  <si>
    <t>21h24m12.3s</t>
  </si>
  <si>
    <t>+48h0m41s</t>
  </si>
  <si>
    <t>a cluster, poor, nebulous?</t>
  </si>
  <si>
    <t>Cl, P, ? Neb</t>
  </si>
  <si>
    <t>NGC7068</t>
  </si>
  <si>
    <t>21h26m32.3s</t>
  </si>
  <si>
    <t>+12h11m4s</t>
  </si>
  <si>
    <t>very faint, close to a small (faint) star</t>
  </si>
  <si>
    <t>vF, close to a S *</t>
  </si>
  <si>
    <t>NGC7069</t>
  </si>
  <si>
    <t>21h28m5.8s</t>
  </si>
  <si>
    <t>-1h38m47s</t>
  </si>
  <si>
    <t>vF, S, R, stell</t>
  </si>
  <si>
    <t>NGC7070</t>
  </si>
  <si>
    <t>天鹤座</t>
  </si>
  <si>
    <t>GRU</t>
  </si>
  <si>
    <t>21h30m25.2s</t>
  </si>
  <si>
    <t>-43h5m12s</t>
  </si>
  <si>
    <t>faint, considerably large, a little extended, gradually a very little brighter middle, western of 2</t>
  </si>
  <si>
    <t>F, cL, lE, gvlbM</t>
  </si>
  <si>
    <t>NGC7071</t>
  </si>
  <si>
    <t>21h26m40s</t>
  </si>
  <si>
    <t>+47h55m22s</t>
  </si>
  <si>
    <t>a cluster, small, compressed, considerably extended</t>
  </si>
  <si>
    <t>Cl, S, C, cE</t>
  </si>
  <si>
    <t>NGC7072</t>
  </si>
  <si>
    <t>21h30m37s</t>
  </si>
  <si>
    <t>-43h9m9s</t>
  </si>
  <si>
    <t>faint, small, round, very gradually a little brighter middle, eastern of 2</t>
  </si>
  <si>
    <t>F, S, R, vglbM, f of 2</t>
  </si>
  <si>
    <t>NGC7073</t>
  </si>
  <si>
    <t>21h29m26s</t>
  </si>
  <si>
    <t>-11h29m19s</t>
  </si>
  <si>
    <t>NGC7074</t>
  </si>
  <si>
    <t>21h29m38.8s</t>
  </si>
  <si>
    <t>+6h40m56s</t>
  </si>
  <si>
    <t>NGC7075</t>
  </si>
  <si>
    <t>21h31m32.9s</t>
  </si>
  <si>
    <t>-38h37m5s</t>
  </si>
  <si>
    <t>considerably faint, considerably small, round, pretty gradually brighter middle</t>
  </si>
  <si>
    <t>cF, cS, R, pgbM</t>
  </si>
  <si>
    <t>NGC7076</t>
  </si>
  <si>
    <t>21h26m24.1s</t>
  </si>
  <si>
    <t>+62h53m30s</t>
  </si>
  <si>
    <t>very faint, extremely mottled but not resolved</t>
  </si>
  <si>
    <t>vF, er</t>
  </si>
  <si>
    <t>NGC7077</t>
  </si>
  <si>
    <t>21h29m59.5s</t>
  </si>
  <si>
    <t>+2h24m53s</t>
  </si>
  <si>
    <t>NGC7078</t>
  </si>
  <si>
    <t>飞马座星团</t>
  </si>
  <si>
    <t>21h29m58.3s</t>
  </si>
  <si>
    <t>+12h10m3s</t>
  </si>
  <si>
    <t>a remarkable object, a globular cluster, very bright, very large, irregularly round, very suddenly much brighter middle, well resolved, clearly consisting of stars, stars very small (faint)</t>
  </si>
  <si>
    <t>!, globular, vB, vL, iR, vsmbM, rrr, st vS</t>
  </si>
  <si>
    <t>NGC7079</t>
  </si>
  <si>
    <t>21h32m35s</t>
  </si>
  <si>
    <t>-44h4m3s</t>
  </si>
  <si>
    <t>bright, round, considerably small, pretty suddenly brighter middle</t>
  </si>
  <si>
    <t>B, R, cS, psbM</t>
  </si>
  <si>
    <t>NGC7080</t>
  </si>
  <si>
    <t>21h30m1.9s</t>
  </si>
  <si>
    <t>+26h43m6s</t>
  </si>
  <si>
    <t>NGC7081</t>
  </si>
  <si>
    <t>21h31m24.3s</t>
  </si>
  <si>
    <t>+2h29m28s</t>
  </si>
  <si>
    <t>faint, small, round, much brighter middle, 14th magnitude star to south</t>
  </si>
  <si>
    <t>F, S, R, mbM, * 14 s</t>
  </si>
  <si>
    <t>NGC7082</t>
  </si>
  <si>
    <t>21h29m17s</t>
  </si>
  <si>
    <t>+47h7m36s</t>
  </si>
  <si>
    <t>a cluster, large, considerably rich, a little compressed, stars from 10th to 13th magnitude</t>
  </si>
  <si>
    <t>Cl, L, cRi, lC, st 10…13</t>
  </si>
  <si>
    <t>NGC7083</t>
  </si>
  <si>
    <t>21h35m44.6s</t>
  </si>
  <si>
    <t>-63h54m12s</t>
  </si>
  <si>
    <t>pretty faint, considerably large, very little extended, very gradually pretty much brighter middle, mottled but not resolved</t>
  </si>
  <si>
    <t>pF, cL, vlE, vgpmbM, r</t>
  </si>
  <si>
    <t>NGC7084</t>
  </si>
  <si>
    <t>21h32m33s</t>
  </si>
  <si>
    <t>+17h30m30s</t>
  </si>
  <si>
    <t>NGC7085</t>
  </si>
  <si>
    <t>21h32m25.1s</t>
  </si>
  <si>
    <t>+6h34m54s</t>
  </si>
  <si>
    <t>NGC7086</t>
  </si>
  <si>
    <t>21h30m27.5s</t>
  </si>
  <si>
    <t>+51h36m2s</t>
  </si>
  <si>
    <t>a cluster, considerably large, very rich, pretty compressed, stars from 11th to 16th magnitude</t>
  </si>
  <si>
    <t>Cl, cL, vRi, pC, st 11…16</t>
  </si>
  <si>
    <t>NGC7087</t>
  </si>
  <si>
    <t>21h34m33.4s</t>
  </si>
  <si>
    <t>-40h49m6s</t>
  </si>
  <si>
    <t>NGC7088</t>
  </si>
  <si>
    <t>Baxendell's Unphotographable Nebula</t>
  </si>
  <si>
    <t>21h33m22s</t>
  </si>
  <si>
    <t>-0h23m0s</t>
  </si>
  <si>
    <t>extremely faint, extremely large, diffuse, extended east-west, north of M 2</t>
  </si>
  <si>
    <t>eF, eL, dif, E pf, n of M 2</t>
  </si>
  <si>
    <t>NGC7089</t>
  </si>
  <si>
    <t>21h33m27.2s</t>
  </si>
  <si>
    <t>-0h49m22s</t>
  </si>
  <si>
    <t>a very remarkable object, a globular cluster, bright, very large, gradually pretty much brighter middle, well resolved, clearly consisting of stars, stars extremely small (faint)</t>
  </si>
  <si>
    <t>!!, globular, B, vL, gpmbM, rrr, st eS</t>
  </si>
  <si>
    <t>NGC7090</t>
  </si>
  <si>
    <t>21h36m27.7s</t>
  </si>
  <si>
    <t>-54h33m18s</t>
  </si>
  <si>
    <t>pretty bright, pretty large, very much extended 127°, gradually then pretty suddenly a little brighter middle</t>
  </si>
  <si>
    <t>pB, pL, vmE 127°, g, pslbM</t>
  </si>
  <si>
    <t>NGC7091</t>
  </si>
  <si>
    <t>21h34m7.7s</t>
  </si>
  <si>
    <t>-36h39m14s</t>
  </si>
  <si>
    <t>extremely faint, pretty large, very gradually brighter middle, 6th magnitude star 40 seconds of time to east</t>
  </si>
  <si>
    <t>eF, pL, vgbM, * 6 f 40s</t>
  </si>
  <si>
    <t>NGC7092</t>
  </si>
  <si>
    <t>21h31m52s</t>
  </si>
  <si>
    <t>+48h25m30s</t>
  </si>
  <si>
    <t>a cluster, very large, very poor, very little compressed, stars from 7th to 10th magnitude</t>
  </si>
  <si>
    <t>Cl, vL, vP, vlC, st 7…10</t>
  </si>
  <si>
    <t>NGC7093</t>
  </si>
  <si>
    <t>21h34m35.8s</t>
  </si>
  <si>
    <t>+45h59m31s</t>
  </si>
  <si>
    <t>NGC7094</t>
  </si>
  <si>
    <t>21h36m53s</t>
  </si>
  <si>
    <t>+12h47m22s</t>
  </si>
  <si>
    <t>a star in most extremely faint nebulosity, very difficult</t>
  </si>
  <si>
    <t>* in eeF neby, v diffic</t>
  </si>
  <si>
    <t>NGC7095</t>
  </si>
  <si>
    <t>21h52m24.8s</t>
  </si>
  <si>
    <t>-81h31m53s</t>
  </si>
  <si>
    <t>faint, pretty large, round, very gradually a little brighter middle, 13th magnitude star involved</t>
  </si>
  <si>
    <t>F, pL, R, vglbM, * 13 inv</t>
  </si>
  <si>
    <t>NGC7096</t>
  </si>
  <si>
    <t>21h41m19.1s</t>
  </si>
  <si>
    <t>-63h54m30s</t>
  </si>
  <si>
    <t>very faint, small, round, very small (faint) double star to northeast</t>
  </si>
  <si>
    <t>vF, S, R, vS ** nf</t>
  </si>
  <si>
    <t>NGC7097</t>
  </si>
  <si>
    <t>21h40m12.8s</t>
  </si>
  <si>
    <t>-42h32m21s</t>
  </si>
  <si>
    <t>bright, small, very little extended, much brighter middle</t>
  </si>
  <si>
    <t>B, S, vlE, mbM</t>
  </si>
  <si>
    <t>NGC7098</t>
  </si>
  <si>
    <t>21h44m16s</t>
  </si>
  <si>
    <t>-75h6m39s</t>
  </si>
  <si>
    <t>pretty faint, round, gradually then pretty suddenly much brighter middle, among stars</t>
  </si>
  <si>
    <t>pF, R, g, psmbM, am st</t>
  </si>
  <si>
    <t>NGC7099</t>
  </si>
  <si>
    <t>海蜇星团</t>
  </si>
  <si>
    <t>21h40m22s</t>
  </si>
  <si>
    <t>-23h10m43s</t>
  </si>
  <si>
    <t>a remarkable object, a globular cluster, bright, large, a little extended, gradually pretty much brighter middle, stars from 12th to 16th magnitude</t>
  </si>
  <si>
    <t>!, globular, B, L, lE, gpmbM, st 12…16</t>
  </si>
  <si>
    <t>NGC7100</t>
  </si>
  <si>
    <t>21h39m6.9s</t>
  </si>
  <si>
    <t>+8h57m2s</t>
  </si>
  <si>
    <t>NGC7101</t>
  </si>
  <si>
    <t>21h39m34.5s</t>
  </si>
  <si>
    <t>+8h52m38s</t>
  </si>
  <si>
    <t>NGC7102</t>
  </si>
  <si>
    <t>21h39m44.5s</t>
  </si>
  <si>
    <t>+6h17m9s</t>
  </si>
  <si>
    <t>NGC7103</t>
  </si>
  <si>
    <t>21h39m51.3s</t>
  </si>
  <si>
    <t>-22h28m24s</t>
  </si>
  <si>
    <t>very faint, very small, round, gradually brighter middle, 1st of 2</t>
  </si>
  <si>
    <t>vF, vS, R, gbM, 1st of 2</t>
  </si>
  <si>
    <t>NGC7104</t>
  </si>
  <si>
    <t>21h40m3.2s</t>
  </si>
  <si>
    <t>-22h25m28s</t>
  </si>
  <si>
    <t>very faint, very small, irregularly round, gradually brighter middle and nucleus, 2nd of 2</t>
  </si>
  <si>
    <t>vF, vS, iR, gbMN, 2nd of 2</t>
  </si>
  <si>
    <t>NGC7105</t>
  </si>
  <si>
    <t>21h41m41.3s</t>
  </si>
  <si>
    <t>-10h38m6s</t>
  </si>
  <si>
    <t>faint, very small, extended 130°, suddenly much brighter middle and nucleus, star to northwest</t>
  </si>
  <si>
    <t>F, vS, E 130°, smbMN, * sp</t>
  </si>
  <si>
    <t>NGC7106</t>
  </si>
  <si>
    <t>21h42m36.5s</t>
  </si>
  <si>
    <t>-52h41m57s</t>
  </si>
  <si>
    <t>extremely faint, considerably small, a little extended, very gradually a little brighter middle</t>
  </si>
  <si>
    <t>eF, cS, lE, vglbM</t>
  </si>
  <si>
    <t>NGC7107</t>
  </si>
  <si>
    <t>21h42m26.5s</t>
  </si>
  <si>
    <t>-44h47m31s</t>
  </si>
  <si>
    <t>very faint, considerably large, round, very gradually a little brighter middle</t>
  </si>
  <si>
    <t>vF, cL, R, vglbM</t>
  </si>
  <si>
    <t>NGC7108</t>
  </si>
  <si>
    <t>21h41m53.7s</t>
  </si>
  <si>
    <t>-6h42m31s</t>
  </si>
  <si>
    <t>NGC7109</t>
  </si>
  <si>
    <t>南鱼座</t>
  </si>
  <si>
    <t>PSA</t>
  </si>
  <si>
    <t>21h41m58.5s</t>
  </si>
  <si>
    <t>-34h26m46s</t>
  </si>
  <si>
    <t>extremely faint, very small, among stars</t>
  </si>
  <si>
    <t>eF, vS, am st</t>
  </si>
  <si>
    <t>NGC7110</t>
  </si>
  <si>
    <t>21h42m12s</t>
  </si>
  <si>
    <t>-34h9m46s</t>
  </si>
  <si>
    <t>NGC7111</t>
  </si>
  <si>
    <t>NGC7112</t>
  </si>
  <si>
    <t>+12h34m9s</t>
  </si>
  <si>
    <t>most extremely faint, small, round, pretty bright star close to west</t>
  </si>
  <si>
    <t>eeF, S, R, pB * close p</t>
  </si>
  <si>
    <t>NGC7113</t>
  </si>
  <si>
    <t>vF, S, stell</t>
  </si>
  <si>
    <t>NGC7114</t>
  </si>
  <si>
    <t>Nova</t>
  </si>
  <si>
    <t>21h41m44s</t>
  </si>
  <si>
    <t>+42h50m31s</t>
  </si>
  <si>
    <t>a nebulous variable star, a planetary nebula?</t>
  </si>
  <si>
    <t>Nebulous var *, ? planetary</t>
  </si>
  <si>
    <t>NGC7115</t>
  </si>
  <si>
    <t>21h43m39.2s</t>
  </si>
  <si>
    <t>-25h21m4s</t>
  </si>
  <si>
    <t>very faint, pretty small, much extended 90°, cometic, 2 stars involved</t>
  </si>
  <si>
    <t>vF, pS, mE 90°, com, 2 st inv</t>
  </si>
  <si>
    <t>NGC7116</t>
  </si>
  <si>
    <t>21h42m40.4s</t>
  </si>
  <si>
    <t>+28h56m48s</t>
  </si>
  <si>
    <t>NGC7117</t>
  </si>
  <si>
    <t>21h45m47s</t>
  </si>
  <si>
    <t>-48h25m16s</t>
  </si>
  <si>
    <t>faint, small, round, gradually a little brighter middle, western of 2</t>
  </si>
  <si>
    <t>F, S, R, glbM, p of 2</t>
  </si>
  <si>
    <t>NGC7118</t>
  </si>
  <si>
    <t>21h46m9.8s</t>
  </si>
  <si>
    <t>-48h21m12s</t>
  </si>
  <si>
    <t>faint, small, round, gradually a little brighter middle, eastern of 2</t>
  </si>
  <si>
    <t>NGC7119</t>
  </si>
  <si>
    <t>21h46m15.7s</t>
  </si>
  <si>
    <t>-46h30m56s</t>
  </si>
  <si>
    <t>NGC7120</t>
  </si>
  <si>
    <t>21h44m33.2s</t>
  </si>
  <si>
    <t>-6h31m23s</t>
  </si>
  <si>
    <t>NGC7121</t>
  </si>
  <si>
    <t>21h44m52.6s</t>
  </si>
  <si>
    <t>-3h37m11s</t>
  </si>
  <si>
    <t>NGC7122</t>
  </si>
  <si>
    <t>21h45m47.8s</t>
  </si>
  <si>
    <t>-8h49m47s</t>
  </si>
  <si>
    <t>a nebulous star of 10th or 11th magnitude or a very small cluster (Auwers 47)</t>
  </si>
  <si>
    <t>Nebulous * 10·11 or vS Cl (Auwers 47)</t>
  </si>
  <si>
    <t>NGC7123</t>
  </si>
  <si>
    <t>21h50m46.4s</t>
  </si>
  <si>
    <t>-70h20m2s</t>
  </si>
  <si>
    <t>pretty bright, small, round, very gradually brighter middle, 9th magnitude star to east</t>
  </si>
  <si>
    <t>pB, S, R, vgbM, * 9 f</t>
  </si>
  <si>
    <t>NGC7124</t>
  </si>
  <si>
    <t>21h48m5.3s</t>
  </si>
  <si>
    <t>-50h33m56s</t>
  </si>
  <si>
    <t>pretty bright, large, pretty much extended, very gradually brighter middle</t>
  </si>
  <si>
    <t>pB, L, pmE, vgbM</t>
  </si>
  <si>
    <t>NGC7125</t>
  </si>
  <si>
    <t>21h49m16.2s</t>
  </si>
  <si>
    <t>-60h42m45s</t>
  </si>
  <si>
    <t>extremely faint, pretty large, round, southwestern of 2</t>
  </si>
  <si>
    <t>eF, pL, R, sp of 2</t>
  </si>
  <si>
    <t>NGC7126</t>
  </si>
  <si>
    <t>21h49m18.3s</t>
  </si>
  <si>
    <t>-60h36m34s</t>
  </si>
  <si>
    <t>pretty bright, pretty small, a little extended, gradually brighter middle, northeastern of 2</t>
  </si>
  <si>
    <t>pB, pS, lE, gbM, nf of 2</t>
  </si>
  <si>
    <t>NGC7127</t>
  </si>
  <si>
    <t>21h43m52.9s</t>
  </si>
  <si>
    <t>+54h35m46s</t>
  </si>
  <si>
    <t>NGC7128</t>
  </si>
  <si>
    <t>21h43m57.7s</t>
  </si>
  <si>
    <t>+53h42m55s</t>
  </si>
  <si>
    <t>a cluster, small, pretty rich, has a ruby star of magnitude 9.5</t>
  </si>
  <si>
    <t>Cl, S, pRi, has a ruby * 9.5</t>
  </si>
  <si>
    <t>NGC7129</t>
  </si>
  <si>
    <t>小星团星云</t>
  </si>
  <si>
    <t>21h42m58.9s</t>
  </si>
  <si>
    <t>+66h6m47s</t>
  </si>
  <si>
    <t>a remarkable object, considerably faint, pretty large, gradually brighter middle, triple star</t>
  </si>
  <si>
    <t>!, cF, pL, gbM ***</t>
  </si>
  <si>
    <t>NGC7130</t>
  </si>
  <si>
    <t>21h48m19.3s</t>
  </si>
  <si>
    <t>-34h57m10s</t>
  </si>
  <si>
    <t>NGC7131</t>
  </si>
  <si>
    <t>21h47m36s</t>
  </si>
  <si>
    <t>-13h10m56s</t>
  </si>
  <si>
    <t>very faint, small, very little extended, very gradually brighter middle</t>
  </si>
  <si>
    <t>vF, S, vlE, vgbM</t>
  </si>
  <si>
    <t>NGC7132</t>
  </si>
  <si>
    <t>21h47m16.4s</t>
  </si>
  <si>
    <t>+10h14m29s</t>
  </si>
  <si>
    <t>very faint, pretty large, a little extended, between 2 stars</t>
  </si>
  <si>
    <t>vF, pL, lE, bet 2 st</t>
  </si>
  <si>
    <t>NGC7133</t>
  </si>
  <si>
    <t>21h44m26.6s</t>
  </si>
  <si>
    <t>+66h10m6s</t>
  </si>
  <si>
    <t>NGC7134</t>
  </si>
  <si>
    <t>21h48m56s</t>
  </si>
  <si>
    <t>-12h58m13s</t>
  </si>
  <si>
    <t>pretty faint, very small, 11th magnitude star to north</t>
  </si>
  <si>
    <t>pF, vS, * 11 n</t>
  </si>
  <si>
    <t>NGC7135</t>
  </si>
  <si>
    <t>21h49m46s</t>
  </si>
  <si>
    <t>-34h52m34s</t>
  </si>
  <si>
    <t>pretty bright, pretty large, round, very gradually brighter middle, 14th magnitude star attached on west</t>
  </si>
  <si>
    <t>pB, pL, R, vgbM, * 14 att p</t>
  </si>
  <si>
    <t>NGC7136</t>
  </si>
  <si>
    <t>21h49m43.3s</t>
  </si>
  <si>
    <t>-11h47m34s</t>
  </si>
  <si>
    <t>extremely faint, very small, round (nebula?), 9.5 magnitude star 2 arcmin to east</t>
  </si>
  <si>
    <t>eF, vS, R (neb?), * 9.5 f 2'</t>
  </si>
  <si>
    <t>NGC7137</t>
  </si>
  <si>
    <t>21h48m13s</t>
  </si>
  <si>
    <t>+22h9m35s</t>
  </si>
  <si>
    <t>faint, pretty small, round, very gradually a little brighter middle, mottled but not resolved</t>
  </si>
  <si>
    <t>F, pS, R, vglbM, r</t>
  </si>
  <si>
    <t>NGC7138</t>
  </si>
  <si>
    <t>21h49m1s</t>
  </si>
  <si>
    <t>+12h30m50s</t>
  </si>
  <si>
    <t>NGC7139</t>
  </si>
  <si>
    <t>21h46m8.4s</t>
  </si>
  <si>
    <t>+63h47m32s</t>
  </si>
  <si>
    <t>very faint, considerably small, round, mottled but not resolved</t>
  </si>
  <si>
    <t>NGC7140</t>
  </si>
  <si>
    <t>21h52m15.1s</t>
  </si>
  <si>
    <t>-55h34m11s</t>
  </si>
  <si>
    <t>NGC7141</t>
  </si>
  <si>
    <t>F, L, R, gpsmbM (?=h 3892)</t>
  </si>
  <si>
    <t>NGC7142</t>
  </si>
  <si>
    <t>21h45m9.4s</t>
  </si>
  <si>
    <t>+65h46m28s</t>
  </si>
  <si>
    <t>a cluster, considerably large, considerably rich, pretty compressed, stars 11th to 14th magnitude</t>
  </si>
  <si>
    <t>Cl, cL, cRi, pC, st 11...14</t>
  </si>
  <si>
    <t>NGC7143</t>
  </si>
  <si>
    <t>21h48m53.9s</t>
  </si>
  <si>
    <t>+29h57m26s</t>
  </si>
  <si>
    <t>very faint, perhaps a double star (involved in a nebula?)</t>
  </si>
  <si>
    <t>vF, ? D * (inv in neb?)</t>
  </si>
  <si>
    <t>NGC7144</t>
  </si>
  <si>
    <t>21h52m42.6s</t>
  </si>
  <si>
    <t>very bright, pretty small, round, much brighter middle and nucleus</t>
  </si>
  <si>
    <t>vB, pS, R, mbMN</t>
  </si>
  <si>
    <t>NGC7145</t>
  </si>
  <si>
    <t>21h53m20.5s</t>
  </si>
  <si>
    <t>-47h52m57s</t>
  </si>
  <si>
    <t>bright, small, round, in triangle of 13th magnitude stars</t>
  </si>
  <si>
    <t>B, S, R, in Δ of st 13</t>
  </si>
  <si>
    <t>NGC7146</t>
  </si>
  <si>
    <t>21h51m47.4s</t>
  </si>
  <si>
    <t>+3h1m2s</t>
  </si>
  <si>
    <t>NGC7147</t>
  </si>
  <si>
    <t>21h51m58.3s</t>
  </si>
  <si>
    <t>+3h4m20s</t>
  </si>
  <si>
    <t>NGC7148</t>
  </si>
  <si>
    <t>21h52m8.4s</t>
  </si>
  <si>
    <t>+3h20m31s</t>
  </si>
  <si>
    <t>NGC7149</t>
  </si>
  <si>
    <t>21h52m11.6s</t>
  </si>
  <si>
    <t>+3h18m6s</t>
  </si>
  <si>
    <t>NGC7150</t>
  </si>
  <si>
    <t>21h50m23s</t>
  </si>
  <si>
    <t>+49h45m22s</t>
  </si>
  <si>
    <t>a nebula, no description</t>
  </si>
  <si>
    <t>NGC7151</t>
  </si>
  <si>
    <t>21h55m4s</t>
  </si>
  <si>
    <t>-50h39m29s</t>
  </si>
  <si>
    <t>very faint, pretty large, a little extended, very gradually brighter middle, mottled but not resolved</t>
  </si>
  <si>
    <t>vF, pL, lE, vgbM, r</t>
  </si>
  <si>
    <t>NGC7152</t>
  </si>
  <si>
    <t>21h53m59s</t>
  </si>
  <si>
    <t>-29h17m21s</t>
  </si>
  <si>
    <t>most extremely faint, very small (Lassell not found)</t>
  </si>
  <si>
    <t>eeF, vS (Lassell not found)</t>
  </si>
  <si>
    <t>NGC7153</t>
  </si>
  <si>
    <t>21h54m35.3s</t>
  </si>
  <si>
    <t>-29h3m50s</t>
  </si>
  <si>
    <t>extremely faint, small, extended or has extremely faint star near</t>
  </si>
  <si>
    <t>eF, S, E or has eF * nr</t>
  </si>
  <si>
    <t>NGC7154</t>
  </si>
  <si>
    <t>21h55m21.1s</t>
  </si>
  <si>
    <t>-34h48m50s</t>
  </si>
  <si>
    <t>bright, pretty large, irregularly round, gradually a little brighter middle, mottled but not resolved</t>
  </si>
  <si>
    <t>B, pL, iR, glbM, r</t>
  </si>
  <si>
    <t>NGC7155</t>
  </si>
  <si>
    <t>21h56m9.8s</t>
  </si>
  <si>
    <t>-49h31m19s</t>
  </si>
  <si>
    <t>NGC7156</t>
  </si>
  <si>
    <t>21h54m33.5s</t>
  </si>
  <si>
    <t>+2h56m32s</t>
  </si>
  <si>
    <t>NGC7157</t>
  </si>
  <si>
    <t>21h56m56.7s</t>
  </si>
  <si>
    <t>-25h21m3s</t>
  </si>
  <si>
    <t>very faint, very small, round, suddenly brighter middle and nucleus, bright double star 8 seconds of time to west</t>
  </si>
  <si>
    <t>vF, vS, R, sbMN, B D * p 8s</t>
  </si>
  <si>
    <t>NGC7158</t>
  </si>
  <si>
    <t>21h57m28s</t>
  </si>
  <si>
    <t>-11h35m31s</t>
  </si>
  <si>
    <t>a very faint nebulous star, 9.5 magnitude star 3' to northeast</t>
  </si>
  <si>
    <t>vF neb *, * 9.5 nf 3'</t>
  </si>
  <si>
    <t>NGC7159</t>
  </si>
  <si>
    <t>21h56m25.6s</t>
  </si>
  <si>
    <t>+13h33m47s</t>
  </si>
  <si>
    <t>most extremely faint, extremely small, round, very faint star to southeast</t>
  </si>
  <si>
    <t>eeF, eS, R, vF * sf</t>
  </si>
  <si>
    <t>NGC7160</t>
  </si>
  <si>
    <t>短吻鳄星团</t>
  </si>
  <si>
    <t>21h53m40.2s</t>
  </si>
  <si>
    <t>+62h36m12s</t>
  </si>
  <si>
    <t>NGC7161</t>
  </si>
  <si>
    <t>21h56m57.9s</t>
  </si>
  <si>
    <t>+2h55m0s</t>
  </si>
  <si>
    <t>a cluster, very small, stars of 19th magnitude, between two 16th magnitude stars</t>
  </si>
  <si>
    <t>Cl, vS, st 19, bet 2 st 16</t>
  </si>
  <si>
    <t>NGC7162</t>
  </si>
  <si>
    <t>21h59m38.8s</t>
  </si>
  <si>
    <t>-43h18m16s</t>
  </si>
  <si>
    <t>considerably faint, considerably large, considerably extended, gradually a little brighter middle</t>
  </si>
  <si>
    <t>cF, cL, cE, glbM</t>
  </si>
  <si>
    <t>NGC7163</t>
  </si>
  <si>
    <t>21h59m20.3s</t>
  </si>
  <si>
    <t>-31h53m1s</t>
  </si>
  <si>
    <t>NGC7164</t>
  </si>
  <si>
    <t>21h56m23.5s</t>
  </si>
  <si>
    <t>+1h21m52s</t>
  </si>
  <si>
    <t>extremely faint, round, 4 very faint stars to north</t>
  </si>
  <si>
    <t>eF, R, 4 vF st n</t>
  </si>
  <si>
    <t>NGC7165</t>
  </si>
  <si>
    <t>21h59m26.1s</t>
  </si>
  <si>
    <t>-16h30m46s</t>
  </si>
  <si>
    <t>NGC7166</t>
  </si>
  <si>
    <t>22h0m32.7s</t>
  </si>
  <si>
    <t>-43h23m24s</t>
  </si>
  <si>
    <t>considerably bright, small, very little extended, suddenly much brighter middle and nucleus</t>
  </si>
  <si>
    <t>cB, S, vlE, smbMN</t>
  </si>
  <si>
    <t>NGC7167</t>
  </si>
  <si>
    <t>22h0m30.8s</t>
  </si>
  <si>
    <t>-24h37m59s</t>
  </si>
  <si>
    <t>faint, pretty small, round, very gradually a little brighter middle, 10th magnitude star to east</t>
  </si>
  <si>
    <t>F, pS, R, vglbM, * 10 f</t>
  </si>
  <si>
    <t>NGC7168</t>
  </si>
  <si>
    <t>22h2m7.3s</t>
  </si>
  <si>
    <t>-51h44m36s</t>
  </si>
  <si>
    <t>NGC7169</t>
  </si>
  <si>
    <t>22h2m48.7s</t>
  </si>
  <si>
    <t>-47h41m51s</t>
  </si>
  <si>
    <t>extremely faint, small, round, 8th magnitude star to northwest</t>
  </si>
  <si>
    <t>eF, S, R, * 8 np</t>
  </si>
  <si>
    <t>NGC7170</t>
  </si>
  <si>
    <t>22h1m26.3s</t>
  </si>
  <si>
    <t>-5h25m56s</t>
  </si>
  <si>
    <t>very faint, pretty small, irregularly round, brighter middle and nucleus, double star 36 seconds of time to west</t>
  </si>
  <si>
    <t>vF, pS, iR, bMN, D * p 36 s</t>
  </si>
  <si>
    <t>NGC7171</t>
  </si>
  <si>
    <t>22h1m1.9s</t>
  </si>
  <si>
    <t>-13h16m11s</t>
  </si>
  <si>
    <t>very faint, considerably large, extended 124°, very gradually brighter middle</t>
  </si>
  <si>
    <t>vF, cL, E 124°, vgbM</t>
  </si>
  <si>
    <t>NGC7172</t>
  </si>
  <si>
    <t>22h2m1.7s</t>
  </si>
  <si>
    <t>-31h52m12s</t>
  </si>
  <si>
    <t>pretty bright, pretty large, a little extended, gradually brighter middle, 1st of 4</t>
  </si>
  <si>
    <t>pB, pL, lE, gbM, 1st of 4</t>
  </si>
  <si>
    <t>NGC7173</t>
  </si>
  <si>
    <t>22h2m3.1s</t>
  </si>
  <si>
    <t>-31h58m23s</t>
  </si>
  <si>
    <t>considerably bright, considerably small, round, suddenly brighter middle like star, 2nd of 4</t>
  </si>
  <si>
    <t>cB, cS, R, sbM *, 2nd of 4</t>
  </si>
  <si>
    <t>NGC7174</t>
  </si>
  <si>
    <t>22h2m5.9s</t>
  </si>
  <si>
    <t>-31h59m33s</t>
  </si>
  <si>
    <t>considerably faint, small, round, preceding (western) of double nebula (the other being NGC 7176), 3rd of 4</t>
  </si>
  <si>
    <t>cF, S, R, p of D neb, 3rd of 4</t>
  </si>
  <si>
    <t>NGC7175</t>
  </si>
  <si>
    <t>21h58m50s</t>
  </si>
  <si>
    <t>+54h31m30s</t>
  </si>
  <si>
    <t>a cluster, very large, pretty rich, a little compressed</t>
  </si>
  <si>
    <t>Cl, vL, pRi, lC</t>
  </si>
  <si>
    <t>NGC7176</t>
  </si>
  <si>
    <t>22h2m8.2s</t>
  </si>
  <si>
    <t>-31h59m26s</t>
  </si>
  <si>
    <t>bright, pretty large, round, following (eastern) of double nebula (the other being NGC 7174), 4th of 4</t>
  </si>
  <si>
    <t>B, pL, R, f of D neb, 4th of 4</t>
  </si>
  <si>
    <t>NGC7177</t>
  </si>
  <si>
    <t>22h0m41.2s</t>
  </si>
  <si>
    <t>+17h44m14s</t>
  </si>
  <si>
    <t>pretty bright, pretty small, round, brighter middle and nucleus, mottled but not resolved, star to southwest</t>
  </si>
  <si>
    <t>pB, pS, R, bMN, r, * sp</t>
  </si>
  <si>
    <t>NGC7178</t>
  </si>
  <si>
    <t>22h2m25.1s</t>
  </si>
  <si>
    <t>-35h47m27s</t>
  </si>
  <si>
    <t>extremely faint, small, round, 8th magnitude star 2' to south</t>
  </si>
  <si>
    <t>eF, S, R, * 8 s 2'</t>
  </si>
  <si>
    <t>NGC7179</t>
  </si>
  <si>
    <t>22h4m49s</t>
  </si>
  <si>
    <t>-64h2m49s</t>
  </si>
  <si>
    <t>considerably faint, pretty small, very gradually brighter middle</t>
  </si>
  <si>
    <t>cF, pS, vgbM</t>
  </si>
  <si>
    <t>NGC7180</t>
  </si>
  <si>
    <t>22h2m18.5s</t>
  </si>
  <si>
    <t>-20h32m52s</t>
  </si>
  <si>
    <t>very faint, small, round, a little brighter middle, western of 2</t>
  </si>
  <si>
    <t>vF, S, R, lbM, p of 2</t>
  </si>
  <si>
    <t>NGC7181</t>
  </si>
  <si>
    <t>22h1m43.4s</t>
  </si>
  <si>
    <t>-1h57m36s</t>
  </si>
  <si>
    <t>NGC7182</t>
  </si>
  <si>
    <t>22h1m51.6s</t>
  </si>
  <si>
    <t>-2h11m46s</t>
  </si>
  <si>
    <t>NGC7183</t>
  </si>
  <si>
    <t>22h2m21.2s</t>
  </si>
  <si>
    <t>-18h54m56s</t>
  </si>
  <si>
    <t>very faint, pretty large, extended 90°, a little brighter middle</t>
  </si>
  <si>
    <t>vF, pL, E 90°, lbM</t>
  </si>
  <si>
    <t>NGC7184</t>
  </si>
  <si>
    <t>22h2m39.9s</t>
  </si>
  <si>
    <t>-20h48m45s</t>
  </si>
  <si>
    <t>pretty bright, pretty large, much extended 64°, between 3 stars, extremely mottled but not resolved</t>
  </si>
  <si>
    <t>pB, pL, mE 64°, bet 3 st, er</t>
  </si>
  <si>
    <t>NGC7185</t>
  </si>
  <si>
    <t>22h2m56.6s</t>
  </si>
  <si>
    <t>-20h28m17s</t>
  </si>
  <si>
    <t>very faint, pretty large, irregularly round, very gradually a little brighter middle, eastern of 2</t>
  </si>
  <si>
    <t>vF, pL, iR, vglbM, f of 2</t>
  </si>
  <si>
    <t>NGC7186</t>
  </si>
  <si>
    <t>22h1m5s</t>
  </si>
  <si>
    <t>+35h4m42s</t>
  </si>
  <si>
    <t>very faint, among 5 or 6 stars</t>
  </si>
  <si>
    <t>vF, am 5 or 6 st</t>
  </si>
  <si>
    <t>NGC7187</t>
  </si>
  <si>
    <t>22h2m44.4s</t>
  </si>
  <si>
    <t>-32h48m12s</t>
  </si>
  <si>
    <t>NGC7188</t>
  </si>
  <si>
    <t>22h3m29s</t>
  </si>
  <si>
    <t>-20h19m3s</t>
  </si>
  <si>
    <t>extremely faint, pretty small, extended, a little brighter middle</t>
  </si>
  <si>
    <t>eF, pS, E, lbM</t>
  </si>
  <si>
    <t>NGC7189</t>
  </si>
  <si>
    <t>22h3m15.9s</t>
  </si>
  <si>
    <t>+0h34m17s</t>
  </si>
  <si>
    <t>NGC7190</t>
  </si>
  <si>
    <t>22h3m6.6s</t>
  </si>
  <si>
    <t>+11h11m59s</t>
  </si>
  <si>
    <t>NGC7191</t>
  </si>
  <si>
    <t>22h6m51.2s</t>
  </si>
  <si>
    <t>-64h38m1s</t>
  </si>
  <si>
    <t>very faint, small, a little extended, very gradually brighter middle</t>
  </si>
  <si>
    <t>vF, S, lE, vgbM</t>
  </si>
  <si>
    <t>NGC7192</t>
  </si>
  <si>
    <t>22h6m49.9s</t>
  </si>
  <si>
    <t>-64h18m58s</t>
  </si>
  <si>
    <t>pretty bright, small, round, pretty much brighter middle</t>
  </si>
  <si>
    <t>pB, S, R, pmbM</t>
  </si>
  <si>
    <t>NGC7193</t>
  </si>
  <si>
    <t>22h3m3.8s</t>
  </si>
  <si>
    <t>+10h48m8s</t>
  </si>
  <si>
    <t>a cluster, a little rich, a little compressed, stars from 9th to 10th magnitude</t>
  </si>
  <si>
    <t>Cl, lRi, lC, st 9…10</t>
  </si>
  <si>
    <t>NGC7194</t>
  </si>
  <si>
    <t>22h3m30.9s</t>
  </si>
  <si>
    <t>+12h38m13s</t>
  </si>
  <si>
    <t>NGC7195</t>
  </si>
  <si>
    <t>22h3m30.2s</t>
  </si>
  <si>
    <t>+12h39m41s</t>
  </si>
  <si>
    <t>most extremely faint, round, very difficult</t>
  </si>
  <si>
    <t>eeF, R, v diffic</t>
  </si>
  <si>
    <t>NGC7196</t>
  </si>
  <si>
    <t>22h5m54.8s</t>
  </si>
  <si>
    <t>-50h7m9s</t>
  </si>
  <si>
    <t>considerably bright, small, round, among stars</t>
  </si>
  <si>
    <t>cB, S, R, am st</t>
  </si>
  <si>
    <t>NGC7197</t>
  </si>
  <si>
    <t>蝎虎座</t>
  </si>
  <si>
    <t>LAC</t>
  </si>
  <si>
    <t>22h2m57.9s</t>
  </si>
  <si>
    <t>+41h3m34s</t>
  </si>
  <si>
    <t>faint, considerably small, considerably extended, very gradually a little brighter middle, extremely mottled but not resolved</t>
  </si>
  <si>
    <t>F, cS, cE, vglbM, er</t>
  </si>
  <si>
    <t>NGC7198</t>
  </si>
  <si>
    <t>22h5m14.1s</t>
  </si>
  <si>
    <t>-0h38m52s</t>
  </si>
  <si>
    <t>NGC7199</t>
  </si>
  <si>
    <t>22h8m30.1s</t>
  </si>
  <si>
    <t>-64h42m22s</t>
  </si>
  <si>
    <t>very faint, small, round, pretty suddenly a little brighter middle, 11th magnitude star 3' to west</t>
  </si>
  <si>
    <t>vF, S, R, pslbM, * 11 p 3'</t>
  </si>
  <si>
    <t>NGC7200</t>
  </si>
  <si>
    <t>22h7m9.6s</t>
  </si>
  <si>
    <t>-49h59m44s</t>
  </si>
  <si>
    <t>pretty faint, small, round, suddenly much brighter middle</t>
  </si>
  <si>
    <t>pF, S, R, smbM</t>
  </si>
  <si>
    <t>NGC7201</t>
  </si>
  <si>
    <t>22h6m32s</t>
  </si>
  <si>
    <t>-31h15m50s</t>
  </si>
  <si>
    <t>faint, round, gradually brighter middle, 1st of 4</t>
  </si>
  <si>
    <t>F, R, gbM, 1st of 4</t>
  </si>
  <si>
    <t>NGC7202</t>
  </si>
  <si>
    <t>22h6m43.3s</t>
  </si>
  <si>
    <t>-31h13m7s</t>
  </si>
  <si>
    <t>extremely faint, stellar, 2nd of 4</t>
  </si>
  <si>
    <t>eF, S, stellar, 2nd of 4</t>
  </si>
  <si>
    <t>NGC7203</t>
  </si>
  <si>
    <t>22h6m43.8s</t>
  </si>
  <si>
    <t>-31h9m48s</t>
  </si>
  <si>
    <t>considerably faint, round, stellar, 3rd of 4</t>
  </si>
  <si>
    <t>cF, R, stellar, 3rd of 4</t>
  </si>
  <si>
    <t>NGC7204</t>
  </si>
  <si>
    <t>22h6m53.1s</t>
  </si>
  <si>
    <t>-31h3m0s</t>
  </si>
  <si>
    <t>pretty bright, large, a little extended, gradually brighter middle, 4th of 4</t>
  </si>
  <si>
    <t>pB, L, lE, gbM, 4th of 4</t>
  </si>
  <si>
    <t>NGC7205</t>
  </si>
  <si>
    <t>22h8m33.2s</t>
  </si>
  <si>
    <t>-57h26m33s</t>
  </si>
  <si>
    <t>pretty bright, large, considerably extended, gradually then pretty suddenly a little brighter middle</t>
  </si>
  <si>
    <t>pB, L, cE, gpslbM</t>
  </si>
  <si>
    <t>NGC7206</t>
  </si>
  <si>
    <t>22h5m40.9s</t>
  </si>
  <si>
    <t>+16h47m7s</t>
  </si>
  <si>
    <t>faint, small, a little extended, brighter middle</t>
  </si>
  <si>
    <t>F, S, lE, bM</t>
  </si>
  <si>
    <t>NGC7207</t>
  </si>
  <si>
    <t>22h5m45.6s</t>
  </si>
  <si>
    <t>+16h46m4s</t>
  </si>
  <si>
    <t>NGC7208</t>
  </si>
  <si>
    <t>22h8m24.7s</t>
  </si>
  <si>
    <t>-29h3m5s</t>
  </si>
  <si>
    <t>very faint, very small, round, almost a planetary nebula</t>
  </si>
  <si>
    <t>vF, vS, R, almost planetary</t>
  </si>
  <si>
    <t>NGC7209</t>
  </si>
  <si>
    <t>飞蜥星团</t>
  </si>
  <si>
    <t>22h5m8s</t>
  </si>
  <si>
    <t>+46h29m0s</t>
  </si>
  <si>
    <t>a cluster, large, considerably rich, pretty compressed, stars from 9th to 12th magnitude</t>
  </si>
  <si>
    <t>Cl, L, cRi, pC, st 9…12</t>
  </si>
  <si>
    <t>NGC7210</t>
  </si>
  <si>
    <t>23h6m50.5s</t>
  </si>
  <si>
    <t>+28h10m46s</t>
  </si>
  <si>
    <t>extremely faint, round, brighter middle, very faint double star to northwest</t>
  </si>
  <si>
    <t>eF, R, bM, vF D * np</t>
  </si>
  <si>
    <t>NGC7211</t>
  </si>
  <si>
    <t>22h6m21.8s</t>
  </si>
  <si>
    <t>-8h5m22s</t>
  </si>
  <si>
    <t>NGC7212</t>
  </si>
  <si>
    <t>22h7m2.2s</t>
  </si>
  <si>
    <t>+10h14m5s</t>
  </si>
  <si>
    <t>NGC7213</t>
  </si>
  <si>
    <t>22h9m16.2s</t>
  </si>
  <si>
    <t>-47h10m1s</t>
  </si>
  <si>
    <t>very bright, pretty small, round, gradually brighter middle</t>
  </si>
  <si>
    <t>vB, pS, R, gbM</t>
  </si>
  <si>
    <t>NGC7214</t>
  </si>
  <si>
    <t>22h9m7.6s</t>
  </si>
  <si>
    <t>-27h48m35s</t>
  </si>
  <si>
    <t>a globular cluster, pretty large, irregularly round, partially resolved (some stars seen)</t>
  </si>
  <si>
    <t>globular, pL, iR, rr</t>
  </si>
  <si>
    <t>NGC7215</t>
  </si>
  <si>
    <t>22h8m34.5s</t>
  </si>
  <si>
    <t>+0h30m44s</t>
  </si>
  <si>
    <t>NGC7216</t>
  </si>
  <si>
    <t>22h12m36s</t>
  </si>
  <si>
    <t>-68h39m43s</t>
  </si>
  <si>
    <t>NGC7217</t>
  </si>
  <si>
    <t>22h7m52.1s</t>
  </si>
  <si>
    <t>+31h21m34s</t>
  </si>
  <si>
    <t>bright, pretty large, gradually brighter middle, extremely mottled but not resolved</t>
  </si>
  <si>
    <t>B, pL, gbM, er</t>
  </si>
  <si>
    <t>NGC7218</t>
  </si>
  <si>
    <t>22h10m11.5s</t>
  </si>
  <si>
    <t>-16h39m38s</t>
  </si>
  <si>
    <t>pretty bright, a little extended, mottled but not resolved</t>
  </si>
  <si>
    <t>pB, lE, r</t>
  </si>
  <si>
    <t>NGC7219</t>
  </si>
  <si>
    <t>22h13m8.9s</t>
  </si>
  <si>
    <t>-64h50m56s</t>
  </si>
  <si>
    <t>pretty bright, small, round, 2 stars near</t>
  </si>
  <si>
    <t>pB, S, R, 2 st nr</t>
  </si>
  <si>
    <t>NGC7220</t>
  </si>
  <si>
    <t>22h11m30.9s</t>
  </si>
  <si>
    <t>-22h57m11s</t>
  </si>
  <si>
    <t>extremely faint, very small, very little extended, gradually brighter middle, 10th magnitude star 3' to north</t>
  </si>
  <si>
    <t>eF, vS, vlE, gbM, * 10 n 3'</t>
  </si>
  <si>
    <t>NGC7221</t>
  </si>
  <si>
    <t>22h11m15.1s</t>
  </si>
  <si>
    <t>-30h33m48s</t>
  </si>
  <si>
    <t>faint, small, round, gradually brighter middle, mottled but not resolved, 2 very small (faint) stars near</t>
  </si>
  <si>
    <t>F, S, R, gbM, r, 2 vS st nr</t>
  </si>
  <si>
    <t>NGC7222</t>
  </si>
  <si>
    <t>22h10m51.7s</t>
  </si>
  <si>
    <t>+2h6m23s</t>
  </si>
  <si>
    <t>NGC7223</t>
  </si>
  <si>
    <t>22h10m9.2s</t>
  </si>
  <si>
    <t>+41h1m2s</t>
  </si>
  <si>
    <t>extremely faint, pretty small, a little extended, mottled but not resolved, among 3 stars</t>
  </si>
  <si>
    <t>eF, pS, lE, r, am 3 st</t>
  </si>
  <si>
    <t>NGC7224</t>
  </si>
  <si>
    <t>22h11m35.3s</t>
  </si>
  <si>
    <t>+25h51m54s</t>
  </si>
  <si>
    <t>NGC7225</t>
  </si>
  <si>
    <t>22h13m7.8s</t>
  </si>
  <si>
    <t>-26h8m54s</t>
  </si>
  <si>
    <t>NGC7226</t>
  </si>
  <si>
    <t>22h10m27s</t>
  </si>
  <si>
    <t>+55h23m55s</t>
  </si>
  <si>
    <t>pretty bright, large, in cluster</t>
  </si>
  <si>
    <t>pB, L, in cluster</t>
  </si>
  <si>
    <t>NGC7227</t>
  </si>
  <si>
    <t>22h11m31.3s</t>
  </si>
  <si>
    <t>+38h43m15s</t>
  </si>
  <si>
    <t>very faint, very small, round, a little brighter middle, northwestern of 2</t>
  </si>
  <si>
    <t>vF, vS, R, lbM, np of 2</t>
  </si>
  <si>
    <t>NGC7228</t>
  </si>
  <si>
    <t>22h11m48.6s</t>
  </si>
  <si>
    <t>+38h41m56s</t>
  </si>
  <si>
    <t>faint, very small, round, a little brighter middle, southeastern of 2</t>
  </si>
  <si>
    <t>F, vS, R, lbM, sf of 2</t>
  </si>
  <si>
    <t>NGC7229</t>
  </si>
  <si>
    <t>22h14m3.3s</t>
  </si>
  <si>
    <t>-29h23m0s</t>
  </si>
  <si>
    <t>NGC7230</t>
  </si>
  <si>
    <t>22h14m13.1s</t>
  </si>
  <si>
    <t>-17h4m28s</t>
  </si>
  <si>
    <t>NGC7231</t>
  </si>
  <si>
    <t>22h12m30.3s</t>
  </si>
  <si>
    <t>+45h19m43s</t>
  </si>
  <si>
    <t>extremely faint, small, extremely mottled but not resolved</t>
  </si>
  <si>
    <t>eF, S, er</t>
  </si>
  <si>
    <t>NGC7232</t>
  </si>
  <si>
    <t>22h15m37.6s</t>
  </si>
  <si>
    <t>-45h51m1s</t>
  </si>
  <si>
    <t>pretty bright, small, pretty much extended, pretty suddenly brighter middle, western of 2</t>
  </si>
  <si>
    <t>pB, S, pmE, psbM, p of 2</t>
  </si>
  <si>
    <t>NGC7233</t>
  </si>
  <si>
    <t>22h15m49s</t>
  </si>
  <si>
    <t>-45h50m47s</t>
  </si>
  <si>
    <t>faint, very small, round, 8th magnitude star to east, eastern of 2</t>
  </si>
  <si>
    <t>F, vS, R, * 8 f, f of 2</t>
  </si>
  <si>
    <t>NGC7234</t>
  </si>
  <si>
    <t>22h12m24s</t>
  </si>
  <si>
    <t>+57h16m24s</t>
  </si>
  <si>
    <t>NGC7235</t>
  </si>
  <si>
    <t>Cl, pC, has a ruby * 10</t>
  </si>
  <si>
    <t>NGC7236</t>
  </si>
  <si>
    <t>22h14m45s</t>
  </si>
  <si>
    <t>+13h50m47s</t>
  </si>
  <si>
    <t>NGC7237</t>
  </si>
  <si>
    <t>22h14m46.9s</t>
  </si>
  <si>
    <t>+13h50m27s</t>
  </si>
  <si>
    <t>NGC7238</t>
  </si>
  <si>
    <t>22h15m20.5s</t>
  </si>
  <si>
    <t>+22h31m10s</t>
  </si>
  <si>
    <t>pretty faint, small, round, much brighter middle, 4 stars to west</t>
  </si>
  <si>
    <t>pF, S, R, mbM, 4 st p</t>
  </si>
  <si>
    <t>NGC7239</t>
  </si>
  <si>
    <t>22h15m1.3s</t>
  </si>
  <si>
    <t>-5h3m10s</t>
  </si>
  <si>
    <t>NGC7240</t>
  </si>
  <si>
    <t>22h15m22.7s</t>
  </si>
  <si>
    <t>+37h16m50s</t>
  </si>
  <si>
    <t>extremely faint, extremely small, star attached on north, western of 2</t>
  </si>
  <si>
    <t>eF, eS, * att n, p of 2</t>
  </si>
  <si>
    <t>NGC7241</t>
  </si>
  <si>
    <t>22h15m49.7s</t>
  </si>
  <si>
    <t>+19h13m53s</t>
  </si>
  <si>
    <t>pretty faint, a little extended, 10th magnitude star attached on south</t>
  </si>
  <si>
    <t>pF, lE, * 10 att s</t>
  </si>
  <si>
    <t>NGC7242</t>
  </si>
  <si>
    <t>22h15m39.3s</t>
  </si>
  <si>
    <t>+37h17m52s</t>
  </si>
  <si>
    <t>very faint, small, a little brighter middle, eastern of 2</t>
  </si>
  <si>
    <t>vF, S, lbM, f of 2</t>
  </si>
  <si>
    <t>NGC7243</t>
  </si>
  <si>
    <t>22h15m8.5s</t>
  </si>
  <si>
    <t>+49h53m51s</t>
  </si>
  <si>
    <t>a cluster, large, poor, a little compressed, stars very large (bright)</t>
  </si>
  <si>
    <t>Cl, L, P, lC, st vL</t>
  </si>
  <si>
    <t>NGC7244</t>
  </si>
  <si>
    <t>22h16m26.7s</t>
  </si>
  <si>
    <t>+16h28m18s</t>
  </si>
  <si>
    <t>NGC7245</t>
  </si>
  <si>
    <t>22h15m12s</t>
  </si>
  <si>
    <t>+54h20m36s</t>
  </si>
  <si>
    <t>a cluster, compressed, stars extremely small (faint)</t>
  </si>
  <si>
    <t>Cl, C, st eS</t>
  </si>
  <si>
    <t>NGC7246</t>
  </si>
  <si>
    <t>22h17m42.6s</t>
  </si>
  <si>
    <t>-15h34m12s</t>
  </si>
  <si>
    <t>very faint, small, very little extended, very gradually brighter middle, 13th magnitude star to north</t>
  </si>
  <si>
    <t>vF, S, vlE, vgbM, * 13 n</t>
  </si>
  <si>
    <t>NGC7247</t>
  </si>
  <si>
    <t>22h17m41.1s</t>
  </si>
  <si>
    <t>-23h43m50s</t>
  </si>
  <si>
    <t>pretty faint, very small, round, a little brighter middle, bright double star 13 seconds of time to west</t>
  </si>
  <si>
    <t>pF, vS, R, lbM, B D * p 13s</t>
  </si>
  <si>
    <t>NGC7248</t>
  </si>
  <si>
    <t>22h16m52.5s</t>
  </si>
  <si>
    <t>+40h30m19s</t>
  </si>
  <si>
    <t>NGC7249</t>
  </si>
  <si>
    <t>22h20m30.9s</t>
  </si>
  <si>
    <t>-55h7m29s</t>
  </si>
  <si>
    <t>most extremely faint, round, doubtful object</t>
  </si>
  <si>
    <t>eeF, R, doubtful object</t>
  </si>
  <si>
    <t>NGC7250</t>
  </si>
  <si>
    <t>22h18m17.7s</t>
  </si>
  <si>
    <t>+40h33m47s</t>
  </si>
  <si>
    <t>very faint, small, much extended 165°±</t>
  </si>
  <si>
    <t>vF, S, mE 165° ±</t>
  </si>
  <si>
    <t>NGC7251</t>
  </si>
  <si>
    <t>22h20m27.2s</t>
  </si>
  <si>
    <t>-15h46m23s</t>
  </si>
  <si>
    <t>faint, pretty small, round, gradually pretty much brighter middle</t>
  </si>
  <si>
    <t>F, pS, R, gpmbM</t>
  </si>
  <si>
    <t>NGC7252</t>
  </si>
  <si>
    <t>核和平星系</t>
  </si>
  <si>
    <t>22h20m44.8s</t>
  </si>
  <si>
    <t>-24h40m42s</t>
  </si>
  <si>
    <t>faint, small, round, extremely mottled but not resolved</t>
  </si>
  <si>
    <t>F, S, R, er</t>
  </si>
  <si>
    <t>NGC7253</t>
  </si>
  <si>
    <t>22h19m27.3s</t>
  </si>
  <si>
    <t>+29h23m49s</t>
  </si>
  <si>
    <t>very faint, pretty extended</t>
  </si>
  <si>
    <t>vF, pE</t>
  </si>
  <si>
    <t>NGC7254</t>
  </si>
  <si>
    <t>22h22m36s</t>
  </si>
  <si>
    <t>-21h44m5s</t>
  </si>
  <si>
    <t>very faint, very small, round, 11th magnitude star 4.5 arcmin to west</t>
  </si>
  <si>
    <t>vF, vS, R, * 11 p 4'.5</t>
  </si>
  <si>
    <t>NGC7255</t>
  </si>
  <si>
    <t>22h23m8s</t>
  </si>
  <si>
    <t>-15h32m28s</t>
  </si>
  <si>
    <t>extremely faint, large, much extended 30°, suddenly brighter middle and nucleus</t>
  </si>
  <si>
    <t>eF, L, mE 30°, sbMN</t>
  </si>
  <si>
    <t>NGC7256</t>
  </si>
  <si>
    <t>3 F st in F neb</t>
  </si>
  <si>
    <t>NGC7257</t>
  </si>
  <si>
    <t>22h22m36.5s</t>
  </si>
  <si>
    <t>-4h7m15s</t>
  </si>
  <si>
    <t>NGC7258</t>
  </si>
  <si>
    <t>22h22m58.1s</t>
  </si>
  <si>
    <t>-28h20m43s</t>
  </si>
  <si>
    <t>very faint, small, extended, gradually a little brighter middle, binuclear?</t>
  </si>
  <si>
    <t>vF, S, E, glbM, ? biN</t>
  </si>
  <si>
    <t>NGC7259</t>
  </si>
  <si>
    <t>22h23m5.6s</t>
  </si>
  <si>
    <t>-28h57m16s</t>
  </si>
  <si>
    <t>extremely faint, pretty large, round, very little brighter middle</t>
  </si>
  <si>
    <t>NGC7260</t>
  </si>
  <si>
    <t>NGC7261</t>
  </si>
  <si>
    <t>22h20m10s</t>
  </si>
  <si>
    <t>+58h6m36s</t>
  </si>
  <si>
    <t>NGC7262</t>
  </si>
  <si>
    <t>22h23m28.4s</t>
  </si>
  <si>
    <t>-32h21m53s</t>
  </si>
  <si>
    <t>NGC7263</t>
  </si>
  <si>
    <t>22h21m45.2s</t>
  </si>
  <si>
    <t>+36h20m59s</t>
  </si>
  <si>
    <t>NGC7264</t>
  </si>
  <si>
    <t>22h22m13.5s</t>
  </si>
  <si>
    <t>+36h23m13s</t>
  </si>
  <si>
    <t>NGC7265</t>
  </si>
  <si>
    <t>22h22m27.5s</t>
  </si>
  <si>
    <t>+36h12m37s</t>
  </si>
  <si>
    <t>NGC7266</t>
  </si>
  <si>
    <t>22h23m59s</t>
  </si>
  <si>
    <t>-4h4m23s</t>
  </si>
  <si>
    <t>F, vS, R, alm stellar</t>
  </si>
  <si>
    <t>NGC7267</t>
  </si>
  <si>
    <t>22h24m21.5s</t>
  </si>
  <si>
    <t>-33h41m36s</t>
  </si>
  <si>
    <t>considerably bright, pretty small, very little extended, gradually a little brighter middle, bright triple star to southwest</t>
  </si>
  <si>
    <t>cB, pS, vlE, glbM, B *** sp</t>
  </si>
  <si>
    <t>NGC7268</t>
  </si>
  <si>
    <t>22h25m40.6s</t>
  </si>
  <si>
    <t>-31h12m4s</t>
  </si>
  <si>
    <t>faint, considerably small, very little extended, western of 2</t>
  </si>
  <si>
    <t>F, cS, vlE, p of 2</t>
  </si>
  <si>
    <t>NGC7269</t>
  </si>
  <si>
    <t>22h25m46.8s</t>
  </si>
  <si>
    <t>-13h10m1s</t>
  </si>
  <si>
    <t>NGC7270</t>
  </si>
  <si>
    <t>22h23m47.5s</t>
  </si>
  <si>
    <t>+32h24m11s</t>
  </si>
  <si>
    <t>NGC7271</t>
  </si>
  <si>
    <t>22h23m57.5s</t>
  </si>
  <si>
    <t>+32h22m3s</t>
  </si>
  <si>
    <t>NGC7272</t>
  </si>
  <si>
    <t>22h24m31.6s</t>
  </si>
  <si>
    <t>+16h35m19s</t>
  </si>
  <si>
    <t>NGC7273</t>
  </si>
  <si>
    <t>22h24m9.1s</t>
  </si>
  <si>
    <t>+36h12m1s</t>
  </si>
  <si>
    <t>NGC7274</t>
  </si>
  <si>
    <t>22h24m11s</t>
  </si>
  <si>
    <t>+36h7m35s</t>
  </si>
  <si>
    <t>NGC7275</t>
  </si>
  <si>
    <t>22h24m17.3s</t>
  </si>
  <si>
    <t>+32h26m49s</t>
  </si>
  <si>
    <t>extremely faint, small, much extended</t>
  </si>
  <si>
    <t>eF, S, mE</t>
  </si>
  <si>
    <t>NGC7276</t>
  </si>
  <si>
    <t>22h24m14.3s</t>
  </si>
  <si>
    <t>+36h5m17s</t>
  </si>
  <si>
    <t>NGC7277</t>
  </si>
  <si>
    <t>22h26m10.9s</t>
  </si>
  <si>
    <t>-31h8m45s</t>
  </si>
  <si>
    <t>faint, considerably small, very little extended, eastern of 2</t>
  </si>
  <si>
    <t>F, cS, vlE, f of 2</t>
  </si>
  <si>
    <t>NGC7278</t>
  </si>
  <si>
    <t>22h28m22.6s</t>
  </si>
  <si>
    <t>-60h10m10s</t>
  </si>
  <si>
    <t>most extremely faint, a little extended, very gradually a very little brighter middle, 3 stars to southeast</t>
  </si>
  <si>
    <t>eeF, lE, vgvlbM, 3 st sf</t>
  </si>
  <si>
    <t>NGC7279</t>
  </si>
  <si>
    <t>22h27m12.6s</t>
  </si>
  <si>
    <t>-35h8m24s</t>
  </si>
  <si>
    <t>very faint, pretty small, round, very gradually a very little brighter middle</t>
  </si>
  <si>
    <t>vF, pS, R, vgvlbM</t>
  </si>
  <si>
    <t>NGC7280</t>
  </si>
  <si>
    <t>22h26m27.6s</t>
  </si>
  <si>
    <t>+16h8m54s</t>
  </si>
  <si>
    <t>faint, considerably small, round, gradually brighter middle equivalent to a small (faint) star, 3 stars to north and northeast</t>
  </si>
  <si>
    <t>F, cS, R, gbMS *, 3 st n, nf</t>
  </si>
  <si>
    <t>NGC7281</t>
  </si>
  <si>
    <t>22h24m55.7s</t>
  </si>
  <si>
    <t>+57h50m25s</t>
  </si>
  <si>
    <t>a cluster, large, pretty rich, a little compressed, stars from 10th to 16th magnitude</t>
  </si>
  <si>
    <t>Cl, L, pRi, lC, st 10…16</t>
  </si>
  <si>
    <t>NGC7282</t>
  </si>
  <si>
    <t>22h25m53.9s</t>
  </si>
  <si>
    <t>+40h18m56s</t>
  </si>
  <si>
    <t>extremely faint, pretty large, diffuse, between 3 stars</t>
  </si>
  <si>
    <t>eF, pL, dif, bet 3 st</t>
  </si>
  <si>
    <t>NGC7283</t>
  </si>
  <si>
    <t>22h28m32.7s</t>
  </si>
  <si>
    <t>+17h28m15s</t>
  </si>
  <si>
    <t>NGC7284</t>
  </si>
  <si>
    <t>22h28m35.8s</t>
  </si>
  <si>
    <t>-24h50m40s</t>
  </si>
  <si>
    <t>considerably faint, considerably small, a little extended, mottled but not resolved, double star involved</t>
  </si>
  <si>
    <t>cF, cS, lE, r, D * inv</t>
  </si>
  <si>
    <t>NGC7285</t>
  </si>
  <si>
    <t>22h28m37.8s</t>
  </si>
  <si>
    <t>-24h50m26s</t>
  </si>
  <si>
    <t>Neb * 1' dist from h 3943</t>
  </si>
  <si>
    <t>NGC7286</t>
  </si>
  <si>
    <t>22h27m50.5s</t>
  </si>
  <si>
    <t>+29h5m48s</t>
  </si>
  <si>
    <t>very faint, small, round, among stars</t>
  </si>
  <si>
    <t>vF, S, R, am st</t>
  </si>
  <si>
    <t>NGC7287</t>
  </si>
  <si>
    <t>22h28m32s</t>
  </si>
  <si>
    <t>-22h8m0s</t>
  </si>
  <si>
    <t>extremely faint, slightly nebulous double star</t>
  </si>
  <si>
    <t>eF, slightly nebs D *</t>
  </si>
  <si>
    <t>NGC7288</t>
  </si>
  <si>
    <t>22h28m14.9s</t>
  </si>
  <si>
    <t>-2h53m5s</t>
  </si>
  <si>
    <t>NGC7289</t>
  </si>
  <si>
    <t>22h29m20.1s</t>
  </si>
  <si>
    <t>-35h28m19s</t>
  </si>
  <si>
    <t>NGC7290</t>
  </si>
  <si>
    <t>22h28m26.5s</t>
  </si>
  <si>
    <t>+17h8m52s</t>
  </si>
  <si>
    <t>NGC7291</t>
  </si>
  <si>
    <t>22h28m29.4s</t>
  </si>
  <si>
    <t>+16h47m1s</t>
  </si>
  <si>
    <t>extremely faint, extremely small, round, suddenly much brighter middle</t>
  </si>
  <si>
    <t>eF, eS, R, smbM</t>
  </si>
  <si>
    <t>NGC7292</t>
  </si>
  <si>
    <t>22h28m25.7s</t>
  </si>
  <si>
    <t>+30h17m35s</t>
  </si>
  <si>
    <t>extremely faint, small, oval, faint star involved</t>
  </si>
  <si>
    <t>eF, S, oval, F * inv</t>
  </si>
  <si>
    <t>NGC7293</t>
  </si>
  <si>
    <t>螺旋星云</t>
  </si>
  <si>
    <t>22h29m38.4s</t>
  </si>
  <si>
    <t>-20h50m11s</t>
  </si>
  <si>
    <t>a remarkable object, pretty faint, very large, extended or binuclear (Auwers 48)</t>
  </si>
  <si>
    <t>! pF, vL, E or biN (Auw 48)</t>
  </si>
  <si>
    <t>NGC7294</t>
  </si>
  <si>
    <t>22h32m7.8s</t>
  </si>
  <si>
    <t>-25h23m53s</t>
  </si>
  <si>
    <t>NGC7295</t>
  </si>
  <si>
    <t>22h28m2s</t>
  </si>
  <si>
    <t>+52h17m18s</t>
  </si>
  <si>
    <t>a cluster, poor, a little compressed, stars from 12th to 13th magnitude</t>
  </si>
  <si>
    <t>Cl, P, lC, st 12…13</t>
  </si>
  <si>
    <t>NGC7296</t>
  </si>
  <si>
    <t>Cl, iR, lC, st vS</t>
  </si>
  <si>
    <t>NGC7297</t>
  </si>
  <si>
    <t>22h31m10.2s</t>
  </si>
  <si>
    <t>-37h49m37s</t>
  </si>
  <si>
    <t>NGC7298</t>
  </si>
  <si>
    <t>22h30m50.6s</t>
  </si>
  <si>
    <t>-14h11m19s</t>
  </si>
  <si>
    <t>NGC7299</t>
  </si>
  <si>
    <t>22h31m33s</t>
  </si>
  <si>
    <t>-37h48m35s</t>
  </si>
  <si>
    <t>NGC7300</t>
  </si>
  <si>
    <t>22h30m59.9s</t>
  </si>
  <si>
    <t>-14h0m11s</t>
  </si>
  <si>
    <t>very faint, considerably small, extended, very gradually a little brighter middle</t>
  </si>
  <si>
    <t>vF, cS, E, vglbM</t>
  </si>
  <si>
    <t>NGC7301</t>
  </si>
  <si>
    <t>22h30m34.8s</t>
  </si>
  <si>
    <t>-17h34m25s</t>
  </si>
  <si>
    <t>NGC7302</t>
  </si>
  <si>
    <t>22h32m23.9s</t>
  </si>
  <si>
    <t>-14h7m15s</t>
  </si>
  <si>
    <t>faint, pretty small, round, very suddenly brighter middle and small nucleus</t>
  </si>
  <si>
    <t>F, pS, R, vsbMSN</t>
  </si>
  <si>
    <t>NGC7303</t>
  </si>
  <si>
    <t>+30h57m24s</t>
  </si>
  <si>
    <t>very faint, small, round, gradually a very little brighter middle</t>
  </si>
  <si>
    <t>vF, S, R, gvlbM</t>
  </si>
  <si>
    <t>NGC7304</t>
  </si>
  <si>
    <t>22h31m44.4s</t>
  </si>
  <si>
    <t>+30h58m49s</t>
  </si>
  <si>
    <t>very faint, pretty small, a very little brighter middle, northeast of h 2166(?)</t>
  </si>
  <si>
    <t>vF, pS, vlbM, nf h 2216 (?)</t>
  </si>
  <si>
    <t>NGC7305</t>
  </si>
  <si>
    <t>22h32m13.9s</t>
  </si>
  <si>
    <t>+11h42m46s</t>
  </si>
  <si>
    <t>extremely faint, small, round, 4 faint stars around</t>
  </si>
  <si>
    <t>eF, S, R, 4 F st around</t>
  </si>
  <si>
    <t>NGC7306</t>
  </si>
  <si>
    <t>22h33m16.4s</t>
  </si>
  <si>
    <t>-27h14m45s</t>
  </si>
  <si>
    <t>very faint, small, a little extended, 11th magnitude star to west</t>
  </si>
  <si>
    <t>vF, S, lE, * 11 p</t>
  </si>
  <si>
    <t>NGC7307</t>
  </si>
  <si>
    <t>22h33m52.4s</t>
  </si>
  <si>
    <t>-40h56m5s</t>
  </si>
  <si>
    <t>faint, pretty large, pretty much extended</t>
  </si>
  <si>
    <t>F, pL, pmE</t>
  </si>
  <si>
    <t>NGC7308</t>
  </si>
  <si>
    <t>22h34m32s</t>
  </si>
  <si>
    <t>-12h56m1s</t>
  </si>
  <si>
    <t>NGC7309</t>
  </si>
  <si>
    <t>22h34m20.6s</t>
  </si>
  <si>
    <t>-10h21m22s</t>
  </si>
  <si>
    <t>very faint, pretty large, round, gradually a little brighter middle, mottled but not resolved</t>
  </si>
  <si>
    <t>vF, pL, R, glbM, r</t>
  </si>
  <si>
    <t>NGC7310</t>
  </si>
  <si>
    <t>22h34m36.8s</t>
  </si>
  <si>
    <t>-22h29m6s</t>
  </si>
  <si>
    <t>very faint, pretty small, round, brighter middle and nucleus</t>
  </si>
  <si>
    <t>vF, pS, R, bMN</t>
  </si>
  <si>
    <t>NGC7311</t>
  </si>
  <si>
    <t>22h34m6.7s</t>
  </si>
  <si>
    <t>+5h34m12s</t>
  </si>
  <si>
    <t>pretty faint, small, pretty suddenly brighter middle, mottled but not resolved</t>
  </si>
  <si>
    <t>NGC7312</t>
  </si>
  <si>
    <t>22h34m34.9s</t>
  </si>
  <si>
    <t>+5h49m3s</t>
  </si>
  <si>
    <t>NGC7313</t>
  </si>
  <si>
    <t>22h35m32.4s</t>
  </si>
  <si>
    <t>-26h6m7s</t>
  </si>
  <si>
    <t>extremely faint, extended</t>
  </si>
  <si>
    <t>eF, E</t>
  </si>
  <si>
    <t>NGC7314</t>
  </si>
  <si>
    <t>22h35m45.9s</t>
  </si>
  <si>
    <t>-26h3m1s</t>
  </si>
  <si>
    <t>considerably faint, large, much extended 0°, a very little brighter middle</t>
  </si>
  <si>
    <t>cF, L, mE 0°, vlbM</t>
  </si>
  <si>
    <t>NGC7315</t>
  </si>
  <si>
    <t>22h35m31.6s</t>
  </si>
  <si>
    <t>+34h48m14s</t>
  </si>
  <si>
    <t>NGC7316</t>
  </si>
  <si>
    <t>22h35m56.2s</t>
  </si>
  <si>
    <t>+20h19m20s</t>
  </si>
  <si>
    <t>faint, small, round, 8th magnitude star to southwest</t>
  </si>
  <si>
    <t>F, S, R, * 8 sp</t>
  </si>
  <si>
    <t>NGC7317</t>
  </si>
  <si>
    <t>史蒂芬五重星系</t>
  </si>
  <si>
    <t>22h35m51.9s</t>
  </si>
  <si>
    <t>+33h56m43s</t>
  </si>
  <si>
    <t>NGC7318</t>
  </si>
  <si>
    <t>22h35m56.7s</t>
  </si>
  <si>
    <t>+33h57m58s</t>
  </si>
  <si>
    <t>NGC7319</t>
  </si>
  <si>
    <t>22h36m3.5s</t>
  </si>
  <si>
    <t>+33h58m35s</t>
  </si>
  <si>
    <t>NGC7320</t>
  </si>
  <si>
    <t>+33h56m54s</t>
  </si>
  <si>
    <t>NGC7321</t>
  </si>
  <si>
    <t>22h36m27.9s</t>
  </si>
  <si>
    <t>+21h37m19s</t>
  </si>
  <si>
    <t>faint, small, irregularly round, very gradually a very little brighter middle</t>
  </si>
  <si>
    <t>F, S, iR, vgvlbM</t>
  </si>
  <si>
    <t>NGC7322</t>
  </si>
  <si>
    <t>22h37m51.4s</t>
  </si>
  <si>
    <t>-37h13m53s</t>
  </si>
  <si>
    <t>NGC7323</t>
  </si>
  <si>
    <t>22h36m53.5s</t>
  </si>
  <si>
    <t>+19h8m40s</t>
  </si>
  <si>
    <t>pretty faint, pretty large, irregularly round</t>
  </si>
  <si>
    <t>pF, pL, iR</t>
  </si>
  <si>
    <t>NGC7324</t>
  </si>
  <si>
    <t>22h37m1s</t>
  </si>
  <si>
    <t>+19h8m48s</t>
  </si>
  <si>
    <t>very faint, very small, nebulous star</t>
  </si>
  <si>
    <t>vF, vS, neb *</t>
  </si>
  <si>
    <t>NGC7325</t>
  </si>
  <si>
    <t>22h36m48.6s</t>
  </si>
  <si>
    <t>+34h22m2s</t>
  </si>
  <si>
    <t>faint, very small, h 2172 to east</t>
  </si>
  <si>
    <t>F, vS, h 2172 f</t>
  </si>
  <si>
    <t>NGC7326</t>
  </si>
  <si>
    <t>22h36m52.1s</t>
  </si>
  <si>
    <t>+34h25m25s</t>
  </si>
  <si>
    <t>considerably faint, extremely small, h 2172 to east</t>
  </si>
  <si>
    <t>cF, eS, h 2172 f</t>
  </si>
  <si>
    <t>NGC7327</t>
  </si>
  <si>
    <t>22h37m24.6s</t>
  </si>
  <si>
    <t>+34h25m42s</t>
  </si>
  <si>
    <t>extremely faint, extremely small, northwest of h 2172</t>
  </si>
  <si>
    <t>eF, eS, np h 2172</t>
  </si>
  <si>
    <t>NGC7328</t>
  </si>
  <si>
    <t>22h37m29.2s</t>
  </si>
  <si>
    <t>+10h31m54s</t>
  </si>
  <si>
    <t>extremely faint, pretty small, a little extended 90°, very gradually a little brighter middle</t>
  </si>
  <si>
    <t>eF, pS, lE 90°, vglbM</t>
  </si>
  <si>
    <t>NGC7329</t>
  </si>
  <si>
    <t>22h40m24.2s</t>
  </si>
  <si>
    <t>pretty bright, pretty small, much extended 90°</t>
  </si>
  <si>
    <t>pB, pS, mE 90°</t>
  </si>
  <si>
    <t>NGC7330</t>
  </si>
  <si>
    <t>22h36m56.1s</t>
  </si>
  <si>
    <t>+38h32m53s</t>
  </si>
  <si>
    <t>NGC7331</t>
  </si>
  <si>
    <t>鹿舔星系群</t>
  </si>
  <si>
    <t>22h37m5.1s</t>
  </si>
  <si>
    <t>+34h25m13s</t>
  </si>
  <si>
    <t>bright, pretty large, pretty much extended 163°, suddenly much brighter middle</t>
  </si>
  <si>
    <t>B, pL, pmE 163°, smbM</t>
  </si>
  <si>
    <t>NGC7332</t>
  </si>
  <si>
    <t>+23h47m53s</t>
  </si>
  <si>
    <t>considerably bright, small, much extended 156°, suddenly much brighter middle and nucleus, western of 2</t>
  </si>
  <si>
    <t>cB, S, mE 156°, smbMN, p of 2</t>
  </si>
  <si>
    <t>NGC7333</t>
  </si>
  <si>
    <t>22h37m11.7s</t>
  </si>
  <si>
    <t>+34h26m15s</t>
  </si>
  <si>
    <t>very faint, very small, west of h 2174</t>
  </si>
  <si>
    <t>vF, vS, p h 2174</t>
  </si>
  <si>
    <t>NGC7334</t>
  </si>
  <si>
    <t>eeF (? = G.C. 4812)</t>
  </si>
  <si>
    <t>NGC7335</t>
  </si>
  <si>
    <t>22h37m19.5s</t>
  </si>
  <si>
    <t>+34h26m54s</t>
  </si>
  <si>
    <t>very faint, very small, B of 3rd Lord Rosse</t>
  </si>
  <si>
    <t>vF, vS (B of Ld R)</t>
  </si>
  <si>
    <t>NGC7336</t>
  </si>
  <si>
    <t>22h37m21.9s</t>
  </si>
  <si>
    <t>+34h28m56s</t>
  </si>
  <si>
    <t>extremely faint, very small, C</t>
  </si>
  <si>
    <t>eF, vS (C)</t>
  </si>
  <si>
    <t>NGC7337</t>
  </si>
  <si>
    <t>22h37m26.6s</t>
  </si>
  <si>
    <t>+34h22m26s</t>
  </si>
  <si>
    <t>extremely faint, small, stellar, E</t>
  </si>
  <si>
    <t>eF, S, stellar (E)</t>
  </si>
  <si>
    <t>NGC7338</t>
  </si>
  <si>
    <t>22h36m46.8s</t>
  </si>
  <si>
    <t>+34h27m47s</t>
  </si>
  <si>
    <t>extremely faint, extremely small, southeast of h 2174</t>
  </si>
  <si>
    <t>eF, eS, sf h 2174</t>
  </si>
  <si>
    <t>NGC7339</t>
  </si>
  <si>
    <t>22h37m47s</t>
  </si>
  <si>
    <t>+23h47m11s</t>
  </si>
  <si>
    <t>faint, pretty small, much extended 89°, very gradually a little brighter middle, eastern of 2</t>
  </si>
  <si>
    <t>F, pS, mE 89°, vglbM, f of 2</t>
  </si>
  <si>
    <t>NGC7340</t>
  </si>
  <si>
    <t>22h37m44.1s</t>
  </si>
  <si>
    <t>+34h24m38s</t>
  </si>
  <si>
    <t>very faint, very small, D of 3rd Lord Rosse</t>
  </si>
  <si>
    <t>vF, vS, (D of Ld R)</t>
  </si>
  <si>
    <t>NGC7341</t>
  </si>
  <si>
    <t>22h39m5.6s</t>
  </si>
  <si>
    <t>-22h39m59s</t>
  </si>
  <si>
    <t>pretty faint, pretty small, extended, a little brighter middle</t>
  </si>
  <si>
    <t>pF, pS, E, lbM</t>
  </si>
  <si>
    <t>NGC7342</t>
  </si>
  <si>
    <t>22h38m13.2s</t>
  </si>
  <si>
    <t>+35h29m55s</t>
  </si>
  <si>
    <t>NGC7343</t>
  </si>
  <si>
    <t>22h38m37.8s</t>
  </si>
  <si>
    <t>+34h4m18s</t>
  </si>
  <si>
    <t>extremely faint, very small, round, a little brighter middle, small (faint) star involved</t>
  </si>
  <si>
    <t>eF, vS, R, lbM, S * inv</t>
  </si>
  <si>
    <t>NGC7344</t>
  </si>
  <si>
    <t>22h39m36.1s</t>
  </si>
  <si>
    <t>-4h9m32s</t>
  </si>
  <si>
    <t>pretty faint, very small, round</t>
  </si>
  <si>
    <t>NGC7345</t>
  </si>
  <si>
    <t>22h38m44.9s</t>
  </si>
  <si>
    <t>+35h32m26s</t>
  </si>
  <si>
    <t>NGC7346</t>
  </si>
  <si>
    <t>22h39m35.4s</t>
  </si>
  <si>
    <t>+11h5m2s</t>
  </si>
  <si>
    <t>NGC7347</t>
  </si>
  <si>
    <t>22h39m56s</t>
  </si>
  <si>
    <t>+11h1m40s</t>
  </si>
  <si>
    <t>extremely faint, pretty large, extended</t>
  </si>
  <si>
    <t>eF, pL, E</t>
  </si>
  <si>
    <t>NGC7348</t>
  </si>
  <si>
    <t>22h40m36.2s</t>
  </si>
  <si>
    <t>+11h54m22s</t>
  </si>
  <si>
    <t>NGC7349</t>
  </si>
  <si>
    <t>22h41m14.7s</t>
  </si>
  <si>
    <t>-21h47m48s</t>
  </si>
  <si>
    <t>extremely faint, very small, extended 175°, binuclear, brighter on north side</t>
  </si>
  <si>
    <t>eF, vS, E 175°, biN, bn</t>
  </si>
  <si>
    <t>NGC7350</t>
  </si>
  <si>
    <t>22h40m48.2s</t>
  </si>
  <si>
    <t>+12h0m25s</t>
  </si>
  <si>
    <t>NGC7351</t>
  </si>
  <si>
    <t>22h41m26.9s</t>
  </si>
  <si>
    <t>-4h26m39s</t>
  </si>
  <si>
    <t>pretty faint, pretty small, round, brighter middle, mottled but not resolved</t>
  </si>
  <si>
    <t>pF, pS, R, bM, r</t>
  </si>
  <si>
    <t>NGC7352</t>
  </si>
  <si>
    <t>22h39m44.2s</t>
  </si>
  <si>
    <t>+57h23m6s</t>
  </si>
  <si>
    <t>a cluster, very large, pretty rich, very little compressed</t>
  </si>
  <si>
    <t>Cl, vL, pRi, vlC</t>
  </si>
  <si>
    <t>NGC7353</t>
  </si>
  <si>
    <t>22h42m12.5s</t>
  </si>
  <si>
    <t>NGC7354</t>
  </si>
  <si>
    <t>22h40m20s</t>
  </si>
  <si>
    <t>+61h17m10s</t>
  </si>
  <si>
    <t>a planetary nebula, bright, small, round, pretty gradually a very little brighter middle</t>
  </si>
  <si>
    <t>planetary, B, S, R, pgvlbM</t>
  </si>
  <si>
    <t>NGC7355</t>
  </si>
  <si>
    <t>22h43m30.4s</t>
  </si>
  <si>
    <t>-36h51m55s</t>
  </si>
  <si>
    <t>most extremely faint, small, round, double star 40 seconds of time to east</t>
  </si>
  <si>
    <t>eeF, S, R, D * f 40s</t>
  </si>
  <si>
    <t>NGC7356</t>
  </si>
  <si>
    <t>22h42m2.3s</t>
  </si>
  <si>
    <t>+30h42m34s</t>
  </si>
  <si>
    <t>extremely faint, pretty small, round, gradually a little brighter middle, star attached</t>
  </si>
  <si>
    <t>eF, pS, R, glbM, * att</t>
  </si>
  <si>
    <t>NGC7357</t>
  </si>
  <si>
    <t>22h42m23.9s</t>
  </si>
  <si>
    <t>+30h10m19s</t>
  </si>
  <si>
    <t>very faint, very small, very faint star involved</t>
  </si>
  <si>
    <t>vF, vS, vF * inv</t>
  </si>
  <si>
    <t>NGC7358</t>
  </si>
  <si>
    <t>22h45m36.3s</t>
  </si>
  <si>
    <t>-65h7m18s</t>
  </si>
  <si>
    <t>NGC7359</t>
  </si>
  <si>
    <t>22h44m47.9s</t>
  </si>
  <si>
    <t>-23h41m17s</t>
  </si>
  <si>
    <t>pretty faint, very small, pretty much extended, brighter middle and nucleus</t>
  </si>
  <si>
    <t>pF, vS, pmE, bMN</t>
  </si>
  <si>
    <t>NGC7360</t>
  </si>
  <si>
    <t>22h43m34.1s</t>
  </si>
  <si>
    <t>+4h9m7s</t>
  </si>
  <si>
    <t>NGC7361</t>
  </si>
  <si>
    <t>22h42m17.9s</t>
  </si>
  <si>
    <t>-30h3m27s</t>
  </si>
  <si>
    <t>faint, pretty large, very much extended 0°, very gradually a very little brighter middle</t>
  </si>
  <si>
    <t>F, pL, vmE 0°, vgvlbM</t>
  </si>
  <si>
    <t>NGC7362</t>
  </si>
  <si>
    <t>22h43m49.2s</t>
  </si>
  <si>
    <t>+8h42m21s</t>
  </si>
  <si>
    <t>NGC7363</t>
  </si>
  <si>
    <t>22h43m18.5s</t>
  </si>
  <si>
    <t>+33h59m55s</t>
  </si>
  <si>
    <t>pretty faint, pretty large, extended, double star to east</t>
  </si>
  <si>
    <t>pF, pL, E, D * f</t>
  </si>
  <si>
    <t>NGC7364</t>
  </si>
  <si>
    <t>22h44m24.2s</t>
  </si>
  <si>
    <t>-0h9m45s</t>
  </si>
  <si>
    <t>NGC7365</t>
  </si>
  <si>
    <t>22h45m10s</t>
  </si>
  <si>
    <t>-19h57m6s</t>
  </si>
  <si>
    <t>very faint, extremely small, round, gradually brighter middle and nucleus, 11th magnitude star 4' to northeast</t>
  </si>
  <si>
    <t>vF, eS, R, gbMN, * 11 nf 4'</t>
  </si>
  <si>
    <t>NGC7366</t>
  </si>
  <si>
    <t>22h44m26.6s</t>
  </si>
  <si>
    <t>+10h46m55s</t>
  </si>
  <si>
    <t>NGC7367</t>
  </si>
  <si>
    <t>22h44m34.2s</t>
  </si>
  <si>
    <t>+3h38m47s</t>
  </si>
  <si>
    <t>NGC7368</t>
  </si>
  <si>
    <t>22h45m31.4s</t>
  </si>
  <si>
    <t>-39h20m31s</t>
  </si>
  <si>
    <t>faint, considerably small, a little extended, gradually a little brighter middle</t>
  </si>
  <si>
    <t>F, cS, lE, glbM</t>
  </si>
  <si>
    <t>NGC7369</t>
  </si>
  <si>
    <t>22h44m12.2s</t>
  </si>
  <si>
    <t>+34h21m6s</t>
  </si>
  <si>
    <t>pretty faint, between 2 faint stars</t>
  </si>
  <si>
    <t>pF, bet 2 F st</t>
  </si>
  <si>
    <t>NGC7370</t>
  </si>
  <si>
    <t>22h45m37.1s</t>
  </si>
  <si>
    <t>+11h3m30s</t>
  </si>
  <si>
    <t>NGC7371</t>
  </si>
  <si>
    <t>22h46m3.6s</t>
  </si>
  <si>
    <t>-11h0m2s</t>
  </si>
  <si>
    <t>NGC7372</t>
  </si>
  <si>
    <t>22h45m46s</t>
  </si>
  <si>
    <t>+11h7m53s</t>
  </si>
  <si>
    <t>NGC7373</t>
  </si>
  <si>
    <t>22h46m19.4s</t>
  </si>
  <si>
    <t>+3h12m36s</t>
  </si>
  <si>
    <t>faint, very small, brighter middle, stellar</t>
  </si>
  <si>
    <t>F, vS, bM, stellar</t>
  </si>
  <si>
    <t>NGC7374</t>
  </si>
  <si>
    <t>22h46m1.1s</t>
  </si>
  <si>
    <t>+10h51m13s</t>
  </si>
  <si>
    <t>NGC7375</t>
  </si>
  <si>
    <t>22h46m32s</t>
  </si>
  <si>
    <t>+21h5m3s</t>
  </si>
  <si>
    <t>NGC7376</t>
  </si>
  <si>
    <t>22h47m17.5s</t>
  </si>
  <si>
    <t>+3h38m43s</t>
  </si>
  <si>
    <t>NGC7377</t>
  </si>
  <si>
    <t>22h47m47.4s</t>
  </si>
  <si>
    <t>-22h18m41s</t>
  </si>
  <si>
    <t>pretty bright, small, very little extended, very gradually much brighter middle, 12th magnitude star to west</t>
  </si>
  <si>
    <t>pB, S, vlE, vgmbM, * 12 p</t>
  </si>
  <si>
    <t>NGC7378</t>
  </si>
  <si>
    <t>22h47m47.5s</t>
  </si>
  <si>
    <t>-11h49m0s</t>
  </si>
  <si>
    <t>NGC7379</t>
  </si>
  <si>
    <t>22h47m32.9s</t>
  </si>
  <si>
    <t>+40h14m21s</t>
  </si>
  <si>
    <t>NGC7380</t>
  </si>
  <si>
    <t>巫师星云</t>
  </si>
  <si>
    <t>III3pn</t>
  </si>
  <si>
    <t>22h47m21s</t>
  </si>
  <si>
    <t>+58h7m54s</t>
  </si>
  <si>
    <t>a cluster, pretty large, pretty rich, a little compressed, stars from 9th to 13th magnitude</t>
  </si>
  <si>
    <t>Cl, pL, pRi, lC, st 9…13</t>
  </si>
  <si>
    <t>NGC7381</t>
  </si>
  <si>
    <t>22h50m8.1s</t>
  </si>
  <si>
    <t>-19h43m29s</t>
  </si>
  <si>
    <t>NGC7382</t>
  </si>
  <si>
    <t>22h50m23.8s</t>
  </si>
  <si>
    <t>-36h51m25s</t>
  </si>
  <si>
    <t>extremely faint, very small, round, 12th magnitude star attached on northwest</t>
  </si>
  <si>
    <t>eF, vS, R, * 12 att np</t>
  </si>
  <si>
    <t>NGC7383</t>
  </si>
  <si>
    <t>22h49m35.5s</t>
  </si>
  <si>
    <t>+11h33m25s</t>
  </si>
  <si>
    <t>very faint, very small, round, (WH) III 216 to northeast</t>
  </si>
  <si>
    <t>vF, vS, R, III 216 nf</t>
  </si>
  <si>
    <t>NGC7384</t>
  </si>
  <si>
    <t>22h49m42.5s</t>
  </si>
  <si>
    <t>+11h29m17s</t>
  </si>
  <si>
    <t>extremely faint, 5' northeast of GC 4844</t>
  </si>
  <si>
    <t>eF, 5' nf G.C. 4844</t>
  </si>
  <si>
    <t>NGC7385</t>
  </si>
  <si>
    <t>NGC 7385 星系群</t>
  </si>
  <si>
    <t>22h49m54.6s</t>
  </si>
  <si>
    <t>+11h36m29s</t>
  </si>
  <si>
    <t>considerably faint, small, round, gradually a little brighter middle, 11th magnitude star to northwest</t>
  </si>
  <si>
    <t>cF, S, R, glbM * 11 np</t>
  </si>
  <si>
    <t>NGC7386</t>
  </si>
  <si>
    <t>22h50m2s</t>
  </si>
  <si>
    <t>+11h41m53s</t>
  </si>
  <si>
    <t>considerably faint, small, round, pretty gradually brighter middle, eastern of 2</t>
  </si>
  <si>
    <t>cF, S, R, pgbM, f of 2</t>
  </si>
  <si>
    <t>NGC7387</t>
  </si>
  <si>
    <t>22h50m17.6s</t>
  </si>
  <si>
    <t>+11h38m14s</t>
  </si>
  <si>
    <t>extremely faint, very small, round, two 11th magnitude stars to south</t>
  </si>
  <si>
    <t>eF, vS, R, 2 st 11 s</t>
  </si>
  <si>
    <t>NGC7388</t>
  </si>
  <si>
    <t>22h50m21s</t>
  </si>
  <si>
    <t>+11h42m41s</t>
  </si>
  <si>
    <t>very faint, 11th magnitude star 2.5 arcmin to east</t>
  </si>
  <si>
    <t>vF, * 11 f 2'.5</t>
  </si>
  <si>
    <t>NGC7389</t>
  </si>
  <si>
    <t>22h50m16s</t>
  </si>
  <si>
    <t>+11h34m0s</t>
  </si>
  <si>
    <t>NGC7390</t>
  </si>
  <si>
    <t>22h50m19.5s</t>
  </si>
  <si>
    <t>+11h31m52s</t>
  </si>
  <si>
    <t>extremely faint, south of GC 4848</t>
  </si>
  <si>
    <t>eF, s of G.C. 4848</t>
  </si>
  <si>
    <t>NGC7391</t>
  </si>
  <si>
    <t>22h50m36s</t>
  </si>
  <si>
    <t>-1h32m41s</t>
  </si>
  <si>
    <t>considerably faint, considerably small, round, suddenly brighter middle equal to a 13th magnitude star, star to the northwest</t>
  </si>
  <si>
    <t>cF, cS, R, sbM * 13, * np</t>
  </si>
  <si>
    <t>NGC7392</t>
  </si>
  <si>
    <t>22h51m48.6s</t>
  </si>
  <si>
    <t>-20h36m31s</t>
  </si>
  <si>
    <t>pretty bright, pretty small, a little extended 120°, much brighter middle</t>
  </si>
  <si>
    <t>pB, pS, lE 120°, mbM</t>
  </si>
  <si>
    <t>NGC7393</t>
  </si>
  <si>
    <t>22h51m38.2s</t>
  </si>
  <si>
    <t>-5h33m26s</t>
  </si>
  <si>
    <t>NGC7394</t>
  </si>
  <si>
    <t>22h50m12s</t>
  </si>
  <si>
    <t>+52h10m8s</t>
  </si>
  <si>
    <t>a cluster, very poor</t>
  </si>
  <si>
    <t>Cl, vP</t>
  </si>
  <si>
    <t>NGC7395</t>
  </si>
  <si>
    <t>22h51m2.8s</t>
  </si>
  <si>
    <t>+37h5m18s</t>
  </si>
  <si>
    <t>NGC7396</t>
  </si>
  <si>
    <t>22h52m22.6s</t>
  </si>
  <si>
    <t>+1h5m32s</t>
  </si>
  <si>
    <t>NGC7397</t>
  </si>
  <si>
    <t>22h52m46.6s</t>
  </si>
  <si>
    <t>+1h7m57s</t>
  </si>
  <si>
    <t>NGC7398</t>
  </si>
  <si>
    <t>22h52m49.2s</t>
  </si>
  <si>
    <t>+1h12m6s</t>
  </si>
  <si>
    <t>NGC7399</t>
  </si>
  <si>
    <t>22h52m39.3s</t>
  </si>
  <si>
    <t>-9h16m3s</t>
  </si>
  <si>
    <t>NGC7400</t>
  </si>
  <si>
    <t>22h54m20.8s</t>
  </si>
  <si>
    <t>-45h20m50s</t>
  </si>
  <si>
    <t>pretty faint, a little extended, gradually a little brighter middle, very small (faint) star involved</t>
  </si>
  <si>
    <t>pF, lE, glbM, vS * inv</t>
  </si>
  <si>
    <t>NGC7401</t>
  </si>
  <si>
    <t>22h52m58.5s</t>
  </si>
  <si>
    <t>+1h8m33s</t>
  </si>
  <si>
    <t>NGC7402</t>
  </si>
  <si>
    <t>22h53m4.4s</t>
  </si>
  <si>
    <t>+1h8m42s</t>
  </si>
  <si>
    <t>NGC7403</t>
  </si>
  <si>
    <t>22h53m6.3s</t>
  </si>
  <si>
    <t>+1h28m56s</t>
  </si>
  <si>
    <t>a slightly nebulous star</t>
  </si>
  <si>
    <t>* slightly nebulous</t>
  </si>
  <si>
    <t>NGC7404</t>
  </si>
  <si>
    <t>22h54m18.6s</t>
  </si>
  <si>
    <t>-39h18m53s</t>
  </si>
  <si>
    <t>NGC7405</t>
  </si>
  <si>
    <t>22h53m36s</t>
  </si>
  <si>
    <t>+12h28m36s</t>
  </si>
  <si>
    <t>NGC7406</t>
  </si>
  <si>
    <t>22h53m56.4s</t>
  </si>
  <si>
    <t>-6h34m44s</t>
  </si>
  <si>
    <t>NGC7407</t>
  </si>
  <si>
    <t>22h53m21s</t>
  </si>
  <si>
    <t>+32h7m47s</t>
  </si>
  <si>
    <t>NGC7408</t>
  </si>
  <si>
    <t>22h55m56.7s</t>
  </si>
  <si>
    <t>-63h41m43s</t>
  </si>
  <si>
    <t>pretty bright, pretty small, round, very gradually a little brighter middle</t>
  </si>
  <si>
    <t>pB, pS, R, vglbM</t>
  </si>
  <si>
    <t>NGC7409</t>
  </si>
  <si>
    <t>22h53m48s</t>
  </si>
  <si>
    <t>+20h12m39s</t>
  </si>
  <si>
    <t>NGC7410</t>
  </si>
  <si>
    <t>22h55m0.6s</t>
  </si>
  <si>
    <t>-39h39m44s</t>
  </si>
  <si>
    <t>considerably bright, large, very much extended 43°, much brighter middle</t>
  </si>
  <si>
    <t>cB, L, vmE 43°, mbM</t>
  </si>
  <si>
    <t>NGC7411</t>
  </si>
  <si>
    <t>22h54m34.8s</t>
  </si>
  <si>
    <t>+20h14m12s</t>
  </si>
  <si>
    <t>NGC7412</t>
  </si>
  <si>
    <t>22h55m46.1s</t>
  </si>
  <si>
    <t>-42h38m29s</t>
  </si>
  <si>
    <t>extremely faint, very large, 7th magnitude star to northeast</t>
  </si>
  <si>
    <t>eF, vL, * 7 nf</t>
  </si>
  <si>
    <t>NGC7413</t>
  </si>
  <si>
    <t>22h55m3s</t>
  </si>
  <si>
    <t>+13h13m16s</t>
  </si>
  <si>
    <t>most extremely faint, pretty small, round, very difficult, southern of 2</t>
  </si>
  <si>
    <t>eeF, pS, R, v diffic, s of 2</t>
  </si>
  <si>
    <t>NGC7414</t>
  </si>
  <si>
    <t>22h55m24.3s</t>
  </si>
  <si>
    <t>+13h14m56s</t>
  </si>
  <si>
    <t>most extremely faint, small, round, very difficult, northern of 2</t>
  </si>
  <si>
    <t>eeF, S, R, v diffic, n of 2</t>
  </si>
  <si>
    <t>NGC7415</t>
  </si>
  <si>
    <t>22h54m51.7s</t>
  </si>
  <si>
    <t>+20h15m44s</t>
  </si>
  <si>
    <t>NGC7416</t>
  </si>
  <si>
    <t>22h55m41.6s</t>
  </si>
  <si>
    <t>-5h29m42s</t>
  </si>
  <si>
    <t>faint, pretty large, pretty much extended, very gradually brighter middle</t>
  </si>
  <si>
    <t>F, pL, pmE, vgbM</t>
  </si>
  <si>
    <t>NGC7417</t>
  </si>
  <si>
    <t>22h57m49.1s</t>
  </si>
  <si>
    <t>-65h2m18s</t>
  </si>
  <si>
    <t>pretty bright, considerably small, round, gradually pretty much brighter middle</t>
  </si>
  <si>
    <t>pB, cS, R, gpmbM</t>
  </si>
  <si>
    <t>NGC7418</t>
  </si>
  <si>
    <t>22h56m35.9s</t>
  </si>
  <si>
    <t>-37h1m44s</t>
  </si>
  <si>
    <t>considerably bright, very large, very little extended, very gradually a little brighter middle</t>
  </si>
  <si>
    <t>cB, vL, vlE, vglbM</t>
  </si>
  <si>
    <t>NGC7419</t>
  </si>
  <si>
    <t>22h54m20s</t>
  </si>
  <si>
    <t>+60h48m56s</t>
  </si>
  <si>
    <t>a cluster, pretty rich, considerably compressed</t>
  </si>
  <si>
    <t>Cl, pRi, cC</t>
  </si>
  <si>
    <t>NGC7420</t>
  </si>
  <si>
    <t>22h55m32s</t>
  </si>
  <si>
    <t>+29h48m20s</t>
  </si>
  <si>
    <t>NGC7421</t>
  </si>
  <si>
    <t>22h56m54.6s</t>
  </si>
  <si>
    <t>-37h20m42s</t>
  </si>
  <si>
    <t>considerably bright, large, very little extended, gradually pretty much brighter middle, partially resolved (some stars seen)</t>
  </si>
  <si>
    <t>cB, L, vlE, gpmbM, rr</t>
  </si>
  <si>
    <t>NGC7422</t>
  </si>
  <si>
    <t>22h56m12.3s</t>
  </si>
  <si>
    <t>+3h55m37s</t>
  </si>
  <si>
    <t>NGC7423</t>
  </si>
  <si>
    <t>22h55m6.5s</t>
  </si>
  <si>
    <t>+57h5m41s</t>
  </si>
  <si>
    <t>very faint, pretty large, irregular figure, extremely mottled but not resolved</t>
  </si>
  <si>
    <t>vF, pL, iF, er</t>
  </si>
  <si>
    <t>NGC7424</t>
  </si>
  <si>
    <t>大设计星系</t>
  </si>
  <si>
    <t>22h57m18.4s</t>
  </si>
  <si>
    <t>-41h4m15s</t>
  </si>
  <si>
    <t>faint, considerably large, very little extended, very gradually much brighter middle</t>
  </si>
  <si>
    <t>F, cL, vlE, vgmbM</t>
  </si>
  <si>
    <t>NGC7425</t>
  </si>
  <si>
    <t>22h57m15.6s</t>
  </si>
  <si>
    <t>-10h57m0s</t>
  </si>
  <si>
    <t>extremely faint, very little extended, 10th magnitude star 4' to west</t>
  </si>
  <si>
    <t>eF, vlE, * 10 p 4'</t>
  </si>
  <si>
    <t>NGC7426</t>
  </si>
  <si>
    <t>22h56m3s</t>
  </si>
  <si>
    <t>+36h21m44s</t>
  </si>
  <si>
    <t>very faint, considerably small, round, stellar, double star to west</t>
  </si>
  <si>
    <t>vF, cS, R, stellar, D * p</t>
  </si>
  <si>
    <t>NGC7427</t>
  </si>
  <si>
    <t>22h57m9.8s</t>
  </si>
  <si>
    <t>+8h30m22s</t>
  </si>
  <si>
    <t>faint, small, 9th magnitude star 4' to southeast</t>
  </si>
  <si>
    <t>F, S, * 9 sf 4'</t>
  </si>
  <si>
    <t>NGC7428</t>
  </si>
  <si>
    <t>22h57m19.5s</t>
  </si>
  <si>
    <t>-1h2m57s</t>
  </si>
  <si>
    <t>NGC7429</t>
  </si>
  <si>
    <t>22h56m0s</t>
  </si>
  <si>
    <t>+59h58m24s</t>
  </si>
  <si>
    <t>a cluster, poor, pretty compressed, stars from 9th to 11th magnitude</t>
  </si>
  <si>
    <t>Cl, P, pC, st 9…11</t>
  </si>
  <si>
    <t>NGC7430</t>
  </si>
  <si>
    <t>22h57m29.7s</t>
  </si>
  <si>
    <t>+8h47m40s</t>
  </si>
  <si>
    <t>NGC7431</t>
  </si>
  <si>
    <t>C+*?</t>
  </si>
  <si>
    <t>22h57m38.8s</t>
  </si>
  <si>
    <t>+26h9m52s</t>
  </si>
  <si>
    <t>NGC7432</t>
  </si>
  <si>
    <t>22h58m2.2s</t>
  </si>
  <si>
    <t>+13h8m4s</t>
  </si>
  <si>
    <t>NGC7433</t>
  </si>
  <si>
    <t>22h57m51.7s</t>
  </si>
  <si>
    <t>+26h9m44s</t>
  </si>
  <si>
    <t>extremely faint, very small, west of h 2195</t>
  </si>
  <si>
    <t>eF, vS, p h 2195</t>
  </si>
  <si>
    <t>NGC7434</t>
  </si>
  <si>
    <t>22h58m21.4s</t>
  </si>
  <si>
    <t>-1h11m0s</t>
  </si>
  <si>
    <t>NGC7435</t>
  </si>
  <si>
    <t>22h57m54.4s</t>
  </si>
  <si>
    <t>+26h8m20s</t>
  </si>
  <si>
    <t>extremely faint, south of h 2195</t>
  </si>
  <si>
    <t>eF, s of h 2195</t>
  </si>
  <si>
    <t>NGC7436</t>
  </si>
  <si>
    <t>22h57m56.2s</t>
  </si>
  <si>
    <t>+26h8m59s</t>
  </si>
  <si>
    <t>faint, pretty small, faint star attached on west, gradually brighter middle</t>
  </si>
  <si>
    <t>F, pS, F * att p, gbM</t>
  </si>
  <si>
    <t>NGC7437</t>
  </si>
  <si>
    <t>22h58m10.1s</t>
  </si>
  <si>
    <t>+14h18m31s</t>
  </si>
  <si>
    <t>most extremely faint, large, round, faint star near on northeast, very difficult</t>
  </si>
  <si>
    <t>eeF, L, R, F * nr nf, v diffic</t>
  </si>
  <si>
    <t>NGC7438</t>
  </si>
  <si>
    <t>22h57m20s</t>
  </si>
  <si>
    <t>+54h18m38s</t>
  </si>
  <si>
    <t>a cluster, very large, extended</t>
  </si>
  <si>
    <t>Cl, vL, E</t>
  </si>
  <si>
    <t>NGC7439</t>
  </si>
  <si>
    <t>22h58m9.9s</t>
  </si>
  <si>
    <t>+29h13m44s</t>
  </si>
  <si>
    <t>a long patch of faint nebulosity</t>
  </si>
  <si>
    <t>Long patch of F neby</t>
  </si>
  <si>
    <t>NGC7440</t>
  </si>
  <si>
    <t>22h58m32.5s</t>
  </si>
  <si>
    <t>+35h48m11s</t>
  </si>
  <si>
    <t>eF, s, iR</t>
  </si>
  <si>
    <t>NGC7441</t>
  </si>
  <si>
    <t>22h56m41.4s</t>
  </si>
  <si>
    <t>-7h22m47s</t>
  </si>
  <si>
    <t>very faint, pretty small, irregularly round, 10th magnitude star to west, PD ?</t>
  </si>
  <si>
    <t>vF, pS, iR, * 10 p (? PD)</t>
  </si>
  <si>
    <t>NGC7442</t>
  </si>
  <si>
    <t>22h59m26.6s</t>
  </si>
  <si>
    <t>+15h32m54s</t>
  </si>
  <si>
    <t>pretty faint, round, between two 16th magnitude stars, 13th magnitude star to northeast</t>
  </si>
  <si>
    <t>pF, R, bet 2 st 16, * 13 nf</t>
  </si>
  <si>
    <t>NGC7443</t>
  </si>
  <si>
    <t>23h0m8.7s</t>
  </si>
  <si>
    <t>-12h48m28s</t>
  </si>
  <si>
    <t>faint, very small, very little extended, suddenly much brighter middle, extremely mottled but not resolved, northern of 2</t>
  </si>
  <si>
    <t>F, vS, vlE, smbM, er, n of 2</t>
  </si>
  <si>
    <t>NGC7444</t>
  </si>
  <si>
    <t>23h0m8.8s</t>
  </si>
  <si>
    <t>-12h50m3s</t>
  </si>
  <si>
    <t>faint, very small, very little extended, suddenly much brighter middle, extremely mottled but not resolved, southern of 2</t>
  </si>
  <si>
    <t>F, vS, vlE, smbM, er, s of 2</t>
  </si>
  <si>
    <t>NGC7445</t>
  </si>
  <si>
    <t>22h59m22.4s</t>
  </si>
  <si>
    <t>+39h6m29s</t>
  </si>
  <si>
    <t>NGC7446</t>
  </si>
  <si>
    <t>22h59m28.9s</t>
  </si>
  <si>
    <t>+39h5m0s</t>
  </si>
  <si>
    <t>extremely faint, very small, round, mottled but not resolved</t>
  </si>
  <si>
    <t>eF, vS, R, r</t>
  </si>
  <si>
    <t>NGC7447</t>
  </si>
  <si>
    <t>23h0m26s</t>
  </si>
  <si>
    <t>-10h31m39s</t>
  </si>
  <si>
    <t>an 11th or 12th magnitude star in a nebula (Auwers 49)</t>
  </si>
  <si>
    <t>* 11·12 in neb (Auw 49)</t>
  </si>
  <si>
    <t>NGC7448</t>
  </si>
  <si>
    <t>23h0m3.6s</t>
  </si>
  <si>
    <t>+15h58m48s</t>
  </si>
  <si>
    <t>pretty bright, large, extended 173, very gradually brighter middle, 11th magnitude star 2.5 arcmin to east</t>
  </si>
  <si>
    <t>pB, L, E 173°, vgbM, * 11 f 2'.5</t>
  </si>
  <si>
    <t>NGC7449</t>
  </si>
  <si>
    <t>22h59m37.6s</t>
  </si>
  <si>
    <t>+39h8m45s</t>
  </si>
  <si>
    <t>very faint, small, round, very small (faint) star in center</t>
  </si>
  <si>
    <t>vF, S, R, vS * in centre</t>
  </si>
  <si>
    <t>NGC7450</t>
  </si>
  <si>
    <t>23h0m47.7s</t>
  </si>
  <si>
    <t>-12h55m4s</t>
  </si>
  <si>
    <t>NGC7451</t>
  </si>
  <si>
    <t>23h0m40.6s</t>
  </si>
  <si>
    <t>+8h28m3s</t>
  </si>
  <si>
    <t>pretty faint, pretty large, 10th or 11th magnitude star 2 arcmin to southwest</t>
  </si>
  <si>
    <t>pF, pL, * 10·11 sp 2'</t>
  </si>
  <si>
    <t>NGC7452</t>
  </si>
  <si>
    <t>23h0m47.5s</t>
  </si>
  <si>
    <t>+6h44m45s</t>
  </si>
  <si>
    <t>NGC7453</t>
  </si>
  <si>
    <t>23h1m25.6s</t>
  </si>
  <si>
    <t>-6h21m14s</t>
  </si>
  <si>
    <t>bright, very small, 11th magnitude star close on northwest</t>
  </si>
  <si>
    <t>B, vS, * 11 close np</t>
  </si>
  <si>
    <t>NGC7454</t>
  </si>
  <si>
    <t>23h1m6.6s</t>
  </si>
  <si>
    <t>+16h23m21s</t>
  </si>
  <si>
    <t>faint, considerably small, a little extended, a little brighter middle, 11th magnitude star 1 arcmin to west</t>
  </si>
  <si>
    <t>F, cS, lE, lbM, * 11 p 1'</t>
  </si>
  <si>
    <t>NGC7455</t>
  </si>
  <si>
    <t>23h0m40.9s</t>
  </si>
  <si>
    <t>+7h18m12s</t>
  </si>
  <si>
    <t>extremely faint, pretty small, considerably extended, faint star close to west</t>
  </si>
  <si>
    <t>eF, pS, cE, F * close p</t>
  </si>
  <si>
    <t>NGC7456</t>
  </si>
  <si>
    <t>23h2m10.1s</t>
  </si>
  <si>
    <t>-39h34m9s</t>
  </si>
  <si>
    <t>very faint, large, much extended 34°, very gradually a little brighter middle</t>
  </si>
  <si>
    <t>vF, L, mE 34°, vglbM</t>
  </si>
  <si>
    <t>NGC7457</t>
  </si>
  <si>
    <t>23h0m59.8s</t>
  </si>
  <si>
    <t>+30h8m41s</t>
  </si>
  <si>
    <t>considerably bright, considerably large, a little extended, gradually much brighter middle, mottled but not resolved, 2 small (faint) stars to north</t>
  </si>
  <si>
    <t>cB, cL, lE, gmbM, r, 2 S st n</t>
  </si>
  <si>
    <t>NGC7458</t>
  </si>
  <si>
    <t>23h1m28.5s</t>
  </si>
  <si>
    <t>+1h45m12s</t>
  </si>
  <si>
    <t>considerably faint, considerably small, pretty suddenly brighter middle</t>
  </si>
  <si>
    <t>cF, cS, psbM</t>
  </si>
  <si>
    <t>NGC7459</t>
  </si>
  <si>
    <t>23h0m59.6s</t>
  </si>
  <si>
    <t>+6h44m58s</t>
  </si>
  <si>
    <t>most extremely faint, pretty large, round, star near</t>
  </si>
  <si>
    <t>eeF, pL, R, * nr</t>
  </si>
  <si>
    <t>NGC7460</t>
  </si>
  <si>
    <t>23h1m42.7s</t>
  </si>
  <si>
    <t>+2h15m49s</t>
  </si>
  <si>
    <t>NGC7461</t>
  </si>
  <si>
    <t>23h1m48.1s</t>
  </si>
  <si>
    <t>+15h34m57s</t>
  </si>
  <si>
    <t>NGC7462</t>
  </si>
  <si>
    <t>23h2m46.2s</t>
  </si>
  <si>
    <t>-40h50m8s</t>
  </si>
  <si>
    <t>considerably faint, pretty small, very much extended 5°±, 11th magnitude star to northwest</t>
  </si>
  <si>
    <t>cF, pS, vmE 5° ±, * 11 np</t>
  </si>
  <si>
    <t>NGC7463</t>
  </si>
  <si>
    <t>23h1m51.8s</t>
  </si>
  <si>
    <t>+15h58m55s</t>
  </si>
  <si>
    <t>NGC7464</t>
  </si>
  <si>
    <t>23h1m53.8s</t>
  </si>
  <si>
    <t>+15h58m28s</t>
  </si>
  <si>
    <t>very faint, very small, extended, southeast of h 2202</t>
  </si>
  <si>
    <t>vF, vS, E, sf h 2202</t>
  </si>
  <si>
    <t>NGC7465</t>
  </si>
  <si>
    <t>23h2m0.9s</t>
  </si>
  <si>
    <t>+15h57m55s</t>
  </si>
  <si>
    <t>NGC7466</t>
  </si>
  <si>
    <t>23h2m3.4s</t>
  </si>
  <si>
    <t>+27h3m11s</t>
  </si>
  <si>
    <t>extremely faint, extremely small, brighter middle</t>
  </si>
  <si>
    <t>eF, eS, bM</t>
  </si>
  <si>
    <t>NGC7467</t>
  </si>
  <si>
    <t>23h2m27.4s</t>
  </si>
  <si>
    <t>+15h33m17s</t>
  </si>
  <si>
    <t>NGC7468</t>
  </si>
  <si>
    <t>23h2m59.2s</t>
  </si>
  <si>
    <t>+16h36m16s</t>
  </si>
  <si>
    <t>NGC7469</t>
  </si>
  <si>
    <t>23h3m15.5s</t>
  </si>
  <si>
    <t>+8h52m26s</t>
  </si>
  <si>
    <t>very faint, very small, very suddenly much brighter middle equal to a 12th magnitude star</t>
  </si>
  <si>
    <t>vF, vS, vsmbM * 12</t>
  </si>
  <si>
    <t>NGC7470</t>
  </si>
  <si>
    <t>23h5m13.9s</t>
  </si>
  <si>
    <t>-50h6m42s</t>
  </si>
  <si>
    <t>extremely faint, pretty large, round, gradually a little brighter middle, 11th magnitude star to northwest</t>
  </si>
  <si>
    <t>eF, pL, R, glbM, * 11 np</t>
  </si>
  <si>
    <t>NGC7471</t>
  </si>
  <si>
    <t>23h3m53s</t>
  </si>
  <si>
    <t>-22h54m24s</t>
  </si>
  <si>
    <t>extremely faint, very small, a little extended 85°, suddenly brighter middle, three 10th magnitude stars 20 seconds of time to west</t>
  </si>
  <si>
    <t>eF, vS, lE 85°, sbM, 3 st 10 p 20s</t>
  </si>
  <si>
    <t>NGC7472</t>
  </si>
  <si>
    <t>23h5m38.6s</t>
  </si>
  <si>
    <t>+3h3m32s</t>
  </si>
  <si>
    <t>a faint nebulous star, = 7477?</t>
  </si>
  <si>
    <t>F neb * (? 7477)</t>
  </si>
  <si>
    <t>NGC7473</t>
  </si>
  <si>
    <t>23h3m57.1s</t>
  </si>
  <si>
    <t>+30h9m36s</t>
  </si>
  <si>
    <t>NGC7474</t>
  </si>
  <si>
    <t>23h4m4.3s</t>
  </si>
  <si>
    <t>+20h4m4s</t>
  </si>
  <si>
    <t>NGC7475</t>
  </si>
  <si>
    <t>23h4m10.1s</t>
  </si>
  <si>
    <t>+20h4m45s</t>
  </si>
  <si>
    <t>NGC7476</t>
  </si>
  <si>
    <t>23h5m12s</t>
  </si>
  <si>
    <t>-43h5m53s</t>
  </si>
  <si>
    <t>faint, small, round, in a triangle with two 7th magnitude stars</t>
  </si>
  <si>
    <t>F, S, R, Δ with 2 st 7</t>
  </si>
  <si>
    <t>NGC7477</t>
  </si>
  <si>
    <t>23h4m40.7s</t>
  </si>
  <si>
    <t>+3h7m6s</t>
  </si>
  <si>
    <t>faint, small, brighter middle equal to a 15th magnitude star, 17th magnitude star attached on north</t>
  </si>
  <si>
    <t>F, S, bM * 15, * 17 att n</t>
  </si>
  <si>
    <t>NGC7478</t>
  </si>
  <si>
    <t>23h4m56.5s</t>
  </si>
  <si>
    <t>+2h34m39s</t>
  </si>
  <si>
    <t>NGC7479</t>
  </si>
  <si>
    <t>超人星系</t>
  </si>
  <si>
    <t>23h4m56.7s</t>
  </si>
  <si>
    <t>+12h19m20s</t>
  </si>
  <si>
    <t>pretty bright, considerably large, much extended 12°, between 2 stars</t>
  </si>
  <si>
    <t>pB, cL, mE 12°, bet 2 st</t>
  </si>
  <si>
    <t>NGC7480</t>
  </si>
  <si>
    <t>23h5m13.5s</t>
  </si>
  <si>
    <t>+2h32m58s</t>
  </si>
  <si>
    <t>very faint, very small, very little extended, very gradually brighter middle</t>
  </si>
  <si>
    <t>vF, vS, vlE, vgbM</t>
  </si>
  <si>
    <t>NGC7481</t>
  </si>
  <si>
    <t>23h5m51s</t>
  </si>
  <si>
    <t>-19h56m24s</t>
  </si>
  <si>
    <t>NGC7482</t>
  </si>
  <si>
    <t>NGC7483</t>
  </si>
  <si>
    <t>23h5m48.2s</t>
  </si>
  <si>
    <t>+3h32m43s</t>
  </si>
  <si>
    <t>very faint, small, extended, pretty suddenly brighter middle</t>
  </si>
  <si>
    <t>vF, S, E, psbM</t>
  </si>
  <si>
    <t>NGC7484</t>
  </si>
  <si>
    <t>23h7m4.9s</t>
  </si>
  <si>
    <t>-36h16m22s</t>
  </si>
  <si>
    <t>pretty bright, small, round, a little brighter middle, 8th or 9th magnitude star attached on south</t>
  </si>
  <si>
    <t>pB, S, R, lbM, * 8·9 att s</t>
  </si>
  <si>
    <t>NGC7485</t>
  </si>
  <si>
    <t>23h6m4.8s</t>
  </si>
  <si>
    <t>+34h6m29s</t>
  </si>
  <si>
    <t>very faint, small, round, brighter middle, 10th magnitude star to west</t>
  </si>
  <si>
    <t>vF, S, R, bM, * 10 p</t>
  </si>
  <si>
    <t>NGC7486</t>
  </si>
  <si>
    <t>23h6m13.4s</t>
  </si>
  <si>
    <t>+34h6m8s</t>
  </si>
  <si>
    <t>very faint, very small, 2' east of h 2207</t>
  </si>
  <si>
    <t>vF, vS, 2' f h 2207</t>
  </si>
  <si>
    <t>NGC7487</t>
  </si>
  <si>
    <t>NGC7488</t>
  </si>
  <si>
    <t>23h7m48.9s</t>
  </si>
  <si>
    <t>+0h56m28s</t>
  </si>
  <si>
    <t>NGC7489</t>
  </si>
  <si>
    <t>23h7m32.5s</t>
  </si>
  <si>
    <t>+22h59m52s</t>
  </si>
  <si>
    <t>NGC7490</t>
  </si>
  <si>
    <t>23h7m25.1s</t>
  </si>
  <si>
    <t>+32h22m32s</t>
  </si>
  <si>
    <t>very faint, very small, irreguarly round, a little brighter middle</t>
  </si>
  <si>
    <t>vF, vS, iR, lbM</t>
  </si>
  <si>
    <t>NGC7491</t>
  </si>
  <si>
    <t>23h8m6s</t>
  </si>
  <si>
    <t>-5h57m59s</t>
  </si>
  <si>
    <t>NGC7492</t>
  </si>
  <si>
    <t>23h8m26.7s</t>
  </si>
  <si>
    <t>-15h36m39s</t>
  </si>
  <si>
    <t>extremely faint, large, between two double stars</t>
  </si>
  <si>
    <t>eF, L, bet 2 D st</t>
  </si>
  <si>
    <t>NGC7493</t>
  </si>
  <si>
    <t>23h8m31.6s</t>
  </si>
  <si>
    <t>+0h54m36s</t>
  </si>
  <si>
    <t>NGC7494</t>
  </si>
  <si>
    <t>23h8m58.4s</t>
  </si>
  <si>
    <t>-24h22m9s</t>
  </si>
  <si>
    <t>NGC7495</t>
  </si>
  <si>
    <t>23h8m57.4s</t>
  </si>
  <si>
    <t>+12h2m53s</t>
  </si>
  <si>
    <t>extremely faint, small, a little extended, 9th magnitude star near to northeast</t>
  </si>
  <si>
    <t>eF, S, lE, * 9 nf nr</t>
  </si>
  <si>
    <t>NGC7496</t>
  </si>
  <si>
    <t>23h9m46.9s</t>
  </si>
  <si>
    <t>-43h25m39s</t>
  </si>
  <si>
    <t>pretty bright, considerably large, a little extended, very gradually brighter middle equal to 13th magnitude star</t>
  </si>
  <si>
    <t>pB, cL, lE, vgbM * 13</t>
  </si>
  <si>
    <t>NGC7497</t>
  </si>
  <si>
    <t>23h9m3.5s</t>
  </si>
  <si>
    <t>+18h10m39s</t>
  </si>
  <si>
    <t>very faint, large, pretty much extended 45°, a little brighter middle</t>
  </si>
  <si>
    <t>vF, L, pmE 45°, lbM</t>
  </si>
  <si>
    <t>NGC7498</t>
  </si>
  <si>
    <t>23h9m56s</t>
  </si>
  <si>
    <t>-24h25m28s</t>
  </si>
  <si>
    <t>NGC7499</t>
  </si>
  <si>
    <t>23h10m22.3s</t>
  </si>
  <si>
    <t>+7h34m52s</t>
  </si>
  <si>
    <t>NGC7500</t>
  </si>
  <si>
    <t>23h10m29.7s</t>
  </si>
  <si>
    <t>+11h0m46s</t>
  </si>
  <si>
    <t>NGC7501</t>
  </si>
  <si>
    <t>23h10m30.3s</t>
  </si>
  <si>
    <t>+7h35m22s</t>
  </si>
  <si>
    <t>NGC7502</t>
  </si>
  <si>
    <t>23h10m19.7s</t>
  </si>
  <si>
    <t>-21h44m11s</t>
  </si>
  <si>
    <t>extremely faint, very small, extended 290°, a faint double star?</t>
  </si>
  <si>
    <t>eF, vS, E 290°, (? F D *)</t>
  </si>
  <si>
    <t>NGC7503</t>
  </si>
  <si>
    <t>23h10m42.2s</t>
  </si>
  <si>
    <t>+7h34m5s</t>
  </si>
  <si>
    <t>NGC7504</t>
  </si>
  <si>
    <t>23h10m41.1s</t>
  </si>
  <si>
    <t>+14h23m10s</t>
  </si>
  <si>
    <t>NGC7505</t>
  </si>
  <si>
    <t>23h11m0.7s</t>
  </si>
  <si>
    <t>+13h37m53s</t>
  </si>
  <si>
    <t>most extremely faint, extremely small, a little extended, between a bright and 2 faint stars</t>
  </si>
  <si>
    <t>eeF, eS, lE, bet a B &amp; 2 F st</t>
  </si>
  <si>
    <t>NGC7506</t>
  </si>
  <si>
    <t>23h11m41s</t>
  </si>
  <si>
    <t>-2h9m35s</t>
  </si>
  <si>
    <t>considerably faint, very small, round, suddenly brighter middle equal to 15th magnitude star</t>
  </si>
  <si>
    <t>cF, vS, R, sbM * 15</t>
  </si>
  <si>
    <t>NGC7507</t>
  </si>
  <si>
    <t>23h12m7.5s</t>
  </si>
  <si>
    <t>-28h32m19s</t>
  </si>
  <si>
    <t>pretty bright, considerably small, round, pretty suddenly very much brighter middle, 10th magnitude star to northwest</t>
  </si>
  <si>
    <t>pB, cS, R, psvmbM, * 10 np</t>
  </si>
  <si>
    <t>NGC7508</t>
  </si>
  <si>
    <t>23h11m49.2s</t>
  </si>
  <si>
    <t>+12h56m28s</t>
  </si>
  <si>
    <t>extremely faint, brighter middle like a star, 11th magnitude star 2' to northwest</t>
  </si>
  <si>
    <t>eF, bM *, * 11 np 2'</t>
  </si>
  <si>
    <t>NGC7509</t>
  </si>
  <si>
    <t>23h12m21.3s</t>
  </si>
  <si>
    <t>+14h36m35s</t>
  </si>
  <si>
    <t>NGC7510</t>
  </si>
  <si>
    <t>睡鼠星团</t>
  </si>
  <si>
    <t>23h11m4.2s</t>
  </si>
  <si>
    <t>+60h34m8s</t>
  </si>
  <si>
    <t>a cluster, pretty rich, pretty compressed, fan-shaped, stars pretty bright</t>
  </si>
  <si>
    <t>Cl, pRi, pC, fan-sh, st pB</t>
  </si>
  <si>
    <t>NGC7511</t>
  </si>
  <si>
    <t>23h12m26.3s</t>
  </si>
  <si>
    <t>+13h43m37s</t>
  </si>
  <si>
    <t>most extremely faint, small, round, very difficult, several stars to northeast</t>
  </si>
  <si>
    <t>eeF, S, R, v diffic, sev st nf</t>
  </si>
  <si>
    <t>NGC7512</t>
  </si>
  <si>
    <t>23h12m20.9s</t>
  </si>
  <si>
    <t>+31h7m32s</t>
  </si>
  <si>
    <t>faint, small, round, very small (faint) star in center</t>
  </si>
  <si>
    <t>F, S, R, vS * in centre</t>
  </si>
  <si>
    <t>NGC7513</t>
  </si>
  <si>
    <t>23h13m13.7s</t>
  </si>
  <si>
    <t>-28h21m29s</t>
  </si>
  <si>
    <t>very faint, pretty large, extended, gradually brighter middle</t>
  </si>
  <si>
    <t>vF, pL, E, gbM</t>
  </si>
  <si>
    <t>NGC7514</t>
  </si>
  <si>
    <t>23h12m25.5s</t>
  </si>
  <si>
    <t>+34h52m52s</t>
  </si>
  <si>
    <t>NGC7515</t>
  </si>
  <si>
    <t>23h12m48.6s</t>
  </si>
  <si>
    <t>+12h40m47s</t>
  </si>
  <si>
    <t>faint, considerably small, round, very gradually a little brighter middle, mottled but not resolved</t>
  </si>
  <si>
    <t>F, cS, R, vglbM, r</t>
  </si>
  <si>
    <t>NGC7516</t>
  </si>
  <si>
    <t>23h12m51.8s</t>
  </si>
  <si>
    <t>+20h14m56s</t>
  </si>
  <si>
    <t>NGC7517</t>
  </si>
  <si>
    <t>23h13m13.8s</t>
  </si>
  <si>
    <t>-2h6m0s</t>
  </si>
  <si>
    <t>NGC7518</t>
  </si>
  <si>
    <t>23h13m12.8s</t>
  </si>
  <si>
    <t>+6h19m18s</t>
  </si>
  <si>
    <t>NGC7519</t>
  </si>
  <si>
    <t>23h13m11.2s</t>
  </si>
  <si>
    <t>+10h46m18s</t>
  </si>
  <si>
    <t>NGC7520</t>
  </si>
  <si>
    <t>23h12m53.1s</t>
  </si>
  <si>
    <t>-23h28m8s</t>
  </si>
  <si>
    <t>faint, pretty small, between 2 stars</t>
  </si>
  <si>
    <t>F, pS, bet 2 st</t>
  </si>
  <si>
    <t>NGC7521</t>
  </si>
  <si>
    <t>23h13m35.3s</t>
  </si>
  <si>
    <t>-1h43m50s</t>
  </si>
  <si>
    <t>very faint, pretty small, pretty suddenly brighter middle</t>
  </si>
  <si>
    <t>vF, pS, psbM</t>
  </si>
  <si>
    <t>NGC7522</t>
  </si>
  <si>
    <t>23h15m36.3s</t>
  </si>
  <si>
    <t>-22h53m40s</t>
  </si>
  <si>
    <t>extremely faint, very small, irregularly round, 10th magnitude star 3' to the east northeast</t>
  </si>
  <si>
    <t>eF, vS, iR, * 10 nff 3'</t>
  </si>
  <si>
    <t>NGC7523</t>
  </si>
  <si>
    <t>23h13m34.7s</t>
  </si>
  <si>
    <t>+13h59m12s</t>
  </si>
  <si>
    <t>most extremely faint, extended</t>
  </si>
  <si>
    <t>eeF, E</t>
  </si>
  <si>
    <t>NGC7524</t>
  </si>
  <si>
    <t>23h13m46.5s</t>
  </si>
  <si>
    <t>NGC7525</t>
  </si>
  <si>
    <t>23h13m40.4s</t>
  </si>
  <si>
    <t>+14h1m17s</t>
  </si>
  <si>
    <t>extremely faint, very small, very little extended, gradually brighter middle</t>
  </si>
  <si>
    <t>eF, vS, vlE, gbM</t>
  </si>
  <si>
    <t>NGC7526</t>
  </si>
  <si>
    <t>23h14m2.3s</t>
  </si>
  <si>
    <t>-9h13m15s</t>
  </si>
  <si>
    <t>NGC7527</t>
  </si>
  <si>
    <t>23h13m41.7s</t>
  </si>
  <si>
    <t>+24h54m10s</t>
  </si>
  <si>
    <t>NGC7528</t>
  </si>
  <si>
    <t>23h14m20s</t>
  </si>
  <si>
    <t>+10h13m52s</t>
  </si>
  <si>
    <t>NGC7529</t>
  </si>
  <si>
    <t>23h14m3.1s</t>
  </si>
  <si>
    <t>+8h59m32s</t>
  </si>
  <si>
    <t>NGC7530</t>
  </si>
  <si>
    <t>23h14m11.7s</t>
  </si>
  <si>
    <t>-2h46m44s</t>
  </si>
  <si>
    <t>NGC7531</t>
  </si>
  <si>
    <t>23h14m48.4s</t>
  </si>
  <si>
    <t>-43h35m56s</t>
  </si>
  <si>
    <t>NGC7532</t>
  </si>
  <si>
    <t>23h14m22.2s</t>
  </si>
  <si>
    <t>-2h43m40s</t>
  </si>
  <si>
    <t>NGC7533</t>
  </si>
  <si>
    <t>23h14m22s</t>
  </si>
  <si>
    <t>-2h2m0s</t>
  </si>
  <si>
    <t>NGC7534</t>
  </si>
  <si>
    <t>23h14m26.5s</t>
  </si>
  <si>
    <t>-2h41m58s</t>
  </si>
  <si>
    <t>NGC7535</t>
  </si>
  <si>
    <t>23h14m12.8s</t>
  </si>
  <si>
    <t>+13h34m56s</t>
  </si>
  <si>
    <t>most extremely faint, pretty small, round, very difficult, northern of 2</t>
  </si>
  <si>
    <t>eeF, pS, R, v diffic, n of 2</t>
  </si>
  <si>
    <t>NGC7536</t>
  </si>
  <si>
    <t>23h14m13.1s</t>
  </si>
  <si>
    <t>+13h25m36s</t>
  </si>
  <si>
    <t>most extremely faint, pretty small, round, among 6 stars, southern of 2</t>
  </si>
  <si>
    <t>eeF, pS, R, am 6 st, s of 2</t>
  </si>
  <si>
    <t>NGC7537</t>
  </si>
  <si>
    <t>23h14m34.6s</t>
  </si>
  <si>
    <t>+4h29m56s</t>
  </si>
  <si>
    <t>NGC7538</t>
  </si>
  <si>
    <t>北礁湖星云</t>
  </si>
  <si>
    <t>23h13m38s</t>
  </si>
  <si>
    <t>+61h30m42s</t>
  </si>
  <si>
    <t>very faint, large, 2 pretty bright stars involved</t>
  </si>
  <si>
    <t>vF, L, 2 pB st inv</t>
  </si>
  <si>
    <t>NGC7539</t>
  </si>
  <si>
    <t>23h14m29.4s</t>
  </si>
  <si>
    <t>+23h41m5s</t>
  </si>
  <si>
    <t>NGC7540</t>
  </si>
  <si>
    <t>23h14m36.1s</t>
  </si>
  <si>
    <t>+15h57m1s</t>
  </si>
  <si>
    <t>NGC7541</t>
  </si>
  <si>
    <t>23h14m43.2s</t>
  </si>
  <si>
    <t>+4h32m4s</t>
  </si>
  <si>
    <t>bright, large, much extended 97°, much brighter middle, northeastern of 2</t>
  </si>
  <si>
    <t>B, L, mE 97°, mbM, nf of 2</t>
  </si>
  <si>
    <t>NGC7542</t>
  </si>
  <si>
    <t>23h14m41.7s</t>
  </si>
  <si>
    <t>+10h38m36s</t>
  </si>
  <si>
    <t>NGC7543</t>
  </si>
  <si>
    <t>23h14m34.5s</t>
  </si>
  <si>
    <t>+28h19m40s</t>
  </si>
  <si>
    <t>NGC7544</t>
  </si>
  <si>
    <t>23h14m56.9s</t>
  </si>
  <si>
    <t>-2h11m56s</t>
  </si>
  <si>
    <t>NGC7545</t>
  </si>
  <si>
    <t>23h15m32.3s</t>
  </si>
  <si>
    <t>-38h32m6s</t>
  </si>
  <si>
    <t>faint, small, very little extended, very gradually a very little brighter middle, 10th magnitude star attached</t>
  </si>
  <si>
    <t>F, S, vlE, vgvlbM, * 10 att</t>
  </si>
  <si>
    <t>NGC7546</t>
  </si>
  <si>
    <t>23h15m5.5s</t>
  </si>
  <si>
    <t>-2h19m32s</t>
  </si>
  <si>
    <t>NGC7547</t>
  </si>
  <si>
    <t>23h15m3.4s</t>
  </si>
  <si>
    <t>+18h58m25s</t>
  </si>
  <si>
    <t>NGC7548</t>
  </si>
  <si>
    <t>23h15m11.1s</t>
  </si>
  <si>
    <t>+25h16m55s</t>
  </si>
  <si>
    <t>very faint, very small, 16th magnitude star 11 seconds of time to west</t>
  </si>
  <si>
    <t>vF, vS, * 16 p 11s</t>
  </si>
  <si>
    <t>NGC7549</t>
  </si>
  <si>
    <t>23h15m17.1s</t>
  </si>
  <si>
    <t>+19h2m29s</t>
  </si>
  <si>
    <t>pretty faint, pretty small, round, 10th or 11th magnitude star to west</t>
  </si>
  <si>
    <t>pF, pS, R, * 10·11 p</t>
  </si>
  <si>
    <t>NGC7550</t>
  </si>
  <si>
    <t>23h15m16s</t>
  </si>
  <si>
    <t>+18h57m39s</t>
  </si>
  <si>
    <t>NGC7551</t>
  </si>
  <si>
    <t>23h15m22s</t>
  </si>
  <si>
    <t>+15h56m27s</t>
  </si>
  <si>
    <t>NGC7552</t>
  </si>
  <si>
    <t>天鹤座四重星系</t>
  </si>
  <si>
    <t>23h16m10.6s</t>
  </si>
  <si>
    <t>-42h35m5s</t>
  </si>
  <si>
    <t>bright, small, much extended 90°±, very suddenly brighter middle equal to 13th magnitude star</t>
  </si>
  <si>
    <t>B, S, mE 90° ±, vsbM * 13</t>
  </si>
  <si>
    <t>NGC7553</t>
  </si>
  <si>
    <t>23h15m33s</t>
  </si>
  <si>
    <t>+19h2m55s</t>
  </si>
  <si>
    <t>NGC7554</t>
  </si>
  <si>
    <t>23h15m41.3s</t>
  </si>
  <si>
    <t>-2h22m41s</t>
  </si>
  <si>
    <t>extremely faint, extremely small, almost stellar, h 2220 to east</t>
  </si>
  <si>
    <t>eF, eS, alm stell, h 2220 f</t>
  </si>
  <si>
    <t>NGC7555</t>
  </si>
  <si>
    <t>23h15m30s</t>
  </si>
  <si>
    <t>+12h34m0s</t>
  </si>
  <si>
    <t>faint, round, brighter middle, place very rough</t>
  </si>
  <si>
    <t>F, R, bM, place very rough</t>
  </si>
  <si>
    <t>NGC7556</t>
  </si>
  <si>
    <t>23h15m44.4s</t>
  </si>
  <si>
    <t>-2h22m53s</t>
  </si>
  <si>
    <t>considerably faint, pretty large, round, bright double star to east</t>
  </si>
  <si>
    <t>cF, pL, R, B ** f</t>
  </si>
  <si>
    <t>NGC7557</t>
  </si>
  <si>
    <t>23h15m39.7s</t>
  </si>
  <si>
    <t>+6h42m32s</t>
  </si>
  <si>
    <t>NGC7558</t>
  </si>
  <si>
    <t>23h15m38.2s</t>
  </si>
  <si>
    <t>+18h55m13s</t>
  </si>
  <si>
    <t>most extremely faint, nebulous star of 13th magnitude</t>
  </si>
  <si>
    <t>eeF, neb * 13 m</t>
  </si>
  <si>
    <t>NGC7559</t>
  </si>
  <si>
    <t>23h15m46.5s</t>
  </si>
  <si>
    <t>+13h17m25s</t>
  </si>
  <si>
    <t>faint, considerably small, round, brighter middle equal to 16th magnitude star, northwestern of 2</t>
  </si>
  <si>
    <t>F, cS, R, bM * 16, np of 2</t>
  </si>
  <si>
    <t>NGC7560</t>
  </si>
  <si>
    <t>23h15m53.8s</t>
  </si>
  <si>
    <t>+4h29m45s</t>
  </si>
  <si>
    <t>faint, very small, irregularly round, southwestern of 2</t>
  </si>
  <si>
    <t>F, vS, iR, sp of 2</t>
  </si>
  <si>
    <t>NGC7561</t>
  </si>
  <si>
    <t>23h15m57.5s</t>
  </si>
  <si>
    <t>+4h31m21s</t>
  </si>
  <si>
    <t>faint, very small, irregularly round, northeastern of 2</t>
  </si>
  <si>
    <t>F, vS, iR, nf of 2</t>
  </si>
  <si>
    <t>NGC7562</t>
  </si>
  <si>
    <t>23h15m57.6s</t>
  </si>
  <si>
    <t>+6h41m14s</t>
  </si>
  <si>
    <t>considerably bright, pretty small, irregularly round, pretty suddenly brighter middle</t>
  </si>
  <si>
    <t>cB, pS, iR, psbM</t>
  </si>
  <si>
    <t>NGC7563</t>
  </si>
  <si>
    <t>23h15m55.9s</t>
  </si>
  <si>
    <t>+13h11m48s</t>
  </si>
  <si>
    <t>pretty faint, considerably small, round, suddenly brighter middle equal to 16th magnitude star, southeastern of 2</t>
  </si>
  <si>
    <t>pF, cS, R, sbM * 16, sf of 2</t>
  </si>
  <si>
    <t>NGC7564</t>
  </si>
  <si>
    <t>23h16m1.1s</t>
  </si>
  <si>
    <t>+7h20m54s</t>
  </si>
  <si>
    <t>very faint, extremely small, stellar nucleus</t>
  </si>
  <si>
    <t>vF, eS, stellar N</t>
  </si>
  <si>
    <t>NGC7565</t>
  </si>
  <si>
    <t>23h16m19s</t>
  </si>
  <si>
    <t>-0h3m30s</t>
  </si>
  <si>
    <t>NGC7566</t>
  </si>
  <si>
    <t>23h16m37.4s</t>
  </si>
  <si>
    <t>-2h19m49s</t>
  </si>
  <si>
    <t>very faint, pretty small, extended, extremely mottled but not resolved, 3 faint stars involved</t>
  </si>
  <si>
    <t>vF, pS, E, er, 3 F st inv</t>
  </si>
  <si>
    <t>NGC7567</t>
  </si>
  <si>
    <t>23h16m10.8s</t>
  </si>
  <si>
    <t>+15h51m4s</t>
  </si>
  <si>
    <t>most extremely faint, very small, extended</t>
  </si>
  <si>
    <t>eeF, vS, E</t>
  </si>
  <si>
    <t>NGC7568</t>
  </si>
  <si>
    <t>23h16m24.9s</t>
  </si>
  <si>
    <t>+24h29m50s</t>
  </si>
  <si>
    <t>extremely faint, pretty large, irregularly round, several stars involved</t>
  </si>
  <si>
    <t>eF, pL, iR, sev st inv</t>
  </si>
  <si>
    <t>NGC7569</t>
  </si>
  <si>
    <t>23h16m44.5s</t>
  </si>
  <si>
    <t>+8h54m24s</t>
  </si>
  <si>
    <t>very faint, small, round, 3 faint stars to southeast</t>
  </si>
  <si>
    <t>vF, S, R, 3 F st sf</t>
  </si>
  <si>
    <t>NGC7570</t>
  </si>
  <si>
    <t>23h16m44.7s</t>
  </si>
  <si>
    <t>+13h29m0s</t>
  </si>
  <si>
    <t>NGC7571</t>
  </si>
  <si>
    <t>23h18m30.3s</t>
  </si>
  <si>
    <t>+18h41m18s</t>
  </si>
  <si>
    <t>very faint, considerably extended, several knots or groups of nebulae</t>
  </si>
  <si>
    <t>vF, cE, sev knots or gr of neb</t>
  </si>
  <si>
    <t>NGC7572</t>
  </si>
  <si>
    <t>23h16m50.3s</t>
  </si>
  <si>
    <t>+18h29m0s</t>
  </si>
  <si>
    <t>most extremely faint, almost stellar</t>
  </si>
  <si>
    <t>eeF, alm stellar</t>
  </si>
  <si>
    <t>NGC7573</t>
  </si>
  <si>
    <t>23h16m26.3s</t>
  </si>
  <si>
    <t>-22h9m14s</t>
  </si>
  <si>
    <t>extremely faint, small, irregularly round, brighter on northwest, 10th magnitude star 4' to west</t>
  </si>
  <si>
    <t>eF, S, iR, b np, * 10 p 4'</t>
  </si>
  <si>
    <t>NGC7574</t>
  </si>
  <si>
    <t>pF, S, E, rr</t>
  </si>
  <si>
    <t>NGC7575</t>
  </si>
  <si>
    <t>23h17m20.9s</t>
  </si>
  <si>
    <t>+5h39m41s</t>
  </si>
  <si>
    <t>NGC7576</t>
  </si>
  <si>
    <t>23h17m22.7s</t>
  </si>
  <si>
    <t>-4h43m40s</t>
  </si>
  <si>
    <t>faint, small, suddenly much brighter middle</t>
  </si>
  <si>
    <t>F, S, smbM</t>
  </si>
  <si>
    <t>NGC7577</t>
  </si>
  <si>
    <t>23h17m17.1s</t>
  </si>
  <si>
    <t>+7h21m57s</t>
  </si>
  <si>
    <t>a magnitude 13.5 star in a very faint nebula</t>
  </si>
  <si>
    <t>* 13.5 in vF neb</t>
  </si>
  <si>
    <t>NGC7578</t>
  </si>
  <si>
    <t>23h17m11.9s</t>
  </si>
  <si>
    <t>+18h42m5s</t>
  </si>
  <si>
    <t>very faint, among very small (faint) stars</t>
  </si>
  <si>
    <t>vF, am vS st</t>
  </si>
  <si>
    <t>NGC7579</t>
  </si>
  <si>
    <t>23h17m38.8s</t>
  </si>
  <si>
    <t>+9h26m2s</t>
  </si>
  <si>
    <t>NGC7580</t>
  </si>
  <si>
    <t>23h17m36.6s</t>
  </si>
  <si>
    <t>+14h0m5s</t>
  </si>
  <si>
    <t>very faint, pretty small, round, faint star to southwest</t>
  </si>
  <si>
    <t>vF, pS, R, F * sp</t>
  </si>
  <si>
    <t>NGC7581</t>
  </si>
  <si>
    <t>very faint, much extended, 12th or 13th magnitude star close to east</t>
  </si>
  <si>
    <t>vF, mE, * 12·13 close f</t>
  </si>
  <si>
    <t>NGC7582</t>
  </si>
  <si>
    <t>23h18m23.5s</t>
  </si>
  <si>
    <t>-42h22m11s</t>
  </si>
  <si>
    <t>pretty bright, large, pretty much extended, gradually brighter middle</t>
  </si>
  <si>
    <t>pB, L, pmE, gbM</t>
  </si>
  <si>
    <t>NGC7583</t>
  </si>
  <si>
    <t>23h17m52.8s</t>
  </si>
  <si>
    <t>+7h22m46s</t>
  </si>
  <si>
    <t>NGC7584</t>
  </si>
  <si>
    <t>23h17m53.1s</t>
  </si>
  <si>
    <t>+9h26m1s</t>
  </si>
  <si>
    <t>NGC7585</t>
  </si>
  <si>
    <t>23h18m1.3s</t>
  </si>
  <si>
    <t>-4h39m1s</t>
  </si>
  <si>
    <t>pretty bright, pretty small, irregularly round, gradually brighter middle</t>
  </si>
  <si>
    <t>pB, pS, iR, gbM</t>
  </si>
  <si>
    <t>NGC7586</t>
  </si>
  <si>
    <t>23h17m55.5s</t>
  </si>
  <si>
    <t>+8h35m4s</t>
  </si>
  <si>
    <t>NGC7587</t>
  </si>
  <si>
    <t>23h17m59.1s</t>
  </si>
  <si>
    <t>+9h40m49s</t>
  </si>
  <si>
    <t>very faint, very small, a little extended, gradually brighter middle</t>
  </si>
  <si>
    <t>vF, vS, lE, gbM</t>
  </si>
  <si>
    <t>NGC7588</t>
  </si>
  <si>
    <t>23h17m57.7s</t>
  </si>
  <si>
    <t>+18h45m10s</t>
  </si>
  <si>
    <t>NGC7589</t>
  </si>
  <si>
    <t>23h18m15.6s</t>
  </si>
  <si>
    <t>+0h15m42s</t>
  </si>
  <si>
    <t>NGC7590</t>
  </si>
  <si>
    <t>23h18m54.6s</t>
  </si>
  <si>
    <t>-42h14m21s</t>
  </si>
  <si>
    <t>pretty bright, pretty large, pretty much extended, gradually brighter middle, western of 2</t>
  </si>
  <si>
    <t>pB, pL, pmE, gbM, p of 2</t>
  </si>
  <si>
    <t>NGC7591</t>
  </si>
  <si>
    <t>23h18m16.2s</t>
  </si>
  <si>
    <t>+6h35m10s</t>
  </si>
  <si>
    <t>pretty faint, small, round, very gradually brighter middle</t>
  </si>
  <si>
    <t>pF, S, R, vgbM</t>
  </si>
  <si>
    <t>NGC7592</t>
  </si>
  <si>
    <t>23h18m22s</t>
  </si>
  <si>
    <t>-4h24m59s</t>
  </si>
  <si>
    <t>NGC7593</t>
  </si>
  <si>
    <t>23h17m56.9s</t>
  </si>
  <si>
    <t>+11h20m56s</t>
  </si>
  <si>
    <t>NGC7594</t>
  </si>
  <si>
    <t>23h18m13.9s</t>
  </si>
  <si>
    <t>+10h17m52s</t>
  </si>
  <si>
    <t>pretty faint, round, 3 stars to west</t>
  </si>
  <si>
    <t>pF, R, 3 st p</t>
  </si>
  <si>
    <t>NGC7595</t>
  </si>
  <si>
    <t>23h18m30.2s</t>
  </si>
  <si>
    <t>+9h55m56s</t>
  </si>
  <si>
    <t>NGC7596</t>
  </si>
  <si>
    <t>23h17m12s</t>
  </si>
  <si>
    <t>-6h54m42s</t>
  </si>
  <si>
    <t>very faint, pretty small, a little extended 0°, a little brighter middle and nucleus</t>
  </si>
  <si>
    <t>vF, pS, lE 0°, lbMN</t>
  </si>
  <si>
    <t>NGC7597</t>
  </si>
  <si>
    <t>eF, vS, gbM</t>
  </si>
  <si>
    <t>NGC7598</t>
  </si>
  <si>
    <t>23h18m33.3s</t>
  </si>
  <si>
    <t>+18h44m59s</t>
  </si>
  <si>
    <t>NGC7599</t>
  </si>
  <si>
    <t>23h19m20.8s</t>
  </si>
  <si>
    <t>-42h15m29s</t>
  </si>
  <si>
    <t>faint, pretty large, pretty much extended, gradually brighter middle, eastern of 2</t>
  </si>
  <si>
    <t>F, pL, pmE, gbM, f of 2</t>
  </si>
  <si>
    <t>NGC7600</t>
  </si>
  <si>
    <t>23h18m53.8s</t>
  </si>
  <si>
    <t>-7h34m48s</t>
  </si>
  <si>
    <t>considerably faint, small, round, pretty suddenly much brighter middle</t>
  </si>
  <si>
    <t>cF, S, R, psmbM</t>
  </si>
  <si>
    <t>NGC7601</t>
  </si>
  <si>
    <t>23h18m47.1s</t>
  </si>
  <si>
    <t>+9h14m1s</t>
  </si>
  <si>
    <t>pretty bright, diffuse</t>
  </si>
  <si>
    <t>pB, dif</t>
  </si>
  <si>
    <t>NGC7602</t>
  </si>
  <si>
    <t>23h18m43.5s</t>
  </si>
  <si>
    <t>+18h41m56s</t>
  </si>
  <si>
    <t>NGC7603</t>
  </si>
  <si>
    <t>23h18m56.4s</t>
  </si>
  <si>
    <t>+0h14m39s</t>
  </si>
  <si>
    <t>NGC7604</t>
  </si>
  <si>
    <t>23h17m51.9s</t>
  </si>
  <si>
    <t>+7h25m48s</t>
  </si>
  <si>
    <t>NGC7605</t>
  </si>
  <si>
    <t>NGC7606</t>
  </si>
  <si>
    <t>23h19m4.8s</t>
  </si>
  <si>
    <t>-8h29m11s</t>
  </si>
  <si>
    <t>pretty faint, considerably large, pretty much extended 0°±</t>
  </si>
  <si>
    <t>pF, cL, pmE 0° ±</t>
  </si>
  <si>
    <t>NGC7607</t>
  </si>
  <si>
    <t>23h18m59.3s</t>
  </si>
  <si>
    <t>+11h20m30s</t>
  </si>
  <si>
    <t>very faint, small, round, 16th magnitude star half an arcmin to northeast (nebulous?)</t>
  </si>
  <si>
    <t>vF, S, R, * 16 nf ?' (nebs ?)</t>
  </si>
  <si>
    <t>NGC7608</t>
  </si>
  <si>
    <t>23h19m15.3s</t>
  </si>
  <si>
    <t>+8h21m1s</t>
  </si>
  <si>
    <t>NGC7609</t>
  </si>
  <si>
    <t>23h19m30s</t>
  </si>
  <si>
    <t>+9h30m31s</t>
  </si>
  <si>
    <t>NGC7610</t>
  </si>
  <si>
    <t>23h19m41.6s</t>
  </si>
  <si>
    <t>+10h11m4s</t>
  </si>
  <si>
    <t>faint, small, diffuse</t>
  </si>
  <si>
    <t>F, S, dif</t>
  </si>
  <si>
    <t>NGC7611</t>
  </si>
  <si>
    <t>23h19m36.5s</t>
  </si>
  <si>
    <t>+8h3m49s</t>
  </si>
  <si>
    <t>faint, small, round, in a triangle with two 19th magnitude stars to the north</t>
  </si>
  <si>
    <t>F, S, R, Δ with 2 st 19, n</t>
  </si>
  <si>
    <t>NGC7612</t>
  </si>
  <si>
    <t>23h19m44.1s</t>
  </si>
  <si>
    <t>+8h34m37s</t>
  </si>
  <si>
    <t>NGC7613</t>
  </si>
  <si>
    <t>23h19m51s</t>
  </si>
  <si>
    <t>+0h11m54s</t>
  </si>
  <si>
    <t>NGC7614</t>
  </si>
  <si>
    <t>23h19m52.6s</t>
  </si>
  <si>
    <t>+0h10m56s</t>
  </si>
  <si>
    <t>very faint, northeastern of 2</t>
  </si>
  <si>
    <t>vF, nf of 2</t>
  </si>
  <si>
    <t>NGC7615</t>
  </si>
  <si>
    <t>23h19m54.4s</t>
  </si>
  <si>
    <t>+8h23m58s</t>
  </si>
  <si>
    <t>eF, cS</t>
  </si>
  <si>
    <t>NGC7616</t>
  </si>
  <si>
    <t>pF, dif</t>
  </si>
  <si>
    <t>NGC7617</t>
  </si>
  <si>
    <t>23h20m8.9s</t>
  </si>
  <si>
    <t>+8h9m58s</t>
  </si>
  <si>
    <t>NGC7618</t>
  </si>
  <si>
    <t>23h19m47.3s</t>
  </si>
  <si>
    <t>+42h51m10s</t>
  </si>
  <si>
    <t>NGC7619</t>
  </si>
  <si>
    <t>23h20m14.6s</t>
  </si>
  <si>
    <t>+8h12m25s</t>
  </si>
  <si>
    <t>considerably bright, pretty small, round, pretty suddenly brighter middle</t>
  </si>
  <si>
    <t>cB, pS, R, psbM</t>
  </si>
  <si>
    <t>NGC7620</t>
  </si>
  <si>
    <t>23h20m5.6s</t>
  </si>
  <si>
    <t>+24h13m15s</t>
  </si>
  <si>
    <t>NGC7621</t>
  </si>
  <si>
    <t>23h20m24.7s</t>
  </si>
  <si>
    <t>+8h22m0s</t>
  </si>
  <si>
    <t>NGC7622</t>
  </si>
  <si>
    <t>23h21m38.5s</t>
  </si>
  <si>
    <t>-62h7m3s</t>
  </si>
  <si>
    <t>extremely faint, extremely small, among 5 stars, doubtful</t>
  </si>
  <si>
    <t>eF, eS, am 5 st (doubtful)</t>
  </si>
  <si>
    <t>NGC7623</t>
  </si>
  <si>
    <t>23h20m29.9s</t>
  </si>
  <si>
    <t>+8h23m47s</t>
  </si>
  <si>
    <t>NGC7624</t>
  </si>
  <si>
    <t>23h20m22.6s</t>
  </si>
  <si>
    <t>+27h18m53s</t>
  </si>
  <si>
    <t>very faint, a little extended or irregularly round, diffuse, a very little brighter middle</t>
  </si>
  <si>
    <t>vF, lE or iR, dif, vlbM</t>
  </si>
  <si>
    <t>NGC7625</t>
  </si>
  <si>
    <t>23h20m30.2s</t>
  </si>
  <si>
    <t>+17h13m36s</t>
  </si>
  <si>
    <t>NGC7626</t>
  </si>
  <si>
    <t>23h20m42.6s</t>
  </si>
  <si>
    <t>+8h13m1s</t>
  </si>
  <si>
    <t>NGC7627</t>
  </si>
  <si>
    <t>23h22m30.8s</t>
  </si>
  <si>
    <t>+11h53m37s</t>
  </si>
  <si>
    <t>very faint, small, much extended, 2 stars to north</t>
  </si>
  <si>
    <t>vF, S, mE, 2 st n</t>
  </si>
  <si>
    <t>NGC7628</t>
  </si>
  <si>
    <t>23h20m55s</t>
  </si>
  <si>
    <t>+25h53m55s</t>
  </si>
  <si>
    <t>NGC7629</t>
  </si>
  <si>
    <t>23h21m19.3s</t>
  </si>
  <si>
    <t>+1h24m13s</t>
  </si>
  <si>
    <t>NGC7630</t>
  </si>
  <si>
    <t>23h21m16.3s</t>
  </si>
  <si>
    <t>+11h23m51s</t>
  </si>
  <si>
    <t>NGC7631</t>
  </si>
  <si>
    <t>23h21m26.7s</t>
  </si>
  <si>
    <t>+8h13m3s</t>
  </si>
  <si>
    <t>NGC7632</t>
  </si>
  <si>
    <t>23h22m0.9s</t>
  </si>
  <si>
    <t>-42h28m49s</t>
  </si>
  <si>
    <t>NGC7633</t>
  </si>
  <si>
    <t>23h23m3.1s</t>
  </si>
  <si>
    <t>-67h39m13s</t>
  </si>
  <si>
    <t>faint, very small, extended 90°, pretty suddenly brighter middle</t>
  </si>
  <si>
    <t>F, vS, E 90°, psbM</t>
  </si>
  <si>
    <t>NGC7634</t>
  </si>
  <si>
    <t>23h21m41.7s</t>
  </si>
  <si>
    <t>+8h53m15s</t>
  </si>
  <si>
    <t>faint, small, faint double star attached</t>
  </si>
  <si>
    <t>F, S, F ** att</t>
  </si>
  <si>
    <t>NGC7635</t>
  </si>
  <si>
    <t>气泡星云</t>
  </si>
  <si>
    <t>23h20m45s</t>
  </si>
  <si>
    <t>+61h12m42s</t>
  </si>
  <si>
    <t>very faint, 8th magnitude star involved, a little eccentric</t>
  </si>
  <si>
    <t>vF, * 8 inv l excentric</t>
  </si>
  <si>
    <t>NGC7636</t>
  </si>
  <si>
    <t>23h22m33.1s</t>
  </si>
  <si>
    <t>-29h16m51s</t>
  </si>
  <si>
    <t>extremely faint, small, round, suddenly brighter middle</t>
  </si>
  <si>
    <t>eF, S, R, sbM</t>
  </si>
  <si>
    <t>NGC7637</t>
  </si>
  <si>
    <t>23h26m28.3s</t>
  </si>
  <si>
    <t>-81h54m40s</t>
  </si>
  <si>
    <t>very faint, pretty large, round, a very little brighter middle, star near</t>
  </si>
  <si>
    <t>vF, pL, R, vlbM, * nr</t>
  </si>
  <si>
    <t>NGC7638</t>
  </si>
  <si>
    <t>23h22m33s</t>
  </si>
  <si>
    <t>+11h19m46s</t>
  </si>
  <si>
    <t>(one of) 2 nebulae, faint, small</t>
  </si>
  <si>
    <t>2 neb, F, S</t>
  </si>
  <si>
    <t>NGC7639</t>
  </si>
  <si>
    <t>23h22m48.2s</t>
  </si>
  <si>
    <t>+11h22m24s</t>
  </si>
  <si>
    <t>NGC7640</t>
  </si>
  <si>
    <t>23h22m6.6s</t>
  </si>
  <si>
    <t>considerably faint, large, much extended 164°, very little brighter middle, mottled but not resolved</t>
  </si>
  <si>
    <t>cF, L, mE 164°, vlbM, r</t>
  </si>
  <si>
    <t>NGC7641</t>
  </si>
  <si>
    <t>vF, S, iR, dif, lbM</t>
  </si>
  <si>
    <t>NGC7642</t>
  </si>
  <si>
    <t>23h22m53.4s</t>
  </si>
  <si>
    <t>+1h26m34s</t>
  </si>
  <si>
    <t>NGC7643</t>
  </si>
  <si>
    <t>23h22m50.4s</t>
  </si>
  <si>
    <t>+11h59m19s</t>
  </si>
  <si>
    <t>faint, pretty small, irregularly round, diffuse, a little brighter middle</t>
  </si>
  <si>
    <t>F, pS, iR, dif, lbM</t>
  </si>
  <si>
    <t>NGC7644</t>
  </si>
  <si>
    <t>NGC7645</t>
  </si>
  <si>
    <t>23h23m47.4s</t>
  </si>
  <si>
    <t>-29h23m17s</t>
  </si>
  <si>
    <t>NGC7646</t>
  </si>
  <si>
    <t>23h24m6.9s</t>
  </si>
  <si>
    <t>-11h51m37s</t>
  </si>
  <si>
    <t>very faint, very small, extended 260° (nebulosity?), 9th magnitude star 3.6 arcmin to north</t>
  </si>
  <si>
    <t>vF, vS, E 260° (neb?), * 9 n 3'.6</t>
  </si>
  <si>
    <t>NGC7647</t>
  </si>
  <si>
    <t>23h23m57.4s</t>
  </si>
  <si>
    <t>+16h46m40s</t>
  </si>
  <si>
    <t>extremely faint, considerably large (?), a row of stars to west</t>
  </si>
  <si>
    <t>eF, cL(?), p a row of st</t>
  </si>
  <si>
    <t>NGC7648</t>
  </si>
  <si>
    <t>23h23m54.2s</t>
  </si>
  <si>
    <t>+9h40m6s</t>
  </si>
  <si>
    <t>very faint, pretty small, a little extended, brighter middle</t>
  </si>
  <si>
    <t>vF, pS, lE, bM</t>
  </si>
  <si>
    <t>NGC7649</t>
  </si>
  <si>
    <t>23h24m20.1s</t>
  </si>
  <si>
    <t>+14h38m49s</t>
  </si>
  <si>
    <t>NGC7650</t>
  </si>
  <si>
    <t>23h25m20.9s</t>
  </si>
  <si>
    <t>-57h47m28s</t>
  </si>
  <si>
    <t>pretty faint, pretty small, round, gradually a little brighter middle, northwestern of 2</t>
  </si>
  <si>
    <t>pF, pS, R, glbM, np of 2</t>
  </si>
  <si>
    <t>NGC7651</t>
  </si>
  <si>
    <t>23h24m25.6s</t>
  </si>
  <si>
    <t>+13h58m2s</t>
  </si>
  <si>
    <t>NGC7652</t>
  </si>
  <si>
    <t>23h25m37.6s</t>
  </si>
  <si>
    <t>-57h53m15s</t>
  </si>
  <si>
    <t>extremely faint, small, round, southeastern of 2</t>
  </si>
  <si>
    <t>eF, S, R, sf of 2</t>
  </si>
  <si>
    <t>NGC7653</t>
  </si>
  <si>
    <t>23h24m49.1s</t>
  </si>
  <si>
    <t>+15h16m32s</t>
  </si>
  <si>
    <t>NGC7654</t>
  </si>
  <si>
    <t>仙后座椒盐星团</t>
  </si>
  <si>
    <t>23h24m48s</t>
  </si>
  <si>
    <t>+61h36m0s</t>
  </si>
  <si>
    <t>a cluster, large, rich, much compressed middle, round, stars from 9th to 13th magnitude</t>
  </si>
  <si>
    <t>Cl, L, Ri, mCM, R, st 9…13</t>
  </si>
  <si>
    <t>NGC7655</t>
  </si>
  <si>
    <t>23h26m45.9s</t>
  </si>
  <si>
    <t>-68h1m39s</t>
  </si>
  <si>
    <t>extremely faint, very small, round, pretty suddenly a little brighter middle, 10th magnitude star 22 seconds of time to west</t>
  </si>
  <si>
    <t>eF, vS, R, pslbM, * 10 p 22s</t>
  </si>
  <si>
    <t>NGC7656</t>
  </si>
  <si>
    <t>23h24m31.5s</t>
  </si>
  <si>
    <t>-19h3m33s</t>
  </si>
  <si>
    <t>NGC7657</t>
  </si>
  <si>
    <t>23h26m47.1s</t>
  </si>
  <si>
    <t>-57h48m19s</t>
  </si>
  <si>
    <t>NGC7658</t>
  </si>
  <si>
    <t>23h26m24.9s</t>
  </si>
  <si>
    <t>-39h13m37s</t>
  </si>
  <si>
    <t>double, both extremely faint, small, round, 4 stars to west</t>
  </si>
  <si>
    <t>D, both eF, S, R, 4 st p</t>
  </si>
  <si>
    <t>NGC7659</t>
  </si>
  <si>
    <t>23h25m55.5s</t>
  </si>
  <si>
    <t>+14h12m35s</t>
  </si>
  <si>
    <t>NGC7660</t>
  </si>
  <si>
    <t>23h25m48.7s</t>
  </si>
  <si>
    <t>+27h1m47s</t>
  </si>
  <si>
    <t>faint, very small, pretty suddenly much brighter middle, 10th magnitude star to west</t>
  </si>
  <si>
    <t>F, vS, psmbM, * 10 p</t>
  </si>
  <si>
    <t>NGC7661</t>
  </si>
  <si>
    <t>23h27m14.5s</t>
  </si>
  <si>
    <t>-65h16m18s</t>
  </si>
  <si>
    <t>extremely faint, considerably large, round, very gradually a very little brighter middle</t>
  </si>
  <si>
    <t>eF, cL, R, vgvlbM</t>
  </si>
  <si>
    <t>NGC7662</t>
  </si>
  <si>
    <t>蓝雪球星云</t>
  </si>
  <si>
    <t>23h25m53.9s</t>
  </si>
  <si>
    <t>+42h32m8s</t>
  </si>
  <si>
    <t>a magnificent or otherwise interesting object, a planetary or annular nebula, very bright, pretty small, round, blue</t>
  </si>
  <si>
    <t>!!! planetary or annular, vB, pS, R, blue</t>
  </si>
  <si>
    <t>NGC7663</t>
  </si>
  <si>
    <t>23h26m40s</t>
  </si>
  <si>
    <t>-4h45m12s</t>
  </si>
  <si>
    <t>NGC7664</t>
  </si>
  <si>
    <t>23h26m39.7s</t>
  </si>
  <si>
    <t>+25h4m49s</t>
  </si>
  <si>
    <t>very faint, star to south, two stars of 11th or 12th magnitude to west</t>
  </si>
  <si>
    <t>vF, * s, 2 st 11·12 p</t>
  </si>
  <si>
    <t>NGC7665</t>
  </si>
  <si>
    <t>23h27m14.8s</t>
  </si>
  <si>
    <t>-9h23m11s</t>
  </si>
  <si>
    <t>NGC7666</t>
  </si>
  <si>
    <t>23h27m24s</t>
  </si>
  <si>
    <t>-4h11m0s</t>
  </si>
  <si>
    <t>NGC7667</t>
  </si>
  <si>
    <t>23h24m23.1s</t>
  </si>
  <si>
    <t>-0h6m31s</t>
  </si>
  <si>
    <t>NGC7668</t>
  </si>
  <si>
    <t>23h26m41.7s</t>
  </si>
  <si>
    <t>-0h11m29s</t>
  </si>
  <si>
    <t>(one of three) very faint (nebulae) surrounding GC 6197</t>
  </si>
  <si>
    <t>vF, surround G.C. 6197</t>
  </si>
  <si>
    <t>NGC7669</t>
  </si>
  <si>
    <t>NGC7670</t>
  </si>
  <si>
    <t>NGC7671</t>
  </si>
  <si>
    <t>23h27m19.3s</t>
  </si>
  <si>
    <t>+12h28m4s</t>
  </si>
  <si>
    <t>pretty bright, small, round, very suddenly much brighter middle, 9th magnitude star to west</t>
  </si>
  <si>
    <t>pB, S, R, vsmbM, * 9 p</t>
  </si>
  <si>
    <t>NGC7672</t>
  </si>
  <si>
    <t>23h27m31.4s</t>
  </si>
  <si>
    <t>+12h23m6s</t>
  </si>
  <si>
    <t>very faint, small, 5' south of h 2242</t>
  </si>
  <si>
    <t>vF, S, 5' s of h 2242</t>
  </si>
  <si>
    <t>NGC7673</t>
  </si>
  <si>
    <t>23h27m41.2s</t>
  </si>
  <si>
    <t>+23h35m21s</t>
  </si>
  <si>
    <t>NGC7674</t>
  </si>
  <si>
    <t>23h27m56.7s</t>
  </si>
  <si>
    <t>+8h46m43s</t>
  </si>
  <si>
    <t>faint, considerably small, gradually brighter middle, western of 2</t>
  </si>
  <si>
    <t>F, cS, gbM, p of 2</t>
  </si>
  <si>
    <t>NGC7675</t>
  </si>
  <si>
    <t>23h28m5.8s</t>
  </si>
  <si>
    <t>+8h46m9s</t>
  </si>
  <si>
    <t>very faint, small, round, gradually brighter middle, eastern of 2</t>
  </si>
  <si>
    <t>vF, S, R, gbM, f of 2</t>
  </si>
  <si>
    <t>NGC7676</t>
  </si>
  <si>
    <t>23h29m1.7s</t>
  </si>
  <si>
    <t>-59h43m0s</t>
  </si>
  <si>
    <t>bright, small, a little extended, very suddenly very much brighter middle equal to 11th magnitude star</t>
  </si>
  <si>
    <t>B, S, lE, vsvmbM * 11</t>
  </si>
  <si>
    <t>NGC7677</t>
  </si>
  <si>
    <t>23h28m6.1s</t>
  </si>
  <si>
    <t>+23h31m53s</t>
  </si>
  <si>
    <t>NGC7678</t>
  </si>
  <si>
    <t>23h28m27.8s</t>
  </si>
  <si>
    <t>+22h25m16s</t>
  </si>
  <si>
    <t>very faint, pretty large, very little extended, a little brighter middle, among 4 stars</t>
  </si>
  <si>
    <t>vF, pL, vlE, lbM, am 4 st</t>
  </si>
  <si>
    <t>NGC7679</t>
  </si>
  <si>
    <t>23h28m46.5s</t>
  </si>
  <si>
    <t>+3h30m39s</t>
  </si>
  <si>
    <t>pretty bright, small, round, much brighter middle and nucleus, stellar</t>
  </si>
  <si>
    <t>pB, S, R, mbMN, stell</t>
  </si>
  <si>
    <t>NGC7680</t>
  </si>
  <si>
    <t>23h28m35.2s</t>
  </si>
  <si>
    <t>+32h24m56s</t>
  </si>
  <si>
    <t>very faint, small, round, a little brighter middle, mottled but not resolved</t>
  </si>
  <si>
    <t>vF, S, R, lbM, r</t>
  </si>
  <si>
    <t>NGC7681</t>
  </si>
  <si>
    <t>23h28m54.8s</t>
  </si>
  <si>
    <t>+17h18m34s</t>
  </si>
  <si>
    <t>very faint, small, irregularly round, mottled but not resolved, double star to east</t>
  </si>
  <si>
    <t>vF, S, iR, r, ** f</t>
  </si>
  <si>
    <t>NGC7682</t>
  </si>
  <si>
    <t>23h29m3.8s</t>
  </si>
  <si>
    <t>+3h32m2s</t>
  </si>
  <si>
    <t>eF, * 14 p 13s.7, ln</t>
  </si>
  <si>
    <t>NGC7683</t>
  </si>
  <si>
    <t>+11h26m43s</t>
  </si>
  <si>
    <t>faint, 13th magnitude star to north</t>
  </si>
  <si>
    <t>F, * 13 n</t>
  </si>
  <si>
    <t>NGC7684</t>
  </si>
  <si>
    <t>23h30m32s</t>
  </si>
  <si>
    <t>+0h4m53s</t>
  </si>
  <si>
    <t>NGC7685</t>
  </si>
  <si>
    <t>23h30m33.3s</t>
  </si>
  <si>
    <t>+3h54m6s</t>
  </si>
  <si>
    <t>extremely faint, considerably large, round, gradually brighter middle, double star near</t>
  </si>
  <si>
    <t>eF, cL, R, gbM, ** nr</t>
  </si>
  <si>
    <t>NGC7686</t>
  </si>
  <si>
    <t>23h30m7.3s</t>
  </si>
  <si>
    <t>+49h8m3s</t>
  </si>
  <si>
    <t>a cluster, poor, a little compressed, stars from 7th to 11th magnitude</t>
  </si>
  <si>
    <t>Cl, P, lC, st 7…11</t>
  </si>
  <si>
    <t>NGC7687</t>
  </si>
  <si>
    <t>23h30m54.4s</t>
  </si>
  <si>
    <t>+3h32m50s</t>
  </si>
  <si>
    <t>very faint, very small, 11th magnitude star 1 second of time to east, 85 arcsec to north</t>
  </si>
  <si>
    <t>vF, vS, * 11 f 1s, n 85"</t>
  </si>
  <si>
    <t>NGC7688</t>
  </si>
  <si>
    <t>23h31m5.4s</t>
  </si>
  <si>
    <t>+21h24m43s</t>
  </si>
  <si>
    <t>faint, very small, diffuse, 11th magnitude star 80</t>
  </si>
  <si>
    <t>F, vS, dif, * 11 201°, 80"</t>
  </si>
  <si>
    <t>NGC7689</t>
  </si>
  <si>
    <t>23h33m16.4s</t>
  </si>
  <si>
    <t>-54h5m39s</t>
  </si>
  <si>
    <t>NGC7690</t>
  </si>
  <si>
    <t>23h33m2.4s</t>
  </si>
  <si>
    <t>-51h41m54s</t>
  </si>
  <si>
    <t>considerably bright, small, a little extended, pretty suddenly brighter middle, 8th magnitude star to east</t>
  </si>
  <si>
    <t>cB, S, lE, psbM, * 8 f</t>
  </si>
  <si>
    <t>NGC7691</t>
  </si>
  <si>
    <t>23h32m24.6s</t>
  </si>
  <si>
    <t>+15h50m56s</t>
  </si>
  <si>
    <t>extremely faint, pretty large, forming a triangle with two 10th magnitude stars</t>
  </si>
  <si>
    <t>eF, pL, Δ with 2 st 10</t>
  </si>
  <si>
    <t>NGC7692</t>
  </si>
  <si>
    <t>23h32m46.7s</t>
  </si>
  <si>
    <t>-5h35m46s</t>
  </si>
  <si>
    <t>a nebula, 9th magnitude star 18 seconds of time to east and 73 arcsec to south</t>
  </si>
  <si>
    <t>Neb, * 9 f 18s, 73" s</t>
  </si>
  <si>
    <t>NGC7693</t>
  </si>
  <si>
    <t>23h33m10.4s</t>
  </si>
  <si>
    <t>-1h17m29s</t>
  </si>
  <si>
    <t>a small nebula or nebulous 14th magnitude star, A. N. 2394</t>
  </si>
  <si>
    <t>S neb or neb * 14 (A.N. 2394)</t>
  </si>
  <si>
    <t>NGC7694</t>
  </si>
  <si>
    <t>23h33m16.1s</t>
  </si>
  <si>
    <t>-2h42m13s</t>
  </si>
  <si>
    <t>extremely faint, pretty large, stellar</t>
  </si>
  <si>
    <t>eF, pL, stellar</t>
  </si>
  <si>
    <t>NGC7695</t>
  </si>
  <si>
    <t>23h33m14.9s</t>
  </si>
  <si>
    <t>-2h43m11s</t>
  </si>
  <si>
    <t>extremely faint, stellar, near III 187</t>
  </si>
  <si>
    <t>eF, stell (nr III 187)</t>
  </si>
  <si>
    <t>NGC7696</t>
  </si>
  <si>
    <t>23h33m50.2s</t>
  </si>
  <si>
    <t>+4h52m17s</t>
  </si>
  <si>
    <t>NGC7697</t>
  </si>
  <si>
    <t>23h34m52.3s</t>
  </si>
  <si>
    <t>-65h23m46s</t>
  </si>
  <si>
    <t>most extremely faint, pretty large, certain</t>
  </si>
  <si>
    <t>eeF, pL (certain)</t>
  </si>
  <si>
    <t>NGC7698</t>
  </si>
  <si>
    <t>23h34m1.5s</t>
  </si>
  <si>
    <t>+24h56m43s</t>
  </si>
  <si>
    <t>very faint, extremely small, round, brighter middle and small nucleus</t>
  </si>
  <si>
    <t>vF, eS, R, bMSN</t>
  </si>
  <si>
    <t>NGC7699</t>
  </si>
  <si>
    <t>23h34m27s</t>
  </si>
  <si>
    <t>-2h54m0s</t>
  </si>
  <si>
    <t>NGC7700</t>
  </si>
  <si>
    <t>23h34m30.2s</t>
  </si>
  <si>
    <t>-2h57m12s</t>
  </si>
  <si>
    <t>NGC7701</t>
  </si>
  <si>
    <t>23h34m31.5s</t>
  </si>
  <si>
    <t>-2h51m18s</t>
  </si>
  <si>
    <t>very faint, small, round, much brighter middle, 11th magnitude star to southwest</t>
  </si>
  <si>
    <t>vF, S, R, mbM, * 11 sp</t>
  </si>
  <si>
    <t>NGC7702</t>
  </si>
  <si>
    <t>23h35m28.8s</t>
  </si>
  <si>
    <t>-56h0m43s</t>
  </si>
  <si>
    <t>bright, considerably small, extended, gradually then suddenly brighter middle, 8th or 9th magnitude star to west</t>
  </si>
  <si>
    <t>B, cS, E, g, sbM, * 8·9 p</t>
  </si>
  <si>
    <t>NGC7703</t>
  </si>
  <si>
    <t>23h34m46.8s</t>
  </si>
  <si>
    <t>+16h4m33s</t>
  </si>
  <si>
    <t>very faint, very small, gradually brighter middle, 14th magnitude star 1 arcmin to northeast</t>
  </si>
  <si>
    <t>vF, vS, gbM, * 14 nf 1'</t>
  </si>
  <si>
    <t>NGC7704</t>
  </si>
  <si>
    <t>23h35m0.9s</t>
  </si>
  <si>
    <t>+4h53m53s</t>
  </si>
  <si>
    <t>extremely faint, 12th magnitude star to west, southwestern of 2</t>
  </si>
  <si>
    <t>eF, * 12 p, sp of 2</t>
  </si>
  <si>
    <t>NGC7705</t>
  </si>
  <si>
    <t>23h35m2.4s</t>
  </si>
  <si>
    <t>+4h48m16s</t>
  </si>
  <si>
    <t>NGC7706</t>
  </si>
  <si>
    <t>23h35m10.4s</t>
  </si>
  <si>
    <t>+4h57m53s</t>
  </si>
  <si>
    <t>very faint, pretty small, 18th magnitude star close to south, northeastern of 2</t>
  </si>
  <si>
    <t>vF, pS, * 18 close s, nf of 2</t>
  </si>
  <si>
    <t>NGC7707</t>
  </si>
  <si>
    <t>23h34m51.3s</t>
  </si>
  <si>
    <t>+44h18m17s</t>
  </si>
  <si>
    <t>extremely faint, small, round, 9th or 10th magnitude star very near to west</t>
  </si>
  <si>
    <t>eF, S, R, * 9·10 p v nr</t>
  </si>
  <si>
    <t>NGC7708</t>
  </si>
  <si>
    <t>23h35m0s</t>
  </si>
  <si>
    <t>+72h50m0s</t>
  </si>
  <si>
    <t>a cluster, large, poor, a little compressed, stars of 8th and from 10th to 15th magnitude</t>
  </si>
  <si>
    <t>Cl, L, P, lC, st 10…15</t>
  </si>
  <si>
    <t>NGC7709</t>
  </si>
  <si>
    <t>23h35m27.2s</t>
  </si>
  <si>
    <t>-16h42m20s</t>
  </si>
  <si>
    <t>NGC7710</t>
  </si>
  <si>
    <t>23h35m46.1s</t>
  </si>
  <si>
    <t>-2h52m51s</t>
  </si>
  <si>
    <t>NGC7711</t>
  </si>
  <si>
    <t>23h35m39.4s</t>
  </si>
  <si>
    <t>+15h18m6s</t>
  </si>
  <si>
    <t>faint, small, round, pretty suddenly brighter middle, stellar</t>
  </si>
  <si>
    <t>F, S, R, psbM, stellar</t>
  </si>
  <si>
    <t>NGC7712</t>
  </si>
  <si>
    <t>23h35m51.5s</t>
  </si>
  <si>
    <t>+23h37m6s</t>
  </si>
  <si>
    <t>NGC7713</t>
  </si>
  <si>
    <t>23h36m15.3s</t>
  </si>
  <si>
    <t>-37h56m20s</t>
  </si>
  <si>
    <t>pretty bright, large, extended, very gradually brighter middle</t>
  </si>
  <si>
    <t>pB, L, E, vgbM</t>
  </si>
  <si>
    <t>NGC7714</t>
  </si>
  <si>
    <t>23h36m14.1s</t>
  </si>
  <si>
    <t>+2h9m17s</t>
  </si>
  <si>
    <t>pretty bright, small, round, pretty suddenly brighter middle, 12th magnitude star to southwest, 6th magnitude star to southeast</t>
  </si>
  <si>
    <t>pB, S, R, psbM, * 12 sp, * 6 sf</t>
  </si>
  <si>
    <t>NGC7715</t>
  </si>
  <si>
    <t>23h36m21.7s</t>
  </si>
  <si>
    <t>+2h9m23s</t>
  </si>
  <si>
    <t>NGC7716</t>
  </si>
  <si>
    <t>23h36m31.3s</t>
  </si>
  <si>
    <t>+0h17m51s</t>
  </si>
  <si>
    <t>faint, pretty large, a little extended, gradually brighter middle, 10th magnitude star to south</t>
  </si>
  <si>
    <t>F, pL, lE, gbM, * 10 s</t>
  </si>
  <si>
    <t>NGC7717</t>
  </si>
  <si>
    <t>23h37m43.6s</t>
  </si>
  <si>
    <t>-15h7m7s</t>
  </si>
  <si>
    <t>NGC7718</t>
  </si>
  <si>
    <t>23h38m4.9s</t>
  </si>
  <si>
    <t>+25h43m11s</t>
  </si>
  <si>
    <t>NGC7719</t>
  </si>
  <si>
    <t>23h38m2.6s</t>
  </si>
  <si>
    <t>-22h58m29s</t>
  </si>
  <si>
    <t>NGC7720</t>
  </si>
  <si>
    <t>23h38m29.3s</t>
  </si>
  <si>
    <t>+27h1m52s</t>
  </si>
  <si>
    <t>faint, small, a little extended, brighter middle, among stars</t>
  </si>
  <si>
    <t>F, S, lE, bM, am st</t>
  </si>
  <si>
    <t>NGC7721</t>
  </si>
  <si>
    <t>23h38m48.6s</t>
  </si>
  <si>
    <t>-6h31m4s</t>
  </si>
  <si>
    <t>pretty faint, considerably large, extended 12°±, very gradually brighter middle</t>
  </si>
  <si>
    <t>pF, cL, E 12° ±, vgbM</t>
  </si>
  <si>
    <t>NGC7722</t>
  </si>
  <si>
    <t>23h38m40.9s</t>
  </si>
  <si>
    <t>+15h57m17s</t>
  </si>
  <si>
    <t>pretty bright, pretty large, round, much brighter middle</t>
  </si>
  <si>
    <t>pB, pL, R, mbM</t>
  </si>
  <si>
    <t>NGC7723</t>
  </si>
  <si>
    <t>23h38m57s</t>
  </si>
  <si>
    <t>-12h57m40s</t>
  </si>
  <si>
    <t>considerably bright, considerably large, extended, gradually much brighter middle, mottled but not resolved</t>
  </si>
  <si>
    <t>cB, cL, E, gmbM, r</t>
  </si>
  <si>
    <t>NGC7724</t>
  </si>
  <si>
    <t>23h39m7s</t>
  </si>
  <si>
    <t>-12h13m27s</t>
  </si>
  <si>
    <t>NGC7725</t>
  </si>
  <si>
    <t>23h39m14.7s</t>
  </si>
  <si>
    <t>-4h32m20s</t>
  </si>
  <si>
    <t>NGC7726</t>
  </si>
  <si>
    <t>23h39m11.9s</t>
  </si>
  <si>
    <t>+27h6m54s</t>
  </si>
  <si>
    <t>NGC7727</t>
  </si>
  <si>
    <t>23h39m53.7s</t>
  </si>
  <si>
    <t>-12h17m34s</t>
  </si>
  <si>
    <t>NGC7728</t>
  </si>
  <si>
    <t>23h40m0.7s</t>
  </si>
  <si>
    <t>+27h8m0s</t>
  </si>
  <si>
    <t>very faint, very small, a little extended, 10th magnitude star to southwest</t>
  </si>
  <si>
    <t>vF, vS, lE, * 10 sp</t>
  </si>
  <si>
    <t>NGC7729</t>
  </si>
  <si>
    <t>23h40m33.6s</t>
  </si>
  <si>
    <t>+29h11m17s</t>
  </si>
  <si>
    <t>very faint, small, irregularly extended, faint star involved on south side</t>
  </si>
  <si>
    <t>vF, S, iE, F * inv s</t>
  </si>
  <si>
    <t>NGC7730</t>
  </si>
  <si>
    <t>23h40m45.8s</t>
  </si>
  <si>
    <t>-20h30m32s</t>
  </si>
  <si>
    <t>NGC7731</t>
  </si>
  <si>
    <t>23h41m29s</t>
  </si>
  <si>
    <t>+3h44m26s</t>
  </si>
  <si>
    <t>NGC7732</t>
  </si>
  <si>
    <t>23h41m34s</t>
  </si>
  <si>
    <t>+3h43m30s</t>
  </si>
  <si>
    <t>NGC7733</t>
  </si>
  <si>
    <t>23h42m32.9s</t>
  </si>
  <si>
    <t>-65h57m22s</t>
  </si>
  <si>
    <t>NGC7734</t>
  </si>
  <si>
    <t>23h42m43s</t>
  </si>
  <si>
    <t>-65h56m39s</t>
  </si>
  <si>
    <t>extremely faint, considerably small, round, eastern of 2</t>
  </si>
  <si>
    <t>eF, cS, R, f of 2</t>
  </si>
  <si>
    <t>NGC7735</t>
  </si>
  <si>
    <t>23h42m17.3s</t>
  </si>
  <si>
    <t>+26h13m56s</t>
  </si>
  <si>
    <t>very faint, small, very little extended, 13th magnitude star to the northeast, very near</t>
  </si>
  <si>
    <t>vF, S, vlE, * 13 nf, v nr</t>
  </si>
  <si>
    <t>NGC7736</t>
  </si>
  <si>
    <t>23h42m25.7s</t>
  </si>
  <si>
    <t>-19h27m9s</t>
  </si>
  <si>
    <t>extremely faint, extremely small, gradually brighter middle, between two 12th magnitude stars</t>
  </si>
  <si>
    <t>eF, eS, gbM, bet 2 st 12</t>
  </si>
  <si>
    <t>NGC7737</t>
  </si>
  <si>
    <t>23h42m46.3s</t>
  </si>
  <si>
    <t>+27h3m9s</t>
  </si>
  <si>
    <t>very faint, small, much brighter middle and nucleus</t>
  </si>
  <si>
    <t>vF, S, mbMN</t>
  </si>
  <si>
    <t>NGC7738</t>
  </si>
  <si>
    <t>23h44m2s</t>
  </si>
  <si>
    <t>+0h31m3s</t>
  </si>
  <si>
    <t>very faint, northern of 2</t>
  </si>
  <si>
    <t>vF, n of 2</t>
  </si>
  <si>
    <t>NGC7739</t>
  </si>
  <si>
    <t>23h44m30s</t>
  </si>
  <si>
    <t>+0h19m16s</t>
  </si>
  <si>
    <t>southern of 2, very near</t>
  </si>
  <si>
    <t>s of 2, v nr</t>
  </si>
  <si>
    <t>NGC7740</t>
  </si>
  <si>
    <t>23h43m32.2s</t>
  </si>
  <si>
    <t>+27h18m45s</t>
  </si>
  <si>
    <t>very faint, small, a little brighter middle, stellar</t>
  </si>
  <si>
    <t>vF, S, lbM, stellar</t>
  </si>
  <si>
    <t>NGC7741</t>
  </si>
  <si>
    <t>23h43m54.3s</t>
  </si>
  <si>
    <t>+26h4m31s</t>
  </si>
  <si>
    <t>considerably faint, considerably large, irregularly round, double star of 10th and 12th magnitudes 2 arcmin to northwest</t>
  </si>
  <si>
    <t>cF, cL, iR, D * 10,12 np 2'</t>
  </si>
  <si>
    <t>NGC7742</t>
  </si>
  <si>
    <t>荷包蛋星系</t>
  </si>
  <si>
    <t>23h44m15.7s</t>
  </si>
  <si>
    <t>+10h46m1s</t>
  </si>
  <si>
    <t>considerably bright, considerably small, gradually much brighter middle, 12th magnitude star 72 arcsec to east</t>
  </si>
  <si>
    <t>cB, cS, gmbM, * 12 f 72"</t>
  </si>
  <si>
    <t>NGC7743</t>
  </si>
  <si>
    <t>23h44m21.1s</t>
  </si>
  <si>
    <t>+9h56m2s</t>
  </si>
  <si>
    <t>pretty faint, small, round, 14th magnitude star to southeast</t>
  </si>
  <si>
    <t>pF, S, R, * 14 sf</t>
  </si>
  <si>
    <t>NGC7744</t>
  </si>
  <si>
    <t>23h44m59.2s</t>
  </si>
  <si>
    <t>-42h54m36s</t>
  </si>
  <si>
    <t>considerably bright, small, very little extended, suddenly very much brighter middle equal to 14th magnitude star</t>
  </si>
  <si>
    <t>cB, S, vlE, svmbM * 14</t>
  </si>
  <si>
    <t>NGC7745</t>
  </si>
  <si>
    <t>23h44m45.7s</t>
  </si>
  <si>
    <t>+25h54m34s</t>
  </si>
  <si>
    <t>NGC7746</t>
  </si>
  <si>
    <t>23h45m19.9s</t>
  </si>
  <si>
    <t>-1h41m4s</t>
  </si>
  <si>
    <t>extremely faint, pretty small, round, star near to south</t>
  </si>
  <si>
    <t>eF, pS, R, * nr s</t>
  </si>
  <si>
    <t>NGC7747</t>
  </si>
  <si>
    <t>23h45m32.5s</t>
  </si>
  <si>
    <t>+27h21m38s</t>
  </si>
  <si>
    <t>NGC7748</t>
  </si>
  <si>
    <t>23h44m56.5s</t>
  </si>
  <si>
    <t>+69h45m19s</t>
  </si>
  <si>
    <t>a very large nebulosity, surrounds 7th magnitude star</t>
  </si>
  <si>
    <t>vL neby, surrounds * 7</t>
  </si>
  <si>
    <t>NGC7749</t>
  </si>
  <si>
    <t>23h45m47.5s</t>
  </si>
  <si>
    <t>-29h31m4s</t>
  </si>
  <si>
    <t>very faint, small, round, gradually much brighter middle, 12th magnitude star to east</t>
  </si>
  <si>
    <t>vF, S, R, gmbM, * 12 f</t>
  </si>
  <si>
    <t>NGC7750</t>
  </si>
  <si>
    <t>23h46m37.8s</t>
  </si>
  <si>
    <t>+3h47m59s</t>
  </si>
  <si>
    <t>considerably faint, pretty large, very little extended 0°, a little brighter middle, 11th magnitude star to southeast</t>
  </si>
  <si>
    <t>cF, pL, vlE 0°, lbM, * 11 sf</t>
  </si>
  <si>
    <t>NGC7751</t>
  </si>
  <si>
    <t>23h46m58.4s</t>
  </si>
  <si>
    <t>+6h51m43s</t>
  </si>
  <si>
    <t>faint, small, round, gradually brighter middle, extremely mottled but not resolved</t>
  </si>
  <si>
    <t>F, S, R, gbM, er</t>
  </si>
  <si>
    <t>NGC7752</t>
  </si>
  <si>
    <t>23h46m58.5s</t>
  </si>
  <si>
    <t>+29h27m34s</t>
  </si>
  <si>
    <t>faint, small, a little extended, west of h 2268</t>
  </si>
  <si>
    <t>F, S, lE, p h 2268</t>
  </si>
  <si>
    <t>NGC7753</t>
  </si>
  <si>
    <t>23h47m4.8s</t>
  </si>
  <si>
    <t>+29h29m2s</t>
  </si>
  <si>
    <t>cF, cL, vlE, vglbM, r</t>
  </si>
  <si>
    <t>NGC7754</t>
  </si>
  <si>
    <t>23h49m11.2s</t>
  </si>
  <si>
    <t>-16h36m2s</t>
  </si>
  <si>
    <t>NGC7755</t>
  </si>
  <si>
    <t>23h47m51.9s</t>
  </si>
  <si>
    <t>-30h31m25s</t>
  </si>
  <si>
    <t>bright, considerably large, round, pretty suddenly much brighter middle</t>
  </si>
  <si>
    <t>B, cL, R, psmbM</t>
  </si>
  <si>
    <t>NGC7756</t>
  </si>
  <si>
    <t>23h48m28.5s</t>
  </si>
  <si>
    <t>+4h7m32s</t>
  </si>
  <si>
    <t>a nebula, 5 arcmin southwest of h 2270</t>
  </si>
  <si>
    <t>Neb, 5' sp h 2270</t>
  </si>
  <si>
    <t>NGC7757</t>
  </si>
  <si>
    <t>23h48m45.5s</t>
  </si>
  <si>
    <t>+4h10m17s</t>
  </si>
  <si>
    <t>very faint, considerably large, very little extended, very gradually a little brighter middle, two 13th magnitude stars to north</t>
  </si>
  <si>
    <t>vF, cL, vlE, vglbM, 2 st 13 n</t>
  </si>
  <si>
    <t>NGC7758</t>
  </si>
  <si>
    <t>23h48m55.1s</t>
  </si>
  <si>
    <t>-22h1m27s</t>
  </si>
  <si>
    <t>extremely faint, very small, irregularly round, suddenly brighter middle, 10th magnitude double star 50 seconds of time to northeast</t>
  </si>
  <si>
    <t>eF, vS, iR, sbM, D * 10 nf 50s</t>
  </si>
  <si>
    <t>NGC7759</t>
  </si>
  <si>
    <t>23h48m54.6s</t>
  </si>
  <si>
    <t>-16h32m27s</t>
  </si>
  <si>
    <t>very faint, small, round, a little brighter middle, bright star to north</t>
  </si>
  <si>
    <t>vF, S, R, lbM, B * n</t>
  </si>
  <si>
    <t>NGC7760</t>
  </si>
  <si>
    <t>23h49m11.9s</t>
  </si>
  <si>
    <t>+30h58m59s</t>
  </si>
  <si>
    <t>considerably bright, very small, round, pretty suddenly brighter middle, 12th magnitude star attached</t>
  </si>
  <si>
    <t>cB, vS, R, psbM, * 12 att</t>
  </si>
  <si>
    <t>NGC7761</t>
  </si>
  <si>
    <t>23h51m28.8s</t>
  </si>
  <si>
    <t>-13h22m52s</t>
  </si>
  <si>
    <t>faint, very small, round, gradually brighter middle, 10th magnitude star 8 arcmin to west</t>
  </si>
  <si>
    <t>F, vS, R, gbM, * 10 p 8'</t>
  </si>
  <si>
    <t>NGC7762</t>
  </si>
  <si>
    <t>23h50m0s</t>
  </si>
  <si>
    <t>+68h2m18s</t>
  </si>
  <si>
    <t>a cluster, pretty rich, pretty compressed, stars from 11th to 15th magnitude</t>
  </si>
  <si>
    <t>Cl, pRi, pC, st 11…15</t>
  </si>
  <si>
    <t>NGC7763</t>
  </si>
  <si>
    <t>23h50m15.7s</t>
  </si>
  <si>
    <t>-16h35m23s</t>
  </si>
  <si>
    <t>extremely faint, very small, round, faint star to east</t>
  </si>
  <si>
    <t>eF, vS, R, F * f</t>
  </si>
  <si>
    <t>NGC7764</t>
  </si>
  <si>
    <t>23h50m53.6s</t>
  </si>
  <si>
    <t>-40h43m48s</t>
  </si>
  <si>
    <t>NGC7765</t>
  </si>
  <si>
    <t>23h50m52.4s</t>
  </si>
  <si>
    <t>+27h9m57s</t>
  </si>
  <si>
    <t>very very faint, 100 arcsec northwest of h 2273</t>
  </si>
  <si>
    <t>vvF, 100" np h 2273</t>
  </si>
  <si>
    <t>NGC7766</t>
  </si>
  <si>
    <t>23h50m55.8s</t>
  </si>
  <si>
    <t>+27h7m37s</t>
  </si>
  <si>
    <t>very faint, small, 85 arcsec south of h 2273</t>
  </si>
  <si>
    <t>vF, S, 85" s of h 2273</t>
  </si>
  <si>
    <t>NGC7767</t>
  </si>
  <si>
    <t>23h50m56.5s</t>
  </si>
  <si>
    <t>+27h5m12s</t>
  </si>
  <si>
    <t>very faint, small, a little extended, star 19 arcsec to west</t>
  </si>
  <si>
    <t>vF, S, lE, * p 19"</t>
  </si>
  <si>
    <t>NGC7768</t>
  </si>
  <si>
    <t>23h50m58.4s</t>
  </si>
  <si>
    <t>+27h8m52s</t>
  </si>
  <si>
    <t>very faint, small, extended, star involved, star very near to west</t>
  </si>
  <si>
    <t>vF, S, E, * inv, * p v nr</t>
  </si>
  <si>
    <t>NGC7769</t>
  </si>
  <si>
    <t>23h51m4.1s</t>
  </si>
  <si>
    <t>+20h9m2s</t>
  </si>
  <si>
    <t>NGC7770</t>
  </si>
  <si>
    <t>23h51m22.5s</t>
  </si>
  <si>
    <t>+20h5m49s</t>
  </si>
  <si>
    <t>very faint, very small, irregularly round, southern of 2</t>
  </si>
  <si>
    <t>vF, vS, iR, s of 2</t>
  </si>
  <si>
    <t>NGC7771</t>
  </si>
  <si>
    <t>23h51m24.6s</t>
  </si>
  <si>
    <t>+20h6m44s</t>
  </si>
  <si>
    <t>pretty bright, pretty large, extended 84°, brighter middle, northern of 2</t>
  </si>
  <si>
    <t>pB, pL, E 84°, bM, n of 2</t>
  </si>
  <si>
    <t>NGC7772</t>
  </si>
  <si>
    <t>23h51m45s</t>
  </si>
  <si>
    <t>+16h14m54s</t>
  </si>
  <si>
    <t>a cluster of scattered 10th magnitude stars</t>
  </si>
  <si>
    <t>Cl of sc st 10 m</t>
  </si>
  <si>
    <t>NGC7773</t>
  </si>
  <si>
    <t>23h52m10s</t>
  </si>
  <si>
    <t>+31h16m37s</t>
  </si>
  <si>
    <t>pretty faint, considerably small, round, 13th magnitude star near to northeast</t>
  </si>
  <si>
    <t>pF, cS, R, * 13 nf nr</t>
  </si>
  <si>
    <t>NGC7774</t>
  </si>
  <si>
    <t>23h52m10.6s</t>
  </si>
  <si>
    <t>extremely faint, small, round, in center of 3 stars</t>
  </si>
  <si>
    <t>eF, S, R, in centre of 3 st</t>
  </si>
  <si>
    <t>NGC7775</t>
  </si>
  <si>
    <t>23h52m24.4s</t>
  </si>
  <si>
    <t>+28h46m21s</t>
  </si>
  <si>
    <t>vF, pS, lE, glbM</t>
  </si>
  <si>
    <t>NGC7776</t>
  </si>
  <si>
    <t>23h54m16.5s</t>
  </si>
  <si>
    <t>-13h35m11s</t>
  </si>
  <si>
    <t>extremely faint, very small, a little extended, gradually brighter middle</t>
  </si>
  <si>
    <t>eF, vS, lE, gbM</t>
  </si>
  <si>
    <t>NGC7777</t>
  </si>
  <si>
    <t>23h53m12.5s</t>
  </si>
  <si>
    <t>+28h17m2s</t>
  </si>
  <si>
    <t>NGC7778</t>
  </si>
  <si>
    <t>23h53m19.5s</t>
  </si>
  <si>
    <t>+7h52m14s</t>
  </si>
  <si>
    <t>considerably faint, small, round, pretty suddenly brighter middle, stellar, 1st of 4</t>
  </si>
  <si>
    <t>cF, S, R, psbM, stellar, 1st of 4</t>
  </si>
  <si>
    <t>NGC7779</t>
  </si>
  <si>
    <t>23h53m26.6s</t>
  </si>
  <si>
    <t>+7h52m34s</t>
  </si>
  <si>
    <t>pretty faint, small, round, pretty suddenly brighter middle, stellar, 2nd of 4</t>
  </si>
  <si>
    <t>pF, S, R, psbM, stellar, 2nd of 4</t>
  </si>
  <si>
    <t>NGC7780</t>
  </si>
  <si>
    <t>23h53m32.1s</t>
  </si>
  <si>
    <t>+8h7m6s</t>
  </si>
  <si>
    <t>very faint, very small, round, a little brighter middle, faint star involved</t>
  </si>
  <si>
    <t>vF, vS, R, lbM, F * inv</t>
  </si>
  <si>
    <t>NGC7781</t>
  </si>
  <si>
    <t>23h53m45.9s</t>
  </si>
  <si>
    <t>+7h51m39s</t>
  </si>
  <si>
    <t>faint, small, round, 3rd of 4</t>
  </si>
  <si>
    <t>F, S, R, 3rd of 4</t>
  </si>
  <si>
    <t>NGC7782</t>
  </si>
  <si>
    <t>23h53m53.9s</t>
  </si>
  <si>
    <t>+7h58m14s</t>
  </si>
  <si>
    <t>pretty faint, pretty large, a little extended, gradually a little brighter middle, 4th of 4</t>
  </si>
  <si>
    <t>pF, pL, lE, glbM, 4th of 4</t>
  </si>
  <si>
    <t>NGC7783</t>
  </si>
  <si>
    <t>23h54m10.1s</t>
  </si>
  <si>
    <t>+0h23m0s</t>
  </si>
  <si>
    <t>NGC7784</t>
  </si>
  <si>
    <t>23h55m13.6s</t>
  </si>
  <si>
    <t>+21h45m46s</t>
  </si>
  <si>
    <t>very faint, extremely small, a little brighter middle, mottled but not resolved?, western of 2</t>
  </si>
  <si>
    <t>vF, eS, lbM, r?, p of 2</t>
  </si>
  <si>
    <t>NGC7785</t>
  </si>
  <si>
    <t>23h55m18.9s</t>
  </si>
  <si>
    <t>+5h54m58s</t>
  </si>
  <si>
    <t>pretty bright, pretty small, irregularly round, pretty suddenly brighter middle, mottled but not resolved, 8th magnitude star 4.5 arcmin to west</t>
  </si>
  <si>
    <t>pB, pS, iR, psbM, r, * 8 p 4'.5</t>
  </si>
  <si>
    <t>NGC7786</t>
  </si>
  <si>
    <t>23h55m21.7s</t>
  </si>
  <si>
    <t>+21h35m19s</t>
  </si>
  <si>
    <t>pretty faint, pretty small, a little extended, very faint star involved, eastern of 2</t>
  </si>
  <si>
    <t>pF, pS, lE, vF st inv, f of 2</t>
  </si>
  <si>
    <t>NGC7787</t>
  </si>
  <si>
    <t>23h55m52s</t>
  </si>
  <si>
    <t>+0h33m28s</t>
  </si>
  <si>
    <t>NGC7788</t>
  </si>
  <si>
    <t>23h56m46s</t>
  </si>
  <si>
    <t>+61h24m0s</t>
  </si>
  <si>
    <t>a cluster, small, pretty rich, very compressed, stars of 10th magnitude and from 13th magnitude</t>
  </si>
  <si>
    <t>Cl, S, pRi, vC, st 10, 13…</t>
  </si>
  <si>
    <t>NGC7789</t>
  </si>
  <si>
    <t>卡洛琳玫瑰星团</t>
  </si>
  <si>
    <t>23h57m28.6s</t>
  </si>
  <si>
    <t>+56h42m52s</t>
  </si>
  <si>
    <t>a cluster, very large, very rich, very much compressed, stars from 11th to 18th magnitude</t>
  </si>
  <si>
    <t>Cl, vL, vRi, vmC, st 11…18</t>
  </si>
  <si>
    <t>NGC7790</t>
  </si>
  <si>
    <t>寡妇的网星团</t>
  </si>
  <si>
    <t>23h58m24.2s</t>
  </si>
  <si>
    <t>+61h12m30s</t>
  </si>
  <si>
    <t>NGC7791</t>
  </si>
  <si>
    <t>23h57m57.2s</t>
  </si>
  <si>
    <t>+10h45m58s</t>
  </si>
  <si>
    <t>very faint, very small, a faint star?, [d'Arrest not found]</t>
  </si>
  <si>
    <t>vF, vS, ? F * (d'A not found)</t>
  </si>
  <si>
    <t>NGC7792</t>
  </si>
  <si>
    <t>23h58m3.6s</t>
  </si>
  <si>
    <t>+16h30m7s</t>
  </si>
  <si>
    <t>NGC7793</t>
  </si>
  <si>
    <t>邦德星系</t>
  </si>
  <si>
    <t>23h57m49.2s</t>
  </si>
  <si>
    <t>-32h35m30s</t>
  </si>
  <si>
    <t>like a comet (1850)</t>
  </si>
  <si>
    <t>Like a comet (1850)</t>
  </si>
  <si>
    <t>NGC7794</t>
  </si>
  <si>
    <t>23h58m34.1s</t>
  </si>
  <si>
    <t>+10h43m42s</t>
  </si>
  <si>
    <t>NGC7795</t>
  </si>
  <si>
    <t>23h58m34.5s</t>
  </si>
  <si>
    <t>+60h1m25s</t>
  </si>
  <si>
    <t>a cluster, very large, poor, a little compressed, stars of 7th magnitude and from 10th magnitude</t>
  </si>
  <si>
    <t>Cl, vL, P, lC, st 7, 10…</t>
  </si>
  <si>
    <t>NGC7796</t>
  </si>
  <si>
    <t>23h58m59.7s</t>
  </si>
  <si>
    <t>-55h27m29s</t>
  </si>
  <si>
    <t>pretty bright, considerably small, round, gradually much brighter middle</t>
  </si>
  <si>
    <t>pB, cS, R, gmbM</t>
  </si>
  <si>
    <t>NGC7797</t>
  </si>
  <si>
    <t>23h58m58.8s</t>
  </si>
  <si>
    <t>+3h38m3s</t>
  </si>
  <si>
    <t>extremely faint, pretty small, irregularly round, a little brighter middle</t>
  </si>
  <si>
    <t>eF, pS, iR, lbM</t>
  </si>
  <si>
    <t>NGC7798</t>
  </si>
  <si>
    <t>23h59m25.6s</t>
  </si>
  <si>
    <t>+20h45m0s</t>
  </si>
  <si>
    <t>pretty faint, small, round, suddenly brighter middle, 10th magnitude star to southwest</t>
  </si>
  <si>
    <t>pF, S, R, sbM, * 10 sp</t>
  </si>
  <si>
    <t>NGC7799</t>
  </si>
  <si>
    <t>23h59m31.5s</t>
  </si>
  <si>
    <t>+31h17m46s</t>
  </si>
  <si>
    <t>very faint, very small, 16th magnitude star close to west</t>
  </si>
  <si>
    <t>vF, vS, * 16 close p</t>
  </si>
  <si>
    <t>NGC7800</t>
  </si>
  <si>
    <t>23h59m37s</t>
  </si>
  <si>
    <t>+14h48m27s</t>
  </si>
  <si>
    <t>faint, pretty small, extended 39°</t>
  </si>
  <si>
    <t>F, pS, E 39°</t>
  </si>
  <si>
    <t>NGC7801</t>
  </si>
  <si>
    <t>0h0m23s</t>
  </si>
  <si>
    <t>+50h44m24s</t>
  </si>
  <si>
    <t>a cluster, pretty rich, pretty compressed, stars from 9th magnitude</t>
  </si>
  <si>
    <t>Cl, pRi, pC, st 9…</t>
  </si>
  <si>
    <t>NGC7802</t>
  </si>
  <si>
    <t>0h1m0.5s</t>
  </si>
  <si>
    <t>+6h14m30s</t>
  </si>
  <si>
    <t>NGC7803</t>
  </si>
  <si>
    <t>0h1m20s</t>
  </si>
  <si>
    <t>+13h6m41s</t>
  </si>
  <si>
    <t>pretty faint, pretty small, round, faint star very near to northwest</t>
  </si>
  <si>
    <t>pF, pS, R, F * np v nr</t>
  </si>
  <si>
    <t>NGC7804</t>
  </si>
  <si>
    <t>0h1m18.8s</t>
  </si>
  <si>
    <t>+7h44m55s</t>
  </si>
  <si>
    <t>very faint, a double star, nebulous?</t>
  </si>
  <si>
    <t>vF, D *, nebulous ?</t>
  </si>
  <si>
    <t>NGC7805</t>
  </si>
  <si>
    <t>0h1m26.7s</t>
  </si>
  <si>
    <t>+31h26m1s</t>
  </si>
  <si>
    <t>extremely faint, small, round, suddenly brighter middle, stellar, southwestern of 2</t>
  </si>
  <si>
    <t>eF, S, R, sbM, stellar, sp of 2</t>
  </si>
  <si>
    <t>NGC7806</t>
  </si>
  <si>
    <t>0h1m30.1s</t>
  </si>
  <si>
    <t>+31h26m31s</t>
  </si>
  <si>
    <t>eF, S, R, stellar, nf of 2</t>
  </si>
  <si>
    <t>NGC7807</t>
  </si>
  <si>
    <t>0h0m26.6s</t>
  </si>
  <si>
    <t>-18h50m31s</t>
  </si>
  <si>
    <t>NGC7808</t>
  </si>
  <si>
    <t>0h3m32.1s</t>
  </si>
  <si>
    <t>-10h44m39s</t>
  </si>
  <si>
    <t>extremely faint, very small, round, stellar nucleus, 8.5 magnitude star 3 arcmin to southwest</t>
  </si>
  <si>
    <t>eF, vS, R, stell N, * 8.5 sp 3'</t>
  </si>
  <si>
    <t>NGC7809</t>
  </si>
  <si>
    <t>0h2m9.4s</t>
  </si>
  <si>
    <t>+2h56m26s</t>
  </si>
  <si>
    <t>NGC7810</t>
  </si>
  <si>
    <t>0h2m19.1s</t>
  </si>
  <si>
    <t>+12h58m18s</t>
  </si>
  <si>
    <t>pretty faint, stellar, 2 stars in line to northwest</t>
  </si>
  <si>
    <t>pF, stellar, 2 st np in line</t>
  </si>
  <si>
    <t>NGC7811</t>
  </si>
  <si>
    <t>0h2m26.4s</t>
  </si>
  <si>
    <t>+3h21m7s</t>
  </si>
  <si>
    <t>NGC7812</t>
  </si>
  <si>
    <t>0h2m54.2s</t>
  </si>
  <si>
    <t>-34h14m9s</t>
  </si>
  <si>
    <t>NGC7813</t>
  </si>
  <si>
    <t>0h4m9.2s</t>
  </si>
  <si>
    <t>-11h59m2s</t>
  </si>
  <si>
    <t>extremely faint, very small, extended 80°, 8.5 magnitude star 38 seconds of time to east, 9th magnitude star 40 seconds of time to northeast</t>
  </si>
  <si>
    <t>eF, vS, E 80°, * 8.5 f 38s, * 9 np 40s</t>
  </si>
  <si>
    <t>NGC7814</t>
  </si>
  <si>
    <t>小墨西哥帽星系</t>
  </si>
  <si>
    <t>0h3m14.8s</t>
  </si>
  <si>
    <t>+16h8m43s</t>
  </si>
  <si>
    <t>considerably bright, considerably large, extended, very gradually brighter middle</t>
  </si>
  <si>
    <t>cB, cL, E, vgbM</t>
  </si>
  <si>
    <t>NGC7815</t>
  </si>
  <si>
    <t>0h3m24.9s</t>
  </si>
  <si>
    <t>+20h42m11s</t>
  </si>
  <si>
    <t>faint, small, a little extended, h 2300 to northeast</t>
  </si>
  <si>
    <t>F, S, lE, h 2300 nf</t>
  </si>
  <si>
    <t>NGC7816</t>
  </si>
  <si>
    <t>0h3m49s</t>
  </si>
  <si>
    <t>+7h28m42s</t>
  </si>
  <si>
    <t>NGC7817</t>
  </si>
  <si>
    <t>0h3m58.5s</t>
  </si>
  <si>
    <t>+20h45m2s</t>
  </si>
  <si>
    <t>pretty faint, considerably large, much extended 45°±, a little brighter middle</t>
  </si>
  <si>
    <t>pF, cL, mE 45° ±, lbm</t>
  </si>
  <si>
    <t>NGC7818</t>
  </si>
  <si>
    <t>0h4m9s</t>
  </si>
  <si>
    <t>+7h22m45s</t>
  </si>
  <si>
    <t>most extremely faint, pretty small, very difficult, southeast of h 2298</t>
  </si>
  <si>
    <t>eeF, pS, v diffic, sf h 2298</t>
  </si>
  <si>
    <t>NGC7819</t>
  </si>
  <si>
    <t>0h4m24.5s</t>
  </si>
  <si>
    <t>+31h28m21s</t>
  </si>
  <si>
    <t>NGC7820</t>
  </si>
  <si>
    <t>0h4m30.9s</t>
  </si>
  <si>
    <t>+5h11m59s</t>
  </si>
  <si>
    <t>pretty faint, very small, very suddenly much brighter middle, 14th magnitude star to southwest</t>
  </si>
  <si>
    <t>pF, vS, vsmbM, * 14 sp</t>
  </si>
  <si>
    <t>NGC7821</t>
  </si>
  <si>
    <t>0h5m16.5s</t>
  </si>
  <si>
    <t>-16h28m35s</t>
  </si>
  <si>
    <t>very faint, pretty small, irregular figure, gradually a little brighter middle</t>
  </si>
  <si>
    <t>vF, pS, iF, glbM</t>
  </si>
  <si>
    <t>NGC7822</t>
  </si>
  <si>
    <t>0h3m36s</t>
  </si>
  <si>
    <t>+67h9m0s</t>
  </si>
  <si>
    <t>a remarkable object, most extremely faint, most extremely large</t>
  </si>
  <si>
    <t>! eeF, eeL</t>
  </si>
  <si>
    <t>NGC7823</t>
  </si>
  <si>
    <t>0h4m45.8s</t>
  </si>
  <si>
    <t>-62h3m40s</t>
  </si>
  <si>
    <t>NGC7824</t>
  </si>
  <si>
    <t>0h5m6.2s</t>
  </si>
  <si>
    <t>+6h55m14s</t>
  </si>
  <si>
    <t>pretty faint, small, round, 10th magnitude star to northwest</t>
  </si>
  <si>
    <t>pF, S, R, * 10 np</t>
  </si>
  <si>
    <t>NGC7825</t>
  </si>
  <si>
    <t>0h5m6.7s</t>
  </si>
  <si>
    <t>+5h12m11s</t>
  </si>
  <si>
    <t>NGC7826</t>
  </si>
  <si>
    <t>0h5m15s</t>
  </si>
  <si>
    <t>-20h42m54s</t>
  </si>
  <si>
    <t>a cluster, very poor, very little compressed</t>
  </si>
  <si>
    <t>Cl, vP, vlC</t>
  </si>
  <si>
    <t>NGC7827</t>
  </si>
  <si>
    <t>0h5m27.7s</t>
  </si>
  <si>
    <t>+5h13m19s</t>
  </si>
  <si>
    <t>very faint, small, round, 12 or 13th magnitude star to northeast</t>
  </si>
  <si>
    <t>vF, S, R, * 12·13 nf</t>
  </si>
  <si>
    <t>NGC7828</t>
  </si>
  <si>
    <t>0h6m27.1s</t>
  </si>
  <si>
    <t>-13h24m57s</t>
  </si>
  <si>
    <t>extremely faint, small, extended 130°, suddenly brighter middle and nucleus, 15th magnitude star to southeast, NGC 7829 20 arcsec away at position angle 100°</t>
  </si>
  <si>
    <t>eF, S, E 130°, sbMN, * 15 sf, 100° 20"</t>
  </si>
  <si>
    <t>NGC7829</t>
  </si>
  <si>
    <t>0h6m29.1s</t>
  </si>
  <si>
    <t>-13h25m16s</t>
  </si>
  <si>
    <t>eF, eS, R (neb ?), f of 2, 100° 20"</t>
  </si>
  <si>
    <t>NGC7830</t>
  </si>
  <si>
    <t>0h6m2.2s</t>
  </si>
  <si>
    <t>+8h20m34s</t>
  </si>
  <si>
    <t>extremely faint, nebulous 13th magnitude star</t>
  </si>
  <si>
    <t>eF, neb * 13m</t>
  </si>
  <si>
    <t>NGC7831</t>
  </si>
  <si>
    <t>0h7m19.3s</t>
  </si>
  <si>
    <t>+32h36m33s</t>
  </si>
  <si>
    <t>extremely faint, very small, much extended, very faint star very near</t>
  </si>
  <si>
    <t>eF, vS, mE, vF * v nr</t>
  </si>
  <si>
    <t>NGC7832</t>
  </si>
  <si>
    <t>0h6m28.4s</t>
  </si>
  <si>
    <t>-3h43m0s</t>
  </si>
  <si>
    <t>very faint, very small, round, very gradually then pretty suddenly much brighter middle, two 9th magnitude stars to southeast</t>
  </si>
  <si>
    <t>vF, vS, R, vgpsmbM, 2 st 9 sf</t>
  </si>
  <si>
    <t>NGC7833</t>
  </si>
  <si>
    <t>0h6m32.6s</t>
  </si>
  <si>
    <t>+27h38m48s</t>
  </si>
  <si>
    <t>a cluster, very small, very faint, 2.5 arcmin, nebulous?</t>
  </si>
  <si>
    <t>Cl, vS, vF, 2'.5, nebs?</t>
  </si>
  <si>
    <t>NGC7834</t>
  </si>
  <si>
    <t>0h6m37.9s</t>
  </si>
  <si>
    <t>+8h22m8s</t>
  </si>
  <si>
    <t>NGC7835</t>
  </si>
  <si>
    <t>0h6m46.7s</t>
  </si>
  <si>
    <t>+8h25m38s</t>
  </si>
  <si>
    <t>NGC7836</t>
  </si>
  <si>
    <t>0h8m1.6s</t>
  </si>
  <si>
    <t>+33h4m17s</t>
  </si>
  <si>
    <t>NGC7837</t>
  </si>
  <si>
    <t>0h6m51.4s</t>
  </si>
  <si>
    <t>+8h21m7s</t>
  </si>
  <si>
    <t>extremely faint, western of double nebula</t>
  </si>
  <si>
    <t>eF, p of D neb</t>
  </si>
  <si>
    <t>NGC7838</t>
  </si>
  <si>
    <t>0h6m53.9s</t>
  </si>
  <si>
    <t>eF, f of D neb</t>
  </si>
  <si>
    <t>NGC7839</t>
  </si>
  <si>
    <t>0h7m0.7s</t>
  </si>
  <si>
    <t>+27h38m10s</t>
  </si>
  <si>
    <t>very faint, pretty small, diffuse, mottled but not resolved</t>
  </si>
  <si>
    <t>vF, pS, dif, r</t>
  </si>
  <si>
    <t>NGC7840</t>
  </si>
  <si>
    <t>0h7m8.8s</t>
  </si>
  <si>
    <t>+8h23m5s</t>
  </si>
  <si>
    <t>IC1</t>
  </si>
  <si>
    <t>0h8m27.3s</t>
  </si>
  <si>
    <t>+27h43m9s</t>
  </si>
  <si>
    <t>a double star, magnitudes 13 and 13, one with nebulosity</t>
  </si>
  <si>
    <t>D *, 13 &amp; 13, one nebs</t>
  </si>
  <si>
    <t>IC2</t>
  </si>
  <si>
    <t>0h11m0.8s</t>
  </si>
  <si>
    <t>-12h49m20s</t>
  </si>
  <si>
    <t>IC3</t>
  </si>
  <si>
    <t>0h12m6s</t>
  </si>
  <si>
    <t>-0h24m53s</t>
  </si>
  <si>
    <t>faint, very small, irregular figure, mottled but not resolved</t>
  </si>
  <si>
    <t>F, vS, iF, r</t>
  </si>
  <si>
    <t>IC4</t>
  </si>
  <si>
    <t>0h13m27s</t>
  </si>
  <si>
    <t>+17h29m9s</t>
  </si>
  <si>
    <t>IC5</t>
  </si>
  <si>
    <t>0h17m34.9s</t>
  </si>
  <si>
    <t>-9h32m34s</t>
  </si>
  <si>
    <t>F, neb * 13 m</t>
  </si>
  <si>
    <t>IC6</t>
  </si>
  <si>
    <t>0h18m54.9s</t>
  </si>
  <si>
    <t>-3h16m34s</t>
  </si>
  <si>
    <t>faint, very small, round, much brighter middle equal to 14th magnitude star</t>
  </si>
  <si>
    <t>F, vS, R, mbM = * 14</t>
  </si>
  <si>
    <t>IC7</t>
  </si>
  <si>
    <t>0h18m53s</t>
  </si>
  <si>
    <t>+10h35m43s</t>
  </si>
  <si>
    <t>faint, very small, round, 12.5 magnitude star close</t>
  </si>
  <si>
    <t>F, vS, R, * 12.5 close</t>
  </si>
  <si>
    <t>IC8</t>
  </si>
  <si>
    <t>0h19m2.6s</t>
  </si>
  <si>
    <t>-3h13m19s</t>
  </si>
  <si>
    <t>very faint, very small, irregularly extended, a little brighter middle</t>
  </si>
  <si>
    <t>vF, vS, irr E, lbM</t>
  </si>
  <si>
    <t>IC9</t>
  </si>
  <si>
    <t>0h19m44.2s</t>
  </si>
  <si>
    <t>-14h7m17s</t>
  </si>
  <si>
    <t>IC10</t>
  </si>
  <si>
    <t>星爆星系</t>
  </si>
  <si>
    <t>0h20m24.5s</t>
  </si>
  <si>
    <t>+59h17m33s</t>
  </si>
  <si>
    <t>faint star involved in an extremely faint, very large nebula</t>
  </si>
  <si>
    <t>F * inv in eF, vL neb</t>
  </si>
  <si>
    <t>IC11</t>
  </si>
  <si>
    <t>very faint, large, triple star on northwest corner</t>
  </si>
  <si>
    <t>vF, L, triple * on np corner</t>
  </si>
  <si>
    <t>IC12</t>
  </si>
  <si>
    <t>0h20m15.2s</t>
  </si>
  <si>
    <t>-2h39m12s</t>
  </si>
  <si>
    <t>pretty faint, small, extended north-south</t>
  </si>
  <si>
    <t>pF, S, E ns</t>
  </si>
  <si>
    <t>IC13</t>
  </si>
  <si>
    <t>0h20m20.1s</t>
  </si>
  <si>
    <t>+7h42m2s</t>
  </si>
  <si>
    <t>very faint, pretty large, extended north-south, diffuse</t>
  </si>
  <si>
    <t>vF, pL, E ns, dif</t>
  </si>
  <si>
    <t>IC14</t>
  </si>
  <si>
    <t>0h22m31.3s</t>
  </si>
  <si>
    <t>+10h29m25s</t>
  </si>
  <si>
    <t>suspected nebula</t>
  </si>
  <si>
    <t>susp neb</t>
  </si>
  <si>
    <t>IC15</t>
  </si>
  <si>
    <t>0h27m57.5s</t>
  </si>
  <si>
    <t>-0h3m41s</t>
  </si>
  <si>
    <t>very faint, very small, irregular figure, suddenly brighter middle</t>
  </si>
  <si>
    <t>vF, vS, iF, sbM</t>
  </si>
  <si>
    <t>IC16</t>
  </si>
  <si>
    <t>0h28m7.7s</t>
  </si>
  <si>
    <t>-13h5m39s</t>
  </si>
  <si>
    <t>IC17</t>
  </si>
  <si>
    <t>0h28m29.7s</t>
  </si>
  <si>
    <t>+2h38m55s</t>
  </si>
  <si>
    <t>pretty bright, very small, round, stellar</t>
  </si>
  <si>
    <t>pB, vS, R, stellar</t>
  </si>
  <si>
    <t>IC18</t>
  </si>
  <si>
    <t>0h28m35s</t>
  </si>
  <si>
    <t>-11h35m11s</t>
  </si>
  <si>
    <t>pretty faint, small, irregular figure, gradually brighter middle</t>
  </si>
  <si>
    <t>pF, S, iF, gbM</t>
  </si>
  <si>
    <t>IC19</t>
  </si>
  <si>
    <t>0h28m39.4s</t>
  </si>
  <si>
    <t>-11h38m25s</t>
  </si>
  <si>
    <t>R, S, stellar = 14 m</t>
  </si>
  <si>
    <t>IC20</t>
  </si>
  <si>
    <t>0h28m39.6s</t>
  </si>
  <si>
    <t>-13h0m35s</t>
  </si>
  <si>
    <t>IC21</t>
  </si>
  <si>
    <t>0h29m10.4s</t>
  </si>
  <si>
    <t>-0h9m49s</t>
  </si>
  <si>
    <t>pretty bright, very small, irregular figure</t>
  </si>
  <si>
    <t>pB, vs, iF</t>
  </si>
  <si>
    <t>IC22</t>
  </si>
  <si>
    <t>0h29m33.1s</t>
  </si>
  <si>
    <t>-9h4m49s</t>
  </si>
  <si>
    <t>faint, small, a little brighter middle, mottled but not resolved</t>
  </si>
  <si>
    <t>F, S, lbM, r</t>
  </si>
  <si>
    <t>IC23</t>
  </si>
  <si>
    <t>0h30m50.7s</t>
  </si>
  <si>
    <t>-12h43m11s</t>
  </si>
  <si>
    <t>IC24</t>
  </si>
  <si>
    <t>0h31m16.7s</t>
  </si>
  <si>
    <t>+30h50m26s</t>
  </si>
  <si>
    <t>small, a cluster, 30 to 40 seconds of arc, nebulous?</t>
  </si>
  <si>
    <t>S, Cl, 30"-40", nebs ?</t>
  </si>
  <si>
    <t>IC25</t>
  </si>
  <si>
    <t>0h31m12.2s</t>
  </si>
  <si>
    <t>-0h24m27s</t>
  </si>
  <si>
    <t>faint, very small, irregularly round, a very little brighter middle, mottled but not resolved</t>
  </si>
  <si>
    <t>F, vS, irrR, vlbM, r</t>
  </si>
  <si>
    <t>IC26</t>
  </si>
  <si>
    <t>IC27</t>
  </si>
  <si>
    <t>0h33m6.2s</t>
  </si>
  <si>
    <t>-13h22m16s</t>
  </si>
  <si>
    <t>faint, very small, a little extended east-west, brighter middle</t>
  </si>
  <si>
    <t>F, vS, lE pf, bM</t>
  </si>
  <si>
    <t>IC28</t>
  </si>
  <si>
    <t>0h33m8.6s</t>
  </si>
  <si>
    <t>-13h27m21s</t>
  </si>
  <si>
    <t>very faint, diffuse, a very little brighter middle</t>
  </si>
  <si>
    <t>vF, dif, vlbM</t>
  </si>
  <si>
    <t>IC29</t>
  </si>
  <si>
    <t>0h34m10.7s</t>
  </si>
  <si>
    <t>-2h10m37s</t>
  </si>
  <si>
    <t>IC30</t>
  </si>
  <si>
    <t>0h34m14.7s</t>
  </si>
  <si>
    <t>-2h5m5s</t>
  </si>
  <si>
    <t>IC31</t>
  </si>
  <si>
    <t>0h34m24.6s</t>
  </si>
  <si>
    <t>+12h16m7s</t>
  </si>
  <si>
    <t>faint, extended east-west, diffuse</t>
  </si>
  <si>
    <t>F, E pf, dif</t>
  </si>
  <si>
    <t>IC32</t>
  </si>
  <si>
    <t>0h35m1.6s</t>
  </si>
  <si>
    <t>-2h8m28s</t>
  </si>
  <si>
    <t>IC33</t>
  </si>
  <si>
    <t>0h35m5s</t>
  </si>
  <si>
    <t>-2h8m16s</t>
  </si>
  <si>
    <t>vF vS, R, lbM</t>
  </si>
  <si>
    <t>IC34</t>
  </si>
  <si>
    <t>0h35m36.4s</t>
  </si>
  <si>
    <t>+9h7m30s</t>
  </si>
  <si>
    <t>IC35</t>
  </si>
  <si>
    <t>0h37m39.9s</t>
  </si>
  <si>
    <t>+10h21m27s</t>
  </si>
  <si>
    <t>very faint, small, diffuse, 9.5 magnitude star to northeast</t>
  </si>
  <si>
    <t>vF, S, dif, * 9.5 nf</t>
  </si>
  <si>
    <t>IC36</t>
  </si>
  <si>
    <t>0h37m49.6s</t>
  </si>
  <si>
    <t>-15h26m27s</t>
  </si>
  <si>
    <t>F, vS, R, dif</t>
  </si>
  <si>
    <t>IC37</t>
  </si>
  <si>
    <t>0h38m34.2s</t>
  </si>
  <si>
    <t>-15h21m31s</t>
  </si>
  <si>
    <t>extremely faint, very small, round, diffuse</t>
  </si>
  <si>
    <t>eF, vS, R, dif</t>
  </si>
  <si>
    <t>IC38</t>
  </si>
  <si>
    <t>0h38m38.8s</t>
  </si>
  <si>
    <t>-15h25m9s</t>
  </si>
  <si>
    <t>IC39</t>
  </si>
  <si>
    <t>pretty bright, pretty large, extended north-south, gradually brighter middle</t>
  </si>
  <si>
    <t>pB, pl, E ns, gbM</t>
  </si>
  <si>
    <t>IC40</t>
  </si>
  <si>
    <t>0h39m21.3s</t>
  </si>
  <si>
    <t>+2h27m22s</t>
  </si>
  <si>
    <t>faint, small, round, gradually brighter middle with nucleus equal to 13.5 magnitude star</t>
  </si>
  <si>
    <t>F, S, R, gbMN = 13.5</t>
  </si>
  <si>
    <t>IC41</t>
  </si>
  <si>
    <t>0h39m40.3s</t>
  </si>
  <si>
    <t>-14h10m26s</t>
  </si>
  <si>
    <t>IC42</t>
  </si>
  <si>
    <t>0h41m5.9s</t>
  </si>
  <si>
    <t>-15h25m42s</t>
  </si>
  <si>
    <t>small, irregular, very diffuse</t>
  </si>
  <si>
    <t>S, irr, v dif</t>
  </si>
  <si>
    <t>IC43</t>
  </si>
  <si>
    <t>0h42m22s</t>
  </si>
  <si>
    <t>+29h38m31s</t>
  </si>
  <si>
    <t>IC44</t>
  </si>
  <si>
    <t>extremely faint, small, round, between two stars</t>
  </si>
  <si>
    <t>IC45</t>
  </si>
  <si>
    <t>0h42m36.5s</t>
  </si>
  <si>
    <t>+29h39m21s</t>
  </si>
  <si>
    <t>Susp neb</t>
  </si>
  <si>
    <t>IC46</t>
  </si>
  <si>
    <t>0h42m57.9s</t>
  </si>
  <si>
    <t>+27h15m14s</t>
  </si>
  <si>
    <t>IC47</t>
  </si>
  <si>
    <t>0h42m54.9s</t>
  </si>
  <si>
    <t>-13h44m25s</t>
  </si>
  <si>
    <t>extremely faint, extremely small, round, stellar</t>
  </si>
  <si>
    <t>eF, eS, R, stellar</t>
  </si>
  <si>
    <t>IC48</t>
  </si>
  <si>
    <t>0h43m34.4s</t>
  </si>
  <si>
    <t>-8h11m8s</t>
  </si>
  <si>
    <t>pretty faint, small, variable brightness?</t>
  </si>
  <si>
    <t>pF, S (? var brightness)</t>
  </si>
  <si>
    <t>IC49</t>
  </si>
  <si>
    <t>0h43m56.2s</t>
  </si>
  <si>
    <t>+1h51m2s</t>
  </si>
  <si>
    <t>most extremely faint, pretty small, round, extremely difficult</t>
  </si>
  <si>
    <t>eeF, pS, R, e diffic</t>
  </si>
  <si>
    <t>IC50</t>
  </si>
  <si>
    <t>0h46m5.7s</t>
  </si>
  <si>
    <t>-9h30m12s</t>
  </si>
  <si>
    <t>faint, equal to nebulous 13th magnitude star</t>
  </si>
  <si>
    <t>F, = neb * 13</t>
  </si>
  <si>
    <t>IC51</t>
  </si>
  <si>
    <t>0h46m24.2s</t>
  </si>
  <si>
    <t>-13h26m29s</t>
  </si>
  <si>
    <t>pretty bright, small, brighter middle, mottled but not resolved</t>
  </si>
  <si>
    <t>pB, S, bM, r</t>
  </si>
  <si>
    <t>IC52</t>
  </si>
  <si>
    <t>0h48m23.7s</t>
  </si>
  <si>
    <t>+4h5m31s</t>
  </si>
  <si>
    <t>IC53</t>
  </si>
  <si>
    <t>0h50m40.7s</t>
  </si>
  <si>
    <t>+10h36m3s</t>
  </si>
  <si>
    <t>most extremely faint, pretty small, round, others suspected</t>
  </si>
  <si>
    <t>eeF, pS, R, others susp</t>
  </si>
  <si>
    <t>IC54</t>
  </si>
  <si>
    <t>0h50m46.8s</t>
  </si>
  <si>
    <t>-2h17m19s</t>
  </si>
  <si>
    <t>a nebula or small cluster, 2 arcmin diameter, brighter middle</t>
  </si>
  <si>
    <t>Neb or S Cl, 2', bM</t>
  </si>
  <si>
    <t>IC55</t>
  </si>
  <si>
    <t>0h51m42.3s</t>
  </si>
  <si>
    <t>+7h43m9s</t>
  </si>
  <si>
    <t>faint, very small, diffuse, 13th magnitude star close</t>
  </si>
  <si>
    <t>F, vS, dif, * 13 close</t>
  </si>
  <si>
    <t>IC56</t>
  </si>
  <si>
    <t>0h51m30s</t>
  </si>
  <si>
    <t>-12h50m40s</t>
  </si>
  <si>
    <t>IC57</t>
  </si>
  <si>
    <t>0h54m48.4s</t>
  </si>
  <si>
    <t>+11h50m30s</t>
  </si>
  <si>
    <t>faint, very small, round, a very little brighter middle, faint star close</t>
  </si>
  <si>
    <t>F, vS, R, vlbM, F * close</t>
  </si>
  <si>
    <t>IC58</t>
  </si>
  <si>
    <t>0h55m2.4s</t>
  </si>
  <si>
    <t>-13h40m39s</t>
  </si>
  <si>
    <t>faint, very small, round, mottled but not resolved</t>
  </si>
  <si>
    <t>F, vS, R, r</t>
  </si>
  <si>
    <t>IC59</t>
  </si>
  <si>
    <t>策星云</t>
  </si>
  <si>
    <t>0h57m28.5s</t>
  </si>
  <si>
    <t>+61h8m37s</t>
  </si>
  <si>
    <t>pretty faint, extremely large!, northeast of γ Cassiop(eia)</t>
  </si>
  <si>
    <t>pF, eL ! (nf γ Cassiop)</t>
  </si>
  <si>
    <t>IC60</t>
  </si>
  <si>
    <t>0h56m4.2s</t>
  </si>
  <si>
    <t>-13h21m27s</t>
  </si>
  <si>
    <t>faint, very small, round, small nucleus</t>
  </si>
  <si>
    <t>F, vS, R, SN</t>
  </si>
  <si>
    <t>IC61</t>
  </si>
  <si>
    <t>0h57m7.2s</t>
  </si>
  <si>
    <t>+7h30m26s</t>
  </si>
  <si>
    <t>pretty faint, very small, round, a very little brighter middle</t>
  </si>
  <si>
    <t>pF, vS, R, vlbM</t>
  </si>
  <si>
    <t>IC62</t>
  </si>
  <si>
    <t>0h58m44s</t>
  </si>
  <si>
    <t>+11h48m30s</t>
  </si>
  <si>
    <t>very faint, pretty large, diffuse</t>
  </si>
  <si>
    <t>vF, pL, dif</t>
  </si>
  <si>
    <t>IC63</t>
  </si>
  <si>
    <t>0h59m29s</t>
  </si>
  <si>
    <t>+60h54m40s</t>
  </si>
  <si>
    <t>pretty faint, extremely large!, connected with northwestern one</t>
  </si>
  <si>
    <t>pF, eL ! conn with np one</t>
  </si>
  <si>
    <t>IC64</t>
  </si>
  <si>
    <t>0h59m24.4s</t>
  </si>
  <si>
    <t>+27h3m34s</t>
  </si>
  <si>
    <t>IC65</t>
  </si>
  <si>
    <t>1h0m55.3s</t>
  </si>
  <si>
    <t>+47h40m54s</t>
  </si>
  <si>
    <t>extremely faint, pretty large, much extended, bright stars to east and south</t>
  </si>
  <si>
    <t>eF, pL, mE, B st f &amp; s</t>
  </si>
  <si>
    <t>IC66</t>
  </si>
  <si>
    <t>1h0m32.4s</t>
  </si>
  <si>
    <t>+30h47m48s</t>
  </si>
  <si>
    <t>very faint, very small, irregular</t>
  </si>
  <si>
    <t>vF, vS, irr</t>
  </si>
  <si>
    <t>IC67</t>
  </si>
  <si>
    <t>1h0m17.6s</t>
  </si>
  <si>
    <t>-6h54m39s</t>
  </si>
  <si>
    <t>very faint, suspected</t>
  </si>
  <si>
    <t>vF, suspected</t>
  </si>
  <si>
    <t>IC68</t>
  </si>
  <si>
    <t>1h0m21.6s</t>
  </si>
  <si>
    <t>-6h56m39s</t>
  </si>
  <si>
    <t>IC69</t>
  </si>
  <si>
    <t>1h1m23.6s</t>
  </si>
  <si>
    <t>+31h2m28s</t>
  </si>
  <si>
    <t>IC70</t>
  </si>
  <si>
    <t>1h1m3.9s</t>
  </si>
  <si>
    <t>+0h3m5s</t>
  </si>
  <si>
    <t>IC71</t>
  </si>
  <si>
    <t>1h1m19.2s</t>
  </si>
  <si>
    <t>-6h46m2s</t>
  </si>
  <si>
    <t>IC72</t>
  </si>
  <si>
    <t>1h1m34.6s</t>
  </si>
  <si>
    <t>-6h46m41s</t>
  </si>
  <si>
    <t>a nebula; 7th magnitude star 2 arcmin to southeast</t>
  </si>
  <si>
    <t>Neb, * 7 sf 2'</t>
  </si>
  <si>
    <t>IC73</t>
  </si>
  <si>
    <t>1h4m53.1s</t>
  </si>
  <si>
    <t>+4h46m2s</t>
  </si>
  <si>
    <t>IC74</t>
  </si>
  <si>
    <t>1h5m55.9s</t>
  </si>
  <si>
    <t>+4h5m27s</t>
  </si>
  <si>
    <t>IC75</t>
  </si>
  <si>
    <t>1h7m11.5s</t>
  </si>
  <si>
    <t>+10h50m14s</t>
  </si>
  <si>
    <t>very faint, very small, diffuse, a very little brighter middle</t>
  </si>
  <si>
    <t>vF, vS, dif, vlbM</t>
  </si>
  <si>
    <t>IC76</t>
  </si>
  <si>
    <t>1h8m11.6s</t>
  </si>
  <si>
    <t>-4h33m16s</t>
  </si>
  <si>
    <t>IC77</t>
  </si>
  <si>
    <t>1h8m43.7s</t>
  </si>
  <si>
    <t>-15h25m15s</t>
  </si>
  <si>
    <t>very faint, small, irregular, brighter middle</t>
  </si>
  <si>
    <t>vF, S, irr, bM</t>
  </si>
  <si>
    <t>IC78</t>
  </si>
  <si>
    <t>1h8m47.6s</t>
  </si>
  <si>
    <t>-15h50m41s</t>
  </si>
  <si>
    <t>IC79</t>
  </si>
  <si>
    <t>1h8m49.7s</t>
  </si>
  <si>
    <t>-15h56m54s</t>
  </si>
  <si>
    <t>round, small, brighter middle and nucleus equal to 14th magnitude star</t>
  </si>
  <si>
    <t>R, S, bM N = 14 m</t>
  </si>
  <si>
    <t>IC80</t>
  </si>
  <si>
    <t>1h8m51.1s</t>
  </si>
  <si>
    <t>-15h24m23s</t>
  </si>
  <si>
    <t>IC81</t>
  </si>
  <si>
    <t>1h9m22.4s</t>
  </si>
  <si>
    <t>-1h41m42s</t>
  </si>
  <si>
    <t>extremely faint, small, a little extended, star close to northeast</t>
  </si>
  <si>
    <t>eF, S, lE, * close nf</t>
  </si>
  <si>
    <t>IC82</t>
  </si>
  <si>
    <t>1h9m5.8s</t>
  </si>
  <si>
    <t>-16h0m1s</t>
  </si>
  <si>
    <t>faint, small, gradually brighter middle</t>
  </si>
  <si>
    <t>F, S, gbM</t>
  </si>
  <si>
    <t>IC83</t>
  </si>
  <si>
    <t>1h10m29.7s</t>
  </si>
  <si>
    <t>+1h41m21s</t>
  </si>
  <si>
    <t>faint, small, diffuse, a little brighter middle</t>
  </si>
  <si>
    <t>F, S, dif, lbM</t>
  </si>
  <si>
    <t>IC84</t>
  </si>
  <si>
    <t>1h11m25.5s</t>
  </si>
  <si>
    <t>+1h38m27s</t>
  </si>
  <si>
    <t>pretty bright, small, irregular figure, brighter middle</t>
  </si>
  <si>
    <t>IC85</t>
  </si>
  <si>
    <t>1h11m49.5s</t>
  </si>
  <si>
    <t>-0h27m9s</t>
  </si>
  <si>
    <t>extremely faint, close to 8th magnitude star</t>
  </si>
  <si>
    <t>eF, close to * 8</t>
  </si>
  <si>
    <t>IC86</t>
  </si>
  <si>
    <t>1h13m28.4s</t>
  </si>
  <si>
    <t>-16h14m28s</t>
  </si>
  <si>
    <t>IC87</t>
  </si>
  <si>
    <t>1h14m15.8s</t>
  </si>
  <si>
    <t>+0h45m57s</t>
  </si>
  <si>
    <t>faint, pretty small, round, diffuse</t>
  </si>
  <si>
    <t>F, pS, R, dif</t>
  </si>
  <si>
    <t>IC88</t>
  </si>
  <si>
    <t>1h14m31.3s</t>
  </si>
  <si>
    <t>+0h47m30s</t>
  </si>
  <si>
    <t>pretty faint, small, round, very little brighter middle</t>
  </si>
  <si>
    <t>pF, S, R, vlbM</t>
  </si>
  <si>
    <t>IC89</t>
  </si>
  <si>
    <t>faint, small, irregular figure, nucleus equal to 13th magnitude star; 462 to the east</t>
  </si>
  <si>
    <t>F, S, iF, N = 13m, 462 f</t>
  </si>
  <si>
    <t>IC90</t>
  </si>
  <si>
    <t>1h16m30.3s</t>
  </si>
  <si>
    <t>-7h58m36s</t>
  </si>
  <si>
    <t>bright, very small, suddenly brighter middle and nucleus</t>
  </si>
  <si>
    <t>B, vS, sbMN</t>
  </si>
  <si>
    <t>IC91</t>
  </si>
  <si>
    <t>1h18m39.4s</t>
  </si>
  <si>
    <t>+2h33m15s</t>
  </si>
  <si>
    <t>faint, small, mottled but not resolved, nucleus equal to 14th magnitude star</t>
  </si>
  <si>
    <t>F, S, r, N = 14m</t>
  </si>
  <si>
    <t>IC92</t>
  </si>
  <si>
    <t>most extremely faint [different from h 98?]</t>
  </si>
  <si>
    <t>eeF [? different from h 98]</t>
  </si>
  <si>
    <t>IC93</t>
  </si>
  <si>
    <t>1h19m2.2s</t>
  </si>
  <si>
    <t>-17h3m40s</t>
  </si>
  <si>
    <t>very faint, pretty small, a little extended, 8th magnitude star 14 seconds of time to east and 1 arcmin to north</t>
  </si>
  <si>
    <t>vF, pS, lE, * 8 f 14s, 1' n</t>
  </si>
  <si>
    <t>IC94</t>
  </si>
  <si>
    <t>1h20m5.5s</t>
  </si>
  <si>
    <t>+32h43m2s</t>
  </si>
  <si>
    <t>a nebula equal to 13th magnitude star</t>
  </si>
  <si>
    <t>neb * 13</t>
  </si>
  <si>
    <t>IC95</t>
  </si>
  <si>
    <t>1h19m17.8s</t>
  </si>
  <si>
    <t>-12h34m25s</t>
  </si>
  <si>
    <t>faint, very small, diffuse, a very little brighter middle</t>
  </si>
  <si>
    <t>F, vS, dif, vlbM</t>
  </si>
  <si>
    <t>IC96</t>
  </si>
  <si>
    <t>1h20m33.3s</t>
  </si>
  <si>
    <t>+29h36m59s</t>
  </si>
  <si>
    <t>pretty bright, pretty small, very much brighter middle and nucleus equal to 12th or 13th magnitude star</t>
  </si>
  <si>
    <t>pB, pS, vmbMN = 12?13m</t>
  </si>
  <si>
    <t>IC97</t>
  </si>
  <si>
    <t>stellar, equal to 13.5 magnitude star</t>
  </si>
  <si>
    <t>Stellar = 13.5m</t>
  </si>
  <si>
    <t>IC98</t>
  </si>
  <si>
    <t>1h20m54.8s</t>
  </si>
  <si>
    <t>-12h36m15s</t>
  </si>
  <si>
    <t>IC99</t>
  </si>
  <si>
    <t>1h22m27.3s</t>
  </si>
  <si>
    <t>-12h57m9s</t>
  </si>
  <si>
    <t>IC100</t>
  </si>
  <si>
    <t>1h22m53.9s</t>
  </si>
  <si>
    <t>-4h38m33s</t>
  </si>
  <si>
    <t>faint, very small, round, nucleus equal to 12.5 magnitude star</t>
  </si>
  <si>
    <t>F, vS, R, N = 12.5m</t>
  </si>
  <si>
    <t>IC101</t>
  </si>
  <si>
    <t>1h24m8.5s</t>
  </si>
  <si>
    <t>+9h55m50s</t>
  </si>
  <si>
    <t>very faint, pretty large, extended, diffuse</t>
  </si>
  <si>
    <t>vF, pL, E, dif</t>
  </si>
  <si>
    <t>IC102</t>
  </si>
  <si>
    <t>1h24m26.3s</t>
  </si>
  <si>
    <t>+9h53m14s</t>
  </si>
  <si>
    <t>extremely faint, small, diffuse</t>
  </si>
  <si>
    <t>eF, S, dif</t>
  </si>
  <si>
    <t>IC103</t>
  </si>
  <si>
    <t>1h24m36.4s</t>
  </si>
  <si>
    <t>+2h2m41s</t>
  </si>
  <si>
    <t>IC104</t>
  </si>
  <si>
    <t>1h24m33.4s</t>
  </si>
  <si>
    <t>-1h27m21s</t>
  </si>
  <si>
    <t>stellar, 13th magnitude</t>
  </si>
  <si>
    <t>stellar, 13m</t>
  </si>
  <si>
    <t>IC105</t>
  </si>
  <si>
    <t>1h24m46.2s</t>
  </si>
  <si>
    <t>+2h4m30s</t>
  </si>
  <si>
    <t>faint, extremely small, round, a little brighter middle</t>
  </si>
  <si>
    <t>F, eS, R, lbM</t>
  </si>
  <si>
    <t>IC106</t>
  </si>
  <si>
    <t>very faint, small, diffuse, a little brighter middle</t>
  </si>
  <si>
    <t>vF, S, dif, lbM</t>
  </si>
  <si>
    <t>IC107</t>
  </si>
  <si>
    <t>1h25m24.7s</t>
  </si>
  <si>
    <t>+14h51m53s</t>
  </si>
  <si>
    <t>very faint, very small, round, star close to the west</t>
  </si>
  <si>
    <t>vF, vS, R, * close p</t>
  </si>
  <si>
    <t>IC108</t>
  </si>
  <si>
    <t>1h24m39s</t>
  </si>
  <si>
    <t>-12h38m8s</t>
  </si>
  <si>
    <t>faint, pretty large, extended north-south</t>
  </si>
  <si>
    <t>F, pL, E ns</t>
  </si>
  <si>
    <t>IC109</t>
  </si>
  <si>
    <t>1h25m12.9s</t>
  </si>
  <si>
    <t>+2h4m3s</t>
  </si>
  <si>
    <t>IC110</t>
  </si>
  <si>
    <t>+33h31m36s</t>
  </si>
  <si>
    <t>IC111</t>
  </si>
  <si>
    <t>1h25m49.2s</t>
  </si>
  <si>
    <t>+33h30m16s</t>
  </si>
  <si>
    <t>a 13th magnitude star with nebulosity</t>
  </si>
  <si>
    <t>* 13 with neb</t>
  </si>
  <si>
    <t>IC112</t>
  </si>
  <si>
    <t>1h26m2.9s</t>
  </si>
  <si>
    <t>+11h26m35s</t>
  </si>
  <si>
    <t>faint, small, diffuse, extended east-west</t>
  </si>
  <si>
    <t>F, S, dif, E pf</t>
  </si>
  <si>
    <t>IC113</t>
  </si>
  <si>
    <t>1h26m25.5s</t>
  </si>
  <si>
    <t>+19h11m31s</t>
  </si>
  <si>
    <t>very faint, 3 arcmin northeast of 5th magnitude star</t>
  </si>
  <si>
    <t>vF, 3' nf of * 5 m</t>
  </si>
  <si>
    <t>IC114</t>
  </si>
  <si>
    <t>1h26m22.5s</t>
  </si>
  <si>
    <t>+9h54m37s</t>
  </si>
  <si>
    <t>IC115</t>
  </si>
  <si>
    <t>1h26m54.5s</t>
  </si>
  <si>
    <t>+19h12m52s</t>
  </si>
  <si>
    <t>very faint, 6th magnitude star 3 1/2 arcmin to west northwest</t>
  </si>
  <si>
    <t>vF, * 6m 3?' npp</t>
  </si>
  <si>
    <t>IC116</t>
  </si>
  <si>
    <t>1h26m50.5s</t>
  </si>
  <si>
    <t>-4h58m56s</t>
  </si>
  <si>
    <t>IC117</t>
  </si>
  <si>
    <t>1h27m21s</t>
  </si>
  <si>
    <t>-1h51m52s</t>
  </si>
  <si>
    <t>pretty faint, small, diffuse, III 441 to southeast</t>
  </si>
  <si>
    <t>pF, S, dif, III. 441 sf</t>
  </si>
  <si>
    <t>IC118</t>
  </si>
  <si>
    <t>1h27m36s</t>
  </si>
  <si>
    <t>-4h59m49s</t>
  </si>
  <si>
    <t>IC119</t>
  </si>
  <si>
    <t>1h27m54.9s</t>
  </si>
  <si>
    <t>-2h2m24s</t>
  </si>
  <si>
    <t>faint, extended east-west, diffuse, III 442 to north</t>
  </si>
  <si>
    <t>F, E pf, dif, III. 442 n</t>
  </si>
  <si>
    <t>IC120</t>
  </si>
  <si>
    <t>1h28m12.8s</t>
  </si>
  <si>
    <t>-1h54m54s</t>
  </si>
  <si>
    <t>IC121</t>
  </si>
  <si>
    <t>1h28m21.7s</t>
  </si>
  <si>
    <t>+2h30m46s</t>
  </si>
  <si>
    <t>IC122</t>
  </si>
  <si>
    <t>1h28m13.1s</t>
  </si>
  <si>
    <t>-14h50m20s</t>
  </si>
  <si>
    <t>IC123</t>
  </si>
  <si>
    <t>1h28m51.4s</t>
  </si>
  <si>
    <t>+2h26m49s</t>
  </si>
  <si>
    <t>IC124</t>
  </si>
  <si>
    <t>1h29m9s</t>
  </si>
  <si>
    <t>-1h56m13s</t>
  </si>
  <si>
    <t>very faint, very small, diffuse</t>
  </si>
  <si>
    <t>vF, vS, dif</t>
  </si>
  <si>
    <t>IC125</t>
  </si>
  <si>
    <t>1h29m18.3s</t>
  </si>
  <si>
    <t>-13h16m46s</t>
  </si>
  <si>
    <t>IC126</t>
  </si>
  <si>
    <t>1h29m47.7s</t>
  </si>
  <si>
    <t>-1h59m0s</t>
  </si>
  <si>
    <t>extremely faint, stellar, (NGC) 577 to east</t>
  </si>
  <si>
    <t>eF, stellar, 557 f</t>
  </si>
  <si>
    <t>IC127</t>
  </si>
  <si>
    <t>1h29m47.4s</t>
  </si>
  <si>
    <t>-6h58m47s</t>
  </si>
  <si>
    <t>faint, pretty small, diffuse, 11.5 magnitude star close</t>
  </si>
  <si>
    <t>F, pS, dif, * 11.5 close</t>
  </si>
  <si>
    <t>IC128</t>
  </si>
  <si>
    <t>1h31m23.9s</t>
  </si>
  <si>
    <t>-12h37m28s</t>
  </si>
  <si>
    <t>faint, round, small, nucleus</t>
  </si>
  <si>
    <t>F, R, S, N</t>
  </si>
  <si>
    <t>IC129</t>
  </si>
  <si>
    <t>1h31m31.2s</t>
  </si>
  <si>
    <t>-12h39m14s</t>
  </si>
  <si>
    <t>faint, pretty large, round, diffuse</t>
  </si>
  <si>
    <t>F, pL, R, dif</t>
  </si>
  <si>
    <t>IC130</t>
  </si>
  <si>
    <t>1h31m28.7s</t>
  </si>
  <si>
    <t>-15h35m28s</t>
  </si>
  <si>
    <t>IC131</t>
  </si>
  <si>
    <t>1h33m11.1s</t>
  </si>
  <si>
    <t>+30h45m10s</t>
  </si>
  <si>
    <t>very faint, close to magnitude 13.5 star</t>
  </si>
  <si>
    <t>vF, close to * 13.5</t>
  </si>
  <si>
    <t>IC132</t>
  </si>
  <si>
    <t>1h33m16s</t>
  </si>
  <si>
    <t>+30h56m42s</t>
  </si>
  <si>
    <t>very faint, double star (both 13th magnitude stars) close</t>
  </si>
  <si>
    <t>vF, D * (13, 13) close</t>
  </si>
  <si>
    <t>IC133</t>
  </si>
  <si>
    <t>1h33m15.8s</t>
  </si>
  <si>
    <t>+30h53m5s</t>
  </si>
  <si>
    <t>very faint, small, a very little brighter on south, diffuse</t>
  </si>
  <si>
    <t>vF, S, vlb south, dif</t>
  </si>
  <si>
    <t>IC134</t>
  </si>
  <si>
    <t>1h33m25.2s</t>
  </si>
  <si>
    <t>+30h53m58s</t>
  </si>
  <si>
    <t>very faint, suspected, 9th magnitude star 3 arcmin to north</t>
  </si>
  <si>
    <t>vF, susp, * 9 n 3'</t>
  </si>
  <si>
    <t>IC135</t>
  </si>
  <si>
    <t>1h34m15.5s</t>
  </si>
  <si>
    <t>+30h37m10s</t>
  </si>
  <si>
    <t>IC136</t>
  </si>
  <si>
    <t>1h34m13.5s</t>
  </si>
  <si>
    <t>+30h33m40s</t>
  </si>
  <si>
    <t>extremely faint, difficult, 10th magnitude star 3 arcmin to northwest</t>
  </si>
  <si>
    <t>eF, diffic, * 10 np 3'</t>
  </si>
  <si>
    <t>IC137</t>
  </si>
  <si>
    <t>1h33m38.8s</t>
  </si>
  <si>
    <t>+30h31m23s</t>
  </si>
  <si>
    <t>IC138</t>
  </si>
  <si>
    <t>1h33m2s</t>
  </si>
  <si>
    <t>-0h41m23s</t>
  </si>
  <si>
    <t>IC139</t>
  </si>
  <si>
    <t>1h33m59.3s</t>
  </si>
  <si>
    <t>+30h34m33s</t>
  </si>
  <si>
    <t>very faint, very diffuse, a very little brighter middle</t>
  </si>
  <si>
    <t>vF, v dif, vlbM</t>
  </si>
  <si>
    <t>IC140</t>
  </si>
  <si>
    <t>1h33m58.1s</t>
  </si>
  <si>
    <t>+30h33m2s</t>
  </si>
  <si>
    <t>IC141</t>
  </si>
  <si>
    <t>1h32m51.7s</t>
  </si>
  <si>
    <t>-14h48m53s</t>
  </si>
  <si>
    <t>pretty bright, small, round, nucleus 11.5 magnitude excentr</t>
  </si>
  <si>
    <t>pB, S, R, N 11.5 excentr</t>
  </si>
  <si>
    <t>IC142</t>
  </si>
  <si>
    <t>1h33m55.8s</t>
  </si>
  <si>
    <t>+30h45m22s</t>
  </si>
  <si>
    <t>very faint, stellar, or 13th magnitude star involved</t>
  </si>
  <si>
    <t>vF, stellar, or * 13 inv</t>
  </si>
  <si>
    <t>IC143</t>
  </si>
  <si>
    <t>1h34m11.1s</t>
  </si>
  <si>
    <t>+30h46m41s</t>
  </si>
  <si>
    <t>very faint, small, diffuse, 13th magnitude star 0.6 arcmin to east</t>
  </si>
  <si>
    <t>vF, S, dif, * 13 f 0'.6</t>
  </si>
  <si>
    <t>IC144</t>
  </si>
  <si>
    <t>1h37m40.8s</t>
  </si>
  <si>
    <t>-13h18m51s</t>
  </si>
  <si>
    <t>IC145</t>
  </si>
  <si>
    <t>1h38m38.5s</t>
  </si>
  <si>
    <t>+0h44m29s</t>
  </si>
  <si>
    <t>IC146</t>
  </si>
  <si>
    <t>IC147</t>
  </si>
  <si>
    <t>1h39m59.4s</t>
  </si>
  <si>
    <t>-14h51m46s</t>
  </si>
  <si>
    <t>faint, very small, round, very faint star close</t>
  </si>
  <si>
    <t>F, vS, R, vF * close</t>
  </si>
  <si>
    <t>IC148</t>
  </si>
  <si>
    <t>1h42m26.9s</t>
  </si>
  <si>
    <t>most extremely faint, pretty small, very difficult, II. 253 to southeast</t>
  </si>
  <si>
    <t>eeF, pS, v diffic, II. 253 sf</t>
  </si>
  <si>
    <t>IC149</t>
  </si>
  <si>
    <t>-16h18m0s</t>
  </si>
  <si>
    <t>faint, pretty small, extended east-west, a little brighter middle</t>
  </si>
  <si>
    <t>F, pS, E pf, lbM</t>
  </si>
  <si>
    <t>IC150</t>
  </si>
  <si>
    <t>1h42m57.6s</t>
  </si>
  <si>
    <t>+4h11m57s</t>
  </si>
  <si>
    <t>faint, small, round, diffuse, magnitude 10.5 star near, h 148 to east</t>
  </si>
  <si>
    <t>F, S, R, dif, * 10.5 near, h 148 f</t>
  </si>
  <si>
    <t>IC151</t>
  </si>
  <si>
    <t>1h43m57.4s</t>
  </si>
  <si>
    <t>+13h12m9s</t>
  </si>
  <si>
    <t>IC152</t>
  </si>
  <si>
    <t>1h44m1.2s</t>
  </si>
  <si>
    <t>+13h4m28s</t>
  </si>
  <si>
    <t>extremely faint, small, round, very faint star close, southeastern of 2</t>
  </si>
  <si>
    <t>eF, S, R, vF * close, sf of 2</t>
  </si>
  <si>
    <t>IC153</t>
  </si>
  <si>
    <t>1h48m33.1s</t>
  </si>
  <si>
    <t>+12h36m50s</t>
  </si>
  <si>
    <t>extremely faint, pretty small, round, southwestern of 2</t>
  </si>
  <si>
    <t>eF, pS, R, sp of 2</t>
  </si>
  <si>
    <t>IC154</t>
  </si>
  <si>
    <t>1h45m16.2s</t>
  </si>
  <si>
    <t>+10h38m59s</t>
  </si>
  <si>
    <t>faint, very small, a little brighter middle, 11.5 magnitude star to southwest</t>
  </si>
  <si>
    <t>F, vS, lbM, * 11.5 sp</t>
  </si>
  <si>
    <t>IC155</t>
  </si>
  <si>
    <t>1h47m32s</t>
  </si>
  <si>
    <t>+60h36m42s</t>
  </si>
  <si>
    <t>very faint, considerably large, diffuse</t>
  </si>
  <si>
    <t>vF, eL, dif</t>
  </si>
  <si>
    <t>IC156</t>
  </si>
  <si>
    <t>1h45m29.1s</t>
  </si>
  <si>
    <t>+10h33m12s</t>
  </si>
  <si>
    <t>pretty bright, small, round, much brighter middle and nucleus equal to 12th magnitude star</t>
  </si>
  <si>
    <t>pB, S, R, mbMN = * 12</t>
  </si>
  <si>
    <t>IC157</t>
  </si>
  <si>
    <t>1h49m11.6s</t>
  </si>
  <si>
    <t>+12h51m12s</t>
  </si>
  <si>
    <t>most extremely faint, small, round, double star to west, northeastern of 2</t>
  </si>
  <si>
    <t>eeF, S, R, D * p, nf of 2</t>
  </si>
  <si>
    <t>IC158</t>
  </si>
  <si>
    <t>1h45m53.4s</t>
  </si>
  <si>
    <t>-6h56m7s</t>
  </si>
  <si>
    <t>IC159</t>
  </si>
  <si>
    <t>1h46m25s</t>
  </si>
  <si>
    <t>-8h38m12s</t>
  </si>
  <si>
    <t>IC160</t>
  </si>
  <si>
    <t>1h46m29.5s</t>
  </si>
  <si>
    <t>-13h14m50s</t>
  </si>
  <si>
    <t>faint, stellar, 13th magnitude</t>
  </si>
  <si>
    <t>F, stellar, 13m</t>
  </si>
  <si>
    <t>IC161</t>
  </si>
  <si>
    <t>1h48m43.8s</t>
  </si>
  <si>
    <t>IC162</t>
  </si>
  <si>
    <t>1h48m53.4s</t>
  </si>
  <si>
    <t>+10h31m20s</t>
  </si>
  <si>
    <t>IC163</t>
  </si>
  <si>
    <t>1h49m15s</t>
  </si>
  <si>
    <t>+20h42m38s</t>
  </si>
  <si>
    <t>IC164</t>
  </si>
  <si>
    <t>1h49m8.4s</t>
  </si>
  <si>
    <t>-3h54m16s</t>
  </si>
  <si>
    <t>pretty faint, small, round, between 2 stars (a small cluster?)</t>
  </si>
  <si>
    <t>pF, S, R, bet 2 st (? S Cl)</t>
  </si>
  <si>
    <t>IC165</t>
  </si>
  <si>
    <t>extremely faint, small, a little extended, very faint star close to east</t>
  </si>
  <si>
    <t>eF, S, lE, vF * close f</t>
  </si>
  <si>
    <t>IC166</t>
  </si>
  <si>
    <t>1h52m22s</t>
  </si>
  <si>
    <t>+61h51m12s</t>
  </si>
  <si>
    <t>a small cluster, nebulous?</t>
  </si>
  <si>
    <t>S Cl, nebulous ?</t>
  </si>
  <si>
    <t>IC167</t>
  </si>
  <si>
    <t>1h51m8.5s</t>
  </si>
  <si>
    <t>+21h54m45s</t>
  </si>
  <si>
    <t>extremely faint, magnitude 10.5 star 4 arcmin to north</t>
  </si>
  <si>
    <t>eF, * 10.5 n 4'</t>
  </si>
  <si>
    <t>IC168</t>
  </si>
  <si>
    <t>1h50m27.5s</t>
  </si>
  <si>
    <t>-8h31m25s</t>
  </si>
  <si>
    <t>very faint, stellar, 10th magnitude star 4 arcmin to east, [(NGC) 707 one minute of time to east]</t>
  </si>
  <si>
    <t>vF, stellar, * 10 f 4' (707 f 1m )</t>
  </si>
  <si>
    <t>IC169</t>
  </si>
  <si>
    <t>1h50m39.3s</t>
  </si>
  <si>
    <t>-12h40m45s</t>
  </si>
  <si>
    <t>faint, small, extended east-west, brighter middle, mottled but not resolved</t>
  </si>
  <si>
    <t>F, S, E pf, bM, r</t>
  </si>
  <si>
    <t>IC170</t>
  </si>
  <si>
    <t>1h51m57.4s</t>
  </si>
  <si>
    <t>-8h31m2s</t>
  </si>
  <si>
    <t>IC171</t>
  </si>
  <si>
    <t>1h55m10.3s</t>
  </si>
  <si>
    <t>+35h16m55s</t>
  </si>
  <si>
    <t>pretty bright, pretty small, considerably extended, star to northeast</t>
  </si>
  <si>
    <t>pB, pS, cE, * nf</t>
  </si>
  <si>
    <t>IC172</t>
  </si>
  <si>
    <t>1h54m54.2s</t>
  </si>
  <si>
    <t>+0h48m42s</t>
  </si>
  <si>
    <t>IC173</t>
  </si>
  <si>
    <t>1h55m57.1s</t>
  </si>
  <si>
    <t>+1h17m5s</t>
  </si>
  <si>
    <t>IC174</t>
  </si>
  <si>
    <t>1h56m16.1s</t>
  </si>
  <si>
    <t>+3h45m45s</t>
  </si>
  <si>
    <t>IC175</t>
  </si>
  <si>
    <t>1h56m18.8s</t>
  </si>
  <si>
    <t>+1h19m57s</t>
  </si>
  <si>
    <t>very faint, diffuse, difficult</t>
  </si>
  <si>
    <t>vF, dif, diffic</t>
  </si>
  <si>
    <t>IC176</t>
  </si>
  <si>
    <t>1h56m53.5s</t>
  </si>
  <si>
    <t>-2h1m8s</t>
  </si>
  <si>
    <t>IC177</t>
  </si>
  <si>
    <t>1h57m0.6s</t>
  </si>
  <si>
    <t>-0h5m21s</t>
  </si>
  <si>
    <t>IC178</t>
  </si>
  <si>
    <t>1h58m54.9s</t>
  </si>
  <si>
    <t>+36h40m30s</t>
  </si>
  <si>
    <t>pretty faint, nucleus equal to 13th magnitude</t>
  </si>
  <si>
    <t>pF, N = 13m</t>
  </si>
  <si>
    <t>IC179</t>
  </si>
  <si>
    <t>2h0m11.5s</t>
  </si>
  <si>
    <t>+38h1m17s</t>
  </si>
  <si>
    <t>pretty bright, small, a little extended, 9.5 magnitude star to northeast</t>
  </si>
  <si>
    <t>pB, S, lE, * 9.5 nf</t>
  </si>
  <si>
    <t>IC180</t>
  </si>
  <si>
    <t>2h0m0.3s</t>
  </si>
  <si>
    <t>+23h36m18s</t>
  </si>
  <si>
    <t>very faint, extremely small, round, stellar, southeast of (NGC) 776</t>
  </si>
  <si>
    <t>vF, eS, R, stellar, sf 776</t>
  </si>
  <si>
    <t>IC181</t>
  </si>
  <si>
    <t>2h0m2.3s</t>
  </si>
  <si>
    <t>+23h39m33s</t>
  </si>
  <si>
    <t>IC182</t>
  </si>
  <si>
    <t>1h59m51.7s</t>
  </si>
  <si>
    <t>+7h24m44s</t>
  </si>
  <si>
    <t>faint, pretty large, binuclear</t>
  </si>
  <si>
    <t>F, pL, biN</t>
  </si>
  <si>
    <t>IC183</t>
  </si>
  <si>
    <t>1h59m33.9s</t>
  </si>
  <si>
    <t>-5h20m50s</t>
  </si>
  <si>
    <t>IC184</t>
  </si>
  <si>
    <t>1h59m51.1s</t>
  </si>
  <si>
    <t>-6h50m26s</t>
  </si>
  <si>
    <t>IC185</t>
  </si>
  <si>
    <t>2h0m6.1s</t>
  </si>
  <si>
    <t>-1h31m40s</t>
  </si>
  <si>
    <t>extremely faint, very small, diffuse</t>
  </si>
  <si>
    <t>eF, vS, dif</t>
  </si>
  <si>
    <t>IC186</t>
  </si>
  <si>
    <t>2h0m23.9s</t>
  </si>
  <si>
    <t>-1h33m12s</t>
  </si>
  <si>
    <t>faint, double, distance 15 arcsec</t>
  </si>
  <si>
    <t>F, double, dist 15"</t>
  </si>
  <si>
    <t>IC187</t>
  </si>
  <si>
    <t>2h1m30.7s</t>
  </si>
  <si>
    <t>+26h28m52s</t>
  </si>
  <si>
    <t>most extremely faint, round</t>
  </si>
  <si>
    <t>eeF, R</t>
  </si>
  <si>
    <t>IC188</t>
  </si>
  <si>
    <t>2h1m46.5s</t>
  </si>
  <si>
    <t>+26h32m49s</t>
  </si>
  <si>
    <t>IC189</t>
  </si>
  <si>
    <t>2h1m52.9s</t>
  </si>
  <si>
    <t>+23h33m4s</t>
  </si>
  <si>
    <t>very faint, very small, round, 13.5 magnitude star close</t>
  </si>
  <si>
    <t>vF, vS, R, * 13.5 close</t>
  </si>
  <si>
    <t>IC190</t>
  </si>
  <si>
    <t>2h2m7.2s</t>
  </si>
  <si>
    <t>+23h33m1s</t>
  </si>
  <si>
    <t>IC191</t>
  </si>
  <si>
    <t>pretty bright, pretty large, a little extended [probably = h 188]</t>
  </si>
  <si>
    <t>pB, pL, lE [probably = h 188]</t>
  </si>
  <si>
    <t>IC192</t>
  </si>
  <si>
    <t>2h2m32.4s</t>
  </si>
  <si>
    <t>+16h0m51s</t>
  </si>
  <si>
    <t>faint, large, round, a little brighter middle</t>
  </si>
  <si>
    <t>F, L, R, lbM</t>
  </si>
  <si>
    <t>IC193</t>
  </si>
  <si>
    <t>2h2m31s</t>
  </si>
  <si>
    <t>+11h5m35s</t>
  </si>
  <si>
    <t>extremely faint, pretty small, a little extended, bright star to southeast, faint star to east</t>
  </si>
  <si>
    <t>eF, pS, lE, B * sf, F * f</t>
  </si>
  <si>
    <t>IC194</t>
  </si>
  <si>
    <t>2h3m5.1s</t>
  </si>
  <si>
    <t>+2h36m50s</t>
  </si>
  <si>
    <t>very faint, very small, round, magnitude 9.5 star 15 seconds of time to east</t>
  </si>
  <si>
    <t>vF, vS, R, * 9.5 f 15s</t>
  </si>
  <si>
    <t>IC195</t>
  </si>
  <si>
    <t>2h3m44.6s</t>
  </si>
  <si>
    <t>+14h42m33s</t>
  </si>
  <si>
    <t>most extremely faint, small, round, faint star to south</t>
  </si>
  <si>
    <t>eeF, S, R, F * s</t>
  </si>
  <si>
    <t>IC196</t>
  </si>
  <si>
    <t>2h3m49.7s</t>
  </si>
  <si>
    <t>+14h44m21s</t>
  </si>
  <si>
    <t>pF, pS, R, 3 st nr</t>
  </si>
  <si>
    <t>IC197</t>
  </si>
  <si>
    <t>2h4m4.9s</t>
  </si>
  <si>
    <t>+2h47m12s</t>
  </si>
  <si>
    <t>pretty bright, small, extended 225°, gradually brighter middle</t>
  </si>
  <si>
    <t>pB, S, E 225° , gbM</t>
  </si>
  <si>
    <t>IC198</t>
  </si>
  <si>
    <t>2h6m3.1s</t>
  </si>
  <si>
    <t>+9h17m46s</t>
  </si>
  <si>
    <t>IC199</t>
  </si>
  <si>
    <t>2h6m19.4s</t>
  </si>
  <si>
    <t>+9h13m38s</t>
  </si>
  <si>
    <t>IC200</t>
  </si>
  <si>
    <t>SBb    R</t>
  </si>
  <si>
    <t>2h5m26.6s</t>
  </si>
  <si>
    <t>+31h10m32s</t>
  </si>
  <si>
    <t>IC201</t>
  </si>
  <si>
    <t>2h7m15.2s</t>
  </si>
  <si>
    <t>+9h6m56s</t>
  </si>
  <si>
    <t>IC202</t>
  </si>
  <si>
    <t>2h7m28.6s</t>
  </si>
  <si>
    <t>+9h10m7s</t>
  </si>
  <si>
    <t>IC203</t>
  </si>
  <si>
    <t>2h7m29.6s</t>
  </si>
  <si>
    <t>+9h7m23s</t>
  </si>
  <si>
    <t>very faint, very small, round, 10th magnitude star to southeast</t>
  </si>
  <si>
    <t>vF, vS, R, * 10 sf</t>
  </si>
  <si>
    <t>IC204</t>
  </si>
  <si>
    <t>2h7m27s</t>
  </si>
  <si>
    <t>-1h25m47s</t>
  </si>
  <si>
    <t>IC205</t>
  </si>
  <si>
    <t>2h7m27.6s</t>
  </si>
  <si>
    <t>-2h5m31s</t>
  </si>
  <si>
    <t>pretty bright, very small, irregularly round</t>
  </si>
  <si>
    <t>pB, vS, irr R</t>
  </si>
  <si>
    <t>IC206</t>
  </si>
  <si>
    <t>2h9m30.8s</t>
  </si>
  <si>
    <t>-6h58m8s</t>
  </si>
  <si>
    <t>pretty faint, small, irregularly round</t>
  </si>
  <si>
    <t>pF, S, irr R</t>
  </si>
  <si>
    <t>IC207</t>
  </si>
  <si>
    <t>2h9m39.4s</t>
  </si>
  <si>
    <t>-6h55m21s</t>
  </si>
  <si>
    <t>IC208</t>
  </si>
  <si>
    <t>2h8m27.8s</t>
  </si>
  <si>
    <t>+6h23m41s</t>
  </si>
  <si>
    <t>IC209</t>
  </si>
  <si>
    <t>2h8m58.6s</t>
  </si>
  <si>
    <t>-7h3m33s</t>
  </si>
  <si>
    <t>pretty bright, small, diffuse</t>
  </si>
  <si>
    <t>pB, S, dif</t>
  </si>
  <si>
    <t>IC210</t>
  </si>
  <si>
    <t>2h9m28.3s</t>
  </si>
  <si>
    <t>-9h40m47s</t>
  </si>
  <si>
    <t>IC211</t>
  </si>
  <si>
    <t>2h11m8s</t>
  </si>
  <si>
    <t>+3h51m7s</t>
  </si>
  <si>
    <t>faint, pretty small, round, brighter middle, (NGC) 851 to southeast</t>
  </si>
  <si>
    <t>F, pS, R, bM, 851 sf</t>
  </si>
  <si>
    <t>IC212</t>
  </si>
  <si>
    <t>2h13m38.2s</t>
  </si>
  <si>
    <t>+16h35m40s</t>
  </si>
  <si>
    <t>IC213</t>
  </si>
  <si>
    <t>2h14m4.2s</t>
  </si>
  <si>
    <t>faint, small, gradually brighter middle, 13.5 magnitude star close</t>
  </si>
  <si>
    <t>F, S, gbM, * 13.5 close</t>
  </si>
  <si>
    <t>IC214</t>
  </si>
  <si>
    <t>2h14m5.7s</t>
  </si>
  <si>
    <t>+5h10m34s</t>
  </si>
  <si>
    <t>pretty bright, small, gradually brighter middle, mottled but not resolved</t>
  </si>
  <si>
    <t>pB, S, gbM, r</t>
  </si>
  <si>
    <t>IC215</t>
  </si>
  <si>
    <t>2h14m9.3s</t>
  </si>
  <si>
    <t>-6h48m22s</t>
  </si>
  <si>
    <t>pretty bright, extended east-west</t>
  </si>
  <si>
    <t>pB, E pf</t>
  </si>
  <si>
    <t>IC216</t>
  </si>
  <si>
    <t>2h15m55.3s</t>
  </si>
  <si>
    <t>-2h0m53s</t>
  </si>
  <si>
    <t>very faint, extremely small, round, a little brighter middle</t>
  </si>
  <si>
    <t>vF, eS, R, lbM</t>
  </si>
  <si>
    <t>IC217</t>
  </si>
  <si>
    <t>2h16m10.6s</t>
  </si>
  <si>
    <t>-11h55m32s</t>
  </si>
  <si>
    <t>IC218</t>
  </si>
  <si>
    <t>2h17m7.2s</t>
  </si>
  <si>
    <t>+1h16m57s</t>
  </si>
  <si>
    <t>very faint, small, diffuse, 13.5 magnitude star close, (NGC) 875 to southeast</t>
  </si>
  <si>
    <t>vF, S, dif, * 13.5 close, 875 sf</t>
  </si>
  <si>
    <t>IC219</t>
  </si>
  <si>
    <t>2h18m38.7s</t>
  </si>
  <si>
    <t>-6h54m11s</t>
  </si>
  <si>
    <t>IC220</t>
  </si>
  <si>
    <t>2h19m11.9s</t>
  </si>
  <si>
    <t>-12h46m53s</t>
  </si>
  <si>
    <t>IC221</t>
  </si>
  <si>
    <t>2h22m40.8s</t>
  </si>
  <si>
    <t>+28h15m25s</t>
  </si>
  <si>
    <t>IC222</t>
  </si>
  <si>
    <t>2h22m47.9s</t>
  </si>
  <si>
    <t>+11h38m19s</t>
  </si>
  <si>
    <t>faint, small, irregular, nuclear, excentric</t>
  </si>
  <si>
    <t>F, S, irr, N, excentr</t>
  </si>
  <si>
    <t>IC223</t>
  </si>
  <si>
    <t>-20h44m45s</t>
  </si>
  <si>
    <t>very faint, small, diffuse, very faint stellar nucleus</t>
  </si>
  <si>
    <t>vF, S, dif, vF stell N</t>
  </si>
  <si>
    <t>IC224</t>
  </si>
  <si>
    <t>2h24m45.2s</t>
  </si>
  <si>
    <t>-12h33m50s</t>
  </si>
  <si>
    <t>faint, small, irregularly round, a little brighter middle</t>
  </si>
  <si>
    <t>F, S, irr R, lbM</t>
  </si>
  <si>
    <t>IC225</t>
  </si>
  <si>
    <t>2h26m28.2s</t>
  </si>
  <si>
    <t>+1h9m39s</t>
  </si>
  <si>
    <t>faint, small, round, a very little brighter middle, 14th magnitude star 2 arcmin to northeast</t>
  </si>
  <si>
    <t>F, S, R, vlbM, * 14 nf 2'</t>
  </si>
  <si>
    <t>IC226</t>
  </si>
  <si>
    <t>2h27m45.5s</t>
  </si>
  <si>
    <t>+28h12m32s</t>
  </si>
  <si>
    <t>pretty faint, small, round, brighter middle, 2 faint stars to north</t>
  </si>
  <si>
    <t>pF, S, R, bM, 2 F st n</t>
  </si>
  <si>
    <t>IC227</t>
  </si>
  <si>
    <t>2h28m3.4s</t>
  </si>
  <si>
    <t>+28h10m32s</t>
  </si>
  <si>
    <t>IC228</t>
  </si>
  <si>
    <t>very small, round, gradually brighter middle</t>
  </si>
  <si>
    <t>vS, R, gbM</t>
  </si>
  <si>
    <t>IC229</t>
  </si>
  <si>
    <t>2h27m23s</t>
  </si>
  <si>
    <t>-23h49m12s</t>
  </si>
  <si>
    <t>a nebula, 10th magnitude</t>
  </si>
  <si>
    <t>Neb, 10 mag</t>
  </si>
  <si>
    <t>IC230</t>
  </si>
  <si>
    <t>2h28m47.2s</t>
  </si>
  <si>
    <t>-10h49m54s</t>
  </si>
  <si>
    <t>extremely faint, small, 9.4 magnitude star 9 arcmin to northwest</t>
  </si>
  <si>
    <t>eF, S, * 9.4 np 9'</t>
  </si>
  <si>
    <t>IC231</t>
  </si>
  <si>
    <t>2h29m56.3s</t>
  </si>
  <si>
    <t>+1h10m46s</t>
  </si>
  <si>
    <t>IC232</t>
  </si>
  <si>
    <t>2h31m11.5s</t>
  </si>
  <si>
    <t>+1h15m58s</t>
  </si>
  <si>
    <t>very faint, small, round (= Javelle 567?)</t>
  </si>
  <si>
    <t>vF, S, R, (? = J. 567)</t>
  </si>
  <si>
    <t>IC233</t>
  </si>
  <si>
    <t>2h31m40.7s</t>
  </si>
  <si>
    <t>+2h48m38s</t>
  </si>
  <si>
    <t>pretty faint, small, round, a little brighter middle, very faint star 1 arcmin to south</t>
  </si>
  <si>
    <t>pF, S, R, lbM, vF * s 1'</t>
  </si>
  <si>
    <t>IC234</t>
  </si>
  <si>
    <t>2h31m37.7s</t>
  </si>
  <si>
    <t>-0h8m22s</t>
  </si>
  <si>
    <t>faint, small, diffuse, mottled but not resolved</t>
  </si>
  <si>
    <t>F, S, dif, r</t>
  </si>
  <si>
    <t>IC235</t>
  </si>
  <si>
    <t>2h32m50.8s</t>
  </si>
  <si>
    <t>+20h38m29s</t>
  </si>
  <si>
    <t>IC236</t>
  </si>
  <si>
    <t>2h32m55.8s</t>
  </si>
  <si>
    <t>faint, small, diffuse, a very little brighter middle</t>
  </si>
  <si>
    <t>F, S, dif, vlbM</t>
  </si>
  <si>
    <t>IC237</t>
  </si>
  <si>
    <t>2h33m31.6s</t>
  </si>
  <si>
    <t>+1h8m23s</t>
  </si>
  <si>
    <t>faint, small, round, 9.5 magnitude star to west</t>
  </si>
  <si>
    <t>F, S, R, * 9.5 p</t>
  </si>
  <si>
    <t>IC238</t>
  </si>
  <si>
    <t>2h35m22.7s</t>
  </si>
  <si>
    <t>+12h50m18s</t>
  </si>
  <si>
    <t>IC239</t>
  </si>
  <si>
    <t>2h36m27.9s</t>
  </si>
  <si>
    <t>+38h58m8s</t>
  </si>
  <si>
    <t>a very faint spiral, faint stellar nucleus</t>
  </si>
  <si>
    <t>vF spiral, F stellar N</t>
  </si>
  <si>
    <t>IC240</t>
  </si>
  <si>
    <t>2h38m58.3s</t>
  </si>
  <si>
    <t>+41h43m10s</t>
  </si>
  <si>
    <t>IC241</t>
  </si>
  <si>
    <t>2h37m54.4s</t>
  </si>
  <si>
    <t>+2h19m40s</t>
  </si>
  <si>
    <t>very faint, pretty small, round, stellar nucleus</t>
  </si>
  <si>
    <t>vF, pS, R, stell N</t>
  </si>
  <si>
    <t>IC242</t>
  </si>
  <si>
    <t>2h38m24s</t>
  </si>
  <si>
    <t>-6h56m1s</t>
  </si>
  <si>
    <t>extremely faint, extremely small, very faint star close</t>
  </si>
  <si>
    <t>eF, eS, vF * close</t>
  </si>
  <si>
    <t>IC243</t>
  </si>
  <si>
    <t>2h38m32.1s</t>
  </si>
  <si>
    <t>-6h54m6s</t>
  </si>
  <si>
    <t>IC244</t>
  </si>
  <si>
    <t>2h39m24.7s</t>
  </si>
  <si>
    <t>+2h43m39s</t>
  </si>
  <si>
    <t>IC245</t>
  </si>
  <si>
    <t>2h38m54.4s</t>
  </si>
  <si>
    <t>-14h18m22s</t>
  </si>
  <si>
    <t>pretty bright, small, round, a little brighter middle</t>
  </si>
  <si>
    <t>pB, S, R, lbM</t>
  </si>
  <si>
    <t>IC246</t>
  </si>
  <si>
    <t>2h40m28.5s</t>
  </si>
  <si>
    <t>+2h28m45s</t>
  </si>
  <si>
    <t>most extremely faint, very faint, round, 2 extremely faint stars near</t>
  </si>
  <si>
    <t>eef, vF, R, 2 eF st nr</t>
  </si>
  <si>
    <t>IC247</t>
  </si>
  <si>
    <t>2h40m8.7s</t>
  </si>
  <si>
    <t>-11h44m0s</t>
  </si>
  <si>
    <t>IC248</t>
  </si>
  <si>
    <t>2h41m25.6s</t>
  </si>
  <si>
    <t>+17h48m43s</t>
  </si>
  <si>
    <t>IC249</t>
  </si>
  <si>
    <t>pretty bright, very small, round, diffuse, (NGC) 1051 to east</t>
  </si>
  <si>
    <t>pB, vS, R, dif, 1051 f</t>
  </si>
  <si>
    <t>IC250</t>
  </si>
  <si>
    <t>2h40m54.2s</t>
  </si>
  <si>
    <t>-13h18m49s</t>
  </si>
  <si>
    <t>IC251</t>
  </si>
  <si>
    <t>2h41m13.8s</t>
  </si>
  <si>
    <t>-14h57m29s</t>
  </si>
  <si>
    <t>IC252</t>
  </si>
  <si>
    <t>2h41m45s</t>
  </si>
  <si>
    <t>-14h50m52s</t>
  </si>
  <si>
    <t>IC253</t>
  </si>
  <si>
    <t>2h42m5.7s</t>
  </si>
  <si>
    <t>-15h2m50s</t>
  </si>
  <si>
    <t>IC254</t>
  </si>
  <si>
    <t>2h42m4.8s</t>
  </si>
  <si>
    <t>-15h6m26s</t>
  </si>
  <si>
    <t>very faint, extremely small, round, 1065 close</t>
  </si>
  <si>
    <t>vF, eS, R, 1065 close</t>
  </si>
  <si>
    <t>IC255</t>
  </si>
  <si>
    <t>2h47m3.3s</t>
  </si>
  <si>
    <t>+16h17m20s</t>
  </si>
  <si>
    <t>very faint, very small, round, 12th magnitude star 5 seconds of time to east</t>
  </si>
  <si>
    <t>vF, vS, R, * 12 f 5s</t>
  </si>
  <si>
    <t>IC256</t>
  </si>
  <si>
    <t>2h49m40.3s</t>
  </si>
  <si>
    <t>+46h57m16s</t>
  </si>
  <si>
    <t>extremely faint, a little extended, small, 1st of 3</t>
  </si>
  <si>
    <t>cF, lE, S, 1st of 3</t>
  </si>
  <si>
    <t>IC257</t>
  </si>
  <si>
    <t>2h49m45.2s</t>
  </si>
  <si>
    <t>+46h58m32s</t>
  </si>
  <si>
    <t>extremely faint, pretty small, round, very difficult, 2nd of 3</t>
  </si>
  <si>
    <t>eF, pS, R, v diffic, 2nd of 3</t>
  </si>
  <si>
    <t>IC258</t>
  </si>
  <si>
    <t>2h49m45.9s</t>
  </si>
  <si>
    <t>+41h3m7s</t>
  </si>
  <si>
    <t>very faint, a very little brighter middle, 9.5 magnitude star 2 arcmin to east</t>
  </si>
  <si>
    <t>vF, vlbM, * 9.5 f 2'</t>
  </si>
  <si>
    <t>IC259</t>
  </si>
  <si>
    <t>2h49m40.8s</t>
  </si>
  <si>
    <t>+41h3m20s</t>
  </si>
  <si>
    <t>very faint, double, distance 17 arcsec</t>
  </si>
  <si>
    <t>vF, double, dist 17"</t>
  </si>
  <si>
    <t>IC260</t>
  </si>
  <si>
    <t>2h51m0.9s</t>
  </si>
  <si>
    <t>+46h57m18s</t>
  </si>
  <si>
    <t>most extremely faint, pretty small, 2 faint stars near, 3rd of 3</t>
  </si>
  <si>
    <t>eeF, pS, 2 F st nr, 3rd of 3</t>
  </si>
  <si>
    <t>IC261</t>
  </si>
  <si>
    <t>IC262</t>
  </si>
  <si>
    <t>2h51m43.2s</t>
  </si>
  <si>
    <t>+42h49m42s</t>
  </si>
  <si>
    <t>most extremely faint, pretty small, round, between 2 stars, very difficult</t>
  </si>
  <si>
    <t>eeF, pS, R, bet 2 st, v diffic</t>
  </si>
  <si>
    <t>IC263</t>
  </si>
  <si>
    <t>2h49m39.9s</t>
  </si>
  <si>
    <t>-0h4m11s</t>
  </si>
  <si>
    <t>very faint, very small, round, nucleus = 14th magnitude</t>
  </si>
  <si>
    <t>vF, vS, R, N = 14m</t>
  </si>
  <si>
    <t>IC264</t>
  </si>
  <si>
    <t>2h48m47.7s</t>
  </si>
  <si>
    <t>very faint, extremely small, round, stellar</t>
  </si>
  <si>
    <t>vF, eS, R, stellar</t>
  </si>
  <si>
    <t>IC265</t>
  </si>
  <si>
    <t>2h54m43.9s</t>
  </si>
  <si>
    <t>+41h39m21s</t>
  </si>
  <si>
    <t>IC266</t>
  </si>
  <si>
    <t>2h55m4.7s</t>
  </si>
  <si>
    <t>+42h15m50s</t>
  </si>
  <si>
    <t>IC267</t>
  </si>
  <si>
    <t>2h53m50.1s</t>
  </si>
  <si>
    <t>+12h50m57s</t>
  </si>
  <si>
    <t>very faint, pretty small, diffuse, II 254 to northwest</t>
  </si>
  <si>
    <t>vF, pS, dif, II 254 np</t>
  </si>
  <si>
    <t>IC268</t>
  </si>
  <si>
    <t>2h55m26.9s</t>
  </si>
  <si>
    <t>-14h6m12s</t>
  </si>
  <si>
    <t>very faint, very small, irregularly round, a little brighter middle</t>
  </si>
  <si>
    <t>vF, vS, irr R, lbM</t>
  </si>
  <si>
    <t>IC269</t>
  </si>
  <si>
    <t>2h55m26.4s</t>
  </si>
  <si>
    <t>-14h3m59s</t>
  </si>
  <si>
    <t>IC270</t>
  </si>
  <si>
    <t>2h55m44.1s</t>
  </si>
  <si>
    <t>-14h12m27s</t>
  </si>
  <si>
    <t>IC271</t>
  </si>
  <si>
    <t>2h55m59.4s</t>
  </si>
  <si>
    <t>-12h0m30s</t>
  </si>
  <si>
    <t>IC272</t>
  </si>
  <si>
    <t>2h56m6.3s</t>
  </si>
  <si>
    <t>-14h11m13s</t>
  </si>
  <si>
    <t>IC273</t>
  </si>
  <si>
    <t>2h57m10.7s</t>
  </si>
  <si>
    <t>+2h46m34s</t>
  </si>
  <si>
    <t>faint, pretty small, a little extended 235°, brighter middle</t>
  </si>
  <si>
    <t>F, pS, lE 235°, bM</t>
  </si>
  <si>
    <t>IC274</t>
  </si>
  <si>
    <t>3h0m6s</t>
  </si>
  <si>
    <t>+44h13m0s</t>
  </si>
  <si>
    <t>IC275</t>
  </si>
  <si>
    <t>3h0m58.6s</t>
  </si>
  <si>
    <t>+44h21m2s</t>
  </si>
  <si>
    <t>IC276</t>
  </si>
  <si>
    <t>2h58m41s</t>
  </si>
  <si>
    <t>-15h42m12s</t>
  </si>
  <si>
    <t>IC277</t>
  </si>
  <si>
    <t>2h59m50.5s</t>
  </si>
  <si>
    <t>+2h46m16s</t>
  </si>
  <si>
    <t>pretty bright. pretty small, round, nucleus = 12.5 magnitude</t>
  </si>
  <si>
    <t>pB, pS, R, N = 12.5</t>
  </si>
  <si>
    <t>IC278</t>
  </si>
  <si>
    <t>3h1m30.4s</t>
  </si>
  <si>
    <t>+37h45m59s</t>
  </si>
  <si>
    <t>very faint, 10th magnitude star 95 arcsec to west, faint star 12 arcsec to southwest</t>
  </si>
  <si>
    <t>vF, * 10 p 95", F * 12" sp</t>
  </si>
  <si>
    <t>IC279</t>
  </si>
  <si>
    <t>3h1m12.2s</t>
  </si>
  <si>
    <t>+16h12m33s</t>
  </si>
  <si>
    <t>very faint, very small, round, diffuse</t>
  </si>
  <si>
    <t>vF, vS, R, dif</t>
  </si>
  <si>
    <t>IC280</t>
  </si>
  <si>
    <t>3h3m3s</t>
  </si>
  <si>
    <t>+42h21m32s</t>
  </si>
  <si>
    <t>IC281</t>
  </si>
  <si>
    <t>most extremely faint, very small, star close to north, II 607 near</t>
  </si>
  <si>
    <t>eeF, vS, * close n, II 607 nr</t>
  </si>
  <si>
    <t>IC282</t>
  </si>
  <si>
    <t>extremely faint, small, round, between 2 nearby stars</t>
  </si>
  <si>
    <t>eF, S, R, bet 2 st nr</t>
  </si>
  <si>
    <t>IC283</t>
  </si>
  <si>
    <t>3h3m50.5s</t>
  </si>
  <si>
    <t>-0h12m16s</t>
  </si>
  <si>
    <t>pretty bright, extremely small, round</t>
  </si>
  <si>
    <t>pB, eS, R</t>
  </si>
  <si>
    <t>IC284</t>
  </si>
  <si>
    <t>3h6m9.9s</t>
  </si>
  <si>
    <t>+42h22m18s</t>
  </si>
  <si>
    <t>most extremely faint, pretty large, a little extended, double star to northwest, between 2 stars</t>
  </si>
  <si>
    <t>eeF, pL, lE, D * np, bet 2 st</t>
  </si>
  <si>
    <t>IC285</t>
  </si>
  <si>
    <t>3h4m6.2s</t>
  </si>
  <si>
    <t>-12h0m54s</t>
  </si>
  <si>
    <t>faint, very small, diffuse, II 475 to west</t>
  </si>
  <si>
    <t>F, vS, dif, II. 475 p</t>
  </si>
  <si>
    <t>IC286</t>
  </si>
  <si>
    <t>3h4m47.4s</t>
  </si>
  <si>
    <t>-6h29m7s</t>
  </si>
  <si>
    <t>IC287</t>
  </si>
  <si>
    <t>3h4m57.8s</t>
  </si>
  <si>
    <t>-12h4m12s</t>
  </si>
  <si>
    <t>IC288</t>
  </si>
  <si>
    <t>3h7m32.8s</t>
  </si>
  <si>
    <t>+42h23m16s</t>
  </si>
  <si>
    <t>very faint, very small, round, 2 stars to northeast, perhaps a small cluster?</t>
  </si>
  <si>
    <t>vF, vS, R, 2 st nf, ? S Cl</t>
  </si>
  <si>
    <t>IC289</t>
  </si>
  <si>
    <t>3h10m19.2s</t>
  </si>
  <si>
    <t>+61h19m3s</t>
  </si>
  <si>
    <t>pretty bright, pretty large, round, between 2 very faint stars</t>
  </si>
  <si>
    <t>pB, pL, R, bet 2 vF st</t>
  </si>
  <si>
    <t>IC290</t>
  </si>
  <si>
    <t>3h9m42.8s</t>
  </si>
  <si>
    <t>+40h58m30s</t>
  </si>
  <si>
    <t>IC291</t>
  </si>
  <si>
    <t>3h7m26.6s</t>
  </si>
  <si>
    <t>-12h35m13s</t>
  </si>
  <si>
    <t>IC292</t>
  </si>
  <si>
    <t>3h10m12.9s</t>
  </si>
  <si>
    <t>+40h45m57s</t>
  </si>
  <si>
    <t>extremely faint, pretty small, round, star to south, between 2 stars</t>
  </si>
  <si>
    <t>eF, pS, R, * s, bet 2 st</t>
  </si>
  <si>
    <t>IC293</t>
  </si>
  <si>
    <t>3h10m56.1s</t>
  </si>
  <si>
    <t>+41h8m16s</t>
  </si>
  <si>
    <t>IC294</t>
  </si>
  <si>
    <t>3h11m3.1s</t>
  </si>
  <si>
    <t>+40h37m18s</t>
  </si>
  <si>
    <t>vF, pS, irr R</t>
  </si>
  <si>
    <t>IC295</t>
  </si>
  <si>
    <t>IC296</t>
  </si>
  <si>
    <t>eF, pS, irr R, F D * p</t>
  </si>
  <si>
    <t>IC297</t>
  </si>
  <si>
    <t>3h13m18.4s</t>
  </si>
  <si>
    <t>+42h8m55s</t>
  </si>
  <si>
    <t>most extremely faint, pretty small, round, very difficult, faint star to southwest</t>
  </si>
  <si>
    <t>eeF, pS, R, v diffic, F * sp</t>
  </si>
  <si>
    <t>IC298</t>
  </si>
  <si>
    <t>3h11m18.3s</t>
  </si>
  <si>
    <t>+1h18m57s</t>
  </si>
  <si>
    <t>faint, pretty large, 2 bright points involved</t>
  </si>
  <si>
    <t>F, pL, 2 B points inv</t>
  </si>
  <si>
    <t>IC299</t>
  </si>
  <si>
    <t>3h11m2.5s</t>
  </si>
  <si>
    <t>-13h6m33s</t>
  </si>
  <si>
    <t>IC300</t>
  </si>
  <si>
    <t>3h14m15.8s</t>
  </si>
  <si>
    <t>+42h24m54s</t>
  </si>
  <si>
    <t>extremely faint, small, round, 9th magnitude star to southwest, northwestern of 2</t>
  </si>
  <si>
    <t>eF, S, R, * 9 sp, np of 2</t>
  </si>
  <si>
    <t>IC301</t>
  </si>
  <si>
    <t>3h14m47.7s</t>
  </si>
  <si>
    <t>+42h13m23s</t>
  </si>
  <si>
    <t>IC302</t>
  </si>
  <si>
    <t>3h12m51.3s</t>
  </si>
  <si>
    <t>+4h42m23s</t>
  </si>
  <si>
    <t>pretty faint, pretty small, round, very small nucleus</t>
  </si>
  <si>
    <t>pF, pS, R, vSN</t>
  </si>
  <si>
    <t>IC303</t>
  </si>
  <si>
    <t>3h12m40.8s</t>
  </si>
  <si>
    <t>-11h41m22s</t>
  </si>
  <si>
    <t>IC304</t>
  </si>
  <si>
    <t>3h15m1.4s</t>
  </si>
  <si>
    <t>+37h52m55s</t>
  </si>
  <si>
    <t>very faint, star 76 arcsec to southeast, northwestern of 2</t>
  </si>
  <si>
    <t>vF, * 76" sf, np of 2</t>
  </si>
  <si>
    <t>IC305</t>
  </si>
  <si>
    <t>3h15m3.7s</t>
  </si>
  <si>
    <t>+37h51m38s</t>
  </si>
  <si>
    <t>very faint, star 49 arcsec to northeast</t>
  </si>
  <si>
    <t>vF, * 49" nf</t>
  </si>
  <si>
    <t>IC306</t>
  </si>
  <si>
    <t>3h13m0.2s</t>
  </si>
  <si>
    <t>-11h42m57s</t>
  </si>
  <si>
    <t>extremely faint, small, round, difficult</t>
  </si>
  <si>
    <t>eF, S, R, diffic</t>
  </si>
  <si>
    <t>IC307</t>
  </si>
  <si>
    <t>3h13m45.2s</t>
  </si>
  <si>
    <t>-0h14m28s</t>
  </si>
  <si>
    <t>pretty bright, very small, mottled but not resolved</t>
  </si>
  <si>
    <t>pB, vS, r</t>
  </si>
  <si>
    <t>IC308</t>
  </si>
  <si>
    <t>3h16m15.9s</t>
  </si>
  <si>
    <t>+41h10m53s</t>
  </si>
  <si>
    <t>extremely faint, pretty small, irregularly round, mottled but not resolved?</t>
  </si>
  <si>
    <t>eF, pS, iR, r ?</t>
  </si>
  <si>
    <t>IC309</t>
  </si>
  <si>
    <t>3h16m6.2s</t>
  </si>
  <si>
    <t>+40h48m17s</t>
  </si>
  <si>
    <t>IC310</t>
  </si>
  <si>
    <t>3h16m43s</t>
  </si>
  <si>
    <t>+41h19m29s</t>
  </si>
  <si>
    <t>very faint, pretty small, round, (NGC) 1259 and 1260 near</t>
  </si>
  <si>
    <t>vF, pS, R, 1259 and 1260 near</t>
  </si>
  <si>
    <t>IC311</t>
  </si>
  <si>
    <t>3h16m46.8s</t>
  </si>
  <si>
    <t>+40h0m15s</t>
  </si>
  <si>
    <t>extremely faint, pretty small, irregularly round, between 2 stars, very faint star very close to east</t>
  </si>
  <si>
    <t>eF, pS, iR, bet 2 st, vF * v close f</t>
  </si>
  <si>
    <t>IC312</t>
  </si>
  <si>
    <t>most extremely faint, pretty small, round, nearly between 2 stars</t>
  </si>
  <si>
    <t>eeF, pS, R, nearly bet 2 st</t>
  </si>
  <si>
    <t>IC313</t>
  </si>
  <si>
    <t>3h20m57.9s</t>
  </si>
  <si>
    <t>+41h53m39s</t>
  </si>
  <si>
    <t>most extremely faint, very small, round, close double star near to south</t>
  </si>
  <si>
    <t>eeF, vS, R, close D * nr s</t>
  </si>
  <si>
    <t>IC314</t>
  </si>
  <si>
    <t>a 13th magnitude star in a very faint, small nebula</t>
  </si>
  <si>
    <t>* 13 in vF, S neb</t>
  </si>
  <si>
    <t>IC315</t>
  </si>
  <si>
    <t>3h19m9.3s</t>
  </si>
  <si>
    <t>+4h2m21s</t>
  </si>
  <si>
    <t>very faint, small, diffuse, a very little brighter middle</t>
  </si>
  <si>
    <t>vF, S, dif, vlbM</t>
  </si>
  <si>
    <t>IC316</t>
  </si>
  <si>
    <t>3h21m19.9s</t>
  </si>
  <si>
    <t>+41h55m55s</t>
  </si>
  <si>
    <t>IC317</t>
  </si>
  <si>
    <t>3h18m55.4s</t>
  </si>
  <si>
    <t>-12h44m23s</t>
  </si>
  <si>
    <t>IC318</t>
  </si>
  <si>
    <t>3h20m43.8s</t>
  </si>
  <si>
    <t>-14h34m5s</t>
  </si>
  <si>
    <t>IC319</t>
  </si>
  <si>
    <t>3h23m27.3s</t>
  </si>
  <si>
    <t>+41h24m2s</t>
  </si>
  <si>
    <t>stellar, = 13th magnitude star</t>
  </si>
  <si>
    <t>stellar, = 13m</t>
  </si>
  <si>
    <t>IC320</t>
  </si>
  <si>
    <t>3h25m59.2s</t>
  </si>
  <si>
    <t>+40h47m21s</t>
  </si>
  <si>
    <t>extremely faint, pretty small, round, very faint star close to west</t>
  </si>
  <si>
    <t>eF, pS, R, vF * close p</t>
  </si>
  <si>
    <t>IC321</t>
  </si>
  <si>
    <t>3h24m29.5s</t>
  </si>
  <si>
    <t>-14h59m9s</t>
  </si>
  <si>
    <t>IC322</t>
  </si>
  <si>
    <t>3h26m0.5s</t>
  </si>
  <si>
    <t>+3h40m49s</t>
  </si>
  <si>
    <t>very faint, pretty large, a very little brighter middle, difficult</t>
  </si>
  <si>
    <t>vF, pL, vlbM, diffic</t>
  </si>
  <si>
    <t>IC323</t>
  </si>
  <si>
    <t>3h29m33.5s</t>
  </si>
  <si>
    <t>+41h51m21s</t>
  </si>
  <si>
    <t>extremely faint, pretty small, round, western of 2</t>
  </si>
  <si>
    <t>eF, pS, R, p of 2</t>
  </si>
  <si>
    <t>IC324</t>
  </si>
  <si>
    <t>faint, pretty small, diffuse, brighter middle</t>
  </si>
  <si>
    <t>F, pS, dif, bM</t>
  </si>
  <si>
    <t>IC325</t>
  </si>
  <si>
    <t>3h30m48.8s</t>
  </si>
  <si>
    <t>-7h2m47s</t>
  </si>
  <si>
    <t>IC326</t>
  </si>
  <si>
    <t>3h30m36.5s</t>
  </si>
  <si>
    <t>-14h25m30s</t>
  </si>
  <si>
    <t>very faint, pretty large, extended north-south</t>
  </si>
  <si>
    <t>vF, pL, E ns</t>
  </si>
  <si>
    <t>IC327</t>
  </si>
  <si>
    <t>3h31m10.2s</t>
  </si>
  <si>
    <t>-14h41m32s</t>
  </si>
  <si>
    <t>extremely faint, very small, diffuse, very difficult</t>
  </si>
  <si>
    <t>eF, vS, dif, v diffic</t>
  </si>
  <si>
    <t>IC328</t>
  </si>
  <si>
    <t>3h31m11s</t>
  </si>
  <si>
    <t>-14h38m16s</t>
  </si>
  <si>
    <t>IC329</t>
  </si>
  <si>
    <t>3h32m1.3s</t>
  </si>
  <si>
    <t>+0h16m48s</t>
  </si>
  <si>
    <t>IC330</t>
  </si>
  <si>
    <t>3h32m7.9s</t>
  </si>
  <si>
    <t>+0h21m12s</t>
  </si>
  <si>
    <t>IC331</t>
  </si>
  <si>
    <t>3h32m19s</t>
  </si>
  <si>
    <t>+0h16m58s</t>
  </si>
  <si>
    <t>a 13th magnitude star in a nebula</t>
  </si>
  <si>
    <t>* 13 in neb</t>
  </si>
  <si>
    <t>IC332</t>
  </si>
  <si>
    <t>3h32m37.4s</t>
  </si>
  <si>
    <t>+1h22m59s</t>
  </si>
  <si>
    <t>faint, very small, round, suddenly brighter middle</t>
  </si>
  <si>
    <t>F, vS, R, sbM</t>
  </si>
  <si>
    <t>IC333</t>
  </si>
  <si>
    <t>3h34m0.7s</t>
  </si>
  <si>
    <t>-5h6m26s</t>
  </si>
  <si>
    <t>extremely faint, 8.8 magnitude star 4 arcmin to northeast</t>
  </si>
  <si>
    <t>eF, * 8.8 nf 4'</t>
  </si>
  <si>
    <t>IC334</t>
  </si>
  <si>
    <t>I/P</t>
  </si>
  <si>
    <t>+76h38m15s</t>
  </si>
  <si>
    <t>pretty bright, small, 13th magnitude star involved on southeast</t>
  </si>
  <si>
    <t>pB, S, * 13 inv sf</t>
  </si>
  <si>
    <t>IC335</t>
  </si>
  <si>
    <t>3h35m31.2s</t>
  </si>
  <si>
    <t>-34h26m48s</t>
  </si>
  <si>
    <t>pretty faint, pretty small, extremely extended east-west</t>
  </si>
  <si>
    <t>pF, pS, eE pf</t>
  </si>
  <si>
    <t>IC336</t>
  </si>
  <si>
    <t>3h37m0s</t>
  </si>
  <si>
    <t>+23h24m0s</t>
  </si>
  <si>
    <t>very faint, most extremely large, very diffuse</t>
  </si>
  <si>
    <t>vF, eeL, v dif</t>
  </si>
  <si>
    <t>IC337</t>
  </si>
  <si>
    <t>3h36m21.3s</t>
  </si>
  <si>
    <t>-6h42m54s</t>
  </si>
  <si>
    <t>most extremely faint, pretty large, 3 stars near</t>
  </si>
  <si>
    <t>eeF, pL, 3 st nr</t>
  </si>
  <si>
    <t>IC338</t>
  </si>
  <si>
    <t>3h37m38.1s</t>
  </si>
  <si>
    <t>very faint, small, diffuse, very faint star close</t>
  </si>
  <si>
    <t>vF, S, dif, vF * close</t>
  </si>
  <si>
    <t>IC339</t>
  </si>
  <si>
    <t>3h38m1.9s</t>
  </si>
  <si>
    <t>-18h23m59s</t>
  </si>
  <si>
    <t>extremely faint, extremely small, stellar nucleus</t>
  </si>
  <si>
    <t>eF, eS, stell N</t>
  </si>
  <si>
    <t>IC340</t>
  </si>
  <si>
    <t>3h39m28.9s</t>
  </si>
  <si>
    <t>-13h6m54s</t>
  </si>
  <si>
    <t>faint, pretty small, extended east-west, 14th magnitude star at end</t>
  </si>
  <si>
    <t>F, pS, E pf, * 14 at end</t>
  </si>
  <si>
    <t>IC341</t>
  </si>
  <si>
    <t>3h40m0s</t>
  </si>
  <si>
    <t>+22h0m0s</t>
  </si>
  <si>
    <t>IC342</t>
  </si>
  <si>
    <t>马费伊1星系群</t>
  </si>
  <si>
    <t>3h46m48.4s</t>
  </si>
  <si>
    <t>+68h5m44s</t>
  </si>
  <si>
    <t>pretty bright, very small, 12th magnitude star close to north</t>
  </si>
  <si>
    <t>pB, vS, * 12 close n</t>
  </si>
  <si>
    <t>IC343</t>
  </si>
  <si>
    <t>3h40m7.1s</t>
  </si>
  <si>
    <t>-18h26m38s</t>
  </si>
  <si>
    <t>extremely faint, very small, a little extended 90°, diffuse</t>
  </si>
  <si>
    <t>eF, vS, lE 90°, dif</t>
  </si>
  <si>
    <t>IC344</t>
  </si>
  <si>
    <t>3h41m29.5s</t>
  </si>
  <si>
    <t>-4h39m56s</t>
  </si>
  <si>
    <t>most extremely faint, pretty large, round, II 455 to east</t>
  </si>
  <si>
    <t>eeF, pL, R, II. 455 f</t>
  </si>
  <si>
    <t>IC345</t>
  </si>
  <si>
    <t>3h41m9.1s</t>
  </si>
  <si>
    <t>-18h18m52s</t>
  </si>
  <si>
    <t>IC346</t>
  </si>
  <si>
    <t>3h41m24.9s</t>
  </si>
  <si>
    <t>-18h22m16s</t>
  </si>
  <si>
    <t>IC347</t>
  </si>
  <si>
    <t>3h42m32.5s</t>
  </si>
  <si>
    <t>-4h17m55s</t>
  </si>
  <si>
    <t>IC348</t>
  </si>
  <si>
    <t>卷舌五星云</t>
  </si>
  <si>
    <t>IV2pn</t>
  </si>
  <si>
    <t>3h44m34.1s</t>
  </si>
  <si>
    <t>+32h9m47s</t>
  </si>
  <si>
    <t>pretty bright, very large, very gradually brighter middle</t>
  </si>
  <si>
    <t>pB, vL, vgbM</t>
  </si>
  <si>
    <t>IC349</t>
  </si>
  <si>
    <t>巴纳德昴宿五星云</t>
  </si>
  <si>
    <t>3h46m20s</t>
  </si>
  <si>
    <t>+23h56m23s</t>
  </si>
  <si>
    <t>extremely faint, very small, position angle 165°, distance 36 arcsec from Merope</t>
  </si>
  <si>
    <t>eF, vS, Pos. 165°, Dist. 36" from Merope</t>
  </si>
  <si>
    <t>IC350</t>
  </si>
  <si>
    <t>3h44m36.6s</t>
  </si>
  <si>
    <t>-11h48m3s</t>
  </si>
  <si>
    <t>faint, small, round, very diffuse</t>
  </si>
  <si>
    <t>F, S, R, v dif</t>
  </si>
  <si>
    <t>IC351</t>
  </si>
  <si>
    <t>3h47m33s</t>
  </si>
  <si>
    <t>+35h2m50s</t>
  </si>
  <si>
    <t>a planetary nebula equal to a 10th magnitude star, 9th magnitude star 14 seconds of time to west and 2 arcmin to  south</t>
  </si>
  <si>
    <t>Planetary = * 10m, * 9m p 14s, 2' s</t>
  </si>
  <si>
    <t>IC352</t>
  </si>
  <si>
    <t>3h47m37.4s</t>
  </si>
  <si>
    <t>-8h43m54s</t>
  </si>
  <si>
    <t>IC353</t>
  </si>
  <si>
    <t>3h53m0.3s</t>
  </si>
  <si>
    <t>+25h48m0s</t>
  </si>
  <si>
    <t>IC354</t>
  </si>
  <si>
    <t>3h53m0s</t>
  </si>
  <si>
    <t>IC355</t>
  </si>
  <si>
    <t>3h53m46.3s</t>
  </si>
  <si>
    <t>+19h58m27s</t>
  </si>
  <si>
    <t>very faint, small, round, diffuse</t>
  </si>
  <si>
    <t>vF, S, R, dif</t>
  </si>
  <si>
    <t>IC356</t>
  </si>
  <si>
    <t>4h7m46.3s</t>
  </si>
  <si>
    <t>+69h48m43s</t>
  </si>
  <si>
    <t>pretty faint, pretty large, brighter middle, 8.5 magnitude star 4 arcmin to north</t>
  </si>
  <si>
    <t>pF, pL, bM, * 8.5 4' n</t>
  </si>
  <si>
    <t>IC357</t>
  </si>
  <si>
    <t>4h3m43.9s</t>
  </si>
  <si>
    <t>faint, small, round, nucleus = 13.5 magnitude star</t>
  </si>
  <si>
    <t>F, S, R, N = 13.5</t>
  </si>
  <si>
    <t>IC358</t>
  </si>
  <si>
    <t>4h3m42.8s</t>
  </si>
  <si>
    <t>+19h53m44s</t>
  </si>
  <si>
    <t>very small, diffuse, a little brighter middle</t>
  </si>
  <si>
    <t>vS, dif, lbM</t>
  </si>
  <si>
    <t>IC359</t>
  </si>
  <si>
    <t>4h12m28.4s</t>
  </si>
  <si>
    <t>+27h42m11s</t>
  </si>
  <si>
    <t>IC360</t>
  </si>
  <si>
    <t>4h9m0s</t>
  </si>
  <si>
    <t>+26h6m0s</t>
  </si>
  <si>
    <t>IC361</t>
  </si>
  <si>
    <t>4h18m50.6s</t>
  </si>
  <si>
    <t>+58h14m58s</t>
  </si>
  <si>
    <t>faint, large, a nebulous cluster?</t>
  </si>
  <si>
    <t>F, L, ? neb Cl</t>
  </si>
  <si>
    <t>IC362</t>
  </si>
  <si>
    <t>4h16m42.4s</t>
  </si>
  <si>
    <t>-12h11m59s</t>
  </si>
  <si>
    <t>IC363</t>
  </si>
  <si>
    <t>4h18m55.2s</t>
  </si>
  <si>
    <t>+3h1m56s</t>
  </si>
  <si>
    <t>extremely faint, 9th magnitude star 3 arcmin to northeast</t>
  </si>
  <si>
    <t>eF, * 9 nf 3'</t>
  </si>
  <si>
    <t>IC364</t>
  </si>
  <si>
    <t>4h19m6.6s</t>
  </si>
  <si>
    <t>+3h11m22s</t>
  </si>
  <si>
    <t>IC365</t>
  </si>
  <si>
    <t>4h19m14.2s</t>
  </si>
  <si>
    <t>+3h20m56s</t>
  </si>
  <si>
    <t>pretty bright, small, irregular figure, suddenly brighter middle</t>
  </si>
  <si>
    <t>pB, S, iF, sbM</t>
  </si>
  <si>
    <t>IC366</t>
  </si>
  <si>
    <t>4h19m41.5s</t>
  </si>
  <si>
    <t>+2h21m37s</t>
  </si>
  <si>
    <t>extremely faint, 3 arcmin southeast of (NGC) 1550</t>
  </si>
  <si>
    <t>eF, 3' sf of 1550</t>
  </si>
  <si>
    <t>IC367</t>
  </si>
  <si>
    <t>4h20m41s</t>
  </si>
  <si>
    <t>-14h46m50s</t>
  </si>
  <si>
    <t>pretty bright, pretty large, diffuse</t>
  </si>
  <si>
    <t>pB, pL, dif</t>
  </si>
  <si>
    <t>IC368</t>
  </si>
  <si>
    <t>-12h36m53s</t>
  </si>
  <si>
    <t>extremely small, round, brighter middle</t>
  </si>
  <si>
    <t>eS, R, bM</t>
  </si>
  <si>
    <t>IC369</t>
  </si>
  <si>
    <t>4h23m28.2s</t>
  </si>
  <si>
    <t>-11h47m22s</t>
  </si>
  <si>
    <t>faint, small, round, stellar</t>
  </si>
  <si>
    <t>F, S, R, stellar</t>
  </si>
  <si>
    <t>IC370</t>
  </si>
  <si>
    <t>4h24m1.8s</t>
  </si>
  <si>
    <t>-9h23m43s</t>
  </si>
  <si>
    <t>IC371</t>
  </si>
  <si>
    <t>4h30m12.5s</t>
  </si>
  <si>
    <t>-0h33m39s</t>
  </si>
  <si>
    <t>stellar, extremely small, a nebulosity?</t>
  </si>
  <si>
    <t>Stellar, eS, ? neb</t>
  </si>
  <si>
    <t>IC372</t>
  </si>
  <si>
    <t>4h30m4.2s</t>
  </si>
  <si>
    <t>-5h0m36s</t>
  </si>
  <si>
    <t>IC373</t>
  </si>
  <si>
    <t>4h30m42.7s</t>
  </si>
  <si>
    <t>-4h52m11s</t>
  </si>
  <si>
    <t>IC374</t>
  </si>
  <si>
    <t>4h32m32.8s</t>
  </si>
  <si>
    <t>+16h38m6s</t>
  </si>
  <si>
    <t>IC375</t>
  </si>
  <si>
    <t>4h31m3.2s</t>
  </si>
  <si>
    <t>-12h58m25s</t>
  </si>
  <si>
    <t>very faint, diffuse, a little brighter middle</t>
  </si>
  <si>
    <t>vF, dif, lbM</t>
  </si>
  <si>
    <t>IC376</t>
  </si>
  <si>
    <t>4h31m13.7s</t>
  </si>
  <si>
    <t>-12h25m59s</t>
  </si>
  <si>
    <t>faint, irregular figure</t>
  </si>
  <si>
    <t>F, iF</t>
  </si>
  <si>
    <t>IC377</t>
  </si>
  <si>
    <t>4h31m16.5s</t>
  </si>
  <si>
    <t>-12h27m18s</t>
  </si>
  <si>
    <t>IC378</t>
  </si>
  <si>
    <t>4h31m27.9s</t>
  </si>
  <si>
    <t>-12h17m57s</t>
  </si>
  <si>
    <t>a star, strongly nebulous</t>
  </si>
  <si>
    <t>* strongly nebs</t>
  </si>
  <si>
    <t>IC379</t>
  </si>
  <si>
    <t>4h31m50.9s</t>
  </si>
  <si>
    <t>-7h14m16s</t>
  </si>
  <si>
    <t>IC380</t>
  </si>
  <si>
    <t>4h31m41.3s</t>
  </si>
  <si>
    <t>-12h55m38s</t>
  </si>
  <si>
    <t>very faint, brighter middle</t>
  </si>
  <si>
    <t>vF, bM</t>
  </si>
  <si>
    <t>IC381</t>
  </si>
  <si>
    <t>4h44m28.4s</t>
  </si>
  <si>
    <t>+75h38m23s</t>
  </si>
  <si>
    <t>faint, small, brighter middle, 12th magnitude star to northwest</t>
  </si>
  <si>
    <t>F, S, bM, * 12 np</t>
  </si>
  <si>
    <t>IC382</t>
  </si>
  <si>
    <t>4h37m55.4s</t>
  </si>
  <si>
    <t>-9h31m11s</t>
  </si>
  <si>
    <t>pretty bright, pretty large, round, small nucleus</t>
  </si>
  <si>
    <t>pB, pL, R, SN</t>
  </si>
  <si>
    <t>IC383</t>
  </si>
  <si>
    <t>4h38m58s</t>
  </si>
  <si>
    <t>+9h53m33s</t>
  </si>
  <si>
    <t>very faint, small, diffuse, 11.5 magnitude star to east</t>
  </si>
  <si>
    <t>vF, S, dif, * 11.5 f</t>
  </si>
  <si>
    <t>IC384</t>
  </si>
  <si>
    <t>4h39m18.2s</t>
  </si>
  <si>
    <t>-7h50m20s</t>
  </si>
  <si>
    <t>faint, extremely small, round, 11th magnitude star to north</t>
  </si>
  <si>
    <t>F, eS, R, * 11 n</t>
  </si>
  <si>
    <t>IC385</t>
  </si>
  <si>
    <t>4h39m31.4s</t>
  </si>
  <si>
    <t>-7h5m49s</t>
  </si>
  <si>
    <t>IC386</t>
  </si>
  <si>
    <t>very faint, very small, a very little brighter middle</t>
  </si>
  <si>
    <t>IC387</t>
  </si>
  <si>
    <t>4h41m44.2s</t>
  </si>
  <si>
    <t>-7h5m11s</t>
  </si>
  <si>
    <t>extremely faint, pretty large, very diffuse, difficult</t>
  </si>
  <si>
    <t>eF, pL, v dif, diffic</t>
  </si>
  <si>
    <t>IC388</t>
  </si>
  <si>
    <t>4h41m54.3s</t>
  </si>
  <si>
    <t>-7h18m21s</t>
  </si>
  <si>
    <t>very faint, very diffuse, small star involved</t>
  </si>
  <si>
    <t>vF, v dif, S * inv</t>
  </si>
  <si>
    <t>IC389</t>
  </si>
  <si>
    <t>4h41m59.6s</t>
  </si>
  <si>
    <t>-7h18m39s</t>
  </si>
  <si>
    <t>IC390</t>
  </si>
  <si>
    <t>4h42m3.8s</t>
  </si>
  <si>
    <t>-7h12m21s</t>
  </si>
  <si>
    <t>IC391</t>
  </si>
  <si>
    <t>4h57m22.1s</t>
  </si>
  <si>
    <t>+78h11m23s</t>
  </si>
  <si>
    <t>IC392</t>
  </si>
  <si>
    <t>4h46m25.8s</t>
  </si>
  <si>
    <t>+3h30m20s</t>
  </si>
  <si>
    <t>pretty bright, small, round, nucleus = 12.5 magnitude star</t>
  </si>
  <si>
    <t>pB, S, R, N = 12.5</t>
  </si>
  <si>
    <t>IC393</t>
  </si>
  <si>
    <t>4h47m51.7s</t>
  </si>
  <si>
    <t>-15h31m31s</t>
  </si>
  <si>
    <t>faint, very small, irregular figure, a little brighter middle</t>
  </si>
  <si>
    <t>F, vS, iF, lbM</t>
  </si>
  <si>
    <t>IC394</t>
  </si>
  <si>
    <t>4h48m48s</t>
  </si>
  <si>
    <t>-6h16m0s</t>
  </si>
  <si>
    <t>very faint, diffuse, a very small cluster?</t>
  </si>
  <si>
    <t>vF, dif, ? vS Cl</t>
  </si>
  <si>
    <t>IC395</t>
  </si>
  <si>
    <t>extremely faint, very small, round, faint star close to east</t>
  </si>
  <si>
    <t>eF, vS, R, F * close f</t>
  </si>
  <si>
    <t>IC396</t>
  </si>
  <si>
    <t>4h57m58.8s</t>
  </si>
  <si>
    <t>+68h19m23s</t>
  </si>
  <si>
    <t>faint, small, round, brighter middle and nucleus, faint double star to southeast</t>
  </si>
  <si>
    <t>F, S, R, bMN, F D * sf</t>
  </si>
  <si>
    <t>IC397</t>
  </si>
  <si>
    <t>5h1m6.5s</t>
  </si>
  <si>
    <t>+40h25m30s</t>
  </si>
  <si>
    <t>IC398</t>
  </si>
  <si>
    <t>4h58m12.5s</t>
  </si>
  <si>
    <t>-7h46m51s</t>
  </si>
  <si>
    <t>extremely faint, pretty large, extended 5°, diffuse</t>
  </si>
  <si>
    <t>eF, pL, E 5°, dif</t>
  </si>
  <si>
    <t>IC399</t>
  </si>
  <si>
    <t>IB</t>
  </si>
  <si>
    <t>5h1m44s</t>
  </si>
  <si>
    <t>-4h17m18s</t>
  </si>
  <si>
    <t>very faint, very small, southeast of (NGC) 1741</t>
  </si>
  <si>
    <t>vF, vS, sf of 1741</t>
  </si>
  <si>
    <t>IC400</t>
  </si>
  <si>
    <t>5h3m45.6s</t>
  </si>
  <si>
    <t>-15h49m10s</t>
  </si>
  <si>
    <t>IC401</t>
  </si>
  <si>
    <t>5h4m19.8s</t>
  </si>
  <si>
    <t>-10h4m32s</t>
  </si>
  <si>
    <t>very faint, very small, round, very small nucleus</t>
  </si>
  <si>
    <t>vF, vS, R, vSN</t>
  </si>
  <si>
    <t>IC402</t>
  </si>
  <si>
    <t>5h6m14.7s</t>
  </si>
  <si>
    <t>-9h6m26s</t>
  </si>
  <si>
    <t>extremely faint, pretty large, irregularly round, diffuse</t>
  </si>
  <si>
    <t>eF, pL, iR, dif</t>
  </si>
  <si>
    <t>IC403</t>
  </si>
  <si>
    <t>5h15m15.8s</t>
  </si>
  <si>
    <t>+39h58m22s</t>
  </si>
  <si>
    <t>IC404</t>
  </si>
  <si>
    <t>5h13m19.6s</t>
  </si>
  <si>
    <t>+9h45m17s</t>
  </si>
  <si>
    <t>very faint, very small, stellar, 13th magnitude star close</t>
  </si>
  <si>
    <t>vF, vS, stellar, * 13 close</t>
  </si>
  <si>
    <t>IC405</t>
  </si>
  <si>
    <t>火焰之星星云</t>
  </si>
  <si>
    <t>5h16m29.4s</t>
  </si>
  <si>
    <t>+34h21m22s</t>
  </si>
  <si>
    <t>a magnitude 6 or 7 star with pretty bright, very large nebula</t>
  </si>
  <si>
    <t>* 6.7 with pB, vL neb</t>
  </si>
  <si>
    <t>IC406</t>
  </si>
  <si>
    <t>5h17m48.8s</t>
  </si>
  <si>
    <t>+39h53m8s</t>
  </si>
  <si>
    <t>an extremely faint nebula or extremely small nebulous cluster</t>
  </si>
  <si>
    <t>eF neb or eS neb Cl</t>
  </si>
  <si>
    <t>IC407</t>
  </si>
  <si>
    <t>5h17m42.6s</t>
  </si>
  <si>
    <t>-15h31m24s</t>
  </si>
  <si>
    <t>faint, a little extended north-south</t>
  </si>
  <si>
    <t>F, lE ns</t>
  </si>
  <si>
    <t>IC408</t>
  </si>
  <si>
    <t>5h19m44.7s</t>
  </si>
  <si>
    <t>-25h3m52s</t>
  </si>
  <si>
    <t>very faint, pretty small, extended, 8.5 magnitude star 5' south</t>
  </si>
  <si>
    <t>vF, pS, E, * 8.5 south 5'</t>
  </si>
  <si>
    <t>IC409</t>
  </si>
  <si>
    <t>5h19m33.5s</t>
  </si>
  <si>
    <t>+3h19m2s</t>
  </si>
  <si>
    <t>pretty bright, round, binuclear?</t>
  </si>
  <si>
    <t>pB, R, biN?</t>
  </si>
  <si>
    <t>IC410</t>
  </si>
  <si>
    <t>小蝌蚪星云</t>
  </si>
  <si>
    <t>5h22m45s</t>
  </si>
  <si>
    <t>+33h24m48s</t>
  </si>
  <si>
    <t>diffuse, many stars involved</t>
  </si>
  <si>
    <t>Dif, many st inv</t>
  </si>
  <si>
    <t>IC411</t>
  </si>
  <si>
    <t>5h20m18.5s</t>
  </si>
  <si>
    <t>-25h19m28s</t>
  </si>
  <si>
    <t>very faint, pretty small, round, 2 others in field</t>
  </si>
  <si>
    <t>vF, vS, R, 2 others in field</t>
  </si>
  <si>
    <t>IC412</t>
  </si>
  <si>
    <t>5h21m56.7s</t>
  </si>
  <si>
    <t>+3h29m11s</t>
  </si>
  <si>
    <t>very faint, very small, stellar, part of a pair separated by 36 arcsec, at position angle 115°</t>
  </si>
  <si>
    <t>vF, vS, stellar, Pos 115° Dist 36"</t>
  </si>
  <si>
    <t>IC413</t>
  </si>
  <si>
    <t>5h21m58.7s</t>
  </si>
  <si>
    <t>+3h28m56s</t>
  </si>
  <si>
    <t>extremely faint, very small, stellar, part of a pair separated by 36 arcsec, at position angle 115°</t>
  </si>
  <si>
    <t>eF, vS, stellar, Pos 115° Dist 36"</t>
  </si>
  <si>
    <t>IC414</t>
  </si>
  <si>
    <t>5h21m55s</t>
  </si>
  <si>
    <t>+3h20m35s</t>
  </si>
  <si>
    <t>extremely faint, 9th magnitude star 2' to southeast</t>
  </si>
  <si>
    <t>eF, * 9 sf 2'</t>
  </si>
  <si>
    <t>IC415</t>
  </si>
  <si>
    <t>5h21m21.5s</t>
  </si>
  <si>
    <t>-15h32m32s</t>
  </si>
  <si>
    <t>IC416</t>
  </si>
  <si>
    <t>5h23m56.4s</t>
  </si>
  <si>
    <t>-17h15m37s</t>
  </si>
  <si>
    <t>IC417</t>
  </si>
  <si>
    <t>蜘蛛星云</t>
  </si>
  <si>
    <t>5h28m5.9s</t>
  </si>
  <si>
    <t>+34h25m26s</t>
  </si>
  <si>
    <t>very large, diffuse, 6th magnitude star involved</t>
  </si>
  <si>
    <t>vL, dif, * 6 inv</t>
  </si>
  <si>
    <t>IC418</t>
  </si>
  <si>
    <t>万花尺星云</t>
  </si>
  <si>
    <t>5h27m28.3s</t>
  </si>
  <si>
    <t>-12h41m48s</t>
  </si>
  <si>
    <t>a planetary nebula = 9.2 magnitude st (gaseous spectrum)</t>
  </si>
  <si>
    <t>Planentary = * 9.2 (gaseous sp)</t>
  </si>
  <si>
    <t>IC419</t>
  </si>
  <si>
    <t>5h30m52s</t>
  </si>
  <si>
    <t>+30h7m5s</t>
  </si>
  <si>
    <t>pretty bright, large, much extended</t>
  </si>
  <si>
    <t>pB, L, mE</t>
  </si>
  <si>
    <t>IC420</t>
  </si>
  <si>
    <t>5h32m14s</t>
  </si>
  <si>
    <t>-4h31m12s</t>
  </si>
  <si>
    <t>very faint, 9th magnitude star to west-southwest (not verified)</t>
  </si>
  <si>
    <t>vF, spp * 9 (not verified)</t>
  </si>
  <si>
    <t>IC421</t>
  </si>
  <si>
    <t>5h32m8.5s</t>
  </si>
  <si>
    <t>-7h55m4s</t>
  </si>
  <si>
    <t>IC422</t>
  </si>
  <si>
    <t>5h32m18.5s</t>
  </si>
  <si>
    <t>-17h13m26s</t>
  </si>
  <si>
    <t>pretty bright, very small, round, suddenly brighter middle</t>
  </si>
  <si>
    <t>pB, vS, R, sbM</t>
  </si>
  <si>
    <t>IC423</t>
  </si>
  <si>
    <t>5h33m22s</t>
  </si>
  <si>
    <t>-0h36m52s</t>
  </si>
  <si>
    <t>very faint, large oval ring</t>
  </si>
  <si>
    <t>vF, L oval ring</t>
  </si>
  <si>
    <t>IC424</t>
  </si>
  <si>
    <t>5h33m37.2s</t>
  </si>
  <si>
    <t>-0h24m47s</t>
  </si>
  <si>
    <t>very faint, large, brightest on eastern side</t>
  </si>
  <si>
    <t>vF, L, brightest f</t>
  </si>
  <si>
    <t>IC425</t>
  </si>
  <si>
    <t>5h37m12s</t>
  </si>
  <si>
    <t>+32h25m0s</t>
  </si>
  <si>
    <t>faint, very very large</t>
  </si>
  <si>
    <t>F, vvL</t>
  </si>
  <si>
    <t>IC426</t>
  </si>
  <si>
    <t>5h36m31s</t>
  </si>
  <si>
    <t>-0h17m54s</t>
  </si>
  <si>
    <t>very faint, 5 arcmin diameter</t>
  </si>
  <si>
    <t>vF, 5' diam</t>
  </si>
  <si>
    <t>IC427</t>
  </si>
  <si>
    <t>5h36m18s</t>
  </si>
  <si>
    <t>-6h37m0s</t>
  </si>
  <si>
    <t>large, probably connected with Great Nebula</t>
  </si>
  <si>
    <t>L, probably connected with Great Neb</t>
  </si>
  <si>
    <t>IC428</t>
  </si>
  <si>
    <t>5h36m24.2s</t>
  </si>
  <si>
    <t>-6h27m6s</t>
  </si>
  <si>
    <t>IC429</t>
  </si>
  <si>
    <t>5h38m18s</t>
  </si>
  <si>
    <t>-7h2m12s</t>
  </si>
  <si>
    <t>very faint, very small, round [perhaps involved with following one]</t>
  </si>
  <si>
    <t>vF, vS, R [? inv in f one]</t>
  </si>
  <si>
    <t>IC430</t>
  </si>
  <si>
    <t>5h38m18.2s</t>
  </si>
  <si>
    <t>-7h2m26s</t>
  </si>
  <si>
    <t>nebulous band 10 arcmin long, northwest of 5th magnitude star</t>
  </si>
  <si>
    <t>Neb band 10' l, np * 5m</t>
  </si>
  <si>
    <t>IC431</t>
  </si>
  <si>
    <t>5h40m14s</t>
  </si>
  <si>
    <t>-1h27m48s</t>
  </si>
  <si>
    <t>a nebulous star of magnitude 8.6</t>
  </si>
  <si>
    <t>Neb * 8.6</t>
  </si>
  <si>
    <t>IC432</t>
  </si>
  <si>
    <t>5h40m55s</t>
  </si>
  <si>
    <t>-1h30m24s</t>
  </si>
  <si>
    <t>nebula, a little extended, magnitude 8.4 star involved</t>
  </si>
  <si>
    <t>Neb, lE, * 8.4 inv</t>
  </si>
  <si>
    <t>IC433</t>
  </si>
  <si>
    <t>5h40m31.1s</t>
  </si>
  <si>
    <t>-11h39m55s</t>
  </si>
  <si>
    <t>faint, small, diffuse, gradually brighter middle</t>
  </si>
  <si>
    <t>F, S, dif, gbM</t>
  </si>
  <si>
    <t>IC434</t>
  </si>
  <si>
    <t>5h41m0s</t>
  </si>
  <si>
    <t>-2h27m12s</t>
  </si>
  <si>
    <t>a nebula, 60' long, south from ζ Orionis</t>
  </si>
  <si>
    <t>Neb, 60' l, south from ζ Orionis</t>
  </si>
  <si>
    <t>IC435</t>
  </si>
  <si>
    <t>5h43m0s</t>
  </si>
  <si>
    <t>-2h18m46s</t>
  </si>
  <si>
    <t>Neb, * 8.5</t>
  </si>
  <si>
    <t>IC436</t>
  </si>
  <si>
    <t>5h53m39.9s</t>
  </si>
  <si>
    <t>+38h37m42s</t>
  </si>
  <si>
    <t>IC437</t>
  </si>
  <si>
    <t>5h51m37.3s</t>
  </si>
  <si>
    <t>-12h33m52s</t>
  </si>
  <si>
    <t>IC438</t>
  </si>
  <si>
    <t>5h53m0s</t>
  </si>
  <si>
    <t>-17h52m33s</t>
  </si>
  <si>
    <t>most extremely faint, pretty small, extended north-south, 2 stars to west</t>
  </si>
  <si>
    <t>eeF, pS, E ns, 2 st p</t>
  </si>
  <si>
    <t>IC439</t>
  </si>
  <si>
    <t>5h56m42s</t>
  </si>
  <si>
    <t>+32h1m0s</t>
  </si>
  <si>
    <t>most extremely large, extremely extended 150°±</t>
  </si>
  <si>
    <t>eeL, eE 150° ±</t>
  </si>
  <si>
    <t>IC440</t>
  </si>
  <si>
    <t>6h19m13s</t>
  </si>
  <si>
    <t>+80h4m6s</t>
  </si>
  <si>
    <t>IC441</t>
  </si>
  <si>
    <t>6h2m42.7s</t>
  </si>
  <si>
    <t>-12h29m59s</t>
  </si>
  <si>
    <t>extremely faint, very small, difficult, very faint star close</t>
  </si>
  <si>
    <t>eF, vS, diffic, vF * close</t>
  </si>
  <si>
    <t>IC442</t>
  </si>
  <si>
    <t>6h36m11.9s</t>
  </si>
  <si>
    <t>+82h58m8s</t>
  </si>
  <si>
    <t>IC443</t>
  </si>
  <si>
    <t>水母星云</t>
  </si>
  <si>
    <t>6h16m36s</t>
  </si>
  <si>
    <t>+22h31m0s</t>
  </si>
  <si>
    <t>faint, narrow, curved</t>
  </si>
  <si>
    <t>F, narrow, curved</t>
  </si>
  <si>
    <t>IC444</t>
  </si>
  <si>
    <t>6h22m30s</t>
  </si>
  <si>
    <t>+22h52m0s</t>
  </si>
  <si>
    <t>nebula, 9.5 magnitude star involved</t>
  </si>
  <si>
    <t>Neb, * 9.5 inv</t>
  </si>
  <si>
    <t>IC445</t>
  </si>
  <si>
    <t>6h37m21s</t>
  </si>
  <si>
    <t>+67h51m36s</t>
  </si>
  <si>
    <t>extremely faint, small, round, bright star to southeast</t>
  </si>
  <si>
    <t>eF, S, R, B * sf</t>
  </si>
  <si>
    <t>IC446</t>
  </si>
  <si>
    <t>RN+*</t>
  </si>
  <si>
    <t>6h31m6s</t>
  </si>
  <si>
    <t>+10h27m35s</t>
  </si>
  <si>
    <t>nebulous 10th magnitude star</t>
  </si>
  <si>
    <t>Neb * 10m</t>
  </si>
  <si>
    <t>IC447</t>
  </si>
  <si>
    <t>6h31m4s</t>
  </si>
  <si>
    <t>+9h52m0s</t>
  </si>
  <si>
    <t>very faint, most extremely large, diffuse</t>
  </si>
  <si>
    <t>vF, eeL, dif</t>
  </si>
  <si>
    <t>IC448</t>
  </si>
  <si>
    <t>6h32m45s</t>
  </si>
  <si>
    <t>+7h23m18s</t>
  </si>
  <si>
    <t>nebulosity northwest of a 5th magnitude star</t>
  </si>
  <si>
    <t>Neby, np * 5 mag</t>
  </si>
  <si>
    <t>IC449</t>
  </si>
  <si>
    <t>6h45m40.8s</t>
  </si>
  <si>
    <t>+71h20m37s</t>
  </si>
  <si>
    <t>pretty faint, small, round, brighter middle, between two double stars</t>
  </si>
  <si>
    <t>pF, S, R, bM, bet 2 D st</t>
  </si>
  <si>
    <t>IC450</t>
  </si>
  <si>
    <t>6h52m12.3s</t>
  </si>
  <si>
    <t>+74h25m39s</t>
  </si>
  <si>
    <t>IC451</t>
  </si>
  <si>
    <t>6h52m51.8s</t>
  </si>
  <si>
    <t>+74h28m48s</t>
  </si>
  <si>
    <t>IC452</t>
  </si>
  <si>
    <t>13.5 magnitude star in small nebulosity</t>
  </si>
  <si>
    <t>* 13.5 in S neby</t>
  </si>
  <si>
    <t>IC453</t>
  </si>
  <si>
    <t>6h49m11.5s</t>
  </si>
  <si>
    <t>-16h54m23s</t>
  </si>
  <si>
    <t>13th magnitude star in a small nebula, or 2 or 3 close stars</t>
  </si>
  <si>
    <t>* 13 in S neb, or 2 or 3 st close</t>
  </si>
  <si>
    <t>IC454</t>
  </si>
  <si>
    <t>6h51m6.2s</t>
  </si>
  <si>
    <t>+12h55m21s</t>
  </si>
  <si>
    <t>most extremely faint, small, extremely difficult</t>
  </si>
  <si>
    <t>eeF, S, e diffic</t>
  </si>
  <si>
    <t>IC455</t>
  </si>
  <si>
    <t>7h34m57.7s</t>
  </si>
  <si>
    <t>+85h32m16s</t>
  </si>
  <si>
    <t>vF, eS, sf 2300</t>
  </si>
  <si>
    <t>IC456</t>
  </si>
  <si>
    <t>7h0m17.4s</t>
  </si>
  <si>
    <t>-30h9m47s</t>
  </si>
  <si>
    <t>vF, pS, R, B st nf and np</t>
  </si>
  <si>
    <t>IC457</t>
  </si>
  <si>
    <t>extremely faint, to southwest of h430</t>
  </si>
  <si>
    <t>eF, sp h 430</t>
  </si>
  <si>
    <t>IC458</t>
  </si>
  <si>
    <t>7h10m33.7s</t>
  </si>
  <si>
    <t>+50h7m11s</t>
  </si>
  <si>
    <t>faint, brighter middle</t>
  </si>
  <si>
    <t>F, bM</t>
  </si>
  <si>
    <t>IC459</t>
  </si>
  <si>
    <t>7h10m38.6s</t>
  </si>
  <si>
    <t>+50h10m40s</t>
  </si>
  <si>
    <t>IC460</t>
  </si>
  <si>
    <t>7h10m44.1s</t>
  </si>
  <si>
    <t>+50h12m8s</t>
  </si>
  <si>
    <t>very faint (not seen at Birr)</t>
  </si>
  <si>
    <t>vF (not seen at Birr)</t>
  </si>
  <si>
    <t>IC461</t>
  </si>
  <si>
    <t>7h10m45s</t>
  </si>
  <si>
    <t>+50h4m53s</t>
  </si>
  <si>
    <t>very faint, 3 faint stars to east</t>
  </si>
  <si>
    <t>vF, 3 F st f</t>
  </si>
  <si>
    <t>IC462</t>
  </si>
  <si>
    <t>7h10m55.7s</t>
  </si>
  <si>
    <t>+50h10m52s</t>
  </si>
  <si>
    <t>IC463</t>
  </si>
  <si>
    <t>7h11m0.9s</t>
  </si>
  <si>
    <t>+50h7m10s</t>
  </si>
  <si>
    <t>IC464</t>
  </si>
  <si>
    <t>7h11m4.5s</t>
  </si>
  <si>
    <t>+50h8m10s</t>
  </si>
  <si>
    <t>IC465</t>
  </si>
  <si>
    <t>IC466</t>
  </si>
  <si>
    <t>7h8m38.9s</t>
  </si>
  <si>
    <t>-4h19m2s</t>
  </si>
  <si>
    <t>11.5 magnitude star in a very faint nebula</t>
  </si>
  <si>
    <t>* 11.5 in vF neb</t>
  </si>
  <si>
    <t>IC467</t>
  </si>
  <si>
    <t>7h30m17.8s</t>
  </si>
  <si>
    <t>+79h52m21s</t>
  </si>
  <si>
    <t>very faint, pretty small, south-southeast of (NGC) 2336</t>
  </si>
  <si>
    <t>vF, pS, ssF of 2336</t>
  </si>
  <si>
    <t>IC468</t>
  </si>
  <si>
    <t>7h17m18.9s</t>
  </si>
  <si>
    <t>-13h13m7s</t>
  </si>
  <si>
    <t>very faint nebulosity, perhaps 2 or 3 stars involved</t>
  </si>
  <si>
    <t>vF neby, perhaps 2 or 3 st inv</t>
  </si>
  <si>
    <t>IC469</t>
  </si>
  <si>
    <t>7h55m59.3s</t>
  </si>
  <si>
    <t>+85h9m31s</t>
  </si>
  <si>
    <t>F, S, E, sf 2300</t>
  </si>
  <si>
    <t>IC470</t>
  </si>
  <si>
    <t>7h23m31.4s</t>
  </si>
  <si>
    <t>+46h4m45s</t>
  </si>
  <si>
    <t>IC471</t>
  </si>
  <si>
    <t>7h43m36.4s</t>
  </si>
  <si>
    <t>+49h40m5s</t>
  </si>
  <si>
    <t>extremely faint, pretty small, round, northwestern of 2</t>
  </si>
  <si>
    <t>eF, pS, R, np of 2</t>
  </si>
  <si>
    <t>IC472</t>
  </si>
  <si>
    <t>7h43m50.2s</t>
  </si>
  <si>
    <t>+49h36m48s</t>
  </si>
  <si>
    <t>IC473</t>
  </si>
  <si>
    <t>7h42m24.7s</t>
  </si>
  <si>
    <t>+9h15m17s</t>
  </si>
  <si>
    <t>nebulous 14th magnitude star, h462 to northeast</t>
  </si>
  <si>
    <t>Neb * 14, h 462 nf</t>
  </si>
  <si>
    <t>IC474</t>
  </si>
  <si>
    <t>7h46m7.3s</t>
  </si>
  <si>
    <t>+26h30m16s</t>
  </si>
  <si>
    <t>pretty bright, very small, diffuse</t>
  </si>
  <si>
    <t>pB, vS, dif</t>
  </si>
  <si>
    <t>IC475</t>
  </si>
  <si>
    <t>7h47m9.2s</t>
  </si>
  <si>
    <t>+30h29m20s</t>
  </si>
  <si>
    <t>IC476</t>
  </si>
  <si>
    <t>7h47m16.4s</t>
  </si>
  <si>
    <t>+26h57m3s</t>
  </si>
  <si>
    <t>very small, very faint, a little brighter middle, difficult</t>
  </si>
  <si>
    <t>vS, vF, lbM, diffic</t>
  </si>
  <si>
    <t>IC477</t>
  </si>
  <si>
    <t>7h52m6.9s</t>
  </si>
  <si>
    <t>+23h29m1s</t>
  </si>
  <si>
    <t>IC478</t>
  </si>
  <si>
    <t>7h53m41.6s</t>
  </si>
  <si>
    <t>+26h29m32s</t>
  </si>
  <si>
    <t>IC479</t>
  </si>
  <si>
    <t>7h54m22.1s</t>
  </si>
  <si>
    <t>+27h0m26s</t>
  </si>
  <si>
    <t>IC480</t>
  </si>
  <si>
    <t>7h55m23.1s</t>
  </si>
  <si>
    <t>+26h44m32s</t>
  </si>
  <si>
    <t>IC481</t>
  </si>
  <si>
    <t>7h59m2.8s</t>
  </si>
  <si>
    <t>+24h9m37s</t>
  </si>
  <si>
    <t>IC482</t>
  </si>
  <si>
    <t>7h59m47.3s</t>
  </si>
  <si>
    <t>+25h21m22s</t>
  </si>
  <si>
    <t>very faint, small, diffuse, difficult</t>
  </si>
  <si>
    <t>vF, S, dif, diffic</t>
  </si>
  <si>
    <t>IC483</t>
  </si>
  <si>
    <t>7h59m52.4s</t>
  </si>
  <si>
    <t>+25h55m30s</t>
  </si>
  <si>
    <t>faint, small, brighter middle, faint star to northeast</t>
  </si>
  <si>
    <t>F, S, bM, F * nf</t>
  </si>
  <si>
    <t>IC484</t>
  </si>
  <si>
    <t>8h0m1s</t>
  </si>
  <si>
    <t>+26h39m57s</t>
  </si>
  <si>
    <t>IC485</t>
  </si>
  <si>
    <t>8h0m19.8s</t>
  </si>
  <si>
    <t>+26h42m6s</t>
  </si>
  <si>
    <t>IC486</t>
  </si>
  <si>
    <t>8h0m21.1s</t>
  </si>
  <si>
    <t>+26h36m48s</t>
  </si>
  <si>
    <t>IC487</t>
  </si>
  <si>
    <t>IC488</t>
  </si>
  <si>
    <t>8h0m49.7s</t>
  </si>
  <si>
    <t>+25h54m10s</t>
  </si>
  <si>
    <t>very faint, small, diffuse, 13th magnitude star to southwest</t>
  </si>
  <si>
    <t>vF, S, dif, * 13 sp</t>
  </si>
  <si>
    <t>IC489</t>
  </si>
  <si>
    <t>8h1m37.8s</t>
  </si>
  <si>
    <t>+25h59m48s</t>
  </si>
  <si>
    <t>IC490</t>
  </si>
  <si>
    <t>8h3m20.1s</t>
  </si>
  <si>
    <t>+25h48m40s</t>
  </si>
  <si>
    <t>eF, eS, S * f</t>
  </si>
  <si>
    <t>IC491</t>
  </si>
  <si>
    <t>8h3m55s</t>
  </si>
  <si>
    <t>+26h31m10s</t>
  </si>
  <si>
    <t>IC492</t>
  </si>
  <si>
    <t>8h5m38.4s</t>
  </si>
  <si>
    <t>+26h10m3s</t>
  </si>
  <si>
    <t>pretty bright, very gradually brighter middle, extended north-south, 13.5 magnitude star to southeast</t>
  </si>
  <si>
    <t>pB, vgbM, E ns, * 13.5 sf</t>
  </si>
  <si>
    <t>IC493</t>
  </si>
  <si>
    <t>8h7m27.6s</t>
  </si>
  <si>
    <t>+25h8m1s</t>
  </si>
  <si>
    <t>pretty bright, extended north-south</t>
  </si>
  <si>
    <t>pB, E ns</t>
  </si>
  <si>
    <t>IC494</t>
  </si>
  <si>
    <t>8h6m24.3s</t>
  </si>
  <si>
    <t>+1h2m12s</t>
  </si>
  <si>
    <t>very faint, pretty small, brighter middle</t>
  </si>
  <si>
    <t>vF, pS, bM</t>
  </si>
  <si>
    <t>IC495</t>
  </si>
  <si>
    <t>8h8m19.4s</t>
  </si>
  <si>
    <t>+9h0m52s</t>
  </si>
  <si>
    <t>IC496</t>
  </si>
  <si>
    <t>8h9m43.9s</t>
  </si>
  <si>
    <t>+25h52m52s</t>
  </si>
  <si>
    <t>pretty faint, small, extended east-west, a little brighter middle</t>
  </si>
  <si>
    <t>pF, S, E pf, lbM</t>
  </si>
  <si>
    <t>IC497</t>
  </si>
  <si>
    <t>8h10m6.1s</t>
  </si>
  <si>
    <t>+24h55m20s</t>
  </si>
  <si>
    <t>IC498</t>
  </si>
  <si>
    <t>8h9m30.3s</t>
  </si>
  <si>
    <t>+5h16m50s</t>
  </si>
  <si>
    <t>IC499</t>
  </si>
  <si>
    <t>8h45m17.3s</t>
  </si>
  <si>
    <t>+85h44m26s</t>
  </si>
  <si>
    <t>pretty faint, small, much brighter middle, star to northeast</t>
  </si>
  <si>
    <t>pF, S, mbM, * nf</t>
  </si>
  <si>
    <t>IC500</t>
  </si>
  <si>
    <t>8h12m39.5s</t>
  </si>
  <si>
    <t>-16h3m4s</t>
  </si>
  <si>
    <t>very faint, diffuse, very faint star attached</t>
  </si>
  <si>
    <t>vF, dif, vF * att</t>
  </si>
  <si>
    <t>IC501</t>
  </si>
  <si>
    <t>8h18m47.7s</t>
  </si>
  <si>
    <t>+24h32m14s</t>
  </si>
  <si>
    <t>IC502</t>
  </si>
  <si>
    <t>8h22m3.6s</t>
  </si>
  <si>
    <t>+8h45m11s</t>
  </si>
  <si>
    <t>faint, very small, diffuse</t>
  </si>
  <si>
    <t>F, vS, dif</t>
  </si>
  <si>
    <t>IC503</t>
  </si>
  <si>
    <t>8h22m10.6s</t>
  </si>
  <si>
    <t>+3h16m7s</t>
  </si>
  <si>
    <t>IC504</t>
  </si>
  <si>
    <t>8h22m41.2s</t>
  </si>
  <si>
    <t>+4h15m43s</t>
  </si>
  <si>
    <t>very faint, pretty small, round, 4 stars following (to the east)</t>
  </si>
  <si>
    <t>vF, pS, R, 4 st f</t>
  </si>
  <si>
    <t>IC505</t>
  </si>
  <si>
    <t>8h23m21.6s</t>
  </si>
  <si>
    <t>+4h22m23s</t>
  </si>
  <si>
    <t>IC506</t>
  </si>
  <si>
    <t>8h23m30.7s</t>
  </si>
  <si>
    <t>+4h18m1s</t>
  </si>
  <si>
    <t>IC507</t>
  </si>
  <si>
    <t>most extremely faint, pretty small, very little elongated, between 2 stars</t>
  </si>
  <si>
    <t>eeF, pS, vlE, bet 2 st</t>
  </si>
  <si>
    <t>IC508</t>
  </si>
  <si>
    <t>8h28m22.3s</t>
  </si>
  <si>
    <t>+25h7m28s</t>
  </si>
  <si>
    <t>IC509</t>
  </si>
  <si>
    <t>8h32m3.5s</t>
  </si>
  <si>
    <t>+24h0m37s</t>
  </si>
  <si>
    <t>very faint, pretty large, diffuse, a little brighter middle</t>
  </si>
  <si>
    <t>vF, pL, dif, lbM</t>
  </si>
  <si>
    <t>IC510</t>
  </si>
  <si>
    <t>8h32m10.9s</t>
  </si>
  <si>
    <t>-2h9m44s</t>
  </si>
  <si>
    <t>IC511</t>
  </si>
  <si>
    <t>very faint, small, considerably extended, 2 stars to southeast</t>
  </si>
  <si>
    <t>vF, S, cE, 2 st sf</t>
  </si>
  <si>
    <t>IC512</t>
  </si>
  <si>
    <t>9h3m49s</t>
  </si>
  <si>
    <t>+85h30m6s</t>
  </si>
  <si>
    <t>IC513</t>
  </si>
  <si>
    <t>8h33m5s</t>
  </si>
  <si>
    <t>-12h21m18s</t>
  </si>
  <si>
    <t>IC514</t>
  </si>
  <si>
    <t>8h35m22.3s</t>
  </si>
  <si>
    <t>-2h2m49s</t>
  </si>
  <si>
    <t>very faint, extended north-south</t>
  </si>
  <si>
    <t>vF, E ns</t>
  </si>
  <si>
    <t>IC515</t>
  </si>
  <si>
    <t>8h35m31.2s</t>
  </si>
  <si>
    <t>-1h54m2s</t>
  </si>
  <si>
    <t>vF, vS, dif, 2616 nf</t>
  </si>
  <si>
    <t>IC516</t>
  </si>
  <si>
    <t>8h35m50.8s</t>
  </si>
  <si>
    <t>-1h52m16s</t>
  </si>
  <si>
    <t>vF, vS, dif, 2616 p</t>
  </si>
  <si>
    <t>IC517</t>
  </si>
  <si>
    <t>8h36m22s</t>
  </si>
  <si>
    <t>-2h3m20s</t>
  </si>
  <si>
    <t>IC518</t>
  </si>
  <si>
    <t>8h36m7s</t>
  </si>
  <si>
    <t>+0h41m36s</t>
  </si>
  <si>
    <t>very faint, perhaps a very small cluster</t>
  </si>
  <si>
    <t>vF, ? vS Cl</t>
  </si>
  <si>
    <t>IC519</t>
  </si>
  <si>
    <t>8h40m34.4s</t>
  </si>
  <si>
    <t>+2h36m43s</t>
  </si>
  <si>
    <t>vF, vS, R, diffic, * 14 close</t>
  </si>
  <si>
    <t>IC520</t>
  </si>
  <si>
    <t>8h53m42.1s</t>
  </si>
  <si>
    <t>+73h29m27s</t>
  </si>
  <si>
    <t>pretty bright, pretty large, brighter middle, star near</t>
  </si>
  <si>
    <t>pB, pL, bM, * nr</t>
  </si>
  <si>
    <t>IC521</t>
  </si>
  <si>
    <t>S+C?</t>
  </si>
  <si>
    <t>8h46m44.2s</t>
  </si>
  <si>
    <t>+2h32m18s</t>
  </si>
  <si>
    <t>IC522</t>
  </si>
  <si>
    <t>8h54m34.8s</t>
  </si>
  <si>
    <t>+57h10m0s</t>
  </si>
  <si>
    <t>pF, pS, R, bM (? 2 eF st inv)</t>
  </si>
  <si>
    <t>IC523</t>
  </si>
  <si>
    <t>8h53m11.2s</t>
  </si>
  <si>
    <t>+9h8m54s</t>
  </si>
  <si>
    <t>faint, small, round, diffuse</t>
  </si>
  <si>
    <t>F, S, R, dif</t>
  </si>
  <si>
    <t>IC524</t>
  </si>
  <si>
    <t>8h58m12.8s</t>
  </si>
  <si>
    <t>-19h11m29s</t>
  </si>
  <si>
    <t>vF, vS, R, vF N ?</t>
  </si>
  <si>
    <t>IC525</t>
  </si>
  <si>
    <t>9h1m22.5s</t>
  </si>
  <si>
    <t>-1h51m11s</t>
  </si>
  <si>
    <t>faint, small, extended north-south</t>
  </si>
  <si>
    <t>F, S, E ns</t>
  </si>
  <si>
    <t>IC526</t>
  </si>
  <si>
    <t>9h2m40.7s</t>
  </si>
  <si>
    <t>+10h50m32s</t>
  </si>
  <si>
    <t>IC527</t>
  </si>
  <si>
    <t>9h9m41.8s</t>
  </si>
  <si>
    <t>+37h36m7s</t>
  </si>
  <si>
    <t>most extremely faint, pretty large, round, extremely difficult</t>
  </si>
  <si>
    <t>eeF, pL, R, e diffic</t>
  </si>
  <si>
    <t>IC528</t>
  </si>
  <si>
    <t>9h9m22.5s</t>
  </si>
  <si>
    <t>+15h47m45s</t>
  </si>
  <si>
    <t>pretty bright, very small, round, nucleus equal to 13th magnitude</t>
  </si>
  <si>
    <t>pB, vS, R, N = 13m</t>
  </si>
  <si>
    <t>IC529</t>
  </si>
  <si>
    <t>9h18m32.9s</t>
  </si>
  <si>
    <t>+73h45m35s</t>
  </si>
  <si>
    <t>pretty faint, pretty large, extended</t>
  </si>
  <si>
    <t>pF, pL, E</t>
  </si>
  <si>
    <t>IC530</t>
  </si>
  <si>
    <t>9h15m17.1s</t>
  </si>
  <si>
    <t>+11h53m10s</t>
  </si>
  <si>
    <t>pretty bright, small, extended east-west</t>
  </si>
  <si>
    <t>pB, S, E pf</t>
  </si>
  <si>
    <t>IC531</t>
  </si>
  <si>
    <t>9h17m50.8s</t>
  </si>
  <si>
    <t>-0h16m41s</t>
  </si>
  <si>
    <t>faint, very small, extended east-west, a little brighter middle</t>
  </si>
  <si>
    <t>F, vS, E pf, lbM</t>
  </si>
  <si>
    <t>IC532</t>
  </si>
  <si>
    <t>9h19m3s</t>
  </si>
  <si>
    <t>-16h45m18s</t>
  </si>
  <si>
    <t>pretty bright, pretty large, elongated east-west, brighter middle</t>
  </si>
  <si>
    <t>pB, pL, E pf, bM</t>
  </si>
  <si>
    <t>IC533</t>
  </si>
  <si>
    <t>9h20m23.3s</t>
  </si>
  <si>
    <t>-3h59m29s</t>
  </si>
  <si>
    <t>IC534</t>
  </si>
  <si>
    <t>9h21m15.6s</t>
  </si>
  <si>
    <t>+3h9m1s</t>
  </si>
  <si>
    <t>IC535</t>
  </si>
  <si>
    <t>9h22m16.2s</t>
  </si>
  <si>
    <t>-1h2m24s</t>
  </si>
  <si>
    <t>IC536</t>
  </si>
  <si>
    <t>9h24m40s</t>
  </si>
  <si>
    <t>+25h6m37s</t>
  </si>
  <si>
    <t>IC537</t>
  </si>
  <si>
    <t>9h25m22.5s</t>
  </si>
  <si>
    <t>-12h23m28s</t>
  </si>
  <si>
    <t>nebulous 14th magnitude star</t>
  </si>
  <si>
    <t>Neb * 14</t>
  </si>
  <si>
    <t>IC538</t>
  </si>
  <si>
    <t>13th magnitude star in very faint nebulosity (perhaps = h599, whose right ascension was uncertain)</t>
  </si>
  <si>
    <t>* 13 in vF neb (? = h 599, whose α was uncertain)</t>
  </si>
  <si>
    <t>IC539</t>
  </si>
  <si>
    <t>9h29m8.2s</t>
  </si>
  <si>
    <t>-2h32m56s</t>
  </si>
  <si>
    <t>pretty bright, small, round, gradually brighter middle, mottled but not resolved</t>
  </si>
  <si>
    <t>pB, S, R, gbM, r</t>
  </si>
  <si>
    <t>IC540</t>
  </si>
  <si>
    <t>9h30m10.1s</t>
  </si>
  <si>
    <t>+7h54m5s</t>
  </si>
  <si>
    <t>IC541</t>
  </si>
  <si>
    <t>9h30m30s</t>
  </si>
  <si>
    <t>-4h15m0s</t>
  </si>
  <si>
    <t>most extremely faint, pretty small, round, 10th magnitude star to the south</t>
  </si>
  <si>
    <t>eeF, pS, R, * 10 s</t>
  </si>
  <si>
    <t>IC542</t>
  </si>
  <si>
    <t>9h31m6.2s</t>
  </si>
  <si>
    <t>-13h10m52s</t>
  </si>
  <si>
    <t>IC543</t>
  </si>
  <si>
    <t>9h31m9s</t>
  </si>
  <si>
    <t>-14h46m24s</t>
  </si>
  <si>
    <t>very faint, pretty large, elongated, diffuse</t>
  </si>
  <si>
    <t>IC544</t>
  </si>
  <si>
    <t>9h35m53.1s</t>
  </si>
  <si>
    <t>+24h53m34s</t>
  </si>
  <si>
    <t>IC545</t>
  </si>
  <si>
    <t>9h36m5.3s</t>
  </si>
  <si>
    <t>+24h56m51s</t>
  </si>
  <si>
    <t>faint, extended east-west, faint star to east</t>
  </si>
  <si>
    <t>F, E pf, F * f</t>
  </si>
  <si>
    <t>IC546</t>
  </si>
  <si>
    <t>9h34m50.2s</t>
  </si>
  <si>
    <t>F, vS, iF, h 3175 f</t>
  </si>
  <si>
    <t>IC547</t>
  </si>
  <si>
    <t>IC548</t>
  </si>
  <si>
    <t>9h38m19.3s</t>
  </si>
  <si>
    <t>+9h26m46s</t>
  </si>
  <si>
    <t>F, vS, ibM, h 614 np</t>
  </si>
  <si>
    <t>IC549</t>
  </si>
  <si>
    <t>9h40m43.1s</t>
  </si>
  <si>
    <t>+3h57m32s</t>
  </si>
  <si>
    <t>very faint, small, irregular figure, brighter middle</t>
  </si>
  <si>
    <t>vF, S, iF, bM</t>
  </si>
  <si>
    <t>IC550</t>
  </si>
  <si>
    <t>9h40m28.6s</t>
  </si>
  <si>
    <t>-6h56m45s</t>
  </si>
  <si>
    <t>faint, extremely small, stellar</t>
  </si>
  <si>
    <t>F, eS, stellar</t>
  </si>
  <si>
    <t>IC551</t>
  </si>
  <si>
    <t>9h41m0s</t>
  </si>
  <si>
    <t>+6h56m12s</t>
  </si>
  <si>
    <t>faint, very small, round, nucleus equal to 13th magnitude</t>
  </si>
  <si>
    <t>F, vS, R, N = 13m</t>
  </si>
  <si>
    <t>IC552</t>
  </si>
  <si>
    <t>9h41m16.5s</t>
  </si>
  <si>
    <t>+10h38m50s</t>
  </si>
  <si>
    <t>F, vS, stell N = 14m</t>
  </si>
  <si>
    <t>IC553</t>
  </si>
  <si>
    <t>9h40m45s</t>
  </si>
  <si>
    <t>-5h26m7s</t>
  </si>
  <si>
    <t>IC554</t>
  </si>
  <si>
    <t>9h41m57s</t>
  </si>
  <si>
    <t>+12h17m47s</t>
  </si>
  <si>
    <t>eeF, eS, alm stell</t>
  </si>
  <si>
    <t>IC555</t>
  </si>
  <si>
    <t>IC556</t>
  </si>
  <si>
    <t>faint, very small, round, nucleus equivalent to 14th-magnitude star</t>
  </si>
  <si>
    <t>F, vS, R, N = 14m</t>
  </si>
  <si>
    <t>IC557</t>
  </si>
  <si>
    <t>9h44m2.5s</t>
  </si>
  <si>
    <t>+10h59m19s</t>
  </si>
  <si>
    <t>faint, very small, round, very little brighter middle</t>
  </si>
  <si>
    <t>F, vS, R, vlbM</t>
  </si>
  <si>
    <t>IC558</t>
  </si>
  <si>
    <t>9h45m0.3s</t>
  </si>
  <si>
    <t>+29h27m10s</t>
  </si>
  <si>
    <t>IC559</t>
  </si>
  <si>
    <t>9h44m43.8s</t>
  </si>
  <si>
    <t>+9h36m57s</t>
  </si>
  <si>
    <t>IC560</t>
  </si>
  <si>
    <t>9h45m53.4s</t>
  </si>
  <si>
    <t>-0h16m6s</t>
  </si>
  <si>
    <t>F, S, dif, * 10 near</t>
  </si>
  <si>
    <t>IC561</t>
  </si>
  <si>
    <t>9h45m58.9s</t>
  </si>
  <si>
    <t>+3h8m42s</t>
  </si>
  <si>
    <t>pretty faint, diffuse</t>
  </si>
  <si>
    <t>IC562</t>
  </si>
  <si>
    <t>9h46m4s</t>
  </si>
  <si>
    <t>-3h58m19s</t>
  </si>
  <si>
    <t>very faint, pretty large, extended north-south, gradually brighter middle</t>
  </si>
  <si>
    <t>vF, pL, E ns, gbM</t>
  </si>
  <si>
    <t>IC563</t>
  </si>
  <si>
    <t>9h46m20.2s</t>
  </si>
  <si>
    <t>+3h2m46s</t>
  </si>
  <si>
    <t>pB, S, dif, gbM</t>
  </si>
  <si>
    <t>IC564</t>
  </si>
  <si>
    <t>9h46m21s</t>
  </si>
  <si>
    <t>+3h4m16s</t>
  </si>
  <si>
    <t>pretty bright, pretty large, extended east-west</t>
  </si>
  <si>
    <t>pB, pL, E pf</t>
  </si>
  <si>
    <t>IC565</t>
  </si>
  <si>
    <t>9h47m50.3s</t>
  </si>
  <si>
    <t>+15h51m5s</t>
  </si>
  <si>
    <t>IC566</t>
  </si>
  <si>
    <t>9h49m56.3s</t>
  </si>
  <si>
    <t>-0h13m51s</t>
  </si>
  <si>
    <t>IC567</t>
  </si>
  <si>
    <t>9h50m33.9s</t>
  </si>
  <si>
    <t>+12h47m8s</t>
  </si>
  <si>
    <t>very faint, suspected, 2 arcmin from III 52</t>
  </si>
  <si>
    <t>vF, suspected, 2' from III. 52</t>
  </si>
  <si>
    <t>IC568</t>
  </si>
  <si>
    <t>9h51m8.4s</t>
  </si>
  <si>
    <t>+15h43m50s</t>
  </si>
  <si>
    <t>faint, pretty large, extended east-west, gradually brighter middle</t>
  </si>
  <si>
    <t>F, pL, E pf, gbM</t>
  </si>
  <si>
    <t>IC569</t>
  </si>
  <si>
    <t>9h51m28.1s</t>
  </si>
  <si>
    <t>+10h55m14s</t>
  </si>
  <si>
    <t>very faint, diffuse, very little brighter middle</t>
  </si>
  <si>
    <t>IC570</t>
  </si>
  <si>
    <t>9h51m50.9s</t>
  </si>
  <si>
    <t>+15h45m22s</t>
  </si>
  <si>
    <t>IC571</t>
  </si>
  <si>
    <t>9h52m31.5s</t>
  </si>
  <si>
    <t>+15h46m31s</t>
  </si>
  <si>
    <t>IC572</t>
  </si>
  <si>
    <t>9h52m32.8s</t>
  </si>
  <si>
    <t>+15h49m39s</t>
  </si>
  <si>
    <t>IC573</t>
  </si>
  <si>
    <t>extremely faint, very small, round, very small star close</t>
  </si>
  <si>
    <t>eF, vS, R, vS * close</t>
  </si>
  <si>
    <t>IC574</t>
  </si>
  <si>
    <t>9h54m27s</t>
  </si>
  <si>
    <t>-6h57m10s</t>
  </si>
  <si>
    <t>pB, S, R, mbM, * 12s</t>
  </si>
  <si>
    <t>IC575</t>
  </si>
  <si>
    <t>9h54m32.9s</t>
  </si>
  <si>
    <t>-6h51m26s</t>
  </si>
  <si>
    <t>IC576</t>
  </si>
  <si>
    <t>9h55m7s</t>
  </si>
  <si>
    <t>+11h2m24s</t>
  </si>
  <si>
    <t>IC577</t>
  </si>
  <si>
    <t>9h56m4s</t>
  </si>
  <si>
    <t>+10h29m56s</t>
  </si>
  <si>
    <t>faint, very small, irregular figure, faint star to north</t>
  </si>
  <si>
    <t>F, vS, iF, F * n</t>
  </si>
  <si>
    <t>IC578</t>
  </si>
  <si>
    <t>9h56m16.1s</t>
  </si>
  <si>
    <t>+10h29m11s</t>
  </si>
  <si>
    <t>IC579</t>
  </si>
  <si>
    <t>9h56m39.4s</t>
  </si>
  <si>
    <t>-13h46m28s</t>
  </si>
  <si>
    <t>IC580</t>
  </si>
  <si>
    <t>pretty faint, very small, irregular figure</t>
  </si>
  <si>
    <t>pF, vS, iF</t>
  </si>
  <si>
    <t>IC581</t>
  </si>
  <si>
    <t>9h58m11.5s</t>
  </si>
  <si>
    <t>+15h56m51s</t>
  </si>
  <si>
    <t>pB, S, dif, N = 13 inv</t>
  </si>
  <si>
    <t>IC582</t>
  </si>
  <si>
    <t>9h59m0.2s</t>
  </si>
  <si>
    <t>pretty bright, small, irregular figure, gradually brighter middle</t>
  </si>
  <si>
    <t>pB, S, iF, gbM</t>
  </si>
  <si>
    <t>IC583</t>
  </si>
  <si>
    <t>9h59m5s</t>
  </si>
  <si>
    <t>+17h49m16s</t>
  </si>
  <si>
    <t>faint, very small, gradually brighter middle</t>
  </si>
  <si>
    <t>F, vS, gbM</t>
  </si>
  <si>
    <t>IC584</t>
  </si>
  <si>
    <t>9h59m5.1s</t>
  </si>
  <si>
    <t>+10h21m40s</t>
  </si>
  <si>
    <t>eF, S, R, dif, II. 59 p</t>
  </si>
  <si>
    <t>IC585</t>
  </si>
  <si>
    <t>9h59m44.1s</t>
  </si>
  <si>
    <t>+12h59m21s</t>
  </si>
  <si>
    <t>* 13 in eF, S neb</t>
  </si>
  <si>
    <t>IC586</t>
  </si>
  <si>
    <t>9h59m50.2s</t>
  </si>
  <si>
    <t>-6h55m20s</t>
  </si>
  <si>
    <t>F, vS, mottled</t>
  </si>
  <si>
    <t>IC587</t>
  </si>
  <si>
    <t>10h3m5.2s</t>
  </si>
  <si>
    <t>-2h23m59s</t>
  </si>
  <si>
    <t>IC588</t>
  </si>
  <si>
    <t>10h2m7s</t>
  </si>
  <si>
    <t>+3h3m30s</t>
  </si>
  <si>
    <t>F, S, R, mottled</t>
  </si>
  <si>
    <t>IC589</t>
  </si>
  <si>
    <t>10h4m23.8s</t>
  </si>
  <si>
    <t>-5h40m42s</t>
  </si>
  <si>
    <t>very faint, very small, possibly binuclear</t>
  </si>
  <si>
    <t>vF, vS, biN ?</t>
  </si>
  <si>
    <t>IC590</t>
  </si>
  <si>
    <t>10h5m49.6s</t>
  </si>
  <si>
    <t>+0h37m59s</t>
  </si>
  <si>
    <t>faint, diffuse, perhaps a nebulous double star with (NGC) 943</t>
  </si>
  <si>
    <t>F, dif, neb D * ?</t>
  </si>
  <si>
    <t>IC591</t>
  </si>
  <si>
    <t>10h7m27.6s</t>
  </si>
  <si>
    <t>+12h16m27s</t>
  </si>
  <si>
    <t>IC592</t>
  </si>
  <si>
    <t>10h7m58.7s</t>
  </si>
  <si>
    <t>-2h29m56s</t>
  </si>
  <si>
    <t>IC593</t>
  </si>
  <si>
    <t>10h8m18s</t>
  </si>
  <si>
    <t>-2h31m36s</t>
  </si>
  <si>
    <t>IC594</t>
  </si>
  <si>
    <t>10h8m31.9s</t>
  </si>
  <si>
    <t>-0h39m58s</t>
  </si>
  <si>
    <t>faint, small, round, gradually brighter middle, mottled but not resolved</t>
  </si>
  <si>
    <t>F, S, R, gbM, r</t>
  </si>
  <si>
    <t>IC595</t>
  </si>
  <si>
    <t>10h9m38.1s</t>
  </si>
  <si>
    <t>+11h0m3s</t>
  </si>
  <si>
    <t>IC596</t>
  </si>
  <si>
    <t>10h10m31.3s</t>
  </si>
  <si>
    <t>+10h2m30s</t>
  </si>
  <si>
    <t>IC597</t>
  </si>
  <si>
    <t>10h10m11.9s</t>
  </si>
  <si>
    <t>-6h53m55s</t>
  </si>
  <si>
    <t>IC598</t>
  </si>
  <si>
    <t>10h12m48.5s</t>
  </si>
  <si>
    <t>+43h8m44s</t>
  </si>
  <si>
    <t>very faint, very small, round, brighter middle, almost stellar</t>
  </si>
  <si>
    <t>vF, vS, R, bM, alm stell</t>
  </si>
  <si>
    <t>IC599</t>
  </si>
  <si>
    <t>10h13m12.4s</t>
  </si>
  <si>
    <t>-5h37m44s</t>
  </si>
  <si>
    <t>IC600</t>
  </si>
  <si>
    <t>10h17m10.7s</t>
  </si>
  <si>
    <t>-3h29m50s</t>
  </si>
  <si>
    <t>IC601</t>
  </si>
  <si>
    <t>10h18m15.3s</t>
  </si>
  <si>
    <t>+7h2m21s</t>
  </si>
  <si>
    <t>very faint, very small, diffuse, suddenly brighter middle</t>
  </si>
  <si>
    <t>vF, vS, dif, sbM</t>
  </si>
  <si>
    <t>IC602</t>
  </si>
  <si>
    <t>10h18m19.6s</t>
  </si>
  <si>
    <t>+7h2m57s</t>
  </si>
  <si>
    <t>pretty bright, small, extended north-south</t>
  </si>
  <si>
    <t>pB, S, E ns</t>
  </si>
  <si>
    <t>IC603</t>
  </si>
  <si>
    <t>10h19m25s</t>
  </si>
  <si>
    <t>-5h39m22s</t>
  </si>
  <si>
    <t>faint, very small, round, nucleus = 13.5 magnitude star</t>
  </si>
  <si>
    <t>F, vS, R, N = 13.5</t>
  </si>
  <si>
    <t>IC604</t>
  </si>
  <si>
    <t>most extremely faint, very small, very much extended (perhaps several faint stars in a line)</t>
  </si>
  <si>
    <t>eeF, vS, vmE (? sev eF st in line)</t>
  </si>
  <si>
    <t>IC605</t>
  </si>
  <si>
    <t>10h22m24.1s</t>
  </si>
  <si>
    <t>+1h11m56s</t>
  </si>
  <si>
    <t>east, small, round, gradually brighter middle</t>
  </si>
  <si>
    <t>f, S, R, gbM</t>
  </si>
  <si>
    <t>IC606</t>
  </si>
  <si>
    <t>IC607</t>
  </si>
  <si>
    <t>10h24m8.5s</t>
  </si>
  <si>
    <t>+16h44m30s</t>
  </si>
  <si>
    <t>most extremely faint, pretty small, round, very difficult, star to southwest</t>
  </si>
  <si>
    <t>eeF, pS, R, v diffic, * sp</t>
  </si>
  <si>
    <t>IC608</t>
  </si>
  <si>
    <t>10h24m21s</t>
  </si>
  <si>
    <t>-6h2m22s</t>
  </si>
  <si>
    <t>IC609</t>
  </si>
  <si>
    <t>10h25m35.4s</t>
  </si>
  <si>
    <t>-2h12m51s</t>
  </si>
  <si>
    <t>IC610</t>
  </si>
  <si>
    <t>10h26m28.4s</t>
  </si>
  <si>
    <t>+20h13m37s</t>
  </si>
  <si>
    <t>most extremely faint, pretty small, considerably extended, extremely difficult</t>
  </si>
  <si>
    <t>eeF, pS, cE, e diffic</t>
  </si>
  <si>
    <t>IC611</t>
  </si>
  <si>
    <t>IC612</t>
  </si>
  <si>
    <t>10h27m5.8s</t>
  </si>
  <si>
    <t>+11h3m17s</t>
  </si>
  <si>
    <t>faint, very small, diffuse, very little brighter middle</t>
  </si>
  <si>
    <t>IC613</t>
  </si>
  <si>
    <t>10h27m7.7s</t>
  </si>
  <si>
    <t>+11h0m41s</t>
  </si>
  <si>
    <t>IC614</t>
  </si>
  <si>
    <t>RN4</t>
  </si>
  <si>
    <t>10h26m51.8s</t>
  </si>
  <si>
    <t>-3h27m53s</t>
  </si>
  <si>
    <t>IC615</t>
  </si>
  <si>
    <t>10h27m21.9s</t>
  </si>
  <si>
    <t>+11h4m50s</t>
  </si>
  <si>
    <t>IC616</t>
  </si>
  <si>
    <t>10h32m47.4s</t>
  </si>
  <si>
    <t>+15h51m38s</t>
  </si>
  <si>
    <t>IC617</t>
  </si>
  <si>
    <t>IC618</t>
  </si>
  <si>
    <t>faint, small, extended east-west, a little brighter middle</t>
  </si>
  <si>
    <t>F, S, E pf, lbM</t>
  </si>
  <si>
    <t>IC619</t>
  </si>
  <si>
    <t>10h33m50s</t>
  </si>
  <si>
    <t>+12h52m42s</t>
  </si>
  <si>
    <t>most extremely faint, small, round, 3 faint stars to east</t>
  </si>
  <si>
    <t>eeF, S, R, 3 F st f</t>
  </si>
  <si>
    <t>IC620</t>
  </si>
  <si>
    <t>10h33m33.4s</t>
  </si>
  <si>
    <t>+11h52m15s</t>
  </si>
  <si>
    <t>IC621</t>
  </si>
  <si>
    <t>10h33m21s</t>
  </si>
  <si>
    <t>+2h37m0s</t>
  </si>
  <si>
    <t>IC622</t>
  </si>
  <si>
    <t>very faint, pretty small, extended, 9th magnitude star to south</t>
  </si>
  <si>
    <t>vF, pS, E, * 9 s</t>
  </si>
  <si>
    <t>IC623</t>
  </si>
  <si>
    <t>10h35m21s</t>
  </si>
  <si>
    <t>+3h33m30s</t>
  </si>
  <si>
    <t>IC624</t>
  </si>
  <si>
    <t>10h36m15.3s</t>
  </si>
  <si>
    <t>-8h20m3s</t>
  </si>
  <si>
    <t>IC625</t>
  </si>
  <si>
    <t>Sc?</t>
  </si>
  <si>
    <t>10h42m37.9s</t>
  </si>
  <si>
    <t>-23h56m6s</t>
  </si>
  <si>
    <t>extremely faint, pretty large, extended 110°, diffuse</t>
  </si>
  <si>
    <t>eF, pL, E 110°, dif</t>
  </si>
  <si>
    <t>IC626</t>
  </si>
  <si>
    <t>10h36m57.2s</t>
  </si>
  <si>
    <t>-7h1m26s</t>
  </si>
  <si>
    <t>IC627</t>
  </si>
  <si>
    <t>10h37m19.8s</t>
  </si>
  <si>
    <t>-3h21m26s</t>
  </si>
  <si>
    <t>IC628</t>
  </si>
  <si>
    <t>10h37m36.2s</t>
  </si>
  <si>
    <t>+5h36m12s</t>
  </si>
  <si>
    <t>IC629</t>
  </si>
  <si>
    <t>very faint, very small star involved, possible cluster</t>
  </si>
  <si>
    <t>vF, vS st inv, Cl ?</t>
  </si>
  <si>
    <t>IC630</t>
  </si>
  <si>
    <t>10h38m33.9s</t>
  </si>
  <si>
    <t>-7h10m14s</t>
  </si>
  <si>
    <t>F, eS, stellar, * 9.5 sp 1?'</t>
  </si>
  <si>
    <t>IC631</t>
  </si>
  <si>
    <t>10h38m58.8s</t>
  </si>
  <si>
    <t>-7h3m6s</t>
  </si>
  <si>
    <t>IC632</t>
  </si>
  <si>
    <t>10h39m11.8s</t>
  </si>
  <si>
    <t>-0h24m35s</t>
  </si>
  <si>
    <t>IC633</t>
  </si>
  <si>
    <t>10h39m24.1s</t>
  </si>
  <si>
    <t>-0h23m19s</t>
  </si>
  <si>
    <t>very faint, very small, round, small nucleus</t>
  </si>
  <si>
    <t>vF, vS, R, SN</t>
  </si>
  <si>
    <t>IC634</t>
  </si>
  <si>
    <t>10h40m54.8s</t>
  </si>
  <si>
    <t>+5h59m31s</t>
  </si>
  <si>
    <t>IC635</t>
  </si>
  <si>
    <t>10h41m45.3s</t>
  </si>
  <si>
    <t>+15h38m36s</t>
  </si>
  <si>
    <t>IC636</t>
  </si>
  <si>
    <t>10h41m50.6s</t>
  </si>
  <si>
    <t>+4h19m51s</t>
  </si>
  <si>
    <t>IC637</t>
  </si>
  <si>
    <t>10h42m21.9s</t>
  </si>
  <si>
    <t>+15h21m37s</t>
  </si>
  <si>
    <t>F, vS, in line w 3 st</t>
  </si>
  <si>
    <t>IC638</t>
  </si>
  <si>
    <t>10h43m48s</t>
  </si>
  <si>
    <t>+15h53m44s</t>
  </si>
  <si>
    <t>IC639</t>
  </si>
  <si>
    <t>10h45m52s</t>
  </si>
  <si>
    <t>+16h55m46s</t>
  </si>
  <si>
    <t>eF, S, mE ns, * 10 nf 5'</t>
  </si>
  <si>
    <t>IC640</t>
  </si>
  <si>
    <t>10h46m50s</t>
  </si>
  <si>
    <t>+34h46m0s</t>
  </si>
  <si>
    <t>very faint, pretty small, extended, double?</t>
  </si>
  <si>
    <t>vF, pS, E, D ?</t>
  </si>
  <si>
    <t>IC641</t>
  </si>
  <si>
    <t>10h47m49.3s</t>
  </si>
  <si>
    <t>+34h40m21s</t>
  </si>
  <si>
    <t>vS, pS, dif</t>
  </si>
  <si>
    <t>IC642</t>
  </si>
  <si>
    <t>10h48m7.9s</t>
  </si>
  <si>
    <t>+18h11m19s</t>
  </si>
  <si>
    <t>very faint, pretty small, a little extended, 2 stars to east</t>
  </si>
  <si>
    <t>vF, pS, lE, 2 st f</t>
  </si>
  <si>
    <t>IC643</t>
  </si>
  <si>
    <t>10h49m27.1s</t>
  </si>
  <si>
    <t>+12h12m4s</t>
  </si>
  <si>
    <t>pretty faint, small, extended north-south, a little brighter middle</t>
  </si>
  <si>
    <t>pF, S, E ns, lbM</t>
  </si>
  <si>
    <t>IC644</t>
  </si>
  <si>
    <t>most extremely faint, pretty small, a little extended, bright star to southeast, southwestern of 2</t>
  </si>
  <si>
    <t>eeF, pS, lE, B * sf, sp of 2</t>
  </si>
  <si>
    <t>IC645</t>
  </si>
  <si>
    <t>10h50m9.2s</t>
  </si>
  <si>
    <t>-6h2m35s</t>
  </si>
  <si>
    <t>IC646</t>
  </si>
  <si>
    <t>10h51m35.1s</t>
  </si>
  <si>
    <t>+55h27m59s</t>
  </si>
  <si>
    <t>most extremely faint, pretty small, round, northeastern of 2</t>
  </si>
  <si>
    <t>eeF, pS, R, nf of 2</t>
  </si>
  <si>
    <t>IC647</t>
  </si>
  <si>
    <t>10h50m34.4s</t>
  </si>
  <si>
    <t>-12h51m14s</t>
  </si>
  <si>
    <t>eF, vS, dif, III. 522 p</t>
  </si>
  <si>
    <t>IC648</t>
  </si>
  <si>
    <t>10h51m0.7s</t>
  </si>
  <si>
    <t>+12h17m24s</t>
  </si>
  <si>
    <t>extremely faint, very small, very faint star involved, difficult</t>
  </si>
  <si>
    <t>eF, vS, vF * inv, diffic</t>
  </si>
  <si>
    <t>IC649</t>
  </si>
  <si>
    <t>10h50m52s</t>
  </si>
  <si>
    <t>+1h9m55s</t>
  </si>
  <si>
    <t>F, S, lbM, * 10.5 sp</t>
  </si>
  <si>
    <t>IC650</t>
  </si>
  <si>
    <t>10h50m40.5s</t>
  </si>
  <si>
    <t>-13h26m30s</t>
  </si>
  <si>
    <t>IC651</t>
  </si>
  <si>
    <t>10h50m58.2s</t>
  </si>
  <si>
    <t>-2h9m1s</t>
  </si>
  <si>
    <t>pretty bright, pretty small, gradually brighter middle, mottled but not resolved</t>
  </si>
  <si>
    <t>pB, pS, gbM, r</t>
  </si>
  <si>
    <t>IC652</t>
  </si>
  <si>
    <t>IC653</t>
  </si>
  <si>
    <t>10h52m6.7s</t>
  </si>
  <si>
    <t>IC654</t>
  </si>
  <si>
    <t>10h53m50.4s</t>
  </si>
  <si>
    <t>-11h43m32s</t>
  </si>
  <si>
    <t>very faint, small, difficult</t>
  </si>
  <si>
    <t>vF, S, diffic</t>
  </si>
  <si>
    <t>IC655</t>
  </si>
  <si>
    <t>10h54m22.1s</t>
  </si>
  <si>
    <t>-0h21m56s</t>
  </si>
  <si>
    <t>extremely faint, irregular figure</t>
  </si>
  <si>
    <t>eF, iF</t>
  </si>
  <si>
    <t>IC656</t>
  </si>
  <si>
    <t>*3+C</t>
  </si>
  <si>
    <t>10h55m8.8s</t>
  </si>
  <si>
    <t>+17h36m42s</t>
  </si>
  <si>
    <t>very small, a cluster, possibly nebulous</t>
  </si>
  <si>
    <t>vS, Cl, neb ?</t>
  </si>
  <si>
    <t>IC657</t>
  </si>
  <si>
    <t>10h57m53.5s</t>
  </si>
  <si>
    <t>-4h54m15s</t>
  </si>
  <si>
    <t>faint, pretty small, a little extended north-south</t>
  </si>
  <si>
    <t>F, pS, lE ns</t>
  </si>
  <si>
    <t>IC658</t>
  </si>
  <si>
    <t>10h58m16.2s</t>
  </si>
  <si>
    <t>IC659</t>
  </si>
  <si>
    <t>10h58m3.8s</t>
  </si>
  <si>
    <t>-6h15m36s</t>
  </si>
  <si>
    <t>IC660</t>
  </si>
  <si>
    <t>10h58m26.6s</t>
  </si>
  <si>
    <t>+1h23m0s</t>
  </si>
  <si>
    <t>IC661</t>
  </si>
  <si>
    <t>10h58m51.4s</t>
  </si>
  <si>
    <t>+1h39m4s</t>
  </si>
  <si>
    <t>extremely faint, very small, round, difficult</t>
  </si>
  <si>
    <t>eF, vS, R, diffic</t>
  </si>
  <si>
    <t>IC662</t>
  </si>
  <si>
    <t>10h59m20.5s</t>
  </si>
  <si>
    <t>+1h35m58s</t>
  </si>
  <si>
    <t>very faint, small nucleus, difficult</t>
  </si>
  <si>
    <t>vF, SN, diffic</t>
  </si>
  <si>
    <t>IC663</t>
  </si>
  <si>
    <t>11h0m37.3s</t>
  </si>
  <si>
    <t>+10h26m14s</t>
  </si>
  <si>
    <t>extremely faint, very small, round, 2 stars to south, 1st of 4</t>
  </si>
  <si>
    <t>eF, vS, R, 2 st s, 1st of 4</t>
  </si>
  <si>
    <t>IC664</t>
  </si>
  <si>
    <t>11h0m45.4s</t>
  </si>
  <si>
    <t>+10h33m11s</t>
  </si>
  <si>
    <t>eF, vS, R, lbM, 3492 f</t>
  </si>
  <si>
    <t>IC665</t>
  </si>
  <si>
    <t>11h0m29.9s</t>
  </si>
  <si>
    <t>-13h51m58s</t>
  </si>
  <si>
    <t>IC666</t>
  </si>
  <si>
    <t>11h1m14.8s</t>
  </si>
  <si>
    <t>+10h28m51s</t>
  </si>
  <si>
    <t>extremely faint, very small, irregular figure, 4th of 4</t>
  </si>
  <si>
    <t>eF, vS, iF, 4th of 4</t>
  </si>
  <si>
    <t>IC667</t>
  </si>
  <si>
    <t>11h6m36.5s</t>
  </si>
  <si>
    <t>+15h5m21s</t>
  </si>
  <si>
    <t>IC668</t>
  </si>
  <si>
    <t>11h6m39.4s</t>
  </si>
  <si>
    <t>+15h2m28s</t>
  </si>
  <si>
    <t>IC669</t>
  </si>
  <si>
    <t>11h7m16.5s</t>
  </si>
  <si>
    <t>+6h18m11s</t>
  </si>
  <si>
    <t>IC670</t>
  </si>
  <si>
    <t>11h7m28.7s</t>
  </si>
  <si>
    <t>+6h42m52s</t>
  </si>
  <si>
    <t>IC671</t>
  </si>
  <si>
    <t>11h7m31.6s</t>
  </si>
  <si>
    <t>+0h47m0s</t>
  </si>
  <si>
    <t>IC672</t>
  </si>
  <si>
    <t>11h8m3.2s</t>
  </si>
  <si>
    <t>-12h29m3s</t>
  </si>
  <si>
    <t>IC673</t>
  </si>
  <si>
    <t>11h9m25.2s</t>
  </si>
  <si>
    <t>-0h5m52s</t>
  </si>
  <si>
    <t>very faint, very small, extended east-west, mottled but not resolved</t>
  </si>
  <si>
    <t>vF, vS, E pf, r</t>
  </si>
  <si>
    <t>IC674</t>
  </si>
  <si>
    <t>11h11m6.4s</t>
  </si>
  <si>
    <t>+43h37m59s</t>
  </si>
  <si>
    <t>pretty faint, round, brighter middle, double star to southeast</t>
  </si>
  <si>
    <t>pF, R, bM, D * sf</t>
  </si>
  <si>
    <t>IC675</t>
  </si>
  <si>
    <t>11h10m57.4s</t>
  </si>
  <si>
    <t>+3h35m41s</t>
  </si>
  <si>
    <t>pretty bright, pretty large, extended north-south, binuclear?</t>
  </si>
  <si>
    <t>pB, pL, E ns, biN ?</t>
  </si>
  <si>
    <t>IC676</t>
  </si>
  <si>
    <t>11h12m39.7s</t>
  </si>
  <si>
    <t>+9h3m22s</t>
  </si>
  <si>
    <t>very faint, pretty small, a little extended, between 2 distant stars</t>
  </si>
  <si>
    <t>vF, pS, lE, bet 2 dist st</t>
  </si>
  <si>
    <t>IC677</t>
  </si>
  <si>
    <t>11h13m56.6s</t>
  </si>
  <si>
    <t>+12h18m6s</t>
  </si>
  <si>
    <t>faint, pretty large, gradually brighter middle</t>
  </si>
  <si>
    <t>IC678</t>
  </si>
  <si>
    <t>11h14m6.3s</t>
  </si>
  <si>
    <t>+6h34m40s</t>
  </si>
  <si>
    <t>faint, small, mottled but not resolved, nucleus = 13.5 magnitude star</t>
  </si>
  <si>
    <t>F, S, r, N = 13.5</t>
  </si>
  <si>
    <t>IC679</t>
  </si>
  <si>
    <t>11h16m36.5s</t>
  </si>
  <si>
    <t>-13h58m17s</t>
  </si>
  <si>
    <t>IC680</t>
  </si>
  <si>
    <t>11h17m54.6s</t>
  </si>
  <si>
    <t>-1h56m48s</t>
  </si>
  <si>
    <t>IC681</t>
  </si>
  <si>
    <t>11h18m31.9s</t>
  </si>
  <si>
    <t>-12h8m25s</t>
  </si>
  <si>
    <t>very faint, small, irregular figure, difficult</t>
  </si>
  <si>
    <t>vF, S, iF, diffic</t>
  </si>
  <si>
    <t>IC682</t>
  </si>
  <si>
    <t>extremely faint, extremely small, round, very faint star close on northwest</t>
  </si>
  <si>
    <t>eF, eS, R, vF * close np</t>
  </si>
  <si>
    <t>IC683</t>
  </si>
  <si>
    <t>11h21m31.7s</t>
  </si>
  <si>
    <t>+2h45m8s</t>
  </si>
  <si>
    <t>nebulous object of 13.5 magnitude</t>
  </si>
  <si>
    <t>Neb object 13.5 mag</t>
  </si>
  <si>
    <t>IC684</t>
  </si>
  <si>
    <t>faint, small, double star 0.5 arcmin to southwest</t>
  </si>
  <si>
    <t>F, S, ** sp 0'.5</t>
  </si>
  <si>
    <t>IC685</t>
  </si>
  <si>
    <t>11h22m6.5s</t>
  </si>
  <si>
    <t>+17h45m15s</t>
  </si>
  <si>
    <t>most extremely faint, pretty small, round, star to northeast</t>
  </si>
  <si>
    <t>eeF, pS, R, * nf</t>
  </si>
  <si>
    <t>IC686</t>
  </si>
  <si>
    <t>11h23m5.1s</t>
  </si>
  <si>
    <t>+5h38m39s</t>
  </si>
  <si>
    <t>IC687</t>
  </si>
  <si>
    <t>11h24m17.3s</t>
  </si>
  <si>
    <t>+47h50m53s</t>
  </si>
  <si>
    <t>extremely faint, extremely small, round, stellar nucleus, faint star to east</t>
  </si>
  <si>
    <t>eF, eS, R, stell N, F * f</t>
  </si>
  <si>
    <t>IC688</t>
  </si>
  <si>
    <t>11h23m40s</t>
  </si>
  <si>
    <t>-9h47m45s</t>
  </si>
  <si>
    <t>IC689</t>
  </si>
  <si>
    <t>eF, vS, r, dif</t>
  </si>
  <si>
    <t>IC690</t>
  </si>
  <si>
    <t>11h24m20.5s</t>
  </si>
  <si>
    <t>-8h20m29s</t>
  </si>
  <si>
    <t>pB, S, R, N = 12 m</t>
  </si>
  <si>
    <t>IC691</t>
  </si>
  <si>
    <t>11h26m44s</t>
  </si>
  <si>
    <t>+59h9m20s</t>
  </si>
  <si>
    <t>pretty faint, pretty small, round, 2 stars near</t>
  </si>
  <si>
    <t>pF, pS, R, 2 st nr</t>
  </si>
  <si>
    <t>IC692</t>
  </si>
  <si>
    <t>11h25m53.5s</t>
  </si>
  <si>
    <t>+9h59m15s</t>
  </si>
  <si>
    <t>F, vS, R, * 12 sf 2'</t>
  </si>
  <si>
    <t>IC693</t>
  </si>
  <si>
    <t>11h26m48.6s</t>
  </si>
  <si>
    <t>-5h0m16s</t>
  </si>
  <si>
    <t>faint, pretty small, round, gradually brighter middle, mottled but not resolved</t>
  </si>
  <si>
    <t>F, pS, R, gbM, r</t>
  </si>
  <si>
    <t>IC694</t>
  </si>
  <si>
    <t>11h28m27.2s</t>
  </si>
  <si>
    <t>+58h34m43s</t>
  </si>
  <si>
    <t>very small, forms double nebula with I 247</t>
  </si>
  <si>
    <t>vS, forms D neb with I 247</t>
  </si>
  <si>
    <t>IC695</t>
  </si>
  <si>
    <t>11h27m58.3s</t>
  </si>
  <si>
    <t>-11h42m55s</t>
  </si>
  <si>
    <t>extremely faint, small, very difficult</t>
  </si>
  <si>
    <t>eF, S, v diffic</t>
  </si>
  <si>
    <t>IC696</t>
  </si>
  <si>
    <t>11h28m39.9s</t>
  </si>
  <si>
    <t>+9h5m57s</t>
  </si>
  <si>
    <t>very faint, pretty small, round, very little brighter middle</t>
  </si>
  <si>
    <t>IC697</t>
  </si>
  <si>
    <t>11h28m34.4s</t>
  </si>
  <si>
    <t>-1h37m44s</t>
  </si>
  <si>
    <t>IC698</t>
  </si>
  <si>
    <t>11h29m3.6s</t>
  </si>
  <si>
    <t>+9h6m45s</t>
  </si>
  <si>
    <t>IC699</t>
  </si>
  <si>
    <t>11h29m6.5s</t>
  </si>
  <si>
    <t>+8h59m21s</t>
  </si>
  <si>
    <t>faint, very small, a little extended north-south</t>
  </si>
  <si>
    <t>F, vS, lE ns</t>
  </si>
  <si>
    <t>IC700</t>
  </si>
  <si>
    <t>11h29m15.2s</t>
  </si>
  <si>
    <t>+20h34m58s</t>
  </si>
  <si>
    <t>pretty small, round, a little brighter middle</t>
  </si>
  <si>
    <t>pS, R, lbM</t>
  </si>
  <si>
    <t>IC701</t>
  </si>
  <si>
    <t>11h31m0.6s</t>
  </si>
  <si>
    <t>+20h28m11s</t>
  </si>
  <si>
    <t>extremely faint, very small, round, 2 pretty bright stars to southeast</t>
  </si>
  <si>
    <t>eF, vS, R, 2 pB st sf</t>
  </si>
  <si>
    <t>IC702</t>
  </si>
  <si>
    <t>11h30m54.6s</t>
  </si>
  <si>
    <t>-4h55m20s</t>
  </si>
  <si>
    <t>IC703</t>
  </si>
  <si>
    <t>11h31m54s</t>
  </si>
  <si>
    <t>-11h36m0s</t>
  </si>
  <si>
    <t>IC704</t>
  </si>
  <si>
    <t>11h32m0s</t>
  </si>
  <si>
    <t>-11h33m0s</t>
  </si>
  <si>
    <t>extremely faint, very small (perhaps a close double), following of 2</t>
  </si>
  <si>
    <t>eF, vS (? close D), f of 2</t>
  </si>
  <si>
    <t>IC705</t>
  </si>
  <si>
    <t>11h32m56.3s</t>
  </si>
  <si>
    <t>+50h14m32s</t>
  </si>
  <si>
    <t>IC706</t>
  </si>
  <si>
    <t>11h33m12.6s</t>
  </si>
  <si>
    <t>-13h20m17s</t>
  </si>
  <si>
    <t>IC707</t>
  </si>
  <si>
    <t>11h33m44.6s</t>
  </si>
  <si>
    <t>+21h22m48s</t>
  </si>
  <si>
    <t>IC708</t>
  </si>
  <si>
    <t>蝴蝶犬星系</t>
  </si>
  <si>
    <t>11h33m59.1s</t>
  </si>
  <si>
    <t>+49h3m44s</t>
  </si>
  <si>
    <t>extremely faint, suspected, 3 arcmin north-northeast of 6th-magnitude star</t>
  </si>
  <si>
    <t>IC709</t>
  </si>
  <si>
    <t>11h34m14.5s</t>
  </si>
  <si>
    <t>+49h2m37s</t>
  </si>
  <si>
    <t>IC710</t>
  </si>
  <si>
    <t>11h34m27.3s</t>
  </si>
  <si>
    <t>+25h52m34s</t>
  </si>
  <si>
    <t>IC711</t>
  </si>
  <si>
    <t>11h34m46.5s</t>
  </si>
  <si>
    <t>+48h57m22s</t>
  </si>
  <si>
    <t>eeF, pS, R, F, * close sp</t>
  </si>
  <si>
    <t>IC712</t>
  </si>
  <si>
    <t>11h34m49.1s</t>
  </si>
  <si>
    <t>+49h4m40s</t>
  </si>
  <si>
    <t>extremely faint, small, round, pretty bright, star to northeast</t>
  </si>
  <si>
    <t>eF, S, R, pB, * nf</t>
  </si>
  <si>
    <t>IC713</t>
  </si>
  <si>
    <t>11h34m44.1s</t>
  </si>
  <si>
    <t>+16h50m46s</t>
  </si>
  <si>
    <t>eF, susp, 3' nnf from * 6</t>
  </si>
  <si>
    <t>IC714</t>
  </si>
  <si>
    <t>very faint, pretty small, a little extended 170°, gradually brighter middle and nucleus</t>
  </si>
  <si>
    <t>vF, pS, lE 170°, gbMN</t>
  </si>
  <si>
    <t>IC715</t>
  </si>
  <si>
    <t>11h36m54.3s</t>
  </si>
  <si>
    <t>-8h22m32s</t>
  </si>
  <si>
    <t>IC716</t>
  </si>
  <si>
    <t>11h39m3.3s</t>
  </si>
  <si>
    <t>-0h12m20s</t>
  </si>
  <si>
    <t>IC717</t>
  </si>
  <si>
    <t>extremely faint, pretty small, extended east-west, diffuse</t>
  </si>
  <si>
    <t>eF, pS, E pf, dif</t>
  </si>
  <si>
    <t>IC718</t>
  </si>
  <si>
    <t>11h39m52.7s</t>
  </si>
  <si>
    <t>+8h52m28s</t>
  </si>
  <si>
    <t>IC719</t>
  </si>
  <si>
    <t>11h40m18.5s</t>
  </si>
  <si>
    <t>+9h0m35s</t>
  </si>
  <si>
    <t>faint, pretty large, a little extended 45°, brighter middle</t>
  </si>
  <si>
    <t>F, pL, lE 45°, bM</t>
  </si>
  <si>
    <t>IC720</t>
  </si>
  <si>
    <t>11h42m22.3s</t>
  </si>
  <si>
    <t>+8h46m2s</t>
  </si>
  <si>
    <t>IC721</t>
  </si>
  <si>
    <t>11h42m28.8s</t>
  </si>
  <si>
    <t>-8h20m25s</t>
  </si>
  <si>
    <t>pretty faint, pretty large, extended east-west</t>
  </si>
  <si>
    <t>pF, pL, E pf</t>
  </si>
  <si>
    <t>IC722</t>
  </si>
  <si>
    <t>11h42m43.7s</t>
  </si>
  <si>
    <t>+8h58m28s</t>
  </si>
  <si>
    <t>extremely faint, very small, 10th-magnitude star 2 arcmin to northeast</t>
  </si>
  <si>
    <t>eF, vS, * 10 nf 2'</t>
  </si>
  <si>
    <t>IC723</t>
  </si>
  <si>
    <t>11h42m57.5s</t>
  </si>
  <si>
    <t>-8h19m55s</t>
  </si>
  <si>
    <t>pretty bright, small, nucleus = 12.5 magnitude star, mottled but not resolved</t>
  </si>
  <si>
    <t>pB, S, N = 12.5, r</t>
  </si>
  <si>
    <t>IC724</t>
  </si>
  <si>
    <t>11h43m34.6s</t>
  </si>
  <si>
    <t>+8h56m33s</t>
  </si>
  <si>
    <t>faint, a little extended 45°, small, brighter middle</t>
  </si>
  <si>
    <t>F, lE 45°, S, bM</t>
  </si>
  <si>
    <t>IC725</t>
  </si>
  <si>
    <t>11h43m29.4s</t>
  </si>
  <si>
    <t>-1h40m6s</t>
  </si>
  <si>
    <t>faint, very small, a little extended north-south, 11th magnitude star 1 arcmin north</t>
  </si>
  <si>
    <t>F, vS, lE ns, * 11 n 1'</t>
  </si>
  <si>
    <t>IC726</t>
  </si>
  <si>
    <t>11h43m45.5s</t>
  </si>
  <si>
    <t>+33h23m34s</t>
  </si>
  <si>
    <t>IC727</t>
  </si>
  <si>
    <t>11h44m28.7s</t>
  </si>
  <si>
    <t>+10h47m0s</t>
  </si>
  <si>
    <t>very faint, extremely small, round, (NGC) 3839 to west</t>
  </si>
  <si>
    <t>vF, eS, R, 3839 p</t>
  </si>
  <si>
    <t>IC728</t>
  </si>
  <si>
    <t>11h44m50.5s</t>
  </si>
  <si>
    <t>-1h36m5s</t>
  </si>
  <si>
    <t>IC729</t>
  </si>
  <si>
    <t>11h45m18.3s</t>
  </si>
  <si>
    <t>+33h20m9s</t>
  </si>
  <si>
    <t>IC730</t>
  </si>
  <si>
    <t>faint, very small, round, gradually brighter middle, mottled but not resolved</t>
  </si>
  <si>
    <t>F, vS, R, gbM, R</t>
  </si>
  <si>
    <t>IC731</t>
  </si>
  <si>
    <t>11h45m18.1s</t>
  </si>
  <si>
    <t>+49h34m13s</t>
  </si>
  <si>
    <t>IC732</t>
  </si>
  <si>
    <t>11h45m59.7s</t>
  </si>
  <si>
    <t>+20h26m20s</t>
  </si>
  <si>
    <t>IC733</t>
  </si>
  <si>
    <t>11h45m58.8s</t>
  </si>
  <si>
    <t>-8h9m21s</t>
  </si>
  <si>
    <t>F, vS, R, gbM, r</t>
  </si>
  <si>
    <t>IC734</t>
  </si>
  <si>
    <t>11h46m3.8s</t>
  </si>
  <si>
    <t>-8h16m15s</t>
  </si>
  <si>
    <t>IC735</t>
  </si>
  <si>
    <t>11h48m12.8s</t>
  </si>
  <si>
    <t>+13h12m32s</t>
  </si>
  <si>
    <t>extremely faint, small, irregular figure</t>
  </si>
  <si>
    <t>eF, S, iF</t>
  </si>
  <si>
    <t>IC736</t>
  </si>
  <si>
    <t>11h48m20s</t>
  </si>
  <si>
    <t>+12h43m2s</t>
  </si>
  <si>
    <t>IC737</t>
  </si>
  <si>
    <t>11h48m27.5s</t>
  </si>
  <si>
    <t>+12h43m38s</t>
  </si>
  <si>
    <t>very faint, extremely small, round, nucleus equivalent to 14th magnitude star</t>
  </si>
  <si>
    <t>vF, eS, R, N = 14</t>
  </si>
  <si>
    <t>IC738</t>
  </si>
  <si>
    <t>11h48m54.7s</t>
  </si>
  <si>
    <t>-4h40m55s</t>
  </si>
  <si>
    <t>F, S, R, N = 14 m</t>
  </si>
  <si>
    <t>IC739</t>
  </si>
  <si>
    <t>11h51m31.3s</t>
  </si>
  <si>
    <t>+23h51m46s</t>
  </si>
  <si>
    <t>very faint, small, round, 10.5 magnitude star to east</t>
  </si>
  <si>
    <t>vF, S, R, * 10.5 f</t>
  </si>
  <si>
    <t>IC740</t>
  </si>
  <si>
    <t>most extremely faint, pretty large, irregularly round, II 787 to south</t>
  </si>
  <si>
    <t>eeF, pL, iR, II. 787 s</t>
  </si>
  <si>
    <t>IC741</t>
  </si>
  <si>
    <t>11h50m31.8s</t>
  </si>
  <si>
    <t>-4h50m11s</t>
  </si>
  <si>
    <t>pB, S, R, sbMN = 12m</t>
  </si>
  <si>
    <t>IC742</t>
  </si>
  <si>
    <t>11h51m2.2s</t>
  </si>
  <si>
    <t>+20h47m59s</t>
  </si>
  <si>
    <t>eeF, pS, R, pB * sp</t>
  </si>
  <si>
    <t>IC743</t>
  </si>
  <si>
    <t>11h53m22.3s</t>
  </si>
  <si>
    <t>-13h15m53s</t>
  </si>
  <si>
    <t>IC744</t>
  </si>
  <si>
    <t>11h54m4.7s</t>
  </si>
  <si>
    <t>+23h11m34s</t>
  </si>
  <si>
    <t>extremely faint, very small, very difficult</t>
  </si>
  <si>
    <t>eF, vS, v diffic</t>
  </si>
  <si>
    <t>IC745</t>
  </si>
  <si>
    <t>11h54m12.2s</t>
  </si>
  <si>
    <t>+0h8m13s</t>
  </si>
  <si>
    <t>faint, very small, stellar, nucleus equivalent to 14th magnitude star</t>
  </si>
  <si>
    <t>F, vS, stellar, N = 14</t>
  </si>
  <si>
    <t>IC746</t>
  </si>
  <si>
    <t>11h55m35.1s</t>
  </si>
  <si>
    <t>+25h53m20s</t>
  </si>
  <si>
    <t>IC747</t>
  </si>
  <si>
    <t>11h57m4.8s</t>
  </si>
  <si>
    <t>-8h17m30s</t>
  </si>
  <si>
    <t>IC748</t>
  </si>
  <si>
    <t>+7h27m41s</t>
  </si>
  <si>
    <t>F, vS, R, sbMN = 13</t>
  </si>
  <si>
    <t>IC749</t>
  </si>
  <si>
    <t>11h58m33.9s</t>
  </si>
  <si>
    <t>+42h44m0s</t>
  </si>
  <si>
    <t>pretty bright, large, round, a little brighter middle</t>
  </si>
  <si>
    <t>pB, L, R, lbM</t>
  </si>
  <si>
    <t>IC750</t>
  </si>
  <si>
    <t>11h58m52s</t>
  </si>
  <si>
    <t>+42h43m22s</t>
  </si>
  <si>
    <t>pB, L, lE 35°, bM</t>
  </si>
  <si>
    <t>IC751</t>
  </si>
  <si>
    <t>11h58m52.4s</t>
  </si>
  <si>
    <t>+42h34m12s</t>
  </si>
  <si>
    <t>pretty faint, pretty large, a little extended 45°, much brighter middle</t>
  </si>
  <si>
    <t>pF, pL, lE 45°, mbM</t>
  </si>
  <si>
    <t>IC752</t>
  </si>
  <si>
    <t>11h59m15s</t>
  </si>
  <si>
    <t>+42h34m1s</t>
  </si>
  <si>
    <t>vF, S, iR, * 13 nf 1?'</t>
  </si>
  <si>
    <t>IC753</t>
  </si>
  <si>
    <t>11h59m12.8s</t>
  </si>
  <si>
    <t>-0h31m25s</t>
  </si>
  <si>
    <t>pretty bright, very small, round, very much brighter middle, 11th magnitude star to northeast</t>
  </si>
  <si>
    <t>pB, vS, R, vmbM, * 11 nf</t>
  </si>
  <si>
    <t>IC754</t>
  </si>
  <si>
    <t>11h59m23.5s</t>
  </si>
  <si>
    <t>-1h39m16s</t>
  </si>
  <si>
    <t>IC755</t>
  </si>
  <si>
    <t>most extremely faint, small, extended, between two stars</t>
  </si>
  <si>
    <t>eeF, S, E, bet 2 st</t>
  </si>
  <si>
    <t>IC756</t>
  </si>
  <si>
    <t>12h2m57.8s</t>
  </si>
  <si>
    <t>+4h50m42s</t>
  </si>
  <si>
    <t>IC757</t>
  </si>
  <si>
    <t>Susp., close to * 12</t>
  </si>
  <si>
    <t>IC758</t>
  </si>
  <si>
    <t>12h4m11.9s</t>
  </si>
  <si>
    <t>+62h30m20s</t>
  </si>
  <si>
    <t>eeF, pS, R, bet 2 distant st</t>
  </si>
  <si>
    <t>IC759</t>
  </si>
  <si>
    <t>12h5m9.3s</t>
  </si>
  <si>
    <t>+20h15m36s</t>
  </si>
  <si>
    <t>IC760</t>
  </si>
  <si>
    <t>12h5m53.5s</t>
  </si>
  <si>
    <t>-29h17m34s</t>
  </si>
  <si>
    <t>extremely faint, very small, partially resolved (some stars seen), brighter middle and nucleus</t>
  </si>
  <si>
    <t>eF, vS, rr, bMN</t>
  </si>
  <si>
    <t>IC761</t>
  </si>
  <si>
    <t>12h5m53.6s</t>
  </si>
  <si>
    <t>-12h40m22s</t>
  </si>
  <si>
    <t>Neb * 14m</t>
  </si>
  <si>
    <t>IC762</t>
  </si>
  <si>
    <t>12h8m11.9s</t>
  </si>
  <si>
    <t>+25h45m23s</t>
  </si>
  <si>
    <t>pB, S, R, N = 12m</t>
  </si>
  <si>
    <t>IC763</t>
  </si>
  <si>
    <t>12h8m15.2s</t>
  </si>
  <si>
    <t>+25h48m43s</t>
  </si>
  <si>
    <t>faint, very small, nucleus equal to 13th magnitude</t>
  </si>
  <si>
    <t>F, vS, N = 13m</t>
  </si>
  <si>
    <t>IC764</t>
  </si>
  <si>
    <t>12h10m14s</t>
  </si>
  <si>
    <t>-29h44m13s</t>
  </si>
  <si>
    <t>extremely faint, pretty large, extended north-south, a little brighter middle</t>
  </si>
  <si>
    <t>eF, pL, E ns, lbM</t>
  </si>
  <si>
    <t>IC765</t>
  </si>
  <si>
    <t>+16h7m58s</t>
  </si>
  <si>
    <t>vF, susp 6' n of II. 83</t>
  </si>
  <si>
    <t>IC766</t>
  </si>
  <si>
    <t>12h10m53.6s</t>
  </si>
  <si>
    <t>-12h39m17s</t>
  </si>
  <si>
    <t>pB, E ns, sbMN = 14m</t>
  </si>
  <si>
    <t>IC767</t>
  </si>
  <si>
    <t>12h11m2.8s</t>
  </si>
  <si>
    <t>+12h6m15s</t>
  </si>
  <si>
    <t>faint, very small, stellar, nucleus = 14th magnitude</t>
  </si>
  <si>
    <t>F, vS, stell, N = 14m</t>
  </si>
  <si>
    <t>IC768</t>
  </si>
  <si>
    <t>12h11m47.5s</t>
  </si>
  <si>
    <t>+12h8m35s</t>
  </si>
  <si>
    <t>IC769</t>
  </si>
  <si>
    <t>12h12m32.2s</t>
  </si>
  <si>
    <t>+12h7m24s</t>
  </si>
  <si>
    <t>very faint, pretty small, very little brighter middle</t>
  </si>
  <si>
    <t>vF, pS, vlbM</t>
  </si>
  <si>
    <t>IC770</t>
  </si>
  <si>
    <t>12h13m2.3s</t>
  </si>
  <si>
    <t>-4h33m10s</t>
  </si>
  <si>
    <t>vF, vS, R, * 13.5 n 1'</t>
  </si>
  <si>
    <t>IC771</t>
  </si>
  <si>
    <t>12h15m13.1s</t>
  </si>
  <si>
    <t>vF, S, R, * 3' south</t>
  </si>
  <si>
    <t>IC772</t>
  </si>
  <si>
    <t>+23h57m32s</t>
  </si>
  <si>
    <t>IC773</t>
  </si>
  <si>
    <t>12h18m8s</t>
  </si>
  <si>
    <t>+6h8m22s</t>
  </si>
  <si>
    <t>faint, very small, diffuse, 2 very faint stars involved</t>
  </si>
  <si>
    <t>F, vS, dif, 2 vF st inv</t>
  </si>
  <si>
    <t>IC774</t>
  </si>
  <si>
    <t>12h18m51.2s</t>
  </si>
  <si>
    <t>-6h45m57s</t>
  </si>
  <si>
    <t>IC775</t>
  </si>
  <si>
    <t>12h18m53.5s</t>
  </si>
  <si>
    <t>+12h54m47s</t>
  </si>
  <si>
    <t>very faint, small, stellar nucleus</t>
  </si>
  <si>
    <t>vF, S, stell N</t>
  </si>
  <si>
    <t>IC776</t>
  </si>
  <si>
    <t>12h19m2.9s</t>
  </si>
  <si>
    <t>+8h51m25s</t>
  </si>
  <si>
    <t>IC777</t>
  </si>
  <si>
    <t>12h19m23.6s</t>
  </si>
  <si>
    <t>+28h18m34s</t>
  </si>
  <si>
    <t>IC778</t>
  </si>
  <si>
    <t>extremely faint, pretty small, mottled but not resolved, between 2 stars</t>
  </si>
  <si>
    <t>eF, pS, r, bet 2 st</t>
  </si>
  <si>
    <t>IC779</t>
  </si>
  <si>
    <t>12h19m38.7s</t>
  </si>
  <si>
    <t>+29h52m58s</t>
  </si>
  <si>
    <t>IC780</t>
  </si>
  <si>
    <t>12h19m58.4s</t>
  </si>
  <si>
    <t>+25h46m19s</t>
  </si>
  <si>
    <t>pB, S, R, N = 12.5 m</t>
  </si>
  <si>
    <t>IC781</t>
  </si>
  <si>
    <t>12h20m3.4s</t>
  </si>
  <si>
    <t>+14h57m41s</t>
  </si>
  <si>
    <t>IC782</t>
  </si>
  <si>
    <t>12h21m36.9s</t>
  </si>
  <si>
    <t>+5h45m59s</t>
  </si>
  <si>
    <t>IC783</t>
  </si>
  <si>
    <t>12h21m38.8s</t>
  </si>
  <si>
    <t>+15h44m41s</t>
  </si>
  <si>
    <t>IC784</t>
  </si>
  <si>
    <t>12h22m30s</t>
  </si>
  <si>
    <t>-4h39m10s</t>
  </si>
  <si>
    <t>vF, pL, mE, pB * s</t>
  </si>
  <si>
    <t>IC785</t>
  </si>
  <si>
    <t>12h23m2s</t>
  </si>
  <si>
    <t>-13h13m23s</t>
  </si>
  <si>
    <t>IC786</t>
  </si>
  <si>
    <t>12h23m10.9s</t>
  </si>
  <si>
    <t>-13h12m15s</t>
  </si>
  <si>
    <t>vF, eS, R, stell</t>
  </si>
  <si>
    <t>IC787</t>
  </si>
  <si>
    <t>12h25m25.2s</t>
  </si>
  <si>
    <t>+16h7m25s</t>
  </si>
  <si>
    <t>eF, pS, R, B * n, II. 88 f</t>
  </si>
  <si>
    <t>IC788</t>
  </si>
  <si>
    <t>pB, pL, R, II. 88 south</t>
  </si>
  <si>
    <t>IC789</t>
  </si>
  <si>
    <t>12h26m20.5s</t>
  </si>
  <si>
    <t>+7h27m37s</t>
  </si>
  <si>
    <t>faint, very small, round, nucleus = 14th magnitude, very faint star close</t>
  </si>
  <si>
    <t>F, vS, R, N = 14m, vF * close</t>
  </si>
  <si>
    <t>IC790</t>
  </si>
  <si>
    <t>12h26m35.4s</t>
  </si>
  <si>
    <t>+9h2m9s</t>
  </si>
  <si>
    <t>vF, vS, f h 1256</t>
  </si>
  <si>
    <t>IC791</t>
  </si>
  <si>
    <t>12h26m59.4s</t>
  </si>
  <si>
    <t>+22h38m24s</t>
  </si>
  <si>
    <t>BN = 12m</t>
  </si>
  <si>
    <t>IC792</t>
  </si>
  <si>
    <t>12h27m8.8s</t>
  </si>
  <si>
    <t>+16h19m30s</t>
  </si>
  <si>
    <t>IC793</t>
  </si>
  <si>
    <t>extremely faint, small, much extended, 3 others in field</t>
  </si>
  <si>
    <t>eF, S, mE, 3 others in field</t>
  </si>
  <si>
    <t>IC794</t>
  </si>
  <si>
    <t>12h28m8.5s</t>
  </si>
  <si>
    <t>+12h5m38s</t>
  </si>
  <si>
    <t>F, S, E pF, bM</t>
  </si>
  <si>
    <t>IC795</t>
  </si>
  <si>
    <t>12h28m31.3s</t>
  </si>
  <si>
    <t>+23h18m19s</t>
  </si>
  <si>
    <t>pretty bright, small, stellar, 13th magnitude</t>
  </si>
  <si>
    <t>pB, S, stellar, 13m</t>
  </si>
  <si>
    <t>IC796</t>
  </si>
  <si>
    <t>12h29m26.3s</t>
  </si>
  <si>
    <t>+16h24m17s</t>
  </si>
  <si>
    <t>faint, small, extended north-south, mottled but not resolved</t>
  </si>
  <si>
    <t>F, S, E ns, r</t>
  </si>
  <si>
    <t>IC797</t>
  </si>
  <si>
    <t>12h31m54.8s</t>
  </si>
  <si>
    <t>+15h7m25s</t>
  </si>
  <si>
    <t>IC798</t>
  </si>
  <si>
    <t>12h32m33.3s</t>
  </si>
  <si>
    <t>+15h24m57s</t>
  </si>
  <si>
    <t>IC799</t>
  </si>
  <si>
    <t>eF, eS, R, ? eF * att p</t>
  </si>
  <si>
    <t>IC800</t>
  </si>
  <si>
    <t>12h33m56.7s</t>
  </si>
  <si>
    <t>+15h21m16s</t>
  </si>
  <si>
    <t>IC801</t>
  </si>
  <si>
    <t>12h33m44.8s</t>
  </si>
  <si>
    <t>+52h15m17s</t>
  </si>
  <si>
    <t>most extremely faint, small, round, star close to north</t>
  </si>
  <si>
    <t>eeF, S, R, * close n</t>
  </si>
  <si>
    <t>IC802</t>
  </si>
  <si>
    <t>12h35m58.2s</t>
  </si>
  <si>
    <t>+74h18m3s</t>
  </si>
  <si>
    <t>IC803</t>
  </si>
  <si>
    <t>12h39m36.6s</t>
  </si>
  <si>
    <t>+16h35m20s</t>
  </si>
  <si>
    <t>IC804</t>
  </si>
  <si>
    <t>S R</t>
  </si>
  <si>
    <t>12h41m15.8s</t>
  </si>
  <si>
    <t>-5h0m33s</t>
  </si>
  <si>
    <t>IC805</t>
  </si>
  <si>
    <t>vF, pL, R, 2 st n &amp; nf</t>
  </si>
  <si>
    <t>IC806</t>
  </si>
  <si>
    <t>12h42m8.4s</t>
  </si>
  <si>
    <t>-17h20m59s</t>
  </si>
  <si>
    <t>extremely faint, extremely small, round, 12th magnitude star close</t>
  </si>
  <si>
    <t>eF, eS, R, * 12 close</t>
  </si>
  <si>
    <t>IC807</t>
  </si>
  <si>
    <t>12h42m12.4s</t>
  </si>
  <si>
    <t>-17h24m13s</t>
  </si>
  <si>
    <t>IC808</t>
  </si>
  <si>
    <t>12h41m54.9s</t>
  </si>
  <si>
    <t>+19h55m57s</t>
  </si>
  <si>
    <t>S nebs Cl</t>
  </si>
  <si>
    <t>IC809</t>
  </si>
  <si>
    <t>12h42m8.7s</t>
  </si>
  <si>
    <t>+11h45m15s</t>
  </si>
  <si>
    <t>eF, pS, R, M 59 s</t>
  </si>
  <si>
    <t>IC810</t>
  </si>
  <si>
    <t>12h42m8.8s</t>
  </si>
  <si>
    <t>+12h35m48s</t>
  </si>
  <si>
    <t>extremely faint, pretty small, much extended</t>
  </si>
  <si>
    <t>eF, pS, mE</t>
  </si>
  <si>
    <t>IC811</t>
  </si>
  <si>
    <t>Nebs * 13, sf II. 558</t>
  </si>
  <si>
    <t>IC812</t>
  </si>
  <si>
    <t>12h44m50.9s</t>
  </si>
  <si>
    <t>-4h26m4s</t>
  </si>
  <si>
    <t>pretty bright, small, round, nucleus equal to 13th magnitude</t>
  </si>
  <si>
    <t>pB, S, R, N = 13m</t>
  </si>
  <si>
    <t>IC813</t>
  </si>
  <si>
    <t>12h45m11.8s</t>
  </si>
  <si>
    <t>+23h2m9s</t>
  </si>
  <si>
    <t>IC814</t>
  </si>
  <si>
    <t>12h45m34.1s</t>
  </si>
  <si>
    <t>-8h5m30s</t>
  </si>
  <si>
    <t>pretty bright, very small, round, mottled but not resolved</t>
  </si>
  <si>
    <t>pB, vS, R, r</t>
  </si>
  <si>
    <t>IC815</t>
  </si>
  <si>
    <t>12h46m22.6s</t>
  </si>
  <si>
    <t>+11h52m36s</t>
  </si>
  <si>
    <t>faint, very small, 14th magnitude star involved</t>
  </si>
  <si>
    <t>F, vS, * 14 inv</t>
  </si>
  <si>
    <t>IC816</t>
  </si>
  <si>
    <t>12h46m46.2s</t>
  </si>
  <si>
    <t>+9h51m4s</t>
  </si>
  <si>
    <t>most extremely faint, very small, round, double star to northeast, northwestern of 2</t>
  </si>
  <si>
    <t>eeF, vS, R, D * nf, np of 2</t>
  </si>
  <si>
    <t>IC817</t>
  </si>
  <si>
    <t>12h46m56.7s</t>
  </si>
  <si>
    <t>+9h51m28s</t>
  </si>
  <si>
    <t>IC818</t>
  </si>
  <si>
    <t>12h46m44.4s</t>
  </si>
  <si>
    <t>+29h44m7s</t>
  </si>
  <si>
    <t>vS, R, bM, * 12 nf 2?'</t>
  </si>
  <si>
    <t>IC819</t>
  </si>
  <si>
    <t>D neb, conn, vF, vS, sf one brighter</t>
  </si>
  <si>
    <t>IC820</t>
  </si>
  <si>
    <t>12h46m11.2s</t>
  </si>
  <si>
    <t>+30h43m21s</t>
  </si>
  <si>
    <t>IC821</t>
  </si>
  <si>
    <t>12h47m26.1s</t>
  </si>
  <si>
    <t>+29h47m16s</t>
  </si>
  <si>
    <t>R, pL, glbM, 2 st ssf</t>
  </si>
  <si>
    <t>IC822</t>
  </si>
  <si>
    <t>12h47m45.5s</t>
  </si>
  <si>
    <t>+30h4m40s</t>
  </si>
  <si>
    <t>faint, extremely small, brighter middle</t>
  </si>
  <si>
    <t>F, eS, bM</t>
  </si>
  <si>
    <t>IC823</t>
  </si>
  <si>
    <t>12h47m50.9s</t>
  </si>
  <si>
    <t>+27h12m10s</t>
  </si>
  <si>
    <t>Susp, 2' s of II. 381</t>
  </si>
  <si>
    <t>IC824</t>
  </si>
  <si>
    <t>pretty bright, pretty large, extended east-west, binuclear</t>
  </si>
  <si>
    <t>pB, pL, E pf, biN</t>
  </si>
  <si>
    <t>IC825</t>
  </si>
  <si>
    <t>12h50m19.1s</t>
  </si>
  <si>
    <t>-5h21m47s</t>
  </si>
  <si>
    <t>IC826</t>
  </si>
  <si>
    <t>12h51m19.9s</t>
  </si>
  <si>
    <t>+31h3m33s</t>
  </si>
  <si>
    <t>IC827</t>
  </si>
  <si>
    <t>12h51m55s</t>
  </si>
  <si>
    <t>+16h16m59s</t>
  </si>
  <si>
    <t>very faint, small, extended east-west, diffuse</t>
  </si>
  <si>
    <t>vF, S, E pf, dif</t>
  </si>
  <si>
    <t>IC828</t>
  </si>
  <si>
    <t>-8h7m58s</t>
  </si>
  <si>
    <t>F, vS, R, N = 13.5 m</t>
  </si>
  <si>
    <t>IC829</t>
  </si>
  <si>
    <t>12h52m27.3s</t>
  </si>
  <si>
    <t>-15h31m5s</t>
  </si>
  <si>
    <t>IC830</t>
  </si>
  <si>
    <t>12h51m16.4s</t>
  </si>
  <si>
    <t>+53h41m45s</t>
  </si>
  <si>
    <t>very faint, very small, a little extended, stellar</t>
  </si>
  <si>
    <t>vF, vS, lE, stellar</t>
  </si>
  <si>
    <t>IC831</t>
  </si>
  <si>
    <t>+26h28m16s</t>
  </si>
  <si>
    <t>IC832</t>
  </si>
  <si>
    <t>12h53m59s</t>
  </si>
  <si>
    <t>+26h26m40s</t>
  </si>
  <si>
    <t>faint, small, round, brighter middle, double star to northeast</t>
  </si>
  <si>
    <t>F, S, R, bM, D * nf</t>
  </si>
  <si>
    <t>IC833</t>
  </si>
  <si>
    <t>12h56m38.2s</t>
  </si>
  <si>
    <t>-6h44m0s</t>
  </si>
  <si>
    <t>IC834</t>
  </si>
  <si>
    <t>12h56m18.5s</t>
  </si>
  <si>
    <t>+26h21m34s</t>
  </si>
  <si>
    <t>pretty faint, pretty small, suddenly brighter middle</t>
  </si>
  <si>
    <t>pF, pS, sbM</t>
  </si>
  <si>
    <t>IC835</t>
  </si>
  <si>
    <t>12h56m52.4s</t>
  </si>
  <si>
    <t>+26h29m13s</t>
  </si>
  <si>
    <t>IC836</t>
  </si>
  <si>
    <t>12h55m54.1s</t>
  </si>
  <si>
    <t>+63h36m42s</t>
  </si>
  <si>
    <t>most extremely faint, very small, very difficult, between 2 stars</t>
  </si>
  <si>
    <t>eeF, vS, v diffic, bet 2 st</t>
  </si>
  <si>
    <t>IC837</t>
  </si>
  <si>
    <t>12h57m31.4s</t>
  </si>
  <si>
    <t>+26h30m40s</t>
  </si>
  <si>
    <t>IC838</t>
  </si>
  <si>
    <t>SB</t>
  </si>
  <si>
    <t>12h58m13.9s</t>
  </si>
  <si>
    <t>+26h25m34s</t>
  </si>
  <si>
    <t>vF, 1?' nf 4849</t>
  </si>
  <si>
    <t>IC839</t>
  </si>
  <si>
    <t>12h58m15s</t>
  </si>
  <si>
    <t>+28h7m35s</t>
  </si>
  <si>
    <t>IC840</t>
  </si>
  <si>
    <t>12h58m42s</t>
  </si>
  <si>
    <t>+10h37m0s</t>
  </si>
  <si>
    <t>faint, small, round, a little brighter middle, mottled but not resolved</t>
  </si>
  <si>
    <t>F, S, R, lbM, r</t>
  </si>
  <si>
    <t>IC841</t>
  </si>
  <si>
    <t>12h59m47.2s</t>
  </si>
  <si>
    <t>+21h48m48s</t>
  </si>
  <si>
    <t>vF (Astr &amp; Astrophys, No. 103)</t>
  </si>
  <si>
    <t>IC842</t>
  </si>
  <si>
    <t>13h0m39.6s</t>
  </si>
  <si>
    <t>+29h1m7s</t>
  </si>
  <si>
    <t>IC843</t>
  </si>
  <si>
    <t>13h1m33.6s</t>
  </si>
  <si>
    <t>+29h7m50s</t>
  </si>
  <si>
    <t>faint, brighter middle and nucleus</t>
  </si>
  <si>
    <t>F, bMN</t>
  </si>
  <si>
    <t>IC844</t>
  </si>
  <si>
    <t>13h3m18.2s</t>
  </si>
  <si>
    <t>-30h31m15s</t>
  </si>
  <si>
    <t>IC845</t>
  </si>
  <si>
    <t>13h4m57.5s</t>
  </si>
  <si>
    <t>+12h4m43s</t>
  </si>
  <si>
    <t>most extremely faint, small, round, faint star near to west</t>
  </si>
  <si>
    <t>eeF, S, R, F * nr p</t>
  </si>
  <si>
    <t>IC846</t>
  </si>
  <si>
    <t>13h5m21.1s</t>
  </si>
  <si>
    <t>+23h5m44s</t>
  </si>
  <si>
    <t>very faint, round, a little brighter middle, difficult</t>
  </si>
  <si>
    <t>vF, R, lbM, diffic</t>
  </si>
  <si>
    <t>IC847</t>
  </si>
  <si>
    <t>IC848</t>
  </si>
  <si>
    <t>13h7m1.5s</t>
  </si>
  <si>
    <t>+16h0m24s</t>
  </si>
  <si>
    <t>IC849</t>
  </si>
  <si>
    <t>13h7m38.7s</t>
  </si>
  <si>
    <t>-0h56m33s</t>
  </si>
  <si>
    <t>IC850</t>
  </si>
  <si>
    <t>13h7m50.2s</t>
  </si>
  <si>
    <t>-0h52m5s</t>
  </si>
  <si>
    <t>IC851</t>
  </si>
  <si>
    <t>13h8m34.2s</t>
  </si>
  <si>
    <t>+21h3m0s</t>
  </si>
  <si>
    <t>IC852</t>
  </si>
  <si>
    <t>13h7m36.7s</t>
  </si>
  <si>
    <t>+60h9m28s</t>
  </si>
  <si>
    <t>very faint, pretty small, round, bright star to west</t>
  </si>
  <si>
    <t>vF, pS, R, B * p</t>
  </si>
  <si>
    <t>IC853</t>
  </si>
  <si>
    <t>13h8m41.6s</t>
  </si>
  <si>
    <t>+52h46m28s</t>
  </si>
  <si>
    <t>IC854</t>
  </si>
  <si>
    <t>SBbc   R</t>
  </si>
  <si>
    <t>13h9m49.9s</t>
  </si>
  <si>
    <t>+24h34m39s</t>
  </si>
  <si>
    <t>pretty faint, very small, round, very little brighter middle</t>
  </si>
  <si>
    <t>IC855</t>
  </si>
  <si>
    <t>13h10m36.9s</t>
  </si>
  <si>
    <t>-4h29m7s</t>
  </si>
  <si>
    <t>F, S, * 13.5 sp</t>
  </si>
  <si>
    <t>IC856</t>
  </si>
  <si>
    <t>13h10m41.6s</t>
  </si>
  <si>
    <t>+20h32m13s</t>
  </si>
  <si>
    <t>faint, extended, a little brighter middle</t>
  </si>
  <si>
    <t>F, E, lbM</t>
  </si>
  <si>
    <t>IC857</t>
  </si>
  <si>
    <t>13h13m50.1s</t>
  </si>
  <si>
    <t>+17h4m33s</t>
  </si>
  <si>
    <t>pretty faint, very small, round, gradually a very little brighter middle</t>
  </si>
  <si>
    <t>pF, vS, R, gvlbM</t>
  </si>
  <si>
    <t>IC858</t>
  </si>
  <si>
    <t>13h14m51.9s</t>
  </si>
  <si>
    <t>+17h13m38s</t>
  </si>
  <si>
    <t>F, vS, R, stellar, N = 12m</t>
  </si>
  <si>
    <t>IC859</t>
  </si>
  <si>
    <t>13h14m57.2s</t>
  </si>
  <si>
    <t>+17h13m33s</t>
  </si>
  <si>
    <t>pretty faint, round, nucleus = 14th magnitude</t>
  </si>
  <si>
    <t>pF, R, N = 14m</t>
  </si>
  <si>
    <t>IC860</t>
  </si>
  <si>
    <t>13h15m3.5s</t>
  </si>
  <si>
    <t>+24h37m6s</t>
  </si>
  <si>
    <t>F, vS, R, N = 12m</t>
  </si>
  <si>
    <t>IC861</t>
  </si>
  <si>
    <t>13h15m7.5s</t>
  </si>
  <si>
    <t>+34h19m42s</t>
  </si>
  <si>
    <t>IC862</t>
  </si>
  <si>
    <t>13h16m15.4s</t>
  </si>
  <si>
    <t>+20h2m51s</t>
  </si>
  <si>
    <t>pB, eS, R, N = 12m</t>
  </si>
  <si>
    <t>IC863</t>
  </si>
  <si>
    <t>13h17m12.2s</t>
  </si>
  <si>
    <t>-17h15m17s</t>
  </si>
  <si>
    <t>faint, small, irregular figure, binuclear</t>
  </si>
  <si>
    <t>F, S, iF, biN</t>
  </si>
  <si>
    <t>IC864</t>
  </si>
  <si>
    <t>13h17m8.4s</t>
  </si>
  <si>
    <t>+20h41m33s</t>
  </si>
  <si>
    <t>very faint, pretty small, round, brighter middle and small nucleus</t>
  </si>
  <si>
    <t>vF, pS, R, bMSN</t>
  </si>
  <si>
    <t>IC865</t>
  </si>
  <si>
    <t>13h17m35.4s</t>
  </si>
  <si>
    <t>-5h50m0s</t>
  </si>
  <si>
    <t>IC866</t>
  </si>
  <si>
    <t>13h17m16.7s</t>
  </si>
  <si>
    <t>+20h41m29s</t>
  </si>
  <si>
    <t>IC867</t>
  </si>
  <si>
    <t>13h17m19.7s</t>
  </si>
  <si>
    <t>+20h38m15s</t>
  </si>
  <si>
    <t>very faint, round, a little brighter middle</t>
  </si>
  <si>
    <t>vF, R, lbM</t>
  </si>
  <si>
    <t>IC868</t>
  </si>
  <si>
    <t>13h17m28.5s</t>
  </si>
  <si>
    <t>+20h36m44s</t>
  </si>
  <si>
    <t>IC869</t>
  </si>
  <si>
    <t>13h17m29.9s</t>
  </si>
  <si>
    <t>+20h41m4s</t>
  </si>
  <si>
    <t>IC870</t>
  </si>
  <si>
    <t>13h17m30.7s</t>
  </si>
  <si>
    <t>+20h35m59s</t>
  </si>
  <si>
    <t>IC871</t>
  </si>
  <si>
    <t>13h17m58.6s</t>
  </si>
  <si>
    <t>+4h24m15s</t>
  </si>
  <si>
    <t>pretty bright, pretty small, extended east-west, diffuse</t>
  </si>
  <si>
    <t>pB, pS, E pf, dif</t>
  </si>
  <si>
    <t>IC872</t>
  </si>
  <si>
    <t>13h18m18.6s</t>
  </si>
  <si>
    <t>+6h20m10s</t>
  </si>
  <si>
    <t>IC873</t>
  </si>
  <si>
    <t>13h18m16.2s</t>
  </si>
  <si>
    <t>+4h27m54s</t>
  </si>
  <si>
    <t>F, vS, R, bMN = 13.5m</t>
  </si>
  <si>
    <t>IC874</t>
  </si>
  <si>
    <t>13h19m0.5s</t>
  </si>
  <si>
    <t>-27h37m42s</t>
  </si>
  <si>
    <t>IC875</t>
  </si>
  <si>
    <t>13h17m7.5s</t>
  </si>
  <si>
    <t>+57h32m24s</t>
  </si>
  <si>
    <t>IC876</t>
  </si>
  <si>
    <t>13h18m34.6s</t>
  </si>
  <si>
    <t>+4h29m10s</t>
  </si>
  <si>
    <t>IC877</t>
  </si>
  <si>
    <t>+6h5m0s</t>
  </si>
  <si>
    <t>eeF, pS, pB * f 13s</t>
  </si>
  <si>
    <t>IC878</t>
  </si>
  <si>
    <t>+6h7m18s</t>
  </si>
  <si>
    <t>IC879</t>
  </si>
  <si>
    <t>13h19m40.3s</t>
  </si>
  <si>
    <t>-27h25m45s</t>
  </si>
  <si>
    <t>IC880</t>
  </si>
  <si>
    <t>13h19m7.7s</t>
  </si>
  <si>
    <t>+6h6m6s</t>
  </si>
  <si>
    <t>eeF, pS, E ns, pB * s, 5th of 5</t>
  </si>
  <si>
    <t>IC881</t>
  </si>
  <si>
    <t>13h19m56.3s</t>
  </si>
  <si>
    <t>+15h51m1s</t>
  </si>
  <si>
    <t>IC882</t>
  </si>
  <si>
    <t>13h20m7s</t>
  </si>
  <si>
    <t>+15h53m53s</t>
  </si>
  <si>
    <t>IC883</t>
  </si>
  <si>
    <t>13h20m35.5s</t>
  </si>
  <si>
    <t>+34h8m19s</t>
  </si>
  <si>
    <t>IC884</t>
  </si>
  <si>
    <t>13h21m54.8s</t>
  </si>
  <si>
    <t>-12h43m42s</t>
  </si>
  <si>
    <t>IC885</t>
  </si>
  <si>
    <t>13h22m31s</t>
  </si>
  <si>
    <t>+21h19m0s</t>
  </si>
  <si>
    <t>IC886</t>
  </si>
  <si>
    <t>13h23m57.4s</t>
  </si>
  <si>
    <t>-4h23m41s</t>
  </si>
  <si>
    <t>very faint, very small, brighter middle and nucleus, very difficult</t>
  </si>
  <si>
    <t>vF, vS, bMN, v diffic</t>
  </si>
  <si>
    <t>IC887</t>
  </si>
  <si>
    <t>13h24m12s</t>
  </si>
  <si>
    <t>-12h27m38s</t>
  </si>
  <si>
    <t>very faint, very small, nearly between 2 stars</t>
  </si>
  <si>
    <t>vF, vS, nearly bet 2 st</t>
  </si>
  <si>
    <t>IC888</t>
  </si>
  <si>
    <t>IC889</t>
  </si>
  <si>
    <t>13h26m37.5s</t>
  </si>
  <si>
    <t>+11h52m12s</t>
  </si>
  <si>
    <t>faint, very small, round, nucleus = 14th magnitude</t>
  </si>
  <si>
    <t>IC890</t>
  </si>
  <si>
    <t>13h28m25.4s</t>
  </si>
  <si>
    <t>-16h5m31s</t>
  </si>
  <si>
    <t>very faint, suddenly brighter middle equivalent to 13.5 magnitude star, mottled but not resolved</t>
  </si>
  <si>
    <t>vF, sbM * 13.5, r</t>
  </si>
  <si>
    <t>IC891</t>
  </si>
  <si>
    <t>13h29m59.8s</t>
  </si>
  <si>
    <t>+0h18m21s</t>
  </si>
  <si>
    <t>faint, small, round, nucleus equal to 13th magnitude</t>
  </si>
  <si>
    <t>F, S, R, N = 13m</t>
  </si>
  <si>
    <t>IC892</t>
  </si>
  <si>
    <t>13h31m45.8s</t>
  </si>
  <si>
    <t>-2h42m45s</t>
  </si>
  <si>
    <t>pretty bright, irregular figure, brighter middle, mottled but not resolved</t>
  </si>
  <si>
    <t>pB, iF, bM, r</t>
  </si>
  <si>
    <t>IC893</t>
  </si>
  <si>
    <t>13h31m47.4s</t>
  </si>
  <si>
    <t>-2h36m41s</t>
  </si>
  <si>
    <t>IC894</t>
  </si>
  <si>
    <t>13h32m4.7s</t>
  </si>
  <si>
    <t>+17h2m58s</t>
  </si>
  <si>
    <t>IC895</t>
  </si>
  <si>
    <t>very faint, pretty large, round, suddenly brighter middle, double star?</t>
  </si>
  <si>
    <t>vF, pLR, sbM, D ?</t>
  </si>
  <si>
    <t>IC896</t>
  </si>
  <si>
    <t>13h34m10.1s</t>
  </si>
  <si>
    <t>+4h52m8s</t>
  </si>
  <si>
    <t>very faint, very small, diffuse, a little brighter middle</t>
  </si>
  <si>
    <t>vF, vS, dif, lbM</t>
  </si>
  <si>
    <t>IC897</t>
  </si>
  <si>
    <t>13h34m19.3s</t>
  </si>
  <si>
    <t>+17h50m53s</t>
  </si>
  <si>
    <t>vF, s of h 1634</t>
  </si>
  <si>
    <t>IC898</t>
  </si>
  <si>
    <t>13h34m9.5s</t>
  </si>
  <si>
    <t>+13h16m48s</t>
  </si>
  <si>
    <t>IC899</t>
  </si>
  <si>
    <t>13h34m59.4s</t>
  </si>
  <si>
    <t>-8h5m28s</t>
  </si>
  <si>
    <t>IC900</t>
  </si>
  <si>
    <t>13h34m42.9s</t>
  </si>
  <si>
    <t>+9h20m13s</t>
  </si>
  <si>
    <t>IC901</t>
  </si>
  <si>
    <t>13h35m42.5s</t>
  </si>
  <si>
    <t>+13h19m49s</t>
  </si>
  <si>
    <t>pretty faint, extremely small, round</t>
  </si>
  <si>
    <t>pF, eS, R</t>
  </si>
  <si>
    <t>IC902</t>
  </si>
  <si>
    <t>13h36m1.2s</t>
  </si>
  <si>
    <t>+49h57m38s</t>
  </si>
  <si>
    <t>IC903</t>
  </si>
  <si>
    <t>13h38m26.1s</t>
  </si>
  <si>
    <t>-0h13m39s</t>
  </si>
  <si>
    <t>pB, lE ns, gbM N = 13m</t>
  </si>
  <si>
    <t>IC904</t>
  </si>
  <si>
    <t>13h38m32.2s</t>
  </si>
  <si>
    <t>+0h32m26s</t>
  </si>
  <si>
    <t>IC905</t>
  </si>
  <si>
    <t>13h40m2.8s</t>
  </si>
  <si>
    <t>+23h8m36s</t>
  </si>
  <si>
    <t>faint, very small, round, a little brighter middle, stellar</t>
  </si>
  <si>
    <t>F, vS, R, lbM, stellar</t>
  </si>
  <si>
    <t>IC906</t>
  </si>
  <si>
    <t>13h40m10s</t>
  </si>
  <si>
    <t>+23h20m27s</t>
  </si>
  <si>
    <t>IC907</t>
  </si>
  <si>
    <t>13h39m22.7s</t>
  </si>
  <si>
    <t>+51h3m5s</t>
  </si>
  <si>
    <t>IC908</t>
  </si>
  <si>
    <t>13h41m19s</t>
  </si>
  <si>
    <t>-4h20m40s</t>
  </si>
  <si>
    <t>extremely faint, pretty small, 13.5 magnitude star close</t>
  </si>
  <si>
    <t>eF, pS, * 13.5 close</t>
  </si>
  <si>
    <t>IC909</t>
  </si>
  <si>
    <t>13h40m51.2s</t>
  </si>
  <si>
    <t>+24h28m23s</t>
  </si>
  <si>
    <t>No descr</t>
  </si>
  <si>
    <t>IC910</t>
  </si>
  <si>
    <t>13h41m7.8s</t>
  </si>
  <si>
    <t>+23h16m53s</t>
  </si>
  <si>
    <t>faint, small, brighter middle, mottled but not resolved</t>
  </si>
  <si>
    <t>F, S, bM, r</t>
  </si>
  <si>
    <t>IC911</t>
  </si>
  <si>
    <t>13h41m25.3s</t>
  </si>
  <si>
    <t>+23h14m53s</t>
  </si>
  <si>
    <t>IC912</t>
  </si>
  <si>
    <t>13h41m29s</t>
  </si>
  <si>
    <t>+23h14m43s</t>
  </si>
  <si>
    <t>IC913</t>
  </si>
  <si>
    <t>13h41m29.7s</t>
  </si>
  <si>
    <t>+23h10m1s</t>
  </si>
  <si>
    <t>IC914</t>
  </si>
  <si>
    <t>13h41m40.6s</t>
  </si>
  <si>
    <t>+23h11m24s</t>
  </si>
  <si>
    <t>IC915</t>
  </si>
  <si>
    <t>13h43m27.3s</t>
  </si>
  <si>
    <t>-17h19m56s</t>
  </si>
  <si>
    <t>IC916</t>
  </si>
  <si>
    <t>13h42m38.1s</t>
  </si>
  <si>
    <t>+24h27m56s</t>
  </si>
  <si>
    <t>nucleus equal to 13th magnitude</t>
  </si>
  <si>
    <t>N = 13m</t>
  </si>
  <si>
    <t>IC917</t>
  </si>
  <si>
    <t>13h42m31.5s</t>
  </si>
  <si>
    <t>+55h38m12s</t>
  </si>
  <si>
    <t>IC918</t>
  </si>
  <si>
    <t>13h42m38.8s</t>
  </si>
  <si>
    <t>+55h37m11s</t>
  </si>
  <si>
    <t>IC919</t>
  </si>
  <si>
    <t>13h42m56.5s</t>
  </si>
  <si>
    <t>+55h36m12s</t>
  </si>
  <si>
    <t>considerably bright, round, brighter middle</t>
  </si>
  <si>
    <t>cB, R, bM</t>
  </si>
  <si>
    <t>IC920</t>
  </si>
  <si>
    <t>13h45m24.7s</t>
  </si>
  <si>
    <t>-12h34m27s</t>
  </si>
  <si>
    <t>faint, very small, round, brighter middle and nucleus, mottled but not resolved</t>
  </si>
  <si>
    <t>F, vS, R, bMN, r</t>
  </si>
  <si>
    <t>IC921</t>
  </si>
  <si>
    <t>13h43m8.1s</t>
  </si>
  <si>
    <t>+55h39m2s</t>
  </si>
  <si>
    <t>very small, round, brighter middle</t>
  </si>
  <si>
    <t>vS, R, bM</t>
  </si>
  <si>
    <t>IC922</t>
  </si>
  <si>
    <t>13h43m14.4s</t>
  </si>
  <si>
    <t>+55h36m10s</t>
  </si>
  <si>
    <t>IC923</t>
  </si>
  <si>
    <t>13h43m16.3s</t>
  </si>
  <si>
    <t>+55h36m55s</t>
  </si>
  <si>
    <t>IC924</t>
  </si>
  <si>
    <t>13h45m37.7s</t>
  </si>
  <si>
    <t>-12h27m19s</t>
  </si>
  <si>
    <t>F, S, dif, 86 Virg nf</t>
  </si>
  <si>
    <t>IC925</t>
  </si>
  <si>
    <t>13h43m19.8s</t>
  </si>
  <si>
    <t>+55h35m52s</t>
  </si>
  <si>
    <t>IC926</t>
  </si>
  <si>
    <t>13h43m39.4s</t>
  </si>
  <si>
    <t>+55h37m52s</t>
  </si>
  <si>
    <t>IC927</t>
  </si>
  <si>
    <t>13h45m52.3s</t>
  </si>
  <si>
    <t>-12h27m50s</t>
  </si>
  <si>
    <t>IC928</t>
  </si>
  <si>
    <t>13h43m45.2s</t>
  </si>
  <si>
    <t>+55h38m1s</t>
  </si>
  <si>
    <t>IC929</t>
  </si>
  <si>
    <t>13h43m45.8s</t>
  </si>
  <si>
    <t>+55h38m46s</t>
  </si>
  <si>
    <t>IC930</t>
  </si>
  <si>
    <t>13h43m52.5s</t>
  </si>
  <si>
    <t>+55h39m22s</t>
  </si>
  <si>
    <t>IC931</t>
  </si>
  <si>
    <t>13h43m49.4s</t>
  </si>
  <si>
    <t>+55h37m24s</t>
  </si>
  <si>
    <t>IC932</t>
  </si>
  <si>
    <t>13h43m51.5s</t>
  </si>
  <si>
    <t>+55h38m47s</t>
  </si>
  <si>
    <t>very small, round</t>
  </si>
  <si>
    <t>vS, R</t>
  </si>
  <si>
    <t>IC933</t>
  </si>
  <si>
    <t>13h45m16.2s</t>
  </si>
  <si>
    <t>+23h13m9s</t>
  </si>
  <si>
    <t>very faint, very small, round, nucleus equal to 13th magnitude, stellar</t>
  </si>
  <si>
    <t>vF, vS, R, N = 13m, stellar</t>
  </si>
  <si>
    <t>IC934</t>
  </si>
  <si>
    <t>13h44m3.2s</t>
  </si>
  <si>
    <t>+55h38m59s</t>
  </si>
  <si>
    <t>IC935</t>
  </si>
  <si>
    <t>13h44m5.4s</t>
  </si>
  <si>
    <t>IC936</t>
  </si>
  <si>
    <t>IC937</t>
  </si>
  <si>
    <t>13h44m29.1s</t>
  </si>
  <si>
    <t>+55h37m46s</t>
  </si>
  <si>
    <t>IC938</t>
  </si>
  <si>
    <t>13h44m31.4s</t>
  </si>
  <si>
    <t>+55h37m37s</t>
  </si>
  <si>
    <t>IC939</t>
  </si>
  <si>
    <t>13h47m43s</t>
  </si>
  <si>
    <t>+3h24m43s</t>
  </si>
  <si>
    <t>IC940</t>
  </si>
  <si>
    <t>13h47m57.9s</t>
  </si>
  <si>
    <t>+3h27m1s</t>
  </si>
  <si>
    <t>IC941</t>
  </si>
  <si>
    <t>13h48m35.6s</t>
  </si>
  <si>
    <t>+24h0m56s</t>
  </si>
  <si>
    <t>faint, extremely small, gradually brighter middle, mottled but not resolved</t>
  </si>
  <si>
    <t>F, eS, gbM, r</t>
  </si>
  <si>
    <t>IC942</t>
  </si>
  <si>
    <t>13h47m41.1s</t>
  </si>
  <si>
    <t>+56h37m19s</t>
  </si>
  <si>
    <t>IC943</t>
  </si>
  <si>
    <t>13h50m32s</t>
  </si>
  <si>
    <t>+3h11m39s</t>
  </si>
  <si>
    <t>pretty faint, irregular figure, a little brighter middle, faint star close</t>
  </si>
  <si>
    <t>pF, iF, lbM, F * close</t>
  </si>
  <si>
    <t>IC944</t>
  </si>
  <si>
    <t>13h51m30.8s</t>
  </si>
  <si>
    <t>+14h5m30s</t>
  </si>
  <si>
    <t>very small, pretty small, much extended, 3 stars to east</t>
  </si>
  <si>
    <t>vS, pS, mE, 3 st f</t>
  </si>
  <si>
    <t>IC945</t>
  </si>
  <si>
    <t>13h47m7.5s</t>
  </si>
  <si>
    <t>+72h4m12s</t>
  </si>
  <si>
    <t>IC946</t>
  </si>
  <si>
    <t>13h52m8.2s</t>
  </si>
  <si>
    <t>+14h6m59s</t>
  </si>
  <si>
    <t>extremely faint, very small, round, star close to east</t>
  </si>
  <si>
    <t>eF, vS, R, * close f</t>
  </si>
  <si>
    <t>IC947</t>
  </si>
  <si>
    <t>13h52m35.8s</t>
  </si>
  <si>
    <t>+0h49m5s</t>
  </si>
  <si>
    <t>pB, vS, R, sbMN = 12m</t>
  </si>
  <si>
    <t>IC948</t>
  </si>
  <si>
    <t>13h52m26.6s</t>
  </si>
  <si>
    <t>+14h5m28s</t>
  </si>
  <si>
    <t>IC949</t>
  </si>
  <si>
    <t>13h52m16.7s</t>
  </si>
  <si>
    <t>+22h31m19s</t>
  </si>
  <si>
    <t>IC950</t>
  </si>
  <si>
    <t>+14h29m30s</t>
  </si>
  <si>
    <t>IC951</t>
  </si>
  <si>
    <t>13h51m47.2s</t>
  </si>
  <si>
    <t>+50h58m40s</t>
  </si>
  <si>
    <t>eeF, pS, R, 2 st nr sp</t>
  </si>
  <si>
    <t>IC952</t>
  </si>
  <si>
    <t>13h53m41.9s</t>
  </si>
  <si>
    <t>+3h22m39s</t>
  </si>
  <si>
    <t>faint, extended east-west, faint star involved</t>
  </si>
  <si>
    <t>F, E pf, F * inv</t>
  </si>
  <si>
    <t>IC953</t>
  </si>
  <si>
    <t>13h54m57s</t>
  </si>
  <si>
    <t>-30h17m0s</t>
  </si>
  <si>
    <t>very faint, extremely small, gradually brighter middle</t>
  </si>
  <si>
    <t>vF, eS, gbM</t>
  </si>
  <si>
    <t>IC954</t>
  </si>
  <si>
    <t>13h49m56.3s</t>
  </si>
  <si>
    <t>+71h9m53s</t>
  </si>
  <si>
    <t>most extremely faint, small, round, bright star to east</t>
  </si>
  <si>
    <t>eeF, S, R, B * f</t>
  </si>
  <si>
    <t>IC955</t>
  </si>
  <si>
    <t>13h55m43.6s</t>
  </si>
  <si>
    <t>-30h15m43s</t>
  </si>
  <si>
    <t>IC956</t>
  </si>
  <si>
    <t>13h54m40.2s</t>
  </si>
  <si>
    <t>+20h43m11s</t>
  </si>
  <si>
    <t>extremely faint, very small, 14th magnitude star to north</t>
  </si>
  <si>
    <t>eF, vS, * 14 n</t>
  </si>
  <si>
    <t>IC957</t>
  </si>
  <si>
    <t>13h56m7.8s</t>
  </si>
  <si>
    <t>-30h14m17s</t>
  </si>
  <si>
    <t>IC958</t>
  </si>
  <si>
    <t>IC959</t>
  </si>
  <si>
    <t>13h56m3.3s</t>
  </si>
  <si>
    <t>+13h30m23s</t>
  </si>
  <si>
    <t>IC960</t>
  </si>
  <si>
    <t>13h55m59s</t>
  </si>
  <si>
    <t>+17h29m58s</t>
  </si>
  <si>
    <t>faint, pretty large, a little brighter middle, diffuse</t>
  </si>
  <si>
    <t>F, pL, lbM, dif</t>
  </si>
  <si>
    <t>IC961</t>
  </si>
  <si>
    <t>13h55m46.6s</t>
  </si>
  <si>
    <t>+25h50m24s</t>
  </si>
  <si>
    <t>IC962</t>
  </si>
  <si>
    <t>13h57m13.2s</t>
  </si>
  <si>
    <t>+12h1m17s</t>
  </si>
  <si>
    <t>IC963</t>
  </si>
  <si>
    <t>13h57m25s</t>
  </si>
  <si>
    <t>+17h24m30s</t>
  </si>
  <si>
    <t>IC964</t>
  </si>
  <si>
    <t>13h57m41.2s</t>
  </si>
  <si>
    <t>+17h30m33s</t>
  </si>
  <si>
    <t>IC965</t>
  </si>
  <si>
    <t>13h57m47.4s</t>
  </si>
  <si>
    <t>+17h30m40s</t>
  </si>
  <si>
    <t>IC966</t>
  </si>
  <si>
    <t>13h58m14s</t>
  </si>
  <si>
    <t>+5h24m27s</t>
  </si>
  <si>
    <t>IC967</t>
  </si>
  <si>
    <t>13h58m22.9s</t>
  </si>
  <si>
    <t>+14h27m27s</t>
  </si>
  <si>
    <t>pretty faint, very small, round, 14th magnitude star near</t>
  </si>
  <si>
    <t>pF, vS, R, * 14 nr</t>
  </si>
  <si>
    <t>IC968</t>
  </si>
  <si>
    <t>14h0m36.5s</t>
  </si>
  <si>
    <t>-2h54m31s</t>
  </si>
  <si>
    <t>IC969</t>
  </si>
  <si>
    <t>14h1m46.1s</t>
  </si>
  <si>
    <t>-4h10m47s</t>
  </si>
  <si>
    <t>IC970</t>
  </si>
  <si>
    <t>14h2m34.1s</t>
  </si>
  <si>
    <t>+14h33m9s</t>
  </si>
  <si>
    <t>IC971</t>
  </si>
  <si>
    <t>14h3m52.7s</t>
  </si>
  <si>
    <t>-10h8m23s</t>
  </si>
  <si>
    <t>IC972</t>
  </si>
  <si>
    <t>14h4m26s</t>
  </si>
  <si>
    <t>-17h13m39s</t>
  </si>
  <si>
    <t>IC973</t>
  </si>
  <si>
    <t>Stellar, 13.5m</t>
  </si>
  <si>
    <t>IC974</t>
  </si>
  <si>
    <t>14h6m34.3s</t>
  </si>
  <si>
    <t>-5h29m34s</t>
  </si>
  <si>
    <t>Neb object 1'.8 sff of 5465. Not obs by T</t>
  </si>
  <si>
    <t>IC975</t>
  </si>
  <si>
    <t>14h7m8.8s</t>
  </si>
  <si>
    <t>+15h19m7s</t>
  </si>
  <si>
    <t>IC976</t>
  </si>
  <si>
    <t>14h8m43.3s</t>
  </si>
  <si>
    <t>-1h9m44s</t>
  </si>
  <si>
    <t>eF, vS, R, eF, * att s</t>
  </si>
  <si>
    <t>IC977</t>
  </si>
  <si>
    <t>14h8m42.1s</t>
  </si>
  <si>
    <t>-3h0m9s</t>
  </si>
  <si>
    <t>IC978</t>
  </si>
  <si>
    <t>14h8m58s</t>
  </si>
  <si>
    <t>-2h58m25s</t>
  </si>
  <si>
    <t>very faint, small, round, brighter middle and nucleus</t>
  </si>
  <si>
    <t>vF, S, R, bMN</t>
  </si>
  <si>
    <t>IC979</t>
  </si>
  <si>
    <t>14h9m32.3s</t>
  </si>
  <si>
    <t>+14h49m54s</t>
  </si>
  <si>
    <t>IC980</t>
  </si>
  <si>
    <t>14h10m22.3s</t>
  </si>
  <si>
    <t>-7h20m31s</t>
  </si>
  <si>
    <t>faint, small, round, nucleus equal to 13th magnitude, mottled but not resolved</t>
  </si>
  <si>
    <t>F, S, R, N = 13m, r</t>
  </si>
  <si>
    <t>IC981</t>
  </si>
  <si>
    <t>14h10m28s</t>
  </si>
  <si>
    <t>IC982</t>
  </si>
  <si>
    <t>14h9m59s</t>
  </si>
  <si>
    <t>+17h41m48s</t>
  </si>
  <si>
    <t>vS, R, N = 11m</t>
  </si>
  <si>
    <t>IC983</t>
  </si>
  <si>
    <t>14h10m4.3s</t>
  </si>
  <si>
    <t>+17h44m4s</t>
  </si>
  <si>
    <t>eS, R, N = 11m</t>
  </si>
  <si>
    <t>IC984</t>
  </si>
  <si>
    <t>14h10m7.6s</t>
  </si>
  <si>
    <t>+18h21m51s</t>
  </si>
  <si>
    <t>pretty bright, small, gradually brighter middle</t>
  </si>
  <si>
    <t>pB, S, gbM</t>
  </si>
  <si>
    <t>IC985</t>
  </si>
  <si>
    <t>14h11m33s</t>
  </si>
  <si>
    <t>-3h13m11s</t>
  </si>
  <si>
    <t>IC986</t>
  </si>
  <si>
    <t>14h11m26.2s</t>
  </si>
  <si>
    <t>+1h17m13s</t>
  </si>
  <si>
    <t>faint, small, nucleus = 13.5 magnitude star, mottled but not resolved</t>
  </si>
  <si>
    <t>F, S, N = 13.5, r</t>
  </si>
  <si>
    <t>IC987</t>
  </si>
  <si>
    <t>14h11m31.9s</t>
  </si>
  <si>
    <t>+19h10m19s</t>
  </si>
  <si>
    <t>extremely faint, very small, stellar, very difficult</t>
  </si>
  <si>
    <t>eF, vS, stellar, v diffic</t>
  </si>
  <si>
    <t>IC988</t>
  </si>
  <si>
    <t>14h14m32s</t>
  </si>
  <si>
    <t>+3h11m27s</t>
  </si>
  <si>
    <t>IC989</t>
  </si>
  <si>
    <t>14h14m51.2s</t>
  </si>
  <si>
    <t>+3h7m52s</t>
  </si>
  <si>
    <t>IC990</t>
  </si>
  <si>
    <t>14h15m49.1s</t>
  </si>
  <si>
    <t>+39h47m54s</t>
  </si>
  <si>
    <t>IC991</t>
  </si>
  <si>
    <t>14h17m48.6s</t>
  </si>
  <si>
    <t>-13h52m23s</t>
  </si>
  <si>
    <t>IC992</t>
  </si>
  <si>
    <t>14h18m14.8s</t>
  </si>
  <si>
    <t>+0h53m26s</t>
  </si>
  <si>
    <t>faint, pretty small, round, 10.5 magnitude star to northeast</t>
  </si>
  <si>
    <t>F, pS, R, * 10.5 nf</t>
  </si>
  <si>
    <t>IC993</t>
  </si>
  <si>
    <t>14h18m18.6s</t>
  </si>
  <si>
    <t>+11h12m59s</t>
  </si>
  <si>
    <t>very faint, irregular figure, difficult</t>
  </si>
  <si>
    <t>vF, iF, diffic</t>
  </si>
  <si>
    <t>IC994</t>
  </si>
  <si>
    <t>14h18m22.5s</t>
  </si>
  <si>
    <t>+11h11m43s</t>
  </si>
  <si>
    <t>IC995</t>
  </si>
  <si>
    <t>14h16m31.2s</t>
  </si>
  <si>
    <t>+57h48m36s</t>
  </si>
  <si>
    <t>IC996</t>
  </si>
  <si>
    <t>14h17m21.8s</t>
  </si>
  <si>
    <t>+57h37m48s</t>
  </si>
  <si>
    <t>IC997</t>
  </si>
  <si>
    <t>14h19m25.1s</t>
  </si>
  <si>
    <t>-4h29m24s</t>
  </si>
  <si>
    <t>pretty faint, small, round, star to north</t>
  </si>
  <si>
    <t>pF, S, R, * n</t>
  </si>
  <si>
    <t>IC998</t>
  </si>
  <si>
    <t>14h19m59.2s</t>
  </si>
  <si>
    <t>-4h27m8s</t>
  </si>
  <si>
    <t>IC999</t>
  </si>
  <si>
    <t>14h19m32.6s</t>
  </si>
  <si>
    <t>+17h52m33s</t>
  </si>
  <si>
    <t>faint, very small, round, nucleus = 14th magnitude, stellar</t>
  </si>
  <si>
    <t>F, vS, R, N = 14m, stellar</t>
  </si>
  <si>
    <t>IC1000</t>
  </si>
  <si>
    <t>14h19m40.2s</t>
  </si>
  <si>
    <t>+17h51m18s</t>
  </si>
  <si>
    <t>IC1001</t>
  </si>
  <si>
    <t>14h20m39.6s</t>
  </si>
  <si>
    <t>+5h25m40s</t>
  </si>
  <si>
    <t>IC1002</t>
  </si>
  <si>
    <t>14h20m42.3s</t>
  </si>
  <si>
    <t>+5h29m9s</t>
  </si>
  <si>
    <t>IC1003</t>
  </si>
  <si>
    <t>Sbc?</t>
  </si>
  <si>
    <t>14h21m29.8s</t>
  </si>
  <si>
    <t>+5h4m23s</t>
  </si>
  <si>
    <t>extremely faint, very small, very small (faint) star attached, difficult</t>
  </si>
  <si>
    <t>eF, vS, vS * att, diffic</t>
  </si>
  <si>
    <t>IC1004</t>
  </si>
  <si>
    <t>14h20m49.7s</t>
  </si>
  <si>
    <t>+17h39m54s</t>
  </si>
  <si>
    <t>pretty faint, suddenly brighter middle</t>
  </si>
  <si>
    <t>pF, sbM</t>
  </si>
  <si>
    <t>IC1005</t>
  </si>
  <si>
    <t>IC1006</t>
  </si>
  <si>
    <t>14h22m59s</t>
  </si>
  <si>
    <t>+23h47m41s</t>
  </si>
  <si>
    <t>IC1007</t>
  </si>
  <si>
    <t>14h24m36.6s</t>
  </si>
  <si>
    <t>+4h33m34s</t>
  </si>
  <si>
    <t>vF, vS, R, lbM, * 10.5 nr</t>
  </si>
  <si>
    <t>IC1008</t>
  </si>
  <si>
    <t>14h23m42.6s</t>
  </si>
  <si>
    <t>+28h20m50s</t>
  </si>
  <si>
    <t>IC1009</t>
  </si>
  <si>
    <t>14h26m17.5s</t>
  </si>
  <si>
    <t>+12h21m12s</t>
  </si>
  <si>
    <t>IC1010</t>
  </si>
  <si>
    <t>14h27m20.4s</t>
  </si>
  <si>
    <t>+1h1m33s</t>
  </si>
  <si>
    <t>IC1011</t>
  </si>
  <si>
    <t>14h28m4.4s</t>
  </si>
  <si>
    <t>+1h0m25s</t>
  </si>
  <si>
    <t>IC1012</t>
  </si>
  <si>
    <t>14h27m9.5s</t>
  </si>
  <si>
    <t>+30h56m54s</t>
  </si>
  <si>
    <t>IC1013</t>
  </si>
  <si>
    <t>14h27m50.8s</t>
  </si>
  <si>
    <t>+25h50m19s</t>
  </si>
  <si>
    <t>IC1014</t>
  </si>
  <si>
    <t>14h28m18.6s</t>
  </si>
  <si>
    <t>+13h46m50s</t>
  </si>
  <si>
    <t>IC1015</t>
  </si>
  <si>
    <t>14h28m19.1s</t>
  </si>
  <si>
    <t>+15h25m13s</t>
  </si>
  <si>
    <t>very faint, irregular figure</t>
  </si>
  <si>
    <t>vF, iF</t>
  </si>
  <si>
    <t>IC1016</t>
  </si>
  <si>
    <t>14h27m32.3s</t>
  </si>
  <si>
    <t>+4h49m17s</t>
  </si>
  <si>
    <t>very faint, very small, round, east of h1806</t>
  </si>
  <si>
    <t>vF, vS, R, f h 1806</t>
  </si>
  <si>
    <t>IC1017</t>
  </si>
  <si>
    <t>14h28m7.2s</t>
  </si>
  <si>
    <t>+25h52m6s</t>
  </si>
  <si>
    <t>pretty faint, very small, suddenly brighter middle, stellar</t>
  </si>
  <si>
    <t>pF, vS, sbM, stellar</t>
  </si>
  <si>
    <t>IC1018</t>
  </si>
  <si>
    <t>14h28m12.7s</t>
  </si>
  <si>
    <t>+25h49m48s</t>
  </si>
  <si>
    <t>extremely faint, extremely small, very difficult</t>
  </si>
  <si>
    <t>IC1019</t>
  </si>
  <si>
    <t>14h28m13.3s</t>
  </si>
  <si>
    <t>+25h56m50s</t>
  </si>
  <si>
    <t>faint, very small, round, stellar, 13th magnitude star near</t>
  </si>
  <si>
    <t>F, vS, R, stellar, * 13 nr</t>
  </si>
  <si>
    <t>IC1020</t>
  </si>
  <si>
    <t>14h28m49.4s</t>
  </si>
  <si>
    <t>+26h1m58s</t>
  </si>
  <si>
    <t>faint, stellar, very faint star close</t>
  </si>
  <si>
    <t>F, stellar, vF * close</t>
  </si>
  <si>
    <t>IC1021</t>
  </si>
  <si>
    <t>14h29m17s</t>
  </si>
  <si>
    <t>+20h39m18s</t>
  </si>
  <si>
    <t>IC1022</t>
  </si>
  <si>
    <t>14h30m1.9s</t>
  </si>
  <si>
    <t>+3h46m22s</t>
  </si>
  <si>
    <t>IC1023</t>
  </si>
  <si>
    <t>14h32m25.1s</t>
  </si>
  <si>
    <t>-35h48m13s</t>
  </si>
  <si>
    <t>nebula</t>
  </si>
  <si>
    <t>Neb</t>
  </si>
  <si>
    <t>IC1024</t>
  </si>
  <si>
    <t>14h31m27s</t>
  </si>
  <si>
    <t>+3h0m28s</t>
  </si>
  <si>
    <t>pretty bright, very small, extended north-south</t>
  </si>
  <si>
    <t>pB, vS, E ns</t>
  </si>
  <si>
    <t>IC1025</t>
  </si>
  <si>
    <t>14h31m28.4s</t>
  </si>
  <si>
    <t>+7h3m47s</t>
  </si>
  <si>
    <t>extremely faint, suddenly brighter middle</t>
  </si>
  <si>
    <t>eF, sbM</t>
  </si>
  <si>
    <t>IC1026</t>
  </si>
  <si>
    <t>IC1027</t>
  </si>
  <si>
    <t>14h29m48.4s</t>
  </si>
  <si>
    <t>+53h57m56s</t>
  </si>
  <si>
    <t>eeF, pS, R, another nr ?</t>
  </si>
  <si>
    <t>IC1028</t>
  </si>
  <si>
    <t>pretty bright, small, round, faint star close to northeast</t>
  </si>
  <si>
    <t>pB, S, R, F * close nf</t>
  </si>
  <si>
    <t>IC1029</t>
  </si>
  <si>
    <t>14h32m27.2s</t>
  </si>
  <si>
    <t>+49h54m16s</t>
  </si>
  <si>
    <t>very faint, small, a little extended, much brighter middle</t>
  </si>
  <si>
    <t>vF, S, lE, mbM</t>
  </si>
  <si>
    <t>IC1030</t>
  </si>
  <si>
    <t>IC1031</t>
  </si>
  <si>
    <t>14h34m23.9s</t>
  </si>
  <si>
    <t>+48h2m17s</t>
  </si>
  <si>
    <t>IC1032</t>
  </si>
  <si>
    <t>14h34m39.1s</t>
  </si>
  <si>
    <t>+47h58m7s</t>
  </si>
  <si>
    <t>IC1033</t>
  </si>
  <si>
    <t>14h34m41.8s</t>
  </si>
  <si>
    <t>+47h56m16s</t>
  </si>
  <si>
    <t>IC1034</t>
  </si>
  <si>
    <t>14h37m13.6s</t>
  </si>
  <si>
    <t>+14h39m57s</t>
  </si>
  <si>
    <t>very faint, a little brighter middle</t>
  </si>
  <si>
    <t>vF, lbM</t>
  </si>
  <si>
    <t>IC1035</t>
  </si>
  <si>
    <t>14h38m10.2s</t>
  </si>
  <si>
    <t>+9h20m12s</t>
  </si>
  <si>
    <t>pretty faint, very small, round, small, star near</t>
  </si>
  <si>
    <t>pF, vS, R, S, * nr</t>
  </si>
  <si>
    <t>IC1036</t>
  </si>
  <si>
    <t>14h38m22.7s</t>
  </si>
  <si>
    <t>+18h6m41s</t>
  </si>
  <si>
    <t>IC1037</t>
  </si>
  <si>
    <t>14h38m25.3s</t>
  </si>
  <si>
    <t>+18h11m4s</t>
  </si>
  <si>
    <t>IC1038</t>
  </si>
  <si>
    <t>14h39m27.4s</t>
  </si>
  <si>
    <t>+11h55m44s</t>
  </si>
  <si>
    <t>F, vS, stellar, * 10 f 8s</t>
  </si>
  <si>
    <t>IC1039</t>
  </si>
  <si>
    <t>14h40m29.3s</t>
  </si>
  <si>
    <t>+3h26m0s</t>
  </si>
  <si>
    <t>IC1040</t>
  </si>
  <si>
    <t>14h40m22.5s</t>
  </si>
  <si>
    <t>+9h28m39s</t>
  </si>
  <si>
    <t>IC1041</t>
  </si>
  <si>
    <t>14h40m37.9s</t>
  </si>
  <si>
    <t>+3h22m38s</t>
  </si>
  <si>
    <t>pB, vS, R, N = 12m</t>
  </si>
  <si>
    <t>IC1042</t>
  </si>
  <si>
    <t>14h40m38.7s</t>
  </si>
  <si>
    <t>+3h28m11s</t>
  </si>
  <si>
    <t>vF, vS, R, bM, close D with h 1862</t>
  </si>
  <si>
    <t>IC1043</t>
  </si>
  <si>
    <t>14h40m43.3s</t>
  </si>
  <si>
    <t>+3h22m29s</t>
  </si>
  <si>
    <t>IC1044</t>
  </si>
  <si>
    <t>14h41m28.9s</t>
  </si>
  <si>
    <t>+9h25m54s</t>
  </si>
  <si>
    <t>IC1045</t>
  </si>
  <si>
    <t>14h50m39.4s</t>
  </si>
  <si>
    <t>+42h44m27s</t>
  </si>
  <si>
    <t>IC1046</t>
  </si>
  <si>
    <t>14h37m53.2s</t>
  </si>
  <si>
    <t>+69h0m52s</t>
  </si>
  <si>
    <t>extremely faint, small, round, double star to east</t>
  </si>
  <si>
    <t>eF, S, R, D * f</t>
  </si>
  <si>
    <t>IC1047</t>
  </si>
  <si>
    <t>14h42m19.8s</t>
  </si>
  <si>
    <t>vF, S, v, dif</t>
  </si>
  <si>
    <t>IC1048</t>
  </si>
  <si>
    <t>14h42m57.9s</t>
  </si>
  <si>
    <t>+4h53m27s</t>
  </si>
  <si>
    <t>pretty bright, pretty large, extended east-west, mottled but not resolved</t>
  </si>
  <si>
    <t>pB, pL, E pf, r</t>
  </si>
  <si>
    <t>IC1049</t>
  </si>
  <si>
    <t>14h39m33s</t>
  </si>
  <si>
    <t>+62h0m11s</t>
  </si>
  <si>
    <t>IC1050</t>
  </si>
  <si>
    <t>14h44m7s</t>
  </si>
  <si>
    <t>+18h0m48s</t>
  </si>
  <si>
    <t>IC1051</t>
  </si>
  <si>
    <t>14h44m11.5s</t>
  </si>
  <si>
    <t>+19h1m14s</t>
  </si>
  <si>
    <t>IC1052</t>
  </si>
  <si>
    <t>14h44m14.2s</t>
  </si>
  <si>
    <t>+20h36m53s</t>
  </si>
  <si>
    <t>Neb * 12m</t>
  </si>
  <si>
    <t>IC1053</t>
  </si>
  <si>
    <t>14h45m43.2s</t>
  </si>
  <si>
    <t>+16h56m49s</t>
  </si>
  <si>
    <t>eF, vS, v dif, * 4 np 28s</t>
  </si>
  <si>
    <t>IC1054</t>
  </si>
  <si>
    <t>14h46m31.2s</t>
  </si>
  <si>
    <t>+1h16m31s</t>
  </si>
  <si>
    <t>vF, vS, sbMN = 14m</t>
  </si>
  <si>
    <t>IC1055</t>
  </si>
  <si>
    <t>14h47m25.6s</t>
  </si>
  <si>
    <t>-13h42m58s</t>
  </si>
  <si>
    <t>IC1056</t>
  </si>
  <si>
    <t>14h45m48.8s</t>
  </si>
  <si>
    <t>+50h23m36s</t>
  </si>
  <si>
    <t>eeF, L, R, 3 pB st sf</t>
  </si>
  <si>
    <t>IC1057</t>
  </si>
  <si>
    <t>extremely faint, pretty small, round, between 3 stars</t>
  </si>
  <si>
    <t>eF, pS, R, bet 3 st</t>
  </si>
  <si>
    <t>IC1058</t>
  </si>
  <si>
    <t>14h49m12.3s</t>
  </si>
  <si>
    <t>+17h1m17s</t>
  </si>
  <si>
    <t>F, E ns, mbMN = 14m</t>
  </si>
  <si>
    <t>IC1059</t>
  </si>
  <si>
    <t>14h50m42.5s</t>
  </si>
  <si>
    <t>-0h52m31s</t>
  </si>
  <si>
    <t>F, S, lbm, r</t>
  </si>
  <si>
    <t>IC1060</t>
  </si>
  <si>
    <t>14h51m47.3s</t>
  </si>
  <si>
    <t>-7h13m55s</t>
  </si>
  <si>
    <t>IC1061</t>
  </si>
  <si>
    <t>14h51m14.1s</t>
  </si>
  <si>
    <t>+18h45m27s</t>
  </si>
  <si>
    <t>extremely faint, extremely small, difficult</t>
  </si>
  <si>
    <t>eF, eS, diffic</t>
  </si>
  <si>
    <t>IC1062</t>
  </si>
  <si>
    <t>14h51m17.6s</t>
  </si>
  <si>
    <t>+18h41m15s</t>
  </si>
  <si>
    <t>pretty faint, irregular figure, difficult</t>
  </si>
  <si>
    <t>pF, iF, diffic</t>
  </si>
  <si>
    <t>IC1063</t>
  </si>
  <si>
    <t>14h52m10.9s</t>
  </si>
  <si>
    <t>+4h40m53s</t>
  </si>
  <si>
    <t>pretty faint, stellar</t>
  </si>
  <si>
    <t>pF, stellar</t>
  </si>
  <si>
    <t>IC1064</t>
  </si>
  <si>
    <t>IC1065</t>
  </si>
  <si>
    <t>14h49m21.3s</t>
  </si>
  <si>
    <t>+63h16m15s</t>
  </si>
  <si>
    <t>IC1066</t>
  </si>
  <si>
    <t>14h53m2.8s</t>
  </si>
  <si>
    <t>+3h17m46s</t>
  </si>
  <si>
    <t>IC1067</t>
  </si>
  <si>
    <t>14h53m5.2s</t>
  </si>
  <si>
    <t>+3h19m54s</t>
  </si>
  <si>
    <t>IC1068</t>
  </si>
  <si>
    <t>14h53m32.8s</t>
  </si>
  <si>
    <t>+3h4m40s</t>
  </si>
  <si>
    <t>IC1069</t>
  </si>
  <si>
    <t>14h50m46.4s</t>
  </si>
  <si>
    <t>+54h24m42s</t>
  </si>
  <si>
    <t>pF, vS, R, no st nr</t>
  </si>
  <si>
    <t>IC1070</t>
  </si>
  <si>
    <t>14h53m51.2s</t>
  </si>
  <si>
    <t>+3h29m7s</t>
  </si>
  <si>
    <t>very faint, small, round, difficult</t>
  </si>
  <si>
    <t>vF, S, R, diffic</t>
  </si>
  <si>
    <t>IC1071</t>
  </si>
  <si>
    <t>14h54m12.4s</t>
  </si>
  <si>
    <t>+4h45m2s</t>
  </si>
  <si>
    <t>IC1072</t>
  </si>
  <si>
    <t>14h54m13.1s</t>
  </si>
  <si>
    <t>+4h50m32s</t>
  </si>
  <si>
    <t>very faint, very small, round, very little brighter middle, 2nd of 3</t>
  </si>
  <si>
    <t>vF, vS, R, vlbM, 2nd of 3</t>
  </si>
  <si>
    <t>IC1073</t>
  </si>
  <si>
    <t>14h54m14.4s</t>
  </si>
  <si>
    <t>+4h47m40s</t>
  </si>
  <si>
    <t>very faint, small, round, small star to south, 3rd of 3</t>
  </si>
  <si>
    <t>vF, S, R, S * s, 3rd of 3</t>
  </si>
  <si>
    <t>IC1074</t>
  </si>
  <si>
    <t>14h51m57.2s</t>
  </si>
  <si>
    <t>+51h15m54s</t>
  </si>
  <si>
    <t>IC1075</t>
  </si>
  <si>
    <t>14h54m49.2s</t>
  </si>
  <si>
    <t>+18h6m21s</t>
  </si>
  <si>
    <t>IC1076</t>
  </si>
  <si>
    <t>14h54m59.4s</t>
  </si>
  <si>
    <t>+18h2m15s</t>
  </si>
  <si>
    <t>extremely faint, pretty small, round, brighter middle, star to southwest</t>
  </si>
  <si>
    <t>eF, pS, R, bM, * sp</t>
  </si>
  <si>
    <t>IC1077</t>
  </si>
  <si>
    <t>14h57m21.6s</t>
  </si>
  <si>
    <t>-19h12m53s</t>
  </si>
  <si>
    <t>very faint, very small, round, gradually brighter middle and nucleus</t>
  </si>
  <si>
    <t>vF, vS, R, gbMN</t>
  </si>
  <si>
    <t>IC1078</t>
  </si>
  <si>
    <t>14h56m29s</t>
  </si>
  <si>
    <t>+9h21m15s</t>
  </si>
  <si>
    <t>IC1079</t>
  </si>
  <si>
    <t>14h56m36.1s</t>
  </si>
  <si>
    <t>+9h22m10s</t>
  </si>
  <si>
    <t>IC1080</t>
  </si>
  <si>
    <t>14h57m59.7s</t>
  </si>
  <si>
    <t>-6h43m22s</t>
  </si>
  <si>
    <t>IC1081</t>
  </si>
  <si>
    <t>14h58m55s</t>
  </si>
  <si>
    <t>-19h14m21s</t>
  </si>
  <si>
    <t>extremely faint, pretty large, extended 175°</t>
  </si>
  <si>
    <t>eF, pL, E 175°</t>
  </si>
  <si>
    <t>IC1082</t>
  </si>
  <si>
    <t>14h58m52.4s</t>
  </si>
  <si>
    <t>+7h0m28s</t>
  </si>
  <si>
    <t>IC1083</t>
  </si>
  <si>
    <t>14h55m33.5s</t>
  </si>
  <si>
    <t>+68h24m31s</t>
  </si>
  <si>
    <t>IC1084</t>
  </si>
  <si>
    <t>15h1m14.8s</t>
  </si>
  <si>
    <t>-7h28m32s</t>
  </si>
  <si>
    <t>extremely faint, small, round, diffuse</t>
  </si>
  <si>
    <t>eF, S, R, dif</t>
  </si>
  <si>
    <t>IC1085</t>
  </si>
  <si>
    <t>15h2m43.3s</t>
  </si>
  <si>
    <t>+17h15m11s</t>
  </si>
  <si>
    <t>pretty bright, very small, a little extended north-south</t>
  </si>
  <si>
    <t>pB, vS, lE ns</t>
  </si>
  <si>
    <t>IC1086</t>
  </si>
  <si>
    <t>15h3m29.1s</t>
  </si>
  <si>
    <t>+17h6m54s</t>
  </si>
  <si>
    <t>faint, irregularly round, brighter middle and nucleus</t>
  </si>
  <si>
    <t>F, iR, bMN</t>
  </si>
  <si>
    <t>IC1087</t>
  </si>
  <si>
    <t>15h6m43.8s</t>
  </si>
  <si>
    <t>+3h46m38s</t>
  </si>
  <si>
    <t>IC1088</t>
  </si>
  <si>
    <t>15h6m47.5s</t>
  </si>
  <si>
    <t>IC1089</t>
  </si>
  <si>
    <t>15h7m25.9s</t>
  </si>
  <si>
    <t>+7h7m2s</t>
  </si>
  <si>
    <t>IC1090</t>
  </si>
  <si>
    <t>15h5m42.9s</t>
  </si>
  <si>
    <t>+42h41m0s</t>
  </si>
  <si>
    <t>extremely faint, possibly nebulous</t>
  </si>
  <si>
    <t>eF, neb ?</t>
  </si>
  <si>
    <t>IC1091</t>
  </si>
  <si>
    <t>15h8m13.4s</t>
  </si>
  <si>
    <t>-11h8m26s</t>
  </si>
  <si>
    <t>IC1092</t>
  </si>
  <si>
    <t>15h7m36s</t>
  </si>
  <si>
    <t>+9h21m32s</t>
  </si>
  <si>
    <t>IC1093</t>
  </si>
  <si>
    <t>15h7m35.8s</t>
  </si>
  <si>
    <t>+14h32m55s</t>
  </si>
  <si>
    <t>pretty bright, very small, round, a little brighter middle</t>
  </si>
  <si>
    <t>pB, vS, R, lbM</t>
  </si>
  <si>
    <t>IC1094</t>
  </si>
  <si>
    <t>C  M</t>
  </si>
  <si>
    <t>15h7m42s</t>
  </si>
  <si>
    <t>+14h37m21s</t>
  </si>
  <si>
    <t>pretty bright, very small, round, binuclear</t>
  </si>
  <si>
    <t>pB, vS, R, biN</t>
  </si>
  <si>
    <t>IC1095</t>
  </si>
  <si>
    <t>15h8m35s</t>
  </si>
  <si>
    <t>+13h40m13s</t>
  </si>
  <si>
    <t>IC1096</t>
  </si>
  <si>
    <t>15h8m21.7s</t>
  </si>
  <si>
    <t>IC1097</t>
  </si>
  <si>
    <t>15h8m31.3s</t>
  </si>
  <si>
    <t>+19h11m4s</t>
  </si>
  <si>
    <t>IC1098</t>
  </si>
  <si>
    <t>15h6m25.5s</t>
  </si>
  <si>
    <t>+55h36m5s</t>
  </si>
  <si>
    <t>vF (? only a * 13m)</t>
  </si>
  <si>
    <t>IC1099</t>
  </si>
  <si>
    <t>15h6m54.7s</t>
  </si>
  <si>
    <t>+56h30m31s</t>
  </si>
  <si>
    <t>most extremely faint, pretty small, round, between 2 faint stars</t>
  </si>
  <si>
    <t>eeF, pS, R, bet 2 F st</t>
  </si>
  <si>
    <t>IC1100</t>
  </si>
  <si>
    <t>very faint, pretty small, a little extended, between 2 stars</t>
  </si>
  <si>
    <t>vF, pS, lE, bet 2 st</t>
  </si>
  <si>
    <t>IC1101</t>
  </si>
  <si>
    <t>15h10m56.1s</t>
  </si>
  <si>
    <t>+5h44m44s</t>
  </si>
  <si>
    <t>Description is extremely faint, very small, 13th magnitude star 1.5 seconds east, 13th magnitude star 2 seconds west and a little north.</t>
  </si>
  <si>
    <t>IC1102</t>
  </si>
  <si>
    <t>15h11m4.9s</t>
  </si>
  <si>
    <t>+4h17m38s</t>
  </si>
  <si>
    <t>most extremely faint, very small, faint star to southeast, very difficult</t>
  </si>
  <si>
    <t>eeF, vS, F * sf, v diffic</t>
  </si>
  <si>
    <t>IC1103</t>
  </si>
  <si>
    <t>15h11m35.8s</t>
  </si>
  <si>
    <t>+19h12m30s</t>
  </si>
  <si>
    <t>IC1104</t>
  </si>
  <si>
    <t>15h12m49.9s</t>
  </si>
  <si>
    <t>-5h3m22s</t>
  </si>
  <si>
    <t>IC1105</t>
  </si>
  <si>
    <t>15h13m13.8s</t>
  </si>
  <si>
    <t>+4h17m17s</t>
  </si>
  <si>
    <t>most extremely faint, small, a little extended, faint star to northwest</t>
  </si>
  <si>
    <t>eeF, S, lE, F * np</t>
  </si>
  <si>
    <t>IC1106</t>
  </si>
  <si>
    <t>15h13m56.2s</t>
  </si>
  <si>
    <t>+4h42m37s</t>
  </si>
  <si>
    <t>IC1107</t>
  </si>
  <si>
    <t>15h14m9s</t>
  </si>
  <si>
    <t>+4h42m53s</t>
  </si>
  <si>
    <t>IC1108</t>
  </si>
  <si>
    <t>Stellar, gaseous spectrum</t>
  </si>
  <si>
    <t>IC1109</t>
  </si>
  <si>
    <t>15h17m3.9s</t>
  </si>
  <si>
    <t>+5h15m24s</t>
  </si>
  <si>
    <t>most extremely faint, pretty small, round, star to northeast, very difficult</t>
  </si>
  <si>
    <t>eeF, pS, R, * nf, v diffic</t>
  </si>
  <si>
    <t>IC1110</t>
  </si>
  <si>
    <t>15h12m5.3s</t>
  </si>
  <si>
    <t>+67h21m44s</t>
  </si>
  <si>
    <t>most extremely faint, small, much extended</t>
  </si>
  <si>
    <t>eeF, S, mE</t>
  </si>
  <si>
    <t>IC1111</t>
  </si>
  <si>
    <t>IC1112</t>
  </si>
  <si>
    <t>15h17m47.4s</t>
  </si>
  <si>
    <t>+7h13m7s</t>
  </si>
  <si>
    <t>IC1113</t>
  </si>
  <si>
    <t>15h18m15.1s</t>
  </si>
  <si>
    <t>+12h29m19s</t>
  </si>
  <si>
    <t>extremely faint, 12th magnitude star near</t>
  </si>
  <si>
    <t>eF, * 12 nr</t>
  </si>
  <si>
    <t>IC1114</t>
  </si>
  <si>
    <t>15h11m16s</t>
  </si>
  <si>
    <t>+75h28m30s</t>
  </si>
  <si>
    <t>vF, ? only a * 13</t>
  </si>
  <si>
    <t>IC1115</t>
  </si>
  <si>
    <t>15h22m19s</t>
  </si>
  <si>
    <t>-4h28m28s</t>
  </si>
  <si>
    <t>most extremely faint, small, round, pretty bright star to southeast</t>
  </si>
  <si>
    <t>eeF, S, R, pB * sf</t>
  </si>
  <si>
    <t>IC1116</t>
  </si>
  <si>
    <t>15h21m55.2s</t>
  </si>
  <si>
    <t>+8h25m26s</t>
  </si>
  <si>
    <t>IC1117</t>
  </si>
  <si>
    <t>15h24m22.8s</t>
  </si>
  <si>
    <t>+15h29m21s</t>
  </si>
  <si>
    <t>IC1118</t>
  </si>
  <si>
    <t>15h24m59.4s</t>
  </si>
  <si>
    <t>+13h26m44s</t>
  </si>
  <si>
    <t>pretty bright, very small, round, small (faint) star near</t>
  </si>
  <si>
    <t>pB, vS, R, S * nr</t>
  </si>
  <si>
    <t>IC1119</t>
  </si>
  <si>
    <t>15h25m44.7s</t>
  </si>
  <si>
    <t>-3h39m31s</t>
  </si>
  <si>
    <t>F, pS, R, * 11.5 nf</t>
  </si>
  <si>
    <t>IC1120</t>
  </si>
  <si>
    <t>15h26m11.4s</t>
  </si>
  <si>
    <t>+18h52m30s</t>
  </si>
  <si>
    <t>extremely faint, extremely small, very faint, star attached</t>
  </si>
  <si>
    <t>eF, eS, vF, * att</t>
  </si>
  <si>
    <t>IC1121</t>
  </si>
  <si>
    <t>15h27m44s</t>
  </si>
  <si>
    <t>+6h48m16s</t>
  </si>
  <si>
    <t>most extremely faint, extremely small, stellar, very faint star close to west</t>
  </si>
  <si>
    <t>eeF, eS, stellar, vF * close p</t>
  </si>
  <si>
    <t>IC1122</t>
  </si>
  <si>
    <t>15h29m23s</t>
  </si>
  <si>
    <t>+7h37m3s</t>
  </si>
  <si>
    <t>very faint, pretty small, much brighter middle, 11th magnitude star one arcmin to west</t>
  </si>
  <si>
    <t>vF, pS, mbM, * 11 p 1'</t>
  </si>
  <si>
    <t>IC1123</t>
  </si>
  <si>
    <t>15h28m54.1s</t>
  </si>
  <si>
    <t>+42h53m55s</t>
  </si>
  <si>
    <t>IC1124</t>
  </si>
  <si>
    <t>15h30m0.9s</t>
  </si>
  <si>
    <t>+23h38m18s</t>
  </si>
  <si>
    <t>most extremely faint, very small, much extended, 2 stars to north</t>
  </si>
  <si>
    <t>eeF, vS, mE, 2 st n</t>
  </si>
  <si>
    <t>IC1125</t>
  </si>
  <si>
    <t>15h33m5.7s</t>
  </si>
  <si>
    <t>-1h37m42s</t>
  </si>
  <si>
    <t>IC1126</t>
  </si>
  <si>
    <t>15h35m0.8s</t>
  </si>
  <si>
    <t>+4h59m26s</t>
  </si>
  <si>
    <t>13th magnitude star, nebulous?</t>
  </si>
  <si>
    <t>* 13, nebulous ?</t>
  </si>
  <si>
    <t>IC1127</t>
  </si>
  <si>
    <t>15h34m57.2s</t>
  </si>
  <si>
    <t>+23h30m9s</t>
  </si>
  <si>
    <t>IC1128</t>
  </si>
  <si>
    <t>15h37m52.8s</t>
  </si>
  <si>
    <t>-1h44m5s</t>
  </si>
  <si>
    <t>IC1129</t>
  </si>
  <si>
    <t>15h32m0.8s</t>
  </si>
  <si>
    <t>+68h14m48s</t>
  </si>
  <si>
    <t>very faint, pretty small, irregularly round, double star to northeast</t>
  </si>
  <si>
    <t>vF, pS, iR, D * nf</t>
  </si>
  <si>
    <t>IC1130</t>
  </si>
  <si>
    <t>15h37m44s</t>
  </si>
  <si>
    <t>+17h14m40s</t>
  </si>
  <si>
    <t>vF (? another 2' sp?), * 8.7 f</t>
  </si>
  <si>
    <t>IC1131</t>
  </si>
  <si>
    <t>15h38m51.6s</t>
  </si>
  <si>
    <t>+12h4m52s</t>
  </si>
  <si>
    <t>pF, vS, R, stellar, II. 76 np</t>
  </si>
  <si>
    <t>IC1132</t>
  </si>
  <si>
    <t>15h40m6.7s</t>
  </si>
  <si>
    <t>+20h40m49s</t>
  </si>
  <si>
    <t>IC1133</t>
  </si>
  <si>
    <t>15h41m12s</t>
  </si>
  <si>
    <t>+15h34m24s</t>
  </si>
  <si>
    <t>IC1134</t>
  </si>
  <si>
    <t>15h44m58.4s</t>
  </si>
  <si>
    <t>+16h57m46s</t>
  </si>
  <si>
    <t>IC1135</t>
  </si>
  <si>
    <t>15h45m34.7s</t>
  </si>
  <si>
    <t>+17h42m0s</t>
  </si>
  <si>
    <t>IC1136</t>
  </si>
  <si>
    <t>15h47m34.3s</t>
  </si>
  <si>
    <t>IC1137</t>
  </si>
  <si>
    <t>15h48m32.6s</t>
  </si>
  <si>
    <t>+8h35m17s</t>
  </si>
  <si>
    <t>vF, S, R, * 9 close np</t>
  </si>
  <si>
    <t>IC1138</t>
  </si>
  <si>
    <t>15h48m15.8s</t>
  </si>
  <si>
    <t>+26h12m22s</t>
  </si>
  <si>
    <t>IC1139</t>
  </si>
  <si>
    <t>15h29m26s</t>
  </si>
  <si>
    <t>+82h35m4s</t>
  </si>
  <si>
    <t>IC1140</t>
  </si>
  <si>
    <t>15h49m25.3s</t>
  </si>
  <si>
    <t>+19h6m52s</t>
  </si>
  <si>
    <t>vF (? S Cl), * 9.5 close</t>
  </si>
  <si>
    <t>IC1141</t>
  </si>
  <si>
    <t>15h49m47s</t>
  </si>
  <si>
    <t>+12h23m57s</t>
  </si>
  <si>
    <t>IC1142</t>
  </si>
  <si>
    <t>15h50m25.9s</t>
  </si>
  <si>
    <t>+18h8m24s</t>
  </si>
  <si>
    <t>IC1143</t>
  </si>
  <si>
    <t>15h30m55.8s</t>
  </si>
  <si>
    <t>+82h27m23s</t>
  </si>
  <si>
    <t>pretty faint, very small, round, star near</t>
  </si>
  <si>
    <t>pF, vS, R, * nr</t>
  </si>
  <si>
    <t>IC1144</t>
  </si>
  <si>
    <t>15h51m21.6s</t>
  </si>
  <si>
    <t>+43h25m6s</t>
  </si>
  <si>
    <t>most extremely faint, very small, round, star to southeast</t>
  </si>
  <si>
    <t>eeF, vS, R, * sf</t>
  </si>
  <si>
    <t>IC1145</t>
  </si>
  <si>
    <t>15h44m8.3s</t>
  </si>
  <si>
    <t>+72h25m51s</t>
  </si>
  <si>
    <t>eeF, pS, R, III. 313 nr</t>
  </si>
  <si>
    <t>IC1146</t>
  </si>
  <si>
    <t>15h48m22s</t>
  </si>
  <si>
    <t>+69h23m10s</t>
  </si>
  <si>
    <t>very faint, pretty small, round, 2 stars near, southwestern of 2</t>
  </si>
  <si>
    <t>vF, pS, R, 2 st nr, sp of 2</t>
  </si>
  <si>
    <t>IC1147</t>
  </si>
  <si>
    <t>15h50m11.5s</t>
  </si>
  <si>
    <t>+69h33m36s</t>
  </si>
  <si>
    <t>IC1148</t>
  </si>
  <si>
    <t>IC1149</t>
  </si>
  <si>
    <t>15h58m7.9s</t>
  </si>
  <si>
    <t>+12h4m11s</t>
  </si>
  <si>
    <t>most extremely faint, pretty small, round, among 4 stars, very difficult</t>
  </si>
  <si>
    <t>eeF, pS, R, am 4 st, v diffic</t>
  </si>
  <si>
    <t>IC1150</t>
  </si>
  <si>
    <t>15h58m18s</t>
  </si>
  <si>
    <t>+15h52m30s</t>
  </si>
  <si>
    <t>2 S st in F neby</t>
  </si>
  <si>
    <t>IC1151</t>
  </si>
  <si>
    <t>15h58m32.3s</t>
  </si>
  <si>
    <t>+17h26m27s</t>
  </si>
  <si>
    <t>IC1152</t>
  </si>
  <si>
    <t>15h56m43.2s</t>
  </si>
  <si>
    <t>+48h5m41s</t>
  </si>
  <si>
    <t>very faint, small, round, southwestern of 2</t>
  </si>
  <si>
    <t>vF, S, R, sp of 2</t>
  </si>
  <si>
    <t>IC1153</t>
  </si>
  <si>
    <t>15h57m3.1s</t>
  </si>
  <si>
    <t>+48h10m7s</t>
  </si>
  <si>
    <t>pretty faint, pretty small, round, brighter middle, star to northeast, northeastern of 2</t>
  </si>
  <si>
    <t>pF, pS, R, bM, * nf, nf of 2</t>
  </si>
  <si>
    <t>IC1154</t>
  </si>
  <si>
    <t>15h52m28.5s</t>
  </si>
  <si>
    <t>+70h22m32s</t>
  </si>
  <si>
    <t>IC1155</t>
  </si>
  <si>
    <t>16h0m35.7s</t>
  </si>
  <si>
    <t>+15h41m9s</t>
  </si>
  <si>
    <t>IC1156</t>
  </si>
  <si>
    <t>16h0m37.3s</t>
  </si>
  <si>
    <t>+19h43m26s</t>
  </si>
  <si>
    <t>most extremely faint, pretty small, a little extended, 2 stars near</t>
  </si>
  <si>
    <t>eeF, pS, lE, 2 st nr</t>
  </si>
  <si>
    <t>IC1157</t>
  </si>
  <si>
    <t>16h0m56.2s</t>
  </si>
  <si>
    <t>+15h31m36s</t>
  </si>
  <si>
    <t>IC1158</t>
  </si>
  <si>
    <t>16h1m34.2s</t>
  </si>
  <si>
    <t>+1h42m27s</t>
  </si>
  <si>
    <t>most extremely faint, pretty large, irregularly round</t>
  </si>
  <si>
    <t>eeF, pL, iR</t>
  </si>
  <si>
    <t>IC1159</t>
  </si>
  <si>
    <t>16h1m1.5s</t>
  </si>
  <si>
    <t>+15h25m11s</t>
  </si>
  <si>
    <t>IC1160</t>
  </si>
  <si>
    <t>16h1m2.6s</t>
  </si>
  <si>
    <t>+15h29m42s</t>
  </si>
  <si>
    <t>IC1161</t>
  </si>
  <si>
    <t>16h1m16.7s</t>
  </si>
  <si>
    <t>+15h38m45s</t>
  </si>
  <si>
    <t>faint, very small, round, very small nucleus</t>
  </si>
  <si>
    <t>F, vS, R, vSN</t>
  </si>
  <si>
    <t>IC1162</t>
  </si>
  <si>
    <t>16h1m16.3s</t>
  </si>
  <si>
    <t>+17h40m39s</t>
  </si>
  <si>
    <t>vF, vS, R, diffic (another susp)</t>
  </si>
  <si>
    <t>IC1163</t>
  </si>
  <si>
    <t>16h1m30.6s</t>
  </si>
  <si>
    <t>+15h30m16s</t>
  </si>
  <si>
    <t>faint, round, very small nucleus</t>
  </si>
  <si>
    <t>F, R, vSN</t>
  </si>
  <si>
    <t>IC1164</t>
  </si>
  <si>
    <t>15h55m2.8s</t>
  </si>
  <si>
    <t>+70h35m13s</t>
  </si>
  <si>
    <t>* 13 with neb ?</t>
  </si>
  <si>
    <t>IC1165</t>
  </si>
  <si>
    <t>16h2m7.9s</t>
  </si>
  <si>
    <t>+15h41m47s</t>
  </si>
  <si>
    <t>IC1166</t>
  </si>
  <si>
    <t>16h2m8.9s</t>
  </si>
  <si>
    <t>+26h19m30s</t>
  </si>
  <si>
    <t>vF, vS, vF * nf</t>
  </si>
  <si>
    <t>IC1167</t>
  </si>
  <si>
    <t>16h3m52.9s</t>
  </si>
  <si>
    <t>+14h56m46s</t>
  </si>
  <si>
    <t>IC1168</t>
  </si>
  <si>
    <t>16h3m55.6s</t>
  </si>
  <si>
    <t>+14h54m11s</t>
  </si>
  <si>
    <t>pF, vS, iF, D?, 3 F st n</t>
  </si>
  <si>
    <t>IC1169</t>
  </si>
  <si>
    <t>16h4m13.4s</t>
  </si>
  <si>
    <t>+13h44m39s</t>
  </si>
  <si>
    <t>IC1170</t>
  </si>
  <si>
    <t>16h4m31.6s</t>
  </si>
  <si>
    <t>vF, vS, vSFN, 6041 f</t>
  </si>
  <si>
    <t>IC1171</t>
  </si>
  <si>
    <t>16h4m51.9s</t>
  </si>
  <si>
    <t>+17h58m43s</t>
  </si>
  <si>
    <t>Neb * ?</t>
  </si>
  <si>
    <t>IC1172</t>
  </si>
  <si>
    <t>vF, S, stellar N</t>
  </si>
  <si>
    <t>IC1173</t>
  </si>
  <si>
    <t>16h5m12.7s</t>
  </si>
  <si>
    <t>+17h25m21s</t>
  </si>
  <si>
    <t>pretty faint, small, irregular figure, gradually brighter middle, mottled but not resolved</t>
  </si>
  <si>
    <t>pF, S, iF, gbM, r</t>
  </si>
  <si>
    <t>IC1174</t>
  </si>
  <si>
    <t>16h5m26.9s</t>
  </si>
  <si>
    <t>+15h1m31s</t>
  </si>
  <si>
    <t>pF, S, bMN = 12m</t>
  </si>
  <si>
    <t>IC1175</t>
  </si>
  <si>
    <t>16h5m22.7s</t>
  </si>
  <si>
    <t>+18h9m47s</t>
  </si>
  <si>
    <t>Neb object, 6055 f 2'</t>
  </si>
  <si>
    <t>IC1176</t>
  </si>
  <si>
    <t>eeF, pS, iR, 2 st nr s</t>
  </si>
  <si>
    <t>IC1177</t>
  </si>
  <si>
    <t>16h5m19.5s</t>
  </si>
  <si>
    <t>+18h18m55s</t>
  </si>
  <si>
    <t>vF, * 9.5 4' s</t>
  </si>
  <si>
    <t>IC1178</t>
  </si>
  <si>
    <t>16h5m33s</t>
  </si>
  <si>
    <t>+17h36m7s</t>
  </si>
  <si>
    <t>most extremely faint, pretty small, between 2 stars</t>
  </si>
  <si>
    <t>eeF, pS, bet 2 st</t>
  </si>
  <si>
    <t>IC1179</t>
  </si>
  <si>
    <t>eeF, pS, R [? 6054]</t>
  </si>
  <si>
    <t>IC1180</t>
  </si>
  <si>
    <t>16h5m30s</t>
  </si>
  <si>
    <t>+18h8m58s</t>
  </si>
  <si>
    <t>F * with neb ?, 6055 f</t>
  </si>
  <si>
    <t>IC1181</t>
  </si>
  <si>
    <t>16h5m33.9s</t>
  </si>
  <si>
    <t>+17h35m37s</t>
  </si>
  <si>
    <t>eeF, S, R, ‘ 12th of 12 ’</t>
  </si>
  <si>
    <t>IC1182</t>
  </si>
  <si>
    <t>16h5m36.7s</t>
  </si>
  <si>
    <t>+17h48m10s</t>
  </si>
  <si>
    <t>IC1183</t>
  </si>
  <si>
    <t>very faint, very small, stellar, 11th magnitude star 1 arcmin to southwest</t>
  </si>
  <si>
    <t>vF, vS, stellar, * 11 sp 1'</t>
  </si>
  <si>
    <t>IC1184</t>
  </si>
  <si>
    <t>16h5m42.9s</t>
  </si>
  <si>
    <t>+17h47m21s</t>
  </si>
  <si>
    <t>IC1185</t>
  </si>
  <si>
    <t>16h5m44.6s</t>
  </si>
  <si>
    <t>+17h43m2s</t>
  </si>
  <si>
    <t>* 13 with S neb</t>
  </si>
  <si>
    <t>IC1186</t>
  </si>
  <si>
    <t>16h5m44.2s</t>
  </si>
  <si>
    <t>+17h21m44s</t>
  </si>
  <si>
    <t>IC1187</t>
  </si>
  <si>
    <t>15h59m10.1s</t>
  </si>
  <si>
    <t>+70h33m27s</t>
  </si>
  <si>
    <t>IC1188</t>
  </si>
  <si>
    <t>16h6m7.3s</t>
  </si>
  <si>
    <t>+17h27m37s</t>
  </si>
  <si>
    <t>IC1189</t>
  </si>
  <si>
    <t>SB0-a  R</t>
  </si>
  <si>
    <t>16h6m14.6s</t>
  </si>
  <si>
    <t>+18h10m57s</t>
  </si>
  <si>
    <t>most extremely faint, pretty small, irregularly round, between 2 stars</t>
  </si>
  <si>
    <t>eeF, pS, iR, bet 2 st</t>
  </si>
  <si>
    <t>IC1190</t>
  </si>
  <si>
    <t>16h5m52.4s</t>
  </si>
  <si>
    <t>+18h13m14s</t>
  </si>
  <si>
    <t>eeF, S, R, 6061 nr</t>
  </si>
  <si>
    <t>IC1191</t>
  </si>
  <si>
    <t>16h6m28.9s</t>
  </si>
  <si>
    <t>+18h16m8s</t>
  </si>
  <si>
    <t>IC1192</t>
  </si>
  <si>
    <t>16h6m33s</t>
  </si>
  <si>
    <t>+17h46m34s</t>
  </si>
  <si>
    <t>very faint, small, irregular figure, diffuse</t>
  </si>
  <si>
    <t>vF, S, iF, dif</t>
  </si>
  <si>
    <t>IC1193</t>
  </si>
  <si>
    <t>16h6m32.2s</t>
  </si>
  <si>
    <t>+17h42m50s</t>
  </si>
  <si>
    <t>IC1194</t>
  </si>
  <si>
    <t>16h6m38.7s</t>
  </si>
  <si>
    <t>+17h47m0s</t>
  </si>
  <si>
    <t>IC1195</t>
  </si>
  <si>
    <t>16h6m40.8s</t>
  </si>
  <si>
    <t>+17h11m31s</t>
  </si>
  <si>
    <t>IC1196</t>
  </si>
  <si>
    <t>16h7m58.4s</t>
  </si>
  <si>
    <t>+10h46m48s</t>
  </si>
  <si>
    <t>eeF, nr p * of 3 in line</t>
  </si>
  <si>
    <t>IC1197</t>
  </si>
  <si>
    <t>16h8m17.3s</t>
  </si>
  <si>
    <t>+7h32m21s</t>
  </si>
  <si>
    <t>L, mE, * att nf</t>
  </si>
  <si>
    <t>IC1198</t>
  </si>
  <si>
    <t>16h8m36.3s</t>
  </si>
  <si>
    <t>+12h19m50s</t>
  </si>
  <si>
    <t>IC1199</t>
  </si>
  <si>
    <t>16h10m34.4s</t>
  </si>
  <si>
    <t>+10h2m24s</t>
  </si>
  <si>
    <t>eeF, S, E, * 9.5 f 9s</t>
  </si>
  <si>
    <t>IC1200</t>
  </si>
  <si>
    <t>pF, pS, lE, * 12 nr [? = B 207]</t>
  </si>
  <si>
    <t>IC1201</t>
  </si>
  <si>
    <t>Sb     R</t>
  </si>
  <si>
    <t>16h5m41.5s</t>
  </si>
  <si>
    <t>+69h35m38s</t>
  </si>
  <si>
    <t>most extremely faint, pretty small, irregularly round, very difficult</t>
  </si>
  <si>
    <t>eeF, pS, iR, v diffic</t>
  </si>
  <si>
    <t>IC1202</t>
  </si>
  <si>
    <t>IC1203</t>
  </si>
  <si>
    <t>16h15m16s</t>
  </si>
  <si>
    <t>-22h20m18s</t>
  </si>
  <si>
    <t>IC1204</t>
  </si>
  <si>
    <t>16h7m15.3s</t>
  </si>
  <si>
    <t>+69h55m54s</t>
  </si>
  <si>
    <t>vF, S, stell N, * 11 f 3'</t>
  </si>
  <si>
    <t>IC1205</t>
  </si>
  <si>
    <t>16h14m15.8s</t>
  </si>
  <si>
    <t>+9h32m15s</t>
  </si>
  <si>
    <t>faint, small, a little extended, star to west</t>
  </si>
  <si>
    <t>F, S, lE, * p</t>
  </si>
  <si>
    <t>IC1206</t>
  </si>
  <si>
    <t>16h15m13s</t>
  </si>
  <si>
    <t>+11h17m50s</t>
  </si>
  <si>
    <t>IC1207</t>
  </si>
  <si>
    <t>16h19m26s</t>
  </si>
  <si>
    <t>-29h38m36s</t>
  </si>
  <si>
    <t>IC1208</t>
  </si>
  <si>
    <t>16h15m47.8s</t>
  </si>
  <si>
    <t>+36h31m39s</t>
  </si>
  <si>
    <t>vF, * 7 105" n</t>
  </si>
  <si>
    <t>IC1209</t>
  </si>
  <si>
    <t>16h18m39.5s</t>
  </si>
  <si>
    <t>+15h33m32s</t>
  </si>
  <si>
    <t>pretty faint, very small, round, brighter middle, mottled but not resolved</t>
  </si>
  <si>
    <t>pF, vS, R, bM, r</t>
  </si>
  <si>
    <t>IC1210</t>
  </si>
  <si>
    <t>16h14m30s</t>
  </si>
  <si>
    <t>+62h32m10s</t>
  </si>
  <si>
    <t>very faint, very small, a little extended, mottled but not resolved</t>
  </si>
  <si>
    <t>vF, vS, lE, r</t>
  </si>
  <si>
    <t>IC1211</t>
  </si>
  <si>
    <t>16h16m51.9s</t>
  </si>
  <si>
    <t>+53h0m22s</t>
  </si>
  <si>
    <t>IC1212</t>
  </si>
  <si>
    <t>16h15m30.7s</t>
  </si>
  <si>
    <t>+64h13m31s</t>
  </si>
  <si>
    <t>eeF, pS, R, 3 st n in line</t>
  </si>
  <si>
    <t>IC1213</t>
  </si>
  <si>
    <t>IC1214</t>
  </si>
  <si>
    <t>16h16m11.4s</t>
  </si>
  <si>
    <t>+65h58m7s</t>
  </si>
  <si>
    <t>IC1215</t>
  </si>
  <si>
    <t>16h15m35s</t>
  </si>
  <si>
    <t>+68h23m50s</t>
  </si>
  <si>
    <t>very faint, small, round, 1st of 3</t>
  </si>
  <si>
    <t>vF, S, R, 1st of 3</t>
  </si>
  <si>
    <t>IC1216</t>
  </si>
  <si>
    <t>16h15m55.3s</t>
  </si>
  <si>
    <t>+68h20m58s</t>
  </si>
  <si>
    <t>most extremely faint, pretty small, round, 2nd of 3</t>
  </si>
  <si>
    <t>eeF, pS, R, 2nd of 3</t>
  </si>
  <si>
    <t>IC1217</t>
  </si>
  <si>
    <t>16h16m3.7s</t>
  </si>
  <si>
    <t>+69h40m35s</t>
  </si>
  <si>
    <t>IC1218</t>
  </si>
  <si>
    <t>16h16m37.3s</t>
  </si>
  <si>
    <t>+68h12m11s</t>
  </si>
  <si>
    <t>IC1219</t>
  </si>
  <si>
    <t>16h24m27.4s</t>
  </si>
  <si>
    <t>+19h29m1s</t>
  </si>
  <si>
    <t>F, S, E pF, lbM</t>
  </si>
  <si>
    <t>IC1220</t>
  </si>
  <si>
    <t>16h29m38.2s</t>
  </si>
  <si>
    <t>+8h27m2s</t>
  </si>
  <si>
    <t>most extremely faint, pretty small, extended</t>
  </si>
  <si>
    <t>eeF, pS, E</t>
  </si>
  <si>
    <t>IC1221</t>
  </si>
  <si>
    <t>16h34m41.5s</t>
  </si>
  <si>
    <t>+46h23m30s</t>
  </si>
  <si>
    <t>most extremely faint, pretty small, extended, western of 2</t>
  </si>
  <si>
    <t>eeF, pS, E, p of 2</t>
  </si>
  <si>
    <t>IC1222</t>
  </si>
  <si>
    <t>16h35m9s</t>
  </si>
  <si>
    <t>+46h12m49s</t>
  </si>
  <si>
    <t>most extremely faint, pretty large, round, eastern of 2</t>
  </si>
  <si>
    <t>eeF, pL, R, f of 2</t>
  </si>
  <si>
    <t>IC1223</t>
  </si>
  <si>
    <t>16h35m42.4s</t>
  </si>
  <si>
    <t>+49h13m16s</t>
  </si>
  <si>
    <t>eeF, pS, R, bet 2 dist F st</t>
  </si>
  <si>
    <t>IC1224</t>
  </si>
  <si>
    <t>16h42m56.2s</t>
  </si>
  <si>
    <t>+19h15m18s</t>
  </si>
  <si>
    <t>IC1225</t>
  </si>
  <si>
    <t>16h36m52.3s</t>
  </si>
  <si>
    <t>+67h37m45s</t>
  </si>
  <si>
    <t>eeF, vS, 2 or 3 F st inv, * p</t>
  </si>
  <si>
    <t>IC1226</t>
  </si>
  <si>
    <t>16h41m6.5s</t>
  </si>
  <si>
    <t>+46h0m14s</t>
  </si>
  <si>
    <t>eF, S, R, forms arc with 4 st</t>
  </si>
  <si>
    <t>IC1227</t>
  </si>
  <si>
    <t>vF, S, R, stellar N</t>
  </si>
  <si>
    <t>IC1228</t>
  </si>
  <si>
    <t>16h42m6.4s</t>
  </si>
  <si>
    <t>+65h35m8s</t>
  </si>
  <si>
    <t>vF, pS * n, 4 st in curve s</t>
  </si>
  <si>
    <t>IC1229</t>
  </si>
  <si>
    <t>16h44m58.7s</t>
  </si>
  <si>
    <t>+51h18m29s</t>
  </si>
  <si>
    <t>most extremely faint, pretty small, very difficult, northwestern of 2</t>
  </si>
  <si>
    <t>eeF, pS, v diffic, np of 2</t>
  </si>
  <si>
    <t>IC1230</t>
  </si>
  <si>
    <t>16h45m1.4s</t>
  </si>
  <si>
    <t>+51h15m36s</t>
  </si>
  <si>
    <t>eeF, L, R, v diffic, sf of 2</t>
  </si>
  <si>
    <t>IC1231</t>
  </si>
  <si>
    <t>16h46m59.1s</t>
  </si>
  <si>
    <t>+58h25m22s</t>
  </si>
  <si>
    <t>eeF, L, R, pB * sp</t>
  </si>
  <si>
    <t>IC1232</t>
  </si>
  <si>
    <t>16h49m42s</t>
  </si>
  <si>
    <t>+46h5m22s</t>
  </si>
  <si>
    <t>most extremely faint, small, irregularly round, bright star to the southeast</t>
  </si>
  <si>
    <t>eeF, S, iR, B * sf</t>
  </si>
  <si>
    <t>IC1233</t>
  </si>
  <si>
    <t>16h48m24s</t>
  </si>
  <si>
    <t>+63h8m0s</t>
  </si>
  <si>
    <t>extremely faint, very small, very extended, between 2 stars [= 6247?]</t>
  </si>
  <si>
    <t>eF, vS, vE, bet 2 st [= 6247 ?]</t>
  </si>
  <si>
    <t>IC1234</t>
  </si>
  <si>
    <t>16h52m50.6s</t>
  </si>
  <si>
    <t>+56h52m42s</t>
  </si>
  <si>
    <t>vF, sev st in neb ?</t>
  </si>
  <si>
    <t>IC1235</t>
  </si>
  <si>
    <t>16h52m3.1s</t>
  </si>
  <si>
    <t>+63h6m58s</t>
  </si>
  <si>
    <t>vF, dif, pS, * 8 nf 3'</t>
  </si>
  <si>
    <t>IC1236</t>
  </si>
  <si>
    <t>16h58m29.7s</t>
  </si>
  <si>
    <t>+20h2m27s</t>
  </si>
  <si>
    <t>extremely faint, pretty small, very little extended, very faint star close to west</t>
  </si>
  <si>
    <t>eF, pS, vlE, vF * close p</t>
  </si>
  <si>
    <t>IC1237</t>
  </si>
  <si>
    <t>16h56m15.9s</t>
  </si>
  <si>
    <t>+55h1m37s</t>
  </si>
  <si>
    <t>IC1238</t>
  </si>
  <si>
    <t>17h0m30.3s</t>
  </si>
  <si>
    <t>+23h4m36s</t>
  </si>
  <si>
    <t>eF (not obs by St)</t>
  </si>
  <si>
    <t>IC1239</t>
  </si>
  <si>
    <t>eF, eF stell N [6276 ?]</t>
  </si>
  <si>
    <t>IC1240</t>
  </si>
  <si>
    <t>17h0m59.7s</t>
  </si>
  <si>
    <t>+61h3m0s</t>
  </si>
  <si>
    <t>suspected nebula, 3' northeast 8th magnitude star</t>
  </si>
  <si>
    <t>Susp neb, 3' nf * 8.7</t>
  </si>
  <si>
    <t>IC1241</t>
  </si>
  <si>
    <t>17h1m28.1s</t>
  </si>
  <si>
    <t>+63h41m28s</t>
  </si>
  <si>
    <t>IC1242</t>
  </si>
  <si>
    <t>17h8m42.9s</t>
  </si>
  <si>
    <t>+4h2m59s</t>
  </si>
  <si>
    <t>very small, round, very little brighter middle</t>
  </si>
  <si>
    <t>vS, R, vlbM</t>
  </si>
  <si>
    <t>IC1243</t>
  </si>
  <si>
    <t>17h10m24.5s</t>
  </si>
  <si>
    <t>+10h46m2s</t>
  </si>
  <si>
    <t>pretty faint, pretty small, much extended, mottled but not resolved</t>
  </si>
  <si>
    <t>pF, pS, mE, r</t>
  </si>
  <si>
    <t>IC1244</t>
  </si>
  <si>
    <t>17h10m33.6s</t>
  </si>
  <si>
    <t>+36h18m14s</t>
  </si>
  <si>
    <t>IC1245</t>
  </si>
  <si>
    <t>17h12m36.8s</t>
  </si>
  <si>
    <t>+38h1m13s</t>
  </si>
  <si>
    <t>extremely faint, small, round, brighter middle, faint star close to south</t>
  </si>
  <si>
    <t>eF, S, R, bM, F * close s</t>
  </si>
  <si>
    <t>IC1246</t>
  </si>
  <si>
    <t>17h14m12.4s</t>
  </si>
  <si>
    <t>+20h14m13s</t>
  </si>
  <si>
    <t>Neb * 13 ? * 10 n 1'</t>
  </si>
  <si>
    <t>IC1247</t>
  </si>
  <si>
    <t>17h16m22s</t>
  </si>
  <si>
    <t>Stellar, * 9.8 sp 0'.7</t>
  </si>
  <si>
    <t>IC1248</t>
  </si>
  <si>
    <t>17h11m39.9s</t>
  </si>
  <si>
    <t>+59h59m42s</t>
  </si>
  <si>
    <t>eeF, pS, R, bet 2 st p &amp; f</t>
  </si>
  <si>
    <t>IC1249</t>
  </si>
  <si>
    <t>17h14m54.9s</t>
  </si>
  <si>
    <t>+35h31m14s</t>
  </si>
  <si>
    <t>eeF, pS, R, v diffic, 4 st s</t>
  </si>
  <si>
    <t>IC1250</t>
  </si>
  <si>
    <t>17h14m29s</t>
  </si>
  <si>
    <t>+57h25m2s</t>
  </si>
  <si>
    <t>pretty faint, small, considerably extended</t>
  </si>
  <si>
    <t>pF, S, cE</t>
  </si>
  <si>
    <t>IC1251</t>
  </si>
  <si>
    <t>17h10m12.9s</t>
  </si>
  <si>
    <t>+72h24m35s</t>
  </si>
  <si>
    <t>eeF, pS, R, sp of 2, II. 767 nr</t>
  </si>
  <si>
    <t>IC1252</t>
  </si>
  <si>
    <t>17h15m50s</t>
  </si>
  <si>
    <t>+57h22m1s</t>
  </si>
  <si>
    <t>very faint, pretty small, 12.5 magnitude star very close</t>
  </si>
  <si>
    <t>vF, pS, * 12.5 v close</t>
  </si>
  <si>
    <t>IC1253</t>
  </si>
  <si>
    <t>IC1254</t>
  </si>
  <si>
    <t>17h11m33.3s</t>
  </si>
  <si>
    <t>+72h24m6s</t>
  </si>
  <si>
    <t>most extremely faint, pretty small, round, northeastern of 2, very difficult</t>
  </si>
  <si>
    <t>eeF, pS, R, nf of 2, v diffic</t>
  </si>
  <si>
    <t>IC1255</t>
  </si>
  <si>
    <t>17h23m5.4s</t>
  </si>
  <si>
    <t>+12h41m46s</t>
  </si>
  <si>
    <t>vF, pS, R, forms trap with 3 st</t>
  </si>
  <si>
    <t>IC1256</t>
  </si>
  <si>
    <t>17h23m47.3s</t>
  </si>
  <si>
    <t>+26h29m11s</t>
  </si>
  <si>
    <t>IC1257</t>
  </si>
  <si>
    <t>17h27m8.4s</t>
  </si>
  <si>
    <t>-7h5m37s</t>
  </si>
  <si>
    <t>IC1258</t>
  </si>
  <si>
    <t>17h27m17.2s</t>
  </si>
  <si>
    <t>+58h29m7s</t>
  </si>
  <si>
    <t>pretty bright, pretty small, round, 1st of 3</t>
  </si>
  <si>
    <t>pB, pS, R, 1st of 3</t>
  </si>
  <si>
    <t>IC1259</t>
  </si>
  <si>
    <t>17h27m26.7s</t>
  </si>
  <si>
    <t>+58h30m59s</t>
  </si>
  <si>
    <t>pretty bright, pretty small, round, 2nd of 3</t>
  </si>
  <si>
    <t>pB, pS, R, 2nd of 3</t>
  </si>
  <si>
    <t>IC1260</t>
  </si>
  <si>
    <t>17h27m31.6s</t>
  </si>
  <si>
    <t>+58h28m35s</t>
  </si>
  <si>
    <t>IC1261</t>
  </si>
  <si>
    <t>17h23m20.7s</t>
  </si>
  <si>
    <t>+71h15m50s</t>
  </si>
  <si>
    <t>IC1262</t>
  </si>
  <si>
    <t>17h33m2s</t>
  </si>
  <si>
    <t>+43h45m35s</t>
  </si>
  <si>
    <t>extremely faint, pretty small, round, 1st of 3</t>
  </si>
  <si>
    <t>eF, pS, R, 1st of 3</t>
  </si>
  <si>
    <t>IC1263</t>
  </si>
  <si>
    <t>17h33m7s</t>
  </si>
  <si>
    <t>+43h49m18s</t>
  </si>
  <si>
    <t>extremely faint, pretty small, round, 2nd of 3</t>
  </si>
  <si>
    <t>eF, pS, R, 2nd of 3</t>
  </si>
  <si>
    <t>IC1264</t>
  </si>
  <si>
    <t>17h33m16.8s</t>
  </si>
  <si>
    <t>+43h37m44s</t>
  </si>
  <si>
    <t>extremely faint, pretty small, round, 3rd of 3</t>
  </si>
  <si>
    <t>eF, pS, R, 3rd of 3</t>
  </si>
  <si>
    <t>IC1265</t>
  </si>
  <si>
    <t>17h36m39.3s</t>
  </si>
  <si>
    <t>+42h5m20s</t>
  </si>
  <si>
    <t>IC1266</t>
  </si>
  <si>
    <t>17h45m35.5s</t>
  </si>
  <si>
    <t>-46h5m19s</t>
  </si>
  <si>
    <t>Stellar (gaseous spectrum)</t>
  </si>
  <si>
    <t>IC1267</t>
  </si>
  <si>
    <t>17h38m45.9s</t>
  </si>
  <si>
    <t>+59h22m21s</t>
  </si>
  <si>
    <t>IC1268</t>
  </si>
  <si>
    <t>IC1269</t>
  </si>
  <si>
    <t>17h52m5.9s</t>
  </si>
  <si>
    <t>most extremely faint, pretty large, round, 2 faint stars near</t>
  </si>
  <si>
    <t>eeF, pL, R, 2 F st nr</t>
  </si>
  <si>
    <t>IC1270</t>
  </si>
  <si>
    <t>17h47m57.3s</t>
  </si>
  <si>
    <t>+62h13m27s</t>
  </si>
  <si>
    <t>eeF, S, R, v diffic, 6488 f</t>
  </si>
  <si>
    <t>IC1271</t>
  </si>
  <si>
    <t>-24h24m38s</t>
  </si>
  <si>
    <t>extremely faint, very large, bright star involved</t>
  </si>
  <si>
    <t>eF, vL, B * inv</t>
  </si>
  <si>
    <t>IC1272</t>
  </si>
  <si>
    <t>18h4m55.8s</t>
  </si>
  <si>
    <t>+25h7m45s</t>
  </si>
  <si>
    <t>a small cluster</t>
  </si>
  <si>
    <t>S Cl</t>
  </si>
  <si>
    <t>IC1273</t>
  </si>
  <si>
    <t>18h5m3s</t>
  </si>
  <si>
    <t>+25h8m2s</t>
  </si>
  <si>
    <t>vF, S Cl with neb ? * 10 f 3'</t>
  </si>
  <si>
    <t>IC1274</t>
  </si>
  <si>
    <t>18h9m50s</t>
  </si>
  <si>
    <t>-23h38m54s</t>
  </si>
  <si>
    <t>3 st 8.5 to 9m in pL neb</t>
  </si>
  <si>
    <t>IC1275</t>
  </si>
  <si>
    <t>18h10m7s</t>
  </si>
  <si>
    <t>-23h45m42s</t>
  </si>
  <si>
    <t>2 st 8 &amp; 8.5 in pL neb</t>
  </si>
  <si>
    <t>IC1276</t>
  </si>
  <si>
    <t>18h10m45.7s</t>
  </si>
  <si>
    <t>-7h12m40s</t>
  </si>
  <si>
    <t>eeF, vL, v diffic, D * close p</t>
  </si>
  <si>
    <t>IC1277</t>
  </si>
  <si>
    <t>18h10m27.3s</t>
  </si>
  <si>
    <t>+31h0m12s</t>
  </si>
  <si>
    <t>IC1278</t>
  </si>
  <si>
    <t>18h10m41.9s</t>
  </si>
  <si>
    <t>+31h8m59s</t>
  </si>
  <si>
    <t>vF, vS, sev st susp</t>
  </si>
  <si>
    <t>IC1279</t>
  </si>
  <si>
    <t>18h11m15.4s</t>
  </si>
  <si>
    <t>+36h0m27s</t>
  </si>
  <si>
    <t>IC1280</t>
  </si>
  <si>
    <t>IC1281</t>
  </si>
  <si>
    <t>18h11m38.1s</t>
  </si>
  <si>
    <t>+35h59m52s</t>
  </si>
  <si>
    <t>eeF, S, cE, sev st nr f [? = 1279]</t>
  </si>
  <si>
    <t>IC1282</t>
  </si>
  <si>
    <t>18h14m5.3s</t>
  </si>
  <si>
    <t>+21h6m6s</t>
  </si>
  <si>
    <t>vF, 2 or 3 st susp</t>
  </si>
  <si>
    <t>IC1283</t>
  </si>
  <si>
    <t>18h17m16.7s</t>
  </si>
  <si>
    <t>-19h45m44s</t>
  </si>
  <si>
    <t>* 9.3 nebulous</t>
  </si>
  <si>
    <t>IC1284</t>
  </si>
  <si>
    <t>18h17m39.5s</t>
  </si>
  <si>
    <t>-19h40m19s</t>
  </si>
  <si>
    <t>* 7.6 in neb, 15' diam</t>
  </si>
  <si>
    <t>IC1285</t>
  </si>
  <si>
    <t>18h16m9.8s</t>
  </si>
  <si>
    <t>+25h6m8s</t>
  </si>
  <si>
    <t>IC1286</t>
  </si>
  <si>
    <t>18h16m14.4s</t>
  </si>
  <si>
    <t>+55h35m24s</t>
  </si>
  <si>
    <t>extremely faint, pretty small, round, 2 stars near</t>
  </si>
  <si>
    <t>eF, pS, R, 2 st nr</t>
  </si>
  <si>
    <t>IC1287</t>
  </si>
  <si>
    <t>18h31m26s</t>
  </si>
  <si>
    <t>-10h47m42s</t>
  </si>
  <si>
    <t>* 5.5 in L, E neb</t>
  </si>
  <si>
    <t>IC1288</t>
  </si>
  <si>
    <t>18h29m22.5s</t>
  </si>
  <si>
    <t>+39h42m50s</t>
  </si>
  <si>
    <t>very faint, small, a little extended, 3 stars near</t>
  </si>
  <si>
    <t>vF, S, lE, 3 st nr</t>
  </si>
  <si>
    <t>IC1289</t>
  </si>
  <si>
    <t>18h30m2.2s</t>
  </si>
  <si>
    <t>+39h57m53s</t>
  </si>
  <si>
    <t>most extremely faint, pretty small, a little extended, 3 stars near</t>
  </si>
  <si>
    <t>eeF, pS, lE, 3 st nr</t>
  </si>
  <si>
    <t>IC1290</t>
  </si>
  <si>
    <t>18h38m28s</t>
  </si>
  <si>
    <t>-24h6m48s</t>
  </si>
  <si>
    <t>IC1291</t>
  </si>
  <si>
    <t>18h33m52.4s</t>
  </si>
  <si>
    <t>+49h16m43s</t>
  </si>
  <si>
    <t>extremely faint, very small, round, faint star close to north</t>
  </si>
  <si>
    <t>eF, vS, R, F * close n</t>
  </si>
  <si>
    <t>IC1292</t>
  </si>
  <si>
    <t>18h44m40.3s</t>
  </si>
  <si>
    <t>-27h48m54s</t>
  </si>
  <si>
    <t>Stellar, gaseous spectrum, * 9.6 sf</t>
  </si>
  <si>
    <t>IC1293</t>
  </si>
  <si>
    <t>18h41m38s</t>
  </si>
  <si>
    <t>+56h19m2s</t>
  </si>
  <si>
    <t>eeF, S, lE, * in centre, ? D</t>
  </si>
  <si>
    <t>IC1294</t>
  </si>
  <si>
    <t>18h49m50.5s</t>
  </si>
  <si>
    <t>+40h12m33s</t>
  </si>
  <si>
    <t>most extremely faint, small, irregularly round, very difficult, faint star close to northeast</t>
  </si>
  <si>
    <t>eeF, S, iR, v diffic, F * close nf</t>
  </si>
  <si>
    <t>IC1295</t>
  </si>
  <si>
    <t>18h54m37.1s</t>
  </si>
  <si>
    <t>-8h49m35s</t>
  </si>
  <si>
    <t>pretty bright, pretty large, gradually brighter middle</t>
  </si>
  <si>
    <t>pB, pL, gbM</t>
  </si>
  <si>
    <t>IC1296</t>
  </si>
  <si>
    <t>18h53m18.8s</t>
  </si>
  <si>
    <t>eF, pS, iR, 4' np M 57</t>
  </si>
  <si>
    <t>IC1297</t>
  </si>
  <si>
    <t>19h17m23.4s</t>
  </si>
  <si>
    <t>-39h36m45s</t>
  </si>
  <si>
    <t>IC1298</t>
  </si>
  <si>
    <t>19h18m35.4s</t>
  </si>
  <si>
    <t>-1h35m46s</t>
  </si>
  <si>
    <t>vS Cl, 6778 p 3'</t>
  </si>
  <si>
    <t>IC1299</t>
  </si>
  <si>
    <t>19h22m42s</t>
  </si>
  <si>
    <t>+20h44m24s</t>
  </si>
  <si>
    <t>S Cl of vF st</t>
  </si>
  <si>
    <t>IC1300</t>
  </si>
  <si>
    <t>IC1301</t>
  </si>
  <si>
    <t>19h26m31.9s</t>
  </si>
  <si>
    <t>+50h7m33s</t>
  </si>
  <si>
    <t>most extremely faint, very small, round, 3 stars to east</t>
  </si>
  <si>
    <t>eeF, vS, R, 3 st f</t>
  </si>
  <si>
    <t>IC1302</t>
  </si>
  <si>
    <t>19h30m52.8s</t>
  </si>
  <si>
    <t>+35h47m6s</t>
  </si>
  <si>
    <t>vF, undefined</t>
  </si>
  <si>
    <t>IC1303</t>
  </si>
  <si>
    <t>19h31m30.2s</t>
  </si>
  <si>
    <t>+35h52m33s</t>
  </si>
  <si>
    <t>vF, S, with S Cl</t>
  </si>
  <si>
    <t>IC1304</t>
  </si>
  <si>
    <t>19h35m36s</t>
  </si>
  <si>
    <t>+41h6m36s</t>
  </si>
  <si>
    <t>F neby</t>
  </si>
  <si>
    <t>IC1305</t>
  </si>
  <si>
    <t>19h39m18s</t>
  </si>
  <si>
    <t>+20h11m40s</t>
  </si>
  <si>
    <t>vF, * 9.5 at sf end</t>
  </si>
  <si>
    <t>IC1306</t>
  </si>
  <si>
    <t>19h41m42s</t>
  </si>
  <si>
    <t>+37h41m30s</t>
  </si>
  <si>
    <t>Neb group of F st</t>
  </si>
  <si>
    <t>IC1307</t>
  </si>
  <si>
    <t>19h42m29s</t>
  </si>
  <si>
    <t>+27h45m6s</t>
  </si>
  <si>
    <t>faint, very large, extended north-south, star involved</t>
  </si>
  <si>
    <t>F, vL, E ns, st inv</t>
  </si>
  <si>
    <t>IC1308</t>
  </si>
  <si>
    <t>19h45m5.2s</t>
  </si>
  <si>
    <t>-14h43m17s</t>
  </si>
  <si>
    <t>eF, eS, lE, gbM, 6822 p 12s</t>
  </si>
  <si>
    <t>IC1309</t>
  </si>
  <si>
    <t>20h3m1.4s</t>
  </si>
  <si>
    <t>-17h13m57s</t>
  </si>
  <si>
    <t>IC1310</t>
  </si>
  <si>
    <t>20h10m1s</t>
  </si>
  <si>
    <t>+34h58m6s</t>
  </si>
  <si>
    <t>IC1311</t>
  </si>
  <si>
    <t>II3rn</t>
  </si>
  <si>
    <t>20h10m48s</t>
  </si>
  <si>
    <t>+41h10m24s</t>
  </si>
  <si>
    <t>eF, within circle of st</t>
  </si>
  <si>
    <t>IC1312</t>
  </si>
  <si>
    <t>20h16m51.5s</t>
  </si>
  <si>
    <t>+18h2m45s</t>
  </si>
  <si>
    <t>IC1313</t>
  </si>
  <si>
    <t>20h18m43.6s</t>
  </si>
  <si>
    <t>-16h56m46s</t>
  </si>
  <si>
    <t>faint, very small, round, 13th magnitude star close</t>
  </si>
  <si>
    <t>F, vS, R, * 13 close</t>
  </si>
  <si>
    <t>IC1314</t>
  </si>
  <si>
    <t>20h17m47s</t>
  </si>
  <si>
    <t>+25h5m48s</t>
  </si>
  <si>
    <t>F, pL, partly resolved</t>
  </si>
  <si>
    <t>IC1315</t>
  </si>
  <si>
    <t>20h17m21.7s</t>
  </si>
  <si>
    <t>+30h41m17s</t>
  </si>
  <si>
    <t>* 13 with eF neb?</t>
  </si>
  <si>
    <t>IC1316</t>
  </si>
  <si>
    <t>20h22m25.8s</t>
  </si>
  <si>
    <t>+6h30m6s</t>
  </si>
  <si>
    <t>extremely faint nebula, suspected</t>
  </si>
  <si>
    <t>eF neb, suspected</t>
  </si>
  <si>
    <t>IC1317</t>
  </si>
  <si>
    <t>20h23m15.5s</t>
  </si>
  <si>
    <t>+0h39m53s</t>
  </si>
  <si>
    <t>Planetary = * 12, diam 10"-15"</t>
  </si>
  <si>
    <t>IC1318</t>
  </si>
  <si>
    <t>天津一星云</t>
  </si>
  <si>
    <t>20h22m14s</t>
  </si>
  <si>
    <t>+40h15m24s</t>
  </si>
  <si>
    <t>γ Cygni, surrounded by L patches of F neby</t>
  </si>
  <si>
    <t>IC1319</t>
  </si>
  <si>
    <t>20h26m1.2s</t>
  </si>
  <si>
    <t>-18h30m15s</t>
  </si>
  <si>
    <t>pretty faint, very small, round, mottled but not resolved</t>
  </si>
  <si>
    <t>pF, vS, R, r</t>
  </si>
  <si>
    <t>IC1320</t>
  </si>
  <si>
    <t>20h26m25.7s</t>
  </si>
  <si>
    <t>+2h54m34s</t>
  </si>
  <si>
    <t>IC1321</t>
  </si>
  <si>
    <t>20h28m11s</t>
  </si>
  <si>
    <t>-18h17m31s</t>
  </si>
  <si>
    <t>IC1322</t>
  </si>
  <si>
    <t>20h30m8.4s</t>
  </si>
  <si>
    <t>-15h13m40s</t>
  </si>
  <si>
    <t>IC1323</t>
  </si>
  <si>
    <t>20h30m29.7s</t>
  </si>
  <si>
    <t>-15h10m57s</t>
  </si>
  <si>
    <t>vS neb *</t>
  </si>
  <si>
    <t>IC1324</t>
  </si>
  <si>
    <t>20h32m12.2s</t>
  </si>
  <si>
    <t>-9h3m20s</t>
  </si>
  <si>
    <t>eeF, S, R, * 8m s</t>
  </si>
  <si>
    <t>IC1325</t>
  </si>
  <si>
    <t>very faint, small, several faint stars involved, southwestern of 2</t>
  </si>
  <si>
    <t>vF, S, sev F st inv, sp of 2</t>
  </si>
  <si>
    <t>IC1326</t>
  </si>
  <si>
    <t>eeF, S, mE, pF * s, nf of 2</t>
  </si>
  <si>
    <t>IC1327</t>
  </si>
  <si>
    <t>20h35m41.3s</t>
  </si>
  <si>
    <t>-0h0m19s</t>
  </si>
  <si>
    <t>vF, * 8 1' f</t>
  </si>
  <si>
    <t>IC1328</t>
  </si>
  <si>
    <t>20h41m57s</t>
  </si>
  <si>
    <t>-19h37m59s</t>
  </si>
  <si>
    <t>faint, small, very faint star close</t>
  </si>
  <si>
    <t>F, S, vF * close</t>
  </si>
  <si>
    <t>IC1329</t>
  </si>
  <si>
    <t>20h43m42.3s</t>
  </si>
  <si>
    <t>+15h35m16s</t>
  </si>
  <si>
    <t>eeF, pL, R, bet 4 st, v diffic</t>
  </si>
  <si>
    <t>IC1330</t>
  </si>
  <si>
    <t>20h46m14.8s</t>
  </si>
  <si>
    <t>-14h1m22s</t>
  </si>
  <si>
    <t>IC1331</t>
  </si>
  <si>
    <t>20h47m48.8s</t>
  </si>
  <si>
    <t>-9h59m44s</t>
  </si>
  <si>
    <t>IC1332</t>
  </si>
  <si>
    <t>20h51m51.3s</t>
  </si>
  <si>
    <t>-13h42m40s</t>
  </si>
  <si>
    <t>IC1333</t>
  </si>
  <si>
    <t>20h52m17.1s</t>
  </si>
  <si>
    <t>-16h17m9s</t>
  </si>
  <si>
    <t>faint, small, gradually brighter middle, mottled but not resolved</t>
  </si>
  <si>
    <t>IC1334</t>
  </si>
  <si>
    <t>IC1335</t>
  </si>
  <si>
    <t>20h53m6s</t>
  </si>
  <si>
    <t>-16h20m6s</t>
  </si>
  <si>
    <t>IC1336</t>
  </si>
  <si>
    <t>20h55m5s</t>
  </si>
  <si>
    <t>-18h2m19s</t>
  </si>
  <si>
    <t>very faint, small, diffuse, faint star to east</t>
  </si>
  <si>
    <t>vF, S, dif, F * f</t>
  </si>
  <si>
    <t>IC1337</t>
  </si>
  <si>
    <t>20h56m52.6s</t>
  </si>
  <si>
    <t>-16h35m6s</t>
  </si>
  <si>
    <t>IC1338</t>
  </si>
  <si>
    <t>20h56m57.7s</t>
  </si>
  <si>
    <t>IC1339</t>
  </si>
  <si>
    <t>20h57m55.5s</t>
  </si>
  <si>
    <t>-17h56m32s</t>
  </si>
  <si>
    <t>F, S, gbM, r</t>
  </si>
  <si>
    <t>IC1340</t>
  </si>
  <si>
    <t>20h56m8s</t>
  </si>
  <si>
    <t>+31h2m54s</t>
  </si>
  <si>
    <t>Possibly conn with h 2093</t>
  </si>
  <si>
    <t>IC1341</t>
  </si>
  <si>
    <t>21h0m16.6s</t>
  </si>
  <si>
    <t>-13h58m33s</t>
  </si>
  <si>
    <t>IC1342</t>
  </si>
  <si>
    <t>21h0m25.5s</t>
  </si>
  <si>
    <t>-14h29m42s</t>
  </si>
  <si>
    <t>very faint, very small, extended east-west, a little brighter middle</t>
  </si>
  <si>
    <t>vF, vS, E pf, lbM</t>
  </si>
  <si>
    <t>IC1343</t>
  </si>
  <si>
    <t>21h1m0.7s</t>
  </si>
  <si>
    <t>-15h24m13s</t>
  </si>
  <si>
    <t>pretty bright, very small, round, much brighter middle</t>
  </si>
  <si>
    <t>pB, vS, R, mbM</t>
  </si>
  <si>
    <t>IC1344</t>
  </si>
  <si>
    <t>21h1m16.5s</t>
  </si>
  <si>
    <t>pretty bright, pretty large, irregular figure, suddenly brighter middle</t>
  </si>
  <si>
    <t>pB, pL, iF, sbM</t>
  </si>
  <si>
    <t>IC1345</t>
  </si>
  <si>
    <t>21h1m22.1s</t>
  </si>
  <si>
    <t>-13h23m51s</t>
  </si>
  <si>
    <t>IC1346</t>
  </si>
  <si>
    <t>21h1m37.1s</t>
  </si>
  <si>
    <t>-13h57m37s</t>
  </si>
  <si>
    <t>IC1347</t>
  </si>
  <si>
    <t>21h1m44.3s</t>
  </si>
  <si>
    <t>-13h18m46s</t>
  </si>
  <si>
    <t>IC1348</t>
  </si>
  <si>
    <t>21h1m43.9s</t>
  </si>
  <si>
    <t>-13h21m25s</t>
  </si>
  <si>
    <t>IC1349</t>
  </si>
  <si>
    <t>21h1m50.4s</t>
  </si>
  <si>
    <t>-13h15m54s</t>
  </si>
  <si>
    <t>IC1350</t>
  </si>
  <si>
    <t>21h1m52.2s</t>
  </si>
  <si>
    <t>-13h51m8s</t>
  </si>
  <si>
    <t>faint, small, irregular figure, a little brighter middle, mottled but not resolved</t>
  </si>
  <si>
    <t>F, S, iF, lbM, r</t>
  </si>
  <si>
    <t>IC1351</t>
  </si>
  <si>
    <t>21h1m52.3s</t>
  </si>
  <si>
    <t>-13h12m5s</t>
  </si>
  <si>
    <t>IC1352</t>
  </si>
  <si>
    <t>21h1m54.8s</t>
  </si>
  <si>
    <t>-13h23m4s</t>
  </si>
  <si>
    <t>IC1353</t>
  </si>
  <si>
    <t>21h1m56.3s</t>
  </si>
  <si>
    <t>-13h16m21s</t>
  </si>
  <si>
    <t>IC1354</t>
  </si>
  <si>
    <t>IC1355</t>
  </si>
  <si>
    <t>21h1m58.3s</t>
  </si>
  <si>
    <t>-13h10m21s</t>
  </si>
  <si>
    <t>IC1356</t>
  </si>
  <si>
    <t>21h2m53s</t>
  </si>
  <si>
    <t>-15h48m43s</t>
  </si>
  <si>
    <t>faint, round, suddenly brighter middle</t>
  </si>
  <si>
    <t>F, R, sbM</t>
  </si>
  <si>
    <t>IC1357</t>
  </si>
  <si>
    <t>21h5m57.2s</t>
  </si>
  <si>
    <t>-10h42m57s</t>
  </si>
  <si>
    <t>very faint, very small, irregular figure, very little brighter middle</t>
  </si>
  <si>
    <t>vF, vS, iF, vlbM</t>
  </si>
  <si>
    <t>IC1358</t>
  </si>
  <si>
    <t>21h6m29.7s</t>
  </si>
  <si>
    <t>-16h12m13s</t>
  </si>
  <si>
    <t>IC1359</t>
  </si>
  <si>
    <t>21h8m43s</t>
  </si>
  <si>
    <t>+12h29m2s</t>
  </si>
  <si>
    <t>eeF, eS, stellar, eF * att</t>
  </si>
  <si>
    <t>IC1360</t>
  </si>
  <si>
    <t>21h10m50.3s</t>
  </si>
  <si>
    <t>+5h4m18s</t>
  </si>
  <si>
    <t>faint, diffuse</t>
  </si>
  <si>
    <t>F, dif</t>
  </si>
  <si>
    <t>IC1361</t>
  </si>
  <si>
    <t>21h11m29.1s</t>
  </si>
  <si>
    <t>+5h3m17s</t>
  </si>
  <si>
    <t>IC1362</t>
  </si>
  <si>
    <t>21h11m52.6s</t>
  </si>
  <si>
    <t>+2h19m46s</t>
  </si>
  <si>
    <t>vF, vS, R, * 14 nf</t>
  </si>
  <si>
    <t>IC1363</t>
  </si>
  <si>
    <t>21h10m40s</t>
  </si>
  <si>
    <t>+46h52m12s</t>
  </si>
  <si>
    <t>F, * 9.4 at s end</t>
  </si>
  <si>
    <t>IC1364</t>
  </si>
  <si>
    <t>21h13m24.6s</t>
  </si>
  <si>
    <t>+2h46m13s</t>
  </si>
  <si>
    <t>IC1365</t>
  </si>
  <si>
    <t>ZW II 108星系群</t>
  </si>
  <si>
    <t>21h13m56s</t>
  </si>
  <si>
    <t>+2h33m55s</t>
  </si>
  <si>
    <t>eF, pS, R (Spit. another p ?)</t>
  </si>
  <si>
    <t>IC1366</t>
  </si>
  <si>
    <t>21h14m7.9s</t>
  </si>
  <si>
    <t>+1h46m36s</t>
  </si>
  <si>
    <t>F, S, iR, bet 2 st 11 &amp; 13</t>
  </si>
  <si>
    <t>IC1367</t>
  </si>
  <si>
    <t>21h14m9.6s</t>
  </si>
  <si>
    <t>+2h59m40s</t>
  </si>
  <si>
    <t>very faint, very small, round, faint star near</t>
  </si>
  <si>
    <t>vF, vS, R, F * nr</t>
  </si>
  <si>
    <t>IC1368</t>
  </si>
  <si>
    <t>21h14m12.6s</t>
  </si>
  <si>
    <t>+2h10m42s</t>
  </si>
  <si>
    <t>IC1369</t>
  </si>
  <si>
    <t>21h12m9s</t>
  </si>
  <si>
    <t>+47h46m0s</t>
  </si>
  <si>
    <t>S neb Cl of st 13m</t>
  </si>
  <si>
    <t>IC1370</t>
  </si>
  <si>
    <t>5C</t>
  </si>
  <si>
    <t>21h15m14.3s</t>
  </si>
  <si>
    <t>+2h11m32s</t>
  </si>
  <si>
    <t>very faint, 2 faint stars involved</t>
  </si>
  <si>
    <t>vF, 2 F st inv</t>
  </si>
  <si>
    <t>IC1371</t>
  </si>
  <si>
    <t>21h20m15.6s</t>
  </si>
  <si>
    <t>-4h52m34s</t>
  </si>
  <si>
    <t>faint, small, diffuse, gradually brighter middle, mottled but not resolved</t>
  </si>
  <si>
    <t>F, S, dif, gbM, r</t>
  </si>
  <si>
    <t>IC1372</t>
  </si>
  <si>
    <t>21h20m17.1s</t>
  </si>
  <si>
    <t>-5h36m17s</t>
  </si>
  <si>
    <t>very faint, very small, round, diffuse, 14th magnitude star to southeast</t>
  </si>
  <si>
    <t>vF, vS, R, dif, * 14 sf</t>
  </si>
  <si>
    <t>IC1373</t>
  </si>
  <si>
    <t>21h20m37.1s</t>
  </si>
  <si>
    <t>+1h5m35s</t>
  </si>
  <si>
    <t>F, vS, R, sbM, 2 others south</t>
  </si>
  <si>
    <t>IC1374</t>
  </si>
  <si>
    <t>21h21m2.6s</t>
  </si>
  <si>
    <t>+1h42m49s</t>
  </si>
  <si>
    <t>IC1375</t>
  </si>
  <si>
    <t>21h20m59.7s</t>
  </si>
  <si>
    <t>+3h59m9s</t>
  </si>
  <si>
    <t>faint, small, 2 faint stars involved</t>
  </si>
  <si>
    <t>F, S, 2 F st inv</t>
  </si>
  <si>
    <t>IC1376</t>
  </si>
  <si>
    <t>21h24m42s</t>
  </si>
  <si>
    <t>-5h44m34s</t>
  </si>
  <si>
    <t>IC1377</t>
  </si>
  <si>
    <t>21h25m26.8s</t>
  </si>
  <si>
    <t>+4h18m51s</t>
  </si>
  <si>
    <t>IC1378</t>
  </si>
  <si>
    <t>21h22m52s</t>
  </si>
  <si>
    <t>+55h27m50s</t>
  </si>
  <si>
    <t>faint, diffuse, faint star involved</t>
  </si>
  <si>
    <t>F, dif, F st inv</t>
  </si>
  <si>
    <t>IC1379</t>
  </si>
  <si>
    <t>21h26m1.1s</t>
  </si>
  <si>
    <t>+3h5m50s</t>
  </si>
  <si>
    <t>very faint, brighter middle, stellar</t>
  </si>
  <si>
    <t>vF, bM, stellar</t>
  </si>
  <si>
    <t>IC1380</t>
  </si>
  <si>
    <t>21h27m10.9s</t>
  </si>
  <si>
    <t>+2h43m5s</t>
  </si>
  <si>
    <t>IC1381</t>
  </si>
  <si>
    <t>21h27m33.6s</t>
  </si>
  <si>
    <t>-1h11m17s</t>
  </si>
  <si>
    <t>IC1382</t>
  </si>
  <si>
    <t>IC1383</t>
  </si>
  <si>
    <t>21h27m39.5s</t>
  </si>
  <si>
    <t>-1h6m8s</t>
  </si>
  <si>
    <t>IC1384</t>
  </si>
  <si>
    <t>21h27m53s</t>
  </si>
  <si>
    <t>-1h22m7s</t>
  </si>
  <si>
    <t>IC1385</t>
  </si>
  <si>
    <t>21h28m51.1s</t>
  </si>
  <si>
    <t>-1h4m11s</t>
  </si>
  <si>
    <t>IC1386</t>
  </si>
  <si>
    <t>21h29m37.4s</t>
  </si>
  <si>
    <t>-21h11m44s</t>
  </si>
  <si>
    <t>F, biN, or neb D *</t>
  </si>
  <si>
    <t>IC1387</t>
  </si>
  <si>
    <t>21h29m34.4s</t>
  </si>
  <si>
    <t>-1h21m2s</t>
  </si>
  <si>
    <t>pB, vS, iF</t>
  </si>
  <si>
    <t>IC1388</t>
  </si>
  <si>
    <t>21h29m52.1s</t>
  </si>
  <si>
    <t>-0h37m51s</t>
  </si>
  <si>
    <t>extremely faint, very small, 2 stars to northeast</t>
  </si>
  <si>
    <t>eF, vS, 2 st nf</t>
  </si>
  <si>
    <t>IC1389</t>
  </si>
  <si>
    <t>21h32m8s</t>
  </si>
  <si>
    <t>-18h1m9s</t>
  </si>
  <si>
    <t>IC1390</t>
  </si>
  <si>
    <t>21h32m24.9s</t>
  </si>
  <si>
    <t>-1h51m43s</t>
  </si>
  <si>
    <t>IC1391</t>
  </si>
  <si>
    <t>21h35m0.4s</t>
  </si>
  <si>
    <t>-0h30m41s</t>
  </si>
  <si>
    <t>IC1392</t>
  </si>
  <si>
    <t>21h35m32.6s</t>
  </si>
  <si>
    <t>+35h23m55s</t>
  </si>
  <si>
    <t>pB, vmbM *</t>
  </si>
  <si>
    <t>IC1393</t>
  </si>
  <si>
    <t>21h40m14.1s</t>
  </si>
  <si>
    <t>-22h24m40s</t>
  </si>
  <si>
    <t>IC1394</t>
  </si>
  <si>
    <t>21h40m12.9s</t>
  </si>
  <si>
    <t>+14h38m1s</t>
  </si>
  <si>
    <t>IC1395</t>
  </si>
  <si>
    <t>+4h6m18s</t>
  </si>
  <si>
    <t>very faint, very small, irregular figure, a little brighter middle</t>
  </si>
  <si>
    <t>vF, vS, iF, lbM</t>
  </si>
  <si>
    <t>IC1396</t>
  </si>
  <si>
    <t>象鼻星云</t>
  </si>
  <si>
    <t>21h38m54s</t>
  </si>
  <si>
    <t>+57h29m20s</t>
  </si>
  <si>
    <t>Neb part of M. Way</t>
  </si>
  <si>
    <t>IC1397</t>
  </si>
  <si>
    <t>21h44m2.2s</t>
  </si>
  <si>
    <t>-4h53m4s</t>
  </si>
  <si>
    <t>IC1398</t>
  </si>
  <si>
    <t>21h45m51.4s</t>
  </si>
  <si>
    <t>+9h28m32s</t>
  </si>
  <si>
    <t>IC1399</t>
  </si>
  <si>
    <t>21h46m8.8s</t>
  </si>
  <si>
    <t>+4h24m10s</t>
  </si>
  <si>
    <t>IC1400</t>
  </si>
  <si>
    <t>+52h58m0s</t>
  </si>
  <si>
    <t>F, dif, partly resolved</t>
  </si>
  <si>
    <t>IC1401</t>
  </si>
  <si>
    <t>21h46m59.5s</t>
  </si>
  <si>
    <t>+1h42m41s</t>
  </si>
  <si>
    <t>pretty bright, pretty small, mottled but not resolved</t>
  </si>
  <si>
    <t>pB, pS, r</t>
  </si>
  <si>
    <t>IC1402</t>
  </si>
  <si>
    <t>21h44m58s</t>
  </si>
  <si>
    <t>+53h15m48s</t>
  </si>
  <si>
    <t>F, partly res, st 14m</t>
  </si>
  <si>
    <t>IC1403</t>
  </si>
  <si>
    <t>21h50m29s</t>
  </si>
  <si>
    <t>-2h42m56s</t>
  </si>
  <si>
    <t>extremely faint, small, faint, star attached, very difficult</t>
  </si>
  <si>
    <t>eF, S, F, * att, v diffic</t>
  </si>
  <si>
    <t>IC1404</t>
  </si>
  <si>
    <t>21h50m56.3s</t>
  </si>
  <si>
    <t>-9h15m58s</t>
  </si>
  <si>
    <t>faint, very small, round, suddenly brighter middle like a 13th-magnitude star</t>
  </si>
  <si>
    <t>F, vS, R, sbM * 13</t>
  </si>
  <si>
    <t>IC1405</t>
  </si>
  <si>
    <t>21h50m49.8s</t>
  </si>
  <si>
    <t>+2h1m17s</t>
  </si>
  <si>
    <t>IC1406</t>
  </si>
  <si>
    <t>21h51m4.8s</t>
  </si>
  <si>
    <t>+1h59m15s</t>
  </si>
  <si>
    <t>IC1407</t>
  </si>
  <si>
    <t>21h52m23.4s</t>
  </si>
  <si>
    <t>+3h25m36s</t>
  </si>
  <si>
    <t>IC1408</t>
  </si>
  <si>
    <t>21h53m8.9s</t>
  </si>
  <si>
    <t>-13h20m47s</t>
  </si>
  <si>
    <t>IC1409</t>
  </si>
  <si>
    <t>21h53m19.5s</t>
  </si>
  <si>
    <t>-7h29m59s</t>
  </si>
  <si>
    <t>IC1410</t>
  </si>
  <si>
    <t>21h56m2.1s</t>
  </si>
  <si>
    <t>-2h53m59s</t>
  </si>
  <si>
    <t>pretty faint, very small nucleus</t>
  </si>
  <si>
    <t>pF, vSN</t>
  </si>
  <si>
    <t>IC1411</t>
  </si>
  <si>
    <t>21h56m0.5s</t>
  </si>
  <si>
    <t>-1h31m0s</t>
  </si>
  <si>
    <t>IC1412</t>
  </si>
  <si>
    <t>21h58m18.5s</t>
  </si>
  <si>
    <t>-17h10m36s</t>
  </si>
  <si>
    <t>F, vS, ? D stell neb</t>
  </si>
  <si>
    <t>IC1413</t>
  </si>
  <si>
    <t>21h58m26.8s</t>
  </si>
  <si>
    <t>-3h6m6s</t>
  </si>
  <si>
    <t>IC1414</t>
  </si>
  <si>
    <t>21h58m18s</t>
  </si>
  <si>
    <t>vF, vS, R, 2 F st s</t>
  </si>
  <si>
    <t>IC1415</t>
  </si>
  <si>
    <t>21h58m42.6s</t>
  </si>
  <si>
    <t>+1h21m1s</t>
  </si>
  <si>
    <t>eF, * 9.5 sf 8'</t>
  </si>
  <si>
    <t>IC1416</t>
  </si>
  <si>
    <t>21h58m49.5s</t>
  </si>
  <si>
    <t>+1h27m5s</t>
  </si>
  <si>
    <t>eF trace of neby</t>
  </si>
  <si>
    <t>IC1417</t>
  </si>
  <si>
    <t>22h0m21.7s</t>
  </si>
  <si>
    <t>-13h8m49s</t>
  </si>
  <si>
    <t>pB, pL, part more condensed</t>
  </si>
  <si>
    <t>IC1418</t>
  </si>
  <si>
    <t>22h1m59.9s</t>
  </si>
  <si>
    <t>+4h23m5s</t>
  </si>
  <si>
    <t>IC1419</t>
  </si>
  <si>
    <t>22h2m58.8s</t>
  </si>
  <si>
    <t>-9h55m14s</t>
  </si>
  <si>
    <t>extremely faint, suddenly a little brighter middle</t>
  </si>
  <si>
    <t>eF, slbM</t>
  </si>
  <si>
    <t>IC1420</t>
  </si>
  <si>
    <t>22h2m31.5s</t>
  </si>
  <si>
    <t>+19h45m0s</t>
  </si>
  <si>
    <t>IC1421</t>
  </si>
  <si>
    <t>22h3m3.9s</t>
  </si>
  <si>
    <t>-9h58m40s</t>
  </si>
  <si>
    <t>IC1422</t>
  </si>
  <si>
    <t>22h3m0s</t>
  </si>
  <si>
    <t>+2h35m58s</t>
  </si>
  <si>
    <t>vF, eS, lbM, bet 2 st 13.5</t>
  </si>
  <si>
    <t>IC1423</t>
  </si>
  <si>
    <t>22h3m12.8s</t>
  </si>
  <si>
    <t>+4h17m53s</t>
  </si>
  <si>
    <t>faint, very small, round, gradually a very little brighter middle</t>
  </si>
  <si>
    <t>F, vS, R, gvlbM</t>
  </si>
  <si>
    <t>IC1424</t>
  </si>
  <si>
    <t>22h3m9.3s</t>
  </si>
  <si>
    <t>+11h11m52s</t>
  </si>
  <si>
    <t>eF, vS, 1' f 7190</t>
  </si>
  <si>
    <t>IC1425</t>
  </si>
  <si>
    <t>22h3m24.4s</t>
  </si>
  <si>
    <t>faint, a little extended east-west, mottled but not resolved, perhaps double</t>
  </si>
  <si>
    <t>F, lE pf, r, D ?</t>
  </si>
  <si>
    <t>IC1426</t>
  </si>
  <si>
    <t>22h3m53.1s</t>
  </si>
  <si>
    <t>-9h54m35s</t>
  </si>
  <si>
    <t>faint, small, irregular figure, a little brighter middle</t>
  </si>
  <si>
    <t>F, S, iF, lbM</t>
  </si>
  <si>
    <t>IC1427</t>
  </si>
  <si>
    <t>22h3m35.1s</t>
  </si>
  <si>
    <t>+15h6m26s</t>
  </si>
  <si>
    <t>IC1428</t>
  </si>
  <si>
    <t>22h4m27.7s</t>
  </si>
  <si>
    <t>+2h37m52s</t>
  </si>
  <si>
    <t>very faint, small, round, 14th magnitude star near</t>
  </si>
  <si>
    <t>vF, S, R, * 14 nr</t>
  </si>
  <si>
    <t>IC1429</t>
  </si>
  <si>
    <t>22h7m2.5s</t>
  </si>
  <si>
    <t>+10h6m32s</t>
  </si>
  <si>
    <t>Neb susp close to * 11</t>
  </si>
  <si>
    <t>IC1430</t>
  </si>
  <si>
    <t>22h7m29.7s</t>
  </si>
  <si>
    <t>-13h34m51s</t>
  </si>
  <si>
    <t>faint, small, very little brighter middle, difficult</t>
  </si>
  <si>
    <t>F, S, vlbM, diffic</t>
  </si>
  <si>
    <t>IC1431</t>
  </si>
  <si>
    <t>22h7m39.5s</t>
  </si>
  <si>
    <t>-13h30m48s</t>
  </si>
  <si>
    <t>extremely faint, very difficult, faint star to northwest</t>
  </si>
  <si>
    <t>eF, v diffic, F * np</t>
  </si>
  <si>
    <t>IC1432</t>
  </si>
  <si>
    <t>22h10m3.9s</t>
  </si>
  <si>
    <t>+3h41m24s</t>
  </si>
  <si>
    <t>very faint, very small, suddenly brighter middle equivalent to 14th magnitude star, 13.5 magnitude star near</t>
  </si>
  <si>
    <t>vF, vS, sbM * 14, * 13.5 nr</t>
  </si>
  <si>
    <t>IC1433</t>
  </si>
  <si>
    <t>22h12m10.5s</t>
  </si>
  <si>
    <t>-12h45m54s</t>
  </si>
  <si>
    <t>faint, small, extended east-west, brighter middle</t>
  </si>
  <si>
    <t>F, S, E pf, bM</t>
  </si>
  <si>
    <t>IC1434</t>
  </si>
  <si>
    <t>22h10m30s</t>
  </si>
  <si>
    <t>Fine Cl, 6 branches, st 12-15m</t>
  </si>
  <si>
    <t>IC1435</t>
  </si>
  <si>
    <t>22h13m26.1s</t>
  </si>
  <si>
    <t>-22h5m47s</t>
  </si>
  <si>
    <t>IC1436</t>
  </si>
  <si>
    <t>22h13m51.3s</t>
  </si>
  <si>
    <t>-10h11m29s</t>
  </si>
  <si>
    <t>extremely faint, very small, round, very small nucleus</t>
  </si>
  <si>
    <t>eF, vS, R, vSN</t>
  </si>
  <si>
    <t>IC1437</t>
  </si>
  <si>
    <t>22h15m44.9s</t>
  </si>
  <si>
    <t>+2h3m57s</t>
  </si>
  <si>
    <t>IC1438</t>
  </si>
  <si>
    <t>22h16m29s</t>
  </si>
  <si>
    <t>-21h25m51s</t>
  </si>
  <si>
    <t>IC1439</t>
  </si>
  <si>
    <t>22h16m40.2s</t>
  </si>
  <si>
    <t>-21h29m8s</t>
  </si>
  <si>
    <t>IC1440</t>
  </si>
  <si>
    <t>22h16m33.2s</t>
  </si>
  <si>
    <t>-16h0m59s</t>
  </si>
  <si>
    <t>IC1441</t>
  </si>
  <si>
    <t>22h15m19.1s</t>
  </si>
  <si>
    <t>+37h18m3s</t>
  </si>
  <si>
    <t>eF, S, S stellar N</t>
  </si>
  <si>
    <t>IC1442</t>
  </si>
  <si>
    <t>22h16m6s</t>
  </si>
  <si>
    <t>+53h59m30s</t>
  </si>
  <si>
    <t>Cl of neb stars</t>
  </si>
  <si>
    <t>IC1443</t>
  </si>
  <si>
    <t>22h19m3.6s</t>
  </si>
  <si>
    <t>-20h56m24s</t>
  </si>
  <si>
    <t>pretty bright, small, irregular figure, much brighter middle</t>
  </si>
  <si>
    <t>pB, S, iF, mbM</t>
  </si>
  <si>
    <t>IC1444</t>
  </si>
  <si>
    <t>22h22m23.8s</t>
  </si>
  <si>
    <t>+5h8m23s</t>
  </si>
  <si>
    <t>faint, small, irregular figure, much brighter middle, very faint star close</t>
  </si>
  <si>
    <t>F, S, iF, mbM, vF * close</t>
  </si>
  <si>
    <t>IC1445</t>
  </si>
  <si>
    <t>22h25m30.2s</t>
  </si>
  <si>
    <t>-17h14m37s</t>
  </si>
  <si>
    <t>pretty faint, very small, gradually brighter middle and nucleus</t>
  </si>
  <si>
    <t>pF, vS, gbMN</t>
  </si>
  <si>
    <t>IC1446</t>
  </si>
  <si>
    <t>22h29m4.6s</t>
  </si>
  <si>
    <t>-1h11m3s</t>
  </si>
  <si>
    <t>IC1447</t>
  </si>
  <si>
    <t>22h29m59.8s</t>
  </si>
  <si>
    <t>-5h7m10s</t>
  </si>
  <si>
    <t>eeF, pS, R, * 9.0 n 3'</t>
  </si>
  <si>
    <t>IC1448</t>
  </si>
  <si>
    <t>very faint, very small, difficult</t>
  </si>
  <si>
    <t>vF, vS, diffic</t>
  </si>
  <si>
    <t>IC1449</t>
  </si>
  <si>
    <t>22h35m7s</t>
  </si>
  <si>
    <t>-8h45m56s</t>
  </si>
  <si>
    <t>faint, small, irregular figure, brighter middle, mottled but not resolved</t>
  </si>
  <si>
    <t>F, S, iF, bM, r</t>
  </si>
  <si>
    <t>IC1450</t>
  </si>
  <si>
    <t>22h37m58s</t>
  </si>
  <si>
    <t>+34h32m9s</t>
  </si>
  <si>
    <t>IC1451</t>
  </si>
  <si>
    <t>22h46m7.4s</t>
  </si>
  <si>
    <t>-10h22m13s</t>
  </si>
  <si>
    <t>vF, S, dif, vS, excent N</t>
  </si>
  <si>
    <t>IC1452</t>
  </si>
  <si>
    <t>22h45m59.2s</t>
  </si>
  <si>
    <t>+10h52m5s</t>
  </si>
  <si>
    <t>vF, vS, quite stellar</t>
  </si>
  <si>
    <t>IC1453</t>
  </si>
  <si>
    <t>22h46m54.4s</t>
  </si>
  <si>
    <t>-13h26m58s</t>
  </si>
  <si>
    <t>pretty bright, pretty large, round</t>
  </si>
  <si>
    <t>pB, pL, R</t>
  </si>
  <si>
    <t>IC1454</t>
  </si>
  <si>
    <t>22h42m24.5s</t>
  </si>
  <si>
    <t>+80h26m35s</t>
  </si>
  <si>
    <t>vF, S, * 7 m 4' f</t>
  </si>
  <si>
    <t>IC1455</t>
  </si>
  <si>
    <t>22h53m46s</t>
  </si>
  <si>
    <t>+1h22m21s</t>
  </si>
  <si>
    <t>faint, pretty small, round, 2 stars of 11th magnitude near</t>
  </si>
  <si>
    <t>F, pS, R, 2 st 11 nr</t>
  </si>
  <si>
    <t>IC1456</t>
  </si>
  <si>
    <t>22h55m18.2s</t>
  </si>
  <si>
    <t>-12h43m55s</t>
  </si>
  <si>
    <t>IC1457</t>
  </si>
  <si>
    <t>22h55m23.8s</t>
  </si>
  <si>
    <t>-5h33m45s</t>
  </si>
  <si>
    <t>eF, * 10 sf 1'</t>
  </si>
  <si>
    <t>IC1458</t>
  </si>
  <si>
    <t>IC1459</t>
  </si>
  <si>
    <t>22h57m10.4s</t>
  </si>
  <si>
    <t>-36h27m45s</t>
  </si>
  <si>
    <t>F, pS, com, N = 12m</t>
  </si>
  <si>
    <t>IC1460</t>
  </si>
  <si>
    <t>22h57m4s</t>
  </si>
  <si>
    <t>+4h40m39s</t>
  </si>
  <si>
    <t>pretty bright, very small, much brighter middle</t>
  </si>
  <si>
    <t>pB, vS, mbM</t>
  </si>
  <si>
    <t>IC1461</t>
  </si>
  <si>
    <t>22h58m34.2s</t>
  </si>
  <si>
    <t>+15h10m24s</t>
  </si>
  <si>
    <t>IC1462</t>
  </si>
  <si>
    <t>22h58m37.2s</t>
  </si>
  <si>
    <t>+8h26m28s</t>
  </si>
  <si>
    <t>vF, eS, ? only a *</t>
  </si>
  <si>
    <t>IC1463</t>
  </si>
  <si>
    <t>22h59m21.1s</t>
  </si>
  <si>
    <t>-10h31m51s</t>
  </si>
  <si>
    <t>IC1464</t>
  </si>
  <si>
    <t>23h3m11s</t>
  </si>
  <si>
    <t>-8h59m19s</t>
  </si>
  <si>
    <t>faint, mottled but not resolved, perhaps double</t>
  </si>
  <si>
    <t>F, r, D ?</t>
  </si>
  <si>
    <t>IC1465</t>
  </si>
  <si>
    <t>23h2m53.5s</t>
  </si>
  <si>
    <t>+16h34m57s</t>
  </si>
  <si>
    <t>very faint, a very small cluster?</t>
  </si>
  <si>
    <t>IC1466</t>
  </si>
  <si>
    <t>23h3m39s</t>
  </si>
  <si>
    <t>-2h46m32s</t>
  </si>
  <si>
    <t>IC1467</t>
  </si>
  <si>
    <t>23h4m49.6s</t>
  </si>
  <si>
    <t>-3h13m52s</t>
  </si>
  <si>
    <t>faint, small, binuclear</t>
  </si>
  <si>
    <t>F, S, biN</t>
  </si>
  <si>
    <t>IC1468</t>
  </si>
  <si>
    <t>23h5m7.3s</t>
  </si>
  <si>
    <t>-3h12m19s</t>
  </si>
  <si>
    <t>IC1469</t>
  </si>
  <si>
    <t>23h6m28.5s</t>
  </si>
  <si>
    <t>-13h32m11s</t>
  </si>
  <si>
    <t>faint, small, round, faint star to east</t>
  </si>
  <si>
    <t>F, S, R, F * f</t>
  </si>
  <si>
    <t>IC1470</t>
  </si>
  <si>
    <t>23h5m10.4s</t>
  </si>
  <si>
    <t>+60h14m32s</t>
  </si>
  <si>
    <t>vF, vS, stellar N north edge</t>
  </si>
  <si>
    <t>IC1471</t>
  </si>
  <si>
    <t>23h8m45s</t>
  </si>
  <si>
    <t>-12h38m21s</t>
  </si>
  <si>
    <t>IC1472</t>
  </si>
  <si>
    <t>23h9m6.6s</t>
  </si>
  <si>
    <t>+17h15m35s</t>
  </si>
  <si>
    <t>faint, very small, brighter middle, 2 stars to east</t>
  </si>
  <si>
    <t>F, vS, bM, 2 st f</t>
  </si>
  <si>
    <t>IC1473</t>
  </si>
  <si>
    <t>23h11m5.2s</t>
  </si>
  <si>
    <t>+29h38m35s</t>
  </si>
  <si>
    <t>IC1474</t>
  </si>
  <si>
    <t>23h12m51.3s</t>
  </si>
  <si>
    <t>+5h48m21s</t>
  </si>
  <si>
    <t>faint, round, pretty small, gradually brighter middle</t>
  </si>
  <si>
    <t>F, R, pS, gbM</t>
  </si>
  <si>
    <t>IC1475</t>
  </si>
  <si>
    <t>23h14m2s</t>
  </si>
  <si>
    <t>-28h25m18s</t>
  </si>
  <si>
    <t>IC1476</t>
  </si>
  <si>
    <t>23h14m16.3s</t>
  </si>
  <si>
    <t>+30h33m7s</t>
  </si>
  <si>
    <t>S Cl ?</t>
  </si>
  <si>
    <t>IC1477</t>
  </si>
  <si>
    <t>IC1478</t>
  </si>
  <si>
    <t>IC1479</t>
  </si>
  <si>
    <t>23h18m46.3s</t>
  </si>
  <si>
    <t>-10h23m55s</t>
  </si>
  <si>
    <t>IC1480</t>
  </si>
  <si>
    <t>23h18m59.4s</t>
  </si>
  <si>
    <t>+11h20m31s</t>
  </si>
  <si>
    <t>very small cluster, nebulous?</t>
  </si>
  <si>
    <t>vS Cl, nebs ?</t>
  </si>
  <si>
    <t>IC1481</t>
  </si>
  <si>
    <t>23h19m25s</t>
  </si>
  <si>
    <t>+5h54m21s</t>
  </si>
  <si>
    <t>IC1482</t>
  </si>
  <si>
    <t>23h20m49.4s</t>
  </si>
  <si>
    <t>+1h44m22s</t>
  </si>
  <si>
    <t>IC1483</t>
  </si>
  <si>
    <t>IC1484</t>
  </si>
  <si>
    <t>23h22m39.9s</t>
  </si>
  <si>
    <t>IC1485</t>
  </si>
  <si>
    <t>IC1486</t>
  </si>
  <si>
    <t>IC1487</t>
  </si>
  <si>
    <t>most extremely faint, pretty small, irregularly round, 8th magnitude star to east, faint star to northeast</t>
  </si>
  <si>
    <t>eeF, pS, iR, * 8 f, F * nf</t>
  </si>
  <si>
    <t>IC1488</t>
  </si>
  <si>
    <t>23h25m38.5s</t>
  </si>
  <si>
    <t>+15h21m14s</t>
  </si>
  <si>
    <t>eF, vS, E ns, v diffic, h 2237 s</t>
  </si>
  <si>
    <t>IC1489</t>
  </si>
  <si>
    <t>23h26m32.1s</t>
  </si>
  <si>
    <t>-12h30m59s</t>
  </si>
  <si>
    <t>F, vS, R, * 9 south</t>
  </si>
  <si>
    <t>IC1490</t>
  </si>
  <si>
    <t>23h59m10.7s</t>
  </si>
  <si>
    <t>-4h7m37s</t>
  </si>
  <si>
    <t>eF, pS, R, vF * close n</t>
  </si>
  <si>
    <t>IC1491</t>
  </si>
  <si>
    <t>23h29m24.5s</t>
  </si>
  <si>
    <t>-16h18m58s</t>
  </si>
  <si>
    <t>IC1492</t>
  </si>
  <si>
    <t>23h30m36s</t>
  </si>
  <si>
    <t>-3h2m22s</t>
  </si>
  <si>
    <t>extremely faint, small, round, southwestern of 2</t>
  </si>
  <si>
    <t>eF, S, R, sp of 2</t>
  </si>
  <si>
    <t>IC1493</t>
  </si>
  <si>
    <t>23h30m27.4s</t>
  </si>
  <si>
    <t>+14h27m30s</t>
  </si>
  <si>
    <t>F, vS, sbM, another susp 7s p, 1' n</t>
  </si>
  <si>
    <t>IC1494</t>
  </si>
  <si>
    <t>23h30m46.1s</t>
  </si>
  <si>
    <t>-12h43m27s</t>
  </si>
  <si>
    <t>IC1495</t>
  </si>
  <si>
    <t>23h30m47.5s</t>
  </si>
  <si>
    <t>-13h29m7s</t>
  </si>
  <si>
    <t>IC1496</t>
  </si>
  <si>
    <t>23h30m53.4s</t>
  </si>
  <si>
    <t>-2h56m2s</t>
  </si>
  <si>
    <t>IC1497</t>
  </si>
  <si>
    <t>23h28m50s</t>
  </si>
  <si>
    <t>+11h59m13s</t>
  </si>
  <si>
    <t>extremely faint, (only) suspected</t>
  </si>
  <si>
    <t>IC1498</t>
  </si>
  <si>
    <t>23h31m53.5s</t>
  </si>
  <si>
    <t>-5h0m23s</t>
  </si>
  <si>
    <t>eeF, pS, R, * 9.5 p 36s, 3' s</t>
  </si>
  <si>
    <t>IC1499</t>
  </si>
  <si>
    <t>23h31m57s</t>
  </si>
  <si>
    <t>-13h26m22s</t>
  </si>
  <si>
    <t>IC1500</t>
  </si>
  <si>
    <t>23h33m9.5s</t>
  </si>
  <si>
    <t>+4h33m9s</t>
  </si>
  <si>
    <t>faint, very small, extended north-south, a little brighter middle</t>
  </si>
  <si>
    <t>F, vS, E ns, lbM</t>
  </si>
  <si>
    <t>IC1501</t>
  </si>
  <si>
    <t>23h34m40.1s</t>
  </si>
  <si>
    <t>-3h9m13s</t>
  </si>
  <si>
    <t>IC1502</t>
  </si>
  <si>
    <t>23h36m20.1s</t>
  </si>
  <si>
    <t>+75h38m51s</t>
  </si>
  <si>
    <t>very faint, small, very faint star close</t>
  </si>
  <si>
    <t>vF, S, vF * close</t>
  </si>
  <si>
    <t>IC1503</t>
  </si>
  <si>
    <t>23h38m27.2s</t>
  </si>
  <si>
    <t>+4h48m5s</t>
  </si>
  <si>
    <t>IC1504</t>
  </si>
  <si>
    <t>23h41m19.6s</t>
  </si>
  <si>
    <t>+4h1m6s</t>
  </si>
  <si>
    <t>IC1505</t>
  </si>
  <si>
    <t>23h41m37s</t>
  </si>
  <si>
    <t>-3h33m53s</t>
  </si>
  <si>
    <t>most extremely faint, pretty small, round, 3 stars to east, difficult</t>
  </si>
  <si>
    <t>eeF, pS, R, 3 st f, diffic</t>
  </si>
  <si>
    <t>IC1506</t>
  </si>
  <si>
    <t>23h44m48.3s</t>
  </si>
  <si>
    <t>+4h44m10s</t>
  </si>
  <si>
    <t>very faint, gradually brighter middle</t>
  </si>
  <si>
    <t>vF, gbM</t>
  </si>
  <si>
    <t>IC1507</t>
  </si>
  <si>
    <t>23h45m33s</t>
  </si>
  <si>
    <t>pretty bright, irregular figure, much brighter middle</t>
  </si>
  <si>
    <t>pB, iF, mbM</t>
  </si>
  <si>
    <t>IC1508</t>
  </si>
  <si>
    <t>23h45m55.1s</t>
  </si>
  <si>
    <t>+12h3m40s</t>
  </si>
  <si>
    <t>IC1509</t>
  </si>
  <si>
    <t>23h47m16.6s</t>
  </si>
  <si>
    <t>-15h18m26s</t>
  </si>
  <si>
    <t>faint, small, extended north-south, gradually brighter middle</t>
  </si>
  <si>
    <t>F, S, E ns, gbM</t>
  </si>
  <si>
    <t>IC1510</t>
  </si>
  <si>
    <t>23h50m33s</t>
  </si>
  <si>
    <t>+2h4m20s</t>
  </si>
  <si>
    <t>faint, small, round, binuclear</t>
  </si>
  <si>
    <t>F, S, R, biN</t>
  </si>
  <si>
    <t>IC1511</t>
  </si>
  <si>
    <t>23h51m0.4s</t>
  </si>
  <si>
    <t>+27h3m46s</t>
  </si>
  <si>
    <t>eF, susp close to * 12.5</t>
  </si>
  <si>
    <t>IC1512</t>
  </si>
  <si>
    <t>23h51m1.4s</t>
  </si>
  <si>
    <t>+27h1m38s</t>
  </si>
  <si>
    <t>IC1513</t>
  </si>
  <si>
    <t>23h53m29.2s</t>
  </si>
  <si>
    <t>+11h19m4s</t>
  </si>
  <si>
    <t>faint, very small, extended east-west, gradually brighter middle</t>
  </si>
  <si>
    <t>F, vS, E pf, gbM</t>
  </si>
  <si>
    <t>IC1514</t>
  </si>
  <si>
    <t>vF, S, excent N</t>
  </si>
  <si>
    <t>IC1515</t>
  </si>
  <si>
    <t>23h56m4.1s</t>
  </si>
  <si>
    <t>-0h59m19s</t>
  </si>
  <si>
    <t>most extremely faint, pretty small, 9.5 magnitude star involved, between 2 stars</t>
  </si>
  <si>
    <t>eeF, pS, * 9.5 inv, bet 2 st</t>
  </si>
  <si>
    <t>IC1516</t>
  </si>
  <si>
    <t>23h56m7.1s</t>
  </si>
  <si>
    <t>-0h55m1s</t>
  </si>
  <si>
    <t>very faint, pretty small, round, bright star to southeast, northeastern of 2</t>
  </si>
  <si>
    <t>vF, pS, R, B * sf, nf of 2</t>
  </si>
  <si>
    <t>IC1517</t>
  </si>
  <si>
    <t>23h56m18.9s</t>
  </si>
  <si>
    <t>-0h18m20s</t>
  </si>
  <si>
    <t>most extremely faint, very small, round, 3 stars to west</t>
  </si>
  <si>
    <t>eeF, vS, R, 3 st p</t>
  </si>
  <si>
    <t>IC1518</t>
  </si>
  <si>
    <t>23h57m6s</t>
  </si>
  <si>
    <t>+12h27m56s</t>
  </si>
  <si>
    <t>IC1519</t>
  </si>
  <si>
    <t>23h57m8.3s</t>
  </si>
  <si>
    <t>+12h27m29s</t>
  </si>
  <si>
    <t>faint, very small, a little brighter middle, stellar</t>
  </si>
  <si>
    <t>F, vS, lbM, stellar</t>
  </si>
  <si>
    <t>IC1520</t>
  </si>
  <si>
    <t>23h57m54.5s</t>
  </si>
  <si>
    <t>-14h2m20s</t>
  </si>
  <si>
    <t>IC1521</t>
  </si>
  <si>
    <t>-7h8m46s</t>
  </si>
  <si>
    <t>IC1522</t>
  </si>
  <si>
    <t>23h59m3.4s</t>
  </si>
  <si>
    <t>+1h43m13s</t>
  </si>
  <si>
    <t>IC1523</t>
  </si>
  <si>
    <t>23h59m6.5s</t>
  </si>
  <si>
    <t>+6h52m25s</t>
  </si>
  <si>
    <t>vF, * 4m 3' f</t>
  </si>
  <si>
    <t>IC1524</t>
  </si>
  <si>
    <t>IC1525</t>
  </si>
  <si>
    <t>23h59m15.7s</t>
  </si>
  <si>
    <t>+46h53m22s</t>
  </si>
  <si>
    <t>IC1526</t>
  </si>
  <si>
    <t>0h1m31.5s</t>
  </si>
  <si>
    <t>+11h20m48s</t>
  </si>
  <si>
    <t>faint, small, brighter middle and small nucleus</t>
  </si>
  <si>
    <t>F, S, bMSN</t>
  </si>
  <si>
    <t>IC1527</t>
  </si>
  <si>
    <t>0h2m21.5s</t>
  </si>
  <si>
    <t>+4h5m25s</t>
  </si>
  <si>
    <t>faint, round, mottled but not resolved, very faint star to southeast</t>
  </si>
  <si>
    <t>F, R, r, vF * sf</t>
  </si>
  <si>
    <t>IC1528</t>
  </si>
  <si>
    <t>0h5m5.3s</t>
  </si>
  <si>
    <t>-7h7m5s</t>
  </si>
  <si>
    <t>IC1529</t>
  </si>
  <si>
    <t>0h5m13.1s</t>
  </si>
  <si>
    <t>-11h30m8s</t>
  </si>
  <si>
    <t>faint, small, round, binuclear, mottled but not resolved</t>
  </si>
  <si>
    <t>F, S, R, biN, r</t>
  </si>
  <si>
    <t>IC1530</t>
  </si>
  <si>
    <t>IC1531</t>
  </si>
  <si>
    <t>0h9m35.5s</t>
  </si>
  <si>
    <t>-32h16m36s</t>
  </si>
  <si>
    <t>very faint, very small, round, double star to north</t>
  </si>
  <si>
    <t>vF, vS, R, D * n</t>
  </si>
  <si>
    <t>IC1532</t>
  </si>
  <si>
    <t>0h9m53.4s</t>
  </si>
  <si>
    <t>-64h22m16s</t>
  </si>
  <si>
    <t>2 arcmin long, much extended, brighter middle</t>
  </si>
  <si>
    <t>2' l, mE, bM</t>
  </si>
  <si>
    <t>IC1533</t>
  </si>
  <si>
    <t>0h10m36.8s</t>
  </si>
  <si>
    <t>-7h24m55s</t>
  </si>
  <si>
    <t>eeF, vS, R, v diffic, * 7.5 n, * 9 s</t>
  </si>
  <si>
    <t>IC1534</t>
  </si>
  <si>
    <t>0h13m45.4s</t>
  </si>
  <si>
    <t>+48h9m7s</t>
  </si>
  <si>
    <t>pF, vS, diffic, * 10 nr nf</t>
  </si>
  <si>
    <t>IC1535</t>
  </si>
  <si>
    <t>0h13m57.2s</t>
  </si>
  <si>
    <t>+48h9m27s</t>
  </si>
  <si>
    <t>vF, S, 48 nf 6'</t>
  </si>
  <si>
    <t>IC1536</t>
  </si>
  <si>
    <t>0h14m18.9s</t>
  </si>
  <si>
    <t>+48h8m38s</t>
  </si>
  <si>
    <t>IC1537</t>
  </si>
  <si>
    <t>0h15m49.5s</t>
  </si>
  <si>
    <t>-39h15m39s</t>
  </si>
  <si>
    <t>eeF, vL, vmE, 55 np</t>
  </si>
  <si>
    <t>IC1538</t>
  </si>
  <si>
    <t>0h18m0.5s</t>
  </si>
  <si>
    <t>+30h1m40s</t>
  </si>
  <si>
    <t>IC1539</t>
  </si>
  <si>
    <t>extremely faint, between two 13th-magnitude stars</t>
  </si>
  <si>
    <t>eF, bet 2 st 13</t>
  </si>
  <si>
    <t>IC1540</t>
  </si>
  <si>
    <t>0h19m48.8s</t>
  </si>
  <si>
    <t>+23h46m21s</t>
  </si>
  <si>
    <t>IC1541</t>
  </si>
  <si>
    <t>0h20m2s</t>
  </si>
  <si>
    <t>+22h0m2s</t>
  </si>
  <si>
    <t>IC1542</t>
  </si>
  <si>
    <t>0h20m41.4s</t>
  </si>
  <si>
    <t>+22h35m34s</t>
  </si>
  <si>
    <t>faint, diffuse, gradually brighter middle</t>
  </si>
  <si>
    <t>F, dif, gbM</t>
  </si>
  <si>
    <t>IC1543</t>
  </si>
  <si>
    <t>0h20m55.6s</t>
  </si>
  <si>
    <t>+21h51m56s</t>
  </si>
  <si>
    <t>IC1544</t>
  </si>
  <si>
    <t>+23h5m27s</t>
  </si>
  <si>
    <t>IC1545</t>
  </si>
  <si>
    <t>0h21m20.8s</t>
  </si>
  <si>
    <t>+21h59m2s</t>
  </si>
  <si>
    <t>faint, very small, round, diffuse, very faint nucleus</t>
  </si>
  <si>
    <t>F, vS, R, dif, vFN</t>
  </si>
  <si>
    <t>IC1546</t>
  </si>
  <si>
    <t>0h21m29.1s</t>
  </si>
  <si>
    <t>+22h30m23s</t>
  </si>
  <si>
    <t>very faint, small, very difficult</t>
  </si>
  <si>
    <t>vF, S, v diffic</t>
  </si>
  <si>
    <t>IC1547</t>
  </si>
  <si>
    <t>0h21m35.7s</t>
  </si>
  <si>
    <t>+22h1m24s</t>
  </si>
  <si>
    <t>extremely faint, pretty small, suddenly brighter middle like a star</t>
  </si>
  <si>
    <t>eF, pS, sbM *</t>
  </si>
  <si>
    <t>IC1548</t>
  </si>
  <si>
    <t>0h21m55.1s</t>
  </si>
  <si>
    <t>+22h0m25s</t>
  </si>
  <si>
    <t>IC1549</t>
  </si>
  <si>
    <t>0h22m49.8s</t>
  </si>
  <si>
    <t>+6h57m53s</t>
  </si>
  <si>
    <t>eF, D * f 46s</t>
  </si>
  <si>
    <t>IC1550</t>
  </si>
  <si>
    <t>0h24m27.8s</t>
  </si>
  <si>
    <t>+38h11m7s</t>
  </si>
  <si>
    <t>round, stellar, very faint nucleus</t>
  </si>
  <si>
    <t>R, stell, vFN</t>
  </si>
  <si>
    <t>IC1551</t>
  </si>
  <si>
    <t>0h27m35.5s</t>
  </si>
  <si>
    <t>+8h52m39s</t>
  </si>
  <si>
    <t>IC1552</t>
  </si>
  <si>
    <t>0h29m43.9s</t>
  </si>
  <si>
    <t>+21h28m35s</t>
  </si>
  <si>
    <t>IC1553</t>
  </si>
  <si>
    <t>0h32m40s</t>
  </si>
  <si>
    <t>-25h36m32s</t>
  </si>
  <si>
    <t>very faint, very much extended 10°</t>
  </si>
  <si>
    <t>vF, vmE 10°</t>
  </si>
  <si>
    <t>IC1554</t>
  </si>
  <si>
    <t>0h32m50.2s</t>
  </si>
  <si>
    <t>-32h1m53s</t>
  </si>
  <si>
    <t>very faint, very small, extremely extended 170°, suddenly brighter middle</t>
  </si>
  <si>
    <t>vF, vS, eE 170°, sbM</t>
  </si>
  <si>
    <t>IC1555</t>
  </si>
  <si>
    <t>0h34m32.8s</t>
  </si>
  <si>
    <t>-30h1m3s</t>
  </si>
  <si>
    <t>most extremely faint, small, round, 2 stars in line to west</t>
  </si>
  <si>
    <t>eeF, S, R, 2 st p in line</t>
  </si>
  <si>
    <t>IC1556</t>
  </si>
  <si>
    <t>0h35m6s</t>
  </si>
  <si>
    <t>-9h34m0s</t>
  </si>
  <si>
    <t>IC1557</t>
  </si>
  <si>
    <t>0h35m34.4s</t>
  </si>
  <si>
    <t>-2h52m33s</t>
  </si>
  <si>
    <t>extremely faint, very small, 2 very faint stars close; near (NGC) 161</t>
  </si>
  <si>
    <t>eF, vS, 2 vF st close, nr 161</t>
  </si>
  <si>
    <t>IC1558</t>
  </si>
  <si>
    <t>0h35m47.1s</t>
  </si>
  <si>
    <t>-25h22m28s</t>
  </si>
  <si>
    <t>extended 160°, star to north, perhaps spiral</t>
  </si>
  <si>
    <t>E 160°, * n, perhaps spir</t>
  </si>
  <si>
    <t>IC1559</t>
  </si>
  <si>
    <t>0h36m52.2s</t>
  </si>
  <si>
    <t>+23h59m6s</t>
  </si>
  <si>
    <t>very faint, 0.5 arcmin south southeast of (NGC) 169</t>
  </si>
  <si>
    <t>vF, 0'.5 ssf 169</t>
  </si>
  <si>
    <t>IC1560</t>
  </si>
  <si>
    <t>0h37m40s</t>
  </si>
  <si>
    <t>+2h40m18s</t>
  </si>
  <si>
    <t>extremely faint, perhaps = 164</t>
  </si>
  <si>
    <t>eF, ? = 164</t>
  </si>
  <si>
    <t>IC1561</t>
  </si>
  <si>
    <t>0h38m32.4s</t>
  </si>
  <si>
    <t>-24h20m25s</t>
  </si>
  <si>
    <t>extended 105°, star to north</t>
  </si>
  <si>
    <t>E 105°, * n</t>
  </si>
  <si>
    <t>IC1562</t>
  </si>
  <si>
    <t>0h38m33.8s</t>
  </si>
  <si>
    <t>-24h16m26s</t>
  </si>
  <si>
    <t>small, round, pretty suddenly brighter middle</t>
  </si>
  <si>
    <t>S, R, psbM</t>
  </si>
  <si>
    <t>IC1563</t>
  </si>
  <si>
    <t>0h39m0.1s</t>
  </si>
  <si>
    <t>-9h0m54s</t>
  </si>
  <si>
    <t>extremely faint, stellar, 0.6 arcmin southeast of (NGC) 191</t>
  </si>
  <si>
    <t>eF, stellar, 0'.6 sf 191</t>
  </si>
  <si>
    <t>IC1564</t>
  </si>
  <si>
    <t>0h39m5.2s</t>
  </si>
  <si>
    <t>+6h1m16s</t>
  </si>
  <si>
    <t>IC1565</t>
  </si>
  <si>
    <t>0h39m26.2s</t>
  </si>
  <si>
    <t>+6h44m3s</t>
  </si>
  <si>
    <t>IC1566</t>
  </si>
  <si>
    <t>0h39m33.3s</t>
  </si>
  <si>
    <t>+6h48m56s</t>
  </si>
  <si>
    <t>IC1567</t>
  </si>
  <si>
    <t>IC1568</t>
  </si>
  <si>
    <t>0h39m55.9s</t>
  </si>
  <si>
    <t>+6h50m57s</t>
  </si>
  <si>
    <t>IC1569</t>
  </si>
  <si>
    <t>0h40m28s</t>
  </si>
  <si>
    <t>+6h43m11s</t>
  </si>
  <si>
    <t>IC1570</t>
  </si>
  <si>
    <t>0h40m34.2s</t>
  </si>
  <si>
    <t>+6h45m12s</t>
  </si>
  <si>
    <t>very faint, very small, round, very faint nucleus</t>
  </si>
  <si>
    <t>vF, vS, R, vFN</t>
  </si>
  <si>
    <t>IC1571</t>
  </si>
  <si>
    <t>0h40m37.8s</t>
  </si>
  <si>
    <t>-0h19m49s</t>
  </si>
  <si>
    <t>IC1572</t>
  </si>
  <si>
    <t>0h41m12s</t>
  </si>
  <si>
    <t>+16h14m18s</t>
  </si>
  <si>
    <t>extremely faint, stellar, III 200 near</t>
  </si>
  <si>
    <t>eF, stell, III 200 nr</t>
  </si>
  <si>
    <t>IC1573</t>
  </si>
  <si>
    <t>0h42m10.2s</t>
  </si>
  <si>
    <t>-23h35m32s</t>
  </si>
  <si>
    <t>extremely faint, extremely small, much extended 60°</t>
  </si>
  <si>
    <t>eF, eS, mE 60°</t>
  </si>
  <si>
    <t>IC1574</t>
  </si>
  <si>
    <t>0h43m4s</t>
  </si>
  <si>
    <t>-22h14m46s</t>
  </si>
  <si>
    <t>very faint, very much extended 0°, gradually brighter middle</t>
  </si>
  <si>
    <t>vF, vmE 0°, gbM</t>
  </si>
  <si>
    <t>IC1575</t>
  </si>
  <si>
    <t>0h43m33.6s</t>
  </si>
  <si>
    <t>-4h7m10s</t>
  </si>
  <si>
    <t>extremely faint, small, round, 10th magnitude star to south</t>
  </si>
  <si>
    <t>eF, S, R, * 10 s</t>
  </si>
  <si>
    <t>IC1576</t>
  </si>
  <si>
    <t>0h44m13.8s</t>
  </si>
  <si>
    <t>-25h6m33s</t>
  </si>
  <si>
    <t>very faint, very small, considerably extended 135°, between 2 stars</t>
  </si>
  <si>
    <t>vF, vS, cE 135°, bet 2 st</t>
  </si>
  <si>
    <t>IC1577</t>
  </si>
  <si>
    <t>pretty bright, small, round, gradually brighter middle and stellar nucleus</t>
  </si>
  <si>
    <t>pB, S, R, gbM stell N</t>
  </si>
  <si>
    <t>IC1578</t>
  </si>
  <si>
    <t>0h44m25.8s</t>
  </si>
  <si>
    <t>-25h4m35s</t>
  </si>
  <si>
    <t>very faint, very small, very much extended</t>
  </si>
  <si>
    <t>vF, vS, vmE</t>
  </si>
  <si>
    <t>IC1579</t>
  </si>
  <si>
    <t>0h45m32.2s</t>
  </si>
  <si>
    <t>-26h33m52s</t>
  </si>
  <si>
    <t>extremely faint, extremely small, considerably extended 15°, gradually brighter middle</t>
  </si>
  <si>
    <t>eF, eS, cE 15°, gbM</t>
  </si>
  <si>
    <t>IC1580</t>
  </si>
  <si>
    <t>0h46m21.3s</t>
  </si>
  <si>
    <t>+29h56m14s</t>
  </si>
  <si>
    <t>vF, v stell</t>
  </si>
  <si>
    <t>IC1581</t>
  </si>
  <si>
    <t>0h45m46.4s</t>
  </si>
  <si>
    <t>-25h55m10s</t>
  </si>
  <si>
    <t>extremely faint, extremely small, extended 45°, gradually brighter middle</t>
  </si>
  <si>
    <t>eF, eS, E 45°, gbM</t>
  </si>
  <si>
    <t>IC1582</t>
  </si>
  <si>
    <t>0h46m16.8s</t>
  </si>
  <si>
    <t>-24h16m47s</t>
  </si>
  <si>
    <t>extremely faint, extremely small, extended 45°, suddenly brighter middle like a star</t>
  </si>
  <si>
    <t>eF, eS, E 45°, sbM *</t>
  </si>
  <si>
    <t>IC1583</t>
  </si>
  <si>
    <t>0h47m10.2s</t>
  </si>
  <si>
    <t>+23h4m28s</t>
  </si>
  <si>
    <t>F, vS, R, stell N</t>
  </si>
  <si>
    <t>IC1584</t>
  </si>
  <si>
    <t>0h47m18.5s</t>
  </si>
  <si>
    <t>+27h49m42s</t>
  </si>
  <si>
    <t>extremely faint, large, diffuse, mottled but not resolved</t>
  </si>
  <si>
    <t>eF, L, dif, r</t>
  </si>
  <si>
    <t>IC1585</t>
  </si>
  <si>
    <t>0h47m14.2s</t>
  </si>
  <si>
    <t>+23h3m15s</t>
  </si>
  <si>
    <t>IC1586</t>
  </si>
  <si>
    <t>0h47m56.5s</t>
  </si>
  <si>
    <t>+22h22m24s</t>
  </si>
  <si>
    <t>IC1587</t>
  </si>
  <si>
    <t>0h48m43.2s</t>
  </si>
  <si>
    <t>extremely faint, extremely small, almost round</t>
  </si>
  <si>
    <t>eF, eS, alm R</t>
  </si>
  <si>
    <t>IC1588</t>
  </si>
  <si>
    <t>0h50m57.7s</t>
  </si>
  <si>
    <t>-23h33m31s</t>
  </si>
  <si>
    <t>very faint, very small, considerably extended 155°</t>
  </si>
  <si>
    <t>vF, vS, cE 155°</t>
  </si>
  <si>
    <t>IC1589</t>
  </si>
  <si>
    <t>0h51m59.3s</t>
  </si>
  <si>
    <t>-34h25m19s</t>
  </si>
  <si>
    <t>extremely faint, extremely small, round, like double nebula</t>
  </si>
  <si>
    <t>eF, eS, R, like D neb</t>
  </si>
  <si>
    <t>IC1590</t>
  </si>
  <si>
    <t>0h52m48s</t>
  </si>
  <si>
    <t>+56h37m54s</t>
  </si>
  <si>
    <t>a cluster, very large, stars scattered; 281 to east</t>
  </si>
  <si>
    <t>Cl, vL, st sc, 281 f</t>
  </si>
  <si>
    <t>IC1591</t>
  </si>
  <si>
    <t>very faint, very small, considerably extended 95°, brighter middle</t>
  </si>
  <si>
    <t>vF, vS, cE 95°, bM</t>
  </si>
  <si>
    <t>IC1592</t>
  </si>
  <si>
    <t>0h53m27.1s</t>
  </si>
  <si>
    <t>+5h46m11s</t>
  </si>
  <si>
    <t>extremely faint, small, between a 12th magnitude star and a 13th magnitude star</t>
  </si>
  <si>
    <t>eF, S, bet * 12 and * 13</t>
  </si>
  <si>
    <t>IC1593</t>
  </si>
  <si>
    <t>0h54m39.5s</t>
  </si>
  <si>
    <t>+32h31m11s</t>
  </si>
  <si>
    <t>extremely faint, semi-stellar</t>
  </si>
  <si>
    <t>eF, semi-stellar</t>
  </si>
  <si>
    <t>IC1594</t>
  </si>
  <si>
    <t>0h53m45.2s</t>
  </si>
  <si>
    <t>-47h38m52s</t>
  </si>
  <si>
    <t>extremely faint, extremely small, considerably extended 130°, stellar nucleus</t>
  </si>
  <si>
    <t>eF, eS, cE 130°, stell N</t>
  </si>
  <si>
    <t>IC1595</t>
  </si>
  <si>
    <t>0h53m47s</t>
  </si>
  <si>
    <t>-45h11m11s</t>
  </si>
  <si>
    <t>extremely faint, small, much extended 10°, stellar nucleus</t>
  </si>
  <si>
    <t>eF, S, mE 10°, stell N</t>
  </si>
  <si>
    <t>IC1596</t>
  </si>
  <si>
    <t>0h54m42.7s</t>
  </si>
  <si>
    <t>+21h31m23s</t>
  </si>
  <si>
    <t>faint, small, extended east-west, gradually brighter middle</t>
  </si>
  <si>
    <t>F, S, E pf, gbM</t>
  </si>
  <si>
    <t>IC1597</t>
  </si>
  <si>
    <t>0h53m32.1s</t>
  </si>
  <si>
    <t>-58h6m26s</t>
  </si>
  <si>
    <t>extremely faint, extremely small, considerably extended 165°, considerably brighter middle</t>
  </si>
  <si>
    <t>eF, eS, cE 165°, cbM</t>
  </si>
  <si>
    <t>IC1598</t>
  </si>
  <si>
    <t>0h54m41.7s</t>
  </si>
  <si>
    <t>+5h46m27s</t>
  </si>
  <si>
    <t>a nebulous 11th magnitude star; 9th magnitude star 10 seconds of time to west, 4.5 arcmin to north</t>
  </si>
  <si>
    <t>Neb * 11, * 9 p 10s, 4'.5 n</t>
  </si>
  <si>
    <t>IC1599</t>
  </si>
  <si>
    <t>0h54m32.7s</t>
  </si>
  <si>
    <t>-23h29m40s</t>
  </si>
  <si>
    <t>very faint, very small, considerably extended 100°</t>
  </si>
  <si>
    <t>vF, vS, cE 100°</t>
  </si>
  <si>
    <t>IC1600</t>
  </si>
  <si>
    <t>0h55m4.2s</t>
  </si>
  <si>
    <t>-23h31m28s</t>
  </si>
  <si>
    <t>very faint, very small, considerably extended 95°</t>
  </si>
  <si>
    <t>vF, vS, cE 95°</t>
  </si>
  <si>
    <t>IC1601</t>
  </si>
  <si>
    <t>0h55m34.7s</t>
  </si>
  <si>
    <t>-24h9m12s</t>
  </si>
  <si>
    <t>vF, vS, lE 105°</t>
  </si>
  <si>
    <t>IC1602</t>
  </si>
  <si>
    <t>0h55m51.8s</t>
  </si>
  <si>
    <t>-9h59m7s</t>
  </si>
  <si>
    <t>vF, S, nr 309</t>
  </si>
  <si>
    <t>IC1603</t>
  </si>
  <si>
    <t>0h56m59.7s</t>
  </si>
  <si>
    <t>-45h24m46s</t>
  </si>
  <si>
    <t>eF, eS, cE 115°, cbM</t>
  </si>
  <si>
    <t>IC1604</t>
  </si>
  <si>
    <t>0h58m0s</t>
  </si>
  <si>
    <t>-16h13m0s</t>
  </si>
  <si>
    <t>pF, vS, * 7.5 np, F * nr sp [? = 333]</t>
  </si>
  <si>
    <t>IC1605</t>
  </si>
  <si>
    <t>0h57m37.4s</t>
  </si>
  <si>
    <t>-48h54m10s</t>
  </si>
  <si>
    <t>IC1606</t>
  </si>
  <si>
    <t>0h58m22.3s</t>
  </si>
  <si>
    <t>-12h10m47s</t>
  </si>
  <si>
    <t>eF, pS, nearly bet * 7 p and * 9 nf</t>
  </si>
  <si>
    <t>IC1607</t>
  </si>
  <si>
    <t>0h58m48.9s</t>
  </si>
  <si>
    <t>+0h35m14s</t>
  </si>
  <si>
    <t>IC1608</t>
  </si>
  <si>
    <t>0h59m24.2s</t>
  </si>
  <si>
    <t>-34h19m47s</t>
  </si>
  <si>
    <t>pB, pS, R, 2 st nf, 2 np</t>
  </si>
  <si>
    <t>IC1609</t>
  </si>
  <si>
    <t>0h59m46.7s</t>
  </si>
  <si>
    <t>-40h20m1s</t>
  </si>
  <si>
    <t>IC1610</t>
  </si>
  <si>
    <t>1h1m42.7s</t>
  </si>
  <si>
    <t>-15h34m4s</t>
  </si>
  <si>
    <t>pretty faint, pretty small, round, 10th magnitude star to northwest</t>
  </si>
  <si>
    <t>pF, pS, R, * 10 np</t>
  </si>
  <si>
    <t>IC1611</t>
  </si>
  <si>
    <t>0h59m48.7s</t>
  </si>
  <si>
    <t>-72h19m57s</t>
  </si>
  <si>
    <t>IC1612</t>
  </si>
  <si>
    <t>0h59m59.6s</t>
  </si>
  <si>
    <t>-72h22m15s</t>
  </si>
  <si>
    <t>IC1613</t>
  </si>
  <si>
    <t>1h4m47.5s</t>
  </si>
  <si>
    <t>+2h7m7s</t>
  </si>
  <si>
    <t>faint, most extremely large</t>
  </si>
  <si>
    <t>F, eeL</t>
  </si>
  <si>
    <t>IC1614</t>
  </si>
  <si>
    <t>1h5m6.9s</t>
  </si>
  <si>
    <t>+33h11m25s</t>
  </si>
  <si>
    <t>very faint, small, extended 120°, very little brighter middle, 15th magnitude star near</t>
  </si>
  <si>
    <t>vF, S, E 120°, vlbM, * 15 nr</t>
  </si>
  <si>
    <t>IC1615</t>
  </si>
  <si>
    <t>1h4m6.8s</t>
  </si>
  <si>
    <t>-51h7m58s</t>
  </si>
  <si>
    <t>extremely faint, small, considerably extended 140°, considerably brighter middle</t>
  </si>
  <si>
    <t>eF, S, cE 140°, cbM</t>
  </si>
  <si>
    <t>IC1616</t>
  </si>
  <si>
    <t>1h4m56.1s</t>
  </si>
  <si>
    <t>-27h25m44s</t>
  </si>
  <si>
    <t>eF, pS, 3 st in line nr</t>
  </si>
  <si>
    <t>IC1617</t>
  </si>
  <si>
    <t>1h4m16.7s</t>
  </si>
  <si>
    <t>-51h1m57s</t>
  </si>
  <si>
    <t>extremely faint, small, considerably extended 130°, considerably brighter middle</t>
  </si>
  <si>
    <t>eF, S, cE 130°, cbM</t>
  </si>
  <si>
    <t>IC1618</t>
  </si>
  <si>
    <t>+32h24m46s</t>
  </si>
  <si>
    <t>IC1619</t>
  </si>
  <si>
    <t>1h7m22.4s</t>
  </si>
  <si>
    <t>+33h4m1s</t>
  </si>
  <si>
    <t>F, S, R, gbMFN, bet 2 st 13</t>
  </si>
  <si>
    <t>IC1620</t>
  </si>
  <si>
    <t>1h7m14s</t>
  </si>
  <si>
    <t>+13h57m18s</t>
  </si>
  <si>
    <t>faint, pretty small, diffuse</t>
  </si>
  <si>
    <t>F, pS, dif</t>
  </si>
  <si>
    <t>IC1621</t>
  </si>
  <si>
    <t>1h6m22.6s</t>
  </si>
  <si>
    <t>-46h43m31s</t>
  </si>
  <si>
    <t>extremely faint, extremely small, much extended 0°, considerably brighter middle</t>
  </si>
  <si>
    <t>eF, eS, mE 0°, cbM</t>
  </si>
  <si>
    <t>IC1622</t>
  </si>
  <si>
    <t>1h7m36.6s</t>
  </si>
  <si>
    <t>-17h32m19s</t>
  </si>
  <si>
    <t>IC1623</t>
  </si>
  <si>
    <t>1h7m46.8s</t>
  </si>
  <si>
    <t>-17h30m24s</t>
  </si>
  <si>
    <t>bright, considerably small, a little extended, northeastern of 2</t>
  </si>
  <si>
    <t>B, cS, lE, nf of 2</t>
  </si>
  <si>
    <t>IC1624</t>
  </si>
  <si>
    <t>1h5m21.9s</t>
  </si>
  <si>
    <t>-72h2m33s</t>
  </si>
  <si>
    <t>IC1625</t>
  </si>
  <si>
    <t>1h7m42.6s</t>
  </si>
  <si>
    <t>-46h54m30s</t>
  </si>
  <si>
    <t>extremely faint, very small, round, suspected</t>
  </si>
  <si>
    <t>eF, vS, R, susp</t>
  </si>
  <si>
    <t>IC1626</t>
  </si>
  <si>
    <t>1h6m13.4s</t>
  </si>
  <si>
    <t>-73h17m53s</t>
  </si>
  <si>
    <t>IC1627</t>
  </si>
  <si>
    <t>1h8m10.8s</t>
  </si>
  <si>
    <t>-46h5m38s</t>
  </si>
  <si>
    <t>cF, S, eE 135°, vmbM</t>
  </si>
  <si>
    <t>IC1628</t>
  </si>
  <si>
    <t>1h8m47.5s</t>
  </si>
  <si>
    <t>-28h34m56s</t>
  </si>
  <si>
    <t>cB, pS, R, 3 st 8 nr</t>
  </si>
  <si>
    <t>IC1629</t>
  </si>
  <si>
    <t>1h9m18.1s</t>
  </si>
  <si>
    <t>+2h34m5s</t>
  </si>
  <si>
    <t>IC1630</t>
  </si>
  <si>
    <t>1h8m16.8s</t>
  </si>
  <si>
    <t>-46h45m15s</t>
  </si>
  <si>
    <t>eF, eS, E 60°, susp</t>
  </si>
  <si>
    <t>IC1631</t>
  </si>
  <si>
    <t>1h8m44.7s</t>
  </si>
  <si>
    <t>-46h28m31s</t>
  </si>
  <si>
    <t>extremely faint, small, round, suspected</t>
  </si>
  <si>
    <t>eF, S, R, susp</t>
  </si>
  <si>
    <t>IC1632</t>
  </si>
  <si>
    <t>1h10m43.4s</t>
  </si>
  <si>
    <t>+17h41m0s</t>
  </si>
  <si>
    <t>vF, vS, dif, * 15 v close</t>
  </si>
  <si>
    <t>IC1633</t>
  </si>
  <si>
    <t>1h9m55.5s</t>
  </si>
  <si>
    <t>-45h55m53s</t>
  </si>
  <si>
    <t>very faint, small, round, very faint star to east</t>
  </si>
  <si>
    <t>vF, S, R, vF * f</t>
  </si>
  <si>
    <t>IC1634</t>
  </si>
  <si>
    <t>1h11m3s</t>
  </si>
  <si>
    <t>+17h39m45s</t>
  </si>
  <si>
    <t>IC1635</t>
  </si>
  <si>
    <t>1h11m3.6s</t>
  </si>
  <si>
    <t>+17h39m6s</t>
  </si>
  <si>
    <t>IC1636</t>
  </si>
  <si>
    <t>1h11m37.3s</t>
  </si>
  <si>
    <t>+33h21m18s</t>
  </si>
  <si>
    <t>faint, very small, gradually brighter middle and nucleus</t>
  </si>
  <si>
    <t>F, vS, gbMN</t>
  </si>
  <si>
    <t>IC1637</t>
  </si>
  <si>
    <t>1h11m1.2s</t>
  </si>
  <si>
    <t>-30h26m19s</t>
  </si>
  <si>
    <t>IC1638</t>
  </si>
  <si>
    <t>1h12m21.7s</t>
  </si>
  <si>
    <t>faint, very small, round, gradually brighter middle and nucleus, mottled but not resolved</t>
  </si>
  <si>
    <t>F, vS, R, gbMN, r</t>
  </si>
  <si>
    <t>IC1639</t>
  </si>
  <si>
    <t>1h11m46.5s</t>
  </si>
  <si>
    <t>-0h39m50s</t>
  </si>
  <si>
    <t>very small, round, stellar</t>
  </si>
  <si>
    <t>vS, R, stell</t>
  </si>
  <si>
    <t>IC1640</t>
  </si>
  <si>
    <t>1h11m51.2s</t>
  </si>
  <si>
    <t>-0h37m50s</t>
  </si>
  <si>
    <t>very small, round, brighter middle and nucleus</t>
  </si>
  <si>
    <t>vS, R, bMN</t>
  </si>
  <si>
    <t>IC1641</t>
  </si>
  <si>
    <t>1h9m39.1s</t>
  </si>
  <si>
    <t>-71h46m8s</t>
  </si>
  <si>
    <t>IC1642</t>
  </si>
  <si>
    <t>1h12m27.3s</t>
  </si>
  <si>
    <t>+15h45m2s</t>
  </si>
  <si>
    <t>faint, small, round, a little brighter middle and nucleus</t>
  </si>
  <si>
    <t>F, S, R, lbMN</t>
  </si>
  <si>
    <t>IC1643</t>
  </si>
  <si>
    <t>1h12m8.5s</t>
  </si>
  <si>
    <t>IC1644</t>
  </si>
  <si>
    <t>1h9m12s</t>
  </si>
  <si>
    <t>-73h11m44s</t>
  </si>
  <si>
    <t>Planetary, stell</t>
  </si>
  <si>
    <t>IC1645</t>
  </si>
  <si>
    <t>IC1646</t>
  </si>
  <si>
    <t>1h12m43.8s</t>
  </si>
  <si>
    <t>+15h42m25s</t>
  </si>
  <si>
    <t>IC1647</t>
  </si>
  <si>
    <t>1h13m14.5s</t>
  </si>
  <si>
    <t>+38h53m7s</t>
  </si>
  <si>
    <t>IC1648</t>
  </si>
  <si>
    <t>1h13m42.2s</t>
  </si>
  <si>
    <t>+33h13m5s</t>
  </si>
  <si>
    <t>faint, very small, round, nuclear, mottled but not resolved</t>
  </si>
  <si>
    <t>F, vS, R, N, r</t>
  </si>
  <si>
    <t>IC1649</t>
  </si>
  <si>
    <t>1h11m50.8s</t>
  </si>
  <si>
    <t>-55h51m24s</t>
  </si>
  <si>
    <t>eF, cS, E 140°, cbM</t>
  </si>
  <si>
    <t>IC1650</t>
  </si>
  <si>
    <t>1h12m18.9s</t>
  </si>
  <si>
    <t>-50h24m7s</t>
  </si>
  <si>
    <t>cF, S, mE 55°, cbM</t>
  </si>
  <si>
    <t>IC1651</t>
  </si>
  <si>
    <t>1h13m27.6s</t>
  </si>
  <si>
    <t>+2h4m7s</t>
  </si>
  <si>
    <t>* 13 with neb, chiefly nnf</t>
  </si>
  <si>
    <t>IC1652</t>
  </si>
  <si>
    <t>1h14m56.5s</t>
  </si>
  <si>
    <t>+31h56m52s</t>
  </si>
  <si>
    <t>F, S, E ns, * 12 v close</t>
  </si>
  <si>
    <t>IC1653</t>
  </si>
  <si>
    <t>IC1654</t>
  </si>
  <si>
    <t>1h15m11.8s</t>
  </si>
  <si>
    <t>+30h11m43s</t>
  </si>
  <si>
    <t>F, S, lE, gblM, r</t>
  </si>
  <si>
    <t>IC1655</t>
  </si>
  <si>
    <t>1h11m53.8s</t>
  </si>
  <si>
    <t>a cluster, compressed, extremely faint, very small</t>
  </si>
  <si>
    <t>Cl, C, eF, vS</t>
  </si>
  <si>
    <t>IC1656</t>
  </si>
  <si>
    <t>Neb, S * close sf, * 9 sf 3'</t>
  </si>
  <si>
    <t>IC1657</t>
  </si>
  <si>
    <t>1h14m6.8s</t>
  </si>
  <si>
    <t>-32h39m2s</t>
  </si>
  <si>
    <t>extremely faint, small, very much extended</t>
  </si>
  <si>
    <t>eF, S, vmE</t>
  </si>
  <si>
    <t>IC1658</t>
  </si>
  <si>
    <t>very faint, pretty small, extended, nuclear, mottled but not resolved</t>
  </si>
  <si>
    <t>vF, pS, E, N, r</t>
  </si>
  <si>
    <t>IC1659</t>
  </si>
  <si>
    <t>1h16m6.2s</t>
  </si>
  <si>
    <t>+30h20m54s</t>
  </si>
  <si>
    <t>faint, small, round, nuclear, mottled but not resolved</t>
  </si>
  <si>
    <t>F, S, R, N, r</t>
  </si>
  <si>
    <t>IC1660</t>
  </si>
  <si>
    <t>1h12m38.4s</t>
  </si>
  <si>
    <t>-71h45m41s</t>
  </si>
  <si>
    <t>eF, vS, R, stell N or F * in M</t>
  </si>
  <si>
    <t>IC1661</t>
  </si>
  <si>
    <t>IC1662</t>
  </si>
  <si>
    <t>1h12m33.3s</t>
  </si>
  <si>
    <t>-73h27m25s</t>
  </si>
  <si>
    <t>very faint, extremely small, a very small cluster?</t>
  </si>
  <si>
    <t>vF, eS, ? vS Cl</t>
  </si>
  <si>
    <t>IC1663</t>
  </si>
  <si>
    <t>eF, mE 350° [? PD 45'.1]</t>
  </si>
  <si>
    <t>IC1664</t>
  </si>
  <si>
    <t>1h14m18.5s</t>
  </si>
  <si>
    <t>-69h48m42s</t>
  </si>
  <si>
    <t>2 F st inv in eeF neb</t>
  </si>
  <si>
    <t>IC1665</t>
  </si>
  <si>
    <t>1h17m45s</t>
  </si>
  <si>
    <t>+34h42m6s</t>
  </si>
  <si>
    <t>F, vS, R, like 2 or 3 F st in neb</t>
  </si>
  <si>
    <t>IC1666</t>
  </si>
  <si>
    <t>1h19m53.4s</t>
  </si>
  <si>
    <t>+32h28m0s</t>
  </si>
  <si>
    <t>faint, pretty small, diffuse, 13th magnitude star attached</t>
  </si>
  <si>
    <t>F, pS, dif, * 13 att</t>
  </si>
  <si>
    <t>IC1667</t>
  </si>
  <si>
    <t>1h18m42.2s</t>
  </si>
  <si>
    <t>-17h3m1s</t>
  </si>
  <si>
    <t>IC1668</t>
  </si>
  <si>
    <t>1h18m53.2s</t>
  </si>
  <si>
    <t>+33h10m20s</t>
  </si>
  <si>
    <t>extremely faint, very small, round, very faint nucleus</t>
  </si>
  <si>
    <t>eF, vS, R, vFN</t>
  </si>
  <si>
    <t>IC1669</t>
  </si>
  <si>
    <t>1h20m6.9s</t>
  </si>
  <si>
    <t>+33h11m2s</t>
  </si>
  <si>
    <t>IC1670</t>
  </si>
  <si>
    <t>1h18m48.7s</t>
  </si>
  <si>
    <t>-16h48m13s</t>
  </si>
  <si>
    <t>vF, pS, lE, 2 st nr nf</t>
  </si>
  <si>
    <t>IC1671</t>
  </si>
  <si>
    <t>extremely faint, very small, round, 7th-magnitude star 47 sec northeast</t>
  </si>
  <si>
    <t>eF, vS, R, * 7 nf 47s</t>
  </si>
  <si>
    <t>IC1672</t>
  </si>
  <si>
    <t>1h20m38.3s</t>
  </si>
  <si>
    <t>+29h41m56s</t>
  </si>
  <si>
    <t>pretty bright, small, round, gradually brighter middle and nucleus, mottled but not resolved</t>
  </si>
  <si>
    <t>pB, S, R, gbMN, r</t>
  </si>
  <si>
    <t>IC1673</t>
  </si>
  <si>
    <t>1h20m46.3s</t>
  </si>
  <si>
    <t>+33h2m44s</t>
  </si>
  <si>
    <t>faint, round, stellar nucleus</t>
  </si>
  <si>
    <t>F, R, stell N</t>
  </si>
  <si>
    <t>IC1674</t>
  </si>
  <si>
    <t>1h19m0s</t>
  </si>
  <si>
    <t>-50h38m0s</t>
  </si>
  <si>
    <t>eF, eS, bM, 2 spir wisps</t>
  </si>
  <si>
    <t>IC1675</t>
  </si>
  <si>
    <t>1h21m0.1s</t>
  </si>
  <si>
    <t>+34h14m56s</t>
  </si>
  <si>
    <t>IC1676</t>
  </si>
  <si>
    <t>1h20m58.5s</t>
  </si>
  <si>
    <t>+30h15m36s</t>
  </si>
  <si>
    <t>F, vS, stell N</t>
  </si>
  <si>
    <t>IC1677</t>
  </si>
  <si>
    <t>1h21m7.1s</t>
  </si>
  <si>
    <t>+33h12m56s</t>
  </si>
  <si>
    <t>faint, pretty small, round, brighter middle and nucleus</t>
  </si>
  <si>
    <t>F, pS, R, bMN</t>
  </si>
  <si>
    <t>IC1678</t>
  </si>
  <si>
    <t>1h21m2.6s</t>
  </si>
  <si>
    <t>+5h33m37s</t>
  </si>
  <si>
    <t>IC1679</t>
  </si>
  <si>
    <t>1h21m44.5s</t>
  </si>
  <si>
    <t>+33h29m34s</t>
  </si>
  <si>
    <t>faint, small, irregular figure, very little brighter middle, diffuse</t>
  </si>
  <si>
    <t>F, S, iF, vlbM, dif</t>
  </si>
  <si>
    <t>IC1680</t>
  </si>
  <si>
    <t>1h21m51.4s</t>
  </si>
  <si>
    <t>+33h16m55s</t>
  </si>
  <si>
    <t>faint, very small, brighter middle and nucleus</t>
  </si>
  <si>
    <t>F, vS, bMN</t>
  </si>
  <si>
    <t>IC1681</t>
  </si>
  <si>
    <t>1h21m21.2s</t>
  </si>
  <si>
    <t>+0h5m26s</t>
  </si>
  <si>
    <t>IC1682</t>
  </si>
  <si>
    <t>1h22m13.4s</t>
  </si>
  <si>
    <t>+33h15m35s</t>
  </si>
  <si>
    <t>IC1683</t>
  </si>
  <si>
    <t>1h22m39.1s</t>
  </si>
  <si>
    <t>+34h26m14s</t>
  </si>
  <si>
    <t>faint, small, extended north-south, gradually brighter middle, mottled but not resolved</t>
  </si>
  <si>
    <t>F, S, E ns, gbM, r</t>
  </si>
  <si>
    <t>IC1684</t>
  </si>
  <si>
    <t>1h22m53.2s</t>
  </si>
  <si>
    <t>+33h24m47s</t>
  </si>
  <si>
    <t>IC1685</t>
  </si>
  <si>
    <t>1h23m6.7s</t>
  </si>
  <si>
    <t>+33h11m27s</t>
  </si>
  <si>
    <t>faint, small, round, very little brighter middle, diffuse</t>
  </si>
  <si>
    <t>F, S, R, vlbM, dif</t>
  </si>
  <si>
    <t>IC1686</t>
  </si>
  <si>
    <t>pretty bright, pretty small, a little extended east-west, gradually brighter middle and nucleus</t>
  </si>
  <si>
    <t>pB, pS, lE pf, gbMN</t>
  </si>
  <si>
    <t>IC1687</t>
  </si>
  <si>
    <t>1h23m19.3s</t>
  </si>
  <si>
    <t>+33h16m37s</t>
  </si>
  <si>
    <t>IC1688</t>
  </si>
  <si>
    <t>1h23m28.2s</t>
  </si>
  <si>
    <t>+33h4m58s</t>
  </si>
  <si>
    <t>IC1689</t>
  </si>
  <si>
    <t>S0/PRG</t>
  </si>
  <si>
    <t>1h23m48s</t>
  </si>
  <si>
    <t>+33h3m18s</t>
  </si>
  <si>
    <t>F, vS, R, gbMN, * 14 close</t>
  </si>
  <si>
    <t>IC1690</t>
  </si>
  <si>
    <t>1h23m49.5s</t>
  </si>
  <si>
    <t>+33h9m25s</t>
  </si>
  <si>
    <t>IC1691</t>
  </si>
  <si>
    <t>1h24m25.9s</t>
  </si>
  <si>
    <t>+33h24m24s</t>
  </si>
  <si>
    <t>pretty faint, very small, round, diffuse</t>
  </si>
  <si>
    <t>pF, vS, R, dif</t>
  </si>
  <si>
    <t>IC1692</t>
  </si>
  <si>
    <t>1h24m39.7s</t>
  </si>
  <si>
    <t>+33h14m7s</t>
  </si>
  <si>
    <t>IC1693</t>
  </si>
  <si>
    <t>1h24m2.3s</t>
  </si>
  <si>
    <t>-1h39m25s</t>
  </si>
  <si>
    <t>eF, vS, possibly F *</t>
  </si>
  <si>
    <t>IC1694</t>
  </si>
  <si>
    <t>1h24m47.7s</t>
  </si>
  <si>
    <t>+1h36m28s</t>
  </si>
  <si>
    <t>IC1695</t>
  </si>
  <si>
    <t>1h25m7.5s</t>
  </si>
  <si>
    <t>+8h41m57s</t>
  </si>
  <si>
    <t>eF, pS, R, * 10 att p</t>
  </si>
  <si>
    <t>IC1696</t>
  </si>
  <si>
    <t>1h24m52.4s</t>
  </si>
  <si>
    <t>-1h37m2s</t>
  </si>
  <si>
    <t>eF, eS, 530 np</t>
  </si>
  <si>
    <t>IC1697</t>
  </si>
  <si>
    <t>1h25m2.9s</t>
  </si>
  <si>
    <t>+0h26m42s</t>
  </si>
  <si>
    <t>IC1698</t>
  </si>
  <si>
    <t>1h25m22.1s</t>
  </si>
  <si>
    <t>+14h50m18s</t>
  </si>
  <si>
    <t>pretty bright, small, irregular figure, brighter middle and nucleus</t>
  </si>
  <si>
    <t>pB, S, iF, bMN</t>
  </si>
  <si>
    <t>IC1699</t>
  </si>
  <si>
    <t>1h25m5.6s</t>
  </si>
  <si>
    <t>+14h54m40s</t>
  </si>
  <si>
    <t>IC1700</t>
  </si>
  <si>
    <t>pretty bright, small, round, gradually brighter middle and nucleus</t>
  </si>
  <si>
    <t>pB, S, R, gbMN</t>
  </si>
  <si>
    <t>IC1701</t>
  </si>
  <si>
    <t>1h25m50.3s</t>
  </si>
  <si>
    <t>+18h11m6s</t>
  </si>
  <si>
    <t>F, S, dif, N 13 mag</t>
  </si>
  <si>
    <t>IC1702</t>
  </si>
  <si>
    <t>1h25m56.2s</t>
  </si>
  <si>
    <t>+16h36m4s</t>
  </si>
  <si>
    <t>most extremely faint, pretty small, a little extended, very difficult, between 2 stars north and south</t>
  </si>
  <si>
    <t>eeF, pS, lE, v diffic, bet 2 st ns</t>
  </si>
  <si>
    <t>IC1703</t>
  </si>
  <si>
    <t>IC1704</t>
  </si>
  <si>
    <t>1h27m9.5s</t>
  </si>
  <si>
    <t>+14h46m33s</t>
  </si>
  <si>
    <t>pretty bright, pretty small, diffuse, irregular figure, gradually a very little brighter middle</t>
  </si>
  <si>
    <t>pB, pS, dif, iF, gvlbM</t>
  </si>
  <si>
    <t>IC1705</t>
  </si>
  <si>
    <t>1h26m44.8s</t>
  </si>
  <si>
    <t>-3h30m6s</t>
  </si>
  <si>
    <t>Neb * 12, F D * nf 2'</t>
  </si>
  <si>
    <t>IC1706</t>
  </si>
  <si>
    <t>1h27m30.8s</t>
  </si>
  <si>
    <t>+14h49m9s</t>
  </si>
  <si>
    <t>faint, small, diffuse, very little brighter middle</t>
  </si>
  <si>
    <t>IC1707</t>
  </si>
  <si>
    <t>1h28m0s</t>
  </si>
  <si>
    <t>+37h7m2s</t>
  </si>
  <si>
    <t>eF, dif, * 13.3 close</t>
  </si>
  <si>
    <t>IC1708</t>
  </si>
  <si>
    <t>1h24m56.5s</t>
  </si>
  <si>
    <t>-71h11m2s</t>
  </si>
  <si>
    <t>very faint, very small, round, 9th magnitude star 4 arcmin to southeast</t>
  </si>
  <si>
    <t>vF, vS, R, * 9 sf 4'</t>
  </si>
  <si>
    <t>IC1709</t>
  </si>
  <si>
    <t>IC1710</t>
  </si>
  <si>
    <t>F, pL, dif, * 13.5 att</t>
  </si>
  <si>
    <t>IC1711</t>
  </si>
  <si>
    <t>1h30m55.2s</t>
  </si>
  <si>
    <t>+17h11m20s</t>
  </si>
  <si>
    <t>faint, pretty large, extended 260°, gradually brighter middle</t>
  </si>
  <si>
    <t>F, pL, E 260°, gbM</t>
  </si>
  <si>
    <t>IC1712</t>
  </si>
  <si>
    <t>IC1713</t>
  </si>
  <si>
    <t>1h32m43.8s</t>
  </si>
  <si>
    <t>+35h19m28s</t>
  </si>
  <si>
    <t>* 13, nebs ?</t>
  </si>
  <si>
    <t>IC1714</t>
  </si>
  <si>
    <t>1h32m53.1s</t>
  </si>
  <si>
    <t>-13h1m29s</t>
  </si>
  <si>
    <t>eeF, S, lE, v dif, * 8 n</t>
  </si>
  <si>
    <t>IC1715</t>
  </si>
  <si>
    <t>1h33m34.4s</t>
  </si>
  <si>
    <t>+12h35m8s</t>
  </si>
  <si>
    <t>IC1716</t>
  </si>
  <si>
    <t>1h33m26.8s</t>
  </si>
  <si>
    <t>-12h18m29s</t>
  </si>
  <si>
    <t>extremely faint, mottled but not resolved, possibly nebulous</t>
  </si>
  <si>
    <t>eF, r, neb ?</t>
  </si>
  <si>
    <t>IC1717</t>
  </si>
  <si>
    <t>1h32m30s</t>
  </si>
  <si>
    <t>-67h32m0s</t>
  </si>
  <si>
    <t>extremely faint, extremely small, much extended 25°, stellar nucleus</t>
  </si>
  <si>
    <t>eF, eS, mE 25°, stell N</t>
  </si>
  <si>
    <t>IC1718</t>
  </si>
  <si>
    <t>1h38m26.9s</t>
  </si>
  <si>
    <t>+33h21m55s</t>
  </si>
  <si>
    <t>F, pS, pR, * 13.5 att</t>
  </si>
  <si>
    <t>IC1719</t>
  </si>
  <si>
    <t>1h37m35.8s</t>
  </si>
  <si>
    <t>-33h55m27s</t>
  </si>
  <si>
    <t>vF, S, R, cF * nr nf</t>
  </si>
  <si>
    <t>IC1720</t>
  </si>
  <si>
    <t>1h40m21.4s</t>
  </si>
  <si>
    <t>-28h54m50s</t>
  </si>
  <si>
    <t>extremely faint, extremely small, round, bright star to west</t>
  </si>
  <si>
    <t>eF, eS, R, B * p</t>
  </si>
  <si>
    <t>IC1721</t>
  </si>
  <si>
    <t>1h41m24.4s</t>
  </si>
  <si>
    <t>+8h31m34s</t>
  </si>
  <si>
    <t>pretty bright, pretty small, extended east-west, gradually brighter middle, mottled but not resolved</t>
  </si>
  <si>
    <t>pB, pS, E pf, gbM, r</t>
  </si>
  <si>
    <t>IC1722</t>
  </si>
  <si>
    <t>1h43m2.7s</t>
  </si>
  <si>
    <t>-34h11m17s</t>
  </si>
  <si>
    <t>faint, small, considerably extended 45°</t>
  </si>
  <si>
    <t>F, S, cE 45°</t>
  </si>
  <si>
    <t>IC1723</t>
  </si>
  <si>
    <t>1h43m14.1s</t>
  </si>
  <si>
    <t>+8h53m20s</t>
  </si>
  <si>
    <t>faint, pretty large, extended 200°, gradually a little brighter middle</t>
  </si>
  <si>
    <t>F, pL, E 200°, glbM</t>
  </si>
  <si>
    <t>IC1724</t>
  </si>
  <si>
    <t>1h43m9.5s</t>
  </si>
  <si>
    <t>-34h14m32s</t>
  </si>
  <si>
    <t>F, S, cE 175°</t>
  </si>
  <si>
    <t>IC1725</t>
  </si>
  <si>
    <t>1h45m11.9s</t>
  </si>
  <si>
    <t>+21h46m36s</t>
  </si>
  <si>
    <t>faint, small, pretty round, diffuse</t>
  </si>
  <si>
    <t>F, S, pR, dif</t>
  </si>
  <si>
    <t>IC1726</t>
  </si>
  <si>
    <t>1h45m19.6s</t>
  </si>
  <si>
    <t>+4h37m9s</t>
  </si>
  <si>
    <t>faint, very small, gradually brighter middle, 13.5 magnitude star close</t>
  </si>
  <si>
    <t>F, vS, gbM, * 13.5 close</t>
  </si>
  <si>
    <t>IC1727</t>
  </si>
  <si>
    <t>1h47m30s</t>
  </si>
  <si>
    <t>+27h19m57s</t>
  </si>
  <si>
    <t>F, L, st inv, I 157 nf</t>
  </si>
  <si>
    <t>IC1728</t>
  </si>
  <si>
    <t>1h47m44.4s</t>
  </si>
  <si>
    <t>-33h36m6s</t>
  </si>
  <si>
    <t>faint, small, extended 160°, much brighter middle</t>
  </si>
  <si>
    <t>F, S, E 160°, mbM</t>
  </si>
  <si>
    <t>IC1729</t>
  </si>
  <si>
    <t>1h47m55.2s</t>
  </si>
  <si>
    <t>-26h53m31s</t>
  </si>
  <si>
    <t>pretty bright, extremely small, almost stellar, partially resolved? perhaps some stars seen?</t>
  </si>
  <si>
    <t>pB, eS, alm stell, rr ?</t>
  </si>
  <si>
    <t>IC1730</t>
  </si>
  <si>
    <t>1h49m57.9s</t>
  </si>
  <si>
    <t>+22h0m46s</t>
  </si>
  <si>
    <t>IC1731</t>
  </si>
  <si>
    <t>1h50m12.5s</t>
  </si>
  <si>
    <t>+27h11m46s</t>
  </si>
  <si>
    <t>faint, extended northwest southeast, brighter middle, probably spiral</t>
  </si>
  <si>
    <t>F, E npsf, bM, prob spir</t>
  </si>
  <si>
    <t>IC1732</t>
  </si>
  <si>
    <t>1h50m48s</t>
  </si>
  <si>
    <t>+35h55m59s</t>
  </si>
  <si>
    <t>very faint, pretty small, much brighter middle, perhaps extremely faint star involved</t>
  </si>
  <si>
    <t>vF, pS, mbM, ? eF st inv</t>
  </si>
  <si>
    <t>IC1733</t>
  </si>
  <si>
    <t>1h50m42.9s</t>
  </si>
  <si>
    <t>+33h4m56s</t>
  </si>
  <si>
    <t>faint, very small, pretty round, mottled but not resolved</t>
  </si>
  <si>
    <t>F, vS, pR, r</t>
  </si>
  <si>
    <t>IC1734</t>
  </si>
  <si>
    <t>1h49m16.8s</t>
  </si>
  <si>
    <t>-32h44m36s</t>
  </si>
  <si>
    <t>vF, pS, lE 100°, bM</t>
  </si>
  <si>
    <t>IC1735</t>
  </si>
  <si>
    <t>1h50m51.8s</t>
  </si>
  <si>
    <t>+33h5m31s</t>
  </si>
  <si>
    <t>IC1736</t>
  </si>
  <si>
    <t>1h50m53.2s</t>
  </si>
  <si>
    <t>+18h18m9s</t>
  </si>
  <si>
    <t>faint, pretty small, extended 210°, gradually a little brighter middle</t>
  </si>
  <si>
    <t>F, pS, E 210°, glbM</t>
  </si>
  <si>
    <t>IC1737</t>
  </si>
  <si>
    <t>1h51m42.4s</t>
  </si>
  <si>
    <t>+36h15m0s</t>
  </si>
  <si>
    <t>eF, 3 or 4 vF st in neb</t>
  </si>
  <si>
    <t>IC1738</t>
  </si>
  <si>
    <t>1h51m7.7s</t>
  </si>
  <si>
    <t>-9h47m35s</t>
  </si>
  <si>
    <t>eF, vS, I 62 p</t>
  </si>
  <si>
    <t>IC1739</t>
  </si>
  <si>
    <t>1h50m29.3s</t>
  </si>
  <si>
    <t>-34h3m20s</t>
  </si>
  <si>
    <t>considerably faint, considerably small, round, much brighter middle</t>
  </si>
  <si>
    <t>cF, cS, R, mbM</t>
  </si>
  <si>
    <t>IC1740</t>
  </si>
  <si>
    <t>1h48m51.6s</t>
  </si>
  <si>
    <t>-30h5m11s</t>
  </si>
  <si>
    <t>pB, eS, lE, like D *</t>
  </si>
  <si>
    <t>IC1741</t>
  </si>
  <si>
    <t>1h51m56.7s</t>
  </si>
  <si>
    <t>-16h47m15s</t>
  </si>
  <si>
    <t>eF, eS, ? = 690</t>
  </si>
  <si>
    <t>IC1742</t>
  </si>
  <si>
    <t>1h53m14.3s</t>
  </si>
  <si>
    <t>+22h43m16s</t>
  </si>
  <si>
    <t>faint, small, a little extended east-west, gradually a little brighter middle</t>
  </si>
  <si>
    <t>F, S, lE pf, glbM</t>
  </si>
  <si>
    <t>IC1743</t>
  </si>
  <si>
    <t>vF, pS, lbM, dif, ? = 716</t>
  </si>
  <si>
    <t>IC1744</t>
  </si>
  <si>
    <t>IC1745</t>
  </si>
  <si>
    <t>1h52m59s</t>
  </si>
  <si>
    <t>-16h40m9s</t>
  </si>
  <si>
    <t>IC1746</t>
  </si>
  <si>
    <t>1h54m24.2s</t>
  </si>
  <si>
    <t>+4h48m13s</t>
  </si>
  <si>
    <t>faint, small, pretty round, gradually brighter middle</t>
  </si>
  <si>
    <t>F, S, pR, gbM</t>
  </si>
  <si>
    <t>IC1747</t>
  </si>
  <si>
    <t>1h57m35.8s</t>
  </si>
  <si>
    <t>+63h19m22s</t>
  </si>
  <si>
    <t>IC1748</t>
  </si>
  <si>
    <t>1h56m8.8s</t>
  </si>
  <si>
    <t>+17h38m28s</t>
  </si>
  <si>
    <t>IC1749</t>
  </si>
  <si>
    <t>1h56m11s</t>
  </si>
  <si>
    <t>+6h44m44s</t>
  </si>
  <si>
    <t>faint, small, extended north-south, binuclear, mottled but not resolved</t>
  </si>
  <si>
    <t>F, S, E ns, biN, r</t>
  </si>
  <si>
    <t>IC1750</t>
  </si>
  <si>
    <t>1h56m18.7s</t>
  </si>
  <si>
    <t>+4h4m35s</t>
  </si>
  <si>
    <t>very faint, very small, pretty round, nuclear</t>
  </si>
  <si>
    <t>vF, vS, pR, N</t>
  </si>
  <si>
    <t>IC1751</t>
  </si>
  <si>
    <t>pretty bright, pretty small, round, 9th magnitude star to northwest</t>
  </si>
  <si>
    <t>pB, pS, R, * 9 np</t>
  </si>
  <si>
    <t>IC1752</t>
  </si>
  <si>
    <t>1h57m15.4s</t>
  </si>
  <si>
    <t>+28h36m51s</t>
  </si>
  <si>
    <t>F, vS, * 14.5 att</t>
  </si>
  <si>
    <t>IC1753</t>
  </si>
  <si>
    <t>1h57m19.3s</t>
  </si>
  <si>
    <t>+28h35m22s</t>
  </si>
  <si>
    <t>F, vS, dif, * 14.5 close</t>
  </si>
  <si>
    <t>IC1754</t>
  </si>
  <si>
    <t>1h56m49.8s</t>
  </si>
  <si>
    <t>+4h1m34s</t>
  </si>
  <si>
    <t>IC1755</t>
  </si>
  <si>
    <t>1h57m9.8s</t>
  </si>
  <si>
    <t>+14h32m59s</t>
  </si>
  <si>
    <t>IC1756</t>
  </si>
  <si>
    <t>1h57m5.2s</t>
  </si>
  <si>
    <t>-0h28m6s</t>
  </si>
  <si>
    <t>vF, E npsf, * 13 close sf</t>
  </si>
  <si>
    <t>IC1757</t>
  </si>
  <si>
    <t>1h57m11.5s</t>
  </si>
  <si>
    <t>-0h28m25s</t>
  </si>
  <si>
    <t>IC1758</t>
  </si>
  <si>
    <t>1h56m52.5s</t>
  </si>
  <si>
    <t>-16h32m30s</t>
  </si>
  <si>
    <t>F, eS, sbM * 11</t>
  </si>
  <si>
    <t>IC1759</t>
  </si>
  <si>
    <t>1h57m55.5s</t>
  </si>
  <si>
    <t>-32h59m14s</t>
  </si>
  <si>
    <t>pB, vS, R, bM, * 10 close sp</t>
  </si>
  <si>
    <t>IC1760</t>
  </si>
  <si>
    <t>extremely faint, pretty small, round (PD may be 123°)</t>
  </si>
  <si>
    <t>eF, pS, R [? PD 123°]</t>
  </si>
  <si>
    <t>IC1761</t>
  </si>
  <si>
    <t>1h58m52.2s</t>
  </si>
  <si>
    <t>+0h34m8s</t>
  </si>
  <si>
    <t>IC1762</t>
  </si>
  <si>
    <t>1h57m48.6s</t>
  </si>
  <si>
    <t>-33h14m23s</t>
  </si>
  <si>
    <t>most extremely faint, pretty small, round, 7th magnitude star to northeast</t>
  </si>
  <si>
    <t>eeF, pS, R, * 7 nf</t>
  </si>
  <si>
    <t>IC1763</t>
  </si>
  <si>
    <t>1h59m11.5s</t>
  </si>
  <si>
    <t>-27h48m41s</t>
  </si>
  <si>
    <t>eeF, S, R, * 8 ssf</t>
  </si>
  <si>
    <t>IC1764</t>
  </si>
  <si>
    <t>2h0m23.3s</t>
  </si>
  <si>
    <t>+24h34m47s</t>
  </si>
  <si>
    <t>IC1765</t>
  </si>
  <si>
    <t>S * att p</t>
  </si>
  <si>
    <t>IC1766</t>
  </si>
  <si>
    <t>IC1767</t>
  </si>
  <si>
    <t>1h59m59.4s</t>
  </si>
  <si>
    <t>-11h4m43s</t>
  </si>
  <si>
    <t>eF, pS, bet 2 st 10.5, 2 st n</t>
  </si>
  <si>
    <t>IC1768</t>
  </si>
  <si>
    <t>2h0m49.8s</t>
  </si>
  <si>
    <t>-25h1m35s</t>
  </si>
  <si>
    <t>eeF, pS, R, 3 st 9 sf, v diffic</t>
  </si>
  <si>
    <t>IC1769</t>
  </si>
  <si>
    <t>2h0m54.8s</t>
  </si>
  <si>
    <t>-31h55m14s</t>
  </si>
  <si>
    <t>extremely faint, extremely small, much extended 80°</t>
  </si>
  <si>
    <t>eF, eS, mE 80°</t>
  </si>
  <si>
    <t>IC1770</t>
  </si>
  <si>
    <t>2h2m14.4s</t>
  </si>
  <si>
    <t>+9h58m51s</t>
  </si>
  <si>
    <t>IC1771</t>
  </si>
  <si>
    <t>2h2m15.8s</t>
  </si>
  <si>
    <t>+9h58m7s</t>
  </si>
  <si>
    <t>IC1772</t>
  </si>
  <si>
    <t>2h2m42.8s</t>
  </si>
  <si>
    <t>+7h44m44s</t>
  </si>
  <si>
    <t>F, S, slbM, * 8.5 166" n</t>
  </si>
  <si>
    <t>IC1773</t>
  </si>
  <si>
    <t>very faint, very small, gradually brighter middle, mottled but not resolved</t>
  </si>
  <si>
    <t>vF, vS, gbM, r</t>
  </si>
  <si>
    <t>IC1774</t>
  </si>
  <si>
    <t>2h3m59s</t>
  </si>
  <si>
    <t>+15h19m4s</t>
  </si>
  <si>
    <t>IC1775</t>
  </si>
  <si>
    <t>2h5m17.5s</t>
  </si>
  <si>
    <t>+13h30m20s</t>
  </si>
  <si>
    <t>faint, small, diffuse, 13.5 magnitude star near</t>
  </si>
  <si>
    <t>F, S, dif, * 13.5 nr</t>
  </si>
  <si>
    <t>IC1776</t>
  </si>
  <si>
    <t>2h5m15.1s</t>
  </si>
  <si>
    <t>+6h6m20s</t>
  </si>
  <si>
    <t>faint, pretty large, irregularly round, diffuse</t>
  </si>
  <si>
    <t>F, pL, iR, dif</t>
  </si>
  <si>
    <t>IC1777</t>
  </si>
  <si>
    <t>2h6m8.6s</t>
  </si>
  <si>
    <t>+15h12m36s</t>
  </si>
  <si>
    <t>faint, extremely small, round, stellar</t>
  </si>
  <si>
    <t>F, eS, R, stell</t>
  </si>
  <si>
    <t>IC1778</t>
  </si>
  <si>
    <t>IC1779</t>
  </si>
  <si>
    <t>2h6m25.9s</t>
  </si>
  <si>
    <t>+3h42m23s</t>
  </si>
  <si>
    <t>faint, small, round, 14th magnitude star near</t>
  </si>
  <si>
    <t>F, S, R, * 14 nr</t>
  </si>
  <si>
    <t>IC1780</t>
  </si>
  <si>
    <t>2h6m51.1s</t>
  </si>
  <si>
    <t>+14h43m20s</t>
  </si>
  <si>
    <t>F, S, dif, sev st 9?10 nr</t>
  </si>
  <si>
    <t>IC1781</t>
  </si>
  <si>
    <t>2h6m52.8s</t>
  </si>
  <si>
    <t>-0h31m5s</t>
  </si>
  <si>
    <t>faint, very small, round, nuclear</t>
  </si>
  <si>
    <t>F, vS, R, N</t>
  </si>
  <si>
    <t>IC1782</t>
  </si>
  <si>
    <t>vF, D * in neb</t>
  </si>
  <si>
    <t>IC1783</t>
  </si>
  <si>
    <t>2h10m6s</t>
  </si>
  <si>
    <t>-32h56m23s</t>
  </si>
  <si>
    <t>pretty faint, very small, much extended north-south, faint star to west</t>
  </si>
  <si>
    <t>pF, vS, mE ns, F * p</t>
  </si>
  <si>
    <t>IC1784</t>
  </si>
  <si>
    <t>2h16m12.8s</t>
  </si>
  <si>
    <t>+32h38m57s</t>
  </si>
  <si>
    <t>faint, large, extended east-west, gradually brighter middle</t>
  </si>
  <si>
    <t>F, L, E pf, gbM</t>
  </si>
  <si>
    <t>IC1785</t>
  </si>
  <si>
    <t>2h16m21s</t>
  </si>
  <si>
    <t>+32h40m1s</t>
  </si>
  <si>
    <t>F, S, R, stell</t>
  </si>
  <si>
    <t>IC1786</t>
  </si>
  <si>
    <t>2h16m5.5s</t>
  </si>
  <si>
    <t>+5h8m46s</t>
  </si>
  <si>
    <t>very faint, very small, round, nuclear</t>
  </si>
  <si>
    <t>vF, vS, R, N</t>
  </si>
  <si>
    <t>IC1787</t>
  </si>
  <si>
    <t>extremely faint, very much extended, between 2 stars east and west, 8th magnitude star to northeast</t>
  </si>
  <si>
    <t>eF, vmE, bet 2 st pf, * 8 nf</t>
  </si>
  <si>
    <t>IC1788</t>
  </si>
  <si>
    <t>2h15m50.2s</t>
  </si>
  <si>
    <t>pretty faint, pretty small, round, 2 stars to northeast</t>
  </si>
  <si>
    <t>pF, pS, R, 2 st nf</t>
  </si>
  <si>
    <t>IC1789</t>
  </si>
  <si>
    <t>2h17m51.3s</t>
  </si>
  <si>
    <t>+32h23m44s</t>
  </si>
  <si>
    <t>faint, small, irregular figure, questionable</t>
  </si>
  <si>
    <t>F, S, iF, ?</t>
  </si>
  <si>
    <t>IC1790</t>
  </si>
  <si>
    <t>2h17m37.9s</t>
  </si>
  <si>
    <t>+12h30m33s</t>
  </si>
  <si>
    <t>IC1791</t>
  </si>
  <si>
    <t>2h17m41.3s</t>
  </si>
  <si>
    <t>+12h28m13s</t>
  </si>
  <si>
    <t>S, R, like neb * 11</t>
  </si>
  <si>
    <t>IC1792</t>
  </si>
  <si>
    <t>2h19m1.1s</t>
  </si>
  <si>
    <t>+34h27m42s</t>
  </si>
  <si>
    <t>faint, small, pretty round, gradually brighter middle, mottled but not resolved</t>
  </si>
  <si>
    <t>F, S, pR, gbM, r</t>
  </si>
  <si>
    <t>IC1793</t>
  </si>
  <si>
    <t>2h21m32.2s</t>
  </si>
  <si>
    <t>+32h32m39s</t>
  </si>
  <si>
    <t>faint, small, extended 200°, gradually a little brighter middle</t>
  </si>
  <si>
    <t>F, S, E 200°, glbM</t>
  </si>
  <si>
    <t>IC1794</t>
  </si>
  <si>
    <t>2h21m30.1s</t>
  </si>
  <si>
    <t>+15h45m44s</t>
  </si>
  <si>
    <t>faint, very small, diffuse, mottled but not resolved</t>
  </si>
  <si>
    <t>F, vS, dif, r</t>
  </si>
  <si>
    <t>IC1795</t>
  </si>
  <si>
    <t>鱼头星云</t>
  </si>
  <si>
    <t>Patch of neby</t>
  </si>
  <si>
    <t>IC1796</t>
  </si>
  <si>
    <t>2h22m47.3s</t>
  </si>
  <si>
    <t>-41h22m15s</t>
  </si>
  <si>
    <t>IC1797</t>
  </si>
  <si>
    <t>2h25m27.9s</t>
  </si>
  <si>
    <t>+20h23m44s</t>
  </si>
  <si>
    <t>faint, very small, irregular figure, diffuse</t>
  </si>
  <si>
    <t>F, vS, iF, dif</t>
  </si>
  <si>
    <t>IC1798</t>
  </si>
  <si>
    <t>2h26m15.5s</t>
  </si>
  <si>
    <t>+13h25m51s</t>
  </si>
  <si>
    <t>very faint, very small, suddenly brighter middle equal to 15th magnitude star</t>
  </si>
  <si>
    <t>vF, vS, sbM * 15</t>
  </si>
  <si>
    <t>IC1799</t>
  </si>
  <si>
    <t>vF, S, lbM, * 13 p 0'.5</t>
  </si>
  <si>
    <t>IC1800</t>
  </si>
  <si>
    <t>2h28m31.4s</t>
  </si>
  <si>
    <t>+31h24m48s</t>
  </si>
  <si>
    <t>eF, S, ? eS Cl</t>
  </si>
  <si>
    <t>IC1801</t>
  </si>
  <si>
    <t>2h28m12.9s</t>
  </si>
  <si>
    <t>+19h34m59s</t>
  </si>
  <si>
    <t>faint, small, gradually a little brighter middle, diffuse</t>
  </si>
  <si>
    <t>F, S, glbM, dif</t>
  </si>
  <si>
    <t>IC1802</t>
  </si>
  <si>
    <t>2h29m13.9s</t>
  </si>
  <si>
    <t>+23h5m0s</t>
  </si>
  <si>
    <t>magnitude 11 star 1 arcmin to the northwest</t>
  </si>
  <si>
    <t>* 11 np 1'</t>
  </si>
  <si>
    <t>IC1803</t>
  </si>
  <si>
    <t>2h29m17.2s</t>
  </si>
  <si>
    <t>+23h8m27s</t>
  </si>
  <si>
    <t>stellar nucleus</t>
  </si>
  <si>
    <t>Stell N</t>
  </si>
  <si>
    <t>IC1804</t>
  </si>
  <si>
    <t>2h29m54.4s</t>
  </si>
  <si>
    <t>+23h5m50s</t>
  </si>
  <si>
    <t>IC1805</t>
  </si>
  <si>
    <t>心脏星云</t>
  </si>
  <si>
    <t>2h32m48s</t>
  </si>
  <si>
    <t>+61h27m42s</t>
  </si>
  <si>
    <t>Cl, co, eL neby extends f</t>
  </si>
  <si>
    <t>IC1806</t>
  </si>
  <si>
    <t>2h29m34.9s</t>
  </si>
  <si>
    <t>+22h56m38s</t>
  </si>
  <si>
    <t>IC1807</t>
  </si>
  <si>
    <t>2h30m30.9s</t>
  </si>
  <si>
    <t>+22h57m1s</t>
  </si>
  <si>
    <t>IC1808</t>
  </si>
  <si>
    <t>IC1809</t>
  </si>
  <si>
    <t>2h31m40.5s</t>
  </si>
  <si>
    <t>+22h55m3s</t>
  </si>
  <si>
    <t>pretty bright, pretty large, extended 135°, gradually brighter middle</t>
  </si>
  <si>
    <t>pB, pL, E 135°, gbM</t>
  </si>
  <si>
    <t>IC1810</t>
  </si>
  <si>
    <t>2h29m26.6s</t>
  </si>
  <si>
    <t>-43h4m36s</t>
  </si>
  <si>
    <t>very faint, round, stellar nucleus</t>
  </si>
  <si>
    <t>vF, R, stell N</t>
  </si>
  <si>
    <t>IC1811</t>
  </si>
  <si>
    <t>2h30m38s</t>
  </si>
  <si>
    <t>-34h15m53s</t>
  </si>
  <si>
    <t>eeF, S, R, 2 st p, np of 2 (sic)</t>
  </si>
  <si>
    <t>IC1812</t>
  </si>
  <si>
    <t>2h29m31.8s</t>
  </si>
  <si>
    <t>-42h48m41s</t>
  </si>
  <si>
    <t>IC1813</t>
  </si>
  <si>
    <t>2h30m49.6s</t>
  </si>
  <si>
    <t>-34h13m18s</t>
  </si>
  <si>
    <t>eF, eS, R, F * n, 2 st np, sf of 2 (sic)</t>
  </si>
  <si>
    <t>IC1814</t>
  </si>
  <si>
    <t>pretty bright, pretty small, much extended</t>
  </si>
  <si>
    <t>IC1815</t>
  </si>
  <si>
    <t>2h34m19.9s</t>
  </si>
  <si>
    <t>+32h25m48s</t>
  </si>
  <si>
    <t>IC1816</t>
  </si>
  <si>
    <t>2h31m51s</t>
  </si>
  <si>
    <t>-36h40m20s</t>
  </si>
  <si>
    <t>vF, S, R, 2 st nr p</t>
  </si>
  <si>
    <t>IC1817</t>
  </si>
  <si>
    <t>2h33m49.5s</t>
  </si>
  <si>
    <t>+11h12m12s</t>
  </si>
  <si>
    <t>faint, pretty large, extended east-west, diffuse</t>
  </si>
  <si>
    <t>F, pL, E pf, dif</t>
  </si>
  <si>
    <t>IC1818</t>
  </si>
  <si>
    <t>2h34m7.1s</t>
  </si>
  <si>
    <t>-11h2m25s</t>
  </si>
  <si>
    <t>vF, eS, R, prob neb *</t>
  </si>
  <si>
    <t>IC1819</t>
  </si>
  <si>
    <t>2h35m41.8s</t>
  </si>
  <si>
    <t>+4h3m8s</t>
  </si>
  <si>
    <t>IC1820</t>
  </si>
  <si>
    <t>2h35m52.7s</t>
  </si>
  <si>
    <t>+6h2m27s</t>
  </si>
  <si>
    <t>IC1821</t>
  </si>
  <si>
    <t>2h36m25.3s</t>
  </si>
  <si>
    <t>pretty faint, small, gradually brighter middle, diffuse</t>
  </si>
  <si>
    <t>pF, S, gbM, dif</t>
  </si>
  <si>
    <t>IC1822</t>
  </si>
  <si>
    <t>2h35m42.3s</t>
  </si>
  <si>
    <t>-8h33m44s</t>
  </si>
  <si>
    <t>* 13.5 slightly nebs</t>
  </si>
  <si>
    <t>IC1823</t>
  </si>
  <si>
    <t>2h38m36.9s</t>
  </si>
  <si>
    <t>+32h4m13s</t>
  </si>
  <si>
    <t>faint, small, irregular figure, diffuse</t>
  </si>
  <si>
    <t>F, S, iF, dif</t>
  </si>
  <si>
    <t>IC1824</t>
  </si>
  <si>
    <t>a cluster, faint stars, perhaps faint nebulosity to west extends to it</t>
  </si>
  <si>
    <t>Cl, st F, perh. F neby p extends to it</t>
  </si>
  <si>
    <t>IC1825</t>
  </si>
  <si>
    <t>2h38m55.5s</t>
  </si>
  <si>
    <t>+9h5m49s</t>
  </si>
  <si>
    <t>IC1826</t>
  </si>
  <si>
    <t>2h39m3.7s</t>
  </si>
  <si>
    <t>-27h26m35s</t>
  </si>
  <si>
    <t>pB, cS, R, * 8 nr p</t>
  </si>
  <si>
    <t>IC1827</t>
  </si>
  <si>
    <t>2h39m46.4s</t>
  </si>
  <si>
    <t>+1h33m30s</t>
  </si>
  <si>
    <t>F, S, fan-shape, * 13.5 close s</t>
  </si>
  <si>
    <t>IC1828</t>
  </si>
  <si>
    <t>faint, small, irregular figure, gradually brighter middle and nucleus</t>
  </si>
  <si>
    <t>F, S, iF, gbMN</t>
  </si>
  <si>
    <t>IC1829</t>
  </si>
  <si>
    <t>+14h17m53s</t>
  </si>
  <si>
    <t>very faint, very small, diffuse, mottled but not resolved</t>
  </si>
  <si>
    <t>vF, vS, dif, r</t>
  </si>
  <si>
    <t>IC1830</t>
  </si>
  <si>
    <t>vF, S, susp, eF * 1'.5 sp</t>
  </si>
  <si>
    <t>IC1831</t>
  </si>
  <si>
    <t>2h44m0s</t>
  </si>
  <si>
    <t>+63h0m36s</t>
  </si>
  <si>
    <t>very faint, most extremely large</t>
  </si>
  <si>
    <t>vF, eeL</t>
  </si>
  <si>
    <t>IC1832</t>
  </si>
  <si>
    <t>2h41m57.6s</t>
  </si>
  <si>
    <t>+19h1m50s</t>
  </si>
  <si>
    <t>F, iF or lE ns, bMN</t>
  </si>
  <si>
    <t>IC1833</t>
  </si>
  <si>
    <t>2h41m38.6s</t>
  </si>
  <si>
    <t>-28h10m18s</t>
  </si>
  <si>
    <t>eeF, S, R, 3 D st nf</t>
  </si>
  <si>
    <t>IC1834</t>
  </si>
  <si>
    <t>2h42m48s</t>
  </si>
  <si>
    <t>+3h5m2s</t>
  </si>
  <si>
    <t>faint, pretty small, pretty round, gradually a little brighter middle</t>
  </si>
  <si>
    <t>F, pS, pR, glbM</t>
  </si>
  <si>
    <t>IC1835</t>
  </si>
  <si>
    <t>2h43m49s</t>
  </si>
  <si>
    <t>+14h53m22s</t>
  </si>
  <si>
    <t>IC1836</t>
  </si>
  <si>
    <t>2h43m23.3s</t>
  </si>
  <si>
    <t>+3h6m18s</t>
  </si>
  <si>
    <t>IC1837</t>
  </si>
  <si>
    <t>IC1838</t>
  </si>
  <si>
    <t>2h44m43s</t>
  </si>
  <si>
    <t>+19h27m18s</t>
  </si>
  <si>
    <t>faint, very small, round, suddenly brighter middle equivalent to 14th magnitude star</t>
  </si>
  <si>
    <t>F, vS, R, sbM * 14</t>
  </si>
  <si>
    <t>IC1839</t>
  </si>
  <si>
    <t>+15h14m22s</t>
  </si>
  <si>
    <t>IC1840</t>
  </si>
  <si>
    <t>vF, vS, mbM, 1081 nf</t>
  </si>
  <si>
    <t>IC1841</t>
  </si>
  <si>
    <t>2h45m36.3s</t>
  </si>
  <si>
    <t>+18h55m45s</t>
  </si>
  <si>
    <t>IC1842</t>
  </si>
  <si>
    <t>2h45m23.4s</t>
  </si>
  <si>
    <t>+11h27m32s</t>
  </si>
  <si>
    <t>IC1843</t>
  </si>
  <si>
    <t>2h45m24.9s</t>
  </si>
  <si>
    <t>+2h52m50s</t>
  </si>
  <si>
    <t>IC1844</t>
  </si>
  <si>
    <t>2h45m49.2s</t>
  </si>
  <si>
    <t>+3h13m50s</t>
  </si>
  <si>
    <t>faint, pretty faint, extended east-west, diffuse</t>
  </si>
  <si>
    <t>F, pF, E pf, dif</t>
  </si>
  <si>
    <t>IC1845</t>
  </si>
  <si>
    <t>2h43m56.7s</t>
  </si>
  <si>
    <t>-27h58m5s</t>
  </si>
  <si>
    <t>most extremely faint, small, round, double star to northwest</t>
  </si>
  <si>
    <t>eeF, S, R, D * np</t>
  </si>
  <si>
    <t>IC1846</t>
  </si>
  <si>
    <t>faint, small, a gradually little brighter middle</t>
  </si>
  <si>
    <t>F, S, glbM</t>
  </si>
  <si>
    <t>IC1847</t>
  </si>
  <si>
    <t>2h47m53.6s</t>
  </si>
  <si>
    <t>+14h30m20s</t>
  </si>
  <si>
    <t>IC1848</t>
  </si>
  <si>
    <t>2h51m18s</t>
  </si>
  <si>
    <t>+60h24m30s</t>
  </si>
  <si>
    <t>Cl, st F, extends 8m f, in F neby</t>
  </si>
  <si>
    <t>IC1849</t>
  </si>
  <si>
    <t>2h47m44.7s</t>
  </si>
  <si>
    <t>+9h21m24s</t>
  </si>
  <si>
    <t>IC1850</t>
  </si>
  <si>
    <t>IC1851</t>
  </si>
  <si>
    <t>2h51m45.9s</t>
  </si>
  <si>
    <t>+58h18m52s</t>
  </si>
  <si>
    <t>6.2 magnitude star, nebula attached to southwest, 5' long</t>
  </si>
  <si>
    <t>* 6.2, neb att sp, 5' l</t>
  </si>
  <si>
    <t>IC1852</t>
  </si>
  <si>
    <t>IC1853</t>
  </si>
  <si>
    <t>2h48m4.3s</t>
  </si>
  <si>
    <t>-13h59m36s</t>
  </si>
  <si>
    <t>extremely faint, very small, (NGC) 1103 2s east and 2' north</t>
  </si>
  <si>
    <t>eF, vS, 1103 f 2s, 2' n</t>
  </si>
  <si>
    <t>IC1854</t>
  </si>
  <si>
    <t>2h49m20.6s</t>
  </si>
  <si>
    <t>+19h18m16s</t>
  </si>
  <si>
    <t>faint, very small, round, bright middle and nucleus</t>
  </si>
  <si>
    <t>IC1855</t>
  </si>
  <si>
    <t>2h49m4.3s</t>
  </si>
  <si>
    <t>+13h26m34s</t>
  </si>
  <si>
    <t>faint, pretty large, double north south, binary nucleus</t>
  </si>
  <si>
    <t>F, pL, D ns, biN</t>
  </si>
  <si>
    <t>IC1856</t>
  </si>
  <si>
    <t>2h48m50.8s</t>
  </si>
  <si>
    <t>-0h46m2s</t>
  </si>
  <si>
    <t>faint, small, extended 200°, gradually brighter middle and nucleus</t>
  </si>
  <si>
    <t>F, S, E 200°, gbMN</t>
  </si>
  <si>
    <t>IC1857</t>
  </si>
  <si>
    <t>2h49m38.8s</t>
  </si>
  <si>
    <t>+14h37m12s</t>
  </si>
  <si>
    <t>IC1858</t>
  </si>
  <si>
    <t>2h49m8.4s</t>
  </si>
  <si>
    <t>-31h17m22s</t>
  </si>
  <si>
    <t>very faint, pretty small, round, 1st of 3</t>
  </si>
  <si>
    <t>vF, pS, R, 1st of 3</t>
  </si>
  <si>
    <t>IC1859</t>
  </si>
  <si>
    <t>2h49m3.8s</t>
  </si>
  <si>
    <t>-31h10m21s</t>
  </si>
  <si>
    <t>pretty faint, pretty small, round, 2nd of 3</t>
  </si>
  <si>
    <t>pF, pS, R, 2nd of 3</t>
  </si>
  <si>
    <t>IC1860</t>
  </si>
  <si>
    <t>2h49m33.7s</t>
  </si>
  <si>
    <t>-31h11m23s</t>
  </si>
  <si>
    <t>pretty faint, pretty small, a little extended, 3rd of 3</t>
  </si>
  <si>
    <t>pF, pS, lE, 3rd of 3</t>
  </si>
  <si>
    <t>IC1861</t>
  </si>
  <si>
    <t>2h53m7s</t>
  </si>
  <si>
    <t>+25h29m25s</t>
  </si>
  <si>
    <t>faint, pretty small, round, very gradually brighter middle</t>
  </si>
  <si>
    <t>F, pS, R, vgbM</t>
  </si>
  <si>
    <t>IC1862</t>
  </si>
  <si>
    <t>2h51m58.8s</t>
  </si>
  <si>
    <t>-33h20m24s</t>
  </si>
  <si>
    <t>most extremely faint, very small, a little extended, very difficult, 7th magnitude star to southeast</t>
  </si>
  <si>
    <t>eeF, vS, lE, v diffic, * 7 sf</t>
  </si>
  <si>
    <t>IC1863</t>
  </si>
  <si>
    <t>2h54m50.7s</t>
  </si>
  <si>
    <t>+8h47m6s</t>
  </si>
  <si>
    <t>faint, very small, round, gradually brighter middle and nucleus</t>
  </si>
  <si>
    <t>F, vS, R, gbMN</t>
  </si>
  <si>
    <t>IC1864</t>
  </si>
  <si>
    <t>2h53m39.4s</t>
  </si>
  <si>
    <t>-34h11m53s</t>
  </si>
  <si>
    <t>IC1865</t>
  </si>
  <si>
    <t>2h55m20s</t>
  </si>
  <si>
    <t>+8h49m41s</t>
  </si>
  <si>
    <t>IC1866</t>
  </si>
  <si>
    <t>2h54m52.9s</t>
  </si>
  <si>
    <t>-15h39m10s</t>
  </si>
  <si>
    <t>IC1867</t>
  </si>
  <si>
    <t>2h55m52.2s</t>
  </si>
  <si>
    <t>+9h18m44s</t>
  </si>
  <si>
    <t>IC1868</t>
  </si>
  <si>
    <t>2h56m5.8s</t>
  </si>
  <si>
    <t>+9h22m46s</t>
  </si>
  <si>
    <t>IC1869</t>
  </si>
  <si>
    <t>2h58m11.7s</t>
  </si>
  <si>
    <t>+5h50m12s</t>
  </si>
  <si>
    <t>F, eS, like neb D *</t>
  </si>
  <si>
    <t>IC1870</t>
  </si>
  <si>
    <t>2h57m53.5s</t>
  </si>
  <si>
    <t>-2h20m48s</t>
  </si>
  <si>
    <t>very faint, round, very gradually brighter middle, very difficult</t>
  </si>
  <si>
    <t>vF, R, vgbM, v diffic</t>
  </si>
  <si>
    <t>IC1871</t>
  </si>
  <si>
    <t>2h57m21.7s</t>
  </si>
  <si>
    <t>+60h40m20s</t>
  </si>
  <si>
    <t>* 9.3 nebs, chiefly f</t>
  </si>
  <si>
    <t>IC1872</t>
  </si>
  <si>
    <t>3h4m34.9s</t>
  </si>
  <si>
    <t>+42h48m34s</t>
  </si>
  <si>
    <t>IC1873</t>
  </si>
  <si>
    <t>3h3m52.8s</t>
  </si>
  <si>
    <t>+9h36m50s</t>
  </si>
  <si>
    <t>faint, small, extended 200°</t>
  </si>
  <si>
    <t>F, S, E 200°</t>
  </si>
  <si>
    <t>IC1874</t>
  </si>
  <si>
    <t>3h6m21.9s</t>
  </si>
  <si>
    <t>+36h0m54s</t>
  </si>
  <si>
    <t>faint, very small, very little brighter middle, diffuse</t>
  </si>
  <si>
    <t>F, vS, vlbM, dif</t>
  </si>
  <si>
    <t>IC1875</t>
  </si>
  <si>
    <t>3h3m56.6s</t>
  </si>
  <si>
    <t>-39h26m27s</t>
  </si>
  <si>
    <t>eF, pS, R, F D * sf in line</t>
  </si>
  <si>
    <t>IC1876</t>
  </si>
  <si>
    <t>-27h27m36s</t>
  </si>
  <si>
    <t>most extremely faint, small, round, faint star near to southeast</t>
  </si>
  <si>
    <t>eeF, S, R, F * nr sf</t>
  </si>
  <si>
    <t>IC1877</t>
  </si>
  <si>
    <t>3h3m9.6s</t>
  </si>
  <si>
    <t>-50h30m41s</t>
  </si>
  <si>
    <t>eF, vS, E 170°, prob neb</t>
  </si>
  <si>
    <t>IC1878</t>
  </si>
  <si>
    <t>-52h6m6s</t>
  </si>
  <si>
    <t>eeF, eS, cE 5°, prob neb</t>
  </si>
  <si>
    <t>IC1879</t>
  </si>
  <si>
    <t>3h3m52.5s</t>
  </si>
  <si>
    <t>-52h7m4s</t>
  </si>
  <si>
    <t>most extremely faint, extremely small, much extended 135°, stellar nucleus</t>
  </si>
  <si>
    <t>eeF, eS, mE 135°, stell N</t>
  </si>
  <si>
    <t>IC1880</t>
  </si>
  <si>
    <t>3h6m28.4s</t>
  </si>
  <si>
    <t>eF, S, * 9 f 8s</t>
  </si>
  <si>
    <t>IC1881</t>
  </si>
  <si>
    <t>very faint, pretty small, very diffuse (? = 1213)</t>
  </si>
  <si>
    <t>vF, pS, v dif [? = 1213]</t>
  </si>
  <si>
    <t>IC1882</t>
  </si>
  <si>
    <t>3h7m49.5s</t>
  </si>
  <si>
    <t>+3h8m50s</t>
  </si>
  <si>
    <t>faint, pretty large, extended 210°</t>
  </si>
  <si>
    <t>F, pL, E 210°</t>
  </si>
  <si>
    <t>IC1883</t>
  </si>
  <si>
    <t>small, round, very gradually brighter middle</t>
  </si>
  <si>
    <t>S, R, vgbM</t>
  </si>
  <si>
    <t>IC1884</t>
  </si>
  <si>
    <t>small, extended northwest southeast, difficult, 12th magnitude star close to east</t>
  </si>
  <si>
    <t>S, E npsf, diffic, * 12 close f</t>
  </si>
  <si>
    <t>IC1885</t>
  </si>
  <si>
    <t>3h6m40.3s</t>
  </si>
  <si>
    <t>-32h51m51s</t>
  </si>
  <si>
    <t>very faint, very small, much extended 140°, gradually brighter middle</t>
  </si>
  <si>
    <t>vF, vS, mE 140°, gbM</t>
  </si>
  <si>
    <t>IC1886</t>
  </si>
  <si>
    <t>3h8m3.2s</t>
  </si>
  <si>
    <t>-4h24m0s</t>
  </si>
  <si>
    <t>vF, S, vmbM, * 13 s 1'.2</t>
  </si>
  <si>
    <t>IC1887</t>
  </si>
  <si>
    <t>* 12 close sf</t>
  </si>
  <si>
    <t>IC1888</t>
  </si>
  <si>
    <t>IC1889</t>
  </si>
  <si>
    <t>faint, round, very gradually brighter middle</t>
  </si>
  <si>
    <t>F, R, vgbM</t>
  </si>
  <si>
    <t>IC1890</t>
  </si>
  <si>
    <t>3h9m58.4s</t>
  </si>
  <si>
    <t>+19h12m31s</t>
  </si>
  <si>
    <t>pretty bright, pretty large, irregular figure, nuclear, mottled but not resolved</t>
  </si>
  <si>
    <t>pB, pL, iF, N, r</t>
  </si>
  <si>
    <t>IC1891</t>
  </si>
  <si>
    <t>3h10m12s</t>
  </si>
  <si>
    <t>+19h36m24s</t>
  </si>
  <si>
    <t>very faint, small, brighter middle, diffuse</t>
  </si>
  <si>
    <t>vF, S, bM, dif</t>
  </si>
  <si>
    <t>IC1892</t>
  </si>
  <si>
    <t>3h8m27.2s</t>
  </si>
  <si>
    <t>-23h3m20s</t>
  </si>
  <si>
    <t>vF, L, nr 1230</t>
  </si>
  <si>
    <t>IC1893</t>
  </si>
  <si>
    <t>3h10m16.5s</t>
  </si>
  <si>
    <t>+19h37m1s</t>
  </si>
  <si>
    <t>ef, vS, diffic</t>
  </si>
  <si>
    <t>IC1894</t>
  </si>
  <si>
    <t>3h10m25.4s</t>
  </si>
  <si>
    <t>+19h36m26s</t>
  </si>
  <si>
    <t>faint, small, very little brighter middle, diffuse</t>
  </si>
  <si>
    <t>F, S, vlbM, dif</t>
  </si>
  <si>
    <t>IC1895</t>
  </si>
  <si>
    <t>3h9m36.2s</t>
  </si>
  <si>
    <t>-25h15m12s</t>
  </si>
  <si>
    <t>eeF, pS, 2 st close p</t>
  </si>
  <si>
    <t>IC1896</t>
  </si>
  <si>
    <t>3h7m52.9s</t>
  </si>
  <si>
    <t>-54h12m50s</t>
  </si>
  <si>
    <t>most extremely faint, extremely small, considerably extended 10°, stellar nucleus</t>
  </si>
  <si>
    <t>eeF, eS, cE 10°, stell N</t>
  </si>
  <si>
    <t>IC1897</t>
  </si>
  <si>
    <t>3h10m45.9s</t>
  </si>
  <si>
    <t>-10h47m44s</t>
  </si>
  <si>
    <t>eF, vS, nr 1238</t>
  </si>
  <si>
    <t>IC1898</t>
  </si>
  <si>
    <t>3h10m20.4s</t>
  </si>
  <si>
    <t>-22h24m14s</t>
  </si>
  <si>
    <t>Neb line at 60°, susp</t>
  </si>
  <si>
    <t>IC1899</t>
  </si>
  <si>
    <t>3h12m13s</t>
  </si>
  <si>
    <t>-25h18m18s</t>
  </si>
  <si>
    <t>most extremely faint, small, round, 2 faint stars in line to southwest</t>
  </si>
  <si>
    <t>eeF, S, R, 2 F st sp in line</t>
  </si>
  <si>
    <t>IC1900</t>
  </si>
  <si>
    <t>3h15m55.2s</t>
  </si>
  <si>
    <t>+37h9m17s</t>
  </si>
  <si>
    <t>faint, small, pretty round, gradually brighter middle and nucleus</t>
  </si>
  <si>
    <t>F, S, pR, gbMN</t>
  </si>
  <si>
    <t>IC1901</t>
  </si>
  <si>
    <t>3h16m2.5s</t>
  </si>
  <si>
    <t>+37h6m47s</t>
  </si>
  <si>
    <t>IC1902</t>
  </si>
  <si>
    <t>3h16m12.4s</t>
  </si>
  <si>
    <t>+37h10m41s</t>
  </si>
  <si>
    <t>IC1903</t>
  </si>
  <si>
    <t>3h13m12.6s</t>
  </si>
  <si>
    <t>-50h34m41s</t>
  </si>
  <si>
    <t>2 faint nebulae, extended</t>
  </si>
  <si>
    <t>2 F neb, E</t>
  </si>
  <si>
    <t>IC1904</t>
  </si>
  <si>
    <t>3h15m0.9s</t>
  </si>
  <si>
    <t>-30h42m30s</t>
  </si>
  <si>
    <t>extremely faint, very small, much extended 80°, stellar nucleus</t>
  </si>
  <si>
    <t>eF, vS, mE 80°, stell N</t>
  </si>
  <si>
    <t>IC1905</t>
  </si>
  <si>
    <t>3h18m48s</t>
  </si>
  <si>
    <t>+41h21m59s</t>
  </si>
  <si>
    <t>a cluster, small, very faint, perhaps nebulous</t>
  </si>
  <si>
    <t>Cl, S, vF, ? Neb</t>
  </si>
  <si>
    <t>IC1906</t>
  </si>
  <si>
    <t>3h16m5.7s</t>
  </si>
  <si>
    <t>-34h21m36s</t>
  </si>
  <si>
    <t>vF, vS, vmE 60°, gbM</t>
  </si>
  <si>
    <t>IC1907</t>
  </si>
  <si>
    <t>very faint, small, very much brighter middle</t>
  </si>
  <si>
    <t>vF, S, vmbM</t>
  </si>
  <si>
    <t>IC1908</t>
  </si>
  <si>
    <t>3h15m5.1s</t>
  </si>
  <si>
    <t>-54h49m9s</t>
  </si>
  <si>
    <t>very faint, very small, spiral branch</t>
  </si>
  <si>
    <t>vF, vS, spir branch</t>
  </si>
  <si>
    <t>IC1909</t>
  </si>
  <si>
    <t>3h17m20s</t>
  </si>
  <si>
    <t>-33h41m25s</t>
  </si>
  <si>
    <t>very faint, very small, considerably extended 45°, stellar nucleus</t>
  </si>
  <si>
    <t>vF, vS, cE 45°, stell N</t>
  </si>
  <si>
    <t>IC1910</t>
  </si>
  <si>
    <t>3h17m55.7s</t>
  </si>
  <si>
    <t>-21h26m5s</t>
  </si>
  <si>
    <t>2 eF, eS neb susp</t>
  </si>
  <si>
    <t>IC1911</t>
  </si>
  <si>
    <t>3h20m46s</t>
  </si>
  <si>
    <t>+35h17m40s</t>
  </si>
  <si>
    <t>Neb, not well seen</t>
  </si>
  <si>
    <t>IC1912</t>
  </si>
  <si>
    <t xml:space="preserve">Sc </t>
  </si>
  <si>
    <t>3h16m43.3s</t>
  </si>
  <si>
    <t>-50h39m18s</t>
  </si>
  <si>
    <t>small, extended north-south</t>
  </si>
  <si>
    <t>S, E ns</t>
  </si>
  <si>
    <t>IC1913</t>
  </si>
  <si>
    <t>3h19m34.5s</t>
  </si>
  <si>
    <t>-32h27m54s</t>
  </si>
  <si>
    <t>very faint, very small, much extended 155°, considerably brighter middle</t>
  </si>
  <si>
    <t>vF, vS, mE 155°, cbM</t>
  </si>
  <si>
    <t>IC1914</t>
  </si>
  <si>
    <t>-49h35m57s</t>
  </si>
  <si>
    <t>Spiral?</t>
  </si>
  <si>
    <t>IC1915</t>
  </si>
  <si>
    <t>SB?    R</t>
  </si>
  <si>
    <t>3h19m51.8s</t>
  </si>
  <si>
    <t>-50h41m31s</t>
  </si>
  <si>
    <t>extended north-south</t>
  </si>
  <si>
    <t>E ns</t>
  </si>
  <si>
    <t>IC1916</t>
  </si>
  <si>
    <t>3h20m16.2s</t>
  </si>
  <si>
    <t>-49h2m30s</t>
  </si>
  <si>
    <t>faint, small, round, 2 stars to southwest</t>
  </si>
  <si>
    <t>F, S, R, 2 st sp</t>
  </si>
  <si>
    <t>IC1917</t>
  </si>
  <si>
    <t>3h22m12.3s</t>
  </si>
  <si>
    <t>-53h11m8s</t>
  </si>
  <si>
    <t>IC1918</t>
  </si>
  <si>
    <t>3h26m17.8s</t>
  </si>
  <si>
    <t>+4h32m30s</t>
  </si>
  <si>
    <t>IC1919</t>
  </si>
  <si>
    <t>3h26m2.1s</t>
  </si>
  <si>
    <t>-32h53m41s</t>
  </si>
  <si>
    <t>eF, pS, lE, sev st n [? RA 9m]</t>
  </si>
  <si>
    <t>IC1920</t>
  </si>
  <si>
    <t>3h24m24.4s</t>
  </si>
  <si>
    <t>-52h42m49s</t>
  </si>
  <si>
    <t>IC1921</t>
  </si>
  <si>
    <t>3h24m42s</t>
  </si>
  <si>
    <t>-50h41m54s</t>
  </si>
  <si>
    <t>IC1922</t>
  </si>
  <si>
    <t>3h24m43s</t>
  </si>
  <si>
    <t>-50h44m25s</t>
  </si>
  <si>
    <t>IC1923</t>
  </si>
  <si>
    <t>3h24m53s</t>
  </si>
  <si>
    <t>-50h33m20s</t>
  </si>
  <si>
    <t>IC1924</t>
  </si>
  <si>
    <t>3h25m7.5s</t>
  </si>
  <si>
    <t>-51h42m12s</t>
  </si>
  <si>
    <t>extended, stellar</t>
  </si>
  <si>
    <t>E, stellar</t>
  </si>
  <si>
    <t>IC1925</t>
  </si>
  <si>
    <t>3h25m25.6s</t>
  </si>
  <si>
    <t>-51h16m0s</t>
  </si>
  <si>
    <t>extended northwest southeast, stellar</t>
  </si>
  <si>
    <t>E npsf, stell</t>
  </si>
  <si>
    <t>IC1926</t>
  </si>
  <si>
    <t>3h25m18.8s</t>
  </si>
  <si>
    <t>-51h42m4s</t>
  </si>
  <si>
    <t>E, stell</t>
  </si>
  <si>
    <t>IC1927</t>
  </si>
  <si>
    <t>3h25m13s</t>
  </si>
  <si>
    <t>-51h43m56s</t>
  </si>
  <si>
    <t>IC1928</t>
  </si>
  <si>
    <t>3h27m29.1s</t>
  </si>
  <si>
    <t>-21h33m35s</t>
  </si>
  <si>
    <t>very faint, very small, much extended 20°, considerably brighter middle</t>
  </si>
  <si>
    <t>vF, vS, mE 20°, cbM</t>
  </si>
  <si>
    <t>IC1929</t>
  </si>
  <si>
    <t>extended northwest southeast</t>
  </si>
  <si>
    <t>E npsf</t>
  </si>
  <si>
    <t>IC1930</t>
  </si>
  <si>
    <t>3h28m46.1s</t>
  </si>
  <si>
    <t>+4h23m2s</t>
  </si>
  <si>
    <t>F, S, R, gbM, * 8 p 3s, s 1'.6</t>
  </si>
  <si>
    <t>IC1931</t>
  </si>
  <si>
    <t>3h28m57.8s</t>
  </si>
  <si>
    <t>+1h45m2s</t>
  </si>
  <si>
    <t>IC1932</t>
  </si>
  <si>
    <t>S0     R</t>
  </si>
  <si>
    <t>3h25m54s</t>
  </si>
  <si>
    <t>-51h20m34s</t>
  </si>
  <si>
    <t>IC1933</t>
  </si>
  <si>
    <t>3h25m39.9s</t>
  </si>
  <si>
    <t>-52h47m5s</t>
  </si>
  <si>
    <t>lE spnf</t>
  </si>
  <si>
    <t>IC1934</t>
  </si>
  <si>
    <t>3h31m13.9s</t>
  </si>
  <si>
    <t>+42h47m34s</t>
  </si>
  <si>
    <t>eF, pS, lbM, * 12 dist 34"</t>
  </si>
  <si>
    <t>IC1935</t>
  </si>
  <si>
    <t>3h26m13.3s</t>
  </si>
  <si>
    <t>-50h0m38s</t>
  </si>
  <si>
    <t>Stell, E, spir ?</t>
  </si>
  <si>
    <t>IC1936</t>
  </si>
  <si>
    <t>3h26m27.9s</t>
  </si>
  <si>
    <t>-51h19m23s</t>
  </si>
  <si>
    <t>Stell, E npsf</t>
  </si>
  <si>
    <t>IC1937</t>
  </si>
  <si>
    <t>3h26m47.4s</t>
  </si>
  <si>
    <t>-48h42m10s</t>
  </si>
  <si>
    <t>IC1938</t>
  </si>
  <si>
    <t>3h27m10.4s</t>
  </si>
  <si>
    <t>-53h0m36s</t>
  </si>
  <si>
    <t>Perhaps D *</t>
  </si>
  <si>
    <t>IC1939</t>
  </si>
  <si>
    <t>3h27m45s</t>
  </si>
  <si>
    <t>-51h4m18s</t>
  </si>
  <si>
    <t>extended east-west</t>
  </si>
  <si>
    <t>E pf</t>
  </si>
  <si>
    <t>IC1940</t>
  </si>
  <si>
    <t>3h27m42s</t>
  </si>
  <si>
    <t>-52h8m22s</t>
  </si>
  <si>
    <t>brighter middle</t>
  </si>
  <si>
    <t>bM</t>
  </si>
  <si>
    <t>IC1941</t>
  </si>
  <si>
    <t>3h32m14.8s</t>
  </si>
  <si>
    <t>+24h23m2s</t>
  </si>
  <si>
    <t>vF, S, vmE 0° (prob neb)</t>
  </si>
  <si>
    <t>IC1942</t>
  </si>
  <si>
    <t>3h27m54s</t>
  </si>
  <si>
    <t>-52h40m32s</t>
  </si>
  <si>
    <t>Stell, E ns</t>
  </si>
  <si>
    <t>IC1943</t>
  </si>
  <si>
    <t>IC1944</t>
  </si>
  <si>
    <t>3h29m39.9s</t>
  </si>
  <si>
    <t>-47h59m47s</t>
  </si>
  <si>
    <t>extremely faint, extremely small, a little extended 20°</t>
  </si>
  <si>
    <t>eF, eS, lE 20°</t>
  </si>
  <si>
    <t>IC1945</t>
  </si>
  <si>
    <t>3h29m16.4s</t>
  </si>
  <si>
    <t>-52h37m37s</t>
  </si>
  <si>
    <t>Stell</t>
  </si>
  <si>
    <t>IC1946</t>
  </si>
  <si>
    <t>3h29m22s</t>
  </si>
  <si>
    <t>-52h37m10s</t>
  </si>
  <si>
    <t>IC1947</t>
  </si>
  <si>
    <t>3h30m32.6s</t>
  </si>
  <si>
    <t>-50h20m20s</t>
  </si>
  <si>
    <t>IC1948</t>
  </si>
  <si>
    <t>3h30m49.9s</t>
  </si>
  <si>
    <t>-47h57m52s</t>
  </si>
  <si>
    <t>IC1949</t>
  </si>
  <si>
    <t>3h30m52.9s</t>
  </si>
  <si>
    <t>-47h58m47s</t>
  </si>
  <si>
    <t>considerably faint, very small, spiral, considerably brighter middle</t>
  </si>
  <si>
    <t>cF, vS, spir, cbM</t>
  </si>
  <si>
    <t>IC1950</t>
  </si>
  <si>
    <t>3h31m4.3s</t>
  </si>
  <si>
    <t>-50h25m58s</t>
  </si>
  <si>
    <t>IC1951</t>
  </si>
  <si>
    <t>3h30m56.4s</t>
  </si>
  <si>
    <t>-53h7m34s</t>
  </si>
  <si>
    <t>extended southwest-northeast</t>
  </si>
  <si>
    <t>E spnf</t>
  </si>
  <si>
    <t>IC1952</t>
  </si>
  <si>
    <t>3h33m26.6s</t>
  </si>
  <si>
    <t>-23h42m46s</t>
  </si>
  <si>
    <t>cF, S, vmE 140°, * 1' sf</t>
  </si>
  <si>
    <t>IC1953</t>
  </si>
  <si>
    <t>3h33m41.8s</t>
  </si>
  <si>
    <t>-21h28m42s</t>
  </si>
  <si>
    <t>vF, cL, spir or annular</t>
  </si>
  <si>
    <t>IC1954</t>
  </si>
  <si>
    <t>3h31m31.1s</t>
  </si>
  <si>
    <t>-51h54m15s</t>
  </si>
  <si>
    <t>faint, pretty large, round, spiral</t>
  </si>
  <si>
    <t>F, pL, R, spir</t>
  </si>
  <si>
    <t>IC1955</t>
  </si>
  <si>
    <t>3h31m24.7s</t>
  </si>
  <si>
    <t>-57h14m31s</t>
  </si>
  <si>
    <t>IC1956</t>
  </si>
  <si>
    <t>3h35m33.2s</t>
  </si>
  <si>
    <t>+5h4m2s</t>
  </si>
  <si>
    <t>F, S, E 200°, 2 vF Nuclei</t>
  </si>
  <si>
    <t>IC1957</t>
  </si>
  <si>
    <t>3h32m13.4s</t>
  </si>
  <si>
    <t>-52h27m25s</t>
  </si>
  <si>
    <t>IC1958</t>
  </si>
  <si>
    <t>3h32m46.6s</t>
  </si>
  <si>
    <t>-51h26m28s</t>
  </si>
  <si>
    <t>IC1959</t>
  </si>
  <si>
    <t>3h33m12.1s</t>
  </si>
  <si>
    <t>-50h24m44s</t>
  </si>
  <si>
    <t>IC1960</t>
  </si>
  <si>
    <t>3h32m32.8s</t>
  </si>
  <si>
    <t>-57h12m25s</t>
  </si>
  <si>
    <t>IC1961</t>
  </si>
  <si>
    <t>3h33m33.3s</t>
  </si>
  <si>
    <t>-48h57m3s</t>
  </si>
  <si>
    <t>extremely faint, very small, considerably extended 20°</t>
  </si>
  <si>
    <t>eF, vS, cE 20°</t>
  </si>
  <si>
    <t>IC1962</t>
  </si>
  <si>
    <t>3h35m37.3s</t>
  </si>
  <si>
    <t>-21h17m31s</t>
  </si>
  <si>
    <t>extremely faint, small, much extended 175°, gradually brighter middle</t>
  </si>
  <si>
    <t>eF, S, mE 175°, gbM</t>
  </si>
  <si>
    <t>IC1963</t>
  </si>
  <si>
    <t>pretty bright, small, extremely extended 90°</t>
  </si>
  <si>
    <t xml:space="preserve">pB, S, eE 90° </t>
  </si>
  <si>
    <t>IC1964</t>
  </si>
  <si>
    <t>3h33m30.2s</t>
  </si>
  <si>
    <t>-53h10m22s</t>
  </si>
  <si>
    <t>IC1965</t>
  </si>
  <si>
    <t>3h33m10.9s</t>
  </si>
  <si>
    <t>-56h33m14s</t>
  </si>
  <si>
    <t>extremely faint, very small, round, considerably brighter middle</t>
  </si>
  <si>
    <t>eF, vS, R, cbM</t>
  </si>
  <si>
    <t>IC1966</t>
  </si>
  <si>
    <t>3h34m3.3s</t>
  </si>
  <si>
    <t>-51h19m20s</t>
  </si>
  <si>
    <t>IC1967</t>
  </si>
  <si>
    <t>3h37m47.8s</t>
  </si>
  <si>
    <t>+3h16m13s</t>
  </si>
  <si>
    <t>IC1968</t>
  </si>
  <si>
    <t>3h34m37.8s</t>
  </si>
  <si>
    <t>-50h39m5s</t>
  </si>
  <si>
    <t>IC1969</t>
  </si>
  <si>
    <t>3h36m13.9s</t>
  </si>
  <si>
    <t>-45h10m45s</t>
  </si>
  <si>
    <t>extremely faint, very small, considerably extended 50°, considerably brighter middle</t>
  </si>
  <si>
    <t>eF, vS, cE 50°, cbM</t>
  </si>
  <si>
    <t>IC1970</t>
  </si>
  <si>
    <t>3h36m31.2s</t>
  </si>
  <si>
    <t>-43h57m24s</t>
  </si>
  <si>
    <t>extremely faint, very small, extremely extended 75°</t>
  </si>
  <si>
    <t>eF, vS, eE 75°</t>
  </si>
  <si>
    <t>IC1971</t>
  </si>
  <si>
    <t>Sa?</t>
  </si>
  <si>
    <t>3h35m57.5s</t>
  </si>
  <si>
    <t>-52h39m0s</t>
  </si>
  <si>
    <t>IC1972</t>
  </si>
  <si>
    <t>3h36m21.2s</t>
  </si>
  <si>
    <t>-51h58m4s</t>
  </si>
  <si>
    <t>extended</t>
  </si>
  <si>
    <t>IC1973</t>
  </si>
  <si>
    <t>3h36m20.9s</t>
  </si>
  <si>
    <t>-51h59m38s</t>
  </si>
  <si>
    <t>IC1974</t>
  </si>
  <si>
    <t>3h36m42.2s</t>
  </si>
  <si>
    <t>-49h33m1s</t>
  </si>
  <si>
    <t>IC1975</t>
  </si>
  <si>
    <t>3h39m3.5s</t>
  </si>
  <si>
    <t>-15h29m59s</t>
  </si>
  <si>
    <t>eF, vS, v diffic, nr 1405</t>
  </si>
  <si>
    <t>IC1976</t>
  </si>
  <si>
    <t>3h37m8.9s</t>
  </si>
  <si>
    <t>-47h26m16s</t>
  </si>
  <si>
    <t>IC1977</t>
  </si>
  <si>
    <t>3h40m45s</t>
  </si>
  <si>
    <t>+17h44m27s</t>
  </si>
  <si>
    <t>faint, small, round, diffuse, 13.5 magnitude star near</t>
  </si>
  <si>
    <t>F, S, R, dif, * 13.5 nr</t>
  </si>
  <si>
    <t>IC1978</t>
  </si>
  <si>
    <t>3h37m5.5s</t>
  </si>
  <si>
    <t>-50h9m4s</t>
  </si>
  <si>
    <t>IC1979</t>
  </si>
  <si>
    <t>-57h56m40s</t>
  </si>
  <si>
    <t>eeF, eS, vmE 20°</t>
  </si>
  <si>
    <t>IC1980</t>
  </si>
  <si>
    <t>3h36m58.9s</t>
  </si>
  <si>
    <t>-57h58m25s</t>
  </si>
  <si>
    <t>eF, cS, vmE 25°</t>
  </si>
  <si>
    <t>IC1981</t>
  </si>
  <si>
    <t>extremely faint, extremely small, a little extended, star close to northeast</t>
  </si>
  <si>
    <t>eF, eS, lE, * close nf</t>
  </si>
  <si>
    <t>IC1982</t>
  </si>
  <si>
    <t>3h37m42.4s</t>
  </si>
  <si>
    <t>-57h46m35s</t>
  </si>
  <si>
    <t>considerably faint, extremely small, round</t>
  </si>
  <si>
    <t>cF, eS, R</t>
  </si>
  <si>
    <t>IC1983</t>
  </si>
  <si>
    <t>IC1984</t>
  </si>
  <si>
    <t>3h39m50.2s</t>
  </si>
  <si>
    <t>-47h4m35s</t>
  </si>
  <si>
    <t>most extremely faint, extremely small, much extended 150°</t>
  </si>
  <si>
    <t>eeF, eS, mE 150°</t>
  </si>
  <si>
    <t>IC1985</t>
  </si>
  <si>
    <t>* 8 in F, eL neb</t>
  </si>
  <si>
    <t>IC1986</t>
  </si>
  <si>
    <t>3h40m35.2s</t>
  </si>
  <si>
    <t>-45h21m21s</t>
  </si>
  <si>
    <t>extremely faint, extremely small, considerably extended 135°</t>
  </si>
  <si>
    <t>eF, eS, cE 135°</t>
  </si>
  <si>
    <t>IC1987</t>
  </si>
  <si>
    <t>-55h3m33s</t>
  </si>
  <si>
    <t>IC1988</t>
  </si>
  <si>
    <t>3h42m45s</t>
  </si>
  <si>
    <t>-39h53m13s</t>
  </si>
  <si>
    <t>eF, pL, R, 2 st nr f, 2 st np</t>
  </si>
  <si>
    <t>IC1989</t>
  </si>
  <si>
    <t>3h41m54.4s</t>
  </si>
  <si>
    <t>-50h57m28s</t>
  </si>
  <si>
    <t>stell</t>
  </si>
  <si>
    <t>IC1990</t>
  </si>
  <si>
    <t>3h47m13.8s</t>
  </si>
  <si>
    <t>+24h20m2s</t>
  </si>
  <si>
    <t>vL, mE pf, 15' l</t>
  </si>
  <si>
    <t>IC1991</t>
  </si>
  <si>
    <t>3h44m46.4s</t>
  </si>
  <si>
    <t>-51h31m26s</t>
  </si>
  <si>
    <t>stellar, extended southwest-northeast</t>
  </si>
  <si>
    <t>stell, E spnf</t>
  </si>
  <si>
    <t>IC1992</t>
  </si>
  <si>
    <t>3h45m8s</t>
  </si>
  <si>
    <t>-51h0m18s</t>
  </si>
  <si>
    <t>IC1993</t>
  </si>
  <si>
    <t>3h47m4.8s</t>
  </si>
  <si>
    <t>-33h42m38s</t>
  </si>
  <si>
    <t>eF, L, cE, * 7.5 att, v diffic</t>
  </si>
  <si>
    <t>IC1994</t>
  </si>
  <si>
    <t>3h45m55.1s</t>
  </si>
  <si>
    <t>-51h38m36s</t>
  </si>
  <si>
    <t>IC1995</t>
  </si>
  <si>
    <t>3h50m18.5s</t>
  </si>
  <si>
    <t>+25h34m51s</t>
  </si>
  <si>
    <t>* 6 in eF, eeL neb (M.N., lx. P. 260)</t>
  </si>
  <si>
    <t>IC1996</t>
  </si>
  <si>
    <t>3h45m7.9s</t>
  </si>
  <si>
    <t>-57h19m28s</t>
  </si>
  <si>
    <t>most extremely faint, extremely small, extremely extended 95°</t>
  </si>
  <si>
    <t>eeF, eS, eE 95°</t>
  </si>
  <si>
    <t>IC1997</t>
  </si>
  <si>
    <t>3h44m51.9s</t>
  </si>
  <si>
    <t>-59h8m15s</t>
  </si>
  <si>
    <t>extremely faint, very small, round, considerably brighter middle, stellar nucleus</t>
  </si>
  <si>
    <t>eF, vS, R, cbM, stell N</t>
  </si>
  <si>
    <t>IC1998</t>
  </si>
  <si>
    <t>3h51m31.2s</t>
  </si>
  <si>
    <t>+1h11m25s</t>
  </si>
  <si>
    <t>IC1999</t>
  </si>
  <si>
    <t>3h47m43s</t>
  </si>
  <si>
    <t>-56h57m7s</t>
  </si>
  <si>
    <t>most extremely faint, very small, considerably extended 140°</t>
  </si>
  <si>
    <t>eeF, vS, cE 140°</t>
  </si>
  <si>
    <t>IC2000</t>
  </si>
  <si>
    <t>3h49m7.6s</t>
  </si>
  <si>
    <t>-48h51m30s</t>
  </si>
  <si>
    <t>cB, L, eE 80°, vmbM</t>
  </si>
  <si>
    <t>IC2001</t>
  </si>
  <si>
    <t>3h50m51.7s</t>
  </si>
  <si>
    <t>-48h36m0s</t>
  </si>
  <si>
    <t>extremely faint, very small, round, 3 stars near</t>
  </si>
  <si>
    <t>eF, vS, R, 3 st nr</t>
  </si>
  <si>
    <t>IC2002</t>
  </si>
  <si>
    <t>faint, extended north-south, diffuse, 14th magnitude star to north</t>
  </si>
  <si>
    <t>F, E ns, dif, * 14 n</t>
  </si>
  <si>
    <t>IC2003</t>
  </si>
  <si>
    <t>3h56m22s</t>
  </si>
  <si>
    <t>+33h52m32s</t>
  </si>
  <si>
    <t>pB, eS, lE ns, * 13 n 4", * 12 sp 18"</t>
  </si>
  <si>
    <t>IC2004</t>
  </si>
  <si>
    <t>3h51m45.6s</t>
  </si>
  <si>
    <t>-49h25m9s</t>
  </si>
  <si>
    <t>IC2005</t>
  </si>
  <si>
    <t>3h57m39.5s</t>
  </si>
  <si>
    <t>+36h47m15s</t>
  </si>
  <si>
    <t>IC2006</t>
  </si>
  <si>
    <t>3h54m28.3s</t>
  </si>
  <si>
    <t>-35h58m2s</t>
  </si>
  <si>
    <t>pretty bright, small, round, star near to northeast, double star to southwest</t>
  </si>
  <si>
    <t>pB, S, R, * nr nf, D * sp</t>
  </si>
  <si>
    <t>IC2007</t>
  </si>
  <si>
    <t>3h55m22.6s</t>
  </si>
  <si>
    <t>-28h9m32s</t>
  </si>
  <si>
    <t>eF, S, R, F * att nf</t>
  </si>
  <si>
    <t>IC2008</t>
  </si>
  <si>
    <t>eF, vS, eF * v close nf</t>
  </si>
  <si>
    <t>IC2009</t>
  </si>
  <si>
    <t>3h53m34.6s</t>
  </si>
  <si>
    <t>-48h59m28s</t>
  </si>
  <si>
    <t>IC2010</t>
  </si>
  <si>
    <t>3h51m58.2s</t>
  </si>
  <si>
    <t>-59h55m45s</t>
  </si>
  <si>
    <t>eF, S, E 70°</t>
  </si>
  <si>
    <t>IC2011</t>
  </si>
  <si>
    <t>3h52m27.4s</t>
  </si>
  <si>
    <t>-57h28m5s</t>
  </si>
  <si>
    <t>IC2012</t>
  </si>
  <si>
    <t>3h52m55.3s</t>
  </si>
  <si>
    <t>-58h38m57s</t>
  </si>
  <si>
    <t>most extremely faint, extremely small, considerably extended north-south</t>
  </si>
  <si>
    <t>eeF, eS, cE ns</t>
  </si>
  <si>
    <t>IC2013</t>
  </si>
  <si>
    <t>3h56m44s</t>
  </si>
  <si>
    <t>-17h6m36s</t>
  </si>
  <si>
    <t>considerably bright, considerably large, much extended 170°, considerably brighter middle, suspected</t>
  </si>
  <si>
    <t>cB, cL, mE 170°, cbM, susp</t>
  </si>
  <si>
    <t>IC2014</t>
  </si>
  <si>
    <t>3h55m21.7s</t>
  </si>
  <si>
    <t>-56h44m48s</t>
  </si>
  <si>
    <t>IC2015</t>
  </si>
  <si>
    <t>3h58m11.4s</t>
  </si>
  <si>
    <t>-40h23m21s</t>
  </si>
  <si>
    <t>extremely faint, small, round, brighter middle, suspected</t>
  </si>
  <si>
    <t>eF, S, R, bM, susp</t>
  </si>
  <si>
    <t>IC2016</t>
  </si>
  <si>
    <t>4h1m59.9s</t>
  </si>
  <si>
    <t>+20h14m26s</t>
  </si>
  <si>
    <t>eF, vS, * 15 s 30"</t>
  </si>
  <si>
    <t>IC2017</t>
  </si>
  <si>
    <t>3h56m38.7s</t>
  </si>
  <si>
    <t>-59h23m40s</t>
  </si>
  <si>
    <t>IC2018</t>
  </si>
  <si>
    <t>3h57m54.4s</t>
  </si>
  <si>
    <t>-52h46m50s</t>
  </si>
  <si>
    <t>IC2019</t>
  </si>
  <si>
    <t>4h1m53.7s</t>
  </si>
  <si>
    <t>+5h38m21s</t>
  </si>
  <si>
    <t>faint, small, round, stellar, mottled but not resolved</t>
  </si>
  <si>
    <t>F, S, R, stell, r</t>
  </si>
  <si>
    <t>IC2020</t>
  </si>
  <si>
    <t>3h58m53s</t>
  </si>
  <si>
    <t>-54h3m30s</t>
  </si>
  <si>
    <t>IC2021</t>
  </si>
  <si>
    <t>3h59m23.9s</t>
  </si>
  <si>
    <t>-52h39m24s</t>
  </si>
  <si>
    <t>IC2022</t>
  </si>
  <si>
    <t>3h58m40.2s</t>
  </si>
  <si>
    <t>-59h2m39s</t>
  </si>
  <si>
    <t>most extremely faint, extremely small, much extended 5°, considerably brighter middle</t>
  </si>
  <si>
    <t>eeF, eS, mE 5°, cbM</t>
  </si>
  <si>
    <t>IC2023</t>
  </si>
  <si>
    <t>3h59m40.8s</t>
  </si>
  <si>
    <t>-52h40m49s</t>
  </si>
  <si>
    <t>IC2024</t>
  </si>
  <si>
    <t>4h0m4s</t>
  </si>
  <si>
    <t>-53h22m19s</t>
  </si>
  <si>
    <t>extremely faint, very small, considerably extended 35°</t>
  </si>
  <si>
    <t>eF, vS, cE 35°</t>
  </si>
  <si>
    <t>IC2025</t>
  </si>
  <si>
    <t>4h0m22.8s</t>
  </si>
  <si>
    <t>-53h3m54s</t>
  </si>
  <si>
    <t>extremely faint, very small, considerably extended 135°</t>
  </si>
  <si>
    <t>eF, vS, cE 135°</t>
  </si>
  <si>
    <t>IC2026</t>
  </si>
  <si>
    <t>IC2027</t>
  </si>
  <si>
    <t>4h6m39.6s</t>
  </si>
  <si>
    <t>+37h6m57s</t>
  </si>
  <si>
    <t>IC2028</t>
  </si>
  <si>
    <t>4h1m18.1s</t>
  </si>
  <si>
    <t>-52h42m27s</t>
  </si>
  <si>
    <t>IC2029</t>
  </si>
  <si>
    <t>4h1m17.8s</t>
  </si>
  <si>
    <t>-52h48m3s</t>
  </si>
  <si>
    <t>IC2030</t>
  </si>
  <si>
    <t>4h4m56s</t>
  </si>
  <si>
    <t>-19h13m40s</t>
  </si>
  <si>
    <t>cF, vS, eE 135°, susp</t>
  </si>
  <si>
    <t>IC2031</t>
  </si>
  <si>
    <t>4h6m14.7s</t>
  </si>
  <si>
    <t>-5h39m7s</t>
  </si>
  <si>
    <t>extremely faint, very small, diffuse, a little brighter middle, 11th magnitude star 3 arcmin to northeast</t>
  </si>
  <si>
    <t>eF, vS, dif, lbM, * 11 nf 3'</t>
  </si>
  <si>
    <t>IC2032</t>
  </si>
  <si>
    <t>4h7m3.2s</t>
  </si>
  <si>
    <t>-55h19m23s</t>
  </si>
  <si>
    <t>IC2033</t>
  </si>
  <si>
    <t>4h7m14.5s</t>
  </si>
  <si>
    <t>-53h40m52s</t>
  </si>
  <si>
    <t>extremely faint, very small, considerably extended 130°</t>
  </si>
  <si>
    <t>eF, vS, cE 130°</t>
  </si>
  <si>
    <t>IC2034</t>
  </si>
  <si>
    <t>4h6m36.8s</t>
  </si>
  <si>
    <t>-57h57m42s</t>
  </si>
  <si>
    <t>eeF, vS, cE 115°</t>
  </si>
  <si>
    <t>IC2035</t>
  </si>
  <si>
    <t>4h9m1.8s</t>
  </si>
  <si>
    <t>-45h31m2s</t>
  </si>
  <si>
    <t>IC2036</t>
  </si>
  <si>
    <t>4h9m55s</t>
  </si>
  <si>
    <t>-39h41m19s</t>
  </si>
  <si>
    <t>most extremely faint, pretty small, round, very difficult, 9th magnitude star to east</t>
  </si>
  <si>
    <t>eeF, pS, R, v diffic, * 9 f</t>
  </si>
  <si>
    <t>IC2037</t>
  </si>
  <si>
    <t>4h8m19.3s</t>
  </si>
  <si>
    <t>-58h45m4s</t>
  </si>
  <si>
    <t>extremely faint, very small, extremely extended 90°, considerably brighter middle</t>
  </si>
  <si>
    <t>eF, vS, eE 90°, cbM</t>
  </si>
  <si>
    <t>IC2038</t>
  </si>
  <si>
    <t>4h8m54.2s</t>
  </si>
  <si>
    <t>-55h59m33s</t>
  </si>
  <si>
    <t>extremely faint, very small, extremely extended 145°</t>
  </si>
  <si>
    <t>eF, vS, eE 145°</t>
  </si>
  <si>
    <t>IC2039</t>
  </si>
  <si>
    <t>4h9m2.6s</t>
  </si>
  <si>
    <t>-56h0m40s</t>
  </si>
  <si>
    <t>IC2040</t>
  </si>
  <si>
    <t>4h12m59.6s</t>
  </si>
  <si>
    <t>-32h33m14s</t>
  </si>
  <si>
    <t>vF, vS, R, rr ?, 1531-32 s</t>
  </si>
  <si>
    <t>IC2041</t>
  </si>
  <si>
    <t>4h12m34.9s</t>
  </si>
  <si>
    <t>-32h49m3s</t>
  </si>
  <si>
    <t>eF, vS, R, * 10 close s</t>
  </si>
  <si>
    <t>IC2042</t>
  </si>
  <si>
    <t>4h11m43s</t>
  </si>
  <si>
    <t>-47h16m17s</t>
  </si>
  <si>
    <t>* 9 in neb 1' diam</t>
  </si>
  <si>
    <t>IC2043</t>
  </si>
  <si>
    <t>4h11m9.8s</t>
  </si>
  <si>
    <t>-53h41m11s</t>
  </si>
  <si>
    <t>extremely faint, very small, extremely extended 15°, very much brighter middle</t>
  </si>
  <si>
    <t>eF, vS, eE 5°, vmbM</t>
  </si>
  <si>
    <t>IC2044</t>
  </si>
  <si>
    <t>4h11m14s</t>
  </si>
  <si>
    <t>-54h31m56s</t>
  </si>
  <si>
    <t>IC2045</t>
  </si>
  <si>
    <t>4h14m36s</t>
  </si>
  <si>
    <t>-13h10m30s</t>
  </si>
  <si>
    <t>eF, eS, alm stell, nr 1538</t>
  </si>
  <si>
    <t>IC2046</t>
  </si>
  <si>
    <t>4h11m24.5s</t>
  </si>
  <si>
    <t>-54h40m23s</t>
  </si>
  <si>
    <t>IC2047</t>
  </si>
  <si>
    <t>eF, eS, diffic, nr 1538</t>
  </si>
  <si>
    <t>IC2048</t>
  </si>
  <si>
    <t>4h14m21s</t>
  </si>
  <si>
    <t>-33h7m18s</t>
  </si>
  <si>
    <t>most extremely faint, extremely small, bright star to east, very difficult</t>
  </si>
  <si>
    <t>eeF, eS, B * f, v diffic</t>
  </si>
  <si>
    <t>IC2049</t>
  </si>
  <si>
    <t>4h12m4.3s</t>
  </si>
  <si>
    <t>-58h33m27s</t>
  </si>
  <si>
    <t>IC2050</t>
  </si>
  <si>
    <t>4h13m56.2s</t>
  </si>
  <si>
    <t>-53h28m33s</t>
  </si>
  <si>
    <t>faint, very small, considerably extended 60°</t>
  </si>
  <si>
    <t>F, vS, cE 60°</t>
  </si>
  <si>
    <t>IC2051</t>
  </si>
  <si>
    <t>3h52m0.3s</t>
  </si>
  <si>
    <t>-83h49m55s</t>
  </si>
  <si>
    <t>! vF, vS, stell N ellipt ring</t>
  </si>
  <si>
    <t>IC2052</t>
  </si>
  <si>
    <t>4h14m58.7s</t>
  </si>
  <si>
    <t>-54h20m11s</t>
  </si>
  <si>
    <t>very faint, very small, much extended</t>
  </si>
  <si>
    <t>vF, vS, mE</t>
  </si>
  <si>
    <t>IC2053</t>
  </si>
  <si>
    <t>4h15m48s</t>
  </si>
  <si>
    <t>-49h22m8s</t>
  </si>
  <si>
    <t>extremely faint, small, considerably extended 140°, suspected</t>
  </si>
  <si>
    <t>eF, S, cE 140°, susp</t>
  </si>
  <si>
    <t>IC2054</t>
  </si>
  <si>
    <t>4h7m26.7s</t>
  </si>
  <si>
    <t>-78h15m13s</t>
  </si>
  <si>
    <t>eeF, eS, vF * 1' nf, susp</t>
  </si>
  <si>
    <t>IC2055</t>
  </si>
  <si>
    <t>4h17m48s</t>
  </si>
  <si>
    <t>-48h55m24s</t>
  </si>
  <si>
    <t>faint, small, considerably extended north-south, suspected</t>
  </si>
  <si>
    <t>F, S, cE ns, susp</t>
  </si>
  <si>
    <t>IC2056</t>
  </si>
  <si>
    <t>4h16m24.8s</t>
  </si>
  <si>
    <t>-60h12m23s</t>
  </si>
  <si>
    <t>faint, pretty large, round, brighter middle</t>
  </si>
  <si>
    <t>F, pL, R, bM</t>
  </si>
  <si>
    <t>IC2057</t>
  </si>
  <si>
    <t>4h21m56s</t>
  </si>
  <si>
    <t>+4h2m53s</t>
  </si>
  <si>
    <t>IC2058</t>
  </si>
  <si>
    <t>4h17m54.5s</t>
  </si>
  <si>
    <t>-55h55m51s</t>
  </si>
  <si>
    <t>considerably bright, considerably large, extremely extended 10°</t>
  </si>
  <si>
    <t>cB, cL, eE 10°</t>
  </si>
  <si>
    <t>IC2059</t>
  </si>
  <si>
    <t>4h20m26.2s</t>
  </si>
  <si>
    <t>-31h43m28s</t>
  </si>
  <si>
    <t>IC2060</t>
  </si>
  <si>
    <t>4h17m53.5s</t>
  </si>
  <si>
    <t>-56h36m58s</t>
  </si>
  <si>
    <t>IC2061</t>
  </si>
  <si>
    <t>4h24m0s</t>
  </si>
  <si>
    <t>+21h5m0s</t>
  </si>
  <si>
    <t>faint, considerably small, round, suspected</t>
  </si>
  <si>
    <t>F, cS, R, susp</t>
  </si>
  <si>
    <t>IC2062</t>
  </si>
  <si>
    <t>4h32m2.1s</t>
  </si>
  <si>
    <t>+71h55m11s</t>
  </si>
  <si>
    <t>IC2063</t>
  </si>
  <si>
    <t>4h22m40.2s</t>
  </si>
  <si>
    <t>-15h39m40s</t>
  </si>
  <si>
    <t>eF, vS, nr 1561-65</t>
  </si>
  <si>
    <t>IC2064</t>
  </si>
  <si>
    <t>4h23m26.7s</t>
  </si>
  <si>
    <t>-15h41m7s</t>
  </si>
  <si>
    <t>susp, nf 1565</t>
  </si>
  <si>
    <t>IC2065</t>
  </si>
  <si>
    <t>4h21m28.1s</t>
  </si>
  <si>
    <t>-55h55m58s</t>
  </si>
  <si>
    <t>very faint, very small, very much extended 45°, pretty much brighter middle</t>
  </si>
  <si>
    <t>vF, vS, vmE 45°, pmbM</t>
  </si>
  <si>
    <t>IC2066</t>
  </si>
  <si>
    <t>4h23m32.2s</t>
  </si>
  <si>
    <t>-54h44m0s</t>
  </si>
  <si>
    <t>IC2067</t>
  </si>
  <si>
    <t>4h30m52s</t>
  </si>
  <si>
    <t>+35h26m42s</t>
  </si>
  <si>
    <t>vF, R, * 15 inv n, * 17 close np</t>
  </si>
  <si>
    <t>IC2068</t>
  </si>
  <si>
    <t>4h26m36.8s</t>
  </si>
  <si>
    <t>-42h5m37s</t>
  </si>
  <si>
    <t>eF, pL, R, h 2643 f</t>
  </si>
  <si>
    <t>IC2069</t>
  </si>
  <si>
    <t>4h25m56s</t>
  </si>
  <si>
    <t>-48h12m30s</t>
  </si>
  <si>
    <t>most extremely faint, small, round, suspected</t>
  </si>
  <si>
    <t>eeF, S, R, susp</t>
  </si>
  <si>
    <t>IC2070</t>
  </si>
  <si>
    <t>4h24m35.6s</t>
  </si>
  <si>
    <t>-57h58m52s</t>
  </si>
  <si>
    <t>very faint, very small, considerably brighter middle</t>
  </si>
  <si>
    <t>vF, vS, cbM</t>
  </si>
  <si>
    <t>IC2071</t>
  </si>
  <si>
    <t>4h26m14.3s</t>
  </si>
  <si>
    <t>-53h9m5s</t>
  </si>
  <si>
    <t>eeF, vS, cE 80°</t>
  </si>
  <si>
    <t>IC2072</t>
  </si>
  <si>
    <t>4h26m54s</t>
  </si>
  <si>
    <t>-48h22m36s</t>
  </si>
  <si>
    <t>considerably faint, small, round, suspected</t>
  </si>
  <si>
    <t>cF, S, R, susp</t>
  </si>
  <si>
    <t>IC2073</t>
  </si>
  <si>
    <t>4h26m33.4s</t>
  </si>
  <si>
    <t>-53h11m18s</t>
  </si>
  <si>
    <t>vF, vS, eE 60°, stell N</t>
  </si>
  <si>
    <t>IC2074</t>
  </si>
  <si>
    <t>4h31m23s</t>
  </si>
  <si>
    <t>+7h42m12s</t>
  </si>
  <si>
    <t>very faint, small, star involved, perhaps a small cluster?</t>
  </si>
  <si>
    <t>vF, S, st inv, ? S Cl</t>
  </si>
  <si>
    <t>IC2075</t>
  </si>
  <si>
    <t>extremely faint, pretty large, very little brighter middle</t>
  </si>
  <si>
    <t>eF, pL, vlbM</t>
  </si>
  <si>
    <t>IC2076</t>
  </si>
  <si>
    <t>4h28m7s</t>
  </si>
  <si>
    <t>-48h13m42s</t>
  </si>
  <si>
    <t>very faint, very small, considerably extended 130°, suspected</t>
  </si>
  <si>
    <t>vF, vS, cE 130°, susp</t>
  </si>
  <si>
    <t>IC2077</t>
  </si>
  <si>
    <t>IC2078</t>
  </si>
  <si>
    <t>4h31m52.3s</t>
  </si>
  <si>
    <t>-4h41m55s</t>
  </si>
  <si>
    <t>IC2079</t>
  </si>
  <si>
    <t>4h28m30.7s</t>
  </si>
  <si>
    <t>-53h44m17s</t>
  </si>
  <si>
    <t>extremely faint, very small, extended 130°</t>
  </si>
  <si>
    <t>eF, vS, E 130°</t>
  </si>
  <si>
    <t>IC2080</t>
  </si>
  <si>
    <t>4h31m52.1s</t>
  </si>
  <si>
    <t>-5h45m25s</t>
  </si>
  <si>
    <t>eF, vS, 1594 p 90s ±, 3' s</t>
  </si>
  <si>
    <t>IC2081</t>
  </si>
  <si>
    <t>4h29m0.7s</t>
  </si>
  <si>
    <t>-53h36m49s</t>
  </si>
  <si>
    <t>IC2082</t>
  </si>
  <si>
    <t>4h29m7.8s</t>
  </si>
  <si>
    <t>-53h49m40s</t>
  </si>
  <si>
    <t>IC2083</t>
  </si>
  <si>
    <t>4h30m44.1s</t>
  </si>
  <si>
    <t>-53h58m51s</t>
  </si>
  <si>
    <t>IC2084</t>
  </si>
  <si>
    <t>4h32m6.2s</t>
  </si>
  <si>
    <t>-48h17m18s</t>
  </si>
  <si>
    <t>faint, small, round, suspected</t>
  </si>
  <si>
    <t>F, S, R, susp</t>
  </si>
  <si>
    <t>IC2085</t>
  </si>
  <si>
    <t>4h31m24.4s</t>
  </si>
  <si>
    <t>-54h24m58s</t>
  </si>
  <si>
    <t>extremely faint, very small, extremely extended 110°</t>
  </si>
  <si>
    <t>eF, vS, eE 110°</t>
  </si>
  <si>
    <t>IC2086</t>
  </si>
  <si>
    <t>4h31m32.1s</t>
  </si>
  <si>
    <t>-53h38m51s</t>
  </si>
  <si>
    <t>IC2087</t>
  </si>
  <si>
    <t>4h40m0s</t>
  </si>
  <si>
    <t>+25h44m32s</t>
  </si>
  <si>
    <t>eeF, in hole of eL neby</t>
  </si>
  <si>
    <t>IC2088</t>
  </si>
  <si>
    <t>4h31m0s</t>
  </si>
  <si>
    <t>+26h36m0s</t>
  </si>
  <si>
    <t>eeL, 3° long</t>
  </si>
  <si>
    <t>IC2089</t>
  </si>
  <si>
    <t>4h32m50.6s</t>
  </si>
  <si>
    <t>-75h32m25s</t>
  </si>
  <si>
    <t>eeF, vS, R, F * 1' f, susp</t>
  </si>
  <si>
    <t>IC2090</t>
  </si>
  <si>
    <t>4h44m45s</t>
  </si>
  <si>
    <t>-33h59m33s</t>
  </si>
  <si>
    <t>vF, pS, R, 3 st sp</t>
  </si>
  <si>
    <t>IC2091</t>
  </si>
  <si>
    <t>4h46m40.1s</t>
  </si>
  <si>
    <t>-4h40m24s</t>
  </si>
  <si>
    <t>faint, stellar nucleus</t>
  </si>
  <si>
    <t>F, stell N</t>
  </si>
  <si>
    <t>IC2092</t>
  </si>
  <si>
    <t>4h46m47.6s</t>
  </si>
  <si>
    <t>-4h56m39s</t>
  </si>
  <si>
    <t>S, spiral, stell N</t>
  </si>
  <si>
    <t>IC2093</t>
  </si>
  <si>
    <t>4h47m32.4s</t>
  </si>
  <si>
    <t>-2h42m34s</t>
  </si>
  <si>
    <t>vF, stell</t>
  </si>
  <si>
    <t>IC2094</t>
  </si>
  <si>
    <t>4h48m24.8s</t>
  </si>
  <si>
    <t>-5h21m9s</t>
  </si>
  <si>
    <t>Spiral, F stell N</t>
  </si>
  <si>
    <t>IC2095</t>
  </si>
  <si>
    <t>4h48m45.8s</t>
  </si>
  <si>
    <t>-5h7m30s</t>
  </si>
  <si>
    <t>F, S, E spnf, spiral ?</t>
  </si>
  <si>
    <t>IC2096</t>
  </si>
  <si>
    <t>4h49m41s</t>
  </si>
  <si>
    <t>-4h58m43s</t>
  </si>
  <si>
    <t>S, E, spiral, stell N</t>
  </si>
  <si>
    <t>IC2097</t>
  </si>
  <si>
    <t>4h50m23.8s</t>
  </si>
  <si>
    <t>-5h4m51s</t>
  </si>
  <si>
    <t>F, E npsf, spiral, lbM</t>
  </si>
  <si>
    <t>IC2098</t>
  </si>
  <si>
    <t>4h50m44.2s</t>
  </si>
  <si>
    <t>-5h25m6s</t>
  </si>
  <si>
    <t>F, spiral, lbM</t>
  </si>
  <si>
    <t>IC2099</t>
  </si>
  <si>
    <t>4h50m51.9s</t>
  </si>
  <si>
    <t>-4h53m31s</t>
  </si>
  <si>
    <t>small, much brighter middle and nucleus</t>
  </si>
  <si>
    <t>S, mbMN</t>
  </si>
  <si>
    <t>IC2100</t>
  </si>
  <si>
    <t>4h51m15.1s</t>
  </si>
  <si>
    <t>-4h49m47s</t>
  </si>
  <si>
    <t>vF, S, lE stell</t>
  </si>
  <si>
    <t>IC2101</t>
  </si>
  <si>
    <t>4h51m42s</t>
  </si>
  <si>
    <t>-6h13m50s</t>
  </si>
  <si>
    <t>IC2102</t>
  </si>
  <si>
    <t>4h51m55.2s</t>
  </si>
  <si>
    <t>-4h57m8s</t>
  </si>
  <si>
    <t>very faint, a little brighter middle, probably spiral</t>
  </si>
  <si>
    <t>vF, lbM, prob spir</t>
  </si>
  <si>
    <t>IC2103</t>
  </si>
  <si>
    <t>4h39m47.7s</t>
  </si>
  <si>
    <t>-76h50m12s</t>
  </si>
  <si>
    <t>cF, vS, eE 80°, stell N</t>
  </si>
  <si>
    <t>IC2104</t>
  </si>
  <si>
    <t>4h56m18.9s</t>
  </si>
  <si>
    <t>-15h47m52s</t>
  </si>
  <si>
    <t>faint, extended, gradually brighter middle</t>
  </si>
  <si>
    <t>F, E, gbM</t>
  </si>
  <si>
    <t>IC2105</t>
  </si>
  <si>
    <t>4h49m26.7s</t>
  </si>
  <si>
    <t>-69h12m3s</t>
  </si>
  <si>
    <t>Planetary, stellar</t>
  </si>
  <si>
    <t>IC2106</t>
  </si>
  <si>
    <t>4h56m33.8s</t>
  </si>
  <si>
    <t>-28h30m14s</t>
  </si>
  <si>
    <t>eeF, pL, D * 24s f</t>
  </si>
  <si>
    <t>IC2107</t>
  </si>
  <si>
    <t>a cluster, very faint, very small, round</t>
  </si>
  <si>
    <t>Cl, vF, vS, R</t>
  </si>
  <si>
    <t>IC2108</t>
  </si>
  <si>
    <t>vF, pS, R, mbM, * 9.5 sf 1'.3</t>
  </si>
  <si>
    <t>IC2109</t>
  </si>
  <si>
    <t>4h58m59.3s</t>
  </si>
  <si>
    <t>vF *, ? nebs</t>
  </si>
  <si>
    <t>IC2110</t>
  </si>
  <si>
    <t>4h59m1.9s</t>
  </si>
  <si>
    <t>-0h18m10s</t>
  </si>
  <si>
    <t>IC2111</t>
  </si>
  <si>
    <t>4h51m51.4s</t>
  </si>
  <si>
    <t>-69h23m37s</t>
  </si>
  <si>
    <t>IC2112</t>
  </si>
  <si>
    <t>5h0m30s</t>
  </si>
  <si>
    <t>+4h23m11s</t>
  </si>
  <si>
    <t>IC2113</t>
  </si>
  <si>
    <t>no descr</t>
  </si>
  <si>
    <t>IC2114</t>
  </si>
  <si>
    <t>IC2115</t>
  </si>
  <si>
    <t>4h57m8.8s</t>
  </si>
  <si>
    <t>-66h23m25s</t>
  </si>
  <si>
    <t>IC2116</t>
  </si>
  <si>
    <t>4h57m16.2s</t>
  </si>
  <si>
    <t>-66h23m21s</t>
  </si>
  <si>
    <t>IC2117</t>
  </si>
  <si>
    <t>4h57m14.3s</t>
  </si>
  <si>
    <t>-68h26m32s</t>
  </si>
  <si>
    <t>IC2118</t>
  </si>
  <si>
    <t>女巫头星云</t>
  </si>
  <si>
    <t>5h4m54s</t>
  </si>
  <si>
    <t>-7h15m0s</t>
  </si>
  <si>
    <t>F, eL, iF, III 500 inv s</t>
  </si>
  <si>
    <t>IC2119</t>
  </si>
  <si>
    <t>5h6m50.9s</t>
  </si>
  <si>
    <t>-20h20m45s</t>
  </si>
  <si>
    <t>eeF, pS, v diffic, 2 st 12.5 nr</t>
  </si>
  <si>
    <t>IC2120</t>
  </si>
  <si>
    <t>5h19m10.3s</t>
  </si>
  <si>
    <t>+38h11m6s</t>
  </si>
  <si>
    <t>IC2121</t>
  </si>
  <si>
    <t>most extremely faint, small, round, very difficult, 7th magnitude star 14s west, 3.6 arcmin south</t>
  </si>
  <si>
    <t>eef, S, R, v diffic, * 7 p 14s, 3'.6 s</t>
  </si>
  <si>
    <t>IC2122</t>
  </si>
  <si>
    <t>5h19m1.4s</t>
  </si>
  <si>
    <t>-37h5m21s</t>
  </si>
  <si>
    <t>pB, eS, R, 3 st nf</t>
  </si>
  <si>
    <t>IC2123</t>
  </si>
  <si>
    <t>vS, R, mbM, S * close n</t>
  </si>
  <si>
    <t>IC2124</t>
  </si>
  <si>
    <t>IC2125</t>
  </si>
  <si>
    <t>5h24m28.1s</t>
  </si>
  <si>
    <t>-27h0m57s</t>
  </si>
  <si>
    <t>IC2126</t>
  </si>
  <si>
    <t>IC2127</t>
  </si>
  <si>
    <t>IC2128</t>
  </si>
  <si>
    <t>5h22m42s</t>
  </si>
  <si>
    <t>-68h3m40s</t>
  </si>
  <si>
    <t>Cl, few st and neb (L Mag-Cloud)</t>
  </si>
  <si>
    <t>IC2129</t>
  </si>
  <si>
    <t>5h31m16.1s</t>
  </si>
  <si>
    <t>-23h3m46s</t>
  </si>
  <si>
    <t>eeF, pS, R, * 7 ssf</t>
  </si>
  <si>
    <t>IC2130</t>
  </si>
  <si>
    <t>5h31m50.3s</t>
  </si>
  <si>
    <t>-23h8m44s</t>
  </si>
  <si>
    <t>eF, pL, R, * 7.5 nf</t>
  </si>
  <si>
    <t>IC2131</t>
  </si>
  <si>
    <t>IC2132</t>
  </si>
  <si>
    <t>5h32m28.6s</t>
  </si>
  <si>
    <t>-13h55m36s</t>
  </si>
  <si>
    <t>IC2133</t>
  </si>
  <si>
    <t>vF, pL, * 13 sf 0'.7</t>
  </si>
  <si>
    <t>IC2134</t>
  </si>
  <si>
    <t>5h23m7.2s</t>
  </si>
  <si>
    <t>-75h26m47s</t>
  </si>
  <si>
    <t>considerably faint, very small</t>
  </si>
  <si>
    <t>cF, vS</t>
  </si>
  <si>
    <t>IC2135</t>
  </si>
  <si>
    <t>5h33m13.2s</t>
  </si>
  <si>
    <t>-36h23m58s</t>
  </si>
  <si>
    <t>most extremely faint, extremely small, extremely extended, very difficult</t>
  </si>
  <si>
    <t>eeF, eS, eE, v diffic</t>
  </si>
  <si>
    <t>IC2136</t>
  </si>
  <si>
    <t>extremely faint, pretty small, extremely extended</t>
  </si>
  <si>
    <t>eF, pS, eE</t>
  </si>
  <si>
    <t>IC2137</t>
  </si>
  <si>
    <t>5h34m21.5s</t>
  </si>
  <si>
    <t>-23h32m0s</t>
  </si>
  <si>
    <t>eF, vS, R, * 8 f 10s, III 240 nr</t>
  </si>
  <si>
    <t>IC2138</t>
  </si>
  <si>
    <t>eF, S, 2 st inv ?' apart, * 7 p</t>
  </si>
  <si>
    <t>IC2139</t>
  </si>
  <si>
    <t>5h35m15.2s</t>
  </si>
  <si>
    <t>-17h56m2s</t>
  </si>
  <si>
    <t>Cl, vvS (12"), looks nebs</t>
  </si>
  <si>
    <t>IC2140</t>
  </si>
  <si>
    <t>-75h22m31s</t>
  </si>
  <si>
    <t>eF, vS, ? eS Cl</t>
  </si>
  <si>
    <t>IC2141</t>
  </si>
  <si>
    <t>5h42m22.3s</t>
  </si>
  <si>
    <t>IC2142</t>
  </si>
  <si>
    <t>5h33m8.9s</t>
  </si>
  <si>
    <t>-78h1m10s</t>
  </si>
  <si>
    <t>eF, vS, lE 25°, lbM</t>
  </si>
  <si>
    <t>IC2143</t>
  </si>
  <si>
    <t>5h46m52.4s</t>
  </si>
  <si>
    <t>-18h43m33s</t>
  </si>
  <si>
    <t>extremely faint, pretty small, very much extended 45°, 3 stars to southeast</t>
  </si>
  <si>
    <t>eF, pS, vmE 45°, 3 st sf</t>
  </si>
  <si>
    <t>IC2144</t>
  </si>
  <si>
    <t>5h50m14s</t>
  </si>
  <si>
    <t>+23h52m20s</t>
  </si>
  <si>
    <t>pF, eS, * 12 nnp 2', * 12 s 1'</t>
  </si>
  <si>
    <t>IC2145</t>
  </si>
  <si>
    <t>5h40m23.9s</t>
  </si>
  <si>
    <t>-69h40m17s</t>
  </si>
  <si>
    <t>IC2146</t>
  </si>
  <si>
    <t>5h37m46s</t>
  </si>
  <si>
    <t>-74h46m50s</t>
  </si>
  <si>
    <t>a cluster, very faint, between 2 stars</t>
  </si>
  <si>
    <t>Cl, vF, bet 2 st</t>
  </si>
  <si>
    <t>IC2147</t>
  </si>
  <si>
    <t>5h47m48.1s</t>
  </si>
  <si>
    <t>-30h29m52s</t>
  </si>
  <si>
    <t>most extremely faint, pretty small, round, faint star to northwest</t>
  </si>
  <si>
    <t>eeF, pS, R, F * np</t>
  </si>
  <si>
    <t>IC2148</t>
  </si>
  <si>
    <t>5h39m12s</t>
  </si>
  <si>
    <t>-75h33m45s</t>
  </si>
  <si>
    <t>IC2149</t>
  </si>
  <si>
    <t>5h56m23.9s</t>
  </si>
  <si>
    <t>+46h6m19s</t>
  </si>
  <si>
    <t>IC2150</t>
  </si>
  <si>
    <t>5h51m18.5s</t>
  </si>
  <si>
    <t>-38h19m16s</t>
  </si>
  <si>
    <t>most extremely faint, small, very much extended, very difficult, 3 stars to south</t>
  </si>
  <si>
    <t>eeF, S, vmE, v diffic, 3 st s</t>
  </si>
  <si>
    <t>IC2151</t>
  </si>
  <si>
    <t>5h52m36.8s</t>
  </si>
  <si>
    <t>-17h47m15s</t>
  </si>
  <si>
    <t>eF, pS, nr I.C. 438</t>
  </si>
  <si>
    <t>IC2152</t>
  </si>
  <si>
    <t>5h57m53.3s</t>
  </si>
  <si>
    <t>-23h10m50s</t>
  </si>
  <si>
    <t>pB, pS, R, sev B st f</t>
  </si>
  <si>
    <t>IC2153</t>
  </si>
  <si>
    <t>6h0m4.8s</t>
  </si>
  <si>
    <t>-33h55m10s</t>
  </si>
  <si>
    <t>extremely faint, very small, suspected</t>
  </si>
  <si>
    <t>eF, vS, susp</t>
  </si>
  <si>
    <t>IC2154</t>
  </si>
  <si>
    <t>pF, pS, R, * nf, 2 st np, prop. = II 264</t>
  </si>
  <si>
    <t>IC2155</t>
  </si>
  <si>
    <t>6h0m49s</t>
  </si>
  <si>
    <t>-34h0m50s</t>
  </si>
  <si>
    <t>IC2156</t>
  </si>
  <si>
    <t>6h4m50.6s</t>
  </si>
  <si>
    <t>a cluster, perhaps nebulous</t>
  </si>
  <si>
    <t>Cl, ? nebs</t>
  </si>
  <si>
    <t>IC2157</t>
  </si>
  <si>
    <t>6h4m49.8s</t>
  </si>
  <si>
    <t>+24h3m21s</t>
  </si>
  <si>
    <t>IC2158</t>
  </si>
  <si>
    <t>6h5m17.9s</t>
  </si>
  <si>
    <t>-27h51m25s</t>
  </si>
  <si>
    <t>vF, pS, lE, brush, * att nf</t>
  </si>
  <si>
    <t>IC2159</t>
  </si>
  <si>
    <t>6h9m57s</t>
  </si>
  <si>
    <t>+20h25m54s</t>
  </si>
  <si>
    <t>very faint, very large, diffuse</t>
  </si>
  <si>
    <t>vF, vL, dif</t>
  </si>
  <si>
    <t>IC2160</t>
  </si>
  <si>
    <t>5h55m28.7s</t>
  </si>
  <si>
    <t>-76h55m13s</t>
  </si>
  <si>
    <t>IC2161</t>
  </si>
  <si>
    <t>-75h8m22s</t>
  </si>
  <si>
    <t>extremely faint, very small, brighter middle, suspected</t>
  </si>
  <si>
    <t>eF, vS, bM, susp</t>
  </si>
  <si>
    <t>IC2162</t>
  </si>
  <si>
    <t>6h13m6s</t>
  </si>
  <si>
    <t>+17h58m48s</t>
  </si>
  <si>
    <t>vF, pL, R, * 10 inv p</t>
  </si>
  <si>
    <t>IC2163</t>
  </si>
  <si>
    <t>6h16m28s</t>
  </si>
  <si>
    <t>-21h22m35s</t>
  </si>
  <si>
    <t>eF, pS,h 3032 p 7s</t>
  </si>
  <si>
    <t>IC2164</t>
  </si>
  <si>
    <t>6h6m52.4s</t>
  </si>
  <si>
    <t>-75h21m54s</t>
  </si>
  <si>
    <t>extremely faint, most extremely small, round, stellar nucleus</t>
  </si>
  <si>
    <t>eF, eeS, R, stell N</t>
  </si>
  <si>
    <t>IC2165</t>
  </si>
  <si>
    <t>6h21m42.7s</t>
  </si>
  <si>
    <t>-12h59m12s</t>
  </si>
  <si>
    <t>IC2166</t>
  </si>
  <si>
    <t>6h26m55.8s</t>
  </si>
  <si>
    <t>+59h4m47s</t>
  </si>
  <si>
    <t>Neb, F * p 1', D * f 3'</t>
  </si>
  <si>
    <t>IC2167</t>
  </si>
  <si>
    <t>* 9.5 in F, L neb</t>
  </si>
  <si>
    <t>IC2168</t>
  </si>
  <si>
    <t>6h33m47.7s</t>
  </si>
  <si>
    <t>+44h41m10s</t>
  </si>
  <si>
    <t>Cl, S, F neby</t>
  </si>
  <si>
    <t>IC2169</t>
  </si>
  <si>
    <t>F, L, dif, sev st 9-10 inv</t>
  </si>
  <si>
    <t>IC2170</t>
  </si>
  <si>
    <t>6h34m5s</t>
  </si>
  <si>
    <t>+44h41m20s</t>
  </si>
  <si>
    <t>eF, S, r, * 13 spp 0'.8</t>
  </si>
  <si>
    <t>IC2171</t>
  </si>
  <si>
    <t>6h45m13s</t>
  </si>
  <si>
    <t>-17h40m24s</t>
  </si>
  <si>
    <t>F, 3 st 10 around</t>
  </si>
  <si>
    <t>IC2172</t>
  </si>
  <si>
    <t>neb *</t>
  </si>
  <si>
    <t>IC2173</t>
  </si>
  <si>
    <t>6h50m47.2s</t>
  </si>
  <si>
    <t>+33h27m27s</t>
  </si>
  <si>
    <t>eF neb *, 2288 close, * 12 nnp 1'</t>
  </si>
  <si>
    <t>IC2174</t>
  </si>
  <si>
    <t>7h9m5s</t>
  </si>
  <si>
    <t>+75h21m13s</t>
  </si>
  <si>
    <t>IC2175</t>
  </si>
  <si>
    <t>7h8m39.6s</t>
  </si>
  <si>
    <t>+35h17m17s</t>
  </si>
  <si>
    <t>extremely faint, pretty large, mottled but not resolved, nebulous?</t>
  </si>
  <si>
    <t>eF, pL, r, nebs ?</t>
  </si>
  <si>
    <t>IC2176</t>
  </si>
  <si>
    <t>7h7m31.8s</t>
  </si>
  <si>
    <t>+32h28m13s</t>
  </si>
  <si>
    <t>IC2177</t>
  </si>
  <si>
    <t>7h4m25.3s</t>
  </si>
  <si>
    <t>-10h27m13s</t>
  </si>
  <si>
    <t>pretty bright, extremely large, irregularly round, very diffuse</t>
  </si>
  <si>
    <t>pB, eL, iR, v dif</t>
  </si>
  <si>
    <t>IC2178</t>
  </si>
  <si>
    <t>7h7m37.6s</t>
  </si>
  <si>
    <t>+32h30m47s</t>
  </si>
  <si>
    <t>IC2179</t>
  </si>
  <si>
    <t>7h15m32.3s</t>
  </si>
  <si>
    <t>+64h55m34s</t>
  </si>
  <si>
    <t>* 13 in vF, vS neb [? = III 746]</t>
  </si>
  <si>
    <t>IC2180</t>
  </si>
  <si>
    <t>7h11m19.5s</t>
  </si>
  <si>
    <t>+26h22m15s</t>
  </si>
  <si>
    <t>IC2181</t>
  </si>
  <si>
    <t>7h13m10.3s</t>
  </si>
  <si>
    <t>+18h59m47s</t>
  </si>
  <si>
    <t>IC2182</t>
  </si>
  <si>
    <t>7h14m11s</t>
  </si>
  <si>
    <t>+18h56m42s</t>
  </si>
  <si>
    <t>very faint, very small, diffuse, 12th magnitude star attached</t>
  </si>
  <si>
    <t>vF, vS, dif, * 12 att</t>
  </si>
  <si>
    <t>IC2183</t>
  </si>
  <si>
    <t>7h16m56s</t>
  </si>
  <si>
    <t>-20h24m36s</t>
  </si>
  <si>
    <t>Wisp 2' ns, 3 st n, susp</t>
  </si>
  <si>
    <t>IC2184</t>
  </si>
  <si>
    <t>7h29m24.9s</t>
  </si>
  <si>
    <t>+72h7m43s</t>
  </si>
  <si>
    <t>very faint, small, stellar, mottled but not resolved</t>
  </si>
  <si>
    <t>vF, S, stell, r</t>
  </si>
  <si>
    <t>IC2185</t>
  </si>
  <si>
    <t>7h23m16.1s</t>
  </si>
  <si>
    <t>+32h29m41s</t>
  </si>
  <si>
    <t>IC2186</t>
  </si>
  <si>
    <t>7h22m43.1s</t>
  </si>
  <si>
    <t>+21h30m49s</t>
  </si>
  <si>
    <t>IC2187</t>
  </si>
  <si>
    <t>7h22m43.3s</t>
  </si>
  <si>
    <t>+21h28m58s</t>
  </si>
  <si>
    <t>F, S, R, dif, * 11.5 v nr</t>
  </si>
  <si>
    <t>IC2188</t>
  </si>
  <si>
    <t>faint, small, diffuse, faint nucleus</t>
  </si>
  <si>
    <t>F, S, dif, FN</t>
  </si>
  <si>
    <t>IC2189</t>
  </si>
  <si>
    <t>7h24m57s</t>
  </si>
  <si>
    <t>+8h55m12s</t>
  </si>
  <si>
    <t>IC2190</t>
  </si>
  <si>
    <t>7h29m54.3s</t>
  </si>
  <si>
    <t>+37h27m6s</t>
  </si>
  <si>
    <t>IC2191</t>
  </si>
  <si>
    <t>7h30m17.4s</t>
  </si>
  <si>
    <t>+24h19m42s</t>
  </si>
  <si>
    <t>IC2192</t>
  </si>
  <si>
    <t>7h33m19.8s</t>
  </si>
  <si>
    <t>+31h33m12s</t>
  </si>
  <si>
    <t>F, vS, R, * 14 nearly in cont</t>
  </si>
  <si>
    <t>IC2193</t>
  </si>
  <si>
    <t>7h33m23.6s</t>
  </si>
  <si>
    <t>+31h29m0s</t>
  </si>
  <si>
    <t>Close p * 10m [? = J. 1001]</t>
  </si>
  <si>
    <t>IC2194</t>
  </si>
  <si>
    <t>7h33m40.2s</t>
  </si>
  <si>
    <t>+31h20m4s</t>
  </si>
  <si>
    <t>IC2195</t>
  </si>
  <si>
    <t>7h28m27s</t>
  </si>
  <si>
    <t>-51h15m24s</t>
  </si>
  <si>
    <t>considerably bright, small, round, brighter middle, suspected</t>
  </si>
  <si>
    <t>cB, S, R, bM, susp</t>
  </si>
  <si>
    <t>IC2196</t>
  </si>
  <si>
    <t>7h34m9.7s</t>
  </si>
  <si>
    <t>+31h24m22s</t>
  </si>
  <si>
    <t>F, S, pR, gbM, r, 3 st 2' p</t>
  </si>
  <si>
    <t>IC2197</t>
  </si>
  <si>
    <t>7h34m18.9s</t>
  </si>
  <si>
    <t>+31h20m14s</t>
  </si>
  <si>
    <t>IC2198</t>
  </si>
  <si>
    <t>7h34m11.1s</t>
  </si>
  <si>
    <t>+23h57m59s</t>
  </si>
  <si>
    <t>IC2199</t>
  </si>
  <si>
    <t>IC 2199 星系群</t>
  </si>
  <si>
    <t>7h34m55.6s</t>
  </si>
  <si>
    <t>+31h16m33s</t>
  </si>
  <si>
    <t>IC2200</t>
  </si>
  <si>
    <t>7h28m17.4s</t>
  </si>
  <si>
    <t>-62h21m10s</t>
  </si>
  <si>
    <t>extremely faint, extremely small, extremely extended 65°, between 2 stars, suspected</t>
  </si>
  <si>
    <t>eF, eS, eE 65°, bet 2 st, susp</t>
  </si>
  <si>
    <t>IC2201</t>
  </si>
  <si>
    <t>7h36m16.8s</t>
  </si>
  <si>
    <t>+33h7m23s</t>
  </si>
  <si>
    <t>IC2202</t>
  </si>
  <si>
    <t>7h27m54.9s</t>
  </si>
  <si>
    <t>-67h34m28s</t>
  </si>
  <si>
    <t>IC2203</t>
  </si>
  <si>
    <t>7h40m33.6s</t>
  </si>
  <si>
    <t>+34h13m48s</t>
  </si>
  <si>
    <t>IC2204</t>
  </si>
  <si>
    <t>7h41m18.1s</t>
  </si>
  <si>
    <t>+34h13m53s</t>
  </si>
  <si>
    <t>F, vS, R, eFN, r</t>
  </si>
  <si>
    <t>IC2205</t>
  </si>
  <si>
    <t>7h46m54.5s</t>
  </si>
  <si>
    <t>+26h52m22s</t>
  </si>
  <si>
    <t>F, vS, neb D *</t>
  </si>
  <si>
    <t>IC2206</t>
  </si>
  <si>
    <t>7h45m46.1s</t>
  </si>
  <si>
    <t>-34h22m11s</t>
  </si>
  <si>
    <t>Planetary, stell, 9.5 mag</t>
  </si>
  <si>
    <t>IC2207</t>
  </si>
  <si>
    <t>7h49m50.8s</t>
  </si>
  <si>
    <t>+33h57m45s</t>
  </si>
  <si>
    <t>vF, vS, dif, * 15 v nr</t>
  </si>
  <si>
    <t>IC2208</t>
  </si>
  <si>
    <t>7h52m7.9s</t>
  </si>
  <si>
    <t>+27h29m3s</t>
  </si>
  <si>
    <t>IC2209</t>
  </si>
  <si>
    <t>7h56m14.2s</t>
  </si>
  <si>
    <t>+60h18m14s</t>
  </si>
  <si>
    <t>IC2210</t>
  </si>
  <si>
    <t>7h56m56.3s</t>
  </si>
  <si>
    <t>+56h40m50s</t>
  </si>
  <si>
    <t>extremely faint, stellar, 13th magnitude star to northwest</t>
  </si>
  <si>
    <t>eF, stell, * 13 np</t>
  </si>
  <si>
    <t>IC2211</t>
  </si>
  <si>
    <t>7h57m45.6s</t>
  </si>
  <si>
    <t>+32h33m31s</t>
  </si>
  <si>
    <t>pretty bright, small, round, faint nucleus, mottled but not resolved</t>
  </si>
  <si>
    <t>pB, S, R, FN, r</t>
  </si>
  <si>
    <t>IC2212</t>
  </si>
  <si>
    <t>7h58m57.1s</t>
  </si>
  <si>
    <t>+32h36m46s</t>
  </si>
  <si>
    <t>faint, pretty large, very little brighter middle, diffuse</t>
  </si>
  <si>
    <t>F, pL, vlbM, dif</t>
  </si>
  <si>
    <t>IC2213</t>
  </si>
  <si>
    <t>7h59m6.5s</t>
  </si>
  <si>
    <t>+27h27m52s</t>
  </si>
  <si>
    <t>IC2214</t>
  </si>
  <si>
    <t>7h59m53.8s</t>
  </si>
  <si>
    <t>+33h17m25s</t>
  </si>
  <si>
    <t>IC2215</t>
  </si>
  <si>
    <t>7h59m33s</t>
  </si>
  <si>
    <t>+24h55m44s</t>
  </si>
  <si>
    <t>a cluster, very small, 30 arcsec (wide)</t>
  </si>
  <si>
    <t>Cl, vS, 30"</t>
  </si>
  <si>
    <t>IC2216</t>
  </si>
  <si>
    <t>7h59m27.7s</t>
  </si>
  <si>
    <t>+5h36m52s</t>
  </si>
  <si>
    <t>very faint, extremely small, suddenly brighter middle</t>
  </si>
  <si>
    <t>vF, eS, sbM</t>
  </si>
  <si>
    <t>IC2217</t>
  </si>
  <si>
    <t>8h0m49.8s</t>
  </si>
  <si>
    <t>+27h30m1s</t>
  </si>
  <si>
    <t>faint, pretty small, round, diffuse, mottled but not resolved</t>
  </si>
  <si>
    <t>F, pS, R, dif, r</t>
  </si>
  <si>
    <t>IC2218</t>
  </si>
  <si>
    <t>8h1m38.4s</t>
  </si>
  <si>
    <t>+24h25m55s</t>
  </si>
  <si>
    <t>F, S, R, * 14 v nr</t>
  </si>
  <si>
    <t>IC2219</t>
  </si>
  <si>
    <t>8h2m36.5s</t>
  </si>
  <si>
    <t>+27h26m14s</t>
  </si>
  <si>
    <t>faint, pretty small, extended 135°, gradually brighter middle, mottled but not resolved</t>
  </si>
  <si>
    <t>F, pS, E 135°, gbM, r</t>
  </si>
  <si>
    <t>IC2220</t>
  </si>
  <si>
    <t>托比壶星云</t>
  </si>
  <si>
    <t>7h56m51.3s</t>
  </si>
  <si>
    <t>-59h7m31s</t>
  </si>
  <si>
    <t>!! L, E, spiral, * inv.</t>
  </si>
  <si>
    <t>IC2221</t>
  </si>
  <si>
    <t>8h5m8s</t>
  </si>
  <si>
    <t>+37h27m2s</t>
  </si>
  <si>
    <t>very faint, very small, round, difficult</t>
  </si>
  <si>
    <t>vF, vS, R, diffic</t>
  </si>
  <si>
    <t>IC2222</t>
  </si>
  <si>
    <t>8h5m14.8s</t>
  </si>
  <si>
    <t>+37h28m21s</t>
  </si>
  <si>
    <t>faint, small, round, diffuse, mottled but not resolved</t>
  </si>
  <si>
    <t>F, S, R, dif, r</t>
  </si>
  <si>
    <t>IC2223</t>
  </si>
  <si>
    <t>8h5m46s</t>
  </si>
  <si>
    <t>+37h27m45s</t>
  </si>
  <si>
    <t>IC2224</t>
  </si>
  <si>
    <t>8h5m50.3s</t>
  </si>
  <si>
    <t>+37h27m35s</t>
  </si>
  <si>
    <t>very faint, very small, round, very little brighter middle, difficult</t>
  </si>
  <si>
    <t>vF, vS, R, vlbM, diffic</t>
  </si>
  <si>
    <t>IC2225</t>
  </si>
  <si>
    <t>8h5m28.1s</t>
  </si>
  <si>
    <t>+35h56m49s</t>
  </si>
  <si>
    <t>faint, pretty small, gradually brighter middle, mottled but not resolved</t>
  </si>
  <si>
    <t>F, pS, gbM, r</t>
  </si>
  <si>
    <t>IC2226</t>
  </si>
  <si>
    <t>8h6m11.1s</t>
  </si>
  <si>
    <t>+12h32m39s</t>
  </si>
  <si>
    <t>IC2227</t>
  </si>
  <si>
    <t>8h7m7.1s</t>
  </si>
  <si>
    <t>+36h14m0s</t>
  </si>
  <si>
    <t>F, vS, gbMN, r, * 13.5 v nr</t>
  </si>
  <si>
    <t>IC2228</t>
  </si>
  <si>
    <t>8h7m5.4s</t>
  </si>
  <si>
    <t>+8h1m33s</t>
  </si>
  <si>
    <t>extremely faint, small, mottled but not resolved</t>
  </si>
  <si>
    <t>eF, S, r</t>
  </si>
  <si>
    <t>IC2229</t>
  </si>
  <si>
    <t>faint, small, round, a little brighter middle and nucleus, mottled but not resolved</t>
  </si>
  <si>
    <t>F, S, R, lbMN, r</t>
  </si>
  <si>
    <t>IC2230</t>
  </si>
  <si>
    <t>8h10m56.5s</t>
  </si>
  <si>
    <t>+25h41m7s</t>
  </si>
  <si>
    <t>IC2231</t>
  </si>
  <si>
    <t>8h11m1.4s</t>
  </si>
  <si>
    <t>+5h5m15s</t>
  </si>
  <si>
    <t>faint, very small, round, diffuse, 14th magnitude star attached</t>
  </si>
  <si>
    <t>F, vS, R, dif, * 14 att</t>
  </si>
  <si>
    <t>IC2232</t>
  </si>
  <si>
    <t>faint, pretty small, round, gradually brighter middle and nucleus</t>
  </si>
  <si>
    <t>F, pS, R, gbMN</t>
  </si>
  <si>
    <t>IC2233</t>
  </si>
  <si>
    <t>8h13m59s</t>
  </si>
  <si>
    <t>+45h44m23s</t>
  </si>
  <si>
    <t>pB, L, E np sf, IV. 55 np</t>
  </si>
  <si>
    <t>IC2234</t>
  </si>
  <si>
    <t>8h13m51.6s</t>
  </si>
  <si>
    <t>+35h29m36s</t>
  </si>
  <si>
    <t>pretty faint, very small, diffuse, very faint nucleus</t>
  </si>
  <si>
    <t>pF, vS, dif, vFN</t>
  </si>
  <si>
    <t>IC2235</t>
  </si>
  <si>
    <t>8h13m34.1s</t>
  </si>
  <si>
    <t>+24h4m41s</t>
  </si>
  <si>
    <t>pretty bright, small, extended 135°, diffuse</t>
  </si>
  <si>
    <t>pB, S, E 135°, dif</t>
  </si>
  <si>
    <t>IC2236</t>
  </si>
  <si>
    <t>8h13m37.6s</t>
  </si>
  <si>
    <t>+24h2m55s</t>
  </si>
  <si>
    <t>pretty bright, extended 0°, diffuse</t>
  </si>
  <si>
    <t>pB, E 0°, dif</t>
  </si>
  <si>
    <t>IC2237</t>
  </si>
  <si>
    <t>8h14m8s</t>
  </si>
  <si>
    <t>+24h41m43s</t>
  </si>
  <si>
    <t>vF, pS, p dif</t>
  </si>
  <si>
    <t>IC2238</t>
  </si>
  <si>
    <t>8h14m8.6s</t>
  </si>
  <si>
    <t>+24h39m42s</t>
  </si>
  <si>
    <t>pretty faint, small, diffuse</t>
  </si>
  <si>
    <t>pF, S, dif</t>
  </si>
  <si>
    <t>IC2239</t>
  </si>
  <si>
    <t>8h14m6.7s</t>
  </si>
  <si>
    <t>+23h51m59s</t>
  </si>
  <si>
    <t>pretty bright, small, round, stellar nucleus</t>
  </si>
  <si>
    <t>pB, S, R, stell N</t>
  </si>
  <si>
    <t>IC2240</t>
  </si>
  <si>
    <t>8h14m47.5s</t>
  </si>
  <si>
    <t>+24h28m3s</t>
  </si>
  <si>
    <t>vF, S, E 155°, dif</t>
  </si>
  <si>
    <t>IC2241</t>
  </si>
  <si>
    <t>8h15m8.9s</t>
  </si>
  <si>
    <t>+24h7m48s</t>
  </si>
  <si>
    <t>IC2242</t>
  </si>
  <si>
    <t>8h15m11.7s</t>
  </si>
  <si>
    <t>+24h7m59s</t>
  </si>
  <si>
    <t>IC2243</t>
  </si>
  <si>
    <t>8h15m18.5s</t>
  </si>
  <si>
    <t>+23h57m45s</t>
  </si>
  <si>
    <t>faint, small, diffuse, binuclear</t>
  </si>
  <si>
    <t>F, S, dif, biN</t>
  </si>
  <si>
    <t>IC2244</t>
  </si>
  <si>
    <t>8h15m22.3s</t>
  </si>
  <si>
    <t>+24h32m45s</t>
  </si>
  <si>
    <t>very faint, small, extended 0°</t>
  </si>
  <si>
    <t>vF, S, E 0°</t>
  </si>
  <si>
    <t>IC2245</t>
  </si>
  <si>
    <t>8h15m28.4s</t>
  </si>
  <si>
    <t>+24h32m8s</t>
  </si>
  <si>
    <t>IC2246</t>
  </si>
  <si>
    <t>8h16m1s</t>
  </si>
  <si>
    <t>+23h50m58s</t>
  </si>
  <si>
    <t>pretty bright, small, diffuse, brightest toward the eastern side</t>
  </si>
  <si>
    <t>pB, S, dif, bf</t>
  </si>
  <si>
    <t>IC2247</t>
  </si>
  <si>
    <t>8h15m59s</t>
  </si>
  <si>
    <t>+23h11m59s</t>
  </si>
  <si>
    <t>pretty faint, extended 135°, binuclear</t>
  </si>
  <si>
    <t>pF, E 135°, biN</t>
  </si>
  <si>
    <t>IC2248</t>
  </si>
  <si>
    <t>8h16m4.7s</t>
  </si>
  <si>
    <t>+23h8m4s</t>
  </si>
  <si>
    <t>pB, pL, E 90°, Nn</t>
  </si>
  <si>
    <t>IC2249</t>
  </si>
  <si>
    <t>8h16m34.5s</t>
  </si>
  <si>
    <t>+24h29m35s</t>
  </si>
  <si>
    <t>F, vS, iF, att * sp</t>
  </si>
  <si>
    <t>IC2250</t>
  </si>
  <si>
    <t>8h16m32.3s</t>
  </si>
  <si>
    <t>+23h37m57s</t>
  </si>
  <si>
    <t>IC2251</t>
  </si>
  <si>
    <t>8h16m38.9s</t>
  </si>
  <si>
    <t>+23h56m58s</t>
  </si>
  <si>
    <t>pretty faint, pretty small, diffuse</t>
  </si>
  <si>
    <t>pF, pS, dif</t>
  </si>
  <si>
    <t>IC2252</t>
  </si>
  <si>
    <t>8h16m42s</t>
  </si>
  <si>
    <t>+24h41m36s</t>
  </si>
  <si>
    <t>IC2253</t>
  </si>
  <si>
    <t>8h16m33.9s</t>
  </si>
  <si>
    <t>+21h24m37s</t>
  </si>
  <si>
    <t>IC2254</t>
  </si>
  <si>
    <t>8h16m45.5s</t>
  </si>
  <si>
    <t>+24h46m49s</t>
  </si>
  <si>
    <t>F, S, R, stell, * 13.5 v nr</t>
  </si>
  <si>
    <t>IC2255</t>
  </si>
  <si>
    <t>8h16m43s</t>
  </si>
  <si>
    <t>+23h27m26s</t>
  </si>
  <si>
    <t>very faint, pretty large, nuclear</t>
  </si>
  <si>
    <t>vF, pL, N</t>
  </si>
  <si>
    <t>IC2256</t>
  </si>
  <si>
    <t>8h16m54.4s</t>
  </si>
  <si>
    <t>+24h10m36s</t>
  </si>
  <si>
    <t>B, pS, E 205°</t>
  </si>
  <si>
    <t>IC2257</t>
  </si>
  <si>
    <t>8h17m10.8s</t>
  </si>
  <si>
    <t>+23h39m0s</t>
  </si>
  <si>
    <t>IC2258</t>
  </si>
  <si>
    <t>8h17m16.2s</t>
  </si>
  <si>
    <t>+23h34m39s</t>
  </si>
  <si>
    <t>pretty faint, small, much extended 0°, binuclear</t>
  </si>
  <si>
    <t>pF, S, mE 0°, biN</t>
  </si>
  <si>
    <t>IC2259</t>
  </si>
  <si>
    <t>8h17m18s</t>
  </si>
  <si>
    <t>IC2260</t>
  </si>
  <si>
    <t>8h17m27.5s</t>
  </si>
  <si>
    <t>+24h40m24s</t>
  </si>
  <si>
    <t>pretty faint, small, round, diffuse</t>
  </si>
  <si>
    <t>pF, S, R, dif</t>
  </si>
  <si>
    <t>IC2261</t>
  </si>
  <si>
    <t>8h17m32.7s</t>
  </si>
  <si>
    <t>+23h30m44s</t>
  </si>
  <si>
    <t>vF, mE 45°, B * 1' f</t>
  </si>
  <si>
    <t>IC2262</t>
  </si>
  <si>
    <t>8h17m22.6s</t>
  </si>
  <si>
    <t>+18h27m16s</t>
  </si>
  <si>
    <t>pretty bright, small, bright star to northeast</t>
  </si>
  <si>
    <t>pB, S, B * nf</t>
  </si>
  <si>
    <t>IC2263</t>
  </si>
  <si>
    <t>8h17m40.9s</t>
  </si>
  <si>
    <t>+23h34m48s</t>
  </si>
  <si>
    <t>very faint, small, extended 0°, very little brighter middle</t>
  </si>
  <si>
    <t>vF, S, E 0°, vlbM</t>
  </si>
  <si>
    <t>IC2264</t>
  </si>
  <si>
    <t>8h17m44.9s</t>
  </si>
  <si>
    <t>+23h42m52s</t>
  </si>
  <si>
    <t>pretty bright, small, stellar nucleus</t>
  </si>
  <si>
    <t>pB, S, stell N</t>
  </si>
  <si>
    <t>IC2265</t>
  </si>
  <si>
    <t>8h17m50.4s</t>
  </si>
  <si>
    <t>+24h11m37s</t>
  </si>
  <si>
    <t>IC2266</t>
  </si>
  <si>
    <t>8h17m38.4s</t>
  </si>
  <si>
    <t>+18h24m39s</t>
  </si>
  <si>
    <t>pB, vS, mE, B * att</t>
  </si>
  <si>
    <t>IC2267</t>
  </si>
  <si>
    <t>8h18m1.5s</t>
  </si>
  <si>
    <t>+24h44m10s</t>
  </si>
  <si>
    <t>pB, mE 137°</t>
  </si>
  <si>
    <t>IC2268</t>
  </si>
  <si>
    <t>8h18m6.5s</t>
  </si>
  <si>
    <t>+24h47m46s</t>
  </si>
  <si>
    <t>IC2269</t>
  </si>
  <si>
    <t>8h18m8.6s</t>
  </si>
  <si>
    <t>+23h2m50s</t>
  </si>
  <si>
    <t>pretty faint, small, extended 25°</t>
  </si>
  <si>
    <t>pF, S, E 25°</t>
  </si>
  <si>
    <t>IC2270</t>
  </si>
  <si>
    <t>8h18m0.4s</t>
  </si>
  <si>
    <t>+19h5m52s</t>
  </si>
  <si>
    <t>pB, S, * v nr np</t>
  </si>
  <si>
    <t>IC2271</t>
  </si>
  <si>
    <t>8h18m19.7s</t>
  </si>
  <si>
    <t>+24h31m39s</t>
  </si>
  <si>
    <t>IC2272</t>
  </si>
  <si>
    <t>8h18m6.6s</t>
  </si>
  <si>
    <t>+18h44m4s</t>
  </si>
  <si>
    <t>very faint, very small, gradually brighter middle, star attached</t>
  </si>
  <si>
    <t>vF, vS, gbM, * att</t>
  </si>
  <si>
    <t>IC2273</t>
  </si>
  <si>
    <t>8h18m12.9s</t>
  </si>
  <si>
    <t>+18h24m4s</t>
  </si>
  <si>
    <t>IC2274</t>
  </si>
  <si>
    <t>8h18m14.2s</t>
  </si>
  <si>
    <t>pB neb *, 2 spir branches</t>
  </si>
  <si>
    <t>IC2275</t>
  </si>
  <si>
    <t>8h18m13.7s</t>
  </si>
  <si>
    <t>+18h24m41s</t>
  </si>
  <si>
    <t>IC2276</t>
  </si>
  <si>
    <t>8h18m29.3s</t>
  </si>
  <si>
    <t>+18h28m40s</t>
  </si>
  <si>
    <t>iF, conn with 44 and 46</t>
  </si>
  <si>
    <t>IC2277</t>
  </si>
  <si>
    <t>8h18m32.4s</t>
  </si>
  <si>
    <t>+18h39m0s</t>
  </si>
  <si>
    <t>IC2278</t>
  </si>
  <si>
    <t>8h18m34.5s</t>
  </si>
  <si>
    <t>+18h27m40s</t>
  </si>
  <si>
    <t>iF, conn with 41 and 46</t>
  </si>
  <si>
    <t>IC2279</t>
  </si>
  <si>
    <t>8h18m35.5s</t>
  </si>
  <si>
    <t>+18h34m7s</t>
  </si>
  <si>
    <t>IC2280</t>
  </si>
  <si>
    <t>8h18m38.5s</t>
  </si>
  <si>
    <t>+18h27m1s</t>
  </si>
  <si>
    <t>pF, iF, conn with 41, 44</t>
  </si>
  <si>
    <t>IC2281</t>
  </si>
  <si>
    <t>8h18m54.1s</t>
  </si>
  <si>
    <t>+18h54m33s</t>
  </si>
  <si>
    <t>* att 51°, spir br</t>
  </si>
  <si>
    <t>IC2282</t>
  </si>
  <si>
    <t>8h19m15.6s</t>
  </si>
  <si>
    <t>+24h47m35s</t>
  </si>
  <si>
    <t>pretty faint, large, diffuse, star to southeast</t>
  </si>
  <si>
    <t>pF, L, dif, * sf</t>
  </si>
  <si>
    <t>IC2283</t>
  </si>
  <si>
    <t>8h19m17.5s</t>
  </si>
  <si>
    <t>+24h47m11s</t>
  </si>
  <si>
    <t>pF, pS, R, * 9 f 4s.6, 35" s</t>
  </si>
  <si>
    <t>IC2284</t>
  </si>
  <si>
    <t>8h18m58.7s</t>
  </si>
  <si>
    <t>+18h36m23s</t>
  </si>
  <si>
    <t>F, S, dif, stell N, * v nr sf</t>
  </si>
  <si>
    <t>IC2285</t>
  </si>
  <si>
    <t>8h19m2.9s</t>
  </si>
  <si>
    <t>+18h54m55s</t>
  </si>
  <si>
    <t>pF, S, curved N, conn with 47</t>
  </si>
  <si>
    <t>IC2286</t>
  </si>
  <si>
    <t>8h19m4.1s</t>
  </si>
  <si>
    <t>+18h57m22s</t>
  </si>
  <si>
    <t>pretty bright, very small, extended 50°</t>
  </si>
  <si>
    <t>pB, vS, E 50°</t>
  </si>
  <si>
    <t>IC2287</t>
  </si>
  <si>
    <t>8h19m7.6s</t>
  </si>
  <si>
    <t>+19h24m0s</t>
  </si>
  <si>
    <t>very faint, pretty small, a little brighter middle, diffuse</t>
  </si>
  <si>
    <t>vF, pS, lbM, dif</t>
  </si>
  <si>
    <t>IC2288</t>
  </si>
  <si>
    <t>8h19m22.3s</t>
  </si>
  <si>
    <t>+23h44m50s</t>
  </si>
  <si>
    <t>faint, small, extended 90°, brighter middle, diffuse</t>
  </si>
  <si>
    <t>F, S, E 90°, bM, dif</t>
  </si>
  <si>
    <t>IC2289</t>
  </si>
  <si>
    <t>8h19m7.8s</t>
  </si>
  <si>
    <t>+18h29m54s</t>
  </si>
  <si>
    <t>pretty faint, small, irregular figure</t>
  </si>
  <si>
    <t>pF, S, iF</t>
  </si>
  <si>
    <t>IC2290</t>
  </si>
  <si>
    <t>8h19m15.7s</t>
  </si>
  <si>
    <t>+19h18m49s</t>
  </si>
  <si>
    <t>pretty faint, pretty small, diffuse, others near</t>
  </si>
  <si>
    <t>pF, pS, dif, others nr</t>
  </si>
  <si>
    <t>IC2291</t>
  </si>
  <si>
    <t>8h19m18.2s</t>
  </si>
  <si>
    <t>+18h30m30s</t>
  </si>
  <si>
    <t>very faint, small, much extended 125°, gradually brighter middle</t>
  </si>
  <si>
    <t>vF, S, mE 125°, gbM</t>
  </si>
  <si>
    <t>IC2292</t>
  </si>
  <si>
    <t>8h19m22s</t>
  </si>
  <si>
    <t>+19h33m47s</t>
  </si>
  <si>
    <t>pretty faint, very small, extended 135°, brighter middle</t>
  </si>
  <si>
    <t>pF, vS, E 135°, bM</t>
  </si>
  <si>
    <t>IC2293</t>
  </si>
  <si>
    <t>8h19m32.1s</t>
  </si>
  <si>
    <t>+21h23m40s</t>
  </si>
  <si>
    <t>IC2294</t>
  </si>
  <si>
    <t>8h19m25.9s</t>
  </si>
  <si>
    <t>+18h59m7s</t>
  </si>
  <si>
    <t>IC2295</t>
  </si>
  <si>
    <t>faint, very small, extended 90°, very faint stellar nucleus, bright star to southeast</t>
  </si>
  <si>
    <t>F, vS, E 90°, vF stell N, B * sf</t>
  </si>
  <si>
    <t>IC2296</t>
  </si>
  <si>
    <t>8h19m28.5s</t>
  </si>
  <si>
    <t>+18h53m55s</t>
  </si>
  <si>
    <t>pretty faint, very small, irregular figure, very little brighter middle</t>
  </si>
  <si>
    <t>pF, vS, iF, vlbM</t>
  </si>
  <si>
    <t>IC2297</t>
  </si>
  <si>
    <t>8h20m4.4s</t>
  </si>
  <si>
    <t>+18h22m52s</t>
  </si>
  <si>
    <t>pretty bright, small, others near</t>
  </si>
  <si>
    <t>pB, S, others nr</t>
  </si>
  <si>
    <t>IC2298</t>
  </si>
  <si>
    <t>8h20m7.1s</t>
  </si>
  <si>
    <t>+18h24m10s</t>
  </si>
  <si>
    <t>pF, S, iF, Ns, * close nf</t>
  </si>
  <si>
    <t>IC2299</t>
  </si>
  <si>
    <t>8h20m9.7s</t>
  </si>
  <si>
    <t>+19h20m17s</t>
  </si>
  <si>
    <t>F, vME 60°</t>
  </si>
  <si>
    <t>IC2300</t>
  </si>
  <si>
    <t>8h20m12.7s</t>
  </si>
  <si>
    <t>+18h25m12s</t>
  </si>
  <si>
    <t>F, pS, iF, arms n and p</t>
  </si>
  <si>
    <t>IC2301</t>
  </si>
  <si>
    <t>8h20m13.9s</t>
  </si>
  <si>
    <t>+18h26m4s</t>
  </si>
  <si>
    <t>vF, S, mE, exc N, * sf</t>
  </si>
  <si>
    <t>IC2302</t>
  </si>
  <si>
    <t>8h20m17.3s</t>
  </si>
  <si>
    <t>+19h21m24s</t>
  </si>
  <si>
    <t>IC2303</t>
  </si>
  <si>
    <t>8h20m19.4s</t>
  </si>
  <si>
    <t>+19h25m9s</t>
  </si>
  <si>
    <t>faint, very small, much extended 0°</t>
  </si>
  <si>
    <t>F, vS, mE 0°</t>
  </si>
  <si>
    <t>IC2304</t>
  </si>
  <si>
    <t>8h20m35.8s</t>
  </si>
  <si>
    <t>+19h26m22s</t>
  </si>
  <si>
    <t>bright, very small, nebulous star</t>
  </si>
  <si>
    <t>B, vS, neb *</t>
  </si>
  <si>
    <t>IC2305</t>
  </si>
  <si>
    <t>8h20m40.2s</t>
  </si>
  <si>
    <t>+19h27m10s</t>
  </si>
  <si>
    <t>very faint, small, nuclear</t>
  </si>
  <si>
    <t>vF, S, N</t>
  </si>
  <si>
    <t>IC2306</t>
  </si>
  <si>
    <t>8h20m39.5s</t>
  </si>
  <si>
    <t>+19h6m36s</t>
  </si>
  <si>
    <t>IC2307</t>
  </si>
  <si>
    <t>8h20m42.9s</t>
  </si>
  <si>
    <t>+19h26m27s</t>
  </si>
  <si>
    <t>pretty bright, pretty small, diffuse, extended 0°</t>
  </si>
  <si>
    <t>pB, pS, dif, E 0°</t>
  </si>
  <si>
    <t>IC2308</t>
  </si>
  <si>
    <t>8h20m45.3s</t>
  </si>
  <si>
    <t>+19h21m42s</t>
  </si>
  <si>
    <t>pretty bright, very small, irregular figure, brighter middle</t>
  </si>
  <si>
    <t>pB, vS, iF, bM</t>
  </si>
  <si>
    <t>IC2309</t>
  </si>
  <si>
    <t>8h20m43.6s</t>
  </si>
  <si>
    <t>+18h23m50s</t>
  </si>
  <si>
    <t>vF, pS, E 165°</t>
  </si>
  <si>
    <t>IC2310</t>
  </si>
  <si>
    <t>8h20m46.3s</t>
  </si>
  <si>
    <t>+18h27m48s</t>
  </si>
  <si>
    <t>pretty bright, pretty small, much extended 40°, curved, much brighter middle</t>
  </si>
  <si>
    <t>pB, pS, mE 40°, curved, mbM</t>
  </si>
  <si>
    <t>IC2311</t>
  </si>
  <si>
    <t>8h18m45.9s</t>
  </si>
  <si>
    <t>-25h22m12s</t>
  </si>
  <si>
    <t>pB, vS, R, lbM, 6' n of III 288</t>
  </si>
  <si>
    <t>IC2312</t>
  </si>
  <si>
    <t>8h20m53.2s</t>
  </si>
  <si>
    <t>very faint, small, extended 45°, diffuse, very little brighter middle</t>
  </si>
  <si>
    <t>vF, S, E 45°, dif, vlbM</t>
  </si>
  <si>
    <t>IC2313</t>
  </si>
  <si>
    <t>8h20m54.6s</t>
  </si>
  <si>
    <t>+18h30m52s</t>
  </si>
  <si>
    <t>very faint, very small, very faint stellar nucleus</t>
  </si>
  <si>
    <t>vF, vS, vF stell N</t>
  </si>
  <si>
    <t>IC2314</t>
  </si>
  <si>
    <t>8h21m3.7s</t>
  </si>
  <si>
    <t>+18h45m47s</t>
  </si>
  <si>
    <t>faint, small, spiral, very little brighter middle</t>
  </si>
  <si>
    <t>F, S, spir, vlbM</t>
  </si>
  <si>
    <t>IC2315</t>
  </si>
  <si>
    <t>8h21m10.9s</t>
  </si>
  <si>
    <t>+18h54m53s</t>
  </si>
  <si>
    <t>faint, very small, round, diffuse, nuclear</t>
  </si>
  <si>
    <t>F, vS, R, dif, N</t>
  </si>
  <si>
    <t>IC2316</t>
  </si>
  <si>
    <t>8h21m15.3s</t>
  </si>
  <si>
    <t>+19h45m36s</t>
  </si>
  <si>
    <t>pB, S, R, exc stell N</t>
  </si>
  <si>
    <t>IC2317</t>
  </si>
  <si>
    <t>8h21m21.6s</t>
  </si>
  <si>
    <t>+18h50m40s</t>
  </si>
  <si>
    <t>faint, very small, diffuse, very faint stellar nucleus</t>
  </si>
  <si>
    <t>F, vS, dif, vF stell N</t>
  </si>
  <si>
    <t>IC2318</t>
  </si>
  <si>
    <t>8h21m32.8s</t>
  </si>
  <si>
    <t>+18h37m23s</t>
  </si>
  <si>
    <t>faint, very small, nuclear</t>
  </si>
  <si>
    <t>F, vS, N</t>
  </si>
  <si>
    <t>IC2319</t>
  </si>
  <si>
    <t>8h21m33.1s</t>
  </si>
  <si>
    <t>+18h28m34s</t>
  </si>
  <si>
    <t>IC2320</t>
  </si>
  <si>
    <t>8h21m35.4s</t>
  </si>
  <si>
    <t>+18h40m13s</t>
  </si>
  <si>
    <t>IC2321</t>
  </si>
  <si>
    <t>8h21m39.1s</t>
  </si>
  <si>
    <t>+18h28m7s</t>
  </si>
  <si>
    <t>IC2322</t>
  </si>
  <si>
    <t>8h21m39s</t>
  </si>
  <si>
    <t>+18h29m2s</t>
  </si>
  <si>
    <t>IC2323</t>
  </si>
  <si>
    <t>8h21m41.3s</t>
  </si>
  <si>
    <t>+18h36m48s</t>
  </si>
  <si>
    <t>IC2324</t>
  </si>
  <si>
    <t>8h21m58.8s</t>
  </si>
  <si>
    <t>+19h11m38s</t>
  </si>
  <si>
    <t>pF, S, mE 155°, sev N</t>
  </si>
  <si>
    <t>IC2325</t>
  </si>
  <si>
    <t>8h22m8.7s</t>
  </si>
  <si>
    <t>+18h54m42s</t>
  </si>
  <si>
    <t>very faint, pretty large, irregular figure, faint star attached on east</t>
  </si>
  <si>
    <t>vF, pL, iF, F * att f</t>
  </si>
  <si>
    <t>IC2326</t>
  </si>
  <si>
    <t>8h22m12s</t>
  </si>
  <si>
    <t>+19h0m42s</t>
  </si>
  <si>
    <t>vF, mE 90°, dif, sev N</t>
  </si>
  <si>
    <t>IC2327</t>
  </si>
  <si>
    <t>+3h10m8s</t>
  </si>
  <si>
    <t>IC2328</t>
  </si>
  <si>
    <t>8h22m17.3s</t>
  </si>
  <si>
    <t>+19h36m59s</t>
  </si>
  <si>
    <t>pB, pS, mE 65°</t>
  </si>
  <si>
    <t>IC2329</t>
  </si>
  <si>
    <t>8h22m19.4s</t>
  </si>
  <si>
    <t>+19h24m56s</t>
  </si>
  <si>
    <t>pF, pS, mE 110°, stell N</t>
  </si>
  <si>
    <t>IC2330</t>
  </si>
  <si>
    <t>8h22m23.2s</t>
  </si>
  <si>
    <t>+18h51m12s</t>
  </si>
  <si>
    <t>B, vS, stell, 2 spir branches</t>
  </si>
  <si>
    <t>IC2331</t>
  </si>
  <si>
    <t>8h22m35.2s</t>
  </si>
  <si>
    <t>+19h40m45s</t>
  </si>
  <si>
    <t>IC2332</t>
  </si>
  <si>
    <t>8h22m39.7s</t>
  </si>
  <si>
    <t>+19h55m13s</t>
  </si>
  <si>
    <t>pB, vS, R, stell N, F * att s</t>
  </si>
  <si>
    <t>IC2333</t>
  </si>
  <si>
    <t>8h23m1s</t>
  </si>
  <si>
    <t>+19h4m54s</t>
  </si>
  <si>
    <t>faint, small, round, nuclear</t>
  </si>
  <si>
    <t>F, S, R, N</t>
  </si>
  <si>
    <t>IC2334</t>
  </si>
  <si>
    <t>8h23m0s</t>
  </si>
  <si>
    <t>+18h36m52s</t>
  </si>
  <si>
    <t>IC2335</t>
  </si>
  <si>
    <t>8h23m7.1s</t>
  </si>
  <si>
    <t>+19h24m27s</t>
  </si>
  <si>
    <t>faint, pretty small, very little brighter middle, diffuse, binuclear</t>
  </si>
  <si>
    <t>F, pS, vlbM, dif, biN</t>
  </si>
  <si>
    <t>IC2336</t>
  </si>
  <si>
    <t>8h23m19.1s</t>
  </si>
  <si>
    <t>+18h32m14s</t>
  </si>
  <si>
    <t>IC2337</t>
  </si>
  <si>
    <t>8h23m20.3s</t>
  </si>
  <si>
    <t>+18h32m8s</t>
  </si>
  <si>
    <t>IC2338</t>
  </si>
  <si>
    <t>8h23m32.7s</t>
  </si>
  <si>
    <t>+21h20m16s</t>
  </si>
  <si>
    <t>IC2339</t>
  </si>
  <si>
    <t>8h23m34.2s</t>
  </si>
  <si>
    <t>+21h20m51s</t>
  </si>
  <si>
    <t>IC2340</t>
  </si>
  <si>
    <t>8h23m30.2s</t>
  </si>
  <si>
    <t>+18h44m58s</t>
  </si>
  <si>
    <t>pretty faint, pretty small, diffuse, brighter middle and nucleus</t>
  </si>
  <si>
    <t>pF, pS, dif, bMN</t>
  </si>
  <si>
    <t>IC2341</t>
  </si>
  <si>
    <t>8h23m41.4s</t>
  </si>
  <si>
    <t>+21h26m6s</t>
  </si>
  <si>
    <t>IC2342</t>
  </si>
  <si>
    <t>8h23m32.2s</t>
  </si>
  <si>
    <t>+18h34m46s</t>
  </si>
  <si>
    <t>pB, S, R, * 12 att 112°</t>
  </si>
  <si>
    <t>IC2343</t>
  </si>
  <si>
    <t>+18h34m47s</t>
  </si>
  <si>
    <t>faint, pretty small, a little brighter middle, diffuse</t>
  </si>
  <si>
    <t>F, pS, lbM, dif</t>
  </si>
  <si>
    <t>IC2344</t>
  </si>
  <si>
    <t>8h23m54.9s</t>
  </si>
  <si>
    <t>+18h39m34s</t>
  </si>
  <si>
    <t>IC2345</t>
  </si>
  <si>
    <t>8h24m8.5s</t>
  </si>
  <si>
    <t>+19h57m9s</t>
  </si>
  <si>
    <t>F, S, E 90°, att B * sp</t>
  </si>
  <si>
    <t>IC2346</t>
  </si>
  <si>
    <t>8h24m10.5s</t>
  </si>
  <si>
    <t>+19h42m20s</t>
  </si>
  <si>
    <t>vF, S, R, bM, 2nd v nr sf</t>
  </si>
  <si>
    <t>IC2347</t>
  </si>
  <si>
    <t>8h24m14s</t>
  </si>
  <si>
    <t>+18h46m26s</t>
  </si>
  <si>
    <t>IC2348</t>
  </si>
  <si>
    <t>8h24m20.2s</t>
  </si>
  <si>
    <t>+20h32m2s</t>
  </si>
  <si>
    <t>faint, pretty small, much extended 45°, brighter middle</t>
  </si>
  <si>
    <t>F, pS, mE 45°, bM</t>
  </si>
  <si>
    <t>IC2349</t>
  </si>
  <si>
    <t>8h24m17.1s</t>
  </si>
  <si>
    <t>+19h0m22s</t>
  </si>
  <si>
    <t>pretty faint, large, a little brighter middle, diffuse</t>
  </si>
  <si>
    <t>pF, L, lbM, dif</t>
  </si>
  <si>
    <t>IC2350</t>
  </si>
  <si>
    <t>8h24m28.3s</t>
  </si>
  <si>
    <t>+19h33m7s</t>
  </si>
  <si>
    <t>very faint, small, gradually brighter middle and nucleus, bright star to south</t>
  </si>
  <si>
    <t>vF, S, gbMN, B * s</t>
  </si>
  <si>
    <t>IC2351</t>
  </si>
  <si>
    <t>8h24m30.3s</t>
  </si>
  <si>
    <t>+18h35m18s</t>
  </si>
  <si>
    <t>pF, pS, iF, F stell N, 2581 f</t>
  </si>
  <si>
    <t>IC2352</t>
  </si>
  <si>
    <t>8h24m40s</t>
  </si>
  <si>
    <t>+19h36m8s</t>
  </si>
  <si>
    <t>F, S, lbM, S neb f</t>
  </si>
  <si>
    <t>IC2353</t>
  </si>
  <si>
    <t>8h24m18s</t>
  </si>
  <si>
    <t>+18h39m21s</t>
  </si>
  <si>
    <t>pB, S, R, spir br</t>
  </si>
  <si>
    <t>IC2354</t>
  </si>
  <si>
    <t>8h24m40.7s</t>
  </si>
  <si>
    <t>+18h39m59s</t>
  </si>
  <si>
    <t>very faint, very small, diffuse, very faint nucleus</t>
  </si>
  <si>
    <t>vF, vS, dif, vFN</t>
  </si>
  <si>
    <t>IC2355</t>
  </si>
  <si>
    <t>8h24m51.7s</t>
  </si>
  <si>
    <t>+20h27m43s</t>
  </si>
  <si>
    <t>IC2356</t>
  </si>
  <si>
    <t>8h25m0.8s</t>
  </si>
  <si>
    <t>+19h29m50s</t>
  </si>
  <si>
    <t>faint, very small, much extended, a little brighter middle</t>
  </si>
  <si>
    <t>F, vS, mE, lbM</t>
  </si>
  <si>
    <t>IC2357</t>
  </si>
  <si>
    <t>8h25m4.6s</t>
  </si>
  <si>
    <t>+19h30m31s</t>
  </si>
  <si>
    <t>pretty faint, small, round, diffuse, stellar nucleus</t>
  </si>
  <si>
    <t>pF, S, R, dif, stell N</t>
  </si>
  <si>
    <t>IC2358</t>
  </si>
  <si>
    <t>8h25m5.2s</t>
  </si>
  <si>
    <t>+19h29m43s</t>
  </si>
  <si>
    <t>F, S, E 135°, FN, vS neb f</t>
  </si>
  <si>
    <t>IC2359</t>
  </si>
  <si>
    <t>F, vS, E 160°, stell N exc nf</t>
  </si>
  <si>
    <t>IC2360</t>
  </si>
  <si>
    <t>8h25m15.2s</t>
  </si>
  <si>
    <t>+19h31m0s</t>
  </si>
  <si>
    <t>F, S, dif, vFN exc</t>
  </si>
  <si>
    <t>IC2361</t>
  </si>
  <si>
    <t>8h25m44.4s</t>
  </si>
  <si>
    <t>+27h52m29s</t>
  </si>
  <si>
    <t>faint, pretty small, a little extended north-south, gradually brighter middle, mottled but not resolved</t>
  </si>
  <si>
    <t>F, pS, lE ns, gbM, r</t>
  </si>
  <si>
    <t>IC2362</t>
  </si>
  <si>
    <t>8h25m41.5s</t>
  </si>
  <si>
    <t>+19h56m28s</t>
  </si>
  <si>
    <t>pF, pL, dif, bet 4 B st</t>
  </si>
  <si>
    <t>IC2363</t>
  </si>
  <si>
    <t>8h25m45.5s</t>
  </si>
  <si>
    <t>+19h26m55s</t>
  </si>
  <si>
    <t>IC2364</t>
  </si>
  <si>
    <t>8h25m51.5s</t>
  </si>
  <si>
    <t>+19h45m33s</t>
  </si>
  <si>
    <t>IC2365</t>
  </si>
  <si>
    <t>8h26m18s</t>
  </si>
  <si>
    <t>+27h50m26s</t>
  </si>
  <si>
    <t>pB, vS, R, stell</t>
  </si>
  <si>
    <t>IC2366</t>
  </si>
  <si>
    <t>pretty bright, very small, round, brighter middle and nucleus</t>
  </si>
  <si>
    <t>pB, vS, R, bMN</t>
  </si>
  <si>
    <t>IC2367</t>
  </si>
  <si>
    <t>8h24m10s</t>
  </si>
  <si>
    <t>-18h46m33s</t>
  </si>
  <si>
    <t>IC2368</t>
  </si>
  <si>
    <t>8h26m1.3s</t>
  </si>
  <si>
    <t>+19h52m59s</t>
  </si>
  <si>
    <t>pretty faint, very small, brighter middle and nucleus, extended 170°</t>
  </si>
  <si>
    <t>pF, vS, bMN, E 170°</t>
  </si>
  <si>
    <t>IC2369</t>
  </si>
  <si>
    <t>8h26m16.3s</t>
  </si>
  <si>
    <t>+20h13m57s</t>
  </si>
  <si>
    <t>IC2370</t>
  </si>
  <si>
    <t>8h26m22.8s</t>
  </si>
  <si>
    <t>+19h38m18s</t>
  </si>
  <si>
    <t>pretty bright, very small, irregular figure, nuclear</t>
  </si>
  <si>
    <t>pB, vS, iF, N</t>
  </si>
  <si>
    <t>IC2371</t>
  </si>
  <si>
    <t>8h26m37s</t>
  </si>
  <si>
    <t>+19h47m55s</t>
  </si>
  <si>
    <t>pretty bright, small, a little extended 90°</t>
  </si>
  <si>
    <t>pB, S, lE 90°</t>
  </si>
  <si>
    <t>IC2372</t>
  </si>
  <si>
    <t>8h26m40.6s</t>
  </si>
  <si>
    <t>+19h52m58s</t>
  </si>
  <si>
    <t>F, S, lE 135°, B * sf</t>
  </si>
  <si>
    <t>IC2373</t>
  </si>
  <si>
    <t>8h26m49s</t>
  </si>
  <si>
    <t>+20h21m53s</t>
  </si>
  <si>
    <t>F, S, dif, exc N</t>
  </si>
  <si>
    <t>IC2374</t>
  </si>
  <si>
    <t>8h28m22.2s</t>
  </si>
  <si>
    <t>+30h26m35s</t>
  </si>
  <si>
    <t>pretty faint, small, round, diffuse, 11.5 magnitude star close</t>
  </si>
  <si>
    <t>pF, S, R, dif, * 11.5 close</t>
  </si>
  <si>
    <t>IC2375</t>
  </si>
  <si>
    <t>8h26m19.6s</t>
  </si>
  <si>
    <t>-13h18m11s</t>
  </si>
  <si>
    <t>faint, very small, extended 90°, 1st of 3</t>
  </si>
  <si>
    <t>F, vS, E 90°, 1st of 3</t>
  </si>
  <si>
    <t>IC2376</t>
  </si>
  <si>
    <t>8h28m26.1s</t>
  </si>
  <si>
    <t>+30h24m27s</t>
  </si>
  <si>
    <t>F, vS, R, * 14 close</t>
  </si>
  <si>
    <t>IC2377</t>
  </si>
  <si>
    <t>8h26m26s</t>
  </si>
  <si>
    <t>-13h18m25s</t>
  </si>
  <si>
    <t>IC2378</t>
  </si>
  <si>
    <t>8h28m31.6s</t>
  </si>
  <si>
    <t>+30h25m52s</t>
  </si>
  <si>
    <t>faint, small, round, gradually a little brighter middle, mottled but not resolved</t>
  </si>
  <si>
    <t>F, S, R, glbM, r</t>
  </si>
  <si>
    <t>IC2379</t>
  </si>
  <si>
    <t>8h26m27.7s</t>
  </si>
  <si>
    <t>-13h17m36s</t>
  </si>
  <si>
    <t>very faint, very small, 3rd of 3</t>
  </si>
  <si>
    <t>vF, vS, 3rd of 3</t>
  </si>
  <si>
    <t>IC2380</t>
  </si>
  <si>
    <t>8h28m43.8s</t>
  </si>
  <si>
    <t>+30h24m18s</t>
  </si>
  <si>
    <t>IC2381</t>
  </si>
  <si>
    <t>8h28m21.8s</t>
  </si>
  <si>
    <t>+19h47m28s</t>
  </si>
  <si>
    <t>pF, S, R bM, dif</t>
  </si>
  <si>
    <t>IC2382</t>
  </si>
  <si>
    <t>8h28m46.1s</t>
  </si>
  <si>
    <t>+22h3m12s</t>
  </si>
  <si>
    <t>faint, small, round, mottled but not resolved, 12.5 magnitude star close</t>
  </si>
  <si>
    <t>F, S, R, r, * 12.5 close</t>
  </si>
  <si>
    <t>IC2383</t>
  </si>
  <si>
    <t>8h29m41.4s</t>
  </si>
  <si>
    <t>IC2384</t>
  </si>
  <si>
    <t>8h34m23.4s</t>
  </si>
  <si>
    <t>+32h26m7s</t>
  </si>
  <si>
    <t>IC2385</t>
  </si>
  <si>
    <t>8h35m10.6s</t>
  </si>
  <si>
    <t>+37h15m57s</t>
  </si>
  <si>
    <t>IC2386</t>
  </si>
  <si>
    <t>8h34m43.9s</t>
  </si>
  <si>
    <t>+25h48m24s</t>
  </si>
  <si>
    <t>extremely faint, large, extremely dif</t>
  </si>
  <si>
    <t>eF, L, e dif</t>
  </si>
  <si>
    <t>IC2387</t>
  </si>
  <si>
    <t>8h38m33.9s</t>
  </si>
  <si>
    <t>+30h47m54s</t>
  </si>
  <si>
    <t>faint, pretty small, extended north-south, gradually brighter middle, mottled but not resolved</t>
  </si>
  <si>
    <t>F, pS, E ns, gbM, r</t>
  </si>
  <si>
    <t>IC2388</t>
  </si>
  <si>
    <t>8h39m56.5s</t>
  </si>
  <si>
    <t>+19h38m41s</t>
  </si>
  <si>
    <t>eF, S, dif, ? FN, * 10 n 90"</t>
  </si>
  <si>
    <t>IC2389</t>
  </si>
  <si>
    <t>8h47m58.3s</t>
  </si>
  <si>
    <t>+73h32m19s</t>
  </si>
  <si>
    <t>IC2390</t>
  </si>
  <si>
    <t>8h41m51.7s</t>
  </si>
  <si>
    <t>+19h42m11s</t>
  </si>
  <si>
    <t>iF, gbM, * 10 sf 1?', * 12 nf 1'</t>
  </si>
  <si>
    <t>IC2391</t>
  </si>
  <si>
    <t>船帆座ο星团</t>
  </si>
  <si>
    <t>8h40m18s</t>
  </si>
  <si>
    <t>-52h55m0s</t>
  </si>
  <si>
    <t>Cl, co, incl. ο Velorum 3.7 mag</t>
  </si>
  <si>
    <t>IC2392</t>
  </si>
  <si>
    <t>8h44m30.9s</t>
  </si>
  <si>
    <t>+18h17m10s</t>
  </si>
  <si>
    <t>pretty bright, pretty small, extended 180°, very little brighter middle</t>
  </si>
  <si>
    <t>pB, pS, E 180°, vlbM</t>
  </si>
  <si>
    <t>IC2393</t>
  </si>
  <si>
    <t>8h46m49.2s</t>
  </si>
  <si>
    <t>+28h10m15s</t>
  </si>
  <si>
    <t>IC2394</t>
  </si>
  <si>
    <t>8h47m6.7s</t>
  </si>
  <si>
    <t>+28h14m11s</t>
  </si>
  <si>
    <t>IC2395</t>
  </si>
  <si>
    <t>8h42m30s</t>
  </si>
  <si>
    <t>-48h6m30s</t>
  </si>
  <si>
    <t>a cluster, coarse</t>
  </si>
  <si>
    <t>Cl, co</t>
  </si>
  <si>
    <t>IC2396</t>
  </si>
  <si>
    <t>8h46m40.6s</t>
  </si>
  <si>
    <t>+17h38m57s</t>
  </si>
  <si>
    <t>IC2397</t>
  </si>
  <si>
    <t>8h46m41.7s</t>
  </si>
  <si>
    <t>+17h39m35s</t>
  </si>
  <si>
    <t>IC2398</t>
  </si>
  <si>
    <t>8h46m44.5s</t>
  </si>
  <si>
    <t>+17h45m19s</t>
  </si>
  <si>
    <t>IC2399</t>
  </si>
  <si>
    <t>8h46m50.1s</t>
  </si>
  <si>
    <t>very faint, pretty large, extended 190, brighter on southern side</t>
  </si>
  <si>
    <t>vF, pL, E 190°, bs</t>
  </si>
  <si>
    <t>IC2400</t>
  </si>
  <si>
    <t>8h47m59.1s</t>
  </si>
  <si>
    <t>+38h4m8s</t>
  </si>
  <si>
    <t>IC2401</t>
  </si>
  <si>
    <t>8h48m10.2s</t>
  </si>
  <si>
    <t>+37h45m21s</t>
  </si>
  <si>
    <t>IC2402</t>
  </si>
  <si>
    <t>8h47m59s</t>
  </si>
  <si>
    <t>+31h47m10s</t>
  </si>
  <si>
    <t>faint, small, round, gradually brighter middle and nucleus, mottled but not resolved</t>
  </si>
  <si>
    <t>F, S, R, gbMN, r</t>
  </si>
  <si>
    <t>IC2403</t>
  </si>
  <si>
    <t>8h46m9.3s</t>
  </si>
  <si>
    <t>-15h21m24s</t>
  </si>
  <si>
    <t>IC2404</t>
  </si>
  <si>
    <t>8h48m10.3s</t>
  </si>
  <si>
    <t>+29h29m29s</t>
  </si>
  <si>
    <t>faint, small, round, suddenly brighter middle and nucleus</t>
  </si>
  <si>
    <t>F, S, R, sbMN</t>
  </si>
  <si>
    <t>IC2405</t>
  </si>
  <si>
    <t>8h48m42.7s</t>
  </si>
  <si>
    <t>+37h13m6s</t>
  </si>
  <si>
    <t>IC2406</t>
  </si>
  <si>
    <t>8h48m4.4s</t>
  </si>
  <si>
    <t>+17h42m8s</t>
  </si>
  <si>
    <t>B, pS, E 165°</t>
  </si>
  <si>
    <t>IC2407</t>
  </si>
  <si>
    <t>8h48m9.1s</t>
  </si>
  <si>
    <t>pretty bright, pretty small, much extended 80°</t>
  </si>
  <si>
    <t>pB, pS, mE 80°</t>
  </si>
  <si>
    <t>IC2408</t>
  </si>
  <si>
    <t>8h48m20.3s</t>
  </si>
  <si>
    <t>+19h2m12s</t>
  </si>
  <si>
    <t>IC2409</t>
  </si>
  <si>
    <t>8h48m24.7s</t>
  </si>
  <si>
    <t>+18h19m49s</t>
  </si>
  <si>
    <t>pB, pL, bM, * 15 p</t>
  </si>
  <si>
    <t>IC2410</t>
  </si>
  <si>
    <t>pretty bright, small, extended 90°, stellar nucleus</t>
  </si>
  <si>
    <t>pB, S, E 90°, stell N</t>
  </si>
  <si>
    <t>IC2411</t>
  </si>
  <si>
    <t>8h48m30.2s</t>
  </si>
  <si>
    <t>+19h2m37s</t>
  </si>
  <si>
    <t>very faint, small, extended 235°</t>
  </si>
  <si>
    <t>vF, S, E 235°</t>
  </si>
  <si>
    <t>IC2412</t>
  </si>
  <si>
    <t>8h49m23.8s</t>
  </si>
  <si>
    <t>+18h32m36s</t>
  </si>
  <si>
    <t>pretty bright, small, round, nuclear, 14th magnitude star to northwest</t>
  </si>
  <si>
    <t>pB, S, R, N, * 14 np</t>
  </si>
  <si>
    <t>IC2413</t>
  </si>
  <si>
    <t>8h49m31.5s</t>
  </si>
  <si>
    <t>+18h44m42s</t>
  </si>
  <si>
    <t>pretty faint, very small, faint nucleus</t>
  </si>
  <si>
    <t>pF, vS, FN</t>
  </si>
  <si>
    <t>IC2414</t>
  </si>
  <si>
    <t>8h49m50s</t>
  </si>
  <si>
    <t>+18h47m35s</t>
  </si>
  <si>
    <t>IC2415</t>
  </si>
  <si>
    <t>8h50m2s</t>
  </si>
  <si>
    <t>+18h39m8s</t>
  </si>
  <si>
    <t>F, vS, E 65°, FN</t>
  </si>
  <si>
    <t>IC2416</t>
  </si>
  <si>
    <t>8h50m32.1s</t>
  </si>
  <si>
    <t>+18h33m35s</t>
  </si>
  <si>
    <t>IC2417</t>
  </si>
  <si>
    <t>8h51m8.2s</t>
  </si>
  <si>
    <t>+18h37m30s</t>
  </si>
  <si>
    <t>bright, small, round, stellar nucleus</t>
  </si>
  <si>
    <t>B, S, R, stell N</t>
  </si>
  <si>
    <t>IC2418</t>
  </si>
  <si>
    <t>8h51m25s</t>
  </si>
  <si>
    <t>+17h56m41s</t>
  </si>
  <si>
    <t>vF, pL, R, 2nd v nr sf</t>
  </si>
  <si>
    <t>IC2419</t>
  </si>
  <si>
    <t>8h52m9.5s</t>
  </si>
  <si>
    <t>+18h6m5s</t>
  </si>
  <si>
    <t>faint, pretty small, extended 0°, diffuse</t>
  </si>
  <si>
    <t>F, pS, E 0°, dif</t>
  </si>
  <si>
    <t>IC2420</t>
  </si>
  <si>
    <t>8h51m33.7s</t>
  </si>
  <si>
    <t>+3h6m4s</t>
  </si>
  <si>
    <t>faint, small, gradually brighter middle and nucleus</t>
  </si>
  <si>
    <t>F, S, gbMN</t>
  </si>
  <si>
    <t>IC2421</t>
  </si>
  <si>
    <t>8h54m21.5s</t>
  </si>
  <si>
    <t>+32h40m50s</t>
  </si>
  <si>
    <t>very faint, pretty small, diffuse, difficult</t>
  </si>
  <si>
    <t>vF, pS, dif, diffic</t>
  </si>
  <si>
    <t>IC2422</t>
  </si>
  <si>
    <t>8h54m24.3s</t>
  </si>
  <si>
    <t>+20h13m31s</t>
  </si>
  <si>
    <t>pF, S, R, dif, * 14 close</t>
  </si>
  <si>
    <t>IC2423</t>
  </si>
  <si>
    <t>8h54m47.1s</t>
  </si>
  <si>
    <t>+20h13m13s</t>
  </si>
  <si>
    <t>IC2424</t>
  </si>
  <si>
    <t>vF, S, lbM [? = 2704]</t>
  </si>
  <si>
    <t>IC2425</t>
  </si>
  <si>
    <t>8h55m50.2s</t>
  </si>
  <si>
    <t>-3h25m25s</t>
  </si>
  <si>
    <t>IC2426</t>
  </si>
  <si>
    <t>8h58m30.4s</t>
  </si>
  <si>
    <t>+2h55m34s</t>
  </si>
  <si>
    <t>IC2427</t>
  </si>
  <si>
    <t>9h1m1.6s</t>
  </si>
  <si>
    <t>+37h52m34s</t>
  </si>
  <si>
    <t>IC2428</t>
  </si>
  <si>
    <t>9h3m14.7s</t>
  </si>
  <si>
    <t>+30h35m27s</t>
  </si>
  <si>
    <t>faint, pretty small, extended east-west, gradually a little brighter middle</t>
  </si>
  <si>
    <t>F, pS, E pf, glbM</t>
  </si>
  <si>
    <t>IC2429</t>
  </si>
  <si>
    <t>9h3m42.5s</t>
  </si>
  <si>
    <t>+29h17m48s</t>
  </si>
  <si>
    <t>IC2430</t>
  </si>
  <si>
    <t>9h4m22.8s</t>
  </si>
  <si>
    <t>+27h57m9s</t>
  </si>
  <si>
    <t>IC2431</t>
  </si>
  <si>
    <t>布朗宁星系</t>
  </si>
  <si>
    <t>4S</t>
  </si>
  <si>
    <t>9h4m34.8s</t>
  </si>
  <si>
    <t>+14h35m43s</t>
  </si>
  <si>
    <t>IC2432</t>
  </si>
  <si>
    <t>9h4m39.5s</t>
  </si>
  <si>
    <t>+5h30m45s</t>
  </si>
  <si>
    <t>IC2433</t>
  </si>
  <si>
    <t>9h5m28.6s</t>
  </si>
  <si>
    <t>+22h36m7s</t>
  </si>
  <si>
    <t>faint, a little extended east-west, diffuse</t>
  </si>
  <si>
    <t>F, lE pf, dif</t>
  </si>
  <si>
    <t>IC2434</t>
  </si>
  <si>
    <t>9h7m15.9s</t>
  </si>
  <si>
    <t>+37h12m56s</t>
  </si>
  <si>
    <t>faint, pretty small, a little brighter middle, mottled but not resolved</t>
  </si>
  <si>
    <t>F, pS, lbM, r</t>
  </si>
  <si>
    <t>IC2435</t>
  </si>
  <si>
    <t>9h6m49.7s</t>
  </si>
  <si>
    <t>+26h16m33s</t>
  </si>
  <si>
    <t>IC2436</t>
  </si>
  <si>
    <t>9h5m23.1s</t>
  </si>
  <si>
    <t>-19h9m59s</t>
  </si>
  <si>
    <t>extremely faint, small, stellar, suspected</t>
  </si>
  <si>
    <t>eF, S, stell, susp</t>
  </si>
  <si>
    <t>IC2437</t>
  </si>
  <si>
    <t>9h5m33.1s</t>
  </si>
  <si>
    <t>-19h12m26s</t>
  </si>
  <si>
    <t>F, vS, R, 10' s of 2754, 57, 58</t>
  </si>
  <si>
    <t>IC2438</t>
  </si>
  <si>
    <t>9h14m11s</t>
  </si>
  <si>
    <t>+73h24m50s</t>
  </si>
  <si>
    <t>Cl, 5 or 6 st 13... within 1'.5</t>
  </si>
  <si>
    <t>IC2439</t>
  </si>
  <si>
    <t>9h8m38.4s</t>
  </si>
  <si>
    <t>+32h35m36s</t>
  </si>
  <si>
    <t>IC2440</t>
  </si>
  <si>
    <t>9h15m50.4s</t>
  </si>
  <si>
    <t>+73h27m31s</t>
  </si>
  <si>
    <t>vF, stell (13m), neb ?</t>
  </si>
  <si>
    <t>IC2441</t>
  </si>
  <si>
    <t>9h10m2.8s</t>
  </si>
  <si>
    <t>+22h51m6s</t>
  </si>
  <si>
    <t>faint, small, round, gradually a little brighter middle, perhaps double</t>
  </si>
  <si>
    <t>F, S, R, glbM, D ?</t>
  </si>
  <si>
    <t>IC2442</t>
  </si>
  <si>
    <t>9h10m5.1s</t>
  </si>
  <si>
    <t>+22h50m20s</t>
  </si>
  <si>
    <t>IC2443</t>
  </si>
  <si>
    <t>9h11m30.8s</t>
  </si>
  <si>
    <t>+28h49m37s</t>
  </si>
  <si>
    <t>IC2444</t>
  </si>
  <si>
    <t>9h12m50.8s</t>
  </si>
  <si>
    <t>+30h12m46s</t>
  </si>
  <si>
    <t>IC2445</t>
  </si>
  <si>
    <t>9h13m12.5s</t>
  </si>
  <si>
    <t>+31h48m27s</t>
  </si>
  <si>
    <t>IC2446</t>
  </si>
  <si>
    <t>9h13m31.3s</t>
  </si>
  <si>
    <t>+28h57m5s</t>
  </si>
  <si>
    <t>faint, small, extended 130°, brighter middle and nucleus, mottled but not resolved</t>
  </si>
  <si>
    <t>F, S, E 130°, bMN, r</t>
  </si>
  <si>
    <t>IC2447</t>
  </si>
  <si>
    <t>9h13m30s</t>
  </si>
  <si>
    <t>+28h44m30s</t>
  </si>
  <si>
    <t>IC2448</t>
  </si>
  <si>
    <t>9h7m6.5s</t>
  </si>
  <si>
    <t>-69h56m29s</t>
  </si>
  <si>
    <t>IC2449</t>
  </si>
  <si>
    <t>9h13m32.9s</t>
  </si>
  <si>
    <t>+30h0m1s</t>
  </si>
  <si>
    <t>IC2450</t>
  </si>
  <si>
    <t>9h17m5.5s</t>
  </si>
  <si>
    <t>+25h25m40s</t>
  </si>
  <si>
    <t>IC2451</t>
  </si>
  <si>
    <t>9h15m47.7s</t>
  </si>
  <si>
    <t>+23h29m49s</t>
  </si>
  <si>
    <t>IC2452</t>
  </si>
  <si>
    <t>9h15m57.5s</t>
  </si>
  <si>
    <t>+23h28m22s</t>
  </si>
  <si>
    <t>IC2453</t>
  </si>
  <si>
    <t>9h15m54.5s</t>
  </si>
  <si>
    <t>+20h55m46s</t>
  </si>
  <si>
    <t>IC2454</t>
  </si>
  <si>
    <t>+17h49m17s</t>
  </si>
  <si>
    <t>IC2455</t>
  </si>
  <si>
    <t>faint, round, gradually brighter middle and nucleus, mottled but not resolved</t>
  </si>
  <si>
    <t>F, R, gbMN, r</t>
  </si>
  <si>
    <t>IC2456</t>
  </si>
  <si>
    <t>9h17m24.3s</t>
  </si>
  <si>
    <t>+34h40m29s</t>
  </si>
  <si>
    <t>IC2457</t>
  </si>
  <si>
    <t>9h17m4.2s</t>
  </si>
  <si>
    <t>+20h5m37s</t>
  </si>
  <si>
    <t>IC2458</t>
  </si>
  <si>
    <t>9h21m30.2s</t>
  </si>
  <si>
    <t>+64h14m18s</t>
  </si>
  <si>
    <t>eF, S, dif close to 2820</t>
  </si>
  <si>
    <t>IC2459</t>
  </si>
  <si>
    <t>9h18m59.4s</t>
  </si>
  <si>
    <t>+34h51m46s</t>
  </si>
  <si>
    <t>IC2460</t>
  </si>
  <si>
    <t>faint, very small, extended east-west, stellar nucleus</t>
  </si>
  <si>
    <t>F, vS, E pf, stell N</t>
  </si>
  <si>
    <t>IC2461</t>
  </si>
  <si>
    <t>9h19m58s</t>
  </si>
  <si>
    <t>+37h11m27s</t>
  </si>
  <si>
    <t>faint, very small, very little brighter middle</t>
  </si>
  <si>
    <t>F, vS, vlbM</t>
  </si>
  <si>
    <t>IC2462</t>
  </si>
  <si>
    <t>9h22m56.3s</t>
  </si>
  <si>
    <t>+22h41m10s</t>
  </si>
  <si>
    <t>very faint, small, diffuse, mottled but not resolved</t>
  </si>
  <si>
    <t>vF, S, dif, r</t>
  </si>
  <si>
    <t>IC2463</t>
  </si>
  <si>
    <t>9h23m0.2s</t>
  </si>
  <si>
    <t>IC2464</t>
  </si>
  <si>
    <t>9h23m22.2s</t>
  </si>
  <si>
    <t>+22h37m49s</t>
  </si>
  <si>
    <t>IC2465</t>
  </si>
  <si>
    <t>9h23m31.5s</t>
  </si>
  <si>
    <t>+24h26m46s</t>
  </si>
  <si>
    <t>IC2466</t>
  </si>
  <si>
    <t>9h23m44.8s</t>
  </si>
  <si>
    <t>+24h31m5s</t>
  </si>
  <si>
    <t>vF, vS, dif, * 13.5 att</t>
  </si>
  <si>
    <t>IC2467</t>
  </si>
  <si>
    <t>9h24m52.7s</t>
  </si>
  <si>
    <t>+38h21m6s</t>
  </si>
  <si>
    <t>IC2468</t>
  </si>
  <si>
    <t>9h24m52.6s</t>
  </si>
  <si>
    <t>+38h21m8s</t>
  </si>
  <si>
    <t>very small, round, suddenly brighter middle equal to 15th magnitude star</t>
  </si>
  <si>
    <t>vS, R, sbM * 15</t>
  </si>
  <si>
    <t>IC2469</t>
  </si>
  <si>
    <t>9h23m1.4s</t>
  </si>
  <si>
    <t>-32h26m59s</t>
  </si>
  <si>
    <t>pF, cS, mE, * 10 sp nr</t>
  </si>
  <si>
    <t>IC2470</t>
  </si>
  <si>
    <t>9h25m41.2s</t>
  </si>
  <si>
    <t>+23h21m41s</t>
  </si>
  <si>
    <t>faint, pretty small, irregular figure, extended 135°, mottled but not resolved</t>
  </si>
  <si>
    <t>F, pS, iF, E 135°, r</t>
  </si>
  <si>
    <t>IC2471</t>
  </si>
  <si>
    <t>9h25m12.2s</t>
  </si>
  <si>
    <t>-6h49m48s</t>
  </si>
  <si>
    <t>vF, 2 or 3 st in neb [?=2876]</t>
  </si>
  <si>
    <t>IC2472</t>
  </si>
  <si>
    <t>9h26m33.5s</t>
  </si>
  <si>
    <t>+21h23m6s</t>
  </si>
  <si>
    <t>IC2473</t>
  </si>
  <si>
    <t>9h27m23.4s</t>
  </si>
  <si>
    <t>+30h26m29s</t>
  </si>
  <si>
    <t>IC2474</t>
  </si>
  <si>
    <t>9h27m11.2s</t>
  </si>
  <si>
    <t>+23h2m3s</t>
  </si>
  <si>
    <t>* 13 in vS neb, I.C. 538 f</t>
  </si>
  <si>
    <t>IC2475</t>
  </si>
  <si>
    <t>9h27m54.3s</t>
  </si>
  <si>
    <t>+29h47m32s</t>
  </si>
  <si>
    <t>IC2476</t>
  </si>
  <si>
    <t>9h27m52.8s</t>
  </si>
  <si>
    <t>+29h59m9s</t>
  </si>
  <si>
    <t>IC2477</t>
  </si>
  <si>
    <t>9h27m59.5s</t>
  </si>
  <si>
    <t>+29h42m20s</t>
  </si>
  <si>
    <t>IC2478</t>
  </si>
  <si>
    <t>9h28m0.9s</t>
  </si>
  <si>
    <t>+30h2m15s</t>
  </si>
  <si>
    <t>IC2479</t>
  </si>
  <si>
    <t>9h28m4.2s</t>
  </si>
  <si>
    <t>+29h59m28s</t>
  </si>
  <si>
    <t>IC2480</t>
  </si>
  <si>
    <t>S0-a   R</t>
  </si>
  <si>
    <t>9h28m17.8s</t>
  </si>
  <si>
    <t>+29h42m23s</t>
  </si>
  <si>
    <t>faint, very small, a little extended east-west, gradually brighter middle, mottled but not resolved</t>
  </si>
  <si>
    <t>F, vS, lE pf, gbM, r</t>
  </si>
  <si>
    <t>IC2481</t>
  </si>
  <si>
    <t>9h27m28.8s</t>
  </si>
  <si>
    <t>+3h55m45s</t>
  </si>
  <si>
    <t>faint, small, extended 150°, gradually brighter middle, mottled but not resolved</t>
  </si>
  <si>
    <t>F, S, E 150°, gbM, r</t>
  </si>
  <si>
    <t>IC2482</t>
  </si>
  <si>
    <t>9h26m59.2s</t>
  </si>
  <si>
    <t>-12h6m30s</t>
  </si>
  <si>
    <t>F, vS, * 10 p 7s, 0'.8 n</t>
  </si>
  <si>
    <t>IC2483</t>
  </si>
  <si>
    <t>9h29m25.7s</t>
  </si>
  <si>
    <t>+30h59m40s</t>
  </si>
  <si>
    <t>IC2484</t>
  </si>
  <si>
    <t>9h26m50.3s</t>
  </si>
  <si>
    <t>-42h50m33s</t>
  </si>
  <si>
    <t>pretty bright, small, round, 7th magnitude star to northeast, double star to west</t>
  </si>
  <si>
    <t>pB, S, R, * 7 nf, D * p</t>
  </si>
  <si>
    <t>IC2485</t>
  </si>
  <si>
    <t>9h27m11.8s</t>
  </si>
  <si>
    <t>-39h17m5s</t>
  </si>
  <si>
    <t>eF, vS, R, st in neb, susp</t>
  </si>
  <si>
    <t>IC2486</t>
  </si>
  <si>
    <t>9h30m17.4s</t>
  </si>
  <si>
    <t>+26h38m28s</t>
  </si>
  <si>
    <t>very faint, considerably small, diffuse</t>
  </si>
  <si>
    <t>vF, cS, dif</t>
  </si>
  <si>
    <t>IC2487</t>
  </si>
  <si>
    <t>9h30m9s</t>
  </si>
  <si>
    <t>+20h5m24s</t>
  </si>
  <si>
    <t>faint, large, much extended 160°</t>
  </si>
  <si>
    <t>F, L, mE 160°</t>
  </si>
  <si>
    <t>IC2488</t>
  </si>
  <si>
    <t>珍珠串星团</t>
  </si>
  <si>
    <t>9h27m27s</t>
  </si>
  <si>
    <t>-56h57m24s</t>
  </si>
  <si>
    <t>cluster, coarse</t>
  </si>
  <si>
    <t>IC2489</t>
  </si>
  <si>
    <t>9h30m36.6s</t>
  </si>
  <si>
    <t>-5h53m13s</t>
  </si>
  <si>
    <t>IC2490</t>
  </si>
  <si>
    <t>9h33m3.7s</t>
  </si>
  <si>
    <t>+29h55m43s</t>
  </si>
  <si>
    <t>IC2491</t>
  </si>
  <si>
    <t>9h35m14.2s</t>
  </si>
  <si>
    <t>+34h43m56s</t>
  </si>
  <si>
    <t>IC2492</t>
  </si>
  <si>
    <t>9h33m14.8s</t>
  </si>
  <si>
    <t>-37h52m0s</t>
  </si>
  <si>
    <t>cF, vS, R, B * 1' np, susp</t>
  </si>
  <si>
    <t>IC2493</t>
  </si>
  <si>
    <t>9h36m17.5s</t>
  </si>
  <si>
    <t>+37h21m52s</t>
  </si>
  <si>
    <t>IC2494</t>
  </si>
  <si>
    <t>pB, pL, R, 2 st nr f</t>
  </si>
  <si>
    <t>IC2495</t>
  </si>
  <si>
    <t>9h38m7.4s</t>
  </si>
  <si>
    <t>+28h3m29s</t>
  </si>
  <si>
    <t>faint, considerably small, round, gradually brighter middle and nucleus</t>
  </si>
  <si>
    <t>F, cS, R, gbMN</t>
  </si>
  <si>
    <t>IC2496</t>
  </si>
  <si>
    <t>9h38m44.5s</t>
  </si>
  <si>
    <t>+34h43m36s</t>
  </si>
  <si>
    <t>IC2497</t>
  </si>
  <si>
    <t>9h41m4s</t>
  </si>
  <si>
    <t>+34h44m1s</t>
  </si>
  <si>
    <t>IC2498</t>
  </si>
  <si>
    <t>9h41m21.9s</t>
  </si>
  <si>
    <t>+28h6m52s</t>
  </si>
  <si>
    <t>faint, small, extended north-south, mottled but not resolved, prehaps binuclear</t>
  </si>
  <si>
    <t>F, S, E ns, r, ? biN</t>
  </si>
  <si>
    <t>IC2499</t>
  </si>
  <si>
    <t>9h41m24.5s</t>
  </si>
  <si>
    <t>+27h53m45s</t>
  </si>
  <si>
    <t>faint, very small, diffuse, very difficult</t>
  </si>
  <si>
    <t>F, vS, dif, v diffic</t>
  </si>
  <si>
    <t>IC2500</t>
  </si>
  <si>
    <t>9h42m23.3s</t>
  </si>
  <si>
    <t>+36h20m57s</t>
  </si>
  <si>
    <t>very faint, pretty small, round, much brighter middle</t>
  </si>
  <si>
    <t>vF, pS, R, mbM</t>
  </si>
  <si>
    <t>IC2501</t>
  </si>
  <si>
    <t>9h38m47.3s</t>
  </si>
  <si>
    <t>-60h5m29s</t>
  </si>
  <si>
    <t>IC2502</t>
  </si>
  <si>
    <t>9h43m15.4s</t>
  </si>
  <si>
    <t>+35h9m38s</t>
  </si>
  <si>
    <t>faint, small, round, gradually brighter middle, difficult</t>
  </si>
  <si>
    <t>F, S, R, gbM, diffic</t>
  </si>
  <si>
    <t>IC2503</t>
  </si>
  <si>
    <t>9h43m15.9s</t>
  </si>
  <si>
    <t>+35h12m23s</t>
  </si>
  <si>
    <t>very faint, very small, diffuse, very difficult</t>
  </si>
  <si>
    <t>vF, vS, dif, v diffic</t>
  </si>
  <si>
    <t>IC2504</t>
  </si>
  <si>
    <t>9h38m33s</t>
  </si>
  <si>
    <t>-69h5m6s</t>
  </si>
  <si>
    <t>extremely faint, very small, extremely extended 170°, a little brighter middle, suspected</t>
  </si>
  <si>
    <t>eF, vS, eE 170°, lbM, susp</t>
  </si>
  <si>
    <t>IC2505</t>
  </si>
  <si>
    <t>9h45m6.9s</t>
  </si>
  <si>
    <t>+27h16m9s</t>
  </si>
  <si>
    <t>IC2506</t>
  </si>
  <si>
    <t>9h45m12.7s</t>
  </si>
  <si>
    <t>+27h15m9s</t>
  </si>
  <si>
    <t>IC2507</t>
  </si>
  <si>
    <t>9h44m33.6s</t>
  </si>
  <si>
    <t>-31h47m26s</t>
  </si>
  <si>
    <t>vF, S, R, * 12.5 nr nf, * 9 np</t>
  </si>
  <si>
    <t>IC2508</t>
  </si>
  <si>
    <t>9h47m7s</t>
  </si>
  <si>
    <t>+33h30m31s</t>
  </si>
  <si>
    <t>faint, very small, round, diffuse, mottled but not resolved</t>
  </si>
  <si>
    <t>F, vS, R, dif, r</t>
  </si>
  <si>
    <t>IC2509</t>
  </si>
  <si>
    <t>9h46m55.9s</t>
  </si>
  <si>
    <t>+5h42m8s</t>
  </si>
  <si>
    <t>IC2510</t>
  </si>
  <si>
    <t>9h47m43.5s</t>
  </si>
  <si>
    <t>-32h50m16s</t>
  </si>
  <si>
    <t>extremely faint, very small, considerably extended 140°, brighter middle, suspected</t>
  </si>
  <si>
    <t>eF, vS, cE 140°, bM, susp</t>
  </si>
  <si>
    <t>IC2511</t>
  </si>
  <si>
    <t>9h49m24.2s</t>
  </si>
  <si>
    <t>-32h50m21s</t>
  </si>
  <si>
    <t>pretty bright, pretty small, extremely extended, 7th magnitude star to northwest, northwestern of 2</t>
  </si>
  <si>
    <t>pB, pS, eE, * 7 np, np of 2</t>
  </si>
  <si>
    <t>IC2512</t>
  </si>
  <si>
    <t>most extremely faint, pretty small, much extended, between 2 stars, southeastern of 2</t>
  </si>
  <si>
    <t>eeF, pS, mE, bet 2 st, sf of 2</t>
  </si>
  <si>
    <t>IC2513</t>
  </si>
  <si>
    <t>9h50m0.6s</t>
  </si>
  <si>
    <t>-32h53m2s</t>
  </si>
  <si>
    <t>eeF, eS, R, D * nr sf, sp of 2</t>
  </si>
  <si>
    <t>IC2514</t>
  </si>
  <si>
    <t>eeF, eS, 3 F st nr f, nf of 2</t>
  </si>
  <si>
    <t>IC2515</t>
  </si>
  <si>
    <t>9h54m39.4s</t>
  </si>
  <si>
    <t>+37h24m30s</t>
  </si>
  <si>
    <t>faint, considerably small, extended north-south, mottled but not resolved, possibly binuclear</t>
  </si>
  <si>
    <t>F, cS, E ns, r, biN ?</t>
  </si>
  <si>
    <t>IC2516</t>
  </si>
  <si>
    <t>9h54m48.3s</t>
  </si>
  <si>
    <t>+37h41m15s</t>
  </si>
  <si>
    <t>IC2517</t>
  </si>
  <si>
    <t>9h52m50.7s</t>
  </si>
  <si>
    <t>-33h44m31s</t>
  </si>
  <si>
    <t>IC2518</t>
  </si>
  <si>
    <t>9h55m58.5s</t>
  </si>
  <si>
    <t>+37h9m22s</t>
  </si>
  <si>
    <t>IC2519</t>
  </si>
  <si>
    <t>9h55m58.8s</t>
  </si>
  <si>
    <t>+34h2m11s</t>
  </si>
  <si>
    <t>IC2520</t>
  </si>
  <si>
    <t>9h56m20.3s</t>
  </si>
  <si>
    <t>+27h13m39s</t>
  </si>
  <si>
    <t>IC2521</t>
  </si>
  <si>
    <t>9h57m15.7s</t>
  </si>
  <si>
    <t>+33h58m37s</t>
  </si>
  <si>
    <t>IC2522</t>
  </si>
  <si>
    <t>9h55m8.9s</t>
  </si>
  <si>
    <t>-33h8m13s</t>
  </si>
  <si>
    <t>vF, cL, R, * 8 n, susp</t>
  </si>
  <si>
    <t>IC2523</t>
  </si>
  <si>
    <t>9h55m9.4s</t>
  </si>
  <si>
    <t>-33h12m40s</t>
  </si>
  <si>
    <t>very faint, very small, considerably extended 20°, suspected</t>
  </si>
  <si>
    <t>vF, vS, cE 20°, susp</t>
  </si>
  <si>
    <t>IC2524</t>
  </si>
  <si>
    <t>9h57m32.9s</t>
  </si>
  <si>
    <t>+33h37m13s</t>
  </si>
  <si>
    <t>IC2525</t>
  </si>
  <si>
    <t>9h58m24.9s</t>
  </si>
  <si>
    <t>+37h6m9s</t>
  </si>
  <si>
    <t>IC2526</t>
  </si>
  <si>
    <t>9h57m2.9s</t>
  </si>
  <si>
    <t>-32h15m25s</t>
  </si>
  <si>
    <t>vF, S, R, * 7.5 nf</t>
  </si>
  <si>
    <t>IC2527</t>
  </si>
  <si>
    <t>10h0m6.5s</t>
  </si>
  <si>
    <t>+38h10m22s</t>
  </si>
  <si>
    <t>IC2528</t>
  </si>
  <si>
    <t>eeF, eS, R, v diffic, eF D * s</t>
  </si>
  <si>
    <t>IC2529</t>
  </si>
  <si>
    <t>eeF, eS, eF * att</t>
  </si>
  <si>
    <t>IC2530</t>
  </si>
  <si>
    <t>10h1m31s</t>
  </si>
  <si>
    <t>+37h12m16s</t>
  </si>
  <si>
    <t>IC2531</t>
  </si>
  <si>
    <t>9h59m55.7s</t>
  </si>
  <si>
    <t>eeF, pS, cE, 4 st n, nf, D * np</t>
  </si>
  <si>
    <t>IC2532</t>
  </si>
  <si>
    <t>10h0m5.4s</t>
  </si>
  <si>
    <t>-34h13m42s</t>
  </si>
  <si>
    <t>considerably bright, small, stellar nucleus</t>
  </si>
  <si>
    <t>cB, S, stell N</t>
  </si>
  <si>
    <t>IC2533</t>
  </si>
  <si>
    <t>10h0m31.5s</t>
  </si>
  <si>
    <t>-31h14m42s</t>
  </si>
  <si>
    <t>considerably bright, small, round</t>
  </si>
  <si>
    <t>cB, S, R</t>
  </si>
  <si>
    <t>IC2534</t>
  </si>
  <si>
    <t>10h1m29.8s</t>
  </si>
  <si>
    <t>-34h6m45s</t>
  </si>
  <si>
    <t>IC2535</t>
  </si>
  <si>
    <t>+38h0m24s</t>
  </si>
  <si>
    <t>pretty bright, pretty small, extended 110°, gradually brighter middle, mottled but not resolved</t>
  </si>
  <si>
    <t>pB, pS, E 110°, gbM, r</t>
  </si>
  <si>
    <t>IC2536</t>
  </si>
  <si>
    <t>10h3m30s</t>
  </si>
  <si>
    <t>-33h57m1s</t>
  </si>
  <si>
    <t>faint, small, extended 50°, considerably brighter middle</t>
  </si>
  <si>
    <t>F, S, E 50°, cbM</t>
  </si>
  <si>
    <t>IC2537</t>
  </si>
  <si>
    <t>10h3m51.8s</t>
  </si>
  <si>
    <t>-27h34m17s</t>
  </si>
  <si>
    <t>most extremely faint, large, considerably extended</t>
  </si>
  <si>
    <t>eeF, L, cE</t>
  </si>
  <si>
    <t>IC2538</t>
  </si>
  <si>
    <t>10h3m56.6s</t>
  </si>
  <si>
    <t>-34h48m26s</t>
  </si>
  <si>
    <t>very faint, very small, round, considerably brighter middle</t>
  </si>
  <si>
    <t>vF, vS, R, cbM</t>
  </si>
  <si>
    <t>IC2539</t>
  </si>
  <si>
    <t>10h4m16s</t>
  </si>
  <si>
    <t>-31h21m45s</t>
  </si>
  <si>
    <t>considerably faint, very small, considerably extended 30°, very much brighter middle</t>
  </si>
  <si>
    <t>cF, vS, cE 30°, vmbM</t>
  </si>
  <si>
    <t>IC2540</t>
  </si>
  <si>
    <t>10h6m46.7s</t>
  </si>
  <si>
    <t>+31h28m34s</t>
  </si>
  <si>
    <t>IC2541</t>
  </si>
  <si>
    <t>10h5m48s</t>
  </si>
  <si>
    <t>-17h26m6s</t>
  </si>
  <si>
    <t>faint, extremely extended 15°, very much brighter middle</t>
  </si>
  <si>
    <t>F, eE 5°, vmbM</t>
  </si>
  <si>
    <t>IC2542</t>
  </si>
  <si>
    <t>10h7m50.5s</t>
  </si>
  <si>
    <t>+34h18m55s</t>
  </si>
  <si>
    <t>faint, pretty small, gradually a little brighter middle</t>
  </si>
  <si>
    <t>F, pS, glbM</t>
  </si>
  <si>
    <t>IC2543</t>
  </si>
  <si>
    <t>10h8m23.5s</t>
  </si>
  <si>
    <t>+37h50m27s</t>
  </si>
  <si>
    <t>IC2544</t>
  </si>
  <si>
    <t>10h8m29.6s</t>
  </si>
  <si>
    <t>+33h20m46s</t>
  </si>
  <si>
    <t>IC2545</t>
  </si>
  <si>
    <t>10h6m36s</t>
  </si>
  <si>
    <t>-33h51m18s</t>
  </si>
  <si>
    <t>extremely faint, extremely small, considerably extended 25°, in a triangle with 2 stars</t>
  </si>
  <si>
    <t>eF, eS, cE 25°, Δ 2 st</t>
  </si>
  <si>
    <t>IC2546</t>
  </si>
  <si>
    <t>10h7m5s</t>
  </si>
  <si>
    <t>-33h15m43s</t>
  </si>
  <si>
    <t>very faint, very small, round, between 2 stars</t>
  </si>
  <si>
    <t>vF, vS, R, bet 2 st</t>
  </si>
  <si>
    <t>IC2547</t>
  </si>
  <si>
    <t>10h10m4.5s</t>
  </si>
  <si>
    <t>+36h30m11s</t>
  </si>
  <si>
    <t>IC2548</t>
  </si>
  <si>
    <t>10h7m54.9s</t>
  </si>
  <si>
    <t>-35h13m47s</t>
  </si>
  <si>
    <t>extremely faint, very small, round, brighter middle, diffuse</t>
  </si>
  <si>
    <t>eF, vS, R, bM, dif</t>
  </si>
  <si>
    <t>IC2549</t>
  </si>
  <si>
    <t>10h10m10.1s</t>
  </si>
  <si>
    <t>+36h27m55s</t>
  </si>
  <si>
    <t>IC2550</t>
  </si>
  <si>
    <t>10h10m27.9s</t>
  </si>
  <si>
    <t>+27h57m21s</t>
  </si>
  <si>
    <t>faint, considerably small, round, diffuse</t>
  </si>
  <si>
    <t>F, cS, R, dif</t>
  </si>
  <si>
    <t>IC2551</t>
  </si>
  <si>
    <t>10h10m40.3s</t>
  </si>
  <si>
    <t>+24h24m53s</t>
  </si>
  <si>
    <t>IC2552</t>
  </si>
  <si>
    <t>10h10m46.1s</t>
  </si>
  <si>
    <t>-34h50m40s</t>
  </si>
  <si>
    <t>considerably bright, small, round, brighter middle</t>
  </si>
  <si>
    <t>cB, S, R, bM</t>
  </si>
  <si>
    <t>IC2553</t>
  </si>
  <si>
    <t>10h9m20.9s</t>
  </si>
  <si>
    <t>-62h36m47s</t>
  </si>
  <si>
    <t>IC2554</t>
  </si>
  <si>
    <t>10h8m50.5s</t>
  </si>
  <si>
    <t>-67h1m54s</t>
  </si>
  <si>
    <t>considerably faint, small, considerably extended 10°, nuclear, spiral</t>
  </si>
  <si>
    <t>cF, S, cE 10°, N, spir</t>
  </si>
  <si>
    <t>IC2555</t>
  </si>
  <si>
    <t>extremely faint, very small, extremely extended 45°, considerably brighter middle</t>
  </si>
  <si>
    <t>eF, vS, eE 45°, cbM</t>
  </si>
  <si>
    <t>IC2556</t>
  </si>
  <si>
    <t>10h12m37.5s</t>
  </si>
  <si>
    <t>-34h43m42s</t>
  </si>
  <si>
    <t>extremely faint, small, stellar nucleus</t>
  </si>
  <si>
    <t>eF, S, stell N</t>
  </si>
  <si>
    <t>IC2557</t>
  </si>
  <si>
    <t>10h16m5.8s</t>
  </si>
  <si>
    <t>+38h6m30s</t>
  </si>
  <si>
    <t>IC2558</t>
  </si>
  <si>
    <t>10h14m44.4s</t>
  </si>
  <si>
    <t>-34h20m13s</t>
  </si>
  <si>
    <t>considerably faint, very small, considerably extended 10°, considerably brighter middle</t>
  </si>
  <si>
    <t>cF, vS, cE 10°, cbM</t>
  </si>
  <si>
    <t>IC2559</t>
  </si>
  <si>
    <t>10h14m45.3s</t>
  </si>
  <si>
    <t>-34h3m31s</t>
  </si>
  <si>
    <t>extremely faint, small, a little extended 10°, considerably brighter middle</t>
  </si>
  <si>
    <t>eF, S, lE 10°, cbM</t>
  </si>
  <si>
    <t>IC2560</t>
  </si>
  <si>
    <t>10h16m18.6s</t>
  </si>
  <si>
    <t>-33h33m48s</t>
  </si>
  <si>
    <t>extremely faint, pretty small, among 4 stars</t>
  </si>
  <si>
    <t>eF, pS, am 4 st</t>
  </si>
  <si>
    <t>IC2561</t>
  </si>
  <si>
    <t>10h19m8.5s</t>
  </si>
  <si>
    <t>+34h40m28s</t>
  </si>
  <si>
    <t>faint, small, extended 200°, gradually brighter middle</t>
  </si>
  <si>
    <t>F, S, E 200°, gbM</t>
  </si>
  <si>
    <t>IC2562</t>
  </si>
  <si>
    <t>10h18m54.4s</t>
  </si>
  <si>
    <t>+16h9m18s</t>
  </si>
  <si>
    <t>faint, small, gradually brighter middle, diffuse</t>
  </si>
  <si>
    <t>F, S, gbM, dif</t>
  </si>
  <si>
    <t>IC2563</t>
  </si>
  <si>
    <t>10h18m51.9s</t>
  </si>
  <si>
    <t>-32h35m48s</t>
  </si>
  <si>
    <t>eF, vS, eE 110°, eF * s</t>
  </si>
  <si>
    <t>IC2564</t>
  </si>
  <si>
    <t>10h21m27.6s</t>
  </si>
  <si>
    <t>+36h27m9s</t>
  </si>
  <si>
    <t>faint, small, round, gradually brighter middle and stellar nucleus</t>
  </si>
  <si>
    <t>F, S, R, gbM stell N</t>
  </si>
  <si>
    <t>IC2565</t>
  </si>
  <si>
    <t>10h21m17.9s</t>
  </si>
  <si>
    <t>+27h55m48s</t>
  </si>
  <si>
    <t>IC2566</t>
  </si>
  <si>
    <t>10h22m19.4s</t>
  </si>
  <si>
    <t>+36h35m0s</t>
  </si>
  <si>
    <t>IC2567</t>
  </si>
  <si>
    <t>10h21m57.9s</t>
  </si>
  <si>
    <t>+24h39m19s</t>
  </si>
  <si>
    <t>IC2568</t>
  </si>
  <si>
    <t>10h22m30s</t>
  </si>
  <si>
    <t>+36h35m59s</t>
  </si>
  <si>
    <t>IC2569</t>
  </si>
  <si>
    <t>10h22m53.5s</t>
  </si>
  <si>
    <t>+24h36m25s</t>
  </si>
  <si>
    <t>round, very small, round, stellar</t>
  </si>
  <si>
    <t>R, vS, R, stell</t>
  </si>
  <si>
    <t>IC2570</t>
  </si>
  <si>
    <t>10h21m34.3s</t>
  </si>
  <si>
    <t>-33h37m24s</t>
  </si>
  <si>
    <t>extremely faint, extremely small, much extended 150°, 3 stars to southeast</t>
  </si>
  <si>
    <t>eF, eS, mE 150°, 3 st sf</t>
  </si>
  <si>
    <t>IC2571</t>
  </si>
  <si>
    <t xml:space="preserve">vF, cS, R, mbM, * 9 f 9s </t>
  </si>
  <si>
    <t>IC2572</t>
  </si>
  <si>
    <t>10h25m7.2s</t>
  </si>
  <si>
    <t>+28h5m39s</t>
  </si>
  <si>
    <t>IC2573</t>
  </si>
  <si>
    <t>10h23m30.2s</t>
  </si>
  <si>
    <t>-35h27m23s</t>
  </si>
  <si>
    <t>extremely faint, very small, extremely extended 0°</t>
  </si>
  <si>
    <t>eF, vS, eE 0°</t>
  </si>
  <si>
    <t>IC2574</t>
  </si>
  <si>
    <t>柯丁顿星云</t>
  </si>
  <si>
    <t>10h28m22.4s</t>
  </si>
  <si>
    <t>+68h25m0s</t>
  </si>
  <si>
    <t>very faint, very large, irregular figure</t>
  </si>
  <si>
    <t>vF, vL, iF</t>
  </si>
  <si>
    <t>IC2575</t>
  </si>
  <si>
    <t>10h25m24s</t>
  </si>
  <si>
    <t>-32h38m10s</t>
  </si>
  <si>
    <t>IC2576</t>
  </si>
  <si>
    <t>10h25m58.9s</t>
  </si>
  <si>
    <t>-32h54m13s</t>
  </si>
  <si>
    <t>IC2577</t>
  </si>
  <si>
    <t>10h28m1.4s</t>
  </si>
  <si>
    <t>+32h45m48s</t>
  </si>
  <si>
    <t>faint, considerably small, mottled but not resolved, 12th magnitude star near</t>
  </si>
  <si>
    <t>F, cS, r, * 12 nr</t>
  </si>
  <si>
    <t>IC2578</t>
  </si>
  <si>
    <t>10h27m22.7s</t>
  </si>
  <si>
    <t>-33h52m42s</t>
  </si>
  <si>
    <t>eF, vS, eE 135°</t>
  </si>
  <si>
    <t>IC2579</t>
  </si>
  <si>
    <t>pB, pL, E 260°, bM [? 3251]</t>
  </si>
  <si>
    <t>IC2580</t>
  </si>
  <si>
    <t>10h28m17.7s</t>
  </si>
  <si>
    <t>-31h31m4s</t>
  </si>
  <si>
    <t>considerably bright, small, brighter middle</t>
  </si>
  <si>
    <t>cB, S, bM</t>
  </si>
  <si>
    <t>IC2581</t>
  </si>
  <si>
    <t>10h27m26.1s</t>
  </si>
  <si>
    <t>-57h37m32s</t>
  </si>
  <si>
    <t>Cl, around * 5.4 mag</t>
  </si>
  <si>
    <t>IC2582</t>
  </si>
  <si>
    <t>10h29m11.2s</t>
  </si>
  <si>
    <t>-30h20m34s</t>
  </si>
  <si>
    <t>bM, indistinct (corner of plate)</t>
  </si>
  <si>
    <t>IC2583</t>
  </si>
  <si>
    <t>10h31m10.5s</t>
  </si>
  <si>
    <t>+26h3m17s</t>
  </si>
  <si>
    <t>IC2584</t>
  </si>
  <si>
    <t>10h29m51.4s</t>
  </si>
  <si>
    <t>-34h54m42s</t>
  </si>
  <si>
    <t>considerably bright, brighter middle</t>
  </si>
  <si>
    <t>cB, bM</t>
  </si>
  <si>
    <t>IC2585</t>
  </si>
  <si>
    <t>IC2586</t>
  </si>
  <si>
    <t>10h31m2.3s</t>
  </si>
  <si>
    <t>-28h43m1s</t>
  </si>
  <si>
    <t>pF, vS, R, 4 st nr sp</t>
  </si>
  <si>
    <t>IC2587</t>
  </si>
  <si>
    <t>10h30m59.5s</t>
  </si>
  <si>
    <t>-34h33m46s</t>
  </si>
  <si>
    <t>IC2588</t>
  </si>
  <si>
    <t>10h31m50.1s</t>
  </si>
  <si>
    <t>-30h23m2s</t>
  </si>
  <si>
    <t>eeF, pL, R, D * nr sf</t>
  </si>
  <si>
    <t>IC2589</t>
  </si>
  <si>
    <t>10h32m20.7s</t>
  </si>
  <si>
    <t>-24h2m14s</t>
  </si>
  <si>
    <t>eeF, eS, v diffic, * 13 sf, * 9 p 1'</t>
  </si>
  <si>
    <t>IC2590</t>
  </si>
  <si>
    <t>10h36m16.5s</t>
  </si>
  <si>
    <t>faint, small, round, gradually brighter middle, 12th magnitude star close</t>
  </si>
  <si>
    <t>F, S, R, gbM, * 12 close</t>
  </si>
  <si>
    <t>IC2591</t>
  </si>
  <si>
    <t>10h36m38.6s</t>
  </si>
  <si>
    <t>+35h3m12s</t>
  </si>
  <si>
    <t>faint, considerably small, extended 200°</t>
  </si>
  <si>
    <t>F, cS, E 200°</t>
  </si>
  <si>
    <t>IC2592</t>
  </si>
  <si>
    <t>F, pL, cE 15°, spir ?</t>
  </si>
  <si>
    <t>IC2593</t>
  </si>
  <si>
    <t>10h36m15.9s</t>
  </si>
  <si>
    <t>-12h43m31s</t>
  </si>
  <si>
    <t>extremely faint, considerably small, perhaps a star</t>
  </si>
  <si>
    <t>eF, cS, ? *</t>
  </si>
  <si>
    <t>IC2594</t>
  </si>
  <si>
    <t>10h36m4.2s</t>
  </si>
  <si>
    <t>-24h19m22s</t>
  </si>
  <si>
    <t>eF, pS, R, bet 2 wide D st</t>
  </si>
  <si>
    <t>IC2595</t>
  </si>
  <si>
    <t>10h37m33s</t>
  </si>
  <si>
    <t>-11h7m0s</t>
  </si>
  <si>
    <t>considerably bright, extremely small, round, almost stellar</t>
  </si>
  <si>
    <t>cB, eS, R, alm stell</t>
  </si>
  <si>
    <t>IC2596</t>
  </si>
  <si>
    <t>10h34m12.2s</t>
  </si>
  <si>
    <t>-73h14m24s</t>
  </si>
  <si>
    <t>extremely faint, pretty small, brighter middle</t>
  </si>
  <si>
    <t>eF, pS, bM</t>
  </si>
  <si>
    <t>IC2597</t>
  </si>
  <si>
    <t>10h37m47.3s</t>
  </si>
  <si>
    <t>-27h4m51s</t>
  </si>
  <si>
    <t>pB, pS, D * nr p</t>
  </si>
  <si>
    <t>IC2598</t>
  </si>
  <si>
    <t>10h39m42.2s</t>
  </si>
  <si>
    <t>+26h43m39s</t>
  </si>
  <si>
    <t>IC2599</t>
  </si>
  <si>
    <t>10h37m27s</t>
  </si>
  <si>
    <t>* 8.5 in neb, 3324 f 6s, 6' s</t>
  </si>
  <si>
    <t>IC2600</t>
  </si>
  <si>
    <t>10h46m38.7s</t>
  </si>
  <si>
    <t>+72h19m14s</t>
  </si>
  <si>
    <t>extremely faint, small, very diffuse</t>
  </si>
  <si>
    <t>eF, S, v dif</t>
  </si>
  <si>
    <t>IC2601</t>
  </si>
  <si>
    <t>10h47m13.3s</t>
  </si>
  <si>
    <t>+72h19m25s</t>
  </si>
  <si>
    <t>extremely faint, pretty small, several extremely faint stars involved</t>
  </si>
  <si>
    <t>eF, pS, sev eF st inv</t>
  </si>
  <si>
    <t>IC2602</t>
  </si>
  <si>
    <t>南天七姐妹星团</t>
  </si>
  <si>
    <t>10h42m56.5s</t>
  </si>
  <si>
    <t>-64h23m39s</t>
  </si>
  <si>
    <t>cluster, coarse, including θ Carinae</t>
  </si>
  <si>
    <t>Cl, co, incl. θ Carinae</t>
  </si>
  <si>
    <t>IC2603</t>
  </si>
  <si>
    <t>10h48m25s</t>
  </si>
  <si>
    <t>+32h55m36s</t>
  </si>
  <si>
    <t>vF, pL, biN or D pf, bf</t>
  </si>
  <si>
    <t>IC2604</t>
  </si>
  <si>
    <t>10h49m25s</t>
  </si>
  <si>
    <t>+32h46m21s</t>
  </si>
  <si>
    <t>faint, considerably small, diffuse</t>
  </si>
  <si>
    <t>F, cS, dif</t>
  </si>
  <si>
    <t>IC2605</t>
  </si>
  <si>
    <t>10h49m47.5s</t>
  </si>
  <si>
    <t>+32h58m18s</t>
  </si>
  <si>
    <t>eF, S, 0'.3 ssp I 116</t>
  </si>
  <si>
    <t>IC2606</t>
  </si>
  <si>
    <t>10h50m17.5s</t>
  </si>
  <si>
    <t>+37h57m23s</t>
  </si>
  <si>
    <t>faint, small, extended north-south, diffuse</t>
  </si>
  <si>
    <t>F, S, E ns, dif</t>
  </si>
  <si>
    <t>IC2607</t>
  </si>
  <si>
    <t>10h50m18.9s</t>
  </si>
  <si>
    <t>+37h59m39s</t>
  </si>
  <si>
    <t>very faint, very small, very little brighter middle, difficult</t>
  </si>
  <si>
    <t>vF, vS, vlbM, diffic</t>
  </si>
  <si>
    <t>IC2608</t>
  </si>
  <si>
    <t>10h50m15.4s</t>
  </si>
  <si>
    <t>+32h46m8s</t>
  </si>
  <si>
    <t>faint, very small, round, 14th magnitude star attached</t>
  </si>
  <si>
    <t>F, vS, R, * 14 att</t>
  </si>
  <si>
    <t>IC2609</t>
  </si>
  <si>
    <t>vf, S, bM</t>
  </si>
  <si>
    <t>IC2610</t>
  </si>
  <si>
    <t>10h52m8s</t>
  </si>
  <si>
    <t>+33h5m0s</t>
  </si>
  <si>
    <t>vF, S, lbM, * 25" p</t>
  </si>
  <si>
    <t>IC2611</t>
  </si>
  <si>
    <t>10h52m39s</t>
  </si>
  <si>
    <t>+10h8m11s</t>
  </si>
  <si>
    <t>IC2612</t>
  </si>
  <si>
    <t>10h53m37.1s</t>
  </si>
  <si>
    <t>+32h46m6s</t>
  </si>
  <si>
    <t>IC2613</t>
  </si>
  <si>
    <t>B, pL, E 200°, gmbM dif N</t>
  </si>
  <si>
    <t>IC2614</t>
  </si>
  <si>
    <t>11h1m33.9s</t>
  </si>
  <si>
    <t>+38h48m14s</t>
  </si>
  <si>
    <t>IC2615</t>
  </si>
  <si>
    <t>11h2m2.2s</t>
  </si>
  <si>
    <t>+37h56m44s</t>
  </si>
  <si>
    <t>IC2616</t>
  </si>
  <si>
    <t>11h2m5.7s</t>
  </si>
  <si>
    <t>+38h47m14s</t>
  </si>
  <si>
    <t>IC2617</t>
  </si>
  <si>
    <t>11h2m7.6s</t>
  </si>
  <si>
    <t>+38h39m52s</t>
  </si>
  <si>
    <t>faint, small, round, faint nucleus</t>
  </si>
  <si>
    <t>F, S, R, FN</t>
  </si>
  <si>
    <t>IC2618</t>
  </si>
  <si>
    <t>11h1m58.8s</t>
  </si>
  <si>
    <t>+27h47m11s</t>
  </si>
  <si>
    <t>vS neb ?</t>
  </si>
  <si>
    <t>IC2619</t>
  </si>
  <si>
    <t>11h2m15.2s</t>
  </si>
  <si>
    <t>+37h57m59s</t>
  </si>
  <si>
    <t>F, vS, R stell</t>
  </si>
  <si>
    <t>IC2620</t>
  </si>
  <si>
    <t>11h2m23.9s</t>
  </si>
  <si>
    <t>+38h30m20s</t>
  </si>
  <si>
    <t>IC2621</t>
  </si>
  <si>
    <t>11h0m20.2s</t>
  </si>
  <si>
    <t>-65h14m56s</t>
  </si>
  <si>
    <t>Planetary, stell, 10.5 mag</t>
  </si>
  <si>
    <t>IC2622</t>
  </si>
  <si>
    <t>eeF, eS, like D *</t>
  </si>
  <si>
    <t>IC2623</t>
  </si>
  <si>
    <t>11h3m50.9s</t>
  </si>
  <si>
    <t>-20h5m35s</t>
  </si>
  <si>
    <t>IC2624</t>
  </si>
  <si>
    <t>considerably bright, pretty small, round, northern of 2</t>
  </si>
  <si>
    <t>cB, pS, R, n of 2</t>
  </si>
  <si>
    <t>IC2625</t>
  </si>
  <si>
    <t>most extremely faint, very small, round, southern of 2</t>
  </si>
  <si>
    <t>eeF, vS, R, s of 2</t>
  </si>
  <si>
    <t>IC2626</t>
  </si>
  <si>
    <t>11h9m3.8s</t>
  </si>
  <si>
    <t>+26h54m16s</t>
  </si>
  <si>
    <t>faint, very small, diffuse, difficult</t>
  </si>
  <si>
    <t>F, vS, dif, diffic</t>
  </si>
  <si>
    <t>IC2627</t>
  </si>
  <si>
    <t>11h9m53.5s</t>
  </si>
  <si>
    <t>-23h43m36s</t>
  </si>
  <si>
    <t>extremely faint, large, round, stellar nucleus</t>
  </si>
  <si>
    <t>eF, L, R, stell N</t>
  </si>
  <si>
    <t>IC2628</t>
  </si>
  <si>
    <t>11h11m37.8s</t>
  </si>
  <si>
    <t>+12h7m21s</t>
  </si>
  <si>
    <t>pretty faint, pretty small, round, brighter middle, spiral</t>
  </si>
  <si>
    <t>pF, pS, R, bM, spir</t>
  </si>
  <si>
    <t>IC2629</t>
  </si>
  <si>
    <t>11h12m36.9s</t>
  </si>
  <si>
    <t>+12h6m16s</t>
  </si>
  <si>
    <t>IC2630</t>
  </si>
  <si>
    <t>11h12m43.2s</t>
  </si>
  <si>
    <t>+12h19m9s</t>
  </si>
  <si>
    <t>faint, very small, round, spiral</t>
  </si>
  <si>
    <t>F, vS, R, spir</t>
  </si>
  <si>
    <t>IC2631</t>
  </si>
  <si>
    <t>11h9m52.4s</t>
  </si>
  <si>
    <t>-76h36m57s</t>
  </si>
  <si>
    <t>* 9 in L neb</t>
  </si>
  <si>
    <t>IC2632</t>
  </si>
  <si>
    <t>11h13m5.9s</t>
  </si>
  <si>
    <t>+11h40m26s</t>
  </si>
  <si>
    <t>IC2633</t>
  </si>
  <si>
    <t>11h13m10.1s</t>
  </si>
  <si>
    <t>+11h36m5s</t>
  </si>
  <si>
    <t>faint, considerably small, irregular figure</t>
  </si>
  <si>
    <t>F, cS, iF</t>
  </si>
  <si>
    <t>IC2634</t>
  </si>
  <si>
    <t>11h13m28.3s</t>
  </si>
  <si>
    <t>+10h29m9s</t>
  </si>
  <si>
    <t>considerably bright, considerably small, round, gradually brighter middle</t>
  </si>
  <si>
    <t>cB, cS, R, gbM</t>
  </si>
  <si>
    <t>IC2635</t>
  </si>
  <si>
    <t>11h13m29.8s</t>
  </si>
  <si>
    <t>+11h27m50s</t>
  </si>
  <si>
    <t>faint, small, stellar nucleus</t>
  </si>
  <si>
    <t>F, S, stell N</t>
  </si>
  <si>
    <t>IC2636</t>
  </si>
  <si>
    <t>11h13m34s</t>
  </si>
  <si>
    <t>+11h27m23s</t>
  </si>
  <si>
    <t>IC2637</t>
  </si>
  <si>
    <t>11h13m49.6s</t>
  </si>
  <si>
    <t>+9h35m12s</t>
  </si>
  <si>
    <t>pretty bright, considerably small, round, brighter middle</t>
  </si>
  <si>
    <t>pB, cS, R, bM</t>
  </si>
  <si>
    <t>IC2638</t>
  </si>
  <si>
    <t>11h13m51.8s</t>
  </si>
  <si>
    <t>+10h33m48s</t>
  </si>
  <si>
    <t>considerably bright, pretty small, extended 100°, brighter middle</t>
  </si>
  <si>
    <t>cB, pS, E 100°, bM</t>
  </si>
  <si>
    <t>IC2639</t>
  </si>
  <si>
    <t>11h13m55.5s</t>
  </si>
  <si>
    <t>+9h38m36s</t>
  </si>
  <si>
    <t>faint, small, round, brighter middle, spiral</t>
  </si>
  <si>
    <t>F, S, R, bM, spir</t>
  </si>
  <si>
    <t>IC2640</t>
  </si>
  <si>
    <t>11h14m5.5s</t>
  </si>
  <si>
    <t>+10h59m50s</t>
  </si>
  <si>
    <t>IC2641</t>
  </si>
  <si>
    <t>11h14m10.6s</t>
  </si>
  <si>
    <t>+9h23m57s</t>
  </si>
  <si>
    <t>IC2642</t>
  </si>
  <si>
    <t>11h14m15.8s</t>
  </si>
  <si>
    <t>+12h15m57s</t>
  </si>
  <si>
    <t>very faint, very small, round, brighter middle, spiral</t>
  </si>
  <si>
    <t>vF, vS, R, bM, spir</t>
  </si>
  <si>
    <t>IC2643</t>
  </si>
  <si>
    <t>11h14m26.6s</t>
  </si>
  <si>
    <t>+10h7m35s</t>
  </si>
  <si>
    <t>IC2644</t>
  </si>
  <si>
    <t>11h14m29.8s</t>
  </si>
  <si>
    <t>+10h46m8s</t>
  </si>
  <si>
    <t>IC2645</t>
  </si>
  <si>
    <t>11h14m30.8s</t>
  </si>
  <si>
    <t>+11h53m12s</t>
  </si>
  <si>
    <t>IC2646</t>
  </si>
  <si>
    <t>11h14m37.6s</t>
  </si>
  <si>
    <t>+12h31m43s</t>
  </si>
  <si>
    <t>IC2647</t>
  </si>
  <si>
    <t>11h14m38.6s</t>
  </si>
  <si>
    <t>+12h8m32s</t>
  </si>
  <si>
    <t>IC2648</t>
  </si>
  <si>
    <t>11h14m45.6s</t>
  </si>
  <si>
    <t>+10h13m31s</t>
  </si>
  <si>
    <t>IC2649</t>
  </si>
  <si>
    <t>11h14m47.4s</t>
  </si>
  <si>
    <t>+11h7m44s</t>
  </si>
  <si>
    <t>pretty bright, small, round, brighter middle, spiral</t>
  </si>
  <si>
    <t>pB, S, R, bM, spir</t>
  </si>
  <si>
    <t>IC2650</t>
  </si>
  <si>
    <t>11h14m52.4s</t>
  </si>
  <si>
    <t>+13h51m10s</t>
  </si>
  <si>
    <t>faint, small, brighter middle, irregular figure</t>
  </si>
  <si>
    <t>F, S, bM, iF</t>
  </si>
  <si>
    <t>IC2651</t>
  </si>
  <si>
    <t>11h14m52.2s</t>
  </si>
  <si>
    <t>+12h14m23s</t>
  </si>
  <si>
    <t>IC2652</t>
  </si>
  <si>
    <t>11h14m52.3s</t>
  </si>
  <si>
    <t>+12h26m55s</t>
  </si>
  <si>
    <t>very faint, small, round, brighter middle, spiral</t>
  </si>
  <si>
    <t>vF, S, R, bM, spir</t>
  </si>
  <si>
    <t>IC2653</t>
  </si>
  <si>
    <t>11h14m53.5s</t>
  </si>
  <si>
    <t>+10h32m54s</t>
  </si>
  <si>
    <t>IC2654</t>
  </si>
  <si>
    <t>11h15m2.9s</t>
  </si>
  <si>
    <t>+12h30m0s</t>
  </si>
  <si>
    <t>very faint, small, extended 120°</t>
  </si>
  <si>
    <t>vF, S, E 120°</t>
  </si>
  <si>
    <t>IC2655</t>
  </si>
  <si>
    <t>11h15m5.2s</t>
  </si>
  <si>
    <t>IC2656</t>
  </si>
  <si>
    <t>11h15m5.3s</t>
  </si>
  <si>
    <t>+12h22m44s</t>
  </si>
  <si>
    <t>very faint, small, irregular figure, extended 120°</t>
  </si>
  <si>
    <t>vF, S, iF, E 120°</t>
  </si>
  <si>
    <t>IC2657</t>
  </si>
  <si>
    <t>11h15m8.7s</t>
  </si>
  <si>
    <t>+13h41m41s</t>
  </si>
  <si>
    <t>faint, pretty large, diffuse, between 2 stars</t>
  </si>
  <si>
    <t>F, pL, dif, bet 2 st</t>
  </si>
  <si>
    <t>IC2658</t>
  </si>
  <si>
    <t>11h15m8.9s</t>
  </si>
  <si>
    <t>+12h59m48s</t>
  </si>
  <si>
    <t>very faint, considerably small, round, brighter middle</t>
  </si>
  <si>
    <t>vF, cS, R, bM</t>
  </si>
  <si>
    <t>IC2659</t>
  </si>
  <si>
    <t>11h15m28s</t>
  </si>
  <si>
    <t>+12h53m14s</t>
  </si>
  <si>
    <t>faint, very small, round, brighter middle, spiral</t>
  </si>
  <si>
    <t>F, vS, R, bM, spir</t>
  </si>
  <si>
    <t>IC2660</t>
  </si>
  <si>
    <t>11h15m28.4s</t>
  </si>
  <si>
    <t>+12h26m12s</t>
  </si>
  <si>
    <t>IC2661</t>
  </si>
  <si>
    <t>11h15m29.1s</t>
  </si>
  <si>
    <t>+13h36m32s</t>
  </si>
  <si>
    <t>faint, pretty small, extended 100°, brighter middle</t>
  </si>
  <si>
    <t>F, pS, E 100°, bM</t>
  </si>
  <si>
    <t>IC2662</t>
  </si>
  <si>
    <t>11h15m30.7s</t>
  </si>
  <si>
    <t>+12h46m15s</t>
  </si>
  <si>
    <t>IC2663</t>
  </si>
  <si>
    <t>11h15m32.6s</t>
  </si>
  <si>
    <t>+12h36m15s</t>
  </si>
  <si>
    <t>pretty bright, very small, round, suddenly brighter middle like a star</t>
  </si>
  <si>
    <t>pB, vS, R, sbM *</t>
  </si>
  <si>
    <t>IC2664</t>
  </si>
  <si>
    <t>11h15m39.1s</t>
  </si>
  <si>
    <t>+12h33m45s</t>
  </si>
  <si>
    <t>F, vS, lE 80°, bM</t>
  </si>
  <si>
    <t>IC2665</t>
  </si>
  <si>
    <t>11h15m40.8s</t>
  </si>
  <si>
    <t>+11h43m26s</t>
  </si>
  <si>
    <t>vF, pL, iF, N, 2 st 13 att</t>
  </si>
  <si>
    <t>IC2666</t>
  </si>
  <si>
    <t>11h15m43.8s</t>
  </si>
  <si>
    <t>+13h46m56s</t>
  </si>
  <si>
    <t>considerably bright, considerably small, extended 20°, brighter middle</t>
  </si>
  <si>
    <t>cB, cS, E 20°, bM</t>
  </si>
  <si>
    <t>IC2667</t>
  </si>
  <si>
    <t>11h15m44s</t>
  </si>
  <si>
    <t>+12h7m1s</t>
  </si>
  <si>
    <t>IC2668</t>
  </si>
  <si>
    <t>11h15m32.1s</t>
  </si>
  <si>
    <t>-14h10m17s</t>
  </si>
  <si>
    <t>IC2669</t>
  </si>
  <si>
    <t>11h15m53.1s</t>
  </si>
  <si>
    <t>faint, small, extended 50°, brighter middle</t>
  </si>
  <si>
    <t>F, S, E 50°, bM</t>
  </si>
  <si>
    <t>IC2670</t>
  </si>
  <si>
    <t>11h15m59.5s</t>
  </si>
  <si>
    <t>+11h46m59s</t>
  </si>
  <si>
    <t>IC2671</t>
  </si>
  <si>
    <t>11h16m3.5s</t>
  </si>
  <si>
    <t>+13h7m28s</t>
  </si>
  <si>
    <t>IC2672</t>
  </si>
  <si>
    <t>11h16m3.8s</t>
  </si>
  <si>
    <t>+10h9m25s</t>
  </si>
  <si>
    <t>IC2673</t>
  </si>
  <si>
    <t>Sc     R</t>
  </si>
  <si>
    <t>11h16m4.1s</t>
  </si>
  <si>
    <t>+10h9m44s</t>
  </si>
  <si>
    <t>F, pL, iF, N, * 11 f 1'</t>
  </si>
  <si>
    <t>IC2674</t>
  </si>
  <si>
    <t>11h16m8.2s</t>
  </si>
  <si>
    <t>+11h2m54s</t>
  </si>
  <si>
    <t>faint, pretty small, round, brighter middle, spiral</t>
  </si>
  <si>
    <t>F, pS, R, bM, spir</t>
  </si>
  <si>
    <t>IC2675</t>
  </si>
  <si>
    <t>11h16m10.9s</t>
  </si>
  <si>
    <t>+12h14m58s</t>
  </si>
  <si>
    <t>IC2676</t>
  </si>
  <si>
    <t>11h16m18.5s</t>
  </si>
  <si>
    <t>+9h49m18s</t>
  </si>
  <si>
    <t>F, S, iF, * 11 sf ?'</t>
  </si>
  <si>
    <t>IC2677</t>
  </si>
  <si>
    <t>11h16m20.5s</t>
  </si>
  <si>
    <t>+12h12m53s</t>
  </si>
  <si>
    <t>F, vS, R, bM, in L, E neby</t>
  </si>
  <si>
    <t>IC2678</t>
  </si>
  <si>
    <t>11h16m21.6s</t>
  </si>
  <si>
    <t>+11h56m55s</t>
  </si>
  <si>
    <t>faint, very small, extended 110°, brighter middle</t>
  </si>
  <si>
    <t>F, vS, E 110°, bM</t>
  </si>
  <si>
    <t>IC2679</t>
  </si>
  <si>
    <t>11h16m23.2s</t>
  </si>
  <si>
    <t>+12h0m55s</t>
  </si>
  <si>
    <t>F, S, R, bM, spir, * 13 sp 20"</t>
  </si>
  <si>
    <t>IC2680</t>
  </si>
  <si>
    <t>11h16m25.5s</t>
  </si>
  <si>
    <t>+9h48m24s</t>
  </si>
  <si>
    <t>considerably faint, small, irregular figure, nuclear, 11th magnitude star to northwest</t>
  </si>
  <si>
    <t>cF, S, iF, N, * 11 np</t>
  </si>
  <si>
    <t>IC2681</t>
  </si>
  <si>
    <t>11h16m33.2s</t>
  </si>
  <si>
    <t>+11h12m26s</t>
  </si>
  <si>
    <t>considerably bright, very small</t>
  </si>
  <si>
    <t>cB, vS</t>
  </si>
  <si>
    <t>IC2682</t>
  </si>
  <si>
    <t>11h16m36.1s</t>
  </si>
  <si>
    <t>+9h24m40s</t>
  </si>
  <si>
    <t>pretty faint, small, extended, brighter middle</t>
  </si>
  <si>
    <t>pF, S, E, bM</t>
  </si>
  <si>
    <t>IC2683</t>
  </si>
  <si>
    <t>11h16m54.3s</t>
  </si>
  <si>
    <t>+12h5m57s</t>
  </si>
  <si>
    <t>faint, pretty large, irregular figure, nuclear</t>
  </si>
  <si>
    <t>F, pL, iF, N</t>
  </si>
  <si>
    <t>IC2684</t>
  </si>
  <si>
    <t>11h17m1s</t>
  </si>
  <si>
    <t>+13h5m59s</t>
  </si>
  <si>
    <t>IC2685</t>
  </si>
  <si>
    <t>11h17m0.1s</t>
  </si>
  <si>
    <t>+10h5m41s</t>
  </si>
  <si>
    <t>IC2686</t>
  </si>
  <si>
    <t>11h17m2.6s</t>
  </si>
  <si>
    <t>+12h57m6s</t>
  </si>
  <si>
    <t>F, S, iF, att * 14 sf</t>
  </si>
  <si>
    <t>IC2687</t>
  </si>
  <si>
    <t>11h17m12.1s</t>
  </si>
  <si>
    <t>+10h9m29s</t>
  </si>
  <si>
    <t>IC2688</t>
  </si>
  <si>
    <t>11h17m18s</t>
  </si>
  <si>
    <t>+13h29m25s</t>
  </si>
  <si>
    <t>very faint, small, extended 30°, brighter middle</t>
  </si>
  <si>
    <t>vF, S, E 30°, bM</t>
  </si>
  <si>
    <t>IC2689</t>
  </si>
  <si>
    <t>11h17m19.7s</t>
  </si>
  <si>
    <t>+12h57m39s</t>
  </si>
  <si>
    <t>faint, small, extended 40°</t>
  </si>
  <si>
    <t>F, S, E 40°</t>
  </si>
  <si>
    <t>IC2690</t>
  </si>
  <si>
    <t>11h17m19.5s</t>
  </si>
  <si>
    <t>+12h57m38s</t>
  </si>
  <si>
    <t>IC2691</t>
  </si>
  <si>
    <t>11h17m25s</t>
  </si>
  <si>
    <t>+12h2m18s</t>
  </si>
  <si>
    <t>IC2692</t>
  </si>
  <si>
    <t>11h17m33.1s</t>
  </si>
  <si>
    <t>+10h46m7s</t>
  </si>
  <si>
    <t>IC2693</t>
  </si>
  <si>
    <t>11h17m36.5s</t>
  </si>
  <si>
    <t>+13h32m58s</t>
  </si>
  <si>
    <t>IC2694</t>
  </si>
  <si>
    <t>11h17m38.5s</t>
  </si>
  <si>
    <t>+13h22m34s</t>
  </si>
  <si>
    <t>pretty bright, small, extended 90°, brighter middle</t>
  </si>
  <si>
    <t>pB, S, E 90°, bM</t>
  </si>
  <si>
    <t>IC2695</t>
  </si>
  <si>
    <t>11h17m48.6s</t>
  </si>
  <si>
    <t>+13h43m39s</t>
  </si>
  <si>
    <t>IC2696</t>
  </si>
  <si>
    <t>11h17m49.3s</t>
  </si>
  <si>
    <t>+12h45m21s</t>
  </si>
  <si>
    <t>IC2697</t>
  </si>
  <si>
    <t>11h17m51.1s</t>
  </si>
  <si>
    <t>faint, small, irregular figure, nuclear, between 2 stars</t>
  </si>
  <si>
    <t>F, S, iF, N, bet 2 st</t>
  </si>
  <si>
    <t>IC2698</t>
  </si>
  <si>
    <t>+11h53m7s</t>
  </si>
  <si>
    <t>faint, pretty small, irregular figure, binuclear</t>
  </si>
  <si>
    <t>F, pS, iF, biN</t>
  </si>
  <si>
    <t>IC2699</t>
  </si>
  <si>
    <t>11h17m52.6s</t>
  </si>
  <si>
    <t>+11h54m35s</t>
  </si>
  <si>
    <t>IC2700</t>
  </si>
  <si>
    <t>11h17m54.1s</t>
  </si>
  <si>
    <t>+12h3m17s</t>
  </si>
  <si>
    <t>very faint, very small, irregular figure, nuclear</t>
  </si>
  <si>
    <t>vF, vS, iF, N</t>
  </si>
  <si>
    <t>IC2701</t>
  </si>
  <si>
    <t>11h17m56.9s</t>
  </si>
  <si>
    <t>+11h7m4s</t>
  </si>
  <si>
    <t>faint, very small, irregular figure</t>
  </si>
  <si>
    <t>F, vS, iF</t>
  </si>
  <si>
    <t>IC2702</t>
  </si>
  <si>
    <t>11h17m57.1s</t>
  </si>
  <si>
    <t>+9h24m47s</t>
  </si>
  <si>
    <t>IC2703</t>
  </si>
  <si>
    <t>11h18m5.1s</t>
  </si>
  <si>
    <t>+17h39m0s</t>
  </si>
  <si>
    <t>IC2704</t>
  </si>
  <si>
    <t>11h18m3.9s</t>
  </si>
  <si>
    <t>+12h27m13s</t>
  </si>
  <si>
    <t>F, S, E 70°, bM</t>
  </si>
  <si>
    <t>IC2705</t>
  </si>
  <si>
    <t>+11h54m17s</t>
  </si>
  <si>
    <t>extremely faint, extremely small, round, brighter middle, difficult</t>
  </si>
  <si>
    <t>eF, eS, R, bM, diffic</t>
  </si>
  <si>
    <t>IC2706</t>
  </si>
  <si>
    <t>11h18m29.2s</t>
  </si>
  <si>
    <t>+12h32m56s</t>
  </si>
  <si>
    <t>F, vS, E 60°, bM</t>
  </si>
  <si>
    <t>IC2707</t>
  </si>
  <si>
    <t>11h18m30.9s</t>
  </si>
  <si>
    <t>+9h28m27s</t>
  </si>
  <si>
    <t>F, vS, R, bM, spir, * 13 sf</t>
  </si>
  <si>
    <t>IC2708</t>
  </si>
  <si>
    <t>11h18m34.5s</t>
  </si>
  <si>
    <t>+12h42m42s</t>
  </si>
  <si>
    <t>IC2709</t>
  </si>
  <si>
    <t>11h18m40.8s</t>
  </si>
  <si>
    <t>+12h33m51s</t>
  </si>
  <si>
    <t>extremely faint, pretty large, irregular figure, 13th magnitude star to north</t>
  </si>
  <si>
    <t>eF, pL, iF, * 13 n</t>
  </si>
  <si>
    <t>IC2710</t>
  </si>
  <si>
    <t>11h18m44.4s</t>
  </si>
  <si>
    <t>+13h34m2s</t>
  </si>
  <si>
    <t>bright, very small, round, brighter middle</t>
  </si>
  <si>
    <t>B, vS, R, bM</t>
  </si>
  <si>
    <t>IC2711</t>
  </si>
  <si>
    <t>11h18m46.6s</t>
  </si>
  <si>
    <t>+13h44m23s</t>
  </si>
  <si>
    <t>IC2712</t>
  </si>
  <si>
    <t>11h18m52.7s</t>
  </si>
  <si>
    <t>+9h37m38s</t>
  </si>
  <si>
    <t>IC2713</t>
  </si>
  <si>
    <t>11h19m10.2s</t>
  </si>
  <si>
    <t>+12h9m55s</t>
  </si>
  <si>
    <t>IC2714</t>
  </si>
  <si>
    <t>利普-托恩星团</t>
  </si>
  <si>
    <t>11h17m22s</t>
  </si>
  <si>
    <t>-62h43m18s</t>
  </si>
  <si>
    <t>IC2715</t>
  </si>
  <si>
    <t>11h19m14.3s</t>
  </si>
  <si>
    <t>+11h57m3s</t>
  </si>
  <si>
    <t>IC2716</t>
  </si>
  <si>
    <t>11h19m16.3s</t>
  </si>
  <si>
    <t>+11h41m55s</t>
  </si>
  <si>
    <t>IC2717</t>
  </si>
  <si>
    <t>11h19m18.7s</t>
  </si>
  <si>
    <t>+12h2m54s</t>
  </si>
  <si>
    <t>very faint, very small, round, brighter middle, difficult</t>
  </si>
  <si>
    <t>vF, vS, R, bM, diffic</t>
  </si>
  <si>
    <t>IC2718</t>
  </si>
  <si>
    <t>11h19m20.9s</t>
  </si>
  <si>
    <t>+12h1m21s</t>
  </si>
  <si>
    <t>IC2719</t>
  </si>
  <si>
    <t>11h19m32.2s</t>
  </si>
  <si>
    <t>+12h3m34s</t>
  </si>
  <si>
    <t>very faint, small, irregular figure, nuclear</t>
  </si>
  <si>
    <t>vF, S, iF, N</t>
  </si>
  <si>
    <t>IC2720</t>
  </si>
  <si>
    <t>11h19m35.6s</t>
  </si>
  <si>
    <t>+12h4m37s</t>
  </si>
  <si>
    <t>IC2721</t>
  </si>
  <si>
    <t>11h19m42.7s</t>
  </si>
  <si>
    <t>+12h18m38s</t>
  </si>
  <si>
    <t>extremely faint, pretty small, diffuse</t>
  </si>
  <si>
    <t>eF, pS, dif</t>
  </si>
  <si>
    <t>IC2722</t>
  </si>
  <si>
    <t>11h19m43.9s</t>
  </si>
  <si>
    <t>+13h57m49s</t>
  </si>
  <si>
    <t>IC2723</t>
  </si>
  <si>
    <t>11h19m47.9s</t>
  </si>
  <si>
    <t>+12h1m59s</t>
  </si>
  <si>
    <t>faint, very small, extended 200°, difficult</t>
  </si>
  <si>
    <t>F, vS, E 200°, diffic</t>
  </si>
  <si>
    <t>IC2724</t>
  </si>
  <si>
    <t>11h19m48.4s</t>
  </si>
  <si>
    <t>+10h43m2s</t>
  </si>
  <si>
    <t>cF, vF, R, bM, * 13 p 20"</t>
  </si>
  <si>
    <t>IC2725</t>
  </si>
  <si>
    <t>11h19m57.4s</t>
  </si>
  <si>
    <t>IC2726</t>
  </si>
  <si>
    <t>11h19m58.5s</t>
  </si>
  <si>
    <t>+13h24m56s</t>
  </si>
  <si>
    <t>very faint, very small, irregular figure, difficult</t>
  </si>
  <si>
    <t>vF, vS, iF, diffic</t>
  </si>
  <si>
    <t>IC2727</t>
  </si>
  <si>
    <t>11h20m0s</t>
  </si>
  <si>
    <t>faint, very small, irregular figure, nuclear, difficult</t>
  </si>
  <si>
    <t>F, vS, iF, N, diffic</t>
  </si>
  <si>
    <t>IC2728</t>
  </si>
  <si>
    <t>11h20m5s</t>
  </si>
  <si>
    <t>+13h25m38s</t>
  </si>
  <si>
    <t>very faint, small, irregular figure, nuclear, difficult</t>
  </si>
  <si>
    <t>vF, S, iF, N, diffic</t>
  </si>
  <si>
    <t>IC2729</t>
  </si>
  <si>
    <t>11h20m6.7s</t>
  </si>
  <si>
    <t>+13h24m33s</t>
  </si>
  <si>
    <t>IC2730</t>
  </si>
  <si>
    <t>11h20m7.4s</t>
  </si>
  <si>
    <t>+12h22m0s</t>
  </si>
  <si>
    <t>faint, extremely small, extended 90°, brighter middle</t>
  </si>
  <si>
    <t>F, eS, E 90°, bM</t>
  </si>
  <si>
    <t>IC2731</t>
  </si>
  <si>
    <t>11h20m10.3s</t>
  </si>
  <si>
    <t>+13h33m29s</t>
  </si>
  <si>
    <t>IC2732</t>
  </si>
  <si>
    <t>11h20m12.4s</t>
  </si>
  <si>
    <t>+12h24m14s</t>
  </si>
  <si>
    <t>IC2733</t>
  </si>
  <si>
    <t>11h20m17.3s</t>
  </si>
  <si>
    <t>+13h50m6s</t>
  </si>
  <si>
    <t>very faint, considerably small, irregular figure, nuclear, 14th magnitude star to north</t>
  </si>
  <si>
    <t>vF, cS, iF, N, * 14 n</t>
  </si>
  <si>
    <t>IC2734</t>
  </si>
  <si>
    <t>11h20m23.8s</t>
  </si>
  <si>
    <t>+12h26m35s</t>
  </si>
  <si>
    <t>faint, small, irregular figure, nuclear</t>
  </si>
  <si>
    <t>F, S, iF, N</t>
  </si>
  <si>
    <t>IC2735</t>
  </si>
  <si>
    <t>11h21m3.8s</t>
  </si>
  <si>
    <t>+34h20m40s</t>
  </si>
  <si>
    <t>pB, cS, E pF, N, r</t>
  </si>
  <si>
    <t>IC2736</t>
  </si>
  <si>
    <t>11h20m55s</t>
  </si>
  <si>
    <t>+12h24m32s</t>
  </si>
  <si>
    <t>IC2737</t>
  </si>
  <si>
    <t>11h21m8.2s</t>
  </si>
  <si>
    <t>+14h17m36s</t>
  </si>
  <si>
    <t>IC2738</t>
  </si>
  <si>
    <t>11h21m23s</t>
  </si>
  <si>
    <t>+34h21m26s</t>
  </si>
  <si>
    <t>IC2739</t>
  </si>
  <si>
    <t>11h21m12.4s</t>
  </si>
  <si>
    <t>+11h54m52s</t>
  </si>
  <si>
    <t>F, vS, annular ?</t>
  </si>
  <si>
    <t>IC2740</t>
  </si>
  <si>
    <t>11h21m17s</t>
  </si>
  <si>
    <t>+8h45m6s</t>
  </si>
  <si>
    <t>IC2741</t>
  </si>
  <si>
    <t>11h21m17.5s</t>
  </si>
  <si>
    <t>+9h9m11s</t>
  </si>
  <si>
    <t>vF, pS, iF, sev N</t>
  </si>
  <si>
    <t>IC2742</t>
  </si>
  <si>
    <t>11h21m18.6s</t>
  </si>
  <si>
    <t>IC2743</t>
  </si>
  <si>
    <t>11h21m25s</t>
  </si>
  <si>
    <t>+8h41m35s</t>
  </si>
  <si>
    <t>IC2744</t>
  </si>
  <si>
    <t>11h21m42.6s</t>
  </si>
  <si>
    <t>+34h21m46s</t>
  </si>
  <si>
    <t>IC2745</t>
  </si>
  <si>
    <t>+13h25m37s</t>
  </si>
  <si>
    <t>pB, pS, E 70°, bM, * 12 att sf</t>
  </si>
  <si>
    <t>IC2746</t>
  </si>
  <si>
    <t>11h21m36.4s</t>
  </si>
  <si>
    <t>+11h44m12s</t>
  </si>
  <si>
    <t>IC2747</t>
  </si>
  <si>
    <t>11h21m39.9s</t>
  </si>
  <si>
    <t>+8h48m16s</t>
  </si>
  <si>
    <t>very faint, very small, irregular figure, 2 stars to west</t>
  </si>
  <si>
    <t>vF, vS, iF, 2 st p</t>
  </si>
  <si>
    <t>IC2748</t>
  </si>
  <si>
    <t>11h21m44.1s</t>
  </si>
  <si>
    <t>+8h48m20s</t>
  </si>
  <si>
    <t>IC2749</t>
  </si>
  <si>
    <t>11h21m45.2s</t>
  </si>
  <si>
    <t>+8h34m30s</t>
  </si>
  <si>
    <t>F, S, dif (? D *)</t>
  </si>
  <si>
    <t>IC2750</t>
  </si>
  <si>
    <t>11h21m50.7s</t>
  </si>
  <si>
    <t>+9h39m30s</t>
  </si>
  <si>
    <t>IC2751</t>
  </si>
  <si>
    <t>11h22m7.4s</t>
  </si>
  <si>
    <t>+34h21m59s</t>
  </si>
  <si>
    <t>F, S, R, 2 st 15 inv</t>
  </si>
  <si>
    <t>IC2752</t>
  </si>
  <si>
    <t>11h22m2s</t>
  </si>
  <si>
    <t>+14h7m28s</t>
  </si>
  <si>
    <t>IC2753</t>
  </si>
  <si>
    <t>11h21m59.7s</t>
  </si>
  <si>
    <t>+9h52m40s</t>
  </si>
  <si>
    <t>IC2754</t>
  </si>
  <si>
    <t>11h22m2.4s</t>
  </si>
  <si>
    <t>+14h8m38s</t>
  </si>
  <si>
    <t>faint, small, irregular figure, nuclear, difficult</t>
  </si>
  <si>
    <t>F, S, iF, N, diffic</t>
  </si>
  <si>
    <t>IC2755</t>
  </si>
  <si>
    <t>+13h47m35s</t>
  </si>
  <si>
    <t>IC2756</t>
  </si>
  <si>
    <t>11h22m1s</t>
  </si>
  <si>
    <t>+9h57m36s</t>
  </si>
  <si>
    <t>very faint, very small, extended 120°, brighter middle</t>
  </si>
  <si>
    <t>vF, vS, E 120°, bM</t>
  </si>
  <si>
    <t>IC2757</t>
  </si>
  <si>
    <t>11h22m2.1s</t>
  </si>
  <si>
    <t>+8h23m38s</t>
  </si>
  <si>
    <t>IC2758</t>
  </si>
  <si>
    <t>11h22m3.2s</t>
  </si>
  <si>
    <t>+7h48m50s</t>
  </si>
  <si>
    <t>faint, considerably small, round, brighter middle, difficult</t>
  </si>
  <si>
    <t>F, cS, R, bM, diffic</t>
  </si>
  <si>
    <t>IC2759</t>
  </si>
  <si>
    <t>11h22m13.2s</t>
  </si>
  <si>
    <t>+24h19m2s</t>
  </si>
  <si>
    <t>considerably faint, stellar, 13th magnitude star 2.5 arcmin west northwest</t>
  </si>
  <si>
    <t>cF, stell, * 13 npp 2'.5</t>
  </si>
  <si>
    <t>IC2760</t>
  </si>
  <si>
    <t>11h22m12.7s</t>
  </si>
  <si>
    <t>+12h39m57s</t>
  </si>
  <si>
    <t>IC2761</t>
  </si>
  <si>
    <t>11h22m17s</t>
  </si>
  <si>
    <t>+14h10m38s</t>
  </si>
  <si>
    <t>faint, small, round, brighter middle, difficult</t>
  </si>
  <si>
    <t>F, S, R, bM, diffic</t>
  </si>
  <si>
    <t>IC2762</t>
  </si>
  <si>
    <t>11h22m17.9s</t>
  </si>
  <si>
    <t>+12h43m21s</t>
  </si>
  <si>
    <t>considerably faint, pretty small, much extended 150°, brighter middle, 12th magnitude star to west</t>
  </si>
  <si>
    <t>cF, pS, mE 150°, bM, * 12 p</t>
  </si>
  <si>
    <t>IC2763</t>
  </si>
  <si>
    <t>11h22m18.4s</t>
  </si>
  <si>
    <t>+13h3m55s</t>
  </si>
  <si>
    <t>cF, pS, E 95°, long N</t>
  </si>
  <si>
    <t>IC2764</t>
  </si>
  <si>
    <t>11h27m4.9s</t>
  </si>
  <si>
    <t>-28h58m50s</t>
  </si>
  <si>
    <t>pB, pS, R, * 10 nr nf, * 7 f</t>
  </si>
  <si>
    <t>IC2765</t>
  </si>
  <si>
    <t>11h22m23.1s</t>
  </si>
  <si>
    <t>+14h11m56s</t>
  </si>
  <si>
    <t>IC2766</t>
  </si>
  <si>
    <t>11h22m23s</t>
  </si>
  <si>
    <t>+12h54m14s</t>
  </si>
  <si>
    <t>IC2767</t>
  </si>
  <si>
    <t>11h22m23.5s</t>
  </si>
  <si>
    <t>+13h4m39s</t>
  </si>
  <si>
    <t>IC2768</t>
  </si>
  <si>
    <t>+12h31m44s</t>
  </si>
  <si>
    <t>IC2769</t>
  </si>
  <si>
    <t>11h22m25.6s</t>
  </si>
  <si>
    <t>+14h11m47s</t>
  </si>
  <si>
    <t>IC2770</t>
  </si>
  <si>
    <t>11h22m24.7s</t>
  </si>
  <si>
    <t>+9h13m16s</t>
  </si>
  <si>
    <t>IC2771</t>
  </si>
  <si>
    <t>11h22m28s</t>
  </si>
  <si>
    <t>+12h31m10s</t>
  </si>
  <si>
    <t>very faint, very small, irregular figure, nuclear, difficult</t>
  </si>
  <si>
    <t>vF, vS, iF, N, diffic</t>
  </si>
  <si>
    <t>IC2772</t>
  </si>
  <si>
    <t>11h22m30.4s</t>
  </si>
  <si>
    <t>+13h35m57s</t>
  </si>
  <si>
    <t>very faint, extremely small, irregular figure, nuclear</t>
  </si>
  <si>
    <t>vF, eS, iF, N</t>
  </si>
  <si>
    <t>IC2773</t>
  </si>
  <si>
    <t>11h22m36.4s</t>
  </si>
  <si>
    <t>+13h34m12s</t>
  </si>
  <si>
    <t>very faint, small, very irregular figure, difficult</t>
  </si>
  <si>
    <t>vF, S, viF, diffic</t>
  </si>
  <si>
    <t>IC2774</t>
  </si>
  <si>
    <t>11h22m37.2s</t>
  </si>
  <si>
    <t>+12h30m54s</t>
  </si>
  <si>
    <t>IC2775</t>
  </si>
  <si>
    <t>11h22m39.5s</t>
  </si>
  <si>
    <t>IC2776</t>
  </si>
  <si>
    <t>11h22m40s</t>
  </si>
  <si>
    <t>+13h19m51s</t>
  </si>
  <si>
    <t>IC2777</t>
  </si>
  <si>
    <t>11h22m40.6s</t>
  </si>
  <si>
    <t>+12h1m32s</t>
  </si>
  <si>
    <t>IC2778</t>
  </si>
  <si>
    <t>11h22m41.9s</t>
  </si>
  <si>
    <t>+12h31m36s</t>
  </si>
  <si>
    <t>IC2779</t>
  </si>
  <si>
    <t>11h22m44.4s</t>
  </si>
  <si>
    <t>+13h20m45s</t>
  </si>
  <si>
    <t>IC2780</t>
  </si>
  <si>
    <t>11h22m48.1s</t>
  </si>
  <si>
    <t>+10h8m58s</t>
  </si>
  <si>
    <t>F, vS, R, bM, * 15 n 15"</t>
  </si>
  <si>
    <t>IC2781</t>
  </si>
  <si>
    <t>11h22m50.6s</t>
  </si>
  <si>
    <t>+12h20m43s</t>
  </si>
  <si>
    <t>F, vS, iF, fainter one 2' nf</t>
  </si>
  <si>
    <t>IC2782</t>
  </si>
  <si>
    <t>11h22m55.4s</t>
  </si>
  <si>
    <t>+13h26m29s</t>
  </si>
  <si>
    <t>IC2783</t>
  </si>
  <si>
    <t>11h22m53.5s</t>
  </si>
  <si>
    <t>IC2784</t>
  </si>
  <si>
    <t>11h23m11.5s</t>
  </si>
  <si>
    <t>+13h7m6s</t>
  </si>
  <si>
    <t>pB, eS, R, bM, * 13 p 20"</t>
  </si>
  <si>
    <t>IC2785</t>
  </si>
  <si>
    <t>11h23m15.3s</t>
  </si>
  <si>
    <t>+13h23m30s</t>
  </si>
  <si>
    <t>IC2786</t>
  </si>
  <si>
    <t>11h23m17.5s</t>
  </si>
  <si>
    <t>+13h23m34s</t>
  </si>
  <si>
    <t>considerably faint, small, extended 110°, brighter middle</t>
  </si>
  <si>
    <t>cF, S, E 110°, bM</t>
  </si>
  <si>
    <t>IC2787</t>
  </si>
  <si>
    <t>11h23m19.1s</t>
  </si>
  <si>
    <t>+13h37m47s</t>
  </si>
  <si>
    <t>IC2788</t>
  </si>
  <si>
    <t>11h23m27s</t>
  </si>
  <si>
    <t>+12h41m53s</t>
  </si>
  <si>
    <t>IC2789</t>
  </si>
  <si>
    <t>11h23m33s</t>
  </si>
  <si>
    <t>+14h11m12s</t>
  </si>
  <si>
    <t>IC2790</t>
  </si>
  <si>
    <t>11h23m34s</t>
  </si>
  <si>
    <t>+9h33m17s</t>
  </si>
  <si>
    <t>IC2791</t>
  </si>
  <si>
    <t>11h23m37.5s</t>
  </si>
  <si>
    <t>+12h53m47s</t>
  </si>
  <si>
    <t>IC2792</t>
  </si>
  <si>
    <t>11h23m41.5s</t>
  </si>
  <si>
    <t>+11h24m15s</t>
  </si>
  <si>
    <t>IC2793</t>
  </si>
  <si>
    <t>11h23m47.3s</t>
  </si>
  <si>
    <t>+9h27m4s</t>
  </si>
  <si>
    <t>IC2794</t>
  </si>
  <si>
    <t>11h24m3.6s</t>
  </si>
  <si>
    <t>+12h47m29s</t>
  </si>
  <si>
    <t>IC2795</t>
  </si>
  <si>
    <t>11h24m4s</t>
  </si>
  <si>
    <t>+12h8m8s</t>
  </si>
  <si>
    <t>IC2796</t>
  </si>
  <si>
    <t>11h24m8.3s</t>
  </si>
  <si>
    <t>+9h20m45s</t>
  </si>
  <si>
    <t>IC2797</t>
  </si>
  <si>
    <t>11h24m21s</t>
  </si>
  <si>
    <t>+11h42m23s</t>
  </si>
  <si>
    <t>IC2798</t>
  </si>
  <si>
    <t>11h24m24s</t>
  </si>
  <si>
    <t>+12h24m57s</t>
  </si>
  <si>
    <t>IC2799</t>
  </si>
  <si>
    <t>11h24m26.6s</t>
  </si>
  <si>
    <t>+13h50m58s</t>
  </si>
  <si>
    <t>IC2800</t>
  </si>
  <si>
    <t>11h24m27s</t>
  </si>
  <si>
    <t>+12h12m32s</t>
  </si>
  <si>
    <t>IC2801</t>
  </si>
  <si>
    <t>11h24m29s</t>
  </si>
  <si>
    <t>+10h11m1s</t>
  </si>
  <si>
    <t>IC2802</t>
  </si>
  <si>
    <t>11h24m30.3s</t>
  </si>
  <si>
    <t>very faint, very small, irregular figure, nuclear, very difficult</t>
  </si>
  <si>
    <t>vF, vS, iF, N, v diffic</t>
  </si>
  <si>
    <t>IC2803</t>
  </si>
  <si>
    <t>11h24m35.3s</t>
  </si>
  <si>
    <t>+9h51m0s</t>
  </si>
  <si>
    <t>F, vS, E 70°</t>
  </si>
  <si>
    <t>IC2804</t>
  </si>
  <si>
    <t>11h24m55.7s</t>
  </si>
  <si>
    <t>+13h13m22s</t>
  </si>
  <si>
    <t>pB, cS, E 10°, exc N</t>
  </si>
  <si>
    <t>IC2805</t>
  </si>
  <si>
    <t>11h24m59.9s</t>
  </si>
  <si>
    <t>+14h0m54s</t>
  </si>
  <si>
    <t>very faint, small, round, brighter middle, difficult</t>
  </si>
  <si>
    <t>vF, S, R, bM, diffic</t>
  </si>
  <si>
    <t>IC2806</t>
  </si>
  <si>
    <t>11h25m15.2s</t>
  </si>
  <si>
    <t>+9h39m11s</t>
  </si>
  <si>
    <t>vF, S, iF, ? Annular</t>
  </si>
  <si>
    <t>IC2807</t>
  </si>
  <si>
    <t>11h25m17s</t>
  </si>
  <si>
    <t>+11h31m47s</t>
  </si>
  <si>
    <t>faint, small, irregular figure, 14th magnitude star attached on west</t>
  </si>
  <si>
    <t>F, S, iF, * 14 att p</t>
  </si>
  <si>
    <t>IC2808</t>
  </si>
  <si>
    <t>11h25m26.9s</t>
  </si>
  <si>
    <t>+9h7m57s</t>
  </si>
  <si>
    <t>IC2809</t>
  </si>
  <si>
    <t>11h25m37.8s</t>
  </si>
  <si>
    <t>+8h31m40s</t>
  </si>
  <si>
    <t>faint, small, round, brighter middle, possibly spiral</t>
  </si>
  <si>
    <t>F, S, R, bM, ? spir</t>
  </si>
  <si>
    <t>IC2810</t>
  </si>
  <si>
    <t>11h25m44.9s</t>
  </si>
  <si>
    <t>+14h40m36s</t>
  </si>
  <si>
    <t>pretty faint, pretty small, round, brighter middle, 14th magnitude star to southeast</t>
  </si>
  <si>
    <t>pF, pS, R, bM, * 14 sf</t>
  </si>
  <si>
    <t>IC2811</t>
  </si>
  <si>
    <t>11h25m44.7s</t>
  </si>
  <si>
    <t>+9h10m13s</t>
  </si>
  <si>
    <t>F, S, iF, * 14 f 30"</t>
  </si>
  <si>
    <t>IC2812</t>
  </si>
  <si>
    <t>11h25m55.9s</t>
  </si>
  <si>
    <t>+11h31m49s</t>
  </si>
  <si>
    <t>faint, small, extended 10°</t>
  </si>
  <si>
    <t>F, S, E 10°</t>
  </si>
  <si>
    <t>IC2813</t>
  </si>
  <si>
    <t>11h26m6.4s</t>
  </si>
  <si>
    <t>+11h15m22s</t>
  </si>
  <si>
    <t>IC2814</t>
  </si>
  <si>
    <t>11h26m8.6s</t>
  </si>
  <si>
    <t>+9h39m42s</t>
  </si>
  <si>
    <t>pF, vS, R, bM, * 14 nf 30"</t>
  </si>
  <si>
    <t>IC2815</t>
  </si>
  <si>
    <t>11h26m16.5s</t>
  </si>
  <si>
    <t>+12h48m13s</t>
  </si>
  <si>
    <t>IC2816</t>
  </si>
  <si>
    <t>11h26m18.3s</t>
  </si>
  <si>
    <t>+10h38m11s</t>
  </si>
  <si>
    <t>considerably faint, very small, round, brighter middle, spiral</t>
  </si>
  <si>
    <t>cF, vS, R, bM, spir</t>
  </si>
  <si>
    <t>IC2817</t>
  </si>
  <si>
    <t>11h26m18.9s</t>
  </si>
  <si>
    <t>+9h8m53s</t>
  </si>
  <si>
    <t>faint, very small, irregular figure, nuclear</t>
  </si>
  <si>
    <t>F, vS, iF, N</t>
  </si>
  <si>
    <t>IC2818</t>
  </si>
  <si>
    <t>11h26m26.8s</t>
  </si>
  <si>
    <t>+12h55m18s</t>
  </si>
  <si>
    <t>IC2819</t>
  </si>
  <si>
    <t>11h26m27.6s</t>
  </si>
  <si>
    <t>+13h50m41s</t>
  </si>
  <si>
    <t>cF, S, E 60°, bM</t>
  </si>
  <si>
    <t>IC2820</t>
  </si>
  <si>
    <t>+10h14m20s</t>
  </si>
  <si>
    <t>pF, vS, * 16 att n</t>
  </si>
  <si>
    <t>IC2821</t>
  </si>
  <si>
    <t>11h26m34.9s</t>
  </si>
  <si>
    <t>+13h57m45s</t>
  </si>
  <si>
    <t>IC2822</t>
  </si>
  <si>
    <t>11h26m34s</t>
  </si>
  <si>
    <t>faint, pretty large, extended 110°, brighter middle, 14th magnitude star to south</t>
  </si>
  <si>
    <t>F, pL, E 110°, bM, * 14 s</t>
  </si>
  <si>
    <t>IC2823</t>
  </si>
  <si>
    <t>11h26m44.6s</t>
  </si>
  <si>
    <t>+12h50m52s</t>
  </si>
  <si>
    <t>pretty faint, small, extended 20°, possibly binuclear</t>
  </si>
  <si>
    <t>pF, S, E 20°, biN ?</t>
  </si>
  <si>
    <t>IC2824</t>
  </si>
  <si>
    <t>11h27m4.8s</t>
  </si>
  <si>
    <t>+14h5m7s</t>
  </si>
  <si>
    <t>IC2825</t>
  </si>
  <si>
    <t>11h27m3.6s</t>
  </si>
  <si>
    <t>+8h26m39s</t>
  </si>
  <si>
    <t>F, S, iF, N, * 15 att sf</t>
  </si>
  <si>
    <t>IC2826</t>
  </si>
  <si>
    <t>11h27m6.1s</t>
  </si>
  <si>
    <t>+13h14m19s</t>
  </si>
  <si>
    <t>pretty faint, considerably small, nuclear</t>
  </si>
  <si>
    <t>pF, cS, N</t>
  </si>
  <si>
    <t>IC2827</t>
  </si>
  <si>
    <t>11h27m9.8s</t>
  </si>
  <si>
    <t>+11h30m52s</t>
  </si>
  <si>
    <t>faint, extremely small, 14th magnitude star to southeast</t>
  </si>
  <si>
    <t>F, eS, * 14 sf</t>
  </si>
  <si>
    <t>IC2828</t>
  </si>
  <si>
    <t>+8h43m56s</t>
  </si>
  <si>
    <t>pF, cS, E 65°, bM, 2 st p</t>
  </si>
  <si>
    <t>IC2829</t>
  </si>
  <si>
    <t>11h27m14.9s</t>
  </si>
  <si>
    <t>+10h19m22s</t>
  </si>
  <si>
    <t>cF, vS, R, bM, spir, * 12 s</t>
  </si>
  <si>
    <t>IC2830</t>
  </si>
  <si>
    <t>11h27m21.7s</t>
  </si>
  <si>
    <t>+7h48m51s</t>
  </si>
  <si>
    <t>IC2831</t>
  </si>
  <si>
    <t>11h27m22.7s</t>
  </si>
  <si>
    <t>+8h58m45s</t>
  </si>
  <si>
    <t>IC2832</t>
  </si>
  <si>
    <t>11h27m25s</t>
  </si>
  <si>
    <t>+13h59m23s</t>
  </si>
  <si>
    <t>IC2833</t>
  </si>
  <si>
    <t>11h27m26.1s</t>
  </si>
  <si>
    <t>+13h36m10s</t>
  </si>
  <si>
    <t>vF, S, iF, diffic, * 14 att ? np</t>
  </si>
  <si>
    <t>IC2834</t>
  </si>
  <si>
    <t>11h27m31.8s</t>
  </si>
  <si>
    <t>+13h34m14s</t>
  </si>
  <si>
    <t>vF, S, iF, diffic, other neb att f</t>
  </si>
  <si>
    <t>IC2835</t>
  </si>
  <si>
    <t>11h27m31.5s</t>
  </si>
  <si>
    <t>+12h8m36s</t>
  </si>
  <si>
    <t>considerably faint, very small, round, brighter middle, 14th magnitude star to east</t>
  </si>
  <si>
    <t>cF, vS, R, bM, * 14 f</t>
  </si>
  <si>
    <t>IC2836</t>
  </si>
  <si>
    <t>11h27m37.3s</t>
  </si>
  <si>
    <t>+9h5m8s</t>
  </si>
  <si>
    <t>F, vS, neb * 15 n 1'</t>
  </si>
  <si>
    <t>IC2837</t>
  </si>
  <si>
    <t>11h27m41.9s</t>
  </si>
  <si>
    <t>+10h18m47s</t>
  </si>
  <si>
    <t>IC2838</t>
  </si>
  <si>
    <t>11h27m45.2s</t>
  </si>
  <si>
    <t>+14h0m42s</t>
  </si>
  <si>
    <t>IC2839</t>
  </si>
  <si>
    <t>11h27m45.5s</t>
  </si>
  <si>
    <t>+10h49m11s</t>
  </si>
  <si>
    <t>IC2840</t>
  </si>
  <si>
    <t>dE</t>
  </si>
  <si>
    <t>11h27m47.5s</t>
  </si>
  <si>
    <t>+13h25m34s</t>
  </si>
  <si>
    <t>IC2841</t>
  </si>
  <si>
    <t>11h27m48.9s</t>
  </si>
  <si>
    <t>+12h36m6s</t>
  </si>
  <si>
    <t>faint, very small, round, brighter middle, difficult</t>
  </si>
  <si>
    <t>F, vS, R, bM, diffic</t>
  </si>
  <si>
    <t>IC2842</t>
  </si>
  <si>
    <t>11h27m47.7s</t>
  </si>
  <si>
    <t>+9h39m7s</t>
  </si>
  <si>
    <t>IC2843</t>
  </si>
  <si>
    <t>11h27m58.1s</t>
  </si>
  <si>
    <t>+13h11m2s</t>
  </si>
  <si>
    <t>F, cS, R, bM, diffic, * 8.7 f 2'</t>
  </si>
  <si>
    <t>IC2844</t>
  </si>
  <si>
    <t>+11h27m12s</t>
  </si>
  <si>
    <t>IC2845</t>
  </si>
  <si>
    <t>11h28m0.4s</t>
  </si>
  <si>
    <t>+12h31m49s</t>
  </si>
  <si>
    <t>IC2846</t>
  </si>
  <si>
    <t>+11h9m31s</t>
  </si>
  <si>
    <t>pretty bright, very small, round, brighter middle, 12th magnitude star to east</t>
  </si>
  <si>
    <t>pB, vS, R, bM, * 12 f</t>
  </si>
  <si>
    <t>IC2847</t>
  </si>
  <si>
    <t>11h28m3.4s</t>
  </si>
  <si>
    <t>+13h55m46s</t>
  </si>
  <si>
    <t>IC2848</t>
  </si>
  <si>
    <t>11h28m13.6s</t>
  </si>
  <si>
    <t>+13h1m51s</t>
  </si>
  <si>
    <t>IC2849</t>
  </si>
  <si>
    <t>11h28m11.7s</t>
  </si>
  <si>
    <t>+9h5m38s</t>
  </si>
  <si>
    <t>IC2850</t>
  </si>
  <si>
    <t>11h28m13s</t>
  </si>
  <si>
    <t>+9h3m46s</t>
  </si>
  <si>
    <t>pB, S, E 120°, bM, * 13 sf</t>
  </si>
  <si>
    <t>IC2851</t>
  </si>
  <si>
    <t>11h28m14.5s</t>
  </si>
  <si>
    <t>+11h23m39s</t>
  </si>
  <si>
    <t>IC2852</t>
  </si>
  <si>
    <t>11h28m14s</t>
  </si>
  <si>
    <t>+9h48m4s</t>
  </si>
  <si>
    <t>faint, very small, round, brighter middle, spiral, possibly nebulous star</t>
  </si>
  <si>
    <t>F, vS, R, bM, spir, ? neb *</t>
  </si>
  <si>
    <t>IC2853</t>
  </si>
  <si>
    <t>11h28m14.8s</t>
  </si>
  <si>
    <t>+9h8m52s</t>
  </si>
  <si>
    <t>pretty bright, pretty small, extended 160°, brighter middle</t>
  </si>
  <si>
    <t>pB, pS, E 160°, bM</t>
  </si>
  <si>
    <t>IC2854</t>
  </si>
  <si>
    <t>11h28m19.8s</t>
  </si>
  <si>
    <t>+8h58m8s</t>
  </si>
  <si>
    <t>IC2855</t>
  </si>
  <si>
    <t>11h28m24.9s</t>
  </si>
  <si>
    <t>+9h41m16s</t>
  </si>
  <si>
    <t>IC2856</t>
  </si>
  <si>
    <t>11h28m16.3s</t>
  </si>
  <si>
    <t>-12h53m26s</t>
  </si>
  <si>
    <t>very faint, very small, considerably extended 30°, considerably brighter middle, suspected</t>
  </si>
  <si>
    <t>vF, vS, cE 30°, cbM, susp</t>
  </si>
  <si>
    <t>IC2857</t>
  </si>
  <si>
    <t>11h28m31s</t>
  </si>
  <si>
    <t>+9h6m14s</t>
  </si>
  <si>
    <t>faint, pretty large, much extended 160°, brighter middle</t>
  </si>
  <si>
    <t>F, pL, mE 160°, bM</t>
  </si>
  <si>
    <t>IC2858</t>
  </si>
  <si>
    <t>11h28m36s</t>
  </si>
  <si>
    <t>+13h39m41s</t>
  </si>
  <si>
    <t>IC2859</t>
  </si>
  <si>
    <t>11h28m41.8s</t>
  </si>
  <si>
    <t>+9h6m32s</t>
  </si>
  <si>
    <t>IC2860</t>
  </si>
  <si>
    <t>11h28m44.6s</t>
  </si>
  <si>
    <t>+14h2m29s</t>
  </si>
  <si>
    <t>IC2861</t>
  </si>
  <si>
    <t>11h28m58.9s</t>
  </si>
  <si>
    <t>+38h51m7s</t>
  </si>
  <si>
    <t>IC2862</t>
  </si>
  <si>
    <t>11h28m43.3s</t>
  </si>
  <si>
    <t>+10h7m40s</t>
  </si>
  <si>
    <t>IC2863</t>
  </si>
  <si>
    <t>+9h5m43s</t>
  </si>
  <si>
    <t>pretty faint, very small, extended 110°, brighter middle</t>
  </si>
  <si>
    <t>pF, vS, E 110°, bM</t>
  </si>
  <si>
    <t>IC2864</t>
  </si>
  <si>
    <t>11h28m59.6s</t>
  </si>
  <si>
    <t>+12h22m5s</t>
  </si>
  <si>
    <t>IC2865</t>
  </si>
  <si>
    <t>11h28m59.7s</t>
  </si>
  <si>
    <t>+9h6m55s</t>
  </si>
  <si>
    <t>IC2866</t>
  </si>
  <si>
    <t>11h29m0s</t>
  </si>
  <si>
    <t>+9h2m32s</t>
  </si>
  <si>
    <t>very small, very faint, irregular figure</t>
  </si>
  <si>
    <t>vS, vF, iF</t>
  </si>
  <si>
    <t>IC2867</t>
  </si>
  <si>
    <t>11h29m0.4s</t>
  </si>
  <si>
    <t>+9h5m24s</t>
  </si>
  <si>
    <t>considerably faint, small, irregular figure, very difficult, 14th magnitude star to northwest</t>
  </si>
  <si>
    <t>cF, S, iF, v diffic, * 14 np</t>
  </si>
  <si>
    <t>IC2868</t>
  </si>
  <si>
    <t>11h29m5.7s</t>
  </si>
  <si>
    <t>+9h5m42s</t>
  </si>
  <si>
    <t>IC2869</t>
  </si>
  <si>
    <t>11h29m8.7s</t>
  </si>
  <si>
    <t>+9h1m4s</t>
  </si>
  <si>
    <t>IC2870</t>
  </si>
  <si>
    <t>11h29m12.3s</t>
  </si>
  <si>
    <t>+11h51m54s</t>
  </si>
  <si>
    <t>faint, pretty large, diffuse, difficult</t>
  </si>
  <si>
    <t>F, pL, dif, diffic</t>
  </si>
  <si>
    <t>IC2871</t>
  </si>
  <si>
    <t>11h29m20.6s</t>
  </si>
  <si>
    <t>+8h36m9s</t>
  </si>
  <si>
    <t>faint, considerably small, extended 85°</t>
  </si>
  <si>
    <t>F, cS, E 85°</t>
  </si>
  <si>
    <t>IC2872</t>
  </si>
  <si>
    <t>11h28m16s</t>
  </si>
  <si>
    <t>-62h59m0s</t>
  </si>
  <si>
    <t>very large, much extended, brighter middle</t>
  </si>
  <si>
    <t>vL, mE, bM</t>
  </si>
  <si>
    <t>IC2873</t>
  </si>
  <si>
    <t>11h29m27.5s</t>
  </si>
  <si>
    <t>+13h13m12s</t>
  </si>
  <si>
    <t>pretty faint, considerably small, extended 5°, brighter middle</t>
  </si>
  <si>
    <t>pF, cS, E 5°, bM</t>
  </si>
  <si>
    <t>IC2874</t>
  </si>
  <si>
    <t>11h29m27.3s</t>
  </si>
  <si>
    <t>+10h37m40s</t>
  </si>
  <si>
    <t>faint, pretty small, irregular figure, possible cluster</t>
  </si>
  <si>
    <t>F, pS, iF, ? Cl</t>
  </si>
  <si>
    <t>IC2875</t>
  </si>
  <si>
    <t>11h29m34.9s</t>
  </si>
  <si>
    <t>+12h59m27s</t>
  </si>
  <si>
    <t>faint, very small, round, brighter middle, 9th magnitude star to southwest</t>
  </si>
  <si>
    <t>F, vS, R, bM, * 9 sp</t>
  </si>
  <si>
    <t>IC2876</t>
  </si>
  <si>
    <t>11h29m33.5s</t>
  </si>
  <si>
    <t>+9h0m58s</t>
  </si>
  <si>
    <t>IC2877</t>
  </si>
  <si>
    <t>11h29m37.5s</t>
  </si>
  <si>
    <t>+12h51m13s</t>
  </si>
  <si>
    <t>IC2878</t>
  </si>
  <si>
    <t>11h29m38.2s</t>
  </si>
  <si>
    <t>+9h58m3s</t>
  </si>
  <si>
    <t>pretty faint, very small, irregular figure, nuclear</t>
  </si>
  <si>
    <t>pF, vS, iF, N</t>
  </si>
  <si>
    <t>IC2879</t>
  </si>
  <si>
    <t>+9h0m49s</t>
  </si>
  <si>
    <t>IC2880</t>
  </si>
  <si>
    <t>11h29m53.1s</t>
  </si>
  <si>
    <t>+13h11m56s</t>
  </si>
  <si>
    <t>IC2881</t>
  </si>
  <si>
    <t>E+S</t>
  </si>
  <si>
    <t>11h29m54.5s</t>
  </si>
  <si>
    <t>+12h30m41s</t>
  </si>
  <si>
    <t>IC2882</t>
  </si>
  <si>
    <t>11h30m9.5s</t>
  </si>
  <si>
    <t>+11h59m23s</t>
  </si>
  <si>
    <t>IC2883</t>
  </si>
  <si>
    <t>11h30m15.7s</t>
  </si>
  <si>
    <t>+10h54m41s</t>
  </si>
  <si>
    <t>IC2884</t>
  </si>
  <si>
    <t>11h27m42.6s</t>
  </si>
  <si>
    <t>-79h44m9s</t>
  </si>
  <si>
    <t>eeF, eS, cE 145°, susp</t>
  </si>
  <si>
    <t>IC2885</t>
  </si>
  <si>
    <t>11h30m22.5s</t>
  </si>
  <si>
    <t>+9h46m20s</t>
  </si>
  <si>
    <t>IC2886</t>
  </si>
  <si>
    <t>11h30m24.4s</t>
  </si>
  <si>
    <t>+11h33m47s</t>
  </si>
  <si>
    <t>faint, very small, round, brighter middle, spiral, 12th magnitude star to southeast</t>
  </si>
  <si>
    <t>F, vS, R, bM, spir, * 12 sf</t>
  </si>
  <si>
    <t>IC2887</t>
  </si>
  <si>
    <t>11h30m29.5s</t>
  </si>
  <si>
    <t>+9h23m18s</t>
  </si>
  <si>
    <t>faint, pretty small, extended, curved, 10th magnitude star 1 arcmin to northeast</t>
  </si>
  <si>
    <t>F, pS, E, curved, * 10 nf 1'</t>
  </si>
  <si>
    <t>IC2888</t>
  </si>
  <si>
    <t>11h30m35s</t>
  </si>
  <si>
    <t>+9h54m32s</t>
  </si>
  <si>
    <t>pretty faint, very small, extended 130°</t>
  </si>
  <si>
    <t>pF, vS, E 130°</t>
  </si>
  <si>
    <t>IC2889</t>
  </si>
  <si>
    <t>11h30m28.9s</t>
  </si>
  <si>
    <t>extremely faint, very small, considerably extended 165°, brighter middle, suspected</t>
  </si>
  <si>
    <t>eF, vS, cE 165°, bM, susp</t>
  </si>
  <si>
    <t>IC2890</t>
  </si>
  <si>
    <t>11h30m46.1s</t>
  </si>
  <si>
    <t>+13h10m57s</t>
  </si>
  <si>
    <t>IC2891</t>
  </si>
  <si>
    <t>11h30m48.1s</t>
  </si>
  <si>
    <t>+12h40m39s</t>
  </si>
  <si>
    <t>IC2892</t>
  </si>
  <si>
    <t>11h30m49s</t>
  </si>
  <si>
    <t>+10h35m17s</t>
  </si>
  <si>
    <t>IC2893</t>
  </si>
  <si>
    <t>11h30m53.4s</t>
  </si>
  <si>
    <t>+13h23m24s</t>
  </si>
  <si>
    <t>F, eS, E 345°</t>
  </si>
  <si>
    <t>IC2894</t>
  </si>
  <si>
    <t>11h30m57.4s</t>
  </si>
  <si>
    <t>+13h14m6s</t>
  </si>
  <si>
    <t>IC2895</t>
  </si>
  <si>
    <t>11h30m57.3s</t>
  </si>
  <si>
    <t>+9h58m39s</t>
  </si>
  <si>
    <t>IC2896</t>
  </si>
  <si>
    <t>11h31m13.4s</t>
  </si>
  <si>
    <t>+12h21m2s</t>
  </si>
  <si>
    <t>pB, vS, annular ?</t>
  </si>
  <si>
    <t>IC2897</t>
  </si>
  <si>
    <t>11h31m19.5s</t>
  </si>
  <si>
    <t>+11h32m57s</t>
  </si>
  <si>
    <t>cF, vS, R, bM, * 14 p</t>
  </si>
  <si>
    <t>IC2898</t>
  </si>
  <si>
    <t>11h31m20.4s</t>
  </si>
  <si>
    <t>+13h20m8s</t>
  </si>
  <si>
    <t>vF, S, iF, * 14 nf</t>
  </si>
  <si>
    <t>IC2899</t>
  </si>
  <si>
    <t>+10h38m6s</t>
  </si>
  <si>
    <t>F, S, E 350°, ? st</t>
  </si>
  <si>
    <t>IC2900</t>
  </si>
  <si>
    <t>11h31m29.6s</t>
  </si>
  <si>
    <t>+13h10m4s</t>
  </si>
  <si>
    <t>IC2901</t>
  </si>
  <si>
    <t>11h31m32.1s</t>
  </si>
  <si>
    <t>+12h42m1s</t>
  </si>
  <si>
    <t>IC2902</t>
  </si>
  <si>
    <t>11h31m33.2s</t>
  </si>
  <si>
    <t>+14h13m21s</t>
  </si>
  <si>
    <t>IC2903</t>
  </si>
  <si>
    <t>11h31m40.8s</t>
  </si>
  <si>
    <t>+12h38m32s</t>
  </si>
  <si>
    <t>IC2904</t>
  </si>
  <si>
    <t>11h31m42.5s</t>
  </si>
  <si>
    <t>+13h11m5s</t>
  </si>
  <si>
    <t>FN in vF, dif neb</t>
  </si>
  <si>
    <t>IC2905</t>
  </si>
  <si>
    <t>11h31m47.1s</t>
  </si>
  <si>
    <t>+9h6m25s</t>
  </si>
  <si>
    <t>vF, S, R, bM, * 14 nf</t>
  </si>
  <si>
    <t>IC2906</t>
  </si>
  <si>
    <t>11h31m49.6s</t>
  </si>
  <si>
    <t>+13h7m58s</t>
  </si>
  <si>
    <t>IC2907</t>
  </si>
  <si>
    <t>11h31m49s</t>
  </si>
  <si>
    <t>+9h53m57s</t>
  </si>
  <si>
    <t>IC2908</t>
  </si>
  <si>
    <t>11h31m50.6s</t>
  </si>
  <si>
    <t>+12h56m17s</t>
  </si>
  <si>
    <t>very faint, small, irregular figure, 13th magnitude star to southwest</t>
  </si>
  <si>
    <t>vF, S, iF, * 13 sp</t>
  </si>
  <si>
    <t>IC2909</t>
  </si>
  <si>
    <t>11h31m50.9s</t>
  </si>
  <si>
    <t>IC2910</t>
  </si>
  <si>
    <t>11h31m54.6s</t>
  </si>
  <si>
    <t>-9h43m29s</t>
  </si>
  <si>
    <t>very faint, very small, suddenly brighter middle like a 13th-magnitude star</t>
  </si>
  <si>
    <t>vF, vS, sbM * 13</t>
  </si>
  <si>
    <t>IC2911</t>
  </si>
  <si>
    <t>11h32m5.3s</t>
  </si>
  <si>
    <t>+12h58m41s</t>
  </si>
  <si>
    <t>vF, cS, iF, other nf</t>
  </si>
  <si>
    <t>IC2912</t>
  </si>
  <si>
    <t>11h32m7s</t>
  </si>
  <si>
    <t>+11h42m37s</t>
  </si>
  <si>
    <t>IC2913</t>
  </si>
  <si>
    <t>11h31m51.3s</t>
  </si>
  <si>
    <t>-30h24m38s</t>
  </si>
  <si>
    <t>B, pS, R, sf 3717</t>
  </si>
  <si>
    <t>IC2914</t>
  </si>
  <si>
    <t>11h32m12.4s</t>
  </si>
  <si>
    <t>+13h29m31s</t>
  </si>
  <si>
    <t>IC2915</t>
  </si>
  <si>
    <t>11h32m15.6s</t>
  </si>
  <si>
    <t>+14h29m2s</t>
  </si>
  <si>
    <t>IC2916</t>
  </si>
  <si>
    <t>11h32m16.1s</t>
  </si>
  <si>
    <t>+11h41m2s</t>
  </si>
  <si>
    <t>IC2917</t>
  </si>
  <si>
    <t>11h32m19.4s</t>
  </si>
  <si>
    <t>+10h56m45s</t>
  </si>
  <si>
    <t>IC2918</t>
  </si>
  <si>
    <t>11h32m26.2s</t>
  </si>
  <si>
    <t>+13h14m55s</t>
  </si>
  <si>
    <t>very faint, small, extended 100°, brighter middle</t>
  </si>
  <si>
    <t>vF, S, E 100°, bM</t>
  </si>
  <si>
    <t>IC2919</t>
  </si>
  <si>
    <t>11h32m35s</t>
  </si>
  <si>
    <t>+14h11m25s</t>
  </si>
  <si>
    <t>IC2920</t>
  </si>
  <si>
    <t>11h32m49s</t>
  </si>
  <si>
    <t>+12h33m26s</t>
  </si>
  <si>
    <t>IC2921</t>
  </si>
  <si>
    <t>11h32m49.2s</t>
  </si>
  <si>
    <t>+10h17m49s</t>
  </si>
  <si>
    <t>considerably faint, small, round, brighter middle, spiral</t>
  </si>
  <si>
    <t>cF, S, R, bM, spir</t>
  </si>
  <si>
    <t>IC2922</t>
  </si>
  <si>
    <t>11h32m51.3s</t>
  </si>
  <si>
    <t>IC2923</t>
  </si>
  <si>
    <t>11h32m53.7s</t>
  </si>
  <si>
    <t>very faint, considerably small, irregular figure, nuclear, difficult, 10th magnitude star to southeast</t>
  </si>
  <si>
    <t>vF, cS, iF, N, diffic, * 10 sf</t>
  </si>
  <si>
    <t>IC2924</t>
  </si>
  <si>
    <t>11h32m52.3s</t>
  </si>
  <si>
    <t>+9h1m26s</t>
  </si>
  <si>
    <t>very faint, small, irregular figure, nuclear, 11th magnitude star to northeast</t>
  </si>
  <si>
    <t>vF, S, iF, N, * 11 nf</t>
  </si>
  <si>
    <t>IC2925</t>
  </si>
  <si>
    <t>11h33m13.2s</t>
  </si>
  <si>
    <t>+34h15m56s</t>
  </si>
  <si>
    <t>faint, small, round, gradually brighter middle, binuclear</t>
  </si>
  <si>
    <t>F, S, R, gbM, biN</t>
  </si>
  <si>
    <t>IC2926</t>
  </si>
  <si>
    <t>11h33m4.7s</t>
  </si>
  <si>
    <t>+12h26m13s</t>
  </si>
  <si>
    <t>pretty faint, very small, round, stellar nucleus, spiral</t>
  </si>
  <si>
    <t>pF, vS, R, stell N, spir</t>
  </si>
  <si>
    <t>IC2927</t>
  </si>
  <si>
    <t>11h33m4.9s</t>
  </si>
  <si>
    <t>+13h5m7s</t>
  </si>
  <si>
    <t>IC2928</t>
  </si>
  <si>
    <t>11h33m29.9s</t>
  </si>
  <si>
    <t>+34h18m58s</t>
  </si>
  <si>
    <t>IC2929</t>
  </si>
  <si>
    <t>11h33m31.4s</t>
  </si>
  <si>
    <t>+12h8m12s</t>
  </si>
  <si>
    <t>IC2930</t>
  </si>
  <si>
    <t>11h33m44.1s</t>
  </si>
  <si>
    <t>+10h5m19s</t>
  </si>
  <si>
    <t>F, cS, E 60°, bM</t>
  </si>
  <si>
    <t>IC2931</t>
  </si>
  <si>
    <t>11h33m50.6s</t>
  </si>
  <si>
    <t>+12h28m0s</t>
  </si>
  <si>
    <t>F, cS, N, ?neb * 15 np 20"</t>
  </si>
  <si>
    <t>IC2932</t>
  </si>
  <si>
    <t>11h33m53.5s</t>
  </si>
  <si>
    <t>+10h32m38s</t>
  </si>
  <si>
    <t>IC2933</t>
  </si>
  <si>
    <t>11h34m12.7s</t>
  </si>
  <si>
    <t>+34h18m46s</t>
  </si>
  <si>
    <t>faint, considerably small, extended north-south, gradually brighter middle and nucleus</t>
  </si>
  <si>
    <t>F, cS, E ns, gbMN</t>
  </si>
  <si>
    <t>IC2934</t>
  </si>
  <si>
    <t>11h34m19.6s</t>
  </si>
  <si>
    <t>+13h19m17s</t>
  </si>
  <si>
    <t>F, S, iF, * 14 nf ?'</t>
  </si>
  <si>
    <t>IC2935</t>
  </si>
  <si>
    <t>11h34m48.6s</t>
  </si>
  <si>
    <t>+10h15m0s</t>
  </si>
  <si>
    <t>considerably faint, considerably small, extended 130°, brighter middle</t>
  </si>
  <si>
    <t>cF, cS, E 130°, bM</t>
  </si>
  <si>
    <t>IC2936</t>
  </si>
  <si>
    <t>11h34m56.9s</t>
  </si>
  <si>
    <t>IC2937</t>
  </si>
  <si>
    <t>11h35m3.4s</t>
  </si>
  <si>
    <t>+10h6m14s</t>
  </si>
  <si>
    <t>IC2938</t>
  </si>
  <si>
    <t>11h35m36.3s</t>
  </si>
  <si>
    <t>+13h40m48s</t>
  </si>
  <si>
    <t>considerably faint, pretty small</t>
  </si>
  <si>
    <t>cF, pS</t>
  </si>
  <si>
    <t>IC2939</t>
  </si>
  <si>
    <t>11h35m38s</t>
  </si>
  <si>
    <t>+10h41m50s</t>
  </si>
  <si>
    <t>IC2940</t>
  </si>
  <si>
    <t>11h36m2.7s</t>
  </si>
  <si>
    <t>+21h57m42s</t>
  </si>
  <si>
    <t>eF, susp [not seen at Birr]</t>
  </si>
  <si>
    <t>IC2941</t>
  </si>
  <si>
    <t>11h36m10s</t>
  </si>
  <si>
    <t>+10h3m21s</t>
  </si>
  <si>
    <t>F, pL R, bM, spir</t>
  </si>
  <si>
    <t>IC2942</t>
  </si>
  <si>
    <t>11h36m12s</t>
  </si>
  <si>
    <t>+11h48m55s</t>
  </si>
  <si>
    <t>IC2943</t>
  </si>
  <si>
    <t>11h36m42.2s</t>
  </si>
  <si>
    <t>+54h50m45s</t>
  </si>
  <si>
    <t>IC2944</t>
  </si>
  <si>
    <t>奔鸡星云</t>
  </si>
  <si>
    <t>11h35m47.3s</t>
  </si>
  <si>
    <t>-63h1m11s</t>
  </si>
  <si>
    <t>* 3.4 in eL neb</t>
  </si>
  <si>
    <t>IC2945</t>
  </si>
  <si>
    <t>11h37m4.2s</t>
  </si>
  <si>
    <t>+12h55m37s</t>
  </si>
  <si>
    <t>IC2946</t>
  </si>
  <si>
    <t>11h37m29.6s</t>
  </si>
  <si>
    <t>+32h15m11s</t>
  </si>
  <si>
    <t>IC2947</t>
  </si>
  <si>
    <t>11h37m31.1s</t>
  </si>
  <si>
    <t>+31h21m42s</t>
  </si>
  <si>
    <t>faint, considerably small, round, gradually brighter middle, mottled but not resolved</t>
  </si>
  <si>
    <t>F, cS, R, gbM, r</t>
  </si>
  <si>
    <t>IC2948</t>
  </si>
  <si>
    <t>海山五星云</t>
  </si>
  <si>
    <t>11h39m5s</t>
  </si>
  <si>
    <t>-63h26m36s</t>
  </si>
  <si>
    <t>most extremely large</t>
  </si>
  <si>
    <t>eeL</t>
  </si>
  <si>
    <t>IC2949</t>
  </si>
  <si>
    <t>11h40m54.4s</t>
  </si>
  <si>
    <t>-46h27m16s</t>
  </si>
  <si>
    <t>IC2950</t>
  </si>
  <si>
    <t>11h41m37.8s</t>
  </si>
  <si>
    <t>+37h59m33s</t>
  </si>
  <si>
    <t>faint, considerably small, a little extended east-west, gradually brighter middle, mottled but not resolved</t>
  </si>
  <si>
    <t>F, cS, lE pf, gbM, r</t>
  </si>
  <si>
    <t>IC2951</t>
  </si>
  <si>
    <t>11h43m24.4s</t>
  </si>
  <si>
    <t>+19h44m59s</t>
  </si>
  <si>
    <t>* 14 in neb</t>
  </si>
  <si>
    <t>IC2952</t>
  </si>
  <si>
    <t>11h44m17.1s</t>
  </si>
  <si>
    <t>+33h21m4s</t>
  </si>
  <si>
    <t>pretty faint, small, diffuse, very little brighter middle</t>
  </si>
  <si>
    <t>pF, S, dif, vlbM</t>
  </si>
  <si>
    <t>IC2953</t>
  </si>
  <si>
    <t>faint, considerably small, diffuse, very little brighter middle</t>
  </si>
  <si>
    <t>F, cS, dif, vlbM</t>
  </si>
  <si>
    <t>IC2954</t>
  </si>
  <si>
    <t>11h45m3.2s</t>
  </si>
  <si>
    <t>+26h47m12s</t>
  </si>
  <si>
    <t>faint, small, round, gradually brighter middle, stellar</t>
  </si>
  <si>
    <t>F, S, R, gbM, stell</t>
  </si>
  <si>
    <t>IC2955</t>
  </si>
  <si>
    <t>+19h37m22s</t>
  </si>
  <si>
    <t>eF, close to III 385</t>
  </si>
  <si>
    <t>IC2956</t>
  </si>
  <si>
    <t>11h45m17.6s</t>
  </si>
  <si>
    <t>+26h46m0s</t>
  </si>
  <si>
    <t>pretty faint, considerably small, a little brighter middle</t>
  </si>
  <si>
    <t>pF, cS, lbM</t>
  </si>
  <si>
    <t>IC2957</t>
  </si>
  <si>
    <t>11h45m37s</t>
  </si>
  <si>
    <t>+31h17m58s</t>
  </si>
  <si>
    <t>F, S, R, * 14 nr f</t>
  </si>
  <si>
    <t>IC2958</t>
  </si>
  <si>
    <t>11h45m42.3s</t>
  </si>
  <si>
    <t>+33h9m15s</t>
  </si>
  <si>
    <t>IC2959</t>
  </si>
  <si>
    <t>IC2960</t>
  </si>
  <si>
    <t>11h46m19.7s</t>
  </si>
  <si>
    <t>IC2961</t>
  </si>
  <si>
    <t>11h47m49.5s</t>
  </si>
  <si>
    <t>+31h20m43s</t>
  </si>
  <si>
    <t>IC2962</t>
  </si>
  <si>
    <t>11h49m5.7s</t>
  </si>
  <si>
    <t>-12h18m40s</t>
  </si>
  <si>
    <t>extremely faint, considerably large, irregularly round, 2 stars to north, east</t>
  </si>
  <si>
    <t>eF, cL, iR, 2 st n, f</t>
  </si>
  <si>
    <t>IC2963</t>
  </si>
  <si>
    <t>v diffic, * 12 npp 20"</t>
  </si>
  <si>
    <t>IC2964</t>
  </si>
  <si>
    <t>11h49m52.4s</t>
  </si>
  <si>
    <t>+12h3m1s</t>
  </si>
  <si>
    <t>eeF, eF * 3s f, 3' s</t>
  </si>
  <si>
    <t>IC2965</t>
  </si>
  <si>
    <t>bright, small, very much extended, with ray</t>
  </si>
  <si>
    <t>B, S, vmE, ray</t>
  </si>
  <si>
    <t>IC2966</t>
  </si>
  <si>
    <t>11h50m12.9s</t>
  </si>
  <si>
    <t>-64h52m17s</t>
  </si>
  <si>
    <t>pretty large, brighter middle</t>
  </si>
  <si>
    <t>pL, bM</t>
  </si>
  <si>
    <t>IC2967</t>
  </si>
  <si>
    <t>11h50m55.2s</t>
  </si>
  <si>
    <t>+30h51m4s</t>
  </si>
  <si>
    <t>pretty bright, very small, stellar nucleus</t>
  </si>
  <si>
    <t>pB, vS, stell N</t>
  </si>
  <si>
    <t>IC2968</t>
  </si>
  <si>
    <t>11h52m30.5s</t>
  </si>
  <si>
    <t>+20h37m33s</t>
  </si>
  <si>
    <t>eF, vS, 3937 f 12s</t>
  </si>
  <si>
    <t>IC2969</t>
  </si>
  <si>
    <t>11h52m31.2s</t>
  </si>
  <si>
    <t>-3h52m23s</t>
  </si>
  <si>
    <t>eF, pS, R, B * f 55s, np of 2</t>
  </si>
  <si>
    <t>IC2970</t>
  </si>
  <si>
    <t>11h53m9s</t>
  </si>
  <si>
    <t>-23h7m24s</t>
  </si>
  <si>
    <t>pB, S, R, II 623 f</t>
  </si>
  <si>
    <t>IC2971</t>
  </si>
  <si>
    <t>11h53m27.5s</t>
  </si>
  <si>
    <t>+30h41m51s</t>
  </si>
  <si>
    <t>IC2972</t>
  </si>
  <si>
    <t>vF, pS, R, 2 B st n, np, sf of 2</t>
  </si>
  <si>
    <t>IC2973</t>
  </si>
  <si>
    <t>11h53m50.7s</t>
  </si>
  <si>
    <t>+33h21m57s</t>
  </si>
  <si>
    <t>IC2974</t>
  </si>
  <si>
    <t>11h53m48.7s</t>
  </si>
  <si>
    <t>-5h10m6s</t>
  </si>
  <si>
    <t>most extremely faint, very small, a little extended</t>
  </si>
  <si>
    <t>eeF, vS, lE</t>
  </si>
  <si>
    <t>IC2975</t>
  </si>
  <si>
    <t>11h54m6s</t>
  </si>
  <si>
    <t>-5h33m42s</t>
  </si>
  <si>
    <t>eeF, vS, lE, 3 B st in line n, circle of st n</t>
  </si>
  <si>
    <t>IC2976</t>
  </si>
  <si>
    <t>vF, vS, R, vF * nr nf</t>
  </si>
  <si>
    <t>IC2977</t>
  </si>
  <si>
    <t>11h55m14.5s</t>
  </si>
  <si>
    <t>-37h41m46s</t>
  </si>
  <si>
    <t>eF, vS, * 7 sp</t>
  </si>
  <si>
    <t>IC2978</t>
  </si>
  <si>
    <t>11h56m23.1s</t>
  </si>
  <si>
    <t>+32h2m19s</t>
  </si>
  <si>
    <t>IC2979</t>
  </si>
  <si>
    <t>11h56m54.2s</t>
  </si>
  <si>
    <t>+32h9m31s</t>
  </si>
  <si>
    <t>IC2980</t>
  </si>
  <si>
    <t>11h57m30s</t>
  </si>
  <si>
    <t>-73h41m6s</t>
  </si>
  <si>
    <t>most extremely faint, extremely small, round, considerably brighter middle</t>
  </si>
  <si>
    <t>eeF, eS, R, cbM</t>
  </si>
  <si>
    <t>IC2981</t>
  </si>
  <si>
    <t>11h55m42.5s</t>
  </si>
  <si>
    <t>+32h11m24s</t>
  </si>
  <si>
    <t>IC2982</t>
  </si>
  <si>
    <t>11h57m51.3s</t>
  </si>
  <si>
    <t>+27h52m6s</t>
  </si>
  <si>
    <t>vF, stell, * 10 nr</t>
  </si>
  <si>
    <t>IC2983</t>
  </si>
  <si>
    <t>11h58m16s</t>
  </si>
  <si>
    <t>-2h6m36s</t>
  </si>
  <si>
    <t>IC2984</t>
  </si>
  <si>
    <t>11h59m7.2s</t>
  </si>
  <si>
    <t>faint, considerably small, round, very little brighter middle</t>
  </si>
  <si>
    <t>F, cS, R, vlbM</t>
  </si>
  <si>
    <t>IC2985</t>
  </si>
  <si>
    <t>11h59m12.5s</t>
  </si>
  <si>
    <t>+30h43m52s</t>
  </si>
  <si>
    <t>IC2986</t>
  </si>
  <si>
    <t>11h59m49.5s</t>
  </si>
  <si>
    <t>+30h50m42s</t>
  </si>
  <si>
    <t>IC2987</t>
  </si>
  <si>
    <t>12h3m24.6s</t>
  </si>
  <si>
    <t>+38h48m48s</t>
  </si>
  <si>
    <t>faint, small, nuclear, diffuse</t>
  </si>
  <si>
    <t>F, S, N, dif</t>
  </si>
  <si>
    <t>IC2988</t>
  </si>
  <si>
    <t>12h3m42.2s</t>
  </si>
  <si>
    <t>+3h25m46s</t>
  </si>
  <si>
    <t>eF, r, * 11.5 sf 2'.7</t>
  </si>
  <si>
    <t>IC2989</t>
  </si>
  <si>
    <t>vF, S, bM or 2 or 3 eF st inv</t>
  </si>
  <si>
    <t>IC2990</t>
  </si>
  <si>
    <t>12h4m38.5s</t>
  </si>
  <si>
    <t>+11h3m0s</t>
  </si>
  <si>
    <t>eF, R, poss planetary</t>
  </si>
  <si>
    <t>IC2991</t>
  </si>
  <si>
    <t>12h5m12.5s</t>
  </si>
  <si>
    <t>+10h38m24s</t>
  </si>
  <si>
    <t>eF, S, E 10°, bet 4082 and 83</t>
  </si>
  <si>
    <t>IC2992</t>
  </si>
  <si>
    <t>12h5m15.8s</t>
  </si>
  <si>
    <t>+30h51m19s</t>
  </si>
  <si>
    <t>IC2993</t>
  </si>
  <si>
    <t>12h5m38.3s</t>
  </si>
  <si>
    <t>+32h49m20s</t>
  </si>
  <si>
    <t>faint, small, nuclear, diffuse, mottled but not resolved</t>
  </si>
  <si>
    <t>F, S, N, dif, r</t>
  </si>
  <si>
    <t>IC2994</t>
  </si>
  <si>
    <t>12h5m27.9s</t>
  </si>
  <si>
    <t>+12h42m11s</t>
  </si>
  <si>
    <t>extremely faint, round, brighter middle</t>
  </si>
  <si>
    <t>eF, R, bM</t>
  </si>
  <si>
    <t>IC2995</t>
  </si>
  <si>
    <t>12h5m47s</t>
  </si>
  <si>
    <t>-27h56m30s</t>
  </si>
  <si>
    <t>vF, L, cE 120°, * 8 f</t>
  </si>
  <si>
    <t>IC2996</t>
  </si>
  <si>
    <t>12h5m48.5s</t>
  </si>
  <si>
    <t>-29h58m19s</t>
  </si>
  <si>
    <t>faint, very small, extended 20°, star to southwest</t>
  </si>
  <si>
    <t>F, vS, E 20°, * sp</t>
  </si>
  <si>
    <t>IC2997</t>
  </si>
  <si>
    <t>12h5m45s</t>
  </si>
  <si>
    <t>+20h16m54s</t>
  </si>
  <si>
    <t>eF, * 12 sf 2' [?=4090]</t>
  </si>
  <si>
    <t>IC2998</t>
  </si>
  <si>
    <t>12h5m54s</t>
  </si>
  <si>
    <t>very faint, others near</t>
  </si>
  <si>
    <t>vF, others near</t>
  </si>
  <si>
    <t>IC2999</t>
  </si>
  <si>
    <t>12h5m57.5s</t>
  </si>
  <si>
    <t>+31h20m54s</t>
  </si>
  <si>
    <t>very faint, very small, nuclear</t>
  </si>
  <si>
    <t>vF, vS, N</t>
  </si>
  <si>
    <t>IC3000</t>
  </si>
  <si>
    <t>12h6m8s</t>
  </si>
  <si>
    <t>-29h40m24s</t>
  </si>
  <si>
    <t>faint, indistinct (possible defect)</t>
  </si>
  <si>
    <t>F, indistinct (? defect)</t>
  </si>
  <si>
    <t>IC3001</t>
  </si>
  <si>
    <t>12h6m16.7s</t>
  </si>
  <si>
    <t>+33h31m34s</t>
  </si>
  <si>
    <t>IC3002</t>
  </si>
  <si>
    <t>12h7m4.2s</t>
  </si>
  <si>
    <t>+33h22m57s</t>
  </si>
  <si>
    <t>IC3003</t>
  </si>
  <si>
    <t>12h7m32.5s</t>
  </si>
  <si>
    <t>+32h48m48s</t>
  </si>
  <si>
    <t>faint, small, diffuse, nuclear, mottled but not resolved</t>
  </si>
  <si>
    <t>F, S, dif, N, r</t>
  </si>
  <si>
    <t>IC3004</t>
  </si>
  <si>
    <t>S RM</t>
  </si>
  <si>
    <t>12h7m10.2s</t>
  </si>
  <si>
    <t>+13h14m51s</t>
  </si>
  <si>
    <t>R, bM, magn. 15</t>
  </si>
  <si>
    <t>IC3005</t>
  </si>
  <si>
    <t>12h7m14.3s</t>
  </si>
  <si>
    <t>-30h1m34s</t>
  </si>
  <si>
    <t>faint, small, extremely extended 160°, stellar nucleus</t>
  </si>
  <si>
    <t>F, S, eE 160°, stell N</t>
  </si>
  <si>
    <t>IC3006</t>
  </si>
  <si>
    <t>12h7m22.9s</t>
  </si>
  <si>
    <t>+13h0m14s</t>
  </si>
  <si>
    <t>round, brighter middle, 15th magnitude</t>
  </si>
  <si>
    <t>R, bM, magn 15</t>
  </si>
  <si>
    <t>IC3007</t>
  </si>
  <si>
    <t>12h7m30.7s</t>
  </si>
  <si>
    <t>+31h20m55s</t>
  </si>
  <si>
    <t>IC3008</t>
  </si>
  <si>
    <t>12h7m51.8s</t>
  </si>
  <si>
    <t>round, brighter middle, magnitude 13.5</t>
  </si>
  <si>
    <t>R, bM, magn 13.5</t>
  </si>
  <si>
    <t>IC3009</t>
  </si>
  <si>
    <t>12h8m0.1s</t>
  </si>
  <si>
    <t>+12h38m47s</t>
  </si>
  <si>
    <t>pretty bright, considerably small</t>
  </si>
  <si>
    <t>pB, cS</t>
  </si>
  <si>
    <t>IC3010</t>
  </si>
  <si>
    <t>12h7m57.3s</t>
  </si>
  <si>
    <t>-30h20m22s</t>
  </si>
  <si>
    <t>eF, cS, R, 2 st 10 sf 8'</t>
  </si>
  <si>
    <t>IC3011</t>
  </si>
  <si>
    <t>pretty faint, pretty small, extended 110°</t>
  </si>
  <si>
    <t xml:space="preserve">pF, pS, E 110° </t>
  </si>
  <si>
    <t>IC3012</t>
  </si>
  <si>
    <t>12h8m23.9s</t>
  </si>
  <si>
    <t>+11h10m37s</t>
  </si>
  <si>
    <t>round, perhaps a planetary nebula, magnitude 15</t>
  </si>
  <si>
    <t>R, planetary ?, magn 15</t>
  </si>
  <si>
    <t>IC3013</t>
  </si>
  <si>
    <t>12h8m25.6s</t>
  </si>
  <si>
    <t>brighter middle, magnitude 15</t>
  </si>
  <si>
    <t>bM, magn 15</t>
  </si>
  <si>
    <t>IC3014</t>
  </si>
  <si>
    <t>12h8m36.9s</t>
  </si>
  <si>
    <t>+38h49m55s</t>
  </si>
  <si>
    <t>pretty bright, considerably small, round, gradually brighter middle, mottled but not resolved</t>
  </si>
  <si>
    <t>pB, cS, R, gbM, r</t>
  </si>
  <si>
    <t>IC3015</t>
  </si>
  <si>
    <t>12h9m0.1s</t>
  </si>
  <si>
    <t>-31h31m10s</t>
  </si>
  <si>
    <t>pB, mE 45°, * 10.5 sf 1'</t>
  </si>
  <si>
    <t>IC3016</t>
  </si>
  <si>
    <t>12h9m18.5s</t>
  </si>
  <si>
    <t>+11h25m47s</t>
  </si>
  <si>
    <t>IC3017</t>
  </si>
  <si>
    <t>12h9m22.7s</t>
  </si>
  <si>
    <t>+13h37m7s</t>
  </si>
  <si>
    <t>round, brighter middle, diffuse, magnitude 14.5</t>
  </si>
  <si>
    <t>R, bM, dif, magn 14.5</t>
  </si>
  <si>
    <t>IC3018</t>
  </si>
  <si>
    <t>12h9m24.9s</t>
  </si>
  <si>
    <t>+13h34m32s</t>
  </si>
  <si>
    <t>round, a little brighter middle, magnitude 13.5</t>
  </si>
  <si>
    <t>R, lbM, magn 13.5</t>
  </si>
  <si>
    <t>IC3019</t>
  </si>
  <si>
    <t>12h9m22.3s</t>
  </si>
  <si>
    <t>+13h59m32s</t>
  </si>
  <si>
    <t>IC3020</t>
  </si>
  <si>
    <t>12h9m27.1s</t>
  </si>
  <si>
    <t>+14h13m30s</t>
  </si>
  <si>
    <t>round, brighter middle, magnitude 14</t>
  </si>
  <si>
    <t>R, bM, magn 14</t>
  </si>
  <si>
    <t>IC3021</t>
  </si>
  <si>
    <t>12h9m54.5s</t>
  </si>
  <si>
    <t>+13h2m59s</t>
  </si>
  <si>
    <t>round, brighter middle, very diffuse, magnitude 14.5</t>
  </si>
  <si>
    <t>R, bM, v dif, magn 14.5</t>
  </si>
  <si>
    <t>IC3022</t>
  </si>
  <si>
    <t>12h10m2.3s</t>
  </si>
  <si>
    <t>+38h44m26s</t>
  </si>
  <si>
    <t>IC3023</t>
  </si>
  <si>
    <t>12h10m1.9s</t>
  </si>
  <si>
    <t>+14h22m1s</t>
  </si>
  <si>
    <t>round, brighter middle, diffuse, magnitude 15</t>
  </si>
  <si>
    <t>R, bM, dif, magn 15</t>
  </si>
  <si>
    <t>IC3024</t>
  </si>
  <si>
    <t>12h10m12s</t>
  </si>
  <si>
    <t>+12h19m32s</t>
  </si>
  <si>
    <t>IC3025</t>
  </si>
  <si>
    <t>12h10m23s</t>
  </si>
  <si>
    <t>+10h11m19s</t>
  </si>
  <si>
    <t>small, extended, brighter middle</t>
  </si>
  <si>
    <t>S, E, bM</t>
  </si>
  <si>
    <t>IC3026</t>
  </si>
  <si>
    <t>12h10m34s</t>
  </si>
  <si>
    <t>-29h55m24s</t>
  </si>
  <si>
    <t>very faint, very small, much extended 40°, between 2 stars</t>
  </si>
  <si>
    <t>vF, vS, mE 40°, bet 2 st</t>
  </si>
  <si>
    <t>IC3027</t>
  </si>
  <si>
    <t>12h10m30s</t>
  </si>
  <si>
    <t>+14h11m36s</t>
  </si>
  <si>
    <t>brighter middle, magnitude 14</t>
  </si>
  <si>
    <t>bM, magn 14</t>
  </si>
  <si>
    <t>IC3028</t>
  </si>
  <si>
    <t>12h10m35.6s</t>
  </si>
  <si>
    <t>+11h45m41s</t>
  </si>
  <si>
    <t>IC3029</t>
  </si>
  <si>
    <t>12h10m41.8s</t>
  </si>
  <si>
    <t>+13h19m53s</t>
  </si>
  <si>
    <t>extended 35°, magnitude 13.5</t>
  </si>
  <si>
    <t>E 35°, magn 13.5</t>
  </si>
  <si>
    <t>IC3030</t>
  </si>
  <si>
    <t>12h11m6s</t>
  </si>
  <si>
    <t>+14h8m36s</t>
  </si>
  <si>
    <t>IC3031</t>
  </si>
  <si>
    <t>12h11m4.2s</t>
  </si>
  <si>
    <t>+13h18m29s</t>
  </si>
  <si>
    <t>vF, wisp at 35°</t>
  </si>
  <si>
    <t>IC3032</t>
  </si>
  <si>
    <t>12h11m7.8s</t>
  </si>
  <si>
    <t>+14h16m31s</t>
  </si>
  <si>
    <t>IC3033</t>
  </si>
  <si>
    <t>12h11m10s</t>
  </si>
  <si>
    <t>+13h35m17s</t>
  </si>
  <si>
    <t>bM, wisps ns 0'.5, magn 13.5</t>
  </si>
  <si>
    <t>IC3034</t>
  </si>
  <si>
    <t>12h11m47.7s</t>
  </si>
  <si>
    <t>+14h12m5s</t>
  </si>
  <si>
    <t>very faint, extended, brighter middle</t>
  </si>
  <si>
    <t>vF, E, bM</t>
  </si>
  <si>
    <t>IC3035</t>
  </si>
  <si>
    <t>faint, considerably small</t>
  </si>
  <si>
    <t>F, cS</t>
  </si>
  <si>
    <t>IC3036</t>
  </si>
  <si>
    <t>12h12m15.1s</t>
  </si>
  <si>
    <t>very faint, spiral</t>
  </si>
  <si>
    <t>vF, spir</t>
  </si>
  <si>
    <t>IC3037</t>
  </si>
  <si>
    <t>12h12m20.5s</t>
  </si>
  <si>
    <t>+9h59m9s</t>
  </si>
  <si>
    <t>round, perhaps a planetary nebula, magnitude 16</t>
  </si>
  <si>
    <t>R, planetary ?, magn 16</t>
  </si>
  <si>
    <t>IC3038</t>
  </si>
  <si>
    <t>12h12m32.6s</t>
  </si>
  <si>
    <t>+11h21m12s</t>
  </si>
  <si>
    <t>round, brighter middle, perhaps a planetary nebula, magnitude 16</t>
  </si>
  <si>
    <t>R, bM, planetary ?, magn 16</t>
  </si>
  <si>
    <t>IC3039</t>
  </si>
  <si>
    <t>+12h18m36s</t>
  </si>
  <si>
    <t>IC3040</t>
  </si>
  <si>
    <t>12h12m34.5s</t>
  </si>
  <si>
    <t>+11h4m27s</t>
  </si>
  <si>
    <t>IC3041</t>
  </si>
  <si>
    <t>12h12m42.7s</t>
  </si>
  <si>
    <t>+12h45m47s</t>
  </si>
  <si>
    <t>small, extended</t>
  </si>
  <si>
    <t>S, E</t>
  </si>
  <si>
    <t>IC3042</t>
  </si>
  <si>
    <t>pretty faint, considerably large</t>
  </si>
  <si>
    <t>pF, cL</t>
  </si>
  <si>
    <t>IC3043</t>
  </si>
  <si>
    <t>12h12m47.2s</t>
  </si>
  <si>
    <t>+10h0m36s</t>
  </si>
  <si>
    <t>considerably small, extended north-south, magnitude 15</t>
  </si>
  <si>
    <t>cS, E ns, magn 15</t>
  </si>
  <si>
    <t>IC3044</t>
  </si>
  <si>
    <t>12h12m48.4s</t>
  </si>
  <si>
    <t>+13h58m34s</t>
  </si>
  <si>
    <t>F, stell</t>
  </si>
  <si>
    <t>IC3045</t>
  </si>
  <si>
    <t>12h12m59.7s</t>
  </si>
  <si>
    <t>+12h46m46s</t>
  </si>
  <si>
    <t>pF, cS, Ns = 10.5 magn</t>
  </si>
  <si>
    <t>IC3046</t>
  </si>
  <si>
    <t>12h13m7.8s</t>
  </si>
  <si>
    <t>+12h55m7s</t>
  </si>
  <si>
    <t>very faint, pretty small, spiral</t>
  </si>
  <si>
    <t>vF, pS, spir</t>
  </si>
  <si>
    <t>IC3047</t>
  </si>
  <si>
    <t>12h13m14.6s</t>
  </si>
  <si>
    <t>+12h59m50s</t>
  </si>
  <si>
    <t>round, brighter middle, magnitude 14.5</t>
  </si>
  <si>
    <t>R, bM, magn 14.5</t>
  </si>
  <si>
    <t>IC3048</t>
  </si>
  <si>
    <t>12h13m22.4s</t>
  </si>
  <si>
    <t>+13h4m12s</t>
  </si>
  <si>
    <t>faint, small, possibly a 13th-magnitude star</t>
  </si>
  <si>
    <t>F, S, ? * 13</t>
  </si>
  <si>
    <t>IC3049</t>
  </si>
  <si>
    <t>12h13m33.2s</t>
  </si>
  <si>
    <t>+14h28m58s</t>
  </si>
  <si>
    <t>IC3050</t>
  </si>
  <si>
    <t>pretty bright, considerably large, gradually brighter middle</t>
  </si>
  <si>
    <t>pB, cL, gbM</t>
  </si>
  <si>
    <t>IC3051</t>
  </si>
  <si>
    <t>IC3052</t>
  </si>
  <si>
    <t>12h13m48.3s</t>
  </si>
  <si>
    <t>+12h41m25s</t>
  </si>
  <si>
    <t>R, planetary ?, magn 16.5</t>
  </si>
  <si>
    <t>IC3053</t>
  </si>
  <si>
    <t>Sab    R</t>
  </si>
  <si>
    <t>12h13m52s</t>
  </si>
  <si>
    <t>IC3054</t>
  </si>
  <si>
    <t>12h14m14.5s</t>
  </si>
  <si>
    <t>+13h32m32s</t>
  </si>
  <si>
    <t>IC3055</t>
  </si>
  <si>
    <t>12h14m22.5s</t>
  </si>
  <si>
    <t>+12h5m30s</t>
  </si>
  <si>
    <t>IC3056</t>
  </si>
  <si>
    <t>12h14m37.9s</t>
  </si>
  <si>
    <t>+13h46m47s</t>
  </si>
  <si>
    <t>pL, vmE 50°</t>
  </si>
  <si>
    <t>IC3057</t>
  </si>
  <si>
    <t>12h15m2s</t>
  </si>
  <si>
    <t>-44h28m24s</t>
  </si>
  <si>
    <t>cF, S, R ( ? defect)</t>
  </si>
  <si>
    <t>IC3058</t>
  </si>
  <si>
    <t>12h14m47.4s</t>
  </si>
  <si>
    <t>+14h5m43s</t>
  </si>
  <si>
    <t>IC3059</t>
  </si>
  <si>
    <t>12h14m55.1s</t>
  </si>
  <si>
    <t>+13h27m39s</t>
  </si>
  <si>
    <t>very faint, spiral, doubtful</t>
  </si>
  <si>
    <t>vF, spir, doubtful</t>
  </si>
  <si>
    <t>IC3060</t>
  </si>
  <si>
    <t>+12h32m52s</t>
  </si>
  <si>
    <t>vF, S, lE 0°, ? * 14 m</t>
  </si>
  <si>
    <t>IC3061</t>
  </si>
  <si>
    <t>12h15m4.3s</t>
  </si>
  <si>
    <t>+14h1m44s</t>
  </si>
  <si>
    <t>faint, pretty large, spiral</t>
  </si>
  <si>
    <t>F, pL, spir</t>
  </si>
  <si>
    <t>IC3062</t>
  </si>
  <si>
    <t>12h15m5.1s</t>
  </si>
  <si>
    <t>+13h35m40s</t>
  </si>
  <si>
    <t>IC3063</t>
  </si>
  <si>
    <t>12h15m6.8s</t>
  </si>
  <si>
    <t>+12h0m58s</t>
  </si>
  <si>
    <t>brighter middle, magnitude 14.5</t>
  </si>
  <si>
    <t>bM, magn 14.5</t>
  </si>
  <si>
    <t>IC3064</t>
  </si>
  <si>
    <t>considerably faint, considerably large, extended 5°</t>
  </si>
  <si>
    <t xml:space="preserve">cF, cL, E 5° </t>
  </si>
  <si>
    <t>IC3065</t>
  </si>
  <si>
    <t>12h15m12.5s</t>
  </si>
  <si>
    <t>+14h26m1s</t>
  </si>
  <si>
    <t>round, perhaps a planetary nebula, magnitude 14</t>
  </si>
  <si>
    <t>R, planetary ?, magn 14</t>
  </si>
  <si>
    <t>IC3066</t>
  </si>
  <si>
    <t>12h15m16.2s</t>
  </si>
  <si>
    <t>+13h28m25s</t>
  </si>
  <si>
    <t>pretty large, extended 160°, spiral</t>
  </si>
  <si>
    <t>pL, E 160°, spir</t>
  </si>
  <si>
    <t>IC3067</t>
  </si>
  <si>
    <t>IC3068</t>
  </si>
  <si>
    <t>12h15m23.2s</t>
  </si>
  <si>
    <t>+11h30m40s</t>
  </si>
  <si>
    <t>brighter middle, magnitude 16</t>
  </si>
  <si>
    <t>bM, magn 16</t>
  </si>
  <si>
    <t>IC3069</t>
  </si>
  <si>
    <t>12h15m19.8s</t>
  </si>
  <si>
    <t>+10h9m39s</t>
  </si>
  <si>
    <t>brighter middle, magnitude 15.5</t>
  </si>
  <si>
    <t>bM, magn 15.5</t>
  </si>
  <si>
    <t>IC3070</t>
  </si>
  <si>
    <t>12h15m24.6s</t>
  </si>
  <si>
    <t>+13h2m22s</t>
  </si>
  <si>
    <t>IC3071</t>
  </si>
  <si>
    <t>12h15m31.8s</t>
  </si>
  <si>
    <t>+9h32m44s</t>
  </si>
  <si>
    <t>IC3072</t>
  </si>
  <si>
    <t>12h15m38.1s</t>
  </si>
  <si>
    <t>extremely faint, extremely small, questionable</t>
  </si>
  <si>
    <t>eF, eS, ?</t>
  </si>
  <si>
    <t>IC3073</t>
  </si>
  <si>
    <t>12h15m35.7s</t>
  </si>
  <si>
    <t>+13h37m11s</t>
  </si>
  <si>
    <t>IC3074</t>
  </si>
  <si>
    <t>12h15m46.1s</t>
  </si>
  <si>
    <t>+10h41m55s</t>
  </si>
  <si>
    <t>considerably faint, pretty large, extended 170°</t>
  </si>
  <si>
    <t>cF, pL, E 170°</t>
  </si>
  <si>
    <t>IC3075</t>
  </si>
  <si>
    <t>12h15m55s</t>
  </si>
  <si>
    <t>+23h35m46s</t>
  </si>
  <si>
    <t>IC3076</t>
  </si>
  <si>
    <t>12h16m4s</t>
  </si>
  <si>
    <t>+9h4m45s</t>
  </si>
  <si>
    <t>IC3077</t>
  </si>
  <si>
    <t>12h15m56.1s</t>
  </si>
  <si>
    <t>+14h25m58s</t>
  </si>
  <si>
    <t>IC3078</t>
  </si>
  <si>
    <t>+12h41m16s</t>
  </si>
  <si>
    <t>IC3079</t>
  </si>
  <si>
    <t>12h16m4.2s</t>
  </si>
  <si>
    <t>+11h32m6s</t>
  </si>
  <si>
    <t>IC3080</t>
  </si>
  <si>
    <t>12h16m2.6s</t>
  </si>
  <si>
    <t>+14h11m24s</t>
  </si>
  <si>
    <t>IC3081</t>
  </si>
  <si>
    <t>12h16m9s</t>
  </si>
  <si>
    <t>+12h41m28s</t>
  </si>
  <si>
    <t>IC3082</t>
  </si>
  <si>
    <t>12h16m12.1s</t>
  </si>
  <si>
    <t>+23h50m31s</t>
  </si>
  <si>
    <t>vF, vS, dif, * 5 n 6'</t>
  </si>
  <si>
    <t>IC3083</t>
  </si>
  <si>
    <t>12h16m24s</t>
  </si>
  <si>
    <t>+12h35m40s</t>
  </si>
  <si>
    <t>IC3084</t>
  </si>
  <si>
    <t>12h16m23.4s</t>
  </si>
  <si>
    <t>+23h55m6s</t>
  </si>
  <si>
    <t>IC3085</t>
  </si>
  <si>
    <t>12h16m26s</t>
  </si>
  <si>
    <t>+9h28m9s</t>
  </si>
  <si>
    <t>extremely faint, very small, = 13th-magnitude star</t>
  </si>
  <si>
    <t>cF, vS, = * 13</t>
  </si>
  <si>
    <t>IC3086</t>
  </si>
  <si>
    <t>12h16m27.8s</t>
  </si>
  <si>
    <t>+9h0m33s</t>
  </si>
  <si>
    <t>IC3087</t>
  </si>
  <si>
    <t>12h16m26.6s</t>
  </si>
  <si>
    <t>+13h17m21s</t>
  </si>
  <si>
    <t>faint, small, extremely extended 30°, nebulosity uncertain</t>
  </si>
  <si>
    <t>F, S, eE 30°, neb ?</t>
  </si>
  <si>
    <t>IC3088</t>
  </si>
  <si>
    <t>12h16m28.4s</t>
  </si>
  <si>
    <t>+9h27m32s</t>
  </si>
  <si>
    <t>very faint, very small, = 14th-magnitude star</t>
  </si>
  <si>
    <t>vF, vS, = * 14</t>
  </si>
  <si>
    <t>IC3089</t>
  </si>
  <si>
    <t>12h16m29.6s</t>
  </si>
  <si>
    <t>+23h49m42s</t>
  </si>
  <si>
    <t>very faint, small, very little brighter middle, diffuse</t>
  </si>
  <si>
    <t>vF, S, vlbM, dif</t>
  </si>
  <si>
    <t>IC3090</t>
  </si>
  <si>
    <t>12h16m31.6s</t>
  </si>
  <si>
    <t>+9h26m23s</t>
  </si>
  <si>
    <t>IC3091</t>
  </si>
  <si>
    <t>12h16m29.2s</t>
  </si>
  <si>
    <t>+14h0m45s</t>
  </si>
  <si>
    <t>IC3092</t>
  </si>
  <si>
    <t>12h16m32.2s</t>
  </si>
  <si>
    <t>+10h2m47s</t>
  </si>
  <si>
    <t>IC3093</t>
  </si>
  <si>
    <t>12h16m42.2s</t>
  </si>
  <si>
    <t>+14h16m42s</t>
  </si>
  <si>
    <t>IC3094</t>
  </si>
  <si>
    <t>12h16m55.9s</t>
  </si>
  <si>
    <t>+13h37m32s</t>
  </si>
  <si>
    <t>IC3095</t>
  </si>
  <si>
    <t>12h16m55.3s</t>
  </si>
  <si>
    <t>pF, S, vlE pf, bM, * 5 p 35s, 1' s</t>
  </si>
  <si>
    <t>IC3096</t>
  </si>
  <si>
    <t>12h16m52.3s</t>
  </si>
  <si>
    <t>+14h30m55s</t>
  </si>
  <si>
    <t>IC3097</t>
  </si>
  <si>
    <t>12h17m1s</t>
  </si>
  <si>
    <t>+9h24m27s</t>
  </si>
  <si>
    <t>IC3098</t>
  </si>
  <si>
    <t>pretty faint, pretty small, extended 45°</t>
  </si>
  <si>
    <t xml:space="preserve">pF, pS, E 45° </t>
  </si>
  <si>
    <t>IC3099</t>
  </si>
  <si>
    <t>12h17m9.3s</t>
  </si>
  <si>
    <t>+12h27m12s</t>
  </si>
  <si>
    <t>very faint, pretty large, a little extended 0°</t>
  </si>
  <si>
    <t>vF, pL, lE 0°</t>
  </si>
  <si>
    <t>IC3100</t>
  </si>
  <si>
    <t>12h17m5.3s</t>
  </si>
  <si>
    <t>+12h17m22s</t>
  </si>
  <si>
    <t>bM, wisps 45° ?, magn 14.5</t>
  </si>
  <si>
    <t>IC3101</t>
  </si>
  <si>
    <t>12h17m19.5s</t>
  </si>
  <si>
    <t>+11h56m36s</t>
  </si>
  <si>
    <t>IC3102</t>
  </si>
  <si>
    <t>pretty faint, pretty small, perhaps a star</t>
  </si>
  <si>
    <t>pF, pS, ? *</t>
  </si>
  <si>
    <t>IC3103</t>
  </si>
  <si>
    <t>12h17m28.4s</t>
  </si>
  <si>
    <t>+9h21m38s</t>
  </si>
  <si>
    <t>IC3104</t>
  </si>
  <si>
    <t>12h18m46.1s</t>
  </si>
  <si>
    <t>-79h43m51s</t>
  </si>
  <si>
    <t>eeF, cS, or vS Cl, * 12 sp 0'.5</t>
  </si>
  <si>
    <t>IC3105</t>
  </si>
  <si>
    <t>12h17m33.5s</t>
  </si>
  <si>
    <t>+12h23m10s</t>
  </si>
  <si>
    <t>very faint, pretty small, extended 40°</t>
  </si>
  <si>
    <t>vF, pS, E 40°</t>
  </si>
  <si>
    <t>IC3106</t>
  </si>
  <si>
    <t>12h17m45.8s</t>
  </si>
  <si>
    <t>+9h36m47s</t>
  </si>
  <si>
    <t>very faint, very small, extended 95°</t>
  </si>
  <si>
    <t>vF, vS, E 95°</t>
  </si>
  <si>
    <t>IC3107</t>
  </si>
  <si>
    <t>12h17m47s</t>
  </si>
  <si>
    <t>+10h50m41s</t>
  </si>
  <si>
    <t>faint, very small, a little extended, much brighter middle</t>
  </si>
  <si>
    <t>F, vS, lE, mbM</t>
  </si>
  <si>
    <t>IC3108</t>
  </si>
  <si>
    <t>12h17m42.6s</t>
  </si>
  <si>
    <t>+13h22m46s</t>
  </si>
  <si>
    <t>IC3109</t>
  </si>
  <si>
    <t>12h17m44s</t>
  </si>
  <si>
    <t>+13h10m16s</t>
  </si>
  <si>
    <t>IC3110</t>
  </si>
  <si>
    <t>12h17m44.8s</t>
  </si>
  <si>
    <t>+37h24m1s</t>
  </si>
  <si>
    <t>IC3111</t>
  </si>
  <si>
    <t>12h17m50.7s</t>
  </si>
  <si>
    <t>+8h25m51s</t>
  </si>
  <si>
    <t>eF, S ?</t>
  </si>
  <si>
    <t>IC3112</t>
  </si>
  <si>
    <t>12h17m48.3s</t>
  </si>
  <si>
    <t>+26h1m51s</t>
  </si>
  <si>
    <t>IC3113</t>
  </si>
  <si>
    <t>considerably faint, pretty large, extended</t>
  </si>
  <si>
    <t>cF, pL, E</t>
  </si>
  <si>
    <t>IC3114</t>
  </si>
  <si>
    <t>12h17m56.8s</t>
  </si>
  <si>
    <t>+9h8m7s</t>
  </si>
  <si>
    <t>considerably faint, very small, stellar</t>
  </si>
  <si>
    <t>cF, vS, stell</t>
  </si>
  <si>
    <t>IC3115</t>
  </si>
  <si>
    <t>IC3116</t>
  </si>
  <si>
    <t>12h17m57.2s</t>
  </si>
  <si>
    <t>+25h4m34s</t>
  </si>
  <si>
    <t>IC3117</t>
  </si>
  <si>
    <t>12h18m4.7s</t>
  </si>
  <si>
    <t>+9h4m35s</t>
  </si>
  <si>
    <t>extremely faint, small, extended 30°</t>
  </si>
  <si>
    <t>eF, S, E 30°</t>
  </si>
  <si>
    <t>IC3118</t>
  </si>
  <si>
    <t>12h18m11.1s</t>
  </si>
  <si>
    <t>+9h30m1s</t>
  </si>
  <si>
    <t>very faint, considerably small, a little extended, diffuse</t>
  </si>
  <si>
    <t>vF, cS, lE, dif</t>
  </si>
  <si>
    <t>IC3119</t>
  </si>
  <si>
    <t>+24h41m20s</t>
  </si>
  <si>
    <t>IC3120</t>
  </si>
  <si>
    <t>12h18m15.3s</t>
  </si>
  <si>
    <t>+13h44m54s</t>
  </si>
  <si>
    <t>IC3121</t>
  </si>
  <si>
    <t>12h18m17.3s</t>
  </si>
  <si>
    <t>extremely faint, a little extended, magnitude 15</t>
  </si>
  <si>
    <t>eF, lE, magn 15</t>
  </si>
  <si>
    <t>IC3122</t>
  </si>
  <si>
    <t>12h18m21.4s</t>
  </si>
  <si>
    <t>+25h13m2s</t>
  </si>
  <si>
    <t>pF, pL, E 150°, pLN</t>
  </si>
  <si>
    <t>IC3123</t>
  </si>
  <si>
    <t>12h18m27.6s</t>
  </si>
  <si>
    <t>+8h3m54s</t>
  </si>
  <si>
    <t>nebula, or star</t>
  </si>
  <si>
    <t>Neb, or *</t>
  </si>
  <si>
    <t>IC3124</t>
  </si>
  <si>
    <t>+9h35m19s</t>
  </si>
  <si>
    <t>considerably faint, small, equal to a 13th-magnitude star</t>
  </si>
  <si>
    <t>cF, S, = * 13</t>
  </si>
  <si>
    <t>IC3125</t>
  </si>
  <si>
    <t>12h18m25.5s</t>
  </si>
  <si>
    <t>+24h21m56s</t>
  </si>
  <si>
    <t>IC3126</t>
  </si>
  <si>
    <t>12h18m37.1s</t>
  </si>
  <si>
    <t>+13h48m51s</t>
  </si>
  <si>
    <t>round, brighter middle, magnitude 15</t>
  </si>
  <si>
    <t>IC3127</t>
  </si>
  <si>
    <t>12h18m35.2s</t>
  </si>
  <si>
    <t>round, brighter middle, magnitude 16</t>
  </si>
  <si>
    <t>R, bM, magn 16</t>
  </si>
  <si>
    <t>IC3128</t>
  </si>
  <si>
    <t>12h18m41.9s</t>
  </si>
  <si>
    <t>+11h43m53s</t>
  </si>
  <si>
    <t>a little extended, perhaps double, magnitude 14.5</t>
  </si>
  <si>
    <t>lE, D ?, magn 14.5</t>
  </si>
  <si>
    <t>IC3129</t>
  </si>
  <si>
    <t>12h18m45s</t>
  </si>
  <si>
    <t>+9h35m28s</t>
  </si>
  <si>
    <t>very faint, extremely small, equal to a 14th magnitude star</t>
  </si>
  <si>
    <t>vF, eS, = * 14</t>
  </si>
  <si>
    <t>IC3130</t>
  </si>
  <si>
    <t>12h18m49.5s</t>
  </si>
  <si>
    <t>+8h14m2s</t>
  </si>
  <si>
    <t>extremely faint, pretty small, much extended 140°, questionable</t>
  </si>
  <si>
    <t>eF, pS, mE 140°, ?</t>
  </si>
  <si>
    <t>IC3131</t>
  </si>
  <si>
    <t>12h18m50.8s</t>
  </si>
  <si>
    <t>+7h51m41s</t>
  </si>
  <si>
    <t>IC3132</t>
  </si>
  <si>
    <t>IC3133</t>
  </si>
  <si>
    <t>12h18m54.6s</t>
  </si>
  <si>
    <t>+7h38m20s</t>
  </si>
  <si>
    <t>IC3134</t>
  </si>
  <si>
    <t>12h18m56s</t>
  </si>
  <si>
    <t>+8h57m44s</t>
  </si>
  <si>
    <t>very faint, very small, extended 0°</t>
  </si>
  <si>
    <t>vF, vS, E 0°</t>
  </si>
  <si>
    <t>IC3135</t>
  </si>
  <si>
    <t>12h18m53s</t>
  </si>
  <si>
    <t>+27h29m31s</t>
  </si>
  <si>
    <t>IC3136</t>
  </si>
  <si>
    <t>12h18m57.2s</t>
  </si>
  <si>
    <t>+6h11m1s</t>
  </si>
  <si>
    <t>IC3137</t>
  </si>
  <si>
    <t>+12h28m10s</t>
  </si>
  <si>
    <t>pretty large, extended 45°</t>
  </si>
  <si>
    <t>pL, E 45°</t>
  </si>
  <si>
    <t>IC3138</t>
  </si>
  <si>
    <t>+12h26m43s</t>
  </si>
  <si>
    <t>round, brighter middle, magnitude 15.5</t>
  </si>
  <si>
    <t>R, bM, magn 15.5</t>
  </si>
  <si>
    <t>IC3139</t>
  </si>
  <si>
    <t>12h19m0.7s</t>
  </si>
  <si>
    <t>+9h7m37s</t>
  </si>
  <si>
    <t>IC3140</t>
  </si>
  <si>
    <t>12h18m57.6s</t>
  </si>
  <si>
    <t>+27h7m48s</t>
  </si>
  <si>
    <t>very faint,  pretty small, irregular figure, diffuse</t>
  </si>
  <si>
    <t>vF, pS, iF, dif</t>
  </si>
  <si>
    <t>IC3141</t>
  </si>
  <si>
    <t>12h18m58.5s</t>
  </si>
  <si>
    <t>+24h11m11s</t>
  </si>
  <si>
    <t>IC3142</t>
  </si>
  <si>
    <t>12h19m5.1s</t>
  </si>
  <si>
    <t>+13h58m50s</t>
  </si>
  <si>
    <t>IC3143</t>
  </si>
  <si>
    <t>12h19m5.4s</t>
  </si>
  <si>
    <t>+27h17m53s</t>
  </si>
  <si>
    <t>IC3144</t>
  </si>
  <si>
    <t>12h19m9.7s</t>
  </si>
  <si>
    <t>+25h17m51s</t>
  </si>
  <si>
    <t>IC3145</t>
  </si>
  <si>
    <t>12h19m10.5s</t>
  </si>
  <si>
    <t>+24h17m39s</t>
  </si>
  <si>
    <t>IC3146</t>
  </si>
  <si>
    <t>12h19m12.4s</t>
  </si>
  <si>
    <t>+25h42m53s</t>
  </si>
  <si>
    <t>IC3147</t>
  </si>
  <si>
    <t>12h19m18.7s</t>
  </si>
  <si>
    <t>+12h1m6s</t>
  </si>
  <si>
    <t>IC3148</t>
  </si>
  <si>
    <t>12h19m21.6s</t>
  </si>
  <si>
    <t>IC3149</t>
  </si>
  <si>
    <t>12h19m24.2s</t>
  </si>
  <si>
    <t>+12h18m5s</t>
  </si>
  <si>
    <t>IC3150</t>
  </si>
  <si>
    <t>12h19m28.5s</t>
  </si>
  <si>
    <t>+7h47m56s</t>
  </si>
  <si>
    <t>IC3151</t>
  </si>
  <si>
    <t>12h19m32.8s</t>
  </si>
  <si>
    <t>+9h24m53s</t>
  </si>
  <si>
    <t>IC3152</t>
  </si>
  <si>
    <t>12h19m35.9s</t>
  </si>
  <si>
    <t>-26h8m41s</t>
  </si>
  <si>
    <t>pretty bright, small, round, 4 stars to southeast, 8th magnitude star to northwest</t>
  </si>
  <si>
    <t>pB, S, R, 4 st sf, * 8 np</t>
  </si>
  <si>
    <t>IC3153</t>
  </si>
  <si>
    <t>12h19m36.8s</t>
  </si>
  <si>
    <t>+5h23m54s</t>
  </si>
  <si>
    <t>vF, S, 4273 f</t>
  </si>
  <si>
    <t>IC3154</t>
  </si>
  <si>
    <t>12h19m33.9s</t>
  </si>
  <si>
    <t>+25h35m11s</t>
  </si>
  <si>
    <t>IC3155</t>
  </si>
  <si>
    <t>12h19m45.2s</t>
  </si>
  <si>
    <t>+6h0m23s</t>
  </si>
  <si>
    <t>cF, S, sbM, ? vF st inv</t>
  </si>
  <si>
    <t>IC3156</t>
  </si>
  <si>
    <t>12h19m44.2s</t>
  </si>
  <si>
    <t>+9h8m55s</t>
  </si>
  <si>
    <t>IC3157</t>
  </si>
  <si>
    <t>12h19m47.9s</t>
  </si>
  <si>
    <t>+12h25m20s</t>
  </si>
  <si>
    <t>IC3158</t>
  </si>
  <si>
    <t>12h19m48.7s</t>
  </si>
  <si>
    <t>+9h17m30s</t>
  </si>
  <si>
    <t>extremely faint, considerably small, extremely questionable</t>
  </si>
  <si>
    <t>eF, cS, ??</t>
  </si>
  <si>
    <t>IC3159</t>
  </si>
  <si>
    <t>12h19m53.2s</t>
  </si>
  <si>
    <t>+11h40m28s</t>
  </si>
  <si>
    <t>round, much brighter middle, magnitude 15</t>
  </si>
  <si>
    <t>R, mbM, magn 15</t>
  </si>
  <si>
    <t>IC3160</t>
  </si>
  <si>
    <t>12h20m0s</t>
  </si>
  <si>
    <t>+9h6m6s</t>
  </si>
  <si>
    <t>extremely faint, considerably small</t>
  </si>
  <si>
    <t>IC3161</t>
  </si>
  <si>
    <t>12h20m1.2s</t>
  </si>
  <si>
    <t>+8h59m57s</t>
  </si>
  <si>
    <t>extremely faint, very small, perhaps a star, connected with following one</t>
  </si>
  <si>
    <t>eF, vS, ? *, conn w f one</t>
  </si>
  <si>
    <t>IC3162</t>
  </si>
  <si>
    <t>12h20m3.1s</t>
  </si>
  <si>
    <t>+8h59m50s</t>
  </si>
  <si>
    <t>extremely faint, very small, perhaps a star, connected with preceding one</t>
  </si>
  <si>
    <t>eF, vS, ? *, conn w p one</t>
  </si>
  <si>
    <t>IC3163</t>
  </si>
  <si>
    <t>12h20m3.5s</t>
  </si>
  <si>
    <t>+9h15m24s</t>
  </si>
  <si>
    <t>nebula or star?</t>
  </si>
  <si>
    <t>Neb or * ?</t>
  </si>
  <si>
    <t>IC3164</t>
  </si>
  <si>
    <t>12h20m5.2s</t>
  </si>
  <si>
    <t>+24h57m24s</t>
  </si>
  <si>
    <t>extremely faint, small, irregular figure, perhaps double star</t>
  </si>
  <si>
    <t>eF, S, iF, ? D *</t>
  </si>
  <si>
    <t>IC3165</t>
  </si>
  <si>
    <t>12h20m4.7s</t>
  </si>
  <si>
    <t>faint, considerably small, irregular figure, a little brighter middle</t>
  </si>
  <si>
    <t>F, cS, iF, lbM</t>
  </si>
  <si>
    <t>IC3166</t>
  </si>
  <si>
    <t>12h19m54s</t>
  </si>
  <si>
    <t>+60h41m42s</t>
  </si>
  <si>
    <t>most extremely faint, small, preceding of 2</t>
  </si>
  <si>
    <t>eeF, S, p of 2</t>
  </si>
  <si>
    <t>IC3167</t>
  </si>
  <si>
    <t>SB0/D</t>
  </si>
  <si>
    <t>12h20m18.8s</t>
  </si>
  <si>
    <t>+9h32m43s</t>
  </si>
  <si>
    <t>vF, vS, lE 65°, bM</t>
  </si>
  <si>
    <t>IC3168</t>
  </si>
  <si>
    <t>12h20m18.5s</t>
  </si>
  <si>
    <t>+27h55m11s</t>
  </si>
  <si>
    <t>faint, considerably small, extended 45°, brighter middle</t>
  </si>
  <si>
    <t>F, cS, E 45°, bM</t>
  </si>
  <si>
    <t>IC3169</t>
  </si>
  <si>
    <t>12h20m21.3s</t>
  </si>
  <si>
    <t>+25h35m58s</t>
  </si>
  <si>
    <t>IC3170</t>
  </si>
  <si>
    <t>12h20m26.6s</t>
  </si>
  <si>
    <t>+9h25m28s</t>
  </si>
  <si>
    <t>IC3171</t>
  </si>
  <si>
    <t>12h20m24s</t>
  </si>
  <si>
    <t>+25h33m40s</t>
  </si>
  <si>
    <t>IC3172</t>
  </si>
  <si>
    <t>12h20m24.5s</t>
  </si>
  <si>
    <t>+27h49m9s</t>
  </si>
  <si>
    <t>IC3173</t>
  </si>
  <si>
    <t>12h20m30.1s</t>
  </si>
  <si>
    <t>+11h20m29s</t>
  </si>
  <si>
    <t>round, brighter middle, magnitude 13</t>
  </si>
  <si>
    <t>R, bM, magn 13</t>
  </si>
  <si>
    <t>IC3174</t>
  </si>
  <si>
    <t>12h20m29.5s</t>
  </si>
  <si>
    <t>+10h14m44s</t>
  </si>
  <si>
    <t>eF, vS, * 13 att sp</t>
  </si>
  <si>
    <t>IC3175</t>
  </si>
  <si>
    <t>12h20m33.3s</t>
  </si>
  <si>
    <t>+9h51m14s</t>
  </si>
  <si>
    <t>IC3176</t>
  </si>
  <si>
    <t>12h20m30s</t>
  </si>
  <si>
    <t>+25h30m55s</t>
  </si>
  <si>
    <t>IC3177</t>
  </si>
  <si>
    <t>12h20m36s</t>
  </si>
  <si>
    <t>+14h7m42s</t>
  </si>
  <si>
    <t>large, very much extended 45°, 2.5 arcmin across</t>
  </si>
  <si>
    <t>L, vmE 45°, 2'.5 l</t>
  </si>
  <si>
    <t>IC3178</t>
  </si>
  <si>
    <t>12h20m35s</t>
  </si>
  <si>
    <t>+26h10m12s</t>
  </si>
  <si>
    <t>faint, very small, irregular figure, nucleus</t>
  </si>
  <si>
    <t>IC3179</t>
  </si>
  <si>
    <t>12h20m37.7s</t>
  </si>
  <si>
    <t>+26h9m55s</t>
  </si>
  <si>
    <t>IC3180</t>
  </si>
  <si>
    <t>+60h41m4s</t>
  </si>
  <si>
    <t>very faint, pretty large, round, 7.5 magnitude star to south, following of 2</t>
  </si>
  <si>
    <t>vF, pL, R, * 7.5 s, f of 2</t>
  </si>
  <si>
    <t>IC3181</t>
  </si>
  <si>
    <t xml:space="preserve">pF, pL, lE 150° </t>
  </si>
  <si>
    <t>IC3182</t>
  </si>
  <si>
    <t>12h20m48s</t>
  </si>
  <si>
    <t>+12h43m42s</t>
  </si>
  <si>
    <t>very faint, small, binuclear</t>
  </si>
  <si>
    <t>vF, S, biN</t>
  </si>
  <si>
    <t>IC3183</t>
  </si>
  <si>
    <t>12h20m48.9s</t>
  </si>
  <si>
    <t>+6h41m11s</t>
  </si>
  <si>
    <t>very faint, considerably small, perhaps a star?</t>
  </si>
  <si>
    <t>vF, cS, st ?</t>
  </si>
  <si>
    <t>IC3184</t>
  </si>
  <si>
    <t>12h20m46.7s</t>
  </si>
  <si>
    <t>+24h54m56s</t>
  </si>
  <si>
    <t>pretty faint, considerably small, extended 40°, brighter middle</t>
  </si>
  <si>
    <t>pF, cS, E 40°, bM</t>
  </si>
  <si>
    <t>IC3185</t>
  </si>
  <si>
    <t>12h20m52.6s</t>
  </si>
  <si>
    <t>+25h25m46s</t>
  </si>
  <si>
    <t>IC3186</t>
  </si>
  <si>
    <t>12h20m55.9s</t>
  </si>
  <si>
    <t>+24h40m9s</t>
  </si>
  <si>
    <t>IC3187</t>
  </si>
  <si>
    <t>12h20m54.8s</t>
  </si>
  <si>
    <t>+11h9m41s</t>
  </si>
  <si>
    <t>very little extended, brighter middle, magnitude 14.5</t>
  </si>
  <si>
    <t>vlE, bM, magn 14.5</t>
  </si>
  <si>
    <t>IC3188</t>
  </si>
  <si>
    <t>12h20m55.1s</t>
  </si>
  <si>
    <t>+11h0m31s</t>
  </si>
  <si>
    <t>IC3189</t>
  </si>
  <si>
    <t>12h20m56.2s</t>
  </si>
  <si>
    <t>+25h25m35s</t>
  </si>
  <si>
    <t>IC3190</t>
  </si>
  <si>
    <t>+9h34m12s</t>
  </si>
  <si>
    <t>IC3191</t>
  </si>
  <si>
    <t>12h21m5.3s</t>
  </si>
  <si>
    <t>+7h42m16s</t>
  </si>
  <si>
    <t>IC3192</t>
  </si>
  <si>
    <t>12h21m4.7s</t>
  </si>
  <si>
    <t>+11h45m14s</t>
  </si>
  <si>
    <t>a little brighter middle, perhaps a planetary nebula, magnitude 15</t>
  </si>
  <si>
    <t>lbM, planetary ?, magn 15</t>
  </si>
  <si>
    <t>IC3193</t>
  </si>
  <si>
    <t>12h21m1.2s</t>
  </si>
  <si>
    <t>+27h53m55s</t>
  </si>
  <si>
    <t>faint, small, irregular figure, perhaps a double star</t>
  </si>
  <si>
    <t>F, S, iF, ? D *</t>
  </si>
  <si>
    <t>IC3194</t>
  </si>
  <si>
    <t>12h21m9.1s</t>
  </si>
  <si>
    <t>IC3195</t>
  </si>
  <si>
    <t>12h21m17.5s</t>
  </si>
  <si>
    <t>+25h48m29s</t>
  </si>
  <si>
    <t>IC3196</t>
  </si>
  <si>
    <t>12h21m26.7s</t>
  </si>
  <si>
    <t>+11h45m28s</t>
  </si>
  <si>
    <t>IC3197</t>
  </si>
  <si>
    <t>12h21m25.8s</t>
  </si>
  <si>
    <t>+25h26m38s</t>
  </si>
  <si>
    <t>faint, very small, round, bright middle</t>
  </si>
  <si>
    <t>IC3198</t>
  </si>
  <si>
    <t>12h21m31.2s</t>
  </si>
  <si>
    <t>+26h21m59s</t>
  </si>
  <si>
    <t>IC3199</t>
  </si>
  <si>
    <t>12h21m45.5s</t>
  </si>
  <si>
    <t>+10h35m46s</t>
  </si>
  <si>
    <t>IC3200</t>
  </si>
  <si>
    <t>12h21m37.2s</t>
  </si>
  <si>
    <t>+26h45m39s</t>
  </si>
  <si>
    <t>IC3201</t>
  </si>
  <si>
    <t>12h21m40.3s</t>
  </si>
  <si>
    <t>+25h43m34s</t>
  </si>
  <si>
    <t>IC3202</t>
  </si>
  <si>
    <t>12h21m44.2s</t>
  </si>
  <si>
    <t>+27h3m27s</t>
  </si>
  <si>
    <t>IC3203</t>
  </si>
  <si>
    <t>12h21m45.6s</t>
  </si>
  <si>
    <t>+25h53m3s</t>
  </si>
  <si>
    <t>pretty faint, small, extended 150°</t>
  </si>
  <si>
    <t>pF, S, E 150°</t>
  </si>
  <si>
    <t>IC3204</t>
  </si>
  <si>
    <t>12h21m50.5s</t>
  </si>
  <si>
    <t>+24h14m56s</t>
  </si>
  <si>
    <t>IC3205</t>
  </si>
  <si>
    <t>12h21m50.9s</t>
  </si>
  <si>
    <t>+26h20m29s</t>
  </si>
  <si>
    <t>considerably faint, small, irregular figure, nuclear</t>
  </si>
  <si>
    <t>cF, S, iF, N</t>
  </si>
  <si>
    <t>IC3206</t>
  </si>
  <si>
    <t>12h21m51.3s</t>
  </si>
  <si>
    <t>+26h21m51s</t>
  </si>
  <si>
    <t>IC3207</t>
  </si>
  <si>
    <t>12h21m52.5s</t>
  </si>
  <si>
    <t>+24h21m16s</t>
  </si>
  <si>
    <t>faint, small, extended 100°</t>
  </si>
  <si>
    <t>F, S, E 100°</t>
  </si>
  <si>
    <t>IC3208</t>
  </si>
  <si>
    <t>12h21m55.5s</t>
  </si>
  <si>
    <t>+11h58m1s</t>
  </si>
  <si>
    <t>F, pL, vmE 70°</t>
  </si>
  <si>
    <t>IC3209</t>
  </si>
  <si>
    <t>12h22m6.1s</t>
  </si>
  <si>
    <t>+11h45m17s</t>
  </si>
  <si>
    <t>pL, E 140°, sbM *, spir</t>
  </si>
  <si>
    <t>IC3210</t>
  </si>
  <si>
    <t>12h22m0.8s</t>
  </si>
  <si>
    <t>+28h25m52s</t>
  </si>
  <si>
    <t>IC3211</t>
  </si>
  <si>
    <t>12h22m7.3s</t>
  </si>
  <si>
    <t>+8h59m26s</t>
  </si>
  <si>
    <t>IC3212</t>
  </si>
  <si>
    <t>12h22m3.4s</t>
  </si>
  <si>
    <t>+28h11m9s</t>
  </si>
  <si>
    <t>IC3213</t>
  </si>
  <si>
    <t>12h22m7.7s</t>
  </si>
  <si>
    <t>+23h52m8s</t>
  </si>
  <si>
    <t>pretty faint, small, round, brighter middle, 12th magnitude star attached on northwest</t>
  </si>
  <si>
    <t>pF, S, R, bM, * 12 att np</t>
  </si>
  <si>
    <t>IC3214</t>
  </si>
  <si>
    <t>12h22m9.1s</t>
  </si>
  <si>
    <t>+27h14m6s</t>
  </si>
  <si>
    <t>IC3215</t>
  </si>
  <si>
    <t>12h22m10.2s</t>
  </si>
  <si>
    <t>+26h3m6s</t>
  </si>
  <si>
    <t>very faint, pretty small, extended 95°, brighter middle</t>
  </si>
  <si>
    <t>vF, pS, E 95°, bM</t>
  </si>
  <si>
    <t>IC3216</t>
  </si>
  <si>
    <t>12h22m11.8s</t>
  </si>
  <si>
    <t>+25h17m12s</t>
  </si>
  <si>
    <t>IC3217</t>
  </si>
  <si>
    <t>12h22m13.5s</t>
  </si>
  <si>
    <t>+26h23m9s</t>
  </si>
  <si>
    <t>IC3218</t>
  </si>
  <si>
    <t>12h22m19.6s</t>
  </si>
  <si>
    <t>+6h55m38s</t>
  </si>
  <si>
    <t>very faint, pretty large, possibly binuclear</t>
  </si>
  <si>
    <t>vF, pL, biN ?</t>
  </si>
  <si>
    <t>IC3219</t>
  </si>
  <si>
    <t>12h22m15s</t>
  </si>
  <si>
    <t>+25h57m4s</t>
  </si>
  <si>
    <t>extremely faint, very small, round, brighter middle, spiral</t>
  </si>
  <si>
    <t>eF, vS, R, bM, spir</t>
  </si>
  <si>
    <t>IC3220</t>
  </si>
  <si>
    <t>12h22m21.7s</t>
  </si>
  <si>
    <t>+10h36m4s</t>
  </si>
  <si>
    <t>IC3221</t>
  </si>
  <si>
    <t>12h22m20.1s</t>
  </si>
  <si>
    <t>+25h17m0s</t>
  </si>
  <si>
    <t>extremely faint, small, irregular figure, very difficult</t>
  </si>
  <si>
    <t>eF, S, iF, v diffic</t>
  </si>
  <si>
    <t>IC3222</t>
  </si>
  <si>
    <t>12h22m19.5s</t>
  </si>
  <si>
    <t>+28h49m53s</t>
  </si>
  <si>
    <t>IC3223</t>
  </si>
  <si>
    <t>12h22m30.6s</t>
  </si>
  <si>
    <t>+9h29m14s</t>
  </si>
  <si>
    <t>very faint, pretty small, among 3 very faint stars</t>
  </si>
  <si>
    <t>vF, pS, am 3 vF st</t>
  </si>
  <si>
    <t>IC3224</t>
  </si>
  <si>
    <t>12h22m36s</t>
  </si>
  <si>
    <t>+12h9m30s</t>
  </si>
  <si>
    <t>IC3225</t>
  </si>
  <si>
    <t>12h22m39s</t>
  </si>
  <si>
    <t>+6h40m35s</t>
  </si>
  <si>
    <t>faint, small, possibly a star</t>
  </si>
  <si>
    <t>F, S, ? St</t>
  </si>
  <si>
    <t>IC3226</t>
  </si>
  <si>
    <t>12h22m34.6s</t>
  </si>
  <si>
    <t>+26h3m54s</t>
  </si>
  <si>
    <t>very faint, very small, brighter middle like a star, spiral</t>
  </si>
  <si>
    <t>vF, vS, bM *, spir</t>
  </si>
  <si>
    <t>IC3227</t>
  </si>
  <si>
    <t>12h22m35.6s</t>
  </si>
  <si>
    <t>+24h5m9s</t>
  </si>
  <si>
    <t>IC3228</t>
  </si>
  <si>
    <t>12h22m39.4s</t>
  </si>
  <si>
    <t>+24h19m48s</t>
  </si>
  <si>
    <t>faint, very small, extended 150°, brighter middle</t>
  </si>
  <si>
    <t>F, vS, E 150°, bM</t>
  </si>
  <si>
    <t>IC3229</t>
  </si>
  <si>
    <t>12h22m52.8s</t>
  </si>
  <si>
    <t>+6h40m48s</t>
  </si>
  <si>
    <t>extremely faint, extremely small, diffuse, questionable</t>
  </si>
  <si>
    <t>eF, cS, dif, ?</t>
  </si>
  <si>
    <t>IC3230</t>
  </si>
  <si>
    <t>12h22m39.6s</t>
  </si>
  <si>
    <t>+27h44m48s</t>
  </si>
  <si>
    <t>IC3231</t>
  </si>
  <si>
    <t>12h22m43.7s</t>
  </si>
  <si>
    <t>+24h49m14s</t>
  </si>
  <si>
    <t>pretty faint, small, irregular figure, brighter middle</t>
  </si>
  <si>
    <t>pF, S, iF, bM</t>
  </si>
  <si>
    <t>IC3232</t>
  </si>
  <si>
    <t>12h22m47.8s</t>
  </si>
  <si>
    <t>+24h25m33s</t>
  </si>
  <si>
    <t>faint, extremely small, nebulous star</t>
  </si>
  <si>
    <t>F, eS, neb *</t>
  </si>
  <si>
    <t>IC3233</t>
  </si>
  <si>
    <t>+12h33m59s</t>
  </si>
  <si>
    <t>IC3234</t>
  </si>
  <si>
    <t>12h22m52.1s</t>
  </si>
  <si>
    <t>+28h6m46s</t>
  </si>
  <si>
    <t>IC3235</t>
  </si>
  <si>
    <t>12h22m57.9s</t>
  </si>
  <si>
    <t>+13h32m43s</t>
  </si>
  <si>
    <t>a little extended, brighter middle, magnitude 15</t>
  </si>
  <si>
    <t>lE, bM, magn 15</t>
  </si>
  <si>
    <t>IC3236</t>
  </si>
  <si>
    <t>12h23m0.2s</t>
  </si>
  <si>
    <t>+10h6m6s</t>
  </si>
  <si>
    <t>IC3237</t>
  </si>
  <si>
    <t>12h22m58s</t>
  </si>
  <si>
    <t>+28h29m38s</t>
  </si>
  <si>
    <t>F, cS, iF, eFN, att * 14 sp</t>
  </si>
  <si>
    <t>IC3238</t>
  </si>
  <si>
    <t>12h23m6.4s</t>
  </si>
  <si>
    <t>+14h27m32s</t>
  </si>
  <si>
    <t>IC3239</t>
  </si>
  <si>
    <t>12h23m9.5s</t>
  </si>
  <si>
    <t>+11h43m33s</t>
  </si>
  <si>
    <t>extended, a little brighter middle, magnitude 15</t>
  </si>
  <si>
    <t>E, lbM, magn 15</t>
  </si>
  <si>
    <t>IC3240</t>
  </si>
  <si>
    <t>12h23m7.4s</t>
  </si>
  <si>
    <t>+10h21m43s</t>
  </si>
  <si>
    <t>IC3241</t>
  </si>
  <si>
    <t>12h23m8.4s</t>
  </si>
  <si>
    <t>+26h54m21s</t>
  </si>
  <si>
    <t>IC3242</t>
  </si>
  <si>
    <t>12h23m10.4s</t>
  </si>
  <si>
    <t>+26h14m58s</t>
  </si>
  <si>
    <t>IC3243</t>
  </si>
  <si>
    <t>12h23m11.3s</t>
  </si>
  <si>
    <t>+27h45m56s</t>
  </si>
  <si>
    <t>IC3244</t>
  </si>
  <si>
    <t>12h23m12.3s</t>
  </si>
  <si>
    <t>+14h23m21s</t>
  </si>
  <si>
    <t>IC3245</t>
  </si>
  <si>
    <t>12h23m18s</t>
  </si>
  <si>
    <t>+9h7m48s</t>
  </si>
  <si>
    <t>very faint, pretty large, brighter middle, possible defect</t>
  </si>
  <si>
    <t>vF, pL, bM, ? Defect</t>
  </si>
  <si>
    <t>IC3246</t>
  </si>
  <si>
    <t>12h23m17.2s</t>
  </si>
  <si>
    <t>+13h3m6s</t>
  </si>
  <si>
    <t>extremely faint, pretty large, very much extended 145°, questionable</t>
  </si>
  <si>
    <t>eF, pL, vmE 145°, ?</t>
  </si>
  <si>
    <t>IC3247</t>
  </si>
  <si>
    <t>12h23m14s</t>
  </si>
  <si>
    <t>+28h53m35s</t>
  </si>
  <si>
    <t>pretty faint, pretty small, extended 170°, brighter middle</t>
  </si>
  <si>
    <t>pF, pS, E 170°, bM</t>
  </si>
  <si>
    <t>IC3248</t>
  </si>
  <si>
    <t>12h23m16.8s</t>
  </si>
  <si>
    <t>+25h33m6s</t>
  </si>
  <si>
    <t>most extremely faint, small, round, brighter middle</t>
  </si>
  <si>
    <t>eeF, S, R, bM, chain of about 18 neb s to n</t>
  </si>
  <si>
    <t>IC3249</t>
  </si>
  <si>
    <t>12h23m17.9s</t>
  </si>
  <si>
    <t>+25h26m40s</t>
  </si>
  <si>
    <t>eeF, S, iF, chain of about 18 neb s to n</t>
  </si>
  <si>
    <t>IC3250</t>
  </si>
  <si>
    <t>12h23m17.8s</t>
  </si>
  <si>
    <t>+25h37m43s</t>
  </si>
  <si>
    <t>IC3251</t>
  </si>
  <si>
    <t>+25h39m13s</t>
  </si>
  <si>
    <t>IC3252</t>
  </si>
  <si>
    <t>12h23m26s</t>
  </si>
  <si>
    <t>+28h37m6s</t>
  </si>
  <si>
    <t>faint, small, irregular figure, possible cluster</t>
  </si>
  <si>
    <t>F, S, iF, ? Cl</t>
  </si>
  <si>
    <t>IC3253</t>
  </si>
  <si>
    <t>12h23m45s</t>
  </si>
  <si>
    <t>-34h37m17s</t>
  </si>
  <si>
    <t>extremely faint, very large, much extended 20°, a little brighter middle</t>
  </si>
  <si>
    <t>eF, vL, mE 20°, lbM</t>
  </si>
  <si>
    <t>IC3254</t>
  </si>
  <si>
    <t>bright, small, round, planetary</t>
  </si>
  <si>
    <t xml:space="preserve">B, S, R, planetary </t>
  </si>
  <si>
    <t>IC3255</t>
  </si>
  <si>
    <t>12h23m34.8s</t>
  </si>
  <si>
    <t>+9h38m56s</t>
  </si>
  <si>
    <t>IC3256</t>
  </si>
  <si>
    <t>a 12th magnitude star in a small nebula (possibly = III 95 or 96)</t>
  </si>
  <si>
    <t>* 12 in S neb [? = III 95 or 96]</t>
  </si>
  <si>
    <t>IC3257</t>
  </si>
  <si>
    <t>12h23m44.6s</t>
  </si>
  <si>
    <t>+7h15m14s</t>
  </si>
  <si>
    <t>IC3258</t>
  </si>
  <si>
    <t>12h23m44.5s</t>
  </si>
  <si>
    <t>+12h28m43s</t>
  </si>
  <si>
    <t>cF, cS, R, exc N s</t>
  </si>
  <si>
    <t>IC3259</t>
  </si>
  <si>
    <t>12h23m48.6s</t>
  </si>
  <si>
    <t>+7h11m11s</t>
  </si>
  <si>
    <t>IC3260</t>
  </si>
  <si>
    <t>IC3261</t>
  </si>
  <si>
    <t>12h23m52.5s</t>
  </si>
  <si>
    <t>+11h28m51s</t>
  </si>
  <si>
    <t>pretty small, faint star in middle, spiral, doubtful</t>
  </si>
  <si>
    <t>pS, F * M, spir, doubtful</t>
  </si>
  <si>
    <t>IC3262</t>
  </si>
  <si>
    <t>12h23m48.1s</t>
  </si>
  <si>
    <t>+27h23m40s</t>
  </si>
  <si>
    <t>F, S, iF, Cl ?</t>
  </si>
  <si>
    <t>IC3263</t>
  </si>
  <si>
    <t>12h23m50.5s</t>
  </si>
  <si>
    <t>+28h11m55s</t>
  </si>
  <si>
    <t>pF, S, R, bM, spir, 2nd sp att</t>
  </si>
  <si>
    <t>IC3264</t>
  </si>
  <si>
    <t>12h23m51.9s</t>
  </si>
  <si>
    <t>IC3265</t>
  </si>
  <si>
    <t>12h23m58.9s</t>
  </si>
  <si>
    <t>+7h48m14s</t>
  </si>
  <si>
    <t>pretty faint, small, nuclear, possibly a star</t>
  </si>
  <si>
    <t>pF, S, N, ? *</t>
  </si>
  <si>
    <t>IC3266</t>
  </si>
  <si>
    <t>considerably faint, small, binuclear, possibly a star</t>
  </si>
  <si>
    <t>cF, S, biN, ? St</t>
  </si>
  <si>
    <t>IC3267</t>
  </si>
  <si>
    <t>12h24m5.5s</t>
  </si>
  <si>
    <t>+7h2m26s</t>
  </si>
  <si>
    <t>IC3268</t>
  </si>
  <si>
    <t>12h24m7.6s</t>
  </si>
  <si>
    <t>+6h36m25s</t>
  </si>
  <si>
    <t>pretty bright, perhaps a star</t>
  </si>
  <si>
    <t>pB, ? *</t>
  </si>
  <si>
    <t>IC3269</t>
  </si>
  <si>
    <t>12h24m4.2s</t>
  </si>
  <si>
    <t>+27h26m5s</t>
  </si>
  <si>
    <t>IC3270</t>
  </si>
  <si>
    <t>12h24m5.8s</t>
  </si>
  <si>
    <t>+27h34m39s</t>
  </si>
  <si>
    <t>IC3271</t>
  </si>
  <si>
    <t>12h24m13.9s</t>
  </si>
  <si>
    <t>+7h57m9s</t>
  </si>
  <si>
    <t>extremely faint, pretty small, diffuse, very questionable</t>
  </si>
  <si>
    <t>eF, pS, dif, ??</t>
  </si>
  <si>
    <t>IC3272</t>
  </si>
  <si>
    <t>12h24m9.3s</t>
  </si>
  <si>
    <t>+23h17m6s</t>
  </si>
  <si>
    <t>vF, S, iF, * 13 att n</t>
  </si>
  <si>
    <t>IC3273</t>
  </si>
  <si>
    <t>cF, pL, E 48°, * 10.5 inv</t>
  </si>
  <si>
    <t>IC3274</t>
  </si>
  <si>
    <t>+9h16m2s</t>
  </si>
  <si>
    <t>extremely faint, very small, questionable</t>
  </si>
  <si>
    <t>eF, vS, ?</t>
  </si>
  <si>
    <t>IC3275</t>
  </si>
  <si>
    <t>12h24m19.5s</t>
  </si>
  <si>
    <t>IC3276</t>
  </si>
  <si>
    <t>12h24m14s</t>
  </si>
  <si>
    <t>+25h49m6s</t>
  </si>
  <si>
    <t>IC3277</t>
  </si>
  <si>
    <t>12h24m15.6s</t>
  </si>
  <si>
    <t>+25h33m49s</t>
  </si>
  <si>
    <t>extremely faint, considerably small, diffuse</t>
  </si>
  <si>
    <t>eF, cS, dif</t>
  </si>
  <si>
    <t>IC3278</t>
  </si>
  <si>
    <t>12h24m15s</t>
  </si>
  <si>
    <t>+27h25m20s</t>
  </si>
  <si>
    <t>very faint, small, irregular figure, nucleus</t>
  </si>
  <si>
    <t>IC3279</t>
  </si>
  <si>
    <t>12h24m23.6s</t>
  </si>
  <si>
    <t>+12h51m10s</t>
  </si>
  <si>
    <t>pF, S, ? 2 st</t>
  </si>
  <si>
    <t>IC3280</t>
  </si>
  <si>
    <t>Sbc    R</t>
  </si>
  <si>
    <t>12h24m26.9s</t>
  </si>
  <si>
    <t>+13h14m0s</t>
  </si>
  <si>
    <t>small, round, brighter middle, magnitude 15.5</t>
  </si>
  <si>
    <t>S, R, bM, magn 15.5</t>
  </si>
  <si>
    <t>IC3281</t>
  </si>
  <si>
    <t>12h24m28s</t>
  </si>
  <si>
    <t>+7h49m8s</t>
  </si>
  <si>
    <t>pretty bright, pretty small, nuclear, stellar</t>
  </si>
  <si>
    <t>pB, pS, N, stell</t>
  </si>
  <si>
    <t>IC3282</t>
  </si>
  <si>
    <t>+25h40m14s</t>
  </si>
  <si>
    <t>IC3283</t>
  </si>
  <si>
    <t>12h24m28.1s</t>
  </si>
  <si>
    <t>+27h12m42s</t>
  </si>
  <si>
    <t>IC3284</t>
  </si>
  <si>
    <t>SBR</t>
  </si>
  <si>
    <t>12h24m37.5s</t>
  </si>
  <si>
    <t>+10h50m19s</t>
  </si>
  <si>
    <t>very small, round, brighter middle, magnitude 14</t>
  </si>
  <si>
    <t>vS, R, bM, magn 14</t>
  </si>
  <si>
    <t>IC3285</t>
  </si>
  <si>
    <t>12h24m33.7s</t>
  </si>
  <si>
    <t>+24h51m35s</t>
  </si>
  <si>
    <t>very faint, very small, round, bright middle, in diffuse nebula extended 25°</t>
  </si>
  <si>
    <t>vF, vS, R, bM, in dif neb E 25°</t>
  </si>
  <si>
    <t>IC3286</t>
  </si>
  <si>
    <t>12h24m34.5s</t>
  </si>
  <si>
    <t>+23h44m52s</t>
  </si>
  <si>
    <t>small, pretty round</t>
  </si>
  <si>
    <t>S, pR</t>
  </si>
  <si>
    <t>IC3287</t>
  </si>
  <si>
    <t>12h24m37s</t>
  </si>
  <si>
    <t>+24h35m41s</t>
  </si>
  <si>
    <t>eF, cS, iF, in dif neby</t>
  </si>
  <si>
    <t>IC3288</t>
  </si>
  <si>
    <t>12h24m39.3s</t>
  </si>
  <si>
    <t>+24h56m57s</t>
  </si>
  <si>
    <t>IC3289</t>
  </si>
  <si>
    <t>12h24m57.4s</t>
  </si>
  <si>
    <t>-26h1m49s</t>
  </si>
  <si>
    <t>extremely faint, very small, round, very difficult, 7th magnitude star to northeast, 8th magnitude star to northwest</t>
  </si>
  <si>
    <t>eF, vS, R, v diffic, * 7 nf, * 8 np</t>
  </si>
  <si>
    <t>IC3290</t>
  </si>
  <si>
    <t>12h25m8.8s</t>
  </si>
  <si>
    <t>-39h46m33s</t>
  </si>
  <si>
    <t>pF, vS, R, * att, 4373 f</t>
  </si>
  <si>
    <t>IC3291</t>
  </si>
  <si>
    <t>12h24m48.3s</t>
  </si>
  <si>
    <t>+12h1m9s</t>
  </si>
  <si>
    <t>IC3292</t>
  </si>
  <si>
    <t>+18h11m44s</t>
  </si>
  <si>
    <t>IC3293</t>
  </si>
  <si>
    <t>12h24m53.5s</t>
  </si>
  <si>
    <t>+17h25m57s</t>
  </si>
  <si>
    <t>faint, extremely small, round, a planetary nebula</t>
  </si>
  <si>
    <t>F, eS, R, planetary</t>
  </si>
  <si>
    <t>IC3294</t>
  </si>
  <si>
    <t>12h24m49.6s</t>
  </si>
  <si>
    <t>+25h35m49s</t>
  </si>
  <si>
    <t>IC3295</t>
  </si>
  <si>
    <t>12h24m49s</t>
  </si>
  <si>
    <t>+28h42m28s</t>
  </si>
  <si>
    <t>IC3296</t>
  </si>
  <si>
    <t>12h24m57.7s</t>
  </si>
  <si>
    <t>+24h23m0s</t>
  </si>
  <si>
    <t>considerably faint, a nebula equal to 13th magnitude star, 13th magnitude star to southwest</t>
  </si>
  <si>
    <t>cF, neb * 13, * 13 sp</t>
  </si>
  <si>
    <t>IC3297</t>
  </si>
  <si>
    <t>12h24m58s</t>
  </si>
  <si>
    <t>+26h46m17s</t>
  </si>
  <si>
    <t>very faint, pretty large, round, brighter middle, spiral</t>
  </si>
  <si>
    <t>vF, pL, R, bM, spir</t>
  </si>
  <si>
    <t>IC3298</t>
  </si>
  <si>
    <t>12h25m3.8s</t>
  </si>
  <si>
    <t>+17h0m55s</t>
  </si>
  <si>
    <t>small, extended 150°, brighter middle</t>
  </si>
  <si>
    <t>S, E 150°, bM</t>
  </si>
  <si>
    <t>IC3299</t>
  </si>
  <si>
    <t>12h25m3.1s</t>
  </si>
  <si>
    <t>+27h22m30s</t>
  </si>
  <si>
    <t>IC3300</t>
  </si>
  <si>
    <t>12h25m4.8s</t>
  </si>
  <si>
    <t>+25h57m24s</t>
  </si>
  <si>
    <t>pretty faint, pretty small, extended 80°, brighter middle</t>
  </si>
  <si>
    <t>pF, pS, E 80°, bM</t>
  </si>
  <si>
    <t>IC3301</t>
  </si>
  <si>
    <t>12h25m17.6s</t>
  </si>
  <si>
    <t>+14h10m19s</t>
  </si>
  <si>
    <t>IC3302</t>
  </si>
  <si>
    <t>12h25m10.3s</t>
  </si>
  <si>
    <t>extremely faint, very small, irregular figure</t>
  </si>
  <si>
    <t>eF, vS, iF</t>
  </si>
  <si>
    <t>IC3303</t>
  </si>
  <si>
    <t>12h25m15.2s</t>
  </si>
  <si>
    <t>+12h42m54s</t>
  </si>
  <si>
    <t>IC3304</t>
  </si>
  <si>
    <t>12h25m11.7s</t>
  </si>
  <si>
    <t>+25h25m25s</t>
  </si>
  <si>
    <t>IC3305</t>
  </si>
  <si>
    <t>12h25m14.5s</t>
  </si>
  <si>
    <t>+11h50m59s</t>
  </si>
  <si>
    <t>very little extended, brighter middle, magnitude 15</t>
  </si>
  <si>
    <t>vlE, bM, magn 15</t>
  </si>
  <si>
    <t>IC3306</t>
  </si>
  <si>
    <t>+27h24m10s</t>
  </si>
  <si>
    <t>IC3307</t>
  </si>
  <si>
    <t>IC3308</t>
  </si>
  <si>
    <t>+26h42m57s</t>
  </si>
  <si>
    <t>F, cS, E 70°, bM</t>
  </si>
  <si>
    <t>IC3309</t>
  </si>
  <si>
    <t>12h25m20.2s</t>
  </si>
  <si>
    <t>+28h22m53s</t>
  </si>
  <si>
    <t>IC3310</t>
  </si>
  <si>
    <t>12h25m55.3s</t>
  </si>
  <si>
    <t>+15h40m49s</t>
  </si>
  <si>
    <t>very faint, small, diffuse, suddenly brighter middle</t>
  </si>
  <si>
    <t>vF, S, dif, sbM</t>
  </si>
  <si>
    <t>IC3311</t>
  </si>
  <si>
    <t>12h25m33.1s</t>
  </si>
  <si>
    <t>+12h15m37s</t>
  </si>
  <si>
    <t>very faint, considerably small, much extended 135°</t>
  </si>
  <si>
    <t>vF, cS, mE 135°</t>
  </si>
  <si>
    <t>IC3312</t>
  </si>
  <si>
    <t>12h25m29.8s</t>
  </si>
  <si>
    <t>+23h34m53s</t>
  </si>
  <si>
    <t>extremely faint, small, round, brighter middle, very difficult</t>
  </si>
  <si>
    <t>eF, S, R, bM, v diffic</t>
  </si>
  <si>
    <t>IC3313</t>
  </si>
  <si>
    <t>12h25m36.5s</t>
  </si>
  <si>
    <t>+15h49m47s</t>
  </si>
  <si>
    <t>F, vS, R, planetary, B 297 ssp</t>
  </si>
  <si>
    <t>IC3314</t>
  </si>
  <si>
    <t>12h25m31.4s</t>
  </si>
  <si>
    <t>+23h35m30s</t>
  </si>
  <si>
    <t>IC3315</t>
  </si>
  <si>
    <t>12h25m39s</t>
  </si>
  <si>
    <t>+12h18m48s</t>
  </si>
  <si>
    <t>extended, brighter middle, magnitude 15</t>
  </si>
  <si>
    <t>E, bM, magn 15</t>
  </si>
  <si>
    <t>IC3316</t>
  </si>
  <si>
    <t>12h25m36s</t>
  </si>
  <si>
    <t>+26h9m51s</t>
  </si>
  <si>
    <t>extremely faint, very small, brighter middle, possibly nebulous</t>
  </si>
  <si>
    <t>eF, vS, bM, ? neb</t>
  </si>
  <si>
    <t>IC3317</t>
  </si>
  <si>
    <t>E+E</t>
  </si>
  <si>
    <t>12h25m38.8s</t>
  </si>
  <si>
    <t>+25h20m36s</t>
  </si>
  <si>
    <t>IC3318</t>
  </si>
  <si>
    <t>12h25m50s</t>
  </si>
  <si>
    <t>+9h45m46s</t>
  </si>
  <si>
    <t>pretty bright, small, = 10.5 magnitude star</t>
  </si>
  <si>
    <t>pB, S, = * 10.5</t>
  </si>
  <si>
    <t>IC3319</t>
  </si>
  <si>
    <t>12h25m51s</t>
  </si>
  <si>
    <t>+10h23m28s</t>
  </si>
  <si>
    <t>IC3320</t>
  </si>
  <si>
    <t>pretty faint, pretty small, irregular figure, faint nucleus</t>
  </si>
  <si>
    <t>pF, pS, iF, FN</t>
  </si>
  <si>
    <t>IC3321</t>
  </si>
  <si>
    <t>12h25m46s</t>
  </si>
  <si>
    <t>+26h4m55s</t>
  </si>
  <si>
    <t>very faint, very small, round, perhaps a double star</t>
  </si>
  <si>
    <t>vF, vS, R, ? D *</t>
  </si>
  <si>
    <t>IC3322</t>
  </si>
  <si>
    <t>12h25m54.1s</t>
  </si>
  <si>
    <t>+7h33m17s</t>
  </si>
  <si>
    <t>considerably faint, pretty small, much extended 130°</t>
  </si>
  <si>
    <t>cF, pS, mE 130°</t>
  </si>
  <si>
    <t>IC3323</t>
  </si>
  <si>
    <t>12h25m48.2s</t>
  </si>
  <si>
    <t>+27h32m36s</t>
  </si>
  <si>
    <t>considerably faint, very small, round, brighter middle, nebulous star attached</t>
  </si>
  <si>
    <t>cF, vS, R, bM, neb * att</t>
  </si>
  <si>
    <t>IC3324</t>
  </si>
  <si>
    <t>12h25m49s</t>
  </si>
  <si>
    <t>+26h44m22s</t>
  </si>
  <si>
    <t>IC3325</t>
  </si>
  <si>
    <t>12h25m51.4s</t>
  </si>
  <si>
    <t>+23h53m45s</t>
  </si>
  <si>
    <t>IC3326</t>
  </si>
  <si>
    <t>12h25m52.7s</t>
  </si>
  <si>
    <t>+23h46m6s</t>
  </si>
  <si>
    <t>IC3327</t>
  </si>
  <si>
    <t>12h26m2.8s</t>
  </si>
  <si>
    <t>+14h52m49s</t>
  </si>
  <si>
    <t>IC3328</t>
  </si>
  <si>
    <t>12h25m58s</t>
  </si>
  <si>
    <t>+10h3m14s</t>
  </si>
  <si>
    <t>IC3329</t>
  </si>
  <si>
    <t>+27h33m52s</t>
  </si>
  <si>
    <t>very faint, small, irregular figure, attached to (NGC) 4393</t>
  </si>
  <si>
    <t>vF, S, iF, att 4393</t>
  </si>
  <si>
    <t>IC3330</t>
  </si>
  <si>
    <t>12h25m56.3s</t>
  </si>
  <si>
    <t>+30h50m35s</t>
  </si>
  <si>
    <t>faint, considerably small, extended east-west, gradually brighter middle</t>
  </si>
  <si>
    <t>F, cS, E pf, gbM</t>
  </si>
  <si>
    <t>IC3331</t>
  </si>
  <si>
    <t>12h26m5.3s</t>
  </si>
  <si>
    <t>+11h48m45s</t>
  </si>
  <si>
    <t>eF, cS, E 78°, bM</t>
  </si>
  <si>
    <t>IC3332</t>
  </si>
  <si>
    <t>E+E?</t>
  </si>
  <si>
    <t>12h26m5.1s</t>
  </si>
  <si>
    <t>+25h16m46s</t>
  </si>
  <si>
    <t>IC3333</t>
  </si>
  <si>
    <t>12h26m8.9s</t>
  </si>
  <si>
    <t>very faint, very small, possibly a 14th magnitude star</t>
  </si>
  <si>
    <t>vF, vS, ? * 14</t>
  </si>
  <si>
    <t>IC3334</t>
  </si>
  <si>
    <t>12h26m9.5s</t>
  </si>
  <si>
    <t>+28h27m57s</t>
  </si>
  <si>
    <t>IC3335</t>
  </si>
  <si>
    <t>12h26m19s</t>
  </si>
  <si>
    <t>+26h7m47s</t>
  </si>
  <si>
    <t>extremely faint, very small, round, brighter middle, suspected nebulosity</t>
  </si>
  <si>
    <t>eF, vS, R, bM, ? neb</t>
  </si>
  <si>
    <t>IC3336</t>
  </si>
  <si>
    <t>12h26m19.7s</t>
  </si>
  <si>
    <t>+26h50m18s</t>
  </si>
  <si>
    <t>IC3337</t>
  </si>
  <si>
    <t>12h26m21.3s</t>
  </si>
  <si>
    <t>+25h18m39s</t>
  </si>
  <si>
    <t>IC3338</t>
  </si>
  <si>
    <t>12h26m22.1s</t>
  </si>
  <si>
    <t>+25h53m9s</t>
  </si>
  <si>
    <t>IC3339</t>
  </si>
  <si>
    <t>12h26m30s</t>
  </si>
  <si>
    <t>+8h52m18s</t>
  </si>
  <si>
    <t>11th magnitude star with nebulosity to northeast</t>
  </si>
  <si>
    <t>* 11 with neb nf</t>
  </si>
  <si>
    <t>IC3340</t>
  </si>
  <si>
    <t>12h26m32.6s</t>
  </si>
  <si>
    <t>+16h50m39s</t>
  </si>
  <si>
    <t>very small, extended 200°</t>
  </si>
  <si>
    <t>vS, E 200°</t>
  </si>
  <si>
    <t>IC3341</t>
  </si>
  <si>
    <t>12h26m23.2s</t>
  </si>
  <si>
    <t>+27h44m46s</t>
  </si>
  <si>
    <t>IC3342</t>
  </si>
  <si>
    <t>12h26m27.2s</t>
  </si>
  <si>
    <t>+27h8m22s</t>
  </si>
  <si>
    <t>very faint, very small, round, spiral, suddenly bright middle like a star</t>
  </si>
  <si>
    <t>vF, vS, R, spir, sbM *</t>
  </si>
  <si>
    <t>IC3343</t>
  </si>
  <si>
    <t>12h26m34.7s</t>
  </si>
  <si>
    <t>+8h52m35s</t>
  </si>
  <si>
    <t>extremely faint, very small, very questionable</t>
  </si>
  <si>
    <t>eF, vS, ??</t>
  </si>
  <si>
    <t>IC3344</t>
  </si>
  <si>
    <t>12h26m32.3s</t>
  </si>
  <si>
    <t>+13h34m46s</t>
  </si>
  <si>
    <t>IC3345</t>
  </si>
  <si>
    <t>12h26m33.3s</t>
  </si>
  <si>
    <t>+24h22m8s</t>
  </si>
  <si>
    <t>IC3346</t>
  </si>
  <si>
    <t>12h26m44.5s</t>
  </si>
  <si>
    <t>+11h22m47s</t>
  </si>
  <si>
    <t>extremely small, round, brighter middle, magnitude 15.5</t>
  </si>
  <si>
    <t>eS, R, bM, magn 15.5</t>
  </si>
  <si>
    <t>IC3347</t>
  </si>
  <si>
    <t>+10h55m7s</t>
  </si>
  <si>
    <t>IC3348</t>
  </si>
  <si>
    <t>12h26m38s</t>
  </si>
  <si>
    <t>+25h37m27s</t>
  </si>
  <si>
    <t>IC3349</t>
  </si>
  <si>
    <t>12h26m47.1s</t>
  </si>
  <si>
    <t>+12h27m14s</t>
  </si>
  <si>
    <t>very small, round, a little brighter middle, magnitude 15</t>
  </si>
  <si>
    <t>vS, R, lbM, magn 15</t>
  </si>
  <si>
    <t>IC3350</t>
  </si>
  <si>
    <t>12h26m46.4s</t>
  </si>
  <si>
    <t>+9h26m33s</t>
  </si>
  <si>
    <t>10.5 magnitude star with nebulosity to southwest</t>
  </si>
  <si>
    <t>* 10.5 with neb sp</t>
  </si>
  <si>
    <t>IC3351</t>
  </si>
  <si>
    <t>12h26m41.6s</t>
  </si>
  <si>
    <t>+27h36m21s</t>
  </si>
  <si>
    <t>IC3352</t>
  </si>
  <si>
    <t>12h26m47.3s</t>
  </si>
  <si>
    <t>+8h45m26s</t>
  </si>
  <si>
    <t>IC3353</t>
  </si>
  <si>
    <t>12h26m45s</t>
  </si>
  <si>
    <t>+27h54m43s</t>
  </si>
  <si>
    <t>IC3354</t>
  </si>
  <si>
    <t>12h26m51.5s</t>
  </si>
  <si>
    <t>+12h5m49s</t>
  </si>
  <si>
    <t>extremely faint, small, questionable</t>
  </si>
  <si>
    <t>eF, S, ?</t>
  </si>
  <si>
    <t>IC3355</t>
  </si>
  <si>
    <t>12h26m50.7s</t>
  </si>
  <si>
    <t>+13h10m38s</t>
  </si>
  <si>
    <t>eF, pS, E 168°</t>
  </si>
  <si>
    <t>IC3356</t>
  </si>
  <si>
    <t>12h26m50.8s</t>
  </si>
  <si>
    <t>+11h33m30s</t>
  </si>
  <si>
    <t>IC3357</t>
  </si>
  <si>
    <t>12h26m51.4s</t>
  </si>
  <si>
    <t>+9h46m39s</t>
  </si>
  <si>
    <t>IC3358</t>
  </si>
  <si>
    <t>12h26m54.4s</t>
  </si>
  <si>
    <t>+11h39m48s</t>
  </si>
  <si>
    <t>IC3359</t>
  </si>
  <si>
    <t>12h26m51.3s</t>
  </si>
  <si>
    <t>+23h29m55s</t>
  </si>
  <si>
    <t>faint, small, irregular figure, nuclear, 14th magnitude star to northwest</t>
  </si>
  <si>
    <t>F, S, iF, N, * 14 np</t>
  </si>
  <si>
    <t>IC3360</t>
  </si>
  <si>
    <t>12h26m50.9s</t>
  </si>
  <si>
    <t>+26h2m46s</t>
  </si>
  <si>
    <t>IC3361</t>
  </si>
  <si>
    <t>12h26m54.5s</t>
  </si>
  <si>
    <t>+10h39m55s</t>
  </si>
  <si>
    <t>IC3362</t>
  </si>
  <si>
    <t>12h26m54.3s</t>
  </si>
  <si>
    <t>+26h41m26s</t>
  </si>
  <si>
    <t>faint, very small, brighter middle, spiral</t>
  </si>
  <si>
    <t>F, vS, bM, spir</t>
  </si>
  <si>
    <t>IC3363</t>
  </si>
  <si>
    <t>12h27m3s</t>
  </si>
  <si>
    <t>+12h33m40s</t>
  </si>
  <si>
    <t>IC3364</t>
  </si>
  <si>
    <t>12h27m4.7s</t>
  </si>
  <si>
    <t>+25h33m48s</t>
  </si>
  <si>
    <t>IC3365</t>
  </si>
  <si>
    <t>12h27m11.5s</t>
  </si>
  <si>
    <t>+15h53m49s</t>
  </si>
  <si>
    <t>pL, vmE 240°</t>
  </si>
  <si>
    <t>IC3366</t>
  </si>
  <si>
    <t>12h27m12.1s</t>
  </si>
  <si>
    <t>+9h24m36s</t>
  </si>
  <si>
    <t>IC3367</t>
  </si>
  <si>
    <t>12h27m10s</t>
  </si>
  <si>
    <t>+26h57m28s</t>
  </si>
  <si>
    <t>F, vS, R, att 2nd np</t>
  </si>
  <si>
    <t>IC3368</t>
  </si>
  <si>
    <t>12h27m20.5s</t>
  </si>
  <si>
    <t>+16h25m38s</t>
  </si>
  <si>
    <t>very small, very little extended, a planetary nebula</t>
  </si>
  <si>
    <t>vS, vlE, planetary</t>
  </si>
  <si>
    <t>IC3369</t>
  </si>
  <si>
    <t>12h27m16.9s</t>
  </si>
  <si>
    <t>+16h1m29s</t>
  </si>
  <si>
    <t>very faint, brighter middle, magnitude 14</t>
  </si>
  <si>
    <t>vF, bM, magn 14</t>
  </si>
  <si>
    <t>IC3370</t>
  </si>
  <si>
    <t>12h27m37.2s</t>
  </si>
  <si>
    <t>-39h20m16s</t>
  </si>
  <si>
    <t>pB, pL, R, * 8.5 p 4'</t>
  </si>
  <si>
    <t>IC3371</t>
  </si>
  <si>
    <t>12h27m22.2s</t>
  </si>
  <si>
    <t>+10h52m0s</t>
  </si>
  <si>
    <t>F, pL, vmE 225°</t>
  </si>
  <si>
    <t>IC3372</t>
  </si>
  <si>
    <t>12h27m24.8s</t>
  </si>
  <si>
    <t>very faint, very small, brighter middle, spiral</t>
  </si>
  <si>
    <t>vF, vS, bM, spir</t>
  </si>
  <si>
    <t>IC3373</t>
  </si>
  <si>
    <t>12h27m27.7s</t>
  </si>
  <si>
    <t>+25h27m11s</t>
  </si>
  <si>
    <t>IC3374</t>
  </si>
  <si>
    <t>Irr?</t>
  </si>
  <si>
    <t>12h27m33.4s</t>
  </si>
  <si>
    <t>+10h0m14s</t>
  </si>
  <si>
    <t>IC3375</t>
  </si>
  <si>
    <t>12h27m40.2s</t>
  </si>
  <si>
    <t>+27h21m54s</t>
  </si>
  <si>
    <t>faint, very small, round, attached 14th magnitude star to southwest</t>
  </si>
  <si>
    <t>F, vS, R, att * 14 sp</t>
  </si>
  <si>
    <t>IC3376</t>
  </si>
  <si>
    <t>12h27m50.2s</t>
  </si>
  <si>
    <t>+26h59m37s</t>
  </si>
  <si>
    <t>IC3377</t>
  </si>
  <si>
    <t>12h27m51.9s</t>
  </si>
  <si>
    <t>+24h56m34s</t>
  </si>
  <si>
    <t>IC3378</t>
  </si>
  <si>
    <t>12h28m1.5s</t>
  </si>
  <si>
    <t>+17h17m46s</t>
  </si>
  <si>
    <t>2 nebulae, 1' apart, magnitude 15.5</t>
  </si>
  <si>
    <t>2 neb, 1' apart, magn 15.5</t>
  </si>
  <si>
    <t>IC3379</t>
  </si>
  <si>
    <t>12h28m4.2s</t>
  </si>
  <si>
    <t>+17h18m21s</t>
  </si>
  <si>
    <t>IC3380</t>
  </si>
  <si>
    <t>12h28m5.5s</t>
  </si>
  <si>
    <t>+26h40m24s</t>
  </si>
  <si>
    <t>IC3381</t>
  </si>
  <si>
    <t>12h28m14.8s</t>
  </si>
  <si>
    <t>+11h47m22s</t>
  </si>
  <si>
    <t>IC3382</t>
  </si>
  <si>
    <t>12h28m13.6s</t>
  </si>
  <si>
    <t>+13h34m16s</t>
  </si>
  <si>
    <t>faint, pretty small, much extended 150°</t>
  </si>
  <si>
    <t>F, pS, mE 150°</t>
  </si>
  <si>
    <t>IC3383</t>
  </si>
  <si>
    <t>+10h17m51s</t>
  </si>
  <si>
    <t>IC3384</t>
  </si>
  <si>
    <t>12h28m12.5s</t>
  </si>
  <si>
    <t>+25h5m29s</t>
  </si>
  <si>
    <t>IC3385</t>
  </si>
  <si>
    <t>dI</t>
  </si>
  <si>
    <t>12h28m15.1s</t>
  </si>
  <si>
    <t>+25h25m55s</t>
  </si>
  <si>
    <t>extremely faint, pretty small, round, brighter middle, diffuse</t>
  </si>
  <si>
    <t>eF, pS, R, bM, dif</t>
  </si>
  <si>
    <t>IC3386</t>
  </si>
  <si>
    <t>12h28m24s</t>
  </si>
  <si>
    <t>+13h11m43s</t>
  </si>
  <si>
    <t>very faint, considerably small, extended 90°</t>
  </si>
  <si>
    <t>vF, cS, E 90°</t>
  </si>
  <si>
    <t>IC3387</t>
  </si>
  <si>
    <t>12h28m18.8s</t>
  </si>
  <si>
    <t>+27h59m45s</t>
  </si>
  <si>
    <t>very faint, small, very irregular figure</t>
  </si>
  <si>
    <t>vF, S, viF</t>
  </si>
  <si>
    <t>IC3388</t>
  </si>
  <si>
    <t>12h28m28.1s</t>
  </si>
  <si>
    <t>+12h49m25s</t>
  </si>
  <si>
    <t>IC3389</t>
  </si>
  <si>
    <t>12h28m23.6s</t>
  </si>
  <si>
    <t>+27h50m42s</t>
  </si>
  <si>
    <t>IC3390</t>
  </si>
  <si>
    <t>12h28m28.7s</t>
  </si>
  <si>
    <t>+24h48m32s</t>
  </si>
  <si>
    <t>IC3391</t>
  </si>
  <si>
    <t>12h28m27.4s</t>
  </si>
  <si>
    <t>+18h24m55s</t>
  </si>
  <si>
    <t>cS, vlE, sbMF *, ? spir</t>
  </si>
  <si>
    <t>IC3392</t>
  </si>
  <si>
    <t>12h28m43.2s</t>
  </si>
  <si>
    <t>+14h59m57s</t>
  </si>
  <si>
    <t>B, L, mE 225°, mbM</t>
  </si>
  <si>
    <t>IC3393</t>
  </si>
  <si>
    <t>12h28m41.7s</t>
  </si>
  <si>
    <t>+12h54m59s</t>
  </si>
  <si>
    <t>small, extended 125°, brighter middle, magnitude 14</t>
  </si>
  <si>
    <t>S, E 125°, bM, magn 14</t>
  </si>
  <si>
    <t>IC3394</t>
  </si>
  <si>
    <t>12h28m41.1s</t>
  </si>
  <si>
    <t>+26h47m56s</t>
  </si>
  <si>
    <t>faint, small, brighter middle, spiral</t>
  </si>
  <si>
    <t>F, S, bM, spir</t>
  </si>
  <si>
    <t>IC3395</t>
  </si>
  <si>
    <t>12h28m44.6s</t>
  </si>
  <si>
    <t>+25h2m6s</t>
  </si>
  <si>
    <t>IC3396</t>
  </si>
  <si>
    <t>12h28m45.1s</t>
  </si>
  <si>
    <t>+25h2m59s</t>
  </si>
  <si>
    <t>vF, vS, R, bM, others n</t>
  </si>
  <si>
    <t>IC3397</t>
  </si>
  <si>
    <t>12h28m46.7s</t>
  </si>
  <si>
    <t>+25h43m54s</t>
  </si>
  <si>
    <t>F, S, v iF</t>
  </si>
  <si>
    <t>IC3398</t>
  </si>
  <si>
    <t>12h28m58.2s</t>
  </si>
  <si>
    <t>+13h33m54s</t>
  </si>
  <si>
    <t>IC3399</t>
  </si>
  <si>
    <t>12h28m56.2s</t>
  </si>
  <si>
    <t>+25h41m44s</t>
  </si>
  <si>
    <t>IC3400</t>
  </si>
  <si>
    <t>+9h24m22s</t>
  </si>
  <si>
    <t>considerably bright, considerably small, = 10th magnitude star</t>
  </si>
  <si>
    <t>cB, cS, = * 10</t>
  </si>
  <si>
    <t>IC3401</t>
  </si>
  <si>
    <t>12h28m58.8s</t>
  </si>
  <si>
    <t>+26h27m38s</t>
  </si>
  <si>
    <t>IC3402</t>
  </si>
  <si>
    <t>12h28m59.3s</t>
  </si>
  <si>
    <t>+28h51m45s</t>
  </si>
  <si>
    <t>vF, cL, E 10°, * np, conn ?</t>
  </si>
  <si>
    <t>IC3403</t>
  </si>
  <si>
    <t>12h29m1.6s</t>
  </si>
  <si>
    <t>+24h37m58s</t>
  </si>
  <si>
    <t>considerably faint, small, pretty round, brighter middle</t>
  </si>
  <si>
    <t>cF, S, pR, bM</t>
  </si>
  <si>
    <t>IC3404</t>
  </si>
  <si>
    <t>12h29m10.7s</t>
  </si>
  <si>
    <t>+7h9m14s</t>
  </si>
  <si>
    <t>considerably bright, considerably small, round, much brighter middle</t>
  </si>
  <si>
    <t>cB, cS, R, mbM</t>
  </si>
  <si>
    <t>IC3405</t>
  </si>
  <si>
    <t>12h28m59.5s</t>
  </si>
  <si>
    <t>+37h43m50s</t>
  </si>
  <si>
    <t>IC3406</t>
  </si>
  <si>
    <t>12h29m2.8s</t>
  </si>
  <si>
    <t>+27h38m26s</t>
  </si>
  <si>
    <t>considerably faint, small, brighter middle, spiral</t>
  </si>
  <si>
    <t>cF, S, bM, spir</t>
  </si>
  <si>
    <t>IC3407</t>
  </si>
  <si>
    <t>12h29m3.9s</t>
  </si>
  <si>
    <t>+27h46m42s</t>
  </si>
  <si>
    <t>considerably faint, considerably small, extended 150°, brighter middle, possibly spiral</t>
  </si>
  <si>
    <t>cF, cS, E 150°, bM, ? spir</t>
  </si>
  <si>
    <t>IC3408</t>
  </si>
  <si>
    <t>12h29m15.9s</t>
  </si>
  <si>
    <t>+11h52m32s</t>
  </si>
  <si>
    <t>bright, stellar, possibly 9.5 magnitude star</t>
  </si>
  <si>
    <t>B, stell, ? * 9.5</t>
  </si>
  <si>
    <t>IC3409</t>
  </si>
  <si>
    <t>S?     R</t>
  </si>
  <si>
    <t>12h29m21.1s</t>
  </si>
  <si>
    <t>+14h47m18s</t>
  </si>
  <si>
    <t>IC3410</t>
  </si>
  <si>
    <t>12h29m6.1s</t>
  </si>
  <si>
    <t>+19h0m18s</t>
  </si>
  <si>
    <t>IC3411</t>
  </si>
  <si>
    <t>12h29m12.4s</t>
  </si>
  <si>
    <t>+24h35m2s</t>
  </si>
  <si>
    <t>eF, S, iF, neby sf</t>
  </si>
  <si>
    <t>IC3412</t>
  </si>
  <si>
    <t>12h29m22.6s</t>
  </si>
  <si>
    <t>+9h59m16s</t>
  </si>
  <si>
    <t>IC3413</t>
  </si>
  <si>
    <t>+11h26m1s</t>
  </si>
  <si>
    <t>IC3414</t>
  </si>
  <si>
    <t>12h29m28.9s</t>
  </si>
  <si>
    <t>+6h46m12s</t>
  </si>
  <si>
    <t>considerably faint, considerably small, much brighter middle</t>
  </si>
  <si>
    <t>cF, cS, mbM</t>
  </si>
  <si>
    <t>IC3415</t>
  </si>
  <si>
    <t>12h29m21.9s</t>
  </si>
  <si>
    <t>+26h45m57s</t>
  </si>
  <si>
    <t>faint, very small, brighter middle, spiral, possibly nebulous star</t>
  </si>
  <si>
    <t>F, vS, bM, spir, ? neb *</t>
  </si>
  <si>
    <t>IC3416</t>
  </si>
  <si>
    <t>12h29m35.5s</t>
  </si>
  <si>
    <t>+10h47m38s</t>
  </si>
  <si>
    <t>S, mE 250°</t>
  </si>
  <si>
    <t>IC3417</t>
  </si>
  <si>
    <t>12h29m39.1s</t>
  </si>
  <si>
    <t>+7h51m40s</t>
  </si>
  <si>
    <t>extremely faint, very small, possibly a star</t>
  </si>
  <si>
    <t>eF, vS, ? *</t>
  </si>
  <si>
    <t>IC3418</t>
  </si>
  <si>
    <t>12h29m42.5s</t>
  </si>
  <si>
    <t>+11h24m3s</t>
  </si>
  <si>
    <t>very faint, wisp</t>
  </si>
  <si>
    <t>vF, wisp</t>
  </si>
  <si>
    <t>IC3419</t>
  </si>
  <si>
    <t>12h29m44.6s</t>
  </si>
  <si>
    <t>+15h1m27s</t>
  </si>
  <si>
    <t>very faint, round, magnitude 16</t>
  </si>
  <si>
    <t>vF, R, magn 16</t>
  </si>
  <si>
    <t>IC3420</t>
  </si>
  <si>
    <t>12h29m42.7s</t>
  </si>
  <si>
    <t>+13h26m46s</t>
  </si>
  <si>
    <t>very faint, small, round, very questionable</t>
  </si>
  <si>
    <t>vF, S, R, ??</t>
  </si>
  <si>
    <t>IC3421</t>
  </si>
  <si>
    <t>12h29m38.8s</t>
  </si>
  <si>
    <t>+26h13m52s</t>
  </si>
  <si>
    <t>a cluster, faint, considerably small, round, brighter middle</t>
  </si>
  <si>
    <t>Cl, F, cS, R, bM</t>
  </si>
  <si>
    <t>IC3422</t>
  </si>
  <si>
    <t>12h29m54.6s</t>
  </si>
  <si>
    <t>+14h41m18s</t>
  </si>
  <si>
    <t>IC3423</t>
  </si>
  <si>
    <t>12h29m46.5s</t>
  </si>
  <si>
    <t>+13h39m32s</t>
  </si>
  <si>
    <t>IC3424</t>
  </si>
  <si>
    <t>12h29m45s</t>
  </si>
  <si>
    <t>+24h24m30s</t>
  </si>
  <si>
    <t>IC3425</t>
  </si>
  <si>
    <t>12h29m56.5s</t>
  </si>
  <si>
    <t>+10h36m56s</t>
  </si>
  <si>
    <t>IC3426</t>
  </si>
  <si>
    <t>12h30m1.5s</t>
  </si>
  <si>
    <t>+13h35m54s</t>
  </si>
  <si>
    <t>IC3427</t>
  </si>
  <si>
    <t>faint, very small, excentric nucleus to east</t>
  </si>
  <si>
    <t>F, vS, exc Nf</t>
  </si>
  <si>
    <t>IC3428</t>
  </si>
  <si>
    <t>12h30m7.6s</t>
  </si>
  <si>
    <t>+23h40m30s</t>
  </si>
  <si>
    <t>IC3429</t>
  </si>
  <si>
    <t>12h30m7.9s</t>
  </si>
  <si>
    <t>+23h32m44s</t>
  </si>
  <si>
    <t>IC3430</t>
  </si>
  <si>
    <t>12h30m17.1s</t>
  </si>
  <si>
    <t>+9h5m4s</t>
  </si>
  <si>
    <t>IC3431</t>
  </si>
  <si>
    <t>12h30m24.2s</t>
  </si>
  <si>
    <t>+11h36m51s</t>
  </si>
  <si>
    <t>IC3432</t>
  </si>
  <si>
    <t>12h30m27.8s</t>
  </si>
  <si>
    <t>+14h9m38s</t>
  </si>
  <si>
    <t>bright, small, round</t>
  </si>
  <si>
    <t>B, S, R</t>
  </si>
  <si>
    <t>IC3433</t>
  </si>
  <si>
    <t>12h30m28.3s</t>
  </si>
  <si>
    <t>IC3434</t>
  </si>
  <si>
    <t>12h30m27.2s</t>
  </si>
  <si>
    <t>+18h48m34s</t>
  </si>
  <si>
    <t>IC3435</t>
  </si>
  <si>
    <t>12h30m39.9s</t>
  </si>
  <si>
    <t>+15h7m47s</t>
  </si>
  <si>
    <t>small, much extended 135°, suddenly brighter middle</t>
  </si>
  <si>
    <t>S, mE 135°, sbM</t>
  </si>
  <si>
    <t>IC3436</t>
  </si>
  <si>
    <t>12h30m29.9s</t>
  </si>
  <si>
    <t>+19h40m25s</t>
  </si>
  <si>
    <t>IC3437</t>
  </si>
  <si>
    <t>12h30m45.9s</t>
  </si>
  <si>
    <t>+11h20m34s</t>
  </si>
  <si>
    <t>IC3438</t>
  </si>
  <si>
    <t>considerably faint, small, faint nucleus</t>
  </si>
  <si>
    <t>cF, S, FN</t>
  </si>
  <si>
    <t>IC3439</t>
  </si>
  <si>
    <t>12h30m59.6s</t>
  </si>
  <si>
    <t>+25h33m41s</t>
  </si>
  <si>
    <t>vF, cS, iF, sev N</t>
  </si>
  <si>
    <t>IC3440</t>
  </si>
  <si>
    <t>12h31m5.1s</t>
  </si>
  <si>
    <t>+12h1m46s</t>
  </si>
  <si>
    <t>extremely faint, pretty small, a little extended 30°</t>
  </si>
  <si>
    <t>eF, pS, lE 30°</t>
  </si>
  <si>
    <t>IC3441</t>
  </si>
  <si>
    <t>12h31m4.5s</t>
  </si>
  <si>
    <t>+28h51m13s</t>
  </si>
  <si>
    <t>IC3442</t>
  </si>
  <si>
    <t>12h31m20.2s</t>
  </si>
  <si>
    <t>+14h6m52s</t>
  </si>
  <si>
    <t>IC3443</t>
  </si>
  <si>
    <t>12h31m15.6s</t>
  </si>
  <si>
    <t>+12h19m56s</t>
  </si>
  <si>
    <t>IC3444</t>
  </si>
  <si>
    <t>12h31m14.1s</t>
  </si>
  <si>
    <t>+27h32m57s</t>
  </si>
  <si>
    <t>IC3445</t>
  </si>
  <si>
    <t>12h31m19.4s</t>
  </si>
  <si>
    <t>+12h44m16s</t>
  </si>
  <si>
    <t>faint, extremely small, round</t>
  </si>
  <si>
    <t>F, eS, R</t>
  </si>
  <si>
    <t>IC3446</t>
  </si>
  <si>
    <t>12h31m23s</t>
  </si>
  <si>
    <t>+11h29m33s</t>
  </si>
  <si>
    <t>IC3447</t>
  </si>
  <si>
    <t>12h31m17.9s</t>
  </si>
  <si>
    <t>+10h40m48s</t>
  </si>
  <si>
    <t>IC3448</t>
  </si>
  <si>
    <t>12h31m23.1s</t>
  </si>
  <si>
    <t>+17h12m22s</t>
  </si>
  <si>
    <t>very faint, very little extended</t>
  </si>
  <si>
    <t>vF, vlE</t>
  </si>
  <si>
    <t>IC3449</t>
  </si>
  <si>
    <t>12h31m22.9s</t>
  </si>
  <si>
    <t>+25h54m52s</t>
  </si>
  <si>
    <t>extremely faint, very small, brighter middle, spiral</t>
  </si>
  <si>
    <t>eF, vS, bM, spir</t>
  </si>
  <si>
    <t>IC3450</t>
  </si>
  <si>
    <t>12h31m24.9s</t>
  </si>
  <si>
    <t>+26h47m47s</t>
  </si>
  <si>
    <t>vF, vS, spir, ? (I 83 sp)</t>
  </si>
  <si>
    <t>IC3451</t>
  </si>
  <si>
    <t>12h31m24s</t>
  </si>
  <si>
    <t>+28h51m20s</t>
  </si>
  <si>
    <t>IC3452</t>
  </si>
  <si>
    <t>pretty faint, pretty small, extended 100°</t>
  </si>
  <si>
    <t xml:space="preserve">pF, pS, E 100° </t>
  </si>
  <si>
    <t>IC3453</t>
  </si>
  <si>
    <t>12h31m37.8s</t>
  </si>
  <si>
    <t>+14h51m34s</t>
  </si>
  <si>
    <t>faint, small, extended 160°, a little brighter middle</t>
  </si>
  <si>
    <t>F, S, E 160°, lbM</t>
  </si>
  <si>
    <t>IC3454</t>
  </si>
  <si>
    <t>12h31m38.7s</t>
  </si>
  <si>
    <t>+27h29m47s</t>
  </si>
  <si>
    <t>F, S, iF, dif, att * 11 n</t>
  </si>
  <si>
    <t>IC3455</t>
  </si>
  <si>
    <t>12h31m44.6s</t>
  </si>
  <si>
    <t>+25h47m7s</t>
  </si>
  <si>
    <t>IC3456</t>
  </si>
  <si>
    <t>12h31m43.7s</t>
  </si>
  <si>
    <t>+28h21m26s</t>
  </si>
  <si>
    <t>IC3457</t>
  </si>
  <si>
    <t>12h31m51.4s</t>
  </si>
  <si>
    <t>+12h39m26s</t>
  </si>
  <si>
    <t>small, round, a little brighter middle</t>
  </si>
  <si>
    <t>S, R, lbM</t>
  </si>
  <si>
    <t>IC3458</t>
  </si>
  <si>
    <t>12h31m44s</t>
  </si>
  <si>
    <t>+28h8m50s</t>
  </si>
  <si>
    <t>IC3459</t>
  </si>
  <si>
    <t>12h31m55.9s</t>
  </si>
  <si>
    <t>+12h10m29s</t>
  </si>
  <si>
    <t>IC3460</t>
  </si>
  <si>
    <t>12h31m50.4s</t>
  </si>
  <si>
    <t>+27h23m14s</t>
  </si>
  <si>
    <t>IC3461</t>
  </si>
  <si>
    <t>12h32m2.8s</t>
  </si>
  <si>
    <t>+11h53m23s</t>
  </si>
  <si>
    <t>IC3462</t>
  </si>
  <si>
    <t>12h32m9.6s</t>
  </si>
  <si>
    <t>+15h18m4s</t>
  </si>
  <si>
    <t>IC3463</t>
  </si>
  <si>
    <t>12h32m5s</t>
  </si>
  <si>
    <t>+12h19m12s</t>
  </si>
  <si>
    <t>very faint, considerably small, extended 40°</t>
  </si>
  <si>
    <t>vF, cS, E 40°</t>
  </si>
  <si>
    <t>IC3464</t>
  </si>
  <si>
    <t>12h32m0.3s</t>
  </si>
  <si>
    <t>+26h0m16s</t>
  </si>
  <si>
    <t>IC3465</t>
  </si>
  <si>
    <t>12h32m12.3s</t>
  </si>
  <si>
    <t>+12h3m41s</t>
  </si>
  <si>
    <t>IC3466</t>
  </si>
  <si>
    <t>12h32m5.6s</t>
  </si>
  <si>
    <t>+11h49m3s</t>
  </si>
  <si>
    <t>IC3467</t>
  </si>
  <si>
    <t>12h32m24.5s</t>
  </si>
  <si>
    <t>+11h47m15s</t>
  </si>
  <si>
    <t>cS, vmE 255°, sbM *</t>
  </si>
  <si>
    <t>IC3468</t>
  </si>
  <si>
    <t>12h32m14.1s</t>
  </si>
  <si>
    <t>+10h15m7s</t>
  </si>
  <si>
    <t>brighter middle, magnitude 13.5</t>
  </si>
  <si>
    <t>bM, magn 13.5</t>
  </si>
  <si>
    <t>IC3469</t>
  </si>
  <si>
    <t>12h32m11.1s</t>
  </si>
  <si>
    <t>+25h48m10s</t>
  </si>
  <si>
    <t>extremely faint, small, extended 50°</t>
  </si>
  <si>
    <t>eF, S, E 50°</t>
  </si>
  <si>
    <t>IC3470</t>
  </si>
  <si>
    <t>12h32m23.3s</t>
  </si>
  <si>
    <t>+11h15m48s</t>
  </si>
  <si>
    <t>IC3471</t>
  </si>
  <si>
    <t>12h32m22.7s</t>
  </si>
  <si>
    <t>+16h1m6s</t>
  </si>
  <si>
    <t>IC3472</t>
  </si>
  <si>
    <t>12h32m18.8s</t>
  </si>
  <si>
    <t>+24h43m42s</t>
  </si>
  <si>
    <t>IC3473</t>
  </si>
  <si>
    <t>12h32m19s</t>
  </si>
  <si>
    <t>+18h14m40s</t>
  </si>
  <si>
    <t>IC3474</t>
  </si>
  <si>
    <t>12h32m36.8s</t>
  </si>
  <si>
    <t>+2h39m45s</t>
  </si>
  <si>
    <t>pretty faint, extended southwest-northeast, diffuse, 17th magnitude star to northwest, bright star to southeast</t>
  </si>
  <si>
    <t>pF, E spnf, dif, * 17 np, B * sf</t>
  </si>
  <si>
    <t>IC3475</t>
  </si>
  <si>
    <t>12h32m40.6s</t>
  </si>
  <si>
    <t>+12h46m10s</t>
  </si>
  <si>
    <t>very faint, pretty small, round, diffuse</t>
  </si>
  <si>
    <t>vF, pS, R, dif</t>
  </si>
  <si>
    <t>IC3476</t>
  </si>
  <si>
    <t>12h32m41.8s</t>
  </si>
  <si>
    <t>+14h3m0s</t>
  </si>
  <si>
    <t>pretty faint, pretty large, a little brighter middle</t>
  </si>
  <si>
    <t>pF, pL, lbM</t>
  </si>
  <si>
    <t>IC3477</t>
  </si>
  <si>
    <t>12h32m38.3s</t>
  </si>
  <si>
    <t>+26h2m18s</t>
  </si>
  <si>
    <t>vF, vF, bM, spir</t>
  </si>
  <si>
    <t>IC3478</t>
  </si>
  <si>
    <t>12h32m44.2s</t>
  </si>
  <si>
    <t>+14h11m46s</t>
  </si>
  <si>
    <t>IC3479</t>
  </si>
  <si>
    <t>12h32m41s</t>
  </si>
  <si>
    <t>+25h24m22s</t>
  </si>
  <si>
    <t>IC3480</t>
  </si>
  <si>
    <t>12h32m41.1s</t>
  </si>
  <si>
    <t>+26h49m44s</t>
  </si>
  <si>
    <t>very faint, small, extended 90°, brighter middle</t>
  </si>
  <si>
    <t>vF, S, E 90°, bM</t>
  </si>
  <si>
    <t>IC3481</t>
  </si>
  <si>
    <t>12h32m52.2s</t>
  </si>
  <si>
    <t>+11h24m17s</t>
  </si>
  <si>
    <t>brighter middle, magnitude 13</t>
  </si>
  <si>
    <t>bM, magn 13</t>
  </si>
  <si>
    <t>IC3482</t>
  </si>
  <si>
    <t>12h33m1s</t>
  </si>
  <si>
    <t>+27h49m50s</t>
  </si>
  <si>
    <t>very faint, small, brighter middle, spiral</t>
  </si>
  <si>
    <t>vF, S, bM, spir</t>
  </si>
  <si>
    <t>IC3483</t>
  </si>
  <si>
    <t>12h33m10s</t>
  </si>
  <si>
    <t>+11h20m49s</t>
  </si>
  <si>
    <t>IC3484</t>
  </si>
  <si>
    <t>12h33m5.3s</t>
  </si>
  <si>
    <t>+17h24m11s</t>
  </si>
  <si>
    <t>IC3485</t>
  </si>
  <si>
    <t>12h33m11.2s</t>
  </si>
  <si>
    <t>+9h13m5s</t>
  </si>
  <si>
    <t>extremely faint, small; questionable</t>
  </si>
  <si>
    <t>IC3486</t>
  </si>
  <si>
    <t>12h33m14s</t>
  </si>
  <si>
    <t>+12h51m26s</t>
  </si>
  <si>
    <t>IC3487</t>
  </si>
  <si>
    <t>12h33m13.4s</t>
  </si>
  <si>
    <t>+9h23m49s</t>
  </si>
  <si>
    <t>IC3488</t>
  </si>
  <si>
    <t>12h33m8.4s</t>
  </si>
  <si>
    <t>+26h20m59s</t>
  </si>
  <si>
    <t>IC3489</t>
  </si>
  <si>
    <t>12h33m13.7s</t>
  </si>
  <si>
    <t>+12h14m49s</t>
  </si>
  <si>
    <t>IC3490</t>
  </si>
  <si>
    <t>12h33m13.9s</t>
  </si>
  <si>
    <t>+10h55m42s</t>
  </si>
  <si>
    <t>vF, S, vmE 240°</t>
  </si>
  <si>
    <t>IC3491</t>
  </si>
  <si>
    <t>12h33m9s</t>
  </si>
  <si>
    <t>+27h5m41s</t>
  </si>
  <si>
    <t>IC3492</t>
  </si>
  <si>
    <t>12h33m19.7s</t>
  </si>
  <si>
    <t>+12h51m14s</t>
  </si>
  <si>
    <t>sbM, prob spiral</t>
  </si>
  <si>
    <t>IC3493</t>
  </si>
  <si>
    <t>12h33m18.9s</t>
  </si>
  <si>
    <t>+9h23m36s</t>
  </si>
  <si>
    <t>IC3494</t>
  </si>
  <si>
    <t>12h33m13.6s</t>
  </si>
  <si>
    <t>+27h35m5s</t>
  </si>
  <si>
    <t>very faint, very small, nebulous star, 15th magnitude star to northwest</t>
  </si>
  <si>
    <t>vF, vS, neb *, * 15 np</t>
  </si>
  <si>
    <t>IC3495</t>
  </si>
  <si>
    <t>12h33m16.5s</t>
  </si>
  <si>
    <t>+26h48m32s</t>
  </si>
  <si>
    <t>very faint, considerably small, irregular figure, difficult</t>
  </si>
  <si>
    <t>vF, cS, iF, diffic</t>
  </si>
  <si>
    <t>IC3496</t>
  </si>
  <si>
    <t>12h33m18.8s</t>
  </si>
  <si>
    <t>+26h45m30s</t>
  </si>
  <si>
    <t>very faint, considerably small, irregular figure, 15th magnitude star involved to south</t>
  </si>
  <si>
    <t>vF, cS, iF, * 15 np</t>
  </si>
  <si>
    <t>IC3497</t>
  </si>
  <si>
    <t>12h33m28.5s</t>
  </si>
  <si>
    <t>+25h29m19s</t>
  </si>
  <si>
    <t>IC3498</t>
  </si>
  <si>
    <t>12h33m29.1s</t>
  </si>
  <si>
    <t>+26h44m19s</t>
  </si>
  <si>
    <t>IC3499</t>
  </si>
  <si>
    <t>12h33m45s</t>
  </si>
  <si>
    <t>+10h59m44s</t>
  </si>
  <si>
    <t>cS, E (wisps) 130°, bM</t>
  </si>
  <si>
    <t>IC3500</t>
  </si>
  <si>
    <t>12h33m49.5s</t>
  </si>
  <si>
    <t>+13h57m46s</t>
  </si>
  <si>
    <t>small, extended 90°, suddenly brighter middle like a star</t>
  </si>
  <si>
    <t>S, E 90°, sbM *</t>
  </si>
  <si>
    <t>IC3501</t>
  </si>
  <si>
    <t>12h33m51.5s</t>
  </si>
  <si>
    <t>+13h19m21s</t>
  </si>
  <si>
    <t>IC3502</t>
  </si>
  <si>
    <t>12h33m42.5s</t>
  </si>
  <si>
    <t>+26h37m4s</t>
  </si>
  <si>
    <t>IC3503</t>
  </si>
  <si>
    <t>12h33m48.4s</t>
  </si>
  <si>
    <t>+37h47m23s</t>
  </si>
  <si>
    <t>extremely faint, very small, brighter middle and nucleus</t>
  </si>
  <si>
    <t>eF, vS, bMN</t>
  </si>
  <si>
    <t>IC3504</t>
  </si>
  <si>
    <t>12h34m8s</t>
  </si>
  <si>
    <t>+6h53m12s</t>
  </si>
  <si>
    <t>extremely faint, very small, near 10th magnitude star</t>
  </si>
  <si>
    <t>eF, vS, nr * 10</t>
  </si>
  <si>
    <t>IC3505</t>
  </si>
  <si>
    <t>12h34m10.3s</t>
  </si>
  <si>
    <t>+15h58m7s</t>
  </si>
  <si>
    <t>IC3506</t>
  </si>
  <si>
    <t>12h34m6.7s</t>
  </si>
  <si>
    <t>+12h44m30s</t>
  </si>
  <si>
    <t>IC3507</t>
  </si>
  <si>
    <t>12h34m4.4s</t>
  </si>
  <si>
    <t>+25h21m48s</t>
  </si>
  <si>
    <t>IC3508</t>
  </si>
  <si>
    <t>12h34m6.9s</t>
  </si>
  <si>
    <t>+26h40m17s</t>
  </si>
  <si>
    <t>IC3509</t>
  </si>
  <si>
    <t>12h34m11.5s</t>
  </si>
  <si>
    <t>+12h2m58s</t>
  </si>
  <si>
    <t>IC3510</t>
  </si>
  <si>
    <t>12h34m15s</t>
  </si>
  <si>
    <t>+11h4m18s</t>
  </si>
  <si>
    <t>extremely faint, brighter middle, magnitude 15, 10th magnitude star to northeast</t>
  </si>
  <si>
    <t>eF, bM, magn 15, * 10 nf</t>
  </si>
  <si>
    <t>IC3511</t>
  </si>
  <si>
    <t>12h34m9.6s</t>
  </si>
  <si>
    <t>+27h20m55s</t>
  </si>
  <si>
    <t>IC3512</t>
  </si>
  <si>
    <t>12h34m9.7s</t>
  </si>
  <si>
    <t>+27h21m43s</t>
  </si>
  <si>
    <t>IC3513</t>
  </si>
  <si>
    <t>12h34m11.6s</t>
  </si>
  <si>
    <t>+27h19m49s</t>
  </si>
  <si>
    <t>IC3514</t>
  </si>
  <si>
    <t>+26h42m1s</t>
  </si>
  <si>
    <t>IC3515</t>
  </si>
  <si>
    <t>12h34m16s</t>
  </si>
  <si>
    <t>+27h51m43s</t>
  </si>
  <si>
    <t>IC3516</t>
  </si>
  <si>
    <t>12h34m17.3s</t>
  </si>
  <si>
    <t>+27h27m10s</t>
  </si>
  <si>
    <t>IC3517</t>
  </si>
  <si>
    <t>12h34m30.9s</t>
  </si>
  <si>
    <t>+9h9m18s</t>
  </si>
  <si>
    <t>eF, pS, mE 28°, ?</t>
  </si>
  <si>
    <t>IC3518</t>
  </si>
  <si>
    <t>12h34m31.3s</t>
  </si>
  <si>
    <t>+9h37m26s</t>
  </si>
  <si>
    <t>cS, mE 210°, bM</t>
  </si>
  <si>
    <t>IC3519</t>
  </si>
  <si>
    <t>12h34m38.4s</t>
  </si>
  <si>
    <t>+15h36m9s</t>
  </si>
  <si>
    <t>IC3520</t>
  </si>
  <si>
    <t>12h34m31.7s</t>
  </si>
  <si>
    <t>+13h30m12s</t>
  </si>
  <si>
    <t>IC3521</t>
  </si>
  <si>
    <t>12h34m39.5s</t>
  </si>
  <si>
    <t>+7h9m35s</t>
  </si>
  <si>
    <t>pretty faint, considerably small, extended 45°, brighter middle</t>
  </si>
  <si>
    <t>pF, cS, E 45°, bM</t>
  </si>
  <si>
    <t>IC3522</t>
  </si>
  <si>
    <t>12h34m45.8s</t>
  </si>
  <si>
    <t>+15h13m16s</t>
  </si>
  <si>
    <t>very faint, small, much extended 90°</t>
  </si>
  <si>
    <t>vF, S, mE 90°</t>
  </si>
  <si>
    <t>IC3523</t>
  </si>
  <si>
    <t>12h34m39.3s</t>
  </si>
  <si>
    <t>+14h0m58s</t>
  </si>
  <si>
    <t>IC3524</t>
  </si>
  <si>
    <t>12h34m43s</t>
  </si>
  <si>
    <t>+14h14m40s</t>
  </si>
  <si>
    <t>considerably faint, small, possibly a 12.5 magnitude star</t>
  </si>
  <si>
    <t>cF, S, ? * 12.5</t>
  </si>
  <si>
    <t>IC3525</t>
  </si>
  <si>
    <t>12h34m46.4s</t>
  </si>
  <si>
    <t>+10h10m32s</t>
  </si>
  <si>
    <t>IC3526</t>
  </si>
  <si>
    <t>12h34m40.7s</t>
  </si>
  <si>
    <t>+25h41m4s</t>
  </si>
  <si>
    <t>IC3527</t>
  </si>
  <si>
    <t>12h34m42.2s</t>
  </si>
  <si>
    <t>+26h9m15s</t>
  </si>
  <si>
    <t>faint, very small, round, brighter middle starlike</t>
  </si>
  <si>
    <t>F, vS, R, bM *</t>
  </si>
  <si>
    <t>IC3528</t>
  </si>
  <si>
    <t>12h34m55.8s</t>
  </si>
  <si>
    <t>+15h33m58s</t>
  </si>
  <si>
    <t>IC3529</t>
  </si>
  <si>
    <t>12h34m49.8s</t>
  </si>
  <si>
    <t>+25h41m55s</t>
  </si>
  <si>
    <t>IC3530</t>
  </si>
  <si>
    <t>12h34m49.4s</t>
  </si>
  <si>
    <t>+17h48m49s</t>
  </si>
  <si>
    <t>IC3531</t>
  </si>
  <si>
    <t>12h34m56.6s</t>
  </si>
  <si>
    <t>+26h37m36s</t>
  </si>
  <si>
    <t>IC3532</t>
  </si>
  <si>
    <t>12h34m57.6s</t>
  </si>
  <si>
    <t>+25h52m49s</t>
  </si>
  <si>
    <t>IC3533</t>
  </si>
  <si>
    <t>12h35m1.2s</t>
  </si>
  <si>
    <t>+25h46m49s</t>
  </si>
  <si>
    <t>IC3534</t>
  </si>
  <si>
    <t>12h34m52.1s</t>
  </si>
  <si>
    <t>+14h58m42s</t>
  </si>
  <si>
    <t>IC3535</t>
  </si>
  <si>
    <t>12h35m10.9s</t>
  </si>
  <si>
    <t>+25h43m53s</t>
  </si>
  <si>
    <t>IC3536</t>
  </si>
  <si>
    <t>12h35m12.4s</t>
  </si>
  <si>
    <t>+26h32m0s</t>
  </si>
  <si>
    <t>IC3537</t>
  </si>
  <si>
    <t>12h35m22.5s</t>
  </si>
  <si>
    <t>+7h39m11s</t>
  </si>
  <si>
    <t>very faint, small, questionable</t>
  </si>
  <si>
    <t>vF, S, ?</t>
  </si>
  <si>
    <t>IC3538</t>
  </si>
  <si>
    <t>12h35m15.6s</t>
  </si>
  <si>
    <t>+26h14m10s</t>
  </si>
  <si>
    <t>IC3539</t>
  </si>
  <si>
    <t>12h35m20.1s</t>
  </si>
  <si>
    <t>+23h58m59s</t>
  </si>
  <si>
    <t>extremely faint, small, round, brighter middle, 13th magnitude star to southwest</t>
  </si>
  <si>
    <t>eF, S, R, bM, * 13 sp</t>
  </si>
  <si>
    <t>IC3540</t>
  </si>
  <si>
    <t>12h35m27.2s</t>
  </si>
  <si>
    <t>+12h45m3s</t>
  </si>
  <si>
    <t>vS, R, sev. condens</t>
  </si>
  <si>
    <t>IC3541</t>
  </si>
  <si>
    <t>12h35m21.7s</t>
  </si>
  <si>
    <t>+23h58m31s</t>
  </si>
  <si>
    <t>extremely faint, small, round, 14th magnitude star to northwest</t>
  </si>
  <si>
    <t>eF, S, R, * 14 np</t>
  </si>
  <si>
    <t>IC3542</t>
  </si>
  <si>
    <t>12h35m41.2s</t>
  </si>
  <si>
    <t>+11h40m0s</t>
  </si>
  <si>
    <t>IC3543</t>
  </si>
  <si>
    <t>12h35m41.3s</t>
  </si>
  <si>
    <t>+26h17m12s</t>
  </si>
  <si>
    <t>vF, S, lE 150°</t>
  </si>
  <si>
    <t>IC3544</t>
  </si>
  <si>
    <t>12h35m47.6s</t>
  </si>
  <si>
    <t>+14h18m5s</t>
  </si>
  <si>
    <t>considerably faint, very small, perhaps a 12.5 magnitude star</t>
  </si>
  <si>
    <t>cF, vS, ? * 12.5</t>
  </si>
  <si>
    <t>IC3545</t>
  </si>
  <si>
    <t>IC3546</t>
  </si>
  <si>
    <t>12h35m41.6s</t>
  </si>
  <si>
    <t>+26h13m21s</t>
  </si>
  <si>
    <t>F, S, lE 150°</t>
  </si>
  <si>
    <t>IC3547</t>
  </si>
  <si>
    <t>12h35m48.8s</t>
  </si>
  <si>
    <t>+26h19m46s</t>
  </si>
  <si>
    <t>IC3548</t>
  </si>
  <si>
    <t>12h35m56.5s</t>
  </si>
  <si>
    <t>+10h56m9s</t>
  </si>
  <si>
    <t>IC3549</t>
  </si>
  <si>
    <t>12h35m50.9s</t>
  </si>
  <si>
    <t>+26h23m44s</t>
  </si>
  <si>
    <t>IC3550</t>
  </si>
  <si>
    <t>12h35m51.8s</t>
  </si>
  <si>
    <t>+27h55m57s</t>
  </si>
  <si>
    <t>Nuclei inv. in I 92</t>
  </si>
  <si>
    <t>IC3551</t>
  </si>
  <si>
    <t>12h35m53.8s</t>
  </si>
  <si>
    <t>+27h57m50s</t>
  </si>
  <si>
    <t>IC3552</t>
  </si>
  <si>
    <t>12h35m54s</t>
  </si>
  <si>
    <t>+27h59m36s</t>
  </si>
  <si>
    <t>IC3553</t>
  </si>
  <si>
    <t>12h35m55.9s</t>
  </si>
  <si>
    <t>+26h11m36s</t>
  </si>
  <si>
    <t>IC3554</t>
  </si>
  <si>
    <t>12h35m55.2s</t>
  </si>
  <si>
    <t>+27h55m39s</t>
  </si>
  <si>
    <t>nebula involved in I 92 (2 seconds to west, 1.8 arcmin to south)</t>
  </si>
  <si>
    <t>N inv. in I 92 (2s p, 1'.8 s)</t>
  </si>
  <si>
    <t>IC3555</t>
  </si>
  <si>
    <t>12h35m56s</t>
  </si>
  <si>
    <t>+27h59m24s</t>
  </si>
  <si>
    <t>N inv. in I 92 (1s.5 p, 2'.0 n)</t>
  </si>
  <si>
    <t>IC3556</t>
  </si>
  <si>
    <t>12h35m58.5s</t>
  </si>
  <si>
    <t>+26h57m56s</t>
  </si>
  <si>
    <t>IC3557</t>
  </si>
  <si>
    <t>+16h38m30s</t>
  </si>
  <si>
    <t>IC3558</t>
  </si>
  <si>
    <t>12h36m2.8s</t>
  </si>
  <si>
    <t>+11h50m58s</t>
  </si>
  <si>
    <t>double; faint, round, 12 arcsec distance north and south</t>
  </si>
  <si>
    <t>D, F, R, dist 12" n &amp; s</t>
  </si>
  <si>
    <t>IC3559</t>
  </si>
  <si>
    <t>12h36m3.4s</t>
  </si>
  <si>
    <t>+26h59m16s</t>
  </si>
  <si>
    <t>IC3560</t>
  </si>
  <si>
    <t>12h36m3.8s</t>
  </si>
  <si>
    <t>+27h4m44s</t>
  </si>
  <si>
    <t>IC3561</t>
  </si>
  <si>
    <t>12h36m4.7s</t>
  </si>
  <si>
    <t>+26h54m0s</t>
  </si>
  <si>
    <t>considerably faint, very small, round, brighter middle like a star</t>
  </si>
  <si>
    <t>cF, vS, R, bM *</t>
  </si>
  <si>
    <t>IC3562</t>
  </si>
  <si>
    <t>12h36m10.7s</t>
  </si>
  <si>
    <t>+9h55m22s</t>
  </si>
  <si>
    <t>extended 220°</t>
  </si>
  <si>
    <t>E 220°</t>
  </si>
  <si>
    <t>IC3563</t>
  </si>
  <si>
    <t>12h36m7.1s</t>
  </si>
  <si>
    <t>+27h55m36s</t>
  </si>
  <si>
    <t>IC3564</t>
  </si>
  <si>
    <t>12h36m8s</t>
  </si>
  <si>
    <t>+27h55m40s</t>
  </si>
  <si>
    <t>IC3565</t>
  </si>
  <si>
    <t>12h36m12.3s</t>
  </si>
  <si>
    <t>+26h45m22s</t>
  </si>
  <si>
    <t>vF, S, E 148°, ? st</t>
  </si>
  <si>
    <t>IC3566</t>
  </si>
  <si>
    <t>12h36m22s</t>
  </si>
  <si>
    <t>+11h9m54s</t>
  </si>
  <si>
    <t>cometic, round with 1 arcmin tail at 110°</t>
  </si>
  <si>
    <t>Com, R with tail 1' at 110°</t>
  </si>
  <si>
    <t>IC3567</t>
  </si>
  <si>
    <t>12h36m22.6s</t>
  </si>
  <si>
    <t>+13h36m11s</t>
  </si>
  <si>
    <t>IC3568</t>
  </si>
  <si>
    <t>柠檬片星云</t>
  </si>
  <si>
    <t>12h33m6.9s</t>
  </si>
  <si>
    <t>+82h33m51s</t>
  </si>
  <si>
    <t>a planetary or nebulous 9.5 magnitude star; 13th magnitude star 15 arcsec to west</t>
  </si>
  <si>
    <t>Planetary or neb * 9.5, * 13 p 15"</t>
  </si>
  <si>
    <t>IC3569</t>
  </si>
  <si>
    <t>considerably small, spiral, 2 brighter resolvable, faint star in middle, faint star involved</t>
  </si>
  <si>
    <t>cS, spir, 2 br, F * M, F * inv</t>
  </si>
  <si>
    <t>IC3570</t>
  </si>
  <si>
    <t>12h36m18.2s</t>
  </si>
  <si>
    <t>+24h4m42s</t>
  </si>
  <si>
    <t>extremely faint, small, irregular figure, 13th magnitude star to northwest</t>
  </si>
  <si>
    <t>eF, S, iF, * 13 np</t>
  </si>
  <si>
    <t>IC3571</t>
  </si>
  <si>
    <t>12h36m19.9s</t>
  </si>
  <si>
    <t>+26h5m3s</t>
  </si>
  <si>
    <t>extremely faint, small, irregular figure, others near</t>
  </si>
  <si>
    <t>eF, S, iF, others nr</t>
  </si>
  <si>
    <t>IC3572</t>
  </si>
  <si>
    <t>12h36m28.1s</t>
  </si>
  <si>
    <t>+11h37m8s</t>
  </si>
  <si>
    <t>IC3573</t>
  </si>
  <si>
    <t>12h36m27.1s</t>
  </si>
  <si>
    <t>+11h45m35s</t>
  </si>
  <si>
    <t>IC3574</t>
  </si>
  <si>
    <t>12h36m27.7s</t>
  </si>
  <si>
    <t>+12h24m20s</t>
  </si>
  <si>
    <t>IC3575</t>
  </si>
  <si>
    <t>12h36m32.4s</t>
  </si>
  <si>
    <t>+13h44m50s</t>
  </si>
  <si>
    <t>IC3576</t>
  </si>
  <si>
    <t>12h36m37.8s</t>
  </si>
  <si>
    <t>+6h37m17s</t>
  </si>
  <si>
    <t>IC3577</t>
  </si>
  <si>
    <t>12h36m26.3s</t>
  </si>
  <si>
    <t>+11h53m49s</t>
  </si>
  <si>
    <t>very faint, pretty small, diffuse, 13th magnitude star involved to northeast</t>
  </si>
  <si>
    <t>vF, pS, dif, * 13 inv nf</t>
  </si>
  <si>
    <t>IC3578</t>
  </si>
  <si>
    <t>12h36m39.5s</t>
  </si>
  <si>
    <t>+11h6m5s</t>
  </si>
  <si>
    <t>small, extended 125°</t>
  </si>
  <si>
    <t>S, E 125°</t>
  </si>
  <si>
    <t>IC3579</t>
  </si>
  <si>
    <t>12h36m32.8s</t>
  </si>
  <si>
    <t>+26h6m15s</t>
  </si>
  <si>
    <t>IC3580</t>
  </si>
  <si>
    <t>12h36m29.2s</t>
  </si>
  <si>
    <t>+18h17m59s</t>
  </si>
  <si>
    <t>IC3581</t>
  </si>
  <si>
    <t>12h36m38.1s</t>
  </si>
  <si>
    <t>+24h25m44s</t>
  </si>
  <si>
    <t>pretty bright, small, extended 50°, brighter middle</t>
  </si>
  <si>
    <t>pB, S, E 50°, bM</t>
  </si>
  <si>
    <t>IC3582</t>
  </si>
  <si>
    <t>12h36m36.9s</t>
  </si>
  <si>
    <t>+26h14m5s</t>
  </si>
  <si>
    <t>faint, very small, cometic, brighter middle, others near</t>
  </si>
  <si>
    <t>F, vS, com, bM, others nr</t>
  </si>
  <si>
    <t>IC3583</t>
  </si>
  <si>
    <t>12h36m43.8s</t>
  </si>
  <si>
    <t>very much extended, 13th magnitude star attached on southeast, 2 stars of 12th magnitude near</t>
  </si>
  <si>
    <t>vmE, * 13 att sf, 2 st 12 nr</t>
  </si>
  <si>
    <t>IC3584</t>
  </si>
  <si>
    <t>12h36m45.2s</t>
  </si>
  <si>
    <t>+12h13m58s</t>
  </si>
  <si>
    <t>very faint, very small, perhaps a 14th magnitude star</t>
  </si>
  <si>
    <t>IC3585</t>
  </si>
  <si>
    <t>12h36m39.8s</t>
  </si>
  <si>
    <t>+26h49m50s</t>
  </si>
  <si>
    <t>considerably faint, small, nebulous star</t>
  </si>
  <si>
    <t>cF, S, neb *</t>
  </si>
  <si>
    <t>IC3586</t>
  </si>
  <si>
    <t>12h36m54.9s</t>
  </si>
  <si>
    <t>+12h31m13s</t>
  </si>
  <si>
    <t>IC3587</t>
  </si>
  <si>
    <t>12h36m48.3s</t>
  </si>
  <si>
    <t>+27h32m59s</t>
  </si>
  <si>
    <t>vF, S, lE 120°, * 15 nf</t>
  </si>
  <si>
    <t>IC3588</t>
  </si>
  <si>
    <t>considerably faint, pretty large, a little brighter middle</t>
  </si>
  <si>
    <t>cF, pL, lbM</t>
  </si>
  <si>
    <t>IC3589</t>
  </si>
  <si>
    <t>12h37m1.3s</t>
  </si>
  <si>
    <t>+6h56m13s</t>
  </si>
  <si>
    <t>IC3590</t>
  </si>
  <si>
    <t>12h36m50.7s</t>
  </si>
  <si>
    <t>+27h16m41s</t>
  </si>
  <si>
    <t>vF, S, v iF</t>
  </si>
  <si>
    <t>IC3591</t>
  </si>
  <si>
    <t>12h37m2.8s</t>
  </si>
  <si>
    <t>+6h55m34s</t>
  </si>
  <si>
    <t>F, pS, nr * 14</t>
  </si>
  <si>
    <t>IC3592</t>
  </si>
  <si>
    <t>+27h51m45s</t>
  </si>
  <si>
    <t>pretty faint, small, a little extended 140°</t>
  </si>
  <si>
    <t>pF, S, lE 140°</t>
  </si>
  <si>
    <t>IC3593</t>
  </si>
  <si>
    <t>12h36m53.8s</t>
  </si>
  <si>
    <t>+27h44m55s</t>
  </si>
  <si>
    <t>pretty faint, small, irregular figure, nuclear</t>
  </si>
  <si>
    <t>pF, S, iF, N</t>
  </si>
  <si>
    <t>IC3594</t>
  </si>
  <si>
    <t>12h36m56.5s</t>
  </si>
  <si>
    <t>+26h6m57s</t>
  </si>
  <si>
    <t>IC3595</t>
  </si>
  <si>
    <t>12h37m6.3s</t>
  </si>
  <si>
    <t>+23h47m13s</t>
  </si>
  <si>
    <t>IC3596</t>
  </si>
  <si>
    <t>12h37m18.9s</t>
  </si>
  <si>
    <t>+26h31m15s</t>
  </si>
  <si>
    <t>very faint, small, irregular figure, near double star</t>
  </si>
  <si>
    <t>vF, S, iF, nr D *</t>
  </si>
  <si>
    <t>IC3597</t>
  </si>
  <si>
    <t>+23h51m49s</t>
  </si>
  <si>
    <t>IC3598</t>
  </si>
  <si>
    <t>12h37m21s</t>
  </si>
  <si>
    <t>pF, vS, sbM *, * 15 nf 100"</t>
  </si>
  <si>
    <t>IC3599</t>
  </si>
  <si>
    <t>12h37m41.1s</t>
  </si>
  <si>
    <t>+26h42m29s</t>
  </si>
  <si>
    <t>IC3600</t>
  </si>
  <si>
    <t>12h37m41s</t>
  </si>
  <si>
    <t>+27h7m46s</t>
  </si>
  <si>
    <t>faint, very small, nebulous star</t>
  </si>
  <si>
    <t>F, vS, neb *</t>
  </si>
  <si>
    <t>IC3601</t>
  </si>
  <si>
    <t>12h37m53.7s</t>
  </si>
  <si>
    <t>+15h13m29s</t>
  </si>
  <si>
    <t>IC3602</t>
  </si>
  <si>
    <t>12h38m6.8s</t>
  </si>
  <si>
    <t>+10h4m55s</t>
  </si>
  <si>
    <t>IC3603</t>
  </si>
  <si>
    <t>12h38m16.1s</t>
  </si>
  <si>
    <t>+15h34m13s</t>
  </si>
  <si>
    <t>extremely faint, brighter middle, magnitude 15</t>
  </si>
  <si>
    <t>eF, bM, magn 15</t>
  </si>
  <si>
    <t>IC3604</t>
  </si>
  <si>
    <t>12h38m20.7s</t>
  </si>
  <si>
    <t>+11h43m50s</t>
  </si>
  <si>
    <t>IC3605</t>
  </si>
  <si>
    <t>12h38m20.9s</t>
  </si>
  <si>
    <t>+19h32m28s</t>
  </si>
  <si>
    <t>IC3606</t>
  </si>
  <si>
    <t>12h38m25.1s</t>
  </si>
  <si>
    <t>faint, very little extended</t>
  </si>
  <si>
    <t>F, vlE</t>
  </si>
  <si>
    <t>IC3607</t>
  </si>
  <si>
    <t>12h38m32.1s</t>
  </si>
  <si>
    <t>+10h22m34s</t>
  </si>
  <si>
    <t>IC3608</t>
  </si>
  <si>
    <t>12h38m37.4s</t>
  </si>
  <si>
    <t>+10h28m33s</t>
  </si>
  <si>
    <t>vS, R, wisps pf, 1' each</t>
  </si>
  <si>
    <t>IC3609</t>
  </si>
  <si>
    <t>12h38m34.7s</t>
  </si>
  <si>
    <t>+14h21m11s</t>
  </si>
  <si>
    <t>bright, very small, round, possibly a planetary</t>
  </si>
  <si>
    <t>B, vS, R, ? planetary</t>
  </si>
  <si>
    <t>IC3610</t>
  </si>
  <si>
    <t>12h38m47.1s</t>
  </si>
  <si>
    <t>extremely faint, small, very irregular figure</t>
  </si>
  <si>
    <t>eF, S, viF</t>
  </si>
  <si>
    <t>IC3611</t>
  </si>
  <si>
    <t>12h39m4.1s</t>
  </si>
  <si>
    <t>+13h21m51s</t>
  </si>
  <si>
    <t>pretty faint, considerably small, extended 130°</t>
  </si>
  <si>
    <t>pF, cS, E 130°</t>
  </si>
  <si>
    <t>IC3612</t>
  </si>
  <si>
    <t>12h39m4.6s</t>
  </si>
  <si>
    <t>+14h43m54s</t>
  </si>
  <si>
    <t>IC3613</t>
  </si>
  <si>
    <t>12h39m4.8s</t>
  </si>
  <si>
    <t>+13h45m31s</t>
  </si>
  <si>
    <t>IC3614</t>
  </si>
  <si>
    <t>12h39m1.4s</t>
  </si>
  <si>
    <t>+26h18m0s</t>
  </si>
  <si>
    <t>extremely faint, pretty small, gradually brighter middle, spiral</t>
  </si>
  <si>
    <t>eF, pS, gbM, spir</t>
  </si>
  <si>
    <t>IC3615</t>
  </si>
  <si>
    <t>12h39m1.6s</t>
  </si>
  <si>
    <t>+18h12m3s</t>
  </si>
  <si>
    <t>S, E 185°, bM</t>
  </si>
  <si>
    <t>IC3616</t>
  </si>
  <si>
    <t>IC3617</t>
  </si>
  <si>
    <t>12h39m25s</t>
  </si>
  <si>
    <t>+7h57m59s</t>
  </si>
  <si>
    <t>IC3618</t>
  </si>
  <si>
    <t>12h39m17.1s</t>
  </si>
  <si>
    <t>+26h40m42s</t>
  </si>
  <si>
    <t>IC3619</t>
  </si>
  <si>
    <t>12h39m18.9s</t>
  </si>
  <si>
    <t>+24h8m35s</t>
  </si>
  <si>
    <t>very faint, considerably small, extended 160°, brighter middle</t>
  </si>
  <si>
    <t>vF, cS, E 160°, bM</t>
  </si>
  <si>
    <t>IC3620</t>
  </si>
  <si>
    <t>12h39m17.9s</t>
  </si>
  <si>
    <t>+27h54m30s</t>
  </si>
  <si>
    <t>F, S, iF, bM, sev neb st nr</t>
  </si>
  <si>
    <t>IC3621</t>
  </si>
  <si>
    <t>12h39m33.5s</t>
  </si>
  <si>
    <t>+15h30m11s</t>
  </si>
  <si>
    <t>IC3622</t>
  </si>
  <si>
    <t>12h39m32.4s</t>
  </si>
  <si>
    <t>+15h25m56s</t>
  </si>
  <si>
    <t>IC3623</t>
  </si>
  <si>
    <t>12h39m27.6s</t>
  </si>
  <si>
    <t>+27h6m10s</t>
  </si>
  <si>
    <t>IC3624</t>
  </si>
  <si>
    <t>12h39m34.5s</t>
  </si>
  <si>
    <t>+11h58m55s</t>
  </si>
  <si>
    <t>faint, small, extended 180°</t>
  </si>
  <si>
    <t>F, S, E 180°</t>
  </si>
  <si>
    <t>IC3625</t>
  </si>
  <si>
    <t>12h39m33.1s</t>
  </si>
  <si>
    <t>+10h58m6s</t>
  </si>
  <si>
    <t>IC3626</t>
  </si>
  <si>
    <t>12h39m31.6s</t>
  </si>
  <si>
    <t>+25h40m36s</t>
  </si>
  <si>
    <t>IC3627</t>
  </si>
  <si>
    <t>12h39m31.9s</t>
  </si>
  <si>
    <t>+27h29m52s</t>
  </si>
  <si>
    <t>IC3628</t>
  </si>
  <si>
    <t>12h39m38.8s</t>
  </si>
  <si>
    <t>+26h14m19s</t>
  </si>
  <si>
    <t>IC3629</t>
  </si>
  <si>
    <t>12h39m46.8s</t>
  </si>
  <si>
    <t>+13h31m59s</t>
  </si>
  <si>
    <t>S, mE 245°, lbM</t>
  </si>
  <si>
    <t>IC3630</t>
  </si>
  <si>
    <t>12h39m46.6s</t>
  </si>
  <si>
    <t>+25h25m57s</t>
  </si>
  <si>
    <t>very faint, very small, a little elongated, perhaps a double star</t>
  </si>
  <si>
    <t>vF, vS, lE, ? D *</t>
  </si>
  <si>
    <t>IC3631</t>
  </si>
  <si>
    <t>12h39m47.9s</t>
  </si>
  <si>
    <t>+12h58m28s</t>
  </si>
  <si>
    <t>IC3632</t>
  </si>
  <si>
    <t>12h39m59.9s</t>
  </si>
  <si>
    <t>+26h40m56s</t>
  </si>
  <si>
    <t>extremely faint, considerably small, irregular figure</t>
  </si>
  <si>
    <t>eF, cS, iF</t>
  </si>
  <si>
    <t>IC3633</t>
  </si>
  <si>
    <t>12h40m11.2s</t>
  </si>
  <si>
    <t>+9h53m48s</t>
  </si>
  <si>
    <t>very small, a planetary nebula, a little brighter middle</t>
  </si>
  <si>
    <t>vS, planetary, lbM</t>
  </si>
  <si>
    <t>IC3634</t>
  </si>
  <si>
    <t>12h40m11.4s</t>
  </si>
  <si>
    <t>+9h50m50s</t>
  </si>
  <si>
    <t>very faint, round, diffuse</t>
  </si>
  <si>
    <t>vF, R, dif</t>
  </si>
  <si>
    <t>IC3635</t>
  </si>
  <si>
    <t>12h40m13.3s</t>
  </si>
  <si>
    <t>+12h52m31s</t>
  </si>
  <si>
    <t>IC3636</t>
  </si>
  <si>
    <t>12h40m15.4s</t>
  </si>
  <si>
    <t>+22h4m31s</t>
  </si>
  <si>
    <t>extremely faint, very small, extended 0°, brighter middle</t>
  </si>
  <si>
    <t>eF, vS, E 0°, bM</t>
  </si>
  <si>
    <t>IC3637</t>
  </si>
  <si>
    <t>S0/D</t>
  </si>
  <si>
    <t>12h40m19.4s</t>
  </si>
  <si>
    <t>+14h42m54s</t>
  </si>
  <si>
    <t>IC3638</t>
  </si>
  <si>
    <t>12h40m16.6s</t>
  </si>
  <si>
    <t>+10h31m7s</t>
  </si>
  <si>
    <t>bright, small, round, a little brighter middle</t>
  </si>
  <si>
    <t>B, S, R, lbM</t>
  </si>
  <si>
    <t>IC3639</t>
  </si>
  <si>
    <t>12h40m52.9s</t>
  </si>
  <si>
    <t>-36h45m21s</t>
  </si>
  <si>
    <t>pF, pS, * 12.5 ssp</t>
  </si>
  <si>
    <t>IC3640</t>
  </si>
  <si>
    <t>12h40m25.1s</t>
  </si>
  <si>
    <t>+26h31m28s</t>
  </si>
  <si>
    <t>faint, small, bright middle, spiral; very faint round nebula 30 arcsec to northwest</t>
  </si>
  <si>
    <t>F, S, bM, spir, vF, R neb 30" np</t>
  </si>
  <si>
    <t>IC3641</t>
  </si>
  <si>
    <t>12h40m26.8s</t>
  </si>
  <si>
    <t>+26h31m18s</t>
  </si>
  <si>
    <t>IC3642</t>
  </si>
  <si>
    <t>12h40m25.9s</t>
  </si>
  <si>
    <t>+26h43m54s</t>
  </si>
  <si>
    <t>very faint, considerably small, irregular figure, diffuse</t>
  </si>
  <si>
    <t>vF, cS, iF, dif</t>
  </si>
  <si>
    <t>IC3643</t>
  </si>
  <si>
    <t>12h40m40.9s</t>
  </si>
  <si>
    <t>+12h24m24s</t>
  </si>
  <si>
    <t>IC3644</t>
  </si>
  <si>
    <t>12h40m36.1s</t>
  </si>
  <si>
    <t>+26h30m17s</t>
  </si>
  <si>
    <t>IC3645</t>
  </si>
  <si>
    <t>12h40m37.6s</t>
  </si>
  <si>
    <t>+26h32m29s</t>
  </si>
  <si>
    <t>IC3646</t>
  </si>
  <si>
    <t>12h40m38.6s</t>
  </si>
  <si>
    <t>+26h31m32s</t>
  </si>
  <si>
    <t>F, S, E 65°, bM</t>
  </si>
  <si>
    <t>IC3647</t>
  </si>
  <si>
    <t>12h40m53s</t>
  </si>
  <si>
    <t>+10h28m35s</t>
  </si>
  <si>
    <t>faint, considerably small, much extended 135°</t>
  </si>
  <si>
    <t>F, cS, mE 135°</t>
  </si>
  <si>
    <t>IC3648</t>
  </si>
  <si>
    <t>12h40m52.2s</t>
  </si>
  <si>
    <t>+12h59m4s</t>
  </si>
  <si>
    <t>extremely faint, small, very questionable</t>
  </si>
  <si>
    <t>eF, S, ??</t>
  </si>
  <si>
    <t>IC3649</t>
  </si>
  <si>
    <t>12h40m49.7s</t>
  </si>
  <si>
    <t>+21h6m16s</t>
  </si>
  <si>
    <t>IC3650</t>
  </si>
  <si>
    <t>12h40m48.7s</t>
  </si>
  <si>
    <t>+26h28m25s</t>
  </si>
  <si>
    <t>IC3651</t>
  </si>
  <si>
    <t>12h40m52.8s</t>
  </si>
  <si>
    <t>+26h43m43s</t>
  </si>
  <si>
    <t>pretty faint, considerably small, round, spiral</t>
  </si>
  <si>
    <t>pF, cS, R, spir</t>
  </si>
  <si>
    <t>IC3652</t>
  </si>
  <si>
    <t>12h40m58.7s</t>
  </si>
  <si>
    <t>+11h11m3s</t>
  </si>
  <si>
    <t>small, round, much brighter middle</t>
  </si>
  <si>
    <t>S, R, mbM</t>
  </si>
  <si>
    <t>IC3653</t>
  </si>
  <si>
    <t>12h41m15.7s</t>
  </si>
  <si>
    <t>+11h23m16s</t>
  </si>
  <si>
    <t>IC3654</t>
  </si>
  <si>
    <t>12h41m12.4s</t>
  </si>
  <si>
    <t>+22h35m24s</t>
  </si>
  <si>
    <t>faint, small, irregular figure, nucleus</t>
  </si>
  <si>
    <t>IC3655</t>
  </si>
  <si>
    <t>12h41m14.4s</t>
  </si>
  <si>
    <t>+20h40m0s</t>
  </si>
  <si>
    <t>vF, vS, iF, * 16 inv, other neb nr</t>
  </si>
  <si>
    <t>IC3656</t>
  </si>
  <si>
    <t>12h41m13.8s</t>
  </si>
  <si>
    <t>+22h35m41s</t>
  </si>
  <si>
    <t>IC3657</t>
  </si>
  <si>
    <t>12h41m19s</t>
  </si>
  <si>
    <t>+21h40m31s</t>
  </si>
  <si>
    <t>very faint, very small, with a nucleus; perhaps a nebulous star</t>
  </si>
  <si>
    <t>vF, vS, N, ? neb *</t>
  </si>
  <si>
    <t>IC3658</t>
  </si>
  <si>
    <t>12h41m20.6s</t>
  </si>
  <si>
    <t>+14h42m4s</t>
  </si>
  <si>
    <t>faint, small, extended 240°</t>
  </si>
  <si>
    <t>F, S, E 240°</t>
  </si>
  <si>
    <t>IC3659</t>
  </si>
  <si>
    <t>12h41m27.6s</t>
  </si>
  <si>
    <t>+22h55m51s</t>
  </si>
  <si>
    <t>considerably faint, small, extended 50°</t>
  </si>
  <si>
    <t>cF, S, E 50°</t>
  </si>
  <si>
    <t>IC3660</t>
  </si>
  <si>
    <t>12h41m36.8s</t>
  </si>
  <si>
    <t>+21h5m35s</t>
  </si>
  <si>
    <t>IC3661</t>
  </si>
  <si>
    <t>12h41m35.6s</t>
  </si>
  <si>
    <t>+22h29m42s</t>
  </si>
  <si>
    <t>IC3662</t>
  </si>
  <si>
    <t>12h41m36.2s</t>
  </si>
  <si>
    <t>+23h25m31s</t>
  </si>
  <si>
    <t>IC3663</t>
  </si>
  <si>
    <t>12h41m39.3s</t>
  </si>
  <si>
    <t>+12h14m51s</t>
  </si>
  <si>
    <t>IC3664</t>
  </si>
  <si>
    <t>12h41m41.4s</t>
  </si>
  <si>
    <t>+19h56m40s</t>
  </si>
  <si>
    <t>IC3665</t>
  </si>
  <si>
    <t>12h41m46.6s</t>
  </si>
  <si>
    <t>IC3666</t>
  </si>
  <si>
    <t>12h41m53.4s</t>
  </si>
  <si>
    <t>+7h50m42s</t>
  </si>
  <si>
    <t>IC3667</t>
  </si>
  <si>
    <t>considerably bright, pretty large, extended 55°, brighter middle</t>
  </si>
  <si>
    <t>cB, pL, E 55°, bM</t>
  </si>
  <si>
    <t>IC3668</t>
  </si>
  <si>
    <t>12h41m32.7s</t>
  </si>
  <si>
    <t>+41h7m33s</t>
  </si>
  <si>
    <t>pretty faint, pretty small, irregular figure, nuclear</t>
  </si>
  <si>
    <t>pF, pS, iF, N</t>
  </si>
  <si>
    <t>IC3669</t>
  </si>
  <si>
    <t>12h41m37.4s</t>
  </si>
  <si>
    <t>+41h8m25s</t>
  </si>
  <si>
    <t>faint, pretty small, irregular figure, nuclear</t>
  </si>
  <si>
    <t>F, pS, iF, N</t>
  </si>
  <si>
    <t>IC3670</t>
  </si>
  <si>
    <t>12h41m55s</t>
  </si>
  <si>
    <t>+11h46m24s</t>
  </si>
  <si>
    <t>IC3671</t>
  </si>
  <si>
    <t>12h41m51.3s</t>
  </si>
  <si>
    <t>+23h30m37s</t>
  </si>
  <si>
    <t>considerably faint, considerably small, a little extended 230°, brighter middle</t>
  </si>
  <si>
    <t>cF, cS, lE 230°, bM</t>
  </si>
  <si>
    <t>IC3672</t>
  </si>
  <si>
    <t>vF, vS, R, stell, I.C. 809 n</t>
  </si>
  <si>
    <t>IC3673</t>
  </si>
  <si>
    <t>12h42m4.3s</t>
  </si>
  <si>
    <t>+21h8m18s</t>
  </si>
  <si>
    <t>IC3674</t>
  </si>
  <si>
    <t>12h42m5.4s</t>
  </si>
  <si>
    <t>+22h30m39s</t>
  </si>
  <si>
    <t>pF, S, exc N, * 11 sp</t>
  </si>
  <si>
    <t>IC3675</t>
  </si>
  <si>
    <t>pretty bright, pretty large, irregular figure, nuclear</t>
  </si>
  <si>
    <t>pB, pL, iF, N</t>
  </si>
  <si>
    <t>IC3676</t>
  </si>
  <si>
    <t>12h42m12.3s</t>
  </si>
  <si>
    <t>+13h33m35s</t>
  </si>
  <si>
    <t>very faint, very small, possibly a 13th-magnitude star</t>
  </si>
  <si>
    <t>vF, vS, ? * 13</t>
  </si>
  <si>
    <t>IC3677</t>
  </si>
  <si>
    <t>12h42m11.8s</t>
  </si>
  <si>
    <t>+20h53m8s</t>
  </si>
  <si>
    <t>IC3678</t>
  </si>
  <si>
    <t>12h42m12.6s</t>
  </si>
  <si>
    <t>+20h52m49s</t>
  </si>
  <si>
    <t>IC3679</t>
  </si>
  <si>
    <t>12h42m11.4s</t>
  </si>
  <si>
    <t>+22h49m6s</t>
  </si>
  <si>
    <t>IC3680</t>
  </si>
  <si>
    <t>12h42m0.8s</t>
  </si>
  <si>
    <t>+39h6m18s</t>
  </si>
  <si>
    <t>IC3681</t>
  </si>
  <si>
    <t>12h42m0.9s</t>
  </si>
  <si>
    <t>+39h6m16s</t>
  </si>
  <si>
    <t>considerably faint, very small, extended 135°, brighter middle, 13th magnitude star to southwest</t>
  </si>
  <si>
    <t>cF, vS, E 135°, bM, * 13 sp</t>
  </si>
  <si>
    <t>IC3682</t>
  </si>
  <si>
    <t>12h42m1.7s</t>
  </si>
  <si>
    <t>+39h5m1s</t>
  </si>
  <si>
    <t>IC3683</t>
  </si>
  <si>
    <t>12h42m20.6s</t>
  </si>
  <si>
    <t>+20h52m19s</t>
  </si>
  <si>
    <t>IC3684</t>
  </si>
  <si>
    <t>12h42m26.5s</t>
  </si>
  <si>
    <t>+11h44m22s</t>
  </si>
  <si>
    <t>IC3685</t>
  </si>
  <si>
    <t>12h42m19.5s</t>
  </si>
  <si>
    <t>+20h51m52s</t>
  </si>
  <si>
    <t>IC3686</t>
  </si>
  <si>
    <t>12h42m36s</t>
  </si>
  <si>
    <t>+10h33m54s</t>
  </si>
  <si>
    <t>IC3687</t>
  </si>
  <si>
    <t>12h42m15.1s</t>
  </si>
  <si>
    <t>+38h30m13s</t>
  </si>
  <si>
    <t>vF, cL, dif, sev N</t>
  </si>
  <si>
    <t>IC3688</t>
  </si>
  <si>
    <t>IC3689</t>
  </si>
  <si>
    <t>12h42m37s</t>
  </si>
  <si>
    <t>+20h51m1s</t>
  </si>
  <si>
    <t>IC3690</t>
  </si>
  <si>
    <t>12h42m49.2s</t>
  </si>
  <si>
    <t>+10h21m28s</t>
  </si>
  <si>
    <t>bright, very small, round</t>
  </si>
  <si>
    <t>B, vS, R</t>
  </si>
  <si>
    <t>IC3691</t>
  </si>
  <si>
    <t>12h42m49.3s</t>
  </si>
  <si>
    <t>+22h46m22s</t>
  </si>
  <si>
    <t>IC3692</t>
  </si>
  <si>
    <t>12h42m53.9s</t>
  </si>
  <si>
    <t>+20h59m22s</t>
  </si>
  <si>
    <t>pretty faint, small, brighter middle, spiral</t>
  </si>
  <si>
    <t>pF, S, bM, spir</t>
  </si>
  <si>
    <t>IC3693</t>
  </si>
  <si>
    <t>12h42m58s</t>
  </si>
  <si>
    <t>+10h40m53s</t>
  </si>
  <si>
    <t>IC3694</t>
  </si>
  <si>
    <t>12h43m7.3s</t>
  </si>
  <si>
    <t>+11h12m41s</t>
  </si>
  <si>
    <t>IC3695</t>
  </si>
  <si>
    <t>12h42m32.2s</t>
  </si>
  <si>
    <t>+6h52m15s</t>
  </si>
  <si>
    <t>IC3696</t>
  </si>
  <si>
    <t>12h43m9.7s</t>
  </si>
  <si>
    <t>+19h55m41s</t>
  </si>
  <si>
    <t>IC3697</t>
  </si>
  <si>
    <t>12h42m58.8s</t>
  </si>
  <si>
    <t>+39h50m46s</t>
  </si>
  <si>
    <t>very faint, small, nuclear, possibly nebulous star</t>
  </si>
  <si>
    <t>vF, S, N, ? neb *</t>
  </si>
  <si>
    <t>IC3698</t>
  </si>
  <si>
    <t>12h43m17.3s</t>
  </si>
  <si>
    <t>+11h12m40s</t>
  </si>
  <si>
    <t>IC3699</t>
  </si>
  <si>
    <t>+19h0m4s</t>
  </si>
  <si>
    <t>faint, small, irregular figure, nuclear, 3 stars to north, on the northwest</t>
  </si>
  <si>
    <t>F, S, iF, N, 3 st n, np</t>
  </si>
  <si>
    <t>IC3700</t>
  </si>
  <si>
    <t>12h43m19.8s</t>
  </si>
  <si>
    <t>+19h15m53s</t>
  </si>
  <si>
    <t>IC3701</t>
  </si>
  <si>
    <t>12h43m30.9s</t>
  </si>
  <si>
    <t>+11h2m49s</t>
  </si>
  <si>
    <t>IC3702</t>
  </si>
  <si>
    <t>12h43m28.4s</t>
  </si>
  <si>
    <t>+10h52m25s</t>
  </si>
  <si>
    <t>IC3703</t>
  </si>
  <si>
    <t>12h43m22s</t>
  </si>
  <si>
    <t>+37h58m29s</t>
  </si>
  <si>
    <t>F, vS, iF, N, 2 st 11 sf</t>
  </si>
  <si>
    <t>IC3704</t>
  </si>
  <si>
    <t>12h43m45.5s</t>
  </si>
  <si>
    <t>+10h46m11s</t>
  </si>
  <si>
    <t>F, pL, mE 225°</t>
  </si>
  <si>
    <t>IC3705</t>
  </si>
  <si>
    <t>12h43m41.6s</t>
  </si>
  <si>
    <t>+19h19m36s</t>
  </si>
  <si>
    <t>IC3706</t>
  </si>
  <si>
    <t>12h43m48s</t>
  </si>
  <si>
    <t>+9h13m47s</t>
  </si>
  <si>
    <t>IC3707</t>
  </si>
  <si>
    <t>12h43m28.6s</t>
  </si>
  <si>
    <t>+37h58m58s</t>
  </si>
  <si>
    <t>pretty faint, very small, brighter middle like a star</t>
  </si>
  <si>
    <t>pF, vS, bM *</t>
  </si>
  <si>
    <t>IC3708</t>
  </si>
  <si>
    <t>12h43m52.6s</t>
  </si>
  <si>
    <t>+13h7m15s</t>
  </si>
  <si>
    <t>pretty bright, considerably large, extended</t>
  </si>
  <si>
    <t>pB, cL, E</t>
  </si>
  <si>
    <t>IC3709</t>
  </si>
  <si>
    <t>12h44m4.1s</t>
  </si>
  <si>
    <t>+9h3m49s</t>
  </si>
  <si>
    <t>IC3710</t>
  </si>
  <si>
    <t>12h44m9.6s</t>
  </si>
  <si>
    <t>+12h6m52s</t>
  </si>
  <si>
    <t>very faint, considerably small, round, diffuse</t>
  </si>
  <si>
    <t>vF, cS, R, dif</t>
  </si>
  <si>
    <t>IC3711</t>
  </si>
  <si>
    <t>12h44m9.3s</t>
  </si>
  <si>
    <t>+11h10m36s</t>
  </si>
  <si>
    <t>IC3712</t>
  </si>
  <si>
    <t>12h44m16.6s</t>
  </si>
  <si>
    <t>+10h22m29s</t>
  </si>
  <si>
    <t>vF, pS, E 42°, ?</t>
  </si>
  <si>
    <t>IC3713</t>
  </si>
  <si>
    <t>12h44m3.1s</t>
  </si>
  <si>
    <t>+41h10m10s</t>
  </si>
  <si>
    <t>F, pS, dif, * 13 sf 1'</t>
  </si>
  <si>
    <t>IC3714</t>
  </si>
  <si>
    <t>12h44m23.1s</t>
  </si>
  <si>
    <t>+10h11m20s</t>
  </si>
  <si>
    <t>small, round</t>
  </si>
  <si>
    <t>S, R</t>
  </si>
  <si>
    <t>IC3715</t>
  </si>
  <si>
    <t>12h44m21.3s</t>
  </si>
  <si>
    <t>+20h1m26s</t>
  </si>
  <si>
    <t>IC3716</t>
  </si>
  <si>
    <t>12h44m45.1s</t>
  </si>
  <si>
    <t>+8h6m7s</t>
  </si>
  <si>
    <t>IC3717</t>
  </si>
  <si>
    <t>12h44m23s</t>
  </si>
  <si>
    <t>+39h31m20s</t>
  </si>
  <si>
    <t>faint, considerably small, extended 150°, brighter middle, 15th magnitude star to northwest</t>
  </si>
  <si>
    <t>F, cS, E 150°, bM, * 15 np</t>
  </si>
  <si>
    <t>IC3718</t>
  </si>
  <si>
    <t>12h44m45.3s</t>
  </si>
  <si>
    <t>+12h21m3s</t>
  </si>
  <si>
    <t>faint, pretty small, extended 90°</t>
  </si>
  <si>
    <t>F, pS, E 90°</t>
  </si>
  <si>
    <t>IC3719</t>
  </si>
  <si>
    <t>12h44m47.7s</t>
  </si>
  <si>
    <t>+8h6m24s</t>
  </si>
  <si>
    <t>extremely faint, very small, very questionable, northeastern of 2</t>
  </si>
  <si>
    <t>eF, vS, ??, nf of 2</t>
  </si>
  <si>
    <t>IC3720</t>
  </si>
  <si>
    <t>12h44m47.5s</t>
  </si>
  <si>
    <t>+12h3m53s</t>
  </si>
  <si>
    <t>IC3721</t>
  </si>
  <si>
    <t>12h44m53.1s</t>
  </si>
  <si>
    <t>+18h45m19s</t>
  </si>
  <si>
    <t>IC3722</t>
  </si>
  <si>
    <t>+11h46m44s</t>
  </si>
  <si>
    <t>very faint, very small, = 13th-magnitude star</t>
  </si>
  <si>
    <t>vF, vS, = * 13</t>
  </si>
  <si>
    <t>IC3723</t>
  </si>
  <si>
    <t>12h44m30.6s</t>
  </si>
  <si>
    <t>+40h44m14s</t>
  </si>
  <si>
    <t>IC3724</t>
  </si>
  <si>
    <t>12h44m53.8s</t>
  </si>
  <si>
    <t>+10h16m55s</t>
  </si>
  <si>
    <t>IC3725</t>
  </si>
  <si>
    <t>pretty faint, considerably small, extended, brighter middle</t>
  </si>
  <si>
    <t>pF, cS, E, bM</t>
  </si>
  <si>
    <t>IC3726</t>
  </si>
  <si>
    <t>12h44m42.6s</t>
  </si>
  <si>
    <t>+40h40m44s</t>
  </si>
  <si>
    <t>F, cS, E 145°, bM</t>
  </si>
  <si>
    <t>IC3727</t>
  </si>
  <si>
    <t>12h45m5.7s</t>
  </si>
  <si>
    <t>+10h54m2s</t>
  </si>
  <si>
    <t>IC3728</t>
  </si>
  <si>
    <t>12h45m3.2s</t>
  </si>
  <si>
    <t>+20h58m26s</t>
  </si>
  <si>
    <t>IC3729</t>
  </si>
  <si>
    <t>12h44m53s</t>
  </si>
  <si>
    <t>+39h21m6s</t>
  </si>
  <si>
    <t>F, vS, iF, N, neb st np</t>
  </si>
  <si>
    <t>IC3730</t>
  </si>
  <si>
    <t>12h45m6.5s</t>
  </si>
  <si>
    <t>+21h10m12s</t>
  </si>
  <si>
    <t>pB, vS, R, bM, in dif neb</t>
  </si>
  <si>
    <t>IC3731</t>
  </si>
  <si>
    <t>12h45m5.2s</t>
  </si>
  <si>
    <t>+12h26m49s</t>
  </si>
  <si>
    <t>IC3732</t>
  </si>
  <si>
    <t>12h45m11.9s</t>
  </si>
  <si>
    <t>+10h19m27s</t>
  </si>
  <si>
    <t>IC3733</t>
  </si>
  <si>
    <t>12h45m16.7s</t>
  </si>
  <si>
    <t>+6h57m25s</t>
  </si>
  <si>
    <t>extremely faint, small, = 14th-magnitude star</t>
  </si>
  <si>
    <t>eF, S, = * 14</t>
  </si>
  <si>
    <t>IC3734</t>
  </si>
  <si>
    <t>12h45m9.2s</t>
  </si>
  <si>
    <t>+23h2m20s</t>
  </si>
  <si>
    <t>* 15 in dif neb, I.C. 813 f 0'.5</t>
  </si>
  <si>
    <t>IC3735</t>
  </si>
  <si>
    <t>12h45m20.4s</t>
  </si>
  <si>
    <t>+13h41m35s</t>
  </si>
  <si>
    <t>IC3736</t>
  </si>
  <si>
    <t>12h45m18.8s</t>
  </si>
  <si>
    <t>+21h32m9s</t>
  </si>
  <si>
    <t>pF, vS, E 155°, bM</t>
  </si>
  <si>
    <t>IC3737</t>
  </si>
  <si>
    <t>+21h57m36s</t>
  </si>
  <si>
    <t>IC3738</t>
  </si>
  <si>
    <t>12h45m25.3s</t>
  </si>
  <si>
    <t>+19h13m44s</t>
  </si>
  <si>
    <t>Neb * 15</t>
  </si>
  <si>
    <t>IC3739</t>
  </si>
  <si>
    <t>12h45m32.2s</t>
  </si>
  <si>
    <t>+12h59m51s</t>
  </si>
  <si>
    <t>considerably faint, considerably small, binuclear</t>
  </si>
  <si>
    <t>cF, cS, biN</t>
  </si>
  <si>
    <t>IC3740</t>
  </si>
  <si>
    <t>12h45m30.5s</t>
  </si>
  <si>
    <t>+20h48m59s</t>
  </si>
  <si>
    <t>pretty faint, considerably small, extended 0°, brighter middle</t>
  </si>
  <si>
    <t>pF, cS, E 0°, bM</t>
  </si>
  <si>
    <t>IC3741</t>
  </si>
  <si>
    <t>12h45m33.2s</t>
  </si>
  <si>
    <t>+19h12m12s</t>
  </si>
  <si>
    <t>Neb * 16</t>
  </si>
  <si>
    <t>IC3742</t>
  </si>
  <si>
    <t>12h45m31.9s</t>
  </si>
  <si>
    <t>+13h19m55s</t>
  </si>
  <si>
    <t>pL, mE 225°, bM</t>
  </si>
  <si>
    <t>IC3743</t>
  </si>
  <si>
    <t>12h45m41s</t>
  </si>
  <si>
    <t>+11h6m2s</t>
  </si>
  <si>
    <t>IC3744</t>
  </si>
  <si>
    <t>12h45m41.4s</t>
  </si>
  <si>
    <t>+19h30m3s</t>
  </si>
  <si>
    <t>IC3745</t>
  </si>
  <si>
    <t>12h45m44.8s</t>
  </si>
  <si>
    <t>+19h10m40s</t>
  </si>
  <si>
    <t>IC3746</t>
  </si>
  <si>
    <t>+37h49m26s</t>
  </si>
  <si>
    <t>IC3747</t>
  </si>
  <si>
    <t>12h45m34.5s</t>
  </si>
  <si>
    <t>+37h58m7s</t>
  </si>
  <si>
    <t>IC3748</t>
  </si>
  <si>
    <t>12h45m51s</t>
  </si>
  <si>
    <t>+19h25m46s</t>
  </si>
  <si>
    <t>IC3749</t>
  </si>
  <si>
    <t>12h45m51.4s</t>
  </si>
  <si>
    <t>+19h32m9s</t>
  </si>
  <si>
    <t>very faint, extremely small, brighter middle, spiral</t>
  </si>
  <si>
    <t>vF, eS, bM, spir</t>
  </si>
  <si>
    <t>IC3750</t>
  </si>
  <si>
    <t>12h45m57.2s</t>
  </si>
  <si>
    <t>+19h6m16s</t>
  </si>
  <si>
    <t>extremely faint, extremely small, irregular figure, nuclear</t>
  </si>
  <si>
    <t>eF, eS, iF, N</t>
  </si>
  <si>
    <t>IC3751</t>
  </si>
  <si>
    <t>12h45m45.1s</t>
  </si>
  <si>
    <t>+37h49m25s</t>
  </si>
  <si>
    <t>F, vS, iF, N, neb * 15 p</t>
  </si>
  <si>
    <t>IC3752</t>
  </si>
  <si>
    <t>12h46m4.1s</t>
  </si>
  <si>
    <t>+19h0m39s</t>
  </si>
  <si>
    <t>vF, vS, iF, neb * 14 np 1', * 10 np 1'.5</t>
  </si>
  <si>
    <t>IC3753</t>
  </si>
  <si>
    <t>12h46m4.3s</t>
  </si>
  <si>
    <t>+19h7m17s</t>
  </si>
  <si>
    <t>eF, S, E, * 14 conn p</t>
  </si>
  <si>
    <t>IC3754</t>
  </si>
  <si>
    <t>+8h20m57s</t>
  </si>
  <si>
    <t>IC3755</t>
  </si>
  <si>
    <t>12h46m9.4s</t>
  </si>
  <si>
    <t>+19h9m27s</t>
  </si>
  <si>
    <t>IC3756</t>
  </si>
  <si>
    <t>+11h54m55s</t>
  </si>
  <si>
    <t>IC3757</t>
  </si>
  <si>
    <t>12h45m59.8s</t>
  </si>
  <si>
    <t>+38h30m50s</t>
  </si>
  <si>
    <t>pretty faint, small, irregular figure, 13th magnitude star involved</t>
  </si>
  <si>
    <t>pF, S, iF, * 13 inv</t>
  </si>
  <si>
    <t>IC3758</t>
  </si>
  <si>
    <t>12h45m59.6s</t>
  </si>
  <si>
    <t>+40h46m31s</t>
  </si>
  <si>
    <t>pretty faint, small, nebulous star</t>
  </si>
  <si>
    <t>pF, S, neb *</t>
  </si>
  <si>
    <t>IC3759</t>
  </si>
  <si>
    <t>12h46m17.7s</t>
  </si>
  <si>
    <t>+20h47m0s</t>
  </si>
  <si>
    <t>vF, vS, iF, N, * 15 sf 20"</t>
  </si>
  <si>
    <t>IC3760</t>
  </si>
  <si>
    <t>12h46m18.2s</t>
  </si>
  <si>
    <t>+11h52m26s</t>
  </si>
  <si>
    <t>IC3761</t>
  </si>
  <si>
    <t>12h46m27.2s</t>
  </si>
  <si>
    <t>+20h17m23s</t>
  </si>
  <si>
    <t>very faint, very small, round, brighter middle, 12th magnitude star to southwest</t>
  </si>
  <si>
    <t>vF, vS, R, bM, * 12 sp</t>
  </si>
  <si>
    <t>IC3762</t>
  </si>
  <si>
    <t>12h46m37.6s</t>
  </si>
  <si>
    <t>+22h14m49s</t>
  </si>
  <si>
    <t>vF, S, iF, in gr of neb</t>
  </si>
  <si>
    <t>IC3763</t>
  </si>
  <si>
    <t>12h46m45.9s</t>
  </si>
  <si>
    <t>+21h59m6s</t>
  </si>
  <si>
    <t>IC3764</t>
  </si>
  <si>
    <t>IC3765</t>
  </si>
  <si>
    <t>12h46m35.1s</t>
  </si>
  <si>
    <t>+38h34m26s</t>
  </si>
  <si>
    <t>IC3766</t>
  </si>
  <si>
    <t>12h46m53.4s</t>
  </si>
  <si>
    <t>+19h6m40s</t>
  </si>
  <si>
    <t>IC3767</t>
  </si>
  <si>
    <t>12h46m55.5s</t>
  </si>
  <si>
    <t>+10h10m55s</t>
  </si>
  <si>
    <t>very faint, brighter middle, magnitude 16</t>
  </si>
  <si>
    <t>vF, bM, magn 16</t>
  </si>
  <si>
    <t>IC3768</t>
  </si>
  <si>
    <t>12h46m40.7s</t>
  </si>
  <si>
    <t>+40h35m51s</t>
  </si>
  <si>
    <t>IC3769</t>
  </si>
  <si>
    <t>12h46m48s</t>
  </si>
  <si>
    <t>+40h28m13s</t>
  </si>
  <si>
    <t>IC3770</t>
  </si>
  <si>
    <t>12h47m15.6s</t>
  </si>
  <si>
    <t>+9h12m0s</t>
  </si>
  <si>
    <t>considerably faint, considerably small, extended 30°, questionable</t>
  </si>
  <si>
    <t>cF, cS, E 30°, ?</t>
  </si>
  <si>
    <t>IC3771</t>
  </si>
  <si>
    <t>12h46m52.6s</t>
  </si>
  <si>
    <t>+39h10m25s</t>
  </si>
  <si>
    <t>IC3772</t>
  </si>
  <si>
    <t>12h46m56.1s</t>
  </si>
  <si>
    <t>+36h31m52s</t>
  </si>
  <si>
    <t>pretty faint, considerably small, irregular figure, nuclear</t>
  </si>
  <si>
    <t>pF, cS, iF, N</t>
  </si>
  <si>
    <t>IC3773</t>
  </si>
  <si>
    <t>12h47m15.2s</t>
  </si>
  <si>
    <t>+10h12m12s</t>
  </si>
  <si>
    <t>IC3774</t>
  </si>
  <si>
    <t>12h47m1s</t>
  </si>
  <si>
    <t>+36h17m17s</t>
  </si>
  <si>
    <t>faint, considerably small, irregular figure, nuclear</t>
  </si>
  <si>
    <t>F, cS, iF, N</t>
  </si>
  <si>
    <t>IC3775</t>
  </si>
  <si>
    <t>12h47m16.1s</t>
  </si>
  <si>
    <t>+11h45m37s</t>
  </si>
  <si>
    <t>IC3776</t>
  </si>
  <si>
    <t>12h47m12.1s</t>
  </si>
  <si>
    <t>+22h29m3s</t>
  </si>
  <si>
    <t>IC3777</t>
  </si>
  <si>
    <t>12h47m25.4s</t>
  </si>
  <si>
    <t>+9h8m37s</t>
  </si>
  <si>
    <t>IC3778</t>
  </si>
  <si>
    <t>12h47m1.9s</t>
  </si>
  <si>
    <t>+40h35m49s</t>
  </si>
  <si>
    <t>IC3779</t>
  </si>
  <si>
    <t>12h47m20.6s</t>
  </si>
  <si>
    <t>+12h9m58s</t>
  </si>
  <si>
    <t>IC3780</t>
  </si>
  <si>
    <t>12h47m8.1s</t>
  </si>
  <si>
    <t>+40h14m10s</t>
  </si>
  <si>
    <t>IC3781</t>
  </si>
  <si>
    <t>12h47m24.6s</t>
  </si>
  <si>
    <t>+22h34m10s</t>
  </si>
  <si>
    <t>vF, pS, iF, 2 st n and p</t>
  </si>
  <si>
    <t>IC3782</t>
  </si>
  <si>
    <t>12h47m15.7s</t>
  </si>
  <si>
    <t>+40h22m4s</t>
  </si>
  <si>
    <t>IC3783</t>
  </si>
  <si>
    <t>12h47m27.8s</t>
  </si>
  <si>
    <t>+40h33m59s</t>
  </si>
  <si>
    <t>IC3784</t>
  </si>
  <si>
    <t>12h47m50.6s</t>
  </si>
  <si>
    <t>+19h23m5s</t>
  </si>
  <si>
    <t>F, vS, E 70°, bM</t>
  </si>
  <si>
    <t>IC3785</t>
  </si>
  <si>
    <t>12h47m52.2s</t>
  </si>
  <si>
    <t>+19h16m30s</t>
  </si>
  <si>
    <t>IC3786</t>
  </si>
  <si>
    <t>12h47m36.8s</t>
  </si>
  <si>
    <t>+39h2m47s</t>
  </si>
  <si>
    <t>vF, S, iF, p dif</t>
  </si>
  <si>
    <t>IC3787</t>
  </si>
  <si>
    <t>12h47m42.6s</t>
  </si>
  <si>
    <t>+40h37m25s</t>
  </si>
  <si>
    <t>IC3788</t>
  </si>
  <si>
    <t>12h48m7.3s</t>
  </si>
  <si>
    <t>+18h52m5s</t>
  </si>
  <si>
    <t>F, S, R, * 7 sp 2'</t>
  </si>
  <si>
    <t>IC3789</t>
  </si>
  <si>
    <t>12h48m7s</t>
  </si>
  <si>
    <t>+20h11m39s</t>
  </si>
  <si>
    <t>F, cS, bM, spir, * 13 sp ?'</t>
  </si>
  <si>
    <t>IC3790</t>
  </si>
  <si>
    <t>12h48m43s</t>
  </si>
  <si>
    <t>+9h14m28s</t>
  </si>
  <si>
    <t>IC3791</t>
  </si>
  <si>
    <t>most extremely faint, small, considerably extended</t>
  </si>
  <si>
    <t>eeF, S, cE</t>
  </si>
  <si>
    <t>IC3792</t>
  </si>
  <si>
    <t>12h48m14.7s</t>
  </si>
  <si>
    <t>IC3793</t>
  </si>
  <si>
    <t>12h48m11.8s</t>
  </si>
  <si>
    <t>+19h9m6s</t>
  </si>
  <si>
    <t>IC3794</t>
  </si>
  <si>
    <t>12h48m21.4s</t>
  </si>
  <si>
    <t>+19h10m10s</t>
  </si>
  <si>
    <t>faint, spiral, suddenly brighter middle like a star</t>
  </si>
  <si>
    <t>F, spir, sbM *</t>
  </si>
  <si>
    <t>IC3795</t>
  </si>
  <si>
    <t>12h48m5s</t>
  </si>
  <si>
    <t>+40h43m8s</t>
  </si>
  <si>
    <t>IC3796</t>
  </si>
  <si>
    <t>12h48m27.2s</t>
  </si>
  <si>
    <t>+20h2m13s</t>
  </si>
  <si>
    <t>vF, eS, R, bM, D * 13 np</t>
  </si>
  <si>
    <t>IC3797</t>
  </si>
  <si>
    <t>12h48m34.9s</t>
  </si>
  <si>
    <t>+11h35m52s</t>
  </si>
  <si>
    <t>faint, pretty small, very much extended, a little brighter middle</t>
  </si>
  <si>
    <t>F, pS, vmE, lbM</t>
  </si>
  <si>
    <t>IC3798</t>
  </si>
  <si>
    <t>12h48m43.1s</t>
  </si>
  <si>
    <t>+9h14m29s</t>
  </si>
  <si>
    <t>IC3799</t>
  </si>
  <si>
    <t>12h48m59.5s</t>
  </si>
  <si>
    <t>-14h23m55s</t>
  </si>
  <si>
    <t>vF, pL, vmE 210°, 1st of 7</t>
  </si>
  <si>
    <t>IC3800</t>
  </si>
  <si>
    <t>12h48m27.3s</t>
  </si>
  <si>
    <t>+36h34m30s</t>
  </si>
  <si>
    <t>IC3801</t>
  </si>
  <si>
    <t>12h49m0.7s</t>
  </si>
  <si>
    <t>+10h57m21s</t>
  </si>
  <si>
    <t>considerably bright, pretty small, stellar</t>
  </si>
  <si>
    <t>cB, pS, stell</t>
  </si>
  <si>
    <t>IC3802</t>
  </si>
  <si>
    <t>12h48m42.5s</t>
  </si>
  <si>
    <t>+38h14m49s</t>
  </si>
  <si>
    <t>IC3803</t>
  </si>
  <si>
    <t>12h49m4.4s</t>
  </si>
  <si>
    <t>+10h37m56s</t>
  </si>
  <si>
    <t>extremely faint, pretty large, questionable</t>
  </si>
  <si>
    <t>eF, pL, ?</t>
  </si>
  <si>
    <t>IC3804</t>
  </si>
  <si>
    <t>pretty faint, pretty large, extended 40°, brighter middle</t>
  </si>
  <si>
    <t>pF, pL, E 40°, bM</t>
  </si>
  <si>
    <t>IC3805</t>
  </si>
  <si>
    <t>12h48m42.4s</t>
  </si>
  <si>
    <t>+38h15m15s</t>
  </si>
  <si>
    <t>gr of eF neb and st</t>
  </si>
  <si>
    <t>IC3806</t>
  </si>
  <si>
    <t>12h48m55.4s</t>
  </si>
  <si>
    <t>+14h54m26s</t>
  </si>
  <si>
    <t>very small, round, brighter middle, magnitude 13.5</t>
  </si>
  <si>
    <t>vS, R, bM, magn 13.5</t>
  </si>
  <si>
    <t>IC3807</t>
  </si>
  <si>
    <t>12h49m30s</t>
  </si>
  <si>
    <t>-4h24m6s</t>
  </si>
  <si>
    <t>most extremely faint, large, much extended, 7th magnitude star to southeast</t>
  </si>
  <si>
    <t>eeF, L, mE, * 7 sf</t>
  </si>
  <si>
    <t>IC3808</t>
  </si>
  <si>
    <t>12h48m58.8s</t>
  </si>
  <si>
    <t>+40h35m45s</t>
  </si>
  <si>
    <t>pF, S, iF, N, * 14 f ?'</t>
  </si>
  <si>
    <t>IC3809</t>
  </si>
  <si>
    <t>+36h29m22s</t>
  </si>
  <si>
    <t>IC3810</t>
  </si>
  <si>
    <t>12h49m3.2s</t>
  </si>
  <si>
    <t>+40h38m47s</t>
  </si>
  <si>
    <t>considerably faint, considerably small, irregular figure, nuclear</t>
  </si>
  <si>
    <t>cF, cS, iF, N</t>
  </si>
  <si>
    <t>IC3811</t>
  </si>
  <si>
    <t>12h49m25.6s</t>
  </si>
  <si>
    <t>+21h27m44s</t>
  </si>
  <si>
    <t>faint, extremely small, irregular figure, nuclear</t>
  </si>
  <si>
    <t>F, eS, iF, N</t>
  </si>
  <si>
    <t>IC3812</t>
  </si>
  <si>
    <t>12h49m53.8s</t>
  </si>
  <si>
    <t>-6h43m2s</t>
  </si>
  <si>
    <t>most extremely faint, extremely small, considerably extended 15°</t>
  </si>
  <si>
    <t>eeF, eS, cE 15°</t>
  </si>
  <si>
    <t>IC3813</t>
  </si>
  <si>
    <t>12h50m2.3s</t>
  </si>
  <si>
    <t>-25h55m12s</t>
  </si>
  <si>
    <t>extremely faint, small, extended, 8th magnitude star to northeast</t>
  </si>
  <si>
    <t>eF, S, E, * 8 nf</t>
  </si>
  <si>
    <t>IC3814</t>
  </si>
  <si>
    <t>12h49m32.2s</t>
  </si>
  <si>
    <t>+20h3m0s</t>
  </si>
  <si>
    <t>very faint, very small, extended 110°</t>
  </si>
  <si>
    <t>vF, vS, E 110°</t>
  </si>
  <si>
    <t>IC3815</t>
  </si>
  <si>
    <t>12h49m38.5s</t>
  </si>
  <si>
    <t>+19h16m29s</t>
  </si>
  <si>
    <t>IC3816</t>
  </si>
  <si>
    <t>12h49m28.4s</t>
  </si>
  <si>
    <t>+37h13m51s</t>
  </si>
  <si>
    <t>IC3817</t>
  </si>
  <si>
    <t>12h49m43.4s</t>
  </si>
  <si>
    <t>+22h49m54s</t>
  </si>
  <si>
    <t>neb * 15</t>
  </si>
  <si>
    <t>IC3818</t>
  </si>
  <si>
    <t>12h49m46.8s</t>
  </si>
  <si>
    <t>+21h45m7s</t>
  </si>
  <si>
    <t>vF, S, iF, * 14 p</t>
  </si>
  <si>
    <t>IC3819</t>
  </si>
  <si>
    <t>12h50m16.3s</t>
  </si>
  <si>
    <t>-14h22m48s</t>
  </si>
  <si>
    <t>extremely faint, very small, 2nd of 7</t>
  </si>
  <si>
    <t>eF, vS, 2nd of 7</t>
  </si>
  <si>
    <t>IC3820</t>
  </si>
  <si>
    <t>12h49m39s</t>
  </si>
  <si>
    <t>IC3821</t>
  </si>
  <si>
    <t>+20h58m7s</t>
  </si>
  <si>
    <t>IC3822</t>
  </si>
  <si>
    <t>12h50m22.6s</t>
  </si>
  <si>
    <t>-14h19m21s</t>
  </si>
  <si>
    <t>extremely faint, very small, 3rd of 7</t>
  </si>
  <si>
    <t>eF, vS, 3rd of 7</t>
  </si>
  <si>
    <t>IC3823</t>
  </si>
  <si>
    <t>12h49m44.3s</t>
  </si>
  <si>
    <t>+40h53m5s</t>
  </si>
  <si>
    <t>IC3824</t>
  </si>
  <si>
    <t>12h50m30.5s</t>
  </si>
  <si>
    <t>-14h25m31s</t>
  </si>
  <si>
    <t>extremely faint, very small, 4th of 7</t>
  </si>
  <si>
    <t>eF, vS, 4th of 7</t>
  </si>
  <si>
    <t>IC3825</t>
  </si>
  <si>
    <t>12h50m37s</t>
  </si>
  <si>
    <t>-14h28m58s</t>
  </si>
  <si>
    <t>most extremely faint, very small, possibly a 14th magnitude star, 5th of 7</t>
  </si>
  <si>
    <t>eeF, vS, ? * 14, 5th of 7</t>
  </si>
  <si>
    <t>IC3826</t>
  </si>
  <si>
    <t>12h50m39.8s</t>
  </si>
  <si>
    <t>-9h1m51s</t>
  </si>
  <si>
    <t>IC3827</t>
  </si>
  <si>
    <t>12h50m51.8s</t>
  </si>
  <si>
    <t>-14h29m30s</t>
  </si>
  <si>
    <t>F, vS, R, * 11 s 0'.6, 6th of 7</t>
  </si>
  <si>
    <t>IC3828</t>
  </si>
  <si>
    <t>12h50m20.6s</t>
  </si>
  <si>
    <t>+37h56m58s</t>
  </si>
  <si>
    <t>faint, very small, irregular figure, possibly nebulous star</t>
  </si>
  <si>
    <t>F, vS, iF, ? neb *</t>
  </si>
  <si>
    <t>IC3829</t>
  </si>
  <si>
    <t>12h51m32.5s</t>
  </si>
  <si>
    <t>-27h46m59s</t>
  </si>
  <si>
    <t>B, S, lE, * 9 sf [? 119° 14'.5]</t>
  </si>
  <si>
    <t>IC3830</t>
  </si>
  <si>
    <t>12h50m51.3s</t>
  </si>
  <si>
    <t>+19h50m10s</t>
  </si>
  <si>
    <t>IC3831</t>
  </si>
  <si>
    <t>12h51m18.5s</t>
  </si>
  <si>
    <t>-14h34m24s</t>
  </si>
  <si>
    <t>faint, very small, round, brighter middle, 7th of 7</t>
  </si>
  <si>
    <t>F, vS, R, bM, 7th of 7</t>
  </si>
  <si>
    <t>IC3832</t>
  </si>
  <si>
    <t>12h50m49s</t>
  </si>
  <si>
    <t>+39h48m36s</t>
  </si>
  <si>
    <t>F, S, iF, p dif</t>
  </si>
  <si>
    <t>IC3833</t>
  </si>
  <si>
    <t>IC3834</t>
  </si>
  <si>
    <t>-14h13m15s</t>
  </si>
  <si>
    <t>vF, lbM, * 13 p 0'.8</t>
  </si>
  <si>
    <t>IC3835</t>
  </si>
  <si>
    <t>12h50m55.8s</t>
  </si>
  <si>
    <t>+40h11m12s</t>
  </si>
  <si>
    <t>IC3836</t>
  </si>
  <si>
    <t>12h51m3.6s</t>
  </si>
  <si>
    <t>+40h11m2s</t>
  </si>
  <si>
    <t>IC3837</t>
  </si>
  <si>
    <t>12h51m33s</t>
  </si>
  <si>
    <t>+19h43m23s</t>
  </si>
  <si>
    <t>IC3838</t>
  </si>
  <si>
    <t>vF, S, lbM, * 13 s 0'.8</t>
  </si>
  <si>
    <t>IC3839</t>
  </si>
  <si>
    <t>+20h25m17s</t>
  </si>
  <si>
    <t>IC3840</t>
  </si>
  <si>
    <t>Sm/I</t>
  </si>
  <si>
    <t>12h51m46.1s</t>
  </si>
  <si>
    <t>+21h44m7s</t>
  </si>
  <si>
    <t>vF, S, iF, * inv sp</t>
  </si>
  <si>
    <t>IC3841</t>
  </si>
  <si>
    <t>12h51m50.6s</t>
  </si>
  <si>
    <t>+22h20m39s</t>
  </si>
  <si>
    <t>very faint, very small, irregular figure, questionable</t>
  </si>
  <si>
    <t>vF, vS, iF, ?</t>
  </si>
  <si>
    <t>IC3842</t>
  </si>
  <si>
    <t>12h51m35.8s</t>
  </si>
  <si>
    <t>+40h22m19s</t>
  </si>
  <si>
    <t>vF, cS, dif, neb * np ?'</t>
  </si>
  <si>
    <t>IC3843</t>
  </si>
  <si>
    <t>12h51m39s</t>
  </si>
  <si>
    <t>+39h0m3s</t>
  </si>
  <si>
    <t>faint, very small, much extended 160°, among 3 stars</t>
  </si>
  <si>
    <t>F, vS, mE 160°, am 3 st</t>
  </si>
  <si>
    <t>IC3844</t>
  </si>
  <si>
    <t>12h52m6.4s</t>
  </si>
  <si>
    <t>+39h49m7s</t>
  </si>
  <si>
    <t>IC3845</t>
  </si>
  <si>
    <t>12h52m8.7s</t>
  </si>
  <si>
    <t>+38h37m7s</t>
  </si>
  <si>
    <t>IC3846</t>
  </si>
  <si>
    <t>12h52m39s</t>
  </si>
  <si>
    <t>+13h38m50s</t>
  </si>
  <si>
    <t>B, pS, N = * 9.2</t>
  </si>
  <si>
    <t>IC3847</t>
  </si>
  <si>
    <t>12h52m33.7s</t>
  </si>
  <si>
    <t>+22h3m55s</t>
  </si>
  <si>
    <t>vF.vS, iF, neb * 15 sp</t>
  </si>
  <si>
    <t>IC3848</t>
  </si>
  <si>
    <t>12h52m40.5s</t>
  </si>
  <si>
    <t>+21h24m53s</t>
  </si>
  <si>
    <t>very faint, very small, extended 120°</t>
  </si>
  <si>
    <t>vF, vS, E 120°</t>
  </si>
  <si>
    <t>IC3849</t>
  </si>
  <si>
    <t>12h52m37s</t>
  </si>
  <si>
    <t>+40h46m20s</t>
  </si>
  <si>
    <t>vF, vS, iF, N, * 14 nf</t>
  </si>
  <si>
    <t>IC3850</t>
  </si>
  <si>
    <t>12h52m39.6s</t>
  </si>
  <si>
    <t>+40h6m11s</t>
  </si>
  <si>
    <t>IC3851</t>
  </si>
  <si>
    <t>12h53m4.7s</t>
  </si>
  <si>
    <t>+21h54m34s</t>
  </si>
  <si>
    <t>vF, vS, iF, ?, * 12 s</t>
  </si>
  <si>
    <t>IC3852</t>
  </si>
  <si>
    <t>12h53m3.2s</t>
  </si>
  <si>
    <t>+35h46m23s</t>
  </si>
  <si>
    <t>F, pS, E 60°, bM</t>
  </si>
  <si>
    <t>IC3853</t>
  </si>
  <si>
    <t>12h53m10.5s</t>
  </si>
  <si>
    <t>+38h49m46s</t>
  </si>
  <si>
    <t>eF, S, p dif</t>
  </si>
  <si>
    <t>IC3854</t>
  </si>
  <si>
    <t>12h53m14.5s</t>
  </si>
  <si>
    <t>+40h50m55s</t>
  </si>
  <si>
    <t>very faint, pretty large, diffuse, difficult, 15th magnitude star to east</t>
  </si>
  <si>
    <t>vF, pL, dif, diffic, * 15 f</t>
  </si>
  <si>
    <t>IC3855</t>
  </si>
  <si>
    <t>12h53m22.6s</t>
  </si>
  <si>
    <t>+36h47m11s</t>
  </si>
  <si>
    <t>pretty faint, extremely small, round, brighter middle</t>
  </si>
  <si>
    <t>pF, eS, R, bM</t>
  </si>
  <si>
    <t>IC3856</t>
  </si>
  <si>
    <t>12h53m45.2s</t>
  </si>
  <si>
    <t>+20h5m36s</t>
  </si>
  <si>
    <t>vF, S, iF, * 15 inv p</t>
  </si>
  <si>
    <t>IC3857</t>
  </si>
  <si>
    <t>12h53m56.1s</t>
  </si>
  <si>
    <t>+19h36m25s</t>
  </si>
  <si>
    <t>extremely faint, very small, round, brighter middle, 2 extremely faint stars near</t>
  </si>
  <si>
    <t>eF, vS, R, bM, 2 eF st nr</t>
  </si>
  <si>
    <t>IC3858</t>
  </si>
  <si>
    <t>12h53m55.6s</t>
  </si>
  <si>
    <t>+20h47m20s</t>
  </si>
  <si>
    <t>F, vS, R, bM, neb * 14 &amp; * 13 sp</t>
  </si>
  <si>
    <t>IC3859</t>
  </si>
  <si>
    <t>12h54m19.9s</t>
  </si>
  <si>
    <t>-9h7m2s</t>
  </si>
  <si>
    <t>vF, ? eF Cl</t>
  </si>
  <si>
    <t>IC3860</t>
  </si>
  <si>
    <t>12h54m7.2s</t>
  </si>
  <si>
    <t>+19h17m58s</t>
  </si>
  <si>
    <t>IC3861</t>
  </si>
  <si>
    <t>12h53m50.8s</t>
  </si>
  <si>
    <t>+38h16m57s</t>
  </si>
  <si>
    <t>faint, extremely small, possibly nebulous star</t>
  </si>
  <si>
    <t>F, eS, ? neb *</t>
  </si>
  <si>
    <t>IC3862</t>
  </si>
  <si>
    <t>12h53m53.2s</t>
  </si>
  <si>
    <t>+36h5m12s</t>
  </si>
  <si>
    <t>very faint, pretty small, diffuse, 15th magnitude star attached</t>
  </si>
  <si>
    <t>vF, pS, dif, * 15 att</t>
  </si>
  <si>
    <t>IC3863</t>
  </si>
  <si>
    <t>12h53m53.9s</t>
  </si>
  <si>
    <t>+38h28m51s</t>
  </si>
  <si>
    <t>faint, small, irregular figure, 14th magnitude star attached</t>
  </si>
  <si>
    <t>F, S, iF, * 14 att</t>
  </si>
  <si>
    <t>IC3864</t>
  </si>
  <si>
    <t>12h54m12.3s</t>
  </si>
  <si>
    <t>+18h57m5s</t>
  </si>
  <si>
    <t>vF, vS, iF, * 14 s 30", many other neb about</t>
  </si>
  <si>
    <t>IC3865</t>
  </si>
  <si>
    <t>12h54m14.2s</t>
  </si>
  <si>
    <t>+18h52m7s</t>
  </si>
  <si>
    <t>IC3866</t>
  </si>
  <si>
    <t>12h54m15.5s</t>
  </si>
  <si>
    <t>+22h21m51s</t>
  </si>
  <si>
    <t>very faint, small, irregular figure, nuclear, possible cluster</t>
  </si>
  <si>
    <t>vF, S, iF, N, ? Cl</t>
  </si>
  <si>
    <t>IC3867</t>
  </si>
  <si>
    <t>12h54m19.5s</t>
  </si>
  <si>
    <t>+18h56m32s</t>
  </si>
  <si>
    <t>IC3868</t>
  </si>
  <si>
    <t>12h54m20.9s</t>
  </si>
  <si>
    <t>+18h59m26s</t>
  </si>
  <si>
    <t>IC3869</t>
  </si>
  <si>
    <t>12h54m21.2s</t>
  </si>
  <si>
    <t>+18h58m18s</t>
  </si>
  <si>
    <t>IC3870</t>
  </si>
  <si>
    <t>12h54m21.6s</t>
  </si>
  <si>
    <t>+22h22m52s</t>
  </si>
  <si>
    <t>IC3871</t>
  </si>
  <si>
    <t>12h54m25.7s</t>
  </si>
  <si>
    <t>+18h55m44s</t>
  </si>
  <si>
    <t>IC3872</t>
  </si>
  <si>
    <t>12h54m30.5s</t>
  </si>
  <si>
    <t>+18h57m46s</t>
  </si>
  <si>
    <t>IC3873</t>
  </si>
  <si>
    <t>12h54m31.6s</t>
  </si>
  <si>
    <t>+18h52m57s</t>
  </si>
  <si>
    <t>IC3874</t>
  </si>
  <si>
    <t>12h54m34.4s</t>
  </si>
  <si>
    <t>+18h57m27s</t>
  </si>
  <si>
    <t>vF, vS, iF, * 15 sf 20"</t>
  </si>
  <si>
    <t>IC3875</t>
  </si>
  <si>
    <t>12h54m37.2s</t>
  </si>
  <si>
    <t>+22h2m9s</t>
  </si>
  <si>
    <t>vF, S, iF, N, * 14 p</t>
  </si>
  <si>
    <t>IC3876</t>
  </si>
  <si>
    <t>12h54m48.4s</t>
  </si>
  <si>
    <t>+19h0m55s</t>
  </si>
  <si>
    <t>IC3877</t>
  </si>
  <si>
    <t>12h54m48.5s</t>
  </si>
  <si>
    <t>+19h10m35s</t>
  </si>
  <si>
    <t>pretty faint, considerably large, extended 20°, brighter middle</t>
  </si>
  <si>
    <t>pF, cL, E 20°, bM</t>
  </si>
  <si>
    <t>IC3878</t>
  </si>
  <si>
    <t>12h54m29.5s</t>
  </si>
  <si>
    <t>+40h4m11s</t>
  </si>
  <si>
    <t>IC3879</t>
  </si>
  <si>
    <t>12h54m32s</t>
  </si>
  <si>
    <t>+38h37m43s</t>
  </si>
  <si>
    <t>IC3880</t>
  </si>
  <si>
    <t>12h54m47.9s</t>
  </si>
  <si>
    <t>+22h30m10s</t>
  </si>
  <si>
    <t>IC3881</t>
  </si>
  <si>
    <t>12h54m54s</t>
  </si>
  <si>
    <t>+19h7m4s</t>
  </si>
  <si>
    <t>IC3882</t>
  </si>
  <si>
    <t>12h54m53.7s</t>
  </si>
  <si>
    <t>+22h34m30s</t>
  </si>
  <si>
    <t>IC3883</t>
  </si>
  <si>
    <t>12h55m13.5s</t>
  </si>
  <si>
    <t>-8h7m13s</t>
  </si>
  <si>
    <t>extremely faint, very small, much extended 5°</t>
  </si>
  <si>
    <t>eF, vS, mE 5°</t>
  </si>
  <si>
    <t>IC3884</t>
  </si>
  <si>
    <t>12h54m57.7s</t>
  </si>
  <si>
    <t>+19h40m54s</t>
  </si>
  <si>
    <t>faint, small, round, brighter middle, 14th magnitude star to south</t>
  </si>
  <si>
    <t>F, S, R, bM, * 14 s</t>
  </si>
  <si>
    <t>IC3885</t>
  </si>
  <si>
    <t>12h54m42.7s</t>
  </si>
  <si>
    <t>+37h9m16s</t>
  </si>
  <si>
    <t>faint, small, round, nebulous star</t>
  </si>
  <si>
    <t>F, S, R, neb *</t>
  </si>
  <si>
    <t>IC3886</t>
  </si>
  <si>
    <t>12h55m0.3s</t>
  </si>
  <si>
    <t>+19h0m41s</t>
  </si>
  <si>
    <t>IC3887</t>
  </si>
  <si>
    <t>12h54m43.8s</t>
  </si>
  <si>
    <t>+40h18m18s</t>
  </si>
  <si>
    <t>IC3888</t>
  </si>
  <si>
    <t>12h54m46.3s</t>
  </si>
  <si>
    <t>+39h34m19s</t>
  </si>
  <si>
    <t>F, S, lE 60°, N</t>
  </si>
  <si>
    <t>IC3889</t>
  </si>
  <si>
    <t>12h54m50.8s</t>
  </si>
  <si>
    <t>+36h1m0s</t>
  </si>
  <si>
    <t>IC3890</t>
  </si>
  <si>
    <t>12h54m50.1s</t>
  </si>
  <si>
    <t>+37h11m7s</t>
  </si>
  <si>
    <t>IC3891</t>
  </si>
  <si>
    <t>12h54m58.3s</t>
  </si>
  <si>
    <t>+36h3m9s</t>
  </si>
  <si>
    <t>IC3892</t>
  </si>
  <si>
    <t>12h55m6s</t>
  </si>
  <si>
    <t>+39h13m23s</t>
  </si>
  <si>
    <t>IC3893</t>
  </si>
  <si>
    <t>12h55m7.6s</t>
  </si>
  <si>
    <t>+38h37m28s</t>
  </si>
  <si>
    <t>IC3894</t>
  </si>
  <si>
    <t>12h55m27.2s</t>
  </si>
  <si>
    <t>+19h4m6s</t>
  </si>
  <si>
    <t>IC3895</t>
  </si>
  <si>
    <t>12h55m9.3s</t>
  </si>
  <si>
    <t>+39h12m13s</t>
  </si>
  <si>
    <t>F, cS, iF, N, * 15 nf conn</t>
  </si>
  <si>
    <t>IC3896</t>
  </si>
  <si>
    <t>-50h20m50s</t>
  </si>
  <si>
    <t>IC3897</t>
  </si>
  <si>
    <t>12h55m19s</t>
  </si>
  <si>
    <t>+39h40m23s</t>
  </si>
  <si>
    <t>faint, very small, extended 40°, brighter middle</t>
  </si>
  <si>
    <t>F, vS, E 40°, bM</t>
  </si>
  <si>
    <t>IC3898</t>
  </si>
  <si>
    <t>12h55m23.8s</t>
  </si>
  <si>
    <t>+37h35m0s</t>
  </si>
  <si>
    <t>eF, vS, v diffic, att eF *</t>
  </si>
  <si>
    <t>IC3899</t>
  </si>
  <si>
    <t>12h55m40.6s</t>
  </si>
  <si>
    <t>IC3900</t>
  </si>
  <si>
    <t>12h55m41.2s</t>
  </si>
  <si>
    <t>+27h15m5s</t>
  </si>
  <si>
    <t>pretty bright, small, brighter middle and nucleus</t>
  </si>
  <si>
    <t>pB, S, bMN</t>
  </si>
  <si>
    <t>IC3901</t>
  </si>
  <si>
    <t>12h55m50.9s</t>
  </si>
  <si>
    <t>+21h56m17s</t>
  </si>
  <si>
    <t>extremely faint, very small, extended 95°</t>
  </si>
  <si>
    <t>eF, vS, E 95°</t>
  </si>
  <si>
    <t>IC3902</t>
  </si>
  <si>
    <t>12h55m38.8s</t>
  </si>
  <si>
    <t>+35h59m44s</t>
  </si>
  <si>
    <t>pretty faint, very small, nebulous star</t>
  </si>
  <si>
    <t>pF, vS, neb *</t>
  </si>
  <si>
    <t>IC3903</t>
  </si>
  <si>
    <t>12h55m38.6s</t>
  </si>
  <si>
    <t>+40h24m0s</t>
  </si>
  <si>
    <t>IC3904</t>
  </si>
  <si>
    <t>12h55m45.5s</t>
  </si>
  <si>
    <t>+36h17m36s</t>
  </si>
  <si>
    <t>IC3905</t>
  </si>
  <si>
    <t>12h56m8.7s</t>
  </si>
  <si>
    <t>+19h51m10s</t>
  </si>
  <si>
    <t>IC3906</t>
  </si>
  <si>
    <t>12h55m51s</t>
  </si>
  <si>
    <t>+40h27m50s</t>
  </si>
  <si>
    <t>IC3907</t>
  </si>
  <si>
    <t>12h56m18.3s</t>
  </si>
  <si>
    <t>+18h47m3s</t>
  </si>
  <si>
    <t>eF, S, iF, N, * 13 sf 1'</t>
  </si>
  <si>
    <t>IC3908</t>
  </si>
  <si>
    <t>12h56m40.3s</t>
  </si>
  <si>
    <t>-7h33m38s</t>
  </si>
  <si>
    <t>eF, eS, cE 160°, ? F trail</t>
  </si>
  <si>
    <t>IC3909</t>
  </si>
  <si>
    <t>12h56m2.7s</t>
  </si>
  <si>
    <t>+40h23m7s</t>
  </si>
  <si>
    <t>IC3910</t>
  </si>
  <si>
    <t>12h56m4.8s</t>
  </si>
  <si>
    <t>+39h43m13s</t>
  </si>
  <si>
    <t>vF, vS, R, bM, ? neb D *</t>
  </si>
  <si>
    <t>IC3911</t>
  </si>
  <si>
    <t>12h56m9.2s</t>
  </si>
  <si>
    <t>+35h38m13s</t>
  </si>
  <si>
    <t>IC3912</t>
  </si>
  <si>
    <t>12h56m7.7s</t>
  </si>
  <si>
    <t>+39h54m38s</t>
  </si>
  <si>
    <t>IC3913</t>
  </si>
  <si>
    <t>12h56m28.8s</t>
  </si>
  <si>
    <t>+27h17m27s</t>
  </si>
  <si>
    <t>IC3914</t>
  </si>
  <si>
    <t>12h56m22.7s</t>
  </si>
  <si>
    <t>+36h21m38s</t>
  </si>
  <si>
    <t>extremely faint, very small, irregular figure, nuclear</t>
  </si>
  <si>
    <t>eF, vS, iF, N</t>
  </si>
  <si>
    <t>IC3915</t>
  </si>
  <si>
    <t>12h56m39.5s</t>
  </si>
  <si>
    <t>+20h7m16s</t>
  </si>
  <si>
    <t>F, vS, spir, * 14 inv s</t>
  </si>
  <si>
    <t>IC3916</t>
  </si>
  <si>
    <t>12h56m31.2s</t>
  </si>
  <si>
    <t>+38h36m51s</t>
  </si>
  <si>
    <t>pF, S, bM, spir ?</t>
  </si>
  <si>
    <t>IC3917</t>
  </si>
  <si>
    <t>12h56m51.6s</t>
  </si>
  <si>
    <t>+22h0m22s</t>
  </si>
  <si>
    <t>IC3918</t>
  </si>
  <si>
    <t>12h56m53.5s</t>
  </si>
  <si>
    <t>pretty faint, very small, brighter middle, spiral</t>
  </si>
  <si>
    <t>pF, vS, bM, spir</t>
  </si>
  <si>
    <t>IC3919</t>
  </si>
  <si>
    <t>12h56m48.7s</t>
  </si>
  <si>
    <t>+38h35m19s</t>
  </si>
  <si>
    <t>IC3920</t>
  </si>
  <si>
    <t>12h56m50s</t>
  </si>
  <si>
    <t>+39h57m33s</t>
  </si>
  <si>
    <t>IC3921</t>
  </si>
  <si>
    <t>12h56m56.7s</t>
  </si>
  <si>
    <t>+38h38m24s</t>
  </si>
  <si>
    <t>IC3922</t>
  </si>
  <si>
    <t>12h56m57.5s</t>
  </si>
  <si>
    <t>+38h28m43s</t>
  </si>
  <si>
    <t>IC3923</t>
  </si>
  <si>
    <t>12h57m0.9s</t>
  </si>
  <si>
    <t>pretty faint, extremely small, extended, brighter middle</t>
  </si>
  <si>
    <t>pF, eS, E, bM</t>
  </si>
  <si>
    <t>IC3924</t>
  </si>
  <si>
    <t>12h57m24.9s</t>
  </si>
  <si>
    <t>+18h46m54s</t>
  </si>
  <si>
    <t>IC3925</t>
  </si>
  <si>
    <t>12h57m15.4s</t>
  </si>
  <si>
    <t>+36h25m20s</t>
  </si>
  <si>
    <t>pF, vS, E 60°, bM</t>
  </si>
  <si>
    <t>IC3926</t>
  </si>
  <si>
    <t>12h57m30.4s</t>
  </si>
  <si>
    <t>+22h48m44s</t>
  </si>
  <si>
    <t>IC3927</t>
  </si>
  <si>
    <t>12h58m10.4s</t>
  </si>
  <si>
    <t>-22h52m34s</t>
  </si>
  <si>
    <t>very faint, very small, 10th magnitude star to northwest, 7th magnitude star 10 arcmin to south</t>
  </si>
  <si>
    <t>vF, vS, * 10 np, * 7 s 10'</t>
  </si>
  <si>
    <t>IC3928</t>
  </si>
  <si>
    <t>12h57m18.3s</t>
  </si>
  <si>
    <t>+40h26m30s</t>
  </si>
  <si>
    <t>very faint, pretty large, diffuse, 13th magnitude star attached</t>
  </si>
  <si>
    <t>vF, pL, dif, * 13 att</t>
  </si>
  <si>
    <t>IC3929</t>
  </si>
  <si>
    <t>12h57m41s</t>
  </si>
  <si>
    <t>+20h23m51s</t>
  </si>
  <si>
    <t>IC3930</t>
  </si>
  <si>
    <t>12h57m22.4s</t>
  </si>
  <si>
    <t>+38h45m53s</t>
  </si>
  <si>
    <t>faint, very small, nuclear, possibly nebulous star</t>
  </si>
  <si>
    <t>F, vS, N, ? neb *</t>
  </si>
  <si>
    <t>IC3931</t>
  </si>
  <si>
    <t>12h57m57.2s</t>
  </si>
  <si>
    <t>+19h37m2s</t>
  </si>
  <si>
    <t>IC3932</t>
  </si>
  <si>
    <t>12h58m5.6s</t>
  </si>
  <si>
    <t>+19h35m5s</t>
  </si>
  <si>
    <t>vF, eS, R bM</t>
  </si>
  <si>
    <t>IC3933</t>
  </si>
  <si>
    <t>12h57m57.1s</t>
  </si>
  <si>
    <t>+36h38m43s</t>
  </si>
  <si>
    <t>IC3934</t>
  </si>
  <si>
    <t>12h58m17.5s</t>
  </si>
  <si>
    <t>+18h49m30s</t>
  </si>
  <si>
    <t>IC3935</t>
  </si>
  <si>
    <t>pB, S, R, N, r, I.C. 838 f</t>
  </si>
  <si>
    <t>IC3936</t>
  </si>
  <si>
    <t>12h58m20.2s</t>
  </si>
  <si>
    <t>+19h3m28s</t>
  </si>
  <si>
    <t>Neb * 13, * 12.5 f 1'</t>
  </si>
  <si>
    <t>IC3937</t>
  </si>
  <si>
    <t>12h58m24.7s</t>
  </si>
  <si>
    <t>+18h49m6s</t>
  </si>
  <si>
    <t>IC3938</t>
  </si>
  <si>
    <t>12h58m25.7s</t>
  </si>
  <si>
    <t>extremely faint, very small, round, brighter middle, 13th magnitude star to southwest</t>
  </si>
  <si>
    <t>eF, vS, R, bM, * 13 sp</t>
  </si>
  <si>
    <t>IC3939</t>
  </si>
  <si>
    <t>12h58m28s</t>
  </si>
  <si>
    <t>+18h45m6s</t>
  </si>
  <si>
    <t>IC3940</t>
  </si>
  <si>
    <t>12h58m16.4s</t>
  </si>
  <si>
    <t>+35h50m22s</t>
  </si>
  <si>
    <t>IC3941</t>
  </si>
  <si>
    <t>12h58m13.8s</t>
  </si>
  <si>
    <t>+39h46m24s</t>
  </si>
  <si>
    <t>IC3942</t>
  </si>
  <si>
    <t>12h58m19.8s</t>
  </si>
  <si>
    <t>+36h6m32s</t>
  </si>
  <si>
    <t>IC3943</t>
  </si>
  <si>
    <t>12h58m36.5s</t>
  </si>
  <si>
    <t>+28h6m48s</t>
  </si>
  <si>
    <t>IC3944</t>
  </si>
  <si>
    <t>12h58m44.8s</t>
  </si>
  <si>
    <t>+23h46m52s</t>
  </si>
  <si>
    <t>IC3945</t>
  </si>
  <si>
    <t>12h58m29.6s</t>
  </si>
  <si>
    <t>+39h56m8s</t>
  </si>
  <si>
    <t>IC3946</t>
  </si>
  <si>
    <t>12h58m49.1s</t>
  </si>
  <si>
    <t>+27h48m35s</t>
  </si>
  <si>
    <t>faint, pretty small, brighter middle</t>
  </si>
  <si>
    <t>F, pS, bM</t>
  </si>
  <si>
    <t>IC3947</t>
  </si>
  <si>
    <t>12h58m52s</t>
  </si>
  <si>
    <t>+27h47m8s</t>
  </si>
  <si>
    <t>IC3948</t>
  </si>
  <si>
    <t>12h58m58.1s</t>
  </si>
  <si>
    <t>+24h3m41s</t>
  </si>
  <si>
    <t>IC3949</t>
  </si>
  <si>
    <t>12h58m56.6s</t>
  </si>
  <si>
    <t>+27h49m59s</t>
  </si>
  <si>
    <t>IC3950</t>
  </si>
  <si>
    <t>12h59m6s</t>
  </si>
  <si>
    <t>+18h44m10s</t>
  </si>
  <si>
    <t>IC3951</t>
  </si>
  <si>
    <t>12h59m10.1s</t>
  </si>
  <si>
    <t>+18h45m53s</t>
  </si>
  <si>
    <t>F, vS, iF, N, ? neb D *</t>
  </si>
  <si>
    <t>IC3952</t>
  </si>
  <si>
    <t>12h58m52.1s</t>
  </si>
  <si>
    <t>+38h52m11s</t>
  </si>
  <si>
    <t>IC3953</t>
  </si>
  <si>
    <t>12h59m9.1s</t>
  </si>
  <si>
    <t>+23h5m14s</t>
  </si>
  <si>
    <t>very faint, small, round, brighter middle, diffuse</t>
  </si>
  <si>
    <t>vF, S, R, bM, dif</t>
  </si>
  <si>
    <t>IC3954</t>
  </si>
  <si>
    <t>12h59m12.7s</t>
  </si>
  <si>
    <t>+19h16m21s</t>
  </si>
  <si>
    <t>IC3955</t>
  </si>
  <si>
    <t>12h59m6.1s</t>
  </si>
  <si>
    <t>+27h59m46s</t>
  </si>
  <si>
    <t>vF, S, N 14 mag</t>
  </si>
  <si>
    <t>IC3956</t>
  </si>
  <si>
    <t>12h58m56.4s</t>
  </si>
  <si>
    <t>+37h23m55s</t>
  </si>
  <si>
    <t>IC3957</t>
  </si>
  <si>
    <t>12h59m7.5s</t>
  </si>
  <si>
    <t>+27h46m0s</t>
  </si>
  <si>
    <t>IC3958</t>
  </si>
  <si>
    <t>12h59m11.4s</t>
  </si>
  <si>
    <t>+24h1m20s</t>
  </si>
  <si>
    <t>IC3959</t>
  </si>
  <si>
    <t>12h59m8.3s</t>
  </si>
  <si>
    <t>+27h47m1s</t>
  </si>
  <si>
    <t>IC3960</t>
  </si>
  <si>
    <t>12h59m8s</t>
  </si>
  <si>
    <t>+27h51m17s</t>
  </si>
  <si>
    <t>very faint, pretty small, difficult</t>
  </si>
  <si>
    <t>vF, pS, diffic</t>
  </si>
  <si>
    <t>IC3961</t>
  </si>
  <si>
    <t>pretty faint, pretty large, a little extended 30°, brighter middle</t>
  </si>
  <si>
    <t>pF, pL, lE 30°, bM</t>
  </si>
  <si>
    <t>IC3962</t>
  </si>
  <si>
    <t>12h59m15.1s</t>
  </si>
  <si>
    <t>+23h40m4s</t>
  </si>
  <si>
    <t>IC3963</t>
  </si>
  <si>
    <t>12h59m13.6s</t>
  </si>
  <si>
    <t>+27h46m26s</t>
  </si>
  <si>
    <t>IC3964</t>
  </si>
  <si>
    <t>+27h51m4s</t>
  </si>
  <si>
    <t>IC3965</t>
  </si>
  <si>
    <t>12h59m22.8s</t>
  </si>
  <si>
    <t>+18h50m35s</t>
  </si>
  <si>
    <t>IC3966</t>
  </si>
  <si>
    <t>12h59m13.1s</t>
  </si>
  <si>
    <t>+35h51m15s</t>
  </si>
  <si>
    <t>IC3967</t>
  </si>
  <si>
    <t>12h59m12.8s</t>
  </si>
  <si>
    <t>+36h7m47s</t>
  </si>
  <si>
    <t>IC3968</t>
  </si>
  <si>
    <t>12h59m25.6s</t>
  </si>
  <si>
    <t>+27h58m21s</t>
  </si>
  <si>
    <t>extremely faint, very small, 14th magnitude star near</t>
  </si>
  <si>
    <t>eF, vS, * 14 nr</t>
  </si>
  <si>
    <t>IC3969</t>
  </si>
  <si>
    <t>C+C+C</t>
  </si>
  <si>
    <t>12h59m32.7s</t>
  </si>
  <si>
    <t>+19h39m11s</t>
  </si>
  <si>
    <t>IC3970</t>
  </si>
  <si>
    <t>12h59m11.5s</t>
  </si>
  <si>
    <t>+40h24m8s</t>
  </si>
  <si>
    <t>F, vS, E 120°, * 15 att p</t>
  </si>
  <si>
    <t>IC3971</t>
  </si>
  <si>
    <t>12h59m31.7s</t>
  </si>
  <si>
    <t>+22h50m43s</t>
  </si>
  <si>
    <t>IC3972</t>
  </si>
  <si>
    <t>12h59m17.1s</t>
  </si>
  <si>
    <t>+37h16m45s</t>
  </si>
  <si>
    <t>IC3973</t>
  </si>
  <si>
    <t>12h59m30.7s</t>
  </si>
  <si>
    <t>+27h53m6s</t>
  </si>
  <si>
    <t>F, vS, R, N 13 mag</t>
  </si>
  <si>
    <t>IC3974</t>
  </si>
  <si>
    <t>IC3975</t>
  </si>
  <si>
    <t>12h59m15.6s</t>
  </si>
  <si>
    <t>+38h52m59s</t>
  </si>
  <si>
    <t>pretty faint, very small, extended 40°, brighter middle</t>
  </si>
  <si>
    <t>pF, vS, E 40°, bM</t>
  </si>
  <si>
    <t>IC3976</t>
  </si>
  <si>
    <t>12h59m29.5s</t>
  </si>
  <si>
    <t>+27h51m0s</t>
  </si>
  <si>
    <t>* 14 inv in vF neb</t>
  </si>
  <si>
    <t>IC3977</t>
  </si>
  <si>
    <t>12h59m19.6s</t>
  </si>
  <si>
    <t>+36h47m55s</t>
  </si>
  <si>
    <t>IC3978</t>
  </si>
  <si>
    <t>12h59m37.4s</t>
  </si>
  <si>
    <t>+19h37m19s</t>
  </si>
  <si>
    <t>IC3979</t>
  </si>
  <si>
    <t>12h59m21s</t>
  </si>
  <si>
    <t>+36h19m24s</t>
  </si>
  <si>
    <t>IC3980</t>
  </si>
  <si>
    <t>12h59m18.6s</t>
  </si>
  <si>
    <t>+39h9m4s</t>
  </si>
  <si>
    <t>IC3981</t>
  </si>
  <si>
    <t>12h59m21.5s</t>
  </si>
  <si>
    <t>+37h13m41s</t>
  </si>
  <si>
    <t>extremely faint, very small, irregular figure, nuclear, difficult</t>
  </si>
  <si>
    <t>eF, vS, iF, N, diffic</t>
  </si>
  <si>
    <t>IC3982</t>
  </si>
  <si>
    <t>+40h4m54s</t>
  </si>
  <si>
    <t>faint, very small, round, brighter middle, between two 13th-magnitude stars</t>
  </si>
  <si>
    <t>F, vS, R, bM, bet 2 st 13</t>
  </si>
  <si>
    <t>IC3983</t>
  </si>
  <si>
    <t>12h59m20.3s</t>
  </si>
  <si>
    <t>+39h14m53s</t>
  </si>
  <si>
    <t>IC3984</t>
  </si>
  <si>
    <t>12h59m42.1s</t>
  </si>
  <si>
    <t>+19h37m36s</t>
  </si>
  <si>
    <t>IC3985</t>
  </si>
  <si>
    <t>12h59m43.1s</t>
  </si>
  <si>
    <t>+19h35m30s</t>
  </si>
  <si>
    <t>considerably faint, extremely small, round, brighter middle</t>
  </si>
  <si>
    <t>cF, eS, R, bM</t>
  </si>
  <si>
    <t>IC3986</t>
  </si>
  <si>
    <t>13h1m0.8s</t>
  </si>
  <si>
    <t>-32h26m29s</t>
  </si>
  <si>
    <t>most extremely faint, pretty small, round, 10th magnitude star to northeast</t>
  </si>
  <si>
    <t>eeF, pS, R, * 10 nf</t>
  </si>
  <si>
    <t>IC3987</t>
  </si>
  <si>
    <t>12h59m25s</t>
  </si>
  <si>
    <t>+38h44m2s</t>
  </si>
  <si>
    <t>IC3988</t>
  </si>
  <si>
    <t>12h59m26.8s</t>
  </si>
  <si>
    <t>+37h14m41s</t>
  </si>
  <si>
    <t>IC3989</t>
  </si>
  <si>
    <t>12h59m28.8s</t>
  </si>
  <si>
    <t>+36h45m25s</t>
  </si>
  <si>
    <t>IC3990</t>
  </si>
  <si>
    <t>12h59m39.3s</t>
  </si>
  <si>
    <t>+28h53m42s</t>
  </si>
  <si>
    <t>IC3991</t>
  </si>
  <si>
    <t>12h59m39.8s</t>
  </si>
  <si>
    <t>+28h55m33s</t>
  </si>
  <si>
    <t>faint, small, round, faint nucleus, mottled but not resolved</t>
  </si>
  <si>
    <t>F, S, R, FN, r</t>
  </si>
  <si>
    <t>IC3992</t>
  </si>
  <si>
    <t>12h59m33.4s</t>
  </si>
  <si>
    <t>+36h46m19s</t>
  </si>
  <si>
    <t>IC3993</t>
  </si>
  <si>
    <t>12h59m30.4s</t>
  </si>
  <si>
    <t>+40h36m8s</t>
  </si>
  <si>
    <t>IC3994</t>
  </si>
  <si>
    <t>12h59m50.7s</t>
  </si>
  <si>
    <t>+22h42m58s</t>
  </si>
  <si>
    <t>eF, vS, iF, ? eF * inv</t>
  </si>
  <si>
    <t>IC3995</t>
  </si>
  <si>
    <t>12h59m33.1s</t>
  </si>
  <si>
    <t>+39h2m26s</t>
  </si>
  <si>
    <t>IC3996</t>
  </si>
  <si>
    <t>12h59m31.5s</t>
  </si>
  <si>
    <t>+40h28m2s</t>
  </si>
  <si>
    <t>faint, very small, suddenly brighter middle like a star</t>
  </si>
  <si>
    <t>F, vS, sbM *</t>
  </si>
  <si>
    <t>IC3997</t>
  </si>
  <si>
    <t>12h59m37s</t>
  </si>
  <si>
    <t>+36h41m42s</t>
  </si>
  <si>
    <t>IC3998</t>
  </si>
  <si>
    <t>12h59m46.9s</t>
  </si>
  <si>
    <t>+27h58m22s</t>
  </si>
  <si>
    <t>IC3999</t>
  </si>
  <si>
    <t>eF, susp</t>
  </si>
  <si>
    <t>IC4000</t>
  </si>
  <si>
    <t>12h59m36.6s</t>
  </si>
  <si>
    <t>+39h35m16s</t>
  </si>
  <si>
    <t>very faint, very small, irregular figure, possibly nebulous star</t>
  </si>
  <si>
    <t>vF, vS, iF, ? neb *</t>
  </si>
  <si>
    <t>IC4001</t>
  </si>
  <si>
    <t>12h59m37.8s</t>
  </si>
  <si>
    <t>IC4002</t>
  </si>
  <si>
    <t>12h59m40.7s</t>
  </si>
  <si>
    <t>+36h45m52s</t>
  </si>
  <si>
    <t>IC4003</t>
  </si>
  <si>
    <t>+38h48m58s</t>
  </si>
  <si>
    <t>IC4004</t>
  </si>
  <si>
    <t>12h59m42.8s</t>
  </si>
  <si>
    <t>+38h48m40s</t>
  </si>
  <si>
    <t>IC4005</t>
  </si>
  <si>
    <t>13h0m2.6s</t>
  </si>
  <si>
    <t>IC4006</t>
  </si>
  <si>
    <t>12h59m49s</t>
  </si>
  <si>
    <t>+37h0m38s</t>
  </si>
  <si>
    <t>IC4007</t>
  </si>
  <si>
    <t>13h0m7s</t>
  </si>
  <si>
    <t>+19h57m53s</t>
  </si>
  <si>
    <t>IC4008</t>
  </si>
  <si>
    <t>13h0m6s</t>
  </si>
  <si>
    <t>+22h21m2s</t>
  </si>
  <si>
    <t>IC4009</t>
  </si>
  <si>
    <t>12h59m52.5s</t>
  </si>
  <si>
    <t>+36h39m42s</t>
  </si>
  <si>
    <t>IC4010</t>
  </si>
  <si>
    <t>12h59m53.9s</t>
  </si>
  <si>
    <t>+37h51m34s</t>
  </si>
  <si>
    <t>IC4011</t>
  </si>
  <si>
    <t>13h0m6.6s</t>
  </si>
  <si>
    <t>+28h0m11s</t>
  </si>
  <si>
    <t>eF, vS, N 15m</t>
  </si>
  <si>
    <t>IC4012</t>
  </si>
  <si>
    <t>13h0m8.1s</t>
  </si>
  <si>
    <t>+28h4m42s</t>
  </si>
  <si>
    <t>* 14 in vF neb</t>
  </si>
  <si>
    <t>IC4013</t>
  </si>
  <si>
    <t>+37h11m54s</t>
  </si>
  <si>
    <t>IC4014</t>
  </si>
  <si>
    <t>13h0m13.9s</t>
  </si>
  <si>
    <t>+22h29m57s</t>
  </si>
  <si>
    <t>IC4015</t>
  </si>
  <si>
    <t>double nebula, extremely faint, small, irregular figure, nuclear</t>
  </si>
  <si>
    <t>D neb, eF, S, iF, N</t>
  </si>
  <si>
    <t>IC4016</t>
  </si>
  <si>
    <t>12h59m59.9s</t>
  </si>
  <si>
    <t>+37h11m14s</t>
  </si>
  <si>
    <t>IC4017</t>
  </si>
  <si>
    <t>13h0m15.8s</t>
  </si>
  <si>
    <t>+22h33m20s</t>
  </si>
  <si>
    <t>very faint, very small, extended 80°, brighter middle</t>
  </si>
  <si>
    <t>vF, vS, E 80°, bM</t>
  </si>
  <si>
    <t>IC4018</t>
  </si>
  <si>
    <t>12h59m57.4s</t>
  </si>
  <si>
    <t>IC4019</t>
  </si>
  <si>
    <t>13h0m17.2s</t>
  </si>
  <si>
    <t>+23h43m10s</t>
  </si>
  <si>
    <t>F, vS, iF, * 14 att nf, * 11 sp</t>
  </si>
  <si>
    <t>IC4020</t>
  </si>
  <si>
    <t>13h0m3.4s</t>
  </si>
  <si>
    <t>+38h36m35s</t>
  </si>
  <si>
    <t>IC4021</t>
  </si>
  <si>
    <t>13h0m14.9s</t>
  </si>
  <si>
    <t>+28h2m26s</t>
  </si>
  <si>
    <t>IC4022</t>
  </si>
  <si>
    <t>13h0m5.2s</t>
  </si>
  <si>
    <t>+38h28m47s</t>
  </si>
  <si>
    <t>IC4023</t>
  </si>
  <si>
    <t>13h0m26.5s</t>
  </si>
  <si>
    <t>+19h5m48s</t>
  </si>
  <si>
    <t>IC4024</t>
  </si>
  <si>
    <t>13h0m3.9s</t>
  </si>
  <si>
    <t>+40h30m32s</t>
  </si>
  <si>
    <t>IC4025</t>
  </si>
  <si>
    <t>+19h5m50s</t>
  </si>
  <si>
    <t>IC4026</t>
  </si>
  <si>
    <t>13h0m22.3s</t>
  </si>
  <si>
    <t>+28h2m47s</t>
  </si>
  <si>
    <t>IC4027</t>
  </si>
  <si>
    <t>13h0m13.8s</t>
  </si>
  <si>
    <t>+37h8m27s</t>
  </si>
  <si>
    <t>F, S, iF, N, 4893 np</t>
  </si>
  <si>
    <t>IC4028</t>
  </si>
  <si>
    <t>13h0m16.5s</t>
  </si>
  <si>
    <t>+36h15m11s</t>
  </si>
  <si>
    <t>IC4029</t>
  </si>
  <si>
    <t>13h0m14.2s</t>
  </si>
  <si>
    <t>+38h45m35s</t>
  </si>
  <si>
    <t>IC4030</t>
  </si>
  <si>
    <t>13h0m28s</t>
  </si>
  <si>
    <t>extremely faint, very small, round, 15th magnitude star involved</t>
  </si>
  <si>
    <t>eF, vS, R, * 15 inv</t>
  </si>
  <si>
    <t>IC4031</t>
  </si>
  <si>
    <t>13h0m15.5s</t>
  </si>
  <si>
    <t>+39h8m42s</t>
  </si>
  <si>
    <t>IC4032</t>
  </si>
  <si>
    <t>13h0m25.8s</t>
  </si>
  <si>
    <t>+28h52m4s</t>
  </si>
  <si>
    <t>IC4033</t>
  </si>
  <si>
    <t>13h0m28.6s</t>
  </si>
  <si>
    <t>+27h58m20s</t>
  </si>
  <si>
    <t>IC4034</t>
  </si>
  <si>
    <t>13h0m19.8s</t>
  </si>
  <si>
    <t>+37h2m45s</t>
  </si>
  <si>
    <t>IC4035</t>
  </si>
  <si>
    <t>+40h17m58s</t>
  </si>
  <si>
    <t>vF, S, v iF, diffic</t>
  </si>
  <si>
    <t>IC4036</t>
  </si>
  <si>
    <t>13h0m20.6s</t>
  </si>
  <si>
    <t>+36h54m34s</t>
  </si>
  <si>
    <t>IC4037</t>
  </si>
  <si>
    <t>13h0m19.5s</t>
  </si>
  <si>
    <t>+39h0m8s</t>
  </si>
  <si>
    <t>IC4038</t>
  </si>
  <si>
    <t>13h0m21.7s</t>
  </si>
  <si>
    <t>+37h2m23s</t>
  </si>
  <si>
    <t>IC4039</t>
  </si>
  <si>
    <t>+21h41m32s</t>
  </si>
  <si>
    <t>considerably faint, very small, nebulous star</t>
  </si>
  <si>
    <t>cF, vS, neb *</t>
  </si>
  <si>
    <t>IC4040</t>
  </si>
  <si>
    <t>13h0m38.1s</t>
  </si>
  <si>
    <t>+28h3m24s</t>
  </si>
  <si>
    <t>IC4041</t>
  </si>
  <si>
    <t>13h0m40.8s</t>
  </si>
  <si>
    <t>+27h59m49s</t>
  </si>
  <si>
    <t>IC4042</t>
  </si>
  <si>
    <t>13h0m42.7s</t>
  </si>
  <si>
    <t>+27h58m18s</t>
  </si>
  <si>
    <t>IC4043</t>
  </si>
  <si>
    <t>13h0m34.9s</t>
  </si>
  <si>
    <t>+37h4m15s</t>
  </si>
  <si>
    <t>IC4044</t>
  </si>
  <si>
    <t>13h0m47.5s</t>
  </si>
  <si>
    <t>+27h55m18s</t>
  </si>
  <si>
    <t>extremely faint, small, a little brighter middle</t>
  </si>
  <si>
    <t>eF, S, lbM</t>
  </si>
  <si>
    <t>IC4045</t>
  </si>
  <si>
    <t>+28h5m25s</t>
  </si>
  <si>
    <t>IC4046</t>
  </si>
  <si>
    <t>13h0m39.7s</t>
  </si>
  <si>
    <t>+36h41m7s</t>
  </si>
  <si>
    <t>IC4047</t>
  </si>
  <si>
    <t>13h0m57.6s</t>
  </si>
  <si>
    <t>+19h41m15s</t>
  </si>
  <si>
    <t>IC4048</t>
  </si>
  <si>
    <t>13h0m38.2s</t>
  </si>
  <si>
    <t>+39h49m50s</t>
  </si>
  <si>
    <t>IC4049</t>
  </si>
  <si>
    <t>13h0m42.6s</t>
  </si>
  <si>
    <t>+36h20m45s</t>
  </si>
  <si>
    <t>pretty bright, very small, suddenly brighter middle like a star</t>
  </si>
  <si>
    <t>pB, vS, sbM *</t>
  </si>
  <si>
    <t>IC4050</t>
  </si>
  <si>
    <t>13h0m43.5s</t>
  </si>
  <si>
    <t>+36h44m19s</t>
  </si>
  <si>
    <t>very faint, small, irregular figure, nuclear, perhaps a double star</t>
  </si>
  <si>
    <t>vF, S, iF, N, ? D *</t>
  </si>
  <si>
    <t>IC4051</t>
  </si>
  <si>
    <t>13h0m51.6s</t>
  </si>
  <si>
    <t>+28h2m34s</t>
  </si>
  <si>
    <t>pF, S, R, bM, 4908 np</t>
  </si>
  <si>
    <t>IC4052</t>
  </si>
  <si>
    <t>13h0m41.5s</t>
  </si>
  <si>
    <t>+39h40m5s</t>
  </si>
  <si>
    <t>IC4053</t>
  </si>
  <si>
    <t>13h1m1.3s</t>
  </si>
  <si>
    <t>+22h55m27s</t>
  </si>
  <si>
    <t>eF, eS, R, bM, ? others nr</t>
  </si>
  <si>
    <t>IC4054</t>
  </si>
  <si>
    <t>+22h54m16s</t>
  </si>
  <si>
    <t>vF, eS, R, bM, * 10 f ?'</t>
  </si>
  <si>
    <t>IC4055</t>
  </si>
  <si>
    <t>13h1m2.6s</t>
  </si>
  <si>
    <t>+22h54m31s</t>
  </si>
  <si>
    <t>extremely faint, very small, irregular figure, nuclear, questionable</t>
  </si>
  <si>
    <t>eF, vS, iF, N, ?</t>
  </si>
  <si>
    <t>IC4056</t>
  </si>
  <si>
    <t>13h0m44.3s</t>
  </si>
  <si>
    <t>+39h45m16s</t>
  </si>
  <si>
    <t>F, vS, exc N</t>
  </si>
  <si>
    <t>IC4057</t>
  </si>
  <si>
    <t>13h1m5.4s</t>
  </si>
  <si>
    <t>+23h9m34s</t>
  </si>
  <si>
    <t>IC4058</t>
  </si>
  <si>
    <t>13h1m9.3s</t>
  </si>
  <si>
    <t>+19h29m38s</t>
  </si>
  <si>
    <t>IC4059</t>
  </si>
  <si>
    <t>13h1m15.4s</t>
  </si>
  <si>
    <t>+19h16m23s</t>
  </si>
  <si>
    <t>IC4060</t>
  </si>
  <si>
    <t>13h0m52.4s</t>
  </si>
  <si>
    <t>+40h35m4s</t>
  </si>
  <si>
    <t>very faint, considerably small, irregular figure, nuclear</t>
  </si>
  <si>
    <t>vF, cS, iF, N</t>
  </si>
  <si>
    <t>IC4061</t>
  </si>
  <si>
    <t>13h0m57.4s</t>
  </si>
  <si>
    <t>+39h35m0s</t>
  </si>
  <si>
    <t>IC4062</t>
  </si>
  <si>
    <t>SB M</t>
  </si>
  <si>
    <t>13h0m58.7s</t>
  </si>
  <si>
    <t>+39h51m31s</t>
  </si>
  <si>
    <t>IC4063</t>
  </si>
  <si>
    <t>13h1m6.6s</t>
  </si>
  <si>
    <t>+39h14m42s</t>
  </si>
  <si>
    <t>IC4064</t>
  </si>
  <si>
    <t>13h1m6.7s</t>
  </si>
  <si>
    <t>+39h50m30s</t>
  </si>
  <si>
    <t>pretty faint, small, round, brighter middle, possibly spiral</t>
  </si>
  <si>
    <t>pF, S, R, bM, ? spir</t>
  </si>
  <si>
    <t>IC4065</t>
  </si>
  <si>
    <t>13h1m10.9s</t>
  </si>
  <si>
    <t>+39h44m40s</t>
  </si>
  <si>
    <t>very faint, very small, suddenly brighter middle like a star</t>
  </si>
  <si>
    <t>vF, vS, sbM *</t>
  </si>
  <si>
    <t>IC4066</t>
  </si>
  <si>
    <t>13h1m40.1s</t>
  </si>
  <si>
    <t>IC4067</t>
  </si>
  <si>
    <t>13h1m20.2s</t>
  </si>
  <si>
    <t>+39h56m27s</t>
  </si>
  <si>
    <t>IC4068</t>
  </si>
  <si>
    <t>+39h53m56s</t>
  </si>
  <si>
    <t>IC4069</t>
  </si>
  <si>
    <t>13h1m24.9s</t>
  </si>
  <si>
    <t>+36h6m45s</t>
  </si>
  <si>
    <t>vF, vS, pR, eF N</t>
  </si>
  <si>
    <t>IC4070</t>
  </si>
  <si>
    <t>13h1m43.2s</t>
  </si>
  <si>
    <t>+19h18m6s</t>
  </si>
  <si>
    <t>IC4071</t>
  </si>
  <si>
    <t>13h2m4s</t>
  </si>
  <si>
    <t>-7h36m11s</t>
  </si>
  <si>
    <t>most extremely faint, extremely small, considerably extended 10°</t>
  </si>
  <si>
    <t>eeF, eS, cE 10°</t>
  </si>
  <si>
    <t>IC4072</t>
  </si>
  <si>
    <t>13h1m25.8s</t>
  </si>
  <si>
    <t>+37h21m16s</t>
  </si>
  <si>
    <t>extremely faint, small, irregular figure, difficult</t>
  </si>
  <si>
    <t>eF, S, iF, diffic</t>
  </si>
  <si>
    <t>IC4073</t>
  </si>
  <si>
    <t>13h1m25.6s</t>
  </si>
  <si>
    <t>+39h54m53s</t>
  </si>
  <si>
    <t>IC4074</t>
  </si>
  <si>
    <t>13h1m48.8s</t>
  </si>
  <si>
    <t>+19h0m31s</t>
  </si>
  <si>
    <t>IC4075</t>
  </si>
  <si>
    <t>13h1m48.6s</t>
  </si>
  <si>
    <t>IC4076</t>
  </si>
  <si>
    <t>13h1m48.5s</t>
  </si>
  <si>
    <t>+23h23m23s</t>
  </si>
  <si>
    <t>faint, very small, irregular figure, nuclear, possible cluster, 15th magnitude star to northwest</t>
  </si>
  <si>
    <t>F, vS, iF, N, ? Cl, * 15 np</t>
  </si>
  <si>
    <t>IC4077</t>
  </si>
  <si>
    <t>13h1m34s</t>
  </si>
  <si>
    <t>+37h23m12s</t>
  </si>
  <si>
    <t>IC4078</t>
  </si>
  <si>
    <t>13h1m35.8s</t>
  </si>
  <si>
    <t>+36h35m39s</t>
  </si>
  <si>
    <t>IC4079</t>
  </si>
  <si>
    <t>13h1m56.8s</t>
  </si>
  <si>
    <t>+19h14m54s</t>
  </si>
  <si>
    <t>very faint, very small, attached to next</t>
  </si>
  <si>
    <t>vF, vS, att to next</t>
  </si>
  <si>
    <t>IC4080</t>
  </si>
  <si>
    <t>+19h15m11s</t>
  </si>
  <si>
    <t>faint, very small, 14th magnitude star 0.3 arcmin to west, 15th magnitude star to southeast</t>
  </si>
  <si>
    <t>F, vS, * 14 p 0'.3, * 15 sf</t>
  </si>
  <si>
    <t>IC4081</t>
  </si>
  <si>
    <t>13h1m55.2s</t>
  </si>
  <si>
    <t>+22h46m18s</t>
  </si>
  <si>
    <t>IC4082</t>
  </si>
  <si>
    <t>13h1m39.3s</t>
  </si>
  <si>
    <t>+37h20m27s</t>
  </si>
  <si>
    <t>IC4083</t>
  </si>
  <si>
    <t>13h1m38.7s</t>
  </si>
  <si>
    <t>+38h8m32s</t>
  </si>
  <si>
    <t>faint, very small, irregular figure, nebulous star</t>
  </si>
  <si>
    <t>F, vS, iF, neb *</t>
  </si>
  <si>
    <t>IC4084</t>
  </si>
  <si>
    <t>13h1m41.2s</t>
  </si>
  <si>
    <t>+36h57m57s</t>
  </si>
  <si>
    <t>IC4085</t>
  </si>
  <si>
    <t>13h1m38.1s</t>
  </si>
  <si>
    <t>+39h42m12s</t>
  </si>
  <si>
    <t>IC4086</t>
  </si>
  <si>
    <t>13h1m43s</t>
  </si>
  <si>
    <t>+36h38m52s</t>
  </si>
  <si>
    <t>F, pS, iF, N, * 15 n</t>
  </si>
  <si>
    <t>IC4087</t>
  </si>
  <si>
    <t>13h2m0.4s</t>
  </si>
  <si>
    <t>+19h59m39s</t>
  </si>
  <si>
    <t>very faint, very small, brighter middle, possibly spiral</t>
  </si>
  <si>
    <t>vF, vS, bM, ? spir</t>
  </si>
  <si>
    <t>IC4088</t>
  </si>
  <si>
    <t>13h1m43.5s</t>
  </si>
  <si>
    <t>+29h2m39s</t>
  </si>
  <si>
    <t>eF, susp, * 11?12 f 1'.4</t>
  </si>
  <si>
    <t>IC4089</t>
  </si>
  <si>
    <t>+19h30m10s</t>
  </si>
  <si>
    <t>extremely faint, small, irregular figure, nuclear, between two 14th magnitude stars</t>
  </si>
  <si>
    <t>eF, S, iF, N, bet 2 st 14</t>
  </si>
  <si>
    <t>IC4090</t>
  </si>
  <si>
    <t>13h1m46.4s</t>
  </si>
  <si>
    <t>+36h50m14s</t>
  </si>
  <si>
    <t>IC4091</t>
  </si>
  <si>
    <t>13h2m12.8s</t>
  </si>
  <si>
    <t>+19h53m34s</t>
  </si>
  <si>
    <t>IC4092</t>
  </si>
  <si>
    <t>13h2m13.8s</t>
  </si>
  <si>
    <t>+19h11m1s</t>
  </si>
  <si>
    <t>IC4093</t>
  </si>
  <si>
    <t>13h2m3s</t>
  </si>
  <si>
    <t>+28h59m42s</t>
  </si>
  <si>
    <t>susp, close p * 8</t>
  </si>
  <si>
    <t>IC4094</t>
  </si>
  <si>
    <t>13h1m58.5s</t>
  </si>
  <si>
    <t>+37h47m43s</t>
  </si>
  <si>
    <t>IC4095</t>
  </si>
  <si>
    <t>13h2m20.3s</t>
  </si>
  <si>
    <t>+19h6m1s</t>
  </si>
  <si>
    <t>IC4096</t>
  </si>
  <si>
    <t>13h2m16.9s</t>
  </si>
  <si>
    <t>+24h0m41s</t>
  </si>
  <si>
    <t>IC4097</t>
  </si>
  <si>
    <t>13h2m5.1s</t>
  </si>
  <si>
    <t>+36h36m18s</t>
  </si>
  <si>
    <t>IC4098</t>
  </si>
  <si>
    <t>13h2m4.1s</t>
  </si>
  <si>
    <t>+37h58m48s</t>
  </si>
  <si>
    <t>IC4099</t>
  </si>
  <si>
    <t>13h2m23.2s</t>
  </si>
  <si>
    <t>+24h1m47s</t>
  </si>
  <si>
    <t>IC4100</t>
  </si>
  <si>
    <t>13h2m4.8s</t>
  </si>
  <si>
    <t>+40h24m31s</t>
  </si>
  <si>
    <t>pF, cS, iF, 3 wings</t>
  </si>
  <si>
    <t>IC4101</t>
  </si>
  <si>
    <t>IC4102</t>
  </si>
  <si>
    <t>13h2m18s</t>
  </si>
  <si>
    <t>+36h9m7s</t>
  </si>
  <si>
    <t>faint, very small, round, suddenly brighter middle like a star</t>
  </si>
  <si>
    <t>F, vS, R, sbM *</t>
  </si>
  <si>
    <t>IC4103</t>
  </si>
  <si>
    <t>13h2m19.1s</t>
  </si>
  <si>
    <t>+38h0m59s</t>
  </si>
  <si>
    <t>IC4104</t>
  </si>
  <si>
    <t>13h2m18.2s</t>
  </si>
  <si>
    <t>+38h35m32s</t>
  </si>
  <si>
    <t>IC4105</t>
  </si>
  <si>
    <t>13h2m18.9s</t>
  </si>
  <si>
    <t>+38h16m16s</t>
  </si>
  <si>
    <t>very faint, very small, irregular figure, nebulous star</t>
  </si>
  <si>
    <t>vF, vS, iF, neb *</t>
  </si>
  <si>
    <t>IC4106</t>
  </si>
  <si>
    <t>13h2m38.5s</t>
  </si>
  <si>
    <t>+28h6m50s</t>
  </si>
  <si>
    <t>IC4107</t>
  </si>
  <si>
    <t>13h2m41.7s</t>
  </si>
  <si>
    <t>+21h59m52s</t>
  </si>
  <si>
    <t>extremely faint, considerably large, diffuse</t>
  </si>
  <si>
    <t>eF, cL, dif</t>
  </si>
  <si>
    <t>IC4108</t>
  </si>
  <si>
    <t>13h2m31.5s</t>
  </si>
  <si>
    <t>+38h28m44s</t>
  </si>
  <si>
    <t>IC4109</t>
  </si>
  <si>
    <t>13h2m57.9s</t>
  </si>
  <si>
    <t>+19h0m13s</t>
  </si>
  <si>
    <t>IC4110</t>
  </si>
  <si>
    <t>13h2m58.3s</t>
  </si>
  <si>
    <t>+19h13m39s</t>
  </si>
  <si>
    <t>extremely faint, very small, round, 13th magnitude star to west</t>
  </si>
  <si>
    <t>eF, vS, R, * 13 p</t>
  </si>
  <si>
    <t>IC4111</t>
  </si>
  <si>
    <t>13h2m56.7s</t>
  </si>
  <si>
    <t>+28h4m14s</t>
  </si>
  <si>
    <t>IC4112</t>
  </si>
  <si>
    <t>13h2m45.5s</t>
  </si>
  <si>
    <t>+37h12m42s</t>
  </si>
  <si>
    <t>IC4113</t>
  </si>
  <si>
    <t>13h3m3.4s</t>
  </si>
  <si>
    <t>+20h28m25s</t>
  </si>
  <si>
    <t>IC4114</t>
  </si>
  <si>
    <t>13h2m42s</t>
  </si>
  <si>
    <t>+40h6m17s</t>
  </si>
  <si>
    <t>vF, S, v iF, N</t>
  </si>
  <si>
    <t>IC4115</t>
  </si>
  <si>
    <t>13h2m49s</t>
  </si>
  <si>
    <t>+37h13m20s</t>
  </si>
  <si>
    <t>IC4116</t>
  </si>
  <si>
    <t>13h3m10.2s</t>
  </si>
  <si>
    <t>+19h4m59s</t>
  </si>
  <si>
    <t>IC4117</t>
  </si>
  <si>
    <t>13h2m48.6s</t>
  </si>
  <si>
    <t>+40h31m30s</t>
  </si>
  <si>
    <t>very faint, small, irregular figure, nebulous star</t>
  </si>
  <si>
    <t>vF, S, iF, neb *</t>
  </si>
  <si>
    <t>IC4118</t>
  </si>
  <si>
    <t>13h2m51.6s</t>
  </si>
  <si>
    <t>+38h17m37s</t>
  </si>
  <si>
    <t>IC4119</t>
  </si>
  <si>
    <t>13h3m15.1s</t>
  </si>
  <si>
    <t>+19h13m57s</t>
  </si>
  <si>
    <t>extremely faint, small, extended 30°, questionable</t>
  </si>
  <si>
    <t>eF, S, E 30°, ?</t>
  </si>
  <si>
    <t>IC4120</t>
  </si>
  <si>
    <t>13h3m1.7s</t>
  </si>
  <si>
    <t>+37h4m53s</t>
  </si>
  <si>
    <t>considerably faint, very small, irregular figure, nuclear</t>
  </si>
  <si>
    <t>cF, vS, iF, N</t>
  </si>
  <si>
    <t>IC4121</t>
  </si>
  <si>
    <t>13h3m21.5s</t>
  </si>
  <si>
    <t>+19h16m54s</t>
  </si>
  <si>
    <t>vF, vS, iF N</t>
  </si>
  <si>
    <t>IC4122</t>
  </si>
  <si>
    <t>13h3m24.4s</t>
  </si>
  <si>
    <t>+20h11m48s</t>
  </si>
  <si>
    <t>cF, S, bM, spir, * 15 p 20"</t>
  </si>
  <si>
    <t>IC4123</t>
  </si>
  <si>
    <t>13h3m5.8s</t>
  </si>
  <si>
    <t>+38h18m54s</t>
  </si>
  <si>
    <t>F, S, fan, Ns</t>
  </si>
  <si>
    <t>IC4124</t>
  </si>
  <si>
    <t>13h3m31.1s</t>
  </si>
  <si>
    <t>+22h50m52s</t>
  </si>
  <si>
    <t>very faint, very small, extended 110°, brighter middle</t>
  </si>
  <si>
    <t>vF, vS, E 110°, bM</t>
  </si>
  <si>
    <t>IC4125</t>
  </si>
  <si>
    <t>13h3m34.9s</t>
  </si>
  <si>
    <t>+18h48m14s</t>
  </si>
  <si>
    <t>IC4126</t>
  </si>
  <si>
    <t>13h3m36.4s</t>
  </si>
  <si>
    <t>+19h19m24s</t>
  </si>
  <si>
    <t>IC4127</t>
  </si>
  <si>
    <t>13h3m17.5s</t>
  </si>
  <si>
    <t>+38h2m46s</t>
  </si>
  <si>
    <t>IC4128</t>
  </si>
  <si>
    <t>13h3m41.2s</t>
  </si>
  <si>
    <t>+20h13m2s</t>
  </si>
  <si>
    <t>IC4129</t>
  </si>
  <si>
    <t>13h3m43.9s</t>
  </si>
  <si>
    <t>+18h52m36s</t>
  </si>
  <si>
    <t>IC4130</t>
  </si>
  <si>
    <t>13h3m46.6s</t>
  </si>
  <si>
    <t>+19h16m16s</t>
  </si>
  <si>
    <t>IC4131</t>
  </si>
  <si>
    <t>13h3m25.5s</t>
  </si>
  <si>
    <t>+38h57m4s</t>
  </si>
  <si>
    <t>IC4132</t>
  </si>
  <si>
    <t>13h3m33.8s</t>
  </si>
  <si>
    <t>+38h22m41s</t>
  </si>
  <si>
    <t>IC4133</t>
  </si>
  <si>
    <t>13h3m50.9s</t>
  </si>
  <si>
    <t>+27h59m15s</t>
  </si>
  <si>
    <t>IC4134</t>
  </si>
  <si>
    <t>IC4135</t>
  </si>
  <si>
    <t>13h3m37.3s</t>
  </si>
  <si>
    <t>+40h14m55s</t>
  </si>
  <si>
    <t>IC4136</t>
  </si>
  <si>
    <t>most extremely faint, considerably small</t>
  </si>
  <si>
    <t>eeF, cS</t>
  </si>
  <si>
    <t>IC4137</t>
  </si>
  <si>
    <t>13h3m59.2s</t>
  </si>
  <si>
    <t>+22h44m26s</t>
  </si>
  <si>
    <t>IC4138</t>
  </si>
  <si>
    <t>13h4m2s</t>
  </si>
  <si>
    <t>+20h39m55s</t>
  </si>
  <si>
    <t>F, vS, iF, N, * 16 inv np, ? D *</t>
  </si>
  <si>
    <t>IC4139</t>
  </si>
  <si>
    <t>13h4m4.1s</t>
  </si>
  <si>
    <t>+19h17m44s</t>
  </si>
  <si>
    <t>faint, small, irregular figure, nuclear, 2 stars to northeast</t>
  </si>
  <si>
    <t>F, S, iF, N, 2 st nf</t>
  </si>
  <si>
    <t>IC4140</t>
  </si>
  <si>
    <t>13h4m6s</t>
  </si>
  <si>
    <t>+20h5m47s</t>
  </si>
  <si>
    <t>very faint, very small, round, questionable</t>
  </si>
  <si>
    <t>vF, vS, R, ?</t>
  </si>
  <si>
    <t>IC4141</t>
  </si>
  <si>
    <t>13h4m7.7s</t>
  </si>
  <si>
    <t>+19h12m38s</t>
  </si>
  <si>
    <t>IC4142</t>
  </si>
  <si>
    <t>13h3m47.4s</t>
  </si>
  <si>
    <t>+38h11m41s</t>
  </si>
  <si>
    <t>IC4143</t>
  </si>
  <si>
    <t>13h3m45.6s</t>
  </si>
  <si>
    <t>+40h12m25s</t>
  </si>
  <si>
    <t>IC4144</t>
  </si>
  <si>
    <t>13h3m50.2s</t>
  </si>
  <si>
    <t>+36h56m33s</t>
  </si>
  <si>
    <t>IC4145</t>
  </si>
  <si>
    <t>13h3m49.8s</t>
  </si>
  <si>
    <t>+38h17m11s</t>
  </si>
  <si>
    <t>IC4146</t>
  </si>
  <si>
    <t>13h4m10.3s</t>
  </si>
  <si>
    <t>+19h16m41s</t>
  </si>
  <si>
    <t>IC4147</t>
  </si>
  <si>
    <t>13h4m9.5s</t>
  </si>
  <si>
    <t>+20h15m1s</t>
  </si>
  <si>
    <t>IC4148</t>
  </si>
  <si>
    <t>13h4m10.6s</t>
  </si>
  <si>
    <t>+19h15m33s</t>
  </si>
  <si>
    <t>IC4149</t>
  </si>
  <si>
    <t>13h4m10.8s</t>
  </si>
  <si>
    <t>+22h17m24s</t>
  </si>
  <si>
    <t>pF, vS, iF, N, * 9 p 2', * 15 sf</t>
  </si>
  <si>
    <t>IC4150</t>
  </si>
  <si>
    <t>13h4m13.1s</t>
  </si>
  <si>
    <t>+21h59m14s</t>
  </si>
  <si>
    <t>IC4151</t>
  </si>
  <si>
    <t>+36h51m26s</t>
  </si>
  <si>
    <t>very faint, considerably small, irregular figure</t>
  </si>
  <si>
    <t>vF, cS, iF</t>
  </si>
  <si>
    <t>IC4152</t>
  </si>
  <si>
    <t>13h3m58.5s</t>
  </si>
  <si>
    <t>+38h11m57s</t>
  </si>
  <si>
    <t>IC4153</t>
  </si>
  <si>
    <t>13h4m26.5s</t>
  </si>
  <si>
    <t>+19h2m40s</t>
  </si>
  <si>
    <t>IC4154</t>
  </si>
  <si>
    <t>13h4m28.3s</t>
  </si>
  <si>
    <t>+23h34m30s</t>
  </si>
  <si>
    <t>IC4155</t>
  </si>
  <si>
    <t>13h4m8.9s</t>
  </si>
  <si>
    <t>+40h0m54s</t>
  </si>
  <si>
    <t>IC4156</t>
  </si>
  <si>
    <t>most extremely faint, considerably small, much extended 140°</t>
  </si>
  <si>
    <t>eeF, cS, mE 140°</t>
  </si>
  <si>
    <t>IC4157</t>
  </si>
  <si>
    <t>13h4m18.4s</t>
  </si>
  <si>
    <t>+38h39m56s</t>
  </si>
  <si>
    <t>eF, pL, iF, ? bi-N</t>
  </si>
  <si>
    <t>IC4158</t>
  </si>
  <si>
    <t>13h4m24.6s</t>
  </si>
  <si>
    <t>+36h28m50s</t>
  </si>
  <si>
    <t>IC4159</t>
  </si>
  <si>
    <t>13h4m45.9s</t>
  </si>
  <si>
    <t>+22h14m30s</t>
  </si>
  <si>
    <t>IC4160</t>
  </si>
  <si>
    <t>13h4m48s</t>
  </si>
  <si>
    <t>+22h53m35s</t>
  </si>
  <si>
    <t>IC4161</t>
  </si>
  <si>
    <t>13h4m35.2s</t>
  </si>
  <si>
    <t>+39h58m39s</t>
  </si>
  <si>
    <t>IC4162</t>
  </si>
  <si>
    <t>13h5m3s</t>
  </si>
  <si>
    <t>+20h33m16s</t>
  </si>
  <si>
    <t>very faint, small, irregular figure, nuclear, 14th magnitude star to southwest</t>
  </si>
  <si>
    <t>vF, S, iF, N, * 14 sp</t>
  </si>
  <si>
    <t>IC4163</t>
  </si>
  <si>
    <t>13h5m7.9s</t>
  </si>
  <si>
    <t>+20h46m16s</t>
  </si>
  <si>
    <t>faint, very small, brighter middle, possibly spiral</t>
  </si>
  <si>
    <t>F, vS, bM, ? spir</t>
  </si>
  <si>
    <t>IC4164</t>
  </si>
  <si>
    <t>13h5m14.5s</t>
  </si>
  <si>
    <t>+20h32m49s</t>
  </si>
  <si>
    <t>very faint, small, a nebulous cluster?, 14th magnitude star to north</t>
  </si>
  <si>
    <t>vF, S, ? neb Cl, * 14 n</t>
  </si>
  <si>
    <t>IC4165</t>
  </si>
  <si>
    <t>13h4m57.1s</t>
  </si>
  <si>
    <t>+39h55m29s</t>
  </si>
  <si>
    <t>F, cS, p dif</t>
  </si>
  <si>
    <t>IC4166</t>
  </si>
  <si>
    <t>13h5m18.7s</t>
  </si>
  <si>
    <t>IC4167</t>
  </si>
  <si>
    <t>13h5m30.7s</t>
  </si>
  <si>
    <t>+21h54m38s</t>
  </si>
  <si>
    <t>IC4168</t>
  </si>
  <si>
    <t>13h5m10.8s</t>
  </si>
  <si>
    <t>+40h2m59s</t>
  </si>
  <si>
    <t>faint, very small, round, brighter middle, 13th magnitude star to southwest</t>
  </si>
  <si>
    <t>F, vS, R, bM, * 13 sp</t>
  </si>
  <si>
    <t>IC4169</t>
  </si>
  <si>
    <t>+38h46m25s</t>
  </si>
  <si>
    <t>IC4170</t>
  </si>
  <si>
    <t>13h5m35s</t>
  </si>
  <si>
    <t>+21h8m5s</t>
  </si>
  <si>
    <t>IC4171</t>
  </si>
  <si>
    <t>13h5m18.8s</t>
  </si>
  <si>
    <t>+36h6m9s</t>
  </si>
  <si>
    <t>IC4172</t>
  </si>
  <si>
    <t>13h6m33.2s</t>
  </si>
  <si>
    <t>+22h51m2s</t>
  </si>
  <si>
    <t>IC4173</t>
  </si>
  <si>
    <t>13h3m54.5s</t>
  </si>
  <si>
    <t>-11h30m18s</t>
  </si>
  <si>
    <t>nebulous 13th magnitude star, southwestern of 2</t>
  </si>
  <si>
    <t>Neb * 13, sp of 2</t>
  </si>
  <si>
    <t>IC4174</t>
  </si>
  <si>
    <t>13h5m28.7s</t>
  </si>
  <si>
    <t>+36h23m56s</t>
  </si>
  <si>
    <t>IC4175</t>
  </si>
  <si>
    <t>13h5m47.4s</t>
  </si>
  <si>
    <t>+20h22m27s</t>
  </si>
  <si>
    <t>IC4176</t>
  </si>
  <si>
    <t>pretty faint, pretty small, brighter middle, northeastern of 2</t>
  </si>
  <si>
    <t>pF, pS, bM, nf of 2</t>
  </si>
  <si>
    <t>IC4177</t>
  </si>
  <si>
    <t>13h6m29s</t>
  </si>
  <si>
    <t>-13h34m16s</t>
  </si>
  <si>
    <t>very faint, very small, round, suspected</t>
  </si>
  <si>
    <t>vF, vS, R, susp</t>
  </si>
  <si>
    <t>IC4178</t>
  </si>
  <si>
    <t>13h5m41.6s</t>
  </si>
  <si>
    <t>+36h1m3s</t>
  </si>
  <si>
    <t>very faint, considerably small, round, brighter middle, diffuse</t>
  </si>
  <si>
    <t>vF, cS, R, bM, dif</t>
  </si>
  <si>
    <t>IC4179</t>
  </si>
  <si>
    <t>13h5m45.8s</t>
  </si>
  <si>
    <t>+37h11m55s</t>
  </si>
  <si>
    <t>F, vS, iF, N, * 14 p</t>
  </si>
  <si>
    <t>IC4180</t>
  </si>
  <si>
    <t>13h6m56.5s</t>
  </si>
  <si>
    <t>-23h55m2s</t>
  </si>
  <si>
    <t>most extremely faint, extremely small, round, 1st of 3</t>
  </si>
  <si>
    <t>eeF, eS, R, 1st of 3</t>
  </si>
  <si>
    <t>IC4181</t>
  </si>
  <si>
    <t>13h6m6.4s</t>
  </si>
  <si>
    <t>+21h29m38s</t>
  </si>
  <si>
    <t>IC4182</t>
  </si>
  <si>
    <t>13h5m49.3s</t>
  </si>
  <si>
    <t>+37h36m23s</t>
  </si>
  <si>
    <t>considerably faint, very large, irregular figure, nuclear</t>
  </si>
  <si>
    <t>cF, vL, iF, N</t>
  </si>
  <si>
    <t>IC4183</t>
  </si>
  <si>
    <t>13h6m11.5s</t>
  </si>
  <si>
    <t>+21h30m17s</t>
  </si>
  <si>
    <t>IC4184</t>
  </si>
  <si>
    <t>13h5m51.7s</t>
  </si>
  <si>
    <t>+38h50m16s</t>
  </si>
  <si>
    <t>IC4185</t>
  </si>
  <si>
    <t>13h6m12.5s</t>
  </si>
  <si>
    <t>+21h46m11s</t>
  </si>
  <si>
    <t>vF, S, iF, att * 15 n</t>
  </si>
  <si>
    <t>IC4186</t>
  </si>
  <si>
    <t>13h5m57.8s</t>
  </si>
  <si>
    <t>+36h59m7s</t>
  </si>
  <si>
    <t>IC4187</t>
  </si>
  <si>
    <t>13h5m59.7s</t>
  </si>
  <si>
    <t>+36h17m54s</t>
  </si>
  <si>
    <t>faint, small, irregular figure, nuclear, double star to south</t>
  </si>
  <si>
    <t>F, S, iF, N, D * s</t>
  </si>
  <si>
    <t>IC4188</t>
  </si>
  <si>
    <t>13h6m2.5s</t>
  </si>
  <si>
    <t>+36h19m38s</t>
  </si>
  <si>
    <t>vF, S, iF, cF neb p 1'</t>
  </si>
  <si>
    <t>IC4189</t>
  </si>
  <si>
    <t>13h6m3.7s</t>
  </si>
  <si>
    <t>+35h58m48s</t>
  </si>
  <si>
    <t>pF, pS, E 60°, bM</t>
  </si>
  <si>
    <t>IC4190</t>
  </si>
  <si>
    <t>13h6m6.2s</t>
  </si>
  <si>
    <t>+37h36m50s</t>
  </si>
  <si>
    <t>IC4191</t>
  </si>
  <si>
    <t>13h8m47.5s</t>
  </si>
  <si>
    <t>-67h38m35s</t>
  </si>
  <si>
    <t>IC4192</t>
  </si>
  <si>
    <t>13h6m8.5s</t>
  </si>
  <si>
    <t>+37h36m19s</t>
  </si>
  <si>
    <t>very faint, small, irregular figure, very difficult</t>
  </si>
  <si>
    <t>vF, S, iF, v diffic</t>
  </si>
  <si>
    <t>IC4193</t>
  </si>
  <si>
    <t>+39h25m24s</t>
  </si>
  <si>
    <t>pF, S, iF, N, eF * att np</t>
  </si>
  <si>
    <t>IC4194</t>
  </si>
  <si>
    <t>13h6m7.8s</t>
  </si>
  <si>
    <t>+38h52m24s</t>
  </si>
  <si>
    <t>IC4195</t>
  </si>
  <si>
    <t>13h6m15.6s</t>
  </si>
  <si>
    <t>+37h2m17s</t>
  </si>
  <si>
    <t>IC4196</t>
  </si>
  <si>
    <t>eeF, eS, R, * 11 p 4', 2nd of 3</t>
  </si>
  <si>
    <t>IC4197</t>
  </si>
  <si>
    <t>13h8m4.3s</t>
  </si>
  <si>
    <t>-23h47m49s</t>
  </si>
  <si>
    <t>eeF, eS, R, 3rd of 3, * 8 f 37s</t>
  </si>
  <si>
    <t>IC4198</t>
  </si>
  <si>
    <t>F, cS, R, III 346 nr</t>
  </si>
  <si>
    <t>IC4199</t>
  </si>
  <si>
    <t>13h7m32.7s</t>
  </si>
  <si>
    <t>+35h51m29s</t>
  </si>
  <si>
    <t>IC4200</t>
  </si>
  <si>
    <t>13h9m34.8s</t>
  </si>
  <si>
    <t>-51h58m7s</t>
  </si>
  <si>
    <t>faint, brighter middle, magnitude 14.5</t>
  </si>
  <si>
    <t>F, bM, magn 14.5</t>
  </si>
  <si>
    <t>IC4201</t>
  </si>
  <si>
    <t>13h7m51.3s</t>
  </si>
  <si>
    <t>+35h50m2s</t>
  </si>
  <si>
    <t>IC4202</t>
  </si>
  <si>
    <t>13h8m31.6s</t>
  </si>
  <si>
    <t>+24h42m3s</t>
  </si>
  <si>
    <t>faint, considerably small, extended, gradually brighter middle</t>
  </si>
  <si>
    <t>F, cS, E, gbM</t>
  </si>
  <si>
    <t>IC4203</t>
  </si>
  <si>
    <t>13h8m18.9s</t>
  </si>
  <si>
    <t>+40h25m40s</t>
  </si>
  <si>
    <t>IC4204</t>
  </si>
  <si>
    <t>13h8m21.6s</t>
  </si>
  <si>
    <t>+39h27m39s</t>
  </si>
  <si>
    <t>faint, considerably small, possibly spiral</t>
  </si>
  <si>
    <t>F, cS, ? spir</t>
  </si>
  <si>
    <t>IC4205</t>
  </si>
  <si>
    <t>very faint, pretty large, round (= IC 853?)</t>
  </si>
  <si>
    <t>vF, pL, R [? = I.C. 853]</t>
  </si>
  <si>
    <t>IC4206</t>
  </si>
  <si>
    <t>13h9m22s</t>
  </si>
  <si>
    <t>+39h1m20s</t>
  </si>
  <si>
    <t>IC4207</t>
  </si>
  <si>
    <t>13h9m27s</t>
  </si>
  <si>
    <t>+37h49m22s</t>
  </si>
  <si>
    <t>IC4208</t>
  </si>
  <si>
    <t>13h9m38s</t>
  </si>
  <si>
    <t>+37h15m20s</t>
  </si>
  <si>
    <t>faint, considerably small, brighter middle, spiral</t>
  </si>
  <si>
    <t>F, cS, bM, spir</t>
  </si>
  <si>
    <t>IC4209</t>
  </si>
  <si>
    <t>13h10m22.4s</t>
  </si>
  <si>
    <t>-7h10m15s</t>
  </si>
  <si>
    <t>extremely faint, extremely small, considerably extended 100°</t>
  </si>
  <si>
    <t>eF, cS, cE 100°</t>
  </si>
  <si>
    <t>IC4210</t>
  </si>
  <si>
    <t>13h10m47.7s</t>
  </si>
  <si>
    <t>+29h42m33s</t>
  </si>
  <si>
    <t>IC4211</t>
  </si>
  <si>
    <t>13h10m56.4s</t>
  </si>
  <si>
    <t>+37h10m37s</t>
  </si>
  <si>
    <t>considerably faint, small, extended 315°, brighter middle</t>
  </si>
  <si>
    <t>cF, S, E 315°, bM</t>
  </si>
  <si>
    <t>IC4212</t>
  </si>
  <si>
    <t>13h12m2.8s</t>
  </si>
  <si>
    <t>-6h59m37s</t>
  </si>
  <si>
    <t>extremely faint, extremely small, considerably extended 20°</t>
  </si>
  <si>
    <t>eF, cS, cE 20°</t>
  </si>
  <si>
    <t>IC4213</t>
  </si>
  <si>
    <t>13h12m11.3s</t>
  </si>
  <si>
    <t>+35h40m17s</t>
  </si>
  <si>
    <t>faint, large, very much extended north-south, gradually very little brighter middle</t>
  </si>
  <si>
    <t>F, L, vmE ns, gvlbM</t>
  </si>
  <si>
    <t>IC4214</t>
  </si>
  <si>
    <t>13h17m42.7s</t>
  </si>
  <si>
    <t>-32h6m5s</t>
  </si>
  <si>
    <t>pretty bright, pretty small, round, 9th magnitude star to southeast</t>
  </si>
  <si>
    <t>pB, pS, R, * 9 sf</t>
  </si>
  <si>
    <t>IC4215</t>
  </si>
  <si>
    <t>13h16m16.6s</t>
  </si>
  <si>
    <t>+25h24m17s</t>
  </si>
  <si>
    <t>faint, small, extended 210°</t>
  </si>
  <si>
    <t>F, S, E 210°</t>
  </si>
  <si>
    <t>IC4216</t>
  </si>
  <si>
    <t>13h17m1.8s</t>
  </si>
  <si>
    <t>very faint, considerably large, considerably extended 40°</t>
  </si>
  <si>
    <t>vF, cL, cE 40°</t>
  </si>
  <si>
    <t>IC4217</t>
  </si>
  <si>
    <t>13h17m13.2s</t>
  </si>
  <si>
    <t>-13h9m20s</t>
  </si>
  <si>
    <t>IC4218</t>
  </si>
  <si>
    <t>13h17m3.4s</t>
  </si>
  <si>
    <t>-2h15m43s</t>
  </si>
  <si>
    <t>extremely faint, extremely small, considerably extended 170°; suspected</t>
  </si>
  <si>
    <t>eF, eS, cE 170°, susp</t>
  </si>
  <si>
    <t>IC4219</t>
  </si>
  <si>
    <t>13h18m29.8s</t>
  </si>
  <si>
    <t>-31h37m52s</t>
  </si>
  <si>
    <t>most extremely faint, pretty large, round, 9th magnitude star to southwest</t>
  </si>
  <si>
    <t>eeF, pL, R, * 9 sp</t>
  </si>
  <si>
    <t>IC4220</t>
  </si>
  <si>
    <t>13h17m54.4s</t>
  </si>
  <si>
    <t>-13h36m20s</t>
  </si>
  <si>
    <t>extremely faint, extremely small, considerably extended 130°</t>
  </si>
  <si>
    <t>eF, eS, cE 130°</t>
  </si>
  <si>
    <t>IC4221</t>
  </si>
  <si>
    <t>13h18m30.4s</t>
  </si>
  <si>
    <t>-14h36m34s</t>
  </si>
  <si>
    <t>considerably faint, small, much extended 165°, considerably brighter middle</t>
  </si>
  <si>
    <t>cF, S, mE 165°, cbM</t>
  </si>
  <si>
    <t>IC4222</t>
  </si>
  <si>
    <t>IC4223</t>
  </si>
  <si>
    <t>13h18m55.2s</t>
  </si>
  <si>
    <t>+7h47m43s</t>
  </si>
  <si>
    <t>IC4224</t>
  </si>
  <si>
    <t>13h19m4.7s</t>
  </si>
  <si>
    <t>-2h30m57s</t>
  </si>
  <si>
    <t>extremely faint, small, considerably extended 110°, suspected</t>
  </si>
  <si>
    <t>eF, S, cE 110°, susp</t>
  </si>
  <si>
    <t>IC4225</t>
  </si>
  <si>
    <t>13h20m0.9s</t>
  </si>
  <si>
    <t>+31h58m55s</t>
  </si>
  <si>
    <t>faint, considerably small, round</t>
  </si>
  <si>
    <t>F, cS, R</t>
  </si>
  <si>
    <t>IC4226</t>
  </si>
  <si>
    <t>13h20m30.3s</t>
  </si>
  <si>
    <t>+32h0m16s</t>
  </si>
  <si>
    <t>IC4227</t>
  </si>
  <si>
    <t>13h20m53.4s</t>
  </si>
  <si>
    <t>+32h11m28s</t>
  </si>
  <si>
    <t>IC4228</t>
  </si>
  <si>
    <t>13h21m34.2s</t>
  </si>
  <si>
    <t>+25h30m56s</t>
  </si>
  <si>
    <t>IC4229</t>
  </si>
  <si>
    <t>13h22m26.2s</t>
  </si>
  <si>
    <t>-2h25m5s</t>
  </si>
  <si>
    <t>extremely faint, extremely small, round, suspected</t>
  </si>
  <si>
    <t>eF, eS, R, susp</t>
  </si>
  <si>
    <t>IC4230</t>
  </si>
  <si>
    <t>13h21m59.3s</t>
  </si>
  <si>
    <t>+26h44m2s</t>
  </si>
  <si>
    <t>IC4231</t>
  </si>
  <si>
    <t>13h23m13.2s</t>
  </si>
  <si>
    <t>-26h18m1s</t>
  </si>
  <si>
    <t>pretty large, very much extended</t>
  </si>
  <si>
    <t>pL, vmE</t>
  </si>
  <si>
    <t>IC4232</t>
  </si>
  <si>
    <t>13h23m22.2s</t>
  </si>
  <si>
    <t>-26h6m33s</t>
  </si>
  <si>
    <t>IC4233</t>
  </si>
  <si>
    <t>most extremely faint, pretty small, round, 4 stars to southeast</t>
  </si>
  <si>
    <t>eeF, pS, R, 4 st sf</t>
  </si>
  <si>
    <t>IC4234</t>
  </si>
  <si>
    <t>13h23m0s</t>
  </si>
  <si>
    <t>+27h7m0s</t>
  </si>
  <si>
    <t>faint, considerably small, round, nuclear, mottled but not resolved</t>
  </si>
  <si>
    <t>F, cS, R, N, r</t>
  </si>
  <si>
    <t>IC4235</t>
  </si>
  <si>
    <t>13h23m52.9s</t>
  </si>
  <si>
    <t>-12h44m34s</t>
  </si>
  <si>
    <t>IC4236</t>
  </si>
  <si>
    <t>most extremely faint, pretty small, much extended, very difficult</t>
  </si>
  <si>
    <t>eeF, pS, mE, v diffic</t>
  </si>
  <si>
    <t>IC4237</t>
  </si>
  <si>
    <t>13h24m32.6s</t>
  </si>
  <si>
    <t>-21h8m13s</t>
  </si>
  <si>
    <t>very faint, small, little brighter middle, mottled but not resolved</t>
  </si>
  <si>
    <t>vF, S, lbM, r</t>
  </si>
  <si>
    <t>IC4238</t>
  </si>
  <si>
    <t>13h23m59.9s</t>
  </si>
  <si>
    <t>+30h55m57s</t>
  </si>
  <si>
    <t>faint, very small, diffuse, (NGC) 5131 to northwest</t>
  </si>
  <si>
    <t>F, vS, dif, 5131 np</t>
  </si>
  <si>
    <t>IC4239</t>
  </si>
  <si>
    <t>13h24m25.4s</t>
  </si>
  <si>
    <t>+30h57m33s</t>
  </si>
  <si>
    <t>IC4240</t>
  </si>
  <si>
    <t>13h24m27.5s</t>
  </si>
  <si>
    <t>+30h58m40s</t>
  </si>
  <si>
    <t>IC4241</t>
  </si>
  <si>
    <t>13h24m46.5s</t>
  </si>
  <si>
    <t>faint, small, irregular figure, 12.5 magnitude star attached</t>
  </si>
  <si>
    <t>F, S, iF, * 12.5 att</t>
  </si>
  <si>
    <t>IC4242</t>
  </si>
  <si>
    <t>13h24m41.1s</t>
  </si>
  <si>
    <t>+31h1m34s</t>
  </si>
  <si>
    <t>IC4243</t>
  </si>
  <si>
    <t>13h25m51.2s</t>
  </si>
  <si>
    <t>-27h37m36s</t>
  </si>
  <si>
    <t>IC4244</t>
  </si>
  <si>
    <t>13h24m56.2s</t>
  </si>
  <si>
    <t>+26h27m50s</t>
  </si>
  <si>
    <t>IC4245</t>
  </si>
  <si>
    <t>13h25m59s</t>
  </si>
  <si>
    <t>-26h40m39s</t>
  </si>
  <si>
    <t>one of 2 nebulae with a difference in right ascension of 0.3 arcmin</t>
  </si>
  <si>
    <t>2 neb, Δα = 0'.3</t>
  </si>
  <si>
    <t>IC4246</t>
  </si>
  <si>
    <t>13h26m0.2s</t>
  </si>
  <si>
    <t>-26h40m40s</t>
  </si>
  <si>
    <t>IC4247</t>
  </si>
  <si>
    <t>13h26m44.4s</t>
  </si>
  <si>
    <t>-30h21m43s</t>
  </si>
  <si>
    <t>small, extended, magnitude 14</t>
  </si>
  <si>
    <t>S, E, magn 14</t>
  </si>
  <si>
    <t>IC4248</t>
  </si>
  <si>
    <t>13h26m47.1s</t>
  </si>
  <si>
    <t>-29h52m51s</t>
  </si>
  <si>
    <t>faint, spiral, 13th magnitude star in middle</t>
  </si>
  <si>
    <t>F, spir, * 13 in M</t>
  </si>
  <si>
    <t>IC4249</t>
  </si>
  <si>
    <t>13h27m6.3s</t>
  </si>
  <si>
    <t>-27h57m24s</t>
  </si>
  <si>
    <t>very faint, brighter middle, magnitude 13, near bright star</t>
  </si>
  <si>
    <t>vF, bM, magn 13, nr B *</t>
  </si>
  <si>
    <t>IC4250</t>
  </si>
  <si>
    <t>S+C</t>
  </si>
  <si>
    <t>+26h28m38s</t>
  </si>
  <si>
    <t>IC4251</t>
  </si>
  <si>
    <t>13h27m24.1s</t>
  </si>
  <si>
    <t>-29h26m40s</t>
  </si>
  <si>
    <t>very faint, brighter middle, magnitude 14, h3507 to southeast</t>
  </si>
  <si>
    <t>vF, bM, magn 14, h 3507 sf</t>
  </si>
  <si>
    <t>IC4252</t>
  </si>
  <si>
    <t>13h27m28s</t>
  </si>
  <si>
    <t>-27h19m28s</t>
  </si>
  <si>
    <t>IC4253</t>
  </si>
  <si>
    <t>13h27m32.2s</t>
  </si>
  <si>
    <t>-27h52m22s</t>
  </si>
  <si>
    <t>brighter middle, possibly spiral</t>
  </si>
  <si>
    <t>bM, ? spir</t>
  </si>
  <si>
    <t>IC4254</t>
  </si>
  <si>
    <t>13h27m45.3s</t>
  </si>
  <si>
    <t>-27h13m19s</t>
  </si>
  <si>
    <t>brighter middle, diffuse, magnitude 14.5</t>
  </si>
  <si>
    <t>bM, dif, magn 14.5</t>
  </si>
  <si>
    <t>IC4255</t>
  </si>
  <si>
    <t>13h28m0.1s</t>
  </si>
  <si>
    <t>-27h21m14s</t>
  </si>
  <si>
    <t>IC4256</t>
  </si>
  <si>
    <t>13h27m3.1s</t>
  </si>
  <si>
    <t>+30h58m35s</t>
  </si>
  <si>
    <t>IC4257</t>
  </si>
  <si>
    <t>13h27m20.5s</t>
  </si>
  <si>
    <t>+46h52m6s</t>
  </si>
  <si>
    <t>IC4258</t>
  </si>
  <si>
    <t>13h27m53.3s</t>
  </si>
  <si>
    <t>+28h30m31s</t>
  </si>
  <si>
    <t>IC4259</t>
  </si>
  <si>
    <t>13h29m28.2s</t>
  </si>
  <si>
    <t>-30h8m3s</t>
  </si>
  <si>
    <t>IC4260</t>
  </si>
  <si>
    <t>13h29m40.4s</t>
  </si>
  <si>
    <t>-28h15m58s</t>
  </si>
  <si>
    <t>IC4261</t>
  </si>
  <si>
    <t>13h29m47.6s</t>
  </si>
  <si>
    <t>-28h0m23s</t>
  </si>
  <si>
    <t>IC4262</t>
  </si>
  <si>
    <t>13h30m23.1s</t>
  </si>
  <si>
    <t>-28h16m14s</t>
  </si>
  <si>
    <t>brighter middle, wisps extending 0.1 arcmin</t>
  </si>
  <si>
    <t>bM, wisps extend 0'.1</t>
  </si>
  <si>
    <t>IC4263</t>
  </si>
  <si>
    <t>13h28m33.4s</t>
  </si>
  <si>
    <t>+46h55m37s</t>
  </si>
  <si>
    <t>considerably faint, pretty large, much extended, much brighter middle</t>
  </si>
  <si>
    <t>eF, pL, mE, mbM</t>
  </si>
  <si>
    <t>IC4264</t>
  </si>
  <si>
    <t>13h30m17.5s</t>
  </si>
  <si>
    <t>-27h55m43s</t>
  </si>
  <si>
    <t>IC4265</t>
  </si>
  <si>
    <t>13h30m22.9s</t>
  </si>
  <si>
    <t>-25h45m56s</t>
  </si>
  <si>
    <t>IC4266</t>
  </si>
  <si>
    <t>13h29m5.7s</t>
  </si>
  <si>
    <t>+37h36m42s</t>
  </si>
  <si>
    <t>IC4267</t>
  </si>
  <si>
    <t>13h30m36s</t>
  </si>
  <si>
    <t>-26h15m22s</t>
  </si>
  <si>
    <t>wisp, 0.7 arcmin long</t>
  </si>
  <si>
    <t>wisp, 0'.7 long</t>
  </si>
  <si>
    <t>IC4268</t>
  </si>
  <si>
    <t>13h29m12.2s</t>
  </si>
  <si>
    <t>+37h39m40s</t>
  </si>
  <si>
    <t>IC4269</t>
  </si>
  <si>
    <t>13h29m20.9s</t>
  </si>
  <si>
    <t>+37h37m25s</t>
  </si>
  <si>
    <t>faint, small, nuclear</t>
  </si>
  <si>
    <t>F, S, N</t>
  </si>
  <si>
    <t>IC4270</t>
  </si>
  <si>
    <t>13h30m49.1s</t>
  </si>
  <si>
    <t>-25h20m1s</t>
  </si>
  <si>
    <t>IC4271</t>
  </si>
  <si>
    <t>13h29m21.4s</t>
  </si>
  <si>
    <t>+37h24m49s</t>
  </si>
  <si>
    <t>IC4272</t>
  </si>
  <si>
    <t>13h31m16.4s</t>
  </si>
  <si>
    <t>-29h57m24s</t>
  </si>
  <si>
    <t>brighter middle, magnitude 14, possibly double</t>
  </si>
  <si>
    <t>bM, ? D, magn 14</t>
  </si>
  <si>
    <t>IC4273</t>
  </si>
  <si>
    <t>13h31m29.8s</t>
  </si>
  <si>
    <t>-28h53m38s</t>
  </si>
  <si>
    <t>IC4274</t>
  </si>
  <si>
    <t>IC4275</t>
  </si>
  <si>
    <t>13h31m51.1s</t>
  </si>
  <si>
    <t>-29h43m56s</t>
  </si>
  <si>
    <t>brighter middle, magnitude 12.5</t>
  </si>
  <si>
    <t>bM, magn 12.5</t>
  </si>
  <si>
    <t>IC4276</t>
  </si>
  <si>
    <t>13h32m6.1s</t>
  </si>
  <si>
    <t>-28h9m23s</t>
  </si>
  <si>
    <t>brighter middle, wisps 0.2 arcmin each side</t>
  </si>
  <si>
    <t>bM, wisps 0'.2 each side</t>
  </si>
  <si>
    <t>IC4277</t>
  </si>
  <si>
    <t>13h30m16.5s</t>
  </si>
  <si>
    <t>+47h18m52s</t>
  </si>
  <si>
    <t>extremely faint, small, very much extended, northeast of M51</t>
  </si>
  <si>
    <t>eF, S, vmE, nf M 51</t>
  </si>
  <si>
    <t>IC4278</t>
  </si>
  <si>
    <t>13h30m27.4s</t>
  </si>
  <si>
    <t>+47h14m49s</t>
  </si>
  <si>
    <t>extremely faint, very small, round, brighter middle, east of M51</t>
  </si>
  <si>
    <t>eF, vS, R, bM, f M 51</t>
  </si>
  <si>
    <t>IC4279</t>
  </si>
  <si>
    <t>13h32m30.9s</t>
  </si>
  <si>
    <t>-27h7m39s</t>
  </si>
  <si>
    <t>brighter middle, possible wisps 0.3 arcmin long</t>
  </si>
  <si>
    <t>bM, ? wisps 0'.3 l</t>
  </si>
  <si>
    <t>IC4280</t>
  </si>
  <si>
    <t>13h32m53.4s</t>
  </si>
  <si>
    <t>-24h12m25s</t>
  </si>
  <si>
    <t>extremely faint, pretty small, round, star to northeast, very faint star to north</t>
  </si>
  <si>
    <t>eF, pS, R, * nf, vF * n</t>
  </si>
  <si>
    <t>IC4281</t>
  </si>
  <si>
    <t>13h32m38.5s</t>
  </si>
  <si>
    <t>-27h10m9s</t>
  </si>
  <si>
    <t>IC4282</t>
  </si>
  <si>
    <t>dE?</t>
  </si>
  <si>
    <t>13h31m19.8s</t>
  </si>
  <si>
    <t>+47h11m2s</t>
  </si>
  <si>
    <t>IC4283</t>
  </si>
  <si>
    <t>13h32m10.7s</t>
  </si>
  <si>
    <t>+28h23m20s</t>
  </si>
  <si>
    <t>faint, small, round, 14th magnitude star attached</t>
  </si>
  <si>
    <t>F, S, R, * 14 att</t>
  </si>
  <si>
    <t>IC4284</t>
  </si>
  <si>
    <t>13h31m31.9s</t>
  </si>
  <si>
    <t>+46h47m41s</t>
  </si>
  <si>
    <t>IC4285</t>
  </si>
  <si>
    <t>13h31m45.5s</t>
  </si>
  <si>
    <t>+46h49m19s</t>
  </si>
  <si>
    <t>IC4286</t>
  </si>
  <si>
    <t>13h33m35.7s</t>
  </si>
  <si>
    <t>-27h37m55s</t>
  </si>
  <si>
    <t>IC4287</t>
  </si>
  <si>
    <t>13h32m38.8s</t>
  </si>
  <si>
    <t>+25h26m29s</t>
  </si>
  <si>
    <t>faint, small, round, gradually brighter middle, possibly another very near</t>
  </si>
  <si>
    <t>F, S, R, gbM, ? another v nr</t>
  </si>
  <si>
    <t>IC4288</t>
  </si>
  <si>
    <t>13h34m30.3s</t>
  </si>
  <si>
    <t>-27h18m16s</t>
  </si>
  <si>
    <t>IC4289</t>
  </si>
  <si>
    <t>13h34m47.8s</t>
  </si>
  <si>
    <t>-27h7m36s</t>
  </si>
  <si>
    <t>IC4290</t>
  </si>
  <si>
    <t>13h35m19.6s</t>
  </si>
  <si>
    <t>-28h1m19s</t>
  </si>
  <si>
    <t>annular, faint, pretty large, stellar nucleus</t>
  </si>
  <si>
    <t>Annular, F, pL, stell N</t>
  </si>
  <si>
    <t>IC4291</t>
  </si>
  <si>
    <t>13h36m56.3s</t>
  </si>
  <si>
    <t>-62h5m35s</t>
  </si>
  <si>
    <t>pretty small, round, brighter middle</t>
  </si>
  <si>
    <t>pS, R, bM</t>
  </si>
  <si>
    <t>IC4292</t>
  </si>
  <si>
    <t>13h35m46.7s</t>
  </si>
  <si>
    <t>-27h40m30s</t>
  </si>
  <si>
    <t>IC4293</t>
  </si>
  <si>
    <t>13h36m2.2s</t>
  </si>
  <si>
    <t>-25h52m56s</t>
  </si>
  <si>
    <t>IC4294</t>
  </si>
  <si>
    <t>13h36m31.1s</t>
  </si>
  <si>
    <t>-28h46m53s</t>
  </si>
  <si>
    <t>IC4295</t>
  </si>
  <si>
    <t>13h36m34.4s</t>
  </si>
  <si>
    <t>-29h5m20s</t>
  </si>
  <si>
    <t>small, a little extended, magnitude 14</t>
  </si>
  <si>
    <t>S, lE, magn 14</t>
  </si>
  <si>
    <t>IC4296</t>
  </si>
  <si>
    <t>13h36m38.8s</t>
  </si>
  <si>
    <t>-33h57m57s</t>
  </si>
  <si>
    <t>IC4297</t>
  </si>
  <si>
    <t>13h35m19.2s</t>
  </si>
  <si>
    <t>+26h25m31s</t>
  </si>
  <si>
    <t>IC4298</t>
  </si>
  <si>
    <t>13h36m34.7s</t>
  </si>
  <si>
    <t>-26h33m15s</t>
  </si>
  <si>
    <t>bM, ? spiral</t>
  </si>
  <si>
    <t>IC4299</t>
  </si>
  <si>
    <t>13h36m47.5s</t>
  </si>
  <si>
    <t>-34h3m57s</t>
  </si>
  <si>
    <t>most extremely faint, extremely small, faint star attached</t>
  </si>
  <si>
    <t>eeF, eS, F * att</t>
  </si>
  <si>
    <t>IC4300</t>
  </si>
  <si>
    <t>13h35m25.1s</t>
  </si>
  <si>
    <t>+33h25m11s</t>
  </si>
  <si>
    <t>IC4301</t>
  </si>
  <si>
    <t>13h35m35.8s</t>
  </si>
  <si>
    <t>+33h22m28s</t>
  </si>
  <si>
    <t>faint, very small, diffuse, nuclear</t>
  </si>
  <si>
    <t>F, S, dif, N</t>
  </si>
  <si>
    <t>IC4302</t>
  </si>
  <si>
    <t>13h35m35.9s</t>
  </si>
  <si>
    <t>+33h28m46s</t>
  </si>
  <si>
    <t>IC4303</t>
  </si>
  <si>
    <t>13h37m18.2s</t>
  </si>
  <si>
    <t>-28h39m28s</t>
  </si>
  <si>
    <t>IC4304</t>
  </si>
  <si>
    <t>13h35m57.9s</t>
  </si>
  <si>
    <t>+33h25m47s</t>
  </si>
  <si>
    <t>IC4305</t>
  </si>
  <si>
    <t>13h35m58.3s</t>
  </si>
  <si>
    <t>+33h28m28s</t>
  </si>
  <si>
    <t>pretty bright, considerably small, a little extended north-south, brighter middle and nucleus</t>
  </si>
  <si>
    <t>pB, cS, lE ns, bMN</t>
  </si>
  <si>
    <t>IC4306</t>
  </si>
  <si>
    <t>13h36m19.6s</t>
  </si>
  <si>
    <t>+33h25m27s</t>
  </si>
  <si>
    <t>faint, very small, gradually brighter middle, 13th magnitude star near</t>
  </si>
  <si>
    <t>F, vS, gbM, * 13 nr</t>
  </si>
  <si>
    <t>IC4307</t>
  </si>
  <si>
    <t>13h36m36.1s</t>
  </si>
  <si>
    <t>+27h14m34s</t>
  </si>
  <si>
    <t>faint, small, extended east-west, 11th magnitude star 6 seconds of time to the west</t>
  </si>
  <si>
    <t>F, S, E pf, * 11 p 6s</t>
  </si>
  <si>
    <t>IC4308</t>
  </si>
  <si>
    <t>13h36m52.4s</t>
  </si>
  <si>
    <t>+32h44m0s</t>
  </si>
  <si>
    <t>IC4309</t>
  </si>
  <si>
    <t>13h38m50s</t>
  </si>
  <si>
    <t>-29h39m47s</t>
  </si>
  <si>
    <t>IC4310</t>
  </si>
  <si>
    <t>13h38m57s</t>
  </si>
  <si>
    <t>-25h50m44s</t>
  </si>
  <si>
    <t>very faint, brighter middle, wisps 0.3 arcmin long</t>
  </si>
  <si>
    <t>vF, bM, wisps 0'.3 l</t>
  </si>
  <si>
    <t>IC4311</t>
  </si>
  <si>
    <t>13h40m8s</t>
  </si>
  <si>
    <t>-51h2m11s</t>
  </si>
  <si>
    <t>very faint, possibly spiral</t>
  </si>
  <si>
    <t>vF, ? spiral</t>
  </si>
  <si>
    <t>IC4312</t>
  </si>
  <si>
    <t>13h40m30.8s</t>
  </si>
  <si>
    <t>-51h4m17s</t>
  </si>
  <si>
    <t>most extremely faint, brighter middle</t>
  </si>
  <si>
    <t>eeF, bM</t>
  </si>
  <si>
    <t>IC4313</t>
  </si>
  <si>
    <t>13h38m20.6s</t>
  </si>
  <si>
    <t>+26h45m37s</t>
  </si>
  <si>
    <t>IC4314</t>
  </si>
  <si>
    <t>13h38m25s</t>
  </si>
  <si>
    <t>+26h44m35s</t>
  </si>
  <si>
    <t>faint, very small, nuclear, stellar</t>
  </si>
  <si>
    <t>F, vS, N, stell</t>
  </si>
  <si>
    <t>IC4315</t>
  </si>
  <si>
    <t>13h40m3.1s</t>
  </si>
  <si>
    <t>-25h28m30s</t>
  </si>
  <si>
    <t>wisp 1.3 arcmin long</t>
  </si>
  <si>
    <t>Wisp 1'.3 l</t>
  </si>
  <si>
    <t>IC4316</t>
  </si>
  <si>
    <t>13h40m18.5s</t>
  </si>
  <si>
    <t>-28h53m31s</t>
  </si>
  <si>
    <t>IC4317</t>
  </si>
  <si>
    <t>13h41m45.8s</t>
  </si>
  <si>
    <t>+27h6m23s</t>
  </si>
  <si>
    <t>IC4318</t>
  </si>
  <si>
    <t>13h43m22.7s</t>
  </si>
  <si>
    <t>-28h58m7s</t>
  </si>
  <si>
    <t>IC4319</t>
  </si>
  <si>
    <t>13h43m26.4s</t>
  </si>
  <si>
    <t>-29h48m12s</t>
  </si>
  <si>
    <t>considerably large, extended, brighter middle, magnitude 13.5</t>
  </si>
  <si>
    <t>cL, E, bM, magn 13.5</t>
  </si>
  <si>
    <t>IC4320</t>
  </si>
  <si>
    <t>13h44m3.7s</t>
  </si>
  <si>
    <t>-27h13m54s</t>
  </si>
  <si>
    <t>IC4321</t>
  </si>
  <si>
    <t>13h44m31.1s</t>
  </si>
  <si>
    <t>-30h8m23s</t>
  </si>
  <si>
    <t>IC4322</t>
  </si>
  <si>
    <t>13h43m44.1s</t>
  </si>
  <si>
    <t>+25h23m34s</t>
  </si>
  <si>
    <t>faint, small,,round, nuclear, mottled but not resolved</t>
  </si>
  <si>
    <t>IC4323</t>
  </si>
  <si>
    <t>13h45m6.6s</t>
  </si>
  <si>
    <t>-28h39m6s</t>
  </si>
  <si>
    <t>considerably small, with wisp, much extended</t>
  </si>
  <si>
    <t>cS, wisp, mE</t>
  </si>
  <si>
    <t>IC4324</t>
  </si>
  <si>
    <t>13h45m27.2s</t>
  </si>
  <si>
    <t>-30h13m38s</t>
  </si>
  <si>
    <t>IC4325</t>
  </si>
  <si>
    <t>13h47m39.5s</t>
  </si>
  <si>
    <t>-29h26m4s</t>
  </si>
  <si>
    <t>round, possibly planetary, magnitude 14</t>
  </si>
  <si>
    <t>R, planet. ?, magn 14</t>
  </si>
  <si>
    <t>IC4326</t>
  </si>
  <si>
    <t>13h48m21.5s</t>
  </si>
  <si>
    <t>-29h37m35s</t>
  </si>
  <si>
    <t>IC4327</t>
  </si>
  <si>
    <t>13h48m43.9s</t>
  </si>
  <si>
    <t>-30h13m5s</t>
  </si>
  <si>
    <t>IC4328</t>
  </si>
  <si>
    <t>13h49m2.8s</t>
  </si>
  <si>
    <t>-29h56m14s</t>
  </si>
  <si>
    <t>round, little brighter middle, magnitude 14</t>
  </si>
  <si>
    <t>R, lbM, magn 14</t>
  </si>
  <si>
    <t>IC4329</t>
  </si>
  <si>
    <t>13h49m5.3s</t>
  </si>
  <si>
    <t>-30h17m46s</t>
  </si>
  <si>
    <t>IC4330</t>
  </si>
  <si>
    <t>13h47m14.9s</t>
  </si>
  <si>
    <t>-28h19m55s</t>
  </si>
  <si>
    <t>pretty large, extended, magnitude 13.5</t>
  </si>
  <si>
    <t>pL, E, magn 13.5</t>
  </si>
  <si>
    <t>IC4331</t>
  </si>
  <si>
    <t>13h49m24.7s</t>
  </si>
  <si>
    <t>+25h9m15s</t>
  </si>
  <si>
    <t>IC4332</t>
  </si>
  <si>
    <t>13h49m52.4s</t>
  </si>
  <si>
    <t>+25h11m24s</t>
  </si>
  <si>
    <t>IC4333</t>
  </si>
  <si>
    <t>14h5m19.5s</t>
  </si>
  <si>
    <t>-84h16m23s</t>
  </si>
  <si>
    <t>extremely faint, very small, extremely extended 40°, suspected</t>
  </si>
  <si>
    <t>eF, vS, eE 40°, susp</t>
  </si>
  <si>
    <t>IC4334</t>
  </si>
  <si>
    <t>13h49m48.2s</t>
  </si>
  <si>
    <t>+29h41m38s</t>
  </si>
  <si>
    <t>IC4335</t>
  </si>
  <si>
    <t>13h49m45.2s</t>
  </si>
  <si>
    <t>+33h40m24s</t>
  </si>
  <si>
    <t>very faint, stellar, possibly nebulous; 13th magnitude star 2.5 arcmin to north northeast</t>
  </si>
  <si>
    <t>vF, stell, ? neb, * 13 nnf 2'.5</t>
  </si>
  <si>
    <t>IC4336</t>
  </si>
  <si>
    <t>13h50m43.1s</t>
  </si>
  <si>
    <t>+39h42m25s</t>
  </si>
  <si>
    <t>extremely faint, pretty large, diffuse, a little brighter middle, mottled but not resolved</t>
  </si>
  <si>
    <t>eF, pL, dif, lbM, r</t>
  </si>
  <si>
    <t>IC4337</t>
  </si>
  <si>
    <t>13h52m19.2s</t>
  </si>
  <si>
    <t>+14h16m21s</t>
  </si>
  <si>
    <t>most extremely faint, pretty large, round, very difficult, 3rd of 4</t>
  </si>
  <si>
    <t>eeF, pL, R, v diffic, 3rd of 4</t>
  </si>
  <si>
    <t>IC4338</t>
  </si>
  <si>
    <t>extremely faint, very large, considerably extended north-south, faint star near each end</t>
  </si>
  <si>
    <t>eF, vL, cE ns, F * nr each end</t>
  </si>
  <si>
    <t>IC4339</t>
  </si>
  <si>
    <t>13h53m34.3s</t>
  </si>
  <si>
    <t>+37h31m19s</t>
  </si>
  <si>
    <t>IC4340</t>
  </si>
  <si>
    <t>13h53m33.6s</t>
  </si>
  <si>
    <t>IC4341</t>
  </si>
  <si>
    <t>F, S, R, r, * 12 nr</t>
  </si>
  <si>
    <t>IC4342</t>
  </si>
  <si>
    <t>13h54m22s</t>
  </si>
  <si>
    <t>+25h9m9s</t>
  </si>
  <si>
    <t>IC4343</t>
  </si>
  <si>
    <t>13h54m55.7s</t>
  </si>
  <si>
    <t>+25h7m21s</t>
  </si>
  <si>
    <t>IC4344</t>
  </si>
  <si>
    <t>13h55m12.7s</t>
  </si>
  <si>
    <t>+25h1m17s</t>
  </si>
  <si>
    <t>IC4345</t>
  </si>
  <si>
    <t>13h55m13.5s</t>
  </si>
  <si>
    <t>+25h3m6s</t>
  </si>
  <si>
    <t>considerably faint, very small, round, nuclear, stellar</t>
  </si>
  <si>
    <t>cF, vS, R, N, stell</t>
  </si>
  <si>
    <t>IC4346</t>
  </si>
  <si>
    <t>13h55m40.4s</t>
  </si>
  <si>
    <t>+25h9m10s</t>
  </si>
  <si>
    <t>IC4347</t>
  </si>
  <si>
    <t>9th magnitude star in a most extremely faint nebula</t>
  </si>
  <si>
    <t>* 9 in eeF neb</t>
  </si>
  <si>
    <t>IC4348</t>
  </si>
  <si>
    <t>13h55m45s</t>
  </si>
  <si>
    <t>+25h12m13s</t>
  </si>
  <si>
    <t>IC4349</t>
  </si>
  <si>
    <t>13h55m46.2s</t>
  </si>
  <si>
    <t>+25h9m7s</t>
  </si>
  <si>
    <t>IC4350</t>
  </si>
  <si>
    <t>13h57m13.9s</t>
  </si>
  <si>
    <t>-25h14m45s</t>
  </si>
  <si>
    <t>most extremely faint, extremely small, faint star close to south</t>
  </si>
  <si>
    <t>eeF, eS, F * close s</t>
  </si>
  <si>
    <t>IC4351</t>
  </si>
  <si>
    <t>13h57m53.8s</t>
  </si>
  <si>
    <t>-29h18m56s</t>
  </si>
  <si>
    <t>small, a little extended</t>
  </si>
  <si>
    <t>S, lE</t>
  </si>
  <si>
    <t>IC4352</t>
  </si>
  <si>
    <t>13h58m25.1s</t>
  </si>
  <si>
    <t>-34h31m3s</t>
  </si>
  <si>
    <t>several extremely faint stars in most extremely faint nebula, 2 stars 8 north</t>
  </si>
  <si>
    <t>sev eF st in eeF neb, 2 st 8 n</t>
  </si>
  <si>
    <t>IC4353</t>
  </si>
  <si>
    <t>13h56m56.9s</t>
  </si>
  <si>
    <t>+37h44m25s</t>
  </si>
  <si>
    <t>extremely faint, perhaps very faint star and nebula, 8.4 magnitude star 3 arcmin to northeast</t>
  </si>
  <si>
    <t>eF, ? vF st &amp; neb, * 8.4 nf 3'</t>
  </si>
  <si>
    <t>IC4354</t>
  </si>
  <si>
    <t>13h58m30.8s</t>
  </si>
  <si>
    <t>-12h36m18s</t>
  </si>
  <si>
    <t>IC4355</t>
  </si>
  <si>
    <t>13h58m6s</t>
  </si>
  <si>
    <t>+28h25m20s</t>
  </si>
  <si>
    <t>IC4356</t>
  </si>
  <si>
    <t>13h58m45s</t>
  </si>
  <si>
    <t>+37h29m28s</t>
  </si>
  <si>
    <t>faint, very small, stellar nucleus equivalent to 15th magnitude star</t>
  </si>
  <si>
    <t>F, vS, stell N = * 15</t>
  </si>
  <si>
    <t>IC4357</t>
  </si>
  <si>
    <t>14h0m43.7s</t>
  </si>
  <si>
    <t>+31h53m39s</t>
  </si>
  <si>
    <t>faint, small, round, gradually very little brighter middle</t>
  </si>
  <si>
    <t>IC4358</t>
  </si>
  <si>
    <t>14h3m34.1s</t>
  </si>
  <si>
    <t>-10h9m2s</t>
  </si>
  <si>
    <t>pretty large, much extended 120°; spiral nebula to east (IC 971)</t>
  </si>
  <si>
    <t>pL, mE 120°, spir neb f (I.C. 971)</t>
  </si>
  <si>
    <t>IC4359</t>
  </si>
  <si>
    <t>14h5m23.3s</t>
  </si>
  <si>
    <t>-45h16m12s</t>
  </si>
  <si>
    <t>extremely faint, very small, extended 170°, between 2 faint stars</t>
  </si>
  <si>
    <t>eF, vS, E 170°, bet 2 F st</t>
  </si>
  <si>
    <t>IC4360</t>
  </si>
  <si>
    <t>14h4m21.3s</t>
  </si>
  <si>
    <t>-11h25m28s</t>
  </si>
  <si>
    <t>extremely faint, extremely small, extended 35°</t>
  </si>
  <si>
    <t>eF, eS, E 35°</t>
  </si>
  <si>
    <t>IC4361</t>
  </si>
  <si>
    <t>14h4m7.5s</t>
  </si>
  <si>
    <t>-9h46m4s</t>
  </si>
  <si>
    <t>extremely faint, very small, considerably extended 150°</t>
  </si>
  <si>
    <t>eF, vS, cE 150°</t>
  </si>
  <si>
    <t>IC4362</t>
  </si>
  <si>
    <t>14h5m22.1s</t>
  </si>
  <si>
    <t>-41h49m9s</t>
  </si>
  <si>
    <t>very faint, small, very extended 175°</t>
  </si>
  <si>
    <t>vF, S, vE 175°</t>
  </si>
  <si>
    <t>IC4363</t>
  </si>
  <si>
    <t>14h4m12.3s</t>
  </si>
  <si>
    <t>-9h38m29s</t>
  </si>
  <si>
    <t>IC4364</t>
  </si>
  <si>
    <t>14h4m19.8s</t>
  </si>
  <si>
    <t>-9h59m34s</t>
  </si>
  <si>
    <t>IC4365</t>
  </si>
  <si>
    <t>13th magnitude star in very faint, small nebula [perhaps = (NGC) 5438]</t>
  </si>
  <si>
    <t>* 13 in vF, S neb [perhaps 5438]</t>
  </si>
  <si>
    <t>IC4366</t>
  </si>
  <si>
    <t>14h5m11.3s</t>
  </si>
  <si>
    <t>-33h45m39s</t>
  </si>
  <si>
    <t>very faint, very small, considerably extended 170°</t>
  </si>
  <si>
    <t>vF, vS, cE 170°</t>
  </si>
  <si>
    <t>IC4367</t>
  </si>
  <si>
    <t>14h5m36.4s</t>
  </si>
  <si>
    <t>-39h12m11s</t>
  </si>
  <si>
    <t>IC4368</t>
  </si>
  <si>
    <t>14h4m46.3s</t>
  </si>
  <si>
    <t>-9h57m42s</t>
  </si>
  <si>
    <t>IC4369</t>
  </si>
  <si>
    <t>14h4m5.8s</t>
  </si>
  <si>
    <t>+33h19m17s</t>
  </si>
  <si>
    <t>IC4370</t>
  </si>
  <si>
    <t>14h4m9.9s</t>
  </si>
  <si>
    <t>+33h20m48s</t>
  </si>
  <si>
    <t>faint, small, irregular figure, gradually brighter middle, 14th magnitude star near</t>
  </si>
  <si>
    <t>F, S, iF, gbM, * 14 nr</t>
  </si>
  <si>
    <t>IC4371</t>
  </si>
  <si>
    <t>14h4m10.9s</t>
  </si>
  <si>
    <t>+33h18m29s</t>
  </si>
  <si>
    <t>IC4372</t>
  </si>
  <si>
    <t>14h5m46s</t>
  </si>
  <si>
    <t>-10h53m59s</t>
  </si>
  <si>
    <t>extremely faint, considerably small, extended 75°</t>
  </si>
  <si>
    <t>eF, eS, E 75°</t>
  </si>
  <si>
    <t>IC4373</t>
  </si>
  <si>
    <t>14h5m43.1s</t>
  </si>
  <si>
    <t>+25h13m55s</t>
  </si>
  <si>
    <t>IC4374</t>
  </si>
  <si>
    <t>14h7m29.8s</t>
  </si>
  <si>
    <t>-27h1m5s</t>
  </si>
  <si>
    <t>IC4375</t>
  </si>
  <si>
    <t>extremely faint, extremely small, extremely extended 15°, stellar nucleus, star to southwest</t>
  </si>
  <si>
    <t>eF, eS, eE 15°, stell N, * sp</t>
  </si>
  <si>
    <t>IC4376</t>
  </si>
  <si>
    <t>14h10m50.5s</t>
  </si>
  <si>
    <t>-30h47m35s</t>
  </si>
  <si>
    <t>faint, small, extremely extended 40°</t>
  </si>
  <si>
    <t>F, S, eE 40°</t>
  </si>
  <si>
    <t>IC4377</t>
  </si>
  <si>
    <t>14h16m58.6s</t>
  </si>
  <si>
    <t>-75h38m47s</t>
  </si>
  <si>
    <t>most extremely faint, very small, much extended 180°, very much brighter middle</t>
  </si>
  <si>
    <t>eeF, vS, mE 180°, vmbM</t>
  </si>
  <si>
    <t>IC4378</t>
  </si>
  <si>
    <t>14h12m9.5s</t>
  </si>
  <si>
    <t>-34h15m54s</t>
  </si>
  <si>
    <t>very faint, very small, extended 150°</t>
  </si>
  <si>
    <t>vF, vS, E 150°</t>
  </si>
  <si>
    <t>IC4379</t>
  </si>
  <si>
    <t>14h12m10.1s</t>
  </si>
  <si>
    <t>-34h16m16s</t>
  </si>
  <si>
    <t>very faint, very small, extended 90°</t>
  </si>
  <si>
    <t>vF, vS, E 90°</t>
  </si>
  <si>
    <t>IC4380</t>
  </si>
  <si>
    <t>14h10m2.1s</t>
  </si>
  <si>
    <t>+37h33m2s</t>
  </si>
  <si>
    <t>IC4381</t>
  </si>
  <si>
    <t>faint, considerably small, round, binuclear</t>
  </si>
  <si>
    <t>F, cS, R, biN</t>
  </si>
  <si>
    <t>IC4382</t>
  </si>
  <si>
    <t>14h11m2.3s</t>
  </si>
  <si>
    <t>+25h31m9s</t>
  </si>
  <si>
    <t>faint, small, round, gradually brighter middle, (NGC) 5498 11 arcmin to north</t>
  </si>
  <si>
    <t>F, S, R, gbM, 5498 n 11'</t>
  </si>
  <si>
    <t>IC4383</t>
  </si>
  <si>
    <t>14h12m12.6s</t>
  </si>
  <si>
    <t>+15h52m8s</t>
  </si>
  <si>
    <t>1.7 arcmin northwest of (NGC) 5504 (no description)</t>
  </si>
  <si>
    <t>1'.7 np 5504 (no descr)</t>
  </si>
  <si>
    <t>IC4384</t>
  </si>
  <si>
    <t>14h11m55.9s</t>
  </si>
  <si>
    <t>+27h6m52s</t>
  </si>
  <si>
    <t>faint, small, round, brighter middle and nucleus, mottled but not resolved</t>
  </si>
  <si>
    <t>F, S, R, bMN, r</t>
  </si>
  <si>
    <t>IC4385</t>
  </si>
  <si>
    <t>14h14m31.7s</t>
  </si>
  <si>
    <t>-42h19m25s</t>
  </si>
  <si>
    <t>very small, round, a little brighter middle</t>
  </si>
  <si>
    <t>vS, R, lbM</t>
  </si>
  <si>
    <t>IC4386</t>
  </si>
  <si>
    <t>14h15m2.3s</t>
  </si>
  <si>
    <t>-43h57m41s</t>
  </si>
  <si>
    <t>IC4387</t>
  </si>
  <si>
    <t>14h15m1.5s</t>
  </si>
  <si>
    <t>-43h59m25s</t>
  </si>
  <si>
    <t>IC4388</t>
  </si>
  <si>
    <t>14h16m3.5s</t>
  </si>
  <si>
    <t>-31h45m12s</t>
  </si>
  <si>
    <t>IC4389</t>
  </si>
  <si>
    <t>14h16m46.2s</t>
  </si>
  <si>
    <t>-40h33m11s</t>
  </si>
  <si>
    <t>IC4390</t>
  </si>
  <si>
    <t>14h16m59.3s</t>
  </si>
  <si>
    <t>-44h58m42s</t>
  </si>
  <si>
    <t>extremely faint, very small, much extended 5°, stellar nucleus</t>
  </si>
  <si>
    <t>eF, vS, mE 5°, stell N</t>
  </si>
  <si>
    <t>IC4391</t>
  </si>
  <si>
    <t>14h16m27s</t>
  </si>
  <si>
    <t>-31h41m6s</t>
  </si>
  <si>
    <t>IC4392</t>
  </si>
  <si>
    <t>14h15m53.2s</t>
  </si>
  <si>
    <t>-13h3m4s</t>
  </si>
  <si>
    <t>extremely faint, very small, much extended 80°, faint star to southeast, suspected</t>
  </si>
  <si>
    <t>eF, vS, mE 80°, F * sf, susp</t>
  </si>
  <si>
    <t>IC4393</t>
  </si>
  <si>
    <t>14h17m49.2s</t>
  </si>
  <si>
    <t>-31h20m54s</t>
  </si>
  <si>
    <t>considerably faint, small, extremely extended 75°</t>
  </si>
  <si>
    <t>cF, S, eE 75°</t>
  </si>
  <si>
    <t>IC4394</t>
  </si>
  <si>
    <t>14h16m31.3s</t>
  </si>
  <si>
    <t>+39h41m51s</t>
  </si>
  <si>
    <t>IC4395</t>
  </si>
  <si>
    <t>14h17m20.8s</t>
  </si>
  <si>
    <t>+26h51m27s</t>
  </si>
  <si>
    <t>faint, small, round, nuclear, stellar</t>
  </si>
  <si>
    <t>F, S, R, N, stell</t>
  </si>
  <si>
    <t>IC4396</t>
  </si>
  <si>
    <t>14h17m30.3s</t>
  </si>
  <si>
    <t>+28h48m0s</t>
  </si>
  <si>
    <t>IC4397</t>
  </si>
  <si>
    <t>14h17m58.7s</t>
  </si>
  <si>
    <t>+26h24m46s</t>
  </si>
  <si>
    <t>IC4398</t>
  </si>
  <si>
    <t>14h18m3.3s</t>
  </si>
  <si>
    <t>+28h51m58s</t>
  </si>
  <si>
    <t>IC4399</t>
  </si>
  <si>
    <t>14h18m24s</t>
  </si>
  <si>
    <t>+26h23m10s</t>
  </si>
  <si>
    <t>IC4400</t>
  </si>
  <si>
    <t>14h22m14s</t>
  </si>
  <si>
    <t>-60h34m9s</t>
  </si>
  <si>
    <t>IC4401</t>
  </si>
  <si>
    <t>very faint, small, much extended 200°, near IC 997</t>
  </si>
  <si>
    <t>vF, S, mE 200°, nr I.C. 997</t>
  </si>
  <si>
    <t>IC4402</t>
  </si>
  <si>
    <t>14h21m12.9s</t>
  </si>
  <si>
    <t>-46h17m54s</t>
  </si>
  <si>
    <t>large, extremely extended 125°, pointed ends</t>
  </si>
  <si>
    <t>L, eE 125°, pointed ends</t>
  </si>
  <si>
    <t>IC4403</t>
  </si>
  <si>
    <t>14h18m16.9s</t>
  </si>
  <si>
    <t>+31h39m14s</t>
  </si>
  <si>
    <t>faint, small, round, gradually brighter middle, 14th magnitude star to north</t>
  </si>
  <si>
    <t>F, S, R, gbM, * 14 n</t>
  </si>
  <si>
    <t>IC4404</t>
  </si>
  <si>
    <t>14h10m49.2s</t>
  </si>
  <si>
    <t>+78h37m42s</t>
  </si>
  <si>
    <t>IC4405</t>
  </si>
  <si>
    <t>14h19m16.4s</t>
  </si>
  <si>
    <t>+26h17m54s</t>
  </si>
  <si>
    <t>IC4406</t>
  </si>
  <si>
    <t>视网膜星云</t>
  </si>
  <si>
    <t>14h22m26.4s</t>
  </si>
  <si>
    <t>-44h9m2s</t>
  </si>
  <si>
    <t>planetary, stellar, 10th magnitude, extended 80°</t>
  </si>
  <si>
    <t>Planetary, stellar, 10 mag, E 80°</t>
  </si>
  <si>
    <t>IC4407</t>
  </si>
  <si>
    <t>14h21m20.8s</t>
  </si>
  <si>
    <t>-5h59m35s</t>
  </si>
  <si>
    <t>IC4408</t>
  </si>
  <si>
    <t>14h21m13.1s</t>
  </si>
  <si>
    <t>+29h59m38s</t>
  </si>
  <si>
    <t>IC4409</t>
  </si>
  <si>
    <t>14h21m33.4s</t>
  </si>
  <si>
    <t>+31h35m8s</t>
  </si>
  <si>
    <t>faint, small, round, 13.5 magnitude star close</t>
  </si>
  <si>
    <t>F, S, R, * 13.5 close</t>
  </si>
  <si>
    <t>IC4410</t>
  </si>
  <si>
    <t>+17h23m52s</t>
  </si>
  <si>
    <t>IC4411</t>
  </si>
  <si>
    <t>14h25m0s</t>
  </si>
  <si>
    <t>-35h1m12s</t>
  </si>
  <si>
    <t>faint, small, extremely extended 45°</t>
  </si>
  <si>
    <t>F, S, eE 45°</t>
  </si>
  <si>
    <t>IC4412</t>
  </si>
  <si>
    <t>IC4413</t>
  </si>
  <si>
    <t>14h22m57.2s</t>
  </si>
  <si>
    <t>+37h31m41s</t>
  </si>
  <si>
    <t>IC4414</t>
  </si>
  <si>
    <t>pretty bright, considerably small, gradually brighter middle and nucleus, mottled but not resolved</t>
  </si>
  <si>
    <t>pB, cS, gbMN, r</t>
  </si>
  <si>
    <t>IC4415</t>
  </si>
  <si>
    <t>14h24m26.7s</t>
  </si>
  <si>
    <t>+16h38m24s</t>
  </si>
  <si>
    <t>IC4416</t>
  </si>
  <si>
    <t>14h24m17.4s</t>
  </si>
  <si>
    <t>+29h38m10s</t>
  </si>
  <si>
    <t>IC4417</t>
  </si>
  <si>
    <t>14h24m53.6s</t>
  </si>
  <si>
    <t>+17h2m18s</t>
  </si>
  <si>
    <t>IC4418</t>
  </si>
  <si>
    <t>14h25m27.2s</t>
  </si>
  <si>
    <t>+25h31m37s</t>
  </si>
  <si>
    <t>IC4419</t>
  </si>
  <si>
    <t>14h25m54.6s</t>
  </si>
  <si>
    <t>+16h37m55s</t>
  </si>
  <si>
    <t>IC4420</t>
  </si>
  <si>
    <t>14h25m39.3s</t>
  </si>
  <si>
    <t>+25h22m44s</t>
  </si>
  <si>
    <t>faint, small, extended 220°, nuclear</t>
  </si>
  <si>
    <t>F, S, E 220°, N</t>
  </si>
  <si>
    <t>IC4421</t>
  </si>
  <si>
    <t>14h28m31.2s</t>
  </si>
  <si>
    <t>-37h35m1s</t>
  </si>
  <si>
    <t>most extremely faint, very small, round, faint star to east</t>
  </si>
  <si>
    <t>eef, vS, R, F * f</t>
  </si>
  <si>
    <t>IC4422</t>
  </si>
  <si>
    <t>14h25m59.1s</t>
  </si>
  <si>
    <t>+30h28m26s</t>
  </si>
  <si>
    <t>faint, considerably small, mottled but not resolved</t>
  </si>
  <si>
    <t>F, cS, r</t>
  </si>
  <si>
    <t>IC4423</t>
  </si>
  <si>
    <t>14h26m17.6s</t>
  </si>
  <si>
    <t>+26h14m44s</t>
  </si>
  <si>
    <t>IC4424</t>
  </si>
  <si>
    <t>IC4425</t>
  </si>
  <si>
    <t>14h26m44.3s</t>
  </si>
  <si>
    <t>+27h11m23s</t>
  </si>
  <si>
    <t>IC4426</t>
  </si>
  <si>
    <t>14h27m17s</t>
  </si>
  <si>
    <t>+16h49m54s</t>
  </si>
  <si>
    <t>IC4427</t>
  </si>
  <si>
    <t>14h26m59.6s</t>
  </si>
  <si>
    <t>+26h51m50s</t>
  </si>
  <si>
    <t>faint, considerably small, diffuse, mottled but not resolved</t>
  </si>
  <si>
    <t>F, cS, dif, r</t>
  </si>
  <si>
    <t>IC4428</t>
  </si>
  <si>
    <t>14h27m25.6s</t>
  </si>
  <si>
    <t>+16h11m27s</t>
  </si>
  <si>
    <t>IC4429</t>
  </si>
  <si>
    <t>14h27m37.3s</t>
  </si>
  <si>
    <t>+16h54m1s</t>
  </si>
  <si>
    <t>IC4430</t>
  </si>
  <si>
    <t>14h29m19.3s</t>
  </si>
  <si>
    <t>-33h27m18s</t>
  </si>
  <si>
    <t>considerably faint, considerably small, indistinct</t>
  </si>
  <si>
    <t>cF, cS, indistinct</t>
  </si>
  <si>
    <t>IC4431</t>
  </si>
  <si>
    <t>F, cS, R gbM, r</t>
  </si>
  <si>
    <t>IC4432</t>
  </si>
  <si>
    <t>14h28m49.7s</t>
  </si>
  <si>
    <t>-39h33m7s</t>
  </si>
  <si>
    <t>very faint, very small, much extended 85°</t>
  </si>
  <si>
    <t>vF, vS, mE 85°</t>
  </si>
  <si>
    <t>IC4433</t>
  </si>
  <si>
    <t>14h27m53.3s</t>
  </si>
  <si>
    <t>+16h11m43s</t>
  </si>
  <si>
    <t>IC4434</t>
  </si>
  <si>
    <t>14h27m54.7s</t>
  </si>
  <si>
    <t>+16h12m28s</t>
  </si>
  <si>
    <t>IC4435</t>
  </si>
  <si>
    <t>14h27m24.1s</t>
  </si>
  <si>
    <t>+37h28m19s</t>
  </si>
  <si>
    <t>faint, round, suddenly brighter middle equivalent to 13.5 magnitude star</t>
  </si>
  <si>
    <t>F, R, sbM * 13.5</t>
  </si>
  <si>
    <t>IC4436</t>
  </si>
  <si>
    <t>14h27m58.2s</t>
  </si>
  <si>
    <t>+26h30m15s</t>
  </si>
  <si>
    <t>IC4437</t>
  </si>
  <si>
    <t>14h27m25.5s</t>
  </si>
  <si>
    <t>+41h29m14s</t>
  </si>
  <si>
    <t>no description, 8th magnitude star to northeast</t>
  </si>
  <si>
    <t>No descr., * 8 mag nf</t>
  </si>
  <si>
    <t>IC4438</t>
  </si>
  <si>
    <t>14h28m34.5s</t>
  </si>
  <si>
    <t>+17h20m3s</t>
  </si>
  <si>
    <t>IC4439</t>
  </si>
  <si>
    <t>14h28m40s</t>
  </si>
  <si>
    <t>+17h1m29s</t>
  </si>
  <si>
    <t>IC4440</t>
  </si>
  <si>
    <t>14h28m59.2s</t>
  </si>
  <si>
    <t>+17h19m15s</t>
  </si>
  <si>
    <t>IC4441</t>
  </si>
  <si>
    <t>14h31m38.8s</t>
  </si>
  <si>
    <t>-43h25m6s</t>
  </si>
  <si>
    <t>IC4442</t>
  </si>
  <si>
    <t>14h28m45.2s</t>
  </si>
  <si>
    <t>+28h57m53s</t>
  </si>
  <si>
    <t>IC4443</t>
  </si>
  <si>
    <t>14h29m17.4s</t>
  </si>
  <si>
    <t>+16h10m53s</t>
  </si>
  <si>
    <t>very small, very little extended, a little brighter middle</t>
  </si>
  <si>
    <t>vS, vlE, lbM</t>
  </si>
  <si>
    <t>IC4444</t>
  </si>
  <si>
    <t>vF, vS, * M, spir or annular</t>
  </si>
  <si>
    <t>IC4445</t>
  </si>
  <si>
    <t>14h31m54.3s</t>
  </si>
  <si>
    <t>-46h2m7s</t>
  </si>
  <si>
    <t>faint, considerably small, extended 160°</t>
  </si>
  <si>
    <t>F, cS, E 160°</t>
  </si>
  <si>
    <t>IC4446</t>
  </si>
  <si>
    <t>14h29m1.4s</t>
  </si>
  <si>
    <t>+37h27m49s</t>
  </si>
  <si>
    <t>IC4447</t>
  </si>
  <si>
    <t>14h29m17.9s</t>
  </si>
  <si>
    <t>IC4448</t>
  </si>
  <si>
    <t>14h40m27.5s</t>
  </si>
  <si>
    <t>-78h48m33s</t>
  </si>
  <si>
    <t>very remarkable, faint, very small, annular, star in middle</t>
  </si>
  <si>
    <t>!! F, vS, annul, * in M</t>
  </si>
  <si>
    <t>IC4449</t>
  </si>
  <si>
    <t>14h31m21.6s</t>
  </si>
  <si>
    <t>+15h14m26s</t>
  </si>
  <si>
    <t>IC4450</t>
  </si>
  <si>
    <t>14h32m12.4s</t>
  </si>
  <si>
    <t>+28h33m26s</t>
  </si>
  <si>
    <t>faint, considerably small, diffuse, 10.5 magnitude star to northeast</t>
  </si>
  <si>
    <t>F, cS, dif, * 10.5 nf</t>
  </si>
  <si>
    <t>IC4451</t>
  </si>
  <si>
    <t>14h34m37s</t>
  </si>
  <si>
    <t>-36h17m10s</t>
  </si>
  <si>
    <t>very faint, very small, round, star 0.5 arcmin to north</t>
  </si>
  <si>
    <t>vF, vS, R, * n 0'.5</t>
  </si>
  <si>
    <t>IC4452</t>
  </si>
  <si>
    <t>14h32m27.4s</t>
  </si>
  <si>
    <t>+27h25m38s</t>
  </si>
  <si>
    <t>IC4453</t>
  </si>
  <si>
    <t>14h34m28.6s</t>
  </si>
  <si>
    <t>-27h31m5s</t>
  </si>
  <si>
    <t>pretty bright, extremely small, round, faint star close</t>
  </si>
  <si>
    <t>pB, eS, R, F * close</t>
  </si>
  <si>
    <t>IC4454</t>
  </si>
  <si>
    <t>14h33m16.6s</t>
  </si>
  <si>
    <t>IC4455</t>
  </si>
  <si>
    <t>extremely faint, considerably small, considerably extended 30°</t>
  </si>
  <si>
    <t>eF, cS, cE 30°</t>
  </si>
  <si>
    <t>IC4456</t>
  </si>
  <si>
    <t>14h34m9.1s</t>
  </si>
  <si>
    <t>+16h11m3s</t>
  </si>
  <si>
    <t>IC4457</t>
  </si>
  <si>
    <t>14h34m28.9s</t>
  </si>
  <si>
    <t>+18h13m28s</t>
  </si>
  <si>
    <t>IC4458</t>
  </si>
  <si>
    <t>14h38m5s</t>
  </si>
  <si>
    <t>-39h28m25s</t>
  </si>
  <si>
    <t>extremely faint, extremely small, extended 100°</t>
  </si>
  <si>
    <t>eF, eS, E 100°</t>
  </si>
  <si>
    <t>IC4459</t>
  </si>
  <si>
    <t>14h34m32.2s</t>
  </si>
  <si>
    <t>+30h58m26s</t>
  </si>
  <si>
    <t>faint, pretty large, extended north-south, gradually a little brighter middle, mottled but not resolved</t>
  </si>
  <si>
    <t>F, pL, E ns, glbM, r</t>
  </si>
  <si>
    <t>IC4460</t>
  </si>
  <si>
    <t>14h34m36.5s</t>
  </si>
  <si>
    <t>+30h16m45s</t>
  </si>
  <si>
    <t>faint, small, diffuse, gradually a little brighter middle</t>
  </si>
  <si>
    <t>F, S, dif, glbM</t>
  </si>
  <si>
    <t>IC4461</t>
  </si>
  <si>
    <t>14h35m0.4s</t>
  </si>
  <si>
    <t>+26h31m55s</t>
  </si>
  <si>
    <t>IC4462</t>
  </si>
  <si>
    <t>14h35m1.9s</t>
  </si>
  <si>
    <t>+26h32m38s</t>
  </si>
  <si>
    <t>IC4463</t>
  </si>
  <si>
    <t>14h35m49s</t>
  </si>
  <si>
    <t>+16h1m10s</t>
  </si>
  <si>
    <t>IC4464</t>
  </si>
  <si>
    <t>14h37m48.9s</t>
  </si>
  <si>
    <t>-36h52m43s</t>
  </si>
  <si>
    <t>very faint, small, round, nuclear, wisp at 45°</t>
  </si>
  <si>
    <t>vF, S, R, N, wisp at 45°</t>
  </si>
  <si>
    <t>IC4465</t>
  </si>
  <si>
    <t>14h35m51.1s</t>
  </si>
  <si>
    <t>+15h34m23s</t>
  </si>
  <si>
    <t>very faint, very small, a little extended 180°</t>
  </si>
  <si>
    <t>vF, vS, lE 180°</t>
  </si>
  <si>
    <t>IC4466</t>
  </si>
  <si>
    <t>14h36m47.9s</t>
  </si>
  <si>
    <t>+18h20m35s</t>
  </si>
  <si>
    <t>IC4467</t>
  </si>
  <si>
    <t>14h36m53.6s</t>
  </si>
  <si>
    <t>+18h22m16s</t>
  </si>
  <si>
    <t>IC4468</t>
  </si>
  <si>
    <t>14h38m26.8s</t>
  </si>
  <si>
    <t>-22h22m2s</t>
  </si>
  <si>
    <t>faint, pretty large, considerably extended 160°, considerably brighter middle</t>
  </si>
  <si>
    <t>F, pL, cE 160°, cbM</t>
  </si>
  <si>
    <t>IC4469</t>
  </si>
  <si>
    <t>14h37m20.6s</t>
  </si>
  <si>
    <t>+18h14m56s</t>
  </si>
  <si>
    <t>faint, pretty large, extremely extended 110°</t>
  </si>
  <si>
    <t>F, pL, eE 110°</t>
  </si>
  <si>
    <t>IC4470</t>
  </si>
  <si>
    <t>14h28m22.8s</t>
  </si>
  <si>
    <t>+78h53m10s</t>
  </si>
  <si>
    <t>cluster, extremely faint, small, possibly nebulous</t>
  </si>
  <si>
    <t>Cl, eF, S, ? neb</t>
  </si>
  <si>
    <t>IC4471</t>
  </si>
  <si>
    <t>nova</t>
  </si>
  <si>
    <t>IC4472</t>
  </si>
  <si>
    <t>14h40m10.5s</t>
  </si>
  <si>
    <t>-44h18m56s</t>
  </si>
  <si>
    <t>large, extremely extended 180°, between 2 stars north and south, doubtful</t>
  </si>
  <si>
    <t>L, eE 180°, bet 2 st ns, doubtful</t>
  </si>
  <si>
    <t>IC4473</t>
  </si>
  <si>
    <t>14h37m54s</t>
  </si>
  <si>
    <t>+15h51m49s</t>
  </si>
  <si>
    <t>very small, cometic (like a comet), 170°</t>
  </si>
  <si>
    <t>vS, com, 170°</t>
  </si>
  <si>
    <t>IC4474</t>
  </si>
  <si>
    <t>14h38m22.4s</t>
  </si>
  <si>
    <t>+23h25m44s</t>
  </si>
  <si>
    <t>IC4475</t>
  </si>
  <si>
    <t>14h38m23.2s</t>
  </si>
  <si>
    <t>+23h20m3s</t>
  </si>
  <si>
    <t>IC4476</t>
  </si>
  <si>
    <t>14h39m51.8s</t>
  </si>
  <si>
    <t>-16h14m41s</t>
  </si>
  <si>
    <t>nebula, 7th magnitude star 5 arcmin to northeast</t>
  </si>
  <si>
    <t>Neb, * 7 nf 5'</t>
  </si>
  <si>
    <t>IC4477</t>
  </si>
  <si>
    <t>14h38m35.3s</t>
  </si>
  <si>
    <t>+28h27m32s</t>
  </si>
  <si>
    <t>faint, very small, diffuse, 12th magnitude star 2 seconds west, 15 arcsec north</t>
  </si>
  <si>
    <t>F, vS, dif, * 12 p 2s, 15" n</t>
  </si>
  <si>
    <t>IC4478</t>
  </si>
  <si>
    <t>14h39m12.6s</t>
  </si>
  <si>
    <t>+15h52m41s</t>
  </si>
  <si>
    <t>IC4479</t>
  </si>
  <si>
    <t>14h38m45.9s</t>
  </si>
  <si>
    <t>+28h30m21s</t>
  </si>
  <si>
    <t>faint, considerably small, nuclear, diffuse</t>
  </si>
  <si>
    <t>F, cS, N, dif</t>
  </si>
  <si>
    <t>IC4480</t>
  </si>
  <si>
    <t>14h39m45.6s</t>
  </si>
  <si>
    <t>+18h29m32s</t>
  </si>
  <si>
    <t>faint, small, round, diffuse, star in middle</t>
  </si>
  <si>
    <t>F, S, R, dif, * in M</t>
  </si>
  <si>
    <t>IC4481</t>
  </si>
  <si>
    <t>14h40m10.1s</t>
  </si>
  <si>
    <t>+16h8m30s</t>
  </si>
  <si>
    <t>considerably faint, very small, round, diffuse</t>
  </si>
  <si>
    <t>IC4482</t>
  </si>
  <si>
    <t>14h40m12.4s</t>
  </si>
  <si>
    <t>+18h56m37s</t>
  </si>
  <si>
    <t>IC4483</t>
  </si>
  <si>
    <t>14h40m19.4s</t>
  </si>
  <si>
    <t>+16h41m6s</t>
  </si>
  <si>
    <t>extended 200°, a little brighter middle</t>
  </si>
  <si>
    <t>E 200°, lbM</t>
  </si>
  <si>
    <t>IC4484</t>
  </si>
  <si>
    <t>14h47m44.9s</t>
  </si>
  <si>
    <t>-73h18m25s</t>
  </si>
  <si>
    <t>extremely faint, extremely extended 140°, suspected</t>
  </si>
  <si>
    <t>eF, eE 140°, susp</t>
  </si>
  <si>
    <t>IC4485</t>
  </si>
  <si>
    <t>14h40m31.4s</t>
  </si>
  <si>
    <t>+28h40m10s</t>
  </si>
  <si>
    <t>IC4486</t>
  </si>
  <si>
    <t>14h41m40.7s</t>
  </si>
  <si>
    <t>+18h33m27s</t>
  </si>
  <si>
    <t>IC4487</t>
  </si>
  <si>
    <t>14h41m52.2s</t>
  </si>
  <si>
    <t>+18h34m37s</t>
  </si>
  <si>
    <t>IC4488</t>
  </si>
  <si>
    <t>14h42m52.6s</t>
  </si>
  <si>
    <t>+18h37m14s</t>
  </si>
  <si>
    <t>IC4489</t>
  </si>
  <si>
    <t>14h43m16s</t>
  </si>
  <si>
    <t>+18h31m43s</t>
  </si>
  <si>
    <t>very faint, considerably small, round, a little brighter middle</t>
  </si>
  <si>
    <t>IC4490</t>
  </si>
  <si>
    <t>14h45m21.5s</t>
  </si>
  <si>
    <t>-36h10m23s</t>
  </si>
  <si>
    <t>oval, around 2 stars of magnitude 9.5 and 10</t>
  </si>
  <si>
    <t>Oval, around 2 st 9.5 and 10</t>
  </si>
  <si>
    <t>IC4491</t>
  </si>
  <si>
    <t>14h44m28.2s</t>
  </si>
  <si>
    <t>-13h43m30s</t>
  </si>
  <si>
    <t>faint, small, extremely extended 0°</t>
  </si>
  <si>
    <t>F, S, eE 0°</t>
  </si>
  <si>
    <t>IC4492</t>
  </si>
  <si>
    <t>14h42m33.8s</t>
  </si>
  <si>
    <t>+37h27m10s</t>
  </si>
  <si>
    <t>faint, very small, round, nuclear, stellar</t>
  </si>
  <si>
    <t>F, vS, R, N, stell</t>
  </si>
  <si>
    <t>IC4493</t>
  </si>
  <si>
    <t>extremely faint, small, round, diffuse, middle mottled but not resolved</t>
  </si>
  <si>
    <t>eF, S, R, dif, rM</t>
  </si>
  <si>
    <t>IC4494</t>
  </si>
  <si>
    <t>14h44m27.1s</t>
  </si>
  <si>
    <t>+15h28m52s</t>
  </si>
  <si>
    <t>IC4495</t>
  </si>
  <si>
    <t>14h44m14.5s</t>
  </si>
  <si>
    <t>+23h33m31s</t>
  </si>
  <si>
    <t>IC4496</t>
  </si>
  <si>
    <t>14h43m54.5s</t>
  </si>
  <si>
    <t>+33h24m26s</t>
  </si>
  <si>
    <t>IC4497</t>
  </si>
  <si>
    <t>+28h33m4s</t>
  </si>
  <si>
    <t>faint, small, round, nuclear, mottled but not resolved, 12.5 magnitude star 5 seconds to east</t>
  </si>
  <si>
    <t>F, S, R, N, r, * 12.5 f 5s</t>
  </si>
  <si>
    <t>IC4498</t>
  </si>
  <si>
    <t>14h45m0.8s</t>
  </si>
  <si>
    <t>IC4499</t>
  </si>
  <si>
    <t>15h0m19.1s</t>
  </si>
  <si>
    <t>-82h12m46s</t>
  </si>
  <si>
    <t>cluster, very faint, 4 arcmin diameter; 3 faint stars in nebulosity?</t>
  </si>
  <si>
    <t>Cl, vF, 4' diam, 3 F st in neb ?</t>
  </si>
  <si>
    <t>IC4500</t>
  </si>
  <si>
    <t>14h44m35.5s</t>
  </si>
  <si>
    <t>+37h28m58s</t>
  </si>
  <si>
    <t>IC4501</t>
  </si>
  <si>
    <t>14h47m25.4s</t>
  </si>
  <si>
    <t>-22h24m21s</t>
  </si>
  <si>
    <t>very faint, small, indistinct</t>
  </si>
  <si>
    <t>vF, S, indistinct</t>
  </si>
  <si>
    <t>IC4502</t>
  </si>
  <si>
    <t>14h45m15.7s</t>
  </si>
  <si>
    <t>+37h17m59s</t>
  </si>
  <si>
    <t>faint, small, diffuse, mottled but not resolved, 14th magnitude star very near</t>
  </si>
  <si>
    <t>F, S, dif r, * 14 v nr</t>
  </si>
  <si>
    <t>IC4503</t>
  </si>
  <si>
    <t>14h46m39.6s</t>
  </si>
  <si>
    <t>+16h8m47s</t>
  </si>
  <si>
    <t>IC4504</t>
  </si>
  <si>
    <t>14h46m36.9s</t>
  </si>
  <si>
    <t>+31h41m59s</t>
  </si>
  <si>
    <t>IC4505</t>
  </si>
  <si>
    <t>14h46m33.3s</t>
  </si>
  <si>
    <t>+33h24m33s</t>
  </si>
  <si>
    <t>IC4506</t>
  </si>
  <si>
    <t>14h46m39.8s</t>
  </si>
  <si>
    <t>+33h24m6s</t>
  </si>
  <si>
    <t>IC4507</t>
  </si>
  <si>
    <t>14h47m42.1s</t>
  </si>
  <si>
    <t>+18h27m21s</t>
  </si>
  <si>
    <t>IC4508</t>
  </si>
  <si>
    <t>14h47m50.7s</t>
  </si>
  <si>
    <t>+31h45m55s</t>
  </si>
  <si>
    <t>faint, small, round, suddenly brighter middle equivalent to 14th magnitude star</t>
  </si>
  <si>
    <t>F, S, R, sbM * 14</t>
  </si>
  <si>
    <t>IC4509</t>
  </si>
  <si>
    <t>14h48m27s</t>
  </si>
  <si>
    <t>+31h47m29s</t>
  </si>
  <si>
    <t>faint, considerably small, irregular figure, mottled but not resolved</t>
  </si>
  <si>
    <t>F, cS, iF, r</t>
  </si>
  <si>
    <t>IC4510</t>
  </si>
  <si>
    <t>14h50m40s</t>
  </si>
  <si>
    <t>-20h43m54s</t>
  </si>
  <si>
    <t>very faint, very small, irregularly round, suspected</t>
  </si>
  <si>
    <t>vF, vS, iR, susp</t>
  </si>
  <si>
    <t>IC4511</t>
  </si>
  <si>
    <t>14h52m5s</t>
  </si>
  <si>
    <t>-40h29m42s</t>
  </si>
  <si>
    <t>considerably small, round, a little brighter middle, diffuse</t>
  </si>
  <si>
    <t>cS, R, lbM, dif</t>
  </si>
  <si>
    <t>IC4512</t>
  </si>
  <si>
    <t>14h49m54.3s</t>
  </si>
  <si>
    <t>+27h42m1s</t>
  </si>
  <si>
    <t>IC4513</t>
  </si>
  <si>
    <t>14h52m16s</t>
  </si>
  <si>
    <t>-20h43m42s</t>
  </si>
  <si>
    <t>faint, small, very extended 80°</t>
  </si>
  <si>
    <t>F, S, vE 80°</t>
  </si>
  <si>
    <t>IC4514</t>
  </si>
  <si>
    <t>14h50m55.5s</t>
  </si>
  <si>
    <t>+27h34m43s</t>
  </si>
  <si>
    <t>faint, small, round, nuclear, 13th magnitude star very near</t>
  </si>
  <si>
    <t>F, S, R, N, * 13 v nr</t>
  </si>
  <si>
    <t>IC4515</t>
  </si>
  <si>
    <t>14h51m6.6s</t>
  </si>
  <si>
    <t>+37h29m43s</t>
  </si>
  <si>
    <t>IC4516</t>
  </si>
  <si>
    <t>14h54m23.4s</t>
  </si>
  <si>
    <t>+16h21m21s</t>
  </si>
  <si>
    <t>IC4517</t>
  </si>
  <si>
    <t>14h54m35.1s</t>
  </si>
  <si>
    <t>+23h38m35s</t>
  </si>
  <si>
    <t>F, S, N dif</t>
  </si>
  <si>
    <t>IC4518</t>
  </si>
  <si>
    <t>14h57m45.2s</t>
  </si>
  <si>
    <t>-43h7m52s</t>
  </si>
  <si>
    <t>extremely small, round, also one pretty large, extremely extended 100°</t>
  </si>
  <si>
    <t>eS, R, also one pL, eE 100°</t>
  </si>
  <si>
    <t>IC4519</t>
  </si>
  <si>
    <t>14h54m44.4s</t>
  </si>
  <si>
    <t>+37h24m47s</t>
  </si>
  <si>
    <t>faint, small, diffuse, 14th magnitude star to southwest</t>
  </si>
  <si>
    <t>F, S, dif, * 14 sp</t>
  </si>
  <si>
    <t>IC4520</t>
  </si>
  <si>
    <t>14h55m7s</t>
  </si>
  <si>
    <t>+33h43m28s</t>
  </si>
  <si>
    <t>IC4521</t>
  </si>
  <si>
    <t>14h59m27.3s</t>
  </si>
  <si>
    <t>+25h35m0s</t>
  </si>
  <si>
    <t>IC4522</t>
  </si>
  <si>
    <t>15h11m29.7s</t>
  </si>
  <si>
    <t>-75h51m32s</t>
  </si>
  <si>
    <t>very faint, very small, considerably brighter middle, star involved</t>
  </si>
  <si>
    <t>vF, vS, cbM, st inv</t>
  </si>
  <si>
    <t>IC4523</t>
  </si>
  <si>
    <t>15h5m10.5s</t>
  </si>
  <si>
    <t>-43h30m35s</t>
  </si>
  <si>
    <t>IC4524</t>
  </si>
  <si>
    <t>15h2m6.2s</t>
  </si>
  <si>
    <t>+25h36m2s</t>
  </si>
  <si>
    <t>faint, small, irregular figure, gradually brighter middle, mottled but not resolved</t>
  </si>
  <si>
    <t>F, S, iF, gbM, r</t>
  </si>
  <si>
    <t>IC4525</t>
  </si>
  <si>
    <t>15h2m24.7s</t>
  </si>
  <si>
    <t>+25h38m16s</t>
  </si>
  <si>
    <t>IC4526</t>
  </si>
  <si>
    <t>15h2m38.3s</t>
  </si>
  <si>
    <t>+23h21m4s</t>
  </si>
  <si>
    <t>IC4527</t>
  </si>
  <si>
    <t>15h5m41s</t>
  </si>
  <si>
    <t>-42h26m56s</t>
  </si>
  <si>
    <t>considerably small, extended 225°, brighter middle</t>
  </si>
  <si>
    <t>cS, E 225°, bM</t>
  </si>
  <si>
    <t>IC4528</t>
  </si>
  <si>
    <t>15h1m33.5s</t>
  </si>
  <si>
    <t>+49h6m47s</t>
  </si>
  <si>
    <t>extremely faint, pretty small, diffuse, mottled but not resolved</t>
  </si>
  <si>
    <t>eF, pS, dif, r</t>
  </si>
  <si>
    <t>IC4529</t>
  </si>
  <si>
    <t>15h6m25.7s</t>
  </si>
  <si>
    <t>-43h14m0s</t>
  </si>
  <si>
    <t>nucleus</t>
  </si>
  <si>
    <t>IC4530</t>
  </si>
  <si>
    <t>15h3m45.4s</t>
  </si>
  <si>
    <t>faint, small, diffuse, 13.5 magnitude star to northeast</t>
  </si>
  <si>
    <t>F, S, dif, * 13.5 nf</t>
  </si>
  <si>
    <t>IC4531</t>
  </si>
  <si>
    <t>15h4m26.4s</t>
  </si>
  <si>
    <t>+23h24m56s</t>
  </si>
  <si>
    <t>IC4532</t>
  </si>
  <si>
    <t>15h4m53.7s</t>
  </si>
  <si>
    <t>+23h15m23s</t>
  </si>
  <si>
    <t>very faint, nuclear, stellar</t>
  </si>
  <si>
    <t>vF, N, stellar</t>
  </si>
  <si>
    <t>IC4533</t>
  </si>
  <si>
    <t>15h4m30.3s</t>
  </si>
  <si>
    <t>+27h47m36s</t>
  </si>
  <si>
    <t>faint, small, irregular figure, 10.5 magnitude star to east</t>
  </si>
  <si>
    <t>F, S, iF, * 10.5 f</t>
  </si>
  <si>
    <t>IC4534</t>
  </si>
  <si>
    <t>15h6m41.7s</t>
  </si>
  <si>
    <t>+23h38m30s</t>
  </si>
  <si>
    <t>pretty bright, small, extended north-south, nuclear</t>
  </si>
  <si>
    <t>pB, S, E ns, N</t>
  </si>
  <si>
    <t>IC4535</t>
  </si>
  <si>
    <t>15h8m41.6s</t>
  </si>
  <si>
    <t>+37h34m13s</t>
  </si>
  <si>
    <t>IC4536</t>
  </si>
  <si>
    <t>15h13m17.3s</t>
  </si>
  <si>
    <t>-18h8m15s</t>
  </si>
  <si>
    <t>very faint, large, round, faint star attached on northwest, faint star near to southeast</t>
  </si>
  <si>
    <t>vF, L, R, F * att np, F * nr sf</t>
  </si>
  <si>
    <t>IC4537</t>
  </si>
  <si>
    <t>15h17m32.3s</t>
  </si>
  <si>
    <t>+2h2m52s</t>
  </si>
  <si>
    <t>IC4538</t>
  </si>
  <si>
    <t>15h21m11.6s</t>
  </si>
  <si>
    <t>-23h39m30s</t>
  </si>
  <si>
    <t>most extremely faint, very large</t>
  </si>
  <si>
    <t>eeF, vL</t>
  </si>
  <si>
    <t>IC4539</t>
  </si>
  <si>
    <t>15h18m31s</t>
  </si>
  <si>
    <t>+32h23m34s</t>
  </si>
  <si>
    <t>IC4540</t>
  </si>
  <si>
    <t>15h20m3s</t>
  </si>
  <si>
    <t>+1h47m0s</t>
  </si>
  <si>
    <t>very faint, pretty small, much extended, bright star near</t>
  </si>
  <si>
    <t>vF, pS, mE, B * nr</t>
  </si>
  <si>
    <t>IC4541</t>
  </si>
  <si>
    <t>15h29m55.7s</t>
  </si>
  <si>
    <t>-70h35m2s</t>
  </si>
  <si>
    <t>extremely faint, very small, much extended 150°, suspected</t>
  </si>
  <si>
    <t>eF, vS, mE 150°, susp</t>
  </si>
  <si>
    <t>IC4542</t>
  </si>
  <si>
    <t>15h22m5.5s</t>
  </si>
  <si>
    <t>+33h8m55s</t>
  </si>
  <si>
    <t>faint, small, round, nuclear, 12th magnitude star to southwest</t>
  </si>
  <si>
    <t>F, S, R, N, * 12 sp</t>
  </si>
  <si>
    <t>IC4543</t>
  </si>
  <si>
    <t>extremely faint, pretty small, very faint star near to northwest</t>
  </si>
  <si>
    <t>eF, pS, vF * nr np</t>
  </si>
  <si>
    <t>IC4544</t>
  </si>
  <si>
    <t>15h29m25s</t>
  </si>
  <si>
    <t>-50h34m48s</t>
  </si>
  <si>
    <t>IC4545</t>
  </si>
  <si>
    <t>15h41m28.6s</t>
  </si>
  <si>
    <t>-81h37m35s</t>
  </si>
  <si>
    <t>most extremely faint, extremely small, much extended 145°, between 2 very faint stars, suspected</t>
  </si>
  <si>
    <t>eeF, eS, mE 145°, bet 2 vF st, susp</t>
  </si>
  <si>
    <t>IC4546</t>
  </si>
  <si>
    <t>15h26m58.4s</t>
  </si>
  <si>
    <t>+28h51m7s</t>
  </si>
  <si>
    <t>faint, very small, round, 13th magnitude star attached</t>
  </si>
  <si>
    <t>F, vS, R, * 13 att</t>
  </si>
  <si>
    <t>IC4547</t>
  </si>
  <si>
    <t>15h27m15s</t>
  </si>
  <si>
    <t>+28h47m22s</t>
  </si>
  <si>
    <t>IC4548</t>
  </si>
  <si>
    <t>15h27m23.9s</t>
  </si>
  <si>
    <t>+28h51m1s</t>
  </si>
  <si>
    <t>very faint, small, irregular figure, mottled but not resolved</t>
  </si>
  <si>
    <t>vF, S, iF, r</t>
  </si>
  <si>
    <t>IC4549</t>
  </si>
  <si>
    <t>15h29m14.7s</t>
  </si>
  <si>
    <t>+32h49m33s</t>
  </si>
  <si>
    <t>faint, considerably small, extended east-west</t>
  </si>
  <si>
    <t>F, cS, E pf</t>
  </si>
  <si>
    <t>IC4550</t>
  </si>
  <si>
    <t>bright, pretty small, a little extended</t>
  </si>
  <si>
    <t>B, pS, lE</t>
  </si>
  <si>
    <t>IC4551</t>
  </si>
  <si>
    <t>most extremely faint, large, round, very diffuse</t>
  </si>
  <si>
    <t>eeF, L, R, v dif</t>
  </si>
  <si>
    <t>IC4552</t>
  </si>
  <si>
    <t>15h34m58.3s</t>
  </si>
  <si>
    <t>+4h41m57s</t>
  </si>
  <si>
    <t>IC4553</t>
  </si>
  <si>
    <t>IC4554</t>
  </si>
  <si>
    <t>15h35m4.7s</t>
  </si>
  <si>
    <t>+23h28m47s</t>
  </si>
  <si>
    <t>very faint, very small, nuclear, stellar</t>
  </si>
  <si>
    <t>vF, vS, N, stell</t>
  </si>
  <si>
    <t>IC4555</t>
  </si>
  <si>
    <t>15h48m14.8s</t>
  </si>
  <si>
    <t>-78h10m46s</t>
  </si>
  <si>
    <t>very faint, very small, extremely extended 55°, brighter middle</t>
  </si>
  <si>
    <t>vF, vS, eE 55°, bM</t>
  </si>
  <si>
    <t>IC4556</t>
  </si>
  <si>
    <t>15h35m22.4s</t>
  </si>
  <si>
    <t>+25h17m52s</t>
  </si>
  <si>
    <t>IC4557</t>
  </si>
  <si>
    <t>15h34m36.9s</t>
  </si>
  <si>
    <t>+39h43m46s</t>
  </si>
  <si>
    <t>IC4558</t>
  </si>
  <si>
    <t>15h35m46.2s</t>
  </si>
  <si>
    <t>+25h20m43s</t>
  </si>
  <si>
    <t>IC4559</t>
  </si>
  <si>
    <t>15h35m53.4s</t>
  </si>
  <si>
    <t>+25h20m30s</t>
  </si>
  <si>
    <t>IC4560</t>
  </si>
  <si>
    <t>15h35m54s</t>
  </si>
  <si>
    <t>+39h48m53s</t>
  </si>
  <si>
    <t>very faint, very small; (NGC) 5966 to southeast</t>
  </si>
  <si>
    <t>vF, vS, 5966 sf</t>
  </si>
  <si>
    <t>IC4561</t>
  </si>
  <si>
    <t>15h36m47s</t>
  </si>
  <si>
    <t>+25h24m59s</t>
  </si>
  <si>
    <t>IC4562</t>
  </si>
  <si>
    <t>15h35m57.1s</t>
  </si>
  <si>
    <t>+43h29m35s</t>
  </si>
  <si>
    <t>pretty bright, small, round, much brighter middle, faint star or nebula 1 arcmin to northeast</t>
  </si>
  <si>
    <t>pB, S, R, mbM, F * or neb 1' nf</t>
  </si>
  <si>
    <t>IC4563</t>
  </si>
  <si>
    <t>15h36m3.5s</t>
  </si>
  <si>
    <t>+39h49m54s</t>
  </si>
  <si>
    <t>IC4564</t>
  </si>
  <si>
    <t>15h36m26.9s</t>
  </si>
  <si>
    <t>+43h31m7s</t>
  </si>
  <si>
    <t>pretty faint, round, gradually brighter middle</t>
  </si>
  <si>
    <t>pF, R, gbM</t>
  </si>
  <si>
    <t>IC4565</t>
  </si>
  <si>
    <t>15h36m35.2s</t>
  </si>
  <si>
    <t>+43h25m31s</t>
  </si>
  <si>
    <t>IC4566</t>
  </si>
  <si>
    <t>15h36m42.2s</t>
  </si>
  <si>
    <t>+43h32m23s</t>
  </si>
  <si>
    <t>IC4567</t>
  </si>
  <si>
    <t>15h37m13.3s</t>
  </si>
  <si>
    <t>+43h17m52s</t>
  </si>
  <si>
    <t>IC4568</t>
  </si>
  <si>
    <t>15h40m7.6s</t>
  </si>
  <si>
    <t>+28h9m7s</t>
  </si>
  <si>
    <t>IC4569</t>
  </si>
  <si>
    <t>15h40m48.3s</t>
  </si>
  <si>
    <t>+28h17m33s</t>
  </si>
  <si>
    <t>pretty bright, double star of 13th magnitude in small nebula</t>
  </si>
  <si>
    <t>pB, D * 13 in S neb</t>
  </si>
  <si>
    <t>IC4570</t>
  </si>
  <si>
    <t>15h41m22.5s</t>
  </si>
  <si>
    <t>+28h13m45s</t>
  </si>
  <si>
    <t>IC4571</t>
  </si>
  <si>
    <t>15h48m51.6s</t>
  </si>
  <si>
    <t>considerably faint, extremely small, much extended 155°</t>
  </si>
  <si>
    <t>cF, cS, mE 155°</t>
  </si>
  <si>
    <t>IC4572</t>
  </si>
  <si>
    <t>15h41m54.2s</t>
  </si>
  <si>
    <t>+28h8m1s</t>
  </si>
  <si>
    <t>pretty bright, considerably small, gradually brighter middle, diffuse, mottled but not resolved</t>
  </si>
  <si>
    <t>pB, cS, gbM, dif, r</t>
  </si>
  <si>
    <t>IC4573</t>
  </si>
  <si>
    <t>15h42m12.2s</t>
  </si>
  <si>
    <t>+23h48m1s</t>
  </si>
  <si>
    <t>IC4574</t>
  </si>
  <si>
    <t>15h41m59.2s</t>
  </si>
  <si>
    <t>+28h14m24s</t>
  </si>
  <si>
    <t>IC4575</t>
  </si>
  <si>
    <t>15h42m19.6s</t>
  </si>
  <si>
    <t>+23h48m29s</t>
  </si>
  <si>
    <t>faint, small, diffuse, mottled but not resolved, 15th magnitude star attached</t>
  </si>
  <si>
    <t>F, S, dif, r, * 15 att</t>
  </si>
  <si>
    <t>IC4576</t>
  </si>
  <si>
    <t>15h42m35.4s</t>
  </si>
  <si>
    <t>+23h40m14s</t>
  </si>
  <si>
    <t>faint, very small, round, nuclear, 14th magnitude star to northwest</t>
  </si>
  <si>
    <t>F, vS, R, N, * 14 np</t>
  </si>
  <si>
    <t>IC4577</t>
  </si>
  <si>
    <t>+23h47m35s</t>
  </si>
  <si>
    <t>IC4578</t>
  </si>
  <si>
    <t>15h53m11.6s</t>
  </si>
  <si>
    <t>-74h49m32s</t>
  </si>
  <si>
    <t>extremely faint, extremely small, considerably extended 140°, between two very faint stars</t>
  </si>
  <si>
    <t>eF, eS, cE 140°, bet 2 vF st</t>
  </si>
  <si>
    <t>IC4579</t>
  </si>
  <si>
    <t>15h42m51.4s</t>
  </si>
  <si>
    <t>+23h46m25s</t>
  </si>
  <si>
    <t>IC4580</t>
  </si>
  <si>
    <t>15h43m14.3s</t>
  </si>
  <si>
    <t>+28h21m23s</t>
  </si>
  <si>
    <t>IC4581</t>
  </si>
  <si>
    <t>15h44m1.4s</t>
  </si>
  <si>
    <t>+28h16m36s</t>
  </si>
  <si>
    <t>faint, small, irregular figure, 12.5 magnitude star near</t>
  </si>
  <si>
    <t>F, S, iF, * 12.5 nr</t>
  </si>
  <si>
    <t>IC4582</t>
  </si>
  <si>
    <t>15h45m39.4s</t>
  </si>
  <si>
    <t>+28h5m19s</t>
  </si>
  <si>
    <t>faint, small, extended east-west, gradually brighter middle, 12.5 magnitude star 6.5 seconds of time to east</t>
  </si>
  <si>
    <t>F, S, E pf, gbM, * 12.5 f 6s.5</t>
  </si>
  <si>
    <t>IC4583</t>
  </si>
  <si>
    <t>15h46m21.9s</t>
  </si>
  <si>
    <t>+23h48m32s</t>
  </si>
  <si>
    <t>faint, very small, extended, nuclear, mottled but not resolved</t>
  </si>
  <si>
    <t>F, vS, E, N, r</t>
  </si>
  <si>
    <t>IC4584</t>
  </si>
  <si>
    <t>16h0m12.5s</t>
  </si>
  <si>
    <t>-66h22m57s</t>
  </si>
  <si>
    <t>IC4585</t>
  </si>
  <si>
    <t>16h0m17.1s</t>
  </si>
  <si>
    <t>-66h19m21s</t>
  </si>
  <si>
    <t>IC4586</t>
  </si>
  <si>
    <t>extremely faint, small, round, between 8th magnitude star to east and curve of stars to west</t>
  </si>
  <si>
    <t>eF, S, R, bet * 8 f &amp; curve of st p</t>
  </si>
  <si>
    <t>IC4587</t>
  </si>
  <si>
    <t>15h59m51.5s</t>
  </si>
  <si>
    <t>+25h56m28s</t>
  </si>
  <si>
    <t>extremely faint, extremely small, T Coronae to southwest</t>
  </si>
  <si>
    <t>eF, eS, T Coronae sp</t>
  </si>
  <si>
    <t>IC4588</t>
  </si>
  <si>
    <t>16h5m4.2s</t>
  </si>
  <si>
    <t>+23h55m0s</t>
  </si>
  <si>
    <t>very faint, very small, round, stellar, (NGC) 5051 to west</t>
  </si>
  <si>
    <t>vF, vS, R, stell, 5051 p</t>
  </si>
  <si>
    <t>IC4589</t>
  </si>
  <si>
    <t>16h7m24.7s</t>
  </si>
  <si>
    <t>-6h23m8s</t>
  </si>
  <si>
    <t>13th magnitude star, perhaps in extremely faint nebula</t>
  </si>
  <si>
    <t>* 13, in eF neb ?</t>
  </si>
  <si>
    <t>IC4590</t>
  </si>
  <si>
    <t>E+C?</t>
  </si>
  <si>
    <t>16h8m21.1s</t>
  </si>
  <si>
    <t>+28h28m43s</t>
  </si>
  <si>
    <t>IC4591</t>
  </si>
  <si>
    <t>16h12m18s</t>
  </si>
  <si>
    <t>-27h55m40s</t>
  </si>
  <si>
    <t>5.6 magnitude star in faint nebula</t>
  </si>
  <si>
    <t>* 5.6 in F neb</t>
  </si>
  <si>
    <t>IC4592</t>
  </si>
  <si>
    <t>蓝马头星云</t>
  </si>
  <si>
    <t>16h11m59.6s</t>
  </si>
  <si>
    <t>-19h27m35s</t>
  </si>
  <si>
    <t>very large, extended, ν2 Scorpii involved</t>
  </si>
  <si>
    <t>vL, E, ν2 Scorpii inv</t>
  </si>
  <si>
    <t>IC4593</t>
  </si>
  <si>
    <t>白眼豌豆星云</t>
  </si>
  <si>
    <t>16h11m44.5s</t>
  </si>
  <si>
    <t>+12h4m19s</t>
  </si>
  <si>
    <t>IC4594</t>
  </si>
  <si>
    <t>IC4595</t>
  </si>
  <si>
    <t>16h20m43.8s</t>
  </si>
  <si>
    <t>-70h8m33s</t>
  </si>
  <si>
    <t>faint, small, extremely extended 55°</t>
  </si>
  <si>
    <t>F, S, eE 55°</t>
  </si>
  <si>
    <t>IC4596</t>
  </si>
  <si>
    <t>16h16m3.6s</t>
  </si>
  <si>
    <t>-22h37m29s</t>
  </si>
  <si>
    <t>faint, small, much extended 40°, much brighter middle and nucleus, probably spiral</t>
  </si>
  <si>
    <t>F, S, mE 40°, mbMN, prob spir</t>
  </si>
  <si>
    <t>IC4597</t>
  </si>
  <si>
    <t>16h17m39.7s</t>
  </si>
  <si>
    <t>-34h21m58s</t>
  </si>
  <si>
    <t>IC4598</t>
  </si>
  <si>
    <t>16h18m13.2s</t>
  </si>
  <si>
    <t>-31h26m29s</t>
  </si>
  <si>
    <t>nebulous streak of faint stars, 1 arcmin north-south</t>
  </si>
  <si>
    <t>Neb streak of F st, 1' ns</t>
  </si>
  <si>
    <t>IC4599</t>
  </si>
  <si>
    <t>16h19m23.2s</t>
  </si>
  <si>
    <t>-42h15m34s</t>
  </si>
  <si>
    <t>planetary, 15th magnitude</t>
  </si>
  <si>
    <t>Planetary, 15 mag</t>
  </si>
  <si>
    <t>IC4600</t>
  </si>
  <si>
    <t>16h16m5.3s</t>
  </si>
  <si>
    <t>-22h46m59s</t>
  </si>
  <si>
    <t>IC4601</t>
  </si>
  <si>
    <t>16h20m18s</t>
  </si>
  <si>
    <t>-20h4m54s</t>
  </si>
  <si>
    <t>2 stars of 8th magnitude in extremely large diffuse nebula, a little extended northwest-southeast</t>
  </si>
  <si>
    <t>2 st 8 in eL, dif neb, lE npsf</t>
  </si>
  <si>
    <t>IC4602</t>
  </si>
  <si>
    <t>most extremely faint, a little extended, extremely difficult, faint star to east</t>
  </si>
  <si>
    <t>eeF, lE, e diffic, F * f</t>
  </si>
  <si>
    <t>IC4603</t>
  </si>
  <si>
    <t>16h25m24s</t>
  </si>
  <si>
    <t>-24h28m0s</t>
  </si>
  <si>
    <t>extremely faint, very large, diffuse, star involved</t>
  </si>
  <si>
    <t>eF, vL, dif, st inv</t>
  </si>
  <si>
    <t>IC4604</t>
  </si>
  <si>
    <t>心宿增四星云</t>
  </si>
  <si>
    <t>16h25m33s</t>
  </si>
  <si>
    <t>-23h26m36s</t>
  </si>
  <si>
    <t>ρ Ophiuchi in extremely large nebula</t>
  </si>
  <si>
    <t>ρ Ophiuchi in eL neb</t>
  </si>
  <si>
    <t>IC4605</t>
  </si>
  <si>
    <t>16h30m12.5s</t>
  </si>
  <si>
    <t>-25h6m53s</t>
  </si>
  <si>
    <t>7th magnitude star in extremely faint, very large nebula</t>
  </si>
  <si>
    <t>* 7 in eF, vL neb</t>
  </si>
  <si>
    <t>IC4606</t>
  </si>
  <si>
    <t>心宿二反射星云</t>
  </si>
  <si>
    <t>nebula; faint star 4.5 seconds of time to west, 0.5 arcmin to north</t>
  </si>
  <si>
    <t>Neb, F * p 4s.5, 0'.5 n</t>
  </si>
  <si>
    <t>IC4607</t>
  </si>
  <si>
    <t>16h30m15.8s</t>
  </si>
  <si>
    <t>+24h34m28s</t>
  </si>
  <si>
    <t>IC4608</t>
  </si>
  <si>
    <t>16h46m54.1s</t>
  </si>
  <si>
    <t>-77h29m21s</t>
  </si>
  <si>
    <t>very faint, very small, considerably extended 85°, brighter middle</t>
  </si>
  <si>
    <t>vF, vS, cE 85°, bM</t>
  </si>
  <si>
    <t>IC4609</t>
  </si>
  <si>
    <t>16h33m1.5s</t>
  </si>
  <si>
    <t>+22h47m53s</t>
  </si>
  <si>
    <t>IC4610</t>
  </si>
  <si>
    <t>16h33m39.2s</t>
  </si>
  <si>
    <t>+39h15m27s</t>
  </si>
  <si>
    <t>faint, extremely small, round, gradually brighter middle</t>
  </si>
  <si>
    <t>F, eS, R, gbM</t>
  </si>
  <si>
    <t>IC4611</t>
  </si>
  <si>
    <t>16h33m42.1s</t>
  </si>
  <si>
    <t>+39h11m8s</t>
  </si>
  <si>
    <t>IC4612</t>
  </si>
  <si>
    <t>16h33m49.7s</t>
  </si>
  <si>
    <t>+39h15m48s</t>
  </si>
  <si>
    <t>IC4613</t>
  </si>
  <si>
    <t>16h37m10s</t>
  </si>
  <si>
    <t>+36h7m48s</t>
  </si>
  <si>
    <t>extremely faint, diffuse [perhaps = (NGC) 6196]</t>
  </si>
  <si>
    <t>eF, dif [? = 6196]</t>
  </si>
  <si>
    <t>IC4614</t>
  </si>
  <si>
    <t>16h37m47.2s</t>
  </si>
  <si>
    <t>+36h6m53s</t>
  </si>
  <si>
    <t>IC4615</t>
  </si>
  <si>
    <t>* 13 in S neb</t>
  </si>
  <si>
    <t>IC4616</t>
  </si>
  <si>
    <t>extremely faint, small, diffuse, mottled but not resolved; 12th magnitude star 2 arcmin to southeast</t>
  </si>
  <si>
    <t>eF, S, dif, r, * 12 sf 2'</t>
  </si>
  <si>
    <t>IC4617</t>
  </si>
  <si>
    <t>16h42m8.1s</t>
  </si>
  <si>
    <t>+36h41m3s</t>
  </si>
  <si>
    <t>small, extended 29°, brighter middle</t>
  </si>
  <si>
    <t>S, E 29°, bM</t>
  </si>
  <si>
    <t>IC4618</t>
  </si>
  <si>
    <t>16h57m50s</t>
  </si>
  <si>
    <t>-76h59m33s</t>
  </si>
  <si>
    <t>very remarkable object, extremely faint, extremely small, 2 branch spiral</t>
  </si>
  <si>
    <t>!! eF, eS, 2 branch spiral</t>
  </si>
  <si>
    <t>IC4619</t>
  </si>
  <si>
    <t>16h44m11.1s</t>
  </si>
  <si>
    <t>+17h45m32s</t>
  </si>
  <si>
    <t>IC4620</t>
  </si>
  <si>
    <t>16h48m30s</t>
  </si>
  <si>
    <t>+19h18m20s</t>
  </si>
  <si>
    <t>IC4621</t>
  </si>
  <si>
    <t>16h50m51.1s</t>
  </si>
  <si>
    <t>+8h47m3s</t>
  </si>
  <si>
    <t>IC4622</t>
  </si>
  <si>
    <t>16h52m8.3s</t>
  </si>
  <si>
    <t>-16h14m9s</t>
  </si>
  <si>
    <t>considerably faint, small, irregular figure, double</t>
  </si>
  <si>
    <t>cF, S, iF, D</t>
  </si>
  <si>
    <t>IC4623</t>
  </si>
  <si>
    <t>16h51m5.4s</t>
  </si>
  <si>
    <t>+22h31m39s</t>
  </si>
  <si>
    <t>IC4624</t>
  </si>
  <si>
    <t>16h51m33.5s</t>
  </si>
  <si>
    <t>+17h26m56s</t>
  </si>
  <si>
    <t>IC4625</t>
  </si>
  <si>
    <t>nebula; 10th magnitude star close to northeast [perhaps = (NGC) 6240]</t>
  </si>
  <si>
    <t>Neb, * 10 close nf [? = 6240]</t>
  </si>
  <si>
    <t>IC4626</t>
  </si>
  <si>
    <t>16h53m20.7s</t>
  </si>
  <si>
    <t>+2h20m16s</t>
  </si>
  <si>
    <t>IC4627</t>
  </si>
  <si>
    <t>16h54m8.6s</t>
  </si>
  <si>
    <t>-7h38m9s</t>
  </si>
  <si>
    <t>extremely faint, extremely small, diffuse, 12th magnitude star 12 arcsec to south</t>
  </si>
  <si>
    <t>eF, eS, dif, * 12 s 12"</t>
  </si>
  <si>
    <t>IC4628</t>
  </si>
  <si>
    <t>斑节虾星云</t>
  </si>
  <si>
    <t>16h57m0s</t>
  </si>
  <si>
    <t>-40h27m24s</t>
  </si>
  <si>
    <t>faint, extremely large, extended east-west, diffuse</t>
  </si>
  <si>
    <t>F, eL, E pf, dif</t>
  </si>
  <si>
    <t>IC4629</t>
  </si>
  <si>
    <t>16h56m9s</t>
  </si>
  <si>
    <t>-16h42m36s</t>
  </si>
  <si>
    <t>very faint, very small, extremely extended 75°, suspected</t>
  </si>
  <si>
    <t>vF, vS, eE 75°, susp</t>
  </si>
  <si>
    <t>IC4630</t>
  </si>
  <si>
    <t>16h55m9.5s</t>
  </si>
  <si>
    <t>+26h39m48s</t>
  </si>
  <si>
    <t>faint, small, round, stellar nucleus</t>
  </si>
  <si>
    <t>F, S, R, stell N</t>
  </si>
  <si>
    <t>IC4631</t>
  </si>
  <si>
    <t>17h10m59s</t>
  </si>
  <si>
    <t>-77h36m0s</t>
  </si>
  <si>
    <t>extremely faint, most extremely small, possibly annular, suspected</t>
  </si>
  <si>
    <t>eF, eeS, ann ?, susp</t>
  </si>
  <si>
    <t>IC4632</t>
  </si>
  <si>
    <t>16h58m32s</t>
  </si>
  <si>
    <t>+22h54m56s</t>
  </si>
  <si>
    <t>eF, ? neb</t>
  </si>
  <si>
    <t>IC4633</t>
  </si>
  <si>
    <t>17h13m47.1s</t>
  </si>
  <si>
    <t>-77h32m9s</t>
  </si>
  <si>
    <t>very faint, considerably large, considerably brighter middle, possibly spiral</t>
  </si>
  <si>
    <t>vF, cL, cbM, ? spir</t>
  </si>
  <si>
    <t>IC4634</t>
  </si>
  <si>
    <t>17h1m33.6s</t>
  </si>
  <si>
    <t>-21h49m32s</t>
  </si>
  <si>
    <t>IC4635</t>
  </si>
  <si>
    <t>17h15m40.4s</t>
  </si>
  <si>
    <t>very faint, extremely small, considerably brighter middle</t>
  </si>
  <si>
    <t>vF, eS, cbM</t>
  </si>
  <si>
    <t>IC4636</t>
  </si>
  <si>
    <t>16h59m6.8s</t>
  </si>
  <si>
    <t>very faint, fainter than (NGC) 6279</t>
  </si>
  <si>
    <t>vF, fainter than 6279</t>
  </si>
  <si>
    <t>IC4637</t>
  </si>
  <si>
    <t>17h5m10.4s</t>
  </si>
  <si>
    <t>-40h53m5s</t>
  </si>
  <si>
    <t>IC4638</t>
  </si>
  <si>
    <t>17h1m13.6s</t>
  </si>
  <si>
    <t>+33h30m50s</t>
  </si>
  <si>
    <t>no description; 9th magnitude star 2.5 arcmin to southeast</t>
  </si>
  <si>
    <t>No descr, * 9 sf 2'.5</t>
  </si>
  <si>
    <t>IC4639</t>
  </si>
  <si>
    <t>17h2m54.7s</t>
  </si>
  <si>
    <t>+22h55m50s</t>
  </si>
  <si>
    <t>IC4640</t>
  </si>
  <si>
    <t>17h23m57.8s</t>
  </si>
  <si>
    <t>-80h3m48s</t>
  </si>
  <si>
    <t>IC4641</t>
  </si>
  <si>
    <t>17h24m10.7s</t>
  </si>
  <si>
    <t>-80h8m50s</t>
  </si>
  <si>
    <t>IC4642</t>
  </si>
  <si>
    <t>17h11m45.3s</t>
  </si>
  <si>
    <t>-55h23m58s</t>
  </si>
  <si>
    <t>IC4643</t>
  </si>
  <si>
    <t>IC4644</t>
  </si>
  <si>
    <t>17h24m35.8s</t>
  </si>
  <si>
    <t>-73h56m19s</t>
  </si>
  <si>
    <t>extremely faint, very small, much extended 135°</t>
  </si>
  <si>
    <t>eF, vS, mE 135°</t>
  </si>
  <si>
    <t>IC4645</t>
  </si>
  <si>
    <t>17h14m43s</t>
  </si>
  <si>
    <t>+43h6m15s</t>
  </si>
  <si>
    <t>extremely faint, pretty small, 13.5 magnitude star 80 arcsec to east</t>
  </si>
  <si>
    <t>eF, pS, * 13.5 f 80"</t>
  </si>
  <si>
    <t>IC4646</t>
  </si>
  <si>
    <t>17h23m53.4s</t>
  </si>
  <si>
    <t>-60h0m1s</t>
  </si>
  <si>
    <t>IC4647</t>
  </si>
  <si>
    <t>17h26m4.2s</t>
  </si>
  <si>
    <t>-80h11m42s</t>
  </si>
  <si>
    <t>IC4648</t>
  </si>
  <si>
    <t>17h16m10.3s</t>
  </si>
  <si>
    <t>+43h51m45s</t>
  </si>
  <si>
    <t>cluster, very small, nebulous, very faint double star involved</t>
  </si>
  <si>
    <t>Cl, vS, neb, vF D * inv</t>
  </si>
  <si>
    <t>IC4649</t>
  </si>
  <si>
    <t>extremely faint, pretty small, very diffuse, 12.5 magnitude star 0.5 arcmin to east</t>
  </si>
  <si>
    <t>eF, pS, v dif, * 12.5 f 0'.5</t>
  </si>
  <si>
    <t>IC4650</t>
  </si>
  <si>
    <t>17h15m47.4s</t>
  </si>
  <si>
    <t>+57h18m7s</t>
  </si>
  <si>
    <t>extremely faint, stars and nebula</t>
  </si>
  <si>
    <t>eF, st and neb</t>
  </si>
  <si>
    <t>IC4651</t>
  </si>
  <si>
    <t>17h24m52s</t>
  </si>
  <si>
    <t>-49h56m36s</t>
  </si>
  <si>
    <t>cluster, pretty compressed</t>
  </si>
  <si>
    <t>IC4652</t>
  </si>
  <si>
    <t>17h26m26.5s</t>
  </si>
  <si>
    <t>-59h43m42s</t>
  </si>
  <si>
    <t>faint, planetary, 15th magnitude</t>
  </si>
  <si>
    <t>F, planetary, 15 magn</t>
  </si>
  <si>
    <t>IC4653</t>
  </si>
  <si>
    <t>17h27m7s</t>
  </si>
  <si>
    <t>-60h52m45s</t>
  </si>
  <si>
    <t>most extremely faint, extremely small, brighter middle, extremely faint star very near, suspected</t>
  </si>
  <si>
    <t>eeF, eS, bM, eF, * v nr, susp</t>
  </si>
  <si>
    <t>IC4654</t>
  </si>
  <si>
    <t>17h37m7.9s</t>
  </si>
  <si>
    <t>-74h22m52s</t>
  </si>
  <si>
    <t>extremely faint, extremely small, round, very much brighter middle</t>
  </si>
  <si>
    <t>eF, eS, R, vmbM</t>
  </si>
  <si>
    <t>IC4655</t>
  </si>
  <si>
    <t>17h34m35.8s</t>
  </si>
  <si>
    <t>-60h43m17s</t>
  </si>
  <si>
    <t>extremely faint, extremely small, much extended 170°</t>
  </si>
  <si>
    <t>eF, eS, mE 170°</t>
  </si>
  <si>
    <t>IC4656</t>
  </si>
  <si>
    <t>17h37m44.1s</t>
  </si>
  <si>
    <t>-63h43m47s</t>
  </si>
  <si>
    <t>most extremely faint, very small, extremely extended 90°, considerably brighter middle</t>
  </si>
  <si>
    <t>eeF, vS, eE 90°, cbM</t>
  </si>
  <si>
    <t>IC4657</t>
  </si>
  <si>
    <t>17h32m42s</t>
  </si>
  <si>
    <t>-17h31m30s</t>
  </si>
  <si>
    <t>very faint, 11th magnitude star 2 arcmin northwest</t>
  </si>
  <si>
    <t>vF, * 11 np 2'</t>
  </si>
  <si>
    <t>IC4658</t>
  </si>
  <si>
    <t>17h36m10s</t>
  </si>
  <si>
    <t>-59h35m6s</t>
  </si>
  <si>
    <t>IC4659</t>
  </si>
  <si>
    <t>17h34m12s</t>
  </si>
  <si>
    <t>-17h55m42s</t>
  </si>
  <si>
    <t>pretty faint, small, 8th magnitude star 21 seconds of time to east, 3 arcmin to north</t>
  </si>
  <si>
    <t>pF, S, * 8 f 21s, 3' n</t>
  </si>
  <si>
    <t>IC4660</t>
  </si>
  <si>
    <t>17h21m45s</t>
  </si>
  <si>
    <t>+75h50m55s</t>
  </si>
  <si>
    <t>pretty large, extended north-south, 9.2 magnitude star 30 arcsec southwest</t>
  </si>
  <si>
    <t>pL, E ns, * 9.2 sp 30"</t>
  </si>
  <si>
    <t>IC4661</t>
  </si>
  <si>
    <t>17h51m2.4s</t>
  </si>
  <si>
    <t>-74h1m58s</t>
  </si>
  <si>
    <t>IC4662</t>
  </si>
  <si>
    <t>17h47m8.5s</t>
  </si>
  <si>
    <t>-64h38m31s</t>
  </si>
  <si>
    <t>faint, pretty small, a little extended</t>
  </si>
  <si>
    <t>F, pS, lE</t>
  </si>
  <si>
    <t>IC4663</t>
  </si>
  <si>
    <t>17h45m28.7s</t>
  </si>
  <si>
    <t>-44h54m16s</t>
  </si>
  <si>
    <t>IC4664</t>
  </si>
  <si>
    <t>17h48m58.8s</t>
  </si>
  <si>
    <t>-63h15m14s</t>
  </si>
  <si>
    <t>extremely faint, very small, considerably extended, considerably brighter middle</t>
  </si>
  <si>
    <t>eF, vS, cE, cbM</t>
  </si>
  <si>
    <t>IC4665</t>
  </si>
  <si>
    <t>夏季蜂巢星团</t>
  </si>
  <si>
    <t>17h46m12s</t>
  </si>
  <si>
    <t>+5h43m0s</t>
  </si>
  <si>
    <t>IC4666</t>
  </si>
  <si>
    <t>17h46m2.3s</t>
  </si>
  <si>
    <t>+55h46m33s</t>
  </si>
  <si>
    <t>extremely faint star, slightly nebulous</t>
  </si>
  <si>
    <t>eF *, slightly nebs</t>
  </si>
  <si>
    <t>IC4667</t>
  </si>
  <si>
    <t>17h46m19s</t>
  </si>
  <si>
    <t>+55h52m32s</t>
  </si>
  <si>
    <t>2 suspected stellar nebulae</t>
  </si>
  <si>
    <t>2 stell neb susp</t>
  </si>
  <si>
    <t>IC4668</t>
  </si>
  <si>
    <t>17h46m59s</t>
  </si>
  <si>
    <t>+57h24m0s</t>
  </si>
  <si>
    <t>extremely faint, star 3 arcmin north</t>
  </si>
  <si>
    <t>eF, * 3' n</t>
  </si>
  <si>
    <t>IC4669</t>
  </si>
  <si>
    <t>17h47m12.8s</t>
  </si>
  <si>
    <t>+61h26m2s</t>
  </si>
  <si>
    <t>extremely faint, small, perhaps extremely faint star involved</t>
  </si>
  <si>
    <t>eF, S, ? eF st inv</t>
  </si>
  <si>
    <t>IC4670</t>
  </si>
  <si>
    <t>17h55m7s</t>
  </si>
  <si>
    <t>-21h44m39s</t>
  </si>
  <si>
    <t>stellar, 12.5 magnitude</t>
  </si>
  <si>
    <t>stellar, 12.5 magn</t>
  </si>
  <si>
    <t>IC4671</t>
  </si>
  <si>
    <t>-10h17m12s</t>
  </si>
  <si>
    <t>Spiral? (edge of plate)</t>
  </si>
  <si>
    <t>Spiral ? (edge of plate)</t>
  </si>
  <si>
    <t>IC4672</t>
  </si>
  <si>
    <t>18h2m14.8s</t>
  </si>
  <si>
    <t>-62h49m56s</t>
  </si>
  <si>
    <t>most extremely faint, extremely small, very extended 45°, considerably brighter middle</t>
  </si>
  <si>
    <t>eeF, eS, vE 45°, cbM</t>
  </si>
  <si>
    <t>IC4673</t>
  </si>
  <si>
    <t>18h3m18.4s</t>
  </si>
  <si>
    <t>-27h6m22s</t>
  </si>
  <si>
    <t>planetary, 13th magnitude, 13th magnitude star 33 arcsec northeast</t>
  </si>
  <si>
    <t>Planetary, 13 mag, * 13 nf 33"</t>
  </si>
  <si>
    <t>IC4674</t>
  </si>
  <si>
    <t>18h8m13.3s</t>
  </si>
  <si>
    <t>-62h23m42s</t>
  </si>
  <si>
    <t>extremely faint, very small, extremely extended 80°, considerably brighter middle, stellar nucleus</t>
  </si>
  <si>
    <t>eF, vS, eE 80°, cbM stell N</t>
  </si>
  <si>
    <t>IC4675</t>
  </si>
  <si>
    <t>18h3m10s</t>
  </si>
  <si>
    <t>-9h15m36s</t>
  </si>
  <si>
    <t>doubtful, not seen a second time</t>
  </si>
  <si>
    <t>Doubtful, not seen a second time</t>
  </si>
  <si>
    <t>IC4676</t>
  </si>
  <si>
    <t>18h2m53s</t>
  </si>
  <si>
    <t>+11h49m23s</t>
  </si>
  <si>
    <t>IC4677</t>
  </si>
  <si>
    <t>17h58m15.7s</t>
  </si>
  <si>
    <t>+66h38m2s</t>
  </si>
  <si>
    <t>very faint, small, IV.37 is 16.5 seconds of time to east</t>
  </si>
  <si>
    <t>vF, S, IV. 37 f 16s.5</t>
  </si>
  <si>
    <t>IC4678</t>
  </si>
  <si>
    <t>18h6m33.4s</t>
  </si>
  <si>
    <t>-23h57m16s</t>
  </si>
  <si>
    <t>bright, small, extended</t>
  </si>
  <si>
    <t>B, S, E</t>
  </si>
  <si>
    <t>IC4679</t>
  </si>
  <si>
    <t>18h11m24.2s</t>
  </si>
  <si>
    <t>-56h15m13s</t>
  </si>
  <si>
    <t>considerably faint, small, round, very much brighter middle; suspected</t>
  </si>
  <si>
    <t>cF, S, R, vmbM, susp</t>
  </si>
  <si>
    <t>IC4680</t>
  </si>
  <si>
    <t>18h13m29.5s</t>
  </si>
  <si>
    <t>-64h28m34s</t>
  </si>
  <si>
    <t>extremely faint, very small, extremely extended 85°, considerably brighter middle</t>
  </si>
  <si>
    <t>eF, vS, eE 85°, cbM</t>
  </si>
  <si>
    <t>IC4681</t>
  </si>
  <si>
    <t>18h8m20s</t>
  </si>
  <si>
    <t>-23h25m55s</t>
  </si>
  <si>
    <t>small nebula or nebulous star</t>
  </si>
  <si>
    <t>S neb or neb *</t>
  </si>
  <si>
    <t>IC4682</t>
  </si>
  <si>
    <t>18h16m25.9s</t>
  </si>
  <si>
    <t>-71h34m55s</t>
  </si>
  <si>
    <t>very faint, considerably small, considerably extended 140°, stellar nucleus</t>
  </si>
  <si>
    <t>vF, cS, cE 140°, stell N</t>
  </si>
  <si>
    <t>IC4683</t>
  </si>
  <si>
    <t>-26h14m0s</t>
  </si>
  <si>
    <t>IC4684</t>
  </si>
  <si>
    <t>18h9m8.6s</t>
  </si>
  <si>
    <t>-23h26m9s</t>
  </si>
  <si>
    <t>IC4685</t>
  </si>
  <si>
    <t>18h9m17.4s</t>
  </si>
  <si>
    <t>-23h59m14s</t>
  </si>
  <si>
    <t>7.5 magnitude star in a large, diffuse nebula</t>
  </si>
  <si>
    <t>* 7.5 in L, dif neb</t>
  </si>
  <si>
    <t>IC4686</t>
  </si>
  <si>
    <t>18h13m38.7s</t>
  </si>
  <si>
    <t>-57h43m56s</t>
  </si>
  <si>
    <t>IC4687</t>
  </si>
  <si>
    <t>18h13m39.4s</t>
  </si>
  <si>
    <t>-57h43m32s</t>
  </si>
  <si>
    <t>IC4688</t>
  </si>
  <si>
    <t>18h8m11.9s</t>
  </si>
  <si>
    <t>+11h42m43s</t>
  </si>
  <si>
    <t>very faint, pretty small, diffuse, 12th magnitude star close to east</t>
  </si>
  <si>
    <t>vF, pS, dif, * 12 close f</t>
  </si>
  <si>
    <t>IC4689</t>
  </si>
  <si>
    <t>18h13m40.3s</t>
  </si>
  <si>
    <t>-57h44m54s</t>
  </si>
  <si>
    <t>IC4690</t>
  </si>
  <si>
    <t>9.5 magnitude star in a nebula, extended southwest-northeast</t>
  </si>
  <si>
    <t>* 9.5 in neb, E spnf</t>
  </si>
  <si>
    <t>IC4691</t>
  </si>
  <si>
    <t>18h8m45.6s</t>
  </si>
  <si>
    <t>+11h49m44s</t>
  </si>
  <si>
    <t>faint, small, irregular figure, 1 or 2 faint stars involved</t>
  </si>
  <si>
    <t>F, S, iF, 1 or 2 F st inv</t>
  </si>
  <si>
    <t>IC4692</t>
  </si>
  <si>
    <t>18h14m50s</t>
  </si>
  <si>
    <t>-58h41m39s</t>
  </si>
  <si>
    <t>faint, small, irregular figure, suspected</t>
  </si>
  <si>
    <t>F, S, iF, susp</t>
  </si>
  <si>
    <t>IC4693</t>
  </si>
  <si>
    <t>18h9m10.8s</t>
  </si>
  <si>
    <t>+17h20m52s</t>
  </si>
  <si>
    <t>extremely faint, small, brighter middle, several extremely faint stars involved</t>
  </si>
  <si>
    <t>eF, S, bM, sev eF st inv</t>
  </si>
  <si>
    <t>IC4694</t>
  </si>
  <si>
    <t>18h15m27.2s</t>
  </si>
  <si>
    <t>-58h12m30s</t>
  </si>
  <si>
    <t>faint, small, extremely extended 20°, a little brighter middle</t>
  </si>
  <si>
    <t>F, S, eE 20°, lbM</t>
  </si>
  <si>
    <t>IC4695</t>
  </si>
  <si>
    <t>18h17m23.8s</t>
  </si>
  <si>
    <t>-58h55m32s</t>
  </si>
  <si>
    <t>extremely faint, very small, round, brighter middle, several stars near; suspected</t>
  </si>
  <si>
    <t>eF, vS, R, bM, sev st nr, susp</t>
  </si>
  <si>
    <t>IC4696</t>
  </si>
  <si>
    <t>18h20m18s</t>
  </si>
  <si>
    <t>-64h43m58s</t>
  </si>
  <si>
    <t>nebula, suspected</t>
  </si>
  <si>
    <t>neb, susp</t>
  </si>
  <si>
    <t>IC4697</t>
  </si>
  <si>
    <t>18h12m27s</t>
  </si>
  <si>
    <t>+25h25m38s</t>
  </si>
  <si>
    <t>IC4698</t>
  </si>
  <si>
    <t>18h21m0s</t>
  </si>
  <si>
    <t>-63h20m51s</t>
  </si>
  <si>
    <t>extremely faint, very small, extremely extended 45°, stellar nucleus</t>
  </si>
  <si>
    <t>eF, vS, eE 45°, stell N</t>
  </si>
  <si>
    <t>IC4699</t>
  </si>
  <si>
    <t>18h18m32s</t>
  </si>
  <si>
    <t>-45h59m0s</t>
  </si>
  <si>
    <t>IC4700</t>
  </si>
  <si>
    <t>9.4 magnitude star in a dense nebula</t>
  </si>
  <si>
    <t>* 9.4 in dense neb</t>
  </si>
  <si>
    <t>IC4701</t>
  </si>
  <si>
    <t>18h16m0s</t>
  </si>
  <si>
    <t>-16h38m0s</t>
  </si>
  <si>
    <t>extremely large, connected with cloud IC 4715</t>
  </si>
  <si>
    <t>eL, conn with cloud I.C. 4715</t>
  </si>
  <si>
    <t>IC4702</t>
  </si>
  <si>
    <t>18h23m3.9s</t>
  </si>
  <si>
    <t>-59h14m20s</t>
  </si>
  <si>
    <t>extremely faint, extremely small, star in disc, ring suspected</t>
  </si>
  <si>
    <t>eF, eS, * in disc, ring susp</t>
  </si>
  <si>
    <t>IC4703</t>
  </si>
  <si>
    <t>18h18m0s</t>
  </si>
  <si>
    <t>-13h50m0s</t>
  </si>
  <si>
    <t>bright, extremely large, cluster M16 involved</t>
  </si>
  <si>
    <t>B, eL, Cl M. 16 inv</t>
  </si>
  <si>
    <t>IC4704</t>
  </si>
  <si>
    <t>18h27m53.7s</t>
  </si>
  <si>
    <t>-71h36m33s</t>
  </si>
  <si>
    <t>IC4705</t>
  </si>
  <si>
    <t>18h28m10.4s</t>
  </si>
  <si>
    <t>-71h41m35s</t>
  </si>
  <si>
    <t>IC4706</t>
  </si>
  <si>
    <t>18h19m36s</t>
  </si>
  <si>
    <t>-16h1m54s</t>
  </si>
  <si>
    <t>9.2 magnitude star in small nebula (both this and IC 4707 are connected with M17)</t>
  </si>
  <si>
    <t>* 9.2 in S neb, conn with M 17</t>
  </si>
  <si>
    <t>IC4707</t>
  </si>
  <si>
    <t>18h19m54s</t>
  </si>
  <si>
    <t>-16h0m6s</t>
  </si>
  <si>
    <t>9.4 magnitude star in small nebula (both this and IC 4706 are connected with M17)</t>
  </si>
  <si>
    <t>* 9.4 in S neb, conn with M 17</t>
  </si>
  <si>
    <t>IC4708</t>
  </si>
  <si>
    <t>18h13m46.1s</t>
  </si>
  <si>
    <t>+61h9m25s</t>
  </si>
  <si>
    <t>extremely faint, extremely small, very difficult, (NGC) 6617 near</t>
  </si>
  <si>
    <t>eF, eS, v diffic, 6617 nr</t>
  </si>
  <si>
    <t>IC4709</t>
  </si>
  <si>
    <t>18h24m19.4s</t>
  </si>
  <si>
    <t>-56h22m7s</t>
  </si>
  <si>
    <t>extremely faint, very small, very extended 0°, stellar nucleus; suspected</t>
  </si>
  <si>
    <t>eF, vS, vE 0°, stell N, susp</t>
  </si>
  <si>
    <t>IC4710</t>
  </si>
  <si>
    <t>18h28m38.8s</t>
  </si>
  <si>
    <t>-66h58m59s</t>
  </si>
  <si>
    <t>IC4711</t>
  </si>
  <si>
    <t>18h28m6.7s</t>
  </si>
  <si>
    <t>-64h56m40s</t>
  </si>
  <si>
    <t>extremely faint, extremely small, extremely extended 125°, stellar nucleus</t>
  </si>
  <si>
    <t>eF, eS, eE 125°, stell N</t>
  </si>
  <si>
    <t>IC4712</t>
  </si>
  <si>
    <t>18h31m6.7s</t>
  </si>
  <si>
    <t>-71h41m38s</t>
  </si>
  <si>
    <t>IC4713</t>
  </si>
  <si>
    <t>18h29m58.9s</t>
  </si>
  <si>
    <t>-67h13m28s</t>
  </si>
  <si>
    <t>IC4714</t>
  </si>
  <si>
    <t>18h30m55.7s</t>
  </si>
  <si>
    <t>-66h39m10s</t>
  </si>
  <si>
    <t>IC4715</t>
  </si>
  <si>
    <t>18h18m48s</t>
  </si>
  <si>
    <t>-18h33m0s</t>
  </si>
  <si>
    <t>most extremely large cloud of stars and nebulae</t>
  </si>
  <si>
    <t>eeL cloud of st and neb</t>
  </si>
  <si>
    <t>IC4716</t>
  </si>
  <si>
    <t>18h32m45s</t>
  </si>
  <si>
    <t>-56h57m43s</t>
  </si>
  <si>
    <t>most extremely faint, extremely small, a little extended 90°, suspected</t>
  </si>
  <si>
    <t>eeF, eS, lE 90°, susp</t>
  </si>
  <si>
    <t>IC4717</t>
  </si>
  <si>
    <t>18h33m17.1s</t>
  </si>
  <si>
    <t>-57h58m30s</t>
  </si>
  <si>
    <t>faint, small, extremely extended 95°, stellar nucleus</t>
  </si>
  <si>
    <t>F, S, eE 95°, stell N</t>
  </si>
  <si>
    <t>IC4718</t>
  </si>
  <si>
    <t>18h33m50s</t>
  </si>
  <si>
    <t>-60h7m43s</t>
  </si>
  <si>
    <t>considerably bright, small, extended 125°, bright stellar nucleus</t>
  </si>
  <si>
    <t>cB, S, E 125°, B stell N</t>
  </si>
  <si>
    <t>IC4719</t>
  </si>
  <si>
    <t>18h33m11.7s</t>
  </si>
  <si>
    <t>-56h43m58s</t>
  </si>
  <si>
    <t>extremely faint, very small, 2 patches, suspected</t>
  </si>
  <si>
    <t>eF, vS, 2 patches, susp</t>
  </si>
  <si>
    <t>IC4720</t>
  </si>
  <si>
    <t>18h33m32.7s</t>
  </si>
  <si>
    <t>-58h24m17s</t>
  </si>
  <si>
    <t>considerably faint, small, extremely extended 165°, considerably brighter middle</t>
  </si>
  <si>
    <t>cF, S, eE 165°, cbM</t>
  </si>
  <si>
    <t>IC4721</t>
  </si>
  <si>
    <t>18h34m24.7s</t>
  </si>
  <si>
    <t>-58h29m50s</t>
  </si>
  <si>
    <t>faint, considerably large, extended 150°</t>
  </si>
  <si>
    <t>F, cL, E 150°</t>
  </si>
  <si>
    <t>IC4722</t>
  </si>
  <si>
    <t>18h34m31.3s</t>
  </si>
  <si>
    <t>-57h47m36s</t>
  </si>
  <si>
    <t>faint, very small, 2 branch spiral</t>
  </si>
  <si>
    <t>F, vS, 2 branch spir</t>
  </si>
  <si>
    <t>IC4723</t>
  </si>
  <si>
    <t>18h35m56.2s</t>
  </si>
  <si>
    <t>-63h22m36s</t>
  </si>
  <si>
    <t>IC4724</t>
  </si>
  <si>
    <t>18h38m40.3s</t>
  </si>
  <si>
    <t>-70h7m32s</t>
  </si>
  <si>
    <t>extremely faint, extremely small, considerably extended 170°</t>
  </si>
  <si>
    <t>eF, eS, cE 170°</t>
  </si>
  <si>
    <t>IC4725</t>
  </si>
  <si>
    <t>18h31m45s</t>
  </si>
  <si>
    <t>-19h7m12s</t>
  </si>
  <si>
    <t>IC4726</t>
  </si>
  <si>
    <t>18h36m58.5s</t>
  </si>
  <si>
    <t>-62h51m15s</t>
  </si>
  <si>
    <t>extremely faint, very small, round, considerably faint star 0.5 arcmin northeast</t>
  </si>
  <si>
    <t>eF, vS, R, eF * 0'.5 nf</t>
  </si>
  <si>
    <t>IC4727</t>
  </si>
  <si>
    <t>18h37m55.8s</t>
  </si>
  <si>
    <t>-62h42m1s</t>
  </si>
  <si>
    <t>IC4728</t>
  </si>
  <si>
    <t>18h37m57s</t>
  </si>
  <si>
    <t>-62h31m51s</t>
  </si>
  <si>
    <t>extremely faint, small, considerably extended 170°, stellar nucleus</t>
  </si>
  <si>
    <t>eF, S, cE 170°, stell N</t>
  </si>
  <si>
    <t>IC4729</t>
  </si>
  <si>
    <t>18h39m56.3s</t>
  </si>
  <si>
    <t>-67h25m34s</t>
  </si>
  <si>
    <t>vF, S, R, stell N</t>
  </si>
  <si>
    <t>IC4730</t>
  </si>
  <si>
    <t>18h38m50.3s</t>
  </si>
  <si>
    <t>-63h21m1s</t>
  </si>
  <si>
    <t>most extremely faint, extremely small, extremely extended 0°, 9th magnitude star 2 arcmin south</t>
  </si>
  <si>
    <t>eeF, eS, eE 0°, * 9 s 2'</t>
  </si>
  <si>
    <t>IC4731</t>
  </si>
  <si>
    <t>18h38m42.7s</t>
  </si>
  <si>
    <t>-62h56m36s</t>
  </si>
  <si>
    <t>very faint, very small, extremely extended 88°, stellar nucleus</t>
  </si>
  <si>
    <t>vF, vS, eE 88°, stell N</t>
  </si>
  <si>
    <t>IC4732</t>
  </si>
  <si>
    <t>18h33m54.6s</t>
  </si>
  <si>
    <t>-22h38m39s</t>
  </si>
  <si>
    <t>IC4733</t>
  </si>
  <si>
    <t>18h26m38.2s</t>
  </si>
  <si>
    <t>+64h58m1s</t>
  </si>
  <si>
    <t>IC4734</t>
  </si>
  <si>
    <t>18h38m25.4s</t>
  </si>
  <si>
    <t>-57h29m26s</t>
  </si>
  <si>
    <t>very faint, very small, a little extended 130°</t>
  </si>
  <si>
    <t>vF, vS, lE 130°</t>
  </si>
  <si>
    <t>IC4735</t>
  </si>
  <si>
    <t>18h39m50s</t>
  </si>
  <si>
    <t>-62h57m21s</t>
  </si>
  <si>
    <t>IC4736</t>
  </si>
  <si>
    <t>18h38m39.8s</t>
  </si>
  <si>
    <t>-57h53m35s</t>
  </si>
  <si>
    <t>IC4737</t>
  </si>
  <si>
    <t>18h39m58.4s</t>
  </si>
  <si>
    <t>-62h35m50s</t>
  </si>
  <si>
    <t>extremely faint, very small, considerably extended 10°, between 2 faint stars</t>
  </si>
  <si>
    <t>eF, vS, cE 10°, bet 2 F st</t>
  </si>
  <si>
    <t>IC4738</t>
  </si>
  <si>
    <t>18h40m27.3s</t>
  </si>
  <si>
    <t>-61h54m6s</t>
  </si>
  <si>
    <t>most extremely faint, extremely small, extremely faint star 0.5 arcmin southeast</t>
  </si>
  <si>
    <t>eeF, eS, eF * sf 0'.5</t>
  </si>
  <si>
    <t>IC4739</t>
  </si>
  <si>
    <t>18h40m51.7s</t>
  </si>
  <si>
    <t>-61h54m4s</t>
  </si>
  <si>
    <t>most extremely faint, extremely small, extremely faint star involved</t>
  </si>
  <si>
    <t>eeF, eS, eF * inv</t>
  </si>
  <si>
    <t>IC4740</t>
  </si>
  <si>
    <t>18h43m0.5s</t>
  </si>
  <si>
    <t>-68h21m36s</t>
  </si>
  <si>
    <t>most extremely faint, very small, round, a little brighter middle, 2 extremely faint stars near</t>
  </si>
  <si>
    <t>eeF, vS, R, lbM, 2 eF st nr</t>
  </si>
  <si>
    <t>IC4741</t>
  </si>
  <si>
    <t>18h41m43.6s</t>
  </si>
  <si>
    <t>-63h56m51s</t>
  </si>
  <si>
    <t>considerably faint, very small, a little extended 20°, stellar nucleus, 4 faint stars involved</t>
  </si>
  <si>
    <t>vF, vS, lE 20°, stell N, 4 F st inv</t>
  </si>
  <si>
    <t>IC4742</t>
  </si>
  <si>
    <t>18h41m52.2s</t>
  </si>
  <si>
    <t>-63h51m42s</t>
  </si>
  <si>
    <t>considerably faint, very small, round, brighter middle, faint star involved</t>
  </si>
  <si>
    <t>cF, vS, R, bM, F * inv</t>
  </si>
  <si>
    <t>IC4743</t>
  </si>
  <si>
    <t>18h41m29.3s</t>
  </si>
  <si>
    <t>-61h46m19s</t>
  </si>
  <si>
    <t>IC4744</t>
  </si>
  <si>
    <t>18h41m55.1s</t>
  </si>
  <si>
    <t>-63h13m24s</t>
  </si>
  <si>
    <t>most extremely faint, extremely small, round, extremely faint star involved</t>
  </si>
  <si>
    <t>eeF, eS, R, eF * inv</t>
  </si>
  <si>
    <t>IC4745</t>
  </si>
  <si>
    <t>18h42m35.7s</t>
  </si>
  <si>
    <t>-64h56m35s</t>
  </si>
  <si>
    <t>extremely faint, very small, very faint star 0.4 arcmin west</t>
  </si>
  <si>
    <t>eF, vS, vF * p 0'.4</t>
  </si>
  <si>
    <t>IC4746</t>
  </si>
  <si>
    <t>18h45m55s</t>
  </si>
  <si>
    <t>-72h40m16s</t>
  </si>
  <si>
    <t>IC4747</t>
  </si>
  <si>
    <t>18h45m57.7s</t>
  </si>
  <si>
    <t>-72h37m47s</t>
  </si>
  <si>
    <t>very faint, extremely small, considerably extended 75°</t>
  </si>
  <si>
    <t>vF, eS, cE 75°</t>
  </si>
  <si>
    <t>IC4748</t>
  </si>
  <si>
    <t>18h42m45.9s</t>
  </si>
  <si>
    <t>-64h4m20s</t>
  </si>
  <si>
    <t>extremely faint, very small, round, faint star 1 arcmin southeast</t>
  </si>
  <si>
    <t>eF, vS, R, F * sf 1'</t>
  </si>
  <si>
    <t>IC4749</t>
  </si>
  <si>
    <t>18h42m49.4s</t>
  </si>
  <si>
    <t>-63h12m32s</t>
  </si>
  <si>
    <t>most extremely faint, extremely small, 3 faint stars near</t>
  </si>
  <si>
    <t>eeF, eS, 3 F st nr</t>
  </si>
  <si>
    <t>IC4750</t>
  </si>
  <si>
    <t>18h43m2.4s</t>
  </si>
  <si>
    <t>-62h58m16s</t>
  </si>
  <si>
    <t>most extremely faint, extremely small, round, 11th magnitude star 0.5 arcmin to northwest</t>
  </si>
  <si>
    <t>eeF, eS, R, * 11 np 0'.5</t>
  </si>
  <si>
    <t>IC4751</t>
  </si>
  <si>
    <t>18h43m19.5s</t>
  </si>
  <si>
    <t>-62h6m42s</t>
  </si>
  <si>
    <t>IC4752</t>
  </si>
  <si>
    <t xml:space="preserve">Sa? </t>
  </si>
  <si>
    <t>18h43m47.7s</t>
  </si>
  <si>
    <t>-64h4m54s</t>
  </si>
  <si>
    <t>extremely faint, very small, round, very faint star 1 arcmin southeast</t>
  </si>
  <si>
    <t>eF, vS, R, vF * sf 1'</t>
  </si>
  <si>
    <t>IC4753</t>
  </si>
  <si>
    <t>18h43m33s</t>
  </si>
  <si>
    <t>-62h6m28s</t>
  </si>
  <si>
    <t>IC4754</t>
  </si>
  <si>
    <t>18h44m0.4s</t>
  </si>
  <si>
    <t>-61h59m21s</t>
  </si>
  <si>
    <t>extremely faint, pretty small, round, stellar nucleus, perhaps ring</t>
  </si>
  <si>
    <t>eF, pS, R, stell N, ? ring</t>
  </si>
  <si>
    <t>IC4755</t>
  </si>
  <si>
    <t>18h45m0.9s</t>
  </si>
  <si>
    <t>-63h41m30s</t>
  </si>
  <si>
    <t>very faint, very small, extremely extended 90°, stellar nucleus</t>
  </si>
  <si>
    <t>vF, vS, eE 90°, stell N</t>
  </si>
  <si>
    <t>IC4756</t>
  </si>
  <si>
    <t>格拉夫星团</t>
  </si>
  <si>
    <t>18h38m54s</t>
  </si>
  <si>
    <t>+5h26m0s</t>
  </si>
  <si>
    <t>cluster, compressed</t>
  </si>
  <si>
    <t>Cl, C</t>
  </si>
  <si>
    <t>IC4757</t>
  </si>
  <si>
    <t>18h43m56s</t>
  </si>
  <si>
    <t>-57h10m3s</t>
  </si>
  <si>
    <t>extremely faint, extremely small, considerably extended 50°</t>
  </si>
  <si>
    <t>eF, eS, cE 50°</t>
  </si>
  <si>
    <t>IC4758</t>
  </si>
  <si>
    <t>18h46m18s</t>
  </si>
  <si>
    <t>-65h45m24s</t>
  </si>
  <si>
    <t>IC4759</t>
  </si>
  <si>
    <t>18h45m41.2s</t>
  </si>
  <si>
    <t>-63h5m11s</t>
  </si>
  <si>
    <t>IC4760</t>
  </si>
  <si>
    <t>18h45m45.9s</t>
  </si>
  <si>
    <t>-62h57m29s</t>
  </si>
  <si>
    <t>extremely faint, very small, round, faint star 1 arcmin northwest</t>
  </si>
  <si>
    <t>eF, vS, R, F * np 1'</t>
  </si>
  <si>
    <t>IC4761</t>
  </si>
  <si>
    <t>18h43m55.5s</t>
  </si>
  <si>
    <t>-52h51m12s</t>
  </si>
  <si>
    <t>very faint, brighter middle, doubtful</t>
  </si>
  <si>
    <t>vF, bM, doubtful</t>
  </si>
  <si>
    <t>IC4762</t>
  </si>
  <si>
    <t>18h32m28.7s</t>
  </si>
  <si>
    <t>+67h51m30s</t>
  </si>
  <si>
    <t>very faint, extremely small, cluster or a star with nebulosity</t>
  </si>
  <si>
    <t>vF, eS, Cl or * with neb</t>
  </si>
  <si>
    <t>IC4763</t>
  </si>
  <si>
    <t>very faint, perhaps nebulous star; (NGC) 6677 near</t>
  </si>
  <si>
    <t>vF, ? neb *, 6677 nr</t>
  </si>
  <si>
    <t>IC4764</t>
  </si>
  <si>
    <t>18h47m7.6s</t>
  </si>
  <si>
    <t>-63h29m4s</t>
  </si>
  <si>
    <t>most extremely faint, extremely small, brighter middle</t>
  </si>
  <si>
    <t>eeF, eS, bM</t>
  </si>
  <si>
    <t>IC4765</t>
  </si>
  <si>
    <t>18h47m18.1s</t>
  </si>
  <si>
    <t>-63h19m52s</t>
  </si>
  <si>
    <t>IC4766</t>
  </si>
  <si>
    <t>18h47m35.6s</t>
  </si>
  <si>
    <t>-63h17m32s</t>
  </si>
  <si>
    <t>IC4767</t>
  </si>
  <si>
    <t>18h47m41.8s</t>
  </si>
  <si>
    <t>-63h24m19s</t>
  </si>
  <si>
    <t>extremely faint, extremely small, much extended 25°, considerably brighter middle</t>
  </si>
  <si>
    <t>eF, eS, mE 25°, cbM</t>
  </si>
  <si>
    <t>IC4768</t>
  </si>
  <si>
    <t>18h41m45s</t>
  </si>
  <si>
    <t>-5h31m24s</t>
  </si>
  <si>
    <t>cluster, double, stars scattered</t>
  </si>
  <si>
    <t>Cl, D, st sc</t>
  </si>
  <si>
    <t>IC4769</t>
  </si>
  <si>
    <t>18h47m44s</t>
  </si>
  <si>
    <t>-63h9m26s</t>
  </si>
  <si>
    <t>extremely faint, very small, much extended 170°, considerably brighter middle</t>
  </si>
  <si>
    <t>eF, vS, mE 170°, cbM</t>
  </si>
  <si>
    <t>IC4770</t>
  </si>
  <si>
    <t>18h48m10.3s</t>
  </si>
  <si>
    <t>-63h23m1s</t>
  </si>
  <si>
    <t>IC4771</t>
  </si>
  <si>
    <t>18h48m23.8s</t>
  </si>
  <si>
    <t>-63h14m52s</t>
  </si>
  <si>
    <t>IC4772</t>
  </si>
  <si>
    <t>18h39m56.4s</t>
  </si>
  <si>
    <t>+40h1m37s</t>
  </si>
  <si>
    <t>extremely faint, extremely small; (NGC) 6685 two seconds of time east, 2.7 arcmin south</t>
  </si>
  <si>
    <t>eF, eS, 6685 f 2s, 2'.7 s</t>
  </si>
  <si>
    <t>IC4773</t>
  </si>
  <si>
    <t>18h51m21.5s</t>
  </si>
  <si>
    <t>-69h55m34s</t>
  </si>
  <si>
    <t>eF, dif</t>
  </si>
  <si>
    <t>IC4774</t>
  </si>
  <si>
    <t>18h48m10.4s</t>
  </si>
  <si>
    <t>-57h56m8s</t>
  </si>
  <si>
    <t>extremely faint, small, irregular figure, much brighter middle</t>
  </si>
  <si>
    <t>eF, S, iF, mbM</t>
  </si>
  <si>
    <t>IC4775</t>
  </si>
  <si>
    <t>18h48m26.3s</t>
  </si>
  <si>
    <t>-57h11m1s</t>
  </si>
  <si>
    <t>extremely faint, extremely small, much extended 15°, suspected</t>
  </si>
  <si>
    <t>eF, eS, mE 15°, susp</t>
  </si>
  <si>
    <t>IC4776</t>
  </si>
  <si>
    <t>18h45m50.7s</t>
  </si>
  <si>
    <t>-33h20m32s</t>
  </si>
  <si>
    <t>IC4777</t>
  </si>
  <si>
    <t>18h48m11.1s</t>
  </si>
  <si>
    <t>-53h8m49s</t>
  </si>
  <si>
    <t>very faint, planetary, a little extended</t>
  </si>
  <si>
    <t>vF, planet., lE</t>
  </si>
  <si>
    <t>IC4778</t>
  </si>
  <si>
    <t>18h50m0.4s</t>
  </si>
  <si>
    <t>-61h43m9s</t>
  </si>
  <si>
    <t>considerably faint, very small, considerably extended 35°</t>
  </si>
  <si>
    <t>cF, vS, cE 35°</t>
  </si>
  <si>
    <t>IC4779</t>
  </si>
  <si>
    <t>18h50m30.4s</t>
  </si>
  <si>
    <t>-63h0m47s</t>
  </si>
  <si>
    <t>most extremely faint, extremely small, extremely faint star 0.3 arcmin to west</t>
  </si>
  <si>
    <t>eeF, eS, eF * p 0'.3</t>
  </si>
  <si>
    <t>IC4780</t>
  </si>
  <si>
    <t>18h49m56.5s</t>
  </si>
  <si>
    <t>-59h15m13s</t>
  </si>
  <si>
    <t>extremely faint, very small, a little extended 120°</t>
  </si>
  <si>
    <t>eF, vS, lE 120°</t>
  </si>
  <si>
    <t>IC4781</t>
  </si>
  <si>
    <t>18h51m37.7s</t>
  </si>
  <si>
    <t>-62h47m34s</t>
  </si>
  <si>
    <t>3 most extremely faint stars in nebulosity</t>
  </si>
  <si>
    <t>3 eeF st in neb</t>
  </si>
  <si>
    <t>IC4782</t>
  </si>
  <si>
    <t>18h50m54.4s</t>
  </si>
  <si>
    <t>-55h29m28s</t>
  </si>
  <si>
    <t>most extremely faint, extremely small, suspected</t>
  </si>
  <si>
    <t>eeF, eS, susp</t>
  </si>
  <si>
    <t>IC4783</t>
  </si>
  <si>
    <t>18h51m33.5s</t>
  </si>
  <si>
    <t>-58h48m48s</t>
  </si>
  <si>
    <t>IC4784</t>
  </si>
  <si>
    <t>18h52m48s</t>
  </si>
  <si>
    <t>-63h15m34s</t>
  </si>
  <si>
    <t>IC4785</t>
  </si>
  <si>
    <t>18h52m55.2s</t>
  </si>
  <si>
    <t>-59h15m18s</t>
  </si>
  <si>
    <t>extremely faint, very small, irregular figure, stellar nucleus</t>
  </si>
  <si>
    <t>eF, vS, iF, stell N</t>
  </si>
  <si>
    <t>IC4786</t>
  </si>
  <si>
    <t>18h52m44.8s</t>
  </si>
  <si>
    <t>-56h41m42s</t>
  </si>
  <si>
    <t>most extremely faint, extremely small, much extended 0°</t>
  </si>
  <si>
    <t>eeF, eS, mE 0°</t>
  </si>
  <si>
    <t>IC4787</t>
  </si>
  <si>
    <t>18h56m3.9s</t>
  </si>
  <si>
    <t>-68h40m57s</t>
  </si>
  <si>
    <t>extremely faint, diffuse</t>
  </si>
  <si>
    <t>IC4788</t>
  </si>
  <si>
    <t>18h54m40.9s</t>
  </si>
  <si>
    <t>-63h27m9s</t>
  </si>
  <si>
    <t>most extremely faint, extremely small, extremely extended 35°</t>
  </si>
  <si>
    <t>eeF, eS, eE 35°</t>
  </si>
  <si>
    <t>IC4789</t>
  </si>
  <si>
    <t>18h56m18.4s</t>
  </si>
  <si>
    <t>-68h34m2s</t>
  </si>
  <si>
    <t>IC4790</t>
  </si>
  <si>
    <t>18h56m32.2s</t>
  </si>
  <si>
    <t>-64h55m42s</t>
  </si>
  <si>
    <t>IC4791</t>
  </si>
  <si>
    <t>18h49m1.2s</t>
  </si>
  <si>
    <t>+19h19m54s</t>
  </si>
  <si>
    <t>nebula; 6th magnitude star 2 arcmin to east</t>
  </si>
  <si>
    <t>Neb, * 6 f 2'</t>
  </si>
  <si>
    <t>IC4792</t>
  </si>
  <si>
    <t>18h55m42s</t>
  </si>
  <si>
    <t>-56h24m14s</t>
  </si>
  <si>
    <t>most extremely faint, extremely small, much extended 160°, between 2 stars, suspected</t>
  </si>
  <si>
    <t>eeF, eS, mE 160°, bet 2 st, susp</t>
  </si>
  <si>
    <t>IC4793</t>
  </si>
  <si>
    <t>18h56m55.7s</t>
  </si>
  <si>
    <t>-61h23m59s</t>
  </si>
  <si>
    <t>IC4794</t>
  </si>
  <si>
    <t>18h57m9.7s</t>
  </si>
  <si>
    <t>-62h5m25s</t>
  </si>
  <si>
    <t>IC4795</t>
  </si>
  <si>
    <t>18h57m16.7s</t>
  </si>
  <si>
    <t>-61h36m32s</t>
  </si>
  <si>
    <t>most extremely faint, extremely small, extremely extended 40°</t>
  </si>
  <si>
    <t>eeF, eS, eE 40°</t>
  </si>
  <si>
    <t>IC4796</t>
  </si>
  <si>
    <t>18h56m27.9s</t>
  </si>
  <si>
    <t>-54h12m48s</t>
  </si>
  <si>
    <t>14th magnitude, brighter middle, near edge of plate</t>
  </si>
  <si>
    <t>14 magn, bM, near edge of plate</t>
  </si>
  <si>
    <t>IC4797</t>
  </si>
  <si>
    <t>18h56m29.8s</t>
  </si>
  <si>
    <t>-54h18m17s</t>
  </si>
  <si>
    <t>IC4798</t>
  </si>
  <si>
    <t>18h58m21s</t>
  </si>
  <si>
    <t>-62h7m4s</t>
  </si>
  <si>
    <t>IC4799</t>
  </si>
  <si>
    <t>18h58m56.9s</t>
  </si>
  <si>
    <t>-63h55m50s</t>
  </si>
  <si>
    <t>very faint, small, round, stellar nucleus, ring, 2 wisps</t>
  </si>
  <si>
    <t>vF, S, R, stell N, ring 2 wisps</t>
  </si>
  <si>
    <t>IC4800</t>
  </si>
  <si>
    <t>18h58m43.5s</t>
  </si>
  <si>
    <t>-63h8m21s</t>
  </si>
  <si>
    <t>very faint, small, stellar nucleus, oval ring, 2 wisps</t>
  </si>
  <si>
    <t>vF, S, stell N, oval ring, 2 wisps</t>
  </si>
  <si>
    <t>IC4801</t>
  </si>
  <si>
    <t>18h59m38.3s</t>
  </si>
  <si>
    <t>-64h40m29s</t>
  </si>
  <si>
    <t>IC4802</t>
  </si>
  <si>
    <t>18h55m7.2s</t>
  </si>
  <si>
    <t>-22h41m51s</t>
  </si>
  <si>
    <t>nebulous 13th magnitude star, 15 arcsec northeast of III 143</t>
  </si>
  <si>
    <t>Neb * 13, 15" nf III 143</t>
  </si>
  <si>
    <t>IC4803</t>
  </si>
  <si>
    <t>19h0m39.5s</t>
  </si>
  <si>
    <t>-62h3m54s</t>
  </si>
  <si>
    <t>IC4804</t>
  </si>
  <si>
    <t>19h1m7.5s</t>
  </si>
  <si>
    <t>-61h49m59s</t>
  </si>
  <si>
    <t>most extremely faint, extremely small, considerably extended</t>
  </si>
  <si>
    <t>eeF, eS, cE</t>
  </si>
  <si>
    <t>IC4805</t>
  </si>
  <si>
    <t>19h2m1.4s</t>
  </si>
  <si>
    <t>-63h2m51s</t>
  </si>
  <si>
    <t>extremely faint, very small, extremely extended 25°, brighter middle</t>
  </si>
  <si>
    <t>eF, vS, eE 25°, bM</t>
  </si>
  <si>
    <t>IC4806</t>
  </si>
  <si>
    <t>19h1m30.7s</t>
  </si>
  <si>
    <t>-57h31m57s</t>
  </si>
  <si>
    <t>most extremely faint, extremely small, extremely extended 10°, 2 stars very near, suspected</t>
  </si>
  <si>
    <t>eeF, eS, eE 10°, 2 st v nr, susp</t>
  </si>
  <si>
    <t>IC4807</t>
  </si>
  <si>
    <t>19h2m17.8s</t>
  </si>
  <si>
    <t>-56h55m48s</t>
  </si>
  <si>
    <t>very faint, very small, a little extended, planetary?, suspected</t>
  </si>
  <si>
    <t>vF, vS, lE, planetary ?, susp</t>
  </si>
  <si>
    <t>IC4808</t>
  </si>
  <si>
    <t>-45h18m51s</t>
  </si>
  <si>
    <t>very faint, considerably large, considerably extended 45°, a little brighter middle, suspected</t>
  </si>
  <si>
    <t>vF, cL, cE 45°, lbM, susp</t>
  </si>
  <si>
    <t>IC4809</t>
  </si>
  <si>
    <t>19h4m5.3s</t>
  </si>
  <si>
    <t>-62h11m39s</t>
  </si>
  <si>
    <t>extremely faint, very small, a little extended 20°</t>
  </si>
  <si>
    <t>eF, vS, lE 20°</t>
  </si>
  <si>
    <t>IC4810</t>
  </si>
  <si>
    <t>19h3m0.1s</t>
  </si>
  <si>
    <t>-56h9m37s</t>
  </si>
  <si>
    <t>extremely faint, small, extremely extended 140°, a little brighter middle, suspected</t>
  </si>
  <si>
    <t>eF, S, eE 140°, lbM, susp</t>
  </si>
  <si>
    <t>IC4811</t>
  </si>
  <si>
    <t>19h5m44.5s</t>
  </si>
  <si>
    <t>-67h8m3s</t>
  </si>
  <si>
    <t>most extremely faint, extremely small, round, almost stellar</t>
  </si>
  <si>
    <t>eeF, eS, R, alm stell</t>
  </si>
  <si>
    <t>IC4812</t>
  </si>
  <si>
    <t>19h1m3.5s</t>
  </si>
  <si>
    <t>-37h3m37s</t>
  </si>
  <si>
    <t>7th magnitude star involved in an extremely large nebula</t>
  </si>
  <si>
    <t>* 7 inv in eL neb</t>
  </si>
  <si>
    <t>IC4813</t>
  </si>
  <si>
    <t>19h5m41.8s</t>
  </si>
  <si>
    <t>-66h31m22s</t>
  </si>
  <si>
    <t>IC4814</t>
  </si>
  <si>
    <t>19h4m59.4s</t>
  </si>
  <si>
    <t>-58h34m47s</t>
  </si>
  <si>
    <t>most extremely faint, considerably small, considerably extended 100°, suspected</t>
  </si>
  <si>
    <t>eeF, cS, cE 100°, susp</t>
  </si>
  <si>
    <t>IC4815</t>
  </si>
  <si>
    <t>19h6m50.8s</t>
  </si>
  <si>
    <t>-61h42m4s</t>
  </si>
  <si>
    <t>IC4816</t>
  </si>
  <si>
    <t>19h1m44.4s</t>
  </si>
  <si>
    <t>-13h8m50s</t>
  </si>
  <si>
    <t>IC4817</t>
  </si>
  <si>
    <t>19h6m12.6s</t>
  </si>
  <si>
    <t>-56h9m33s</t>
  </si>
  <si>
    <t>extremely faint, very small, considerably extended 0°</t>
  </si>
  <si>
    <t>eF, vS, cE 0°</t>
  </si>
  <si>
    <t>IC4818</t>
  </si>
  <si>
    <t>19h6m2.9s</t>
  </si>
  <si>
    <t>-55h8m10s</t>
  </si>
  <si>
    <t>extremely faint, extremely small, considerably extended 90°</t>
  </si>
  <si>
    <t>eF, eS, cE 90°</t>
  </si>
  <si>
    <t>IC4819</t>
  </si>
  <si>
    <t>19h7m7.5s</t>
  </si>
  <si>
    <t>-59h28m2s</t>
  </si>
  <si>
    <t>very faint, small, extremely extended 130°</t>
  </si>
  <si>
    <t>vF, S, eE 130°</t>
  </si>
  <si>
    <t>IC4820</t>
  </si>
  <si>
    <t>19h9m13.5s</t>
  </si>
  <si>
    <t>-63h27m56s</t>
  </si>
  <si>
    <t>most extremely faint, extremely small</t>
  </si>
  <si>
    <t>eeF, eS</t>
  </si>
  <si>
    <t>IC4821</t>
  </si>
  <si>
    <t>19h9m32.2s</t>
  </si>
  <si>
    <t>-55h0m59s</t>
  </si>
  <si>
    <t>very faint, very small, extremely extended 10°</t>
  </si>
  <si>
    <t>vF, vS, eE 10°</t>
  </si>
  <si>
    <t>IC4822</t>
  </si>
  <si>
    <t>19h14m45.6s</t>
  </si>
  <si>
    <t>-72h26m28s</t>
  </si>
  <si>
    <t>IC4823</t>
  </si>
  <si>
    <t>19h12m16s</t>
  </si>
  <si>
    <t>-63h58m33s</t>
  </si>
  <si>
    <t>IC4824</t>
  </si>
  <si>
    <t>19h13m14.1s</t>
  </si>
  <si>
    <t>-62h5m19s</t>
  </si>
  <si>
    <t>extremely faint, extremely small, double nebula</t>
  </si>
  <si>
    <t>eF, eS, D neb</t>
  </si>
  <si>
    <t>IC4825</t>
  </si>
  <si>
    <t>19h17m15.7s</t>
  </si>
  <si>
    <t>-72h44m56s</t>
  </si>
  <si>
    <t>IC4826</t>
  </si>
  <si>
    <t>19h12m21.3s</t>
  </si>
  <si>
    <t>-57h12m9s</t>
  </si>
  <si>
    <t>extremely faint, most extremely small, round</t>
  </si>
  <si>
    <t>eF, eeS, R</t>
  </si>
  <si>
    <t>IC4827</t>
  </si>
  <si>
    <t>19h13m21.1s</t>
  </si>
  <si>
    <t>-60h51m34s</t>
  </si>
  <si>
    <t>faint, considerably small, considerably extended 170°, stellar nucleus</t>
  </si>
  <si>
    <t>F, cS, eE 170°, stell N</t>
  </si>
  <si>
    <t>IC4828</t>
  </si>
  <si>
    <t xml:space="preserve">S? </t>
  </si>
  <si>
    <t>19h13m40.6s</t>
  </si>
  <si>
    <t>-62h4m56s</t>
  </si>
  <si>
    <t>very faint, very small, considerably extended 60°</t>
  </si>
  <si>
    <t>vF, vS, cE 60°</t>
  </si>
  <si>
    <t>IC4829</t>
  </si>
  <si>
    <t>19h12m33.7s</t>
  </si>
  <si>
    <t>-56h32m24s</t>
  </si>
  <si>
    <t>most extremely faint, extremely small, much extended 20°</t>
  </si>
  <si>
    <t>eeF, eS, mE 20°</t>
  </si>
  <si>
    <t>IC4830</t>
  </si>
  <si>
    <t>19h13m48.4s</t>
  </si>
  <si>
    <t>-59h17m40s</t>
  </si>
  <si>
    <t>IC4831</t>
  </si>
  <si>
    <t>19h14m44.1s</t>
  </si>
  <si>
    <t>-62h16m19s</t>
  </si>
  <si>
    <t>a remarkable object, considerably faint, very small, extremely extended 150°, 2 branch spiral</t>
  </si>
  <si>
    <t>! cF, vS, eE 150°, 2 br spir</t>
  </si>
  <si>
    <t>IC4832</t>
  </si>
  <si>
    <t>19h14m3.9s</t>
  </si>
  <si>
    <t>-56h36m35s</t>
  </si>
  <si>
    <t>very faint, very small, extremely extended 145°, stellar nucleus</t>
  </si>
  <si>
    <t>vF, vS, eE 145°, stell N</t>
  </si>
  <si>
    <t>IC4833</t>
  </si>
  <si>
    <t>19h15m41.4s</t>
  </si>
  <si>
    <t>-62h19m45s</t>
  </si>
  <si>
    <t>most extremely faint, extremely small, round, brighter middle</t>
  </si>
  <si>
    <t>eeF, eS, R, bM</t>
  </si>
  <si>
    <t>IC4834</t>
  </si>
  <si>
    <t>19h16m31.1s</t>
  </si>
  <si>
    <t>-64h0m23s</t>
  </si>
  <si>
    <t>extremely faint, very small, a little extended 140°</t>
  </si>
  <si>
    <t>eF, vS, lE 140°</t>
  </si>
  <si>
    <t>IC4835</t>
  </si>
  <si>
    <t>19h15m27.4s</t>
  </si>
  <si>
    <t>-58h14m15s</t>
  </si>
  <si>
    <t>extremely faint, extremely small, considerably extended 0°</t>
  </si>
  <si>
    <t>eF, eS, cE 0°</t>
  </si>
  <si>
    <t>IC4836</t>
  </si>
  <si>
    <t>19h16m18.1s</t>
  </si>
  <si>
    <t>-60h12m0s</t>
  </si>
  <si>
    <t>faint, considerably large, irregular figure, 2 stars involved</t>
  </si>
  <si>
    <t>F, cL, iF, 2 st inv</t>
  </si>
  <si>
    <t>IC4837</t>
  </si>
  <si>
    <t>19h15m14.2s</t>
  </si>
  <si>
    <t>-54h39m43s</t>
  </si>
  <si>
    <t>IC4838</t>
  </si>
  <si>
    <t>19h16m46.3s</t>
  </si>
  <si>
    <t>-61h36m50s</t>
  </si>
  <si>
    <t>considerably faint, small, extremely extended 45°</t>
  </si>
  <si>
    <t>cF, S, eE 45°</t>
  </si>
  <si>
    <t>IC4839</t>
  </si>
  <si>
    <t>19h15m33.9s</t>
  </si>
  <si>
    <t>-54h37m35s</t>
  </si>
  <si>
    <t>faint, nebulous star</t>
  </si>
  <si>
    <t>IC4840</t>
  </si>
  <si>
    <t>19h15m51.8s</t>
  </si>
  <si>
    <t>-56h12m31s</t>
  </si>
  <si>
    <t>IC4841</t>
  </si>
  <si>
    <t>19h20m42.8s</t>
  </si>
  <si>
    <t>-72h13m35s</t>
  </si>
  <si>
    <t>extremely faint, small, round, considerably brighter middle</t>
  </si>
  <si>
    <t>eF, S, R, cbM</t>
  </si>
  <si>
    <t>IC4842</t>
  </si>
  <si>
    <t>19h19m24.5s</t>
  </si>
  <si>
    <t>-60h38m39s</t>
  </si>
  <si>
    <t>IC4843</t>
  </si>
  <si>
    <t>19h19m21.6s</t>
  </si>
  <si>
    <t>-59h18m33s</t>
  </si>
  <si>
    <t>IC4844</t>
  </si>
  <si>
    <t>19h19m2.7s</t>
  </si>
  <si>
    <t>-56h1m37s</t>
  </si>
  <si>
    <t>IC4845</t>
  </si>
  <si>
    <t>19h20m22.1s</t>
  </si>
  <si>
    <t>-60h23m20s</t>
  </si>
  <si>
    <t>considerably faint, brighter middle, 11th magnitude star 0.4 arcmin to southwest</t>
  </si>
  <si>
    <t>cF, bM, * 11 sp 0'.4</t>
  </si>
  <si>
    <t>IC4846</t>
  </si>
  <si>
    <t>19h16m28.3s</t>
  </si>
  <si>
    <t>-9h2m35s</t>
  </si>
  <si>
    <t>IC4847</t>
  </si>
  <si>
    <t>19h23m31.7s</t>
  </si>
  <si>
    <t>-65h30m23s</t>
  </si>
  <si>
    <t>very faint, extremely small, round, 8.9 magnitude star 4 arcmin to southeast</t>
  </si>
  <si>
    <t>vF, eS, R, * 8.9 sf 4'</t>
  </si>
  <si>
    <t>IC4848</t>
  </si>
  <si>
    <t>19h22m54.5s</t>
  </si>
  <si>
    <t>-56h46m50s</t>
  </si>
  <si>
    <t>IC4849</t>
  </si>
  <si>
    <t>19h25m35.8s</t>
  </si>
  <si>
    <t>-62h55m58s</t>
  </si>
  <si>
    <t>IC4850</t>
  </si>
  <si>
    <t>19h20m24s</t>
  </si>
  <si>
    <t>-0h8m0s</t>
  </si>
  <si>
    <t>IC4851</t>
  </si>
  <si>
    <t>19h25m29.4s</t>
  </si>
  <si>
    <t>-57h40m15s</t>
  </si>
  <si>
    <t>considerably faint, very small, extremely extended 15°, very much brighter middle, suspected</t>
  </si>
  <si>
    <t>vF, vS, eE 15°, vmbM, susp</t>
  </si>
  <si>
    <t>IC4852</t>
  </si>
  <si>
    <t>19h26m25.7s</t>
  </si>
  <si>
    <t>-60h20m10s</t>
  </si>
  <si>
    <t>considerably faint, brighter middle</t>
  </si>
  <si>
    <t>cF, bM</t>
  </si>
  <si>
    <t>IC4853</t>
  </si>
  <si>
    <t>19h30m47.2s</t>
  </si>
  <si>
    <t>-71h4m13s</t>
  </si>
  <si>
    <t>most extremely faint, extremely small, a little extended 170°</t>
  </si>
  <si>
    <t>eeF, eS, lE 170°</t>
  </si>
  <si>
    <t>IC4854</t>
  </si>
  <si>
    <t>19h27m21.2s</t>
  </si>
  <si>
    <t>-59h18m54s</t>
  </si>
  <si>
    <t>IC4855</t>
  </si>
  <si>
    <t>IC4856</t>
  </si>
  <si>
    <t>19h27m30.5s</t>
  </si>
  <si>
    <t>-54h54m31s</t>
  </si>
  <si>
    <t>extremely faint, extremely small, double nebula, suspected</t>
  </si>
  <si>
    <t>eF, eS, D neb, susp</t>
  </si>
  <si>
    <t>IC4857</t>
  </si>
  <si>
    <t>19h28m39.1s</t>
  </si>
  <si>
    <t>-58h46m5s</t>
  </si>
  <si>
    <t>very faint, considerably short, round</t>
  </si>
  <si>
    <t>IC4858</t>
  </si>
  <si>
    <t>eeF, eS, prob spir, susp</t>
  </si>
  <si>
    <t>IC4859</t>
  </si>
  <si>
    <t>19h30m46.7s</t>
  </si>
  <si>
    <t>-66h18m49s</t>
  </si>
  <si>
    <t>extremely faint, small, considerably brighter middle, almost stellar nucleus</t>
  </si>
  <si>
    <t>eF, S, cbM, alm stell N</t>
  </si>
  <si>
    <t>IC4860</t>
  </si>
  <si>
    <t>19h31m27.2s</t>
  </si>
  <si>
    <t>-67h22m5s</t>
  </si>
  <si>
    <t>IC4861</t>
  </si>
  <si>
    <t>19h29m16.6s</t>
  </si>
  <si>
    <t>-57h34m34s</t>
  </si>
  <si>
    <t>very faint, extremely small, considerably extended 25°, suspected</t>
  </si>
  <si>
    <t>vF, eS, cE 25°, susp</t>
  </si>
  <si>
    <t>IC4862</t>
  </si>
  <si>
    <t>19h31m40.1s</t>
  </si>
  <si>
    <t>-67h19m22s</t>
  </si>
  <si>
    <t>extremely faint, small, considerably brighter middle, a little extended 0°</t>
  </si>
  <si>
    <t>eF, S, cbM, lE 0°</t>
  </si>
  <si>
    <t>IC4863</t>
  </si>
  <si>
    <t>19h27m51.5s</t>
  </si>
  <si>
    <t>-36h13m2s</t>
  </si>
  <si>
    <t>close double star, nebulous? (Howe says not)</t>
  </si>
  <si>
    <t>close D *, nebulous ? (Ho. says not)</t>
  </si>
  <si>
    <t>IC4864</t>
  </si>
  <si>
    <t>19h40m6s</t>
  </si>
  <si>
    <t>-77h33m26s</t>
  </si>
  <si>
    <t>extremely faint, very small, extremely extended 70°, very faint star 1 arcmin to southwest</t>
  </si>
  <si>
    <t>eF, vS, eE 70°, vF * sp 1'</t>
  </si>
  <si>
    <t>IC4865</t>
  </si>
  <si>
    <t>19h30m50.3s</t>
  </si>
  <si>
    <t>-46h41m54s</t>
  </si>
  <si>
    <t>faint, perhaps stellar nucleus; magnitude 9.5 star attached on southeast</t>
  </si>
  <si>
    <t>F, perh stell N, * 9.5 att sf</t>
  </si>
  <si>
    <t>IC4866</t>
  </si>
  <si>
    <t>19h34m34.8s</t>
  </si>
  <si>
    <t>-61h8m45s</t>
  </si>
  <si>
    <t>IC4867</t>
  </si>
  <si>
    <t>small; two 7th magnitude stars 3 arcmin to northeast (= IC 1301?)</t>
  </si>
  <si>
    <t>S, 2 st 7 nf 3' [? = I.C. 1301]</t>
  </si>
  <si>
    <t>IC4868</t>
  </si>
  <si>
    <t>19h33m33.4s</t>
  </si>
  <si>
    <t>-45h53m32s</t>
  </si>
  <si>
    <t>extremely small, a little extended, magnitude 9.4</t>
  </si>
  <si>
    <t>eS, lE, magn 9.4</t>
  </si>
  <si>
    <t>IC4869</t>
  </si>
  <si>
    <t>19h36m2.4s</t>
  </si>
  <si>
    <t>-61h1m41s</t>
  </si>
  <si>
    <t>faint, small, round, brighter middle, faint star 1 arcmin to southwest</t>
  </si>
  <si>
    <t>F, S, R, bM, F * sp 1'</t>
  </si>
  <si>
    <t>IC4870</t>
  </si>
  <si>
    <t>19h37m37.7s</t>
  </si>
  <si>
    <t>-65h48m40s</t>
  </si>
  <si>
    <t>very faint, small, faint star involved</t>
  </si>
  <si>
    <t>vF, S, F * inv</t>
  </si>
  <si>
    <t>IC4871</t>
  </si>
  <si>
    <t>19h35m42.2s</t>
  </si>
  <si>
    <t>-57h31m8s</t>
  </si>
  <si>
    <t>very faint, small, extremely extended 15°</t>
  </si>
  <si>
    <t>vF, S, eE 15°</t>
  </si>
  <si>
    <t>IC4872</t>
  </si>
  <si>
    <t xml:space="preserve">vF, S, eE 5° </t>
  </si>
  <si>
    <t>IC4873</t>
  </si>
  <si>
    <t>19h34m54.6s</t>
  </si>
  <si>
    <t>-46h8m10s</t>
  </si>
  <si>
    <t>faint, small, round, faint star in middle</t>
  </si>
  <si>
    <t>F, S, R, F * M</t>
  </si>
  <si>
    <t>IC4874</t>
  </si>
  <si>
    <t>19h36m21.4s</t>
  </si>
  <si>
    <t>-47h15m57s</t>
  </si>
  <si>
    <t>IC4875</t>
  </si>
  <si>
    <t>19h37m38.7s</t>
  </si>
  <si>
    <t>-52h4m31s</t>
  </si>
  <si>
    <t>IC4876</t>
  </si>
  <si>
    <t>19h37m42.5s</t>
  </si>
  <si>
    <t>-52h50m35s</t>
  </si>
  <si>
    <t>IC4877</t>
  </si>
  <si>
    <t>19h37m55.8s</t>
  </si>
  <si>
    <t>-51h59m29s</t>
  </si>
  <si>
    <t>IC4878</t>
  </si>
  <si>
    <t>19h38m49.8s</t>
  </si>
  <si>
    <t>-58h13m38s</t>
  </si>
  <si>
    <t>extremely faint, extremely small, much extended 40°</t>
  </si>
  <si>
    <t>eF, eS, mE 40°</t>
  </si>
  <si>
    <t>IC4879</t>
  </si>
  <si>
    <t>19h39m36.8s</t>
  </si>
  <si>
    <t>-52h22m8s</t>
  </si>
  <si>
    <t>IC4880</t>
  </si>
  <si>
    <t>19h40m30.8s</t>
  </si>
  <si>
    <t>-56h24m35s</t>
  </si>
  <si>
    <t>IC4881</t>
  </si>
  <si>
    <t>19h40m26.1s</t>
  </si>
  <si>
    <t>-55h51m27s</t>
  </si>
  <si>
    <t>IC4882</t>
  </si>
  <si>
    <t>19h40m23.3s</t>
  </si>
  <si>
    <t>-55h11m47s</t>
  </si>
  <si>
    <t>IC4883</t>
  </si>
  <si>
    <t>19h42m0.6s</t>
  </si>
  <si>
    <t>-55h32m43s</t>
  </si>
  <si>
    <t>very faint, very small, much extended 170°</t>
  </si>
  <si>
    <t>vF, vS, mE 170°</t>
  </si>
  <si>
    <t>IC4884</t>
  </si>
  <si>
    <t>19h42m41.2s</t>
  </si>
  <si>
    <t>-58h7m43s</t>
  </si>
  <si>
    <t>IC4885</t>
  </si>
  <si>
    <t>19h43m51.8s</t>
  </si>
  <si>
    <t>-60h39m5s</t>
  </si>
  <si>
    <t>very faint, extremely small, extremely extended 85°, stellar nucleus</t>
  </si>
  <si>
    <t>vF, eS, eE 85°, stell N</t>
  </si>
  <si>
    <t>IC4886</t>
  </si>
  <si>
    <t>19h43m14.5s</t>
  </si>
  <si>
    <t>-51h48m26s</t>
  </si>
  <si>
    <t>IC4887</t>
  </si>
  <si>
    <t>19h48m21s</t>
  </si>
  <si>
    <t>-69h35m13s</t>
  </si>
  <si>
    <t>IC4888</t>
  </si>
  <si>
    <t>19h44m52.2s</t>
  </si>
  <si>
    <t>-54h27m23s</t>
  </si>
  <si>
    <t>IC4889</t>
  </si>
  <si>
    <t>19h45m15s</t>
  </si>
  <si>
    <t>-54h20m37s</t>
  </si>
  <si>
    <t>brighter middle, magnitude 10</t>
  </si>
  <si>
    <t>bM, magn 10</t>
  </si>
  <si>
    <t>IC4890</t>
  </si>
  <si>
    <t>19h45m35.4s</t>
  </si>
  <si>
    <t>-56h32m41s</t>
  </si>
  <si>
    <t>most extremely faint, extremely small, round, faint star 1 arcmin to south</t>
  </si>
  <si>
    <t>eeF, eS, R, F * s 1'</t>
  </si>
  <si>
    <t>IC4891</t>
  </si>
  <si>
    <t>IC4892</t>
  </si>
  <si>
    <t>19h49m31.6s</t>
  </si>
  <si>
    <t>-70h13m40s</t>
  </si>
  <si>
    <t>extremely faint, small, extremely extended 10°</t>
  </si>
  <si>
    <t>eF, S, eE 10°</t>
  </si>
  <si>
    <t>IC4893</t>
  </si>
  <si>
    <t>19h50m32.9s</t>
  </si>
  <si>
    <t>-72h30m36s</t>
  </si>
  <si>
    <t>IC4894</t>
  </si>
  <si>
    <t>19h46m58.8s</t>
  </si>
  <si>
    <t>-51h50m48s</t>
  </si>
  <si>
    <t>IC4895</t>
  </si>
  <si>
    <t>group of nebulae, 25 arcmin diameter</t>
  </si>
  <si>
    <t>Group of neb, 25' diam</t>
  </si>
  <si>
    <t>IC4896</t>
  </si>
  <si>
    <t>19h49m5s</t>
  </si>
  <si>
    <t>-58h58m53s</t>
  </si>
  <si>
    <t>most extremely faint, extremely small, round, between 2 extremely faint stars</t>
  </si>
  <si>
    <t>eeF, eS, R, bet 2 eF st</t>
  </si>
  <si>
    <t>IC4897</t>
  </si>
  <si>
    <t>19h49m19.6s</t>
  </si>
  <si>
    <t>-51h52m4s</t>
  </si>
  <si>
    <t>IC4898</t>
  </si>
  <si>
    <t>19h47m46s</t>
  </si>
  <si>
    <t>-33h19m0s</t>
  </si>
  <si>
    <t>most extremely faint, extremely small, extremely dif, several faint stars near</t>
  </si>
  <si>
    <t>eeF, eS, e dif, sev F st nr</t>
  </si>
  <si>
    <t>IC4899</t>
  </si>
  <si>
    <t>19h54m26.3s</t>
  </si>
  <si>
    <t>-70h35m23s</t>
  </si>
  <si>
    <t>most extremely faint, extremely small, very faint star 1 arcmin to southwest</t>
  </si>
  <si>
    <t>eeF, eS, vF * sp 1'</t>
  </si>
  <si>
    <t>IC4900</t>
  </si>
  <si>
    <t>19h50m22s</t>
  </si>
  <si>
    <t>-51h20m45s</t>
  </si>
  <si>
    <t>IC4901</t>
  </si>
  <si>
    <t>19h54m23.5s</t>
  </si>
  <si>
    <t>-58h42m48s</t>
  </si>
  <si>
    <t>considerably faint, small, very little extended 135°</t>
  </si>
  <si>
    <t>cF, S, vlE 135°</t>
  </si>
  <si>
    <t>IC4902</t>
  </si>
  <si>
    <t>19h54m24.1s</t>
  </si>
  <si>
    <t>-56h22m46s</t>
  </si>
  <si>
    <t>most extremely faint, extremely small, considerably extended 0°; suspected</t>
  </si>
  <si>
    <t>eeF, eS, cE 0°, susp</t>
  </si>
  <si>
    <t>IC4903</t>
  </si>
  <si>
    <t>19h58m13.4s</t>
  </si>
  <si>
    <t>-70h27m12s</t>
  </si>
  <si>
    <t>extremely faint, very small, between 2 faint stars</t>
  </si>
  <si>
    <t>eF, vS, bet 2 F st</t>
  </si>
  <si>
    <t>IC4904</t>
  </si>
  <si>
    <t>19h58m39s</t>
  </si>
  <si>
    <t>-70h11m4s</t>
  </si>
  <si>
    <t>IC4905</t>
  </si>
  <si>
    <t>19h56m6.2s</t>
  </si>
  <si>
    <t>-61h13m15s</t>
  </si>
  <si>
    <t>most extremely faint, extremely small, much extended 130°, near 2 extremely faint stars</t>
  </si>
  <si>
    <t>eeF, eS, mE 130°, nr 2 eF st</t>
  </si>
  <si>
    <t>IC4906</t>
  </si>
  <si>
    <t>19h56m47.7s</t>
  </si>
  <si>
    <t>-60h28m7s</t>
  </si>
  <si>
    <t>faint, small, round, brighter middle, 4 stars around</t>
  </si>
  <si>
    <t>F, S, R, bM, 4 st around</t>
  </si>
  <si>
    <t>IC4907</t>
  </si>
  <si>
    <t>19h56m13.1s</t>
  </si>
  <si>
    <t>-52h27m13s</t>
  </si>
  <si>
    <t>IC4908</t>
  </si>
  <si>
    <t>19h56m56.6s</t>
  </si>
  <si>
    <t>-55h47m28s</t>
  </si>
  <si>
    <t>IC4909</t>
  </si>
  <si>
    <t>19h56m45.4s</t>
  </si>
  <si>
    <t>-50h3m19s</t>
  </si>
  <si>
    <t>IC4910</t>
  </si>
  <si>
    <t>19h57m47.2s</t>
  </si>
  <si>
    <t>-56h51m48s</t>
  </si>
  <si>
    <t>extremely faint, extremely small, considerably extended 130°, among stars; suspected</t>
  </si>
  <si>
    <t>eF, eS, cE 130°, am st, susp</t>
  </si>
  <si>
    <t>IC4911</t>
  </si>
  <si>
    <t>19h57m41.7s</t>
  </si>
  <si>
    <t>-51h59m11s</t>
  </si>
  <si>
    <t>IC4912</t>
  </si>
  <si>
    <t>-77h21m27s</t>
  </si>
  <si>
    <t>extremely faint, very small, faint star 1 arcmin to northwest; suspected</t>
  </si>
  <si>
    <t>eF, vS, F * np 1', susp</t>
  </si>
  <si>
    <t>IC4913</t>
  </si>
  <si>
    <t>19h56m47.5s</t>
  </si>
  <si>
    <t>-37h19m43s</t>
  </si>
  <si>
    <t>most extremely faint, pretty small, extremely difficult, three 10th magnitude stars 8 arcmin to south</t>
  </si>
  <si>
    <t>eeF, pS, e diffic, 3 st 10 s 8'</t>
  </si>
  <si>
    <t>IC4914</t>
  </si>
  <si>
    <t>19h57m56.5s</t>
  </si>
  <si>
    <t>-50h7m52s</t>
  </si>
  <si>
    <t>IC4915</t>
  </si>
  <si>
    <t>19h58m31.9s</t>
  </si>
  <si>
    <t>-52h38m33s</t>
  </si>
  <si>
    <t>IC4916</t>
  </si>
  <si>
    <t>19h58m19.2s</t>
  </si>
  <si>
    <t>-50h16m19s</t>
  </si>
  <si>
    <t>IC4917</t>
  </si>
  <si>
    <t>19h58m54.8s</t>
  </si>
  <si>
    <t>-52h16m23s</t>
  </si>
  <si>
    <t>IC4918</t>
  </si>
  <si>
    <t>19h59m13.2s</t>
  </si>
  <si>
    <t>-52h16m30s</t>
  </si>
  <si>
    <t>IC4919</t>
  </si>
  <si>
    <t>20h0m9.1s</t>
  </si>
  <si>
    <t>-55h22m26s</t>
  </si>
  <si>
    <t>most extremely faint, extremely small, round, faint star 1 arcmin to east; suspected</t>
  </si>
  <si>
    <t>eeF, eS, R, * f 1', susp</t>
  </si>
  <si>
    <t>IC4920</t>
  </si>
  <si>
    <t>20h0m8.7s</t>
  </si>
  <si>
    <t>-53h23m3s</t>
  </si>
  <si>
    <t>very faint, very little extended, little brighter middle</t>
  </si>
  <si>
    <t>vF, vLE, lbM</t>
  </si>
  <si>
    <t>IC4921</t>
  </si>
  <si>
    <t>20h3m19.3s</t>
  </si>
  <si>
    <t>-67h49m33s</t>
  </si>
  <si>
    <t>very faint, small, round, considerably brighter middle</t>
  </si>
  <si>
    <t>vF, S, R, cbM</t>
  </si>
  <si>
    <t>IC4922</t>
  </si>
  <si>
    <t>19h59m30s</t>
  </si>
  <si>
    <t>-40h21m48s</t>
  </si>
  <si>
    <t>IC4923</t>
  </si>
  <si>
    <t>20h0m57.2s</t>
  </si>
  <si>
    <t>-52h37m55s</t>
  </si>
  <si>
    <t>IC4924</t>
  </si>
  <si>
    <t>19h59m51s</t>
  </si>
  <si>
    <t>-41h32m48s</t>
  </si>
  <si>
    <t>diffuse (perhaps a defect?)</t>
  </si>
  <si>
    <t>dif (? defect)</t>
  </si>
  <si>
    <t>IC4925</t>
  </si>
  <si>
    <t>20h1m9.9s</t>
  </si>
  <si>
    <t>-52h52m0s</t>
  </si>
  <si>
    <t>faint, small, very much extended 170°</t>
  </si>
  <si>
    <t>F, S, vmE 170°</t>
  </si>
  <si>
    <t>IC4926</t>
  </si>
  <si>
    <t>20h0m12.2s</t>
  </si>
  <si>
    <t>-38h34m41s</t>
  </si>
  <si>
    <t>most extremely faint, small, a little extended, very difficult, western of 2</t>
  </si>
  <si>
    <t>eeF, S, lE, v diffic, p of 2</t>
  </si>
  <si>
    <t>IC4927</t>
  </si>
  <si>
    <t>20h1m49.4s</t>
  </si>
  <si>
    <t>-53h55m6s</t>
  </si>
  <si>
    <t>faint, small, extended 170°</t>
  </si>
  <si>
    <t>F, S, E 170°</t>
  </si>
  <si>
    <t>IC4928</t>
  </si>
  <si>
    <t>20h10m11.9s</t>
  </si>
  <si>
    <t>-77h18m33s</t>
  </si>
  <si>
    <t>extremely faint, very small, extremely extended 25°, extremely faint star 1 arcmin to north; suspected</t>
  </si>
  <si>
    <t>eF, vS, eE 25°, eF * n 1', susp</t>
  </si>
  <si>
    <t>IC4929</t>
  </si>
  <si>
    <t>20h6m42.6s</t>
  </si>
  <si>
    <t>-71h40m52s</t>
  </si>
  <si>
    <t>faint, small, considerably extended 15°</t>
  </si>
  <si>
    <t>F, S, cE 15°</t>
  </si>
  <si>
    <t>IC4930</t>
  </si>
  <si>
    <t>20h2m26s</t>
  </si>
  <si>
    <t>-54h18m30s</t>
  </si>
  <si>
    <t>considerably bright, small, much extended 45°, suspected</t>
  </si>
  <si>
    <t>cB, S, mE 45°, susp</t>
  </si>
  <si>
    <t>IC4931</t>
  </si>
  <si>
    <t>20h0m50.1s</t>
  </si>
  <si>
    <t>-38h34m30s</t>
  </si>
  <si>
    <t>most extremely faint, pretty small, round, 8th magnitude star 20 seconds to east, eastern of 2</t>
  </si>
  <si>
    <t>eeF, pS, R, * 8 f 20s, f of 2</t>
  </si>
  <si>
    <t>IC4932</t>
  </si>
  <si>
    <t>20h2m15.5s</t>
  </si>
  <si>
    <t>-52h50m48s</t>
  </si>
  <si>
    <t>IC4933</t>
  </si>
  <si>
    <t>20h3m28.8s</t>
  </si>
  <si>
    <t>-54h58m48s</t>
  </si>
  <si>
    <t>extremely faint, extremely small, 2 branch spiral</t>
  </si>
  <si>
    <t>eF, eS, 2 branch spir</t>
  </si>
  <si>
    <t>IC4934</t>
  </si>
  <si>
    <t>20h7m14.6s</t>
  </si>
  <si>
    <t>-69h28m49s</t>
  </si>
  <si>
    <t>very faint, very small, considerably extended 15°, a little brighter middle; suspected</t>
  </si>
  <si>
    <t>vF, vS, cE 15°, lbM, susp</t>
  </si>
  <si>
    <t>IC4935</t>
  </si>
  <si>
    <t>20h4m34s</t>
  </si>
  <si>
    <t>-57h35m55s</t>
  </si>
  <si>
    <t>very faint, very small, much extended 5°, star 1 arcmin to southwest; suspected</t>
  </si>
  <si>
    <t>vF, vS, mE 5°, * 1' sp, susp</t>
  </si>
  <si>
    <t>IC4936</t>
  </si>
  <si>
    <t>20h5m52.3s</t>
  </si>
  <si>
    <t>-61h25m42s</t>
  </si>
  <si>
    <t>extremely faint, very small, extremely extended 20°, 2 faint stars to northwest</t>
  </si>
  <si>
    <t>eF, vS, eE 20°, 2 F st np</t>
  </si>
  <si>
    <t>IC4937</t>
  </si>
  <si>
    <t>20h5m17.4s</t>
  </si>
  <si>
    <t>-56h15m22s</t>
  </si>
  <si>
    <t>extremely faint, very small, extremely extended 0°, nuclear; suspected</t>
  </si>
  <si>
    <t>eF, vS, eE 0°, N, susp</t>
  </si>
  <si>
    <t>IC4938</t>
  </si>
  <si>
    <t>20h6m11.6s</t>
  </si>
  <si>
    <t>-60h12m40s</t>
  </si>
  <si>
    <t>a remarkable object, very faint, pretty small, annular, stellar nucleus, very faint star to southeast</t>
  </si>
  <si>
    <t>! vF, pS, annul, stell N, vF * sf</t>
  </si>
  <si>
    <t>IC4939</t>
  </si>
  <si>
    <t>20h7m11.1s</t>
  </si>
  <si>
    <t>-60h44m18s</t>
  </si>
  <si>
    <t>most extremely faint, extremely small, considerably extended 150°, faint star 2 arcmin to south</t>
  </si>
  <si>
    <t>eeF, eS, cE 150°, F * s 2'</t>
  </si>
  <si>
    <t>IC4940</t>
  </si>
  <si>
    <t>20h5m43.4s</t>
  </si>
  <si>
    <t>-44h42m29s</t>
  </si>
  <si>
    <t>IC4941</t>
  </si>
  <si>
    <t>20h6m58.5s</t>
  </si>
  <si>
    <t>-53h39m10s</t>
  </si>
  <si>
    <t>faint, small, round, a little brighter middle, very diffuse</t>
  </si>
  <si>
    <t>F, S, R, lbM, v dif</t>
  </si>
  <si>
    <t>IC4942</t>
  </si>
  <si>
    <t>20h6m49.3s</t>
  </si>
  <si>
    <t>-52h36m37s</t>
  </si>
  <si>
    <t>IC4943</t>
  </si>
  <si>
    <t>20h6m28.2s</t>
  </si>
  <si>
    <t>-48h22m33s</t>
  </si>
  <si>
    <t>most extremely faint, pretty small, round, faint star to north, very difficult</t>
  </si>
  <si>
    <t>eeF, pS, R, F * n, v diffic</t>
  </si>
  <si>
    <t>IC4944</t>
  </si>
  <si>
    <t>20h7m9.1s</t>
  </si>
  <si>
    <t>-54h26m48s</t>
  </si>
  <si>
    <t>IC4945</t>
  </si>
  <si>
    <t>20h11m17.1s</t>
  </si>
  <si>
    <t>-71h0m46s</t>
  </si>
  <si>
    <t>faint, small, extended 5°, considerably brighter middle</t>
  </si>
  <si>
    <t>F, S, E 5°, cbM</t>
  </si>
  <si>
    <t>IC4946</t>
  </si>
  <si>
    <t>夏普利-艾姆斯5</t>
  </si>
  <si>
    <t>20h23m58s</t>
  </si>
  <si>
    <t>-43h59m43s</t>
  </si>
  <si>
    <t>IC4947</t>
  </si>
  <si>
    <t>20h7m31.8s</t>
  </si>
  <si>
    <t>-53h8m34s</t>
  </si>
  <si>
    <t>IC4948</t>
  </si>
  <si>
    <t>very faint, pretty small, round, 2 stars to east, star to northwest</t>
  </si>
  <si>
    <t>vF, pS, R, 2 st f, * np</t>
  </si>
  <si>
    <t>IC4949</t>
  </si>
  <si>
    <t>bright, very small, considerably extended</t>
  </si>
  <si>
    <t>B, vS, cE</t>
  </si>
  <si>
    <t>IC4950</t>
  </si>
  <si>
    <t>20h8m27.3s</t>
  </si>
  <si>
    <t>-56h9m43s</t>
  </si>
  <si>
    <t>extremely faint, very small, extremely extended 35°, a little brighter middle</t>
  </si>
  <si>
    <t>eF, vS, eE 35°, lbM</t>
  </si>
  <si>
    <t>IC4951</t>
  </si>
  <si>
    <t>20h9m31.7s</t>
  </si>
  <si>
    <t>-61h51m1s</t>
  </si>
  <si>
    <t>very faint, very small, extremely extended 170°, very much brighter middle</t>
  </si>
  <si>
    <t>vF, vS, eE 170°, vmbM</t>
  </si>
  <si>
    <t>IC4952</t>
  </si>
  <si>
    <t>20h8m37.6s</t>
  </si>
  <si>
    <t>-55h27m12s</t>
  </si>
  <si>
    <t>faint, very small, considerably extended 10°</t>
  </si>
  <si>
    <t>F, vS, cE 10°</t>
  </si>
  <si>
    <t>IC4953</t>
  </si>
  <si>
    <t>20h10m0s</t>
  </si>
  <si>
    <t>-62h47m31s</t>
  </si>
  <si>
    <t>extremely faint, extremely small, considerably extended 60°, between 2 extremely faint stars</t>
  </si>
  <si>
    <t>eF, eS, cE 60°, bet 2 eF st</t>
  </si>
  <si>
    <t>IC4954</t>
  </si>
  <si>
    <t>20h4m45s</t>
  </si>
  <si>
    <t>+29h15m12s</t>
  </si>
  <si>
    <t>double nebulous star, irregular figure, 11th magnitude star close</t>
  </si>
  <si>
    <t>D neb *, iF, * 11 close</t>
  </si>
  <si>
    <t>IC4955</t>
  </si>
  <si>
    <t>20h4m53s</t>
  </si>
  <si>
    <t>+29h11m24s</t>
  </si>
  <si>
    <t>fine nebulous 12th magnitude star</t>
  </si>
  <si>
    <t>Fine neb * 12</t>
  </si>
  <si>
    <t>IC4956</t>
  </si>
  <si>
    <t>20h11m31.1s</t>
  </si>
  <si>
    <t>-45h35m35s</t>
  </si>
  <si>
    <t>IC4957</t>
  </si>
  <si>
    <t>20h9m35.7s</t>
  </si>
  <si>
    <t>-55h42m32s</t>
  </si>
  <si>
    <t>bM, mag 14</t>
  </si>
  <si>
    <t>IC4958</t>
  </si>
  <si>
    <t>20h15m35.2s</t>
  </si>
  <si>
    <t>-72h42m41s</t>
  </si>
  <si>
    <t>extremely faint, brighter middle</t>
  </si>
  <si>
    <t>eF, bM</t>
  </si>
  <si>
    <t>IC4959</t>
  </si>
  <si>
    <t>20h10m57s</t>
  </si>
  <si>
    <t>-53h5m24s</t>
  </si>
  <si>
    <t>hazy star</t>
  </si>
  <si>
    <t>Hazy star</t>
  </si>
  <si>
    <t>IC4960</t>
  </si>
  <si>
    <t>20h15m24s</t>
  </si>
  <si>
    <t>-70h32m13s</t>
  </si>
  <si>
    <t>IC4961</t>
  </si>
  <si>
    <t>20h11m28.7s</t>
  </si>
  <si>
    <t>-53h7m32s</t>
  </si>
  <si>
    <t>faint, pretty small, much extended 90°, diffuse</t>
  </si>
  <si>
    <t>F, pS, mE 90°, dif</t>
  </si>
  <si>
    <t>IC4962</t>
  </si>
  <si>
    <t>20h16m42.1s</t>
  </si>
  <si>
    <t>-71h7m48s</t>
  </si>
  <si>
    <t>faint, small, extremely extended 160°, very much brighter middle</t>
  </si>
  <si>
    <t>F, S, eE 160°, vmbM</t>
  </si>
  <si>
    <t>IC4963</t>
  </si>
  <si>
    <t>20h12m5.5s</t>
  </si>
  <si>
    <t>-55h14m44s</t>
  </si>
  <si>
    <t>IC4964</t>
  </si>
  <si>
    <t>20h17m23.9s</t>
  </si>
  <si>
    <t>-73h53m7s</t>
  </si>
  <si>
    <t>faint, small, considerably brighter middle</t>
  </si>
  <si>
    <t>F, S, cbM</t>
  </si>
  <si>
    <t>IC4965</t>
  </si>
  <si>
    <t>20h12m27.3s</t>
  </si>
  <si>
    <t>-56h49m34s</t>
  </si>
  <si>
    <t>IC4966</t>
  </si>
  <si>
    <t>20h12m16.4s</t>
  </si>
  <si>
    <t>-53h37m11s</t>
  </si>
  <si>
    <t>faint, very small, extended 40°</t>
  </si>
  <si>
    <t>F, vS, E 40°</t>
  </si>
  <si>
    <t>IC4967</t>
  </si>
  <si>
    <t>20h16m23s</t>
  </si>
  <si>
    <t>-70h33m51s</t>
  </si>
  <si>
    <t>IC4968</t>
  </si>
  <si>
    <t>20h14m50s</t>
  </si>
  <si>
    <t>-64h47m54s</t>
  </si>
  <si>
    <t>very faint, small, bright star 3 arcmin to southeast</t>
  </si>
  <si>
    <t>vF, S, B * sf 3'</t>
  </si>
  <si>
    <t>IC4969</t>
  </si>
  <si>
    <t>20h12m56.1s</t>
  </si>
  <si>
    <t>-53h55m14s</t>
  </si>
  <si>
    <t>IC4970</t>
  </si>
  <si>
    <t>20h16m57.4s</t>
  </si>
  <si>
    <t>-70h44m58s</t>
  </si>
  <si>
    <t>brighter middle, near (NGC) 6872</t>
  </si>
  <si>
    <t>bM, nr 6872</t>
  </si>
  <si>
    <t>IC4971</t>
  </si>
  <si>
    <t>20h17m3s</t>
  </si>
  <si>
    <t>-70h37m13s</t>
  </si>
  <si>
    <t>IC4972</t>
  </si>
  <si>
    <t>20h17m43s</t>
  </si>
  <si>
    <t>-70h54m49s</t>
  </si>
  <si>
    <t>extremely faint, very small, extremely extended 15°</t>
  </si>
  <si>
    <t>eF, vS, eE 15°</t>
  </si>
  <si>
    <t>IC4973</t>
  </si>
  <si>
    <t>20h14m34.1s</t>
  </si>
  <si>
    <t>-58h22m18s</t>
  </si>
  <si>
    <t>IC4974</t>
  </si>
  <si>
    <t>20h15m26.2s</t>
  </si>
  <si>
    <t>-61h51m26s</t>
  </si>
  <si>
    <t>extremely faint, extremely small, round, brighter middle, star 1 arcmin to southwest</t>
  </si>
  <si>
    <t>eF, eS, R, bM, * sp 1'</t>
  </si>
  <si>
    <t>IC4975</t>
  </si>
  <si>
    <t>20h14m2.9s</t>
  </si>
  <si>
    <t>-52h43m20s</t>
  </si>
  <si>
    <t>IC4976</t>
  </si>
  <si>
    <t>20h15m41.3s</t>
  </si>
  <si>
    <t>-61h52m30s</t>
  </si>
  <si>
    <t>extremely faint, extremely small, round, brighter middle, star 3 arcmin to northwest</t>
  </si>
  <si>
    <t>eF, eS, R, bM, * 3' np</t>
  </si>
  <si>
    <t>IC4977</t>
  </si>
  <si>
    <t>20h11m53.8s</t>
  </si>
  <si>
    <t>-21h38m15s</t>
  </si>
  <si>
    <t>stellar, close to 13th magnitude star</t>
  </si>
  <si>
    <t>Stellar, close to * 13</t>
  </si>
  <si>
    <t>IC4978</t>
  </si>
  <si>
    <t>20h14m37.8s</t>
  </si>
  <si>
    <t>-54h25m18s</t>
  </si>
  <si>
    <t>IC4979</t>
  </si>
  <si>
    <t>20h14m41.9s</t>
  </si>
  <si>
    <t>-53h27m31s</t>
  </si>
  <si>
    <t>IC4980</t>
  </si>
  <si>
    <t>20h15m28.9s</t>
  </si>
  <si>
    <t>-57h54m45s</t>
  </si>
  <si>
    <t>very faint, small, a little extended 130°, star 2 arcmin to south</t>
  </si>
  <si>
    <t>vF, S, lE 130°, * 2' s</t>
  </si>
  <si>
    <t>IC4981</t>
  </si>
  <si>
    <t>20h19m39.1s</t>
  </si>
  <si>
    <t>-70h50m54s</t>
  </si>
  <si>
    <t>extremely faint, extremely small, star near</t>
  </si>
  <si>
    <t>eF, eS, * nr</t>
  </si>
  <si>
    <t>IC4982</t>
  </si>
  <si>
    <t>20h20m21s</t>
  </si>
  <si>
    <t>-71h0m25s</t>
  </si>
  <si>
    <t>IC4983</t>
  </si>
  <si>
    <t>20h16m5.5s</t>
  </si>
  <si>
    <t>-52h5m14s</t>
  </si>
  <si>
    <t>very faint, considerably small, round, a little brighter middle, diffuse</t>
  </si>
  <si>
    <t>vF, cS, R, lbM, dif</t>
  </si>
  <si>
    <t>IC4984</t>
  </si>
  <si>
    <t>20h16m17.5s</t>
  </si>
  <si>
    <t>-52h42m12s</t>
  </si>
  <si>
    <t>very faint, small, round, diffuse, (NGC) 6887 to east</t>
  </si>
  <si>
    <t>vF, S, R, dif, 6887 f</t>
  </si>
  <si>
    <t>IC4985</t>
  </si>
  <si>
    <t>20h20m44.1s</t>
  </si>
  <si>
    <t>-70h59m12s</t>
  </si>
  <si>
    <t>IC4986</t>
  </si>
  <si>
    <t>20h17m11.4s</t>
  </si>
  <si>
    <t>-55h2m9s</t>
  </si>
  <si>
    <t>most extremely faint, small, considerably extended 0°, between 2 faint stars</t>
  </si>
  <si>
    <t>eeF, S, cE 0°, bet 2 F st</t>
  </si>
  <si>
    <t>IC4987</t>
  </si>
  <si>
    <t>20h17m19.3s</t>
  </si>
  <si>
    <t>-52h16m46s</t>
  </si>
  <si>
    <t>IC4988</t>
  </si>
  <si>
    <t>20h21m46s</t>
  </si>
  <si>
    <t>-69h23m27s</t>
  </si>
  <si>
    <t>hazy patch, perhaps a star?; suspected</t>
  </si>
  <si>
    <t>Hazy patch, st ?, susp</t>
  </si>
  <si>
    <t>IC4989</t>
  </si>
  <si>
    <t>20h19m23.7s</t>
  </si>
  <si>
    <t>-58h33m6s</t>
  </si>
  <si>
    <t>considerably small, much extended 175°, spiral, faint star in middle</t>
  </si>
  <si>
    <t>cS, mE 175°, spir, F * M</t>
  </si>
  <si>
    <t>IC4990</t>
  </si>
  <si>
    <t>20h21m25.4s</t>
  </si>
  <si>
    <t>-66h53m26s</t>
  </si>
  <si>
    <t>extremely faint, extremely small, considerably extended 15°, brighter middle, suspected</t>
  </si>
  <si>
    <t>eF, eS, cE 15°, bM, susp</t>
  </si>
  <si>
    <t>IC4991</t>
  </si>
  <si>
    <t>20h17m45.7s</t>
  </si>
  <si>
    <t>-41h34m55s</t>
  </si>
  <si>
    <t>IC4992</t>
  </si>
  <si>
    <t>20h23m27s</t>
  </si>
  <si>
    <t>-71h33m55s</t>
  </si>
  <si>
    <t>very faint, small, extremely extended 65°, 9th magnitude star 2 arcmin to northeast</t>
  </si>
  <si>
    <t>vF, S, eE 65°, * 9 nf 2'</t>
  </si>
  <si>
    <t>IC4993</t>
  </si>
  <si>
    <t>20h21m56.3s</t>
  </si>
  <si>
    <t>-66h59m7s</t>
  </si>
  <si>
    <t>extremely faint, very small, round, brighter middle, suspected</t>
  </si>
  <si>
    <t>eF, vS, R, bM, susp</t>
  </si>
  <si>
    <t>IC4994</t>
  </si>
  <si>
    <t>20h19m44.3s</t>
  </si>
  <si>
    <t>-53h26m49s</t>
  </si>
  <si>
    <t>IC4995</t>
  </si>
  <si>
    <t>20h19m59s</t>
  </si>
  <si>
    <t>-52h37m18s</t>
  </si>
  <si>
    <t>IC4996</t>
  </si>
  <si>
    <t>天鹅座P星团</t>
  </si>
  <si>
    <t>20h16m31.7s</t>
  </si>
  <si>
    <t>+37h38m35s</t>
  </si>
  <si>
    <t>cluster, with stars from 8th to 13th magnitude</t>
  </si>
  <si>
    <t>Cl, st 8...13 (M.N., lxiv.)</t>
  </si>
  <si>
    <t>IC4997</t>
  </si>
  <si>
    <t>20h20m8.8s</t>
  </si>
  <si>
    <t>+16h43m56s</t>
  </si>
  <si>
    <t>IC4998</t>
  </si>
  <si>
    <t>20h22m10.6s</t>
  </si>
  <si>
    <t>-38h18m31s</t>
  </si>
  <si>
    <t>extremely faint, pretty small, round, between two 8.5 magnitude stars to southwest and northeast</t>
  </si>
  <si>
    <t>eF, pS, R, bet 2 st 8.5 sp, nf</t>
  </si>
  <si>
    <t>IC4999</t>
  </si>
  <si>
    <t>20h23m56.3s</t>
  </si>
  <si>
    <t>-26h0m53s</t>
  </si>
  <si>
    <t>very faint, pretty large, round, among stars</t>
  </si>
  <si>
    <t>vF, pL, R, am st</t>
  </si>
  <si>
    <t>IC5000</t>
  </si>
  <si>
    <t>pretty small, extremely faint star involved</t>
  </si>
  <si>
    <t>pS, eF st inv</t>
  </si>
  <si>
    <t>IC5001</t>
  </si>
  <si>
    <t>20h26m20.2s</t>
  </si>
  <si>
    <t>-54h46m28s</t>
  </si>
  <si>
    <t>IC5002</t>
  </si>
  <si>
    <t>20h26m40s</t>
  </si>
  <si>
    <t>-54h47m57s</t>
  </si>
  <si>
    <t>IC5003</t>
  </si>
  <si>
    <t>20h43m14s</t>
  </si>
  <si>
    <t>-29h51m7s</t>
  </si>
  <si>
    <t>very faint, considerably small, round, in line with 2 stars to southeast</t>
  </si>
  <si>
    <t>vF, cS, R, 2 st sf in line</t>
  </si>
  <si>
    <t>IC5004</t>
  </si>
  <si>
    <t>extremely faint, pretty small, a little extended, 2 stars to south</t>
  </si>
  <si>
    <t>eF, pS, lE, 2 st s</t>
  </si>
  <si>
    <t>IC5005</t>
  </si>
  <si>
    <t>20h25m20s</t>
  </si>
  <si>
    <t>-25h49m44s</t>
  </si>
  <si>
    <t>pretty small, round, very gradually brighter middle, faint star close to northwest</t>
  </si>
  <si>
    <t>pS, R, vgbM, F * close np</t>
  </si>
  <si>
    <t>IC5006</t>
  </si>
  <si>
    <t>20h23m47s</t>
  </si>
  <si>
    <t>+6h26m56s</t>
  </si>
  <si>
    <t>14th magnitude star in faint, very small, round nebula</t>
  </si>
  <si>
    <t>* 14 in F, vS, R neb</t>
  </si>
  <si>
    <t>IC5007</t>
  </si>
  <si>
    <t>20h43m34.3s</t>
  </si>
  <si>
    <t>-29h42m11s</t>
  </si>
  <si>
    <t>IC5008</t>
  </si>
  <si>
    <t>20h32m44.7s</t>
  </si>
  <si>
    <t>-72h41m40s</t>
  </si>
  <si>
    <t>extremely faint, very small, a little extended 90°, a little brighter middle</t>
  </si>
  <si>
    <t>eF, vS, lE 90°, lbM</t>
  </si>
  <si>
    <t>IC5009</t>
  </si>
  <si>
    <t>20h32m34.4s</t>
  </si>
  <si>
    <t>-72h10m3s</t>
  </si>
  <si>
    <t>IC5010</t>
  </si>
  <si>
    <t>20h30m26.5s</t>
  </si>
  <si>
    <t>-66h5m51s</t>
  </si>
  <si>
    <t>very faint, very small, considerably extended 20°, much brighter middle</t>
  </si>
  <si>
    <t>vF, vS, cE 20°, mbM</t>
  </si>
  <si>
    <t>IC5011</t>
  </si>
  <si>
    <t>20h28m33.8s</t>
  </si>
  <si>
    <t>-36h1m38s</t>
  </si>
  <si>
    <t>pretty bright, very small, very much extended</t>
  </si>
  <si>
    <t>pB, vS, vmE</t>
  </si>
  <si>
    <t>IC5012</t>
  </si>
  <si>
    <t>20h29m32s</t>
  </si>
  <si>
    <t>-56h44m36s</t>
  </si>
  <si>
    <t>pretty small, extended 225°, a little brighter middle</t>
  </si>
  <si>
    <t>pS, E 225°, lbM</t>
  </si>
  <si>
    <t>IC5013</t>
  </si>
  <si>
    <t>20h28m34.9s</t>
  </si>
  <si>
    <t>-36h2m33s</t>
  </si>
  <si>
    <t>eS, vmE ns</t>
  </si>
  <si>
    <t>IC5014</t>
  </si>
  <si>
    <t>20h35m15.6s</t>
  </si>
  <si>
    <t>-73h27m9s</t>
  </si>
  <si>
    <t>faint, small, brighter middle, between 2 faint stars</t>
  </si>
  <si>
    <t>F, S, bM, bet 2 F st</t>
  </si>
  <si>
    <t>IC5015</t>
  </si>
  <si>
    <t>20h28m34.5s</t>
  </si>
  <si>
    <t>-31h42m5s</t>
  </si>
  <si>
    <t>pretty bright, pretty small, round, nearly between 2 stars</t>
  </si>
  <si>
    <t>pB, pS, R, nearly bet 2 st</t>
  </si>
  <si>
    <t>IC5016</t>
  </si>
  <si>
    <t>20h35m37.3s</t>
  </si>
  <si>
    <t>-72h54m41s</t>
  </si>
  <si>
    <t>most extremely faint, extremely small, 11th magnitude star 1 arcmin to southwest</t>
  </si>
  <si>
    <t>eeF, eS, * 11 sp 1'</t>
  </si>
  <si>
    <t>IC5017</t>
  </si>
  <si>
    <t>20h32m3.9s</t>
  </si>
  <si>
    <t>-57h35m14s</t>
  </si>
  <si>
    <t>IC5018</t>
  </si>
  <si>
    <t>IC5019</t>
  </si>
  <si>
    <t>20h30m52s</t>
  </si>
  <si>
    <t>-36h19m18s</t>
  </si>
  <si>
    <t>IC5020</t>
  </si>
  <si>
    <t>20h30m38.4s</t>
  </si>
  <si>
    <t>-33h29m8s</t>
  </si>
  <si>
    <t>pF, pS, iE</t>
  </si>
  <si>
    <t>IC5021</t>
  </si>
  <si>
    <t>20h33m34.3s</t>
  </si>
  <si>
    <t>-54h31m17s</t>
  </si>
  <si>
    <t>very small, round disc, magnitude 14</t>
  </si>
  <si>
    <t>vS, R disc, magn 14</t>
  </si>
  <si>
    <t>IC5022</t>
  </si>
  <si>
    <t>20h41m6.3s</t>
  </si>
  <si>
    <t>-76h26m59s</t>
  </si>
  <si>
    <t>extremely faint, small, round, considerably brighter middle, suspected</t>
  </si>
  <si>
    <t>eF, S, R, cbM, susp</t>
  </si>
  <si>
    <t>IC5023</t>
  </si>
  <si>
    <t>20h38m10s</t>
  </si>
  <si>
    <t>-67h11m4s</t>
  </si>
  <si>
    <t>faint, small, considerably extended 130°</t>
  </si>
  <si>
    <t>F, S, cE 130°</t>
  </si>
  <si>
    <t>IC5024</t>
  </si>
  <si>
    <t>20h40m9.5s</t>
  </si>
  <si>
    <t>-71h6m30s</t>
  </si>
  <si>
    <t>extremely faint, small, much extended 15°</t>
  </si>
  <si>
    <t>eF, S, mE 15°</t>
  </si>
  <si>
    <t>IC5025</t>
  </si>
  <si>
    <t>20h44m59.6s</t>
  </si>
  <si>
    <t>-76h59m4s</t>
  </si>
  <si>
    <t>very faint, very small, considerably extended 125°, brighter middle, suspected</t>
  </si>
  <si>
    <t>vF, vS, cE 125°, bM, susp</t>
  </si>
  <si>
    <t>IC5026</t>
  </si>
  <si>
    <t>-78h4m8s</t>
  </si>
  <si>
    <t>extremely faint, very small, much extended 70°, a little brighter middle, suspected</t>
  </si>
  <si>
    <t>eF, vS, mE 70°, lbM, susp</t>
  </si>
  <si>
    <t>IC5027</t>
  </si>
  <si>
    <t>20h41m8.9s</t>
  </si>
  <si>
    <t>-55h28m21s</t>
  </si>
  <si>
    <t>round, magnitude 15</t>
  </si>
  <si>
    <t>R, magn 15</t>
  </si>
  <si>
    <t>IC5028</t>
  </si>
  <si>
    <t>20h43m22.2s</t>
  </si>
  <si>
    <t>-65h38m49s</t>
  </si>
  <si>
    <t>very faint, diffuse, 10th magnitude star 2 arcmin to south, suspected</t>
  </si>
  <si>
    <t>vF, dif, * 10 s 2', susp</t>
  </si>
  <si>
    <t>IC5029</t>
  </si>
  <si>
    <t>eeF, eS, mE, F * sf, np of 2</t>
  </si>
  <si>
    <t>IC5030</t>
  </si>
  <si>
    <t>eeF, vS, mE, v dif, sf of 2</t>
  </si>
  <si>
    <t>IC5031</t>
  </si>
  <si>
    <t>20h45m20.2s</t>
  </si>
  <si>
    <t>-67h32m21s</t>
  </si>
  <si>
    <t>IC5032</t>
  </si>
  <si>
    <t>20h45m22.1s</t>
  </si>
  <si>
    <t>-67h33m5s</t>
  </si>
  <si>
    <t>IC5033</t>
  </si>
  <si>
    <t>20h43m55.1s</t>
  </si>
  <si>
    <t>-57h20m4s</t>
  </si>
  <si>
    <t>IC5034</t>
  </si>
  <si>
    <t>20h43m41.7s</t>
  </si>
  <si>
    <t>-57h1m48s</t>
  </si>
  <si>
    <t>IC5035</t>
  </si>
  <si>
    <t>20h44m14.5s</t>
  </si>
  <si>
    <t>-57h7m39s</t>
  </si>
  <si>
    <t>IC5036</t>
  </si>
  <si>
    <t>20h44m37.4s</t>
  </si>
  <si>
    <t>-57h37m35s</t>
  </si>
  <si>
    <t>faint, pretty small, much extended 125°</t>
  </si>
  <si>
    <t>F, pS, mE 125°</t>
  </si>
  <si>
    <t>IC5037</t>
  </si>
  <si>
    <t>20h45m39.3s</t>
  </si>
  <si>
    <t>-58h26m59s</t>
  </si>
  <si>
    <t>faint, pretty small, much extended 170°</t>
  </si>
  <si>
    <t>F, pS, mE 170°</t>
  </si>
  <si>
    <t>IC5038</t>
  </si>
  <si>
    <t>20h46m51.3s</t>
  </si>
  <si>
    <t>-65h1m0s</t>
  </si>
  <si>
    <t>very faint, very small, round, almost stellar</t>
  </si>
  <si>
    <t>vF, vS, R, alm stell</t>
  </si>
  <si>
    <t>IC5039</t>
  </si>
  <si>
    <t>eeF, pS, vmE, sp of 2</t>
  </si>
  <si>
    <t>IC5040</t>
  </si>
  <si>
    <t>20h52m19.5s</t>
  </si>
  <si>
    <t>-76h41m11s</t>
  </si>
  <si>
    <t>considerably bright, small, round, suspected</t>
  </si>
  <si>
    <t>cB, S, R, susp</t>
  </si>
  <si>
    <t>IC5041</t>
  </si>
  <si>
    <t>eeF, pS, mE, v diffic, nf of 2</t>
  </si>
  <si>
    <t>IC5042</t>
  </si>
  <si>
    <t>20h47m46.1s</t>
  </si>
  <si>
    <t>-65h5m1s</t>
  </si>
  <si>
    <t>IC5043</t>
  </si>
  <si>
    <t>20h46m38.4s</t>
  </si>
  <si>
    <t>-56h59m1s</t>
  </si>
  <si>
    <t>IC5044</t>
  </si>
  <si>
    <t>20h50m41.4s</t>
  </si>
  <si>
    <t>-71h53m56s</t>
  </si>
  <si>
    <t>IC5045</t>
  </si>
  <si>
    <t>20h50m50.2s</t>
  </si>
  <si>
    <t>-71h54m35s</t>
  </si>
  <si>
    <t>IC5046</t>
  </si>
  <si>
    <t>eF, pS, mE, 2 vF st sf, sp of 2</t>
  </si>
  <si>
    <t>IC5047</t>
  </si>
  <si>
    <t>IC5048</t>
  </si>
  <si>
    <t>20h51m40.6s</t>
  </si>
  <si>
    <t>-71h48m2s</t>
  </si>
  <si>
    <t>IC5049</t>
  </si>
  <si>
    <t>20h47m23.8s</t>
  </si>
  <si>
    <t>-38h25m5s</t>
  </si>
  <si>
    <t>IC5050</t>
  </si>
  <si>
    <t>20h45m15s</t>
  </si>
  <si>
    <t>-5h37m23s</t>
  </si>
  <si>
    <t>faint, considerably small, diffuse, very small elongated nucleus</t>
  </si>
  <si>
    <t>F, cS, dif, vS E N</t>
  </si>
  <si>
    <t>IC5051</t>
  </si>
  <si>
    <t>20h52m22.9s</t>
  </si>
  <si>
    <t>-71h47m20s</t>
  </si>
  <si>
    <t>IC5052</t>
  </si>
  <si>
    <t>20h52m7.1s</t>
  </si>
  <si>
    <t>-69h12m19s</t>
  </si>
  <si>
    <t>faint, large, extremely extended 140°, 4 arcmin long</t>
  </si>
  <si>
    <t>F, L, eE 140°, 4' l</t>
  </si>
  <si>
    <t>IC5053</t>
  </si>
  <si>
    <t>20h53m36s</t>
  </si>
  <si>
    <t>-71h8m30s</t>
  </si>
  <si>
    <t>considerably faint, very small, brighter middle, 11th magnitude star 2 arcmin north</t>
  </si>
  <si>
    <t>cF, vS, bM, * 11 n 2'</t>
  </si>
  <si>
    <t>IC5054</t>
  </si>
  <si>
    <t>20h53m45.2s</t>
  </si>
  <si>
    <t>-71h1m29s</t>
  </si>
  <si>
    <t>considerably faint, very small, between 2 faint stars</t>
  </si>
  <si>
    <t>cF, vS, bet 2 F st</t>
  </si>
  <si>
    <t>IC5055</t>
  </si>
  <si>
    <t>20h52m57.6s</t>
  </si>
  <si>
    <t>-68h26m41s</t>
  </si>
  <si>
    <t>very faint, brighter middle, suspected</t>
  </si>
  <si>
    <t>vF, bM, susp</t>
  </si>
  <si>
    <t>IC5056</t>
  </si>
  <si>
    <t>20h49m0s</t>
  </si>
  <si>
    <t>-39h10m54s</t>
  </si>
  <si>
    <t>faint, considerably large, extremely extended 150°</t>
  </si>
  <si>
    <t>F, cL, eE 150°</t>
  </si>
  <si>
    <t>IC5057</t>
  </si>
  <si>
    <t>20h47m13.5s</t>
  </si>
  <si>
    <t>+0h19m20s</t>
  </si>
  <si>
    <t>extremely faint, nebulous star or extremely small nebula</t>
  </si>
  <si>
    <t>cF, neb * or eS neb</t>
  </si>
  <si>
    <t>IC5058</t>
  </si>
  <si>
    <t>extremely faint, distinct from (NGC) 6963</t>
  </si>
  <si>
    <t>eF, distinct from 6963</t>
  </si>
  <si>
    <t>IC5059</t>
  </si>
  <si>
    <t>20h51m13.5s</t>
  </si>
  <si>
    <t>-57h41m19s</t>
  </si>
  <si>
    <t>IC5060</t>
  </si>
  <si>
    <t>20h54m46.2s</t>
  </si>
  <si>
    <t>-71h38m14s</t>
  </si>
  <si>
    <t>extremely faint, extremely small, between 2 faint stars</t>
  </si>
  <si>
    <t>eF, eS, bet 2 F st</t>
  </si>
  <si>
    <t>IC5061</t>
  </si>
  <si>
    <t>20h47m37.2s</t>
  </si>
  <si>
    <t>+0h20m12s</t>
  </si>
  <si>
    <t>extremely faint, very small cluster, perhaps nebulous</t>
  </si>
  <si>
    <t>eF, vS Cl, ? neb</t>
  </si>
  <si>
    <t>IC5062</t>
  </si>
  <si>
    <t>20h48m10.3s</t>
  </si>
  <si>
    <t>-8h21m32s</t>
  </si>
  <si>
    <t>13.5 magnitude star with extremely faint star and nebula, 13th magnitude star 1 arcmin west</t>
  </si>
  <si>
    <t>* 13.5 with eF st &amp; neb, * 13 p 1'</t>
  </si>
  <si>
    <t>IC5063</t>
  </si>
  <si>
    <t>20h52m2s</t>
  </si>
  <si>
    <t>-57h4m10s</t>
  </si>
  <si>
    <t>IC5064</t>
  </si>
  <si>
    <t>20h52m38.1s</t>
  </si>
  <si>
    <t>-57h13m57s</t>
  </si>
  <si>
    <t>IC5065</t>
  </si>
  <si>
    <t>20h51m45.8s</t>
  </si>
  <si>
    <t>-29h50m50s</t>
  </si>
  <si>
    <t>IC5066</t>
  </si>
  <si>
    <t>20h57m3.1s</t>
  </si>
  <si>
    <t>-73h8m51s</t>
  </si>
  <si>
    <t>IC5067</t>
  </si>
  <si>
    <t>鹈鹕星云</t>
  </si>
  <si>
    <t>20h47m50s</t>
  </si>
  <si>
    <t>+44h22m0s</t>
  </si>
  <si>
    <t>IC5068</t>
  </si>
  <si>
    <t>+42h28m42s</t>
  </si>
  <si>
    <t>IC5069</t>
  </si>
  <si>
    <t>21h0m10.3s</t>
  </si>
  <si>
    <t>-71h48m38s</t>
  </si>
  <si>
    <t>IC5070</t>
  </si>
  <si>
    <t>20h51m0s</t>
  </si>
  <si>
    <t>+44h24m6s</t>
  </si>
  <si>
    <t>IC5071</t>
  </si>
  <si>
    <t>21h1m19.9s</t>
  </si>
  <si>
    <t>-72h38m35s</t>
  </si>
  <si>
    <t>considerably bright, small, extremely extended 20°, stellar nucleus</t>
  </si>
  <si>
    <t>cB, S, eE 20°, stell N</t>
  </si>
  <si>
    <t>IC5072</t>
  </si>
  <si>
    <t>21h1m56.5s</t>
  </si>
  <si>
    <t>-72h59m17s</t>
  </si>
  <si>
    <t>IC5073</t>
  </si>
  <si>
    <t>21h3m19.7s</t>
  </si>
  <si>
    <t>-72h41m16s</t>
  </si>
  <si>
    <t>IC5074</t>
  </si>
  <si>
    <t>21h1m0.6s</t>
  </si>
  <si>
    <t>-63h9m12s</t>
  </si>
  <si>
    <t>round, planetary, magnitude 14</t>
  </si>
  <si>
    <t>R, planet., magn 14</t>
  </si>
  <si>
    <t>IC5075</t>
  </si>
  <si>
    <t>21h4m37.5s</t>
  </si>
  <si>
    <t>-71h52m5s</t>
  </si>
  <si>
    <t>very faint, small, considerably bright middle</t>
  </si>
  <si>
    <t>vF, S, cbM</t>
  </si>
  <si>
    <t>IC5076</t>
  </si>
  <si>
    <t>20h55m33s</t>
  </si>
  <si>
    <t>+47h23m42s</t>
  </si>
  <si>
    <t>very faint, very large, a little extended north-south, stars involved</t>
  </si>
  <si>
    <t>vF, vL, lE ns, st inv</t>
  </si>
  <si>
    <t>IC5077</t>
  </si>
  <si>
    <t>21h8m54s</t>
  </si>
  <si>
    <t>-73h38m26s</t>
  </si>
  <si>
    <t>extremely faint, extremely small, 10th magnitude star 2 arcmin northwest</t>
  </si>
  <si>
    <t>eF, eS, * 10 np 2'</t>
  </si>
  <si>
    <t>IC5078</t>
  </si>
  <si>
    <t>21h2m31.2s</t>
  </si>
  <si>
    <t>-16h49m6s</t>
  </si>
  <si>
    <t>extremely extended, near 2nd star of 3; suspected</t>
  </si>
  <si>
    <t>eE, nr 2nd * of 3, susp</t>
  </si>
  <si>
    <t>IC5079</t>
  </si>
  <si>
    <t>21h5m30s</t>
  </si>
  <si>
    <t>-56h14m54s</t>
  </si>
  <si>
    <t>faint, small, extended, perhaps a very small cluster or ring nebula</t>
  </si>
  <si>
    <t>F, S, E, ? vS Cl or ring neb</t>
  </si>
  <si>
    <t>IC5080</t>
  </si>
  <si>
    <t>21h2m33s</t>
  </si>
  <si>
    <t>+19h12m51s</t>
  </si>
  <si>
    <t>IC5081</t>
  </si>
  <si>
    <t>21h3m1.2s</t>
  </si>
  <si>
    <t>+19h11m21s</t>
  </si>
  <si>
    <t>very faint, very small, round, stellar nucleus</t>
  </si>
  <si>
    <t>vF, vS, R, stell N</t>
  </si>
  <si>
    <t>IC5082</t>
  </si>
  <si>
    <t>IC5083</t>
  </si>
  <si>
    <t>21h3m51.5s</t>
  </si>
  <si>
    <t>+11h45m50s</t>
  </si>
  <si>
    <t>most extremely faint, very small, very difficult; 8th magnitude star 13 seconds of time to east</t>
  </si>
  <si>
    <t>eeF, vS, v diffic, * 8 f 13s</t>
  </si>
  <si>
    <t>IC5084</t>
  </si>
  <si>
    <t>21h9m14.4s</t>
  </si>
  <si>
    <t>-63h17m23s</t>
  </si>
  <si>
    <t>faint, pretty small, extremely extended 155°, considerably brighter middle</t>
  </si>
  <si>
    <t>F, pS, eE 155°, cbM</t>
  </si>
  <si>
    <t>IC5085</t>
  </si>
  <si>
    <t>21h13m27.6s</t>
  </si>
  <si>
    <t>-74h6m11s</t>
  </si>
  <si>
    <t>IC5086</t>
  </si>
  <si>
    <t>21h8m32s</t>
  </si>
  <si>
    <t>-29h46m8s</t>
  </si>
  <si>
    <t>most extremely faint, pretty small, round, faint star to east</t>
  </si>
  <si>
    <t>eeF, pS, R, F * f</t>
  </si>
  <si>
    <t>IC5087</t>
  </si>
  <si>
    <t>21h14m21.8s</t>
  </si>
  <si>
    <t>-73h46m25s</t>
  </si>
  <si>
    <t>very faint, very small, 11th magnitude star 3 arcmin northwest</t>
  </si>
  <si>
    <t>vF, vS, * 11 np 3'</t>
  </si>
  <si>
    <t>IC5088</t>
  </si>
  <si>
    <t>21h9m26.7s</t>
  </si>
  <si>
    <t>-22h52m41s</t>
  </si>
  <si>
    <t>IC5089</t>
  </si>
  <si>
    <t>21h10m54.4s</t>
  </si>
  <si>
    <t>-3h51m44s</t>
  </si>
  <si>
    <t>extremely faint, very small, brighter middle, faint star 30 arcsec southwest</t>
  </si>
  <si>
    <t>eF, vS, bM, F * 30" sp</t>
  </si>
  <si>
    <t>IC5090</t>
  </si>
  <si>
    <t>21h11m30.6s</t>
  </si>
  <si>
    <t>-2h1m55s</t>
  </si>
  <si>
    <t>IC5091</t>
  </si>
  <si>
    <t>21h17m37.1s</t>
  </si>
  <si>
    <t>-70h39m10s</t>
  </si>
  <si>
    <t>IC5092</t>
  </si>
  <si>
    <t>21h16m14.2s</t>
  </si>
  <si>
    <t>-64h27m54s</t>
  </si>
  <si>
    <t>pretty large, extended, much brighter middle</t>
  </si>
  <si>
    <t>pL, E, mbM</t>
  </si>
  <si>
    <t>IC5093</t>
  </si>
  <si>
    <t>21h18m46.4s</t>
  </si>
  <si>
    <t>-70h37m20s</t>
  </si>
  <si>
    <t>most extremely faint, very small, round, suspected</t>
  </si>
  <si>
    <t>eeF, vS, R, susp</t>
  </si>
  <si>
    <t>IC5094</t>
  </si>
  <si>
    <t>21h17m49.4s</t>
  </si>
  <si>
    <t>-66h25m40s</t>
  </si>
  <si>
    <t>very faint, very small, round, star 0.5 arcmin northwest</t>
  </si>
  <si>
    <t>vF, vS, R, * np 0'.5</t>
  </si>
  <si>
    <t>IC5095</t>
  </si>
  <si>
    <t>21h17m22s</t>
  </si>
  <si>
    <t>-59h56m51s</t>
  </si>
  <si>
    <t>pretty large, extended</t>
  </si>
  <si>
    <t>pL, E</t>
  </si>
  <si>
    <t>IC5096</t>
  </si>
  <si>
    <t>21h18m21.5s</t>
  </si>
  <si>
    <t>faint, pretty large, extremely extended 145°, stellar nucleus</t>
  </si>
  <si>
    <t>F, pL, eE 145°, stell N</t>
  </si>
  <si>
    <t>IC5097</t>
  </si>
  <si>
    <t>21h14m58s</t>
  </si>
  <si>
    <t>+4h28m0s</t>
  </si>
  <si>
    <t>extremely faint, stellar, 3 arcmin southeast of (NGC) 7045</t>
  </si>
  <si>
    <t>eF, stell, 3' sf 7045</t>
  </si>
  <si>
    <t>IC5098</t>
  </si>
  <si>
    <t>21h15m1.3s</t>
  </si>
  <si>
    <t>+4h29m39s</t>
  </si>
  <si>
    <t>extremely faint, 2.5 arcmin east southeast of (NGC) 7045</t>
  </si>
  <si>
    <t>eF, 2'.5 sff 7045</t>
  </si>
  <si>
    <t>IC5099</t>
  </si>
  <si>
    <t>21h21m49.1s</t>
  </si>
  <si>
    <t>-70h58m58s</t>
  </si>
  <si>
    <t>very faint, small, a little extended 10°</t>
  </si>
  <si>
    <t>vF, S, lE 10°</t>
  </si>
  <si>
    <t>IC5100</t>
  </si>
  <si>
    <t>21h21m43.4s</t>
  </si>
  <si>
    <t>-65h55m59s</t>
  </si>
  <si>
    <t>faint small, considerably extended 110°</t>
  </si>
  <si>
    <t>F, S, cE 110°</t>
  </si>
  <si>
    <t>IC5101</t>
  </si>
  <si>
    <t>21h21m55.9s</t>
  </si>
  <si>
    <t>-65h50m9s</t>
  </si>
  <si>
    <t>considerably faint, small, star in nebulosity</t>
  </si>
  <si>
    <t>cF, S, * in neb</t>
  </si>
  <si>
    <t>IC5102</t>
  </si>
  <si>
    <t>21h26m13.4s</t>
  </si>
  <si>
    <t>-73h18m36s</t>
  </si>
  <si>
    <t>IC5103</t>
  </si>
  <si>
    <t>21h29m13.4s</t>
  </si>
  <si>
    <t>-74h4m10s</t>
  </si>
  <si>
    <t>IC5104</t>
  </si>
  <si>
    <t>21h21m29.3s</t>
  </si>
  <si>
    <t>+21h14m29s</t>
  </si>
  <si>
    <t>faint, very small, extended north-south, diffuse, 14th magnitude star near</t>
  </si>
  <si>
    <t>F, vS, E ns, dif, * 14 nr</t>
  </si>
  <si>
    <t>IC5105</t>
  </si>
  <si>
    <t>21h24m21.9s</t>
  </si>
  <si>
    <t>-40h32m18s</t>
  </si>
  <si>
    <t>very faint, very small, round, stars to north and south</t>
  </si>
  <si>
    <t>vF, vS, R, st n &amp; s</t>
  </si>
  <si>
    <t>IC5106</t>
  </si>
  <si>
    <t>21h28m37.9s</t>
  </si>
  <si>
    <t>-70h50m5s</t>
  </si>
  <si>
    <t>IC5107</t>
  </si>
  <si>
    <t>21h28m14.8s</t>
  </si>
  <si>
    <t>-65h44m7s</t>
  </si>
  <si>
    <t>extremely faint, very small, considerably extended 10°</t>
  </si>
  <si>
    <t>eF, vS, cE 10°</t>
  </si>
  <si>
    <t>IC5108</t>
  </si>
  <si>
    <t>21h32m51.1s</t>
  </si>
  <si>
    <t>-72h39m33s</t>
  </si>
  <si>
    <t>extremely faint, very small, considerably brighter middle</t>
  </si>
  <si>
    <t>eF, vS, cbM</t>
  </si>
  <si>
    <t>IC5109</t>
  </si>
  <si>
    <t>21h33m42.7s</t>
  </si>
  <si>
    <t>-74h6m42s</t>
  </si>
  <si>
    <t>IC5110</t>
  </si>
  <si>
    <t>21h30m43.5s</t>
  </si>
  <si>
    <t>-60h0m7s</t>
  </si>
  <si>
    <t>IC5111</t>
  </si>
  <si>
    <t>21h28m10.9s</t>
  </si>
  <si>
    <t>+2h28m28s</t>
  </si>
  <si>
    <t>IC5112</t>
  </si>
  <si>
    <t>21h29m30s</t>
  </si>
  <si>
    <t>+6h46m50s</t>
  </si>
  <si>
    <t>cluster, extremely faint, extremely small</t>
  </si>
  <si>
    <t>Cl, eF, eS</t>
  </si>
  <si>
    <t>IC5113</t>
  </si>
  <si>
    <t>21h29m45s</t>
  </si>
  <si>
    <t>+6h49m6s</t>
  </si>
  <si>
    <t>cluster, extremely faint, small, perhaps nebulous</t>
  </si>
  <si>
    <t>Cl, eF, S, ? nebs</t>
  </si>
  <si>
    <t>IC5114</t>
  </si>
  <si>
    <t>extremely faint, pretty small, round, 2 stars 30 seconds of time to the east</t>
  </si>
  <si>
    <t xml:space="preserve">eF, pS, R, 2 st f 30s </t>
  </si>
  <si>
    <t>IC5115</t>
  </si>
  <si>
    <t>21h30m57.1s</t>
  </si>
  <si>
    <t>+11h45m49s</t>
  </si>
  <si>
    <t>most extremely faint, very small, faint star to east</t>
  </si>
  <si>
    <t>eeF, vS, F * f</t>
  </si>
  <si>
    <t>IC5116</t>
  </si>
  <si>
    <t>21h37m5.2s</t>
  </si>
  <si>
    <t>-70h58m59s</t>
  </si>
  <si>
    <t>considerably faint, small, round, stellar nucleus</t>
  </si>
  <si>
    <t>cF, S, R, stell N</t>
  </si>
  <si>
    <t>IC5117</t>
  </si>
  <si>
    <t>21h32m31s</t>
  </si>
  <si>
    <t>+44h35m50s</t>
  </si>
  <si>
    <t>IC5118</t>
  </si>
  <si>
    <t>21h42m13.9s</t>
  </si>
  <si>
    <t>-71h22m56s</t>
  </si>
  <si>
    <t>very faint, small, considerably extended 35°, 10th magnitude star 2 arcmin to southwest</t>
  </si>
  <si>
    <t>vF, S, cE 35°, * 10 sp 2'</t>
  </si>
  <si>
    <t>IC5119</t>
  </si>
  <si>
    <t>21h33m55.9s</t>
  </si>
  <si>
    <t>+21h50m15s</t>
  </si>
  <si>
    <t>faint, very small, diffuse, 15th magnitude star attached, 13th magnitude star to north</t>
  </si>
  <si>
    <t>F, vS, dif, * 15 att, * 13 n</t>
  </si>
  <si>
    <t>IC5120</t>
  </si>
  <si>
    <t>21h38m48.2s</t>
  </si>
  <si>
    <t>-64h21m1s</t>
  </si>
  <si>
    <t>faint, almost round</t>
  </si>
  <si>
    <t>F, alm R</t>
  </si>
  <si>
    <t>IC5121</t>
  </si>
  <si>
    <t>planetary, stellar, 13th magnitude</t>
  </si>
  <si>
    <t>Planetary, stellar, 13 magn</t>
  </si>
  <si>
    <t>IC5122</t>
  </si>
  <si>
    <t>21h39m45.8s</t>
  </si>
  <si>
    <t>-22h24m22s</t>
  </si>
  <si>
    <t>extremely faint, very small; (NGC) 7103 and 7104 and IC 1393 near</t>
  </si>
  <si>
    <t>eF, vS, 7103-04, I.C. 1393 nr</t>
  </si>
  <si>
    <t>IC5123</t>
  </si>
  <si>
    <t>21h44m49.3s</t>
  </si>
  <si>
    <t>-72h25m14s</t>
  </si>
  <si>
    <t>considerably faint, very small, considerably extended 15°, 12th magnitude star 1 arcmin to west</t>
  </si>
  <si>
    <t>cF, vS, cE 15°, * 12 p 1'</t>
  </si>
  <si>
    <t>IC5124</t>
  </si>
  <si>
    <t>21h39m55.2s</t>
  </si>
  <si>
    <t>-22h25m36s</t>
  </si>
  <si>
    <t>most extremely faint, small, difficult; another suspected 1 arcmin to south</t>
  </si>
  <si>
    <t>eeF, S, diffic, another susp 1' s</t>
  </si>
  <si>
    <t>IC5125</t>
  </si>
  <si>
    <t>21h41m50.3s</t>
  </si>
  <si>
    <t>-52h46m24s</t>
  </si>
  <si>
    <t>IC5126</t>
  </si>
  <si>
    <t>21h40m28.6s</t>
  </si>
  <si>
    <t>-6h20m45s</t>
  </si>
  <si>
    <t>very faint, very small, round, between two 14th magnitude stars</t>
  </si>
  <si>
    <t>vF, vS, R, bet 2 st 14</t>
  </si>
  <si>
    <t>IC5127</t>
  </si>
  <si>
    <t>21h39m51s</t>
  </si>
  <si>
    <t>+6h14m6s</t>
  </si>
  <si>
    <t>extremely faint, pretty large, several extremely faint stars and nebulosity</t>
  </si>
  <si>
    <t>eF, pL, sev eF st &amp; neb</t>
  </si>
  <si>
    <t>IC5128</t>
  </si>
  <si>
    <t>21h43m11.7s</t>
  </si>
  <si>
    <t>-38h58m5s</t>
  </si>
  <si>
    <t>most extremely faint, very small, round, diffuse, star to southwest</t>
  </si>
  <si>
    <t>eeF, vS, R, dif, st sp</t>
  </si>
  <si>
    <t>IC5129</t>
  </si>
  <si>
    <t>21h47m46.5s</t>
  </si>
  <si>
    <t>-65h23m15s</t>
  </si>
  <si>
    <t>IC5130</t>
  </si>
  <si>
    <t>21h50m24.7s</t>
  </si>
  <si>
    <t>-73h59m51s</t>
  </si>
  <si>
    <t>IC5131</t>
  </si>
  <si>
    <t>21h47m25.3s</t>
  </si>
  <si>
    <t>-34h53m4s</t>
  </si>
  <si>
    <t>IC5132</t>
  </si>
  <si>
    <t>21h42m40.1s</t>
  </si>
  <si>
    <t>(one of) two 13th magnitude stars in very faint nebulosity</t>
  </si>
  <si>
    <t>2 st 13 magn in vF neb</t>
  </si>
  <si>
    <t>IC5133</t>
  </si>
  <si>
    <t>21h42m47.1s</t>
  </si>
  <si>
    <t>+66h10m52s</t>
  </si>
  <si>
    <t>IC5134</t>
  </si>
  <si>
    <t>a 9.5 magnitude star in nebulosity; IV 75 close</t>
  </si>
  <si>
    <t>* 9.5 in neb, IV 75 close</t>
  </si>
  <si>
    <t>IC5135</t>
  </si>
  <si>
    <t>IC5136</t>
  </si>
  <si>
    <t>21h48m50.4s</t>
  </si>
  <si>
    <t>-33h39m9s</t>
  </si>
  <si>
    <t>IC5137</t>
  </si>
  <si>
    <t>21h51m37.9s</t>
  </si>
  <si>
    <t>-65h34m59s</t>
  </si>
  <si>
    <t>extremely faint, small, round, stellar nucleus, spiral?; suspected</t>
  </si>
  <si>
    <t>eF, S, R, stell N, spir ?, susp</t>
  </si>
  <si>
    <t>IC5138</t>
  </si>
  <si>
    <t>21h53m21.5s</t>
  </si>
  <si>
    <t>-68h57m10s</t>
  </si>
  <si>
    <t>IC5139</t>
  </si>
  <si>
    <t>21h50m25.6s</t>
  </si>
  <si>
    <t>-30h59m42s</t>
  </si>
  <si>
    <t>IC5140</t>
  </si>
  <si>
    <t>21h54m15.8s</t>
  </si>
  <si>
    <t>-67h19m52s</t>
  </si>
  <si>
    <t>IC5141</t>
  </si>
  <si>
    <t>21h53m17.1s</t>
  </si>
  <si>
    <t>-59h29m35s</t>
  </si>
  <si>
    <t>planetary, stellar, 15th magnitude</t>
  </si>
  <si>
    <t>Planet., stell, 15 mag</t>
  </si>
  <si>
    <t>IC5142</t>
  </si>
  <si>
    <t>21h55m20.1s</t>
  </si>
  <si>
    <t>-65h30m37s</t>
  </si>
  <si>
    <t>extremely faint, very small, round, between 2 stars, suspected</t>
  </si>
  <si>
    <t>eF, vS, R, bet 2 st, susp</t>
  </si>
  <si>
    <t>IC5143</t>
  </si>
  <si>
    <t>IC5144</t>
  </si>
  <si>
    <t>21h54m9.4s</t>
  </si>
  <si>
    <t>+15h2m14s</t>
  </si>
  <si>
    <t>faint, small, several faint stars close to the east</t>
  </si>
  <si>
    <t>F, S, sev F st close f</t>
  </si>
  <si>
    <t>IC5145</t>
  </si>
  <si>
    <t>21h54m22.9s</t>
  </si>
  <si>
    <t>+15h9m23s</t>
  </si>
  <si>
    <t>IC5146</t>
  </si>
  <si>
    <t>茧星云</t>
  </si>
  <si>
    <t>21h53m24s</t>
  </si>
  <si>
    <t>+47h16m0s</t>
  </si>
  <si>
    <t>pretty bright, very large, irregular figure, 9.5 magnitude star in middle</t>
  </si>
  <si>
    <t>pB, vL, iF, * 9.5 in M</t>
  </si>
  <si>
    <t>IC5147</t>
  </si>
  <si>
    <t>21h59m26.2s</t>
  </si>
  <si>
    <t>-65h26m59s</t>
  </si>
  <si>
    <t>extremely faint, extremely small, round, faint star 2 arcmin to east</t>
  </si>
  <si>
    <t>eF, eS, R, F * f 2'</t>
  </si>
  <si>
    <t>IC5148</t>
  </si>
  <si>
    <t>备胎星云</t>
  </si>
  <si>
    <t>21h59m35.1s</t>
  </si>
  <si>
    <t>-39h23m6s</t>
  </si>
  <si>
    <t>very faint, large, a little extended, star attached</t>
  </si>
  <si>
    <t>vF, L, lE, * att</t>
  </si>
  <si>
    <t>IC5149</t>
  </si>
  <si>
    <t>21h58m58.9s</t>
  </si>
  <si>
    <t>-27h24m52s</t>
  </si>
  <si>
    <t>extremely faint, small, round, 6.5 magnitude star 63 seconds of time to east on parallel (of declination)</t>
  </si>
  <si>
    <t>eF, S, R, * 6.5 f 63s on par</t>
  </si>
  <si>
    <t>IC5150</t>
  </si>
  <si>
    <t>pretty bright, pretty large, annular</t>
  </si>
  <si>
    <t>pB, pL, annular</t>
  </si>
  <si>
    <t>IC5151</t>
  </si>
  <si>
    <t>21h58m52.8s</t>
  </si>
  <si>
    <t>+3h45m46s</t>
  </si>
  <si>
    <t>IC5152</t>
  </si>
  <si>
    <t>22h2m41.9s</t>
  </si>
  <si>
    <t>-51h17m46s</t>
  </si>
  <si>
    <t>faint, considerably large, considerably extended 150°, considerably brighter middle</t>
  </si>
  <si>
    <t>F, cL, cE 150°, cbM</t>
  </si>
  <si>
    <t>IC5153</t>
  </si>
  <si>
    <t>22h0m23.6s</t>
  </si>
  <si>
    <t>+17h51m49s</t>
  </si>
  <si>
    <t>extremely faint, perhaps a star; 9.5 magnitude star 1.4 arcmin to southeast</t>
  </si>
  <si>
    <t>eF, ? st, * 9.5 sf 1'.4</t>
  </si>
  <si>
    <t>IC5154</t>
  </si>
  <si>
    <t>22h4m29.6s</t>
  </si>
  <si>
    <t>-66h6m51s</t>
  </si>
  <si>
    <t>IC5155</t>
  </si>
  <si>
    <t>22h2m6.2s</t>
  </si>
  <si>
    <t>+0h29m18s</t>
  </si>
  <si>
    <t>extremely faint, small, suddenly much brighter middle, 13th magnitude star 1.5 arcmin to east</t>
  </si>
  <si>
    <t>eF, S, smbM, * 13 f 1'.5</t>
  </si>
  <si>
    <t>IC5156</t>
  </si>
  <si>
    <t>22h3m14.5s</t>
  </si>
  <si>
    <t>-33h50m13s</t>
  </si>
  <si>
    <t>IC5157</t>
  </si>
  <si>
    <t>22h3m27s</t>
  </si>
  <si>
    <t>-34h56m29s</t>
  </si>
  <si>
    <t>pretty bright, pretty small, round, 3 stars in line to northeast</t>
  </si>
  <si>
    <t>pB, pS, R, 3 st in line nf</t>
  </si>
  <si>
    <t>IC5158</t>
  </si>
  <si>
    <t>22h6m24.9s</t>
  </si>
  <si>
    <t>-67h31m3s</t>
  </si>
  <si>
    <t>IC5159</t>
  </si>
  <si>
    <t>22h2m40s</t>
  </si>
  <si>
    <t>+0h19m10s</t>
  </si>
  <si>
    <t>extremely faint, very small, stellar, 11.5 magnitude star 1.5 arcmin to east northeast</t>
  </si>
  <si>
    <t>eF, vS, stell, * 11.5 nff 1'.5</t>
  </si>
  <si>
    <t>IC5160</t>
  </si>
  <si>
    <t>22h3m4.8s</t>
  </si>
  <si>
    <t>+10h55m31s</t>
  </si>
  <si>
    <t>IC5161</t>
  </si>
  <si>
    <t>22h5m38.9s</t>
  </si>
  <si>
    <t>+9h38m26s</t>
  </si>
  <si>
    <t>faint, round, stellar, mottled but not resolved</t>
  </si>
  <si>
    <t>F, R, stell, r</t>
  </si>
  <si>
    <t>IC5162</t>
  </si>
  <si>
    <t>22h8m2.9s</t>
  </si>
  <si>
    <t>extremely faint, extremely small, very extended 95°</t>
  </si>
  <si>
    <t>eF, eS, vE 95°</t>
  </si>
  <si>
    <t>IC5163</t>
  </si>
  <si>
    <t>22h5m46.4s</t>
  </si>
  <si>
    <t>+27h5m0s</t>
  </si>
  <si>
    <t>extremely faint, two 13th magnitude stars near</t>
  </si>
  <si>
    <t>eF, 2 st 13 nr</t>
  </si>
  <si>
    <t>IC5164</t>
  </si>
  <si>
    <t>22h5m50.4s</t>
  </si>
  <si>
    <t>+27h2m27s</t>
  </si>
  <si>
    <t>eF, stell</t>
  </si>
  <si>
    <t>IC5165</t>
  </si>
  <si>
    <t>22h10m6.9s</t>
  </si>
  <si>
    <t>-64h34m42s</t>
  </si>
  <si>
    <t>IC5166</t>
  </si>
  <si>
    <t>22h5m58.3s</t>
  </si>
  <si>
    <t>+27h2m51s</t>
  </si>
  <si>
    <t>extremely faint, stellar nucleus or very small cluster</t>
  </si>
  <si>
    <t>eF, stell N, or vS Cl</t>
  </si>
  <si>
    <t>IC5167</t>
  </si>
  <si>
    <t>22h7m31.6s</t>
  </si>
  <si>
    <t>-8h7m21s</t>
  </si>
  <si>
    <t>very faint, perhaps nebulous</t>
  </si>
  <si>
    <t>vF, neb ?</t>
  </si>
  <si>
    <t>IC5168</t>
  </si>
  <si>
    <t>22h8m45.5s</t>
  </si>
  <si>
    <t>-27h51m24s</t>
  </si>
  <si>
    <t>most extremely faint, very small, much extended, in a triangle with 2 faint stars</t>
  </si>
  <si>
    <t>eeF, vS, mE, Δ 2 F st</t>
  </si>
  <si>
    <t>IC5169</t>
  </si>
  <si>
    <t>22h10m10s</t>
  </si>
  <si>
    <t>-36h5m20s</t>
  </si>
  <si>
    <t>extremely faint, extremely small, stellar nucleus, spiral or oval</t>
  </si>
  <si>
    <t>eF, eS, stell N, spir or oval</t>
  </si>
  <si>
    <t>IC5170</t>
  </si>
  <si>
    <t>22h12m29.6s</t>
  </si>
  <si>
    <t>-47h13m17s</t>
  </si>
  <si>
    <t>new</t>
  </si>
  <si>
    <t>IC5171</t>
  </si>
  <si>
    <t>22h10m56.6s</t>
  </si>
  <si>
    <t>-46h4m55s</t>
  </si>
  <si>
    <t>IC5172</t>
  </si>
  <si>
    <t>22h9m55.4s</t>
  </si>
  <si>
    <t>+12h49m4s</t>
  </si>
  <si>
    <t>very faint, very small, stellar, 14th magnitude star attached</t>
  </si>
  <si>
    <t>vF, vS, stell, * 14 att</t>
  </si>
  <si>
    <t>IC5173</t>
  </si>
  <si>
    <t>南积分号星系</t>
  </si>
  <si>
    <t>22h14m44.5s</t>
  </si>
  <si>
    <t>-69h21m57s</t>
  </si>
  <si>
    <t>extremely faint, small, much extended 75°</t>
  </si>
  <si>
    <t>eF, S, mE 75°</t>
  </si>
  <si>
    <t>IC5174</t>
  </si>
  <si>
    <t>22h12m44.5s</t>
  </si>
  <si>
    <t>-38h10m18s</t>
  </si>
  <si>
    <t>extremely faint, extremely small, considerably extended 150°</t>
  </si>
  <si>
    <t>eF, eS, cE 150°</t>
  </si>
  <si>
    <t>IC5175</t>
  </si>
  <si>
    <t>22h12m48.2s</t>
  </si>
  <si>
    <t>-38h7m38s</t>
  </si>
  <si>
    <t>IC5176</t>
  </si>
  <si>
    <t>22h14m55s</t>
  </si>
  <si>
    <t>-66h51m0s</t>
  </si>
  <si>
    <t>very faint, small, extremely extended 30°, star to north</t>
  </si>
  <si>
    <t>vF, S, eE 30°, * n</t>
  </si>
  <si>
    <t>IC5177</t>
  </si>
  <si>
    <t>22h11m34.3s</t>
  </si>
  <si>
    <t>+11h47m43s</t>
  </si>
  <si>
    <t>faint, small, extended north-south, gradually a little brighter middle</t>
  </si>
  <si>
    <t>F, S, E ns, glbM</t>
  </si>
  <si>
    <t>IC5178</t>
  </si>
  <si>
    <t>SB+C?</t>
  </si>
  <si>
    <t>22h12m33.2s</t>
  </si>
  <si>
    <t>-22h57m16s</t>
  </si>
  <si>
    <t>extremely faint, very small, (NGC) 7220 is 63 seconds of time to the west</t>
  </si>
  <si>
    <t>eF, vS, 7220 p 63s</t>
  </si>
  <si>
    <t>IC5179</t>
  </si>
  <si>
    <t>22h16m9s</t>
  </si>
  <si>
    <t>-36h50m41s</t>
  </si>
  <si>
    <t>very faint, large, round, star near to south, bright star to southwest</t>
  </si>
  <si>
    <t>vF, L, R, * nr s, B * sp</t>
  </si>
  <si>
    <t>IC5180</t>
  </si>
  <si>
    <t>22h11m12s</t>
  </si>
  <si>
    <t>+38h55m36s</t>
  </si>
  <si>
    <t>IC5181</t>
  </si>
  <si>
    <t>22h13m21.6s</t>
  </si>
  <si>
    <t>-46h1m5s</t>
  </si>
  <si>
    <t>IC5182</t>
  </si>
  <si>
    <t>22h16m5s</t>
  </si>
  <si>
    <t>-65h27m17s</t>
  </si>
  <si>
    <t>IC5183</t>
  </si>
  <si>
    <t>pB, cS, F * att sf</t>
  </si>
  <si>
    <t>IC5184</t>
  </si>
  <si>
    <t>pF, pS, lE, bet 2 st ns</t>
  </si>
  <si>
    <t>IC5185</t>
  </si>
  <si>
    <t>22h17m43.8s</t>
  </si>
  <si>
    <t>-65h51m27s</t>
  </si>
  <si>
    <t>IC5186</t>
  </si>
  <si>
    <t>22h18m46.5s</t>
  </si>
  <si>
    <t>-36h48m6s</t>
  </si>
  <si>
    <t>IC5187</t>
  </si>
  <si>
    <t>22h18m18s</t>
  </si>
  <si>
    <t>-59h36m26s</t>
  </si>
  <si>
    <t>very small, round, disc, magnitude 14.5</t>
  </si>
  <si>
    <t>vS, R, disc, magn 14.5</t>
  </si>
  <si>
    <t>IC5188</t>
  </si>
  <si>
    <t>22h18m26.2s</t>
  </si>
  <si>
    <t>-59h38m26s</t>
  </si>
  <si>
    <t>faint, considerably small, round, considerably brighter middle</t>
  </si>
  <si>
    <t>F, cS, R, cbM</t>
  </si>
  <si>
    <t>IC5189</t>
  </si>
  <si>
    <t>22h16m14.2s</t>
  </si>
  <si>
    <t>-5h0m17s</t>
  </si>
  <si>
    <t>extremely faint star, perhaps nebulous</t>
  </si>
  <si>
    <t>eF *, ? nebs</t>
  </si>
  <si>
    <t>IC5190</t>
  </si>
  <si>
    <t>22h19m0.9s</t>
  </si>
  <si>
    <t>-59h52m58s</t>
  </si>
  <si>
    <t>very faint, 2 broad spiral arms, 15th magnitude in middle</t>
  </si>
  <si>
    <t>vF, 2 br spir, * 15 in M</t>
  </si>
  <si>
    <t>IC5191</t>
  </si>
  <si>
    <t>22h15m2.4s</t>
  </si>
  <si>
    <t>+37h18m1s</t>
  </si>
  <si>
    <t>(part of a) Group of 6 nebulae (sketched), including NGC 7240, 7242 and B.449</t>
  </si>
  <si>
    <t>Group of 6 neb (sketched), incl N.G.C. 7240, 7242 and B. 449</t>
  </si>
  <si>
    <t>IC5192</t>
  </si>
  <si>
    <t>22h15m14.1s</t>
  </si>
  <si>
    <t>+37h16m15s</t>
  </si>
  <si>
    <t>IC5193</t>
  </si>
  <si>
    <t>22h15m43.5s</t>
  </si>
  <si>
    <t>+37h14m36s</t>
  </si>
  <si>
    <t>IC5194</t>
  </si>
  <si>
    <t>22h17m8s</t>
  </si>
  <si>
    <t>-15h56m45s</t>
  </si>
  <si>
    <t>extremely faint (not found again)</t>
  </si>
  <si>
    <t>eF (not found again)</t>
  </si>
  <si>
    <t>IC5195</t>
  </si>
  <si>
    <t>22h15m41.5s</t>
  </si>
  <si>
    <t>+37h18m10s</t>
  </si>
  <si>
    <t>extremely faint, small, 0.5 arcmin south of (NGC) 7242</t>
  </si>
  <si>
    <t>eF, S, 0'.5 s of 7242</t>
  </si>
  <si>
    <t>IC5196</t>
  </si>
  <si>
    <t>22h20m11.3s</t>
  </si>
  <si>
    <t>-65h24m17s</t>
  </si>
  <si>
    <t>extremely faint, most extremely small, extremely extended 105°, stellar nucleus</t>
  </si>
  <si>
    <t>eF, eeS, eE 105°, stell N</t>
  </si>
  <si>
    <t>IC5197</t>
  </si>
  <si>
    <t>22h19m49.4s</t>
  </si>
  <si>
    <t>-60h8m11s</t>
  </si>
  <si>
    <t>IC5198</t>
  </si>
  <si>
    <t>extremely faint, pretty large, round, brighter middle, mottled but not resolved</t>
  </si>
  <si>
    <t>eF, pL, R, bM, r</t>
  </si>
  <si>
    <t>IC5199</t>
  </si>
  <si>
    <t>22h19m32.9s</t>
  </si>
  <si>
    <t>-37h32m3s</t>
  </si>
  <si>
    <t>extremely faint, extremely small, considerably extended 160°</t>
  </si>
  <si>
    <t>eF, eS, cE 160°</t>
  </si>
  <si>
    <t>IC5200</t>
  </si>
  <si>
    <t>22h22m15.6s</t>
  </si>
  <si>
    <t>-65h45m59s</t>
  </si>
  <si>
    <t>most extremely faint, extremely small, round, faint star 1 arcmin to northwest</t>
  </si>
  <si>
    <t>eeF, eS, R, F * np 1'</t>
  </si>
  <si>
    <t>IC5201</t>
  </si>
  <si>
    <t>22h20m57.5s</t>
  </si>
  <si>
    <t>-46h2m5s</t>
  </si>
  <si>
    <t>IC5202</t>
  </si>
  <si>
    <t>22h22m55.3s</t>
  </si>
  <si>
    <t>-65h48m9s</t>
  </si>
  <si>
    <t>a remarkable object, extremely faint, very small, stellar nucleus, spiral</t>
  </si>
  <si>
    <t>! eF, vS, stell N, spir</t>
  </si>
  <si>
    <t>IC5203</t>
  </si>
  <si>
    <t>22h22m34.3s</t>
  </si>
  <si>
    <t>-59h46m24s</t>
  </si>
  <si>
    <t>IC5204</t>
  </si>
  <si>
    <t>22h20m42s</t>
  </si>
  <si>
    <t>-14h24m0s</t>
  </si>
  <si>
    <t>very faint, very much extended</t>
  </si>
  <si>
    <t>vF, vmE</t>
  </si>
  <si>
    <t>IC5205</t>
  </si>
  <si>
    <t>22h22m47.7s</t>
  </si>
  <si>
    <t>-59h47m12s</t>
  </si>
  <si>
    <t>IC5206</t>
  </si>
  <si>
    <t>22h24m4.5s</t>
  </si>
  <si>
    <t>-66h51m28s</t>
  </si>
  <si>
    <t>extremely faint, very small, round, stellar nucleus</t>
  </si>
  <si>
    <t>eF, vS, R, stell N</t>
  </si>
  <si>
    <t>IC5207</t>
  </si>
  <si>
    <t>22h23m29.2s</t>
  </si>
  <si>
    <t>-60h33m56s</t>
  </si>
  <si>
    <t>IC5208</t>
  </si>
  <si>
    <t>22h24m34.1s</t>
  </si>
  <si>
    <t>-65h13m39s</t>
  </si>
  <si>
    <t>most extremely faint, extremely small, extremely extended 65°, stellar nucleus</t>
  </si>
  <si>
    <t>eeF, eS, eE 65°, stell N</t>
  </si>
  <si>
    <t>IC5209</t>
  </si>
  <si>
    <t>22h23m9.1s</t>
  </si>
  <si>
    <t>-37h59m37s</t>
  </si>
  <si>
    <t>faint, extremely small, round, 2 stars to northwest</t>
  </si>
  <si>
    <t>F, eS, R, 2 st np</t>
  </si>
  <si>
    <t>IC5210</t>
  </si>
  <si>
    <t>22h22m31.1s</t>
  </si>
  <si>
    <t>-18h52m9s</t>
  </si>
  <si>
    <t>most extremely faint, very small, round, preceding (western) of 2</t>
  </si>
  <si>
    <t>IC5211</t>
  </si>
  <si>
    <t>22h22m42.9s</t>
  </si>
  <si>
    <t>-18h52m47s</t>
  </si>
  <si>
    <t>extremely faint, small, following (eastern) of 2</t>
  </si>
  <si>
    <t>eF, S, f of 2</t>
  </si>
  <si>
    <t>IC5212</t>
  </si>
  <si>
    <t>22h23m30.2s</t>
  </si>
  <si>
    <t>-38h2m16s</t>
  </si>
  <si>
    <t>extremely faint, extremely small, considerably extended 40°</t>
  </si>
  <si>
    <t>eF, eS, cE 40°</t>
  </si>
  <si>
    <t>IC5213</t>
  </si>
  <si>
    <t>22h25m4.9s</t>
  </si>
  <si>
    <t>-60h28m34s</t>
  </si>
  <si>
    <t>IC5214</t>
  </si>
  <si>
    <t>22h22m43.4s</t>
  </si>
  <si>
    <t>-27h21m20s</t>
  </si>
  <si>
    <t>extremely faint, pretty small, round, 8th magnitude star to west</t>
  </si>
  <si>
    <t>eF, pS, R, * 8 p</t>
  </si>
  <si>
    <t>IC5215</t>
  </si>
  <si>
    <t>22h26m58s</t>
  </si>
  <si>
    <t>-65h58m58s</t>
  </si>
  <si>
    <t>extremely faint, very small, round, star 2 arcmin to northeast; suspected</t>
  </si>
  <si>
    <t>eF, vS, R, * 2' nf, susp</t>
  </si>
  <si>
    <t>IC5216</t>
  </si>
  <si>
    <t>22h24m44s</t>
  </si>
  <si>
    <t>-18h5m18s</t>
  </si>
  <si>
    <t>very faint, small, round, nuclear</t>
  </si>
  <si>
    <t>vF, S, R, N</t>
  </si>
  <si>
    <t>IC5217</t>
  </si>
  <si>
    <t>22h23m55.7s</t>
  </si>
  <si>
    <t>+50h58m3s</t>
  </si>
  <si>
    <t>IC5218</t>
  </si>
  <si>
    <t>22h28m5.8s</t>
  </si>
  <si>
    <t>-60h23m41s</t>
  </si>
  <si>
    <t>faint, pretty small, extended 195°</t>
  </si>
  <si>
    <t>F, pS, E 195°</t>
  </si>
  <si>
    <t>IC5219</t>
  </si>
  <si>
    <t>22h28m44.1s</t>
  </si>
  <si>
    <t>-65h53m37s</t>
  </si>
  <si>
    <t>extremely faint, extremely small, considerably extended 15°, suspected</t>
  </si>
  <si>
    <t>eF, eS, cE 15°, susp</t>
  </si>
  <si>
    <t>IC5220</t>
  </si>
  <si>
    <t>22h28m2.4s</t>
  </si>
  <si>
    <t>-59h43m22s</t>
  </si>
  <si>
    <t>faint, pretty small, extended 105°</t>
  </si>
  <si>
    <t>F, pS, E 105°</t>
  </si>
  <si>
    <t>IC5221</t>
  </si>
  <si>
    <t>22h28m57.9s</t>
  </si>
  <si>
    <t>-65h54m15s</t>
  </si>
  <si>
    <t>extremely faint, brighter middle, suspected</t>
  </si>
  <si>
    <t>eF, bM, susp</t>
  </si>
  <si>
    <t>IC5222</t>
  </si>
  <si>
    <t>22h29m54.7s</t>
  </si>
  <si>
    <t>-65h39m41s</t>
  </si>
  <si>
    <t>a remarkable object, extremely faint, pretty small, stellar nucleus, suspected</t>
  </si>
  <si>
    <t>! eF, pS, stell N, susp</t>
  </si>
  <si>
    <t>IC5223</t>
  </si>
  <si>
    <t>3S</t>
  </si>
  <si>
    <t>22h29m44.7s</t>
  </si>
  <si>
    <t>+7h59m21s</t>
  </si>
  <si>
    <t>IC5224</t>
  </si>
  <si>
    <t>22h30m30s</t>
  </si>
  <si>
    <t>-45h59m45s</t>
  </si>
  <si>
    <t>IC5225</t>
  </si>
  <si>
    <t>IC5226</t>
  </si>
  <si>
    <t>22h32m30s</t>
  </si>
  <si>
    <t>-25h39m44s</t>
  </si>
  <si>
    <t>IC5227</t>
  </si>
  <si>
    <t>22h34m3.6s</t>
  </si>
  <si>
    <t>-64h41m52s</t>
  </si>
  <si>
    <t>IC5228</t>
  </si>
  <si>
    <t>pretty bright, pretty small, round, bright star to south</t>
  </si>
  <si>
    <t>pB, pS, R, B * s</t>
  </si>
  <si>
    <t>IC5229</t>
  </si>
  <si>
    <t>22h34m50.3s</t>
  </si>
  <si>
    <t>-61h22m52s</t>
  </si>
  <si>
    <t>IC5230</t>
  </si>
  <si>
    <t>22h35m40.2s</t>
  </si>
  <si>
    <t>-61h32m50s</t>
  </si>
  <si>
    <t>extremely faint, extremely small, considerably extended 35°, considerably brighter middle</t>
  </si>
  <si>
    <t>eF, eS, cE 35°, cbM</t>
  </si>
  <si>
    <t>IC5231</t>
  </si>
  <si>
    <t>22h34m0.6s</t>
  </si>
  <si>
    <t>+23h20m21s</t>
  </si>
  <si>
    <t>IC5232</t>
  </si>
  <si>
    <t>22h37m38.3s</t>
  </si>
  <si>
    <t>-68h52m17s</t>
  </si>
  <si>
    <t>extremely faint, most extremely small, brighter middle</t>
  </si>
  <si>
    <t>eF, eeS, bM</t>
  </si>
  <si>
    <t>IC5233</t>
  </si>
  <si>
    <t>22h36m33s</t>
  </si>
  <si>
    <t>+25h45m49s</t>
  </si>
  <si>
    <t>faint, very small, diffuse, 12.5 magnitude star very close</t>
  </si>
  <si>
    <t>F, vS, dif, * 12.5 v close</t>
  </si>
  <si>
    <t>IC5234</t>
  </si>
  <si>
    <t>22h40m11.4s</t>
  </si>
  <si>
    <t>-65h49m29s</t>
  </si>
  <si>
    <t>extremely faint, most extremely small, considerably extended 165°, considerably brighter middle</t>
  </si>
  <si>
    <t>eF, eeS, cE 165°, cbM</t>
  </si>
  <si>
    <t>IC5235</t>
  </si>
  <si>
    <t>22h41m25.6s</t>
  </si>
  <si>
    <t>-66h34m49s</t>
  </si>
  <si>
    <t>IC5236</t>
  </si>
  <si>
    <t>22h41m30.4s</t>
  </si>
  <si>
    <t>-66h37m4s</t>
  </si>
  <si>
    <t>extremely faint, most extremely small, considerably extended 60°, brighter middle</t>
  </si>
  <si>
    <t>eF, eeS, cE 60°, bM</t>
  </si>
  <si>
    <t>IC5237</t>
  </si>
  <si>
    <t>most extremely faint, extremely small, extremely extended, 8th magnitude star to northwest</t>
  </si>
  <si>
    <t>eeF, eS, eE, * 8 np</t>
  </si>
  <si>
    <t>IC5238</t>
  </si>
  <si>
    <t>22h41m29.9s</t>
  </si>
  <si>
    <t>-60h45m28s</t>
  </si>
  <si>
    <t>faint, very small, very little extended</t>
  </si>
  <si>
    <t>F, vS, vlE</t>
  </si>
  <si>
    <t>IC5239</t>
  </si>
  <si>
    <t>22h40m45s</t>
  </si>
  <si>
    <t>-38h2m36s</t>
  </si>
  <si>
    <t>IC5240</t>
  </si>
  <si>
    <t>22h41m52.1s</t>
  </si>
  <si>
    <t>-44h46m1s</t>
  </si>
  <si>
    <t>pretty faint, pretty large, round, faint star to southeast</t>
  </si>
  <si>
    <t>pF, pL, R, F * sf</t>
  </si>
  <si>
    <t>IC5241</t>
  </si>
  <si>
    <t>22h41m38.5s</t>
  </si>
  <si>
    <t>+2h38m23s</t>
  </si>
  <si>
    <t>IC5242</t>
  </si>
  <si>
    <t>22h41m15.1s</t>
  </si>
  <si>
    <t>+23h24m25s</t>
  </si>
  <si>
    <t>faint, small, round, gradually brighter middle, 13th magnitude star to northeast</t>
  </si>
  <si>
    <t>F, S, R, gbM, * 13 nf</t>
  </si>
  <si>
    <t>IC5243</t>
  </si>
  <si>
    <t>22h41m24.5s</t>
  </si>
  <si>
    <t>+23h22m32s</t>
  </si>
  <si>
    <t>faint, considerably small, irregular figure, diffuse</t>
  </si>
  <si>
    <t>F, cS, iF, dif</t>
  </si>
  <si>
    <t>IC5244</t>
  </si>
  <si>
    <t>22h44m13.5s</t>
  </si>
  <si>
    <t>-64h2m35s</t>
  </si>
  <si>
    <t>extremely faint, pretty small, extremely extended 0°, stellar nucleus</t>
  </si>
  <si>
    <t>eF, pS, eE 0°, stell N</t>
  </si>
  <si>
    <t>IC5245</t>
  </si>
  <si>
    <t>22h44m56.6s</t>
  </si>
  <si>
    <t>-65h21m27s</t>
  </si>
  <si>
    <t>extremely faint, extremely small, round, faint star 0.5 arcmin to northwest</t>
  </si>
  <si>
    <t>eF, eS, R, F * np 0'.5</t>
  </si>
  <si>
    <t>IC5246</t>
  </si>
  <si>
    <t>22h46m39.5s</t>
  </si>
  <si>
    <t>-64h53m52s</t>
  </si>
  <si>
    <t>IC5247</t>
  </si>
  <si>
    <t>22h46m49.9s</t>
  </si>
  <si>
    <t>-65h16m25s</t>
  </si>
  <si>
    <t>very faint, very small, much extended 125°, much brighter middle</t>
  </si>
  <si>
    <t>vF, vS, mE 125°, mbM</t>
  </si>
  <si>
    <t>IC5248</t>
  </si>
  <si>
    <t>22h44m42.7s</t>
  </si>
  <si>
    <t>-0h20m32s</t>
  </si>
  <si>
    <t>suspected (13.5 magnitude)</t>
  </si>
  <si>
    <t>Susp (13.5 magn)</t>
  </si>
  <si>
    <t>IC5249</t>
  </si>
  <si>
    <t>22h47m6.4s</t>
  </si>
  <si>
    <t>-64h49m50s</t>
  </si>
  <si>
    <t>extremely faint, very small, extremely extended 15°, very little brighter middle</t>
  </si>
  <si>
    <t>eF, vS, eE 15°, vlbM</t>
  </si>
  <si>
    <t>IC5250</t>
  </si>
  <si>
    <t>22h47m17.2s</t>
  </si>
  <si>
    <t>-65h3m38s</t>
  </si>
  <si>
    <t>considerably bright, small, round, faint star 0.5 arcmin to east</t>
  </si>
  <si>
    <t>cB, S, R, F * f 0'.5</t>
  </si>
  <si>
    <t>IC5251</t>
  </si>
  <si>
    <t>22h45m10.7s</t>
  </si>
  <si>
    <t>+11h9m30s</t>
  </si>
  <si>
    <t>IC5252</t>
  </si>
  <si>
    <t>22h48m8.8s</t>
  </si>
  <si>
    <t>-68h54m10s</t>
  </si>
  <si>
    <t>faint, small, round, considerably brighter middle</t>
  </si>
  <si>
    <t>F, S, R, cbM</t>
  </si>
  <si>
    <t>IC5253</t>
  </si>
  <si>
    <t>22h45m29s</t>
  </si>
  <si>
    <t>+21h48m29s</t>
  </si>
  <si>
    <t>faint, small, extended north-south, 13.5 magnitude star near</t>
  </si>
  <si>
    <t>F, S, E ns, * 13.5 nr</t>
  </si>
  <si>
    <t>IC5254</t>
  </si>
  <si>
    <t>22h46m0.6s</t>
  </si>
  <si>
    <t>+21h7m32s</t>
  </si>
  <si>
    <t>faint, very small, round, mottled but not resolved, 14th magnitude star attached on southeast, (NGC) 7375 to east</t>
  </si>
  <si>
    <t>F, vS, R, r, * 14 att sf, 7375 f</t>
  </si>
  <si>
    <t>IC5255</t>
  </si>
  <si>
    <t>22h45m46.5s</t>
  </si>
  <si>
    <t>+36h13m38s</t>
  </si>
  <si>
    <t>IC5256</t>
  </si>
  <si>
    <t>22h49m45.6s</t>
  </si>
  <si>
    <t>-68h41m25s</t>
  </si>
  <si>
    <t>very faint, very small, considerably extended 25°, considerably brighter middle</t>
  </si>
  <si>
    <t>vF, vS, cE 25°, cbM</t>
  </si>
  <si>
    <t>IC5257</t>
  </si>
  <si>
    <t>22h52m16.4s</t>
  </si>
  <si>
    <t>-67h25m9s</t>
  </si>
  <si>
    <t>extremely faint, most extremely small, stellar nucleus</t>
  </si>
  <si>
    <t>eF, eeS, stell N</t>
  </si>
  <si>
    <t>IC5258</t>
  </si>
  <si>
    <t>22h51m31.5s</t>
  </si>
  <si>
    <t>+23h4m52s</t>
  </si>
  <si>
    <t>faint, very small, round, much brighter middle, mottled but not resolved</t>
  </si>
  <si>
    <t>F, vS, R, mbM, r</t>
  </si>
  <si>
    <t>IC5259</t>
  </si>
  <si>
    <t>22h52m45.6s</t>
  </si>
  <si>
    <t>+36h42m40s</t>
  </si>
  <si>
    <t>nebula; 9.5 magnitude double star 2 arcmin to east</t>
  </si>
  <si>
    <t>Neb, D * 9.5 f 2'</t>
  </si>
  <si>
    <t>IC5260</t>
  </si>
  <si>
    <t>most extremely faint, pretty small, round, 9th magnitude star to southwest, very difficult</t>
  </si>
  <si>
    <t>eeF, pS, R, * 9 sp, v diffic</t>
  </si>
  <si>
    <t>IC5261</t>
  </si>
  <si>
    <t>22h54m25.2s</t>
  </si>
  <si>
    <t>most extremely faint, pretty large, round, very difficult, 9th magnitude star 22 seconds of time to west</t>
  </si>
  <si>
    <t>eeF, pL, R, v diffic, * 9 p 22s</t>
  </si>
  <si>
    <t>IC5262</t>
  </si>
  <si>
    <t>22h55m20.5s</t>
  </si>
  <si>
    <t>-33h53m17s</t>
  </si>
  <si>
    <t>IC5263</t>
  </si>
  <si>
    <t>22h58m13.6s</t>
  </si>
  <si>
    <t>-69h3m6s</t>
  </si>
  <si>
    <t>considerably faint, small, round, star in nebulosity</t>
  </si>
  <si>
    <t>cF, S, R, * in neb</t>
  </si>
  <si>
    <t>IC5264</t>
  </si>
  <si>
    <t>22h56m52.7s</t>
  </si>
  <si>
    <t>-36h33m16s</t>
  </si>
  <si>
    <t>very faint, small, very much extended, southwestern of 2</t>
  </si>
  <si>
    <t>vF, S, vmE, sp of 2</t>
  </si>
  <si>
    <t>IC5265</t>
  </si>
  <si>
    <t>bright, considerably large, round, between 2 stars to east and west, northeastern of 2 (the other being IC 5264), [perhaps = (NGC) 7418?]</t>
  </si>
  <si>
    <t>B, cL, R, bet 2 st pf, nf of 2 [? 7418]</t>
  </si>
  <si>
    <t>IC5266</t>
  </si>
  <si>
    <t>22h58m21s</t>
  </si>
  <si>
    <t>-65h7m45s</t>
  </si>
  <si>
    <t>extremely faint, very small, extremely extended, stellar nucleus</t>
  </si>
  <si>
    <t>eF, vS, eE, stell N</t>
  </si>
  <si>
    <t>IC5267</t>
  </si>
  <si>
    <t>22h57m13.7s</t>
  </si>
  <si>
    <t>-43h23m45s</t>
  </si>
  <si>
    <t>IC5268</t>
  </si>
  <si>
    <t>22h56m12s</t>
  </si>
  <si>
    <t>+36h35m48s</t>
  </si>
  <si>
    <t>bright, small</t>
  </si>
  <si>
    <t>B, S</t>
  </si>
  <si>
    <t>IC5269</t>
  </si>
  <si>
    <t>22h57m43.4s</t>
  </si>
  <si>
    <t>-36h1m36s</t>
  </si>
  <si>
    <t>IC5270</t>
  </si>
  <si>
    <t>22h57m55s</t>
  </si>
  <si>
    <t>-35h51m28s</t>
  </si>
  <si>
    <t>very faint, pretty small, much extended, southeastern of 2</t>
  </si>
  <si>
    <t>vF, pS, mE, sf of 2</t>
  </si>
  <si>
    <t>IC5271</t>
  </si>
  <si>
    <t>22h58m1.6s</t>
  </si>
  <si>
    <t>-33h44m32s</t>
  </si>
  <si>
    <t>pretty faint, pretty small, much extended 145°, considerably brighter middle</t>
  </si>
  <si>
    <t>pF, pS, mE 145°, cbM</t>
  </si>
  <si>
    <t>IC5272</t>
  </si>
  <si>
    <t>22h59m31.2s</t>
  </si>
  <si>
    <t>-65h11m34s</t>
  </si>
  <si>
    <t>IC5273</t>
  </si>
  <si>
    <t>22h59m26.7s</t>
  </si>
  <si>
    <t>-37h42m19s</t>
  </si>
  <si>
    <t>very faint, considerably large, a little extended, 4 stars to west</t>
  </si>
  <si>
    <t>vF, cL, lE, 4 st p</t>
  </si>
  <si>
    <t>IC5274</t>
  </si>
  <si>
    <t>22h58m27.6s</t>
  </si>
  <si>
    <t>+18h55m9s</t>
  </si>
  <si>
    <t>IC5275</t>
  </si>
  <si>
    <t>22h58m39.2s</t>
  </si>
  <si>
    <t>+18h51m45s</t>
  </si>
  <si>
    <t>pretty faint, very small, diffuse</t>
  </si>
  <si>
    <t>pF, vS, dif</t>
  </si>
  <si>
    <t>IC5276</t>
  </si>
  <si>
    <t>22h58m39.8s</t>
  </si>
  <si>
    <t>+18h49m12s</t>
  </si>
  <si>
    <t>faint, small, extended 135°, gradually brighter middle, mottled but not resolved, between 2 faint stars</t>
  </si>
  <si>
    <t>F, S, E 135°, gbM, r, bet 2 F st</t>
  </si>
  <si>
    <t>IC5277</t>
  </si>
  <si>
    <t>23h1m59.4s</t>
  </si>
  <si>
    <t>-65h11m53s</t>
  </si>
  <si>
    <t>very faint, small, round, almost a star; suspected</t>
  </si>
  <si>
    <t>vF, S, R, alm. a *, susp</t>
  </si>
  <si>
    <t>IC5278</t>
  </si>
  <si>
    <t>23h0m15.9s</t>
  </si>
  <si>
    <t>-8h10m43s</t>
  </si>
  <si>
    <t>IC5279</t>
  </si>
  <si>
    <t>23h3m2.6s</t>
  </si>
  <si>
    <t>-69h12m36s</t>
  </si>
  <si>
    <t>very faint, very small, considerably extended 40°, stellar nucleus</t>
  </si>
  <si>
    <t>vF, vS, cE 40°, stell N</t>
  </si>
  <si>
    <t>IC5280</t>
  </si>
  <si>
    <t>23h3m50s</t>
  </si>
  <si>
    <t>-65h12m27s</t>
  </si>
  <si>
    <t>extremely faint, very small, extremely extended 5°, stellar nucleus, between 2 stars; suspected</t>
  </si>
  <si>
    <t>eF, vS, eE 5°, stell N, bet 2 st, susp</t>
  </si>
  <si>
    <t>IC5281</t>
  </si>
  <si>
    <t>extremely faint, stellar, 13th magnitude star 2.5 arcmin east southeast</t>
  </si>
  <si>
    <t>eF, stell, * 13 sff 2'.5</t>
  </si>
  <si>
    <t>IC5282</t>
  </si>
  <si>
    <t>23h2m48.2s</t>
  </si>
  <si>
    <t>+21h52m28s</t>
  </si>
  <si>
    <t>faint, considerably small, irregular figure, very little brighter middle</t>
  </si>
  <si>
    <t>F, cS, iF, vlbM</t>
  </si>
  <si>
    <t>IC5283</t>
  </si>
  <si>
    <t>23h3m17.7s</t>
  </si>
  <si>
    <t>+8h53m38s</t>
  </si>
  <si>
    <t>faint, small, round, (WH) III 230 two seconds of time to west and one arcmin to south</t>
  </si>
  <si>
    <t>F, S, R, II 230 p 2s, 1' s</t>
  </si>
  <si>
    <t>IC5284</t>
  </si>
  <si>
    <t>23h6m46.3s</t>
  </si>
  <si>
    <t>faint, considerably small, round, nuclear</t>
  </si>
  <si>
    <t>F, cS, R, N</t>
  </si>
  <si>
    <t>IC5285</t>
  </si>
  <si>
    <t>23h6m58.9s</t>
  </si>
  <si>
    <t>+22h56m13s</t>
  </si>
  <si>
    <t>faint, very small, round, 9.4 magnitude star 1.5 arcmin to south</t>
  </si>
  <si>
    <t>F, vS, R, * 9.4 s 1'.5</t>
  </si>
  <si>
    <t>IC5286</t>
  </si>
  <si>
    <t>-68h15m12s</t>
  </si>
  <si>
    <t>most extremely faint, extremely small, much extended 130°, 2 stars to south, suspected</t>
  </si>
  <si>
    <t>eeF, eS, mE 130°, 2 st s, susp</t>
  </si>
  <si>
    <t>IC5287</t>
  </si>
  <si>
    <t>23h9m20.3s</t>
  </si>
  <si>
    <t>+0h45m25s</t>
  </si>
  <si>
    <t>IC5288</t>
  </si>
  <si>
    <t>23h11m44.3s</t>
  </si>
  <si>
    <t>-68h5m39s</t>
  </si>
  <si>
    <t>extremely faint, extremely small, almost stellar, suspected</t>
  </si>
  <si>
    <t>eF, eS, alm *, susp</t>
  </si>
  <si>
    <t>IC5289</t>
  </si>
  <si>
    <t>RN2</t>
  </si>
  <si>
    <t>23h11m17.2s</t>
  </si>
  <si>
    <t>-32h27m5s</t>
  </si>
  <si>
    <t>small cluster, stars extremely faint, in nebulosity</t>
  </si>
  <si>
    <t>S Cl, st eF, in neb</t>
  </si>
  <si>
    <t>IC5290</t>
  </si>
  <si>
    <t>IC5291</t>
  </si>
  <si>
    <t>23h13m39.6s</t>
  </si>
  <si>
    <t>+9h14m30s</t>
  </si>
  <si>
    <t>IC5292</t>
  </si>
  <si>
    <t>23h13m47.1s</t>
  </si>
  <si>
    <t>+13h41m13s</t>
  </si>
  <si>
    <t>very faint, small, suddenly a little brighter middle</t>
  </si>
  <si>
    <t>vF, S, slbM</t>
  </si>
  <si>
    <t>IC5293</t>
  </si>
  <si>
    <t>23h14m44.6s</t>
  </si>
  <si>
    <t>+25h8m28s</t>
  </si>
  <si>
    <t>faint, small, like a double star in nebulosity</t>
  </si>
  <si>
    <t>F, S, like D * in neb</t>
  </si>
  <si>
    <t>IC5294</t>
  </si>
  <si>
    <t>pretty bright, pretty small, round, 8th magnitude star to west</t>
  </si>
  <si>
    <t>pB, pS, R, * 8 p</t>
  </si>
  <si>
    <t>IC5295</t>
  </si>
  <si>
    <t>23h15m29.1s</t>
  </si>
  <si>
    <t>+25h7m16s</t>
  </si>
  <si>
    <t>IC5296</t>
  </si>
  <si>
    <t>23h15m43.7s</t>
  </si>
  <si>
    <t>+25h5m39s</t>
  </si>
  <si>
    <t>faint, small, round, 15th magnitude star attached</t>
  </si>
  <si>
    <t>F, S, R, * 15 att</t>
  </si>
  <si>
    <t>IC5297</t>
  </si>
  <si>
    <t>23h15m58.4s</t>
  </si>
  <si>
    <t>+25h1m33s</t>
  </si>
  <si>
    <t>IC5298</t>
  </si>
  <si>
    <t>23h16m0.6s</t>
  </si>
  <si>
    <t>+25h33m26s</t>
  </si>
  <si>
    <t>IC5299</t>
  </si>
  <si>
    <t>23h16m19.1s</t>
  </si>
  <si>
    <t>+20h51m21s</t>
  </si>
  <si>
    <t>faint, extremely small, 13th magnitude close to south</t>
  </si>
  <si>
    <t>F, eS, * 13 close s</t>
  </si>
  <si>
    <t>IC5300</t>
  </si>
  <si>
    <t>23h16m34.1s</t>
  </si>
  <si>
    <t>+20h49m43s</t>
  </si>
  <si>
    <t>F, S, R, neb * 15</t>
  </si>
  <si>
    <t>IC5301</t>
  </si>
  <si>
    <t>23h18m58.8s</t>
  </si>
  <si>
    <t>-69h33m45s</t>
  </si>
  <si>
    <t>eeF, eS, vF * f 1', susp</t>
  </si>
  <si>
    <t>IC5302</t>
  </si>
  <si>
    <t>23h19m36.6s</t>
  </si>
  <si>
    <t>-64h34m8s</t>
  </si>
  <si>
    <t>very faint, very small, 2 stars near, suspected</t>
  </si>
  <si>
    <t>vF, vS, 2 st nr, susp</t>
  </si>
  <si>
    <t>IC5303</t>
  </si>
  <si>
    <t>23h17m54.8s</t>
  </si>
  <si>
    <t>+0h15m53s</t>
  </si>
  <si>
    <t>vF, S, sbM (? D * in M)</t>
  </si>
  <si>
    <t>IC5304</t>
  </si>
  <si>
    <t>23h18m52.5s</t>
  </si>
  <si>
    <t>-10h15m32s</t>
  </si>
  <si>
    <t>eF, S, R, 3 or 4 F st sp</t>
  </si>
  <si>
    <t>IC5305</t>
  </si>
  <si>
    <t>23h18m6.1s</t>
  </si>
  <si>
    <t>+10h18m1s</t>
  </si>
  <si>
    <t>pF, vS, 7594 nr</t>
  </si>
  <si>
    <t>IC5306</t>
  </si>
  <si>
    <t>23h18m11.3s</t>
  </si>
  <si>
    <t>+10h14m45s</t>
  </si>
  <si>
    <t>IC5307</t>
  </si>
  <si>
    <t>23h18m21.9s</t>
  </si>
  <si>
    <t>+10h14m11s</t>
  </si>
  <si>
    <t>IC5308</t>
  </si>
  <si>
    <t>eeF, S, cE, f 7599</t>
  </si>
  <si>
    <t>IC5309</t>
  </si>
  <si>
    <t>23h19m11.7s</t>
  </si>
  <si>
    <t>+8h6m36s</t>
  </si>
  <si>
    <t>F, S, fan-shaped, * att s</t>
  </si>
  <si>
    <t>IC5310</t>
  </si>
  <si>
    <t>23h20m47.7s</t>
  </si>
  <si>
    <t>-22h8m56s</t>
  </si>
  <si>
    <t>eF, eS, alm stell, * 9.5 n 5'</t>
  </si>
  <si>
    <t>IC5311</t>
  </si>
  <si>
    <t>23h20m33.8s</t>
  </si>
  <si>
    <t>+17h15m55s</t>
  </si>
  <si>
    <t>eF, susp, 2'.5 nff II 250</t>
  </si>
  <si>
    <t>IC5312</t>
  </si>
  <si>
    <t>23h20m58.2s</t>
  </si>
  <si>
    <t>+19h19m7s</t>
  </si>
  <si>
    <t>IC5313</t>
  </si>
  <si>
    <t>most extremely faint, pretty large, round, 10th magnitude star to southwest</t>
  </si>
  <si>
    <t>eeF, pL, R, * 10 sp</t>
  </si>
  <si>
    <t>IC5314</t>
  </si>
  <si>
    <t>23h21m8.5s</t>
  </si>
  <si>
    <t>+19h18m43s</t>
  </si>
  <si>
    <t>IC5315</t>
  </si>
  <si>
    <t>23h21m18.2s</t>
  </si>
  <si>
    <t>+25h23m9s</t>
  </si>
  <si>
    <t>F, vS, like neb D * 15</t>
  </si>
  <si>
    <t>IC5316</t>
  </si>
  <si>
    <t>23h21m54s</t>
  </si>
  <si>
    <t>+21h12m11s</t>
  </si>
  <si>
    <t>very faint, very small, round, nuclear, stellar</t>
  </si>
  <si>
    <t>vF, vS, R, N, stell</t>
  </si>
  <si>
    <t>IC5317</t>
  </si>
  <si>
    <t>23h23m28.7s</t>
  </si>
  <si>
    <t>+21h9m48s</t>
  </si>
  <si>
    <t>IC5318</t>
  </si>
  <si>
    <t>vF, vS, * 9.5 p 1s</t>
  </si>
  <si>
    <t>IC5319</t>
  </si>
  <si>
    <t>23h24m48.9s</t>
  </si>
  <si>
    <t>+13h59m49s</t>
  </si>
  <si>
    <t>eF, eS, * 9.5 f, 7651 nr</t>
  </si>
  <si>
    <t>IC5320</t>
  </si>
  <si>
    <t>23h28m21.8s</t>
  </si>
  <si>
    <t>-67h45m36s</t>
  </si>
  <si>
    <t>IC5321</t>
  </si>
  <si>
    <t>23h26m20s</t>
  </si>
  <si>
    <t>-17h57m24s</t>
  </si>
  <si>
    <t>extremely faint, very small, round, 10th magnitude star 1 arcmin to northwest</t>
  </si>
  <si>
    <t>eF, vS, R, * 10 np 1'</t>
  </si>
  <si>
    <t>IC5322</t>
  </si>
  <si>
    <t>23h28m30.8s</t>
  </si>
  <si>
    <t>-67h45m38s</t>
  </si>
  <si>
    <t>IC5323</t>
  </si>
  <si>
    <t>23h27m37.1s</t>
  </si>
  <si>
    <t>-67h48m55s</t>
  </si>
  <si>
    <t>IC5324</t>
  </si>
  <si>
    <t>23h28m17.6s</t>
  </si>
  <si>
    <t>-67h49m16s</t>
  </si>
  <si>
    <t>IC5325</t>
  </si>
  <si>
    <t>23h28m43.1s</t>
  </si>
  <si>
    <t>-41h20m1s</t>
  </si>
  <si>
    <t>faint, small, round, gradually brighter middle, star 1 arcmin to southwest</t>
  </si>
  <si>
    <t>F, S, R, gbM, * sp 1'</t>
  </si>
  <si>
    <t>IC5326</t>
  </si>
  <si>
    <t>23h29m35.2s</t>
  </si>
  <si>
    <t>-28h49m53s</t>
  </si>
  <si>
    <t>most extremely faint, small, much extended, 8th magnitude star to west</t>
  </si>
  <si>
    <t>eeF, S, mE, * 8 p</t>
  </si>
  <si>
    <t>IC5327</t>
  </si>
  <si>
    <t>pF, pS, * 11 f 1'</t>
  </si>
  <si>
    <t>IC5328</t>
  </si>
  <si>
    <t>23h33m16.3s</t>
  </si>
  <si>
    <t>-45h0m56s</t>
  </si>
  <si>
    <t>IC5329</t>
  </si>
  <si>
    <t>23h33m9.7s</t>
  </si>
  <si>
    <t>+21h14m13s</t>
  </si>
  <si>
    <t>vF, S, E 250°</t>
  </si>
  <si>
    <t>IC5330</t>
  </si>
  <si>
    <t>23h33m26.5s</t>
  </si>
  <si>
    <t>-2h53m0s</t>
  </si>
  <si>
    <t>very faint, small, brighter middle, others near</t>
  </si>
  <si>
    <t>vF, S, bM, others nr</t>
  </si>
  <si>
    <t>IC5331</t>
  </si>
  <si>
    <t>23h33m24.9s</t>
  </si>
  <si>
    <t>+21h7m48s</t>
  </si>
  <si>
    <t>F, S, fan, gbM</t>
  </si>
  <si>
    <t>IC5332</t>
  </si>
  <si>
    <t>23h34m27.4s</t>
  </si>
  <si>
    <t>-36h6m5s</t>
  </si>
  <si>
    <t>eeF, vL, bet 2 st, D * p 45s</t>
  </si>
  <si>
    <t>IC5333</t>
  </si>
  <si>
    <t>considerably bright, small, diffuse, suspected</t>
  </si>
  <si>
    <t>cB, S, dif, susp</t>
  </si>
  <si>
    <t>IC5334</t>
  </si>
  <si>
    <t>23h34m36.4s</t>
  </si>
  <si>
    <t>-4h32m2s</t>
  </si>
  <si>
    <t>Neb * 10.5 (? close D *)</t>
  </si>
  <si>
    <t>IC5335</t>
  </si>
  <si>
    <t>23h35m47.2s</t>
  </si>
  <si>
    <t>-67h23m47s</t>
  </si>
  <si>
    <t>faint, small, suspected</t>
  </si>
  <si>
    <t>F, S, susp</t>
  </si>
  <si>
    <t>IC5336</t>
  </si>
  <si>
    <t>23h36m18.7s</t>
  </si>
  <si>
    <t>+21h5m58s</t>
  </si>
  <si>
    <t>faint, small, extended north-south, very little brighter middle</t>
  </si>
  <si>
    <t>F, S, E ns, vlbM</t>
  </si>
  <si>
    <t>IC5337</t>
  </si>
  <si>
    <t>23h36m25.1s</t>
  </si>
  <si>
    <t>+21h9m1s</t>
  </si>
  <si>
    <t>IC5338</t>
  </si>
  <si>
    <t>23h36m30.4s</t>
  </si>
  <si>
    <t>+21h8m43s</t>
  </si>
  <si>
    <t>faint, small, a little extended north-south, gradually brighter middle and nucleus</t>
  </si>
  <si>
    <t>F, S, lE ns, gbMN</t>
  </si>
  <si>
    <t>IC5339</t>
  </si>
  <si>
    <t>23h38m5.3s</t>
  </si>
  <si>
    <t>-68h26m30s</t>
  </si>
  <si>
    <t>IC5340</t>
  </si>
  <si>
    <t>23h38m32s</t>
  </si>
  <si>
    <t>-4h51m18s</t>
  </si>
  <si>
    <t>eF, * 13 n 1'.5</t>
  </si>
  <si>
    <t>IC5341</t>
  </si>
  <si>
    <t>23h38m26.7s</t>
  </si>
  <si>
    <t>+26h59m8s</t>
  </si>
  <si>
    <t>eF, eS, 7720 nr</t>
  </si>
  <si>
    <t>IC5342</t>
  </si>
  <si>
    <t>23h38m38.7s</t>
  </si>
  <si>
    <t>+27h0m43s</t>
  </si>
  <si>
    <t>extremely faint, extremely small, others near</t>
  </si>
  <si>
    <t>eF, eS, others nr</t>
  </si>
  <si>
    <t>IC5343</t>
  </si>
  <si>
    <t>23h39m22.4s</t>
  </si>
  <si>
    <t>-22h29m50s</t>
  </si>
  <si>
    <t>eF, pS, * 7.5 sf 19s</t>
  </si>
  <si>
    <t>IC5344</t>
  </si>
  <si>
    <t>23h39m16s</t>
  </si>
  <si>
    <t>-4h58m0s</t>
  </si>
  <si>
    <t>very faint, large, others near</t>
  </si>
  <si>
    <t>vF, L, others nr</t>
  </si>
  <si>
    <t>IC5345</t>
  </si>
  <si>
    <t>23h39m32.3s</t>
  </si>
  <si>
    <t>-22h24m48s</t>
  </si>
  <si>
    <t>vF, vS, R, 6' n of Sw. XI.</t>
  </si>
  <si>
    <t>IC5346</t>
  </si>
  <si>
    <t>23h41m6.3s</t>
  </si>
  <si>
    <t>+24h57m1s</t>
  </si>
  <si>
    <t>IC5347</t>
  </si>
  <si>
    <t>23h41m36.6s</t>
  </si>
  <si>
    <t>+24h53m11s</t>
  </si>
  <si>
    <t>very faint, very small, round, suddenly brighter middle equal to 15th magnitude star</t>
  </si>
  <si>
    <t>vF, vS, R, sbM * 15</t>
  </si>
  <si>
    <t>IC5348</t>
  </si>
  <si>
    <t>IC5349</t>
  </si>
  <si>
    <t>23h46m22.8s</t>
  </si>
  <si>
    <t>-28h0m18s</t>
  </si>
  <si>
    <t>vF, vS, vmE 200°, ? neb D *</t>
  </si>
  <si>
    <t>IC5350</t>
  </si>
  <si>
    <t>23h47m14.7s</t>
  </si>
  <si>
    <t>-27h57m29s</t>
  </si>
  <si>
    <t>eeF, eS, R, * 9 nr f</t>
  </si>
  <si>
    <t>IC5351</t>
  </si>
  <si>
    <t>23h47m18.9s</t>
  </si>
  <si>
    <t>-2h18m50s</t>
  </si>
  <si>
    <t>cF, vS, bM, * 10 sf 5" ±</t>
  </si>
  <si>
    <t>IC5352</t>
  </si>
  <si>
    <t>23h47m19.8s</t>
  </si>
  <si>
    <t>-2h16m52s</t>
  </si>
  <si>
    <t>IC5353</t>
  </si>
  <si>
    <t>23h47m28.6s</t>
  </si>
  <si>
    <t>-28h6m32s</t>
  </si>
  <si>
    <t>eF, S, R, * 6 f</t>
  </si>
  <si>
    <t>IC5354</t>
  </si>
  <si>
    <t>23h47m28.4s</t>
  </si>
  <si>
    <t>-28h8m9s</t>
  </si>
  <si>
    <t>IC5355</t>
  </si>
  <si>
    <t>23h47m15.2s</t>
  </si>
  <si>
    <t>+32h46m57s</t>
  </si>
  <si>
    <t>faint, pretty large, extended north-south, gradually brighter middle</t>
  </si>
  <si>
    <t>F, pL, E ns, gbM</t>
  </si>
  <si>
    <t>IC5356</t>
  </si>
  <si>
    <t>23h47m23.9s</t>
  </si>
  <si>
    <t>-2h21m4s</t>
  </si>
  <si>
    <t>pretty faint, round, much brighter middle</t>
  </si>
  <si>
    <t>pF, R, mbM</t>
  </si>
  <si>
    <t>IC5357</t>
  </si>
  <si>
    <t>23h47m23s</t>
  </si>
  <si>
    <t>-2h18m2s</t>
  </si>
  <si>
    <t>pretty bright, round, much brighter middle</t>
  </si>
  <si>
    <t>pB, R, mbM</t>
  </si>
  <si>
    <t>IC5358</t>
  </si>
  <si>
    <t>23h47m45.1s</t>
  </si>
  <si>
    <t>-28h8m29s</t>
  </si>
  <si>
    <t>eF, pS, bi-N 20"</t>
  </si>
  <si>
    <t>IC5359</t>
  </si>
  <si>
    <t>23h47m37.8s</t>
  </si>
  <si>
    <t>-2h19m2s</t>
  </si>
  <si>
    <t>F, pS, gbM, * 9.5 p 2'</t>
  </si>
  <si>
    <t>IC5360</t>
  </si>
  <si>
    <t>23h47m54.1s</t>
  </si>
  <si>
    <t>-37h3m33s</t>
  </si>
  <si>
    <t>most extremely faint, considerably small, round</t>
  </si>
  <si>
    <t>eeF, cS, R</t>
  </si>
  <si>
    <t>IC5361</t>
  </si>
  <si>
    <t>very faint, very small, brighter middle, stellar</t>
  </si>
  <si>
    <t>vF, vS, bM, stellar</t>
  </si>
  <si>
    <t>IC5362</t>
  </si>
  <si>
    <t>23h51m36.8s</t>
  </si>
  <si>
    <t>-28h21m55s</t>
  </si>
  <si>
    <t>most extremely faint, pretty small, 8th magnitude star to southeast</t>
  </si>
  <si>
    <t>eeF, pS, * 8 sf</t>
  </si>
  <si>
    <t>IC5363</t>
  </si>
  <si>
    <t>vF, eS, R, 3 st in line p</t>
  </si>
  <si>
    <t>IC5364</t>
  </si>
  <si>
    <t>23h56m25.2s</t>
  </si>
  <si>
    <t>-29h1m25s</t>
  </si>
  <si>
    <t>very faint, pretty small, round, 8th magnitude star to southeast</t>
  </si>
  <si>
    <t>vF, pS, R, * 8 sf</t>
  </si>
  <si>
    <t>IC5365</t>
  </si>
  <si>
    <t>23h57m34s</t>
  </si>
  <si>
    <t>-37h1m30s</t>
  </si>
  <si>
    <t>pretty bright, considerably small, very much extended, star to southeast</t>
  </si>
  <si>
    <t>pB, cS, vmE, * sf</t>
  </si>
  <si>
    <t>IC5366</t>
  </si>
  <si>
    <t>23h57m42s</t>
  </si>
  <si>
    <t>+52h47m0s</t>
  </si>
  <si>
    <t>eL, mE (30' by 10')</t>
  </si>
  <si>
    <t>IC5367</t>
  </si>
  <si>
    <t>23h58m38.8s</t>
  </si>
  <si>
    <t>+22h26m59s</t>
  </si>
  <si>
    <t>faint, a little extended 120°, gradually brighter middle and nucleus, mottled but not resolved</t>
  </si>
  <si>
    <t>F, lE 120°, gbMN, r</t>
  </si>
  <si>
    <t>IC5368</t>
  </si>
  <si>
    <t>eF, vS, lbM, 3' p or f from ω Pscium</t>
  </si>
  <si>
    <t>IC5369</t>
  </si>
  <si>
    <t>23h59m50.6s</t>
  </si>
  <si>
    <t>+32h42m9s</t>
  </si>
  <si>
    <t>faint, small, round, with a nucleus</t>
  </si>
  <si>
    <t>IC5370</t>
  </si>
  <si>
    <t>0h0m9.1s</t>
  </si>
  <si>
    <t>+32h44m20s</t>
  </si>
  <si>
    <t>IC5371</t>
  </si>
  <si>
    <t>0h0m14.8s</t>
  </si>
  <si>
    <t>+32h49m56s</t>
  </si>
  <si>
    <t>faint, very small, 15th-magnitude star attached</t>
  </si>
  <si>
    <t>F, vS, * 15 att</t>
  </si>
  <si>
    <t>IC5372</t>
  </si>
  <si>
    <t>0h0m16.3s</t>
  </si>
  <si>
    <t>+32h47m35s</t>
  </si>
  <si>
    <t>faint, very small, round, with a nucleus</t>
  </si>
  <si>
    <t>F, vS, R N</t>
  </si>
  <si>
    <t>IC5373</t>
  </si>
  <si>
    <t>0h0m29.3s</t>
  </si>
  <si>
    <t>+32h46m55s</t>
  </si>
  <si>
    <t>pretty bright, small, round, with a stellar nucleus</t>
  </si>
  <si>
    <t>IC5374</t>
  </si>
  <si>
    <t>0h1m4.6s</t>
  </si>
  <si>
    <t>+4h30m0s</t>
  </si>
  <si>
    <t>IC5375</t>
  </si>
  <si>
    <t>0h1m4.9s</t>
  </si>
  <si>
    <t>+4h32m31s</t>
  </si>
  <si>
    <t>considerably faint, extended north-south, gradually brighter middle and nucleus, mottled but not resolved</t>
  </si>
  <si>
    <t>cF, E ns, gbMN, r</t>
  </si>
  <si>
    <t>IC5376</t>
  </si>
  <si>
    <t>0h1m19.9s</t>
  </si>
  <si>
    <t>+34h31m33s</t>
  </si>
  <si>
    <t>IC5377</t>
  </si>
  <si>
    <t>0h2m5.5s</t>
  </si>
  <si>
    <t>+16h35m26s</t>
  </si>
  <si>
    <t>IC5378</t>
  </si>
  <si>
    <t>0h2m37.8s</t>
  </si>
  <si>
    <t>+16h38m39s</t>
  </si>
  <si>
    <t>faint, pretty small, extended north-south, 15th magnitude star involved</t>
  </si>
  <si>
    <t>F, pS, E ns, * 15 inv</t>
  </si>
  <si>
    <t>IC5379</t>
  </si>
  <si>
    <t>0h2m40.8s</t>
  </si>
  <si>
    <t>+16h36m3s</t>
  </si>
  <si>
    <t>F, S, lE pf, lbM, * 17 close p</t>
  </si>
  <si>
    <t>IC5380</t>
  </si>
  <si>
    <t>0h2m49.5s</t>
  </si>
  <si>
    <t>-66h11m12s</t>
  </si>
  <si>
    <t>very little extended</t>
  </si>
  <si>
    <t>vlE</t>
  </si>
  <si>
    <t>IC5381</t>
  </si>
  <si>
    <t>0h3m11.1s</t>
  </si>
  <si>
    <t>pF, S, lE spnf, bM, * 13 nr</t>
  </si>
  <si>
    <t>IC5382</t>
  </si>
  <si>
    <t>0h3m26.3s</t>
  </si>
  <si>
    <t>-65h11m48s</t>
  </si>
  <si>
    <t>almost round, a little brighter middle</t>
  </si>
  <si>
    <t>alm R, lbM</t>
  </si>
  <si>
    <t>IC5383</t>
  </si>
  <si>
    <t>0h3m48.8s</t>
  </si>
  <si>
    <t>+16h0m50s</t>
  </si>
  <si>
    <t>IC5384</t>
  </si>
  <si>
    <t>extremely faint, very small, extended 160°; ? = 7813 (meaning, NGC 7813)</t>
  </si>
  <si>
    <t>eF, vS, E 160°, ? = 7813</t>
  </si>
  <si>
    <t>IC5385</t>
  </si>
  <si>
    <t>0h6m23s</t>
  </si>
  <si>
    <t>-0h4m36s</t>
  </si>
  <si>
    <t>IC5386</t>
  </si>
  <si>
    <t xml:space="preserve">pB, pS, mE </t>
  </si>
  <si>
    <t>赤经(J2000)</t>
    <phoneticPr fontId="3" type="noConversion"/>
  </si>
  <si>
    <t>赤经D(J2000)</t>
    <phoneticPr fontId="2" type="noConversion"/>
  </si>
  <si>
    <t>NGC6144</t>
    <phoneticPr fontId="3" type="noConversion"/>
  </si>
  <si>
    <t>说明来源：http://www.klima-luft.de/steinicke/ngcic/rev2000/Explan.htm</t>
    <phoneticPr fontId="3" type="noConversion"/>
  </si>
  <si>
    <t>NI2019列说明</t>
    <phoneticPr fontId="3" type="noConversion"/>
  </si>
  <si>
    <r>
      <t>C</t>
    </r>
    <r>
      <rPr>
        <b/>
        <sz val="10"/>
        <color rgb="FFFFFFFF"/>
        <rFont val="Times New Roman"/>
        <family val="1"/>
      </rPr>
      <t>olumne</t>
    </r>
  </si>
  <si>
    <t>Explanation</t>
  </si>
  <si>
    <t>N</t>
  </si>
  <si>
    <t>Catalogue N = N (NGC) or N = I (IC)</t>
  </si>
  <si>
    <t>NI</t>
  </si>
  <si>
    <r>
      <t>catalogue number </t>
    </r>
    <r>
      <rPr>
        <sz val="10"/>
        <color rgb="FFFFFFFF"/>
        <rFont val="Times New Roman"/>
        <family val="1"/>
      </rPr>
      <t>. Some objects have an </t>
    </r>
    <r>
      <rPr>
        <i/>
        <sz val="10"/>
        <color rgb="FFFFFFFF"/>
        <rFont val="Times New Roman"/>
        <family val="1"/>
      </rPr>
      <t>extension letter</t>
    </r>
    <r>
      <rPr>
        <sz val="10"/>
        <color rgb="FFFFFFFF"/>
        <rFont val="Times New Roman"/>
        <family val="1"/>
      </rPr>
      <t> (A,B,C,...).</t>
    </r>
  </si>
  <si>
    <r>
      <t>Extension letter: </t>
    </r>
    <r>
      <rPr>
        <sz val="10"/>
        <color rgb="FFFFFFFF"/>
        <rFont val="Times New Roman"/>
        <family val="1"/>
      </rPr>
      <t>A, B, C...</t>
    </r>
  </si>
  <si>
    <r>
      <t>Components</t>
    </r>
    <r>
      <rPr>
        <sz val="10"/>
        <color rgb="FFFFFFFF"/>
        <rFont val="Times New Roman"/>
        <family val="1"/>
      </rPr>
      <t>. If two or more </t>
    </r>
    <r>
      <rPr>
        <i/>
        <sz val="10"/>
        <color rgb="FFFFFFFF"/>
        <rFont val="Times New Roman"/>
        <family val="1"/>
      </rPr>
      <t>different</t>
    </r>
    <r>
      <rPr>
        <sz val="10"/>
        <color rgb="FFFFFFFF"/>
        <rFont val="Times New Roman"/>
        <family val="1"/>
      </rPr>
      <t> objects use the </t>
    </r>
    <r>
      <rPr>
        <i/>
        <sz val="10"/>
        <color rgb="FFFFFFFF"/>
        <rFont val="Times New Roman"/>
        <family val="1"/>
      </rPr>
      <t>same</t>
    </r>
    <r>
      <rPr>
        <sz val="10"/>
        <color rgb="FFFFFFFF"/>
        <rFont val="Times New Roman"/>
        <family val="1"/>
      </rPr>
      <t> NGC- or IC-number, these are numbered as components (1,2,3,...). This is also applied for objects associated with the main entry.</t>
    </r>
  </si>
  <si>
    <r>
      <t>Dreyer Object</t>
    </r>
    <r>
      <rPr>
        <sz val="12"/>
        <color rgb="FFFFFFFF"/>
        <rFont val="Times New Roman"/>
        <family val="1"/>
      </rPr>
      <t>. </t>
    </r>
    <r>
      <rPr>
        <sz val="10"/>
        <color rgb="FFFFFFFF"/>
        <rFont val="Times New Roman"/>
        <family val="1"/>
      </rPr>
      <t>A * marks, that this is the object which is ment in Dreyer's catalogue (many objects with extension letters are not in the original NGC/IC).</t>
    </r>
  </si>
  <si>
    <r>
      <t>Status</t>
    </r>
    <r>
      <rPr>
        <sz val="10"/>
        <color rgb="FFFFFFFF"/>
        <rFont val="Times New Roman"/>
        <family val="1"/>
      </rPr>
      <t>. Status of the identification (see Tab. 2)</t>
    </r>
  </si>
  <si>
    <r>
      <t>Precision</t>
    </r>
    <r>
      <rPr>
        <sz val="12"/>
        <color rgb="FFFFFFFF"/>
        <rFont val="Times New Roman"/>
        <family val="1"/>
      </rPr>
      <t>. </t>
    </r>
    <r>
      <rPr>
        <sz val="10"/>
        <color rgb="FFFFFFFF"/>
        <rFont val="Times New Roman"/>
        <family val="1"/>
      </rPr>
      <t>Flag for high precision position</t>
    </r>
  </si>
  <si>
    <t>CON</t>
  </si>
  <si>
    <t>Constellation</t>
  </si>
  <si>
    <t>RH, RM, RS </t>
  </si>
  <si>
    <r>
      <t>Right ascension</t>
    </r>
    <r>
      <rPr>
        <sz val="10"/>
        <color rgb="FFFFFFFF"/>
        <rFont val="Times New Roman"/>
        <family val="1"/>
      </rPr>
      <t>. Equinox J2000.0</t>
    </r>
  </si>
  <si>
    <t>V, DG, DM, DS </t>
  </si>
  <si>
    <r>
      <t>Declination</t>
    </r>
    <r>
      <rPr>
        <sz val="10"/>
        <color rgb="FFFFFFFF"/>
        <rFont val="Times New Roman"/>
        <family val="1"/>
      </rPr>
      <t>. Equinox J2000.0</t>
    </r>
  </si>
  <si>
    <t>Bmag</t>
  </si>
  <si>
    <t>Photographic (blue) magnitude</t>
    <phoneticPr fontId="3" type="noConversion"/>
  </si>
  <si>
    <t>Vmag</t>
  </si>
  <si>
    <t>Visual magnitude</t>
  </si>
  <si>
    <t>B-V</t>
  </si>
  <si>
    <t>Difference of visual and blue magnitude</t>
    <phoneticPr fontId="3" type="noConversion"/>
  </si>
  <si>
    <t>Surface brightness (mag/arcmin2)</t>
    <phoneticPr fontId="3" type="noConversion"/>
  </si>
  <si>
    <t>X, Y</t>
  </si>
  <si>
    <r>
      <t>Larger/smaller diameter</t>
    </r>
    <r>
      <rPr>
        <sz val="10"/>
        <color rgb="FFFFFFFF"/>
        <rFont val="Times New Roman"/>
        <family val="1"/>
      </rPr>
      <t> (').</t>
    </r>
    <r>
      <rPr>
        <sz val="12"/>
        <color rgb="FFFFFFFF"/>
        <rFont val="Times New Roman"/>
        <family val="1"/>
      </rPr>
      <t> </t>
    </r>
    <r>
      <rPr>
        <sz val="10"/>
        <color rgb="FFFFFFFF"/>
        <rFont val="Times New Roman"/>
        <family val="1"/>
      </rPr>
      <t>If only one value (a) is given, this refers to the maximum size.</t>
    </r>
  </si>
  <si>
    <t>PA</t>
  </si>
  <si>
    <r>
      <t>Position angle</t>
    </r>
    <r>
      <rPr>
        <sz val="10"/>
        <color rgb="FFFFFFFF"/>
        <rFont val="Times New Roman"/>
        <family val="1"/>
      </rPr>
      <t> (°). The position angle is only relevant for galaxies, and given if possible.</t>
    </r>
    <phoneticPr fontId="3" type="noConversion"/>
  </si>
  <si>
    <t>Type</t>
  </si>
  <si>
    <t>Type of object</t>
  </si>
  <si>
    <t>z</t>
  </si>
  <si>
    <t>Redshift (from NED or LEDA)</t>
  </si>
  <si>
    <t>D(z)</t>
  </si>
  <si>
    <t>Distance  derived from z (Mpc)</t>
  </si>
  <si>
    <t>MD</t>
  </si>
  <si>
    <t>Metric Distance (Mpc); from NED</t>
  </si>
  <si>
    <t>PGC</t>
  </si>
  <si>
    <r>
      <t>PGC-number</t>
    </r>
    <r>
      <rPr>
        <sz val="10"/>
        <color rgb="FFFFFFFF"/>
        <rFont val="Times New Roman"/>
        <family val="1"/>
      </rPr>
      <t>. Object listed in the </t>
    </r>
    <r>
      <rPr>
        <i/>
        <sz val="10"/>
        <color rgb="FFFFFFFF"/>
        <rFont val="Times New Roman"/>
        <family val="1"/>
      </rPr>
      <t>Catalog of Principle Galaxies</t>
    </r>
    <r>
      <rPr>
        <sz val="10"/>
        <color rgb="FFFFFFFF"/>
        <rFont val="Times New Roman"/>
        <family val="1"/>
      </rPr>
      <t> [22]</t>
    </r>
  </si>
  <si>
    <t>ID1 - ID11</t>
  </si>
  <si>
    <t>Identifications; the last non-empty field contains remarks (if any)</t>
  </si>
  <si>
    <t>NI2019中S字段说明</t>
    <phoneticPr fontId="3" type="noConversion"/>
  </si>
  <si>
    <t>NGC</t>
  </si>
  <si>
    <t>%</t>
  </si>
  <si>
    <t>Add</t>
  </si>
  <si>
    <t>IC</t>
  </si>
  <si>
    <t>Galaxy</t>
  </si>
  <si>
    <t>Galactic nebula, Supernova remnant</t>
    <phoneticPr fontId="3" type="noConversion"/>
  </si>
  <si>
    <t>Planetary nebula</t>
  </si>
  <si>
    <t>Open cluster</t>
  </si>
  <si>
    <t>Globular cluster</t>
  </si>
  <si>
    <t>Part of other object (e.g. bright HII region of a galaxy)</t>
    <phoneticPr fontId="3" type="noConversion"/>
  </si>
  <si>
    <t>Object already in the NGC- or IC</t>
  </si>
  <si>
    <t>IC-object already in the NGC</t>
  </si>
  <si>
    <t>Not found</t>
  </si>
  <si>
    <t>Sum</t>
  </si>
  <si>
    <t>NI2019星座缩写说明</t>
    <phoneticPr fontId="3" type="noConversion"/>
  </si>
  <si>
    <t>Con</t>
  </si>
  <si>
    <t>NI2019中Type字段说明</t>
    <phoneticPr fontId="3" type="noConversion"/>
  </si>
  <si>
    <t>Explanation </t>
  </si>
  <si>
    <t>*, *2,..,*Grp</t>
  </si>
  <si>
    <t>Star, double star,..,star group (asterism)</t>
  </si>
  <si>
    <t>C, D, E, I, P, S</t>
  </si>
  <si>
    <t>Galaxy: compact, dwarf, elliptical, irregular, peculiar, spiral (d=dwarf, B=bar, R=ring , M=mixed); other letters: from Hubble type or its extensions</t>
  </si>
  <si>
    <t>R.., PRG</t>
  </si>
  <si>
    <t>Ring galaxy (see [30]), Polar ring galaxy</t>
  </si>
  <si>
    <t>Part of galaxy (e.g. bright HII region)</t>
  </si>
  <si>
    <t>Open cluster (if no Trümpler class is available)</t>
  </si>
  <si>
    <t>Globular cluster (if no concentration class is available)</t>
  </si>
  <si>
    <t>DN, EN, RN, PN</t>
  </si>
  <si>
    <t>Nebula: dark, emission, reflection, planetary</t>
  </si>
  <si>
    <t>SNR </t>
  </si>
  <si>
    <t>Supernova remnant</t>
  </si>
  <si>
    <t>NI2019中ID字段说明</t>
    <phoneticPr fontId="3" type="noConversion"/>
  </si>
  <si>
    <t>ID</t>
  </si>
  <si>
    <t>Anonymous galaxy form RC2 [9]</t>
  </si>
  <si>
    <t>Abell</t>
  </si>
  <si>
    <t>AM</t>
  </si>
  <si>
    <t>Arp &amp; Madore (southern peculiar galaxy)</t>
  </si>
  <si>
    <t>ARAK</t>
  </si>
  <si>
    <t>Arakelian (galaxy)</t>
  </si>
  <si>
    <t>ARP</t>
  </si>
  <si>
    <t>Atlas of Peculiar Galaxies [2]</t>
  </si>
  <si>
    <t>BCL</t>
  </si>
  <si>
    <t>Boulesteix cluster (HII region in M33)</t>
  </si>
  <si>
    <t>Berkeley</t>
  </si>
  <si>
    <t>Bigourdan</t>
  </si>
  <si>
    <t>Non-stellar object; Bigourdan 298 = NGC 4411-2</t>
  </si>
  <si>
    <t>Bochum</t>
  </si>
  <si>
    <t>Open cluster; Bochum 4 = NGC 2409</t>
  </si>
  <si>
    <t>3C</t>
  </si>
  <si>
    <t>Third Cambridge Catalogue of Radio Sources</t>
  </si>
  <si>
    <t>CED</t>
  </si>
  <si>
    <t>Cederblad (diffuse galactic nebula)</t>
  </si>
  <si>
    <t>CGCG</t>
  </si>
  <si>
    <t>Zwicky's Catalogue of Galaxies and of Clusters of Galaxies [34]; format: first number = field, second number = galaxy in field</t>
  </si>
  <si>
    <t>CGMW</t>
  </si>
  <si>
    <t>Catalogue of Galaxies Behind the Milky Way</t>
  </si>
  <si>
    <t>COU</t>
  </si>
  <si>
    <t>Coutès (Halpha emission nebula)</t>
  </si>
  <si>
    <t>DCL</t>
  </si>
  <si>
    <t>Dickens, Currie, Lucey (galaxy in centaurus custer)</t>
  </si>
  <si>
    <t>DDO</t>
  </si>
  <si>
    <t>David Dunlop Observatory (dwarf galaxy)</t>
  </si>
  <si>
    <t>DFOT</t>
  </si>
  <si>
    <t>Doi, Fugugita, Okamura, Tarusawa (galaxy in Coma cluster)</t>
  </si>
  <si>
    <t>DG</t>
  </si>
  <si>
    <t>Dorschner &amp; Görtler (reflection nebula)</t>
  </si>
  <si>
    <t>Djorgovsky</t>
  </si>
  <si>
    <t>Globular cluster; Djorgovsky 3 = NGC 6540</t>
  </si>
  <si>
    <t>DRCG</t>
  </si>
  <si>
    <t>Dressler Cluster of Galaxies (galaxis in different clusters)</t>
  </si>
  <si>
    <t>ESO</t>
  </si>
  <si>
    <t>ESO/Uppsala Survey of the ESO(B)-Atlas [19]; format: first number = field, second number = object in field. If the format contains no letters, the object is a galaxy, otherwise letters are used for special types: RN=reflection nebula (e.g. ESO 123-RN7), SC=star cluster, EN=emission nebula, PN=planetary nebula, *N=star(s) in nebula, N*=nebula and star</t>
  </si>
  <si>
    <t>FAIR</t>
  </si>
  <si>
    <t>Fairall (compact and bright nucleus galaxy)</t>
  </si>
  <si>
    <t>Fath</t>
  </si>
  <si>
    <t>Nebula; Fath 703 = NGC 5892</t>
  </si>
  <si>
    <t>FCC</t>
  </si>
  <si>
    <t>Fornax Cluster Catalogue</t>
  </si>
  <si>
    <t>FGC</t>
  </si>
  <si>
    <t>Flat Galaxy Catalogue (the extension ist FGCE; the addendum is refered by a following 'A') [17]</t>
  </si>
  <si>
    <t>Globular Cluster; from the Catalogue of Star Clusters and Associations</t>
  </si>
  <si>
    <t>HARO</t>
  </si>
  <si>
    <t>Galaxy with UV excess</t>
  </si>
  <si>
    <t>HCG</t>
  </si>
  <si>
    <t>Hickson compact group of galaxies</t>
  </si>
  <si>
    <t>Henize</t>
  </si>
  <si>
    <t>Planetary nebula; Henize 959 = NGC 5408</t>
  </si>
  <si>
    <t>Holmberg</t>
  </si>
  <si>
    <t>Dwarf galaxy; Holmberg VI = NGC 1325A</t>
  </si>
  <si>
    <t>IRAS</t>
  </si>
  <si>
    <t>IRAS catalogue of infrared sources</t>
  </si>
  <si>
    <t>J</t>
  </si>
  <si>
    <t>Jonkheere (planetary nebula); J 475 = NGC 6741</t>
  </si>
  <si>
    <t>KARA</t>
  </si>
  <si>
    <t>Karachentseva (isolated galaxy)</t>
  </si>
  <si>
    <t>KAZ</t>
  </si>
  <si>
    <t>Kazayan (emission line galaxy)</t>
  </si>
  <si>
    <t>KCPG</t>
  </si>
  <si>
    <t>Karachentsev isolated pair of galaxies </t>
  </si>
  <si>
    <t>KDWG</t>
  </si>
  <si>
    <t>Karachentsev dwarf galaxy</t>
  </si>
  <si>
    <t>Keeler</t>
  </si>
  <si>
    <t>Galaxy; Keeler 690 = NGC 5866A</t>
  </si>
  <si>
    <t>KUG</t>
  </si>
  <si>
    <t>Kiso UV galaxy</t>
  </si>
  <si>
    <t>LBN</t>
  </si>
  <si>
    <t>Lynds Bright Nebula (emission nebula)</t>
  </si>
  <si>
    <t>LDN</t>
  </si>
  <si>
    <t>Lynds Dark Nebula; LDN 1653 = NGC 2313</t>
  </si>
  <si>
    <t>LT</t>
  </si>
  <si>
    <t>L. Thompson [30] (ring galaxy)</t>
  </si>
  <si>
    <t>Lund</t>
  </si>
  <si>
    <t>Open cluster; Lud 1182 = NGC 2175S</t>
  </si>
  <si>
    <t>M</t>
  </si>
  <si>
    <t>Messier; M 110 = NGC 205 is included, M 40 and M 45 are not; all other , except M 24 = IC 4715 and M 25 = IC 4725, are in the NGC</t>
  </si>
  <si>
    <t>MCG</t>
  </si>
  <si>
    <t>Morphological Catalogue of Galaxies [33]; first number = declination zone (+15 to -6, "+" sign is omitted), second number = field in zone (by right ascension), third number = galaxy in field.</t>
  </si>
  <si>
    <t>Mel</t>
  </si>
  <si>
    <t>Melotte (open cluster); Mel 15 = IC 1805</t>
  </si>
  <si>
    <t>Min</t>
  </si>
  <si>
    <t>Minkowski (planetary nebula); Min 2-57 = NGC 896</t>
  </si>
  <si>
    <t>MK</t>
  </si>
  <si>
    <t>Markarian (galaxy with UV continuum)</t>
  </si>
  <si>
    <t>New</t>
  </si>
  <si>
    <t>Galaxy (Shapley-Ames)</t>
  </si>
  <si>
    <t>NPM1G</t>
  </si>
  <si>
    <t>Lick Northern Proper Motion Survey Galaxy Catalogue [18]; Format: declination zone (°) + number </t>
  </si>
  <si>
    <t>Open Cluster; from the Catalogue of Star Clusters and Associations</t>
  </si>
  <si>
    <t>Pal</t>
  </si>
  <si>
    <t>Palomar (gobular cluster)</t>
  </si>
  <si>
    <t>PGC (LEDA)</t>
  </si>
  <si>
    <t>Catalog of Principal Galaxies [22]; continued by "Lyon Extragalactic Database" (LEDA)</t>
  </si>
  <si>
    <t>PHL</t>
  </si>
  <si>
    <t>Palomar-Haro-Luyten (blue star or galaxy); PHL 1226 = IC 1746</t>
  </si>
  <si>
    <t>PK</t>
  </si>
  <si>
    <t>Perek &amp; Kohoutek (planetary nebula) [1]; format: galactic coordinates</t>
  </si>
  <si>
    <t>PRC</t>
  </si>
  <si>
    <t>Polar ring galaxy</t>
  </si>
  <si>
    <t>RB</t>
  </si>
  <si>
    <t>Rood &amp; Baum (galaxy in Coma cluster)</t>
  </si>
  <si>
    <t>Reinmuth</t>
  </si>
  <si>
    <t>Galaxy; Reinmuth 80 = NGC 4517A</t>
  </si>
  <si>
    <t>Reiz</t>
  </si>
  <si>
    <t>Galaxy (this identification is given only if no other identification is available) </t>
  </si>
  <si>
    <t>Ruprecht</t>
  </si>
  <si>
    <t>SBS</t>
  </si>
  <si>
    <t>Second Byurakan Survey (UV excess objects)</t>
  </si>
  <si>
    <t>SG</t>
  </si>
  <si>
    <t>Shain &amp; Gaze (emission nebula)</t>
  </si>
  <si>
    <t>Sh2</t>
  </si>
  <si>
    <t>Sharpless (emission nebula)</t>
  </si>
  <si>
    <t>Shkh</t>
  </si>
  <si>
    <t>Shakhbazian (compact galaxy in compact group)</t>
  </si>
  <si>
    <t>SS</t>
  </si>
  <si>
    <t>Struve &amp; Straka (galactic nebula)</t>
  </si>
  <si>
    <t>1SZ, 2SZ</t>
  </si>
  <si>
    <t>Southern Zwicky compact galaxies (2 lists)</t>
  </si>
  <si>
    <t>Todd</t>
  </si>
  <si>
    <r>
      <t>Todd (galaxy); found during his „Telescopic Search for the Trans-Neptunian Planet", AN </t>
    </r>
    <r>
      <rPr>
        <u/>
        <sz val="10"/>
        <color rgb="FFFFFFFF"/>
        <rFont val="Times New Roman"/>
        <family val="1"/>
      </rPr>
      <t>113</t>
    </r>
    <r>
      <rPr>
        <sz val="10"/>
        <color rgb="FFFFFFFF"/>
        <rFont val="Times New Roman"/>
        <family val="1"/>
      </rPr>
      <t>, 153 (1885); some new identifications were found by Klaus Wenzel</t>
    </r>
  </si>
  <si>
    <t>TOL</t>
  </si>
  <si>
    <t>Tololo (emission line galaxy)</t>
  </si>
  <si>
    <t>UGC</t>
  </si>
  <si>
    <t>Uppsala General Catalogue of Galaxies [20]</t>
  </si>
  <si>
    <t>UGCA</t>
  </si>
  <si>
    <t>Catalogue of Selected Non-UGC Galaxies [21]</t>
  </si>
  <si>
    <t>UM</t>
  </si>
  <si>
    <t>University of Michigan (emission line galaxy)</t>
  </si>
  <si>
    <t>URA</t>
  </si>
  <si>
    <t>Uranova (stellar ring); URA 50 = IC 1311</t>
  </si>
  <si>
    <t>VCC</t>
  </si>
  <si>
    <t>Virgo Cluster Catalog (galaxy)</t>
  </si>
  <si>
    <t>vdB</t>
  </si>
  <si>
    <t>Van den Bergh (reflection nebula);</t>
  </si>
  <si>
    <t>vdB-Hagen</t>
  </si>
  <si>
    <t>Van den Bergh-Hagen (open cluster)</t>
  </si>
  <si>
    <t>VMT</t>
  </si>
  <si>
    <t>Van den Bergh, Marschner, Terzian (supernova remnant); VMT 9 = IC 443</t>
  </si>
  <si>
    <t>VV</t>
  </si>
  <si>
    <t>Vorontsov-Velyaminov (interacting galaxy) [33]</t>
  </si>
  <si>
    <t>WAS</t>
  </si>
  <si>
    <t>Wasilewski (emission line galaxy)</t>
  </si>
  <si>
    <t>Westerlund</t>
  </si>
  <si>
    <t>Open cluster; Westerlund 2 = NGC 3247</t>
  </si>
  <si>
    <t>Z</t>
  </si>
  <si>
    <t>Galaxy listed in the Catalogue of Selected Compact Galaxies and of Post-Eruptive Galaxies [35] only by 1950-coordinates, which are appended.</t>
  </si>
  <si>
    <t>ZH</t>
  </si>
  <si>
    <t>Zwicky-Humason (galaxy in Abell 194); ZH 32 = IC 1693</t>
  </si>
  <si>
    <t>1ZW..7ZW</t>
  </si>
  <si>
    <t>Catalogue of Selected Compact Galaxies and of Post-Eruptive Galaxies [35], based on 7 lists</t>
  </si>
  <si>
    <t>8ZW</t>
  </si>
  <si>
    <t>Eighth List of Compact Galaxies [36]</t>
  </si>
  <si>
    <t>NI2019中Name字段说明</t>
    <phoneticPr fontId="3" type="noConversion"/>
  </si>
  <si>
    <t>Name</t>
  </si>
  <si>
    <t>Identification</t>
  </si>
  <si>
    <t>47 Tucanae</t>
  </si>
  <si>
    <t>NGC 104</t>
  </si>
  <si>
    <t>Ambartsumian's Knot</t>
  </si>
  <si>
    <t>30" s of NGC 3561</t>
  </si>
  <si>
    <t>Andromeda Nebula</t>
  </si>
  <si>
    <t>NGC 224 = M 31</t>
  </si>
  <si>
    <t>Antennae</t>
  </si>
  <si>
    <t>NGC 4038, NGC 4039</t>
  </si>
  <si>
    <t>Atoms For Peace Galaxy</t>
  </si>
  <si>
    <t>NGC 7252</t>
  </si>
  <si>
    <t>Barnard's Galaxy</t>
  </si>
  <si>
    <t>NGC 6822 = IC 4895</t>
  </si>
  <si>
    <t>Barnard's Merope Nebula</t>
  </si>
  <si>
    <t>IC 349</t>
  </si>
  <si>
    <t>Baxendell's Nebula</t>
  </si>
  <si>
    <t>NGC 7088</t>
  </si>
  <si>
    <t>Bear Claw/Paw Nebula</t>
  </si>
  <si>
    <t>NGC 2537</t>
  </si>
  <si>
    <t>Beehive Cluster</t>
  </si>
  <si>
    <t>NGC 2632 = M 44</t>
  </si>
  <si>
    <t>Black Eye Galaxy</t>
  </si>
  <si>
    <t>NGC 4826 = M 64</t>
  </si>
  <si>
    <t>Blinking Planetary</t>
  </si>
  <si>
    <t>NGC 6826</t>
  </si>
  <si>
    <t>Blue Flash Nebula</t>
  </si>
  <si>
    <t>NGC 6905</t>
  </si>
  <si>
    <t>Blue Planetary</t>
  </si>
  <si>
    <t>NGC 3918</t>
  </si>
  <si>
    <t>Blue Snowball</t>
  </si>
  <si>
    <t>NGC 7662</t>
  </si>
  <si>
    <t>Bode's Nebulae</t>
  </si>
  <si>
    <t>NGC 3031 = M 81, NGC 3034 = M 82</t>
  </si>
  <si>
    <t>Box Nebula</t>
  </si>
  <si>
    <t>NGC 6309</t>
  </si>
  <si>
    <t>Bubble Nebula</t>
  </si>
  <si>
    <t>NGC 7635</t>
  </si>
  <si>
    <t>Bug Nebula</t>
  </si>
  <si>
    <t>NGC 6302</t>
  </si>
  <si>
    <t>Butterfly Nebula</t>
  </si>
  <si>
    <t>IC 2220</t>
  </si>
  <si>
    <t>Butterly Cluster</t>
  </si>
  <si>
    <t>NGC 6405 = M 6</t>
  </si>
  <si>
    <t>California Nebula</t>
  </si>
  <si>
    <t>NGC 1499</t>
  </si>
  <si>
    <t>Carafe Group</t>
  </si>
  <si>
    <t>NGC 1595, NGC 1598 with ESO 202-G23 ("carafe")</t>
  </si>
  <si>
    <t>Cat Eye Nebula</t>
  </si>
  <si>
    <t>NGC 6543</t>
  </si>
  <si>
    <t>Centaurus A</t>
  </si>
  <si>
    <t>NGC 5128</t>
  </si>
  <si>
    <t>Cetus A</t>
  </si>
  <si>
    <t>NGC 1068</t>
  </si>
  <si>
    <t>Chi Persei</t>
  </si>
  <si>
    <t>NGC 869, NGC 884</t>
  </si>
  <si>
    <t>Christmas Tree Cluster</t>
  </si>
  <si>
    <t>NGC 2264</t>
  </si>
  <si>
    <t>Cocoon Nebula</t>
  </si>
  <si>
    <t>IC 5146</t>
  </si>
  <si>
    <t>Coddington Nebula</t>
  </si>
  <si>
    <t>IC 2574</t>
  </si>
  <si>
    <t>Copeland Septet</t>
  </si>
  <si>
    <t>NGC 3745, NGC 3746, NGC 3748, NGC 3750, NGC 3751, NGC 3753, NGC 3754</t>
  </si>
  <si>
    <t>Crab Nebula</t>
  </si>
  <si>
    <t>NGC 1952 = M 1</t>
  </si>
  <si>
    <t>Crescent Nebula</t>
  </si>
  <si>
    <t>NGC 6888</t>
  </si>
  <si>
    <t>Double Cluster</t>
  </si>
  <si>
    <t>Dumbbell Nebula</t>
  </si>
  <si>
    <t>NGC 6853 = M 27</t>
  </si>
  <si>
    <t>Eagle Nebula</t>
  </si>
  <si>
    <t>IC 4703 (in M 16)</t>
  </si>
  <si>
    <t>Eight-burst Planetary</t>
  </si>
  <si>
    <t>NGC 3132</t>
  </si>
  <si>
    <t>Epsilon Orionis Nebula</t>
  </si>
  <si>
    <t>NGC 1990</t>
  </si>
  <si>
    <t>Eskimo Nebula</t>
  </si>
  <si>
    <t>NGC 2392</t>
  </si>
  <si>
    <t>Eta Carinae Nebula</t>
  </si>
  <si>
    <t>NGC 3372</t>
  </si>
  <si>
    <t>Flame Nebula</t>
  </si>
  <si>
    <t>NGC 2024</t>
  </si>
  <si>
    <t>Flaming Star Nebula</t>
  </si>
  <si>
    <t>IC 405</t>
  </si>
  <si>
    <t>Fornax A</t>
  </si>
  <si>
    <t>NGC 1316</t>
  </si>
  <si>
    <t>Gamma Cas Nebula</t>
  </si>
  <si>
    <t>IC 59, IC 63</t>
  </si>
  <si>
    <t>Gamma Cyg Nebula</t>
  </si>
  <si>
    <t>IC 1318</t>
  </si>
  <si>
    <t>Gem Cluster</t>
  </si>
  <si>
    <t>NGC 3293</t>
  </si>
  <si>
    <t>Ghost of Jupiter</t>
  </si>
  <si>
    <t>NGC 3242</t>
  </si>
  <si>
    <t>Grus Quartet</t>
  </si>
  <si>
    <t>NGC 7552, NGC 7582, NGC 7590, NGC 7599</t>
  </si>
  <si>
    <t>Helix Galaxy</t>
  </si>
  <si>
    <t>NGC 2685</t>
  </si>
  <si>
    <t>Helix Nebula</t>
  </si>
  <si>
    <t>NGC 7293</t>
  </si>
  <si>
    <t>Hercules Cluster</t>
  </si>
  <si>
    <t>NGC 6205 = M 13</t>
  </si>
  <si>
    <t>Herschel's Ray</t>
  </si>
  <si>
    <t>NGC 2736</t>
  </si>
  <si>
    <t>Hind's Variable Nebula</t>
  </si>
  <si>
    <t>NGC 1555</t>
  </si>
  <si>
    <t>Horsehead Nebula</t>
  </si>
  <si>
    <t>IC 434</t>
  </si>
  <si>
    <t>Hubble's Variable Nebula</t>
  </si>
  <si>
    <t>NGC 2261</t>
  </si>
  <si>
    <t>Intergalactic Wanderer</t>
  </si>
  <si>
    <t>NGC 2419</t>
  </si>
  <si>
    <t>Jewel Box</t>
  </si>
  <si>
    <t>NGC 4755</t>
  </si>
  <si>
    <t>Kappa Crucis Cluster</t>
  </si>
  <si>
    <t>Keenan's System</t>
  </si>
  <si>
    <t>NGC 5216, NGC 5218</t>
  </si>
  <si>
    <t>Kidney Bean Galaxy</t>
  </si>
  <si>
    <t>NGC 4774</t>
  </si>
  <si>
    <t>Lagoon Nebula</t>
  </si>
  <si>
    <t>NGC 6523 = M 8</t>
  </si>
  <si>
    <t>Little Dumbbell</t>
  </si>
  <si>
    <t>NGC 650/51 = M 76</t>
  </si>
  <si>
    <t>Little Gem</t>
  </si>
  <si>
    <t>NGC 6818</t>
  </si>
  <si>
    <t>Maia Nebula</t>
  </si>
  <si>
    <t>NGC 1432</t>
  </si>
  <si>
    <t>Markarian Chain</t>
  </si>
  <si>
    <t>NGC 4374, NGC 4406, NGC 4435, NGC 4438, NGC 4458, NGC 4461, NGC 4473, NGC 4477</t>
  </si>
  <si>
    <t>Miniature Spiral</t>
  </si>
  <si>
    <t>NGC 3928</t>
  </si>
  <si>
    <t>Merope Nebula</t>
  </si>
  <si>
    <t>NGC 1435</t>
  </si>
  <si>
    <t>Mirach's Ghost</t>
  </si>
  <si>
    <t>NGC 404</t>
  </si>
  <si>
    <t>Nubecula Minor</t>
  </si>
  <si>
    <t>NGC 292 = SMC</t>
  </si>
  <si>
    <t>North America Nebula</t>
  </si>
  <si>
    <t>NGC 7000</t>
  </si>
  <si>
    <t>Omega Centauri</t>
  </si>
  <si>
    <t>NGC 5139</t>
  </si>
  <si>
    <t>Omega Nebula</t>
  </si>
  <si>
    <t>NGC 6618 = M 17</t>
  </si>
  <si>
    <t>Omikron Velorum Custer</t>
  </si>
  <si>
    <t>IC 2391</t>
  </si>
  <si>
    <t>Orion Nebula</t>
  </si>
  <si>
    <t>NGC 1976 = M 42</t>
  </si>
  <si>
    <t>Owl Nebula</t>
  </si>
  <si>
    <t>NGC 3587 = M 97</t>
  </si>
  <si>
    <t>Papillon</t>
  </si>
  <si>
    <t>IC 708</t>
  </si>
  <si>
    <t>Pelican Nebula</t>
  </si>
  <si>
    <t>IC 5067, IC 5070</t>
  </si>
  <si>
    <t>Perseus A</t>
  </si>
  <si>
    <t>NGC 1275</t>
  </si>
  <si>
    <t>Pinwheel Galaxy</t>
  </si>
  <si>
    <t>NGC 5457 = M 101</t>
  </si>
  <si>
    <t>Polarissima Australis</t>
  </si>
  <si>
    <t>NGC 2573</t>
  </si>
  <si>
    <t>Polarissima Borealis</t>
  </si>
  <si>
    <t>NGC 3172</t>
  </si>
  <si>
    <t>Praesepe</t>
  </si>
  <si>
    <t>Ptolemy's Cluster</t>
  </si>
  <si>
    <t>NGC 6475</t>
  </si>
  <si>
    <t>Rho Ophiuchi Nebula</t>
  </si>
  <si>
    <t>IC 4604</t>
  </si>
  <si>
    <t>Ring Nebula</t>
  </si>
  <si>
    <t>NGC 6720 = M 57</t>
  </si>
  <si>
    <t>Running Chicken Nebula</t>
  </si>
  <si>
    <t>IC 2944</t>
  </si>
  <si>
    <t>Rosette Nebula</t>
  </si>
  <si>
    <t>NGC 2237, NGC 2238, NGC 2246 (around NGC 2244 = NGC 2239)</t>
  </si>
  <si>
    <t>Sagittarius Star Cloud</t>
  </si>
  <si>
    <t>IC 4715 = M 24</t>
  </si>
  <si>
    <t>Saturn Nebula</t>
  </si>
  <si>
    <t>NGC 7009</t>
  </si>
  <si>
    <t>Sculptor Galaxy</t>
  </si>
  <si>
    <t>NGC 253</t>
  </si>
  <si>
    <t>Seyfert Sextet</t>
  </si>
  <si>
    <t>NGC 6027 (A-E)</t>
  </si>
  <si>
    <t>Siamese Twins</t>
  </si>
  <si>
    <t>NGC 4567, NGC 4568</t>
  </si>
  <si>
    <t>Silver Dollar</t>
  </si>
  <si>
    <t>Small Magellanic Cloud (SMC)</t>
  </si>
  <si>
    <t>NGC 292</t>
  </si>
  <si>
    <t>Sombrero Galaxy</t>
  </si>
  <si>
    <t>NGC 4594 = M 104</t>
  </si>
  <si>
    <t>Southern Integral-sign</t>
  </si>
  <si>
    <t>IC 5173</t>
  </si>
  <si>
    <t>Southern Pleiades</t>
  </si>
  <si>
    <t>IC 2602</t>
  </si>
  <si>
    <t>Spindle Galaxy</t>
  </si>
  <si>
    <t>NGC 3115</t>
  </si>
  <si>
    <t>Starqueen Nebula</t>
  </si>
  <si>
    <t>Stephan's Quintet</t>
  </si>
  <si>
    <t>NGC 7317, NGC 7318A, NGC 7318B, NGC 7319, NGC 7320</t>
  </si>
  <si>
    <t>Struve's Lost Nebula</t>
  </si>
  <si>
    <t>NGC 1554</t>
  </si>
  <si>
    <t>Sunflower Galaxy</t>
  </si>
  <si>
    <t>NGC 5055 = M 63</t>
  </si>
  <si>
    <t>Tarantula Nebula</t>
  </si>
  <si>
    <t>NGC 2070 = 30 Dor</t>
  </si>
  <si>
    <t>Taurus A</t>
  </si>
  <si>
    <t>The Box</t>
  </si>
  <si>
    <t>NGC 4169, NGC 4173, NGC 4174, NGC 4175</t>
  </si>
  <si>
    <t>The Eyes</t>
  </si>
  <si>
    <t>NGC 4435, NGC 4438</t>
  </si>
  <si>
    <t>The Mice</t>
  </si>
  <si>
    <t>NGC 4676A, NGC 4676B</t>
  </si>
  <si>
    <t>Toby Jug Nebula</t>
  </si>
  <si>
    <t>Triangulum Galaxy</t>
  </si>
  <si>
    <t>NGC 598 = M 33</t>
  </si>
  <si>
    <t>Trifid Nebula</t>
  </si>
  <si>
    <t>NGC 6514 = M 20</t>
  </si>
  <si>
    <t>Ursa Major A</t>
  </si>
  <si>
    <t>NGC 3034 = M 82</t>
  </si>
  <si>
    <t>Veil Nebula</t>
  </si>
  <si>
    <t>NGC 6960, NGC 6992, NGC 6995</t>
  </si>
  <si>
    <t>Virgo A</t>
  </si>
  <si>
    <t>NGC 4486 = M 87</t>
  </si>
  <si>
    <t>Whirlpool Galaxy</t>
  </si>
  <si>
    <t>NGC 5194 = M 51</t>
  </si>
  <si>
    <t>Wild Duck Cluster</t>
  </si>
  <si>
    <t>NGC 6705 = M 11</t>
  </si>
  <si>
    <t>Witch Head Nebula</t>
  </si>
  <si>
    <t>IC 2118</t>
  </si>
  <si>
    <t>Zwicky's Triplet</t>
  </si>
  <si>
    <t>IC 3481, IC 3481A, IC 3483</t>
  </si>
  <si>
    <t>原始的NGCIC目标标注为*，部分会标有拓展名或组件如NGC1796B-2</t>
    <phoneticPr fontId="3" type="noConversion"/>
  </si>
  <si>
    <t>Short</t>
    <phoneticPr fontId="3" type="noConversion"/>
  </si>
  <si>
    <t>Long</t>
    <phoneticPr fontId="3" type="noConversion"/>
  </si>
  <si>
    <t>Gxy</t>
    <phoneticPr fontId="3" type="noConversion"/>
  </si>
  <si>
    <t>Nb</t>
    <phoneticPr fontId="3" type="noConversion"/>
  </si>
  <si>
    <t>Galactic nebula, Supernova remnant</t>
  </si>
  <si>
    <t>PN</t>
    <phoneticPr fontId="3" type="noConversion"/>
  </si>
  <si>
    <t>OCL</t>
    <phoneticPr fontId="3" type="noConversion"/>
  </si>
  <si>
    <t>GCL</t>
    <phoneticPr fontId="3" type="noConversion"/>
  </si>
  <si>
    <t>GxyP</t>
    <phoneticPr fontId="3" type="noConversion"/>
  </si>
  <si>
    <t>Part of other object (e.g. bright HII region of a galaxy)</t>
  </si>
  <si>
    <t>Dup</t>
    <phoneticPr fontId="3" type="noConversion"/>
  </si>
  <si>
    <t>Object duplicate (already exits)</t>
    <phoneticPr fontId="3" type="noConversion"/>
  </si>
  <si>
    <t>NF</t>
    <phoneticPr fontId="3" type="noConversion"/>
  </si>
  <si>
    <t>Note</t>
    <phoneticPr fontId="3" type="noConversion"/>
  </si>
  <si>
    <t>Short</t>
    <phoneticPr fontId="3" type="noConversion"/>
  </si>
  <si>
    <t>Long</t>
    <phoneticPr fontId="3" type="noConversion"/>
  </si>
  <si>
    <t>Gxy</t>
    <phoneticPr fontId="3" type="noConversion"/>
  </si>
  <si>
    <t>Nb</t>
    <phoneticPr fontId="3" type="noConversion"/>
  </si>
  <si>
    <t>PN</t>
    <phoneticPr fontId="3" type="noConversion"/>
  </si>
  <si>
    <t>OCL</t>
    <phoneticPr fontId="3" type="noConversion"/>
  </si>
  <si>
    <t>GCL</t>
    <phoneticPr fontId="3" type="noConversion"/>
  </si>
  <si>
    <t>GxyP</t>
    <phoneticPr fontId="3" type="noConversion"/>
  </si>
  <si>
    <t>Dup</t>
    <phoneticPr fontId="3" type="noConversion"/>
  </si>
  <si>
    <t>Star(s)</t>
    <phoneticPr fontId="3" type="noConversion"/>
  </si>
  <si>
    <t>NF</t>
    <phoneticPr fontId="3" type="noConversion"/>
  </si>
  <si>
    <t>含重复类型</t>
    <phoneticPr fontId="3" type="noConversion"/>
  </si>
  <si>
    <t>类型</t>
    <phoneticPr fontId="2" type="noConversion"/>
  </si>
  <si>
    <t>业余排名</t>
    <phoneticPr fontId="2" type="noConversion"/>
  </si>
  <si>
    <t>M110</t>
  </si>
  <si>
    <t>M32</t>
  </si>
  <si>
    <t>M31</t>
  </si>
  <si>
    <t>M103</t>
  </si>
  <si>
    <t>M33</t>
  </si>
  <si>
    <t>M74</t>
  </si>
  <si>
    <t>M76</t>
  </si>
  <si>
    <t>M34</t>
  </si>
  <si>
    <t>M77</t>
  </si>
  <si>
    <t>M79</t>
  </si>
  <si>
    <t>M38</t>
  </si>
  <si>
    <t>M1</t>
  </si>
  <si>
    <t>M36</t>
  </si>
  <si>
    <t>M42</t>
  </si>
  <si>
    <t>M43</t>
  </si>
  <si>
    <t>M78</t>
  </si>
  <si>
    <t>M37</t>
  </si>
  <si>
    <t>M35</t>
  </si>
  <si>
    <t>M41</t>
  </si>
  <si>
    <t>M50</t>
  </si>
  <si>
    <t>M47</t>
  </si>
  <si>
    <t>M46</t>
  </si>
  <si>
    <t>M93</t>
  </si>
  <si>
    <t>M48</t>
  </si>
  <si>
    <t>M44</t>
  </si>
  <si>
    <t>M67</t>
  </si>
  <si>
    <t>M81</t>
  </si>
  <si>
    <t>M82</t>
  </si>
  <si>
    <t>M95</t>
  </si>
  <si>
    <t>M96</t>
  </si>
  <si>
    <t>M105</t>
  </si>
  <si>
    <t>M108</t>
  </si>
  <si>
    <t>M97</t>
  </si>
  <si>
    <t>M65</t>
  </si>
  <si>
    <t>M66</t>
  </si>
  <si>
    <t>M109</t>
  </si>
  <si>
    <t>M98</t>
  </si>
  <si>
    <t>M99</t>
  </si>
  <si>
    <t>M106</t>
  </si>
  <si>
    <t>M61</t>
  </si>
  <si>
    <t>M100</t>
  </si>
  <si>
    <t>M84</t>
  </si>
  <si>
    <t>M85</t>
  </si>
  <si>
    <t>M86</t>
  </si>
  <si>
    <t>M49</t>
  </si>
  <si>
    <t>M87</t>
  </si>
  <si>
    <t>M88</t>
  </si>
  <si>
    <t>M91</t>
  </si>
  <si>
    <t>M89</t>
  </si>
  <si>
    <t>M90</t>
  </si>
  <si>
    <t>M58</t>
  </si>
  <si>
    <t>M68</t>
  </si>
  <si>
    <t>M104</t>
  </si>
  <si>
    <t>M59</t>
  </si>
  <si>
    <t>M60</t>
  </si>
  <si>
    <t>M94</t>
  </si>
  <si>
    <t>M64</t>
  </si>
  <si>
    <t>M53</t>
  </si>
  <si>
    <t>M63</t>
  </si>
  <si>
    <t>M51</t>
  </si>
  <si>
    <t>M83</t>
  </si>
  <si>
    <t>M3</t>
  </si>
  <si>
    <t>M101</t>
  </si>
  <si>
    <t>M102</t>
  </si>
  <si>
    <t>M5</t>
  </si>
  <si>
    <t>M80</t>
  </si>
  <si>
    <t>M4</t>
  </si>
  <si>
    <t>M107</t>
  </si>
  <si>
    <t>M13</t>
  </si>
  <si>
    <t>M12</t>
  </si>
  <si>
    <t>M10</t>
  </si>
  <si>
    <t>M62</t>
  </si>
  <si>
    <t>M19</t>
  </si>
  <si>
    <t>M9</t>
  </si>
  <si>
    <t>M92</t>
  </si>
  <si>
    <t>M14</t>
  </si>
  <si>
    <t>M6</t>
  </si>
  <si>
    <t>M7</t>
  </si>
  <si>
    <t>M23</t>
  </si>
  <si>
    <t>M20</t>
  </si>
  <si>
    <t>M8</t>
  </si>
  <si>
    <t>M21</t>
  </si>
  <si>
    <t>M16</t>
  </si>
  <si>
    <t>M18</t>
  </si>
  <si>
    <t>M17</t>
  </si>
  <si>
    <t>M28</t>
  </si>
  <si>
    <t>M69</t>
  </si>
  <si>
    <t>M22</t>
  </si>
  <si>
    <t>M70</t>
  </si>
  <si>
    <t>M26</t>
  </si>
  <si>
    <t>M11</t>
  </si>
  <si>
    <t>M54</t>
  </si>
  <si>
    <t>M57</t>
  </si>
  <si>
    <t>M56</t>
  </si>
  <si>
    <t>M55</t>
  </si>
  <si>
    <t>M71</t>
  </si>
  <si>
    <t>M27</t>
  </si>
  <si>
    <t>M75</t>
  </si>
  <si>
    <t>M29</t>
  </si>
  <si>
    <t>M72</t>
  </si>
  <si>
    <t>M73</t>
  </si>
  <si>
    <t>M15</t>
  </si>
  <si>
    <t>M2</t>
  </si>
  <si>
    <t>M39</t>
  </si>
  <si>
    <t>M30</t>
  </si>
  <si>
    <t>M52</t>
  </si>
  <si>
    <t>M24</t>
  </si>
  <si>
    <t>M25</t>
  </si>
  <si>
    <t>NGC1</t>
    <phoneticPr fontId="2" type="noConversion"/>
  </si>
  <si>
    <t>NGC6</t>
    <phoneticPr fontId="2" type="noConversion"/>
  </si>
  <si>
    <t>经过了数据处理</t>
    <phoneticPr fontId="2" type="noConversion"/>
  </si>
  <si>
    <t>剑鱼座</t>
  </si>
  <si>
    <t>剑鱼座</t>
    <phoneticPr fontId="2" type="noConversion"/>
  </si>
  <si>
    <t>Class</t>
  </si>
  <si>
    <t>III 868</t>
  </si>
  <si>
    <t>III 866</t>
  </si>
  <si>
    <t>II 591</t>
  </si>
  <si>
    <t>IV 15</t>
  </si>
  <si>
    <t>III 147</t>
  </si>
  <si>
    <t>III 461</t>
  </si>
  <si>
    <t>II 853</t>
  </si>
  <si>
    <t>III 456</t>
  </si>
  <si>
    <t>III 861</t>
  </si>
  <si>
    <t>IV 58</t>
  </si>
  <si>
    <t>III 183</t>
  </si>
  <si>
    <t>II 241, II 243</t>
  </si>
  <si>
    <t>III 428</t>
  </si>
  <si>
    <t>V 16</t>
  </si>
  <si>
    <t>II 257</t>
  </si>
  <si>
    <t>III 148</t>
  </si>
  <si>
    <t>III 869</t>
  </si>
  <si>
    <t>II 854</t>
  </si>
  <si>
    <t>VIII 79</t>
  </si>
  <si>
    <t>II 855</t>
  </si>
  <si>
    <t>VI 35</t>
  </si>
  <si>
    <t>II 471</t>
  </si>
  <si>
    <t>II 478</t>
  </si>
  <si>
    <t>III 467</t>
  </si>
  <si>
    <t>II 3</t>
  </si>
  <si>
    <t>III 476</t>
  </si>
  <si>
    <t>III 954</t>
  </si>
  <si>
    <t>III 223</t>
  </si>
  <si>
    <t>III 871</t>
  </si>
  <si>
    <t>III 876</t>
  </si>
  <si>
    <t>III 870</t>
  </si>
  <si>
    <t>II 707</t>
  </si>
  <si>
    <t>II 479</t>
  </si>
  <si>
    <t>III 872</t>
  </si>
  <si>
    <t>III 595</t>
  </si>
  <si>
    <t>II 856</t>
  </si>
  <si>
    <t>II 860</t>
  </si>
  <si>
    <t>II 857</t>
  </si>
  <si>
    <t>II 858</t>
  </si>
  <si>
    <t>III 873</t>
  </si>
  <si>
    <t>V 18</t>
  </si>
  <si>
    <t>V 36</t>
  </si>
  <si>
    <t>II 452</t>
  </si>
  <si>
    <t>III 200</t>
  </si>
  <si>
    <t>II 209</t>
  </si>
  <si>
    <t>III 244</t>
  </si>
  <si>
    <t>II 480</t>
  </si>
  <si>
    <t>VIII 78</t>
  </si>
  <si>
    <t>II 444</t>
  </si>
  <si>
    <t>III 149</t>
  </si>
  <si>
    <t>II 245</t>
  </si>
  <si>
    <t>III 485</t>
  </si>
  <si>
    <t>II 445</t>
  </si>
  <si>
    <t>V 25</t>
  </si>
  <si>
    <t>V 20</t>
  </si>
  <si>
    <t>III 204</t>
  </si>
  <si>
    <t>II 609</t>
  </si>
  <si>
    <t>V 1</t>
  </si>
  <si>
    <t>II 472</t>
  </si>
  <si>
    <t>II 863</t>
  </si>
  <si>
    <t>II 621, II 703</t>
  </si>
  <si>
    <t>III 153</t>
  </si>
  <si>
    <t>III 463</t>
  </si>
  <si>
    <t>III 955</t>
  </si>
  <si>
    <t>II 446</t>
  </si>
  <si>
    <t>III 430</t>
  </si>
  <si>
    <t>III 429</t>
  </si>
  <si>
    <t>I 159</t>
  </si>
  <si>
    <t>III 439</t>
  </si>
  <si>
    <t>III 477</t>
  </si>
  <si>
    <t>VI 20</t>
  </si>
  <si>
    <t>II 214</t>
  </si>
  <si>
    <t>II 210</t>
  </si>
  <si>
    <t>II 433</t>
  </si>
  <si>
    <t>III 191</t>
  </si>
  <si>
    <t>II 434</t>
  </si>
  <si>
    <t>II 215</t>
  </si>
  <si>
    <t>II 216</t>
  </si>
  <si>
    <t>VIII 64</t>
  </si>
  <si>
    <t>II 217</t>
  </si>
  <si>
    <t>II 218</t>
  </si>
  <si>
    <t>I 54</t>
  </si>
  <si>
    <t>II 224</t>
  </si>
  <si>
    <t>II 219</t>
  </si>
  <si>
    <t>II 220</t>
  </si>
  <si>
    <t>III 154</t>
  </si>
  <si>
    <t>III 155</t>
  </si>
  <si>
    <t>III 592</t>
  </si>
  <si>
    <t>II 622</t>
  </si>
  <si>
    <t>III 593</t>
  </si>
  <si>
    <t>II 447</t>
  </si>
  <si>
    <t>VII 45</t>
  </si>
  <si>
    <t>III 440</t>
  </si>
  <si>
    <t>VII 42</t>
  </si>
  <si>
    <t>III 205</t>
  </si>
  <si>
    <t>I 108</t>
  </si>
  <si>
    <t>III 250</t>
  </si>
  <si>
    <t>III 206</t>
  </si>
  <si>
    <t>III 251</t>
  </si>
  <si>
    <t>III 577</t>
  </si>
  <si>
    <t>III 252</t>
  </si>
  <si>
    <t>III 594</t>
  </si>
  <si>
    <t>III 156</t>
  </si>
  <si>
    <t>III 157</t>
  </si>
  <si>
    <t>III 158</t>
  </si>
  <si>
    <t>III 159</t>
  </si>
  <si>
    <t>III 160</t>
  </si>
  <si>
    <t>III 169</t>
  </si>
  <si>
    <t>II 252</t>
  </si>
  <si>
    <t>III 167</t>
  </si>
  <si>
    <t>III 168</t>
  </si>
  <si>
    <t>III 253</t>
  </si>
  <si>
    <t>II 461</t>
  </si>
  <si>
    <t>I 151</t>
  </si>
  <si>
    <t>III 556</t>
  </si>
  <si>
    <t>II 462</t>
  </si>
  <si>
    <t>III 171</t>
  </si>
  <si>
    <t>III 170</t>
  </si>
  <si>
    <t>II 448</t>
  </si>
  <si>
    <t>II 449</t>
  </si>
  <si>
    <t>II 463</t>
  </si>
  <si>
    <t>III 560</t>
  </si>
  <si>
    <t>III 172</t>
  </si>
  <si>
    <t>III 173</t>
  </si>
  <si>
    <t>VII 48</t>
  </si>
  <si>
    <t>III 441</t>
  </si>
  <si>
    <t>III 442</t>
  </si>
  <si>
    <t>I 100</t>
  </si>
  <si>
    <t>III 431</t>
  </si>
  <si>
    <t>II 4</t>
  </si>
  <si>
    <t>V 17</t>
  </si>
  <si>
    <t>II 473</t>
  </si>
  <si>
    <t>III 432</t>
  </si>
  <si>
    <t>III 150</t>
  </si>
  <si>
    <t>I 281</t>
  </si>
  <si>
    <t>III 174</t>
  </si>
  <si>
    <t>II 282</t>
  </si>
  <si>
    <t>III 454</t>
  </si>
  <si>
    <t>III 471</t>
  </si>
  <si>
    <t>II 283</t>
  </si>
  <si>
    <t>VII 49</t>
  </si>
  <si>
    <t>I 193</t>
  </si>
  <si>
    <t>VII 46</t>
  </si>
  <si>
    <t>VIII 65</t>
  </si>
  <si>
    <t>II 253</t>
  </si>
  <si>
    <t>II 610</t>
  </si>
  <si>
    <t>VI 31</t>
  </si>
  <si>
    <t>II 588</t>
  </si>
  <si>
    <t>II 611</t>
  </si>
  <si>
    <t>I 157</t>
  </si>
  <si>
    <t>II 589</t>
  </si>
  <si>
    <t>IV 42</t>
  </si>
  <si>
    <t>II 228</t>
  </si>
  <si>
    <t>III 175</t>
  </si>
  <si>
    <t>II 229</t>
  </si>
  <si>
    <t>II 481</t>
  </si>
  <si>
    <t>II 501</t>
  </si>
  <si>
    <t>II 612</t>
  </si>
  <si>
    <t>III 459</t>
  </si>
  <si>
    <t>III 561</t>
  </si>
  <si>
    <t>II 617</t>
  </si>
  <si>
    <t>II 859</t>
  </si>
  <si>
    <t>II 618</t>
  </si>
  <si>
    <t>III 179</t>
  </si>
  <si>
    <t>I 62</t>
  </si>
  <si>
    <t>III 192</t>
  </si>
  <si>
    <t>III 562</t>
  </si>
  <si>
    <t>III 563</t>
  </si>
  <si>
    <t>III 564</t>
  </si>
  <si>
    <t>II 596</t>
  </si>
  <si>
    <t>III 565</t>
  </si>
  <si>
    <t>II 270</t>
  </si>
  <si>
    <t>I 105</t>
  </si>
  <si>
    <t>III 460</t>
  </si>
  <si>
    <t>III 266</t>
  </si>
  <si>
    <t>III 176</t>
  </si>
  <si>
    <t>II 221</t>
  </si>
  <si>
    <t>II 271</t>
  </si>
  <si>
    <t>II 272</t>
  </si>
  <si>
    <t>III 193</t>
  </si>
  <si>
    <t>II 222</t>
  </si>
  <si>
    <t>VII 32</t>
  </si>
  <si>
    <t>III 265</t>
  </si>
  <si>
    <t>III 464</t>
  </si>
  <si>
    <t>I 112</t>
  </si>
  <si>
    <t>III 468</t>
  </si>
  <si>
    <t>III 214</t>
  </si>
  <si>
    <t>II 223</t>
  </si>
  <si>
    <t>I 101</t>
  </si>
  <si>
    <t>III 583</t>
  </si>
  <si>
    <t>III 215</t>
  </si>
  <si>
    <t>II 435</t>
  </si>
  <si>
    <t>III 433</t>
  </si>
  <si>
    <t>III 207</t>
  </si>
  <si>
    <t>III 566</t>
  </si>
  <si>
    <t>III 208</t>
  </si>
  <si>
    <t>III 151</t>
  </si>
  <si>
    <t>II 604</t>
  </si>
  <si>
    <t>I 152</t>
  </si>
  <si>
    <t>III 227</t>
  </si>
  <si>
    <t>II 605</t>
  </si>
  <si>
    <t>II 482</t>
  </si>
  <si>
    <t>III 567</t>
  </si>
  <si>
    <t>II 483</t>
  </si>
  <si>
    <t>II 484</t>
  </si>
  <si>
    <t>II 485</t>
  </si>
  <si>
    <t>III 604</t>
  </si>
  <si>
    <t>III 259</t>
  </si>
  <si>
    <t>II 486</t>
  </si>
  <si>
    <t>II 613</t>
  </si>
  <si>
    <t>III 260</t>
  </si>
  <si>
    <t>III 457</t>
  </si>
  <si>
    <t>III 2</t>
  </si>
  <si>
    <t>VI 33</t>
  </si>
  <si>
    <t>III 201</t>
  </si>
  <si>
    <t>II 474</t>
  </si>
  <si>
    <t>II 246</t>
  </si>
  <si>
    <t>II 436</t>
  </si>
  <si>
    <t>II 437</t>
  </si>
  <si>
    <t>VI 34</t>
  </si>
  <si>
    <t>III 486</t>
  </si>
  <si>
    <t>II 225</t>
  </si>
  <si>
    <t>V 19</t>
  </si>
  <si>
    <t>II 438</t>
  </si>
  <si>
    <t>III 695</t>
  </si>
  <si>
    <t>III 570</t>
  </si>
  <si>
    <t>III 224</t>
  </si>
  <si>
    <t>I 153</t>
  </si>
  <si>
    <t>III 571</t>
  </si>
  <si>
    <t>III 239</t>
  </si>
  <si>
    <t>III 474</t>
  </si>
  <si>
    <t>III 177</t>
  </si>
  <si>
    <t>II 489</t>
  </si>
  <si>
    <t>IV 23</t>
  </si>
  <si>
    <t>III 261</t>
  </si>
  <si>
    <t>II 487</t>
  </si>
  <si>
    <t>I 154</t>
  </si>
  <si>
    <t>II 278</t>
  </si>
  <si>
    <t>II 237</t>
  </si>
  <si>
    <t>II 211</t>
  </si>
  <si>
    <t>III 472</t>
  </si>
  <si>
    <t>III 572</t>
  </si>
  <si>
    <t>III 573</t>
  </si>
  <si>
    <t>III 161</t>
  </si>
  <si>
    <t>III 557</t>
  </si>
  <si>
    <t>III 434</t>
  </si>
  <si>
    <t>II 238</t>
  </si>
  <si>
    <t>III 152</t>
  </si>
  <si>
    <t>I 102</t>
  </si>
  <si>
    <t>I 156</t>
  </si>
  <si>
    <t>II 592</t>
  </si>
  <si>
    <t>VIII 66</t>
  </si>
  <si>
    <t>III 581</t>
  </si>
  <si>
    <t>II 5</t>
  </si>
  <si>
    <t>II 284</t>
  </si>
  <si>
    <t>III 475</t>
  </si>
  <si>
    <t>III 228</t>
  </si>
  <si>
    <t>II 488</t>
  </si>
  <si>
    <t>III 229</t>
  </si>
  <si>
    <t>I 63</t>
  </si>
  <si>
    <t>I 1</t>
  </si>
  <si>
    <t>III 584</t>
  </si>
  <si>
    <t>II 633</t>
  </si>
  <si>
    <t>III 162</t>
  </si>
  <si>
    <t>III 163</t>
  </si>
  <si>
    <t>II 273</t>
  </si>
  <si>
    <t>III 455</t>
  </si>
  <si>
    <t>I 64</t>
  </si>
  <si>
    <t>II 466</t>
  </si>
  <si>
    <t>III 582</t>
  </si>
  <si>
    <t>II 465</t>
  </si>
  <si>
    <t>III 462</t>
  </si>
  <si>
    <t>V 48</t>
  </si>
  <si>
    <t>III 449</t>
  </si>
  <si>
    <t>II 601</t>
  </si>
  <si>
    <t>III 450</t>
  </si>
  <si>
    <t>II 602</t>
  </si>
  <si>
    <t>II 254</t>
  </si>
  <si>
    <t>III 580</t>
  </si>
  <si>
    <t>II 470</t>
  </si>
  <si>
    <t>II 274</t>
  </si>
  <si>
    <t>II 619</t>
  </si>
  <si>
    <t>III 199</t>
  </si>
  <si>
    <t>II 239</t>
  </si>
  <si>
    <t>III 469</t>
  </si>
  <si>
    <t>III 178</t>
  </si>
  <si>
    <t>II 620</t>
  </si>
  <si>
    <t>II 502</t>
  </si>
  <si>
    <t>II 607</t>
  </si>
  <si>
    <t>II 704</t>
  </si>
  <si>
    <t>IV 43</t>
  </si>
  <si>
    <t>III 245</t>
  </si>
  <si>
    <t>II 608</t>
  </si>
  <si>
    <t>II 503</t>
  </si>
  <si>
    <t>II 475</t>
  </si>
  <si>
    <t>I 109</t>
  </si>
  <si>
    <t>III 578</t>
  </si>
  <si>
    <t>II 285</t>
  </si>
  <si>
    <t>II 504</t>
  </si>
  <si>
    <t>II 258</t>
  </si>
  <si>
    <t>III 262</t>
  </si>
  <si>
    <t>III 164</t>
  </si>
  <si>
    <t>II 286</t>
  </si>
  <si>
    <t>III 591</t>
  </si>
  <si>
    <t>VI 25</t>
  </si>
  <si>
    <t>II 900</t>
  </si>
  <si>
    <t>III 443</t>
  </si>
  <si>
    <t>IV 17</t>
  </si>
  <si>
    <t>III 194</t>
  </si>
  <si>
    <t>II 603</t>
  </si>
  <si>
    <t>III 956</t>
  </si>
  <si>
    <t>III 195</t>
  </si>
  <si>
    <t>III 574</t>
  </si>
  <si>
    <t>III 575</t>
  </si>
  <si>
    <t>II 287</t>
  </si>
  <si>
    <t>III 444</t>
  </si>
  <si>
    <t>III 568</t>
  </si>
  <si>
    <t>I 106</t>
  </si>
  <si>
    <t>III 197</t>
  </si>
  <si>
    <t>III 196</t>
  </si>
  <si>
    <t>III 445</t>
  </si>
  <si>
    <t>IV 77</t>
  </si>
  <si>
    <t>III 959</t>
  </si>
  <si>
    <t>I 60</t>
  </si>
  <si>
    <t>VIII 88</t>
  </si>
  <si>
    <t>III 694</t>
  </si>
  <si>
    <t>I 257</t>
  </si>
  <si>
    <t>VIII 84</t>
  </si>
  <si>
    <t>III 246</t>
  </si>
  <si>
    <t>III 487</t>
  </si>
  <si>
    <t>II 290</t>
  </si>
  <si>
    <t>III 446</t>
  </si>
  <si>
    <t>III 857</t>
  </si>
  <si>
    <t>III 559, III 960</t>
  </si>
  <si>
    <t>II 262</t>
  </si>
  <si>
    <t>II 288</t>
  </si>
  <si>
    <t>III 961</t>
  </si>
  <si>
    <t>II 263</t>
  </si>
  <si>
    <t>III 451</t>
  </si>
  <si>
    <t>I 58</t>
  </si>
  <si>
    <t>III 569</t>
  </si>
  <si>
    <t>II 593</t>
  </si>
  <si>
    <t>III 247</t>
  </si>
  <si>
    <t>I 107</t>
  </si>
  <si>
    <t>III 263</t>
  </si>
  <si>
    <t>II 267</t>
  </si>
  <si>
    <t>II 455</t>
  </si>
  <si>
    <t>II 456</t>
  </si>
  <si>
    <t>II 291</t>
  </si>
  <si>
    <t>II 852</t>
  </si>
  <si>
    <t>III 248</t>
  </si>
  <si>
    <t>III 249</t>
  </si>
  <si>
    <t>II 458</t>
  </si>
  <si>
    <t>II 597</t>
  </si>
  <si>
    <t>II 594</t>
  </si>
  <si>
    <t>VIII 80</t>
  </si>
  <si>
    <t>II 459</t>
  </si>
  <si>
    <t>I 155</t>
  </si>
  <si>
    <t>II 460</t>
  </si>
  <si>
    <t>III 962</t>
  </si>
  <si>
    <t>I 258</t>
  </si>
  <si>
    <t>VII 3</t>
  </si>
  <si>
    <t>IV 53</t>
  </si>
  <si>
    <t>VII 47</t>
  </si>
  <si>
    <t>II 279</t>
  </si>
  <si>
    <t>VII 60</t>
  </si>
  <si>
    <t>IV 69</t>
  </si>
  <si>
    <t>III 499</t>
  </si>
  <si>
    <t>VII 61</t>
  </si>
  <si>
    <t>IV 26</t>
  </si>
  <si>
    <t>VIII 85</t>
  </si>
  <si>
    <t>II 464</t>
  </si>
  <si>
    <t>III 490</t>
  </si>
  <si>
    <t>II 768</t>
  </si>
  <si>
    <t>III 587</t>
  </si>
  <si>
    <t>I 217</t>
  </si>
  <si>
    <t>VIII 70</t>
  </si>
  <si>
    <t>II 8</t>
  </si>
  <si>
    <t>II 9</t>
  </si>
  <si>
    <t>II 7</t>
  </si>
  <si>
    <t>I 158</t>
  </si>
  <si>
    <t>VI 26</t>
  </si>
  <si>
    <t>III 585</t>
  </si>
  <si>
    <t>III 586</t>
  </si>
  <si>
    <t>II 524</t>
  </si>
  <si>
    <t>II 514</t>
  </si>
  <si>
    <t>V 49</t>
  </si>
  <si>
    <t>III 952</t>
  </si>
  <si>
    <t>III 953</t>
  </si>
  <si>
    <t>II 515</t>
  </si>
  <si>
    <t>II 522</t>
  </si>
  <si>
    <t>I 122</t>
  </si>
  <si>
    <t>II 525</t>
  </si>
  <si>
    <t>III 588</t>
  </si>
  <si>
    <t>II 523</t>
  </si>
  <si>
    <t>VIII 8</t>
  </si>
  <si>
    <t>II 526</t>
  </si>
  <si>
    <t>III 589</t>
  </si>
  <si>
    <t>VII 1</t>
  </si>
  <si>
    <t>VIII 7</t>
  </si>
  <si>
    <t>VIII 59</t>
  </si>
  <si>
    <t>II 457</t>
  </si>
  <si>
    <t>III 501</t>
  </si>
  <si>
    <t>III 502</t>
  </si>
  <si>
    <t>II 527</t>
  </si>
  <si>
    <t>II 528</t>
  </si>
  <si>
    <t>IV 32</t>
  </si>
  <si>
    <t>II 516</t>
  </si>
  <si>
    <t>III 503</t>
  </si>
  <si>
    <t>VIII 43</t>
  </si>
  <si>
    <t>VII 21</t>
  </si>
  <si>
    <t>III 453</t>
  </si>
  <si>
    <t>VIII 61</t>
  </si>
  <si>
    <t>III 500</t>
  </si>
  <si>
    <t>III 268</t>
  </si>
  <si>
    <t>V 32</t>
  </si>
  <si>
    <t>VIII 41</t>
  </si>
  <si>
    <t>VII 4</t>
  </si>
  <si>
    <t>II 292</t>
  </si>
  <si>
    <t>VII 33</t>
  </si>
  <si>
    <t>VII 34</t>
  </si>
  <si>
    <t>II 289</t>
  </si>
  <si>
    <t>VIII 4</t>
  </si>
  <si>
    <t>VII 39</t>
  </si>
  <si>
    <t>V 33</t>
  </si>
  <si>
    <t>V 38</t>
  </si>
  <si>
    <t>III 447</t>
  </si>
  <si>
    <t>I 261</t>
  </si>
  <si>
    <t>III 590</t>
  </si>
  <si>
    <t>III 747</t>
  </si>
  <si>
    <t>IV 21</t>
  </si>
  <si>
    <t>V 30</t>
  </si>
  <si>
    <t>III 240</t>
  </si>
  <si>
    <t>V 31</t>
  </si>
  <si>
    <t>III 1</t>
  </si>
  <si>
    <t>III 865</t>
  </si>
  <si>
    <t>V 34</t>
  </si>
  <si>
    <t>III 269</t>
  </si>
  <si>
    <t>VIII 42</t>
  </si>
  <si>
    <t>IV 33</t>
  </si>
  <si>
    <t>IV 34</t>
  </si>
  <si>
    <t>IV 24</t>
  </si>
  <si>
    <t>V 28</t>
  </si>
  <si>
    <t>VIII 28</t>
  </si>
  <si>
    <t>VIII 2</t>
  </si>
  <si>
    <t>IV 36</t>
  </si>
  <si>
    <t>III 241</t>
  </si>
  <si>
    <t>III 267</t>
  </si>
  <si>
    <t>III 270</t>
  </si>
  <si>
    <t>III 448</t>
  </si>
  <si>
    <t>VII 24</t>
  </si>
  <si>
    <t>III 225</t>
  </si>
  <si>
    <t>VIII 68</t>
  </si>
  <si>
    <t>VIII 26</t>
  </si>
  <si>
    <t>II 264</t>
  </si>
  <si>
    <t>VI 17</t>
  </si>
  <si>
    <t>VIII 24</t>
  </si>
  <si>
    <t>IV 19</t>
  </si>
  <si>
    <t>VIII 6</t>
  </si>
  <si>
    <t>IV 38</t>
  </si>
  <si>
    <t>IV 20</t>
  </si>
  <si>
    <t>VII 25</t>
  </si>
  <si>
    <t>VII 57</t>
  </si>
  <si>
    <t>VI 5</t>
  </si>
  <si>
    <t>II 265</t>
  </si>
  <si>
    <t>VII 13</t>
  </si>
  <si>
    <t>VII 20</t>
  </si>
  <si>
    <t>VII 35</t>
  </si>
  <si>
    <t>VII 26</t>
  </si>
  <si>
    <t>VIII 25</t>
  </si>
  <si>
    <t>VIII 9</t>
  </si>
  <si>
    <t>VII 5</t>
  </si>
  <si>
    <t>VIII 49</t>
  </si>
  <si>
    <t>VII 2</t>
  </si>
  <si>
    <t>IV 3</t>
  </si>
  <si>
    <t>VIII 3</t>
  </si>
  <si>
    <t>VIII 50</t>
  </si>
  <si>
    <t>VII 54</t>
  </si>
  <si>
    <t>VII 22</t>
  </si>
  <si>
    <t>VI 28</t>
  </si>
  <si>
    <t>VIII 48</t>
  </si>
  <si>
    <t>IV 2</t>
  </si>
  <si>
    <t>VII 37</t>
  </si>
  <si>
    <t>V 27, VIII 5</t>
  </si>
  <si>
    <t>VI 21</t>
  </si>
  <si>
    <t>VI 3</t>
  </si>
  <si>
    <t>VII 36</t>
  </si>
  <si>
    <t>II 614</t>
  </si>
  <si>
    <t>II 615</t>
  </si>
  <si>
    <t>VIII 71</t>
  </si>
  <si>
    <t>III 271</t>
  </si>
  <si>
    <t>VIII 31</t>
  </si>
  <si>
    <t>III 897</t>
  </si>
  <si>
    <t>III 898</t>
  </si>
  <si>
    <t>VI 27</t>
  </si>
  <si>
    <t>VIII 39</t>
  </si>
  <si>
    <t>VI 2</t>
  </si>
  <si>
    <t>VIII 51</t>
  </si>
  <si>
    <t>VI 18</t>
  </si>
  <si>
    <t>VIII 60</t>
  </si>
  <si>
    <t>II 304</t>
  </si>
  <si>
    <t>VII 14</t>
  </si>
  <si>
    <t>VIII 1B</t>
  </si>
  <si>
    <t>II 861</t>
  </si>
  <si>
    <t>III 874</t>
  </si>
  <si>
    <t>VII 38</t>
  </si>
  <si>
    <t>II 734</t>
  </si>
  <si>
    <t>IV 25</t>
  </si>
  <si>
    <t>II 735</t>
  </si>
  <si>
    <t>VIII 40</t>
  </si>
  <si>
    <t>II 862</t>
  </si>
  <si>
    <t>III 899</t>
  </si>
  <si>
    <t>VIII 32</t>
  </si>
  <si>
    <t>II 769</t>
  </si>
  <si>
    <t>II 736</t>
  </si>
  <si>
    <t>VIII 33</t>
  </si>
  <si>
    <t>IV 65</t>
  </si>
  <si>
    <t>III 746</t>
  </si>
  <si>
    <t>VII 27</t>
  </si>
  <si>
    <t>VII 15</t>
  </si>
  <si>
    <t>VIII 34</t>
  </si>
  <si>
    <t>VII 16</t>
  </si>
  <si>
    <t>VI 6</t>
  </si>
  <si>
    <t>VII 6</t>
  </si>
  <si>
    <t>VIII 45</t>
  </si>
  <si>
    <t>V 21</t>
  </si>
  <si>
    <t>VII 12</t>
  </si>
  <si>
    <t>VII 17</t>
  </si>
  <si>
    <t>III 748</t>
  </si>
  <si>
    <t>VIII 27</t>
  </si>
  <si>
    <t>II 316</t>
  </si>
  <si>
    <t>II 317</t>
  </si>
  <si>
    <t>VIII 35</t>
  </si>
  <si>
    <t>III 900</t>
  </si>
  <si>
    <t>II 820</t>
  </si>
  <si>
    <t>III 901</t>
  </si>
  <si>
    <t>III 703</t>
  </si>
  <si>
    <t>IV 45</t>
  </si>
  <si>
    <t>VIII 44</t>
  </si>
  <si>
    <t>VIII 11</t>
  </si>
  <si>
    <t>VIII 36</t>
  </si>
  <si>
    <t>VII 65</t>
  </si>
  <si>
    <t>III 19</t>
  </si>
  <si>
    <t>V 44</t>
  </si>
  <si>
    <t>VIII 52</t>
  </si>
  <si>
    <t>VIII 37</t>
  </si>
  <si>
    <t>II 821</t>
  </si>
  <si>
    <t>I 218</t>
  </si>
  <si>
    <t>VI 1</t>
  </si>
  <si>
    <t>VII 67</t>
  </si>
  <si>
    <t>VIII 38</t>
  </si>
  <si>
    <t>VII 28</t>
  </si>
  <si>
    <t>VIII 87</t>
  </si>
  <si>
    <t>II 822</t>
  </si>
  <si>
    <t>VIII 47</t>
  </si>
  <si>
    <t>VIII 46</t>
  </si>
  <si>
    <t>III 829</t>
  </si>
  <si>
    <t>VI 36</t>
  </si>
  <si>
    <t>II 616</t>
  </si>
  <si>
    <t>IV 39</t>
  </si>
  <si>
    <t>IV 64</t>
  </si>
  <si>
    <t>III 479</t>
  </si>
  <si>
    <t>IV 22</t>
  </si>
  <si>
    <t>III 836</t>
  </si>
  <si>
    <t>III 830</t>
  </si>
  <si>
    <t>VII 58</t>
  </si>
  <si>
    <t>II 302</t>
  </si>
  <si>
    <t>VII 10</t>
  </si>
  <si>
    <t>III 837</t>
  </si>
  <si>
    <t>VII 23</t>
  </si>
  <si>
    <t>III 750</t>
  </si>
  <si>
    <t>III 838</t>
  </si>
  <si>
    <t>III 709</t>
  </si>
  <si>
    <t>III 839</t>
  </si>
  <si>
    <t>VI 37</t>
  </si>
  <si>
    <t>II 554</t>
  </si>
  <si>
    <t>III 7</t>
  </si>
  <si>
    <t>VIII 1</t>
  </si>
  <si>
    <t>III 605</t>
  </si>
  <si>
    <t>III 512</t>
  </si>
  <si>
    <t>III 877</t>
  </si>
  <si>
    <t>VIII 30</t>
  </si>
  <si>
    <t>III 752</t>
  </si>
  <si>
    <t>II 726</t>
  </si>
  <si>
    <t>III 840</t>
  </si>
  <si>
    <t>IV 55</t>
  </si>
  <si>
    <t>VII 11</t>
  </si>
  <si>
    <t>III 710</t>
  </si>
  <si>
    <t>II 719</t>
  </si>
  <si>
    <t>II 627</t>
  </si>
  <si>
    <t>VI 22</t>
  </si>
  <si>
    <t>III 711</t>
  </si>
  <si>
    <t>II 303</t>
  </si>
  <si>
    <t>III 256</t>
  </si>
  <si>
    <t>III 606</t>
  </si>
  <si>
    <t>III 607</t>
  </si>
  <si>
    <t>II 634</t>
  </si>
  <si>
    <t>III 288</t>
  </si>
  <si>
    <t>VII 64</t>
  </si>
  <si>
    <t>VI 39</t>
  </si>
  <si>
    <t>II 259</t>
  </si>
  <si>
    <t>III 902</t>
  </si>
  <si>
    <t>III 753</t>
  </si>
  <si>
    <t>II 315</t>
  </si>
  <si>
    <t>III 599</t>
  </si>
  <si>
    <t>III 234</t>
  </si>
  <si>
    <t>III 292</t>
  </si>
  <si>
    <t>II 318</t>
  </si>
  <si>
    <t>IV 35</t>
  </si>
  <si>
    <t>II 266</t>
  </si>
  <si>
    <t>III 257</t>
  </si>
  <si>
    <t>II 319</t>
  </si>
  <si>
    <t>VII 63</t>
  </si>
  <si>
    <t>III 235</t>
  </si>
  <si>
    <t>III 982</t>
  </si>
  <si>
    <t>I 204</t>
  </si>
  <si>
    <t>III 983</t>
  </si>
  <si>
    <t>III 49</t>
  </si>
  <si>
    <t>II 727</t>
  </si>
  <si>
    <t>II 908</t>
  </si>
  <si>
    <t>I 288</t>
  </si>
  <si>
    <t>III 50</t>
  </si>
  <si>
    <t>II 48, II 80</t>
  </si>
  <si>
    <t>VIII 10</t>
  </si>
  <si>
    <t>III 294</t>
  </si>
  <si>
    <t>I 242</t>
  </si>
  <si>
    <t>I 200</t>
  </si>
  <si>
    <t>III 712</t>
  </si>
  <si>
    <t>II 658</t>
  </si>
  <si>
    <t>III 831</t>
  </si>
  <si>
    <t>II 823</t>
  </si>
  <si>
    <t>II 280</t>
  </si>
  <si>
    <t>IV 66</t>
  </si>
  <si>
    <t>III 625</t>
  </si>
  <si>
    <t>II 281</t>
  </si>
  <si>
    <t>III 841</t>
  </si>
  <si>
    <t>II 557</t>
  </si>
  <si>
    <t>III 540</t>
  </si>
  <si>
    <t>II 529</t>
  </si>
  <si>
    <t>III 264</t>
  </si>
  <si>
    <t>II 834</t>
  </si>
  <si>
    <t>I 249</t>
  </si>
  <si>
    <t>III 608</t>
  </si>
  <si>
    <t>III 60</t>
  </si>
  <si>
    <t>III 825</t>
  </si>
  <si>
    <t>III 291</t>
  </si>
  <si>
    <t>III 626</t>
  </si>
  <si>
    <t>II 828</t>
  </si>
  <si>
    <t>III 647</t>
  </si>
  <si>
    <t>III 275</t>
  </si>
  <si>
    <t>III 236</t>
  </si>
  <si>
    <t>II 520</t>
  </si>
  <si>
    <t>I 250</t>
  </si>
  <si>
    <t>II 490</t>
  </si>
  <si>
    <t>I 2</t>
  </si>
  <si>
    <t>II 564</t>
  </si>
  <si>
    <t>III 826</t>
  </si>
  <si>
    <t>I 66</t>
  </si>
  <si>
    <t>I 167</t>
  </si>
  <si>
    <t>III 295</t>
  </si>
  <si>
    <t>I 59</t>
  </si>
  <si>
    <t>I 216</t>
  </si>
  <si>
    <t>III 296</t>
  </si>
  <si>
    <t>II 708</t>
  </si>
  <si>
    <t>III 832</t>
  </si>
  <si>
    <t>III 62</t>
  </si>
  <si>
    <t>III 63</t>
  </si>
  <si>
    <t>III 878</t>
  </si>
  <si>
    <t>III 749</t>
  </si>
  <si>
    <t>II 505</t>
  </si>
  <si>
    <t>II 868</t>
  </si>
  <si>
    <t>III 242</t>
  </si>
  <si>
    <t>II 869</t>
  </si>
  <si>
    <t>I 113</t>
  </si>
  <si>
    <t>III 627</t>
  </si>
  <si>
    <t>III 827</t>
  </si>
  <si>
    <t>I 205</t>
  </si>
  <si>
    <t>III 64</t>
  </si>
  <si>
    <t>III 628</t>
  </si>
  <si>
    <t>III 488</t>
  </si>
  <si>
    <t>III 629</t>
  </si>
  <si>
    <t>III 630</t>
  </si>
  <si>
    <t>III 714</t>
  </si>
  <si>
    <t>I 132</t>
  </si>
  <si>
    <t>III 713</t>
  </si>
  <si>
    <t>I 137</t>
  </si>
  <si>
    <t>III 520</t>
  </si>
  <si>
    <t>III 846</t>
  </si>
  <si>
    <t>II 57, II 546</t>
  </si>
  <si>
    <t>II 58, II 547</t>
  </si>
  <si>
    <t>I 260</t>
  </si>
  <si>
    <t>II 555</t>
  </si>
  <si>
    <t>III 297</t>
  </si>
  <si>
    <t>III 8</t>
  </si>
  <si>
    <t>III 276</t>
  </si>
  <si>
    <t>I 56</t>
  </si>
  <si>
    <t>I 57</t>
  </si>
  <si>
    <t>II 495</t>
  </si>
  <si>
    <t>II 506</t>
  </si>
  <si>
    <t>III 977</t>
  </si>
  <si>
    <t>II 40</t>
  </si>
  <si>
    <t>III 513</t>
  </si>
  <si>
    <t>II 260</t>
  </si>
  <si>
    <t>III 298</t>
  </si>
  <si>
    <t>III 597</t>
  </si>
  <si>
    <t>II 556</t>
  </si>
  <si>
    <t>III 963</t>
  </si>
  <si>
    <t>III 4</t>
  </si>
  <si>
    <t>III 519</t>
  </si>
  <si>
    <t>IV 68</t>
  </si>
  <si>
    <t>III 541</t>
  </si>
  <si>
    <t>III 315</t>
  </si>
  <si>
    <t>I 114</t>
  </si>
  <si>
    <t>III 751</t>
  </si>
  <si>
    <t>II 275</t>
  </si>
  <si>
    <t>II 491</t>
  </si>
  <si>
    <t>III 527</t>
  </si>
  <si>
    <t>I 61</t>
  </si>
  <si>
    <t>I 285</t>
  </si>
  <si>
    <t>I 282</t>
  </si>
  <si>
    <t>III 521</t>
  </si>
  <si>
    <t>III 528</t>
  </si>
  <si>
    <t>III 289</t>
  </si>
  <si>
    <t>III 34</t>
  </si>
  <si>
    <t>I 78</t>
  </si>
  <si>
    <t>II 311</t>
  </si>
  <si>
    <t>II 624</t>
  </si>
  <si>
    <t>III 277</t>
  </si>
  <si>
    <t>III 278</t>
  </si>
  <si>
    <t>V 50</t>
  </si>
  <si>
    <t>II 717</t>
  </si>
  <si>
    <t>V 26</t>
  </si>
  <si>
    <t>III 51</t>
  </si>
  <si>
    <t>I 115</t>
  </si>
  <si>
    <t>III 52</t>
  </si>
  <si>
    <t>V 23</t>
  </si>
  <si>
    <t>IV 79</t>
  </si>
  <si>
    <t>II 98</t>
  </si>
  <si>
    <t>II 835</t>
  </si>
  <si>
    <t>III 254</t>
  </si>
  <si>
    <t>III 272</t>
  </si>
  <si>
    <t>III 600</t>
  </si>
  <si>
    <t>VI 4</t>
  </si>
  <si>
    <t>III 978</t>
  </si>
  <si>
    <t>III 601</t>
  </si>
  <si>
    <t>II 903</t>
  </si>
  <si>
    <t>II 909</t>
  </si>
  <si>
    <t>II 333</t>
  </si>
  <si>
    <t>II 334</t>
  </si>
  <si>
    <t>II 492</t>
  </si>
  <si>
    <t>III 293</t>
  </si>
  <si>
    <t>II 59</t>
  </si>
  <si>
    <t>III 273</t>
  </si>
  <si>
    <t>III 853</t>
  </si>
  <si>
    <t>III 542</t>
  </si>
  <si>
    <t>I 286</t>
  </si>
  <si>
    <t>II 268</t>
  </si>
  <si>
    <t>V 47</t>
  </si>
  <si>
    <t>III 934</t>
  </si>
  <si>
    <t>III 596</t>
  </si>
  <si>
    <t>III 24</t>
  </si>
  <si>
    <t>II 293</t>
  </si>
  <si>
    <t>III 478</t>
  </si>
  <si>
    <t>III 916</t>
  </si>
  <si>
    <t>IV 48</t>
  </si>
  <si>
    <t>II 320</t>
  </si>
  <si>
    <t>II 898</t>
  </si>
  <si>
    <t>I 163</t>
  </si>
  <si>
    <t>II 305</t>
  </si>
  <si>
    <t>III 65</t>
  </si>
  <si>
    <t>III 518</t>
  </si>
  <si>
    <t>I 79</t>
  </si>
  <si>
    <t>III 53</t>
  </si>
  <si>
    <t>III 255</t>
  </si>
  <si>
    <t>II 639</t>
  </si>
  <si>
    <t>II 43</t>
  </si>
  <si>
    <t>II 640</t>
  </si>
  <si>
    <t>I 3</t>
  </si>
  <si>
    <t>I 4</t>
  </si>
  <si>
    <t>III 964</t>
  </si>
  <si>
    <t>III 25</t>
  </si>
  <si>
    <t>I 265</t>
  </si>
  <si>
    <t>I 168</t>
  </si>
  <si>
    <t>III 910</t>
  </si>
  <si>
    <t>II 44</t>
  </si>
  <si>
    <t>III 704</t>
  </si>
  <si>
    <t>II 45</t>
  </si>
  <si>
    <t>III 965</t>
  </si>
  <si>
    <t>III 348</t>
  </si>
  <si>
    <t>III 966</t>
  </si>
  <si>
    <t>I 199</t>
  </si>
  <si>
    <t>II 720</t>
  </si>
  <si>
    <t>II 721</t>
  </si>
  <si>
    <t>I 266</t>
  </si>
  <si>
    <t>II 722</t>
  </si>
  <si>
    <t>III 979</t>
  </si>
  <si>
    <t>III 980</t>
  </si>
  <si>
    <t>III 981</t>
  </si>
  <si>
    <t>III 330</t>
  </si>
  <si>
    <t>I 283</t>
  </si>
  <si>
    <t>III 911</t>
  </si>
  <si>
    <t>II 882</t>
  </si>
  <si>
    <t>II 28</t>
  </si>
  <si>
    <t>II 29</t>
  </si>
  <si>
    <t>III 631</t>
  </si>
  <si>
    <t>II 883</t>
  </si>
  <si>
    <t>IV 10</t>
  </si>
  <si>
    <t>IV 27</t>
  </si>
  <si>
    <t>I 86</t>
  </si>
  <si>
    <t>II 347</t>
  </si>
  <si>
    <t>III 316</t>
  </si>
  <si>
    <t>I 72</t>
  </si>
  <si>
    <t>II 870</t>
  </si>
  <si>
    <t>III 349</t>
  </si>
  <si>
    <t>II 871</t>
  </si>
  <si>
    <t>III 331</t>
  </si>
  <si>
    <t>II 358</t>
  </si>
  <si>
    <t>II 359</t>
  </si>
  <si>
    <t>III 912</t>
  </si>
  <si>
    <t>III 917</t>
  </si>
  <si>
    <t>III 918</t>
  </si>
  <si>
    <t>I 164</t>
  </si>
  <si>
    <t>III 767</t>
  </si>
  <si>
    <t>III 54</t>
  </si>
  <si>
    <t>III 55</t>
  </si>
  <si>
    <t>II 46</t>
  </si>
  <si>
    <t>III 66</t>
  </si>
  <si>
    <t>III 615</t>
  </si>
  <si>
    <t>IV 60</t>
  </si>
  <si>
    <t>III 700</t>
  </si>
  <si>
    <t>II 745</t>
  </si>
  <si>
    <t>II 348</t>
  </si>
  <si>
    <t>I 272</t>
  </si>
  <si>
    <t>II 641</t>
  </si>
  <si>
    <t>II 77</t>
  </si>
  <si>
    <t>III 5</t>
  </si>
  <si>
    <t>III 317</t>
  </si>
  <si>
    <t>I 81</t>
  </si>
  <si>
    <t>V 7</t>
  </si>
  <si>
    <t>I 80</t>
  </si>
  <si>
    <t>I 26</t>
  </si>
  <si>
    <t>III 842</t>
  </si>
  <si>
    <t>III 107</t>
  </si>
  <si>
    <t>V 52</t>
  </si>
  <si>
    <t>III 318</t>
  </si>
  <si>
    <t>II 78</t>
  </si>
  <si>
    <t>II 81</t>
  </si>
  <si>
    <t>III 701</t>
  </si>
  <si>
    <t>II 99</t>
  </si>
  <si>
    <t>I 17</t>
  </si>
  <si>
    <t>II 360</t>
  </si>
  <si>
    <t>II 565</t>
  </si>
  <si>
    <t>I 18</t>
  </si>
  <si>
    <t>II 41</t>
  </si>
  <si>
    <t>III 881</t>
  </si>
  <si>
    <t>II 872</t>
  </si>
  <si>
    <t>I 116</t>
  </si>
  <si>
    <t>I 117</t>
  </si>
  <si>
    <t>I 284</t>
  </si>
  <si>
    <t>III 792</t>
  </si>
  <si>
    <t>II 361</t>
  </si>
  <si>
    <t>III 88</t>
  </si>
  <si>
    <t>II 335</t>
  </si>
  <si>
    <t>III 919</t>
  </si>
  <si>
    <t>III 913</t>
  </si>
  <si>
    <t>III 522</t>
  </si>
  <si>
    <t>I 27</t>
  </si>
  <si>
    <t>II 493</t>
  </si>
  <si>
    <t>II 362</t>
  </si>
  <si>
    <t>II 718</t>
  </si>
  <si>
    <t>II 363</t>
  </si>
  <si>
    <t>II 131, IV 6</t>
  </si>
  <si>
    <t>II 494</t>
  </si>
  <si>
    <t>III 108</t>
  </si>
  <si>
    <t>I 118</t>
  </si>
  <si>
    <t>I 172</t>
  </si>
  <si>
    <t>III 20</t>
  </si>
  <si>
    <t>III 497</t>
  </si>
  <si>
    <t>II 887</t>
  </si>
  <si>
    <t>II 47</t>
  </si>
  <si>
    <t>III 914</t>
  </si>
  <si>
    <t>I 267</t>
  </si>
  <si>
    <t>I 233</t>
  </si>
  <si>
    <t>II 364</t>
  </si>
  <si>
    <t>II 82</t>
  </si>
  <si>
    <t>IV 29</t>
  </si>
  <si>
    <t>I 268</t>
  </si>
  <si>
    <t>II 16</t>
  </si>
  <si>
    <t>III 967</t>
  </si>
  <si>
    <t>III 632</t>
  </si>
  <si>
    <t>II 888</t>
  </si>
  <si>
    <t>III 972</t>
  </si>
  <si>
    <t>III 67</t>
  </si>
  <si>
    <t>III 332</t>
  </si>
  <si>
    <t>III 705</t>
  </si>
  <si>
    <t>II 100</t>
  </si>
  <si>
    <t>I 87</t>
  </si>
  <si>
    <t>I 269</t>
  </si>
  <si>
    <t>II 101</t>
  </si>
  <si>
    <t>III 21</t>
  </si>
  <si>
    <t>III 498</t>
  </si>
  <si>
    <t>III 824</t>
  </si>
  <si>
    <t>III 75</t>
  </si>
  <si>
    <t>III 793</t>
  </si>
  <si>
    <t>III 968</t>
  </si>
  <si>
    <t>I 88</t>
  </si>
  <si>
    <t>III 22</t>
  </si>
  <si>
    <t>IV 7</t>
  </si>
  <si>
    <t>II 507</t>
  </si>
  <si>
    <t>III 598</t>
  </si>
  <si>
    <t>II 365</t>
  </si>
  <si>
    <t>V 39</t>
  </si>
  <si>
    <t>II 366</t>
  </si>
  <si>
    <t>V 40</t>
  </si>
  <si>
    <t>II 336</t>
  </si>
  <si>
    <t>II 884</t>
  </si>
  <si>
    <t>I 13</t>
  </si>
  <si>
    <t>II 904</t>
  </si>
  <si>
    <t>III 23</t>
  </si>
  <si>
    <t>III 350</t>
  </si>
  <si>
    <t>III 915</t>
  </si>
  <si>
    <t>III 111</t>
  </si>
  <si>
    <t>III 920</t>
  </si>
  <si>
    <t>II 42</t>
  </si>
  <si>
    <t>I 220</t>
  </si>
  <si>
    <t>III 351</t>
  </si>
  <si>
    <t>III 352</t>
  </si>
  <si>
    <t>V 46</t>
  </si>
  <si>
    <t>III 79</t>
  </si>
  <si>
    <t>II 337</t>
  </si>
  <si>
    <t>III 89</t>
  </si>
  <si>
    <t>II 819</t>
  </si>
  <si>
    <t>III 723</t>
  </si>
  <si>
    <t>II 728</t>
  </si>
  <si>
    <t>II 269</t>
  </si>
  <si>
    <t>III 921</t>
  </si>
  <si>
    <t>III 529</t>
  </si>
  <si>
    <t>I 29</t>
  </si>
  <si>
    <t>III 770</t>
  </si>
  <si>
    <t>III 706</t>
  </si>
  <si>
    <t>II 102</t>
  </si>
  <si>
    <t>II 49</t>
  </si>
  <si>
    <t>II 709</t>
  </si>
  <si>
    <t>II 626</t>
  </si>
  <si>
    <t>III 27</t>
  </si>
  <si>
    <t>II 50</t>
  </si>
  <si>
    <t>II 51</t>
  </si>
  <si>
    <t>I 270</t>
  </si>
  <si>
    <t>II 521</t>
  </si>
  <si>
    <t>I 271</t>
  </si>
  <si>
    <t>II 729</t>
  </si>
  <si>
    <t>III 333</t>
  </si>
  <si>
    <t>III 76</t>
  </si>
  <si>
    <t>III 334</t>
  </si>
  <si>
    <t>I 244</t>
  </si>
  <si>
    <t>I 241</t>
  </si>
  <si>
    <t>II 879</t>
  </si>
  <si>
    <t>II 885</t>
  </si>
  <si>
    <t>II 52</t>
  </si>
  <si>
    <t>V 8</t>
  </si>
  <si>
    <t>II 338</t>
  </si>
  <si>
    <t>I 226</t>
  </si>
  <si>
    <t>II 30</t>
  </si>
  <si>
    <t>II 550</t>
  </si>
  <si>
    <t>II 551</t>
  </si>
  <si>
    <t>II 33</t>
  </si>
  <si>
    <t>I 245</t>
  </si>
  <si>
    <t>II 32</t>
  </si>
  <si>
    <t>III 15</t>
  </si>
  <si>
    <t>III 16</t>
  </si>
  <si>
    <t>III 335</t>
  </si>
  <si>
    <t>II 775</t>
  </si>
  <si>
    <t>III 336</t>
  </si>
  <si>
    <t>II 880</t>
  </si>
  <si>
    <t>I 5</t>
  </si>
  <si>
    <t>II 782</t>
  </si>
  <si>
    <t>III 768</t>
  </si>
  <si>
    <t>IV 59</t>
  </si>
  <si>
    <t>II 53</t>
  </si>
  <si>
    <t>II 635</t>
  </si>
  <si>
    <t>III 530</t>
  </si>
  <si>
    <t>IV 4</t>
  </si>
  <si>
    <t>I 219</t>
  </si>
  <si>
    <t>I 20</t>
  </si>
  <si>
    <t>III 531</t>
  </si>
  <si>
    <t>II 845</t>
  </si>
  <si>
    <t>II 829</t>
  </si>
  <si>
    <t>III 337</t>
  </si>
  <si>
    <t>III 922</t>
  </si>
  <si>
    <t>I 131</t>
  </si>
  <si>
    <t>II 886</t>
  </si>
  <si>
    <t>I 194</t>
  </si>
  <si>
    <t>III 112</t>
  </si>
  <si>
    <t>II 159</t>
  </si>
  <si>
    <t>I 262</t>
  </si>
  <si>
    <t>I 246</t>
  </si>
  <si>
    <t>II 160</t>
  </si>
  <si>
    <t>III 28</t>
  </si>
  <si>
    <t>II 770</t>
  </si>
  <si>
    <t>II 339</t>
  </si>
  <si>
    <t>I 247</t>
  </si>
  <si>
    <t>II 54</t>
  </si>
  <si>
    <t>II 152</t>
  </si>
  <si>
    <t>III 532</t>
  </si>
  <si>
    <t>II 349</t>
  </si>
  <si>
    <t>II 13</t>
  </si>
  <si>
    <t>II 350</t>
  </si>
  <si>
    <t>II 367</t>
  </si>
  <si>
    <t>III 353</t>
  </si>
  <si>
    <t>II 562</t>
  </si>
  <si>
    <t>I 221</t>
  </si>
  <si>
    <t>II 836</t>
  </si>
  <si>
    <t>II 730</t>
  </si>
  <si>
    <t>II 351</t>
  </si>
  <si>
    <t>I 222</t>
  </si>
  <si>
    <t>III 80</t>
  </si>
  <si>
    <t>II 552</t>
  </si>
  <si>
    <t>III 771</t>
  </si>
  <si>
    <t>III 935</t>
  </si>
  <si>
    <t>I 287</t>
  </si>
  <si>
    <t>III 772</t>
  </si>
  <si>
    <t>II 783</t>
  </si>
  <si>
    <t>III 847</t>
  </si>
  <si>
    <t>III 969</t>
  </si>
  <si>
    <t>II 905</t>
  </si>
  <si>
    <t>II 784</t>
  </si>
  <si>
    <t>III 843</t>
  </si>
  <si>
    <t>II 837</t>
  </si>
  <si>
    <t>III 29</t>
  </si>
  <si>
    <t>II 731</t>
  </si>
  <si>
    <t>II 838</t>
  </si>
  <si>
    <t>II 352</t>
  </si>
  <si>
    <t>III 81</t>
  </si>
  <si>
    <t>I 227</t>
  </si>
  <si>
    <t>II 732</t>
  </si>
  <si>
    <t>III 109</t>
  </si>
  <si>
    <t>III 609</t>
  </si>
  <si>
    <t>III 773</t>
  </si>
  <si>
    <t>III 844</t>
  </si>
  <si>
    <t>II 839</t>
  </si>
  <si>
    <t>II 340</t>
  </si>
  <si>
    <t>II 103</t>
  </si>
  <si>
    <t>II 161, III 30</t>
  </si>
  <si>
    <t>II 830</t>
  </si>
  <si>
    <t>III 375</t>
  </si>
  <si>
    <t>III 338</t>
  </si>
  <si>
    <t>I 21</t>
  </si>
  <si>
    <t>II 737</t>
  </si>
  <si>
    <t>III 320</t>
  </si>
  <si>
    <t>I 94</t>
  </si>
  <si>
    <t>III 339</t>
  </si>
  <si>
    <t>III 284</t>
  </si>
  <si>
    <t>III 376</t>
  </si>
  <si>
    <t>II 153</t>
  </si>
  <si>
    <t>III 774</t>
  </si>
  <si>
    <t>II 154</t>
  </si>
  <si>
    <t>II 341</t>
  </si>
  <si>
    <t>III 775</t>
  </si>
  <si>
    <t>III 340</t>
  </si>
  <si>
    <t>III 102</t>
  </si>
  <si>
    <t>III 377</t>
  </si>
  <si>
    <t>II 831</t>
  </si>
  <si>
    <t>III 378</t>
  </si>
  <si>
    <t>III 35</t>
  </si>
  <si>
    <t>III 776</t>
  </si>
  <si>
    <t>III 36</t>
  </si>
  <si>
    <t>III 386</t>
  </si>
  <si>
    <t>III 385</t>
  </si>
  <si>
    <t>III 833</t>
  </si>
  <si>
    <t>II 104</t>
  </si>
  <si>
    <t>III 387</t>
  </si>
  <si>
    <t>III 104</t>
  </si>
  <si>
    <t>III 103</t>
  </si>
  <si>
    <t>I 201</t>
  </si>
  <si>
    <t>II 881</t>
  </si>
  <si>
    <t>III 372</t>
  </si>
  <si>
    <t>III 388</t>
  </si>
  <si>
    <t>III 828</t>
  </si>
  <si>
    <t>I 120</t>
  </si>
  <si>
    <t>II 785</t>
  </si>
  <si>
    <t>III 940</t>
  </si>
  <si>
    <t>II 723</t>
  </si>
  <si>
    <t>II 553</t>
  </si>
  <si>
    <t>II 738</t>
  </si>
  <si>
    <t>I 248</t>
  </si>
  <si>
    <t>II 832</t>
  </si>
  <si>
    <t>II 739</t>
  </si>
  <si>
    <t>II 408</t>
  </si>
  <si>
    <t>I 228</t>
  </si>
  <si>
    <t>I 82</t>
  </si>
  <si>
    <t>III 970</t>
  </si>
  <si>
    <t>III 321</t>
  </si>
  <si>
    <t>II 864</t>
  </si>
  <si>
    <t>III 715</t>
  </si>
  <si>
    <t>III 341</t>
  </si>
  <si>
    <t>II 342</t>
  </si>
  <si>
    <t>II 786</t>
  </si>
  <si>
    <t>III 90</t>
  </si>
  <si>
    <t>III 113</t>
  </si>
  <si>
    <t>II 787</t>
  </si>
  <si>
    <t>II 824</t>
  </si>
  <si>
    <t>II 788</t>
  </si>
  <si>
    <t>III 716</t>
  </si>
  <si>
    <t>I 259</t>
  </si>
  <si>
    <t>II 825</t>
  </si>
  <si>
    <t>III 379</t>
  </si>
  <si>
    <t>II 740</t>
  </si>
  <si>
    <t>III 616</t>
  </si>
  <si>
    <t>III 769</t>
  </si>
  <si>
    <t>III 389</t>
  </si>
  <si>
    <t>I 203</t>
  </si>
  <si>
    <t>III 971</t>
  </si>
  <si>
    <t>III 380</t>
  </si>
  <si>
    <t>I 173</t>
  </si>
  <si>
    <t>III 322</t>
  </si>
  <si>
    <t>I 251</t>
  </si>
  <si>
    <t>II 403</t>
  </si>
  <si>
    <t>I 202</t>
  </si>
  <si>
    <t xml:space="preserve">III 342 </t>
  </si>
  <si>
    <t>III 612</t>
  </si>
  <si>
    <t>V 45</t>
  </si>
  <si>
    <t>III 381</t>
  </si>
  <si>
    <t>II 623</t>
  </si>
  <si>
    <t>III 290</t>
  </si>
  <si>
    <t>II 294</t>
  </si>
  <si>
    <t>II 833</t>
  </si>
  <si>
    <t>III 905</t>
  </si>
  <si>
    <t>I 67</t>
  </si>
  <si>
    <t>IV 67</t>
  </si>
  <si>
    <t>II 162</t>
  </si>
  <si>
    <t>II 724</t>
  </si>
  <si>
    <t>II 789</t>
  </si>
  <si>
    <t>II 132</t>
  </si>
  <si>
    <t>II 790</t>
  </si>
  <si>
    <t>II 840</t>
  </si>
  <si>
    <t>III 274</t>
  </si>
  <si>
    <t>IV 62</t>
  </si>
  <si>
    <t>III 343</t>
  </si>
  <si>
    <t>III 707</t>
  </si>
  <si>
    <t>III 323</t>
  </si>
  <si>
    <t>II 791</t>
  </si>
  <si>
    <t>IV 61</t>
  </si>
  <si>
    <t>III 324</t>
  </si>
  <si>
    <t>I 229</t>
  </si>
  <si>
    <t>III 344</t>
  </si>
  <si>
    <t>III 345</t>
  </si>
  <si>
    <t>III 354</t>
  </si>
  <si>
    <t>III 325</t>
  </si>
  <si>
    <t>II 368</t>
  </si>
  <si>
    <t>II 733</t>
  </si>
  <si>
    <t>II 369</t>
  </si>
  <si>
    <t>II 725</t>
  </si>
  <si>
    <t>II 295</t>
  </si>
  <si>
    <t>III 617</t>
  </si>
  <si>
    <t>I 223</t>
  </si>
  <si>
    <t>II 296</t>
  </si>
  <si>
    <t>III 3</t>
  </si>
  <si>
    <t>I 121</t>
  </si>
  <si>
    <t>II 404</t>
  </si>
  <si>
    <t>II 508</t>
  </si>
  <si>
    <t>III 903</t>
  </si>
  <si>
    <t>III 279</t>
  </si>
  <si>
    <t>I 253</t>
  </si>
  <si>
    <t>III 77</t>
  </si>
  <si>
    <t>IV 28.1</t>
  </si>
  <si>
    <t>IV 28.2</t>
  </si>
  <si>
    <t>I 252</t>
  </si>
  <si>
    <t>III 491</t>
  </si>
  <si>
    <t>II 276</t>
  </si>
  <si>
    <t>II 741</t>
  </si>
  <si>
    <t>III 390</t>
  </si>
  <si>
    <t>II 509</t>
  </si>
  <si>
    <t>IV 56</t>
  </si>
  <si>
    <t>III 794</t>
  </si>
  <si>
    <t>III 394</t>
  </si>
  <si>
    <t>I 174</t>
  </si>
  <si>
    <t>III 395</t>
  </si>
  <si>
    <t>III 392</t>
  </si>
  <si>
    <t>III 37</t>
  </si>
  <si>
    <t>II 781</t>
  </si>
  <si>
    <t>III 391</t>
  </si>
  <si>
    <t>II 277</t>
  </si>
  <si>
    <t>III 393</t>
  </si>
  <si>
    <t>III 396</t>
  </si>
  <si>
    <t>III 258</t>
  </si>
  <si>
    <t>III 355</t>
  </si>
  <si>
    <t>I 224</t>
  </si>
  <si>
    <t>III 754</t>
  </si>
  <si>
    <t>I 206</t>
  </si>
  <si>
    <t>III 382</t>
  </si>
  <si>
    <t>III 383</t>
  </si>
  <si>
    <t>I 207</t>
  </si>
  <si>
    <t>III 400</t>
  </si>
  <si>
    <t>III 384</t>
  </si>
  <si>
    <t>III 717</t>
  </si>
  <si>
    <t>III 326</t>
  </si>
  <si>
    <t>I 225</t>
  </si>
  <si>
    <t>II 370</t>
  </si>
  <si>
    <t>II 865</t>
  </si>
  <si>
    <t>II 866</t>
  </si>
  <si>
    <t>I 195</t>
  </si>
  <si>
    <t>III 533</t>
  </si>
  <si>
    <t>III 708</t>
  </si>
  <si>
    <t>II 14</t>
  </si>
  <si>
    <t>III 904</t>
  </si>
  <si>
    <t>V 4</t>
  </si>
  <si>
    <t>I 33, II 60</t>
  </si>
  <si>
    <t>III 68</t>
  </si>
  <si>
    <t>I 279</t>
  </si>
  <si>
    <t>I 263</t>
  </si>
  <si>
    <t>II 548</t>
  </si>
  <si>
    <t>III 356</t>
  </si>
  <si>
    <t>III 357</t>
  </si>
  <si>
    <t>I 278</t>
  </si>
  <si>
    <t>II 371</t>
  </si>
  <si>
    <t>II 321</t>
  </si>
  <si>
    <t>I 196</t>
  </si>
  <si>
    <t>III 795</t>
  </si>
  <si>
    <t>III 814</t>
  </si>
  <si>
    <t>IV 54</t>
  </si>
  <si>
    <t>II 747</t>
  </si>
  <si>
    <t>I 169</t>
  </si>
  <si>
    <t>III 327</t>
  </si>
  <si>
    <t>I 19</t>
  </si>
  <si>
    <t>II 802</t>
  </si>
  <si>
    <t>I 73</t>
  </si>
  <si>
    <t>I 165</t>
  </si>
  <si>
    <t>II 83</t>
  </si>
  <si>
    <t>I 11</t>
  </si>
  <si>
    <t>III 845</t>
  </si>
  <si>
    <t>II 642</t>
  </si>
  <si>
    <t>I 208</t>
  </si>
  <si>
    <t>II 405</t>
  </si>
  <si>
    <t>III 941</t>
  </si>
  <si>
    <t>II 803</t>
  </si>
  <si>
    <t>II 353</t>
  </si>
  <si>
    <t>III 399</t>
  </si>
  <si>
    <t>II 105</t>
  </si>
  <si>
    <t>III 358</t>
  </si>
  <si>
    <t>II 792</t>
  </si>
  <si>
    <t>II 372</t>
  </si>
  <si>
    <t>III 359</t>
  </si>
  <si>
    <t>III 360</t>
  </si>
  <si>
    <t>III 534</t>
  </si>
  <si>
    <t>I 9</t>
  </si>
  <si>
    <t>II 133</t>
  </si>
  <si>
    <t>III 777</t>
  </si>
  <si>
    <t>III 697</t>
  </si>
  <si>
    <t>II 373</t>
  </si>
  <si>
    <t>II 813</t>
  </si>
  <si>
    <t>II 106</t>
  </si>
  <si>
    <t>II 409</t>
  </si>
  <si>
    <t>II 163</t>
  </si>
  <si>
    <t>II 867</t>
  </si>
  <si>
    <t>III 796</t>
  </si>
  <si>
    <t>II 374</t>
  </si>
  <si>
    <t>II 134</t>
  </si>
  <si>
    <t>II 793</t>
  </si>
  <si>
    <t>III 797</t>
  </si>
  <si>
    <t>II 164</t>
  </si>
  <si>
    <t>I 175</t>
  </si>
  <si>
    <t>III 397</t>
  </si>
  <si>
    <t>II 165</t>
  </si>
  <si>
    <t>II 107</t>
  </si>
  <si>
    <t>II 375</t>
  </si>
  <si>
    <t>III 850</t>
  </si>
  <si>
    <t>II 108</t>
  </si>
  <si>
    <t>II 354</t>
  </si>
  <si>
    <t>I 95</t>
  </si>
  <si>
    <t>II 135</t>
  </si>
  <si>
    <t>I 35</t>
  </si>
  <si>
    <t>II 748</t>
  </si>
  <si>
    <t>III 718</t>
  </si>
  <si>
    <t>I 209</t>
  </si>
  <si>
    <t>II 109</t>
  </si>
  <si>
    <t>II 137</t>
  </si>
  <si>
    <t>II 136</t>
  </si>
  <si>
    <t>II 518</t>
  </si>
  <si>
    <t>II 519</t>
  </si>
  <si>
    <t>III 719</t>
  </si>
  <si>
    <t>III 720</t>
  </si>
  <si>
    <t>II 496</t>
  </si>
  <si>
    <t>II 17</t>
  </si>
  <si>
    <t>V 51</t>
  </si>
  <si>
    <t>II 11</t>
  </si>
  <si>
    <t>III 851</t>
  </si>
  <si>
    <t>III 480</t>
  </si>
  <si>
    <t>III 725</t>
  </si>
  <si>
    <t>V 41</t>
  </si>
  <si>
    <t>I 74</t>
  </si>
  <si>
    <t>III 91</t>
  </si>
  <si>
    <t>II 742</t>
  </si>
  <si>
    <t>I 264</t>
  </si>
  <si>
    <t>I 89</t>
  </si>
  <si>
    <t>III 702</t>
  </si>
  <si>
    <t>II 846</t>
  </si>
  <si>
    <t>V 43</t>
  </si>
  <si>
    <t>II 138</t>
  </si>
  <si>
    <t>II 139</t>
  </si>
  <si>
    <t>II 110</t>
  </si>
  <si>
    <t>III 535</t>
  </si>
  <si>
    <t>II 140</t>
  </si>
  <si>
    <t>II 166</t>
  </si>
  <si>
    <t>II 568</t>
  </si>
  <si>
    <t>II 804</t>
  </si>
  <si>
    <t>III 299</t>
  </si>
  <si>
    <t>II 569</t>
  </si>
  <si>
    <t>I 75</t>
  </si>
  <si>
    <t>II 376</t>
  </si>
  <si>
    <t>II 570</t>
  </si>
  <si>
    <t>I 90, II 322</t>
  </si>
  <si>
    <t>II 571, II 573</t>
  </si>
  <si>
    <t>II 323, II 377</t>
  </si>
  <si>
    <t>III 798</t>
  </si>
  <si>
    <t>III 300</t>
  </si>
  <si>
    <t>III 726</t>
  </si>
  <si>
    <t>II 805</t>
  </si>
  <si>
    <t>I 275</t>
  </si>
  <si>
    <t>V 5</t>
  </si>
  <si>
    <t>II 61</t>
  </si>
  <si>
    <t>III 92</t>
  </si>
  <si>
    <t>III 93</t>
  </si>
  <si>
    <t>II 111</t>
  </si>
  <si>
    <t>II 62</t>
  </si>
  <si>
    <t>II 572</t>
  </si>
  <si>
    <t>II 112</t>
  </si>
  <si>
    <t>I 139</t>
  </si>
  <si>
    <t>II 378</t>
  </si>
  <si>
    <t>II 628</t>
  </si>
  <si>
    <t>II 63</t>
  </si>
  <si>
    <t>I 76</t>
  </si>
  <si>
    <t>II 324</t>
  </si>
  <si>
    <t>I 276</t>
  </si>
  <si>
    <t>II 141</t>
  </si>
  <si>
    <t>II 84</t>
  </si>
  <si>
    <t>III 942</t>
  </si>
  <si>
    <t>II 847</t>
  </si>
  <si>
    <t>II 142</t>
  </si>
  <si>
    <t>II 806</t>
  </si>
  <si>
    <t>II 406</t>
  </si>
  <si>
    <t>II 143</t>
  </si>
  <si>
    <t>II 85</t>
  </si>
  <si>
    <t>III 95</t>
  </si>
  <si>
    <t>III 96</t>
  </si>
  <si>
    <t>III 94</t>
  </si>
  <si>
    <t>III 31</t>
  </si>
  <si>
    <t>I 210</t>
  </si>
  <si>
    <t>II 625</t>
  </si>
  <si>
    <t>II 86</t>
  </si>
  <si>
    <t>II 64</t>
  </si>
  <si>
    <t>III 481</t>
  </si>
  <si>
    <t>III 799</t>
  </si>
  <si>
    <t>III 648</t>
  </si>
  <si>
    <t>I 65</t>
  </si>
  <si>
    <t>III 801</t>
  </si>
  <si>
    <t>III 938</t>
  </si>
  <si>
    <t>III 800</t>
  </si>
  <si>
    <t>I 30</t>
  </si>
  <si>
    <t>III 97</t>
  </si>
  <si>
    <t>III 38</t>
  </si>
  <si>
    <t>I 166</t>
  </si>
  <si>
    <t>II 144</t>
  </si>
  <si>
    <t>I 22</t>
  </si>
  <si>
    <t>II 379</t>
  </si>
  <si>
    <t>II 530</t>
  </si>
  <si>
    <t>I 12</t>
  </si>
  <si>
    <t>I 123</t>
  </si>
  <si>
    <t>II 87</t>
  </si>
  <si>
    <t>II 743</t>
  </si>
  <si>
    <t>III 879</t>
  </si>
  <si>
    <t>I 277</t>
  </si>
  <si>
    <t>II 167</t>
  </si>
  <si>
    <t>II 168</t>
  </si>
  <si>
    <t>II 749</t>
  </si>
  <si>
    <t>III 39</t>
  </si>
  <si>
    <t>III 852</t>
  </si>
  <si>
    <t>III 729</t>
  </si>
  <si>
    <t>III 361</t>
  </si>
  <si>
    <t>II 55</t>
  </si>
  <si>
    <t>V 29.1</t>
  </si>
  <si>
    <t>V 29.2</t>
  </si>
  <si>
    <t>III 755</t>
  </si>
  <si>
    <t>III 756</t>
  </si>
  <si>
    <t>II 88</t>
  </si>
  <si>
    <t>III 17</t>
  </si>
  <si>
    <t>II 34</t>
  </si>
  <si>
    <t>II 169</t>
  </si>
  <si>
    <t>I 77</t>
  </si>
  <si>
    <t>III 482</t>
  </si>
  <si>
    <t>II 155</t>
  </si>
  <si>
    <t>III 492</t>
  </si>
  <si>
    <t>II 113</t>
  </si>
  <si>
    <t>II 23</t>
  </si>
  <si>
    <t>II 89</t>
  </si>
  <si>
    <t>III 114</t>
  </si>
  <si>
    <t>II 145</t>
  </si>
  <si>
    <t>II 170</t>
  </si>
  <si>
    <t>II 65</t>
  </si>
  <si>
    <t>II 26, II 146</t>
  </si>
  <si>
    <t>II 171</t>
  </si>
  <si>
    <t>II 497</t>
  </si>
  <si>
    <t>I 28, 1</t>
  </si>
  <si>
    <t>II 172</t>
  </si>
  <si>
    <t>I 28, 2</t>
  </si>
  <si>
    <t>II 173</t>
  </si>
  <si>
    <t>II 848</t>
  </si>
  <si>
    <t>II 156</t>
  </si>
  <si>
    <t>I 91</t>
  </si>
  <si>
    <t>I 213</t>
  </si>
  <si>
    <t>II 56, II 90</t>
  </si>
  <si>
    <t>I 23</t>
  </si>
  <si>
    <t>II 180</t>
  </si>
  <si>
    <t>II 355</t>
  </si>
  <si>
    <t>II 35</t>
  </si>
  <si>
    <t>II 121</t>
  </si>
  <si>
    <t>I 161</t>
  </si>
  <si>
    <t>I 212, II 750</t>
  </si>
  <si>
    <t>II 122, II 174</t>
  </si>
  <si>
    <t>III 764</t>
  </si>
  <si>
    <t>III 483</t>
  </si>
  <si>
    <t>II 18</t>
  </si>
  <si>
    <t>II 630</t>
  </si>
  <si>
    <t>II 157</t>
  </si>
  <si>
    <t>II 19, II 498</t>
  </si>
  <si>
    <t>I 7</t>
  </si>
  <si>
    <t>II 114</t>
  </si>
  <si>
    <t>II 117, II 629</t>
  </si>
  <si>
    <t>III 362</t>
  </si>
  <si>
    <t>II 123</t>
  </si>
  <si>
    <t>II 115</t>
  </si>
  <si>
    <t>II 124</t>
  </si>
  <si>
    <t>II 116</t>
  </si>
  <si>
    <t>II 531</t>
  </si>
  <si>
    <t>III 40</t>
  </si>
  <si>
    <t>I 197</t>
  </si>
  <si>
    <t>II 776</t>
  </si>
  <si>
    <t>III 484</t>
  </si>
  <si>
    <t>II 91</t>
  </si>
  <si>
    <t>I 198</t>
  </si>
  <si>
    <t>III 41</t>
  </si>
  <si>
    <t>II 499</t>
  </si>
  <si>
    <t>I 83</t>
  </si>
  <si>
    <t>III 301</t>
  </si>
  <si>
    <t>II 36</t>
  </si>
  <si>
    <t>III 42</t>
  </si>
  <si>
    <t>II 92</t>
  </si>
  <si>
    <t>I 234</t>
  </si>
  <si>
    <t>III 69</t>
  </si>
  <si>
    <t>II 66</t>
  </si>
  <si>
    <t>II 771</t>
  </si>
  <si>
    <t>III 18</t>
  </si>
  <si>
    <t>II 631</t>
  </si>
  <si>
    <t>III 834</t>
  </si>
  <si>
    <t>III 302</t>
  </si>
  <si>
    <t>II 93</t>
  </si>
  <si>
    <t>III 78</t>
  </si>
  <si>
    <t>IV 5</t>
  </si>
  <si>
    <t>II 158</t>
  </si>
  <si>
    <t>III 757</t>
  </si>
  <si>
    <t>II 849</t>
  </si>
  <si>
    <t>II 325</t>
  </si>
  <si>
    <t>I 31, I 38</t>
  </si>
  <si>
    <t>II 37</t>
  </si>
  <si>
    <t>II 67</t>
  </si>
  <si>
    <t>III 26</t>
  </si>
  <si>
    <t>II 175</t>
  </si>
  <si>
    <t>II 147</t>
  </si>
  <si>
    <t>II 410</t>
  </si>
  <si>
    <t>II 500</t>
  </si>
  <si>
    <t>V 2</t>
  </si>
  <si>
    <t>II 94, II 119</t>
  </si>
  <si>
    <t>III 493</t>
  </si>
  <si>
    <t>II 850</t>
  </si>
  <si>
    <t>I 160</t>
  </si>
  <si>
    <t>III 802</t>
  </si>
  <si>
    <t>II 120</t>
  </si>
  <si>
    <t>III 807</t>
  </si>
  <si>
    <t>I 36</t>
  </si>
  <si>
    <t>I 37</t>
  </si>
  <si>
    <t>II 343</t>
  </si>
  <si>
    <t>II 380</t>
  </si>
  <si>
    <t>I 92</t>
  </si>
  <si>
    <t>I 119</t>
  </si>
  <si>
    <t>II 407</t>
  </si>
  <si>
    <t>II 68</t>
  </si>
  <si>
    <t>V 24</t>
  </si>
  <si>
    <t>III 880</t>
  </si>
  <si>
    <t>IV 8</t>
  </si>
  <si>
    <t>IV 9</t>
  </si>
  <si>
    <t>I 32</t>
  </si>
  <si>
    <t>III 602</t>
  </si>
  <si>
    <t>III 939</t>
  </si>
  <si>
    <t>III 13</t>
  </si>
  <si>
    <t>II 15</t>
  </si>
  <si>
    <t>I 124</t>
  </si>
  <si>
    <t>III 495</t>
  </si>
  <si>
    <t>I 125</t>
  </si>
  <si>
    <t>III 98</t>
  </si>
  <si>
    <t>I 273</t>
  </si>
  <si>
    <t>III 504</t>
  </si>
  <si>
    <t>II 31</t>
  </si>
  <si>
    <t>II 183</t>
  </si>
  <si>
    <t>I 43</t>
  </si>
  <si>
    <t>II 632</t>
  </si>
  <si>
    <t>I 24</t>
  </si>
  <si>
    <t>II 636</t>
  </si>
  <si>
    <t>III 105</t>
  </si>
  <si>
    <t>III 509</t>
  </si>
  <si>
    <t>II 577</t>
  </si>
  <si>
    <t>II 184</t>
  </si>
  <si>
    <t>I 254</t>
  </si>
  <si>
    <t>III 43</t>
  </si>
  <si>
    <t>II 69</t>
  </si>
  <si>
    <t>II 20, II 148</t>
  </si>
  <si>
    <t>II 744</t>
  </si>
  <si>
    <t>I 178</t>
  </si>
  <si>
    <t>II 411</t>
  </si>
  <si>
    <t>II 149</t>
  </si>
  <si>
    <t>II 660</t>
  </si>
  <si>
    <t>II 772</t>
  </si>
  <si>
    <t>II 659</t>
  </si>
  <si>
    <t>II 773</t>
  </si>
  <si>
    <t>II 532</t>
  </si>
  <si>
    <t>V 42</t>
  </si>
  <si>
    <t>I 14</t>
  </si>
  <si>
    <t>III 603</t>
  </si>
  <si>
    <t>II 38</t>
  </si>
  <si>
    <t>II 70, II 176</t>
  </si>
  <si>
    <t>II 125</t>
  </si>
  <si>
    <t>III 494</t>
  </si>
  <si>
    <t>I 10</t>
  </si>
  <si>
    <t>II 794, 1</t>
  </si>
  <si>
    <t>II 910 = II 794, 2</t>
  </si>
  <si>
    <t>III 44</t>
  </si>
  <si>
    <t>I 274</t>
  </si>
  <si>
    <t>II 12</t>
  </si>
  <si>
    <t>III 662</t>
  </si>
  <si>
    <t>II 126</t>
  </si>
  <si>
    <t>II 661</t>
  </si>
  <si>
    <t>I 176</t>
  </si>
  <si>
    <t>I 177</t>
  </si>
  <si>
    <t>II 558</t>
  </si>
  <si>
    <t>II 127</t>
  </si>
  <si>
    <t>II 71</t>
  </si>
  <si>
    <t>II 643</t>
  </si>
  <si>
    <t>II 39</t>
  </si>
  <si>
    <t>I 142</t>
  </si>
  <si>
    <t>I 15</t>
  </si>
  <si>
    <t>III 663</t>
  </si>
  <si>
    <t>III 778</t>
  </si>
  <si>
    <t>III 328</t>
  </si>
  <si>
    <t>II 774</t>
  </si>
  <si>
    <t>III 329</t>
  </si>
  <si>
    <t>II 795</t>
  </si>
  <si>
    <t>II 326</t>
  </si>
  <si>
    <t>III 523</t>
  </si>
  <si>
    <t>II 181</t>
  </si>
  <si>
    <t>III 398</t>
  </si>
  <si>
    <t>II 796</t>
  </si>
  <si>
    <t>III 543</t>
  </si>
  <si>
    <t>II 128</t>
  </si>
  <si>
    <t>III 664</t>
  </si>
  <si>
    <t>II 182</t>
  </si>
  <si>
    <t>II 381</t>
  </si>
  <si>
    <t>III 906</t>
  </si>
  <si>
    <t>II 72</t>
  </si>
  <si>
    <t>III 985</t>
  </si>
  <si>
    <t>I 39</t>
  </si>
  <si>
    <t>I 8, III 6</t>
  </si>
  <si>
    <t>I 129</t>
  </si>
  <si>
    <t>III 524</t>
  </si>
  <si>
    <t>II 578</t>
  </si>
  <si>
    <t>III 514</t>
  </si>
  <si>
    <t>II 662</t>
  </si>
  <si>
    <t>III 610</t>
  </si>
  <si>
    <t>III 815</t>
  </si>
  <si>
    <t>III 722</t>
  </si>
  <si>
    <t>II 95</t>
  </si>
  <si>
    <t>II 412</t>
  </si>
  <si>
    <t>I 140</t>
  </si>
  <si>
    <t>III 536</t>
  </si>
  <si>
    <t>III 424</t>
  </si>
  <si>
    <t>III 611</t>
  </si>
  <si>
    <t>III 280</t>
  </si>
  <si>
    <t>I 84</t>
  </si>
  <si>
    <t>II 298</t>
  </si>
  <si>
    <t>I 41</t>
  </si>
  <si>
    <t>II 814</t>
  </si>
  <si>
    <t>II 73</t>
  </si>
  <si>
    <t>III 496</t>
  </si>
  <si>
    <t>III 515</t>
  </si>
  <si>
    <t>III 721</t>
  </si>
  <si>
    <t>I 133</t>
  </si>
  <si>
    <t>II 344</t>
  </si>
  <si>
    <t>III 537</t>
  </si>
  <si>
    <t>III 907</t>
  </si>
  <si>
    <t>IV 78</t>
  </si>
  <si>
    <t>III 82</t>
  </si>
  <si>
    <t>I 16</t>
  </si>
  <si>
    <t>I 25, II 74</t>
  </si>
  <si>
    <t>III 281</t>
  </si>
  <si>
    <t>III 70</t>
  </si>
  <si>
    <t>II 559</t>
  </si>
  <si>
    <t>II 75</t>
  </si>
  <si>
    <t>III 489</t>
  </si>
  <si>
    <t>III 544</t>
  </si>
  <si>
    <t>III 525</t>
  </si>
  <si>
    <t>II 535</t>
  </si>
  <si>
    <t>II 24</t>
  </si>
  <si>
    <t>III 516</t>
  </si>
  <si>
    <t>III 618</t>
  </si>
  <si>
    <t>II 186</t>
  </si>
  <si>
    <t>III 517</t>
  </si>
  <si>
    <t>III 106</t>
  </si>
  <si>
    <t>I 134</t>
  </si>
  <si>
    <t>I 135</t>
  </si>
  <si>
    <t>I 136</t>
  </si>
  <si>
    <t>III 526</t>
  </si>
  <si>
    <t>II 187</t>
  </si>
  <si>
    <t>II 345</t>
  </si>
  <si>
    <t>II 560</t>
  </si>
  <si>
    <t>I 93</t>
  </si>
  <si>
    <t>III 538</t>
  </si>
  <si>
    <t>II 21</t>
  </si>
  <si>
    <t>II 382</t>
  </si>
  <si>
    <t>III 548</t>
  </si>
  <si>
    <t>I 211</t>
  </si>
  <si>
    <t>III 816</t>
  </si>
  <si>
    <t>IV 40</t>
  </si>
  <si>
    <t>I 141</t>
  </si>
  <si>
    <t>II 777</t>
  </si>
  <si>
    <t>I 243</t>
  </si>
  <si>
    <t>II 383</t>
  </si>
  <si>
    <t>II 549</t>
  </si>
  <si>
    <t>II 346</t>
  </si>
  <si>
    <t>II 563</t>
  </si>
  <si>
    <t>II 384</t>
  </si>
  <si>
    <t>III 817</t>
  </si>
  <si>
    <t>II 386</t>
  </si>
  <si>
    <t>II 385</t>
  </si>
  <si>
    <t>II 387</t>
  </si>
  <si>
    <t>III 613</t>
  </si>
  <si>
    <t>II 536</t>
  </si>
  <si>
    <t>I 68</t>
  </si>
  <si>
    <t>III 908</t>
  </si>
  <si>
    <t>IV 30</t>
  </si>
  <si>
    <t>I 162</t>
  </si>
  <si>
    <t>II 644</t>
  </si>
  <si>
    <t>II 388</t>
  </si>
  <si>
    <t>II 389</t>
  </si>
  <si>
    <t>II 299</t>
  </si>
  <si>
    <t>III 758</t>
  </si>
  <si>
    <t>III 759</t>
  </si>
  <si>
    <t>III 83</t>
  </si>
  <si>
    <t>II 778</t>
  </si>
  <si>
    <t>II 391</t>
  </si>
  <si>
    <t>III 614</t>
  </si>
  <si>
    <t>II 390</t>
  </si>
  <si>
    <t>II 300</t>
  </si>
  <si>
    <t>I 143</t>
  </si>
  <si>
    <t>I 69</t>
  </si>
  <si>
    <t>II 517</t>
  </si>
  <si>
    <t>III 363</t>
  </si>
  <si>
    <t>V 3</t>
  </si>
  <si>
    <t>II 392</t>
  </si>
  <si>
    <t>II 645</t>
  </si>
  <si>
    <t>IV 47</t>
  </si>
  <si>
    <t>II 393</t>
  </si>
  <si>
    <t>II 394</t>
  </si>
  <si>
    <t>II 779</t>
  </si>
  <si>
    <t>III 364</t>
  </si>
  <si>
    <t>II 190</t>
  </si>
  <si>
    <t>III 818</t>
  </si>
  <si>
    <t>II 191</t>
  </si>
  <si>
    <t>II 561</t>
  </si>
  <si>
    <t>I 40</t>
  </si>
  <si>
    <t>III 761</t>
  </si>
  <si>
    <t>II 395</t>
  </si>
  <si>
    <t>II 188</t>
  </si>
  <si>
    <t>II 396</t>
  </si>
  <si>
    <t>II 413</t>
  </si>
  <si>
    <t>II 397</t>
  </si>
  <si>
    <t>I 130</t>
  </si>
  <si>
    <t>II 398</t>
  </si>
  <si>
    <t>III 303</t>
  </si>
  <si>
    <t>II 663</t>
  </si>
  <si>
    <t>III 779</t>
  </si>
  <si>
    <t>III 304</t>
  </si>
  <si>
    <t>III 783</t>
  </si>
  <si>
    <t>III 765</t>
  </si>
  <si>
    <t>III 937</t>
  </si>
  <si>
    <t>III 781</t>
  </si>
  <si>
    <t>III 782</t>
  </si>
  <si>
    <t>III 780</t>
  </si>
  <si>
    <t>III 346</t>
  </si>
  <si>
    <t>II 189</t>
  </si>
  <si>
    <t>III 365</t>
  </si>
  <si>
    <t>II 301</t>
  </si>
  <si>
    <t>III 654</t>
  </si>
  <si>
    <t>III 401</t>
  </si>
  <si>
    <t>II 185</t>
  </si>
  <si>
    <t>III 766</t>
  </si>
  <si>
    <t>I 42</t>
  </si>
  <si>
    <t>III 819</t>
  </si>
  <si>
    <t>II 537</t>
  </si>
  <si>
    <t>III 366</t>
  </si>
  <si>
    <t>III 655</t>
  </si>
  <si>
    <t>III 305</t>
  </si>
  <si>
    <t>I 96</t>
  </si>
  <si>
    <t>III 848</t>
  </si>
  <si>
    <t>III 820</t>
  </si>
  <si>
    <t>I 85</t>
  </si>
  <si>
    <t>II 414</t>
  </si>
  <si>
    <t>II 637</t>
  </si>
  <si>
    <t>II 356</t>
  </si>
  <si>
    <t>III 669</t>
  </si>
  <si>
    <t>II 746</t>
  </si>
  <si>
    <t>III 545</t>
  </si>
  <si>
    <t>II 129</t>
  </si>
  <si>
    <t>II 664</t>
  </si>
  <si>
    <t>III 649</t>
  </si>
  <si>
    <t>III 367</t>
  </si>
  <si>
    <t>I 97</t>
  </si>
  <si>
    <t>III 909</t>
  </si>
  <si>
    <t>II 510</t>
  </si>
  <si>
    <t>II 816</t>
  </si>
  <si>
    <t>II 511</t>
  </si>
  <si>
    <t>III 670</t>
  </si>
  <si>
    <t>II 512</t>
  </si>
  <si>
    <t>VI 7</t>
  </si>
  <si>
    <t>II 513</t>
  </si>
  <si>
    <t>III 306</t>
  </si>
  <si>
    <t>III 307</t>
  </si>
  <si>
    <t>I 138</t>
  </si>
  <si>
    <t>III 308</t>
  </si>
  <si>
    <t>II 312</t>
  </si>
  <si>
    <t>III 282</t>
  </si>
  <si>
    <t>III 309</t>
  </si>
  <si>
    <t>III 117</t>
  </si>
  <si>
    <t>II 193</t>
  </si>
  <si>
    <t>II 566</t>
  </si>
  <si>
    <t>III 118</t>
  </si>
  <si>
    <t>II 313</t>
  </si>
  <si>
    <t>II 780</t>
  </si>
  <si>
    <t>III 724</t>
  </si>
  <si>
    <t>II 327</t>
  </si>
  <si>
    <t>III 633</t>
  </si>
  <si>
    <t>III 539</t>
  </si>
  <si>
    <t>III 650</t>
  </si>
  <si>
    <t>II 567</t>
  </si>
  <si>
    <t>II 665</t>
  </si>
  <si>
    <t>II 22</t>
  </si>
  <si>
    <t>III 619</t>
  </si>
  <si>
    <t>II 826</t>
  </si>
  <si>
    <t>III 119</t>
  </si>
  <si>
    <t>II 646</t>
  </si>
  <si>
    <t>III 808</t>
  </si>
  <si>
    <t>III 368</t>
  </si>
  <si>
    <t>III 925</t>
  </si>
  <si>
    <t>II 666</t>
  </si>
  <si>
    <t>II 328</t>
  </si>
  <si>
    <t>II 653</t>
  </si>
  <si>
    <t>II 314</t>
  </si>
  <si>
    <t>III 84</t>
  </si>
  <si>
    <t>III 402</t>
  </si>
  <si>
    <t>III 403</t>
  </si>
  <si>
    <t>IV 70</t>
  </si>
  <si>
    <t>II 667</t>
  </si>
  <si>
    <t>III 115</t>
  </si>
  <si>
    <t>II 25</t>
  </si>
  <si>
    <t>III 404</t>
  </si>
  <si>
    <t>III 405</t>
  </si>
  <si>
    <t>III 651</t>
  </si>
  <si>
    <t>III 821</t>
  </si>
  <si>
    <t>III 784</t>
  </si>
  <si>
    <t>V 22</t>
  </si>
  <si>
    <t>III 672</t>
  </si>
  <si>
    <t>III 45</t>
  </si>
  <si>
    <t>III 46</t>
  </si>
  <si>
    <t>III 71</t>
  </si>
  <si>
    <t>II 679</t>
  </si>
  <si>
    <t>II 680</t>
  </si>
  <si>
    <t>III 642</t>
  </si>
  <si>
    <t>III 652</t>
  </si>
  <si>
    <t>I 186</t>
  </si>
  <si>
    <t>II 689</t>
  </si>
  <si>
    <t>III 406</t>
  </si>
  <si>
    <t>II 797</t>
  </si>
  <si>
    <t>III 507</t>
  </si>
  <si>
    <t>IV 63</t>
  </si>
  <si>
    <t>III 643</t>
  </si>
  <si>
    <t>III 9</t>
  </si>
  <si>
    <t>III 10</t>
  </si>
  <si>
    <t>III 99</t>
  </si>
  <si>
    <t>III 656</t>
  </si>
  <si>
    <t>II 841</t>
  </si>
  <si>
    <t>II 842</t>
  </si>
  <si>
    <t>III 86</t>
  </si>
  <si>
    <t>III 85</t>
  </si>
  <si>
    <t>III 407</t>
  </si>
  <si>
    <t>III 926</t>
  </si>
  <si>
    <t>III 822</t>
  </si>
  <si>
    <t>III 928</t>
  </si>
  <si>
    <t>III 408</t>
  </si>
  <si>
    <t>III 87</t>
  </si>
  <si>
    <t>III 425</t>
  </si>
  <si>
    <t>III 100</t>
  </si>
  <si>
    <t>III 823</t>
  </si>
  <si>
    <t>III 101</t>
  </si>
  <si>
    <t>III 409</t>
  </si>
  <si>
    <t>III 620</t>
  </si>
  <si>
    <t>II 297</t>
  </si>
  <si>
    <t>I 34</t>
  </si>
  <si>
    <t>III 72</t>
  </si>
  <si>
    <t>II 817</t>
  </si>
  <si>
    <t>III 369</t>
  </si>
  <si>
    <t>III 505</t>
  </si>
  <si>
    <t>II 638</t>
  </si>
  <si>
    <t>III 803</t>
  </si>
  <si>
    <t>III 673</t>
  </si>
  <si>
    <t>II 895</t>
  </si>
  <si>
    <t>II 896</t>
  </si>
  <si>
    <t>III 370</t>
  </si>
  <si>
    <t>III 410</t>
  </si>
  <si>
    <t>I 98</t>
  </si>
  <si>
    <t>II 798</t>
  </si>
  <si>
    <t>II 668</t>
  </si>
  <si>
    <t>I 170</t>
  </si>
  <si>
    <t>V 6</t>
  </si>
  <si>
    <t>III 785</t>
  </si>
  <si>
    <t>III 946</t>
  </si>
  <si>
    <t>I 180</t>
  </si>
  <si>
    <t>II 533</t>
  </si>
  <si>
    <t>II 688</t>
  </si>
  <si>
    <t>III 681</t>
  </si>
  <si>
    <t>III 621</t>
  </si>
  <si>
    <t>II 306</t>
  </si>
  <si>
    <t>I 255</t>
  </si>
  <si>
    <t>II 710</t>
  </si>
  <si>
    <t>II 711</t>
  </si>
  <si>
    <t>III 422</t>
  </si>
  <si>
    <t>II 669</t>
  </si>
  <si>
    <t>III 423</t>
  </si>
  <si>
    <t>I 256</t>
  </si>
  <si>
    <t>II 899</t>
  </si>
  <si>
    <t>II 307</t>
  </si>
  <si>
    <t>II 712</t>
  </si>
  <si>
    <t>II 685</t>
  </si>
  <si>
    <t>III 923</t>
  </si>
  <si>
    <t>III 549</t>
  </si>
  <si>
    <t>III 929</t>
  </si>
  <si>
    <t>III 665</t>
  </si>
  <si>
    <t>II 670</t>
  </si>
  <si>
    <t>III 698</t>
  </si>
  <si>
    <t>III 849</t>
  </si>
  <si>
    <t>II 308</t>
  </si>
  <si>
    <t>II 686</t>
  </si>
  <si>
    <t>II 424</t>
  </si>
  <si>
    <t>II 713</t>
  </si>
  <si>
    <t>II 697</t>
  </si>
  <si>
    <t>II 415</t>
  </si>
  <si>
    <t>II 714</t>
  </si>
  <si>
    <t>II 715</t>
  </si>
  <si>
    <t>III 699</t>
  </si>
  <si>
    <t>III 506</t>
  </si>
  <si>
    <t>III 682</t>
  </si>
  <si>
    <t>II 671</t>
  </si>
  <si>
    <t>I 6</t>
  </si>
  <si>
    <t>II 534</t>
  </si>
  <si>
    <t>III 786</t>
  </si>
  <si>
    <t>III 285</t>
  </si>
  <si>
    <t>II 843</t>
  </si>
  <si>
    <t>II 716</t>
  </si>
  <si>
    <t>III 809</t>
  </si>
  <si>
    <t>II 889</t>
  </si>
  <si>
    <t>I 238, II 844</t>
  </si>
  <si>
    <t>I 187</t>
  </si>
  <si>
    <t>I 239</t>
  </si>
  <si>
    <t>II 698</t>
  </si>
  <si>
    <t>III 546</t>
  </si>
  <si>
    <t>I 181</t>
  </si>
  <si>
    <t>III 547</t>
  </si>
  <si>
    <t>I 240</t>
  </si>
  <si>
    <t>III 666</t>
  </si>
  <si>
    <t>I 191</t>
  </si>
  <si>
    <t>I 190</t>
  </si>
  <si>
    <t>III 125</t>
  </si>
  <si>
    <t>III 411</t>
  </si>
  <si>
    <t>III 667</t>
  </si>
  <si>
    <t>III 412</t>
  </si>
  <si>
    <t>III 810</t>
  </si>
  <si>
    <t>III 683</t>
  </si>
  <si>
    <t>II 699</t>
  </si>
  <si>
    <t>III 684</t>
  </si>
  <si>
    <t>II 672</t>
  </si>
  <si>
    <t>III 56</t>
  </si>
  <si>
    <t>III 11</t>
  </si>
  <si>
    <t>I 230</t>
  </si>
  <si>
    <t>II 310</t>
  </si>
  <si>
    <t>II 309</t>
  </si>
  <si>
    <t>II 827</t>
  </si>
  <si>
    <t>III 653</t>
  </si>
  <si>
    <t>II 416</t>
  </si>
  <si>
    <t>II 799</t>
  </si>
  <si>
    <t>II 417</t>
  </si>
  <si>
    <t>III 413</t>
  </si>
  <si>
    <t>III 57</t>
  </si>
  <si>
    <t>III 787</t>
  </si>
  <si>
    <t>II 691</t>
  </si>
  <si>
    <t>III 947</t>
  </si>
  <si>
    <t>III 788</t>
  </si>
  <si>
    <t>III 789</t>
  </si>
  <si>
    <t>III 58</t>
  </si>
  <si>
    <t>VI 9</t>
  </si>
  <si>
    <t>III 286</t>
  </si>
  <si>
    <t>I 231</t>
  </si>
  <si>
    <t>I 214</t>
  </si>
  <si>
    <t>II 800</t>
  </si>
  <si>
    <t>III 287</t>
  </si>
  <si>
    <t>III 790</t>
  </si>
  <si>
    <t>III 762</t>
  </si>
  <si>
    <t>II 692</t>
  </si>
  <si>
    <t>II 693</t>
  </si>
  <si>
    <t>III 59</t>
  </si>
  <si>
    <t>III 791</t>
  </si>
  <si>
    <t>I 232</t>
  </si>
  <si>
    <t>II 801</t>
  </si>
  <si>
    <t>III 32</t>
  </si>
  <si>
    <t>II 890</t>
  </si>
  <si>
    <t>II 876</t>
  </si>
  <si>
    <t>IV 46</t>
  </si>
  <si>
    <t>III 674</t>
  </si>
  <si>
    <t>II 687</t>
  </si>
  <si>
    <t>IV 49</t>
  </si>
  <si>
    <t>II 877</t>
  </si>
  <si>
    <t>III 685</t>
  </si>
  <si>
    <t>III 676</t>
  </si>
  <si>
    <t>III 644</t>
  </si>
  <si>
    <t>III 134</t>
  </si>
  <si>
    <t>III 804, III 835</t>
  </si>
  <si>
    <t>III 414</t>
  </si>
  <si>
    <t>III 47</t>
  </si>
  <si>
    <t>II 418</t>
  </si>
  <si>
    <t>III 731</t>
  </si>
  <si>
    <t>III 805</t>
  </si>
  <si>
    <t>III 732</t>
  </si>
  <si>
    <t>II 419</t>
  </si>
  <si>
    <t>III 551</t>
  </si>
  <si>
    <t>III 948</t>
  </si>
  <si>
    <t>II 194</t>
  </si>
  <si>
    <t>III 552</t>
  </si>
  <si>
    <t>I 99</t>
  </si>
  <si>
    <t>III 347</t>
  </si>
  <si>
    <t>II 579</t>
  </si>
  <si>
    <t>I 144</t>
  </si>
  <si>
    <t>III 12</t>
  </si>
  <si>
    <t>I 145</t>
  </si>
  <si>
    <t>I 146</t>
  </si>
  <si>
    <t>III 415</t>
  </si>
  <si>
    <t>II 754</t>
  </si>
  <si>
    <t>I 235</t>
  </si>
  <si>
    <t>III 110</t>
  </si>
  <si>
    <t>III 416</t>
  </si>
  <si>
    <t>III 417</t>
  </si>
  <si>
    <t>III 924</t>
  </si>
  <si>
    <t>III 135</t>
  </si>
  <si>
    <t>III 121</t>
  </si>
  <si>
    <t>III 418</t>
  </si>
  <si>
    <t>III 122</t>
  </si>
  <si>
    <t>III 733</t>
  </si>
  <si>
    <t>III 927</t>
  </si>
  <si>
    <t>II 177</t>
  </si>
  <si>
    <t>II 694</t>
  </si>
  <si>
    <t>III 734</t>
  </si>
  <si>
    <t>III 668</t>
  </si>
  <si>
    <t>III 120</t>
  </si>
  <si>
    <t>II 331</t>
  </si>
  <si>
    <t>II 673</t>
  </si>
  <si>
    <t>III 136</t>
  </si>
  <si>
    <t>II 420</t>
  </si>
  <si>
    <t>III 419</t>
  </si>
  <si>
    <t>III 763</t>
  </si>
  <si>
    <t>III 319</t>
  </si>
  <si>
    <t>III 14</t>
  </si>
  <si>
    <t>III 677</t>
  </si>
  <si>
    <t>II 329</t>
  </si>
  <si>
    <t>II 674</t>
  </si>
  <si>
    <t>I 236</t>
  </si>
  <si>
    <t>I 185</t>
  </si>
  <si>
    <t>I 70</t>
  </si>
  <si>
    <t>III 132</t>
  </si>
  <si>
    <t>II 580</t>
  </si>
  <si>
    <t>II 357</t>
  </si>
  <si>
    <t>II 581</t>
  </si>
  <si>
    <t>III 949</t>
  </si>
  <si>
    <t>III 126</t>
  </si>
  <si>
    <t>II 150</t>
  </si>
  <si>
    <t>II 891</t>
  </si>
  <si>
    <t>II 330</t>
  </si>
  <si>
    <t>III 420</t>
  </si>
  <si>
    <t>III 645</t>
  </si>
  <si>
    <t>II 421</t>
  </si>
  <si>
    <t>II 695</t>
  </si>
  <si>
    <t>II 892</t>
  </si>
  <si>
    <t>II 27</t>
  </si>
  <si>
    <t>II 807</t>
  </si>
  <si>
    <t>II 574</t>
  </si>
  <si>
    <t>II 79</t>
  </si>
  <si>
    <t>III 882</t>
  </si>
  <si>
    <t>III 310</t>
  </si>
  <si>
    <t>II 696</t>
  </si>
  <si>
    <t>II 893</t>
  </si>
  <si>
    <t>II 422</t>
  </si>
  <si>
    <t>I 189</t>
  </si>
  <si>
    <t>III 283</t>
  </si>
  <si>
    <t>I 237</t>
  </si>
  <si>
    <t>II 894</t>
  </si>
  <si>
    <t>III 421</t>
  </si>
  <si>
    <t>II 808</t>
  </si>
  <si>
    <t>I 188</t>
  </si>
  <si>
    <t>II 582</t>
  </si>
  <si>
    <t>II 681</t>
  </si>
  <si>
    <t>II 196</t>
  </si>
  <si>
    <t>II 423</t>
  </si>
  <si>
    <t>II 648</t>
  </si>
  <si>
    <t>II 675</t>
  </si>
  <si>
    <t>II 700</t>
  </si>
  <si>
    <t>III 127</t>
  </si>
  <si>
    <t>II 575</t>
  </si>
  <si>
    <t>III 894</t>
  </si>
  <si>
    <t>III 128</t>
  </si>
  <si>
    <t>II 649</t>
  </si>
  <si>
    <t>III 895</t>
  </si>
  <si>
    <t>III 950</t>
  </si>
  <si>
    <t>I 182</t>
  </si>
  <si>
    <t>III 675</t>
  </si>
  <si>
    <t>III 671</t>
  </si>
  <si>
    <t>III 550</t>
  </si>
  <si>
    <t>II 682</t>
  </si>
  <si>
    <t>I 184</t>
  </si>
  <si>
    <t>VI 8, III 508</t>
  </si>
  <si>
    <t>III 657</t>
  </si>
  <si>
    <t>III 658</t>
  </si>
  <si>
    <t>III 686</t>
  </si>
  <si>
    <t>III 133</t>
  </si>
  <si>
    <t>III 896</t>
  </si>
  <si>
    <t>I 171</t>
  </si>
  <si>
    <t>II 538</t>
  </si>
  <si>
    <t>I 126</t>
  </si>
  <si>
    <t>III 48</t>
  </si>
  <si>
    <t>I 183</t>
  </si>
  <si>
    <t>II 809</t>
  </si>
  <si>
    <t>III 687</t>
  </si>
  <si>
    <t>III 690</t>
  </si>
  <si>
    <t>III 885</t>
  </si>
  <si>
    <t>III 373</t>
  </si>
  <si>
    <t>II 576</t>
  </si>
  <si>
    <t>III 129</t>
  </si>
  <si>
    <t>III 130</t>
  </si>
  <si>
    <t>III 554</t>
  </si>
  <si>
    <t>III 806</t>
  </si>
  <si>
    <t>II 676</t>
  </si>
  <si>
    <t>II 677</t>
  </si>
  <si>
    <t>III 976</t>
  </si>
  <si>
    <t>III 691</t>
  </si>
  <si>
    <t>II 683</t>
  </si>
  <si>
    <t>III 678</t>
  </si>
  <si>
    <t>III 131</t>
  </si>
  <si>
    <t>III 679</t>
  </si>
  <si>
    <t>II 539</t>
  </si>
  <si>
    <t>III 311</t>
  </si>
  <si>
    <t>I 71</t>
  </si>
  <si>
    <t>I 127</t>
  </si>
  <si>
    <t>II 756</t>
  </si>
  <si>
    <t>III 811</t>
  </si>
  <si>
    <t>II 540</t>
  </si>
  <si>
    <t>II 332</t>
  </si>
  <si>
    <t>III 312</t>
  </si>
  <si>
    <t>II 542</t>
  </si>
  <si>
    <t>II 541</t>
  </si>
  <si>
    <t>III 511</t>
  </si>
  <si>
    <t>I 128</t>
  </si>
  <si>
    <t>II 543</t>
  </si>
  <si>
    <t>III 886</t>
  </si>
  <si>
    <t>III 887</t>
  </si>
  <si>
    <t>II 544</t>
  </si>
  <si>
    <t>IV 71</t>
  </si>
  <si>
    <t>II 751</t>
  </si>
  <si>
    <t>II 752</t>
  </si>
  <si>
    <t>II 192</t>
  </si>
  <si>
    <t>II 585</t>
  </si>
  <si>
    <t>II 684</t>
  </si>
  <si>
    <t>I 215</t>
  </si>
  <si>
    <t>II 545</t>
  </si>
  <si>
    <t>II 755</t>
  </si>
  <si>
    <t>III 736</t>
  </si>
  <si>
    <t>II 757</t>
  </si>
  <si>
    <t>II 818</t>
  </si>
  <si>
    <t>III 116</t>
  </si>
  <si>
    <t>III 659</t>
  </si>
  <si>
    <t>II 678</t>
  </si>
  <si>
    <t>II 763</t>
  </si>
  <si>
    <t>VI 19</t>
  </si>
  <si>
    <t>III 138</t>
  </si>
  <si>
    <t>II 650</t>
  </si>
  <si>
    <t>III 660</t>
  </si>
  <si>
    <t>III 737</t>
  </si>
  <si>
    <t>III 139</t>
  </si>
  <si>
    <t>II 758</t>
  </si>
  <si>
    <t>II 759</t>
  </si>
  <si>
    <t>II 760</t>
  </si>
  <si>
    <t>III 943</t>
  </si>
  <si>
    <t>II 400</t>
  </si>
  <si>
    <t>III 944</t>
  </si>
  <si>
    <t>III 374</t>
  </si>
  <si>
    <t>I 148</t>
  </si>
  <si>
    <t>III 661</t>
  </si>
  <si>
    <t>II 874</t>
  </si>
  <si>
    <t>II 651</t>
  </si>
  <si>
    <t>II 130</t>
  </si>
  <si>
    <t>II 401</t>
  </si>
  <si>
    <t>II 906</t>
  </si>
  <si>
    <t>II 654</t>
  </si>
  <si>
    <t>II 178</t>
  </si>
  <si>
    <t>II 179</t>
  </si>
  <si>
    <t>II 399</t>
  </si>
  <si>
    <t>II 96</t>
  </si>
  <si>
    <t>II 761</t>
  </si>
  <si>
    <t>II 762</t>
  </si>
  <si>
    <t>III 634</t>
  </si>
  <si>
    <t>II 76</t>
  </si>
  <si>
    <t>II 655</t>
  </si>
  <si>
    <t>II 764</t>
  </si>
  <si>
    <t>II 656</t>
  </si>
  <si>
    <t>II 766</t>
  </si>
  <si>
    <t>II 765</t>
  </si>
  <si>
    <t>III 738</t>
  </si>
  <si>
    <t>II 425</t>
  </si>
  <si>
    <t>III 635</t>
  </si>
  <si>
    <t>III 636</t>
  </si>
  <si>
    <t>II 97</t>
  </si>
  <si>
    <t>VII 29</t>
  </si>
  <si>
    <t>III 371</t>
  </si>
  <si>
    <t>II 583</t>
  </si>
  <si>
    <t>III 313</t>
  </si>
  <si>
    <t>II 657</t>
  </si>
  <si>
    <t>III 739</t>
  </si>
  <si>
    <t>III 646</t>
  </si>
  <si>
    <t>III 73</t>
  </si>
  <si>
    <t>III 622</t>
  </si>
  <si>
    <t>III 33</t>
  </si>
  <si>
    <t>II 873</t>
  </si>
  <si>
    <t>III 637</t>
  </si>
  <si>
    <t>III 140</t>
  </si>
  <si>
    <t>III 973</t>
  </si>
  <si>
    <t>III 553</t>
  </si>
  <si>
    <t>III 883</t>
  </si>
  <si>
    <t>III 74</t>
  </si>
  <si>
    <t>III 884</t>
  </si>
  <si>
    <t>III 812</t>
  </si>
  <si>
    <t>III 889</t>
  </si>
  <si>
    <t>III 314</t>
  </si>
  <si>
    <t>III 888</t>
  </si>
  <si>
    <t>III 688</t>
  </si>
  <si>
    <t>II 151</t>
  </si>
  <si>
    <t>II 402</t>
  </si>
  <si>
    <t>III 623</t>
  </si>
  <si>
    <t>III 891</t>
  </si>
  <si>
    <t>II 810</t>
  </si>
  <si>
    <t>III 624</t>
  </si>
  <si>
    <t>III 740</t>
  </si>
  <si>
    <t>III 892</t>
  </si>
  <si>
    <t>II 811</t>
  </si>
  <si>
    <t>VI 10</t>
  </si>
  <si>
    <t>III 638</t>
  </si>
  <si>
    <t>III 639</t>
  </si>
  <si>
    <t>III 680</t>
  </si>
  <si>
    <t>II 690</t>
  </si>
  <si>
    <t>II 647</t>
  </si>
  <si>
    <t>II 652</t>
  </si>
  <si>
    <t>II 875</t>
  </si>
  <si>
    <t>VI 40</t>
  </si>
  <si>
    <t>III 640</t>
  </si>
  <si>
    <t>III 641</t>
  </si>
  <si>
    <t>III 890</t>
  </si>
  <si>
    <t>II 753</t>
  </si>
  <si>
    <t>III 813</t>
  </si>
  <si>
    <t>III 730</t>
  </si>
  <si>
    <t>III 893</t>
  </si>
  <si>
    <t>II 701</t>
  </si>
  <si>
    <t>I 280</t>
  </si>
  <si>
    <t>IV 50</t>
  </si>
  <si>
    <t>II 584</t>
  </si>
  <si>
    <t>III 727</t>
  </si>
  <si>
    <t>III 735</t>
  </si>
  <si>
    <t>III 974</t>
  </si>
  <si>
    <t>III 975</t>
  </si>
  <si>
    <t>III 689</t>
  </si>
  <si>
    <t>III 123</t>
  </si>
  <si>
    <t>III 124</t>
  </si>
  <si>
    <t>III 728</t>
  </si>
  <si>
    <t>VI 11</t>
  </si>
  <si>
    <t>II 195</t>
  </si>
  <si>
    <t>VI 12</t>
  </si>
  <si>
    <t>IV 57</t>
  </si>
  <si>
    <t>I 147</t>
  </si>
  <si>
    <t>I 45</t>
  </si>
  <si>
    <t>III 945</t>
  </si>
  <si>
    <t>III 951</t>
  </si>
  <si>
    <t>II 812</t>
  </si>
  <si>
    <t>II 767</t>
  </si>
  <si>
    <t>I 149</t>
  </si>
  <si>
    <t>I 46</t>
  </si>
  <si>
    <t>I 48</t>
  </si>
  <si>
    <t>IV 11</t>
  </si>
  <si>
    <t>III 137</t>
  </si>
  <si>
    <t>II 901</t>
  </si>
  <si>
    <t>I 44</t>
  </si>
  <si>
    <t>VI 41</t>
  </si>
  <si>
    <t>II 587</t>
  </si>
  <si>
    <t>III 741</t>
  </si>
  <si>
    <t>I 150</t>
  </si>
  <si>
    <t>II 586</t>
  </si>
  <si>
    <t>VI 13</t>
  </si>
  <si>
    <t>III 957</t>
  </si>
  <si>
    <t>III 958</t>
  </si>
  <si>
    <t>VIII 53</t>
  </si>
  <si>
    <t>V 10, V 11, V 12, IV 41</t>
  </si>
  <si>
    <t>II 199</t>
  </si>
  <si>
    <t>VII 7</t>
  </si>
  <si>
    <t>I 49</t>
  </si>
  <si>
    <t>V 9</t>
  </si>
  <si>
    <t>II 200</t>
  </si>
  <si>
    <t>V 13</t>
  </si>
  <si>
    <t>II 198</t>
  </si>
  <si>
    <t>IV 37</t>
  </si>
  <si>
    <t>II 197</t>
  </si>
  <si>
    <t>III 555</t>
  </si>
  <si>
    <t>IV 12</t>
  </si>
  <si>
    <t>II 902</t>
  </si>
  <si>
    <t>VIII 54</t>
  </si>
  <si>
    <t>VII 30</t>
  </si>
  <si>
    <t>II 201</t>
  </si>
  <si>
    <t>VII 31</t>
  </si>
  <si>
    <t>VIII 55</t>
  </si>
  <si>
    <t>VIII 15</t>
  </si>
  <si>
    <t>I 50</t>
  </si>
  <si>
    <t>II 204</t>
  </si>
  <si>
    <t>VIII 72</t>
  </si>
  <si>
    <t>I 51</t>
  </si>
  <si>
    <t>II 205</t>
  </si>
  <si>
    <t>VI 23</t>
  </si>
  <si>
    <t>II 907</t>
  </si>
  <si>
    <t>VIII 14</t>
  </si>
  <si>
    <t>VIII 12</t>
  </si>
  <si>
    <t>VI 15</t>
  </si>
  <si>
    <t>I 47</t>
  </si>
  <si>
    <t>III 143</t>
  </si>
  <si>
    <t>VIII 13</t>
  </si>
  <si>
    <t>III 742</t>
  </si>
  <si>
    <t>VII 19</t>
  </si>
  <si>
    <t>VII 62</t>
  </si>
  <si>
    <t>IV 14</t>
  </si>
  <si>
    <t>III 743</t>
  </si>
  <si>
    <t>VIII 81</t>
  </si>
  <si>
    <t>VIII 21</t>
  </si>
  <si>
    <t>VI 14</t>
  </si>
  <si>
    <t>VI 38</t>
  </si>
  <si>
    <t>III 744</t>
  </si>
  <si>
    <t>IV 51</t>
  </si>
  <si>
    <t>VII 18</t>
  </si>
  <si>
    <t>II 878</t>
  </si>
  <si>
    <t>IV 73</t>
  </si>
  <si>
    <t>VIII 73</t>
  </si>
  <si>
    <t>VII 9</t>
  </si>
  <si>
    <t>VIII 16</t>
  </si>
  <si>
    <t>VIII 18</t>
  </si>
  <si>
    <t>VI 16</t>
  </si>
  <si>
    <t>VIII 19</t>
  </si>
  <si>
    <t>II 202</t>
  </si>
  <si>
    <t>III 144</t>
  </si>
  <si>
    <t>VII 59</t>
  </si>
  <si>
    <t>VIII 86</t>
  </si>
  <si>
    <t>VIII 22</t>
  </si>
  <si>
    <t>VIII 20</t>
  </si>
  <si>
    <t>IV 72</t>
  </si>
  <si>
    <t>IV 13</t>
  </si>
  <si>
    <t>VIII 83</t>
  </si>
  <si>
    <t>IV 16</t>
  </si>
  <si>
    <t>III 141</t>
  </si>
  <si>
    <t>VIII 56</t>
  </si>
  <si>
    <t>III 142</t>
  </si>
  <si>
    <t>I 103</t>
  </si>
  <si>
    <t>VIII 17</t>
  </si>
  <si>
    <t>VI 42</t>
  </si>
  <si>
    <t>VII 8</t>
  </si>
  <si>
    <t>IV 76</t>
  </si>
  <si>
    <t>VIII 23</t>
  </si>
  <si>
    <t>III 219</t>
  </si>
  <si>
    <t>V 15</t>
  </si>
  <si>
    <t>II 426</t>
  </si>
  <si>
    <t>II 427</t>
  </si>
  <si>
    <t>II 206</t>
  </si>
  <si>
    <t>VIII 82</t>
  </si>
  <si>
    <t>VIII 76</t>
  </si>
  <si>
    <t>V 14</t>
  </si>
  <si>
    <t>VIII 58</t>
  </si>
  <si>
    <t>V 37</t>
  </si>
  <si>
    <t>I 52</t>
  </si>
  <si>
    <t>I 192</t>
  </si>
  <si>
    <t>IV 1</t>
  </si>
  <si>
    <t>II 203</t>
  </si>
  <si>
    <t>IV 74</t>
  </si>
  <si>
    <t>VIII 57</t>
  </si>
  <si>
    <t>VIII 74</t>
  </si>
  <si>
    <t>III 209</t>
  </si>
  <si>
    <t>VI 24</t>
  </si>
  <si>
    <t>III 858</t>
  </si>
  <si>
    <t>III 145</t>
  </si>
  <si>
    <t>VII 51</t>
  </si>
  <si>
    <t>VII 50</t>
  </si>
  <si>
    <t>III 936</t>
  </si>
  <si>
    <t>III 859</t>
  </si>
  <si>
    <t>VII 52</t>
  </si>
  <si>
    <t>VI 32</t>
  </si>
  <si>
    <t>VII 40</t>
  </si>
  <si>
    <t>IV 75</t>
  </si>
  <si>
    <t>II 261</t>
  </si>
  <si>
    <t>III 696</t>
  </si>
  <si>
    <t>VII 66</t>
  </si>
  <si>
    <t>III 452</t>
  </si>
  <si>
    <t>VIII 67</t>
  </si>
  <si>
    <t>III 930</t>
  </si>
  <si>
    <t>III 692</t>
  </si>
  <si>
    <t>II 247</t>
  </si>
  <si>
    <t>II 595</t>
  </si>
  <si>
    <t>II 1</t>
  </si>
  <si>
    <t>III 693</t>
  </si>
  <si>
    <t>III 165</t>
  </si>
  <si>
    <t>II 599</t>
  </si>
  <si>
    <t>VII 53</t>
  </si>
  <si>
    <t>II 207</t>
  </si>
  <si>
    <t>II 897</t>
  </si>
  <si>
    <t>III 862</t>
  </si>
  <si>
    <t>III 931</t>
  </si>
  <si>
    <t>II 606</t>
  </si>
  <si>
    <t>VIII 63</t>
  </si>
  <si>
    <t>VIII 75</t>
  </si>
  <si>
    <t>VI 29</t>
  </si>
  <si>
    <t>III 932</t>
  </si>
  <si>
    <t>III 863</t>
  </si>
  <si>
    <t>III 864</t>
  </si>
  <si>
    <t>III 933</t>
  </si>
  <si>
    <t>III 458</t>
  </si>
  <si>
    <t>II 248</t>
  </si>
  <si>
    <t>II 469</t>
  </si>
  <si>
    <t>VII 41</t>
  </si>
  <si>
    <t>IV 31</t>
  </si>
  <si>
    <t>II 476</t>
  </si>
  <si>
    <t>II 428</t>
  </si>
  <si>
    <t>III 180</t>
  </si>
  <si>
    <t>III 237</t>
  </si>
  <si>
    <t>I 53</t>
  </si>
  <si>
    <t>II 233</t>
  </si>
  <si>
    <t>III 166</t>
  </si>
  <si>
    <t>II 234</t>
  </si>
  <si>
    <t>II 705</t>
  </si>
  <si>
    <t>II 442</t>
  </si>
  <si>
    <t>II 477</t>
  </si>
  <si>
    <t>II 598</t>
  </si>
  <si>
    <t>VIII 77</t>
  </si>
  <si>
    <t>III 216</t>
  </si>
  <si>
    <t>III 217</t>
  </si>
  <si>
    <t>II 443</t>
  </si>
  <si>
    <t>II 702</t>
  </si>
  <si>
    <t>II 453</t>
  </si>
  <si>
    <t>VII 43</t>
  </si>
  <si>
    <t>III 745</t>
  </si>
  <si>
    <t>III 576</t>
  </si>
  <si>
    <t>III 465</t>
  </si>
  <si>
    <t>III 243</t>
  </si>
  <si>
    <t>II 450</t>
  </si>
  <si>
    <t>II 451</t>
  </si>
  <si>
    <t>II 251</t>
  </si>
  <si>
    <t>II 249</t>
  </si>
  <si>
    <t>II 212</t>
  </si>
  <si>
    <t>II 590</t>
  </si>
  <si>
    <t>III 210</t>
  </si>
  <si>
    <t>III 211</t>
  </si>
  <si>
    <t>III 202</t>
  </si>
  <si>
    <t>III 230</t>
  </si>
  <si>
    <t>I 55</t>
  </si>
  <si>
    <t>III 558</t>
  </si>
  <si>
    <t>III 203</t>
  </si>
  <si>
    <t>III 184</t>
  </si>
  <si>
    <t>II 2</t>
  </si>
  <si>
    <t>VII 44</t>
  </si>
  <si>
    <t>III 220</t>
  </si>
  <si>
    <t>III 470</t>
  </si>
  <si>
    <t>II 429</t>
  </si>
  <si>
    <t>II 706</t>
  </si>
  <si>
    <t>II 430</t>
  </si>
  <si>
    <t>III 181</t>
  </si>
  <si>
    <t>II 235</t>
  </si>
  <si>
    <t>III 221</t>
  </si>
  <si>
    <t>II 467</t>
  </si>
  <si>
    <t>III 222</t>
  </si>
  <si>
    <t>III 185</t>
  </si>
  <si>
    <t>III 238</t>
  </si>
  <si>
    <t>II 454</t>
  </si>
  <si>
    <t>III 182</t>
  </si>
  <si>
    <t>II 236</t>
  </si>
  <si>
    <t>III 186</t>
  </si>
  <si>
    <t>II 431</t>
  </si>
  <si>
    <t>I 104</t>
  </si>
  <si>
    <t>II 439</t>
  </si>
  <si>
    <t>III 435</t>
  </si>
  <si>
    <t>II 250</t>
  </si>
  <si>
    <t>II 440</t>
  </si>
  <si>
    <t>II 441</t>
  </si>
  <si>
    <t>IV 52</t>
  </si>
  <si>
    <t>II 600</t>
  </si>
  <si>
    <t>III 473</t>
  </si>
  <si>
    <t>III 218</t>
  </si>
  <si>
    <t>III 212</t>
  </si>
  <si>
    <t>IV 18</t>
  </si>
  <si>
    <t>III 438</t>
  </si>
  <si>
    <t>III 226</t>
  </si>
  <si>
    <t>II 226</t>
  </si>
  <si>
    <t>III 860</t>
  </si>
  <si>
    <t>II 242</t>
  </si>
  <si>
    <t>III 426</t>
  </si>
  <si>
    <t>VIII 69</t>
  </si>
  <si>
    <t>III 213</t>
  </si>
  <si>
    <t>III 187</t>
  </si>
  <si>
    <t>III 188</t>
  </si>
  <si>
    <t>III 579</t>
  </si>
  <si>
    <t>VIII 62</t>
  </si>
  <si>
    <t>II 244</t>
  </si>
  <si>
    <t>III 146</t>
  </si>
  <si>
    <t>II 432</t>
  </si>
  <si>
    <t>I 110</t>
  </si>
  <si>
    <t>III 189</t>
  </si>
  <si>
    <t>I 111</t>
  </si>
  <si>
    <t>II 208</t>
  </si>
  <si>
    <t>II 255</t>
  </si>
  <si>
    <t>II 256</t>
  </si>
  <si>
    <t>III 427</t>
  </si>
  <si>
    <t>III 437</t>
  </si>
  <si>
    <t>II 213</t>
  </si>
  <si>
    <t>III 854</t>
  </si>
  <si>
    <t>VII 55</t>
  </si>
  <si>
    <t>II 230</t>
  </si>
  <si>
    <t>II 231</t>
  </si>
  <si>
    <t>II 851</t>
  </si>
  <si>
    <t>III 231</t>
  </si>
  <si>
    <t>III 232</t>
  </si>
  <si>
    <t>III 233</t>
  </si>
  <si>
    <t>II 468</t>
  </si>
  <si>
    <t>VI 30</t>
  </si>
  <si>
    <t>VII 56</t>
  </si>
  <si>
    <t>III 466</t>
  </si>
  <si>
    <t>III 867</t>
  </si>
  <si>
    <t>II 232</t>
  </si>
  <si>
    <t>II 10</t>
  </si>
  <si>
    <t>III 855</t>
  </si>
  <si>
    <t>III 856</t>
  </si>
  <si>
    <t>III 984</t>
  </si>
  <si>
    <t>II 240</t>
  </si>
  <si>
    <t>III 436</t>
  </si>
  <si>
    <t>II 227</t>
  </si>
  <si>
    <t>VIII 29</t>
  </si>
  <si>
    <t>III 190</t>
  </si>
  <si>
    <t>I 179</t>
  </si>
  <si>
    <t>M标识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</si>
</sst>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"/>
  </numFmts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0"/>
      <name val="宋体"/>
      <family val="3"/>
      <charset val="134"/>
    </font>
    <font>
      <b/>
      <sz val="10"/>
      <name val="Arial"/>
      <family val="2"/>
    </font>
    <font>
      <b/>
      <sz val="18"/>
      <color theme="1"/>
      <name val="等线"/>
      <family val="3"/>
      <charset val="134"/>
      <scheme val="minor"/>
    </font>
    <font>
      <b/>
      <sz val="12"/>
      <color rgb="FFFFFFFF"/>
      <name val="Times New Roman"/>
      <family val="1"/>
    </font>
    <font>
      <b/>
      <sz val="10"/>
      <color rgb="FFFFFFFF"/>
      <name val="Times New Roman"/>
      <family val="1"/>
    </font>
    <font>
      <sz val="10"/>
      <color rgb="FFFFFFFF"/>
      <name val="Times New Roman"/>
      <family val="1"/>
    </font>
    <font>
      <i/>
      <sz val="10"/>
      <color rgb="FFFFFFFF"/>
      <name val="Times New Roman"/>
      <family val="1"/>
    </font>
    <font>
      <sz val="12"/>
      <color rgb="FFFFFFFF"/>
      <name val="Times New Roman"/>
      <family val="1"/>
    </font>
    <font>
      <b/>
      <sz val="16"/>
      <color theme="1"/>
      <name val="等线"/>
      <family val="3"/>
      <charset val="134"/>
      <scheme val="minor"/>
    </font>
    <font>
      <b/>
      <sz val="22"/>
      <color theme="1"/>
      <name val="等线"/>
      <family val="3"/>
      <charset val="134"/>
      <scheme val="minor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b/>
      <sz val="20"/>
      <color theme="1"/>
      <name val="等线"/>
      <family val="3"/>
      <charset val="134"/>
      <scheme val="minor"/>
    </font>
    <font>
      <u/>
      <sz val="10"/>
      <color rgb="FFFFFFFF"/>
      <name val="Times New Roman"/>
      <family val="1"/>
    </font>
    <font>
      <b/>
      <sz val="11"/>
      <color theme="1"/>
      <name val="等线"/>
      <family val="3"/>
      <charset val="134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606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4C4C4C"/>
      </bottom>
      <diagonal/>
    </border>
    <border>
      <left style="thin">
        <color rgb="FF4C4C4C"/>
      </left>
      <right style="thin">
        <color rgb="FF000000"/>
      </right>
      <top style="thin">
        <color rgb="FF4C4C4C"/>
      </top>
      <bottom style="thin">
        <color rgb="FF000000"/>
      </bottom>
      <diagonal/>
    </border>
    <border>
      <left style="thin">
        <color rgb="FF000000"/>
      </left>
      <right style="thin">
        <color rgb="FF4C4C4C"/>
      </right>
      <top style="thin">
        <color rgb="FF4C4C4C"/>
      </top>
      <bottom style="thin">
        <color rgb="FF000000"/>
      </bottom>
      <diagonal/>
    </border>
    <border>
      <left style="thin">
        <color rgb="FF4C4C4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4C4C4C"/>
      </right>
      <top style="thin">
        <color rgb="FF000000"/>
      </top>
      <bottom style="thin">
        <color rgb="FF000000"/>
      </bottom>
      <diagonal/>
    </border>
    <border>
      <left style="thin">
        <color rgb="FF4C4C4C"/>
      </left>
      <right style="thin">
        <color rgb="FF000000"/>
      </right>
      <top style="thin">
        <color rgb="FF000000"/>
      </top>
      <bottom style="thin">
        <color rgb="FF4C4C4C"/>
      </bottom>
      <diagonal/>
    </border>
    <border>
      <left style="thin">
        <color rgb="FF000000"/>
      </left>
      <right style="thin">
        <color rgb="FF4C4C4C"/>
      </right>
      <top style="thin">
        <color rgb="FF000000"/>
      </top>
      <bottom style="thin">
        <color rgb="FF4C4C4C"/>
      </bottom>
      <diagonal/>
    </border>
    <border>
      <left style="thin">
        <color rgb="FF000000"/>
      </left>
      <right style="thin">
        <color rgb="FF000000"/>
      </right>
      <top style="thin">
        <color rgb="FF4C4C4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4C4C4C"/>
      </bottom>
      <diagonal/>
    </border>
    <border>
      <left/>
      <right/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60">
    <xf numFmtId="0" fontId="0" fillId="0" borderId="0" xfId="0">
      <alignment vertical="center"/>
    </xf>
    <xf numFmtId="0" fontId="0" fillId="0" borderId="0" xfId="1" applyFont="1"/>
    <xf numFmtId="49" fontId="4" fillId="0" borderId="1" xfId="1" applyNumberFormat="1" applyFont="1" applyBorder="1" applyAlignment="1">
      <alignment horizontal="center"/>
    </xf>
    <xf numFmtId="1" fontId="4" fillId="0" borderId="1" xfId="1" applyNumberFormat="1" applyFont="1" applyBorder="1" applyAlignment="1">
      <alignment horizontal="center"/>
    </xf>
    <xf numFmtId="1" fontId="5" fillId="0" borderId="1" xfId="1" applyNumberFormat="1" applyFont="1" applyBorder="1" applyAlignment="1">
      <alignment horizontal="center"/>
    </xf>
    <xf numFmtId="176" fontId="4" fillId="0" borderId="1" xfId="1" applyNumberFormat="1" applyFont="1" applyBorder="1" applyAlignment="1">
      <alignment horizontal="center"/>
    </xf>
    <xf numFmtId="176" fontId="5" fillId="0" borderId="1" xfId="1" applyNumberFormat="1" applyFont="1" applyBorder="1" applyAlignment="1">
      <alignment horizontal="right"/>
    </xf>
    <xf numFmtId="176" fontId="5" fillId="0" borderId="1" xfId="1" applyNumberFormat="1" applyFont="1" applyBorder="1" applyAlignment="1">
      <alignment horizontal="center"/>
    </xf>
    <xf numFmtId="0" fontId="1" fillId="0" borderId="0" xfId="1"/>
    <xf numFmtId="0" fontId="7" fillId="2" borderId="3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vertical="center" wrapText="1"/>
    </xf>
    <xf numFmtId="0" fontId="8" fillId="2" borderId="6" xfId="1" applyFont="1" applyFill="1" applyBorder="1" applyAlignment="1">
      <alignment vertical="center" wrapText="1"/>
    </xf>
    <xf numFmtId="0" fontId="8" fillId="2" borderId="7" xfId="1" applyFont="1" applyFill="1" applyBorder="1" applyAlignment="1">
      <alignment vertical="center" wrapText="1"/>
    </xf>
    <xf numFmtId="0" fontId="8" fillId="2" borderId="8" xfId="1" applyFont="1" applyFill="1" applyBorder="1" applyAlignment="1">
      <alignment vertical="center" wrapText="1"/>
    </xf>
    <xf numFmtId="0" fontId="8" fillId="2" borderId="3" xfId="1" applyFont="1" applyFill="1" applyBorder="1" applyAlignment="1">
      <alignment horizontal="center" vertical="center" wrapText="1"/>
    </xf>
    <xf numFmtId="0" fontId="8" fillId="2" borderId="9" xfId="1" applyFont="1" applyFill="1" applyBorder="1" applyAlignment="1">
      <alignment horizontal="center" vertical="center" wrapText="1"/>
    </xf>
    <xf numFmtId="0" fontId="9" fillId="2" borderId="5" xfId="1" applyFont="1" applyFill="1" applyBorder="1" applyAlignment="1">
      <alignment horizontal="center" vertical="center" wrapText="1"/>
    </xf>
    <xf numFmtId="0" fontId="9" fillId="2" borderId="10" xfId="1" applyFont="1" applyFill="1" applyBorder="1" applyAlignment="1">
      <alignment vertical="center" wrapText="1"/>
    </xf>
    <xf numFmtId="0" fontId="9" fillId="2" borderId="10" xfId="1" applyFont="1" applyFill="1" applyBorder="1" applyAlignment="1">
      <alignment horizontal="right" vertical="center" wrapText="1"/>
    </xf>
    <xf numFmtId="0" fontId="9" fillId="2" borderId="6" xfId="1" applyFont="1" applyFill="1" applyBorder="1" applyAlignment="1">
      <alignment horizontal="right" vertical="center" wrapText="1"/>
    </xf>
    <xf numFmtId="0" fontId="11" fillId="2" borderId="10" xfId="1" applyFont="1" applyFill="1" applyBorder="1" applyAlignment="1">
      <alignment horizontal="right" vertical="center" wrapText="1"/>
    </xf>
    <xf numFmtId="0" fontId="11" fillId="2" borderId="6" xfId="1" applyFont="1" applyFill="1" applyBorder="1" applyAlignment="1">
      <alignment horizontal="right" vertical="center" wrapText="1"/>
    </xf>
    <xf numFmtId="0" fontId="9" fillId="2" borderId="7" xfId="1" applyFont="1" applyFill="1" applyBorder="1" applyAlignment="1">
      <alignment horizontal="right" vertical="center" wrapText="1"/>
    </xf>
    <xf numFmtId="0" fontId="8" fillId="2" borderId="11" xfId="1" applyFont="1" applyFill="1" applyBorder="1" applyAlignment="1">
      <alignment vertical="center" wrapText="1"/>
    </xf>
    <xf numFmtId="0" fontId="8" fillId="2" borderId="11" xfId="1" applyFont="1" applyFill="1" applyBorder="1" applyAlignment="1">
      <alignment horizontal="right" vertical="center" wrapText="1"/>
    </xf>
    <xf numFmtId="0" fontId="9" fillId="2" borderId="11" xfId="1" applyFont="1" applyFill="1" applyBorder="1" applyAlignment="1">
      <alignment horizontal="right" vertical="center" wrapText="1"/>
    </xf>
    <xf numFmtId="0" fontId="8" fillId="2" borderId="8" xfId="1" applyFont="1" applyFill="1" applyBorder="1" applyAlignment="1">
      <alignment horizontal="right" vertical="center" wrapText="1"/>
    </xf>
    <xf numFmtId="0" fontId="14" fillId="2" borderId="13" xfId="1" applyFont="1" applyFill="1" applyBorder="1" applyAlignment="1">
      <alignment horizontal="center" vertical="center"/>
    </xf>
    <xf numFmtId="0" fontId="14" fillId="2" borderId="14" xfId="1" applyFont="1" applyFill="1" applyBorder="1" applyAlignment="1">
      <alignment horizontal="center" vertical="center"/>
    </xf>
    <xf numFmtId="0" fontId="11" fillId="2" borderId="14" xfId="1" applyFont="1" applyFill="1" applyBorder="1" applyAlignment="1">
      <alignment vertical="center"/>
    </xf>
    <xf numFmtId="0" fontId="15" fillId="2" borderId="15" xfId="1" applyFont="1" applyFill="1" applyBorder="1" applyAlignment="1">
      <alignment horizontal="center" vertical="center"/>
    </xf>
    <xf numFmtId="0" fontId="15" fillId="2" borderId="16" xfId="1" applyFont="1" applyFill="1" applyBorder="1" applyAlignment="1">
      <alignment horizontal="right" vertical="center"/>
    </xf>
    <xf numFmtId="0" fontId="11" fillId="2" borderId="16" xfId="1" applyFont="1" applyFill="1" applyBorder="1" applyAlignment="1">
      <alignment vertical="center"/>
    </xf>
    <xf numFmtId="0" fontId="15" fillId="2" borderId="16" xfId="1" applyFont="1" applyFill="1" applyBorder="1" applyAlignment="1">
      <alignment horizontal="center" vertical="center"/>
    </xf>
    <xf numFmtId="0" fontId="9" fillId="2" borderId="5" xfId="1" applyFont="1" applyFill="1" applyBorder="1" applyAlignment="1">
      <alignment vertical="center" wrapText="1"/>
    </xf>
    <xf numFmtId="0" fontId="9" fillId="2" borderId="6" xfId="1" applyFont="1" applyFill="1" applyBorder="1" applyAlignment="1">
      <alignment vertical="center" wrapText="1"/>
    </xf>
    <xf numFmtId="0" fontId="9" fillId="2" borderId="7" xfId="1" applyFont="1" applyFill="1" applyBorder="1" applyAlignment="1">
      <alignment vertical="center" wrapText="1"/>
    </xf>
    <xf numFmtId="0" fontId="9" fillId="2" borderId="8" xfId="1" applyFont="1" applyFill="1" applyBorder="1" applyAlignment="1">
      <alignment vertical="center" wrapText="1"/>
    </xf>
    <xf numFmtId="0" fontId="8" fillId="2" borderId="3" xfId="1" applyFont="1" applyFill="1" applyBorder="1" applyAlignment="1">
      <alignment vertical="center" wrapText="1"/>
    </xf>
    <xf numFmtId="0" fontId="8" fillId="2" borderId="9" xfId="1" applyFont="1" applyFill="1" applyBorder="1" applyAlignment="1">
      <alignment vertical="center" wrapText="1"/>
    </xf>
    <xf numFmtId="0" fontId="9" fillId="2" borderId="11" xfId="1" applyFont="1" applyFill="1" applyBorder="1" applyAlignment="1">
      <alignment vertical="center" wrapText="1"/>
    </xf>
    <xf numFmtId="0" fontId="8" fillId="2" borderId="4" xfId="1" applyFont="1" applyFill="1" applyBorder="1" applyAlignment="1">
      <alignment vertical="center" wrapText="1"/>
    </xf>
    <xf numFmtId="0" fontId="18" fillId="0" borderId="0" xfId="1" applyFont="1"/>
    <xf numFmtId="0" fontId="0" fillId="0" borderId="0" xfId="0" applyAlignment="1"/>
    <xf numFmtId="0" fontId="0" fillId="0" borderId="1" xfId="1" applyFont="1" applyBorder="1"/>
    <xf numFmtId="0" fontId="5" fillId="0" borderId="1" xfId="0" applyFont="1" applyFill="1" applyBorder="1" applyAlignment="1">
      <alignment horizontal="center" vertical="center"/>
    </xf>
    <xf numFmtId="1" fontId="19" fillId="0" borderId="0" xfId="0" applyNumberFormat="1" applyFont="1" applyFill="1" applyBorder="1" applyAlignment="1">
      <alignment horizontal="center" vertical="center"/>
    </xf>
    <xf numFmtId="0" fontId="19" fillId="0" borderId="0" xfId="0" applyFont="1" applyBorder="1" applyAlignment="1">
      <alignment horizontal="center"/>
    </xf>
    <xf numFmtId="49" fontId="19" fillId="0" borderId="0" xfId="0" applyNumberFormat="1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19" fillId="0" borderId="0" xfId="0" applyFont="1" applyBorder="1" applyAlignment="1"/>
    <xf numFmtId="0" fontId="19" fillId="0" borderId="0" xfId="0" applyFont="1" applyFill="1" applyBorder="1" applyAlignment="1">
      <alignment horizontal="center"/>
    </xf>
    <xf numFmtId="0" fontId="13" fillId="0" borderId="2" xfId="1" applyFont="1" applyBorder="1" applyAlignment="1">
      <alignment horizontal="center"/>
    </xf>
    <xf numFmtId="0" fontId="1" fillId="0" borderId="2" xfId="1" applyBorder="1" applyAlignment="1">
      <alignment horizontal="center"/>
    </xf>
    <xf numFmtId="0" fontId="1" fillId="0" borderId="0" xfId="1" applyAlignment="1">
      <alignment horizontal="center"/>
    </xf>
    <xf numFmtId="0" fontId="6" fillId="0" borderId="2" xfId="1" applyFont="1" applyBorder="1" applyAlignment="1">
      <alignment horizontal="center" wrapText="1"/>
    </xf>
    <xf numFmtId="0" fontId="12" fillId="0" borderId="2" xfId="1" applyFont="1" applyBorder="1" applyAlignment="1">
      <alignment horizontal="center"/>
    </xf>
    <xf numFmtId="0" fontId="13" fillId="0" borderId="12" xfId="1" applyFont="1" applyBorder="1" applyAlignment="1">
      <alignment horizontal="center"/>
    </xf>
    <xf numFmtId="0" fontId="16" fillId="0" borderId="2" xfId="1" applyFont="1" applyBorder="1" applyAlignment="1">
      <alignment horizontal="center"/>
    </xf>
  </cellXfs>
  <cellStyles count="2">
    <cellStyle name="常规" xfId="0" builtinId="0"/>
    <cellStyle name="常规 5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227"/>
  <sheetViews>
    <sheetView tabSelected="1" zoomScale="85" zoomScaleNormal="85" workbookViewId="0">
      <selection activeCell="C6" sqref="C6"/>
    </sheetView>
  </sheetViews>
  <sheetFormatPr defaultRowHeight="14.25" x14ac:dyDescent="0.2"/>
  <cols>
    <col min="1" max="1" width="9" style="8"/>
    <col min="2" max="3" width="8.625" style="8" customWidth="1"/>
    <col min="4" max="4" width="6.125" style="8" customWidth="1"/>
    <col min="5" max="5" width="4.25" style="8" customWidth="1"/>
    <col min="6" max="6" width="17.875" style="48" bestFit="1" customWidth="1"/>
    <col min="7" max="7" width="11.5" style="8" customWidth="1"/>
    <col min="8" max="8" width="16.75" style="8" customWidth="1"/>
    <col min="9" max="9" width="8.625" style="8" customWidth="1"/>
    <col min="10" max="10" width="10.625" style="8" customWidth="1"/>
    <col min="11" max="13" width="9" style="8"/>
    <col min="14" max="15" width="11.75" style="8" customWidth="1"/>
    <col min="16" max="17" width="11.875" style="8" customWidth="1"/>
    <col min="18" max="18" width="10.75" style="8" customWidth="1"/>
    <col min="19" max="19" width="13" style="8" customWidth="1"/>
    <col min="20" max="20" width="9" style="8"/>
    <col min="21" max="21" width="20.375" style="8" customWidth="1"/>
    <col min="22" max="24" width="9" style="8"/>
    <col min="25" max="25" width="53.875" style="8" customWidth="1"/>
    <col min="26" max="26" width="27" style="8" customWidth="1"/>
    <col min="27" max="16384" width="9" style="8"/>
  </cols>
  <sheetData>
    <row r="1" spans="1:26" x14ac:dyDescent="0.2">
      <c r="A1" s="45" t="s">
        <v>0</v>
      </c>
      <c r="B1" s="2" t="s">
        <v>1</v>
      </c>
      <c r="C1" s="2" t="s">
        <v>58449</v>
      </c>
      <c r="D1" s="2" t="s">
        <v>2</v>
      </c>
      <c r="E1" s="3" t="s">
        <v>3</v>
      </c>
      <c r="F1" s="46" t="s">
        <v>55974</v>
      </c>
      <c r="G1" s="3" t="s">
        <v>55860</v>
      </c>
      <c r="H1" s="3" t="s">
        <v>4</v>
      </c>
      <c r="I1" s="2" t="s">
        <v>55859</v>
      </c>
      <c r="J1" s="3" t="s">
        <v>55858</v>
      </c>
      <c r="K1" s="3" t="s">
        <v>5</v>
      </c>
      <c r="L1" s="4" t="s">
        <v>6</v>
      </c>
      <c r="M1" s="4" t="s">
        <v>7</v>
      </c>
      <c r="N1" s="3" t="s">
        <v>55365</v>
      </c>
      <c r="O1" s="3" t="s">
        <v>55366</v>
      </c>
      <c r="P1" s="3" t="s">
        <v>8</v>
      </c>
      <c r="Q1" s="3" t="s">
        <v>9</v>
      </c>
      <c r="R1" s="5" t="s">
        <v>10</v>
      </c>
      <c r="S1" s="6" t="s">
        <v>11</v>
      </c>
      <c r="T1" s="7" t="s">
        <v>12</v>
      </c>
      <c r="U1" s="5" t="s">
        <v>13</v>
      </c>
      <c r="V1" s="7" t="s">
        <v>14</v>
      </c>
      <c r="W1" s="7" t="s">
        <v>15</v>
      </c>
      <c r="X1" s="3" t="s">
        <v>16</v>
      </c>
      <c r="Y1" s="3" t="s">
        <v>17</v>
      </c>
      <c r="Z1" s="3" t="s">
        <v>18</v>
      </c>
    </row>
    <row r="2" spans="1:26" x14ac:dyDescent="0.2">
      <c r="A2" s="8">
        <v>1</v>
      </c>
      <c r="B2" s="8" t="s">
        <v>19</v>
      </c>
      <c r="C2" s="8" t="s">
        <v>55969</v>
      </c>
      <c r="F2" s="47"/>
      <c r="G2" s="8">
        <v>18</v>
      </c>
      <c r="H2" s="8" t="s">
        <v>21</v>
      </c>
      <c r="I2" s="8" t="s">
        <v>22</v>
      </c>
      <c r="J2" s="8" t="s">
        <v>22</v>
      </c>
      <c r="K2" s="8" t="s">
        <v>23</v>
      </c>
      <c r="L2" s="8" t="s">
        <v>24</v>
      </c>
      <c r="M2" s="8" t="s">
        <v>25</v>
      </c>
      <c r="N2" s="8" t="s">
        <v>26</v>
      </c>
      <c r="O2" s="8">
        <f>0+7/60+15.9/3600</f>
        <v>0.12108333333333333</v>
      </c>
      <c r="P2" s="8" t="s">
        <v>27</v>
      </c>
      <c r="Q2" s="8">
        <f>+(27+42/60+32/3600)</f>
        <v>27.70888888888889</v>
      </c>
      <c r="R2" s="8">
        <v>12.9</v>
      </c>
      <c r="S2" s="8">
        <v>13.7</v>
      </c>
      <c r="T2" s="8">
        <v>0.8</v>
      </c>
      <c r="U2" s="8">
        <v>13.5</v>
      </c>
      <c r="V2" s="8">
        <v>1.7</v>
      </c>
      <c r="W2" s="8">
        <v>1.2</v>
      </c>
      <c r="X2" s="8">
        <v>120</v>
      </c>
      <c r="Y2" s="8" t="s">
        <v>28</v>
      </c>
      <c r="Z2" s="8" t="s">
        <v>29</v>
      </c>
    </row>
    <row r="3" spans="1:26" x14ac:dyDescent="0.2">
      <c r="A3" s="8">
        <v>2</v>
      </c>
      <c r="B3" s="8" t="s">
        <v>30</v>
      </c>
      <c r="C3" s="8" t="s">
        <v>30</v>
      </c>
      <c r="F3" s="47"/>
      <c r="G3" s="8">
        <v>18</v>
      </c>
      <c r="H3" s="8" t="s">
        <v>21</v>
      </c>
      <c r="I3" s="8" t="s">
        <v>22</v>
      </c>
      <c r="J3" s="8" t="s">
        <v>22</v>
      </c>
      <c r="K3" s="8" t="s">
        <v>31</v>
      </c>
      <c r="L3" s="8" t="s">
        <v>24</v>
      </c>
      <c r="M3" s="8" t="s">
        <v>25</v>
      </c>
      <c r="N3" s="8" t="s">
        <v>32</v>
      </c>
      <c r="O3" s="8">
        <f>0+7/60+17.1/3600</f>
        <v>0.12141666666666667</v>
      </c>
      <c r="P3" s="8" t="s">
        <v>33</v>
      </c>
      <c r="Q3" s="8">
        <f>+(27+40/60+43/3600)</f>
        <v>27.678611111111113</v>
      </c>
      <c r="R3" s="8">
        <v>14.2</v>
      </c>
      <c r="S3" s="8">
        <v>15</v>
      </c>
      <c r="T3" s="8">
        <v>0.8</v>
      </c>
      <c r="U3" s="8">
        <v>13.6</v>
      </c>
      <c r="V3" s="8">
        <v>1</v>
      </c>
      <c r="W3" s="8">
        <v>0.6</v>
      </c>
      <c r="X3" s="8">
        <v>112</v>
      </c>
      <c r="Y3" s="8" t="s">
        <v>34</v>
      </c>
      <c r="Z3" s="8" t="s">
        <v>35</v>
      </c>
    </row>
    <row r="4" spans="1:26" x14ac:dyDescent="0.2">
      <c r="A4" s="8">
        <v>3</v>
      </c>
      <c r="B4" s="8" t="s">
        <v>36</v>
      </c>
      <c r="C4" s="8" t="s">
        <v>36</v>
      </c>
      <c r="F4" s="47"/>
      <c r="G4" s="8">
        <v>18</v>
      </c>
      <c r="H4" s="8" t="s">
        <v>21</v>
      </c>
      <c r="I4" s="8" t="s">
        <v>22</v>
      </c>
      <c r="J4" s="8" t="s">
        <v>22</v>
      </c>
      <c r="K4" s="8" t="s">
        <v>37</v>
      </c>
      <c r="L4" s="8" t="s">
        <v>38</v>
      </c>
      <c r="M4" s="8" t="s">
        <v>39</v>
      </c>
      <c r="N4" s="8" t="s">
        <v>40</v>
      </c>
      <c r="O4" s="8">
        <f>0+7/60+16.8/3600</f>
        <v>0.12133333333333333</v>
      </c>
      <c r="P4" s="8" t="s">
        <v>41</v>
      </c>
      <c r="Q4" s="8">
        <f>+(8+18/60+5/3600)</f>
        <v>8.3013888888888889</v>
      </c>
      <c r="R4" s="8">
        <v>13.3</v>
      </c>
      <c r="S4" s="8">
        <v>14.2</v>
      </c>
      <c r="T4" s="8">
        <v>0.9</v>
      </c>
      <c r="U4" s="8">
        <v>12.8</v>
      </c>
      <c r="V4" s="8">
        <v>1.1000000000000001</v>
      </c>
      <c r="W4" s="8">
        <v>0.6</v>
      </c>
      <c r="X4" s="8">
        <v>111</v>
      </c>
      <c r="Y4" s="8" t="s">
        <v>42</v>
      </c>
      <c r="Z4" s="8" t="s">
        <v>43</v>
      </c>
    </row>
    <row r="5" spans="1:26" x14ac:dyDescent="0.2">
      <c r="A5" s="8">
        <v>4</v>
      </c>
      <c r="B5" s="8" t="s">
        <v>44</v>
      </c>
      <c r="C5" s="8" t="s">
        <v>44</v>
      </c>
      <c r="F5" s="47"/>
      <c r="G5" s="8">
        <v>18</v>
      </c>
      <c r="H5" s="8" t="s">
        <v>21</v>
      </c>
      <c r="I5" s="8" t="s">
        <v>22</v>
      </c>
      <c r="J5" s="8" t="s">
        <v>22</v>
      </c>
      <c r="K5" s="8" t="s">
        <v>37</v>
      </c>
      <c r="L5" s="8" t="s">
        <v>38</v>
      </c>
      <c r="M5" s="8" t="s">
        <v>39</v>
      </c>
      <c r="N5" s="8" t="s">
        <v>45</v>
      </c>
      <c r="O5" s="8">
        <f>0+7/60+24.5/3600</f>
        <v>0.12347222222222222</v>
      </c>
      <c r="P5" s="8" t="s">
        <v>46</v>
      </c>
      <c r="Q5" s="8">
        <f>+(8+22/60+26/3600)</f>
        <v>8.3738888888888887</v>
      </c>
      <c r="R5" s="8">
        <v>15.8</v>
      </c>
      <c r="S5" s="8">
        <v>16.899999999999999</v>
      </c>
      <c r="T5" s="8">
        <v>1</v>
      </c>
      <c r="U5" s="8">
        <v>13.8</v>
      </c>
      <c r="V5" s="8">
        <v>0.6</v>
      </c>
      <c r="W5" s="8">
        <v>0.3</v>
      </c>
      <c r="X5" s="8">
        <v>35</v>
      </c>
      <c r="Y5" s="8" t="s">
        <v>47</v>
      </c>
      <c r="Z5" s="8" t="s">
        <v>48</v>
      </c>
    </row>
    <row r="6" spans="1:26" x14ac:dyDescent="0.2">
      <c r="A6" s="8">
        <v>5</v>
      </c>
      <c r="B6" s="8" t="s">
        <v>49</v>
      </c>
      <c r="C6" s="8" t="s">
        <v>49</v>
      </c>
      <c r="F6" s="47"/>
      <c r="G6" s="8">
        <v>19</v>
      </c>
      <c r="H6" s="8" t="s">
        <v>21</v>
      </c>
      <c r="I6" s="8" t="s">
        <v>22</v>
      </c>
      <c r="J6" s="8" t="s">
        <v>22</v>
      </c>
      <c r="K6" s="8" t="s">
        <v>50</v>
      </c>
      <c r="L6" s="8" t="s">
        <v>51</v>
      </c>
      <c r="M6" s="8" t="s">
        <v>52</v>
      </c>
      <c r="N6" s="8" t="s">
        <v>53</v>
      </c>
      <c r="O6" s="8">
        <f>0+7/60+48.8/3600</f>
        <v>0.13022222222222221</v>
      </c>
      <c r="P6" s="8" t="s">
        <v>54</v>
      </c>
      <c r="Q6" s="8">
        <f>+(35+21/60+46/3600)</f>
        <v>35.362777777777779</v>
      </c>
      <c r="R6" s="8">
        <v>13.3</v>
      </c>
      <c r="S6" s="8">
        <v>14.3</v>
      </c>
      <c r="T6" s="8">
        <v>1</v>
      </c>
      <c r="U6" s="8">
        <v>13.1</v>
      </c>
      <c r="V6" s="8">
        <v>1.2</v>
      </c>
      <c r="W6" s="8">
        <v>0.7</v>
      </c>
      <c r="X6" s="8">
        <v>115</v>
      </c>
      <c r="Y6" s="8" t="s">
        <v>28</v>
      </c>
      <c r="Z6" s="8" t="s">
        <v>55</v>
      </c>
    </row>
    <row r="7" spans="1:26" x14ac:dyDescent="0.2">
      <c r="A7" s="8">
        <v>6</v>
      </c>
      <c r="B7" s="8" t="s">
        <v>56</v>
      </c>
      <c r="C7" s="8" t="s">
        <v>55970</v>
      </c>
      <c r="F7" s="47"/>
      <c r="G7" s="8">
        <v>19</v>
      </c>
      <c r="H7" s="8" t="s">
        <v>21</v>
      </c>
      <c r="I7" s="8" t="s">
        <v>22</v>
      </c>
      <c r="J7" s="8" t="s">
        <v>57</v>
      </c>
      <c r="K7" s="8" t="s">
        <v>58</v>
      </c>
      <c r="L7" s="8" t="s">
        <v>51</v>
      </c>
      <c r="M7" s="8" t="s">
        <v>52</v>
      </c>
      <c r="N7" s="8" t="s">
        <v>59</v>
      </c>
      <c r="O7" s="8">
        <f>0+9/60+32.6/3600</f>
        <v>0.15905555555555556</v>
      </c>
      <c r="P7" s="8" t="s">
        <v>60</v>
      </c>
      <c r="Q7" s="8">
        <f>+(33+18/60+32/3600)</f>
        <v>33.308888888888887</v>
      </c>
      <c r="R7" s="8">
        <v>13.1</v>
      </c>
      <c r="S7" s="8">
        <v>14.1</v>
      </c>
      <c r="T7" s="8">
        <v>1</v>
      </c>
      <c r="U7" s="8">
        <v>14.3</v>
      </c>
      <c r="V7" s="8">
        <v>1.7</v>
      </c>
      <c r="W7" s="8">
        <v>1.6</v>
      </c>
      <c r="X7" s="8">
        <v>140</v>
      </c>
      <c r="Y7" s="8" t="s">
        <v>61</v>
      </c>
      <c r="Z7" s="8" t="s">
        <v>62</v>
      </c>
    </row>
    <row r="8" spans="1:26" x14ac:dyDescent="0.2">
      <c r="A8" s="8">
        <v>7</v>
      </c>
      <c r="B8" s="8" t="s">
        <v>63</v>
      </c>
      <c r="C8" s="8" t="s">
        <v>63</v>
      </c>
      <c r="F8" s="47"/>
      <c r="G8" s="8">
        <v>16</v>
      </c>
      <c r="H8" s="8" t="s">
        <v>21</v>
      </c>
      <c r="I8" s="8" t="s">
        <v>22</v>
      </c>
      <c r="J8" s="8" t="s">
        <v>22</v>
      </c>
      <c r="K8" s="8" t="s">
        <v>64</v>
      </c>
      <c r="L8" s="8" t="s">
        <v>65</v>
      </c>
      <c r="M8" s="8" t="s">
        <v>66</v>
      </c>
      <c r="N8" s="8" t="s">
        <v>67</v>
      </c>
      <c r="O8" s="8">
        <f>0+8/60+20.7/3600</f>
        <v>0.13908333333333334</v>
      </c>
      <c r="P8" s="8" t="s">
        <v>68</v>
      </c>
      <c r="Q8" s="8">
        <f>-(29+54/60+59/3600)</f>
        <v>-29.916388888888889</v>
      </c>
      <c r="R8" s="8">
        <v>13.9</v>
      </c>
      <c r="S8" s="8">
        <v>14.4</v>
      </c>
      <c r="T8" s="8">
        <v>0.5</v>
      </c>
      <c r="U8" s="8">
        <v>14</v>
      </c>
      <c r="V8" s="8">
        <v>2.2000000000000002</v>
      </c>
      <c r="W8" s="8">
        <v>0.5</v>
      </c>
      <c r="X8" s="8">
        <v>29</v>
      </c>
      <c r="Y8" s="8" t="s">
        <v>69</v>
      </c>
      <c r="Z8" s="8" t="s">
        <v>70</v>
      </c>
    </row>
    <row r="9" spans="1:26" x14ac:dyDescent="0.2">
      <c r="A9" s="8">
        <v>8</v>
      </c>
      <c r="B9" s="8" t="s">
        <v>71</v>
      </c>
      <c r="C9" s="8" t="s">
        <v>71</v>
      </c>
      <c r="F9" s="47"/>
      <c r="G9" s="8">
        <v>18</v>
      </c>
      <c r="H9" s="8" t="s">
        <v>21</v>
      </c>
      <c r="I9" s="8" t="s">
        <v>72</v>
      </c>
      <c r="J9" s="8" t="s">
        <v>72</v>
      </c>
      <c r="K9" s="8" t="s">
        <v>73</v>
      </c>
      <c r="L9" s="8" t="s">
        <v>24</v>
      </c>
      <c r="M9" s="8" t="s">
        <v>25</v>
      </c>
      <c r="N9" s="8" t="s">
        <v>74</v>
      </c>
      <c r="O9" s="8">
        <f>0+8/60+45.3/3600</f>
        <v>0.14591666666666667</v>
      </c>
      <c r="P9" s="8" t="s">
        <v>75</v>
      </c>
      <c r="Q9" s="8">
        <f>+(23+50/60+19/3600)</f>
        <v>23.83861111111111</v>
      </c>
      <c r="R9" s="8">
        <v>99</v>
      </c>
      <c r="S9" s="8">
        <v>99</v>
      </c>
      <c r="T9" s="8">
        <v>99</v>
      </c>
      <c r="U9" s="8">
        <v>99</v>
      </c>
      <c r="Y9" s="8" t="s">
        <v>76</v>
      </c>
      <c r="Z9" s="8" t="s">
        <v>77</v>
      </c>
    </row>
    <row r="10" spans="1:26" x14ac:dyDescent="0.2">
      <c r="A10" s="8">
        <v>9</v>
      </c>
      <c r="B10" s="8" t="s">
        <v>78</v>
      </c>
      <c r="C10" s="8" t="s">
        <v>78</v>
      </c>
      <c r="F10" s="47"/>
      <c r="G10" s="8">
        <v>18</v>
      </c>
      <c r="H10" s="8" t="s">
        <v>21</v>
      </c>
      <c r="I10" s="8" t="s">
        <v>22</v>
      </c>
      <c r="J10" s="8" t="s">
        <v>22</v>
      </c>
      <c r="K10" s="8" t="s">
        <v>79</v>
      </c>
      <c r="L10" s="8" t="s">
        <v>24</v>
      </c>
      <c r="M10" s="8" t="s">
        <v>25</v>
      </c>
      <c r="N10" s="8" t="s">
        <v>80</v>
      </c>
      <c r="O10" s="8">
        <f>0+8/60+54.5/3600</f>
        <v>0.14847222222222223</v>
      </c>
      <c r="P10" s="8" t="s">
        <v>81</v>
      </c>
      <c r="Q10" s="8">
        <f>+(23+49/60+4/3600)</f>
        <v>23.817777777777778</v>
      </c>
      <c r="R10" s="8">
        <v>13.5</v>
      </c>
      <c r="S10" s="8">
        <v>14.3</v>
      </c>
      <c r="T10" s="8">
        <v>0.8</v>
      </c>
      <c r="U10" s="8">
        <v>12.6</v>
      </c>
      <c r="V10" s="8">
        <v>1.1000000000000001</v>
      </c>
      <c r="W10" s="8">
        <v>0.7</v>
      </c>
      <c r="X10" s="8">
        <v>155</v>
      </c>
      <c r="Y10" s="8" t="s">
        <v>82</v>
      </c>
      <c r="Z10" s="8" t="s">
        <v>83</v>
      </c>
    </row>
    <row r="11" spans="1:26" x14ac:dyDescent="0.2">
      <c r="A11" s="8">
        <v>10</v>
      </c>
      <c r="B11" s="8" t="s">
        <v>84</v>
      </c>
      <c r="C11" s="8" t="s">
        <v>84</v>
      </c>
      <c r="F11" s="47"/>
      <c r="G11" s="8">
        <v>16</v>
      </c>
      <c r="H11" s="8" t="s">
        <v>21</v>
      </c>
      <c r="I11" s="8" t="s">
        <v>22</v>
      </c>
      <c r="J11" s="8" t="s">
        <v>22</v>
      </c>
      <c r="K11" s="8" t="s">
        <v>85</v>
      </c>
      <c r="L11" s="8" t="s">
        <v>65</v>
      </c>
      <c r="M11" s="8" t="s">
        <v>66</v>
      </c>
      <c r="N11" s="8" t="s">
        <v>86</v>
      </c>
      <c r="O11" s="8">
        <f>0+8/60+34.3/3600</f>
        <v>0.14286111111111111</v>
      </c>
      <c r="P11" s="8" t="s">
        <v>87</v>
      </c>
      <c r="Q11" s="8">
        <f>-(33+51/60+28/3600)</f>
        <v>-33.857777777777777</v>
      </c>
      <c r="R11" s="8">
        <v>12.5</v>
      </c>
      <c r="S11" s="8">
        <v>13.3</v>
      </c>
      <c r="T11" s="8">
        <v>0.8</v>
      </c>
      <c r="U11" s="8">
        <v>13.5</v>
      </c>
      <c r="V11" s="8">
        <v>2.4</v>
      </c>
      <c r="W11" s="8">
        <v>1.2</v>
      </c>
      <c r="X11" s="8">
        <v>26</v>
      </c>
      <c r="Y11" s="8" t="s">
        <v>88</v>
      </c>
      <c r="Z11" s="8" t="s">
        <v>89</v>
      </c>
    </row>
    <row r="12" spans="1:26" x14ac:dyDescent="0.2">
      <c r="A12" s="8">
        <v>11</v>
      </c>
      <c r="B12" s="8" t="s">
        <v>90</v>
      </c>
      <c r="C12" s="8" t="s">
        <v>90</v>
      </c>
      <c r="F12" s="47"/>
      <c r="G12" s="8">
        <v>19</v>
      </c>
      <c r="H12" s="8" t="s">
        <v>21</v>
      </c>
      <c r="I12" s="8" t="s">
        <v>22</v>
      </c>
      <c r="J12" s="8" t="s">
        <v>22</v>
      </c>
      <c r="K12" s="8" t="s">
        <v>91</v>
      </c>
      <c r="L12" s="8" t="s">
        <v>51</v>
      </c>
      <c r="M12" s="8" t="s">
        <v>52</v>
      </c>
      <c r="N12" s="8" t="s">
        <v>92</v>
      </c>
      <c r="O12" s="8">
        <f>0+8/60+42.3/3600</f>
        <v>0.14508333333333334</v>
      </c>
      <c r="P12" s="8" t="s">
        <v>93</v>
      </c>
      <c r="Q12" s="8">
        <f>+(37+26/60+53/3600)</f>
        <v>37.448055555555555</v>
      </c>
      <c r="R12" s="8">
        <v>13.7</v>
      </c>
      <c r="S12" s="8">
        <v>14.6</v>
      </c>
      <c r="T12" s="8">
        <v>0.9</v>
      </c>
      <c r="U12" s="8">
        <v>12.7</v>
      </c>
      <c r="V12" s="8">
        <v>1.5</v>
      </c>
      <c r="W12" s="8">
        <v>0.3</v>
      </c>
      <c r="X12" s="8">
        <v>111</v>
      </c>
      <c r="Y12" s="8" t="s">
        <v>94</v>
      </c>
      <c r="Z12" s="8" t="s">
        <v>95</v>
      </c>
    </row>
    <row r="13" spans="1:26" x14ac:dyDescent="0.2">
      <c r="A13" s="8">
        <v>12</v>
      </c>
      <c r="B13" s="8" t="s">
        <v>96</v>
      </c>
      <c r="C13" s="8" t="s">
        <v>96</v>
      </c>
      <c r="F13" s="47" t="s">
        <v>55975</v>
      </c>
      <c r="G13" s="8">
        <v>15</v>
      </c>
      <c r="H13" s="8" t="s">
        <v>21</v>
      </c>
      <c r="I13" s="8" t="s">
        <v>22</v>
      </c>
      <c r="J13" s="8" t="s">
        <v>22</v>
      </c>
      <c r="K13" s="8" t="s">
        <v>64</v>
      </c>
      <c r="L13" s="8" t="s">
        <v>38</v>
      </c>
      <c r="M13" s="8" t="s">
        <v>39</v>
      </c>
      <c r="N13" s="8" t="s">
        <v>97</v>
      </c>
      <c r="O13" s="8">
        <f>0+8/60+44.8/3600</f>
        <v>0.14577777777777778</v>
      </c>
      <c r="P13" s="8" t="s">
        <v>98</v>
      </c>
      <c r="Q13" s="8">
        <f>+(4+36/60+44/3600)</f>
        <v>4.612222222222222</v>
      </c>
      <c r="R13" s="8">
        <v>13.1</v>
      </c>
      <c r="S13" s="8">
        <v>13.8</v>
      </c>
      <c r="T13" s="8">
        <v>0.7</v>
      </c>
      <c r="U13" s="8">
        <v>14</v>
      </c>
      <c r="V13" s="8">
        <v>1.1000000000000001</v>
      </c>
      <c r="W13" s="8">
        <v>1</v>
      </c>
      <c r="X13" s="8">
        <v>125</v>
      </c>
      <c r="Y13" s="8" t="s">
        <v>99</v>
      </c>
      <c r="Z13" s="8" t="s">
        <v>100</v>
      </c>
    </row>
    <row r="14" spans="1:26" x14ac:dyDescent="0.2">
      <c r="A14" s="8">
        <v>13</v>
      </c>
      <c r="B14" s="8" t="s">
        <v>101</v>
      </c>
      <c r="C14" s="8" t="s">
        <v>101</v>
      </c>
      <c r="F14" s="47" t="s">
        <v>55976</v>
      </c>
      <c r="G14" s="8">
        <v>15</v>
      </c>
      <c r="H14" s="8" t="s">
        <v>21</v>
      </c>
      <c r="I14" s="8" t="s">
        <v>22</v>
      </c>
      <c r="J14" s="8" t="s">
        <v>22</v>
      </c>
      <c r="K14" s="8" t="s">
        <v>31</v>
      </c>
      <c r="L14" s="8" t="s">
        <v>51</v>
      </c>
      <c r="M14" s="8" t="s">
        <v>52</v>
      </c>
      <c r="N14" s="8" t="s">
        <v>102</v>
      </c>
      <c r="O14" s="8">
        <f>0+8/60+47.7/3600</f>
        <v>0.14658333333333334</v>
      </c>
      <c r="P14" s="8" t="s">
        <v>103</v>
      </c>
      <c r="Q14" s="8">
        <f>+(33+25/60+59/3600)</f>
        <v>33.433055555555555</v>
      </c>
      <c r="R14" s="8">
        <v>13.2</v>
      </c>
      <c r="S14" s="8">
        <v>14</v>
      </c>
      <c r="T14" s="8">
        <v>0.8</v>
      </c>
      <c r="U14" s="8">
        <v>13.5</v>
      </c>
      <c r="V14" s="8">
        <v>2.2999999999999998</v>
      </c>
      <c r="W14" s="8">
        <v>0.6</v>
      </c>
      <c r="X14" s="8">
        <v>53</v>
      </c>
      <c r="Y14" s="8" t="s">
        <v>104</v>
      </c>
      <c r="Z14" s="8" t="s">
        <v>105</v>
      </c>
    </row>
    <row r="15" spans="1:26" x14ac:dyDescent="0.2">
      <c r="A15" s="8">
        <v>14</v>
      </c>
      <c r="B15" s="8" t="s">
        <v>106</v>
      </c>
      <c r="C15" s="8" t="s">
        <v>106</v>
      </c>
      <c r="F15" s="47" t="s">
        <v>55977</v>
      </c>
      <c r="G15" s="8">
        <v>15</v>
      </c>
      <c r="H15" s="8" t="s">
        <v>21</v>
      </c>
      <c r="I15" s="8" t="s">
        <v>22</v>
      </c>
      <c r="J15" s="8" t="s">
        <v>22</v>
      </c>
      <c r="K15" s="8" t="s">
        <v>107</v>
      </c>
      <c r="L15" s="8" t="s">
        <v>24</v>
      </c>
      <c r="M15" s="8" t="s">
        <v>25</v>
      </c>
      <c r="N15" s="8" t="s">
        <v>108</v>
      </c>
      <c r="O15" s="8">
        <f>0+8/60+46.3/3600</f>
        <v>0.14619444444444443</v>
      </c>
      <c r="P15" s="8" t="s">
        <v>109</v>
      </c>
      <c r="Q15" s="8">
        <f>+(15+48/60+57/3600)</f>
        <v>15.815833333333334</v>
      </c>
      <c r="R15" s="8">
        <v>12.1</v>
      </c>
      <c r="S15" s="8">
        <v>12.7</v>
      </c>
      <c r="T15" s="8">
        <v>0.6</v>
      </c>
      <c r="U15" s="8">
        <v>13.9</v>
      </c>
      <c r="V15" s="8">
        <v>2.8</v>
      </c>
      <c r="W15" s="8">
        <v>2.1</v>
      </c>
      <c r="X15" s="8">
        <v>25</v>
      </c>
      <c r="Y15" s="8" t="s">
        <v>110</v>
      </c>
      <c r="Z15" s="8" t="s">
        <v>111</v>
      </c>
    </row>
    <row r="16" spans="1:26" x14ac:dyDescent="0.2">
      <c r="A16" s="8">
        <v>15</v>
      </c>
      <c r="B16" s="8" t="s">
        <v>112</v>
      </c>
      <c r="C16" s="8" t="s">
        <v>112</v>
      </c>
      <c r="F16" s="47"/>
      <c r="G16" s="8">
        <v>18</v>
      </c>
      <c r="H16" s="8" t="s">
        <v>21</v>
      </c>
      <c r="I16" s="8" t="s">
        <v>22</v>
      </c>
      <c r="J16" s="8" t="s">
        <v>22</v>
      </c>
      <c r="K16" s="8" t="s">
        <v>91</v>
      </c>
      <c r="L16" s="8" t="s">
        <v>24</v>
      </c>
      <c r="M16" s="8" t="s">
        <v>25</v>
      </c>
      <c r="N16" s="8" t="s">
        <v>113</v>
      </c>
      <c r="O16" s="8">
        <f>0+9/60+2.4/3600</f>
        <v>0.15066666666666667</v>
      </c>
      <c r="P16" s="8" t="s">
        <v>114</v>
      </c>
      <c r="Q16" s="8">
        <f>+(21+37/60+30/3600)</f>
        <v>21.625</v>
      </c>
      <c r="R16" s="8">
        <v>13.8</v>
      </c>
      <c r="S16" s="8">
        <v>14.7</v>
      </c>
      <c r="T16" s="8">
        <v>0.9</v>
      </c>
      <c r="U16" s="8">
        <v>13.1</v>
      </c>
      <c r="V16" s="8">
        <v>1</v>
      </c>
      <c r="W16" s="8">
        <v>0.6</v>
      </c>
      <c r="X16" s="8">
        <v>30</v>
      </c>
      <c r="Y16" s="8" t="s">
        <v>115</v>
      </c>
      <c r="Z16" s="8" t="s">
        <v>116</v>
      </c>
    </row>
    <row r="17" spans="1:26" x14ac:dyDescent="0.2">
      <c r="A17" s="8">
        <v>16</v>
      </c>
      <c r="B17" s="8" t="s">
        <v>117</v>
      </c>
      <c r="C17" s="8" t="s">
        <v>117</v>
      </c>
      <c r="G17" s="8">
        <v>12</v>
      </c>
      <c r="H17" s="8" t="s">
        <v>21</v>
      </c>
      <c r="I17" s="8" t="s">
        <v>22</v>
      </c>
      <c r="J17" s="8" t="s">
        <v>22</v>
      </c>
      <c r="K17" s="8" t="s">
        <v>118</v>
      </c>
      <c r="L17" s="8" t="s">
        <v>24</v>
      </c>
      <c r="M17" s="8" t="s">
        <v>25</v>
      </c>
      <c r="N17" s="8" t="s">
        <v>119</v>
      </c>
      <c r="O17" s="8">
        <f>0+9/60+4.2/3600</f>
        <v>0.15116666666666667</v>
      </c>
      <c r="P17" s="8" t="s">
        <v>120</v>
      </c>
      <c r="Q17" s="8">
        <f>+(27+43/60+48/3600)</f>
        <v>27.729999999999997</v>
      </c>
      <c r="R17" s="8">
        <v>12</v>
      </c>
      <c r="S17" s="8">
        <v>13</v>
      </c>
      <c r="T17" s="8">
        <v>1</v>
      </c>
      <c r="U17" s="8">
        <v>12.5</v>
      </c>
      <c r="V17" s="8">
        <v>1.8</v>
      </c>
      <c r="W17" s="8">
        <v>1</v>
      </c>
      <c r="X17" s="8">
        <v>16</v>
      </c>
      <c r="Y17" s="8" t="s">
        <v>121</v>
      </c>
      <c r="Z17" s="8" t="s">
        <v>122</v>
      </c>
    </row>
    <row r="18" spans="1:26" x14ac:dyDescent="0.2">
      <c r="A18" s="8">
        <v>17</v>
      </c>
      <c r="B18" s="8" t="s">
        <v>123</v>
      </c>
      <c r="C18" s="8" t="s">
        <v>123</v>
      </c>
      <c r="F18" s="47"/>
      <c r="G18" s="8">
        <v>19</v>
      </c>
      <c r="H18" s="8" t="s">
        <v>21</v>
      </c>
      <c r="I18" s="8" t="s">
        <v>22</v>
      </c>
      <c r="J18" s="8" t="s">
        <v>22</v>
      </c>
      <c r="K18" s="8" t="s">
        <v>124</v>
      </c>
      <c r="L18" s="8" t="s">
        <v>125</v>
      </c>
      <c r="M18" s="8" t="s">
        <v>126</v>
      </c>
      <c r="N18" s="8" t="s">
        <v>127</v>
      </c>
      <c r="O18" s="8">
        <f>0+11/60+6.6/3600</f>
        <v>0.18516666666666665</v>
      </c>
      <c r="P18" s="8" t="s">
        <v>128</v>
      </c>
      <c r="Q18" s="8">
        <f>-(12+6/60+28/3600)</f>
        <v>-12.107777777777777</v>
      </c>
      <c r="R18" s="8">
        <v>14.4</v>
      </c>
      <c r="S18" s="8">
        <v>15.3</v>
      </c>
      <c r="T18" s="8">
        <v>0.9</v>
      </c>
      <c r="U18" s="8">
        <v>14.8</v>
      </c>
      <c r="V18" s="8">
        <v>2.1</v>
      </c>
      <c r="W18" s="8">
        <v>0.8</v>
      </c>
      <c r="X18" s="8">
        <v>30</v>
      </c>
      <c r="Y18" s="8" t="s">
        <v>129</v>
      </c>
      <c r="Z18" s="8" t="s">
        <v>130</v>
      </c>
    </row>
    <row r="19" spans="1:26" x14ac:dyDescent="0.2">
      <c r="A19" s="8">
        <v>18</v>
      </c>
      <c r="B19" s="8" t="s">
        <v>131</v>
      </c>
      <c r="C19" s="8" t="s">
        <v>131</v>
      </c>
      <c r="F19" s="47"/>
      <c r="G19" s="8">
        <v>18</v>
      </c>
      <c r="H19" s="8" t="s">
        <v>21</v>
      </c>
      <c r="I19" s="8" t="s">
        <v>72</v>
      </c>
      <c r="J19" s="8" t="s">
        <v>72</v>
      </c>
      <c r="K19" s="8" t="s">
        <v>73</v>
      </c>
      <c r="L19" s="8" t="s">
        <v>24</v>
      </c>
      <c r="M19" s="8" t="s">
        <v>25</v>
      </c>
      <c r="N19" s="8" t="s">
        <v>132</v>
      </c>
      <c r="O19" s="8">
        <f>0+9/60+23/3600</f>
        <v>0.15638888888888888</v>
      </c>
      <c r="P19" s="8" t="s">
        <v>133</v>
      </c>
      <c r="Q19" s="8">
        <f>+(27+43/60+56/3600)</f>
        <v>27.732222222222219</v>
      </c>
      <c r="R19" s="8">
        <v>99</v>
      </c>
      <c r="S19" s="8">
        <v>99</v>
      </c>
      <c r="T19" s="8">
        <v>99</v>
      </c>
      <c r="U19" s="8">
        <v>99</v>
      </c>
      <c r="Y19" s="8" t="s">
        <v>134</v>
      </c>
      <c r="Z19" s="8" t="s">
        <v>135</v>
      </c>
    </row>
    <row r="20" spans="1:26" x14ac:dyDescent="0.2">
      <c r="A20" s="8">
        <v>19</v>
      </c>
      <c r="B20" s="8" t="s">
        <v>136</v>
      </c>
      <c r="C20" s="8" t="s">
        <v>136</v>
      </c>
      <c r="F20" s="47"/>
      <c r="G20" s="8">
        <v>19</v>
      </c>
      <c r="H20" s="8" t="s">
        <v>21</v>
      </c>
      <c r="I20" s="8" t="s">
        <v>22</v>
      </c>
      <c r="J20" s="8" t="s">
        <v>22</v>
      </c>
      <c r="K20" s="8" t="s">
        <v>85</v>
      </c>
      <c r="L20" s="8" t="s">
        <v>51</v>
      </c>
      <c r="M20" s="8" t="s">
        <v>52</v>
      </c>
      <c r="N20" s="8" t="s">
        <v>137</v>
      </c>
      <c r="O20" s="8">
        <f>0+10/60+40.8/3600</f>
        <v>0.17799999999999999</v>
      </c>
      <c r="P20" s="8" t="s">
        <v>138</v>
      </c>
      <c r="Q20" s="8">
        <f>+(32+58/60+58/3600)</f>
        <v>32.982777777777777</v>
      </c>
      <c r="R20" s="8">
        <v>13.3</v>
      </c>
      <c r="S20" s="8">
        <v>14.1</v>
      </c>
      <c r="T20" s="8">
        <v>0.8</v>
      </c>
      <c r="U20" s="8">
        <v>12.7</v>
      </c>
      <c r="V20" s="8">
        <v>1.1000000000000001</v>
      </c>
      <c r="W20" s="8">
        <v>0.6</v>
      </c>
      <c r="X20" s="8">
        <v>42</v>
      </c>
      <c r="Y20" s="8" t="s">
        <v>139</v>
      </c>
      <c r="Z20" s="8" t="s">
        <v>140</v>
      </c>
    </row>
    <row r="21" spans="1:26" x14ac:dyDescent="0.2">
      <c r="A21" s="8">
        <v>20</v>
      </c>
      <c r="B21" s="8" t="s">
        <v>141</v>
      </c>
      <c r="C21" s="8" t="s">
        <v>141</v>
      </c>
      <c r="F21" s="47"/>
      <c r="G21" s="8">
        <v>18</v>
      </c>
      <c r="H21" s="8" t="s">
        <v>21</v>
      </c>
      <c r="I21" s="8" t="s">
        <v>22</v>
      </c>
      <c r="J21" s="8" t="s">
        <v>22</v>
      </c>
      <c r="K21" s="8" t="s">
        <v>58</v>
      </c>
      <c r="L21" s="8" t="s">
        <v>51</v>
      </c>
      <c r="M21" s="8" t="s">
        <v>52</v>
      </c>
      <c r="N21" s="8" t="s">
        <v>59</v>
      </c>
      <c r="O21" s="8">
        <f>0+9/60+32.6/3600</f>
        <v>0.15905555555555556</v>
      </c>
      <c r="P21" s="8" t="s">
        <v>60</v>
      </c>
      <c r="Q21" s="8">
        <f>+(33+18/60+32/3600)</f>
        <v>33.308888888888887</v>
      </c>
      <c r="R21" s="8">
        <v>13.1</v>
      </c>
      <c r="S21" s="8">
        <v>14.1</v>
      </c>
      <c r="T21" s="8">
        <v>1</v>
      </c>
      <c r="U21" s="8">
        <v>14.3</v>
      </c>
      <c r="V21" s="8">
        <v>1.7</v>
      </c>
      <c r="W21" s="8">
        <v>1.6</v>
      </c>
      <c r="X21" s="8">
        <v>140</v>
      </c>
      <c r="Y21" s="8" t="s">
        <v>61</v>
      </c>
      <c r="Z21" s="8" t="s">
        <v>142</v>
      </c>
    </row>
    <row r="22" spans="1:26" x14ac:dyDescent="0.2">
      <c r="A22" s="8">
        <v>21</v>
      </c>
      <c r="B22" s="8" t="s">
        <v>143</v>
      </c>
      <c r="C22" s="8" t="s">
        <v>143</v>
      </c>
      <c r="F22" s="47"/>
      <c r="G22" s="8">
        <v>19</v>
      </c>
      <c r="H22" s="8" t="s">
        <v>21</v>
      </c>
      <c r="I22" s="8" t="s">
        <v>22</v>
      </c>
      <c r="J22" s="8" t="s">
        <v>57</v>
      </c>
      <c r="K22" s="8" t="s">
        <v>85</v>
      </c>
      <c r="L22" s="8" t="s">
        <v>51</v>
      </c>
      <c r="M22" s="8" t="s">
        <v>52</v>
      </c>
      <c r="N22" s="8" t="s">
        <v>144</v>
      </c>
      <c r="O22" s="8">
        <f>0+10/60+47/3600</f>
        <v>0.17972222222222223</v>
      </c>
      <c r="P22" s="8" t="s">
        <v>145</v>
      </c>
      <c r="Q22" s="8">
        <f>+(33+21/60+7/3600)</f>
        <v>33.351944444444449</v>
      </c>
      <c r="R22" s="8">
        <v>12.7</v>
      </c>
      <c r="S22" s="8">
        <v>13.5</v>
      </c>
      <c r="T22" s="8">
        <v>0.8</v>
      </c>
      <c r="U22" s="8">
        <v>12.8</v>
      </c>
      <c r="V22" s="8">
        <v>1.5</v>
      </c>
      <c r="W22" s="8">
        <v>0.7</v>
      </c>
      <c r="X22" s="8">
        <v>154</v>
      </c>
      <c r="Y22" s="8" t="s">
        <v>146</v>
      </c>
      <c r="Z22" s="8" t="s">
        <v>147</v>
      </c>
    </row>
    <row r="23" spans="1:26" x14ac:dyDescent="0.2">
      <c r="A23" s="8">
        <v>22</v>
      </c>
      <c r="B23" s="8" t="s">
        <v>148</v>
      </c>
      <c r="C23" s="8" t="s">
        <v>148</v>
      </c>
      <c r="F23" s="47" t="s">
        <v>55978</v>
      </c>
      <c r="G23" s="8">
        <v>15</v>
      </c>
      <c r="H23" s="8" t="s">
        <v>21</v>
      </c>
      <c r="I23" s="8" t="s">
        <v>22</v>
      </c>
      <c r="J23" s="8" t="s">
        <v>22</v>
      </c>
      <c r="K23" s="8" t="s">
        <v>23</v>
      </c>
      <c r="L23" s="8" t="s">
        <v>24</v>
      </c>
      <c r="M23" s="8" t="s">
        <v>25</v>
      </c>
      <c r="N23" s="8" t="s">
        <v>149</v>
      </c>
      <c r="O23" s="8">
        <f>0+9/60+48.2/3600</f>
        <v>0.16338888888888889</v>
      </c>
      <c r="P23" s="8" t="s">
        <v>150</v>
      </c>
      <c r="Q23" s="8">
        <f>+(27+49/60+58/3600)</f>
        <v>27.832777777777778</v>
      </c>
      <c r="R23" s="8">
        <v>13.6</v>
      </c>
      <c r="S23" s="8">
        <v>14.4</v>
      </c>
      <c r="T23" s="8">
        <v>0.8</v>
      </c>
      <c r="U23" s="8">
        <v>13.8</v>
      </c>
      <c r="V23" s="8">
        <v>1.3</v>
      </c>
      <c r="W23" s="8">
        <v>1</v>
      </c>
      <c r="X23" s="8">
        <v>160</v>
      </c>
      <c r="Y23" s="8" t="s">
        <v>151</v>
      </c>
      <c r="Z23" s="8" t="s">
        <v>152</v>
      </c>
    </row>
    <row r="24" spans="1:26" x14ac:dyDescent="0.2">
      <c r="A24" s="8">
        <v>23</v>
      </c>
      <c r="B24" s="8" t="s">
        <v>153</v>
      </c>
      <c r="C24" s="8" t="s">
        <v>153</v>
      </c>
      <c r="F24" s="47" t="s">
        <v>55979</v>
      </c>
      <c r="G24" s="8">
        <v>6.5</v>
      </c>
      <c r="H24" s="8" t="s">
        <v>21</v>
      </c>
      <c r="I24" s="8" t="s">
        <v>22</v>
      </c>
      <c r="J24" s="8" t="s">
        <v>22</v>
      </c>
      <c r="K24" s="8" t="s">
        <v>154</v>
      </c>
      <c r="L24" s="8" t="s">
        <v>24</v>
      </c>
      <c r="M24" s="8" t="s">
        <v>25</v>
      </c>
      <c r="N24" s="8" t="s">
        <v>155</v>
      </c>
      <c r="O24" s="8">
        <f>0+9/60+53.3/3600</f>
        <v>0.16480555555555554</v>
      </c>
      <c r="P24" s="8" t="s">
        <v>156</v>
      </c>
      <c r="Q24" s="8">
        <f>+(25+55/60+26/3600)</f>
        <v>25.923888888888889</v>
      </c>
      <c r="R24" s="8">
        <v>12</v>
      </c>
      <c r="S24" s="8">
        <v>12.9</v>
      </c>
      <c r="T24" s="8">
        <v>0.9</v>
      </c>
      <c r="U24" s="8">
        <v>13</v>
      </c>
      <c r="V24" s="8">
        <v>2.1</v>
      </c>
      <c r="W24" s="8">
        <v>1.3</v>
      </c>
      <c r="X24" s="8">
        <v>8</v>
      </c>
      <c r="Y24" s="8" t="s">
        <v>157</v>
      </c>
      <c r="Z24" s="8" t="s">
        <v>158</v>
      </c>
    </row>
    <row r="25" spans="1:26" x14ac:dyDescent="0.2">
      <c r="A25" s="8">
        <v>24</v>
      </c>
      <c r="B25" s="8" t="s">
        <v>159</v>
      </c>
      <c r="C25" s="8" t="s">
        <v>159</v>
      </c>
      <c r="F25" s="47" t="s">
        <v>55980</v>
      </c>
      <c r="G25" s="8">
        <v>6.5</v>
      </c>
      <c r="H25" s="8" t="s">
        <v>21</v>
      </c>
      <c r="I25" s="8" t="s">
        <v>22</v>
      </c>
      <c r="J25" s="8" t="s">
        <v>22</v>
      </c>
      <c r="K25" s="8" t="s">
        <v>160</v>
      </c>
      <c r="L25" s="8" t="s">
        <v>65</v>
      </c>
      <c r="M25" s="8" t="s">
        <v>66</v>
      </c>
      <c r="N25" s="8" t="s">
        <v>161</v>
      </c>
      <c r="O25" s="8">
        <f>0+9/60+56.1/3600</f>
        <v>0.16558333333333333</v>
      </c>
      <c r="P25" s="8" t="s">
        <v>162</v>
      </c>
      <c r="Q25" s="8">
        <f>-(24+57/60+52/3600)</f>
        <v>-24.964444444444442</v>
      </c>
      <c r="R25" s="8">
        <v>11.6</v>
      </c>
      <c r="S25" s="8">
        <v>12.2</v>
      </c>
      <c r="T25" s="8">
        <v>0.6</v>
      </c>
      <c r="U25" s="8">
        <v>13.7</v>
      </c>
      <c r="V25" s="8">
        <v>5.8</v>
      </c>
      <c r="W25" s="8">
        <v>1.3</v>
      </c>
      <c r="X25" s="8">
        <v>46</v>
      </c>
      <c r="Y25" s="8" t="s">
        <v>163</v>
      </c>
      <c r="Z25" s="8" t="s">
        <v>164</v>
      </c>
    </row>
    <row r="26" spans="1:26" x14ac:dyDescent="0.2">
      <c r="A26" s="8">
        <v>25</v>
      </c>
      <c r="B26" s="8" t="s">
        <v>165</v>
      </c>
      <c r="C26" s="8" t="s">
        <v>165</v>
      </c>
      <c r="F26" s="47"/>
      <c r="G26" s="8">
        <v>16</v>
      </c>
      <c r="H26" s="8" t="s">
        <v>21</v>
      </c>
      <c r="I26" s="8" t="s">
        <v>22</v>
      </c>
      <c r="J26" s="8" t="s">
        <v>22</v>
      </c>
      <c r="K26" s="8" t="s">
        <v>118</v>
      </c>
      <c r="L26" s="8" t="s">
        <v>166</v>
      </c>
      <c r="M26" s="8" t="s">
        <v>167</v>
      </c>
      <c r="N26" s="8" t="s">
        <v>168</v>
      </c>
      <c r="O26" s="8">
        <f>0+9/60+59.3/3600</f>
        <v>0.16647222222222222</v>
      </c>
      <c r="P26" s="8" t="s">
        <v>169</v>
      </c>
      <c r="Q26" s="8">
        <f>-(57+1/60+13/3600)</f>
        <v>-57.020277777777778</v>
      </c>
      <c r="R26" s="8">
        <v>13</v>
      </c>
      <c r="S26" s="8">
        <v>13.6</v>
      </c>
      <c r="T26" s="8">
        <v>0.6</v>
      </c>
      <c r="U26" s="8">
        <v>13</v>
      </c>
      <c r="V26" s="8">
        <v>1.4</v>
      </c>
      <c r="W26" s="8">
        <v>0.8</v>
      </c>
      <c r="X26" s="8">
        <v>88</v>
      </c>
      <c r="Y26" s="8" t="s">
        <v>170</v>
      </c>
      <c r="Z26" s="8" t="s">
        <v>171</v>
      </c>
    </row>
    <row r="27" spans="1:26" x14ac:dyDescent="0.2">
      <c r="A27" s="8">
        <v>26</v>
      </c>
      <c r="B27" s="8" t="s">
        <v>172</v>
      </c>
      <c r="C27" s="8" t="s">
        <v>172</v>
      </c>
      <c r="F27" s="47"/>
      <c r="G27" s="8">
        <v>18</v>
      </c>
      <c r="H27" s="8" t="s">
        <v>21</v>
      </c>
      <c r="I27" s="8" t="s">
        <v>22</v>
      </c>
      <c r="J27" s="8" t="s">
        <v>22</v>
      </c>
      <c r="K27" s="8" t="s">
        <v>31</v>
      </c>
      <c r="L27" s="8" t="s">
        <v>24</v>
      </c>
      <c r="M27" s="8" t="s">
        <v>25</v>
      </c>
      <c r="N27" s="8" t="s">
        <v>173</v>
      </c>
      <c r="O27" s="8">
        <f>0+10/60+25.9/3600</f>
        <v>0.17386111111111111</v>
      </c>
      <c r="P27" s="8" t="s">
        <v>174</v>
      </c>
      <c r="Q27" s="8">
        <f>+(25+49/60+56/3600)</f>
        <v>25.832222222222221</v>
      </c>
      <c r="R27" s="8">
        <v>12.9</v>
      </c>
      <c r="S27" s="8">
        <v>13.7</v>
      </c>
      <c r="T27" s="8">
        <v>0.8</v>
      </c>
      <c r="U27" s="8">
        <v>13.9</v>
      </c>
      <c r="V27" s="8">
        <v>2.1</v>
      </c>
      <c r="W27" s="8">
        <v>1.4</v>
      </c>
      <c r="X27" s="8">
        <v>100</v>
      </c>
      <c r="Y27" s="8" t="s">
        <v>175</v>
      </c>
      <c r="Z27" s="8" t="s">
        <v>176</v>
      </c>
    </row>
    <row r="28" spans="1:26" x14ac:dyDescent="0.2">
      <c r="A28" s="8">
        <v>27</v>
      </c>
      <c r="B28" s="8" t="s">
        <v>177</v>
      </c>
      <c r="C28" s="8" t="s">
        <v>177</v>
      </c>
      <c r="F28" s="47"/>
      <c r="G28" s="8">
        <v>19</v>
      </c>
      <c r="H28" s="8" t="s">
        <v>21</v>
      </c>
      <c r="I28" s="8" t="s">
        <v>22</v>
      </c>
      <c r="J28" s="8" t="s">
        <v>22</v>
      </c>
      <c r="K28" s="8" t="s">
        <v>23</v>
      </c>
      <c r="L28" s="8" t="s">
        <v>51</v>
      </c>
      <c r="M28" s="8" t="s">
        <v>52</v>
      </c>
      <c r="N28" s="8" t="s">
        <v>178</v>
      </c>
      <c r="O28" s="8">
        <f>0+10/60+32.7/3600</f>
        <v>0.17574999999999999</v>
      </c>
      <c r="P28" s="8" t="s">
        <v>179</v>
      </c>
      <c r="Q28" s="8">
        <f>+(28+59/60+49/3600)</f>
        <v>28.996944444444445</v>
      </c>
      <c r="R28" s="8">
        <v>13.5</v>
      </c>
      <c r="S28" s="8">
        <v>14.3</v>
      </c>
      <c r="T28" s="8">
        <v>0.8</v>
      </c>
      <c r="U28" s="8">
        <v>13.1</v>
      </c>
      <c r="V28" s="8">
        <v>1.2</v>
      </c>
      <c r="W28" s="8">
        <v>0.5</v>
      </c>
      <c r="X28" s="8">
        <v>117</v>
      </c>
      <c r="Y28" s="8" t="s">
        <v>180</v>
      </c>
      <c r="Z28" s="8" t="s">
        <v>181</v>
      </c>
    </row>
    <row r="29" spans="1:26" x14ac:dyDescent="0.2">
      <c r="A29" s="8">
        <v>28</v>
      </c>
      <c r="B29" s="8" t="s">
        <v>182</v>
      </c>
      <c r="C29" s="8" t="s">
        <v>182</v>
      </c>
      <c r="F29" s="47"/>
      <c r="G29" s="8">
        <v>16</v>
      </c>
      <c r="H29" s="8" t="s">
        <v>21</v>
      </c>
      <c r="I29" s="8" t="s">
        <v>22</v>
      </c>
      <c r="J29" s="8" t="s">
        <v>22</v>
      </c>
      <c r="K29" s="8" t="s">
        <v>183</v>
      </c>
      <c r="L29" s="8" t="s">
        <v>166</v>
      </c>
      <c r="M29" s="8" t="s">
        <v>167</v>
      </c>
      <c r="N29" s="8" t="s">
        <v>184</v>
      </c>
      <c r="O29" s="8">
        <f>0+10/60+25.2/3600</f>
        <v>0.17366666666666666</v>
      </c>
      <c r="P29" s="8" t="s">
        <v>185</v>
      </c>
      <c r="Q29" s="8">
        <f>-(56+59/60+20/3600)</f>
        <v>-56.988888888888887</v>
      </c>
      <c r="R29" s="8">
        <v>13.8</v>
      </c>
      <c r="S29" s="8">
        <v>14.8</v>
      </c>
      <c r="T29" s="8">
        <v>1</v>
      </c>
      <c r="U29" s="8">
        <v>13.1</v>
      </c>
      <c r="V29" s="8">
        <v>0.8</v>
      </c>
      <c r="W29" s="8">
        <v>0.6</v>
      </c>
      <c r="X29" s="8">
        <v>119</v>
      </c>
      <c r="Y29" s="8" t="s">
        <v>186</v>
      </c>
      <c r="Z29" s="8" t="s">
        <v>187</v>
      </c>
    </row>
    <row r="30" spans="1:26" x14ac:dyDescent="0.2">
      <c r="A30" s="8">
        <v>29</v>
      </c>
      <c r="B30" s="8" t="s">
        <v>188</v>
      </c>
      <c r="C30" s="8" t="s">
        <v>188</v>
      </c>
      <c r="F30" s="47" t="s">
        <v>55981</v>
      </c>
      <c r="G30" s="8">
        <v>15</v>
      </c>
      <c r="H30" s="8" t="s">
        <v>21</v>
      </c>
      <c r="I30" s="8" t="s">
        <v>22</v>
      </c>
      <c r="J30" s="8" t="s">
        <v>22</v>
      </c>
      <c r="K30" s="8" t="s">
        <v>85</v>
      </c>
      <c r="L30" s="8" t="s">
        <v>51</v>
      </c>
      <c r="M30" s="8" t="s">
        <v>52</v>
      </c>
      <c r="N30" s="8" t="s">
        <v>144</v>
      </c>
      <c r="O30" s="8">
        <f>0+10/60+47/3600</f>
        <v>0.17972222222222223</v>
      </c>
      <c r="P30" s="8" t="s">
        <v>145</v>
      </c>
      <c r="Q30" s="8">
        <f>+(33+21/60+7/3600)</f>
        <v>33.351944444444449</v>
      </c>
      <c r="R30" s="8">
        <v>12.7</v>
      </c>
      <c r="S30" s="8">
        <v>13.5</v>
      </c>
      <c r="T30" s="8">
        <v>0.8</v>
      </c>
      <c r="U30" s="8">
        <v>12.8</v>
      </c>
      <c r="V30" s="8">
        <v>1.5</v>
      </c>
      <c r="W30" s="8">
        <v>0.7</v>
      </c>
      <c r="X30" s="8">
        <v>154</v>
      </c>
      <c r="Y30" s="8" t="s">
        <v>146</v>
      </c>
      <c r="Z30" s="8" t="s">
        <v>189</v>
      </c>
    </row>
    <row r="31" spans="1:26" x14ac:dyDescent="0.2">
      <c r="A31" s="8">
        <v>30</v>
      </c>
      <c r="B31" s="8" t="s">
        <v>190</v>
      </c>
      <c r="C31" s="8" t="s">
        <v>190</v>
      </c>
      <c r="F31" s="47"/>
      <c r="G31" s="8">
        <v>18</v>
      </c>
      <c r="H31" s="8" t="s">
        <v>21</v>
      </c>
      <c r="I31" s="8" t="s">
        <v>72</v>
      </c>
      <c r="J31" s="8" t="s">
        <v>72</v>
      </c>
      <c r="K31" s="8" t="s">
        <v>73</v>
      </c>
      <c r="L31" s="8" t="s">
        <v>24</v>
      </c>
      <c r="M31" s="8" t="s">
        <v>25</v>
      </c>
      <c r="N31" s="8" t="s">
        <v>191</v>
      </c>
      <c r="O31" s="8">
        <f>0+10/60+50.8/3600</f>
        <v>0.18077777777777776</v>
      </c>
      <c r="P31" s="8" t="s">
        <v>192</v>
      </c>
      <c r="Q31" s="8">
        <f>+(21+58/60+39/3600)</f>
        <v>21.977499999999999</v>
      </c>
      <c r="R31" s="8">
        <v>99</v>
      </c>
      <c r="S31" s="8">
        <v>99</v>
      </c>
      <c r="T31" s="8">
        <v>99</v>
      </c>
      <c r="U31" s="8">
        <v>99</v>
      </c>
      <c r="Y31" s="8" t="s">
        <v>193</v>
      </c>
      <c r="Z31" s="8" t="s">
        <v>194</v>
      </c>
    </row>
    <row r="32" spans="1:26" x14ac:dyDescent="0.2">
      <c r="A32" s="8">
        <v>31</v>
      </c>
      <c r="B32" s="8" t="s">
        <v>195</v>
      </c>
      <c r="C32" s="8" t="s">
        <v>195</v>
      </c>
      <c r="F32" s="47"/>
      <c r="G32" s="8">
        <v>16</v>
      </c>
      <c r="H32" s="8" t="s">
        <v>21</v>
      </c>
      <c r="I32" s="8" t="s">
        <v>22</v>
      </c>
      <c r="J32" s="8" t="s">
        <v>22</v>
      </c>
      <c r="K32" s="8" t="s">
        <v>160</v>
      </c>
      <c r="L32" s="8" t="s">
        <v>166</v>
      </c>
      <c r="M32" s="8" t="s">
        <v>167</v>
      </c>
      <c r="N32" s="8" t="s">
        <v>196</v>
      </c>
      <c r="O32" s="8">
        <f>0+10/60+38.5/3600</f>
        <v>0.17736111111111111</v>
      </c>
      <c r="P32" s="8" t="s">
        <v>197</v>
      </c>
      <c r="Q32" s="8">
        <f>-(56+59/60+10/3600)</f>
        <v>-56.986111111111114</v>
      </c>
      <c r="R32" s="8">
        <v>13.9</v>
      </c>
      <c r="S32" s="8">
        <v>14.6</v>
      </c>
      <c r="T32" s="8">
        <v>0.7</v>
      </c>
      <c r="U32" s="8">
        <v>13.4</v>
      </c>
      <c r="V32" s="8">
        <v>1.3</v>
      </c>
      <c r="W32" s="8">
        <v>0.7</v>
      </c>
      <c r="X32" s="8">
        <v>5</v>
      </c>
      <c r="Y32" s="8" t="s">
        <v>198</v>
      </c>
      <c r="Z32" s="8" t="s">
        <v>199</v>
      </c>
    </row>
    <row r="33" spans="1:26" x14ac:dyDescent="0.2">
      <c r="A33" s="8">
        <v>32</v>
      </c>
      <c r="B33" s="8" t="s">
        <v>200</v>
      </c>
      <c r="C33" s="8" t="s">
        <v>200</v>
      </c>
      <c r="F33" s="47"/>
      <c r="G33" s="8">
        <v>17</v>
      </c>
      <c r="H33" s="8" t="s">
        <v>21</v>
      </c>
      <c r="I33" s="8" t="s">
        <v>72</v>
      </c>
      <c r="J33" s="8" t="s">
        <v>72</v>
      </c>
      <c r="K33" s="8" t="s">
        <v>73</v>
      </c>
      <c r="L33" s="8" t="s">
        <v>24</v>
      </c>
      <c r="M33" s="8" t="s">
        <v>25</v>
      </c>
      <c r="N33" s="8" t="s">
        <v>201</v>
      </c>
      <c r="O33" s="8">
        <f>0+10/60+53.2/3600</f>
        <v>0.18144444444444444</v>
      </c>
      <c r="P33" s="8" t="s">
        <v>202</v>
      </c>
      <c r="Q33" s="8">
        <f>+(18+47/60+33/3600)</f>
        <v>18.7925</v>
      </c>
      <c r="R33" s="8">
        <v>99</v>
      </c>
      <c r="S33" s="8">
        <v>99</v>
      </c>
      <c r="T33" s="8">
        <v>99</v>
      </c>
      <c r="U33" s="8">
        <v>99</v>
      </c>
      <c r="V33" s="8">
        <v>0.6</v>
      </c>
      <c r="Y33" s="8" t="s">
        <v>203</v>
      </c>
      <c r="Z33" s="8" t="s">
        <v>204</v>
      </c>
    </row>
    <row r="34" spans="1:26" x14ac:dyDescent="0.2">
      <c r="A34" s="8">
        <v>33</v>
      </c>
      <c r="B34" s="8" t="s">
        <v>205</v>
      </c>
      <c r="C34" s="8" t="s">
        <v>205</v>
      </c>
      <c r="F34" s="47"/>
      <c r="G34" s="8">
        <v>18</v>
      </c>
      <c r="H34" s="8" t="s">
        <v>21</v>
      </c>
      <c r="I34" s="8" t="s">
        <v>72</v>
      </c>
      <c r="J34" s="8" t="s">
        <v>72</v>
      </c>
      <c r="K34" s="8" t="s">
        <v>73</v>
      </c>
      <c r="L34" s="8" t="s">
        <v>38</v>
      </c>
      <c r="M34" s="8" t="s">
        <v>39</v>
      </c>
      <c r="N34" s="8" t="s">
        <v>206</v>
      </c>
      <c r="O34" s="8">
        <f>0+10/60+56.6/3600</f>
        <v>0.18238888888888888</v>
      </c>
      <c r="P34" s="8" t="s">
        <v>207</v>
      </c>
      <c r="Q34" s="8">
        <f>+(3+40/60+35/3600)</f>
        <v>3.6763888888888889</v>
      </c>
      <c r="R34" s="8">
        <v>99</v>
      </c>
      <c r="S34" s="8">
        <v>99</v>
      </c>
      <c r="T34" s="8">
        <v>99</v>
      </c>
      <c r="U34" s="8">
        <v>99</v>
      </c>
      <c r="Y34" s="8" t="s">
        <v>208</v>
      </c>
      <c r="Z34" s="8" t="s">
        <v>209</v>
      </c>
    </row>
    <row r="35" spans="1:26" x14ac:dyDescent="0.2">
      <c r="A35" s="8">
        <v>34</v>
      </c>
      <c r="B35" s="8" t="s">
        <v>210</v>
      </c>
      <c r="C35" s="8" t="s">
        <v>210</v>
      </c>
      <c r="F35" s="47"/>
      <c r="G35" s="8">
        <v>19</v>
      </c>
      <c r="H35" s="8" t="s">
        <v>21</v>
      </c>
      <c r="I35" s="8" t="s">
        <v>22</v>
      </c>
      <c r="J35" s="8" t="s">
        <v>57</v>
      </c>
      <c r="K35" s="8" t="s">
        <v>124</v>
      </c>
      <c r="L35" s="8" t="s">
        <v>125</v>
      </c>
      <c r="M35" s="8" t="s">
        <v>126</v>
      </c>
      <c r="N35" s="8" t="s">
        <v>127</v>
      </c>
      <c r="O35" s="8">
        <f>0+11/60+6.6/3600</f>
        <v>0.18516666666666665</v>
      </c>
      <c r="P35" s="8" t="s">
        <v>128</v>
      </c>
      <c r="Q35" s="8">
        <f>-(12+6/60+28/3600)</f>
        <v>-12.107777777777777</v>
      </c>
      <c r="R35" s="8">
        <v>14.4</v>
      </c>
      <c r="S35" s="8">
        <v>15.3</v>
      </c>
      <c r="T35" s="8">
        <v>0.9</v>
      </c>
      <c r="U35" s="8">
        <v>14.8</v>
      </c>
      <c r="V35" s="8">
        <v>2.1</v>
      </c>
      <c r="W35" s="8">
        <v>0.8</v>
      </c>
      <c r="X35" s="8">
        <v>30</v>
      </c>
      <c r="Y35" s="8" t="s">
        <v>129</v>
      </c>
      <c r="Z35" s="8" t="s">
        <v>211</v>
      </c>
    </row>
    <row r="36" spans="1:26" x14ac:dyDescent="0.2">
      <c r="A36" s="8">
        <v>35</v>
      </c>
      <c r="B36" s="8" t="s">
        <v>212</v>
      </c>
      <c r="C36" s="8" t="s">
        <v>212</v>
      </c>
      <c r="F36" s="47"/>
      <c r="G36" s="8">
        <v>19</v>
      </c>
      <c r="H36" s="8" t="s">
        <v>21</v>
      </c>
      <c r="I36" s="8" t="s">
        <v>22</v>
      </c>
      <c r="J36" s="8" t="s">
        <v>22</v>
      </c>
      <c r="K36" s="8" t="s">
        <v>23</v>
      </c>
      <c r="L36" s="8" t="s">
        <v>125</v>
      </c>
      <c r="M36" s="8" t="s">
        <v>126</v>
      </c>
      <c r="N36" s="8" t="s">
        <v>213</v>
      </c>
      <c r="O36" s="8">
        <f>0+11/60+10.4/3600</f>
        <v>0.18622222222222221</v>
      </c>
      <c r="P36" s="8" t="s">
        <v>214</v>
      </c>
      <c r="Q36" s="8">
        <f>-(12+1/60+14/3600)</f>
        <v>-12.020555555555557</v>
      </c>
      <c r="R36" s="8">
        <v>14.1</v>
      </c>
      <c r="S36" s="8">
        <v>14.9</v>
      </c>
      <c r="T36" s="8">
        <v>0.8</v>
      </c>
      <c r="U36" s="8">
        <v>12.8</v>
      </c>
      <c r="V36" s="8">
        <v>0.7</v>
      </c>
      <c r="W36" s="8">
        <v>0.5</v>
      </c>
      <c r="X36" s="8">
        <v>135</v>
      </c>
      <c r="Y36" s="8" t="s">
        <v>215</v>
      </c>
      <c r="Z36" s="8" t="s">
        <v>216</v>
      </c>
    </row>
    <row r="37" spans="1:26" x14ac:dyDescent="0.2">
      <c r="A37" s="8">
        <v>36</v>
      </c>
      <c r="B37" s="8" t="s">
        <v>217</v>
      </c>
      <c r="C37" s="8" t="s">
        <v>217</v>
      </c>
      <c r="F37" s="47" t="s">
        <v>55982</v>
      </c>
      <c r="G37" s="8">
        <v>15</v>
      </c>
      <c r="H37" s="8" t="s">
        <v>21</v>
      </c>
      <c r="I37" s="8" t="s">
        <v>22</v>
      </c>
      <c r="J37" s="8" t="s">
        <v>22</v>
      </c>
      <c r="K37" s="8" t="s">
        <v>218</v>
      </c>
      <c r="L37" s="8" t="s">
        <v>38</v>
      </c>
      <c r="M37" s="8" t="s">
        <v>39</v>
      </c>
      <c r="N37" s="8" t="s">
        <v>219</v>
      </c>
      <c r="O37" s="8">
        <f>0+11/60+22.4/3600</f>
        <v>0.18955555555555553</v>
      </c>
      <c r="P37" s="8" t="s">
        <v>220</v>
      </c>
      <c r="Q37" s="8">
        <f>+(6+23/60+20/3600)</f>
        <v>6.3888888888888893</v>
      </c>
      <c r="R37" s="8">
        <v>13.3</v>
      </c>
      <c r="S37" s="8">
        <v>14.1</v>
      </c>
      <c r="T37" s="8">
        <v>0.8</v>
      </c>
      <c r="U37" s="8">
        <v>14.1</v>
      </c>
      <c r="V37" s="8">
        <v>2.2000000000000002</v>
      </c>
      <c r="W37" s="8">
        <v>1.1000000000000001</v>
      </c>
      <c r="X37" s="8">
        <v>21</v>
      </c>
      <c r="Y37" s="8" t="s">
        <v>221</v>
      </c>
      <c r="Z37" s="8" t="s">
        <v>222</v>
      </c>
    </row>
    <row r="38" spans="1:26" x14ac:dyDescent="0.2">
      <c r="A38" s="8">
        <v>37</v>
      </c>
      <c r="B38" s="8" t="s">
        <v>223</v>
      </c>
      <c r="C38" s="8" t="s">
        <v>223</v>
      </c>
      <c r="F38" s="47"/>
      <c r="G38" s="8">
        <v>16</v>
      </c>
      <c r="H38" s="8" t="s">
        <v>21</v>
      </c>
      <c r="I38" s="8" t="s">
        <v>22</v>
      </c>
      <c r="J38" s="8" t="s">
        <v>22</v>
      </c>
      <c r="K38" s="8" t="s">
        <v>224</v>
      </c>
      <c r="L38" s="8" t="s">
        <v>166</v>
      </c>
      <c r="M38" s="8" t="s">
        <v>167</v>
      </c>
      <c r="N38" s="8" t="s">
        <v>225</v>
      </c>
      <c r="O38" s="8">
        <f>0+11/60+23/3600</f>
        <v>0.18972222222222221</v>
      </c>
      <c r="P38" s="8" t="s">
        <v>226</v>
      </c>
      <c r="Q38" s="8">
        <f>-(56+57/60+25/3600)</f>
        <v>-56.956944444444446</v>
      </c>
      <c r="R38" s="8">
        <v>13.7</v>
      </c>
      <c r="S38" s="8">
        <v>14.7</v>
      </c>
      <c r="T38" s="8">
        <v>1</v>
      </c>
      <c r="U38" s="8">
        <v>13.3</v>
      </c>
      <c r="V38" s="8">
        <v>1.1000000000000001</v>
      </c>
      <c r="W38" s="8">
        <v>0.7</v>
      </c>
      <c r="X38" s="8">
        <v>35</v>
      </c>
      <c r="Y38" s="8" t="s">
        <v>227</v>
      </c>
      <c r="Z38" s="8" t="s">
        <v>228</v>
      </c>
    </row>
    <row r="39" spans="1:26" x14ac:dyDescent="0.2">
      <c r="A39" s="8">
        <v>38</v>
      </c>
      <c r="B39" s="8" t="s">
        <v>229</v>
      </c>
      <c r="C39" s="8" t="s">
        <v>229</v>
      </c>
      <c r="F39" s="47"/>
      <c r="G39" s="8">
        <v>19</v>
      </c>
      <c r="H39" s="8" t="s">
        <v>21</v>
      </c>
      <c r="I39" s="8" t="s">
        <v>22</v>
      </c>
      <c r="J39" s="8" t="s">
        <v>22</v>
      </c>
      <c r="K39" s="8" t="s">
        <v>91</v>
      </c>
      <c r="L39" s="8" t="s">
        <v>38</v>
      </c>
      <c r="M39" s="8" t="s">
        <v>39</v>
      </c>
      <c r="N39" s="8" t="s">
        <v>230</v>
      </c>
      <c r="O39" s="8">
        <f>0+11/60+47/3600</f>
        <v>0.19638888888888889</v>
      </c>
      <c r="P39" s="8" t="s">
        <v>231</v>
      </c>
      <c r="Q39" s="8">
        <f>-(5+35/60+11/3600)</f>
        <v>-5.5863888888888882</v>
      </c>
      <c r="R39" s="8">
        <v>13.3</v>
      </c>
      <c r="S39" s="8">
        <v>14.2</v>
      </c>
      <c r="T39" s="8">
        <v>0.9</v>
      </c>
      <c r="U39" s="8">
        <v>13.8</v>
      </c>
      <c r="V39" s="8">
        <v>1.4</v>
      </c>
      <c r="W39" s="8">
        <v>1.3</v>
      </c>
      <c r="X39" s="8">
        <v>80</v>
      </c>
      <c r="Y39" s="8" t="s">
        <v>232</v>
      </c>
      <c r="Z39" s="8" t="s">
        <v>233</v>
      </c>
    </row>
    <row r="40" spans="1:26" x14ac:dyDescent="0.2">
      <c r="A40" s="8">
        <v>39</v>
      </c>
      <c r="B40" s="8" t="s">
        <v>234</v>
      </c>
      <c r="C40" s="8" t="s">
        <v>234</v>
      </c>
      <c r="F40" s="47" t="s">
        <v>55983</v>
      </c>
      <c r="G40" s="8">
        <v>15</v>
      </c>
      <c r="H40" s="8" t="s">
        <v>21</v>
      </c>
      <c r="I40" s="8" t="s">
        <v>22</v>
      </c>
      <c r="J40" s="8" t="s">
        <v>22</v>
      </c>
      <c r="K40" s="8" t="s">
        <v>160</v>
      </c>
      <c r="L40" s="8" t="s">
        <v>51</v>
      </c>
      <c r="M40" s="8" t="s">
        <v>52</v>
      </c>
      <c r="N40" s="8" t="s">
        <v>235</v>
      </c>
      <c r="O40" s="8">
        <f>0+12/60+18.8/3600</f>
        <v>0.20522222222222222</v>
      </c>
      <c r="P40" s="8" t="s">
        <v>236</v>
      </c>
      <c r="Q40" s="8">
        <f>+(31+3/60+39/3600)</f>
        <v>31.060833333333335</v>
      </c>
      <c r="R40" s="8">
        <v>13.5</v>
      </c>
      <c r="S40" s="8">
        <v>14.2</v>
      </c>
      <c r="T40" s="8">
        <v>0.7</v>
      </c>
      <c r="U40" s="8">
        <v>13.5</v>
      </c>
      <c r="V40" s="8">
        <v>1.1000000000000001</v>
      </c>
      <c r="W40" s="8">
        <v>1</v>
      </c>
      <c r="X40" s="8">
        <v>120</v>
      </c>
      <c r="Y40" s="8" t="s">
        <v>237</v>
      </c>
      <c r="Z40" s="8" t="s">
        <v>238</v>
      </c>
    </row>
    <row r="41" spans="1:26" x14ac:dyDescent="0.2">
      <c r="A41" s="8">
        <v>40</v>
      </c>
      <c r="B41" s="8" t="s">
        <v>239</v>
      </c>
      <c r="C41" s="8" t="s">
        <v>239</v>
      </c>
      <c r="F41" s="47" t="s">
        <v>55984</v>
      </c>
      <c r="G41" s="8">
        <v>2</v>
      </c>
      <c r="H41" s="1" t="s">
        <v>240</v>
      </c>
      <c r="I41" s="8" t="s">
        <v>241</v>
      </c>
      <c r="J41" s="8" t="s">
        <v>241</v>
      </c>
      <c r="K41" s="8" t="s">
        <v>241</v>
      </c>
      <c r="L41" s="8" t="s">
        <v>242</v>
      </c>
      <c r="M41" s="8" t="s">
        <v>243</v>
      </c>
      <c r="N41" s="8" t="s">
        <v>244</v>
      </c>
      <c r="O41" s="8">
        <f>0+13/60+1/3600</f>
        <v>0.21694444444444444</v>
      </c>
      <c r="P41" s="8" t="s">
        <v>245</v>
      </c>
      <c r="Q41" s="8">
        <f>+(72+31/60+21/3600)</f>
        <v>72.522499999999994</v>
      </c>
      <c r="R41" s="8">
        <v>12.3</v>
      </c>
      <c r="S41" s="8">
        <v>10.7</v>
      </c>
      <c r="T41" s="8">
        <v>99</v>
      </c>
      <c r="U41" s="8">
        <v>99</v>
      </c>
      <c r="V41" s="8">
        <v>1.23</v>
      </c>
      <c r="Y41" s="8" t="s">
        <v>246</v>
      </c>
      <c r="Z41" s="8" t="s">
        <v>247</v>
      </c>
    </row>
    <row r="42" spans="1:26" x14ac:dyDescent="0.2">
      <c r="A42" s="8">
        <v>41</v>
      </c>
      <c r="B42" s="8" t="s">
        <v>248</v>
      </c>
      <c r="C42" s="8" t="s">
        <v>248</v>
      </c>
      <c r="F42" s="47"/>
      <c r="G42" s="8">
        <v>18</v>
      </c>
      <c r="H42" s="8" t="s">
        <v>21</v>
      </c>
      <c r="I42" s="8" t="s">
        <v>22</v>
      </c>
      <c r="J42" s="8" t="s">
        <v>22</v>
      </c>
      <c r="K42" s="8" t="s">
        <v>160</v>
      </c>
      <c r="L42" s="8" t="s">
        <v>24</v>
      </c>
      <c r="M42" s="8" t="s">
        <v>25</v>
      </c>
      <c r="N42" s="8" t="s">
        <v>249</v>
      </c>
      <c r="O42" s="8">
        <f>0+12/60+48/3600</f>
        <v>0.21333333333333335</v>
      </c>
      <c r="P42" s="8" t="s">
        <v>250</v>
      </c>
      <c r="Q42" s="8">
        <f>+(22+1/60+26/3600)</f>
        <v>22.023888888888887</v>
      </c>
      <c r="R42" s="8">
        <v>13.7</v>
      </c>
      <c r="S42" s="8">
        <v>14.4</v>
      </c>
      <c r="T42" s="8">
        <v>0.7</v>
      </c>
      <c r="U42" s="8">
        <v>12.6</v>
      </c>
      <c r="V42" s="8">
        <v>0.8</v>
      </c>
      <c r="W42" s="8">
        <v>0.5</v>
      </c>
      <c r="X42" s="8">
        <v>123</v>
      </c>
      <c r="Y42" s="8" t="s">
        <v>251</v>
      </c>
      <c r="Z42" s="8" t="s">
        <v>252</v>
      </c>
    </row>
    <row r="43" spans="1:26" x14ac:dyDescent="0.2">
      <c r="A43" s="8">
        <v>42</v>
      </c>
      <c r="B43" s="8" t="s">
        <v>253</v>
      </c>
      <c r="C43" s="8" t="s">
        <v>253</v>
      </c>
      <c r="F43" s="47"/>
      <c r="G43" s="8">
        <v>18</v>
      </c>
      <c r="H43" s="8" t="s">
        <v>21</v>
      </c>
      <c r="I43" s="8" t="s">
        <v>22</v>
      </c>
      <c r="J43" s="8" t="s">
        <v>22</v>
      </c>
      <c r="K43" s="8" t="s">
        <v>58</v>
      </c>
      <c r="L43" s="8" t="s">
        <v>24</v>
      </c>
      <c r="M43" s="8" t="s">
        <v>25</v>
      </c>
      <c r="N43" s="8" t="s">
        <v>254</v>
      </c>
      <c r="O43" s="8">
        <f>0+12/60+56.3/3600</f>
        <v>0.21563888888888891</v>
      </c>
      <c r="P43" s="8" t="s">
        <v>255</v>
      </c>
      <c r="Q43" s="8">
        <f>+(22+6/60+3/3600)</f>
        <v>22.100833333333334</v>
      </c>
      <c r="R43" s="8">
        <v>13.8</v>
      </c>
      <c r="S43" s="8">
        <v>14.8</v>
      </c>
      <c r="T43" s="8">
        <v>1</v>
      </c>
      <c r="U43" s="8">
        <v>13.2</v>
      </c>
      <c r="V43" s="8">
        <v>1.1000000000000001</v>
      </c>
      <c r="W43" s="8">
        <v>0.6</v>
      </c>
      <c r="X43" s="8">
        <v>115</v>
      </c>
      <c r="Y43" s="8" t="s">
        <v>256</v>
      </c>
      <c r="Z43" s="8" t="s">
        <v>257</v>
      </c>
    </row>
    <row r="44" spans="1:26" x14ac:dyDescent="0.2">
      <c r="A44" s="8">
        <v>43</v>
      </c>
      <c r="B44" s="8" t="s">
        <v>258</v>
      </c>
      <c r="C44" s="8" t="s">
        <v>258</v>
      </c>
      <c r="F44" s="47"/>
      <c r="G44" s="8">
        <v>16</v>
      </c>
      <c r="H44" s="8" t="s">
        <v>21</v>
      </c>
      <c r="I44" s="8" t="s">
        <v>22</v>
      </c>
      <c r="J44" s="8" t="s">
        <v>22</v>
      </c>
      <c r="K44" s="8" t="s">
        <v>224</v>
      </c>
      <c r="L44" s="8" t="s">
        <v>51</v>
      </c>
      <c r="M44" s="8" t="s">
        <v>52</v>
      </c>
      <c r="N44" s="8" t="s">
        <v>259</v>
      </c>
      <c r="O44" s="8">
        <f>0+13/60+0.9/3600</f>
        <v>0.21691666666666667</v>
      </c>
      <c r="P44" s="8" t="s">
        <v>260</v>
      </c>
      <c r="Q44" s="8">
        <f>+(30+54/60+56/3600)</f>
        <v>30.915555555555553</v>
      </c>
      <c r="R44" s="8">
        <v>12.6</v>
      </c>
      <c r="S44" s="8">
        <v>13.6</v>
      </c>
      <c r="T44" s="8">
        <v>1</v>
      </c>
      <c r="U44" s="8">
        <v>13.4</v>
      </c>
      <c r="V44" s="8">
        <v>1.6</v>
      </c>
      <c r="W44" s="8">
        <v>1.5</v>
      </c>
      <c r="X44" s="8">
        <v>15</v>
      </c>
      <c r="Y44" s="8" t="s">
        <v>261</v>
      </c>
      <c r="Z44" s="8" t="s">
        <v>262</v>
      </c>
    </row>
    <row r="45" spans="1:26" x14ac:dyDescent="0.2">
      <c r="A45" s="8">
        <v>44</v>
      </c>
      <c r="B45" s="8" t="s">
        <v>263</v>
      </c>
      <c r="C45" s="8" t="s">
        <v>263</v>
      </c>
      <c r="F45" s="47"/>
      <c r="G45" s="8">
        <v>16</v>
      </c>
      <c r="H45" s="8" t="s">
        <v>21</v>
      </c>
      <c r="I45" s="8" t="s">
        <v>72</v>
      </c>
      <c r="J45" s="8" t="s">
        <v>72</v>
      </c>
      <c r="K45" s="8" t="s">
        <v>73</v>
      </c>
      <c r="L45" s="8" t="s">
        <v>51</v>
      </c>
      <c r="M45" s="8" t="s">
        <v>52</v>
      </c>
      <c r="N45" s="8" t="s">
        <v>264</v>
      </c>
      <c r="O45" s="8">
        <f>0+13/60+13.4/3600</f>
        <v>0.22038888888888888</v>
      </c>
      <c r="P45" s="8" t="s">
        <v>265</v>
      </c>
      <c r="Q45" s="8">
        <f>+(31+17/60+12/3600)</f>
        <v>31.286666666666669</v>
      </c>
      <c r="R45" s="8">
        <v>99</v>
      </c>
      <c r="S45" s="8">
        <v>99</v>
      </c>
      <c r="T45" s="8">
        <v>99</v>
      </c>
      <c r="U45" s="8">
        <v>99</v>
      </c>
      <c r="Y45" s="8" t="s">
        <v>266</v>
      </c>
      <c r="Z45" s="8" t="s">
        <v>267</v>
      </c>
    </row>
    <row r="46" spans="1:26" x14ac:dyDescent="0.2">
      <c r="A46" s="8">
        <v>45</v>
      </c>
      <c r="B46" s="8" t="s">
        <v>268</v>
      </c>
      <c r="C46" s="8" t="s">
        <v>268</v>
      </c>
      <c r="F46" s="47"/>
      <c r="G46" s="8">
        <v>11</v>
      </c>
      <c r="H46" s="8" t="s">
        <v>21</v>
      </c>
      <c r="I46" s="8" t="s">
        <v>22</v>
      </c>
      <c r="J46" s="8" t="s">
        <v>22</v>
      </c>
      <c r="K46" s="8" t="s">
        <v>269</v>
      </c>
      <c r="L46" s="8" t="s">
        <v>125</v>
      </c>
      <c r="M46" s="8" t="s">
        <v>126</v>
      </c>
      <c r="N46" s="8" t="s">
        <v>270</v>
      </c>
      <c r="O46" s="8">
        <f>0+14/60+4/3600</f>
        <v>0.23444444444444446</v>
      </c>
      <c r="P46" s="8" t="s">
        <v>271</v>
      </c>
      <c r="Q46" s="8">
        <f>-(23+10/60+53/3600)</f>
        <v>-23.18138888888889</v>
      </c>
      <c r="R46" s="8">
        <v>10.6</v>
      </c>
      <c r="S46" s="8">
        <v>11.3</v>
      </c>
      <c r="T46" s="8">
        <v>0.7</v>
      </c>
      <c r="U46" s="8">
        <v>14.7</v>
      </c>
      <c r="V46" s="8">
        <v>8.5</v>
      </c>
      <c r="W46" s="8">
        <v>5.9</v>
      </c>
      <c r="X46" s="8">
        <v>142</v>
      </c>
      <c r="Y46" s="8" t="s">
        <v>272</v>
      </c>
      <c r="Z46" s="8" t="s">
        <v>273</v>
      </c>
    </row>
    <row r="47" spans="1:26" x14ac:dyDescent="0.2">
      <c r="A47" s="8">
        <v>46</v>
      </c>
      <c r="B47" s="8" t="s">
        <v>274</v>
      </c>
      <c r="C47" s="8" t="s">
        <v>274</v>
      </c>
      <c r="F47" s="47"/>
      <c r="G47" s="8">
        <v>17</v>
      </c>
      <c r="H47" s="8" t="s">
        <v>21</v>
      </c>
      <c r="I47" s="8" t="s">
        <v>72</v>
      </c>
      <c r="J47" s="8" t="s">
        <v>72</v>
      </c>
      <c r="K47" s="8" t="s">
        <v>20</v>
      </c>
      <c r="L47" s="8" t="s">
        <v>38</v>
      </c>
      <c r="M47" s="8" t="s">
        <v>39</v>
      </c>
      <c r="N47" s="8" t="s">
        <v>275</v>
      </c>
      <c r="O47" s="8">
        <f>0+14/60+10/3600</f>
        <v>0.2361111111111111</v>
      </c>
      <c r="P47" s="8" t="s">
        <v>276</v>
      </c>
      <c r="Q47" s="8">
        <f>+(5+59/60+14/3600)</f>
        <v>5.987222222222222</v>
      </c>
      <c r="R47" s="8">
        <v>99</v>
      </c>
      <c r="S47" s="8">
        <v>11.7</v>
      </c>
      <c r="T47" s="8">
        <v>99</v>
      </c>
      <c r="U47" s="8">
        <v>99</v>
      </c>
      <c r="Y47" s="8" t="s">
        <v>277</v>
      </c>
      <c r="Z47" s="8" t="s">
        <v>278</v>
      </c>
    </row>
    <row r="48" spans="1:26" x14ac:dyDescent="0.2">
      <c r="A48" s="8">
        <v>47</v>
      </c>
      <c r="B48" s="8" t="s">
        <v>279</v>
      </c>
      <c r="C48" s="8" t="s">
        <v>279</v>
      </c>
      <c r="F48" s="47"/>
      <c r="G48" s="8">
        <v>19</v>
      </c>
      <c r="H48" s="8" t="s">
        <v>21</v>
      </c>
      <c r="I48" s="8" t="s">
        <v>22</v>
      </c>
      <c r="J48" s="8" t="s">
        <v>22</v>
      </c>
      <c r="K48" s="8" t="s">
        <v>85</v>
      </c>
      <c r="L48" s="8" t="s">
        <v>125</v>
      </c>
      <c r="M48" s="8" t="s">
        <v>126</v>
      </c>
      <c r="N48" s="8" t="s">
        <v>280</v>
      </c>
      <c r="O48" s="8">
        <f>0+14/60+30.5/3600</f>
        <v>0.24180555555555555</v>
      </c>
      <c r="P48" s="8" t="s">
        <v>281</v>
      </c>
      <c r="Q48" s="8">
        <f>-(7+10/60+4/3600)</f>
        <v>-7.1677777777777782</v>
      </c>
      <c r="R48" s="8">
        <v>13.1</v>
      </c>
      <c r="S48" s="8">
        <v>13.9</v>
      </c>
      <c r="T48" s="8">
        <v>0.8</v>
      </c>
      <c r="U48" s="8">
        <v>14.7</v>
      </c>
      <c r="V48" s="8">
        <v>2.2999999999999998</v>
      </c>
      <c r="W48" s="8">
        <v>2.1</v>
      </c>
      <c r="X48" s="8">
        <v>81</v>
      </c>
      <c r="Y48" s="8" t="s">
        <v>282</v>
      </c>
      <c r="Z48" s="8" t="s">
        <v>283</v>
      </c>
    </row>
    <row r="49" spans="1:26" x14ac:dyDescent="0.2">
      <c r="A49" s="8">
        <v>48</v>
      </c>
      <c r="B49" s="8" t="s">
        <v>284</v>
      </c>
      <c r="C49" s="8" t="s">
        <v>284</v>
      </c>
      <c r="F49" s="47"/>
      <c r="G49" s="8">
        <v>19</v>
      </c>
      <c r="H49" s="8" t="s">
        <v>21</v>
      </c>
      <c r="I49" s="8" t="s">
        <v>22</v>
      </c>
      <c r="J49" s="8" t="s">
        <v>22</v>
      </c>
      <c r="K49" s="8" t="s">
        <v>85</v>
      </c>
      <c r="L49" s="8" t="s">
        <v>51</v>
      </c>
      <c r="M49" s="8" t="s">
        <v>52</v>
      </c>
      <c r="N49" s="8" t="s">
        <v>285</v>
      </c>
      <c r="O49" s="8">
        <f>0+14/60+2.1/3600</f>
        <v>0.23391666666666666</v>
      </c>
      <c r="P49" s="8" t="s">
        <v>286</v>
      </c>
      <c r="Q49" s="8">
        <f>+(48+14/60+6/3600)</f>
        <v>48.234999999999999</v>
      </c>
      <c r="R49" s="8">
        <v>13.6</v>
      </c>
      <c r="S49" s="8">
        <v>14.4</v>
      </c>
      <c r="T49" s="8">
        <v>0.8</v>
      </c>
      <c r="U49" s="8">
        <v>13.7</v>
      </c>
      <c r="V49" s="8">
        <v>1.6</v>
      </c>
      <c r="W49" s="8">
        <v>1</v>
      </c>
      <c r="X49" s="8">
        <v>15</v>
      </c>
      <c r="Y49" s="8" t="s">
        <v>287</v>
      </c>
      <c r="Z49" s="8" t="s">
        <v>288</v>
      </c>
    </row>
    <row r="50" spans="1:26" x14ac:dyDescent="0.2">
      <c r="A50" s="8">
        <v>49</v>
      </c>
      <c r="B50" s="8" t="s">
        <v>289</v>
      </c>
      <c r="C50" s="8" t="s">
        <v>289</v>
      </c>
      <c r="F50" s="47"/>
      <c r="G50" s="8">
        <v>19</v>
      </c>
      <c r="H50" s="8" t="s">
        <v>21</v>
      </c>
      <c r="I50" s="8" t="s">
        <v>22</v>
      </c>
      <c r="J50" s="8" t="s">
        <v>22</v>
      </c>
      <c r="K50" s="8" t="s">
        <v>37</v>
      </c>
      <c r="L50" s="8" t="s">
        <v>51</v>
      </c>
      <c r="M50" s="8" t="s">
        <v>52</v>
      </c>
      <c r="N50" s="8" t="s">
        <v>290</v>
      </c>
      <c r="O50" s="8">
        <f>0+14/60+22.4/3600</f>
        <v>0.23955555555555555</v>
      </c>
      <c r="P50" s="8" t="s">
        <v>291</v>
      </c>
      <c r="Q50" s="8">
        <f>+(48+14/60+50/3600)</f>
        <v>48.24722222222222</v>
      </c>
      <c r="R50" s="8">
        <v>13.7</v>
      </c>
      <c r="S50" s="8">
        <v>14.7</v>
      </c>
      <c r="T50" s="8">
        <v>1</v>
      </c>
      <c r="U50" s="8">
        <v>13.4</v>
      </c>
      <c r="V50" s="8">
        <v>1.1000000000000001</v>
      </c>
      <c r="W50" s="8">
        <v>1</v>
      </c>
      <c r="X50" s="8">
        <v>165</v>
      </c>
      <c r="Y50" s="8" t="s">
        <v>292</v>
      </c>
      <c r="Z50" s="8" t="s">
        <v>293</v>
      </c>
    </row>
    <row r="51" spans="1:26" x14ac:dyDescent="0.2">
      <c r="A51" s="8">
        <v>50</v>
      </c>
      <c r="B51" s="8" t="s">
        <v>294</v>
      </c>
      <c r="C51" s="8" t="s">
        <v>294</v>
      </c>
      <c r="F51" s="47"/>
      <c r="G51" s="8">
        <v>18</v>
      </c>
      <c r="H51" s="8" t="s">
        <v>21</v>
      </c>
      <c r="I51" s="8" t="s">
        <v>22</v>
      </c>
      <c r="J51" s="8" t="s">
        <v>22</v>
      </c>
      <c r="K51" s="8" t="s">
        <v>58</v>
      </c>
      <c r="L51" s="8" t="s">
        <v>125</v>
      </c>
      <c r="M51" s="8" t="s">
        <v>126</v>
      </c>
      <c r="N51" s="8" t="s">
        <v>295</v>
      </c>
      <c r="O51" s="8">
        <f>0+14/60+44.6/3600</f>
        <v>0.24572222222222223</v>
      </c>
      <c r="P51" s="8" t="s">
        <v>296</v>
      </c>
      <c r="Q51" s="8">
        <f>-(7+20/60+42/3600)</f>
        <v>-7.3449999999999998</v>
      </c>
      <c r="R51" s="8">
        <v>12.3</v>
      </c>
      <c r="S51" s="8">
        <v>13.3</v>
      </c>
      <c r="T51" s="8">
        <v>1</v>
      </c>
      <c r="U51" s="8">
        <v>14</v>
      </c>
      <c r="V51" s="8">
        <v>2.4</v>
      </c>
      <c r="W51" s="8">
        <v>1.8</v>
      </c>
      <c r="X51" s="8">
        <v>170</v>
      </c>
      <c r="Y51" s="8" t="s">
        <v>297</v>
      </c>
      <c r="Z51" s="8" t="s">
        <v>298</v>
      </c>
    </row>
    <row r="52" spans="1:26" x14ac:dyDescent="0.2">
      <c r="A52" s="8">
        <v>51</v>
      </c>
      <c r="B52" s="8" t="s">
        <v>299</v>
      </c>
      <c r="C52" s="8" t="s">
        <v>299</v>
      </c>
      <c r="F52" s="47"/>
      <c r="G52" s="8">
        <v>19</v>
      </c>
      <c r="H52" s="8" t="s">
        <v>21</v>
      </c>
      <c r="I52" s="8" t="s">
        <v>22</v>
      </c>
      <c r="J52" s="8" t="s">
        <v>22</v>
      </c>
      <c r="K52" s="8" t="s">
        <v>37</v>
      </c>
      <c r="L52" s="8" t="s">
        <v>51</v>
      </c>
      <c r="M52" s="8" t="s">
        <v>52</v>
      </c>
      <c r="N52" s="8" t="s">
        <v>300</v>
      </c>
      <c r="O52" s="8">
        <f>0+14/60+34.8/3600</f>
        <v>0.24299999999999999</v>
      </c>
      <c r="P52" s="8" t="s">
        <v>301</v>
      </c>
      <c r="Q52" s="8">
        <f>+(48+15/60+22/3600)</f>
        <v>48.25611111111111</v>
      </c>
      <c r="R52" s="8">
        <v>13.1</v>
      </c>
      <c r="S52" s="8">
        <v>14.1</v>
      </c>
      <c r="T52" s="8">
        <v>1</v>
      </c>
      <c r="U52" s="8">
        <v>13.3</v>
      </c>
      <c r="V52" s="8">
        <v>1.3</v>
      </c>
      <c r="W52" s="8">
        <v>1</v>
      </c>
      <c r="X52" s="8">
        <v>20</v>
      </c>
      <c r="Y52" s="8" t="s">
        <v>302</v>
      </c>
      <c r="Z52" s="8" t="s">
        <v>303</v>
      </c>
    </row>
    <row r="53" spans="1:26" x14ac:dyDescent="0.2">
      <c r="A53" s="8">
        <v>52</v>
      </c>
      <c r="B53" s="8" t="s">
        <v>304</v>
      </c>
      <c r="C53" s="8" t="s">
        <v>304</v>
      </c>
      <c r="F53" s="47" t="s">
        <v>55985</v>
      </c>
      <c r="G53" s="8">
        <v>15</v>
      </c>
      <c r="H53" s="8" t="s">
        <v>21</v>
      </c>
      <c r="I53" s="8" t="s">
        <v>22</v>
      </c>
      <c r="J53" s="8" t="s">
        <v>22</v>
      </c>
      <c r="K53" s="8" t="s">
        <v>160</v>
      </c>
      <c r="L53" s="8" t="s">
        <v>24</v>
      </c>
      <c r="M53" s="8" t="s">
        <v>25</v>
      </c>
      <c r="N53" s="8" t="s">
        <v>305</v>
      </c>
      <c r="O53" s="8">
        <f>0+14/60+40/3600</f>
        <v>0.24444444444444444</v>
      </c>
      <c r="P53" s="8" t="s">
        <v>306</v>
      </c>
      <c r="Q53" s="8">
        <f>+(18+34/60+54/3600)</f>
        <v>18.581666666666667</v>
      </c>
      <c r="R53" s="8">
        <v>13.4</v>
      </c>
      <c r="S53" s="8">
        <v>14.1</v>
      </c>
      <c r="T53" s="8">
        <v>0.7</v>
      </c>
      <c r="U53" s="8">
        <v>13.1</v>
      </c>
      <c r="V53" s="8">
        <v>2.2000000000000002</v>
      </c>
      <c r="W53" s="8">
        <v>0.4</v>
      </c>
      <c r="X53" s="8">
        <v>127</v>
      </c>
      <c r="Y53" s="8" t="s">
        <v>307</v>
      </c>
      <c r="Z53" s="8" t="s">
        <v>308</v>
      </c>
    </row>
    <row r="54" spans="1:26" x14ac:dyDescent="0.2">
      <c r="A54" s="8">
        <v>53</v>
      </c>
      <c r="B54" s="8" t="s">
        <v>309</v>
      </c>
      <c r="C54" s="8" t="s">
        <v>309</v>
      </c>
      <c r="F54" s="47"/>
      <c r="G54" s="8">
        <v>16</v>
      </c>
      <c r="H54" s="8" t="s">
        <v>21</v>
      </c>
      <c r="I54" s="8" t="s">
        <v>22</v>
      </c>
      <c r="J54" s="8" t="s">
        <v>22</v>
      </c>
      <c r="K54" s="8" t="s">
        <v>218</v>
      </c>
      <c r="L54" s="8" t="s">
        <v>310</v>
      </c>
      <c r="M54" s="8" t="s">
        <v>311</v>
      </c>
      <c r="N54" s="8" t="s">
        <v>312</v>
      </c>
      <c r="O54" s="8">
        <f>0+14/60+43/3600</f>
        <v>0.24527777777777779</v>
      </c>
      <c r="P54" s="8" t="s">
        <v>313</v>
      </c>
      <c r="Q54" s="8">
        <f>-(60+19/60+43/3600)</f>
        <v>-60.328611111111115</v>
      </c>
      <c r="R54" s="8">
        <v>12.6</v>
      </c>
      <c r="S54" s="8">
        <v>13.3</v>
      </c>
      <c r="T54" s="8">
        <v>0.7</v>
      </c>
      <c r="U54" s="8">
        <v>13.6</v>
      </c>
      <c r="V54" s="8">
        <v>2</v>
      </c>
      <c r="W54" s="8">
        <v>1.4</v>
      </c>
      <c r="X54" s="8">
        <v>172</v>
      </c>
      <c r="Y54" s="8" t="s">
        <v>314</v>
      </c>
      <c r="Z54" s="8" t="s">
        <v>315</v>
      </c>
    </row>
    <row r="55" spans="1:26" x14ac:dyDescent="0.2">
      <c r="A55" s="8">
        <v>54</v>
      </c>
      <c r="B55" s="8" t="s">
        <v>316</v>
      </c>
      <c r="C55" s="8" t="s">
        <v>316</v>
      </c>
      <c r="F55" s="47"/>
      <c r="G55" s="8">
        <v>19</v>
      </c>
      <c r="H55" s="8" t="s">
        <v>21</v>
      </c>
      <c r="I55" s="8" t="s">
        <v>22</v>
      </c>
      <c r="J55" s="8" t="s">
        <v>22</v>
      </c>
      <c r="K55" s="8" t="s">
        <v>91</v>
      </c>
      <c r="L55" s="8" t="s">
        <v>125</v>
      </c>
      <c r="M55" s="8" t="s">
        <v>126</v>
      </c>
      <c r="N55" s="8" t="s">
        <v>317</v>
      </c>
      <c r="O55" s="8">
        <f>0+15/60+7.6/3600</f>
        <v>0.25211111111111112</v>
      </c>
      <c r="P55" s="8" t="s">
        <v>318</v>
      </c>
      <c r="Q55" s="8">
        <f>-(7+6/60+24/3600)</f>
        <v>-7.1066666666666665</v>
      </c>
      <c r="R55" s="8">
        <v>13.4</v>
      </c>
      <c r="S55" s="8">
        <v>14.3</v>
      </c>
      <c r="T55" s="8">
        <v>0.9</v>
      </c>
      <c r="U55" s="8">
        <v>12.4</v>
      </c>
      <c r="V55" s="8">
        <v>1.3</v>
      </c>
      <c r="W55" s="8">
        <v>0.5</v>
      </c>
      <c r="X55" s="8">
        <v>93</v>
      </c>
      <c r="Y55" s="8" t="s">
        <v>319</v>
      </c>
      <c r="Z55" s="8" t="s">
        <v>320</v>
      </c>
    </row>
    <row r="56" spans="1:26" x14ac:dyDescent="0.2">
      <c r="A56" s="8">
        <v>55</v>
      </c>
      <c r="B56" s="8" t="s">
        <v>321</v>
      </c>
      <c r="C56" s="8" t="s">
        <v>321</v>
      </c>
      <c r="F56" s="47"/>
      <c r="G56" s="8">
        <v>2</v>
      </c>
      <c r="H56" s="8" t="s">
        <v>322</v>
      </c>
      <c r="I56" s="8" t="s">
        <v>22</v>
      </c>
      <c r="J56" s="8" t="s">
        <v>22</v>
      </c>
      <c r="K56" s="8" t="s">
        <v>323</v>
      </c>
      <c r="L56" s="8" t="s">
        <v>65</v>
      </c>
      <c r="M56" s="8" t="s">
        <v>66</v>
      </c>
      <c r="N56" s="8" t="s">
        <v>324</v>
      </c>
      <c r="O56" s="8">
        <f>0+15/60+8/3600</f>
        <v>0.25222222222222224</v>
      </c>
      <c r="P56" s="8" t="s">
        <v>325</v>
      </c>
      <c r="Q56" s="8">
        <f>-(39+13/60+10/3600)</f>
        <v>-39.219444444444449</v>
      </c>
      <c r="R56" s="8">
        <v>7.9</v>
      </c>
      <c r="S56" s="8">
        <v>8.4</v>
      </c>
      <c r="T56" s="8">
        <v>0.5</v>
      </c>
      <c r="U56" s="8">
        <v>13.4</v>
      </c>
      <c r="V56" s="8">
        <v>31.2</v>
      </c>
      <c r="W56" s="8">
        <v>5.9</v>
      </c>
      <c r="X56" s="8">
        <v>108</v>
      </c>
      <c r="Y56" s="8" t="s">
        <v>326</v>
      </c>
      <c r="Z56" s="8" t="s">
        <v>327</v>
      </c>
    </row>
    <row r="57" spans="1:26" x14ac:dyDescent="0.2">
      <c r="A57" s="8">
        <v>56</v>
      </c>
      <c r="B57" s="8" t="s">
        <v>328</v>
      </c>
      <c r="C57" s="8" t="s">
        <v>328</v>
      </c>
      <c r="F57" s="47"/>
      <c r="G57" s="8">
        <v>16</v>
      </c>
      <c r="H57" s="8" t="s">
        <v>21</v>
      </c>
      <c r="I57" s="8" t="s">
        <v>329</v>
      </c>
      <c r="J57" s="8" t="s">
        <v>329</v>
      </c>
      <c r="K57" s="8" t="s">
        <v>329</v>
      </c>
      <c r="L57" s="8" t="s">
        <v>38</v>
      </c>
      <c r="M57" s="8" t="s">
        <v>39</v>
      </c>
      <c r="N57" s="8" t="s">
        <v>330</v>
      </c>
      <c r="O57" s="8">
        <f>0+15/60+20.6/3600</f>
        <v>0.25572222222222224</v>
      </c>
      <c r="P57" s="8" t="s">
        <v>331</v>
      </c>
      <c r="Q57" s="8">
        <f>+(12+26/60+40/3600)</f>
        <v>12.444444444444445</v>
      </c>
      <c r="R57" s="8">
        <v>99</v>
      </c>
      <c r="S57" s="8">
        <v>99</v>
      </c>
      <c r="T57" s="8">
        <v>99</v>
      </c>
      <c r="U57" s="8">
        <v>99</v>
      </c>
      <c r="Y57" s="8" t="s">
        <v>332</v>
      </c>
      <c r="Z57" s="8" t="s">
        <v>333</v>
      </c>
    </row>
    <row r="58" spans="1:26" x14ac:dyDescent="0.2">
      <c r="A58" s="8">
        <v>57</v>
      </c>
      <c r="B58" s="8" t="s">
        <v>334</v>
      </c>
      <c r="C58" s="8" t="s">
        <v>334</v>
      </c>
      <c r="F58" s="47" t="s">
        <v>55986</v>
      </c>
      <c r="G58" s="8">
        <v>15</v>
      </c>
      <c r="H58" s="8" t="s">
        <v>21</v>
      </c>
      <c r="I58" s="8" t="s">
        <v>22</v>
      </c>
      <c r="J58" s="8" t="s">
        <v>22</v>
      </c>
      <c r="K58" s="8" t="s">
        <v>183</v>
      </c>
      <c r="L58" s="8" t="s">
        <v>38</v>
      </c>
      <c r="M58" s="8" t="s">
        <v>39</v>
      </c>
      <c r="N58" s="8" t="s">
        <v>335</v>
      </c>
      <c r="O58" s="8">
        <f>0+15/60+30.9/3600</f>
        <v>0.25858333333333333</v>
      </c>
      <c r="P58" s="8" t="s">
        <v>336</v>
      </c>
      <c r="Q58" s="8">
        <f>+(17+19/60+45/3600)</f>
        <v>17.329166666666666</v>
      </c>
      <c r="R58" s="8">
        <v>11.6</v>
      </c>
      <c r="S58" s="8">
        <v>12.7</v>
      </c>
      <c r="T58" s="8">
        <v>1.1000000000000001</v>
      </c>
      <c r="U58" s="8">
        <v>13.1</v>
      </c>
      <c r="V58" s="8">
        <v>2.2000000000000002</v>
      </c>
      <c r="W58" s="8">
        <v>1.9</v>
      </c>
      <c r="X58" s="8">
        <v>40</v>
      </c>
      <c r="Y58" s="8" t="s">
        <v>337</v>
      </c>
      <c r="Z58" s="8" t="s">
        <v>338</v>
      </c>
    </row>
    <row r="59" spans="1:26" x14ac:dyDescent="0.2">
      <c r="A59" s="8">
        <v>58</v>
      </c>
      <c r="B59" s="8" t="s">
        <v>339</v>
      </c>
      <c r="C59" s="8" t="s">
        <v>339</v>
      </c>
      <c r="F59" s="47"/>
      <c r="G59" s="8">
        <v>19</v>
      </c>
      <c r="H59" s="8" t="s">
        <v>21</v>
      </c>
      <c r="I59" s="8" t="s">
        <v>22</v>
      </c>
      <c r="J59" s="8" t="s">
        <v>57</v>
      </c>
      <c r="K59" s="8" t="s">
        <v>85</v>
      </c>
      <c r="L59" s="8" t="s">
        <v>125</v>
      </c>
      <c r="M59" s="8" t="s">
        <v>126</v>
      </c>
      <c r="N59" s="8" t="s">
        <v>280</v>
      </c>
      <c r="O59" s="8">
        <f>0+14/60+30.5/3600</f>
        <v>0.24180555555555555</v>
      </c>
      <c r="P59" s="8" t="s">
        <v>281</v>
      </c>
      <c r="Q59" s="8">
        <f>-(7+10/60+4/3600)</f>
        <v>-7.1677777777777782</v>
      </c>
      <c r="R59" s="8">
        <v>13.1</v>
      </c>
      <c r="S59" s="8">
        <v>13.9</v>
      </c>
      <c r="T59" s="8">
        <v>0.8</v>
      </c>
      <c r="U59" s="8">
        <v>14.7</v>
      </c>
      <c r="V59" s="8">
        <v>2.2999999999999998</v>
      </c>
      <c r="W59" s="8">
        <v>2.1</v>
      </c>
      <c r="X59" s="8">
        <v>81</v>
      </c>
      <c r="Y59" s="8" t="s">
        <v>237</v>
      </c>
      <c r="Z59" s="8" t="s">
        <v>238</v>
      </c>
    </row>
    <row r="60" spans="1:26" x14ac:dyDescent="0.2">
      <c r="A60" s="8">
        <v>59</v>
      </c>
      <c r="B60" s="8" t="s">
        <v>340</v>
      </c>
      <c r="C60" s="8" t="s">
        <v>340</v>
      </c>
      <c r="F60" s="47"/>
      <c r="G60" s="8">
        <v>19</v>
      </c>
      <c r="H60" s="8" t="s">
        <v>21</v>
      </c>
      <c r="I60" s="8" t="s">
        <v>22</v>
      </c>
      <c r="J60" s="8" t="s">
        <v>22</v>
      </c>
      <c r="K60" s="8" t="s">
        <v>58</v>
      </c>
      <c r="L60" s="8" t="s">
        <v>125</v>
      </c>
      <c r="M60" s="8" t="s">
        <v>126</v>
      </c>
      <c r="N60" s="8" t="s">
        <v>341</v>
      </c>
      <c r="O60" s="8">
        <f>0+15/60+25.3/3600</f>
        <v>0.2570277777777778</v>
      </c>
      <c r="P60" s="8" t="s">
        <v>342</v>
      </c>
      <c r="Q60" s="8">
        <f>-(21+26/60+41/3600)</f>
        <v>-21.444722222222222</v>
      </c>
      <c r="R60" s="8">
        <v>12.4</v>
      </c>
      <c r="S60" s="8">
        <v>13.1</v>
      </c>
      <c r="T60" s="8">
        <v>0.7</v>
      </c>
      <c r="U60" s="8">
        <v>13.6</v>
      </c>
      <c r="V60" s="8">
        <v>2.6</v>
      </c>
      <c r="W60" s="8">
        <v>1.3</v>
      </c>
      <c r="X60" s="8">
        <v>127</v>
      </c>
      <c r="Y60" s="8" t="s">
        <v>343</v>
      </c>
      <c r="Z60" s="8" t="s">
        <v>344</v>
      </c>
    </row>
    <row r="61" spans="1:26" x14ac:dyDescent="0.2">
      <c r="A61" s="8">
        <v>60</v>
      </c>
      <c r="B61" s="8" t="s">
        <v>345</v>
      </c>
      <c r="C61" s="8" t="s">
        <v>345</v>
      </c>
      <c r="F61" s="47"/>
      <c r="G61" s="8">
        <v>19</v>
      </c>
      <c r="H61" s="8" t="s">
        <v>21</v>
      </c>
      <c r="I61" s="8" t="s">
        <v>22</v>
      </c>
      <c r="J61" s="8" t="s">
        <v>22</v>
      </c>
      <c r="K61" s="8" t="s">
        <v>160</v>
      </c>
      <c r="L61" s="8" t="s">
        <v>38</v>
      </c>
      <c r="M61" s="8" t="s">
        <v>39</v>
      </c>
      <c r="N61" s="8" t="s">
        <v>346</v>
      </c>
      <c r="O61" s="8">
        <f>0+15/60+58.2/3600</f>
        <v>0.26616666666666666</v>
      </c>
      <c r="P61" s="8" t="s">
        <v>347</v>
      </c>
      <c r="Q61" s="8">
        <f>-(0+18/60+13/3600)</f>
        <v>-0.30361111111111111</v>
      </c>
      <c r="R61" s="8">
        <v>14.1</v>
      </c>
      <c r="S61" s="8">
        <v>14.8</v>
      </c>
      <c r="T61" s="8">
        <v>0.7</v>
      </c>
      <c r="U61" s="8">
        <v>14.3</v>
      </c>
      <c r="V61" s="8">
        <v>1.3</v>
      </c>
      <c r="W61" s="8">
        <v>1.2</v>
      </c>
      <c r="X61" s="8">
        <v>155</v>
      </c>
      <c r="Y61" s="8" t="s">
        <v>348</v>
      </c>
      <c r="Z61" s="8" t="s">
        <v>349</v>
      </c>
    </row>
    <row r="62" spans="1:26" x14ac:dyDescent="0.2">
      <c r="A62" s="8">
        <v>61</v>
      </c>
      <c r="B62" s="8" t="s">
        <v>350</v>
      </c>
      <c r="C62" s="8" t="s">
        <v>350</v>
      </c>
      <c r="D62" s="8" t="s">
        <v>351</v>
      </c>
      <c r="F62" s="47" t="s">
        <v>55987</v>
      </c>
      <c r="G62" s="8">
        <v>15</v>
      </c>
      <c r="H62" s="8" t="s">
        <v>21</v>
      </c>
      <c r="I62" s="8" t="s">
        <v>22</v>
      </c>
      <c r="J62" s="8" t="s">
        <v>22</v>
      </c>
      <c r="K62" s="8" t="s">
        <v>37</v>
      </c>
      <c r="L62" s="8" t="s">
        <v>125</v>
      </c>
      <c r="M62" s="8" t="s">
        <v>126</v>
      </c>
      <c r="N62" s="8" t="s">
        <v>352</v>
      </c>
      <c r="O62" s="8">
        <f>0+16/60+24/3600</f>
        <v>0.27333333333333332</v>
      </c>
      <c r="P62" s="8" t="s">
        <v>353</v>
      </c>
      <c r="Q62" s="8">
        <f>-(6+19/60+2/3600)</f>
        <v>-6.3172222222222221</v>
      </c>
      <c r="R62" s="8">
        <v>13</v>
      </c>
      <c r="S62" s="8">
        <v>14</v>
      </c>
      <c r="T62" s="8">
        <v>1</v>
      </c>
      <c r="U62" s="8">
        <v>12.4</v>
      </c>
      <c r="V62" s="8">
        <v>1.1000000000000001</v>
      </c>
      <c r="W62" s="8">
        <v>0.7</v>
      </c>
      <c r="X62" s="8">
        <v>24</v>
      </c>
      <c r="Y62" s="8" t="s">
        <v>354</v>
      </c>
      <c r="Z62" s="8" t="s">
        <v>355</v>
      </c>
    </row>
    <row r="63" spans="1:26" x14ac:dyDescent="0.2">
      <c r="A63" s="8">
        <v>62</v>
      </c>
      <c r="B63" s="8" t="s">
        <v>356</v>
      </c>
      <c r="C63" s="8" t="s">
        <v>356</v>
      </c>
      <c r="F63" s="47"/>
      <c r="G63" s="8">
        <v>19</v>
      </c>
      <c r="H63" s="8" t="s">
        <v>21</v>
      </c>
      <c r="I63" s="8" t="s">
        <v>22</v>
      </c>
      <c r="J63" s="8" t="s">
        <v>22</v>
      </c>
      <c r="K63" s="8" t="s">
        <v>91</v>
      </c>
      <c r="L63" s="8" t="s">
        <v>125</v>
      </c>
      <c r="M63" s="8" t="s">
        <v>126</v>
      </c>
      <c r="N63" s="8" t="s">
        <v>357</v>
      </c>
      <c r="O63" s="8">
        <f>0+17/60+5.3/3600</f>
        <v>0.28480555555555553</v>
      </c>
      <c r="P63" s="8" t="s">
        <v>358</v>
      </c>
      <c r="Q63" s="8">
        <f>-(13+29/60+11/3600)</f>
        <v>-13.486388888888888</v>
      </c>
      <c r="R63" s="8">
        <v>13.2</v>
      </c>
      <c r="S63" s="8">
        <v>14.1</v>
      </c>
      <c r="T63" s="8">
        <v>0.9</v>
      </c>
      <c r="U63" s="8">
        <v>12.6</v>
      </c>
      <c r="V63" s="8">
        <v>1.1000000000000001</v>
      </c>
      <c r="W63" s="8">
        <v>0.8</v>
      </c>
      <c r="X63" s="8">
        <v>130</v>
      </c>
      <c r="Y63" s="8" t="s">
        <v>359</v>
      </c>
      <c r="Z63" s="8" t="s">
        <v>360</v>
      </c>
    </row>
    <row r="64" spans="1:26" x14ac:dyDescent="0.2">
      <c r="A64" s="8">
        <v>63</v>
      </c>
      <c r="B64" s="8" t="s">
        <v>361</v>
      </c>
      <c r="C64" s="8" t="s">
        <v>361</v>
      </c>
      <c r="F64" s="47"/>
      <c r="G64" s="8">
        <v>18</v>
      </c>
      <c r="H64" s="8" t="s">
        <v>21</v>
      </c>
      <c r="I64" s="8" t="s">
        <v>22</v>
      </c>
      <c r="J64" s="8" t="s">
        <v>22</v>
      </c>
      <c r="K64" s="8" t="s">
        <v>124</v>
      </c>
      <c r="L64" s="8" t="s">
        <v>38</v>
      </c>
      <c r="M64" s="8" t="s">
        <v>39</v>
      </c>
      <c r="N64" s="8" t="s">
        <v>362</v>
      </c>
      <c r="O64" s="8">
        <f>0+17/60+45.5/3600</f>
        <v>0.29597222222222219</v>
      </c>
      <c r="P64" s="8" t="s">
        <v>363</v>
      </c>
      <c r="Q64" s="8">
        <f>+(11+27/60+0/3600)</f>
        <v>11.45</v>
      </c>
      <c r="R64" s="8">
        <v>11.7</v>
      </c>
      <c r="S64" s="8">
        <v>12.6</v>
      </c>
      <c r="T64" s="8">
        <v>0.9</v>
      </c>
      <c r="U64" s="8">
        <v>12.3</v>
      </c>
      <c r="V64" s="8">
        <v>1.7</v>
      </c>
      <c r="W64" s="8">
        <v>1.2</v>
      </c>
      <c r="X64" s="8">
        <v>108</v>
      </c>
      <c r="Y64" s="8" t="s">
        <v>364</v>
      </c>
      <c r="Z64" s="8" t="s">
        <v>365</v>
      </c>
    </row>
    <row r="65" spans="1:26" x14ac:dyDescent="0.2">
      <c r="A65" s="8">
        <v>64</v>
      </c>
      <c r="B65" s="8" t="s">
        <v>366</v>
      </c>
      <c r="C65" s="8" t="s">
        <v>366</v>
      </c>
      <c r="F65" s="47"/>
      <c r="G65" s="8">
        <v>19</v>
      </c>
      <c r="H65" s="8" t="s">
        <v>21</v>
      </c>
      <c r="I65" s="8" t="s">
        <v>22</v>
      </c>
      <c r="J65" s="8" t="s">
        <v>22</v>
      </c>
      <c r="K65" s="8" t="s">
        <v>85</v>
      </c>
      <c r="L65" s="8" t="s">
        <v>125</v>
      </c>
      <c r="M65" s="8" t="s">
        <v>126</v>
      </c>
      <c r="N65" s="8" t="s">
        <v>367</v>
      </c>
      <c r="O65" s="8">
        <f>0+17/60+30.3/3600</f>
        <v>0.29175000000000001</v>
      </c>
      <c r="P65" s="8" t="s">
        <v>368</v>
      </c>
      <c r="Q65" s="8">
        <f>-(6+49/60+30/3600)</f>
        <v>-6.8250000000000002</v>
      </c>
      <c r="R65" s="8">
        <v>13.2</v>
      </c>
      <c r="S65" s="8">
        <v>14</v>
      </c>
      <c r="T65" s="8">
        <v>0.8</v>
      </c>
      <c r="U65" s="8">
        <v>13.7</v>
      </c>
      <c r="V65" s="8">
        <v>1.6</v>
      </c>
      <c r="W65" s="8">
        <v>1.1000000000000001</v>
      </c>
      <c r="X65" s="8">
        <v>39</v>
      </c>
      <c r="Y65" s="8" t="s">
        <v>369</v>
      </c>
      <c r="Z65" s="8" t="s">
        <v>370</v>
      </c>
    </row>
    <row r="66" spans="1:26" x14ac:dyDescent="0.2">
      <c r="A66" s="8">
        <v>65</v>
      </c>
      <c r="B66" s="8" t="s">
        <v>371</v>
      </c>
      <c r="C66" s="8" t="s">
        <v>371</v>
      </c>
      <c r="F66" s="47"/>
      <c r="G66" s="8">
        <v>19</v>
      </c>
      <c r="H66" s="8" t="s">
        <v>21</v>
      </c>
      <c r="I66" s="8" t="s">
        <v>22</v>
      </c>
      <c r="J66" s="8" t="s">
        <v>22</v>
      </c>
      <c r="K66" s="8" t="s">
        <v>118</v>
      </c>
      <c r="L66" s="8" t="s">
        <v>125</v>
      </c>
      <c r="M66" s="8" t="s">
        <v>126</v>
      </c>
      <c r="N66" s="8" t="s">
        <v>372</v>
      </c>
      <c r="O66" s="8">
        <f>0+18/60+58.7/3600</f>
        <v>0.31630555555555556</v>
      </c>
      <c r="P66" s="8" t="s">
        <v>373</v>
      </c>
      <c r="Q66" s="8">
        <f>-(22+52/60+48/3600)</f>
        <v>-22.88</v>
      </c>
      <c r="R66" s="8">
        <v>13.9</v>
      </c>
      <c r="S66" s="8">
        <v>14.8</v>
      </c>
      <c r="T66" s="8">
        <v>0.9</v>
      </c>
      <c r="U66" s="8">
        <v>12.9</v>
      </c>
      <c r="V66" s="8">
        <v>1</v>
      </c>
      <c r="W66" s="8">
        <v>0.8</v>
      </c>
      <c r="X66" s="8">
        <v>5</v>
      </c>
      <c r="Y66" s="8" t="s">
        <v>374</v>
      </c>
      <c r="Z66" s="8" t="s">
        <v>375</v>
      </c>
    </row>
    <row r="67" spans="1:26" x14ac:dyDescent="0.2">
      <c r="A67" s="8">
        <v>66</v>
      </c>
      <c r="B67" s="8" t="s">
        <v>376</v>
      </c>
      <c r="C67" s="8" t="s">
        <v>376</v>
      </c>
      <c r="F67" s="47"/>
      <c r="G67" s="8">
        <v>19</v>
      </c>
      <c r="H67" s="8" t="s">
        <v>21</v>
      </c>
      <c r="I67" s="8" t="s">
        <v>22</v>
      </c>
      <c r="J67" s="8" t="s">
        <v>22</v>
      </c>
      <c r="K67" s="8" t="s">
        <v>218</v>
      </c>
      <c r="L67" s="8" t="s">
        <v>125</v>
      </c>
      <c r="M67" s="8" t="s">
        <v>126</v>
      </c>
      <c r="N67" s="8" t="s">
        <v>377</v>
      </c>
      <c r="O67" s="8">
        <f>0+19/60+4.9/3600</f>
        <v>0.31802777777777774</v>
      </c>
      <c r="P67" s="8" t="s">
        <v>378</v>
      </c>
      <c r="Q67" s="8">
        <f>-(22+56/60+11/3600)</f>
        <v>-22.936388888888889</v>
      </c>
      <c r="R67" s="8">
        <v>13.5</v>
      </c>
      <c r="S67" s="8">
        <v>14.3</v>
      </c>
      <c r="T67" s="8">
        <v>0.8</v>
      </c>
      <c r="U67" s="8">
        <v>13.1</v>
      </c>
      <c r="V67" s="8">
        <v>1.2</v>
      </c>
      <c r="W67" s="8">
        <v>0.7</v>
      </c>
      <c r="X67" s="8">
        <v>32</v>
      </c>
      <c r="Y67" s="8" t="s">
        <v>379</v>
      </c>
      <c r="Z67" s="8" t="s">
        <v>380</v>
      </c>
    </row>
    <row r="68" spans="1:26" x14ac:dyDescent="0.2">
      <c r="A68" s="8">
        <v>67</v>
      </c>
      <c r="B68" s="8" t="s">
        <v>381</v>
      </c>
      <c r="C68" s="8" t="s">
        <v>381</v>
      </c>
      <c r="F68" s="47"/>
      <c r="G68" s="8">
        <v>18</v>
      </c>
      <c r="H68" s="8" t="s">
        <v>21</v>
      </c>
      <c r="I68" s="8" t="s">
        <v>22</v>
      </c>
      <c r="J68" s="8" t="s">
        <v>22</v>
      </c>
      <c r="K68" s="8" t="s">
        <v>382</v>
      </c>
      <c r="L68" s="8" t="s">
        <v>51</v>
      </c>
      <c r="M68" s="8" t="s">
        <v>52</v>
      </c>
      <c r="N68" s="8" t="s">
        <v>383</v>
      </c>
      <c r="O68" s="8">
        <f>0+18/60+14.9/3600</f>
        <v>0.3041388888888889</v>
      </c>
      <c r="P68" s="8" t="s">
        <v>384</v>
      </c>
      <c r="Q68" s="8">
        <f>+(30+3/60+48/3600)</f>
        <v>30.063333333333333</v>
      </c>
      <c r="R68" s="8">
        <v>14.2</v>
      </c>
      <c r="S68" s="8">
        <v>15.2</v>
      </c>
      <c r="T68" s="8">
        <v>1</v>
      </c>
      <c r="U68" s="8">
        <v>11.5</v>
      </c>
      <c r="V68" s="8">
        <v>0.3</v>
      </c>
      <c r="W68" s="8">
        <v>0.2</v>
      </c>
      <c r="X68" s="8">
        <v>51</v>
      </c>
      <c r="Y68" s="8" t="s">
        <v>385</v>
      </c>
      <c r="Z68" s="8" t="s">
        <v>386</v>
      </c>
    </row>
    <row r="69" spans="1:26" x14ac:dyDescent="0.2">
      <c r="A69" s="8">
        <v>68</v>
      </c>
      <c r="B69" s="8" t="s">
        <v>387</v>
      </c>
      <c r="C69" s="8" t="s">
        <v>387</v>
      </c>
      <c r="F69" s="47" t="s">
        <v>55988</v>
      </c>
      <c r="G69" s="8">
        <v>15</v>
      </c>
      <c r="H69" s="8" t="s">
        <v>21</v>
      </c>
      <c r="I69" s="8" t="s">
        <v>22</v>
      </c>
      <c r="J69" s="8" t="s">
        <v>22</v>
      </c>
      <c r="K69" s="8" t="s">
        <v>58</v>
      </c>
      <c r="L69" s="8" t="s">
        <v>51</v>
      </c>
      <c r="M69" s="8" t="s">
        <v>52</v>
      </c>
      <c r="N69" s="8" t="s">
        <v>388</v>
      </c>
      <c r="O69" s="8">
        <f>0+18/60+18.2/3600</f>
        <v>0.30505555555555552</v>
      </c>
      <c r="P69" s="8" t="s">
        <v>389</v>
      </c>
      <c r="Q69" s="8">
        <f>+(30+4/60+21/3600)</f>
        <v>30.072499999999998</v>
      </c>
      <c r="R69" s="8">
        <v>12.9</v>
      </c>
      <c r="S69" s="8">
        <v>13.9</v>
      </c>
      <c r="T69" s="8">
        <v>1</v>
      </c>
      <c r="U69" s="8">
        <v>13</v>
      </c>
      <c r="V69" s="8">
        <v>1.2</v>
      </c>
      <c r="W69" s="8">
        <v>1.1000000000000001</v>
      </c>
      <c r="X69" s="8">
        <v>0</v>
      </c>
      <c r="Y69" s="8" t="s">
        <v>390</v>
      </c>
      <c r="Z69" s="8" t="s">
        <v>391</v>
      </c>
    </row>
    <row r="70" spans="1:26" x14ac:dyDescent="0.2">
      <c r="A70" s="8">
        <v>69</v>
      </c>
      <c r="B70" s="8" t="s">
        <v>392</v>
      </c>
      <c r="C70" s="8" t="s">
        <v>392</v>
      </c>
      <c r="F70" s="47"/>
      <c r="G70" s="8">
        <v>18</v>
      </c>
      <c r="H70" s="8" t="s">
        <v>21</v>
      </c>
      <c r="I70" s="8" t="s">
        <v>22</v>
      </c>
      <c r="J70" s="8" t="s">
        <v>22</v>
      </c>
      <c r="K70" s="8" t="s">
        <v>118</v>
      </c>
      <c r="L70" s="8" t="s">
        <v>51</v>
      </c>
      <c r="M70" s="8" t="s">
        <v>52</v>
      </c>
      <c r="N70" s="8" t="s">
        <v>393</v>
      </c>
      <c r="O70" s="8">
        <f>0+18/60+20.4/3600</f>
        <v>0.30566666666666664</v>
      </c>
      <c r="P70" s="8" t="s">
        <v>394</v>
      </c>
      <c r="Q70" s="8">
        <f>+(30+2/60+26/3600)</f>
        <v>30.040555555555557</v>
      </c>
      <c r="R70" s="8">
        <v>14.7</v>
      </c>
      <c r="S70" s="8">
        <v>15.8</v>
      </c>
      <c r="T70" s="8">
        <v>1.1000000000000001</v>
      </c>
      <c r="U70" s="8">
        <v>14.1</v>
      </c>
      <c r="V70" s="8">
        <v>0.5</v>
      </c>
      <c r="W70" s="8">
        <v>0.3</v>
      </c>
      <c r="X70" s="8">
        <v>33</v>
      </c>
      <c r="Y70" s="8" t="s">
        <v>385</v>
      </c>
      <c r="Z70" s="8" t="s">
        <v>386</v>
      </c>
    </row>
    <row r="71" spans="1:26" x14ac:dyDescent="0.2">
      <c r="A71" s="8">
        <v>70</v>
      </c>
      <c r="B71" s="8" t="s">
        <v>395</v>
      </c>
      <c r="C71" s="8" t="s">
        <v>395</v>
      </c>
      <c r="F71" s="47"/>
      <c r="G71" s="8">
        <v>15</v>
      </c>
      <c r="H71" s="8" t="s">
        <v>21</v>
      </c>
      <c r="I71" s="8" t="s">
        <v>22</v>
      </c>
      <c r="J71" s="8" t="s">
        <v>22</v>
      </c>
      <c r="K71" s="8" t="s">
        <v>396</v>
      </c>
      <c r="L71" s="8" t="s">
        <v>51</v>
      </c>
      <c r="M71" s="8" t="s">
        <v>52</v>
      </c>
      <c r="N71" s="8" t="s">
        <v>397</v>
      </c>
      <c r="O71" s="8">
        <f>0+18/60+22.4/3600</f>
        <v>0.30622222222222223</v>
      </c>
      <c r="P71" s="8" t="s">
        <v>398</v>
      </c>
      <c r="Q71" s="8">
        <f>+(30+4/60+44/3600)</f>
        <v>30.078888888888887</v>
      </c>
      <c r="R71" s="8">
        <v>13.5</v>
      </c>
      <c r="S71" s="8">
        <v>14.3</v>
      </c>
      <c r="T71" s="8">
        <v>0.8</v>
      </c>
      <c r="U71" s="8">
        <v>13.9</v>
      </c>
      <c r="V71" s="8">
        <v>1.6</v>
      </c>
      <c r="W71" s="8">
        <v>1.4</v>
      </c>
      <c r="X71" s="8">
        <v>0</v>
      </c>
      <c r="Y71" s="8" t="s">
        <v>399</v>
      </c>
      <c r="Z71" s="8" t="s">
        <v>400</v>
      </c>
    </row>
    <row r="72" spans="1:26" x14ac:dyDescent="0.2">
      <c r="A72" s="8">
        <v>71</v>
      </c>
      <c r="B72" s="8" t="s">
        <v>401</v>
      </c>
      <c r="C72" s="8" t="s">
        <v>401</v>
      </c>
      <c r="F72" s="47"/>
      <c r="G72" s="8">
        <v>15</v>
      </c>
      <c r="H72" s="8" t="s">
        <v>21</v>
      </c>
      <c r="I72" s="8" t="s">
        <v>22</v>
      </c>
      <c r="J72" s="8" t="s">
        <v>22</v>
      </c>
      <c r="K72" s="8" t="s">
        <v>402</v>
      </c>
      <c r="L72" s="8" t="s">
        <v>51</v>
      </c>
      <c r="M72" s="8" t="s">
        <v>52</v>
      </c>
      <c r="N72" s="8" t="s">
        <v>403</v>
      </c>
      <c r="O72" s="8">
        <f>0+18/60+23.5/3600</f>
        <v>0.30652777777777779</v>
      </c>
      <c r="P72" s="8" t="s">
        <v>404</v>
      </c>
      <c r="Q72" s="8">
        <f>+(30+3/60+47/3600)</f>
        <v>30.063055555555557</v>
      </c>
      <c r="R72" s="8">
        <v>13.2</v>
      </c>
      <c r="S72" s="8">
        <v>14.2</v>
      </c>
      <c r="T72" s="8">
        <v>1</v>
      </c>
      <c r="U72" s="8">
        <v>13.4</v>
      </c>
      <c r="V72" s="8">
        <v>1.2</v>
      </c>
      <c r="W72" s="8">
        <v>0.9</v>
      </c>
      <c r="X72" s="8">
        <v>129</v>
      </c>
      <c r="Y72" s="8" t="s">
        <v>385</v>
      </c>
      <c r="Z72" s="8" t="s">
        <v>386</v>
      </c>
    </row>
    <row r="73" spans="1:26" x14ac:dyDescent="0.2">
      <c r="A73" s="8">
        <v>72</v>
      </c>
      <c r="B73" s="8" t="s">
        <v>405</v>
      </c>
      <c r="C73" s="8" t="s">
        <v>405</v>
      </c>
      <c r="F73" s="47"/>
      <c r="G73" s="8">
        <v>15</v>
      </c>
      <c r="H73" s="8" t="s">
        <v>21</v>
      </c>
      <c r="I73" s="8" t="s">
        <v>22</v>
      </c>
      <c r="J73" s="8" t="s">
        <v>22</v>
      </c>
      <c r="K73" s="8" t="s">
        <v>406</v>
      </c>
      <c r="L73" s="8" t="s">
        <v>51</v>
      </c>
      <c r="M73" s="8" t="s">
        <v>52</v>
      </c>
      <c r="N73" s="8" t="s">
        <v>407</v>
      </c>
      <c r="O73" s="8">
        <f>0+18/60+28.4/3600</f>
        <v>0.30788888888888888</v>
      </c>
      <c r="P73" s="8" t="s">
        <v>394</v>
      </c>
      <c r="Q73" s="8">
        <f>+(30+2/60+26/3600)</f>
        <v>30.040555555555557</v>
      </c>
      <c r="R73" s="8">
        <v>13.5</v>
      </c>
      <c r="S73" s="8">
        <v>14.5</v>
      </c>
      <c r="T73" s="8">
        <v>1</v>
      </c>
      <c r="U73" s="8">
        <v>13.4</v>
      </c>
      <c r="V73" s="8">
        <v>1.1000000000000001</v>
      </c>
      <c r="W73" s="8">
        <v>0.9</v>
      </c>
      <c r="X73" s="8">
        <v>15</v>
      </c>
      <c r="Y73" s="8" t="s">
        <v>385</v>
      </c>
      <c r="Z73" s="8" t="s">
        <v>386</v>
      </c>
    </row>
    <row r="74" spans="1:26" x14ac:dyDescent="0.2">
      <c r="A74" s="8">
        <v>73</v>
      </c>
      <c r="B74" s="8" t="s">
        <v>408</v>
      </c>
      <c r="C74" s="8" t="s">
        <v>408</v>
      </c>
      <c r="F74" s="47"/>
      <c r="G74" s="8">
        <v>19</v>
      </c>
      <c r="H74" s="8" t="s">
        <v>21</v>
      </c>
      <c r="I74" s="8" t="s">
        <v>22</v>
      </c>
      <c r="J74" s="8" t="s">
        <v>22</v>
      </c>
      <c r="K74" s="8" t="s">
        <v>396</v>
      </c>
      <c r="L74" s="8" t="s">
        <v>125</v>
      </c>
      <c r="M74" s="8" t="s">
        <v>126</v>
      </c>
      <c r="N74" s="8" t="s">
        <v>409</v>
      </c>
      <c r="O74" s="8">
        <f>0+18/60+38.9/3600</f>
        <v>0.31080555555555556</v>
      </c>
      <c r="P74" s="8" t="s">
        <v>410</v>
      </c>
      <c r="Q74" s="8">
        <f>-(15+19/60+18/3600)</f>
        <v>-15.321666666666667</v>
      </c>
      <c r="R74" s="8">
        <v>13.7</v>
      </c>
      <c r="S74" s="8">
        <v>14.5</v>
      </c>
      <c r="T74" s="8">
        <v>0.8</v>
      </c>
      <c r="U74" s="8">
        <v>14.3</v>
      </c>
      <c r="V74" s="8">
        <v>1.7</v>
      </c>
      <c r="W74" s="8">
        <v>1.2</v>
      </c>
      <c r="X74" s="8">
        <v>145</v>
      </c>
      <c r="Y74" s="8" t="s">
        <v>411</v>
      </c>
      <c r="Z74" s="8" t="s">
        <v>412</v>
      </c>
    </row>
    <row r="75" spans="1:26" x14ac:dyDescent="0.2">
      <c r="A75" s="8">
        <v>74</v>
      </c>
      <c r="B75" s="8" t="s">
        <v>413</v>
      </c>
      <c r="C75" s="8" t="s">
        <v>413</v>
      </c>
      <c r="F75" s="47"/>
      <c r="G75" s="8">
        <v>18</v>
      </c>
      <c r="H75" s="8" t="s">
        <v>21</v>
      </c>
      <c r="I75" s="8" t="s">
        <v>22</v>
      </c>
      <c r="J75" s="8" t="s">
        <v>22</v>
      </c>
      <c r="K75" s="8" t="s">
        <v>23</v>
      </c>
      <c r="L75" s="8" t="s">
        <v>51</v>
      </c>
      <c r="M75" s="8" t="s">
        <v>52</v>
      </c>
      <c r="N75" s="8" t="s">
        <v>414</v>
      </c>
      <c r="O75" s="8">
        <f>0+18/60+49.5/3600</f>
        <v>0.31374999999999997</v>
      </c>
      <c r="P75" s="8" t="s">
        <v>415</v>
      </c>
      <c r="Q75" s="8">
        <f>+(30+3/60+41/3600)</f>
        <v>30.061388888888889</v>
      </c>
      <c r="R75" s="8">
        <v>14.8</v>
      </c>
      <c r="S75" s="8">
        <v>15.6</v>
      </c>
      <c r="T75" s="8">
        <v>0.8</v>
      </c>
      <c r="U75" s="8">
        <v>13.1</v>
      </c>
      <c r="V75" s="8">
        <v>0.8</v>
      </c>
      <c r="W75" s="8">
        <v>0.3</v>
      </c>
      <c r="X75" s="8">
        <v>131</v>
      </c>
      <c r="Y75" s="8" t="s">
        <v>416</v>
      </c>
      <c r="Z75" s="8" t="s">
        <v>417</v>
      </c>
    </row>
    <row r="76" spans="1:26" x14ac:dyDescent="0.2">
      <c r="A76" s="8">
        <v>75</v>
      </c>
      <c r="B76" s="8" t="s">
        <v>418</v>
      </c>
      <c r="C76" s="8" t="s">
        <v>418</v>
      </c>
      <c r="F76" s="47"/>
      <c r="G76" s="8">
        <v>19</v>
      </c>
      <c r="H76" s="8" t="s">
        <v>21</v>
      </c>
      <c r="I76" s="8" t="s">
        <v>22</v>
      </c>
      <c r="J76" s="8" t="s">
        <v>22</v>
      </c>
      <c r="K76" s="8" t="s">
        <v>37</v>
      </c>
      <c r="L76" s="8" t="s">
        <v>38</v>
      </c>
      <c r="M76" s="8" t="s">
        <v>39</v>
      </c>
      <c r="N76" s="8" t="s">
        <v>419</v>
      </c>
      <c r="O76" s="8">
        <f>0+19/60+26.3/3600</f>
        <v>0.32397222222222222</v>
      </c>
      <c r="P76" s="8" t="s">
        <v>420</v>
      </c>
      <c r="Q76" s="8">
        <f>+(6+26/60+59/3600)</f>
        <v>6.4497222222222224</v>
      </c>
      <c r="R76" s="8">
        <v>13.2</v>
      </c>
      <c r="S76" s="8">
        <v>14.2</v>
      </c>
      <c r="T76" s="8">
        <v>1</v>
      </c>
      <c r="U76" s="8">
        <v>13.3</v>
      </c>
      <c r="V76" s="8">
        <v>1.1000000000000001</v>
      </c>
      <c r="W76" s="8">
        <v>1.1000000000000001</v>
      </c>
      <c r="Y76" s="8" t="s">
        <v>421</v>
      </c>
      <c r="Z76" s="8" t="s">
        <v>422</v>
      </c>
    </row>
    <row r="77" spans="1:26" x14ac:dyDescent="0.2">
      <c r="A77" s="8">
        <v>76</v>
      </c>
      <c r="B77" s="8" t="s">
        <v>423</v>
      </c>
      <c r="C77" s="8" t="s">
        <v>423</v>
      </c>
      <c r="F77" s="47"/>
      <c r="G77" s="8">
        <v>19</v>
      </c>
      <c r="H77" s="8" t="s">
        <v>21</v>
      </c>
      <c r="I77" s="8" t="s">
        <v>22</v>
      </c>
      <c r="J77" s="8" t="s">
        <v>22</v>
      </c>
      <c r="K77" s="8" t="s">
        <v>424</v>
      </c>
      <c r="L77" s="8" t="s">
        <v>51</v>
      </c>
      <c r="M77" s="8" t="s">
        <v>52</v>
      </c>
      <c r="N77" s="8" t="s">
        <v>425</v>
      </c>
      <c r="O77" s="8">
        <f>0+19/60+37.7/3600</f>
        <v>0.32713888888888887</v>
      </c>
      <c r="P77" s="8" t="s">
        <v>426</v>
      </c>
      <c r="Q77" s="8">
        <f>+(29+56/60+3/3600)</f>
        <v>29.934166666666666</v>
      </c>
      <c r="R77" s="8">
        <v>13.1</v>
      </c>
      <c r="S77" s="8">
        <v>14.1</v>
      </c>
      <c r="T77" s="8">
        <v>1</v>
      </c>
      <c r="U77" s="8">
        <v>12.8</v>
      </c>
      <c r="V77" s="8">
        <v>1</v>
      </c>
      <c r="W77" s="8">
        <v>0.9</v>
      </c>
      <c r="X77" s="8">
        <v>65</v>
      </c>
      <c r="Y77" s="8" t="s">
        <v>427</v>
      </c>
      <c r="Z77" s="8" t="s">
        <v>428</v>
      </c>
    </row>
    <row r="78" spans="1:26" x14ac:dyDescent="0.2">
      <c r="A78" s="8">
        <v>77</v>
      </c>
      <c r="B78" s="8" t="s">
        <v>429</v>
      </c>
      <c r="C78" s="8" t="s">
        <v>429</v>
      </c>
      <c r="F78" s="47"/>
      <c r="G78" s="8">
        <v>19</v>
      </c>
      <c r="H78" s="8" t="s">
        <v>21</v>
      </c>
      <c r="I78" s="8" t="s">
        <v>22</v>
      </c>
      <c r="J78" s="8" t="s">
        <v>22</v>
      </c>
      <c r="K78" s="8" t="s">
        <v>58</v>
      </c>
      <c r="L78" s="8" t="s">
        <v>125</v>
      </c>
      <c r="M78" s="8" t="s">
        <v>126</v>
      </c>
      <c r="N78" s="8" t="s">
        <v>430</v>
      </c>
      <c r="O78" s="8">
        <f>0+20/60+1.6/3600</f>
        <v>0.33377777777777778</v>
      </c>
      <c r="P78" s="8" t="s">
        <v>431</v>
      </c>
      <c r="Q78" s="8">
        <f>-(22+31/60+56/3600)</f>
        <v>-22.53222222222222</v>
      </c>
      <c r="R78" s="8">
        <v>14.8</v>
      </c>
      <c r="S78" s="8">
        <v>15.8</v>
      </c>
      <c r="T78" s="8">
        <v>1</v>
      </c>
      <c r="U78" s="8">
        <v>12.7</v>
      </c>
      <c r="V78" s="8">
        <v>0.4</v>
      </c>
      <c r="W78" s="8">
        <v>0.4</v>
      </c>
      <c r="Y78" s="8" t="s">
        <v>432</v>
      </c>
      <c r="Z78" s="8" t="s">
        <v>433</v>
      </c>
    </row>
    <row r="79" spans="1:26" x14ac:dyDescent="0.2">
      <c r="A79" s="8">
        <v>78</v>
      </c>
      <c r="B79" s="8" t="s">
        <v>434</v>
      </c>
      <c r="C79" s="8" t="s">
        <v>434</v>
      </c>
      <c r="D79" s="8" t="s">
        <v>351</v>
      </c>
      <c r="F79" s="47"/>
      <c r="G79" s="8">
        <v>18</v>
      </c>
      <c r="H79" s="8" t="s">
        <v>21</v>
      </c>
      <c r="I79" s="8" t="s">
        <v>22</v>
      </c>
      <c r="J79" s="8" t="s">
        <v>22</v>
      </c>
      <c r="K79" s="8" t="s">
        <v>435</v>
      </c>
      <c r="L79" s="8" t="s">
        <v>38</v>
      </c>
      <c r="M79" s="8" t="s">
        <v>39</v>
      </c>
      <c r="N79" s="8" t="s">
        <v>436</v>
      </c>
      <c r="O79" s="8">
        <f>0+20/60+25.8/3600</f>
        <v>0.34049999999999997</v>
      </c>
      <c r="P79" s="8" t="s">
        <v>437</v>
      </c>
      <c r="Q79" s="8">
        <f>+(0+49/60+35/3600)</f>
        <v>0.82638888888888884</v>
      </c>
      <c r="R79" s="8">
        <v>12.8</v>
      </c>
      <c r="S79" s="8">
        <v>13.7</v>
      </c>
      <c r="T79" s="8">
        <v>0.9</v>
      </c>
      <c r="U79" s="8">
        <v>13.3</v>
      </c>
      <c r="V79" s="8">
        <v>1.1000000000000001</v>
      </c>
      <c r="W79" s="8">
        <v>0.7</v>
      </c>
      <c r="X79" s="8">
        <v>80</v>
      </c>
      <c r="Y79" s="8" t="s">
        <v>170</v>
      </c>
      <c r="Z79" s="8" t="s">
        <v>171</v>
      </c>
    </row>
    <row r="80" spans="1:26" x14ac:dyDescent="0.2">
      <c r="A80" s="8">
        <v>79</v>
      </c>
      <c r="B80" s="8" t="s">
        <v>438</v>
      </c>
      <c r="C80" s="8" t="s">
        <v>438</v>
      </c>
      <c r="F80" s="47"/>
      <c r="G80" s="8">
        <v>19</v>
      </c>
      <c r="H80" s="8" t="s">
        <v>21</v>
      </c>
      <c r="I80" s="8" t="s">
        <v>22</v>
      </c>
      <c r="J80" s="8" t="s">
        <v>22</v>
      </c>
      <c r="K80" s="8" t="s">
        <v>58</v>
      </c>
      <c r="L80" s="8" t="s">
        <v>51</v>
      </c>
      <c r="M80" s="8" t="s">
        <v>52</v>
      </c>
      <c r="N80" s="8" t="s">
        <v>439</v>
      </c>
      <c r="O80" s="8">
        <f>0+21/60+2.8/3600</f>
        <v>0.35077777777777774</v>
      </c>
      <c r="P80" s="8" t="s">
        <v>440</v>
      </c>
      <c r="Q80" s="8">
        <f>+(22+34/60+2/3600)</f>
        <v>22.56722222222222</v>
      </c>
      <c r="R80" s="8">
        <v>14</v>
      </c>
      <c r="S80" s="8">
        <v>15</v>
      </c>
      <c r="T80" s="8">
        <v>1</v>
      </c>
      <c r="U80" s="8">
        <v>13</v>
      </c>
      <c r="V80" s="8">
        <v>0.6</v>
      </c>
      <c r="W80" s="8">
        <v>0.6</v>
      </c>
      <c r="Y80" s="8" t="s">
        <v>441</v>
      </c>
      <c r="Z80" s="8" t="s">
        <v>442</v>
      </c>
    </row>
    <row r="81" spans="1:26" x14ac:dyDescent="0.2">
      <c r="A81" s="8">
        <v>80</v>
      </c>
      <c r="B81" s="8" t="s">
        <v>443</v>
      </c>
      <c r="C81" s="8" t="s">
        <v>443</v>
      </c>
      <c r="F81" s="47"/>
      <c r="G81" s="8">
        <v>16</v>
      </c>
      <c r="H81" s="8" t="s">
        <v>21</v>
      </c>
      <c r="I81" s="8" t="s">
        <v>22</v>
      </c>
      <c r="J81" s="8" t="s">
        <v>22</v>
      </c>
      <c r="K81" s="8" t="s">
        <v>58</v>
      </c>
      <c r="L81" s="8" t="s">
        <v>51</v>
      </c>
      <c r="M81" s="8" t="s">
        <v>52</v>
      </c>
      <c r="N81" s="8" t="s">
        <v>444</v>
      </c>
      <c r="O81" s="8">
        <f>0+21/60+10.9/3600</f>
        <v>0.35302777777777777</v>
      </c>
      <c r="P81" s="8" t="s">
        <v>445</v>
      </c>
      <c r="Q81" s="8">
        <f>+(22+21/60+28/3600)</f>
        <v>22.35777777777778</v>
      </c>
      <c r="R81" s="8">
        <v>12.1</v>
      </c>
      <c r="S81" s="8">
        <v>13.1</v>
      </c>
      <c r="T81" s="8">
        <v>1</v>
      </c>
      <c r="U81" s="8">
        <v>13.2</v>
      </c>
      <c r="V81" s="8">
        <v>1.6</v>
      </c>
      <c r="W81" s="8">
        <v>1.6</v>
      </c>
      <c r="Y81" s="8" t="s">
        <v>446</v>
      </c>
      <c r="Z81" s="8" t="s">
        <v>447</v>
      </c>
    </row>
    <row r="82" spans="1:26" x14ac:dyDescent="0.2">
      <c r="A82" s="8">
        <v>81</v>
      </c>
      <c r="B82" s="8" t="s">
        <v>448</v>
      </c>
      <c r="C82" s="8" t="s">
        <v>448</v>
      </c>
      <c r="F82" s="47"/>
      <c r="G82" s="8">
        <v>19</v>
      </c>
      <c r="H82" s="8" t="s">
        <v>21</v>
      </c>
      <c r="I82" s="8" t="s">
        <v>22</v>
      </c>
      <c r="J82" s="8" t="s">
        <v>22</v>
      </c>
      <c r="K82" s="8" t="s">
        <v>449</v>
      </c>
      <c r="L82" s="8" t="s">
        <v>51</v>
      </c>
      <c r="M82" s="8" t="s">
        <v>52</v>
      </c>
      <c r="N82" s="8" t="s">
        <v>450</v>
      </c>
      <c r="O82" s="8">
        <f>0+21/60+13.2/3600</f>
        <v>0.35366666666666663</v>
      </c>
      <c r="P82" s="8" t="s">
        <v>451</v>
      </c>
      <c r="Q82" s="8">
        <f>+(22+23/60+0/3600)</f>
        <v>22.383333333333333</v>
      </c>
      <c r="R82" s="8">
        <v>15.7</v>
      </c>
      <c r="S82" s="8">
        <v>16.5</v>
      </c>
      <c r="T82" s="8">
        <v>0.8</v>
      </c>
      <c r="U82" s="8">
        <v>11.3</v>
      </c>
      <c r="V82" s="8">
        <v>0.2</v>
      </c>
      <c r="W82" s="8">
        <v>0.1</v>
      </c>
      <c r="X82" s="8">
        <v>84</v>
      </c>
      <c r="Y82" s="8" t="s">
        <v>452</v>
      </c>
      <c r="Z82" s="8" t="s">
        <v>453</v>
      </c>
    </row>
    <row r="83" spans="1:26" x14ac:dyDescent="0.2">
      <c r="A83" s="8">
        <v>82</v>
      </c>
      <c r="B83" s="8" t="s">
        <v>454</v>
      </c>
      <c r="C83" s="8" t="s">
        <v>454</v>
      </c>
      <c r="F83" s="47"/>
      <c r="G83" s="8">
        <v>19</v>
      </c>
      <c r="H83" s="8" t="s">
        <v>21</v>
      </c>
      <c r="I83" s="8" t="s">
        <v>72</v>
      </c>
      <c r="J83" s="8" t="s">
        <v>72</v>
      </c>
      <c r="K83" s="8" t="s">
        <v>20</v>
      </c>
      <c r="L83" s="8" t="s">
        <v>51</v>
      </c>
      <c r="M83" s="8" t="s">
        <v>52</v>
      </c>
      <c r="N83" s="8" t="s">
        <v>455</v>
      </c>
      <c r="O83" s="8">
        <f>0+21/60+17.6/3600</f>
        <v>0.35488888888888886</v>
      </c>
      <c r="P83" s="8" t="s">
        <v>456</v>
      </c>
      <c r="Q83" s="8">
        <f>+(22+27/60+40/3600)</f>
        <v>22.461111111111112</v>
      </c>
      <c r="R83" s="8">
        <v>99</v>
      </c>
      <c r="S83" s="8">
        <v>99</v>
      </c>
      <c r="T83" s="8">
        <v>99</v>
      </c>
      <c r="U83" s="8">
        <v>99</v>
      </c>
      <c r="Y83" s="8" t="s">
        <v>457</v>
      </c>
      <c r="Z83" s="8" t="s">
        <v>458</v>
      </c>
    </row>
    <row r="84" spans="1:26" x14ac:dyDescent="0.2">
      <c r="A84" s="8">
        <v>83</v>
      </c>
      <c r="B84" s="8" t="s">
        <v>459</v>
      </c>
      <c r="C84" s="8" t="s">
        <v>459</v>
      </c>
      <c r="F84" s="47"/>
      <c r="G84" s="8">
        <v>16</v>
      </c>
      <c r="H84" s="8" t="s">
        <v>21</v>
      </c>
      <c r="I84" s="8" t="s">
        <v>22</v>
      </c>
      <c r="J84" s="8" t="s">
        <v>22</v>
      </c>
      <c r="K84" s="8" t="s">
        <v>460</v>
      </c>
      <c r="L84" s="8" t="s">
        <v>51</v>
      </c>
      <c r="M84" s="8" t="s">
        <v>52</v>
      </c>
      <c r="N84" s="8" t="s">
        <v>461</v>
      </c>
      <c r="O84" s="8">
        <f>0+21/60+22.6/3600</f>
        <v>0.35627777777777775</v>
      </c>
      <c r="P84" s="8" t="s">
        <v>462</v>
      </c>
      <c r="Q84" s="8">
        <f>+(22+26/60+3/3600)</f>
        <v>22.434166666666666</v>
      </c>
      <c r="R84" s="8">
        <v>12.5</v>
      </c>
      <c r="S84" s="8">
        <v>13.6</v>
      </c>
      <c r="T84" s="8">
        <v>1.1000000000000001</v>
      </c>
      <c r="U84" s="8">
        <v>13.3</v>
      </c>
      <c r="V84" s="8">
        <v>1.5</v>
      </c>
      <c r="W84" s="8">
        <v>1.5</v>
      </c>
      <c r="Y84" s="8" t="s">
        <v>463</v>
      </c>
      <c r="Z84" s="8" t="s">
        <v>464</v>
      </c>
    </row>
    <row r="85" spans="1:26" x14ac:dyDescent="0.2">
      <c r="A85" s="8">
        <v>84</v>
      </c>
      <c r="B85" s="8" t="s">
        <v>465</v>
      </c>
      <c r="C85" s="8" t="s">
        <v>465</v>
      </c>
      <c r="F85" s="47"/>
      <c r="G85" s="8">
        <v>19</v>
      </c>
      <c r="H85" s="8" t="s">
        <v>21</v>
      </c>
      <c r="I85" s="8" t="s">
        <v>72</v>
      </c>
      <c r="J85" s="8" t="s">
        <v>72</v>
      </c>
      <c r="K85" s="8" t="s">
        <v>20</v>
      </c>
      <c r="L85" s="8" t="s">
        <v>51</v>
      </c>
      <c r="M85" s="8" t="s">
        <v>52</v>
      </c>
      <c r="N85" s="8" t="s">
        <v>466</v>
      </c>
      <c r="O85" s="8">
        <f>0+21/60+21.2/3600</f>
        <v>0.35588888888888887</v>
      </c>
      <c r="P85" s="8" t="s">
        <v>467</v>
      </c>
      <c r="Q85" s="8">
        <f>+(22+37/60+9/3600)</f>
        <v>22.619166666666668</v>
      </c>
      <c r="R85" s="8">
        <v>99</v>
      </c>
      <c r="S85" s="8">
        <v>99</v>
      </c>
      <c r="T85" s="8">
        <v>99</v>
      </c>
      <c r="U85" s="8">
        <v>99</v>
      </c>
      <c r="Y85" s="8" t="s">
        <v>468</v>
      </c>
      <c r="Z85" s="8" t="s">
        <v>469</v>
      </c>
    </row>
    <row r="86" spans="1:26" x14ac:dyDescent="0.2">
      <c r="A86" s="8">
        <v>85</v>
      </c>
      <c r="B86" s="8" t="s">
        <v>470</v>
      </c>
      <c r="C86" s="8" t="s">
        <v>470</v>
      </c>
      <c r="F86" s="47"/>
      <c r="G86" s="8">
        <v>18</v>
      </c>
      <c r="H86" s="8" t="s">
        <v>21</v>
      </c>
      <c r="I86" s="8" t="s">
        <v>22</v>
      </c>
      <c r="J86" s="8" t="s">
        <v>22</v>
      </c>
      <c r="K86" s="8" t="s">
        <v>37</v>
      </c>
      <c r="L86" s="8" t="s">
        <v>51</v>
      </c>
      <c r="M86" s="8" t="s">
        <v>52</v>
      </c>
      <c r="N86" s="8" t="s">
        <v>471</v>
      </c>
      <c r="O86" s="8">
        <f>0+21/60+25.5/3600</f>
        <v>0.35708333333333331</v>
      </c>
      <c r="P86" s="8" t="s">
        <v>472</v>
      </c>
      <c r="Q86" s="8">
        <f>+(22+30/60+44/3600)</f>
        <v>22.512222222222221</v>
      </c>
      <c r="R86" s="8">
        <v>14.8</v>
      </c>
      <c r="S86" s="8">
        <v>15.8</v>
      </c>
      <c r="T86" s="8">
        <v>1</v>
      </c>
      <c r="U86" s="8">
        <v>13.5</v>
      </c>
      <c r="V86" s="8">
        <v>0.7</v>
      </c>
      <c r="W86" s="8">
        <v>0.5</v>
      </c>
      <c r="X86" s="8">
        <v>146</v>
      </c>
      <c r="Y86" s="8" t="s">
        <v>473</v>
      </c>
      <c r="Z86" s="8" t="s">
        <v>474</v>
      </c>
    </row>
    <row r="87" spans="1:26" x14ac:dyDescent="0.2">
      <c r="A87" s="8">
        <v>86</v>
      </c>
      <c r="B87" s="8" t="s">
        <v>475</v>
      </c>
      <c r="C87" s="8" t="s">
        <v>475</v>
      </c>
      <c r="F87" s="47"/>
      <c r="G87" s="8">
        <v>19</v>
      </c>
      <c r="H87" s="8" t="s">
        <v>21</v>
      </c>
      <c r="I87" s="8" t="s">
        <v>22</v>
      </c>
      <c r="J87" s="8" t="s">
        <v>22</v>
      </c>
      <c r="K87" s="8" t="s">
        <v>476</v>
      </c>
      <c r="L87" s="8" t="s">
        <v>51</v>
      </c>
      <c r="M87" s="8" t="s">
        <v>52</v>
      </c>
      <c r="N87" s="8" t="s">
        <v>477</v>
      </c>
      <c r="O87" s="8">
        <f>0+21/60+28.6/3600</f>
        <v>0.3579444444444444</v>
      </c>
      <c r="P87" s="8" t="s">
        <v>478</v>
      </c>
      <c r="Q87" s="8">
        <f>+(22+33/60+23/3600)</f>
        <v>22.55638888888889</v>
      </c>
      <c r="R87" s="8">
        <v>14.8</v>
      </c>
      <c r="S87" s="8">
        <v>15.7</v>
      </c>
      <c r="T87" s="8">
        <v>0.9</v>
      </c>
      <c r="U87" s="8">
        <v>13</v>
      </c>
      <c r="V87" s="8">
        <v>0.7</v>
      </c>
      <c r="W87" s="8">
        <v>0.3</v>
      </c>
      <c r="X87" s="8">
        <v>9</v>
      </c>
      <c r="Y87" s="8" t="s">
        <v>479</v>
      </c>
      <c r="Z87" s="8" t="s">
        <v>480</v>
      </c>
    </row>
    <row r="88" spans="1:26" x14ac:dyDescent="0.2">
      <c r="A88" s="8">
        <v>87</v>
      </c>
      <c r="B88" s="8" t="s">
        <v>481</v>
      </c>
      <c r="C88" s="8" t="s">
        <v>481</v>
      </c>
      <c r="F88" s="47"/>
      <c r="G88" s="8">
        <v>14</v>
      </c>
      <c r="H88" s="8" t="s">
        <v>482</v>
      </c>
      <c r="I88" s="8" t="s">
        <v>22</v>
      </c>
      <c r="J88" s="8" t="s">
        <v>22</v>
      </c>
      <c r="K88" s="8" t="s">
        <v>483</v>
      </c>
      <c r="L88" s="8" t="s">
        <v>166</v>
      </c>
      <c r="M88" s="8" t="s">
        <v>167</v>
      </c>
      <c r="N88" s="8" t="s">
        <v>484</v>
      </c>
      <c r="O88" s="8">
        <f>0+21/60+14.2/3600</f>
        <v>0.35394444444444439</v>
      </c>
      <c r="P88" s="8" t="s">
        <v>485</v>
      </c>
      <c r="Q88" s="8">
        <f>-(48+37/60+44/3600)</f>
        <v>-48.628888888888888</v>
      </c>
      <c r="R88" s="8">
        <v>14.3</v>
      </c>
      <c r="S88" s="8">
        <v>14.7</v>
      </c>
      <c r="T88" s="8">
        <v>0.4</v>
      </c>
      <c r="U88" s="8">
        <v>13.7</v>
      </c>
      <c r="V88" s="8">
        <v>0.9</v>
      </c>
      <c r="W88" s="8">
        <v>0.7</v>
      </c>
      <c r="X88" s="8">
        <v>171</v>
      </c>
      <c r="Y88" s="8" t="s">
        <v>486</v>
      </c>
      <c r="Z88" s="8" t="s">
        <v>487</v>
      </c>
    </row>
    <row r="89" spans="1:26" x14ac:dyDescent="0.2">
      <c r="A89" s="8">
        <v>88</v>
      </c>
      <c r="B89" s="8" t="s">
        <v>488</v>
      </c>
      <c r="C89" s="8" t="s">
        <v>488</v>
      </c>
      <c r="F89" s="47"/>
      <c r="G89" s="8">
        <v>14</v>
      </c>
      <c r="H89" s="8" t="s">
        <v>482</v>
      </c>
      <c r="I89" s="8" t="s">
        <v>22</v>
      </c>
      <c r="J89" s="8" t="s">
        <v>22</v>
      </c>
      <c r="K89" s="8" t="s">
        <v>435</v>
      </c>
      <c r="L89" s="8" t="s">
        <v>166</v>
      </c>
      <c r="M89" s="8" t="s">
        <v>167</v>
      </c>
      <c r="N89" s="8" t="s">
        <v>489</v>
      </c>
      <c r="O89" s="8">
        <f>0+21/60+22/3600</f>
        <v>0.3561111111111111</v>
      </c>
      <c r="P89" s="8" t="s">
        <v>490</v>
      </c>
      <c r="Q89" s="8">
        <f>-(48+38/60+23/3600)</f>
        <v>-48.639722222222218</v>
      </c>
      <c r="R89" s="8">
        <v>14.4</v>
      </c>
      <c r="S89" s="8">
        <v>15</v>
      </c>
      <c r="T89" s="8">
        <v>0.6</v>
      </c>
      <c r="U89" s="8">
        <v>13.3</v>
      </c>
      <c r="V89" s="8">
        <v>0.8</v>
      </c>
      <c r="W89" s="8">
        <v>0.5</v>
      </c>
      <c r="X89" s="8">
        <v>145</v>
      </c>
      <c r="Y89" s="8" t="s">
        <v>491</v>
      </c>
      <c r="Z89" s="8" t="s">
        <v>492</v>
      </c>
    </row>
    <row r="90" spans="1:26" x14ac:dyDescent="0.2">
      <c r="A90" s="8">
        <v>89</v>
      </c>
      <c r="B90" s="8" t="s">
        <v>493</v>
      </c>
      <c r="C90" s="8" t="s">
        <v>493</v>
      </c>
      <c r="F90" s="47"/>
      <c r="G90" s="8">
        <v>14</v>
      </c>
      <c r="H90" s="8" t="s">
        <v>482</v>
      </c>
      <c r="I90" s="8" t="s">
        <v>22</v>
      </c>
      <c r="J90" s="8" t="s">
        <v>22</v>
      </c>
      <c r="K90" s="8" t="s">
        <v>435</v>
      </c>
      <c r="L90" s="8" t="s">
        <v>166</v>
      </c>
      <c r="M90" s="8" t="s">
        <v>167</v>
      </c>
      <c r="N90" s="8" t="s">
        <v>494</v>
      </c>
      <c r="O90" s="8">
        <f>0+21/60+24.3/3600</f>
        <v>0.35674999999999996</v>
      </c>
      <c r="P90" s="8" t="s">
        <v>495</v>
      </c>
      <c r="Q90" s="8">
        <f>-(48+39/60+55/3600)</f>
        <v>-48.665277777777774</v>
      </c>
      <c r="R90" s="8">
        <v>13.5</v>
      </c>
      <c r="S90" s="8">
        <v>14.2</v>
      </c>
      <c r="T90" s="8">
        <v>0.7</v>
      </c>
      <c r="U90" s="8">
        <v>13</v>
      </c>
      <c r="V90" s="8">
        <v>1.2</v>
      </c>
      <c r="W90" s="8">
        <v>0.6</v>
      </c>
      <c r="X90" s="8">
        <v>148</v>
      </c>
      <c r="Y90" s="8" t="s">
        <v>496</v>
      </c>
      <c r="Z90" s="8" t="s">
        <v>497</v>
      </c>
    </row>
    <row r="91" spans="1:26" x14ac:dyDescent="0.2">
      <c r="A91" s="8">
        <v>90</v>
      </c>
      <c r="B91" s="8" t="s">
        <v>498</v>
      </c>
      <c r="C91" s="8" t="s">
        <v>498</v>
      </c>
      <c r="F91" s="47"/>
      <c r="G91" s="8">
        <v>18</v>
      </c>
      <c r="H91" s="8" t="s">
        <v>21</v>
      </c>
      <c r="I91" s="8" t="s">
        <v>22</v>
      </c>
      <c r="J91" s="8" t="s">
        <v>22</v>
      </c>
      <c r="K91" s="8" t="s">
        <v>64</v>
      </c>
      <c r="L91" s="8" t="s">
        <v>51</v>
      </c>
      <c r="M91" s="8" t="s">
        <v>52</v>
      </c>
      <c r="N91" s="8" t="s">
        <v>499</v>
      </c>
      <c r="O91" s="8">
        <f>0+21/60+51.6/3600</f>
        <v>0.36433333333333329</v>
      </c>
      <c r="P91" s="8" t="s">
        <v>500</v>
      </c>
      <c r="Q91" s="8">
        <f>+(22+24/60+2/3600)</f>
        <v>22.400555555555552</v>
      </c>
      <c r="R91" s="8">
        <v>13.7</v>
      </c>
      <c r="S91" s="8">
        <v>14.5</v>
      </c>
      <c r="T91" s="8">
        <v>0.8</v>
      </c>
      <c r="U91" s="8">
        <v>14</v>
      </c>
      <c r="V91" s="8">
        <v>1.9</v>
      </c>
      <c r="W91" s="8">
        <v>0.8</v>
      </c>
      <c r="X91" s="8">
        <v>132</v>
      </c>
      <c r="Y91" s="8" t="s">
        <v>501</v>
      </c>
      <c r="Z91" s="8" t="s">
        <v>502</v>
      </c>
    </row>
    <row r="92" spans="1:26" x14ac:dyDescent="0.2">
      <c r="A92" s="8">
        <v>91</v>
      </c>
      <c r="B92" s="8" t="s">
        <v>503</v>
      </c>
      <c r="C92" s="8" t="s">
        <v>503</v>
      </c>
      <c r="F92" s="47"/>
      <c r="G92" s="8">
        <v>18</v>
      </c>
      <c r="H92" s="8" t="s">
        <v>21</v>
      </c>
      <c r="I92" s="8" t="s">
        <v>72</v>
      </c>
      <c r="J92" s="8" t="s">
        <v>72</v>
      </c>
      <c r="K92" s="8" t="s">
        <v>20</v>
      </c>
      <c r="L92" s="8" t="s">
        <v>51</v>
      </c>
      <c r="M92" s="8" t="s">
        <v>52</v>
      </c>
      <c r="N92" s="8" t="s">
        <v>504</v>
      </c>
      <c r="O92" s="8">
        <f>0+21/60+51.7/3600</f>
        <v>0.36436111111111108</v>
      </c>
      <c r="P92" s="8" t="s">
        <v>505</v>
      </c>
      <c r="Q92" s="8">
        <f>+(22+22/60+8/3600)</f>
        <v>22.36888888888889</v>
      </c>
      <c r="R92" s="8">
        <v>99</v>
      </c>
      <c r="S92" s="8">
        <v>15.1</v>
      </c>
      <c r="T92" s="8">
        <v>99</v>
      </c>
      <c r="U92" s="8">
        <v>99</v>
      </c>
      <c r="Y92" s="8" t="s">
        <v>506</v>
      </c>
      <c r="Z92" s="8" t="s">
        <v>507</v>
      </c>
    </row>
    <row r="93" spans="1:26" x14ac:dyDescent="0.2">
      <c r="A93" s="8">
        <v>92</v>
      </c>
      <c r="B93" s="8" t="s">
        <v>508</v>
      </c>
      <c r="C93" s="8" t="s">
        <v>508</v>
      </c>
      <c r="F93" s="47"/>
      <c r="G93" s="8">
        <v>14</v>
      </c>
      <c r="H93" s="8" t="s">
        <v>482</v>
      </c>
      <c r="I93" s="8" t="s">
        <v>22</v>
      </c>
      <c r="J93" s="8" t="s">
        <v>22</v>
      </c>
      <c r="K93" s="8" t="s">
        <v>91</v>
      </c>
      <c r="L93" s="8" t="s">
        <v>166</v>
      </c>
      <c r="M93" s="8" t="s">
        <v>167</v>
      </c>
      <c r="N93" s="8" t="s">
        <v>509</v>
      </c>
      <c r="O93" s="8">
        <f>0+21/60+31.4/3600</f>
        <v>0.35872222222222222</v>
      </c>
      <c r="P93" s="8" t="s">
        <v>510</v>
      </c>
      <c r="Q93" s="8">
        <f>-(48+37/60+29/3600)</f>
        <v>-48.624722222222225</v>
      </c>
      <c r="R93" s="8">
        <v>13.1</v>
      </c>
      <c r="S93" s="8">
        <v>13.8</v>
      </c>
      <c r="T93" s="8">
        <v>0.7</v>
      </c>
      <c r="U93" s="8">
        <v>13.6</v>
      </c>
      <c r="V93" s="8">
        <v>1.9</v>
      </c>
      <c r="W93" s="8">
        <v>0.9</v>
      </c>
      <c r="X93" s="8">
        <v>148</v>
      </c>
      <c r="Y93" s="8" t="s">
        <v>511</v>
      </c>
      <c r="Z93" s="8" t="s">
        <v>512</v>
      </c>
    </row>
    <row r="94" spans="1:26" x14ac:dyDescent="0.2">
      <c r="A94" s="8">
        <v>93</v>
      </c>
      <c r="B94" s="8" t="s">
        <v>513</v>
      </c>
      <c r="C94" s="8" t="s">
        <v>513</v>
      </c>
      <c r="F94" s="47"/>
      <c r="G94" s="8">
        <v>18</v>
      </c>
      <c r="H94" s="8" t="s">
        <v>21</v>
      </c>
      <c r="I94" s="8" t="s">
        <v>22</v>
      </c>
      <c r="J94" s="8" t="s">
        <v>22</v>
      </c>
      <c r="K94" s="8" t="s">
        <v>23</v>
      </c>
      <c r="L94" s="8" t="s">
        <v>51</v>
      </c>
      <c r="M94" s="8" t="s">
        <v>52</v>
      </c>
      <c r="N94" s="8" t="s">
        <v>514</v>
      </c>
      <c r="O94" s="8">
        <f>0+22/60+3.4/3600</f>
        <v>0.36761111111111111</v>
      </c>
      <c r="P94" s="8" t="s">
        <v>515</v>
      </c>
      <c r="Q94" s="8">
        <f>+(22+24/60+32/3600)</f>
        <v>22.408888888888889</v>
      </c>
      <c r="R94" s="8">
        <v>13.2</v>
      </c>
      <c r="S94" s="8">
        <v>14.3</v>
      </c>
      <c r="T94" s="8">
        <v>1.1000000000000001</v>
      </c>
      <c r="U94" s="8">
        <v>12.8</v>
      </c>
      <c r="V94" s="8">
        <v>1.4</v>
      </c>
      <c r="W94" s="8">
        <v>0.6</v>
      </c>
      <c r="X94" s="8">
        <v>48</v>
      </c>
      <c r="Y94" s="8" t="s">
        <v>282</v>
      </c>
      <c r="Z94" s="8" t="s">
        <v>283</v>
      </c>
    </row>
    <row r="95" spans="1:26" x14ac:dyDescent="0.2">
      <c r="A95" s="8">
        <v>94</v>
      </c>
      <c r="B95" s="8" t="s">
        <v>516</v>
      </c>
      <c r="C95" s="8" t="s">
        <v>516</v>
      </c>
      <c r="E95" s="8">
        <v>1</v>
      </c>
      <c r="F95" s="47"/>
      <c r="G95" s="8">
        <v>19</v>
      </c>
      <c r="H95" s="8" t="s">
        <v>21</v>
      </c>
      <c r="I95" s="8" t="s">
        <v>22</v>
      </c>
      <c r="J95" s="8" t="s">
        <v>22</v>
      </c>
      <c r="K95" s="8" t="s">
        <v>37</v>
      </c>
      <c r="L95" s="8" t="s">
        <v>51</v>
      </c>
      <c r="M95" s="8" t="s">
        <v>52</v>
      </c>
      <c r="N95" s="8" t="s">
        <v>517</v>
      </c>
      <c r="O95" s="8">
        <f>0+22/60+13.6/3600</f>
        <v>0.37044444444444441</v>
      </c>
      <c r="P95" s="8" t="s">
        <v>518</v>
      </c>
      <c r="Q95" s="8">
        <f>+(22+29/60+0/3600)</f>
        <v>22.483333333333334</v>
      </c>
      <c r="R95" s="8">
        <v>14.6</v>
      </c>
      <c r="S95" s="8">
        <v>15.6</v>
      </c>
      <c r="T95" s="8">
        <v>1</v>
      </c>
      <c r="U95" s="8">
        <v>11.7</v>
      </c>
      <c r="V95" s="8">
        <v>0.4</v>
      </c>
      <c r="W95" s="8">
        <v>0.2</v>
      </c>
      <c r="X95" s="8">
        <v>30</v>
      </c>
      <c r="Y95" s="8" t="s">
        <v>266</v>
      </c>
      <c r="Z95" s="8" t="s">
        <v>267</v>
      </c>
    </row>
    <row r="96" spans="1:26" x14ac:dyDescent="0.2">
      <c r="A96" s="8">
        <v>95</v>
      </c>
      <c r="B96" s="8" t="s">
        <v>519</v>
      </c>
      <c r="C96" s="8" t="s">
        <v>519</v>
      </c>
      <c r="F96" s="47" t="s">
        <v>55989</v>
      </c>
      <c r="G96" s="8">
        <v>13</v>
      </c>
      <c r="H96" s="8" t="s">
        <v>21</v>
      </c>
      <c r="I96" s="8" t="s">
        <v>22</v>
      </c>
      <c r="J96" s="8" t="s">
        <v>22</v>
      </c>
      <c r="K96" s="8" t="s">
        <v>520</v>
      </c>
      <c r="L96" s="8" t="s">
        <v>38</v>
      </c>
      <c r="M96" s="8" t="s">
        <v>39</v>
      </c>
      <c r="N96" s="8" t="s">
        <v>517</v>
      </c>
      <c r="O96" s="8">
        <f>0+22/60+13.6/3600</f>
        <v>0.37044444444444441</v>
      </c>
      <c r="P96" s="8" t="s">
        <v>521</v>
      </c>
      <c r="Q96" s="8">
        <f>+(10+29/60+31/3600)</f>
        <v>10.491944444444444</v>
      </c>
      <c r="R96" s="8">
        <v>12.5</v>
      </c>
      <c r="S96" s="8">
        <v>13.2</v>
      </c>
      <c r="T96" s="8">
        <v>0.7</v>
      </c>
      <c r="U96" s="8">
        <v>13.2</v>
      </c>
      <c r="V96" s="8">
        <v>1.5</v>
      </c>
      <c r="W96" s="8">
        <v>1.1000000000000001</v>
      </c>
      <c r="X96" s="8">
        <v>90</v>
      </c>
      <c r="Y96" s="8" t="s">
        <v>522</v>
      </c>
      <c r="Z96" s="8" t="s">
        <v>523</v>
      </c>
    </row>
    <row r="97" spans="1:26" x14ac:dyDescent="0.2">
      <c r="A97" s="8">
        <v>96</v>
      </c>
      <c r="B97" s="8" t="s">
        <v>524</v>
      </c>
      <c r="C97" s="8" t="s">
        <v>524</v>
      </c>
      <c r="F97" s="47"/>
      <c r="G97" s="8">
        <v>19</v>
      </c>
      <c r="H97" s="8" t="s">
        <v>21</v>
      </c>
      <c r="I97" s="8" t="s">
        <v>22</v>
      </c>
      <c r="J97" s="8" t="s">
        <v>22</v>
      </c>
      <c r="K97" s="8" t="s">
        <v>37</v>
      </c>
      <c r="L97" s="8" t="s">
        <v>51</v>
      </c>
      <c r="M97" s="8" t="s">
        <v>52</v>
      </c>
      <c r="N97" s="8" t="s">
        <v>525</v>
      </c>
      <c r="O97" s="8">
        <f>0+22/60+17.8/3600</f>
        <v>0.37161111111111106</v>
      </c>
      <c r="P97" s="8" t="s">
        <v>526</v>
      </c>
      <c r="Q97" s="8">
        <f>+(22+32/60+48/3600)</f>
        <v>22.546666666666667</v>
      </c>
      <c r="R97" s="8">
        <v>14.6</v>
      </c>
      <c r="S97" s="8">
        <v>15.6</v>
      </c>
      <c r="T97" s="8">
        <v>1</v>
      </c>
      <c r="U97" s="8">
        <v>13.4</v>
      </c>
      <c r="V97" s="8">
        <v>0.6</v>
      </c>
      <c r="W97" s="8">
        <v>0.6</v>
      </c>
      <c r="Y97" s="8" t="s">
        <v>441</v>
      </c>
      <c r="Z97" s="8" t="s">
        <v>442</v>
      </c>
    </row>
    <row r="98" spans="1:26" x14ac:dyDescent="0.2">
      <c r="A98" s="8">
        <v>97</v>
      </c>
      <c r="B98" s="8" t="s">
        <v>527</v>
      </c>
      <c r="C98" s="8" t="s">
        <v>527</v>
      </c>
      <c r="F98" s="47"/>
      <c r="G98" s="8">
        <v>16</v>
      </c>
      <c r="H98" s="8" t="s">
        <v>21</v>
      </c>
      <c r="I98" s="8" t="s">
        <v>22</v>
      </c>
      <c r="J98" s="8" t="s">
        <v>22</v>
      </c>
      <c r="K98" s="8" t="s">
        <v>460</v>
      </c>
      <c r="L98" s="8" t="s">
        <v>51</v>
      </c>
      <c r="M98" s="8" t="s">
        <v>52</v>
      </c>
      <c r="N98" s="8" t="s">
        <v>528</v>
      </c>
      <c r="O98" s="8">
        <f>0+22/60+30/3600</f>
        <v>0.375</v>
      </c>
      <c r="P98" s="8" t="s">
        <v>529</v>
      </c>
      <c r="Q98" s="8">
        <f>+(29+44/60+44/3600)</f>
        <v>29.745555555555555</v>
      </c>
      <c r="R98" s="8">
        <v>12.3</v>
      </c>
      <c r="S98" s="8">
        <v>13.3</v>
      </c>
      <c r="T98" s="8">
        <v>1</v>
      </c>
      <c r="U98" s="8">
        <v>12.9</v>
      </c>
      <c r="V98" s="8">
        <v>1.3</v>
      </c>
      <c r="W98" s="8">
        <v>1.3</v>
      </c>
      <c r="Y98" s="8" t="s">
        <v>530</v>
      </c>
      <c r="Z98" s="8" t="s">
        <v>531</v>
      </c>
    </row>
    <row r="99" spans="1:26" x14ac:dyDescent="0.2">
      <c r="A99" s="8">
        <v>98</v>
      </c>
      <c r="B99" s="8" t="s">
        <v>532</v>
      </c>
      <c r="C99" s="8" t="s">
        <v>532</v>
      </c>
      <c r="F99" s="47"/>
      <c r="G99" s="8">
        <v>16</v>
      </c>
      <c r="H99" s="8" t="s">
        <v>21</v>
      </c>
      <c r="I99" s="8" t="s">
        <v>22</v>
      </c>
      <c r="J99" s="8" t="s">
        <v>22</v>
      </c>
      <c r="K99" s="8" t="s">
        <v>85</v>
      </c>
      <c r="L99" s="8" t="s">
        <v>166</v>
      </c>
      <c r="M99" s="8" t="s">
        <v>167</v>
      </c>
      <c r="N99" s="8" t="s">
        <v>533</v>
      </c>
      <c r="O99" s="8">
        <f>0+22/60+49.3/3600</f>
        <v>0.38036111111111109</v>
      </c>
      <c r="P99" s="8" t="s">
        <v>534</v>
      </c>
      <c r="Q99" s="8">
        <f>-(45+16/60+6/3600)</f>
        <v>-45.268333333333331</v>
      </c>
      <c r="R99" s="8">
        <v>12.7</v>
      </c>
      <c r="S99" s="8">
        <v>13.4</v>
      </c>
      <c r="T99" s="8">
        <v>0.7</v>
      </c>
      <c r="U99" s="8">
        <v>13.4</v>
      </c>
      <c r="V99" s="8">
        <v>1.6</v>
      </c>
      <c r="W99" s="8">
        <v>1.3</v>
      </c>
      <c r="X99" s="8">
        <v>0</v>
      </c>
      <c r="Y99" s="8" t="s">
        <v>535</v>
      </c>
      <c r="Z99" s="8" t="s">
        <v>536</v>
      </c>
    </row>
    <row r="100" spans="1:26" x14ac:dyDescent="0.2">
      <c r="A100" s="8">
        <v>99</v>
      </c>
      <c r="B100" s="8" t="s">
        <v>537</v>
      </c>
      <c r="C100" s="8" t="s">
        <v>537</v>
      </c>
      <c r="F100" s="47"/>
      <c r="G100" s="8">
        <v>19</v>
      </c>
      <c r="H100" s="8" t="s">
        <v>21</v>
      </c>
      <c r="I100" s="8" t="s">
        <v>22</v>
      </c>
      <c r="J100" s="8" t="s">
        <v>22</v>
      </c>
      <c r="K100" s="8" t="s">
        <v>538</v>
      </c>
      <c r="L100" s="8" t="s">
        <v>38</v>
      </c>
      <c r="M100" s="8" t="s">
        <v>39</v>
      </c>
      <c r="N100" s="8" t="s">
        <v>539</v>
      </c>
      <c r="O100" s="8">
        <f>0+23/60+59.6/3600</f>
        <v>0.3998888888888889</v>
      </c>
      <c r="P100" s="8" t="s">
        <v>540</v>
      </c>
      <c r="Q100" s="8">
        <f>+(15+46/60+12/3600)</f>
        <v>15.770000000000001</v>
      </c>
      <c r="R100" s="8">
        <v>13.7</v>
      </c>
      <c r="S100" s="8">
        <v>14</v>
      </c>
      <c r="T100" s="8">
        <v>0.3</v>
      </c>
      <c r="U100" s="8">
        <v>14.1</v>
      </c>
      <c r="V100" s="8">
        <v>1</v>
      </c>
      <c r="W100" s="8">
        <v>0.9</v>
      </c>
      <c r="X100" s="8">
        <v>42</v>
      </c>
      <c r="Y100" s="8" t="s">
        <v>541</v>
      </c>
      <c r="Z100" s="8" t="s">
        <v>542</v>
      </c>
    </row>
    <row r="101" spans="1:26" x14ac:dyDescent="0.2">
      <c r="A101" s="8">
        <v>100</v>
      </c>
      <c r="B101" s="8" t="s">
        <v>543</v>
      </c>
      <c r="C101" s="8" t="s">
        <v>543</v>
      </c>
      <c r="F101" s="47"/>
      <c r="G101" s="8">
        <v>19</v>
      </c>
      <c r="H101" s="8" t="s">
        <v>21</v>
      </c>
      <c r="I101" s="8" t="s">
        <v>22</v>
      </c>
      <c r="J101" s="8" t="s">
        <v>22</v>
      </c>
      <c r="K101" s="8" t="s">
        <v>160</v>
      </c>
      <c r="L101" s="8" t="s">
        <v>38</v>
      </c>
      <c r="M101" s="8" t="s">
        <v>39</v>
      </c>
      <c r="N101" s="8" t="s">
        <v>544</v>
      </c>
      <c r="O101" s="8">
        <f>0+24/60+2.6/3600</f>
        <v>0.40072222222222226</v>
      </c>
      <c r="P101" s="8" t="s">
        <v>545</v>
      </c>
      <c r="Q101" s="8">
        <f>+(16+29/60+11/3600)</f>
        <v>16.486388888888889</v>
      </c>
      <c r="R101" s="8">
        <v>13.3</v>
      </c>
      <c r="S101" s="8">
        <v>13.9</v>
      </c>
      <c r="T101" s="8">
        <v>0.6</v>
      </c>
      <c r="U101" s="8">
        <v>14.6</v>
      </c>
      <c r="V101" s="8">
        <v>4.2</v>
      </c>
      <c r="W101" s="8">
        <v>0.5</v>
      </c>
      <c r="X101" s="8">
        <v>56</v>
      </c>
      <c r="Y101" s="8" t="s">
        <v>546</v>
      </c>
      <c r="Z101" s="8" t="s">
        <v>547</v>
      </c>
    </row>
    <row r="102" spans="1:26" x14ac:dyDescent="0.2">
      <c r="A102" s="8">
        <v>101</v>
      </c>
      <c r="B102" s="8" t="s">
        <v>548</v>
      </c>
      <c r="C102" s="8" t="s">
        <v>548</v>
      </c>
      <c r="F102" s="47"/>
      <c r="G102" s="8">
        <v>16</v>
      </c>
      <c r="H102" s="8" t="s">
        <v>21</v>
      </c>
      <c r="I102" s="8" t="s">
        <v>22</v>
      </c>
      <c r="J102" s="8" t="s">
        <v>22</v>
      </c>
      <c r="K102" s="8" t="s">
        <v>64</v>
      </c>
      <c r="L102" s="8" t="s">
        <v>65</v>
      </c>
      <c r="M102" s="8" t="s">
        <v>66</v>
      </c>
      <c r="N102" s="8" t="s">
        <v>549</v>
      </c>
      <c r="O102" s="8">
        <f>0+23/60+54.5/3600</f>
        <v>0.39847222222222223</v>
      </c>
      <c r="P102" s="8" t="s">
        <v>550</v>
      </c>
      <c r="Q102" s="8">
        <f>-(32+32/60+11/3600)</f>
        <v>-32.536388888888887</v>
      </c>
      <c r="R102" s="8">
        <v>12.8</v>
      </c>
      <c r="S102" s="8">
        <v>13.4</v>
      </c>
      <c r="T102" s="8">
        <v>0.6</v>
      </c>
      <c r="U102" s="8">
        <v>14.3</v>
      </c>
      <c r="V102" s="8">
        <v>2.1</v>
      </c>
      <c r="W102" s="8">
        <v>2</v>
      </c>
      <c r="X102" s="8">
        <v>89</v>
      </c>
      <c r="Y102" s="8" t="s">
        <v>551</v>
      </c>
      <c r="Z102" s="8" t="s">
        <v>552</v>
      </c>
    </row>
    <row r="103" spans="1:26" x14ac:dyDescent="0.2">
      <c r="A103" s="8">
        <v>102</v>
      </c>
      <c r="B103" s="8" t="s">
        <v>553</v>
      </c>
      <c r="C103" s="8" t="s">
        <v>553</v>
      </c>
      <c r="F103" s="47"/>
      <c r="G103" s="8">
        <v>19</v>
      </c>
      <c r="H103" s="8" t="s">
        <v>21</v>
      </c>
      <c r="I103" s="8" t="s">
        <v>22</v>
      </c>
      <c r="J103" s="8" t="s">
        <v>22</v>
      </c>
      <c r="K103" s="8" t="s">
        <v>435</v>
      </c>
      <c r="L103" s="8" t="s">
        <v>125</v>
      </c>
      <c r="M103" s="8" t="s">
        <v>126</v>
      </c>
      <c r="N103" s="8" t="s">
        <v>554</v>
      </c>
      <c r="O103" s="8">
        <f>0+24/60+36.5/3600</f>
        <v>0.41013888888888889</v>
      </c>
      <c r="P103" s="8" t="s">
        <v>555</v>
      </c>
      <c r="Q103" s="8">
        <f>-(13+57/60+22/3600)</f>
        <v>-13.95611111111111</v>
      </c>
      <c r="R103" s="8">
        <v>13.5</v>
      </c>
      <c r="S103" s="8">
        <v>14.4</v>
      </c>
      <c r="T103" s="8">
        <v>0.9</v>
      </c>
      <c r="U103" s="8">
        <v>13</v>
      </c>
      <c r="V103" s="8">
        <v>1</v>
      </c>
      <c r="W103" s="8">
        <v>0.7</v>
      </c>
      <c r="X103" s="8">
        <v>140</v>
      </c>
      <c r="Y103" s="8" t="s">
        <v>385</v>
      </c>
      <c r="Z103" s="8" t="s">
        <v>386</v>
      </c>
    </row>
    <row r="104" spans="1:26" x14ac:dyDescent="0.2">
      <c r="A104" s="8">
        <v>103</v>
      </c>
      <c r="B104" s="8" t="s">
        <v>556</v>
      </c>
      <c r="C104" s="8" t="s">
        <v>556</v>
      </c>
      <c r="F104" s="47"/>
      <c r="G104" s="8">
        <v>7</v>
      </c>
      <c r="H104" s="8" t="s">
        <v>21</v>
      </c>
      <c r="I104" s="8" t="s">
        <v>557</v>
      </c>
      <c r="J104" s="8" t="s">
        <v>557</v>
      </c>
      <c r="K104" s="8" t="s">
        <v>558</v>
      </c>
      <c r="L104" s="8" t="s">
        <v>559</v>
      </c>
      <c r="M104" s="8" t="s">
        <v>560</v>
      </c>
      <c r="N104" s="8" t="s">
        <v>561</v>
      </c>
      <c r="O104" s="8">
        <f>0+25/60+17.3/3600</f>
        <v>0.42147222222222225</v>
      </c>
      <c r="P104" s="8" t="s">
        <v>562</v>
      </c>
      <c r="Q104" s="8">
        <f>+(61+19/60+19/3600)</f>
        <v>61.321944444444448</v>
      </c>
      <c r="R104" s="8">
        <v>9.8000000000000007</v>
      </c>
      <c r="S104" s="8">
        <v>99</v>
      </c>
      <c r="T104" s="8">
        <v>99</v>
      </c>
      <c r="U104" s="8">
        <v>99</v>
      </c>
      <c r="V104" s="8">
        <v>5</v>
      </c>
      <c r="Y104" s="8" t="s">
        <v>563</v>
      </c>
      <c r="Z104" s="8" t="s">
        <v>564</v>
      </c>
    </row>
    <row r="105" spans="1:26" x14ac:dyDescent="0.2">
      <c r="A105" s="8">
        <v>104</v>
      </c>
      <c r="B105" s="8" t="s">
        <v>565</v>
      </c>
      <c r="C105" s="8" t="s">
        <v>565</v>
      </c>
      <c r="F105" s="47"/>
      <c r="G105" s="8">
        <v>2</v>
      </c>
      <c r="H105" s="8" t="s">
        <v>566</v>
      </c>
      <c r="I105" s="8" t="s">
        <v>567</v>
      </c>
      <c r="J105" s="8" t="s">
        <v>567</v>
      </c>
      <c r="K105" s="8" t="s">
        <v>568</v>
      </c>
      <c r="L105" s="8" t="s">
        <v>310</v>
      </c>
      <c r="M105" s="8" t="s">
        <v>311</v>
      </c>
      <c r="N105" s="8" t="s">
        <v>569</v>
      </c>
      <c r="O105" s="8">
        <f>0+24/60+5.2/3600</f>
        <v>0.40144444444444449</v>
      </c>
      <c r="P105" s="8" t="s">
        <v>570</v>
      </c>
      <c r="Q105" s="8">
        <f>-(72+4/60+49/3600)</f>
        <v>-72.080277777777781</v>
      </c>
      <c r="R105" s="8">
        <v>4</v>
      </c>
      <c r="S105" s="8">
        <v>99</v>
      </c>
      <c r="T105" s="8">
        <v>99</v>
      </c>
      <c r="U105" s="8">
        <v>99</v>
      </c>
      <c r="V105" s="8">
        <v>50</v>
      </c>
      <c r="Y105" s="8" t="s">
        <v>571</v>
      </c>
      <c r="Z105" s="8" t="s">
        <v>572</v>
      </c>
    </row>
    <row r="106" spans="1:26" x14ac:dyDescent="0.2">
      <c r="A106" s="8">
        <v>105</v>
      </c>
      <c r="B106" s="8" t="s">
        <v>573</v>
      </c>
      <c r="C106" s="8" t="s">
        <v>573</v>
      </c>
      <c r="F106" s="47"/>
      <c r="G106" s="8">
        <v>19</v>
      </c>
      <c r="H106" s="8" t="s">
        <v>21</v>
      </c>
      <c r="I106" s="8" t="s">
        <v>22</v>
      </c>
      <c r="J106" s="8" t="s">
        <v>22</v>
      </c>
      <c r="K106" s="8" t="s">
        <v>31</v>
      </c>
      <c r="L106" s="8" t="s">
        <v>38</v>
      </c>
      <c r="M106" s="8" t="s">
        <v>39</v>
      </c>
      <c r="N106" s="8" t="s">
        <v>574</v>
      </c>
      <c r="O106" s="8">
        <f>0+25/60+16.9/3600</f>
        <v>0.42136111111111113</v>
      </c>
      <c r="P106" s="8" t="s">
        <v>575</v>
      </c>
      <c r="Q106" s="8">
        <f>+(12+53/60+1/3600)</f>
        <v>12.88361111111111</v>
      </c>
      <c r="R106" s="8">
        <v>13.2</v>
      </c>
      <c r="S106" s="8">
        <v>13.9</v>
      </c>
      <c r="T106" s="8">
        <v>0.7</v>
      </c>
      <c r="U106" s="8">
        <v>12.8</v>
      </c>
      <c r="V106" s="8">
        <v>1.1000000000000001</v>
      </c>
      <c r="W106" s="8">
        <v>0.7</v>
      </c>
      <c r="X106" s="8">
        <v>167</v>
      </c>
      <c r="Y106" s="8" t="s">
        <v>576</v>
      </c>
      <c r="Z106" s="8" t="s">
        <v>577</v>
      </c>
    </row>
    <row r="107" spans="1:26" x14ac:dyDescent="0.2">
      <c r="A107" s="8">
        <v>106</v>
      </c>
      <c r="B107" s="8" t="s">
        <v>578</v>
      </c>
      <c r="C107" s="8" t="s">
        <v>578</v>
      </c>
      <c r="F107" s="47"/>
      <c r="G107" s="8">
        <v>19</v>
      </c>
      <c r="H107" s="8" t="s">
        <v>21</v>
      </c>
      <c r="I107" s="8" t="s">
        <v>22</v>
      </c>
      <c r="J107" s="8" t="s">
        <v>22</v>
      </c>
      <c r="K107" s="8" t="s">
        <v>579</v>
      </c>
      <c r="L107" s="8" t="s">
        <v>38</v>
      </c>
      <c r="M107" s="8" t="s">
        <v>39</v>
      </c>
      <c r="N107" s="8" t="s">
        <v>580</v>
      </c>
      <c r="O107" s="8">
        <f>0+24/60+43.7/3600</f>
        <v>0.41213888888888889</v>
      </c>
      <c r="P107" s="8" t="s">
        <v>581</v>
      </c>
      <c r="Q107" s="8">
        <f>-(5+8/60+56/3600)</f>
        <v>-5.1488888888888891</v>
      </c>
      <c r="R107" s="8">
        <v>13.7</v>
      </c>
      <c r="S107" s="8">
        <v>14.4</v>
      </c>
      <c r="T107" s="8">
        <v>0.7</v>
      </c>
      <c r="U107" s="8">
        <v>13</v>
      </c>
      <c r="V107" s="8">
        <v>0.9</v>
      </c>
      <c r="W107" s="8">
        <v>0.7</v>
      </c>
      <c r="X107" s="8">
        <v>100</v>
      </c>
      <c r="Y107" s="8" t="s">
        <v>582</v>
      </c>
      <c r="Z107" s="8" t="s">
        <v>583</v>
      </c>
    </row>
    <row r="108" spans="1:26" x14ac:dyDescent="0.2">
      <c r="A108" s="8">
        <v>107</v>
      </c>
      <c r="B108" s="8" t="s">
        <v>584</v>
      </c>
      <c r="C108" s="8" t="s">
        <v>584</v>
      </c>
      <c r="F108" s="47"/>
      <c r="G108" s="8">
        <v>18</v>
      </c>
      <c r="H108" s="8" t="s">
        <v>21</v>
      </c>
      <c r="I108" s="8" t="s">
        <v>22</v>
      </c>
      <c r="J108" s="8" t="s">
        <v>22</v>
      </c>
      <c r="K108" s="8" t="s">
        <v>396</v>
      </c>
      <c r="L108" s="8" t="s">
        <v>125</v>
      </c>
      <c r="M108" s="8" t="s">
        <v>126</v>
      </c>
      <c r="N108" s="8" t="s">
        <v>585</v>
      </c>
      <c r="O108" s="8">
        <f>0+25/60+42.1/3600</f>
        <v>0.42836111111111114</v>
      </c>
      <c r="P108" s="8" t="s">
        <v>586</v>
      </c>
      <c r="Q108" s="8">
        <f>-(8+17/60+0/3600)</f>
        <v>-8.2833333333333332</v>
      </c>
      <c r="R108" s="8">
        <v>14.2</v>
      </c>
      <c r="S108" s="8">
        <v>15</v>
      </c>
      <c r="T108" s="8">
        <v>0.8</v>
      </c>
      <c r="U108" s="8">
        <v>13.3</v>
      </c>
      <c r="V108" s="8">
        <v>0.9</v>
      </c>
      <c r="W108" s="8">
        <v>0.6</v>
      </c>
      <c r="X108" s="8">
        <v>142</v>
      </c>
      <c r="Y108" s="8" t="s">
        <v>587</v>
      </c>
      <c r="Z108" s="8" t="s">
        <v>588</v>
      </c>
    </row>
    <row r="109" spans="1:26" x14ac:dyDescent="0.2">
      <c r="A109" s="8">
        <v>108</v>
      </c>
      <c r="B109" s="8" t="s">
        <v>589</v>
      </c>
      <c r="C109" s="8" t="s">
        <v>589</v>
      </c>
      <c r="F109" s="47" t="s">
        <v>55990</v>
      </c>
      <c r="G109" s="8">
        <v>15</v>
      </c>
      <c r="H109" s="8" t="s">
        <v>21</v>
      </c>
      <c r="I109" s="8" t="s">
        <v>22</v>
      </c>
      <c r="J109" s="8" t="s">
        <v>22</v>
      </c>
      <c r="K109" s="8" t="s">
        <v>435</v>
      </c>
      <c r="L109" s="8" t="s">
        <v>51</v>
      </c>
      <c r="M109" s="8" t="s">
        <v>52</v>
      </c>
      <c r="N109" s="8" t="s">
        <v>590</v>
      </c>
      <c r="O109" s="8">
        <f>0+25/60+59.7/3600</f>
        <v>0.43325000000000002</v>
      </c>
      <c r="P109" s="8" t="s">
        <v>591</v>
      </c>
      <c r="Q109" s="8">
        <f>+(29+12/60+43/3600)</f>
        <v>29.211944444444445</v>
      </c>
      <c r="R109" s="8">
        <v>12.1</v>
      </c>
      <c r="S109" s="8">
        <v>13</v>
      </c>
      <c r="T109" s="8">
        <v>0.9</v>
      </c>
      <c r="U109" s="8">
        <v>13.5</v>
      </c>
      <c r="V109" s="8">
        <v>2.2999999999999998</v>
      </c>
      <c r="W109" s="8">
        <v>1.8</v>
      </c>
      <c r="X109" s="8">
        <v>153</v>
      </c>
      <c r="Y109" s="8" t="s">
        <v>592</v>
      </c>
      <c r="Z109" s="8" t="s">
        <v>593</v>
      </c>
    </row>
    <row r="110" spans="1:26" x14ac:dyDescent="0.2">
      <c r="A110" s="8">
        <v>109</v>
      </c>
      <c r="B110" s="8" t="s">
        <v>594</v>
      </c>
      <c r="C110" s="8" t="s">
        <v>594</v>
      </c>
      <c r="F110" s="47"/>
      <c r="G110" s="8">
        <v>17</v>
      </c>
      <c r="H110" s="8" t="s">
        <v>21</v>
      </c>
      <c r="I110" s="8" t="s">
        <v>22</v>
      </c>
      <c r="J110" s="8" t="s">
        <v>22</v>
      </c>
      <c r="K110" s="8" t="s">
        <v>154</v>
      </c>
      <c r="L110" s="8" t="s">
        <v>51</v>
      </c>
      <c r="M110" s="8" t="s">
        <v>52</v>
      </c>
      <c r="N110" s="8" t="s">
        <v>595</v>
      </c>
      <c r="O110" s="8">
        <f>0+26/60+14.6/3600</f>
        <v>0.43738888888888888</v>
      </c>
      <c r="P110" s="8" t="s">
        <v>596</v>
      </c>
      <c r="Q110" s="8">
        <f>+(21+48/60+28/3600)</f>
        <v>21.80777777777778</v>
      </c>
      <c r="R110" s="8">
        <v>13.7</v>
      </c>
      <c r="S110" s="8">
        <v>14.7</v>
      </c>
      <c r="T110" s="8">
        <v>1</v>
      </c>
      <c r="U110" s="8">
        <v>13.8</v>
      </c>
      <c r="V110" s="8">
        <v>1.1000000000000001</v>
      </c>
      <c r="W110" s="8">
        <v>1</v>
      </c>
      <c r="X110" s="8">
        <v>77</v>
      </c>
      <c r="Y110" s="8" t="s">
        <v>597</v>
      </c>
      <c r="Z110" s="8" t="s">
        <v>598</v>
      </c>
    </row>
    <row r="111" spans="1:26" x14ac:dyDescent="0.2">
      <c r="A111" s="8">
        <v>110</v>
      </c>
      <c r="B111" s="8" t="s">
        <v>599</v>
      </c>
      <c r="C111" s="8" t="s">
        <v>599</v>
      </c>
      <c r="F111" s="47"/>
      <c r="G111" s="8">
        <v>16</v>
      </c>
      <c r="H111" s="8" t="s">
        <v>21</v>
      </c>
      <c r="I111" s="8" t="s">
        <v>557</v>
      </c>
      <c r="J111" s="8" t="s">
        <v>557</v>
      </c>
      <c r="K111" s="8" t="s">
        <v>600</v>
      </c>
      <c r="L111" s="8" t="s">
        <v>559</v>
      </c>
      <c r="M111" s="8" t="s">
        <v>560</v>
      </c>
      <c r="N111" s="8" t="s">
        <v>601</v>
      </c>
      <c r="O111" s="8">
        <f>0+27/60+25.4/3600</f>
        <v>0.45705555555555555</v>
      </c>
      <c r="P111" s="8" t="s">
        <v>602</v>
      </c>
      <c r="Q111" s="8">
        <f>+(71+23/60+26/3600)</f>
        <v>71.390555555555565</v>
      </c>
      <c r="R111" s="8">
        <v>99</v>
      </c>
      <c r="S111" s="8">
        <v>99</v>
      </c>
      <c r="T111" s="8">
        <v>99</v>
      </c>
      <c r="U111" s="8">
        <v>99</v>
      </c>
      <c r="V111" s="8">
        <v>19</v>
      </c>
      <c r="Y111" s="8" t="s">
        <v>603</v>
      </c>
      <c r="Z111" s="8" t="s">
        <v>604</v>
      </c>
    </row>
    <row r="112" spans="1:26" x14ac:dyDescent="0.2">
      <c r="A112" s="8">
        <v>111</v>
      </c>
      <c r="B112" s="8" t="s">
        <v>605</v>
      </c>
      <c r="C112" s="8" t="s">
        <v>605</v>
      </c>
      <c r="F112" s="47"/>
      <c r="G112" s="8">
        <v>19</v>
      </c>
      <c r="H112" s="8" t="s">
        <v>21</v>
      </c>
      <c r="I112" s="8" t="s">
        <v>22</v>
      </c>
      <c r="J112" s="8" t="s">
        <v>22</v>
      </c>
      <c r="K112" s="8" t="s">
        <v>37</v>
      </c>
      <c r="L112" s="8" t="s">
        <v>125</v>
      </c>
      <c r="M112" s="8" t="s">
        <v>126</v>
      </c>
      <c r="N112" s="8" t="s">
        <v>606</v>
      </c>
      <c r="O112" s="8">
        <f>1+55/60+42.1/3600</f>
        <v>1.928361111111111</v>
      </c>
      <c r="P112" s="8" t="s">
        <v>607</v>
      </c>
      <c r="Q112" s="8">
        <f>-(3+3/60+58/3600)</f>
        <v>-3.0661111111111108</v>
      </c>
      <c r="R112" s="8">
        <v>14.4</v>
      </c>
      <c r="S112" s="8">
        <v>15.4</v>
      </c>
      <c r="T112" s="8">
        <v>1</v>
      </c>
      <c r="U112" s="8">
        <v>13.8</v>
      </c>
      <c r="V112" s="8">
        <v>0.9</v>
      </c>
      <c r="W112" s="8">
        <v>0.7</v>
      </c>
      <c r="X112" s="8">
        <v>85</v>
      </c>
      <c r="Y112" s="8" t="s">
        <v>608</v>
      </c>
      <c r="Z112" s="8" t="s">
        <v>609</v>
      </c>
    </row>
    <row r="113" spans="1:26" x14ac:dyDescent="0.2">
      <c r="A113" s="8">
        <v>112</v>
      </c>
      <c r="B113" s="8" t="s">
        <v>610</v>
      </c>
      <c r="C113" s="8" t="s">
        <v>610</v>
      </c>
      <c r="F113" s="47"/>
      <c r="G113" s="8">
        <v>19</v>
      </c>
      <c r="H113" s="8" t="s">
        <v>21</v>
      </c>
      <c r="I113" s="8" t="s">
        <v>22</v>
      </c>
      <c r="J113" s="8" t="s">
        <v>22</v>
      </c>
      <c r="K113" s="8" t="s">
        <v>160</v>
      </c>
      <c r="L113" s="8" t="s">
        <v>51</v>
      </c>
      <c r="M113" s="8" t="s">
        <v>52</v>
      </c>
      <c r="N113" s="8" t="s">
        <v>611</v>
      </c>
      <c r="O113" s="8">
        <f>0+26/60+48.8/3600</f>
        <v>0.44688888888888889</v>
      </c>
      <c r="P113" s="8" t="s">
        <v>612</v>
      </c>
      <c r="Q113" s="8">
        <f>+(31+42/60+10/3600)</f>
        <v>31.702777777777776</v>
      </c>
      <c r="R113" s="8">
        <v>13.6</v>
      </c>
      <c r="S113" s="8">
        <v>14.3</v>
      </c>
      <c r="T113" s="8">
        <v>0.7</v>
      </c>
      <c r="U113" s="8">
        <v>12.7</v>
      </c>
      <c r="V113" s="8">
        <v>1</v>
      </c>
      <c r="W113" s="8">
        <v>0.5</v>
      </c>
      <c r="X113" s="8">
        <v>108</v>
      </c>
      <c r="Y113" s="8" t="s">
        <v>385</v>
      </c>
      <c r="Z113" s="8" t="s">
        <v>386</v>
      </c>
    </row>
    <row r="114" spans="1:26" x14ac:dyDescent="0.2">
      <c r="A114" s="8">
        <v>113</v>
      </c>
      <c r="B114" s="8" t="s">
        <v>613</v>
      </c>
      <c r="C114" s="8" t="s">
        <v>613</v>
      </c>
      <c r="F114" s="47"/>
      <c r="G114" s="8">
        <v>18</v>
      </c>
      <c r="H114" s="8" t="s">
        <v>21</v>
      </c>
      <c r="I114" s="8" t="s">
        <v>22</v>
      </c>
      <c r="J114" s="8" t="s">
        <v>22</v>
      </c>
      <c r="K114" s="8" t="s">
        <v>58</v>
      </c>
      <c r="L114" s="8" t="s">
        <v>125</v>
      </c>
      <c r="M114" s="8" t="s">
        <v>126</v>
      </c>
      <c r="N114" s="8" t="s">
        <v>614</v>
      </c>
      <c r="O114" s="8">
        <f>0+26/60+54.7/3600</f>
        <v>0.4485277777777778</v>
      </c>
      <c r="P114" s="8" t="s">
        <v>615</v>
      </c>
      <c r="Q114" s="8">
        <f>-(2+30/60+2/3600)</f>
        <v>-2.5005555555555556</v>
      </c>
      <c r="R114" s="8">
        <v>13.1</v>
      </c>
      <c r="S114" s="8">
        <v>14.1</v>
      </c>
      <c r="T114" s="8">
        <v>1</v>
      </c>
      <c r="U114" s="8">
        <v>13.5</v>
      </c>
      <c r="V114" s="8">
        <v>1.4</v>
      </c>
      <c r="W114" s="8">
        <v>1</v>
      </c>
      <c r="X114" s="8">
        <v>135</v>
      </c>
      <c r="Y114" s="8" t="s">
        <v>616</v>
      </c>
      <c r="Z114" s="8" t="s">
        <v>617</v>
      </c>
    </row>
    <row r="115" spans="1:26" x14ac:dyDescent="0.2">
      <c r="A115" s="8">
        <v>114</v>
      </c>
      <c r="B115" s="8" t="s">
        <v>618</v>
      </c>
      <c r="C115" s="8" t="s">
        <v>618</v>
      </c>
      <c r="F115" s="47"/>
      <c r="G115" s="8">
        <v>19</v>
      </c>
      <c r="H115" s="8" t="s">
        <v>21</v>
      </c>
      <c r="I115" s="8" t="s">
        <v>22</v>
      </c>
      <c r="J115" s="8" t="s">
        <v>22</v>
      </c>
      <c r="K115" s="8" t="s">
        <v>224</v>
      </c>
      <c r="L115" s="8" t="s">
        <v>125</v>
      </c>
      <c r="M115" s="8" t="s">
        <v>126</v>
      </c>
      <c r="N115" s="8" t="s">
        <v>619</v>
      </c>
      <c r="O115" s="8">
        <f>0+26/60+58.2/3600</f>
        <v>0.44950000000000001</v>
      </c>
      <c r="P115" s="8" t="s">
        <v>620</v>
      </c>
      <c r="Q115" s="8">
        <f>-(1+47/60+9/3600)</f>
        <v>-1.7858333333333332</v>
      </c>
      <c r="R115" s="8">
        <v>13.8</v>
      </c>
      <c r="S115" s="8">
        <v>14.7</v>
      </c>
      <c r="T115" s="8">
        <v>0.9</v>
      </c>
      <c r="U115" s="8">
        <v>13.3</v>
      </c>
      <c r="V115" s="8">
        <v>0.8</v>
      </c>
      <c r="W115" s="8">
        <v>0.7</v>
      </c>
      <c r="X115" s="8">
        <v>165</v>
      </c>
      <c r="Y115" s="8" t="s">
        <v>621</v>
      </c>
      <c r="Z115" s="8" t="s">
        <v>622</v>
      </c>
    </row>
    <row r="116" spans="1:26" x14ac:dyDescent="0.2">
      <c r="A116" s="8">
        <v>115</v>
      </c>
      <c r="B116" s="8" t="s">
        <v>623</v>
      </c>
      <c r="C116" s="8" t="s">
        <v>623</v>
      </c>
      <c r="F116" s="47"/>
      <c r="G116" s="8">
        <v>16</v>
      </c>
      <c r="H116" s="8" t="s">
        <v>21</v>
      </c>
      <c r="I116" s="8" t="s">
        <v>22</v>
      </c>
      <c r="J116" s="8" t="s">
        <v>22</v>
      </c>
      <c r="K116" s="8" t="s">
        <v>85</v>
      </c>
      <c r="L116" s="8" t="s">
        <v>65</v>
      </c>
      <c r="M116" s="8" t="s">
        <v>66</v>
      </c>
      <c r="N116" s="8" t="s">
        <v>624</v>
      </c>
      <c r="O116" s="8">
        <f>0+26/60+46/3600</f>
        <v>0.44611111111111112</v>
      </c>
      <c r="P116" s="8" t="s">
        <v>625</v>
      </c>
      <c r="Q116" s="8">
        <f>-(33+40/60+34/3600)</f>
        <v>-33.676111111111112</v>
      </c>
      <c r="R116" s="8">
        <v>13.1</v>
      </c>
      <c r="S116" s="8">
        <v>13.9</v>
      </c>
      <c r="T116" s="8">
        <v>0.8</v>
      </c>
      <c r="U116" s="8">
        <v>13.5</v>
      </c>
      <c r="V116" s="8">
        <v>1.9</v>
      </c>
      <c r="W116" s="8">
        <v>0.9</v>
      </c>
      <c r="X116" s="8">
        <v>127</v>
      </c>
      <c r="Y116" s="8" t="s">
        <v>626</v>
      </c>
      <c r="Z116" s="8" t="s">
        <v>627</v>
      </c>
    </row>
    <row r="117" spans="1:26" x14ac:dyDescent="0.2">
      <c r="A117" s="8">
        <v>116</v>
      </c>
      <c r="B117" s="8" t="s">
        <v>628</v>
      </c>
      <c r="C117" s="8" t="s">
        <v>628</v>
      </c>
      <c r="F117" s="47"/>
      <c r="G117" s="8">
        <v>18</v>
      </c>
      <c r="H117" s="8" t="s">
        <v>21</v>
      </c>
      <c r="I117" s="8" t="s">
        <v>329</v>
      </c>
      <c r="J117" s="8" t="s">
        <v>329</v>
      </c>
      <c r="K117" s="8" t="s">
        <v>329</v>
      </c>
      <c r="L117" s="8" t="s">
        <v>125</v>
      </c>
      <c r="M117" s="8" t="s">
        <v>126</v>
      </c>
      <c r="N117" s="8" t="s">
        <v>629</v>
      </c>
      <c r="O117" s="8">
        <f>0+27/60+9/3600</f>
        <v>0.45250000000000001</v>
      </c>
      <c r="P117" s="8" t="s">
        <v>630</v>
      </c>
      <c r="Q117" s="8">
        <f>-(7+56/60+18/3600)</f>
        <v>-7.9383333333333335</v>
      </c>
      <c r="R117" s="8">
        <v>99</v>
      </c>
      <c r="S117" s="8">
        <v>99</v>
      </c>
      <c r="T117" s="8">
        <v>99</v>
      </c>
      <c r="U117" s="8">
        <v>99</v>
      </c>
      <c r="Y117" s="8" t="s">
        <v>297</v>
      </c>
      <c r="Z117" s="8" t="s">
        <v>298</v>
      </c>
    </row>
    <row r="118" spans="1:26" x14ac:dyDescent="0.2">
      <c r="A118" s="8">
        <v>117</v>
      </c>
      <c r="B118" s="8" t="s">
        <v>631</v>
      </c>
      <c r="C118" s="8" t="s">
        <v>631</v>
      </c>
      <c r="F118" s="47"/>
      <c r="G118" s="8">
        <v>18</v>
      </c>
      <c r="H118" s="8" t="s">
        <v>21</v>
      </c>
      <c r="I118" s="8" t="s">
        <v>22</v>
      </c>
      <c r="J118" s="8" t="s">
        <v>22</v>
      </c>
      <c r="K118" s="8" t="s">
        <v>632</v>
      </c>
      <c r="L118" s="8" t="s">
        <v>125</v>
      </c>
      <c r="M118" s="8" t="s">
        <v>126</v>
      </c>
      <c r="N118" s="8" t="s">
        <v>633</v>
      </c>
      <c r="O118" s="8">
        <f>0+27/60+10.9/3600</f>
        <v>0.45302777777777781</v>
      </c>
      <c r="P118" s="8" t="s">
        <v>634</v>
      </c>
      <c r="Q118" s="8">
        <f>+(1+20/60+3/3600)</f>
        <v>1.3341666666666665</v>
      </c>
      <c r="R118" s="8">
        <v>14.3</v>
      </c>
      <c r="S118" s="8">
        <v>15.2</v>
      </c>
      <c r="T118" s="8">
        <v>0.9</v>
      </c>
      <c r="U118" s="8">
        <v>13.3</v>
      </c>
      <c r="V118" s="8">
        <v>0.7</v>
      </c>
      <c r="W118" s="8">
        <v>0.4</v>
      </c>
      <c r="X118" s="8">
        <v>100</v>
      </c>
      <c r="Y118" s="8" t="s">
        <v>635</v>
      </c>
      <c r="Z118" s="8" t="s">
        <v>636</v>
      </c>
    </row>
    <row r="119" spans="1:26" x14ac:dyDescent="0.2">
      <c r="A119" s="8">
        <v>118</v>
      </c>
      <c r="B119" s="8" t="s">
        <v>637</v>
      </c>
      <c r="C119" s="8" t="s">
        <v>637</v>
      </c>
      <c r="F119" s="47"/>
      <c r="G119" s="8">
        <v>19</v>
      </c>
      <c r="H119" s="8" t="s">
        <v>21</v>
      </c>
      <c r="I119" s="8" t="s">
        <v>22</v>
      </c>
      <c r="J119" s="8" t="s">
        <v>22</v>
      </c>
      <c r="K119" s="8" t="s">
        <v>424</v>
      </c>
      <c r="L119" s="8" t="s">
        <v>125</v>
      </c>
      <c r="M119" s="8" t="s">
        <v>126</v>
      </c>
      <c r="N119" s="8" t="s">
        <v>638</v>
      </c>
      <c r="O119" s="8">
        <f>0+27/60+16.1/3600</f>
        <v>0.45447222222222222</v>
      </c>
      <c r="P119" s="8" t="s">
        <v>639</v>
      </c>
      <c r="Q119" s="8">
        <f>-(1+46/60+47/3600)</f>
        <v>-1.7797222222222222</v>
      </c>
      <c r="R119" s="8">
        <v>13.6</v>
      </c>
      <c r="S119" s="8">
        <v>14.6</v>
      </c>
      <c r="T119" s="8">
        <v>1</v>
      </c>
      <c r="U119" s="8">
        <v>12.3</v>
      </c>
      <c r="V119" s="8">
        <v>0.7</v>
      </c>
      <c r="W119" s="8">
        <v>0.5</v>
      </c>
      <c r="X119" s="8">
        <v>40</v>
      </c>
      <c r="Y119" s="8" t="s">
        <v>640</v>
      </c>
      <c r="Z119" s="8" t="s">
        <v>641</v>
      </c>
    </row>
    <row r="120" spans="1:26" x14ac:dyDescent="0.2">
      <c r="A120" s="8">
        <v>119</v>
      </c>
      <c r="B120" s="8" t="s">
        <v>642</v>
      </c>
      <c r="C120" s="8" t="s">
        <v>642</v>
      </c>
      <c r="F120" s="47"/>
      <c r="G120" s="8">
        <v>16</v>
      </c>
      <c r="H120" s="8" t="s">
        <v>21</v>
      </c>
      <c r="I120" s="8" t="s">
        <v>22</v>
      </c>
      <c r="J120" s="8" t="s">
        <v>22</v>
      </c>
      <c r="K120" s="8" t="s">
        <v>643</v>
      </c>
      <c r="L120" s="8" t="s">
        <v>166</v>
      </c>
      <c r="M120" s="8" t="s">
        <v>167</v>
      </c>
      <c r="N120" s="8" t="s">
        <v>644</v>
      </c>
      <c r="O120" s="8">
        <f>0+26/60+57.6/3600</f>
        <v>0.44933333333333336</v>
      </c>
      <c r="P120" s="8" t="s">
        <v>645</v>
      </c>
      <c r="Q120" s="8">
        <f>-(56+58/60+40/3600)</f>
        <v>-56.977777777777781</v>
      </c>
      <c r="R120" s="8">
        <v>13</v>
      </c>
      <c r="S120" s="8">
        <v>14</v>
      </c>
      <c r="T120" s="8">
        <v>1</v>
      </c>
      <c r="U120" s="8">
        <v>12.9</v>
      </c>
      <c r="V120" s="8">
        <v>1</v>
      </c>
      <c r="W120" s="8">
        <v>1</v>
      </c>
      <c r="Y120" s="8" t="s">
        <v>646</v>
      </c>
      <c r="Z120" s="8" t="s">
        <v>647</v>
      </c>
    </row>
    <row r="121" spans="1:26" x14ac:dyDescent="0.2">
      <c r="A121" s="8">
        <v>120</v>
      </c>
      <c r="B121" s="8" t="s">
        <v>648</v>
      </c>
      <c r="C121" s="8" t="s">
        <v>648</v>
      </c>
      <c r="F121" s="47"/>
      <c r="G121" s="8">
        <v>19</v>
      </c>
      <c r="H121" s="8" t="s">
        <v>21</v>
      </c>
      <c r="I121" s="8" t="s">
        <v>22</v>
      </c>
      <c r="J121" s="8" t="s">
        <v>22</v>
      </c>
      <c r="K121" s="8" t="s">
        <v>224</v>
      </c>
      <c r="L121" s="8" t="s">
        <v>125</v>
      </c>
      <c r="M121" s="8" t="s">
        <v>126</v>
      </c>
      <c r="N121" s="8" t="s">
        <v>649</v>
      </c>
      <c r="O121" s="8">
        <f>0+27/60+30.1/3600</f>
        <v>0.45836111111111111</v>
      </c>
      <c r="P121" s="8" t="s">
        <v>650</v>
      </c>
      <c r="Q121" s="8">
        <f>-(1+30/60+49/3600)</f>
        <v>-1.513611111111111</v>
      </c>
      <c r="R121" s="8">
        <v>13.4</v>
      </c>
      <c r="S121" s="8">
        <v>14.4</v>
      </c>
      <c r="T121" s="8">
        <v>1</v>
      </c>
      <c r="U121" s="8">
        <v>13</v>
      </c>
      <c r="V121" s="8">
        <v>1.5</v>
      </c>
      <c r="W121" s="8">
        <v>0.6</v>
      </c>
      <c r="X121" s="8">
        <v>73</v>
      </c>
      <c r="Y121" s="8" t="s">
        <v>651</v>
      </c>
      <c r="Z121" s="8" t="s">
        <v>652</v>
      </c>
    </row>
    <row r="122" spans="1:26" x14ac:dyDescent="0.2">
      <c r="A122" s="8">
        <v>121</v>
      </c>
      <c r="B122" s="8" t="s">
        <v>653</v>
      </c>
      <c r="C122" s="8" t="s">
        <v>653</v>
      </c>
      <c r="F122" s="47"/>
      <c r="G122" s="8">
        <v>16</v>
      </c>
      <c r="H122" s="8" t="s">
        <v>21</v>
      </c>
      <c r="I122" s="8" t="s">
        <v>567</v>
      </c>
      <c r="J122" s="8" t="s">
        <v>567</v>
      </c>
      <c r="K122" s="8" t="s">
        <v>567</v>
      </c>
      <c r="L122" s="8" t="s">
        <v>310</v>
      </c>
      <c r="M122" s="8" t="s">
        <v>311</v>
      </c>
      <c r="N122" s="8" t="s">
        <v>654</v>
      </c>
      <c r="O122" s="8">
        <f>0+26/60+47.1/3600</f>
        <v>0.44641666666666668</v>
      </c>
      <c r="P122" s="8" t="s">
        <v>655</v>
      </c>
      <c r="Q122" s="8">
        <f>-(71+32/60+12/3600)</f>
        <v>-71.536666666666662</v>
      </c>
      <c r="R122" s="8">
        <v>11.2</v>
      </c>
      <c r="S122" s="8">
        <v>11.2</v>
      </c>
      <c r="T122" s="8">
        <v>99</v>
      </c>
      <c r="U122" s="8">
        <v>99</v>
      </c>
      <c r="V122" s="8">
        <v>1.5</v>
      </c>
      <c r="Y122" s="8" t="s">
        <v>656</v>
      </c>
      <c r="Z122" s="8" t="s">
        <v>657</v>
      </c>
    </row>
    <row r="123" spans="1:26" x14ac:dyDescent="0.2">
      <c r="A123" s="8">
        <v>122</v>
      </c>
      <c r="B123" s="8" t="s">
        <v>658</v>
      </c>
      <c r="C123" s="8" t="s">
        <v>658</v>
      </c>
      <c r="F123" s="47"/>
      <c r="G123" s="8">
        <v>19</v>
      </c>
      <c r="H123" s="8" t="s">
        <v>21</v>
      </c>
      <c r="I123" s="8" t="s">
        <v>72</v>
      </c>
      <c r="J123" s="8" t="s">
        <v>72</v>
      </c>
      <c r="K123" s="8" t="s">
        <v>20</v>
      </c>
      <c r="L123" s="8" t="s">
        <v>125</v>
      </c>
      <c r="M123" s="8" t="s">
        <v>126</v>
      </c>
      <c r="N123" s="8" t="s">
        <v>659</v>
      </c>
      <c r="O123" s="8">
        <f>0+27/60+38.3/3600</f>
        <v>0.46063888888888888</v>
      </c>
      <c r="P123" s="8" t="s">
        <v>660</v>
      </c>
      <c r="Q123" s="8">
        <f>-(1+38/60+24/3600)</f>
        <v>-1.64</v>
      </c>
      <c r="R123" s="8">
        <v>99</v>
      </c>
      <c r="S123" s="8">
        <v>15.4</v>
      </c>
      <c r="T123" s="8">
        <v>99</v>
      </c>
      <c r="U123" s="8">
        <v>99</v>
      </c>
      <c r="Y123" s="8" t="s">
        <v>661</v>
      </c>
      <c r="Z123" s="8" t="s">
        <v>662</v>
      </c>
    </row>
    <row r="124" spans="1:26" x14ac:dyDescent="0.2">
      <c r="A124" s="8">
        <v>123</v>
      </c>
      <c r="B124" s="8" t="s">
        <v>663</v>
      </c>
      <c r="C124" s="8" t="s">
        <v>663</v>
      </c>
      <c r="F124" s="47"/>
      <c r="G124" s="8">
        <v>19</v>
      </c>
      <c r="H124" s="8" t="s">
        <v>21</v>
      </c>
      <c r="I124" s="8" t="s">
        <v>72</v>
      </c>
      <c r="J124" s="8" t="s">
        <v>72</v>
      </c>
      <c r="K124" s="8" t="s">
        <v>20</v>
      </c>
      <c r="L124" s="8" t="s">
        <v>125</v>
      </c>
      <c r="M124" s="8" t="s">
        <v>126</v>
      </c>
      <c r="N124" s="8" t="s">
        <v>664</v>
      </c>
      <c r="O124" s="8">
        <f>0+27/60+36.2/3600</f>
        <v>0.46005555555555555</v>
      </c>
      <c r="P124" s="8" t="s">
        <v>665</v>
      </c>
      <c r="Q124" s="8">
        <f>-(1+35/60+58/3600)</f>
        <v>-1.5994444444444447</v>
      </c>
      <c r="R124" s="8">
        <v>99</v>
      </c>
      <c r="S124" s="8">
        <v>14.2</v>
      </c>
      <c r="T124" s="8">
        <v>99</v>
      </c>
      <c r="U124" s="8">
        <v>99</v>
      </c>
      <c r="Y124" s="8" t="s">
        <v>661</v>
      </c>
      <c r="Z124" s="8" t="s">
        <v>662</v>
      </c>
    </row>
    <row r="125" spans="1:26" x14ac:dyDescent="0.2">
      <c r="A125" s="8">
        <v>124</v>
      </c>
      <c r="B125" s="8" t="s">
        <v>666</v>
      </c>
      <c r="C125" s="8" t="s">
        <v>666</v>
      </c>
      <c r="F125" s="47"/>
      <c r="G125" s="8">
        <v>19</v>
      </c>
      <c r="H125" s="8" t="s">
        <v>21</v>
      </c>
      <c r="I125" s="8" t="s">
        <v>22</v>
      </c>
      <c r="J125" s="8" t="s">
        <v>22</v>
      </c>
      <c r="K125" s="8" t="s">
        <v>160</v>
      </c>
      <c r="L125" s="8" t="s">
        <v>125</v>
      </c>
      <c r="M125" s="8" t="s">
        <v>126</v>
      </c>
      <c r="N125" s="8" t="s">
        <v>667</v>
      </c>
      <c r="O125" s="8">
        <f>0+27/60+52.3/3600</f>
        <v>0.46452777777777776</v>
      </c>
      <c r="P125" s="8" t="s">
        <v>668</v>
      </c>
      <c r="Q125" s="8">
        <f>-(1+48/60+37/3600)</f>
        <v>-1.8102777777777779</v>
      </c>
      <c r="R125" s="8">
        <v>13</v>
      </c>
      <c r="S125" s="8">
        <v>13.7</v>
      </c>
      <c r="T125" s="8">
        <v>0.7</v>
      </c>
      <c r="U125" s="8">
        <v>12.9</v>
      </c>
      <c r="V125" s="8">
        <v>1.4</v>
      </c>
      <c r="W125" s="8">
        <v>0.8</v>
      </c>
      <c r="X125" s="8">
        <v>168</v>
      </c>
      <c r="Y125" s="8" t="s">
        <v>669</v>
      </c>
      <c r="Z125" s="8" t="s">
        <v>670</v>
      </c>
    </row>
    <row r="126" spans="1:26" x14ac:dyDescent="0.2">
      <c r="A126" s="8">
        <v>125</v>
      </c>
      <c r="B126" s="8" t="s">
        <v>671</v>
      </c>
      <c r="C126" s="8" t="s">
        <v>671</v>
      </c>
      <c r="F126" s="47" t="s">
        <v>55991</v>
      </c>
      <c r="G126" s="8">
        <v>6.5</v>
      </c>
      <c r="H126" s="8" t="s">
        <v>21</v>
      </c>
      <c r="I126" s="8" t="s">
        <v>22</v>
      </c>
      <c r="J126" s="8" t="s">
        <v>22</v>
      </c>
      <c r="K126" s="8" t="s">
        <v>632</v>
      </c>
      <c r="L126" s="8" t="s">
        <v>38</v>
      </c>
      <c r="M126" s="8" t="s">
        <v>39</v>
      </c>
      <c r="N126" s="8" t="s">
        <v>672</v>
      </c>
      <c r="O126" s="8">
        <f>0+28/60+50.3/3600</f>
        <v>0.48063888888888889</v>
      </c>
      <c r="P126" s="8" t="s">
        <v>673</v>
      </c>
      <c r="Q126" s="8">
        <f>+(2+50/60+19/3600)</f>
        <v>2.8386111111111112</v>
      </c>
      <c r="R126" s="8">
        <v>12.1</v>
      </c>
      <c r="S126" s="8">
        <v>13.1</v>
      </c>
      <c r="T126" s="8">
        <v>1</v>
      </c>
      <c r="U126" s="8">
        <v>13</v>
      </c>
      <c r="V126" s="8">
        <v>1.8</v>
      </c>
      <c r="W126" s="8">
        <v>1.6</v>
      </c>
      <c r="X126" s="8">
        <v>85</v>
      </c>
      <c r="Y126" s="8" t="s">
        <v>674</v>
      </c>
      <c r="Z126" s="8" t="s">
        <v>675</v>
      </c>
    </row>
    <row r="127" spans="1:26" x14ac:dyDescent="0.2">
      <c r="A127" s="8">
        <v>126</v>
      </c>
      <c r="B127" s="8" t="s">
        <v>676</v>
      </c>
      <c r="C127" s="8" t="s">
        <v>676</v>
      </c>
      <c r="F127" s="47"/>
      <c r="G127" s="8">
        <v>18</v>
      </c>
      <c r="H127" s="8" t="s">
        <v>21</v>
      </c>
      <c r="I127" s="8" t="s">
        <v>22</v>
      </c>
      <c r="J127" s="8" t="s">
        <v>22</v>
      </c>
      <c r="K127" s="8" t="s">
        <v>224</v>
      </c>
      <c r="L127" s="8" t="s">
        <v>38</v>
      </c>
      <c r="M127" s="8" t="s">
        <v>39</v>
      </c>
      <c r="N127" s="8" t="s">
        <v>677</v>
      </c>
      <c r="O127" s="8">
        <f>0+29/60+8.1/3600</f>
        <v>0.48558333333333331</v>
      </c>
      <c r="P127" s="8" t="s">
        <v>678</v>
      </c>
      <c r="Q127" s="8">
        <f>+(2+48/60+40/3600)</f>
        <v>2.8111111111111109</v>
      </c>
      <c r="R127" s="8">
        <v>14.2</v>
      </c>
      <c r="S127" s="8">
        <v>15.2</v>
      </c>
      <c r="T127" s="8">
        <v>1</v>
      </c>
      <c r="U127" s="8">
        <v>12.7</v>
      </c>
      <c r="V127" s="8">
        <v>0.8</v>
      </c>
      <c r="W127" s="8">
        <v>0.4</v>
      </c>
      <c r="X127" s="8">
        <v>110</v>
      </c>
      <c r="Y127" s="8" t="s">
        <v>679</v>
      </c>
      <c r="Z127" s="8" t="s">
        <v>680</v>
      </c>
    </row>
    <row r="128" spans="1:26" x14ac:dyDescent="0.2">
      <c r="A128" s="8">
        <v>127</v>
      </c>
      <c r="B128" s="8" t="s">
        <v>681</v>
      </c>
      <c r="C128" s="8" t="s">
        <v>681</v>
      </c>
      <c r="F128" s="47"/>
      <c r="G128" s="8">
        <v>18</v>
      </c>
      <c r="H128" s="8" t="s">
        <v>21</v>
      </c>
      <c r="I128" s="8" t="s">
        <v>22</v>
      </c>
      <c r="J128" s="8" t="s">
        <v>22</v>
      </c>
      <c r="K128" s="8" t="s">
        <v>37</v>
      </c>
      <c r="L128" s="8" t="s">
        <v>38</v>
      </c>
      <c r="M128" s="8" t="s">
        <v>39</v>
      </c>
      <c r="N128" s="8" t="s">
        <v>682</v>
      </c>
      <c r="O128" s="8">
        <f>0+29/60+12.3/3600</f>
        <v>0.48675000000000002</v>
      </c>
      <c r="P128" s="8" t="s">
        <v>683</v>
      </c>
      <c r="Q128" s="8">
        <f>+(2+52/60+24/3600)</f>
        <v>2.8733333333333335</v>
      </c>
      <c r="R128" s="8">
        <v>14.8</v>
      </c>
      <c r="S128" s="8">
        <v>15.8</v>
      </c>
      <c r="T128" s="8">
        <v>1</v>
      </c>
      <c r="U128" s="8">
        <v>13.7</v>
      </c>
      <c r="V128" s="8">
        <v>0.8</v>
      </c>
      <c r="W128" s="8">
        <v>0.5</v>
      </c>
      <c r="X128" s="8">
        <v>70</v>
      </c>
      <c r="Y128" s="8" t="s">
        <v>684</v>
      </c>
      <c r="Z128" s="8" t="s">
        <v>685</v>
      </c>
    </row>
    <row r="129" spans="1:26" x14ac:dyDescent="0.2">
      <c r="A129" s="8">
        <v>128</v>
      </c>
      <c r="B129" s="8" t="s">
        <v>686</v>
      </c>
      <c r="C129" s="8" t="s">
        <v>686</v>
      </c>
      <c r="F129" s="47" t="s">
        <v>55992</v>
      </c>
      <c r="G129" s="8">
        <v>7</v>
      </c>
      <c r="H129" s="8" t="s">
        <v>687</v>
      </c>
      <c r="I129" s="8" t="s">
        <v>22</v>
      </c>
      <c r="J129" s="8" t="s">
        <v>22</v>
      </c>
      <c r="K129" s="8" t="s">
        <v>643</v>
      </c>
      <c r="L129" s="8" t="s">
        <v>38</v>
      </c>
      <c r="M129" s="8" t="s">
        <v>39</v>
      </c>
      <c r="N129" s="8" t="s">
        <v>688</v>
      </c>
      <c r="O129" s="8">
        <f>0+29/60+14.9/3600</f>
        <v>0.48747222222222225</v>
      </c>
      <c r="P129" s="8" t="s">
        <v>689</v>
      </c>
      <c r="Q129" s="8">
        <f>+(2+51/60+54/3600)</f>
        <v>2.8650000000000002</v>
      </c>
      <c r="R129" s="8">
        <v>11.8</v>
      </c>
      <c r="S129" s="8">
        <v>12.8</v>
      </c>
      <c r="T129" s="8">
        <v>1</v>
      </c>
      <c r="U129" s="8">
        <v>12.7</v>
      </c>
      <c r="V129" s="8">
        <v>2.5</v>
      </c>
      <c r="W129" s="8">
        <v>0.7</v>
      </c>
      <c r="X129" s="8">
        <v>1</v>
      </c>
      <c r="Y129" s="8" t="s">
        <v>690</v>
      </c>
      <c r="Z129" s="8" t="s">
        <v>691</v>
      </c>
    </row>
    <row r="130" spans="1:26" x14ac:dyDescent="0.2">
      <c r="A130" s="8">
        <v>129</v>
      </c>
      <c r="B130" s="8" t="s">
        <v>692</v>
      </c>
      <c r="C130" s="8" t="s">
        <v>692</v>
      </c>
      <c r="F130" s="47" t="s">
        <v>55993</v>
      </c>
      <c r="G130" s="8">
        <v>5</v>
      </c>
      <c r="H130" s="8" t="s">
        <v>21</v>
      </c>
      <c r="I130" s="8" t="s">
        <v>557</v>
      </c>
      <c r="J130" s="8" t="s">
        <v>557</v>
      </c>
      <c r="K130" s="8" t="s">
        <v>693</v>
      </c>
      <c r="L130" s="8" t="s">
        <v>559</v>
      </c>
      <c r="M130" s="8" t="s">
        <v>560</v>
      </c>
      <c r="N130" s="8" t="s">
        <v>694</v>
      </c>
      <c r="O130" s="8">
        <f>0+29/60+58/3600</f>
        <v>0.49944444444444447</v>
      </c>
      <c r="P130" s="8" t="s">
        <v>695</v>
      </c>
      <c r="Q130" s="8">
        <f>+(60+12/60+42/3600)</f>
        <v>60.211666666666666</v>
      </c>
      <c r="R130" s="8">
        <v>6.5</v>
      </c>
      <c r="S130" s="8">
        <v>99</v>
      </c>
      <c r="T130" s="8">
        <v>99</v>
      </c>
      <c r="U130" s="8">
        <v>99</v>
      </c>
      <c r="V130" s="8">
        <v>12</v>
      </c>
      <c r="Y130" s="8" t="s">
        <v>696</v>
      </c>
      <c r="Z130" s="8" t="s">
        <v>697</v>
      </c>
    </row>
    <row r="131" spans="1:26" x14ac:dyDescent="0.2">
      <c r="A131" s="8">
        <v>130</v>
      </c>
      <c r="B131" s="8" t="s">
        <v>698</v>
      </c>
      <c r="C131" s="8" t="s">
        <v>698</v>
      </c>
      <c r="F131" s="47"/>
      <c r="G131" s="8">
        <v>18</v>
      </c>
      <c r="H131" s="8" t="s">
        <v>21</v>
      </c>
      <c r="I131" s="8" t="s">
        <v>22</v>
      </c>
      <c r="J131" s="8" t="s">
        <v>22</v>
      </c>
      <c r="K131" s="8" t="s">
        <v>58</v>
      </c>
      <c r="L131" s="8" t="s">
        <v>38</v>
      </c>
      <c r="M131" s="8" t="s">
        <v>39</v>
      </c>
      <c r="N131" s="8" t="s">
        <v>699</v>
      </c>
      <c r="O131" s="8">
        <f>0+29/60+18.6/3600</f>
        <v>0.48849999999999999</v>
      </c>
      <c r="P131" s="8" t="s">
        <v>700</v>
      </c>
      <c r="Q131" s="8">
        <f>+(2+52/60+16/3600)</f>
        <v>2.8711111111111109</v>
      </c>
      <c r="R131" s="8">
        <v>14.4</v>
      </c>
      <c r="S131" s="8">
        <v>15.4</v>
      </c>
      <c r="T131" s="8">
        <v>1</v>
      </c>
      <c r="U131" s="8">
        <v>13.1</v>
      </c>
      <c r="V131" s="8">
        <v>0.7</v>
      </c>
      <c r="W131" s="8">
        <v>0.4</v>
      </c>
      <c r="X131" s="8">
        <v>52</v>
      </c>
      <c r="Y131" s="8" t="s">
        <v>701</v>
      </c>
      <c r="Z131" s="8" t="s">
        <v>702</v>
      </c>
    </row>
    <row r="132" spans="1:26" x14ac:dyDescent="0.2">
      <c r="A132" s="8">
        <v>131</v>
      </c>
      <c r="B132" s="8" t="s">
        <v>703</v>
      </c>
      <c r="C132" s="8" t="s">
        <v>703</v>
      </c>
      <c r="F132" s="47"/>
      <c r="G132" s="8">
        <v>16</v>
      </c>
      <c r="H132" s="8" t="s">
        <v>21</v>
      </c>
      <c r="I132" s="8" t="s">
        <v>22</v>
      </c>
      <c r="J132" s="8" t="s">
        <v>22</v>
      </c>
      <c r="K132" s="8" t="s">
        <v>218</v>
      </c>
      <c r="L132" s="8" t="s">
        <v>65</v>
      </c>
      <c r="M132" s="8" t="s">
        <v>66</v>
      </c>
      <c r="N132" s="8" t="s">
        <v>704</v>
      </c>
      <c r="O132" s="8">
        <f>0+29/60+38.1/3600</f>
        <v>0.49391666666666667</v>
      </c>
      <c r="P132" s="8" t="s">
        <v>705</v>
      </c>
      <c r="Q132" s="8">
        <f>-(33+15/60+37/3600)</f>
        <v>-33.26027777777778</v>
      </c>
      <c r="R132" s="8">
        <v>13.2</v>
      </c>
      <c r="S132" s="8">
        <v>13.8</v>
      </c>
      <c r="T132" s="8">
        <v>0.6</v>
      </c>
      <c r="U132" s="8">
        <v>13.1</v>
      </c>
      <c r="V132" s="8">
        <v>1.8</v>
      </c>
      <c r="W132" s="8">
        <v>0.6</v>
      </c>
      <c r="X132" s="8">
        <v>63</v>
      </c>
      <c r="Y132" s="8" t="s">
        <v>706</v>
      </c>
      <c r="Z132" s="8" t="s">
        <v>707</v>
      </c>
    </row>
    <row r="133" spans="1:26" x14ac:dyDescent="0.2">
      <c r="A133" s="8">
        <v>132</v>
      </c>
      <c r="B133" s="8" t="s">
        <v>708</v>
      </c>
      <c r="C133" s="8" t="s">
        <v>708</v>
      </c>
      <c r="F133" s="47" t="s">
        <v>55994</v>
      </c>
      <c r="G133" s="8">
        <v>15</v>
      </c>
      <c r="H133" s="8" t="s">
        <v>21</v>
      </c>
      <c r="I133" s="8" t="s">
        <v>22</v>
      </c>
      <c r="J133" s="8" t="s">
        <v>22</v>
      </c>
      <c r="K133" s="8" t="s">
        <v>85</v>
      </c>
      <c r="L133" s="8" t="s">
        <v>125</v>
      </c>
      <c r="M133" s="8" t="s">
        <v>126</v>
      </c>
      <c r="N133" s="8" t="s">
        <v>709</v>
      </c>
      <c r="O133" s="8">
        <f>0+30/60+10.6/3600</f>
        <v>0.50294444444444442</v>
      </c>
      <c r="P133" s="8" t="s">
        <v>710</v>
      </c>
      <c r="Q133" s="8">
        <f>+(2+5/60+35/3600)</f>
        <v>2.0930555555555559</v>
      </c>
      <c r="R133" s="8">
        <v>12.6</v>
      </c>
      <c r="S133" s="8">
        <v>13.4</v>
      </c>
      <c r="T133" s="8">
        <v>0.8</v>
      </c>
      <c r="U133" s="8">
        <v>13.6</v>
      </c>
      <c r="V133" s="8">
        <v>1.9</v>
      </c>
      <c r="W133" s="8">
        <v>1.5</v>
      </c>
      <c r="X133" s="8">
        <v>49</v>
      </c>
      <c r="Y133" s="8" t="s">
        <v>711</v>
      </c>
      <c r="Z133" s="8" t="s">
        <v>712</v>
      </c>
    </row>
    <row r="134" spans="1:26" x14ac:dyDescent="0.2">
      <c r="A134" s="8">
        <v>133</v>
      </c>
      <c r="B134" s="8" t="s">
        <v>713</v>
      </c>
      <c r="C134" s="8" t="s">
        <v>713</v>
      </c>
      <c r="F134" s="47"/>
      <c r="G134" s="8">
        <v>7</v>
      </c>
      <c r="H134" s="8" t="s">
        <v>21</v>
      </c>
      <c r="I134" s="8" t="s">
        <v>557</v>
      </c>
      <c r="J134" s="8" t="s">
        <v>557</v>
      </c>
      <c r="K134" s="8" t="s">
        <v>600</v>
      </c>
      <c r="L134" s="8" t="s">
        <v>559</v>
      </c>
      <c r="M134" s="8" t="s">
        <v>560</v>
      </c>
      <c r="N134" s="8" t="s">
        <v>714</v>
      </c>
      <c r="O134" s="8">
        <f>0+31/60+18/3600</f>
        <v>0.52166666666666672</v>
      </c>
      <c r="P134" s="8" t="s">
        <v>715</v>
      </c>
      <c r="Q134" s="8">
        <f>+(63+21/60+6/3600)</f>
        <v>63.351666666666667</v>
      </c>
      <c r="R134" s="8">
        <v>9.4</v>
      </c>
      <c r="S134" s="8">
        <v>99</v>
      </c>
      <c r="T134" s="8">
        <v>99</v>
      </c>
      <c r="U134" s="8">
        <v>99</v>
      </c>
      <c r="V134" s="8">
        <v>3</v>
      </c>
      <c r="Y134" s="8" t="s">
        <v>716</v>
      </c>
      <c r="Z134" s="8" t="s">
        <v>717</v>
      </c>
    </row>
    <row r="135" spans="1:26" x14ac:dyDescent="0.2">
      <c r="A135" s="8">
        <v>134</v>
      </c>
      <c r="B135" s="8" t="s">
        <v>718</v>
      </c>
      <c r="C135" s="8" t="s">
        <v>718</v>
      </c>
      <c r="F135" s="47"/>
      <c r="G135" s="8">
        <v>8</v>
      </c>
      <c r="H135" s="8" t="s">
        <v>719</v>
      </c>
      <c r="I135" s="8" t="s">
        <v>22</v>
      </c>
      <c r="J135" s="8" t="s">
        <v>22</v>
      </c>
      <c r="K135" s="8" t="s">
        <v>85</v>
      </c>
      <c r="L135" s="8" t="s">
        <v>65</v>
      </c>
      <c r="M135" s="8" t="s">
        <v>66</v>
      </c>
      <c r="N135" s="8" t="s">
        <v>720</v>
      </c>
      <c r="O135" s="8">
        <f>0+30/60+21.8/3600</f>
        <v>0.50605555555555559</v>
      </c>
      <c r="P135" s="8" t="s">
        <v>721</v>
      </c>
      <c r="Q135" s="8">
        <f>-(33+14/60+42/3600)</f>
        <v>-33.244999999999997</v>
      </c>
      <c r="R135" s="8">
        <v>10.4</v>
      </c>
      <c r="S135" s="8">
        <v>11.2</v>
      </c>
      <c r="T135" s="8">
        <v>0.8</v>
      </c>
      <c r="U135" s="8">
        <v>13.3</v>
      </c>
      <c r="V135" s="8">
        <v>8.4</v>
      </c>
      <c r="W135" s="8">
        <v>1.8</v>
      </c>
      <c r="X135" s="8">
        <v>50</v>
      </c>
      <c r="Y135" s="8" t="s">
        <v>722</v>
      </c>
      <c r="Z135" s="8" t="s">
        <v>723</v>
      </c>
    </row>
    <row r="136" spans="1:26" x14ac:dyDescent="0.2">
      <c r="A136" s="8">
        <v>135</v>
      </c>
      <c r="B136" s="8" t="s">
        <v>724</v>
      </c>
      <c r="C136" s="8" t="s">
        <v>724</v>
      </c>
      <c r="F136" s="47"/>
      <c r="G136" s="8">
        <v>19</v>
      </c>
      <c r="H136" s="8" t="s">
        <v>21</v>
      </c>
      <c r="I136" s="8" t="s">
        <v>22</v>
      </c>
      <c r="J136" s="8" t="s">
        <v>22</v>
      </c>
      <c r="K136" s="8" t="s">
        <v>449</v>
      </c>
      <c r="L136" s="8" t="s">
        <v>125</v>
      </c>
      <c r="M136" s="8" t="s">
        <v>126</v>
      </c>
      <c r="N136" s="8" t="s">
        <v>725</v>
      </c>
      <c r="O136" s="8">
        <f>0+31/60+45.9/3600</f>
        <v>0.52941666666666676</v>
      </c>
      <c r="P136" s="8" t="s">
        <v>726</v>
      </c>
      <c r="Q136" s="8">
        <f>-(13+20/60+16/3600)</f>
        <v>-13.337777777777779</v>
      </c>
      <c r="R136" s="8">
        <v>15.1</v>
      </c>
      <c r="S136" s="8">
        <v>15.9</v>
      </c>
      <c r="T136" s="8">
        <v>0.8</v>
      </c>
      <c r="U136" s="8">
        <v>13.4</v>
      </c>
      <c r="V136" s="8">
        <v>0.5</v>
      </c>
      <c r="W136" s="8">
        <v>0.5</v>
      </c>
      <c r="Y136" s="8" t="s">
        <v>421</v>
      </c>
      <c r="Z136" s="8" t="s">
        <v>422</v>
      </c>
    </row>
    <row r="137" spans="1:26" x14ac:dyDescent="0.2">
      <c r="A137" s="8">
        <v>136</v>
      </c>
      <c r="B137" s="8" t="s">
        <v>727</v>
      </c>
      <c r="C137" s="8" t="s">
        <v>727</v>
      </c>
      <c r="F137" s="47" t="s">
        <v>55995</v>
      </c>
      <c r="G137" s="8">
        <v>6</v>
      </c>
      <c r="H137" s="8" t="s">
        <v>21</v>
      </c>
      <c r="I137" s="8" t="s">
        <v>557</v>
      </c>
      <c r="J137" s="8" t="s">
        <v>557</v>
      </c>
      <c r="K137" s="8" t="s">
        <v>558</v>
      </c>
      <c r="L137" s="8" t="s">
        <v>559</v>
      </c>
      <c r="M137" s="8" t="s">
        <v>560</v>
      </c>
      <c r="N137" s="8" t="s">
        <v>728</v>
      </c>
      <c r="O137" s="8">
        <f>0+31/60+30.7/3600</f>
        <v>0.52519444444444452</v>
      </c>
      <c r="P137" s="8" t="s">
        <v>729</v>
      </c>
      <c r="Q137" s="8">
        <f>+(61+30/60+33/3600)</f>
        <v>61.509166666666665</v>
      </c>
      <c r="R137" s="8">
        <v>99</v>
      </c>
      <c r="S137" s="8">
        <v>11.5</v>
      </c>
      <c r="T137" s="8">
        <v>99</v>
      </c>
      <c r="U137" s="8">
        <v>99</v>
      </c>
      <c r="V137" s="8">
        <v>1.5</v>
      </c>
      <c r="Y137" s="8" t="s">
        <v>730</v>
      </c>
      <c r="Z137" s="8" t="s">
        <v>731</v>
      </c>
    </row>
    <row r="138" spans="1:26" x14ac:dyDescent="0.2">
      <c r="A138" s="8">
        <v>137</v>
      </c>
      <c r="B138" s="8" t="s">
        <v>732</v>
      </c>
      <c r="C138" s="8" t="s">
        <v>732</v>
      </c>
      <c r="F138" s="47" t="s">
        <v>55996</v>
      </c>
      <c r="G138" s="8">
        <v>15</v>
      </c>
      <c r="H138" s="8" t="s">
        <v>21</v>
      </c>
      <c r="I138" s="8" t="s">
        <v>22</v>
      </c>
      <c r="J138" s="8" t="s">
        <v>22</v>
      </c>
      <c r="K138" s="8" t="s">
        <v>37</v>
      </c>
      <c r="L138" s="8" t="s">
        <v>38</v>
      </c>
      <c r="M138" s="8" t="s">
        <v>39</v>
      </c>
      <c r="N138" s="8" t="s">
        <v>733</v>
      </c>
      <c r="O138" s="8">
        <f>0+30/60+58.1/3600</f>
        <v>0.51613888888888892</v>
      </c>
      <c r="P138" s="8" t="s">
        <v>734</v>
      </c>
      <c r="Q138" s="8">
        <f>+(10+12/60+31/3600)</f>
        <v>10.208611111111111</v>
      </c>
      <c r="R138" s="8">
        <v>12.8</v>
      </c>
      <c r="S138" s="8">
        <v>13.7</v>
      </c>
      <c r="T138" s="8">
        <v>0.9</v>
      </c>
      <c r="U138" s="8">
        <v>13.2</v>
      </c>
      <c r="V138" s="8">
        <v>1.2</v>
      </c>
      <c r="W138" s="8">
        <v>1.2</v>
      </c>
      <c r="Y138" s="8" t="s">
        <v>735</v>
      </c>
      <c r="Z138" s="8" t="s">
        <v>736</v>
      </c>
    </row>
    <row r="139" spans="1:26" x14ac:dyDescent="0.2">
      <c r="A139" s="8">
        <v>138</v>
      </c>
      <c r="B139" s="8" t="s">
        <v>737</v>
      </c>
      <c r="C139" s="8" t="s">
        <v>737</v>
      </c>
      <c r="F139" s="47"/>
      <c r="G139" s="8">
        <v>18</v>
      </c>
      <c r="H139" s="8" t="s">
        <v>21</v>
      </c>
      <c r="I139" s="8" t="s">
        <v>22</v>
      </c>
      <c r="J139" s="8" t="s">
        <v>22</v>
      </c>
      <c r="K139" s="8" t="s">
        <v>91</v>
      </c>
      <c r="L139" s="8" t="s">
        <v>38</v>
      </c>
      <c r="M139" s="8" t="s">
        <v>39</v>
      </c>
      <c r="N139" s="8" t="s">
        <v>738</v>
      </c>
      <c r="O139" s="8">
        <f>0+30/60+59.2/3600</f>
        <v>0.51644444444444448</v>
      </c>
      <c r="P139" s="8" t="s">
        <v>739</v>
      </c>
      <c r="Q139" s="8">
        <f>+(5+9/60+35/3600)</f>
        <v>5.1597222222222223</v>
      </c>
      <c r="R139" s="8">
        <v>13.7</v>
      </c>
      <c r="S139" s="8">
        <v>14.6</v>
      </c>
      <c r="T139" s="8">
        <v>0.9</v>
      </c>
      <c r="U139" s="8">
        <v>13.3</v>
      </c>
      <c r="V139" s="8">
        <v>1.3</v>
      </c>
      <c r="W139" s="8">
        <v>0.6</v>
      </c>
      <c r="X139" s="8">
        <v>175</v>
      </c>
      <c r="Y139" s="8" t="s">
        <v>740</v>
      </c>
      <c r="Z139" s="8" t="s">
        <v>741</v>
      </c>
    </row>
    <row r="140" spans="1:26" x14ac:dyDescent="0.2">
      <c r="A140" s="8">
        <v>139</v>
      </c>
      <c r="B140" s="8" t="s">
        <v>742</v>
      </c>
      <c r="C140" s="8" t="s">
        <v>742</v>
      </c>
      <c r="F140" s="47"/>
      <c r="G140" s="8">
        <v>18</v>
      </c>
      <c r="H140" s="8" t="s">
        <v>21</v>
      </c>
      <c r="I140" s="8" t="s">
        <v>22</v>
      </c>
      <c r="J140" s="8" t="s">
        <v>22</v>
      </c>
      <c r="K140" s="8" t="s">
        <v>406</v>
      </c>
      <c r="L140" s="8" t="s">
        <v>38</v>
      </c>
      <c r="M140" s="8" t="s">
        <v>39</v>
      </c>
      <c r="N140" s="8" t="s">
        <v>743</v>
      </c>
      <c r="O140" s="8">
        <f>0+31/60+6.5/3600</f>
        <v>0.51847222222222222</v>
      </c>
      <c r="P140" s="8" t="s">
        <v>744</v>
      </c>
      <c r="Q140" s="8">
        <f>+(5+4/60+42/3600)</f>
        <v>5.0783333333333331</v>
      </c>
      <c r="R140" s="8">
        <v>14.4</v>
      </c>
      <c r="S140" s="8">
        <v>15.2</v>
      </c>
      <c r="T140" s="8">
        <v>0.8</v>
      </c>
      <c r="U140" s="8">
        <v>13.3</v>
      </c>
      <c r="V140" s="8">
        <v>0.8</v>
      </c>
      <c r="W140" s="8">
        <v>0.5</v>
      </c>
      <c r="X140" s="8">
        <v>171</v>
      </c>
      <c r="Y140" s="8" t="s">
        <v>745</v>
      </c>
      <c r="Z140" s="8" t="s">
        <v>746</v>
      </c>
    </row>
    <row r="141" spans="1:26" x14ac:dyDescent="0.2">
      <c r="A141" s="8">
        <v>140</v>
      </c>
      <c r="B141" s="8" t="s">
        <v>747</v>
      </c>
      <c r="C141" s="8" t="s">
        <v>747</v>
      </c>
      <c r="F141" s="47"/>
      <c r="G141" s="8">
        <v>19</v>
      </c>
      <c r="H141" s="8" t="s">
        <v>21</v>
      </c>
      <c r="I141" s="8" t="s">
        <v>22</v>
      </c>
      <c r="J141" s="8" t="s">
        <v>22</v>
      </c>
      <c r="K141" s="8" t="s">
        <v>579</v>
      </c>
      <c r="L141" s="8" t="s">
        <v>51</v>
      </c>
      <c r="M141" s="8" t="s">
        <v>52</v>
      </c>
      <c r="N141" s="8" t="s">
        <v>748</v>
      </c>
      <c r="O141" s="8">
        <f>0+31/60+20.4/3600</f>
        <v>0.52233333333333343</v>
      </c>
      <c r="P141" s="8" t="s">
        <v>749</v>
      </c>
      <c r="Q141" s="8">
        <f>+(30+47/60+31/3600)</f>
        <v>30.791944444444447</v>
      </c>
      <c r="R141" s="8">
        <v>13.2</v>
      </c>
      <c r="S141" s="8">
        <v>13.9</v>
      </c>
      <c r="T141" s="8">
        <v>0.7</v>
      </c>
      <c r="U141" s="8">
        <v>13.8</v>
      </c>
      <c r="V141" s="8">
        <v>1.5</v>
      </c>
      <c r="W141" s="8">
        <v>1.2</v>
      </c>
      <c r="X141" s="8">
        <v>54</v>
      </c>
      <c r="Y141" s="8" t="s">
        <v>750</v>
      </c>
      <c r="Z141" s="8" t="s">
        <v>751</v>
      </c>
    </row>
    <row r="142" spans="1:26" x14ac:dyDescent="0.2">
      <c r="A142" s="8">
        <v>141</v>
      </c>
      <c r="B142" s="8" t="s">
        <v>752</v>
      </c>
      <c r="C142" s="8" t="s">
        <v>752</v>
      </c>
      <c r="F142" s="47"/>
      <c r="G142" s="8">
        <v>18</v>
      </c>
      <c r="H142" s="8" t="s">
        <v>21</v>
      </c>
      <c r="I142" s="8" t="s">
        <v>22</v>
      </c>
      <c r="J142" s="8" t="s">
        <v>22</v>
      </c>
      <c r="K142" s="8" t="s">
        <v>124</v>
      </c>
      <c r="L142" s="8" t="s">
        <v>38</v>
      </c>
      <c r="M142" s="8" t="s">
        <v>39</v>
      </c>
      <c r="N142" s="8" t="s">
        <v>753</v>
      </c>
      <c r="O142" s="8">
        <f>0+31/60+17.6/3600</f>
        <v>0.52155555555555566</v>
      </c>
      <c r="P142" s="8" t="s">
        <v>754</v>
      </c>
      <c r="Q142" s="8">
        <f>+(5+10/60+46/3600)</f>
        <v>5.179444444444445</v>
      </c>
      <c r="R142" s="8">
        <v>14.5</v>
      </c>
      <c r="S142" s="8">
        <v>15.4</v>
      </c>
      <c r="T142" s="8">
        <v>0.9</v>
      </c>
      <c r="U142" s="8">
        <v>13.6</v>
      </c>
      <c r="V142" s="8">
        <v>0.8</v>
      </c>
      <c r="W142" s="8">
        <v>0.6</v>
      </c>
      <c r="X142" s="8">
        <v>90</v>
      </c>
      <c r="Y142" s="8" t="s">
        <v>755</v>
      </c>
      <c r="Z142" s="8" t="s">
        <v>756</v>
      </c>
    </row>
    <row r="143" spans="1:26" x14ac:dyDescent="0.2">
      <c r="A143" s="8">
        <v>142</v>
      </c>
      <c r="B143" s="8" t="s">
        <v>757</v>
      </c>
      <c r="C143" s="8" t="s">
        <v>757</v>
      </c>
      <c r="F143" s="47"/>
      <c r="G143" s="8">
        <v>19</v>
      </c>
      <c r="H143" s="8" t="s">
        <v>21</v>
      </c>
      <c r="I143" s="8" t="s">
        <v>22</v>
      </c>
      <c r="J143" s="8" t="s">
        <v>22</v>
      </c>
      <c r="K143" s="8" t="s">
        <v>218</v>
      </c>
      <c r="L143" s="8" t="s">
        <v>125</v>
      </c>
      <c r="M143" s="8" t="s">
        <v>126</v>
      </c>
      <c r="N143" s="8" t="s">
        <v>758</v>
      </c>
      <c r="O143" s="8">
        <f>0+31/60+7.9/3600</f>
        <v>0.51886111111111122</v>
      </c>
      <c r="P143" s="8" t="s">
        <v>759</v>
      </c>
      <c r="Q143" s="8">
        <f>-(22+37/60+10/3600)</f>
        <v>-22.619444444444444</v>
      </c>
      <c r="R143" s="8">
        <v>13.8</v>
      </c>
      <c r="S143" s="8">
        <v>14.6</v>
      </c>
      <c r="T143" s="8">
        <v>0.8</v>
      </c>
      <c r="U143" s="8">
        <v>13.2</v>
      </c>
      <c r="V143" s="8">
        <v>1.1000000000000001</v>
      </c>
      <c r="W143" s="8">
        <v>0.6</v>
      </c>
      <c r="X143" s="8">
        <v>101</v>
      </c>
      <c r="Y143" s="8" t="s">
        <v>760</v>
      </c>
      <c r="Z143" s="8" t="s">
        <v>761</v>
      </c>
    </row>
    <row r="144" spans="1:26" x14ac:dyDescent="0.2">
      <c r="A144" s="8">
        <v>143</v>
      </c>
      <c r="B144" s="8" t="s">
        <v>762</v>
      </c>
      <c r="C144" s="8" t="s">
        <v>762</v>
      </c>
      <c r="F144" s="47"/>
      <c r="G144" s="8">
        <v>19</v>
      </c>
      <c r="H144" s="8" t="s">
        <v>21</v>
      </c>
      <c r="I144" s="8" t="s">
        <v>22</v>
      </c>
      <c r="J144" s="8" t="s">
        <v>22</v>
      </c>
      <c r="K144" s="8" t="s">
        <v>218</v>
      </c>
      <c r="L144" s="8" t="s">
        <v>125</v>
      </c>
      <c r="M144" s="8" t="s">
        <v>126</v>
      </c>
      <c r="N144" s="8" t="s">
        <v>763</v>
      </c>
      <c r="O144" s="8">
        <f>0+31/60+15.5/3600</f>
        <v>0.52097222222222228</v>
      </c>
      <c r="P144" s="8" t="s">
        <v>764</v>
      </c>
      <c r="Q144" s="8">
        <f>-(22+33/60+36/3600)</f>
        <v>-22.560000000000002</v>
      </c>
      <c r="R144" s="8">
        <v>14.4</v>
      </c>
      <c r="S144" s="8">
        <v>15.2</v>
      </c>
      <c r="T144" s="8">
        <v>0.8</v>
      </c>
      <c r="U144" s="8">
        <v>13</v>
      </c>
      <c r="V144" s="8">
        <v>1</v>
      </c>
      <c r="W144" s="8">
        <v>0.2</v>
      </c>
      <c r="X144" s="8">
        <v>20</v>
      </c>
      <c r="Y144" s="8" t="s">
        <v>765</v>
      </c>
      <c r="Z144" s="8" t="s">
        <v>766</v>
      </c>
    </row>
    <row r="145" spans="1:26" x14ac:dyDescent="0.2">
      <c r="A145" s="8">
        <v>144</v>
      </c>
      <c r="B145" s="8" t="s">
        <v>767</v>
      </c>
      <c r="C145" s="8" t="s">
        <v>767</v>
      </c>
      <c r="F145" s="47"/>
      <c r="G145" s="8">
        <v>19</v>
      </c>
      <c r="H145" s="8" t="s">
        <v>21</v>
      </c>
      <c r="I145" s="8" t="s">
        <v>22</v>
      </c>
      <c r="J145" s="8" t="s">
        <v>22</v>
      </c>
      <c r="K145" s="8" t="s">
        <v>160</v>
      </c>
      <c r="L145" s="8" t="s">
        <v>125</v>
      </c>
      <c r="M145" s="8" t="s">
        <v>126</v>
      </c>
      <c r="N145" s="8" t="s">
        <v>768</v>
      </c>
      <c r="O145" s="8">
        <f>0+31/60+20.7/3600</f>
        <v>0.52241666666666675</v>
      </c>
      <c r="P145" s="8" t="s">
        <v>769</v>
      </c>
      <c r="Q145" s="8">
        <f>-(22+38/60+46/3600)</f>
        <v>-22.646111111111111</v>
      </c>
      <c r="R145" s="8">
        <v>13.8</v>
      </c>
      <c r="S145" s="8">
        <v>14.5</v>
      </c>
      <c r="T145" s="8">
        <v>0.7</v>
      </c>
      <c r="U145" s="8">
        <v>13.1</v>
      </c>
      <c r="V145" s="8">
        <v>0.8</v>
      </c>
      <c r="W145" s="8">
        <v>0.8</v>
      </c>
      <c r="Y145" s="8" t="s">
        <v>770</v>
      </c>
      <c r="Z145" s="8" t="s">
        <v>771</v>
      </c>
    </row>
    <row r="146" spans="1:26" x14ac:dyDescent="0.2">
      <c r="A146" s="8">
        <v>145</v>
      </c>
      <c r="B146" s="8" t="s">
        <v>772</v>
      </c>
      <c r="C146" s="8" t="s">
        <v>772</v>
      </c>
      <c r="F146" s="47"/>
      <c r="G146" s="8">
        <v>16</v>
      </c>
      <c r="H146" s="8" t="s">
        <v>21</v>
      </c>
      <c r="I146" s="8" t="s">
        <v>22</v>
      </c>
      <c r="J146" s="8" t="s">
        <v>22</v>
      </c>
      <c r="K146" s="8" t="s">
        <v>773</v>
      </c>
      <c r="L146" s="8" t="s">
        <v>125</v>
      </c>
      <c r="M146" s="8" t="s">
        <v>126</v>
      </c>
      <c r="N146" s="8" t="s">
        <v>774</v>
      </c>
      <c r="O146" s="8">
        <f>0+31/60+45.6/3600</f>
        <v>0.52933333333333343</v>
      </c>
      <c r="P146" s="8" t="s">
        <v>775</v>
      </c>
      <c r="Q146" s="8">
        <f>-(5+9/60+14/3600)</f>
        <v>-5.153888888888889</v>
      </c>
      <c r="R146" s="8">
        <v>12.7</v>
      </c>
      <c r="S146" s="8">
        <v>13.2</v>
      </c>
      <c r="T146" s="8">
        <v>0.5</v>
      </c>
      <c r="U146" s="8">
        <v>13.5</v>
      </c>
      <c r="V146" s="8">
        <v>1.8</v>
      </c>
      <c r="W146" s="8">
        <v>1.5</v>
      </c>
      <c r="X146" s="8">
        <v>57</v>
      </c>
      <c r="Y146" s="8" t="s">
        <v>776</v>
      </c>
      <c r="Z146" s="8" t="s">
        <v>777</v>
      </c>
    </row>
    <row r="147" spans="1:26" x14ac:dyDescent="0.2">
      <c r="A147" s="8">
        <v>146</v>
      </c>
      <c r="B147" s="8" t="s">
        <v>778</v>
      </c>
      <c r="C147" s="8" t="s">
        <v>778</v>
      </c>
      <c r="F147" s="47"/>
      <c r="G147" s="8">
        <v>7</v>
      </c>
      <c r="H147" s="8" t="s">
        <v>21</v>
      </c>
      <c r="I147" s="8" t="s">
        <v>557</v>
      </c>
      <c r="J147" s="8" t="s">
        <v>557</v>
      </c>
      <c r="K147" s="8" t="s">
        <v>779</v>
      </c>
      <c r="L147" s="8" t="s">
        <v>559</v>
      </c>
      <c r="M147" s="8" t="s">
        <v>560</v>
      </c>
      <c r="N147" s="8" t="s">
        <v>780</v>
      </c>
      <c r="O147" s="8">
        <f>0+33/60+3/3600</f>
        <v>0.5508333333333334</v>
      </c>
      <c r="P147" s="8" t="s">
        <v>781</v>
      </c>
      <c r="Q147" s="8">
        <f>+(63+18/60+6/3600)</f>
        <v>63.301666666666662</v>
      </c>
      <c r="R147" s="8">
        <v>9.1</v>
      </c>
      <c r="S147" s="8">
        <v>99</v>
      </c>
      <c r="T147" s="8">
        <v>99</v>
      </c>
      <c r="U147" s="8">
        <v>99</v>
      </c>
      <c r="V147" s="8">
        <v>5</v>
      </c>
      <c r="Y147" s="8" t="s">
        <v>782</v>
      </c>
      <c r="Z147" s="8" t="s">
        <v>783</v>
      </c>
    </row>
    <row r="148" spans="1:26" x14ac:dyDescent="0.2">
      <c r="A148" s="8">
        <v>147</v>
      </c>
      <c r="B148" s="8" t="s">
        <v>784</v>
      </c>
      <c r="C148" s="8" t="s">
        <v>784</v>
      </c>
      <c r="F148" s="47"/>
      <c r="G148" s="8">
        <v>2</v>
      </c>
      <c r="H148" s="8" t="s">
        <v>21</v>
      </c>
      <c r="I148" s="8" t="s">
        <v>22</v>
      </c>
      <c r="J148" s="8" t="s">
        <v>22</v>
      </c>
      <c r="K148" s="8" t="s">
        <v>785</v>
      </c>
      <c r="L148" s="8" t="s">
        <v>559</v>
      </c>
      <c r="M148" s="8" t="s">
        <v>560</v>
      </c>
      <c r="N148" s="8" t="s">
        <v>786</v>
      </c>
      <c r="O148" s="8">
        <f>0+33/60+11.7/3600</f>
        <v>0.55325000000000002</v>
      </c>
      <c r="P148" s="8" t="s">
        <v>787</v>
      </c>
      <c r="Q148" s="8">
        <f>+(48+30/60+26/3600)</f>
        <v>48.507222222222225</v>
      </c>
      <c r="R148" s="8">
        <v>9.5</v>
      </c>
      <c r="S148" s="8">
        <v>10.5</v>
      </c>
      <c r="T148" s="8">
        <v>1</v>
      </c>
      <c r="U148" s="8">
        <v>14.5</v>
      </c>
      <c r="V148" s="8">
        <v>13.2</v>
      </c>
      <c r="W148" s="8">
        <v>7.8</v>
      </c>
      <c r="X148" s="8">
        <v>25</v>
      </c>
      <c r="Y148" s="8" t="s">
        <v>788</v>
      </c>
      <c r="Z148" s="8" t="s">
        <v>789</v>
      </c>
    </row>
    <row r="149" spans="1:26" x14ac:dyDescent="0.2">
      <c r="A149" s="8">
        <v>148</v>
      </c>
      <c r="B149" s="8" t="s">
        <v>790</v>
      </c>
      <c r="C149" s="8" t="s">
        <v>790</v>
      </c>
      <c r="F149" s="47"/>
      <c r="G149" s="8">
        <v>13</v>
      </c>
      <c r="H149" s="8" t="s">
        <v>21</v>
      </c>
      <c r="I149" s="8" t="s">
        <v>22</v>
      </c>
      <c r="J149" s="8" t="s">
        <v>22</v>
      </c>
      <c r="K149" s="8" t="s">
        <v>37</v>
      </c>
      <c r="L149" s="8" t="s">
        <v>65</v>
      </c>
      <c r="M149" s="8" t="s">
        <v>66</v>
      </c>
      <c r="N149" s="8" t="s">
        <v>791</v>
      </c>
      <c r="O149" s="8">
        <f>0+34/60+15.4/3600</f>
        <v>0.57094444444444448</v>
      </c>
      <c r="P149" s="8" t="s">
        <v>792</v>
      </c>
      <c r="Q149" s="8">
        <f>-(31+47/60+10/3600)</f>
        <v>-31.786111111111111</v>
      </c>
      <c r="R149" s="8">
        <v>12.2</v>
      </c>
      <c r="S149" s="8">
        <v>13.1</v>
      </c>
      <c r="T149" s="8">
        <v>0.9</v>
      </c>
      <c r="U149" s="8">
        <v>12.5</v>
      </c>
      <c r="V149" s="8">
        <v>2</v>
      </c>
      <c r="W149" s="8">
        <v>0.8</v>
      </c>
      <c r="X149" s="8">
        <v>90</v>
      </c>
      <c r="Y149" s="8" t="s">
        <v>793</v>
      </c>
      <c r="Z149" s="8" t="s">
        <v>794</v>
      </c>
    </row>
    <row r="150" spans="1:26" x14ac:dyDescent="0.2">
      <c r="A150" s="8">
        <v>149</v>
      </c>
      <c r="B150" s="8" t="s">
        <v>795</v>
      </c>
      <c r="C150" s="8" t="s">
        <v>795</v>
      </c>
      <c r="F150" s="47"/>
      <c r="G150" s="8">
        <v>19</v>
      </c>
      <c r="H150" s="8" t="s">
        <v>21</v>
      </c>
      <c r="I150" s="8" t="s">
        <v>22</v>
      </c>
      <c r="J150" s="8" t="s">
        <v>22</v>
      </c>
      <c r="K150" s="8" t="s">
        <v>37</v>
      </c>
      <c r="L150" s="8" t="s">
        <v>51</v>
      </c>
      <c r="M150" s="8" t="s">
        <v>52</v>
      </c>
      <c r="N150" s="8" t="s">
        <v>796</v>
      </c>
      <c r="O150" s="8">
        <f>0+33/60+50.2/3600</f>
        <v>0.56394444444444447</v>
      </c>
      <c r="P150" s="8" t="s">
        <v>797</v>
      </c>
      <c r="Q150" s="8">
        <f>+(30+43/60+25/3600)</f>
        <v>30.723611111111108</v>
      </c>
      <c r="R150" s="8">
        <v>13.7</v>
      </c>
      <c r="S150" s="8">
        <v>14.7</v>
      </c>
      <c r="T150" s="8">
        <v>1</v>
      </c>
      <c r="U150" s="8">
        <v>13.4</v>
      </c>
      <c r="V150" s="8">
        <v>1.2</v>
      </c>
      <c r="W150" s="8">
        <v>0.7</v>
      </c>
      <c r="X150" s="8">
        <v>155</v>
      </c>
      <c r="Y150" s="8" t="s">
        <v>798</v>
      </c>
      <c r="Z150" s="8" t="s">
        <v>799</v>
      </c>
    </row>
    <row r="151" spans="1:26" x14ac:dyDescent="0.2">
      <c r="A151" s="8">
        <v>150</v>
      </c>
      <c r="B151" s="8" t="s">
        <v>800</v>
      </c>
      <c r="C151" s="8" t="s">
        <v>800</v>
      </c>
      <c r="F151" s="47"/>
      <c r="G151" s="8">
        <v>11</v>
      </c>
      <c r="H151" s="8" t="s">
        <v>21</v>
      </c>
      <c r="I151" s="8" t="s">
        <v>22</v>
      </c>
      <c r="J151" s="8" t="s">
        <v>22</v>
      </c>
      <c r="K151" s="8" t="s">
        <v>218</v>
      </c>
      <c r="L151" s="8" t="s">
        <v>65</v>
      </c>
      <c r="M151" s="8" t="s">
        <v>66</v>
      </c>
      <c r="N151" s="8" t="s">
        <v>801</v>
      </c>
      <c r="O151" s="8">
        <f>0+34/60+15.7/3600</f>
        <v>0.5710277777777778</v>
      </c>
      <c r="P151" s="8" t="s">
        <v>802</v>
      </c>
      <c r="Q151" s="8">
        <f>-(27+48/60+18/3600)</f>
        <v>-27.805</v>
      </c>
      <c r="R151" s="8">
        <v>11.4</v>
      </c>
      <c r="S151" s="8">
        <v>12</v>
      </c>
      <c r="T151" s="8">
        <v>0.6</v>
      </c>
      <c r="U151" s="8">
        <v>13.3</v>
      </c>
      <c r="V151" s="8">
        <v>3.9</v>
      </c>
      <c r="W151" s="8">
        <v>1.9</v>
      </c>
      <c r="X151" s="8">
        <v>118</v>
      </c>
      <c r="Y151" s="8" t="s">
        <v>803</v>
      </c>
      <c r="Z151" s="8" t="s">
        <v>804</v>
      </c>
    </row>
    <row r="152" spans="1:26" x14ac:dyDescent="0.2">
      <c r="A152" s="8">
        <v>151</v>
      </c>
      <c r="B152" s="8" t="s">
        <v>805</v>
      </c>
      <c r="C152" s="8" t="s">
        <v>805</v>
      </c>
      <c r="F152" s="47" t="s">
        <v>55997</v>
      </c>
      <c r="G152" s="8">
        <v>6.5</v>
      </c>
      <c r="H152" s="8" t="s">
        <v>21</v>
      </c>
      <c r="I152" s="8" t="s">
        <v>22</v>
      </c>
      <c r="J152" s="8" t="s">
        <v>22</v>
      </c>
      <c r="K152" s="8" t="s">
        <v>85</v>
      </c>
      <c r="L152" s="8" t="s">
        <v>125</v>
      </c>
      <c r="M152" s="8" t="s">
        <v>126</v>
      </c>
      <c r="N152" s="8" t="s">
        <v>806</v>
      </c>
      <c r="O152" s="8">
        <f>0+34/60+2.8/3600</f>
        <v>0.56744444444444442</v>
      </c>
      <c r="P152" s="8" t="s">
        <v>807</v>
      </c>
      <c r="Q152" s="8">
        <f>-(9+42/60+18/3600)</f>
        <v>-9.7050000000000001</v>
      </c>
      <c r="R152" s="8">
        <v>11.6</v>
      </c>
      <c r="S152" s="8">
        <v>12.3</v>
      </c>
      <c r="T152" s="8">
        <v>0.7</v>
      </c>
      <c r="U152" s="8">
        <v>13.4</v>
      </c>
      <c r="V152" s="8">
        <v>3.8</v>
      </c>
      <c r="W152" s="8">
        <v>1.6</v>
      </c>
      <c r="X152" s="8">
        <v>75</v>
      </c>
      <c r="Y152" s="8" t="s">
        <v>808</v>
      </c>
      <c r="Z152" s="8" t="s">
        <v>809</v>
      </c>
    </row>
    <row r="153" spans="1:26" x14ac:dyDescent="0.2">
      <c r="A153" s="8">
        <v>152</v>
      </c>
      <c r="B153" s="8" t="s">
        <v>810</v>
      </c>
      <c r="C153" s="8" t="s">
        <v>810</v>
      </c>
      <c r="F153" s="47"/>
      <c r="G153" s="8">
        <v>16</v>
      </c>
      <c r="H153" s="8" t="s">
        <v>21</v>
      </c>
      <c r="I153" s="8" t="s">
        <v>557</v>
      </c>
      <c r="J153" s="8" t="s">
        <v>557</v>
      </c>
      <c r="K153" s="8" t="s">
        <v>557</v>
      </c>
      <c r="L153" s="8" t="s">
        <v>310</v>
      </c>
      <c r="M153" s="8" t="s">
        <v>311</v>
      </c>
      <c r="N153" s="8" t="s">
        <v>811</v>
      </c>
      <c r="O153" s="8">
        <f>0+32/60+56.9/3600</f>
        <v>0.54913888888888884</v>
      </c>
      <c r="P153" s="8" t="s">
        <v>812</v>
      </c>
      <c r="Q153" s="8">
        <f>-(73+6/60+58/3600)</f>
        <v>-73.11611111111111</v>
      </c>
      <c r="R153" s="8">
        <v>99</v>
      </c>
      <c r="S153" s="8">
        <v>11.9</v>
      </c>
      <c r="T153" s="8">
        <v>99</v>
      </c>
      <c r="U153" s="8">
        <v>99</v>
      </c>
      <c r="V153" s="8">
        <v>1.7</v>
      </c>
      <c r="Y153" s="8" t="s">
        <v>813</v>
      </c>
      <c r="Z153" s="8" t="s">
        <v>814</v>
      </c>
    </row>
    <row r="154" spans="1:26" x14ac:dyDescent="0.2">
      <c r="A154" s="8">
        <v>153</v>
      </c>
      <c r="B154" s="8" t="s">
        <v>815</v>
      </c>
      <c r="C154" s="8" t="s">
        <v>815</v>
      </c>
      <c r="F154" s="47"/>
      <c r="G154" s="8">
        <v>19</v>
      </c>
      <c r="H154" s="8" t="s">
        <v>21</v>
      </c>
      <c r="I154" s="8" t="s">
        <v>22</v>
      </c>
      <c r="J154" s="8" t="s">
        <v>57</v>
      </c>
      <c r="K154" s="8" t="s">
        <v>85</v>
      </c>
      <c r="L154" s="8" t="s">
        <v>125</v>
      </c>
      <c r="M154" s="8" t="s">
        <v>126</v>
      </c>
      <c r="N154" s="8" t="s">
        <v>806</v>
      </c>
      <c r="O154" s="8">
        <f>0+34/60+2.8/3600</f>
        <v>0.56744444444444442</v>
      </c>
      <c r="P154" s="8" t="s">
        <v>807</v>
      </c>
      <c r="Q154" s="8">
        <f>-(9+42/60+18/3600)</f>
        <v>-9.7050000000000001</v>
      </c>
      <c r="R154" s="8">
        <v>11.6</v>
      </c>
      <c r="S154" s="8">
        <v>12.3</v>
      </c>
      <c r="T154" s="8">
        <v>0.7</v>
      </c>
      <c r="U154" s="8">
        <v>13.4</v>
      </c>
      <c r="V154" s="8">
        <v>3.8</v>
      </c>
      <c r="W154" s="8">
        <v>1.6</v>
      </c>
      <c r="X154" s="8">
        <v>75</v>
      </c>
      <c r="Y154" s="8" t="s">
        <v>808</v>
      </c>
      <c r="Z154" s="8" t="s">
        <v>816</v>
      </c>
    </row>
    <row r="155" spans="1:26" x14ac:dyDescent="0.2">
      <c r="A155" s="8">
        <v>154</v>
      </c>
      <c r="B155" s="8" t="s">
        <v>817</v>
      </c>
      <c r="C155" s="8" t="s">
        <v>817</v>
      </c>
      <c r="F155" s="47" t="s">
        <v>55998</v>
      </c>
      <c r="G155" s="8">
        <v>15</v>
      </c>
      <c r="H155" s="8" t="s">
        <v>21</v>
      </c>
      <c r="I155" s="8" t="s">
        <v>22</v>
      </c>
      <c r="J155" s="8" t="s">
        <v>22</v>
      </c>
      <c r="K155" s="8" t="s">
        <v>818</v>
      </c>
      <c r="L155" s="8" t="s">
        <v>125</v>
      </c>
      <c r="M155" s="8" t="s">
        <v>126</v>
      </c>
      <c r="N155" s="8" t="s">
        <v>819</v>
      </c>
      <c r="O155" s="8">
        <f>0+34/60+19.4/3600</f>
        <v>0.57205555555555554</v>
      </c>
      <c r="P155" s="8" t="s">
        <v>820</v>
      </c>
      <c r="Q155" s="8">
        <f>-(12+39/60+21/3600)</f>
        <v>-12.655833333333334</v>
      </c>
      <c r="R155" s="8">
        <v>14</v>
      </c>
      <c r="S155" s="8">
        <v>15</v>
      </c>
      <c r="T155" s="8">
        <v>1</v>
      </c>
      <c r="U155" s="8">
        <v>14.1</v>
      </c>
      <c r="V155" s="8">
        <v>1.1000000000000001</v>
      </c>
      <c r="W155" s="8">
        <v>0.9</v>
      </c>
      <c r="X155" s="8">
        <v>80</v>
      </c>
      <c r="Y155" s="8" t="s">
        <v>385</v>
      </c>
      <c r="Z155" s="8" t="s">
        <v>386</v>
      </c>
    </row>
    <row r="156" spans="1:26" x14ac:dyDescent="0.2">
      <c r="A156" s="8">
        <v>155</v>
      </c>
      <c r="B156" s="8" t="s">
        <v>821</v>
      </c>
      <c r="C156" s="8" t="s">
        <v>821</v>
      </c>
      <c r="F156" s="47"/>
      <c r="G156" s="8">
        <v>19</v>
      </c>
      <c r="H156" s="8" t="s">
        <v>21</v>
      </c>
      <c r="I156" s="8" t="s">
        <v>22</v>
      </c>
      <c r="J156" s="8" t="s">
        <v>22</v>
      </c>
      <c r="K156" s="8" t="s">
        <v>37</v>
      </c>
      <c r="L156" s="8" t="s">
        <v>125</v>
      </c>
      <c r="M156" s="8" t="s">
        <v>126</v>
      </c>
      <c r="N156" s="8" t="s">
        <v>822</v>
      </c>
      <c r="O156" s="8">
        <f>0+34/60+40/3600</f>
        <v>0.57777777777777772</v>
      </c>
      <c r="P156" s="8" t="s">
        <v>823</v>
      </c>
      <c r="Q156" s="8">
        <f>-(10+45/60+58/3600)</f>
        <v>-10.766111111111112</v>
      </c>
      <c r="R156" s="8">
        <v>13.3</v>
      </c>
      <c r="S156" s="8">
        <v>14.3</v>
      </c>
      <c r="T156" s="8">
        <v>1</v>
      </c>
      <c r="U156" s="8">
        <v>14</v>
      </c>
      <c r="V156" s="8">
        <v>1.7</v>
      </c>
      <c r="W156" s="8">
        <v>1.3</v>
      </c>
      <c r="X156" s="8">
        <v>175</v>
      </c>
      <c r="Y156" s="8" t="s">
        <v>824</v>
      </c>
      <c r="Z156" s="8" t="s">
        <v>825</v>
      </c>
    </row>
    <row r="157" spans="1:26" x14ac:dyDescent="0.2">
      <c r="A157" s="8">
        <v>156</v>
      </c>
      <c r="B157" s="8" t="s">
        <v>826</v>
      </c>
      <c r="C157" s="8" t="s">
        <v>826</v>
      </c>
      <c r="F157" s="47"/>
      <c r="G157" s="8">
        <v>19</v>
      </c>
      <c r="H157" s="8" t="s">
        <v>21</v>
      </c>
      <c r="I157" s="8" t="s">
        <v>72</v>
      </c>
      <c r="J157" s="8" t="s">
        <v>72</v>
      </c>
      <c r="K157" s="8" t="s">
        <v>73</v>
      </c>
      <c r="L157" s="8" t="s">
        <v>125</v>
      </c>
      <c r="M157" s="8" t="s">
        <v>126</v>
      </c>
      <c r="N157" s="8" t="s">
        <v>827</v>
      </c>
      <c r="O157" s="8">
        <f>0+34/60+35.8/3600</f>
        <v>0.57661111111111107</v>
      </c>
      <c r="P157" s="8" t="s">
        <v>828</v>
      </c>
      <c r="Q157" s="8">
        <f>-(8+20/60+22/3600)</f>
        <v>-8.3394444444444442</v>
      </c>
      <c r="R157" s="8">
        <v>99</v>
      </c>
      <c r="S157" s="8">
        <v>99</v>
      </c>
      <c r="T157" s="8">
        <v>99</v>
      </c>
      <c r="U157" s="8">
        <v>99</v>
      </c>
      <c r="Y157" s="8" t="s">
        <v>829</v>
      </c>
      <c r="Z157" s="8" t="s">
        <v>830</v>
      </c>
    </row>
    <row r="158" spans="1:26" x14ac:dyDescent="0.2">
      <c r="A158" s="8">
        <v>157</v>
      </c>
      <c r="B158" s="8" t="s">
        <v>831</v>
      </c>
      <c r="C158" s="8" t="s">
        <v>831</v>
      </c>
      <c r="F158" s="47" t="s">
        <v>55999</v>
      </c>
      <c r="G158" s="8">
        <v>6</v>
      </c>
      <c r="H158" s="8" t="s">
        <v>21</v>
      </c>
      <c r="I158" s="8" t="s">
        <v>22</v>
      </c>
      <c r="J158" s="8" t="s">
        <v>22</v>
      </c>
      <c r="K158" s="8" t="s">
        <v>85</v>
      </c>
      <c r="L158" s="8" t="s">
        <v>125</v>
      </c>
      <c r="M158" s="8" t="s">
        <v>126</v>
      </c>
      <c r="N158" s="8" t="s">
        <v>832</v>
      </c>
      <c r="O158" s="8">
        <f>0+34/60+46.4/3600</f>
        <v>0.57955555555555549</v>
      </c>
      <c r="P158" s="8" t="s">
        <v>833</v>
      </c>
      <c r="Q158" s="8">
        <f>-(8+23/60+46/3600)</f>
        <v>-8.3961111111111109</v>
      </c>
      <c r="R158" s="8">
        <v>10.4</v>
      </c>
      <c r="S158" s="8">
        <v>11</v>
      </c>
      <c r="T158" s="8">
        <v>0.6</v>
      </c>
      <c r="U158" s="8">
        <v>12.9</v>
      </c>
      <c r="V158" s="8">
        <v>3.5</v>
      </c>
      <c r="W158" s="8">
        <v>2.4</v>
      </c>
      <c r="X158" s="8">
        <v>36</v>
      </c>
      <c r="Y158" s="8" t="s">
        <v>834</v>
      </c>
      <c r="Z158" s="8" t="s">
        <v>835</v>
      </c>
    </row>
    <row r="159" spans="1:26" x14ac:dyDescent="0.2">
      <c r="A159" s="8">
        <v>158</v>
      </c>
      <c r="B159" s="8" t="s">
        <v>836</v>
      </c>
      <c r="C159" s="8" t="s">
        <v>836</v>
      </c>
      <c r="F159" s="47"/>
      <c r="G159" s="8">
        <v>19</v>
      </c>
      <c r="H159" s="8" t="s">
        <v>21</v>
      </c>
      <c r="I159" s="8" t="s">
        <v>72</v>
      </c>
      <c r="J159" s="8" t="s">
        <v>72</v>
      </c>
      <c r="K159" s="8" t="s">
        <v>73</v>
      </c>
      <c r="L159" s="8" t="s">
        <v>125</v>
      </c>
      <c r="M159" s="8" t="s">
        <v>126</v>
      </c>
      <c r="N159" s="8" t="s">
        <v>837</v>
      </c>
      <c r="O159" s="8">
        <f>0+35/60+5.5/3600</f>
        <v>0.58486111111111116</v>
      </c>
      <c r="P159" s="8" t="s">
        <v>838</v>
      </c>
      <c r="Q159" s="8">
        <f>-(8+20/60+42/3600)</f>
        <v>-8.3450000000000006</v>
      </c>
      <c r="R159" s="8">
        <v>99</v>
      </c>
      <c r="S159" s="8">
        <v>99</v>
      </c>
      <c r="T159" s="8">
        <v>99</v>
      </c>
      <c r="U159" s="8">
        <v>99</v>
      </c>
      <c r="Y159" s="8" t="s">
        <v>839</v>
      </c>
      <c r="Z159" s="8" t="s">
        <v>840</v>
      </c>
    </row>
    <row r="160" spans="1:26" x14ac:dyDescent="0.2">
      <c r="A160" s="8">
        <v>159</v>
      </c>
      <c r="B160" s="8" t="s">
        <v>841</v>
      </c>
      <c r="C160" s="8" t="s">
        <v>841</v>
      </c>
      <c r="F160" s="47"/>
      <c r="G160" s="8">
        <v>16</v>
      </c>
      <c r="H160" s="8" t="s">
        <v>21</v>
      </c>
      <c r="I160" s="8" t="s">
        <v>22</v>
      </c>
      <c r="J160" s="8" t="s">
        <v>22</v>
      </c>
      <c r="K160" s="8" t="s">
        <v>435</v>
      </c>
      <c r="L160" s="8" t="s">
        <v>166</v>
      </c>
      <c r="M160" s="8" t="s">
        <v>167</v>
      </c>
      <c r="N160" s="8" t="s">
        <v>842</v>
      </c>
      <c r="O160" s="8">
        <f>0+34/60+35.4/3600</f>
        <v>0.57650000000000001</v>
      </c>
      <c r="P160" s="8" t="s">
        <v>843</v>
      </c>
      <c r="Q160" s="8">
        <f>-(55+47/60+23/3600)</f>
        <v>-55.789722222222217</v>
      </c>
      <c r="R160" s="8">
        <v>13.7</v>
      </c>
      <c r="S160" s="8">
        <v>14.6</v>
      </c>
      <c r="T160" s="8">
        <v>0.9</v>
      </c>
      <c r="U160" s="8">
        <v>13.1</v>
      </c>
      <c r="V160" s="8">
        <v>1.4</v>
      </c>
      <c r="W160" s="8">
        <v>0.4</v>
      </c>
      <c r="X160" s="8">
        <v>95</v>
      </c>
      <c r="Y160" s="8" t="s">
        <v>844</v>
      </c>
      <c r="Z160" s="8" t="s">
        <v>845</v>
      </c>
    </row>
    <row r="161" spans="1:26" x14ac:dyDescent="0.2">
      <c r="A161" s="8">
        <v>160</v>
      </c>
      <c r="B161" s="8" t="s">
        <v>846</v>
      </c>
      <c r="C161" s="8" t="s">
        <v>846</v>
      </c>
      <c r="F161" s="47" t="s">
        <v>56000</v>
      </c>
      <c r="G161" s="8">
        <v>15</v>
      </c>
      <c r="H161" s="8" t="s">
        <v>21</v>
      </c>
      <c r="I161" s="8" t="s">
        <v>22</v>
      </c>
      <c r="J161" s="8" t="s">
        <v>22</v>
      </c>
      <c r="K161" s="8" t="s">
        <v>632</v>
      </c>
      <c r="L161" s="8" t="s">
        <v>51</v>
      </c>
      <c r="M161" s="8" t="s">
        <v>52</v>
      </c>
      <c r="N161" s="8" t="s">
        <v>847</v>
      </c>
      <c r="O161" s="8">
        <f>0+36/60+4.1/3600</f>
        <v>0.60113888888888889</v>
      </c>
      <c r="P161" s="8" t="s">
        <v>848</v>
      </c>
      <c r="Q161" s="8">
        <f>+(23+57/60+29/3600)</f>
        <v>23.958055555555553</v>
      </c>
      <c r="R161" s="8">
        <v>12.7</v>
      </c>
      <c r="S161" s="8">
        <v>13.6</v>
      </c>
      <c r="T161" s="8">
        <v>0.9</v>
      </c>
      <c r="U161" s="8">
        <v>14.3</v>
      </c>
      <c r="V161" s="8">
        <v>2.2999999999999998</v>
      </c>
      <c r="W161" s="8">
        <v>1.2</v>
      </c>
      <c r="X161" s="8">
        <v>45</v>
      </c>
      <c r="Y161" s="8" t="s">
        <v>849</v>
      </c>
      <c r="Z161" s="8" t="s">
        <v>850</v>
      </c>
    </row>
    <row r="162" spans="1:26" x14ac:dyDescent="0.2">
      <c r="A162" s="8">
        <v>161</v>
      </c>
      <c r="B162" s="8" t="s">
        <v>851</v>
      </c>
      <c r="C162" s="8" t="s">
        <v>851</v>
      </c>
      <c r="F162" s="47"/>
      <c r="G162" s="8">
        <v>19</v>
      </c>
      <c r="H162" s="8" t="s">
        <v>21</v>
      </c>
      <c r="I162" s="8" t="s">
        <v>22</v>
      </c>
      <c r="J162" s="8" t="s">
        <v>22</v>
      </c>
      <c r="K162" s="8" t="s">
        <v>37</v>
      </c>
      <c r="L162" s="8" t="s">
        <v>125</v>
      </c>
      <c r="M162" s="8" t="s">
        <v>126</v>
      </c>
      <c r="N162" s="8" t="s">
        <v>852</v>
      </c>
      <c r="O162" s="8">
        <f>0+35/60+33.9/3600</f>
        <v>0.59275</v>
      </c>
      <c r="P162" s="8" t="s">
        <v>853</v>
      </c>
      <c r="Q162" s="8">
        <f>-(2+50/60+54/3600)</f>
        <v>-2.8483333333333336</v>
      </c>
      <c r="R162" s="8">
        <v>13.4</v>
      </c>
      <c r="S162" s="8">
        <v>14.4</v>
      </c>
      <c r="T162" s="8">
        <v>1</v>
      </c>
      <c r="U162" s="8">
        <v>13.3</v>
      </c>
      <c r="V162" s="8">
        <v>1.3</v>
      </c>
      <c r="W162" s="8">
        <v>0.8</v>
      </c>
      <c r="X162" s="8">
        <v>27</v>
      </c>
      <c r="Y162" s="8" t="s">
        <v>854</v>
      </c>
      <c r="Z162" s="8" t="s">
        <v>855</v>
      </c>
    </row>
    <row r="163" spans="1:26" x14ac:dyDescent="0.2">
      <c r="A163" s="8">
        <v>162</v>
      </c>
      <c r="B163" s="8" t="s">
        <v>856</v>
      </c>
      <c r="C163" s="8" t="s">
        <v>856</v>
      </c>
      <c r="F163" s="47"/>
      <c r="G163" s="8">
        <v>18</v>
      </c>
      <c r="H163" s="8" t="s">
        <v>21</v>
      </c>
      <c r="I163" s="8" t="s">
        <v>72</v>
      </c>
      <c r="J163" s="8" t="s">
        <v>72</v>
      </c>
      <c r="K163" s="8" t="s">
        <v>20</v>
      </c>
      <c r="L163" s="8" t="s">
        <v>51</v>
      </c>
      <c r="M163" s="8" t="s">
        <v>52</v>
      </c>
      <c r="N163" s="8" t="s">
        <v>857</v>
      </c>
      <c r="O163" s="8">
        <f>0+36/60+9.2/3600</f>
        <v>0.60255555555555551</v>
      </c>
      <c r="P163" s="8" t="s">
        <v>858</v>
      </c>
      <c r="Q163" s="8">
        <f>+(23+57/60+44/3600)</f>
        <v>23.96222222222222</v>
      </c>
      <c r="R163" s="8">
        <v>99</v>
      </c>
      <c r="S163" s="8">
        <v>15</v>
      </c>
      <c r="T163" s="8">
        <v>99</v>
      </c>
      <c r="U163" s="8">
        <v>99</v>
      </c>
      <c r="Y163" s="8" t="s">
        <v>859</v>
      </c>
      <c r="Z163" s="8" t="s">
        <v>860</v>
      </c>
    </row>
    <row r="164" spans="1:26" x14ac:dyDescent="0.2">
      <c r="A164" s="8">
        <v>163</v>
      </c>
      <c r="B164" s="8" t="s">
        <v>861</v>
      </c>
      <c r="C164" s="8" t="s">
        <v>861</v>
      </c>
      <c r="G164" s="8">
        <v>19</v>
      </c>
      <c r="H164" s="8" t="s">
        <v>21</v>
      </c>
      <c r="I164" s="8" t="s">
        <v>22</v>
      </c>
      <c r="J164" s="8" t="s">
        <v>22</v>
      </c>
      <c r="K164" s="8" t="s">
        <v>382</v>
      </c>
      <c r="L164" s="8" t="s">
        <v>125</v>
      </c>
      <c r="M164" s="8" t="s">
        <v>126</v>
      </c>
      <c r="N164" s="8" t="s">
        <v>862</v>
      </c>
      <c r="O164" s="8">
        <f>0+35/60+59.7/3600</f>
        <v>0.59991666666666665</v>
      </c>
      <c r="P164" s="8" t="s">
        <v>863</v>
      </c>
      <c r="Q164" s="8">
        <f>-(10+7/60+17/3600)</f>
        <v>-10.121388888888889</v>
      </c>
      <c r="R164" s="8">
        <v>12.7</v>
      </c>
      <c r="S164" s="8">
        <v>13.6</v>
      </c>
      <c r="T164" s="8">
        <v>0.9</v>
      </c>
      <c r="U164" s="8">
        <v>13.4</v>
      </c>
      <c r="V164" s="8">
        <v>1.6</v>
      </c>
      <c r="W164" s="8">
        <v>1.2</v>
      </c>
      <c r="X164" s="8">
        <v>85</v>
      </c>
      <c r="Y164" s="8" t="s">
        <v>282</v>
      </c>
      <c r="Z164" s="8" t="s">
        <v>283</v>
      </c>
    </row>
    <row r="165" spans="1:26" x14ac:dyDescent="0.2">
      <c r="A165" s="8">
        <v>164</v>
      </c>
      <c r="B165" s="8" t="s">
        <v>864</v>
      </c>
      <c r="C165" s="8" t="s">
        <v>864</v>
      </c>
      <c r="F165" s="47"/>
      <c r="G165" s="8">
        <v>18</v>
      </c>
      <c r="H165" s="8" t="s">
        <v>21</v>
      </c>
      <c r="I165" s="8" t="s">
        <v>22</v>
      </c>
      <c r="J165" s="8" t="s">
        <v>22</v>
      </c>
      <c r="K165" s="8" t="s">
        <v>449</v>
      </c>
      <c r="L165" s="8" t="s">
        <v>38</v>
      </c>
      <c r="M165" s="8" t="s">
        <v>39</v>
      </c>
      <c r="N165" s="8" t="s">
        <v>865</v>
      </c>
      <c r="O165" s="8">
        <f>0+36/60+32.9/3600</f>
        <v>0.6091388888888889</v>
      </c>
      <c r="P165" s="8" t="s">
        <v>866</v>
      </c>
      <c r="Q165" s="8">
        <f>+(2+45/60+0/3600)</f>
        <v>2.75</v>
      </c>
      <c r="R165" s="8">
        <v>15.8</v>
      </c>
      <c r="S165" s="8">
        <v>16.600000000000001</v>
      </c>
      <c r="T165" s="8">
        <v>0.8</v>
      </c>
      <c r="U165" s="8">
        <v>13.7</v>
      </c>
      <c r="V165" s="8">
        <v>0.4</v>
      </c>
      <c r="W165" s="8">
        <v>0.4</v>
      </c>
      <c r="Y165" s="8" t="s">
        <v>47</v>
      </c>
      <c r="Z165" s="8" t="s">
        <v>48</v>
      </c>
    </row>
    <row r="166" spans="1:26" x14ac:dyDescent="0.2">
      <c r="A166" s="8">
        <v>165</v>
      </c>
      <c r="B166" s="8" t="s">
        <v>867</v>
      </c>
      <c r="C166" s="8" t="s">
        <v>867</v>
      </c>
      <c r="F166" s="47" t="s">
        <v>56001</v>
      </c>
      <c r="G166" s="8">
        <v>15</v>
      </c>
      <c r="H166" s="8" t="s">
        <v>21</v>
      </c>
      <c r="I166" s="8" t="s">
        <v>22</v>
      </c>
      <c r="J166" s="8" t="s">
        <v>22</v>
      </c>
      <c r="K166" s="8" t="s">
        <v>85</v>
      </c>
      <c r="L166" s="8" t="s">
        <v>125</v>
      </c>
      <c r="M166" s="8" t="s">
        <v>126</v>
      </c>
      <c r="N166" s="8" t="s">
        <v>868</v>
      </c>
      <c r="O166" s="8">
        <f>0+36/60+28.9/3600</f>
        <v>0.60802777777777772</v>
      </c>
      <c r="P166" s="8" t="s">
        <v>869</v>
      </c>
      <c r="Q166" s="8">
        <f>-(10+6/60+23/3600)</f>
        <v>-10.106388888888889</v>
      </c>
      <c r="R166" s="8">
        <v>13.1</v>
      </c>
      <c r="S166" s="8">
        <v>13.9</v>
      </c>
      <c r="T166" s="8">
        <v>0.8</v>
      </c>
      <c r="U166" s="8">
        <v>13.7</v>
      </c>
      <c r="V166" s="8">
        <v>1.6</v>
      </c>
      <c r="W166" s="8">
        <v>1.3</v>
      </c>
      <c r="X166" s="8">
        <v>77</v>
      </c>
      <c r="Y166" s="8" t="s">
        <v>870</v>
      </c>
      <c r="Z166" s="8" t="s">
        <v>871</v>
      </c>
    </row>
    <row r="167" spans="1:26" x14ac:dyDescent="0.2">
      <c r="A167" s="8">
        <v>166</v>
      </c>
      <c r="B167" s="8" t="s">
        <v>872</v>
      </c>
      <c r="C167" s="8" t="s">
        <v>872</v>
      </c>
      <c r="F167" s="47"/>
      <c r="G167" s="8">
        <v>19</v>
      </c>
      <c r="H167" s="8" t="s">
        <v>21</v>
      </c>
      <c r="I167" s="8" t="s">
        <v>22</v>
      </c>
      <c r="J167" s="8" t="s">
        <v>22</v>
      </c>
      <c r="K167" s="8" t="s">
        <v>91</v>
      </c>
      <c r="L167" s="8" t="s">
        <v>125</v>
      </c>
      <c r="M167" s="8" t="s">
        <v>126</v>
      </c>
      <c r="N167" s="8" t="s">
        <v>873</v>
      </c>
      <c r="O167" s="8">
        <f>0+35/60+48.8/3600</f>
        <v>0.59688888888888891</v>
      </c>
      <c r="P167" s="8" t="s">
        <v>874</v>
      </c>
      <c r="Q167" s="8">
        <f>-(13+36/60+38/3600)</f>
        <v>-13.610555555555555</v>
      </c>
      <c r="R167" s="8">
        <v>14.3</v>
      </c>
      <c r="S167" s="8">
        <v>15.2</v>
      </c>
      <c r="T167" s="8">
        <v>0.9</v>
      </c>
      <c r="U167" s="8">
        <v>12.7</v>
      </c>
      <c r="V167" s="8">
        <v>0.9</v>
      </c>
      <c r="W167" s="8">
        <v>0.3</v>
      </c>
      <c r="X167" s="8">
        <v>145</v>
      </c>
      <c r="Y167" s="8" t="s">
        <v>875</v>
      </c>
      <c r="Z167" s="8" t="s">
        <v>876</v>
      </c>
    </row>
    <row r="168" spans="1:26" x14ac:dyDescent="0.2">
      <c r="A168" s="8">
        <v>167</v>
      </c>
      <c r="B168" s="8" t="s">
        <v>877</v>
      </c>
      <c r="C168" s="8" t="s">
        <v>877</v>
      </c>
      <c r="F168" s="47"/>
      <c r="G168" s="8">
        <v>19</v>
      </c>
      <c r="H168" s="8" t="s">
        <v>21</v>
      </c>
      <c r="I168" s="8" t="s">
        <v>22</v>
      </c>
      <c r="J168" s="8" t="s">
        <v>22</v>
      </c>
      <c r="K168" s="8" t="s">
        <v>64</v>
      </c>
      <c r="L168" s="8" t="s">
        <v>125</v>
      </c>
      <c r="M168" s="8" t="s">
        <v>126</v>
      </c>
      <c r="N168" s="8" t="s">
        <v>878</v>
      </c>
      <c r="O168" s="8">
        <f>0+35/60+22.9/3600</f>
        <v>0.58969444444444452</v>
      </c>
      <c r="P168" s="8" t="s">
        <v>879</v>
      </c>
      <c r="Q168" s="8">
        <f>-(23+22/60+29/3600)</f>
        <v>-23.374722222222221</v>
      </c>
      <c r="R168" s="8">
        <v>13.7</v>
      </c>
      <c r="S168" s="8">
        <v>14.4</v>
      </c>
      <c r="T168" s="8">
        <v>0.7</v>
      </c>
      <c r="U168" s="8">
        <v>13.2</v>
      </c>
      <c r="V168" s="8">
        <v>1</v>
      </c>
      <c r="W168" s="8">
        <v>0.7</v>
      </c>
      <c r="X168" s="8">
        <v>171</v>
      </c>
      <c r="Y168" s="8" t="s">
        <v>880</v>
      </c>
      <c r="Z168" s="8" t="s">
        <v>881</v>
      </c>
    </row>
    <row r="169" spans="1:26" x14ac:dyDescent="0.2">
      <c r="A169" s="8">
        <v>168</v>
      </c>
      <c r="B169" s="8" t="s">
        <v>882</v>
      </c>
      <c r="C169" s="8" t="s">
        <v>882</v>
      </c>
      <c r="F169" s="47"/>
      <c r="G169" s="8">
        <v>19</v>
      </c>
      <c r="H169" s="8" t="s">
        <v>21</v>
      </c>
      <c r="I169" s="8" t="s">
        <v>22</v>
      </c>
      <c r="J169" s="8" t="s">
        <v>22</v>
      </c>
      <c r="K169" s="8" t="s">
        <v>632</v>
      </c>
      <c r="L169" s="8" t="s">
        <v>125</v>
      </c>
      <c r="M169" s="8" t="s">
        <v>126</v>
      </c>
      <c r="N169" s="8" t="s">
        <v>883</v>
      </c>
      <c r="O169" s="8">
        <f>0+36/60+38.6/3600</f>
        <v>0.61072222222222217</v>
      </c>
      <c r="P169" s="8" t="s">
        <v>884</v>
      </c>
      <c r="Q169" s="8">
        <f>-(22+35/60+37/3600)</f>
        <v>-22.593611111111109</v>
      </c>
      <c r="R169" s="8">
        <v>14</v>
      </c>
      <c r="S169" s="8">
        <v>14.9</v>
      </c>
      <c r="T169" s="8">
        <v>0.9</v>
      </c>
      <c r="U169" s="8">
        <v>12.8</v>
      </c>
      <c r="V169" s="8">
        <v>1.2</v>
      </c>
      <c r="W169" s="8">
        <v>0.3</v>
      </c>
      <c r="X169" s="8">
        <v>26</v>
      </c>
      <c r="Y169" s="8" t="s">
        <v>885</v>
      </c>
      <c r="Z169" s="8" t="s">
        <v>886</v>
      </c>
    </row>
    <row r="170" spans="1:26" x14ac:dyDescent="0.2">
      <c r="A170" s="8">
        <v>169</v>
      </c>
      <c r="B170" s="8" t="s">
        <v>887</v>
      </c>
      <c r="C170" s="8" t="s">
        <v>887</v>
      </c>
      <c r="F170" s="47"/>
      <c r="G170" s="8">
        <v>18</v>
      </c>
      <c r="H170" s="8" t="s">
        <v>21</v>
      </c>
      <c r="I170" s="8" t="s">
        <v>22</v>
      </c>
      <c r="J170" s="8" t="s">
        <v>22</v>
      </c>
      <c r="K170" s="8" t="s">
        <v>23</v>
      </c>
      <c r="L170" s="8" t="s">
        <v>51</v>
      </c>
      <c r="M170" s="8" t="s">
        <v>52</v>
      </c>
      <c r="N170" s="8" t="s">
        <v>888</v>
      </c>
      <c r="O170" s="8">
        <f>0+36/60+51.7/3600</f>
        <v>0.61436111111111114</v>
      </c>
      <c r="P170" s="8" t="s">
        <v>889</v>
      </c>
      <c r="Q170" s="8">
        <f>+(23+59/60+29/3600)</f>
        <v>23.991388888888888</v>
      </c>
      <c r="R170" s="8">
        <v>12.4</v>
      </c>
      <c r="S170" s="8">
        <v>13.2</v>
      </c>
      <c r="T170" s="8">
        <v>0.8</v>
      </c>
      <c r="U170" s="8">
        <v>12.7</v>
      </c>
      <c r="V170" s="8">
        <v>2.6</v>
      </c>
      <c r="W170" s="8">
        <v>0.6</v>
      </c>
      <c r="X170" s="8">
        <v>88</v>
      </c>
      <c r="Y170" s="8" t="s">
        <v>890</v>
      </c>
      <c r="Z170" s="8" t="s">
        <v>891</v>
      </c>
    </row>
    <row r="171" spans="1:26" x14ac:dyDescent="0.2">
      <c r="A171" s="8">
        <v>170</v>
      </c>
      <c r="B171" s="8" t="s">
        <v>892</v>
      </c>
      <c r="C171" s="8" t="s">
        <v>892</v>
      </c>
      <c r="F171" s="47"/>
      <c r="G171" s="8">
        <v>18</v>
      </c>
      <c r="H171" s="8" t="s">
        <v>21</v>
      </c>
      <c r="I171" s="8" t="s">
        <v>22</v>
      </c>
      <c r="J171" s="8" t="s">
        <v>22</v>
      </c>
      <c r="K171" s="8" t="s">
        <v>58</v>
      </c>
      <c r="L171" s="8" t="s">
        <v>125</v>
      </c>
      <c r="M171" s="8" t="s">
        <v>126</v>
      </c>
      <c r="N171" s="8" t="s">
        <v>893</v>
      </c>
      <c r="O171" s="8">
        <f>0+36/60+45.9/3600</f>
        <v>0.61275000000000002</v>
      </c>
      <c r="P171" s="8" t="s">
        <v>894</v>
      </c>
      <c r="Q171" s="8">
        <f>+(1+53/60+11/3600)</f>
        <v>1.8863888888888889</v>
      </c>
      <c r="R171" s="8">
        <v>14.4</v>
      </c>
      <c r="S171" s="8">
        <v>15.4</v>
      </c>
      <c r="T171" s="8">
        <v>1</v>
      </c>
      <c r="U171" s="8">
        <v>12.4</v>
      </c>
      <c r="V171" s="8">
        <v>0.4</v>
      </c>
      <c r="W171" s="8">
        <v>0.3</v>
      </c>
      <c r="X171" s="8">
        <v>79</v>
      </c>
      <c r="Y171" s="8" t="s">
        <v>895</v>
      </c>
      <c r="Z171" s="8" t="s">
        <v>896</v>
      </c>
    </row>
    <row r="172" spans="1:26" x14ac:dyDescent="0.2">
      <c r="A172" s="8">
        <v>171</v>
      </c>
      <c r="B172" s="8" t="s">
        <v>897</v>
      </c>
      <c r="C172" s="8" t="s">
        <v>897</v>
      </c>
      <c r="F172" s="47" t="s">
        <v>56002</v>
      </c>
      <c r="G172" s="8">
        <v>15</v>
      </c>
      <c r="H172" s="8" t="s">
        <v>21</v>
      </c>
      <c r="I172" s="8" t="s">
        <v>22</v>
      </c>
      <c r="J172" s="8" t="s">
        <v>22</v>
      </c>
      <c r="K172" s="8" t="s">
        <v>406</v>
      </c>
      <c r="L172" s="8" t="s">
        <v>125</v>
      </c>
      <c r="M172" s="8" t="s">
        <v>126</v>
      </c>
      <c r="N172" s="8" t="s">
        <v>898</v>
      </c>
      <c r="O172" s="8">
        <f>0+37/60+21.5/3600</f>
        <v>0.62263888888888896</v>
      </c>
      <c r="P172" s="8" t="s">
        <v>899</v>
      </c>
      <c r="Q172" s="8">
        <f>-(19+56/60+4/3600)</f>
        <v>-19.934444444444445</v>
      </c>
      <c r="R172" s="8">
        <v>12.2</v>
      </c>
      <c r="S172" s="8">
        <v>12.9</v>
      </c>
      <c r="T172" s="8">
        <v>0.7</v>
      </c>
      <c r="U172" s="8">
        <v>13.5</v>
      </c>
      <c r="V172" s="8">
        <v>2.1</v>
      </c>
      <c r="W172" s="8">
        <v>1.9</v>
      </c>
      <c r="Y172" s="8" t="s">
        <v>900</v>
      </c>
      <c r="Z172" s="8" t="s">
        <v>901</v>
      </c>
    </row>
    <row r="173" spans="1:26" x14ac:dyDescent="0.2">
      <c r="A173" s="8">
        <v>172</v>
      </c>
      <c r="B173" s="8" t="s">
        <v>902</v>
      </c>
      <c r="C173" s="8" t="s">
        <v>902</v>
      </c>
      <c r="F173" s="47"/>
      <c r="G173" s="8">
        <v>19</v>
      </c>
      <c r="H173" s="8" t="s">
        <v>21</v>
      </c>
      <c r="I173" s="8" t="s">
        <v>22</v>
      </c>
      <c r="J173" s="8" t="s">
        <v>22</v>
      </c>
      <c r="K173" s="8" t="s">
        <v>85</v>
      </c>
      <c r="L173" s="8" t="s">
        <v>125</v>
      </c>
      <c r="M173" s="8" t="s">
        <v>126</v>
      </c>
      <c r="N173" s="8" t="s">
        <v>903</v>
      </c>
      <c r="O173" s="8">
        <f>0+37/60+13.6/3600</f>
        <v>0.62044444444444447</v>
      </c>
      <c r="P173" s="8" t="s">
        <v>904</v>
      </c>
      <c r="Q173" s="8">
        <f>-(22+35/60+12/3600)</f>
        <v>-22.586666666666666</v>
      </c>
      <c r="R173" s="8">
        <v>13.4</v>
      </c>
      <c r="S173" s="8">
        <v>14</v>
      </c>
      <c r="T173" s="8">
        <v>0.6</v>
      </c>
      <c r="U173" s="8">
        <v>12.9</v>
      </c>
      <c r="V173" s="8">
        <v>2</v>
      </c>
      <c r="W173" s="8">
        <v>0.3</v>
      </c>
      <c r="X173" s="8">
        <v>12</v>
      </c>
      <c r="Y173" s="8" t="s">
        <v>905</v>
      </c>
      <c r="Z173" s="8" t="s">
        <v>906</v>
      </c>
    </row>
    <row r="174" spans="1:26" x14ac:dyDescent="0.2">
      <c r="A174" s="8">
        <v>173</v>
      </c>
      <c r="B174" s="8" t="s">
        <v>907</v>
      </c>
      <c r="C174" s="8" t="s">
        <v>907</v>
      </c>
      <c r="F174" s="47" t="s">
        <v>56003</v>
      </c>
      <c r="G174" s="8">
        <v>15</v>
      </c>
      <c r="H174" s="8" t="s">
        <v>21</v>
      </c>
      <c r="I174" s="8" t="s">
        <v>22</v>
      </c>
      <c r="J174" s="8" t="s">
        <v>22</v>
      </c>
      <c r="K174" s="8" t="s">
        <v>160</v>
      </c>
      <c r="L174" s="8" t="s">
        <v>125</v>
      </c>
      <c r="M174" s="8" t="s">
        <v>126</v>
      </c>
      <c r="N174" s="8" t="s">
        <v>908</v>
      </c>
      <c r="O174" s="8">
        <f>0+37/60+12.4/3600</f>
        <v>0.62011111111111117</v>
      </c>
      <c r="P174" s="8" t="s">
        <v>909</v>
      </c>
      <c r="Q174" s="8">
        <f>+(1+56/60+32/3600)</f>
        <v>1.9422222222222223</v>
      </c>
      <c r="R174" s="8">
        <v>13</v>
      </c>
      <c r="S174" s="8">
        <v>13.7</v>
      </c>
      <c r="T174" s="8">
        <v>0.7</v>
      </c>
      <c r="U174" s="8">
        <v>15.2</v>
      </c>
      <c r="V174" s="8">
        <v>3.2</v>
      </c>
      <c r="W174" s="8">
        <v>2.6</v>
      </c>
      <c r="X174" s="8">
        <v>90</v>
      </c>
      <c r="Y174" s="8" t="s">
        <v>910</v>
      </c>
      <c r="Z174" s="8" t="s">
        <v>911</v>
      </c>
    </row>
    <row r="175" spans="1:26" x14ac:dyDescent="0.2">
      <c r="A175" s="8">
        <v>174</v>
      </c>
      <c r="B175" s="8" t="s">
        <v>912</v>
      </c>
      <c r="C175" s="8" t="s">
        <v>912</v>
      </c>
      <c r="F175" s="47"/>
      <c r="G175" s="8">
        <v>16</v>
      </c>
      <c r="H175" s="8" t="s">
        <v>21</v>
      </c>
      <c r="I175" s="8" t="s">
        <v>22</v>
      </c>
      <c r="J175" s="8" t="s">
        <v>22</v>
      </c>
      <c r="K175" s="8" t="s">
        <v>435</v>
      </c>
      <c r="L175" s="8" t="s">
        <v>65</v>
      </c>
      <c r="M175" s="8" t="s">
        <v>66</v>
      </c>
      <c r="N175" s="8" t="s">
        <v>913</v>
      </c>
      <c r="O175" s="8">
        <f>0+36/60+58.8/3600</f>
        <v>0.61633333333333329</v>
      </c>
      <c r="P175" s="8" t="s">
        <v>914</v>
      </c>
      <c r="Q175" s="8">
        <f>-(29+28/60+40/3600)</f>
        <v>-29.477777777777778</v>
      </c>
      <c r="R175" s="8">
        <v>12.9</v>
      </c>
      <c r="S175" s="8">
        <v>13.8</v>
      </c>
      <c r="T175" s="8">
        <v>0.9</v>
      </c>
      <c r="U175" s="8">
        <v>12.6</v>
      </c>
      <c r="V175" s="8">
        <v>1.4</v>
      </c>
      <c r="W175" s="8">
        <v>0.6</v>
      </c>
      <c r="X175" s="8">
        <v>152</v>
      </c>
      <c r="Y175" s="8" t="s">
        <v>915</v>
      </c>
      <c r="Z175" s="8" t="s">
        <v>916</v>
      </c>
    </row>
    <row r="176" spans="1:26" x14ac:dyDescent="0.2">
      <c r="A176" s="8">
        <v>175</v>
      </c>
      <c r="B176" s="8" t="s">
        <v>917</v>
      </c>
      <c r="C176" s="8" t="s">
        <v>917</v>
      </c>
      <c r="F176" s="47"/>
      <c r="G176" s="8">
        <v>6.5</v>
      </c>
      <c r="H176" s="8" t="s">
        <v>21</v>
      </c>
      <c r="I176" s="8" t="s">
        <v>22</v>
      </c>
      <c r="J176" s="8" t="s">
        <v>57</v>
      </c>
      <c r="K176" s="8" t="s">
        <v>406</v>
      </c>
      <c r="L176" s="8" t="s">
        <v>125</v>
      </c>
      <c r="M176" s="8" t="s">
        <v>126</v>
      </c>
      <c r="N176" s="8" t="s">
        <v>898</v>
      </c>
      <c r="O176" s="8">
        <f>0+37/60+21.5/3600</f>
        <v>0.62263888888888896</v>
      </c>
      <c r="P176" s="8" t="s">
        <v>899</v>
      </c>
      <c r="Q176" s="8">
        <f>-(19+56/60+4/3600)</f>
        <v>-19.934444444444445</v>
      </c>
      <c r="R176" s="8">
        <v>12.2</v>
      </c>
      <c r="S176" s="8">
        <v>12.9</v>
      </c>
      <c r="T176" s="8">
        <v>0.7</v>
      </c>
      <c r="U176" s="8">
        <v>13.5</v>
      </c>
      <c r="V176" s="8">
        <v>2.1</v>
      </c>
      <c r="W176" s="8">
        <v>1.9</v>
      </c>
      <c r="Y176" s="8" t="s">
        <v>900</v>
      </c>
      <c r="Z176" s="8" t="s">
        <v>918</v>
      </c>
    </row>
    <row r="177" spans="1:26" x14ac:dyDescent="0.2">
      <c r="A177" s="8">
        <v>176</v>
      </c>
      <c r="B177" s="8" t="s">
        <v>919</v>
      </c>
      <c r="C177" s="8" t="s">
        <v>919</v>
      </c>
      <c r="F177" s="47"/>
      <c r="G177" s="8">
        <v>16</v>
      </c>
      <c r="H177" s="8" t="s">
        <v>21</v>
      </c>
      <c r="I177" s="8" t="s">
        <v>557</v>
      </c>
      <c r="J177" s="8" t="s">
        <v>557</v>
      </c>
      <c r="K177" s="8" t="s">
        <v>557</v>
      </c>
      <c r="L177" s="8" t="s">
        <v>310</v>
      </c>
      <c r="M177" s="8" t="s">
        <v>311</v>
      </c>
      <c r="N177" s="8" t="s">
        <v>920</v>
      </c>
      <c r="O177" s="8">
        <f>0+35/60+58.8/3600</f>
        <v>0.59966666666666668</v>
      </c>
      <c r="P177" s="8" t="s">
        <v>921</v>
      </c>
      <c r="Q177" s="8">
        <f>-(73+9/60+58/3600)</f>
        <v>-73.166111111111121</v>
      </c>
      <c r="R177" s="8">
        <v>12.7</v>
      </c>
      <c r="S177" s="8">
        <v>99</v>
      </c>
      <c r="T177" s="8">
        <v>99</v>
      </c>
      <c r="U177" s="8">
        <v>99</v>
      </c>
      <c r="V177" s="8">
        <v>1</v>
      </c>
      <c r="Y177" s="8" t="s">
        <v>922</v>
      </c>
      <c r="Z177" s="8" t="s">
        <v>923</v>
      </c>
    </row>
    <row r="178" spans="1:26" x14ac:dyDescent="0.2">
      <c r="A178" s="8">
        <v>177</v>
      </c>
      <c r="B178" s="8" t="s">
        <v>924</v>
      </c>
      <c r="C178" s="8" t="s">
        <v>924</v>
      </c>
      <c r="F178" s="47"/>
      <c r="G178" s="8">
        <v>19</v>
      </c>
      <c r="H178" s="8" t="s">
        <v>21</v>
      </c>
      <c r="I178" s="8" t="s">
        <v>22</v>
      </c>
      <c r="J178" s="8" t="s">
        <v>22</v>
      </c>
      <c r="K178" s="8" t="s">
        <v>31</v>
      </c>
      <c r="L178" s="8" t="s">
        <v>125</v>
      </c>
      <c r="M178" s="8" t="s">
        <v>126</v>
      </c>
      <c r="N178" s="8" t="s">
        <v>925</v>
      </c>
      <c r="O178" s="8">
        <f>0+37/60+34.3/3600</f>
        <v>0.6261944444444445</v>
      </c>
      <c r="P178" s="8" t="s">
        <v>926</v>
      </c>
      <c r="Q178" s="8">
        <f>-(22+32/60+57/3600)</f>
        <v>-22.549166666666668</v>
      </c>
      <c r="R178" s="8">
        <v>13.3</v>
      </c>
      <c r="S178" s="8">
        <v>14.1</v>
      </c>
      <c r="T178" s="8">
        <v>0.8</v>
      </c>
      <c r="U178" s="8">
        <v>13.3</v>
      </c>
      <c r="V178" s="8">
        <v>2.2000000000000002</v>
      </c>
      <c r="W178" s="8">
        <v>0.5</v>
      </c>
      <c r="X178" s="8">
        <v>11</v>
      </c>
      <c r="Y178" s="8" t="s">
        <v>927</v>
      </c>
      <c r="Z178" s="8" t="s">
        <v>928</v>
      </c>
    </row>
    <row r="179" spans="1:26" x14ac:dyDescent="0.2">
      <c r="A179" s="8">
        <v>178</v>
      </c>
      <c r="B179" s="8" t="s">
        <v>929</v>
      </c>
      <c r="C179" s="8" t="s">
        <v>929</v>
      </c>
      <c r="F179" s="47"/>
      <c r="G179" s="8">
        <v>13</v>
      </c>
      <c r="H179" s="8" t="s">
        <v>21</v>
      </c>
      <c r="I179" s="8" t="s">
        <v>22</v>
      </c>
      <c r="J179" s="8" t="s">
        <v>22</v>
      </c>
      <c r="K179" s="8" t="s">
        <v>79</v>
      </c>
      <c r="L179" s="8" t="s">
        <v>125</v>
      </c>
      <c r="M179" s="8" t="s">
        <v>126</v>
      </c>
      <c r="N179" s="8" t="s">
        <v>930</v>
      </c>
      <c r="O179" s="8">
        <f>0+39/60+8.4/3600</f>
        <v>0.65233333333333332</v>
      </c>
      <c r="P179" s="8" t="s">
        <v>931</v>
      </c>
      <c r="Q179" s="8">
        <f>-(14+10/60+20/3600)</f>
        <v>-14.172222222222222</v>
      </c>
      <c r="R179" s="8">
        <v>12.6</v>
      </c>
      <c r="S179" s="8">
        <v>13.1</v>
      </c>
      <c r="T179" s="8">
        <v>0.5</v>
      </c>
      <c r="U179" s="8">
        <v>13.2</v>
      </c>
      <c r="V179" s="8">
        <v>2.1</v>
      </c>
      <c r="W179" s="8">
        <v>0.9</v>
      </c>
      <c r="X179" s="8">
        <v>178</v>
      </c>
      <c r="Y179" s="8" t="s">
        <v>932</v>
      </c>
      <c r="Z179" s="8" t="s">
        <v>933</v>
      </c>
    </row>
    <row r="180" spans="1:26" x14ac:dyDescent="0.2">
      <c r="A180" s="8">
        <v>179</v>
      </c>
      <c r="B180" s="8" t="s">
        <v>934</v>
      </c>
      <c r="C180" s="8" t="s">
        <v>934</v>
      </c>
      <c r="F180" s="47"/>
      <c r="G180" s="8">
        <v>19</v>
      </c>
      <c r="H180" s="8" t="s">
        <v>21</v>
      </c>
      <c r="I180" s="8" t="s">
        <v>22</v>
      </c>
      <c r="J180" s="8" t="s">
        <v>22</v>
      </c>
      <c r="K180" s="8" t="s">
        <v>58</v>
      </c>
      <c r="L180" s="8" t="s">
        <v>125</v>
      </c>
      <c r="M180" s="8" t="s">
        <v>126</v>
      </c>
      <c r="N180" s="8" t="s">
        <v>935</v>
      </c>
      <c r="O180" s="8">
        <f>0+37/60+46.3/3600</f>
        <v>0.6295277777777778</v>
      </c>
      <c r="P180" s="8" t="s">
        <v>936</v>
      </c>
      <c r="Q180" s="8">
        <f>-(17+51/60+0/3600)</f>
        <v>-17.850000000000001</v>
      </c>
      <c r="R180" s="8">
        <v>13.3</v>
      </c>
      <c r="S180" s="8">
        <v>14.2</v>
      </c>
      <c r="T180" s="8">
        <v>0.9</v>
      </c>
      <c r="U180" s="8">
        <v>12.8</v>
      </c>
      <c r="V180" s="8">
        <v>0.9</v>
      </c>
      <c r="W180" s="8">
        <v>0.7</v>
      </c>
      <c r="X180" s="8">
        <v>113</v>
      </c>
      <c r="Y180" s="8" t="s">
        <v>937</v>
      </c>
      <c r="Z180" s="8" t="s">
        <v>938</v>
      </c>
    </row>
    <row r="181" spans="1:26" x14ac:dyDescent="0.2">
      <c r="A181" s="8">
        <v>180</v>
      </c>
      <c r="B181" s="8" t="s">
        <v>939</v>
      </c>
      <c r="C181" s="8" t="s">
        <v>939</v>
      </c>
      <c r="F181" s="47" t="s">
        <v>56004</v>
      </c>
      <c r="G181" s="8">
        <v>15</v>
      </c>
      <c r="H181" s="8" t="s">
        <v>21</v>
      </c>
      <c r="I181" s="8" t="s">
        <v>22</v>
      </c>
      <c r="J181" s="8" t="s">
        <v>22</v>
      </c>
      <c r="K181" s="8" t="s">
        <v>85</v>
      </c>
      <c r="L181" s="8" t="s">
        <v>38</v>
      </c>
      <c r="M181" s="8" t="s">
        <v>39</v>
      </c>
      <c r="N181" s="8" t="s">
        <v>940</v>
      </c>
      <c r="O181" s="8">
        <f>0+37/60+57.7/3600</f>
        <v>0.63269444444444445</v>
      </c>
      <c r="P181" s="8" t="s">
        <v>941</v>
      </c>
      <c r="Q181" s="8">
        <f>+(8+38/60+5/3600)</f>
        <v>8.6347222222222211</v>
      </c>
      <c r="R181" s="8">
        <v>12.9</v>
      </c>
      <c r="S181" s="8">
        <v>13.7</v>
      </c>
      <c r="T181" s="8">
        <v>0.8</v>
      </c>
      <c r="U181" s="8">
        <v>13.7</v>
      </c>
      <c r="V181" s="8">
        <v>1.9</v>
      </c>
      <c r="W181" s="8">
        <v>1.3</v>
      </c>
      <c r="X181" s="8">
        <v>160</v>
      </c>
      <c r="Y181" s="8" t="s">
        <v>942</v>
      </c>
      <c r="Z181" s="8" t="s">
        <v>943</v>
      </c>
    </row>
    <row r="182" spans="1:26" x14ac:dyDescent="0.2">
      <c r="A182" s="8">
        <v>181</v>
      </c>
      <c r="B182" s="8" t="s">
        <v>944</v>
      </c>
      <c r="C182" s="8" t="s">
        <v>944</v>
      </c>
      <c r="F182" s="47"/>
      <c r="G182" s="8">
        <v>19</v>
      </c>
      <c r="H182" s="8" t="s">
        <v>21</v>
      </c>
      <c r="I182" s="8" t="s">
        <v>22</v>
      </c>
      <c r="J182" s="8" t="s">
        <v>22</v>
      </c>
      <c r="K182" s="8" t="s">
        <v>476</v>
      </c>
      <c r="L182" s="8" t="s">
        <v>51</v>
      </c>
      <c r="M182" s="8" t="s">
        <v>52</v>
      </c>
      <c r="N182" s="8" t="s">
        <v>945</v>
      </c>
      <c r="O182" s="8">
        <f>0+38/60+23.3/3600</f>
        <v>0.63980555555555552</v>
      </c>
      <c r="P182" s="8" t="s">
        <v>946</v>
      </c>
      <c r="Q182" s="8">
        <f>+(29+28/60+24/3600)</f>
        <v>29.473333333333333</v>
      </c>
      <c r="R182" s="8">
        <v>14.9</v>
      </c>
      <c r="S182" s="8">
        <v>15.8</v>
      </c>
      <c r="T182" s="8">
        <v>0.9</v>
      </c>
      <c r="U182" s="8">
        <v>12.6</v>
      </c>
      <c r="V182" s="8">
        <v>0.7</v>
      </c>
      <c r="W182" s="8">
        <v>0.2</v>
      </c>
      <c r="X182" s="8">
        <v>147</v>
      </c>
      <c r="Y182" s="8" t="s">
        <v>947</v>
      </c>
      <c r="Z182" s="8" t="s">
        <v>948</v>
      </c>
    </row>
    <row r="183" spans="1:26" x14ac:dyDescent="0.2">
      <c r="A183" s="8">
        <v>182</v>
      </c>
      <c r="B183" s="8" t="s">
        <v>949</v>
      </c>
      <c r="C183" s="8" t="s">
        <v>949</v>
      </c>
      <c r="F183" s="47" t="s">
        <v>56005</v>
      </c>
      <c r="G183" s="8">
        <v>15</v>
      </c>
      <c r="H183" s="8" t="s">
        <v>21</v>
      </c>
      <c r="I183" s="8" t="s">
        <v>22</v>
      </c>
      <c r="J183" s="8" t="s">
        <v>22</v>
      </c>
      <c r="K183" s="8" t="s">
        <v>154</v>
      </c>
      <c r="L183" s="8" t="s">
        <v>38</v>
      </c>
      <c r="M183" s="8" t="s">
        <v>39</v>
      </c>
      <c r="N183" s="8" t="s">
        <v>950</v>
      </c>
      <c r="O183" s="8">
        <f>0+38/60+12.4/3600</f>
        <v>0.63677777777777778</v>
      </c>
      <c r="P183" s="8" t="s">
        <v>951</v>
      </c>
      <c r="Q183" s="8">
        <f>+(2+43/60+43/3600)</f>
        <v>2.7286111111111113</v>
      </c>
      <c r="R183" s="8">
        <v>12.4</v>
      </c>
      <c r="S183" s="8">
        <v>13.3</v>
      </c>
      <c r="T183" s="8">
        <v>0.9</v>
      </c>
      <c r="U183" s="8">
        <v>13.6</v>
      </c>
      <c r="V183" s="8">
        <v>1.9</v>
      </c>
      <c r="W183" s="8">
        <v>1.6</v>
      </c>
      <c r="X183" s="8">
        <v>75</v>
      </c>
      <c r="Y183" s="8" t="s">
        <v>952</v>
      </c>
      <c r="Z183" s="8" t="s">
        <v>953</v>
      </c>
    </row>
    <row r="184" spans="1:26" x14ac:dyDescent="0.2">
      <c r="A184" s="8">
        <v>183</v>
      </c>
      <c r="B184" s="8" t="s">
        <v>954</v>
      </c>
      <c r="C184" s="8" t="s">
        <v>954</v>
      </c>
      <c r="F184" s="47"/>
      <c r="G184" s="8">
        <v>19</v>
      </c>
      <c r="H184" s="8" t="s">
        <v>21</v>
      </c>
      <c r="I184" s="8" t="s">
        <v>22</v>
      </c>
      <c r="J184" s="8" t="s">
        <v>22</v>
      </c>
      <c r="K184" s="8" t="s">
        <v>50</v>
      </c>
      <c r="L184" s="8" t="s">
        <v>51</v>
      </c>
      <c r="M184" s="8" t="s">
        <v>52</v>
      </c>
      <c r="N184" s="8" t="s">
        <v>955</v>
      </c>
      <c r="O184" s="8">
        <f>0+38/60+29.3/3600</f>
        <v>0.64147222222222222</v>
      </c>
      <c r="P184" s="8" t="s">
        <v>956</v>
      </c>
      <c r="Q184" s="8">
        <f>+(29+30/60+42/3600)</f>
        <v>29.511666666666667</v>
      </c>
      <c r="R184" s="8">
        <v>12.7</v>
      </c>
      <c r="S184" s="8">
        <v>13.7</v>
      </c>
      <c r="T184" s="8">
        <v>1</v>
      </c>
      <c r="U184" s="8">
        <v>14.1</v>
      </c>
      <c r="V184" s="8">
        <v>1.7</v>
      </c>
      <c r="W184" s="8">
        <v>1.1000000000000001</v>
      </c>
      <c r="X184" s="8">
        <v>130</v>
      </c>
      <c r="Y184" s="8" t="s">
        <v>957</v>
      </c>
      <c r="Z184" s="8" t="s">
        <v>958</v>
      </c>
    </row>
    <row r="185" spans="1:26" x14ac:dyDescent="0.2">
      <c r="A185" s="8">
        <v>184</v>
      </c>
      <c r="B185" s="8" t="s">
        <v>959</v>
      </c>
      <c r="C185" s="8" t="s">
        <v>959</v>
      </c>
      <c r="F185" s="47"/>
      <c r="G185" s="8">
        <v>19</v>
      </c>
      <c r="H185" s="8" t="s">
        <v>21</v>
      </c>
      <c r="I185" s="8" t="s">
        <v>22</v>
      </c>
      <c r="J185" s="8" t="s">
        <v>22</v>
      </c>
      <c r="K185" s="8" t="s">
        <v>37</v>
      </c>
      <c r="L185" s="8" t="s">
        <v>51</v>
      </c>
      <c r="M185" s="8" t="s">
        <v>52</v>
      </c>
      <c r="N185" s="8" t="s">
        <v>960</v>
      </c>
      <c r="O185" s="8">
        <f>0+38/60+35.8/3600</f>
        <v>0.64327777777777773</v>
      </c>
      <c r="P185" s="8" t="s">
        <v>961</v>
      </c>
      <c r="Q185" s="8">
        <f>+(29+26/60+51/3600)</f>
        <v>29.447500000000002</v>
      </c>
      <c r="R185" s="8">
        <v>14.7</v>
      </c>
      <c r="S185" s="8">
        <v>15.7</v>
      </c>
      <c r="T185" s="8">
        <v>1</v>
      </c>
      <c r="U185" s="8">
        <v>12.4</v>
      </c>
      <c r="V185" s="8">
        <v>0.7</v>
      </c>
      <c r="W185" s="8">
        <v>0.2</v>
      </c>
      <c r="X185" s="8">
        <v>5</v>
      </c>
      <c r="Y185" s="8" t="s">
        <v>962</v>
      </c>
      <c r="Z185" s="8" t="s">
        <v>963</v>
      </c>
    </row>
    <row r="186" spans="1:26" x14ac:dyDescent="0.2">
      <c r="A186" s="8">
        <v>185</v>
      </c>
      <c r="B186" s="8" t="s">
        <v>964</v>
      </c>
      <c r="C186" s="8" t="s">
        <v>964</v>
      </c>
      <c r="F186" s="47" t="s">
        <v>56006</v>
      </c>
      <c r="G186" s="8">
        <v>2</v>
      </c>
      <c r="H186" s="8" t="s">
        <v>21</v>
      </c>
      <c r="I186" s="8" t="s">
        <v>22</v>
      </c>
      <c r="J186" s="8" t="s">
        <v>22</v>
      </c>
      <c r="K186" s="8" t="s">
        <v>382</v>
      </c>
      <c r="L186" s="8" t="s">
        <v>559</v>
      </c>
      <c r="M186" s="8" t="s">
        <v>560</v>
      </c>
      <c r="N186" s="8" t="s">
        <v>965</v>
      </c>
      <c r="O186" s="8">
        <f>0+38/60+57.6/3600</f>
        <v>0.64933333333333332</v>
      </c>
      <c r="P186" s="8" t="s">
        <v>966</v>
      </c>
      <c r="Q186" s="8">
        <f>+(48+20/60+14/3600)</f>
        <v>48.337222222222223</v>
      </c>
      <c r="R186" s="8">
        <v>9.1999999999999993</v>
      </c>
      <c r="S186" s="8">
        <v>10.1</v>
      </c>
      <c r="T186" s="8">
        <v>0.9</v>
      </c>
      <c r="U186" s="8">
        <v>14.4</v>
      </c>
      <c r="V186" s="8">
        <v>8</v>
      </c>
      <c r="W186" s="8">
        <v>7</v>
      </c>
      <c r="X186" s="8">
        <v>35</v>
      </c>
      <c r="Y186" s="8" t="s">
        <v>967</v>
      </c>
      <c r="Z186" s="8" t="s">
        <v>968</v>
      </c>
    </row>
    <row r="187" spans="1:26" x14ac:dyDescent="0.2">
      <c r="A187" s="8">
        <v>186</v>
      </c>
      <c r="B187" s="8" t="s">
        <v>969</v>
      </c>
      <c r="C187" s="8" t="s">
        <v>969</v>
      </c>
      <c r="F187" s="47"/>
      <c r="G187" s="8">
        <v>18</v>
      </c>
      <c r="H187" s="8" t="s">
        <v>21</v>
      </c>
      <c r="I187" s="8" t="s">
        <v>22</v>
      </c>
      <c r="J187" s="8" t="s">
        <v>22</v>
      </c>
      <c r="K187" s="8" t="s">
        <v>435</v>
      </c>
      <c r="L187" s="8" t="s">
        <v>38</v>
      </c>
      <c r="M187" s="8" t="s">
        <v>39</v>
      </c>
      <c r="N187" s="8" t="s">
        <v>970</v>
      </c>
      <c r="O187" s="8">
        <f>0+38/60+25.2/3600</f>
        <v>0.64033333333333331</v>
      </c>
      <c r="P187" s="8" t="s">
        <v>971</v>
      </c>
      <c r="Q187" s="8">
        <f>+(3+9/60+58/3600)</f>
        <v>3.1661111111111109</v>
      </c>
      <c r="R187" s="8">
        <v>13.4</v>
      </c>
      <c r="S187" s="8">
        <v>14.3</v>
      </c>
      <c r="T187" s="8">
        <v>0.9</v>
      </c>
      <c r="U187" s="8">
        <v>13.4</v>
      </c>
      <c r="V187" s="8">
        <v>1.4</v>
      </c>
      <c r="W187" s="8">
        <v>0.8</v>
      </c>
      <c r="X187" s="8">
        <v>23</v>
      </c>
      <c r="Y187" s="8" t="s">
        <v>972</v>
      </c>
      <c r="Z187" s="8" t="s">
        <v>973</v>
      </c>
    </row>
    <row r="188" spans="1:26" x14ac:dyDescent="0.2">
      <c r="A188" s="8">
        <v>187</v>
      </c>
      <c r="B188" s="8" t="s">
        <v>974</v>
      </c>
      <c r="C188" s="8" t="s">
        <v>974</v>
      </c>
      <c r="F188" s="47"/>
      <c r="G188" s="8">
        <v>19</v>
      </c>
      <c r="H188" s="8" t="s">
        <v>21</v>
      </c>
      <c r="I188" s="8" t="s">
        <v>22</v>
      </c>
      <c r="J188" s="8" t="s">
        <v>22</v>
      </c>
      <c r="K188" s="8" t="s">
        <v>160</v>
      </c>
      <c r="L188" s="8" t="s">
        <v>125</v>
      </c>
      <c r="M188" s="8" t="s">
        <v>126</v>
      </c>
      <c r="N188" s="8" t="s">
        <v>975</v>
      </c>
      <c r="O188" s="8">
        <f>0+39/60+30.2/3600</f>
        <v>0.65838888888888891</v>
      </c>
      <c r="P188" s="8" t="s">
        <v>976</v>
      </c>
      <c r="Q188" s="8">
        <f>-(14+39/60+23/3600)</f>
        <v>-14.656388888888889</v>
      </c>
      <c r="R188" s="8">
        <v>13.2</v>
      </c>
      <c r="S188" s="8">
        <v>13.9</v>
      </c>
      <c r="T188" s="8">
        <v>0.7</v>
      </c>
      <c r="U188" s="8">
        <v>12.6</v>
      </c>
      <c r="V188" s="8">
        <v>1.3</v>
      </c>
      <c r="W188" s="8">
        <v>0.5</v>
      </c>
      <c r="X188" s="8">
        <v>148</v>
      </c>
      <c r="Y188" s="8" t="s">
        <v>977</v>
      </c>
      <c r="Z188" s="8" t="s">
        <v>978</v>
      </c>
    </row>
    <row r="189" spans="1:26" x14ac:dyDescent="0.2">
      <c r="A189" s="8">
        <v>188</v>
      </c>
      <c r="B189" s="8" t="s">
        <v>979</v>
      </c>
      <c r="C189" s="8" t="s">
        <v>979</v>
      </c>
      <c r="F189" s="47"/>
      <c r="G189" s="8">
        <v>2</v>
      </c>
      <c r="H189" s="8" t="s">
        <v>980</v>
      </c>
      <c r="I189" s="8" t="s">
        <v>557</v>
      </c>
      <c r="J189" s="8" t="s">
        <v>557</v>
      </c>
      <c r="K189" s="8" t="s">
        <v>981</v>
      </c>
      <c r="L189" s="8" t="s">
        <v>242</v>
      </c>
      <c r="M189" s="8" t="s">
        <v>243</v>
      </c>
      <c r="N189" s="8" t="s">
        <v>982</v>
      </c>
      <c r="O189" s="8">
        <f>0+47/60+30/3600</f>
        <v>0.79166666666666663</v>
      </c>
      <c r="P189" s="8" t="s">
        <v>983</v>
      </c>
      <c r="Q189" s="8">
        <f>+(85+15/60+30/3600)</f>
        <v>85.25833333333334</v>
      </c>
      <c r="R189" s="8">
        <v>8.1</v>
      </c>
      <c r="S189" s="8">
        <v>99</v>
      </c>
      <c r="T189" s="8">
        <v>99</v>
      </c>
      <c r="U189" s="8">
        <v>99</v>
      </c>
      <c r="V189" s="8">
        <v>15</v>
      </c>
      <c r="Y189" s="8" t="s">
        <v>984</v>
      </c>
      <c r="Z189" s="8" t="s">
        <v>985</v>
      </c>
    </row>
    <row r="190" spans="1:26" x14ac:dyDescent="0.2">
      <c r="A190" s="8">
        <v>189</v>
      </c>
      <c r="B190" s="8" t="s">
        <v>986</v>
      </c>
      <c r="C190" s="8" t="s">
        <v>986</v>
      </c>
      <c r="F190" s="47"/>
      <c r="G190" s="8">
        <v>9</v>
      </c>
      <c r="H190" s="8" t="s">
        <v>21</v>
      </c>
      <c r="I190" s="8" t="s">
        <v>557</v>
      </c>
      <c r="J190" s="8" t="s">
        <v>557</v>
      </c>
      <c r="K190" s="8" t="s">
        <v>987</v>
      </c>
      <c r="L190" s="8" t="s">
        <v>559</v>
      </c>
      <c r="M190" s="8" t="s">
        <v>560</v>
      </c>
      <c r="N190" s="8" t="s">
        <v>988</v>
      </c>
      <c r="O190" s="8">
        <f>0+39/60+35.6/3600</f>
        <v>0.65988888888888886</v>
      </c>
      <c r="P190" s="8" t="s">
        <v>989</v>
      </c>
      <c r="Q190" s="8">
        <f>+(61+5/60+42/3600)</f>
        <v>61.094999999999999</v>
      </c>
      <c r="R190" s="8">
        <v>8.8000000000000007</v>
      </c>
      <c r="S190" s="8">
        <v>99</v>
      </c>
      <c r="T190" s="8">
        <v>99</v>
      </c>
      <c r="U190" s="8">
        <v>99</v>
      </c>
      <c r="V190" s="8">
        <v>5</v>
      </c>
      <c r="Y190" s="8" t="s">
        <v>990</v>
      </c>
      <c r="Z190" s="8" t="s">
        <v>991</v>
      </c>
    </row>
    <row r="191" spans="1:26" x14ac:dyDescent="0.2">
      <c r="A191" s="8">
        <v>190</v>
      </c>
      <c r="B191" s="8" t="s">
        <v>992</v>
      </c>
      <c r="C191" s="8" t="s">
        <v>992</v>
      </c>
      <c r="F191" s="47"/>
      <c r="G191" s="8">
        <v>19</v>
      </c>
      <c r="H191" s="8" t="s">
        <v>21</v>
      </c>
      <c r="I191" s="8" t="s">
        <v>22</v>
      </c>
      <c r="J191" s="8" t="s">
        <v>22</v>
      </c>
      <c r="K191" s="8" t="s">
        <v>31</v>
      </c>
      <c r="L191" s="8" t="s">
        <v>38</v>
      </c>
      <c r="M191" s="8" t="s">
        <v>39</v>
      </c>
      <c r="N191" s="8" t="s">
        <v>993</v>
      </c>
      <c r="O191" s="8">
        <f>0+38/60+54.7/3600</f>
        <v>0.6485277777777777</v>
      </c>
      <c r="P191" s="8" t="s">
        <v>994</v>
      </c>
      <c r="Q191" s="8">
        <f>+(7+3/60+44/3600)</f>
        <v>7.0622222222222222</v>
      </c>
      <c r="R191" s="8">
        <v>14</v>
      </c>
      <c r="S191" s="8">
        <v>14.8</v>
      </c>
      <c r="T191" s="8">
        <v>0.8</v>
      </c>
      <c r="U191" s="8">
        <v>13.4</v>
      </c>
      <c r="V191" s="8">
        <v>0.9</v>
      </c>
      <c r="W191" s="8">
        <v>0.8</v>
      </c>
      <c r="X191" s="8">
        <v>135</v>
      </c>
      <c r="Y191" s="8" t="s">
        <v>995</v>
      </c>
      <c r="Z191" s="8" t="s">
        <v>996</v>
      </c>
    </row>
    <row r="192" spans="1:26" x14ac:dyDescent="0.2">
      <c r="A192" s="8">
        <v>191</v>
      </c>
      <c r="B192" s="8" t="s">
        <v>997</v>
      </c>
      <c r="C192" s="8" t="s">
        <v>997</v>
      </c>
      <c r="F192" s="47" t="s">
        <v>56007</v>
      </c>
      <c r="G192" s="8">
        <v>15</v>
      </c>
      <c r="H192" s="8" t="s">
        <v>21</v>
      </c>
      <c r="I192" s="8" t="s">
        <v>22</v>
      </c>
      <c r="J192" s="8" t="s">
        <v>22</v>
      </c>
      <c r="K192" s="8" t="s">
        <v>520</v>
      </c>
      <c r="L192" s="8" t="s">
        <v>125</v>
      </c>
      <c r="M192" s="8" t="s">
        <v>126</v>
      </c>
      <c r="N192" s="8" t="s">
        <v>998</v>
      </c>
      <c r="O192" s="8">
        <f>0+38/60+59.2/3600</f>
        <v>0.64977777777777779</v>
      </c>
      <c r="P192" s="8" t="s">
        <v>999</v>
      </c>
      <c r="Q192" s="8">
        <f>-(9+0/60+10/3600)</f>
        <v>-9.0027777777777782</v>
      </c>
      <c r="R192" s="8">
        <v>12.5</v>
      </c>
      <c r="S192" s="8">
        <v>13.2</v>
      </c>
      <c r="T192" s="8">
        <v>0.7</v>
      </c>
      <c r="U192" s="8">
        <v>12.8</v>
      </c>
      <c r="V192" s="8">
        <v>1.4</v>
      </c>
      <c r="W192" s="8">
        <v>1.2</v>
      </c>
      <c r="X192" s="8">
        <v>128</v>
      </c>
      <c r="Y192" s="8" t="s">
        <v>1000</v>
      </c>
      <c r="Z192" s="8" t="s">
        <v>1001</v>
      </c>
    </row>
    <row r="193" spans="1:26" x14ac:dyDescent="0.2">
      <c r="A193" s="8">
        <v>192</v>
      </c>
      <c r="B193" s="8" t="s">
        <v>1002</v>
      </c>
      <c r="C193" s="8" t="s">
        <v>1002</v>
      </c>
      <c r="F193" s="47" t="s">
        <v>56008</v>
      </c>
      <c r="G193" s="8">
        <v>15</v>
      </c>
      <c r="H193" s="8" t="s">
        <v>21</v>
      </c>
      <c r="I193" s="8" t="s">
        <v>22</v>
      </c>
      <c r="J193" s="8" t="s">
        <v>22</v>
      </c>
      <c r="K193" s="8" t="s">
        <v>154</v>
      </c>
      <c r="L193" s="8" t="s">
        <v>125</v>
      </c>
      <c r="M193" s="8" t="s">
        <v>126</v>
      </c>
      <c r="N193" s="8" t="s">
        <v>1003</v>
      </c>
      <c r="O193" s="8">
        <f>0+39/60+13.5/3600</f>
        <v>0.65375000000000005</v>
      </c>
      <c r="P193" s="8" t="s">
        <v>1004</v>
      </c>
      <c r="Q193" s="8">
        <f>+(0+51/60+51/3600)</f>
        <v>0.86416666666666664</v>
      </c>
      <c r="R193" s="8">
        <v>12.6</v>
      </c>
      <c r="S193" s="8">
        <v>13.4</v>
      </c>
      <c r="T193" s="8">
        <v>0.8</v>
      </c>
      <c r="U193" s="8">
        <v>13</v>
      </c>
      <c r="V193" s="8">
        <v>1.9</v>
      </c>
      <c r="W193" s="8">
        <v>0.9</v>
      </c>
      <c r="X193" s="8">
        <v>167</v>
      </c>
      <c r="Y193" s="8" t="s">
        <v>1005</v>
      </c>
      <c r="Z193" s="8" t="s">
        <v>1006</v>
      </c>
    </row>
    <row r="194" spans="1:26" x14ac:dyDescent="0.2">
      <c r="A194" s="8">
        <v>193</v>
      </c>
      <c r="B194" s="8" t="s">
        <v>1007</v>
      </c>
      <c r="C194" s="8" t="s">
        <v>1007</v>
      </c>
      <c r="F194" s="47" t="s">
        <v>56009</v>
      </c>
      <c r="G194" s="8">
        <v>15</v>
      </c>
      <c r="H194" s="8" t="s">
        <v>21</v>
      </c>
      <c r="I194" s="8" t="s">
        <v>22</v>
      </c>
      <c r="J194" s="8" t="s">
        <v>22</v>
      </c>
      <c r="K194" s="8" t="s">
        <v>118</v>
      </c>
      <c r="L194" s="8" t="s">
        <v>38</v>
      </c>
      <c r="M194" s="8" t="s">
        <v>39</v>
      </c>
      <c r="N194" s="8" t="s">
        <v>1008</v>
      </c>
      <c r="O194" s="8">
        <f>0+39/60+18.5/3600</f>
        <v>0.65513888888888894</v>
      </c>
      <c r="P194" s="8" t="s">
        <v>1009</v>
      </c>
      <c r="Q194" s="8">
        <f>+(3+19/60+52/3600)</f>
        <v>3.3311111111111109</v>
      </c>
      <c r="R194" s="8">
        <v>12.3</v>
      </c>
      <c r="S194" s="8">
        <v>13.3</v>
      </c>
      <c r="T194" s="8">
        <v>1</v>
      </c>
      <c r="U194" s="8">
        <v>12.7</v>
      </c>
      <c r="V194" s="8">
        <v>1.4</v>
      </c>
      <c r="W194" s="8">
        <v>1.2</v>
      </c>
      <c r="X194" s="8">
        <v>55</v>
      </c>
      <c r="Y194" s="8" t="s">
        <v>1010</v>
      </c>
      <c r="Z194" s="8" t="s">
        <v>1011</v>
      </c>
    </row>
    <row r="195" spans="1:26" x14ac:dyDescent="0.2">
      <c r="A195" s="8">
        <v>194</v>
      </c>
      <c r="B195" s="8" t="s">
        <v>1012</v>
      </c>
      <c r="C195" s="8" t="s">
        <v>1012</v>
      </c>
      <c r="F195" s="47" t="s">
        <v>56010</v>
      </c>
      <c r="G195" s="8">
        <v>15</v>
      </c>
      <c r="H195" s="8" t="s">
        <v>21</v>
      </c>
      <c r="I195" s="8" t="s">
        <v>22</v>
      </c>
      <c r="J195" s="8" t="s">
        <v>22</v>
      </c>
      <c r="K195" s="8" t="s">
        <v>183</v>
      </c>
      <c r="L195" s="8" t="s">
        <v>38</v>
      </c>
      <c r="M195" s="8" t="s">
        <v>39</v>
      </c>
      <c r="N195" s="8" t="s">
        <v>1013</v>
      </c>
      <c r="O195" s="8">
        <f>0+39/60+18.3/3600</f>
        <v>0.65508333333333335</v>
      </c>
      <c r="P195" s="8" t="s">
        <v>1014</v>
      </c>
      <c r="Q195" s="8">
        <f>+(3+2/60+15/3600)</f>
        <v>3.0375000000000001</v>
      </c>
      <c r="R195" s="8">
        <v>12.2</v>
      </c>
      <c r="S195" s="8">
        <v>13.2</v>
      </c>
      <c r="T195" s="8">
        <v>1</v>
      </c>
      <c r="U195" s="8">
        <v>13</v>
      </c>
      <c r="V195" s="8">
        <v>1.6</v>
      </c>
      <c r="W195" s="8">
        <v>1.4</v>
      </c>
      <c r="X195" s="8">
        <v>30</v>
      </c>
      <c r="Y195" s="8" t="s">
        <v>1015</v>
      </c>
      <c r="Z195" s="8" t="s">
        <v>1016</v>
      </c>
    </row>
    <row r="196" spans="1:26" x14ac:dyDescent="0.2">
      <c r="A196" s="8">
        <v>195</v>
      </c>
      <c r="B196" s="8" t="s">
        <v>1017</v>
      </c>
      <c r="C196" s="8" t="s">
        <v>1017</v>
      </c>
      <c r="F196" s="47"/>
      <c r="G196" s="8">
        <v>18</v>
      </c>
      <c r="H196" s="8" t="s">
        <v>21</v>
      </c>
      <c r="I196" s="8" t="s">
        <v>22</v>
      </c>
      <c r="J196" s="8" t="s">
        <v>22</v>
      </c>
      <c r="K196" s="8" t="s">
        <v>154</v>
      </c>
      <c r="L196" s="8" t="s">
        <v>125</v>
      </c>
      <c r="M196" s="8" t="s">
        <v>126</v>
      </c>
      <c r="N196" s="8" t="s">
        <v>1018</v>
      </c>
      <c r="O196" s="8">
        <f>0+39/60+35.7/3600</f>
        <v>0.65991666666666671</v>
      </c>
      <c r="P196" s="8" t="s">
        <v>1019</v>
      </c>
      <c r="Q196" s="8">
        <f>-(9+11/60+39/3600)</f>
        <v>-9.1941666666666677</v>
      </c>
      <c r="R196" s="8">
        <v>13.7</v>
      </c>
      <c r="S196" s="8">
        <v>14.6</v>
      </c>
      <c r="T196" s="8">
        <v>0.9</v>
      </c>
      <c r="U196" s="8">
        <v>13.6</v>
      </c>
      <c r="V196" s="8">
        <v>1.2</v>
      </c>
      <c r="W196" s="8">
        <v>0.9</v>
      </c>
      <c r="X196" s="8">
        <v>45</v>
      </c>
      <c r="Y196" s="8" t="s">
        <v>1020</v>
      </c>
      <c r="Z196" s="8" t="s">
        <v>1021</v>
      </c>
    </row>
    <row r="197" spans="1:26" x14ac:dyDescent="0.2">
      <c r="A197" s="8">
        <v>196</v>
      </c>
      <c r="B197" s="8" t="s">
        <v>1022</v>
      </c>
      <c r="C197" s="8" t="s">
        <v>1022</v>
      </c>
      <c r="F197" s="47" t="s">
        <v>56011</v>
      </c>
      <c r="G197" s="8">
        <v>15</v>
      </c>
      <c r="H197" s="8" t="s">
        <v>21</v>
      </c>
      <c r="I197" s="8" t="s">
        <v>22</v>
      </c>
      <c r="J197" s="8" t="s">
        <v>22</v>
      </c>
      <c r="K197" s="8" t="s">
        <v>224</v>
      </c>
      <c r="L197" s="8" t="s">
        <v>125</v>
      </c>
      <c r="M197" s="8" t="s">
        <v>126</v>
      </c>
      <c r="N197" s="8" t="s">
        <v>1023</v>
      </c>
      <c r="O197" s="8">
        <f>0+39/60+17.8/3600</f>
        <v>0.65494444444444444</v>
      </c>
      <c r="P197" s="8" t="s">
        <v>1024</v>
      </c>
      <c r="Q197" s="8">
        <f>+(0+54/60+47/3600)</f>
        <v>0.91305555555555562</v>
      </c>
      <c r="R197" s="8">
        <v>12.9</v>
      </c>
      <c r="S197" s="8">
        <v>13.8</v>
      </c>
      <c r="T197" s="8">
        <v>0.9</v>
      </c>
      <c r="U197" s="8">
        <v>12.8</v>
      </c>
      <c r="V197" s="8">
        <v>1.3</v>
      </c>
      <c r="W197" s="8">
        <v>0.8</v>
      </c>
      <c r="X197" s="8">
        <v>3</v>
      </c>
      <c r="Y197" s="8" t="s">
        <v>1025</v>
      </c>
      <c r="Z197" s="8" t="s">
        <v>1026</v>
      </c>
    </row>
    <row r="198" spans="1:26" x14ac:dyDescent="0.2">
      <c r="A198" s="8">
        <v>197</v>
      </c>
      <c r="B198" s="8" t="s">
        <v>1027</v>
      </c>
      <c r="C198" s="8" t="s">
        <v>1027</v>
      </c>
      <c r="F198" s="47"/>
      <c r="G198" s="8">
        <v>18</v>
      </c>
      <c r="H198" s="8" t="s">
        <v>21</v>
      </c>
      <c r="I198" s="8" t="s">
        <v>22</v>
      </c>
      <c r="J198" s="8" t="s">
        <v>22</v>
      </c>
      <c r="K198" s="8" t="s">
        <v>37</v>
      </c>
      <c r="L198" s="8" t="s">
        <v>125</v>
      </c>
      <c r="M198" s="8" t="s">
        <v>126</v>
      </c>
      <c r="N198" s="8" t="s">
        <v>1028</v>
      </c>
      <c r="O198" s="8">
        <f>0+39/60+18.7/3600</f>
        <v>0.65519444444444441</v>
      </c>
      <c r="P198" s="8" t="s">
        <v>1029</v>
      </c>
      <c r="Q198" s="8">
        <f>+(0+53/60+33/3600)</f>
        <v>0.89249999999999996</v>
      </c>
      <c r="R198" s="8">
        <v>14.1</v>
      </c>
      <c r="S198" s="8">
        <v>14.8</v>
      </c>
      <c r="T198" s="8">
        <v>0.7</v>
      </c>
      <c r="U198" s="8">
        <v>14</v>
      </c>
      <c r="V198" s="8">
        <v>0.7</v>
      </c>
      <c r="W198" s="8">
        <v>0.7</v>
      </c>
      <c r="Y198" s="8" t="s">
        <v>1030</v>
      </c>
      <c r="Z198" s="8" t="s">
        <v>1031</v>
      </c>
    </row>
    <row r="199" spans="1:26" x14ac:dyDescent="0.2">
      <c r="A199" s="8">
        <v>198</v>
      </c>
      <c r="B199" s="8" t="s">
        <v>1032</v>
      </c>
      <c r="C199" s="8" t="s">
        <v>1032</v>
      </c>
      <c r="F199" s="47" t="s">
        <v>56012</v>
      </c>
      <c r="G199" s="8">
        <v>6.5</v>
      </c>
      <c r="H199" s="8" t="s">
        <v>21</v>
      </c>
      <c r="I199" s="8" t="s">
        <v>22</v>
      </c>
      <c r="J199" s="8" t="s">
        <v>22</v>
      </c>
      <c r="K199" s="8" t="s">
        <v>160</v>
      </c>
      <c r="L199" s="8" t="s">
        <v>38</v>
      </c>
      <c r="M199" s="8" t="s">
        <v>39</v>
      </c>
      <c r="N199" s="8" t="s">
        <v>1033</v>
      </c>
      <c r="O199" s="8">
        <f>0+39/60+22.9/3600</f>
        <v>0.65636111111111117</v>
      </c>
      <c r="P199" s="8" t="s">
        <v>1034</v>
      </c>
      <c r="Q199" s="8">
        <f>+(2+47/60+54/3600)</f>
        <v>2.7983333333333333</v>
      </c>
      <c r="R199" s="8">
        <v>13.2</v>
      </c>
      <c r="S199" s="8">
        <v>13.9</v>
      </c>
      <c r="T199" s="8">
        <v>0.7</v>
      </c>
      <c r="U199" s="8">
        <v>13.4</v>
      </c>
      <c r="V199" s="8">
        <v>1.2</v>
      </c>
      <c r="W199" s="8">
        <v>1.2</v>
      </c>
      <c r="Y199" s="8" t="s">
        <v>1035</v>
      </c>
      <c r="Z199" s="8" t="s">
        <v>1036</v>
      </c>
    </row>
    <row r="200" spans="1:26" x14ac:dyDescent="0.2">
      <c r="A200" s="8">
        <v>199</v>
      </c>
      <c r="B200" s="8" t="s">
        <v>1037</v>
      </c>
      <c r="C200" s="8" t="s">
        <v>1037</v>
      </c>
      <c r="F200" s="47"/>
      <c r="G200" s="8">
        <v>18</v>
      </c>
      <c r="H200" s="8" t="s">
        <v>21</v>
      </c>
      <c r="I200" s="8" t="s">
        <v>22</v>
      </c>
      <c r="J200" s="8" t="s">
        <v>22</v>
      </c>
      <c r="K200" s="8" t="s">
        <v>37</v>
      </c>
      <c r="L200" s="8" t="s">
        <v>38</v>
      </c>
      <c r="M200" s="8" t="s">
        <v>39</v>
      </c>
      <c r="N200" s="8" t="s">
        <v>1038</v>
      </c>
      <c r="O200" s="8">
        <f>0+39/60+33.1/3600</f>
        <v>0.65919444444444442</v>
      </c>
      <c r="P200" s="8" t="s">
        <v>1039</v>
      </c>
      <c r="Q200" s="8">
        <f>+(3+8/60+17/3600)</f>
        <v>3.1380555555555554</v>
      </c>
      <c r="R200" s="8">
        <v>13.6</v>
      </c>
      <c r="S200" s="8">
        <v>14.6</v>
      </c>
      <c r="T200" s="8">
        <v>1</v>
      </c>
      <c r="U200" s="8">
        <v>13.3</v>
      </c>
      <c r="V200" s="8">
        <v>1.2</v>
      </c>
      <c r="W200" s="8">
        <v>0.7</v>
      </c>
      <c r="X200" s="8">
        <v>160</v>
      </c>
      <c r="Y200" s="8" t="s">
        <v>1040</v>
      </c>
      <c r="Z200" s="8" t="s">
        <v>1041</v>
      </c>
    </row>
    <row r="201" spans="1:26" x14ac:dyDescent="0.2">
      <c r="A201" s="8">
        <v>200</v>
      </c>
      <c r="B201" s="8" t="s">
        <v>1042</v>
      </c>
      <c r="C201" s="8" t="s">
        <v>1042</v>
      </c>
      <c r="F201" s="47" t="s">
        <v>56013</v>
      </c>
      <c r="G201" s="8">
        <v>15</v>
      </c>
      <c r="H201" s="8" t="s">
        <v>21</v>
      </c>
      <c r="I201" s="8" t="s">
        <v>22</v>
      </c>
      <c r="J201" s="8" t="s">
        <v>22</v>
      </c>
      <c r="K201" s="8" t="s">
        <v>85</v>
      </c>
      <c r="L201" s="8" t="s">
        <v>38</v>
      </c>
      <c r="M201" s="8" t="s">
        <v>39</v>
      </c>
      <c r="N201" s="8" t="s">
        <v>1043</v>
      </c>
      <c r="O201" s="8">
        <f>0+39/60+34.7/3600</f>
        <v>0.65963888888888889</v>
      </c>
      <c r="P201" s="8" t="s">
        <v>1044</v>
      </c>
      <c r="Q201" s="8">
        <f>+(2+53/60+13/3600)</f>
        <v>2.8869444444444445</v>
      </c>
      <c r="R201" s="8">
        <v>12.6</v>
      </c>
      <c r="S201" s="8">
        <v>13.5</v>
      </c>
      <c r="T201" s="8">
        <v>0.9</v>
      </c>
      <c r="U201" s="8">
        <v>13.1</v>
      </c>
      <c r="V201" s="8">
        <v>1.7</v>
      </c>
      <c r="W201" s="8">
        <v>1</v>
      </c>
      <c r="X201" s="8">
        <v>161</v>
      </c>
      <c r="Y201" s="8" t="s">
        <v>1045</v>
      </c>
      <c r="Z201" s="8" t="s">
        <v>1046</v>
      </c>
    </row>
    <row r="202" spans="1:26" x14ac:dyDescent="0.2">
      <c r="A202" s="8">
        <v>201</v>
      </c>
      <c r="B202" s="8" t="s">
        <v>1047</v>
      </c>
      <c r="C202" s="8" t="s">
        <v>1047</v>
      </c>
      <c r="F202" s="47" t="s">
        <v>56014</v>
      </c>
      <c r="G202" s="8">
        <v>15</v>
      </c>
      <c r="H202" s="8" t="s">
        <v>21</v>
      </c>
      <c r="I202" s="8" t="s">
        <v>22</v>
      </c>
      <c r="J202" s="8" t="s">
        <v>22</v>
      </c>
      <c r="K202" s="8" t="s">
        <v>64</v>
      </c>
      <c r="L202" s="8" t="s">
        <v>125</v>
      </c>
      <c r="M202" s="8" t="s">
        <v>126</v>
      </c>
      <c r="N202" s="8" t="s">
        <v>1048</v>
      </c>
      <c r="O202" s="8">
        <f>0+39/60+34.9/3600</f>
        <v>0.65969444444444447</v>
      </c>
      <c r="P202" s="8" t="s">
        <v>1049</v>
      </c>
      <c r="Q202" s="8">
        <f>+(0+51/60+37/3600)</f>
        <v>0.86027777777777781</v>
      </c>
      <c r="R202" s="8">
        <v>12.9</v>
      </c>
      <c r="S202" s="8">
        <v>13.6</v>
      </c>
      <c r="T202" s="8">
        <v>0.7</v>
      </c>
      <c r="U202" s="8">
        <v>13.8</v>
      </c>
      <c r="V202" s="8">
        <v>1.8</v>
      </c>
      <c r="W202" s="8">
        <v>1.5</v>
      </c>
      <c r="X202" s="8">
        <v>155</v>
      </c>
      <c r="Y202" s="8" t="s">
        <v>1050</v>
      </c>
      <c r="Z202" s="8" t="s">
        <v>1051</v>
      </c>
    </row>
    <row r="203" spans="1:26" x14ac:dyDescent="0.2">
      <c r="A203" s="8">
        <v>202</v>
      </c>
      <c r="B203" s="8" t="s">
        <v>1052</v>
      </c>
      <c r="C203" s="8" t="s">
        <v>1052</v>
      </c>
      <c r="F203" s="47"/>
      <c r="G203" s="8">
        <v>18</v>
      </c>
      <c r="H203" s="8" t="s">
        <v>21</v>
      </c>
      <c r="I203" s="8" t="s">
        <v>22</v>
      </c>
      <c r="J203" s="8" t="s">
        <v>22</v>
      </c>
      <c r="K203" s="8" t="s">
        <v>632</v>
      </c>
      <c r="L203" s="8" t="s">
        <v>38</v>
      </c>
      <c r="M203" s="8" t="s">
        <v>39</v>
      </c>
      <c r="N203" s="8" t="s">
        <v>1053</v>
      </c>
      <c r="O203" s="8">
        <f>0+39/60+39.7/3600</f>
        <v>0.66102777777777777</v>
      </c>
      <c r="P203" s="8" t="s">
        <v>1054</v>
      </c>
      <c r="Q203" s="8">
        <f>+(3+32/60+8/3600)</f>
        <v>3.5355555555555553</v>
      </c>
      <c r="R203" s="8">
        <v>14.3</v>
      </c>
      <c r="S203" s="8">
        <v>15.2</v>
      </c>
      <c r="T203" s="8">
        <v>0.9</v>
      </c>
      <c r="U203" s="8">
        <v>13.2</v>
      </c>
      <c r="V203" s="8">
        <v>0.9</v>
      </c>
      <c r="W203" s="8">
        <v>0.3</v>
      </c>
      <c r="X203" s="8">
        <v>153</v>
      </c>
      <c r="Y203" s="8" t="s">
        <v>1055</v>
      </c>
      <c r="Z203" s="8" t="s">
        <v>1056</v>
      </c>
    </row>
    <row r="204" spans="1:26" x14ac:dyDescent="0.2">
      <c r="A204" s="8">
        <v>203</v>
      </c>
      <c r="B204" s="8" t="s">
        <v>1057</v>
      </c>
      <c r="C204" s="8" t="s">
        <v>1057</v>
      </c>
      <c r="F204" s="47"/>
      <c r="G204" s="8">
        <v>18</v>
      </c>
      <c r="H204" s="8" t="s">
        <v>21</v>
      </c>
      <c r="I204" s="8" t="s">
        <v>22</v>
      </c>
      <c r="J204" s="8" t="s">
        <v>22</v>
      </c>
      <c r="K204" s="8" t="s">
        <v>37</v>
      </c>
      <c r="L204" s="8" t="s">
        <v>38</v>
      </c>
      <c r="M204" s="8" t="s">
        <v>39</v>
      </c>
      <c r="N204" s="8" t="s">
        <v>1058</v>
      </c>
      <c r="O204" s="8">
        <f>0+39/60+39.5/3600</f>
        <v>0.66097222222222229</v>
      </c>
      <c r="P204" s="8" t="s">
        <v>1059</v>
      </c>
      <c r="Q204" s="8">
        <f>+(3+26/60+33/3600)</f>
        <v>3.4425000000000003</v>
      </c>
      <c r="R204" s="8">
        <v>14</v>
      </c>
      <c r="S204" s="8">
        <v>15</v>
      </c>
      <c r="T204" s="8">
        <v>1</v>
      </c>
      <c r="U204" s="8">
        <v>12.4</v>
      </c>
      <c r="V204" s="8">
        <v>0.9</v>
      </c>
      <c r="W204" s="8">
        <v>0.3</v>
      </c>
      <c r="X204" s="8">
        <v>85</v>
      </c>
      <c r="Y204" s="8" t="s">
        <v>1060</v>
      </c>
      <c r="Z204" s="8" t="s">
        <v>1061</v>
      </c>
    </row>
    <row r="205" spans="1:26" x14ac:dyDescent="0.2">
      <c r="A205" s="8">
        <v>204</v>
      </c>
      <c r="B205" s="8" t="s">
        <v>1062</v>
      </c>
      <c r="C205" s="8" t="s">
        <v>1062</v>
      </c>
      <c r="F205" s="47"/>
      <c r="G205" s="8">
        <v>16</v>
      </c>
      <c r="H205" s="8" t="s">
        <v>21</v>
      </c>
      <c r="I205" s="8" t="s">
        <v>22</v>
      </c>
      <c r="J205" s="8" t="s">
        <v>22</v>
      </c>
      <c r="K205" s="8" t="s">
        <v>37</v>
      </c>
      <c r="L205" s="8" t="s">
        <v>38</v>
      </c>
      <c r="M205" s="8" t="s">
        <v>39</v>
      </c>
      <c r="N205" s="8" t="s">
        <v>1063</v>
      </c>
      <c r="O205" s="8">
        <f>0+39/60+44.2/3600</f>
        <v>0.66227777777777785</v>
      </c>
      <c r="P205" s="8" t="s">
        <v>1064</v>
      </c>
      <c r="Q205" s="8">
        <f>+(3+18/60+0/3600)</f>
        <v>3.3</v>
      </c>
      <c r="R205" s="8">
        <v>12.9</v>
      </c>
      <c r="S205" s="8">
        <v>13.8</v>
      </c>
      <c r="T205" s="8">
        <v>0.9</v>
      </c>
      <c r="U205" s="8">
        <v>13.1</v>
      </c>
      <c r="V205" s="8">
        <v>1.2</v>
      </c>
      <c r="W205" s="8">
        <v>1.1000000000000001</v>
      </c>
      <c r="X205" s="8">
        <v>30</v>
      </c>
      <c r="Y205" s="8" t="s">
        <v>1065</v>
      </c>
      <c r="Z205" s="8" t="s">
        <v>1066</v>
      </c>
    </row>
    <row r="206" spans="1:26" x14ac:dyDescent="0.2">
      <c r="A206" s="8">
        <v>205</v>
      </c>
      <c r="B206" s="8" t="s">
        <v>1067</v>
      </c>
      <c r="C206" s="8" t="s">
        <v>55861</v>
      </c>
      <c r="F206" s="47" t="s">
        <v>56015</v>
      </c>
      <c r="G206" s="8">
        <v>1</v>
      </c>
      <c r="H206" s="8" t="s">
        <v>21</v>
      </c>
      <c r="I206" s="8" t="s">
        <v>22</v>
      </c>
      <c r="J206" s="8" t="s">
        <v>22</v>
      </c>
      <c r="K206" s="8" t="s">
        <v>1068</v>
      </c>
      <c r="L206" s="8" t="s">
        <v>51</v>
      </c>
      <c r="M206" s="8" t="s">
        <v>52</v>
      </c>
      <c r="N206" s="8" t="s">
        <v>1069</v>
      </c>
      <c r="O206" s="8">
        <f>0+40/60+22.1/3600</f>
        <v>0.67280555555555555</v>
      </c>
      <c r="P206" s="8" t="s">
        <v>1070</v>
      </c>
      <c r="Q206" s="8">
        <f>+(41+41/60+7/3600)</f>
        <v>41.685277777777777</v>
      </c>
      <c r="R206" s="8">
        <v>8.1</v>
      </c>
      <c r="S206" s="8">
        <v>8.9</v>
      </c>
      <c r="T206" s="8">
        <v>0.8</v>
      </c>
      <c r="U206" s="8">
        <v>14</v>
      </c>
      <c r="V206" s="8">
        <v>19.5</v>
      </c>
      <c r="W206" s="8">
        <v>11.5</v>
      </c>
      <c r="X206" s="8">
        <v>170</v>
      </c>
      <c r="Y206" s="8" t="s">
        <v>1071</v>
      </c>
      <c r="Z206" s="8" t="s">
        <v>1072</v>
      </c>
    </row>
    <row r="207" spans="1:26" x14ac:dyDescent="0.2">
      <c r="A207" s="8">
        <v>206</v>
      </c>
      <c r="B207" s="8" t="s">
        <v>1073</v>
      </c>
      <c r="C207" s="8" t="s">
        <v>1073</v>
      </c>
      <c r="F207" s="47" t="s">
        <v>56016</v>
      </c>
      <c r="G207" s="8">
        <v>6.5</v>
      </c>
      <c r="H207" s="8" t="s">
        <v>1074</v>
      </c>
      <c r="I207" s="8" t="s">
        <v>1075</v>
      </c>
      <c r="J207" s="8" t="s">
        <v>1075</v>
      </c>
      <c r="K207" s="8" t="s">
        <v>1075</v>
      </c>
      <c r="L207" s="8" t="s">
        <v>51</v>
      </c>
      <c r="M207" s="8" t="s">
        <v>52</v>
      </c>
      <c r="N207" s="8" t="s">
        <v>1076</v>
      </c>
      <c r="O207" s="8">
        <f>0+40/60+32.3/3600</f>
        <v>0.6756388888888889</v>
      </c>
      <c r="P207" s="8" t="s">
        <v>1077</v>
      </c>
      <c r="Q207" s="8">
        <f>+(40+44/60+18/3600)</f>
        <v>40.738333333333337</v>
      </c>
      <c r="R207" s="8">
        <v>14</v>
      </c>
      <c r="S207" s="8">
        <v>99</v>
      </c>
      <c r="T207" s="8">
        <v>99</v>
      </c>
      <c r="U207" s="8">
        <v>99</v>
      </c>
      <c r="V207" s="8">
        <v>4.2</v>
      </c>
      <c r="Y207" s="8" t="s">
        <v>1078</v>
      </c>
      <c r="Z207" s="8" t="s">
        <v>1079</v>
      </c>
    </row>
    <row r="208" spans="1:26" x14ac:dyDescent="0.2">
      <c r="A208" s="8">
        <v>207</v>
      </c>
      <c r="B208" s="8" t="s">
        <v>1080</v>
      </c>
      <c r="C208" s="8" t="s">
        <v>1080</v>
      </c>
      <c r="F208" s="47"/>
      <c r="G208" s="8">
        <v>18</v>
      </c>
      <c r="H208" s="8" t="s">
        <v>21</v>
      </c>
      <c r="I208" s="8" t="s">
        <v>22</v>
      </c>
      <c r="J208" s="8" t="s">
        <v>22</v>
      </c>
      <c r="K208" s="8" t="s">
        <v>91</v>
      </c>
      <c r="L208" s="8" t="s">
        <v>125</v>
      </c>
      <c r="M208" s="8" t="s">
        <v>126</v>
      </c>
      <c r="N208" s="8" t="s">
        <v>1081</v>
      </c>
      <c r="O208" s="8">
        <f>0+39/60+40.7/3600</f>
        <v>0.66130555555555559</v>
      </c>
      <c r="P208" s="8" t="s">
        <v>1082</v>
      </c>
      <c r="Q208" s="8">
        <f>-(14+14/60+11/3600)</f>
        <v>-14.236388888888888</v>
      </c>
      <c r="R208" s="8">
        <v>13.7</v>
      </c>
      <c r="S208" s="8">
        <v>14.6</v>
      </c>
      <c r="T208" s="8">
        <v>0.9</v>
      </c>
      <c r="U208" s="8">
        <v>12.4</v>
      </c>
      <c r="V208" s="8">
        <v>0.9</v>
      </c>
      <c r="W208" s="8">
        <v>0.4</v>
      </c>
      <c r="X208" s="8">
        <v>85</v>
      </c>
      <c r="Y208" s="8" t="s">
        <v>1083</v>
      </c>
      <c r="Z208" s="8" t="s">
        <v>1084</v>
      </c>
    </row>
    <row r="209" spans="1:26" x14ac:dyDescent="0.2">
      <c r="A209" s="8">
        <v>208</v>
      </c>
      <c r="B209" s="8" t="s">
        <v>1085</v>
      </c>
      <c r="C209" s="8" t="s">
        <v>1085</v>
      </c>
      <c r="F209" s="47"/>
      <c r="G209" s="8">
        <v>18</v>
      </c>
      <c r="H209" s="8" t="s">
        <v>21</v>
      </c>
      <c r="I209" s="8" t="s">
        <v>22</v>
      </c>
      <c r="J209" s="8" t="s">
        <v>22</v>
      </c>
      <c r="K209" s="8" t="s">
        <v>91</v>
      </c>
      <c r="L209" s="8" t="s">
        <v>38</v>
      </c>
      <c r="M209" s="8" t="s">
        <v>39</v>
      </c>
      <c r="N209" s="8" t="s">
        <v>1086</v>
      </c>
      <c r="O209" s="8">
        <f>0+40/60+17.4/3600</f>
        <v>0.67149999999999999</v>
      </c>
      <c r="P209" s="8" t="s">
        <v>1087</v>
      </c>
      <c r="Q209" s="8">
        <f>+(2+45/60+21/3600)</f>
        <v>2.7558333333333334</v>
      </c>
      <c r="R209" s="8">
        <v>14.3</v>
      </c>
      <c r="S209" s="8">
        <v>15.2</v>
      </c>
      <c r="T209" s="8">
        <v>0.9</v>
      </c>
      <c r="U209" s="8">
        <v>13.3</v>
      </c>
      <c r="V209" s="8">
        <v>0.7</v>
      </c>
      <c r="W209" s="8">
        <v>0.7</v>
      </c>
      <c r="Y209" s="8" t="s">
        <v>1088</v>
      </c>
      <c r="Z209" s="8" t="s">
        <v>1089</v>
      </c>
    </row>
    <row r="210" spans="1:26" x14ac:dyDescent="0.2">
      <c r="A210" s="8">
        <v>209</v>
      </c>
      <c r="B210" s="8" t="s">
        <v>1090</v>
      </c>
      <c r="C210" s="8" t="s">
        <v>1090</v>
      </c>
      <c r="F210" s="47"/>
      <c r="G210" s="8">
        <v>19</v>
      </c>
      <c r="H210" s="8" t="s">
        <v>21</v>
      </c>
      <c r="I210" s="8" t="s">
        <v>22</v>
      </c>
      <c r="J210" s="8" t="s">
        <v>22</v>
      </c>
      <c r="K210" s="8" t="s">
        <v>58</v>
      </c>
      <c r="L210" s="8" t="s">
        <v>125</v>
      </c>
      <c r="M210" s="8" t="s">
        <v>126</v>
      </c>
      <c r="N210" s="8" t="s">
        <v>1091</v>
      </c>
      <c r="O210" s="8">
        <f>0+39/60+3.5/3600</f>
        <v>0.65097222222222229</v>
      </c>
      <c r="P210" s="8" t="s">
        <v>1092</v>
      </c>
      <c r="Q210" s="8">
        <f>-(18+36/60+30/3600)</f>
        <v>-18.608333333333334</v>
      </c>
      <c r="R210" s="8">
        <v>12.9</v>
      </c>
      <c r="S210" s="8">
        <v>13.9</v>
      </c>
      <c r="T210" s="8">
        <v>1</v>
      </c>
      <c r="U210" s="8">
        <v>13</v>
      </c>
      <c r="V210" s="8">
        <v>1.1000000000000001</v>
      </c>
      <c r="W210" s="8">
        <v>1.1000000000000001</v>
      </c>
      <c r="Y210" s="8" t="s">
        <v>115</v>
      </c>
      <c r="Z210" s="8" t="s">
        <v>116</v>
      </c>
    </row>
    <row r="211" spans="1:26" x14ac:dyDescent="0.2">
      <c r="A211" s="8">
        <v>210</v>
      </c>
      <c r="B211" s="8" t="s">
        <v>1093</v>
      </c>
      <c r="C211" s="8" t="s">
        <v>1093</v>
      </c>
      <c r="F211" s="47" t="s">
        <v>56017</v>
      </c>
      <c r="G211" s="8">
        <v>13</v>
      </c>
      <c r="H211" s="8" t="s">
        <v>21</v>
      </c>
      <c r="I211" s="8" t="s">
        <v>22</v>
      </c>
      <c r="J211" s="8" t="s">
        <v>22</v>
      </c>
      <c r="K211" s="8" t="s">
        <v>218</v>
      </c>
      <c r="L211" s="8" t="s">
        <v>125</v>
      </c>
      <c r="M211" s="8" t="s">
        <v>126</v>
      </c>
      <c r="N211" s="8" t="s">
        <v>1094</v>
      </c>
      <c r="O211" s="8">
        <f>0+40/60+34.8/3600</f>
        <v>0.67633333333333334</v>
      </c>
      <c r="P211" s="8" t="s">
        <v>1095</v>
      </c>
      <c r="Q211" s="8">
        <f>-(13+52/60+21/3600)</f>
        <v>-13.8725</v>
      </c>
      <c r="R211" s="8">
        <v>10.9</v>
      </c>
      <c r="S211" s="8">
        <v>11.6</v>
      </c>
      <c r="T211" s="8">
        <v>0.7</v>
      </c>
      <c r="U211" s="8">
        <v>13.8</v>
      </c>
      <c r="V211" s="8">
        <v>5</v>
      </c>
      <c r="W211" s="8">
        <v>3.3</v>
      </c>
      <c r="X211" s="8">
        <v>160</v>
      </c>
      <c r="Y211" s="8" t="s">
        <v>1096</v>
      </c>
      <c r="Z211" s="8" t="s">
        <v>1097</v>
      </c>
    </row>
    <row r="212" spans="1:26" x14ac:dyDescent="0.2">
      <c r="A212" s="8">
        <v>211</v>
      </c>
      <c r="B212" s="8" t="s">
        <v>1098</v>
      </c>
      <c r="C212" s="8" t="s">
        <v>1098</v>
      </c>
      <c r="F212" s="47"/>
      <c r="G212" s="8">
        <v>18</v>
      </c>
      <c r="H212" s="8" t="s">
        <v>21</v>
      </c>
      <c r="I212" s="8" t="s">
        <v>22</v>
      </c>
      <c r="J212" s="8" t="s">
        <v>57</v>
      </c>
      <c r="K212" s="8" t="s">
        <v>37</v>
      </c>
      <c r="L212" s="8" t="s">
        <v>38</v>
      </c>
      <c r="M212" s="8" t="s">
        <v>39</v>
      </c>
      <c r="N212" s="8" t="s">
        <v>1058</v>
      </c>
      <c r="O212" s="8">
        <f>0+39/60+39.5/3600</f>
        <v>0.66097222222222229</v>
      </c>
      <c r="P212" s="8" t="s">
        <v>1059</v>
      </c>
      <c r="Q212" s="8">
        <f>+(3+26/60+33/3600)</f>
        <v>3.4425000000000003</v>
      </c>
      <c r="R212" s="8">
        <v>14</v>
      </c>
      <c r="S212" s="8">
        <v>15</v>
      </c>
      <c r="T212" s="8">
        <v>1</v>
      </c>
      <c r="U212" s="8">
        <v>12.4</v>
      </c>
      <c r="V212" s="8">
        <v>0.9</v>
      </c>
      <c r="W212" s="8">
        <v>0.3</v>
      </c>
      <c r="X212" s="8">
        <v>85</v>
      </c>
      <c r="Y212" s="8" t="s">
        <v>1060</v>
      </c>
      <c r="Z212" s="8" t="s">
        <v>1099</v>
      </c>
    </row>
    <row r="213" spans="1:26" x14ac:dyDescent="0.2">
      <c r="A213" s="8">
        <v>212</v>
      </c>
      <c r="B213" s="8" t="s">
        <v>1100</v>
      </c>
      <c r="C213" s="8" t="s">
        <v>1100</v>
      </c>
      <c r="F213" s="47"/>
      <c r="G213" s="8">
        <v>16</v>
      </c>
      <c r="H213" s="8" t="s">
        <v>21</v>
      </c>
      <c r="I213" s="8" t="s">
        <v>22</v>
      </c>
      <c r="J213" s="8" t="s">
        <v>22</v>
      </c>
      <c r="K213" s="8" t="s">
        <v>58</v>
      </c>
      <c r="L213" s="8" t="s">
        <v>166</v>
      </c>
      <c r="M213" s="8" t="s">
        <v>167</v>
      </c>
      <c r="N213" s="8" t="s">
        <v>1101</v>
      </c>
      <c r="O213" s="8">
        <f>0+40/60+13.4/3600</f>
        <v>0.67038888888888881</v>
      </c>
      <c r="P213" s="8" t="s">
        <v>1102</v>
      </c>
      <c r="Q213" s="8">
        <f>-(56+9/60+9/3600)</f>
        <v>-56.152499999999996</v>
      </c>
      <c r="R213" s="8">
        <v>13.3</v>
      </c>
      <c r="S213" s="8">
        <v>14.3</v>
      </c>
      <c r="T213" s="8">
        <v>1</v>
      </c>
      <c r="U213" s="8">
        <v>13.1</v>
      </c>
      <c r="V213" s="8">
        <v>1</v>
      </c>
      <c r="W213" s="8">
        <v>0.9</v>
      </c>
      <c r="X213" s="8">
        <v>131</v>
      </c>
      <c r="Y213" s="8" t="s">
        <v>1103</v>
      </c>
      <c r="Z213" s="8" t="s">
        <v>1104</v>
      </c>
    </row>
    <row r="214" spans="1:26" x14ac:dyDescent="0.2">
      <c r="A214" s="8">
        <v>213</v>
      </c>
      <c r="B214" s="8" t="s">
        <v>1105</v>
      </c>
      <c r="C214" s="8" t="s">
        <v>1105</v>
      </c>
      <c r="F214" s="47" t="s">
        <v>56018</v>
      </c>
      <c r="G214" s="8">
        <v>15</v>
      </c>
      <c r="H214" s="8" t="s">
        <v>21</v>
      </c>
      <c r="I214" s="8" t="s">
        <v>22</v>
      </c>
      <c r="J214" s="8" t="s">
        <v>22</v>
      </c>
      <c r="K214" s="8" t="s">
        <v>154</v>
      </c>
      <c r="L214" s="8" t="s">
        <v>38</v>
      </c>
      <c r="M214" s="8" t="s">
        <v>39</v>
      </c>
      <c r="N214" s="8" t="s">
        <v>1106</v>
      </c>
      <c r="O214" s="8">
        <f>0+41/60+9.9/3600</f>
        <v>0.68608333333333338</v>
      </c>
      <c r="P214" s="8" t="s">
        <v>1107</v>
      </c>
      <c r="Q214" s="8">
        <f>+(16+28/60+11/3600)</f>
        <v>16.46972222222222</v>
      </c>
      <c r="R214" s="8">
        <v>13.5</v>
      </c>
      <c r="S214" s="8">
        <v>14.4</v>
      </c>
      <c r="T214" s="8">
        <v>0.9</v>
      </c>
      <c r="U214" s="8">
        <v>14</v>
      </c>
      <c r="V214" s="8">
        <v>1.5</v>
      </c>
      <c r="W214" s="8">
        <v>1.2</v>
      </c>
      <c r="X214" s="8">
        <v>102</v>
      </c>
      <c r="Y214" s="8" t="s">
        <v>1108</v>
      </c>
      <c r="Z214" s="8" t="s">
        <v>1109</v>
      </c>
    </row>
    <row r="215" spans="1:26" x14ac:dyDescent="0.2">
      <c r="A215" s="8">
        <v>214</v>
      </c>
      <c r="B215" s="8" t="s">
        <v>1110</v>
      </c>
      <c r="C215" s="8" t="s">
        <v>1110</v>
      </c>
      <c r="F215" s="47" t="s">
        <v>56019</v>
      </c>
      <c r="G215" s="8">
        <v>6.5</v>
      </c>
      <c r="H215" s="8" t="s">
        <v>21</v>
      </c>
      <c r="I215" s="8" t="s">
        <v>22</v>
      </c>
      <c r="J215" s="8" t="s">
        <v>22</v>
      </c>
      <c r="K215" s="8" t="s">
        <v>64</v>
      </c>
      <c r="L215" s="8" t="s">
        <v>51</v>
      </c>
      <c r="M215" s="8" t="s">
        <v>52</v>
      </c>
      <c r="N215" s="8" t="s">
        <v>1111</v>
      </c>
      <c r="O215" s="8">
        <f>0+41/60+28/3600</f>
        <v>0.69111111111111112</v>
      </c>
      <c r="P215" s="8" t="s">
        <v>1112</v>
      </c>
      <c r="Q215" s="8">
        <f>+(25+29/60+58/3600)</f>
        <v>25.499444444444446</v>
      </c>
      <c r="R215" s="8">
        <v>12.3</v>
      </c>
      <c r="S215" s="8">
        <v>13</v>
      </c>
      <c r="T215" s="8">
        <v>0.7</v>
      </c>
      <c r="U215" s="8">
        <v>13.1</v>
      </c>
      <c r="V215" s="8">
        <v>1.9</v>
      </c>
      <c r="W215" s="8">
        <v>1.5</v>
      </c>
      <c r="X215" s="8">
        <v>35</v>
      </c>
      <c r="Y215" s="8" t="s">
        <v>1113</v>
      </c>
      <c r="Z215" s="8" t="s">
        <v>1114</v>
      </c>
    </row>
    <row r="216" spans="1:26" x14ac:dyDescent="0.2">
      <c r="A216" s="8">
        <v>215</v>
      </c>
      <c r="B216" s="8" t="s">
        <v>1115</v>
      </c>
      <c r="C216" s="8" t="s">
        <v>1115</v>
      </c>
      <c r="F216" s="47"/>
      <c r="G216" s="8">
        <v>16</v>
      </c>
      <c r="H216" s="8" t="s">
        <v>21</v>
      </c>
      <c r="I216" s="8" t="s">
        <v>22</v>
      </c>
      <c r="J216" s="8" t="s">
        <v>22</v>
      </c>
      <c r="K216" s="8" t="s">
        <v>58</v>
      </c>
      <c r="L216" s="8" t="s">
        <v>166</v>
      </c>
      <c r="M216" s="8" t="s">
        <v>167</v>
      </c>
      <c r="N216" s="8" t="s">
        <v>1116</v>
      </c>
      <c r="O216" s="8">
        <f>0+40/60+48.9/3600</f>
        <v>0.68024999999999991</v>
      </c>
      <c r="P216" s="8" t="s">
        <v>1117</v>
      </c>
      <c r="Q216" s="8">
        <f>-(56+12/60+51/3600)</f>
        <v>-56.214166666666671</v>
      </c>
      <c r="R216" s="8">
        <v>13</v>
      </c>
      <c r="S216" s="8">
        <v>14</v>
      </c>
      <c r="T216" s="8">
        <v>1</v>
      </c>
      <c r="U216" s="8">
        <v>12.8</v>
      </c>
      <c r="V216" s="8">
        <v>1.1000000000000001</v>
      </c>
      <c r="W216" s="8">
        <v>0.9</v>
      </c>
      <c r="X216" s="8">
        <v>120</v>
      </c>
      <c r="Y216" s="8" t="s">
        <v>1118</v>
      </c>
      <c r="Z216" s="8" t="s">
        <v>1119</v>
      </c>
    </row>
    <row r="217" spans="1:26" x14ac:dyDescent="0.2">
      <c r="A217" s="8">
        <v>216</v>
      </c>
      <c r="B217" s="8" t="s">
        <v>1120</v>
      </c>
      <c r="C217" s="8" t="s">
        <v>1120</v>
      </c>
      <c r="F217" s="47" t="s">
        <v>56020</v>
      </c>
      <c r="G217" s="8">
        <v>15</v>
      </c>
      <c r="H217" s="8" t="s">
        <v>21</v>
      </c>
      <c r="I217" s="8" t="s">
        <v>22</v>
      </c>
      <c r="J217" s="8" t="s">
        <v>22</v>
      </c>
      <c r="K217" s="8" t="s">
        <v>37</v>
      </c>
      <c r="L217" s="8" t="s">
        <v>125</v>
      </c>
      <c r="M217" s="8" t="s">
        <v>126</v>
      </c>
      <c r="N217" s="8" t="s">
        <v>1121</v>
      </c>
      <c r="O217" s="8">
        <f>0+41/60+27.1/3600</f>
        <v>0.69086111111111115</v>
      </c>
      <c r="P217" s="8" t="s">
        <v>1122</v>
      </c>
      <c r="Q217" s="8">
        <f>-(21+2/60+43/3600)</f>
        <v>-21.04527777777778</v>
      </c>
      <c r="R217" s="8">
        <v>13.2</v>
      </c>
      <c r="S217" s="8">
        <v>13.7</v>
      </c>
      <c r="T217" s="8">
        <v>0.5</v>
      </c>
      <c r="U217" s="8">
        <v>13.5</v>
      </c>
      <c r="V217" s="8">
        <v>2</v>
      </c>
      <c r="W217" s="8">
        <v>0.7</v>
      </c>
      <c r="X217" s="8">
        <v>27</v>
      </c>
      <c r="Y217" s="8" t="s">
        <v>1123</v>
      </c>
      <c r="Z217" s="8" t="s">
        <v>1124</v>
      </c>
    </row>
    <row r="218" spans="1:26" x14ac:dyDescent="0.2">
      <c r="A218" s="8">
        <v>217</v>
      </c>
      <c r="B218" s="8" t="s">
        <v>1125</v>
      </c>
      <c r="C218" s="8" t="s">
        <v>1125</v>
      </c>
      <c r="F218" s="47" t="s">
        <v>56021</v>
      </c>
      <c r="G218" s="8">
        <v>6.5</v>
      </c>
      <c r="H218" s="8" t="s">
        <v>21</v>
      </c>
      <c r="I218" s="8" t="s">
        <v>22</v>
      </c>
      <c r="J218" s="8" t="s">
        <v>22</v>
      </c>
      <c r="K218" s="8" t="s">
        <v>632</v>
      </c>
      <c r="L218" s="8" t="s">
        <v>125</v>
      </c>
      <c r="M218" s="8" t="s">
        <v>126</v>
      </c>
      <c r="N218" s="8" t="s">
        <v>1126</v>
      </c>
      <c r="O218" s="8">
        <f>0+41/60+33.9/3600</f>
        <v>0.69274999999999998</v>
      </c>
      <c r="P218" s="8" t="s">
        <v>1127</v>
      </c>
      <c r="Q218" s="8">
        <f>-(10+1/60+18/3600)</f>
        <v>-10.021666666666668</v>
      </c>
      <c r="R218" s="8">
        <v>12.4</v>
      </c>
      <c r="S218" s="8">
        <v>13.3</v>
      </c>
      <c r="T218" s="8">
        <v>0.9</v>
      </c>
      <c r="U218" s="8">
        <v>12.8</v>
      </c>
      <c r="V218" s="8">
        <v>2.7</v>
      </c>
      <c r="W218" s="8">
        <v>0.6</v>
      </c>
      <c r="X218" s="8">
        <v>115</v>
      </c>
      <c r="Y218" s="8" t="s">
        <v>1128</v>
      </c>
      <c r="Z218" s="8" t="s">
        <v>1129</v>
      </c>
    </row>
    <row r="219" spans="1:26" x14ac:dyDescent="0.2">
      <c r="A219" s="8">
        <v>218</v>
      </c>
      <c r="B219" s="8" t="s">
        <v>1130</v>
      </c>
      <c r="C219" s="8" t="s">
        <v>1130</v>
      </c>
      <c r="F219" s="47"/>
      <c r="G219" s="8">
        <v>18</v>
      </c>
      <c r="H219" s="8" t="s">
        <v>21</v>
      </c>
      <c r="I219" s="8" t="s">
        <v>22</v>
      </c>
      <c r="J219" s="8" t="s">
        <v>22</v>
      </c>
      <c r="K219" s="8" t="s">
        <v>160</v>
      </c>
      <c r="L219" s="8" t="s">
        <v>51</v>
      </c>
      <c r="M219" s="8" t="s">
        <v>52</v>
      </c>
      <c r="N219" s="8" t="s">
        <v>1131</v>
      </c>
      <c r="O219" s="8">
        <f>0+46/60+32/3600</f>
        <v>0.77555555555555555</v>
      </c>
      <c r="P219" s="8" t="s">
        <v>1132</v>
      </c>
      <c r="Q219" s="8">
        <f>+(36+19/60+32/3600)</f>
        <v>36.32555555555556</v>
      </c>
      <c r="R219" s="8">
        <v>12.6</v>
      </c>
      <c r="S219" s="8">
        <v>13.5</v>
      </c>
      <c r="T219" s="8">
        <v>0.9</v>
      </c>
      <c r="U219" s="8">
        <v>13.3</v>
      </c>
      <c r="V219" s="8">
        <v>1.5</v>
      </c>
      <c r="W219" s="8">
        <v>1.2</v>
      </c>
      <c r="X219" s="8">
        <v>20</v>
      </c>
      <c r="Y219" s="8" t="s">
        <v>1133</v>
      </c>
      <c r="Z219" s="8" t="s">
        <v>1134</v>
      </c>
    </row>
    <row r="220" spans="1:26" x14ac:dyDescent="0.2">
      <c r="A220" s="8">
        <v>219</v>
      </c>
      <c r="B220" s="8" t="s">
        <v>1135</v>
      </c>
      <c r="C220" s="8" t="s">
        <v>1135</v>
      </c>
      <c r="F220" s="47"/>
      <c r="G220" s="8">
        <v>18</v>
      </c>
      <c r="H220" s="8" t="s">
        <v>21</v>
      </c>
      <c r="I220" s="8" t="s">
        <v>22</v>
      </c>
      <c r="J220" s="8" t="s">
        <v>22</v>
      </c>
      <c r="K220" s="8" t="s">
        <v>1136</v>
      </c>
      <c r="L220" s="8" t="s">
        <v>125</v>
      </c>
      <c r="M220" s="8" t="s">
        <v>126</v>
      </c>
      <c r="N220" s="8" t="s">
        <v>1137</v>
      </c>
      <c r="O220" s="8">
        <f>0+42/60+11.3/3600</f>
        <v>0.70313888888888887</v>
      </c>
      <c r="P220" s="8" t="s">
        <v>1138</v>
      </c>
      <c r="Q220" s="8">
        <f>+(0+54/60+16/3600)</f>
        <v>0.9044444444444445</v>
      </c>
      <c r="R220" s="8">
        <v>14.3</v>
      </c>
      <c r="S220" s="8">
        <v>15.3</v>
      </c>
      <c r="T220" s="8">
        <v>1</v>
      </c>
      <c r="U220" s="8">
        <v>12.8</v>
      </c>
      <c r="V220" s="8">
        <v>0.5</v>
      </c>
      <c r="W220" s="8">
        <v>0.4</v>
      </c>
      <c r="X220" s="8">
        <v>170</v>
      </c>
      <c r="Y220" s="8" t="s">
        <v>1139</v>
      </c>
      <c r="Z220" s="8" t="s">
        <v>1140</v>
      </c>
    </row>
    <row r="221" spans="1:26" x14ac:dyDescent="0.2">
      <c r="A221" s="8">
        <v>220</v>
      </c>
      <c r="B221" s="8" t="s">
        <v>1141</v>
      </c>
      <c r="C221" s="8" t="s">
        <v>1141</v>
      </c>
      <c r="F221" s="47"/>
      <c r="G221" s="8">
        <v>16</v>
      </c>
      <c r="H221" s="8" t="s">
        <v>21</v>
      </c>
      <c r="I221" s="8" t="s">
        <v>557</v>
      </c>
      <c r="J221" s="8" t="s">
        <v>557</v>
      </c>
      <c r="K221" s="8" t="s">
        <v>557</v>
      </c>
      <c r="L221" s="8" t="s">
        <v>310</v>
      </c>
      <c r="M221" s="8" t="s">
        <v>311</v>
      </c>
      <c r="N221" s="8" t="s">
        <v>1142</v>
      </c>
      <c r="O221" s="8">
        <f>0+40/60+30/3600</f>
        <v>0.67499999999999993</v>
      </c>
      <c r="P221" s="8" t="s">
        <v>1143</v>
      </c>
      <c r="Q221" s="8">
        <f>-(73+24/60+15/3600)</f>
        <v>-73.404166666666669</v>
      </c>
      <c r="R221" s="8">
        <v>12.4</v>
      </c>
      <c r="S221" s="8">
        <v>99</v>
      </c>
      <c r="T221" s="8">
        <v>99</v>
      </c>
      <c r="U221" s="8">
        <v>99</v>
      </c>
      <c r="V221" s="8">
        <v>0.8</v>
      </c>
      <c r="Y221" s="8" t="s">
        <v>1144</v>
      </c>
      <c r="Z221" s="8" t="s">
        <v>1145</v>
      </c>
    </row>
    <row r="222" spans="1:26" x14ac:dyDescent="0.2">
      <c r="A222" s="8">
        <v>221</v>
      </c>
      <c r="B222" s="8" t="s">
        <v>1146</v>
      </c>
      <c r="C222" s="8" t="s">
        <v>55862</v>
      </c>
      <c r="F222" s="47"/>
      <c r="G222" s="8">
        <v>1</v>
      </c>
      <c r="H222" s="8" t="s">
        <v>21</v>
      </c>
      <c r="I222" s="8" t="s">
        <v>22</v>
      </c>
      <c r="J222" s="8" t="s">
        <v>22</v>
      </c>
      <c r="K222" s="8" t="s">
        <v>1136</v>
      </c>
      <c r="L222" s="8" t="s">
        <v>51</v>
      </c>
      <c r="M222" s="8" t="s">
        <v>52</v>
      </c>
      <c r="N222" s="8" t="s">
        <v>1147</v>
      </c>
      <c r="O222" s="8">
        <f>0+42/60+41.8/3600</f>
        <v>0.71161111111111108</v>
      </c>
      <c r="P222" s="8" t="s">
        <v>1148</v>
      </c>
      <c r="Q222" s="8">
        <f>+(40+51/60+57/3600)</f>
        <v>40.865833333333335</v>
      </c>
      <c r="R222" s="8">
        <v>8.1</v>
      </c>
      <c r="S222" s="8">
        <v>9</v>
      </c>
      <c r="T222" s="8">
        <v>0.9</v>
      </c>
      <c r="U222" s="8">
        <v>12.5</v>
      </c>
      <c r="V222" s="8">
        <v>8.5</v>
      </c>
      <c r="W222" s="8">
        <v>6.5</v>
      </c>
      <c r="X222" s="8">
        <v>179</v>
      </c>
      <c r="Y222" s="8" t="s">
        <v>1149</v>
      </c>
      <c r="Z222" s="8" t="s">
        <v>1150</v>
      </c>
    </row>
    <row r="223" spans="1:26" x14ac:dyDescent="0.2">
      <c r="A223" s="8">
        <v>222</v>
      </c>
      <c r="B223" s="8" t="s">
        <v>1151</v>
      </c>
      <c r="C223" s="8" t="s">
        <v>1151</v>
      </c>
      <c r="F223" s="47"/>
      <c r="G223" s="8">
        <v>16</v>
      </c>
      <c r="H223" s="8" t="s">
        <v>21</v>
      </c>
      <c r="I223" s="8" t="s">
        <v>557</v>
      </c>
      <c r="J223" s="8" t="s">
        <v>557</v>
      </c>
      <c r="K223" s="8" t="s">
        <v>557</v>
      </c>
      <c r="L223" s="8" t="s">
        <v>310</v>
      </c>
      <c r="M223" s="8" t="s">
        <v>311</v>
      </c>
      <c r="N223" s="8" t="s">
        <v>1152</v>
      </c>
      <c r="O223" s="8">
        <f>0+40/60+43.7/3600</f>
        <v>0.67880555555555555</v>
      </c>
      <c r="P223" s="8" t="s">
        <v>1153</v>
      </c>
      <c r="Q223" s="8">
        <f>-(73+23/60+9/3600)</f>
        <v>-73.385833333333338</v>
      </c>
      <c r="R223" s="8">
        <v>12.2</v>
      </c>
      <c r="S223" s="8">
        <v>99</v>
      </c>
      <c r="T223" s="8">
        <v>99</v>
      </c>
      <c r="U223" s="8">
        <v>99</v>
      </c>
      <c r="V223" s="8">
        <v>0.6</v>
      </c>
      <c r="Y223" s="8" t="s">
        <v>1154</v>
      </c>
      <c r="Z223" s="8" t="s">
        <v>1155</v>
      </c>
    </row>
    <row r="224" spans="1:26" x14ac:dyDescent="0.2">
      <c r="A224" s="8">
        <v>223</v>
      </c>
      <c r="B224" s="8" t="s">
        <v>1156</v>
      </c>
      <c r="C224" s="8" t="s">
        <v>1156</v>
      </c>
      <c r="F224" s="47"/>
      <c r="G224" s="8">
        <v>17</v>
      </c>
      <c r="H224" s="8" t="s">
        <v>21</v>
      </c>
      <c r="I224" s="8" t="s">
        <v>22</v>
      </c>
      <c r="J224" s="8" t="s">
        <v>22</v>
      </c>
      <c r="K224" s="8" t="s">
        <v>1157</v>
      </c>
      <c r="L224" s="8" t="s">
        <v>125</v>
      </c>
      <c r="M224" s="8" t="s">
        <v>126</v>
      </c>
      <c r="N224" s="8" t="s">
        <v>1158</v>
      </c>
      <c r="O224" s="8">
        <f>0+42/60+15.9/3600</f>
        <v>0.70441666666666658</v>
      </c>
      <c r="P224" s="8" t="s">
        <v>1159</v>
      </c>
      <c r="Q224" s="8">
        <f>+(0+50/60+46/3600)</f>
        <v>0.84611111111111115</v>
      </c>
      <c r="R224" s="8">
        <v>13.2</v>
      </c>
      <c r="S224" s="8">
        <v>14.1</v>
      </c>
      <c r="T224" s="8">
        <v>0.9</v>
      </c>
      <c r="U224" s="8">
        <v>13.2</v>
      </c>
      <c r="V224" s="8">
        <v>1.3</v>
      </c>
      <c r="W224" s="8">
        <v>0.9</v>
      </c>
      <c r="X224" s="8">
        <v>62</v>
      </c>
      <c r="Y224" s="8" t="s">
        <v>237</v>
      </c>
      <c r="Z224" s="8" t="s">
        <v>238</v>
      </c>
    </row>
    <row r="225" spans="1:26" x14ac:dyDescent="0.2">
      <c r="A225" s="8">
        <v>224</v>
      </c>
      <c r="B225" s="8" t="s">
        <v>1160</v>
      </c>
      <c r="C225" s="8" t="s">
        <v>55863</v>
      </c>
      <c r="F225" s="47"/>
      <c r="G225" s="8">
        <v>1</v>
      </c>
      <c r="H225" s="8" t="s">
        <v>1161</v>
      </c>
      <c r="I225" s="8" t="s">
        <v>22</v>
      </c>
      <c r="J225" s="8" t="s">
        <v>22</v>
      </c>
      <c r="K225" s="8" t="s">
        <v>23</v>
      </c>
      <c r="L225" s="8" t="s">
        <v>51</v>
      </c>
      <c r="M225" s="8" t="s">
        <v>52</v>
      </c>
      <c r="N225" s="8" t="s">
        <v>1162</v>
      </c>
      <c r="O225" s="8">
        <f>0+42/60+44.3/3600</f>
        <v>0.71230555555555553</v>
      </c>
      <c r="P225" s="8" t="s">
        <v>1163</v>
      </c>
      <c r="Q225" s="8">
        <f>+(41+16/60+8/3600)</f>
        <v>41.268888888888888</v>
      </c>
      <c r="R225" s="8">
        <v>3.4</v>
      </c>
      <c r="S225" s="8">
        <v>4.4000000000000004</v>
      </c>
      <c r="T225" s="8">
        <v>1</v>
      </c>
      <c r="U225" s="8">
        <v>13.5</v>
      </c>
      <c r="V225" s="8">
        <v>189.1</v>
      </c>
      <c r="W225" s="8">
        <v>61.7</v>
      </c>
      <c r="X225" s="8">
        <v>35</v>
      </c>
      <c r="Y225" s="8" t="s">
        <v>1164</v>
      </c>
      <c r="Z225" s="8" t="s">
        <v>1165</v>
      </c>
    </row>
    <row r="226" spans="1:26" x14ac:dyDescent="0.2">
      <c r="A226" s="8">
        <v>225</v>
      </c>
      <c r="B226" s="8" t="s">
        <v>1166</v>
      </c>
      <c r="C226" s="8" t="s">
        <v>1166</v>
      </c>
      <c r="F226" s="47" t="s">
        <v>56022</v>
      </c>
      <c r="G226" s="8">
        <v>6</v>
      </c>
      <c r="H226" s="8" t="s">
        <v>1167</v>
      </c>
      <c r="I226" s="8" t="s">
        <v>557</v>
      </c>
      <c r="J226" s="8" t="s">
        <v>557</v>
      </c>
      <c r="K226" s="8" t="s">
        <v>1168</v>
      </c>
      <c r="L226" s="8" t="s">
        <v>559</v>
      </c>
      <c r="M226" s="8" t="s">
        <v>560</v>
      </c>
      <c r="N226" s="8" t="s">
        <v>1169</v>
      </c>
      <c r="O226" s="8">
        <f>0+43/60+36/3600</f>
        <v>0.72666666666666668</v>
      </c>
      <c r="P226" s="8" t="s">
        <v>1170</v>
      </c>
      <c r="Q226" s="8">
        <f>+(61+46/60+0/3600)</f>
        <v>61.766666666666666</v>
      </c>
      <c r="R226" s="8">
        <v>7</v>
      </c>
      <c r="S226" s="8">
        <v>99</v>
      </c>
      <c r="T226" s="8">
        <v>99</v>
      </c>
      <c r="U226" s="8">
        <v>99</v>
      </c>
      <c r="V226" s="8">
        <v>15</v>
      </c>
      <c r="Y226" s="8" t="s">
        <v>1171</v>
      </c>
      <c r="Z226" s="8" t="s">
        <v>1172</v>
      </c>
    </row>
    <row r="227" spans="1:26" x14ac:dyDescent="0.2">
      <c r="A227" s="8">
        <v>226</v>
      </c>
      <c r="B227" s="8" t="s">
        <v>1173</v>
      </c>
      <c r="C227" s="8" t="s">
        <v>1173</v>
      </c>
      <c r="F227" s="47"/>
      <c r="G227" s="8">
        <v>16</v>
      </c>
      <c r="H227" s="8" t="s">
        <v>21</v>
      </c>
      <c r="I227" s="8" t="s">
        <v>22</v>
      </c>
      <c r="J227" s="8" t="s">
        <v>22</v>
      </c>
      <c r="K227" s="8" t="s">
        <v>1174</v>
      </c>
      <c r="L227" s="8" t="s">
        <v>51</v>
      </c>
      <c r="M227" s="8" t="s">
        <v>52</v>
      </c>
      <c r="N227" s="8" t="s">
        <v>1175</v>
      </c>
      <c r="O227" s="8">
        <f>0+42/60+53.9/3600</f>
        <v>0.71497222222222223</v>
      </c>
      <c r="P227" s="8" t="s">
        <v>1176</v>
      </c>
      <c r="Q227" s="8">
        <f>+(32+34/60+49/3600)</f>
        <v>32.580277777777781</v>
      </c>
      <c r="R227" s="8">
        <v>13.4</v>
      </c>
      <c r="S227" s="8">
        <v>14.4</v>
      </c>
      <c r="T227" s="8">
        <v>1</v>
      </c>
      <c r="U227" s="8">
        <v>12.6</v>
      </c>
      <c r="V227" s="8">
        <v>0.9</v>
      </c>
      <c r="W227" s="8">
        <v>0.6</v>
      </c>
      <c r="X227" s="8">
        <v>105</v>
      </c>
      <c r="Y227" s="8" t="s">
        <v>1177</v>
      </c>
      <c r="Z227" s="8" t="s">
        <v>1178</v>
      </c>
    </row>
    <row r="228" spans="1:26" x14ac:dyDescent="0.2">
      <c r="A228" s="8">
        <v>227</v>
      </c>
      <c r="B228" s="8" t="s">
        <v>1179</v>
      </c>
      <c r="C228" s="8" t="s">
        <v>1179</v>
      </c>
      <c r="F228" s="47" t="s">
        <v>56023</v>
      </c>
      <c r="G228" s="8">
        <v>13</v>
      </c>
      <c r="H228" s="8" t="s">
        <v>21</v>
      </c>
      <c r="I228" s="8" t="s">
        <v>22</v>
      </c>
      <c r="J228" s="8" t="s">
        <v>22</v>
      </c>
      <c r="K228" s="8" t="s">
        <v>58</v>
      </c>
      <c r="L228" s="8" t="s">
        <v>125</v>
      </c>
      <c r="M228" s="8" t="s">
        <v>126</v>
      </c>
      <c r="N228" s="8" t="s">
        <v>1180</v>
      </c>
      <c r="O228" s="8">
        <f>0+42/60+36.6/3600</f>
        <v>0.71016666666666661</v>
      </c>
      <c r="P228" s="8" t="s">
        <v>1181</v>
      </c>
      <c r="Q228" s="8">
        <f>-(1+31/60+41/3600)</f>
        <v>-1.5280555555555555</v>
      </c>
      <c r="R228" s="8">
        <v>12.2</v>
      </c>
      <c r="S228" s="8">
        <v>13.1</v>
      </c>
      <c r="T228" s="8">
        <v>0.9</v>
      </c>
      <c r="U228" s="8">
        <v>12.8</v>
      </c>
      <c r="V228" s="8">
        <v>1.5</v>
      </c>
      <c r="W228" s="8">
        <v>1.2</v>
      </c>
      <c r="X228" s="8">
        <v>155</v>
      </c>
      <c r="Y228" s="8" t="s">
        <v>1182</v>
      </c>
      <c r="Z228" s="8" t="s">
        <v>1183</v>
      </c>
    </row>
    <row r="229" spans="1:26" x14ac:dyDescent="0.2">
      <c r="A229" s="8">
        <v>228</v>
      </c>
      <c r="B229" s="8" t="s">
        <v>1184</v>
      </c>
      <c r="C229" s="8" t="s">
        <v>1184</v>
      </c>
      <c r="F229" s="47"/>
      <c r="G229" s="8">
        <v>19</v>
      </c>
      <c r="H229" s="8" t="s">
        <v>21</v>
      </c>
      <c r="I229" s="8" t="s">
        <v>22</v>
      </c>
      <c r="J229" s="8" t="s">
        <v>22</v>
      </c>
      <c r="K229" s="8" t="s">
        <v>406</v>
      </c>
      <c r="L229" s="8" t="s">
        <v>51</v>
      </c>
      <c r="M229" s="8" t="s">
        <v>52</v>
      </c>
      <c r="N229" s="8" t="s">
        <v>1185</v>
      </c>
      <c r="O229" s="8">
        <f>0+42/60+54.5/3600</f>
        <v>0.71513888888888888</v>
      </c>
      <c r="P229" s="8" t="s">
        <v>1186</v>
      </c>
      <c r="Q229" s="8">
        <f>+(23+30/60+12/3600)</f>
        <v>23.503333333333334</v>
      </c>
      <c r="R229" s="8">
        <v>13.7</v>
      </c>
      <c r="S229" s="8">
        <v>14.5</v>
      </c>
      <c r="T229" s="8">
        <v>0.8</v>
      </c>
      <c r="U229" s="8">
        <v>13.7</v>
      </c>
      <c r="V229" s="8">
        <v>1.2</v>
      </c>
      <c r="W229" s="8">
        <v>1.1000000000000001</v>
      </c>
      <c r="X229" s="8">
        <v>126</v>
      </c>
      <c r="Y229" s="8" t="s">
        <v>1187</v>
      </c>
      <c r="Z229" s="8" t="s">
        <v>1188</v>
      </c>
    </row>
    <row r="230" spans="1:26" x14ac:dyDescent="0.2">
      <c r="A230" s="8">
        <v>229</v>
      </c>
      <c r="B230" s="8" t="s">
        <v>1189</v>
      </c>
      <c r="C230" s="8" t="s">
        <v>1189</v>
      </c>
      <c r="F230" s="47"/>
      <c r="G230" s="8">
        <v>19</v>
      </c>
      <c r="H230" s="8" t="s">
        <v>21</v>
      </c>
      <c r="I230" s="8" t="s">
        <v>22</v>
      </c>
      <c r="J230" s="8" t="s">
        <v>22</v>
      </c>
      <c r="K230" s="8" t="s">
        <v>476</v>
      </c>
      <c r="L230" s="8" t="s">
        <v>51</v>
      </c>
      <c r="M230" s="8" t="s">
        <v>52</v>
      </c>
      <c r="N230" s="8" t="s">
        <v>1190</v>
      </c>
      <c r="O230" s="8">
        <f>0+43/60+4.7/3600</f>
        <v>0.71797222222222223</v>
      </c>
      <c r="P230" s="8" t="s">
        <v>1191</v>
      </c>
      <c r="Q230" s="8">
        <f>+(23+30/60+34/3600)</f>
        <v>23.509444444444444</v>
      </c>
      <c r="R230" s="8">
        <v>14.1</v>
      </c>
      <c r="S230" s="8">
        <v>15</v>
      </c>
      <c r="T230" s="8">
        <v>0.9</v>
      </c>
      <c r="U230" s="8">
        <v>13</v>
      </c>
      <c r="V230" s="8">
        <v>1</v>
      </c>
      <c r="W230" s="8">
        <v>0.4</v>
      </c>
      <c r="X230" s="8">
        <v>96</v>
      </c>
      <c r="Y230" s="8" t="s">
        <v>1192</v>
      </c>
      <c r="Z230" s="8" t="s">
        <v>1193</v>
      </c>
    </row>
    <row r="231" spans="1:26" x14ac:dyDescent="0.2">
      <c r="A231" s="8">
        <v>230</v>
      </c>
      <c r="B231" s="8" t="s">
        <v>1194</v>
      </c>
      <c r="C231" s="8" t="s">
        <v>1194</v>
      </c>
      <c r="F231" s="47"/>
      <c r="G231" s="8">
        <v>19</v>
      </c>
      <c r="H231" s="8" t="s">
        <v>21</v>
      </c>
      <c r="I231" s="8" t="s">
        <v>22</v>
      </c>
      <c r="J231" s="8" t="s">
        <v>22</v>
      </c>
      <c r="K231" s="8" t="s">
        <v>91</v>
      </c>
      <c r="L231" s="8" t="s">
        <v>125</v>
      </c>
      <c r="M231" s="8" t="s">
        <v>126</v>
      </c>
      <c r="N231" s="8" t="s">
        <v>1195</v>
      </c>
      <c r="O231" s="8">
        <f>0+42/60+27/3600</f>
        <v>0.70749999999999991</v>
      </c>
      <c r="P231" s="8" t="s">
        <v>1196</v>
      </c>
      <c r="Q231" s="8">
        <f>-(23+37/60+44/3600)</f>
        <v>-23.628888888888888</v>
      </c>
      <c r="R231" s="8">
        <v>14.5</v>
      </c>
      <c r="S231" s="8">
        <v>15.4</v>
      </c>
      <c r="T231" s="8">
        <v>0.9</v>
      </c>
      <c r="U231" s="8">
        <v>12.8</v>
      </c>
      <c r="V231" s="8">
        <v>1.1000000000000001</v>
      </c>
      <c r="W231" s="8">
        <v>0.2</v>
      </c>
      <c r="X231" s="8">
        <v>44</v>
      </c>
      <c r="Y231" s="8" t="s">
        <v>1197</v>
      </c>
      <c r="Z231" s="8" t="s">
        <v>1198</v>
      </c>
    </row>
    <row r="232" spans="1:26" x14ac:dyDescent="0.2">
      <c r="A232" s="8">
        <v>231</v>
      </c>
      <c r="B232" s="8" t="s">
        <v>1199</v>
      </c>
      <c r="C232" s="8" t="s">
        <v>1199</v>
      </c>
      <c r="F232" s="47"/>
      <c r="G232" s="8">
        <v>16</v>
      </c>
      <c r="H232" s="8" t="s">
        <v>21</v>
      </c>
      <c r="I232" s="8" t="s">
        <v>557</v>
      </c>
      <c r="J232" s="8" t="s">
        <v>557</v>
      </c>
      <c r="K232" s="8" t="s">
        <v>557</v>
      </c>
      <c r="L232" s="8" t="s">
        <v>310</v>
      </c>
      <c r="M232" s="8" t="s">
        <v>311</v>
      </c>
      <c r="N232" s="8" t="s">
        <v>1200</v>
      </c>
      <c r="O232" s="8">
        <f>0+41/60+6.4/3600</f>
        <v>0.68511111111111112</v>
      </c>
      <c r="P232" s="8" t="s">
        <v>1201</v>
      </c>
      <c r="Q232" s="8">
        <f>-(73+21/60+9/3600)</f>
        <v>-73.352499999999992</v>
      </c>
      <c r="R232" s="8">
        <v>12.7</v>
      </c>
      <c r="S232" s="8">
        <v>99</v>
      </c>
      <c r="T232" s="8">
        <v>99</v>
      </c>
      <c r="U232" s="8">
        <v>99</v>
      </c>
      <c r="V232" s="8">
        <v>0.8</v>
      </c>
      <c r="Y232" s="8" t="s">
        <v>1202</v>
      </c>
      <c r="Z232" s="8" t="s">
        <v>1203</v>
      </c>
    </row>
    <row r="233" spans="1:26" x14ac:dyDescent="0.2">
      <c r="A233" s="8">
        <v>232</v>
      </c>
      <c r="B233" s="8" t="s">
        <v>1204</v>
      </c>
      <c r="C233" s="8" t="s">
        <v>1204</v>
      </c>
      <c r="F233" s="47"/>
      <c r="G233" s="8">
        <v>19</v>
      </c>
      <c r="H233" s="8" t="s">
        <v>21</v>
      </c>
      <c r="I233" s="8" t="s">
        <v>22</v>
      </c>
      <c r="J233" s="8" t="s">
        <v>22</v>
      </c>
      <c r="K233" s="8" t="s">
        <v>154</v>
      </c>
      <c r="L233" s="8" t="s">
        <v>125</v>
      </c>
      <c r="M233" s="8" t="s">
        <v>126</v>
      </c>
      <c r="N233" s="8" t="s">
        <v>1205</v>
      </c>
      <c r="O233" s="8">
        <f>0+42/60+45.7/3600</f>
        <v>0.71269444444444441</v>
      </c>
      <c r="P233" s="8" t="s">
        <v>1206</v>
      </c>
      <c r="Q233" s="8">
        <f>-(23+33/60+42/3600)</f>
        <v>-23.561666666666667</v>
      </c>
      <c r="R233" s="8">
        <v>13.3</v>
      </c>
      <c r="S233" s="8">
        <v>14.2</v>
      </c>
      <c r="T233" s="8">
        <v>0.9</v>
      </c>
      <c r="U233" s="8">
        <v>12.6</v>
      </c>
      <c r="V233" s="8">
        <v>0.9</v>
      </c>
      <c r="W233" s="8">
        <v>0.8</v>
      </c>
      <c r="X233" s="8">
        <v>42</v>
      </c>
      <c r="Y233" s="8" t="s">
        <v>1207</v>
      </c>
      <c r="Z233" s="8" t="s">
        <v>1208</v>
      </c>
    </row>
    <row r="234" spans="1:26" x14ac:dyDescent="0.2">
      <c r="A234" s="8">
        <v>233</v>
      </c>
      <c r="B234" s="8" t="s">
        <v>1209</v>
      </c>
      <c r="C234" s="8" t="s">
        <v>1209</v>
      </c>
      <c r="F234" s="47" t="s">
        <v>56024</v>
      </c>
      <c r="G234" s="8">
        <v>15</v>
      </c>
      <c r="H234" s="8" t="s">
        <v>21</v>
      </c>
      <c r="I234" s="8" t="s">
        <v>22</v>
      </c>
      <c r="J234" s="8" t="s">
        <v>22</v>
      </c>
      <c r="K234" s="8" t="s">
        <v>460</v>
      </c>
      <c r="L234" s="8" t="s">
        <v>51</v>
      </c>
      <c r="M234" s="8" t="s">
        <v>52</v>
      </c>
      <c r="N234" s="8" t="s">
        <v>1210</v>
      </c>
      <c r="O234" s="8">
        <f>0+43/60+36.5/3600</f>
        <v>0.72680555555555559</v>
      </c>
      <c r="P234" s="8" t="s">
        <v>1211</v>
      </c>
      <c r="Q234" s="8">
        <f>+(30+35/60+13/3600)</f>
        <v>30.586944444444445</v>
      </c>
      <c r="R234" s="8">
        <v>12.4</v>
      </c>
      <c r="S234" s="8">
        <v>13.4</v>
      </c>
      <c r="T234" s="8">
        <v>1</v>
      </c>
      <c r="U234" s="8">
        <v>12.9</v>
      </c>
      <c r="V234" s="8">
        <v>1.2</v>
      </c>
      <c r="W234" s="8">
        <v>1.2</v>
      </c>
      <c r="Y234" s="8" t="s">
        <v>1212</v>
      </c>
      <c r="Z234" s="8" t="s">
        <v>1213</v>
      </c>
    </row>
    <row r="235" spans="1:26" x14ac:dyDescent="0.2">
      <c r="A235" s="8">
        <v>234</v>
      </c>
      <c r="B235" s="8" t="s">
        <v>1214</v>
      </c>
      <c r="C235" s="8" t="s">
        <v>1214</v>
      </c>
      <c r="F235" s="47" t="s">
        <v>56025</v>
      </c>
      <c r="G235" s="8">
        <v>15</v>
      </c>
      <c r="H235" s="8" t="s">
        <v>21</v>
      </c>
      <c r="I235" s="8" t="s">
        <v>22</v>
      </c>
      <c r="J235" s="8" t="s">
        <v>22</v>
      </c>
      <c r="K235" s="8" t="s">
        <v>64</v>
      </c>
      <c r="L235" s="8" t="s">
        <v>38</v>
      </c>
      <c r="M235" s="8" t="s">
        <v>39</v>
      </c>
      <c r="N235" s="8" t="s">
        <v>1215</v>
      </c>
      <c r="O235" s="8">
        <f>0+43/60+32.3/3600</f>
        <v>0.72563888888888894</v>
      </c>
      <c r="P235" s="8" t="s">
        <v>1216</v>
      </c>
      <c r="Q235" s="8">
        <f>+(14+20/60+33/3600)</f>
        <v>14.342500000000001</v>
      </c>
      <c r="R235" s="8">
        <v>12.6</v>
      </c>
      <c r="S235" s="8">
        <v>13.3</v>
      </c>
      <c r="T235" s="8">
        <v>0.7</v>
      </c>
      <c r="U235" s="8">
        <v>13.1</v>
      </c>
      <c r="V235" s="8">
        <v>1.5</v>
      </c>
      <c r="W235" s="8">
        <v>1.2</v>
      </c>
      <c r="X235" s="8">
        <v>54</v>
      </c>
      <c r="Y235" s="8" t="s">
        <v>1217</v>
      </c>
      <c r="Z235" s="8" t="s">
        <v>1218</v>
      </c>
    </row>
    <row r="236" spans="1:26" x14ac:dyDescent="0.2">
      <c r="A236" s="8">
        <v>235</v>
      </c>
      <c r="B236" s="8" t="s">
        <v>1219</v>
      </c>
      <c r="C236" s="8" t="s">
        <v>1219</v>
      </c>
      <c r="D236" s="8" t="s">
        <v>351</v>
      </c>
      <c r="F236" s="47"/>
      <c r="G236" s="8">
        <v>19</v>
      </c>
      <c r="H236" s="8" t="s">
        <v>21</v>
      </c>
      <c r="I236" s="8" t="s">
        <v>22</v>
      </c>
      <c r="J236" s="8" t="s">
        <v>22</v>
      </c>
      <c r="K236" s="8" t="s">
        <v>37</v>
      </c>
      <c r="L236" s="8" t="s">
        <v>125</v>
      </c>
      <c r="M236" s="8" t="s">
        <v>126</v>
      </c>
      <c r="N236" s="8" t="s">
        <v>1220</v>
      </c>
      <c r="O236" s="8">
        <f>0+42/60+52.7/3600</f>
        <v>0.71463888888888882</v>
      </c>
      <c r="P236" s="8" t="s">
        <v>1221</v>
      </c>
      <c r="Q236" s="8">
        <f>-(23+32/60+28/3600)</f>
        <v>-23.541111111111114</v>
      </c>
      <c r="R236" s="8">
        <v>13.2</v>
      </c>
      <c r="S236" s="8">
        <v>14.2</v>
      </c>
      <c r="T236" s="8">
        <v>1</v>
      </c>
      <c r="U236" s="8">
        <v>12.9</v>
      </c>
      <c r="V236" s="8">
        <v>1.3</v>
      </c>
      <c r="W236" s="8">
        <v>0.7</v>
      </c>
      <c r="X236" s="8">
        <v>117</v>
      </c>
      <c r="Y236" s="8" t="s">
        <v>1207</v>
      </c>
      <c r="Z236" s="8" t="s">
        <v>1208</v>
      </c>
    </row>
    <row r="237" spans="1:26" x14ac:dyDescent="0.2">
      <c r="A237" s="8">
        <v>236</v>
      </c>
      <c r="B237" s="8" t="s">
        <v>1222</v>
      </c>
      <c r="C237" s="8" t="s">
        <v>1222</v>
      </c>
      <c r="F237" s="47"/>
      <c r="G237" s="8">
        <v>18</v>
      </c>
      <c r="H237" s="8" t="s">
        <v>21</v>
      </c>
      <c r="I237" s="8" t="s">
        <v>22</v>
      </c>
      <c r="J237" s="8" t="s">
        <v>22</v>
      </c>
      <c r="K237" s="8" t="s">
        <v>160</v>
      </c>
      <c r="L237" s="8" t="s">
        <v>38</v>
      </c>
      <c r="M237" s="8" t="s">
        <v>39</v>
      </c>
      <c r="N237" s="8" t="s">
        <v>1223</v>
      </c>
      <c r="O237" s="8">
        <f>0+43/60+27.4/3600</f>
        <v>0.7242777777777778</v>
      </c>
      <c r="P237" s="8" t="s">
        <v>1224</v>
      </c>
      <c r="Q237" s="8">
        <f>+(2+57/60+29/3600)</f>
        <v>2.9580555555555557</v>
      </c>
      <c r="R237" s="8">
        <v>13.5</v>
      </c>
      <c r="S237" s="8">
        <v>14.2</v>
      </c>
      <c r="T237" s="8">
        <v>0.7</v>
      </c>
      <c r="U237" s="8">
        <v>13.5</v>
      </c>
      <c r="V237" s="8">
        <v>1.2</v>
      </c>
      <c r="W237" s="8">
        <v>1</v>
      </c>
      <c r="X237" s="8">
        <v>160</v>
      </c>
      <c r="Y237" s="8" t="s">
        <v>1225</v>
      </c>
      <c r="Z237" s="8" t="s">
        <v>1226</v>
      </c>
    </row>
    <row r="238" spans="1:26" x14ac:dyDescent="0.2">
      <c r="A238" s="8">
        <v>237</v>
      </c>
      <c r="B238" s="8" t="s">
        <v>1227</v>
      </c>
      <c r="C238" s="8" t="s">
        <v>1227</v>
      </c>
      <c r="F238" s="47"/>
      <c r="G238" s="8">
        <v>13</v>
      </c>
      <c r="H238" s="8" t="s">
        <v>21</v>
      </c>
      <c r="I238" s="8" t="s">
        <v>22</v>
      </c>
      <c r="J238" s="8" t="s">
        <v>22</v>
      </c>
      <c r="K238" s="8" t="s">
        <v>64</v>
      </c>
      <c r="L238" s="8" t="s">
        <v>125</v>
      </c>
      <c r="M238" s="8" t="s">
        <v>126</v>
      </c>
      <c r="N238" s="8" t="s">
        <v>1228</v>
      </c>
      <c r="O238" s="8">
        <f>0+43/60+27.9/3600</f>
        <v>0.72441666666666671</v>
      </c>
      <c r="P238" s="8" t="s">
        <v>1229</v>
      </c>
      <c r="Q238" s="8">
        <f>-(0+7/60+31/3600)</f>
        <v>-0.12527777777777777</v>
      </c>
      <c r="R238" s="8">
        <v>13</v>
      </c>
      <c r="S238" s="8">
        <v>13.6</v>
      </c>
      <c r="T238" s="8">
        <v>0.6</v>
      </c>
      <c r="U238" s="8">
        <v>13.2</v>
      </c>
      <c r="V238" s="8">
        <v>1.6</v>
      </c>
      <c r="W238" s="8">
        <v>0.9</v>
      </c>
      <c r="X238" s="8">
        <v>175</v>
      </c>
      <c r="Y238" s="8" t="s">
        <v>1230</v>
      </c>
      <c r="Z238" s="8" t="s">
        <v>1231</v>
      </c>
    </row>
    <row r="239" spans="1:26" x14ac:dyDescent="0.2">
      <c r="A239" s="8">
        <v>238</v>
      </c>
      <c r="B239" s="8" t="s">
        <v>1232</v>
      </c>
      <c r="C239" s="8" t="s">
        <v>1232</v>
      </c>
      <c r="F239" s="47"/>
      <c r="G239" s="8">
        <v>16</v>
      </c>
      <c r="H239" s="8" t="s">
        <v>21</v>
      </c>
      <c r="I239" s="8" t="s">
        <v>22</v>
      </c>
      <c r="J239" s="8" t="s">
        <v>22</v>
      </c>
      <c r="K239" s="8" t="s">
        <v>218</v>
      </c>
      <c r="L239" s="8" t="s">
        <v>166</v>
      </c>
      <c r="M239" s="8" t="s">
        <v>167</v>
      </c>
      <c r="N239" s="8" t="s">
        <v>1233</v>
      </c>
      <c r="O239" s="8">
        <f>0+43/60+25.6/3600</f>
        <v>0.72377777777777774</v>
      </c>
      <c r="P239" s="8" t="s">
        <v>1234</v>
      </c>
      <c r="Q239" s="8">
        <f>-(50+10/60+58/3600)</f>
        <v>-50.182777777777773</v>
      </c>
      <c r="R239" s="8">
        <v>12.5</v>
      </c>
      <c r="S239" s="8">
        <v>13.1</v>
      </c>
      <c r="T239" s="8">
        <v>0.6</v>
      </c>
      <c r="U239" s="8">
        <v>13.6</v>
      </c>
      <c r="V239" s="8">
        <v>2</v>
      </c>
      <c r="W239" s="8">
        <v>1.6</v>
      </c>
      <c r="X239" s="8">
        <v>96</v>
      </c>
      <c r="Y239" s="8" t="s">
        <v>1235</v>
      </c>
      <c r="Z239" s="8" t="s">
        <v>1236</v>
      </c>
    </row>
    <row r="240" spans="1:26" x14ac:dyDescent="0.2">
      <c r="A240" s="8">
        <v>239</v>
      </c>
      <c r="B240" s="8" t="s">
        <v>1237</v>
      </c>
      <c r="C240" s="8" t="s">
        <v>1237</v>
      </c>
      <c r="F240" s="47"/>
      <c r="G240" s="8">
        <v>19</v>
      </c>
      <c r="H240" s="8" t="s">
        <v>21</v>
      </c>
      <c r="I240" s="8" t="s">
        <v>22</v>
      </c>
      <c r="J240" s="8" t="s">
        <v>22</v>
      </c>
      <c r="K240" s="8" t="s">
        <v>31</v>
      </c>
      <c r="L240" s="8" t="s">
        <v>125</v>
      </c>
      <c r="M240" s="8" t="s">
        <v>126</v>
      </c>
      <c r="N240" s="8" t="s">
        <v>1238</v>
      </c>
      <c r="O240" s="8">
        <f>0+44/60+37.5/3600</f>
        <v>0.74374999999999991</v>
      </c>
      <c r="P240" s="8" t="s">
        <v>1239</v>
      </c>
      <c r="Q240" s="8">
        <f>-(3+45/60+36/3600)</f>
        <v>-3.76</v>
      </c>
      <c r="R240" s="8">
        <v>13.3</v>
      </c>
      <c r="S240" s="8">
        <v>14.1</v>
      </c>
      <c r="T240" s="8">
        <v>0.8</v>
      </c>
      <c r="U240" s="8">
        <v>12.4</v>
      </c>
      <c r="V240" s="8">
        <v>1</v>
      </c>
      <c r="W240" s="8">
        <v>0.5</v>
      </c>
      <c r="X240" s="8">
        <v>28</v>
      </c>
      <c r="Y240" s="8" t="s">
        <v>1240</v>
      </c>
      <c r="Z240" s="8" t="s">
        <v>1241</v>
      </c>
    </row>
    <row r="241" spans="1:26" x14ac:dyDescent="0.2">
      <c r="A241" s="8">
        <v>240</v>
      </c>
      <c r="B241" s="8" t="s">
        <v>1242</v>
      </c>
      <c r="C241" s="8" t="s">
        <v>1242</v>
      </c>
      <c r="F241" s="47"/>
      <c r="G241" s="8">
        <v>19</v>
      </c>
      <c r="H241" s="8" t="s">
        <v>21</v>
      </c>
      <c r="I241" s="8" t="s">
        <v>22</v>
      </c>
      <c r="J241" s="8" t="s">
        <v>22</v>
      </c>
      <c r="K241" s="8" t="s">
        <v>632</v>
      </c>
      <c r="L241" s="8" t="s">
        <v>38</v>
      </c>
      <c r="M241" s="8" t="s">
        <v>39</v>
      </c>
      <c r="N241" s="8" t="s">
        <v>1243</v>
      </c>
      <c r="O241" s="8">
        <f>0+45/60+1.9/3600</f>
        <v>0.75052777777777779</v>
      </c>
      <c r="P241" s="8" t="s">
        <v>1244</v>
      </c>
      <c r="Q241" s="8">
        <f>+(6+6/60+46/3600)</f>
        <v>6.1127777777777776</v>
      </c>
      <c r="R241" s="8">
        <v>13.7</v>
      </c>
      <c r="S241" s="8">
        <v>14.6</v>
      </c>
      <c r="T241" s="8">
        <v>0.9</v>
      </c>
      <c r="U241" s="8">
        <v>14</v>
      </c>
      <c r="V241" s="8">
        <v>1.2</v>
      </c>
      <c r="W241" s="8">
        <v>1.2</v>
      </c>
      <c r="Y241" s="8" t="s">
        <v>1245</v>
      </c>
      <c r="Z241" s="8" t="s">
        <v>1246</v>
      </c>
    </row>
    <row r="242" spans="1:26" x14ac:dyDescent="0.2">
      <c r="A242" s="8">
        <v>241</v>
      </c>
      <c r="B242" s="8" t="s">
        <v>1247</v>
      </c>
      <c r="C242" s="8" t="s">
        <v>1247</v>
      </c>
      <c r="F242" s="47"/>
      <c r="G242" s="8">
        <v>16</v>
      </c>
      <c r="H242" s="8" t="s">
        <v>21</v>
      </c>
      <c r="I242" s="8" t="s">
        <v>557</v>
      </c>
      <c r="J242" s="8" t="s">
        <v>57</v>
      </c>
      <c r="K242" s="8" t="s">
        <v>557</v>
      </c>
      <c r="L242" s="8" t="s">
        <v>310</v>
      </c>
      <c r="M242" s="8" t="s">
        <v>311</v>
      </c>
      <c r="N242" s="8" t="s">
        <v>1248</v>
      </c>
      <c r="O242" s="8">
        <f>0+43/60+33.2/3600</f>
        <v>0.72588888888888892</v>
      </c>
      <c r="P242" s="8" t="s">
        <v>1249</v>
      </c>
      <c r="Q242" s="8">
        <f>-(73+26/60+33/3600)</f>
        <v>-73.44250000000001</v>
      </c>
      <c r="R242" s="8">
        <v>99</v>
      </c>
      <c r="S242" s="8">
        <v>12.1</v>
      </c>
      <c r="T242" s="8">
        <v>99</v>
      </c>
      <c r="U242" s="8">
        <v>99</v>
      </c>
      <c r="V242" s="8">
        <v>0.9</v>
      </c>
      <c r="Y242" s="8" t="s">
        <v>1250</v>
      </c>
      <c r="Z242" s="8" t="s">
        <v>1251</v>
      </c>
    </row>
    <row r="243" spans="1:26" x14ac:dyDescent="0.2">
      <c r="A243" s="8">
        <v>242</v>
      </c>
      <c r="B243" s="8" t="s">
        <v>1252</v>
      </c>
      <c r="C243" s="8" t="s">
        <v>1252</v>
      </c>
      <c r="F243" s="47"/>
      <c r="G243" s="8">
        <v>16</v>
      </c>
      <c r="H243" s="8" t="s">
        <v>21</v>
      </c>
      <c r="I243" s="8" t="s">
        <v>557</v>
      </c>
      <c r="J243" s="8" t="s">
        <v>557</v>
      </c>
      <c r="K243" s="8" t="s">
        <v>557</v>
      </c>
      <c r="L243" s="8" t="s">
        <v>310</v>
      </c>
      <c r="M243" s="8" t="s">
        <v>311</v>
      </c>
      <c r="N243" s="8" t="s">
        <v>1248</v>
      </c>
      <c r="O243" s="8">
        <f>0+43/60+33.2/3600</f>
        <v>0.72588888888888892</v>
      </c>
      <c r="P243" s="8" t="s">
        <v>1249</v>
      </c>
      <c r="Q243" s="8">
        <f>-(73+26/60+33/3600)</f>
        <v>-73.44250000000001</v>
      </c>
      <c r="R243" s="8">
        <v>99</v>
      </c>
      <c r="S243" s="8">
        <v>12.1</v>
      </c>
      <c r="T243" s="8">
        <v>99</v>
      </c>
      <c r="U243" s="8">
        <v>99</v>
      </c>
      <c r="V243" s="8">
        <v>0.9</v>
      </c>
      <c r="Y243" s="8" t="s">
        <v>1250</v>
      </c>
      <c r="Z243" s="8" t="s">
        <v>1253</v>
      </c>
    </row>
    <row r="244" spans="1:26" x14ac:dyDescent="0.2">
      <c r="A244" s="8">
        <v>243</v>
      </c>
      <c r="B244" s="8" t="s">
        <v>1254</v>
      </c>
      <c r="C244" s="8" t="s">
        <v>1254</v>
      </c>
      <c r="F244" s="47"/>
      <c r="G244" s="8">
        <v>19</v>
      </c>
      <c r="H244" s="8" t="s">
        <v>21</v>
      </c>
      <c r="I244" s="8" t="s">
        <v>22</v>
      </c>
      <c r="J244" s="8" t="s">
        <v>22</v>
      </c>
      <c r="K244" s="8" t="s">
        <v>476</v>
      </c>
      <c r="L244" s="8" t="s">
        <v>51</v>
      </c>
      <c r="M244" s="8" t="s">
        <v>52</v>
      </c>
      <c r="N244" s="8" t="s">
        <v>1255</v>
      </c>
      <c r="O244" s="8">
        <f>0+46/60+0.7/3600</f>
        <v>0.76686111111111122</v>
      </c>
      <c r="P244" s="8" t="s">
        <v>1256</v>
      </c>
      <c r="Q244" s="8">
        <f>+(29+57/60+35/3600)</f>
        <v>29.959722222222222</v>
      </c>
      <c r="R244" s="8">
        <v>13.7</v>
      </c>
      <c r="S244" s="8">
        <v>14.6</v>
      </c>
      <c r="T244" s="8">
        <v>0.9</v>
      </c>
      <c r="U244" s="8">
        <v>12.4</v>
      </c>
      <c r="V244" s="8">
        <v>0.9</v>
      </c>
      <c r="W244" s="8">
        <v>0.4</v>
      </c>
      <c r="X244" s="8">
        <v>149</v>
      </c>
      <c r="Y244" s="8" t="s">
        <v>1257</v>
      </c>
      <c r="Z244" s="8" t="s">
        <v>1258</v>
      </c>
    </row>
    <row r="245" spans="1:26" x14ac:dyDescent="0.2">
      <c r="A245" s="8">
        <v>244</v>
      </c>
      <c r="B245" s="8" t="s">
        <v>1259</v>
      </c>
      <c r="C245" s="8" t="s">
        <v>1259</v>
      </c>
      <c r="F245" s="47" t="s">
        <v>56026</v>
      </c>
      <c r="G245" s="8">
        <v>15</v>
      </c>
      <c r="H245" s="8" t="s">
        <v>21</v>
      </c>
      <c r="I245" s="8" t="s">
        <v>22</v>
      </c>
      <c r="J245" s="8" t="s">
        <v>22</v>
      </c>
      <c r="K245" s="8" t="s">
        <v>37</v>
      </c>
      <c r="L245" s="8" t="s">
        <v>125</v>
      </c>
      <c r="M245" s="8" t="s">
        <v>126</v>
      </c>
      <c r="N245" s="8" t="s">
        <v>1260</v>
      </c>
      <c r="O245" s="8">
        <f>0+45/60+46.5/3600</f>
        <v>0.76291666666666669</v>
      </c>
      <c r="P245" s="8" t="s">
        <v>1261</v>
      </c>
      <c r="Q245" s="8">
        <f>-(15+35/60+50/3600)</f>
        <v>-15.597222222222223</v>
      </c>
      <c r="R245" s="8">
        <v>12.9</v>
      </c>
      <c r="S245" s="8">
        <v>13.9</v>
      </c>
      <c r="T245" s="8">
        <v>1</v>
      </c>
      <c r="U245" s="8">
        <v>13</v>
      </c>
      <c r="V245" s="8">
        <v>1.2</v>
      </c>
      <c r="W245" s="8">
        <v>1</v>
      </c>
      <c r="X245" s="8">
        <v>50</v>
      </c>
      <c r="Y245" s="8" t="s">
        <v>1262</v>
      </c>
      <c r="Z245" s="8" t="s">
        <v>1263</v>
      </c>
    </row>
    <row r="246" spans="1:26" x14ac:dyDescent="0.2">
      <c r="A246" s="8">
        <v>245</v>
      </c>
      <c r="B246" s="8" t="s">
        <v>1264</v>
      </c>
      <c r="C246" s="8" t="s">
        <v>1264</v>
      </c>
      <c r="F246" s="47" t="s">
        <v>56027</v>
      </c>
      <c r="G246" s="8">
        <v>13</v>
      </c>
      <c r="H246" s="8" t="s">
        <v>21</v>
      </c>
      <c r="I246" s="8" t="s">
        <v>22</v>
      </c>
      <c r="J246" s="8" t="s">
        <v>22</v>
      </c>
      <c r="K246" s="8" t="s">
        <v>23</v>
      </c>
      <c r="L246" s="8" t="s">
        <v>125</v>
      </c>
      <c r="M246" s="8" t="s">
        <v>126</v>
      </c>
      <c r="N246" s="8" t="s">
        <v>1265</v>
      </c>
      <c r="O246" s="8">
        <f>0+46/60+5.5/3600</f>
        <v>0.76819444444444451</v>
      </c>
      <c r="P246" s="8" t="s">
        <v>1266</v>
      </c>
      <c r="Q246" s="8">
        <f>-(1+43/60+24/3600)</f>
        <v>-1.7233333333333334</v>
      </c>
      <c r="R246" s="8">
        <v>12.3</v>
      </c>
      <c r="S246" s="8">
        <v>13.1</v>
      </c>
      <c r="T246" s="8">
        <v>0.8</v>
      </c>
      <c r="U246" s="8">
        <v>12.5</v>
      </c>
      <c r="V246" s="8">
        <v>1.3</v>
      </c>
      <c r="W246" s="8">
        <v>1.1000000000000001</v>
      </c>
      <c r="X246" s="8">
        <v>145</v>
      </c>
      <c r="Y246" s="8" t="s">
        <v>1267</v>
      </c>
      <c r="Z246" s="8" t="s">
        <v>1268</v>
      </c>
    </row>
    <row r="247" spans="1:26" x14ac:dyDescent="0.2">
      <c r="A247" s="8">
        <v>246</v>
      </c>
      <c r="B247" s="8" t="s">
        <v>1269</v>
      </c>
      <c r="C247" s="8" t="s">
        <v>1269</v>
      </c>
      <c r="F247" s="47" t="s">
        <v>56028</v>
      </c>
      <c r="G247" s="8">
        <v>2</v>
      </c>
      <c r="H247" s="8" t="s">
        <v>1270</v>
      </c>
      <c r="I247" s="8" t="s">
        <v>241</v>
      </c>
      <c r="J247" s="8" t="s">
        <v>241</v>
      </c>
      <c r="K247" s="8" t="s">
        <v>241</v>
      </c>
      <c r="L247" s="8" t="s">
        <v>125</v>
      </c>
      <c r="M247" s="8" t="s">
        <v>126</v>
      </c>
      <c r="N247" s="8" t="s">
        <v>1271</v>
      </c>
      <c r="O247" s="8">
        <f>0+47/60+3.3/3600</f>
        <v>0.78425</v>
      </c>
      <c r="P247" s="8" t="s">
        <v>1272</v>
      </c>
      <c r="Q247" s="8">
        <f>-(11+52/60+17/3600)</f>
        <v>-11.871388888888889</v>
      </c>
      <c r="R247" s="8">
        <v>10.9</v>
      </c>
      <c r="S247" s="8">
        <v>8</v>
      </c>
      <c r="T247" s="8">
        <v>99</v>
      </c>
      <c r="U247" s="8">
        <v>99</v>
      </c>
      <c r="V247" s="8">
        <v>4.08</v>
      </c>
      <c r="Y247" s="8" t="s">
        <v>1273</v>
      </c>
      <c r="Z247" s="8" t="s">
        <v>1274</v>
      </c>
    </row>
    <row r="248" spans="1:26" x14ac:dyDescent="0.2">
      <c r="A248" s="8">
        <v>247</v>
      </c>
      <c r="B248" s="8" t="s">
        <v>1275</v>
      </c>
      <c r="C248" s="8" t="s">
        <v>1275</v>
      </c>
      <c r="F248" s="47" t="s">
        <v>56029</v>
      </c>
      <c r="G248" s="8">
        <v>2</v>
      </c>
      <c r="H248" s="8" t="s">
        <v>1276</v>
      </c>
      <c r="I248" s="8" t="s">
        <v>22</v>
      </c>
      <c r="J248" s="8" t="s">
        <v>22</v>
      </c>
      <c r="K248" s="8" t="s">
        <v>1277</v>
      </c>
      <c r="L248" s="8" t="s">
        <v>125</v>
      </c>
      <c r="M248" s="8" t="s">
        <v>126</v>
      </c>
      <c r="N248" s="8" t="s">
        <v>1278</v>
      </c>
      <c r="O248" s="8">
        <f>0+47/60+8.3/3600</f>
        <v>0.78563888888888889</v>
      </c>
      <c r="P248" s="8" t="s">
        <v>1279</v>
      </c>
      <c r="Q248" s="8">
        <f>-(20+45/60+36/3600)</f>
        <v>-20.76</v>
      </c>
      <c r="R248" s="8">
        <v>9.1</v>
      </c>
      <c r="S248" s="8">
        <v>9.6999999999999993</v>
      </c>
      <c r="T248" s="8">
        <v>0.6</v>
      </c>
      <c r="U248" s="8">
        <v>14.4</v>
      </c>
      <c r="V248" s="8">
        <v>19.2</v>
      </c>
      <c r="W248" s="8">
        <v>5.5</v>
      </c>
      <c r="X248" s="8">
        <v>172</v>
      </c>
      <c r="Y248" s="8" t="s">
        <v>1280</v>
      </c>
      <c r="Z248" s="8" t="s">
        <v>1281</v>
      </c>
    </row>
    <row r="249" spans="1:26" x14ac:dyDescent="0.2">
      <c r="A249" s="8">
        <v>248</v>
      </c>
      <c r="B249" s="8" t="s">
        <v>1282</v>
      </c>
      <c r="C249" s="8" t="s">
        <v>1282</v>
      </c>
      <c r="F249" s="47"/>
      <c r="G249" s="8">
        <v>16</v>
      </c>
      <c r="H249" s="8" t="s">
        <v>21</v>
      </c>
      <c r="I249" s="8" t="s">
        <v>1283</v>
      </c>
      <c r="J249" s="8" t="s">
        <v>1283</v>
      </c>
      <c r="K249" s="8" t="s">
        <v>1284</v>
      </c>
      <c r="L249" s="8" t="s">
        <v>310</v>
      </c>
      <c r="M249" s="8" t="s">
        <v>311</v>
      </c>
      <c r="N249" s="8" t="s">
        <v>1285</v>
      </c>
      <c r="O249" s="8">
        <f>0+45/60+24/3600</f>
        <v>0.75666666666666671</v>
      </c>
      <c r="P249" s="8" t="s">
        <v>1286</v>
      </c>
      <c r="Q249" s="8">
        <f>-(73+22/60+49/3600)</f>
        <v>-73.380277777777778</v>
      </c>
      <c r="R249" s="8">
        <v>99</v>
      </c>
      <c r="S249" s="8">
        <v>99</v>
      </c>
      <c r="T249" s="8">
        <v>99</v>
      </c>
      <c r="U249" s="8">
        <v>99</v>
      </c>
      <c r="V249" s="8">
        <v>1</v>
      </c>
      <c r="Y249" s="8" t="s">
        <v>1287</v>
      </c>
      <c r="Z249" s="8" t="s">
        <v>1288</v>
      </c>
    </row>
    <row r="250" spans="1:26" x14ac:dyDescent="0.2">
      <c r="A250" s="8">
        <v>249</v>
      </c>
      <c r="B250" s="8" t="s">
        <v>1289</v>
      </c>
      <c r="C250" s="8" t="s">
        <v>1289</v>
      </c>
      <c r="F250" s="47"/>
      <c r="G250" s="8">
        <v>16</v>
      </c>
      <c r="H250" s="8" t="s">
        <v>21</v>
      </c>
      <c r="I250" s="8" t="s">
        <v>1283</v>
      </c>
      <c r="J250" s="8" t="s">
        <v>1283</v>
      </c>
      <c r="K250" s="8" t="s">
        <v>1284</v>
      </c>
      <c r="L250" s="8" t="s">
        <v>310</v>
      </c>
      <c r="M250" s="8" t="s">
        <v>311</v>
      </c>
      <c r="N250" s="8" t="s">
        <v>1290</v>
      </c>
      <c r="O250" s="8">
        <f>0+45/60+31.8/3600</f>
        <v>0.75883333333333336</v>
      </c>
      <c r="P250" s="8" t="s">
        <v>1291</v>
      </c>
      <c r="Q250" s="8">
        <f>-(73+4/60+49/3600)</f>
        <v>-73.080277777777781</v>
      </c>
      <c r="R250" s="8">
        <v>99</v>
      </c>
      <c r="S250" s="8">
        <v>13.8</v>
      </c>
      <c r="T250" s="8">
        <v>99</v>
      </c>
      <c r="U250" s="8">
        <v>99</v>
      </c>
      <c r="V250" s="8">
        <v>2</v>
      </c>
      <c r="Y250" s="8" t="s">
        <v>1292</v>
      </c>
      <c r="Z250" s="8" t="s">
        <v>1293</v>
      </c>
    </row>
    <row r="251" spans="1:26" x14ac:dyDescent="0.2">
      <c r="A251" s="8">
        <v>250</v>
      </c>
      <c r="B251" s="8" t="s">
        <v>1294</v>
      </c>
      <c r="C251" s="8" t="s">
        <v>1294</v>
      </c>
      <c r="F251" s="47"/>
      <c r="G251" s="8">
        <v>19</v>
      </c>
      <c r="H251" s="8" t="s">
        <v>21</v>
      </c>
      <c r="I251" s="8" t="s">
        <v>22</v>
      </c>
      <c r="J251" s="8" t="s">
        <v>22</v>
      </c>
      <c r="K251" s="8" t="s">
        <v>632</v>
      </c>
      <c r="L251" s="8" t="s">
        <v>38</v>
      </c>
      <c r="M251" s="8" t="s">
        <v>39</v>
      </c>
      <c r="N251" s="8" t="s">
        <v>1295</v>
      </c>
      <c r="O251" s="8">
        <f>0+47/60+16/3600</f>
        <v>0.7877777777777778</v>
      </c>
      <c r="P251" s="8" t="s">
        <v>1296</v>
      </c>
      <c r="Q251" s="8">
        <f>+(7+54/60+36/3600)</f>
        <v>7.91</v>
      </c>
      <c r="R251" s="8">
        <v>13.8</v>
      </c>
      <c r="S251" s="8">
        <v>14.7</v>
      </c>
      <c r="T251" s="8">
        <v>0.9</v>
      </c>
      <c r="U251" s="8">
        <v>13.2</v>
      </c>
      <c r="V251" s="8">
        <v>1.1000000000000001</v>
      </c>
      <c r="W251" s="8">
        <v>0.6</v>
      </c>
      <c r="X251" s="8">
        <v>153</v>
      </c>
      <c r="Y251" s="8" t="s">
        <v>1297</v>
      </c>
      <c r="Z251" s="8" t="s">
        <v>1298</v>
      </c>
    </row>
    <row r="252" spans="1:26" x14ac:dyDescent="0.2">
      <c r="A252" s="8">
        <v>251</v>
      </c>
      <c r="B252" s="8" t="s">
        <v>1299</v>
      </c>
      <c r="C252" s="8" t="s">
        <v>1299</v>
      </c>
      <c r="F252" s="47" t="s">
        <v>56030</v>
      </c>
      <c r="G252" s="8">
        <v>15</v>
      </c>
      <c r="H252" s="8" t="s">
        <v>21</v>
      </c>
      <c r="I252" s="8" t="s">
        <v>22</v>
      </c>
      <c r="J252" s="8" t="s">
        <v>22</v>
      </c>
      <c r="K252" s="8" t="s">
        <v>160</v>
      </c>
      <c r="L252" s="8" t="s">
        <v>38</v>
      </c>
      <c r="M252" s="8" t="s">
        <v>39</v>
      </c>
      <c r="N252" s="8" t="s">
        <v>1300</v>
      </c>
      <c r="O252" s="8">
        <f>0+47/60+53.9/3600</f>
        <v>0.7983055555555556</v>
      </c>
      <c r="P252" s="8" t="s">
        <v>1301</v>
      </c>
      <c r="Q252" s="8">
        <f>+(19+35/60+49/3600)</f>
        <v>19.596944444444443</v>
      </c>
      <c r="R252" s="8">
        <v>13.2</v>
      </c>
      <c r="S252" s="8">
        <v>13.9</v>
      </c>
      <c r="T252" s="8">
        <v>0.7</v>
      </c>
      <c r="U252" s="8">
        <v>14.6</v>
      </c>
      <c r="V252" s="8">
        <v>2.4</v>
      </c>
      <c r="W252" s="8">
        <v>1.9</v>
      </c>
      <c r="X252" s="8">
        <v>96</v>
      </c>
      <c r="Y252" s="8" t="s">
        <v>1302</v>
      </c>
      <c r="Z252" s="8" t="s">
        <v>1303</v>
      </c>
    </row>
    <row r="253" spans="1:26" x14ac:dyDescent="0.2">
      <c r="A253" s="8">
        <v>252</v>
      </c>
      <c r="B253" s="8" t="s">
        <v>1304</v>
      </c>
      <c r="C253" s="8" t="s">
        <v>1304</v>
      </c>
      <c r="F253" s="47" t="s">
        <v>56031</v>
      </c>
      <c r="G253" s="8">
        <v>15</v>
      </c>
      <c r="H253" s="8" t="s">
        <v>21</v>
      </c>
      <c r="I253" s="8" t="s">
        <v>22</v>
      </c>
      <c r="J253" s="8" t="s">
        <v>22</v>
      </c>
      <c r="K253" s="8" t="s">
        <v>632</v>
      </c>
      <c r="L253" s="8" t="s">
        <v>51</v>
      </c>
      <c r="M253" s="8" t="s">
        <v>52</v>
      </c>
      <c r="N253" s="8" t="s">
        <v>1305</v>
      </c>
      <c r="O253" s="8">
        <f>0+48/60+1.7/3600</f>
        <v>0.80047222222222225</v>
      </c>
      <c r="P253" s="8" t="s">
        <v>1306</v>
      </c>
      <c r="Q253" s="8">
        <f>+(27+37/60+24/3600)</f>
        <v>27.623333333333335</v>
      </c>
      <c r="R253" s="8">
        <v>12.4</v>
      </c>
      <c r="S253" s="8">
        <v>13.3</v>
      </c>
      <c r="T253" s="8">
        <v>0.9</v>
      </c>
      <c r="U253" s="8">
        <v>12.8</v>
      </c>
      <c r="V253" s="8">
        <v>1.4</v>
      </c>
      <c r="W253" s="8">
        <v>1</v>
      </c>
      <c r="X253" s="8">
        <v>80</v>
      </c>
      <c r="Y253" s="8" t="s">
        <v>1307</v>
      </c>
      <c r="Z253" s="8" t="s">
        <v>1308</v>
      </c>
    </row>
    <row r="254" spans="1:26" x14ac:dyDescent="0.2">
      <c r="A254" s="8">
        <v>253</v>
      </c>
      <c r="B254" s="8" t="s">
        <v>1309</v>
      </c>
      <c r="C254" s="8" t="s">
        <v>1309</v>
      </c>
      <c r="F254" s="47" t="s">
        <v>56032</v>
      </c>
      <c r="G254" s="8">
        <v>2</v>
      </c>
      <c r="H254" s="8" t="s">
        <v>1310</v>
      </c>
      <c r="I254" s="8" t="s">
        <v>22</v>
      </c>
      <c r="J254" s="8" t="s">
        <v>22</v>
      </c>
      <c r="K254" s="8" t="s">
        <v>64</v>
      </c>
      <c r="L254" s="8" t="s">
        <v>65</v>
      </c>
      <c r="M254" s="8" t="s">
        <v>66</v>
      </c>
      <c r="N254" s="8" t="s">
        <v>1311</v>
      </c>
      <c r="O254" s="8">
        <f>0+47/60+33.1/3600</f>
        <v>0.79252777777777772</v>
      </c>
      <c r="P254" s="8" t="s">
        <v>1312</v>
      </c>
      <c r="Q254" s="8">
        <f>-(25+17/60+15/3600)</f>
        <v>-25.287500000000001</v>
      </c>
      <c r="R254" s="8">
        <v>7.2</v>
      </c>
      <c r="S254" s="8">
        <v>8</v>
      </c>
      <c r="T254" s="8">
        <v>0.8</v>
      </c>
      <c r="U254" s="8">
        <v>12.7</v>
      </c>
      <c r="V254" s="8">
        <v>29</v>
      </c>
      <c r="W254" s="8">
        <v>6.8</v>
      </c>
      <c r="X254" s="8">
        <v>52</v>
      </c>
      <c r="Y254" s="8" t="s">
        <v>1313</v>
      </c>
      <c r="Z254" s="8" t="s">
        <v>1314</v>
      </c>
    </row>
    <row r="255" spans="1:26" x14ac:dyDescent="0.2">
      <c r="A255" s="8">
        <v>254</v>
      </c>
      <c r="B255" s="8" t="s">
        <v>1315</v>
      </c>
      <c r="C255" s="8" t="s">
        <v>1315</v>
      </c>
      <c r="F255" s="47"/>
      <c r="G255" s="8">
        <v>13</v>
      </c>
      <c r="H255" s="8" t="s">
        <v>21</v>
      </c>
      <c r="I255" s="8" t="s">
        <v>22</v>
      </c>
      <c r="J255" s="8" t="s">
        <v>22</v>
      </c>
      <c r="K255" s="8" t="s">
        <v>224</v>
      </c>
      <c r="L255" s="8" t="s">
        <v>65</v>
      </c>
      <c r="M255" s="8" t="s">
        <v>66</v>
      </c>
      <c r="N255" s="8" t="s">
        <v>1316</v>
      </c>
      <c r="O255" s="8">
        <f>0+47/60+27.5/3600</f>
        <v>0.79097222222222219</v>
      </c>
      <c r="P255" s="8" t="s">
        <v>1317</v>
      </c>
      <c r="Q255" s="8">
        <f>-(31+25/60+19/3600)</f>
        <v>-31.421944444444446</v>
      </c>
      <c r="R255" s="8">
        <v>11.7</v>
      </c>
      <c r="S255" s="8">
        <v>12.6</v>
      </c>
      <c r="T255" s="8">
        <v>0.9</v>
      </c>
      <c r="U255" s="8">
        <v>13.1</v>
      </c>
      <c r="V255" s="8">
        <v>2.6</v>
      </c>
      <c r="W255" s="8">
        <v>1.7</v>
      </c>
      <c r="X255" s="8">
        <v>137</v>
      </c>
      <c r="Y255" s="8" t="s">
        <v>1318</v>
      </c>
      <c r="Z255" s="8" t="s">
        <v>1319</v>
      </c>
    </row>
    <row r="256" spans="1:26" x14ac:dyDescent="0.2">
      <c r="A256" s="8">
        <v>255</v>
      </c>
      <c r="B256" s="8" t="s">
        <v>1320</v>
      </c>
      <c r="C256" s="8" t="s">
        <v>1320</v>
      </c>
      <c r="F256" s="47" t="s">
        <v>56033</v>
      </c>
      <c r="G256" s="8">
        <v>11</v>
      </c>
      <c r="H256" s="8" t="s">
        <v>21</v>
      </c>
      <c r="I256" s="8" t="s">
        <v>22</v>
      </c>
      <c r="J256" s="8" t="s">
        <v>22</v>
      </c>
      <c r="K256" s="8" t="s">
        <v>85</v>
      </c>
      <c r="L256" s="8" t="s">
        <v>125</v>
      </c>
      <c r="M256" s="8" t="s">
        <v>126</v>
      </c>
      <c r="N256" s="8" t="s">
        <v>1321</v>
      </c>
      <c r="O256" s="8">
        <f>0+47/60+47.3/3600</f>
        <v>0.79647222222222225</v>
      </c>
      <c r="P256" s="8" t="s">
        <v>1322</v>
      </c>
      <c r="Q256" s="8">
        <f>-(11+28/60+6/3600)</f>
        <v>-11.468333333333334</v>
      </c>
      <c r="R256" s="8">
        <v>11.9</v>
      </c>
      <c r="S256" s="8">
        <v>12.4</v>
      </c>
      <c r="T256" s="8">
        <v>0.5</v>
      </c>
      <c r="U256" s="8">
        <v>13.9</v>
      </c>
      <c r="V256" s="8">
        <v>3.1</v>
      </c>
      <c r="W256" s="8">
        <v>2.7</v>
      </c>
      <c r="X256" s="8">
        <v>15</v>
      </c>
      <c r="Y256" s="8" t="s">
        <v>1323</v>
      </c>
      <c r="Z256" s="8" t="s">
        <v>1324</v>
      </c>
    </row>
    <row r="257" spans="1:26" x14ac:dyDescent="0.2">
      <c r="A257" s="8">
        <v>256</v>
      </c>
      <c r="B257" s="8" t="s">
        <v>1325</v>
      </c>
      <c r="C257" s="8" t="s">
        <v>1325</v>
      </c>
      <c r="F257" s="47"/>
      <c r="G257" s="8">
        <v>16</v>
      </c>
      <c r="H257" s="8" t="s">
        <v>21</v>
      </c>
      <c r="I257" s="8" t="s">
        <v>557</v>
      </c>
      <c r="J257" s="8" t="s">
        <v>557</v>
      </c>
      <c r="K257" s="8" t="s">
        <v>557</v>
      </c>
      <c r="L257" s="8" t="s">
        <v>310</v>
      </c>
      <c r="M257" s="8" t="s">
        <v>311</v>
      </c>
      <c r="N257" s="8" t="s">
        <v>1326</v>
      </c>
      <c r="O257" s="8">
        <f>0+45/60+53.3/3600</f>
        <v>0.76480555555555552</v>
      </c>
      <c r="P257" s="8" t="s">
        <v>1327</v>
      </c>
      <c r="Q257" s="8">
        <f>-(73+30/60+25/3600)</f>
        <v>-73.506944444444443</v>
      </c>
      <c r="R257" s="8">
        <v>12.7</v>
      </c>
      <c r="S257" s="8">
        <v>99</v>
      </c>
      <c r="T257" s="8">
        <v>99</v>
      </c>
      <c r="U257" s="8">
        <v>99</v>
      </c>
      <c r="V257" s="8">
        <v>0.6</v>
      </c>
      <c r="Y257" s="8" t="s">
        <v>1328</v>
      </c>
      <c r="Z257" s="8" t="s">
        <v>1329</v>
      </c>
    </row>
    <row r="258" spans="1:26" x14ac:dyDescent="0.2">
      <c r="A258" s="8">
        <v>257</v>
      </c>
      <c r="B258" s="8" t="s">
        <v>1330</v>
      </c>
      <c r="C258" s="8" t="s">
        <v>1330</v>
      </c>
      <c r="F258" s="47" t="s">
        <v>56034</v>
      </c>
      <c r="G258" s="8">
        <v>15</v>
      </c>
      <c r="H258" s="8" t="s">
        <v>21</v>
      </c>
      <c r="I258" s="8" t="s">
        <v>22</v>
      </c>
      <c r="J258" s="8" t="s">
        <v>22</v>
      </c>
      <c r="K258" s="8" t="s">
        <v>160</v>
      </c>
      <c r="L258" s="8" t="s">
        <v>38</v>
      </c>
      <c r="M258" s="8" t="s">
        <v>39</v>
      </c>
      <c r="N258" s="8" t="s">
        <v>1331</v>
      </c>
      <c r="O258" s="8">
        <f>0+48/60+1.6/3600</f>
        <v>0.80044444444444451</v>
      </c>
      <c r="P258" s="8" t="s">
        <v>1332</v>
      </c>
      <c r="Q258" s="8">
        <f>+(8+17/60+48/3600)</f>
        <v>8.2966666666666669</v>
      </c>
      <c r="R258" s="8">
        <v>12.6</v>
      </c>
      <c r="S258" s="8">
        <v>13.3</v>
      </c>
      <c r="T258" s="8">
        <v>0.7</v>
      </c>
      <c r="U258" s="8">
        <v>13.4</v>
      </c>
      <c r="V258" s="8">
        <v>1.9</v>
      </c>
      <c r="W258" s="8">
        <v>1.3</v>
      </c>
      <c r="X258" s="8">
        <v>105</v>
      </c>
      <c r="Y258" s="8" t="s">
        <v>1333</v>
      </c>
      <c r="Z258" s="8" t="s">
        <v>1334</v>
      </c>
    </row>
    <row r="259" spans="1:26" x14ac:dyDescent="0.2">
      <c r="A259" s="8">
        <v>258</v>
      </c>
      <c r="B259" s="8" t="s">
        <v>1335</v>
      </c>
      <c r="C259" s="8" t="s">
        <v>1335</v>
      </c>
      <c r="F259" s="47"/>
      <c r="G259" s="8">
        <v>18</v>
      </c>
      <c r="H259" s="8" t="s">
        <v>21</v>
      </c>
      <c r="I259" s="8" t="s">
        <v>22</v>
      </c>
      <c r="J259" s="8" t="s">
        <v>22</v>
      </c>
      <c r="K259" s="8" t="s">
        <v>23</v>
      </c>
      <c r="L259" s="8" t="s">
        <v>51</v>
      </c>
      <c r="M259" s="8" t="s">
        <v>52</v>
      </c>
      <c r="N259" s="8" t="s">
        <v>1336</v>
      </c>
      <c r="O259" s="8">
        <f>0+48/60+12.8/3600</f>
        <v>0.80355555555555558</v>
      </c>
      <c r="P259" s="8" t="s">
        <v>1337</v>
      </c>
      <c r="Q259" s="8">
        <f>+(27+39/60+28/3600)</f>
        <v>27.657777777777778</v>
      </c>
      <c r="R259" s="8">
        <v>14.2</v>
      </c>
      <c r="S259" s="8">
        <v>15</v>
      </c>
      <c r="T259" s="8">
        <v>0.8</v>
      </c>
      <c r="U259" s="8">
        <v>12.3</v>
      </c>
      <c r="V259" s="8">
        <v>0.5</v>
      </c>
      <c r="W259" s="8">
        <v>0.4</v>
      </c>
      <c r="X259" s="8">
        <v>108</v>
      </c>
      <c r="Y259" s="8" t="s">
        <v>1338</v>
      </c>
      <c r="Z259" s="8" t="s">
        <v>1339</v>
      </c>
    </row>
    <row r="260" spans="1:26" x14ac:dyDescent="0.2">
      <c r="A260" s="8">
        <v>259</v>
      </c>
      <c r="B260" s="8" t="s">
        <v>1340</v>
      </c>
      <c r="C260" s="8" t="s">
        <v>1340</v>
      </c>
      <c r="F260" s="47" t="s">
        <v>56035</v>
      </c>
      <c r="G260" s="8">
        <v>15</v>
      </c>
      <c r="H260" s="8" t="s">
        <v>21</v>
      </c>
      <c r="I260" s="8" t="s">
        <v>22</v>
      </c>
      <c r="J260" s="8" t="s">
        <v>22</v>
      </c>
      <c r="K260" s="8" t="s">
        <v>396</v>
      </c>
      <c r="L260" s="8" t="s">
        <v>125</v>
      </c>
      <c r="M260" s="8" t="s">
        <v>126</v>
      </c>
      <c r="N260" s="8" t="s">
        <v>1341</v>
      </c>
      <c r="O260" s="8">
        <f>0+48/60+3.2/3600</f>
        <v>0.80088888888888898</v>
      </c>
      <c r="P260" s="8" t="s">
        <v>1342</v>
      </c>
      <c r="Q260" s="8">
        <f>-(2+46/60+33/3600)</f>
        <v>-2.7758333333333334</v>
      </c>
      <c r="R260" s="8">
        <v>12.8</v>
      </c>
      <c r="S260" s="8">
        <v>13.6</v>
      </c>
      <c r="T260" s="8">
        <v>0.8</v>
      </c>
      <c r="U260" s="8">
        <v>13.3</v>
      </c>
      <c r="V260" s="8">
        <v>2.9</v>
      </c>
      <c r="W260" s="8">
        <v>0.6</v>
      </c>
      <c r="X260" s="8">
        <v>139</v>
      </c>
      <c r="Y260" s="8" t="s">
        <v>1343</v>
      </c>
      <c r="Z260" s="8" t="s">
        <v>1344</v>
      </c>
    </row>
    <row r="261" spans="1:26" x14ac:dyDescent="0.2">
      <c r="A261" s="8">
        <v>260</v>
      </c>
      <c r="B261" s="8" t="s">
        <v>1345</v>
      </c>
      <c r="C261" s="8" t="s">
        <v>1345</v>
      </c>
      <c r="F261" s="47"/>
      <c r="G261" s="8">
        <v>18</v>
      </c>
      <c r="H261" s="8" t="s">
        <v>21</v>
      </c>
      <c r="I261" s="8" t="s">
        <v>22</v>
      </c>
      <c r="J261" s="8" t="s">
        <v>22</v>
      </c>
      <c r="K261" s="8" t="s">
        <v>538</v>
      </c>
      <c r="L261" s="8" t="s">
        <v>51</v>
      </c>
      <c r="M261" s="8" t="s">
        <v>52</v>
      </c>
      <c r="N261" s="8" t="s">
        <v>1346</v>
      </c>
      <c r="O261" s="8">
        <f>0+48/60+34.9/3600</f>
        <v>0.80969444444444449</v>
      </c>
      <c r="P261" s="8" t="s">
        <v>1347</v>
      </c>
      <c r="Q261" s="8">
        <f>+(27+41/60+31/3600)</f>
        <v>27.691944444444445</v>
      </c>
      <c r="R261" s="8">
        <v>13.5</v>
      </c>
      <c r="S261" s="8">
        <v>14.2</v>
      </c>
      <c r="T261" s="8">
        <v>0.7</v>
      </c>
      <c r="U261" s="8">
        <v>12.9</v>
      </c>
      <c r="V261" s="8">
        <v>0.8</v>
      </c>
      <c r="W261" s="8">
        <v>0.8</v>
      </c>
      <c r="Y261" s="8" t="s">
        <v>1348</v>
      </c>
      <c r="Z261" s="8" t="s">
        <v>1349</v>
      </c>
    </row>
    <row r="262" spans="1:26" x14ac:dyDescent="0.2">
      <c r="A262" s="8">
        <v>261</v>
      </c>
      <c r="B262" s="8" t="s">
        <v>1350</v>
      </c>
      <c r="C262" s="8" t="s">
        <v>1350</v>
      </c>
      <c r="F262" s="47"/>
      <c r="G262" s="8">
        <v>16</v>
      </c>
      <c r="H262" s="8" t="s">
        <v>21</v>
      </c>
      <c r="I262" s="8" t="s">
        <v>1283</v>
      </c>
      <c r="J262" s="8" t="s">
        <v>1283</v>
      </c>
      <c r="K262" s="8" t="s">
        <v>1284</v>
      </c>
      <c r="L262" s="8" t="s">
        <v>310</v>
      </c>
      <c r="M262" s="8" t="s">
        <v>311</v>
      </c>
      <c r="N262" s="8" t="s">
        <v>1351</v>
      </c>
      <c r="O262" s="8">
        <f>0+46/60+27.9/3600</f>
        <v>0.77441666666666675</v>
      </c>
      <c r="P262" s="8" t="s">
        <v>1352</v>
      </c>
      <c r="Q262" s="8">
        <f>-(73+6/60+14/3600)</f>
        <v>-73.103888888888889</v>
      </c>
      <c r="R262" s="8">
        <v>99</v>
      </c>
      <c r="S262" s="8">
        <v>13</v>
      </c>
      <c r="T262" s="8">
        <v>99</v>
      </c>
      <c r="U262" s="8">
        <v>99</v>
      </c>
      <c r="V262" s="8">
        <v>1.9</v>
      </c>
      <c r="Y262" s="8" t="s">
        <v>1353</v>
      </c>
      <c r="Z262" s="8" t="s">
        <v>1354</v>
      </c>
    </row>
    <row r="263" spans="1:26" x14ac:dyDescent="0.2">
      <c r="A263" s="8">
        <v>262</v>
      </c>
      <c r="B263" s="8" t="s">
        <v>1355</v>
      </c>
      <c r="C263" s="8" t="s">
        <v>1355</v>
      </c>
      <c r="F263" s="47"/>
      <c r="G263" s="8">
        <v>14</v>
      </c>
      <c r="H263" s="8" t="s">
        <v>1356</v>
      </c>
      <c r="I263" s="8" t="s">
        <v>22</v>
      </c>
      <c r="J263" s="8" t="s">
        <v>22</v>
      </c>
      <c r="K263" s="8" t="s">
        <v>632</v>
      </c>
      <c r="L263" s="8" t="s">
        <v>51</v>
      </c>
      <c r="M263" s="8" t="s">
        <v>52</v>
      </c>
      <c r="N263" s="8" t="s">
        <v>1357</v>
      </c>
      <c r="O263" s="8">
        <f>0+48/60+47.1/3600</f>
        <v>0.81308333333333338</v>
      </c>
      <c r="P263" s="8" t="s">
        <v>1358</v>
      </c>
      <c r="Q263" s="8">
        <f>+(31+57/60+27/3600)</f>
        <v>31.9575</v>
      </c>
      <c r="R263" s="8">
        <v>13.1</v>
      </c>
      <c r="S263" s="8">
        <v>13.9</v>
      </c>
      <c r="T263" s="8">
        <v>0.8</v>
      </c>
      <c r="U263" s="8">
        <v>13.1</v>
      </c>
      <c r="V263" s="8">
        <v>1.1000000000000001</v>
      </c>
      <c r="W263" s="8">
        <v>1.1000000000000001</v>
      </c>
      <c r="Y263" s="8" t="s">
        <v>1359</v>
      </c>
      <c r="Z263" s="8" t="s">
        <v>1360</v>
      </c>
    </row>
    <row r="264" spans="1:26" x14ac:dyDescent="0.2">
      <c r="A264" s="8">
        <v>263</v>
      </c>
      <c r="B264" s="8" t="s">
        <v>1361</v>
      </c>
      <c r="C264" s="8" t="s">
        <v>1361</v>
      </c>
      <c r="F264" s="47"/>
      <c r="G264" s="8">
        <v>19</v>
      </c>
      <c r="H264" s="8" t="s">
        <v>21</v>
      </c>
      <c r="I264" s="8" t="s">
        <v>22</v>
      </c>
      <c r="J264" s="8" t="s">
        <v>22</v>
      </c>
      <c r="K264" s="8" t="s">
        <v>396</v>
      </c>
      <c r="L264" s="8" t="s">
        <v>125</v>
      </c>
      <c r="M264" s="8" t="s">
        <v>126</v>
      </c>
      <c r="N264" s="8" t="s">
        <v>1362</v>
      </c>
      <c r="O264" s="8">
        <f>0+48/60+48.4/3600</f>
        <v>0.81344444444444453</v>
      </c>
      <c r="P264" s="8" t="s">
        <v>1363</v>
      </c>
      <c r="Q264" s="8">
        <f>-(13+6/60+26/3600)</f>
        <v>-13.107222222222221</v>
      </c>
      <c r="R264" s="8">
        <v>14.3</v>
      </c>
      <c r="S264" s="8">
        <v>15.1</v>
      </c>
      <c r="T264" s="8">
        <v>0.8</v>
      </c>
      <c r="U264" s="8">
        <v>12.5</v>
      </c>
      <c r="V264" s="8">
        <v>0.7</v>
      </c>
      <c r="W264" s="8">
        <v>0.3</v>
      </c>
      <c r="X264" s="8">
        <v>45</v>
      </c>
      <c r="Y264" s="8" t="s">
        <v>1364</v>
      </c>
      <c r="Z264" s="8" t="s">
        <v>1365</v>
      </c>
    </row>
    <row r="265" spans="1:26" x14ac:dyDescent="0.2">
      <c r="A265" s="8">
        <v>264</v>
      </c>
      <c r="B265" s="8" t="s">
        <v>1366</v>
      </c>
      <c r="C265" s="8" t="s">
        <v>1366</v>
      </c>
      <c r="F265" s="47"/>
      <c r="G265" s="8">
        <v>16</v>
      </c>
      <c r="H265" s="8" t="s">
        <v>21</v>
      </c>
      <c r="I265" s="8" t="s">
        <v>22</v>
      </c>
      <c r="J265" s="8" t="s">
        <v>22</v>
      </c>
      <c r="K265" s="8" t="s">
        <v>37</v>
      </c>
      <c r="L265" s="8" t="s">
        <v>65</v>
      </c>
      <c r="M265" s="8" t="s">
        <v>66</v>
      </c>
      <c r="N265" s="8" t="s">
        <v>1367</v>
      </c>
      <c r="O265" s="8">
        <f>0+48/60+20.9/3600</f>
        <v>0.80580555555555555</v>
      </c>
      <c r="P265" s="8" t="s">
        <v>1368</v>
      </c>
      <c r="Q265" s="8">
        <f>-(38+14/60+4/3600)</f>
        <v>-38.234444444444442</v>
      </c>
      <c r="R265" s="8">
        <v>13.5</v>
      </c>
      <c r="S265" s="8">
        <v>14.5</v>
      </c>
      <c r="T265" s="8">
        <v>1</v>
      </c>
      <c r="U265" s="8">
        <v>12.4</v>
      </c>
      <c r="V265" s="8">
        <v>1.1000000000000001</v>
      </c>
      <c r="W265" s="8">
        <v>0.3</v>
      </c>
      <c r="X265" s="8">
        <v>113</v>
      </c>
      <c r="Y265" s="8" t="s">
        <v>1369</v>
      </c>
      <c r="Z265" s="8" t="s">
        <v>1370</v>
      </c>
    </row>
    <row r="266" spans="1:26" x14ac:dyDescent="0.2">
      <c r="A266" s="8">
        <v>265</v>
      </c>
      <c r="B266" s="8" t="s">
        <v>1371</v>
      </c>
      <c r="C266" s="8" t="s">
        <v>1371</v>
      </c>
      <c r="F266" s="47"/>
      <c r="G266" s="8">
        <v>16</v>
      </c>
      <c r="H266" s="8" t="s">
        <v>21</v>
      </c>
      <c r="I266" s="8" t="s">
        <v>557</v>
      </c>
      <c r="J266" s="8" t="s">
        <v>557</v>
      </c>
      <c r="K266" s="8" t="s">
        <v>557</v>
      </c>
      <c r="L266" s="8" t="s">
        <v>310</v>
      </c>
      <c r="M266" s="8" t="s">
        <v>311</v>
      </c>
      <c r="N266" s="8" t="s">
        <v>1372</v>
      </c>
      <c r="O266" s="8">
        <f>0+47/60+11.1/3600</f>
        <v>0.78641666666666665</v>
      </c>
      <c r="P266" s="8" t="s">
        <v>1373</v>
      </c>
      <c r="Q266" s="8">
        <f>-(73+28/60+38/3600)</f>
        <v>-73.477222222222224</v>
      </c>
      <c r="R266" s="8">
        <v>12.2</v>
      </c>
      <c r="S266" s="8">
        <v>99</v>
      </c>
      <c r="T266" s="8">
        <v>99</v>
      </c>
      <c r="U266" s="8">
        <v>99</v>
      </c>
      <c r="V266" s="8">
        <v>1</v>
      </c>
      <c r="Y266" s="8" t="s">
        <v>1374</v>
      </c>
      <c r="Z266" s="8" t="s">
        <v>1375</v>
      </c>
    </row>
    <row r="267" spans="1:26" x14ac:dyDescent="0.2">
      <c r="A267" s="8">
        <v>266</v>
      </c>
      <c r="B267" s="8" t="s">
        <v>1376</v>
      </c>
      <c r="C267" s="8" t="s">
        <v>1376</v>
      </c>
      <c r="F267" s="47" t="s">
        <v>56036</v>
      </c>
      <c r="G267" s="8">
        <v>15</v>
      </c>
      <c r="H267" s="8" t="s">
        <v>21</v>
      </c>
      <c r="I267" s="8" t="s">
        <v>22</v>
      </c>
      <c r="J267" s="8" t="s">
        <v>22</v>
      </c>
      <c r="K267" s="8" t="s">
        <v>406</v>
      </c>
      <c r="L267" s="8" t="s">
        <v>38</v>
      </c>
      <c r="M267" s="8" t="s">
        <v>39</v>
      </c>
      <c r="N267" s="8" t="s">
        <v>1377</v>
      </c>
      <c r="O267" s="8">
        <f>0+49/60+47.8/3600</f>
        <v>0.82994444444444437</v>
      </c>
      <c r="P267" s="8" t="s">
        <v>1378</v>
      </c>
      <c r="Q267" s="8">
        <f>+(32+16/60+39/3600)</f>
        <v>32.277499999999996</v>
      </c>
      <c r="R267" s="8">
        <v>11.6</v>
      </c>
      <c r="S267" s="8">
        <v>12.5</v>
      </c>
      <c r="T267" s="8">
        <v>0.9</v>
      </c>
      <c r="U267" s="8">
        <v>13.8</v>
      </c>
      <c r="V267" s="8">
        <v>3</v>
      </c>
      <c r="W267" s="8">
        <v>2.9</v>
      </c>
      <c r="X267" s="8">
        <v>99</v>
      </c>
      <c r="Y267" s="8" t="s">
        <v>1379</v>
      </c>
      <c r="Z267" s="8" t="s">
        <v>1380</v>
      </c>
    </row>
    <row r="268" spans="1:26" x14ac:dyDescent="0.2">
      <c r="A268" s="8">
        <v>267</v>
      </c>
      <c r="B268" s="8" t="s">
        <v>1381</v>
      </c>
      <c r="C268" s="8" t="s">
        <v>1381</v>
      </c>
      <c r="F268" s="47"/>
      <c r="G268" s="8">
        <v>16</v>
      </c>
      <c r="H268" s="8" t="s">
        <v>21</v>
      </c>
      <c r="I268" s="8" t="s">
        <v>557</v>
      </c>
      <c r="J268" s="8" t="s">
        <v>557</v>
      </c>
      <c r="K268" s="8" t="s">
        <v>557</v>
      </c>
      <c r="L268" s="8" t="s">
        <v>310</v>
      </c>
      <c r="M268" s="8" t="s">
        <v>311</v>
      </c>
      <c r="N268" s="8" t="s">
        <v>1382</v>
      </c>
      <c r="O268" s="8">
        <f>0+48/60+2.9/3600</f>
        <v>0.80080555555555555</v>
      </c>
      <c r="P268" s="8" t="s">
        <v>1383</v>
      </c>
      <c r="Q268" s="8">
        <f>-(73+16/60+27/3600)</f>
        <v>-73.274166666666659</v>
      </c>
      <c r="R268" s="8">
        <v>99</v>
      </c>
      <c r="S268" s="8">
        <v>99</v>
      </c>
      <c r="T268" s="8">
        <v>99</v>
      </c>
      <c r="U268" s="8">
        <v>99</v>
      </c>
      <c r="V268" s="8">
        <v>2.5</v>
      </c>
      <c r="Y268" s="8" t="s">
        <v>1384</v>
      </c>
      <c r="Z268" s="8" t="s">
        <v>1385</v>
      </c>
    </row>
    <row r="269" spans="1:26" x14ac:dyDescent="0.2">
      <c r="A269" s="8">
        <v>268</v>
      </c>
      <c r="B269" s="8" t="s">
        <v>1386</v>
      </c>
      <c r="C269" s="8" t="s">
        <v>1386</v>
      </c>
      <c r="F269" s="47" t="s">
        <v>56037</v>
      </c>
      <c r="G269" s="8">
        <v>13</v>
      </c>
      <c r="H269" s="8" t="s">
        <v>21</v>
      </c>
      <c r="I269" s="8" t="s">
        <v>22</v>
      </c>
      <c r="J269" s="8" t="s">
        <v>22</v>
      </c>
      <c r="K269" s="8" t="s">
        <v>85</v>
      </c>
      <c r="L269" s="8" t="s">
        <v>125</v>
      </c>
      <c r="M269" s="8" t="s">
        <v>126</v>
      </c>
      <c r="N269" s="8" t="s">
        <v>1387</v>
      </c>
      <c r="O269" s="8">
        <f>0+50/60+9.4/3600</f>
        <v>0.83594444444444449</v>
      </c>
      <c r="P269" s="8" t="s">
        <v>1388</v>
      </c>
      <c r="Q269" s="8">
        <f>-(5+11/60+38/3600)</f>
        <v>-5.193888888888889</v>
      </c>
      <c r="R269" s="8">
        <v>13.1</v>
      </c>
      <c r="S269" s="8">
        <v>13.6</v>
      </c>
      <c r="T269" s="8">
        <v>0.5</v>
      </c>
      <c r="U269" s="8">
        <v>13.6</v>
      </c>
      <c r="V269" s="8">
        <v>1.6</v>
      </c>
      <c r="W269" s="8">
        <v>1.1000000000000001</v>
      </c>
      <c r="X269" s="8">
        <v>75</v>
      </c>
      <c r="Y269" s="8" t="s">
        <v>1389</v>
      </c>
      <c r="Z269" s="8" t="s">
        <v>1390</v>
      </c>
    </row>
    <row r="270" spans="1:26" x14ac:dyDescent="0.2">
      <c r="A270" s="8">
        <v>269</v>
      </c>
      <c r="B270" s="8" t="s">
        <v>1391</v>
      </c>
      <c r="C270" s="8" t="s">
        <v>1391</v>
      </c>
      <c r="F270" s="47"/>
      <c r="G270" s="8">
        <v>16</v>
      </c>
      <c r="H270" s="8" t="s">
        <v>21</v>
      </c>
      <c r="I270" s="8" t="s">
        <v>557</v>
      </c>
      <c r="J270" s="8" t="s">
        <v>557</v>
      </c>
      <c r="K270" s="8" t="s">
        <v>557</v>
      </c>
      <c r="L270" s="8" t="s">
        <v>310</v>
      </c>
      <c r="M270" s="8" t="s">
        <v>311</v>
      </c>
      <c r="N270" s="8" t="s">
        <v>1392</v>
      </c>
      <c r="O270" s="8">
        <f>0+48/60+21/3600</f>
        <v>0.8058333333333334</v>
      </c>
      <c r="P270" s="8" t="s">
        <v>1393</v>
      </c>
      <c r="Q270" s="8">
        <f>-(73+31/60+54/3600)</f>
        <v>-73.531666666666666</v>
      </c>
      <c r="R270" s="8">
        <v>13.3</v>
      </c>
      <c r="S270" s="8">
        <v>99</v>
      </c>
      <c r="T270" s="8">
        <v>99</v>
      </c>
      <c r="U270" s="8">
        <v>99</v>
      </c>
      <c r="V270" s="8">
        <v>0.6</v>
      </c>
      <c r="Y270" s="8" t="s">
        <v>170</v>
      </c>
      <c r="Z270" s="8" t="s">
        <v>171</v>
      </c>
    </row>
    <row r="271" spans="1:26" x14ac:dyDescent="0.2">
      <c r="A271" s="8">
        <v>270</v>
      </c>
      <c r="B271" s="8" t="s">
        <v>1394</v>
      </c>
      <c r="C271" s="8" t="s">
        <v>1394</v>
      </c>
      <c r="F271" s="47" t="s">
        <v>56038</v>
      </c>
      <c r="G271" s="8">
        <v>15</v>
      </c>
      <c r="H271" s="8" t="s">
        <v>21</v>
      </c>
      <c r="I271" s="8" t="s">
        <v>22</v>
      </c>
      <c r="J271" s="8" t="s">
        <v>22</v>
      </c>
      <c r="K271" s="8" t="s">
        <v>632</v>
      </c>
      <c r="L271" s="8" t="s">
        <v>125</v>
      </c>
      <c r="M271" s="8" t="s">
        <v>126</v>
      </c>
      <c r="N271" s="8" t="s">
        <v>1395</v>
      </c>
      <c r="O271" s="8">
        <f>0+50/60+32.4/3600</f>
        <v>0.84233333333333338</v>
      </c>
      <c r="P271" s="8" t="s">
        <v>1396</v>
      </c>
      <c r="Q271" s="8">
        <f>-(8+39/60+6/3600)</f>
        <v>-8.6516666666666673</v>
      </c>
      <c r="R271" s="8">
        <v>12.9</v>
      </c>
      <c r="S271" s="8">
        <v>13.8</v>
      </c>
      <c r="T271" s="8">
        <v>0.9</v>
      </c>
      <c r="U271" s="8">
        <v>13.6</v>
      </c>
      <c r="V271" s="8">
        <v>1.7</v>
      </c>
      <c r="W271" s="8">
        <v>1.2</v>
      </c>
      <c r="X271" s="8">
        <v>25</v>
      </c>
      <c r="Y271" s="8" t="s">
        <v>1397</v>
      </c>
      <c r="Z271" s="8" t="s">
        <v>1398</v>
      </c>
    </row>
    <row r="272" spans="1:26" x14ac:dyDescent="0.2">
      <c r="A272" s="8">
        <v>271</v>
      </c>
      <c r="B272" s="8" t="s">
        <v>1399</v>
      </c>
      <c r="C272" s="8" t="s">
        <v>1399</v>
      </c>
      <c r="F272" s="47" t="s">
        <v>56039</v>
      </c>
      <c r="G272" s="8">
        <v>15</v>
      </c>
      <c r="H272" s="8" t="s">
        <v>21</v>
      </c>
      <c r="I272" s="8" t="s">
        <v>22</v>
      </c>
      <c r="J272" s="8" t="s">
        <v>22</v>
      </c>
      <c r="K272" s="8" t="s">
        <v>406</v>
      </c>
      <c r="L272" s="8" t="s">
        <v>125</v>
      </c>
      <c r="M272" s="8" t="s">
        <v>126</v>
      </c>
      <c r="N272" s="8" t="s">
        <v>1400</v>
      </c>
      <c r="O272" s="8">
        <f>0+50/60+41.9/3600</f>
        <v>0.84497222222222224</v>
      </c>
      <c r="P272" s="8" t="s">
        <v>1401</v>
      </c>
      <c r="Q272" s="8">
        <f>-(1+54/60+38/3600)</f>
        <v>-1.9105555555555556</v>
      </c>
      <c r="R272" s="8">
        <v>12</v>
      </c>
      <c r="S272" s="8">
        <v>12.8</v>
      </c>
      <c r="T272" s="8">
        <v>0.8</v>
      </c>
      <c r="U272" s="8">
        <v>13.2</v>
      </c>
      <c r="V272" s="8">
        <v>2.2000000000000002</v>
      </c>
      <c r="W272" s="8">
        <v>1.7</v>
      </c>
      <c r="X272" s="8">
        <v>130</v>
      </c>
      <c r="Y272" s="8" t="s">
        <v>1402</v>
      </c>
      <c r="Z272" s="8" t="s">
        <v>1403</v>
      </c>
    </row>
    <row r="273" spans="1:26" x14ac:dyDescent="0.2">
      <c r="A273" s="8">
        <v>272</v>
      </c>
      <c r="B273" s="8" t="s">
        <v>1404</v>
      </c>
      <c r="C273" s="8" t="s">
        <v>1404</v>
      </c>
      <c r="F273" s="47"/>
      <c r="G273" s="8">
        <v>18</v>
      </c>
      <c r="H273" s="8" t="s">
        <v>21</v>
      </c>
      <c r="I273" s="8" t="s">
        <v>72</v>
      </c>
      <c r="J273" s="8" t="s">
        <v>72</v>
      </c>
      <c r="K273" s="8" t="s">
        <v>1405</v>
      </c>
      <c r="L273" s="8" t="s">
        <v>51</v>
      </c>
      <c r="M273" s="8" t="s">
        <v>52</v>
      </c>
      <c r="N273" s="8" t="s">
        <v>1406</v>
      </c>
      <c r="O273" s="8">
        <f>0+51/60+26/3600</f>
        <v>0.85722222222222222</v>
      </c>
      <c r="P273" s="8" t="s">
        <v>1407</v>
      </c>
      <c r="Q273" s="8">
        <f>+(35+49/60+18/3600)</f>
        <v>35.821666666666673</v>
      </c>
      <c r="R273" s="8">
        <v>8.5</v>
      </c>
      <c r="S273" s="8">
        <v>99</v>
      </c>
      <c r="T273" s="8">
        <v>99</v>
      </c>
      <c r="U273" s="8">
        <v>99</v>
      </c>
      <c r="V273" s="8">
        <v>5</v>
      </c>
      <c r="Y273" s="8" t="s">
        <v>1408</v>
      </c>
      <c r="Z273" s="8" t="s">
        <v>1409</v>
      </c>
    </row>
    <row r="274" spans="1:26" x14ac:dyDescent="0.2">
      <c r="A274" s="8">
        <v>273</v>
      </c>
      <c r="B274" s="8" t="s">
        <v>1410</v>
      </c>
      <c r="C274" s="8" t="s">
        <v>1410</v>
      </c>
      <c r="F274" s="47" t="s">
        <v>56040</v>
      </c>
      <c r="G274" s="8">
        <v>15</v>
      </c>
      <c r="H274" s="8" t="s">
        <v>21</v>
      </c>
      <c r="I274" s="8" t="s">
        <v>22</v>
      </c>
      <c r="J274" s="8" t="s">
        <v>22</v>
      </c>
      <c r="K274" s="8" t="s">
        <v>37</v>
      </c>
      <c r="L274" s="8" t="s">
        <v>125</v>
      </c>
      <c r="M274" s="8" t="s">
        <v>126</v>
      </c>
      <c r="N274" s="8" t="s">
        <v>1411</v>
      </c>
      <c r="O274" s="8">
        <f>0+50/60+48.4/3600</f>
        <v>0.84677777777777785</v>
      </c>
      <c r="P274" s="8" t="s">
        <v>1412</v>
      </c>
      <c r="Q274" s="8">
        <f>-(6+53/60+8/3600)</f>
        <v>-6.8855555555555554</v>
      </c>
      <c r="R274" s="8">
        <v>12.9</v>
      </c>
      <c r="S274" s="8">
        <v>13.9</v>
      </c>
      <c r="T274" s="8">
        <v>1</v>
      </c>
      <c r="U274" s="8">
        <v>13.2</v>
      </c>
      <c r="V274" s="8">
        <v>2.1</v>
      </c>
      <c r="W274" s="8">
        <v>0.6</v>
      </c>
      <c r="X274" s="8">
        <v>102</v>
      </c>
      <c r="Y274" s="8" t="s">
        <v>282</v>
      </c>
      <c r="Z274" s="8" t="s">
        <v>1413</v>
      </c>
    </row>
    <row r="275" spans="1:26" x14ac:dyDescent="0.2">
      <c r="A275" s="8">
        <v>274</v>
      </c>
      <c r="B275" s="8" t="s">
        <v>1414</v>
      </c>
      <c r="C275" s="8" t="s">
        <v>1414</v>
      </c>
      <c r="F275" s="47" t="s">
        <v>56041</v>
      </c>
      <c r="G275" s="8">
        <v>13</v>
      </c>
      <c r="H275" s="8" t="s">
        <v>21</v>
      </c>
      <c r="I275" s="8" t="s">
        <v>22</v>
      </c>
      <c r="J275" s="8" t="s">
        <v>22</v>
      </c>
      <c r="K275" s="8" t="s">
        <v>118</v>
      </c>
      <c r="L275" s="8" t="s">
        <v>125</v>
      </c>
      <c r="M275" s="8" t="s">
        <v>126</v>
      </c>
      <c r="N275" s="8" t="s">
        <v>1415</v>
      </c>
      <c r="O275" s="8">
        <f>0+51/60+1.8/3600</f>
        <v>0.85049999999999992</v>
      </c>
      <c r="P275" s="8" t="s">
        <v>1416</v>
      </c>
      <c r="Q275" s="8">
        <f>-(7+3/60+24/3600)</f>
        <v>-7.0566666666666666</v>
      </c>
      <c r="R275" s="8">
        <v>11.8</v>
      </c>
      <c r="S275" s="8">
        <v>12.8</v>
      </c>
      <c r="T275" s="8">
        <v>1</v>
      </c>
      <c r="U275" s="8">
        <v>12.4</v>
      </c>
      <c r="V275" s="8">
        <v>1.4</v>
      </c>
      <c r="W275" s="8">
        <v>1.2</v>
      </c>
      <c r="X275" s="8">
        <v>25</v>
      </c>
      <c r="Y275" s="8" t="s">
        <v>1417</v>
      </c>
      <c r="Z275" s="8" t="s">
        <v>1418</v>
      </c>
    </row>
    <row r="276" spans="1:26" x14ac:dyDescent="0.2">
      <c r="A276" s="8">
        <v>275</v>
      </c>
      <c r="B276" s="8" t="s">
        <v>1419</v>
      </c>
      <c r="C276" s="8" t="s">
        <v>1419</v>
      </c>
      <c r="F276" s="47"/>
      <c r="G276" s="8">
        <v>13</v>
      </c>
      <c r="H276" s="8" t="s">
        <v>21</v>
      </c>
      <c r="I276" s="8" t="s">
        <v>22</v>
      </c>
      <c r="J276" s="8" t="s">
        <v>22</v>
      </c>
      <c r="K276" s="8" t="s">
        <v>1420</v>
      </c>
      <c r="L276" s="8" t="s">
        <v>125</v>
      </c>
      <c r="M276" s="8" t="s">
        <v>126</v>
      </c>
      <c r="N276" s="8" t="s">
        <v>1421</v>
      </c>
      <c r="O276" s="8">
        <f>0+51/60+4.5/3600</f>
        <v>0.85124999999999995</v>
      </c>
      <c r="P276" s="8" t="s">
        <v>1422</v>
      </c>
      <c r="Q276" s="8">
        <f>-(7+3/60+55/3600)</f>
        <v>-7.0652777777777773</v>
      </c>
      <c r="R276" s="8">
        <v>12.5</v>
      </c>
      <c r="S276" s="8">
        <v>13.2</v>
      </c>
      <c r="T276" s="8">
        <v>0.7</v>
      </c>
      <c r="U276" s="8">
        <v>13</v>
      </c>
      <c r="V276" s="8">
        <v>1.5</v>
      </c>
      <c r="W276" s="8">
        <v>1.2</v>
      </c>
      <c r="X276" s="8">
        <v>126</v>
      </c>
      <c r="Y276" s="8" t="s">
        <v>1417</v>
      </c>
      <c r="Z276" s="8" t="s">
        <v>1423</v>
      </c>
    </row>
    <row r="277" spans="1:26" x14ac:dyDescent="0.2">
      <c r="A277" s="8">
        <v>276</v>
      </c>
      <c r="B277" s="8" t="s">
        <v>1424</v>
      </c>
      <c r="C277" s="8" t="s">
        <v>1424</v>
      </c>
      <c r="F277" s="47"/>
      <c r="G277" s="8">
        <v>19</v>
      </c>
      <c r="H277" s="8" t="s">
        <v>21</v>
      </c>
      <c r="I277" s="8" t="s">
        <v>22</v>
      </c>
      <c r="J277" s="8" t="s">
        <v>22</v>
      </c>
      <c r="K277" s="8" t="s">
        <v>218</v>
      </c>
      <c r="L277" s="8" t="s">
        <v>125</v>
      </c>
      <c r="M277" s="8" t="s">
        <v>126</v>
      </c>
      <c r="N277" s="8" t="s">
        <v>1425</v>
      </c>
      <c r="O277" s="8">
        <f>0+52/60+6.5/3600</f>
        <v>0.8684722222222222</v>
      </c>
      <c r="P277" s="8" t="s">
        <v>1426</v>
      </c>
      <c r="Q277" s="8">
        <f>-(22+40/60+49/3600)</f>
        <v>-22.680277777777778</v>
      </c>
      <c r="R277" s="8">
        <v>14.7</v>
      </c>
      <c r="S277" s="8">
        <v>15.5</v>
      </c>
      <c r="T277" s="8">
        <v>0.8</v>
      </c>
      <c r="U277" s="8">
        <v>13.6</v>
      </c>
      <c r="V277" s="8">
        <v>1</v>
      </c>
      <c r="W277" s="8">
        <v>0.4</v>
      </c>
      <c r="X277" s="8">
        <v>90</v>
      </c>
      <c r="Y277" s="8" t="s">
        <v>1427</v>
      </c>
      <c r="Z277" s="8" t="s">
        <v>1428</v>
      </c>
    </row>
    <row r="278" spans="1:26" x14ac:dyDescent="0.2">
      <c r="A278" s="8">
        <v>277</v>
      </c>
      <c r="B278" s="8" t="s">
        <v>1429</v>
      </c>
      <c r="C278" s="8" t="s">
        <v>1429</v>
      </c>
      <c r="F278" s="47"/>
      <c r="G278" s="8">
        <v>18</v>
      </c>
      <c r="H278" s="8" t="s">
        <v>21</v>
      </c>
      <c r="I278" s="8" t="s">
        <v>22</v>
      </c>
      <c r="J278" s="8" t="s">
        <v>22</v>
      </c>
      <c r="K278" s="8" t="s">
        <v>58</v>
      </c>
      <c r="L278" s="8" t="s">
        <v>125</v>
      </c>
      <c r="M278" s="8" t="s">
        <v>126</v>
      </c>
      <c r="N278" s="8" t="s">
        <v>1430</v>
      </c>
      <c r="O278" s="8">
        <f>0+51/60+17.2/3600</f>
        <v>0.85477777777777775</v>
      </c>
      <c r="P278" s="8" t="s">
        <v>1431</v>
      </c>
      <c r="Q278" s="8">
        <f>-(8+35/60+47/3600)</f>
        <v>-8.5963888888888889</v>
      </c>
      <c r="R278" s="8">
        <v>13.7</v>
      </c>
      <c r="S278" s="8">
        <v>14.7</v>
      </c>
      <c r="T278" s="8">
        <v>1</v>
      </c>
      <c r="U278" s="8">
        <v>14.3</v>
      </c>
      <c r="V278" s="8">
        <v>1.4</v>
      </c>
      <c r="W278" s="8">
        <v>1.2</v>
      </c>
      <c r="X278" s="8">
        <v>50</v>
      </c>
      <c r="Y278" s="8" t="s">
        <v>1432</v>
      </c>
      <c r="Z278" s="8" t="s">
        <v>1433</v>
      </c>
    </row>
    <row r="279" spans="1:26" x14ac:dyDescent="0.2">
      <c r="A279" s="8">
        <v>278</v>
      </c>
      <c r="B279" s="8" t="s">
        <v>1434</v>
      </c>
      <c r="C279" s="8" t="s">
        <v>1434</v>
      </c>
      <c r="F279" s="47" t="s">
        <v>56042</v>
      </c>
      <c r="G279" s="8">
        <v>6</v>
      </c>
      <c r="H279" s="8" t="s">
        <v>21</v>
      </c>
      <c r="I279" s="8" t="s">
        <v>22</v>
      </c>
      <c r="J279" s="8" t="s">
        <v>22</v>
      </c>
      <c r="K279" s="8" t="s">
        <v>218</v>
      </c>
      <c r="L279" s="8" t="s">
        <v>559</v>
      </c>
      <c r="M279" s="8" t="s">
        <v>560</v>
      </c>
      <c r="N279" s="8" t="s">
        <v>1435</v>
      </c>
      <c r="O279" s="8">
        <f>0+52/60+4.5/3600</f>
        <v>0.86791666666666667</v>
      </c>
      <c r="P279" s="8" t="s">
        <v>1436</v>
      </c>
      <c r="Q279" s="8">
        <f>+(47+33/60+3/3600)</f>
        <v>47.55083333333333</v>
      </c>
      <c r="R279" s="8">
        <v>10.8</v>
      </c>
      <c r="S279" s="8">
        <v>11.5</v>
      </c>
      <c r="T279" s="8">
        <v>0.7</v>
      </c>
      <c r="U279" s="8">
        <v>12.2</v>
      </c>
      <c r="V279" s="8">
        <v>2.1</v>
      </c>
      <c r="W279" s="8">
        <v>2</v>
      </c>
      <c r="X279" s="8">
        <v>12</v>
      </c>
      <c r="Y279" s="8" t="s">
        <v>1437</v>
      </c>
      <c r="Z279" s="8" t="s">
        <v>1438</v>
      </c>
    </row>
    <row r="280" spans="1:26" x14ac:dyDescent="0.2">
      <c r="A280" s="8">
        <v>279</v>
      </c>
      <c r="B280" s="8" t="s">
        <v>1439</v>
      </c>
      <c r="C280" s="8" t="s">
        <v>1439</v>
      </c>
      <c r="F280" s="47" t="s">
        <v>56043</v>
      </c>
      <c r="G280" s="8">
        <v>15</v>
      </c>
      <c r="H280" s="8" t="s">
        <v>21</v>
      </c>
      <c r="I280" s="8" t="s">
        <v>22</v>
      </c>
      <c r="J280" s="8" t="s">
        <v>22</v>
      </c>
      <c r="K280" s="8" t="s">
        <v>632</v>
      </c>
      <c r="L280" s="8" t="s">
        <v>125</v>
      </c>
      <c r="M280" s="8" t="s">
        <v>126</v>
      </c>
      <c r="N280" s="8" t="s">
        <v>1440</v>
      </c>
      <c r="O280" s="8">
        <f>0+52/60+8.9/3600</f>
        <v>0.86913888888888891</v>
      </c>
      <c r="P280" s="8" t="s">
        <v>1441</v>
      </c>
      <c r="Q280" s="8">
        <f>-(2+13/60+6/3600)</f>
        <v>-2.2183333333333333</v>
      </c>
      <c r="R280" s="8">
        <v>12.7</v>
      </c>
      <c r="S280" s="8">
        <v>13.6</v>
      </c>
      <c r="T280" s="8">
        <v>0.9</v>
      </c>
      <c r="U280" s="8">
        <v>13.2</v>
      </c>
      <c r="V280" s="8">
        <v>1.6</v>
      </c>
      <c r="W280" s="8">
        <v>1.2</v>
      </c>
      <c r="X280" s="8">
        <v>158</v>
      </c>
      <c r="Y280" s="8" t="s">
        <v>1442</v>
      </c>
      <c r="Z280" s="8" t="s">
        <v>1443</v>
      </c>
    </row>
    <row r="281" spans="1:26" x14ac:dyDescent="0.2">
      <c r="A281" s="8">
        <v>280</v>
      </c>
      <c r="B281" s="8" t="s">
        <v>1444</v>
      </c>
      <c r="C281" s="8" t="s">
        <v>1444</v>
      </c>
      <c r="F281" s="47" t="s">
        <v>56044</v>
      </c>
      <c r="G281" s="8">
        <v>15</v>
      </c>
      <c r="H281" s="8" t="s">
        <v>21</v>
      </c>
      <c r="I281" s="8" t="s">
        <v>22</v>
      </c>
      <c r="J281" s="8" t="s">
        <v>22</v>
      </c>
      <c r="K281" s="8" t="s">
        <v>1445</v>
      </c>
      <c r="L281" s="8" t="s">
        <v>51</v>
      </c>
      <c r="M281" s="8" t="s">
        <v>52</v>
      </c>
      <c r="N281" s="8" t="s">
        <v>1446</v>
      </c>
      <c r="O281" s="8">
        <f>0+52/60+30.2/3600</f>
        <v>0.87505555555555559</v>
      </c>
      <c r="P281" s="8" t="s">
        <v>1447</v>
      </c>
      <c r="Q281" s="8">
        <f>+(24+21/60+3/3600)</f>
        <v>24.350833333333334</v>
      </c>
      <c r="R281" s="8">
        <v>13.3</v>
      </c>
      <c r="S281" s="8">
        <v>14.1</v>
      </c>
      <c r="T281" s="8">
        <v>0.8</v>
      </c>
      <c r="U281" s="8">
        <v>13.9</v>
      </c>
      <c r="V281" s="8">
        <v>1.7</v>
      </c>
      <c r="W281" s="8">
        <v>1.1000000000000001</v>
      </c>
      <c r="X281" s="8">
        <v>95</v>
      </c>
      <c r="Y281" s="8" t="s">
        <v>1448</v>
      </c>
      <c r="Z281" s="8" t="s">
        <v>1449</v>
      </c>
    </row>
    <row r="282" spans="1:26" x14ac:dyDescent="0.2">
      <c r="A282" s="8">
        <v>281</v>
      </c>
      <c r="B282" s="8" t="s">
        <v>1450</v>
      </c>
      <c r="C282" s="8" t="s">
        <v>1450</v>
      </c>
      <c r="F282" s="47"/>
      <c r="G282" s="8">
        <v>5</v>
      </c>
      <c r="H282" s="8" t="s">
        <v>1451</v>
      </c>
      <c r="I282" s="8" t="s">
        <v>1283</v>
      </c>
      <c r="J282" s="8" t="s">
        <v>1283</v>
      </c>
      <c r="K282" s="8" t="s">
        <v>1284</v>
      </c>
      <c r="L282" s="8" t="s">
        <v>559</v>
      </c>
      <c r="M282" s="8" t="s">
        <v>560</v>
      </c>
      <c r="N282" s="8" t="s">
        <v>1452</v>
      </c>
      <c r="O282" s="8">
        <f>0+52/60+53.8/3600</f>
        <v>0.88161111111111112</v>
      </c>
      <c r="P282" s="8" t="s">
        <v>1453</v>
      </c>
      <c r="Q282" s="8">
        <f>+(56+37/60+30/3600)</f>
        <v>56.625</v>
      </c>
      <c r="R282" s="8">
        <v>99</v>
      </c>
      <c r="S282" s="8">
        <v>99</v>
      </c>
      <c r="T282" s="8">
        <v>99</v>
      </c>
      <c r="U282" s="8">
        <v>99</v>
      </c>
      <c r="V282" s="8">
        <v>35</v>
      </c>
      <c r="W282" s="8">
        <v>30</v>
      </c>
      <c r="Y282" s="8" t="s">
        <v>1454</v>
      </c>
      <c r="Z282" s="8" t="s">
        <v>1455</v>
      </c>
    </row>
    <row r="283" spans="1:26" x14ac:dyDescent="0.2">
      <c r="A283" s="8">
        <v>282</v>
      </c>
      <c r="B283" s="8" t="s">
        <v>1456</v>
      </c>
      <c r="C283" s="8" t="s">
        <v>1456</v>
      </c>
      <c r="F283" s="47"/>
      <c r="G283" s="8">
        <v>19</v>
      </c>
      <c r="H283" s="8" t="s">
        <v>21</v>
      </c>
      <c r="I283" s="8" t="s">
        <v>22</v>
      </c>
      <c r="J283" s="8" t="s">
        <v>22</v>
      </c>
      <c r="K283" s="8" t="s">
        <v>183</v>
      </c>
      <c r="L283" s="8" t="s">
        <v>38</v>
      </c>
      <c r="M283" s="8" t="s">
        <v>39</v>
      </c>
      <c r="N283" s="8" t="s">
        <v>1457</v>
      </c>
      <c r="O283" s="8">
        <f>0+52/60+42/3600</f>
        <v>0.87833333333333341</v>
      </c>
      <c r="P283" s="8" t="s">
        <v>1458</v>
      </c>
      <c r="Q283" s="8">
        <f>+(30+38/60+20/3600)</f>
        <v>30.638888888888889</v>
      </c>
      <c r="R283" s="8">
        <v>13.7</v>
      </c>
      <c r="S283" s="8">
        <v>14.7</v>
      </c>
      <c r="T283" s="8">
        <v>1</v>
      </c>
      <c r="U283" s="8">
        <v>13.7</v>
      </c>
      <c r="V283" s="8">
        <v>1</v>
      </c>
      <c r="W283" s="8">
        <v>0.9</v>
      </c>
      <c r="X283" s="8">
        <v>50</v>
      </c>
      <c r="Y283" s="8" t="s">
        <v>972</v>
      </c>
      <c r="Z283" s="8" t="s">
        <v>973</v>
      </c>
    </row>
    <row r="284" spans="1:26" x14ac:dyDescent="0.2">
      <c r="A284" s="8">
        <v>283</v>
      </c>
      <c r="B284" s="8" t="s">
        <v>1459</v>
      </c>
      <c r="C284" s="8" t="s">
        <v>1459</v>
      </c>
      <c r="F284" s="47"/>
      <c r="G284" s="8">
        <v>19</v>
      </c>
      <c r="H284" s="8" t="s">
        <v>21</v>
      </c>
      <c r="I284" s="8" t="s">
        <v>22</v>
      </c>
      <c r="J284" s="8" t="s">
        <v>22</v>
      </c>
      <c r="K284" s="8" t="s">
        <v>160</v>
      </c>
      <c r="L284" s="8" t="s">
        <v>125</v>
      </c>
      <c r="M284" s="8" t="s">
        <v>126</v>
      </c>
      <c r="N284" s="8" t="s">
        <v>1460</v>
      </c>
      <c r="O284" s="8">
        <f>0+53/60+13.1/3600</f>
        <v>0.88697222222222216</v>
      </c>
      <c r="P284" s="8" t="s">
        <v>1461</v>
      </c>
      <c r="Q284" s="8">
        <f>-(13+9/60+48/3600)</f>
        <v>-13.163333333333334</v>
      </c>
      <c r="R284" s="8">
        <v>14.1</v>
      </c>
      <c r="S284" s="8">
        <v>14.8</v>
      </c>
      <c r="T284" s="8">
        <v>0.7</v>
      </c>
      <c r="U284" s="8">
        <v>14.5</v>
      </c>
      <c r="V284" s="8">
        <v>1.6</v>
      </c>
      <c r="W284" s="8">
        <v>1</v>
      </c>
      <c r="X284" s="8">
        <v>154</v>
      </c>
      <c r="Y284" s="8" t="s">
        <v>1462</v>
      </c>
      <c r="Z284" s="8" t="s">
        <v>1463</v>
      </c>
    </row>
    <row r="285" spans="1:26" x14ac:dyDescent="0.2">
      <c r="A285" s="8">
        <v>284</v>
      </c>
      <c r="B285" s="8" t="s">
        <v>1464</v>
      </c>
      <c r="C285" s="8" t="s">
        <v>1464</v>
      </c>
      <c r="F285" s="47"/>
      <c r="G285" s="8">
        <v>19</v>
      </c>
      <c r="H285" s="8" t="s">
        <v>21</v>
      </c>
      <c r="I285" s="8" t="s">
        <v>22</v>
      </c>
      <c r="J285" s="8" t="s">
        <v>22</v>
      </c>
      <c r="K285" s="8" t="s">
        <v>1136</v>
      </c>
      <c r="L285" s="8" t="s">
        <v>125</v>
      </c>
      <c r="M285" s="8" t="s">
        <v>126</v>
      </c>
      <c r="N285" s="8" t="s">
        <v>1465</v>
      </c>
      <c r="O285" s="8">
        <f>0+53/60+24.2/3600</f>
        <v>0.89005555555555549</v>
      </c>
      <c r="P285" s="8" t="s">
        <v>1466</v>
      </c>
      <c r="Q285" s="8">
        <f>-(13+9/60+30/3600)</f>
        <v>-13.158333333333333</v>
      </c>
      <c r="R285" s="8">
        <v>14.4</v>
      </c>
      <c r="S285" s="8">
        <v>15.4</v>
      </c>
      <c r="T285" s="8">
        <v>1</v>
      </c>
      <c r="U285" s="8">
        <v>13.2</v>
      </c>
      <c r="V285" s="8">
        <v>0.6</v>
      </c>
      <c r="W285" s="8">
        <v>0.5</v>
      </c>
      <c r="X285" s="8">
        <v>4</v>
      </c>
      <c r="Y285" s="8" t="s">
        <v>1467</v>
      </c>
      <c r="Z285" s="8" t="s">
        <v>1468</v>
      </c>
    </row>
    <row r="286" spans="1:26" x14ac:dyDescent="0.2">
      <c r="A286" s="8">
        <v>285</v>
      </c>
      <c r="B286" s="8" t="s">
        <v>1469</v>
      </c>
      <c r="C286" s="8" t="s">
        <v>1469</v>
      </c>
      <c r="F286" s="47"/>
      <c r="G286" s="8">
        <v>19</v>
      </c>
      <c r="H286" s="8" t="s">
        <v>21</v>
      </c>
      <c r="I286" s="8" t="s">
        <v>22</v>
      </c>
      <c r="J286" s="8" t="s">
        <v>22</v>
      </c>
      <c r="K286" s="8" t="s">
        <v>58</v>
      </c>
      <c r="L286" s="8" t="s">
        <v>125</v>
      </c>
      <c r="M286" s="8" t="s">
        <v>126</v>
      </c>
      <c r="N286" s="8" t="s">
        <v>1470</v>
      </c>
      <c r="O286" s="8">
        <f>0+53/60+29.8/3600</f>
        <v>0.89161111111111113</v>
      </c>
      <c r="P286" s="8" t="s">
        <v>1471</v>
      </c>
      <c r="Q286" s="8">
        <f>-(13+9/60+37/3600)</f>
        <v>-13.160277777777779</v>
      </c>
      <c r="R286" s="8">
        <v>14.7</v>
      </c>
      <c r="S286" s="8">
        <v>15.7</v>
      </c>
      <c r="T286" s="8">
        <v>1</v>
      </c>
      <c r="U286" s="8">
        <v>13.4</v>
      </c>
      <c r="V286" s="8">
        <v>0.7</v>
      </c>
      <c r="W286" s="8">
        <v>0.4</v>
      </c>
      <c r="X286" s="8">
        <v>10</v>
      </c>
      <c r="Y286" s="8" t="s">
        <v>1472</v>
      </c>
      <c r="Z286" s="8" t="s">
        <v>1473</v>
      </c>
    </row>
    <row r="287" spans="1:26" x14ac:dyDescent="0.2">
      <c r="A287" s="8">
        <v>286</v>
      </c>
      <c r="B287" s="8" t="s">
        <v>1474</v>
      </c>
      <c r="C287" s="8" t="s">
        <v>1474</v>
      </c>
      <c r="F287" s="47"/>
      <c r="G287" s="8">
        <v>19</v>
      </c>
      <c r="H287" s="8" t="s">
        <v>21</v>
      </c>
      <c r="I287" s="8" t="s">
        <v>22</v>
      </c>
      <c r="J287" s="8" t="s">
        <v>22</v>
      </c>
      <c r="K287" s="8" t="s">
        <v>37</v>
      </c>
      <c r="L287" s="8" t="s">
        <v>125</v>
      </c>
      <c r="M287" s="8" t="s">
        <v>126</v>
      </c>
      <c r="N287" s="8" t="s">
        <v>1475</v>
      </c>
      <c r="O287" s="8">
        <f>0+53/60+30.3/3600</f>
        <v>0.89174999999999993</v>
      </c>
      <c r="P287" s="8" t="s">
        <v>1476</v>
      </c>
      <c r="Q287" s="8">
        <f>-(13+6/60+44/3600)</f>
        <v>-13.112222222222222</v>
      </c>
      <c r="R287" s="8">
        <v>14.1</v>
      </c>
      <c r="S287" s="8">
        <v>15.1</v>
      </c>
      <c r="T287" s="8">
        <v>1</v>
      </c>
      <c r="U287" s="8">
        <v>14.2</v>
      </c>
      <c r="V287" s="8">
        <v>1.3</v>
      </c>
      <c r="W287" s="8">
        <v>0.9</v>
      </c>
      <c r="X287" s="8">
        <v>10</v>
      </c>
      <c r="Y287" s="8" t="s">
        <v>1477</v>
      </c>
      <c r="Z287" s="8" t="s">
        <v>1478</v>
      </c>
    </row>
    <row r="288" spans="1:26" x14ac:dyDescent="0.2">
      <c r="A288" s="8">
        <v>287</v>
      </c>
      <c r="B288" s="8" t="s">
        <v>1479</v>
      </c>
      <c r="C288" s="8" t="s">
        <v>1479</v>
      </c>
      <c r="F288" s="47"/>
      <c r="G288" s="8">
        <v>16</v>
      </c>
      <c r="H288" s="8" t="s">
        <v>21</v>
      </c>
      <c r="I288" s="8" t="s">
        <v>22</v>
      </c>
      <c r="J288" s="8" t="s">
        <v>22</v>
      </c>
      <c r="K288" s="8" t="s">
        <v>632</v>
      </c>
      <c r="L288" s="8" t="s">
        <v>38</v>
      </c>
      <c r="M288" s="8" t="s">
        <v>39</v>
      </c>
      <c r="N288" s="8" t="s">
        <v>1480</v>
      </c>
      <c r="O288" s="8">
        <f>0+53/60+28.3/3600</f>
        <v>0.8911944444444444</v>
      </c>
      <c r="P288" s="8" t="s">
        <v>1481</v>
      </c>
      <c r="Q288" s="8">
        <f>+(32+28/60+57/3600)</f>
        <v>32.482500000000002</v>
      </c>
      <c r="R288" s="8">
        <v>14</v>
      </c>
      <c r="S288" s="8">
        <v>14.9</v>
      </c>
      <c r="T288" s="8">
        <v>0.9</v>
      </c>
      <c r="U288" s="8">
        <v>12.7</v>
      </c>
      <c r="V288" s="8">
        <v>0.8</v>
      </c>
      <c r="W288" s="8">
        <v>0.4</v>
      </c>
      <c r="X288" s="8">
        <v>21</v>
      </c>
      <c r="Y288" s="8" t="s">
        <v>1482</v>
      </c>
      <c r="Z288" s="8" t="s">
        <v>1483</v>
      </c>
    </row>
    <row r="289" spans="1:26" x14ac:dyDescent="0.2">
      <c r="A289" s="8">
        <v>288</v>
      </c>
      <c r="B289" s="8" t="s">
        <v>1484</v>
      </c>
      <c r="C289" s="8" t="s">
        <v>1484</v>
      </c>
      <c r="F289" s="47" t="s">
        <v>56045</v>
      </c>
      <c r="G289" s="8">
        <v>3</v>
      </c>
      <c r="H289" s="8" t="s">
        <v>21</v>
      </c>
      <c r="I289" s="8" t="s">
        <v>567</v>
      </c>
      <c r="J289" s="8" t="s">
        <v>567</v>
      </c>
      <c r="K289" s="8" t="s">
        <v>1485</v>
      </c>
      <c r="L289" s="8" t="s">
        <v>65</v>
      </c>
      <c r="M289" s="8" t="s">
        <v>66</v>
      </c>
      <c r="N289" s="8" t="s">
        <v>1486</v>
      </c>
      <c r="O289" s="8">
        <f>0+52/60+45.5/3600</f>
        <v>0.87930555555555556</v>
      </c>
      <c r="P289" s="8" t="s">
        <v>1487</v>
      </c>
      <c r="Q289" s="8">
        <f>-(26+35/60+51/3600)</f>
        <v>-26.5975</v>
      </c>
      <c r="R289" s="8">
        <v>8.1</v>
      </c>
      <c r="S289" s="8">
        <v>99</v>
      </c>
      <c r="T289" s="8">
        <v>99</v>
      </c>
      <c r="U289" s="8">
        <v>99</v>
      </c>
      <c r="V289" s="8">
        <v>13</v>
      </c>
      <c r="Y289" s="8" t="s">
        <v>1488</v>
      </c>
      <c r="Z289" s="8" t="s">
        <v>1489</v>
      </c>
    </row>
    <row r="290" spans="1:26" x14ac:dyDescent="0.2">
      <c r="A290" s="8">
        <v>289</v>
      </c>
      <c r="B290" s="8" t="s">
        <v>1490</v>
      </c>
      <c r="C290" s="8" t="s">
        <v>1490</v>
      </c>
      <c r="F290" s="47"/>
      <c r="G290" s="8">
        <v>13</v>
      </c>
      <c r="H290" s="8" t="s">
        <v>21</v>
      </c>
      <c r="I290" s="8" t="s">
        <v>22</v>
      </c>
      <c r="J290" s="8" t="s">
        <v>22</v>
      </c>
      <c r="K290" s="8" t="s">
        <v>85</v>
      </c>
      <c r="L290" s="8" t="s">
        <v>65</v>
      </c>
      <c r="M290" s="8" t="s">
        <v>66</v>
      </c>
      <c r="N290" s="8" t="s">
        <v>1491</v>
      </c>
      <c r="O290" s="8">
        <f>0+52/60+42.1/3600</f>
        <v>0.87836111111111115</v>
      </c>
      <c r="P290" s="8" t="s">
        <v>1492</v>
      </c>
      <c r="Q290" s="8">
        <f>-(31+12/60+20/3600)</f>
        <v>-31.205555555555556</v>
      </c>
      <c r="R290" s="8">
        <v>11</v>
      </c>
      <c r="S290" s="8">
        <v>11.7</v>
      </c>
      <c r="T290" s="8">
        <v>0.7</v>
      </c>
      <c r="U290" s="8">
        <v>14</v>
      </c>
      <c r="V290" s="8">
        <v>5.0999999999999996</v>
      </c>
      <c r="W290" s="8">
        <v>3.6</v>
      </c>
      <c r="X290" s="8">
        <v>130</v>
      </c>
      <c r="Y290" s="8" t="s">
        <v>1493</v>
      </c>
      <c r="Z290" s="8" t="s">
        <v>1494</v>
      </c>
    </row>
    <row r="291" spans="1:26" x14ac:dyDescent="0.2">
      <c r="A291" s="8">
        <v>290</v>
      </c>
      <c r="B291" s="8" t="s">
        <v>1495</v>
      </c>
      <c r="C291" s="8" t="s">
        <v>1495</v>
      </c>
      <c r="F291" s="47"/>
      <c r="G291" s="8">
        <v>16</v>
      </c>
      <c r="H291" s="8" t="s">
        <v>21</v>
      </c>
      <c r="I291" s="8" t="s">
        <v>557</v>
      </c>
      <c r="J291" s="8" t="s">
        <v>557</v>
      </c>
      <c r="K291" s="8" t="s">
        <v>557</v>
      </c>
      <c r="L291" s="8" t="s">
        <v>310</v>
      </c>
      <c r="M291" s="8" t="s">
        <v>311</v>
      </c>
      <c r="N291" s="8" t="s">
        <v>1496</v>
      </c>
      <c r="O291" s="8">
        <f>0+51/60+14.7/3600</f>
        <v>0.85408333333333331</v>
      </c>
      <c r="P291" s="8" t="s">
        <v>1497</v>
      </c>
      <c r="Q291" s="8">
        <f>-(73+9/60+45/3600)</f>
        <v>-73.162500000000009</v>
      </c>
      <c r="R291" s="8">
        <v>12</v>
      </c>
      <c r="S291" s="8">
        <v>99</v>
      </c>
      <c r="T291" s="8">
        <v>99</v>
      </c>
      <c r="U291" s="8">
        <v>99</v>
      </c>
      <c r="V291" s="8">
        <v>0.8</v>
      </c>
      <c r="Y291" s="8" t="s">
        <v>47</v>
      </c>
      <c r="Z291" s="8" t="s">
        <v>48</v>
      </c>
    </row>
    <row r="292" spans="1:26" x14ac:dyDescent="0.2">
      <c r="A292" s="8">
        <v>291</v>
      </c>
      <c r="B292" s="8" t="s">
        <v>1498</v>
      </c>
      <c r="C292" s="8" t="s">
        <v>1498</v>
      </c>
      <c r="F292" s="47"/>
      <c r="G292" s="8">
        <v>18</v>
      </c>
      <c r="H292" s="8" t="s">
        <v>21</v>
      </c>
      <c r="I292" s="8" t="s">
        <v>22</v>
      </c>
      <c r="J292" s="8" t="s">
        <v>22</v>
      </c>
      <c r="K292" s="8" t="s">
        <v>91</v>
      </c>
      <c r="L292" s="8" t="s">
        <v>125</v>
      </c>
      <c r="M292" s="8" t="s">
        <v>126</v>
      </c>
      <c r="N292" s="8" t="s">
        <v>1470</v>
      </c>
      <c r="O292" s="8">
        <f>0+53/60+29.8/3600</f>
        <v>0.89161111111111113</v>
      </c>
      <c r="P292" s="8" t="s">
        <v>1499</v>
      </c>
      <c r="Q292" s="8">
        <f>-(8+46/60+3/3600)</f>
        <v>-8.7675000000000001</v>
      </c>
      <c r="R292" s="8">
        <v>13.9</v>
      </c>
      <c r="S292" s="8">
        <v>14.8</v>
      </c>
      <c r="T292" s="8">
        <v>0.9</v>
      </c>
      <c r="U292" s="8">
        <v>13.3</v>
      </c>
      <c r="V292" s="8">
        <v>1.1000000000000001</v>
      </c>
      <c r="W292" s="8">
        <v>0.6</v>
      </c>
      <c r="X292" s="8">
        <v>45</v>
      </c>
      <c r="Y292" s="8" t="s">
        <v>1500</v>
      </c>
      <c r="Z292" s="8" t="s">
        <v>1501</v>
      </c>
    </row>
    <row r="293" spans="1:26" x14ac:dyDescent="0.2">
      <c r="A293" s="8">
        <v>292</v>
      </c>
      <c r="B293" s="8" t="s">
        <v>1502</v>
      </c>
      <c r="C293" s="8" t="s">
        <v>1502</v>
      </c>
      <c r="F293" s="47"/>
      <c r="G293" s="8">
        <v>8</v>
      </c>
      <c r="H293" s="8" t="s">
        <v>1503</v>
      </c>
      <c r="I293" s="8" t="s">
        <v>22</v>
      </c>
      <c r="J293" s="8" t="s">
        <v>22</v>
      </c>
      <c r="K293" s="8" t="s">
        <v>323</v>
      </c>
      <c r="L293" s="8" t="s">
        <v>310</v>
      </c>
      <c r="M293" s="8" t="s">
        <v>311</v>
      </c>
      <c r="N293" s="8" t="s">
        <v>1504</v>
      </c>
      <c r="O293" s="8">
        <f>0+52/60+38/3600</f>
        <v>0.87722222222222224</v>
      </c>
      <c r="P293" s="8" t="s">
        <v>1505</v>
      </c>
      <c r="Q293" s="8">
        <f>-(72+48/60+0/3600)</f>
        <v>-72.8</v>
      </c>
      <c r="R293" s="8">
        <v>2.2999999999999998</v>
      </c>
      <c r="S293" s="8">
        <v>2.7</v>
      </c>
      <c r="T293" s="8">
        <v>0.4</v>
      </c>
      <c r="U293" s="8">
        <v>14</v>
      </c>
      <c r="V293" s="8">
        <v>319.10000000000002</v>
      </c>
      <c r="W293" s="8">
        <v>205.1</v>
      </c>
      <c r="X293" s="8">
        <v>45</v>
      </c>
      <c r="Y293" s="8" t="s">
        <v>1506</v>
      </c>
      <c r="Z293" s="8" t="s">
        <v>1507</v>
      </c>
    </row>
    <row r="294" spans="1:26" x14ac:dyDescent="0.2">
      <c r="A294" s="8">
        <v>293</v>
      </c>
      <c r="B294" s="8" t="s">
        <v>1508</v>
      </c>
      <c r="C294" s="8" t="s">
        <v>1508</v>
      </c>
      <c r="F294" s="47"/>
      <c r="G294" s="8">
        <v>18</v>
      </c>
      <c r="H294" s="8" t="s">
        <v>21</v>
      </c>
      <c r="I294" s="8" t="s">
        <v>22</v>
      </c>
      <c r="J294" s="8" t="s">
        <v>22</v>
      </c>
      <c r="K294" s="8" t="s">
        <v>218</v>
      </c>
      <c r="L294" s="8" t="s">
        <v>125</v>
      </c>
      <c r="M294" s="8" t="s">
        <v>126</v>
      </c>
      <c r="N294" s="8" t="s">
        <v>1509</v>
      </c>
      <c r="O294" s="8">
        <f>0+54/60+16/3600</f>
        <v>0.9044444444444445</v>
      </c>
      <c r="P294" s="8" t="s">
        <v>1510</v>
      </c>
      <c r="Q294" s="8">
        <f>-(7+14/60+8/3600)</f>
        <v>-7.235555555555556</v>
      </c>
      <c r="R294" s="8">
        <v>14.2</v>
      </c>
      <c r="S294" s="8">
        <v>15</v>
      </c>
      <c r="T294" s="8">
        <v>0.8</v>
      </c>
      <c r="U294" s="8">
        <v>14</v>
      </c>
      <c r="V294" s="8">
        <v>1.1000000000000001</v>
      </c>
      <c r="W294" s="8">
        <v>0.9</v>
      </c>
      <c r="X294" s="8">
        <v>19</v>
      </c>
      <c r="Y294" s="8" t="s">
        <v>1511</v>
      </c>
      <c r="Z294" s="8" t="s">
        <v>1512</v>
      </c>
    </row>
    <row r="295" spans="1:26" x14ac:dyDescent="0.2">
      <c r="A295" s="8">
        <v>294</v>
      </c>
      <c r="B295" s="8" t="s">
        <v>1513</v>
      </c>
      <c r="C295" s="8" t="s">
        <v>1513</v>
      </c>
      <c r="F295" s="47"/>
      <c r="G295" s="8">
        <v>16</v>
      </c>
      <c r="H295" s="8" t="s">
        <v>21</v>
      </c>
      <c r="I295" s="8" t="s">
        <v>557</v>
      </c>
      <c r="J295" s="8" t="s">
        <v>557</v>
      </c>
      <c r="K295" s="8" t="s">
        <v>557</v>
      </c>
      <c r="L295" s="8" t="s">
        <v>310</v>
      </c>
      <c r="M295" s="8" t="s">
        <v>311</v>
      </c>
      <c r="N295" s="8" t="s">
        <v>1514</v>
      </c>
      <c r="O295" s="8">
        <f>0+53/60+5.7/3600</f>
        <v>0.88491666666666668</v>
      </c>
      <c r="P295" s="8" t="s">
        <v>1515</v>
      </c>
      <c r="Q295" s="8">
        <f>-(73+22/60+50/3600)</f>
        <v>-73.380555555555546</v>
      </c>
      <c r="R295" s="8">
        <v>12.7</v>
      </c>
      <c r="S295" s="8">
        <v>99</v>
      </c>
      <c r="T295" s="8">
        <v>99</v>
      </c>
      <c r="U295" s="8">
        <v>99</v>
      </c>
      <c r="V295" s="8">
        <v>0.8</v>
      </c>
      <c r="Y295" s="8" t="s">
        <v>1516</v>
      </c>
      <c r="Z295" s="8" t="s">
        <v>1517</v>
      </c>
    </row>
    <row r="296" spans="1:26" x14ac:dyDescent="0.2">
      <c r="A296" s="8">
        <v>295</v>
      </c>
      <c r="B296" s="8" t="s">
        <v>1518</v>
      </c>
      <c r="C296" s="8" t="s">
        <v>1518</v>
      </c>
      <c r="F296" s="47"/>
      <c r="G296" s="8">
        <v>18</v>
      </c>
      <c r="H296" s="8" t="s">
        <v>21</v>
      </c>
      <c r="I296" s="8" t="s">
        <v>22</v>
      </c>
      <c r="J296" s="8" t="s">
        <v>22</v>
      </c>
      <c r="K296" s="8" t="s">
        <v>396</v>
      </c>
      <c r="L296" s="8" t="s">
        <v>38</v>
      </c>
      <c r="M296" s="8" t="s">
        <v>39</v>
      </c>
      <c r="N296" s="8" t="s">
        <v>1519</v>
      </c>
      <c r="O296" s="8">
        <f>0+59/60+32.3/3600</f>
        <v>0.99230555555555555</v>
      </c>
      <c r="P296" s="8" t="s">
        <v>1520</v>
      </c>
      <c r="Q296" s="8">
        <f>+(31+47/60+53/3600)</f>
        <v>31.798055555555557</v>
      </c>
      <c r="R296" s="8">
        <v>14.2</v>
      </c>
      <c r="S296" s="8">
        <v>15</v>
      </c>
      <c r="T296" s="8">
        <v>0.8</v>
      </c>
      <c r="U296" s="8">
        <v>13</v>
      </c>
      <c r="V296" s="8">
        <v>0.6</v>
      </c>
      <c r="W296" s="8">
        <v>0.5</v>
      </c>
      <c r="Y296" s="8" t="s">
        <v>1521</v>
      </c>
      <c r="Z296" s="8" t="s">
        <v>1522</v>
      </c>
    </row>
    <row r="297" spans="1:26" x14ac:dyDescent="0.2">
      <c r="A297" s="8">
        <v>296</v>
      </c>
      <c r="B297" s="8" t="s">
        <v>1523</v>
      </c>
      <c r="C297" s="8" t="s">
        <v>1523</v>
      </c>
      <c r="F297" s="47" t="s">
        <v>56046</v>
      </c>
      <c r="G297" s="8">
        <v>15</v>
      </c>
      <c r="H297" s="8" t="s">
        <v>21</v>
      </c>
      <c r="I297" s="8" t="s">
        <v>22</v>
      </c>
      <c r="J297" s="8" t="s">
        <v>22</v>
      </c>
      <c r="K297" s="8" t="s">
        <v>218</v>
      </c>
      <c r="L297" s="8" t="s">
        <v>38</v>
      </c>
      <c r="M297" s="8" t="s">
        <v>39</v>
      </c>
      <c r="N297" s="8" t="s">
        <v>1524</v>
      </c>
      <c r="O297" s="8">
        <f>0+55/60+7.4/3600</f>
        <v>0.91872222222222222</v>
      </c>
      <c r="P297" s="8" t="s">
        <v>1525</v>
      </c>
      <c r="Q297" s="8">
        <f>+(31+32/60+32/3600)</f>
        <v>31.542222222222225</v>
      </c>
      <c r="R297" s="8">
        <v>12.6</v>
      </c>
      <c r="S297" s="8">
        <v>13.4</v>
      </c>
      <c r="T297" s="8">
        <v>0.8</v>
      </c>
      <c r="U297" s="8">
        <v>13.3</v>
      </c>
      <c r="V297" s="8">
        <v>2.2000000000000002</v>
      </c>
      <c r="W297" s="8">
        <v>1</v>
      </c>
      <c r="X297" s="8">
        <v>164</v>
      </c>
      <c r="Y297" s="8" t="s">
        <v>1526</v>
      </c>
      <c r="Z297" s="8" t="s">
        <v>1527</v>
      </c>
    </row>
    <row r="298" spans="1:26" x14ac:dyDescent="0.2">
      <c r="A298" s="8">
        <v>297</v>
      </c>
      <c r="B298" s="8" t="s">
        <v>1528</v>
      </c>
      <c r="C298" s="8" t="s">
        <v>1528</v>
      </c>
      <c r="F298" s="47"/>
      <c r="G298" s="8">
        <v>18</v>
      </c>
      <c r="H298" s="8" t="s">
        <v>21</v>
      </c>
      <c r="I298" s="8" t="s">
        <v>22</v>
      </c>
      <c r="J298" s="8" t="s">
        <v>22</v>
      </c>
      <c r="K298" s="8" t="s">
        <v>382</v>
      </c>
      <c r="L298" s="8" t="s">
        <v>125</v>
      </c>
      <c r="M298" s="8" t="s">
        <v>126</v>
      </c>
      <c r="N298" s="8" t="s">
        <v>1529</v>
      </c>
      <c r="O298" s="8">
        <f>0+54/60+58.9/3600</f>
        <v>0.91636111111111118</v>
      </c>
      <c r="P298" s="8" t="s">
        <v>1530</v>
      </c>
      <c r="Q298" s="8">
        <f>-(7+21/60+1/3600)</f>
        <v>-7.3502777777777775</v>
      </c>
      <c r="R298" s="8">
        <v>15.5</v>
      </c>
      <c r="S298" s="8">
        <v>16.5</v>
      </c>
      <c r="T298" s="8">
        <v>1</v>
      </c>
      <c r="U298" s="8">
        <v>12.5</v>
      </c>
      <c r="V298" s="8">
        <v>0.3</v>
      </c>
      <c r="W298" s="8">
        <v>0.2</v>
      </c>
      <c r="X298" s="8">
        <v>95</v>
      </c>
      <c r="Y298" s="8" t="s">
        <v>47</v>
      </c>
      <c r="Z298" s="8" t="s">
        <v>48</v>
      </c>
    </row>
    <row r="299" spans="1:26" x14ac:dyDescent="0.2">
      <c r="A299" s="8">
        <v>298</v>
      </c>
      <c r="B299" s="8" t="s">
        <v>1531</v>
      </c>
      <c r="C299" s="8" t="s">
        <v>1531</v>
      </c>
      <c r="F299" s="47"/>
      <c r="G299" s="8">
        <v>18</v>
      </c>
      <c r="H299" s="8" t="s">
        <v>21</v>
      </c>
      <c r="I299" s="8" t="s">
        <v>22</v>
      </c>
      <c r="J299" s="8" t="s">
        <v>22</v>
      </c>
      <c r="K299" s="8" t="s">
        <v>160</v>
      </c>
      <c r="L299" s="8" t="s">
        <v>125</v>
      </c>
      <c r="M299" s="8" t="s">
        <v>126</v>
      </c>
      <c r="N299" s="8" t="s">
        <v>1532</v>
      </c>
      <c r="O299" s="8">
        <f>0+55/60+2.2/3600</f>
        <v>0.91727777777777775</v>
      </c>
      <c r="P299" s="8" t="s">
        <v>1533</v>
      </c>
      <c r="Q299" s="8">
        <f>-(7+20/60+1/3600)</f>
        <v>-7.3336111111111109</v>
      </c>
      <c r="R299" s="8">
        <v>13.8</v>
      </c>
      <c r="S299" s="8">
        <v>14.5</v>
      </c>
      <c r="T299" s="8">
        <v>0.7</v>
      </c>
      <c r="U299" s="8">
        <v>13.2</v>
      </c>
      <c r="V299" s="8">
        <v>1.7</v>
      </c>
      <c r="W299" s="8">
        <v>0.4</v>
      </c>
      <c r="X299" s="8">
        <v>90</v>
      </c>
      <c r="Y299" s="8" t="s">
        <v>1088</v>
      </c>
      <c r="Z299" s="8" t="s">
        <v>1089</v>
      </c>
    </row>
    <row r="300" spans="1:26" x14ac:dyDescent="0.2">
      <c r="A300" s="8">
        <v>299</v>
      </c>
      <c r="B300" s="8" t="s">
        <v>1534</v>
      </c>
      <c r="C300" s="8" t="s">
        <v>1534</v>
      </c>
      <c r="F300" s="47"/>
      <c r="G300" s="8">
        <v>16</v>
      </c>
      <c r="H300" s="8" t="s">
        <v>21</v>
      </c>
      <c r="I300" s="8" t="s">
        <v>557</v>
      </c>
      <c r="J300" s="8" t="s">
        <v>557</v>
      </c>
      <c r="K300" s="8" t="s">
        <v>557</v>
      </c>
      <c r="L300" s="8" t="s">
        <v>310</v>
      </c>
      <c r="M300" s="8" t="s">
        <v>311</v>
      </c>
      <c r="N300" s="8" t="s">
        <v>1535</v>
      </c>
      <c r="O300" s="8">
        <f>0+53/60+24.7/3600</f>
        <v>0.8901944444444444</v>
      </c>
      <c r="P300" s="8" t="s">
        <v>1536</v>
      </c>
      <c r="Q300" s="8">
        <f>-(72+11/60+47/3600)</f>
        <v>-72.19638888888889</v>
      </c>
      <c r="R300" s="8">
        <v>99</v>
      </c>
      <c r="S300" s="8">
        <v>11.7</v>
      </c>
      <c r="T300" s="8">
        <v>99</v>
      </c>
      <c r="U300" s="8">
        <v>99</v>
      </c>
      <c r="V300" s="8">
        <v>0.7</v>
      </c>
      <c r="Y300" s="8" t="s">
        <v>1537</v>
      </c>
      <c r="Z300" s="8" t="s">
        <v>1538</v>
      </c>
    </row>
    <row r="301" spans="1:26" x14ac:dyDescent="0.2">
      <c r="A301" s="8">
        <v>300</v>
      </c>
      <c r="B301" s="8" t="s">
        <v>1539</v>
      </c>
      <c r="C301" s="8" t="s">
        <v>1539</v>
      </c>
      <c r="F301" s="47"/>
      <c r="G301" s="8">
        <v>2</v>
      </c>
      <c r="H301" s="8" t="s">
        <v>1540</v>
      </c>
      <c r="I301" s="8" t="s">
        <v>22</v>
      </c>
      <c r="J301" s="8" t="s">
        <v>22</v>
      </c>
      <c r="K301" s="8" t="s">
        <v>579</v>
      </c>
      <c r="L301" s="8" t="s">
        <v>65</v>
      </c>
      <c r="M301" s="8" t="s">
        <v>66</v>
      </c>
      <c r="N301" s="8" t="s">
        <v>1541</v>
      </c>
      <c r="O301" s="8">
        <f>0+54/60+53.3/3600</f>
        <v>0.91480555555555554</v>
      </c>
      <c r="P301" s="8" t="s">
        <v>1542</v>
      </c>
      <c r="Q301" s="8">
        <f>-(37+41/60+3/3600)</f>
        <v>-37.684166666666663</v>
      </c>
      <c r="R301" s="8">
        <v>8.1</v>
      </c>
      <c r="S301" s="8">
        <v>8.6999999999999993</v>
      </c>
      <c r="T301" s="8">
        <v>0.6</v>
      </c>
      <c r="U301" s="8">
        <v>14.3</v>
      </c>
      <c r="V301" s="8">
        <v>19</v>
      </c>
      <c r="W301" s="8">
        <v>12.9</v>
      </c>
      <c r="X301" s="8">
        <v>111</v>
      </c>
      <c r="Y301" s="8" t="s">
        <v>1543</v>
      </c>
      <c r="Z301" s="8" t="s">
        <v>1544</v>
      </c>
    </row>
    <row r="302" spans="1:26" x14ac:dyDescent="0.2">
      <c r="A302" s="8">
        <v>301</v>
      </c>
      <c r="B302" s="8" t="s">
        <v>1545</v>
      </c>
      <c r="C302" s="8" t="s">
        <v>1545</v>
      </c>
      <c r="F302" s="47"/>
      <c r="G302" s="8">
        <v>19</v>
      </c>
      <c r="H302" s="8" t="s">
        <v>21</v>
      </c>
      <c r="I302" s="8" t="s">
        <v>22</v>
      </c>
      <c r="J302" s="8" t="s">
        <v>22</v>
      </c>
      <c r="K302" s="8" t="s">
        <v>37</v>
      </c>
      <c r="L302" s="8" t="s">
        <v>125</v>
      </c>
      <c r="M302" s="8" t="s">
        <v>126</v>
      </c>
      <c r="N302" s="8" t="s">
        <v>1546</v>
      </c>
      <c r="O302" s="8">
        <f>0+56/60+18.3/3600</f>
        <v>0.93841666666666668</v>
      </c>
      <c r="P302" s="8" t="s">
        <v>1547</v>
      </c>
      <c r="Q302" s="8">
        <f>-(10+40/60+24/3600)</f>
        <v>-10.673333333333332</v>
      </c>
      <c r="R302" s="8">
        <v>14.8</v>
      </c>
      <c r="S302" s="8">
        <v>15.8</v>
      </c>
      <c r="T302" s="8">
        <v>1</v>
      </c>
      <c r="U302" s="8">
        <v>13.5</v>
      </c>
      <c r="V302" s="8">
        <v>0.7</v>
      </c>
      <c r="W302" s="8">
        <v>0.5</v>
      </c>
      <c r="X302" s="8">
        <v>70</v>
      </c>
      <c r="Y302" s="8" t="s">
        <v>1548</v>
      </c>
      <c r="Z302" s="8" t="s">
        <v>1549</v>
      </c>
    </row>
    <row r="303" spans="1:26" x14ac:dyDescent="0.2">
      <c r="A303" s="8">
        <v>302</v>
      </c>
      <c r="B303" s="8" t="s">
        <v>1550</v>
      </c>
      <c r="C303" s="8" t="s">
        <v>1550</v>
      </c>
      <c r="F303" s="47"/>
      <c r="G303" s="8">
        <v>19</v>
      </c>
      <c r="H303" s="8" t="s">
        <v>21</v>
      </c>
      <c r="I303" s="8" t="s">
        <v>72</v>
      </c>
      <c r="J303" s="8" t="s">
        <v>72</v>
      </c>
      <c r="K303" s="8" t="s">
        <v>20</v>
      </c>
      <c r="L303" s="8" t="s">
        <v>125</v>
      </c>
      <c r="M303" s="8" t="s">
        <v>126</v>
      </c>
      <c r="N303" s="8" t="s">
        <v>1551</v>
      </c>
      <c r="O303" s="8">
        <f>0+56/60+25.2/3600</f>
        <v>0.94033333333333335</v>
      </c>
      <c r="P303" s="8" t="s">
        <v>1552</v>
      </c>
      <c r="Q303" s="8">
        <f>-(10+39/60+44/3600)</f>
        <v>-10.662222222222223</v>
      </c>
      <c r="R303" s="8">
        <v>99</v>
      </c>
      <c r="S303" s="8">
        <v>99</v>
      </c>
      <c r="T303" s="8">
        <v>99</v>
      </c>
      <c r="U303" s="8">
        <v>99</v>
      </c>
      <c r="Y303" s="8" t="s">
        <v>266</v>
      </c>
      <c r="Z303" s="8" t="s">
        <v>267</v>
      </c>
    </row>
    <row r="304" spans="1:26" x14ac:dyDescent="0.2">
      <c r="A304" s="8">
        <v>303</v>
      </c>
      <c r="B304" s="8" t="s">
        <v>1553</v>
      </c>
      <c r="C304" s="8" t="s">
        <v>1553</v>
      </c>
      <c r="F304" s="47"/>
      <c r="G304" s="8">
        <v>19</v>
      </c>
      <c r="H304" s="8" t="s">
        <v>21</v>
      </c>
      <c r="I304" s="8" t="s">
        <v>22</v>
      </c>
      <c r="J304" s="8" t="s">
        <v>22</v>
      </c>
      <c r="K304" s="8" t="s">
        <v>1554</v>
      </c>
      <c r="L304" s="8" t="s">
        <v>125</v>
      </c>
      <c r="M304" s="8" t="s">
        <v>126</v>
      </c>
      <c r="N304" s="8" t="s">
        <v>1555</v>
      </c>
      <c r="O304" s="8">
        <f>0+54/60+54.6/3600</f>
        <v>0.91516666666666668</v>
      </c>
      <c r="P304" s="8" t="s">
        <v>1556</v>
      </c>
      <c r="Q304" s="8">
        <f>-(16+39/60+18/3600)</f>
        <v>-16.654999999999998</v>
      </c>
      <c r="R304" s="8">
        <v>14.3</v>
      </c>
      <c r="S304" s="8">
        <v>15.2</v>
      </c>
      <c r="T304" s="8">
        <v>0.9</v>
      </c>
      <c r="U304" s="8">
        <v>12.5</v>
      </c>
      <c r="V304" s="8">
        <v>0.7</v>
      </c>
      <c r="W304" s="8">
        <v>0.3</v>
      </c>
      <c r="X304" s="8">
        <v>158</v>
      </c>
      <c r="Y304" s="8" t="s">
        <v>266</v>
      </c>
      <c r="Z304" s="8" t="s">
        <v>267</v>
      </c>
    </row>
    <row r="305" spans="1:26" x14ac:dyDescent="0.2">
      <c r="A305" s="8">
        <v>304</v>
      </c>
      <c r="B305" s="8" t="s">
        <v>1557</v>
      </c>
      <c r="C305" s="8" t="s">
        <v>1557</v>
      </c>
      <c r="F305" s="47"/>
      <c r="G305" s="8">
        <v>19</v>
      </c>
      <c r="H305" s="8" t="s">
        <v>21</v>
      </c>
      <c r="I305" s="8" t="s">
        <v>22</v>
      </c>
      <c r="J305" s="8" t="s">
        <v>22</v>
      </c>
      <c r="K305" s="8" t="s">
        <v>124</v>
      </c>
      <c r="L305" s="8" t="s">
        <v>51</v>
      </c>
      <c r="M305" s="8" t="s">
        <v>52</v>
      </c>
      <c r="N305" s="8" t="s">
        <v>1558</v>
      </c>
      <c r="O305" s="8">
        <f>0+56/60+6/3600</f>
        <v>0.93500000000000005</v>
      </c>
      <c r="P305" s="8" t="s">
        <v>1559</v>
      </c>
      <c r="Q305" s="8">
        <f>+(24+7/60+38/3600)</f>
        <v>24.127222222222223</v>
      </c>
      <c r="R305" s="8">
        <v>13.1</v>
      </c>
      <c r="S305" s="8">
        <v>14</v>
      </c>
      <c r="T305" s="8">
        <v>0.9</v>
      </c>
      <c r="U305" s="8">
        <v>12.7</v>
      </c>
      <c r="V305" s="8">
        <v>1.1000000000000001</v>
      </c>
      <c r="W305" s="8">
        <v>0.7</v>
      </c>
      <c r="X305" s="8">
        <v>175</v>
      </c>
      <c r="Y305" s="8" t="s">
        <v>1560</v>
      </c>
      <c r="Z305" s="8" t="s">
        <v>1561</v>
      </c>
    </row>
    <row r="306" spans="1:26" x14ac:dyDescent="0.2">
      <c r="A306" s="8">
        <v>305</v>
      </c>
      <c r="B306" s="8" t="s">
        <v>1562</v>
      </c>
      <c r="C306" s="8" t="s">
        <v>1562</v>
      </c>
      <c r="F306" s="47"/>
      <c r="G306" s="8">
        <v>16</v>
      </c>
      <c r="H306" s="8" t="s">
        <v>21</v>
      </c>
      <c r="I306" s="8" t="s">
        <v>72</v>
      </c>
      <c r="J306" s="8" t="s">
        <v>72</v>
      </c>
      <c r="K306" s="8" t="s">
        <v>1405</v>
      </c>
      <c r="L306" s="8" t="s">
        <v>38</v>
      </c>
      <c r="M306" s="8" t="s">
        <v>39</v>
      </c>
      <c r="N306" s="8" t="s">
        <v>1563</v>
      </c>
      <c r="O306" s="8">
        <f>0+56/60+21/3600</f>
        <v>0.93916666666666671</v>
      </c>
      <c r="P306" s="8" t="s">
        <v>1564</v>
      </c>
      <c r="Q306" s="8">
        <f>+(12+3/60+48/3600)</f>
        <v>12.063333333333334</v>
      </c>
      <c r="R306" s="8">
        <v>99</v>
      </c>
      <c r="S306" s="8">
        <v>99</v>
      </c>
      <c r="T306" s="8">
        <v>99</v>
      </c>
      <c r="U306" s="8">
        <v>99</v>
      </c>
      <c r="Y306" s="8" t="s">
        <v>1565</v>
      </c>
      <c r="Z306" s="8" t="s">
        <v>1566</v>
      </c>
    </row>
    <row r="307" spans="1:26" x14ac:dyDescent="0.2">
      <c r="A307" s="8">
        <v>306</v>
      </c>
      <c r="B307" s="8" t="s">
        <v>1567</v>
      </c>
      <c r="C307" s="8" t="s">
        <v>1567</v>
      </c>
      <c r="F307" s="47"/>
      <c r="G307" s="8">
        <v>16</v>
      </c>
      <c r="H307" s="8" t="s">
        <v>21</v>
      </c>
      <c r="I307" s="8" t="s">
        <v>557</v>
      </c>
      <c r="J307" s="8" t="s">
        <v>557</v>
      </c>
      <c r="K307" s="8" t="s">
        <v>557</v>
      </c>
      <c r="L307" s="8" t="s">
        <v>310</v>
      </c>
      <c r="M307" s="8" t="s">
        <v>311</v>
      </c>
      <c r="N307" s="8" t="s">
        <v>1568</v>
      </c>
      <c r="O307" s="8">
        <f>0+54/60+15.1/3600</f>
        <v>0.90419444444444441</v>
      </c>
      <c r="P307" s="8" t="s">
        <v>1569</v>
      </c>
      <c r="Q307" s="8">
        <f>-(72+14/60+33/3600)</f>
        <v>-72.242500000000007</v>
      </c>
      <c r="R307" s="8">
        <v>99</v>
      </c>
      <c r="S307" s="8">
        <v>12.5</v>
      </c>
      <c r="T307" s="8">
        <v>99</v>
      </c>
      <c r="U307" s="8">
        <v>99</v>
      </c>
      <c r="V307" s="8">
        <v>0.8</v>
      </c>
      <c r="Y307" s="8" t="s">
        <v>635</v>
      </c>
      <c r="Z307" s="8" t="s">
        <v>636</v>
      </c>
    </row>
    <row r="308" spans="1:26" x14ac:dyDescent="0.2">
      <c r="A308" s="8">
        <v>307</v>
      </c>
      <c r="B308" s="8" t="s">
        <v>1570</v>
      </c>
      <c r="C308" s="8" t="s">
        <v>1570</v>
      </c>
      <c r="F308" s="47"/>
      <c r="G308" s="8">
        <v>16</v>
      </c>
      <c r="H308" s="8" t="s">
        <v>21</v>
      </c>
      <c r="I308" s="8" t="s">
        <v>22</v>
      </c>
      <c r="J308" s="8" t="s">
        <v>22</v>
      </c>
      <c r="K308" s="8" t="s">
        <v>37</v>
      </c>
      <c r="L308" s="8" t="s">
        <v>125</v>
      </c>
      <c r="M308" s="8" t="s">
        <v>126</v>
      </c>
      <c r="N308" s="8" t="s">
        <v>1571</v>
      </c>
      <c r="O308" s="8">
        <f>0+56/60+32.5/3600</f>
        <v>0.94236111111111109</v>
      </c>
      <c r="P308" s="8" t="s">
        <v>1572</v>
      </c>
      <c r="Q308" s="8">
        <f>-(1+46/60+20/3600)</f>
        <v>-1.7722222222222221</v>
      </c>
      <c r="R308" s="8">
        <v>12.8</v>
      </c>
      <c r="S308" s="8">
        <v>13.8</v>
      </c>
      <c r="T308" s="8">
        <v>1</v>
      </c>
      <c r="U308" s="8">
        <v>12.8</v>
      </c>
      <c r="V308" s="8">
        <v>1.6</v>
      </c>
      <c r="W308" s="8">
        <v>0.7</v>
      </c>
      <c r="X308" s="8">
        <v>85</v>
      </c>
      <c r="Y308" s="8" t="s">
        <v>1573</v>
      </c>
      <c r="Z308" s="8" t="s">
        <v>1574</v>
      </c>
    </row>
    <row r="309" spans="1:26" x14ac:dyDescent="0.2">
      <c r="A309" s="8">
        <v>308</v>
      </c>
      <c r="B309" s="8" t="s">
        <v>1575</v>
      </c>
      <c r="C309" s="8" t="s">
        <v>1575</v>
      </c>
      <c r="F309" s="47"/>
      <c r="G309" s="8">
        <v>18</v>
      </c>
      <c r="H309" s="8" t="s">
        <v>21</v>
      </c>
      <c r="I309" s="8" t="s">
        <v>72</v>
      </c>
      <c r="J309" s="8" t="s">
        <v>72</v>
      </c>
      <c r="K309" s="8" t="s">
        <v>20</v>
      </c>
      <c r="L309" s="8" t="s">
        <v>125</v>
      </c>
      <c r="M309" s="8" t="s">
        <v>126</v>
      </c>
      <c r="N309" s="8" t="s">
        <v>1576</v>
      </c>
      <c r="O309" s="8">
        <f>0+56/60+34.3/3600</f>
        <v>0.94286111111111115</v>
      </c>
      <c r="P309" s="8" t="s">
        <v>1577</v>
      </c>
      <c r="Q309" s="8">
        <f>-(1+47/60+1/3600)</f>
        <v>-1.783611111111111</v>
      </c>
      <c r="R309" s="8">
        <v>99</v>
      </c>
      <c r="S309" s="8">
        <v>99</v>
      </c>
      <c r="T309" s="8">
        <v>99</v>
      </c>
      <c r="U309" s="8">
        <v>99</v>
      </c>
      <c r="Y309" s="8" t="s">
        <v>1578</v>
      </c>
      <c r="Z309" s="8" t="s">
        <v>1579</v>
      </c>
    </row>
    <row r="310" spans="1:26" x14ac:dyDescent="0.2">
      <c r="A310" s="8">
        <v>309</v>
      </c>
      <c r="B310" s="8" t="s">
        <v>1580</v>
      </c>
      <c r="C310" s="8" t="s">
        <v>1580</v>
      </c>
      <c r="F310" s="47"/>
      <c r="G310" s="8">
        <v>11</v>
      </c>
      <c r="H310" s="8" t="s">
        <v>21</v>
      </c>
      <c r="I310" s="8" t="s">
        <v>22</v>
      </c>
      <c r="J310" s="8" t="s">
        <v>22</v>
      </c>
      <c r="K310" s="8" t="s">
        <v>64</v>
      </c>
      <c r="L310" s="8" t="s">
        <v>125</v>
      </c>
      <c r="M310" s="8" t="s">
        <v>126</v>
      </c>
      <c r="N310" s="8" t="s">
        <v>1581</v>
      </c>
      <c r="O310" s="8">
        <f>0+56/60+42.6/3600</f>
        <v>0.94516666666666671</v>
      </c>
      <c r="P310" s="8" t="s">
        <v>1582</v>
      </c>
      <c r="Q310" s="8">
        <f>-(9+54/60+51/3600)</f>
        <v>-9.9141666666666666</v>
      </c>
      <c r="R310" s="8">
        <v>11.9</v>
      </c>
      <c r="S310" s="8">
        <v>12.5</v>
      </c>
      <c r="T310" s="8">
        <v>0.6</v>
      </c>
      <c r="U310" s="8">
        <v>14</v>
      </c>
      <c r="V310" s="8">
        <v>3</v>
      </c>
      <c r="W310" s="8">
        <v>2.4</v>
      </c>
      <c r="X310" s="8">
        <v>175</v>
      </c>
      <c r="Y310" s="8" t="s">
        <v>1583</v>
      </c>
      <c r="Z310" s="8" t="s">
        <v>1584</v>
      </c>
    </row>
    <row r="311" spans="1:26" x14ac:dyDescent="0.2">
      <c r="A311" s="8">
        <v>310</v>
      </c>
      <c r="B311" s="8" t="s">
        <v>1585</v>
      </c>
      <c r="C311" s="8" t="s">
        <v>1585</v>
      </c>
      <c r="F311" s="47"/>
      <c r="G311" s="8">
        <v>18</v>
      </c>
      <c r="H311" s="8" t="s">
        <v>21</v>
      </c>
      <c r="I311" s="8" t="s">
        <v>72</v>
      </c>
      <c r="J311" s="8" t="s">
        <v>72</v>
      </c>
      <c r="K311" s="8" t="s">
        <v>20</v>
      </c>
      <c r="L311" s="8" t="s">
        <v>125</v>
      </c>
      <c r="M311" s="8" t="s">
        <v>126</v>
      </c>
      <c r="N311" s="8" t="s">
        <v>1586</v>
      </c>
      <c r="O311" s="8">
        <f>0+56/60+47.9/3600</f>
        <v>0.94663888888888892</v>
      </c>
      <c r="P311" s="8" t="s">
        <v>1587</v>
      </c>
      <c r="Q311" s="8">
        <f>-(1+45/60+53/3600)</f>
        <v>-1.7647222222222223</v>
      </c>
      <c r="R311" s="8">
        <v>99</v>
      </c>
      <c r="S311" s="8">
        <v>15.4</v>
      </c>
      <c r="T311" s="8">
        <v>99</v>
      </c>
      <c r="U311" s="8">
        <v>99</v>
      </c>
      <c r="Y311" s="8" t="s">
        <v>1588</v>
      </c>
      <c r="Z311" s="8" t="s">
        <v>1589</v>
      </c>
    </row>
    <row r="312" spans="1:26" x14ac:dyDescent="0.2">
      <c r="A312" s="8">
        <v>311</v>
      </c>
      <c r="B312" s="8" t="s">
        <v>1590</v>
      </c>
      <c r="C312" s="8" t="s">
        <v>1590</v>
      </c>
      <c r="F312" s="47"/>
      <c r="G312" s="8">
        <v>16</v>
      </c>
      <c r="H312" s="8" t="s">
        <v>21</v>
      </c>
      <c r="I312" s="8" t="s">
        <v>22</v>
      </c>
      <c r="J312" s="8" t="s">
        <v>22</v>
      </c>
      <c r="K312" s="8" t="s">
        <v>37</v>
      </c>
      <c r="L312" s="8" t="s">
        <v>38</v>
      </c>
      <c r="M312" s="8" t="s">
        <v>39</v>
      </c>
      <c r="N312" s="8" t="s">
        <v>1591</v>
      </c>
      <c r="O312" s="8">
        <f>0+57/60+32.8/3600</f>
        <v>0.95911111111111103</v>
      </c>
      <c r="P312" s="8" t="s">
        <v>1592</v>
      </c>
      <c r="Q312" s="8">
        <f>+(30+16/60+49/3600)</f>
        <v>30.280277777777776</v>
      </c>
      <c r="R312" s="8">
        <v>13</v>
      </c>
      <c r="S312" s="8">
        <v>14</v>
      </c>
      <c r="T312" s="8">
        <v>1</v>
      </c>
      <c r="U312" s="8">
        <v>13.1</v>
      </c>
      <c r="V312" s="8">
        <v>1.5</v>
      </c>
      <c r="W312" s="8">
        <v>0.8</v>
      </c>
      <c r="X312" s="8">
        <v>120</v>
      </c>
      <c r="Y312" s="8" t="s">
        <v>957</v>
      </c>
      <c r="Z312" s="8" t="s">
        <v>958</v>
      </c>
    </row>
    <row r="313" spans="1:26" x14ac:dyDescent="0.2">
      <c r="A313" s="8">
        <v>312</v>
      </c>
      <c r="B313" s="8" t="s">
        <v>1593</v>
      </c>
      <c r="C313" s="8" t="s">
        <v>1593</v>
      </c>
      <c r="F313" s="47"/>
      <c r="G313" s="8">
        <v>16</v>
      </c>
      <c r="H313" s="8" t="s">
        <v>21</v>
      </c>
      <c r="I313" s="8" t="s">
        <v>22</v>
      </c>
      <c r="J313" s="8" t="s">
        <v>22</v>
      </c>
      <c r="K313" s="8" t="s">
        <v>1136</v>
      </c>
      <c r="L313" s="8" t="s">
        <v>166</v>
      </c>
      <c r="M313" s="8" t="s">
        <v>167</v>
      </c>
      <c r="N313" s="8" t="s">
        <v>1594</v>
      </c>
      <c r="O313" s="8">
        <f>0+56/60+15.7/3600</f>
        <v>0.9376944444444445</v>
      </c>
      <c r="P313" s="8" t="s">
        <v>1595</v>
      </c>
      <c r="Q313" s="8">
        <f>-(52+46/60+59/3600)</f>
        <v>-52.783055555555556</v>
      </c>
      <c r="R313" s="8">
        <v>12.4</v>
      </c>
      <c r="S313" s="8">
        <v>13.4</v>
      </c>
      <c r="T313" s="8">
        <v>1</v>
      </c>
      <c r="U313" s="8">
        <v>12.9</v>
      </c>
      <c r="V313" s="8">
        <v>1.4</v>
      </c>
      <c r="W313" s="8">
        <v>1.1000000000000001</v>
      </c>
      <c r="X313" s="8">
        <v>62</v>
      </c>
      <c r="Y313" s="8" t="s">
        <v>1596</v>
      </c>
      <c r="Z313" s="8" t="s">
        <v>1597</v>
      </c>
    </row>
    <row r="314" spans="1:26" x14ac:dyDescent="0.2">
      <c r="A314" s="8">
        <v>313</v>
      </c>
      <c r="B314" s="8" t="s">
        <v>1598</v>
      </c>
      <c r="C314" s="8" t="s">
        <v>1598</v>
      </c>
      <c r="F314" s="47"/>
      <c r="G314" s="8">
        <v>18</v>
      </c>
      <c r="H314" s="8" t="s">
        <v>21</v>
      </c>
      <c r="I314" s="8" t="s">
        <v>72</v>
      </c>
      <c r="J314" s="8" t="s">
        <v>72</v>
      </c>
      <c r="K314" s="8" t="s">
        <v>73</v>
      </c>
      <c r="L314" s="8" t="s">
        <v>38</v>
      </c>
      <c r="M314" s="8" t="s">
        <v>39</v>
      </c>
      <c r="N314" s="8" t="s">
        <v>1599</v>
      </c>
      <c r="O314" s="8">
        <f>0+57/60+45.7/3600</f>
        <v>0.96269444444444441</v>
      </c>
      <c r="P314" s="8" t="s">
        <v>1600</v>
      </c>
      <c r="Q314" s="8">
        <f>+(30+22/60+0/3600)</f>
        <v>30.366666666666667</v>
      </c>
      <c r="R314" s="8">
        <v>99</v>
      </c>
      <c r="S314" s="8">
        <v>99</v>
      </c>
      <c r="T314" s="8">
        <v>99</v>
      </c>
      <c r="U314" s="8">
        <v>99</v>
      </c>
      <c r="Y314" s="8" t="s">
        <v>1601</v>
      </c>
      <c r="Z314" s="8" t="s">
        <v>1602</v>
      </c>
    </row>
    <row r="315" spans="1:26" x14ac:dyDescent="0.2">
      <c r="A315" s="8">
        <v>314</v>
      </c>
      <c r="B315" s="8" t="s">
        <v>1603</v>
      </c>
      <c r="C315" s="8" t="s">
        <v>1603</v>
      </c>
      <c r="F315" s="47"/>
      <c r="G315" s="8">
        <v>16</v>
      </c>
      <c r="H315" s="8" t="s">
        <v>21</v>
      </c>
      <c r="I315" s="8" t="s">
        <v>22</v>
      </c>
      <c r="J315" s="8" t="s">
        <v>22</v>
      </c>
      <c r="K315" s="8" t="s">
        <v>224</v>
      </c>
      <c r="L315" s="8" t="s">
        <v>65</v>
      </c>
      <c r="M315" s="8" t="s">
        <v>66</v>
      </c>
      <c r="N315" s="8" t="s">
        <v>1604</v>
      </c>
      <c r="O315" s="8">
        <f>0+56/60+52.4/3600</f>
        <v>0.94788888888888889</v>
      </c>
      <c r="P315" s="8" t="s">
        <v>1605</v>
      </c>
      <c r="Q315" s="8">
        <f>-(31+57/60+47/3600)</f>
        <v>-31.963055555555556</v>
      </c>
      <c r="R315" s="8">
        <v>13.4</v>
      </c>
      <c r="S315" s="8">
        <v>14.3</v>
      </c>
      <c r="T315" s="8">
        <v>0.9</v>
      </c>
      <c r="U315" s="8">
        <v>13</v>
      </c>
      <c r="V315" s="8">
        <v>0.9</v>
      </c>
      <c r="W315" s="8">
        <v>0.8</v>
      </c>
      <c r="X315" s="8">
        <v>168</v>
      </c>
      <c r="Y315" s="8" t="s">
        <v>1606</v>
      </c>
      <c r="Z315" s="8" t="s">
        <v>1607</v>
      </c>
    </row>
    <row r="316" spans="1:26" x14ac:dyDescent="0.2">
      <c r="A316" s="8">
        <v>315</v>
      </c>
      <c r="B316" s="8" t="s">
        <v>1608</v>
      </c>
      <c r="C316" s="8" t="s">
        <v>1608</v>
      </c>
      <c r="F316" s="47" t="s">
        <v>56047</v>
      </c>
      <c r="G316" s="8">
        <v>6.5</v>
      </c>
      <c r="H316" s="8" t="s">
        <v>21</v>
      </c>
      <c r="I316" s="8" t="s">
        <v>22</v>
      </c>
      <c r="J316" s="8" t="s">
        <v>22</v>
      </c>
      <c r="K316" s="8" t="s">
        <v>1136</v>
      </c>
      <c r="L316" s="8" t="s">
        <v>38</v>
      </c>
      <c r="M316" s="8" t="s">
        <v>39</v>
      </c>
      <c r="N316" s="8" t="s">
        <v>1609</v>
      </c>
      <c r="O316" s="8">
        <f>0+57/60+49/3600</f>
        <v>0.96361111111111108</v>
      </c>
      <c r="P316" s="8" t="s">
        <v>1610</v>
      </c>
      <c r="Q316" s="8">
        <f>+(30+21/60+7/3600)</f>
        <v>30.351944444444445</v>
      </c>
      <c r="R316" s="8">
        <v>11.2</v>
      </c>
      <c r="S316" s="8">
        <v>12.2</v>
      </c>
      <c r="T316" s="8">
        <v>1</v>
      </c>
      <c r="U316" s="8">
        <v>13.2</v>
      </c>
      <c r="V316" s="8">
        <v>3</v>
      </c>
      <c r="W316" s="8">
        <v>2.5</v>
      </c>
      <c r="X316" s="8">
        <v>43</v>
      </c>
      <c r="Y316" s="8" t="s">
        <v>1611</v>
      </c>
      <c r="Z316" s="8" t="s">
        <v>1612</v>
      </c>
    </row>
    <row r="317" spans="1:26" x14ac:dyDescent="0.2">
      <c r="A317" s="8">
        <v>316</v>
      </c>
      <c r="B317" s="8" t="s">
        <v>1613</v>
      </c>
      <c r="C317" s="8" t="s">
        <v>1613</v>
      </c>
      <c r="F317" s="47"/>
      <c r="G317" s="8">
        <v>18</v>
      </c>
      <c r="H317" s="8" t="s">
        <v>21</v>
      </c>
      <c r="I317" s="8" t="s">
        <v>72</v>
      </c>
      <c r="J317" s="8" t="s">
        <v>72</v>
      </c>
      <c r="K317" s="8" t="s">
        <v>20</v>
      </c>
      <c r="L317" s="8" t="s">
        <v>38</v>
      </c>
      <c r="M317" s="8" t="s">
        <v>39</v>
      </c>
      <c r="N317" s="8" t="s">
        <v>1614</v>
      </c>
      <c r="O317" s="8">
        <f>0+57/60+52.4/3600</f>
        <v>0.9645555555555555</v>
      </c>
      <c r="P317" s="8" t="s">
        <v>1615</v>
      </c>
      <c r="Q317" s="8">
        <f>+(30+21/60+16/3600)</f>
        <v>30.354444444444447</v>
      </c>
      <c r="R317" s="8">
        <v>99</v>
      </c>
      <c r="S317" s="8">
        <v>14.5</v>
      </c>
      <c r="T317" s="8">
        <v>99</v>
      </c>
      <c r="U317" s="8">
        <v>99</v>
      </c>
      <c r="Y317" s="8" t="s">
        <v>1616</v>
      </c>
      <c r="Z317" s="8" t="s">
        <v>1617</v>
      </c>
    </row>
    <row r="318" spans="1:26" x14ac:dyDescent="0.2">
      <c r="A318" s="8">
        <v>317</v>
      </c>
      <c r="B318" s="8" t="s">
        <v>1618</v>
      </c>
      <c r="C318" s="8" t="s">
        <v>1618</v>
      </c>
      <c r="D318" s="8" t="s">
        <v>1619</v>
      </c>
      <c r="F318" s="47"/>
      <c r="G318" s="8">
        <v>19</v>
      </c>
      <c r="H318" s="8" t="s">
        <v>21</v>
      </c>
      <c r="I318" s="8" t="s">
        <v>22</v>
      </c>
      <c r="J318" s="8" t="s">
        <v>22</v>
      </c>
      <c r="K318" s="8" t="s">
        <v>85</v>
      </c>
      <c r="L318" s="8" t="s">
        <v>51</v>
      </c>
      <c r="M318" s="8" t="s">
        <v>52</v>
      </c>
      <c r="N318" s="8" t="s">
        <v>1620</v>
      </c>
      <c r="O318" s="8">
        <f>0+57/60+40.5/3600</f>
        <v>0.96124999999999994</v>
      </c>
      <c r="P318" s="8" t="s">
        <v>1621</v>
      </c>
      <c r="Q318" s="8">
        <f>+(43+47/60+31/3600)</f>
        <v>43.791944444444439</v>
      </c>
      <c r="R318" s="8">
        <v>13.4</v>
      </c>
      <c r="S318" s="8">
        <v>14.2</v>
      </c>
      <c r="T318" s="8">
        <v>0.8</v>
      </c>
      <c r="U318" s="8">
        <v>12.4</v>
      </c>
      <c r="V318" s="8">
        <v>1.1000000000000001</v>
      </c>
      <c r="W318" s="8">
        <v>0.5</v>
      </c>
      <c r="X318" s="8">
        <v>105</v>
      </c>
      <c r="Y318" s="8" t="s">
        <v>1622</v>
      </c>
      <c r="Z318" s="8" t="s">
        <v>1623</v>
      </c>
    </row>
    <row r="319" spans="1:26" x14ac:dyDescent="0.2">
      <c r="A319" s="8">
        <v>318</v>
      </c>
      <c r="B319" s="8" t="s">
        <v>1624</v>
      </c>
      <c r="C319" s="8" t="s">
        <v>1624</v>
      </c>
      <c r="F319" s="47"/>
      <c r="G319" s="8">
        <v>18</v>
      </c>
      <c r="H319" s="8" t="s">
        <v>21</v>
      </c>
      <c r="I319" s="8" t="s">
        <v>22</v>
      </c>
      <c r="J319" s="8" t="s">
        <v>22</v>
      </c>
      <c r="K319" s="8" t="s">
        <v>37</v>
      </c>
      <c r="L319" s="8" t="s">
        <v>38</v>
      </c>
      <c r="M319" s="8" t="s">
        <v>39</v>
      </c>
      <c r="N319" s="8" t="s">
        <v>1625</v>
      </c>
      <c r="O319" s="8">
        <f>0+58/60+5.2/3600</f>
        <v>0.96811111111111114</v>
      </c>
      <c r="P319" s="8" t="s">
        <v>1626</v>
      </c>
      <c r="Q319" s="8">
        <f>+(30+25/60+34/3600)</f>
        <v>30.426111111111112</v>
      </c>
      <c r="R319" s="8">
        <v>14.4</v>
      </c>
      <c r="S319" s="8">
        <v>15.4</v>
      </c>
      <c r="T319" s="8">
        <v>1</v>
      </c>
      <c r="U319" s="8">
        <v>12.2</v>
      </c>
      <c r="V319" s="8">
        <v>0.5</v>
      </c>
      <c r="W319" s="8">
        <v>0.3</v>
      </c>
      <c r="X319" s="8">
        <v>10</v>
      </c>
      <c r="Y319" s="8" t="s">
        <v>115</v>
      </c>
      <c r="Z319" s="8" t="s">
        <v>116</v>
      </c>
    </row>
    <row r="320" spans="1:26" x14ac:dyDescent="0.2">
      <c r="A320" s="8">
        <v>319</v>
      </c>
      <c r="B320" s="8" t="s">
        <v>1627</v>
      </c>
      <c r="C320" s="8" t="s">
        <v>1627</v>
      </c>
      <c r="F320" s="47"/>
      <c r="G320" s="8">
        <v>16</v>
      </c>
      <c r="H320" s="8" t="s">
        <v>21</v>
      </c>
      <c r="I320" s="8" t="s">
        <v>22</v>
      </c>
      <c r="J320" s="8" t="s">
        <v>22</v>
      </c>
      <c r="K320" s="8" t="s">
        <v>154</v>
      </c>
      <c r="L320" s="8" t="s">
        <v>166</v>
      </c>
      <c r="M320" s="8" t="s">
        <v>167</v>
      </c>
      <c r="N320" s="8" t="s">
        <v>1628</v>
      </c>
      <c r="O320" s="8">
        <f>0+56/60+57.6/3600</f>
        <v>0.94933333333333336</v>
      </c>
      <c r="P320" s="8" t="s">
        <v>1629</v>
      </c>
      <c r="Q320" s="8">
        <f>-(43+50/60+19/3600)</f>
        <v>-43.838611111111113</v>
      </c>
      <c r="R320" s="8">
        <v>13.4</v>
      </c>
      <c r="S320" s="8">
        <v>14.3</v>
      </c>
      <c r="T320" s="8">
        <v>0.9</v>
      </c>
      <c r="U320" s="8">
        <v>13</v>
      </c>
      <c r="V320" s="8">
        <v>1</v>
      </c>
      <c r="W320" s="8">
        <v>0.8</v>
      </c>
      <c r="X320" s="8">
        <v>150</v>
      </c>
      <c r="Y320" s="8" t="s">
        <v>348</v>
      </c>
      <c r="Z320" s="8" t="s">
        <v>349</v>
      </c>
    </row>
    <row r="321" spans="1:26" x14ac:dyDescent="0.2">
      <c r="A321" s="8">
        <v>320</v>
      </c>
      <c r="B321" s="8" t="s">
        <v>1630</v>
      </c>
      <c r="C321" s="8" t="s">
        <v>1630</v>
      </c>
      <c r="F321" s="47"/>
      <c r="G321" s="8">
        <v>19</v>
      </c>
      <c r="H321" s="8" t="s">
        <v>21</v>
      </c>
      <c r="I321" s="8" t="s">
        <v>22</v>
      </c>
      <c r="J321" s="8" t="s">
        <v>22</v>
      </c>
      <c r="K321" s="8" t="s">
        <v>435</v>
      </c>
      <c r="L321" s="8" t="s">
        <v>125</v>
      </c>
      <c r="M321" s="8" t="s">
        <v>126</v>
      </c>
      <c r="N321" s="8" t="s">
        <v>1631</v>
      </c>
      <c r="O321" s="8">
        <f>0+58/60+46.4/3600</f>
        <v>0.97955555555555551</v>
      </c>
      <c r="P321" s="8" t="s">
        <v>1632</v>
      </c>
      <c r="Q321" s="8">
        <f>-(20+50/60+25/3600)</f>
        <v>-20.840277777777775</v>
      </c>
      <c r="R321" s="8">
        <v>13.8</v>
      </c>
      <c r="S321" s="8">
        <v>14.7</v>
      </c>
      <c r="T321" s="8">
        <v>0.9</v>
      </c>
      <c r="U321" s="8">
        <v>12.8</v>
      </c>
      <c r="V321" s="8">
        <v>0.8</v>
      </c>
      <c r="W321" s="8">
        <v>0.5</v>
      </c>
      <c r="X321" s="8">
        <v>159</v>
      </c>
      <c r="Y321" s="8" t="s">
        <v>1633</v>
      </c>
      <c r="Z321" s="8" t="s">
        <v>1634</v>
      </c>
    </row>
    <row r="322" spans="1:26" x14ac:dyDescent="0.2">
      <c r="A322" s="8">
        <v>321</v>
      </c>
      <c r="B322" s="8" t="s">
        <v>1635</v>
      </c>
      <c r="C322" s="8" t="s">
        <v>1635</v>
      </c>
      <c r="F322" s="47"/>
      <c r="G322" s="8">
        <v>18</v>
      </c>
      <c r="H322" s="8" t="s">
        <v>21</v>
      </c>
      <c r="I322" s="8" t="s">
        <v>22</v>
      </c>
      <c r="J322" s="8" t="s">
        <v>22</v>
      </c>
      <c r="K322" s="8" t="s">
        <v>1277</v>
      </c>
      <c r="L322" s="8" t="s">
        <v>125</v>
      </c>
      <c r="M322" s="8" t="s">
        <v>126</v>
      </c>
      <c r="N322" s="8" t="s">
        <v>1636</v>
      </c>
      <c r="O322" s="8">
        <f>0+57/60+39.2/3600</f>
        <v>0.96088888888888879</v>
      </c>
      <c r="P322" s="8" t="s">
        <v>1637</v>
      </c>
      <c r="Q322" s="8">
        <f>-(5+5/60+9/3600)</f>
        <v>-5.0858333333333334</v>
      </c>
      <c r="R322" s="8">
        <v>15</v>
      </c>
      <c r="S322" s="8">
        <v>15.7</v>
      </c>
      <c r="T322" s="8">
        <v>0.7</v>
      </c>
      <c r="U322" s="8">
        <v>12.5</v>
      </c>
      <c r="V322" s="8">
        <v>0.4</v>
      </c>
      <c r="W322" s="8">
        <v>0.3</v>
      </c>
      <c r="X322" s="8">
        <v>95</v>
      </c>
      <c r="Y322" s="8" t="s">
        <v>266</v>
      </c>
      <c r="Z322" s="8" t="s">
        <v>267</v>
      </c>
    </row>
    <row r="323" spans="1:26" x14ac:dyDescent="0.2">
      <c r="A323" s="8">
        <v>322</v>
      </c>
      <c r="B323" s="8" t="s">
        <v>1638</v>
      </c>
      <c r="C323" s="8" t="s">
        <v>1638</v>
      </c>
      <c r="E323" s="8">
        <v>1</v>
      </c>
      <c r="F323" s="47"/>
      <c r="G323" s="8">
        <v>16</v>
      </c>
      <c r="H323" s="8" t="s">
        <v>21</v>
      </c>
      <c r="I323" s="8" t="s">
        <v>22</v>
      </c>
      <c r="J323" s="8" t="s">
        <v>22</v>
      </c>
      <c r="K323" s="8" t="s">
        <v>37</v>
      </c>
      <c r="L323" s="8" t="s">
        <v>166</v>
      </c>
      <c r="M323" s="8" t="s">
        <v>167</v>
      </c>
      <c r="N323" s="8" t="s">
        <v>1639</v>
      </c>
      <c r="O323" s="8">
        <f>0+57/60+10/3600</f>
        <v>0.95277777777777772</v>
      </c>
      <c r="P323" s="8" t="s">
        <v>1640</v>
      </c>
      <c r="Q323" s="8">
        <f>-(43+43/60+37/3600)</f>
        <v>-43.726944444444449</v>
      </c>
      <c r="R323" s="8">
        <v>13.4</v>
      </c>
      <c r="S323" s="8">
        <v>14.4</v>
      </c>
      <c r="T323" s="8">
        <v>1</v>
      </c>
      <c r="U323" s="8">
        <v>12.4</v>
      </c>
      <c r="V323" s="8">
        <v>0.9</v>
      </c>
      <c r="W323" s="8">
        <v>0.4</v>
      </c>
      <c r="X323" s="8">
        <v>153</v>
      </c>
      <c r="Y323" s="8" t="s">
        <v>1641</v>
      </c>
      <c r="Z323" s="8" t="s">
        <v>1642</v>
      </c>
    </row>
    <row r="324" spans="1:26" x14ac:dyDescent="0.2">
      <c r="A324" s="8">
        <v>323</v>
      </c>
      <c r="B324" s="8" t="s">
        <v>1643</v>
      </c>
      <c r="C324" s="8" t="s">
        <v>1643</v>
      </c>
      <c r="F324" s="47"/>
      <c r="G324" s="8">
        <v>16</v>
      </c>
      <c r="H324" s="8" t="s">
        <v>21</v>
      </c>
      <c r="I324" s="8" t="s">
        <v>22</v>
      </c>
      <c r="J324" s="8" t="s">
        <v>22</v>
      </c>
      <c r="K324" s="8" t="s">
        <v>1136</v>
      </c>
      <c r="L324" s="8" t="s">
        <v>166</v>
      </c>
      <c r="M324" s="8" t="s">
        <v>167</v>
      </c>
      <c r="N324" s="8" t="s">
        <v>1644</v>
      </c>
      <c r="O324" s="8">
        <f>0+56/60+41.7/3600</f>
        <v>0.94491666666666663</v>
      </c>
      <c r="P324" s="8" t="s">
        <v>1645</v>
      </c>
      <c r="Q324" s="8">
        <f>-(52+58/60+33/3600)</f>
        <v>-52.975833333333334</v>
      </c>
      <c r="R324" s="8">
        <v>12.6</v>
      </c>
      <c r="S324" s="8">
        <v>13.6</v>
      </c>
      <c r="T324" s="8">
        <v>1</v>
      </c>
      <c r="U324" s="8">
        <v>12.5</v>
      </c>
      <c r="V324" s="8">
        <v>1.3</v>
      </c>
      <c r="W324" s="8">
        <v>1.1000000000000001</v>
      </c>
      <c r="X324" s="8">
        <v>175</v>
      </c>
      <c r="Y324" s="8" t="s">
        <v>1646</v>
      </c>
      <c r="Z324" s="8" t="s">
        <v>1647</v>
      </c>
    </row>
    <row r="325" spans="1:26" x14ac:dyDescent="0.2">
      <c r="A325" s="8">
        <v>324</v>
      </c>
      <c r="B325" s="8" t="s">
        <v>1648</v>
      </c>
      <c r="C325" s="8" t="s">
        <v>1648</v>
      </c>
      <c r="F325" s="47"/>
      <c r="G325" s="8">
        <v>16</v>
      </c>
      <c r="H325" s="8" t="s">
        <v>21</v>
      </c>
      <c r="I325" s="8" t="s">
        <v>22</v>
      </c>
      <c r="J325" s="8" t="s">
        <v>22</v>
      </c>
      <c r="K325" s="8" t="s">
        <v>632</v>
      </c>
      <c r="L325" s="8" t="s">
        <v>166</v>
      </c>
      <c r="M325" s="8" t="s">
        <v>167</v>
      </c>
      <c r="N325" s="8" t="s">
        <v>1649</v>
      </c>
      <c r="O325" s="8">
        <f>0+57/60+14.6/3600</f>
        <v>0.95405555555555555</v>
      </c>
      <c r="P325" s="8" t="s">
        <v>1650</v>
      </c>
      <c r="Q325" s="8">
        <f>-(40+57/60+34/3600)</f>
        <v>-40.959444444444451</v>
      </c>
      <c r="R325" s="8">
        <v>12.9</v>
      </c>
      <c r="S325" s="8">
        <v>14</v>
      </c>
      <c r="T325" s="8">
        <v>1.1000000000000001</v>
      </c>
      <c r="U325" s="8">
        <v>12.3</v>
      </c>
      <c r="V325" s="8">
        <v>1.4</v>
      </c>
      <c r="W325" s="8">
        <v>0.5</v>
      </c>
      <c r="X325" s="8">
        <v>95</v>
      </c>
      <c r="Y325" s="8" t="s">
        <v>1651</v>
      </c>
      <c r="Z325" s="8" t="s">
        <v>1652</v>
      </c>
    </row>
    <row r="326" spans="1:26" x14ac:dyDescent="0.2">
      <c r="A326" s="8">
        <v>325</v>
      </c>
      <c r="B326" s="8" t="s">
        <v>1653</v>
      </c>
      <c r="C326" s="8" t="s">
        <v>1653</v>
      </c>
      <c r="F326" s="47"/>
      <c r="G326" s="8">
        <v>18</v>
      </c>
      <c r="H326" s="8" t="s">
        <v>21</v>
      </c>
      <c r="I326" s="8" t="s">
        <v>22</v>
      </c>
      <c r="J326" s="8" t="s">
        <v>22</v>
      </c>
      <c r="K326" s="8" t="s">
        <v>160</v>
      </c>
      <c r="L326" s="8" t="s">
        <v>125</v>
      </c>
      <c r="M326" s="8" t="s">
        <v>126</v>
      </c>
      <c r="N326" s="8" t="s">
        <v>1654</v>
      </c>
      <c r="O326" s="8">
        <f>0+57/60+47.9/3600</f>
        <v>0.96330555555555553</v>
      </c>
      <c r="P326" s="8" t="s">
        <v>1655</v>
      </c>
      <c r="Q326" s="8">
        <f>-(5+6/60+45/3600)</f>
        <v>-5.1124999999999998</v>
      </c>
      <c r="R326" s="8">
        <v>14.8</v>
      </c>
      <c r="S326" s="8">
        <v>15.5</v>
      </c>
      <c r="T326" s="8">
        <v>0.7</v>
      </c>
      <c r="U326" s="8">
        <v>13.2</v>
      </c>
      <c r="V326" s="8">
        <v>1.3</v>
      </c>
      <c r="W326" s="8">
        <v>0.2</v>
      </c>
      <c r="X326" s="8">
        <v>91</v>
      </c>
      <c r="Y326" s="8" t="s">
        <v>266</v>
      </c>
      <c r="Z326" s="8" t="s">
        <v>283</v>
      </c>
    </row>
    <row r="327" spans="1:26" x14ac:dyDescent="0.2">
      <c r="A327" s="8">
        <v>326</v>
      </c>
      <c r="B327" s="8" t="s">
        <v>1656</v>
      </c>
      <c r="C327" s="8" t="s">
        <v>1656</v>
      </c>
      <c r="F327" s="47"/>
      <c r="G327" s="8">
        <v>18</v>
      </c>
      <c r="H327" s="8" t="s">
        <v>21</v>
      </c>
      <c r="I327" s="8" t="s">
        <v>22</v>
      </c>
      <c r="J327" s="8" t="s">
        <v>22</v>
      </c>
      <c r="K327" s="8" t="s">
        <v>460</v>
      </c>
      <c r="L327" s="8" t="s">
        <v>38</v>
      </c>
      <c r="M327" s="8" t="s">
        <v>39</v>
      </c>
      <c r="N327" s="8" t="s">
        <v>1657</v>
      </c>
      <c r="O327" s="8">
        <f>0+58/60+22.6/3600</f>
        <v>0.9729444444444445</v>
      </c>
      <c r="P327" s="8" t="s">
        <v>1658</v>
      </c>
      <c r="Q327" s="8">
        <f>+(26+51/60+57/3600)</f>
        <v>26.865833333333335</v>
      </c>
      <c r="R327" s="8">
        <v>13.2</v>
      </c>
      <c r="S327" s="8">
        <v>14.3</v>
      </c>
      <c r="T327" s="8">
        <v>1.1000000000000001</v>
      </c>
      <c r="U327" s="8">
        <v>14</v>
      </c>
      <c r="V327" s="8">
        <v>1.4</v>
      </c>
      <c r="W327" s="8">
        <v>1.4</v>
      </c>
      <c r="Y327" s="8" t="s">
        <v>1659</v>
      </c>
      <c r="Z327" s="8" t="s">
        <v>1660</v>
      </c>
    </row>
    <row r="328" spans="1:26" x14ac:dyDescent="0.2">
      <c r="A328" s="8">
        <v>327</v>
      </c>
      <c r="B328" s="8" t="s">
        <v>1661</v>
      </c>
      <c r="C328" s="8" t="s">
        <v>1661</v>
      </c>
      <c r="F328" s="47"/>
      <c r="G328" s="8">
        <v>18</v>
      </c>
      <c r="H328" s="8" t="s">
        <v>21</v>
      </c>
      <c r="I328" s="8" t="s">
        <v>22</v>
      </c>
      <c r="J328" s="8" t="s">
        <v>22</v>
      </c>
      <c r="K328" s="8" t="s">
        <v>396</v>
      </c>
      <c r="L328" s="8" t="s">
        <v>125</v>
      </c>
      <c r="M328" s="8" t="s">
        <v>126</v>
      </c>
      <c r="N328" s="8" t="s">
        <v>1662</v>
      </c>
      <c r="O328" s="8">
        <f>0+57/60+55.2/3600</f>
        <v>0.96533333333333327</v>
      </c>
      <c r="P328" s="8" t="s">
        <v>1663</v>
      </c>
      <c r="Q328" s="8">
        <f>-(5+7/60+51/3600)</f>
        <v>-5.1308333333333334</v>
      </c>
      <c r="R328" s="8">
        <v>13.4</v>
      </c>
      <c r="S328" s="8">
        <v>14.3</v>
      </c>
      <c r="T328" s="8">
        <v>0.9</v>
      </c>
      <c r="U328" s="8">
        <v>13.3</v>
      </c>
      <c r="V328" s="8">
        <v>1.5</v>
      </c>
      <c r="W328" s="8">
        <v>0.6</v>
      </c>
      <c r="X328" s="8">
        <v>175</v>
      </c>
      <c r="Y328" s="8" t="s">
        <v>1664</v>
      </c>
      <c r="Z328" s="8" t="s">
        <v>1665</v>
      </c>
    </row>
    <row r="329" spans="1:26" x14ac:dyDescent="0.2">
      <c r="A329" s="8">
        <v>328</v>
      </c>
      <c r="B329" s="8" t="s">
        <v>1666</v>
      </c>
      <c r="C329" s="8" t="s">
        <v>1666</v>
      </c>
      <c r="F329" s="47"/>
      <c r="G329" s="8">
        <v>16</v>
      </c>
      <c r="H329" s="8" t="s">
        <v>21</v>
      </c>
      <c r="I329" s="8" t="s">
        <v>22</v>
      </c>
      <c r="J329" s="8" t="s">
        <v>22</v>
      </c>
      <c r="K329" s="8" t="s">
        <v>154</v>
      </c>
      <c r="L329" s="8" t="s">
        <v>166</v>
      </c>
      <c r="M329" s="8" t="s">
        <v>167</v>
      </c>
      <c r="N329" s="8" t="s">
        <v>1667</v>
      </c>
      <c r="O329" s="8">
        <f>0+56/60+57.3/3600</f>
        <v>0.94925000000000004</v>
      </c>
      <c r="P329" s="8" t="s">
        <v>1668</v>
      </c>
      <c r="Q329" s="8">
        <f>-(52+55/60+25/3600)</f>
        <v>-52.923611111111107</v>
      </c>
      <c r="R329" s="8">
        <v>13.4</v>
      </c>
      <c r="S329" s="8">
        <v>14.3</v>
      </c>
      <c r="T329" s="8">
        <v>0.9</v>
      </c>
      <c r="U329" s="8">
        <v>13.5</v>
      </c>
      <c r="V329" s="8">
        <v>2.6</v>
      </c>
      <c r="W329" s="8">
        <v>0.5</v>
      </c>
      <c r="X329" s="8">
        <v>100</v>
      </c>
      <c r="Y329" s="8" t="s">
        <v>1669</v>
      </c>
      <c r="Z329" s="8" t="s">
        <v>1670</v>
      </c>
    </row>
    <row r="330" spans="1:26" x14ac:dyDescent="0.2">
      <c r="A330" s="8">
        <v>329</v>
      </c>
      <c r="B330" s="8" t="s">
        <v>1671</v>
      </c>
      <c r="C330" s="8" t="s">
        <v>1671</v>
      </c>
      <c r="F330" s="47"/>
      <c r="G330" s="8">
        <v>18</v>
      </c>
      <c r="H330" s="8" t="s">
        <v>21</v>
      </c>
      <c r="I330" s="8" t="s">
        <v>22</v>
      </c>
      <c r="J330" s="8" t="s">
        <v>22</v>
      </c>
      <c r="K330" s="8" t="s">
        <v>23</v>
      </c>
      <c r="L330" s="8" t="s">
        <v>125</v>
      </c>
      <c r="M330" s="8" t="s">
        <v>126</v>
      </c>
      <c r="N330" s="8" t="s">
        <v>1672</v>
      </c>
      <c r="O330" s="8">
        <f>0+58/60+1.4/3600</f>
        <v>0.96705555555555556</v>
      </c>
      <c r="P330" s="8" t="s">
        <v>1673</v>
      </c>
      <c r="Q330" s="8">
        <f>-(5+4/60+14/3600)</f>
        <v>-5.070555555555555</v>
      </c>
      <c r="R330" s="8">
        <v>13.3</v>
      </c>
      <c r="S330" s="8">
        <v>14.3</v>
      </c>
      <c r="T330" s="8">
        <v>1</v>
      </c>
      <c r="U330" s="8">
        <v>13.1</v>
      </c>
      <c r="V330" s="8">
        <v>1.5</v>
      </c>
      <c r="W330" s="8">
        <v>0.6</v>
      </c>
      <c r="X330" s="8">
        <v>20</v>
      </c>
      <c r="Y330" s="8" t="s">
        <v>1674</v>
      </c>
      <c r="Z330" s="8" t="s">
        <v>1675</v>
      </c>
    </row>
    <row r="331" spans="1:26" x14ac:dyDescent="0.2">
      <c r="A331" s="8">
        <v>330</v>
      </c>
      <c r="B331" s="8" t="s">
        <v>1676</v>
      </c>
      <c r="C331" s="8" t="s">
        <v>1676</v>
      </c>
      <c r="F331" s="47"/>
      <c r="G331" s="8">
        <v>10</v>
      </c>
      <c r="H331" s="8" t="s">
        <v>21</v>
      </c>
      <c r="I331" s="8" t="s">
        <v>557</v>
      </c>
      <c r="J331" s="8" t="s">
        <v>557</v>
      </c>
      <c r="K331" s="8" t="s">
        <v>557</v>
      </c>
      <c r="L331" s="8" t="s">
        <v>310</v>
      </c>
      <c r="M331" s="8" t="s">
        <v>311</v>
      </c>
      <c r="N331" s="8" t="s">
        <v>1677</v>
      </c>
      <c r="O331" s="8">
        <f>0+56/60+19.8/3600</f>
        <v>0.9388333333333333</v>
      </c>
      <c r="P331" s="8" t="s">
        <v>1678</v>
      </c>
      <c r="Q331" s="8">
        <f>-(72+27/60+44/3600)</f>
        <v>-72.462222222222223</v>
      </c>
      <c r="R331" s="8">
        <v>9.6</v>
      </c>
      <c r="S331" s="8">
        <v>99</v>
      </c>
      <c r="T331" s="8">
        <v>99</v>
      </c>
      <c r="U331" s="8">
        <v>99</v>
      </c>
      <c r="V331" s="8">
        <v>1.4</v>
      </c>
      <c r="Y331" s="8" t="s">
        <v>1679</v>
      </c>
      <c r="Z331" s="8" t="s">
        <v>1680</v>
      </c>
    </row>
    <row r="332" spans="1:26" x14ac:dyDescent="0.2">
      <c r="A332" s="8">
        <v>331</v>
      </c>
      <c r="B332" s="8" t="s">
        <v>1681</v>
      </c>
      <c r="C332" s="8" t="s">
        <v>1681</v>
      </c>
      <c r="F332" s="47"/>
      <c r="G332" s="8">
        <v>19</v>
      </c>
      <c r="H332" s="8" t="s">
        <v>21</v>
      </c>
      <c r="I332" s="8" t="s">
        <v>22</v>
      </c>
      <c r="J332" s="8" t="s">
        <v>22</v>
      </c>
      <c r="K332" s="8" t="s">
        <v>91</v>
      </c>
      <c r="L332" s="8" t="s">
        <v>125</v>
      </c>
      <c r="M332" s="8" t="s">
        <v>126</v>
      </c>
      <c r="N332" s="8" t="s">
        <v>1682</v>
      </c>
      <c r="O332" s="8">
        <f>0+47/60+6.7/3600</f>
        <v>0.78519444444444442</v>
      </c>
      <c r="P332" s="8" t="s">
        <v>1683</v>
      </c>
      <c r="Q332" s="8">
        <f>-(2+43/60+52/3600)</f>
        <v>-2.7311111111111113</v>
      </c>
      <c r="R332" s="8">
        <v>14.6</v>
      </c>
      <c r="S332" s="8">
        <v>15.5</v>
      </c>
      <c r="T332" s="8">
        <v>0.9</v>
      </c>
      <c r="U332" s="8">
        <v>13.5</v>
      </c>
      <c r="V332" s="8">
        <v>0.8</v>
      </c>
      <c r="W332" s="8">
        <v>0.5</v>
      </c>
      <c r="X332" s="8">
        <v>135</v>
      </c>
      <c r="Y332" s="8" t="s">
        <v>1684</v>
      </c>
      <c r="Z332" s="8" t="s">
        <v>1685</v>
      </c>
    </row>
    <row r="333" spans="1:26" x14ac:dyDescent="0.2">
      <c r="A333" s="8">
        <v>332</v>
      </c>
      <c r="B333" s="8" t="s">
        <v>1686</v>
      </c>
      <c r="C333" s="8" t="s">
        <v>1686</v>
      </c>
      <c r="F333" s="47"/>
      <c r="G333" s="8">
        <v>19</v>
      </c>
      <c r="H333" s="8" t="s">
        <v>21</v>
      </c>
      <c r="I333" s="8" t="s">
        <v>22</v>
      </c>
      <c r="J333" s="8" t="s">
        <v>22</v>
      </c>
      <c r="K333" s="8" t="s">
        <v>424</v>
      </c>
      <c r="L333" s="8" t="s">
        <v>38</v>
      </c>
      <c r="M333" s="8" t="s">
        <v>39</v>
      </c>
      <c r="N333" s="8" t="s">
        <v>1687</v>
      </c>
      <c r="O333" s="8">
        <f>0+58/60+49/3600</f>
        <v>0.9802777777777778</v>
      </c>
      <c r="P333" s="8" t="s">
        <v>1688</v>
      </c>
      <c r="Q333" s="8">
        <f>+(7+6/60+40/3600)</f>
        <v>7.1111111111111107</v>
      </c>
      <c r="R333" s="8">
        <v>14</v>
      </c>
      <c r="S333" s="8">
        <v>14.9</v>
      </c>
      <c r="T333" s="8">
        <v>0.9</v>
      </c>
      <c r="U333" s="8">
        <v>13.3</v>
      </c>
      <c r="V333" s="8">
        <v>1</v>
      </c>
      <c r="W333" s="8">
        <v>0.5</v>
      </c>
      <c r="X333" s="8">
        <v>165</v>
      </c>
      <c r="Y333" s="8" t="s">
        <v>1689</v>
      </c>
      <c r="Z333" s="8" t="s">
        <v>1690</v>
      </c>
    </row>
    <row r="334" spans="1:26" x14ac:dyDescent="0.2">
      <c r="A334" s="8">
        <v>333</v>
      </c>
      <c r="B334" s="8" t="s">
        <v>1691</v>
      </c>
      <c r="C334" s="8" t="s">
        <v>1691</v>
      </c>
      <c r="F334" s="47"/>
      <c r="G334" s="8">
        <v>19</v>
      </c>
      <c r="H334" s="8" t="s">
        <v>21</v>
      </c>
      <c r="I334" s="8" t="s">
        <v>22</v>
      </c>
      <c r="J334" s="8" t="s">
        <v>22</v>
      </c>
      <c r="K334" s="8" t="s">
        <v>818</v>
      </c>
      <c r="L334" s="8" t="s">
        <v>125</v>
      </c>
      <c r="M334" s="8" t="s">
        <v>126</v>
      </c>
      <c r="N334" s="8" t="s">
        <v>1692</v>
      </c>
      <c r="O334" s="8">
        <f>0+58/60+51.3/3600</f>
        <v>0.98091666666666666</v>
      </c>
      <c r="P334" s="8" t="s">
        <v>1693</v>
      </c>
      <c r="Q334" s="8">
        <f>-(16+28/60+8/3600)</f>
        <v>-16.468888888888888</v>
      </c>
      <c r="R334" s="8">
        <v>13.9</v>
      </c>
      <c r="S334" s="8">
        <v>14.9</v>
      </c>
      <c r="T334" s="8">
        <v>1</v>
      </c>
      <c r="U334" s="8">
        <v>14.4</v>
      </c>
      <c r="V334" s="8">
        <v>1.6</v>
      </c>
      <c r="W334" s="8">
        <v>0.9</v>
      </c>
      <c r="X334" s="8">
        <v>119</v>
      </c>
      <c r="Y334" s="8" t="s">
        <v>1694</v>
      </c>
      <c r="Z334" s="8" t="s">
        <v>1695</v>
      </c>
    </row>
    <row r="335" spans="1:26" x14ac:dyDescent="0.2">
      <c r="A335" s="8">
        <v>334</v>
      </c>
      <c r="B335" s="8" t="s">
        <v>1696</v>
      </c>
      <c r="C335" s="8" t="s">
        <v>1696</v>
      </c>
      <c r="F335" s="47"/>
      <c r="G335" s="8">
        <v>16</v>
      </c>
      <c r="H335" s="8" t="s">
        <v>21</v>
      </c>
      <c r="I335" s="8" t="s">
        <v>22</v>
      </c>
      <c r="J335" s="8" t="s">
        <v>22</v>
      </c>
      <c r="K335" s="8" t="s">
        <v>218</v>
      </c>
      <c r="L335" s="8" t="s">
        <v>65</v>
      </c>
      <c r="M335" s="8" t="s">
        <v>66</v>
      </c>
      <c r="N335" s="8" t="s">
        <v>1697</v>
      </c>
      <c r="O335" s="8">
        <f>0+58/60+49.8/3600</f>
        <v>0.98050000000000004</v>
      </c>
      <c r="P335" s="8" t="s">
        <v>1698</v>
      </c>
      <c r="Q335" s="8">
        <f>-(35+6/60+56/3600)</f>
        <v>-35.115555555555559</v>
      </c>
      <c r="R335" s="8">
        <v>13.6</v>
      </c>
      <c r="S335" s="8">
        <v>14.4</v>
      </c>
      <c r="T335" s="8">
        <v>0.8</v>
      </c>
      <c r="U335" s="8">
        <v>12.9</v>
      </c>
      <c r="V335" s="8">
        <v>1.2</v>
      </c>
      <c r="W335" s="8">
        <v>0.6</v>
      </c>
      <c r="X335" s="8">
        <v>1</v>
      </c>
      <c r="Y335" s="8" t="s">
        <v>1699</v>
      </c>
      <c r="Z335" s="8" t="s">
        <v>1700</v>
      </c>
    </row>
    <row r="336" spans="1:26" x14ac:dyDescent="0.2">
      <c r="A336" s="8">
        <v>335</v>
      </c>
      <c r="B336" s="8" t="s">
        <v>1701</v>
      </c>
      <c r="C336" s="8" t="s">
        <v>1701</v>
      </c>
      <c r="F336" s="47"/>
      <c r="G336" s="8">
        <v>19</v>
      </c>
      <c r="H336" s="8" t="s">
        <v>21</v>
      </c>
      <c r="I336" s="8" t="s">
        <v>22</v>
      </c>
      <c r="J336" s="8" t="s">
        <v>22</v>
      </c>
      <c r="K336" s="8" t="s">
        <v>396</v>
      </c>
      <c r="L336" s="8" t="s">
        <v>125</v>
      </c>
      <c r="M336" s="8" t="s">
        <v>126</v>
      </c>
      <c r="N336" s="8" t="s">
        <v>1702</v>
      </c>
      <c r="O336" s="8">
        <f>0+59/60+19.6/3600</f>
        <v>0.98877777777777776</v>
      </c>
      <c r="P336" s="8" t="s">
        <v>1703</v>
      </c>
      <c r="Q336" s="8">
        <f>-(18+14/60+3/3600)</f>
        <v>-18.234166666666667</v>
      </c>
      <c r="R336" s="8">
        <v>14</v>
      </c>
      <c r="S336" s="8">
        <v>14.8</v>
      </c>
      <c r="T336" s="8">
        <v>0.8</v>
      </c>
      <c r="U336" s="8">
        <v>12.8</v>
      </c>
      <c r="V336" s="8">
        <v>1.1000000000000001</v>
      </c>
      <c r="W336" s="8">
        <v>0.3</v>
      </c>
      <c r="X336" s="8">
        <v>137</v>
      </c>
      <c r="Y336" s="8" t="s">
        <v>1704</v>
      </c>
      <c r="Z336" s="8" t="s">
        <v>1705</v>
      </c>
    </row>
    <row r="337" spans="1:26" x14ac:dyDescent="0.2">
      <c r="A337" s="8">
        <v>336</v>
      </c>
      <c r="B337" s="8" t="s">
        <v>1706</v>
      </c>
      <c r="C337" s="8" t="s">
        <v>1706</v>
      </c>
      <c r="F337" s="47"/>
      <c r="G337" s="8">
        <v>19</v>
      </c>
      <c r="H337" s="8" t="s">
        <v>21</v>
      </c>
      <c r="I337" s="8" t="s">
        <v>22</v>
      </c>
      <c r="J337" s="8" t="s">
        <v>22</v>
      </c>
      <c r="K337" s="8" t="s">
        <v>124</v>
      </c>
      <c r="L337" s="8" t="s">
        <v>125</v>
      </c>
      <c r="M337" s="8" t="s">
        <v>126</v>
      </c>
      <c r="N337" s="8" t="s">
        <v>1707</v>
      </c>
      <c r="O337" s="8">
        <f>0+58/60+3/3600</f>
        <v>0.96750000000000003</v>
      </c>
      <c r="P337" s="8" t="s">
        <v>1708</v>
      </c>
      <c r="Q337" s="8">
        <f>-(18+23/60+9/3600)</f>
        <v>-18.385833333333334</v>
      </c>
      <c r="R337" s="8">
        <v>14.7</v>
      </c>
      <c r="S337" s="8">
        <v>15.5</v>
      </c>
      <c r="T337" s="8">
        <v>0.8</v>
      </c>
      <c r="U337" s="8">
        <v>12.2</v>
      </c>
      <c r="V337" s="8">
        <v>0.6</v>
      </c>
      <c r="W337" s="8">
        <v>0.2</v>
      </c>
      <c r="X337" s="8">
        <v>41</v>
      </c>
      <c r="Y337" s="8" t="s">
        <v>1709</v>
      </c>
      <c r="Z337" s="8" t="s">
        <v>1710</v>
      </c>
    </row>
    <row r="338" spans="1:26" x14ac:dyDescent="0.2">
      <c r="A338" s="8">
        <v>337</v>
      </c>
      <c r="B338" s="8" t="s">
        <v>1711</v>
      </c>
      <c r="C338" s="8" t="s">
        <v>1711</v>
      </c>
      <c r="F338" s="47" t="s">
        <v>56048</v>
      </c>
      <c r="G338" s="8">
        <v>6.5</v>
      </c>
      <c r="H338" s="8" t="s">
        <v>21</v>
      </c>
      <c r="I338" s="8" t="s">
        <v>22</v>
      </c>
      <c r="J338" s="8" t="s">
        <v>22</v>
      </c>
      <c r="K338" s="8" t="s">
        <v>1277</v>
      </c>
      <c r="L338" s="8" t="s">
        <v>125</v>
      </c>
      <c r="M338" s="8" t="s">
        <v>126</v>
      </c>
      <c r="N338" s="8" t="s">
        <v>1712</v>
      </c>
      <c r="O338" s="8">
        <f>0+59/60+49.9/3600</f>
        <v>0.99719444444444438</v>
      </c>
      <c r="P338" s="8" t="s">
        <v>1713</v>
      </c>
      <c r="Q338" s="8">
        <f>-(7+34/60+41/3600)</f>
        <v>-7.5780555555555553</v>
      </c>
      <c r="R338" s="8">
        <v>11.6</v>
      </c>
      <c r="S338" s="8">
        <v>12.1</v>
      </c>
      <c r="T338" s="8">
        <v>0.5</v>
      </c>
      <c r="U338" s="8">
        <v>13.3</v>
      </c>
      <c r="V338" s="8">
        <v>3</v>
      </c>
      <c r="W338" s="8">
        <v>1.8</v>
      </c>
      <c r="X338" s="8">
        <v>141</v>
      </c>
      <c r="Y338" s="8" t="s">
        <v>1714</v>
      </c>
      <c r="Z338" s="8" t="s">
        <v>1715</v>
      </c>
    </row>
    <row r="339" spans="1:26" x14ac:dyDescent="0.2">
      <c r="A339" s="8">
        <v>338</v>
      </c>
      <c r="B339" s="8" t="s">
        <v>1716</v>
      </c>
      <c r="C339" s="8" t="s">
        <v>1716</v>
      </c>
      <c r="F339" s="47"/>
      <c r="G339" s="8">
        <v>19</v>
      </c>
      <c r="H339" s="8" t="s">
        <v>21</v>
      </c>
      <c r="I339" s="8" t="s">
        <v>22</v>
      </c>
      <c r="J339" s="8" t="s">
        <v>22</v>
      </c>
      <c r="K339" s="8" t="s">
        <v>31</v>
      </c>
      <c r="L339" s="8" t="s">
        <v>38</v>
      </c>
      <c r="M339" s="8" t="s">
        <v>39</v>
      </c>
      <c r="N339" s="8" t="s">
        <v>1717</v>
      </c>
      <c r="O339" s="8">
        <f>1+0/60+36.5/3600</f>
        <v>1.0101388888888889</v>
      </c>
      <c r="P339" s="8" t="s">
        <v>1718</v>
      </c>
      <c r="Q339" s="8">
        <f>+(30+40/60+9/3600)</f>
        <v>30.669166666666669</v>
      </c>
      <c r="R339" s="8">
        <v>12.8</v>
      </c>
      <c r="S339" s="8">
        <v>13.7</v>
      </c>
      <c r="T339" s="8">
        <v>0.9</v>
      </c>
      <c r="U339" s="8">
        <v>12.8</v>
      </c>
      <c r="V339" s="8">
        <v>1.8</v>
      </c>
      <c r="W339" s="8">
        <v>0.6</v>
      </c>
      <c r="X339" s="8">
        <v>109</v>
      </c>
      <c r="Y339" s="8" t="s">
        <v>1719</v>
      </c>
      <c r="Z339" s="8" t="s">
        <v>1720</v>
      </c>
    </row>
    <row r="340" spans="1:26" x14ac:dyDescent="0.2">
      <c r="A340" s="8">
        <v>339</v>
      </c>
      <c r="B340" s="8" t="s">
        <v>1721</v>
      </c>
      <c r="C340" s="8" t="s">
        <v>1721</v>
      </c>
      <c r="F340" s="47"/>
      <c r="G340" s="8">
        <v>16</v>
      </c>
      <c r="H340" s="8" t="s">
        <v>21</v>
      </c>
      <c r="I340" s="8" t="s">
        <v>557</v>
      </c>
      <c r="J340" s="8" t="s">
        <v>557</v>
      </c>
      <c r="K340" s="8" t="s">
        <v>557</v>
      </c>
      <c r="L340" s="8" t="s">
        <v>310</v>
      </c>
      <c r="M340" s="8" t="s">
        <v>311</v>
      </c>
      <c r="N340" s="8" t="s">
        <v>1722</v>
      </c>
      <c r="O340" s="8">
        <f>0+57/60+45/3600</f>
        <v>0.96249999999999991</v>
      </c>
      <c r="P340" s="8" t="s">
        <v>1723</v>
      </c>
      <c r="Q340" s="8">
        <f>-(74+28/60+20/3600)</f>
        <v>-74.472222222222229</v>
      </c>
      <c r="R340" s="8">
        <v>12.8</v>
      </c>
      <c r="S340" s="8">
        <v>12</v>
      </c>
      <c r="T340" s="8">
        <v>99</v>
      </c>
      <c r="U340" s="8">
        <v>99</v>
      </c>
      <c r="V340" s="8">
        <v>2.2000000000000002</v>
      </c>
      <c r="Y340" s="8" t="s">
        <v>1724</v>
      </c>
      <c r="Z340" s="8" t="s">
        <v>1725</v>
      </c>
    </row>
    <row r="341" spans="1:26" x14ac:dyDescent="0.2">
      <c r="A341" s="8">
        <v>340</v>
      </c>
      <c r="B341" s="8" t="s">
        <v>1726</v>
      </c>
      <c r="C341" s="8" t="s">
        <v>1726</v>
      </c>
      <c r="F341" s="47"/>
      <c r="G341" s="8">
        <v>18</v>
      </c>
      <c r="H341" s="8" t="s">
        <v>21</v>
      </c>
      <c r="I341" s="8" t="s">
        <v>22</v>
      </c>
      <c r="J341" s="8" t="s">
        <v>22</v>
      </c>
      <c r="K341" s="8" t="s">
        <v>23</v>
      </c>
      <c r="L341" s="8" t="s">
        <v>125</v>
      </c>
      <c r="M341" s="8" t="s">
        <v>126</v>
      </c>
      <c r="N341" s="8" t="s">
        <v>1727</v>
      </c>
      <c r="O341" s="8">
        <f>1+0/60+34.8/3600</f>
        <v>1.0096666666666667</v>
      </c>
      <c r="P341" s="8" t="s">
        <v>1728</v>
      </c>
      <c r="Q341" s="8">
        <f>-(6+51/60+58/3600)</f>
        <v>-6.8661111111111106</v>
      </c>
      <c r="R341" s="8">
        <v>13.7</v>
      </c>
      <c r="S341" s="8">
        <v>14.5</v>
      </c>
      <c r="T341" s="8">
        <v>0.8</v>
      </c>
      <c r="U341" s="8">
        <v>12.4</v>
      </c>
      <c r="V341" s="8">
        <v>0.9</v>
      </c>
      <c r="W341" s="8">
        <v>0.4</v>
      </c>
      <c r="X341" s="8">
        <v>65</v>
      </c>
      <c r="Y341" s="8" t="s">
        <v>307</v>
      </c>
      <c r="Z341" s="8" t="s">
        <v>308</v>
      </c>
    </row>
    <row r="342" spans="1:26" x14ac:dyDescent="0.2">
      <c r="A342" s="8">
        <v>341</v>
      </c>
      <c r="B342" s="8" t="s">
        <v>1729</v>
      </c>
      <c r="C342" s="8" t="s">
        <v>1729</v>
      </c>
      <c r="F342" s="47"/>
      <c r="G342" s="8">
        <v>19</v>
      </c>
      <c r="H342" s="8" t="s">
        <v>21</v>
      </c>
      <c r="I342" s="8" t="s">
        <v>22</v>
      </c>
      <c r="J342" s="8" t="s">
        <v>22</v>
      </c>
      <c r="K342" s="8" t="s">
        <v>85</v>
      </c>
      <c r="L342" s="8" t="s">
        <v>125</v>
      </c>
      <c r="M342" s="8" t="s">
        <v>126</v>
      </c>
      <c r="N342" s="8" t="s">
        <v>1730</v>
      </c>
      <c r="O342" s="8">
        <f>1+0/60+45.8/3600</f>
        <v>1.0127222222222223</v>
      </c>
      <c r="P342" s="8" t="s">
        <v>1731</v>
      </c>
      <c r="Q342" s="8">
        <f>-(9+11/60+10/3600)</f>
        <v>-9.1861111111111118</v>
      </c>
      <c r="R342" s="8">
        <v>13</v>
      </c>
      <c r="S342" s="8">
        <v>13.8</v>
      </c>
      <c r="T342" s="8">
        <v>0.8</v>
      </c>
      <c r="U342" s="8">
        <v>13.2</v>
      </c>
      <c r="V342" s="8">
        <v>1.2</v>
      </c>
      <c r="W342" s="8">
        <v>1.1000000000000001</v>
      </c>
      <c r="X342" s="8">
        <v>55</v>
      </c>
      <c r="Y342" s="8" t="s">
        <v>1732</v>
      </c>
      <c r="Z342" s="8" t="s">
        <v>1733</v>
      </c>
    </row>
    <row r="343" spans="1:26" x14ac:dyDescent="0.2">
      <c r="A343" s="8">
        <v>342</v>
      </c>
      <c r="B343" s="8" t="s">
        <v>1734</v>
      </c>
      <c r="C343" s="8" t="s">
        <v>1734</v>
      </c>
      <c r="F343" s="47"/>
      <c r="G343" s="8">
        <v>18</v>
      </c>
      <c r="H343" s="8" t="s">
        <v>21</v>
      </c>
      <c r="I343" s="8" t="s">
        <v>22</v>
      </c>
      <c r="J343" s="8" t="s">
        <v>22</v>
      </c>
      <c r="K343" s="8" t="s">
        <v>1068</v>
      </c>
      <c r="L343" s="8" t="s">
        <v>125</v>
      </c>
      <c r="M343" s="8" t="s">
        <v>126</v>
      </c>
      <c r="N343" s="8" t="s">
        <v>1735</v>
      </c>
      <c r="O343" s="8">
        <f>1+0/60+49.8/3600</f>
        <v>1.0138333333333334</v>
      </c>
      <c r="P343" s="8" t="s">
        <v>1736</v>
      </c>
      <c r="Q343" s="8">
        <f>-(6+46/60+20/3600)</f>
        <v>-6.7722222222222221</v>
      </c>
      <c r="R343" s="8">
        <v>14.4</v>
      </c>
      <c r="S343" s="8">
        <v>15.4</v>
      </c>
      <c r="T343" s="8">
        <v>1</v>
      </c>
      <c r="U343" s="8">
        <v>13.2</v>
      </c>
      <c r="V343" s="8">
        <v>0.8</v>
      </c>
      <c r="W343" s="8">
        <v>0.4</v>
      </c>
      <c r="X343" s="8">
        <v>107</v>
      </c>
      <c r="Y343" s="8" t="s">
        <v>282</v>
      </c>
      <c r="Z343" s="8" t="s">
        <v>283</v>
      </c>
    </row>
    <row r="344" spans="1:26" x14ac:dyDescent="0.2">
      <c r="A344" s="8">
        <v>343</v>
      </c>
      <c r="B344" s="8" t="s">
        <v>1737</v>
      </c>
      <c r="C344" s="8" t="s">
        <v>1737</v>
      </c>
      <c r="F344" s="47"/>
      <c r="G344" s="8">
        <v>19</v>
      </c>
      <c r="H344" s="8" t="s">
        <v>21</v>
      </c>
      <c r="I344" s="8" t="s">
        <v>22</v>
      </c>
      <c r="J344" s="8" t="s">
        <v>22</v>
      </c>
      <c r="K344" s="8" t="s">
        <v>449</v>
      </c>
      <c r="L344" s="8" t="s">
        <v>125</v>
      </c>
      <c r="M344" s="8" t="s">
        <v>126</v>
      </c>
      <c r="N344" s="8" t="s">
        <v>1738</v>
      </c>
      <c r="O344" s="8">
        <f>0+58/60+23.9/3600</f>
        <v>0.97330555555555553</v>
      </c>
      <c r="P344" s="8" t="s">
        <v>1739</v>
      </c>
      <c r="Q344" s="8">
        <f>-(23+13/60+28/3600)</f>
        <v>-23.224444444444444</v>
      </c>
      <c r="R344" s="8">
        <v>15.5</v>
      </c>
      <c r="S344" s="8">
        <v>16.3</v>
      </c>
      <c r="T344" s="8">
        <v>0.8</v>
      </c>
      <c r="U344" s="8">
        <v>13.7</v>
      </c>
      <c r="V344" s="8">
        <v>0.7</v>
      </c>
      <c r="W344" s="8">
        <v>0.3</v>
      </c>
      <c r="X344" s="8">
        <v>10</v>
      </c>
      <c r="Y344" s="8" t="s">
        <v>1740</v>
      </c>
      <c r="Z344" s="8" t="s">
        <v>1741</v>
      </c>
    </row>
    <row r="345" spans="1:26" x14ac:dyDescent="0.2">
      <c r="A345" s="8">
        <v>344</v>
      </c>
      <c r="B345" s="8" t="s">
        <v>1742</v>
      </c>
      <c r="C345" s="8" t="s">
        <v>1742</v>
      </c>
      <c r="F345" s="47"/>
      <c r="G345" s="8">
        <v>19</v>
      </c>
      <c r="H345" s="8" t="s">
        <v>21</v>
      </c>
      <c r="I345" s="8" t="s">
        <v>22</v>
      </c>
      <c r="J345" s="8" t="s">
        <v>22</v>
      </c>
      <c r="K345" s="8" t="s">
        <v>449</v>
      </c>
      <c r="L345" s="8" t="s">
        <v>125</v>
      </c>
      <c r="M345" s="8" t="s">
        <v>126</v>
      </c>
      <c r="N345" s="8" t="s">
        <v>1743</v>
      </c>
      <c r="O345" s="8">
        <f>0+58/60+25.4/3600</f>
        <v>0.97372222222222227</v>
      </c>
      <c r="P345" s="8" t="s">
        <v>1744</v>
      </c>
      <c r="Q345" s="8">
        <f>-(23+13/60+44/3600)</f>
        <v>-23.228888888888886</v>
      </c>
      <c r="R345" s="8">
        <v>16.100000000000001</v>
      </c>
      <c r="S345" s="8">
        <v>16.899999999999999</v>
      </c>
      <c r="T345" s="8">
        <v>0.8</v>
      </c>
      <c r="U345" s="8">
        <v>13.2</v>
      </c>
      <c r="V345" s="8">
        <v>0.4</v>
      </c>
      <c r="W345" s="8">
        <v>0.2</v>
      </c>
      <c r="X345" s="8">
        <v>45</v>
      </c>
      <c r="Y345" s="8" t="s">
        <v>1740</v>
      </c>
      <c r="Z345" s="8" t="s">
        <v>1741</v>
      </c>
    </row>
    <row r="346" spans="1:26" x14ac:dyDescent="0.2">
      <c r="A346" s="8">
        <v>345</v>
      </c>
      <c r="B346" s="8" t="s">
        <v>1745</v>
      </c>
      <c r="C346" s="8" t="s">
        <v>1745</v>
      </c>
      <c r="F346" s="47"/>
      <c r="G346" s="8">
        <v>18</v>
      </c>
      <c r="H346" s="8" t="s">
        <v>21</v>
      </c>
      <c r="I346" s="8" t="s">
        <v>22</v>
      </c>
      <c r="J346" s="8" t="s">
        <v>22</v>
      </c>
      <c r="K346" s="8" t="s">
        <v>91</v>
      </c>
      <c r="L346" s="8" t="s">
        <v>125</v>
      </c>
      <c r="M346" s="8" t="s">
        <v>126</v>
      </c>
      <c r="N346" s="8" t="s">
        <v>1746</v>
      </c>
      <c r="O346" s="8">
        <f>1+1/60+22/3600</f>
        <v>1.0227777777777778</v>
      </c>
      <c r="P346" s="8" t="s">
        <v>1747</v>
      </c>
      <c r="Q346" s="8">
        <f>-(6+53/60+3/3600)</f>
        <v>-6.8841666666666663</v>
      </c>
      <c r="R346" s="8">
        <v>13.9</v>
      </c>
      <c r="S346" s="8">
        <v>14.8</v>
      </c>
      <c r="T346" s="8">
        <v>0.9</v>
      </c>
      <c r="U346" s="8">
        <v>13.7</v>
      </c>
      <c r="V346" s="8">
        <v>1.2</v>
      </c>
      <c r="W346" s="8">
        <v>0.8</v>
      </c>
      <c r="X346" s="8">
        <v>138</v>
      </c>
      <c r="Y346" s="8" t="s">
        <v>1748</v>
      </c>
      <c r="Z346" s="8" t="s">
        <v>1749</v>
      </c>
    </row>
    <row r="347" spans="1:26" x14ac:dyDescent="0.2">
      <c r="A347" s="8">
        <v>346</v>
      </c>
      <c r="B347" s="8" t="s">
        <v>1750</v>
      </c>
      <c r="C347" s="8" t="s">
        <v>1750</v>
      </c>
      <c r="F347" s="47"/>
      <c r="G347" s="8">
        <v>5</v>
      </c>
      <c r="H347" s="8" t="s">
        <v>21</v>
      </c>
      <c r="I347" s="8" t="s">
        <v>1283</v>
      </c>
      <c r="J347" s="8" t="s">
        <v>1283</v>
      </c>
      <c r="K347" s="8" t="s">
        <v>1751</v>
      </c>
      <c r="L347" s="8" t="s">
        <v>310</v>
      </c>
      <c r="M347" s="8" t="s">
        <v>311</v>
      </c>
      <c r="N347" s="8" t="s">
        <v>1752</v>
      </c>
      <c r="O347" s="8">
        <f>0+59/60+5/3600</f>
        <v>0.98472222222222217</v>
      </c>
      <c r="P347" s="8" t="s">
        <v>1753</v>
      </c>
      <c r="Q347" s="8">
        <f>-(72+10/60+38/3600)</f>
        <v>-72.177222222222227</v>
      </c>
      <c r="R347" s="8">
        <v>99</v>
      </c>
      <c r="S347" s="8">
        <v>99</v>
      </c>
      <c r="T347" s="8">
        <v>99</v>
      </c>
      <c r="U347" s="8">
        <v>99</v>
      </c>
      <c r="V347" s="8">
        <v>14</v>
      </c>
      <c r="W347" s="8">
        <v>11</v>
      </c>
      <c r="Y347" s="8" t="s">
        <v>1754</v>
      </c>
      <c r="Z347" s="8" t="s">
        <v>1755</v>
      </c>
    </row>
    <row r="348" spans="1:26" x14ac:dyDescent="0.2">
      <c r="A348" s="8">
        <v>347</v>
      </c>
      <c r="B348" s="8" t="s">
        <v>1756</v>
      </c>
      <c r="C348" s="8" t="s">
        <v>1756</v>
      </c>
      <c r="F348" s="47"/>
      <c r="G348" s="8">
        <v>18</v>
      </c>
      <c r="H348" s="8" t="s">
        <v>21</v>
      </c>
      <c r="I348" s="8" t="s">
        <v>22</v>
      </c>
      <c r="J348" s="8" t="s">
        <v>22</v>
      </c>
      <c r="K348" s="8" t="s">
        <v>449</v>
      </c>
      <c r="L348" s="8" t="s">
        <v>125</v>
      </c>
      <c r="M348" s="8" t="s">
        <v>126</v>
      </c>
      <c r="N348" s="8" t="s">
        <v>1757</v>
      </c>
      <c r="O348" s="8">
        <f>1+1/60+35.1/3600</f>
        <v>1.0264166666666665</v>
      </c>
      <c r="P348" s="8" t="s">
        <v>1758</v>
      </c>
      <c r="Q348" s="8">
        <f>-(6+44/60+1/3600)</f>
        <v>-6.7336111111111112</v>
      </c>
      <c r="R348" s="8">
        <v>14.8</v>
      </c>
      <c r="S348" s="8">
        <v>15.6</v>
      </c>
      <c r="T348" s="8">
        <v>0.8</v>
      </c>
      <c r="U348" s="8">
        <v>13.1</v>
      </c>
      <c r="V348" s="8">
        <v>0.6</v>
      </c>
      <c r="W348" s="8">
        <v>0.4</v>
      </c>
      <c r="X348" s="8">
        <v>118</v>
      </c>
      <c r="Y348" s="8" t="s">
        <v>282</v>
      </c>
      <c r="Z348" s="8" t="s">
        <v>283</v>
      </c>
    </row>
    <row r="349" spans="1:26" x14ac:dyDescent="0.2">
      <c r="A349" s="8">
        <v>348</v>
      </c>
      <c r="B349" s="8" t="s">
        <v>1759</v>
      </c>
      <c r="C349" s="8" t="s">
        <v>1759</v>
      </c>
      <c r="F349" s="47"/>
      <c r="G349" s="8">
        <v>16</v>
      </c>
      <c r="H349" s="8" t="s">
        <v>21</v>
      </c>
      <c r="I349" s="8" t="s">
        <v>22</v>
      </c>
      <c r="J349" s="8" t="s">
        <v>22</v>
      </c>
      <c r="K349" s="8" t="s">
        <v>23</v>
      </c>
      <c r="L349" s="8" t="s">
        <v>166</v>
      </c>
      <c r="M349" s="8" t="s">
        <v>167</v>
      </c>
      <c r="N349" s="8" t="s">
        <v>1760</v>
      </c>
      <c r="O349" s="8">
        <f>1+0/60+51.8/3600</f>
        <v>1.0143888888888888</v>
      </c>
      <c r="P349" s="8" t="s">
        <v>1761</v>
      </c>
      <c r="Q349" s="8">
        <f>-(53+14/60+42/3600)</f>
        <v>-53.244999999999997</v>
      </c>
      <c r="R349" s="8">
        <v>13.8</v>
      </c>
      <c r="S349" s="8">
        <v>14.6</v>
      </c>
      <c r="T349" s="8">
        <v>0.8</v>
      </c>
      <c r="U349" s="8">
        <v>13</v>
      </c>
      <c r="V349" s="8">
        <v>0.8</v>
      </c>
      <c r="W349" s="8">
        <v>0.7</v>
      </c>
      <c r="X349" s="8">
        <v>94</v>
      </c>
      <c r="Y349" s="8" t="s">
        <v>227</v>
      </c>
      <c r="Z349" s="8" t="s">
        <v>228</v>
      </c>
    </row>
    <row r="350" spans="1:26" x14ac:dyDescent="0.2">
      <c r="A350" s="8">
        <v>349</v>
      </c>
      <c r="B350" s="8" t="s">
        <v>1762</v>
      </c>
      <c r="C350" s="8" t="s">
        <v>1762</v>
      </c>
      <c r="F350" s="47"/>
      <c r="G350" s="8">
        <v>18</v>
      </c>
      <c r="H350" s="8" t="s">
        <v>21</v>
      </c>
      <c r="I350" s="8" t="s">
        <v>22</v>
      </c>
      <c r="J350" s="8" t="s">
        <v>22</v>
      </c>
      <c r="K350" s="8" t="s">
        <v>58</v>
      </c>
      <c r="L350" s="8" t="s">
        <v>125</v>
      </c>
      <c r="M350" s="8" t="s">
        <v>126</v>
      </c>
      <c r="N350" s="8" t="s">
        <v>1763</v>
      </c>
      <c r="O350" s="8">
        <f>1+1/60+50.7/3600</f>
        <v>1.0307499999999998</v>
      </c>
      <c r="P350" s="8" t="s">
        <v>1764</v>
      </c>
      <c r="Q350" s="8">
        <f>-(6+47/60+59/3600)</f>
        <v>-6.799722222222222</v>
      </c>
      <c r="R350" s="8">
        <v>13.1</v>
      </c>
      <c r="S350" s="8">
        <v>14.1</v>
      </c>
      <c r="T350" s="8">
        <v>1</v>
      </c>
      <c r="U350" s="8">
        <v>13.7</v>
      </c>
      <c r="V350" s="8">
        <v>1.3</v>
      </c>
      <c r="W350" s="8">
        <v>1.2</v>
      </c>
      <c r="X350" s="8">
        <v>49</v>
      </c>
      <c r="Y350" s="8" t="s">
        <v>282</v>
      </c>
      <c r="Z350" s="8" t="s">
        <v>283</v>
      </c>
    </row>
    <row r="351" spans="1:26" x14ac:dyDescent="0.2">
      <c r="A351" s="8">
        <v>350</v>
      </c>
      <c r="B351" s="8" t="s">
        <v>1765</v>
      </c>
      <c r="C351" s="8" t="s">
        <v>1765</v>
      </c>
      <c r="F351" s="47"/>
      <c r="G351" s="8">
        <v>18</v>
      </c>
      <c r="H351" s="8" t="s">
        <v>21</v>
      </c>
      <c r="I351" s="8" t="s">
        <v>22</v>
      </c>
      <c r="J351" s="8" t="s">
        <v>22</v>
      </c>
      <c r="K351" s="8" t="s">
        <v>58</v>
      </c>
      <c r="L351" s="8" t="s">
        <v>125</v>
      </c>
      <c r="M351" s="8" t="s">
        <v>126</v>
      </c>
      <c r="N351" s="8" t="s">
        <v>1766</v>
      </c>
      <c r="O351" s="8">
        <f>1+1/60+56.6/3600</f>
        <v>1.0323888888888888</v>
      </c>
      <c r="P351" s="8" t="s">
        <v>1767</v>
      </c>
      <c r="Q351" s="8">
        <f>-(6+47/60+43/3600)</f>
        <v>-6.7952777777777778</v>
      </c>
      <c r="R351" s="8">
        <v>14.4</v>
      </c>
      <c r="S351" s="8">
        <v>15.4</v>
      </c>
      <c r="T351" s="8">
        <v>1</v>
      </c>
      <c r="U351" s="8">
        <v>12.8</v>
      </c>
      <c r="V351" s="8">
        <v>0.7</v>
      </c>
      <c r="W351" s="8">
        <v>0.5</v>
      </c>
      <c r="X351" s="8">
        <v>82</v>
      </c>
      <c r="Y351" s="8" t="s">
        <v>47</v>
      </c>
      <c r="Z351" s="8" t="s">
        <v>48</v>
      </c>
    </row>
    <row r="352" spans="1:26" x14ac:dyDescent="0.2">
      <c r="A352" s="8">
        <v>351</v>
      </c>
      <c r="B352" s="8" t="s">
        <v>1768</v>
      </c>
      <c r="C352" s="8" t="s">
        <v>1768</v>
      </c>
      <c r="F352" s="47"/>
      <c r="G352" s="8">
        <v>19</v>
      </c>
      <c r="H352" s="8" t="s">
        <v>21</v>
      </c>
      <c r="I352" s="8" t="s">
        <v>22</v>
      </c>
      <c r="J352" s="8" t="s">
        <v>22</v>
      </c>
      <c r="K352" s="8" t="s">
        <v>435</v>
      </c>
      <c r="L352" s="8" t="s">
        <v>125</v>
      </c>
      <c r="M352" s="8" t="s">
        <v>126</v>
      </c>
      <c r="N352" s="8" t="s">
        <v>1769</v>
      </c>
      <c r="O352" s="8">
        <f>1+1/60+57.8/3600</f>
        <v>1.0327222222222221</v>
      </c>
      <c r="P352" s="8" t="s">
        <v>1770</v>
      </c>
      <c r="Q352" s="8">
        <f>-(1+56/60+11/3600)</f>
        <v>-1.9363888888888889</v>
      </c>
      <c r="R352" s="8">
        <v>13.2</v>
      </c>
      <c r="S352" s="8">
        <v>14.1</v>
      </c>
      <c r="T352" s="8">
        <v>0.9</v>
      </c>
      <c r="U352" s="8">
        <v>13.2</v>
      </c>
      <c r="V352" s="8">
        <v>1.5</v>
      </c>
      <c r="W352" s="8">
        <v>0.8</v>
      </c>
      <c r="X352" s="8">
        <v>142</v>
      </c>
      <c r="Y352" s="8" t="s">
        <v>1771</v>
      </c>
      <c r="Z352" s="8" t="s">
        <v>1772</v>
      </c>
    </row>
    <row r="353" spans="1:26" x14ac:dyDescent="0.2">
      <c r="A353" s="8">
        <v>352</v>
      </c>
      <c r="B353" s="8" t="s">
        <v>1773</v>
      </c>
      <c r="C353" s="8" t="s">
        <v>1773</v>
      </c>
      <c r="F353" s="47" t="s">
        <v>56049</v>
      </c>
      <c r="G353" s="8">
        <v>15</v>
      </c>
      <c r="H353" s="8" t="s">
        <v>21</v>
      </c>
      <c r="I353" s="8" t="s">
        <v>22</v>
      </c>
      <c r="J353" s="8" t="s">
        <v>22</v>
      </c>
      <c r="K353" s="8" t="s">
        <v>218</v>
      </c>
      <c r="L353" s="8" t="s">
        <v>125</v>
      </c>
      <c r="M353" s="8" t="s">
        <v>126</v>
      </c>
      <c r="N353" s="8" t="s">
        <v>1774</v>
      </c>
      <c r="O353" s="8">
        <f>1+2/60+9.1/3600</f>
        <v>1.0358611111111111</v>
      </c>
      <c r="P353" s="8" t="s">
        <v>1775</v>
      </c>
      <c r="Q353" s="8">
        <f>-(4+14/60+43/3600)</f>
        <v>-4.2452777777777779</v>
      </c>
      <c r="R353" s="8">
        <v>12.6</v>
      </c>
      <c r="S353" s="8">
        <v>13.5</v>
      </c>
      <c r="T353" s="8">
        <v>0.9</v>
      </c>
      <c r="U353" s="8">
        <v>13.3</v>
      </c>
      <c r="V353" s="8">
        <v>2.4</v>
      </c>
      <c r="W353" s="8">
        <v>0.8</v>
      </c>
      <c r="X353" s="8">
        <v>165</v>
      </c>
      <c r="Y353" s="8" t="s">
        <v>1776</v>
      </c>
      <c r="Z353" s="8" t="s">
        <v>1777</v>
      </c>
    </row>
    <row r="354" spans="1:26" x14ac:dyDescent="0.2">
      <c r="A354" s="8">
        <v>353</v>
      </c>
      <c r="B354" s="8" t="s">
        <v>1778</v>
      </c>
      <c r="C354" s="8" t="s">
        <v>1778</v>
      </c>
      <c r="F354" s="47"/>
      <c r="G354" s="8">
        <v>19</v>
      </c>
      <c r="H354" s="8" t="s">
        <v>21</v>
      </c>
      <c r="I354" s="8" t="s">
        <v>22</v>
      </c>
      <c r="J354" s="8" t="s">
        <v>22</v>
      </c>
      <c r="K354" s="8" t="s">
        <v>154</v>
      </c>
      <c r="L354" s="8" t="s">
        <v>125</v>
      </c>
      <c r="M354" s="8" t="s">
        <v>126</v>
      </c>
      <c r="N354" s="8" t="s">
        <v>1779</v>
      </c>
      <c r="O354" s="8">
        <f>1+2/60+24.6/3600</f>
        <v>1.0401666666666667</v>
      </c>
      <c r="P354" s="8" t="s">
        <v>1780</v>
      </c>
      <c r="Q354" s="8">
        <f>-(1+57/60+25/3600)</f>
        <v>-1.9569444444444444</v>
      </c>
      <c r="R354" s="8">
        <v>13.7</v>
      </c>
      <c r="S354" s="8">
        <v>14.6</v>
      </c>
      <c r="T354" s="8">
        <v>0.9</v>
      </c>
      <c r="U354" s="8">
        <v>12.8</v>
      </c>
      <c r="V354" s="8">
        <v>1.3</v>
      </c>
      <c r="W354" s="8">
        <v>0.4</v>
      </c>
      <c r="X354" s="8">
        <v>26</v>
      </c>
      <c r="Y354" s="8" t="s">
        <v>1781</v>
      </c>
      <c r="Z354" s="8" t="s">
        <v>1782</v>
      </c>
    </row>
    <row r="355" spans="1:26" x14ac:dyDescent="0.2">
      <c r="A355" s="8">
        <v>354</v>
      </c>
      <c r="B355" s="8" t="s">
        <v>1783</v>
      </c>
      <c r="C355" s="8" t="s">
        <v>1783</v>
      </c>
      <c r="F355" s="47"/>
      <c r="G355" s="8">
        <v>19</v>
      </c>
      <c r="H355" s="8" t="s">
        <v>21</v>
      </c>
      <c r="I355" s="8" t="s">
        <v>22</v>
      </c>
      <c r="J355" s="8" t="s">
        <v>22</v>
      </c>
      <c r="K355" s="8" t="s">
        <v>1445</v>
      </c>
      <c r="L355" s="8" t="s">
        <v>38</v>
      </c>
      <c r="M355" s="8" t="s">
        <v>39</v>
      </c>
      <c r="N355" s="8" t="s">
        <v>1784</v>
      </c>
      <c r="O355" s="8">
        <f>1+3/60+16.3/3600</f>
        <v>1.0545277777777777</v>
      </c>
      <c r="P355" s="8" t="s">
        <v>1785</v>
      </c>
      <c r="Q355" s="8">
        <f>+(22+20/60+34/3600)</f>
        <v>22.342777777777776</v>
      </c>
      <c r="R355" s="8">
        <v>13.5</v>
      </c>
      <c r="S355" s="8">
        <v>14.3</v>
      </c>
      <c r="T355" s="8">
        <v>0.8</v>
      </c>
      <c r="U355" s="8">
        <v>12.1</v>
      </c>
      <c r="V355" s="8">
        <v>0.8</v>
      </c>
      <c r="W355" s="8">
        <v>0.4</v>
      </c>
      <c r="X355" s="8">
        <v>29</v>
      </c>
      <c r="Y355" s="8" t="s">
        <v>1786</v>
      </c>
      <c r="Z355" s="8" t="s">
        <v>1787</v>
      </c>
    </row>
    <row r="356" spans="1:26" x14ac:dyDescent="0.2">
      <c r="A356" s="8">
        <v>355</v>
      </c>
      <c r="B356" s="8" t="s">
        <v>1788</v>
      </c>
      <c r="C356" s="8" t="s">
        <v>1788</v>
      </c>
      <c r="F356" s="47"/>
      <c r="G356" s="8">
        <v>18</v>
      </c>
      <c r="H356" s="8" t="s">
        <v>21</v>
      </c>
      <c r="I356" s="8" t="s">
        <v>22</v>
      </c>
      <c r="J356" s="8" t="s">
        <v>22</v>
      </c>
      <c r="K356" s="8" t="s">
        <v>224</v>
      </c>
      <c r="L356" s="8" t="s">
        <v>125</v>
      </c>
      <c r="M356" s="8" t="s">
        <v>126</v>
      </c>
      <c r="N356" s="8" t="s">
        <v>1789</v>
      </c>
      <c r="O356" s="8">
        <f>1+3/60+6.9/3600</f>
        <v>1.0519166666666666</v>
      </c>
      <c r="P356" s="8" t="s">
        <v>1790</v>
      </c>
      <c r="Q356" s="8">
        <f>-(6+19/60+25/3600)</f>
        <v>-6.3236111111111111</v>
      </c>
      <c r="R356" s="8">
        <v>15.3</v>
      </c>
      <c r="S356" s="8">
        <v>16.3</v>
      </c>
      <c r="T356" s="8">
        <v>1</v>
      </c>
      <c r="U356" s="8">
        <v>14.2</v>
      </c>
      <c r="V356" s="8">
        <v>1</v>
      </c>
      <c r="W356" s="8">
        <v>0.4</v>
      </c>
      <c r="X356" s="8">
        <v>62</v>
      </c>
      <c r="Y356" s="8" t="s">
        <v>266</v>
      </c>
      <c r="Z356" s="8" t="s">
        <v>267</v>
      </c>
    </row>
    <row r="357" spans="1:26" x14ac:dyDescent="0.2">
      <c r="A357" s="8">
        <v>356</v>
      </c>
      <c r="B357" s="8" t="s">
        <v>1791</v>
      </c>
      <c r="C357" s="8" t="s">
        <v>1791</v>
      </c>
      <c r="F357" s="47"/>
      <c r="G357" s="8">
        <v>18</v>
      </c>
      <c r="H357" s="8" t="s">
        <v>21</v>
      </c>
      <c r="I357" s="8" t="s">
        <v>22</v>
      </c>
      <c r="J357" s="8" t="s">
        <v>22</v>
      </c>
      <c r="K357" s="8" t="s">
        <v>396</v>
      </c>
      <c r="L357" s="8" t="s">
        <v>125</v>
      </c>
      <c r="M357" s="8" t="s">
        <v>126</v>
      </c>
      <c r="N357" s="8" t="s">
        <v>1792</v>
      </c>
      <c r="O357" s="8">
        <f>1+3/60+7/3600</f>
        <v>1.0519444444444446</v>
      </c>
      <c r="P357" s="8" t="s">
        <v>1793</v>
      </c>
      <c r="Q357" s="8">
        <f>-(6+59/60+17/3600)</f>
        <v>-6.9880555555555555</v>
      </c>
      <c r="R357" s="8">
        <v>13.1</v>
      </c>
      <c r="S357" s="8">
        <v>13.9</v>
      </c>
      <c r="T357" s="8">
        <v>0.8</v>
      </c>
      <c r="U357" s="8">
        <v>13.8</v>
      </c>
      <c r="V357" s="8">
        <v>1.8</v>
      </c>
      <c r="W357" s="8">
        <v>1.2</v>
      </c>
      <c r="X357" s="8">
        <v>53</v>
      </c>
      <c r="Y357" s="8" t="s">
        <v>1794</v>
      </c>
      <c r="Z357" s="8" t="s">
        <v>1795</v>
      </c>
    </row>
    <row r="358" spans="1:26" x14ac:dyDescent="0.2">
      <c r="A358" s="8">
        <v>357</v>
      </c>
      <c r="B358" s="8" t="s">
        <v>1796</v>
      </c>
      <c r="C358" s="8" t="s">
        <v>1796</v>
      </c>
      <c r="F358" s="47" t="s">
        <v>56050</v>
      </c>
      <c r="G358" s="8">
        <v>6.5</v>
      </c>
      <c r="H358" s="8" t="s">
        <v>21</v>
      </c>
      <c r="I358" s="8" t="s">
        <v>22</v>
      </c>
      <c r="J358" s="8" t="s">
        <v>22</v>
      </c>
      <c r="K358" s="8" t="s">
        <v>435</v>
      </c>
      <c r="L358" s="8" t="s">
        <v>125</v>
      </c>
      <c r="M358" s="8" t="s">
        <v>126</v>
      </c>
      <c r="N358" s="8" t="s">
        <v>1797</v>
      </c>
      <c r="O358" s="8">
        <f>1+3/60+21.8/3600</f>
        <v>1.0560555555555555</v>
      </c>
      <c r="P358" s="8" t="s">
        <v>1798</v>
      </c>
      <c r="Q358" s="8">
        <f>-(6+20/60+21/3600)</f>
        <v>-6.3391666666666664</v>
      </c>
      <c r="R358" s="8">
        <v>12</v>
      </c>
      <c r="S358" s="8">
        <v>13.1</v>
      </c>
      <c r="T358" s="8">
        <v>1.1000000000000001</v>
      </c>
      <c r="U358" s="8">
        <v>13.4</v>
      </c>
      <c r="V358" s="8">
        <v>2.5</v>
      </c>
      <c r="W358" s="8">
        <v>1.7</v>
      </c>
      <c r="X358" s="8">
        <v>33</v>
      </c>
      <c r="Y358" s="8" t="s">
        <v>1799</v>
      </c>
      <c r="Z358" s="8" t="s">
        <v>1800</v>
      </c>
    </row>
    <row r="359" spans="1:26" x14ac:dyDescent="0.2">
      <c r="A359" s="8">
        <v>358</v>
      </c>
      <c r="B359" s="8" t="s">
        <v>1801</v>
      </c>
      <c r="C359" s="8" t="s">
        <v>1801</v>
      </c>
      <c r="F359" s="47"/>
      <c r="G359" s="8">
        <v>13</v>
      </c>
      <c r="H359" s="8" t="s">
        <v>21</v>
      </c>
      <c r="I359" s="8" t="s">
        <v>72</v>
      </c>
      <c r="J359" s="8" t="s">
        <v>72</v>
      </c>
      <c r="K359" s="8" t="s">
        <v>1802</v>
      </c>
      <c r="L359" s="8" t="s">
        <v>559</v>
      </c>
      <c r="M359" s="8" t="s">
        <v>560</v>
      </c>
      <c r="N359" s="8" t="s">
        <v>1803</v>
      </c>
      <c r="O359" s="8">
        <f>1+5/60+10.8/3600</f>
        <v>1.0863333333333332</v>
      </c>
      <c r="P359" s="8" t="s">
        <v>1804</v>
      </c>
      <c r="Q359" s="8">
        <f>+(62+1/60+16/3600)</f>
        <v>62.021111111111111</v>
      </c>
      <c r="R359" s="8">
        <v>99</v>
      </c>
      <c r="S359" s="8">
        <v>99</v>
      </c>
      <c r="T359" s="8">
        <v>99</v>
      </c>
      <c r="U359" s="8">
        <v>99</v>
      </c>
      <c r="V359" s="8">
        <v>2.5</v>
      </c>
      <c r="Y359" s="8" t="s">
        <v>1805</v>
      </c>
      <c r="Z359" s="8" t="s">
        <v>1806</v>
      </c>
    </row>
    <row r="360" spans="1:26" x14ac:dyDescent="0.2">
      <c r="A360" s="8">
        <v>359</v>
      </c>
      <c r="B360" s="8" t="s">
        <v>1807</v>
      </c>
      <c r="C360" s="8" t="s">
        <v>1807</v>
      </c>
      <c r="F360" s="47"/>
      <c r="G360" s="8">
        <v>18</v>
      </c>
      <c r="H360" s="8" t="s">
        <v>21</v>
      </c>
      <c r="I360" s="8" t="s">
        <v>22</v>
      </c>
      <c r="J360" s="8" t="s">
        <v>22</v>
      </c>
      <c r="K360" s="8" t="s">
        <v>58</v>
      </c>
      <c r="L360" s="8" t="s">
        <v>125</v>
      </c>
      <c r="M360" s="8" t="s">
        <v>126</v>
      </c>
      <c r="N360" s="8" t="s">
        <v>1808</v>
      </c>
      <c r="O360" s="8">
        <f>1+4/60+16.9/3600</f>
        <v>1.071361111111111</v>
      </c>
      <c r="P360" s="8" t="s">
        <v>1809</v>
      </c>
      <c r="Q360" s="8">
        <f>-(0+45/60+52/3600)</f>
        <v>-0.76444444444444448</v>
      </c>
      <c r="R360" s="8">
        <v>13.4</v>
      </c>
      <c r="S360" s="8">
        <v>14.4</v>
      </c>
      <c r="T360" s="8">
        <v>1</v>
      </c>
      <c r="U360" s="8">
        <v>14</v>
      </c>
      <c r="V360" s="8">
        <v>1.5</v>
      </c>
      <c r="W360" s="8">
        <v>1.1000000000000001</v>
      </c>
      <c r="X360" s="8">
        <v>135</v>
      </c>
      <c r="Y360" s="8" t="s">
        <v>266</v>
      </c>
      <c r="Z360" s="8" t="s">
        <v>267</v>
      </c>
    </row>
    <row r="361" spans="1:26" x14ac:dyDescent="0.2">
      <c r="A361" s="8">
        <v>360</v>
      </c>
      <c r="B361" s="8" t="s">
        <v>1810</v>
      </c>
      <c r="C361" s="8" t="s">
        <v>1810</v>
      </c>
      <c r="F361" s="47"/>
      <c r="G361" s="8">
        <v>16</v>
      </c>
      <c r="H361" s="8" t="s">
        <v>21</v>
      </c>
      <c r="I361" s="8" t="s">
        <v>22</v>
      </c>
      <c r="J361" s="8" t="s">
        <v>22</v>
      </c>
      <c r="K361" s="8" t="s">
        <v>396</v>
      </c>
      <c r="L361" s="8" t="s">
        <v>310</v>
      </c>
      <c r="M361" s="8" t="s">
        <v>311</v>
      </c>
      <c r="N361" s="8" t="s">
        <v>1811</v>
      </c>
      <c r="O361" s="8">
        <f>1+2/60+51.5/3600</f>
        <v>1.047638888888889</v>
      </c>
      <c r="P361" s="8" t="s">
        <v>1812</v>
      </c>
      <c r="Q361" s="8">
        <f>-(65+36/60+32/3600)</f>
        <v>-65.608888888888885</v>
      </c>
      <c r="R361" s="8">
        <v>12.5</v>
      </c>
      <c r="S361" s="8">
        <v>13.3</v>
      </c>
      <c r="T361" s="8">
        <v>0.8</v>
      </c>
      <c r="U361" s="8">
        <v>12.9</v>
      </c>
      <c r="V361" s="8">
        <v>3.6</v>
      </c>
      <c r="W361" s="8">
        <v>0.5</v>
      </c>
      <c r="X361" s="8">
        <v>144</v>
      </c>
      <c r="Y361" s="8" t="s">
        <v>1813</v>
      </c>
      <c r="Z361" s="8" t="s">
        <v>1814</v>
      </c>
    </row>
    <row r="362" spans="1:26" x14ac:dyDescent="0.2">
      <c r="A362" s="8">
        <v>361</v>
      </c>
      <c r="B362" s="8" t="s">
        <v>1815</v>
      </c>
      <c r="C362" s="8" t="s">
        <v>1815</v>
      </c>
      <c r="F362" s="47"/>
      <c r="G362" s="8">
        <v>16</v>
      </c>
      <c r="H362" s="8" t="s">
        <v>21</v>
      </c>
      <c r="I362" s="8" t="s">
        <v>557</v>
      </c>
      <c r="J362" s="8" t="s">
        <v>557</v>
      </c>
      <c r="K362" s="8" t="s">
        <v>1816</v>
      </c>
      <c r="L362" s="8" t="s">
        <v>310</v>
      </c>
      <c r="M362" s="8" t="s">
        <v>311</v>
      </c>
      <c r="N362" s="8" t="s">
        <v>1817</v>
      </c>
      <c r="O362" s="8">
        <f>1+2/60+11.1/3600</f>
        <v>1.0364166666666668</v>
      </c>
      <c r="P362" s="8" t="s">
        <v>1818</v>
      </c>
      <c r="Q362" s="8">
        <f>-(71+36/60+24/3600)</f>
        <v>-71.606666666666655</v>
      </c>
      <c r="R362" s="8">
        <v>99</v>
      </c>
      <c r="S362" s="8">
        <v>12</v>
      </c>
      <c r="T362" s="8">
        <v>99</v>
      </c>
      <c r="U362" s="8">
        <v>99</v>
      </c>
      <c r="V362" s="8">
        <v>1.6</v>
      </c>
      <c r="Y362" s="8" t="s">
        <v>1819</v>
      </c>
      <c r="Z362" s="8" t="s">
        <v>1820</v>
      </c>
    </row>
    <row r="363" spans="1:26" x14ac:dyDescent="0.2">
      <c r="A363" s="8">
        <v>362</v>
      </c>
      <c r="B363" s="8" t="s">
        <v>1821</v>
      </c>
      <c r="C363" s="8" t="s">
        <v>1821</v>
      </c>
      <c r="F363" s="47"/>
      <c r="G363" s="8">
        <v>2</v>
      </c>
      <c r="H363" s="8" t="s">
        <v>21</v>
      </c>
      <c r="I363" s="8" t="s">
        <v>567</v>
      </c>
      <c r="J363" s="8" t="s">
        <v>567</v>
      </c>
      <c r="K363" s="8" t="s">
        <v>568</v>
      </c>
      <c r="L363" s="8" t="s">
        <v>310</v>
      </c>
      <c r="M363" s="8" t="s">
        <v>311</v>
      </c>
      <c r="N363" s="8" t="s">
        <v>1822</v>
      </c>
      <c r="O363" s="8">
        <f>1+3/60+14.3/3600</f>
        <v>1.0539722222222223</v>
      </c>
      <c r="P363" s="8" t="s">
        <v>1823</v>
      </c>
      <c r="Q363" s="8">
        <f>-(70+50/60+52/3600)</f>
        <v>-70.847777777777779</v>
      </c>
      <c r="R363" s="8">
        <v>6.8</v>
      </c>
      <c r="S363" s="8">
        <v>99</v>
      </c>
      <c r="T363" s="8">
        <v>99</v>
      </c>
      <c r="U363" s="8">
        <v>99</v>
      </c>
      <c r="V363" s="8">
        <v>14</v>
      </c>
      <c r="Y363" s="8" t="s">
        <v>1824</v>
      </c>
      <c r="Z363" s="8" t="s">
        <v>1825</v>
      </c>
    </row>
    <row r="364" spans="1:26" x14ac:dyDescent="0.2">
      <c r="A364" s="8">
        <v>363</v>
      </c>
      <c r="B364" s="8" t="s">
        <v>1826</v>
      </c>
      <c r="C364" s="8" t="s">
        <v>1826</v>
      </c>
      <c r="F364" s="47"/>
      <c r="G364" s="8">
        <v>19</v>
      </c>
      <c r="H364" s="8" t="s">
        <v>21</v>
      </c>
      <c r="I364" s="8" t="s">
        <v>22</v>
      </c>
      <c r="J364" s="8" t="s">
        <v>22</v>
      </c>
      <c r="K364" s="8" t="s">
        <v>37</v>
      </c>
      <c r="L364" s="8" t="s">
        <v>125</v>
      </c>
      <c r="M364" s="8" t="s">
        <v>126</v>
      </c>
      <c r="N364" s="8" t="s">
        <v>1827</v>
      </c>
      <c r="O364" s="8">
        <f>1+6/60+15.7/3600</f>
        <v>1.1043611111111111</v>
      </c>
      <c r="P364" s="8" t="s">
        <v>1828</v>
      </c>
      <c r="Q364" s="8">
        <f>-(16+32/60+32/3600)</f>
        <v>-16.542222222222225</v>
      </c>
      <c r="R364" s="8">
        <v>14.7</v>
      </c>
      <c r="S364" s="8">
        <v>15.7</v>
      </c>
      <c r="T364" s="8">
        <v>1</v>
      </c>
      <c r="U364" s="8">
        <v>13.3</v>
      </c>
      <c r="V364" s="8">
        <v>0.6</v>
      </c>
      <c r="W364" s="8">
        <v>0.5</v>
      </c>
      <c r="X364" s="8">
        <v>49</v>
      </c>
      <c r="Y364" s="8" t="s">
        <v>1829</v>
      </c>
      <c r="Z364" s="8" t="s">
        <v>1830</v>
      </c>
    </row>
    <row r="365" spans="1:26" x14ac:dyDescent="0.2">
      <c r="A365" s="8">
        <v>364</v>
      </c>
      <c r="B365" s="8" t="s">
        <v>1831</v>
      </c>
      <c r="C365" s="8" t="s">
        <v>1831</v>
      </c>
      <c r="F365" s="47"/>
      <c r="G365" s="8">
        <v>18</v>
      </c>
      <c r="H365" s="8" t="s">
        <v>21</v>
      </c>
      <c r="I365" s="8" t="s">
        <v>22</v>
      </c>
      <c r="J365" s="8" t="s">
        <v>22</v>
      </c>
      <c r="K365" s="8" t="s">
        <v>224</v>
      </c>
      <c r="L365" s="8" t="s">
        <v>125</v>
      </c>
      <c r="M365" s="8" t="s">
        <v>126</v>
      </c>
      <c r="N365" s="8" t="s">
        <v>1832</v>
      </c>
      <c r="O365" s="8">
        <f>1+4/60+40.8/3600</f>
        <v>1.0780000000000001</v>
      </c>
      <c r="P365" s="8" t="s">
        <v>1833</v>
      </c>
      <c r="Q365" s="8">
        <f>-(0+48/60+10/3600)</f>
        <v>-0.80277777777777781</v>
      </c>
      <c r="R365" s="8">
        <v>13.1</v>
      </c>
      <c r="S365" s="8">
        <v>14.1</v>
      </c>
      <c r="T365" s="8">
        <v>1</v>
      </c>
      <c r="U365" s="8">
        <v>13.6</v>
      </c>
      <c r="V365" s="8">
        <v>1.4</v>
      </c>
      <c r="W365" s="8">
        <v>1.2</v>
      </c>
      <c r="X365" s="8">
        <v>30</v>
      </c>
      <c r="Y365" s="8" t="s">
        <v>282</v>
      </c>
      <c r="Z365" s="8" t="s">
        <v>283</v>
      </c>
    </row>
    <row r="366" spans="1:26" x14ac:dyDescent="0.2">
      <c r="A366" s="8">
        <v>365</v>
      </c>
      <c r="B366" s="8" t="s">
        <v>1834</v>
      </c>
      <c r="C366" s="8" t="s">
        <v>1834</v>
      </c>
      <c r="F366" s="47"/>
      <c r="G366" s="8">
        <v>16</v>
      </c>
      <c r="H366" s="8" t="s">
        <v>21</v>
      </c>
      <c r="I366" s="8" t="s">
        <v>22</v>
      </c>
      <c r="J366" s="8" t="s">
        <v>22</v>
      </c>
      <c r="K366" s="8" t="s">
        <v>85</v>
      </c>
      <c r="L366" s="8" t="s">
        <v>65</v>
      </c>
      <c r="M366" s="8" t="s">
        <v>66</v>
      </c>
      <c r="N366" s="8" t="s">
        <v>1835</v>
      </c>
      <c r="O366" s="8">
        <f>1+4/60+18.6/3600</f>
        <v>1.0718333333333334</v>
      </c>
      <c r="P366" s="8" t="s">
        <v>1836</v>
      </c>
      <c r="Q366" s="8">
        <f>-(35+7/60+20/3600)</f>
        <v>-35.12222222222222</v>
      </c>
      <c r="R366" s="8">
        <v>13.4</v>
      </c>
      <c r="S366" s="8">
        <v>14.2</v>
      </c>
      <c r="T366" s="8">
        <v>0.8</v>
      </c>
      <c r="U366" s="8">
        <v>12.7</v>
      </c>
      <c r="V366" s="8">
        <v>1</v>
      </c>
      <c r="W366" s="8">
        <v>0.6</v>
      </c>
      <c r="X366" s="8">
        <v>5</v>
      </c>
      <c r="Y366" s="8" t="s">
        <v>1837</v>
      </c>
      <c r="Z366" s="8" t="s">
        <v>1838</v>
      </c>
    </row>
    <row r="367" spans="1:26" x14ac:dyDescent="0.2">
      <c r="A367" s="8">
        <v>366</v>
      </c>
      <c r="B367" s="8" t="s">
        <v>1839</v>
      </c>
      <c r="C367" s="8" t="s">
        <v>1839</v>
      </c>
      <c r="F367" s="47"/>
      <c r="G367" s="8">
        <v>14</v>
      </c>
      <c r="H367" s="8" t="s">
        <v>21</v>
      </c>
      <c r="I367" s="8" t="s">
        <v>557</v>
      </c>
      <c r="J367" s="8" t="s">
        <v>557</v>
      </c>
      <c r="K367" s="8" t="s">
        <v>1840</v>
      </c>
      <c r="L367" s="8" t="s">
        <v>559</v>
      </c>
      <c r="M367" s="8" t="s">
        <v>560</v>
      </c>
      <c r="N367" s="8" t="s">
        <v>1841</v>
      </c>
      <c r="O367" s="8">
        <f>1+6/60+25.9/3600</f>
        <v>1.1071944444444446</v>
      </c>
      <c r="P367" s="8" t="s">
        <v>1842</v>
      </c>
      <c r="Q367" s="8">
        <f>+(62+13/60+44/3600)</f>
        <v>62.228888888888889</v>
      </c>
      <c r="R367" s="8">
        <v>99</v>
      </c>
      <c r="S367" s="8">
        <v>99</v>
      </c>
      <c r="T367" s="8">
        <v>99</v>
      </c>
      <c r="U367" s="8">
        <v>99</v>
      </c>
      <c r="V367" s="8">
        <v>4</v>
      </c>
      <c r="Y367" s="8" t="s">
        <v>1843</v>
      </c>
      <c r="Z367" s="8" t="s">
        <v>1844</v>
      </c>
    </row>
    <row r="368" spans="1:26" x14ac:dyDescent="0.2">
      <c r="A368" s="8">
        <v>367</v>
      </c>
      <c r="B368" s="8" t="s">
        <v>1845</v>
      </c>
      <c r="C368" s="8" t="s">
        <v>1845</v>
      </c>
      <c r="F368" s="47"/>
      <c r="G368" s="8">
        <v>19</v>
      </c>
      <c r="H368" s="8" t="s">
        <v>21</v>
      </c>
      <c r="I368" s="8" t="s">
        <v>22</v>
      </c>
      <c r="J368" s="8" t="s">
        <v>22</v>
      </c>
      <c r="K368" s="8" t="s">
        <v>37</v>
      </c>
      <c r="L368" s="8" t="s">
        <v>125</v>
      </c>
      <c r="M368" s="8" t="s">
        <v>126</v>
      </c>
      <c r="N368" s="8" t="s">
        <v>1846</v>
      </c>
      <c r="O368" s="8">
        <f>1+5/60+48.9/3600</f>
        <v>1.0969166666666665</v>
      </c>
      <c r="P368" s="8" t="s">
        <v>1847</v>
      </c>
      <c r="Q368" s="8">
        <f>-(12+7/60+42/3600)</f>
        <v>-12.128333333333334</v>
      </c>
      <c r="R368" s="8">
        <v>14.7</v>
      </c>
      <c r="S368" s="8">
        <v>15.7</v>
      </c>
      <c r="T368" s="8">
        <v>1</v>
      </c>
      <c r="U368" s="8">
        <v>13.7</v>
      </c>
      <c r="V368" s="8">
        <v>0.9</v>
      </c>
      <c r="W368" s="8">
        <v>0.5</v>
      </c>
      <c r="X368" s="8">
        <v>15</v>
      </c>
      <c r="Y368" s="8" t="s">
        <v>1848</v>
      </c>
      <c r="Z368" s="8" t="s">
        <v>1849</v>
      </c>
    </row>
    <row r="369" spans="1:26" x14ac:dyDescent="0.2">
      <c r="A369" s="8">
        <v>368</v>
      </c>
      <c r="B369" s="8" t="s">
        <v>1850</v>
      </c>
      <c r="C369" s="8" t="s">
        <v>1850</v>
      </c>
      <c r="F369" s="47"/>
      <c r="G369" s="8">
        <v>16</v>
      </c>
      <c r="H369" s="8" t="s">
        <v>21</v>
      </c>
      <c r="I369" s="8" t="s">
        <v>22</v>
      </c>
      <c r="J369" s="8" t="s">
        <v>22</v>
      </c>
      <c r="K369" s="8" t="s">
        <v>435</v>
      </c>
      <c r="L369" s="8" t="s">
        <v>166</v>
      </c>
      <c r="M369" s="8" t="s">
        <v>167</v>
      </c>
      <c r="N369" s="8" t="s">
        <v>1851</v>
      </c>
      <c r="O369" s="8">
        <f>1+4/60+21.9/3600</f>
        <v>1.0727500000000001</v>
      </c>
      <c r="P369" s="8" t="s">
        <v>1852</v>
      </c>
      <c r="Q369" s="8">
        <f>-(43+16/60+34/3600)</f>
        <v>-43.276111111111113</v>
      </c>
      <c r="R369" s="8">
        <v>13.8</v>
      </c>
      <c r="S369" s="8">
        <v>14.7</v>
      </c>
      <c r="T369" s="8">
        <v>0.9</v>
      </c>
      <c r="U369" s="8">
        <v>12.7</v>
      </c>
      <c r="V369" s="8">
        <v>0.7</v>
      </c>
      <c r="W369" s="8">
        <v>0.6</v>
      </c>
      <c r="X369" s="8">
        <v>169</v>
      </c>
      <c r="Y369" s="8" t="s">
        <v>1853</v>
      </c>
      <c r="Z369" s="8" t="s">
        <v>1854</v>
      </c>
    </row>
    <row r="370" spans="1:26" x14ac:dyDescent="0.2">
      <c r="A370" s="8">
        <v>369</v>
      </c>
      <c r="B370" s="8" t="s">
        <v>1855</v>
      </c>
      <c r="C370" s="8" t="s">
        <v>1855</v>
      </c>
      <c r="F370" s="47"/>
      <c r="G370" s="8">
        <v>19</v>
      </c>
      <c r="H370" s="8" t="s">
        <v>21</v>
      </c>
      <c r="I370" s="8" t="s">
        <v>22</v>
      </c>
      <c r="J370" s="8" t="s">
        <v>22</v>
      </c>
      <c r="K370" s="8" t="s">
        <v>218</v>
      </c>
      <c r="L370" s="8" t="s">
        <v>125</v>
      </c>
      <c r="M370" s="8" t="s">
        <v>126</v>
      </c>
      <c r="N370" s="8" t="s">
        <v>1856</v>
      </c>
      <c r="O370" s="8">
        <f>1+5/60+8.8/3600</f>
        <v>1.0857777777777777</v>
      </c>
      <c r="P370" s="8" t="s">
        <v>1857</v>
      </c>
      <c r="Q370" s="8">
        <f>-(17+45/60+33/3600)</f>
        <v>-17.759166666666665</v>
      </c>
      <c r="R370" s="8">
        <v>13.8</v>
      </c>
      <c r="S370" s="8">
        <v>14.6</v>
      </c>
      <c r="T370" s="8">
        <v>0.8</v>
      </c>
      <c r="U370" s="8">
        <v>13.4</v>
      </c>
      <c r="V370" s="8">
        <v>1</v>
      </c>
      <c r="W370" s="8">
        <v>0.8</v>
      </c>
      <c r="X370" s="8">
        <v>52</v>
      </c>
      <c r="Y370" s="8" t="s">
        <v>1858</v>
      </c>
      <c r="Z370" s="8" t="s">
        <v>1859</v>
      </c>
    </row>
    <row r="371" spans="1:26" x14ac:dyDescent="0.2">
      <c r="A371" s="8">
        <v>370</v>
      </c>
      <c r="B371" s="8" t="s">
        <v>1860</v>
      </c>
      <c r="C371" s="8" t="s">
        <v>1860</v>
      </c>
      <c r="F371" s="47"/>
      <c r="G371" s="8">
        <v>17</v>
      </c>
      <c r="H371" s="8" t="s">
        <v>21</v>
      </c>
      <c r="I371" s="8" t="s">
        <v>72</v>
      </c>
      <c r="J371" s="8" t="s">
        <v>72</v>
      </c>
      <c r="K371" s="8" t="s">
        <v>1802</v>
      </c>
      <c r="L371" s="8" t="s">
        <v>38</v>
      </c>
      <c r="M371" s="8" t="s">
        <v>39</v>
      </c>
      <c r="N371" s="8" t="s">
        <v>1861</v>
      </c>
      <c r="O371" s="8">
        <f>1+6/60+44.6/3600</f>
        <v>1.1123888888888889</v>
      </c>
      <c r="P371" s="8" t="s">
        <v>1862</v>
      </c>
      <c r="Q371" s="8">
        <f>+(32+25/60+45/3600)</f>
        <v>32.429166666666667</v>
      </c>
      <c r="R371" s="8">
        <v>99</v>
      </c>
      <c r="S371" s="8">
        <v>99</v>
      </c>
      <c r="T371" s="8">
        <v>99</v>
      </c>
      <c r="U371" s="8">
        <v>99</v>
      </c>
      <c r="Y371" s="8" t="s">
        <v>1863</v>
      </c>
      <c r="Z371" s="8" t="s">
        <v>1864</v>
      </c>
    </row>
    <row r="372" spans="1:26" x14ac:dyDescent="0.2">
      <c r="A372" s="8">
        <v>371</v>
      </c>
      <c r="B372" s="8" t="s">
        <v>1865</v>
      </c>
      <c r="C372" s="8" t="s">
        <v>1865</v>
      </c>
      <c r="F372" s="47"/>
      <c r="G372" s="8">
        <v>10</v>
      </c>
      <c r="H372" s="8" t="s">
        <v>21</v>
      </c>
      <c r="I372" s="8" t="s">
        <v>557</v>
      </c>
      <c r="J372" s="8" t="s">
        <v>557</v>
      </c>
      <c r="K372" s="8" t="s">
        <v>1816</v>
      </c>
      <c r="L372" s="8" t="s">
        <v>310</v>
      </c>
      <c r="M372" s="8" t="s">
        <v>311</v>
      </c>
      <c r="N372" s="8" t="s">
        <v>1866</v>
      </c>
      <c r="O372" s="8">
        <f>1+3/60+26/3600</f>
        <v>1.0572222222222223</v>
      </c>
      <c r="P372" s="8" t="s">
        <v>1867</v>
      </c>
      <c r="Q372" s="8">
        <f>-(72+3/60+54/3600)</f>
        <v>-72.064999999999998</v>
      </c>
      <c r="R372" s="8">
        <v>99</v>
      </c>
      <c r="S372" s="8">
        <v>99</v>
      </c>
      <c r="T372" s="8">
        <v>99</v>
      </c>
      <c r="U372" s="8">
        <v>99</v>
      </c>
      <c r="V372" s="8">
        <v>7.5</v>
      </c>
      <c r="Y372" s="8" t="s">
        <v>1868</v>
      </c>
      <c r="Z372" s="8" t="s">
        <v>1869</v>
      </c>
    </row>
    <row r="373" spans="1:26" x14ac:dyDescent="0.2">
      <c r="A373" s="8">
        <v>372</v>
      </c>
      <c r="B373" s="8" t="s">
        <v>1870</v>
      </c>
      <c r="C373" s="8" t="s">
        <v>1870</v>
      </c>
      <c r="F373" s="47"/>
      <c r="G373" s="8">
        <v>18</v>
      </c>
      <c r="H373" s="8" t="s">
        <v>21</v>
      </c>
      <c r="I373" s="8" t="s">
        <v>72</v>
      </c>
      <c r="J373" s="8" t="s">
        <v>57</v>
      </c>
      <c r="K373" s="8" t="s">
        <v>1802</v>
      </c>
      <c r="L373" s="8" t="s">
        <v>38</v>
      </c>
      <c r="M373" s="8" t="s">
        <v>39</v>
      </c>
      <c r="N373" s="8" t="s">
        <v>1861</v>
      </c>
      <c r="O373" s="8">
        <f>1+6/60+44.6/3600</f>
        <v>1.1123888888888889</v>
      </c>
      <c r="P373" s="8" t="s">
        <v>1862</v>
      </c>
      <c r="Q373" s="8">
        <f>+(32+25/60+45/3600)</f>
        <v>32.429166666666667</v>
      </c>
      <c r="R373" s="8">
        <v>99</v>
      </c>
      <c r="S373" s="8">
        <v>99</v>
      </c>
      <c r="T373" s="8">
        <v>99</v>
      </c>
      <c r="U373" s="8">
        <v>99</v>
      </c>
      <c r="Y373" s="8" t="s">
        <v>1863</v>
      </c>
      <c r="Z373" s="8" t="s">
        <v>1871</v>
      </c>
    </row>
    <row r="374" spans="1:26" x14ac:dyDescent="0.2">
      <c r="A374" s="8">
        <v>373</v>
      </c>
      <c r="B374" s="8" t="s">
        <v>1872</v>
      </c>
      <c r="C374" s="8" t="s">
        <v>1872</v>
      </c>
      <c r="F374" s="47"/>
      <c r="G374" s="8">
        <v>18</v>
      </c>
      <c r="H374" s="8" t="s">
        <v>21</v>
      </c>
      <c r="I374" s="8" t="s">
        <v>22</v>
      </c>
      <c r="J374" s="8" t="s">
        <v>22</v>
      </c>
      <c r="K374" s="8" t="s">
        <v>460</v>
      </c>
      <c r="L374" s="8" t="s">
        <v>38</v>
      </c>
      <c r="M374" s="8" t="s">
        <v>39</v>
      </c>
      <c r="N374" s="8" t="s">
        <v>1873</v>
      </c>
      <c r="O374" s="8">
        <f>1+6/60+58.3/3600</f>
        <v>1.1161944444444445</v>
      </c>
      <c r="P374" s="8" t="s">
        <v>1874</v>
      </c>
      <c r="Q374" s="8">
        <f>+(32+18/60+32/3600)</f>
        <v>32.308888888888887</v>
      </c>
      <c r="R374" s="8">
        <v>14.9</v>
      </c>
      <c r="S374" s="8">
        <v>15.9</v>
      </c>
      <c r="T374" s="8">
        <v>1</v>
      </c>
      <c r="U374" s="8">
        <v>13</v>
      </c>
      <c r="V374" s="8">
        <v>0.4</v>
      </c>
      <c r="W374" s="8">
        <v>0.4</v>
      </c>
      <c r="Y374" s="8" t="s">
        <v>282</v>
      </c>
      <c r="Z374" s="8" t="s">
        <v>283</v>
      </c>
    </row>
    <row r="375" spans="1:26" x14ac:dyDescent="0.2">
      <c r="A375" s="8">
        <v>374</v>
      </c>
      <c r="B375" s="8" t="s">
        <v>1875</v>
      </c>
      <c r="C375" s="8" t="s">
        <v>1875</v>
      </c>
      <c r="F375" s="47"/>
      <c r="G375" s="8">
        <v>17</v>
      </c>
      <c r="H375" s="8" t="s">
        <v>21</v>
      </c>
      <c r="I375" s="8" t="s">
        <v>22</v>
      </c>
      <c r="J375" s="8" t="s">
        <v>22</v>
      </c>
      <c r="K375" s="8" t="s">
        <v>632</v>
      </c>
      <c r="L375" s="8" t="s">
        <v>38</v>
      </c>
      <c r="M375" s="8" t="s">
        <v>39</v>
      </c>
      <c r="N375" s="8" t="s">
        <v>1876</v>
      </c>
      <c r="O375" s="8">
        <f>1+7/60+5.8/3600</f>
        <v>1.1182777777777777</v>
      </c>
      <c r="P375" s="8" t="s">
        <v>1877</v>
      </c>
      <c r="Q375" s="8">
        <f>+(32+47/60+41/3600)</f>
        <v>32.794722222222219</v>
      </c>
      <c r="R375" s="8">
        <v>13.5</v>
      </c>
      <c r="S375" s="8">
        <v>14.4</v>
      </c>
      <c r="T375" s="8">
        <v>0.9</v>
      </c>
      <c r="U375" s="8">
        <v>12.7</v>
      </c>
      <c r="V375" s="8">
        <v>1.1000000000000001</v>
      </c>
      <c r="W375" s="8">
        <v>0.5</v>
      </c>
      <c r="X375" s="8">
        <v>175</v>
      </c>
      <c r="Y375" s="8" t="s">
        <v>1878</v>
      </c>
      <c r="Z375" s="8" t="s">
        <v>1879</v>
      </c>
    </row>
    <row r="376" spans="1:26" x14ac:dyDescent="0.2">
      <c r="A376" s="8">
        <v>375</v>
      </c>
      <c r="B376" s="8" t="s">
        <v>1880</v>
      </c>
      <c r="C376" s="8" t="s">
        <v>1880</v>
      </c>
      <c r="F376" s="47"/>
      <c r="G376" s="8">
        <v>14</v>
      </c>
      <c r="H376" s="8" t="s">
        <v>1881</v>
      </c>
      <c r="I376" s="8" t="s">
        <v>22</v>
      </c>
      <c r="J376" s="8" t="s">
        <v>22</v>
      </c>
      <c r="K376" s="8" t="s">
        <v>1136</v>
      </c>
      <c r="L376" s="8" t="s">
        <v>38</v>
      </c>
      <c r="M376" s="8" t="s">
        <v>39</v>
      </c>
      <c r="N376" s="8" t="s">
        <v>1876</v>
      </c>
      <c r="O376" s="8">
        <f>1+7/60+5.8/3600</f>
        <v>1.1182777777777777</v>
      </c>
      <c r="P376" s="8" t="s">
        <v>1882</v>
      </c>
      <c r="Q376" s="8">
        <f>+(32+20/60+55/3600)</f>
        <v>32.348611111111111</v>
      </c>
      <c r="R376" s="8">
        <v>14.5</v>
      </c>
      <c r="S376" s="8">
        <v>15.5</v>
      </c>
      <c r="T376" s="8">
        <v>1</v>
      </c>
      <c r="U376" s="8">
        <v>13.1</v>
      </c>
      <c r="V376" s="8">
        <v>0.5</v>
      </c>
      <c r="W376" s="8">
        <v>0.5</v>
      </c>
      <c r="Y376" s="8" t="s">
        <v>282</v>
      </c>
      <c r="Z376" s="8" t="s">
        <v>283</v>
      </c>
    </row>
    <row r="377" spans="1:26" x14ac:dyDescent="0.2">
      <c r="A377" s="8">
        <v>376</v>
      </c>
      <c r="B377" s="8" t="s">
        <v>1883</v>
      </c>
      <c r="C377" s="8" t="s">
        <v>1883</v>
      </c>
      <c r="F377" s="47"/>
      <c r="G377" s="8">
        <v>16</v>
      </c>
      <c r="H377" s="8" t="s">
        <v>21</v>
      </c>
      <c r="I377" s="8" t="s">
        <v>557</v>
      </c>
      <c r="J377" s="8" t="s">
        <v>557</v>
      </c>
      <c r="K377" s="8" t="s">
        <v>557</v>
      </c>
      <c r="L377" s="8" t="s">
        <v>310</v>
      </c>
      <c r="M377" s="8" t="s">
        <v>311</v>
      </c>
      <c r="N377" s="8" t="s">
        <v>1884</v>
      </c>
      <c r="O377" s="8">
        <f>1+3/60+53.4/3600</f>
        <v>1.0648333333333333</v>
      </c>
      <c r="P377" s="8" t="s">
        <v>1885</v>
      </c>
      <c r="Q377" s="8">
        <f>-(72+49/60+26/3600)</f>
        <v>-72.823888888888888</v>
      </c>
      <c r="R377" s="8">
        <v>10.9</v>
      </c>
      <c r="S377" s="8">
        <v>99</v>
      </c>
      <c r="T377" s="8">
        <v>99</v>
      </c>
      <c r="U377" s="8">
        <v>99</v>
      </c>
      <c r="V377" s="8">
        <v>1</v>
      </c>
      <c r="Y377" s="8" t="s">
        <v>1886</v>
      </c>
      <c r="Z377" s="8" t="s">
        <v>1887</v>
      </c>
    </row>
    <row r="378" spans="1:26" x14ac:dyDescent="0.2">
      <c r="A378" s="8">
        <v>377</v>
      </c>
      <c r="B378" s="8" t="s">
        <v>1888</v>
      </c>
      <c r="C378" s="8" t="s">
        <v>1888</v>
      </c>
      <c r="F378" s="47"/>
      <c r="G378" s="8">
        <v>19</v>
      </c>
      <c r="H378" s="8" t="s">
        <v>21</v>
      </c>
      <c r="I378" s="8" t="s">
        <v>22</v>
      </c>
      <c r="J378" s="8" t="s">
        <v>22</v>
      </c>
      <c r="K378" s="8" t="s">
        <v>396</v>
      </c>
      <c r="L378" s="8" t="s">
        <v>125</v>
      </c>
      <c r="M378" s="8" t="s">
        <v>126</v>
      </c>
      <c r="N378" s="8" t="s">
        <v>1889</v>
      </c>
      <c r="O378" s="8">
        <f>1+6/60+35.1/3600</f>
        <v>1.10975</v>
      </c>
      <c r="P378" s="8" t="s">
        <v>1890</v>
      </c>
      <c r="Q378" s="8">
        <f>-(20+19/60+53/3600)</f>
        <v>-20.331388888888888</v>
      </c>
      <c r="R378" s="8">
        <v>15.1</v>
      </c>
      <c r="S378" s="8">
        <v>15.9</v>
      </c>
      <c r="T378" s="8">
        <v>0.8</v>
      </c>
      <c r="U378" s="8">
        <v>13.6</v>
      </c>
      <c r="V378" s="8">
        <v>0.8</v>
      </c>
      <c r="W378" s="8">
        <v>0.2</v>
      </c>
      <c r="X378" s="8">
        <v>30</v>
      </c>
      <c r="Y378" s="8" t="s">
        <v>1891</v>
      </c>
      <c r="Z378" s="8" t="s">
        <v>1892</v>
      </c>
    </row>
    <row r="379" spans="1:26" x14ac:dyDescent="0.2">
      <c r="A379" s="8">
        <v>378</v>
      </c>
      <c r="B379" s="8" t="s">
        <v>1893</v>
      </c>
      <c r="C379" s="8" t="s">
        <v>1893</v>
      </c>
      <c r="F379" s="47"/>
      <c r="G379" s="8">
        <v>16</v>
      </c>
      <c r="H379" s="8" t="s">
        <v>21</v>
      </c>
      <c r="I379" s="8" t="s">
        <v>22</v>
      </c>
      <c r="J379" s="8" t="s">
        <v>22</v>
      </c>
      <c r="K379" s="8" t="s">
        <v>64</v>
      </c>
      <c r="L379" s="8" t="s">
        <v>65</v>
      </c>
      <c r="M379" s="8" t="s">
        <v>66</v>
      </c>
      <c r="N379" s="8" t="s">
        <v>1894</v>
      </c>
      <c r="O379" s="8">
        <f>1+6/60+12/3600</f>
        <v>1.1033333333333335</v>
      </c>
      <c r="P379" s="8" t="s">
        <v>1895</v>
      </c>
      <c r="Q379" s="8">
        <f>-(30+10/60+41/3600)</f>
        <v>-30.178055555555556</v>
      </c>
      <c r="R379" s="8">
        <v>13.1</v>
      </c>
      <c r="S379" s="8">
        <v>13.8</v>
      </c>
      <c r="T379" s="8">
        <v>0.7</v>
      </c>
      <c r="U379" s="8">
        <v>13.5</v>
      </c>
      <c r="V379" s="8">
        <v>1.5</v>
      </c>
      <c r="W379" s="8">
        <v>1.1000000000000001</v>
      </c>
      <c r="X379" s="8">
        <v>105</v>
      </c>
      <c r="Y379" s="8" t="s">
        <v>750</v>
      </c>
      <c r="Z379" s="8" t="s">
        <v>751</v>
      </c>
    </row>
    <row r="380" spans="1:26" x14ac:dyDescent="0.2">
      <c r="A380" s="8">
        <v>379</v>
      </c>
      <c r="B380" s="8" t="s">
        <v>1896</v>
      </c>
      <c r="C380" s="8" t="s">
        <v>1896</v>
      </c>
      <c r="F380" s="47" t="s">
        <v>56051</v>
      </c>
      <c r="G380" s="8">
        <v>15</v>
      </c>
      <c r="H380" s="8" t="s">
        <v>21</v>
      </c>
      <c r="I380" s="8" t="s">
        <v>22</v>
      </c>
      <c r="J380" s="8" t="s">
        <v>22</v>
      </c>
      <c r="K380" s="8" t="s">
        <v>37</v>
      </c>
      <c r="L380" s="8" t="s">
        <v>38</v>
      </c>
      <c r="M380" s="8" t="s">
        <v>39</v>
      </c>
      <c r="N380" s="8" t="s">
        <v>1897</v>
      </c>
      <c r="O380" s="8">
        <f>1+7/60+15.7/3600</f>
        <v>1.1210277777777777</v>
      </c>
      <c r="P380" s="8" t="s">
        <v>1898</v>
      </c>
      <c r="Q380" s="8">
        <f>+(32+31/60+13/3600)</f>
        <v>32.520277777777778</v>
      </c>
      <c r="R380" s="8">
        <v>12.8</v>
      </c>
      <c r="S380" s="8">
        <v>13.9</v>
      </c>
      <c r="T380" s="8">
        <v>1.1000000000000001</v>
      </c>
      <c r="U380" s="8">
        <v>12.7</v>
      </c>
      <c r="V380" s="8">
        <v>1.4</v>
      </c>
      <c r="W380" s="8">
        <v>0.7</v>
      </c>
      <c r="X380" s="8">
        <v>0</v>
      </c>
      <c r="Y380" s="8" t="s">
        <v>282</v>
      </c>
      <c r="Z380" s="8" t="s">
        <v>1899</v>
      </c>
    </row>
    <row r="381" spans="1:26" x14ac:dyDescent="0.2">
      <c r="A381" s="8">
        <v>380</v>
      </c>
      <c r="B381" s="8" t="s">
        <v>1900</v>
      </c>
      <c r="C381" s="8" t="s">
        <v>1900</v>
      </c>
      <c r="F381" s="47" t="s">
        <v>56052</v>
      </c>
      <c r="G381" s="8">
        <v>15</v>
      </c>
      <c r="H381" s="8" t="s">
        <v>21</v>
      </c>
      <c r="I381" s="8" t="s">
        <v>22</v>
      </c>
      <c r="J381" s="8" t="s">
        <v>22</v>
      </c>
      <c r="K381" s="8" t="s">
        <v>1136</v>
      </c>
      <c r="L381" s="8" t="s">
        <v>38</v>
      </c>
      <c r="M381" s="8" t="s">
        <v>39</v>
      </c>
      <c r="N381" s="8" t="s">
        <v>1901</v>
      </c>
      <c r="O381" s="8">
        <f>1+7/60+17.6/3600</f>
        <v>1.1215555555555556</v>
      </c>
      <c r="P381" s="8" t="s">
        <v>1902</v>
      </c>
      <c r="Q381" s="8">
        <f>+(32+28/60+58/3600)</f>
        <v>32.482777777777777</v>
      </c>
      <c r="R381" s="8">
        <v>12.5</v>
      </c>
      <c r="S381" s="8">
        <v>13.6</v>
      </c>
      <c r="T381" s="8">
        <v>1.1000000000000001</v>
      </c>
      <c r="U381" s="8">
        <v>13.1</v>
      </c>
      <c r="V381" s="8">
        <v>1.3</v>
      </c>
      <c r="W381" s="8">
        <v>1.3</v>
      </c>
      <c r="Y381" s="8" t="s">
        <v>364</v>
      </c>
      <c r="Z381" s="8" t="s">
        <v>365</v>
      </c>
    </row>
    <row r="382" spans="1:26" x14ac:dyDescent="0.2">
      <c r="A382" s="8">
        <v>381</v>
      </c>
      <c r="B382" s="8" t="s">
        <v>1903</v>
      </c>
      <c r="C382" s="8" t="s">
        <v>1903</v>
      </c>
      <c r="F382" s="47" t="s">
        <v>56053</v>
      </c>
      <c r="G382" s="8">
        <v>6</v>
      </c>
      <c r="H382" s="8" t="s">
        <v>21</v>
      </c>
      <c r="I382" s="8" t="s">
        <v>557</v>
      </c>
      <c r="J382" s="8" t="s">
        <v>557</v>
      </c>
      <c r="K382" s="8" t="s">
        <v>987</v>
      </c>
      <c r="L382" s="8" t="s">
        <v>559</v>
      </c>
      <c r="M382" s="8" t="s">
        <v>560</v>
      </c>
      <c r="N382" s="8" t="s">
        <v>1904</v>
      </c>
      <c r="O382" s="8">
        <f>1+8/60+20/3600</f>
        <v>1.1388888888888888</v>
      </c>
      <c r="P382" s="8" t="s">
        <v>1905</v>
      </c>
      <c r="Q382" s="8">
        <f>+(61+35/60+0/3600)</f>
        <v>61.583333333333336</v>
      </c>
      <c r="R382" s="8">
        <v>9.3000000000000007</v>
      </c>
      <c r="S382" s="8">
        <v>99</v>
      </c>
      <c r="T382" s="8">
        <v>99</v>
      </c>
      <c r="U382" s="8">
        <v>99</v>
      </c>
      <c r="V382" s="8">
        <v>7</v>
      </c>
      <c r="Y382" s="8" t="s">
        <v>1906</v>
      </c>
      <c r="Z382" s="8" t="s">
        <v>1907</v>
      </c>
    </row>
    <row r="383" spans="1:26" x14ac:dyDescent="0.2">
      <c r="A383" s="8">
        <v>382</v>
      </c>
      <c r="B383" s="8" t="s">
        <v>1908</v>
      </c>
      <c r="C383" s="8" t="s">
        <v>1908</v>
      </c>
      <c r="F383" s="47"/>
      <c r="G383" s="8">
        <v>18</v>
      </c>
      <c r="H383" s="8" t="s">
        <v>21</v>
      </c>
      <c r="I383" s="8" t="s">
        <v>22</v>
      </c>
      <c r="J383" s="8" t="s">
        <v>22</v>
      </c>
      <c r="K383" s="8" t="s">
        <v>460</v>
      </c>
      <c r="L383" s="8" t="s">
        <v>38</v>
      </c>
      <c r="M383" s="8" t="s">
        <v>39</v>
      </c>
      <c r="N383" s="8" t="s">
        <v>1909</v>
      </c>
      <c r="O383" s="8">
        <f>1+7/60+23.9/3600</f>
        <v>1.1233055555555556</v>
      </c>
      <c r="P383" s="8" t="s">
        <v>1910</v>
      </c>
      <c r="Q383" s="8">
        <f>+(32+24/60+12/3600)</f>
        <v>32.403333333333329</v>
      </c>
      <c r="R383" s="8">
        <v>13.2</v>
      </c>
      <c r="S383" s="8">
        <v>14.2</v>
      </c>
      <c r="T383" s="8">
        <v>1</v>
      </c>
      <c r="U383" s="8">
        <v>12.5</v>
      </c>
      <c r="V383" s="8">
        <v>0.7</v>
      </c>
      <c r="W383" s="8">
        <v>0.7</v>
      </c>
      <c r="Y383" s="8" t="s">
        <v>1911</v>
      </c>
      <c r="Z383" s="8" t="s">
        <v>1912</v>
      </c>
    </row>
    <row r="384" spans="1:26" x14ac:dyDescent="0.2">
      <c r="A384" s="8">
        <v>383</v>
      </c>
      <c r="B384" s="8" t="s">
        <v>1913</v>
      </c>
      <c r="C384" s="8" t="s">
        <v>1913</v>
      </c>
      <c r="F384" s="47" t="s">
        <v>56054</v>
      </c>
      <c r="G384" s="8">
        <v>14</v>
      </c>
      <c r="H384" s="8" t="s">
        <v>1914</v>
      </c>
      <c r="I384" s="8" t="s">
        <v>22</v>
      </c>
      <c r="J384" s="8" t="s">
        <v>22</v>
      </c>
      <c r="K384" s="8" t="s">
        <v>58</v>
      </c>
      <c r="L384" s="8" t="s">
        <v>38</v>
      </c>
      <c r="M384" s="8" t="s">
        <v>39</v>
      </c>
      <c r="N384" s="8" t="s">
        <v>1915</v>
      </c>
      <c r="O384" s="8">
        <f>1+7/60+24.9/3600</f>
        <v>1.1235833333333334</v>
      </c>
      <c r="P384" s="8" t="s">
        <v>1916</v>
      </c>
      <c r="Q384" s="8">
        <f>+(32+24/60+44/3600)</f>
        <v>32.412222222222219</v>
      </c>
      <c r="R384" s="8">
        <v>12.2</v>
      </c>
      <c r="S384" s="8">
        <v>13.2</v>
      </c>
      <c r="T384" s="8">
        <v>1</v>
      </c>
      <c r="U384" s="8">
        <v>13.6</v>
      </c>
      <c r="V384" s="8">
        <v>2</v>
      </c>
      <c r="W384" s="8">
        <v>1.7</v>
      </c>
      <c r="X384" s="8">
        <v>30</v>
      </c>
      <c r="Y384" s="8" t="s">
        <v>1917</v>
      </c>
      <c r="Z384" s="8" t="s">
        <v>1918</v>
      </c>
    </row>
    <row r="385" spans="1:26" x14ac:dyDescent="0.2">
      <c r="A385" s="8">
        <v>384</v>
      </c>
      <c r="B385" s="8" t="s">
        <v>1919</v>
      </c>
      <c r="C385" s="8" t="s">
        <v>1919</v>
      </c>
      <c r="F385" s="47"/>
      <c r="G385" s="8">
        <v>17</v>
      </c>
      <c r="H385" s="8" t="s">
        <v>21</v>
      </c>
      <c r="I385" s="8" t="s">
        <v>22</v>
      </c>
      <c r="J385" s="8" t="s">
        <v>22</v>
      </c>
      <c r="K385" s="8" t="s">
        <v>382</v>
      </c>
      <c r="L385" s="8" t="s">
        <v>38</v>
      </c>
      <c r="M385" s="8" t="s">
        <v>39</v>
      </c>
      <c r="N385" s="8" t="s">
        <v>1920</v>
      </c>
      <c r="O385" s="8">
        <f>1+7/60+25/3600</f>
        <v>1.1236111111111111</v>
      </c>
      <c r="P385" s="8" t="s">
        <v>1921</v>
      </c>
      <c r="Q385" s="8">
        <f>+(32+17/60+34/3600)</f>
        <v>32.292777777777779</v>
      </c>
      <c r="R385" s="8">
        <v>13.1</v>
      </c>
      <c r="S385" s="8">
        <v>14.1</v>
      </c>
      <c r="T385" s="8">
        <v>1</v>
      </c>
      <c r="U385" s="8">
        <v>13.1</v>
      </c>
      <c r="V385" s="8">
        <v>1.1000000000000001</v>
      </c>
      <c r="W385" s="8">
        <v>0.8</v>
      </c>
      <c r="X385" s="8">
        <v>135</v>
      </c>
      <c r="Y385" s="8" t="s">
        <v>1922</v>
      </c>
      <c r="Z385" s="8" t="s">
        <v>1923</v>
      </c>
    </row>
    <row r="386" spans="1:26" x14ac:dyDescent="0.2">
      <c r="A386" s="8">
        <v>385</v>
      </c>
      <c r="B386" s="8" t="s">
        <v>1924</v>
      </c>
      <c r="C386" s="8" t="s">
        <v>1924</v>
      </c>
      <c r="F386" s="47"/>
      <c r="G386" s="8">
        <v>17</v>
      </c>
      <c r="H386" s="8" t="s">
        <v>21</v>
      </c>
      <c r="I386" s="8" t="s">
        <v>22</v>
      </c>
      <c r="J386" s="8" t="s">
        <v>22</v>
      </c>
      <c r="K386" s="8" t="s">
        <v>58</v>
      </c>
      <c r="L386" s="8" t="s">
        <v>38</v>
      </c>
      <c r="M386" s="8" t="s">
        <v>39</v>
      </c>
      <c r="N386" s="8" t="s">
        <v>1925</v>
      </c>
      <c r="O386" s="8">
        <f>1+7/60+27.2/3600</f>
        <v>1.1242222222222222</v>
      </c>
      <c r="P386" s="8" t="s">
        <v>1926</v>
      </c>
      <c r="Q386" s="8">
        <f>+(32+19/60+10/3600)</f>
        <v>32.31944444444445</v>
      </c>
      <c r="R386" s="8">
        <v>13</v>
      </c>
      <c r="S386" s="8">
        <v>13.9</v>
      </c>
      <c r="T386" s="8">
        <v>0.9</v>
      </c>
      <c r="U386" s="8">
        <v>12.9</v>
      </c>
      <c r="V386" s="8">
        <v>1.1000000000000001</v>
      </c>
      <c r="W386" s="8">
        <v>1</v>
      </c>
      <c r="X386" s="8">
        <v>147</v>
      </c>
      <c r="Y386" s="8" t="s">
        <v>1927</v>
      </c>
      <c r="Z386" s="8" t="s">
        <v>1928</v>
      </c>
    </row>
    <row r="387" spans="1:26" x14ac:dyDescent="0.2">
      <c r="A387" s="8">
        <v>386</v>
      </c>
      <c r="B387" s="8" t="s">
        <v>1929</v>
      </c>
      <c r="C387" s="8" t="s">
        <v>1929</v>
      </c>
      <c r="F387" s="47"/>
      <c r="G387" s="8">
        <v>18</v>
      </c>
      <c r="H387" s="8" t="s">
        <v>21</v>
      </c>
      <c r="I387" s="8" t="s">
        <v>22</v>
      </c>
      <c r="J387" s="8" t="s">
        <v>22</v>
      </c>
      <c r="K387" s="8" t="s">
        <v>382</v>
      </c>
      <c r="L387" s="8" t="s">
        <v>38</v>
      </c>
      <c r="M387" s="8" t="s">
        <v>39</v>
      </c>
      <c r="N387" s="8" t="s">
        <v>1930</v>
      </c>
      <c r="O387" s="8">
        <f>1+7/60+31.2/3600</f>
        <v>1.1253333333333333</v>
      </c>
      <c r="P387" s="8" t="s">
        <v>1931</v>
      </c>
      <c r="Q387" s="8">
        <f>+(32+21/60+45/3600)</f>
        <v>32.362500000000004</v>
      </c>
      <c r="R387" s="8">
        <v>14.3</v>
      </c>
      <c r="S387" s="8">
        <v>15.3</v>
      </c>
      <c r="T387" s="8">
        <v>1</v>
      </c>
      <c r="U387" s="8">
        <v>14</v>
      </c>
      <c r="V387" s="8">
        <v>0.4</v>
      </c>
      <c r="W387" s="8">
        <v>0.3</v>
      </c>
      <c r="X387" s="8">
        <v>9</v>
      </c>
      <c r="Y387" s="8" t="s">
        <v>1932</v>
      </c>
      <c r="Z387" s="8" t="s">
        <v>1933</v>
      </c>
    </row>
    <row r="388" spans="1:26" x14ac:dyDescent="0.2">
      <c r="A388" s="8">
        <v>387</v>
      </c>
      <c r="B388" s="8" t="s">
        <v>1934</v>
      </c>
      <c r="C388" s="8" t="s">
        <v>1934</v>
      </c>
      <c r="F388" s="47"/>
      <c r="G388" s="8">
        <v>18</v>
      </c>
      <c r="H388" s="8" t="s">
        <v>21</v>
      </c>
      <c r="I388" s="8" t="s">
        <v>22</v>
      </c>
      <c r="J388" s="8" t="s">
        <v>22</v>
      </c>
      <c r="K388" s="8" t="s">
        <v>460</v>
      </c>
      <c r="L388" s="8" t="s">
        <v>38</v>
      </c>
      <c r="M388" s="8" t="s">
        <v>39</v>
      </c>
      <c r="N388" s="8" t="s">
        <v>1935</v>
      </c>
      <c r="O388" s="8">
        <f>1+7/60+33/3600</f>
        <v>1.1258333333333335</v>
      </c>
      <c r="P388" s="8" t="s">
        <v>1936</v>
      </c>
      <c r="Q388" s="8">
        <f>+(32+23/60+27/3600)</f>
        <v>32.390833333333333</v>
      </c>
      <c r="R388" s="8">
        <v>15.5</v>
      </c>
      <c r="S388" s="8">
        <v>16.5</v>
      </c>
      <c r="T388" s="8">
        <v>1</v>
      </c>
      <c r="U388" s="8">
        <v>13.6</v>
      </c>
      <c r="V388" s="8">
        <v>0.4</v>
      </c>
      <c r="W388" s="8">
        <v>0.4</v>
      </c>
      <c r="Y388" s="8" t="s">
        <v>170</v>
      </c>
      <c r="Z388" s="8" t="s">
        <v>171</v>
      </c>
    </row>
    <row r="389" spans="1:26" x14ac:dyDescent="0.2">
      <c r="A389" s="8">
        <v>388</v>
      </c>
      <c r="B389" s="8" t="s">
        <v>1937</v>
      </c>
      <c r="C389" s="8" t="s">
        <v>1937</v>
      </c>
      <c r="F389" s="47"/>
      <c r="G389" s="8">
        <v>18</v>
      </c>
      <c r="H389" s="8" t="s">
        <v>21</v>
      </c>
      <c r="I389" s="8" t="s">
        <v>22</v>
      </c>
      <c r="J389" s="8" t="s">
        <v>22</v>
      </c>
      <c r="K389" s="8" t="s">
        <v>183</v>
      </c>
      <c r="L389" s="8" t="s">
        <v>38</v>
      </c>
      <c r="M389" s="8" t="s">
        <v>39</v>
      </c>
      <c r="N389" s="8" t="s">
        <v>1938</v>
      </c>
      <c r="O389" s="8">
        <f>1+7/60+47.1/3600</f>
        <v>1.12975</v>
      </c>
      <c r="P389" s="8" t="s">
        <v>1939</v>
      </c>
      <c r="Q389" s="8">
        <f>+(32+18/60+38/3600)</f>
        <v>32.310555555555553</v>
      </c>
      <c r="R389" s="8">
        <v>14.3</v>
      </c>
      <c r="S389" s="8">
        <v>15.4</v>
      </c>
      <c r="T389" s="8">
        <v>1.1000000000000001</v>
      </c>
      <c r="U389" s="8">
        <v>14</v>
      </c>
      <c r="V389" s="8">
        <v>0.6</v>
      </c>
      <c r="W389" s="8">
        <v>0.3</v>
      </c>
      <c r="X389" s="8">
        <v>165</v>
      </c>
      <c r="Y389" s="8" t="s">
        <v>170</v>
      </c>
      <c r="Z389" s="8" t="s">
        <v>171</v>
      </c>
    </row>
    <row r="390" spans="1:26" x14ac:dyDescent="0.2">
      <c r="A390" s="8">
        <v>389</v>
      </c>
      <c r="B390" s="8" t="s">
        <v>1940</v>
      </c>
      <c r="C390" s="8" t="s">
        <v>1940</v>
      </c>
      <c r="F390" s="47"/>
      <c r="G390" s="8">
        <v>19</v>
      </c>
      <c r="H390" s="8" t="s">
        <v>21</v>
      </c>
      <c r="I390" s="8" t="s">
        <v>22</v>
      </c>
      <c r="J390" s="8" t="s">
        <v>22</v>
      </c>
      <c r="K390" s="8" t="s">
        <v>632</v>
      </c>
      <c r="L390" s="8" t="s">
        <v>51</v>
      </c>
      <c r="M390" s="8" t="s">
        <v>52</v>
      </c>
      <c r="N390" s="8" t="s">
        <v>1941</v>
      </c>
      <c r="O390" s="8">
        <f>1+8/60+29.8/3600</f>
        <v>1.1416111111111111</v>
      </c>
      <c r="P390" s="8" t="s">
        <v>1942</v>
      </c>
      <c r="Q390" s="8">
        <f>+(39+41/60+42/3600)</f>
        <v>39.694999999999993</v>
      </c>
      <c r="R390" s="8">
        <v>14</v>
      </c>
      <c r="S390" s="8">
        <v>14.9</v>
      </c>
      <c r="T390" s="8">
        <v>0.9</v>
      </c>
      <c r="U390" s="8">
        <v>13.2</v>
      </c>
      <c r="V390" s="8">
        <v>1.3</v>
      </c>
      <c r="W390" s="8">
        <v>0.4</v>
      </c>
      <c r="X390" s="8">
        <v>54</v>
      </c>
      <c r="Y390" s="8" t="s">
        <v>1943</v>
      </c>
      <c r="Z390" s="8" t="s">
        <v>1944</v>
      </c>
    </row>
    <row r="391" spans="1:26" x14ac:dyDescent="0.2">
      <c r="A391" s="8">
        <v>390</v>
      </c>
      <c r="B391" s="8" t="s">
        <v>1945</v>
      </c>
      <c r="C391" s="8" t="s">
        <v>1945</v>
      </c>
      <c r="F391" s="47"/>
      <c r="G391" s="8">
        <v>19</v>
      </c>
      <c r="H391" s="8" t="s">
        <v>21</v>
      </c>
      <c r="I391" s="8" t="s">
        <v>72</v>
      </c>
      <c r="J391" s="8" t="s">
        <v>72</v>
      </c>
      <c r="K391" s="8" t="s">
        <v>20</v>
      </c>
      <c r="L391" s="8" t="s">
        <v>38</v>
      </c>
      <c r="M391" s="8" t="s">
        <v>39</v>
      </c>
      <c r="N391" s="8" t="s">
        <v>1946</v>
      </c>
      <c r="O391" s="8">
        <f>1+7/60+53.7/3600</f>
        <v>1.1315833333333334</v>
      </c>
      <c r="P391" s="8" t="s">
        <v>1947</v>
      </c>
      <c r="Q391" s="8">
        <f>+(32+26/60+1/3600)</f>
        <v>32.433611111111105</v>
      </c>
      <c r="R391" s="8">
        <v>99</v>
      </c>
      <c r="S391" s="8">
        <v>99</v>
      </c>
      <c r="T391" s="8">
        <v>99</v>
      </c>
      <c r="U391" s="8">
        <v>99</v>
      </c>
      <c r="Y391" s="8" t="s">
        <v>1948</v>
      </c>
      <c r="Z391" s="8" t="s">
        <v>1949</v>
      </c>
    </row>
    <row r="392" spans="1:26" x14ac:dyDescent="0.2">
      <c r="A392" s="8">
        <v>391</v>
      </c>
      <c r="B392" s="8" t="s">
        <v>1950</v>
      </c>
      <c r="C392" s="8" t="s">
        <v>1950</v>
      </c>
      <c r="F392" s="47"/>
      <c r="G392" s="8">
        <v>17</v>
      </c>
      <c r="H392" s="8" t="s">
        <v>21</v>
      </c>
      <c r="I392" s="8" t="s">
        <v>22</v>
      </c>
      <c r="J392" s="8" t="s">
        <v>22</v>
      </c>
      <c r="K392" s="8" t="s">
        <v>58</v>
      </c>
      <c r="L392" s="8" t="s">
        <v>125</v>
      </c>
      <c r="M392" s="8" t="s">
        <v>126</v>
      </c>
      <c r="N392" s="8" t="s">
        <v>1951</v>
      </c>
      <c r="O392" s="8">
        <f>1+7/60+22.5/3600</f>
        <v>1.1229166666666668</v>
      </c>
      <c r="P392" s="8" t="s">
        <v>1952</v>
      </c>
      <c r="Q392" s="8">
        <f>+(0+55/60+33/3600)</f>
        <v>0.92583333333333329</v>
      </c>
      <c r="R392" s="8">
        <v>13.5</v>
      </c>
      <c r="S392" s="8">
        <v>14.5</v>
      </c>
      <c r="T392" s="8">
        <v>1</v>
      </c>
      <c r="U392" s="8">
        <v>13.1</v>
      </c>
      <c r="V392" s="8">
        <v>0.9</v>
      </c>
      <c r="W392" s="8">
        <v>0.7</v>
      </c>
      <c r="X392" s="8">
        <v>45</v>
      </c>
      <c r="Y392" s="8" t="s">
        <v>1953</v>
      </c>
      <c r="Z392" s="8" t="s">
        <v>1954</v>
      </c>
    </row>
    <row r="393" spans="1:26" x14ac:dyDescent="0.2">
      <c r="A393" s="8">
        <v>392</v>
      </c>
      <c r="B393" s="8" t="s">
        <v>1955</v>
      </c>
      <c r="C393" s="8" t="s">
        <v>1955</v>
      </c>
      <c r="F393" s="47" t="s">
        <v>56055</v>
      </c>
      <c r="G393" s="8">
        <v>15</v>
      </c>
      <c r="H393" s="8" t="s">
        <v>21</v>
      </c>
      <c r="I393" s="8" t="s">
        <v>22</v>
      </c>
      <c r="J393" s="8" t="s">
        <v>22</v>
      </c>
      <c r="K393" s="8" t="s">
        <v>58</v>
      </c>
      <c r="L393" s="8" t="s">
        <v>38</v>
      </c>
      <c r="M393" s="8" t="s">
        <v>39</v>
      </c>
      <c r="N393" s="8" t="s">
        <v>1956</v>
      </c>
      <c r="O393" s="8">
        <f>1+8/60+23.3/3600</f>
        <v>1.1398055555555555</v>
      </c>
      <c r="P393" s="8" t="s">
        <v>1957</v>
      </c>
      <c r="Q393" s="8">
        <f>+(33+8/60+0/3600)</f>
        <v>33.133333333333333</v>
      </c>
      <c r="R393" s="8">
        <v>12.7</v>
      </c>
      <c r="S393" s="8">
        <v>13.7</v>
      </c>
      <c r="T393" s="8">
        <v>1</v>
      </c>
      <c r="U393" s="8">
        <v>12.7</v>
      </c>
      <c r="V393" s="8">
        <v>1.2</v>
      </c>
      <c r="W393" s="8">
        <v>0.9</v>
      </c>
      <c r="X393" s="8">
        <v>50</v>
      </c>
      <c r="Y393" s="8" t="s">
        <v>1958</v>
      </c>
      <c r="Z393" s="8" t="s">
        <v>1959</v>
      </c>
    </row>
    <row r="394" spans="1:26" x14ac:dyDescent="0.2">
      <c r="A394" s="8">
        <v>393</v>
      </c>
      <c r="B394" s="8" t="s">
        <v>1960</v>
      </c>
      <c r="C394" s="8" t="s">
        <v>1960</v>
      </c>
      <c r="F394" s="47" t="s">
        <v>56056</v>
      </c>
      <c r="G394" s="8">
        <v>15</v>
      </c>
      <c r="H394" s="8" t="s">
        <v>21</v>
      </c>
      <c r="I394" s="8" t="s">
        <v>22</v>
      </c>
      <c r="J394" s="8" t="s">
        <v>22</v>
      </c>
      <c r="K394" s="8" t="s">
        <v>58</v>
      </c>
      <c r="L394" s="8" t="s">
        <v>51</v>
      </c>
      <c r="M394" s="8" t="s">
        <v>52</v>
      </c>
      <c r="N394" s="8" t="s">
        <v>1961</v>
      </c>
      <c r="O394" s="8">
        <f>1+8/60+36.9/3600</f>
        <v>1.1435833333333334</v>
      </c>
      <c r="P394" s="8" t="s">
        <v>1962</v>
      </c>
      <c r="Q394" s="8">
        <f>+(39+38/60+38/3600)</f>
        <v>39.643888888888888</v>
      </c>
      <c r="R394" s="8">
        <v>12.5</v>
      </c>
      <c r="S394" s="8">
        <v>13.6</v>
      </c>
      <c r="T394" s="8">
        <v>1.1000000000000001</v>
      </c>
      <c r="U394" s="8">
        <v>13.4</v>
      </c>
      <c r="V394" s="8">
        <v>1.7</v>
      </c>
      <c r="W394" s="8">
        <v>1.4</v>
      </c>
      <c r="X394" s="8">
        <v>29</v>
      </c>
      <c r="Y394" s="8" t="s">
        <v>1963</v>
      </c>
      <c r="Z394" s="8" t="s">
        <v>1964</v>
      </c>
    </row>
    <row r="395" spans="1:26" x14ac:dyDescent="0.2">
      <c r="A395" s="8">
        <v>394</v>
      </c>
      <c r="B395" s="8" t="s">
        <v>1965</v>
      </c>
      <c r="C395" s="8" t="s">
        <v>1965</v>
      </c>
      <c r="F395" s="47"/>
      <c r="G395" s="8">
        <v>18</v>
      </c>
      <c r="H395" s="8" t="s">
        <v>21</v>
      </c>
      <c r="I395" s="8" t="s">
        <v>22</v>
      </c>
      <c r="J395" s="8" t="s">
        <v>22</v>
      </c>
      <c r="K395" s="8" t="s">
        <v>37</v>
      </c>
      <c r="L395" s="8" t="s">
        <v>38</v>
      </c>
      <c r="M395" s="8" t="s">
        <v>39</v>
      </c>
      <c r="N395" s="8" t="s">
        <v>1966</v>
      </c>
      <c r="O395" s="8">
        <f>1+8/60+26.1/3600</f>
        <v>1.1405833333333333</v>
      </c>
      <c r="P395" s="8" t="s">
        <v>1967</v>
      </c>
      <c r="Q395" s="8">
        <f>+(33+8/60+52/3600)</f>
        <v>33.147777777777776</v>
      </c>
      <c r="R395" s="8">
        <v>13.8</v>
      </c>
      <c r="S395" s="8">
        <v>14.8</v>
      </c>
      <c r="T395" s="8">
        <v>1</v>
      </c>
      <c r="U395" s="8">
        <v>12.3</v>
      </c>
      <c r="V395" s="8">
        <v>0.6</v>
      </c>
      <c r="W395" s="8">
        <v>0.3</v>
      </c>
      <c r="X395" s="8">
        <v>129</v>
      </c>
      <c r="Y395" s="8" t="s">
        <v>1968</v>
      </c>
      <c r="Z395" s="8" t="s">
        <v>1969</v>
      </c>
    </row>
    <row r="396" spans="1:26" x14ac:dyDescent="0.2">
      <c r="A396" s="8">
        <v>395</v>
      </c>
      <c r="B396" s="8" t="s">
        <v>1970</v>
      </c>
      <c r="C396" s="8" t="s">
        <v>1970</v>
      </c>
      <c r="F396" s="47"/>
      <c r="G396" s="8">
        <v>16</v>
      </c>
      <c r="H396" s="8" t="s">
        <v>21</v>
      </c>
      <c r="I396" s="8" t="s">
        <v>557</v>
      </c>
      <c r="J396" s="8" t="s">
        <v>557</v>
      </c>
      <c r="K396" s="8" t="s">
        <v>1816</v>
      </c>
      <c r="L396" s="8" t="s">
        <v>310</v>
      </c>
      <c r="M396" s="8" t="s">
        <v>311</v>
      </c>
      <c r="N396" s="8" t="s">
        <v>1971</v>
      </c>
      <c r="O396" s="8">
        <f>1+5/60+7.3/3600</f>
        <v>1.085361111111111</v>
      </c>
      <c r="P396" s="8" t="s">
        <v>1972</v>
      </c>
      <c r="Q396" s="8">
        <f>-(71+59/60+39/3600)</f>
        <v>-71.994166666666672</v>
      </c>
      <c r="R396" s="8">
        <v>99</v>
      </c>
      <c r="S396" s="8">
        <v>99</v>
      </c>
      <c r="T396" s="8">
        <v>99</v>
      </c>
      <c r="U396" s="8">
        <v>99</v>
      </c>
      <c r="V396" s="8">
        <v>17</v>
      </c>
      <c r="Y396" s="8" t="s">
        <v>1973</v>
      </c>
      <c r="Z396" s="8" t="s">
        <v>1974</v>
      </c>
    </row>
    <row r="397" spans="1:26" x14ac:dyDescent="0.2">
      <c r="A397" s="8">
        <v>396</v>
      </c>
      <c r="B397" s="8" t="s">
        <v>1975</v>
      </c>
      <c r="C397" s="8" t="s">
        <v>1975</v>
      </c>
      <c r="F397" s="47"/>
      <c r="G397" s="8">
        <v>18</v>
      </c>
      <c r="H397" s="8" t="s">
        <v>21</v>
      </c>
      <c r="I397" s="8" t="s">
        <v>22</v>
      </c>
      <c r="J397" s="8" t="s">
        <v>22</v>
      </c>
      <c r="K397" s="8" t="s">
        <v>449</v>
      </c>
      <c r="L397" s="8" t="s">
        <v>38</v>
      </c>
      <c r="M397" s="8" t="s">
        <v>39</v>
      </c>
      <c r="N397" s="8" t="s">
        <v>1976</v>
      </c>
      <c r="O397" s="8">
        <f>1+8/60+8.5/3600</f>
        <v>1.1356944444444443</v>
      </c>
      <c r="P397" s="8" t="s">
        <v>1977</v>
      </c>
      <c r="Q397" s="8">
        <f>+(4+31/60+51/3600)</f>
        <v>4.5308333333333337</v>
      </c>
      <c r="R397" s="8">
        <v>15.7</v>
      </c>
      <c r="S397" s="8">
        <v>16.5</v>
      </c>
      <c r="T397" s="8">
        <v>0.8</v>
      </c>
      <c r="U397" s="8">
        <v>13.2</v>
      </c>
      <c r="V397" s="8">
        <v>0.4</v>
      </c>
      <c r="W397" s="8">
        <v>0.3</v>
      </c>
      <c r="X397" s="8">
        <v>70</v>
      </c>
      <c r="Y397" s="8" t="s">
        <v>146</v>
      </c>
      <c r="Z397" s="8" t="s">
        <v>147</v>
      </c>
    </row>
    <row r="398" spans="1:26" x14ac:dyDescent="0.2">
      <c r="A398" s="8">
        <v>397</v>
      </c>
      <c r="B398" s="8" t="s">
        <v>1978</v>
      </c>
      <c r="C398" s="8" t="s">
        <v>1978</v>
      </c>
      <c r="F398" s="47"/>
      <c r="G398" s="8">
        <v>18</v>
      </c>
      <c r="H398" s="8" t="s">
        <v>21</v>
      </c>
      <c r="I398" s="8" t="s">
        <v>22</v>
      </c>
      <c r="J398" s="8" t="s">
        <v>22</v>
      </c>
      <c r="K398" s="8" t="s">
        <v>818</v>
      </c>
      <c r="L398" s="8" t="s">
        <v>38</v>
      </c>
      <c r="M398" s="8" t="s">
        <v>39</v>
      </c>
      <c r="N398" s="8" t="s">
        <v>1979</v>
      </c>
      <c r="O398" s="8">
        <f>1+8/60+31/3600</f>
        <v>1.1419444444444444</v>
      </c>
      <c r="P398" s="8" t="s">
        <v>1980</v>
      </c>
      <c r="Q398" s="8">
        <f>+(33+6/60+35/3600)</f>
        <v>33.109722222222224</v>
      </c>
      <c r="R398" s="8">
        <v>14.8</v>
      </c>
      <c r="S398" s="8">
        <v>15.8</v>
      </c>
      <c r="T398" s="8">
        <v>1</v>
      </c>
      <c r="U398" s="8">
        <v>13.7</v>
      </c>
      <c r="V398" s="8">
        <v>0.7</v>
      </c>
      <c r="W398" s="8">
        <v>0.5</v>
      </c>
      <c r="X398" s="8">
        <v>54</v>
      </c>
      <c r="Y398" s="8" t="s">
        <v>1981</v>
      </c>
      <c r="Z398" s="8" t="s">
        <v>1982</v>
      </c>
    </row>
    <row r="399" spans="1:26" x14ac:dyDescent="0.2">
      <c r="A399" s="8">
        <v>398</v>
      </c>
      <c r="B399" s="8" t="s">
        <v>1983</v>
      </c>
      <c r="C399" s="8" t="s">
        <v>1983</v>
      </c>
      <c r="F399" s="47"/>
      <c r="G399" s="8">
        <v>19</v>
      </c>
      <c r="H399" s="8" t="s">
        <v>21</v>
      </c>
      <c r="I399" s="8" t="s">
        <v>22</v>
      </c>
      <c r="J399" s="8" t="s">
        <v>22</v>
      </c>
      <c r="K399" s="8" t="s">
        <v>37</v>
      </c>
      <c r="L399" s="8" t="s">
        <v>38</v>
      </c>
      <c r="M399" s="8" t="s">
        <v>39</v>
      </c>
      <c r="N399" s="8" t="s">
        <v>1984</v>
      </c>
      <c r="O399" s="8">
        <f>1+8/60+53.6/3600</f>
        <v>1.1482222222222223</v>
      </c>
      <c r="P399" s="8" t="s">
        <v>1985</v>
      </c>
      <c r="Q399" s="8">
        <f>+(32+30/60+54/3600)</f>
        <v>32.515000000000001</v>
      </c>
      <c r="R399" s="8">
        <v>14.5</v>
      </c>
      <c r="S399" s="8">
        <v>15.5</v>
      </c>
      <c r="T399" s="8">
        <v>1</v>
      </c>
      <c r="U399" s="8">
        <v>13.4</v>
      </c>
      <c r="V399" s="8">
        <v>0.8</v>
      </c>
      <c r="W399" s="8">
        <v>0.5</v>
      </c>
      <c r="X399" s="8">
        <v>144</v>
      </c>
      <c r="Y399" s="8" t="s">
        <v>1948</v>
      </c>
      <c r="Z399" s="8" t="s">
        <v>1949</v>
      </c>
    </row>
    <row r="400" spans="1:26" x14ac:dyDescent="0.2">
      <c r="A400" s="8">
        <v>399</v>
      </c>
      <c r="B400" s="8" t="s">
        <v>1986</v>
      </c>
      <c r="C400" s="8" t="s">
        <v>1986</v>
      </c>
      <c r="F400" s="47"/>
      <c r="G400" s="8">
        <v>18</v>
      </c>
      <c r="H400" s="8" t="s">
        <v>21</v>
      </c>
      <c r="I400" s="8" t="s">
        <v>22</v>
      </c>
      <c r="J400" s="8" t="s">
        <v>22</v>
      </c>
      <c r="K400" s="8" t="s">
        <v>154</v>
      </c>
      <c r="L400" s="8" t="s">
        <v>38</v>
      </c>
      <c r="M400" s="8" t="s">
        <v>39</v>
      </c>
      <c r="N400" s="8" t="s">
        <v>1987</v>
      </c>
      <c r="O400" s="8">
        <f>1+8/60+59.1/3600</f>
        <v>1.14975</v>
      </c>
      <c r="P400" s="8" t="s">
        <v>1988</v>
      </c>
      <c r="Q400" s="8">
        <f>+(32+38/60+1/3600)</f>
        <v>32.633611111111108</v>
      </c>
      <c r="R400" s="8">
        <v>13.5</v>
      </c>
      <c r="S400" s="8">
        <v>14.4</v>
      </c>
      <c r="T400" s="8">
        <v>0.9</v>
      </c>
      <c r="U400" s="8">
        <v>13.3</v>
      </c>
      <c r="V400" s="8">
        <v>0.9</v>
      </c>
      <c r="W400" s="8">
        <v>0.7</v>
      </c>
      <c r="X400" s="8">
        <v>40</v>
      </c>
      <c r="Y400" s="8" t="s">
        <v>170</v>
      </c>
      <c r="Z400" s="8" t="s">
        <v>171</v>
      </c>
    </row>
    <row r="401" spans="1:26" x14ac:dyDescent="0.2">
      <c r="A401" s="8">
        <v>400</v>
      </c>
      <c r="B401" s="8" t="s">
        <v>1989</v>
      </c>
      <c r="C401" s="8" t="s">
        <v>1989</v>
      </c>
      <c r="F401" s="47"/>
      <c r="G401" s="8">
        <v>18</v>
      </c>
      <c r="H401" s="8" t="s">
        <v>21</v>
      </c>
      <c r="I401" s="8" t="s">
        <v>72</v>
      </c>
      <c r="J401" s="8" t="s">
        <v>72</v>
      </c>
      <c r="K401" s="8" t="s">
        <v>20</v>
      </c>
      <c r="L401" s="8" t="s">
        <v>38</v>
      </c>
      <c r="M401" s="8" t="s">
        <v>39</v>
      </c>
      <c r="N401" s="8" t="s">
        <v>1990</v>
      </c>
      <c r="O401" s="8">
        <f>1+9/60+2.5/3600</f>
        <v>1.1506944444444445</v>
      </c>
      <c r="P401" s="8" t="s">
        <v>1991</v>
      </c>
      <c r="Q401" s="8">
        <f>+(32+43/60+59/3600)</f>
        <v>32.733055555555559</v>
      </c>
      <c r="R401" s="8">
        <v>99</v>
      </c>
      <c r="S401" s="8">
        <v>99</v>
      </c>
      <c r="T401" s="8">
        <v>99</v>
      </c>
      <c r="U401" s="8">
        <v>99</v>
      </c>
      <c r="Y401" s="8" t="s">
        <v>1992</v>
      </c>
      <c r="Z401" s="8" t="s">
        <v>1993</v>
      </c>
    </row>
    <row r="402" spans="1:26" x14ac:dyDescent="0.2">
      <c r="A402" s="8">
        <v>401</v>
      </c>
      <c r="B402" s="8" t="s">
        <v>1994</v>
      </c>
      <c r="C402" s="8" t="s">
        <v>1994</v>
      </c>
      <c r="F402" s="47"/>
      <c r="G402" s="8">
        <v>18</v>
      </c>
      <c r="H402" s="8" t="s">
        <v>21</v>
      </c>
      <c r="I402" s="8" t="s">
        <v>72</v>
      </c>
      <c r="J402" s="8" t="s">
        <v>72</v>
      </c>
      <c r="K402" s="8" t="s">
        <v>20</v>
      </c>
      <c r="L402" s="8" t="s">
        <v>38</v>
      </c>
      <c r="M402" s="8" t="s">
        <v>39</v>
      </c>
      <c r="N402" s="8" t="s">
        <v>1995</v>
      </c>
      <c r="O402" s="8">
        <f>1+9/60+7.7/3600</f>
        <v>1.1521388888888888</v>
      </c>
      <c r="P402" s="8" t="s">
        <v>1996</v>
      </c>
      <c r="Q402" s="8">
        <f>+(32+45/60+36/3600)</f>
        <v>32.76</v>
      </c>
      <c r="R402" s="8">
        <v>99</v>
      </c>
      <c r="S402" s="8">
        <v>99</v>
      </c>
      <c r="T402" s="8">
        <v>99</v>
      </c>
      <c r="U402" s="8">
        <v>99</v>
      </c>
      <c r="Y402" s="8" t="s">
        <v>1997</v>
      </c>
      <c r="Z402" s="8" t="s">
        <v>1998</v>
      </c>
    </row>
    <row r="403" spans="1:26" x14ac:dyDescent="0.2">
      <c r="A403" s="8">
        <v>402</v>
      </c>
      <c r="B403" s="8" t="s">
        <v>1999</v>
      </c>
      <c r="C403" s="8" t="s">
        <v>1999</v>
      </c>
      <c r="F403" s="47"/>
      <c r="G403" s="8">
        <v>18</v>
      </c>
      <c r="H403" s="8" t="s">
        <v>21</v>
      </c>
      <c r="I403" s="8" t="s">
        <v>72</v>
      </c>
      <c r="J403" s="8" t="s">
        <v>72</v>
      </c>
      <c r="K403" s="8" t="s">
        <v>20</v>
      </c>
      <c r="L403" s="8" t="s">
        <v>38</v>
      </c>
      <c r="M403" s="8" t="s">
        <v>39</v>
      </c>
      <c r="N403" s="8" t="s">
        <v>2000</v>
      </c>
      <c r="O403" s="8">
        <f>1+9/60+13.4/3600</f>
        <v>1.1537222222222221</v>
      </c>
      <c r="P403" s="8" t="s">
        <v>2001</v>
      </c>
      <c r="Q403" s="8">
        <f>+(32+48/60+21/3600)</f>
        <v>32.805833333333332</v>
      </c>
      <c r="R403" s="8">
        <v>99</v>
      </c>
      <c r="S403" s="8">
        <v>99</v>
      </c>
      <c r="T403" s="8">
        <v>99</v>
      </c>
      <c r="U403" s="8">
        <v>99</v>
      </c>
      <c r="Y403" s="8" t="s">
        <v>2002</v>
      </c>
      <c r="Z403" s="8" t="s">
        <v>2003</v>
      </c>
    </row>
    <row r="404" spans="1:26" x14ac:dyDescent="0.2">
      <c r="A404" s="8">
        <v>403</v>
      </c>
      <c r="B404" s="8" t="s">
        <v>2004</v>
      </c>
      <c r="C404" s="8" t="s">
        <v>2004</v>
      </c>
      <c r="F404" s="47"/>
      <c r="G404" s="8">
        <v>18</v>
      </c>
      <c r="H404" s="8" t="s">
        <v>21</v>
      </c>
      <c r="I404" s="8" t="s">
        <v>22</v>
      </c>
      <c r="J404" s="8" t="s">
        <v>22</v>
      </c>
      <c r="K404" s="8" t="s">
        <v>632</v>
      </c>
      <c r="L404" s="8" t="s">
        <v>38</v>
      </c>
      <c r="M404" s="8" t="s">
        <v>39</v>
      </c>
      <c r="N404" s="8" t="s">
        <v>2005</v>
      </c>
      <c r="O404" s="8">
        <f>1+9/60+14.2/3600</f>
        <v>1.1539444444444444</v>
      </c>
      <c r="P404" s="8" t="s">
        <v>2006</v>
      </c>
      <c r="Q404" s="8">
        <f>+(32+45/60+6/3600)</f>
        <v>32.751666666666665</v>
      </c>
      <c r="R404" s="8">
        <v>12.5</v>
      </c>
      <c r="S404" s="8">
        <v>13.4</v>
      </c>
      <c r="T404" s="8">
        <v>0.9</v>
      </c>
      <c r="U404" s="8">
        <v>12.5</v>
      </c>
      <c r="V404" s="8">
        <v>1.8</v>
      </c>
      <c r="W404" s="8">
        <v>0.6</v>
      </c>
      <c r="X404" s="8">
        <v>86</v>
      </c>
      <c r="Y404" s="8" t="s">
        <v>2007</v>
      </c>
      <c r="Z404" s="8" t="s">
        <v>2008</v>
      </c>
    </row>
    <row r="405" spans="1:26" x14ac:dyDescent="0.2">
      <c r="A405" s="8">
        <v>404</v>
      </c>
      <c r="B405" s="8" t="s">
        <v>2009</v>
      </c>
      <c r="C405" s="8" t="s">
        <v>2009</v>
      </c>
      <c r="F405" s="47" t="s">
        <v>56057</v>
      </c>
      <c r="G405" s="8">
        <v>6</v>
      </c>
      <c r="H405" s="8" t="s">
        <v>2010</v>
      </c>
      <c r="I405" s="8" t="s">
        <v>22</v>
      </c>
      <c r="J405" s="8" t="s">
        <v>22</v>
      </c>
      <c r="K405" s="8" t="s">
        <v>58</v>
      </c>
      <c r="L405" s="8" t="s">
        <v>51</v>
      </c>
      <c r="M405" s="8" t="s">
        <v>52</v>
      </c>
      <c r="N405" s="8" t="s">
        <v>2011</v>
      </c>
      <c r="O405" s="8">
        <f>1+9/60+26.9/3600</f>
        <v>1.1574722222222222</v>
      </c>
      <c r="P405" s="8" t="s">
        <v>2012</v>
      </c>
      <c r="Q405" s="8">
        <f>+(35+43/60+6/3600)</f>
        <v>35.718333333333334</v>
      </c>
      <c r="R405" s="8">
        <v>10.3</v>
      </c>
      <c r="S405" s="8">
        <v>11.2</v>
      </c>
      <c r="T405" s="8">
        <v>0.9</v>
      </c>
      <c r="U405" s="8">
        <v>12.8</v>
      </c>
      <c r="V405" s="8">
        <v>3.5</v>
      </c>
      <c r="W405" s="8">
        <v>3.5</v>
      </c>
      <c r="Y405" s="8" t="s">
        <v>2013</v>
      </c>
      <c r="Z405" s="8" t="s">
        <v>2014</v>
      </c>
    </row>
    <row r="406" spans="1:26" x14ac:dyDescent="0.2">
      <c r="A406" s="8">
        <v>405</v>
      </c>
      <c r="B406" s="8" t="s">
        <v>2015</v>
      </c>
      <c r="C406" s="8" t="s">
        <v>2015</v>
      </c>
      <c r="F406" s="47"/>
      <c r="G406" s="8">
        <v>16</v>
      </c>
      <c r="H406" s="8" t="s">
        <v>21</v>
      </c>
      <c r="I406" s="8" t="s">
        <v>72</v>
      </c>
      <c r="J406" s="8" t="s">
        <v>72</v>
      </c>
      <c r="K406" s="8" t="s">
        <v>20</v>
      </c>
      <c r="L406" s="8" t="s">
        <v>166</v>
      </c>
      <c r="M406" s="8" t="s">
        <v>167</v>
      </c>
      <c r="N406" s="8" t="s">
        <v>2016</v>
      </c>
      <c r="O406" s="8">
        <f>1+8/60+33.6/3600</f>
        <v>1.1426666666666667</v>
      </c>
      <c r="P406" s="8" t="s">
        <v>2017</v>
      </c>
      <c r="Q406" s="8">
        <f>-(46+40/60+6/3600)</f>
        <v>-46.668333333333329</v>
      </c>
      <c r="R406" s="8">
        <v>99</v>
      </c>
      <c r="S406" s="8">
        <v>7.1</v>
      </c>
      <c r="T406" s="8">
        <v>99</v>
      </c>
      <c r="U406" s="8">
        <v>99</v>
      </c>
      <c r="Y406" s="8" t="s">
        <v>2018</v>
      </c>
      <c r="Z406" s="8" t="s">
        <v>2019</v>
      </c>
    </row>
    <row r="407" spans="1:26" x14ac:dyDescent="0.2">
      <c r="A407" s="8">
        <v>406</v>
      </c>
      <c r="B407" s="8" t="s">
        <v>2020</v>
      </c>
      <c r="C407" s="8" t="s">
        <v>2020</v>
      </c>
      <c r="F407" s="47"/>
      <c r="G407" s="8">
        <v>13</v>
      </c>
      <c r="H407" s="8" t="s">
        <v>21</v>
      </c>
      <c r="I407" s="8" t="s">
        <v>22</v>
      </c>
      <c r="J407" s="8" t="s">
        <v>22</v>
      </c>
      <c r="K407" s="8" t="s">
        <v>160</v>
      </c>
      <c r="L407" s="8" t="s">
        <v>310</v>
      </c>
      <c r="M407" s="8" t="s">
        <v>311</v>
      </c>
      <c r="N407" s="8" t="s">
        <v>2021</v>
      </c>
      <c r="O407" s="8">
        <f>1+7/60+24.4/3600</f>
        <v>1.1234444444444445</v>
      </c>
      <c r="P407" s="8" t="s">
        <v>2022</v>
      </c>
      <c r="Q407" s="8">
        <f>-(69+52/60+34/3600)</f>
        <v>-69.876111111111101</v>
      </c>
      <c r="R407" s="8">
        <v>12.5</v>
      </c>
      <c r="S407" s="8">
        <v>13.1</v>
      </c>
      <c r="T407" s="8">
        <v>0.6</v>
      </c>
      <c r="U407" s="8">
        <v>13.9</v>
      </c>
      <c r="V407" s="8">
        <v>2.6</v>
      </c>
      <c r="W407" s="8">
        <v>1</v>
      </c>
      <c r="X407" s="8">
        <v>160</v>
      </c>
      <c r="Y407" s="8" t="s">
        <v>2023</v>
      </c>
      <c r="Z407" s="8" t="s">
        <v>2024</v>
      </c>
    </row>
    <row r="408" spans="1:26" x14ac:dyDescent="0.2">
      <c r="A408" s="8">
        <v>407</v>
      </c>
      <c r="B408" s="8" t="s">
        <v>2025</v>
      </c>
      <c r="C408" s="8" t="s">
        <v>2025</v>
      </c>
      <c r="F408" s="47" t="s">
        <v>56058</v>
      </c>
      <c r="G408" s="8">
        <v>15</v>
      </c>
      <c r="H408" s="8" t="s">
        <v>21</v>
      </c>
      <c r="I408" s="8" t="s">
        <v>22</v>
      </c>
      <c r="J408" s="8" t="s">
        <v>22</v>
      </c>
      <c r="K408" s="8" t="s">
        <v>632</v>
      </c>
      <c r="L408" s="8" t="s">
        <v>38</v>
      </c>
      <c r="M408" s="8" t="s">
        <v>39</v>
      </c>
      <c r="N408" s="8" t="s">
        <v>2026</v>
      </c>
      <c r="O408" s="8">
        <f>1+10/60+36.5/3600</f>
        <v>1.1768055555555557</v>
      </c>
      <c r="P408" s="8" t="s">
        <v>2027</v>
      </c>
      <c r="Q408" s="8">
        <f>+(33+7/60+31/3600)</f>
        <v>33.125277777777775</v>
      </c>
      <c r="R408" s="8">
        <v>13.4</v>
      </c>
      <c r="S408" s="8">
        <v>14.3</v>
      </c>
      <c r="T408" s="8">
        <v>0.9</v>
      </c>
      <c r="U408" s="8">
        <v>12.8</v>
      </c>
      <c r="V408" s="8">
        <v>1.8</v>
      </c>
      <c r="W408" s="8">
        <v>0.4</v>
      </c>
      <c r="X408" s="8">
        <v>0</v>
      </c>
      <c r="Y408" s="8" t="s">
        <v>2028</v>
      </c>
      <c r="Z408" s="8" t="s">
        <v>2029</v>
      </c>
    </row>
    <row r="409" spans="1:26" x14ac:dyDescent="0.2">
      <c r="A409" s="8">
        <v>408</v>
      </c>
      <c r="B409" s="8" t="s">
        <v>2030</v>
      </c>
      <c r="C409" s="8" t="s">
        <v>2030</v>
      </c>
      <c r="F409" s="47"/>
      <c r="G409" s="8">
        <v>18</v>
      </c>
      <c r="H409" s="8" t="s">
        <v>21</v>
      </c>
      <c r="I409" s="8" t="s">
        <v>72</v>
      </c>
      <c r="J409" s="8" t="s">
        <v>72</v>
      </c>
      <c r="K409" s="8" t="s">
        <v>20</v>
      </c>
      <c r="L409" s="8" t="s">
        <v>38</v>
      </c>
      <c r="M409" s="8" t="s">
        <v>39</v>
      </c>
      <c r="N409" s="8" t="s">
        <v>2031</v>
      </c>
      <c r="O409" s="8">
        <f>1+10/60+51/3600</f>
        <v>1.1808333333333334</v>
      </c>
      <c r="P409" s="8" t="s">
        <v>2032</v>
      </c>
      <c r="Q409" s="8">
        <f>+(33+9/60+8/3600)</f>
        <v>33.152222222222221</v>
      </c>
      <c r="R409" s="8">
        <v>99</v>
      </c>
      <c r="S409" s="8">
        <v>14.3</v>
      </c>
      <c r="T409" s="8">
        <v>99</v>
      </c>
      <c r="U409" s="8">
        <v>99</v>
      </c>
      <c r="Y409" s="8" t="s">
        <v>2033</v>
      </c>
      <c r="Z409" s="8" t="s">
        <v>2034</v>
      </c>
    </row>
    <row r="410" spans="1:26" x14ac:dyDescent="0.2">
      <c r="A410" s="8">
        <v>409</v>
      </c>
      <c r="B410" s="8" t="s">
        <v>2035</v>
      </c>
      <c r="C410" s="8" t="s">
        <v>2035</v>
      </c>
      <c r="F410" s="47"/>
      <c r="G410" s="8">
        <v>16</v>
      </c>
      <c r="H410" s="8" t="s">
        <v>21</v>
      </c>
      <c r="I410" s="8" t="s">
        <v>22</v>
      </c>
      <c r="J410" s="8" t="s">
        <v>22</v>
      </c>
      <c r="K410" s="8" t="s">
        <v>1136</v>
      </c>
      <c r="L410" s="8" t="s">
        <v>65</v>
      </c>
      <c r="M410" s="8" t="s">
        <v>66</v>
      </c>
      <c r="N410" s="8" t="s">
        <v>2036</v>
      </c>
      <c r="O410" s="8">
        <f>1+9/60+33.2/3600</f>
        <v>1.1592222222222222</v>
      </c>
      <c r="P410" s="8" t="s">
        <v>2037</v>
      </c>
      <c r="Q410" s="8">
        <f>-(35+48/60+20/3600)</f>
        <v>-35.80555555555555</v>
      </c>
      <c r="R410" s="8">
        <v>13</v>
      </c>
      <c r="S410" s="8">
        <v>14</v>
      </c>
      <c r="T410" s="8">
        <v>1</v>
      </c>
      <c r="U410" s="8">
        <v>13.5</v>
      </c>
      <c r="V410" s="8">
        <v>1.3</v>
      </c>
      <c r="W410" s="8">
        <v>1.1000000000000001</v>
      </c>
      <c r="X410" s="8">
        <v>174</v>
      </c>
      <c r="Y410" s="8" t="s">
        <v>2038</v>
      </c>
      <c r="Z410" s="8" t="s">
        <v>2039</v>
      </c>
    </row>
    <row r="411" spans="1:26" x14ac:dyDescent="0.2">
      <c r="A411" s="8">
        <v>410</v>
      </c>
      <c r="B411" s="8" t="s">
        <v>2040</v>
      </c>
      <c r="C411" s="8" t="s">
        <v>2040</v>
      </c>
      <c r="F411" s="47" t="s">
        <v>56059</v>
      </c>
      <c r="G411" s="8">
        <v>6.5</v>
      </c>
      <c r="H411" s="8" t="s">
        <v>21</v>
      </c>
      <c r="I411" s="8" t="s">
        <v>22</v>
      </c>
      <c r="J411" s="8" t="s">
        <v>22</v>
      </c>
      <c r="K411" s="8" t="s">
        <v>2041</v>
      </c>
      <c r="L411" s="8" t="s">
        <v>38</v>
      </c>
      <c r="M411" s="8" t="s">
        <v>39</v>
      </c>
      <c r="N411" s="8" t="s">
        <v>2042</v>
      </c>
      <c r="O411" s="8">
        <f>1+10/60+58.8/3600</f>
        <v>1.1830000000000001</v>
      </c>
      <c r="P411" s="8" t="s">
        <v>2043</v>
      </c>
      <c r="Q411" s="8">
        <f>+(33+9/60+9/3600)</f>
        <v>33.152499999999996</v>
      </c>
      <c r="R411" s="8">
        <v>11.5</v>
      </c>
      <c r="S411" s="8">
        <v>12.5</v>
      </c>
      <c r="T411" s="8">
        <v>1</v>
      </c>
      <c r="U411" s="8">
        <v>12.7</v>
      </c>
      <c r="V411" s="8">
        <v>2.4</v>
      </c>
      <c r="W411" s="8">
        <v>1.3</v>
      </c>
      <c r="X411" s="8">
        <v>30</v>
      </c>
      <c r="Y411" s="8" t="s">
        <v>2044</v>
      </c>
      <c r="Z411" s="8" t="s">
        <v>2045</v>
      </c>
    </row>
    <row r="412" spans="1:26" x14ac:dyDescent="0.2">
      <c r="A412" s="8">
        <v>411</v>
      </c>
      <c r="B412" s="8" t="s">
        <v>2046</v>
      </c>
      <c r="C412" s="8" t="s">
        <v>2046</v>
      </c>
      <c r="F412" s="47"/>
      <c r="G412" s="8">
        <v>16</v>
      </c>
      <c r="H412" s="8" t="s">
        <v>21</v>
      </c>
      <c r="I412" s="8" t="s">
        <v>557</v>
      </c>
      <c r="J412" s="8" t="s">
        <v>557</v>
      </c>
      <c r="K412" s="8" t="s">
        <v>557</v>
      </c>
      <c r="L412" s="8" t="s">
        <v>310</v>
      </c>
      <c r="M412" s="8" t="s">
        <v>311</v>
      </c>
      <c r="N412" s="8" t="s">
        <v>2047</v>
      </c>
      <c r="O412" s="8">
        <f>1+7/60+55.7/3600</f>
        <v>1.132138888888889</v>
      </c>
      <c r="P412" s="8" t="s">
        <v>2048</v>
      </c>
      <c r="Q412" s="8">
        <f>-(71+46/60+7/3600)</f>
        <v>-71.768611111111113</v>
      </c>
      <c r="R412" s="8">
        <v>12.2</v>
      </c>
      <c r="S412" s="8">
        <v>11</v>
      </c>
      <c r="T412" s="8">
        <v>99</v>
      </c>
      <c r="U412" s="8">
        <v>99</v>
      </c>
      <c r="V412" s="8">
        <v>1.3</v>
      </c>
      <c r="Y412" s="8" t="s">
        <v>1235</v>
      </c>
      <c r="Z412" s="8" t="s">
        <v>1236</v>
      </c>
    </row>
    <row r="413" spans="1:26" x14ac:dyDescent="0.2">
      <c r="A413" s="8">
        <v>412</v>
      </c>
      <c r="B413" s="8" t="s">
        <v>2049</v>
      </c>
      <c r="C413" s="8" t="s">
        <v>2049</v>
      </c>
      <c r="F413" s="47"/>
      <c r="G413" s="8">
        <v>19</v>
      </c>
      <c r="H413" s="8" t="s">
        <v>21</v>
      </c>
      <c r="I413" s="8" t="s">
        <v>329</v>
      </c>
      <c r="J413" s="8" t="s">
        <v>329</v>
      </c>
      <c r="K413" s="8" t="s">
        <v>329</v>
      </c>
      <c r="L413" s="8" t="s">
        <v>125</v>
      </c>
      <c r="M413" s="8" t="s">
        <v>126</v>
      </c>
      <c r="N413" s="8" t="s">
        <v>2050</v>
      </c>
      <c r="O413" s="8">
        <f>1+10/60+20/3600</f>
        <v>1.1722222222222223</v>
      </c>
      <c r="P413" s="8" t="s">
        <v>2051</v>
      </c>
      <c r="Q413" s="8">
        <f>-(20+0/60+54/3600)</f>
        <v>-20.015000000000001</v>
      </c>
      <c r="R413" s="8">
        <v>99</v>
      </c>
      <c r="S413" s="8">
        <v>99</v>
      </c>
      <c r="T413" s="8">
        <v>99</v>
      </c>
      <c r="U413" s="8">
        <v>99</v>
      </c>
      <c r="Y413" s="8" t="s">
        <v>2052</v>
      </c>
      <c r="Z413" s="8" t="s">
        <v>2053</v>
      </c>
    </row>
    <row r="414" spans="1:26" x14ac:dyDescent="0.2">
      <c r="A414" s="8">
        <v>413</v>
      </c>
      <c r="B414" s="8" t="s">
        <v>2054</v>
      </c>
      <c r="C414" s="8" t="s">
        <v>2054</v>
      </c>
      <c r="F414" s="47"/>
      <c r="G414" s="8">
        <v>19</v>
      </c>
      <c r="H414" s="8" t="s">
        <v>21</v>
      </c>
      <c r="I414" s="8" t="s">
        <v>22</v>
      </c>
      <c r="J414" s="8" t="s">
        <v>22</v>
      </c>
      <c r="K414" s="8" t="s">
        <v>160</v>
      </c>
      <c r="L414" s="8" t="s">
        <v>125</v>
      </c>
      <c r="M414" s="8" t="s">
        <v>126</v>
      </c>
      <c r="N414" s="8" t="s">
        <v>2055</v>
      </c>
      <c r="O414" s="8">
        <f>1+12/60+31.3/3600</f>
        <v>1.2086944444444443</v>
      </c>
      <c r="P414" s="8" t="s">
        <v>2056</v>
      </c>
      <c r="Q414" s="8">
        <f>-(2+47/60+36/3600)</f>
        <v>-2.793333333333333</v>
      </c>
      <c r="R414" s="8">
        <v>14.1</v>
      </c>
      <c r="S414" s="8">
        <v>14.8</v>
      </c>
      <c r="T414" s="8">
        <v>0.7</v>
      </c>
      <c r="U414" s="8">
        <v>13.7</v>
      </c>
      <c r="V414" s="8">
        <v>1.2</v>
      </c>
      <c r="W414" s="8">
        <v>0.7</v>
      </c>
      <c r="X414" s="8">
        <v>151</v>
      </c>
      <c r="Y414" s="8" t="s">
        <v>2057</v>
      </c>
      <c r="Z414" s="8" t="s">
        <v>2058</v>
      </c>
    </row>
    <row r="415" spans="1:26" x14ac:dyDescent="0.2">
      <c r="A415" s="8">
        <v>414</v>
      </c>
      <c r="B415" s="8" t="s">
        <v>2059</v>
      </c>
      <c r="C415" s="8" t="s">
        <v>2059</v>
      </c>
      <c r="F415" s="47"/>
      <c r="G415" s="8">
        <v>18</v>
      </c>
      <c r="H415" s="8" t="s">
        <v>21</v>
      </c>
      <c r="I415" s="8" t="s">
        <v>22</v>
      </c>
      <c r="J415" s="8" t="s">
        <v>22</v>
      </c>
      <c r="K415" s="8" t="s">
        <v>37</v>
      </c>
      <c r="L415" s="8" t="s">
        <v>38</v>
      </c>
      <c r="M415" s="8" t="s">
        <v>39</v>
      </c>
      <c r="N415" s="8" t="s">
        <v>2060</v>
      </c>
      <c r="O415" s="8">
        <f>1+11/60+17.6/3600</f>
        <v>1.1882222222222223</v>
      </c>
      <c r="P415" s="8" t="s">
        <v>2061</v>
      </c>
      <c r="Q415" s="8">
        <f>+(33+6/60+49/3600)</f>
        <v>33.113611111111112</v>
      </c>
      <c r="R415" s="8">
        <v>13.8</v>
      </c>
      <c r="S415" s="8">
        <v>14.8</v>
      </c>
      <c r="T415" s="8">
        <v>1</v>
      </c>
      <c r="U415" s="8">
        <v>12.9</v>
      </c>
      <c r="V415" s="8">
        <v>0.7</v>
      </c>
      <c r="W415" s="8">
        <v>0.4</v>
      </c>
      <c r="X415" s="8">
        <v>35</v>
      </c>
      <c r="Y415" s="8" t="s">
        <v>2062</v>
      </c>
      <c r="Z415" s="8" t="s">
        <v>2063</v>
      </c>
    </row>
    <row r="416" spans="1:26" x14ac:dyDescent="0.2">
      <c r="A416" s="8">
        <v>415</v>
      </c>
      <c r="B416" s="8" t="s">
        <v>2064</v>
      </c>
      <c r="C416" s="8" t="s">
        <v>2064</v>
      </c>
      <c r="F416" s="47"/>
      <c r="G416" s="8">
        <v>16</v>
      </c>
      <c r="H416" s="8" t="s">
        <v>21</v>
      </c>
      <c r="I416" s="8" t="s">
        <v>22</v>
      </c>
      <c r="J416" s="8" t="s">
        <v>22</v>
      </c>
      <c r="K416" s="8" t="s">
        <v>218</v>
      </c>
      <c r="L416" s="8" t="s">
        <v>65</v>
      </c>
      <c r="M416" s="8" t="s">
        <v>66</v>
      </c>
      <c r="N416" s="8" t="s">
        <v>2065</v>
      </c>
      <c r="O416" s="8">
        <f>1+10/60+5.5/3600</f>
        <v>1.1681944444444445</v>
      </c>
      <c r="P416" s="8" t="s">
        <v>2066</v>
      </c>
      <c r="Q416" s="8">
        <f>-(35+29/60+25/3600)</f>
        <v>-35.490277777777777</v>
      </c>
      <c r="R416" s="8">
        <v>13.4</v>
      </c>
      <c r="S416" s="8">
        <v>14.2</v>
      </c>
      <c r="T416" s="8">
        <v>0.8</v>
      </c>
      <c r="U416" s="8">
        <v>13.5</v>
      </c>
      <c r="V416" s="8">
        <v>1.5</v>
      </c>
      <c r="W416" s="8">
        <v>0.8</v>
      </c>
      <c r="X416" s="8">
        <v>55</v>
      </c>
      <c r="Y416" s="8" t="s">
        <v>2067</v>
      </c>
      <c r="Z416" s="8" t="s">
        <v>2068</v>
      </c>
    </row>
    <row r="417" spans="1:26" x14ac:dyDescent="0.2">
      <c r="A417" s="8">
        <v>416</v>
      </c>
      <c r="B417" s="8" t="s">
        <v>2069</v>
      </c>
      <c r="C417" s="8" t="s">
        <v>2069</v>
      </c>
      <c r="F417" s="47"/>
      <c r="G417" s="8">
        <v>16</v>
      </c>
      <c r="H417" s="8" t="s">
        <v>21</v>
      </c>
      <c r="I417" s="8" t="s">
        <v>557</v>
      </c>
      <c r="J417" s="8" t="s">
        <v>557</v>
      </c>
      <c r="K417" s="8" t="s">
        <v>557</v>
      </c>
      <c r="L417" s="8" t="s">
        <v>310</v>
      </c>
      <c r="M417" s="8" t="s">
        <v>311</v>
      </c>
      <c r="N417" s="8" t="s">
        <v>2070</v>
      </c>
      <c r="O417" s="8">
        <f>1+7/60+58.5/3600</f>
        <v>1.1329166666666668</v>
      </c>
      <c r="P417" s="8" t="s">
        <v>2071</v>
      </c>
      <c r="Q417" s="8">
        <f>-(72+21/60+25/3600)</f>
        <v>-72.356944444444437</v>
      </c>
      <c r="R417" s="8">
        <v>12.6</v>
      </c>
      <c r="S417" s="8">
        <v>99</v>
      </c>
      <c r="T417" s="8">
        <v>99</v>
      </c>
      <c r="U417" s="8">
        <v>99</v>
      </c>
      <c r="V417" s="8">
        <v>1.2</v>
      </c>
      <c r="Y417" s="8" t="s">
        <v>1323</v>
      </c>
      <c r="Z417" s="8" t="s">
        <v>1324</v>
      </c>
    </row>
    <row r="418" spans="1:26" x14ac:dyDescent="0.2">
      <c r="A418" s="8">
        <v>417</v>
      </c>
      <c r="B418" s="8" t="s">
        <v>2072</v>
      </c>
      <c r="C418" s="8" t="s">
        <v>2072</v>
      </c>
      <c r="F418" s="47"/>
      <c r="G418" s="8">
        <v>19</v>
      </c>
      <c r="H418" s="8" t="s">
        <v>21</v>
      </c>
      <c r="I418" s="8" t="s">
        <v>22</v>
      </c>
      <c r="J418" s="8" t="s">
        <v>22</v>
      </c>
      <c r="K418" s="8" t="s">
        <v>118</v>
      </c>
      <c r="L418" s="8" t="s">
        <v>125</v>
      </c>
      <c r="M418" s="8" t="s">
        <v>126</v>
      </c>
      <c r="N418" s="8" t="s">
        <v>2073</v>
      </c>
      <c r="O418" s="8">
        <f>1+11/60+5.5/3600</f>
        <v>1.1848611111111111</v>
      </c>
      <c r="P418" s="8" t="s">
        <v>2074</v>
      </c>
      <c r="Q418" s="8">
        <f>-(18+8/60+55/3600)</f>
        <v>-18.148611111111112</v>
      </c>
      <c r="R418" s="8">
        <v>14</v>
      </c>
      <c r="S418" s="8">
        <v>15</v>
      </c>
      <c r="T418" s="8">
        <v>1</v>
      </c>
      <c r="U418" s="8">
        <v>12.9</v>
      </c>
      <c r="V418" s="8">
        <v>0.6</v>
      </c>
      <c r="W418" s="8">
        <v>0.5</v>
      </c>
      <c r="X418" s="8">
        <v>55</v>
      </c>
      <c r="Y418" s="8" t="s">
        <v>1829</v>
      </c>
      <c r="Z418" s="8" t="s">
        <v>1830</v>
      </c>
    </row>
    <row r="419" spans="1:26" x14ac:dyDescent="0.2">
      <c r="A419" s="8">
        <v>418</v>
      </c>
      <c r="B419" s="8" t="s">
        <v>2075</v>
      </c>
      <c r="C419" s="8" t="s">
        <v>2075</v>
      </c>
      <c r="F419" s="47"/>
      <c r="G419" s="8">
        <v>16</v>
      </c>
      <c r="H419" s="8" t="s">
        <v>21</v>
      </c>
      <c r="I419" s="8" t="s">
        <v>22</v>
      </c>
      <c r="J419" s="8" t="s">
        <v>22</v>
      </c>
      <c r="K419" s="8" t="s">
        <v>64</v>
      </c>
      <c r="L419" s="8" t="s">
        <v>65</v>
      </c>
      <c r="M419" s="8" t="s">
        <v>66</v>
      </c>
      <c r="N419" s="8" t="s">
        <v>2076</v>
      </c>
      <c r="O419" s="8">
        <f>1+10/60+35.6/3600</f>
        <v>1.1765555555555556</v>
      </c>
      <c r="P419" s="8" t="s">
        <v>2077</v>
      </c>
      <c r="Q419" s="8">
        <f>-(30+13/60+16/3600)</f>
        <v>-30.22111111111111</v>
      </c>
      <c r="R419" s="8">
        <v>12.6</v>
      </c>
      <c r="S419" s="8">
        <v>13.1</v>
      </c>
      <c r="T419" s="8">
        <v>0.5</v>
      </c>
      <c r="U419" s="8">
        <v>13.8</v>
      </c>
      <c r="V419" s="8">
        <v>2</v>
      </c>
      <c r="W419" s="8">
        <v>1.7</v>
      </c>
      <c r="X419" s="8">
        <v>12</v>
      </c>
      <c r="Y419" s="8" t="s">
        <v>2078</v>
      </c>
      <c r="Z419" s="8" t="s">
        <v>2079</v>
      </c>
    </row>
    <row r="420" spans="1:26" x14ac:dyDescent="0.2">
      <c r="A420" s="8">
        <v>419</v>
      </c>
      <c r="B420" s="8" t="s">
        <v>2080</v>
      </c>
      <c r="C420" s="8" t="s">
        <v>2080</v>
      </c>
      <c r="F420" s="47"/>
      <c r="G420" s="8">
        <v>10</v>
      </c>
      <c r="H420" s="8" t="s">
        <v>21</v>
      </c>
      <c r="I420" s="8" t="s">
        <v>557</v>
      </c>
      <c r="J420" s="8" t="s">
        <v>557</v>
      </c>
      <c r="K420" s="8" t="s">
        <v>557</v>
      </c>
      <c r="L420" s="8" t="s">
        <v>310</v>
      </c>
      <c r="M420" s="8" t="s">
        <v>311</v>
      </c>
      <c r="N420" s="8" t="s">
        <v>2081</v>
      </c>
      <c r="O420" s="8">
        <f>1+8/60+17.2/3600</f>
        <v>1.1381111111111111</v>
      </c>
      <c r="P420" s="8" t="s">
        <v>2082</v>
      </c>
      <c r="Q420" s="8">
        <f>-(72+53/60+0/3600)</f>
        <v>-72.88333333333334</v>
      </c>
      <c r="R420" s="8">
        <v>11.2</v>
      </c>
      <c r="S420" s="8">
        <v>99</v>
      </c>
      <c r="T420" s="8">
        <v>99</v>
      </c>
      <c r="U420" s="8">
        <v>99</v>
      </c>
      <c r="V420" s="8">
        <v>2.4</v>
      </c>
      <c r="Y420" s="8" t="s">
        <v>2083</v>
      </c>
      <c r="Z420" s="8" t="s">
        <v>2084</v>
      </c>
    </row>
    <row r="421" spans="1:26" x14ac:dyDescent="0.2">
      <c r="A421" s="8">
        <v>420</v>
      </c>
      <c r="B421" s="8" t="s">
        <v>2085</v>
      </c>
      <c r="C421" s="8" t="s">
        <v>2085</v>
      </c>
      <c r="F421" s="47" t="s">
        <v>56060</v>
      </c>
      <c r="G421" s="8">
        <v>15</v>
      </c>
      <c r="H421" s="8" t="s">
        <v>21</v>
      </c>
      <c r="I421" s="8" t="s">
        <v>329</v>
      </c>
      <c r="J421" s="8" t="s">
        <v>329</v>
      </c>
      <c r="K421" s="8" t="s">
        <v>329</v>
      </c>
      <c r="L421" s="8" t="s">
        <v>38</v>
      </c>
      <c r="M421" s="8" t="s">
        <v>39</v>
      </c>
      <c r="N421" s="8" t="s">
        <v>2086</v>
      </c>
      <c r="O421" s="8">
        <f>1+12/60+14.4/3600</f>
        <v>1.204</v>
      </c>
      <c r="P421" s="8" t="s">
        <v>2087</v>
      </c>
      <c r="Q421" s="8">
        <f>+(32+7/60+25/3600)</f>
        <v>32.12361111111111</v>
      </c>
      <c r="R421" s="8">
        <v>99</v>
      </c>
      <c r="S421" s="8">
        <v>99</v>
      </c>
      <c r="T421" s="8">
        <v>99</v>
      </c>
      <c r="U421" s="8">
        <v>99</v>
      </c>
      <c r="Y421" s="8" t="s">
        <v>2088</v>
      </c>
      <c r="Z421" s="8" t="s">
        <v>2089</v>
      </c>
    </row>
    <row r="422" spans="1:26" x14ac:dyDescent="0.2">
      <c r="A422" s="8">
        <v>421</v>
      </c>
      <c r="B422" s="8" t="s">
        <v>2090</v>
      </c>
      <c r="C422" s="8" t="s">
        <v>2090</v>
      </c>
      <c r="F422" s="47" t="s">
        <v>56061</v>
      </c>
      <c r="G422" s="8">
        <v>15</v>
      </c>
      <c r="H422" s="8" t="s">
        <v>21</v>
      </c>
      <c r="I422" s="8" t="s">
        <v>22</v>
      </c>
      <c r="J422" s="8" t="s">
        <v>22</v>
      </c>
      <c r="K422" s="8" t="s">
        <v>37</v>
      </c>
      <c r="L422" s="8" t="s">
        <v>38</v>
      </c>
      <c r="M422" s="8" t="s">
        <v>39</v>
      </c>
      <c r="N422" s="8" t="s">
        <v>2091</v>
      </c>
      <c r="O422" s="8">
        <f>1+12/60+9.6/3600</f>
        <v>1.2026666666666666</v>
      </c>
      <c r="P422" s="8" t="s">
        <v>2092</v>
      </c>
      <c r="Q422" s="8">
        <f>+(32+7/60+23/3600)</f>
        <v>32.123055555555553</v>
      </c>
      <c r="R422" s="8">
        <v>12.1</v>
      </c>
      <c r="S422" s="8">
        <v>13.1</v>
      </c>
      <c r="T422" s="8">
        <v>1</v>
      </c>
      <c r="U422" s="8">
        <v>13.4</v>
      </c>
      <c r="V422" s="8">
        <v>2</v>
      </c>
      <c r="W422" s="8">
        <v>1.8</v>
      </c>
      <c r="X422" s="8">
        <v>174</v>
      </c>
      <c r="Y422" s="8" t="s">
        <v>2093</v>
      </c>
      <c r="Z422" s="8" t="s">
        <v>2094</v>
      </c>
    </row>
    <row r="423" spans="1:26" x14ac:dyDescent="0.2">
      <c r="A423" s="8">
        <v>422</v>
      </c>
      <c r="B423" s="8" t="s">
        <v>2095</v>
      </c>
      <c r="C423" s="8" t="s">
        <v>2095</v>
      </c>
      <c r="F423" s="47"/>
      <c r="G423" s="8">
        <v>18</v>
      </c>
      <c r="H423" s="8" t="s">
        <v>21</v>
      </c>
      <c r="I423" s="8" t="s">
        <v>557</v>
      </c>
      <c r="J423" s="8" t="s">
        <v>557</v>
      </c>
      <c r="K423" s="8" t="s">
        <v>557</v>
      </c>
      <c r="L423" s="8" t="s">
        <v>310</v>
      </c>
      <c r="M423" s="8" t="s">
        <v>311</v>
      </c>
      <c r="N423" s="8" t="s">
        <v>2096</v>
      </c>
      <c r="O423" s="8">
        <f>1+9/60+25.4/3600</f>
        <v>1.1570555555555555</v>
      </c>
      <c r="P423" s="8" t="s">
        <v>2097</v>
      </c>
      <c r="Q423" s="8">
        <f>-(71+46/60+0/3600)</f>
        <v>-71.766666666666666</v>
      </c>
      <c r="R423" s="8">
        <v>13.4</v>
      </c>
      <c r="S423" s="8">
        <v>99</v>
      </c>
      <c r="T423" s="8">
        <v>99</v>
      </c>
      <c r="U423" s="8">
        <v>99</v>
      </c>
      <c r="Y423" s="8" t="s">
        <v>1235</v>
      </c>
      <c r="Z423" s="8" t="s">
        <v>2098</v>
      </c>
    </row>
    <row r="424" spans="1:26" x14ac:dyDescent="0.2">
      <c r="A424" s="8">
        <v>423</v>
      </c>
      <c r="B424" s="8" t="s">
        <v>2099</v>
      </c>
      <c r="C424" s="8" t="s">
        <v>2099</v>
      </c>
      <c r="F424" s="47"/>
      <c r="G424" s="8">
        <v>16</v>
      </c>
      <c r="H424" s="8" t="s">
        <v>21</v>
      </c>
      <c r="I424" s="8" t="s">
        <v>22</v>
      </c>
      <c r="J424" s="8" t="s">
        <v>22</v>
      </c>
      <c r="K424" s="8" t="s">
        <v>632</v>
      </c>
      <c r="L424" s="8" t="s">
        <v>65</v>
      </c>
      <c r="M424" s="8" t="s">
        <v>66</v>
      </c>
      <c r="N424" s="8" t="s">
        <v>2100</v>
      </c>
      <c r="O424" s="8">
        <f>1+11/60+22.1/3600</f>
        <v>1.1894722222222223</v>
      </c>
      <c r="P424" s="8" t="s">
        <v>2101</v>
      </c>
      <c r="Q424" s="8">
        <f>-(29+14/60+4/3600)</f>
        <v>-29.234444444444446</v>
      </c>
      <c r="R424" s="8">
        <v>13.5</v>
      </c>
      <c r="S424" s="8">
        <v>14.4</v>
      </c>
      <c r="T424" s="8">
        <v>0.9</v>
      </c>
      <c r="U424" s="8">
        <v>12.4</v>
      </c>
      <c r="V424" s="8">
        <v>1</v>
      </c>
      <c r="W424" s="8">
        <v>0.4</v>
      </c>
      <c r="X424" s="8">
        <v>114</v>
      </c>
      <c r="Y424" s="8" t="s">
        <v>2102</v>
      </c>
      <c r="Z424" s="8" t="s">
        <v>2103</v>
      </c>
    </row>
    <row r="425" spans="1:26" x14ac:dyDescent="0.2">
      <c r="A425" s="8">
        <v>424</v>
      </c>
      <c r="B425" s="8" t="s">
        <v>2104</v>
      </c>
      <c r="C425" s="8" t="s">
        <v>2104</v>
      </c>
      <c r="F425" s="47"/>
      <c r="G425" s="8">
        <v>16</v>
      </c>
      <c r="H425" s="8" t="s">
        <v>21</v>
      </c>
      <c r="I425" s="8" t="s">
        <v>22</v>
      </c>
      <c r="J425" s="8" t="s">
        <v>22</v>
      </c>
      <c r="K425" s="8" t="s">
        <v>435</v>
      </c>
      <c r="L425" s="8" t="s">
        <v>65</v>
      </c>
      <c r="M425" s="8" t="s">
        <v>66</v>
      </c>
      <c r="N425" s="8" t="s">
        <v>2105</v>
      </c>
      <c r="O425" s="8">
        <f>1+11/60+27.6/3600</f>
        <v>1.1910000000000001</v>
      </c>
      <c r="P425" s="8" t="s">
        <v>2106</v>
      </c>
      <c r="Q425" s="8">
        <f>-(38+5/60+1/3600)</f>
        <v>-38.083611111111111</v>
      </c>
      <c r="R425" s="8">
        <v>12.9</v>
      </c>
      <c r="S425" s="8">
        <v>13.8</v>
      </c>
      <c r="T425" s="8">
        <v>0.9</v>
      </c>
      <c r="U425" s="8">
        <v>13.4</v>
      </c>
      <c r="V425" s="8">
        <v>2.2999999999999998</v>
      </c>
      <c r="W425" s="8">
        <v>0.8</v>
      </c>
      <c r="X425" s="8">
        <v>60</v>
      </c>
      <c r="Y425" s="8" t="s">
        <v>2067</v>
      </c>
      <c r="Z425" s="8" t="s">
        <v>2068</v>
      </c>
    </row>
    <row r="426" spans="1:26" x14ac:dyDescent="0.2">
      <c r="A426" s="8">
        <v>425</v>
      </c>
      <c r="B426" s="8" t="s">
        <v>2107</v>
      </c>
      <c r="C426" s="8" t="s">
        <v>2107</v>
      </c>
      <c r="F426" s="47"/>
      <c r="G426" s="8">
        <v>19</v>
      </c>
      <c r="H426" s="8" t="s">
        <v>21</v>
      </c>
      <c r="I426" s="8" t="s">
        <v>22</v>
      </c>
      <c r="J426" s="8" t="s">
        <v>22</v>
      </c>
      <c r="K426" s="8" t="s">
        <v>476</v>
      </c>
      <c r="L426" s="8" t="s">
        <v>51</v>
      </c>
      <c r="M426" s="8" t="s">
        <v>52</v>
      </c>
      <c r="N426" s="8" t="s">
        <v>2108</v>
      </c>
      <c r="O426" s="8">
        <f>1+13/60+2.7/3600</f>
        <v>1.2174166666666668</v>
      </c>
      <c r="P426" s="8" t="s">
        <v>2109</v>
      </c>
      <c r="Q426" s="8">
        <f>+(38+46/60+9/3600)</f>
        <v>38.769166666666663</v>
      </c>
      <c r="R426" s="8">
        <v>12.7</v>
      </c>
      <c r="S426" s="8">
        <v>13.6</v>
      </c>
      <c r="T426" s="8">
        <v>0.9</v>
      </c>
      <c r="U426" s="8">
        <v>12.3</v>
      </c>
      <c r="V426" s="8">
        <v>1</v>
      </c>
      <c r="W426" s="8">
        <v>0.8</v>
      </c>
      <c r="X426" s="8">
        <v>54</v>
      </c>
      <c r="Y426" s="8" t="s">
        <v>2110</v>
      </c>
      <c r="Z426" s="8" t="s">
        <v>2111</v>
      </c>
    </row>
    <row r="427" spans="1:26" x14ac:dyDescent="0.2">
      <c r="A427" s="8">
        <v>426</v>
      </c>
      <c r="B427" s="8" t="s">
        <v>2112</v>
      </c>
      <c r="C427" s="8" t="s">
        <v>2112</v>
      </c>
      <c r="F427" s="47" t="s">
        <v>56062</v>
      </c>
      <c r="G427" s="8">
        <v>15</v>
      </c>
      <c r="H427" s="8" t="s">
        <v>21</v>
      </c>
      <c r="I427" s="8" t="s">
        <v>22</v>
      </c>
      <c r="J427" s="8" t="s">
        <v>22</v>
      </c>
      <c r="K427" s="8" t="s">
        <v>382</v>
      </c>
      <c r="L427" s="8" t="s">
        <v>125</v>
      </c>
      <c r="M427" s="8" t="s">
        <v>126</v>
      </c>
      <c r="N427" s="8" t="s">
        <v>2113</v>
      </c>
      <c r="O427" s="8">
        <f>1+12/60+48.5/3600</f>
        <v>1.2134722222222223</v>
      </c>
      <c r="P427" s="8" t="s">
        <v>2114</v>
      </c>
      <c r="Q427" s="8">
        <f>-(0+17/60+23/3600)</f>
        <v>-0.28972222222222221</v>
      </c>
      <c r="R427" s="8">
        <v>12.9</v>
      </c>
      <c r="S427" s="8">
        <v>13.8</v>
      </c>
      <c r="T427" s="8">
        <v>0.9</v>
      </c>
      <c r="U427" s="8">
        <v>13.2</v>
      </c>
      <c r="V427" s="8">
        <v>1.4</v>
      </c>
      <c r="W427" s="8">
        <v>1</v>
      </c>
      <c r="X427" s="8">
        <v>140</v>
      </c>
      <c r="Y427" s="8" t="s">
        <v>421</v>
      </c>
      <c r="Z427" s="8" t="s">
        <v>2115</v>
      </c>
    </row>
    <row r="428" spans="1:26" x14ac:dyDescent="0.2">
      <c r="A428" s="8">
        <v>427</v>
      </c>
      <c r="B428" s="8" t="s">
        <v>2116</v>
      </c>
      <c r="C428" s="8" t="s">
        <v>2116</v>
      </c>
      <c r="F428" s="47"/>
      <c r="G428" s="8">
        <v>16</v>
      </c>
      <c r="H428" s="8" t="s">
        <v>21</v>
      </c>
      <c r="I428" s="8" t="s">
        <v>22</v>
      </c>
      <c r="J428" s="8" t="s">
        <v>22</v>
      </c>
      <c r="K428" s="8" t="s">
        <v>154</v>
      </c>
      <c r="L428" s="8" t="s">
        <v>65</v>
      </c>
      <c r="M428" s="8" t="s">
        <v>66</v>
      </c>
      <c r="N428" s="8" t="s">
        <v>2117</v>
      </c>
      <c r="O428" s="8">
        <f>1+12/60+19.2/3600</f>
        <v>1.2053333333333334</v>
      </c>
      <c r="P428" s="8" t="s">
        <v>2118</v>
      </c>
      <c r="Q428" s="8">
        <f>-(32+3/60+40/3600)</f>
        <v>-32.06111111111111</v>
      </c>
      <c r="R428" s="8">
        <v>14</v>
      </c>
      <c r="S428" s="8">
        <v>14.9</v>
      </c>
      <c r="T428" s="8">
        <v>0.9</v>
      </c>
      <c r="U428" s="8">
        <v>13.3</v>
      </c>
      <c r="V428" s="8">
        <v>1</v>
      </c>
      <c r="W428" s="8">
        <v>0.6</v>
      </c>
      <c r="X428" s="8">
        <v>0</v>
      </c>
      <c r="Y428" s="8" t="s">
        <v>2119</v>
      </c>
      <c r="Z428" s="8" t="s">
        <v>2120</v>
      </c>
    </row>
    <row r="429" spans="1:26" x14ac:dyDescent="0.2">
      <c r="A429" s="8">
        <v>428</v>
      </c>
      <c r="B429" s="8" t="s">
        <v>2121</v>
      </c>
      <c r="C429" s="8" t="s">
        <v>2121</v>
      </c>
      <c r="F429" s="47" t="s">
        <v>56063</v>
      </c>
      <c r="G429" s="8">
        <v>6.5</v>
      </c>
      <c r="H429" s="8" t="s">
        <v>21</v>
      </c>
      <c r="I429" s="8" t="s">
        <v>22</v>
      </c>
      <c r="J429" s="8" t="s">
        <v>22</v>
      </c>
      <c r="K429" s="8" t="s">
        <v>323</v>
      </c>
      <c r="L429" s="8" t="s">
        <v>125</v>
      </c>
      <c r="M429" s="8" t="s">
        <v>126</v>
      </c>
      <c r="N429" s="8" t="s">
        <v>2122</v>
      </c>
      <c r="O429" s="8">
        <f>1+12/60+55.6/3600</f>
        <v>1.2154444444444443</v>
      </c>
      <c r="P429" s="8" t="s">
        <v>2123</v>
      </c>
      <c r="Q429" s="8">
        <f>+(0+58/60+53/3600)</f>
        <v>0.98138888888888887</v>
      </c>
      <c r="R429" s="8">
        <v>11.5</v>
      </c>
      <c r="S429" s="8">
        <v>11.9</v>
      </c>
      <c r="T429" s="8">
        <v>0.4</v>
      </c>
      <c r="U429" s="8">
        <v>14.1</v>
      </c>
      <c r="V429" s="8">
        <v>4</v>
      </c>
      <c r="W429" s="8">
        <v>2.9</v>
      </c>
      <c r="X429" s="8">
        <v>120</v>
      </c>
      <c r="Y429" s="8" t="s">
        <v>2124</v>
      </c>
      <c r="Z429" s="8" t="s">
        <v>2125</v>
      </c>
    </row>
    <row r="430" spans="1:26" x14ac:dyDescent="0.2">
      <c r="A430" s="8">
        <v>429</v>
      </c>
      <c r="B430" s="8" t="s">
        <v>2126</v>
      </c>
      <c r="C430" s="8" t="s">
        <v>2126</v>
      </c>
      <c r="F430" s="47" t="s">
        <v>56064</v>
      </c>
      <c r="G430" s="8">
        <v>15</v>
      </c>
      <c r="H430" s="8" t="s">
        <v>21</v>
      </c>
      <c r="I430" s="8" t="s">
        <v>22</v>
      </c>
      <c r="J430" s="8" t="s">
        <v>22</v>
      </c>
      <c r="K430" s="8" t="s">
        <v>37</v>
      </c>
      <c r="L430" s="8" t="s">
        <v>125</v>
      </c>
      <c r="M430" s="8" t="s">
        <v>126</v>
      </c>
      <c r="N430" s="8" t="s">
        <v>2127</v>
      </c>
      <c r="O430" s="8">
        <f>1+12/60+57.4/3600</f>
        <v>1.2159444444444445</v>
      </c>
      <c r="P430" s="8" t="s">
        <v>2128</v>
      </c>
      <c r="Q430" s="8">
        <f>-(0+20/60+42/3600)</f>
        <v>-0.34499999999999997</v>
      </c>
      <c r="R430" s="8">
        <v>13.4</v>
      </c>
      <c r="S430" s="8">
        <v>14.4</v>
      </c>
      <c r="T430" s="8">
        <v>1</v>
      </c>
      <c r="U430" s="8">
        <v>12.3</v>
      </c>
      <c r="V430" s="8">
        <v>1.4</v>
      </c>
      <c r="W430" s="8">
        <v>0.3</v>
      </c>
      <c r="X430" s="8">
        <v>19</v>
      </c>
      <c r="Y430" s="8" t="s">
        <v>282</v>
      </c>
      <c r="Z430" s="8" t="s">
        <v>283</v>
      </c>
    </row>
    <row r="431" spans="1:26" x14ac:dyDescent="0.2">
      <c r="A431" s="8">
        <v>430</v>
      </c>
      <c r="B431" s="8" t="s">
        <v>2129</v>
      </c>
      <c r="C431" s="8" t="s">
        <v>2129</v>
      </c>
      <c r="F431" s="47" t="s">
        <v>56065</v>
      </c>
      <c r="G431" s="8">
        <v>15</v>
      </c>
      <c r="H431" s="8" t="s">
        <v>21</v>
      </c>
      <c r="I431" s="8" t="s">
        <v>22</v>
      </c>
      <c r="J431" s="8" t="s">
        <v>22</v>
      </c>
      <c r="K431" s="8" t="s">
        <v>1136</v>
      </c>
      <c r="L431" s="8" t="s">
        <v>125</v>
      </c>
      <c r="M431" s="8" t="s">
        <v>126</v>
      </c>
      <c r="N431" s="8" t="s">
        <v>2130</v>
      </c>
      <c r="O431" s="8">
        <f>1+12/60+59.9/3600</f>
        <v>1.2166388888888888</v>
      </c>
      <c r="P431" s="8" t="s">
        <v>2131</v>
      </c>
      <c r="Q431" s="8">
        <f>-(0+15/60+9/3600)</f>
        <v>-0.2525</v>
      </c>
      <c r="R431" s="8">
        <v>12.5</v>
      </c>
      <c r="S431" s="8">
        <v>13.5</v>
      </c>
      <c r="T431" s="8">
        <v>1</v>
      </c>
      <c r="U431" s="8">
        <v>12.9</v>
      </c>
      <c r="V431" s="8">
        <v>1.3</v>
      </c>
      <c r="W431" s="8">
        <v>1.1000000000000001</v>
      </c>
      <c r="X431" s="8">
        <v>155</v>
      </c>
      <c r="Y431" s="8" t="s">
        <v>2132</v>
      </c>
      <c r="Z431" s="8" t="s">
        <v>2133</v>
      </c>
    </row>
    <row r="432" spans="1:26" x14ac:dyDescent="0.2">
      <c r="A432" s="8">
        <v>431</v>
      </c>
      <c r="B432" s="8" t="s">
        <v>2134</v>
      </c>
      <c r="C432" s="8" t="s">
        <v>2134</v>
      </c>
      <c r="F432" s="47"/>
      <c r="G432" s="8">
        <v>16</v>
      </c>
      <c r="H432" s="8" t="s">
        <v>21</v>
      </c>
      <c r="I432" s="8" t="s">
        <v>22</v>
      </c>
      <c r="J432" s="8" t="s">
        <v>22</v>
      </c>
      <c r="K432" s="8" t="s">
        <v>224</v>
      </c>
      <c r="L432" s="8" t="s">
        <v>51</v>
      </c>
      <c r="M432" s="8" t="s">
        <v>52</v>
      </c>
      <c r="N432" s="8" t="s">
        <v>2135</v>
      </c>
      <c r="O432" s="8">
        <f>1+14/60+4.6/3600</f>
        <v>1.2346111111111111</v>
      </c>
      <c r="P432" s="8" t="s">
        <v>2136</v>
      </c>
      <c r="Q432" s="8">
        <f>+(33+42/60+19/3600)</f>
        <v>33.705277777777781</v>
      </c>
      <c r="R432" s="8">
        <v>12.9</v>
      </c>
      <c r="S432" s="8">
        <v>13.9</v>
      </c>
      <c r="T432" s="8">
        <v>1</v>
      </c>
      <c r="U432" s="8">
        <v>13</v>
      </c>
      <c r="V432" s="8">
        <v>1.4</v>
      </c>
      <c r="W432" s="8">
        <v>0.9</v>
      </c>
      <c r="X432" s="8">
        <v>20</v>
      </c>
      <c r="Y432" s="8" t="s">
        <v>2137</v>
      </c>
      <c r="Z432" s="8" t="s">
        <v>2138</v>
      </c>
    </row>
    <row r="433" spans="1:26" x14ac:dyDescent="0.2">
      <c r="A433" s="8">
        <v>432</v>
      </c>
      <c r="B433" s="8" t="s">
        <v>2139</v>
      </c>
      <c r="C433" s="8" t="s">
        <v>2139</v>
      </c>
      <c r="F433" s="47"/>
      <c r="G433" s="8">
        <v>16</v>
      </c>
      <c r="H433" s="8" t="s">
        <v>21</v>
      </c>
      <c r="I433" s="8" t="s">
        <v>22</v>
      </c>
      <c r="J433" s="8" t="s">
        <v>22</v>
      </c>
      <c r="K433" s="8" t="s">
        <v>58</v>
      </c>
      <c r="L433" s="8" t="s">
        <v>310</v>
      </c>
      <c r="M433" s="8" t="s">
        <v>311</v>
      </c>
      <c r="N433" s="8" t="s">
        <v>2140</v>
      </c>
      <c r="O433" s="8">
        <f>1+11/60+46.3/3600</f>
        <v>1.1961944444444446</v>
      </c>
      <c r="P433" s="8" t="s">
        <v>2141</v>
      </c>
      <c r="Q433" s="8">
        <f>-(61+31/60+39/3600)</f>
        <v>-61.527499999999996</v>
      </c>
      <c r="R433" s="8">
        <v>13</v>
      </c>
      <c r="S433" s="8">
        <v>14</v>
      </c>
      <c r="T433" s="8">
        <v>1</v>
      </c>
      <c r="U433" s="8">
        <v>13.6</v>
      </c>
      <c r="V433" s="8">
        <v>1.3</v>
      </c>
      <c r="W433" s="8">
        <v>1.2</v>
      </c>
      <c r="X433" s="8">
        <v>117</v>
      </c>
      <c r="Y433" s="8" t="s">
        <v>2142</v>
      </c>
      <c r="Z433" s="8" t="s">
        <v>2143</v>
      </c>
    </row>
    <row r="434" spans="1:26" x14ac:dyDescent="0.2">
      <c r="A434" s="8">
        <v>433</v>
      </c>
      <c r="B434" s="8" t="s">
        <v>2144</v>
      </c>
      <c r="C434" s="8" t="s">
        <v>2144</v>
      </c>
      <c r="F434" s="47"/>
      <c r="G434" s="8">
        <v>16</v>
      </c>
      <c r="H434" s="8" t="s">
        <v>21</v>
      </c>
      <c r="I434" s="8" t="s">
        <v>557</v>
      </c>
      <c r="J434" s="8" t="s">
        <v>557</v>
      </c>
      <c r="K434" s="8" t="s">
        <v>987</v>
      </c>
      <c r="L434" s="8" t="s">
        <v>559</v>
      </c>
      <c r="M434" s="8" t="s">
        <v>560</v>
      </c>
      <c r="N434" s="8" t="s">
        <v>2145</v>
      </c>
      <c r="O434" s="8">
        <f>1+15/60+9.2/3600</f>
        <v>1.2525555555555556</v>
      </c>
      <c r="P434" s="8" t="s">
        <v>2146</v>
      </c>
      <c r="Q434" s="8">
        <f>+(60+7/60+33/3600)</f>
        <v>60.125833333333333</v>
      </c>
      <c r="R434" s="8">
        <v>99</v>
      </c>
      <c r="S434" s="8">
        <v>99</v>
      </c>
      <c r="T434" s="8">
        <v>99</v>
      </c>
      <c r="U434" s="8">
        <v>99</v>
      </c>
      <c r="V434" s="8">
        <v>4</v>
      </c>
      <c r="Y434" s="8" t="s">
        <v>2147</v>
      </c>
      <c r="Z434" s="8" t="s">
        <v>2148</v>
      </c>
    </row>
    <row r="435" spans="1:26" x14ac:dyDescent="0.2">
      <c r="A435" s="8">
        <v>434</v>
      </c>
      <c r="B435" s="8" t="s">
        <v>2149</v>
      </c>
      <c r="C435" s="8" t="s">
        <v>2149</v>
      </c>
      <c r="F435" s="47"/>
      <c r="G435" s="8">
        <v>13</v>
      </c>
      <c r="H435" s="8" t="s">
        <v>21</v>
      </c>
      <c r="I435" s="8" t="s">
        <v>22</v>
      </c>
      <c r="J435" s="8" t="s">
        <v>22</v>
      </c>
      <c r="K435" s="8" t="s">
        <v>406</v>
      </c>
      <c r="L435" s="8" t="s">
        <v>310</v>
      </c>
      <c r="M435" s="8" t="s">
        <v>311</v>
      </c>
      <c r="N435" s="8" t="s">
        <v>2150</v>
      </c>
      <c r="O435" s="8">
        <f>1+12/60+14.3/3600</f>
        <v>1.2039722222222222</v>
      </c>
      <c r="P435" s="8" t="s">
        <v>2151</v>
      </c>
      <c r="Q435" s="8">
        <f>-(58+14/60+50/3600)</f>
        <v>-58.24722222222222</v>
      </c>
      <c r="R435" s="8">
        <v>12</v>
      </c>
      <c r="S435" s="8">
        <v>12.8</v>
      </c>
      <c r="T435" s="8">
        <v>0.8</v>
      </c>
      <c r="U435" s="8">
        <v>12.8</v>
      </c>
      <c r="V435" s="8">
        <v>2.2000000000000002</v>
      </c>
      <c r="W435" s="8">
        <v>1.2</v>
      </c>
      <c r="X435" s="8">
        <v>6</v>
      </c>
      <c r="Y435" s="8" t="s">
        <v>2152</v>
      </c>
      <c r="Z435" s="8" t="s">
        <v>2153</v>
      </c>
    </row>
    <row r="436" spans="1:26" x14ac:dyDescent="0.2">
      <c r="A436" s="8">
        <v>435</v>
      </c>
      <c r="B436" s="8" t="s">
        <v>2154</v>
      </c>
      <c r="C436" s="8" t="s">
        <v>2154</v>
      </c>
      <c r="F436" s="47"/>
      <c r="G436" s="8">
        <v>18</v>
      </c>
      <c r="H436" s="8" t="s">
        <v>21</v>
      </c>
      <c r="I436" s="8" t="s">
        <v>22</v>
      </c>
      <c r="J436" s="8" t="s">
        <v>22</v>
      </c>
      <c r="K436" s="8" t="s">
        <v>579</v>
      </c>
      <c r="L436" s="8" t="s">
        <v>125</v>
      </c>
      <c r="M436" s="8" t="s">
        <v>126</v>
      </c>
      <c r="N436" s="8" t="s">
        <v>2155</v>
      </c>
      <c r="O436" s="8">
        <f>1+13/60+59.8/3600</f>
        <v>1.2332777777777779</v>
      </c>
      <c r="P436" s="8" t="s">
        <v>2156</v>
      </c>
      <c r="Q436" s="8">
        <f>+(2+4/60+16/3600)</f>
        <v>2.0711111111111111</v>
      </c>
      <c r="R436" s="8">
        <v>14.2</v>
      </c>
      <c r="S436" s="8">
        <v>14.9</v>
      </c>
      <c r="T436" s="8">
        <v>0.7</v>
      </c>
      <c r="U436" s="8">
        <v>13.2</v>
      </c>
      <c r="V436" s="8">
        <v>1.1000000000000001</v>
      </c>
      <c r="W436" s="8">
        <v>0.4</v>
      </c>
      <c r="X436" s="8">
        <v>12</v>
      </c>
      <c r="Y436" s="8" t="s">
        <v>905</v>
      </c>
      <c r="Z436" s="8" t="s">
        <v>906</v>
      </c>
    </row>
    <row r="437" spans="1:26" x14ac:dyDescent="0.2">
      <c r="A437" s="8">
        <v>436</v>
      </c>
      <c r="B437" s="8" t="s">
        <v>2157</v>
      </c>
      <c r="C437" s="8" t="s">
        <v>2157</v>
      </c>
      <c r="F437" s="47" t="s">
        <v>56066</v>
      </c>
      <c r="G437" s="8">
        <v>6</v>
      </c>
      <c r="H437" s="8" t="s">
        <v>21</v>
      </c>
      <c r="I437" s="8" t="s">
        <v>557</v>
      </c>
      <c r="J437" s="8" t="s">
        <v>557</v>
      </c>
      <c r="K437" s="8" t="s">
        <v>2158</v>
      </c>
      <c r="L437" s="8" t="s">
        <v>559</v>
      </c>
      <c r="M437" s="8" t="s">
        <v>560</v>
      </c>
      <c r="N437" s="8" t="s">
        <v>2159</v>
      </c>
      <c r="O437" s="8">
        <f>1+15/60+58/3600</f>
        <v>1.2661111111111112</v>
      </c>
      <c r="P437" s="8" t="s">
        <v>2160</v>
      </c>
      <c r="Q437" s="8">
        <f>+(58+48/60+42/3600)</f>
        <v>58.81166666666666</v>
      </c>
      <c r="R437" s="8">
        <v>8.8000000000000007</v>
      </c>
      <c r="S437" s="8">
        <v>99</v>
      </c>
      <c r="T437" s="8">
        <v>99</v>
      </c>
      <c r="U437" s="8">
        <v>99</v>
      </c>
      <c r="V437" s="8">
        <v>5</v>
      </c>
      <c r="Y437" s="8" t="s">
        <v>2161</v>
      </c>
      <c r="Z437" s="8" t="s">
        <v>2162</v>
      </c>
    </row>
    <row r="438" spans="1:26" x14ac:dyDescent="0.2">
      <c r="A438" s="8">
        <v>437</v>
      </c>
      <c r="B438" s="8" t="s">
        <v>2163</v>
      </c>
      <c r="C438" s="8" t="s">
        <v>2163</v>
      </c>
      <c r="F438" s="47"/>
      <c r="G438" s="8">
        <v>19</v>
      </c>
      <c r="H438" s="8" t="s">
        <v>21</v>
      </c>
      <c r="I438" s="8" t="s">
        <v>22</v>
      </c>
      <c r="J438" s="8" t="s">
        <v>22</v>
      </c>
      <c r="K438" s="8" t="s">
        <v>632</v>
      </c>
      <c r="L438" s="8" t="s">
        <v>38</v>
      </c>
      <c r="M438" s="8" t="s">
        <v>39</v>
      </c>
      <c r="N438" s="8" t="s">
        <v>2164</v>
      </c>
      <c r="O438" s="8">
        <f>1+14/60+22.3/3600</f>
        <v>1.2395277777777778</v>
      </c>
      <c r="P438" s="8" t="s">
        <v>2165</v>
      </c>
      <c r="Q438" s="8">
        <f>+(5+55/60+35/3600)</f>
        <v>5.9263888888888889</v>
      </c>
      <c r="R438" s="8">
        <v>12.8</v>
      </c>
      <c r="S438" s="8">
        <v>13.7</v>
      </c>
      <c r="T438" s="8">
        <v>0.9</v>
      </c>
      <c r="U438" s="8">
        <v>12.9</v>
      </c>
      <c r="V438" s="8">
        <v>1.3</v>
      </c>
      <c r="W438" s="8">
        <v>1</v>
      </c>
      <c r="X438" s="8">
        <v>130</v>
      </c>
      <c r="Y438" s="8" t="s">
        <v>2166</v>
      </c>
      <c r="Z438" s="8" t="s">
        <v>2167</v>
      </c>
    </row>
    <row r="439" spans="1:26" x14ac:dyDescent="0.2">
      <c r="A439" s="8">
        <v>438</v>
      </c>
      <c r="B439" s="8" t="s">
        <v>2168</v>
      </c>
      <c r="C439" s="8" t="s">
        <v>2168</v>
      </c>
      <c r="F439" s="47"/>
      <c r="G439" s="8">
        <v>16</v>
      </c>
      <c r="H439" s="8" t="s">
        <v>21</v>
      </c>
      <c r="I439" s="8" t="s">
        <v>22</v>
      </c>
      <c r="J439" s="8" t="s">
        <v>22</v>
      </c>
      <c r="K439" s="8" t="s">
        <v>218</v>
      </c>
      <c r="L439" s="8" t="s">
        <v>65</v>
      </c>
      <c r="M439" s="8" t="s">
        <v>66</v>
      </c>
      <c r="N439" s="8" t="s">
        <v>2169</v>
      </c>
      <c r="O439" s="8">
        <f>1+13/60+34.3/3600</f>
        <v>1.2261944444444446</v>
      </c>
      <c r="P439" s="8" t="s">
        <v>2170</v>
      </c>
      <c r="Q439" s="8">
        <f>-(37+54/60+5/3600)</f>
        <v>-37.901388888888889</v>
      </c>
      <c r="R439" s="8">
        <v>12.8</v>
      </c>
      <c r="S439" s="8">
        <v>13.6</v>
      </c>
      <c r="T439" s="8">
        <v>0.8</v>
      </c>
      <c r="U439" s="8">
        <v>13.1</v>
      </c>
      <c r="V439" s="8">
        <v>1.4</v>
      </c>
      <c r="W439" s="8">
        <v>1.1000000000000001</v>
      </c>
      <c r="X439" s="8">
        <v>36</v>
      </c>
      <c r="Y439" s="8" t="s">
        <v>2171</v>
      </c>
      <c r="Z439" s="8" t="s">
        <v>2172</v>
      </c>
    </row>
    <row r="440" spans="1:26" x14ac:dyDescent="0.2">
      <c r="A440" s="8">
        <v>439</v>
      </c>
      <c r="B440" s="8" t="s">
        <v>2173</v>
      </c>
      <c r="C440" s="8" t="s">
        <v>2173</v>
      </c>
      <c r="F440" s="47"/>
      <c r="G440" s="8">
        <v>13</v>
      </c>
      <c r="H440" s="8" t="s">
        <v>21</v>
      </c>
      <c r="I440" s="8" t="s">
        <v>22</v>
      </c>
      <c r="J440" s="8" t="s">
        <v>22</v>
      </c>
      <c r="K440" s="8" t="s">
        <v>118</v>
      </c>
      <c r="L440" s="8" t="s">
        <v>65</v>
      </c>
      <c r="M440" s="8" t="s">
        <v>66</v>
      </c>
      <c r="N440" s="8" t="s">
        <v>2174</v>
      </c>
      <c r="O440" s="8">
        <f>1+13/60+47.2/3600</f>
        <v>1.2297777777777779</v>
      </c>
      <c r="P440" s="8" t="s">
        <v>2175</v>
      </c>
      <c r="Q440" s="8">
        <f>-(31+44/60+50/3600)</f>
        <v>-31.747222222222224</v>
      </c>
      <c r="R440" s="8">
        <v>11.5</v>
      </c>
      <c r="S440" s="8">
        <v>12.5</v>
      </c>
      <c r="T440" s="8">
        <v>1</v>
      </c>
      <c r="U440" s="8">
        <v>13</v>
      </c>
      <c r="V440" s="8">
        <v>2.5</v>
      </c>
      <c r="W440" s="8">
        <v>1.5</v>
      </c>
      <c r="X440" s="8">
        <v>156</v>
      </c>
      <c r="Y440" s="8" t="s">
        <v>2176</v>
      </c>
      <c r="Z440" s="8" t="s">
        <v>2177</v>
      </c>
    </row>
    <row r="441" spans="1:26" x14ac:dyDescent="0.2">
      <c r="A441" s="8">
        <v>440</v>
      </c>
      <c r="B441" s="8" t="s">
        <v>2178</v>
      </c>
      <c r="C441" s="8" t="s">
        <v>2178</v>
      </c>
      <c r="F441" s="47"/>
      <c r="G441" s="8">
        <v>16</v>
      </c>
      <c r="H441" s="8" t="s">
        <v>21</v>
      </c>
      <c r="I441" s="8" t="s">
        <v>22</v>
      </c>
      <c r="J441" s="8" t="s">
        <v>22</v>
      </c>
      <c r="K441" s="8" t="s">
        <v>396</v>
      </c>
      <c r="L441" s="8" t="s">
        <v>310</v>
      </c>
      <c r="M441" s="8" t="s">
        <v>311</v>
      </c>
      <c r="N441" s="8" t="s">
        <v>2179</v>
      </c>
      <c r="O441" s="8">
        <f>1+12/60+48.4/3600</f>
        <v>1.2134444444444443</v>
      </c>
      <c r="P441" s="8" t="s">
        <v>2180</v>
      </c>
      <c r="Q441" s="8">
        <f>-(58+16/60+58/3600)</f>
        <v>-58.282777777777774</v>
      </c>
      <c r="R441" s="8">
        <v>13.2</v>
      </c>
      <c r="S441" s="8">
        <v>13.7</v>
      </c>
      <c r="T441" s="8">
        <v>0.5</v>
      </c>
      <c r="U441" s="8">
        <v>12.8</v>
      </c>
      <c r="V441" s="8">
        <v>1.2</v>
      </c>
      <c r="W441" s="8">
        <v>0.7</v>
      </c>
      <c r="X441" s="8">
        <v>45</v>
      </c>
      <c r="Y441" s="8" t="s">
        <v>2181</v>
      </c>
      <c r="Z441" s="8" t="s">
        <v>2182</v>
      </c>
    </row>
    <row r="442" spans="1:26" x14ac:dyDescent="0.2">
      <c r="A442" s="8">
        <v>441</v>
      </c>
      <c r="B442" s="8" t="s">
        <v>2183</v>
      </c>
      <c r="C442" s="8" t="s">
        <v>2183</v>
      </c>
      <c r="F442" s="47"/>
      <c r="G442" s="8">
        <v>16</v>
      </c>
      <c r="H442" s="8" t="s">
        <v>21</v>
      </c>
      <c r="I442" s="8" t="s">
        <v>22</v>
      </c>
      <c r="J442" s="8" t="s">
        <v>22</v>
      </c>
      <c r="K442" s="8" t="s">
        <v>435</v>
      </c>
      <c r="L442" s="8" t="s">
        <v>65</v>
      </c>
      <c r="M442" s="8" t="s">
        <v>66</v>
      </c>
      <c r="N442" s="8" t="s">
        <v>2184</v>
      </c>
      <c r="O442" s="8">
        <f>1+13/60+51.1/3600</f>
        <v>1.2308611111111112</v>
      </c>
      <c r="P442" s="8" t="s">
        <v>2185</v>
      </c>
      <c r="Q442" s="8">
        <f>-(31+47/60+20/3600)</f>
        <v>-31.788888888888891</v>
      </c>
      <c r="R442" s="8">
        <v>12.7</v>
      </c>
      <c r="S442" s="8">
        <v>13.6</v>
      </c>
      <c r="T442" s="8">
        <v>0.9</v>
      </c>
      <c r="U442" s="8">
        <v>13</v>
      </c>
      <c r="V442" s="8">
        <v>1.4</v>
      </c>
      <c r="W442" s="8">
        <v>1.1000000000000001</v>
      </c>
      <c r="X442" s="8">
        <v>135</v>
      </c>
      <c r="Y442" s="8" t="s">
        <v>2186</v>
      </c>
      <c r="Z442" s="8" t="s">
        <v>2187</v>
      </c>
    </row>
    <row r="443" spans="1:26" x14ac:dyDescent="0.2">
      <c r="A443" s="8">
        <v>442</v>
      </c>
      <c r="B443" s="8" t="s">
        <v>2188</v>
      </c>
      <c r="C443" s="8" t="s">
        <v>2188</v>
      </c>
      <c r="F443" s="47"/>
      <c r="G443" s="8">
        <v>19</v>
      </c>
      <c r="H443" s="8" t="s">
        <v>21</v>
      </c>
      <c r="I443" s="8" t="s">
        <v>22</v>
      </c>
      <c r="J443" s="8" t="s">
        <v>22</v>
      </c>
      <c r="K443" s="8" t="s">
        <v>632</v>
      </c>
      <c r="L443" s="8" t="s">
        <v>125</v>
      </c>
      <c r="M443" s="8" t="s">
        <v>126</v>
      </c>
      <c r="N443" s="8" t="s">
        <v>2189</v>
      </c>
      <c r="O443" s="8">
        <f>1+14/60+38.6/3600</f>
        <v>1.2440555555555557</v>
      </c>
      <c r="P443" s="8" t="s">
        <v>2190</v>
      </c>
      <c r="Q443" s="8">
        <f>-(1+1/60+14/3600)</f>
        <v>-1.0205555555555554</v>
      </c>
      <c r="R443" s="8">
        <v>13.4</v>
      </c>
      <c r="S443" s="8">
        <v>14.3</v>
      </c>
      <c r="T443" s="8">
        <v>0.9</v>
      </c>
      <c r="U443" s="8">
        <v>12.7</v>
      </c>
      <c r="V443" s="8">
        <v>1</v>
      </c>
      <c r="W443" s="8">
        <v>0.5</v>
      </c>
      <c r="X443" s="8">
        <v>157</v>
      </c>
      <c r="Y443" s="8" t="s">
        <v>2191</v>
      </c>
      <c r="Z443" s="8" t="s">
        <v>2192</v>
      </c>
    </row>
    <row r="444" spans="1:26" x14ac:dyDescent="0.2">
      <c r="A444" s="8">
        <v>443</v>
      </c>
      <c r="B444" s="8" t="s">
        <v>2193</v>
      </c>
      <c r="C444" s="8" t="s">
        <v>2193</v>
      </c>
      <c r="F444" s="47"/>
      <c r="G444" s="8">
        <v>17</v>
      </c>
      <c r="H444" s="8" t="s">
        <v>21</v>
      </c>
      <c r="I444" s="8" t="s">
        <v>22</v>
      </c>
      <c r="J444" s="8" t="s">
        <v>22</v>
      </c>
      <c r="K444" s="8" t="s">
        <v>449</v>
      </c>
      <c r="L444" s="8" t="s">
        <v>38</v>
      </c>
      <c r="M444" s="8" t="s">
        <v>39</v>
      </c>
      <c r="N444" s="8" t="s">
        <v>2194</v>
      </c>
      <c r="O444" s="8">
        <f>1+15/60+7.5/3600</f>
        <v>1.2520833333333334</v>
      </c>
      <c r="P444" s="8" t="s">
        <v>2195</v>
      </c>
      <c r="Q444" s="8">
        <f>+(33+22/60+40/3600)</f>
        <v>33.37777777777778</v>
      </c>
      <c r="R444" s="8">
        <v>13.1</v>
      </c>
      <c r="S444" s="8">
        <v>13.9</v>
      </c>
      <c r="T444" s="8">
        <v>0.8</v>
      </c>
      <c r="U444" s="8">
        <v>12.3</v>
      </c>
      <c r="V444" s="8">
        <v>0.8</v>
      </c>
      <c r="W444" s="8">
        <v>0.7</v>
      </c>
      <c r="X444" s="8">
        <v>57</v>
      </c>
      <c r="Y444" s="8" t="s">
        <v>2196</v>
      </c>
      <c r="Z444" s="8" t="s">
        <v>2197</v>
      </c>
    </row>
    <row r="445" spans="1:26" x14ac:dyDescent="0.2">
      <c r="A445" s="8">
        <v>444</v>
      </c>
      <c r="B445" s="8" t="s">
        <v>2198</v>
      </c>
      <c r="C445" s="8" t="s">
        <v>2198</v>
      </c>
      <c r="F445" s="47"/>
      <c r="G445" s="8">
        <v>18</v>
      </c>
      <c r="H445" s="8" t="s">
        <v>21</v>
      </c>
      <c r="I445" s="8" t="s">
        <v>22</v>
      </c>
      <c r="J445" s="8" t="s">
        <v>22</v>
      </c>
      <c r="K445" s="8" t="s">
        <v>579</v>
      </c>
      <c r="L445" s="8" t="s">
        <v>38</v>
      </c>
      <c r="M445" s="8" t="s">
        <v>39</v>
      </c>
      <c r="N445" s="8" t="s">
        <v>2199</v>
      </c>
      <c r="O445" s="8">
        <f>1+15/60+49.6/3600</f>
        <v>1.2637777777777779</v>
      </c>
      <c r="P445" s="8" t="s">
        <v>2200</v>
      </c>
      <c r="Q445" s="8">
        <f>+(31+4/60+50/3600)</f>
        <v>31.080555555555556</v>
      </c>
      <c r="R445" s="8">
        <v>14.3</v>
      </c>
      <c r="S445" s="8">
        <v>15</v>
      </c>
      <c r="T445" s="8">
        <v>0.7</v>
      </c>
      <c r="U445" s="8">
        <v>13.9</v>
      </c>
      <c r="V445" s="8">
        <v>1.9</v>
      </c>
      <c r="W445" s="8">
        <v>0.4</v>
      </c>
      <c r="X445" s="8">
        <v>157</v>
      </c>
      <c r="Y445" s="8" t="s">
        <v>2201</v>
      </c>
      <c r="Z445" s="8" t="s">
        <v>2202</v>
      </c>
    </row>
    <row r="446" spans="1:26" x14ac:dyDescent="0.2">
      <c r="A446" s="8">
        <v>445</v>
      </c>
      <c r="B446" s="8" t="s">
        <v>2203</v>
      </c>
      <c r="C446" s="8" t="s">
        <v>2203</v>
      </c>
      <c r="F446" s="47"/>
      <c r="G446" s="8">
        <v>18</v>
      </c>
      <c r="H446" s="8" t="s">
        <v>21</v>
      </c>
      <c r="I446" s="8" t="s">
        <v>22</v>
      </c>
      <c r="J446" s="8" t="s">
        <v>22</v>
      </c>
      <c r="K446" s="8" t="s">
        <v>37</v>
      </c>
      <c r="L446" s="8" t="s">
        <v>125</v>
      </c>
      <c r="M446" s="8" t="s">
        <v>126</v>
      </c>
      <c r="N446" s="8" t="s">
        <v>2204</v>
      </c>
      <c r="O446" s="8">
        <f>1+14/60+52.6/3600</f>
        <v>1.2479444444444445</v>
      </c>
      <c r="P446" s="8" t="s">
        <v>2205</v>
      </c>
      <c r="Q446" s="8">
        <f>+(1+55/60+3/3600)</f>
        <v>1.9174999999999998</v>
      </c>
      <c r="R446" s="8">
        <v>14.2</v>
      </c>
      <c r="S446" s="8">
        <v>15.2</v>
      </c>
      <c r="T446" s="8">
        <v>1</v>
      </c>
      <c r="U446" s="8">
        <v>12.3</v>
      </c>
      <c r="V446" s="8">
        <v>0.5</v>
      </c>
      <c r="W446" s="8">
        <v>0.4</v>
      </c>
      <c r="X446" s="8">
        <v>153</v>
      </c>
      <c r="Y446" s="8" t="s">
        <v>282</v>
      </c>
      <c r="Z446" s="8" t="s">
        <v>283</v>
      </c>
    </row>
    <row r="447" spans="1:26" x14ac:dyDescent="0.2">
      <c r="A447" s="8">
        <v>446</v>
      </c>
      <c r="B447" s="8" t="s">
        <v>2206</v>
      </c>
      <c r="C447" s="8" t="s">
        <v>2206</v>
      </c>
      <c r="F447" s="47"/>
      <c r="G447" s="8">
        <v>18</v>
      </c>
      <c r="H447" s="8" t="s">
        <v>21</v>
      </c>
      <c r="I447" s="8" t="s">
        <v>22</v>
      </c>
      <c r="J447" s="8" t="s">
        <v>22</v>
      </c>
      <c r="K447" s="8" t="s">
        <v>224</v>
      </c>
      <c r="L447" s="8" t="s">
        <v>38</v>
      </c>
      <c r="M447" s="8" t="s">
        <v>39</v>
      </c>
      <c r="N447" s="8" t="s">
        <v>2207</v>
      </c>
      <c r="O447" s="8">
        <f>1+16/60+3.7/3600</f>
        <v>1.2676944444444445</v>
      </c>
      <c r="P447" s="8" t="s">
        <v>2208</v>
      </c>
      <c r="Q447" s="8">
        <f>+(4+17/60+40/3600)</f>
        <v>4.2944444444444443</v>
      </c>
      <c r="R447" s="8">
        <v>12.4</v>
      </c>
      <c r="S447" s="8">
        <v>13.4</v>
      </c>
      <c r="T447" s="8">
        <v>1</v>
      </c>
      <c r="U447" s="8">
        <v>13.5</v>
      </c>
      <c r="V447" s="8">
        <v>2</v>
      </c>
      <c r="W447" s="8">
        <v>1.6</v>
      </c>
      <c r="X447" s="8">
        <v>54</v>
      </c>
      <c r="Y447" s="8" t="s">
        <v>256</v>
      </c>
      <c r="Z447" s="8" t="s">
        <v>2209</v>
      </c>
    </row>
    <row r="448" spans="1:26" x14ac:dyDescent="0.2">
      <c r="A448" s="8">
        <v>447</v>
      </c>
      <c r="B448" s="8" t="s">
        <v>2210</v>
      </c>
      <c r="C448" s="8" t="s">
        <v>2210</v>
      </c>
      <c r="F448" s="47"/>
      <c r="G448" s="8">
        <v>17</v>
      </c>
      <c r="H448" s="8" t="s">
        <v>21</v>
      </c>
      <c r="I448" s="8" t="s">
        <v>22</v>
      </c>
      <c r="J448" s="8" t="s">
        <v>22</v>
      </c>
      <c r="K448" s="8" t="s">
        <v>435</v>
      </c>
      <c r="L448" s="8" t="s">
        <v>38</v>
      </c>
      <c r="M448" s="8" t="s">
        <v>39</v>
      </c>
      <c r="N448" s="8" t="s">
        <v>2211</v>
      </c>
      <c r="O448" s="8">
        <f>1+15/60+37.9/3600</f>
        <v>1.2605277777777777</v>
      </c>
      <c r="P448" s="8" t="s">
        <v>2212</v>
      </c>
      <c r="Q448" s="8">
        <f>+(33+3/60+59/3600)</f>
        <v>33.066388888888888</v>
      </c>
      <c r="R448" s="8">
        <v>14</v>
      </c>
      <c r="S448" s="8">
        <v>15.1</v>
      </c>
      <c r="T448" s="8">
        <v>1.1000000000000001</v>
      </c>
      <c r="U448" s="8">
        <v>15.6</v>
      </c>
      <c r="V448" s="8">
        <v>2.2000000000000002</v>
      </c>
      <c r="W448" s="8">
        <v>2.2000000000000002</v>
      </c>
      <c r="Y448" s="8" t="s">
        <v>2213</v>
      </c>
      <c r="Z448" s="8" t="s">
        <v>2214</v>
      </c>
    </row>
    <row r="449" spans="1:26" x14ac:dyDescent="0.2">
      <c r="A449" s="8">
        <v>448</v>
      </c>
      <c r="B449" s="8" t="s">
        <v>2215</v>
      </c>
      <c r="C449" s="8" t="s">
        <v>2215</v>
      </c>
      <c r="F449" s="47"/>
      <c r="G449" s="8">
        <v>19</v>
      </c>
      <c r="H449" s="8" t="s">
        <v>21</v>
      </c>
      <c r="I449" s="8" t="s">
        <v>22</v>
      </c>
      <c r="J449" s="8" t="s">
        <v>22</v>
      </c>
      <c r="K449" s="8" t="s">
        <v>58</v>
      </c>
      <c r="L449" s="8" t="s">
        <v>125</v>
      </c>
      <c r="M449" s="8" t="s">
        <v>126</v>
      </c>
      <c r="N449" s="8" t="s">
        <v>2216</v>
      </c>
      <c r="O449" s="8">
        <f>1+15/60+16.5/3600</f>
        <v>1.2545833333333334</v>
      </c>
      <c r="P449" s="8" t="s">
        <v>2217</v>
      </c>
      <c r="Q449" s="8">
        <f>-(1+37/60+31/3600)</f>
        <v>-1.6252777777777778</v>
      </c>
      <c r="R449" s="8">
        <v>12.1</v>
      </c>
      <c r="S449" s="8">
        <v>13.1</v>
      </c>
      <c r="T449" s="8">
        <v>1</v>
      </c>
      <c r="U449" s="8">
        <v>12.3</v>
      </c>
      <c r="V449" s="8">
        <v>1.6</v>
      </c>
      <c r="W449" s="8">
        <v>0.8</v>
      </c>
      <c r="X449" s="8">
        <v>116</v>
      </c>
      <c r="Y449" s="8" t="s">
        <v>2218</v>
      </c>
      <c r="Z449" s="8" t="s">
        <v>2219</v>
      </c>
    </row>
    <row r="450" spans="1:26" x14ac:dyDescent="0.2">
      <c r="A450" s="8">
        <v>449</v>
      </c>
      <c r="B450" s="8" t="s">
        <v>2220</v>
      </c>
      <c r="C450" s="8" t="s">
        <v>2220</v>
      </c>
      <c r="F450" s="47"/>
      <c r="G450" s="8">
        <v>19</v>
      </c>
      <c r="H450" s="8" t="s">
        <v>21</v>
      </c>
      <c r="I450" s="8" t="s">
        <v>22</v>
      </c>
      <c r="J450" s="8" t="s">
        <v>22</v>
      </c>
      <c r="K450" s="8" t="s">
        <v>23</v>
      </c>
      <c r="L450" s="8" t="s">
        <v>38</v>
      </c>
      <c r="M450" s="8" t="s">
        <v>39</v>
      </c>
      <c r="N450" s="8" t="s">
        <v>2221</v>
      </c>
      <c r="O450" s="8">
        <f>1+16/60+7.5/3600</f>
        <v>1.26875</v>
      </c>
      <c r="P450" s="8" t="s">
        <v>2222</v>
      </c>
      <c r="Q450" s="8">
        <f>+(33+5/60+20/3600)</f>
        <v>33.088888888888889</v>
      </c>
      <c r="R450" s="8">
        <v>14.2</v>
      </c>
      <c r="S450" s="8">
        <v>15</v>
      </c>
      <c r="T450" s="8">
        <v>0.8</v>
      </c>
      <c r="U450" s="8">
        <v>13</v>
      </c>
      <c r="V450" s="8">
        <v>0.8</v>
      </c>
      <c r="W450" s="8">
        <v>0.5</v>
      </c>
      <c r="X450" s="8">
        <v>71</v>
      </c>
      <c r="Y450" s="8" t="s">
        <v>2223</v>
      </c>
      <c r="Z450" s="8" t="s">
        <v>2224</v>
      </c>
    </row>
    <row r="451" spans="1:26" x14ac:dyDescent="0.2">
      <c r="A451" s="8">
        <v>450</v>
      </c>
      <c r="B451" s="8" t="s">
        <v>2225</v>
      </c>
      <c r="C451" s="8" t="s">
        <v>2225</v>
      </c>
      <c r="F451" s="47" t="s">
        <v>56067</v>
      </c>
      <c r="G451" s="8">
        <v>13</v>
      </c>
      <c r="H451" s="8" t="s">
        <v>21</v>
      </c>
      <c r="I451" s="8" t="s">
        <v>22</v>
      </c>
      <c r="J451" s="8" t="s">
        <v>22</v>
      </c>
      <c r="K451" s="8" t="s">
        <v>64</v>
      </c>
      <c r="L451" s="8" t="s">
        <v>125</v>
      </c>
      <c r="M451" s="8" t="s">
        <v>126</v>
      </c>
      <c r="N451" s="8" t="s">
        <v>2226</v>
      </c>
      <c r="O451" s="8">
        <f>1+15/60+30.4/3600</f>
        <v>1.2584444444444445</v>
      </c>
      <c r="P451" s="8" t="s">
        <v>2227</v>
      </c>
      <c r="Q451" s="8">
        <f>-(0+51/60+41/3600)</f>
        <v>-0.86138888888888887</v>
      </c>
      <c r="R451" s="8">
        <v>11.8</v>
      </c>
      <c r="S451" s="8">
        <v>12.5</v>
      </c>
      <c r="T451" s="8">
        <v>0.7</v>
      </c>
      <c r="U451" s="8">
        <v>13.8</v>
      </c>
      <c r="V451" s="8">
        <v>3</v>
      </c>
      <c r="W451" s="8">
        <v>2.4</v>
      </c>
      <c r="X451" s="8">
        <v>72</v>
      </c>
      <c r="Y451" s="8" t="s">
        <v>2228</v>
      </c>
      <c r="Z451" s="8" t="s">
        <v>2229</v>
      </c>
    </row>
    <row r="452" spans="1:26" x14ac:dyDescent="0.2">
      <c r="A452" s="8">
        <v>451</v>
      </c>
      <c r="B452" s="8" t="s">
        <v>2230</v>
      </c>
      <c r="C452" s="8" t="s">
        <v>2230</v>
      </c>
      <c r="F452" s="47"/>
      <c r="G452" s="8">
        <v>19</v>
      </c>
      <c r="H452" s="8" t="s">
        <v>21</v>
      </c>
      <c r="I452" s="8" t="s">
        <v>22</v>
      </c>
      <c r="J452" s="8" t="s">
        <v>22</v>
      </c>
      <c r="K452" s="8" t="s">
        <v>160</v>
      </c>
      <c r="L452" s="8" t="s">
        <v>38</v>
      </c>
      <c r="M452" s="8" t="s">
        <v>39</v>
      </c>
      <c r="N452" s="8" t="s">
        <v>2231</v>
      </c>
      <c r="O452" s="8">
        <f>1+16/60+12.4/3600</f>
        <v>1.270111111111111</v>
      </c>
      <c r="P452" s="8" t="s">
        <v>2232</v>
      </c>
      <c r="Q452" s="8">
        <f>+(33+3/60+49/3600)</f>
        <v>33.063611111111108</v>
      </c>
      <c r="R452" s="8">
        <v>14</v>
      </c>
      <c r="S452" s="8">
        <v>14.7</v>
      </c>
      <c r="T452" s="8">
        <v>0.7</v>
      </c>
      <c r="U452" s="8">
        <v>12.7</v>
      </c>
      <c r="V452" s="8">
        <v>0.7</v>
      </c>
      <c r="W452" s="8">
        <v>0.5</v>
      </c>
      <c r="X452" s="8">
        <v>35</v>
      </c>
      <c r="Y452" s="8" t="s">
        <v>2233</v>
      </c>
      <c r="Z452" s="8" t="s">
        <v>2234</v>
      </c>
    </row>
    <row r="453" spans="1:26" x14ac:dyDescent="0.2">
      <c r="A453" s="8">
        <v>452</v>
      </c>
      <c r="B453" s="8" t="s">
        <v>2235</v>
      </c>
      <c r="C453" s="8" t="s">
        <v>2235</v>
      </c>
      <c r="F453" s="47"/>
      <c r="G453" s="8">
        <v>16</v>
      </c>
      <c r="H453" s="8" t="s">
        <v>21</v>
      </c>
      <c r="I453" s="8" t="s">
        <v>22</v>
      </c>
      <c r="J453" s="8" t="s">
        <v>22</v>
      </c>
      <c r="K453" s="8" t="s">
        <v>406</v>
      </c>
      <c r="L453" s="8" t="s">
        <v>38</v>
      </c>
      <c r="M453" s="8" t="s">
        <v>39</v>
      </c>
      <c r="N453" s="8" t="s">
        <v>2236</v>
      </c>
      <c r="O453" s="8">
        <f>1+16/60+15/3600</f>
        <v>1.2708333333333333</v>
      </c>
      <c r="P453" s="8" t="s">
        <v>2237</v>
      </c>
      <c r="Q453" s="8">
        <f>+(31+2/60+0/3600)</f>
        <v>31.033333333333335</v>
      </c>
      <c r="R453" s="8">
        <v>12.5</v>
      </c>
      <c r="S453" s="8">
        <v>13.6</v>
      </c>
      <c r="T453" s="8">
        <v>1.1000000000000001</v>
      </c>
      <c r="U453" s="8">
        <v>13.2</v>
      </c>
      <c r="V453" s="8">
        <v>2.5</v>
      </c>
      <c r="W453" s="8">
        <v>0.8</v>
      </c>
      <c r="X453" s="8">
        <v>43</v>
      </c>
      <c r="Y453" s="8" t="s">
        <v>2238</v>
      </c>
      <c r="Z453" s="8" t="s">
        <v>2239</v>
      </c>
    </row>
    <row r="454" spans="1:26" x14ac:dyDescent="0.2">
      <c r="A454" s="8">
        <v>453</v>
      </c>
      <c r="B454" s="8" t="s">
        <v>2240</v>
      </c>
      <c r="C454" s="8" t="s">
        <v>2240</v>
      </c>
      <c r="F454" s="47"/>
      <c r="G454" s="8">
        <v>19</v>
      </c>
      <c r="H454" s="8" t="s">
        <v>21</v>
      </c>
      <c r="I454" s="8" t="s">
        <v>72</v>
      </c>
      <c r="J454" s="8" t="s">
        <v>72</v>
      </c>
      <c r="K454" s="8" t="s">
        <v>1802</v>
      </c>
      <c r="L454" s="8" t="s">
        <v>38</v>
      </c>
      <c r="M454" s="8" t="s">
        <v>39</v>
      </c>
      <c r="N454" s="8" t="s">
        <v>2241</v>
      </c>
      <c r="O454" s="8">
        <f>1+16/60+17.3/3600</f>
        <v>1.2714722222222221</v>
      </c>
      <c r="P454" s="8" t="s">
        <v>2242</v>
      </c>
      <c r="Q454" s="8">
        <f>+(33+0/60+53/3600)</f>
        <v>33.014722222222225</v>
      </c>
      <c r="R454" s="8">
        <v>99</v>
      </c>
      <c r="S454" s="8">
        <v>99</v>
      </c>
      <c r="T454" s="8">
        <v>99</v>
      </c>
      <c r="U454" s="8">
        <v>99</v>
      </c>
      <c r="Y454" s="8" t="s">
        <v>2243</v>
      </c>
      <c r="Z454" s="8" t="s">
        <v>2244</v>
      </c>
    </row>
    <row r="455" spans="1:26" x14ac:dyDescent="0.2">
      <c r="A455" s="8">
        <v>454</v>
      </c>
      <c r="B455" s="8" t="s">
        <v>2245</v>
      </c>
      <c r="C455" s="8" t="s">
        <v>2245</v>
      </c>
      <c r="E455" s="8">
        <v>1</v>
      </c>
      <c r="F455" s="47"/>
      <c r="G455" s="8">
        <v>16</v>
      </c>
      <c r="H455" s="8" t="s">
        <v>21</v>
      </c>
      <c r="I455" s="8" t="s">
        <v>22</v>
      </c>
      <c r="J455" s="8" t="s">
        <v>22</v>
      </c>
      <c r="K455" s="8" t="s">
        <v>124</v>
      </c>
      <c r="L455" s="8" t="s">
        <v>166</v>
      </c>
      <c r="M455" s="8" t="s">
        <v>167</v>
      </c>
      <c r="N455" s="8" t="s">
        <v>2246</v>
      </c>
      <c r="O455" s="8">
        <f>1+14/60+21.6/3600</f>
        <v>1.2393333333333334</v>
      </c>
      <c r="P455" s="8" t="s">
        <v>2247</v>
      </c>
      <c r="Q455" s="8">
        <f>-(55+24/60+2/3600)</f>
        <v>-55.400555555555556</v>
      </c>
      <c r="R455" s="8">
        <v>12.2</v>
      </c>
      <c r="S455" s="8">
        <v>13.1</v>
      </c>
      <c r="T455" s="8">
        <v>0.9</v>
      </c>
      <c r="U455" s="8">
        <v>13.1</v>
      </c>
      <c r="V455" s="8">
        <v>1.7</v>
      </c>
      <c r="W455" s="8">
        <v>1.5</v>
      </c>
      <c r="X455" s="8">
        <v>15</v>
      </c>
      <c r="Y455" s="8" t="s">
        <v>2248</v>
      </c>
      <c r="Z455" s="8" t="s">
        <v>2249</v>
      </c>
    </row>
    <row r="456" spans="1:26" x14ac:dyDescent="0.2">
      <c r="A456" s="8">
        <v>455</v>
      </c>
      <c r="B456" s="8" t="s">
        <v>2250</v>
      </c>
      <c r="C456" s="8" t="s">
        <v>2250</v>
      </c>
      <c r="F456" s="47"/>
      <c r="G456" s="8">
        <v>18</v>
      </c>
      <c r="H456" s="8" t="s">
        <v>21</v>
      </c>
      <c r="I456" s="8" t="s">
        <v>22</v>
      </c>
      <c r="J456" s="8" t="s">
        <v>22</v>
      </c>
      <c r="K456" s="8" t="s">
        <v>1174</v>
      </c>
      <c r="L456" s="8" t="s">
        <v>38</v>
      </c>
      <c r="M456" s="8" t="s">
        <v>39</v>
      </c>
      <c r="N456" s="8" t="s">
        <v>2251</v>
      </c>
      <c r="O456" s="8">
        <f>1+15/60+57.6/3600</f>
        <v>1.266</v>
      </c>
      <c r="P456" s="8" t="s">
        <v>2252</v>
      </c>
      <c r="Q456" s="8">
        <f>+(5+10/60+42/3600)</f>
        <v>5.1783333333333337</v>
      </c>
      <c r="R456" s="8">
        <v>12.7</v>
      </c>
      <c r="S456" s="8">
        <v>13.7</v>
      </c>
      <c r="T456" s="8">
        <v>1</v>
      </c>
      <c r="U456" s="8">
        <v>13.4</v>
      </c>
      <c r="V456" s="8">
        <v>2</v>
      </c>
      <c r="W456" s="8">
        <v>1.2</v>
      </c>
      <c r="X456" s="8">
        <v>153</v>
      </c>
      <c r="Y456" s="8" t="s">
        <v>2253</v>
      </c>
      <c r="Z456" s="8" t="s">
        <v>2254</v>
      </c>
    </row>
    <row r="457" spans="1:26" x14ac:dyDescent="0.2">
      <c r="A457" s="8">
        <v>456</v>
      </c>
      <c r="B457" s="8" t="s">
        <v>2255</v>
      </c>
      <c r="C457" s="8" t="s">
        <v>2255</v>
      </c>
      <c r="F457" s="47"/>
      <c r="G457" s="8">
        <v>16</v>
      </c>
      <c r="H457" s="8" t="s">
        <v>21</v>
      </c>
      <c r="I457" s="8" t="s">
        <v>1283</v>
      </c>
      <c r="J457" s="8" t="s">
        <v>1283</v>
      </c>
      <c r="K457" s="8" t="s">
        <v>1751</v>
      </c>
      <c r="L457" s="8" t="s">
        <v>310</v>
      </c>
      <c r="M457" s="8" t="s">
        <v>311</v>
      </c>
      <c r="N457" s="8" t="s">
        <v>2256</v>
      </c>
      <c r="O457" s="8">
        <f>1+13/60+46/3600</f>
        <v>1.2294444444444446</v>
      </c>
      <c r="P457" s="8" t="s">
        <v>2257</v>
      </c>
      <c r="Q457" s="8">
        <f>-(73+17/60+30/3600)</f>
        <v>-73.291666666666671</v>
      </c>
      <c r="R457" s="8">
        <v>99</v>
      </c>
      <c r="S457" s="8">
        <v>99</v>
      </c>
      <c r="T457" s="8">
        <v>99</v>
      </c>
      <c r="U457" s="8">
        <v>99</v>
      </c>
      <c r="V457" s="8">
        <v>15</v>
      </c>
      <c r="W457" s="8">
        <v>15</v>
      </c>
      <c r="Y457" s="8" t="s">
        <v>2258</v>
      </c>
      <c r="Z457" s="8" t="s">
        <v>2259</v>
      </c>
    </row>
    <row r="458" spans="1:26" x14ac:dyDescent="0.2">
      <c r="A458" s="8">
        <v>457</v>
      </c>
      <c r="B458" s="8" t="s">
        <v>2260</v>
      </c>
      <c r="C458" s="8" t="s">
        <v>2260</v>
      </c>
      <c r="F458" s="47" t="s">
        <v>56068</v>
      </c>
      <c r="G458" s="8">
        <v>2</v>
      </c>
      <c r="H458" s="8" t="s">
        <v>2261</v>
      </c>
      <c r="I458" s="8" t="s">
        <v>557</v>
      </c>
      <c r="J458" s="8" t="s">
        <v>557</v>
      </c>
      <c r="K458" s="8" t="s">
        <v>2262</v>
      </c>
      <c r="L458" s="8" t="s">
        <v>559</v>
      </c>
      <c r="M458" s="8" t="s">
        <v>560</v>
      </c>
      <c r="N458" s="8" t="s">
        <v>2263</v>
      </c>
      <c r="O458" s="8">
        <f>1+19/60+33/3600</f>
        <v>1.3258333333333334</v>
      </c>
      <c r="P458" s="8" t="s">
        <v>2264</v>
      </c>
      <c r="Q458" s="8">
        <f>+(58+17/60+42/3600)</f>
        <v>58.294999999999995</v>
      </c>
      <c r="R458" s="8">
        <v>6.4</v>
      </c>
      <c r="S458" s="8">
        <v>99</v>
      </c>
      <c r="T458" s="8">
        <v>99</v>
      </c>
      <c r="U458" s="8">
        <v>99</v>
      </c>
      <c r="V458" s="8">
        <v>20</v>
      </c>
      <c r="Y458" s="8" t="s">
        <v>2265</v>
      </c>
      <c r="Z458" s="8" t="s">
        <v>2266</v>
      </c>
    </row>
    <row r="459" spans="1:26" x14ac:dyDescent="0.2">
      <c r="A459" s="8">
        <v>458</v>
      </c>
      <c r="B459" s="8" t="s">
        <v>2267</v>
      </c>
      <c r="C459" s="8" t="s">
        <v>2267</v>
      </c>
      <c r="F459" s="47"/>
      <c r="G459" s="8">
        <v>16</v>
      </c>
      <c r="H459" s="8" t="s">
        <v>21</v>
      </c>
      <c r="I459" s="8" t="s">
        <v>557</v>
      </c>
      <c r="J459" s="8" t="s">
        <v>557</v>
      </c>
      <c r="K459" s="8" t="s">
        <v>557</v>
      </c>
      <c r="L459" s="8" t="s">
        <v>310</v>
      </c>
      <c r="M459" s="8" t="s">
        <v>311</v>
      </c>
      <c r="N459" s="8" t="s">
        <v>2268</v>
      </c>
      <c r="O459" s="8">
        <f>1+14/60+51.6/3600</f>
        <v>1.2476666666666667</v>
      </c>
      <c r="P459" s="8" t="s">
        <v>2269</v>
      </c>
      <c r="Q459" s="8">
        <f>-(71+33/60+4/3600)</f>
        <v>-71.551111111111112</v>
      </c>
      <c r="R459" s="8">
        <v>99</v>
      </c>
      <c r="S459" s="8">
        <v>10.5</v>
      </c>
      <c r="T459" s="8">
        <v>99</v>
      </c>
      <c r="U459" s="8">
        <v>99</v>
      </c>
      <c r="V459" s="8">
        <v>1.5</v>
      </c>
      <c r="Y459" s="8" t="s">
        <v>2270</v>
      </c>
      <c r="Z459" s="8" t="s">
        <v>2271</v>
      </c>
    </row>
    <row r="460" spans="1:26" x14ac:dyDescent="0.2">
      <c r="A460" s="8">
        <v>459</v>
      </c>
      <c r="B460" s="8" t="s">
        <v>2272</v>
      </c>
      <c r="C460" s="8" t="s">
        <v>2272</v>
      </c>
      <c r="F460" s="47" t="s">
        <v>56069</v>
      </c>
      <c r="G460" s="8">
        <v>15</v>
      </c>
      <c r="H460" s="8" t="s">
        <v>21</v>
      </c>
      <c r="I460" s="8" t="s">
        <v>22</v>
      </c>
      <c r="J460" s="8" t="s">
        <v>22</v>
      </c>
      <c r="K460" s="8" t="s">
        <v>396</v>
      </c>
      <c r="L460" s="8" t="s">
        <v>38</v>
      </c>
      <c r="M460" s="8" t="s">
        <v>39</v>
      </c>
      <c r="N460" s="8" t="s">
        <v>2273</v>
      </c>
      <c r="O460" s="8">
        <f>1+18/60+8.2/3600</f>
        <v>1.3022777777777779</v>
      </c>
      <c r="P460" s="8" t="s">
        <v>2274</v>
      </c>
      <c r="Q460" s="8">
        <f>+(17+33/60+45/3600)</f>
        <v>17.5625</v>
      </c>
      <c r="R460" s="8">
        <v>14.4</v>
      </c>
      <c r="S460" s="8">
        <v>15.2</v>
      </c>
      <c r="T460" s="8">
        <v>0.8</v>
      </c>
      <c r="U460" s="8">
        <v>13.3</v>
      </c>
      <c r="V460" s="8">
        <v>0.7</v>
      </c>
      <c r="W460" s="8">
        <v>0.6</v>
      </c>
      <c r="X460" s="8">
        <v>33</v>
      </c>
      <c r="Y460" s="8" t="s">
        <v>47</v>
      </c>
      <c r="Z460" s="8" t="s">
        <v>48</v>
      </c>
    </row>
    <row r="461" spans="1:26" x14ac:dyDescent="0.2">
      <c r="A461" s="8">
        <v>460</v>
      </c>
      <c r="B461" s="8" t="s">
        <v>2275</v>
      </c>
      <c r="C461" s="8" t="s">
        <v>2275</v>
      </c>
      <c r="F461" s="47"/>
      <c r="G461" s="8">
        <v>16</v>
      </c>
      <c r="H461" s="8" t="s">
        <v>21</v>
      </c>
      <c r="I461" s="8" t="s">
        <v>557</v>
      </c>
      <c r="J461" s="8" t="s">
        <v>557</v>
      </c>
      <c r="K461" s="8" t="s">
        <v>1816</v>
      </c>
      <c r="L461" s="8" t="s">
        <v>310</v>
      </c>
      <c r="M461" s="8" t="s">
        <v>311</v>
      </c>
      <c r="N461" s="8" t="s">
        <v>2276</v>
      </c>
      <c r="O461" s="8">
        <f>1+14/60+38/3600</f>
        <v>1.243888888888889</v>
      </c>
      <c r="P461" s="8" t="s">
        <v>2257</v>
      </c>
      <c r="Q461" s="8">
        <f>-(73+17/60+30/3600)</f>
        <v>-73.291666666666671</v>
      </c>
      <c r="R461" s="8">
        <v>12.5</v>
      </c>
      <c r="S461" s="8">
        <v>99</v>
      </c>
      <c r="T461" s="8">
        <v>99</v>
      </c>
      <c r="U461" s="8">
        <v>99</v>
      </c>
      <c r="V461" s="8">
        <v>1</v>
      </c>
      <c r="Y461" s="8" t="s">
        <v>2277</v>
      </c>
      <c r="Z461" s="8" t="s">
        <v>2278</v>
      </c>
    </row>
    <row r="462" spans="1:26" x14ac:dyDescent="0.2">
      <c r="A462" s="8">
        <v>461</v>
      </c>
      <c r="B462" s="8" t="s">
        <v>2279</v>
      </c>
      <c r="C462" s="8" t="s">
        <v>2279</v>
      </c>
      <c r="F462" s="47"/>
      <c r="G462" s="8">
        <v>16</v>
      </c>
      <c r="H462" s="8" t="s">
        <v>21</v>
      </c>
      <c r="I462" s="8" t="s">
        <v>22</v>
      </c>
      <c r="J462" s="8" t="s">
        <v>22</v>
      </c>
      <c r="K462" s="8" t="s">
        <v>64</v>
      </c>
      <c r="L462" s="8" t="s">
        <v>65</v>
      </c>
      <c r="M462" s="8" t="s">
        <v>66</v>
      </c>
      <c r="N462" s="8" t="s">
        <v>2280</v>
      </c>
      <c r="O462" s="8">
        <f>1+17/60+20.3/3600</f>
        <v>1.2889722222222222</v>
      </c>
      <c r="P462" s="8" t="s">
        <v>2281</v>
      </c>
      <c r="Q462" s="8">
        <f>-(33+50/60+28/3600)</f>
        <v>-33.841111111111111</v>
      </c>
      <c r="R462" s="8">
        <v>13.3</v>
      </c>
      <c r="S462" s="8">
        <v>14</v>
      </c>
      <c r="T462" s="8">
        <v>0.7</v>
      </c>
      <c r="U462" s="8">
        <v>13.3</v>
      </c>
      <c r="V462" s="8">
        <v>1.2</v>
      </c>
      <c r="W462" s="8">
        <v>0.9</v>
      </c>
      <c r="X462" s="8">
        <v>23</v>
      </c>
      <c r="Y462" s="8" t="s">
        <v>2282</v>
      </c>
      <c r="Z462" s="8" t="s">
        <v>2283</v>
      </c>
    </row>
    <row r="463" spans="1:26" x14ac:dyDescent="0.2">
      <c r="A463" s="8">
        <v>462</v>
      </c>
      <c r="B463" s="8" t="s">
        <v>2284</v>
      </c>
      <c r="C463" s="8" t="s">
        <v>2284</v>
      </c>
      <c r="F463" s="47"/>
      <c r="G463" s="8">
        <v>18</v>
      </c>
      <c r="H463" s="8" t="s">
        <v>21</v>
      </c>
      <c r="I463" s="8" t="s">
        <v>22</v>
      </c>
      <c r="J463" s="8" t="s">
        <v>22</v>
      </c>
      <c r="K463" s="8" t="s">
        <v>460</v>
      </c>
      <c r="L463" s="8" t="s">
        <v>38</v>
      </c>
      <c r="M463" s="8" t="s">
        <v>39</v>
      </c>
      <c r="N463" s="8" t="s">
        <v>2285</v>
      </c>
      <c r="O463" s="8">
        <f>1+18/60+10.9/3600</f>
        <v>1.3030277777777779</v>
      </c>
      <c r="P463" s="8" t="s">
        <v>2286</v>
      </c>
      <c r="Q463" s="8">
        <f>+(4+13/60+35/3600)</f>
        <v>4.2263888888888888</v>
      </c>
      <c r="R463" s="8">
        <v>14.7</v>
      </c>
      <c r="S463" s="8">
        <v>15.7</v>
      </c>
      <c r="T463" s="8">
        <v>1</v>
      </c>
      <c r="U463" s="8">
        <v>12.8</v>
      </c>
      <c r="V463" s="8">
        <v>0.4</v>
      </c>
      <c r="W463" s="8">
        <v>0.4</v>
      </c>
      <c r="Y463" s="8" t="s">
        <v>2287</v>
      </c>
      <c r="Z463" s="8" t="s">
        <v>2288</v>
      </c>
    </row>
    <row r="464" spans="1:26" x14ac:dyDescent="0.2">
      <c r="A464" s="8">
        <v>463</v>
      </c>
      <c r="B464" s="8" t="s">
        <v>2289</v>
      </c>
      <c r="C464" s="8" t="s">
        <v>2289</v>
      </c>
      <c r="F464" s="47"/>
      <c r="G464" s="8">
        <v>18</v>
      </c>
      <c r="H464" s="8" t="s">
        <v>21</v>
      </c>
      <c r="I464" s="8" t="s">
        <v>22</v>
      </c>
      <c r="J464" s="8" t="s">
        <v>22</v>
      </c>
      <c r="K464" s="8" t="s">
        <v>632</v>
      </c>
      <c r="L464" s="8" t="s">
        <v>38</v>
      </c>
      <c r="M464" s="8" t="s">
        <v>39</v>
      </c>
      <c r="N464" s="8" t="s">
        <v>2290</v>
      </c>
      <c r="O464" s="8">
        <f>1+18/60+58.2/3600</f>
        <v>1.3161666666666667</v>
      </c>
      <c r="P464" s="8" t="s">
        <v>2291</v>
      </c>
      <c r="Q464" s="8">
        <f>+(16+19/60+31/3600)</f>
        <v>16.325277777777778</v>
      </c>
      <c r="R464" s="8">
        <v>14.1</v>
      </c>
      <c r="S464" s="8">
        <v>15</v>
      </c>
      <c r="T464" s="8">
        <v>0.9</v>
      </c>
      <c r="U464" s="8">
        <v>13.2</v>
      </c>
      <c r="V464" s="8">
        <v>1</v>
      </c>
      <c r="W464" s="8">
        <v>0.4</v>
      </c>
      <c r="X464" s="8">
        <v>4</v>
      </c>
      <c r="Y464" s="8" t="s">
        <v>348</v>
      </c>
      <c r="Z464" s="8" t="s">
        <v>349</v>
      </c>
    </row>
    <row r="465" spans="1:26" x14ac:dyDescent="0.2">
      <c r="A465" s="8">
        <v>464</v>
      </c>
      <c r="B465" s="8" t="s">
        <v>2292</v>
      </c>
      <c r="C465" s="8" t="s">
        <v>2292</v>
      </c>
      <c r="F465" s="47"/>
      <c r="G465" s="8">
        <v>19</v>
      </c>
      <c r="H465" s="8" t="s">
        <v>21</v>
      </c>
      <c r="I465" s="8" t="s">
        <v>72</v>
      </c>
      <c r="J465" s="8" t="s">
        <v>72</v>
      </c>
      <c r="K465" s="8" t="s">
        <v>73</v>
      </c>
      <c r="L465" s="8" t="s">
        <v>51</v>
      </c>
      <c r="M465" s="8" t="s">
        <v>52</v>
      </c>
      <c r="N465" s="8" t="s">
        <v>2293</v>
      </c>
      <c r="O465" s="8">
        <f>1+19/60+26.6/3600</f>
        <v>1.3240555555555555</v>
      </c>
      <c r="P465" s="8" t="s">
        <v>2294</v>
      </c>
      <c r="Q465" s="8">
        <f>+(34+57/60+21/3600)</f>
        <v>34.955833333333338</v>
      </c>
      <c r="R465" s="8">
        <v>99</v>
      </c>
      <c r="S465" s="8">
        <v>99</v>
      </c>
      <c r="T465" s="8">
        <v>99</v>
      </c>
      <c r="U465" s="8">
        <v>99</v>
      </c>
      <c r="Y465" s="8" t="s">
        <v>2295</v>
      </c>
      <c r="Z465" s="8" t="s">
        <v>449</v>
      </c>
    </row>
    <row r="466" spans="1:26" x14ac:dyDescent="0.2">
      <c r="A466" s="8">
        <v>465</v>
      </c>
      <c r="B466" s="8" t="s">
        <v>2296</v>
      </c>
      <c r="C466" s="8" t="s">
        <v>2296</v>
      </c>
      <c r="F466" s="47"/>
      <c r="G466" s="8">
        <v>16</v>
      </c>
      <c r="H466" s="8" t="s">
        <v>21</v>
      </c>
      <c r="I466" s="8" t="s">
        <v>557</v>
      </c>
      <c r="J466" s="8" t="s">
        <v>557</v>
      </c>
      <c r="K466" s="8" t="s">
        <v>557</v>
      </c>
      <c r="L466" s="8" t="s">
        <v>310</v>
      </c>
      <c r="M466" s="8" t="s">
        <v>311</v>
      </c>
      <c r="N466" s="8" t="s">
        <v>2297</v>
      </c>
      <c r="O466" s="8">
        <f>1+15/60+42.7/3600</f>
        <v>1.2618611111111111</v>
      </c>
      <c r="P466" s="8" t="s">
        <v>2298</v>
      </c>
      <c r="Q466" s="8">
        <f>-(73+19/60+27/3600)</f>
        <v>-73.324166666666656</v>
      </c>
      <c r="R466" s="8">
        <v>11.5</v>
      </c>
      <c r="S466" s="8">
        <v>99</v>
      </c>
      <c r="T466" s="8">
        <v>99</v>
      </c>
      <c r="U466" s="8">
        <v>99</v>
      </c>
      <c r="V466" s="8">
        <v>2</v>
      </c>
      <c r="Y466" s="8" t="s">
        <v>2299</v>
      </c>
      <c r="Z466" s="8" t="s">
        <v>2300</v>
      </c>
    </row>
    <row r="467" spans="1:26" x14ac:dyDescent="0.2">
      <c r="A467" s="8">
        <v>466</v>
      </c>
      <c r="B467" s="8" t="s">
        <v>2301</v>
      </c>
      <c r="C467" s="8" t="s">
        <v>2301</v>
      </c>
      <c r="F467" s="47"/>
      <c r="G467" s="8">
        <v>16</v>
      </c>
      <c r="H467" s="8" t="s">
        <v>21</v>
      </c>
      <c r="I467" s="8" t="s">
        <v>22</v>
      </c>
      <c r="J467" s="8" t="s">
        <v>22</v>
      </c>
      <c r="K467" s="8" t="s">
        <v>632</v>
      </c>
      <c r="L467" s="8" t="s">
        <v>310</v>
      </c>
      <c r="M467" s="8" t="s">
        <v>311</v>
      </c>
      <c r="N467" s="8" t="s">
        <v>2302</v>
      </c>
      <c r="O467" s="8">
        <f>1+17/60+13.5/3600</f>
        <v>1.2870833333333331</v>
      </c>
      <c r="P467" s="8" t="s">
        <v>2303</v>
      </c>
      <c r="Q467" s="8">
        <f>-(58+54/60+35/3600)</f>
        <v>-58.909722222222221</v>
      </c>
      <c r="R467" s="8">
        <v>12.7</v>
      </c>
      <c r="S467" s="8">
        <v>13.6</v>
      </c>
      <c r="T467" s="8">
        <v>0.9</v>
      </c>
      <c r="U467" s="8">
        <v>13.6</v>
      </c>
      <c r="V467" s="8">
        <v>1.7</v>
      </c>
      <c r="W467" s="8">
        <v>1.5</v>
      </c>
      <c r="X467" s="8">
        <v>103</v>
      </c>
      <c r="Y467" s="8" t="s">
        <v>2304</v>
      </c>
      <c r="Z467" s="8" t="s">
        <v>2305</v>
      </c>
    </row>
    <row r="468" spans="1:26" x14ac:dyDescent="0.2">
      <c r="A468" s="8">
        <v>467</v>
      </c>
      <c r="B468" s="8" t="s">
        <v>2306</v>
      </c>
      <c r="C468" s="8" t="s">
        <v>2306</v>
      </c>
      <c r="F468" s="47" t="s">
        <v>56070</v>
      </c>
      <c r="G468" s="8">
        <v>15</v>
      </c>
      <c r="H468" s="8" t="s">
        <v>21</v>
      </c>
      <c r="I468" s="8" t="s">
        <v>22</v>
      </c>
      <c r="J468" s="8" t="s">
        <v>22</v>
      </c>
      <c r="K468" s="8" t="s">
        <v>37</v>
      </c>
      <c r="L468" s="8" t="s">
        <v>38</v>
      </c>
      <c r="M468" s="8" t="s">
        <v>39</v>
      </c>
      <c r="N468" s="8" t="s">
        <v>2307</v>
      </c>
      <c r="O468" s="8">
        <f>1+19/60+10.1/3600</f>
        <v>1.3194722222222222</v>
      </c>
      <c r="P468" s="8" t="s">
        <v>2308</v>
      </c>
      <c r="Q468" s="8">
        <f>+(3+18/60+5/3600)</f>
        <v>3.3013888888888889</v>
      </c>
      <c r="R468" s="8">
        <v>11.8</v>
      </c>
      <c r="S468" s="8">
        <v>12.9</v>
      </c>
      <c r="T468" s="8">
        <v>1.1000000000000001</v>
      </c>
      <c r="U468" s="8">
        <v>12.8</v>
      </c>
      <c r="V468" s="8">
        <v>1.7</v>
      </c>
      <c r="W468" s="8">
        <v>1.7</v>
      </c>
      <c r="Y468" s="8" t="s">
        <v>2083</v>
      </c>
      <c r="Z468" s="8" t="s">
        <v>2084</v>
      </c>
    </row>
    <row r="469" spans="1:26" x14ac:dyDescent="0.2">
      <c r="A469" s="8">
        <v>468</v>
      </c>
      <c r="B469" s="8" t="s">
        <v>2309</v>
      </c>
      <c r="C469" s="8" t="s">
        <v>2309</v>
      </c>
      <c r="F469" s="47"/>
      <c r="G469" s="8">
        <v>16</v>
      </c>
      <c r="H469" s="8" t="s">
        <v>21</v>
      </c>
      <c r="I469" s="8" t="s">
        <v>22</v>
      </c>
      <c r="J469" s="8" t="s">
        <v>22</v>
      </c>
      <c r="K469" s="8" t="s">
        <v>632</v>
      </c>
      <c r="L469" s="8" t="s">
        <v>38</v>
      </c>
      <c r="M469" s="8" t="s">
        <v>39</v>
      </c>
      <c r="N469" s="8" t="s">
        <v>2310</v>
      </c>
      <c r="O469" s="8">
        <f>1+19/60+48.4/3600</f>
        <v>1.330111111111111</v>
      </c>
      <c r="P469" s="8" t="s">
        <v>2311</v>
      </c>
      <c r="Q469" s="8">
        <f>+(32+46/60+2/3600)</f>
        <v>32.767222222222223</v>
      </c>
      <c r="R469" s="8">
        <v>14.3</v>
      </c>
      <c r="S469" s="8">
        <v>15.2</v>
      </c>
      <c r="T469" s="8">
        <v>0.9</v>
      </c>
      <c r="U469" s="8">
        <v>13.2</v>
      </c>
      <c r="V469" s="8">
        <v>0.7</v>
      </c>
      <c r="W469" s="8">
        <v>0.4</v>
      </c>
      <c r="X469" s="8">
        <v>171</v>
      </c>
      <c r="Y469" s="8" t="s">
        <v>2312</v>
      </c>
      <c r="Z469" s="8" t="s">
        <v>2313</v>
      </c>
    </row>
    <row r="470" spans="1:26" x14ac:dyDescent="0.2">
      <c r="A470" s="8">
        <v>469</v>
      </c>
      <c r="B470" s="8" t="s">
        <v>2314</v>
      </c>
      <c r="C470" s="8" t="s">
        <v>2314</v>
      </c>
      <c r="F470" s="47"/>
      <c r="G470" s="8">
        <v>18</v>
      </c>
      <c r="H470" s="8" t="s">
        <v>21</v>
      </c>
      <c r="I470" s="8" t="s">
        <v>22</v>
      </c>
      <c r="J470" s="8" t="s">
        <v>22</v>
      </c>
      <c r="K470" s="8" t="s">
        <v>449</v>
      </c>
      <c r="L470" s="8" t="s">
        <v>38</v>
      </c>
      <c r="M470" s="8" t="s">
        <v>39</v>
      </c>
      <c r="N470" s="8" t="s">
        <v>2263</v>
      </c>
      <c r="O470" s="8">
        <f>1+19/60+33/3600</f>
        <v>1.3258333333333334</v>
      </c>
      <c r="P470" s="8" t="s">
        <v>2315</v>
      </c>
      <c r="Q470" s="8">
        <f>+(14+52/60+19/3600)</f>
        <v>14.871944444444445</v>
      </c>
      <c r="R470" s="8">
        <v>14.1</v>
      </c>
      <c r="S470" s="8">
        <v>14.9</v>
      </c>
      <c r="T470" s="8">
        <v>0.8</v>
      </c>
      <c r="U470" s="8">
        <v>12.4</v>
      </c>
      <c r="V470" s="8">
        <v>0.7</v>
      </c>
      <c r="W470" s="8">
        <v>0.4</v>
      </c>
      <c r="X470" s="8">
        <v>165</v>
      </c>
      <c r="Y470" s="8" t="s">
        <v>227</v>
      </c>
      <c r="Z470" s="8" t="s">
        <v>228</v>
      </c>
    </row>
    <row r="471" spans="1:26" x14ac:dyDescent="0.2">
      <c r="A471" s="8">
        <v>470</v>
      </c>
      <c r="B471" s="8" t="s">
        <v>2316</v>
      </c>
      <c r="C471" s="8" t="s">
        <v>2316</v>
      </c>
      <c r="F471" s="47" t="s">
        <v>56071</v>
      </c>
      <c r="G471" s="8">
        <v>13</v>
      </c>
      <c r="H471" s="8" t="s">
        <v>21</v>
      </c>
      <c r="I471" s="8" t="s">
        <v>22</v>
      </c>
      <c r="J471" s="8" t="s">
        <v>22</v>
      </c>
      <c r="K471" s="8" t="s">
        <v>23</v>
      </c>
      <c r="L471" s="8" t="s">
        <v>38</v>
      </c>
      <c r="M471" s="8" t="s">
        <v>39</v>
      </c>
      <c r="N471" s="8" t="s">
        <v>2317</v>
      </c>
      <c r="O471" s="8">
        <f>1+19/60+44.8/3600</f>
        <v>1.3291111111111111</v>
      </c>
      <c r="P471" s="8" t="s">
        <v>2318</v>
      </c>
      <c r="Q471" s="8">
        <f>+(3+24/60+33/3600)</f>
        <v>3.4091666666666667</v>
      </c>
      <c r="R471" s="8">
        <v>11.8</v>
      </c>
      <c r="S471" s="8">
        <v>12.5</v>
      </c>
      <c r="T471" s="8">
        <v>0.7</v>
      </c>
      <c r="U471" s="8">
        <v>13.3</v>
      </c>
      <c r="V471" s="8">
        <v>2.9</v>
      </c>
      <c r="W471" s="8">
        <v>1.7</v>
      </c>
      <c r="X471" s="8">
        <v>155</v>
      </c>
      <c r="Y471" s="8" t="s">
        <v>2319</v>
      </c>
      <c r="Z471" s="8" t="s">
        <v>2320</v>
      </c>
    </row>
    <row r="472" spans="1:26" x14ac:dyDescent="0.2">
      <c r="A472" s="8">
        <v>471</v>
      </c>
      <c r="B472" s="8" t="s">
        <v>2321</v>
      </c>
      <c r="C472" s="8" t="s">
        <v>2321</v>
      </c>
      <c r="F472" s="47"/>
      <c r="G472" s="8">
        <v>18</v>
      </c>
      <c r="H472" s="8" t="s">
        <v>21</v>
      </c>
      <c r="I472" s="8" t="s">
        <v>22</v>
      </c>
      <c r="J472" s="8" t="s">
        <v>22</v>
      </c>
      <c r="K472" s="8" t="s">
        <v>37</v>
      </c>
      <c r="L472" s="8" t="s">
        <v>38</v>
      </c>
      <c r="M472" s="8" t="s">
        <v>39</v>
      </c>
      <c r="N472" s="8" t="s">
        <v>2322</v>
      </c>
      <c r="O472" s="8">
        <f>1+19/60+59.6/3600</f>
        <v>1.3332222222222223</v>
      </c>
      <c r="P472" s="8" t="s">
        <v>2323</v>
      </c>
      <c r="Q472" s="8">
        <f>+(14+47/60+9/3600)</f>
        <v>14.785833333333333</v>
      </c>
      <c r="R472" s="8">
        <v>13.3</v>
      </c>
      <c r="S472" s="8">
        <v>14.2</v>
      </c>
      <c r="T472" s="8">
        <v>0.9</v>
      </c>
      <c r="U472" s="8">
        <v>12.8</v>
      </c>
      <c r="V472" s="8">
        <v>1</v>
      </c>
      <c r="W472" s="8">
        <v>0.7</v>
      </c>
      <c r="X472" s="8">
        <v>85</v>
      </c>
      <c r="Y472" s="8" t="s">
        <v>2324</v>
      </c>
      <c r="Z472" s="8" t="s">
        <v>2325</v>
      </c>
    </row>
    <row r="473" spans="1:26" x14ac:dyDescent="0.2">
      <c r="A473" s="8">
        <v>472</v>
      </c>
      <c r="B473" s="8" t="s">
        <v>2326</v>
      </c>
      <c r="C473" s="8" t="s">
        <v>2326</v>
      </c>
      <c r="F473" s="47"/>
      <c r="G473" s="8">
        <v>18</v>
      </c>
      <c r="H473" s="8" t="s">
        <v>21</v>
      </c>
      <c r="I473" s="8" t="s">
        <v>22</v>
      </c>
      <c r="J473" s="8" t="s">
        <v>22</v>
      </c>
      <c r="K473" s="8" t="s">
        <v>632</v>
      </c>
      <c r="L473" s="8" t="s">
        <v>38</v>
      </c>
      <c r="M473" s="8" t="s">
        <v>39</v>
      </c>
      <c r="N473" s="8" t="s">
        <v>2327</v>
      </c>
      <c r="O473" s="8">
        <f>1+20/60+28.9/3600</f>
        <v>1.341361111111111</v>
      </c>
      <c r="P473" s="8" t="s">
        <v>2328</v>
      </c>
      <c r="Q473" s="8">
        <f>+(32+42/60+30/3600)</f>
        <v>32.708333333333336</v>
      </c>
      <c r="R473" s="8">
        <v>13.3</v>
      </c>
      <c r="S473" s="8">
        <v>14.2</v>
      </c>
      <c r="T473" s="8">
        <v>0.9</v>
      </c>
      <c r="U473" s="8">
        <v>13.6</v>
      </c>
      <c r="V473" s="8">
        <v>1.3</v>
      </c>
      <c r="W473" s="8">
        <v>1.1000000000000001</v>
      </c>
      <c r="X473" s="8">
        <v>120</v>
      </c>
      <c r="Y473" s="8" t="s">
        <v>227</v>
      </c>
      <c r="Z473" s="8" t="s">
        <v>2329</v>
      </c>
    </row>
    <row r="474" spans="1:26" x14ac:dyDescent="0.2">
      <c r="A474" s="8">
        <v>473</v>
      </c>
      <c r="B474" s="8" t="s">
        <v>2330</v>
      </c>
      <c r="C474" s="8" t="s">
        <v>2330</v>
      </c>
      <c r="F474" s="47" t="s">
        <v>56072</v>
      </c>
      <c r="G474" s="8">
        <v>15</v>
      </c>
      <c r="H474" s="8" t="s">
        <v>21</v>
      </c>
      <c r="I474" s="8" t="s">
        <v>22</v>
      </c>
      <c r="J474" s="8" t="s">
        <v>22</v>
      </c>
      <c r="K474" s="8" t="s">
        <v>435</v>
      </c>
      <c r="L474" s="8" t="s">
        <v>38</v>
      </c>
      <c r="M474" s="8" t="s">
        <v>39</v>
      </c>
      <c r="N474" s="8" t="s">
        <v>2331</v>
      </c>
      <c r="O474" s="8">
        <f>1+19/60+54.9/3600</f>
        <v>1.3319166666666666</v>
      </c>
      <c r="P474" s="8" t="s">
        <v>2332</v>
      </c>
      <c r="Q474" s="8">
        <f>+(16+32/60+42/3600)</f>
        <v>16.545000000000002</v>
      </c>
      <c r="R474" s="8">
        <v>12.5</v>
      </c>
      <c r="S474" s="8">
        <v>13.3</v>
      </c>
      <c r="T474" s="8">
        <v>0.8</v>
      </c>
      <c r="U474" s="8">
        <v>13.1</v>
      </c>
      <c r="V474" s="8">
        <v>1.9</v>
      </c>
      <c r="W474" s="8">
        <v>1.2</v>
      </c>
      <c r="X474" s="8">
        <v>153</v>
      </c>
      <c r="Y474" s="8" t="s">
        <v>745</v>
      </c>
      <c r="Z474" s="8" t="s">
        <v>746</v>
      </c>
    </row>
    <row r="475" spans="1:26" x14ac:dyDescent="0.2">
      <c r="A475" s="8">
        <v>474</v>
      </c>
      <c r="B475" s="8" t="s">
        <v>2333</v>
      </c>
      <c r="C475" s="8" t="s">
        <v>2333</v>
      </c>
      <c r="F475" s="47" t="s">
        <v>56073</v>
      </c>
      <c r="G475" s="8">
        <v>13</v>
      </c>
      <c r="H475" s="8" t="s">
        <v>21</v>
      </c>
      <c r="I475" s="8" t="s">
        <v>22</v>
      </c>
      <c r="J475" s="8" t="s">
        <v>22</v>
      </c>
      <c r="K475" s="8" t="s">
        <v>37</v>
      </c>
      <c r="L475" s="8" t="s">
        <v>38</v>
      </c>
      <c r="M475" s="8" t="s">
        <v>39</v>
      </c>
      <c r="N475" s="8" t="s">
        <v>2334</v>
      </c>
      <c r="O475" s="8">
        <f>1+20/60+6.7/3600</f>
        <v>1.3351944444444444</v>
      </c>
      <c r="P475" s="8" t="s">
        <v>2335</v>
      </c>
      <c r="Q475" s="8">
        <f>+(3+24/60+58/3600)</f>
        <v>3.4161111111111109</v>
      </c>
      <c r="R475" s="8">
        <v>11.5</v>
      </c>
      <c r="S475" s="8">
        <v>12.4</v>
      </c>
      <c r="T475" s="8">
        <v>0.9</v>
      </c>
      <c r="U475" s="8">
        <v>15.5</v>
      </c>
      <c r="V475" s="8">
        <v>7.1</v>
      </c>
      <c r="W475" s="8">
        <v>6.3</v>
      </c>
      <c r="X475" s="8">
        <v>75</v>
      </c>
      <c r="Y475" s="8" t="s">
        <v>2336</v>
      </c>
      <c r="Z475" s="8" t="s">
        <v>2337</v>
      </c>
    </row>
    <row r="476" spans="1:26" x14ac:dyDescent="0.2">
      <c r="A476" s="8">
        <v>475</v>
      </c>
      <c r="B476" s="8" t="s">
        <v>2338</v>
      </c>
      <c r="C476" s="8" t="s">
        <v>2338</v>
      </c>
      <c r="F476" s="47"/>
      <c r="G476" s="8">
        <v>18</v>
      </c>
      <c r="H476" s="8" t="s">
        <v>21</v>
      </c>
      <c r="I476" s="8" t="s">
        <v>22</v>
      </c>
      <c r="J476" s="8" t="s">
        <v>22</v>
      </c>
      <c r="K476" s="8" t="s">
        <v>460</v>
      </c>
      <c r="L476" s="8" t="s">
        <v>38</v>
      </c>
      <c r="M476" s="8" t="s">
        <v>39</v>
      </c>
      <c r="N476" s="8" t="s">
        <v>2339</v>
      </c>
      <c r="O476" s="8">
        <f>1+20/60+1.9/3600</f>
        <v>1.3338611111111109</v>
      </c>
      <c r="P476" s="8" t="s">
        <v>2340</v>
      </c>
      <c r="Q476" s="8">
        <f>+(14+51/60+42/3600)</f>
        <v>14.861666666666666</v>
      </c>
      <c r="R476" s="8">
        <v>15</v>
      </c>
      <c r="S476" s="8">
        <v>16</v>
      </c>
      <c r="T476" s="8">
        <v>1</v>
      </c>
      <c r="U476" s="8">
        <v>13.1</v>
      </c>
      <c r="V476" s="8">
        <v>0.4</v>
      </c>
      <c r="W476" s="8">
        <v>0.4</v>
      </c>
      <c r="Y476" s="8" t="s">
        <v>745</v>
      </c>
      <c r="Z476" s="8" t="s">
        <v>746</v>
      </c>
    </row>
    <row r="477" spans="1:26" x14ac:dyDescent="0.2">
      <c r="A477" s="8">
        <v>476</v>
      </c>
      <c r="B477" s="8" t="s">
        <v>2341</v>
      </c>
      <c r="C477" s="8" t="s">
        <v>2341</v>
      </c>
      <c r="F477" s="47"/>
      <c r="G477" s="8">
        <v>18</v>
      </c>
      <c r="H477" s="8" t="s">
        <v>21</v>
      </c>
      <c r="I477" s="8" t="s">
        <v>22</v>
      </c>
      <c r="J477" s="8" t="s">
        <v>22</v>
      </c>
      <c r="K477" s="8" t="s">
        <v>37</v>
      </c>
      <c r="L477" s="8" t="s">
        <v>38</v>
      </c>
      <c r="M477" s="8" t="s">
        <v>39</v>
      </c>
      <c r="N477" s="8" t="s">
        <v>2342</v>
      </c>
      <c r="O477" s="8">
        <f>1+20/60+19.8/3600</f>
        <v>1.3388333333333333</v>
      </c>
      <c r="P477" s="8" t="s">
        <v>2343</v>
      </c>
      <c r="Q477" s="8">
        <f>+(16+1/60+14/3600)</f>
        <v>16.020555555555553</v>
      </c>
      <c r="R477" s="8">
        <v>14.4</v>
      </c>
      <c r="S477" s="8">
        <v>15.4</v>
      </c>
      <c r="T477" s="8">
        <v>1</v>
      </c>
      <c r="U477" s="8">
        <v>12.5</v>
      </c>
      <c r="V477" s="8">
        <v>0.5</v>
      </c>
      <c r="W477" s="8">
        <v>0.4</v>
      </c>
      <c r="X477" s="8">
        <v>102</v>
      </c>
      <c r="Y477" s="8" t="s">
        <v>2287</v>
      </c>
      <c r="Z477" s="8" t="s">
        <v>2288</v>
      </c>
    </row>
    <row r="478" spans="1:26" x14ac:dyDescent="0.2">
      <c r="A478" s="8">
        <v>477</v>
      </c>
      <c r="B478" s="8" t="s">
        <v>2344</v>
      </c>
      <c r="C478" s="8" t="s">
        <v>2344</v>
      </c>
      <c r="F478" s="47" t="s">
        <v>56074</v>
      </c>
      <c r="G478" s="8">
        <v>15</v>
      </c>
      <c r="H478" s="8" t="s">
        <v>21</v>
      </c>
      <c r="I478" s="8" t="s">
        <v>22</v>
      </c>
      <c r="J478" s="8" t="s">
        <v>22</v>
      </c>
      <c r="K478" s="8" t="s">
        <v>64</v>
      </c>
      <c r="L478" s="8" t="s">
        <v>51</v>
      </c>
      <c r="M478" s="8" t="s">
        <v>52</v>
      </c>
      <c r="N478" s="8" t="s">
        <v>2345</v>
      </c>
      <c r="O478" s="8">
        <f>1+21/60+20.3/3600</f>
        <v>1.3556388888888891</v>
      </c>
      <c r="P478" s="8" t="s">
        <v>2346</v>
      </c>
      <c r="Q478" s="8">
        <f>+(40+29/60+19/3600)</f>
        <v>40.488611111111112</v>
      </c>
      <c r="R478" s="8">
        <v>13</v>
      </c>
      <c r="S478" s="8">
        <v>13.7</v>
      </c>
      <c r="T478" s="8">
        <v>0.7</v>
      </c>
      <c r="U478" s="8">
        <v>13.2</v>
      </c>
      <c r="V478" s="8">
        <v>1.5</v>
      </c>
      <c r="W478" s="8">
        <v>0.9</v>
      </c>
      <c r="X478" s="8">
        <v>150</v>
      </c>
      <c r="Y478" s="8" t="s">
        <v>2347</v>
      </c>
      <c r="Z478" s="8" t="s">
        <v>2348</v>
      </c>
    </row>
    <row r="479" spans="1:26" x14ac:dyDescent="0.2">
      <c r="A479" s="8">
        <v>478</v>
      </c>
      <c r="B479" s="8" t="s">
        <v>2349</v>
      </c>
      <c r="C479" s="8" t="s">
        <v>2349</v>
      </c>
      <c r="F479" s="47"/>
      <c r="G479" s="8">
        <v>19</v>
      </c>
      <c r="H479" s="8" t="s">
        <v>21</v>
      </c>
      <c r="I479" s="8" t="s">
        <v>22</v>
      </c>
      <c r="J479" s="8" t="s">
        <v>22</v>
      </c>
      <c r="K479" s="8" t="s">
        <v>476</v>
      </c>
      <c r="L479" s="8" t="s">
        <v>125</v>
      </c>
      <c r="M479" s="8" t="s">
        <v>126</v>
      </c>
      <c r="N479" s="8" t="s">
        <v>2350</v>
      </c>
      <c r="O479" s="8">
        <f>1+20/60+8.9/3600</f>
        <v>1.3358055555555555</v>
      </c>
      <c r="P479" s="8" t="s">
        <v>2351</v>
      </c>
      <c r="Q479" s="8">
        <f>-(22+22/60+41/3600)</f>
        <v>-22.378055555555555</v>
      </c>
      <c r="R479" s="8">
        <v>13.9</v>
      </c>
      <c r="S479" s="8">
        <v>14.8</v>
      </c>
      <c r="T479" s="8">
        <v>0.9</v>
      </c>
      <c r="U479" s="8">
        <v>13.2</v>
      </c>
      <c r="V479" s="8">
        <v>0.9</v>
      </c>
      <c r="W479" s="8">
        <v>0.7</v>
      </c>
      <c r="X479" s="8">
        <v>83</v>
      </c>
      <c r="Y479" s="8" t="s">
        <v>2352</v>
      </c>
      <c r="Z479" s="8" t="s">
        <v>2353</v>
      </c>
    </row>
    <row r="480" spans="1:26" x14ac:dyDescent="0.2">
      <c r="A480" s="8">
        <v>479</v>
      </c>
      <c r="B480" s="8" t="s">
        <v>2354</v>
      </c>
      <c r="C480" s="8" t="s">
        <v>2354</v>
      </c>
      <c r="F480" s="47"/>
      <c r="G480" s="8">
        <v>18</v>
      </c>
      <c r="H480" s="8" t="s">
        <v>21</v>
      </c>
      <c r="I480" s="8" t="s">
        <v>22</v>
      </c>
      <c r="J480" s="8" t="s">
        <v>22</v>
      </c>
      <c r="K480" s="8" t="s">
        <v>396</v>
      </c>
      <c r="L480" s="8" t="s">
        <v>38</v>
      </c>
      <c r="M480" s="8" t="s">
        <v>39</v>
      </c>
      <c r="N480" s="8" t="s">
        <v>2355</v>
      </c>
      <c r="O480" s="8">
        <f>1+21/60+15.7/3600</f>
        <v>1.3543611111111111</v>
      </c>
      <c r="P480" s="8" t="s">
        <v>2356</v>
      </c>
      <c r="Q480" s="8">
        <f>+(3+51/60+46/3600)</f>
        <v>3.8627777777777781</v>
      </c>
      <c r="R480" s="8">
        <v>13.9</v>
      </c>
      <c r="S480" s="8">
        <v>14.7</v>
      </c>
      <c r="T480" s="8">
        <v>0.8</v>
      </c>
      <c r="U480" s="8">
        <v>13.7</v>
      </c>
      <c r="V480" s="8">
        <v>1.1000000000000001</v>
      </c>
      <c r="W480" s="8">
        <v>0.9</v>
      </c>
      <c r="X480" s="8">
        <v>156</v>
      </c>
      <c r="Y480" s="8" t="s">
        <v>227</v>
      </c>
      <c r="Z480" s="8" t="s">
        <v>228</v>
      </c>
    </row>
    <row r="481" spans="1:26" x14ac:dyDescent="0.2">
      <c r="A481" s="8">
        <v>480</v>
      </c>
      <c r="B481" s="8" t="s">
        <v>2357</v>
      </c>
      <c r="C481" s="8" t="s">
        <v>2357</v>
      </c>
      <c r="F481" s="47"/>
      <c r="G481" s="8">
        <v>19</v>
      </c>
      <c r="H481" s="8" t="s">
        <v>21</v>
      </c>
      <c r="I481" s="8" t="s">
        <v>22</v>
      </c>
      <c r="J481" s="8" t="s">
        <v>22</v>
      </c>
      <c r="K481" s="8" t="s">
        <v>91</v>
      </c>
      <c r="L481" s="8" t="s">
        <v>125</v>
      </c>
      <c r="M481" s="8" t="s">
        <v>126</v>
      </c>
      <c r="N481" s="8" t="s">
        <v>2358</v>
      </c>
      <c r="O481" s="8">
        <f>1+20/60+34.3/3600</f>
        <v>1.3428611111111111</v>
      </c>
      <c r="P481" s="8" t="s">
        <v>2359</v>
      </c>
      <c r="Q481" s="8">
        <f>-(9+52/60+49/3600)</f>
        <v>-9.8802777777777777</v>
      </c>
      <c r="R481" s="8">
        <v>15.2</v>
      </c>
      <c r="S481" s="8">
        <v>16.100000000000001</v>
      </c>
      <c r="T481" s="8">
        <v>0.9</v>
      </c>
      <c r="U481" s="8">
        <v>12.6</v>
      </c>
      <c r="V481" s="8">
        <v>0.5</v>
      </c>
      <c r="W481" s="8">
        <v>0.2</v>
      </c>
      <c r="X481" s="8">
        <v>65</v>
      </c>
      <c r="Y481" s="8" t="s">
        <v>2360</v>
      </c>
      <c r="Z481" s="8" t="s">
        <v>2361</v>
      </c>
    </row>
    <row r="482" spans="1:26" x14ac:dyDescent="0.2">
      <c r="A482" s="8">
        <v>481</v>
      </c>
      <c r="B482" s="8" t="s">
        <v>2362</v>
      </c>
      <c r="C482" s="8" t="s">
        <v>2362</v>
      </c>
      <c r="F482" s="47"/>
      <c r="G482" s="8">
        <v>19</v>
      </c>
      <c r="H482" s="8" t="s">
        <v>21</v>
      </c>
      <c r="I482" s="8" t="s">
        <v>22</v>
      </c>
      <c r="J482" s="8" t="s">
        <v>22</v>
      </c>
      <c r="K482" s="8" t="s">
        <v>58</v>
      </c>
      <c r="L482" s="8" t="s">
        <v>125</v>
      </c>
      <c r="M482" s="8" t="s">
        <v>126</v>
      </c>
      <c r="N482" s="8" t="s">
        <v>2363</v>
      </c>
      <c r="O482" s="8">
        <f>1+21/60+12.6/3600</f>
        <v>1.3535000000000001</v>
      </c>
      <c r="P482" s="8" t="s">
        <v>2364</v>
      </c>
      <c r="Q482" s="8">
        <f>-(9+12/60+40/3600)</f>
        <v>-9.2111111111111104</v>
      </c>
      <c r="R482" s="8">
        <v>13.3</v>
      </c>
      <c r="S482" s="8">
        <v>14.3</v>
      </c>
      <c r="T482" s="8">
        <v>1</v>
      </c>
      <c r="U482" s="8">
        <v>13.4</v>
      </c>
      <c r="V482" s="8">
        <v>1.3</v>
      </c>
      <c r="W482" s="8">
        <v>0.9</v>
      </c>
      <c r="X482" s="8">
        <v>85</v>
      </c>
      <c r="Y482" s="8" t="s">
        <v>2365</v>
      </c>
      <c r="Z482" s="8" t="s">
        <v>2366</v>
      </c>
    </row>
    <row r="483" spans="1:26" x14ac:dyDescent="0.2">
      <c r="A483" s="8">
        <v>482</v>
      </c>
      <c r="B483" s="8" t="s">
        <v>2367</v>
      </c>
      <c r="C483" s="8" t="s">
        <v>2367</v>
      </c>
      <c r="F483" s="47"/>
      <c r="G483" s="8">
        <v>16</v>
      </c>
      <c r="H483" s="8" t="s">
        <v>21</v>
      </c>
      <c r="I483" s="8" t="s">
        <v>22</v>
      </c>
      <c r="J483" s="8" t="s">
        <v>22</v>
      </c>
      <c r="K483" s="8" t="s">
        <v>31</v>
      </c>
      <c r="L483" s="8" t="s">
        <v>166</v>
      </c>
      <c r="M483" s="8" t="s">
        <v>167</v>
      </c>
      <c r="N483" s="8" t="s">
        <v>2368</v>
      </c>
      <c r="O483" s="8">
        <f>1+20/60+20.4/3600</f>
        <v>1.339</v>
      </c>
      <c r="P483" s="8" t="s">
        <v>2369</v>
      </c>
      <c r="Q483" s="8">
        <f>-(40+57/60+58/3600)</f>
        <v>-40.966111111111111</v>
      </c>
      <c r="R483" s="8">
        <v>13.3</v>
      </c>
      <c r="S483" s="8">
        <v>14.1</v>
      </c>
      <c r="T483" s="8">
        <v>0.8</v>
      </c>
      <c r="U483" s="8">
        <v>13.2</v>
      </c>
      <c r="V483" s="8">
        <v>2.2000000000000002</v>
      </c>
      <c r="W483" s="8">
        <v>0.5</v>
      </c>
      <c r="X483" s="8">
        <v>84</v>
      </c>
      <c r="Y483" s="8" t="s">
        <v>2370</v>
      </c>
      <c r="Z483" s="8" t="s">
        <v>2371</v>
      </c>
    </row>
    <row r="484" spans="1:26" x14ac:dyDescent="0.2">
      <c r="A484" s="8">
        <v>483</v>
      </c>
      <c r="B484" s="8" t="s">
        <v>2372</v>
      </c>
      <c r="C484" s="8" t="s">
        <v>2372</v>
      </c>
      <c r="F484" s="47"/>
      <c r="G484" s="8">
        <v>16</v>
      </c>
      <c r="H484" s="8" t="s">
        <v>21</v>
      </c>
      <c r="I484" s="8" t="s">
        <v>22</v>
      </c>
      <c r="J484" s="8" t="s">
        <v>22</v>
      </c>
      <c r="K484" s="8" t="s">
        <v>449</v>
      </c>
      <c r="L484" s="8" t="s">
        <v>38</v>
      </c>
      <c r="M484" s="8" t="s">
        <v>39</v>
      </c>
      <c r="N484" s="8" t="s">
        <v>2373</v>
      </c>
      <c r="O484" s="8">
        <f>1+21/60+56.3/3600</f>
        <v>1.3656388888888891</v>
      </c>
      <c r="P484" s="8" t="s">
        <v>2374</v>
      </c>
      <c r="Q484" s="8">
        <f>+(33+31/60+14/3600)</f>
        <v>33.520555555555553</v>
      </c>
      <c r="R484" s="8">
        <v>13.2</v>
      </c>
      <c r="S484" s="8">
        <v>14</v>
      </c>
      <c r="T484" s="8">
        <v>0.8</v>
      </c>
      <c r="U484" s="8">
        <v>12.3</v>
      </c>
      <c r="V484" s="8">
        <v>0.7</v>
      </c>
      <c r="W484" s="8">
        <v>0.7</v>
      </c>
      <c r="Y484" s="8" t="s">
        <v>282</v>
      </c>
      <c r="Z484" s="8" t="s">
        <v>283</v>
      </c>
    </row>
    <row r="485" spans="1:26" x14ac:dyDescent="0.2">
      <c r="A485" s="8">
        <v>484</v>
      </c>
      <c r="B485" s="8" t="s">
        <v>2375</v>
      </c>
      <c r="C485" s="8" t="s">
        <v>2375</v>
      </c>
      <c r="F485" s="47"/>
      <c r="G485" s="8">
        <v>16</v>
      </c>
      <c r="H485" s="8" t="s">
        <v>21</v>
      </c>
      <c r="I485" s="8" t="s">
        <v>22</v>
      </c>
      <c r="J485" s="8" t="s">
        <v>22</v>
      </c>
      <c r="K485" s="8" t="s">
        <v>58</v>
      </c>
      <c r="L485" s="8" t="s">
        <v>310</v>
      </c>
      <c r="M485" s="8" t="s">
        <v>311</v>
      </c>
      <c r="N485" s="8" t="s">
        <v>2376</v>
      </c>
      <c r="O485" s="8">
        <f>1+19/60+34.8/3600</f>
        <v>1.3263333333333334</v>
      </c>
      <c r="P485" s="8" t="s">
        <v>2377</v>
      </c>
      <c r="Q485" s="8">
        <f>-(58+31/60+28/3600)</f>
        <v>-58.524444444444441</v>
      </c>
      <c r="R485" s="8">
        <v>11.1</v>
      </c>
      <c r="S485" s="8">
        <v>12.1</v>
      </c>
      <c r="T485" s="8">
        <v>1</v>
      </c>
      <c r="U485" s="8">
        <v>13</v>
      </c>
      <c r="V485" s="8">
        <v>1.9</v>
      </c>
      <c r="W485" s="8">
        <v>1.4</v>
      </c>
      <c r="X485" s="8">
        <v>94</v>
      </c>
      <c r="Y485" s="8" t="s">
        <v>2378</v>
      </c>
      <c r="Z485" s="8" t="s">
        <v>2379</v>
      </c>
    </row>
    <row r="486" spans="1:26" x14ac:dyDescent="0.2">
      <c r="A486" s="8">
        <v>485</v>
      </c>
      <c r="B486" s="8" t="s">
        <v>2380</v>
      </c>
      <c r="C486" s="8" t="s">
        <v>2380</v>
      </c>
      <c r="F486" s="47"/>
      <c r="G486" s="8">
        <v>16</v>
      </c>
      <c r="H486" s="8" t="s">
        <v>21</v>
      </c>
      <c r="I486" s="8" t="s">
        <v>22</v>
      </c>
      <c r="J486" s="8" t="s">
        <v>22</v>
      </c>
      <c r="K486" s="8" t="s">
        <v>449</v>
      </c>
      <c r="L486" s="8" t="s">
        <v>38</v>
      </c>
      <c r="M486" s="8" t="s">
        <v>39</v>
      </c>
      <c r="N486" s="8" t="s">
        <v>2381</v>
      </c>
      <c r="O486" s="8">
        <f>1+21/60+27.5/3600</f>
        <v>1.3576388888888891</v>
      </c>
      <c r="P486" s="8" t="s">
        <v>2382</v>
      </c>
      <c r="Q486" s="8">
        <f>+(7+1/60+5/3600)</f>
        <v>7.0180555555555557</v>
      </c>
      <c r="R486" s="8">
        <v>13.2</v>
      </c>
      <c r="S486" s="8">
        <v>14.1</v>
      </c>
      <c r="T486" s="8">
        <v>0.9</v>
      </c>
      <c r="U486" s="8">
        <v>13.1</v>
      </c>
      <c r="V486" s="8">
        <v>1.8</v>
      </c>
      <c r="W486" s="8">
        <v>0.6</v>
      </c>
      <c r="X486" s="8">
        <v>3</v>
      </c>
      <c r="Y486" s="8" t="s">
        <v>2383</v>
      </c>
      <c r="Z486" s="8" t="s">
        <v>2384</v>
      </c>
    </row>
    <row r="487" spans="1:26" x14ac:dyDescent="0.2">
      <c r="A487" s="8">
        <v>486</v>
      </c>
      <c r="B487" s="8" t="s">
        <v>2385</v>
      </c>
      <c r="C487" s="8" t="s">
        <v>2385</v>
      </c>
      <c r="F487" s="47"/>
      <c r="G487" s="8">
        <v>18</v>
      </c>
      <c r="H487" s="8" t="s">
        <v>21</v>
      </c>
      <c r="I487" s="8" t="s">
        <v>22</v>
      </c>
      <c r="J487" s="8" t="s">
        <v>22</v>
      </c>
      <c r="K487" s="8" t="s">
        <v>460</v>
      </c>
      <c r="L487" s="8" t="s">
        <v>38</v>
      </c>
      <c r="M487" s="8" t="s">
        <v>39</v>
      </c>
      <c r="N487" s="8" t="s">
        <v>2386</v>
      </c>
      <c r="O487" s="8">
        <f>1+21/60+43/3600</f>
        <v>1.3619444444444446</v>
      </c>
      <c r="P487" s="8" t="s">
        <v>2387</v>
      </c>
      <c r="Q487" s="8">
        <f>+(5+20/60+47/3600)</f>
        <v>5.3463888888888889</v>
      </c>
      <c r="R487" s="8">
        <v>15</v>
      </c>
      <c r="S487" s="8">
        <v>16</v>
      </c>
      <c r="T487" s="8">
        <v>1</v>
      </c>
      <c r="U487" s="8">
        <v>11.6</v>
      </c>
      <c r="V487" s="8">
        <v>0.2</v>
      </c>
      <c r="W487" s="8">
        <v>0.2</v>
      </c>
      <c r="Y487" s="8" t="s">
        <v>2388</v>
      </c>
      <c r="Z487" s="8" t="s">
        <v>2389</v>
      </c>
    </row>
    <row r="488" spans="1:26" x14ac:dyDescent="0.2">
      <c r="A488" s="8">
        <v>487</v>
      </c>
      <c r="B488" s="8" t="s">
        <v>2390</v>
      </c>
      <c r="C488" s="8" t="s">
        <v>2390</v>
      </c>
      <c r="F488" s="47"/>
      <c r="G488" s="8">
        <v>19</v>
      </c>
      <c r="H488" s="8" t="s">
        <v>21</v>
      </c>
      <c r="I488" s="8" t="s">
        <v>22</v>
      </c>
      <c r="J488" s="8" t="s">
        <v>22</v>
      </c>
      <c r="K488" s="8" t="s">
        <v>91</v>
      </c>
      <c r="L488" s="8" t="s">
        <v>125</v>
      </c>
      <c r="M488" s="8" t="s">
        <v>126</v>
      </c>
      <c r="N488" s="8" t="s">
        <v>2391</v>
      </c>
      <c r="O488" s="8">
        <f>1+21/60+55/3600</f>
        <v>1.3652777777777778</v>
      </c>
      <c r="P488" s="8" t="s">
        <v>2392</v>
      </c>
      <c r="Q488" s="8">
        <f>-(16+22/60+12/3600)</f>
        <v>-16.37</v>
      </c>
      <c r="R488" s="8">
        <v>13.4</v>
      </c>
      <c r="S488" s="8">
        <v>14.3</v>
      </c>
      <c r="T488" s="8">
        <v>0.9</v>
      </c>
      <c r="U488" s="8">
        <v>13</v>
      </c>
      <c r="V488" s="8">
        <v>1.1000000000000001</v>
      </c>
      <c r="W488" s="8">
        <v>0.7</v>
      </c>
      <c r="X488" s="8">
        <v>112</v>
      </c>
      <c r="Y488" s="8" t="s">
        <v>385</v>
      </c>
      <c r="Z488" s="8" t="s">
        <v>386</v>
      </c>
    </row>
    <row r="489" spans="1:26" x14ac:dyDescent="0.2">
      <c r="A489" s="8">
        <v>488</v>
      </c>
      <c r="B489" s="8" t="s">
        <v>2393</v>
      </c>
      <c r="C489" s="8" t="s">
        <v>2393</v>
      </c>
      <c r="F489" s="47" t="s">
        <v>56075</v>
      </c>
      <c r="G489" s="8">
        <v>6</v>
      </c>
      <c r="H489" s="8" t="s">
        <v>2394</v>
      </c>
      <c r="I489" s="8" t="s">
        <v>22</v>
      </c>
      <c r="J489" s="8" t="s">
        <v>22</v>
      </c>
      <c r="K489" s="8" t="s">
        <v>23</v>
      </c>
      <c r="L489" s="8" t="s">
        <v>38</v>
      </c>
      <c r="M489" s="8" t="s">
        <v>39</v>
      </c>
      <c r="N489" s="8" t="s">
        <v>2395</v>
      </c>
      <c r="O489" s="8">
        <f>1+21/60+46.6/3600</f>
        <v>1.3629444444444445</v>
      </c>
      <c r="P489" s="8" t="s">
        <v>2396</v>
      </c>
      <c r="Q489" s="8">
        <f>+(5+15/60+21/3600)</f>
        <v>5.2558333333333334</v>
      </c>
      <c r="R489" s="8">
        <v>10.3</v>
      </c>
      <c r="S489" s="8">
        <v>11.2</v>
      </c>
      <c r="T489" s="8">
        <v>0.9</v>
      </c>
      <c r="U489" s="8">
        <v>13.4</v>
      </c>
      <c r="V489" s="8">
        <v>5.4</v>
      </c>
      <c r="W489" s="8">
        <v>3.9</v>
      </c>
      <c r="X489" s="8">
        <v>15</v>
      </c>
      <c r="Y489" s="8" t="s">
        <v>2397</v>
      </c>
      <c r="Z489" s="8" t="s">
        <v>2398</v>
      </c>
    </row>
    <row r="490" spans="1:26" x14ac:dyDescent="0.2">
      <c r="A490" s="8">
        <v>489</v>
      </c>
      <c r="B490" s="8" t="s">
        <v>2399</v>
      </c>
      <c r="C490" s="8" t="s">
        <v>2399</v>
      </c>
      <c r="F490" s="47"/>
      <c r="G490" s="8">
        <v>18</v>
      </c>
      <c r="H490" s="8" t="s">
        <v>21</v>
      </c>
      <c r="I490" s="8" t="s">
        <v>22</v>
      </c>
      <c r="J490" s="8" t="s">
        <v>22</v>
      </c>
      <c r="K490" s="8" t="s">
        <v>476</v>
      </c>
      <c r="L490" s="8" t="s">
        <v>38</v>
      </c>
      <c r="M490" s="8" t="s">
        <v>39</v>
      </c>
      <c r="N490" s="8" t="s">
        <v>2400</v>
      </c>
      <c r="O490" s="8">
        <f>1+21/60+53.8/3600</f>
        <v>1.3649444444444445</v>
      </c>
      <c r="P490" s="8" t="s">
        <v>2401</v>
      </c>
      <c r="Q490" s="8">
        <f>+(9+12/60+23/3600)</f>
        <v>9.2063888888888883</v>
      </c>
      <c r="R490" s="8">
        <v>12.7</v>
      </c>
      <c r="S490" s="8">
        <v>13.6</v>
      </c>
      <c r="T490" s="8">
        <v>0.9</v>
      </c>
      <c r="U490" s="8">
        <v>12.1</v>
      </c>
      <c r="V490" s="8">
        <v>1.7</v>
      </c>
      <c r="W490" s="8">
        <v>0.4</v>
      </c>
      <c r="X490" s="8">
        <v>120</v>
      </c>
      <c r="Y490" s="8" t="s">
        <v>2402</v>
      </c>
      <c r="Z490" s="8" t="s">
        <v>2403</v>
      </c>
    </row>
    <row r="491" spans="1:26" x14ac:dyDescent="0.2">
      <c r="A491" s="8">
        <v>490</v>
      </c>
      <c r="B491" s="8" t="s">
        <v>2404</v>
      </c>
      <c r="C491" s="8" t="s">
        <v>2404</v>
      </c>
      <c r="F491" s="47"/>
      <c r="G491" s="8">
        <v>18</v>
      </c>
      <c r="H491" s="8" t="s">
        <v>21</v>
      </c>
      <c r="I491" s="8" t="s">
        <v>22</v>
      </c>
      <c r="J491" s="8" t="s">
        <v>22</v>
      </c>
      <c r="K491" s="8" t="s">
        <v>449</v>
      </c>
      <c r="L491" s="8" t="s">
        <v>38</v>
      </c>
      <c r="M491" s="8" t="s">
        <v>39</v>
      </c>
      <c r="N491" s="8" t="s">
        <v>2405</v>
      </c>
      <c r="O491" s="8">
        <f>1+22/60+2.8/3600</f>
        <v>1.3674444444444445</v>
      </c>
      <c r="P491" s="8" t="s">
        <v>2406</v>
      </c>
      <c r="Q491" s="8">
        <f>+(5+22/60+4/3600)</f>
        <v>5.3677777777777775</v>
      </c>
      <c r="R491" s="8">
        <v>14.4</v>
      </c>
      <c r="S491" s="8">
        <v>15.2</v>
      </c>
      <c r="T491" s="8">
        <v>0.8</v>
      </c>
      <c r="U491" s="8">
        <v>13.3</v>
      </c>
      <c r="V491" s="8">
        <v>0.7</v>
      </c>
      <c r="W491" s="8">
        <v>0.6</v>
      </c>
      <c r="X491" s="8">
        <v>9</v>
      </c>
      <c r="Y491" s="8" t="s">
        <v>2407</v>
      </c>
      <c r="Z491" s="8" t="s">
        <v>2408</v>
      </c>
    </row>
    <row r="492" spans="1:26" x14ac:dyDescent="0.2">
      <c r="A492" s="8">
        <v>491</v>
      </c>
      <c r="B492" s="8" t="s">
        <v>2409</v>
      </c>
      <c r="C492" s="8" t="s">
        <v>2409</v>
      </c>
      <c r="F492" s="47"/>
      <c r="G492" s="8">
        <v>13</v>
      </c>
      <c r="H492" s="8" t="s">
        <v>21</v>
      </c>
      <c r="I492" s="8" t="s">
        <v>22</v>
      </c>
      <c r="J492" s="8" t="s">
        <v>22</v>
      </c>
      <c r="K492" s="8" t="s">
        <v>218</v>
      </c>
      <c r="L492" s="8" t="s">
        <v>65</v>
      </c>
      <c r="M492" s="8" t="s">
        <v>66</v>
      </c>
      <c r="N492" s="8" t="s">
        <v>2410</v>
      </c>
      <c r="O492" s="8">
        <f>1+21/60+20.2/3600</f>
        <v>1.3556111111111111</v>
      </c>
      <c r="P492" s="8" t="s">
        <v>2411</v>
      </c>
      <c r="Q492" s="8">
        <f>-(34+3/60+49/3600)</f>
        <v>-34.063611111111108</v>
      </c>
      <c r="R492" s="8">
        <v>12.5</v>
      </c>
      <c r="S492" s="8">
        <v>13.2</v>
      </c>
      <c r="T492" s="8">
        <v>0.7</v>
      </c>
      <c r="U492" s="8">
        <v>12.8</v>
      </c>
      <c r="V492" s="8">
        <v>1.4</v>
      </c>
      <c r="W492" s="8">
        <v>1</v>
      </c>
      <c r="X492" s="8">
        <v>93</v>
      </c>
      <c r="Y492" s="8" t="s">
        <v>2412</v>
      </c>
      <c r="Z492" s="8" t="s">
        <v>2413</v>
      </c>
    </row>
    <row r="493" spans="1:26" x14ac:dyDescent="0.2">
      <c r="A493" s="8">
        <v>492</v>
      </c>
      <c r="B493" s="8" t="s">
        <v>2414</v>
      </c>
      <c r="C493" s="8" t="s">
        <v>2414</v>
      </c>
      <c r="F493" s="47"/>
      <c r="G493" s="8">
        <v>18</v>
      </c>
      <c r="H493" s="8" t="s">
        <v>21</v>
      </c>
      <c r="I493" s="8" t="s">
        <v>22</v>
      </c>
      <c r="J493" s="8" t="s">
        <v>22</v>
      </c>
      <c r="K493" s="8" t="s">
        <v>1445</v>
      </c>
      <c r="L493" s="8" t="s">
        <v>38</v>
      </c>
      <c r="M493" s="8" t="s">
        <v>39</v>
      </c>
      <c r="N493" s="8" t="s">
        <v>2415</v>
      </c>
      <c r="O493" s="8">
        <f>1+22/60+13.5/3600</f>
        <v>1.3704166666666666</v>
      </c>
      <c r="P493" s="8" t="s">
        <v>2416</v>
      </c>
      <c r="Q493" s="8">
        <f>+(5+25/60+1/3600)</f>
        <v>5.4169444444444448</v>
      </c>
      <c r="R493" s="8">
        <v>15.6</v>
      </c>
      <c r="S493" s="8">
        <v>16.399999999999999</v>
      </c>
      <c r="T493" s="8">
        <v>0.8</v>
      </c>
      <c r="U493" s="8">
        <v>14.5</v>
      </c>
      <c r="V493" s="8">
        <v>0.7</v>
      </c>
      <c r="W493" s="8">
        <v>0.6</v>
      </c>
      <c r="X493" s="8">
        <v>120</v>
      </c>
      <c r="Y493" s="8" t="s">
        <v>385</v>
      </c>
      <c r="Z493" s="8" t="s">
        <v>386</v>
      </c>
    </row>
    <row r="494" spans="1:26" x14ac:dyDescent="0.2">
      <c r="A494" s="8">
        <v>493</v>
      </c>
      <c r="B494" s="8" t="s">
        <v>2417</v>
      </c>
      <c r="C494" s="8" t="s">
        <v>2417</v>
      </c>
      <c r="F494" s="47" t="s">
        <v>56076</v>
      </c>
      <c r="G494" s="8">
        <v>15</v>
      </c>
      <c r="H494" s="8" t="s">
        <v>21</v>
      </c>
      <c r="I494" s="8" t="s">
        <v>22</v>
      </c>
      <c r="J494" s="8" t="s">
        <v>22</v>
      </c>
      <c r="K494" s="8" t="s">
        <v>64</v>
      </c>
      <c r="L494" s="8" t="s">
        <v>125</v>
      </c>
      <c r="M494" s="8" t="s">
        <v>126</v>
      </c>
      <c r="N494" s="8" t="s">
        <v>2418</v>
      </c>
      <c r="O494" s="8">
        <f>1+22/60+9.2/3600</f>
        <v>1.3692222222222223</v>
      </c>
      <c r="P494" s="8" t="s">
        <v>2419</v>
      </c>
      <c r="Q494" s="8">
        <f>+(0+56/60+47/3600)</f>
        <v>0.94638888888888895</v>
      </c>
      <c r="R494" s="8">
        <v>12.5</v>
      </c>
      <c r="S494" s="8">
        <v>12.9</v>
      </c>
      <c r="T494" s="8">
        <v>0.4</v>
      </c>
      <c r="U494" s="8">
        <v>13.7</v>
      </c>
      <c r="V494" s="8">
        <v>3.4</v>
      </c>
      <c r="W494" s="8">
        <v>1.1000000000000001</v>
      </c>
      <c r="X494" s="8">
        <v>58</v>
      </c>
      <c r="Y494" s="8" t="s">
        <v>2420</v>
      </c>
      <c r="Z494" s="8" t="s">
        <v>2421</v>
      </c>
    </row>
    <row r="495" spans="1:26" x14ac:dyDescent="0.2">
      <c r="A495" s="8">
        <v>494</v>
      </c>
      <c r="B495" s="8" t="s">
        <v>2422</v>
      </c>
      <c r="C495" s="8" t="s">
        <v>2422</v>
      </c>
      <c r="F495" s="47"/>
      <c r="G495" s="8">
        <v>16</v>
      </c>
      <c r="H495" s="8" t="s">
        <v>21</v>
      </c>
      <c r="I495" s="8" t="s">
        <v>22</v>
      </c>
      <c r="J495" s="8" t="s">
        <v>22</v>
      </c>
      <c r="K495" s="8" t="s">
        <v>31</v>
      </c>
      <c r="L495" s="8" t="s">
        <v>38</v>
      </c>
      <c r="M495" s="8" t="s">
        <v>39</v>
      </c>
      <c r="N495" s="8" t="s">
        <v>2423</v>
      </c>
      <c r="O495" s="8">
        <f>1+22/60+55.4/3600</f>
        <v>1.3820555555555556</v>
      </c>
      <c r="P495" s="8" t="s">
        <v>2424</v>
      </c>
      <c r="Q495" s="8">
        <f>+(33+10/60+22/3600)</f>
        <v>33.172777777777775</v>
      </c>
      <c r="R495" s="8">
        <v>12.9</v>
      </c>
      <c r="S495" s="8">
        <v>13.8</v>
      </c>
      <c r="T495" s="8">
        <v>0.9</v>
      </c>
      <c r="U495" s="8">
        <v>13.2</v>
      </c>
      <c r="V495" s="8">
        <v>2</v>
      </c>
      <c r="W495" s="8">
        <v>0.8</v>
      </c>
      <c r="X495" s="8">
        <v>100</v>
      </c>
      <c r="Y495" s="8" t="s">
        <v>2425</v>
      </c>
      <c r="Z495" s="8" t="s">
        <v>2426</v>
      </c>
    </row>
    <row r="496" spans="1:26" x14ac:dyDescent="0.2">
      <c r="A496" s="8">
        <v>495</v>
      </c>
      <c r="B496" s="8" t="s">
        <v>2427</v>
      </c>
      <c r="C496" s="8" t="s">
        <v>2427</v>
      </c>
      <c r="F496" s="47" t="s">
        <v>56077</v>
      </c>
      <c r="G496" s="8">
        <v>15</v>
      </c>
      <c r="H496" s="8" t="s">
        <v>21</v>
      </c>
      <c r="I496" s="8" t="s">
        <v>22</v>
      </c>
      <c r="J496" s="8" t="s">
        <v>22</v>
      </c>
      <c r="K496" s="8" t="s">
        <v>435</v>
      </c>
      <c r="L496" s="8" t="s">
        <v>38</v>
      </c>
      <c r="M496" s="8" t="s">
        <v>39</v>
      </c>
      <c r="N496" s="8" t="s">
        <v>2428</v>
      </c>
      <c r="O496" s="8">
        <f>1+22/60+56/3600</f>
        <v>1.3822222222222222</v>
      </c>
      <c r="P496" s="8" t="s">
        <v>2429</v>
      </c>
      <c r="Q496" s="8">
        <f>+(33+28/60+15/3600)</f>
        <v>33.470833333333339</v>
      </c>
      <c r="R496" s="8">
        <v>12.9</v>
      </c>
      <c r="S496" s="8">
        <v>13.8</v>
      </c>
      <c r="T496" s="8">
        <v>0.9</v>
      </c>
      <c r="U496" s="8">
        <v>12.8</v>
      </c>
      <c r="V496" s="8">
        <v>1.2</v>
      </c>
      <c r="W496" s="8">
        <v>0.8</v>
      </c>
      <c r="X496" s="8">
        <v>170</v>
      </c>
      <c r="Y496" s="8" t="s">
        <v>2430</v>
      </c>
      <c r="Z496" s="8" t="s">
        <v>2431</v>
      </c>
    </row>
    <row r="497" spans="1:26" x14ac:dyDescent="0.2">
      <c r="A497" s="8">
        <v>496</v>
      </c>
      <c r="B497" s="8" t="s">
        <v>2432</v>
      </c>
      <c r="C497" s="8" t="s">
        <v>2432</v>
      </c>
      <c r="F497" s="47" t="s">
        <v>56078</v>
      </c>
      <c r="G497" s="8">
        <v>15</v>
      </c>
      <c r="H497" s="8" t="s">
        <v>21</v>
      </c>
      <c r="I497" s="8" t="s">
        <v>22</v>
      </c>
      <c r="J497" s="8" t="s">
        <v>22</v>
      </c>
      <c r="K497" s="8" t="s">
        <v>396</v>
      </c>
      <c r="L497" s="8" t="s">
        <v>38</v>
      </c>
      <c r="M497" s="8" t="s">
        <v>39</v>
      </c>
      <c r="N497" s="8" t="s">
        <v>2433</v>
      </c>
      <c r="O497" s="8">
        <f>1+23/60+11.6/3600</f>
        <v>1.3865555555555555</v>
      </c>
      <c r="P497" s="8" t="s">
        <v>2434</v>
      </c>
      <c r="Q497" s="8">
        <f>+(33+31/60+41/3600)</f>
        <v>33.528055555555554</v>
      </c>
      <c r="R497" s="8">
        <v>13.4</v>
      </c>
      <c r="S497" s="8">
        <v>14.2</v>
      </c>
      <c r="T497" s="8">
        <v>0.8</v>
      </c>
      <c r="U497" s="8">
        <v>13.6</v>
      </c>
      <c r="V497" s="8">
        <v>1.6</v>
      </c>
      <c r="W497" s="8">
        <v>0.9</v>
      </c>
      <c r="X497" s="8">
        <v>28</v>
      </c>
      <c r="Y497" s="8" t="s">
        <v>2435</v>
      </c>
      <c r="Z497" s="8" t="s">
        <v>2436</v>
      </c>
    </row>
    <row r="498" spans="1:26" x14ac:dyDescent="0.2">
      <c r="A498" s="8">
        <v>497</v>
      </c>
      <c r="B498" s="8" t="s">
        <v>2437</v>
      </c>
      <c r="C498" s="8" t="s">
        <v>2437</v>
      </c>
      <c r="F498" s="47"/>
      <c r="G498" s="8">
        <v>19</v>
      </c>
      <c r="H498" s="8" t="s">
        <v>21</v>
      </c>
      <c r="I498" s="8" t="s">
        <v>22</v>
      </c>
      <c r="J498" s="8" t="s">
        <v>22</v>
      </c>
      <c r="K498" s="8" t="s">
        <v>85</v>
      </c>
      <c r="L498" s="8" t="s">
        <v>125</v>
      </c>
      <c r="M498" s="8" t="s">
        <v>126</v>
      </c>
      <c r="N498" s="8" t="s">
        <v>2438</v>
      </c>
      <c r="O498" s="8">
        <f>1+22/60+23.9/3600</f>
        <v>1.3733055555555556</v>
      </c>
      <c r="P498" s="8" t="s">
        <v>2439</v>
      </c>
      <c r="Q498" s="8">
        <f>-(0+52/60+29/3600)</f>
        <v>-0.87472222222222229</v>
      </c>
      <c r="R498" s="8">
        <v>13</v>
      </c>
      <c r="S498" s="8">
        <v>13.8</v>
      </c>
      <c r="T498" s="8">
        <v>0.8</v>
      </c>
      <c r="U498" s="8">
        <v>13.5</v>
      </c>
      <c r="V498" s="8">
        <v>2.1</v>
      </c>
      <c r="W498" s="8">
        <v>0.9</v>
      </c>
      <c r="X498" s="8">
        <v>132</v>
      </c>
      <c r="Y498" s="8" t="s">
        <v>2440</v>
      </c>
      <c r="Z498" s="8" t="s">
        <v>2441</v>
      </c>
    </row>
    <row r="499" spans="1:26" x14ac:dyDescent="0.2">
      <c r="A499" s="8">
        <v>498</v>
      </c>
      <c r="B499" s="8" t="s">
        <v>2442</v>
      </c>
      <c r="C499" s="8" t="s">
        <v>2442</v>
      </c>
      <c r="F499" s="47"/>
      <c r="G499" s="8">
        <v>18</v>
      </c>
      <c r="H499" s="8" t="s">
        <v>21</v>
      </c>
      <c r="I499" s="8" t="s">
        <v>22</v>
      </c>
      <c r="J499" s="8" t="s">
        <v>22</v>
      </c>
      <c r="K499" s="8" t="s">
        <v>37</v>
      </c>
      <c r="L499" s="8" t="s">
        <v>38</v>
      </c>
      <c r="M499" s="8" t="s">
        <v>39</v>
      </c>
      <c r="N499" s="8" t="s">
        <v>2443</v>
      </c>
      <c r="O499" s="8">
        <f>1+23/60+11.2/3600</f>
        <v>1.3864444444444444</v>
      </c>
      <c r="P499" s="8" t="s">
        <v>2444</v>
      </c>
      <c r="Q499" s="8">
        <f>+(33+29/60+24/3600)</f>
        <v>33.49</v>
      </c>
      <c r="R499" s="8">
        <v>14.3</v>
      </c>
      <c r="S499" s="8">
        <v>15.3</v>
      </c>
      <c r="T499" s="8">
        <v>1</v>
      </c>
      <c r="U499" s="8">
        <v>12.7</v>
      </c>
      <c r="V499" s="8">
        <v>0.5</v>
      </c>
      <c r="W499" s="8">
        <v>0.5</v>
      </c>
      <c r="Y499" s="8" t="s">
        <v>2445</v>
      </c>
      <c r="Z499" s="8" t="s">
        <v>2446</v>
      </c>
    </row>
    <row r="500" spans="1:26" x14ac:dyDescent="0.2">
      <c r="A500" s="8">
        <v>499</v>
      </c>
      <c r="B500" s="8" t="s">
        <v>2447</v>
      </c>
      <c r="C500" s="8" t="s">
        <v>2447</v>
      </c>
      <c r="F500" s="47" t="s">
        <v>56079</v>
      </c>
      <c r="G500" s="8">
        <v>6.5</v>
      </c>
      <c r="H500" s="8" t="s">
        <v>21</v>
      </c>
      <c r="I500" s="8" t="s">
        <v>22</v>
      </c>
      <c r="J500" s="8" t="s">
        <v>22</v>
      </c>
      <c r="K500" s="8" t="s">
        <v>58</v>
      </c>
      <c r="L500" s="8" t="s">
        <v>38</v>
      </c>
      <c r="M500" s="8" t="s">
        <v>39</v>
      </c>
      <c r="N500" s="8" t="s">
        <v>2448</v>
      </c>
      <c r="O500" s="8">
        <f>1+23/60+11.5/3600</f>
        <v>1.3865277777777778</v>
      </c>
      <c r="P500" s="8" t="s">
        <v>2449</v>
      </c>
      <c r="Q500" s="8">
        <f>+(33+27/60+35/3600)</f>
        <v>33.459722222222226</v>
      </c>
      <c r="R500" s="8">
        <v>12.1</v>
      </c>
      <c r="S500" s="8">
        <v>13.2</v>
      </c>
      <c r="T500" s="8">
        <v>1.1000000000000001</v>
      </c>
      <c r="U500" s="8">
        <v>12.8</v>
      </c>
      <c r="V500" s="8">
        <v>1.7</v>
      </c>
      <c r="W500" s="8">
        <v>1.3</v>
      </c>
      <c r="X500" s="8">
        <v>84</v>
      </c>
      <c r="Y500" s="8" t="s">
        <v>2450</v>
      </c>
      <c r="Z500" s="8" t="s">
        <v>2451</v>
      </c>
    </row>
    <row r="501" spans="1:26" x14ac:dyDescent="0.2">
      <c r="A501" s="8">
        <v>500</v>
      </c>
      <c r="B501" s="8" t="s">
        <v>2452</v>
      </c>
      <c r="C501" s="8" t="s">
        <v>2452</v>
      </c>
      <c r="F501" s="47"/>
      <c r="G501" s="8">
        <v>18</v>
      </c>
      <c r="H501" s="8" t="s">
        <v>21</v>
      </c>
      <c r="I501" s="8" t="s">
        <v>22</v>
      </c>
      <c r="J501" s="8" t="s">
        <v>22</v>
      </c>
      <c r="K501" s="8" t="s">
        <v>58</v>
      </c>
      <c r="L501" s="8" t="s">
        <v>38</v>
      </c>
      <c r="M501" s="8" t="s">
        <v>39</v>
      </c>
      <c r="N501" s="8" t="s">
        <v>2453</v>
      </c>
      <c r="O501" s="8">
        <f>1+22/60+39.3/3600</f>
        <v>1.3775833333333334</v>
      </c>
      <c r="P501" s="8" t="s">
        <v>2454</v>
      </c>
      <c r="Q501" s="8">
        <f>+(5+23/60+16/3600)</f>
        <v>5.387777777777778</v>
      </c>
      <c r="R501" s="8">
        <v>14.2</v>
      </c>
      <c r="S501" s="8">
        <v>15.2</v>
      </c>
      <c r="T501" s="8">
        <v>1</v>
      </c>
      <c r="U501" s="8">
        <v>13.5</v>
      </c>
      <c r="V501" s="8">
        <v>0.8</v>
      </c>
      <c r="W501" s="8">
        <v>0.6</v>
      </c>
      <c r="X501" s="8">
        <v>102</v>
      </c>
      <c r="Y501" s="8" t="s">
        <v>2455</v>
      </c>
      <c r="Z501" s="8" t="s">
        <v>2456</v>
      </c>
    </row>
    <row r="502" spans="1:26" x14ac:dyDescent="0.2">
      <c r="A502" s="8">
        <v>501</v>
      </c>
      <c r="B502" s="8" t="s">
        <v>2457</v>
      </c>
      <c r="C502" s="8" t="s">
        <v>2457</v>
      </c>
      <c r="F502" s="47"/>
      <c r="G502" s="8">
        <v>18</v>
      </c>
      <c r="H502" s="8" t="s">
        <v>21</v>
      </c>
      <c r="I502" s="8" t="s">
        <v>22</v>
      </c>
      <c r="J502" s="8" t="s">
        <v>22</v>
      </c>
      <c r="K502" s="8" t="s">
        <v>460</v>
      </c>
      <c r="L502" s="8" t="s">
        <v>38</v>
      </c>
      <c r="M502" s="8" t="s">
        <v>39</v>
      </c>
      <c r="N502" s="8" t="s">
        <v>2458</v>
      </c>
      <c r="O502" s="8">
        <f>1+23/60+22.4/3600</f>
        <v>1.3895555555555554</v>
      </c>
      <c r="P502" s="8" t="s">
        <v>2459</v>
      </c>
      <c r="Q502" s="8">
        <f>+(33+26/60+1/3600)</f>
        <v>33.433611111111105</v>
      </c>
      <c r="R502" s="8">
        <v>14.5</v>
      </c>
      <c r="S502" s="8">
        <v>15.5</v>
      </c>
      <c r="T502" s="8">
        <v>1</v>
      </c>
      <c r="U502" s="8">
        <v>13.1</v>
      </c>
      <c r="V502" s="8">
        <v>0.5</v>
      </c>
      <c r="W502" s="8">
        <v>0.5</v>
      </c>
      <c r="Y502" s="8" t="s">
        <v>2460</v>
      </c>
      <c r="Z502" s="8" t="s">
        <v>2461</v>
      </c>
    </row>
    <row r="503" spans="1:26" x14ac:dyDescent="0.2">
      <c r="A503" s="8">
        <v>502</v>
      </c>
      <c r="B503" s="8" t="s">
        <v>2462</v>
      </c>
      <c r="C503" s="8" t="s">
        <v>2462</v>
      </c>
      <c r="F503" s="47"/>
      <c r="G503" s="8">
        <v>18</v>
      </c>
      <c r="H503" s="8" t="s">
        <v>21</v>
      </c>
      <c r="I503" s="8" t="s">
        <v>22</v>
      </c>
      <c r="J503" s="8" t="s">
        <v>22</v>
      </c>
      <c r="K503" s="8" t="s">
        <v>37</v>
      </c>
      <c r="L503" s="8" t="s">
        <v>38</v>
      </c>
      <c r="M503" s="8" t="s">
        <v>39</v>
      </c>
      <c r="N503" s="8" t="s">
        <v>2463</v>
      </c>
      <c r="O503" s="8">
        <f>1+22/60+55.6/3600</f>
        <v>1.3821111111111111</v>
      </c>
      <c r="P503" s="8" t="s">
        <v>2464</v>
      </c>
      <c r="Q503" s="8">
        <f>+(9+2/60+58/3600)</f>
        <v>9.0494444444444451</v>
      </c>
      <c r="R503" s="8">
        <v>12.8</v>
      </c>
      <c r="S503" s="8">
        <v>13.7</v>
      </c>
      <c r="T503" s="8">
        <v>0.9</v>
      </c>
      <c r="U503" s="8">
        <v>12.8</v>
      </c>
      <c r="V503" s="8">
        <v>1.1000000000000001</v>
      </c>
      <c r="W503" s="8">
        <v>1</v>
      </c>
      <c r="X503" s="8">
        <v>66</v>
      </c>
      <c r="Y503" s="8" t="s">
        <v>2465</v>
      </c>
      <c r="Z503" s="8" t="s">
        <v>2466</v>
      </c>
    </row>
    <row r="504" spans="1:26" x14ac:dyDescent="0.2">
      <c r="A504" s="8">
        <v>503</v>
      </c>
      <c r="B504" s="8" t="s">
        <v>2467</v>
      </c>
      <c r="C504" s="8" t="s">
        <v>2467</v>
      </c>
      <c r="F504" s="47"/>
      <c r="G504" s="8">
        <v>18</v>
      </c>
      <c r="H504" s="8" t="s">
        <v>21</v>
      </c>
      <c r="I504" s="8" t="s">
        <v>22</v>
      </c>
      <c r="J504" s="8" t="s">
        <v>22</v>
      </c>
      <c r="K504" s="8" t="s">
        <v>58</v>
      </c>
      <c r="L504" s="8" t="s">
        <v>38</v>
      </c>
      <c r="M504" s="8" t="s">
        <v>39</v>
      </c>
      <c r="N504" s="8" t="s">
        <v>2468</v>
      </c>
      <c r="O504" s="8">
        <f>1+23/60+28.4/3600</f>
        <v>1.3912222222222221</v>
      </c>
      <c r="P504" s="8" t="s">
        <v>2469</v>
      </c>
      <c r="Q504" s="8">
        <f>+(33+19/60+56/3600)</f>
        <v>33.332222222222228</v>
      </c>
      <c r="R504" s="8">
        <v>14.1</v>
      </c>
      <c r="S504" s="8">
        <v>15.1</v>
      </c>
      <c r="T504" s="8">
        <v>1</v>
      </c>
      <c r="U504" s="8">
        <v>13.7</v>
      </c>
      <c r="V504" s="8">
        <v>0.9</v>
      </c>
      <c r="W504" s="8">
        <v>0.7</v>
      </c>
      <c r="X504" s="8">
        <v>27</v>
      </c>
      <c r="Y504" s="8" t="s">
        <v>2470</v>
      </c>
      <c r="Z504" s="8" t="s">
        <v>2471</v>
      </c>
    </row>
    <row r="505" spans="1:26" x14ac:dyDescent="0.2">
      <c r="A505" s="8">
        <v>504</v>
      </c>
      <c r="B505" s="8" t="s">
        <v>2472</v>
      </c>
      <c r="C505" s="8" t="s">
        <v>2472</v>
      </c>
      <c r="F505" s="47"/>
      <c r="G505" s="8">
        <v>16</v>
      </c>
      <c r="H505" s="8" t="s">
        <v>21</v>
      </c>
      <c r="I505" s="8" t="s">
        <v>22</v>
      </c>
      <c r="J505" s="8" t="s">
        <v>22</v>
      </c>
      <c r="K505" s="8" t="s">
        <v>37</v>
      </c>
      <c r="L505" s="8" t="s">
        <v>38</v>
      </c>
      <c r="M505" s="8" t="s">
        <v>39</v>
      </c>
      <c r="N505" s="8" t="s">
        <v>2473</v>
      </c>
      <c r="O505" s="8">
        <f>1+23/60+28.1/3600</f>
        <v>1.3911388888888889</v>
      </c>
      <c r="P505" s="8" t="s">
        <v>2474</v>
      </c>
      <c r="Q505" s="8">
        <f>+(33+12/60+14/3600)</f>
        <v>33.203888888888891</v>
      </c>
      <c r="R505" s="8">
        <v>13</v>
      </c>
      <c r="S505" s="8">
        <v>14</v>
      </c>
      <c r="T505" s="8">
        <v>1</v>
      </c>
      <c r="U505" s="8">
        <v>12.5</v>
      </c>
      <c r="V505" s="8">
        <v>1.7</v>
      </c>
      <c r="W505" s="8">
        <v>0.4</v>
      </c>
      <c r="X505" s="8">
        <v>47</v>
      </c>
      <c r="Y505" s="8" t="s">
        <v>1511</v>
      </c>
      <c r="Z505" s="8" t="s">
        <v>1512</v>
      </c>
    </row>
    <row r="506" spans="1:26" x14ac:dyDescent="0.2">
      <c r="A506" s="8">
        <v>505</v>
      </c>
      <c r="B506" s="8" t="s">
        <v>2475</v>
      </c>
      <c r="C506" s="8" t="s">
        <v>2475</v>
      </c>
      <c r="F506" s="47"/>
      <c r="G506" s="8">
        <v>18</v>
      </c>
      <c r="H506" s="8" t="s">
        <v>21</v>
      </c>
      <c r="I506" s="8" t="s">
        <v>22</v>
      </c>
      <c r="J506" s="8" t="s">
        <v>22</v>
      </c>
      <c r="K506" s="8" t="s">
        <v>37</v>
      </c>
      <c r="L506" s="8" t="s">
        <v>38</v>
      </c>
      <c r="M506" s="8" t="s">
        <v>39</v>
      </c>
      <c r="N506" s="8" t="s">
        <v>2476</v>
      </c>
      <c r="O506" s="8">
        <f>1+22/60+57.1/3600</f>
        <v>1.3825277777777778</v>
      </c>
      <c r="P506" s="8" t="s">
        <v>2477</v>
      </c>
      <c r="Q506" s="8">
        <f>+(9+28/60+8/3600)</f>
        <v>9.4688888888888894</v>
      </c>
      <c r="R506" s="8">
        <v>13.8</v>
      </c>
      <c r="S506" s="8">
        <v>14.8</v>
      </c>
      <c r="T506" s="8">
        <v>1</v>
      </c>
      <c r="U506" s="8">
        <v>13.3</v>
      </c>
      <c r="V506" s="8">
        <v>0.9</v>
      </c>
      <c r="W506" s="8">
        <v>0.6</v>
      </c>
      <c r="X506" s="8">
        <v>57</v>
      </c>
      <c r="Y506" s="8" t="s">
        <v>1948</v>
      </c>
      <c r="Z506" s="8" t="s">
        <v>1949</v>
      </c>
    </row>
    <row r="507" spans="1:26" x14ac:dyDescent="0.2">
      <c r="A507" s="8">
        <v>506</v>
      </c>
      <c r="B507" s="8" t="s">
        <v>2478</v>
      </c>
      <c r="C507" s="8" t="s">
        <v>2478</v>
      </c>
      <c r="F507" s="47"/>
      <c r="G507" s="8">
        <v>18</v>
      </c>
      <c r="H507" s="8" t="s">
        <v>21</v>
      </c>
      <c r="I507" s="8" t="s">
        <v>72</v>
      </c>
      <c r="J507" s="8" t="s">
        <v>72</v>
      </c>
      <c r="K507" s="8" t="s">
        <v>20</v>
      </c>
      <c r="L507" s="8" t="s">
        <v>38</v>
      </c>
      <c r="M507" s="8" t="s">
        <v>39</v>
      </c>
      <c r="N507" s="8" t="s">
        <v>2479</v>
      </c>
      <c r="O507" s="8">
        <f>1+23/60+35.5/3600</f>
        <v>1.3931944444444444</v>
      </c>
      <c r="P507" s="8" t="s">
        <v>2480</v>
      </c>
      <c r="Q507" s="8">
        <f>+(33+14/60+38/3600)</f>
        <v>33.24388888888889</v>
      </c>
      <c r="R507" s="8">
        <v>99</v>
      </c>
      <c r="S507" s="8">
        <v>15.1</v>
      </c>
      <c r="T507" s="8">
        <v>99</v>
      </c>
      <c r="U507" s="8">
        <v>99</v>
      </c>
      <c r="Y507" s="8" t="s">
        <v>2481</v>
      </c>
      <c r="Z507" s="8" t="s">
        <v>2482</v>
      </c>
    </row>
    <row r="508" spans="1:26" x14ac:dyDescent="0.2">
      <c r="A508" s="8">
        <v>507</v>
      </c>
      <c r="B508" s="8" t="s">
        <v>2483</v>
      </c>
      <c r="C508" s="8" t="s">
        <v>2483</v>
      </c>
      <c r="F508" s="47" t="s">
        <v>56080</v>
      </c>
      <c r="G508" s="8">
        <v>14</v>
      </c>
      <c r="H508" s="8" t="s">
        <v>2484</v>
      </c>
      <c r="I508" s="8" t="s">
        <v>22</v>
      </c>
      <c r="J508" s="8" t="s">
        <v>22</v>
      </c>
      <c r="K508" s="8" t="s">
        <v>58</v>
      </c>
      <c r="L508" s="8" t="s">
        <v>38</v>
      </c>
      <c r="M508" s="8" t="s">
        <v>39</v>
      </c>
      <c r="N508" s="8" t="s">
        <v>2485</v>
      </c>
      <c r="O508" s="8">
        <f>1+23/60+40/3600</f>
        <v>1.3944444444444444</v>
      </c>
      <c r="P508" s="8" t="s">
        <v>2486</v>
      </c>
      <c r="Q508" s="8">
        <f>+(33+15/60+24/3600)</f>
        <v>33.256666666666668</v>
      </c>
      <c r="R508" s="8">
        <v>11.2</v>
      </c>
      <c r="S508" s="8">
        <v>12.2</v>
      </c>
      <c r="T508" s="8">
        <v>1</v>
      </c>
      <c r="U508" s="8">
        <v>13.5</v>
      </c>
      <c r="V508" s="8">
        <v>2.5</v>
      </c>
      <c r="W508" s="8">
        <v>2.5</v>
      </c>
      <c r="Y508" s="8" t="s">
        <v>2487</v>
      </c>
      <c r="Z508" s="8" t="s">
        <v>2488</v>
      </c>
    </row>
    <row r="509" spans="1:26" x14ac:dyDescent="0.2">
      <c r="A509" s="8">
        <v>508</v>
      </c>
      <c r="B509" s="8" t="s">
        <v>2489</v>
      </c>
      <c r="C509" s="8" t="s">
        <v>2489</v>
      </c>
      <c r="F509" s="47" t="s">
        <v>56081</v>
      </c>
      <c r="G509" s="8">
        <v>15</v>
      </c>
      <c r="H509" s="8" t="s">
        <v>21</v>
      </c>
      <c r="I509" s="8" t="s">
        <v>22</v>
      </c>
      <c r="J509" s="8" t="s">
        <v>22</v>
      </c>
      <c r="K509" s="8" t="s">
        <v>460</v>
      </c>
      <c r="L509" s="8" t="s">
        <v>38</v>
      </c>
      <c r="M509" s="8" t="s">
        <v>39</v>
      </c>
      <c r="N509" s="8" t="s">
        <v>2490</v>
      </c>
      <c r="O509" s="8">
        <f>1+23/60+40.7/3600</f>
        <v>1.3946388888888888</v>
      </c>
      <c r="P509" s="8" t="s">
        <v>2491</v>
      </c>
      <c r="Q509" s="8">
        <f>+(33+16/60+49/3600)</f>
        <v>33.280277777777776</v>
      </c>
      <c r="R509" s="8">
        <v>13.1</v>
      </c>
      <c r="S509" s="8">
        <v>14.1</v>
      </c>
      <c r="T509" s="8">
        <v>1</v>
      </c>
      <c r="U509" s="8">
        <v>13.4</v>
      </c>
      <c r="V509" s="8">
        <v>1.1000000000000001</v>
      </c>
      <c r="W509" s="8">
        <v>1.1000000000000001</v>
      </c>
      <c r="Y509" s="8" t="s">
        <v>2492</v>
      </c>
      <c r="Z509" s="8" t="s">
        <v>2493</v>
      </c>
    </row>
    <row r="510" spans="1:26" x14ac:dyDescent="0.2">
      <c r="A510" s="8">
        <v>509</v>
      </c>
      <c r="B510" s="8" t="s">
        <v>2494</v>
      </c>
      <c r="C510" s="8" t="s">
        <v>2494</v>
      </c>
      <c r="F510" s="47"/>
      <c r="G510" s="8">
        <v>18</v>
      </c>
      <c r="H510" s="8" t="s">
        <v>21</v>
      </c>
      <c r="I510" s="8" t="s">
        <v>22</v>
      </c>
      <c r="J510" s="8" t="s">
        <v>22</v>
      </c>
      <c r="K510" s="8" t="s">
        <v>435</v>
      </c>
      <c r="L510" s="8" t="s">
        <v>38</v>
      </c>
      <c r="M510" s="8" t="s">
        <v>39</v>
      </c>
      <c r="N510" s="8" t="s">
        <v>2495</v>
      </c>
      <c r="O510" s="8">
        <f>1+23/60+24.1/3600</f>
        <v>1.3900277777777776</v>
      </c>
      <c r="P510" s="8" t="s">
        <v>2496</v>
      </c>
      <c r="Q510" s="8">
        <f>+(9+26/60+0/3600)</f>
        <v>9.4333333333333336</v>
      </c>
      <c r="R510" s="8">
        <v>13.4</v>
      </c>
      <c r="S510" s="8">
        <v>14.3</v>
      </c>
      <c r="T510" s="8">
        <v>0.9</v>
      </c>
      <c r="U510" s="8">
        <v>13.2</v>
      </c>
      <c r="V510" s="8">
        <v>1.6</v>
      </c>
      <c r="W510" s="8">
        <v>0.6</v>
      </c>
      <c r="X510" s="8">
        <v>85</v>
      </c>
      <c r="Y510" s="8" t="s">
        <v>307</v>
      </c>
      <c r="Z510" s="8" t="s">
        <v>308</v>
      </c>
    </row>
    <row r="511" spans="1:26" x14ac:dyDescent="0.2">
      <c r="A511" s="8">
        <v>510</v>
      </c>
      <c r="B511" s="8" t="s">
        <v>2497</v>
      </c>
      <c r="C511" s="8" t="s">
        <v>2497</v>
      </c>
      <c r="F511" s="47"/>
      <c r="G511" s="8">
        <v>18</v>
      </c>
      <c r="H511" s="8" t="s">
        <v>21</v>
      </c>
      <c r="I511" s="8" t="s">
        <v>72</v>
      </c>
      <c r="J511" s="8" t="s">
        <v>72</v>
      </c>
      <c r="K511" s="8" t="s">
        <v>73</v>
      </c>
      <c r="L511" s="8" t="s">
        <v>38</v>
      </c>
      <c r="M511" s="8" t="s">
        <v>39</v>
      </c>
      <c r="N511" s="8" t="s">
        <v>2498</v>
      </c>
      <c r="O511" s="8">
        <f>1+23/60+55.5/3600</f>
        <v>1.3987499999999999</v>
      </c>
      <c r="P511" s="8" t="s">
        <v>2499</v>
      </c>
      <c r="Q511" s="8">
        <f>+(33+29/60+51/3600)</f>
        <v>33.497500000000002</v>
      </c>
      <c r="R511" s="8">
        <v>99</v>
      </c>
      <c r="S511" s="8">
        <v>99</v>
      </c>
      <c r="T511" s="8">
        <v>99</v>
      </c>
      <c r="U511" s="8">
        <v>99</v>
      </c>
      <c r="Y511" s="8" t="s">
        <v>2500</v>
      </c>
      <c r="Z511" s="8" t="s">
        <v>2501</v>
      </c>
    </row>
    <row r="512" spans="1:26" x14ac:dyDescent="0.2">
      <c r="A512" s="8">
        <v>511</v>
      </c>
      <c r="B512" s="8" t="s">
        <v>2502</v>
      </c>
      <c r="C512" s="8" t="s">
        <v>2502</v>
      </c>
      <c r="F512" s="47"/>
      <c r="G512" s="8">
        <v>18</v>
      </c>
      <c r="H512" s="8" t="s">
        <v>21</v>
      </c>
      <c r="I512" s="8" t="s">
        <v>22</v>
      </c>
      <c r="J512" s="8" t="s">
        <v>22</v>
      </c>
      <c r="K512" s="8" t="s">
        <v>460</v>
      </c>
      <c r="L512" s="8" t="s">
        <v>38</v>
      </c>
      <c r="M512" s="8" t="s">
        <v>39</v>
      </c>
      <c r="N512" s="8" t="s">
        <v>2503</v>
      </c>
      <c r="O512" s="8">
        <f>1+23/60+30.7/3600</f>
        <v>1.391861111111111</v>
      </c>
      <c r="P512" s="8" t="s">
        <v>2504</v>
      </c>
      <c r="Q512" s="8">
        <f>+(11+17/60+27/3600)</f>
        <v>11.290833333333333</v>
      </c>
      <c r="R512" s="8">
        <v>13.7</v>
      </c>
      <c r="S512" s="8">
        <v>14.7</v>
      </c>
      <c r="T512" s="8">
        <v>1</v>
      </c>
      <c r="U512" s="8">
        <v>14</v>
      </c>
      <c r="V512" s="8">
        <v>1.1000000000000001</v>
      </c>
      <c r="W512" s="8">
        <v>1.1000000000000001</v>
      </c>
      <c r="Y512" s="8" t="s">
        <v>2505</v>
      </c>
      <c r="Z512" s="8" t="s">
        <v>2506</v>
      </c>
    </row>
    <row r="513" spans="1:26" x14ac:dyDescent="0.2">
      <c r="A513" s="8">
        <v>512</v>
      </c>
      <c r="B513" s="8" t="s">
        <v>2507</v>
      </c>
      <c r="C513" s="8" t="s">
        <v>2507</v>
      </c>
      <c r="F513" s="47"/>
      <c r="G513" s="8">
        <v>16</v>
      </c>
      <c r="H513" s="8" t="s">
        <v>21</v>
      </c>
      <c r="I513" s="8" t="s">
        <v>22</v>
      </c>
      <c r="J513" s="8" t="s">
        <v>22</v>
      </c>
      <c r="K513" s="8" t="s">
        <v>31</v>
      </c>
      <c r="L513" s="8" t="s">
        <v>51</v>
      </c>
      <c r="M513" s="8" t="s">
        <v>52</v>
      </c>
      <c r="N513" s="8" t="s">
        <v>2508</v>
      </c>
      <c r="O513" s="8">
        <f>1+23/60+59.8/3600</f>
        <v>1.3999444444444444</v>
      </c>
      <c r="P513" s="8" t="s">
        <v>2509</v>
      </c>
      <c r="Q513" s="8">
        <f>+(33+54/60+26/3600)</f>
        <v>33.907222222222224</v>
      </c>
      <c r="R513" s="8">
        <v>13.2</v>
      </c>
      <c r="S513" s="8">
        <v>14</v>
      </c>
      <c r="T513" s="8">
        <v>0.8</v>
      </c>
      <c r="U513" s="8">
        <v>12.6</v>
      </c>
      <c r="V513" s="8">
        <v>1.6</v>
      </c>
      <c r="W513" s="8">
        <v>0.4</v>
      </c>
      <c r="X513" s="8">
        <v>116</v>
      </c>
      <c r="Y513" s="8" t="s">
        <v>282</v>
      </c>
      <c r="Z513" s="8" t="s">
        <v>283</v>
      </c>
    </row>
    <row r="514" spans="1:26" x14ac:dyDescent="0.2">
      <c r="A514" s="8">
        <v>513</v>
      </c>
      <c r="B514" s="8" t="s">
        <v>2510</v>
      </c>
      <c r="C514" s="8" t="s">
        <v>2510</v>
      </c>
      <c r="F514" s="47" t="s">
        <v>56082</v>
      </c>
      <c r="G514" s="8">
        <v>6.5</v>
      </c>
      <c r="H514" s="8" t="s">
        <v>21</v>
      </c>
      <c r="I514" s="8" t="s">
        <v>22</v>
      </c>
      <c r="J514" s="8" t="s">
        <v>22</v>
      </c>
      <c r="K514" s="8" t="s">
        <v>160</v>
      </c>
      <c r="L514" s="8" t="s">
        <v>51</v>
      </c>
      <c r="M514" s="8" t="s">
        <v>52</v>
      </c>
      <c r="N514" s="8" t="s">
        <v>2511</v>
      </c>
      <c r="O514" s="8">
        <f>1+24/60+26.9/3600</f>
        <v>1.4074722222222222</v>
      </c>
      <c r="P514" s="8" t="s">
        <v>2512</v>
      </c>
      <c r="Q514" s="8">
        <f>+(33+47/60+56/3600)</f>
        <v>33.798888888888889</v>
      </c>
      <c r="R514" s="8">
        <v>13</v>
      </c>
      <c r="S514" s="8">
        <v>13.7</v>
      </c>
      <c r="T514" s="8">
        <v>0.7</v>
      </c>
      <c r="U514" s="8">
        <v>12.2</v>
      </c>
      <c r="V514" s="8">
        <v>0.9</v>
      </c>
      <c r="W514" s="8">
        <v>0.6</v>
      </c>
      <c r="X514" s="8">
        <v>75</v>
      </c>
      <c r="Y514" s="8" t="s">
        <v>2513</v>
      </c>
      <c r="Z514" s="8" t="s">
        <v>2514</v>
      </c>
    </row>
    <row r="515" spans="1:26" x14ac:dyDescent="0.2">
      <c r="A515" s="8">
        <v>514</v>
      </c>
      <c r="B515" s="8" t="s">
        <v>2515</v>
      </c>
      <c r="C515" s="8" t="s">
        <v>2515</v>
      </c>
      <c r="F515" s="47" t="s">
        <v>56083</v>
      </c>
      <c r="G515" s="8">
        <v>6.5</v>
      </c>
      <c r="H515" s="8" t="s">
        <v>21</v>
      </c>
      <c r="I515" s="8" t="s">
        <v>22</v>
      </c>
      <c r="J515" s="8" t="s">
        <v>22</v>
      </c>
      <c r="K515" s="8" t="s">
        <v>64</v>
      </c>
      <c r="L515" s="8" t="s">
        <v>38</v>
      </c>
      <c r="M515" s="8" t="s">
        <v>39</v>
      </c>
      <c r="N515" s="8" t="s">
        <v>2516</v>
      </c>
      <c r="O515" s="8">
        <f>1+24/60+3.9/3600</f>
        <v>1.4010833333333332</v>
      </c>
      <c r="P515" s="8" t="s">
        <v>2517</v>
      </c>
      <c r="Q515" s="8">
        <f>+(12+55/60+2/3600)</f>
        <v>12.917222222222222</v>
      </c>
      <c r="R515" s="8">
        <v>11.7</v>
      </c>
      <c r="S515" s="8">
        <v>12.2</v>
      </c>
      <c r="T515" s="8">
        <v>0.5</v>
      </c>
      <c r="U515" s="8">
        <v>13.9</v>
      </c>
      <c r="V515" s="8">
        <v>3.7</v>
      </c>
      <c r="W515" s="8">
        <v>3</v>
      </c>
      <c r="X515" s="8">
        <v>110</v>
      </c>
      <c r="Y515" s="8" t="s">
        <v>2518</v>
      </c>
      <c r="Z515" s="8" t="s">
        <v>2519</v>
      </c>
    </row>
    <row r="516" spans="1:26" x14ac:dyDescent="0.2">
      <c r="A516" s="8">
        <v>515</v>
      </c>
      <c r="B516" s="8" t="s">
        <v>2520</v>
      </c>
      <c r="C516" s="8" t="s">
        <v>2520</v>
      </c>
      <c r="F516" s="47" t="s">
        <v>56084</v>
      </c>
      <c r="G516" s="8">
        <v>15</v>
      </c>
      <c r="H516" s="8" t="s">
        <v>21</v>
      </c>
      <c r="I516" s="8" t="s">
        <v>22</v>
      </c>
      <c r="J516" s="8" t="s">
        <v>22</v>
      </c>
      <c r="K516" s="8" t="s">
        <v>37</v>
      </c>
      <c r="L516" s="8" t="s">
        <v>38</v>
      </c>
      <c r="M516" s="8" t="s">
        <v>39</v>
      </c>
      <c r="N516" s="8" t="s">
        <v>2521</v>
      </c>
      <c r="O516" s="8">
        <f>1+24/60+38.7/3600</f>
        <v>1.4107499999999999</v>
      </c>
      <c r="P516" s="8" t="s">
        <v>2522</v>
      </c>
      <c r="Q516" s="8">
        <f>+(33+28/60+20/3600)</f>
        <v>33.472222222222221</v>
      </c>
      <c r="R516" s="8">
        <v>13</v>
      </c>
      <c r="S516" s="8">
        <v>14</v>
      </c>
      <c r="T516" s="8">
        <v>1</v>
      </c>
      <c r="U516" s="8">
        <v>13.4</v>
      </c>
      <c r="V516" s="8">
        <v>1.4</v>
      </c>
      <c r="W516" s="8">
        <v>1.1000000000000001</v>
      </c>
      <c r="X516" s="8">
        <v>126</v>
      </c>
      <c r="Y516" s="8" t="s">
        <v>2523</v>
      </c>
      <c r="Z516" s="8" t="s">
        <v>2524</v>
      </c>
    </row>
    <row r="517" spans="1:26" x14ac:dyDescent="0.2">
      <c r="A517" s="8">
        <v>516</v>
      </c>
      <c r="B517" s="8" t="s">
        <v>2525</v>
      </c>
      <c r="C517" s="8" t="s">
        <v>2525</v>
      </c>
      <c r="F517" s="47"/>
      <c r="G517" s="8">
        <v>18</v>
      </c>
      <c r="H517" s="8" t="s">
        <v>21</v>
      </c>
      <c r="I517" s="8" t="s">
        <v>22</v>
      </c>
      <c r="J517" s="8" t="s">
        <v>22</v>
      </c>
      <c r="K517" s="8" t="s">
        <v>435</v>
      </c>
      <c r="L517" s="8" t="s">
        <v>38</v>
      </c>
      <c r="M517" s="8" t="s">
        <v>39</v>
      </c>
      <c r="N517" s="8" t="s">
        <v>2526</v>
      </c>
      <c r="O517" s="8">
        <f>1+24/60+8/3600</f>
        <v>1.402222222222222</v>
      </c>
      <c r="P517" s="8" t="s">
        <v>2527</v>
      </c>
      <c r="Q517" s="8">
        <f>+(9+33/60+7/3600)</f>
        <v>9.5519444444444446</v>
      </c>
      <c r="R517" s="8">
        <v>13.1</v>
      </c>
      <c r="S517" s="8">
        <v>14</v>
      </c>
      <c r="T517" s="8">
        <v>0.9</v>
      </c>
      <c r="U517" s="8">
        <v>12.6</v>
      </c>
      <c r="V517" s="8">
        <v>1.4</v>
      </c>
      <c r="W517" s="8">
        <v>0.5</v>
      </c>
      <c r="X517" s="8">
        <v>44</v>
      </c>
      <c r="Y517" s="8" t="s">
        <v>2528</v>
      </c>
      <c r="Z517" s="8" t="s">
        <v>2529</v>
      </c>
    </row>
    <row r="518" spans="1:26" x14ac:dyDescent="0.2">
      <c r="A518" s="8">
        <v>517</v>
      </c>
      <c r="B518" s="8" t="s">
        <v>2530</v>
      </c>
      <c r="C518" s="8" t="s">
        <v>2530</v>
      </c>
      <c r="F518" s="47" t="s">
        <v>56085</v>
      </c>
      <c r="G518" s="8">
        <v>15</v>
      </c>
      <c r="H518" s="8" t="s">
        <v>21</v>
      </c>
      <c r="I518" s="8" t="s">
        <v>22</v>
      </c>
      <c r="J518" s="8" t="s">
        <v>22</v>
      </c>
      <c r="K518" s="8" t="s">
        <v>37</v>
      </c>
      <c r="L518" s="8" t="s">
        <v>38</v>
      </c>
      <c r="M518" s="8" t="s">
        <v>39</v>
      </c>
      <c r="N518" s="8" t="s">
        <v>2531</v>
      </c>
      <c r="O518" s="8">
        <f>1+24/60+43.8/3600</f>
        <v>1.4121666666666666</v>
      </c>
      <c r="P518" s="8" t="s">
        <v>2532</v>
      </c>
      <c r="Q518" s="8">
        <f>+(33+25/60+44/3600)</f>
        <v>33.428888888888885</v>
      </c>
      <c r="R518" s="8">
        <v>12.5</v>
      </c>
      <c r="S518" s="8">
        <v>13.5</v>
      </c>
      <c r="T518" s="8">
        <v>1</v>
      </c>
      <c r="U518" s="8">
        <v>12</v>
      </c>
      <c r="V518" s="8">
        <v>1.4</v>
      </c>
      <c r="W518" s="8">
        <v>0.5</v>
      </c>
      <c r="X518" s="8">
        <v>20</v>
      </c>
      <c r="Y518" s="8" t="s">
        <v>2533</v>
      </c>
      <c r="Z518" s="8" t="s">
        <v>2534</v>
      </c>
    </row>
    <row r="519" spans="1:26" x14ac:dyDescent="0.2">
      <c r="A519" s="8">
        <v>518</v>
      </c>
      <c r="B519" s="8" t="s">
        <v>2535</v>
      </c>
      <c r="C519" s="8" t="s">
        <v>2535</v>
      </c>
      <c r="F519" s="47"/>
      <c r="G519" s="8">
        <v>18</v>
      </c>
      <c r="H519" s="8" t="s">
        <v>21</v>
      </c>
      <c r="I519" s="8" t="s">
        <v>22</v>
      </c>
      <c r="J519" s="8" t="s">
        <v>22</v>
      </c>
      <c r="K519" s="8" t="s">
        <v>91</v>
      </c>
      <c r="L519" s="8" t="s">
        <v>38</v>
      </c>
      <c r="M519" s="8" t="s">
        <v>39</v>
      </c>
      <c r="N519" s="8" t="s">
        <v>2536</v>
      </c>
      <c r="O519" s="8">
        <f>1+24/60+17.7/3600</f>
        <v>1.4049166666666666</v>
      </c>
      <c r="P519" s="8" t="s">
        <v>2537</v>
      </c>
      <c r="Q519" s="8">
        <f>+(9+19/60+51/3600)</f>
        <v>9.3308333333333326</v>
      </c>
      <c r="R519" s="8">
        <v>13.3</v>
      </c>
      <c r="S519" s="8">
        <v>14.2</v>
      </c>
      <c r="T519" s="8">
        <v>0.9</v>
      </c>
      <c r="U519" s="8">
        <v>13.1</v>
      </c>
      <c r="V519" s="8">
        <v>1.6</v>
      </c>
      <c r="W519" s="8">
        <v>0.6</v>
      </c>
      <c r="X519" s="8">
        <v>98</v>
      </c>
      <c r="Y519" s="8" t="s">
        <v>2181</v>
      </c>
      <c r="Z519" s="8" t="s">
        <v>2182</v>
      </c>
    </row>
    <row r="520" spans="1:26" x14ac:dyDescent="0.2">
      <c r="A520" s="8">
        <v>519</v>
      </c>
      <c r="B520" s="8" t="s">
        <v>2538</v>
      </c>
      <c r="C520" s="8" t="s">
        <v>2538</v>
      </c>
      <c r="F520" s="47"/>
      <c r="G520" s="8">
        <v>19</v>
      </c>
      <c r="H520" s="8" t="s">
        <v>21</v>
      </c>
      <c r="I520" s="8" t="s">
        <v>22</v>
      </c>
      <c r="J520" s="8" t="s">
        <v>22</v>
      </c>
      <c r="K520" s="8" t="s">
        <v>50</v>
      </c>
      <c r="L520" s="8" t="s">
        <v>125</v>
      </c>
      <c r="M520" s="8" t="s">
        <v>126</v>
      </c>
      <c r="N520" s="8" t="s">
        <v>2539</v>
      </c>
      <c r="O520" s="8">
        <f>1+24/60+28.7/3600</f>
        <v>1.4079722222222222</v>
      </c>
      <c r="P520" s="8" t="s">
        <v>2540</v>
      </c>
      <c r="Q520" s="8">
        <f>-(1+38/60+29/3600)</f>
        <v>-1.6413888888888888</v>
      </c>
      <c r="R520" s="8">
        <v>14.3</v>
      </c>
      <c r="S520" s="8">
        <v>15.3</v>
      </c>
      <c r="T520" s="8">
        <v>1</v>
      </c>
      <c r="U520" s="8">
        <v>12.2</v>
      </c>
      <c r="V520" s="8">
        <v>0.5</v>
      </c>
      <c r="W520" s="8">
        <v>0.3</v>
      </c>
      <c r="X520" s="8">
        <v>140</v>
      </c>
      <c r="Y520" s="8" t="s">
        <v>369</v>
      </c>
      <c r="Z520" s="8" t="s">
        <v>370</v>
      </c>
    </row>
    <row r="521" spans="1:26" x14ac:dyDescent="0.2">
      <c r="A521" s="8">
        <v>520</v>
      </c>
      <c r="B521" s="8" t="s">
        <v>2541</v>
      </c>
      <c r="C521" s="8" t="s">
        <v>2541</v>
      </c>
      <c r="F521" s="47" t="s">
        <v>56086</v>
      </c>
      <c r="G521" s="8">
        <v>11</v>
      </c>
      <c r="H521" s="8" t="s">
        <v>21</v>
      </c>
      <c r="I521" s="8" t="s">
        <v>22</v>
      </c>
      <c r="J521" s="8" t="s">
        <v>22</v>
      </c>
      <c r="K521" s="8" t="s">
        <v>2542</v>
      </c>
      <c r="L521" s="8" t="s">
        <v>38</v>
      </c>
      <c r="M521" s="8" t="s">
        <v>39</v>
      </c>
      <c r="N521" s="8" t="s">
        <v>2543</v>
      </c>
      <c r="O521" s="8">
        <f>1+24/60+34.7/3600</f>
        <v>1.4096388888888889</v>
      </c>
      <c r="P521" s="8" t="s">
        <v>2544</v>
      </c>
      <c r="Q521" s="8">
        <f>+(3+47/60+39/3600)</f>
        <v>3.7941666666666665</v>
      </c>
      <c r="R521" s="8">
        <v>11.4</v>
      </c>
      <c r="S521" s="8">
        <v>12.2</v>
      </c>
      <c r="T521" s="8">
        <v>0.8</v>
      </c>
      <c r="U521" s="8">
        <v>13.2</v>
      </c>
      <c r="V521" s="8">
        <v>3.4</v>
      </c>
      <c r="W521" s="8">
        <v>1.7</v>
      </c>
      <c r="X521" s="8">
        <v>130</v>
      </c>
      <c r="Y521" s="8" t="s">
        <v>2545</v>
      </c>
      <c r="Z521" s="8" t="s">
        <v>2546</v>
      </c>
    </row>
    <row r="522" spans="1:26" x14ac:dyDescent="0.2">
      <c r="A522" s="8">
        <v>521</v>
      </c>
      <c r="B522" s="8" t="s">
        <v>2547</v>
      </c>
      <c r="C522" s="8" t="s">
        <v>2547</v>
      </c>
      <c r="F522" s="47" t="s">
        <v>56087</v>
      </c>
      <c r="G522" s="8">
        <v>13</v>
      </c>
      <c r="H522" s="8" t="s">
        <v>21</v>
      </c>
      <c r="I522" s="8" t="s">
        <v>22</v>
      </c>
      <c r="J522" s="8" t="s">
        <v>22</v>
      </c>
      <c r="K522" s="8" t="s">
        <v>85</v>
      </c>
      <c r="L522" s="8" t="s">
        <v>125</v>
      </c>
      <c r="M522" s="8" t="s">
        <v>126</v>
      </c>
      <c r="N522" s="8" t="s">
        <v>2548</v>
      </c>
      <c r="O522" s="8">
        <f>1+24/60+33.6/3600</f>
        <v>1.4093333333333333</v>
      </c>
      <c r="P522" s="8" t="s">
        <v>2549</v>
      </c>
      <c r="Q522" s="8">
        <f>+(1+43/60+53/3600)</f>
        <v>1.7313888888888891</v>
      </c>
      <c r="R522" s="8">
        <v>11.7</v>
      </c>
      <c r="S522" s="8">
        <v>12.6</v>
      </c>
      <c r="T522" s="8">
        <v>0.9</v>
      </c>
      <c r="U522" s="8">
        <v>14</v>
      </c>
      <c r="V522" s="8">
        <v>2.7</v>
      </c>
      <c r="W522" s="8">
        <v>2.4</v>
      </c>
      <c r="X522" s="8">
        <v>38</v>
      </c>
      <c r="Y522" s="8" t="s">
        <v>522</v>
      </c>
      <c r="Z522" s="8" t="s">
        <v>523</v>
      </c>
    </row>
    <row r="523" spans="1:26" x14ac:dyDescent="0.2">
      <c r="A523" s="8">
        <v>522</v>
      </c>
      <c r="B523" s="8" t="s">
        <v>2550</v>
      </c>
      <c r="C523" s="8" t="s">
        <v>2550</v>
      </c>
      <c r="F523" s="47"/>
      <c r="G523" s="8">
        <v>18</v>
      </c>
      <c r="H523" s="8" t="s">
        <v>21</v>
      </c>
      <c r="I523" s="8" t="s">
        <v>22</v>
      </c>
      <c r="J523" s="8" t="s">
        <v>22</v>
      </c>
      <c r="K523" s="8" t="s">
        <v>396</v>
      </c>
      <c r="L523" s="8" t="s">
        <v>38</v>
      </c>
      <c r="M523" s="8" t="s">
        <v>39</v>
      </c>
      <c r="N523" s="8" t="s">
        <v>2551</v>
      </c>
      <c r="O523" s="8">
        <f>1+24/60+45.9/3600</f>
        <v>1.41275</v>
      </c>
      <c r="P523" s="8" t="s">
        <v>2552</v>
      </c>
      <c r="Q523" s="8">
        <f>+(9+59/60+42/3600)</f>
        <v>9.9949999999999992</v>
      </c>
      <c r="R523" s="8">
        <v>12.9</v>
      </c>
      <c r="S523" s="8">
        <v>13.9</v>
      </c>
      <c r="T523" s="8">
        <v>1</v>
      </c>
      <c r="U523" s="8">
        <v>13</v>
      </c>
      <c r="V523" s="8">
        <v>2.8</v>
      </c>
      <c r="W523" s="8">
        <v>0.5</v>
      </c>
      <c r="X523" s="8">
        <v>33</v>
      </c>
      <c r="Y523" s="8" t="s">
        <v>2553</v>
      </c>
      <c r="Z523" s="8" t="s">
        <v>2554</v>
      </c>
    </row>
    <row r="524" spans="1:26" x14ac:dyDescent="0.2">
      <c r="A524" s="8">
        <v>523</v>
      </c>
      <c r="B524" s="8" t="s">
        <v>2555</v>
      </c>
      <c r="C524" s="8" t="s">
        <v>2555</v>
      </c>
      <c r="F524" s="47"/>
      <c r="G524" s="8">
        <v>18</v>
      </c>
      <c r="H524" s="8" t="s">
        <v>21</v>
      </c>
      <c r="I524" s="8" t="s">
        <v>22</v>
      </c>
      <c r="J524" s="8" t="s">
        <v>57</v>
      </c>
      <c r="K524" s="8" t="s">
        <v>2556</v>
      </c>
      <c r="L524" s="8" t="s">
        <v>51</v>
      </c>
      <c r="M524" s="8" t="s">
        <v>52</v>
      </c>
      <c r="N524" s="8" t="s">
        <v>2557</v>
      </c>
      <c r="O524" s="8">
        <f>1+25/60+20.7/3600</f>
        <v>1.4224166666666667</v>
      </c>
      <c r="P524" s="8" t="s">
        <v>2558</v>
      </c>
      <c r="Q524" s="8">
        <f>+(34+1/60+31/3600)</f>
        <v>34.025277777777774</v>
      </c>
      <c r="R524" s="8">
        <v>12.7</v>
      </c>
      <c r="S524" s="8">
        <v>13.5</v>
      </c>
      <c r="T524" s="8">
        <v>0.8</v>
      </c>
      <c r="U524" s="8">
        <v>13.2</v>
      </c>
      <c r="V524" s="8">
        <v>2.5</v>
      </c>
      <c r="W524" s="8">
        <v>0.7</v>
      </c>
      <c r="X524" s="8">
        <v>108</v>
      </c>
      <c r="Y524" s="8" t="s">
        <v>2559</v>
      </c>
      <c r="Z524" s="8" t="s">
        <v>2560</v>
      </c>
    </row>
    <row r="525" spans="1:26" x14ac:dyDescent="0.2">
      <c r="A525" s="8">
        <v>524</v>
      </c>
      <c r="B525" s="8" t="s">
        <v>2561</v>
      </c>
      <c r="C525" s="8" t="s">
        <v>2561</v>
      </c>
      <c r="F525" s="47" t="s">
        <v>56088</v>
      </c>
      <c r="G525" s="8">
        <v>6</v>
      </c>
      <c r="H525" s="8" t="s">
        <v>21</v>
      </c>
      <c r="I525" s="8" t="s">
        <v>22</v>
      </c>
      <c r="J525" s="8" t="s">
        <v>22</v>
      </c>
      <c r="K525" s="8" t="s">
        <v>632</v>
      </c>
      <c r="L525" s="8" t="s">
        <v>38</v>
      </c>
      <c r="M525" s="8" t="s">
        <v>39</v>
      </c>
      <c r="N525" s="8" t="s">
        <v>2562</v>
      </c>
      <c r="O525" s="8">
        <f>1+24/60+47.8/3600</f>
        <v>1.4132777777777776</v>
      </c>
      <c r="P525" s="8" t="s">
        <v>2563</v>
      </c>
      <c r="Q525" s="8">
        <f>+(9+32/60+19/3600)</f>
        <v>9.5386111111111109</v>
      </c>
      <c r="R525" s="8">
        <v>10.199999999999999</v>
      </c>
      <c r="S525" s="8">
        <v>11.3</v>
      </c>
      <c r="T525" s="8">
        <v>1.1000000000000001</v>
      </c>
      <c r="U525" s="8">
        <v>12.3</v>
      </c>
      <c r="V525" s="8">
        <v>2.8</v>
      </c>
      <c r="W525" s="8">
        <v>2.8</v>
      </c>
      <c r="Y525" s="8" t="s">
        <v>2564</v>
      </c>
      <c r="Z525" s="8" t="s">
        <v>2565</v>
      </c>
    </row>
    <row r="526" spans="1:26" x14ac:dyDescent="0.2">
      <c r="A526" s="8">
        <v>525</v>
      </c>
      <c r="B526" s="8" t="s">
        <v>2566</v>
      </c>
      <c r="C526" s="8" t="s">
        <v>2566</v>
      </c>
      <c r="F526" s="47"/>
      <c r="G526" s="8">
        <v>18</v>
      </c>
      <c r="H526" s="8" t="s">
        <v>21</v>
      </c>
      <c r="I526" s="8" t="s">
        <v>22</v>
      </c>
      <c r="J526" s="8" t="s">
        <v>22</v>
      </c>
      <c r="K526" s="8" t="s">
        <v>37</v>
      </c>
      <c r="L526" s="8" t="s">
        <v>38</v>
      </c>
      <c r="M526" s="8" t="s">
        <v>39</v>
      </c>
      <c r="N526" s="8" t="s">
        <v>2567</v>
      </c>
      <c r="O526" s="8">
        <f>1+24/60+52.8/3600</f>
        <v>1.4146666666666665</v>
      </c>
      <c r="P526" s="8" t="s">
        <v>2568</v>
      </c>
      <c r="Q526" s="8">
        <f>+(9+42/60+14/3600)</f>
        <v>9.7038888888888888</v>
      </c>
      <c r="R526" s="8">
        <v>13.3</v>
      </c>
      <c r="S526" s="8">
        <v>14.3</v>
      </c>
      <c r="T526" s="8">
        <v>1</v>
      </c>
      <c r="U526" s="8">
        <v>13.2</v>
      </c>
      <c r="V526" s="8">
        <v>1.5</v>
      </c>
      <c r="W526" s="8">
        <v>0.7</v>
      </c>
      <c r="X526" s="8">
        <v>8</v>
      </c>
      <c r="Y526" s="8" t="s">
        <v>2569</v>
      </c>
      <c r="Z526" s="8" t="s">
        <v>2570</v>
      </c>
    </row>
    <row r="527" spans="1:26" x14ac:dyDescent="0.2">
      <c r="A527" s="8">
        <v>526</v>
      </c>
      <c r="B527" s="8" t="s">
        <v>2571</v>
      </c>
      <c r="C527" s="8" t="s">
        <v>2571</v>
      </c>
      <c r="D527" s="8" t="s">
        <v>1619</v>
      </c>
      <c r="F527" s="47"/>
      <c r="G527" s="8">
        <v>16</v>
      </c>
      <c r="H527" s="8" t="s">
        <v>21</v>
      </c>
      <c r="I527" s="8" t="s">
        <v>22</v>
      </c>
      <c r="J527" s="8" t="s">
        <v>22</v>
      </c>
      <c r="K527" s="8" t="s">
        <v>2572</v>
      </c>
      <c r="L527" s="8" t="s">
        <v>65</v>
      </c>
      <c r="M527" s="8" t="s">
        <v>66</v>
      </c>
      <c r="N527" s="8" t="s">
        <v>2573</v>
      </c>
      <c r="O527" s="8">
        <f>1+23/60+56.9/3600</f>
        <v>1.3991388888888889</v>
      </c>
      <c r="P527" s="8" t="s">
        <v>2574</v>
      </c>
      <c r="Q527" s="8">
        <f>-(35+4/60+9/3600)</f>
        <v>-35.069166666666668</v>
      </c>
      <c r="R527" s="8">
        <v>13</v>
      </c>
      <c r="S527" s="8">
        <v>14</v>
      </c>
      <c r="T527" s="8">
        <v>1</v>
      </c>
      <c r="U527" s="8">
        <v>11.6</v>
      </c>
      <c r="V527" s="8">
        <v>0.8</v>
      </c>
      <c r="W527" s="8">
        <v>0.4</v>
      </c>
      <c r="X527" s="8">
        <v>162</v>
      </c>
      <c r="Y527" s="8" t="s">
        <v>2575</v>
      </c>
      <c r="Z527" s="8" t="s">
        <v>2576</v>
      </c>
    </row>
    <row r="528" spans="1:26" x14ac:dyDescent="0.2">
      <c r="A528" s="8">
        <v>527</v>
      </c>
      <c r="B528" s="8" t="s">
        <v>2577</v>
      </c>
      <c r="C528" s="8" t="s">
        <v>2577</v>
      </c>
      <c r="F528" s="47"/>
      <c r="G528" s="8">
        <v>16</v>
      </c>
      <c r="H528" s="8" t="s">
        <v>21</v>
      </c>
      <c r="I528" s="8" t="s">
        <v>22</v>
      </c>
      <c r="J528" s="8" t="s">
        <v>22</v>
      </c>
      <c r="K528" s="8" t="s">
        <v>435</v>
      </c>
      <c r="L528" s="8" t="s">
        <v>65</v>
      </c>
      <c r="M528" s="8" t="s">
        <v>66</v>
      </c>
      <c r="N528" s="8" t="s">
        <v>2578</v>
      </c>
      <c r="O528" s="8">
        <f>1+23/60+58/3600</f>
        <v>1.3994444444444445</v>
      </c>
      <c r="P528" s="8" t="s">
        <v>2579</v>
      </c>
      <c r="Q528" s="8">
        <f>-(35+6/60+55/3600)</f>
        <v>-35.115277777777777</v>
      </c>
      <c r="R528" s="8">
        <v>13</v>
      </c>
      <c r="S528" s="8">
        <v>13.9</v>
      </c>
      <c r="T528" s="8">
        <v>0.9</v>
      </c>
      <c r="U528" s="8">
        <v>12.4</v>
      </c>
      <c r="V528" s="8">
        <v>1.6</v>
      </c>
      <c r="W528" s="8">
        <v>0.3</v>
      </c>
      <c r="X528" s="8">
        <v>14</v>
      </c>
      <c r="Y528" s="8" t="s">
        <v>2580</v>
      </c>
      <c r="Z528" s="8" t="s">
        <v>2581</v>
      </c>
    </row>
    <row r="529" spans="1:26" x14ac:dyDescent="0.2">
      <c r="A529" s="8">
        <v>528</v>
      </c>
      <c r="B529" s="8" t="s">
        <v>2582</v>
      </c>
      <c r="C529" s="8" t="s">
        <v>2582</v>
      </c>
      <c r="F529" s="47"/>
      <c r="G529" s="8">
        <v>18</v>
      </c>
      <c r="H529" s="8" t="s">
        <v>21</v>
      </c>
      <c r="I529" s="8" t="s">
        <v>22</v>
      </c>
      <c r="J529" s="8" t="s">
        <v>22</v>
      </c>
      <c r="K529" s="8" t="s">
        <v>37</v>
      </c>
      <c r="L529" s="8" t="s">
        <v>51</v>
      </c>
      <c r="M529" s="8" t="s">
        <v>52</v>
      </c>
      <c r="N529" s="8" t="s">
        <v>2583</v>
      </c>
      <c r="O529" s="8">
        <f>1+25/60+33.6/3600</f>
        <v>1.4260000000000002</v>
      </c>
      <c r="P529" s="8" t="s">
        <v>2584</v>
      </c>
      <c r="Q529" s="8">
        <f>+(33+40/60+14/3600)</f>
        <v>33.670555555555552</v>
      </c>
      <c r="R529" s="8">
        <v>12.5</v>
      </c>
      <c r="S529" s="8">
        <v>13.5</v>
      </c>
      <c r="T529" s="8">
        <v>1</v>
      </c>
      <c r="U529" s="8">
        <v>12.4</v>
      </c>
      <c r="V529" s="8">
        <v>1.2</v>
      </c>
      <c r="W529" s="8">
        <v>0.8</v>
      </c>
      <c r="X529" s="8">
        <v>55</v>
      </c>
      <c r="Y529" s="8" t="s">
        <v>2585</v>
      </c>
      <c r="Z529" s="8" t="s">
        <v>2586</v>
      </c>
    </row>
    <row r="530" spans="1:26" x14ac:dyDescent="0.2">
      <c r="A530" s="8">
        <v>529</v>
      </c>
      <c r="B530" s="8" t="s">
        <v>2587</v>
      </c>
      <c r="C530" s="8" t="s">
        <v>2587</v>
      </c>
      <c r="F530" s="47"/>
      <c r="G530" s="8">
        <v>16</v>
      </c>
      <c r="H530" s="8" t="s">
        <v>21</v>
      </c>
      <c r="I530" s="8" t="s">
        <v>22</v>
      </c>
      <c r="J530" s="8" t="s">
        <v>22</v>
      </c>
      <c r="K530" s="8" t="s">
        <v>58</v>
      </c>
      <c r="L530" s="8" t="s">
        <v>51</v>
      </c>
      <c r="M530" s="8" t="s">
        <v>52</v>
      </c>
      <c r="N530" s="8" t="s">
        <v>2588</v>
      </c>
      <c r="O530" s="8">
        <f>1+25/60+40.2/3600</f>
        <v>1.4278333333333335</v>
      </c>
      <c r="P530" s="8" t="s">
        <v>2589</v>
      </c>
      <c r="Q530" s="8">
        <f>+(34+42/60+47/3600)</f>
        <v>34.713055555555556</v>
      </c>
      <c r="R530" s="8">
        <v>12.1</v>
      </c>
      <c r="S530" s="8">
        <v>13.1</v>
      </c>
      <c r="T530" s="8">
        <v>1</v>
      </c>
      <c r="U530" s="8">
        <v>13.8</v>
      </c>
      <c r="V530" s="8">
        <v>2.4</v>
      </c>
      <c r="W530" s="8">
        <v>2.1</v>
      </c>
      <c r="X530" s="8">
        <v>160</v>
      </c>
      <c r="Y530" s="8" t="s">
        <v>2590</v>
      </c>
      <c r="Z530" s="8" t="s">
        <v>2591</v>
      </c>
    </row>
    <row r="531" spans="1:26" x14ac:dyDescent="0.2">
      <c r="A531" s="8">
        <v>530</v>
      </c>
      <c r="B531" s="8" t="s">
        <v>2592</v>
      </c>
      <c r="C531" s="8" t="s">
        <v>2592</v>
      </c>
      <c r="F531" s="47"/>
      <c r="G531" s="8">
        <v>19</v>
      </c>
      <c r="H531" s="8" t="s">
        <v>21</v>
      </c>
      <c r="I531" s="8" t="s">
        <v>22</v>
      </c>
      <c r="J531" s="8" t="s">
        <v>22</v>
      </c>
      <c r="K531" s="8" t="s">
        <v>632</v>
      </c>
      <c r="L531" s="8" t="s">
        <v>125</v>
      </c>
      <c r="M531" s="8" t="s">
        <v>126</v>
      </c>
      <c r="N531" s="8" t="s">
        <v>2593</v>
      </c>
      <c r="O531" s="8">
        <f>1+24/60+41.7/3600</f>
        <v>1.4115833333333332</v>
      </c>
      <c r="P531" s="8" t="s">
        <v>2594</v>
      </c>
      <c r="Q531" s="8">
        <f>-(1+35/60+13/3600)</f>
        <v>-1.5869444444444445</v>
      </c>
      <c r="R531" s="8">
        <v>13</v>
      </c>
      <c r="S531" s="8">
        <v>13.9</v>
      </c>
      <c r="T531" s="8">
        <v>0.9</v>
      </c>
      <c r="U531" s="8">
        <v>12.3</v>
      </c>
      <c r="V531" s="8">
        <v>1.5</v>
      </c>
      <c r="W531" s="8">
        <v>0.4</v>
      </c>
      <c r="X531" s="8">
        <v>134</v>
      </c>
      <c r="Y531" s="8" t="s">
        <v>2595</v>
      </c>
      <c r="Z531" s="8" t="s">
        <v>2596</v>
      </c>
    </row>
    <row r="532" spans="1:26" x14ac:dyDescent="0.2">
      <c r="A532" s="8">
        <v>531</v>
      </c>
      <c r="B532" s="8" t="s">
        <v>2597</v>
      </c>
      <c r="C532" s="8" t="s">
        <v>2597</v>
      </c>
      <c r="F532" s="47"/>
      <c r="G532" s="8">
        <v>18</v>
      </c>
      <c r="H532" s="8" t="s">
        <v>21</v>
      </c>
      <c r="I532" s="8" t="s">
        <v>22</v>
      </c>
      <c r="J532" s="8" t="s">
        <v>22</v>
      </c>
      <c r="K532" s="8" t="s">
        <v>435</v>
      </c>
      <c r="L532" s="8" t="s">
        <v>51</v>
      </c>
      <c r="M532" s="8" t="s">
        <v>52</v>
      </c>
      <c r="N532" s="8" t="s">
        <v>2598</v>
      </c>
      <c r="O532" s="8">
        <f>1+26/60+18.8/3600</f>
        <v>1.4385555555555556</v>
      </c>
      <c r="P532" s="8" t="s">
        <v>2599</v>
      </c>
      <c r="Q532" s="8">
        <f>+(34+45/60+15/3600)</f>
        <v>34.75416666666667</v>
      </c>
      <c r="R532" s="8">
        <v>13.8</v>
      </c>
      <c r="S532" s="8">
        <v>14.9</v>
      </c>
      <c r="T532" s="8">
        <v>1.1000000000000001</v>
      </c>
      <c r="U532" s="8">
        <v>13.6</v>
      </c>
      <c r="V532" s="8">
        <v>1.8</v>
      </c>
      <c r="W532" s="8">
        <v>0.5</v>
      </c>
      <c r="X532" s="8">
        <v>34</v>
      </c>
      <c r="Y532" s="8" t="s">
        <v>895</v>
      </c>
      <c r="Z532" s="8" t="s">
        <v>896</v>
      </c>
    </row>
    <row r="533" spans="1:26" x14ac:dyDescent="0.2">
      <c r="A533" s="8">
        <v>532</v>
      </c>
      <c r="B533" s="8" t="s">
        <v>2600</v>
      </c>
      <c r="C533" s="8" t="s">
        <v>2600</v>
      </c>
      <c r="F533" s="47" t="s">
        <v>56089</v>
      </c>
      <c r="G533" s="8">
        <v>15</v>
      </c>
      <c r="H533" s="8" t="s">
        <v>21</v>
      </c>
      <c r="I533" s="8" t="s">
        <v>22</v>
      </c>
      <c r="J533" s="8" t="s">
        <v>22</v>
      </c>
      <c r="K533" s="8" t="s">
        <v>31</v>
      </c>
      <c r="L533" s="8" t="s">
        <v>38</v>
      </c>
      <c r="M533" s="8" t="s">
        <v>39</v>
      </c>
      <c r="N533" s="8" t="s">
        <v>2601</v>
      </c>
      <c r="O533" s="8">
        <f>1+25/60+17.1/3600</f>
        <v>1.4214166666666668</v>
      </c>
      <c r="P533" s="8" t="s">
        <v>2602</v>
      </c>
      <c r="Q533" s="8">
        <f>+(9+15/60+51/3600)</f>
        <v>9.2641666666666662</v>
      </c>
      <c r="R533" s="8">
        <v>12.9</v>
      </c>
      <c r="S533" s="8">
        <v>14</v>
      </c>
      <c r="T533" s="8">
        <v>1.1000000000000001</v>
      </c>
      <c r="U533" s="8">
        <v>13.5</v>
      </c>
      <c r="V533" s="8">
        <v>3.1</v>
      </c>
      <c r="W533" s="8">
        <v>1</v>
      </c>
      <c r="X533" s="8">
        <v>28</v>
      </c>
      <c r="Y533" s="8" t="s">
        <v>2603</v>
      </c>
      <c r="Z533" s="8" t="s">
        <v>2604</v>
      </c>
    </row>
    <row r="534" spans="1:26" x14ac:dyDescent="0.2">
      <c r="A534" s="8">
        <v>533</v>
      </c>
      <c r="B534" s="8" t="s">
        <v>2605</v>
      </c>
      <c r="C534" s="8" t="s">
        <v>2605</v>
      </c>
      <c r="F534" s="47" t="s">
        <v>56090</v>
      </c>
      <c r="G534" s="8">
        <v>13</v>
      </c>
      <c r="H534" s="8" t="s">
        <v>21</v>
      </c>
      <c r="I534" s="8" t="s">
        <v>22</v>
      </c>
      <c r="J534" s="8" t="s">
        <v>22</v>
      </c>
      <c r="K534" s="8" t="s">
        <v>382</v>
      </c>
      <c r="L534" s="8" t="s">
        <v>125</v>
      </c>
      <c r="M534" s="8" t="s">
        <v>126</v>
      </c>
      <c r="N534" s="8" t="s">
        <v>2606</v>
      </c>
      <c r="O534" s="8">
        <f>1+25/60+31.4/3600</f>
        <v>1.425388888888889</v>
      </c>
      <c r="P534" s="8" t="s">
        <v>2607</v>
      </c>
      <c r="Q534" s="8">
        <f>+(1+45/60+33/3600)</f>
        <v>1.7591666666666668</v>
      </c>
      <c r="R534" s="8">
        <v>11.4</v>
      </c>
      <c r="S534" s="8">
        <v>12.4</v>
      </c>
      <c r="T534" s="8">
        <v>1</v>
      </c>
      <c r="U534" s="8">
        <v>13.8</v>
      </c>
      <c r="V534" s="8">
        <v>3.8</v>
      </c>
      <c r="W534" s="8">
        <v>2.2999999999999998</v>
      </c>
      <c r="X534" s="8">
        <v>50</v>
      </c>
      <c r="Y534" s="8" t="s">
        <v>2083</v>
      </c>
      <c r="Z534" s="8" t="s">
        <v>2084</v>
      </c>
    </row>
    <row r="535" spans="1:26" x14ac:dyDescent="0.2">
      <c r="A535" s="8">
        <v>534</v>
      </c>
      <c r="B535" s="8" t="s">
        <v>2608</v>
      </c>
      <c r="C535" s="8" t="s">
        <v>2608</v>
      </c>
      <c r="F535" s="47"/>
      <c r="G535" s="8">
        <v>16</v>
      </c>
      <c r="H535" s="8" t="s">
        <v>21</v>
      </c>
      <c r="I535" s="8" t="s">
        <v>22</v>
      </c>
      <c r="J535" s="8" t="s">
        <v>22</v>
      </c>
      <c r="K535" s="8" t="s">
        <v>224</v>
      </c>
      <c r="L535" s="8" t="s">
        <v>65</v>
      </c>
      <c r="M535" s="8" t="s">
        <v>66</v>
      </c>
      <c r="N535" s="8" t="s">
        <v>2609</v>
      </c>
      <c r="O535" s="8">
        <f>1+24/60+44.5/3600</f>
        <v>1.412361111111111</v>
      </c>
      <c r="P535" s="8" t="s">
        <v>2610</v>
      </c>
      <c r="Q535" s="8">
        <f>-(38+7/60+44/3600)</f>
        <v>-38.128888888888888</v>
      </c>
      <c r="R535" s="8">
        <v>13.3</v>
      </c>
      <c r="S535" s="8">
        <v>14.3</v>
      </c>
      <c r="T535" s="8">
        <v>1</v>
      </c>
      <c r="U535" s="8">
        <v>12.8</v>
      </c>
      <c r="V535" s="8">
        <v>1</v>
      </c>
      <c r="W535" s="8">
        <v>0.9</v>
      </c>
      <c r="X535" s="8">
        <v>142</v>
      </c>
      <c r="Y535" s="8" t="s">
        <v>2611</v>
      </c>
      <c r="Z535" s="8" t="s">
        <v>2612</v>
      </c>
    </row>
    <row r="536" spans="1:26" x14ac:dyDescent="0.2">
      <c r="A536" s="8">
        <v>535</v>
      </c>
      <c r="B536" s="8" t="s">
        <v>2613</v>
      </c>
      <c r="C536" s="8" t="s">
        <v>2613</v>
      </c>
      <c r="F536" s="47"/>
      <c r="G536" s="8">
        <v>18</v>
      </c>
      <c r="H536" s="8" t="s">
        <v>21</v>
      </c>
      <c r="I536" s="8" t="s">
        <v>22</v>
      </c>
      <c r="J536" s="8" t="s">
        <v>22</v>
      </c>
      <c r="K536" s="8" t="s">
        <v>632</v>
      </c>
      <c r="L536" s="8" t="s">
        <v>125</v>
      </c>
      <c r="M536" s="8" t="s">
        <v>126</v>
      </c>
      <c r="N536" s="8" t="s">
        <v>2614</v>
      </c>
      <c r="O536" s="8">
        <f>1+25/60+31/3600</f>
        <v>1.4252777777777779</v>
      </c>
      <c r="P536" s="8" t="s">
        <v>2615</v>
      </c>
      <c r="Q536" s="8">
        <f>-(1+24/60+32/3600)</f>
        <v>-1.4088888888888889</v>
      </c>
      <c r="R536" s="8">
        <v>13.8</v>
      </c>
      <c r="S536" s="8">
        <v>14.7</v>
      </c>
      <c r="T536" s="8">
        <v>0.9</v>
      </c>
      <c r="U536" s="8">
        <v>12.4</v>
      </c>
      <c r="V536" s="8">
        <v>1</v>
      </c>
      <c r="W536" s="8">
        <v>0.3</v>
      </c>
      <c r="X536" s="8">
        <v>58</v>
      </c>
      <c r="Y536" s="8" t="s">
        <v>2616</v>
      </c>
      <c r="Z536" s="8" t="s">
        <v>2617</v>
      </c>
    </row>
    <row r="537" spans="1:26" x14ac:dyDescent="0.2">
      <c r="A537" s="8">
        <v>536</v>
      </c>
      <c r="B537" s="8" t="s">
        <v>2618</v>
      </c>
      <c r="C537" s="8" t="s">
        <v>2618</v>
      </c>
      <c r="F537" s="47" t="s">
        <v>56091</v>
      </c>
      <c r="G537" s="8">
        <v>15</v>
      </c>
      <c r="H537" s="8" t="s">
        <v>21</v>
      </c>
      <c r="I537" s="8" t="s">
        <v>22</v>
      </c>
      <c r="J537" s="8" t="s">
        <v>22</v>
      </c>
      <c r="K537" s="8" t="s">
        <v>218</v>
      </c>
      <c r="L537" s="8" t="s">
        <v>51</v>
      </c>
      <c r="M537" s="8" t="s">
        <v>52</v>
      </c>
      <c r="N537" s="8" t="s">
        <v>2619</v>
      </c>
      <c r="O537" s="8">
        <f>1+26/60+21.6/3600</f>
        <v>1.4393333333333334</v>
      </c>
      <c r="P537" s="8" t="s">
        <v>2620</v>
      </c>
      <c r="Q537" s="8">
        <f>+(34+42/60+12/3600)</f>
        <v>34.703333333333333</v>
      </c>
      <c r="R537" s="8">
        <v>12.4</v>
      </c>
      <c r="S537" s="8">
        <v>13.2</v>
      </c>
      <c r="T537" s="8">
        <v>0.8</v>
      </c>
      <c r="U537" s="8">
        <v>13.5</v>
      </c>
      <c r="V537" s="8">
        <v>3.3</v>
      </c>
      <c r="W537" s="8">
        <v>1.2</v>
      </c>
      <c r="X537" s="8">
        <v>68</v>
      </c>
      <c r="Y537" s="8" t="s">
        <v>2621</v>
      </c>
      <c r="Z537" s="8" t="s">
        <v>2622</v>
      </c>
    </row>
    <row r="538" spans="1:26" x14ac:dyDescent="0.2">
      <c r="A538" s="8">
        <v>537</v>
      </c>
      <c r="B538" s="8" t="s">
        <v>2623</v>
      </c>
      <c r="C538" s="8" t="s">
        <v>2623</v>
      </c>
      <c r="F538" s="47" t="s">
        <v>56092</v>
      </c>
      <c r="G538" s="8">
        <v>15</v>
      </c>
      <c r="H538" s="8" t="s">
        <v>21</v>
      </c>
      <c r="I538" s="8" t="s">
        <v>22</v>
      </c>
      <c r="J538" s="8" t="s">
        <v>22</v>
      </c>
      <c r="K538" s="8" t="s">
        <v>2556</v>
      </c>
      <c r="L538" s="8" t="s">
        <v>51</v>
      </c>
      <c r="M538" s="8" t="s">
        <v>52</v>
      </c>
      <c r="N538" s="8" t="s">
        <v>2557</v>
      </c>
      <c r="O538" s="8">
        <f>1+25/60+20.7/3600</f>
        <v>1.4224166666666667</v>
      </c>
      <c r="P538" s="8" t="s">
        <v>2558</v>
      </c>
      <c r="Q538" s="8">
        <f>+(34+1/60+31/3600)</f>
        <v>34.025277777777774</v>
      </c>
      <c r="R538" s="8">
        <v>12.7</v>
      </c>
      <c r="S538" s="8">
        <v>13.5</v>
      </c>
      <c r="T538" s="8">
        <v>0.8</v>
      </c>
      <c r="U538" s="8">
        <v>13.2</v>
      </c>
      <c r="V538" s="8">
        <v>2.5</v>
      </c>
      <c r="W538" s="8">
        <v>0.7</v>
      </c>
      <c r="X538" s="8">
        <v>108</v>
      </c>
      <c r="Y538" s="8" t="s">
        <v>2559</v>
      </c>
      <c r="Z538" s="8" t="s">
        <v>2624</v>
      </c>
    </row>
    <row r="539" spans="1:26" x14ac:dyDescent="0.2">
      <c r="A539" s="8">
        <v>538</v>
      </c>
      <c r="B539" s="8" t="s">
        <v>2625</v>
      </c>
      <c r="C539" s="8" t="s">
        <v>2625</v>
      </c>
      <c r="F539" s="47"/>
      <c r="G539" s="8">
        <v>19</v>
      </c>
      <c r="H539" s="8" t="s">
        <v>21</v>
      </c>
      <c r="I539" s="8" t="s">
        <v>22</v>
      </c>
      <c r="J539" s="8" t="s">
        <v>22</v>
      </c>
      <c r="K539" s="8" t="s">
        <v>31</v>
      </c>
      <c r="L539" s="8" t="s">
        <v>125</v>
      </c>
      <c r="M539" s="8" t="s">
        <v>126</v>
      </c>
      <c r="N539" s="8" t="s">
        <v>2626</v>
      </c>
      <c r="O539" s="8">
        <f>1+25/60+26.1/3600</f>
        <v>1.4239166666666667</v>
      </c>
      <c r="P539" s="8" t="s">
        <v>2627</v>
      </c>
      <c r="Q539" s="8">
        <f>-(1+33/60+3/3600)</f>
        <v>-1.5508333333333333</v>
      </c>
      <c r="R539" s="8">
        <v>13.7</v>
      </c>
      <c r="S539" s="8">
        <v>14.5</v>
      </c>
      <c r="T539" s="8">
        <v>0.8</v>
      </c>
      <c r="U539" s="8">
        <v>13.3</v>
      </c>
      <c r="V539" s="8">
        <v>1.3</v>
      </c>
      <c r="W539" s="8">
        <v>0.6</v>
      </c>
      <c r="X539" s="8">
        <v>40</v>
      </c>
      <c r="Y539" s="8" t="s">
        <v>2628</v>
      </c>
      <c r="Z539" s="8" t="s">
        <v>2629</v>
      </c>
    </row>
    <row r="540" spans="1:26" x14ac:dyDescent="0.2">
      <c r="A540" s="8">
        <v>539</v>
      </c>
      <c r="B540" s="8" t="s">
        <v>2630</v>
      </c>
      <c r="C540" s="8" t="s">
        <v>2630</v>
      </c>
      <c r="F540" s="47"/>
      <c r="G540" s="8">
        <v>19</v>
      </c>
      <c r="H540" s="8" t="s">
        <v>21</v>
      </c>
      <c r="I540" s="8" t="s">
        <v>22</v>
      </c>
      <c r="J540" s="8" t="s">
        <v>22</v>
      </c>
      <c r="K540" s="8" t="s">
        <v>64</v>
      </c>
      <c r="L540" s="8" t="s">
        <v>125</v>
      </c>
      <c r="M540" s="8" t="s">
        <v>126</v>
      </c>
      <c r="N540" s="8" t="s">
        <v>2631</v>
      </c>
      <c r="O540" s="8">
        <f>1+25/60+21.7/3600</f>
        <v>1.4226944444444445</v>
      </c>
      <c r="P540" s="8" t="s">
        <v>2632</v>
      </c>
      <c r="Q540" s="8">
        <f>-(18+9/60+52/3600)</f>
        <v>-18.164444444444442</v>
      </c>
      <c r="R540" s="8">
        <v>13.5</v>
      </c>
      <c r="S540" s="8">
        <v>14.2</v>
      </c>
      <c r="T540" s="8">
        <v>0.7</v>
      </c>
      <c r="U540" s="8">
        <v>14.2</v>
      </c>
      <c r="V540" s="8">
        <v>1.6</v>
      </c>
      <c r="W540" s="8">
        <v>1.3</v>
      </c>
      <c r="X540" s="8">
        <v>145</v>
      </c>
      <c r="Y540" s="8" t="s">
        <v>421</v>
      </c>
      <c r="Z540" s="8" t="s">
        <v>422</v>
      </c>
    </row>
    <row r="541" spans="1:26" x14ac:dyDescent="0.2">
      <c r="A541" s="8">
        <v>540</v>
      </c>
      <c r="B541" s="8" t="s">
        <v>2633</v>
      </c>
      <c r="C541" s="8" t="s">
        <v>2633</v>
      </c>
      <c r="F541" s="47"/>
      <c r="G541" s="8">
        <v>19</v>
      </c>
      <c r="H541" s="8" t="s">
        <v>21</v>
      </c>
      <c r="I541" s="8" t="s">
        <v>22</v>
      </c>
      <c r="J541" s="8" t="s">
        <v>22</v>
      </c>
      <c r="K541" s="8" t="s">
        <v>224</v>
      </c>
      <c r="L541" s="8" t="s">
        <v>125</v>
      </c>
      <c r="M541" s="8" t="s">
        <v>126</v>
      </c>
      <c r="N541" s="8" t="s">
        <v>2634</v>
      </c>
      <c r="O541" s="8">
        <f>1+27/60+8.8/3600</f>
        <v>1.4524444444444444</v>
      </c>
      <c r="P541" s="8" t="s">
        <v>2635</v>
      </c>
      <c r="Q541" s="8">
        <f>-(20+2/60+12/3600)</f>
        <v>-20.036666666666669</v>
      </c>
      <c r="R541" s="8">
        <v>14.5</v>
      </c>
      <c r="S541" s="8">
        <v>15.5</v>
      </c>
      <c r="T541" s="8">
        <v>1</v>
      </c>
      <c r="U541" s="8">
        <v>13.3</v>
      </c>
      <c r="V541" s="8">
        <v>0.9</v>
      </c>
      <c r="W541" s="8">
        <v>0.4</v>
      </c>
      <c r="X541" s="8">
        <v>178</v>
      </c>
      <c r="Y541" s="8" t="s">
        <v>2636</v>
      </c>
      <c r="Z541" s="8" t="s">
        <v>2637</v>
      </c>
    </row>
    <row r="542" spans="1:26" x14ac:dyDescent="0.2">
      <c r="A542" s="8">
        <v>541</v>
      </c>
      <c r="B542" s="8" t="s">
        <v>2638</v>
      </c>
      <c r="C542" s="8" t="s">
        <v>2638</v>
      </c>
      <c r="F542" s="47"/>
      <c r="G542" s="8">
        <v>18</v>
      </c>
      <c r="H542" s="8" t="s">
        <v>21</v>
      </c>
      <c r="I542" s="8" t="s">
        <v>22</v>
      </c>
      <c r="J542" s="8" t="s">
        <v>22</v>
      </c>
      <c r="K542" s="8" t="s">
        <v>58</v>
      </c>
      <c r="L542" s="8" t="s">
        <v>125</v>
      </c>
      <c r="M542" s="8" t="s">
        <v>126</v>
      </c>
      <c r="N542" s="8" t="s">
        <v>2639</v>
      </c>
      <c r="O542" s="8">
        <f>1+25/60+44.3/3600</f>
        <v>1.4289722222222223</v>
      </c>
      <c r="P542" s="8" t="s">
        <v>2640</v>
      </c>
      <c r="Q542" s="8">
        <f>-(1+22/60+46/3600)</f>
        <v>-1.3794444444444445</v>
      </c>
      <c r="R542" s="8">
        <v>12.1</v>
      </c>
      <c r="S542" s="8">
        <v>13</v>
      </c>
      <c r="T542" s="8">
        <v>0.9</v>
      </c>
      <c r="U542" s="8">
        <v>13.2</v>
      </c>
      <c r="V542" s="8">
        <v>1.8</v>
      </c>
      <c r="W542" s="8">
        <v>1.7</v>
      </c>
      <c r="X542" s="8">
        <v>54</v>
      </c>
      <c r="Y542" s="8" t="s">
        <v>2641</v>
      </c>
      <c r="Z542" s="8" t="s">
        <v>2642</v>
      </c>
    </row>
    <row r="543" spans="1:26" x14ac:dyDescent="0.2">
      <c r="A543" s="8">
        <v>542</v>
      </c>
      <c r="B543" s="8" t="s">
        <v>2643</v>
      </c>
      <c r="C543" s="8" t="s">
        <v>2643</v>
      </c>
      <c r="F543" s="47"/>
      <c r="G543" s="8">
        <v>18</v>
      </c>
      <c r="H543" s="8" t="s">
        <v>21</v>
      </c>
      <c r="I543" s="8" t="s">
        <v>22</v>
      </c>
      <c r="J543" s="8" t="s">
        <v>22</v>
      </c>
      <c r="K543" s="8" t="s">
        <v>23</v>
      </c>
      <c r="L543" s="8" t="s">
        <v>51</v>
      </c>
      <c r="M543" s="8" t="s">
        <v>52</v>
      </c>
      <c r="N543" s="8" t="s">
        <v>2644</v>
      </c>
      <c r="O543" s="8">
        <f>1+26/60+30.9/3600</f>
        <v>1.4419166666666667</v>
      </c>
      <c r="P543" s="8" t="s">
        <v>2645</v>
      </c>
      <c r="Q543" s="8">
        <f>+(34+40/60+34/3600)</f>
        <v>34.676111111111112</v>
      </c>
      <c r="R543" s="8">
        <v>14.8</v>
      </c>
      <c r="S543" s="8">
        <v>15.6</v>
      </c>
      <c r="T543" s="8">
        <v>0.8</v>
      </c>
      <c r="U543" s="8">
        <v>13.3</v>
      </c>
      <c r="V543" s="8">
        <v>1</v>
      </c>
      <c r="W543" s="8">
        <v>0.2</v>
      </c>
      <c r="X543" s="8">
        <v>146</v>
      </c>
      <c r="Y543" s="8" t="s">
        <v>2646</v>
      </c>
      <c r="Z543" s="8" t="s">
        <v>2647</v>
      </c>
    </row>
    <row r="544" spans="1:26" x14ac:dyDescent="0.2">
      <c r="A544" s="8">
        <v>543</v>
      </c>
      <c r="B544" s="8" t="s">
        <v>2648</v>
      </c>
      <c r="C544" s="8" t="s">
        <v>2648</v>
      </c>
      <c r="F544" s="47"/>
      <c r="G544" s="8">
        <v>18</v>
      </c>
      <c r="H544" s="8" t="s">
        <v>21</v>
      </c>
      <c r="I544" s="8" t="s">
        <v>22</v>
      </c>
      <c r="J544" s="8" t="s">
        <v>22</v>
      </c>
      <c r="K544" s="8" t="s">
        <v>58</v>
      </c>
      <c r="L544" s="8" t="s">
        <v>125</v>
      </c>
      <c r="M544" s="8" t="s">
        <v>126</v>
      </c>
      <c r="N544" s="8" t="s">
        <v>2649</v>
      </c>
      <c r="O544" s="8">
        <f>1+25/60+50/3600</f>
        <v>1.4305555555555556</v>
      </c>
      <c r="P544" s="8" t="s">
        <v>2650</v>
      </c>
      <c r="Q544" s="8">
        <f>-(1+17/60+33/3600)</f>
        <v>-1.2925</v>
      </c>
      <c r="R544" s="8">
        <v>13.1</v>
      </c>
      <c r="S544" s="8">
        <v>14.1</v>
      </c>
      <c r="T544" s="8">
        <v>1</v>
      </c>
      <c r="U544" s="8">
        <v>11</v>
      </c>
      <c r="V544" s="8">
        <v>0.6</v>
      </c>
      <c r="W544" s="8">
        <v>0.3</v>
      </c>
      <c r="X544" s="8">
        <v>90</v>
      </c>
      <c r="Y544" s="8" t="s">
        <v>962</v>
      </c>
      <c r="Z544" s="8" t="s">
        <v>963</v>
      </c>
    </row>
    <row r="545" spans="1:26" x14ac:dyDescent="0.2">
      <c r="A545" s="8">
        <v>544</v>
      </c>
      <c r="B545" s="8" t="s">
        <v>2651</v>
      </c>
      <c r="C545" s="8" t="s">
        <v>2651</v>
      </c>
      <c r="F545" s="47"/>
      <c r="G545" s="8">
        <v>16</v>
      </c>
      <c r="H545" s="8" t="s">
        <v>21</v>
      </c>
      <c r="I545" s="8" t="s">
        <v>22</v>
      </c>
      <c r="J545" s="8" t="s">
        <v>22</v>
      </c>
      <c r="K545" s="8" t="s">
        <v>118</v>
      </c>
      <c r="L545" s="8" t="s">
        <v>65</v>
      </c>
      <c r="M545" s="8" t="s">
        <v>66</v>
      </c>
      <c r="N545" s="8" t="s">
        <v>2652</v>
      </c>
      <c r="O545" s="8">
        <f>1+25/60+11.8/3600</f>
        <v>1.4199444444444445</v>
      </c>
      <c r="P545" s="8" t="s">
        <v>2653</v>
      </c>
      <c r="Q545" s="8">
        <f>-(38+5/60+40/3600)</f>
        <v>-38.094444444444449</v>
      </c>
      <c r="R545" s="8">
        <v>13.3</v>
      </c>
      <c r="S545" s="8">
        <v>14.3</v>
      </c>
      <c r="T545" s="8">
        <v>1</v>
      </c>
      <c r="U545" s="8">
        <v>13.7</v>
      </c>
      <c r="V545" s="8">
        <v>1.5</v>
      </c>
      <c r="W545" s="8">
        <v>1.1000000000000001</v>
      </c>
      <c r="X545" s="8">
        <v>2</v>
      </c>
      <c r="Y545" s="8" t="s">
        <v>2654</v>
      </c>
      <c r="Z545" s="8" t="s">
        <v>2655</v>
      </c>
    </row>
    <row r="546" spans="1:26" x14ac:dyDescent="0.2">
      <c r="A546" s="8">
        <v>545</v>
      </c>
      <c r="B546" s="8" t="s">
        <v>2656</v>
      </c>
      <c r="C546" s="8" t="s">
        <v>2656</v>
      </c>
      <c r="F546" s="47" t="s">
        <v>56093</v>
      </c>
      <c r="G546" s="8">
        <v>15</v>
      </c>
      <c r="H546" s="8" t="s">
        <v>21</v>
      </c>
      <c r="I546" s="8" t="s">
        <v>22</v>
      </c>
      <c r="J546" s="8" t="s">
        <v>22</v>
      </c>
      <c r="K546" s="8" t="s">
        <v>58</v>
      </c>
      <c r="L546" s="8" t="s">
        <v>125</v>
      </c>
      <c r="M546" s="8" t="s">
        <v>126</v>
      </c>
      <c r="N546" s="8" t="s">
        <v>2657</v>
      </c>
      <c r="O546" s="8">
        <f>1+25/60+59/3600</f>
        <v>1.4330555555555555</v>
      </c>
      <c r="P546" s="8" t="s">
        <v>2658</v>
      </c>
      <c r="Q546" s="8">
        <f>-(1+20/60+26/3600)</f>
        <v>-1.3405555555555555</v>
      </c>
      <c r="R546" s="8">
        <v>12.2</v>
      </c>
      <c r="S546" s="8">
        <v>13.2</v>
      </c>
      <c r="T546" s="8">
        <v>1</v>
      </c>
      <c r="U546" s="8">
        <v>13.5</v>
      </c>
      <c r="V546" s="8">
        <v>2.6</v>
      </c>
      <c r="W546" s="8">
        <v>1.6</v>
      </c>
      <c r="X546" s="8">
        <v>55</v>
      </c>
      <c r="Y546" s="8" t="s">
        <v>2659</v>
      </c>
      <c r="Z546" s="8" t="s">
        <v>2660</v>
      </c>
    </row>
    <row r="547" spans="1:26" x14ac:dyDescent="0.2">
      <c r="A547" s="8">
        <v>546</v>
      </c>
      <c r="B547" s="8" t="s">
        <v>2661</v>
      </c>
      <c r="C547" s="8" t="s">
        <v>2661</v>
      </c>
      <c r="F547" s="47"/>
      <c r="G547" s="8">
        <v>16</v>
      </c>
      <c r="H547" s="8" t="s">
        <v>21</v>
      </c>
      <c r="I547" s="8" t="s">
        <v>22</v>
      </c>
      <c r="J547" s="8" t="s">
        <v>22</v>
      </c>
      <c r="K547" s="8" t="s">
        <v>218</v>
      </c>
      <c r="L547" s="8" t="s">
        <v>65</v>
      </c>
      <c r="M547" s="8" t="s">
        <v>66</v>
      </c>
      <c r="N547" s="8" t="s">
        <v>2662</v>
      </c>
      <c r="O547" s="8">
        <f>1+25/60+12.6/3600</f>
        <v>1.4201666666666668</v>
      </c>
      <c r="P547" s="8" t="s">
        <v>2663</v>
      </c>
      <c r="Q547" s="8">
        <f>-(38+4/60+9/3600)</f>
        <v>-38.069166666666668</v>
      </c>
      <c r="R547" s="8">
        <v>13.7</v>
      </c>
      <c r="S547" s="8">
        <v>14.5</v>
      </c>
      <c r="T547" s="8">
        <v>0.8</v>
      </c>
      <c r="U547" s="8">
        <v>13.2</v>
      </c>
      <c r="V547" s="8">
        <v>1.4</v>
      </c>
      <c r="W547" s="8">
        <v>0.5</v>
      </c>
      <c r="X547" s="8">
        <v>35</v>
      </c>
      <c r="Y547" s="8" t="s">
        <v>2664</v>
      </c>
      <c r="Z547" s="8" t="s">
        <v>2665</v>
      </c>
    </row>
    <row r="548" spans="1:26" x14ac:dyDescent="0.2">
      <c r="A548" s="8">
        <v>547</v>
      </c>
      <c r="B548" s="8" t="s">
        <v>2666</v>
      </c>
      <c r="C548" s="8" t="s">
        <v>2666</v>
      </c>
      <c r="F548" s="47" t="s">
        <v>56094</v>
      </c>
      <c r="G548" s="8">
        <v>15</v>
      </c>
      <c r="H548" s="8" t="s">
        <v>21</v>
      </c>
      <c r="I548" s="8" t="s">
        <v>22</v>
      </c>
      <c r="J548" s="8" t="s">
        <v>22</v>
      </c>
      <c r="K548" s="8" t="s">
        <v>183</v>
      </c>
      <c r="L548" s="8" t="s">
        <v>125</v>
      </c>
      <c r="M548" s="8" t="s">
        <v>126</v>
      </c>
      <c r="N548" s="8" t="s">
        <v>2667</v>
      </c>
      <c r="O548" s="8">
        <f>1+26/60+0.7/3600</f>
        <v>1.4335277777777777</v>
      </c>
      <c r="P548" s="8" t="s">
        <v>2668</v>
      </c>
      <c r="Q548" s="8">
        <f>-(1+20/60+42/3600)</f>
        <v>-1.345</v>
      </c>
      <c r="R548" s="8">
        <v>12.2</v>
      </c>
      <c r="S548" s="8">
        <v>13.2</v>
      </c>
      <c r="T548" s="8">
        <v>1</v>
      </c>
      <c r="U548" s="8">
        <v>12.7</v>
      </c>
      <c r="V548" s="8">
        <v>1.9</v>
      </c>
      <c r="W548" s="8">
        <v>1.8</v>
      </c>
      <c r="X548" s="8">
        <v>85</v>
      </c>
      <c r="Y548" s="8" t="s">
        <v>2659</v>
      </c>
      <c r="Z548" s="8" t="s">
        <v>2669</v>
      </c>
    </row>
    <row r="549" spans="1:26" x14ac:dyDescent="0.2">
      <c r="A549" s="8">
        <v>548</v>
      </c>
      <c r="B549" s="8" t="s">
        <v>2670</v>
      </c>
      <c r="C549" s="8" t="s">
        <v>2670</v>
      </c>
      <c r="F549" s="47"/>
      <c r="G549" s="8">
        <v>19</v>
      </c>
      <c r="H549" s="8" t="s">
        <v>21</v>
      </c>
      <c r="I549" s="8" t="s">
        <v>22</v>
      </c>
      <c r="J549" s="8" t="s">
        <v>22</v>
      </c>
      <c r="K549" s="8" t="s">
        <v>50</v>
      </c>
      <c r="L549" s="8" t="s">
        <v>125</v>
      </c>
      <c r="M549" s="8" t="s">
        <v>126</v>
      </c>
      <c r="N549" s="8" t="s">
        <v>2671</v>
      </c>
      <c r="O549" s="8">
        <f>1+26/60+2.5/3600</f>
        <v>1.4340277777777779</v>
      </c>
      <c r="P549" s="8" t="s">
        <v>2672</v>
      </c>
      <c r="Q549" s="8">
        <f>-(1+13/60+31/3600)</f>
        <v>-1.2252777777777779</v>
      </c>
      <c r="R549" s="8">
        <v>13.7</v>
      </c>
      <c r="S549" s="8">
        <v>14.7</v>
      </c>
      <c r="T549" s="8">
        <v>1</v>
      </c>
      <c r="U549" s="8">
        <v>13.2</v>
      </c>
      <c r="V549" s="8">
        <v>0.8</v>
      </c>
      <c r="W549" s="8">
        <v>0.5</v>
      </c>
      <c r="X549" s="8">
        <v>135</v>
      </c>
      <c r="Y549" s="8" t="s">
        <v>962</v>
      </c>
      <c r="Z549" s="8" t="s">
        <v>963</v>
      </c>
    </row>
    <row r="550" spans="1:26" x14ac:dyDescent="0.2">
      <c r="A550" s="8">
        <v>549</v>
      </c>
      <c r="B550" s="8" t="s">
        <v>2673</v>
      </c>
      <c r="C550" s="8" t="s">
        <v>2673</v>
      </c>
      <c r="F550" s="47"/>
      <c r="G550" s="8">
        <v>16</v>
      </c>
      <c r="H550" s="8" t="s">
        <v>21</v>
      </c>
      <c r="I550" s="8" t="s">
        <v>22</v>
      </c>
      <c r="J550" s="8" t="s">
        <v>22</v>
      </c>
      <c r="K550" s="8" t="s">
        <v>91</v>
      </c>
      <c r="L550" s="8" t="s">
        <v>65</v>
      </c>
      <c r="M550" s="8" t="s">
        <v>66</v>
      </c>
      <c r="N550" s="8" t="s">
        <v>2674</v>
      </c>
      <c r="O550" s="8">
        <f>1+25/60+7/3600</f>
        <v>1.4186111111111113</v>
      </c>
      <c r="P550" s="8" t="s">
        <v>2675</v>
      </c>
      <c r="Q550" s="8">
        <f>-(38+0/60+26/3600)</f>
        <v>-38.007222222222225</v>
      </c>
      <c r="R550" s="8">
        <v>14.6</v>
      </c>
      <c r="S550" s="8">
        <v>15.5</v>
      </c>
      <c r="T550" s="8">
        <v>0.9</v>
      </c>
      <c r="U550" s="8">
        <v>12.7</v>
      </c>
      <c r="V550" s="8">
        <v>0.5</v>
      </c>
      <c r="W550" s="8">
        <v>0.4</v>
      </c>
      <c r="Y550" s="8" t="s">
        <v>2676</v>
      </c>
      <c r="Z550" s="8" t="s">
        <v>2677</v>
      </c>
    </row>
    <row r="551" spans="1:26" x14ac:dyDescent="0.2">
      <c r="A551" s="8">
        <v>550</v>
      </c>
      <c r="B551" s="8" t="s">
        <v>2678</v>
      </c>
      <c r="C551" s="8" t="s">
        <v>2678</v>
      </c>
      <c r="F551" s="47" t="s">
        <v>56095</v>
      </c>
      <c r="G551" s="8">
        <v>15</v>
      </c>
      <c r="H551" s="8" t="s">
        <v>21</v>
      </c>
      <c r="I551" s="8" t="s">
        <v>22</v>
      </c>
      <c r="J551" s="8" t="s">
        <v>22</v>
      </c>
      <c r="K551" s="8" t="s">
        <v>91</v>
      </c>
      <c r="L551" s="8" t="s">
        <v>125</v>
      </c>
      <c r="M551" s="8" t="s">
        <v>126</v>
      </c>
      <c r="N551" s="8" t="s">
        <v>2679</v>
      </c>
      <c r="O551" s="8">
        <f>1+26/60+42.4/3600</f>
        <v>1.4451111111111112</v>
      </c>
      <c r="P551" s="8" t="s">
        <v>2680</v>
      </c>
      <c r="Q551" s="8">
        <f>+(2+1/60+20/3600)</f>
        <v>2.0222222222222221</v>
      </c>
      <c r="R551" s="8">
        <v>12.7</v>
      </c>
      <c r="S551" s="8">
        <v>13.6</v>
      </c>
      <c r="T551" s="8">
        <v>0.9</v>
      </c>
      <c r="U551" s="8">
        <v>12.4</v>
      </c>
      <c r="V551" s="8">
        <v>1.4</v>
      </c>
      <c r="W551" s="8">
        <v>0.6</v>
      </c>
      <c r="X551" s="8">
        <v>120</v>
      </c>
      <c r="Y551" s="8" t="s">
        <v>2681</v>
      </c>
      <c r="Z551" s="8" t="s">
        <v>2682</v>
      </c>
    </row>
    <row r="552" spans="1:26" x14ac:dyDescent="0.2">
      <c r="A552" s="8">
        <v>551</v>
      </c>
      <c r="B552" s="8" t="s">
        <v>2683</v>
      </c>
      <c r="C552" s="8" t="s">
        <v>2683</v>
      </c>
      <c r="F552" s="47" t="s">
        <v>56096</v>
      </c>
      <c r="G552" s="8">
        <v>15</v>
      </c>
      <c r="H552" s="8" t="s">
        <v>21</v>
      </c>
      <c r="I552" s="8" t="s">
        <v>22</v>
      </c>
      <c r="J552" s="8" t="s">
        <v>22</v>
      </c>
      <c r="K552" s="8" t="s">
        <v>85</v>
      </c>
      <c r="L552" s="8" t="s">
        <v>51</v>
      </c>
      <c r="M552" s="8" t="s">
        <v>52</v>
      </c>
      <c r="N552" s="8" t="s">
        <v>2684</v>
      </c>
      <c r="O552" s="8">
        <f>1+27/60+40.6/3600</f>
        <v>1.4612777777777777</v>
      </c>
      <c r="P552" s="8" t="s">
        <v>2685</v>
      </c>
      <c r="Q552" s="8">
        <f>+(37+10/60+59/3600)</f>
        <v>37.183055555555555</v>
      </c>
      <c r="R552" s="8">
        <v>12.7</v>
      </c>
      <c r="S552" s="8">
        <v>13.5</v>
      </c>
      <c r="T552" s="8">
        <v>0.8</v>
      </c>
      <c r="U552" s="8">
        <v>12.9</v>
      </c>
      <c r="V552" s="8">
        <v>1.8</v>
      </c>
      <c r="W552" s="8">
        <v>0.8</v>
      </c>
      <c r="X552" s="8">
        <v>140</v>
      </c>
      <c r="Y552" s="8" t="s">
        <v>2686</v>
      </c>
      <c r="Z552" s="8" t="s">
        <v>2687</v>
      </c>
    </row>
    <row r="553" spans="1:26" x14ac:dyDescent="0.2">
      <c r="A553" s="8">
        <v>552</v>
      </c>
      <c r="B553" s="8" t="s">
        <v>2688</v>
      </c>
      <c r="C553" s="8" t="s">
        <v>2688</v>
      </c>
      <c r="F553" s="47" t="s">
        <v>56097</v>
      </c>
      <c r="G553" s="8">
        <v>15</v>
      </c>
      <c r="H553" s="8" t="s">
        <v>21</v>
      </c>
      <c r="I553" s="8" t="s">
        <v>72</v>
      </c>
      <c r="J553" s="8" t="s">
        <v>72</v>
      </c>
      <c r="K553" s="8" t="s">
        <v>20</v>
      </c>
      <c r="L553" s="8" t="s">
        <v>38</v>
      </c>
      <c r="M553" s="8" t="s">
        <v>39</v>
      </c>
      <c r="N553" s="8" t="s">
        <v>2689</v>
      </c>
      <c r="O553" s="8">
        <f>1+26/60+57/3600</f>
        <v>1.4491666666666667</v>
      </c>
      <c r="P553" s="8" t="s">
        <v>2690</v>
      </c>
      <c r="Q553" s="8">
        <f>+(33+33/60+28/3600)</f>
        <v>33.557777777777773</v>
      </c>
      <c r="R553" s="8">
        <v>14.6</v>
      </c>
      <c r="S553" s="8">
        <v>99</v>
      </c>
      <c r="T553" s="8">
        <v>99</v>
      </c>
      <c r="U553" s="8">
        <v>99</v>
      </c>
      <c r="Y553" s="8" t="s">
        <v>2691</v>
      </c>
      <c r="Z553" s="8" t="s">
        <v>2692</v>
      </c>
    </row>
    <row r="554" spans="1:26" x14ac:dyDescent="0.2">
      <c r="A554" s="8">
        <v>553</v>
      </c>
      <c r="B554" s="8" t="s">
        <v>2693</v>
      </c>
      <c r="C554" s="8" t="s">
        <v>2693</v>
      </c>
      <c r="F554" s="47" t="s">
        <v>56098</v>
      </c>
      <c r="G554" s="8">
        <v>15</v>
      </c>
      <c r="H554" s="8" t="s">
        <v>21</v>
      </c>
      <c r="I554" s="8" t="s">
        <v>72</v>
      </c>
      <c r="J554" s="8" t="s">
        <v>72</v>
      </c>
      <c r="K554" s="8" t="s">
        <v>73</v>
      </c>
      <c r="L554" s="8" t="s">
        <v>38</v>
      </c>
      <c r="M554" s="8" t="s">
        <v>39</v>
      </c>
      <c r="N554" s="8" t="s">
        <v>2694</v>
      </c>
      <c r="O554" s="8">
        <f>1+27/60+3/3600</f>
        <v>1.4508333333333332</v>
      </c>
      <c r="P554" s="8" t="s">
        <v>2695</v>
      </c>
      <c r="Q554" s="8">
        <f>+(33+32/60+55/3600)</f>
        <v>33.548611111111107</v>
      </c>
      <c r="R554" s="8">
        <v>14.8</v>
      </c>
      <c r="S554" s="8">
        <v>99</v>
      </c>
      <c r="T554" s="8">
        <v>99</v>
      </c>
      <c r="U554" s="8">
        <v>99</v>
      </c>
      <c r="Y554" s="8" t="s">
        <v>2696</v>
      </c>
      <c r="Z554" s="8" t="s">
        <v>2697</v>
      </c>
    </row>
    <row r="555" spans="1:26" x14ac:dyDescent="0.2">
      <c r="A555" s="8">
        <v>554</v>
      </c>
      <c r="B555" s="8" t="s">
        <v>2698</v>
      </c>
      <c r="C555" s="8" t="s">
        <v>2698</v>
      </c>
      <c r="F555" s="47"/>
      <c r="G555" s="8">
        <v>19</v>
      </c>
      <c r="H555" s="8" t="s">
        <v>21</v>
      </c>
      <c r="I555" s="8" t="s">
        <v>22</v>
      </c>
      <c r="J555" s="8" t="s">
        <v>22</v>
      </c>
      <c r="K555" s="8" t="s">
        <v>37</v>
      </c>
      <c r="L555" s="8" t="s">
        <v>125</v>
      </c>
      <c r="M555" s="8" t="s">
        <v>126</v>
      </c>
      <c r="N555" s="8" t="s">
        <v>2699</v>
      </c>
      <c r="O555" s="8">
        <f>1+27/60+9.6/3600</f>
        <v>1.4526666666666666</v>
      </c>
      <c r="P555" s="8" t="s">
        <v>2700</v>
      </c>
      <c r="Q555" s="8">
        <f>-(22+43/60+32/3600)</f>
        <v>-22.725555555555555</v>
      </c>
      <c r="R555" s="8">
        <v>13.6</v>
      </c>
      <c r="S555" s="8">
        <v>14.6</v>
      </c>
      <c r="T555" s="8">
        <v>1</v>
      </c>
      <c r="U555" s="8">
        <v>12.3</v>
      </c>
      <c r="V555" s="8">
        <v>0.9</v>
      </c>
      <c r="W555" s="8">
        <v>0.5</v>
      </c>
      <c r="X555" s="8">
        <v>177</v>
      </c>
      <c r="Y555" s="8" t="s">
        <v>2701</v>
      </c>
      <c r="Z555" s="8" t="s">
        <v>2702</v>
      </c>
    </row>
    <row r="556" spans="1:26" x14ac:dyDescent="0.2">
      <c r="A556" s="8">
        <v>555</v>
      </c>
      <c r="B556" s="8" t="s">
        <v>2703</v>
      </c>
      <c r="C556" s="8" t="s">
        <v>2703</v>
      </c>
      <c r="F556" s="47"/>
      <c r="G556" s="8">
        <v>19</v>
      </c>
      <c r="H556" s="8" t="s">
        <v>21</v>
      </c>
      <c r="I556" s="8" t="s">
        <v>22</v>
      </c>
      <c r="J556" s="8" t="s">
        <v>22</v>
      </c>
      <c r="K556" s="8" t="s">
        <v>435</v>
      </c>
      <c r="L556" s="8" t="s">
        <v>125</v>
      </c>
      <c r="M556" s="8" t="s">
        <v>126</v>
      </c>
      <c r="N556" s="8" t="s">
        <v>2704</v>
      </c>
      <c r="O556" s="8">
        <f>1+27/60+11.7/3600</f>
        <v>1.4532499999999999</v>
      </c>
      <c r="P556" s="8" t="s">
        <v>2705</v>
      </c>
      <c r="Q556" s="8">
        <f>-(22+45/60+42/3600)</f>
        <v>-22.761666666666667</v>
      </c>
      <c r="R556" s="8">
        <v>14.1</v>
      </c>
      <c r="S556" s="8">
        <v>15</v>
      </c>
      <c r="T556" s="8">
        <v>0.9</v>
      </c>
      <c r="U556" s="8">
        <v>13</v>
      </c>
      <c r="V556" s="8">
        <v>0.7</v>
      </c>
      <c r="W556" s="8">
        <v>0.6</v>
      </c>
      <c r="X556" s="8">
        <v>13</v>
      </c>
      <c r="Y556" s="8" t="s">
        <v>2706</v>
      </c>
      <c r="Z556" s="8" t="s">
        <v>2707</v>
      </c>
    </row>
    <row r="557" spans="1:26" x14ac:dyDescent="0.2">
      <c r="A557" s="8">
        <v>556</v>
      </c>
      <c r="B557" s="8" t="s">
        <v>2708</v>
      </c>
      <c r="C557" s="8" t="s">
        <v>2708</v>
      </c>
      <c r="F557" s="47"/>
      <c r="G557" s="8">
        <v>19</v>
      </c>
      <c r="H557" s="8" t="s">
        <v>21</v>
      </c>
      <c r="I557" s="8" t="s">
        <v>22</v>
      </c>
      <c r="J557" s="8" t="s">
        <v>22</v>
      </c>
      <c r="K557" s="8" t="s">
        <v>58</v>
      </c>
      <c r="L557" s="8" t="s">
        <v>125</v>
      </c>
      <c r="M557" s="8" t="s">
        <v>126</v>
      </c>
      <c r="N557" s="8" t="s">
        <v>2709</v>
      </c>
      <c r="O557" s="8">
        <f>1+27/60+12.5/3600</f>
        <v>1.4534722222222223</v>
      </c>
      <c r="P557" s="8" t="s">
        <v>2710</v>
      </c>
      <c r="Q557" s="8">
        <f>-(22+41/60+50/3600)</f>
        <v>-22.697222222222223</v>
      </c>
      <c r="R557" s="8">
        <v>14.5</v>
      </c>
      <c r="S557" s="8">
        <v>15.5</v>
      </c>
      <c r="T557" s="8">
        <v>1</v>
      </c>
      <c r="U557" s="8">
        <v>12.1</v>
      </c>
      <c r="V557" s="8">
        <v>0.4</v>
      </c>
      <c r="W557" s="8">
        <v>0.3</v>
      </c>
      <c r="X557" s="8">
        <v>136</v>
      </c>
      <c r="Y557" s="8" t="s">
        <v>770</v>
      </c>
      <c r="Z557" s="8" t="s">
        <v>771</v>
      </c>
    </row>
    <row r="558" spans="1:26" x14ac:dyDescent="0.2">
      <c r="A558" s="8">
        <v>557</v>
      </c>
      <c r="B558" s="8" t="s">
        <v>2711</v>
      </c>
      <c r="C558" s="8" t="s">
        <v>2711</v>
      </c>
      <c r="F558" s="47"/>
      <c r="G558" s="8">
        <v>19</v>
      </c>
      <c r="H558" s="8" t="s">
        <v>21</v>
      </c>
      <c r="I558" s="8" t="s">
        <v>22</v>
      </c>
      <c r="J558" s="8" t="s">
        <v>22</v>
      </c>
      <c r="K558" s="8" t="s">
        <v>435</v>
      </c>
      <c r="L558" s="8" t="s">
        <v>125</v>
      </c>
      <c r="M558" s="8" t="s">
        <v>126</v>
      </c>
      <c r="N558" s="8" t="s">
        <v>2712</v>
      </c>
      <c r="O558" s="8">
        <f>1+26/60+25.1/3600</f>
        <v>1.4403055555555555</v>
      </c>
      <c r="P558" s="8" t="s">
        <v>2713</v>
      </c>
      <c r="Q558" s="8">
        <f>-(1+38/60+18/3600)</f>
        <v>-1.6383333333333332</v>
      </c>
      <c r="R558" s="8">
        <v>13.5</v>
      </c>
      <c r="S558" s="8">
        <v>14.4</v>
      </c>
      <c r="T558" s="8">
        <v>0.9</v>
      </c>
      <c r="U558" s="8">
        <v>13.4</v>
      </c>
      <c r="V558" s="8">
        <v>1.8</v>
      </c>
      <c r="W558" s="8">
        <v>0.6</v>
      </c>
      <c r="X558" s="8">
        <v>123</v>
      </c>
      <c r="Y558" s="8" t="s">
        <v>2714</v>
      </c>
      <c r="Z558" s="8" t="s">
        <v>2715</v>
      </c>
    </row>
    <row r="559" spans="1:26" x14ac:dyDescent="0.2">
      <c r="A559" s="8">
        <v>558</v>
      </c>
      <c r="B559" s="8" t="s">
        <v>2716</v>
      </c>
      <c r="C559" s="8" t="s">
        <v>2716</v>
      </c>
      <c r="F559" s="47"/>
      <c r="G559" s="8">
        <v>18</v>
      </c>
      <c r="H559" s="8" t="s">
        <v>21</v>
      </c>
      <c r="I559" s="8" t="s">
        <v>22</v>
      </c>
      <c r="J559" s="8" t="s">
        <v>22</v>
      </c>
      <c r="K559" s="8" t="s">
        <v>1068</v>
      </c>
      <c r="L559" s="8" t="s">
        <v>125</v>
      </c>
      <c r="M559" s="8" t="s">
        <v>126</v>
      </c>
      <c r="N559" s="8" t="s">
        <v>2717</v>
      </c>
      <c r="O559" s="8">
        <f>1+27/60+16.1/3600</f>
        <v>1.4544722222222222</v>
      </c>
      <c r="P559" s="8" t="s">
        <v>2718</v>
      </c>
      <c r="Q559" s="8">
        <f>-(1+58/60+14/3600)</f>
        <v>-1.9705555555555556</v>
      </c>
      <c r="R559" s="8">
        <v>14.3</v>
      </c>
      <c r="S559" s="8">
        <v>15.3</v>
      </c>
      <c r="T559" s="8">
        <v>1</v>
      </c>
      <c r="U559" s="8">
        <v>11.7</v>
      </c>
      <c r="V559" s="8">
        <v>0.4</v>
      </c>
      <c r="W559" s="8">
        <v>0.2</v>
      </c>
      <c r="X559" s="8">
        <v>110</v>
      </c>
      <c r="Y559" s="8" t="s">
        <v>2719</v>
      </c>
      <c r="Z559" s="8" t="s">
        <v>2720</v>
      </c>
    </row>
    <row r="560" spans="1:26" x14ac:dyDescent="0.2">
      <c r="A560" s="8">
        <v>559</v>
      </c>
      <c r="B560" s="8" t="s">
        <v>2721</v>
      </c>
      <c r="C560" s="8" t="s">
        <v>2721</v>
      </c>
      <c r="F560" s="47" t="s">
        <v>56099</v>
      </c>
      <c r="G560" s="8">
        <v>2</v>
      </c>
      <c r="H560" s="8" t="s">
        <v>21</v>
      </c>
      <c r="I560" s="8" t="s">
        <v>557</v>
      </c>
      <c r="J560" s="8" t="s">
        <v>557</v>
      </c>
      <c r="K560" s="8" t="s">
        <v>2722</v>
      </c>
      <c r="L560" s="8" t="s">
        <v>559</v>
      </c>
      <c r="M560" s="8" t="s">
        <v>560</v>
      </c>
      <c r="N560" s="8" t="s">
        <v>2723</v>
      </c>
      <c r="O560" s="8">
        <f>1+29/60+31/3600</f>
        <v>1.4919444444444445</v>
      </c>
      <c r="P560" s="8" t="s">
        <v>781</v>
      </c>
      <c r="Q560" s="8">
        <f>+(63+18/60+6/3600)</f>
        <v>63.301666666666662</v>
      </c>
      <c r="R560" s="8">
        <v>9.5</v>
      </c>
      <c r="S560" s="8">
        <v>99</v>
      </c>
      <c r="T560" s="8">
        <v>99</v>
      </c>
      <c r="U560" s="8">
        <v>99</v>
      </c>
      <c r="V560" s="8">
        <v>7</v>
      </c>
      <c r="Y560" s="8" t="s">
        <v>2724</v>
      </c>
      <c r="Z560" s="8" t="s">
        <v>2725</v>
      </c>
    </row>
    <row r="561" spans="1:26" x14ac:dyDescent="0.2">
      <c r="A561" s="8">
        <v>560</v>
      </c>
      <c r="B561" s="8" t="s">
        <v>2726</v>
      </c>
      <c r="C561" s="8" t="s">
        <v>2726</v>
      </c>
      <c r="F561" s="47" t="s">
        <v>56100</v>
      </c>
      <c r="G561" s="8">
        <v>15</v>
      </c>
      <c r="H561" s="8" t="s">
        <v>21</v>
      </c>
      <c r="I561" s="8" t="s">
        <v>22</v>
      </c>
      <c r="J561" s="8" t="s">
        <v>22</v>
      </c>
      <c r="K561" s="8" t="s">
        <v>37</v>
      </c>
      <c r="L561" s="8" t="s">
        <v>125</v>
      </c>
      <c r="M561" s="8" t="s">
        <v>126</v>
      </c>
      <c r="N561" s="8" t="s">
        <v>2727</v>
      </c>
      <c r="O561" s="8">
        <f>1+27/60+25.3/3600</f>
        <v>1.4570277777777778</v>
      </c>
      <c r="P561" s="8" t="s">
        <v>2728</v>
      </c>
      <c r="Q561" s="8">
        <f>-(1+54/60+45/3600)</f>
        <v>-1.9124999999999999</v>
      </c>
      <c r="R561" s="8">
        <v>13</v>
      </c>
      <c r="S561" s="8">
        <v>14</v>
      </c>
      <c r="T561" s="8">
        <v>1</v>
      </c>
      <c r="U561" s="8">
        <v>13</v>
      </c>
      <c r="V561" s="8">
        <v>1.9</v>
      </c>
      <c r="W561" s="8">
        <v>0.6</v>
      </c>
      <c r="X561" s="8">
        <v>178</v>
      </c>
      <c r="Y561" s="8" t="s">
        <v>2729</v>
      </c>
      <c r="Z561" s="8" t="s">
        <v>2730</v>
      </c>
    </row>
    <row r="562" spans="1:26" x14ac:dyDescent="0.2">
      <c r="A562" s="8">
        <v>561</v>
      </c>
      <c r="B562" s="8" t="s">
        <v>2731</v>
      </c>
      <c r="C562" s="8" t="s">
        <v>2731</v>
      </c>
      <c r="F562" s="47"/>
      <c r="G562" s="8">
        <v>18</v>
      </c>
      <c r="H562" s="8" t="s">
        <v>21</v>
      </c>
      <c r="I562" s="8" t="s">
        <v>22</v>
      </c>
      <c r="J562" s="8" t="s">
        <v>22</v>
      </c>
      <c r="K562" s="8" t="s">
        <v>154</v>
      </c>
      <c r="L562" s="8" t="s">
        <v>51</v>
      </c>
      <c r="M562" s="8" t="s">
        <v>52</v>
      </c>
      <c r="N562" s="8" t="s">
        <v>2732</v>
      </c>
      <c r="O562" s="8">
        <f>1+28/60+18.7/3600</f>
        <v>1.4718611111111113</v>
      </c>
      <c r="P562" s="8" t="s">
        <v>2733</v>
      </c>
      <c r="Q562" s="8">
        <f>+(34+18/60+30/3600)</f>
        <v>34.30833333333333</v>
      </c>
      <c r="R562" s="8">
        <v>12.9</v>
      </c>
      <c r="S562" s="8">
        <v>13.8</v>
      </c>
      <c r="T562" s="8">
        <v>0.9</v>
      </c>
      <c r="U562" s="8">
        <v>13.7</v>
      </c>
      <c r="V562" s="8">
        <v>1.6</v>
      </c>
      <c r="W562" s="8">
        <v>1.5</v>
      </c>
      <c r="X562" s="8">
        <v>45</v>
      </c>
      <c r="Y562" s="8" t="s">
        <v>2734</v>
      </c>
      <c r="Z562" s="8" t="s">
        <v>2735</v>
      </c>
    </row>
    <row r="563" spans="1:26" x14ac:dyDescent="0.2">
      <c r="A563" s="8">
        <v>562</v>
      </c>
      <c r="B563" s="8" t="s">
        <v>2736</v>
      </c>
      <c r="C563" s="8" t="s">
        <v>2736</v>
      </c>
      <c r="F563" s="47"/>
      <c r="G563" s="8">
        <v>19</v>
      </c>
      <c r="H563" s="8" t="s">
        <v>21</v>
      </c>
      <c r="I563" s="8" t="s">
        <v>22</v>
      </c>
      <c r="J563" s="8" t="s">
        <v>22</v>
      </c>
      <c r="K563" s="8" t="s">
        <v>160</v>
      </c>
      <c r="L563" s="8" t="s">
        <v>51</v>
      </c>
      <c r="M563" s="8" t="s">
        <v>52</v>
      </c>
      <c r="N563" s="8" t="s">
        <v>2737</v>
      </c>
      <c r="O563" s="8">
        <f>1+28/60+29.3/3600</f>
        <v>1.4748055555555557</v>
      </c>
      <c r="P563" s="8" t="s">
        <v>2738</v>
      </c>
      <c r="Q563" s="8">
        <f>+(48+23/60+13/3600)</f>
        <v>48.386944444444445</v>
      </c>
      <c r="R563" s="8">
        <v>13.3</v>
      </c>
      <c r="S563" s="8">
        <v>14</v>
      </c>
      <c r="T563" s="8">
        <v>0.7</v>
      </c>
      <c r="U563" s="8">
        <v>13.4</v>
      </c>
      <c r="V563" s="8">
        <v>1.3</v>
      </c>
      <c r="W563" s="8">
        <v>1.1000000000000001</v>
      </c>
      <c r="X563" s="8">
        <v>20</v>
      </c>
      <c r="Y563" s="8" t="s">
        <v>2739</v>
      </c>
      <c r="Z563" s="8" t="s">
        <v>2740</v>
      </c>
    </row>
    <row r="564" spans="1:26" x14ac:dyDescent="0.2">
      <c r="A564" s="8">
        <v>563</v>
      </c>
      <c r="B564" s="8" t="s">
        <v>2741</v>
      </c>
      <c r="C564" s="8" t="s">
        <v>2741</v>
      </c>
      <c r="F564" s="47"/>
      <c r="G564" s="8">
        <v>19</v>
      </c>
      <c r="H564" s="8" t="s">
        <v>21</v>
      </c>
      <c r="I564" s="8" t="s">
        <v>22</v>
      </c>
      <c r="J564" s="8" t="s">
        <v>57</v>
      </c>
      <c r="K564" s="8" t="s">
        <v>64</v>
      </c>
      <c r="L564" s="8" t="s">
        <v>125</v>
      </c>
      <c r="M564" s="8" t="s">
        <v>126</v>
      </c>
      <c r="N564" s="8" t="s">
        <v>2631</v>
      </c>
      <c r="O564" s="8">
        <f>1+25/60+21.7/3600</f>
        <v>1.4226944444444445</v>
      </c>
      <c r="P564" s="8" t="s">
        <v>2632</v>
      </c>
      <c r="Q564" s="8">
        <f>-(18+9/60+52/3600)</f>
        <v>-18.164444444444442</v>
      </c>
      <c r="R564" s="8">
        <v>13.5</v>
      </c>
      <c r="S564" s="8">
        <v>14.2</v>
      </c>
      <c r="T564" s="8">
        <v>0.7</v>
      </c>
      <c r="U564" s="8">
        <v>14.2</v>
      </c>
      <c r="V564" s="8">
        <v>1.6</v>
      </c>
      <c r="W564" s="8">
        <v>1.3</v>
      </c>
      <c r="X564" s="8">
        <v>145</v>
      </c>
      <c r="Y564" s="8" t="s">
        <v>2742</v>
      </c>
      <c r="Z564" s="8" t="s">
        <v>2743</v>
      </c>
    </row>
    <row r="565" spans="1:26" x14ac:dyDescent="0.2">
      <c r="A565" s="8">
        <v>564</v>
      </c>
      <c r="B565" s="8" t="s">
        <v>2744</v>
      </c>
      <c r="C565" s="8" t="s">
        <v>2744</v>
      </c>
      <c r="F565" s="47" t="s">
        <v>56101</v>
      </c>
      <c r="G565" s="8">
        <v>15</v>
      </c>
      <c r="H565" s="8" t="s">
        <v>21</v>
      </c>
      <c r="I565" s="8" t="s">
        <v>22</v>
      </c>
      <c r="J565" s="8" t="s">
        <v>22</v>
      </c>
      <c r="K565" s="8" t="s">
        <v>1136</v>
      </c>
      <c r="L565" s="8" t="s">
        <v>125</v>
      </c>
      <c r="M565" s="8" t="s">
        <v>126</v>
      </c>
      <c r="N565" s="8" t="s">
        <v>2745</v>
      </c>
      <c r="O565" s="8">
        <f>1+27/60+48.2/3600</f>
        <v>1.4633888888888889</v>
      </c>
      <c r="P565" s="8" t="s">
        <v>2746</v>
      </c>
      <c r="Q565" s="8">
        <f>-(1+52/60+43/3600)</f>
        <v>-1.8786111111111112</v>
      </c>
      <c r="R565" s="8">
        <v>12.5</v>
      </c>
      <c r="S565" s="8">
        <v>13.5</v>
      </c>
      <c r="T565" s="8">
        <v>1</v>
      </c>
      <c r="U565" s="8">
        <v>13.1</v>
      </c>
      <c r="V565" s="8">
        <v>1.3</v>
      </c>
      <c r="W565" s="8">
        <v>1.1000000000000001</v>
      </c>
      <c r="X565" s="8">
        <v>145</v>
      </c>
      <c r="Y565" s="8" t="s">
        <v>2747</v>
      </c>
      <c r="Z565" s="8" t="s">
        <v>2748</v>
      </c>
    </row>
    <row r="566" spans="1:26" x14ac:dyDescent="0.2">
      <c r="A566" s="8">
        <v>565</v>
      </c>
      <c r="B566" s="8" t="s">
        <v>2749</v>
      </c>
      <c r="C566" s="8" t="s">
        <v>2749</v>
      </c>
      <c r="F566" s="47"/>
      <c r="G566" s="8">
        <v>19</v>
      </c>
      <c r="H566" s="8" t="s">
        <v>21</v>
      </c>
      <c r="I566" s="8" t="s">
        <v>22</v>
      </c>
      <c r="J566" s="8" t="s">
        <v>22</v>
      </c>
      <c r="K566" s="8" t="s">
        <v>91</v>
      </c>
      <c r="L566" s="8" t="s">
        <v>125</v>
      </c>
      <c r="M566" s="8" t="s">
        <v>126</v>
      </c>
      <c r="N566" s="8" t="s">
        <v>2750</v>
      </c>
      <c r="O566" s="8">
        <f>1+28/60+10/3600</f>
        <v>1.4694444444444446</v>
      </c>
      <c r="P566" s="8" t="s">
        <v>2751</v>
      </c>
      <c r="Q566" s="8">
        <f>-(1+18/60+21/3600)</f>
        <v>-1.3058333333333334</v>
      </c>
      <c r="R566" s="8">
        <v>13.5</v>
      </c>
      <c r="S566" s="8">
        <v>14.4</v>
      </c>
      <c r="T566" s="8">
        <v>0.9</v>
      </c>
      <c r="U566" s="8">
        <v>12.7</v>
      </c>
      <c r="V566" s="8">
        <v>1.3</v>
      </c>
      <c r="W566" s="8">
        <v>0.4</v>
      </c>
      <c r="X566" s="8">
        <v>36</v>
      </c>
      <c r="Y566" s="8" t="s">
        <v>2752</v>
      </c>
      <c r="Z566" s="8" t="s">
        <v>2753</v>
      </c>
    </row>
    <row r="567" spans="1:26" x14ac:dyDescent="0.2">
      <c r="A567" s="8">
        <v>566</v>
      </c>
      <c r="B567" s="8" t="s">
        <v>2754</v>
      </c>
      <c r="C567" s="8" t="s">
        <v>2754</v>
      </c>
      <c r="F567" s="47"/>
      <c r="G567" s="8">
        <v>16</v>
      </c>
      <c r="H567" s="8" t="s">
        <v>21</v>
      </c>
      <c r="I567" s="8" t="s">
        <v>22</v>
      </c>
      <c r="J567" s="8" t="s">
        <v>22</v>
      </c>
      <c r="K567" s="8" t="s">
        <v>37</v>
      </c>
      <c r="L567" s="8" t="s">
        <v>38</v>
      </c>
      <c r="M567" s="8" t="s">
        <v>39</v>
      </c>
      <c r="N567" s="8" t="s">
        <v>2755</v>
      </c>
      <c r="O567" s="8">
        <f>1+29/60+2.9/3600</f>
        <v>1.4841388888888889</v>
      </c>
      <c r="P567" s="8" t="s">
        <v>2756</v>
      </c>
      <c r="Q567" s="8">
        <f>+(32+19/60+56/3600)</f>
        <v>32.332222222222228</v>
      </c>
      <c r="R567" s="8">
        <v>13.5</v>
      </c>
      <c r="S567" s="8">
        <v>14.5</v>
      </c>
      <c r="T567" s="8">
        <v>1</v>
      </c>
      <c r="U567" s="8">
        <v>12.9</v>
      </c>
      <c r="V567" s="8">
        <v>1.6</v>
      </c>
      <c r="W567" s="8">
        <v>0.4</v>
      </c>
      <c r="X567" s="8">
        <v>178</v>
      </c>
      <c r="Y567" s="8" t="s">
        <v>170</v>
      </c>
      <c r="Z567" s="8" t="s">
        <v>171</v>
      </c>
    </row>
    <row r="568" spans="1:26" x14ac:dyDescent="0.2">
      <c r="A568" s="8">
        <v>567</v>
      </c>
      <c r="B568" s="8" t="s">
        <v>2757</v>
      </c>
      <c r="C568" s="8" t="s">
        <v>2757</v>
      </c>
      <c r="F568" s="47"/>
      <c r="G568" s="8">
        <v>19</v>
      </c>
      <c r="H568" s="8" t="s">
        <v>21</v>
      </c>
      <c r="I568" s="8" t="s">
        <v>22</v>
      </c>
      <c r="J568" s="8" t="s">
        <v>22</v>
      </c>
      <c r="K568" s="8" t="s">
        <v>37</v>
      </c>
      <c r="L568" s="8" t="s">
        <v>125</v>
      </c>
      <c r="M568" s="8" t="s">
        <v>126</v>
      </c>
      <c r="N568" s="8" t="s">
        <v>2758</v>
      </c>
      <c r="O568" s="8">
        <f>1+27/60+2.3/3600</f>
        <v>1.4506388888888888</v>
      </c>
      <c r="P568" s="8" t="s">
        <v>2759</v>
      </c>
      <c r="Q568" s="8">
        <f>-(10+15/60+53/3600)</f>
        <v>-10.264722222222222</v>
      </c>
      <c r="R568" s="8">
        <v>14.2</v>
      </c>
      <c r="S568" s="8">
        <v>15.2</v>
      </c>
      <c r="T568" s="8">
        <v>1</v>
      </c>
      <c r="U568" s="8">
        <v>13.5</v>
      </c>
      <c r="V568" s="8">
        <v>1</v>
      </c>
      <c r="W568" s="8">
        <v>0.6</v>
      </c>
      <c r="X568" s="8">
        <v>134</v>
      </c>
      <c r="Y568" s="8" t="s">
        <v>385</v>
      </c>
      <c r="Z568" s="8" t="s">
        <v>386</v>
      </c>
    </row>
    <row r="569" spans="1:26" x14ac:dyDescent="0.2">
      <c r="A569" s="8">
        <v>568</v>
      </c>
      <c r="B569" s="8" t="s">
        <v>2760</v>
      </c>
      <c r="C569" s="8" t="s">
        <v>2760</v>
      </c>
      <c r="F569" s="47"/>
      <c r="G569" s="8">
        <v>16</v>
      </c>
      <c r="H569" s="8" t="s">
        <v>21</v>
      </c>
      <c r="I569" s="8" t="s">
        <v>22</v>
      </c>
      <c r="J569" s="8" t="s">
        <v>22</v>
      </c>
      <c r="K569" s="8" t="s">
        <v>58</v>
      </c>
      <c r="L569" s="8" t="s">
        <v>65</v>
      </c>
      <c r="M569" s="8" t="s">
        <v>66</v>
      </c>
      <c r="N569" s="8" t="s">
        <v>2761</v>
      </c>
      <c r="O569" s="8">
        <f>1+27/60+56.9/3600</f>
        <v>1.4658055555555556</v>
      </c>
      <c r="P569" s="8" t="s">
        <v>2762</v>
      </c>
      <c r="Q569" s="8">
        <f>-(35+43/60+3/3600)</f>
        <v>-35.717500000000001</v>
      </c>
      <c r="R569" s="8">
        <v>12.6</v>
      </c>
      <c r="S569" s="8">
        <v>13.6</v>
      </c>
      <c r="T569" s="8">
        <v>1</v>
      </c>
      <c r="U569" s="8">
        <v>13.7</v>
      </c>
      <c r="V569" s="8">
        <v>2.2000000000000002</v>
      </c>
      <c r="W569" s="8">
        <v>1.3</v>
      </c>
      <c r="X569" s="8">
        <v>140</v>
      </c>
      <c r="Y569" s="8" t="s">
        <v>170</v>
      </c>
      <c r="Z569" s="8" t="s">
        <v>171</v>
      </c>
    </row>
    <row r="570" spans="1:26" x14ac:dyDescent="0.2">
      <c r="A570" s="8">
        <v>569</v>
      </c>
      <c r="B570" s="8" t="s">
        <v>2763</v>
      </c>
      <c r="C570" s="8" t="s">
        <v>2763</v>
      </c>
      <c r="F570" s="47"/>
      <c r="G570" s="8">
        <v>18</v>
      </c>
      <c r="H570" s="8" t="s">
        <v>21</v>
      </c>
      <c r="I570" s="8" t="s">
        <v>22</v>
      </c>
      <c r="J570" s="8" t="s">
        <v>22</v>
      </c>
      <c r="K570" s="8" t="s">
        <v>396</v>
      </c>
      <c r="L570" s="8" t="s">
        <v>38</v>
      </c>
      <c r="M570" s="8" t="s">
        <v>39</v>
      </c>
      <c r="N570" s="8" t="s">
        <v>2764</v>
      </c>
      <c r="O570" s="8">
        <f>1+29/60+7.1/3600</f>
        <v>1.4853055555555557</v>
      </c>
      <c r="P570" s="8" t="s">
        <v>2765</v>
      </c>
      <c r="Q570" s="8">
        <f>+(11+7/60+54/3600)</f>
        <v>11.131666666666668</v>
      </c>
      <c r="R570" s="8">
        <v>13.7</v>
      </c>
      <c r="S570" s="8">
        <v>14.5</v>
      </c>
      <c r="T570" s="8">
        <v>0.8</v>
      </c>
      <c r="U570" s="8">
        <v>14</v>
      </c>
      <c r="V570" s="8">
        <v>1</v>
      </c>
      <c r="W570" s="8">
        <v>0.5</v>
      </c>
      <c r="X570" s="8">
        <v>163</v>
      </c>
      <c r="Y570" s="8" t="s">
        <v>385</v>
      </c>
      <c r="Z570" s="8" t="s">
        <v>386</v>
      </c>
    </row>
    <row r="571" spans="1:26" x14ac:dyDescent="0.2">
      <c r="A571" s="8">
        <v>570</v>
      </c>
      <c r="B571" s="8" t="s">
        <v>2766</v>
      </c>
      <c r="C571" s="8" t="s">
        <v>2766</v>
      </c>
      <c r="F571" s="47"/>
      <c r="G571" s="8">
        <v>19</v>
      </c>
      <c r="H571" s="8" t="s">
        <v>21</v>
      </c>
      <c r="I571" s="8" t="s">
        <v>22</v>
      </c>
      <c r="J571" s="8" t="s">
        <v>22</v>
      </c>
      <c r="K571" s="8" t="s">
        <v>154</v>
      </c>
      <c r="L571" s="8" t="s">
        <v>125</v>
      </c>
      <c r="M571" s="8" t="s">
        <v>126</v>
      </c>
      <c r="N571" s="8" t="s">
        <v>2767</v>
      </c>
      <c r="O571" s="8">
        <f>1+28/60+58.5/3600</f>
        <v>1.4829166666666669</v>
      </c>
      <c r="P571" s="8" t="s">
        <v>2768</v>
      </c>
      <c r="Q571" s="8">
        <f>-(0+56/60+55/3600)</f>
        <v>-0.94861111111111107</v>
      </c>
      <c r="R571" s="8">
        <v>12.8</v>
      </c>
      <c r="S571" s="8">
        <v>13.7</v>
      </c>
      <c r="T571" s="8">
        <v>0.9</v>
      </c>
      <c r="U571" s="8">
        <v>13.3</v>
      </c>
      <c r="V571" s="8">
        <v>1.6</v>
      </c>
      <c r="W571" s="8">
        <v>1.3</v>
      </c>
      <c r="X571" s="8">
        <v>175</v>
      </c>
      <c r="Y571" s="8" t="s">
        <v>2769</v>
      </c>
      <c r="Z571" s="8" t="s">
        <v>2770</v>
      </c>
    </row>
    <row r="572" spans="1:26" x14ac:dyDescent="0.2">
      <c r="A572" s="8">
        <v>571</v>
      </c>
      <c r="B572" s="8" t="s">
        <v>2771</v>
      </c>
      <c r="C572" s="8" t="s">
        <v>2771</v>
      </c>
      <c r="F572" s="47"/>
      <c r="G572" s="8">
        <v>18</v>
      </c>
      <c r="H572" s="8" t="s">
        <v>21</v>
      </c>
      <c r="I572" s="8" t="s">
        <v>22</v>
      </c>
      <c r="J572" s="8" t="s">
        <v>22</v>
      </c>
      <c r="K572" s="8" t="s">
        <v>476</v>
      </c>
      <c r="L572" s="8" t="s">
        <v>38</v>
      </c>
      <c r="M572" s="8" t="s">
        <v>39</v>
      </c>
      <c r="N572" s="8" t="s">
        <v>2772</v>
      </c>
      <c r="O572" s="8">
        <f>1+29/60+56.1/3600</f>
        <v>1.4989166666666667</v>
      </c>
      <c r="P572" s="8" t="s">
        <v>2773</v>
      </c>
      <c r="Q572" s="8">
        <f>+(32+30/60+3/3600)</f>
        <v>32.500833333333333</v>
      </c>
      <c r="R572" s="8">
        <v>13.7</v>
      </c>
      <c r="S572" s="8">
        <v>14.6</v>
      </c>
      <c r="T572" s="8">
        <v>0.9</v>
      </c>
      <c r="U572" s="8">
        <v>14.1</v>
      </c>
      <c r="V572" s="8">
        <v>1.3</v>
      </c>
      <c r="W572" s="8">
        <v>1.3</v>
      </c>
      <c r="Y572" s="8" t="s">
        <v>2774</v>
      </c>
      <c r="Z572" s="8" t="s">
        <v>2775</v>
      </c>
    </row>
    <row r="573" spans="1:26" x14ac:dyDescent="0.2">
      <c r="A573" s="8">
        <v>572</v>
      </c>
      <c r="B573" s="8" t="s">
        <v>2776</v>
      </c>
      <c r="C573" s="8" t="s">
        <v>2776</v>
      </c>
      <c r="F573" s="47"/>
      <c r="G573" s="8">
        <v>16</v>
      </c>
      <c r="H573" s="8" t="s">
        <v>21</v>
      </c>
      <c r="I573" s="8" t="s">
        <v>22</v>
      </c>
      <c r="J573" s="8" t="s">
        <v>22</v>
      </c>
      <c r="K573" s="8" t="s">
        <v>224</v>
      </c>
      <c r="L573" s="8" t="s">
        <v>65</v>
      </c>
      <c r="M573" s="8" t="s">
        <v>66</v>
      </c>
      <c r="N573" s="8" t="s">
        <v>2777</v>
      </c>
      <c r="O573" s="8">
        <f>1+28/60+36.4/3600</f>
        <v>1.476777777777778</v>
      </c>
      <c r="P573" s="8" t="s">
        <v>2778</v>
      </c>
      <c r="Q573" s="8">
        <f>-(39+18/60+26/3600)</f>
        <v>-39.307222222222222</v>
      </c>
      <c r="R573" s="8">
        <v>14</v>
      </c>
      <c r="S573" s="8">
        <v>15</v>
      </c>
      <c r="T573" s="8">
        <v>1</v>
      </c>
      <c r="U573" s="8">
        <v>13.4</v>
      </c>
      <c r="V573" s="8">
        <v>0.8</v>
      </c>
      <c r="W573" s="8">
        <v>0.7</v>
      </c>
      <c r="X573" s="8">
        <v>124</v>
      </c>
      <c r="Y573" s="8" t="s">
        <v>2779</v>
      </c>
      <c r="Z573" s="8" t="s">
        <v>2780</v>
      </c>
    </row>
    <row r="574" spans="1:26" x14ac:dyDescent="0.2">
      <c r="A574" s="8">
        <v>573</v>
      </c>
      <c r="B574" s="8" t="s">
        <v>2781</v>
      </c>
      <c r="C574" s="8" t="s">
        <v>2781</v>
      </c>
      <c r="F574" s="47"/>
      <c r="G574" s="8">
        <v>19</v>
      </c>
      <c r="H574" s="8" t="s">
        <v>21</v>
      </c>
      <c r="I574" s="8" t="s">
        <v>22</v>
      </c>
      <c r="J574" s="8" t="s">
        <v>22</v>
      </c>
      <c r="K574" s="8" t="s">
        <v>476</v>
      </c>
      <c r="L574" s="8" t="s">
        <v>51</v>
      </c>
      <c r="M574" s="8" t="s">
        <v>52</v>
      </c>
      <c r="N574" s="8" t="s">
        <v>2782</v>
      </c>
      <c r="O574" s="8">
        <f>1+30/60+49.3/3600</f>
        <v>1.5136944444444445</v>
      </c>
      <c r="P574" s="8" t="s">
        <v>2783</v>
      </c>
      <c r="Q574" s="8">
        <f>+(41+15/60+26/3600)</f>
        <v>41.257222222222225</v>
      </c>
      <c r="R574" s="8">
        <v>13.2</v>
      </c>
      <c r="S574" s="8">
        <v>14.1</v>
      </c>
      <c r="T574" s="8">
        <v>0.9</v>
      </c>
      <c r="U574" s="8">
        <v>11.1</v>
      </c>
      <c r="V574" s="8">
        <v>0.4</v>
      </c>
      <c r="W574" s="8">
        <v>0.4</v>
      </c>
      <c r="Y574" s="8" t="s">
        <v>1858</v>
      </c>
      <c r="Z574" s="8" t="s">
        <v>1859</v>
      </c>
    </row>
    <row r="575" spans="1:26" x14ac:dyDescent="0.2">
      <c r="A575" s="8">
        <v>574</v>
      </c>
      <c r="B575" s="8" t="s">
        <v>2784</v>
      </c>
      <c r="C575" s="8" t="s">
        <v>2784</v>
      </c>
      <c r="F575" s="47"/>
      <c r="G575" s="8">
        <v>16</v>
      </c>
      <c r="H575" s="8" t="s">
        <v>21</v>
      </c>
      <c r="I575" s="8" t="s">
        <v>22</v>
      </c>
      <c r="J575" s="8" t="s">
        <v>22</v>
      </c>
      <c r="K575" s="8" t="s">
        <v>218</v>
      </c>
      <c r="L575" s="8" t="s">
        <v>65</v>
      </c>
      <c r="M575" s="8" t="s">
        <v>66</v>
      </c>
      <c r="N575" s="8" t="s">
        <v>2785</v>
      </c>
      <c r="O575" s="8">
        <f>1+29/60+3.1/3600</f>
        <v>1.4841944444444446</v>
      </c>
      <c r="P575" s="8" t="s">
        <v>2786</v>
      </c>
      <c r="Q575" s="8">
        <f>-(35+35/60+55/3600)</f>
        <v>-35.598611111111111</v>
      </c>
      <c r="R575" s="8">
        <v>13.3</v>
      </c>
      <c r="S575" s="8">
        <v>14.1</v>
      </c>
      <c r="T575" s="8">
        <v>0.8</v>
      </c>
      <c r="U575" s="8">
        <v>13.1</v>
      </c>
      <c r="V575" s="8">
        <v>1.1000000000000001</v>
      </c>
      <c r="W575" s="8">
        <v>0.7</v>
      </c>
      <c r="X575" s="8">
        <v>2</v>
      </c>
      <c r="Y575" s="8" t="s">
        <v>2787</v>
      </c>
      <c r="Z575" s="8" t="s">
        <v>2788</v>
      </c>
    </row>
    <row r="576" spans="1:26" x14ac:dyDescent="0.2">
      <c r="A576" s="8">
        <v>575</v>
      </c>
      <c r="B576" s="8" t="s">
        <v>2789</v>
      </c>
      <c r="C576" s="8" t="s">
        <v>2789</v>
      </c>
      <c r="F576" s="47"/>
      <c r="G576" s="8">
        <v>18</v>
      </c>
      <c r="H576" s="8" t="s">
        <v>21</v>
      </c>
      <c r="I576" s="8" t="s">
        <v>22</v>
      </c>
      <c r="J576" s="8" t="s">
        <v>22</v>
      </c>
      <c r="K576" s="8" t="s">
        <v>64</v>
      </c>
      <c r="L576" s="8" t="s">
        <v>38</v>
      </c>
      <c r="M576" s="8" t="s">
        <v>39</v>
      </c>
      <c r="N576" s="8" t="s">
        <v>2790</v>
      </c>
      <c r="O576" s="8">
        <f>1+30/60+46.4/3600</f>
        <v>1.5128888888888889</v>
      </c>
      <c r="P576" s="8" t="s">
        <v>2791</v>
      </c>
      <c r="Q576" s="8">
        <f>+(21+26/60+25/3600)</f>
        <v>21.440277777777776</v>
      </c>
      <c r="R576" s="8">
        <v>12.8</v>
      </c>
      <c r="S576" s="8">
        <v>13.5</v>
      </c>
      <c r="T576" s="8">
        <v>0.7</v>
      </c>
      <c r="U576" s="8">
        <v>13.7</v>
      </c>
      <c r="V576" s="8">
        <v>1.7</v>
      </c>
      <c r="W576" s="8">
        <v>1.6</v>
      </c>
      <c r="X576" s="8">
        <v>66</v>
      </c>
      <c r="Y576" s="8" t="s">
        <v>2792</v>
      </c>
      <c r="Z576" s="8" t="s">
        <v>2793</v>
      </c>
    </row>
    <row r="577" spans="1:26" x14ac:dyDescent="0.2">
      <c r="A577" s="8">
        <v>576</v>
      </c>
      <c r="B577" s="8" t="s">
        <v>2794</v>
      </c>
      <c r="C577" s="8" t="s">
        <v>2794</v>
      </c>
      <c r="F577" s="47"/>
      <c r="G577" s="8">
        <v>16</v>
      </c>
      <c r="H577" s="8" t="s">
        <v>21</v>
      </c>
      <c r="I577" s="8" t="s">
        <v>22</v>
      </c>
      <c r="J577" s="8" t="s">
        <v>22</v>
      </c>
      <c r="K577" s="8" t="s">
        <v>435</v>
      </c>
      <c r="L577" s="8" t="s">
        <v>166</v>
      </c>
      <c r="M577" s="8" t="s">
        <v>167</v>
      </c>
      <c r="N577" s="8" t="s">
        <v>2795</v>
      </c>
      <c r="O577" s="8">
        <f>1+28/60+57.4/3600</f>
        <v>1.4826111111111113</v>
      </c>
      <c r="P577" s="8" t="s">
        <v>2796</v>
      </c>
      <c r="Q577" s="8">
        <f>-(51+35/60+53/3600)</f>
        <v>-51.598055555555561</v>
      </c>
      <c r="R577" s="8">
        <v>13.4</v>
      </c>
      <c r="S577" s="8">
        <v>14.3</v>
      </c>
      <c r="T577" s="8">
        <v>0.9</v>
      </c>
      <c r="U577" s="8">
        <v>12.8</v>
      </c>
      <c r="V577" s="8">
        <v>1</v>
      </c>
      <c r="W577" s="8">
        <v>0.8</v>
      </c>
      <c r="X577" s="8">
        <v>18</v>
      </c>
      <c r="Y577" s="8" t="s">
        <v>2797</v>
      </c>
      <c r="Z577" s="8" t="s">
        <v>2798</v>
      </c>
    </row>
    <row r="578" spans="1:26" x14ac:dyDescent="0.2">
      <c r="A578" s="8">
        <v>577</v>
      </c>
      <c r="B578" s="8" t="s">
        <v>2799</v>
      </c>
      <c r="C578" s="8" t="s">
        <v>2799</v>
      </c>
      <c r="F578" s="47"/>
      <c r="G578" s="8">
        <v>19</v>
      </c>
      <c r="H578" s="8" t="s">
        <v>21</v>
      </c>
      <c r="I578" s="8" t="s">
        <v>22</v>
      </c>
      <c r="J578" s="8" t="s">
        <v>22</v>
      </c>
      <c r="K578" s="8" t="s">
        <v>154</v>
      </c>
      <c r="L578" s="8" t="s">
        <v>125</v>
      </c>
      <c r="M578" s="8" t="s">
        <v>126</v>
      </c>
      <c r="N578" s="8" t="s">
        <v>2800</v>
      </c>
      <c r="O578" s="8">
        <f>1+30/60+40.6/3600</f>
        <v>1.5112777777777777</v>
      </c>
      <c r="P578" s="8" t="s">
        <v>2801</v>
      </c>
      <c r="Q578" s="8">
        <f>-(1+59/60+39/3600)</f>
        <v>-1.9941666666666666</v>
      </c>
      <c r="R578" s="8">
        <v>12.9</v>
      </c>
      <c r="S578" s="8">
        <v>13.8</v>
      </c>
      <c r="T578" s="8">
        <v>0.9</v>
      </c>
      <c r="U578" s="8">
        <v>13.7</v>
      </c>
      <c r="V578" s="8">
        <v>1.9</v>
      </c>
      <c r="W578" s="8">
        <v>1.5</v>
      </c>
      <c r="X578" s="8">
        <v>140</v>
      </c>
      <c r="Y578" s="8" t="s">
        <v>2802</v>
      </c>
      <c r="Z578" s="8" t="s">
        <v>1021</v>
      </c>
    </row>
    <row r="579" spans="1:26" x14ac:dyDescent="0.2">
      <c r="A579" s="8">
        <v>578</v>
      </c>
      <c r="B579" s="8" t="s">
        <v>2803</v>
      </c>
      <c r="C579" s="8" t="s">
        <v>2803</v>
      </c>
      <c r="F579" s="47"/>
      <c r="G579" s="8">
        <v>9</v>
      </c>
      <c r="H579" s="8" t="s">
        <v>21</v>
      </c>
      <c r="I579" s="8" t="s">
        <v>22</v>
      </c>
      <c r="J579" s="8" t="s">
        <v>22</v>
      </c>
      <c r="K579" s="8" t="s">
        <v>64</v>
      </c>
      <c r="L579" s="8" t="s">
        <v>125</v>
      </c>
      <c r="M579" s="8" t="s">
        <v>126</v>
      </c>
      <c r="N579" s="8" t="s">
        <v>2804</v>
      </c>
      <c r="O579" s="8">
        <f>1+30/60+28.9/3600</f>
        <v>1.5080277777777777</v>
      </c>
      <c r="P579" s="8" t="s">
        <v>2805</v>
      </c>
      <c r="Q579" s="8">
        <f>-(22+40/60+0/3600)</f>
        <v>-22.666666666666668</v>
      </c>
      <c r="R579" s="8">
        <v>10.9</v>
      </c>
      <c r="S579" s="8">
        <v>11.4</v>
      </c>
      <c r="T579" s="8">
        <v>0.5</v>
      </c>
      <c r="U579" s="8">
        <v>13.8</v>
      </c>
      <c r="V579" s="8">
        <v>4.8</v>
      </c>
      <c r="W579" s="8">
        <v>3</v>
      </c>
      <c r="X579" s="8">
        <v>110</v>
      </c>
      <c r="Y579" s="8" t="s">
        <v>2806</v>
      </c>
      <c r="Z579" s="8" t="s">
        <v>2807</v>
      </c>
    </row>
    <row r="580" spans="1:26" x14ac:dyDescent="0.2">
      <c r="A580" s="8">
        <v>579</v>
      </c>
      <c r="B580" s="8" t="s">
        <v>2808</v>
      </c>
      <c r="C580" s="8" t="s">
        <v>2808</v>
      </c>
      <c r="F580" s="47"/>
      <c r="G580" s="8">
        <v>16</v>
      </c>
      <c r="H580" s="8" t="s">
        <v>21</v>
      </c>
      <c r="I580" s="8" t="s">
        <v>22</v>
      </c>
      <c r="J580" s="8" t="s">
        <v>22</v>
      </c>
      <c r="K580" s="8" t="s">
        <v>160</v>
      </c>
      <c r="L580" s="8" t="s">
        <v>2809</v>
      </c>
      <c r="M580" s="8" t="s">
        <v>2810</v>
      </c>
      <c r="N580" s="8" t="s">
        <v>2811</v>
      </c>
      <c r="O580" s="8">
        <f>1+31/60+46.7/3600</f>
        <v>1.5296388888888888</v>
      </c>
      <c r="P580" s="8" t="s">
        <v>2812</v>
      </c>
      <c r="Q580" s="8">
        <f>+(33+36/60+52/3600)</f>
        <v>33.614444444444445</v>
      </c>
      <c r="R580" s="8">
        <v>13.3</v>
      </c>
      <c r="S580" s="8">
        <v>13.9</v>
      </c>
      <c r="T580" s="8">
        <v>0.6</v>
      </c>
      <c r="U580" s="8">
        <v>13.3</v>
      </c>
      <c r="V580" s="8">
        <v>1.5</v>
      </c>
      <c r="W580" s="8">
        <v>1.3</v>
      </c>
      <c r="X580" s="8">
        <v>150</v>
      </c>
      <c r="Y580" s="8" t="s">
        <v>2813</v>
      </c>
      <c r="Z580" s="8" t="s">
        <v>2814</v>
      </c>
    </row>
    <row r="581" spans="1:26" x14ac:dyDescent="0.2">
      <c r="A581" s="8">
        <v>580</v>
      </c>
      <c r="B581" s="8" t="s">
        <v>2815</v>
      </c>
      <c r="C581" s="8" t="s">
        <v>2815</v>
      </c>
      <c r="F581" s="47"/>
      <c r="G581" s="8">
        <v>19</v>
      </c>
      <c r="H581" s="8" t="s">
        <v>21</v>
      </c>
      <c r="I581" s="8" t="s">
        <v>22</v>
      </c>
      <c r="J581" s="8" t="s">
        <v>57</v>
      </c>
      <c r="K581" s="8" t="s">
        <v>154</v>
      </c>
      <c r="L581" s="8" t="s">
        <v>125</v>
      </c>
      <c r="M581" s="8" t="s">
        <v>126</v>
      </c>
      <c r="N581" s="8" t="s">
        <v>2800</v>
      </c>
      <c r="O581" s="8">
        <f>1+30/60+40.6/3600</f>
        <v>1.5112777777777777</v>
      </c>
      <c r="P581" s="8" t="s">
        <v>2801</v>
      </c>
      <c r="Q581" s="8">
        <f>-(1+59/60+39/3600)</f>
        <v>-1.9941666666666666</v>
      </c>
      <c r="R581" s="8">
        <v>12.9</v>
      </c>
      <c r="S581" s="8">
        <v>13.8</v>
      </c>
      <c r="T581" s="8">
        <v>0.9</v>
      </c>
      <c r="U581" s="8">
        <v>13.7</v>
      </c>
      <c r="V581" s="8">
        <v>1.9</v>
      </c>
      <c r="W581" s="8">
        <v>1.5</v>
      </c>
      <c r="X581" s="8">
        <v>140</v>
      </c>
      <c r="Y581" s="8" t="s">
        <v>2802</v>
      </c>
      <c r="Z581" s="8" t="s">
        <v>804</v>
      </c>
    </row>
    <row r="582" spans="1:26" x14ac:dyDescent="0.2">
      <c r="A582" s="8">
        <v>581</v>
      </c>
      <c r="B582" s="8" t="s">
        <v>2816</v>
      </c>
      <c r="C582" s="8" t="s">
        <v>55864</v>
      </c>
      <c r="F582" s="47"/>
      <c r="G582" s="8">
        <v>1</v>
      </c>
      <c r="H582" s="8" t="s">
        <v>21</v>
      </c>
      <c r="I582" s="8" t="s">
        <v>557</v>
      </c>
      <c r="J582" s="8" t="s">
        <v>557</v>
      </c>
      <c r="K582" s="8" t="s">
        <v>987</v>
      </c>
      <c r="L582" s="8" t="s">
        <v>559</v>
      </c>
      <c r="M582" s="8" t="s">
        <v>560</v>
      </c>
      <c r="N582" s="8" t="s">
        <v>2817</v>
      </c>
      <c r="O582" s="8">
        <f>1+33/60+23/3600</f>
        <v>1.556388888888889</v>
      </c>
      <c r="P582" s="8" t="s">
        <v>2818</v>
      </c>
      <c r="Q582" s="8">
        <f>+(60+39/60+30/3600)</f>
        <v>60.658333333333331</v>
      </c>
      <c r="R582" s="8">
        <v>7.4</v>
      </c>
      <c r="S582" s="8">
        <v>99</v>
      </c>
      <c r="T582" s="8">
        <v>99</v>
      </c>
      <c r="U582" s="8">
        <v>99</v>
      </c>
      <c r="V582" s="8">
        <v>6</v>
      </c>
      <c r="Y582" s="8" t="s">
        <v>2819</v>
      </c>
      <c r="Z582" s="8" t="s">
        <v>2820</v>
      </c>
    </row>
    <row r="583" spans="1:26" x14ac:dyDescent="0.2">
      <c r="A583" s="8">
        <v>582</v>
      </c>
      <c r="B583" s="8" t="s">
        <v>2821</v>
      </c>
      <c r="C583" s="8" t="s">
        <v>2821</v>
      </c>
      <c r="F583" s="47"/>
      <c r="G583" s="8">
        <v>18</v>
      </c>
      <c r="H583" s="8" t="s">
        <v>21</v>
      </c>
      <c r="I583" s="8" t="s">
        <v>22</v>
      </c>
      <c r="J583" s="8" t="s">
        <v>22</v>
      </c>
      <c r="K583" s="8" t="s">
        <v>218</v>
      </c>
      <c r="L583" s="8" t="s">
        <v>2809</v>
      </c>
      <c r="M583" s="8" t="s">
        <v>2810</v>
      </c>
      <c r="N583" s="8" t="s">
        <v>2822</v>
      </c>
      <c r="O583" s="8">
        <f>1+31/60+58.2/3600</f>
        <v>1.5328333333333333</v>
      </c>
      <c r="P583" s="8" t="s">
        <v>2823</v>
      </c>
      <c r="Q583" s="8">
        <f>+(33+28/60+32/3600)</f>
        <v>33.475555555555559</v>
      </c>
      <c r="R583" s="8">
        <v>13.2</v>
      </c>
      <c r="S583" s="8">
        <v>14.1</v>
      </c>
      <c r="T583" s="8">
        <v>0.9</v>
      </c>
      <c r="U583" s="8">
        <v>13.3</v>
      </c>
      <c r="V583" s="8">
        <v>2.2000000000000002</v>
      </c>
      <c r="W583" s="8">
        <v>0.6</v>
      </c>
      <c r="X583" s="8">
        <v>58</v>
      </c>
      <c r="Y583" s="8" t="s">
        <v>2824</v>
      </c>
      <c r="Z583" s="8" t="s">
        <v>2825</v>
      </c>
    </row>
    <row r="584" spans="1:26" x14ac:dyDescent="0.2">
      <c r="A584" s="8">
        <v>583</v>
      </c>
      <c r="B584" s="8" t="s">
        <v>2826</v>
      </c>
      <c r="C584" s="8" t="s">
        <v>2826</v>
      </c>
      <c r="F584" s="47"/>
      <c r="G584" s="8">
        <v>19</v>
      </c>
      <c r="H584" s="8" t="s">
        <v>21</v>
      </c>
      <c r="I584" s="8" t="s">
        <v>22</v>
      </c>
      <c r="J584" s="8" t="s">
        <v>22</v>
      </c>
      <c r="K584" s="8" t="s">
        <v>224</v>
      </c>
      <c r="L584" s="8" t="s">
        <v>125</v>
      </c>
      <c r="M584" s="8" t="s">
        <v>126</v>
      </c>
      <c r="N584" s="8" t="s">
        <v>2827</v>
      </c>
      <c r="O584" s="8">
        <f>1+29/60+44.1/3600</f>
        <v>1.4955833333333335</v>
      </c>
      <c r="P584" s="8" t="s">
        <v>2828</v>
      </c>
      <c r="Q584" s="8">
        <f>-(18+20/60+22/3600)</f>
        <v>-18.339444444444442</v>
      </c>
      <c r="R584" s="8">
        <v>14.2</v>
      </c>
      <c r="S584" s="8">
        <v>15.2</v>
      </c>
      <c r="T584" s="8">
        <v>1</v>
      </c>
      <c r="U584" s="8">
        <v>13.1</v>
      </c>
      <c r="V584" s="8">
        <v>0.7</v>
      </c>
      <c r="W584" s="8">
        <v>0.6</v>
      </c>
      <c r="X584" s="8">
        <v>40</v>
      </c>
      <c r="Y584" s="8" t="s">
        <v>227</v>
      </c>
      <c r="Z584" s="8" t="s">
        <v>228</v>
      </c>
    </row>
    <row r="585" spans="1:26" x14ac:dyDescent="0.2">
      <c r="A585" s="8">
        <v>584</v>
      </c>
      <c r="B585" s="8" t="s">
        <v>2829</v>
      </c>
      <c r="C585" s="8" t="s">
        <v>2829</v>
      </c>
      <c r="F585" s="47" t="s">
        <v>56102</v>
      </c>
      <c r="G585" s="8">
        <v>6</v>
      </c>
      <c r="H585" s="8" t="s">
        <v>2830</v>
      </c>
      <c r="I585" s="8" t="s">
        <v>22</v>
      </c>
      <c r="J585" s="8" t="s">
        <v>22</v>
      </c>
      <c r="K585" s="8" t="s">
        <v>50</v>
      </c>
      <c r="L585" s="8" t="s">
        <v>125</v>
      </c>
      <c r="M585" s="8" t="s">
        <v>126</v>
      </c>
      <c r="N585" s="8" t="s">
        <v>2831</v>
      </c>
      <c r="O585" s="8">
        <f>1+31/60+20.5/3600</f>
        <v>1.5223611111111111</v>
      </c>
      <c r="P585" s="8" t="s">
        <v>2832</v>
      </c>
      <c r="Q585" s="8">
        <f>-(6+52/60+2/3600)</f>
        <v>-6.8672222222222228</v>
      </c>
      <c r="R585" s="8">
        <v>10.5</v>
      </c>
      <c r="S585" s="8">
        <v>11.4</v>
      </c>
      <c r="T585" s="8">
        <v>0.9</v>
      </c>
      <c r="U585" s="8">
        <v>12.9</v>
      </c>
      <c r="V585" s="8">
        <v>4.0999999999999996</v>
      </c>
      <c r="W585" s="8">
        <v>2</v>
      </c>
      <c r="X585" s="8">
        <v>72</v>
      </c>
      <c r="Y585" s="8" t="s">
        <v>2833</v>
      </c>
      <c r="Z585" s="8" t="s">
        <v>2834</v>
      </c>
    </row>
    <row r="586" spans="1:26" x14ac:dyDescent="0.2">
      <c r="A586" s="8">
        <v>585</v>
      </c>
      <c r="B586" s="8" t="s">
        <v>2835</v>
      </c>
      <c r="C586" s="8" t="s">
        <v>2835</v>
      </c>
      <c r="F586" s="47"/>
      <c r="G586" s="8">
        <v>16</v>
      </c>
      <c r="H586" s="8" t="s">
        <v>21</v>
      </c>
      <c r="I586" s="8" t="s">
        <v>22</v>
      </c>
      <c r="J586" s="8" t="s">
        <v>22</v>
      </c>
      <c r="K586" s="8" t="s">
        <v>91</v>
      </c>
      <c r="L586" s="8" t="s">
        <v>125</v>
      </c>
      <c r="M586" s="8" t="s">
        <v>126</v>
      </c>
      <c r="N586" s="8" t="s">
        <v>2836</v>
      </c>
      <c r="O586" s="8">
        <f>1+31/60+42.2/3600</f>
        <v>1.5283888888888888</v>
      </c>
      <c r="P586" s="8" t="s">
        <v>2837</v>
      </c>
      <c r="Q586" s="8">
        <f>-(0+55/60+58/3600)</f>
        <v>-0.93277777777777771</v>
      </c>
      <c r="R586" s="8">
        <v>13.1</v>
      </c>
      <c r="S586" s="8">
        <v>14</v>
      </c>
      <c r="T586" s="8">
        <v>0.9</v>
      </c>
      <c r="U586" s="8">
        <v>13</v>
      </c>
      <c r="V586" s="8">
        <v>2.2000000000000002</v>
      </c>
      <c r="W586" s="8">
        <v>0.5</v>
      </c>
      <c r="X586" s="8">
        <v>86</v>
      </c>
      <c r="Y586" s="8" t="s">
        <v>2248</v>
      </c>
      <c r="Z586" s="8" t="s">
        <v>2249</v>
      </c>
    </row>
    <row r="587" spans="1:26" x14ac:dyDescent="0.2">
      <c r="A587" s="8">
        <v>586</v>
      </c>
      <c r="B587" s="8" t="s">
        <v>2838</v>
      </c>
      <c r="C587" s="8" t="s">
        <v>2838</v>
      </c>
      <c r="F587" s="47" t="s">
        <v>56103</v>
      </c>
      <c r="G587" s="8">
        <v>15</v>
      </c>
      <c r="H587" s="8" t="s">
        <v>21</v>
      </c>
      <c r="I587" s="8" t="s">
        <v>22</v>
      </c>
      <c r="J587" s="8" t="s">
        <v>22</v>
      </c>
      <c r="K587" s="8" t="s">
        <v>91</v>
      </c>
      <c r="L587" s="8" t="s">
        <v>125</v>
      </c>
      <c r="M587" s="8" t="s">
        <v>126</v>
      </c>
      <c r="N587" s="8" t="s">
        <v>2839</v>
      </c>
      <c r="O587" s="8">
        <f>1+31/60+36.8/3600</f>
        <v>1.5268888888888887</v>
      </c>
      <c r="P587" s="8" t="s">
        <v>2840</v>
      </c>
      <c r="Q587" s="8">
        <f>-(6+53/60+35/3600)</f>
        <v>-6.8930555555555548</v>
      </c>
      <c r="R587" s="8">
        <v>13.2</v>
      </c>
      <c r="S587" s="8">
        <v>14.1</v>
      </c>
      <c r="T587" s="8">
        <v>0.9</v>
      </c>
      <c r="U587" s="8">
        <v>13.2</v>
      </c>
      <c r="V587" s="8">
        <v>1.7</v>
      </c>
      <c r="W587" s="8">
        <v>0.9</v>
      </c>
      <c r="X587" s="8">
        <v>0</v>
      </c>
      <c r="Y587" s="8" t="s">
        <v>421</v>
      </c>
      <c r="Z587" s="8" t="s">
        <v>422</v>
      </c>
    </row>
    <row r="588" spans="1:26" x14ac:dyDescent="0.2">
      <c r="A588" s="8">
        <v>587</v>
      </c>
      <c r="B588" s="8" t="s">
        <v>2841</v>
      </c>
      <c r="C588" s="8" t="s">
        <v>2841</v>
      </c>
      <c r="F588" s="47"/>
      <c r="G588" s="8">
        <v>18</v>
      </c>
      <c r="H588" s="8" t="s">
        <v>21</v>
      </c>
      <c r="I588" s="8" t="s">
        <v>22</v>
      </c>
      <c r="J588" s="8" t="s">
        <v>22</v>
      </c>
      <c r="K588" s="8" t="s">
        <v>218</v>
      </c>
      <c r="L588" s="8" t="s">
        <v>2809</v>
      </c>
      <c r="M588" s="8" t="s">
        <v>2810</v>
      </c>
      <c r="N588" s="8" t="s">
        <v>2842</v>
      </c>
      <c r="O588" s="8">
        <f>1+32/60+33.3/3600</f>
        <v>1.5425833333333332</v>
      </c>
      <c r="P588" s="8" t="s">
        <v>2843</v>
      </c>
      <c r="Q588" s="8">
        <f>+(35+21/60+30/3600)</f>
        <v>35.358333333333334</v>
      </c>
      <c r="R588" s="8">
        <v>12.8</v>
      </c>
      <c r="S588" s="8">
        <v>13.6</v>
      </c>
      <c r="T588" s="8">
        <v>0.8</v>
      </c>
      <c r="U588" s="8">
        <v>13.3</v>
      </c>
      <c r="V588" s="8">
        <v>2.2000000000000002</v>
      </c>
      <c r="W588" s="8">
        <v>0.8</v>
      </c>
      <c r="X588" s="8">
        <v>67</v>
      </c>
      <c r="Y588" s="8" t="s">
        <v>2844</v>
      </c>
      <c r="Z588" s="8" t="s">
        <v>2845</v>
      </c>
    </row>
    <row r="589" spans="1:26" x14ac:dyDescent="0.2">
      <c r="A589" s="8">
        <v>588</v>
      </c>
      <c r="B589" s="8" t="s">
        <v>2846</v>
      </c>
      <c r="C589" s="8" t="s">
        <v>2846</v>
      </c>
      <c r="F589" s="47"/>
      <c r="G589" s="8">
        <v>17</v>
      </c>
      <c r="H589" s="8" t="s">
        <v>21</v>
      </c>
      <c r="I589" s="8" t="s">
        <v>1075</v>
      </c>
      <c r="J589" s="8" t="s">
        <v>1075</v>
      </c>
      <c r="K589" s="8" t="s">
        <v>1075</v>
      </c>
      <c r="L589" s="8" t="s">
        <v>2809</v>
      </c>
      <c r="M589" s="8" t="s">
        <v>2810</v>
      </c>
      <c r="N589" s="8" t="s">
        <v>2847</v>
      </c>
      <c r="O589" s="8">
        <f>1+32/60+45.7/3600</f>
        <v>1.5460277777777776</v>
      </c>
      <c r="P589" s="8" t="s">
        <v>2848</v>
      </c>
      <c r="Q589" s="8">
        <f>+(30+38/60+56/3600)</f>
        <v>30.648888888888887</v>
      </c>
      <c r="R589" s="8">
        <v>13.5</v>
      </c>
      <c r="S589" s="8">
        <v>99</v>
      </c>
      <c r="T589" s="8">
        <v>99</v>
      </c>
      <c r="U589" s="8">
        <v>99</v>
      </c>
      <c r="V589" s="8">
        <v>0.65</v>
      </c>
      <c r="Y589" s="8" t="s">
        <v>2849</v>
      </c>
      <c r="Z589" s="8" t="s">
        <v>2850</v>
      </c>
    </row>
    <row r="590" spans="1:26" x14ac:dyDescent="0.2">
      <c r="A590" s="8">
        <v>589</v>
      </c>
      <c r="B590" s="8" t="s">
        <v>2851</v>
      </c>
      <c r="C590" s="8" t="s">
        <v>2851</v>
      </c>
      <c r="F590" s="47"/>
      <c r="G590" s="8">
        <v>19</v>
      </c>
      <c r="H590" s="8" t="s">
        <v>21</v>
      </c>
      <c r="I590" s="8" t="s">
        <v>22</v>
      </c>
      <c r="J590" s="8" t="s">
        <v>22</v>
      </c>
      <c r="K590" s="8" t="s">
        <v>632</v>
      </c>
      <c r="L590" s="8" t="s">
        <v>125</v>
      </c>
      <c r="M590" s="8" t="s">
        <v>126</v>
      </c>
      <c r="N590" s="8" t="s">
        <v>2852</v>
      </c>
      <c r="O590" s="8">
        <f>1+32/60+39.9/3600</f>
        <v>1.5444166666666665</v>
      </c>
      <c r="P590" s="8" t="s">
        <v>2853</v>
      </c>
      <c r="Q590" s="8">
        <f>-(12+2/60+32/3600)</f>
        <v>-12.042222222222222</v>
      </c>
      <c r="R590" s="8">
        <v>14.1</v>
      </c>
      <c r="S590" s="8">
        <v>15</v>
      </c>
      <c r="T590" s="8">
        <v>0.9</v>
      </c>
      <c r="U590" s="8">
        <v>14</v>
      </c>
      <c r="V590" s="8">
        <v>1.1000000000000001</v>
      </c>
      <c r="W590" s="8">
        <v>0.9</v>
      </c>
      <c r="X590" s="8">
        <v>90</v>
      </c>
      <c r="Y590" s="8" t="s">
        <v>2854</v>
      </c>
      <c r="Z590" s="8" t="s">
        <v>2855</v>
      </c>
    </row>
    <row r="591" spans="1:26" x14ac:dyDescent="0.2">
      <c r="A591" s="8">
        <v>590</v>
      </c>
      <c r="B591" s="8" t="s">
        <v>2856</v>
      </c>
      <c r="C591" s="8" t="s">
        <v>2856</v>
      </c>
      <c r="F591" s="47"/>
      <c r="G591" s="8">
        <v>18</v>
      </c>
      <c r="H591" s="8" t="s">
        <v>21</v>
      </c>
      <c r="I591" s="8" t="s">
        <v>22</v>
      </c>
      <c r="J591" s="8" t="s">
        <v>22</v>
      </c>
      <c r="K591" s="8" t="s">
        <v>435</v>
      </c>
      <c r="L591" s="8" t="s">
        <v>51</v>
      </c>
      <c r="M591" s="8" t="s">
        <v>52</v>
      </c>
      <c r="N591" s="8" t="s">
        <v>2857</v>
      </c>
      <c r="O591" s="8">
        <f>1+33/60+40.7/3600</f>
        <v>1.5613055555555555</v>
      </c>
      <c r="P591" s="8" t="s">
        <v>2858</v>
      </c>
      <c r="Q591" s="8">
        <f>+(44+55/60+45/3600)</f>
        <v>44.929166666666667</v>
      </c>
      <c r="R591" s="8">
        <v>13</v>
      </c>
      <c r="S591" s="8">
        <v>13.9</v>
      </c>
      <c r="T591" s="8">
        <v>0.9</v>
      </c>
      <c r="U591" s="8">
        <v>14.2</v>
      </c>
      <c r="V591" s="8">
        <v>2.6</v>
      </c>
      <c r="W591" s="8">
        <v>1.3</v>
      </c>
      <c r="X591" s="8">
        <v>150</v>
      </c>
      <c r="Y591" s="8" t="s">
        <v>2859</v>
      </c>
      <c r="Z591" s="8" t="s">
        <v>2860</v>
      </c>
    </row>
    <row r="592" spans="1:26" x14ac:dyDescent="0.2">
      <c r="A592" s="8">
        <v>591</v>
      </c>
      <c r="B592" s="8" t="s">
        <v>2861</v>
      </c>
      <c r="C592" s="8" t="s">
        <v>2861</v>
      </c>
      <c r="F592" s="47"/>
      <c r="G592" s="8">
        <v>19</v>
      </c>
      <c r="H592" s="8" t="s">
        <v>21</v>
      </c>
      <c r="I592" s="8" t="s">
        <v>22</v>
      </c>
      <c r="J592" s="8" t="s">
        <v>22</v>
      </c>
      <c r="K592" s="8" t="s">
        <v>435</v>
      </c>
      <c r="L592" s="8" t="s">
        <v>51</v>
      </c>
      <c r="M592" s="8" t="s">
        <v>52</v>
      </c>
      <c r="N592" s="8" t="s">
        <v>2862</v>
      </c>
      <c r="O592" s="8">
        <f>1+33/60+31.1/3600</f>
        <v>1.5586388888888889</v>
      </c>
      <c r="P592" s="8" t="s">
        <v>2863</v>
      </c>
      <c r="Q592" s="8">
        <f>+(35+40/60+6/3600)</f>
        <v>35.668333333333329</v>
      </c>
      <c r="R592" s="8">
        <v>12.9</v>
      </c>
      <c r="S592" s="8">
        <v>13.8</v>
      </c>
      <c r="T592" s="8">
        <v>0.9</v>
      </c>
      <c r="U592" s="8">
        <v>13</v>
      </c>
      <c r="V592" s="8">
        <v>1.3</v>
      </c>
      <c r="W592" s="8">
        <v>1</v>
      </c>
      <c r="X592" s="8">
        <v>5</v>
      </c>
      <c r="Y592" s="8" t="s">
        <v>2864</v>
      </c>
      <c r="Z592" s="8" t="s">
        <v>2865</v>
      </c>
    </row>
    <row r="593" spans="1:26" x14ac:dyDescent="0.2">
      <c r="A593" s="8">
        <v>592</v>
      </c>
      <c r="B593" s="8" t="s">
        <v>2866</v>
      </c>
      <c r="C593" s="8" t="s">
        <v>2866</v>
      </c>
      <c r="F593" s="47"/>
      <c r="G593" s="8">
        <v>17</v>
      </c>
      <c r="H593" s="8" t="s">
        <v>21</v>
      </c>
      <c r="I593" s="8" t="s">
        <v>1075</v>
      </c>
      <c r="J593" s="8" t="s">
        <v>1075</v>
      </c>
      <c r="K593" s="8" t="s">
        <v>1075</v>
      </c>
      <c r="L593" s="8" t="s">
        <v>2809</v>
      </c>
      <c r="M593" s="8" t="s">
        <v>2810</v>
      </c>
      <c r="N593" s="8" t="s">
        <v>2867</v>
      </c>
      <c r="O593" s="8">
        <f>1+33/60+12/3600</f>
        <v>1.5533333333333335</v>
      </c>
      <c r="P593" s="8" t="s">
        <v>2868</v>
      </c>
      <c r="Q593" s="8">
        <f>+(30+38/60+47/3600)</f>
        <v>30.64638888888889</v>
      </c>
      <c r="R593" s="8">
        <v>13</v>
      </c>
      <c r="S593" s="8">
        <v>99</v>
      </c>
      <c r="T593" s="8">
        <v>99</v>
      </c>
      <c r="U593" s="8">
        <v>99</v>
      </c>
      <c r="V593" s="8">
        <v>0.7</v>
      </c>
      <c r="Y593" s="8" t="s">
        <v>2869</v>
      </c>
      <c r="Z593" s="8" t="s">
        <v>2870</v>
      </c>
    </row>
    <row r="594" spans="1:26" x14ac:dyDescent="0.2">
      <c r="A594" s="8">
        <v>593</v>
      </c>
      <c r="B594" s="8" t="s">
        <v>2871</v>
      </c>
      <c r="C594" s="8" t="s">
        <v>2871</v>
      </c>
      <c r="F594" s="47"/>
      <c r="G594" s="8">
        <v>19</v>
      </c>
      <c r="H594" s="8" t="s">
        <v>21</v>
      </c>
      <c r="I594" s="8" t="s">
        <v>22</v>
      </c>
      <c r="J594" s="8" t="s">
        <v>22</v>
      </c>
      <c r="K594" s="8" t="s">
        <v>37</v>
      </c>
      <c r="L594" s="8" t="s">
        <v>125</v>
      </c>
      <c r="M594" s="8" t="s">
        <v>126</v>
      </c>
      <c r="N594" s="8" t="s">
        <v>2872</v>
      </c>
      <c r="O594" s="8">
        <f>1+32/60+20.6/3600</f>
        <v>1.5390555555555554</v>
      </c>
      <c r="P594" s="8" t="s">
        <v>2873</v>
      </c>
      <c r="Q594" s="8">
        <f>-(12+21/60+16/3600)</f>
        <v>-12.354444444444445</v>
      </c>
      <c r="R594" s="8">
        <v>14.6</v>
      </c>
      <c r="S594" s="8">
        <v>15.6</v>
      </c>
      <c r="T594" s="8">
        <v>1</v>
      </c>
      <c r="U594" s="8">
        <v>12.9</v>
      </c>
      <c r="V594" s="8">
        <v>1.2</v>
      </c>
      <c r="W594" s="8">
        <v>0.2</v>
      </c>
      <c r="X594" s="8">
        <v>12</v>
      </c>
      <c r="Y594" s="8" t="s">
        <v>2874</v>
      </c>
      <c r="Z594" s="8" t="s">
        <v>2875</v>
      </c>
    </row>
    <row r="595" spans="1:26" x14ac:dyDescent="0.2">
      <c r="A595" s="8">
        <v>594</v>
      </c>
      <c r="B595" s="8" t="s">
        <v>2876</v>
      </c>
      <c r="C595" s="8" t="s">
        <v>2876</v>
      </c>
      <c r="F595" s="47"/>
      <c r="G595" s="8">
        <v>19</v>
      </c>
      <c r="H595" s="8" t="s">
        <v>21</v>
      </c>
      <c r="I595" s="8" t="s">
        <v>22</v>
      </c>
      <c r="J595" s="8" t="s">
        <v>22</v>
      </c>
      <c r="K595" s="8" t="s">
        <v>396</v>
      </c>
      <c r="L595" s="8" t="s">
        <v>125</v>
      </c>
      <c r="M595" s="8" t="s">
        <v>126</v>
      </c>
      <c r="N595" s="8" t="s">
        <v>2877</v>
      </c>
      <c r="O595" s="8">
        <f>1+32/60+57/3600</f>
        <v>1.5491666666666666</v>
      </c>
      <c r="P595" s="8" t="s">
        <v>2878</v>
      </c>
      <c r="Q595" s="8">
        <f>-(16+32/60+7/3600)</f>
        <v>-16.535277777777779</v>
      </c>
      <c r="R595" s="8">
        <v>13.5</v>
      </c>
      <c r="S595" s="8">
        <v>14.3</v>
      </c>
      <c r="T595" s="8">
        <v>0.8</v>
      </c>
      <c r="U595" s="8">
        <v>13.2</v>
      </c>
      <c r="V595" s="8">
        <v>1.4</v>
      </c>
      <c r="W595" s="8">
        <v>0.6</v>
      </c>
      <c r="X595" s="8">
        <v>32</v>
      </c>
      <c r="Y595" s="8" t="s">
        <v>2879</v>
      </c>
      <c r="Z595" s="8" t="s">
        <v>2880</v>
      </c>
    </row>
    <row r="596" spans="1:26" x14ac:dyDescent="0.2">
      <c r="A596" s="8">
        <v>595</v>
      </c>
      <c r="B596" s="8" t="s">
        <v>2881</v>
      </c>
      <c r="C596" s="8" t="s">
        <v>2881</v>
      </c>
      <c r="F596" s="47"/>
      <c r="G596" s="8">
        <v>18</v>
      </c>
      <c r="H596" s="8" t="s">
        <v>21</v>
      </c>
      <c r="I596" s="8" t="s">
        <v>1075</v>
      </c>
      <c r="J596" s="8" t="s">
        <v>1075</v>
      </c>
      <c r="K596" s="8" t="s">
        <v>1075</v>
      </c>
      <c r="L596" s="8" t="s">
        <v>2809</v>
      </c>
      <c r="M596" s="8" t="s">
        <v>2810</v>
      </c>
      <c r="N596" s="8" t="s">
        <v>2882</v>
      </c>
      <c r="O596" s="8">
        <f>1+33/60+34/3600</f>
        <v>1.5594444444444444</v>
      </c>
      <c r="P596" s="8" t="s">
        <v>2883</v>
      </c>
      <c r="Q596" s="8">
        <f>+(30+41/60+32/3600)</f>
        <v>30.692222222222224</v>
      </c>
      <c r="R596" s="8">
        <v>13.5</v>
      </c>
      <c r="S596" s="8">
        <v>99</v>
      </c>
      <c r="T596" s="8">
        <v>99</v>
      </c>
      <c r="U596" s="8">
        <v>99</v>
      </c>
      <c r="V596" s="8">
        <v>0.5</v>
      </c>
      <c r="Y596" s="8" t="s">
        <v>2884</v>
      </c>
      <c r="Z596" s="8" t="s">
        <v>2885</v>
      </c>
    </row>
    <row r="597" spans="1:26" x14ac:dyDescent="0.2">
      <c r="A597" s="8">
        <v>596</v>
      </c>
      <c r="B597" s="8" t="s">
        <v>2886</v>
      </c>
      <c r="C597" s="8" t="s">
        <v>2886</v>
      </c>
      <c r="F597" s="47" t="s">
        <v>56104</v>
      </c>
      <c r="G597" s="8">
        <v>6</v>
      </c>
      <c r="H597" s="8" t="s">
        <v>21</v>
      </c>
      <c r="I597" s="8" t="s">
        <v>22</v>
      </c>
      <c r="J597" s="8" t="s">
        <v>22</v>
      </c>
      <c r="K597" s="8" t="s">
        <v>50</v>
      </c>
      <c r="L597" s="8" t="s">
        <v>125</v>
      </c>
      <c r="M597" s="8" t="s">
        <v>126</v>
      </c>
      <c r="N597" s="8" t="s">
        <v>2887</v>
      </c>
      <c r="O597" s="8">
        <f>1+32/60+52/3600</f>
        <v>1.5477777777777777</v>
      </c>
      <c r="P597" s="8" t="s">
        <v>2888</v>
      </c>
      <c r="Q597" s="8">
        <f>-(7+1/60+55/3600)</f>
        <v>-7.0319444444444441</v>
      </c>
      <c r="R597" s="8">
        <v>10.9</v>
      </c>
      <c r="S597" s="8">
        <v>11.8</v>
      </c>
      <c r="T597" s="8">
        <v>0.9</v>
      </c>
      <c r="U597" s="8">
        <v>13</v>
      </c>
      <c r="V597" s="8">
        <v>3.2</v>
      </c>
      <c r="W597" s="8">
        <v>2</v>
      </c>
      <c r="X597" s="8">
        <v>40</v>
      </c>
      <c r="Y597" s="8" t="s">
        <v>2889</v>
      </c>
      <c r="Z597" s="8" t="s">
        <v>2890</v>
      </c>
    </row>
    <row r="598" spans="1:26" x14ac:dyDescent="0.2">
      <c r="A598" s="8">
        <v>597</v>
      </c>
      <c r="B598" s="8" t="s">
        <v>2891</v>
      </c>
      <c r="C598" s="8" t="s">
        <v>2891</v>
      </c>
      <c r="F598" s="47"/>
      <c r="G598" s="8">
        <v>16</v>
      </c>
      <c r="H598" s="8" t="s">
        <v>21</v>
      </c>
      <c r="I598" s="8" t="s">
        <v>22</v>
      </c>
      <c r="J598" s="8" t="s">
        <v>22</v>
      </c>
      <c r="K598" s="8" t="s">
        <v>85</v>
      </c>
      <c r="L598" s="8" t="s">
        <v>65</v>
      </c>
      <c r="M598" s="8" t="s">
        <v>66</v>
      </c>
      <c r="N598" s="8" t="s">
        <v>2892</v>
      </c>
      <c r="O598" s="8">
        <f>1+32/60+14.9/3600</f>
        <v>1.5374722222222221</v>
      </c>
      <c r="P598" s="8" t="s">
        <v>2893</v>
      </c>
      <c r="Q598" s="8">
        <f>-(33+29/60+49/3600)</f>
        <v>-33.496944444444445</v>
      </c>
      <c r="R598" s="8">
        <v>13.2</v>
      </c>
      <c r="S598" s="8">
        <v>14</v>
      </c>
      <c r="T598" s="8">
        <v>0.8</v>
      </c>
      <c r="U598" s="8">
        <v>13.7</v>
      </c>
      <c r="V598" s="8">
        <v>1.4</v>
      </c>
      <c r="W598" s="8">
        <v>1.3</v>
      </c>
      <c r="X598" s="8">
        <v>23</v>
      </c>
      <c r="Y598" s="8" t="s">
        <v>2641</v>
      </c>
      <c r="Z598" s="8" t="s">
        <v>2642</v>
      </c>
    </row>
    <row r="599" spans="1:26" x14ac:dyDescent="0.2">
      <c r="A599" s="8">
        <v>598</v>
      </c>
      <c r="B599" s="8" t="s">
        <v>2894</v>
      </c>
      <c r="C599" s="8" t="s">
        <v>55865</v>
      </c>
      <c r="F599" s="47" t="s">
        <v>56105</v>
      </c>
      <c r="G599" s="8">
        <v>1</v>
      </c>
      <c r="H599" s="8" t="s">
        <v>2895</v>
      </c>
      <c r="I599" s="8" t="s">
        <v>22</v>
      </c>
      <c r="J599" s="8" t="s">
        <v>22</v>
      </c>
      <c r="K599" s="8" t="s">
        <v>160</v>
      </c>
      <c r="L599" s="8" t="s">
        <v>2809</v>
      </c>
      <c r="M599" s="8" t="s">
        <v>2810</v>
      </c>
      <c r="N599" s="8" t="s">
        <v>2896</v>
      </c>
      <c r="O599" s="8">
        <f>1+33/60+51.9/3600</f>
        <v>1.5644166666666668</v>
      </c>
      <c r="P599" s="8" t="s">
        <v>2897</v>
      </c>
      <c r="Q599" s="8">
        <f>+(30+39/60+29/3600)</f>
        <v>30.658055555555553</v>
      </c>
      <c r="R599" s="8">
        <v>5.7</v>
      </c>
      <c r="S599" s="8">
        <v>6.3</v>
      </c>
      <c r="T599" s="8">
        <v>0.6</v>
      </c>
      <c r="U599" s="8">
        <v>14.2</v>
      </c>
      <c r="V599" s="8">
        <v>68.7</v>
      </c>
      <c r="W599" s="8">
        <v>41.6</v>
      </c>
      <c r="X599" s="8">
        <v>23</v>
      </c>
      <c r="Y599" s="8" t="s">
        <v>2898</v>
      </c>
      <c r="Z599" s="8" t="s">
        <v>2899</v>
      </c>
    </row>
    <row r="600" spans="1:26" x14ac:dyDescent="0.2">
      <c r="A600" s="8">
        <v>599</v>
      </c>
      <c r="B600" s="8" t="s">
        <v>2900</v>
      </c>
      <c r="C600" s="8" t="s">
        <v>2900</v>
      </c>
      <c r="F600" s="47" t="s">
        <v>56106</v>
      </c>
      <c r="G600" s="8">
        <v>15</v>
      </c>
      <c r="H600" s="8" t="s">
        <v>21</v>
      </c>
      <c r="I600" s="8" t="s">
        <v>22</v>
      </c>
      <c r="J600" s="8" t="s">
        <v>22</v>
      </c>
      <c r="K600" s="8" t="s">
        <v>58</v>
      </c>
      <c r="L600" s="8" t="s">
        <v>125</v>
      </c>
      <c r="M600" s="8" t="s">
        <v>126</v>
      </c>
      <c r="N600" s="8" t="s">
        <v>2901</v>
      </c>
      <c r="O600" s="8">
        <f>1+32/60+53.7/3600</f>
        <v>1.5482499999999999</v>
      </c>
      <c r="P600" s="8" t="s">
        <v>2902</v>
      </c>
      <c r="Q600" s="8">
        <f>-(12+11/60+27/3600)</f>
        <v>-12.190833333333334</v>
      </c>
      <c r="R600" s="8">
        <v>13.4</v>
      </c>
      <c r="S600" s="8">
        <v>14.4</v>
      </c>
      <c r="T600" s="8">
        <v>1</v>
      </c>
      <c r="U600" s="8">
        <v>13.9</v>
      </c>
      <c r="V600" s="8">
        <v>1.4</v>
      </c>
      <c r="W600" s="8">
        <v>1.3</v>
      </c>
      <c r="X600" s="8">
        <v>135</v>
      </c>
      <c r="Y600" s="8" t="s">
        <v>2903</v>
      </c>
      <c r="Z600" s="8" t="s">
        <v>2904</v>
      </c>
    </row>
    <row r="601" spans="1:26" x14ac:dyDescent="0.2">
      <c r="A601" s="8">
        <v>600</v>
      </c>
      <c r="B601" s="8" t="s">
        <v>2905</v>
      </c>
      <c r="C601" s="8" t="s">
        <v>2905</v>
      </c>
      <c r="F601" s="47" t="s">
        <v>56107</v>
      </c>
      <c r="G601" s="8">
        <v>15</v>
      </c>
      <c r="H601" s="8" t="s">
        <v>21</v>
      </c>
      <c r="I601" s="8" t="s">
        <v>22</v>
      </c>
      <c r="J601" s="8" t="s">
        <v>22</v>
      </c>
      <c r="K601" s="8" t="s">
        <v>269</v>
      </c>
      <c r="L601" s="8" t="s">
        <v>125</v>
      </c>
      <c r="M601" s="8" t="s">
        <v>126</v>
      </c>
      <c r="N601" s="8" t="s">
        <v>2906</v>
      </c>
      <c r="O601" s="8">
        <f>1+33/60+5.4/3600</f>
        <v>1.5515000000000001</v>
      </c>
      <c r="P601" s="8" t="s">
        <v>2907</v>
      </c>
      <c r="Q601" s="8">
        <f>-(7+18/60+44/3600)</f>
        <v>-7.3122222222222222</v>
      </c>
      <c r="R601" s="8">
        <v>12.4</v>
      </c>
      <c r="S601" s="8">
        <v>12.9</v>
      </c>
      <c r="T601" s="8">
        <v>0.5</v>
      </c>
      <c r="U601" s="8">
        <v>14.7</v>
      </c>
      <c r="V601" s="8">
        <v>2.8</v>
      </c>
      <c r="W601" s="8">
        <v>2.1</v>
      </c>
      <c r="X601" s="8">
        <v>18</v>
      </c>
      <c r="Y601" s="8" t="s">
        <v>2908</v>
      </c>
      <c r="Z601" s="8" t="s">
        <v>2909</v>
      </c>
    </row>
    <row r="602" spans="1:26" x14ac:dyDescent="0.2">
      <c r="A602" s="8">
        <v>601</v>
      </c>
      <c r="B602" s="8" t="s">
        <v>2910</v>
      </c>
      <c r="C602" s="8" t="s">
        <v>2910</v>
      </c>
      <c r="F602" s="47"/>
      <c r="G602" s="8">
        <v>19</v>
      </c>
      <c r="H602" s="8" t="s">
        <v>21</v>
      </c>
      <c r="I602" s="8" t="s">
        <v>22</v>
      </c>
      <c r="J602" s="8" t="s">
        <v>22</v>
      </c>
      <c r="K602" s="8" t="s">
        <v>424</v>
      </c>
      <c r="L602" s="8" t="s">
        <v>125</v>
      </c>
      <c r="M602" s="8" t="s">
        <v>126</v>
      </c>
      <c r="N602" s="8" t="s">
        <v>2911</v>
      </c>
      <c r="O602" s="8">
        <f>1+33/60+6.5/3600</f>
        <v>1.5518055555555557</v>
      </c>
      <c r="P602" s="8" t="s">
        <v>2912</v>
      </c>
      <c r="Q602" s="8">
        <f>-(12+12/60+30/3600)</f>
        <v>-12.208333333333332</v>
      </c>
      <c r="R602" s="8">
        <v>15.1</v>
      </c>
      <c r="S602" s="8">
        <v>16.100000000000001</v>
      </c>
      <c r="T602" s="8">
        <v>1</v>
      </c>
      <c r="U602" s="8">
        <v>13</v>
      </c>
      <c r="V602" s="8">
        <v>0.4</v>
      </c>
      <c r="W602" s="8">
        <v>0.4</v>
      </c>
      <c r="Y602" s="8" t="s">
        <v>2913</v>
      </c>
      <c r="Z602" s="8" t="s">
        <v>2914</v>
      </c>
    </row>
    <row r="603" spans="1:26" x14ac:dyDescent="0.2">
      <c r="A603" s="8">
        <v>602</v>
      </c>
      <c r="B603" s="8" t="s">
        <v>2915</v>
      </c>
      <c r="C603" s="8" t="s">
        <v>2915</v>
      </c>
      <c r="F603" s="47"/>
      <c r="G603" s="8">
        <v>13</v>
      </c>
      <c r="H603" s="8" t="s">
        <v>21</v>
      </c>
      <c r="I603" s="8" t="s">
        <v>1283</v>
      </c>
      <c r="J603" s="8" t="s">
        <v>1283</v>
      </c>
      <c r="K603" s="8" t="s">
        <v>1751</v>
      </c>
      <c r="L603" s="8" t="s">
        <v>2916</v>
      </c>
      <c r="M603" s="8" t="s">
        <v>2917</v>
      </c>
      <c r="N603" s="8" t="s">
        <v>2918</v>
      </c>
      <c r="O603" s="8">
        <f>1+29/60+26.4/3600</f>
        <v>1.4906666666666668</v>
      </c>
      <c r="P603" s="8" t="s">
        <v>2919</v>
      </c>
      <c r="Q603" s="8">
        <f>-(73+33/60+26/3600)</f>
        <v>-73.557222222222222</v>
      </c>
      <c r="R603" s="8">
        <v>99</v>
      </c>
      <c r="S603" s="8">
        <v>99</v>
      </c>
      <c r="T603" s="8">
        <v>99</v>
      </c>
      <c r="U603" s="8">
        <v>99</v>
      </c>
      <c r="V603" s="8">
        <v>34</v>
      </c>
      <c r="Y603" s="8" t="s">
        <v>2920</v>
      </c>
      <c r="Z603" s="8" t="s">
        <v>2921</v>
      </c>
    </row>
    <row r="604" spans="1:26" x14ac:dyDescent="0.2">
      <c r="A604" s="8">
        <v>603</v>
      </c>
      <c r="B604" s="8" t="s">
        <v>2922</v>
      </c>
      <c r="C604" s="8" t="s">
        <v>2922</v>
      </c>
      <c r="F604" s="47"/>
      <c r="G604" s="8">
        <v>18</v>
      </c>
      <c r="H604" s="8" t="s">
        <v>21</v>
      </c>
      <c r="I604" s="8" t="s">
        <v>72</v>
      </c>
      <c r="J604" s="8" t="s">
        <v>72</v>
      </c>
      <c r="K604" s="8" t="s">
        <v>1802</v>
      </c>
      <c r="L604" s="8" t="s">
        <v>2809</v>
      </c>
      <c r="M604" s="8" t="s">
        <v>2810</v>
      </c>
      <c r="N604" s="8" t="s">
        <v>2923</v>
      </c>
      <c r="O604" s="8">
        <f>1+34/60+44.2/3600</f>
        <v>1.5789444444444445</v>
      </c>
      <c r="P604" s="8" t="s">
        <v>2924</v>
      </c>
      <c r="Q604" s="8">
        <f>+(30+13/60+57/3600)</f>
        <v>30.232499999999998</v>
      </c>
      <c r="R604" s="8">
        <v>99</v>
      </c>
      <c r="S604" s="8">
        <v>99</v>
      </c>
      <c r="T604" s="8">
        <v>99</v>
      </c>
      <c r="U604" s="8">
        <v>99</v>
      </c>
      <c r="Y604" s="8" t="s">
        <v>2925</v>
      </c>
      <c r="Z604" s="8" t="s">
        <v>2926</v>
      </c>
    </row>
    <row r="605" spans="1:26" x14ac:dyDescent="0.2">
      <c r="A605" s="8">
        <v>604</v>
      </c>
      <c r="B605" s="8" t="s">
        <v>2927</v>
      </c>
      <c r="C605" s="8" t="s">
        <v>2927</v>
      </c>
      <c r="F605" s="47" t="s">
        <v>56108</v>
      </c>
      <c r="G605" s="8">
        <v>6.5</v>
      </c>
      <c r="H605" s="8" t="s">
        <v>21</v>
      </c>
      <c r="I605" s="8" t="s">
        <v>1075</v>
      </c>
      <c r="J605" s="8" t="s">
        <v>1075</v>
      </c>
      <c r="K605" s="8" t="s">
        <v>1075</v>
      </c>
      <c r="L605" s="8" t="s">
        <v>2809</v>
      </c>
      <c r="M605" s="8" t="s">
        <v>2810</v>
      </c>
      <c r="N605" s="8" t="s">
        <v>2928</v>
      </c>
      <c r="O605" s="8">
        <f>1+34/60+32.6/3600</f>
        <v>1.5757222222222222</v>
      </c>
      <c r="P605" s="8" t="s">
        <v>2929</v>
      </c>
      <c r="Q605" s="8">
        <f>+(30+47/60+4/3600)</f>
        <v>30.784444444444446</v>
      </c>
      <c r="R605" s="8">
        <v>12</v>
      </c>
      <c r="S605" s="8">
        <v>99</v>
      </c>
      <c r="T605" s="8">
        <v>99</v>
      </c>
      <c r="U605" s="8">
        <v>99</v>
      </c>
      <c r="V605" s="8">
        <v>1.95</v>
      </c>
      <c r="Y605" s="8" t="s">
        <v>2930</v>
      </c>
      <c r="Z605" s="8" t="s">
        <v>2931</v>
      </c>
    </row>
    <row r="606" spans="1:26" x14ac:dyDescent="0.2">
      <c r="A606" s="8">
        <v>605</v>
      </c>
      <c r="B606" s="8" t="s">
        <v>2932</v>
      </c>
      <c r="C606" s="8" t="s">
        <v>2932</v>
      </c>
      <c r="F606" s="47"/>
      <c r="G606" s="8">
        <v>19</v>
      </c>
      <c r="H606" s="8" t="s">
        <v>21</v>
      </c>
      <c r="I606" s="8" t="s">
        <v>22</v>
      </c>
      <c r="J606" s="8" t="s">
        <v>22</v>
      </c>
      <c r="K606" s="8" t="s">
        <v>37</v>
      </c>
      <c r="L606" s="8" t="s">
        <v>51</v>
      </c>
      <c r="M606" s="8" t="s">
        <v>52</v>
      </c>
      <c r="N606" s="8" t="s">
        <v>2933</v>
      </c>
      <c r="O606" s="8">
        <f>1+35/60+2.3/3600</f>
        <v>1.5839722222222223</v>
      </c>
      <c r="P606" s="8" t="s">
        <v>2934</v>
      </c>
      <c r="Q606" s="8">
        <f>+(41+14/60+52/3600)</f>
        <v>41.247777777777777</v>
      </c>
      <c r="R606" s="8">
        <v>12.9</v>
      </c>
      <c r="S606" s="8">
        <v>13.9</v>
      </c>
      <c r="T606" s="8">
        <v>1</v>
      </c>
      <c r="U606" s="8">
        <v>13.7</v>
      </c>
      <c r="V606" s="8">
        <v>2.2000000000000002</v>
      </c>
      <c r="W606" s="8">
        <v>1.1000000000000001</v>
      </c>
      <c r="X606" s="8">
        <v>145</v>
      </c>
      <c r="Y606" s="8" t="s">
        <v>115</v>
      </c>
      <c r="Z606" s="8" t="s">
        <v>116</v>
      </c>
    </row>
    <row r="607" spans="1:26" x14ac:dyDescent="0.2">
      <c r="A607" s="8">
        <v>606</v>
      </c>
      <c r="B607" s="8" t="s">
        <v>2935</v>
      </c>
      <c r="C607" s="8" t="s">
        <v>2935</v>
      </c>
      <c r="F607" s="47"/>
      <c r="G607" s="8">
        <v>19</v>
      </c>
      <c r="H607" s="8" t="s">
        <v>21</v>
      </c>
      <c r="I607" s="8" t="s">
        <v>22</v>
      </c>
      <c r="J607" s="8" t="s">
        <v>22</v>
      </c>
      <c r="K607" s="8" t="s">
        <v>64</v>
      </c>
      <c r="L607" s="8" t="s">
        <v>38</v>
      </c>
      <c r="M607" s="8" t="s">
        <v>39</v>
      </c>
      <c r="N607" s="8" t="s">
        <v>2936</v>
      </c>
      <c r="O607" s="8">
        <f>1+34/60+50.3/3600</f>
        <v>1.5806388888888889</v>
      </c>
      <c r="P607" s="8" t="s">
        <v>2937</v>
      </c>
      <c r="Q607" s="8">
        <f>+(21+25/60+5/3600)</f>
        <v>21.418055555555558</v>
      </c>
      <c r="R607" s="8">
        <v>13.4</v>
      </c>
      <c r="S607" s="8">
        <v>14.1</v>
      </c>
      <c r="T607" s="8">
        <v>0.7</v>
      </c>
      <c r="U607" s="8">
        <v>13.8</v>
      </c>
      <c r="V607" s="8">
        <v>1.4</v>
      </c>
      <c r="W607" s="8">
        <v>1.2</v>
      </c>
      <c r="X607" s="8">
        <v>114</v>
      </c>
      <c r="Y607" s="8" t="s">
        <v>2938</v>
      </c>
      <c r="Z607" s="8" t="s">
        <v>2939</v>
      </c>
    </row>
    <row r="608" spans="1:26" x14ac:dyDescent="0.2">
      <c r="A608" s="8">
        <v>607</v>
      </c>
      <c r="B608" s="8" t="s">
        <v>2940</v>
      </c>
      <c r="C608" s="8" t="s">
        <v>2940</v>
      </c>
      <c r="F608" s="47"/>
      <c r="G608" s="8">
        <v>17</v>
      </c>
      <c r="H608" s="8" t="s">
        <v>21</v>
      </c>
      <c r="I608" s="8" t="s">
        <v>72</v>
      </c>
      <c r="J608" s="8" t="s">
        <v>72</v>
      </c>
      <c r="K608" s="8" t="s">
        <v>73</v>
      </c>
      <c r="L608" s="8" t="s">
        <v>125</v>
      </c>
      <c r="M608" s="8" t="s">
        <v>126</v>
      </c>
      <c r="N608" s="8" t="s">
        <v>2941</v>
      </c>
      <c r="O608" s="8">
        <f>1+34/60+16.4/3600</f>
        <v>1.5712222222222223</v>
      </c>
      <c r="P608" s="8" t="s">
        <v>2942</v>
      </c>
      <c r="Q608" s="8">
        <f>-(7+24/60+41/3600)</f>
        <v>-7.4113888888888892</v>
      </c>
      <c r="R608" s="8">
        <v>99</v>
      </c>
      <c r="S608" s="8">
        <v>99</v>
      </c>
      <c r="T608" s="8">
        <v>99</v>
      </c>
      <c r="U608" s="8">
        <v>99</v>
      </c>
      <c r="Y608" s="8" t="s">
        <v>2943</v>
      </c>
      <c r="Z608" s="8" t="s">
        <v>2944</v>
      </c>
    </row>
    <row r="609" spans="1:26" x14ac:dyDescent="0.2">
      <c r="A609" s="8">
        <v>608</v>
      </c>
      <c r="B609" s="8" t="s">
        <v>2945</v>
      </c>
      <c r="C609" s="8" t="s">
        <v>2945</v>
      </c>
      <c r="F609" s="47"/>
      <c r="G609" s="8">
        <v>16</v>
      </c>
      <c r="H609" s="8" t="s">
        <v>21</v>
      </c>
      <c r="I609" s="8" t="s">
        <v>22</v>
      </c>
      <c r="J609" s="8" t="s">
        <v>22</v>
      </c>
      <c r="K609" s="8" t="s">
        <v>31</v>
      </c>
      <c r="L609" s="8" t="s">
        <v>2809</v>
      </c>
      <c r="M609" s="8" t="s">
        <v>2810</v>
      </c>
      <c r="N609" s="8" t="s">
        <v>2946</v>
      </c>
      <c r="O609" s="8">
        <f>1+35/60+28.1/3600</f>
        <v>1.5911388888888891</v>
      </c>
      <c r="P609" s="8" t="s">
        <v>2947</v>
      </c>
      <c r="Q609" s="8">
        <f>+(33+39/60+23/3600)</f>
        <v>33.656388888888884</v>
      </c>
      <c r="R609" s="8">
        <v>13.3</v>
      </c>
      <c r="S609" s="8">
        <v>14.1</v>
      </c>
      <c r="T609" s="8">
        <v>0.8</v>
      </c>
      <c r="U609" s="8">
        <v>14.3</v>
      </c>
      <c r="V609" s="8">
        <v>1.9</v>
      </c>
      <c r="W609" s="8">
        <v>1.5</v>
      </c>
      <c r="X609" s="8">
        <v>32</v>
      </c>
      <c r="Y609" s="8" t="s">
        <v>2948</v>
      </c>
      <c r="Z609" s="8" t="s">
        <v>2949</v>
      </c>
    </row>
    <row r="610" spans="1:26" x14ac:dyDescent="0.2">
      <c r="A610" s="8">
        <v>609</v>
      </c>
      <c r="B610" s="8" t="s">
        <v>2950</v>
      </c>
      <c r="C610" s="8" t="s">
        <v>2950</v>
      </c>
      <c r="F610" s="47"/>
      <c r="G610" s="8">
        <v>13</v>
      </c>
      <c r="H610" s="8" t="s">
        <v>21</v>
      </c>
      <c r="I610" s="8" t="s">
        <v>557</v>
      </c>
      <c r="J610" s="8" t="s">
        <v>557</v>
      </c>
      <c r="K610" s="8" t="s">
        <v>2951</v>
      </c>
      <c r="L610" s="8" t="s">
        <v>559</v>
      </c>
      <c r="M610" s="8" t="s">
        <v>560</v>
      </c>
      <c r="N610" s="8" t="s">
        <v>2952</v>
      </c>
      <c r="O610" s="8">
        <f>1+36/60+23.7/3600</f>
        <v>1.6065833333333335</v>
      </c>
      <c r="P610" s="8" t="s">
        <v>2953</v>
      </c>
      <c r="Q610" s="8">
        <f>+(64+32/60+12/3600)</f>
        <v>64.536666666666662</v>
      </c>
      <c r="R610" s="8">
        <v>11</v>
      </c>
      <c r="S610" s="8">
        <v>99</v>
      </c>
      <c r="T610" s="8">
        <v>99</v>
      </c>
      <c r="U610" s="8">
        <v>99</v>
      </c>
      <c r="V610" s="8">
        <v>3</v>
      </c>
      <c r="Y610" s="8" t="s">
        <v>2954</v>
      </c>
      <c r="Z610" s="8" t="s">
        <v>2955</v>
      </c>
    </row>
    <row r="611" spans="1:26" x14ac:dyDescent="0.2">
      <c r="A611" s="8">
        <v>610</v>
      </c>
      <c r="B611" s="8" t="s">
        <v>2956</v>
      </c>
      <c r="C611" s="8" t="s">
        <v>2956</v>
      </c>
      <c r="F611" s="47"/>
      <c r="G611" s="8">
        <v>19</v>
      </c>
      <c r="H611" s="8" t="s">
        <v>21</v>
      </c>
      <c r="I611" s="8" t="s">
        <v>329</v>
      </c>
      <c r="J611" s="8" t="s">
        <v>329</v>
      </c>
      <c r="K611" s="8" t="s">
        <v>329</v>
      </c>
      <c r="L611" s="8" t="s">
        <v>125</v>
      </c>
      <c r="M611" s="8" t="s">
        <v>126</v>
      </c>
      <c r="N611" s="8" t="s">
        <v>2957</v>
      </c>
      <c r="O611" s="8">
        <f>1+33/60+33/3600</f>
        <v>1.5591666666666668</v>
      </c>
      <c r="P611" s="8" t="s">
        <v>2958</v>
      </c>
      <c r="Q611" s="8">
        <f>-(20+8/60+38/3600)</f>
        <v>-20.143888888888888</v>
      </c>
      <c r="R611" s="8">
        <v>99</v>
      </c>
      <c r="S611" s="8">
        <v>99</v>
      </c>
      <c r="T611" s="8">
        <v>99</v>
      </c>
      <c r="U611" s="8">
        <v>99</v>
      </c>
      <c r="Y611" s="8" t="s">
        <v>2959</v>
      </c>
      <c r="Z611" s="8" t="s">
        <v>2960</v>
      </c>
    </row>
    <row r="612" spans="1:26" x14ac:dyDescent="0.2">
      <c r="A612" s="8">
        <v>611</v>
      </c>
      <c r="B612" s="8" t="s">
        <v>2961</v>
      </c>
      <c r="C612" s="8" t="s">
        <v>2961</v>
      </c>
      <c r="F612" s="47"/>
      <c r="G612" s="8">
        <v>19</v>
      </c>
      <c r="H612" s="8" t="s">
        <v>21</v>
      </c>
      <c r="I612" s="8" t="s">
        <v>329</v>
      </c>
      <c r="J612" s="8" t="s">
        <v>329</v>
      </c>
      <c r="K612" s="8" t="s">
        <v>329</v>
      </c>
      <c r="L612" s="8" t="s">
        <v>125</v>
      </c>
      <c r="M612" s="8" t="s">
        <v>126</v>
      </c>
      <c r="N612" s="8" t="s">
        <v>2957</v>
      </c>
      <c r="O612" s="8">
        <f>1+33/60+33/3600</f>
        <v>1.5591666666666668</v>
      </c>
      <c r="P612" s="8" t="s">
        <v>2962</v>
      </c>
      <c r="Q612" s="8">
        <f>-(20+7/60+38/3600)</f>
        <v>-20.127222222222223</v>
      </c>
      <c r="R612" s="8">
        <v>99</v>
      </c>
      <c r="S612" s="8">
        <v>99</v>
      </c>
      <c r="T612" s="8">
        <v>99</v>
      </c>
      <c r="U612" s="8">
        <v>99</v>
      </c>
      <c r="Y612" s="8" t="s">
        <v>2963</v>
      </c>
      <c r="Z612" s="8" t="s">
        <v>2964</v>
      </c>
    </row>
    <row r="613" spans="1:26" x14ac:dyDescent="0.2">
      <c r="A613" s="8">
        <v>612</v>
      </c>
      <c r="B613" s="8" t="s">
        <v>2965</v>
      </c>
      <c r="C613" s="8" t="s">
        <v>2965</v>
      </c>
      <c r="F613" s="47"/>
      <c r="G613" s="8">
        <v>16</v>
      </c>
      <c r="H613" s="8" t="s">
        <v>21</v>
      </c>
      <c r="I613" s="8" t="s">
        <v>22</v>
      </c>
      <c r="J613" s="8" t="s">
        <v>22</v>
      </c>
      <c r="K613" s="8" t="s">
        <v>632</v>
      </c>
      <c r="L613" s="8" t="s">
        <v>65</v>
      </c>
      <c r="M613" s="8" t="s">
        <v>66</v>
      </c>
      <c r="N613" s="8" t="s">
        <v>2966</v>
      </c>
      <c r="O613" s="8">
        <f>1+33/60+57.7/3600</f>
        <v>1.5660277777777778</v>
      </c>
      <c r="P613" s="8" t="s">
        <v>2967</v>
      </c>
      <c r="Q613" s="8">
        <f>-(36+29/60+35/3600)</f>
        <v>-36.493055555555557</v>
      </c>
      <c r="R613" s="8">
        <v>12.9</v>
      </c>
      <c r="S613" s="8">
        <v>13.9</v>
      </c>
      <c r="T613" s="8">
        <v>1</v>
      </c>
      <c r="U613" s="8">
        <v>13.1</v>
      </c>
      <c r="V613" s="8">
        <v>1.5</v>
      </c>
      <c r="W613" s="8">
        <v>0.9</v>
      </c>
      <c r="X613" s="8">
        <v>172</v>
      </c>
      <c r="Y613" s="8" t="s">
        <v>2968</v>
      </c>
      <c r="Z613" s="8" t="s">
        <v>2969</v>
      </c>
    </row>
    <row r="614" spans="1:26" x14ac:dyDescent="0.2">
      <c r="A614" s="8">
        <v>613</v>
      </c>
      <c r="B614" s="8" t="s">
        <v>2970</v>
      </c>
      <c r="C614" s="8" t="s">
        <v>2970</v>
      </c>
      <c r="F614" s="47" t="s">
        <v>56109</v>
      </c>
      <c r="G614" s="8">
        <v>3</v>
      </c>
      <c r="H614" s="8" t="s">
        <v>21</v>
      </c>
      <c r="I614" s="8" t="s">
        <v>22</v>
      </c>
      <c r="J614" s="8" t="s">
        <v>22</v>
      </c>
      <c r="K614" s="8" t="s">
        <v>85</v>
      </c>
      <c r="L614" s="8" t="s">
        <v>65</v>
      </c>
      <c r="M614" s="8" t="s">
        <v>66</v>
      </c>
      <c r="N614" s="8" t="s">
        <v>2971</v>
      </c>
      <c r="O614" s="8">
        <f>1+34/60+18.4/3600</f>
        <v>1.5717777777777777</v>
      </c>
      <c r="P614" s="8" t="s">
        <v>2972</v>
      </c>
      <c r="Q614" s="8">
        <f>-(29+25/60+7/3600)</f>
        <v>-29.418611111111112</v>
      </c>
      <c r="R614" s="8">
        <v>10.1</v>
      </c>
      <c r="S614" s="8">
        <v>10.7</v>
      </c>
      <c r="T614" s="8">
        <v>0.6</v>
      </c>
      <c r="U614" s="8">
        <v>13.3</v>
      </c>
      <c r="V614" s="8">
        <v>5.5</v>
      </c>
      <c r="W614" s="8">
        <v>4.2</v>
      </c>
      <c r="X614" s="8">
        <v>120</v>
      </c>
      <c r="Y614" s="8" t="s">
        <v>2973</v>
      </c>
      <c r="Z614" s="8" t="s">
        <v>2974</v>
      </c>
    </row>
    <row r="615" spans="1:26" x14ac:dyDescent="0.2">
      <c r="A615" s="8">
        <v>614</v>
      </c>
      <c r="B615" s="8" t="s">
        <v>2975</v>
      </c>
      <c r="C615" s="8" t="s">
        <v>2975</v>
      </c>
      <c r="F615" s="47" t="s">
        <v>56110</v>
      </c>
      <c r="G615" s="8">
        <v>15</v>
      </c>
      <c r="H615" s="8" t="s">
        <v>21</v>
      </c>
      <c r="I615" s="8" t="s">
        <v>22</v>
      </c>
      <c r="J615" s="8" t="s">
        <v>22</v>
      </c>
      <c r="K615" s="8" t="s">
        <v>37</v>
      </c>
      <c r="L615" s="8" t="s">
        <v>2809</v>
      </c>
      <c r="M615" s="8" t="s">
        <v>2810</v>
      </c>
      <c r="N615" s="8" t="s">
        <v>2976</v>
      </c>
      <c r="O615" s="8">
        <f>1+35/60+52.2/3600</f>
        <v>1.5978333333333334</v>
      </c>
      <c r="P615" s="8" t="s">
        <v>2977</v>
      </c>
      <c r="Q615" s="8">
        <f>+(33+40/60+55/3600)</f>
        <v>33.68194444444444</v>
      </c>
      <c r="R615" s="8">
        <v>12.7</v>
      </c>
      <c r="S615" s="8">
        <v>13.7</v>
      </c>
      <c r="T615" s="8">
        <v>1</v>
      </c>
      <c r="U615" s="8">
        <v>13.3</v>
      </c>
      <c r="V615" s="8">
        <v>1.4</v>
      </c>
      <c r="W615" s="8">
        <v>1.4</v>
      </c>
      <c r="Y615" s="8" t="s">
        <v>2978</v>
      </c>
      <c r="Z615" s="8" t="s">
        <v>2979</v>
      </c>
    </row>
    <row r="616" spans="1:26" x14ac:dyDescent="0.2">
      <c r="A616" s="8">
        <v>615</v>
      </c>
      <c r="B616" s="8" t="s">
        <v>2980</v>
      </c>
      <c r="C616" s="8" t="s">
        <v>2980</v>
      </c>
      <c r="F616" s="47" t="s">
        <v>56111</v>
      </c>
      <c r="G616" s="8">
        <v>6</v>
      </c>
      <c r="H616" s="8" t="s">
        <v>21</v>
      </c>
      <c r="I616" s="8" t="s">
        <v>22</v>
      </c>
      <c r="J616" s="8" t="s">
        <v>22</v>
      </c>
      <c r="K616" s="8" t="s">
        <v>23</v>
      </c>
      <c r="L616" s="8" t="s">
        <v>125</v>
      </c>
      <c r="M616" s="8" t="s">
        <v>126</v>
      </c>
      <c r="N616" s="8" t="s">
        <v>2981</v>
      </c>
      <c r="O616" s="8">
        <f>1+35/60+5.7/3600</f>
        <v>1.5849166666666668</v>
      </c>
      <c r="P616" s="8" t="s">
        <v>2982</v>
      </c>
      <c r="Q616" s="8">
        <f>-(7+20/60+25/3600)</f>
        <v>-7.3402777777777777</v>
      </c>
      <c r="R616" s="8">
        <v>11.6</v>
      </c>
      <c r="S616" s="8">
        <v>12.5</v>
      </c>
      <c r="T616" s="8">
        <v>0.9</v>
      </c>
      <c r="U616" s="8">
        <v>13.2</v>
      </c>
      <c r="V616" s="8">
        <v>2.7</v>
      </c>
      <c r="W616" s="8">
        <v>0.9</v>
      </c>
      <c r="X616" s="8">
        <v>155</v>
      </c>
      <c r="Y616" s="8" t="s">
        <v>2983</v>
      </c>
      <c r="Z616" s="8" t="s">
        <v>2984</v>
      </c>
    </row>
    <row r="617" spans="1:26" x14ac:dyDescent="0.2">
      <c r="A617" s="8">
        <v>616</v>
      </c>
      <c r="B617" s="8" t="s">
        <v>2985</v>
      </c>
      <c r="C617" s="8" t="s">
        <v>2985</v>
      </c>
      <c r="F617" s="47"/>
      <c r="G617" s="8">
        <v>18</v>
      </c>
      <c r="H617" s="8" t="s">
        <v>21</v>
      </c>
      <c r="I617" s="8" t="s">
        <v>72</v>
      </c>
      <c r="J617" s="8" t="s">
        <v>72</v>
      </c>
      <c r="K617" s="8" t="s">
        <v>73</v>
      </c>
      <c r="L617" s="8" t="s">
        <v>2809</v>
      </c>
      <c r="M617" s="8" t="s">
        <v>2810</v>
      </c>
      <c r="N617" s="8" t="s">
        <v>2986</v>
      </c>
      <c r="O617" s="8">
        <f>1+36/60+4.2/3600</f>
        <v>1.6011666666666668</v>
      </c>
      <c r="P617" s="8" t="s">
        <v>2987</v>
      </c>
      <c r="Q617" s="8">
        <f>+(33+46/60+15/3600)</f>
        <v>33.770833333333336</v>
      </c>
      <c r="R617" s="8">
        <v>99</v>
      </c>
      <c r="S617" s="8">
        <v>99</v>
      </c>
      <c r="T617" s="8">
        <v>99</v>
      </c>
      <c r="U617" s="8">
        <v>99</v>
      </c>
      <c r="Y617" s="8" t="s">
        <v>2988</v>
      </c>
      <c r="Z617" s="8" t="s">
        <v>2989</v>
      </c>
    </row>
    <row r="618" spans="1:26" x14ac:dyDescent="0.2">
      <c r="A618" s="8">
        <v>617</v>
      </c>
      <c r="B618" s="8" t="s">
        <v>2990</v>
      </c>
      <c r="C618" s="8" t="s">
        <v>2990</v>
      </c>
      <c r="F618" s="47"/>
      <c r="G618" s="8">
        <v>19</v>
      </c>
      <c r="H618" s="8" t="s">
        <v>21</v>
      </c>
      <c r="I618" s="8" t="s">
        <v>22</v>
      </c>
      <c r="J618" s="8" t="s">
        <v>22</v>
      </c>
      <c r="K618" s="8" t="s">
        <v>31</v>
      </c>
      <c r="L618" s="8" t="s">
        <v>125</v>
      </c>
      <c r="M618" s="8" t="s">
        <v>126</v>
      </c>
      <c r="N618" s="8" t="s">
        <v>2991</v>
      </c>
      <c r="O618" s="8">
        <f>1+34/60+2.5/3600</f>
        <v>1.5673611111111112</v>
      </c>
      <c r="P618" s="8" t="s">
        <v>2992</v>
      </c>
      <c r="Q618" s="8">
        <f>-(9+46/60+25/3600)</f>
        <v>-9.7736111111111121</v>
      </c>
      <c r="R618" s="8">
        <v>14.5</v>
      </c>
      <c r="S618" s="8">
        <v>15.3</v>
      </c>
      <c r="T618" s="8">
        <v>0.8</v>
      </c>
      <c r="U618" s="8">
        <v>12.8</v>
      </c>
      <c r="V618" s="8">
        <v>0.5</v>
      </c>
      <c r="W618" s="8">
        <v>0.5</v>
      </c>
      <c r="Y618" s="8" t="s">
        <v>146</v>
      </c>
      <c r="Z618" s="8" t="s">
        <v>147</v>
      </c>
    </row>
    <row r="619" spans="1:26" x14ac:dyDescent="0.2">
      <c r="A619" s="8">
        <v>618</v>
      </c>
      <c r="B619" s="8" t="s">
        <v>2993</v>
      </c>
      <c r="C619" s="8" t="s">
        <v>2993</v>
      </c>
      <c r="F619" s="47"/>
      <c r="G619" s="8">
        <v>16</v>
      </c>
      <c r="H619" s="8" t="s">
        <v>21</v>
      </c>
      <c r="I619" s="8" t="s">
        <v>72</v>
      </c>
      <c r="J619" s="8" t="s">
        <v>72</v>
      </c>
      <c r="K619" s="8" t="s">
        <v>1405</v>
      </c>
      <c r="L619" s="8" t="s">
        <v>2809</v>
      </c>
      <c r="M619" s="8" t="s">
        <v>2810</v>
      </c>
      <c r="N619" s="8" t="s">
        <v>2994</v>
      </c>
      <c r="O619" s="8">
        <f>1+41/60+36.8/3600</f>
        <v>1.6935555555555555</v>
      </c>
      <c r="P619" s="8" t="s">
        <v>2995</v>
      </c>
      <c r="Q619" s="8">
        <f>+(33+17/60+42/3600)</f>
        <v>33.294999999999995</v>
      </c>
      <c r="R619" s="8">
        <v>99</v>
      </c>
      <c r="S619" s="8">
        <v>99</v>
      </c>
      <c r="T619" s="8">
        <v>99</v>
      </c>
      <c r="U619" s="8">
        <v>99</v>
      </c>
      <c r="Y619" s="8" t="s">
        <v>2948</v>
      </c>
      <c r="Z619" s="8" t="s">
        <v>2996</v>
      </c>
    </row>
    <row r="620" spans="1:26" x14ac:dyDescent="0.2">
      <c r="A620" s="8">
        <v>619</v>
      </c>
      <c r="B620" s="8" t="s">
        <v>2997</v>
      </c>
      <c r="C620" s="8" t="s">
        <v>2997</v>
      </c>
      <c r="F620" s="47"/>
      <c r="G620" s="8">
        <v>16</v>
      </c>
      <c r="H620" s="8" t="s">
        <v>21</v>
      </c>
      <c r="I620" s="8" t="s">
        <v>22</v>
      </c>
      <c r="J620" s="8" t="s">
        <v>22</v>
      </c>
      <c r="K620" s="8" t="s">
        <v>218</v>
      </c>
      <c r="L620" s="8" t="s">
        <v>65</v>
      </c>
      <c r="M620" s="8" t="s">
        <v>66</v>
      </c>
      <c r="N620" s="8" t="s">
        <v>2998</v>
      </c>
      <c r="O620" s="8">
        <f>1+34/60+51.7/3600</f>
        <v>1.5810277777777777</v>
      </c>
      <c r="P620" s="8" t="s">
        <v>2999</v>
      </c>
      <c r="Q620" s="8">
        <f>-(36+29/60+22/3600)</f>
        <v>-36.489444444444445</v>
      </c>
      <c r="R620" s="8">
        <v>13.3</v>
      </c>
      <c r="S620" s="8">
        <v>14.1</v>
      </c>
      <c r="T620" s="8">
        <v>0.8</v>
      </c>
      <c r="U620" s="8">
        <v>13.9</v>
      </c>
      <c r="V620" s="8">
        <v>1.5</v>
      </c>
      <c r="W620" s="8">
        <v>1</v>
      </c>
      <c r="X620" s="8">
        <v>130</v>
      </c>
      <c r="Y620" s="8" t="s">
        <v>3000</v>
      </c>
      <c r="Z620" s="8" t="s">
        <v>3001</v>
      </c>
    </row>
    <row r="621" spans="1:26" x14ac:dyDescent="0.2">
      <c r="A621" s="8">
        <v>620</v>
      </c>
      <c r="B621" s="8" t="s">
        <v>3002</v>
      </c>
      <c r="C621" s="8" t="s">
        <v>3002</v>
      </c>
      <c r="F621" s="47"/>
      <c r="G621" s="8">
        <v>18</v>
      </c>
      <c r="H621" s="8" t="s">
        <v>21</v>
      </c>
      <c r="I621" s="8" t="s">
        <v>22</v>
      </c>
      <c r="J621" s="8" t="s">
        <v>22</v>
      </c>
      <c r="K621" s="8" t="s">
        <v>3003</v>
      </c>
      <c r="L621" s="8" t="s">
        <v>51</v>
      </c>
      <c r="M621" s="8" t="s">
        <v>52</v>
      </c>
      <c r="N621" s="8" t="s">
        <v>3004</v>
      </c>
      <c r="O621" s="8">
        <f>1+36/60+59.6/3600</f>
        <v>1.6165555555555557</v>
      </c>
      <c r="P621" s="8" t="s">
        <v>3005</v>
      </c>
      <c r="Q621" s="8">
        <f>+(42+19/60+22/3600)</f>
        <v>42.32277777777778</v>
      </c>
      <c r="R621" s="8">
        <v>12.9</v>
      </c>
      <c r="S621" s="8">
        <v>13.9</v>
      </c>
      <c r="T621" s="8">
        <v>1</v>
      </c>
      <c r="U621" s="8">
        <v>12.6</v>
      </c>
      <c r="V621" s="8">
        <v>1</v>
      </c>
      <c r="W621" s="8">
        <v>0.9</v>
      </c>
      <c r="X621" s="8">
        <v>3</v>
      </c>
      <c r="Y621" s="8" t="s">
        <v>348</v>
      </c>
      <c r="Z621" s="8" t="s">
        <v>349</v>
      </c>
    </row>
    <row r="622" spans="1:26" x14ac:dyDescent="0.2">
      <c r="A622" s="8">
        <v>621</v>
      </c>
      <c r="B622" s="8" t="s">
        <v>3006</v>
      </c>
      <c r="C622" s="8" t="s">
        <v>3006</v>
      </c>
      <c r="F622" s="47"/>
      <c r="G622" s="8">
        <v>19</v>
      </c>
      <c r="H622" s="8" t="s">
        <v>21</v>
      </c>
      <c r="I622" s="8" t="s">
        <v>22</v>
      </c>
      <c r="J622" s="8" t="s">
        <v>22</v>
      </c>
      <c r="K622" s="8" t="s">
        <v>224</v>
      </c>
      <c r="L622" s="8" t="s">
        <v>2809</v>
      </c>
      <c r="M622" s="8" t="s">
        <v>2810</v>
      </c>
      <c r="N622" s="8" t="s">
        <v>3007</v>
      </c>
      <c r="O622" s="8">
        <f>1+36/60+48.9/3600</f>
        <v>1.6135833333333334</v>
      </c>
      <c r="P622" s="8" t="s">
        <v>3008</v>
      </c>
      <c r="Q622" s="8">
        <f>+(35+30/60+45/3600)</f>
        <v>35.512500000000003</v>
      </c>
      <c r="R622" s="8">
        <v>12.7</v>
      </c>
      <c r="S622" s="8">
        <v>13.7</v>
      </c>
      <c r="T622" s="8">
        <v>1</v>
      </c>
      <c r="U622" s="8">
        <v>12.8</v>
      </c>
      <c r="V622" s="8">
        <v>1.2</v>
      </c>
      <c r="W622" s="8">
        <v>1</v>
      </c>
      <c r="X622" s="8">
        <v>24</v>
      </c>
      <c r="Y622" s="8" t="s">
        <v>3009</v>
      </c>
      <c r="Z622" s="8" t="s">
        <v>3010</v>
      </c>
    </row>
    <row r="623" spans="1:26" x14ac:dyDescent="0.2">
      <c r="A623" s="8">
        <v>622</v>
      </c>
      <c r="B623" s="8" t="s">
        <v>3011</v>
      </c>
      <c r="C623" s="8" t="s">
        <v>3011</v>
      </c>
      <c r="F623" s="47" t="s">
        <v>56112</v>
      </c>
      <c r="G623" s="8">
        <v>15</v>
      </c>
      <c r="H623" s="8" t="s">
        <v>21</v>
      </c>
      <c r="I623" s="8" t="s">
        <v>22</v>
      </c>
      <c r="J623" s="8" t="s">
        <v>22</v>
      </c>
      <c r="K623" s="8" t="s">
        <v>85</v>
      </c>
      <c r="L623" s="8" t="s">
        <v>125</v>
      </c>
      <c r="M623" s="8" t="s">
        <v>126</v>
      </c>
      <c r="N623" s="8" t="s">
        <v>3012</v>
      </c>
      <c r="O623" s="8">
        <f>1+36/60+0.1/3600</f>
        <v>1.6000277777777778</v>
      </c>
      <c r="P623" s="8" t="s">
        <v>3013</v>
      </c>
      <c r="Q623" s="8">
        <f>+(0+39/60+49/3600)</f>
        <v>0.66361111111111115</v>
      </c>
      <c r="R623" s="8">
        <v>12.9</v>
      </c>
      <c r="S623" s="8">
        <v>13.7</v>
      </c>
      <c r="T623" s="8">
        <v>0.8</v>
      </c>
      <c r="U623" s="8">
        <v>13.3</v>
      </c>
      <c r="V623" s="8">
        <v>1.6</v>
      </c>
      <c r="W623" s="8">
        <v>1</v>
      </c>
      <c r="X623" s="8">
        <v>45</v>
      </c>
      <c r="Y623" s="8" t="s">
        <v>3014</v>
      </c>
      <c r="Z623" s="8" t="s">
        <v>3015</v>
      </c>
    </row>
    <row r="624" spans="1:26" x14ac:dyDescent="0.2">
      <c r="A624" s="8">
        <v>623</v>
      </c>
      <c r="B624" s="8" t="s">
        <v>3016</v>
      </c>
      <c r="C624" s="8" t="s">
        <v>3016</v>
      </c>
      <c r="F624" s="47"/>
      <c r="G624" s="8">
        <v>16</v>
      </c>
      <c r="H624" s="8" t="s">
        <v>21</v>
      </c>
      <c r="I624" s="8" t="s">
        <v>22</v>
      </c>
      <c r="J624" s="8" t="s">
        <v>22</v>
      </c>
      <c r="K624" s="8" t="s">
        <v>382</v>
      </c>
      <c r="L624" s="8" t="s">
        <v>65</v>
      </c>
      <c r="M624" s="8" t="s">
        <v>66</v>
      </c>
      <c r="N624" s="8" t="s">
        <v>3017</v>
      </c>
      <c r="O624" s="8">
        <f>1+35/60+6.5/3600</f>
        <v>1.5851388888888891</v>
      </c>
      <c r="P624" s="8" t="s">
        <v>3018</v>
      </c>
      <c r="Q624" s="8">
        <f>-(36+29/60+24/3600)</f>
        <v>-36.49</v>
      </c>
      <c r="R624" s="8">
        <v>12.5</v>
      </c>
      <c r="S624" s="8">
        <v>13.6</v>
      </c>
      <c r="T624" s="8">
        <v>1.1000000000000001</v>
      </c>
      <c r="U624" s="8">
        <v>13.5</v>
      </c>
      <c r="V624" s="8">
        <v>2</v>
      </c>
      <c r="W624" s="8">
        <v>1.5</v>
      </c>
      <c r="X624" s="8">
        <v>94</v>
      </c>
      <c r="Y624" s="8" t="s">
        <v>3019</v>
      </c>
      <c r="Z624" s="8" t="s">
        <v>3020</v>
      </c>
    </row>
    <row r="625" spans="1:26" x14ac:dyDescent="0.2">
      <c r="A625" s="8">
        <v>624</v>
      </c>
      <c r="B625" s="8" t="s">
        <v>3021</v>
      </c>
      <c r="C625" s="8" t="s">
        <v>3021</v>
      </c>
      <c r="F625" s="47" t="s">
        <v>56113</v>
      </c>
      <c r="G625" s="8">
        <v>15</v>
      </c>
      <c r="H625" s="8" t="s">
        <v>21</v>
      </c>
      <c r="I625" s="8" t="s">
        <v>22</v>
      </c>
      <c r="J625" s="8" t="s">
        <v>22</v>
      </c>
      <c r="K625" s="8" t="s">
        <v>23</v>
      </c>
      <c r="L625" s="8" t="s">
        <v>125</v>
      </c>
      <c r="M625" s="8" t="s">
        <v>126</v>
      </c>
      <c r="N625" s="8" t="s">
        <v>3022</v>
      </c>
      <c r="O625" s="8">
        <f>1+35/60+51.2/3600</f>
        <v>1.5975555555555556</v>
      </c>
      <c r="P625" s="8" t="s">
        <v>3023</v>
      </c>
      <c r="Q625" s="8">
        <f>-(10+0/60+11/3600)</f>
        <v>-10.003055555555555</v>
      </c>
      <c r="R625" s="8">
        <v>13.3</v>
      </c>
      <c r="S625" s="8">
        <v>14.1</v>
      </c>
      <c r="T625" s="8">
        <v>0.8</v>
      </c>
      <c r="U625" s="8">
        <v>13.6</v>
      </c>
      <c r="V625" s="8">
        <v>1.5</v>
      </c>
      <c r="W625" s="8">
        <v>1</v>
      </c>
      <c r="X625" s="8">
        <v>100</v>
      </c>
      <c r="Y625" s="8" t="s">
        <v>3024</v>
      </c>
      <c r="Z625" s="8" t="s">
        <v>3025</v>
      </c>
    </row>
    <row r="626" spans="1:26" x14ac:dyDescent="0.2">
      <c r="A626" s="8">
        <v>625</v>
      </c>
      <c r="B626" s="8" t="s">
        <v>3026</v>
      </c>
      <c r="C626" s="8" t="s">
        <v>3026</v>
      </c>
      <c r="F626" s="47"/>
      <c r="G626" s="8">
        <v>13</v>
      </c>
      <c r="H626" s="8" t="s">
        <v>21</v>
      </c>
      <c r="I626" s="8" t="s">
        <v>22</v>
      </c>
      <c r="J626" s="8" t="s">
        <v>22</v>
      </c>
      <c r="K626" s="8" t="s">
        <v>323</v>
      </c>
      <c r="L626" s="8" t="s">
        <v>166</v>
      </c>
      <c r="M626" s="8" t="s">
        <v>167</v>
      </c>
      <c r="N626" s="8" t="s">
        <v>3027</v>
      </c>
      <c r="O626" s="8">
        <f>1+35/60+4.4/3600</f>
        <v>1.5845555555555557</v>
      </c>
      <c r="P626" s="8" t="s">
        <v>3028</v>
      </c>
      <c r="Q626" s="8">
        <f>-(41+26/60+15/3600)</f>
        <v>-41.4375</v>
      </c>
      <c r="R626" s="8">
        <v>11.2</v>
      </c>
      <c r="S626" s="8">
        <v>11.7</v>
      </c>
      <c r="T626" s="8">
        <v>0.5</v>
      </c>
      <c r="U626" s="8">
        <v>13.6</v>
      </c>
      <c r="V626" s="8">
        <v>5.8</v>
      </c>
      <c r="W626" s="8">
        <v>1.9</v>
      </c>
      <c r="X626" s="8">
        <v>92</v>
      </c>
      <c r="Y626" s="8" t="s">
        <v>3029</v>
      </c>
      <c r="Z626" s="8" t="s">
        <v>3030</v>
      </c>
    </row>
    <row r="627" spans="1:26" x14ac:dyDescent="0.2">
      <c r="A627" s="8">
        <v>626</v>
      </c>
      <c r="B627" s="8" t="s">
        <v>3031</v>
      </c>
      <c r="C627" s="8" t="s">
        <v>3031</v>
      </c>
      <c r="F627" s="47"/>
      <c r="G627" s="8">
        <v>16</v>
      </c>
      <c r="H627" s="8" t="s">
        <v>21</v>
      </c>
      <c r="I627" s="8" t="s">
        <v>22</v>
      </c>
      <c r="J627" s="8" t="s">
        <v>22</v>
      </c>
      <c r="K627" s="8" t="s">
        <v>64</v>
      </c>
      <c r="L627" s="8" t="s">
        <v>65</v>
      </c>
      <c r="M627" s="8" t="s">
        <v>66</v>
      </c>
      <c r="N627" s="8" t="s">
        <v>3032</v>
      </c>
      <c r="O627" s="8">
        <f>1+35/60+11.9/3600</f>
        <v>1.5866388888888889</v>
      </c>
      <c r="P627" s="8" t="s">
        <v>3033</v>
      </c>
      <c r="Q627" s="8">
        <f>-(39+8/60+46/3600)</f>
        <v>-39.146111111111111</v>
      </c>
      <c r="R627" s="8">
        <v>12.7</v>
      </c>
      <c r="S627" s="8">
        <v>13.4</v>
      </c>
      <c r="T627" s="8">
        <v>0.7</v>
      </c>
      <c r="U627" s="8">
        <v>14</v>
      </c>
      <c r="V627" s="8">
        <v>2.2000000000000002</v>
      </c>
      <c r="W627" s="8">
        <v>1.7</v>
      </c>
      <c r="X627" s="8">
        <v>4</v>
      </c>
      <c r="Y627" s="8" t="s">
        <v>3034</v>
      </c>
      <c r="Z627" s="8" t="s">
        <v>1899</v>
      </c>
    </row>
    <row r="628" spans="1:26" x14ac:dyDescent="0.2">
      <c r="A628" s="8">
        <v>627</v>
      </c>
      <c r="B628" s="8" t="s">
        <v>3035</v>
      </c>
      <c r="C628" s="8" t="s">
        <v>3035</v>
      </c>
      <c r="F628" s="47"/>
      <c r="G628" s="8">
        <v>16</v>
      </c>
      <c r="H628" s="8" t="s">
        <v>21</v>
      </c>
      <c r="I628" s="8" t="s">
        <v>72</v>
      </c>
      <c r="J628" s="8" t="s">
        <v>72</v>
      </c>
      <c r="K628" s="8" t="s">
        <v>73</v>
      </c>
      <c r="L628" s="8" t="s">
        <v>2809</v>
      </c>
      <c r="M628" s="8" t="s">
        <v>2810</v>
      </c>
      <c r="N628" s="8" t="s">
        <v>3036</v>
      </c>
      <c r="O628" s="8">
        <f>1+42/60+37/3600</f>
        <v>1.7102777777777778</v>
      </c>
      <c r="P628" s="8" t="s">
        <v>3037</v>
      </c>
      <c r="Q628" s="8">
        <f>+(33+34/60+44/3600)</f>
        <v>33.578888888888891</v>
      </c>
      <c r="R628" s="8">
        <v>99</v>
      </c>
      <c r="S628" s="8">
        <v>99</v>
      </c>
      <c r="T628" s="8">
        <v>99</v>
      </c>
      <c r="U628" s="8">
        <v>99</v>
      </c>
      <c r="Y628" s="8" t="s">
        <v>2978</v>
      </c>
      <c r="Z628" s="8" t="s">
        <v>3038</v>
      </c>
    </row>
    <row r="629" spans="1:26" x14ac:dyDescent="0.2">
      <c r="A629" s="8">
        <v>628</v>
      </c>
      <c r="B629" s="8" t="s">
        <v>3039</v>
      </c>
      <c r="C629" s="8" t="s">
        <v>55866</v>
      </c>
      <c r="F629" s="47"/>
      <c r="G629" s="8">
        <v>1</v>
      </c>
      <c r="H629" s="8" t="s">
        <v>3040</v>
      </c>
      <c r="I629" s="8" t="s">
        <v>22</v>
      </c>
      <c r="J629" s="8" t="s">
        <v>22</v>
      </c>
      <c r="K629" s="8" t="s">
        <v>160</v>
      </c>
      <c r="L629" s="8" t="s">
        <v>38</v>
      </c>
      <c r="M629" s="8" t="s">
        <v>39</v>
      </c>
      <c r="N629" s="8" t="s">
        <v>3041</v>
      </c>
      <c r="O629" s="8">
        <f>1+36/60+41.7/3600</f>
        <v>1.6115833333333334</v>
      </c>
      <c r="P629" s="8" t="s">
        <v>3042</v>
      </c>
      <c r="Q629" s="8">
        <f>+(15+47/60+0/3600)</f>
        <v>15.783333333333333</v>
      </c>
      <c r="R629" s="8">
        <v>9.4</v>
      </c>
      <c r="S629" s="8">
        <v>10</v>
      </c>
      <c r="T629" s="8">
        <v>0.6</v>
      </c>
      <c r="U629" s="8">
        <v>14.2</v>
      </c>
      <c r="V629" s="8">
        <v>10.5</v>
      </c>
      <c r="W629" s="8">
        <v>9.5</v>
      </c>
      <c r="X629" s="8">
        <v>25</v>
      </c>
      <c r="Y629" s="8" t="s">
        <v>3043</v>
      </c>
      <c r="Z629" s="8" t="s">
        <v>3044</v>
      </c>
    </row>
    <row r="630" spans="1:26" x14ac:dyDescent="0.2">
      <c r="A630" s="8">
        <v>629</v>
      </c>
      <c r="B630" s="8" t="s">
        <v>3045</v>
      </c>
      <c r="C630" s="8" t="s">
        <v>3045</v>
      </c>
      <c r="F630" s="47"/>
      <c r="G630" s="8">
        <v>17</v>
      </c>
      <c r="H630" s="8" t="s">
        <v>21</v>
      </c>
      <c r="I630" s="8" t="s">
        <v>72</v>
      </c>
      <c r="J630" s="8" t="s">
        <v>72</v>
      </c>
      <c r="K630" s="8" t="s">
        <v>1405</v>
      </c>
      <c r="L630" s="8" t="s">
        <v>559</v>
      </c>
      <c r="M630" s="8" t="s">
        <v>560</v>
      </c>
      <c r="N630" s="8" t="s">
        <v>3046</v>
      </c>
      <c r="O630" s="8">
        <f>1+39/60+2.1/3600</f>
        <v>1.6505833333333333</v>
      </c>
      <c r="P630" s="8" t="s">
        <v>3047</v>
      </c>
      <c r="Q630" s="8">
        <f>+(72+52/60+6/3600)</f>
        <v>72.868333333333325</v>
      </c>
      <c r="R630" s="8">
        <v>99</v>
      </c>
      <c r="S630" s="8">
        <v>99</v>
      </c>
      <c r="T630" s="8">
        <v>99</v>
      </c>
      <c r="U630" s="8">
        <v>99</v>
      </c>
      <c r="V630" s="8">
        <v>4</v>
      </c>
      <c r="Y630" s="8" t="s">
        <v>3048</v>
      </c>
      <c r="Z630" s="8" t="s">
        <v>3049</v>
      </c>
    </row>
    <row r="631" spans="1:26" x14ac:dyDescent="0.2">
      <c r="A631" s="8">
        <v>630</v>
      </c>
      <c r="B631" s="8" t="s">
        <v>3050</v>
      </c>
      <c r="C631" s="8" t="s">
        <v>3050</v>
      </c>
      <c r="F631" s="47"/>
      <c r="G631" s="8">
        <v>16</v>
      </c>
      <c r="H631" s="8" t="s">
        <v>21</v>
      </c>
      <c r="I631" s="8" t="s">
        <v>22</v>
      </c>
      <c r="J631" s="8" t="s">
        <v>22</v>
      </c>
      <c r="K631" s="8" t="s">
        <v>58</v>
      </c>
      <c r="L631" s="8" t="s">
        <v>65</v>
      </c>
      <c r="M631" s="8" t="s">
        <v>66</v>
      </c>
      <c r="N631" s="8" t="s">
        <v>3051</v>
      </c>
      <c r="O631" s="8">
        <f>1+35/60+36.6/3600</f>
        <v>1.5935000000000001</v>
      </c>
      <c r="P631" s="8" t="s">
        <v>3052</v>
      </c>
      <c r="Q631" s="8">
        <f>-(39+21/60+28/3600)</f>
        <v>-39.357777777777777</v>
      </c>
      <c r="R631" s="8">
        <v>11.9</v>
      </c>
      <c r="S631" s="8">
        <v>12.9</v>
      </c>
      <c r="T631" s="8">
        <v>1</v>
      </c>
      <c r="U631" s="8">
        <v>12.8</v>
      </c>
      <c r="V631" s="8">
        <v>1.6</v>
      </c>
      <c r="W631" s="8">
        <v>1.4</v>
      </c>
      <c r="X631" s="8">
        <v>60</v>
      </c>
      <c r="Y631" s="8" t="s">
        <v>3034</v>
      </c>
      <c r="Z631" s="8" t="s">
        <v>1899</v>
      </c>
    </row>
    <row r="632" spans="1:26" x14ac:dyDescent="0.2">
      <c r="A632" s="8">
        <v>631</v>
      </c>
      <c r="B632" s="8" t="s">
        <v>3053</v>
      </c>
      <c r="C632" s="8" t="s">
        <v>3053</v>
      </c>
      <c r="F632" s="47"/>
      <c r="G632" s="8">
        <v>18</v>
      </c>
      <c r="H632" s="8" t="s">
        <v>21</v>
      </c>
      <c r="I632" s="8" t="s">
        <v>22</v>
      </c>
      <c r="J632" s="8" t="s">
        <v>22</v>
      </c>
      <c r="K632" s="8" t="s">
        <v>1136</v>
      </c>
      <c r="L632" s="8" t="s">
        <v>38</v>
      </c>
      <c r="M632" s="8" t="s">
        <v>39</v>
      </c>
      <c r="N632" s="8" t="s">
        <v>3054</v>
      </c>
      <c r="O632" s="8">
        <f>1+36/60+47/3600</f>
        <v>1.6130555555555557</v>
      </c>
      <c r="P632" s="8" t="s">
        <v>3055</v>
      </c>
      <c r="Q632" s="8">
        <f>+(5+50/60+9/3600)</f>
        <v>5.8358333333333334</v>
      </c>
      <c r="R632" s="8">
        <v>13.3</v>
      </c>
      <c r="S632" s="8">
        <v>14.3</v>
      </c>
      <c r="T632" s="8">
        <v>1</v>
      </c>
      <c r="U632" s="8">
        <v>13.1</v>
      </c>
      <c r="V632" s="8">
        <v>1</v>
      </c>
      <c r="W632" s="8">
        <v>0.8</v>
      </c>
      <c r="X632" s="8">
        <v>123</v>
      </c>
      <c r="Y632" s="8" t="s">
        <v>3056</v>
      </c>
      <c r="Z632" s="8" t="s">
        <v>3057</v>
      </c>
    </row>
    <row r="633" spans="1:26" x14ac:dyDescent="0.2">
      <c r="A633" s="8">
        <v>632</v>
      </c>
      <c r="B633" s="8" t="s">
        <v>3058</v>
      </c>
      <c r="C633" s="8" t="s">
        <v>3058</v>
      </c>
      <c r="F633" s="47"/>
      <c r="G633" s="8">
        <v>16</v>
      </c>
      <c r="H633" s="8" t="s">
        <v>21</v>
      </c>
      <c r="I633" s="8" t="s">
        <v>22</v>
      </c>
      <c r="J633" s="8" t="s">
        <v>22</v>
      </c>
      <c r="K633" s="8" t="s">
        <v>37</v>
      </c>
      <c r="L633" s="8" t="s">
        <v>38</v>
      </c>
      <c r="M633" s="8" t="s">
        <v>39</v>
      </c>
      <c r="N633" s="8" t="s">
        <v>3059</v>
      </c>
      <c r="O633" s="8">
        <f>1+37/60+17.5/3600</f>
        <v>1.6215277777777779</v>
      </c>
      <c r="P633" s="8" t="s">
        <v>3060</v>
      </c>
      <c r="Q633" s="8">
        <f>+(5+52/60+38/3600)</f>
        <v>5.8772222222222226</v>
      </c>
      <c r="R633" s="8">
        <v>12.4</v>
      </c>
      <c r="S633" s="8">
        <v>13.4</v>
      </c>
      <c r="T633" s="8">
        <v>1</v>
      </c>
      <c r="U633" s="8">
        <v>12</v>
      </c>
      <c r="V633" s="8">
        <v>1</v>
      </c>
      <c r="W633" s="8">
        <v>0.8</v>
      </c>
      <c r="X633" s="8">
        <v>170</v>
      </c>
      <c r="Y633" s="8" t="s">
        <v>3061</v>
      </c>
      <c r="Z633" s="8" t="s">
        <v>3062</v>
      </c>
    </row>
    <row r="634" spans="1:26" x14ac:dyDescent="0.2">
      <c r="A634" s="8">
        <v>633</v>
      </c>
      <c r="B634" s="8" t="s">
        <v>3063</v>
      </c>
      <c r="C634" s="8" t="s">
        <v>3063</v>
      </c>
      <c r="F634" s="47"/>
      <c r="G634" s="8">
        <v>16</v>
      </c>
      <c r="H634" s="8" t="s">
        <v>21</v>
      </c>
      <c r="I634" s="8" t="s">
        <v>22</v>
      </c>
      <c r="J634" s="8" t="s">
        <v>22</v>
      </c>
      <c r="K634" s="8" t="s">
        <v>218</v>
      </c>
      <c r="L634" s="8" t="s">
        <v>65</v>
      </c>
      <c r="M634" s="8" t="s">
        <v>66</v>
      </c>
      <c r="N634" s="8" t="s">
        <v>3064</v>
      </c>
      <c r="O634" s="8">
        <f>1+36/60+23.3/3600</f>
        <v>1.6064722222222223</v>
      </c>
      <c r="P634" s="8" t="s">
        <v>3065</v>
      </c>
      <c r="Q634" s="8">
        <f>-(37+19/60+15/3600)</f>
        <v>-37.32083333333334</v>
      </c>
      <c r="R634" s="8">
        <v>12.8</v>
      </c>
      <c r="S634" s="8">
        <v>13.6</v>
      </c>
      <c r="T634" s="8">
        <v>0.8</v>
      </c>
      <c r="U634" s="8">
        <v>13.5</v>
      </c>
      <c r="V634" s="8">
        <v>1.4</v>
      </c>
      <c r="W634" s="8">
        <v>1.2</v>
      </c>
      <c r="X634" s="8">
        <v>148</v>
      </c>
      <c r="Y634" s="8" t="s">
        <v>3066</v>
      </c>
      <c r="Z634" s="8" t="s">
        <v>3067</v>
      </c>
    </row>
    <row r="635" spans="1:26" x14ac:dyDescent="0.2">
      <c r="A635" s="8">
        <v>634</v>
      </c>
      <c r="B635" s="8" t="s">
        <v>3068</v>
      </c>
      <c r="C635" s="8" t="s">
        <v>3068</v>
      </c>
      <c r="F635" s="47"/>
      <c r="G635" s="8">
        <v>18</v>
      </c>
      <c r="H635" s="8" t="s">
        <v>21</v>
      </c>
      <c r="I635" s="8" t="s">
        <v>22</v>
      </c>
      <c r="J635" s="8" t="s">
        <v>22</v>
      </c>
      <c r="K635" s="8" t="s">
        <v>91</v>
      </c>
      <c r="L635" s="8" t="s">
        <v>2809</v>
      </c>
      <c r="M635" s="8" t="s">
        <v>2810</v>
      </c>
      <c r="N635" s="8" t="s">
        <v>3069</v>
      </c>
      <c r="O635" s="8">
        <f>1+38/60+18.6/3600</f>
        <v>1.6385000000000001</v>
      </c>
      <c r="P635" s="8" t="s">
        <v>3070</v>
      </c>
      <c r="Q635" s="8">
        <f>+(35+21/60+53/3600)</f>
        <v>35.364722222222227</v>
      </c>
      <c r="R635" s="8">
        <v>13</v>
      </c>
      <c r="S635" s="8">
        <v>13.9</v>
      </c>
      <c r="T635" s="8">
        <v>0.9</v>
      </c>
      <c r="U635" s="8">
        <v>13.1</v>
      </c>
      <c r="V635" s="8">
        <v>2.1</v>
      </c>
      <c r="W635" s="8">
        <v>0.6</v>
      </c>
      <c r="X635" s="8">
        <v>167</v>
      </c>
      <c r="Y635" s="8" t="s">
        <v>3071</v>
      </c>
      <c r="Z635" s="8" t="s">
        <v>3072</v>
      </c>
    </row>
    <row r="636" spans="1:26" x14ac:dyDescent="0.2">
      <c r="A636" s="8">
        <v>635</v>
      </c>
      <c r="B636" s="8" t="s">
        <v>3073</v>
      </c>
      <c r="C636" s="8" t="s">
        <v>3073</v>
      </c>
      <c r="F636" s="47"/>
      <c r="G636" s="8">
        <v>19</v>
      </c>
      <c r="H636" s="8" t="s">
        <v>21</v>
      </c>
      <c r="I636" s="8" t="s">
        <v>22</v>
      </c>
      <c r="J636" s="8" t="s">
        <v>22</v>
      </c>
      <c r="K636" s="8" t="s">
        <v>23</v>
      </c>
      <c r="L636" s="8" t="s">
        <v>125</v>
      </c>
      <c r="M636" s="8" t="s">
        <v>126</v>
      </c>
      <c r="N636" s="8" t="s">
        <v>3074</v>
      </c>
      <c r="O636" s="8">
        <f>1+38/60+17.9/3600</f>
        <v>1.6383055555555555</v>
      </c>
      <c r="P636" s="8" t="s">
        <v>3075</v>
      </c>
      <c r="Q636" s="8">
        <f>-(22+55/60+44/3600)</f>
        <v>-22.928888888888888</v>
      </c>
      <c r="R636" s="8">
        <v>14.6</v>
      </c>
      <c r="S636" s="8">
        <v>15.4</v>
      </c>
      <c r="T636" s="8">
        <v>0.8</v>
      </c>
      <c r="U636" s="8">
        <v>12.9</v>
      </c>
      <c r="V636" s="8">
        <v>0.5</v>
      </c>
      <c r="W636" s="8">
        <v>0.5</v>
      </c>
      <c r="Y636" s="8" t="s">
        <v>385</v>
      </c>
      <c r="Z636" s="8" t="s">
        <v>386</v>
      </c>
    </row>
    <row r="637" spans="1:26" x14ac:dyDescent="0.2">
      <c r="A637" s="8">
        <v>636</v>
      </c>
      <c r="B637" s="8" t="s">
        <v>3076</v>
      </c>
      <c r="C637" s="8" t="s">
        <v>3076</v>
      </c>
      <c r="F637" s="47" t="s">
        <v>56114</v>
      </c>
      <c r="G637" s="8">
        <v>6.5</v>
      </c>
      <c r="H637" s="8" t="s">
        <v>21</v>
      </c>
      <c r="I637" s="8" t="s">
        <v>22</v>
      </c>
      <c r="J637" s="8" t="s">
        <v>22</v>
      </c>
      <c r="K637" s="8" t="s">
        <v>382</v>
      </c>
      <c r="L637" s="8" t="s">
        <v>125</v>
      </c>
      <c r="M637" s="8" t="s">
        <v>126</v>
      </c>
      <c r="N637" s="8" t="s">
        <v>3077</v>
      </c>
      <c r="O637" s="8">
        <f>1+39/60+6.5/3600</f>
        <v>1.6518055555555555</v>
      </c>
      <c r="P637" s="8" t="s">
        <v>3078</v>
      </c>
      <c r="Q637" s="8">
        <f>-(7+30/60+44/3600)</f>
        <v>-7.5122222222222224</v>
      </c>
      <c r="R637" s="8">
        <v>11.5</v>
      </c>
      <c r="S637" s="8">
        <v>12.4</v>
      </c>
      <c r="T637" s="8">
        <v>0.9</v>
      </c>
      <c r="U637" s="8">
        <v>13.4</v>
      </c>
      <c r="V637" s="8">
        <v>2.8</v>
      </c>
      <c r="W637" s="8">
        <v>2</v>
      </c>
      <c r="X637" s="8">
        <v>40</v>
      </c>
      <c r="Y637" s="8" t="s">
        <v>3079</v>
      </c>
      <c r="Z637" s="8" t="s">
        <v>3080</v>
      </c>
    </row>
    <row r="638" spans="1:26" x14ac:dyDescent="0.2">
      <c r="A638" s="8">
        <v>637</v>
      </c>
      <c r="B638" s="8" t="s">
        <v>3081</v>
      </c>
      <c r="C638" s="8" t="s">
        <v>3081</v>
      </c>
      <c r="F638" s="47" t="s">
        <v>56115</v>
      </c>
      <c r="G638" s="8">
        <v>6</v>
      </c>
      <c r="H638" s="8" t="s">
        <v>21</v>
      </c>
      <c r="I638" s="8" t="s">
        <v>557</v>
      </c>
      <c r="J638" s="8" t="s">
        <v>557</v>
      </c>
      <c r="K638" s="8" t="s">
        <v>3082</v>
      </c>
      <c r="L638" s="8" t="s">
        <v>559</v>
      </c>
      <c r="M638" s="8" t="s">
        <v>560</v>
      </c>
      <c r="N638" s="8" t="s">
        <v>3083</v>
      </c>
      <c r="O638" s="8">
        <f>1+43/60+3/3600</f>
        <v>1.7175</v>
      </c>
      <c r="P638" s="8" t="s">
        <v>3084</v>
      </c>
      <c r="Q638" s="8">
        <f>+(64+2/60+12/3600)</f>
        <v>64.036666666666662</v>
      </c>
      <c r="R638" s="8">
        <v>8.1999999999999993</v>
      </c>
      <c r="S638" s="8">
        <v>99</v>
      </c>
      <c r="T638" s="8">
        <v>99</v>
      </c>
      <c r="U638" s="8">
        <v>99</v>
      </c>
      <c r="V638" s="8">
        <v>3</v>
      </c>
      <c r="Y638" s="8" t="s">
        <v>3085</v>
      </c>
      <c r="Z638" s="8" t="s">
        <v>3086</v>
      </c>
    </row>
    <row r="639" spans="1:26" x14ac:dyDescent="0.2">
      <c r="A639" s="8">
        <v>638</v>
      </c>
      <c r="B639" s="8" t="s">
        <v>3087</v>
      </c>
      <c r="C639" s="8" t="s">
        <v>3087</v>
      </c>
      <c r="F639" s="47"/>
      <c r="G639" s="8">
        <v>19</v>
      </c>
      <c r="H639" s="8" t="s">
        <v>21</v>
      </c>
      <c r="I639" s="8" t="s">
        <v>22</v>
      </c>
      <c r="J639" s="8" t="s">
        <v>22</v>
      </c>
      <c r="K639" s="8" t="s">
        <v>23</v>
      </c>
      <c r="L639" s="8" t="s">
        <v>38</v>
      </c>
      <c r="M639" s="8" t="s">
        <v>39</v>
      </c>
      <c r="N639" s="8" t="s">
        <v>3088</v>
      </c>
      <c r="O639" s="8">
        <f>1+39/60+37.8/3600</f>
        <v>1.6604999999999999</v>
      </c>
      <c r="P639" s="8" t="s">
        <v>3089</v>
      </c>
      <c r="Q639" s="8">
        <f>+(7+14/60+14/3600)</f>
        <v>7.237222222222222</v>
      </c>
      <c r="R639" s="8">
        <v>13.8</v>
      </c>
      <c r="S639" s="8">
        <v>14.5</v>
      </c>
      <c r="T639" s="8">
        <v>0.7</v>
      </c>
      <c r="U639" s="8">
        <v>12.7</v>
      </c>
      <c r="V639" s="8">
        <v>0.8</v>
      </c>
      <c r="W639" s="8">
        <v>0.5</v>
      </c>
      <c r="X639" s="8">
        <v>20</v>
      </c>
      <c r="Y639" s="8" t="s">
        <v>237</v>
      </c>
      <c r="Z639" s="8" t="s">
        <v>238</v>
      </c>
    </row>
    <row r="640" spans="1:26" x14ac:dyDescent="0.2">
      <c r="A640" s="8">
        <v>639</v>
      </c>
      <c r="B640" s="8" t="s">
        <v>3090</v>
      </c>
      <c r="C640" s="8" t="s">
        <v>3090</v>
      </c>
      <c r="F640" s="47"/>
      <c r="G640" s="8">
        <v>16</v>
      </c>
      <c r="H640" s="8" t="s">
        <v>21</v>
      </c>
      <c r="I640" s="8" t="s">
        <v>22</v>
      </c>
      <c r="J640" s="8" t="s">
        <v>22</v>
      </c>
      <c r="K640" s="8" t="s">
        <v>91</v>
      </c>
      <c r="L640" s="8" t="s">
        <v>65</v>
      </c>
      <c r="M640" s="8" t="s">
        <v>66</v>
      </c>
      <c r="N640" s="8" t="s">
        <v>3091</v>
      </c>
      <c r="O640" s="8">
        <f>1+38/60+59.1/3600</f>
        <v>1.64975</v>
      </c>
      <c r="P640" s="8" t="s">
        <v>3092</v>
      </c>
      <c r="Q640" s="8">
        <f>-(29+55/60+30/3600)</f>
        <v>-29.925000000000001</v>
      </c>
      <c r="R640" s="8">
        <v>14.1</v>
      </c>
      <c r="S640" s="8">
        <v>14.7</v>
      </c>
      <c r="T640" s="8">
        <v>0.6</v>
      </c>
      <c r="U640" s="8">
        <v>12.3</v>
      </c>
      <c r="V640" s="8">
        <v>1</v>
      </c>
      <c r="W640" s="8">
        <v>0.2</v>
      </c>
      <c r="X640" s="8">
        <v>31</v>
      </c>
      <c r="Y640" s="8" t="s">
        <v>3093</v>
      </c>
      <c r="Z640" s="8" t="s">
        <v>3094</v>
      </c>
    </row>
    <row r="641" spans="1:26" x14ac:dyDescent="0.2">
      <c r="A641" s="8">
        <v>640</v>
      </c>
      <c r="B641" s="8" t="s">
        <v>3095</v>
      </c>
      <c r="C641" s="8" t="s">
        <v>3095</v>
      </c>
      <c r="F641" s="47"/>
      <c r="G641" s="8">
        <v>19</v>
      </c>
      <c r="H641" s="8" t="s">
        <v>21</v>
      </c>
      <c r="I641" s="8" t="s">
        <v>22</v>
      </c>
      <c r="J641" s="8" t="s">
        <v>22</v>
      </c>
      <c r="K641" s="8" t="s">
        <v>91</v>
      </c>
      <c r="L641" s="8" t="s">
        <v>125</v>
      </c>
      <c r="M641" s="8" t="s">
        <v>126</v>
      </c>
      <c r="N641" s="8" t="s">
        <v>3096</v>
      </c>
      <c r="O641" s="8">
        <f>1+39/60+24.9/3600</f>
        <v>1.6569166666666666</v>
      </c>
      <c r="P641" s="8" t="s">
        <v>3097</v>
      </c>
      <c r="Q641" s="8">
        <f>-(9+24/60+4/3600)</f>
        <v>-9.4011111111111116</v>
      </c>
      <c r="R641" s="8">
        <v>14.4</v>
      </c>
      <c r="S641" s="8">
        <v>15.3</v>
      </c>
      <c r="T641" s="8">
        <v>0.9</v>
      </c>
      <c r="U641" s="8">
        <v>12.8</v>
      </c>
      <c r="V641" s="8">
        <v>0.7</v>
      </c>
      <c r="W641" s="8">
        <v>0.5</v>
      </c>
      <c r="X641" s="8">
        <v>145</v>
      </c>
      <c r="Y641" s="8" t="s">
        <v>3098</v>
      </c>
      <c r="Z641" s="8" t="s">
        <v>3099</v>
      </c>
    </row>
    <row r="642" spans="1:26" x14ac:dyDescent="0.2">
      <c r="A642" s="8">
        <v>641</v>
      </c>
      <c r="B642" s="8" t="s">
        <v>3100</v>
      </c>
      <c r="C642" s="8" t="s">
        <v>3100</v>
      </c>
      <c r="F642" s="47"/>
      <c r="G642" s="8">
        <v>16</v>
      </c>
      <c r="H642" s="8" t="s">
        <v>21</v>
      </c>
      <c r="I642" s="8" t="s">
        <v>22</v>
      </c>
      <c r="J642" s="8" t="s">
        <v>22</v>
      </c>
      <c r="K642" s="8" t="s">
        <v>58</v>
      </c>
      <c r="L642" s="8" t="s">
        <v>166</v>
      </c>
      <c r="M642" s="8" t="s">
        <v>167</v>
      </c>
      <c r="N642" s="8" t="s">
        <v>3101</v>
      </c>
      <c r="O642" s="8">
        <f>1+38/60+39/3600</f>
        <v>1.6441666666666666</v>
      </c>
      <c r="P642" s="8" t="s">
        <v>3102</v>
      </c>
      <c r="Q642" s="8">
        <f>-(42+31/60+39/3600)</f>
        <v>-42.527499999999996</v>
      </c>
      <c r="R642" s="8">
        <v>12.1</v>
      </c>
      <c r="S642" s="8">
        <v>13.1</v>
      </c>
      <c r="T642" s="8">
        <v>1</v>
      </c>
      <c r="U642" s="8">
        <v>12.7</v>
      </c>
      <c r="V642" s="8">
        <v>1.4</v>
      </c>
      <c r="W642" s="8">
        <v>1.3</v>
      </c>
      <c r="X642" s="8">
        <v>4</v>
      </c>
      <c r="Y642" s="8" t="s">
        <v>3103</v>
      </c>
      <c r="Z642" s="8" t="s">
        <v>3104</v>
      </c>
    </row>
    <row r="643" spans="1:26" x14ac:dyDescent="0.2">
      <c r="A643" s="8">
        <v>642</v>
      </c>
      <c r="B643" s="8" t="s">
        <v>3105</v>
      </c>
      <c r="C643" s="8" t="s">
        <v>3105</v>
      </c>
      <c r="F643" s="47"/>
      <c r="G643" s="8">
        <v>16</v>
      </c>
      <c r="H643" s="8" t="s">
        <v>21</v>
      </c>
      <c r="I643" s="8" t="s">
        <v>22</v>
      </c>
      <c r="J643" s="8" t="s">
        <v>22</v>
      </c>
      <c r="K643" s="8" t="s">
        <v>64</v>
      </c>
      <c r="L643" s="8" t="s">
        <v>65</v>
      </c>
      <c r="M643" s="8" t="s">
        <v>66</v>
      </c>
      <c r="N643" s="8" t="s">
        <v>3106</v>
      </c>
      <c r="O643" s="8">
        <f>1+39/60+6.2/3600</f>
        <v>1.6517222222222221</v>
      </c>
      <c r="P643" s="8" t="s">
        <v>3107</v>
      </c>
      <c r="Q643" s="8">
        <f>-(29+54/60+55/3600)</f>
        <v>-29.915277777777778</v>
      </c>
      <c r="R643" s="8">
        <v>12.3</v>
      </c>
      <c r="S643" s="8">
        <v>13</v>
      </c>
      <c r="T643" s="8">
        <v>0.7</v>
      </c>
      <c r="U643" s="8">
        <v>13</v>
      </c>
      <c r="V643" s="8">
        <v>2</v>
      </c>
      <c r="W643" s="8">
        <v>1.1000000000000001</v>
      </c>
      <c r="X643" s="8">
        <v>31</v>
      </c>
      <c r="Y643" s="8" t="s">
        <v>3108</v>
      </c>
      <c r="Z643" s="8" t="s">
        <v>3109</v>
      </c>
    </row>
    <row r="644" spans="1:26" x14ac:dyDescent="0.2">
      <c r="A644" s="8">
        <v>643</v>
      </c>
      <c r="B644" s="8" t="s">
        <v>3110</v>
      </c>
      <c r="C644" s="8" t="s">
        <v>3110</v>
      </c>
      <c r="F644" s="47"/>
      <c r="G644" s="8">
        <v>13</v>
      </c>
      <c r="H644" s="8" t="s">
        <v>21</v>
      </c>
      <c r="I644" s="8" t="s">
        <v>557</v>
      </c>
      <c r="J644" s="8" t="s">
        <v>557</v>
      </c>
      <c r="K644" s="8" t="s">
        <v>557</v>
      </c>
      <c r="L644" s="8" t="s">
        <v>2916</v>
      </c>
      <c r="M644" s="8" t="s">
        <v>2917</v>
      </c>
      <c r="N644" s="8" t="s">
        <v>3111</v>
      </c>
      <c r="O644" s="8">
        <f>1+35/60+0.7/3600</f>
        <v>1.5835277777777779</v>
      </c>
      <c r="P644" s="8" t="s">
        <v>3112</v>
      </c>
      <c r="Q644" s="8">
        <f>-(75+33/60+24/3600)</f>
        <v>-75.556666666666658</v>
      </c>
      <c r="R644" s="8">
        <v>99</v>
      </c>
      <c r="S644" s="8">
        <v>99</v>
      </c>
      <c r="T644" s="8">
        <v>99</v>
      </c>
      <c r="U644" s="8">
        <v>99</v>
      </c>
      <c r="V644" s="8">
        <v>1.5</v>
      </c>
      <c r="Y644" s="8" t="s">
        <v>3113</v>
      </c>
      <c r="Z644" s="8" t="s">
        <v>3114</v>
      </c>
    </row>
    <row r="645" spans="1:26" x14ac:dyDescent="0.2">
      <c r="A645" s="8">
        <v>644</v>
      </c>
      <c r="B645" s="8" t="s">
        <v>3115</v>
      </c>
      <c r="C645" s="8" t="s">
        <v>3115</v>
      </c>
      <c r="F645" s="47"/>
      <c r="G645" s="8">
        <v>16</v>
      </c>
      <c r="H645" s="8" t="s">
        <v>21</v>
      </c>
      <c r="I645" s="8" t="s">
        <v>22</v>
      </c>
      <c r="J645" s="8" t="s">
        <v>22</v>
      </c>
      <c r="K645" s="8" t="s">
        <v>64</v>
      </c>
      <c r="L645" s="8" t="s">
        <v>166</v>
      </c>
      <c r="M645" s="8" t="s">
        <v>167</v>
      </c>
      <c r="N645" s="8" t="s">
        <v>3116</v>
      </c>
      <c r="O645" s="8">
        <f>1+38/60+52.8/3600</f>
        <v>1.6479999999999999</v>
      </c>
      <c r="P645" s="8" t="s">
        <v>3117</v>
      </c>
      <c r="Q645" s="8">
        <f>-(42+35/60+8/3600)</f>
        <v>-42.585555555555558</v>
      </c>
      <c r="R645" s="8">
        <v>14</v>
      </c>
      <c r="S645" s="8">
        <v>14.7</v>
      </c>
      <c r="T645" s="8">
        <v>0.7</v>
      </c>
      <c r="U645" s="8">
        <v>13.6</v>
      </c>
      <c r="V645" s="8">
        <v>1.3</v>
      </c>
      <c r="W645" s="8">
        <v>0.6</v>
      </c>
      <c r="X645" s="8">
        <v>155</v>
      </c>
      <c r="Y645" s="8" t="s">
        <v>3118</v>
      </c>
      <c r="Z645" s="8" t="s">
        <v>3119</v>
      </c>
    </row>
    <row r="646" spans="1:26" x14ac:dyDescent="0.2">
      <c r="A646" s="8">
        <v>645</v>
      </c>
      <c r="B646" s="8" t="s">
        <v>3120</v>
      </c>
      <c r="C646" s="8" t="s">
        <v>3120</v>
      </c>
      <c r="F646" s="47"/>
      <c r="G646" s="8">
        <v>18</v>
      </c>
      <c r="H646" s="8" t="s">
        <v>21</v>
      </c>
      <c r="I646" s="8" t="s">
        <v>22</v>
      </c>
      <c r="J646" s="8" t="s">
        <v>22</v>
      </c>
      <c r="K646" s="8" t="s">
        <v>218</v>
      </c>
      <c r="L646" s="8" t="s">
        <v>38</v>
      </c>
      <c r="M646" s="8" t="s">
        <v>39</v>
      </c>
      <c r="N646" s="8" t="s">
        <v>3121</v>
      </c>
      <c r="O646" s="8">
        <f>1+40/60+8.8/3600</f>
        <v>1.669111111111111</v>
      </c>
      <c r="P646" s="8" t="s">
        <v>3122</v>
      </c>
      <c r="Q646" s="8">
        <f>+(5+43/60+34/3600)</f>
        <v>5.7261111111111109</v>
      </c>
      <c r="R646" s="8">
        <v>12.6</v>
      </c>
      <c r="S646" s="8">
        <v>13.4</v>
      </c>
      <c r="T646" s="8">
        <v>0.8</v>
      </c>
      <c r="U646" s="8">
        <v>13.7</v>
      </c>
      <c r="V646" s="8">
        <v>2.6</v>
      </c>
      <c r="W646" s="8">
        <v>1.2</v>
      </c>
      <c r="X646" s="8">
        <v>125</v>
      </c>
      <c r="Y646" s="8" t="s">
        <v>3123</v>
      </c>
      <c r="Z646" s="8" t="s">
        <v>3124</v>
      </c>
    </row>
    <row r="647" spans="1:26" x14ac:dyDescent="0.2">
      <c r="A647" s="8">
        <v>646</v>
      </c>
      <c r="B647" s="8" t="s">
        <v>3125</v>
      </c>
      <c r="C647" s="8" t="s">
        <v>3125</v>
      </c>
      <c r="E647" s="8">
        <v>1</v>
      </c>
      <c r="F647" s="47"/>
      <c r="G647" s="8">
        <v>16</v>
      </c>
      <c r="H647" s="8" t="s">
        <v>21</v>
      </c>
      <c r="I647" s="8" t="s">
        <v>22</v>
      </c>
      <c r="J647" s="8" t="s">
        <v>22</v>
      </c>
      <c r="K647" s="8" t="s">
        <v>64</v>
      </c>
      <c r="L647" s="8" t="s">
        <v>2916</v>
      </c>
      <c r="M647" s="8" t="s">
        <v>2917</v>
      </c>
      <c r="N647" s="8" t="s">
        <v>3126</v>
      </c>
      <c r="O647" s="8">
        <f>1+37/60+21.1/3600</f>
        <v>1.6225277777777778</v>
      </c>
      <c r="P647" s="8" t="s">
        <v>3127</v>
      </c>
      <c r="Q647" s="8">
        <f>-(64+53/60+43/3600)</f>
        <v>-64.895277777777778</v>
      </c>
      <c r="R647" s="8">
        <v>13.5</v>
      </c>
      <c r="S647" s="8">
        <v>14.2</v>
      </c>
      <c r="T647" s="8">
        <v>0.7</v>
      </c>
      <c r="U647" s="8">
        <v>14.5</v>
      </c>
      <c r="V647" s="8">
        <v>2</v>
      </c>
      <c r="W647" s="8">
        <v>1.5</v>
      </c>
      <c r="X647" s="8">
        <v>78</v>
      </c>
      <c r="Y647" s="8" t="s">
        <v>3128</v>
      </c>
      <c r="Z647" s="8" t="s">
        <v>3129</v>
      </c>
    </row>
    <row r="648" spans="1:26" x14ac:dyDescent="0.2">
      <c r="A648" s="8">
        <v>647</v>
      </c>
      <c r="B648" s="8" t="s">
        <v>3130</v>
      </c>
      <c r="C648" s="8" t="s">
        <v>3130</v>
      </c>
      <c r="F648" s="47"/>
      <c r="G648" s="8">
        <v>19</v>
      </c>
      <c r="H648" s="8" t="s">
        <v>21</v>
      </c>
      <c r="I648" s="8" t="s">
        <v>22</v>
      </c>
      <c r="J648" s="8" t="s">
        <v>22</v>
      </c>
      <c r="K648" s="8" t="s">
        <v>224</v>
      </c>
      <c r="L648" s="8" t="s">
        <v>125</v>
      </c>
      <c r="M648" s="8" t="s">
        <v>126</v>
      </c>
      <c r="N648" s="8" t="s">
        <v>3131</v>
      </c>
      <c r="O648" s="8">
        <f>1+39/60+56.1/3600</f>
        <v>1.6655833333333332</v>
      </c>
      <c r="P648" s="8" t="s">
        <v>3132</v>
      </c>
      <c r="Q648" s="8">
        <f>-(9+14/60+31/3600)</f>
        <v>-9.2419444444444441</v>
      </c>
      <c r="R648" s="8">
        <v>13.4</v>
      </c>
      <c r="S648" s="8">
        <v>14.4</v>
      </c>
      <c r="T648" s="8">
        <v>1</v>
      </c>
      <c r="U648" s="8">
        <v>13.8</v>
      </c>
      <c r="V648" s="8">
        <v>1.5</v>
      </c>
      <c r="W648" s="8">
        <v>1.1000000000000001</v>
      </c>
      <c r="X648" s="8">
        <v>3</v>
      </c>
      <c r="Y648" s="8" t="s">
        <v>3133</v>
      </c>
      <c r="Z648" s="8" t="s">
        <v>3134</v>
      </c>
    </row>
    <row r="649" spans="1:26" x14ac:dyDescent="0.2">
      <c r="A649" s="8">
        <v>648</v>
      </c>
      <c r="B649" s="8" t="s">
        <v>3135</v>
      </c>
      <c r="C649" s="8" t="s">
        <v>3135</v>
      </c>
      <c r="F649" s="47"/>
      <c r="G649" s="8">
        <v>19</v>
      </c>
      <c r="H649" s="8" t="s">
        <v>21</v>
      </c>
      <c r="I649" s="8" t="s">
        <v>22</v>
      </c>
      <c r="J649" s="8" t="s">
        <v>22</v>
      </c>
      <c r="K649" s="8" t="s">
        <v>58</v>
      </c>
      <c r="L649" s="8" t="s">
        <v>125</v>
      </c>
      <c r="M649" s="8" t="s">
        <v>126</v>
      </c>
      <c r="N649" s="8" t="s">
        <v>3136</v>
      </c>
      <c r="O649" s="8">
        <f>1+38/60+39.8/3600</f>
        <v>1.6443888888888889</v>
      </c>
      <c r="P649" s="8" t="s">
        <v>3137</v>
      </c>
      <c r="Q649" s="8">
        <f>-(17+49/60+52/3600)</f>
        <v>-17.83111111111111</v>
      </c>
      <c r="R649" s="8">
        <v>14.4</v>
      </c>
      <c r="S649" s="8">
        <v>15.4</v>
      </c>
      <c r="T649" s="8">
        <v>1</v>
      </c>
      <c r="U649" s="8">
        <v>13.1</v>
      </c>
      <c r="V649" s="8">
        <v>0.7</v>
      </c>
      <c r="W649" s="8">
        <v>0.4</v>
      </c>
      <c r="X649" s="8">
        <v>114</v>
      </c>
      <c r="Y649" s="8" t="s">
        <v>3138</v>
      </c>
      <c r="Z649" s="8" t="s">
        <v>3139</v>
      </c>
    </row>
    <row r="650" spans="1:26" x14ac:dyDescent="0.2">
      <c r="A650" s="8">
        <v>649</v>
      </c>
      <c r="B650" s="8" t="s">
        <v>3140</v>
      </c>
      <c r="C650" s="8" t="s">
        <v>3140</v>
      </c>
      <c r="F650" s="47"/>
      <c r="G650" s="8">
        <v>19</v>
      </c>
      <c r="H650" s="8" t="s">
        <v>21</v>
      </c>
      <c r="I650" s="8" t="s">
        <v>22</v>
      </c>
      <c r="J650" s="8" t="s">
        <v>22</v>
      </c>
      <c r="K650" s="8" t="s">
        <v>91</v>
      </c>
      <c r="L650" s="8" t="s">
        <v>125</v>
      </c>
      <c r="M650" s="8" t="s">
        <v>126</v>
      </c>
      <c r="N650" s="8" t="s">
        <v>3141</v>
      </c>
      <c r="O650" s="8">
        <f>1+40/60+7.5/3600</f>
        <v>1.66875</v>
      </c>
      <c r="P650" s="8" t="s">
        <v>3142</v>
      </c>
      <c r="Q650" s="8">
        <f>-(9+16/60+18/3600)</f>
        <v>-9.2716666666666683</v>
      </c>
      <c r="R650" s="8">
        <v>14.3</v>
      </c>
      <c r="S650" s="8">
        <v>15.2</v>
      </c>
      <c r="T650" s="8">
        <v>0.9</v>
      </c>
      <c r="U650" s="8">
        <v>12.7</v>
      </c>
      <c r="V650" s="8">
        <v>0.9</v>
      </c>
      <c r="W650" s="8">
        <v>0.3</v>
      </c>
      <c r="X650" s="8">
        <v>20</v>
      </c>
      <c r="Y650" s="8" t="s">
        <v>3143</v>
      </c>
      <c r="Z650" s="8" t="s">
        <v>3144</v>
      </c>
    </row>
    <row r="651" spans="1:26" x14ac:dyDescent="0.2">
      <c r="A651" s="8">
        <v>650</v>
      </c>
      <c r="B651" s="8" t="s">
        <v>3145</v>
      </c>
      <c r="C651" s="8" t="s">
        <v>55867</v>
      </c>
      <c r="F651" s="47"/>
      <c r="G651" s="8">
        <v>1</v>
      </c>
      <c r="H651" s="8" t="s">
        <v>3146</v>
      </c>
      <c r="I651" s="8" t="s">
        <v>241</v>
      </c>
      <c r="J651" s="8" t="s">
        <v>241</v>
      </c>
      <c r="K651" s="8" t="s">
        <v>241</v>
      </c>
      <c r="L651" s="8" t="s">
        <v>3147</v>
      </c>
      <c r="M651" s="8" t="s">
        <v>3148</v>
      </c>
      <c r="N651" s="8" t="s">
        <v>3149</v>
      </c>
      <c r="O651" s="8">
        <f>1+42/60+18.1/3600</f>
        <v>1.7050277777777778</v>
      </c>
      <c r="P651" s="8" t="s">
        <v>3150</v>
      </c>
      <c r="Q651" s="8">
        <f>+(51+34/60+17/3600)</f>
        <v>51.57138888888889</v>
      </c>
      <c r="R651" s="8">
        <v>10.1</v>
      </c>
      <c r="S651" s="8">
        <v>12.2</v>
      </c>
      <c r="T651" s="8">
        <v>99</v>
      </c>
      <c r="U651" s="8">
        <v>99</v>
      </c>
      <c r="V651" s="8">
        <v>3.12</v>
      </c>
      <c r="Y651" s="8" t="s">
        <v>3151</v>
      </c>
      <c r="Z651" s="8" t="s">
        <v>3152</v>
      </c>
    </row>
    <row r="652" spans="1:26" x14ac:dyDescent="0.2">
      <c r="A652" s="8">
        <v>651</v>
      </c>
      <c r="B652" s="8" t="s">
        <v>3153</v>
      </c>
      <c r="C652" s="8" t="s">
        <v>3153</v>
      </c>
      <c r="F652" s="47" t="s">
        <v>56116</v>
      </c>
      <c r="G652" s="8">
        <v>7</v>
      </c>
      <c r="H652" s="8" t="s">
        <v>3146</v>
      </c>
      <c r="I652" s="8" t="s">
        <v>241</v>
      </c>
      <c r="J652" s="8" t="s">
        <v>57</v>
      </c>
      <c r="K652" s="8" t="s">
        <v>241</v>
      </c>
      <c r="L652" s="8" t="s">
        <v>3147</v>
      </c>
      <c r="M652" s="8" t="s">
        <v>3148</v>
      </c>
      <c r="N652" s="8" t="s">
        <v>3154</v>
      </c>
      <c r="O652" s="8">
        <f>1+42/60+22/3600</f>
        <v>1.7061111111111111</v>
      </c>
      <c r="P652" s="8" t="s">
        <v>3155</v>
      </c>
      <c r="Q652" s="8">
        <f>+(51+34/60+50/3600)</f>
        <v>51.580555555555556</v>
      </c>
      <c r="R652" s="8">
        <v>10.1</v>
      </c>
      <c r="S652" s="8">
        <v>12.2</v>
      </c>
      <c r="T652" s="8">
        <v>99</v>
      </c>
      <c r="U652" s="8">
        <v>99</v>
      </c>
      <c r="V652" s="8">
        <v>1.08</v>
      </c>
      <c r="Y652" s="8" t="s">
        <v>3156</v>
      </c>
      <c r="Z652" s="8" t="s">
        <v>3157</v>
      </c>
    </row>
    <row r="653" spans="1:26" x14ac:dyDescent="0.2">
      <c r="A653" s="8">
        <v>652</v>
      </c>
      <c r="B653" s="8" t="s">
        <v>3158</v>
      </c>
      <c r="C653" s="8" t="s">
        <v>3158</v>
      </c>
      <c r="F653" s="47"/>
      <c r="G653" s="8">
        <v>19</v>
      </c>
      <c r="H653" s="8" t="s">
        <v>21</v>
      </c>
      <c r="I653" s="8" t="s">
        <v>22</v>
      </c>
      <c r="J653" s="8" t="s">
        <v>22</v>
      </c>
      <c r="K653" s="8" t="s">
        <v>476</v>
      </c>
      <c r="L653" s="8" t="s">
        <v>38</v>
      </c>
      <c r="M653" s="8" t="s">
        <v>39</v>
      </c>
      <c r="N653" s="8" t="s">
        <v>3159</v>
      </c>
      <c r="O653" s="8">
        <f>1+40/60+43.2/3600</f>
        <v>1.6786666666666665</v>
      </c>
      <c r="P653" s="8" t="s">
        <v>3160</v>
      </c>
      <c r="Q653" s="8">
        <f>+(7+59/60+0/3600)</f>
        <v>7.9833333333333334</v>
      </c>
      <c r="R653" s="8">
        <v>13.7</v>
      </c>
      <c r="S653" s="8">
        <v>14.6</v>
      </c>
      <c r="T653" s="8">
        <v>0.9</v>
      </c>
      <c r="U653" s="8">
        <v>12.9</v>
      </c>
      <c r="V653" s="8">
        <v>1</v>
      </c>
      <c r="W653" s="8">
        <v>0.6</v>
      </c>
      <c r="X653" s="8">
        <v>55</v>
      </c>
      <c r="Y653" s="8" t="s">
        <v>3161</v>
      </c>
      <c r="Z653" s="8" t="s">
        <v>3162</v>
      </c>
    </row>
    <row r="654" spans="1:26" x14ac:dyDescent="0.2">
      <c r="A654" s="8">
        <v>653</v>
      </c>
      <c r="B654" s="8" t="s">
        <v>3163</v>
      </c>
      <c r="C654" s="8" t="s">
        <v>3163</v>
      </c>
      <c r="F654" s="47"/>
      <c r="G654" s="8">
        <v>19</v>
      </c>
      <c r="H654" s="8" t="s">
        <v>21</v>
      </c>
      <c r="I654" s="8" t="s">
        <v>22</v>
      </c>
      <c r="J654" s="8" t="s">
        <v>22</v>
      </c>
      <c r="K654" s="8" t="s">
        <v>31</v>
      </c>
      <c r="L654" s="8" t="s">
        <v>51</v>
      </c>
      <c r="M654" s="8" t="s">
        <v>52</v>
      </c>
      <c r="N654" s="8" t="s">
        <v>3164</v>
      </c>
      <c r="O654" s="8">
        <f>1+42/60+25.6/3600</f>
        <v>1.707111111111111</v>
      </c>
      <c r="P654" s="8" t="s">
        <v>3165</v>
      </c>
      <c r="Q654" s="8">
        <f>+(35+38/60+19/3600)</f>
        <v>35.638611111111111</v>
      </c>
      <c r="R654" s="8">
        <v>13.5</v>
      </c>
      <c r="S654" s="8">
        <v>14.3</v>
      </c>
      <c r="T654" s="8">
        <v>0.8</v>
      </c>
      <c r="U654" s="8">
        <v>12</v>
      </c>
      <c r="V654" s="8">
        <v>1.5</v>
      </c>
      <c r="W654" s="8">
        <v>0.2</v>
      </c>
      <c r="X654" s="8">
        <v>39</v>
      </c>
      <c r="Y654" s="8" t="s">
        <v>3166</v>
      </c>
      <c r="Z654" s="8" t="s">
        <v>3167</v>
      </c>
    </row>
    <row r="655" spans="1:26" x14ac:dyDescent="0.2">
      <c r="A655" s="8">
        <v>654</v>
      </c>
      <c r="B655" s="8" t="s">
        <v>3168</v>
      </c>
      <c r="C655" s="8" t="s">
        <v>3168</v>
      </c>
      <c r="F655" s="47" t="s">
        <v>56117</v>
      </c>
      <c r="G655" s="8">
        <v>5</v>
      </c>
      <c r="H655" s="8" t="s">
        <v>3169</v>
      </c>
      <c r="I655" s="8" t="s">
        <v>557</v>
      </c>
      <c r="J655" s="8" t="s">
        <v>557</v>
      </c>
      <c r="K655" s="8" t="s">
        <v>3170</v>
      </c>
      <c r="L655" s="8" t="s">
        <v>559</v>
      </c>
      <c r="M655" s="8" t="s">
        <v>560</v>
      </c>
      <c r="N655" s="8" t="s">
        <v>3171</v>
      </c>
      <c r="O655" s="8">
        <f>1+43/60+59.4/3600</f>
        <v>1.7331666666666667</v>
      </c>
      <c r="P655" s="8" t="s">
        <v>3172</v>
      </c>
      <c r="Q655" s="8">
        <f>+(61+52/60+58/3600)</f>
        <v>61.882777777777775</v>
      </c>
      <c r="R655" s="8">
        <v>6.5</v>
      </c>
      <c r="S655" s="8">
        <v>99</v>
      </c>
      <c r="T655" s="8">
        <v>99</v>
      </c>
      <c r="U655" s="8">
        <v>99</v>
      </c>
      <c r="V655" s="8">
        <v>6</v>
      </c>
      <c r="Y655" s="8" t="s">
        <v>3173</v>
      </c>
      <c r="Z655" s="8" t="s">
        <v>3174</v>
      </c>
    </row>
    <row r="656" spans="1:26" x14ac:dyDescent="0.2">
      <c r="A656" s="8">
        <v>655</v>
      </c>
      <c r="B656" s="8" t="s">
        <v>3175</v>
      </c>
      <c r="C656" s="8" t="s">
        <v>3175</v>
      </c>
      <c r="F656" s="47"/>
      <c r="G656" s="8">
        <v>19</v>
      </c>
      <c r="H656" s="8" t="s">
        <v>21</v>
      </c>
      <c r="I656" s="8" t="s">
        <v>22</v>
      </c>
      <c r="J656" s="8" t="s">
        <v>22</v>
      </c>
      <c r="K656" s="8" t="s">
        <v>643</v>
      </c>
      <c r="L656" s="8" t="s">
        <v>125</v>
      </c>
      <c r="M656" s="8" t="s">
        <v>126</v>
      </c>
      <c r="N656" s="8" t="s">
        <v>3176</v>
      </c>
      <c r="O656" s="8">
        <f>1+41/60+55.1/3600</f>
        <v>1.6986388888888888</v>
      </c>
      <c r="P656" s="8" t="s">
        <v>3177</v>
      </c>
      <c r="Q656" s="8">
        <f>-(13+4/60+57/3600)</f>
        <v>-13.0825</v>
      </c>
      <c r="R656" s="8">
        <v>14</v>
      </c>
      <c r="S656" s="8">
        <v>15</v>
      </c>
      <c r="T656" s="8">
        <v>1</v>
      </c>
      <c r="U656" s="8">
        <v>14.1</v>
      </c>
      <c r="V656" s="8">
        <v>1.4</v>
      </c>
      <c r="W656" s="8">
        <v>0.9</v>
      </c>
      <c r="X656" s="8">
        <v>78</v>
      </c>
      <c r="Y656" s="8" t="s">
        <v>3178</v>
      </c>
      <c r="Z656" s="8" t="s">
        <v>3179</v>
      </c>
    </row>
    <row r="657" spans="1:26" x14ac:dyDescent="0.2">
      <c r="A657" s="8">
        <v>656</v>
      </c>
      <c r="B657" s="8" t="s">
        <v>3180</v>
      </c>
      <c r="C657" s="8" t="s">
        <v>3180</v>
      </c>
      <c r="F657" s="47"/>
      <c r="G657" s="8">
        <v>18</v>
      </c>
      <c r="H657" s="8" t="s">
        <v>21</v>
      </c>
      <c r="I657" s="8" t="s">
        <v>22</v>
      </c>
      <c r="J657" s="8" t="s">
        <v>22</v>
      </c>
      <c r="K657" s="8" t="s">
        <v>224</v>
      </c>
      <c r="L657" s="8" t="s">
        <v>38</v>
      </c>
      <c r="M657" s="8" t="s">
        <v>39</v>
      </c>
      <c r="N657" s="8" t="s">
        <v>3181</v>
      </c>
      <c r="O657" s="8">
        <f>1+42/60+27.3/3600</f>
        <v>1.7075833333333332</v>
      </c>
      <c r="P657" s="8" t="s">
        <v>3182</v>
      </c>
      <c r="Q657" s="8">
        <f>+(26+8/60+36/3600)</f>
        <v>26.143333333333334</v>
      </c>
      <c r="R657" s="8">
        <v>12.4</v>
      </c>
      <c r="S657" s="8">
        <v>13.4</v>
      </c>
      <c r="T657" s="8">
        <v>1</v>
      </c>
      <c r="U657" s="8">
        <v>13</v>
      </c>
      <c r="V657" s="8">
        <v>1.5</v>
      </c>
      <c r="W657" s="8">
        <v>1.3</v>
      </c>
      <c r="X657" s="8">
        <v>35</v>
      </c>
      <c r="Y657" s="8" t="s">
        <v>3183</v>
      </c>
      <c r="Z657" s="8" t="s">
        <v>3184</v>
      </c>
    </row>
    <row r="658" spans="1:26" x14ac:dyDescent="0.2">
      <c r="A658" s="8">
        <v>657</v>
      </c>
      <c r="B658" s="8" t="s">
        <v>3185</v>
      </c>
      <c r="C658" s="8" t="s">
        <v>3185</v>
      </c>
      <c r="F658" s="47"/>
      <c r="G658" s="8">
        <v>16</v>
      </c>
      <c r="H658" s="8" t="s">
        <v>21</v>
      </c>
      <c r="I658" s="8" t="s">
        <v>557</v>
      </c>
      <c r="J658" s="8" t="s">
        <v>557</v>
      </c>
      <c r="K658" s="8" t="s">
        <v>557</v>
      </c>
      <c r="L658" s="8" t="s">
        <v>559</v>
      </c>
      <c r="M658" s="8" t="s">
        <v>560</v>
      </c>
      <c r="N658" s="8" t="s">
        <v>3186</v>
      </c>
      <c r="O658" s="8">
        <f>1+43/60+29.8/3600</f>
        <v>1.7249444444444446</v>
      </c>
      <c r="P658" s="8" t="s">
        <v>3187</v>
      </c>
      <c r="Q658" s="8">
        <f>+(55+52/60+30/3600)</f>
        <v>55.875</v>
      </c>
      <c r="R658" s="8">
        <v>99</v>
      </c>
      <c r="S658" s="8">
        <v>99</v>
      </c>
      <c r="T658" s="8">
        <v>99</v>
      </c>
      <c r="U658" s="8">
        <v>99</v>
      </c>
      <c r="V658" s="8">
        <v>7</v>
      </c>
      <c r="Y658" s="8" t="s">
        <v>3188</v>
      </c>
      <c r="Z658" s="8" t="s">
        <v>3189</v>
      </c>
    </row>
    <row r="659" spans="1:26" x14ac:dyDescent="0.2">
      <c r="A659" s="8">
        <v>658</v>
      </c>
      <c r="B659" s="8" t="s">
        <v>3190</v>
      </c>
      <c r="C659" s="8" t="s">
        <v>3190</v>
      </c>
      <c r="F659" s="47"/>
      <c r="G659" s="8">
        <v>19</v>
      </c>
      <c r="H659" s="8" t="s">
        <v>21</v>
      </c>
      <c r="I659" s="8" t="s">
        <v>22</v>
      </c>
      <c r="J659" s="8" t="s">
        <v>22</v>
      </c>
      <c r="K659" s="8" t="s">
        <v>23</v>
      </c>
      <c r="L659" s="8" t="s">
        <v>38</v>
      </c>
      <c r="M659" s="8" t="s">
        <v>39</v>
      </c>
      <c r="N659" s="8" t="s">
        <v>3191</v>
      </c>
      <c r="O659" s="8">
        <f>1+42/60+9.8/3600</f>
        <v>1.7027222222222222</v>
      </c>
      <c r="P659" s="8" t="s">
        <v>3192</v>
      </c>
      <c r="Q659" s="8">
        <f>+(12+36/60+5/3600)</f>
        <v>12.601388888888888</v>
      </c>
      <c r="R659" s="8">
        <v>12.5</v>
      </c>
      <c r="S659" s="8">
        <v>13.1</v>
      </c>
      <c r="T659" s="8">
        <v>0.6</v>
      </c>
      <c r="U659" s="8">
        <v>14</v>
      </c>
      <c r="V659" s="8">
        <v>3</v>
      </c>
      <c r="W659" s="8">
        <v>1.6</v>
      </c>
      <c r="X659" s="8">
        <v>23</v>
      </c>
      <c r="Y659" s="8" t="s">
        <v>3193</v>
      </c>
      <c r="Z659" s="8" t="s">
        <v>3194</v>
      </c>
    </row>
    <row r="660" spans="1:26" x14ac:dyDescent="0.2">
      <c r="A660" s="8">
        <v>659</v>
      </c>
      <c r="B660" s="8" t="s">
        <v>3195</v>
      </c>
      <c r="C660" s="8" t="s">
        <v>3195</v>
      </c>
      <c r="F660" s="47" t="s">
        <v>56118</v>
      </c>
      <c r="G660" s="8">
        <v>6</v>
      </c>
      <c r="H660" s="8" t="s">
        <v>3196</v>
      </c>
      <c r="I660" s="8" t="s">
        <v>557</v>
      </c>
      <c r="J660" s="8" t="s">
        <v>557</v>
      </c>
      <c r="K660" s="8" t="s">
        <v>1168</v>
      </c>
      <c r="L660" s="8" t="s">
        <v>559</v>
      </c>
      <c r="M660" s="8" t="s">
        <v>560</v>
      </c>
      <c r="N660" s="8" t="s">
        <v>3197</v>
      </c>
      <c r="O660" s="8">
        <f>1+44/60+24/3600</f>
        <v>1.74</v>
      </c>
      <c r="P660" s="8" t="s">
        <v>3198</v>
      </c>
      <c r="Q660" s="8">
        <f>+(60+40/60+12/3600)</f>
        <v>60.669999999999995</v>
      </c>
      <c r="R660" s="8">
        <v>7.9</v>
      </c>
      <c r="S660" s="8">
        <v>99</v>
      </c>
      <c r="T660" s="8">
        <v>99</v>
      </c>
      <c r="U660" s="8">
        <v>99</v>
      </c>
      <c r="V660" s="8">
        <v>6</v>
      </c>
      <c r="Y660" s="8" t="s">
        <v>3199</v>
      </c>
      <c r="Z660" s="8" t="s">
        <v>3200</v>
      </c>
    </row>
    <row r="661" spans="1:26" x14ac:dyDescent="0.2">
      <c r="A661" s="8">
        <v>660</v>
      </c>
      <c r="B661" s="8" t="s">
        <v>3201</v>
      </c>
      <c r="C661" s="8" t="s">
        <v>3201</v>
      </c>
      <c r="F661" s="47" t="s">
        <v>56119</v>
      </c>
      <c r="G661" s="8">
        <v>6.5</v>
      </c>
      <c r="H661" s="8" t="s">
        <v>21</v>
      </c>
      <c r="I661" s="8" t="s">
        <v>22</v>
      </c>
      <c r="J661" s="8" t="s">
        <v>22</v>
      </c>
      <c r="K661" s="8" t="s">
        <v>3202</v>
      </c>
      <c r="L661" s="8" t="s">
        <v>38</v>
      </c>
      <c r="M661" s="8" t="s">
        <v>39</v>
      </c>
      <c r="N661" s="8" t="s">
        <v>3203</v>
      </c>
      <c r="O661" s="8">
        <f>1+43/60+1.8/3600</f>
        <v>1.7171666666666667</v>
      </c>
      <c r="P661" s="8" t="s">
        <v>3204</v>
      </c>
      <c r="Q661" s="8">
        <f>+(13+38/60+37/3600)</f>
        <v>13.643611111111111</v>
      </c>
      <c r="R661" s="8">
        <v>11.2</v>
      </c>
      <c r="S661" s="8">
        <v>12</v>
      </c>
      <c r="T661" s="8">
        <v>0.8</v>
      </c>
      <c r="U661" s="8">
        <v>14.5</v>
      </c>
      <c r="V661" s="8">
        <v>8.3000000000000007</v>
      </c>
      <c r="W661" s="8">
        <v>3.2</v>
      </c>
      <c r="X661" s="8">
        <v>170</v>
      </c>
      <c r="Y661" s="8" t="s">
        <v>3205</v>
      </c>
      <c r="Z661" s="8" t="s">
        <v>3206</v>
      </c>
    </row>
    <row r="662" spans="1:26" x14ac:dyDescent="0.2">
      <c r="A662" s="8">
        <v>661</v>
      </c>
      <c r="B662" s="8" t="s">
        <v>3207</v>
      </c>
      <c r="C662" s="8" t="s">
        <v>3207</v>
      </c>
      <c r="F662" s="47" t="s">
        <v>56120</v>
      </c>
      <c r="G662" s="8">
        <v>15</v>
      </c>
      <c r="H662" s="8" t="s">
        <v>21</v>
      </c>
      <c r="I662" s="8" t="s">
        <v>22</v>
      </c>
      <c r="J662" s="8" t="s">
        <v>22</v>
      </c>
      <c r="K662" s="8" t="s">
        <v>1136</v>
      </c>
      <c r="L662" s="8" t="s">
        <v>2809</v>
      </c>
      <c r="M662" s="8" t="s">
        <v>2810</v>
      </c>
      <c r="N662" s="8" t="s">
        <v>3208</v>
      </c>
      <c r="O662" s="8">
        <f>1+44/60+14.6/3600</f>
        <v>1.7373888888888889</v>
      </c>
      <c r="P662" s="8" t="s">
        <v>3209</v>
      </c>
      <c r="Q662" s="8">
        <f>+(28+42/60+24/3600)</f>
        <v>28.706666666666667</v>
      </c>
      <c r="R662" s="8">
        <v>12.2</v>
      </c>
      <c r="S662" s="8">
        <v>13.2</v>
      </c>
      <c r="T662" s="8">
        <v>1</v>
      </c>
      <c r="U662" s="8">
        <v>13.2</v>
      </c>
      <c r="V662" s="8">
        <v>1.6</v>
      </c>
      <c r="W662" s="8">
        <v>1.3</v>
      </c>
      <c r="X662" s="8">
        <v>60</v>
      </c>
      <c r="Y662" s="8" t="s">
        <v>3210</v>
      </c>
      <c r="Z662" s="8" t="s">
        <v>3211</v>
      </c>
    </row>
    <row r="663" spans="1:26" x14ac:dyDescent="0.2">
      <c r="A663" s="8">
        <v>662</v>
      </c>
      <c r="B663" s="8" t="s">
        <v>3212</v>
      </c>
      <c r="C663" s="8" t="s">
        <v>3212</v>
      </c>
      <c r="F663" s="47"/>
      <c r="G663" s="8">
        <v>19</v>
      </c>
      <c r="H663" s="8" t="s">
        <v>21</v>
      </c>
      <c r="I663" s="8" t="s">
        <v>22</v>
      </c>
      <c r="J663" s="8" t="s">
        <v>22</v>
      </c>
      <c r="K663" s="8" t="s">
        <v>160</v>
      </c>
      <c r="L663" s="8" t="s">
        <v>51</v>
      </c>
      <c r="M663" s="8" t="s">
        <v>52</v>
      </c>
      <c r="N663" s="8" t="s">
        <v>3213</v>
      </c>
      <c r="O663" s="8">
        <f>1+44/60+35.5/3600</f>
        <v>1.7431944444444445</v>
      </c>
      <c r="P663" s="8" t="s">
        <v>3214</v>
      </c>
      <c r="Q663" s="8">
        <f>+(37+41/60+47/3600)</f>
        <v>37.696388888888883</v>
      </c>
      <c r="R663" s="8">
        <v>13</v>
      </c>
      <c r="S663" s="8">
        <v>13.7</v>
      </c>
      <c r="T663" s="8">
        <v>0.7</v>
      </c>
      <c r="U663" s="8">
        <v>11.8</v>
      </c>
      <c r="V663" s="8">
        <v>0.8</v>
      </c>
      <c r="W663" s="8">
        <v>0.5</v>
      </c>
      <c r="X663" s="8">
        <v>20</v>
      </c>
      <c r="Y663" s="8" t="s">
        <v>232</v>
      </c>
      <c r="Z663" s="8" t="s">
        <v>233</v>
      </c>
    </row>
    <row r="664" spans="1:26" x14ac:dyDescent="0.2">
      <c r="A664" s="8">
        <v>663</v>
      </c>
      <c r="B664" s="8" t="s">
        <v>3215</v>
      </c>
      <c r="C664" s="8" t="s">
        <v>3215</v>
      </c>
      <c r="F664" s="47" t="s">
        <v>56121</v>
      </c>
      <c r="G664" s="8">
        <v>2</v>
      </c>
      <c r="H664" s="8" t="s">
        <v>3216</v>
      </c>
      <c r="I664" s="8" t="s">
        <v>557</v>
      </c>
      <c r="J664" s="8" t="s">
        <v>557</v>
      </c>
      <c r="K664" s="8" t="s">
        <v>3217</v>
      </c>
      <c r="L664" s="8" t="s">
        <v>559</v>
      </c>
      <c r="M664" s="8" t="s">
        <v>560</v>
      </c>
      <c r="N664" s="8" t="s">
        <v>3218</v>
      </c>
      <c r="O664" s="8">
        <f>1+46/60+17/3600</f>
        <v>1.7713888888888889</v>
      </c>
      <c r="P664" s="8" t="s">
        <v>3219</v>
      </c>
      <c r="Q664" s="8">
        <f>+(61+13/60+6/3600)</f>
        <v>61.218333333333334</v>
      </c>
      <c r="R664" s="8">
        <v>7.1</v>
      </c>
      <c r="S664" s="8">
        <v>99</v>
      </c>
      <c r="T664" s="8">
        <v>99</v>
      </c>
      <c r="U664" s="8">
        <v>99</v>
      </c>
      <c r="V664" s="8">
        <v>15</v>
      </c>
      <c r="Y664" s="8" t="s">
        <v>3220</v>
      </c>
      <c r="Z664" s="8" t="s">
        <v>3221</v>
      </c>
    </row>
    <row r="665" spans="1:26" x14ac:dyDescent="0.2">
      <c r="A665" s="8">
        <v>664</v>
      </c>
      <c r="B665" s="8" t="s">
        <v>3222</v>
      </c>
      <c r="C665" s="8" t="s">
        <v>3222</v>
      </c>
      <c r="F665" s="47"/>
      <c r="G665" s="8">
        <v>16</v>
      </c>
      <c r="H665" s="8" t="s">
        <v>21</v>
      </c>
      <c r="I665" s="8" t="s">
        <v>22</v>
      </c>
      <c r="J665" s="8" t="s">
        <v>22</v>
      </c>
      <c r="K665" s="8" t="s">
        <v>23</v>
      </c>
      <c r="L665" s="8" t="s">
        <v>38</v>
      </c>
      <c r="M665" s="8" t="s">
        <v>39</v>
      </c>
      <c r="N665" s="8" t="s">
        <v>3223</v>
      </c>
      <c r="O665" s="8">
        <f>1+43/60+45.9/3600</f>
        <v>1.7294166666666668</v>
      </c>
      <c r="P665" s="8" t="s">
        <v>3224</v>
      </c>
      <c r="Q665" s="8">
        <f>+(4+13/60+21/3600)</f>
        <v>4.2225000000000001</v>
      </c>
      <c r="R665" s="8">
        <v>12.8</v>
      </c>
      <c r="S665" s="8">
        <v>13.6</v>
      </c>
      <c r="T665" s="8">
        <v>0.8</v>
      </c>
      <c r="U665" s="8">
        <v>12.6</v>
      </c>
      <c r="V665" s="8">
        <v>1.1000000000000001</v>
      </c>
      <c r="W665" s="8">
        <v>0.9</v>
      </c>
      <c r="X665" s="8">
        <v>65</v>
      </c>
      <c r="Y665" s="8" t="s">
        <v>170</v>
      </c>
      <c r="Z665" s="8" t="s">
        <v>171</v>
      </c>
    </row>
    <row r="666" spans="1:26" x14ac:dyDescent="0.2">
      <c r="A666" s="8">
        <v>665</v>
      </c>
      <c r="B666" s="8" t="s">
        <v>3225</v>
      </c>
      <c r="C666" s="8" t="s">
        <v>3225</v>
      </c>
      <c r="F666" s="47" t="s">
        <v>56122</v>
      </c>
      <c r="G666" s="8">
        <v>6.5</v>
      </c>
      <c r="H666" s="8" t="s">
        <v>21</v>
      </c>
      <c r="I666" s="8" t="s">
        <v>22</v>
      </c>
      <c r="J666" s="8" t="s">
        <v>22</v>
      </c>
      <c r="K666" s="8" t="s">
        <v>37</v>
      </c>
      <c r="L666" s="8" t="s">
        <v>38</v>
      </c>
      <c r="M666" s="8" t="s">
        <v>39</v>
      </c>
      <c r="N666" s="8" t="s">
        <v>3226</v>
      </c>
      <c r="O666" s="8">
        <f>1+44/60+56/3600</f>
        <v>1.7488888888888889</v>
      </c>
      <c r="P666" s="8" t="s">
        <v>3227</v>
      </c>
      <c r="Q666" s="8">
        <f>+(10+25/60+23/3600)</f>
        <v>10.423055555555555</v>
      </c>
      <c r="R666" s="8">
        <v>12.2</v>
      </c>
      <c r="S666" s="8">
        <v>13.2</v>
      </c>
      <c r="T666" s="8">
        <v>1</v>
      </c>
      <c r="U666" s="8">
        <v>13.5</v>
      </c>
      <c r="V666" s="8">
        <v>2.4</v>
      </c>
      <c r="W666" s="8">
        <v>1.6</v>
      </c>
      <c r="X666" s="8">
        <v>125</v>
      </c>
      <c r="Y666" s="8" t="s">
        <v>3228</v>
      </c>
      <c r="Z666" s="8" t="s">
        <v>3229</v>
      </c>
    </row>
    <row r="667" spans="1:26" x14ac:dyDescent="0.2">
      <c r="A667" s="8">
        <v>666</v>
      </c>
      <c r="B667" s="8" t="s">
        <v>3230</v>
      </c>
      <c r="C667" s="8" t="s">
        <v>3230</v>
      </c>
      <c r="F667" s="47"/>
      <c r="G667" s="8">
        <v>19</v>
      </c>
      <c r="H667" s="8" t="s">
        <v>21</v>
      </c>
      <c r="I667" s="8" t="s">
        <v>22</v>
      </c>
      <c r="J667" s="8" t="s">
        <v>22</v>
      </c>
      <c r="K667" s="8" t="s">
        <v>476</v>
      </c>
      <c r="L667" s="8" t="s">
        <v>2809</v>
      </c>
      <c r="M667" s="8" t="s">
        <v>2810</v>
      </c>
      <c r="N667" s="8" t="s">
        <v>3231</v>
      </c>
      <c r="O667" s="8">
        <f>1+46/60+6/3600</f>
        <v>1.7683333333333333</v>
      </c>
      <c r="P667" s="8" t="s">
        <v>3232</v>
      </c>
      <c r="Q667" s="8">
        <f>+(34+22/60+29/3600)</f>
        <v>34.374722222222225</v>
      </c>
      <c r="R667" s="8">
        <v>13.4</v>
      </c>
      <c r="S667" s="8">
        <v>14.3</v>
      </c>
      <c r="T667" s="8">
        <v>0.9</v>
      </c>
      <c r="U667" s="8">
        <v>12.2</v>
      </c>
      <c r="V667" s="8">
        <v>0.7</v>
      </c>
      <c r="W667" s="8">
        <v>0.5</v>
      </c>
      <c r="X667" s="8">
        <v>80</v>
      </c>
      <c r="Y667" s="8" t="s">
        <v>3233</v>
      </c>
      <c r="Z667" s="8" t="s">
        <v>3234</v>
      </c>
    </row>
    <row r="668" spans="1:26" x14ac:dyDescent="0.2">
      <c r="A668" s="8">
        <v>667</v>
      </c>
      <c r="B668" s="8" t="s">
        <v>3235</v>
      </c>
      <c r="C668" s="8" t="s">
        <v>3235</v>
      </c>
      <c r="F668" s="47"/>
      <c r="G668" s="8">
        <v>19</v>
      </c>
      <c r="H668" s="8" t="s">
        <v>21</v>
      </c>
      <c r="I668" s="8" t="s">
        <v>22</v>
      </c>
      <c r="J668" s="8" t="s">
        <v>22</v>
      </c>
      <c r="K668" s="8" t="s">
        <v>37</v>
      </c>
      <c r="L668" s="8" t="s">
        <v>125</v>
      </c>
      <c r="M668" s="8" t="s">
        <v>126</v>
      </c>
      <c r="N668" s="8" t="s">
        <v>3236</v>
      </c>
      <c r="O668" s="8">
        <f>1+44/60+56.6/3600</f>
        <v>1.7490555555555556</v>
      </c>
      <c r="P668" s="8" t="s">
        <v>3237</v>
      </c>
      <c r="Q668" s="8">
        <f>-(22+55/60+9/3600)</f>
        <v>-22.919166666666669</v>
      </c>
      <c r="R668" s="8">
        <v>14.3</v>
      </c>
      <c r="S668" s="8">
        <v>15.3</v>
      </c>
      <c r="T668" s="8">
        <v>1</v>
      </c>
      <c r="U668" s="8">
        <v>12.8</v>
      </c>
      <c r="V668" s="8">
        <v>0.6</v>
      </c>
      <c r="W668" s="8">
        <v>0.5</v>
      </c>
      <c r="X668" s="8">
        <v>86</v>
      </c>
      <c r="Y668" s="8" t="s">
        <v>3238</v>
      </c>
      <c r="Z668" s="8" t="s">
        <v>3239</v>
      </c>
    </row>
    <row r="669" spans="1:26" x14ac:dyDescent="0.2">
      <c r="A669" s="8">
        <v>668</v>
      </c>
      <c r="B669" s="8" t="s">
        <v>3240</v>
      </c>
      <c r="C669" s="8" t="s">
        <v>3240</v>
      </c>
      <c r="F669" s="47"/>
      <c r="G669" s="8">
        <v>19</v>
      </c>
      <c r="H669" s="8" t="s">
        <v>21</v>
      </c>
      <c r="I669" s="8" t="s">
        <v>22</v>
      </c>
      <c r="J669" s="8" t="s">
        <v>22</v>
      </c>
      <c r="K669" s="8" t="s">
        <v>23</v>
      </c>
      <c r="L669" s="8" t="s">
        <v>51</v>
      </c>
      <c r="M669" s="8" t="s">
        <v>52</v>
      </c>
      <c r="N669" s="8" t="s">
        <v>3241</v>
      </c>
      <c r="O669" s="8">
        <f>1+46/60+22.6/3600</f>
        <v>1.7729444444444444</v>
      </c>
      <c r="P669" s="8" t="s">
        <v>3242</v>
      </c>
      <c r="Q669" s="8">
        <f>+(36+27/60+36/3600)</f>
        <v>36.46</v>
      </c>
      <c r="R669" s="8">
        <v>13.1</v>
      </c>
      <c r="S669" s="8">
        <v>13.7</v>
      </c>
      <c r="T669" s="8">
        <v>0.6</v>
      </c>
      <c r="U669" s="8">
        <v>13.8</v>
      </c>
      <c r="V669" s="8">
        <v>1.8</v>
      </c>
      <c r="W669" s="8">
        <v>1.2</v>
      </c>
      <c r="X669" s="8">
        <v>30</v>
      </c>
      <c r="Y669" s="8" t="s">
        <v>3243</v>
      </c>
      <c r="Z669" s="8" t="s">
        <v>3244</v>
      </c>
    </row>
    <row r="670" spans="1:26" x14ac:dyDescent="0.2">
      <c r="A670" s="8">
        <v>669</v>
      </c>
      <c r="B670" s="8" t="s">
        <v>3245</v>
      </c>
      <c r="C670" s="8" t="s">
        <v>3245</v>
      </c>
      <c r="F670" s="47"/>
      <c r="G670" s="8">
        <v>9</v>
      </c>
      <c r="H670" s="8" t="s">
        <v>21</v>
      </c>
      <c r="I670" s="8" t="s">
        <v>22</v>
      </c>
      <c r="J670" s="8" t="s">
        <v>22</v>
      </c>
      <c r="K670" s="8" t="s">
        <v>31</v>
      </c>
      <c r="L670" s="8" t="s">
        <v>2809</v>
      </c>
      <c r="M670" s="8" t="s">
        <v>2810</v>
      </c>
      <c r="N670" s="8" t="s">
        <v>3246</v>
      </c>
      <c r="O670" s="8">
        <f>1+47/60+16/3600</f>
        <v>1.7877777777777777</v>
      </c>
      <c r="P670" s="8" t="s">
        <v>3247</v>
      </c>
      <c r="Q670" s="8">
        <f>+(35+33/60+47/3600)</f>
        <v>35.56305555555555</v>
      </c>
      <c r="R670" s="8">
        <v>12.3</v>
      </c>
      <c r="S670" s="8">
        <v>13.4</v>
      </c>
      <c r="T670" s="8">
        <v>1.1000000000000001</v>
      </c>
      <c r="U670" s="8">
        <v>12.9</v>
      </c>
      <c r="V670" s="8">
        <v>3.1</v>
      </c>
      <c r="W670" s="8">
        <v>0.6</v>
      </c>
      <c r="X670" s="8">
        <v>36</v>
      </c>
      <c r="Y670" s="8" t="s">
        <v>3248</v>
      </c>
      <c r="Z670" s="8" t="s">
        <v>3249</v>
      </c>
    </row>
    <row r="671" spans="1:26" x14ac:dyDescent="0.2">
      <c r="A671" s="8">
        <v>670</v>
      </c>
      <c r="B671" s="8" t="s">
        <v>3250</v>
      </c>
      <c r="C671" s="8" t="s">
        <v>3250</v>
      </c>
      <c r="F671" s="47" t="s">
        <v>56123</v>
      </c>
      <c r="G671" s="8">
        <v>9</v>
      </c>
      <c r="H671" s="8" t="s">
        <v>21</v>
      </c>
      <c r="I671" s="8" t="s">
        <v>22</v>
      </c>
      <c r="J671" s="8" t="s">
        <v>22</v>
      </c>
      <c r="K671" s="8" t="s">
        <v>37</v>
      </c>
      <c r="L671" s="8" t="s">
        <v>2809</v>
      </c>
      <c r="M671" s="8" t="s">
        <v>2810</v>
      </c>
      <c r="N671" s="8" t="s">
        <v>3251</v>
      </c>
      <c r="O671" s="8">
        <f>1+47/60+24.9/3600</f>
        <v>1.7902499999999999</v>
      </c>
      <c r="P671" s="8" t="s">
        <v>3252</v>
      </c>
      <c r="Q671" s="8">
        <f>+(27+53/60+10/3600)</f>
        <v>27.886111111111109</v>
      </c>
      <c r="R671" s="8">
        <v>12.7</v>
      </c>
      <c r="S671" s="8">
        <v>13.6</v>
      </c>
      <c r="T671" s="8">
        <v>0.9</v>
      </c>
      <c r="U671" s="8">
        <v>13.3</v>
      </c>
      <c r="V671" s="8">
        <v>2.1</v>
      </c>
      <c r="W671" s="8">
        <v>0.9</v>
      </c>
      <c r="X671" s="8">
        <v>172</v>
      </c>
      <c r="Y671" s="8" t="s">
        <v>3253</v>
      </c>
      <c r="Z671" s="8" t="s">
        <v>3254</v>
      </c>
    </row>
    <row r="672" spans="1:26" x14ac:dyDescent="0.2">
      <c r="A672" s="8">
        <v>671</v>
      </c>
      <c r="B672" s="8" t="s">
        <v>3255</v>
      </c>
      <c r="C672" s="8" t="s">
        <v>3255</v>
      </c>
      <c r="F672" s="47"/>
      <c r="G672" s="8">
        <v>19</v>
      </c>
      <c r="H672" s="8" t="s">
        <v>21</v>
      </c>
      <c r="I672" s="8" t="s">
        <v>22</v>
      </c>
      <c r="J672" s="8" t="s">
        <v>22</v>
      </c>
      <c r="K672" s="8" t="s">
        <v>476</v>
      </c>
      <c r="L672" s="8" t="s">
        <v>3256</v>
      </c>
      <c r="M672" s="8" t="s">
        <v>3257</v>
      </c>
      <c r="N672" s="8" t="s">
        <v>3258</v>
      </c>
      <c r="O672" s="8">
        <f>1+46/60+59.1/3600</f>
        <v>1.7830833333333334</v>
      </c>
      <c r="P672" s="8" t="s">
        <v>3259</v>
      </c>
      <c r="Q672" s="8">
        <f>+(13+7/60+31/3600)</f>
        <v>13.125277777777779</v>
      </c>
      <c r="R672" s="8">
        <v>13.3</v>
      </c>
      <c r="S672" s="8">
        <v>14.2</v>
      </c>
      <c r="T672" s="8">
        <v>0.9</v>
      </c>
      <c r="U672" s="8">
        <v>12.8</v>
      </c>
      <c r="V672" s="8">
        <v>1.5</v>
      </c>
      <c r="W672" s="8">
        <v>0.5</v>
      </c>
      <c r="X672" s="8">
        <v>55</v>
      </c>
      <c r="Y672" s="8" t="s">
        <v>3260</v>
      </c>
      <c r="Z672" s="8" t="s">
        <v>3261</v>
      </c>
    </row>
    <row r="673" spans="1:26" x14ac:dyDescent="0.2">
      <c r="A673" s="8">
        <v>672</v>
      </c>
      <c r="B673" s="8" t="s">
        <v>3262</v>
      </c>
      <c r="C673" s="8" t="s">
        <v>3262</v>
      </c>
      <c r="F673" s="47" t="s">
        <v>56124</v>
      </c>
      <c r="G673" s="8">
        <v>6.5</v>
      </c>
      <c r="H673" s="8" t="s">
        <v>21</v>
      </c>
      <c r="I673" s="8" t="s">
        <v>22</v>
      </c>
      <c r="J673" s="8" t="s">
        <v>22</v>
      </c>
      <c r="K673" s="8" t="s">
        <v>64</v>
      </c>
      <c r="L673" s="8" t="s">
        <v>2809</v>
      </c>
      <c r="M673" s="8" t="s">
        <v>2810</v>
      </c>
      <c r="N673" s="8" t="s">
        <v>3263</v>
      </c>
      <c r="O673" s="8">
        <f>1+47/60+54/3600</f>
        <v>1.7983333333333331</v>
      </c>
      <c r="P673" s="8" t="s">
        <v>3264</v>
      </c>
      <c r="Q673" s="8">
        <f>+(27+25/60+58/3600)</f>
        <v>27.43277777777778</v>
      </c>
      <c r="R673" s="8">
        <v>10.9</v>
      </c>
      <c r="S673" s="8">
        <v>11.5</v>
      </c>
      <c r="T673" s="8">
        <v>0.6</v>
      </c>
      <c r="U673" s="8">
        <v>13.9</v>
      </c>
      <c r="V673" s="8">
        <v>6</v>
      </c>
      <c r="W673" s="8">
        <v>2.4</v>
      </c>
      <c r="X673" s="8">
        <v>65</v>
      </c>
      <c r="Y673" s="8" t="s">
        <v>3265</v>
      </c>
      <c r="Z673" s="8" t="s">
        <v>3266</v>
      </c>
    </row>
    <row r="674" spans="1:26" x14ac:dyDescent="0.2">
      <c r="A674" s="8">
        <v>673</v>
      </c>
      <c r="B674" s="8" t="s">
        <v>3267</v>
      </c>
      <c r="C674" s="8" t="s">
        <v>3267</v>
      </c>
      <c r="F674" s="47" t="s">
        <v>56125</v>
      </c>
      <c r="G674" s="8">
        <v>15</v>
      </c>
      <c r="H674" s="8" t="s">
        <v>21</v>
      </c>
      <c r="I674" s="8" t="s">
        <v>22</v>
      </c>
      <c r="J674" s="8" t="s">
        <v>22</v>
      </c>
      <c r="K674" s="8" t="s">
        <v>160</v>
      </c>
      <c r="L674" s="8" t="s">
        <v>3256</v>
      </c>
      <c r="M674" s="8" t="s">
        <v>3257</v>
      </c>
      <c r="N674" s="8" t="s">
        <v>3268</v>
      </c>
      <c r="O674" s="8">
        <f>1+48/60+22.4/3600</f>
        <v>1.8062222222222222</v>
      </c>
      <c r="P674" s="8" t="s">
        <v>3269</v>
      </c>
      <c r="Q674" s="8">
        <f>+(11+31/60+17/3600)</f>
        <v>11.52138888888889</v>
      </c>
      <c r="R674" s="8">
        <v>12.6</v>
      </c>
      <c r="S674" s="8">
        <v>13.2</v>
      </c>
      <c r="T674" s="8">
        <v>0.6</v>
      </c>
      <c r="U674" s="8">
        <v>13.8</v>
      </c>
      <c r="V674" s="8">
        <v>2.1</v>
      </c>
      <c r="W674" s="8">
        <v>1.7</v>
      </c>
      <c r="X674" s="8">
        <v>0</v>
      </c>
      <c r="Y674" s="8" t="s">
        <v>3270</v>
      </c>
      <c r="Z674" s="8" t="s">
        <v>3271</v>
      </c>
    </row>
    <row r="675" spans="1:26" x14ac:dyDescent="0.2">
      <c r="A675" s="8">
        <v>674</v>
      </c>
      <c r="B675" s="8" t="s">
        <v>3272</v>
      </c>
      <c r="C675" s="8" t="s">
        <v>3272</v>
      </c>
      <c r="F675" s="47"/>
      <c r="G675" s="8">
        <v>18</v>
      </c>
      <c r="H675" s="8" t="s">
        <v>21</v>
      </c>
      <c r="I675" s="8" t="s">
        <v>22</v>
      </c>
      <c r="J675" s="8" t="s">
        <v>57</v>
      </c>
      <c r="K675" s="8" t="s">
        <v>85</v>
      </c>
      <c r="L675" s="8" t="s">
        <v>3256</v>
      </c>
      <c r="M675" s="8" t="s">
        <v>3257</v>
      </c>
      <c r="N675" s="8" t="s">
        <v>3273</v>
      </c>
      <c r="O675" s="8">
        <f>1+51/60+17.5/3600</f>
        <v>1.8548611111111113</v>
      </c>
      <c r="P675" s="8" t="s">
        <v>3274</v>
      </c>
      <c r="Q675" s="8">
        <f>+(22+21/60+27/3600)</f>
        <v>22.357500000000002</v>
      </c>
      <c r="R675" s="8">
        <v>12</v>
      </c>
      <c r="S675" s="8">
        <v>12.8</v>
      </c>
      <c r="T675" s="8">
        <v>0.8</v>
      </c>
      <c r="U675" s="8">
        <v>13.9</v>
      </c>
      <c r="V675" s="8">
        <v>4</v>
      </c>
      <c r="W675" s="8">
        <v>1.3</v>
      </c>
      <c r="X675" s="8">
        <v>105</v>
      </c>
      <c r="Y675" s="8" t="s">
        <v>3275</v>
      </c>
      <c r="Z675" s="8" t="s">
        <v>3276</v>
      </c>
    </row>
    <row r="676" spans="1:26" x14ac:dyDescent="0.2">
      <c r="A676" s="8">
        <v>675</v>
      </c>
      <c r="B676" s="8" t="s">
        <v>3277</v>
      </c>
      <c r="C676" s="8" t="s">
        <v>3277</v>
      </c>
      <c r="F676" s="47"/>
      <c r="G676" s="8">
        <v>19</v>
      </c>
      <c r="H676" s="8" t="s">
        <v>21</v>
      </c>
      <c r="I676" s="8" t="s">
        <v>22</v>
      </c>
      <c r="J676" s="8" t="s">
        <v>22</v>
      </c>
      <c r="K676" s="8" t="s">
        <v>449</v>
      </c>
      <c r="L676" s="8" t="s">
        <v>3256</v>
      </c>
      <c r="M676" s="8" t="s">
        <v>3257</v>
      </c>
      <c r="N676" s="8" t="s">
        <v>3278</v>
      </c>
      <c r="O676" s="8">
        <f>1+49/60+8.5/3600</f>
        <v>1.8190277777777777</v>
      </c>
      <c r="P676" s="8" t="s">
        <v>3279</v>
      </c>
      <c r="Q676" s="8">
        <f>+(13+3/60+35/3600)</f>
        <v>13.059722222222224</v>
      </c>
      <c r="R676" s="8">
        <v>14.4</v>
      </c>
      <c r="S676" s="8">
        <v>15.3</v>
      </c>
      <c r="T676" s="8">
        <v>0.9</v>
      </c>
      <c r="U676" s="8">
        <v>13.3</v>
      </c>
      <c r="V676" s="8">
        <v>1</v>
      </c>
      <c r="W676" s="8">
        <v>0.4</v>
      </c>
      <c r="X676" s="8">
        <v>99</v>
      </c>
      <c r="Y676" s="8" t="s">
        <v>3280</v>
      </c>
      <c r="Z676" s="8" t="s">
        <v>3281</v>
      </c>
    </row>
    <row r="677" spans="1:26" x14ac:dyDescent="0.2">
      <c r="A677" s="8">
        <v>676</v>
      </c>
      <c r="B677" s="8" t="s">
        <v>3282</v>
      </c>
      <c r="C677" s="8" t="s">
        <v>3282</v>
      </c>
      <c r="F677" s="47" t="s">
        <v>56126</v>
      </c>
      <c r="G677" s="8">
        <v>15</v>
      </c>
      <c r="H677" s="8" t="s">
        <v>21</v>
      </c>
      <c r="I677" s="8" t="s">
        <v>22</v>
      </c>
      <c r="J677" s="8" t="s">
        <v>22</v>
      </c>
      <c r="K677" s="8" t="s">
        <v>632</v>
      </c>
      <c r="L677" s="8" t="s">
        <v>38</v>
      </c>
      <c r="M677" s="8" t="s">
        <v>39</v>
      </c>
      <c r="N677" s="8" t="s">
        <v>3283</v>
      </c>
      <c r="O677" s="8">
        <f>1+48/60+57.2/3600</f>
        <v>1.8158888888888889</v>
      </c>
      <c r="P677" s="8" t="s">
        <v>3284</v>
      </c>
      <c r="Q677" s="8">
        <f>+(5+54/60+22/3600)</f>
        <v>5.9061111111111115</v>
      </c>
      <c r="R677" s="8">
        <v>11.9</v>
      </c>
      <c r="S677" s="8">
        <v>12.8</v>
      </c>
      <c r="T677" s="8">
        <v>0.9</v>
      </c>
      <c r="U677" s="8">
        <v>13.3</v>
      </c>
      <c r="V677" s="8">
        <v>4</v>
      </c>
      <c r="W677" s="8">
        <v>1</v>
      </c>
      <c r="X677" s="8">
        <v>172</v>
      </c>
      <c r="Y677" s="8" t="s">
        <v>3285</v>
      </c>
      <c r="Z677" s="8" t="s">
        <v>3286</v>
      </c>
    </row>
    <row r="678" spans="1:26" x14ac:dyDescent="0.2">
      <c r="A678" s="8">
        <v>677</v>
      </c>
      <c r="B678" s="8" t="s">
        <v>3287</v>
      </c>
      <c r="C678" s="8" t="s">
        <v>3287</v>
      </c>
      <c r="F678" s="47"/>
      <c r="G678" s="8">
        <v>19</v>
      </c>
      <c r="H678" s="8" t="s">
        <v>21</v>
      </c>
      <c r="I678" s="8" t="s">
        <v>22</v>
      </c>
      <c r="J678" s="8" t="s">
        <v>22</v>
      </c>
      <c r="K678" s="8" t="s">
        <v>460</v>
      </c>
      <c r="L678" s="8" t="s">
        <v>3256</v>
      </c>
      <c r="M678" s="8" t="s">
        <v>3257</v>
      </c>
      <c r="N678" s="8" t="s">
        <v>3288</v>
      </c>
      <c r="O678" s="8">
        <f>1+49/60+14/3600</f>
        <v>1.8205555555555555</v>
      </c>
      <c r="P678" s="8" t="s">
        <v>3289</v>
      </c>
      <c r="Q678" s="8">
        <f>+(13+3/60+21/3600)</f>
        <v>13.055833333333334</v>
      </c>
      <c r="R678" s="8">
        <v>12.2</v>
      </c>
      <c r="S678" s="8">
        <v>13.2</v>
      </c>
      <c r="T678" s="8">
        <v>1</v>
      </c>
      <c r="U678" s="8">
        <v>13.7</v>
      </c>
      <c r="V678" s="8">
        <v>2</v>
      </c>
      <c r="W678" s="8">
        <v>2</v>
      </c>
      <c r="Y678" s="8" t="s">
        <v>3290</v>
      </c>
      <c r="Z678" s="8" t="s">
        <v>3291</v>
      </c>
    </row>
    <row r="679" spans="1:26" x14ac:dyDescent="0.2">
      <c r="A679" s="8">
        <v>678</v>
      </c>
      <c r="B679" s="8" t="s">
        <v>3292</v>
      </c>
      <c r="C679" s="8" t="s">
        <v>3292</v>
      </c>
      <c r="F679" s="47" t="s">
        <v>56127</v>
      </c>
      <c r="G679" s="8">
        <v>15</v>
      </c>
      <c r="H679" s="8" t="s">
        <v>21</v>
      </c>
      <c r="I679" s="8" t="s">
        <v>22</v>
      </c>
      <c r="J679" s="8" t="s">
        <v>22</v>
      </c>
      <c r="K679" s="8" t="s">
        <v>218</v>
      </c>
      <c r="L679" s="8" t="s">
        <v>3256</v>
      </c>
      <c r="M679" s="8" t="s">
        <v>3257</v>
      </c>
      <c r="N679" s="8" t="s">
        <v>3293</v>
      </c>
      <c r="O679" s="8">
        <f>1+49/60+24.8/3600</f>
        <v>1.8235555555555556</v>
      </c>
      <c r="P679" s="8" t="s">
        <v>3294</v>
      </c>
      <c r="Q679" s="8">
        <f>+(21+59/60+49/3600)</f>
        <v>21.996944444444445</v>
      </c>
      <c r="R679" s="8">
        <v>12.2</v>
      </c>
      <c r="S679" s="8">
        <v>13.3</v>
      </c>
      <c r="T679" s="8">
        <v>1.1000000000000001</v>
      </c>
      <c r="U679" s="8">
        <v>13.4</v>
      </c>
      <c r="V679" s="8">
        <v>4.5</v>
      </c>
      <c r="W679" s="8">
        <v>0.8</v>
      </c>
      <c r="X679" s="8">
        <v>78</v>
      </c>
      <c r="Y679" s="8" t="s">
        <v>3295</v>
      </c>
      <c r="Z679" s="8" t="s">
        <v>3296</v>
      </c>
    </row>
    <row r="680" spans="1:26" x14ac:dyDescent="0.2">
      <c r="A680" s="8">
        <v>679</v>
      </c>
      <c r="B680" s="8" t="s">
        <v>3297</v>
      </c>
      <c r="C680" s="8" t="s">
        <v>3297</v>
      </c>
      <c r="F680" s="47" t="s">
        <v>56128</v>
      </c>
      <c r="G680" s="8">
        <v>12</v>
      </c>
      <c r="H680" s="8" t="s">
        <v>21</v>
      </c>
      <c r="I680" s="8" t="s">
        <v>22</v>
      </c>
      <c r="J680" s="8" t="s">
        <v>22</v>
      </c>
      <c r="K680" s="8" t="s">
        <v>58</v>
      </c>
      <c r="L680" s="8" t="s">
        <v>51</v>
      </c>
      <c r="M680" s="8" t="s">
        <v>52</v>
      </c>
      <c r="N680" s="8" t="s">
        <v>3298</v>
      </c>
      <c r="O680" s="8">
        <f>1+49/60+43.7/3600</f>
        <v>1.8288055555555556</v>
      </c>
      <c r="P680" s="8" t="s">
        <v>3299</v>
      </c>
      <c r="Q680" s="8">
        <f>+(35+47/60+10/3600)</f>
        <v>35.786111111111111</v>
      </c>
      <c r="R680" s="8">
        <v>12.3</v>
      </c>
      <c r="S680" s="8">
        <v>13.3</v>
      </c>
      <c r="T680" s="8">
        <v>1</v>
      </c>
      <c r="U680" s="8">
        <v>13.8</v>
      </c>
      <c r="V680" s="8">
        <v>1.9</v>
      </c>
      <c r="W680" s="8">
        <v>1.9</v>
      </c>
      <c r="Y680" s="8" t="s">
        <v>3300</v>
      </c>
      <c r="Z680" s="8" t="s">
        <v>3301</v>
      </c>
    </row>
    <row r="681" spans="1:26" x14ac:dyDescent="0.2">
      <c r="A681" s="8">
        <v>680</v>
      </c>
      <c r="B681" s="8" t="s">
        <v>3302</v>
      </c>
      <c r="C681" s="8" t="s">
        <v>3302</v>
      </c>
      <c r="F681" s="47" t="s">
        <v>56129</v>
      </c>
      <c r="G681" s="8">
        <v>15</v>
      </c>
      <c r="H681" s="8" t="s">
        <v>21</v>
      </c>
      <c r="I681" s="8" t="s">
        <v>22</v>
      </c>
      <c r="J681" s="8" t="s">
        <v>22</v>
      </c>
      <c r="K681" s="8" t="s">
        <v>183</v>
      </c>
      <c r="L681" s="8" t="s">
        <v>3256</v>
      </c>
      <c r="M681" s="8" t="s">
        <v>3257</v>
      </c>
      <c r="N681" s="8" t="s">
        <v>3303</v>
      </c>
      <c r="O681" s="8">
        <f>1+49/60+47.3/3600</f>
        <v>1.8298055555555555</v>
      </c>
      <c r="P681" s="8" t="s">
        <v>3304</v>
      </c>
      <c r="Q681" s="8">
        <f>+(21+58/60+16/3600)</f>
        <v>21.97111111111111</v>
      </c>
      <c r="R681" s="8">
        <v>11.9</v>
      </c>
      <c r="S681" s="8">
        <v>12.9</v>
      </c>
      <c r="T681" s="8">
        <v>1</v>
      </c>
      <c r="U681" s="8">
        <v>13.1</v>
      </c>
      <c r="V681" s="8">
        <v>1.8</v>
      </c>
      <c r="W681" s="8">
        <v>1.6</v>
      </c>
      <c r="X681" s="8">
        <v>156</v>
      </c>
      <c r="Y681" s="8" t="s">
        <v>3305</v>
      </c>
      <c r="Z681" s="8" t="s">
        <v>3306</v>
      </c>
    </row>
    <row r="682" spans="1:26" x14ac:dyDescent="0.2">
      <c r="A682" s="8">
        <v>681</v>
      </c>
      <c r="B682" s="8" t="s">
        <v>3307</v>
      </c>
      <c r="C682" s="8" t="s">
        <v>3307</v>
      </c>
      <c r="F682" s="47" t="s">
        <v>56130</v>
      </c>
      <c r="G682" s="8">
        <v>10</v>
      </c>
      <c r="H682" s="8" t="s">
        <v>21</v>
      </c>
      <c r="I682" s="8" t="s">
        <v>22</v>
      </c>
      <c r="J682" s="8" t="s">
        <v>22</v>
      </c>
      <c r="K682" s="8" t="s">
        <v>406</v>
      </c>
      <c r="L682" s="8" t="s">
        <v>125</v>
      </c>
      <c r="M682" s="8" t="s">
        <v>126</v>
      </c>
      <c r="N682" s="8" t="s">
        <v>3308</v>
      </c>
      <c r="O682" s="8">
        <f>1+49/60+10.8/3600</f>
        <v>1.8196666666666665</v>
      </c>
      <c r="P682" s="8" t="s">
        <v>3309</v>
      </c>
      <c r="Q682" s="8">
        <f>-(10+25/60+38/3600)</f>
        <v>-10.427222222222222</v>
      </c>
      <c r="R682" s="8">
        <v>12</v>
      </c>
      <c r="S682" s="8">
        <v>12.8</v>
      </c>
      <c r="T682" s="8">
        <v>0.8</v>
      </c>
      <c r="U682" s="8">
        <v>13.4</v>
      </c>
      <c r="V682" s="8">
        <v>2.7</v>
      </c>
      <c r="W682" s="8">
        <v>1.8</v>
      </c>
      <c r="X682" s="8">
        <v>60</v>
      </c>
      <c r="Y682" s="8" t="s">
        <v>3310</v>
      </c>
      <c r="Z682" s="8" t="s">
        <v>3311</v>
      </c>
    </row>
    <row r="683" spans="1:26" x14ac:dyDescent="0.2">
      <c r="A683" s="8">
        <v>682</v>
      </c>
      <c r="B683" s="8" t="s">
        <v>3312</v>
      </c>
      <c r="C683" s="8" t="s">
        <v>3312</v>
      </c>
      <c r="F683" s="47" t="s">
        <v>56131</v>
      </c>
      <c r="G683" s="8">
        <v>15</v>
      </c>
      <c r="H683" s="8" t="s">
        <v>21</v>
      </c>
      <c r="I683" s="8" t="s">
        <v>22</v>
      </c>
      <c r="J683" s="8" t="s">
        <v>22</v>
      </c>
      <c r="K683" s="8" t="s">
        <v>58</v>
      </c>
      <c r="L683" s="8" t="s">
        <v>125</v>
      </c>
      <c r="M683" s="8" t="s">
        <v>126</v>
      </c>
      <c r="N683" s="8" t="s">
        <v>3313</v>
      </c>
      <c r="O683" s="8">
        <f>1+49/60+4.4/3600</f>
        <v>1.8178888888888889</v>
      </c>
      <c r="P683" s="8" t="s">
        <v>3314</v>
      </c>
      <c r="Q683" s="8">
        <f>-(14+58/60+28/3600)</f>
        <v>-14.974444444444444</v>
      </c>
      <c r="R683" s="8">
        <v>13.4</v>
      </c>
      <c r="S683" s="8">
        <v>14.4</v>
      </c>
      <c r="T683" s="8">
        <v>1</v>
      </c>
      <c r="U683" s="8">
        <v>13.9</v>
      </c>
      <c r="V683" s="8">
        <v>1.4</v>
      </c>
      <c r="W683" s="8">
        <v>1.1000000000000001</v>
      </c>
      <c r="X683" s="8">
        <v>95</v>
      </c>
      <c r="Y683" s="8" t="s">
        <v>3315</v>
      </c>
      <c r="Z683" s="8" t="s">
        <v>3316</v>
      </c>
    </row>
    <row r="684" spans="1:26" x14ac:dyDescent="0.2">
      <c r="A684" s="8">
        <v>683</v>
      </c>
      <c r="B684" s="8" t="s">
        <v>3317</v>
      </c>
      <c r="C684" s="8" t="s">
        <v>3317</v>
      </c>
      <c r="F684" s="47"/>
      <c r="G684" s="8">
        <v>16</v>
      </c>
      <c r="H684" s="8" t="s">
        <v>21</v>
      </c>
      <c r="I684" s="8" t="s">
        <v>22</v>
      </c>
      <c r="J684" s="8" t="s">
        <v>22</v>
      </c>
      <c r="K684" s="8" t="s">
        <v>476</v>
      </c>
      <c r="L684" s="8" t="s">
        <v>3256</v>
      </c>
      <c r="M684" s="8" t="s">
        <v>3257</v>
      </c>
      <c r="N684" s="8" t="s">
        <v>3318</v>
      </c>
      <c r="O684" s="8">
        <f>1+49/60+46.6/3600</f>
        <v>1.8296111111111111</v>
      </c>
      <c r="P684" s="8" t="s">
        <v>3319</v>
      </c>
      <c r="Q684" s="8">
        <f>+(11+42/60+7/3600)</f>
        <v>11.701944444444443</v>
      </c>
      <c r="R684" s="8">
        <v>13.6</v>
      </c>
      <c r="S684" s="8">
        <v>14.5</v>
      </c>
      <c r="T684" s="8">
        <v>0.9</v>
      </c>
      <c r="U684" s="8">
        <v>13.4</v>
      </c>
      <c r="V684" s="8">
        <v>1</v>
      </c>
      <c r="W684" s="8">
        <v>1</v>
      </c>
      <c r="Y684" s="8" t="s">
        <v>3320</v>
      </c>
      <c r="Z684" s="8" t="s">
        <v>3321</v>
      </c>
    </row>
    <row r="685" spans="1:26" x14ac:dyDescent="0.2">
      <c r="A685" s="8">
        <v>684</v>
      </c>
      <c r="B685" s="8" t="s">
        <v>3322</v>
      </c>
      <c r="C685" s="8" t="s">
        <v>3322</v>
      </c>
      <c r="F685" s="47" t="s">
        <v>56132</v>
      </c>
      <c r="G685" s="8">
        <v>9</v>
      </c>
      <c r="H685" s="8" t="s">
        <v>21</v>
      </c>
      <c r="I685" s="8" t="s">
        <v>22</v>
      </c>
      <c r="J685" s="8" t="s">
        <v>22</v>
      </c>
      <c r="K685" s="8" t="s">
        <v>23</v>
      </c>
      <c r="L685" s="8" t="s">
        <v>2809</v>
      </c>
      <c r="M685" s="8" t="s">
        <v>2810</v>
      </c>
      <c r="N685" s="8" t="s">
        <v>3323</v>
      </c>
      <c r="O685" s="8">
        <f>1+50/60+14.1/3600</f>
        <v>1.83725</v>
      </c>
      <c r="P685" s="8" t="s">
        <v>3324</v>
      </c>
      <c r="Q685" s="8">
        <f>+(27+38/60+46/3600)</f>
        <v>27.646111111111111</v>
      </c>
      <c r="R685" s="8">
        <v>12.4</v>
      </c>
      <c r="S685" s="8">
        <v>13.3</v>
      </c>
      <c r="T685" s="8">
        <v>0.9</v>
      </c>
      <c r="U685" s="8">
        <v>12.8</v>
      </c>
      <c r="V685" s="8">
        <v>3.2</v>
      </c>
      <c r="W685" s="8">
        <v>0.6</v>
      </c>
      <c r="X685" s="8">
        <v>87</v>
      </c>
      <c r="Y685" s="8" t="s">
        <v>3325</v>
      </c>
      <c r="Z685" s="8" t="s">
        <v>3326</v>
      </c>
    </row>
    <row r="686" spans="1:26" x14ac:dyDescent="0.2">
      <c r="A686" s="8">
        <v>685</v>
      </c>
      <c r="B686" s="8" t="s">
        <v>3327</v>
      </c>
      <c r="C686" s="8" t="s">
        <v>3327</v>
      </c>
      <c r="F686" s="47"/>
      <c r="G686" s="8">
        <v>13</v>
      </c>
      <c r="H686" s="8" t="s">
        <v>21</v>
      </c>
      <c r="I686" s="8" t="s">
        <v>22</v>
      </c>
      <c r="J686" s="8" t="s">
        <v>22</v>
      </c>
      <c r="K686" s="8" t="s">
        <v>64</v>
      </c>
      <c r="L686" s="8" t="s">
        <v>3328</v>
      </c>
      <c r="M686" s="8" t="s">
        <v>3329</v>
      </c>
      <c r="N686" s="8" t="s">
        <v>3330</v>
      </c>
      <c r="O686" s="8">
        <f>1+47/60+42.8/3600</f>
        <v>1.7952222222222221</v>
      </c>
      <c r="P686" s="8" t="s">
        <v>3331</v>
      </c>
      <c r="Q686" s="8">
        <f>-(52+45/60+43/3600)</f>
        <v>-52.761944444444445</v>
      </c>
      <c r="R686" s="8">
        <v>11</v>
      </c>
      <c r="S686" s="8">
        <v>11.5</v>
      </c>
      <c r="T686" s="8">
        <v>0.5</v>
      </c>
      <c r="U686" s="8">
        <v>13.6</v>
      </c>
      <c r="V686" s="8">
        <v>3.6</v>
      </c>
      <c r="W686" s="8">
        <v>3.1</v>
      </c>
      <c r="X686" s="8">
        <v>74</v>
      </c>
      <c r="Y686" s="8" t="s">
        <v>3332</v>
      </c>
      <c r="Z686" s="8" t="s">
        <v>3333</v>
      </c>
    </row>
    <row r="687" spans="1:26" x14ac:dyDescent="0.2">
      <c r="A687" s="8">
        <v>686</v>
      </c>
      <c r="B687" s="8" t="s">
        <v>3334</v>
      </c>
      <c r="C687" s="8" t="s">
        <v>3334</v>
      </c>
      <c r="F687" s="47" t="s">
        <v>56133</v>
      </c>
      <c r="G687" s="8">
        <v>15</v>
      </c>
      <c r="H687" s="8" t="s">
        <v>21</v>
      </c>
      <c r="I687" s="8" t="s">
        <v>22</v>
      </c>
      <c r="J687" s="8" t="s">
        <v>22</v>
      </c>
      <c r="K687" s="8" t="s">
        <v>58</v>
      </c>
      <c r="L687" s="8" t="s">
        <v>3335</v>
      </c>
      <c r="M687" s="8" t="s">
        <v>3336</v>
      </c>
      <c r="N687" s="8" t="s">
        <v>3337</v>
      </c>
      <c r="O687" s="8">
        <f>1+48/60+56/3600</f>
        <v>1.8155555555555556</v>
      </c>
      <c r="P687" s="8" t="s">
        <v>3338</v>
      </c>
      <c r="Q687" s="8">
        <f>-(23+47/60+53/3600)</f>
        <v>-23.798055555555557</v>
      </c>
      <c r="R687" s="8">
        <v>12.2</v>
      </c>
      <c r="S687" s="8">
        <v>13.2</v>
      </c>
      <c r="T687" s="8">
        <v>1</v>
      </c>
      <c r="U687" s="8">
        <v>13.1</v>
      </c>
      <c r="V687" s="8">
        <v>1.7</v>
      </c>
      <c r="W687" s="8">
        <v>1.4</v>
      </c>
      <c r="X687" s="8">
        <v>14</v>
      </c>
      <c r="Y687" s="8" t="s">
        <v>3339</v>
      </c>
      <c r="Z687" s="8" t="s">
        <v>3340</v>
      </c>
    </row>
    <row r="688" spans="1:26" x14ac:dyDescent="0.2">
      <c r="A688" s="8">
        <v>687</v>
      </c>
      <c r="B688" s="8" t="s">
        <v>3341</v>
      </c>
      <c r="C688" s="8" t="s">
        <v>3341</v>
      </c>
      <c r="F688" s="47" t="s">
        <v>56134</v>
      </c>
      <c r="G688" s="8">
        <v>15</v>
      </c>
      <c r="H688" s="8" t="s">
        <v>21</v>
      </c>
      <c r="I688" s="8" t="s">
        <v>22</v>
      </c>
      <c r="J688" s="8" t="s">
        <v>22</v>
      </c>
      <c r="K688" s="8" t="s">
        <v>37</v>
      </c>
      <c r="L688" s="8" t="s">
        <v>51</v>
      </c>
      <c r="M688" s="8" t="s">
        <v>52</v>
      </c>
      <c r="N688" s="8" t="s">
        <v>3342</v>
      </c>
      <c r="O688" s="8">
        <f>1+50/60+33.2/3600</f>
        <v>1.8425555555555557</v>
      </c>
      <c r="P688" s="8" t="s">
        <v>3343</v>
      </c>
      <c r="Q688" s="8">
        <f>+(36+22/60+15/3600)</f>
        <v>36.370833333333337</v>
      </c>
      <c r="R688" s="8">
        <v>12.3</v>
      </c>
      <c r="S688" s="8">
        <v>13.3</v>
      </c>
      <c r="T688" s="8">
        <v>1</v>
      </c>
      <c r="U688" s="8">
        <v>12.9</v>
      </c>
      <c r="V688" s="8">
        <v>1.4</v>
      </c>
      <c r="W688" s="8">
        <v>1.4</v>
      </c>
      <c r="Y688" s="8" t="s">
        <v>3344</v>
      </c>
      <c r="Z688" s="8" t="s">
        <v>3345</v>
      </c>
    </row>
    <row r="689" spans="1:26" x14ac:dyDescent="0.2">
      <c r="A689" s="8">
        <v>688</v>
      </c>
      <c r="B689" s="8" t="s">
        <v>3346</v>
      </c>
      <c r="C689" s="8" t="s">
        <v>3346</v>
      </c>
      <c r="F689" s="47"/>
      <c r="G689" s="8">
        <v>18</v>
      </c>
      <c r="H689" s="8" t="s">
        <v>21</v>
      </c>
      <c r="I689" s="8" t="s">
        <v>22</v>
      </c>
      <c r="J689" s="8" t="s">
        <v>22</v>
      </c>
      <c r="K689" s="8" t="s">
        <v>218</v>
      </c>
      <c r="L689" s="8" t="s">
        <v>2809</v>
      </c>
      <c r="M689" s="8" t="s">
        <v>2810</v>
      </c>
      <c r="N689" s="8" t="s">
        <v>3347</v>
      </c>
      <c r="O689" s="8">
        <f>1+50/60+44.1/3600</f>
        <v>1.8455833333333336</v>
      </c>
      <c r="P689" s="8" t="s">
        <v>3348</v>
      </c>
      <c r="Q689" s="8">
        <f>+(35+17/60+5/3600)</f>
        <v>35.284722222222221</v>
      </c>
      <c r="R689" s="8">
        <v>12.7</v>
      </c>
      <c r="S689" s="8">
        <v>13.4</v>
      </c>
      <c r="T689" s="8">
        <v>0.7</v>
      </c>
      <c r="U689" s="8">
        <v>13.9</v>
      </c>
      <c r="V689" s="8">
        <v>2.4</v>
      </c>
      <c r="W689" s="8">
        <v>1.5</v>
      </c>
      <c r="X689" s="8">
        <v>145</v>
      </c>
      <c r="Y689" s="8" t="s">
        <v>3349</v>
      </c>
      <c r="Z689" s="8" t="s">
        <v>3350</v>
      </c>
    </row>
    <row r="690" spans="1:26" x14ac:dyDescent="0.2">
      <c r="A690" s="8">
        <v>689</v>
      </c>
      <c r="B690" s="8" t="s">
        <v>3351</v>
      </c>
      <c r="C690" s="8" t="s">
        <v>3351</v>
      </c>
      <c r="F690" s="47"/>
      <c r="G690" s="8">
        <v>19</v>
      </c>
      <c r="H690" s="8" t="s">
        <v>21</v>
      </c>
      <c r="I690" s="8" t="s">
        <v>22</v>
      </c>
      <c r="J690" s="8" t="s">
        <v>22</v>
      </c>
      <c r="K690" s="8" t="s">
        <v>31</v>
      </c>
      <c r="L690" s="8" t="s">
        <v>3335</v>
      </c>
      <c r="M690" s="8" t="s">
        <v>3336</v>
      </c>
      <c r="N690" s="8" t="s">
        <v>3352</v>
      </c>
      <c r="O690" s="8">
        <f>1+49/60+51.5/3600</f>
        <v>1.8309722222222222</v>
      </c>
      <c r="P690" s="8" t="s">
        <v>3353</v>
      </c>
      <c r="Q690" s="8">
        <f>-(27+27/60+59/3600)</f>
        <v>-27.46638888888889</v>
      </c>
      <c r="R690" s="8">
        <v>13.5</v>
      </c>
      <c r="S690" s="8">
        <v>14.3</v>
      </c>
      <c r="T690" s="8">
        <v>0.8</v>
      </c>
      <c r="U690" s="8">
        <v>12.8</v>
      </c>
      <c r="V690" s="8">
        <v>1</v>
      </c>
      <c r="W690" s="8">
        <v>0.6</v>
      </c>
      <c r="X690" s="8">
        <v>68</v>
      </c>
      <c r="Y690" s="8" t="s">
        <v>541</v>
      </c>
      <c r="Z690" s="8" t="s">
        <v>542</v>
      </c>
    </row>
    <row r="691" spans="1:26" x14ac:dyDescent="0.2">
      <c r="A691" s="8">
        <v>690</v>
      </c>
      <c r="B691" s="8" t="s">
        <v>3354</v>
      </c>
      <c r="C691" s="8" t="s">
        <v>3354</v>
      </c>
      <c r="F691" s="47"/>
      <c r="G691" s="8">
        <v>19</v>
      </c>
      <c r="H691" s="8" t="s">
        <v>21</v>
      </c>
      <c r="I691" s="8" t="s">
        <v>22</v>
      </c>
      <c r="J691" s="8" t="s">
        <v>22</v>
      </c>
      <c r="K691" s="8" t="s">
        <v>64</v>
      </c>
      <c r="L691" s="8" t="s">
        <v>125</v>
      </c>
      <c r="M691" s="8" t="s">
        <v>126</v>
      </c>
      <c r="N691" s="8" t="s">
        <v>3355</v>
      </c>
      <c r="O691" s="8">
        <f>1+47/60+48/3600</f>
        <v>1.7966666666666666</v>
      </c>
      <c r="P691" s="8" t="s">
        <v>3356</v>
      </c>
      <c r="Q691" s="8">
        <f>-(16+43/60+17/3600)</f>
        <v>-16.721388888888889</v>
      </c>
      <c r="R691" s="8">
        <v>14.2</v>
      </c>
      <c r="S691" s="8">
        <v>14.8</v>
      </c>
      <c r="T691" s="8">
        <v>0.6</v>
      </c>
      <c r="U691" s="8">
        <v>14.1</v>
      </c>
      <c r="V691" s="8">
        <v>1.2</v>
      </c>
      <c r="W691" s="8">
        <v>0.8</v>
      </c>
      <c r="X691" s="8">
        <v>145</v>
      </c>
      <c r="Y691" s="8" t="s">
        <v>3357</v>
      </c>
      <c r="Z691" s="8" t="s">
        <v>3358</v>
      </c>
    </row>
    <row r="692" spans="1:26" x14ac:dyDescent="0.2">
      <c r="A692" s="8">
        <v>691</v>
      </c>
      <c r="B692" s="8" t="s">
        <v>3359</v>
      </c>
      <c r="C692" s="8" t="s">
        <v>3359</v>
      </c>
      <c r="F692" s="47" t="s">
        <v>56135</v>
      </c>
      <c r="G692" s="8">
        <v>15</v>
      </c>
      <c r="H692" s="8" t="s">
        <v>21</v>
      </c>
      <c r="I692" s="8" t="s">
        <v>22</v>
      </c>
      <c r="J692" s="8" t="s">
        <v>22</v>
      </c>
      <c r="K692" s="8" t="s">
        <v>396</v>
      </c>
      <c r="L692" s="8" t="s">
        <v>3256</v>
      </c>
      <c r="M692" s="8" t="s">
        <v>3257</v>
      </c>
      <c r="N692" s="8" t="s">
        <v>3360</v>
      </c>
      <c r="O692" s="8">
        <f>1+50/60+41.7/3600</f>
        <v>1.8449166666666668</v>
      </c>
      <c r="P692" s="8" t="s">
        <v>3361</v>
      </c>
      <c r="Q692" s="8">
        <f>+(21+45/60+37/3600)</f>
        <v>21.760277777777777</v>
      </c>
      <c r="R692" s="8">
        <v>11.4</v>
      </c>
      <c r="S692" s="8">
        <v>12.2</v>
      </c>
      <c r="T692" s="8">
        <v>0.8</v>
      </c>
      <c r="U692" s="8">
        <v>13.7</v>
      </c>
      <c r="V692" s="8">
        <v>3.4</v>
      </c>
      <c r="W692" s="8">
        <v>2.5</v>
      </c>
      <c r="X692" s="8">
        <v>95</v>
      </c>
      <c r="Y692" s="8" t="s">
        <v>3362</v>
      </c>
      <c r="Z692" s="8" t="s">
        <v>3363</v>
      </c>
    </row>
    <row r="693" spans="1:26" x14ac:dyDescent="0.2">
      <c r="A693" s="8">
        <v>692</v>
      </c>
      <c r="B693" s="8" t="s">
        <v>3364</v>
      </c>
      <c r="C693" s="8" t="s">
        <v>3364</v>
      </c>
      <c r="F693" s="47"/>
      <c r="G693" s="8">
        <v>16</v>
      </c>
      <c r="H693" s="8" t="s">
        <v>21</v>
      </c>
      <c r="I693" s="8" t="s">
        <v>22</v>
      </c>
      <c r="J693" s="8" t="s">
        <v>22</v>
      </c>
      <c r="K693" s="8" t="s">
        <v>85</v>
      </c>
      <c r="L693" s="8" t="s">
        <v>166</v>
      </c>
      <c r="M693" s="8" t="s">
        <v>167</v>
      </c>
      <c r="N693" s="8" t="s">
        <v>3365</v>
      </c>
      <c r="O693" s="8">
        <f>1+48/60+42.2/3600</f>
        <v>1.8117222222222222</v>
      </c>
      <c r="P693" s="8" t="s">
        <v>3366</v>
      </c>
      <c r="Q693" s="8">
        <f>-(48+38/60+53/3600)</f>
        <v>-48.648055555555558</v>
      </c>
      <c r="R693" s="8">
        <v>12.3</v>
      </c>
      <c r="S693" s="8">
        <v>13.1</v>
      </c>
      <c r="T693" s="8">
        <v>0.8</v>
      </c>
      <c r="U693" s="8">
        <v>13.6</v>
      </c>
      <c r="V693" s="8">
        <v>2.1</v>
      </c>
      <c r="W693" s="8">
        <v>1.8</v>
      </c>
      <c r="X693" s="8">
        <v>34</v>
      </c>
      <c r="Y693" s="8" t="s">
        <v>3367</v>
      </c>
      <c r="Z693" s="8" t="s">
        <v>3368</v>
      </c>
    </row>
    <row r="694" spans="1:26" x14ac:dyDescent="0.2">
      <c r="A694" s="8">
        <v>693</v>
      </c>
      <c r="B694" s="8" t="s">
        <v>3369</v>
      </c>
      <c r="C694" s="8" t="s">
        <v>3369</v>
      </c>
      <c r="F694" s="47" t="s">
        <v>56136</v>
      </c>
      <c r="G694" s="8">
        <v>15</v>
      </c>
      <c r="H694" s="8" t="s">
        <v>21</v>
      </c>
      <c r="I694" s="8" t="s">
        <v>22</v>
      </c>
      <c r="J694" s="8" t="s">
        <v>22</v>
      </c>
      <c r="K694" s="8" t="s">
        <v>632</v>
      </c>
      <c r="L694" s="8" t="s">
        <v>38</v>
      </c>
      <c r="M694" s="8" t="s">
        <v>39</v>
      </c>
      <c r="N694" s="8" t="s">
        <v>3370</v>
      </c>
      <c r="O694" s="8">
        <f>1+50/60+30.9/3600</f>
        <v>1.8419166666666669</v>
      </c>
      <c r="P694" s="8" t="s">
        <v>3371</v>
      </c>
      <c r="Q694" s="8">
        <f>+(6+8/60+41/3600)</f>
        <v>6.1447222222222226</v>
      </c>
      <c r="R694" s="8">
        <v>12.4</v>
      </c>
      <c r="S694" s="8">
        <v>13.2</v>
      </c>
      <c r="T694" s="8">
        <v>0.8</v>
      </c>
      <c r="U694" s="8">
        <v>13.2</v>
      </c>
      <c r="V694" s="8">
        <v>2.2000000000000002</v>
      </c>
      <c r="W694" s="8">
        <v>1.1000000000000001</v>
      </c>
      <c r="X694" s="8">
        <v>106</v>
      </c>
      <c r="Y694" s="8" t="s">
        <v>3372</v>
      </c>
      <c r="Z694" s="8" t="s">
        <v>3373</v>
      </c>
    </row>
    <row r="695" spans="1:26" x14ac:dyDescent="0.2">
      <c r="A695" s="8">
        <v>694</v>
      </c>
      <c r="B695" s="8" t="s">
        <v>3374</v>
      </c>
      <c r="C695" s="8" t="s">
        <v>3374</v>
      </c>
      <c r="F695" s="47"/>
      <c r="G695" s="8">
        <v>18</v>
      </c>
      <c r="H695" s="8" t="s">
        <v>21</v>
      </c>
      <c r="I695" s="8" t="s">
        <v>22</v>
      </c>
      <c r="J695" s="8" t="s">
        <v>22</v>
      </c>
      <c r="K695" s="8" t="s">
        <v>643</v>
      </c>
      <c r="L695" s="8" t="s">
        <v>3256</v>
      </c>
      <c r="M695" s="8" t="s">
        <v>3257</v>
      </c>
      <c r="N695" s="8" t="s">
        <v>3375</v>
      </c>
      <c r="O695" s="8">
        <f>1+50/60+58.4/3600</f>
        <v>1.8495555555555556</v>
      </c>
      <c r="P695" s="8" t="s">
        <v>3294</v>
      </c>
      <c r="Q695" s="8">
        <f>+(21+59/60+49/3600)</f>
        <v>21.996944444444445</v>
      </c>
      <c r="R695" s="8">
        <v>13.7</v>
      </c>
      <c r="S695" s="8">
        <v>14.3</v>
      </c>
      <c r="T695" s="8">
        <v>0.6</v>
      </c>
      <c r="U695" s="8">
        <v>16.100000000000001</v>
      </c>
      <c r="V695" s="8">
        <v>0.6</v>
      </c>
      <c r="W695" s="8">
        <v>0.4</v>
      </c>
      <c r="X695" s="8">
        <v>160</v>
      </c>
      <c r="Y695" s="8" t="s">
        <v>3376</v>
      </c>
      <c r="Z695" s="8" t="s">
        <v>3377</v>
      </c>
    </row>
    <row r="696" spans="1:26" x14ac:dyDescent="0.2">
      <c r="A696" s="8">
        <v>695</v>
      </c>
      <c r="B696" s="8" t="s">
        <v>3378</v>
      </c>
      <c r="C696" s="8" t="s">
        <v>3378</v>
      </c>
      <c r="F696" s="47" t="s">
        <v>56137</v>
      </c>
      <c r="G696" s="8">
        <v>15</v>
      </c>
      <c r="H696" s="8" t="s">
        <v>21</v>
      </c>
      <c r="I696" s="8" t="s">
        <v>22</v>
      </c>
      <c r="J696" s="8" t="s">
        <v>22</v>
      </c>
      <c r="K696" s="8" t="s">
        <v>643</v>
      </c>
      <c r="L696" s="8" t="s">
        <v>3256</v>
      </c>
      <c r="M696" s="8" t="s">
        <v>3257</v>
      </c>
      <c r="N696" s="8" t="s">
        <v>3379</v>
      </c>
      <c r="O696" s="8">
        <f>1+51/60+14.2/3600</f>
        <v>1.8539444444444446</v>
      </c>
      <c r="P696" s="8" t="s">
        <v>3380</v>
      </c>
      <c r="Q696" s="8">
        <f>+(22+34/60+58/3600)</f>
        <v>22.582777777777778</v>
      </c>
      <c r="R696" s="8">
        <v>12.8</v>
      </c>
      <c r="S696" s="8">
        <v>13.8</v>
      </c>
      <c r="T696" s="8">
        <v>1</v>
      </c>
      <c r="U696" s="8">
        <v>12.1</v>
      </c>
      <c r="V696" s="8">
        <v>0.8</v>
      </c>
      <c r="W696" s="8">
        <v>0.7</v>
      </c>
      <c r="X696" s="8">
        <v>40</v>
      </c>
      <c r="Y696" s="8" t="s">
        <v>3381</v>
      </c>
      <c r="Z696" s="8" t="s">
        <v>3382</v>
      </c>
    </row>
    <row r="697" spans="1:26" x14ac:dyDescent="0.2">
      <c r="A697" s="8">
        <v>696</v>
      </c>
      <c r="B697" s="8" t="s">
        <v>3383</v>
      </c>
      <c r="C697" s="8" t="s">
        <v>3383</v>
      </c>
      <c r="F697" s="47"/>
      <c r="G697" s="8">
        <v>16</v>
      </c>
      <c r="H697" s="8" t="s">
        <v>21</v>
      </c>
      <c r="I697" s="8" t="s">
        <v>22</v>
      </c>
      <c r="J697" s="8" t="s">
        <v>22</v>
      </c>
      <c r="K697" s="8" t="s">
        <v>435</v>
      </c>
      <c r="L697" s="8" t="s">
        <v>3335</v>
      </c>
      <c r="M697" s="8" t="s">
        <v>3336</v>
      </c>
      <c r="N697" s="8" t="s">
        <v>3384</v>
      </c>
      <c r="O697" s="8">
        <f>1+49/60+31.2/3600</f>
        <v>1.8253333333333333</v>
      </c>
      <c r="P697" s="8" t="s">
        <v>3385</v>
      </c>
      <c r="Q697" s="8">
        <f>-(34+54/60+18/3600)</f>
        <v>-34.905000000000001</v>
      </c>
      <c r="R697" s="8">
        <v>13.2</v>
      </c>
      <c r="S697" s="8">
        <v>14.1</v>
      </c>
      <c r="T697" s="8">
        <v>0.9</v>
      </c>
      <c r="U697" s="8">
        <v>13</v>
      </c>
      <c r="V697" s="8">
        <v>1.7</v>
      </c>
      <c r="W697" s="8">
        <v>0.6</v>
      </c>
      <c r="X697" s="8">
        <v>25</v>
      </c>
      <c r="Y697" s="8" t="s">
        <v>895</v>
      </c>
      <c r="Z697" s="8" t="s">
        <v>896</v>
      </c>
    </row>
    <row r="698" spans="1:26" x14ac:dyDescent="0.2">
      <c r="A698" s="8">
        <v>697</v>
      </c>
      <c r="B698" s="8" t="s">
        <v>3386</v>
      </c>
      <c r="C698" s="8" t="s">
        <v>3386</v>
      </c>
      <c r="F698" s="47" t="s">
        <v>56138</v>
      </c>
      <c r="G698" s="8">
        <v>7</v>
      </c>
      <c r="H698" s="8" t="s">
        <v>21</v>
      </c>
      <c r="I698" s="8" t="s">
        <v>22</v>
      </c>
      <c r="J698" s="8" t="s">
        <v>22</v>
      </c>
      <c r="K698" s="8" t="s">
        <v>85</v>
      </c>
      <c r="L698" s="8" t="s">
        <v>3256</v>
      </c>
      <c r="M698" s="8" t="s">
        <v>3257</v>
      </c>
      <c r="N698" s="8" t="s">
        <v>3273</v>
      </c>
      <c r="O698" s="8">
        <f>1+51/60+17.5/3600</f>
        <v>1.8548611111111113</v>
      </c>
      <c r="P698" s="8" t="s">
        <v>3274</v>
      </c>
      <c r="Q698" s="8">
        <f>+(22+21/60+27/3600)</f>
        <v>22.357500000000002</v>
      </c>
      <c r="R698" s="8">
        <v>12</v>
      </c>
      <c r="S698" s="8">
        <v>12.8</v>
      </c>
      <c r="T698" s="8">
        <v>0.8</v>
      </c>
      <c r="U698" s="8">
        <v>13.9</v>
      </c>
      <c r="V698" s="8">
        <v>4</v>
      </c>
      <c r="W698" s="8">
        <v>1.3</v>
      </c>
      <c r="X698" s="8">
        <v>105</v>
      </c>
      <c r="Y698" s="8" t="s">
        <v>3275</v>
      </c>
      <c r="Z698" s="8" t="s">
        <v>3387</v>
      </c>
    </row>
    <row r="699" spans="1:26" x14ac:dyDescent="0.2">
      <c r="A699" s="8">
        <v>698</v>
      </c>
      <c r="B699" s="8" t="s">
        <v>3388</v>
      </c>
      <c r="C699" s="8" t="s">
        <v>3388</v>
      </c>
      <c r="F699" s="47"/>
      <c r="G699" s="8">
        <v>12</v>
      </c>
      <c r="H699" s="8" t="s">
        <v>21</v>
      </c>
      <c r="I699" s="8" t="s">
        <v>22</v>
      </c>
      <c r="J699" s="8" t="s">
        <v>22</v>
      </c>
      <c r="K699" s="8" t="s">
        <v>406</v>
      </c>
      <c r="L699" s="8" t="s">
        <v>3335</v>
      </c>
      <c r="M699" s="8" t="s">
        <v>3336</v>
      </c>
      <c r="N699" s="8" t="s">
        <v>3389</v>
      </c>
      <c r="O699" s="8">
        <f>1+49/60+43.6/3600</f>
        <v>1.8287777777777778</v>
      </c>
      <c r="P699" s="8" t="s">
        <v>3390</v>
      </c>
      <c r="Q699" s="8">
        <f>-(34+49/60+53/3600)</f>
        <v>-34.831388888888895</v>
      </c>
      <c r="R699" s="8">
        <v>14</v>
      </c>
      <c r="S699" s="8">
        <v>14.8</v>
      </c>
      <c r="T699" s="8">
        <v>0.8</v>
      </c>
      <c r="U699" s="8">
        <v>13.5</v>
      </c>
      <c r="V699" s="8">
        <v>0.9</v>
      </c>
      <c r="W699" s="8">
        <v>0.8</v>
      </c>
      <c r="X699" s="8">
        <v>164</v>
      </c>
      <c r="Y699" s="8" t="s">
        <v>745</v>
      </c>
      <c r="Z699" s="8" t="s">
        <v>746</v>
      </c>
    </row>
    <row r="700" spans="1:26" x14ac:dyDescent="0.2">
      <c r="A700" s="8">
        <v>699</v>
      </c>
      <c r="B700" s="8" t="s">
        <v>3391</v>
      </c>
      <c r="C700" s="8" t="s">
        <v>3391</v>
      </c>
      <c r="F700" s="47"/>
      <c r="G700" s="8">
        <v>19</v>
      </c>
      <c r="H700" s="8" t="s">
        <v>21</v>
      </c>
      <c r="I700" s="8" t="s">
        <v>22</v>
      </c>
      <c r="J700" s="8" t="s">
        <v>22</v>
      </c>
      <c r="K700" s="8" t="s">
        <v>396</v>
      </c>
      <c r="L700" s="8" t="s">
        <v>125</v>
      </c>
      <c r="M700" s="8" t="s">
        <v>126</v>
      </c>
      <c r="N700" s="8" t="s">
        <v>3392</v>
      </c>
      <c r="O700" s="8">
        <f>1+50/60+43.6/3600</f>
        <v>1.8454444444444447</v>
      </c>
      <c r="P700" s="8" t="s">
        <v>3393</v>
      </c>
      <c r="Q700" s="8">
        <f>-(12+2/60+8/3600)</f>
        <v>-12.035555555555556</v>
      </c>
      <c r="R700" s="8">
        <v>14.1</v>
      </c>
      <c r="S700" s="8">
        <v>14.9</v>
      </c>
      <c r="T700" s="8">
        <v>0.8</v>
      </c>
      <c r="U700" s="8">
        <v>13.2</v>
      </c>
      <c r="V700" s="8">
        <v>1.6</v>
      </c>
      <c r="W700" s="8">
        <v>0.3</v>
      </c>
      <c r="X700" s="8">
        <v>135</v>
      </c>
      <c r="Y700" s="8" t="s">
        <v>3394</v>
      </c>
      <c r="Z700" s="8" t="s">
        <v>3395</v>
      </c>
    </row>
    <row r="701" spans="1:26" x14ac:dyDescent="0.2">
      <c r="A701" s="8">
        <v>700</v>
      </c>
      <c r="B701" s="8" t="s">
        <v>3396</v>
      </c>
      <c r="C701" s="8" t="s">
        <v>3396</v>
      </c>
      <c r="F701" s="47"/>
      <c r="G701" s="8">
        <v>18</v>
      </c>
      <c r="H701" s="8" t="s">
        <v>21</v>
      </c>
      <c r="I701" s="8" t="s">
        <v>22</v>
      </c>
      <c r="J701" s="8" t="s">
        <v>22</v>
      </c>
      <c r="K701" s="8" t="s">
        <v>37</v>
      </c>
      <c r="L701" s="8" t="s">
        <v>51</v>
      </c>
      <c r="M701" s="8" t="s">
        <v>52</v>
      </c>
      <c r="N701" s="8" t="s">
        <v>3397</v>
      </c>
      <c r="O701" s="8">
        <f>1+52/60+16.8/3600</f>
        <v>1.8713333333333333</v>
      </c>
      <c r="P701" s="8" t="s">
        <v>3398</v>
      </c>
      <c r="Q701" s="8">
        <f>+(36+2/60+12/3600)</f>
        <v>36.036666666666662</v>
      </c>
      <c r="R701" s="8">
        <v>14.6</v>
      </c>
      <c r="S701" s="8">
        <v>15.6</v>
      </c>
      <c r="T701" s="8">
        <v>1</v>
      </c>
      <c r="U701" s="8">
        <v>13.9</v>
      </c>
      <c r="V701" s="8">
        <v>0.8</v>
      </c>
      <c r="W701" s="8">
        <v>0.7</v>
      </c>
      <c r="Y701" s="8" t="s">
        <v>3399</v>
      </c>
      <c r="Z701" s="8" t="s">
        <v>3400</v>
      </c>
    </row>
    <row r="702" spans="1:26" x14ac:dyDescent="0.2">
      <c r="A702" s="8">
        <v>701</v>
      </c>
      <c r="B702" s="8" t="s">
        <v>3401</v>
      </c>
      <c r="C702" s="8" t="s">
        <v>3401</v>
      </c>
      <c r="F702" s="47" t="s">
        <v>56139</v>
      </c>
      <c r="G702" s="8">
        <v>13</v>
      </c>
      <c r="H702" s="8" t="s">
        <v>21</v>
      </c>
      <c r="I702" s="8" t="s">
        <v>22</v>
      </c>
      <c r="J702" s="8" t="s">
        <v>22</v>
      </c>
      <c r="K702" s="8" t="s">
        <v>64</v>
      </c>
      <c r="L702" s="8" t="s">
        <v>125</v>
      </c>
      <c r="M702" s="8" t="s">
        <v>126</v>
      </c>
      <c r="N702" s="8" t="s">
        <v>3402</v>
      </c>
      <c r="O702" s="8">
        <f>1+51/60+3.8/3600</f>
        <v>1.8510555555555557</v>
      </c>
      <c r="P702" s="8" t="s">
        <v>3403</v>
      </c>
      <c r="Q702" s="8">
        <f>-(9+42/60+12/3600)</f>
        <v>-9.7033333333333331</v>
      </c>
      <c r="R702" s="8">
        <v>12.2</v>
      </c>
      <c r="S702" s="8">
        <v>12.8</v>
      </c>
      <c r="T702" s="8">
        <v>0.6</v>
      </c>
      <c r="U702" s="8">
        <v>13.2</v>
      </c>
      <c r="V702" s="8">
        <v>2.6</v>
      </c>
      <c r="W702" s="8">
        <v>1.4</v>
      </c>
      <c r="X702" s="8">
        <v>40</v>
      </c>
      <c r="Y702" s="8" t="s">
        <v>3404</v>
      </c>
      <c r="Z702" s="8" t="s">
        <v>3405</v>
      </c>
    </row>
    <row r="703" spans="1:26" x14ac:dyDescent="0.2">
      <c r="A703" s="8">
        <v>702</v>
      </c>
      <c r="B703" s="8" t="s">
        <v>3406</v>
      </c>
      <c r="C703" s="8" t="s">
        <v>3406</v>
      </c>
      <c r="F703" s="47" t="s">
        <v>56140</v>
      </c>
      <c r="G703" s="8">
        <v>15</v>
      </c>
      <c r="H703" s="8" t="s">
        <v>21</v>
      </c>
      <c r="I703" s="8" t="s">
        <v>22</v>
      </c>
      <c r="J703" s="8" t="s">
        <v>22</v>
      </c>
      <c r="K703" s="8" t="s">
        <v>3407</v>
      </c>
      <c r="L703" s="8" t="s">
        <v>125</v>
      </c>
      <c r="M703" s="8" t="s">
        <v>126</v>
      </c>
      <c r="N703" s="8" t="s">
        <v>3408</v>
      </c>
      <c r="O703" s="8">
        <f>1+51/60+19.2/3600</f>
        <v>1.8553333333333335</v>
      </c>
      <c r="P703" s="8" t="s">
        <v>3409</v>
      </c>
      <c r="Q703" s="8">
        <f>-(4+3/60+20/3600)</f>
        <v>-4.0555555555555554</v>
      </c>
      <c r="R703" s="8">
        <v>13.1</v>
      </c>
      <c r="S703" s="8">
        <v>13.9</v>
      </c>
      <c r="T703" s="8">
        <v>0.8</v>
      </c>
      <c r="U703" s="8">
        <v>13.6</v>
      </c>
      <c r="V703" s="8">
        <v>1.2</v>
      </c>
      <c r="W703" s="8">
        <v>0.8</v>
      </c>
      <c r="X703" s="8">
        <v>140</v>
      </c>
      <c r="Y703" s="8" t="s">
        <v>3410</v>
      </c>
      <c r="Z703" s="8" t="s">
        <v>3411</v>
      </c>
    </row>
    <row r="704" spans="1:26" x14ac:dyDescent="0.2">
      <c r="A704" s="8">
        <v>703</v>
      </c>
      <c r="B704" s="8" t="s">
        <v>3412</v>
      </c>
      <c r="C704" s="8" t="s">
        <v>3412</v>
      </c>
      <c r="F704" s="47" t="s">
        <v>56141</v>
      </c>
      <c r="G704" s="8">
        <v>15</v>
      </c>
      <c r="H704" s="8" t="s">
        <v>21</v>
      </c>
      <c r="I704" s="8" t="s">
        <v>22</v>
      </c>
      <c r="J704" s="8" t="s">
        <v>22</v>
      </c>
      <c r="K704" s="8" t="s">
        <v>58</v>
      </c>
      <c r="L704" s="8" t="s">
        <v>51</v>
      </c>
      <c r="M704" s="8" t="s">
        <v>52</v>
      </c>
      <c r="N704" s="8" t="s">
        <v>3413</v>
      </c>
      <c r="O704" s="8">
        <f>1+52/60+39.6/3600</f>
        <v>1.8776666666666666</v>
      </c>
      <c r="P704" s="8" t="s">
        <v>3414</v>
      </c>
      <c r="Q704" s="8">
        <f>+(36+10/60+20/3600)</f>
        <v>36.172222222222217</v>
      </c>
      <c r="R704" s="8">
        <v>13.3</v>
      </c>
      <c r="S704" s="8">
        <v>14.3</v>
      </c>
      <c r="T704" s="8">
        <v>1</v>
      </c>
      <c r="U704" s="8">
        <v>13.2</v>
      </c>
      <c r="V704" s="8">
        <v>0.9</v>
      </c>
      <c r="W704" s="8">
        <v>0.7</v>
      </c>
      <c r="X704" s="8">
        <v>50</v>
      </c>
      <c r="Y704" s="8" t="s">
        <v>3415</v>
      </c>
      <c r="Z704" s="8" t="s">
        <v>3416</v>
      </c>
    </row>
    <row r="705" spans="1:26" x14ac:dyDescent="0.2">
      <c r="A705" s="8">
        <v>704</v>
      </c>
      <c r="B705" s="8" t="s">
        <v>3417</v>
      </c>
      <c r="C705" s="8" t="s">
        <v>3417</v>
      </c>
      <c r="E705" s="8">
        <v>1</v>
      </c>
      <c r="F705" s="47" t="s">
        <v>56142</v>
      </c>
      <c r="G705" s="8">
        <v>15</v>
      </c>
      <c r="H705" s="8" t="s">
        <v>21</v>
      </c>
      <c r="I705" s="8" t="s">
        <v>22</v>
      </c>
      <c r="J705" s="8" t="s">
        <v>22</v>
      </c>
      <c r="K705" s="8" t="s">
        <v>476</v>
      </c>
      <c r="L705" s="8" t="s">
        <v>51</v>
      </c>
      <c r="M705" s="8" t="s">
        <v>52</v>
      </c>
      <c r="N705" s="8" t="s">
        <v>3418</v>
      </c>
      <c r="O705" s="8">
        <f>1+52/60+37.7/3600</f>
        <v>1.8771388888888889</v>
      </c>
      <c r="P705" s="8" t="s">
        <v>3419</v>
      </c>
      <c r="Q705" s="8">
        <f>+(36+7/60+37/3600)</f>
        <v>36.126944444444447</v>
      </c>
      <c r="R705" s="8">
        <v>12.8</v>
      </c>
      <c r="S705" s="8">
        <v>13.7</v>
      </c>
      <c r="T705" s="8">
        <v>0.9</v>
      </c>
      <c r="U705" s="8">
        <v>11.4</v>
      </c>
      <c r="V705" s="8">
        <v>0.6</v>
      </c>
      <c r="W705" s="8">
        <v>0.4</v>
      </c>
      <c r="X705" s="8">
        <v>90</v>
      </c>
      <c r="Y705" s="8" t="s">
        <v>3420</v>
      </c>
      <c r="Z705" s="8" t="s">
        <v>3421</v>
      </c>
    </row>
    <row r="706" spans="1:26" x14ac:dyDescent="0.2">
      <c r="A706" s="8">
        <v>705</v>
      </c>
      <c r="B706" s="8" t="s">
        <v>3422</v>
      </c>
      <c r="C706" s="8" t="s">
        <v>3422</v>
      </c>
      <c r="F706" s="47" t="s">
        <v>56143</v>
      </c>
      <c r="G706" s="8">
        <v>15</v>
      </c>
      <c r="H706" s="8" t="s">
        <v>21</v>
      </c>
      <c r="I706" s="8" t="s">
        <v>22</v>
      </c>
      <c r="J706" s="8" t="s">
        <v>22</v>
      </c>
      <c r="K706" s="8" t="s">
        <v>632</v>
      </c>
      <c r="L706" s="8" t="s">
        <v>51</v>
      </c>
      <c r="M706" s="8" t="s">
        <v>52</v>
      </c>
      <c r="N706" s="8" t="s">
        <v>3423</v>
      </c>
      <c r="O706" s="8">
        <f>1+52/60+41.6/3600</f>
        <v>1.8782222222222222</v>
      </c>
      <c r="P706" s="8" t="s">
        <v>3424</v>
      </c>
      <c r="Q706" s="8">
        <f>+(36+8/60+40/3600)</f>
        <v>36.144444444444446</v>
      </c>
      <c r="R706" s="8">
        <v>13.6</v>
      </c>
      <c r="S706" s="8">
        <v>14.5</v>
      </c>
      <c r="T706" s="8">
        <v>0.9</v>
      </c>
      <c r="U706" s="8">
        <v>12.5</v>
      </c>
      <c r="V706" s="8">
        <v>1.2</v>
      </c>
      <c r="W706" s="8">
        <v>0.3</v>
      </c>
      <c r="X706" s="8">
        <v>114</v>
      </c>
      <c r="Y706" s="8" t="s">
        <v>3425</v>
      </c>
      <c r="Z706" s="8" t="s">
        <v>3426</v>
      </c>
    </row>
    <row r="707" spans="1:26" x14ac:dyDescent="0.2">
      <c r="A707" s="8">
        <v>706</v>
      </c>
      <c r="B707" s="8" t="s">
        <v>3427</v>
      </c>
      <c r="C707" s="8" t="s">
        <v>3427</v>
      </c>
      <c r="F707" s="47" t="s">
        <v>56144</v>
      </c>
      <c r="G707" s="8">
        <v>6.5</v>
      </c>
      <c r="H707" s="8" t="s">
        <v>21</v>
      </c>
      <c r="I707" s="8" t="s">
        <v>22</v>
      </c>
      <c r="J707" s="8" t="s">
        <v>22</v>
      </c>
      <c r="K707" s="8" t="s">
        <v>160</v>
      </c>
      <c r="L707" s="8" t="s">
        <v>38</v>
      </c>
      <c r="M707" s="8" t="s">
        <v>39</v>
      </c>
      <c r="N707" s="8" t="s">
        <v>3428</v>
      </c>
      <c r="O707" s="8">
        <f>1+51/60+50.7/3600</f>
        <v>1.8640833333333333</v>
      </c>
      <c r="P707" s="8" t="s">
        <v>3429</v>
      </c>
      <c r="Q707" s="8">
        <f>+(6+17/60+46/3600)</f>
        <v>6.2961111111111112</v>
      </c>
      <c r="R707" s="8">
        <v>12.5</v>
      </c>
      <c r="S707" s="8">
        <v>13.2</v>
      </c>
      <c r="T707" s="8">
        <v>0.7</v>
      </c>
      <c r="U707" s="8">
        <v>13.4</v>
      </c>
      <c r="V707" s="8">
        <v>1.9</v>
      </c>
      <c r="W707" s="8">
        <v>1.5</v>
      </c>
      <c r="X707" s="8">
        <v>147</v>
      </c>
      <c r="Y707" s="8" t="s">
        <v>3430</v>
      </c>
      <c r="Z707" s="8" t="s">
        <v>3431</v>
      </c>
    </row>
    <row r="708" spans="1:26" x14ac:dyDescent="0.2">
      <c r="A708" s="8">
        <v>707</v>
      </c>
      <c r="B708" s="8" t="s">
        <v>3432</v>
      </c>
      <c r="C708" s="8" t="s">
        <v>3432</v>
      </c>
      <c r="E708" s="8">
        <v>1</v>
      </c>
      <c r="F708" s="47"/>
      <c r="G708" s="8">
        <v>19</v>
      </c>
      <c r="H708" s="8" t="s">
        <v>21</v>
      </c>
      <c r="I708" s="8" t="s">
        <v>22</v>
      </c>
      <c r="J708" s="8" t="s">
        <v>22</v>
      </c>
      <c r="K708" s="8" t="s">
        <v>58</v>
      </c>
      <c r="L708" s="8" t="s">
        <v>125</v>
      </c>
      <c r="M708" s="8" t="s">
        <v>126</v>
      </c>
      <c r="N708" s="8" t="s">
        <v>3433</v>
      </c>
      <c r="O708" s="8">
        <f>1+51/60+27/3600</f>
        <v>1.8575000000000002</v>
      </c>
      <c r="P708" s="8" t="s">
        <v>3434</v>
      </c>
      <c r="Q708" s="8">
        <f>-(8+30/60+22/3600)</f>
        <v>-8.5061111111111103</v>
      </c>
      <c r="R708" s="8">
        <v>13.6</v>
      </c>
      <c r="S708" s="8">
        <v>14.6</v>
      </c>
      <c r="T708" s="8">
        <v>1</v>
      </c>
      <c r="U708" s="8">
        <v>13.8</v>
      </c>
      <c r="V708" s="8">
        <v>1.3</v>
      </c>
      <c r="W708" s="8">
        <v>0.9</v>
      </c>
      <c r="X708" s="8">
        <v>95</v>
      </c>
      <c r="Y708" s="8" t="s">
        <v>3435</v>
      </c>
      <c r="Z708" s="8" t="s">
        <v>3436</v>
      </c>
    </row>
    <row r="709" spans="1:26" x14ac:dyDescent="0.2">
      <c r="A709" s="8">
        <v>708</v>
      </c>
      <c r="B709" s="8" t="s">
        <v>3437</v>
      </c>
      <c r="C709" s="8" t="s">
        <v>3437</v>
      </c>
      <c r="F709" s="47" t="s">
        <v>56145</v>
      </c>
      <c r="G709" s="8">
        <v>13</v>
      </c>
      <c r="H709" s="8" t="s">
        <v>21</v>
      </c>
      <c r="I709" s="8" t="s">
        <v>22</v>
      </c>
      <c r="J709" s="8" t="s">
        <v>22</v>
      </c>
      <c r="K709" s="8" t="s">
        <v>1136</v>
      </c>
      <c r="L709" s="8" t="s">
        <v>51</v>
      </c>
      <c r="M709" s="8" t="s">
        <v>52</v>
      </c>
      <c r="N709" s="8" t="s">
        <v>3438</v>
      </c>
      <c r="O709" s="8">
        <f>1+52/60+46.4/3600</f>
        <v>1.8795555555555556</v>
      </c>
      <c r="P709" s="8" t="s">
        <v>3439</v>
      </c>
      <c r="Q709" s="8">
        <f>+(36+9/60+8/3600)</f>
        <v>36.152222222222221</v>
      </c>
      <c r="R709" s="8">
        <v>12.7</v>
      </c>
      <c r="S709" s="8">
        <v>13.7</v>
      </c>
      <c r="T709" s="8">
        <v>1</v>
      </c>
      <c r="U709" s="8">
        <v>14.8</v>
      </c>
      <c r="V709" s="8">
        <v>3</v>
      </c>
      <c r="W709" s="8">
        <v>2.5</v>
      </c>
      <c r="X709" s="8">
        <v>35</v>
      </c>
      <c r="Y709" s="8" t="s">
        <v>3440</v>
      </c>
      <c r="Z709" s="8" t="s">
        <v>3441</v>
      </c>
    </row>
    <row r="710" spans="1:26" x14ac:dyDescent="0.2">
      <c r="A710" s="8">
        <v>709</v>
      </c>
      <c r="B710" s="8" t="s">
        <v>3442</v>
      </c>
      <c r="C710" s="8" t="s">
        <v>3442</v>
      </c>
      <c r="F710" s="47"/>
      <c r="G710" s="8">
        <v>18</v>
      </c>
      <c r="H710" s="8" t="s">
        <v>21</v>
      </c>
      <c r="I710" s="8" t="s">
        <v>22</v>
      </c>
      <c r="J710" s="8" t="s">
        <v>22</v>
      </c>
      <c r="K710" s="8" t="s">
        <v>37</v>
      </c>
      <c r="L710" s="8" t="s">
        <v>51</v>
      </c>
      <c r="M710" s="8" t="s">
        <v>52</v>
      </c>
      <c r="N710" s="8" t="s">
        <v>3443</v>
      </c>
      <c r="O710" s="8">
        <f>1+52/60+50.6/3600</f>
        <v>1.8807222222222222</v>
      </c>
      <c r="P710" s="8" t="s">
        <v>3444</v>
      </c>
      <c r="Q710" s="8">
        <f>+(36+13/60+23/3600)</f>
        <v>36.223055555555554</v>
      </c>
      <c r="R710" s="8">
        <v>14.3</v>
      </c>
      <c r="S710" s="8">
        <v>15.2</v>
      </c>
      <c r="T710" s="8">
        <v>0.9</v>
      </c>
      <c r="U710" s="8">
        <v>13.4</v>
      </c>
      <c r="V710" s="8">
        <v>1</v>
      </c>
      <c r="W710" s="8">
        <v>0.5</v>
      </c>
      <c r="X710" s="8">
        <v>135</v>
      </c>
      <c r="Y710" s="8" t="s">
        <v>3445</v>
      </c>
      <c r="Z710" s="8" t="s">
        <v>3446</v>
      </c>
    </row>
    <row r="711" spans="1:26" x14ac:dyDescent="0.2">
      <c r="A711" s="8">
        <v>710</v>
      </c>
      <c r="B711" s="8" t="s">
        <v>3447</v>
      </c>
      <c r="C711" s="8" t="s">
        <v>3447</v>
      </c>
      <c r="F711" s="47"/>
      <c r="G711" s="8">
        <v>18</v>
      </c>
      <c r="H711" s="8" t="s">
        <v>21</v>
      </c>
      <c r="I711" s="8" t="s">
        <v>22</v>
      </c>
      <c r="J711" s="8" t="s">
        <v>22</v>
      </c>
      <c r="K711" s="8" t="s">
        <v>160</v>
      </c>
      <c r="L711" s="8" t="s">
        <v>51</v>
      </c>
      <c r="M711" s="8" t="s">
        <v>52</v>
      </c>
      <c r="N711" s="8" t="s">
        <v>3448</v>
      </c>
      <c r="O711" s="8">
        <f>1+52/60+54/3600</f>
        <v>1.8816666666666666</v>
      </c>
      <c r="P711" s="8" t="s">
        <v>3449</v>
      </c>
      <c r="Q711" s="8">
        <f>+(36+3/60+12/3600)</f>
        <v>36.053333333333327</v>
      </c>
      <c r="R711" s="8">
        <v>13.7</v>
      </c>
      <c r="S711" s="8">
        <v>14.3</v>
      </c>
      <c r="T711" s="8">
        <v>0.6</v>
      </c>
      <c r="U711" s="8">
        <v>14</v>
      </c>
      <c r="V711" s="8">
        <v>1.3</v>
      </c>
      <c r="W711" s="8">
        <v>1.2</v>
      </c>
      <c r="X711" s="8">
        <v>45</v>
      </c>
      <c r="Y711" s="8" t="s">
        <v>3450</v>
      </c>
      <c r="Z711" s="8" t="s">
        <v>3451</v>
      </c>
    </row>
    <row r="712" spans="1:26" x14ac:dyDescent="0.2">
      <c r="A712" s="8">
        <v>711</v>
      </c>
      <c r="B712" s="8" t="s">
        <v>3452</v>
      </c>
      <c r="C712" s="8" t="s">
        <v>3452</v>
      </c>
      <c r="F712" s="47"/>
      <c r="G712" s="8">
        <v>19</v>
      </c>
      <c r="H712" s="8" t="s">
        <v>21</v>
      </c>
      <c r="I712" s="8" t="s">
        <v>22</v>
      </c>
      <c r="J712" s="8" t="s">
        <v>22</v>
      </c>
      <c r="K712" s="8" t="s">
        <v>37</v>
      </c>
      <c r="L712" s="8" t="s">
        <v>3256</v>
      </c>
      <c r="M712" s="8" t="s">
        <v>3257</v>
      </c>
      <c r="N712" s="8" t="s">
        <v>3453</v>
      </c>
      <c r="O712" s="8">
        <f>1+52/60+27.7/3600</f>
        <v>1.8743611111111111</v>
      </c>
      <c r="P712" s="8" t="s">
        <v>3454</v>
      </c>
      <c r="Q712" s="8">
        <f>+(17+30/60+47/3600)</f>
        <v>17.513055555555557</v>
      </c>
      <c r="R712" s="8">
        <v>13.1</v>
      </c>
      <c r="S712" s="8">
        <v>14.1</v>
      </c>
      <c r="T712" s="8">
        <v>1</v>
      </c>
      <c r="U712" s="8">
        <v>13.3</v>
      </c>
      <c r="V712" s="8">
        <v>1.6</v>
      </c>
      <c r="W712" s="8">
        <v>0.7</v>
      </c>
      <c r="X712" s="8">
        <v>15</v>
      </c>
      <c r="Y712" s="8" t="s">
        <v>3455</v>
      </c>
      <c r="Z712" s="8" t="s">
        <v>3456</v>
      </c>
    </row>
    <row r="713" spans="1:26" x14ac:dyDescent="0.2">
      <c r="A713" s="8">
        <v>712</v>
      </c>
      <c r="B713" s="8" t="s">
        <v>3457</v>
      </c>
      <c r="C713" s="8" t="s">
        <v>3457</v>
      </c>
      <c r="F713" s="47"/>
      <c r="G713" s="8">
        <v>16</v>
      </c>
      <c r="H713" s="8" t="s">
        <v>21</v>
      </c>
      <c r="I713" s="8" t="s">
        <v>22</v>
      </c>
      <c r="J713" s="8" t="s">
        <v>22</v>
      </c>
      <c r="K713" s="8" t="s">
        <v>37</v>
      </c>
      <c r="L713" s="8" t="s">
        <v>51</v>
      </c>
      <c r="M713" s="8" t="s">
        <v>52</v>
      </c>
      <c r="N713" s="8" t="s">
        <v>3458</v>
      </c>
      <c r="O713" s="8">
        <f>1+53/60+8.4/3600</f>
        <v>1.8856666666666666</v>
      </c>
      <c r="P713" s="8" t="s">
        <v>3459</v>
      </c>
      <c r="Q713" s="8">
        <f>+(36+49/60+11/3600)</f>
        <v>36.819722222222225</v>
      </c>
      <c r="R713" s="8">
        <v>12.8</v>
      </c>
      <c r="S713" s="8">
        <v>13.8</v>
      </c>
      <c r="T713" s="8">
        <v>1</v>
      </c>
      <c r="U713" s="8">
        <v>12.1</v>
      </c>
      <c r="V713" s="8">
        <v>1</v>
      </c>
      <c r="W713" s="8">
        <v>0.6</v>
      </c>
      <c r="X713" s="8">
        <v>85</v>
      </c>
      <c r="Y713" s="8" t="s">
        <v>3460</v>
      </c>
      <c r="Z713" s="8" t="s">
        <v>3461</v>
      </c>
    </row>
    <row r="714" spans="1:26" x14ac:dyDescent="0.2">
      <c r="A714" s="8">
        <v>713</v>
      </c>
      <c r="B714" s="8" t="s">
        <v>3462</v>
      </c>
      <c r="C714" s="8" t="s">
        <v>3462</v>
      </c>
      <c r="F714" s="47"/>
      <c r="G714" s="8">
        <v>19</v>
      </c>
      <c r="H714" s="8" t="s">
        <v>21</v>
      </c>
      <c r="I714" s="8" t="s">
        <v>22</v>
      </c>
      <c r="J714" s="8" t="s">
        <v>22</v>
      </c>
      <c r="K714" s="8" t="s">
        <v>23</v>
      </c>
      <c r="L714" s="8" t="s">
        <v>125</v>
      </c>
      <c r="M714" s="8" t="s">
        <v>126</v>
      </c>
      <c r="N714" s="8" t="s">
        <v>3463</v>
      </c>
      <c r="O714" s="8">
        <f>1+55/60+21.6/3600</f>
        <v>1.9226666666666665</v>
      </c>
      <c r="P714" s="8" t="s">
        <v>3464</v>
      </c>
      <c r="Q714" s="8">
        <f>-(9+5/60+0/3600)</f>
        <v>-9.0833333333333339</v>
      </c>
      <c r="R714" s="8">
        <v>14.4</v>
      </c>
      <c r="S714" s="8">
        <v>15.2</v>
      </c>
      <c r="T714" s="8">
        <v>0.8</v>
      </c>
      <c r="U714" s="8">
        <v>12.9</v>
      </c>
      <c r="V714" s="8">
        <v>1</v>
      </c>
      <c r="W714" s="8">
        <v>0.3</v>
      </c>
      <c r="X714" s="8">
        <v>95</v>
      </c>
      <c r="Y714" s="8" t="s">
        <v>3465</v>
      </c>
      <c r="Z714" s="8" t="s">
        <v>3466</v>
      </c>
    </row>
    <row r="715" spans="1:26" x14ac:dyDescent="0.2">
      <c r="A715" s="8">
        <v>714</v>
      </c>
      <c r="B715" s="8" t="s">
        <v>3467</v>
      </c>
      <c r="C715" s="8" t="s">
        <v>3467</v>
      </c>
      <c r="F715" s="47"/>
      <c r="G715" s="8">
        <v>18</v>
      </c>
      <c r="H715" s="8" t="s">
        <v>21</v>
      </c>
      <c r="I715" s="8" t="s">
        <v>22</v>
      </c>
      <c r="J715" s="8" t="s">
        <v>22</v>
      </c>
      <c r="K715" s="8" t="s">
        <v>632</v>
      </c>
      <c r="L715" s="8" t="s">
        <v>51</v>
      </c>
      <c r="M715" s="8" t="s">
        <v>52</v>
      </c>
      <c r="N715" s="8" t="s">
        <v>3468</v>
      </c>
      <c r="O715" s="8">
        <f>1+53/60+29.6/3600</f>
        <v>1.8915555555555554</v>
      </c>
      <c r="P715" s="8" t="s">
        <v>3469</v>
      </c>
      <c r="Q715" s="8">
        <f>+(36+13/60+17/3600)</f>
        <v>36.221388888888889</v>
      </c>
      <c r="R715" s="8">
        <v>13.1</v>
      </c>
      <c r="S715" s="8">
        <v>14.1</v>
      </c>
      <c r="T715" s="8">
        <v>1</v>
      </c>
      <c r="U715" s="8">
        <v>12.4</v>
      </c>
      <c r="V715" s="8">
        <v>1.5</v>
      </c>
      <c r="W715" s="8">
        <v>0.4</v>
      </c>
      <c r="X715" s="8">
        <v>112</v>
      </c>
      <c r="Y715" s="8" t="s">
        <v>3470</v>
      </c>
      <c r="Z715" s="8" t="s">
        <v>3471</v>
      </c>
    </row>
    <row r="716" spans="1:26" x14ac:dyDescent="0.2">
      <c r="A716" s="8">
        <v>715</v>
      </c>
      <c r="B716" s="8" t="s">
        <v>3472</v>
      </c>
      <c r="C716" s="8" t="s">
        <v>3472</v>
      </c>
      <c r="F716" s="47"/>
      <c r="G716" s="8">
        <v>19</v>
      </c>
      <c r="H716" s="8" t="s">
        <v>21</v>
      </c>
      <c r="I716" s="8" t="s">
        <v>22</v>
      </c>
      <c r="J716" s="8" t="s">
        <v>22</v>
      </c>
      <c r="K716" s="8" t="s">
        <v>23</v>
      </c>
      <c r="L716" s="8" t="s">
        <v>125</v>
      </c>
      <c r="M716" s="8" t="s">
        <v>126</v>
      </c>
      <c r="N716" s="8" t="s">
        <v>3473</v>
      </c>
      <c r="O716" s="8">
        <f>1+53/60+12.4/3600</f>
        <v>1.8867777777777777</v>
      </c>
      <c r="P716" s="8" t="s">
        <v>3474</v>
      </c>
      <c r="Q716" s="8">
        <f>-(12+52/60+24/3600)</f>
        <v>-12.873333333333333</v>
      </c>
      <c r="R716" s="8">
        <v>14</v>
      </c>
      <c r="S716" s="8">
        <v>14.8</v>
      </c>
      <c r="T716" s="8">
        <v>0.8</v>
      </c>
      <c r="U716" s="8">
        <v>12.6</v>
      </c>
      <c r="V716" s="8">
        <v>0.8</v>
      </c>
      <c r="W716" s="8">
        <v>0.4</v>
      </c>
      <c r="X716" s="8">
        <v>175</v>
      </c>
      <c r="Y716" s="8" t="s">
        <v>3475</v>
      </c>
      <c r="Z716" s="8" t="s">
        <v>3476</v>
      </c>
    </row>
    <row r="717" spans="1:26" x14ac:dyDescent="0.2">
      <c r="A717" s="8">
        <v>716</v>
      </c>
      <c r="B717" s="8" t="s">
        <v>3477</v>
      </c>
      <c r="C717" s="8" t="s">
        <v>3477</v>
      </c>
      <c r="F717" s="47"/>
      <c r="G717" s="8">
        <v>19</v>
      </c>
      <c r="H717" s="8" t="s">
        <v>21</v>
      </c>
      <c r="I717" s="8" t="s">
        <v>22</v>
      </c>
      <c r="J717" s="8" t="s">
        <v>22</v>
      </c>
      <c r="K717" s="8" t="s">
        <v>154</v>
      </c>
      <c r="L717" s="8" t="s">
        <v>3256</v>
      </c>
      <c r="M717" s="8" t="s">
        <v>3257</v>
      </c>
      <c r="N717" s="8" t="s">
        <v>3478</v>
      </c>
      <c r="O717" s="8">
        <f>1+52/60+59.5/3600</f>
        <v>1.8831944444444444</v>
      </c>
      <c r="P717" s="8" t="s">
        <v>3479</v>
      </c>
      <c r="Q717" s="8">
        <f>+(12+42/60+30/3600)</f>
        <v>12.708333333333332</v>
      </c>
      <c r="R717" s="8">
        <v>12.9</v>
      </c>
      <c r="S717" s="8">
        <v>13.8</v>
      </c>
      <c r="T717" s="8">
        <v>0.9</v>
      </c>
      <c r="U717" s="8">
        <v>13</v>
      </c>
      <c r="V717" s="8">
        <v>1.8</v>
      </c>
      <c r="W717" s="8">
        <v>0.8</v>
      </c>
      <c r="X717" s="8">
        <v>57</v>
      </c>
      <c r="Y717" s="8" t="s">
        <v>3480</v>
      </c>
      <c r="Z717" s="8" t="s">
        <v>3481</v>
      </c>
    </row>
    <row r="718" spans="1:26" x14ac:dyDescent="0.2">
      <c r="A718" s="8">
        <v>717</v>
      </c>
      <c r="B718" s="8" t="s">
        <v>3482</v>
      </c>
      <c r="C718" s="8" t="s">
        <v>3482</v>
      </c>
      <c r="F718" s="47"/>
      <c r="G718" s="8">
        <v>18</v>
      </c>
      <c r="H718" s="8" t="s">
        <v>21</v>
      </c>
      <c r="I718" s="8" t="s">
        <v>22</v>
      </c>
      <c r="J718" s="8" t="s">
        <v>22</v>
      </c>
      <c r="K718" s="8" t="s">
        <v>632</v>
      </c>
      <c r="L718" s="8" t="s">
        <v>51</v>
      </c>
      <c r="M718" s="8" t="s">
        <v>52</v>
      </c>
      <c r="N718" s="8" t="s">
        <v>3483</v>
      </c>
      <c r="O718" s="8">
        <f>1+53/60+55/3600</f>
        <v>1.898611111111111</v>
      </c>
      <c r="P718" s="8" t="s">
        <v>3484</v>
      </c>
      <c r="Q718" s="8">
        <f>+(36+13/60+47/3600)</f>
        <v>36.229722222222222</v>
      </c>
      <c r="R718" s="8">
        <v>13.9</v>
      </c>
      <c r="S718" s="8">
        <v>14.9</v>
      </c>
      <c r="T718" s="8">
        <v>1</v>
      </c>
      <c r="U718" s="8">
        <v>12.5</v>
      </c>
      <c r="V718" s="8">
        <v>1.3</v>
      </c>
      <c r="W718" s="8">
        <v>0.2</v>
      </c>
      <c r="X718" s="8">
        <v>117</v>
      </c>
      <c r="Y718" s="8" t="s">
        <v>3485</v>
      </c>
      <c r="Z718" s="8" t="s">
        <v>3486</v>
      </c>
    </row>
    <row r="719" spans="1:26" x14ac:dyDescent="0.2">
      <c r="A719" s="8">
        <v>718</v>
      </c>
      <c r="B719" s="8" t="s">
        <v>3487</v>
      </c>
      <c r="C719" s="8" t="s">
        <v>3487</v>
      </c>
      <c r="F719" s="47" t="s">
        <v>56146</v>
      </c>
      <c r="G719" s="8">
        <v>6.5</v>
      </c>
      <c r="H719" s="8" t="s">
        <v>21</v>
      </c>
      <c r="I719" s="8" t="s">
        <v>22</v>
      </c>
      <c r="J719" s="8" t="s">
        <v>22</v>
      </c>
      <c r="K719" s="8" t="s">
        <v>154</v>
      </c>
      <c r="L719" s="8" t="s">
        <v>38</v>
      </c>
      <c r="M719" s="8" t="s">
        <v>39</v>
      </c>
      <c r="N719" s="8" t="s">
        <v>3488</v>
      </c>
      <c r="O719" s="8">
        <f>1+53/60+13/3600</f>
        <v>1.8869444444444443</v>
      </c>
      <c r="P719" s="8" t="s">
        <v>3489</v>
      </c>
      <c r="Q719" s="8">
        <f>+(4+11/60+44/3600)</f>
        <v>4.1955555555555559</v>
      </c>
      <c r="R719" s="8">
        <v>11.7</v>
      </c>
      <c r="S719" s="8">
        <v>12.6</v>
      </c>
      <c r="T719" s="8">
        <v>0.9</v>
      </c>
      <c r="U719" s="8">
        <v>13.3</v>
      </c>
      <c r="V719" s="8">
        <v>2.2999999999999998</v>
      </c>
      <c r="W719" s="8">
        <v>2.2000000000000002</v>
      </c>
      <c r="X719" s="8">
        <v>45</v>
      </c>
      <c r="Y719" s="8" t="s">
        <v>3490</v>
      </c>
      <c r="Z719" s="8" t="s">
        <v>3491</v>
      </c>
    </row>
    <row r="720" spans="1:26" x14ac:dyDescent="0.2">
      <c r="A720" s="8">
        <v>719</v>
      </c>
      <c r="B720" s="8" t="s">
        <v>3492</v>
      </c>
      <c r="C720" s="8" t="s">
        <v>3492</v>
      </c>
      <c r="F720" s="47"/>
      <c r="G720" s="8">
        <v>18</v>
      </c>
      <c r="H720" s="8" t="s">
        <v>21</v>
      </c>
      <c r="I720" s="8" t="s">
        <v>22</v>
      </c>
      <c r="J720" s="8" t="s">
        <v>22</v>
      </c>
      <c r="K720" s="8" t="s">
        <v>37</v>
      </c>
      <c r="L720" s="8" t="s">
        <v>3256</v>
      </c>
      <c r="M720" s="8" t="s">
        <v>3257</v>
      </c>
      <c r="N720" s="8" t="s">
        <v>3493</v>
      </c>
      <c r="O720" s="8">
        <f>1+53/60+38.8/3600</f>
        <v>1.8941111111111111</v>
      </c>
      <c r="P720" s="8" t="s">
        <v>3494</v>
      </c>
      <c r="Q720" s="8">
        <f>+(19+50/60+27/3600)</f>
        <v>19.840833333333332</v>
      </c>
      <c r="R720" s="8">
        <v>13.2</v>
      </c>
      <c r="S720" s="8">
        <v>14.2</v>
      </c>
      <c r="T720" s="8">
        <v>1</v>
      </c>
      <c r="U720" s="8">
        <v>13.6</v>
      </c>
      <c r="V720" s="8">
        <v>1.4</v>
      </c>
      <c r="W720" s="8">
        <v>1.1000000000000001</v>
      </c>
      <c r="X720" s="8">
        <v>150</v>
      </c>
      <c r="Y720" s="8" t="s">
        <v>3495</v>
      </c>
      <c r="Z720" s="8" t="s">
        <v>3496</v>
      </c>
    </row>
    <row r="721" spans="1:26" x14ac:dyDescent="0.2">
      <c r="A721" s="8">
        <v>720</v>
      </c>
      <c r="B721" s="8" t="s">
        <v>3497</v>
      </c>
      <c r="C721" s="8" t="s">
        <v>3497</v>
      </c>
      <c r="F721" s="47" t="s">
        <v>56147</v>
      </c>
      <c r="G721" s="8">
        <v>6</v>
      </c>
      <c r="H721" s="8" t="s">
        <v>21</v>
      </c>
      <c r="I721" s="8" t="s">
        <v>22</v>
      </c>
      <c r="J721" s="8" t="s">
        <v>22</v>
      </c>
      <c r="K721" s="8" t="s">
        <v>1068</v>
      </c>
      <c r="L721" s="8" t="s">
        <v>125</v>
      </c>
      <c r="M721" s="8" t="s">
        <v>126</v>
      </c>
      <c r="N721" s="8" t="s">
        <v>3498</v>
      </c>
      <c r="O721" s="8">
        <f>1+53/60+0.4/3600</f>
        <v>1.8834444444444445</v>
      </c>
      <c r="P721" s="8" t="s">
        <v>3499</v>
      </c>
      <c r="Q721" s="8">
        <f>-(13+44/60+19/3600)</f>
        <v>-13.73861111111111</v>
      </c>
      <c r="R721" s="8">
        <v>10.199999999999999</v>
      </c>
      <c r="S721" s="8">
        <v>11.2</v>
      </c>
      <c r="T721" s="8">
        <v>1</v>
      </c>
      <c r="U721" s="8">
        <v>12.8</v>
      </c>
      <c r="V721" s="8">
        <v>4.7</v>
      </c>
      <c r="W721" s="8">
        <v>2.4</v>
      </c>
      <c r="X721" s="8">
        <v>140</v>
      </c>
      <c r="Y721" s="8" t="s">
        <v>3500</v>
      </c>
      <c r="Z721" s="8" t="s">
        <v>3501</v>
      </c>
    </row>
    <row r="722" spans="1:26" x14ac:dyDescent="0.2">
      <c r="A722" s="8">
        <v>721</v>
      </c>
      <c r="B722" s="8" t="s">
        <v>3502</v>
      </c>
      <c r="C722" s="8" t="s">
        <v>3502</v>
      </c>
      <c r="F722" s="47"/>
      <c r="G722" s="8">
        <v>18</v>
      </c>
      <c r="H722" s="8" t="s">
        <v>21</v>
      </c>
      <c r="I722" s="8" t="s">
        <v>22</v>
      </c>
      <c r="J722" s="8" t="s">
        <v>22</v>
      </c>
      <c r="K722" s="8" t="s">
        <v>85</v>
      </c>
      <c r="L722" s="8" t="s">
        <v>51</v>
      </c>
      <c r="M722" s="8" t="s">
        <v>52</v>
      </c>
      <c r="N722" s="8" t="s">
        <v>3503</v>
      </c>
      <c r="O722" s="8">
        <f>1+54/60+45.4/3600</f>
        <v>1.912611111111111</v>
      </c>
      <c r="P722" s="8" t="s">
        <v>3504</v>
      </c>
      <c r="Q722" s="8">
        <f>+(39+22/60+59/3600)</f>
        <v>39.383055555555558</v>
      </c>
      <c r="R722" s="8">
        <v>13.5</v>
      </c>
      <c r="S722" s="8">
        <v>14.2</v>
      </c>
      <c r="T722" s="8">
        <v>0.7</v>
      </c>
      <c r="U722" s="8">
        <v>13.9</v>
      </c>
      <c r="V722" s="8">
        <v>1.7</v>
      </c>
      <c r="W722" s="8">
        <v>1</v>
      </c>
      <c r="X722" s="8">
        <v>135</v>
      </c>
      <c r="Y722" s="8" t="s">
        <v>3505</v>
      </c>
      <c r="Z722" s="8" t="s">
        <v>3506</v>
      </c>
    </row>
    <row r="723" spans="1:26" x14ac:dyDescent="0.2">
      <c r="A723" s="8">
        <v>722</v>
      </c>
      <c r="B723" s="8" t="s">
        <v>3507</v>
      </c>
      <c r="C723" s="8" t="s">
        <v>3507</v>
      </c>
      <c r="F723" s="47"/>
      <c r="G723" s="8">
        <v>18</v>
      </c>
      <c r="H723" s="8" t="s">
        <v>21</v>
      </c>
      <c r="I723" s="8" t="s">
        <v>22</v>
      </c>
      <c r="J723" s="8" t="s">
        <v>22</v>
      </c>
      <c r="K723" s="8" t="s">
        <v>396</v>
      </c>
      <c r="L723" s="8" t="s">
        <v>3256</v>
      </c>
      <c r="M723" s="8" t="s">
        <v>3257</v>
      </c>
      <c r="N723" s="8" t="s">
        <v>3508</v>
      </c>
      <c r="O723" s="8">
        <f>1+54/60+46.9/3600</f>
        <v>1.9130277777777778</v>
      </c>
      <c r="P723" s="8" t="s">
        <v>3509</v>
      </c>
      <c r="Q723" s="8">
        <f>+(20+41/60+54/3600)</f>
        <v>20.698333333333334</v>
      </c>
      <c r="R723" s="8">
        <v>13.4</v>
      </c>
      <c r="S723" s="8">
        <v>14.2</v>
      </c>
      <c r="T723" s="8">
        <v>0.8</v>
      </c>
      <c r="U723" s="8">
        <v>13.1</v>
      </c>
      <c r="V723" s="8">
        <v>1.7</v>
      </c>
      <c r="W723" s="8">
        <v>0.5</v>
      </c>
      <c r="X723" s="8">
        <v>138</v>
      </c>
      <c r="Y723" s="8" t="s">
        <v>3510</v>
      </c>
      <c r="Z723" s="8" t="s">
        <v>3511</v>
      </c>
    </row>
    <row r="724" spans="1:26" x14ac:dyDescent="0.2">
      <c r="A724" s="8">
        <v>723</v>
      </c>
      <c r="B724" s="8" t="s">
        <v>3512</v>
      </c>
      <c r="C724" s="8" t="s">
        <v>3512</v>
      </c>
      <c r="F724" s="47" t="s">
        <v>56148</v>
      </c>
      <c r="G724" s="8">
        <v>15</v>
      </c>
      <c r="H724" s="8" t="s">
        <v>21</v>
      </c>
      <c r="I724" s="8" t="s">
        <v>22</v>
      </c>
      <c r="J724" s="8" t="s">
        <v>22</v>
      </c>
      <c r="K724" s="8" t="s">
        <v>396</v>
      </c>
      <c r="L724" s="8" t="s">
        <v>125</v>
      </c>
      <c r="M724" s="8" t="s">
        <v>126</v>
      </c>
      <c r="N724" s="8" t="s">
        <v>3513</v>
      </c>
      <c r="O724" s="8">
        <f>1+53/60+45.6/3600</f>
        <v>1.8959999999999999</v>
      </c>
      <c r="P724" s="8" t="s">
        <v>3514</v>
      </c>
      <c r="Q724" s="8">
        <f>-(23+45/60+26/3600)</f>
        <v>-23.757222222222222</v>
      </c>
      <c r="R724" s="8">
        <v>12.5</v>
      </c>
      <c r="S724" s="8">
        <v>13.3</v>
      </c>
      <c r="T724" s="8">
        <v>0.8</v>
      </c>
      <c r="U724" s="8">
        <v>13.1</v>
      </c>
      <c r="V724" s="8">
        <v>1.5</v>
      </c>
      <c r="W724" s="8">
        <v>1.3</v>
      </c>
      <c r="X724" s="8">
        <v>166</v>
      </c>
      <c r="Y724" s="8" t="s">
        <v>3515</v>
      </c>
      <c r="Z724" s="8" t="s">
        <v>3516</v>
      </c>
    </row>
    <row r="725" spans="1:26" x14ac:dyDescent="0.2">
      <c r="A725" s="8">
        <v>724</v>
      </c>
      <c r="B725" s="8" t="s">
        <v>3517</v>
      </c>
      <c r="C725" s="8" t="s">
        <v>3517</v>
      </c>
      <c r="F725" s="47"/>
      <c r="G725" s="8">
        <v>16</v>
      </c>
      <c r="H725" s="8" t="s">
        <v>21</v>
      </c>
      <c r="I725" s="8" t="s">
        <v>22</v>
      </c>
      <c r="J725" s="8" t="s">
        <v>57</v>
      </c>
      <c r="K725" s="8" t="s">
        <v>396</v>
      </c>
      <c r="L725" s="8" t="s">
        <v>125</v>
      </c>
      <c r="M725" s="8" t="s">
        <v>126</v>
      </c>
      <c r="N725" s="8" t="s">
        <v>3513</v>
      </c>
      <c r="O725" s="8">
        <f>1+53/60+45.6/3600</f>
        <v>1.8959999999999999</v>
      </c>
      <c r="P725" s="8" t="s">
        <v>3514</v>
      </c>
      <c r="Q725" s="8">
        <f>-(23+45/60+26/3600)</f>
        <v>-23.757222222222222</v>
      </c>
      <c r="R725" s="8">
        <v>12.5</v>
      </c>
      <c r="S725" s="8">
        <v>13.3</v>
      </c>
      <c r="T725" s="8">
        <v>0.8</v>
      </c>
      <c r="U725" s="8">
        <v>13.1</v>
      </c>
      <c r="V725" s="8">
        <v>1.5</v>
      </c>
      <c r="W725" s="8">
        <v>1.3</v>
      </c>
      <c r="X725" s="8">
        <v>166</v>
      </c>
      <c r="Y725" s="8" t="s">
        <v>3515</v>
      </c>
      <c r="Z725" s="8" t="s">
        <v>3518</v>
      </c>
    </row>
    <row r="726" spans="1:26" x14ac:dyDescent="0.2">
      <c r="A726" s="8">
        <v>725</v>
      </c>
      <c r="B726" s="8" t="s">
        <v>3519</v>
      </c>
      <c r="C726" s="8" t="s">
        <v>3519</v>
      </c>
      <c r="F726" s="47"/>
      <c r="G726" s="8">
        <v>19</v>
      </c>
      <c r="H726" s="8" t="s">
        <v>21</v>
      </c>
      <c r="I726" s="8" t="s">
        <v>22</v>
      </c>
      <c r="J726" s="8" t="s">
        <v>22</v>
      </c>
      <c r="K726" s="8" t="s">
        <v>160</v>
      </c>
      <c r="L726" s="8" t="s">
        <v>125</v>
      </c>
      <c r="M726" s="8" t="s">
        <v>126</v>
      </c>
      <c r="N726" s="8" t="s">
        <v>3520</v>
      </c>
      <c r="O726" s="8">
        <f>1+52/60+35.3/3600</f>
        <v>1.8764722222222223</v>
      </c>
      <c r="P726" s="8" t="s">
        <v>3521</v>
      </c>
      <c r="Q726" s="8">
        <f>-(16+31/60+3/3600)</f>
        <v>-16.517499999999998</v>
      </c>
      <c r="R726" s="8">
        <v>14.3</v>
      </c>
      <c r="S726" s="8">
        <v>15</v>
      </c>
      <c r="T726" s="8">
        <v>0.7</v>
      </c>
      <c r="U726" s="8">
        <v>13.2</v>
      </c>
      <c r="V726" s="8">
        <v>0.8</v>
      </c>
      <c r="W726" s="8">
        <v>0.5</v>
      </c>
      <c r="X726" s="8">
        <v>78</v>
      </c>
      <c r="Y726" s="8" t="s">
        <v>421</v>
      </c>
      <c r="Z726" s="8" t="s">
        <v>422</v>
      </c>
    </row>
    <row r="727" spans="1:26" x14ac:dyDescent="0.2">
      <c r="A727" s="8">
        <v>726</v>
      </c>
      <c r="B727" s="8" t="s">
        <v>3522</v>
      </c>
      <c r="C727" s="8" t="s">
        <v>3522</v>
      </c>
      <c r="F727" s="47"/>
      <c r="G727" s="8">
        <v>19</v>
      </c>
      <c r="H727" s="8" t="s">
        <v>21</v>
      </c>
      <c r="I727" s="8" t="s">
        <v>22</v>
      </c>
      <c r="J727" s="8" t="s">
        <v>22</v>
      </c>
      <c r="K727" s="8" t="s">
        <v>3523</v>
      </c>
      <c r="L727" s="8" t="s">
        <v>125</v>
      </c>
      <c r="M727" s="8" t="s">
        <v>126</v>
      </c>
      <c r="N727" s="8" t="s">
        <v>3524</v>
      </c>
      <c r="O727" s="8">
        <f>1+55/60+31.9/3600</f>
        <v>1.9255277777777777</v>
      </c>
      <c r="P727" s="8" t="s">
        <v>3525</v>
      </c>
      <c r="Q727" s="8">
        <f>-(10+47/60+58/3600)</f>
        <v>-10.799444444444445</v>
      </c>
      <c r="R727" s="8">
        <v>14.3</v>
      </c>
      <c r="S727" s="8">
        <v>14.9</v>
      </c>
      <c r="T727" s="8">
        <v>0.6</v>
      </c>
      <c r="U727" s="8">
        <v>13.8</v>
      </c>
      <c r="V727" s="8">
        <v>1.2</v>
      </c>
      <c r="W727" s="8">
        <v>0.6</v>
      </c>
      <c r="X727" s="8">
        <v>100</v>
      </c>
      <c r="Y727" s="8" t="s">
        <v>3526</v>
      </c>
      <c r="Z727" s="8" t="s">
        <v>3527</v>
      </c>
    </row>
    <row r="728" spans="1:26" x14ac:dyDescent="0.2">
      <c r="A728" s="8">
        <v>727</v>
      </c>
      <c r="B728" s="8" t="s">
        <v>3528</v>
      </c>
      <c r="C728" s="8" t="s">
        <v>3528</v>
      </c>
      <c r="F728" s="47"/>
      <c r="G728" s="8">
        <v>16</v>
      </c>
      <c r="H728" s="8" t="s">
        <v>21</v>
      </c>
      <c r="I728" s="8" t="s">
        <v>22</v>
      </c>
      <c r="J728" s="8" t="s">
        <v>22</v>
      </c>
      <c r="K728" s="8" t="s">
        <v>406</v>
      </c>
      <c r="L728" s="8" t="s">
        <v>3335</v>
      </c>
      <c r="M728" s="8" t="s">
        <v>3336</v>
      </c>
      <c r="N728" s="8" t="s">
        <v>3529</v>
      </c>
      <c r="O728" s="8">
        <f>1+53/60+49.3/3600</f>
        <v>1.8970277777777778</v>
      </c>
      <c r="P728" s="8" t="s">
        <v>3530</v>
      </c>
      <c r="Q728" s="8">
        <f>-(35+51/60+21/3600)</f>
        <v>-35.855833333333337</v>
      </c>
      <c r="R728" s="8">
        <v>13.9</v>
      </c>
      <c r="S728" s="8">
        <v>14.7</v>
      </c>
      <c r="T728" s="8">
        <v>0.8</v>
      </c>
      <c r="U728" s="8">
        <v>13.2</v>
      </c>
      <c r="V728" s="8">
        <v>1.1000000000000001</v>
      </c>
      <c r="W728" s="8">
        <v>0.6</v>
      </c>
      <c r="X728" s="8">
        <v>76</v>
      </c>
      <c r="Y728" s="8" t="s">
        <v>2641</v>
      </c>
      <c r="Z728" s="8" t="s">
        <v>2642</v>
      </c>
    </row>
    <row r="729" spans="1:26" x14ac:dyDescent="0.2">
      <c r="A729" s="8">
        <v>728</v>
      </c>
      <c r="B729" s="8" t="s">
        <v>3531</v>
      </c>
      <c r="C729" s="8" t="s">
        <v>3531</v>
      </c>
      <c r="F729" s="47"/>
      <c r="G729" s="8">
        <v>16</v>
      </c>
      <c r="H729" s="8" t="s">
        <v>21</v>
      </c>
      <c r="I729" s="8" t="s">
        <v>72</v>
      </c>
      <c r="J729" s="8" t="s">
        <v>72</v>
      </c>
      <c r="K729" s="8" t="s">
        <v>1802</v>
      </c>
      <c r="L729" s="8" t="s">
        <v>38</v>
      </c>
      <c r="M729" s="8" t="s">
        <v>39</v>
      </c>
      <c r="N729" s="8" t="s">
        <v>3532</v>
      </c>
      <c r="O729" s="8">
        <f>1+55/60+1.5/3600</f>
        <v>1.9170833333333333</v>
      </c>
      <c r="P729" s="8" t="s">
        <v>3533</v>
      </c>
      <c r="Q729" s="8">
        <f>+(4+13/60+22/3600)</f>
        <v>4.222777777777778</v>
      </c>
      <c r="R729" s="8">
        <v>99</v>
      </c>
      <c r="S729" s="8">
        <v>99</v>
      </c>
      <c r="T729" s="8">
        <v>99</v>
      </c>
      <c r="U729" s="8">
        <v>99</v>
      </c>
      <c r="Y729" s="8" t="s">
        <v>3534</v>
      </c>
      <c r="Z729" s="8" t="s">
        <v>3535</v>
      </c>
    </row>
    <row r="730" spans="1:26" x14ac:dyDescent="0.2">
      <c r="A730" s="8">
        <v>729</v>
      </c>
      <c r="B730" s="8" t="s">
        <v>3536</v>
      </c>
      <c r="C730" s="8" t="s">
        <v>3536</v>
      </c>
      <c r="F730" s="47"/>
      <c r="G730" s="8">
        <v>16</v>
      </c>
      <c r="H730" s="8" t="s">
        <v>21</v>
      </c>
      <c r="I730" s="8" t="s">
        <v>22</v>
      </c>
      <c r="J730" s="8" t="s">
        <v>57</v>
      </c>
      <c r="K730" s="8" t="s">
        <v>406</v>
      </c>
      <c r="L730" s="8" t="s">
        <v>3335</v>
      </c>
      <c r="M730" s="8" t="s">
        <v>3336</v>
      </c>
      <c r="N730" s="8" t="s">
        <v>3529</v>
      </c>
      <c r="O730" s="8">
        <f>1+53/60+49.3/3600</f>
        <v>1.8970277777777778</v>
      </c>
      <c r="P730" s="8" t="s">
        <v>3530</v>
      </c>
      <c r="Q730" s="8">
        <f>-(35+51/60+21/3600)</f>
        <v>-35.855833333333337</v>
      </c>
      <c r="R730" s="8">
        <v>13.9</v>
      </c>
      <c r="S730" s="8">
        <v>14.7</v>
      </c>
      <c r="T730" s="8">
        <v>0.8</v>
      </c>
      <c r="U730" s="8">
        <v>13.2</v>
      </c>
      <c r="V730" s="8">
        <v>1.1000000000000001</v>
      </c>
      <c r="W730" s="8">
        <v>0.6</v>
      </c>
      <c r="X730" s="8">
        <v>76</v>
      </c>
      <c r="Y730" s="8" t="s">
        <v>2641</v>
      </c>
      <c r="Z730" s="8" t="s">
        <v>3537</v>
      </c>
    </row>
    <row r="731" spans="1:26" x14ac:dyDescent="0.2">
      <c r="A731" s="8">
        <v>730</v>
      </c>
      <c r="B731" s="8" t="s">
        <v>3538</v>
      </c>
      <c r="C731" s="8" t="s">
        <v>3538</v>
      </c>
      <c r="F731" s="47"/>
      <c r="G731" s="8">
        <v>19</v>
      </c>
      <c r="H731" s="8" t="s">
        <v>21</v>
      </c>
      <c r="I731" s="8" t="s">
        <v>72</v>
      </c>
      <c r="J731" s="8" t="s">
        <v>72</v>
      </c>
      <c r="K731" s="8" t="s">
        <v>20</v>
      </c>
      <c r="L731" s="8" t="s">
        <v>38</v>
      </c>
      <c r="M731" s="8" t="s">
        <v>39</v>
      </c>
      <c r="N731" s="8" t="s">
        <v>3539</v>
      </c>
      <c r="O731" s="8">
        <f>1+55/60+18/3600</f>
        <v>1.9216666666666664</v>
      </c>
      <c r="P731" s="8" t="s">
        <v>3540</v>
      </c>
      <c r="Q731" s="8">
        <f>+(5+38/60+9/3600)</f>
        <v>5.6358333333333333</v>
      </c>
      <c r="R731" s="8">
        <v>99</v>
      </c>
      <c r="S731" s="8">
        <v>14.4</v>
      </c>
      <c r="T731" s="8">
        <v>99</v>
      </c>
      <c r="U731" s="8">
        <v>99</v>
      </c>
      <c r="Y731" s="8" t="s">
        <v>3541</v>
      </c>
      <c r="Z731" s="8" t="s">
        <v>3542</v>
      </c>
    </row>
    <row r="732" spans="1:26" x14ac:dyDescent="0.2">
      <c r="A732" s="8">
        <v>731</v>
      </c>
      <c r="B732" s="8" t="s">
        <v>3543</v>
      </c>
      <c r="C732" s="8" t="s">
        <v>3543</v>
      </c>
      <c r="F732" s="47" t="s">
        <v>56149</v>
      </c>
      <c r="G732" s="8">
        <v>15</v>
      </c>
      <c r="H732" s="8" t="s">
        <v>21</v>
      </c>
      <c r="I732" s="8" t="s">
        <v>22</v>
      </c>
      <c r="J732" s="8" t="s">
        <v>22</v>
      </c>
      <c r="K732" s="8" t="s">
        <v>460</v>
      </c>
      <c r="L732" s="8" t="s">
        <v>125</v>
      </c>
      <c r="M732" s="8" t="s">
        <v>126</v>
      </c>
      <c r="N732" s="8" t="s">
        <v>3544</v>
      </c>
      <c r="O732" s="8">
        <f>1+54/60+55.9/3600</f>
        <v>1.9155277777777777</v>
      </c>
      <c r="P732" s="8" t="s">
        <v>3545</v>
      </c>
      <c r="Q732" s="8">
        <f>-(9+0/60+41/3600)</f>
        <v>-9.011388888888888</v>
      </c>
      <c r="R732" s="8">
        <v>12.1</v>
      </c>
      <c r="S732" s="8">
        <v>13</v>
      </c>
      <c r="T732" s="8">
        <v>0.9</v>
      </c>
      <c r="U732" s="8">
        <v>13.2</v>
      </c>
      <c r="V732" s="8">
        <v>1.7</v>
      </c>
      <c r="W732" s="8">
        <v>1.7</v>
      </c>
      <c r="Y732" s="8" t="s">
        <v>457</v>
      </c>
      <c r="Z732" s="8" t="s">
        <v>458</v>
      </c>
    </row>
    <row r="733" spans="1:26" x14ac:dyDescent="0.2">
      <c r="A733" s="8">
        <v>732</v>
      </c>
      <c r="B733" s="8" t="s">
        <v>3546</v>
      </c>
      <c r="C733" s="8" t="s">
        <v>3546</v>
      </c>
      <c r="F733" s="47"/>
      <c r="G733" s="8">
        <v>19</v>
      </c>
      <c r="H733" s="8" t="s">
        <v>21</v>
      </c>
      <c r="I733" s="8" t="s">
        <v>22</v>
      </c>
      <c r="J733" s="8" t="s">
        <v>22</v>
      </c>
      <c r="K733" s="8" t="s">
        <v>37</v>
      </c>
      <c r="L733" s="8" t="s">
        <v>51</v>
      </c>
      <c r="M733" s="8" t="s">
        <v>52</v>
      </c>
      <c r="N733" s="8" t="s">
        <v>3547</v>
      </c>
      <c r="O733" s="8">
        <f>1+56/60+27.7/3600</f>
        <v>1.9410277777777778</v>
      </c>
      <c r="P733" s="8" t="s">
        <v>3548</v>
      </c>
      <c r="Q733" s="8">
        <f>+(36+48/60+8/3600)</f>
        <v>36.80222222222222</v>
      </c>
      <c r="R733" s="8">
        <v>13.5</v>
      </c>
      <c r="S733" s="8">
        <v>14.5</v>
      </c>
      <c r="T733" s="8">
        <v>1</v>
      </c>
      <c r="U733" s="8">
        <v>13.7</v>
      </c>
      <c r="V733" s="8">
        <v>1.4</v>
      </c>
      <c r="W733" s="8">
        <v>1</v>
      </c>
      <c r="X733" s="8">
        <v>28</v>
      </c>
      <c r="Y733" s="8" t="s">
        <v>3549</v>
      </c>
      <c r="Z733" s="8" t="s">
        <v>3550</v>
      </c>
    </row>
    <row r="734" spans="1:26" x14ac:dyDescent="0.2">
      <c r="A734" s="8">
        <v>733</v>
      </c>
      <c r="B734" s="8" t="s">
        <v>3551</v>
      </c>
      <c r="C734" s="8" t="s">
        <v>3551</v>
      </c>
      <c r="F734" s="47"/>
      <c r="G734" s="8">
        <v>18</v>
      </c>
      <c r="H734" s="8" t="s">
        <v>21</v>
      </c>
      <c r="I734" s="8" t="s">
        <v>72</v>
      </c>
      <c r="J734" s="8" t="s">
        <v>72</v>
      </c>
      <c r="K734" s="8" t="s">
        <v>20</v>
      </c>
      <c r="L734" s="8" t="s">
        <v>2809</v>
      </c>
      <c r="M734" s="8" t="s">
        <v>2810</v>
      </c>
      <c r="N734" s="8" t="s">
        <v>3552</v>
      </c>
      <c r="O734" s="8">
        <f>1+56/60+33.8/3600</f>
        <v>1.9427222222222222</v>
      </c>
      <c r="P734" s="8" t="s">
        <v>3553</v>
      </c>
      <c r="Q734" s="8">
        <f>+(33+3/60+21/3600)</f>
        <v>33.055833333333332</v>
      </c>
      <c r="R734" s="8">
        <v>99</v>
      </c>
      <c r="S734" s="8">
        <v>15.3</v>
      </c>
      <c r="T734" s="8">
        <v>99</v>
      </c>
      <c r="U734" s="8">
        <v>99</v>
      </c>
      <c r="Y734" s="8" t="s">
        <v>3554</v>
      </c>
      <c r="Z734" s="8" t="s">
        <v>3555</v>
      </c>
    </row>
    <row r="735" spans="1:26" x14ac:dyDescent="0.2">
      <c r="A735" s="8">
        <v>734</v>
      </c>
      <c r="B735" s="8" t="s">
        <v>3556</v>
      </c>
      <c r="C735" s="8" t="s">
        <v>3556</v>
      </c>
      <c r="F735" s="47"/>
      <c r="G735" s="8">
        <v>19</v>
      </c>
      <c r="H735" s="8" t="s">
        <v>21</v>
      </c>
      <c r="I735" s="8" t="s">
        <v>22</v>
      </c>
      <c r="J735" s="8" t="s">
        <v>22</v>
      </c>
      <c r="K735" s="8" t="s">
        <v>23</v>
      </c>
      <c r="L735" s="8" t="s">
        <v>125</v>
      </c>
      <c r="M735" s="8" t="s">
        <v>126</v>
      </c>
      <c r="N735" s="8" t="s">
        <v>3557</v>
      </c>
      <c r="O735" s="8">
        <f>1+53/60+28.7/3600</f>
        <v>1.8913055555555556</v>
      </c>
      <c r="P735" s="8" t="s">
        <v>3558</v>
      </c>
      <c r="Q735" s="8">
        <f>-(16+59/60+44/3600)</f>
        <v>-16.995555555555555</v>
      </c>
      <c r="R735" s="8">
        <v>14.6</v>
      </c>
      <c r="S735" s="8">
        <v>15.4</v>
      </c>
      <c r="T735" s="8">
        <v>0.8</v>
      </c>
      <c r="U735" s="8">
        <v>13.5</v>
      </c>
      <c r="V735" s="8">
        <v>0.7</v>
      </c>
      <c r="W735" s="8">
        <v>0.5</v>
      </c>
      <c r="X735" s="8">
        <v>5</v>
      </c>
      <c r="Y735" s="8" t="s">
        <v>3559</v>
      </c>
      <c r="Z735" s="8" t="s">
        <v>3560</v>
      </c>
    </row>
    <row r="736" spans="1:26" x14ac:dyDescent="0.2">
      <c r="A736" s="8">
        <v>735</v>
      </c>
      <c r="B736" s="8" t="s">
        <v>3561</v>
      </c>
      <c r="C736" s="8" t="s">
        <v>3561</v>
      </c>
      <c r="F736" s="47" t="s">
        <v>56150</v>
      </c>
      <c r="G736" s="8">
        <v>15</v>
      </c>
      <c r="H736" s="8" t="s">
        <v>21</v>
      </c>
      <c r="I736" s="8" t="s">
        <v>22</v>
      </c>
      <c r="J736" s="8" t="s">
        <v>22</v>
      </c>
      <c r="K736" s="8" t="s">
        <v>23</v>
      </c>
      <c r="L736" s="8" t="s">
        <v>2809</v>
      </c>
      <c r="M736" s="8" t="s">
        <v>2810</v>
      </c>
      <c r="N736" s="8" t="s">
        <v>3562</v>
      </c>
      <c r="O736" s="8">
        <f>1+56/60+38.2/3600</f>
        <v>1.9439444444444445</v>
      </c>
      <c r="P736" s="8" t="s">
        <v>3563</v>
      </c>
      <c r="Q736" s="8">
        <f>+(34+10/60+39/3600)</f>
        <v>34.177499999999995</v>
      </c>
      <c r="R736" s="8">
        <v>13.3</v>
      </c>
      <c r="S736" s="8">
        <v>14.1</v>
      </c>
      <c r="T736" s="8">
        <v>0.8</v>
      </c>
      <c r="U736" s="8">
        <v>13.6</v>
      </c>
      <c r="V736" s="8">
        <v>1.8</v>
      </c>
      <c r="W736" s="8">
        <v>0.8</v>
      </c>
      <c r="X736" s="8">
        <v>138</v>
      </c>
      <c r="Y736" s="8" t="s">
        <v>3564</v>
      </c>
      <c r="Z736" s="8" t="s">
        <v>3565</v>
      </c>
    </row>
    <row r="737" spans="1:26" x14ac:dyDescent="0.2">
      <c r="A737" s="8">
        <v>736</v>
      </c>
      <c r="B737" s="8" t="s">
        <v>3566</v>
      </c>
      <c r="C737" s="8" t="s">
        <v>3566</v>
      </c>
      <c r="F737" s="47" t="s">
        <v>56151</v>
      </c>
      <c r="G737" s="8">
        <v>15</v>
      </c>
      <c r="H737" s="8" t="s">
        <v>21</v>
      </c>
      <c r="I737" s="8" t="s">
        <v>22</v>
      </c>
      <c r="J737" s="8" t="s">
        <v>22</v>
      </c>
      <c r="K737" s="8" t="s">
        <v>460</v>
      </c>
      <c r="L737" s="8" t="s">
        <v>2809</v>
      </c>
      <c r="M737" s="8" t="s">
        <v>2810</v>
      </c>
      <c r="N737" s="8" t="s">
        <v>3567</v>
      </c>
      <c r="O737" s="8">
        <f>1+56/60+41/3600</f>
        <v>1.9447222222222222</v>
      </c>
      <c r="P737" s="8" t="s">
        <v>3568</v>
      </c>
      <c r="Q737" s="8">
        <f>+(33+2/60+40/3600)</f>
        <v>33.044444444444444</v>
      </c>
      <c r="R737" s="8">
        <v>12.1</v>
      </c>
      <c r="S737" s="8">
        <v>13.2</v>
      </c>
      <c r="T737" s="8">
        <v>1.1000000000000001</v>
      </c>
      <c r="U737" s="8">
        <v>13</v>
      </c>
      <c r="V737" s="8">
        <v>1.5</v>
      </c>
      <c r="W737" s="8">
        <v>1.5</v>
      </c>
      <c r="Y737" s="8" t="s">
        <v>3569</v>
      </c>
      <c r="Z737" s="8" t="s">
        <v>3570</v>
      </c>
    </row>
    <row r="738" spans="1:26" x14ac:dyDescent="0.2">
      <c r="A738" s="8">
        <v>737</v>
      </c>
      <c r="B738" s="8" t="s">
        <v>3571</v>
      </c>
      <c r="C738" s="8" t="s">
        <v>3571</v>
      </c>
      <c r="F738" s="47"/>
      <c r="G738" s="8">
        <v>18</v>
      </c>
      <c r="H738" s="8" t="s">
        <v>21</v>
      </c>
      <c r="I738" s="8" t="s">
        <v>72</v>
      </c>
      <c r="J738" s="8" t="s">
        <v>72</v>
      </c>
      <c r="K738" s="8" t="s">
        <v>1802</v>
      </c>
      <c r="L738" s="8" t="s">
        <v>2809</v>
      </c>
      <c r="M738" s="8" t="s">
        <v>2810</v>
      </c>
      <c r="N738" s="8" t="s">
        <v>3572</v>
      </c>
      <c r="O738" s="8">
        <f>1+56/60+40.8/3600</f>
        <v>1.9446666666666668</v>
      </c>
      <c r="P738" s="8" t="s">
        <v>3573</v>
      </c>
      <c r="Q738" s="8">
        <f>+(33+2/60+59/3600)</f>
        <v>33.049722222222222</v>
      </c>
      <c r="R738" s="8">
        <v>99</v>
      </c>
      <c r="S738" s="8">
        <v>99</v>
      </c>
      <c r="T738" s="8">
        <v>99</v>
      </c>
      <c r="U738" s="8">
        <v>99</v>
      </c>
      <c r="Y738" s="8" t="s">
        <v>3574</v>
      </c>
      <c r="Z738" s="8" t="s">
        <v>3575</v>
      </c>
    </row>
    <row r="739" spans="1:26" x14ac:dyDescent="0.2">
      <c r="A739" s="8">
        <v>738</v>
      </c>
      <c r="B739" s="8" t="s">
        <v>3576</v>
      </c>
      <c r="C739" s="8" t="s">
        <v>3576</v>
      </c>
      <c r="F739" s="47"/>
      <c r="G739" s="8">
        <v>18</v>
      </c>
      <c r="H739" s="8" t="s">
        <v>21</v>
      </c>
      <c r="I739" s="8" t="s">
        <v>22</v>
      </c>
      <c r="J739" s="8" t="s">
        <v>22</v>
      </c>
      <c r="K739" s="8" t="s">
        <v>37</v>
      </c>
      <c r="L739" s="8" t="s">
        <v>2809</v>
      </c>
      <c r="M739" s="8" t="s">
        <v>2810</v>
      </c>
      <c r="N739" s="8" t="s">
        <v>3577</v>
      </c>
      <c r="O739" s="8">
        <f>1+56/60+45.6/3600</f>
        <v>1.946</v>
      </c>
      <c r="P739" s="8" t="s">
        <v>3578</v>
      </c>
      <c r="Q739" s="8">
        <f>+(33+3/60+32/3600)</f>
        <v>33.058888888888887</v>
      </c>
      <c r="R739" s="8">
        <v>14.9</v>
      </c>
      <c r="S739" s="8">
        <v>15.9</v>
      </c>
      <c r="T739" s="8">
        <v>1</v>
      </c>
      <c r="U739" s="8">
        <v>12.7</v>
      </c>
      <c r="V739" s="8">
        <v>0.4</v>
      </c>
      <c r="W739" s="8">
        <v>0.2</v>
      </c>
      <c r="X739" s="8">
        <v>155</v>
      </c>
      <c r="Y739" s="8" t="s">
        <v>3579</v>
      </c>
      <c r="Z739" s="8" t="s">
        <v>3580</v>
      </c>
    </row>
    <row r="740" spans="1:26" x14ac:dyDescent="0.2">
      <c r="A740" s="8">
        <v>739</v>
      </c>
      <c r="B740" s="8" t="s">
        <v>3581</v>
      </c>
      <c r="C740" s="8" t="s">
        <v>3581</v>
      </c>
      <c r="F740" s="47"/>
      <c r="G740" s="8">
        <v>18</v>
      </c>
      <c r="H740" s="8" t="s">
        <v>21</v>
      </c>
      <c r="I740" s="8" t="s">
        <v>22</v>
      </c>
      <c r="J740" s="8" t="s">
        <v>22</v>
      </c>
      <c r="K740" s="8" t="s">
        <v>632</v>
      </c>
      <c r="L740" s="8" t="s">
        <v>2809</v>
      </c>
      <c r="M740" s="8" t="s">
        <v>2810</v>
      </c>
      <c r="N740" s="8" t="s">
        <v>3582</v>
      </c>
      <c r="O740" s="8">
        <f>1+56/60+54.6/3600</f>
        <v>1.9485000000000001</v>
      </c>
      <c r="P740" s="8" t="s">
        <v>3583</v>
      </c>
      <c r="Q740" s="8">
        <f>+(33+16/60+2/3600)</f>
        <v>33.267222222222223</v>
      </c>
      <c r="R740" s="8">
        <v>13.9</v>
      </c>
      <c r="S740" s="8">
        <v>14.8</v>
      </c>
      <c r="T740" s="8">
        <v>0.9</v>
      </c>
      <c r="U740" s="8">
        <v>13.1</v>
      </c>
      <c r="V740" s="8">
        <v>0.9</v>
      </c>
      <c r="W740" s="8">
        <v>0.6</v>
      </c>
      <c r="X740" s="8">
        <v>127</v>
      </c>
      <c r="Y740" s="8" t="s">
        <v>3584</v>
      </c>
      <c r="Z740" s="8" t="s">
        <v>3585</v>
      </c>
    </row>
    <row r="741" spans="1:26" x14ac:dyDescent="0.2">
      <c r="A741" s="8">
        <v>740</v>
      </c>
      <c r="B741" s="8" t="s">
        <v>3586</v>
      </c>
      <c r="C741" s="8" t="s">
        <v>3586</v>
      </c>
      <c r="F741" s="47"/>
      <c r="G741" s="8">
        <v>18</v>
      </c>
      <c r="H741" s="8" t="s">
        <v>21</v>
      </c>
      <c r="I741" s="8" t="s">
        <v>22</v>
      </c>
      <c r="J741" s="8" t="s">
        <v>22</v>
      </c>
      <c r="K741" s="8" t="s">
        <v>218</v>
      </c>
      <c r="L741" s="8" t="s">
        <v>2809</v>
      </c>
      <c r="M741" s="8" t="s">
        <v>2810</v>
      </c>
      <c r="N741" s="8" t="s">
        <v>3587</v>
      </c>
      <c r="O741" s="8">
        <f>1+56/60+55/3600</f>
        <v>1.9486111111111111</v>
      </c>
      <c r="P741" s="8" t="s">
        <v>3588</v>
      </c>
      <c r="Q741" s="8">
        <f>+(33+0/60+56/3600)</f>
        <v>33.015555555555558</v>
      </c>
      <c r="R741" s="8">
        <v>14</v>
      </c>
      <c r="S741" s="8">
        <v>14.8</v>
      </c>
      <c r="T741" s="8">
        <v>0.8</v>
      </c>
      <c r="U741" s="8">
        <v>13.3</v>
      </c>
      <c r="V741" s="8">
        <v>1.4</v>
      </c>
      <c r="W741" s="8">
        <v>0.3</v>
      </c>
      <c r="X741" s="8">
        <v>137</v>
      </c>
      <c r="Y741" s="8" t="s">
        <v>3589</v>
      </c>
      <c r="Z741" s="8" t="s">
        <v>3590</v>
      </c>
    </row>
    <row r="742" spans="1:26" x14ac:dyDescent="0.2">
      <c r="A742" s="8">
        <v>741</v>
      </c>
      <c r="B742" s="8" t="s">
        <v>3591</v>
      </c>
      <c r="C742" s="8" t="s">
        <v>3591</v>
      </c>
      <c r="F742" s="47" t="s">
        <v>56152</v>
      </c>
      <c r="G742" s="8">
        <v>6.5</v>
      </c>
      <c r="H742" s="8" t="s">
        <v>21</v>
      </c>
      <c r="I742" s="8" t="s">
        <v>22</v>
      </c>
      <c r="J742" s="8" t="s">
        <v>22</v>
      </c>
      <c r="K742" s="8" t="s">
        <v>460</v>
      </c>
      <c r="L742" s="8" t="s">
        <v>38</v>
      </c>
      <c r="M742" s="8" t="s">
        <v>39</v>
      </c>
      <c r="N742" s="8" t="s">
        <v>3592</v>
      </c>
      <c r="O742" s="8">
        <f>1+56/60+20.9/3600</f>
        <v>1.939138888888889</v>
      </c>
      <c r="P742" s="8" t="s">
        <v>3593</v>
      </c>
      <c r="Q742" s="8">
        <f>+(5+37/60+43/3600)</f>
        <v>5.6286111111111117</v>
      </c>
      <c r="R742" s="8">
        <v>11.1</v>
      </c>
      <c r="S742" s="8">
        <v>12.2</v>
      </c>
      <c r="T742" s="8">
        <v>1.1000000000000001</v>
      </c>
      <c r="U742" s="8">
        <v>13.4</v>
      </c>
      <c r="V742" s="8">
        <v>3</v>
      </c>
      <c r="W742" s="8">
        <v>2.9</v>
      </c>
      <c r="X742" s="8">
        <v>90</v>
      </c>
      <c r="Y742" s="8" t="s">
        <v>3594</v>
      </c>
      <c r="Z742" s="8" t="s">
        <v>3595</v>
      </c>
    </row>
    <row r="743" spans="1:26" x14ac:dyDescent="0.2">
      <c r="A743" s="8">
        <v>742</v>
      </c>
      <c r="B743" s="8" t="s">
        <v>3596</v>
      </c>
      <c r="C743" s="8" t="s">
        <v>3596</v>
      </c>
      <c r="F743" s="47" t="s">
        <v>56153</v>
      </c>
      <c r="G743" s="8">
        <v>15</v>
      </c>
      <c r="H743" s="8" t="s">
        <v>21</v>
      </c>
      <c r="I743" s="8" t="s">
        <v>22</v>
      </c>
      <c r="J743" s="8" t="s">
        <v>22</v>
      </c>
      <c r="K743" s="8" t="s">
        <v>58</v>
      </c>
      <c r="L743" s="8" t="s">
        <v>38</v>
      </c>
      <c r="M743" s="8" t="s">
        <v>39</v>
      </c>
      <c r="N743" s="8" t="s">
        <v>3597</v>
      </c>
      <c r="O743" s="8">
        <f>1+56/60+24.1/3600</f>
        <v>1.9400277777777777</v>
      </c>
      <c r="P743" s="8" t="s">
        <v>3598</v>
      </c>
      <c r="Q743" s="8">
        <f>+(5+37/60+33/3600)</f>
        <v>5.6258333333333335</v>
      </c>
      <c r="R743" s="8">
        <v>14.3</v>
      </c>
      <c r="S743" s="8">
        <v>15.3</v>
      </c>
      <c r="T743" s="8">
        <v>1</v>
      </c>
      <c r="U743" s="8">
        <v>11.8</v>
      </c>
      <c r="V743" s="8">
        <v>0.3</v>
      </c>
      <c r="W743" s="8">
        <v>0.3</v>
      </c>
      <c r="Y743" s="8" t="s">
        <v>3599</v>
      </c>
      <c r="Z743" s="8" t="s">
        <v>3600</v>
      </c>
    </row>
    <row r="744" spans="1:26" x14ac:dyDescent="0.2">
      <c r="A744" s="8">
        <v>743</v>
      </c>
      <c r="B744" s="8" t="s">
        <v>3601</v>
      </c>
      <c r="C744" s="8" t="s">
        <v>3601</v>
      </c>
      <c r="F744" s="47"/>
      <c r="G744" s="8">
        <v>9</v>
      </c>
      <c r="H744" s="8" t="s">
        <v>21</v>
      </c>
      <c r="I744" s="8" t="s">
        <v>557</v>
      </c>
      <c r="J744" s="8" t="s">
        <v>557</v>
      </c>
      <c r="K744" s="8" t="s">
        <v>3602</v>
      </c>
      <c r="L744" s="8" t="s">
        <v>559</v>
      </c>
      <c r="M744" s="8" t="s">
        <v>560</v>
      </c>
      <c r="N744" s="8" t="s">
        <v>3603</v>
      </c>
      <c r="O744" s="8">
        <f>1+58/60+37/3600</f>
        <v>1.9769444444444446</v>
      </c>
      <c r="P744" s="8" t="s">
        <v>3604</v>
      </c>
      <c r="Q744" s="8">
        <f>+(60+10/60+0/3600)</f>
        <v>60.166666666666664</v>
      </c>
      <c r="R744" s="8">
        <v>99</v>
      </c>
      <c r="S744" s="8">
        <v>99</v>
      </c>
      <c r="T744" s="8">
        <v>99</v>
      </c>
      <c r="U744" s="8">
        <v>99</v>
      </c>
      <c r="V744" s="8">
        <v>7</v>
      </c>
      <c r="Y744" s="8" t="s">
        <v>3605</v>
      </c>
      <c r="Z744" s="8" t="s">
        <v>3606</v>
      </c>
    </row>
    <row r="745" spans="1:26" x14ac:dyDescent="0.2">
      <c r="A745" s="8">
        <v>744</v>
      </c>
      <c r="B745" s="8" t="s">
        <v>3607</v>
      </c>
      <c r="C745" s="8" t="s">
        <v>3607</v>
      </c>
      <c r="F745" s="47"/>
      <c r="G745" s="8">
        <v>14</v>
      </c>
      <c r="H745" s="8" t="s">
        <v>21</v>
      </c>
      <c r="I745" s="8" t="s">
        <v>557</v>
      </c>
      <c r="J745" s="8" t="s">
        <v>557</v>
      </c>
      <c r="K745" s="8" t="s">
        <v>693</v>
      </c>
      <c r="L745" s="8" t="s">
        <v>3147</v>
      </c>
      <c r="M745" s="8" t="s">
        <v>3148</v>
      </c>
      <c r="N745" s="8" t="s">
        <v>3608</v>
      </c>
      <c r="O745" s="8">
        <f>1+58/60+33/3600</f>
        <v>1.9758333333333336</v>
      </c>
      <c r="P745" s="8" t="s">
        <v>3609</v>
      </c>
      <c r="Q745" s="8">
        <f>+(55+28/60+24/3600)</f>
        <v>55.473333333333336</v>
      </c>
      <c r="R745" s="8">
        <v>7.9</v>
      </c>
      <c r="S745" s="8">
        <v>99</v>
      </c>
      <c r="T745" s="8">
        <v>99</v>
      </c>
      <c r="U745" s="8">
        <v>99</v>
      </c>
      <c r="V745" s="8">
        <v>5</v>
      </c>
      <c r="Y745" s="8" t="s">
        <v>3610</v>
      </c>
      <c r="Z745" s="8" t="s">
        <v>3611</v>
      </c>
    </row>
    <row r="746" spans="1:26" x14ac:dyDescent="0.2">
      <c r="A746" s="8">
        <v>745</v>
      </c>
      <c r="B746" s="8" t="s">
        <v>3612</v>
      </c>
      <c r="C746" s="8" t="s">
        <v>3612</v>
      </c>
      <c r="E746" s="8">
        <v>1</v>
      </c>
      <c r="F746" s="47"/>
      <c r="G746" s="8">
        <v>16</v>
      </c>
      <c r="H746" s="8" t="s">
        <v>21</v>
      </c>
      <c r="I746" s="8" t="s">
        <v>22</v>
      </c>
      <c r="J746" s="8" t="s">
        <v>22</v>
      </c>
      <c r="K746" s="8" t="s">
        <v>632</v>
      </c>
      <c r="L746" s="8" t="s">
        <v>3328</v>
      </c>
      <c r="M746" s="8" t="s">
        <v>3329</v>
      </c>
      <c r="N746" s="8" t="s">
        <v>3613</v>
      </c>
      <c r="O746" s="8">
        <f>1+54/60+7.8/3600</f>
        <v>1.9021666666666666</v>
      </c>
      <c r="P746" s="8" t="s">
        <v>3614</v>
      </c>
      <c r="Q746" s="8">
        <f>-(56+41/60+37/3600)</f>
        <v>-56.69361111111111</v>
      </c>
      <c r="R746" s="8">
        <v>12.5</v>
      </c>
      <c r="S746" s="8">
        <v>13.3</v>
      </c>
      <c r="T746" s="8">
        <v>0.8</v>
      </c>
      <c r="U746" s="8">
        <v>12.4</v>
      </c>
      <c r="V746" s="8">
        <v>1.3</v>
      </c>
      <c r="W746" s="8">
        <v>0.8</v>
      </c>
      <c r="X746" s="8">
        <v>50</v>
      </c>
      <c r="Y746" s="8" t="s">
        <v>2176</v>
      </c>
      <c r="Z746" s="8" t="s">
        <v>2177</v>
      </c>
    </row>
    <row r="747" spans="1:26" x14ac:dyDescent="0.2">
      <c r="A747" s="8">
        <v>746</v>
      </c>
      <c r="B747" s="8" t="s">
        <v>3615</v>
      </c>
      <c r="C747" s="8" t="s">
        <v>3615</v>
      </c>
      <c r="F747" s="47"/>
      <c r="G747" s="8">
        <v>19</v>
      </c>
      <c r="H747" s="8" t="s">
        <v>21</v>
      </c>
      <c r="I747" s="8" t="s">
        <v>22</v>
      </c>
      <c r="J747" s="8" t="s">
        <v>22</v>
      </c>
      <c r="K747" s="8" t="s">
        <v>3616</v>
      </c>
      <c r="L747" s="8" t="s">
        <v>51</v>
      </c>
      <c r="M747" s="8" t="s">
        <v>52</v>
      </c>
      <c r="N747" s="8" t="s">
        <v>3617</v>
      </c>
      <c r="O747" s="8">
        <f>1+57/60+51/3600</f>
        <v>1.9641666666666666</v>
      </c>
      <c r="P747" s="8" t="s">
        <v>3618</v>
      </c>
      <c r="Q747" s="8">
        <f>+(44+55/60+6/3600)</f>
        <v>44.918333333333329</v>
      </c>
      <c r="R747" s="8">
        <v>12.9</v>
      </c>
      <c r="S747" s="8">
        <v>13.5</v>
      </c>
      <c r="T747" s="8">
        <v>0.6</v>
      </c>
      <c r="U747" s="8">
        <v>13.3</v>
      </c>
      <c r="V747" s="8">
        <v>1.7</v>
      </c>
      <c r="W747" s="8">
        <v>1</v>
      </c>
      <c r="X747" s="8">
        <v>90</v>
      </c>
      <c r="Y747" s="8" t="s">
        <v>3619</v>
      </c>
      <c r="Z747" s="8" t="s">
        <v>3620</v>
      </c>
    </row>
    <row r="748" spans="1:26" x14ac:dyDescent="0.2">
      <c r="A748" s="8">
        <v>747</v>
      </c>
      <c r="B748" s="8" t="s">
        <v>3621</v>
      </c>
      <c r="C748" s="8" t="s">
        <v>3621</v>
      </c>
      <c r="F748" s="47"/>
      <c r="G748" s="8">
        <v>19</v>
      </c>
      <c r="H748" s="8" t="s">
        <v>21</v>
      </c>
      <c r="I748" s="8" t="s">
        <v>22</v>
      </c>
      <c r="J748" s="8" t="s">
        <v>22</v>
      </c>
      <c r="K748" s="8" t="s">
        <v>23</v>
      </c>
      <c r="L748" s="8" t="s">
        <v>125</v>
      </c>
      <c r="M748" s="8" t="s">
        <v>126</v>
      </c>
      <c r="N748" s="8" t="s">
        <v>3622</v>
      </c>
      <c r="O748" s="8">
        <f>1+57/60+30.4/3600</f>
        <v>1.9584444444444444</v>
      </c>
      <c r="P748" s="8" t="s">
        <v>3623</v>
      </c>
      <c r="Q748" s="8">
        <f>-(9+27/60+46/3600)</f>
        <v>-9.4627777777777773</v>
      </c>
      <c r="R748" s="8">
        <v>13.7</v>
      </c>
      <c r="S748" s="8">
        <v>14.5</v>
      </c>
      <c r="T748" s="8">
        <v>0.8</v>
      </c>
      <c r="U748" s="8">
        <v>12.8</v>
      </c>
      <c r="V748" s="8">
        <v>1</v>
      </c>
      <c r="W748" s="8">
        <v>0.5</v>
      </c>
      <c r="X748" s="8">
        <v>175</v>
      </c>
      <c r="Y748" s="8" t="s">
        <v>3624</v>
      </c>
      <c r="Z748" s="8" t="s">
        <v>3625</v>
      </c>
    </row>
    <row r="749" spans="1:26" x14ac:dyDescent="0.2">
      <c r="A749" s="8">
        <v>748</v>
      </c>
      <c r="B749" s="8" t="s">
        <v>3626</v>
      </c>
      <c r="C749" s="8" t="s">
        <v>3626</v>
      </c>
      <c r="F749" s="47" t="s">
        <v>56154</v>
      </c>
      <c r="G749" s="8">
        <v>15</v>
      </c>
      <c r="H749" s="8" t="s">
        <v>21</v>
      </c>
      <c r="I749" s="8" t="s">
        <v>22</v>
      </c>
      <c r="J749" s="8" t="s">
        <v>22</v>
      </c>
      <c r="K749" s="8" t="s">
        <v>23</v>
      </c>
      <c r="L749" s="8" t="s">
        <v>125</v>
      </c>
      <c r="M749" s="8" t="s">
        <v>126</v>
      </c>
      <c r="N749" s="8" t="s">
        <v>3627</v>
      </c>
      <c r="O749" s="8">
        <f>1+56/60+21.8/3600</f>
        <v>1.9393888888888888</v>
      </c>
      <c r="P749" s="8" t="s">
        <v>3628</v>
      </c>
      <c r="Q749" s="8">
        <f>-(4+28/60+2/3600)</f>
        <v>-4.4672222222222224</v>
      </c>
      <c r="R749" s="8">
        <v>12.6</v>
      </c>
      <c r="S749" s="8">
        <v>13.4</v>
      </c>
      <c r="T749" s="8">
        <v>0.8</v>
      </c>
      <c r="U749" s="8">
        <v>13.5</v>
      </c>
      <c r="V749" s="8">
        <v>2.2999999999999998</v>
      </c>
      <c r="W749" s="8">
        <v>1.1000000000000001</v>
      </c>
      <c r="X749" s="8">
        <v>138</v>
      </c>
      <c r="Y749" s="8" t="s">
        <v>3629</v>
      </c>
      <c r="Z749" s="8" t="s">
        <v>3630</v>
      </c>
    </row>
    <row r="750" spans="1:26" x14ac:dyDescent="0.2">
      <c r="A750" s="8">
        <v>749</v>
      </c>
      <c r="B750" s="8" t="s">
        <v>3631</v>
      </c>
      <c r="C750" s="8" t="s">
        <v>3631</v>
      </c>
      <c r="F750" s="47"/>
      <c r="G750" s="8">
        <v>16</v>
      </c>
      <c r="H750" s="8" t="s">
        <v>21</v>
      </c>
      <c r="I750" s="8" t="s">
        <v>22</v>
      </c>
      <c r="J750" s="8" t="s">
        <v>22</v>
      </c>
      <c r="K750" s="8" t="s">
        <v>435</v>
      </c>
      <c r="L750" s="8" t="s">
        <v>3335</v>
      </c>
      <c r="M750" s="8" t="s">
        <v>3336</v>
      </c>
      <c r="N750" s="8" t="s">
        <v>3632</v>
      </c>
      <c r="O750" s="8">
        <f>1+55/60+40.9/3600</f>
        <v>1.9280277777777777</v>
      </c>
      <c r="P750" s="8" t="s">
        <v>3633</v>
      </c>
      <c r="Q750" s="8">
        <f>-(29+55/60+20/3600)</f>
        <v>-29.922222222222224</v>
      </c>
      <c r="R750" s="8">
        <v>12.2</v>
      </c>
      <c r="S750" s="8">
        <v>13.1</v>
      </c>
      <c r="T750" s="8">
        <v>0.9</v>
      </c>
      <c r="U750" s="8">
        <v>13.1</v>
      </c>
      <c r="V750" s="8">
        <v>1.9</v>
      </c>
      <c r="W750" s="8">
        <v>1.4</v>
      </c>
      <c r="X750" s="8">
        <v>111</v>
      </c>
      <c r="Y750" s="8" t="s">
        <v>3634</v>
      </c>
      <c r="Z750" s="8" t="s">
        <v>3635</v>
      </c>
    </row>
    <row r="751" spans="1:26" x14ac:dyDescent="0.2">
      <c r="A751" s="8">
        <v>750</v>
      </c>
      <c r="B751" s="8" t="s">
        <v>3636</v>
      </c>
      <c r="C751" s="8" t="s">
        <v>3636</v>
      </c>
      <c r="F751" s="47" t="s">
        <v>56155</v>
      </c>
      <c r="G751" s="8">
        <v>13</v>
      </c>
      <c r="H751" s="8" t="s">
        <v>21</v>
      </c>
      <c r="I751" s="8" t="s">
        <v>22</v>
      </c>
      <c r="J751" s="8" t="s">
        <v>22</v>
      </c>
      <c r="K751" s="8" t="s">
        <v>1136</v>
      </c>
      <c r="L751" s="8" t="s">
        <v>2809</v>
      </c>
      <c r="M751" s="8" t="s">
        <v>2810</v>
      </c>
      <c r="N751" s="8" t="s">
        <v>3637</v>
      </c>
      <c r="O751" s="8">
        <f>1+57/60+32.6/3600</f>
        <v>1.9590555555555556</v>
      </c>
      <c r="P751" s="8" t="s">
        <v>3638</v>
      </c>
      <c r="Q751" s="8">
        <f>+(33+12/60+35/3600)</f>
        <v>33.209722222222226</v>
      </c>
      <c r="R751" s="8">
        <v>11.9</v>
      </c>
      <c r="S751" s="8">
        <v>12.9</v>
      </c>
      <c r="T751" s="8">
        <v>1</v>
      </c>
      <c r="U751" s="8">
        <v>12.7</v>
      </c>
      <c r="V751" s="8">
        <v>1.6</v>
      </c>
      <c r="W751" s="8">
        <v>1.3</v>
      </c>
      <c r="X751" s="8">
        <v>162</v>
      </c>
      <c r="Y751" s="8" t="s">
        <v>3639</v>
      </c>
      <c r="Z751" s="8" t="s">
        <v>3640</v>
      </c>
    </row>
    <row r="752" spans="1:26" x14ac:dyDescent="0.2">
      <c r="A752" s="8">
        <v>751</v>
      </c>
      <c r="B752" s="8" t="s">
        <v>3641</v>
      </c>
      <c r="C752" s="8" t="s">
        <v>3641</v>
      </c>
      <c r="F752" s="47"/>
      <c r="G752" s="8">
        <v>9</v>
      </c>
      <c r="H752" s="8" t="s">
        <v>21</v>
      </c>
      <c r="I752" s="8" t="s">
        <v>22</v>
      </c>
      <c r="J752" s="8" t="s">
        <v>22</v>
      </c>
      <c r="K752" s="8" t="s">
        <v>460</v>
      </c>
      <c r="L752" s="8" t="s">
        <v>2809</v>
      </c>
      <c r="M752" s="8" t="s">
        <v>2810</v>
      </c>
      <c r="N752" s="8" t="s">
        <v>3642</v>
      </c>
      <c r="O752" s="8">
        <f>1+57/60+33.1/3600</f>
        <v>1.9591944444444445</v>
      </c>
      <c r="P752" s="8" t="s">
        <v>3643</v>
      </c>
      <c r="Q752" s="8">
        <f>+(33+12/60+9/3600)</f>
        <v>33.202500000000001</v>
      </c>
      <c r="R752" s="8">
        <v>12.5</v>
      </c>
      <c r="S752" s="8">
        <v>13.5</v>
      </c>
      <c r="T752" s="8">
        <v>1</v>
      </c>
      <c r="U752" s="8">
        <v>13</v>
      </c>
      <c r="V752" s="8">
        <v>1.2</v>
      </c>
      <c r="W752" s="8">
        <v>1.2</v>
      </c>
      <c r="Y752" s="8" t="s">
        <v>3644</v>
      </c>
      <c r="Z752" s="8" t="s">
        <v>3645</v>
      </c>
    </row>
    <row r="753" spans="1:26" x14ac:dyDescent="0.2">
      <c r="A753" s="8">
        <v>752</v>
      </c>
      <c r="B753" s="8" t="s">
        <v>3646</v>
      </c>
      <c r="C753" s="8" t="s">
        <v>3646</v>
      </c>
      <c r="F753" s="47" t="s">
        <v>56156</v>
      </c>
      <c r="G753" s="8">
        <v>2</v>
      </c>
      <c r="H753" s="8" t="s">
        <v>21</v>
      </c>
      <c r="I753" s="8" t="s">
        <v>557</v>
      </c>
      <c r="J753" s="8" t="s">
        <v>557</v>
      </c>
      <c r="K753" s="8" t="s">
        <v>3647</v>
      </c>
      <c r="L753" s="8" t="s">
        <v>51</v>
      </c>
      <c r="M753" s="8" t="s">
        <v>52</v>
      </c>
      <c r="N753" s="8" t="s">
        <v>3648</v>
      </c>
      <c r="O753" s="8">
        <f>1+57/60+35/3600</f>
        <v>1.9597222222222221</v>
      </c>
      <c r="P753" s="8" t="s">
        <v>3649</v>
      </c>
      <c r="Q753" s="8">
        <f>+(37+50/60+0/3600)</f>
        <v>37.833333333333336</v>
      </c>
      <c r="R753" s="8">
        <v>5.7</v>
      </c>
      <c r="S753" s="8">
        <v>99</v>
      </c>
      <c r="T753" s="8">
        <v>99</v>
      </c>
      <c r="U753" s="8">
        <v>99</v>
      </c>
      <c r="V753" s="8">
        <v>75</v>
      </c>
      <c r="Y753" s="8" t="s">
        <v>3650</v>
      </c>
      <c r="Z753" s="8" t="s">
        <v>3651</v>
      </c>
    </row>
    <row r="754" spans="1:26" x14ac:dyDescent="0.2">
      <c r="A754" s="8">
        <v>753</v>
      </c>
      <c r="B754" s="8" t="s">
        <v>3652</v>
      </c>
      <c r="C754" s="8" t="s">
        <v>3652</v>
      </c>
      <c r="F754" s="47"/>
      <c r="G754" s="8">
        <v>13</v>
      </c>
      <c r="H754" s="8" t="s">
        <v>21</v>
      </c>
      <c r="I754" s="8" t="s">
        <v>22</v>
      </c>
      <c r="J754" s="8" t="s">
        <v>22</v>
      </c>
      <c r="K754" s="8" t="s">
        <v>85</v>
      </c>
      <c r="L754" s="8" t="s">
        <v>51</v>
      </c>
      <c r="M754" s="8" t="s">
        <v>52</v>
      </c>
      <c r="N754" s="8" t="s">
        <v>3653</v>
      </c>
      <c r="O754" s="8">
        <f>1+57/60+42.4/3600</f>
        <v>1.9617777777777778</v>
      </c>
      <c r="P754" s="8" t="s">
        <v>3654</v>
      </c>
      <c r="Q754" s="8">
        <f>+(35+54/60+57/3600)</f>
        <v>35.915833333333332</v>
      </c>
      <c r="R754" s="8">
        <v>12.3</v>
      </c>
      <c r="S754" s="8">
        <v>13</v>
      </c>
      <c r="T754" s="8">
        <v>0.7</v>
      </c>
      <c r="U754" s="8">
        <v>13.9</v>
      </c>
      <c r="V754" s="8">
        <v>3</v>
      </c>
      <c r="W754" s="8">
        <v>1.9</v>
      </c>
      <c r="X754" s="8">
        <v>125</v>
      </c>
      <c r="Y754" s="8" t="s">
        <v>3655</v>
      </c>
      <c r="Z754" s="8" t="s">
        <v>3656</v>
      </c>
    </row>
    <row r="755" spans="1:26" x14ac:dyDescent="0.2">
      <c r="A755" s="8">
        <v>754</v>
      </c>
      <c r="B755" s="8" t="s">
        <v>3657</v>
      </c>
      <c r="C755" s="8" t="s">
        <v>3657</v>
      </c>
      <c r="F755" s="47"/>
      <c r="G755" s="8">
        <v>16</v>
      </c>
      <c r="H755" s="8" t="s">
        <v>21</v>
      </c>
      <c r="I755" s="8" t="s">
        <v>22</v>
      </c>
      <c r="J755" s="8" t="s">
        <v>22</v>
      </c>
      <c r="K755" s="8" t="s">
        <v>1136</v>
      </c>
      <c r="L755" s="8" t="s">
        <v>3328</v>
      </c>
      <c r="M755" s="8" t="s">
        <v>3329</v>
      </c>
      <c r="N755" s="8" t="s">
        <v>3658</v>
      </c>
      <c r="O755" s="8">
        <f>1+54/60+20.8/3600</f>
        <v>1.9057777777777778</v>
      </c>
      <c r="P755" s="8" t="s">
        <v>3659</v>
      </c>
      <c r="Q755" s="8">
        <f>-(56+45/60+40/3600)</f>
        <v>-56.761111111111113</v>
      </c>
      <c r="R755" s="8">
        <v>14.2</v>
      </c>
      <c r="S755" s="8">
        <v>15.2</v>
      </c>
      <c r="T755" s="8">
        <v>1</v>
      </c>
      <c r="U755" s="8">
        <v>13</v>
      </c>
      <c r="V755" s="8">
        <v>0.6</v>
      </c>
      <c r="W755" s="8">
        <v>0.5</v>
      </c>
      <c r="X755" s="8">
        <v>93</v>
      </c>
      <c r="Y755" s="8" t="s">
        <v>2248</v>
      </c>
      <c r="Z755" s="8" t="s">
        <v>2249</v>
      </c>
    </row>
    <row r="756" spans="1:26" x14ac:dyDescent="0.2">
      <c r="A756" s="8">
        <v>755</v>
      </c>
      <c r="B756" s="8" t="s">
        <v>3660</v>
      </c>
      <c r="C756" s="8" t="s">
        <v>3660</v>
      </c>
      <c r="F756" s="47" t="s">
        <v>56157</v>
      </c>
      <c r="G756" s="8">
        <v>15</v>
      </c>
      <c r="H756" s="8" t="s">
        <v>21</v>
      </c>
      <c r="I756" s="8" t="s">
        <v>22</v>
      </c>
      <c r="J756" s="8" t="s">
        <v>22</v>
      </c>
      <c r="K756" s="8" t="s">
        <v>218</v>
      </c>
      <c r="L756" s="8" t="s">
        <v>125</v>
      </c>
      <c r="M756" s="8" t="s">
        <v>126</v>
      </c>
      <c r="N756" s="8" t="s">
        <v>3661</v>
      </c>
      <c r="O756" s="8">
        <f>1+56/60+22.6/3600</f>
        <v>1.9396111111111112</v>
      </c>
      <c r="P756" s="8" t="s">
        <v>3662</v>
      </c>
      <c r="Q756" s="8">
        <f>-(9+3/60+45/3600)</f>
        <v>-9.0625</v>
      </c>
      <c r="R756" s="8">
        <v>12.6</v>
      </c>
      <c r="S756" s="8">
        <v>13.1</v>
      </c>
      <c r="T756" s="8">
        <v>0.5</v>
      </c>
      <c r="U756" s="8">
        <v>13.9</v>
      </c>
      <c r="V756" s="8">
        <v>3.3</v>
      </c>
      <c r="W756" s="8">
        <v>1.1000000000000001</v>
      </c>
      <c r="X756" s="8">
        <v>45</v>
      </c>
      <c r="Y756" s="8" t="s">
        <v>3663</v>
      </c>
      <c r="Z756" s="8" t="s">
        <v>3664</v>
      </c>
    </row>
    <row r="757" spans="1:26" x14ac:dyDescent="0.2">
      <c r="A757" s="8">
        <v>756</v>
      </c>
      <c r="B757" s="8" t="s">
        <v>3665</v>
      </c>
      <c r="C757" s="8" t="s">
        <v>3665</v>
      </c>
      <c r="F757" s="47"/>
      <c r="G757" s="8">
        <v>19</v>
      </c>
      <c r="H757" s="8" t="s">
        <v>21</v>
      </c>
      <c r="I757" s="8" t="s">
        <v>22</v>
      </c>
      <c r="J757" s="8" t="s">
        <v>22</v>
      </c>
      <c r="K757" s="8" t="s">
        <v>37</v>
      </c>
      <c r="L757" s="8" t="s">
        <v>125</v>
      </c>
      <c r="M757" s="8" t="s">
        <v>126</v>
      </c>
      <c r="N757" s="8" t="s">
        <v>3666</v>
      </c>
      <c r="O757" s="8">
        <f>1+54/60+29/3600</f>
        <v>1.9080555555555554</v>
      </c>
      <c r="P757" s="8" t="s">
        <v>3667</v>
      </c>
      <c r="Q757" s="8">
        <f>-(16+42/60+27/3600)</f>
        <v>-16.7075</v>
      </c>
      <c r="R757" s="8">
        <v>14.5</v>
      </c>
      <c r="S757" s="8">
        <v>15.5</v>
      </c>
      <c r="T757" s="8">
        <v>1</v>
      </c>
      <c r="U757" s="8">
        <v>13.4</v>
      </c>
      <c r="V757" s="8">
        <v>0.8</v>
      </c>
      <c r="W757" s="8">
        <v>0.5</v>
      </c>
      <c r="X757" s="8">
        <v>32</v>
      </c>
      <c r="Y757" s="8" t="s">
        <v>3668</v>
      </c>
      <c r="Z757" s="8" t="s">
        <v>3669</v>
      </c>
    </row>
    <row r="758" spans="1:26" x14ac:dyDescent="0.2">
      <c r="A758" s="8">
        <v>757</v>
      </c>
      <c r="B758" s="8" t="s">
        <v>3670</v>
      </c>
      <c r="C758" s="8" t="s">
        <v>3670</v>
      </c>
      <c r="F758" s="47"/>
      <c r="G758" s="8">
        <v>19</v>
      </c>
      <c r="H758" s="8" t="s">
        <v>21</v>
      </c>
      <c r="I758" s="8" t="s">
        <v>22</v>
      </c>
      <c r="J758" s="8" t="s">
        <v>57</v>
      </c>
      <c r="K758" s="8" t="s">
        <v>460</v>
      </c>
      <c r="L758" s="8" t="s">
        <v>125</v>
      </c>
      <c r="M758" s="8" t="s">
        <v>126</v>
      </c>
      <c r="N758" s="8" t="s">
        <v>3544</v>
      </c>
      <c r="O758" s="8">
        <f>1+54/60+55.9/3600</f>
        <v>1.9155277777777777</v>
      </c>
      <c r="P758" s="8" t="s">
        <v>3545</v>
      </c>
      <c r="Q758" s="8">
        <f>-(9+0/60+41/3600)</f>
        <v>-9.011388888888888</v>
      </c>
      <c r="R758" s="8">
        <v>12.1</v>
      </c>
      <c r="S758" s="8">
        <v>13</v>
      </c>
      <c r="T758" s="8">
        <v>0.9</v>
      </c>
      <c r="U758" s="8">
        <v>13.2</v>
      </c>
      <c r="V758" s="8">
        <v>1.7</v>
      </c>
      <c r="W758" s="8">
        <v>1.7</v>
      </c>
      <c r="Y758" s="8" t="s">
        <v>3671</v>
      </c>
      <c r="Z758" s="8" t="s">
        <v>3672</v>
      </c>
    </row>
    <row r="759" spans="1:26" x14ac:dyDescent="0.2">
      <c r="A759" s="8">
        <v>758</v>
      </c>
      <c r="B759" s="8" t="s">
        <v>3673</v>
      </c>
      <c r="C759" s="8" t="s">
        <v>3673</v>
      </c>
      <c r="F759" s="47"/>
      <c r="G759" s="8">
        <v>19</v>
      </c>
      <c r="H759" s="8" t="s">
        <v>21</v>
      </c>
      <c r="I759" s="8" t="s">
        <v>22</v>
      </c>
      <c r="J759" s="8" t="s">
        <v>57</v>
      </c>
      <c r="K759" s="8" t="s">
        <v>37</v>
      </c>
      <c r="L759" s="8" t="s">
        <v>125</v>
      </c>
      <c r="M759" s="8" t="s">
        <v>126</v>
      </c>
      <c r="N759" s="8" t="s">
        <v>606</v>
      </c>
      <c r="O759" s="8">
        <f>1+55/60+42.1/3600</f>
        <v>1.928361111111111</v>
      </c>
      <c r="P759" s="8" t="s">
        <v>607</v>
      </c>
      <c r="Q759" s="8">
        <f>-(3+3/60+58/3600)</f>
        <v>-3.0661111111111108</v>
      </c>
      <c r="R759" s="8">
        <v>14.4</v>
      </c>
      <c r="S759" s="8">
        <v>15.4</v>
      </c>
      <c r="T759" s="8">
        <v>1</v>
      </c>
      <c r="U759" s="8">
        <v>13.8</v>
      </c>
      <c r="V759" s="8">
        <v>0.9</v>
      </c>
      <c r="W759" s="8">
        <v>0.7</v>
      </c>
      <c r="X759" s="8">
        <v>85</v>
      </c>
      <c r="Y759" s="8" t="s">
        <v>282</v>
      </c>
      <c r="Z759" s="8" t="s">
        <v>283</v>
      </c>
    </row>
    <row r="760" spans="1:26" x14ac:dyDescent="0.2">
      <c r="A760" s="8">
        <v>759</v>
      </c>
      <c r="B760" s="8" t="s">
        <v>3674</v>
      </c>
      <c r="C760" s="8" t="s">
        <v>3674</v>
      </c>
      <c r="F760" s="47"/>
      <c r="G760" s="8">
        <v>18</v>
      </c>
      <c r="H760" s="8" t="s">
        <v>21</v>
      </c>
      <c r="I760" s="8" t="s">
        <v>22</v>
      </c>
      <c r="J760" s="8" t="s">
        <v>22</v>
      </c>
      <c r="K760" s="8" t="s">
        <v>460</v>
      </c>
      <c r="L760" s="8" t="s">
        <v>51</v>
      </c>
      <c r="M760" s="8" t="s">
        <v>52</v>
      </c>
      <c r="N760" s="8" t="s">
        <v>3675</v>
      </c>
      <c r="O760" s="8">
        <f>1+57/60+50.3/3600</f>
        <v>1.9639722222222222</v>
      </c>
      <c r="P760" s="8" t="s">
        <v>3676</v>
      </c>
      <c r="Q760" s="8">
        <f>+(36+20/60+35/3600)</f>
        <v>36.343055555555559</v>
      </c>
      <c r="R760" s="8">
        <v>12.7</v>
      </c>
      <c r="S760" s="8">
        <v>13.8</v>
      </c>
      <c r="T760" s="8">
        <v>1.1000000000000001</v>
      </c>
      <c r="U760" s="8">
        <v>13.5</v>
      </c>
      <c r="V760" s="8">
        <v>1.4</v>
      </c>
      <c r="W760" s="8">
        <v>1.4</v>
      </c>
      <c r="Y760" s="8" t="s">
        <v>3677</v>
      </c>
      <c r="Z760" s="8" t="s">
        <v>3678</v>
      </c>
    </row>
    <row r="761" spans="1:26" x14ac:dyDescent="0.2">
      <c r="A761" s="8">
        <v>760</v>
      </c>
      <c r="B761" s="8" t="s">
        <v>3679</v>
      </c>
      <c r="C761" s="8" t="s">
        <v>3679</v>
      </c>
      <c r="F761" s="47"/>
      <c r="G761" s="8">
        <v>18</v>
      </c>
      <c r="H761" s="8" t="s">
        <v>21</v>
      </c>
      <c r="I761" s="8" t="s">
        <v>72</v>
      </c>
      <c r="J761" s="8" t="s">
        <v>72</v>
      </c>
      <c r="K761" s="8" t="s">
        <v>73</v>
      </c>
      <c r="L761" s="8" t="s">
        <v>2809</v>
      </c>
      <c r="M761" s="8" t="s">
        <v>2810</v>
      </c>
      <c r="N761" s="8" t="s">
        <v>3680</v>
      </c>
      <c r="O761" s="8">
        <f>1+57/60+47.3/3600</f>
        <v>1.9631388888888888</v>
      </c>
      <c r="P761" s="8" t="s">
        <v>3681</v>
      </c>
      <c r="Q761" s="8">
        <f>+(33+21/60+19/3600)</f>
        <v>33.355277777777779</v>
      </c>
      <c r="R761" s="8">
        <v>99</v>
      </c>
      <c r="S761" s="8">
        <v>99</v>
      </c>
      <c r="T761" s="8">
        <v>99</v>
      </c>
      <c r="U761" s="8">
        <v>99</v>
      </c>
      <c r="Y761" s="8" t="s">
        <v>3682</v>
      </c>
      <c r="Z761" s="8" t="s">
        <v>3683</v>
      </c>
    </row>
    <row r="762" spans="1:26" x14ac:dyDescent="0.2">
      <c r="A762" s="8">
        <v>761</v>
      </c>
      <c r="B762" s="8" t="s">
        <v>3684</v>
      </c>
      <c r="C762" s="8" t="s">
        <v>3684</v>
      </c>
      <c r="F762" s="47"/>
      <c r="G762" s="8">
        <v>18</v>
      </c>
      <c r="H762" s="8" t="s">
        <v>21</v>
      </c>
      <c r="I762" s="8" t="s">
        <v>22</v>
      </c>
      <c r="J762" s="8" t="s">
        <v>22</v>
      </c>
      <c r="K762" s="8" t="s">
        <v>154</v>
      </c>
      <c r="L762" s="8" t="s">
        <v>2809</v>
      </c>
      <c r="M762" s="8" t="s">
        <v>2810</v>
      </c>
      <c r="N762" s="8" t="s">
        <v>3685</v>
      </c>
      <c r="O762" s="8">
        <f>1+57/60+49.6/3600</f>
        <v>1.9637777777777776</v>
      </c>
      <c r="P762" s="8" t="s">
        <v>3686</v>
      </c>
      <c r="Q762" s="8">
        <f>+(33+22/60+35/3600)</f>
        <v>33.37638888888889</v>
      </c>
      <c r="R762" s="8">
        <v>13.5</v>
      </c>
      <c r="S762" s="8">
        <v>14.4</v>
      </c>
      <c r="T762" s="8">
        <v>0.9</v>
      </c>
      <c r="U762" s="8">
        <v>13</v>
      </c>
      <c r="V762" s="8">
        <v>1.4</v>
      </c>
      <c r="W762" s="8">
        <v>0.5</v>
      </c>
      <c r="X762" s="8">
        <v>143</v>
      </c>
      <c r="Y762" s="8" t="s">
        <v>3687</v>
      </c>
      <c r="Z762" s="8" t="s">
        <v>3688</v>
      </c>
    </row>
    <row r="763" spans="1:26" x14ac:dyDescent="0.2">
      <c r="A763" s="8">
        <v>762</v>
      </c>
      <c r="B763" s="8" t="s">
        <v>3689</v>
      </c>
      <c r="C763" s="8" t="s">
        <v>3689</v>
      </c>
      <c r="F763" s="47" t="s">
        <v>56158</v>
      </c>
      <c r="G763" s="8">
        <v>15</v>
      </c>
      <c r="H763" s="8" t="s">
        <v>21</v>
      </c>
      <c r="I763" s="8" t="s">
        <v>22</v>
      </c>
      <c r="J763" s="8" t="s">
        <v>22</v>
      </c>
      <c r="K763" s="8" t="s">
        <v>154</v>
      </c>
      <c r="L763" s="8" t="s">
        <v>125</v>
      </c>
      <c r="M763" s="8" t="s">
        <v>126</v>
      </c>
      <c r="N763" s="8" t="s">
        <v>3690</v>
      </c>
      <c r="O763" s="8">
        <f>1+56/60+57.9/3600</f>
        <v>1.9494166666666666</v>
      </c>
      <c r="P763" s="8" t="s">
        <v>3691</v>
      </c>
      <c r="Q763" s="8">
        <f>-(5+24/60+8/3600)</f>
        <v>-5.4022222222222229</v>
      </c>
      <c r="R763" s="8">
        <v>13</v>
      </c>
      <c r="S763" s="8">
        <v>13.9</v>
      </c>
      <c r="T763" s="8">
        <v>0.9</v>
      </c>
      <c r="U763" s="8">
        <v>13.4</v>
      </c>
      <c r="V763" s="8">
        <v>1.4</v>
      </c>
      <c r="W763" s="8">
        <v>1.2</v>
      </c>
      <c r="X763" s="8">
        <v>25</v>
      </c>
      <c r="Y763" s="8" t="s">
        <v>3692</v>
      </c>
      <c r="Z763" s="8" t="s">
        <v>3693</v>
      </c>
    </row>
    <row r="764" spans="1:26" x14ac:dyDescent="0.2">
      <c r="A764" s="8">
        <v>763</v>
      </c>
      <c r="B764" s="8" t="s">
        <v>3694</v>
      </c>
      <c r="C764" s="8" t="s">
        <v>3694</v>
      </c>
      <c r="F764" s="47"/>
      <c r="G764" s="8">
        <v>19</v>
      </c>
      <c r="H764" s="8" t="s">
        <v>21</v>
      </c>
      <c r="I764" s="8" t="s">
        <v>22</v>
      </c>
      <c r="J764" s="8" t="s">
        <v>57</v>
      </c>
      <c r="K764" s="8" t="s">
        <v>218</v>
      </c>
      <c r="L764" s="8" t="s">
        <v>125</v>
      </c>
      <c r="M764" s="8" t="s">
        <v>126</v>
      </c>
      <c r="N764" s="8" t="s">
        <v>3661</v>
      </c>
      <c r="O764" s="8">
        <f>1+56/60+22.6/3600</f>
        <v>1.9396111111111112</v>
      </c>
      <c r="P764" s="8" t="s">
        <v>3662</v>
      </c>
      <c r="Q764" s="8">
        <f>-(9+3/60+45/3600)</f>
        <v>-9.0625</v>
      </c>
      <c r="R764" s="8">
        <v>12.6</v>
      </c>
      <c r="S764" s="8">
        <v>13.1</v>
      </c>
      <c r="T764" s="8">
        <v>0.5</v>
      </c>
      <c r="U764" s="8">
        <v>13.9</v>
      </c>
      <c r="V764" s="8">
        <v>3.3</v>
      </c>
      <c r="W764" s="8">
        <v>1.1000000000000001</v>
      </c>
      <c r="X764" s="8">
        <v>45</v>
      </c>
      <c r="Y764" s="8" t="s">
        <v>3663</v>
      </c>
      <c r="Z764" s="8" t="s">
        <v>3695</v>
      </c>
    </row>
    <row r="765" spans="1:26" x14ac:dyDescent="0.2">
      <c r="A765" s="8">
        <v>764</v>
      </c>
      <c r="B765" s="8" t="s">
        <v>3696</v>
      </c>
      <c r="C765" s="8" t="s">
        <v>3696</v>
      </c>
      <c r="F765" s="47"/>
      <c r="G765" s="8">
        <v>19</v>
      </c>
      <c r="H765" s="8" t="s">
        <v>21</v>
      </c>
      <c r="I765" s="8" t="s">
        <v>72</v>
      </c>
      <c r="J765" s="8" t="s">
        <v>72</v>
      </c>
      <c r="K765" s="8" t="s">
        <v>73</v>
      </c>
      <c r="L765" s="8" t="s">
        <v>125</v>
      </c>
      <c r="M765" s="8" t="s">
        <v>126</v>
      </c>
      <c r="N765" s="8" t="s">
        <v>3697</v>
      </c>
      <c r="O765" s="8">
        <f>1+57/60+3.3/3600</f>
        <v>1.9509166666666666</v>
      </c>
      <c r="P765" s="8" t="s">
        <v>3698</v>
      </c>
      <c r="Q765" s="8">
        <f>-(16+3/60+41/3600)</f>
        <v>-16.061388888888889</v>
      </c>
      <c r="R765" s="8">
        <v>99</v>
      </c>
      <c r="S765" s="8">
        <v>99</v>
      </c>
      <c r="T765" s="8">
        <v>99</v>
      </c>
      <c r="U765" s="8">
        <v>99</v>
      </c>
      <c r="Y765" s="8" t="s">
        <v>3699</v>
      </c>
      <c r="Z765" s="8" t="s">
        <v>3700</v>
      </c>
    </row>
    <row r="766" spans="1:26" x14ac:dyDescent="0.2">
      <c r="A766" s="8">
        <v>765</v>
      </c>
      <c r="B766" s="8" t="s">
        <v>3701</v>
      </c>
      <c r="C766" s="8" t="s">
        <v>3701</v>
      </c>
      <c r="F766" s="47"/>
      <c r="G766" s="8">
        <v>18</v>
      </c>
      <c r="H766" s="8" t="s">
        <v>21</v>
      </c>
      <c r="I766" s="8" t="s">
        <v>22</v>
      </c>
      <c r="J766" s="8" t="s">
        <v>22</v>
      </c>
      <c r="K766" s="8" t="s">
        <v>85</v>
      </c>
      <c r="L766" s="8" t="s">
        <v>3256</v>
      </c>
      <c r="M766" s="8" t="s">
        <v>3257</v>
      </c>
      <c r="N766" s="8" t="s">
        <v>3702</v>
      </c>
      <c r="O766" s="8">
        <f>1+58/60+48.1/3600</f>
        <v>1.9800277777777779</v>
      </c>
      <c r="P766" s="8" t="s">
        <v>3703</v>
      </c>
      <c r="Q766" s="8">
        <f>+(24+53/60+32/3600)</f>
        <v>24.892222222222223</v>
      </c>
      <c r="R766" s="8">
        <v>12.8</v>
      </c>
      <c r="S766" s="8">
        <v>13.6</v>
      </c>
      <c r="T766" s="8">
        <v>0.8</v>
      </c>
      <c r="U766" s="8">
        <v>14.9</v>
      </c>
      <c r="V766" s="8">
        <v>2.8</v>
      </c>
      <c r="W766" s="8">
        <v>2.8</v>
      </c>
      <c r="Y766" s="8" t="s">
        <v>282</v>
      </c>
      <c r="Z766" s="8" t="s">
        <v>283</v>
      </c>
    </row>
    <row r="767" spans="1:26" x14ac:dyDescent="0.2">
      <c r="A767" s="8">
        <v>766</v>
      </c>
      <c r="B767" s="8" t="s">
        <v>3704</v>
      </c>
      <c r="C767" s="8" t="s">
        <v>3704</v>
      </c>
      <c r="F767" s="47"/>
      <c r="G767" s="8">
        <v>16</v>
      </c>
      <c r="H767" s="8" t="s">
        <v>21</v>
      </c>
      <c r="I767" s="8" t="s">
        <v>22</v>
      </c>
      <c r="J767" s="8" t="s">
        <v>22</v>
      </c>
      <c r="K767" s="8" t="s">
        <v>460</v>
      </c>
      <c r="L767" s="8" t="s">
        <v>38</v>
      </c>
      <c r="M767" s="8" t="s">
        <v>39</v>
      </c>
      <c r="N767" s="8" t="s">
        <v>3705</v>
      </c>
      <c r="O767" s="8">
        <f>1+58/60+42/3600</f>
        <v>1.9783333333333335</v>
      </c>
      <c r="P767" s="8" t="s">
        <v>3706</v>
      </c>
      <c r="Q767" s="8">
        <f>+(8+20/60+50/3600)</f>
        <v>8.3472222222222232</v>
      </c>
      <c r="R767" s="8">
        <v>12.7</v>
      </c>
      <c r="S767" s="8">
        <v>13.7</v>
      </c>
      <c r="T767" s="8">
        <v>1</v>
      </c>
      <c r="U767" s="8">
        <v>14.2</v>
      </c>
      <c r="V767" s="8">
        <v>2</v>
      </c>
      <c r="W767" s="8">
        <v>2</v>
      </c>
      <c r="Y767" s="8" t="s">
        <v>3707</v>
      </c>
      <c r="Z767" s="8" t="s">
        <v>3708</v>
      </c>
    </row>
    <row r="768" spans="1:26" x14ac:dyDescent="0.2">
      <c r="A768" s="8">
        <v>767</v>
      </c>
      <c r="B768" s="8" t="s">
        <v>3709</v>
      </c>
      <c r="C768" s="8" t="s">
        <v>3709</v>
      </c>
      <c r="F768" s="47"/>
      <c r="G768" s="8">
        <v>19</v>
      </c>
      <c r="H768" s="8" t="s">
        <v>21</v>
      </c>
      <c r="I768" s="8" t="s">
        <v>22</v>
      </c>
      <c r="J768" s="8" t="s">
        <v>22</v>
      </c>
      <c r="K768" s="8" t="s">
        <v>23</v>
      </c>
      <c r="L768" s="8" t="s">
        <v>125</v>
      </c>
      <c r="M768" s="8" t="s">
        <v>126</v>
      </c>
      <c r="N768" s="8" t="s">
        <v>3710</v>
      </c>
      <c r="O768" s="8">
        <f>1+58/60+50.8/3600</f>
        <v>1.980777777777778</v>
      </c>
      <c r="P768" s="8" t="s">
        <v>3711</v>
      </c>
      <c r="Q768" s="8">
        <f>-(9+35/60+14/3600)</f>
        <v>-9.5872222222222234</v>
      </c>
      <c r="R768" s="8">
        <v>14.5</v>
      </c>
      <c r="S768" s="8">
        <v>15.3</v>
      </c>
      <c r="T768" s="8">
        <v>0.8</v>
      </c>
      <c r="U768" s="8">
        <v>13.5</v>
      </c>
      <c r="V768" s="8">
        <v>1.1000000000000001</v>
      </c>
      <c r="W768" s="8">
        <v>0.4</v>
      </c>
      <c r="X768" s="8">
        <v>165</v>
      </c>
      <c r="Y768" s="8" t="s">
        <v>3712</v>
      </c>
      <c r="Z768" s="8" t="s">
        <v>3713</v>
      </c>
    </row>
    <row r="769" spans="1:26" x14ac:dyDescent="0.2">
      <c r="A769" s="8">
        <v>768</v>
      </c>
      <c r="B769" s="8" t="s">
        <v>3714</v>
      </c>
      <c r="C769" s="8" t="s">
        <v>3714</v>
      </c>
      <c r="F769" s="47"/>
      <c r="G769" s="8">
        <v>19</v>
      </c>
      <c r="H769" s="8" t="s">
        <v>21</v>
      </c>
      <c r="I769" s="8" t="s">
        <v>22</v>
      </c>
      <c r="J769" s="8" t="s">
        <v>22</v>
      </c>
      <c r="K769" s="8" t="s">
        <v>396</v>
      </c>
      <c r="L769" s="8" t="s">
        <v>125</v>
      </c>
      <c r="M769" s="8" t="s">
        <v>126</v>
      </c>
      <c r="N769" s="8" t="s">
        <v>3715</v>
      </c>
      <c r="O769" s="8">
        <f>1+58/60+40.8/3600</f>
        <v>1.9780000000000002</v>
      </c>
      <c r="P769" s="8" t="s">
        <v>3716</v>
      </c>
      <c r="Q769" s="8">
        <f>+(0+31/60+44/3600)</f>
        <v>0.52888888888888896</v>
      </c>
      <c r="R769" s="8">
        <v>13.2</v>
      </c>
      <c r="S769" s="8">
        <v>14</v>
      </c>
      <c r="T769" s="8">
        <v>0.8</v>
      </c>
      <c r="U769" s="8">
        <v>13.1</v>
      </c>
      <c r="V769" s="8">
        <v>1.7</v>
      </c>
      <c r="W769" s="8">
        <v>0.8</v>
      </c>
      <c r="X769" s="8">
        <v>30</v>
      </c>
      <c r="Y769" s="8" t="s">
        <v>3717</v>
      </c>
      <c r="Z769" s="8" t="s">
        <v>3718</v>
      </c>
    </row>
    <row r="770" spans="1:26" x14ac:dyDescent="0.2">
      <c r="A770" s="8">
        <v>769</v>
      </c>
      <c r="B770" s="8" t="s">
        <v>3719</v>
      </c>
      <c r="C770" s="8" t="s">
        <v>3719</v>
      </c>
      <c r="F770" s="47"/>
      <c r="G770" s="8">
        <v>19</v>
      </c>
      <c r="H770" s="8" t="s">
        <v>21</v>
      </c>
      <c r="I770" s="8" t="s">
        <v>22</v>
      </c>
      <c r="J770" s="8" t="s">
        <v>22</v>
      </c>
      <c r="K770" s="8" t="s">
        <v>160</v>
      </c>
      <c r="L770" s="8" t="s">
        <v>2809</v>
      </c>
      <c r="M770" s="8" t="s">
        <v>2810</v>
      </c>
      <c r="N770" s="8" t="s">
        <v>3720</v>
      </c>
      <c r="O770" s="8">
        <f>1+59/60+35.8/3600</f>
        <v>1.9932777777777779</v>
      </c>
      <c r="P770" s="8" t="s">
        <v>3721</v>
      </c>
      <c r="Q770" s="8">
        <f>+(30+54/60+35/3600)</f>
        <v>30.909722222222221</v>
      </c>
      <c r="R770" s="8">
        <v>12.9</v>
      </c>
      <c r="S770" s="8">
        <v>13.6</v>
      </c>
      <c r="T770" s="8">
        <v>0.7</v>
      </c>
      <c r="U770" s="8">
        <v>11.8</v>
      </c>
      <c r="V770" s="8">
        <v>0.8</v>
      </c>
      <c r="W770" s="8">
        <v>0.5</v>
      </c>
      <c r="X770" s="8">
        <v>73</v>
      </c>
      <c r="Y770" s="8" t="s">
        <v>3722</v>
      </c>
      <c r="Z770" s="8" t="s">
        <v>3723</v>
      </c>
    </row>
    <row r="771" spans="1:26" x14ac:dyDescent="0.2">
      <c r="A771" s="8">
        <v>770</v>
      </c>
      <c r="B771" s="8" t="s">
        <v>3724</v>
      </c>
      <c r="C771" s="8" t="s">
        <v>3724</v>
      </c>
      <c r="F771" s="47"/>
      <c r="G771" s="8">
        <v>18</v>
      </c>
      <c r="H771" s="8" t="s">
        <v>21</v>
      </c>
      <c r="I771" s="8" t="s">
        <v>22</v>
      </c>
      <c r="J771" s="8" t="s">
        <v>22</v>
      </c>
      <c r="K771" s="8" t="s">
        <v>183</v>
      </c>
      <c r="L771" s="8" t="s">
        <v>3256</v>
      </c>
      <c r="M771" s="8" t="s">
        <v>3257</v>
      </c>
      <c r="N771" s="8" t="s">
        <v>3725</v>
      </c>
      <c r="O771" s="8">
        <f>1+59/60+13.5/3600</f>
        <v>1.9870833333333333</v>
      </c>
      <c r="P771" s="8" t="s">
        <v>3726</v>
      </c>
      <c r="Q771" s="8">
        <f>+(18+57/60+18/3600)</f>
        <v>18.954999999999998</v>
      </c>
      <c r="R771" s="8">
        <v>12.8</v>
      </c>
      <c r="S771" s="8">
        <v>13.8</v>
      </c>
      <c r="T771" s="8">
        <v>1</v>
      </c>
      <c r="U771" s="8">
        <v>12.3</v>
      </c>
      <c r="V771" s="8">
        <v>1.1000000000000001</v>
      </c>
      <c r="W771" s="8">
        <v>0.8</v>
      </c>
      <c r="X771" s="8">
        <v>15</v>
      </c>
      <c r="Y771" s="8" t="s">
        <v>3727</v>
      </c>
      <c r="Z771" s="8" t="s">
        <v>3728</v>
      </c>
    </row>
    <row r="772" spans="1:26" x14ac:dyDescent="0.2">
      <c r="A772" s="8">
        <v>771</v>
      </c>
      <c r="B772" s="8" t="s">
        <v>3729</v>
      </c>
      <c r="C772" s="8" t="s">
        <v>3729</v>
      </c>
      <c r="F772" s="47"/>
      <c r="G772" s="8">
        <v>16</v>
      </c>
      <c r="H772" s="8" t="s">
        <v>21</v>
      </c>
      <c r="I772" s="8" t="s">
        <v>72</v>
      </c>
      <c r="J772" s="8" t="s">
        <v>72</v>
      </c>
      <c r="K772" s="8" t="s">
        <v>20</v>
      </c>
      <c r="L772" s="8" t="s">
        <v>559</v>
      </c>
      <c r="M772" s="8" t="s">
        <v>560</v>
      </c>
      <c r="N772" s="8" t="s">
        <v>3730</v>
      </c>
      <c r="O772" s="8">
        <f>2+3/60+26/3600</f>
        <v>2.0572222222222218</v>
      </c>
      <c r="P772" s="8" t="s">
        <v>3731</v>
      </c>
      <c r="Q772" s="8">
        <f>+(72+25/60+19/3600)</f>
        <v>72.421944444444449</v>
      </c>
      <c r="R772" s="8">
        <v>99</v>
      </c>
      <c r="S772" s="8">
        <v>4</v>
      </c>
      <c r="T772" s="8">
        <v>99</v>
      </c>
      <c r="U772" s="8">
        <v>99</v>
      </c>
      <c r="Y772" s="8" t="s">
        <v>3732</v>
      </c>
      <c r="Z772" s="8" t="s">
        <v>3733</v>
      </c>
    </row>
    <row r="773" spans="1:26" x14ac:dyDescent="0.2">
      <c r="A773" s="8">
        <v>772</v>
      </c>
      <c r="B773" s="8" t="s">
        <v>3734</v>
      </c>
      <c r="C773" s="8" t="s">
        <v>3734</v>
      </c>
      <c r="F773" s="47" t="s">
        <v>56159</v>
      </c>
      <c r="G773" s="8">
        <v>6</v>
      </c>
      <c r="H773" s="8" t="s">
        <v>3735</v>
      </c>
      <c r="I773" s="8" t="s">
        <v>22</v>
      </c>
      <c r="J773" s="8" t="s">
        <v>22</v>
      </c>
      <c r="K773" s="8" t="s">
        <v>23</v>
      </c>
      <c r="L773" s="8" t="s">
        <v>3256</v>
      </c>
      <c r="M773" s="8" t="s">
        <v>3257</v>
      </c>
      <c r="N773" s="8" t="s">
        <v>3736</v>
      </c>
      <c r="O773" s="8">
        <f>1+59/60+19.5/3600</f>
        <v>1.98875</v>
      </c>
      <c r="P773" s="8" t="s">
        <v>3737</v>
      </c>
      <c r="Q773" s="8">
        <f>+(19+0/60+27/3600)</f>
        <v>19.0075</v>
      </c>
      <c r="R773" s="8">
        <v>10.3</v>
      </c>
      <c r="S773" s="8">
        <v>11.1</v>
      </c>
      <c r="T773" s="8">
        <v>0.8</v>
      </c>
      <c r="U773" s="8">
        <v>13.9</v>
      </c>
      <c r="V773" s="8">
        <v>7.2</v>
      </c>
      <c r="W773" s="8">
        <v>4.3</v>
      </c>
      <c r="X773" s="8">
        <v>130</v>
      </c>
      <c r="Y773" s="8" t="s">
        <v>3727</v>
      </c>
      <c r="Z773" s="8" t="s">
        <v>3738</v>
      </c>
    </row>
    <row r="774" spans="1:26" x14ac:dyDescent="0.2">
      <c r="A774" s="8">
        <v>773</v>
      </c>
      <c r="B774" s="8" t="s">
        <v>3739</v>
      </c>
      <c r="C774" s="8" t="s">
        <v>3739</v>
      </c>
      <c r="F774" s="47" t="s">
        <v>56160</v>
      </c>
      <c r="G774" s="8">
        <v>15</v>
      </c>
      <c r="H774" s="8" t="s">
        <v>21</v>
      </c>
      <c r="I774" s="8" t="s">
        <v>22</v>
      </c>
      <c r="J774" s="8" t="s">
        <v>22</v>
      </c>
      <c r="K774" s="8" t="s">
        <v>91</v>
      </c>
      <c r="L774" s="8" t="s">
        <v>125</v>
      </c>
      <c r="M774" s="8" t="s">
        <v>126</v>
      </c>
      <c r="N774" s="8" t="s">
        <v>3740</v>
      </c>
      <c r="O774" s="8">
        <f>1+58/60+51.9/3600</f>
        <v>1.9810833333333335</v>
      </c>
      <c r="P774" s="8" t="s">
        <v>3741</v>
      </c>
      <c r="Q774" s="8">
        <f>-(11+30/60+55/3600)</f>
        <v>-11.515277777777778</v>
      </c>
      <c r="R774" s="8">
        <v>13.1</v>
      </c>
      <c r="S774" s="8">
        <v>14</v>
      </c>
      <c r="T774" s="8">
        <v>0.9</v>
      </c>
      <c r="U774" s="8">
        <v>13.1</v>
      </c>
      <c r="V774" s="8">
        <v>1.4</v>
      </c>
      <c r="W774" s="8">
        <v>0.8</v>
      </c>
      <c r="X774" s="8">
        <v>179</v>
      </c>
      <c r="Y774" s="8" t="s">
        <v>3742</v>
      </c>
      <c r="Z774" s="8" t="s">
        <v>3743</v>
      </c>
    </row>
    <row r="775" spans="1:26" x14ac:dyDescent="0.2">
      <c r="A775" s="8">
        <v>774</v>
      </c>
      <c r="B775" s="8" t="s">
        <v>3744</v>
      </c>
      <c r="C775" s="8" t="s">
        <v>3744</v>
      </c>
      <c r="F775" s="47" t="s">
        <v>56161</v>
      </c>
      <c r="G775" s="8">
        <v>15</v>
      </c>
      <c r="H775" s="8" t="s">
        <v>21</v>
      </c>
      <c r="I775" s="8" t="s">
        <v>22</v>
      </c>
      <c r="J775" s="8" t="s">
        <v>22</v>
      </c>
      <c r="K775" s="8" t="s">
        <v>37</v>
      </c>
      <c r="L775" s="8" t="s">
        <v>3256</v>
      </c>
      <c r="M775" s="8" t="s">
        <v>3257</v>
      </c>
      <c r="N775" s="8" t="s">
        <v>3745</v>
      </c>
      <c r="O775" s="8">
        <f>1+59/60+34.7/3600</f>
        <v>1.9929722222222224</v>
      </c>
      <c r="P775" s="8" t="s">
        <v>3746</v>
      </c>
      <c r="Q775" s="8">
        <f>+(14+0/60+30/3600)</f>
        <v>14.008333333333333</v>
      </c>
      <c r="R775" s="8">
        <v>13</v>
      </c>
      <c r="S775" s="8">
        <v>14</v>
      </c>
      <c r="T775" s="8">
        <v>1</v>
      </c>
      <c r="U775" s="8">
        <v>13.5</v>
      </c>
      <c r="V775" s="8">
        <v>1.5</v>
      </c>
      <c r="W775" s="8">
        <v>1.2</v>
      </c>
      <c r="X775" s="8">
        <v>165</v>
      </c>
      <c r="Y775" s="8" t="s">
        <v>3344</v>
      </c>
      <c r="Z775" s="8" t="s">
        <v>3345</v>
      </c>
    </row>
    <row r="776" spans="1:26" x14ac:dyDescent="0.2">
      <c r="A776" s="8">
        <v>775</v>
      </c>
      <c r="B776" s="8" t="s">
        <v>3747</v>
      </c>
      <c r="C776" s="8" t="s">
        <v>3747</v>
      </c>
      <c r="F776" s="47"/>
      <c r="G776" s="8">
        <v>16</v>
      </c>
      <c r="H776" s="8" t="s">
        <v>21</v>
      </c>
      <c r="I776" s="8" t="s">
        <v>22</v>
      </c>
      <c r="J776" s="8" t="s">
        <v>22</v>
      </c>
      <c r="K776" s="8" t="s">
        <v>64</v>
      </c>
      <c r="L776" s="8" t="s">
        <v>3335</v>
      </c>
      <c r="M776" s="8" t="s">
        <v>3336</v>
      </c>
      <c r="N776" s="8" t="s">
        <v>3748</v>
      </c>
      <c r="O776" s="8">
        <f>1+58/60+32.5/3600</f>
        <v>1.9756944444444446</v>
      </c>
      <c r="P776" s="8" t="s">
        <v>3749</v>
      </c>
      <c r="Q776" s="8">
        <f>-(26+17/60+38/3600)</f>
        <v>-26.29388888888889</v>
      </c>
      <c r="R776" s="8">
        <v>12.6</v>
      </c>
      <c r="S776" s="8">
        <v>13.3</v>
      </c>
      <c r="T776" s="8">
        <v>0.7</v>
      </c>
      <c r="U776" s="8">
        <v>13.2</v>
      </c>
      <c r="V776" s="8">
        <v>1.7</v>
      </c>
      <c r="W776" s="8">
        <v>1.2</v>
      </c>
      <c r="X776" s="8">
        <v>167</v>
      </c>
      <c r="Y776" s="8" t="s">
        <v>2171</v>
      </c>
      <c r="Z776" s="8" t="s">
        <v>2172</v>
      </c>
    </row>
    <row r="777" spans="1:26" x14ac:dyDescent="0.2">
      <c r="A777" s="8">
        <v>776</v>
      </c>
      <c r="B777" s="8" t="s">
        <v>3750</v>
      </c>
      <c r="C777" s="8" t="s">
        <v>3750</v>
      </c>
      <c r="F777" s="47"/>
      <c r="G777" s="8">
        <v>18</v>
      </c>
      <c r="H777" s="8" t="s">
        <v>21</v>
      </c>
      <c r="I777" s="8" t="s">
        <v>22</v>
      </c>
      <c r="J777" s="8" t="s">
        <v>22</v>
      </c>
      <c r="K777" s="8" t="s">
        <v>218</v>
      </c>
      <c r="L777" s="8" t="s">
        <v>3256</v>
      </c>
      <c r="M777" s="8" t="s">
        <v>3257</v>
      </c>
      <c r="N777" s="8" t="s">
        <v>3751</v>
      </c>
      <c r="O777" s="8">
        <f>1+59/60+54.6/3600</f>
        <v>1.9985000000000002</v>
      </c>
      <c r="P777" s="8" t="s">
        <v>3752</v>
      </c>
      <c r="Q777" s="8">
        <f>+(23+38/60+39/3600)</f>
        <v>23.644166666666667</v>
      </c>
      <c r="R777" s="8">
        <v>12.4</v>
      </c>
      <c r="S777" s="8">
        <v>13.2</v>
      </c>
      <c r="T777" s="8">
        <v>0.8</v>
      </c>
      <c r="U777" s="8">
        <v>13.4</v>
      </c>
      <c r="V777" s="8">
        <v>1.7</v>
      </c>
      <c r="W777" s="8">
        <v>1.7</v>
      </c>
      <c r="Y777" s="8" t="s">
        <v>3753</v>
      </c>
      <c r="Z777" s="8" t="s">
        <v>3754</v>
      </c>
    </row>
    <row r="778" spans="1:26" x14ac:dyDescent="0.2">
      <c r="A778" s="8">
        <v>777</v>
      </c>
      <c r="B778" s="8" t="s">
        <v>3755</v>
      </c>
      <c r="C778" s="8" t="s">
        <v>3755</v>
      </c>
      <c r="F778" s="47" t="s">
        <v>56162</v>
      </c>
      <c r="G778" s="8">
        <v>13</v>
      </c>
      <c r="H778" s="8" t="s">
        <v>21</v>
      </c>
      <c r="I778" s="8" t="s">
        <v>22</v>
      </c>
      <c r="J778" s="8" t="s">
        <v>22</v>
      </c>
      <c r="K778" s="8" t="s">
        <v>183</v>
      </c>
      <c r="L778" s="8" t="s">
        <v>2809</v>
      </c>
      <c r="M778" s="8" t="s">
        <v>2810</v>
      </c>
      <c r="N778" s="8" t="s">
        <v>3756</v>
      </c>
      <c r="O778" s="8">
        <f>2+0/60+14.8/3600</f>
        <v>2.004111111111111</v>
      </c>
      <c r="P778" s="8" t="s">
        <v>3757</v>
      </c>
      <c r="Q778" s="8">
        <f>+(31+25/60+47/3600)</f>
        <v>31.429722222222225</v>
      </c>
      <c r="R778" s="8">
        <v>11.5</v>
      </c>
      <c r="S778" s="8">
        <v>12.5</v>
      </c>
      <c r="T778" s="8">
        <v>1</v>
      </c>
      <c r="U778" s="8">
        <v>13.2</v>
      </c>
      <c r="V778" s="8">
        <v>2.5</v>
      </c>
      <c r="W778" s="8">
        <v>2</v>
      </c>
      <c r="X778" s="8">
        <v>155</v>
      </c>
      <c r="Y778" s="8" t="s">
        <v>3758</v>
      </c>
      <c r="Z778" s="8" t="s">
        <v>3759</v>
      </c>
    </row>
    <row r="779" spans="1:26" x14ac:dyDescent="0.2">
      <c r="A779" s="8">
        <v>778</v>
      </c>
      <c r="B779" s="8" t="s">
        <v>3760</v>
      </c>
      <c r="C779" s="8" t="s">
        <v>3760</v>
      </c>
      <c r="F779" s="47"/>
      <c r="G779" s="8">
        <v>18</v>
      </c>
      <c r="H779" s="8" t="s">
        <v>21</v>
      </c>
      <c r="I779" s="8" t="s">
        <v>22</v>
      </c>
      <c r="J779" s="8" t="s">
        <v>22</v>
      </c>
      <c r="K779" s="8" t="s">
        <v>37</v>
      </c>
      <c r="L779" s="8" t="s">
        <v>2809</v>
      </c>
      <c r="M779" s="8" t="s">
        <v>2810</v>
      </c>
      <c r="N779" s="8" t="s">
        <v>3761</v>
      </c>
      <c r="O779" s="8">
        <f>2+0/60+19.4/3600</f>
        <v>2.0053888888888891</v>
      </c>
      <c r="P779" s="8" t="s">
        <v>3762</v>
      </c>
      <c r="Q779" s="8">
        <f>+(31+18/60+47/3600)</f>
        <v>31.313055555555557</v>
      </c>
      <c r="R779" s="8">
        <v>13.2</v>
      </c>
      <c r="S779" s="8">
        <v>14.2</v>
      </c>
      <c r="T779" s="8">
        <v>1</v>
      </c>
      <c r="U779" s="8">
        <v>12.4</v>
      </c>
      <c r="V779" s="8">
        <v>1.1000000000000001</v>
      </c>
      <c r="W779" s="8">
        <v>0.5</v>
      </c>
      <c r="X779" s="8">
        <v>150</v>
      </c>
      <c r="Y779" s="8" t="s">
        <v>348</v>
      </c>
      <c r="Z779" s="8" t="s">
        <v>349</v>
      </c>
    </row>
    <row r="780" spans="1:26" x14ac:dyDescent="0.2">
      <c r="A780" s="8">
        <v>779</v>
      </c>
      <c r="B780" s="8" t="s">
        <v>3763</v>
      </c>
      <c r="C780" s="8" t="s">
        <v>3763</v>
      </c>
      <c r="F780" s="47" t="s">
        <v>56163</v>
      </c>
      <c r="G780" s="8">
        <v>6</v>
      </c>
      <c r="H780" s="8" t="s">
        <v>21</v>
      </c>
      <c r="I780" s="8" t="s">
        <v>22</v>
      </c>
      <c r="J780" s="8" t="s">
        <v>22</v>
      </c>
      <c r="K780" s="8" t="s">
        <v>218</v>
      </c>
      <c r="L780" s="8" t="s">
        <v>125</v>
      </c>
      <c r="M780" s="8" t="s">
        <v>126</v>
      </c>
      <c r="N780" s="8" t="s">
        <v>3764</v>
      </c>
      <c r="O780" s="8">
        <f>1+59/60+42.6/3600</f>
        <v>1.9951666666666668</v>
      </c>
      <c r="P780" s="8" t="s">
        <v>3765</v>
      </c>
      <c r="Q780" s="8">
        <f>-(5+57/60+51/3600)</f>
        <v>-5.9641666666666673</v>
      </c>
      <c r="R780" s="8">
        <v>11.2</v>
      </c>
      <c r="S780" s="8">
        <v>12</v>
      </c>
      <c r="T780" s="8">
        <v>0.8</v>
      </c>
      <c r="U780" s="8">
        <v>12.7</v>
      </c>
      <c r="V780" s="8">
        <v>4.0999999999999996</v>
      </c>
      <c r="W780" s="8">
        <v>1.2</v>
      </c>
      <c r="X780" s="8">
        <v>160</v>
      </c>
      <c r="Y780" s="8" t="s">
        <v>3766</v>
      </c>
      <c r="Z780" s="8" t="s">
        <v>3767</v>
      </c>
    </row>
    <row r="781" spans="1:26" x14ac:dyDescent="0.2">
      <c r="A781" s="8">
        <v>780</v>
      </c>
      <c r="B781" s="8" t="s">
        <v>3768</v>
      </c>
      <c r="C781" s="8" t="s">
        <v>3768</v>
      </c>
      <c r="F781" s="47" t="s">
        <v>56164</v>
      </c>
      <c r="G781" s="8">
        <v>15</v>
      </c>
      <c r="H781" s="8" t="s">
        <v>21</v>
      </c>
      <c r="I781" s="8" t="s">
        <v>22</v>
      </c>
      <c r="J781" s="8" t="s">
        <v>22</v>
      </c>
      <c r="K781" s="8" t="s">
        <v>31</v>
      </c>
      <c r="L781" s="8" t="s">
        <v>2809</v>
      </c>
      <c r="M781" s="8" t="s">
        <v>2810</v>
      </c>
      <c r="N781" s="8" t="s">
        <v>3769</v>
      </c>
      <c r="O781" s="8">
        <f>2+0/60+35.1/3600</f>
        <v>2.0097499999999999</v>
      </c>
      <c r="P781" s="8" t="s">
        <v>3770</v>
      </c>
      <c r="Q781" s="8">
        <f>+(28+13/60+33/3600)</f>
        <v>28.22583333333333</v>
      </c>
      <c r="R781" s="8">
        <v>13.8</v>
      </c>
      <c r="S781" s="8">
        <v>14.6</v>
      </c>
      <c r="T781" s="8">
        <v>0.8</v>
      </c>
      <c r="U781" s="8">
        <v>14</v>
      </c>
      <c r="V781" s="8">
        <v>1.3</v>
      </c>
      <c r="W781" s="8">
        <v>0.9</v>
      </c>
      <c r="X781" s="8">
        <v>176</v>
      </c>
      <c r="Y781" s="8" t="s">
        <v>3771</v>
      </c>
      <c r="Z781" s="8" t="s">
        <v>3772</v>
      </c>
    </row>
    <row r="782" spans="1:26" x14ac:dyDescent="0.2">
      <c r="A782" s="8">
        <v>781</v>
      </c>
      <c r="B782" s="8" t="s">
        <v>3773</v>
      </c>
      <c r="C782" s="8" t="s">
        <v>3773</v>
      </c>
      <c r="F782" s="47" t="s">
        <v>56165</v>
      </c>
      <c r="G782" s="8">
        <v>15</v>
      </c>
      <c r="H782" s="8" t="s">
        <v>21</v>
      </c>
      <c r="I782" s="8" t="s">
        <v>22</v>
      </c>
      <c r="J782" s="8" t="s">
        <v>22</v>
      </c>
      <c r="K782" s="8" t="s">
        <v>23</v>
      </c>
      <c r="L782" s="8" t="s">
        <v>3256</v>
      </c>
      <c r="M782" s="8" t="s">
        <v>3257</v>
      </c>
      <c r="N782" s="8" t="s">
        <v>3774</v>
      </c>
      <c r="O782" s="8">
        <f>2+0/60+8.8/3600</f>
        <v>2.0024444444444445</v>
      </c>
      <c r="P782" s="8" t="s">
        <v>3775</v>
      </c>
      <c r="Q782" s="8">
        <f>+(12+39/60+20/3600)</f>
        <v>12.655555555555557</v>
      </c>
      <c r="R782" s="8">
        <v>13.1</v>
      </c>
      <c r="S782" s="8">
        <v>13.9</v>
      </c>
      <c r="T782" s="8">
        <v>0.8</v>
      </c>
      <c r="U782" s="8">
        <v>12.4</v>
      </c>
      <c r="V782" s="8">
        <v>1.5</v>
      </c>
      <c r="W782" s="8">
        <v>0.4</v>
      </c>
      <c r="X782" s="8">
        <v>13</v>
      </c>
      <c r="Y782" s="8" t="s">
        <v>457</v>
      </c>
      <c r="Z782" s="8" t="s">
        <v>458</v>
      </c>
    </row>
    <row r="783" spans="1:26" x14ac:dyDescent="0.2">
      <c r="A783" s="8">
        <v>782</v>
      </c>
      <c r="B783" s="8" t="s">
        <v>3776</v>
      </c>
      <c r="C783" s="8" t="s">
        <v>3776</v>
      </c>
      <c r="F783" s="47"/>
      <c r="G783" s="8">
        <v>13</v>
      </c>
      <c r="H783" s="8" t="s">
        <v>21</v>
      </c>
      <c r="I783" s="8" t="s">
        <v>22</v>
      </c>
      <c r="J783" s="8" t="s">
        <v>22</v>
      </c>
      <c r="K783" s="8" t="s">
        <v>218</v>
      </c>
      <c r="L783" s="8" t="s">
        <v>3328</v>
      </c>
      <c r="M783" s="8" t="s">
        <v>3329</v>
      </c>
      <c r="N783" s="8" t="s">
        <v>3777</v>
      </c>
      <c r="O783" s="8">
        <f>1+57/60+40.1/3600</f>
        <v>1.9611388888888888</v>
      </c>
      <c r="P783" s="8" t="s">
        <v>3778</v>
      </c>
      <c r="Q783" s="8">
        <f>-(57+47/60+27/3600)</f>
        <v>-57.790833333333332</v>
      </c>
      <c r="R783" s="8">
        <v>11.9</v>
      </c>
      <c r="S783" s="8">
        <v>12.5</v>
      </c>
      <c r="T783" s="8">
        <v>0.6</v>
      </c>
      <c r="U783" s="8">
        <v>13.4</v>
      </c>
      <c r="V783" s="8">
        <v>2.4</v>
      </c>
      <c r="W783" s="8">
        <v>2.1</v>
      </c>
      <c r="X783" s="8">
        <v>23</v>
      </c>
      <c r="Y783" s="8" t="s">
        <v>3779</v>
      </c>
      <c r="Z783" s="8" t="s">
        <v>3780</v>
      </c>
    </row>
    <row r="784" spans="1:26" x14ac:dyDescent="0.2">
      <c r="A784" s="8">
        <v>783</v>
      </c>
      <c r="B784" s="8" t="s">
        <v>3781</v>
      </c>
      <c r="C784" s="8" t="s">
        <v>3781</v>
      </c>
      <c r="F784" s="47"/>
      <c r="G784" s="8">
        <v>18</v>
      </c>
      <c r="H784" s="8" t="s">
        <v>21</v>
      </c>
      <c r="I784" s="8" t="s">
        <v>22</v>
      </c>
      <c r="J784" s="8" t="s">
        <v>22</v>
      </c>
      <c r="K784" s="8" t="s">
        <v>160</v>
      </c>
      <c r="L784" s="8" t="s">
        <v>2809</v>
      </c>
      <c r="M784" s="8" t="s">
        <v>2810</v>
      </c>
      <c r="N784" s="8" t="s">
        <v>3782</v>
      </c>
      <c r="O784" s="8">
        <f>2+1/60+6.6/3600</f>
        <v>2.0185</v>
      </c>
      <c r="P784" s="8" t="s">
        <v>3783</v>
      </c>
      <c r="Q784" s="8">
        <f>+(31+52/60+55/3600)</f>
        <v>31.881944444444446</v>
      </c>
      <c r="R784" s="8">
        <v>12.2</v>
      </c>
      <c r="S784" s="8">
        <v>12.9</v>
      </c>
      <c r="T784" s="8">
        <v>0.7</v>
      </c>
      <c r="U784" s="8">
        <v>12.9</v>
      </c>
      <c r="V784" s="8">
        <v>1.6</v>
      </c>
      <c r="W784" s="8">
        <v>1.4</v>
      </c>
      <c r="X784" s="8">
        <v>35</v>
      </c>
      <c r="Y784" s="8" t="s">
        <v>3784</v>
      </c>
      <c r="Z784" s="8" t="s">
        <v>3785</v>
      </c>
    </row>
    <row r="785" spans="1:26" x14ac:dyDescent="0.2">
      <c r="A785" s="8">
        <v>784</v>
      </c>
      <c r="B785" s="8" t="s">
        <v>3786</v>
      </c>
      <c r="C785" s="8" t="s">
        <v>3786</v>
      </c>
      <c r="F785" s="47"/>
      <c r="G785" s="8">
        <v>9</v>
      </c>
      <c r="H785" s="8" t="s">
        <v>21</v>
      </c>
      <c r="I785" s="8" t="s">
        <v>22</v>
      </c>
      <c r="J785" s="8" t="s">
        <v>22</v>
      </c>
      <c r="K785" s="8" t="s">
        <v>269</v>
      </c>
      <c r="L785" s="8" t="s">
        <v>2809</v>
      </c>
      <c r="M785" s="8" t="s">
        <v>2810</v>
      </c>
      <c r="N785" s="8" t="s">
        <v>3787</v>
      </c>
      <c r="O785" s="8">
        <f>2+1/60+17.1/3600</f>
        <v>2.0214166666666666</v>
      </c>
      <c r="P785" s="8" t="s">
        <v>3788</v>
      </c>
      <c r="Q785" s="8">
        <f>+(28+50/60+17/3600)</f>
        <v>28.838055555555556</v>
      </c>
      <c r="R785" s="8">
        <v>11.7</v>
      </c>
      <c r="S785" s="8">
        <v>12.2</v>
      </c>
      <c r="T785" s="8">
        <v>0.5</v>
      </c>
      <c r="U785" s="8">
        <v>14.1</v>
      </c>
      <c r="V785" s="8">
        <v>6.6</v>
      </c>
      <c r="W785" s="8">
        <v>1.6</v>
      </c>
      <c r="X785" s="8">
        <v>0</v>
      </c>
      <c r="Y785" s="8" t="s">
        <v>3789</v>
      </c>
      <c r="Z785" s="8" t="s">
        <v>3790</v>
      </c>
    </row>
    <row r="786" spans="1:26" x14ac:dyDescent="0.2">
      <c r="A786" s="8">
        <v>785</v>
      </c>
      <c r="B786" s="8" t="s">
        <v>3791</v>
      </c>
      <c r="C786" s="8" t="s">
        <v>3791</v>
      </c>
      <c r="F786" s="47"/>
      <c r="G786" s="8">
        <v>18</v>
      </c>
      <c r="H786" s="8" t="s">
        <v>21</v>
      </c>
      <c r="I786" s="8" t="s">
        <v>22</v>
      </c>
      <c r="J786" s="8" t="s">
        <v>22</v>
      </c>
      <c r="K786" s="8" t="s">
        <v>58</v>
      </c>
      <c r="L786" s="8" t="s">
        <v>2809</v>
      </c>
      <c r="M786" s="8" t="s">
        <v>2810</v>
      </c>
      <c r="N786" s="8" t="s">
        <v>3792</v>
      </c>
      <c r="O786" s="8">
        <f>2+1/60+40/3600</f>
        <v>2.0277777777777777</v>
      </c>
      <c r="P786" s="8" t="s">
        <v>3793</v>
      </c>
      <c r="Q786" s="8">
        <f>+(31+49/60+36/3600)</f>
        <v>31.826666666666668</v>
      </c>
      <c r="R786" s="8">
        <v>13</v>
      </c>
      <c r="S786" s="8">
        <v>14</v>
      </c>
      <c r="T786" s="8">
        <v>1</v>
      </c>
      <c r="U786" s="8">
        <v>13.3</v>
      </c>
      <c r="V786" s="8">
        <v>1.5</v>
      </c>
      <c r="W786" s="8">
        <v>1.1000000000000001</v>
      </c>
      <c r="X786" s="8">
        <v>83</v>
      </c>
      <c r="Y786" s="8" t="s">
        <v>3794</v>
      </c>
      <c r="Z786" s="8" t="s">
        <v>3795</v>
      </c>
    </row>
    <row r="787" spans="1:26" x14ac:dyDescent="0.2">
      <c r="A787" s="8">
        <v>786</v>
      </c>
      <c r="B787" s="8" t="s">
        <v>3796</v>
      </c>
      <c r="C787" s="8" t="s">
        <v>3796</v>
      </c>
      <c r="F787" s="47"/>
      <c r="G787" s="8">
        <v>18</v>
      </c>
      <c r="H787" s="8" t="s">
        <v>21</v>
      </c>
      <c r="I787" s="8" t="s">
        <v>22</v>
      </c>
      <c r="J787" s="8" t="s">
        <v>22</v>
      </c>
      <c r="K787" s="8" t="s">
        <v>476</v>
      </c>
      <c r="L787" s="8" t="s">
        <v>3256</v>
      </c>
      <c r="M787" s="8" t="s">
        <v>3257</v>
      </c>
      <c r="N787" s="8" t="s">
        <v>3797</v>
      </c>
      <c r="O787" s="8">
        <f>2+1/60+24.6/3600</f>
        <v>2.0234999999999999</v>
      </c>
      <c r="P787" s="8" t="s">
        <v>3798</v>
      </c>
      <c r="Q787" s="8">
        <f>+(15+38/60+46/3600)</f>
        <v>15.646111111111111</v>
      </c>
      <c r="R787" s="8">
        <v>13.4</v>
      </c>
      <c r="S787" s="8">
        <v>14.3</v>
      </c>
      <c r="T787" s="8">
        <v>0.9</v>
      </c>
      <c r="U787" s="8">
        <v>12.3</v>
      </c>
      <c r="V787" s="8">
        <v>0.7</v>
      </c>
      <c r="W787" s="8">
        <v>0.6</v>
      </c>
      <c r="X787" s="8">
        <v>138</v>
      </c>
      <c r="Y787" s="8" t="s">
        <v>266</v>
      </c>
      <c r="Z787" s="8" t="s">
        <v>267</v>
      </c>
    </row>
    <row r="788" spans="1:26" x14ac:dyDescent="0.2">
      <c r="A788" s="8">
        <v>787</v>
      </c>
      <c r="B788" s="8" t="s">
        <v>3799</v>
      </c>
      <c r="C788" s="8" t="s">
        <v>3799</v>
      </c>
      <c r="F788" s="47"/>
      <c r="G788" s="8">
        <v>19</v>
      </c>
      <c r="H788" s="8" t="s">
        <v>21</v>
      </c>
      <c r="I788" s="8" t="s">
        <v>22</v>
      </c>
      <c r="J788" s="8" t="s">
        <v>22</v>
      </c>
      <c r="K788" s="8" t="s">
        <v>23</v>
      </c>
      <c r="L788" s="8" t="s">
        <v>125</v>
      </c>
      <c r="M788" s="8" t="s">
        <v>126</v>
      </c>
      <c r="N788" s="8" t="s">
        <v>3800</v>
      </c>
      <c r="O788" s="8">
        <f>2+0/60+48.6/3600</f>
        <v>2.0135000000000001</v>
      </c>
      <c r="P788" s="8" t="s">
        <v>3801</v>
      </c>
      <c r="Q788" s="8">
        <f>-(9+0/60+9/3600)</f>
        <v>-9.0024999999999995</v>
      </c>
      <c r="R788" s="8">
        <v>12.9</v>
      </c>
      <c r="S788" s="8">
        <v>13.7</v>
      </c>
      <c r="T788" s="8">
        <v>0.8</v>
      </c>
      <c r="U788" s="8">
        <v>14.4</v>
      </c>
      <c r="V788" s="8">
        <v>2.5</v>
      </c>
      <c r="W788" s="8">
        <v>1.9</v>
      </c>
      <c r="X788" s="8">
        <v>90</v>
      </c>
      <c r="Y788" s="8" t="s">
        <v>1511</v>
      </c>
      <c r="Z788" s="8" t="s">
        <v>1512</v>
      </c>
    </row>
    <row r="789" spans="1:26" x14ac:dyDescent="0.2">
      <c r="A789" s="8">
        <v>788</v>
      </c>
      <c r="B789" s="8" t="s">
        <v>3802</v>
      </c>
      <c r="C789" s="8" t="s">
        <v>3802</v>
      </c>
      <c r="F789" s="47" t="s">
        <v>56166</v>
      </c>
      <c r="G789" s="8">
        <v>13</v>
      </c>
      <c r="H789" s="8" t="s">
        <v>21</v>
      </c>
      <c r="I789" s="8" t="s">
        <v>22</v>
      </c>
      <c r="J789" s="8" t="s">
        <v>22</v>
      </c>
      <c r="K789" s="8" t="s">
        <v>632</v>
      </c>
      <c r="L789" s="8" t="s">
        <v>125</v>
      </c>
      <c r="M789" s="8" t="s">
        <v>126</v>
      </c>
      <c r="N789" s="8" t="s">
        <v>3803</v>
      </c>
      <c r="O789" s="8">
        <f>2+1/60+6.4/3600</f>
        <v>2.0184444444444445</v>
      </c>
      <c r="P789" s="8" t="s">
        <v>3804</v>
      </c>
      <c r="Q789" s="8">
        <f>-(6+48/60+56/3600)</f>
        <v>-6.8155555555555551</v>
      </c>
      <c r="R789" s="8">
        <v>12.1</v>
      </c>
      <c r="S789" s="8">
        <v>13</v>
      </c>
      <c r="T789" s="8">
        <v>0.9</v>
      </c>
      <c r="U789" s="8">
        <v>13</v>
      </c>
      <c r="V789" s="8">
        <v>1.6</v>
      </c>
      <c r="W789" s="8">
        <v>1.4</v>
      </c>
      <c r="X789" s="8">
        <v>111</v>
      </c>
      <c r="Y789" s="8" t="s">
        <v>302</v>
      </c>
      <c r="Z789" s="8" t="s">
        <v>303</v>
      </c>
    </row>
    <row r="790" spans="1:26" x14ac:dyDescent="0.2">
      <c r="A790" s="8">
        <v>789</v>
      </c>
      <c r="B790" s="8" t="s">
        <v>3805</v>
      </c>
      <c r="C790" s="8" t="s">
        <v>3805</v>
      </c>
      <c r="F790" s="47"/>
      <c r="G790" s="8">
        <v>18</v>
      </c>
      <c r="H790" s="8" t="s">
        <v>21</v>
      </c>
      <c r="I790" s="8" t="s">
        <v>22</v>
      </c>
      <c r="J790" s="8" t="s">
        <v>22</v>
      </c>
      <c r="K790" s="8" t="s">
        <v>3523</v>
      </c>
      <c r="L790" s="8" t="s">
        <v>2809</v>
      </c>
      <c r="M790" s="8" t="s">
        <v>2810</v>
      </c>
      <c r="N790" s="8" t="s">
        <v>3806</v>
      </c>
      <c r="O790" s="8">
        <f>2+2/60+26/3600</f>
        <v>2.0405555555555552</v>
      </c>
      <c r="P790" s="8" t="s">
        <v>3807</v>
      </c>
      <c r="Q790" s="8">
        <f>+(32+4/60+20/3600)</f>
        <v>32.072222222222223</v>
      </c>
      <c r="R790" s="8">
        <v>13.5</v>
      </c>
      <c r="S790" s="8">
        <v>14.1</v>
      </c>
      <c r="T790" s="8">
        <v>0.6</v>
      </c>
      <c r="U790" s="8">
        <v>13.3</v>
      </c>
      <c r="V790" s="8">
        <v>1.2</v>
      </c>
      <c r="W790" s="8">
        <v>0.8</v>
      </c>
      <c r="X790" s="8">
        <v>3</v>
      </c>
      <c r="Y790" s="8" t="s">
        <v>3808</v>
      </c>
      <c r="Z790" s="8" t="s">
        <v>680</v>
      </c>
    </row>
    <row r="791" spans="1:26" x14ac:dyDescent="0.2">
      <c r="A791" s="8">
        <v>790</v>
      </c>
      <c r="B791" s="8" t="s">
        <v>3809</v>
      </c>
      <c r="C791" s="8" t="s">
        <v>3809</v>
      </c>
      <c r="F791" s="47" t="s">
        <v>56167</v>
      </c>
      <c r="G791" s="8">
        <v>15</v>
      </c>
      <c r="H791" s="8" t="s">
        <v>21</v>
      </c>
      <c r="I791" s="8" t="s">
        <v>22</v>
      </c>
      <c r="J791" s="8" t="s">
        <v>22</v>
      </c>
      <c r="K791" s="8" t="s">
        <v>37</v>
      </c>
      <c r="L791" s="8" t="s">
        <v>125</v>
      </c>
      <c r="M791" s="8" t="s">
        <v>126</v>
      </c>
      <c r="N791" s="8" t="s">
        <v>3810</v>
      </c>
      <c r="O791" s="8">
        <f>2+1/60+21.6/3600</f>
        <v>2.0226666666666664</v>
      </c>
      <c r="P791" s="8" t="s">
        <v>3811</v>
      </c>
      <c r="Q791" s="8">
        <f>-(5+22/60+14/3600)</f>
        <v>-5.3705555555555549</v>
      </c>
      <c r="R791" s="8">
        <v>13</v>
      </c>
      <c r="S791" s="8">
        <v>14</v>
      </c>
      <c r="T791" s="8">
        <v>1</v>
      </c>
      <c r="U791" s="8">
        <v>13.5</v>
      </c>
      <c r="V791" s="8">
        <v>1.3</v>
      </c>
      <c r="W791" s="8">
        <v>1.3</v>
      </c>
      <c r="Y791" s="8" t="s">
        <v>3812</v>
      </c>
      <c r="Z791" s="8" t="s">
        <v>3813</v>
      </c>
    </row>
    <row r="792" spans="1:26" x14ac:dyDescent="0.2">
      <c r="A792" s="8">
        <v>791</v>
      </c>
      <c r="B792" s="8" t="s">
        <v>3814</v>
      </c>
      <c r="C792" s="8" t="s">
        <v>3814</v>
      </c>
      <c r="F792" s="47"/>
      <c r="G792" s="8">
        <v>18</v>
      </c>
      <c r="H792" s="8" t="s">
        <v>21</v>
      </c>
      <c r="I792" s="8" t="s">
        <v>22</v>
      </c>
      <c r="J792" s="8" t="s">
        <v>22</v>
      </c>
      <c r="K792" s="8" t="s">
        <v>460</v>
      </c>
      <c r="L792" s="8" t="s">
        <v>38</v>
      </c>
      <c r="M792" s="8" t="s">
        <v>39</v>
      </c>
      <c r="N792" s="8" t="s">
        <v>3815</v>
      </c>
      <c r="O792" s="8">
        <f>2+1/60+44.2/3600</f>
        <v>2.0289444444444444</v>
      </c>
      <c r="P792" s="8" t="s">
        <v>3816</v>
      </c>
      <c r="Q792" s="8">
        <f>+(8+29/60+59/3600)</f>
        <v>8.4997222222222213</v>
      </c>
      <c r="R792" s="8">
        <v>13.3</v>
      </c>
      <c r="S792" s="8">
        <v>14.3</v>
      </c>
      <c r="T792" s="8">
        <v>1</v>
      </c>
      <c r="U792" s="8">
        <v>14.4</v>
      </c>
      <c r="V792" s="8">
        <v>1.6</v>
      </c>
      <c r="W792" s="8">
        <v>1.6</v>
      </c>
      <c r="Y792" s="8" t="s">
        <v>3817</v>
      </c>
      <c r="Z792" s="8" t="s">
        <v>3818</v>
      </c>
    </row>
    <row r="793" spans="1:26" x14ac:dyDescent="0.2">
      <c r="A793" s="8">
        <v>792</v>
      </c>
      <c r="B793" s="8" t="s">
        <v>3819</v>
      </c>
      <c r="C793" s="8" t="s">
        <v>3819</v>
      </c>
      <c r="F793" s="47"/>
      <c r="G793" s="8">
        <v>16</v>
      </c>
      <c r="H793" s="8" t="s">
        <v>21</v>
      </c>
      <c r="I793" s="8" t="s">
        <v>22</v>
      </c>
      <c r="J793" s="8" t="s">
        <v>22</v>
      </c>
      <c r="K793" s="8" t="s">
        <v>37</v>
      </c>
      <c r="L793" s="8" t="s">
        <v>3256</v>
      </c>
      <c r="M793" s="8" t="s">
        <v>3257</v>
      </c>
      <c r="N793" s="8" t="s">
        <v>3820</v>
      </c>
      <c r="O793" s="8">
        <f>2+2/60+15.3/3600</f>
        <v>2.0375833333333331</v>
      </c>
      <c r="P793" s="8" t="s">
        <v>3821</v>
      </c>
      <c r="Q793" s="8">
        <f>+(15+42/60+44/3600)</f>
        <v>15.712222222222222</v>
      </c>
      <c r="R793" s="8">
        <v>13.1</v>
      </c>
      <c r="S793" s="8">
        <v>14.1</v>
      </c>
      <c r="T793" s="8">
        <v>1</v>
      </c>
      <c r="U793" s="8">
        <v>13.6</v>
      </c>
      <c r="V793" s="8">
        <v>1.7</v>
      </c>
      <c r="W793" s="8">
        <v>1.1000000000000001</v>
      </c>
      <c r="X793" s="8">
        <v>130</v>
      </c>
      <c r="Y793" s="8" t="s">
        <v>3822</v>
      </c>
      <c r="Z793" s="8" t="s">
        <v>3823</v>
      </c>
    </row>
    <row r="794" spans="1:26" x14ac:dyDescent="0.2">
      <c r="A794" s="8">
        <v>793</v>
      </c>
      <c r="B794" s="8" t="s">
        <v>3824</v>
      </c>
      <c r="C794" s="8" t="s">
        <v>3824</v>
      </c>
      <c r="F794" s="47"/>
      <c r="G794" s="8">
        <v>19</v>
      </c>
      <c r="H794" s="8" t="s">
        <v>21</v>
      </c>
      <c r="I794" s="8" t="s">
        <v>72</v>
      </c>
      <c r="J794" s="8" t="s">
        <v>72</v>
      </c>
      <c r="K794" s="8" t="s">
        <v>73</v>
      </c>
      <c r="L794" s="8" t="s">
        <v>2809</v>
      </c>
      <c r="M794" s="8" t="s">
        <v>2810</v>
      </c>
      <c r="N794" s="8" t="s">
        <v>3825</v>
      </c>
      <c r="O794" s="8">
        <f>2+2/60+54.5/3600</f>
        <v>2.0484722222222222</v>
      </c>
      <c r="P794" s="8" t="s">
        <v>3826</v>
      </c>
      <c r="Q794" s="8">
        <f>+(31+58/60+53/3600)</f>
        <v>31.981388888888887</v>
      </c>
      <c r="R794" s="8">
        <v>99</v>
      </c>
      <c r="S794" s="8">
        <v>99</v>
      </c>
      <c r="T794" s="8">
        <v>99</v>
      </c>
      <c r="U794" s="8">
        <v>99</v>
      </c>
      <c r="Y794" s="8" t="s">
        <v>3827</v>
      </c>
      <c r="Z794" s="8" t="s">
        <v>3828</v>
      </c>
    </row>
    <row r="795" spans="1:26" x14ac:dyDescent="0.2">
      <c r="A795" s="8">
        <v>794</v>
      </c>
      <c r="B795" s="8" t="s">
        <v>3829</v>
      </c>
      <c r="C795" s="8" t="s">
        <v>3829</v>
      </c>
      <c r="F795" s="47" t="s">
        <v>56168</v>
      </c>
      <c r="G795" s="8">
        <v>15</v>
      </c>
      <c r="H795" s="8" t="s">
        <v>21</v>
      </c>
      <c r="I795" s="8" t="s">
        <v>22</v>
      </c>
      <c r="J795" s="8" t="s">
        <v>22</v>
      </c>
      <c r="K795" s="8" t="s">
        <v>58</v>
      </c>
      <c r="L795" s="8" t="s">
        <v>3256</v>
      </c>
      <c r="M795" s="8" t="s">
        <v>3257</v>
      </c>
      <c r="N795" s="8" t="s">
        <v>3830</v>
      </c>
      <c r="O795" s="8">
        <f>2+2/60+29.4/3600</f>
        <v>2.0415000000000001</v>
      </c>
      <c r="P795" s="8" t="s">
        <v>3831</v>
      </c>
      <c r="Q795" s="8">
        <f>+(18+22/60+22/3600)</f>
        <v>18.372777777777777</v>
      </c>
      <c r="R795" s="8">
        <v>12.7</v>
      </c>
      <c r="S795" s="8">
        <v>13.8</v>
      </c>
      <c r="T795" s="8">
        <v>1.1000000000000001</v>
      </c>
      <c r="U795" s="8">
        <v>13</v>
      </c>
      <c r="V795" s="8">
        <v>1.3</v>
      </c>
      <c r="W795" s="8">
        <v>1.1000000000000001</v>
      </c>
      <c r="X795" s="8">
        <v>45</v>
      </c>
      <c r="Y795" s="8" t="s">
        <v>3832</v>
      </c>
      <c r="Z795" s="8" t="s">
        <v>3833</v>
      </c>
    </row>
    <row r="796" spans="1:26" x14ac:dyDescent="0.2">
      <c r="A796" s="8">
        <v>795</v>
      </c>
      <c r="B796" s="8" t="s">
        <v>3834</v>
      </c>
      <c r="C796" s="8" t="s">
        <v>3834</v>
      </c>
      <c r="F796" s="47"/>
      <c r="G796" s="8">
        <v>16</v>
      </c>
      <c r="H796" s="8" t="s">
        <v>21</v>
      </c>
      <c r="I796" s="8" t="s">
        <v>22</v>
      </c>
      <c r="J796" s="8" t="s">
        <v>22</v>
      </c>
      <c r="K796" s="8" t="s">
        <v>58</v>
      </c>
      <c r="L796" s="8" t="s">
        <v>3328</v>
      </c>
      <c r="M796" s="8" t="s">
        <v>3329</v>
      </c>
      <c r="N796" s="8" t="s">
        <v>3835</v>
      </c>
      <c r="O796" s="8">
        <f>1+59/60+49.3/3600</f>
        <v>1.9970277777777778</v>
      </c>
      <c r="P796" s="8" t="s">
        <v>3836</v>
      </c>
      <c r="Q796" s="8">
        <f>-(55+49/60+28/3600)</f>
        <v>-55.824444444444445</v>
      </c>
      <c r="R796" s="8">
        <v>13.2</v>
      </c>
      <c r="S796" s="8">
        <v>14.2</v>
      </c>
      <c r="T796" s="8">
        <v>1</v>
      </c>
      <c r="U796" s="8">
        <v>13.1</v>
      </c>
      <c r="V796" s="8">
        <v>1.2</v>
      </c>
      <c r="W796" s="8">
        <v>0.7</v>
      </c>
      <c r="X796" s="8">
        <v>141</v>
      </c>
      <c r="Y796" s="8" t="s">
        <v>3837</v>
      </c>
      <c r="Z796" s="8" t="s">
        <v>3838</v>
      </c>
    </row>
    <row r="797" spans="1:26" x14ac:dyDescent="0.2">
      <c r="A797" s="8">
        <v>796</v>
      </c>
      <c r="B797" s="8" t="s">
        <v>3839</v>
      </c>
      <c r="C797" s="8" t="s">
        <v>3839</v>
      </c>
      <c r="F797" s="47"/>
      <c r="G797" s="8">
        <v>16</v>
      </c>
      <c r="H797" s="8" t="s">
        <v>21</v>
      </c>
      <c r="I797" s="8" t="s">
        <v>557</v>
      </c>
      <c r="J797" s="8" t="s">
        <v>557</v>
      </c>
      <c r="K797" s="8" t="s">
        <v>557</v>
      </c>
      <c r="L797" s="8" t="s">
        <v>2916</v>
      </c>
      <c r="M797" s="8" t="s">
        <v>2917</v>
      </c>
      <c r="N797" s="8" t="s">
        <v>3840</v>
      </c>
      <c r="O797" s="8">
        <f>1+56/60+43.8/3600</f>
        <v>1.9455</v>
      </c>
      <c r="P797" s="8" t="s">
        <v>3841</v>
      </c>
      <c r="Q797" s="8">
        <f>-(74+13/60+12/3600)</f>
        <v>-74.22</v>
      </c>
      <c r="R797" s="8">
        <v>99</v>
      </c>
      <c r="S797" s="8">
        <v>99</v>
      </c>
      <c r="T797" s="8">
        <v>99</v>
      </c>
      <c r="U797" s="8">
        <v>99</v>
      </c>
      <c r="V797" s="8">
        <v>0.8</v>
      </c>
      <c r="Y797" s="8" t="s">
        <v>3842</v>
      </c>
      <c r="Z797" s="8" t="s">
        <v>3843</v>
      </c>
    </row>
    <row r="798" spans="1:26" x14ac:dyDescent="0.2">
      <c r="A798" s="8">
        <v>797</v>
      </c>
      <c r="B798" s="8" t="s">
        <v>3844</v>
      </c>
      <c r="C798" s="8" t="s">
        <v>3844</v>
      </c>
      <c r="F798" s="47" t="s">
        <v>56169</v>
      </c>
      <c r="G798" s="8">
        <v>15</v>
      </c>
      <c r="H798" s="8" t="s">
        <v>21</v>
      </c>
      <c r="I798" s="8" t="s">
        <v>22</v>
      </c>
      <c r="J798" s="8" t="s">
        <v>22</v>
      </c>
      <c r="K798" s="8" t="s">
        <v>154</v>
      </c>
      <c r="L798" s="8" t="s">
        <v>51</v>
      </c>
      <c r="M798" s="8" t="s">
        <v>52</v>
      </c>
      <c r="N798" s="8" t="s">
        <v>3845</v>
      </c>
      <c r="O798" s="8">
        <f>2+3/60+27.9/3600</f>
        <v>2.05775</v>
      </c>
      <c r="P798" s="8" t="s">
        <v>3846</v>
      </c>
      <c r="Q798" s="8">
        <f>+(38+7/60+3/3600)</f>
        <v>38.1175</v>
      </c>
      <c r="R798" s="8">
        <v>12.7</v>
      </c>
      <c r="S798" s="8">
        <v>13.6</v>
      </c>
      <c r="T798" s="8">
        <v>0.9</v>
      </c>
      <c r="U798" s="8">
        <v>13.3</v>
      </c>
      <c r="V798" s="8">
        <v>1.6</v>
      </c>
      <c r="W798" s="8">
        <v>1.3</v>
      </c>
      <c r="X798" s="8">
        <v>65</v>
      </c>
      <c r="Y798" s="8" t="s">
        <v>3847</v>
      </c>
      <c r="Z798" s="8" t="s">
        <v>3848</v>
      </c>
    </row>
    <row r="799" spans="1:26" x14ac:dyDescent="0.2">
      <c r="A799" s="8">
        <v>798</v>
      </c>
      <c r="B799" s="8" t="s">
        <v>3849</v>
      </c>
      <c r="C799" s="8" t="s">
        <v>3849</v>
      </c>
      <c r="F799" s="47"/>
      <c r="G799" s="8">
        <v>18</v>
      </c>
      <c r="H799" s="8" t="s">
        <v>21</v>
      </c>
      <c r="I799" s="8" t="s">
        <v>22</v>
      </c>
      <c r="J799" s="8" t="s">
        <v>22</v>
      </c>
      <c r="K799" s="8" t="s">
        <v>3850</v>
      </c>
      <c r="L799" s="8" t="s">
        <v>2809</v>
      </c>
      <c r="M799" s="8" t="s">
        <v>2810</v>
      </c>
      <c r="N799" s="8" t="s">
        <v>3851</v>
      </c>
      <c r="O799" s="8">
        <f>2+3/60+19.6/3600</f>
        <v>2.0554444444444444</v>
      </c>
      <c r="P799" s="8" t="s">
        <v>3852</v>
      </c>
      <c r="Q799" s="8">
        <f>+(32+4/60+39/3600)</f>
        <v>32.077500000000001</v>
      </c>
      <c r="R799" s="8">
        <v>13.5</v>
      </c>
      <c r="S799" s="8">
        <v>14.5</v>
      </c>
      <c r="T799" s="8">
        <v>1</v>
      </c>
      <c r="U799" s="8">
        <v>12.9</v>
      </c>
      <c r="V799" s="8">
        <v>1.2</v>
      </c>
      <c r="W799" s="8">
        <v>0.5</v>
      </c>
      <c r="X799" s="8">
        <v>137</v>
      </c>
      <c r="Y799" s="8" t="s">
        <v>266</v>
      </c>
      <c r="Z799" s="8" t="s">
        <v>267</v>
      </c>
    </row>
    <row r="800" spans="1:26" x14ac:dyDescent="0.2">
      <c r="A800" s="8">
        <v>799</v>
      </c>
      <c r="B800" s="8" t="s">
        <v>3853</v>
      </c>
      <c r="C800" s="8" t="s">
        <v>3853</v>
      </c>
      <c r="F800" s="47"/>
      <c r="G800" s="8">
        <v>19</v>
      </c>
      <c r="H800" s="8" t="s">
        <v>21</v>
      </c>
      <c r="I800" s="8" t="s">
        <v>22</v>
      </c>
      <c r="J800" s="8" t="s">
        <v>22</v>
      </c>
      <c r="K800" s="8" t="s">
        <v>154</v>
      </c>
      <c r="L800" s="8" t="s">
        <v>125</v>
      </c>
      <c r="M800" s="8" t="s">
        <v>126</v>
      </c>
      <c r="N800" s="8" t="s">
        <v>3854</v>
      </c>
      <c r="O800" s="8">
        <f>2+2/60+12.2/3600</f>
        <v>2.0367222222222221</v>
      </c>
      <c r="P800" s="8" t="s">
        <v>3855</v>
      </c>
      <c r="Q800" s="8">
        <f>-(0+6/60+1/3600)</f>
        <v>-0.10027777777777779</v>
      </c>
      <c r="R800" s="8">
        <v>13.4</v>
      </c>
      <c r="S800" s="8">
        <v>14.3</v>
      </c>
      <c r="T800" s="8">
        <v>0.9</v>
      </c>
      <c r="U800" s="8">
        <v>14.6</v>
      </c>
      <c r="V800" s="8">
        <v>2</v>
      </c>
      <c r="W800" s="8">
        <v>1.7</v>
      </c>
      <c r="X800" s="8">
        <v>100</v>
      </c>
      <c r="Y800" s="8" t="s">
        <v>3856</v>
      </c>
      <c r="Z800" s="8" t="s">
        <v>3857</v>
      </c>
    </row>
    <row r="801" spans="1:26" x14ac:dyDescent="0.2">
      <c r="A801" s="8">
        <v>800</v>
      </c>
      <c r="B801" s="8" t="s">
        <v>3858</v>
      </c>
      <c r="C801" s="8" t="s">
        <v>3858</v>
      </c>
      <c r="F801" s="47"/>
      <c r="G801" s="8">
        <v>19</v>
      </c>
      <c r="H801" s="8" t="s">
        <v>21</v>
      </c>
      <c r="I801" s="8" t="s">
        <v>22</v>
      </c>
      <c r="J801" s="8" t="s">
        <v>22</v>
      </c>
      <c r="K801" s="8" t="s">
        <v>160</v>
      </c>
      <c r="L801" s="8" t="s">
        <v>125</v>
      </c>
      <c r="M801" s="8" t="s">
        <v>126</v>
      </c>
      <c r="N801" s="8" t="s">
        <v>3859</v>
      </c>
      <c r="O801" s="8">
        <f>2+2/60+11.8/3600</f>
        <v>2.0366111111111111</v>
      </c>
      <c r="P801" s="8" t="s">
        <v>3860</v>
      </c>
      <c r="Q801" s="8">
        <f>-(0+7/60+51/3600)</f>
        <v>-0.13083333333333333</v>
      </c>
      <c r="R801" s="8">
        <v>13.1</v>
      </c>
      <c r="S801" s="8">
        <v>13.8</v>
      </c>
      <c r="T801" s="8">
        <v>0.7</v>
      </c>
      <c r="U801" s="8">
        <v>12.8</v>
      </c>
      <c r="V801" s="8">
        <v>1</v>
      </c>
      <c r="W801" s="8">
        <v>0.9</v>
      </c>
      <c r="X801" s="8">
        <v>10</v>
      </c>
      <c r="Y801" s="8" t="s">
        <v>3861</v>
      </c>
      <c r="Z801" s="8" t="s">
        <v>3862</v>
      </c>
    </row>
    <row r="802" spans="1:26" x14ac:dyDescent="0.2">
      <c r="A802" s="8">
        <v>801</v>
      </c>
      <c r="B802" s="8" t="s">
        <v>3863</v>
      </c>
      <c r="C802" s="8" t="s">
        <v>3863</v>
      </c>
      <c r="F802" s="47"/>
      <c r="G802" s="8">
        <v>19</v>
      </c>
      <c r="H802" s="8" t="s">
        <v>21</v>
      </c>
      <c r="I802" s="8" t="s">
        <v>22</v>
      </c>
      <c r="J802" s="8" t="s">
        <v>22</v>
      </c>
      <c r="K802" s="8" t="s">
        <v>160</v>
      </c>
      <c r="L802" s="8" t="s">
        <v>51</v>
      </c>
      <c r="M802" s="8" t="s">
        <v>52</v>
      </c>
      <c r="N802" s="8" t="s">
        <v>3864</v>
      </c>
      <c r="O802" s="8">
        <f>2+3/60+44.9/3600</f>
        <v>2.062472222222222</v>
      </c>
      <c r="P802" s="8" t="s">
        <v>3865</v>
      </c>
      <c r="Q802" s="8">
        <f>+(38+15/60+34/3600)</f>
        <v>38.259444444444448</v>
      </c>
      <c r="R802" s="8">
        <v>13.1</v>
      </c>
      <c r="S802" s="8">
        <v>14</v>
      </c>
      <c r="T802" s="8">
        <v>0.9</v>
      </c>
      <c r="U802" s="8">
        <v>13.8</v>
      </c>
      <c r="V802" s="8">
        <v>3.1</v>
      </c>
      <c r="W802" s="8">
        <v>0.7</v>
      </c>
      <c r="X802" s="8">
        <v>150</v>
      </c>
      <c r="Y802" s="8" t="s">
        <v>3866</v>
      </c>
      <c r="Z802" s="8" t="s">
        <v>3867</v>
      </c>
    </row>
    <row r="803" spans="1:26" x14ac:dyDescent="0.2">
      <c r="A803" s="8">
        <v>802</v>
      </c>
      <c r="B803" s="8" t="s">
        <v>3868</v>
      </c>
      <c r="C803" s="8" t="s">
        <v>3868</v>
      </c>
      <c r="F803" s="47"/>
      <c r="G803" s="8">
        <v>16</v>
      </c>
      <c r="H803" s="8" t="s">
        <v>21</v>
      </c>
      <c r="I803" s="8" t="s">
        <v>22</v>
      </c>
      <c r="J803" s="8" t="s">
        <v>22</v>
      </c>
      <c r="K803" s="8" t="s">
        <v>435</v>
      </c>
      <c r="L803" s="8" t="s">
        <v>2916</v>
      </c>
      <c r="M803" s="8" t="s">
        <v>2917</v>
      </c>
      <c r="N803" s="8" t="s">
        <v>3869</v>
      </c>
      <c r="O803" s="8">
        <f>1+59/60+6.1/3600</f>
        <v>1.9850277777777778</v>
      </c>
      <c r="P803" s="8" t="s">
        <v>3870</v>
      </c>
      <c r="Q803" s="8">
        <f>-(67+52/60+13/3600)</f>
        <v>-67.870277777777773</v>
      </c>
      <c r="R803" s="8">
        <v>13.2</v>
      </c>
      <c r="S803" s="8">
        <v>13.7</v>
      </c>
      <c r="T803" s="8">
        <v>0.5</v>
      </c>
      <c r="U803" s="8">
        <v>12.7</v>
      </c>
      <c r="V803" s="8">
        <v>0.9</v>
      </c>
      <c r="W803" s="8">
        <v>0.6</v>
      </c>
      <c r="X803" s="8">
        <v>152</v>
      </c>
      <c r="Y803" s="8" t="s">
        <v>3871</v>
      </c>
      <c r="Z803" s="8" t="s">
        <v>3872</v>
      </c>
    </row>
    <row r="804" spans="1:26" x14ac:dyDescent="0.2">
      <c r="A804" s="8">
        <v>803</v>
      </c>
      <c r="B804" s="8" t="s">
        <v>3873</v>
      </c>
      <c r="C804" s="8" t="s">
        <v>3873</v>
      </c>
      <c r="F804" s="47" t="s">
        <v>56170</v>
      </c>
      <c r="G804" s="8">
        <v>15</v>
      </c>
      <c r="H804" s="8" t="s">
        <v>21</v>
      </c>
      <c r="I804" s="8" t="s">
        <v>22</v>
      </c>
      <c r="J804" s="8" t="s">
        <v>22</v>
      </c>
      <c r="K804" s="8" t="s">
        <v>160</v>
      </c>
      <c r="L804" s="8" t="s">
        <v>3256</v>
      </c>
      <c r="M804" s="8" t="s">
        <v>3257</v>
      </c>
      <c r="N804" s="8" t="s">
        <v>3874</v>
      </c>
      <c r="O804" s="8">
        <f>2+3/60+44.8/3600</f>
        <v>2.0624444444444441</v>
      </c>
      <c r="P804" s="8" t="s">
        <v>3875</v>
      </c>
      <c r="Q804" s="8">
        <f>+(16+1/60+52/3600)</f>
        <v>16.031111111111109</v>
      </c>
      <c r="R804" s="8">
        <v>12.6</v>
      </c>
      <c r="S804" s="8">
        <v>13.2</v>
      </c>
      <c r="T804" s="8">
        <v>0.6</v>
      </c>
      <c r="U804" s="8">
        <v>13.8</v>
      </c>
      <c r="V804" s="8">
        <v>3</v>
      </c>
      <c r="W804" s="8">
        <v>1.3</v>
      </c>
      <c r="X804" s="8">
        <v>8</v>
      </c>
      <c r="Y804" s="8" t="s">
        <v>3876</v>
      </c>
      <c r="Z804" s="8" t="s">
        <v>3877</v>
      </c>
    </row>
    <row r="805" spans="1:26" x14ac:dyDescent="0.2">
      <c r="A805" s="8">
        <v>804</v>
      </c>
      <c r="B805" s="8" t="s">
        <v>3878</v>
      </c>
      <c r="C805" s="8" t="s">
        <v>3878</v>
      </c>
      <c r="F805" s="47"/>
      <c r="G805" s="8">
        <v>19</v>
      </c>
      <c r="H805" s="8" t="s">
        <v>21</v>
      </c>
      <c r="I805" s="8" t="s">
        <v>22</v>
      </c>
      <c r="J805" s="8" t="s">
        <v>22</v>
      </c>
      <c r="K805" s="8" t="s">
        <v>37</v>
      </c>
      <c r="L805" s="8" t="s">
        <v>2809</v>
      </c>
      <c r="M805" s="8" t="s">
        <v>2810</v>
      </c>
      <c r="N805" s="8" t="s">
        <v>3879</v>
      </c>
      <c r="O805" s="8">
        <f>2+4/60+2.2/3600</f>
        <v>2.067277777777778</v>
      </c>
      <c r="P805" s="8" t="s">
        <v>3880</v>
      </c>
      <c r="Q805" s="8">
        <f>+(30+49/60+57/3600)</f>
        <v>30.8325</v>
      </c>
      <c r="R805" s="8">
        <v>13.7</v>
      </c>
      <c r="S805" s="8">
        <v>14.7</v>
      </c>
      <c r="T805" s="8">
        <v>1</v>
      </c>
      <c r="U805" s="8">
        <v>12.6</v>
      </c>
      <c r="V805" s="8">
        <v>1.4</v>
      </c>
      <c r="W805" s="8">
        <v>0.3</v>
      </c>
      <c r="X805" s="8">
        <v>7</v>
      </c>
      <c r="Y805" s="8" t="s">
        <v>3881</v>
      </c>
      <c r="Z805" s="8" t="s">
        <v>3882</v>
      </c>
    </row>
    <row r="806" spans="1:26" x14ac:dyDescent="0.2">
      <c r="A806" s="8">
        <v>805</v>
      </c>
      <c r="B806" s="8" t="s">
        <v>3883</v>
      </c>
      <c r="C806" s="8" t="s">
        <v>3883</v>
      </c>
      <c r="F806" s="47"/>
      <c r="G806" s="8">
        <v>18</v>
      </c>
      <c r="H806" s="8" t="s">
        <v>21</v>
      </c>
      <c r="I806" s="8" t="s">
        <v>22</v>
      </c>
      <c r="J806" s="8" t="s">
        <v>22</v>
      </c>
      <c r="K806" s="8" t="s">
        <v>224</v>
      </c>
      <c r="L806" s="8" t="s">
        <v>2809</v>
      </c>
      <c r="M806" s="8" t="s">
        <v>2810</v>
      </c>
      <c r="N806" s="8" t="s">
        <v>3884</v>
      </c>
      <c r="O806" s="8">
        <f>2+4/60+29.5/3600</f>
        <v>2.0748611111111113</v>
      </c>
      <c r="P806" s="8" t="s">
        <v>3885</v>
      </c>
      <c r="Q806" s="8">
        <f>+(28+48/60+46/3600)</f>
        <v>28.812777777777779</v>
      </c>
      <c r="R806" s="8">
        <v>13.5</v>
      </c>
      <c r="S806" s="8">
        <v>14.5</v>
      </c>
      <c r="T806" s="8">
        <v>1</v>
      </c>
      <c r="U806" s="8">
        <v>13.1</v>
      </c>
      <c r="V806" s="8">
        <v>1.1000000000000001</v>
      </c>
      <c r="W806" s="8">
        <v>0.7</v>
      </c>
      <c r="X806" s="8">
        <v>115</v>
      </c>
      <c r="Y806" s="8" t="s">
        <v>3886</v>
      </c>
      <c r="Z806" s="8" t="s">
        <v>3887</v>
      </c>
    </row>
    <row r="807" spans="1:26" x14ac:dyDescent="0.2">
      <c r="A807" s="8">
        <v>806</v>
      </c>
      <c r="B807" s="8" t="s">
        <v>3888</v>
      </c>
      <c r="C807" s="8" t="s">
        <v>3888</v>
      </c>
      <c r="E807" s="8">
        <v>1</v>
      </c>
      <c r="F807" s="47"/>
      <c r="G807" s="8">
        <v>19</v>
      </c>
      <c r="H807" s="8" t="s">
        <v>21</v>
      </c>
      <c r="I807" s="8" t="s">
        <v>22</v>
      </c>
      <c r="J807" s="8" t="s">
        <v>22</v>
      </c>
      <c r="K807" s="8" t="s">
        <v>160</v>
      </c>
      <c r="L807" s="8" t="s">
        <v>125</v>
      </c>
      <c r="M807" s="8" t="s">
        <v>126</v>
      </c>
      <c r="N807" s="8" t="s">
        <v>3889</v>
      </c>
      <c r="O807" s="8">
        <f>2+3/60+31.2/3600</f>
        <v>2.0586666666666664</v>
      </c>
      <c r="P807" s="8" t="s">
        <v>3890</v>
      </c>
      <c r="Q807" s="8">
        <f>-(9+55/60+58/3600)</f>
        <v>-9.9327777777777779</v>
      </c>
      <c r="R807" s="8">
        <v>13.9</v>
      </c>
      <c r="S807" s="8">
        <v>14.6</v>
      </c>
      <c r="T807" s="8">
        <v>0.7</v>
      </c>
      <c r="U807" s="8">
        <v>13</v>
      </c>
      <c r="V807" s="8">
        <v>1.2</v>
      </c>
      <c r="W807" s="8">
        <v>0.4</v>
      </c>
      <c r="X807" s="8">
        <v>60</v>
      </c>
      <c r="Y807" s="8" t="s">
        <v>3891</v>
      </c>
      <c r="Z807" s="8" t="s">
        <v>3892</v>
      </c>
    </row>
    <row r="808" spans="1:26" x14ac:dyDescent="0.2">
      <c r="A808" s="8">
        <v>807</v>
      </c>
      <c r="B808" s="8" t="s">
        <v>3893</v>
      </c>
      <c r="C808" s="8" t="s">
        <v>3893</v>
      </c>
      <c r="F808" s="47" t="s">
        <v>56171</v>
      </c>
      <c r="G808" s="8">
        <v>15</v>
      </c>
      <c r="H808" s="8" t="s">
        <v>21</v>
      </c>
      <c r="I808" s="8" t="s">
        <v>22</v>
      </c>
      <c r="J808" s="8" t="s">
        <v>22</v>
      </c>
      <c r="K808" s="8" t="s">
        <v>382</v>
      </c>
      <c r="L808" s="8" t="s">
        <v>2809</v>
      </c>
      <c r="M808" s="8" t="s">
        <v>2810</v>
      </c>
      <c r="N808" s="8" t="s">
        <v>3894</v>
      </c>
      <c r="O808" s="8">
        <f>2+4/60+55.5/3600</f>
        <v>2.0820833333333337</v>
      </c>
      <c r="P808" s="8" t="s">
        <v>3895</v>
      </c>
      <c r="Q808" s="8">
        <f>+(28+59/60+16/3600)</f>
        <v>28.987777777777779</v>
      </c>
      <c r="R808" s="8">
        <v>12.5</v>
      </c>
      <c r="S808" s="8">
        <v>13.5</v>
      </c>
      <c r="T808" s="8">
        <v>1</v>
      </c>
      <c r="U808" s="8">
        <v>13.5</v>
      </c>
      <c r="V808" s="8">
        <v>1.8</v>
      </c>
      <c r="W808" s="8">
        <v>1.3</v>
      </c>
      <c r="X808" s="8">
        <v>145</v>
      </c>
      <c r="Y808" s="8" t="s">
        <v>3896</v>
      </c>
      <c r="Z808" s="8" t="s">
        <v>3897</v>
      </c>
    </row>
    <row r="809" spans="1:26" x14ac:dyDescent="0.2">
      <c r="A809" s="8">
        <v>808</v>
      </c>
      <c r="B809" s="8" t="s">
        <v>3898</v>
      </c>
      <c r="C809" s="8" t="s">
        <v>3898</v>
      </c>
      <c r="F809" s="47"/>
      <c r="G809" s="8">
        <v>16</v>
      </c>
      <c r="H809" s="8" t="s">
        <v>21</v>
      </c>
      <c r="I809" s="8" t="s">
        <v>22</v>
      </c>
      <c r="J809" s="8" t="s">
        <v>22</v>
      </c>
      <c r="K809" s="8" t="s">
        <v>85</v>
      </c>
      <c r="L809" s="8" t="s">
        <v>125</v>
      </c>
      <c r="M809" s="8" t="s">
        <v>126</v>
      </c>
      <c r="N809" s="8" t="s">
        <v>3899</v>
      </c>
      <c r="O809" s="8">
        <f>2+3/60+56.5/3600</f>
        <v>2.0656944444444441</v>
      </c>
      <c r="P809" s="8" t="s">
        <v>3900</v>
      </c>
      <c r="Q809" s="8">
        <f>-(23+18/60+44/3600)</f>
        <v>-23.312222222222221</v>
      </c>
      <c r="R809" s="8">
        <v>13.5</v>
      </c>
      <c r="S809" s="8">
        <v>14.1</v>
      </c>
      <c r="T809" s="8">
        <v>0.6</v>
      </c>
      <c r="U809" s="8">
        <v>13</v>
      </c>
      <c r="V809" s="8">
        <v>1.2</v>
      </c>
      <c r="W809" s="8">
        <v>0.6</v>
      </c>
      <c r="X809" s="8">
        <v>7</v>
      </c>
      <c r="Y809" s="8" t="s">
        <v>3663</v>
      </c>
      <c r="Z809" s="8" t="s">
        <v>3664</v>
      </c>
    </row>
    <row r="810" spans="1:26" x14ac:dyDescent="0.2">
      <c r="A810" s="8">
        <v>809</v>
      </c>
      <c r="B810" s="8" t="s">
        <v>3901</v>
      </c>
      <c r="C810" s="8" t="s">
        <v>3901</v>
      </c>
      <c r="F810" s="47"/>
      <c r="G810" s="8">
        <v>19</v>
      </c>
      <c r="H810" s="8" t="s">
        <v>21</v>
      </c>
      <c r="I810" s="8" t="s">
        <v>22</v>
      </c>
      <c r="J810" s="8" t="s">
        <v>22</v>
      </c>
      <c r="K810" s="8" t="s">
        <v>37</v>
      </c>
      <c r="L810" s="8" t="s">
        <v>125</v>
      </c>
      <c r="M810" s="8" t="s">
        <v>126</v>
      </c>
      <c r="N810" s="8" t="s">
        <v>3902</v>
      </c>
      <c r="O810" s="8">
        <f>2+4/60+18.9/3600</f>
        <v>2.0719166666666671</v>
      </c>
      <c r="P810" s="8" t="s">
        <v>3903</v>
      </c>
      <c r="Q810" s="8">
        <f>-(8+44/60+6/3600)</f>
        <v>-8.7349999999999994</v>
      </c>
      <c r="R810" s="8">
        <v>13.8</v>
      </c>
      <c r="S810" s="8">
        <v>14.8</v>
      </c>
      <c r="T810" s="8">
        <v>1</v>
      </c>
      <c r="U810" s="8">
        <v>13.8</v>
      </c>
      <c r="V810" s="8">
        <v>1.2</v>
      </c>
      <c r="W810" s="8">
        <v>0.9</v>
      </c>
      <c r="X810" s="8">
        <v>179</v>
      </c>
      <c r="Y810" s="8" t="s">
        <v>170</v>
      </c>
      <c r="Z810" s="8" t="s">
        <v>171</v>
      </c>
    </row>
    <row r="811" spans="1:26" x14ac:dyDescent="0.2">
      <c r="A811" s="8">
        <v>810</v>
      </c>
      <c r="B811" s="8" t="s">
        <v>3904</v>
      </c>
      <c r="C811" s="8" t="s">
        <v>3904</v>
      </c>
      <c r="E811" s="8">
        <v>1</v>
      </c>
      <c r="F811" s="47"/>
      <c r="G811" s="8">
        <v>18</v>
      </c>
      <c r="H811" s="8" t="s">
        <v>21</v>
      </c>
      <c r="I811" s="8" t="s">
        <v>22</v>
      </c>
      <c r="J811" s="8" t="s">
        <v>22</v>
      </c>
      <c r="K811" s="8" t="s">
        <v>1136</v>
      </c>
      <c r="L811" s="8" t="s">
        <v>3256</v>
      </c>
      <c r="M811" s="8" t="s">
        <v>3257</v>
      </c>
      <c r="N811" s="8" t="s">
        <v>3905</v>
      </c>
      <c r="O811" s="8">
        <f>2+5/60+28.6/3600</f>
        <v>2.091277777777778</v>
      </c>
      <c r="P811" s="8" t="s">
        <v>3906</v>
      </c>
      <c r="Q811" s="8">
        <f>+(13+15/60+4/3600)</f>
        <v>13.251111111111111</v>
      </c>
      <c r="R811" s="8">
        <v>13.9</v>
      </c>
      <c r="S811" s="8">
        <v>14.9</v>
      </c>
      <c r="T811" s="8">
        <v>1</v>
      </c>
      <c r="U811" s="8">
        <v>14.8</v>
      </c>
      <c r="V811" s="8">
        <v>1.7</v>
      </c>
      <c r="W811" s="8">
        <v>1.3</v>
      </c>
      <c r="X811" s="8">
        <v>25</v>
      </c>
      <c r="Y811" s="8" t="s">
        <v>115</v>
      </c>
      <c r="Z811" s="8" t="s">
        <v>116</v>
      </c>
    </row>
    <row r="812" spans="1:26" x14ac:dyDescent="0.2">
      <c r="A812" s="8">
        <v>811</v>
      </c>
      <c r="B812" s="8" t="s">
        <v>3907</v>
      </c>
      <c r="C812" s="8" t="s">
        <v>3907</v>
      </c>
      <c r="F812" s="47"/>
      <c r="G812" s="8">
        <v>19</v>
      </c>
      <c r="H812" s="8" t="s">
        <v>21</v>
      </c>
      <c r="I812" s="8" t="s">
        <v>22</v>
      </c>
      <c r="J812" s="8" t="s">
        <v>22</v>
      </c>
      <c r="K812" s="8" t="s">
        <v>449</v>
      </c>
      <c r="L812" s="8" t="s">
        <v>125</v>
      </c>
      <c r="M812" s="8" t="s">
        <v>126</v>
      </c>
      <c r="N812" s="8" t="s">
        <v>3908</v>
      </c>
      <c r="O812" s="8">
        <f>2+4/60+30/3600</f>
        <v>2.0750000000000002</v>
      </c>
      <c r="P812" s="8" t="s">
        <v>3909</v>
      </c>
      <c r="Q812" s="8">
        <f>-(9+6/60+21/3600)</f>
        <v>-9.105833333333333</v>
      </c>
      <c r="R812" s="8">
        <v>14.3</v>
      </c>
      <c r="S812" s="8">
        <v>15.3</v>
      </c>
      <c r="T812" s="8">
        <v>1</v>
      </c>
      <c r="U812" s="8">
        <v>13</v>
      </c>
      <c r="V812" s="8">
        <v>0.6</v>
      </c>
      <c r="W812" s="8">
        <v>0.5</v>
      </c>
      <c r="X812" s="8">
        <v>42</v>
      </c>
      <c r="Y812" s="8" t="s">
        <v>3910</v>
      </c>
      <c r="Z812" s="8" t="s">
        <v>3911</v>
      </c>
    </row>
    <row r="813" spans="1:26" x14ac:dyDescent="0.2">
      <c r="A813" s="8">
        <v>812</v>
      </c>
      <c r="B813" s="8" t="s">
        <v>3912</v>
      </c>
      <c r="C813" s="8" t="s">
        <v>3912</v>
      </c>
      <c r="F813" s="47"/>
      <c r="G813" s="8">
        <v>18</v>
      </c>
      <c r="H813" s="8" t="s">
        <v>21</v>
      </c>
      <c r="I813" s="8" t="s">
        <v>22</v>
      </c>
      <c r="J813" s="8" t="s">
        <v>22</v>
      </c>
      <c r="K813" s="8" t="s">
        <v>396</v>
      </c>
      <c r="L813" s="8" t="s">
        <v>51</v>
      </c>
      <c r="M813" s="8" t="s">
        <v>52</v>
      </c>
      <c r="N813" s="8" t="s">
        <v>3913</v>
      </c>
      <c r="O813" s="8">
        <f>2+6/60+51.7/3600</f>
        <v>2.1143611111111111</v>
      </c>
      <c r="P813" s="8" t="s">
        <v>3914</v>
      </c>
      <c r="Q813" s="8">
        <f>+(44+34/60+21/3600)</f>
        <v>44.572500000000005</v>
      </c>
      <c r="R813" s="8">
        <v>11.3</v>
      </c>
      <c r="S813" s="8">
        <v>12.1</v>
      </c>
      <c r="T813" s="8">
        <v>0.8</v>
      </c>
      <c r="U813" s="8">
        <v>11.8</v>
      </c>
      <c r="V813" s="8">
        <v>2.2000000000000002</v>
      </c>
      <c r="W813" s="8">
        <v>0.8</v>
      </c>
      <c r="X813" s="8">
        <v>160</v>
      </c>
      <c r="Y813" s="8" t="s">
        <v>3915</v>
      </c>
      <c r="Z813" s="8" t="s">
        <v>3916</v>
      </c>
    </row>
    <row r="814" spans="1:26" x14ac:dyDescent="0.2">
      <c r="A814" s="8">
        <v>813</v>
      </c>
      <c r="B814" s="8" t="s">
        <v>3917</v>
      </c>
      <c r="C814" s="8" t="s">
        <v>3917</v>
      </c>
      <c r="F814" s="47"/>
      <c r="G814" s="8">
        <v>16</v>
      </c>
      <c r="H814" s="8" t="s">
        <v>21</v>
      </c>
      <c r="I814" s="8" t="s">
        <v>22</v>
      </c>
      <c r="J814" s="8" t="s">
        <v>22</v>
      </c>
      <c r="K814" s="8" t="s">
        <v>435</v>
      </c>
      <c r="L814" s="8" t="s">
        <v>2916</v>
      </c>
      <c r="M814" s="8" t="s">
        <v>2917</v>
      </c>
      <c r="N814" s="8" t="s">
        <v>3918</v>
      </c>
      <c r="O814" s="8">
        <f>2+1/60+36.1/3600</f>
        <v>2.0266944444444444</v>
      </c>
      <c r="P814" s="8" t="s">
        <v>3919</v>
      </c>
      <c r="Q814" s="8">
        <f>-(68+26/60+21/3600)</f>
        <v>-68.439166666666665</v>
      </c>
      <c r="R814" s="8">
        <v>12.8</v>
      </c>
      <c r="S814" s="8">
        <v>13.7</v>
      </c>
      <c r="T814" s="8">
        <v>0.9</v>
      </c>
      <c r="U814" s="8">
        <v>12.9</v>
      </c>
      <c r="V814" s="8">
        <v>1.3</v>
      </c>
      <c r="W814" s="8">
        <v>0.9</v>
      </c>
      <c r="X814" s="8">
        <v>99</v>
      </c>
      <c r="Y814" s="8" t="s">
        <v>2186</v>
      </c>
      <c r="Z814" s="8" t="s">
        <v>2187</v>
      </c>
    </row>
    <row r="815" spans="1:26" x14ac:dyDescent="0.2">
      <c r="A815" s="8">
        <v>814</v>
      </c>
      <c r="B815" s="8" t="s">
        <v>3920</v>
      </c>
      <c r="C815" s="8" t="s">
        <v>3920</v>
      </c>
      <c r="F815" s="47"/>
      <c r="G815" s="8">
        <v>19</v>
      </c>
      <c r="H815" s="8" t="s">
        <v>21</v>
      </c>
      <c r="I815" s="8" t="s">
        <v>22</v>
      </c>
      <c r="J815" s="8" t="s">
        <v>22</v>
      </c>
      <c r="K815" s="8" t="s">
        <v>224</v>
      </c>
      <c r="L815" s="8" t="s">
        <v>125</v>
      </c>
      <c r="M815" s="8" t="s">
        <v>126</v>
      </c>
      <c r="N815" s="8" t="s">
        <v>3921</v>
      </c>
      <c r="O815" s="8">
        <f>2+10/60+37.6/3600</f>
        <v>2.177111111111111</v>
      </c>
      <c r="P815" s="8" t="s">
        <v>3922</v>
      </c>
      <c r="Q815" s="8">
        <f>-(15+46/60+24/3600)</f>
        <v>-15.773333333333333</v>
      </c>
      <c r="R815" s="8">
        <v>13.8</v>
      </c>
      <c r="S815" s="8">
        <v>14.8</v>
      </c>
      <c r="T815" s="8">
        <v>1</v>
      </c>
      <c r="U815" s="8">
        <v>13.5</v>
      </c>
      <c r="V815" s="8">
        <v>1.4</v>
      </c>
      <c r="W815" s="8">
        <v>0.6</v>
      </c>
      <c r="X815" s="8">
        <v>4</v>
      </c>
      <c r="Y815" s="8" t="s">
        <v>3923</v>
      </c>
      <c r="Z815" s="8" t="s">
        <v>3924</v>
      </c>
    </row>
    <row r="816" spans="1:26" x14ac:dyDescent="0.2">
      <c r="A816" s="8">
        <v>815</v>
      </c>
      <c r="B816" s="8" t="s">
        <v>3925</v>
      </c>
      <c r="C816" s="8" t="s">
        <v>3925</v>
      </c>
      <c r="F816" s="47"/>
      <c r="G816" s="8">
        <v>19</v>
      </c>
      <c r="H816" s="8" t="s">
        <v>21</v>
      </c>
      <c r="I816" s="8" t="s">
        <v>22</v>
      </c>
      <c r="J816" s="8" t="s">
        <v>22</v>
      </c>
      <c r="K816" s="8" t="s">
        <v>3926</v>
      </c>
      <c r="L816" s="8" t="s">
        <v>125</v>
      </c>
      <c r="M816" s="8" t="s">
        <v>126</v>
      </c>
      <c r="N816" s="8" t="s">
        <v>3927</v>
      </c>
      <c r="O816" s="8">
        <f>2+10/60+39.4/3600</f>
        <v>2.1776111111111112</v>
      </c>
      <c r="P816" s="8" t="s">
        <v>3928</v>
      </c>
      <c r="Q816" s="8">
        <f>-(15+48/60+46/3600)</f>
        <v>-15.812777777777779</v>
      </c>
      <c r="R816" s="8">
        <v>15.5</v>
      </c>
      <c r="S816" s="8">
        <v>16.5</v>
      </c>
      <c r="T816" s="8">
        <v>1</v>
      </c>
      <c r="U816" s="8">
        <v>12.6</v>
      </c>
      <c r="V816" s="8">
        <v>0.4</v>
      </c>
      <c r="W816" s="8">
        <v>0.2</v>
      </c>
      <c r="X816" s="8">
        <v>135</v>
      </c>
      <c r="Y816" s="8" t="s">
        <v>1133</v>
      </c>
      <c r="Z816" s="8" t="s">
        <v>1134</v>
      </c>
    </row>
    <row r="817" spans="1:26" x14ac:dyDescent="0.2">
      <c r="A817" s="8">
        <v>816</v>
      </c>
      <c r="B817" s="8" t="s">
        <v>3929</v>
      </c>
      <c r="C817" s="8" t="s">
        <v>3929</v>
      </c>
      <c r="F817" s="47"/>
      <c r="G817" s="8">
        <v>18</v>
      </c>
      <c r="H817" s="8" t="s">
        <v>21</v>
      </c>
      <c r="I817" s="8" t="s">
        <v>22</v>
      </c>
      <c r="J817" s="8" t="s">
        <v>22</v>
      </c>
      <c r="K817" s="8" t="s">
        <v>424</v>
      </c>
      <c r="L817" s="8" t="s">
        <v>2809</v>
      </c>
      <c r="M817" s="8" t="s">
        <v>2810</v>
      </c>
      <c r="N817" s="8" t="s">
        <v>3930</v>
      </c>
      <c r="O817" s="8">
        <f>2+8/60+8.8/3600</f>
        <v>2.1357777777777778</v>
      </c>
      <c r="P817" s="8" t="s">
        <v>3931</v>
      </c>
      <c r="Q817" s="8">
        <f>+(29+15/60+23/3600)</f>
        <v>29.256388888888889</v>
      </c>
      <c r="R817" s="8">
        <v>14.3</v>
      </c>
      <c r="S817" s="8">
        <v>15.3</v>
      </c>
      <c r="T817" s="8">
        <v>1</v>
      </c>
      <c r="U817" s="8">
        <v>12.2</v>
      </c>
      <c r="V817" s="8">
        <v>0.4</v>
      </c>
      <c r="W817" s="8">
        <v>0.4</v>
      </c>
      <c r="Y817" s="8" t="s">
        <v>3932</v>
      </c>
      <c r="Z817" s="8" t="s">
        <v>3933</v>
      </c>
    </row>
    <row r="818" spans="1:26" x14ac:dyDescent="0.2">
      <c r="A818" s="8">
        <v>817</v>
      </c>
      <c r="B818" s="8" t="s">
        <v>3934</v>
      </c>
      <c r="C818" s="8" t="s">
        <v>3934</v>
      </c>
      <c r="F818" s="47"/>
      <c r="G818" s="8">
        <v>19</v>
      </c>
      <c r="H818" s="8" t="s">
        <v>21</v>
      </c>
      <c r="I818" s="8" t="s">
        <v>22</v>
      </c>
      <c r="J818" s="8" t="s">
        <v>22</v>
      </c>
      <c r="K818" s="8" t="s">
        <v>476</v>
      </c>
      <c r="L818" s="8" t="s">
        <v>3256</v>
      </c>
      <c r="M818" s="8" t="s">
        <v>3257</v>
      </c>
      <c r="N818" s="8" t="s">
        <v>3935</v>
      </c>
      <c r="O818" s="8">
        <f>2+7/60+33.6/3600</f>
        <v>2.1259999999999999</v>
      </c>
      <c r="P818" s="8" t="s">
        <v>3936</v>
      </c>
      <c r="Q818" s="8">
        <f>+(17+12/60+7/3600)</f>
        <v>17.201944444444443</v>
      </c>
      <c r="R818" s="8">
        <v>13.3</v>
      </c>
      <c r="S818" s="8">
        <v>14.2</v>
      </c>
      <c r="T818" s="8">
        <v>0.9</v>
      </c>
      <c r="U818" s="8">
        <v>11.5</v>
      </c>
      <c r="V818" s="8">
        <v>0.7</v>
      </c>
      <c r="W818" s="8">
        <v>0.3</v>
      </c>
      <c r="X818" s="8">
        <v>27</v>
      </c>
      <c r="Y818" s="8" t="s">
        <v>3937</v>
      </c>
      <c r="Z818" s="8" t="s">
        <v>3938</v>
      </c>
    </row>
    <row r="819" spans="1:26" x14ac:dyDescent="0.2">
      <c r="A819" s="8">
        <v>818</v>
      </c>
      <c r="B819" s="8" t="s">
        <v>3939</v>
      </c>
      <c r="C819" s="8" t="s">
        <v>3939</v>
      </c>
      <c r="F819" s="47" t="s">
        <v>56172</v>
      </c>
      <c r="G819" s="8">
        <v>15</v>
      </c>
      <c r="H819" s="8" t="s">
        <v>21</v>
      </c>
      <c r="I819" s="8" t="s">
        <v>22</v>
      </c>
      <c r="J819" s="8" t="s">
        <v>22</v>
      </c>
      <c r="K819" s="8" t="s">
        <v>85</v>
      </c>
      <c r="L819" s="8" t="s">
        <v>51</v>
      </c>
      <c r="M819" s="8" t="s">
        <v>52</v>
      </c>
      <c r="N819" s="8" t="s">
        <v>3940</v>
      </c>
      <c r="O819" s="8">
        <f>2+8/60+44.4/3600</f>
        <v>2.1456666666666666</v>
      </c>
      <c r="P819" s="8" t="s">
        <v>3941</v>
      </c>
      <c r="Q819" s="8">
        <f>+(38+46/60+38/3600)</f>
        <v>38.777222222222221</v>
      </c>
      <c r="R819" s="8">
        <v>12.5</v>
      </c>
      <c r="S819" s="8">
        <v>13.2</v>
      </c>
      <c r="T819" s="8">
        <v>0.7</v>
      </c>
      <c r="U819" s="8">
        <v>13.8</v>
      </c>
      <c r="V819" s="8">
        <v>2.9</v>
      </c>
      <c r="W819" s="8">
        <v>1.2</v>
      </c>
      <c r="X819" s="8">
        <v>113</v>
      </c>
      <c r="Y819" s="8" t="s">
        <v>3942</v>
      </c>
      <c r="Z819" s="8" t="s">
        <v>3943</v>
      </c>
    </row>
    <row r="820" spans="1:26" x14ac:dyDescent="0.2">
      <c r="A820" s="8">
        <v>819</v>
      </c>
      <c r="B820" s="8" t="s">
        <v>3944</v>
      </c>
      <c r="C820" s="8" t="s">
        <v>3944</v>
      </c>
      <c r="F820" s="47"/>
      <c r="G820" s="8">
        <v>18</v>
      </c>
      <c r="H820" s="8" t="s">
        <v>21</v>
      </c>
      <c r="I820" s="8" t="s">
        <v>22</v>
      </c>
      <c r="J820" s="8" t="s">
        <v>22</v>
      </c>
      <c r="K820" s="8" t="s">
        <v>476</v>
      </c>
      <c r="L820" s="8" t="s">
        <v>2809</v>
      </c>
      <c r="M820" s="8" t="s">
        <v>2810</v>
      </c>
      <c r="N820" s="8" t="s">
        <v>3945</v>
      </c>
      <c r="O820" s="8">
        <f>2+8/60+34.5/3600</f>
        <v>2.1429166666666668</v>
      </c>
      <c r="P820" s="8" t="s">
        <v>3946</v>
      </c>
      <c r="Q820" s="8">
        <f>+(29+14/60+5/3600)</f>
        <v>29.234722222222224</v>
      </c>
      <c r="R820" s="8">
        <v>13.5</v>
      </c>
      <c r="S820" s="8">
        <v>14.4</v>
      </c>
      <c r="T820" s="8">
        <v>0.9</v>
      </c>
      <c r="U820" s="8">
        <v>12.2</v>
      </c>
      <c r="V820" s="8">
        <v>0.6</v>
      </c>
      <c r="W820" s="8">
        <v>0.4</v>
      </c>
      <c r="X820" s="8">
        <v>10</v>
      </c>
      <c r="Y820" s="8" t="s">
        <v>3947</v>
      </c>
      <c r="Z820" s="8" t="s">
        <v>3948</v>
      </c>
    </row>
    <row r="821" spans="1:26" x14ac:dyDescent="0.2">
      <c r="A821" s="8">
        <v>820</v>
      </c>
      <c r="B821" s="8" t="s">
        <v>3949</v>
      </c>
      <c r="C821" s="8" t="s">
        <v>3949</v>
      </c>
      <c r="F821" s="47"/>
      <c r="G821" s="8">
        <v>16</v>
      </c>
      <c r="H821" s="8" t="s">
        <v>21</v>
      </c>
      <c r="I821" s="8" t="s">
        <v>22</v>
      </c>
      <c r="J821" s="8" t="s">
        <v>22</v>
      </c>
      <c r="K821" s="8" t="s">
        <v>23</v>
      </c>
      <c r="L821" s="8" t="s">
        <v>3256</v>
      </c>
      <c r="M821" s="8" t="s">
        <v>3257</v>
      </c>
      <c r="N821" s="8" t="s">
        <v>3950</v>
      </c>
      <c r="O821" s="8">
        <f>2+8/60+24.9/3600</f>
        <v>2.14025</v>
      </c>
      <c r="P821" s="8" t="s">
        <v>3951</v>
      </c>
      <c r="Q821" s="8">
        <f>+(14+20/60+59/3600)</f>
        <v>14.349722222222223</v>
      </c>
      <c r="R821" s="8">
        <v>12.8</v>
      </c>
      <c r="S821" s="8">
        <v>13.6</v>
      </c>
      <c r="T821" s="8">
        <v>0.8</v>
      </c>
      <c r="U821" s="8">
        <v>12.7</v>
      </c>
      <c r="V821" s="8">
        <v>1.4</v>
      </c>
      <c r="W821" s="8">
        <v>0.8</v>
      </c>
      <c r="X821" s="8">
        <v>72</v>
      </c>
      <c r="Y821" s="8" t="s">
        <v>3952</v>
      </c>
      <c r="Z821" s="8" t="s">
        <v>3953</v>
      </c>
    </row>
    <row r="822" spans="1:26" x14ac:dyDescent="0.2">
      <c r="A822" s="8">
        <v>821</v>
      </c>
      <c r="B822" s="8" t="s">
        <v>3954</v>
      </c>
      <c r="C822" s="8" t="s">
        <v>3954</v>
      </c>
      <c r="F822" s="47" t="s">
        <v>56173</v>
      </c>
      <c r="G822" s="8">
        <v>6.5</v>
      </c>
      <c r="H822" s="8" t="s">
        <v>21</v>
      </c>
      <c r="I822" s="8" t="s">
        <v>22</v>
      </c>
      <c r="J822" s="8" t="s">
        <v>22</v>
      </c>
      <c r="K822" s="8" t="s">
        <v>3850</v>
      </c>
      <c r="L822" s="8" t="s">
        <v>3256</v>
      </c>
      <c r="M822" s="8" t="s">
        <v>3257</v>
      </c>
      <c r="N822" s="8" t="s">
        <v>3955</v>
      </c>
      <c r="O822" s="8">
        <f>2+8/60+21/3600</f>
        <v>2.1391666666666667</v>
      </c>
      <c r="P822" s="8" t="s">
        <v>3956</v>
      </c>
      <c r="Q822" s="8">
        <f>+(10+59/60+39/3600)</f>
        <v>10.994166666666667</v>
      </c>
      <c r="R822" s="8">
        <v>10.7</v>
      </c>
      <c r="S822" s="8">
        <v>11.7</v>
      </c>
      <c r="T822" s="8">
        <v>1</v>
      </c>
      <c r="U822" s="8">
        <v>12.2</v>
      </c>
      <c r="V822" s="8">
        <v>2.4</v>
      </c>
      <c r="W822" s="8">
        <v>1.7</v>
      </c>
      <c r="X822" s="8">
        <v>25</v>
      </c>
      <c r="Y822" s="8" t="s">
        <v>3957</v>
      </c>
      <c r="Z822" s="8" t="s">
        <v>3958</v>
      </c>
    </row>
    <row r="823" spans="1:26" x14ac:dyDescent="0.2">
      <c r="A823" s="8">
        <v>822</v>
      </c>
      <c r="B823" s="8" t="s">
        <v>3959</v>
      </c>
      <c r="C823" s="8" t="s">
        <v>3959</v>
      </c>
      <c r="F823" s="47"/>
      <c r="G823" s="8">
        <v>16</v>
      </c>
      <c r="H823" s="8" t="s">
        <v>21</v>
      </c>
      <c r="I823" s="8" t="s">
        <v>22</v>
      </c>
      <c r="J823" s="8" t="s">
        <v>22</v>
      </c>
      <c r="K823" s="8" t="s">
        <v>1068</v>
      </c>
      <c r="L823" s="8" t="s">
        <v>166</v>
      </c>
      <c r="M823" s="8" t="s">
        <v>167</v>
      </c>
      <c r="N823" s="8" t="s">
        <v>3960</v>
      </c>
      <c r="O823" s="8">
        <f>2+6/60+39.2/3600</f>
        <v>2.1108888888888888</v>
      </c>
      <c r="P823" s="8" t="s">
        <v>3961</v>
      </c>
      <c r="Q823" s="8">
        <f>-(41+9/60+25/3600)</f>
        <v>-41.156944444444441</v>
      </c>
      <c r="R823" s="8">
        <v>13.2</v>
      </c>
      <c r="S823" s="8">
        <v>14.1</v>
      </c>
      <c r="T823" s="8">
        <v>0.9</v>
      </c>
      <c r="U823" s="8">
        <v>12.8</v>
      </c>
      <c r="V823" s="8">
        <v>1.1000000000000001</v>
      </c>
      <c r="W823" s="8">
        <v>0.6</v>
      </c>
      <c r="X823" s="8">
        <v>77</v>
      </c>
      <c r="Y823" s="8" t="s">
        <v>3962</v>
      </c>
      <c r="Z823" s="8" t="s">
        <v>3963</v>
      </c>
    </row>
    <row r="824" spans="1:26" x14ac:dyDescent="0.2">
      <c r="A824" s="8">
        <v>823</v>
      </c>
      <c r="B824" s="8" t="s">
        <v>3964</v>
      </c>
      <c r="C824" s="8" t="s">
        <v>3964</v>
      </c>
      <c r="F824" s="47"/>
      <c r="G824" s="8">
        <v>16</v>
      </c>
      <c r="H824" s="8" t="s">
        <v>21</v>
      </c>
      <c r="I824" s="8" t="s">
        <v>22</v>
      </c>
      <c r="J824" s="8" t="s">
        <v>22</v>
      </c>
      <c r="K824" s="8" t="s">
        <v>58</v>
      </c>
      <c r="L824" s="8" t="s">
        <v>3335</v>
      </c>
      <c r="M824" s="8" t="s">
        <v>3336</v>
      </c>
      <c r="N824" s="8" t="s">
        <v>3965</v>
      </c>
      <c r="O824" s="8">
        <f>2+7/60+20/3600</f>
        <v>2.1222222222222222</v>
      </c>
      <c r="P824" s="8" t="s">
        <v>3966</v>
      </c>
      <c r="Q824" s="8">
        <f>-(25+26/60+30/3600)</f>
        <v>-25.441666666666666</v>
      </c>
      <c r="R824" s="8">
        <v>12.8</v>
      </c>
      <c r="S824" s="8">
        <v>13.8</v>
      </c>
      <c r="T824" s="8">
        <v>1</v>
      </c>
      <c r="U824" s="8">
        <v>13.7</v>
      </c>
      <c r="V824" s="8">
        <v>1.7</v>
      </c>
      <c r="W824" s="8">
        <v>1.3</v>
      </c>
      <c r="X824" s="8">
        <v>102</v>
      </c>
      <c r="Y824" s="8" t="s">
        <v>3967</v>
      </c>
      <c r="Z824" s="8" t="s">
        <v>3968</v>
      </c>
    </row>
    <row r="825" spans="1:26" x14ac:dyDescent="0.2">
      <c r="A825" s="8">
        <v>824</v>
      </c>
      <c r="B825" s="8" t="s">
        <v>3969</v>
      </c>
      <c r="C825" s="8" t="s">
        <v>3969</v>
      </c>
      <c r="F825" s="47"/>
      <c r="G825" s="8">
        <v>16</v>
      </c>
      <c r="H825" s="8" t="s">
        <v>21</v>
      </c>
      <c r="I825" s="8" t="s">
        <v>22</v>
      </c>
      <c r="J825" s="8" t="s">
        <v>22</v>
      </c>
      <c r="K825" s="8" t="s">
        <v>85</v>
      </c>
      <c r="L825" s="8" t="s">
        <v>3335</v>
      </c>
      <c r="M825" s="8" t="s">
        <v>3336</v>
      </c>
      <c r="N825" s="8" t="s">
        <v>3970</v>
      </c>
      <c r="O825" s="8">
        <f>2+6/60+53.2/3600</f>
        <v>2.1147777777777779</v>
      </c>
      <c r="P825" s="8" t="s">
        <v>3971</v>
      </c>
      <c r="Q825" s="8">
        <f>-(36+27/60+12/3600)</f>
        <v>-36.453333333333333</v>
      </c>
      <c r="R825" s="8">
        <v>13.1</v>
      </c>
      <c r="S825" s="8">
        <v>13.9</v>
      </c>
      <c r="T825" s="8">
        <v>0.8</v>
      </c>
      <c r="U825" s="8">
        <v>13.5</v>
      </c>
      <c r="V825" s="8">
        <v>1.4</v>
      </c>
      <c r="W825" s="8">
        <v>1.2</v>
      </c>
      <c r="X825" s="8">
        <v>26</v>
      </c>
      <c r="Y825" s="8" t="s">
        <v>3972</v>
      </c>
      <c r="Z825" s="8" t="s">
        <v>3973</v>
      </c>
    </row>
    <row r="826" spans="1:26" x14ac:dyDescent="0.2">
      <c r="A826" s="8">
        <v>825</v>
      </c>
      <c r="B826" s="8" t="s">
        <v>3974</v>
      </c>
      <c r="C826" s="8" t="s">
        <v>3974</v>
      </c>
      <c r="F826" s="47"/>
      <c r="G826" s="8">
        <v>18</v>
      </c>
      <c r="H826" s="8" t="s">
        <v>21</v>
      </c>
      <c r="I826" s="8" t="s">
        <v>22</v>
      </c>
      <c r="J826" s="8" t="s">
        <v>22</v>
      </c>
      <c r="K826" s="8" t="s">
        <v>91</v>
      </c>
      <c r="L826" s="8" t="s">
        <v>125</v>
      </c>
      <c r="M826" s="8" t="s">
        <v>126</v>
      </c>
      <c r="N826" s="8" t="s">
        <v>3975</v>
      </c>
      <c r="O826" s="8">
        <f>2+8/60+32.4/3600</f>
        <v>2.1423333333333332</v>
      </c>
      <c r="P826" s="8" t="s">
        <v>3976</v>
      </c>
      <c r="Q826" s="8">
        <f>+(6+19/60+24/3600)</f>
        <v>6.3233333333333333</v>
      </c>
      <c r="R826" s="8">
        <v>13.2</v>
      </c>
      <c r="S826" s="8">
        <v>14.1</v>
      </c>
      <c r="T826" s="8">
        <v>0.9</v>
      </c>
      <c r="U826" s="8">
        <v>13</v>
      </c>
      <c r="V826" s="8">
        <v>2</v>
      </c>
      <c r="W826" s="8">
        <v>0.5</v>
      </c>
      <c r="X826" s="8">
        <v>53</v>
      </c>
      <c r="Y826" s="8" t="s">
        <v>3977</v>
      </c>
      <c r="Z826" s="8" t="s">
        <v>3978</v>
      </c>
    </row>
    <row r="827" spans="1:26" x14ac:dyDescent="0.2">
      <c r="A827" s="8">
        <v>826</v>
      </c>
      <c r="B827" s="8" t="s">
        <v>3979</v>
      </c>
      <c r="C827" s="8" t="s">
        <v>3979</v>
      </c>
      <c r="E827" s="8">
        <v>1</v>
      </c>
      <c r="F827" s="47"/>
      <c r="G827" s="8">
        <v>18</v>
      </c>
      <c r="H827" s="8" t="s">
        <v>21</v>
      </c>
      <c r="I827" s="8" t="s">
        <v>22</v>
      </c>
      <c r="J827" s="8" t="s">
        <v>22</v>
      </c>
      <c r="K827" s="8" t="s">
        <v>449</v>
      </c>
      <c r="L827" s="8" t="s">
        <v>2809</v>
      </c>
      <c r="M827" s="8" t="s">
        <v>2810</v>
      </c>
      <c r="N827" s="8" t="s">
        <v>3980</v>
      </c>
      <c r="O827" s="8">
        <f>2+9/60+25.1/3600</f>
        <v>2.1569722222222221</v>
      </c>
      <c r="P827" s="8" t="s">
        <v>3981</v>
      </c>
      <c r="Q827" s="8">
        <f>+(30+44/60+22/3600)</f>
        <v>30.739444444444445</v>
      </c>
      <c r="R827" s="8">
        <v>13.9</v>
      </c>
      <c r="S827" s="8">
        <v>14.7</v>
      </c>
      <c r="T827" s="8">
        <v>0.8</v>
      </c>
      <c r="U827" s="8">
        <v>13.1</v>
      </c>
      <c r="V827" s="8">
        <v>0.8</v>
      </c>
      <c r="W827" s="8">
        <v>0.7</v>
      </c>
      <c r="X827" s="8">
        <v>60</v>
      </c>
      <c r="Y827" s="8" t="s">
        <v>3982</v>
      </c>
      <c r="Z827" s="8" t="s">
        <v>3983</v>
      </c>
    </row>
    <row r="828" spans="1:26" x14ac:dyDescent="0.2">
      <c r="A828" s="8">
        <v>827</v>
      </c>
      <c r="B828" s="8" t="s">
        <v>3984</v>
      </c>
      <c r="C828" s="8" t="s">
        <v>3984</v>
      </c>
      <c r="F828" s="47" t="s">
        <v>56174</v>
      </c>
      <c r="G828" s="8">
        <v>15</v>
      </c>
      <c r="H828" s="8" t="s">
        <v>21</v>
      </c>
      <c r="I828" s="8" t="s">
        <v>22</v>
      </c>
      <c r="J828" s="8" t="s">
        <v>22</v>
      </c>
      <c r="K828" s="8" t="s">
        <v>396</v>
      </c>
      <c r="L828" s="8" t="s">
        <v>125</v>
      </c>
      <c r="M828" s="8" t="s">
        <v>126</v>
      </c>
      <c r="N828" s="8" t="s">
        <v>3985</v>
      </c>
      <c r="O828" s="8">
        <f>2+8/60+56.3/3600</f>
        <v>2.1489722222222221</v>
      </c>
      <c r="P828" s="8" t="s">
        <v>3986</v>
      </c>
      <c r="Q828" s="8">
        <f>+(7+58/60+18/3600)</f>
        <v>7.9716666666666667</v>
      </c>
      <c r="R828" s="8">
        <v>12.8</v>
      </c>
      <c r="S828" s="8">
        <v>13.6</v>
      </c>
      <c r="T828" s="8">
        <v>0.8</v>
      </c>
      <c r="U828" s="8">
        <v>12.8</v>
      </c>
      <c r="V828" s="8">
        <v>2</v>
      </c>
      <c r="W828" s="8">
        <v>0.6</v>
      </c>
      <c r="X828" s="8">
        <v>85</v>
      </c>
      <c r="Y828" s="8" t="s">
        <v>3987</v>
      </c>
      <c r="Z828" s="8" t="s">
        <v>3988</v>
      </c>
    </row>
    <row r="829" spans="1:26" x14ac:dyDescent="0.2">
      <c r="A829" s="8">
        <v>828</v>
      </c>
      <c r="B829" s="8" t="s">
        <v>3989</v>
      </c>
      <c r="C829" s="8" t="s">
        <v>3989</v>
      </c>
      <c r="F829" s="47" t="s">
        <v>56175</v>
      </c>
      <c r="G829" s="8">
        <v>15</v>
      </c>
      <c r="H829" s="8" t="s">
        <v>21</v>
      </c>
      <c r="I829" s="8" t="s">
        <v>22</v>
      </c>
      <c r="J829" s="8" t="s">
        <v>22</v>
      </c>
      <c r="K829" s="8" t="s">
        <v>2542</v>
      </c>
      <c r="L829" s="8" t="s">
        <v>51</v>
      </c>
      <c r="M829" s="8" t="s">
        <v>52</v>
      </c>
      <c r="N829" s="8" t="s">
        <v>3990</v>
      </c>
      <c r="O829" s="8">
        <f>2+10/60+9.5/3600</f>
        <v>2.1693055555555554</v>
      </c>
      <c r="P829" s="8" t="s">
        <v>3991</v>
      </c>
      <c r="Q829" s="8">
        <f>+(39+11/60+28/3600)</f>
        <v>39.191111111111105</v>
      </c>
      <c r="R829" s="8">
        <v>12.3</v>
      </c>
      <c r="S829" s="8">
        <v>13.2</v>
      </c>
      <c r="T829" s="8">
        <v>0.9</v>
      </c>
      <c r="U829" s="8">
        <v>14.1</v>
      </c>
      <c r="V829" s="8">
        <v>2.5</v>
      </c>
      <c r="W829" s="8">
        <v>1.6</v>
      </c>
      <c r="X829" s="8">
        <v>141</v>
      </c>
      <c r="Y829" s="8" t="s">
        <v>3992</v>
      </c>
      <c r="Z829" s="8" t="s">
        <v>3993</v>
      </c>
    </row>
    <row r="830" spans="1:26" x14ac:dyDescent="0.2">
      <c r="A830" s="8">
        <v>829</v>
      </c>
      <c r="B830" s="8" t="s">
        <v>3994</v>
      </c>
      <c r="C830" s="8" t="s">
        <v>3994</v>
      </c>
      <c r="F830" s="47"/>
      <c r="G830" s="8">
        <v>18</v>
      </c>
      <c r="H830" s="8" t="s">
        <v>21</v>
      </c>
      <c r="I830" s="8" t="s">
        <v>22</v>
      </c>
      <c r="J830" s="8" t="s">
        <v>22</v>
      </c>
      <c r="K830" s="8" t="s">
        <v>160</v>
      </c>
      <c r="L830" s="8" t="s">
        <v>125</v>
      </c>
      <c r="M830" s="8" t="s">
        <v>126</v>
      </c>
      <c r="N830" s="8" t="s">
        <v>3995</v>
      </c>
      <c r="O830" s="8">
        <f>2+8/60+42.2/3600</f>
        <v>2.1450555555555555</v>
      </c>
      <c r="P830" s="8" t="s">
        <v>3996</v>
      </c>
      <c r="Q830" s="8">
        <f>-(7+47/60+25/3600)</f>
        <v>-7.7902777777777779</v>
      </c>
      <c r="R830" s="8">
        <v>13.5</v>
      </c>
      <c r="S830" s="8">
        <v>14.2</v>
      </c>
      <c r="T830" s="8">
        <v>0.7</v>
      </c>
      <c r="U830" s="8">
        <v>13.3</v>
      </c>
      <c r="V830" s="8">
        <v>1.1000000000000001</v>
      </c>
      <c r="W830" s="8">
        <v>0.6</v>
      </c>
      <c r="X830" s="8">
        <v>60</v>
      </c>
      <c r="Y830" s="8" t="s">
        <v>3997</v>
      </c>
      <c r="Z830" s="8" t="s">
        <v>3998</v>
      </c>
    </row>
    <row r="831" spans="1:26" x14ac:dyDescent="0.2">
      <c r="A831" s="8">
        <v>830</v>
      </c>
      <c r="B831" s="8" t="s">
        <v>3999</v>
      </c>
      <c r="C831" s="8" t="s">
        <v>3999</v>
      </c>
      <c r="F831" s="47"/>
      <c r="G831" s="8">
        <v>18</v>
      </c>
      <c r="H831" s="8" t="s">
        <v>21</v>
      </c>
      <c r="I831" s="8" t="s">
        <v>22</v>
      </c>
      <c r="J831" s="8" t="s">
        <v>22</v>
      </c>
      <c r="K831" s="8" t="s">
        <v>58</v>
      </c>
      <c r="L831" s="8" t="s">
        <v>125</v>
      </c>
      <c r="M831" s="8" t="s">
        <v>126</v>
      </c>
      <c r="N831" s="8" t="s">
        <v>4000</v>
      </c>
      <c r="O831" s="8">
        <f>2+8/60+58.7/3600</f>
        <v>2.1496388888888887</v>
      </c>
      <c r="P831" s="8" t="s">
        <v>4001</v>
      </c>
      <c r="Q831" s="8">
        <f>-(7+46/60+3/3600)</f>
        <v>-7.7675000000000001</v>
      </c>
      <c r="R831" s="8">
        <v>13.3</v>
      </c>
      <c r="S831" s="8">
        <v>14.3</v>
      </c>
      <c r="T831" s="8">
        <v>1</v>
      </c>
      <c r="U831" s="8">
        <v>13.6</v>
      </c>
      <c r="V831" s="8">
        <v>1.4</v>
      </c>
      <c r="W831" s="8">
        <v>0.9</v>
      </c>
      <c r="X831" s="8">
        <v>72</v>
      </c>
      <c r="Y831" s="8" t="s">
        <v>4002</v>
      </c>
      <c r="Z831" s="8" t="s">
        <v>4003</v>
      </c>
    </row>
    <row r="832" spans="1:26" x14ac:dyDescent="0.2">
      <c r="A832" s="8">
        <v>831</v>
      </c>
      <c r="B832" s="8" t="s">
        <v>4004</v>
      </c>
      <c r="C832" s="8" t="s">
        <v>4004</v>
      </c>
      <c r="F832" s="47"/>
      <c r="G832" s="8">
        <v>18</v>
      </c>
      <c r="H832" s="8" t="s">
        <v>21</v>
      </c>
      <c r="I832" s="8" t="s">
        <v>22</v>
      </c>
      <c r="J832" s="8" t="s">
        <v>22</v>
      </c>
      <c r="K832" s="8" t="s">
        <v>476</v>
      </c>
      <c r="L832" s="8" t="s">
        <v>125</v>
      </c>
      <c r="M832" s="8" t="s">
        <v>126</v>
      </c>
      <c r="N832" s="8" t="s">
        <v>4005</v>
      </c>
      <c r="O832" s="8">
        <f>2+9/60+34.5/3600</f>
        <v>2.1595833333333334</v>
      </c>
      <c r="P832" s="8" t="s">
        <v>4006</v>
      </c>
      <c r="Q832" s="8">
        <f>+(6+5/60+48/3600)</f>
        <v>6.0966666666666667</v>
      </c>
      <c r="R832" s="8">
        <v>14.5</v>
      </c>
      <c r="S832" s="8">
        <v>15.4</v>
      </c>
      <c r="T832" s="8">
        <v>0.9</v>
      </c>
      <c r="U832" s="8">
        <v>12.8</v>
      </c>
      <c r="V832" s="8">
        <v>0.4</v>
      </c>
      <c r="W832" s="8">
        <v>0.3</v>
      </c>
      <c r="X832" s="8">
        <v>102</v>
      </c>
      <c r="Y832" s="8" t="s">
        <v>4007</v>
      </c>
      <c r="Z832" s="8" t="s">
        <v>4008</v>
      </c>
    </row>
    <row r="833" spans="1:26" x14ac:dyDescent="0.2">
      <c r="A833" s="8">
        <v>832</v>
      </c>
      <c r="B833" s="8" t="s">
        <v>4009</v>
      </c>
      <c r="C833" s="8" t="s">
        <v>4009</v>
      </c>
      <c r="F833" s="47"/>
      <c r="G833" s="8">
        <v>18</v>
      </c>
      <c r="H833" s="8" t="s">
        <v>21</v>
      </c>
      <c r="I833" s="8" t="s">
        <v>22</v>
      </c>
      <c r="J833" s="8" t="s">
        <v>22</v>
      </c>
      <c r="K833" s="8" t="s">
        <v>1136</v>
      </c>
      <c r="L833" s="8" t="s">
        <v>3147</v>
      </c>
      <c r="M833" s="8" t="s">
        <v>3148</v>
      </c>
      <c r="N833" s="8" t="s">
        <v>4010</v>
      </c>
      <c r="O833" s="8">
        <f>3+11/60+5.4/3600</f>
        <v>3.1848333333333332</v>
      </c>
      <c r="P833" s="8" t="s">
        <v>4011</v>
      </c>
      <c r="Q833" s="8">
        <f>+(35+23/60+11/3600)</f>
        <v>35.386388888888888</v>
      </c>
      <c r="R833" s="8">
        <v>12.9</v>
      </c>
      <c r="S833" s="8">
        <v>13.9</v>
      </c>
      <c r="T833" s="8">
        <v>1</v>
      </c>
      <c r="U833" s="8">
        <v>13.7</v>
      </c>
      <c r="V833" s="8">
        <v>1.6</v>
      </c>
      <c r="W833" s="8">
        <v>1.3</v>
      </c>
      <c r="X833" s="8">
        <v>95</v>
      </c>
      <c r="Y833" s="8" t="s">
        <v>4012</v>
      </c>
      <c r="Z833" s="8" t="s">
        <v>4013</v>
      </c>
    </row>
    <row r="834" spans="1:26" x14ac:dyDescent="0.2">
      <c r="A834" s="8">
        <v>833</v>
      </c>
      <c r="B834" s="8" t="s">
        <v>4014</v>
      </c>
      <c r="C834" s="8" t="s">
        <v>4014</v>
      </c>
      <c r="F834" s="47" t="s">
        <v>56176</v>
      </c>
      <c r="G834" s="8">
        <v>15</v>
      </c>
      <c r="H834" s="8" t="s">
        <v>21</v>
      </c>
      <c r="I834" s="8" t="s">
        <v>22</v>
      </c>
      <c r="J834" s="8" t="s">
        <v>22</v>
      </c>
      <c r="K834" s="8" t="s">
        <v>2542</v>
      </c>
      <c r="L834" s="8" t="s">
        <v>125</v>
      </c>
      <c r="M834" s="8" t="s">
        <v>126</v>
      </c>
      <c r="N834" s="8" t="s">
        <v>4015</v>
      </c>
      <c r="O834" s="8">
        <f>2+9/60+20.8/3600</f>
        <v>2.1557777777777778</v>
      </c>
      <c r="P834" s="8" t="s">
        <v>4016</v>
      </c>
      <c r="Q834" s="8">
        <f>-(10+7/60+58/3600)</f>
        <v>-10.132777777777779</v>
      </c>
      <c r="R834" s="8">
        <v>12.7</v>
      </c>
      <c r="S834" s="8">
        <v>13.7</v>
      </c>
      <c r="T834" s="8">
        <v>1</v>
      </c>
      <c r="U834" s="8">
        <v>11.6</v>
      </c>
      <c r="V834" s="8">
        <v>1.5</v>
      </c>
      <c r="W834" s="8">
        <v>0.7</v>
      </c>
      <c r="X834" s="8">
        <v>85</v>
      </c>
      <c r="Y834" s="8" t="s">
        <v>4017</v>
      </c>
      <c r="Z834" s="8" t="s">
        <v>4018</v>
      </c>
    </row>
    <row r="835" spans="1:26" x14ac:dyDescent="0.2">
      <c r="A835" s="8">
        <v>834</v>
      </c>
      <c r="B835" s="8" t="s">
        <v>4019</v>
      </c>
      <c r="C835" s="8" t="s">
        <v>4019</v>
      </c>
      <c r="F835" s="47" t="s">
        <v>56177</v>
      </c>
      <c r="G835" s="8">
        <v>15</v>
      </c>
      <c r="H835" s="8" t="s">
        <v>21</v>
      </c>
      <c r="I835" s="8" t="s">
        <v>22</v>
      </c>
      <c r="J835" s="8" t="s">
        <v>22</v>
      </c>
      <c r="K835" s="8" t="s">
        <v>396</v>
      </c>
      <c r="L835" s="8" t="s">
        <v>51</v>
      </c>
      <c r="M835" s="8" t="s">
        <v>52</v>
      </c>
      <c r="N835" s="8" t="s">
        <v>4020</v>
      </c>
      <c r="O835" s="8">
        <f>2+11/60+1.2/3600</f>
        <v>2.1836666666666664</v>
      </c>
      <c r="P835" s="8" t="s">
        <v>4021</v>
      </c>
      <c r="Q835" s="8">
        <f>+(37+39/60+58/3600)</f>
        <v>37.666111111111107</v>
      </c>
      <c r="R835" s="8">
        <v>13.1</v>
      </c>
      <c r="S835" s="8">
        <v>13.8</v>
      </c>
      <c r="T835" s="8">
        <v>0.7</v>
      </c>
      <c r="U835" s="8">
        <v>12.3</v>
      </c>
      <c r="V835" s="8">
        <v>1.1000000000000001</v>
      </c>
      <c r="W835" s="8">
        <v>0.5</v>
      </c>
      <c r="X835" s="8">
        <v>20</v>
      </c>
      <c r="Y835" s="8" t="s">
        <v>679</v>
      </c>
      <c r="Z835" s="8" t="s">
        <v>680</v>
      </c>
    </row>
    <row r="836" spans="1:26" x14ac:dyDescent="0.2">
      <c r="A836" s="8">
        <v>835</v>
      </c>
      <c r="B836" s="8" t="s">
        <v>4022</v>
      </c>
      <c r="C836" s="8" t="s">
        <v>4022</v>
      </c>
      <c r="F836" s="47" t="s">
        <v>56178</v>
      </c>
      <c r="G836" s="8">
        <v>15</v>
      </c>
      <c r="H836" s="8" t="s">
        <v>21</v>
      </c>
      <c r="I836" s="8" t="s">
        <v>22</v>
      </c>
      <c r="J836" s="8" t="s">
        <v>22</v>
      </c>
      <c r="K836" s="8" t="s">
        <v>4023</v>
      </c>
      <c r="L836" s="8" t="s">
        <v>125</v>
      </c>
      <c r="M836" s="8" t="s">
        <v>126</v>
      </c>
      <c r="N836" s="8" t="s">
        <v>4024</v>
      </c>
      <c r="O836" s="8">
        <f>2+9/60+24.6/3600</f>
        <v>2.1568333333333332</v>
      </c>
      <c r="P836" s="8" t="s">
        <v>4025</v>
      </c>
      <c r="Q836" s="8">
        <f>-(10+8/60+7/3600)</f>
        <v>-10.135277777777777</v>
      </c>
      <c r="R836" s="8">
        <v>12.1</v>
      </c>
      <c r="S836" s="8">
        <v>12.9</v>
      </c>
      <c r="T836" s="8">
        <v>0.8</v>
      </c>
      <c r="U836" s="8">
        <v>12.2</v>
      </c>
      <c r="V836" s="8">
        <v>1.3</v>
      </c>
      <c r="W836" s="8">
        <v>1.1000000000000001</v>
      </c>
      <c r="X836" s="8">
        <v>15</v>
      </c>
      <c r="Y836" s="8" t="s">
        <v>4017</v>
      </c>
      <c r="Z836" s="8" t="s">
        <v>4026</v>
      </c>
    </row>
    <row r="837" spans="1:26" x14ac:dyDescent="0.2">
      <c r="A837" s="8">
        <v>836</v>
      </c>
      <c r="B837" s="8" t="s">
        <v>4027</v>
      </c>
      <c r="C837" s="8" t="s">
        <v>4027</v>
      </c>
      <c r="F837" s="47"/>
      <c r="G837" s="8">
        <v>19</v>
      </c>
      <c r="H837" s="8" t="s">
        <v>21</v>
      </c>
      <c r="I837" s="8" t="s">
        <v>22</v>
      </c>
      <c r="J837" s="8" t="s">
        <v>22</v>
      </c>
      <c r="K837" s="8" t="s">
        <v>632</v>
      </c>
      <c r="L837" s="8" t="s">
        <v>125</v>
      </c>
      <c r="M837" s="8" t="s">
        <v>126</v>
      </c>
      <c r="N837" s="8" t="s">
        <v>4028</v>
      </c>
      <c r="O837" s="8">
        <f>2+10/60+24.8/3600</f>
        <v>2.1735555555555552</v>
      </c>
      <c r="P837" s="8" t="s">
        <v>4029</v>
      </c>
      <c r="Q837" s="8">
        <f>-(22+3/60+18/3600)</f>
        <v>-22.055</v>
      </c>
      <c r="R837" s="8">
        <v>13.4</v>
      </c>
      <c r="S837" s="8">
        <v>14.3</v>
      </c>
      <c r="T837" s="8">
        <v>0.9</v>
      </c>
      <c r="U837" s="8">
        <v>13</v>
      </c>
      <c r="V837" s="8">
        <v>1.2</v>
      </c>
      <c r="W837" s="8">
        <v>0.9</v>
      </c>
      <c r="X837" s="8">
        <v>110</v>
      </c>
      <c r="Y837" s="8" t="s">
        <v>4030</v>
      </c>
      <c r="Z837" s="8" t="s">
        <v>4031</v>
      </c>
    </row>
    <row r="838" spans="1:26" x14ac:dyDescent="0.2">
      <c r="A838" s="8">
        <v>837</v>
      </c>
      <c r="B838" s="8" t="s">
        <v>4032</v>
      </c>
      <c r="C838" s="8" t="s">
        <v>4032</v>
      </c>
      <c r="F838" s="47"/>
      <c r="G838" s="8">
        <v>19</v>
      </c>
      <c r="H838" s="8" t="s">
        <v>21</v>
      </c>
      <c r="I838" s="8" t="s">
        <v>22</v>
      </c>
      <c r="J838" s="8" t="s">
        <v>22</v>
      </c>
      <c r="K838" s="8" t="s">
        <v>23</v>
      </c>
      <c r="L838" s="8" t="s">
        <v>125</v>
      </c>
      <c r="M838" s="8" t="s">
        <v>126</v>
      </c>
      <c r="N838" s="8" t="s">
        <v>4033</v>
      </c>
      <c r="O838" s="8">
        <f>2+10/60+16.1/3600</f>
        <v>2.1711388888888887</v>
      </c>
      <c r="P838" s="8" t="s">
        <v>4034</v>
      </c>
      <c r="Q838" s="8">
        <f>-(22+25/60+53/3600)</f>
        <v>-22.43138888888889</v>
      </c>
      <c r="R838" s="8">
        <v>14</v>
      </c>
      <c r="S838" s="8">
        <v>14.8</v>
      </c>
      <c r="T838" s="8">
        <v>0.8</v>
      </c>
      <c r="U838" s="8">
        <v>12.7</v>
      </c>
      <c r="V838" s="8">
        <v>0.9</v>
      </c>
      <c r="W838" s="8">
        <v>0.4</v>
      </c>
      <c r="X838" s="8">
        <v>12</v>
      </c>
      <c r="Y838" s="8" t="s">
        <v>4035</v>
      </c>
      <c r="Z838" s="8" t="s">
        <v>4036</v>
      </c>
    </row>
    <row r="839" spans="1:26" x14ac:dyDescent="0.2">
      <c r="A839" s="8">
        <v>838</v>
      </c>
      <c r="B839" s="8" t="s">
        <v>4037</v>
      </c>
      <c r="C839" s="8" t="s">
        <v>4037</v>
      </c>
      <c r="F839" s="47" t="s">
        <v>56179</v>
      </c>
      <c r="G839" s="8">
        <v>15</v>
      </c>
      <c r="H839" s="8" t="s">
        <v>21</v>
      </c>
      <c r="I839" s="8" t="s">
        <v>22</v>
      </c>
      <c r="J839" s="8" t="s">
        <v>22</v>
      </c>
      <c r="K839" s="8" t="s">
        <v>37</v>
      </c>
      <c r="L839" s="8" t="s">
        <v>125</v>
      </c>
      <c r="M839" s="8" t="s">
        <v>126</v>
      </c>
      <c r="N839" s="8" t="s">
        <v>4038</v>
      </c>
      <c r="O839" s="8">
        <f>2+9/60+38.4/3600</f>
        <v>2.1606666666666667</v>
      </c>
      <c r="P839" s="8" t="s">
        <v>4039</v>
      </c>
      <c r="Q839" s="8">
        <f>-(10+8/60+45/3600)</f>
        <v>-10.145833333333332</v>
      </c>
      <c r="R839" s="8">
        <v>13</v>
      </c>
      <c r="S839" s="8">
        <v>13.6</v>
      </c>
      <c r="T839" s="8">
        <v>0.6</v>
      </c>
      <c r="U839" s="8">
        <v>12.8</v>
      </c>
      <c r="V839" s="8">
        <v>1.2</v>
      </c>
      <c r="W839" s="8">
        <v>0.9</v>
      </c>
      <c r="X839" s="8">
        <v>85</v>
      </c>
      <c r="Y839" s="8" t="s">
        <v>3425</v>
      </c>
      <c r="Z839" s="8" t="s">
        <v>3426</v>
      </c>
    </row>
    <row r="840" spans="1:26" x14ac:dyDescent="0.2">
      <c r="A840" s="8">
        <v>839</v>
      </c>
      <c r="B840" s="8" t="s">
        <v>4040</v>
      </c>
      <c r="C840" s="8" t="s">
        <v>4040</v>
      </c>
      <c r="F840" s="47" t="s">
        <v>56180</v>
      </c>
      <c r="G840" s="8">
        <v>15</v>
      </c>
      <c r="H840" s="8" t="s">
        <v>21</v>
      </c>
      <c r="I840" s="8" t="s">
        <v>22</v>
      </c>
      <c r="J840" s="8" t="s">
        <v>22</v>
      </c>
      <c r="K840" s="8" t="s">
        <v>643</v>
      </c>
      <c r="L840" s="8" t="s">
        <v>125</v>
      </c>
      <c r="M840" s="8" t="s">
        <v>126</v>
      </c>
      <c r="N840" s="8" t="s">
        <v>4041</v>
      </c>
      <c r="O840" s="8">
        <f>2+9/60+42.9/3600</f>
        <v>2.1619166666666665</v>
      </c>
      <c r="P840" s="8" t="s">
        <v>4042</v>
      </c>
      <c r="Q840" s="8">
        <f>-(10+11/60+0/3600)</f>
        <v>-10.183333333333334</v>
      </c>
      <c r="R840" s="8">
        <v>13.1</v>
      </c>
      <c r="S840" s="8">
        <v>13.9</v>
      </c>
      <c r="T840" s="8">
        <v>0.8</v>
      </c>
      <c r="U840" s="8">
        <v>13</v>
      </c>
      <c r="V840" s="8">
        <v>1.4</v>
      </c>
      <c r="W840" s="8">
        <v>0.7</v>
      </c>
      <c r="X840" s="8">
        <v>84</v>
      </c>
      <c r="Y840" s="8" t="s">
        <v>4043</v>
      </c>
      <c r="Z840" s="8" t="s">
        <v>4044</v>
      </c>
    </row>
    <row r="841" spans="1:26" x14ac:dyDescent="0.2">
      <c r="A841" s="8">
        <v>840</v>
      </c>
      <c r="B841" s="8" t="s">
        <v>4045</v>
      </c>
      <c r="C841" s="8" t="s">
        <v>4045</v>
      </c>
      <c r="F841" s="47"/>
      <c r="G841" s="8">
        <v>18</v>
      </c>
      <c r="H841" s="8" t="s">
        <v>21</v>
      </c>
      <c r="I841" s="8" t="s">
        <v>22</v>
      </c>
      <c r="J841" s="8" t="s">
        <v>22</v>
      </c>
      <c r="K841" s="8" t="s">
        <v>218</v>
      </c>
      <c r="L841" s="8" t="s">
        <v>125</v>
      </c>
      <c r="M841" s="8" t="s">
        <v>126</v>
      </c>
      <c r="N841" s="8" t="s">
        <v>4033</v>
      </c>
      <c r="O841" s="8">
        <f>2+10/60+16.1/3600</f>
        <v>2.1711388888888887</v>
      </c>
      <c r="P841" s="8" t="s">
        <v>4046</v>
      </c>
      <c r="Q841" s="8">
        <f>+(7+50/60+45/3600)</f>
        <v>7.8458333333333332</v>
      </c>
      <c r="R841" s="8">
        <v>13.4</v>
      </c>
      <c r="S841" s="8">
        <v>14.3</v>
      </c>
      <c r="T841" s="8">
        <v>0.9</v>
      </c>
      <c r="U841" s="8">
        <v>13.9</v>
      </c>
      <c r="V841" s="8">
        <v>1.8</v>
      </c>
      <c r="W841" s="8">
        <v>1</v>
      </c>
      <c r="X841" s="8">
        <v>73</v>
      </c>
      <c r="Y841" s="8" t="s">
        <v>266</v>
      </c>
      <c r="Z841" s="8" t="s">
        <v>267</v>
      </c>
    </row>
    <row r="842" spans="1:26" x14ac:dyDescent="0.2">
      <c r="A842" s="8">
        <v>841</v>
      </c>
      <c r="B842" s="8" t="s">
        <v>4047</v>
      </c>
      <c r="C842" s="8" t="s">
        <v>4047</v>
      </c>
      <c r="F842" s="47" t="s">
        <v>56181</v>
      </c>
      <c r="G842" s="8">
        <v>15</v>
      </c>
      <c r="H842" s="8" t="s">
        <v>21</v>
      </c>
      <c r="I842" s="8" t="s">
        <v>22</v>
      </c>
      <c r="J842" s="8" t="s">
        <v>22</v>
      </c>
      <c r="K842" s="8" t="s">
        <v>406</v>
      </c>
      <c r="L842" s="8" t="s">
        <v>51</v>
      </c>
      <c r="M842" s="8" t="s">
        <v>52</v>
      </c>
      <c r="N842" s="8" t="s">
        <v>4048</v>
      </c>
      <c r="O842" s="8">
        <f>2+11/60+17.4/3600</f>
        <v>2.1881666666666666</v>
      </c>
      <c r="P842" s="8" t="s">
        <v>4049</v>
      </c>
      <c r="Q842" s="8">
        <f>+(37+29/60+51/3600)</f>
        <v>37.497500000000002</v>
      </c>
      <c r="R842" s="8">
        <v>12.6</v>
      </c>
      <c r="S842" s="8">
        <v>13.4</v>
      </c>
      <c r="T842" s="8">
        <v>0.8</v>
      </c>
      <c r="U842" s="8">
        <v>13.1</v>
      </c>
      <c r="V842" s="8">
        <v>1.8</v>
      </c>
      <c r="W842" s="8">
        <v>1</v>
      </c>
      <c r="X842" s="8">
        <v>135</v>
      </c>
      <c r="Y842" s="8" t="s">
        <v>4050</v>
      </c>
      <c r="Z842" s="8" t="s">
        <v>4051</v>
      </c>
    </row>
    <row r="843" spans="1:26" x14ac:dyDescent="0.2">
      <c r="A843" s="8">
        <v>842</v>
      </c>
      <c r="B843" s="8" t="s">
        <v>4052</v>
      </c>
      <c r="C843" s="8" t="s">
        <v>4052</v>
      </c>
      <c r="F843" s="47"/>
      <c r="G843" s="8">
        <v>16</v>
      </c>
      <c r="H843" s="8" t="s">
        <v>21</v>
      </c>
      <c r="I843" s="8" t="s">
        <v>22</v>
      </c>
      <c r="J843" s="8" t="s">
        <v>22</v>
      </c>
      <c r="K843" s="8" t="s">
        <v>37</v>
      </c>
      <c r="L843" s="8" t="s">
        <v>125</v>
      </c>
      <c r="M843" s="8" t="s">
        <v>126</v>
      </c>
      <c r="N843" s="8" t="s">
        <v>4053</v>
      </c>
      <c r="O843" s="8">
        <f>2+9/60+50.7/3600</f>
        <v>2.1640833333333331</v>
      </c>
      <c r="P843" s="8" t="s">
        <v>4054</v>
      </c>
      <c r="Q843" s="8">
        <f>-(7+45/60+45/3600)</f>
        <v>-7.7625000000000002</v>
      </c>
      <c r="R843" s="8">
        <v>12.7</v>
      </c>
      <c r="S843" s="8">
        <v>13.6</v>
      </c>
      <c r="T843" s="8">
        <v>0.9</v>
      </c>
      <c r="U843" s="8">
        <v>12.6</v>
      </c>
      <c r="V843" s="8">
        <v>1.6</v>
      </c>
      <c r="W843" s="8">
        <v>0.8</v>
      </c>
      <c r="X843" s="8">
        <v>150</v>
      </c>
      <c r="Y843" s="8" t="s">
        <v>4055</v>
      </c>
      <c r="Z843" s="8" t="s">
        <v>4056</v>
      </c>
    </row>
    <row r="844" spans="1:26" x14ac:dyDescent="0.2">
      <c r="A844" s="8">
        <v>843</v>
      </c>
      <c r="B844" s="8" t="s">
        <v>4057</v>
      </c>
      <c r="C844" s="8" t="s">
        <v>4057</v>
      </c>
      <c r="F844" s="47"/>
      <c r="G844" s="8">
        <v>18</v>
      </c>
      <c r="H844" s="8" t="s">
        <v>21</v>
      </c>
      <c r="I844" s="8" t="s">
        <v>72</v>
      </c>
      <c r="J844" s="8" t="s">
        <v>72</v>
      </c>
      <c r="K844" s="8" t="s">
        <v>1802</v>
      </c>
      <c r="L844" s="8" t="s">
        <v>2809</v>
      </c>
      <c r="M844" s="8" t="s">
        <v>2810</v>
      </c>
      <c r="N844" s="8" t="s">
        <v>4058</v>
      </c>
      <c r="O844" s="8">
        <f>2+11/60+8.2/3600</f>
        <v>2.1856111111111107</v>
      </c>
      <c r="P844" s="8" t="s">
        <v>4059</v>
      </c>
      <c r="Q844" s="8">
        <f>+(32+5/60+54/3600)</f>
        <v>32.098333333333336</v>
      </c>
      <c r="R844" s="8">
        <v>99</v>
      </c>
      <c r="S844" s="8">
        <v>99</v>
      </c>
      <c r="T844" s="8">
        <v>99</v>
      </c>
      <c r="U844" s="8">
        <v>99</v>
      </c>
      <c r="Y844" s="8" t="s">
        <v>4060</v>
      </c>
      <c r="Z844" s="8" t="s">
        <v>4061</v>
      </c>
    </row>
    <row r="845" spans="1:26" x14ac:dyDescent="0.2">
      <c r="A845" s="8">
        <v>844</v>
      </c>
      <c r="B845" s="8" t="s">
        <v>4062</v>
      </c>
      <c r="C845" s="8" t="s">
        <v>4062</v>
      </c>
      <c r="F845" s="47"/>
      <c r="G845" s="8">
        <v>18</v>
      </c>
      <c r="H845" s="8" t="s">
        <v>21</v>
      </c>
      <c r="I845" s="8" t="s">
        <v>22</v>
      </c>
      <c r="J845" s="8" t="s">
        <v>22</v>
      </c>
      <c r="K845" s="8" t="s">
        <v>424</v>
      </c>
      <c r="L845" s="8" t="s">
        <v>125</v>
      </c>
      <c r="M845" s="8" t="s">
        <v>126</v>
      </c>
      <c r="N845" s="8" t="s">
        <v>4063</v>
      </c>
      <c r="O845" s="8">
        <f>2+10/60+14.3/3600</f>
        <v>2.1706388888888886</v>
      </c>
      <c r="P845" s="8" t="s">
        <v>4064</v>
      </c>
      <c r="Q845" s="8">
        <f>+(6+3/60+0/3600)</f>
        <v>6.05</v>
      </c>
      <c r="R845" s="8">
        <v>14.1</v>
      </c>
      <c r="S845" s="8">
        <v>15.1</v>
      </c>
      <c r="T845" s="8">
        <v>1</v>
      </c>
      <c r="U845" s="8">
        <v>12</v>
      </c>
      <c r="V845" s="8">
        <v>0.4</v>
      </c>
      <c r="W845" s="8">
        <v>0.4</v>
      </c>
      <c r="Y845" s="8" t="s">
        <v>4065</v>
      </c>
      <c r="Z845" s="8" t="s">
        <v>4066</v>
      </c>
    </row>
    <row r="846" spans="1:26" x14ac:dyDescent="0.2">
      <c r="A846" s="8">
        <v>845</v>
      </c>
      <c r="B846" s="8" t="s">
        <v>4067</v>
      </c>
      <c r="C846" s="8" t="s">
        <v>4067</v>
      </c>
      <c r="G846" s="8">
        <v>16</v>
      </c>
      <c r="H846" s="8" t="s">
        <v>21</v>
      </c>
      <c r="I846" s="8" t="s">
        <v>22</v>
      </c>
      <c r="J846" s="8" t="s">
        <v>22</v>
      </c>
      <c r="K846" s="8" t="s">
        <v>23</v>
      </c>
      <c r="L846" s="8" t="s">
        <v>51</v>
      </c>
      <c r="M846" s="8" t="s">
        <v>52</v>
      </c>
      <c r="N846" s="8" t="s">
        <v>4068</v>
      </c>
      <c r="O846" s="8">
        <f>2+12/60+19.7/3600</f>
        <v>2.2054722222222223</v>
      </c>
      <c r="P846" s="8" t="s">
        <v>4069</v>
      </c>
      <c r="Q846" s="8">
        <f>+(37+28/60+39/3600)</f>
        <v>37.477499999999999</v>
      </c>
      <c r="R846" s="8">
        <v>13.5</v>
      </c>
      <c r="S846" s="8">
        <v>14.3</v>
      </c>
      <c r="T846" s="8">
        <v>0.8</v>
      </c>
      <c r="U846" s="8">
        <v>12.9</v>
      </c>
      <c r="V846" s="8">
        <v>1.7</v>
      </c>
      <c r="W846" s="8">
        <v>0.4</v>
      </c>
      <c r="X846" s="8">
        <v>149</v>
      </c>
      <c r="Y846" s="8" t="s">
        <v>4070</v>
      </c>
      <c r="Z846" s="8" t="s">
        <v>4071</v>
      </c>
    </row>
    <row r="847" spans="1:26" x14ac:dyDescent="0.2">
      <c r="A847" s="8">
        <v>846</v>
      </c>
      <c r="B847" s="8" t="s">
        <v>4072</v>
      </c>
      <c r="C847" s="8" t="s">
        <v>4072</v>
      </c>
      <c r="F847" s="47"/>
      <c r="G847" s="8">
        <v>18</v>
      </c>
      <c r="H847" s="8" t="s">
        <v>21</v>
      </c>
      <c r="I847" s="8" t="s">
        <v>22</v>
      </c>
      <c r="J847" s="8" t="s">
        <v>22</v>
      </c>
      <c r="K847" s="8" t="s">
        <v>406</v>
      </c>
      <c r="L847" s="8" t="s">
        <v>51</v>
      </c>
      <c r="M847" s="8" t="s">
        <v>52</v>
      </c>
      <c r="N847" s="8" t="s">
        <v>4073</v>
      </c>
      <c r="O847" s="8">
        <f>2+12/60+12.1/3600</f>
        <v>2.2033611111111111</v>
      </c>
      <c r="P847" s="8" t="s">
        <v>4074</v>
      </c>
      <c r="Q847" s="8">
        <f>+(44+34/60+5/3600)</f>
        <v>44.56805555555556</v>
      </c>
      <c r="R847" s="8">
        <v>12.1</v>
      </c>
      <c r="S847" s="8">
        <v>12.9</v>
      </c>
      <c r="T847" s="8">
        <v>0.8</v>
      </c>
      <c r="U847" s="8">
        <v>13.2</v>
      </c>
      <c r="V847" s="8">
        <v>1.9</v>
      </c>
      <c r="W847" s="8">
        <v>1.7</v>
      </c>
      <c r="X847" s="8">
        <v>140</v>
      </c>
      <c r="Y847" s="8" t="s">
        <v>1133</v>
      </c>
      <c r="Z847" s="8" t="s">
        <v>1134</v>
      </c>
    </row>
    <row r="848" spans="1:26" x14ac:dyDescent="0.2">
      <c r="A848" s="8">
        <v>847</v>
      </c>
      <c r="B848" s="8" t="s">
        <v>4075</v>
      </c>
      <c r="C848" s="8" t="s">
        <v>4075</v>
      </c>
      <c r="F848" s="47"/>
      <c r="G848" s="8">
        <v>19</v>
      </c>
      <c r="H848" s="8" t="s">
        <v>21</v>
      </c>
      <c r="I848" s="8" t="s">
        <v>22</v>
      </c>
      <c r="J848" s="8" t="s">
        <v>57</v>
      </c>
      <c r="K848" s="8" t="s">
        <v>406</v>
      </c>
      <c r="L848" s="8" t="s">
        <v>51</v>
      </c>
      <c r="M848" s="8" t="s">
        <v>52</v>
      </c>
      <c r="N848" s="8" t="s">
        <v>4073</v>
      </c>
      <c r="O848" s="8">
        <f>2+12/60+12.1/3600</f>
        <v>2.2033611111111111</v>
      </c>
      <c r="P848" s="8" t="s">
        <v>4074</v>
      </c>
      <c r="Q848" s="8">
        <f>+(44+34/60+5/3600)</f>
        <v>44.56805555555556</v>
      </c>
      <c r="R848" s="8">
        <v>12.1</v>
      </c>
      <c r="S848" s="8">
        <v>12.9</v>
      </c>
      <c r="T848" s="8">
        <v>0.8</v>
      </c>
      <c r="U848" s="8">
        <v>13.2</v>
      </c>
      <c r="V848" s="8">
        <v>1.9</v>
      </c>
      <c r="W848" s="8">
        <v>1.7</v>
      </c>
      <c r="X848" s="8">
        <v>140</v>
      </c>
      <c r="Y848" s="8" t="s">
        <v>1133</v>
      </c>
      <c r="Z848" s="8" t="s">
        <v>4076</v>
      </c>
    </row>
    <row r="849" spans="1:26" x14ac:dyDescent="0.2">
      <c r="A849" s="8">
        <v>848</v>
      </c>
      <c r="B849" s="8" t="s">
        <v>4077</v>
      </c>
      <c r="C849" s="8" t="s">
        <v>4077</v>
      </c>
      <c r="F849" s="47"/>
      <c r="G849" s="8">
        <v>19</v>
      </c>
      <c r="H849" s="8" t="s">
        <v>21</v>
      </c>
      <c r="I849" s="8" t="s">
        <v>22</v>
      </c>
      <c r="J849" s="8" t="s">
        <v>22</v>
      </c>
      <c r="K849" s="8" t="s">
        <v>406</v>
      </c>
      <c r="L849" s="8" t="s">
        <v>125</v>
      </c>
      <c r="M849" s="8" t="s">
        <v>126</v>
      </c>
      <c r="N849" s="8" t="s">
        <v>4078</v>
      </c>
      <c r="O849" s="8">
        <f>2+10/60+17.4/3600</f>
        <v>2.1715</v>
      </c>
      <c r="P849" s="8" t="s">
        <v>4079</v>
      </c>
      <c r="Q849" s="8">
        <f>-(10+19/60+14/3600)</f>
        <v>-10.320555555555556</v>
      </c>
      <c r="R849" s="8">
        <v>13</v>
      </c>
      <c r="S849" s="8">
        <v>13.6</v>
      </c>
      <c r="T849" s="8">
        <v>0.6</v>
      </c>
      <c r="U849" s="8">
        <v>13.3</v>
      </c>
      <c r="V849" s="8">
        <v>1.5</v>
      </c>
      <c r="W849" s="8">
        <v>1</v>
      </c>
      <c r="X849" s="8">
        <v>135</v>
      </c>
      <c r="Y849" s="8" t="s">
        <v>4080</v>
      </c>
      <c r="Z849" s="8" t="s">
        <v>4081</v>
      </c>
    </row>
    <row r="850" spans="1:26" x14ac:dyDescent="0.2">
      <c r="A850" s="8">
        <v>849</v>
      </c>
      <c r="B850" s="8" t="s">
        <v>4082</v>
      </c>
      <c r="C850" s="8" t="s">
        <v>4082</v>
      </c>
      <c r="F850" s="47"/>
      <c r="G850" s="8">
        <v>19</v>
      </c>
      <c r="H850" s="8" t="s">
        <v>21</v>
      </c>
      <c r="I850" s="8" t="s">
        <v>22</v>
      </c>
      <c r="J850" s="8" t="s">
        <v>22</v>
      </c>
      <c r="K850" s="8" t="s">
        <v>37</v>
      </c>
      <c r="L850" s="8" t="s">
        <v>125</v>
      </c>
      <c r="M850" s="8" t="s">
        <v>126</v>
      </c>
      <c r="N850" s="8" t="s">
        <v>4083</v>
      </c>
      <c r="O850" s="8">
        <f>2+10/60+11.2/3600</f>
        <v>2.1697777777777776</v>
      </c>
      <c r="P850" s="8" t="s">
        <v>4084</v>
      </c>
      <c r="Q850" s="8">
        <f>-(22+19/60+23/3600)</f>
        <v>-22.323055555555555</v>
      </c>
      <c r="R850" s="8">
        <v>14.3</v>
      </c>
      <c r="S850" s="8">
        <v>15.3</v>
      </c>
      <c r="T850" s="8">
        <v>1</v>
      </c>
      <c r="U850" s="8">
        <v>12.7</v>
      </c>
      <c r="V850" s="8">
        <v>0.5</v>
      </c>
      <c r="W850" s="8">
        <v>0.3</v>
      </c>
      <c r="X850" s="8">
        <v>117</v>
      </c>
      <c r="Y850" s="8" t="s">
        <v>4085</v>
      </c>
      <c r="Z850" s="8" t="s">
        <v>4086</v>
      </c>
    </row>
    <row r="851" spans="1:26" x14ac:dyDescent="0.2">
      <c r="A851" s="8">
        <v>850</v>
      </c>
      <c r="B851" s="8" t="s">
        <v>4087</v>
      </c>
      <c r="C851" s="8" t="s">
        <v>4087</v>
      </c>
      <c r="F851" s="47" t="s">
        <v>56182</v>
      </c>
      <c r="G851" s="8">
        <v>15</v>
      </c>
      <c r="H851" s="8" t="s">
        <v>21</v>
      </c>
      <c r="I851" s="8" t="s">
        <v>22</v>
      </c>
      <c r="J851" s="8" t="s">
        <v>22</v>
      </c>
      <c r="K851" s="8" t="s">
        <v>632</v>
      </c>
      <c r="L851" s="8" t="s">
        <v>125</v>
      </c>
      <c r="M851" s="8" t="s">
        <v>126</v>
      </c>
      <c r="N851" s="8" t="s">
        <v>4088</v>
      </c>
      <c r="O851" s="8">
        <f>2+11/60+13.5/3600</f>
        <v>2.1870833333333333</v>
      </c>
      <c r="P851" s="8" t="s">
        <v>4089</v>
      </c>
      <c r="Q851" s="8">
        <f>-(1+29/60+6/3600)</f>
        <v>-1.4850000000000001</v>
      </c>
      <c r="R851" s="8">
        <v>12.9</v>
      </c>
      <c r="S851" s="8">
        <v>13.8</v>
      </c>
      <c r="T851" s="8">
        <v>0.9</v>
      </c>
      <c r="U851" s="8">
        <v>12.9</v>
      </c>
      <c r="V851" s="8">
        <v>1.2</v>
      </c>
      <c r="W851" s="8">
        <v>1.1000000000000001</v>
      </c>
      <c r="X851" s="8">
        <v>85</v>
      </c>
      <c r="Y851" s="8" t="s">
        <v>4090</v>
      </c>
      <c r="Z851" s="8" t="s">
        <v>4091</v>
      </c>
    </row>
    <row r="852" spans="1:26" x14ac:dyDescent="0.2">
      <c r="A852" s="8">
        <v>851</v>
      </c>
      <c r="B852" s="8" t="s">
        <v>4092</v>
      </c>
      <c r="C852" s="8" t="s">
        <v>4092</v>
      </c>
      <c r="F852" s="47"/>
      <c r="G852" s="8">
        <v>19</v>
      </c>
      <c r="H852" s="8" t="s">
        <v>21</v>
      </c>
      <c r="I852" s="8" t="s">
        <v>22</v>
      </c>
      <c r="J852" s="8" t="s">
        <v>22</v>
      </c>
      <c r="K852" s="8" t="s">
        <v>632</v>
      </c>
      <c r="L852" s="8" t="s">
        <v>125</v>
      </c>
      <c r="M852" s="8" t="s">
        <v>126</v>
      </c>
      <c r="N852" s="8" t="s">
        <v>4093</v>
      </c>
      <c r="O852" s="8">
        <f>2+11/60+12.2/3600</f>
        <v>2.186722222222222</v>
      </c>
      <c r="P852" s="8" t="s">
        <v>4094</v>
      </c>
      <c r="Q852" s="8">
        <f>+(3+46/60+47/3600)</f>
        <v>3.779722222222222</v>
      </c>
      <c r="R852" s="8">
        <v>13.5</v>
      </c>
      <c r="S852" s="8">
        <v>14.4</v>
      </c>
      <c r="T852" s="8">
        <v>0.9</v>
      </c>
      <c r="U852" s="8">
        <v>13</v>
      </c>
      <c r="V852" s="8">
        <v>1</v>
      </c>
      <c r="W852" s="8">
        <v>0.6</v>
      </c>
      <c r="X852" s="8">
        <v>135</v>
      </c>
      <c r="Y852" s="8" t="s">
        <v>4095</v>
      </c>
      <c r="Z852" s="8" t="s">
        <v>4096</v>
      </c>
    </row>
    <row r="853" spans="1:26" x14ac:dyDescent="0.2">
      <c r="A853" s="8">
        <v>852</v>
      </c>
      <c r="B853" s="8" t="s">
        <v>4097</v>
      </c>
      <c r="C853" s="8" t="s">
        <v>4097</v>
      </c>
      <c r="F853" s="47"/>
      <c r="G853" s="8">
        <v>16</v>
      </c>
      <c r="H853" s="8" t="s">
        <v>21</v>
      </c>
      <c r="I853" s="8" t="s">
        <v>22</v>
      </c>
      <c r="J853" s="8" t="s">
        <v>22</v>
      </c>
      <c r="K853" s="8" t="s">
        <v>85</v>
      </c>
      <c r="L853" s="8" t="s">
        <v>3328</v>
      </c>
      <c r="M853" s="8" t="s">
        <v>3329</v>
      </c>
      <c r="N853" s="8" t="s">
        <v>4098</v>
      </c>
      <c r="O853" s="8">
        <f>2+8/60+55.2/3600</f>
        <v>2.1486666666666667</v>
      </c>
      <c r="P853" s="8" t="s">
        <v>4099</v>
      </c>
      <c r="Q853" s="8">
        <f>-(56+44/60+12/3600)</f>
        <v>-56.736666666666665</v>
      </c>
      <c r="R853" s="8">
        <v>13.4</v>
      </c>
      <c r="S853" s="8">
        <v>14.2</v>
      </c>
      <c r="T853" s="8">
        <v>0.8</v>
      </c>
      <c r="U853" s="8">
        <v>13.6</v>
      </c>
      <c r="V853" s="8">
        <v>1.3</v>
      </c>
      <c r="W853" s="8">
        <v>1.1000000000000001</v>
      </c>
      <c r="X853" s="8">
        <v>74</v>
      </c>
      <c r="Y853" s="8" t="s">
        <v>4100</v>
      </c>
      <c r="Z853" s="8" t="s">
        <v>4101</v>
      </c>
    </row>
    <row r="854" spans="1:26" x14ac:dyDescent="0.2">
      <c r="A854" s="8">
        <v>853</v>
      </c>
      <c r="B854" s="8" t="s">
        <v>4102</v>
      </c>
      <c r="C854" s="8" t="s">
        <v>4102</v>
      </c>
      <c r="F854" s="47" t="s">
        <v>56183</v>
      </c>
      <c r="G854" s="8">
        <v>15</v>
      </c>
      <c r="H854" s="8" t="s">
        <v>21</v>
      </c>
      <c r="I854" s="8" t="s">
        <v>22</v>
      </c>
      <c r="J854" s="8" t="s">
        <v>22</v>
      </c>
      <c r="K854" s="8" t="s">
        <v>4103</v>
      </c>
      <c r="L854" s="8" t="s">
        <v>125</v>
      </c>
      <c r="M854" s="8" t="s">
        <v>126</v>
      </c>
      <c r="N854" s="8" t="s">
        <v>4104</v>
      </c>
      <c r="O854" s="8">
        <f>2+11/60+41/3600</f>
        <v>2.194722222222222</v>
      </c>
      <c r="P854" s="8" t="s">
        <v>4105</v>
      </c>
      <c r="Q854" s="8">
        <f>-(9+18/60+19/3600)</f>
        <v>-9.3052777777777784</v>
      </c>
      <c r="R854" s="8">
        <v>12.8</v>
      </c>
      <c r="S854" s="8">
        <v>13.4</v>
      </c>
      <c r="T854" s="8">
        <v>0.6</v>
      </c>
      <c r="U854" s="8">
        <v>13.4</v>
      </c>
      <c r="V854" s="8">
        <v>1.6</v>
      </c>
      <c r="W854" s="8">
        <v>1.4</v>
      </c>
      <c r="X854" s="8">
        <v>69</v>
      </c>
      <c r="Y854" s="8" t="s">
        <v>1664</v>
      </c>
      <c r="Z854" s="8" t="s">
        <v>1665</v>
      </c>
    </row>
    <row r="855" spans="1:26" x14ac:dyDescent="0.2">
      <c r="A855" s="8">
        <v>854</v>
      </c>
      <c r="B855" s="8" t="s">
        <v>4106</v>
      </c>
      <c r="C855" s="8" t="s">
        <v>4106</v>
      </c>
      <c r="F855" s="47"/>
      <c r="G855" s="8">
        <v>16</v>
      </c>
      <c r="H855" s="8" t="s">
        <v>21</v>
      </c>
      <c r="I855" s="8" t="s">
        <v>22</v>
      </c>
      <c r="J855" s="8" t="s">
        <v>22</v>
      </c>
      <c r="K855" s="8" t="s">
        <v>64</v>
      </c>
      <c r="L855" s="8" t="s">
        <v>3335</v>
      </c>
      <c r="M855" s="8" t="s">
        <v>3336</v>
      </c>
      <c r="N855" s="8" t="s">
        <v>4107</v>
      </c>
      <c r="O855" s="8">
        <f>2+11/60+30.6/3600</f>
        <v>2.1918333333333333</v>
      </c>
      <c r="P855" s="8" t="s">
        <v>4108</v>
      </c>
      <c r="Q855" s="8">
        <f>-(35+50/60+8/3600)</f>
        <v>-35.835555555555558</v>
      </c>
      <c r="R855" s="8">
        <v>12.9</v>
      </c>
      <c r="S855" s="8">
        <v>13.6</v>
      </c>
      <c r="T855" s="8">
        <v>0.7</v>
      </c>
      <c r="U855" s="8">
        <v>12.8</v>
      </c>
      <c r="V855" s="8">
        <v>1.8</v>
      </c>
      <c r="W855" s="8">
        <v>0.6</v>
      </c>
      <c r="X855" s="8">
        <v>0</v>
      </c>
      <c r="Y855" s="8" t="s">
        <v>4109</v>
      </c>
      <c r="Z855" s="8" t="s">
        <v>4110</v>
      </c>
    </row>
    <row r="856" spans="1:26" x14ac:dyDescent="0.2">
      <c r="A856" s="8">
        <v>855</v>
      </c>
      <c r="B856" s="8" t="s">
        <v>4111</v>
      </c>
      <c r="C856" s="8" t="s">
        <v>4111</v>
      </c>
      <c r="F856" s="47" t="s">
        <v>56184</v>
      </c>
      <c r="G856" s="8">
        <v>15</v>
      </c>
      <c r="H856" s="8" t="s">
        <v>21</v>
      </c>
      <c r="I856" s="8" t="s">
        <v>22</v>
      </c>
      <c r="J856" s="8" t="s">
        <v>22</v>
      </c>
      <c r="K856" s="8" t="s">
        <v>3850</v>
      </c>
      <c r="L856" s="8" t="s">
        <v>2809</v>
      </c>
      <c r="M856" s="8" t="s">
        <v>2810</v>
      </c>
      <c r="N856" s="8" t="s">
        <v>4112</v>
      </c>
      <c r="O856" s="8">
        <f>2+14/60+3.7/3600</f>
        <v>2.2343611111111112</v>
      </c>
      <c r="P856" s="8" t="s">
        <v>4113</v>
      </c>
      <c r="Q856" s="8">
        <f>+(27+52/60+40/3600)</f>
        <v>27.87777777777778</v>
      </c>
      <c r="R856" s="8">
        <v>12.6</v>
      </c>
      <c r="S856" s="8">
        <v>13.3</v>
      </c>
      <c r="T856" s="8">
        <v>0.7</v>
      </c>
      <c r="U856" s="8">
        <v>13.6</v>
      </c>
      <c r="V856" s="8">
        <v>2.6</v>
      </c>
      <c r="W856" s="8">
        <v>1</v>
      </c>
      <c r="X856" s="8">
        <v>63</v>
      </c>
      <c r="Y856" s="8" t="s">
        <v>4114</v>
      </c>
      <c r="Z856" s="8" t="s">
        <v>4115</v>
      </c>
    </row>
    <row r="857" spans="1:26" x14ac:dyDescent="0.2">
      <c r="A857" s="8">
        <v>856</v>
      </c>
      <c r="B857" s="8" t="s">
        <v>4116</v>
      </c>
      <c r="C857" s="8" t="s">
        <v>4116</v>
      </c>
      <c r="F857" s="47"/>
      <c r="G857" s="8">
        <v>19</v>
      </c>
      <c r="H857" s="8" t="s">
        <v>21</v>
      </c>
      <c r="I857" s="8" t="s">
        <v>22</v>
      </c>
      <c r="J857" s="8" t="s">
        <v>57</v>
      </c>
      <c r="K857" s="8" t="s">
        <v>91</v>
      </c>
      <c r="L857" s="8" t="s">
        <v>125</v>
      </c>
      <c r="M857" s="8" t="s">
        <v>126</v>
      </c>
      <c r="N857" s="8" t="s">
        <v>4117</v>
      </c>
      <c r="O857" s="8">
        <f>2+13/60+38.4/3600</f>
        <v>2.2273333333333336</v>
      </c>
      <c r="P857" s="8" t="s">
        <v>4118</v>
      </c>
      <c r="Q857" s="8">
        <f>-(0+43/60+0/3600)</f>
        <v>-0.71666666666666667</v>
      </c>
      <c r="R857" s="8">
        <v>13.2</v>
      </c>
      <c r="S857" s="8">
        <v>14.1</v>
      </c>
      <c r="T857" s="8">
        <v>0.9</v>
      </c>
      <c r="U857" s="8">
        <v>13.3</v>
      </c>
      <c r="V857" s="8">
        <v>1.3</v>
      </c>
      <c r="W857" s="8">
        <v>0.9</v>
      </c>
      <c r="X857" s="8">
        <v>20</v>
      </c>
      <c r="Y857" s="8" t="s">
        <v>4119</v>
      </c>
      <c r="Z857" s="8" t="s">
        <v>4120</v>
      </c>
    </row>
    <row r="858" spans="1:26" x14ac:dyDescent="0.2">
      <c r="A858" s="8">
        <v>857</v>
      </c>
      <c r="B858" s="8" t="s">
        <v>4121</v>
      </c>
      <c r="C858" s="8" t="s">
        <v>4121</v>
      </c>
      <c r="F858" s="47"/>
      <c r="G858" s="8">
        <v>16</v>
      </c>
      <c r="H858" s="8" t="s">
        <v>21</v>
      </c>
      <c r="I858" s="8" t="s">
        <v>22</v>
      </c>
      <c r="J858" s="8" t="s">
        <v>22</v>
      </c>
      <c r="K858" s="8" t="s">
        <v>37</v>
      </c>
      <c r="L858" s="8" t="s">
        <v>3335</v>
      </c>
      <c r="M858" s="8" t="s">
        <v>3336</v>
      </c>
      <c r="N858" s="8" t="s">
        <v>4122</v>
      </c>
      <c r="O858" s="8">
        <f>2+12/60+37/3600</f>
        <v>2.2102777777777778</v>
      </c>
      <c r="P858" s="8" t="s">
        <v>4123</v>
      </c>
      <c r="Q858" s="8">
        <f>-(31+56/60+40/3600)</f>
        <v>-31.944444444444446</v>
      </c>
      <c r="R858" s="8">
        <v>12.7</v>
      </c>
      <c r="S858" s="8">
        <v>13.7</v>
      </c>
      <c r="T858" s="8">
        <v>1</v>
      </c>
      <c r="U858" s="8">
        <v>13.2</v>
      </c>
      <c r="V858" s="8">
        <v>1.5</v>
      </c>
      <c r="W858" s="8">
        <v>1.3</v>
      </c>
      <c r="X858" s="8">
        <v>92</v>
      </c>
      <c r="Y858" s="8" t="s">
        <v>4124</v>
      </c>
      <c r="Z858" s="8" t="s">
        <v>4125</v>
      </c>
    </row>
    <row r="859" spans="1:26" x14ac:dyDescent="0.2">
      <c r="A859" s="8">
        <v>858</v>
      </c>
      <c r="B859" s="8" t="s">
        <v>4126</v>
      </c>
      <c r="C859" s="8" t="s">
        <v>4126</v>
      </c>
      <c r="E859" s="8">
        <v>1</v>
      </c>
      <c r="F859" s="47"/>
      <c r="G859" s="8">
        <v>19</v>
      </c>
      <c r="H859" s="8" t="s">
        <v>21</v>
      </c>
      <c r="I859" s="8" t="s">
        <v>22</v>
      </c>
      <c r="J859" s="8" t="s">
        <v>22</v>
      </c>
      <c r="K859" s="8" t="s">
        <v>64</v>
      </c>
      <c r="L859" s="8" t="s">
        <v>125</v>
      </c>
      <c r="M859" s="8" t="s">
        <v>126</v>
      </c>
      <c r="N859" s="8" t="s">
        <v>4127</v>
      </c>
      <c r="O859" s="8">
        <f>2+12/60+30.2/3600</f>
        <v>2.208388888888889</v>
      </c>
      <c r="P859" s="8" t="s">
        <v>4128</v>
      </c>
      <c r="Q859" s="8">
        <f>-(22+28/60+17/3600)</f>
        <v>-22.471388888888889</v>
      </c>
      <c r="R859" s="8">
        <v>13.7</v>
      </c>
      <c r="S859" s="8">
        <v>14.3</v>
      </c>
      <c r="T859" s="8">
        <v>0.6</v>
      </c>
      <c r="U859" s="8">
        <v>13.9</v>
      </c>
      <c r="V859" s="8">
        <v>1.3</v>
      </c>
      <c r="W859" s="8">
        <v>1.1000000000000001</v>
      </c>
      <c r="Y859" s="8" t="s">
        <v>2734</v>
      </c>
      <c r="Z859" s="8" t="s">
        <v>2735</v>
      </c>
    </row>
    <row r="860" spans="1:26" x14ac:dyDescent="0.2">
      <c r="A860" s="8">
        <v>859</v>
      </c>
      <c r="B860" s="8" t="s">
        <v>4129</v>
      </c>
      <c r="C860" s="8" t="s">
        <v>4129</v>
      </c>
      <c r="F860" s="47"/>
      <c r="G860" s="8">
        <v>19</v>
      </c>
      <c r="H860" s="8" t="s">
        <v>21</v>
      </c>
      <c r="I860" s="8" t="s">
        <v>22</v>
      </c>
      <c r="J860" s="8" t="s">
        <v>22</v>
      </c>
      <c r="K860" s="8" t="s">
        <v>91</v>
      </c>
      <c r="L860" s="8" t="s">
        <v>125</v>
      </c>
      <c r="M860" s="8" t="s">
        <v>126</v>
      </c>
      <c r="N860" s="8" t="s">
        <v>4117</v>
      </c>
      <c r="O860" s="8">
        <f>2+13/60+38.4/3600</f>
        <v>2.2273333333333336</v>
      </c>
      <c r="P860" s="8" t="s">
        <v>4118</v>
      </c>
      <c r="Q860" s="8">
        <f>-(0+43/60+0/3600)</f>
        <v>-0.71666666666666667</v>
      </c>
      <c r="R860" s="8">
        <v>13.2</v>
      </c>
      <c r="S860" s="8">
        <v>14.1</v>
      </c>
      <c r="T860" s="8">
        <v>0.9</v>
      </c>
      <c r="U860" s="8">
        <v>13.3</v>
      </c>
      <c r="V860" s="8">
        <v>1.3</v>
      </c>
      <c r="W860" s="8">
        <v>0.9</v>
      </c>
      <c r="X860" s="8">
        <v>20</v>
      </c>
      <c r="Y860" s="8" t="s">
        <v>4119</v>
      </c>
      <c r="Z860" s="8" t="s">
        <v>4130</v>
      </c>
    </row>
    <row r="861" spans="1:26" x14ac:dyDescent="0.2">
      <c r="A861" s="8">
        <v>860</v>
      </c>
      <c r="B861" s="8" t="s">
        <v>4131</v>
      </c>
      <c r="C861" s="8" t="s">
        <v>4131</v>
      </c>
      <c r="F861" s="47"/>
      <c r="G861" s="8">
        <v>18</v>
      </c>
      <c r="H861" s="8" t="s">
        <v>21</v>
      </c>
      <c r="I861" s="8" t="s">
        <v>22</v>
      </c>
      <c r="J861" s="8" t="s">
        <v>22</v>
      </c>
      <c r="K861" s="8" t="s">
        <v>50</v>
      </c>
      <c r="L861" s="8" t="s">
        <v>2809</v>
      </c>
      <c r="M861" s="8" t="s">
        <v>2810</v>
      </c>
      <c r="N861" s="8" t="s">
        <v>4132</v>
      </c>
      <c r="O861" s="8">
        <f>2+15/60+0.1/3600</f>
        <v>2.250027777777778</v>
      </c>
      <c r="P861" s="8" t="s">
        <v>4133</v>
      </c>
      <c r="Q861" s="8">
        <f>+(30+46/60+46/3600)</f>
        <v>30.779444444444444</v>
      </c>
      <c r="R861" s="8">
        <v>14.3</v>
      </c>
      <c r="S861" s="8">
        <v>15.3</v>
      </c>
      <c r="T861" s="8">
        <v>1</v>
      </c>
      <c r="U861" s="8">
        <v>13.2</v>
      </c>
      <c r="V861" s="8">
        <v>0.5</v>
      </c>
      <c r="W861" s="8">
        <v>0.3</v>
      </c>
      <c r="X861" s="8">
        <v>138</v>
      </c>
      <c r="Y861" s="8" t="s">
        <v>4134</v>
      </c>
      <c r="Z861" s="8" t="s">
        <v>4135</v>
      </c>
    </row>
    <row r="862" spans="1:26" x14ac:dyDescent="0.2">
      <c r="A862" s="8">
        <v>861</v>
      </c>
      <c r="B862" s="8" t="s">
        <v>4136</v>
      </c>
      <c r="C862" s="8" t="s">
        <v>4136</v>
      </c>
      <c r="F862" s="47"/>
      <c r="G862" s="8">
        <v>18</v>
      </c>
      <c r="H862" s="8" t="s">
        <v>21</v>
      </c>
      <c r="I862" s="8" t="s">
        <v>22</v>
      </c>
      <c r="J862" s="8" t="s">
        <v>22</v>
      </c>
      <c r="K862" s="8" t="s">
        <v>23</v>
      </c>
      <c r="L862" s="8" t="s">
        <v>2809</v>
      </c>
      <c r="M862" s="8" t="s">
        <v>2810</v>
      </c>
      <c r="N862" s="8" t="s">
        <v>4137</v>
      </c>
      <c r="O862" s="8">
        <f>2+15/60+51.1/3600</f>
        <v>2.2641944444444446</v>
      </c>
      <c r="P862" s="8" t="s">
        <v>4138</v>
      </c>
      <c r="Q862" s="8">
        <f>+(35+54/60+50/3600)</f>
        <v>35.913888888888884</v>
      </c>
      <c r="R862" s="8">
        <v>13.8</v>
      </c>
      <c r="S862" s="8">
        <v>14.6</v>
      </c>
      <c r="T862" s="8">
        <v>0.8</v>
      </c>
      <c r="U862" s="8">
        <v>13.4</v>
      </c>
      <c r="V862" s="8">
        <v>1.5</v>
      </c>
      <c r="W862" s="8">
        <v>0.5</v>
      </c>
      <c r="X862" s="8">
        <v>38</v>
      </c>
      <c r="Y862" s="8" t="s">
        <v>4139</v>
      </c>
      <c r="Z862" s="8" t="s">
        <v>4140</v>
      </c>
    </row>
    <row r="863" spans="1:26" x14ac:dyDescent="0.2">
      <c r="A863" s="8">
        <v>862</v>
      </c>
      <c r="B863" s="8" t="s">
        <v>4141</v>
      </c>
      <c r="C863" s="8" t="s">
        <v>4141</v>
      </c>
      <c r="F863" s="47"/>
      <c r="G863" s="8">
        <v>16</v>
      </c>
      <c r="H863" s="8" t="s">
        <v>21</v>
      </c>
      <c r="I863" s="8" t="s">
        <v>22</v>
      </c>
      <c r="J863" s="8" t="s">
        <v>22</v>
      </c>
      <c r="K863" s="8" t="s">
        <v>460</v>
      </c>
      <c r="L863" s="8" t="s">
        <v>166</v>
      </c>
      <c r="M863" s="8" t="s">
        <v>167</v>
      </c>
      <c r="N863" s="8" t="s">
        <v>4142</v>
      </c>
      <c r="O863" s="8">
        <f>2+13/60+2.8/3600</f>
        <v>2.2174444444444448</v>
      </c>
      <c r="P863" s="8" t="s">
        <v>4143</v>
      </c>
      <c r="Q863" s="8">
        <f>-(42+2/60+1/3600)</f>
        <v>-42.033611111111107</v>
      </c>
      <c r="R863" s="8">
        <v>11.8</v>
      </c>
      <c r="S863" s="8">
        <v>12.8</v>
      </c>
      <c r="T863" s="8">
        <v>1</v>
      </c>
      <c r="U863" s="8">
        <v>12.4</v>
      </c>
      <c r="V863" s="8">
        <v>0.8</v>
      </c>
      <c r="W863" s="8">
        <v>0.8</v>
      </c>
      <c r="Y863" s="8" t="s">
        <v>4144</v>
      </c>
      <c r="Z863" s="8" t="s">
        <v>4145</v>
      </c>
    </row>
    <row r="864" spans="1:26" x14ac:dyDescent="0.2">
      <c r="A864" s="8">
        <v>863</v>
      </c>
      <c r="B864" s="8" t="s">
        <v>4146</v>
      </c>
      <c r="C864" s="8" t="s">
        <v>4146</v>
      </c>
      <c r="F864" s="47" t="s">
        <v>56185</v>
      </c>
      <c r="G864" s="8">
        <v>15</v>
      </c>
      <c r="H864" s="8" t="s">
        <v>21</v>
      </c>
      <c r="I864" s="8" t="s">
        <v>22</v>
      </c>
      <c r="J864" s="8" t="s">
        <v>22</v>
      </c>
      <c r="K864" s="8" t="s">
        <v>91</v>
      </c>
      <c r="L864" s="8" t="s">
        <v>125</v>
      </c>
      <c r="M864" s="8" t="s">
        <v>126</v>
      </c>
      <c r="N864" s="8" t="s">
        <v>4147</v>
      </c>
      <c r="O864" s="8">
        <f>2+14/60+33.5/3600</f>
        <v>2.2426388888888891</v>
      </c>
      <c r="P864" s="8" t="s">
        <v>4148</v>
      </c>
      <c r="Q864" s="8">
        <f>-(0+45/60+58/3600)</f>
        <v>-0.76611111111111108</v>
      </c>
      <c r="R864" s="8">
        <v>12.9</v>
      </c>
      <c r="S864" s="8">
        <v>13.8</v>
      </c>
      <c r="T864" s="8">
        <v>0.9</v>
      </c>
      <c r="U864" s="8">
        <v>12.9</v>
      </c>
      <c r="V864" s="8">
        <v>1.1000000000000001</v>
      </c>
      <c r="W864" s="8">
        <v>1</v>
      </c>
      <c r="X864" s="8">
        <v>69</v>
      </c>
      <c r="Y864" s="8" t="s">
        <v>4149</v>
      </c>
      <c r="Z864" s="8" t="s">
        <v>4150</v>
      </c>
    </row>
    <row r="865" spans="1:26" x14ac:dyDescent="0.2">
      <c r="A865" s="8">
        <v>864</v>
      </c>
      <c r="B865" s="8" t="s">
        <v>4151</v>
      </c>
      <c r="C865" s="8" t="s">
        <v>4151</v>
      </c>
      <c r="F865" s="47" t="s">
        <v>56186</v>
      </c>
      <c r="G865" s="8">
        <v>9</v>
      </c>
      <c r="H865" s="8" t="s">
        <v>21</v>
      </c>
      <c r="I865" s="8" t="s">
        <v>22</v>
      </c>
      <c r="J865" s="8" t="s">
        <v>22</v>
      </c>
      <c r="K865" s="8" t="s">
        <v>64</v>
      </c>
      <c r="L865" s="8" t="s">
        <v>125</v>
      </c>
      <c r="M865" s="8" t="s">
        <v>126</v>
      </c>
      <c r="N865" s="8" t="s">
        <v>4152</v>
      </c>
      <c r="O865" s="8">
        <f>2+15/60+27.5/3600</f>
        <v>2.2576388888888888</v>
      </c>
      <c r="P865" s="8" t="s">
        <v>4153</v>
      </c>
      <c r="Q865" s="8">
        <f>+(6+0/60+7/3600)</f>
        <v>6.0019444444444447</v>
      </c>
      <c r="R865" s="8">
        <v>10.9</v>
      </c>
      <c r="S865" s="8">
        <v>11.4</v>
      </c>
      <c r="T865" s="8">
        <v>0.5</v>
      </c>
      <c r="U865" s="8">
        <v>13.7</v>
      </c>
      <c r="V865" s="8">
        <v>4.7</v>
      </c>
      <c r="W865" s="8">
        <v>3.5</v>
      </c>
      <c r="X865" s="8">
        <v>20</v>
      </c>
      <c r="Y865" s="8" t="s">
        <v>4154</v>
      </c>
      <c r="Z865" s="8" t="s">
        <v>4155</v>
      </c>
    </row>
    <row r="866" spans="1:26" x14ac:dyDescent="0.2">
      <c r="A866" s="8">
        <v>865</v>
      </c>
      <c r="B866" s="8" t="s">
        <v>4156</v>
      </c>
      <c r="C866" s="8" t="s">
        <v>4156</v>
      </c>
      <c r="F866" s="47"/>
      <c r="G866" s="8">
        <v>18</v>
      </c>
      <c r="H866" s="8" t="s">
        <v>21</v>
      </c>
      <c r="I866" s="8" t="s">
        <v>22</v>
      </c>
      <c r="J866" s="8" t="s">
        <v>22</v>
      </c>
      <c r="K866" s="8" t="s">
        <v>476</v>
      </c>
      <c r="L866" s="8" t="s">
        <v>2809</v>
      </c>
      <c r="M866" s="8" t="s">
        <v>2810</v>
      </c>
      <c r="N866" s="8" t="s">
        <v>4157</v>
      </c>
      <c r="O866" s="8">
        <f>2+16/60+15.1/3600</f>
        <v>2.270861111111111</v>
      </c>
      <c r="P866" s="8" t="s">
        <v>4158</v>
      </c>
      <c r="Q866" s="8">
        <f>+(28+36/60+3/3600)</f>
        <v>28.600833333333334</v>
      </c>
      <c r="R866" s="8">
        <v>13.2</v>
      </c>
      <c r="S866" s="8">
        <v>14.1</v>
      </c>
      <c r="T866" s="8">
        <v>0.9</v>
      </c>
      <c r="U866" s="8">
        <v>12.5</v>
      </c>
      <c r="V866" s="8">
        <v>1.5</v>
      </c>
      <c r="W866" s="8">
        <v>0.4</v>
      </c>
      <c r="X866" s="8">
        <v>165</v>
      </c>
      <c r="Y866" s="8" t="s">
        <v>4159</v>
      </c>
      <c r="Z866" s="8" t="s">
        <v>4160</v>
      </c>
    </row>
    <row r="867" spans="1:26" x14ac:dyDescent="0.2">
      <c r="A867" s="8">
        <v>866</v>
      </c>
      <c r="B867" s="8" t="s">
        <v>4161</v>
      </c>
      <c r="C867" s="8" t="s">
        <v>4161</v>
      </c>
      <c r="F867" s="47"/>
      <c r="G867" s="8">
        <v>19</v>
      </c>
      <c r="H867" s="8" t="s">
        <v>21</v>
      </c>
      <c r="I867" s="8" t="s">
        <v>22</v>
      </c>
      <c r="J867" s="8" t="s">
        <v>57</v>
      </c>
      <c r="K867" s="8" t="s">
        <v>91</v>
      </c>
      <c r="L867" s="8" t="s">
        <v>125</v>
      </c>
      <c r="M867" s="8" t="s">
        <v>126</v>
      </c>
      <c r="N867" s="8" t="s">
        <v>4147</v>
      </c>
      <c r="O867" s="8">
        <f>2+14/60+33.5/3600</f>
        <v>2.2426388888888891</v>
      </c>
      <c r="P867" s="8" t="s">
        <v>4148</v>
      </c>
      <c r="Q867" s="8">
        <f>-(0+45/60+58/3600)</f>
        <v>-0.76611111111111108</v>
      </c>
      <c r="R867" s="8">
        <v>12.9</v>
      </c>
      <c r="S867" s="8">
        <v>13.8</v>
      </c>
      <c r="T867" s="8">
        <v>0.9</v>
      </c>
      <c r="U867" s="8">
        <v>12.9</v>
      </c>
      <c r="V867" s="8">
        <v>1.1000000000000001</v>
      </c>
      <c r="W867" s="8">
        <v>1</v>
      </c>
      <c r="X867" s="8">
        <v>69</v>
      </c>
      <c r="Y867" s="8" t="s">
        <v>4149</v>
      </c>
      <c r="Z867" s="8" t="s">
        <v>4130</v>
      </c>
    </row>
    <row r="868" spans="1:26" x14ac:dyDescent="0.2">
      <c r="A868" s="8">
        <v>867</v>
      </c>
      <c r="B868" s="8" t="s">
        <v>4162</v>
      </c>
      <c r="C868" s="8" t="s">
        <v>4162</v>
      </c>
      <c r="F868" s="47" t="s">
        <v>56187</v>
      </c>
      <c r="G868" s="8">
        <v>15</v>
      </c>
      <c r="H868" s="8" t="s">
        <v>21</v>
      </c>
      <c r="I868" s="8" t="s">
        <v>22</v>
      </c>
      <c r="J868" s="8" t="s">
        <v>22</v>
      </c>
      <c r="K868" s="8" t="s">
        <v>632</v>
      </c>
      <c r="L868" s="8" t="s">
        <v>125</v>
      </c>
      <c r="M868" s="8" t="s">
        <v>126</v>
      </c>
      <c r="N868" s="8" t="s">
        <v>4163</v>
      </c>
      <c r="O868" s="8">
        <f>2+17/60+4.8/3600</f>
        <v>2.2846666666666664</v>
      </c>
      <c r="P868" s="8" t="s">
        <v>4164</v>
      </c>
      <c r="Q868" s="8">
        <f>+(1+14/60+41/3600)</f>
        <v>1.2447222222222223</v>
      </c>
      <c r="R868" s="8">
        <v>12.9</v>
      </c>
      <c r="S868" s="8">
        <v>13.8</v>
      </c>
      <c r="T868" s="8">
        <v>0.9</v>
      </c>
      <c r="U868" s="8">
        <v>13</v>
      </c>
      <c r="V868" s="8">
        <v>1.2</v>
      </c>
      <c r="W868" s="8">
        <v>1.1000000000000001</v>
      </c>
      <c r="X868" s="8">
        <v>105</v>
      </c>
      <c r="Y868" s="8" t="s">
        <v>4165</v>
      </c>
      <c r="Z868" s="8" t="s">
        <v>4166</v>
      </c>
    </row>
    <row r="869" spans="1:26" x14ac:dyDescent="0.2">
      <c r="A869" s="8">
        <v>868</v>
      </c>
      <c r="B869" s="8" t="s">
        <v>4167</v>
      </c>
      <c r="C869" s="8" t="s">
        <v>4167</v>
      </c>
      <c r="F869" s="47"/>
      <c r="G869" s="8">
        <v>19</v>
      </c>
      <c r="H869" s="8" t="s">
        <v>21</v>
      </c>
      <c r="I869" s="8" t="s">
        <v>22</v>
      </c>
      <c r="J869" s="8" t="s">
        <v>22</v>
      </c>
      <c r="K869" s="8" t="s">
        <v>58</v>
      </c>
      <c r="L869" s="8" t="s">
        <v>125</v>
      </c>
      <c r="M869" s="8" t="s">
        <v>126</v>
      </c>
      <c r="N869" s="8" t="s">
        <v>4168</v>
      </c>
      <c r="O869" s="8">
        <f>2+15/60+58.5/3600</f>
        <v>2.2662499999999999</v>
      </c>
      <c r="P869" s="8" t="s">
        <v>4169</v>
      </c>
      <c r="Q869" s="8">
        <f>-(0+42/60+46/3600)</f>
        <v>-0.71277777777777773</v>
      </c>
      <c r="R869" s="8">
        <v>13.9</v>
      </c>
      <c r="S869" s="8">
        <v>14.9</v>
      </c>
      <c r="T869" s="8">
        <v>1</v>
      </c>
      <c r="U869" s="8">
        <v>14.1</v>
      </c>
      <c r="V869" s="8">
        <v>1.3</v>
      </c>
      <c r="W869" s="8">
        <v>1</v>
      </c>
      <c r="X869" s="8">
        <v>95</v>
      </c>
      <c r="Y869" s="8" t="s">
        <v>4170</v>
      </c>
      <c r="Z869" s="8" t="s">
        <v>4171</v>
      </c>
    </row>
    <row r="870" spans="1:26" x14ac:dyDescent="0.2">
      <c r="A870" s="8">
        <v>869</v>
      </c>
      <c r="B870" s="8" t="s">
        <v>4172</v>
      </c>
      <c r="C870" s="8" t="s">
        <v>4172</v>
      </c>
      <c r="F870" s="47" t="s">
        <v>56188</v>
      </c>
      <c r="G870" s="8">
        <v>2</v>
      </c>
      <c r="H870" s="8" t="s">
        <v>4173</v>
      </c>
      <c r="I870" s="8" t="s">
        <v>557</v>
      </c>
      <c r="J870" s="8" t="s">
        <v>557</v>
      </c>
      <c r="K870" s="8" t="s">
        <v>2262</v>
      </c>
      <c r="L870" s="8" t="s">
        <v>3147</v>
      </c>
      <c r="M870" s="8" t="s">
        <v>3148</v>
      </c>
      <c r="N870" s="8" t="s">
        <v>4174</v>
      </c>
      <c r="O870" s="8">
        <f>2+19/60+4/3600</f>
        <v>2.3177777777777777</v>
      </c>
      <c r="P870" s="8" t="s">
        <v>4175</v>
      </c>
      <c r="Q870" s="8">
        <f>+(57+8/60+6/3600)</f>
        <v>57.134999999999998</v>
      </c>
      <c r="R870" s="8">
        <v>5.3</v>
      </c>
      <c r="S870" s="8">
        <v>99</v>
      </c>
      <c r="T870" s="8">
        <v>99</v>
      </c>
      <c r="U870" s="8">
        <v>99</v>
      </c>
      <c r="V870" s="8">
        <v>18</v>
      </c>
      <c r="Y870" s="8" t="s">
        <v>4176</v>
      </c>
      <c r="Z870" s="8" t="s">
        <v>4177</v>
      </c>
    </row>
    <row r="871" spans="1:26" x14ac:dyDescent="0.2">
      <c r="A871" s="8">
        <v>870</v>
      </c>
      <c r="B871" s="8" t="s">
        <v>4178</v>
      </c>
      <c r="C871" s="8" t="s">
        <v>4178</v>
      </c>
      <c r="F871" s="47"/>
      <c r="G871" s="8">
        <v>18</v>
      </c>
      <c r="H871" s="8" t="s">
        <v>21</v>
      </c>
      <c r="I871" s="8" t="s">
        <v>22</v>
      </c>
      <c r="J871" s="8" t="s">
        <v>22</v>
      </c>
      <c r="K871" s="8" t="s">
        <v>424</v>
      </c>
      <c r="L871" s="8" t="s">
        <v>3256</v>
      </c>
      <c r="M871" s="8" t="s">
        <v>3257</v>
      </c>
      <c r="N871" s="8" t="s">
        <v>4179</v>
      </c>
      <c r="O871" s="8">
        <f>2+17/60+9.1/3600</f>
        <v>2.2858611111111111</v>
      </c>
      <c r="P871" s="8" t="s">
        <v>4180</v>
      </c>
      <c r="Q871" s="8">
        <f>+(14+31/60+22/3600)</f>
        <v>14.522777777777778</v>
      </c>
      <c r="R871" s="8">
        <v>15.5</v>
      </c>
      <c r="S871" s="8">
        <v>16.5</v>
      </c>
      <c r="T871" s="8">
        <v>1</v>
      </c>
      <c r="U871" s="8">
        <v>12.7</v>
      </c>
      <c r="V871" s="8">
        <v>0.3</v>
      </c>
      <c r="W871" s="8">
        <v>0.3</v>
      </c>
      <c r="Y871" s="8" t="s">
        <v>4181</v>
      </c>
      <c r="Z871" s="8" t="s">
        <v>4182</v>
      </c>
    </row>
    <row r="872" spans="1:26" x14ac:dyDescent="0.2">
      <c r="A872" s="8">
        <v>871</v>
      </c>
      <c r="B872" s="8" t="s">
        <v>4183</v>
      </c>
      <c r="C872" s="8" t="s">
        <v>4183</v>
      </c>
      <c r="F872" s="47" t="s">
        <v>56189</v>
      </c>
      <c r="G872" s="8">
        <v>15</v>
      </c>
      <c r="H872" s="8" t="s">
        <v>21</v>
      </c>
      <c r="I872" s="8" t="s">
        <v>22</v>
      </c>
      <c r="J872" s="8" t="s">
        <v>22</v>
      </c>
      <c r="K872" s="8" t="s">
        <v>64</v>
      </c>
      <c r="L872" s="8" t="s">
        <v>3256</v>
      </c>
      <c r="M872" s="8" t="s">
        <v>3257</v>
      </c>
      <c r="N872" s="8" t="s">
        <v>4184</v>
      </c>
      <c r="O872" s="8">
        <f>2+17/60+10.6/3600</f>
        <v>2.2862777777777779</v>
      </c>
      <c r="P872" s="8" t="s">
        <v>4185</v>
      </c>
      <c r="Q872" s="8">
        <f>+(14+32/60+51/3600)</f>
        <v>14.547499999999999</v>
      </c>
      <c r="R872" s="8">
        <v>13.6</v>
      </c>
      <c r="S872" s="8">
        <v>14.2</v>
      </c>
      <c r="T872" s="8">
        <v>0.6</v>
      </c>
      <c r="U872" s="8">
        <v>12.8</v>
      </c>
      <c r="V872" s="8">
        <v>1.1000000000000001</v>
      </c>
      <c r="W872" s="8">
        <v>0.5</v>
      </c>
      <c r="X872" s="8">
        <v>4</v>
      </c>
      <c r="Y872" s="8" t="s">
        <v>4186</v>
      </c>
      <c r="Z872" s="8" t="s">
        <v>4187</v>
      </c>
    </row>
    <row r="873" spans="1:26" x14ac:dyDescent="0.2">
      <c r="A873" s="8">
        <v>872</v>
      </c>
      <c r="B873" s="8" t="s">
        <v>4188</v>
      </c>
      <c r="C873" s="8" t="s">
        <v>4188</v>
      </c>
      <c r="F873" s="47"/>
      <c r="G873" s="8">
        <v>19</v>
      </c>
      <c r="H873" s="8" t="s">
        <v>21</v>
      </c>
      <c r="I873" s="8" t="s">
        <v>22</v>
      </c>
      <c r="J873" s="8" t="s">
        <v>22</v>
      </c>
      <c r="K873" s="8" t="s">
        <v>160</v>
      </c>
      <c r="L873" s="8" t="s">
        <v>125</v>
      </c>
      <c r="M873" s="8" t="s">
        <v>126</v>
      </c>
      <c r="N873" s="8" t="s">
        <v>4189</v>
      </c>
      <c r="O873" s="8">
        <f>2+15/60+25.2/3600</f>
        <v>2.2570000000000001</v>
      </c>
      <c r="P873" s="8" t="s">
        <v>4190</v>
      </c>
      <c r="Q873" s="8">
        <f>-(17+46/60+55/3600)</f>
        <v>-17.781944444444445</v>
      </c>
      <c r="R873" s="8">
        <v>13.7</v>
      </c>
      <c r="S873" s="8">
        <v>14.4</v>
      </c>
      <c r="T873" s="8">
        <v>0.7</v>
      </c>
      <c r="U873" s="8">
        <v>13.2</v>
      </c>
      <c r="V873" s="8">
        <v>1.5</v>
      </c>
      <c r="W873" s="8">
        <v>0.5</v>
      </c>
      <c r="X873" s="8">
        <v>174</v>
      </c>
      <c r="Y873" s="8" t="s">
        <v>4191</v>
      </c>
      <c r="Z873" s="8" t="s">
        <v>4192</v>
      </c>
    </row>
    <row r="874" spans="1:26" x14ac:dyDescent="0.2">
      <c r="A874" s="8">
        <v>873</v>
      </c>
      <c r="B874" s="8" t="s">
        <v>4193</v>
      </c>
      <c r="C874" s="8" t="s">
        <v>4193</v>
      </c>
      <c r="F874" s="47" t="s">
        <v>56190</v>
      </c>
      <c r="G874" s="8">
        <v>15</v>
      </c>
      <c r="H874" s="8" t="s">
        <v>21</v>
      </c>
      <c r="I874" s="8" t="s">
        <v>22</v>
      </c>
      <c r="J874" s="8" t="s">
        <v>22</v>
      </c>
      <c r="K874" s="8" t="s">
        <v>160</v>
      </c>
      <c r="L874" s="8" t="s">
        <v>125</v>
      </c>
      <c r="M874" s="8" t="s">
        <v>126</v>
      </c>
      <c r="N874" s="8" t="s">
        <v>4194</v>
      </c>
      <c r="O874" s="8">
        <f>2+16/60+32.3/3600</f>
        <v>2.275638888888889</v>
      </c>
      <c r="P874" s="8" t="s">
        <v>4195</v>
      </c>
      <c r="Q874" s="8">
        <f>-(11+20/60+55/3600)</f>
        <v>-11.348611111111111</v>
      </c>
      <c r="R874" s="8">
        <v>12.6</v>
      </c>
      <c r="S874" s="8">
        <v>13.3</v>
      </c>
      <c r="T874" s="8">
        <v>0.7</v>
      </c>
      <c r="U874" s="8">
        <v>13.2</v>
      </c>
      <c r="V874" s="8">
        <v>1.6</v>
      </c>
      <c r="W874" s="8">
        <v>1.3</v>
      </c>
      <c r="X874" s="8">
        <v>145</v>
      </c>
      <c r="Y874" s="8" t="s">
        <v>4196</v>
      </c>
      <c r="Z874" s="8" t="s">
        <v>4197</v>
      </c>
    </row>
    <row r="875" spans="1:26" x14ac:dyDescent="0.2">
      <c r="A875" s="8">
        <v>874</v>
      </c>
      <c r="B875" s="8" t="s">
        <v>4198</v>
      </c>
      <c r="C875" s="8" t="s">
        <v>4198</v>
      </c>
      <c r="F875" s="47"/>
      <c r="G875" s="8">
        <v>19</v>
      </c>
      <c r="H875" s="8" t="s">
        <v>21</v>
      </c>
      <c r="I875" s="8" t="s">
        <v>22</v>
      </c>
      <c r="J875" s="8" t="s">
        <v>22</v>
      </c>
      <c r="K875" s="8" t="s">
        <v>31</v>
      </c>
      <c r="L875" s="8" t="s">
        <v>125</v>
      </c>
      <c r="M875" s="8" t="s">
        <v>126</v>
      </c>
      <c r="N875" s="8" t="s">
        <v>4199</v>
      </c>
      <c r="O875" s="8">
        <f>2+16/60+2.1/3600</f>
        <v>2.2672499999999998</v>
      </c>
      <c r="P875" s="8" t="s">
        <v>4200</v>
      </c>
      <c r="Q875" s="8">
        <f>-(23+18/60+21/3600)</f>
        <v>-23.305833333333332</v>
      </c>
      <c r="R875" s="8">
        <v>14.2</v>
      </c>
      <c r="S875" s="8">
        <v>15</v>
      </c>
      <c r="T875" s="8">
        <v>0.8</v>
      </c>
      <c r="U875" s="8">
        <v>13.5</v>
      </c>
      <c r="V875" s="8">
        <v>0.9</v>
      </c>
      <c r="W875" s="8">
        <v>0.5</v>
      </c>
      <c r="X875" s="8">
        <v>173</v>
      </c>
      <c r="Y875" s="8" t="s">
        <v>4201</v>
      </c>
      <c r="Z875" s="8" t="s">
        <v>4202</v>
      </c>
    </row>
    <row r="876" spans="1:26" x14ac:dyDescent="0.2">
      <c r="A876" s="8">
        <v>875</v>
      </c>
      <c r="B876" s="8" t="s">
        <v>4203</v>
      </c>
      <c r="C876" s="8" t="s">
        <v>4203</v>
      </c>
      <c r="F876" s="47"/>
      <c r="G876" s="8">
        <v>18</v>
      </c>
      <c r="H876" s="8" t="s">
        <v>21</v>
      </c>
      <c r="I876" s="8" t="s">
        <v>22</v>
      </c>
      <c r="J876" s="8" t="s">
        <v>57</v>
      </c>
      <c r="K876" s="8" t="s">
        <v>632</v>
      </c>
      <c r="L876" s="8" t="s">
        <v>125</v>
      </c>
      <c r="M876" s="8" t="s">
        <v>126</v>
      </c>
      <c r="N876" s="8" t="s">
        <v>4163</v>
      </c>
      <c r="O876" s="8">
        <f>2+17/60+4.8/3600</f>
        <v>2.2846666666666664</v>
      </c>
      <c r="P876" s="8" t="s">
        <v>4164</v>
      </c>
      <c r="Q876" s="8">
        <f>+(1+14/60+41/3600)</f>
        <v>1.2447222222222223</v>
      </c>
      <c r="R876" s="8">
        <v>12.9</v>
      </c>
      <c r="S876" s="8">
        <v>13.8</v>
      </c>
      <c r="T876" s="8">
        <v>0.9</v>
      </c>
      <c r="U876" s="8">
        <v>13</v>
      </c>
      <c r="V876" s="8">
        <v>1.2</v>
      </c>
      <c r="W876" s="8">
        <v>1.1000000000000001</v>
      </c>
      <c r="X876" s="8">
        <v>105</v>
      </c>
      <c r="Y876" s="8" t="s">
        <v>4165</v>
      </c>
      <c r="Z876" s="8" t="s">
        <v>4204</v>
      </c>
    </row>
    <row r="877" spans="1:26" x14ac:dyDescent="0.2">
      <c r="A877" s="8">
        <v>876</v>
      </c>
      <c r="B877" s="8" t="s">
        <v>4205</v>
      </c>
      <c r="C877" s="8" t="s">
        <v>4205</v>
      </c>
      <c r="F877" s="47"/>
      <c r="G877" s="8">
        <v>18</v>
      </c>
      <c r="H877" s="8" t="s">
        <v>21</v>
      </c>
      <c r="I877" s="8" t="s">
        <v>22</v>
      </c>
      <c r="J877" s="8" t="s">
        <v>22</v>
      </c>
      <c r="K877" s="8" t="s">
        <v>160</v>
      </c>
      <c r="L877" s="8" t="s">
        <v>3256</v>
      </c>
      <c r="M877" s="8" t="s">
        <v>3257</v>
      </c>
      <c r="N877" s="8" t="s">
        <v>4206</v>
      </c>
      <c r="O877" s="8">
        <f>2+17/60+53.2/3600</f>
        <v>2.298111111111111</v>
      </c>
      <c r="P877" s="8" t="s">
        <v>4207</v>
      </c>
      <c r="Q877" s="8">
        <f>+(14+31/60+16/3600)</f>
        <v>14.521111111111113</v>
      </c>
      <c r="R877" s="8">
        <v>14.7</v>
      </c>
      <c r="S877" s="8">
        <v>15.4</v>
      </c>
      <c r="T877" s="8">
        <v>0.7</v>
      </c>
      <c r="U877" s="8">
        <v>14.4</v>
      </c>
      <c r="V877" s="8">
        <v>2</v>
      </c>
      <c r="W877" s="8">
        <v>0.4</v>
      </c>
      <c r="X877" s="8">
        <v>20</v>
      </c>
      <c r="Y877" s="8" t="s">
        <v>4208</v>
      </c>
      <c r="Z877" s="8" t="s">
        <v>4209</v>
      </c>
    </row>
    <row r="878" spans="1:26" x14ac:dyDescent="0.2">
      <c r="A878" s="8">
        <v>877</v>
      </c>
      <c r="B878" s="8" t="s">
        <v>4210</v>
      </c>
      <c r="C878" s="8" t="s">
        <v>4210</v>
      </c>
      <c r="F878" s="47" t="s">
        <v>56191</v>
      </c>
      <c r="G878" s="8">
        <v>9</v>
      </c>
      <c r="H878" s="8" t="s">
        <v>21</v>
      </c>
      <c r="I878" s="8" t="s">
        <v>22</v>
      </c>
      <c r="J878" s="8" t="s">
        <v>22</v>
      </c>
      <c r="K878" s="8" t="s">
        <v>85</v>
      </c>
      <c r="L878" s="8" t="s">
        <v>3256</v>
      </c>
      <c r="M878" s="8" t="s">
        <v>3257</v>
      </c>
      <c r="N878" s="8" t="s">
        <v>4211</v>
      </c>
      <c r="O878" s="8">
        <f>2+17/60+59.7/3600</f>
        <v>2.2999166666666664</v>
      </c>
      <c r="P878" s="8" t="s">
        <v>4212</v>
      </c>
      <c r="Q878" s="8">
        <f>+(14+32/60+38/3600)</f>
        <v>14.543888888888889</v>
      </c>
      <c r="R878" s="8">
        <v>11.9</v>
      </c>
      <c r="S878" s="8">
        <v>12.6</v>
      </c>
      <c r="T878" s="8">
        <v>0.7</v>
      </c>
      <c r="U878" s="8">
        <v>13.4</v>
      </c>
      <c r="V878" s="8">
        <v>2.4</v>
      </c>
      <c r="W878" s="8">
        <v>1.9</v>
      </c>
      <c r="X878" s="8">
        <v>140</v>
      </c>
      <c r="Y878" s="8" t="s">
        <v>4213</v>
      </c>
      <c r="Z878" s="8" t="s">
        <v>4214</v>
      </c>
    </row>
    <row r="879" spans="1:26" x14ac:dyDescent="0.2">
      <c r="A879" s="8">
        <v>878</v>
      </c>
      <c r="B879" s="8" t="s">
        <v>4215</v>
      </c>
      <c r="C879" s="8" t="s">
        <v>4215</v>
      </c>
      <c r="F879" s="47"/>
      <c r="G879" s="8">
        <v>19</v>
      </c>
      <c r="H879" s="8" t="s">
        <v>21</v>
      </c>
      <c r="I879" s="8" t="s">
        <v>22</v>
      </c>
      <c r="J879" s="8" t="s">
        <v>22</v>
      </c>
      <c r="K879" s="8" t="s">
        <v>91</v>
      </c>
      <c r="L879" s="8" t="s">
        <v>125</v>
      </c>
      <c r="M879" s="8" t="s">
        <v>126</v>
      </c>
      <c r="N879" s="8" t="s">
        <v>4216</v>
      </c>
      <c r="O879" s="8">
        <f>2+17/60+54.2/3600</f>
        <v>2.2983888888888888</v>
      </c>
      <c r="P879" s="8" t="s">
        <v>4217</v>
      </c>
      <c r="Q879" s="8">
        <f>-(23+23/60+4/3600)</f>
        <v>-23.384444444444444</v>
      </c>
      <c r="R879" s="8">
        <v>13.8</v>
      </c>
      <c r="S879" s="8">
        <v>14.7</v>
      </c>
      <c r="T879" s="8">
        <v>0.9</v>
      </c>
      <c r="U879" s="8">
        <v>12.6</v>
      </c>
      <c r="V879" s="8">
        <v>0.8</v>
      </c>
      <c r="W879" s="8">
        <v>0.5</v>
      </c>
      <c r="X879" s="8">
        <v>112</v>
      </c>
      <c r="Y879" s="8" t="s">
        <v>385</v>
      </c>
      <c r="Z879" s="8" t="s">
        <v>386</v>
      </c>
    </row>
    <row r="880" spans="1:26" x14ac:dyDescent="0.2">
      <c r="A880" s="8">
        <v>879</v>
      </c>
      <c r="B880" s="8" t="s">
        <v>4218</v>
      </c>
      <c r="C880" s="8" t="s">
        <v>4218</v>
      </c>
      <c r="F880" s="47"/>
      <c r="G880" s="8">
        <v>19</v>
      </c>
      <c r="H880" s="8" t="s">
        <v>21</v>
      </c>
      <c r="I880" s="8" t="s">
        <v>22</v>
      </c>
      <c r="J880" s="8" t="s">
        <v>22</v>
      </c>
      <c r="K880" s="8" t="s">
        <v>4219</v>
      </c>
      <c r="L880" s="8" t="s">
        <v>125</v>
      </c>
      <c r="M880" s="8" t="s">
        <v>126</v>
      </c>
      <c r="N880" s="8" t="s">
        <v>4220</v>
      </c>
      <c r="O880" s="8">
        <f>2+16/60+51.3/3600</f>
        <v>2.2809166666666667</v>
      </c>
      <c r="P880" s="8" t="s">
        <v>4221</v>
      </c>
      <c r="Q880" s="8">
        <f>-(8+57/60+49/3600)</f>
        <v>-8.9636111111111099</v>
      </c>
      <c r="R880" s="8">
        <v>14.7</v>
      </c>
      <c r="S880" s="8">
        <v>15.3</v>
      </c>
      <c r="T880" s="8">
        <v>0.6</v>
      </c>
      <c r="U880" s="8">
        <v>13.6</v>
      </c>
      <c r="V880" s="8">
        <v>0.7</v>
      </c>
      <c r="W880" s="8">
        <v>0.6</v>
      </c>
      <c r="X880" s="8">
        <v>5</v>
      </c>
      <c r="Y880" s="8" t="s">
        <v>4222</v>
      </c>
      <c r="Z880" s="8" t="s">
        <v>4223</v>
      </c>
    </row>
    <row r="881" spans="1:26" x14ac:dyDescent="0.2">
      <c r="A881" s="8">
        <v>880</v>
      </c>
      <c r="B881" s="8" t="s">
        <v>4224</v>
      </c>
      <c r="C881" s="8" t="s">
        <v>4224</v>
      </c>
      <c r="F881" s="47"/>
      <c r="G881" s="8">
        <v>19</v>
      </c>
      <c r="H881" s="8" t="s">
        <v>21</v>
      </c>
      <c r="I881" s="8" t="s">
        <v>22</v>
      </c>
      <c r="J881" s="8" t="s">
        <v>22</v>
      </c>
      <c r="K881" s="8" t="s">
        <v>124</v>
      </c>
      <c r="L881" s="8" t="s">
        <v>125</v>
      </c>
      <c r="M881" s="8" t="s">
        <v>126</v>
      </c>
      <c r="N881" s="8" t="s">
        <v>4225</v>
      </c>
      <c r="O881" s="8">
        <f>2+18/60+27.2/3600</f>
        <v>2.3075555555555556</v>
      </c>
      <c r="P881" s="8" t="s">
        <v>4226</v>
      </c>
      <c r="Q881" s="8">
        <f>-(4+12/60+19/3600)</f>
        <v>-4.2052777777777779</v>
      </c>
      <c r="R881" s="8">
        <v>14.6</v>
      </c>
      <c r="S881" s="8">
        <v>15.5</v>
      </c>
      <c r="T881" s="8">
        <v>0.9</v>
      </c>
      <c r="U881" s="8">
        <v>12.1</v>
      </c>
      <c r="V881" s="8">
        <v>0.4</v>
      </c>
      <c r="W881" s="8">
        <v>0.3</v>
      </c>
      <c r="X881" s="8">
        <v>14</v>
      </c>
      <c r="Y881" s="8" t="s">
        <v>4227</v>
      </c>
      <c r="Z881" s="8" t="s">
        <v>4228</v>
      </c>
    </row>
    <row r="882" spans="1:26" x14ac:dyDescent="0.2">
      <c r="A882" s="8">
        <v>881</v>
      </c>
      <c r="B882" s="8" t="s">
        <v>4229</v>
      </c>
      <c r="C882" s="8" t="s">
        <v>4229</v>
      </c>
      <c r="F882" s="47" t="s">
        <v>56192</v>
      </c>
      <c r="G882" s="8">
        <v>15</v>
      </c>
      <c r="H882" s="8" t="s">
        <v>21</v>
      </c>
      <c r="I882" s="8" t="s">
        <v>22</v>
      </c>
      <c r="J882" s="8" t="s">
        <v>22</v>
      </c>
      <c r="K882" s="8" t="s">
        <v>160</v>
      </c>
      <c r="L882" s="8" t="s">
        <v>125</v>
      </c>
      <c r="M882" s="8" t="s">
        <v>126</v>
      </c>
      <c r="N882" s="8" t="s">
        <v>4230</v>
      </c>
      <c r="O882" s="8">
        <f>2+18/60+45.3/3600</f>
        <v>2.312583333333333</v>
      </c>
      <c r="P882" s="8" t="s">
        <v>4231</v>
      </c>
      <c r="Q882" s="8">
        <f>-(6+38/60+22/3600)</f>
        <v>-6.639444444444444</v>
      </c>
      <c r="R882" s="8">
        <v>12.4</v>
      </c>
      <c r="S882" s="8">
        <v>13.2</v>
      </c>
      <c r="T882" s="8">
        <v>0.8</v>
      </c>
      <c r="U882" s="8">
        <v>13.6</v>
      </c>
      <c r="V882" s="8">
        <v>2.2999999999999998</v>
      </c>
      <c r="W882" s="8">
        <v>1.5</v>
      </c>
      <c r="X882" s="8">
        <v>135</v>
      </c>
      <c r="Y882" s="8" t="s">
        <v>4232</v>
      </c>
      <c r="Z882" s="8" t="s">
        <v>4233</v>
      </c>
    </row>
    <row r="883" spans="1:26" x14ac:dyDescent="0.2">
      <c r="A883" s="8">
        <v>882</v>
      </c>
      <c r="B883" s="8" t="s">
        <v>4234</v>
      </c>
      <c r="C883" s="8" t="s">
        <v>4234</v>
      </c>
      <c r="F883" s="47"/>
      <c r="G883" s="8">
        <v>16</v>
      </c>
      <c r="H883" s="8" t="s">
        <v>21</v>
      </c>
      <c r="I883" s="8" t="s">
        <v>22</v>
      </c>
      <c r="J883" s="8" t="s">
        <v>22</v>
      </c>
      <c r="K883" s="8" t="s">
        <v>37</v>
      </c>
      <c r="L883" s="8" t="s">
        <v>3256</v>
      </c>
      <c r="M883" s="8" t="s">
        <v>3257</v>
      </c>
      <c r="N883" s="8" t="s">
        <v>4235</v>
      </c>
      <c r="O883" s="8">
        <f>2+19/60+39.8/3600</f>
        <v>2.327722222222222</v>
      </c>
      <c r="P883" s="8" t="s">
        <v>4236</v>
      </c>
      <c r="Q883" s="8">
        <f>+(15+48/60+53/3600)</f>
        <v>15.814722222222223</v>
      </c>
      <c r="R883" s="8">
        <v>13.6</v>
      </c>
      <c r="S883" s="8">
        <v>14.6</v>
      </c>
      <c r="T883" s="8">
        <v>1</v>
      </c>
      <c r="U883" s="8">
        <v>13.1</v>
      </c>
      <c r="V883" s="8">
        <v>1.2</v>
      </c>
      <c r="W883" s="8">
        <v>0.6</v>
      </c>
      <c r="X883" s="8">
        <v>82</v>
      </c>
      <c r="Y883" s="8" t="s">
        <v>4237</v>
      </c>
      <c r="Z883" s="8" t="s">
        <v>4238</v>
      </c>
    </row>
    <row r="884" spans="1:26" x14ac:dyDescent="0.2">
      <c r="A884" s="8">
        <v>883</v>
      </c>
      <c r="B884" s="8" t="s">
        <v>4239</v>
      </c>
      <c r="C884" s="8" t="s">
        <v>4239</v>
      </c>
      <c r="F884" s="47" t="s">
        <v>56193</v>
      </c>
      <c r="G884" s="8">
        <v>15</v>
      </c>
      <c r="H884" s="8" t="s">
        <v>21</v>
      </c>
      <c r="I884" s="8" t="s">
        <v>22</v>
      </c>
      <c r="J884" s="8" t="s">
        <v>22</v>
      </c>
      <c r="K884" s="8" t="s">
        <v>58</v>
      </c>
      <c r="L884" s="8" t="s">
        <v>125</v>
      </c>
      <c r="M884" s="8" t="s">
        <v>126</v>
      </c>
      <c r="N884" s="8" t="s">
        <v>4240</v>
      </c>
      <c r="O884" s="8">
        <f>2+19/60+5.2/3600</f>
        <v>2.318111111111111</v>
      </c>
      <c r="P884" s="8" t="s">
        <v>4241</v>
      </c>
      <c r="Q884" s="8">
        <f>-(6+47/60+26/3600)</f>
        <v>-6.7905555555555557</v>
      </c>
      <c r="R884" s="8">
        <v>12.6</v>
      </c>
      <c r="S884" s="8">
        <v>13.6</v>
      </c>
      <c r="T884" s="8">
        <v>1</v>
      </c>
      <c r="U884" s="8">
        <v>13</v>
      </c>
      <c r="V884" s="8">
        <v>1.2</v>
      </c>
      <c r="W884" s="8">
        <v>1.1000000000000001</v>
      </c>
      <c r="X884" s="8">
        <v>80</v>
      </c>
      <c r="Y884" s="8" t="s">
        <v>4242</v>
      </c>
      <c r="Z884" s="8" t="s">
        <v>4243</v>
      </c>
    </row>
    <row r="885" spans="1:26" x14ac:dyDescent="0.2">
      <c r="A885" s="8">
        <v>884</v>
      </c>
      <c r="B885" s="8" t="s">
        <v>4244</v>
      </c>
      <c r="C885" s="8" t="s">
        <v>4244</v>
      </c>
      <c r="F885" s="47" t="s">
        <v>56194</v>
      </c>
      <c r="G885" s="8">
        <v>2</v>
      </c>
      <c r="H885" s="8" t="s">
        <v>4173</v>
      </c>
      <c r="I885" s="8" t="s">
        <v>557</v>
      </c>
      <c r="J885" s="8" t="s">
        <v>557</v>
      </c>
      <c r="K885" s="8" t="s">
        <v>2262</v>
      </c>
      <c r="L885" s="8" t="s">
        <v>3147</v>
      </c>
      <c r="M885" s="8" t="s">
        <v>3148</v>
      </c>
      <c r="N885" s="8" t="s">
        <v>4245</v>
      </c>
      <c r="O885" s="8">
        <f>2+22/60+5/3600</f>
        <v>2.3680555555555558</v>
      </c>
      <c r="P885" s="8" t="s">
        <v>4246</v>
      </c>
      <c r="Q885" s="8">
        <f>+(57+7/60+48/3600)</f>
        <v>57.13</v>
      </c>
      <c r="R885" s="8">
        <v>6.1</v>
      </c>
      <c r="S885" s="8">
        <v>99</v>
      </c>
      <c r="T885" s="8">
        <v>99</v>
      </c>
      <c r="U885" s="8">
        <v>99</v>
      </c>
      <c r="V885" s="8">
        <v>18</v>
      </c>
      <c r="Y885" s="8" t="s">
        <v>4247</v>
      </c>
      <c r="Z885" s="8" t="s">
        <v>4248</v>
      </c>
    </row>
    <row r="886" spans="1:26" x14ac:dyDescent="0.2">
      <c r="A886" s="8">
        <v>885</v>
      </c>
      <c r="B886" s="8" t="s">
        <v>4249</v>
      </c>
      <c r="C886" s="8" t="s">
        <v>4249</v>
      </c>
      <c r="F886" s="47"/>
      <c r="G886" s="8">
        <v>19</v>
      </c>
      <c r="H886" s="8" t="s">
        <v>21</v>
      </c>
      <c r="I886" s="8" t="s">
        <v>22</v>
      </c>
      <c r="J886" s="8" t="s">
        <v>57</v>
      </c>
      <c r="K886" s="8" t="s">
        <v>91</v>
      </c>
      <c r="L886" s="8" t="s">
        <v>125</v>
      </c>
      <c r="M886" s="8" t="s">
        <v>126</v>
      </c>
      <c r="N886" s="8" t="s">
        <v>4147</v>
      </c>
      <c r="O886" s="8">
        <f>2+14/60+33.5/3600</f>
        <v>2.2426388888888891</v>
      </c>
      <c r="P886" s="8" t="s">
        <v>4148</v>
      </c>
      <c r="Q886" s="8">
        <f>-(0+45/60+58/3600)</f>
        <v>-0.76611111111111108</v>
      </c>
      <c r="R886" s="8">
        <v>12.9</v>
      </c>
      <c r="S886" s="8">
        <v>13.8</v>
      </c>
      <c r="T886" s="8">
        <v>0.9</v>
      </c>
      <c r="U886" s="8">
        <v>12.9</v>
      </c>
      <c r="V886" s="8">
        <v>1.1000000000000001</v>
      </c>
      <c r="W886" s="8">
        <v>1</v>
      </c>
      <c r="X886" s="8">
        <v>69</v>
      </c>
      <c r="Y886" s="8" t="s">
        <v>4149</v>
      </c>
      <c r="Z886" s="8" t="s">
        <v>4250</v>
      </c>
    </row>
    <row r="887" spans="1:26" x14ac:dyDescent="0.2">
      <c r="A887" s="8">
        <v>886</v>
      </c>
      <c r="B887" s="8" t="s">
        <v>4251</v>
      </c>
      <c r="C887" s="8" t="s">
        <v>4251</v>
      </c>
      <c r="F887" s="47"/>
      <c r="G887" s="8">
        <v>16</v>
      </c>
      <c r="H887" s="8" t="s">
        <v>21</v>
      </c>
      <c r="I887" s="8" t="s">
        <v>557</v>
      </c>
      <c r="J887" s="8" t="s">
        <v>557</v>
      </c>
      <c r="K887" s="8" t="s">
        <v>557</v>
      </c>
      <c r="L887" s="8" t="s">
        <v>559</v>
      </c>
      <c r="M887" s="8" t="s">
        <v>560</v>
      </c>
      <c r="N887" s="8" t="s">
        <v>4252</v>
      </c>
      <c r="O887" s="8">
        <f>2+23/60+28.1/3600</f>
        <v>2.3911388888888889</v>
      </c>
      <c r="P887" s="8" t="s">
        <v>4253</v>
      </c>
      <c r="Q887" s="8">
        <f>+(63+46/60+16/3600)</f>
        <v>63.771111111111111</v>
      </c>
      <c r="R887" s="8">
        <v>99</v>
      </c>
      <c r="S887" s="8">
        <v>99</v>
      </c>
      <c r="T887" s="8">
        <v>99</v>
      </c>
      <c r="U887" s="8">
        <v>99</v>
      </c>
      <c r="V887" s="8">
        <v>14</v>
      </c>
      <c r="Y887" s="8" t="s">
        <v>4254</v>
      </c>
      <c r="Z887" s="8" t="s">
        <v>4255</v>
      </c>
    </row>
    <row r="888" spans="1:26" x14ac:dyDescent="0.2">
      <c r="A888" s="8">
        <v>887</v>
      </c>
      <c r="B888" s="8" t="s">
        <v>4256</v>
      </c>
      <c r="C888" s="8" t="s">
        <v>4256</v>
      </c>
      <c r="F888" s="47" t="s">
        <v>56195</v>
      </c>
      <c r="G888" s="8">
        <v>15</v>
      </c>
      <c r="H888" s="8" t="s">
        <v>21</v>
      </c>
      <c r="I888" s="8" t="s">
        <v>22</v>
      </c>
      <c r="J888" s="8" t="s">
        <v>22</v>
      </c>
      <c r="K888" s="8" t="s">
        <v>64</v>
      </c>
      <c r="L888" s="8" t="s">
        <v>125</v>
      </c>
      <c r="M888" s="8" t="s">
        <v>126</v>
      </c>
      <c r="N888" s="8" t="s">
        <v>4257</v>
      </c>
      <c r="O888" s="8">
        <f>2+19/60+32.6/3600</f>
        <v>2.3257222222222218</v>
      </c>
      <c r="P888" s="8" t="s">
        <v>4258</v>
      </c>
      <c r="Q888" s="8">
        <f>-(16+4/60+9/3600)</f>
        <v>-16.069166666666668</v>
      </c>
      <c r="R888" s="8">
        <v>12.7</v>
      </c>
      <c r="S888" s="8">
        <v>13.4</v>
      </c>
      <c r="T888" s="8">
        <v>0.7</v>
      </c>
      <c r="U888" s="8">
        <v>13.8</v>
      </c>
      <c r="V888" s="8">
        <v>2</v>
      </c>
      <c r="W888" s="8">
        <v>1.6</v>
      </c>
      <c r="X888" s="8">
        <v>5</v>
      </c>
      <c r="Y888" s="8" t="s">
        <v>4259</v>
      </c>
      <c r="Z888" s="8" t="s">
        <v>4260</v>
      </c>
    </row>
    <row r="889" spans="1:26" x14ac:dyDescent="0.2">
      <c r="A889" s="8">
        <v>888</v>
      </c>
      <c r="B889" s="8" t="s">
        <v>4261</v>
      </c>
      <c r="C889" s="8" t="s">
        <v>4261</v>
      </c>
      <c r="F889" s="47"/>
      <c r="G889" s="8">
        <v>16</v>
      </c>
      <c r="H889" s="8" t="s">
        <v>21</v>
      </c>
      <c r="I889" s="8" t="s">
        <v>22</v>
      </c>
      <c r="J889" s="8" t="s">
        <v>22</v>
      </c>
      <c r="K889" s="8" t="s">
        <v>4262</v>
      </c>
      <c r="L889" s="8" t="s">
        <v>4263</v>
      </c>
      <c r="M889" s="8" t="s">
        <v>4264</v>
      </c>
      <c r="N889" s="8" t="s">
        <v>4265</v>
      </c>
      <c r="O889" s="8">
        <f>2+17/60+27.1/3600</f>
        <v>2.290861111111111</v>
      </c>
      <c r="P889" s="8" t="s">
        <v>4266</v>
      </c>
      <c r="Q889" s="8">
        <f>-(59+51/60+38/3600)</f>
        <v>-59.860555555555557</v>
      </c>
      <c r="R889" s="8">
        <v>13</v>
      </c>
      <c r="S889" s="8">
        <v>14</v>
      </c>
      <c r="T889" s="8">
        <v>1</v>
      </c>
      <c r="U889" s="8">
        <v>12.6</v>
      </c>
      <c r="V889" s="8">
        <v>0.8</v>
      </c>
      <c r="W889" s="8">
        <v>0.8</v>
      </c>
      <c r="Y889" s="8" t="s">
        <v>4267</v>
      </c>
      <c r="Z889" s="8" t="s">
        <v>4268</v>
      </c>
    </row>
    <row r="890" spans="1:26" x14ac:dyDescent="0.2">
      <c r="A890" s="8">
        <v>889</v>
      </c>
      <c r="B890" s="8" t="s">
        <v>4269</v>
      </c>
      <c r="C890" s="8" t="s">
        <v>4269</v>
      </c>
      <c r="F890" s="47"/>
      <c r="G890" s="8">
        <v>16</v>
      </c>
      <c r="H890" s="8" t="s">
        <v>21</v>
      </c>
      <c r="I890" s="8" t="s">
        <v>22</v>
      </c>
      <c r="J890" s="8" t="s">
        <v>22</v>
      </c>
      <c r="K890" s="8" t="s">
        <v>183</v>
      </c>
      <c r="L890" s="8" t="s">
        <v>166</v>
      </c>
      <c r="M890" s="8" t="s">
        <v>167</v>
      </c>
      <c r="N890" s="8" t="s">
        <v>4270</v>
      </c>
      <c r="O890" s="8">
        <f>2+19/60+6.8/3600</f>
        <v>2.3185555555555553</v>
      </c>
      <c r="P890" s="8" t="s">
        <v>4271</v>
      </c>
      <c r="Q890" s="8">
        <f>-(41+44/60+57/3600)</f>
        <v>-41.749166666666667</v>
      </c>
      <c r="R890" s="8">
        <v>13.3</v>
      </c>
      <c r="S890" s="8">
        <v>14.3</v>
      </c>
      <c r="T890" s="8">
        <v>1</v>
      </c>
      <c r="U890" s="8">
        <v>13</v>
      </c>
      <c r="V890" s="8">
        <v>1</v>
      </c>
      <c r="W890" s="8">
        <v>0.9</v>
      </c>
      <c r="X890" s="8">
        <v>103</v>
      </c>
      <c r="Y890" s="8" t="s">
        <v>4272</v>
      </c>
      <c r="Z890" s="8" t="s">
        <v>4273</v>
      </c>
    </row>
    <row r="891" spans="1:26" x14ac:dyDescent="0.2">
      <c r="A891" s="8">
        <v>890</v>
      </c>
      <c r="B891" s="8" t="s">
        <v>4274</v>
      </c>
      <c r="C891" s="8" t="s">
        <v>4274</v>
      </c>
      <c r="F891" s="47" t="s">
        <v>56196</v>
      </c>
      <c r="G891" s="8">
        <v>6.5</v>
      </c>
      <c r="H891" s="8" t="s">
        <v>21</v>
      </c>
      <c r="I891" s="8" t="s">
        <v>22</v>
      </c>
      <c r="J891" s="8" t="s">
        <v>22</v>
      </c>
      <c r="K891" s="8" t="s">
        <v>118</v>
      </c>
      <c r="L891" s="8" t="s">
        <v>2809</v>
      </c>
      <c r="M891" s="8" t="s">
        <v>2810</v>
      </c>
      <c r="N891" s="8" t="s">
        <v>4275</v>
      </c>
      <c r="O891" s="8">
        <f>2+22/60+1/3600</f>
        <v>2.3669444444444445</v>
      </c>
      <c r="P891" s="8" t="s">
        <v>4276</v>
      </c>
      <c r="Q891" s="8">
        <f>+(33+15/60+59/3600)</f>
        <v>33.266388888888891</v>
      </c>
      <c r="R891" s="8">
        <v>11.2</v>
      </c>
      <c r="S891" s="8">
        <v>12.2</v>
      </c>
      <c r="T891" s="8">
        <v>1</v>
      </c>
      <c r="U891" s="8">
        <v>12.7</v>
      </c>
      <c r="V891" s="8">
        <v>2.5</v>
      </c>
      <c r="W891" s="8">
        <v>1.7</v>
      </c>
      <c r="X891" s="8">
        <v>54</v>
      </c>
      <c r="Y891" s="8" t="s">
        <v>4277</v>
      </c>
      <c r="Z891" s="8" t="s">
        <v>4278</v>
      </c>
    </row>
    <row r="892" spans="1:26" x14ac:dyDescent="0.2">
      <c r="A892" s="8">
        <v>891</v>
      </c>
      <c r="B892" s="8" t="s">
        <v>4279</v>
      </c>
      <c r="C892" s="8" t="s">
        <v>4279</v>
      </c>
      <c r="F892" s="47" t="s">
        <v>56197</v>
      </c>
      <c r="G892" s="8">
        <v>2</v>
      </c>
      <c r="H892" s="8" t="s">
        <v>21</v>
      </c>
      <c r="I892" s="8" t="s">
        <v>22</v>
      </c>
      <c r="J892" s="8" t="s">
        <v>22</v>
      </c>
      <c r="K892" s="8" t="s">
        <v>23</v>
      </c>
      <c r="L892" s="8" t="s">
        <v>51</v>
      </c>
      <c r="M892" s="8" t="s">
        <v>52</v>
      </c>
      <c r="N892" s="8" t="s">
        <v>4280</v>
      </c>
      <c r="O892" s="8">
        <f>2+22/60+33/3600</f>
        <v>2.3758333333333335</v>
      </c>
      <c r="P892" s="8" t="s">
        <v>4281</v>
      </c>
      <c r="Q892" s="8">
        <f>+(42+20/60+50/3600)</f>
        <v>42.347222222222221</v>
      </c>
      <c r="R892" s="8">
        <v>9.9</v>
      </c>
      <c r="S892" s="8">
        <v>10.8</v>
      </c>
      <c r="T892" s="8">
        <v>0.9</v>
      </c>
      <c r="U892" s="8">
        <v>13.6</v>
      </c>
      <c r="V892" s="8">
        <v>11.7</v>
      </c>
      <c r="W892" s="8">
        <v>1.6</v>
      </c>
      <c r="X892" s="8">
        <v>22</v>
      </c>
      <c r="Y892" s="8" t="s">
        <v>4282</v>
      </c>
      <c r="Z892" s="8" t="s">
        <v>4283</v>
      </c>
    </row>
    <row r="893" spans="1:26" x14ac:dyDescent="0.2">
      <c r="A893" s="8">
        <v>892</v>
      </c>
      <c r="B893" s="8" t="s">
        <v>4284</v>
      </c>
      <c r="C893" s="8" t="s">
        <v>4284</v>
      </c>
      <c r="F893" s="47"/>
      <c r="G893" s="8">
        <v>19</v>
      </c>
      <c r="H893" s="8" t="s">
        <v>21</v>
      </c>
      <c r="I893" s="8" t="s">
        <v>22</v>
      </c>
      <c r="J893" s="8" t="s">
        <v>22</v>
      </c>
      <c r="K893" s="8" t="s">
        <v>31</v>
      </c>
      <c r="L893" s="8" t="s">
        <v>125</v>
      </c>
      <c r="M893" s="8" t="s">
        <v>126</v>
      </c>
      <c r="N893" s="8" t="s">
        <v>4285</v>
      </c>
      <c r="O893" s="8">
        <f>2+20/60+52/3600</f>
        <v>2.347777777777778</v>
      </c>
      <c r="P893" s="8" t="s">
        <v>4286</v>
      </c>
      <c r="Q893" s="8">
        <f>-(23+6/60+49/3600)</f>
        <v>-23.113611111111112</v>
      </c>
      <c r="R893" s="8">
        <v>14.7</v>
      </c>
      <c r="S893" s="8">
        <v>15.5</v>
      </c>
      <c r="T893" s="8">
        <v>0.8</v>
      </c>
      <c r="U893" s="8">
        <v>13.2</v>
      </c>
      <c r="V893" s="8">
        <v>0.6</v>
      </c>
      <c r="W893" s="8">
        <v>0.4</v>
      </c>
      <c r="X893" s="8">
        <v>6</v>
      </c>
      <c r="Y893" s="8" t="s">
        <v>4287</v>
      </c>
      <c r="Z893" s="8" t="s">
        <v>4288</v>
      </c>
    </row>
    <row r="894" spans="1:26" x14ac:dyDescent="0.2">
      <c r="A894" s="8">
        <v>893</v>
      </c>
      <c r="B894" s="8" t="s">
        <v>4289</v>
      </c>
      <c r="C894" s="8" t="s">
        <v>4289</v>
      </c>
      <c r="F894" s="47"/>
      <c r="G894" s="8">
        <v>16</v>
      </c>
      <c r="H894" s="8" t="s">
        <v>21</v>
      </c>
      <c r="I894" s="8" t="s">
        <v>22</v>
      </c>
      <c r="J894" s="8" t="s">
        <v>22</v>
      </c>
      <c r="K894" s="8" t="s">
        <v>160</v>
      </c>
      <c r="L894" s="8" t="s">
        <v>166</v>
      </c>
      <c r="M894" s="8" t="s">
        <v>167</v>
      </c>
      <c r="N894" s="8" t="s">
        <v>4290</v>
      </c>
      <c r="O894" s="8">
        <f>2+19/60+58.1/3600</f>
        <v>2.3328055555555554</v>
      </c>
      <c r="P894" s="8" t="s">
        <v>4291</v>
      </c>
      <c r="Q894" s="8">
        <f>-(41+24/60+10/3600)</f>
        <v>-41.402777777777779</v>
      </c>
      <c r="R894" s="8">
        <v>12.7</v>
      </c>
      <c r="S894" s="8">
        <v>13.4</v>
      </c>
      <c r="T894" s="8">
        <v>0.7</v>
      </c>
      <c r="U894" s="8">
        <v>12.9</v>
      </c>
      <c r="V894" s="8">
        <v>1.3</v>
      </c>
      <c r="W894" s="8">
        <v>1.1000000000000001</v>
      </c>
      <c r="X894" s="8">
        <v>119</v>
      </c>
      <c r="Y894" s="8" t="s">
        <v>4292</v>
      </c>
      <c r="Z894" s="8" t="s">
        <v>4293</v>
      </c>
    </row>
    <row r="895" spans="1:26" x14ac:dyDescent="0.2">
      <c r="A895" s="8">
        <v>894</v>
      </c>
      <c r="B895" s="8" t="s">
        <v>4294</v>
      </c>
      <c r="C895" s="8" t="s">
        <v>4294</v>
      </c>
      <c r="F895" s="47"/>
      <c r="G895" s="8">
        <v>18</v>
      </c>
      <c r="H895" s="8" t="s">
        <v>21</v>
      </c>
      <c r="I895" s="8" t="s">
        <v>1075</v>
      </c>
      <c r="J895" s="8" t="s">
        <v>1075</v>
      </c>
      <c r="K895" s="8" t="s">
        <v>1075</v>
      </c>
      <c r="L895" s="8" t="s">
        <v>125</v>
      </c>
      <c r="M895" s="8" t="s">
        <v>126</v>
      </c>
      <c r="N895" s="8" t="s">
        <v>4295</v>
      </c>
      <c r="O895" s="8">
        <f>2+21/60+34.5/3600</f>
        <v>2.3595833333333336</v>
      </c>
      <c r="P895" s="8" t="s">
        <v>4296</v>
      </c>
      <c r="Q895" s="8">
        <f>-(5+30/60+35/3600)</f>
        <v>-5.509722222222222</v>
      </c>
      <c r="R895" s="8">
        <v>99</v>
      </c>
      <c r="S895" s="8">
        <v>99</v>
      </c>
      <c r="T895" s="8">
        <v>99</v>
      </c>
      <c r="U895" s="8">
        <v>99</v>
      </c>
      <c r="Y895" s="8" t="s">
        <v>4297</v>
      </c>
      <c r="Z895" s="8" t="s">
        <v>4298</v>
      </c>
    </row>
    <row r="896" spans="1:26" x14ac:dyDescent="0.2">
      <c r="A896" s="8">
        <v>895</v>
      </c>
      <c r="B896" s="8" t="s">
        <v>4299</v>
      </c>
      <c r="C896" s="8" t="s">
        <v>4299</v>
      </c>
      <c r="F896" s="47" t="s">
        <v>56198</v>
      </c>
      <c r="G896" s="8">
        <v>13</v>
      </c>
      <c r="H896" s="8" t="s">
        <v>21</v>
      </c>
      <c r="I896" s="8" t="s">
        <v>22</v>
      </c>
      <c r="J896" s="8" t="s">
        <v>22</v>
      </c>
      <c r="K896" s="8" t="s">
        <v>160</v>
      </c>
      <c r="L896" s="8" t="s">
        <v>125</v>
      </c>
      <c r="M896" s="8" t="s">
        <v>126</v>
      </c>
      <c r="N896" s="8" t="s">
        <v>4300</v>
      </c>
      <c r="O896" s="8">
        <f>2+21/60+36.5/3600</f>
        <v>2.3601388888888888</v>
      </c>
      <c r="P896" s="8" t="s">
        <v>4301</v>
      </c>
      <c r="Q896" s="8">
        <f>-(5+31/60+16/3600)</f>
        <v>-5.5211111111111109</v>
      </c>
      <c r="R896" s="8">
        <v>11.7</v>
      </c>
      <c r="S896" s="8">
        <v>12.3</v>
      </c>
      <c r="T896" s="8">
        <v>0.6</v>
      </c>
      <c r="U896" s="8">
        <v>14</v>
      </c>
      <c r="V896" s="8">
        <v>3.6</v>
      </c>
      <c r="W896" s="8">
        <v>2.6</v>
      </c>
      <c r="X896" s="8">
        <v>126</v>
      </c>
      <c r="Y896" s="8" t="s">
        <v>4297</v>
      </c>
      <c r="Z896" s="8" t="s">
        <v>4302</v>
      </c>
    </row>
    <row r="897" spans="1:26" x14ac:dyDescent="0.2">
      <c r="A897" s="8">
        <v>896</v>
      </c>
      <c r="B897" s="8" t="s">
        <v>4303</v>
      </c>
      <c r="C897" s="8" t="s">
        <v>4303</v>
      </c>
      <c r="F897" s="47" t="s">
        <v>56199</v>
      </c>
      <c r="G897" s="8">
        <v>6.5</v>
      </c>
      <c r="H897" s="8" t="s">
        <v>21</v>
      </c>
      <c r="I897" s="8" t="s">
        <v>1283</v>
      </c>
      <c r="J897" s="8" t="s">
        <v>1283</v>
      </c>
      <c r="K897" s="8" t="s">
        <v>1284</v>
      </c>
      <c r="L897" s="8" t="s">
        <v>559</v>
      </c>
      <c r="M897" s="8" t="s">
        <v>560</v>
      </c>
      <c r="N897" s="8" t="s">
        <v>4304</v>
      </c>
      <c r="O897" s="8">
        <f>2+25/60+27.8/3600</f>
        <v>2.4243888888888887</v>
      </c>
      <c r="P897" s="8" t="s">
        <v>4305</v>
      </c>
      <c r="Q897" s="8">
        <f>+(62+1/60+10/3600)</f>
        <v>62.019444444444446</v>
      </c>
      <c r="R897" s="8">
        <v>99</v>
      </c>
      <c r="S897" s="8">
        <v>99</v>
      </c>
      <c r="T897" s="8">
        <v>99</v>
      </c>
      <c r="U897" s="8">
        <v>99</v>
      </c>
      <c r="V897" s="8">
        <v>10</v>
      </c>
      <c r="W897" s="8">
        <v>10</v>
      </c>
      <c r="Y897" s="8" t="s">
        <v>4306</v>
      </c>
      <c r="Z897" s="8" t="s">
        <v>4307</v>
      </c>
    </row>
    <row r="898" spans="1:26" x14ac:dyDescent="0.2">
      <c r="A898" s="8">
        <v>897</v>
      </c>
      <c r="B898" s="8" t="s">
        <v>4308</v>
      </c>
      <c r="C898" s="8" t="s">
        <v>4308</v>
      </c>
      <c r="F898" s="47"/>
      <c r="G898" s="8">
        <v>16</v>
      </c>
      <c r="H898" s="8" t="s">
        <v>21</v>
      </c>
      <c r="I898" s="8" t="s">
        <v>22</v>
      </c>
      <c r="J898" s="8" t="s">
        <v>22</v>
      </c>
      <c r="K898" s="8" t="s">
        <v>91</v>
      </c>
      <c r="L898" s="8" t="s">
        <v>3335</v>
      </c>
      <c r="M898" s="8" t="s">
        <v>3336</v>
      </c>
      <c r="N898" s="8" t="s">
        <v>4309</v>
      </c>
      <c r="O898" s="8">
        <f>2+21/60+6.4/3600</f>
        <v>2.351777777777778</v>
      </c>
      <c r="P898" s="8" t="s">
        <v>4310</v>
      </c>
      <c r="Q898" s="8">
        <f>-(33+43/60+15/3600)</f>
        <v>-33.720833333333339</v>
      </c>
      <c r="R898" s="8">
        <v>11.8</v>
      </c>
      <c r="S898" s="8">
        <v>12.8</v>
      </c>
      <c r="T898" s="8">
        <v>1</v>
      </c>
      <c r="U898" s="8">
        <v>12.8</v>
      </c>
      <c r="V898" s="8">
        <v>2.1</v>
      </c>
      <c r="W898" s="8">
        <v>1.3</v>
      </c>
      <c r="X898" s="8">
        <v>17</v>
      </c>
      <c r="Y898" s="8" t="s">
        <v>4311</v>
      </c>
      <c r="Z898" s="8" t="s">
        <v>4312</v>
      </c>
    </row>
    <row r="899" spans="1:26" x14ac:dyDescent="0.2">
      <c r="A899" s="8">
        <v>898</v>
      </c>
      <c r="B899" s="8" t="s">
        <v>4313</v>
      </c>
      <c r="C899" s="8" t="s">
        <v>4313</v>
      </c>
      <c r="F899" s="47" t="s">
        <v>56200</v>
      </c>
      <c r="G899" s="8">
        <v>15</v>
      </c>
      <c r="H899" s="8" t="s">
        <v>21</v>
      </c>
      <c r="I899" s="8" t="s">
        <v>22</v>
      </c>
      <c r="J899" s="8" t="s">
        <v>22</v>
      </c>
      <c r="K899" s="8" t="s">
        <v>31</v>
      </c>
      <c r="L899" s="8" t="s">
        <v>51</v>
      </c>
      <c r="M899" s="8" t="s">
        <v>52</v>
      </c>
      <c r="N899" s="8" t="s">
        <v>4314</v>
      </c>
      <c r="O899" s="8">
        <f>2+23/60+20.2/3600</f>
        <v>2.3889444444444443</v>
      </c>
      <c r="P899" s="8" t="s">
        <v>4315</v>
      </c>
      <c r="Q899" s="8">
        <f>+(41+57/60+6/3600)</f>
        <v>41.951666666666668</v>
      </c>
      <c r="R899" s="8">
        <v>12.9</v>
      </c>
      <c r="S899" s="8">
        <v>13.7</v>
      </c>
      <c r="T899" s="8">
        <v>0.8</v>
      </c>
      <c r="U899" s="8">
        <v>12.7</v>
      </c>
      <c r="V899" s="8">
        <v>1.8</v>
      </c>
      <c r="W899" s="8">
        <v>0.4</v>
      </c>
      <c r="X899" s="8">
        <v>170</v>
      </c>
      <c r="Y899" s="8" t="s">
        <v>1123</v>
      </c>
      <c r="Z899" s="8" t="s">
        <v>1124</v>
      </c>
    </row>
    <row r="900" spans="1:26" x14ac:dyDescent="0.2">
      <c r="A900" s="8">
        <v>899</v>
      </c>
      <c r="B900" s="8" t="s">
        <v>4316</v>
      </c>
      <c r="C900" s="8" t="s">
        <v>4316</v>
      </c>
      <c r="F900" s="47"/>
      <c r="G900" s="8">
        <v>16</v>
      </c>
      <c r="H900" s="8" t="s">
        <v>21</v>
      </c>
      <c r="I900" s="8" t="s">
        <v>22</v>
      </c>
      <c r="J900" s="8" t="s">
        <v>22</v>
      </c>
      <c r="K900" s="8" t="s">
        <v>107</v>
      </c>
      <c r="L900" s="8" t="s">
        <v>125</v>
      </c>
      <c r="M900" s="8" t="s">
        <v>126</v>
      </c>
      <c r="N900" s="8" t="s">
        <v>4317</v>
      </c>
      <c r="O900" s="8">
        <f>2+21/60+53.1/3600</f>
        <v>2.3647499999999999</v>
      </c>
      <c r="P900" s="8" t="s">
        <v>4318</v>
      </c>
      <c r="Q900" s="8">
        <f>-(20+49/60+23/3600)</f>
        <v>-20.823055555555555</v>
      </c>
      <c r="R900" s="8">
        <v>12.5</v>
      </c>
      <c r="S900" s="8">
        <v>13.1</v>
      </c>
      <c r="T900" s="8">
        <v>0.6</v>
      </c>
      <c r="U900" s="8">
        <v>13.3</v>
      </c>
      <c r="V900" s="8">
        <v>1.8</v>
      </c>
      <c r="W900" s="8">
        <v>1.3</v>
      </c>
      <c r="X900" s="8">
        <v>116</v>
      </c>
      <c r="Y900" s="8" t="s">
        <v>4319</v>
      </c>
      <c r="Z900" s="8" t="s">
        <v>4320</v>
      </c>
    </row>
    <row r="901" spans="1:26" x14ac:dyDescent="0.2">
      <c r="A901" s="8">
        <v>900</v>
      </c>
      <c r="B901" s="8" t="s">
        <v>4321</v>
      </c>
      <c r="C901" s="8" t="s">
        <v>4321</v>
      </c>
      <c r="F901" s="47"/>
      <c r="G901" s="8">
        <v>18</v>
      </c>
      <c r="H901" s="8" t="s">
        <v>21</v>
      </c>
      <c r="I901" s="8" t="s">
        <v>22</v>
      </c>
      <c r="J901" s="8" t="s">
        <v>22</v>
      </c>
      <c r="K901" s="8" t="s">
        <v>37</v>
      </c>
      <c r="L901" s="8" t="s">
        <v>3256</v>
      </c>
      <c r="M901" s="8" t="s">
        <v>3257</v>
      </c>
      <c r="N901" s="8" t="s">
        <v>4322</v>
      </c>
      <c r="O901" s="8">
        <f>2+23/60+32.1/3600</f>
        <v>2.3922499999999998</v>
      </c>
      <c r="P901" s="8" t="s">
        <v>4323</v>
      </c>
      <c r="Q901" s="8">
        <f>+(26+30/60+43/3600)</f>
        <v>26.511944444444445</v>
      </c>
      <c r="R901" s="8">
        <v>13.7</v>
      </c>
      <c r="S901" s="8">
        <v>14.7</v>
      </c>
      <c r="T901" s="8">
        <v>1</v>
      </c>
      <c r="U901" s="8">
        <v>13.3</v>
      </c>
      <c r="V901" s="8">
        <v>1.1000000000000001</v>
      </c>
      <c r="W901" s="8">
        <v>0.7</v>
      </c>
      <c r="X901" s="8">
        <v>30</v>
      </c>
      <c r="Y901" s="8" t="s">
        <v>1948</v>
      </c>
      <c r="Z901" s="8" t="s">
        <v>1949</v>
      </c>
    </row>
    <row r="902" spans="1:26" x14ac:dyDescent="0.2">
      <c r="A902" s="8">
        <v>901</v>
      </c>
      <c r="B902" s="8" t="s">
        <v>4324</v>
      </c>
      <c r="C902" s="8" t="s">
        <v>4324</v>
      </c>
      <c r="F902" s="47"/>
      <c r="G902" s="8">
        <v>18</v>
      </c>
      <c r="H902" s="8" t="s">
        <v>21</v>
      </c>
      <c r="I902" s="8" t="s">
        <v>22</v>
      </c>
      <c r="J902" s="8" t="s">
        <v>22</v>
      </c>
      <c r="K902" s="8" t="s">
        <v>424</v>
      </c>
      <c r="L902" s="8" t="s">
        <v>3256</v>
      </c>
      <c r="M902" s="8" t="s">
        <v>3257</v>
      </c>
      <c r="N902" s="8" t="s">
        <v>4325</v>
      </c>
      <c r="O902" s="8">
        <f>2+23/60+34/3600</f>
        <v>2.3927777777777779</v>
      </c>
      <c r="P902" s="8" t="s">
        <v>4326</v>
      </c>
      <c r="Q902" s="8">
        <f>+(26+33/60+24/3600)</f>
        <v>26.556666666666668</v>
      </c>
      <c r="R902" s="8">
        <v>14.8</v>
      </c>
      <c r="S902" s="8">
        <v>15.8</v>
      </c>
      <c r="T902" s="8">
        <v>1</v>
      </c>
      <c r="U902" s="8">
        <v>12.7</v>
      </c>
      <c r="V902" s="8">
        <v>0.4</v>
      </c>
      <c r="W902" s="8">
        <v>0.4</v>
      </c>
      <c r="Y902" s="8" t="s">
        <v>266</v>
      </c>
      <c r="Z902" s="8" t="s">
        <v>267</v>
      </c>
    </row>
    <row r="903" spans="1:26" x14ac:dyDescent="0.2">
      <c r="A903" s="8">
        <v>902</v>
      </c>
      <c r="B903" s="8" t="s">
        <v>4327</v>
      </c>
      <c r="C903" s="8" t="s">
        <v>4327</v>
      </c>
      <c r="F903" s="47"/>
      <c r="G903" s="8">
        <v>19</v>
      </c>
      <c r="H903" s="8" t="s">
        <v>21</v>
      </c>
      <c r="I903" s="8" t="s">
        <v>22</v>
      </c>
      <c r="J903" s="8" t="s">
        <v>22</v>
      </c>
      <c r="K903" s="8" t="s">
        <v>85</v>
      </c>
      <c r="L903" s="8" t="s">
        <v>125</v>
      </c>
      <c r="M903" s="8" t="s">
        <v>126</v>
      </c>
      <c r="N903" s="8" t="s">
        <v>4328</v>
      </c>
      <c r="O903" s="8">
        <f>2+22/60+21.8/3600</f>
        <v>2.3727222222222224</v>
      </c>
      <c r="P903" s="8" t="s">
        <v>4329</v>
      </c>
      <c r="Q903" s="8">
        <f>-(16+40/60+44/3600)</f>
        <v>-16.678888888888888</v>
      </c>
      <c r="R903" s="8">
        <v>14</v>
      </c>
      <c r="S903" s="8">
        <v>14.8</v>
      </c>
      <c r="T903" s="8">
        <v>0.8</v>
      </c>
      <c r="U903" s="8">
        <v>12.5</v>
      </c>
      <c r="V903" s="8">
        <v>0.6</v>
      </c>
      <c r="W903" s="8">
        <v>0.5</v>
      </c>
      <c r="X903" s="8">
        <v>15</v>
      </c>
      <c r="Y903" s="8" t="s">
        <v>385</v>
      </c>
      <c r="Z903" s="8" t="s">
        <v>386</v>
      </c>
    </row>
    <row r="904" spans="1:26" x14ac:dyDescent="0.2">
      <c r="A904" s="8">
        <v>903</v>
      </c>
      <c r="B904" s="8" t="s">
        <v>4330</v>
      </c>
      <c r="C904" s="8" t="s">
        <v>4330</v>
      </c>
      <c r="F904" s="47"/>
      <c r="G904" s="8">
        <v>19</v>
      </c>
      <c r="H904" s="8" t="s">
        <v>21</v>
      </c>
      <c r="I904" s="8" t="s">
        <v>22</v>
      </c>
      <c r="J904" s="8" t="s">
        <v>22</v>
      </c>
      <c r="K904" s="8" t="s">
        <v>37</v>
      </c>
      <c r="L904" s="8" t="s">
        <v>3256</v>
      </c>
      <c r="M904" s="8" t="s">
        <v>3257</v>
      </c>
      <c r="N904" s="8" t="s">
        <v>4331</v>
      </c>
      <c r="O904" s="8">
        <f>2+24/60+0.8/3600</f>
        <v>2.4002222222222223</v>
      </c>
      <c r="P904" s="8" t="s">
        <v>4332</v>
      </c>
      <c r="Q904" s="8">
        <f>+(27+21/60+25/3600)</f>
        <v>27.356944444444444</v>
      </c>
      <c r="R904" s="8">
        <v>15.7</v>
      </c>
      <c r="S904" s="8">
        <v>16.7</v>
      </c>
      <c r="T904" s="8">
        <v>1</v>
      </c>
      <c r="U904" s="8">
        <v>13.5</v>
      </c>
      <c r="V904" s="8">
        <v>0.5</v>
      </c>
      <c r="W904" s="8">
        <v>0.3</v>
      </c>
      <c r="X904" s="8">
        <v>175</v>
      </c>
      <c r="Y904" s="8" t="s">
        <v>1829</v>
      </c>
      <c r="Z904" s="8" t="s">
        <v>1830</v>
      </c>
    </row>
    <row r="905" spans="1:26" x14ac:dyDescent="0.2">
      <c r="A905" s="8">
        <v>904</v>
      </c>
      <c r="B905" s="8" t="s">
        <v>4333</v>
      </c>
      <c r="C905" s="8" t="s">
        <v>4333</v>
      </c>
      <c r="F905" s="47"/>
      <c r="G905" s="8">
        <v>19</v>
      </c>
      <c r="H905" s="8" t="s">
        <v>21</v>
      </c>
      <c r="I905" s="8" t="s">
        <v>22</v>
      </c>
      <c r="J905" s="8" t="s">
        <v>22</v>
      </c>
      <c r="K905" s="8" t="s">
        <v>382</v>
      </c>
      <c r="L905" s="8" t="s">
        <v>3256</v>
      </c>
      <c r="M905" s="8" t="s">
        <v>3257</v>
      </c>
      <c r="N905" s="8" t="s">
        <v>4334</v>
      </c>
      <c r="O905" s="8">
        <f>2+24/60+5.5/3600</f>
        <v>2.4015277777777775</v>
      </c>
      <c r="P905" s="8" t="s">
        <v>4335</v>
      </c>
      <c r="Q905" s="8">
        <f>+(27+20/60+35/3600)</f>
        <v>27.343055555555555</v>
      </c>
      <c r="R905" s="8">
        <v>13.6</v>
      </c>
      <c r="S905" s="8">
        <v>14.6</v>
      </c>
      <c r="T905" s="8">
        <v>1</v>
      </c>
      <c r="U905" s="8">
        <v>13.6</v>
      </c>
      <c r="V905" s="8">
        <v>1.2</v>
      </c>
      <c r="W905" s="8">
        <v>0.9</v>
      </c>
      <c r="X905" s="8">
        <v>130</v>
      </c>
      <c r="Y905" s="8" t="s">
        <v>3357</v>
      </c>
      <c r="Z905" s="8" t="s">
        <v>3358</v>
      </c>
    </row>
    <row r="906" spans="1:26" x14ac:dyDescent="0.2">
      <c r="A906" s="8">
        <v>905</v>
      </c>
      <c r="B906" s="8" t="s">
        <v>4336</v>
      </c>
      <c r="C906" s="8" t="s">
        <v>4336</v>
      </c>
      <c r="F906" s="47"/>
      <c r="G906" s="8">
        <v>19</v>
      </c>
      <c r="H906" s="8" t="s">
        <v>21</v>
      </c>
      <c r="I906" s="8" t="s">
        <v>22</v>
      </c>
      <c r="J906" s="8" t="s">
        <v>22</v>
      </c>
      <c r="K906" s="8" t="s">
        <v>632</v>
      </c>
      <c r="L906" s="8" t="s">
        <v>125</v>
      </c>
      <c r="M906" s="8" t="s">
        <v>126</v>
      </c>
      <c r="N906" s="8" t="s">
        <v>4337</v>
      </c>
      <c r="O906" s="8">
        <f>2+22/60+43.5/3600</f>
        <v>2.3787500000000001</v>
      </c>
      <c r="P906" s="8" t="s">
        <v>4338</v>
      </c>
      <c r="Q906" s="8">
        <f>-(8+43/60+7/3600)</f>
        <v>-8.7186111111111106</v>
      </c>
      <c r="R906" s="8">
        <v>15.1</v>
      </c>
      <c r="S906" s="8">
        <v>16</v>
      </c>
      <c r="T906" s="8">
        <v>0.9</v>
      </c>
      <c r="U906" s="8">
        <v>12.9</v>
      </c>
      <c r="V906" s="8">
        <v>0.5</v>
      </c>
      <c r="W906" s="8">
        <v>0.3</v>
      </c>
      <c r="X906" s="8">
        <v>115</v>
      </c>
      <c r="Y906" s="8" t="s">
        <v>4339</v>
      </c>
      <c r="Z906" s="8" t="s">
        <v>4340</v>
      </c>
    </row>
    <row r="907" spans="1:26" x14ac:dyDescent="0.2">
      <c r="A907" s="8">
        <v>906</v>
      </c>
      <c r="B907" s="8" t="s">
        <v>4341</v>
      </c>
      <c r="C907" s="8" t="s">
        <v>4341</v>
      </c>
      <c r="F907" s="47"/>
      <c r="G907" s="8">
        <v>19</v>
      </c>
      <c r="H907" s="8" t="s">
        <v>21</v>
      </c>
      <c r="I907" s="8" t="s">
        <v>22</v>
      </c>
      <c r="J907" s="8" t="s">
        <v>22</v>
      </c>
      <c r="K907" s="8" t="s">
        <v>406</v>
      </c>
      <c r="L907" s="8" t="s">
        <v>51</v>
      </c>
      <c r="M907" s="8" t="s">
        <v>52</v>
      </c>
      <c r="N907" s="8" t="s">
        <v>4342</v>
      </c>
      <c r="O907" s="8">
        <f>2+25/60+16.2/3600</f>
        <v>2.4211666666666667</v>
      </c>
      <c r="P907" s="8" t="s">
        <v>4343</v>
      </c>
      <c r="Q907" s="8">
        <f>+(42+5/60+25/3600)</f>
        <v>42.090277777777779</v>
      </c>
      <c r="R907" s="8">
        <v>12.9</v>
      </c>
      <c r="S907" s="8">
        <v>13.8</v>
      </c>
      <c r="T907" s="8">
        <v>0.9</v>
      </c>
      <c r="U907" s="8">
        <v>13.9</v>
      </c>
      <c r="V907" s="8">
        <v>1.8</v>
      </c>
      <c r="W907" s="8">
        <v>1.6</v>
      </c>
      <c r="X907" s="8">
        <v>143</v>
      </c>
      <c r="Y907" s="8" t="s">
        <v>4344</v>
      </c>
      <c r="Z907" s="8" t="s">
        <v>4345</v>
      </c>
    </row>
    <row r="908" spans="1:26" x14ac:dyDescent="0.2">
      <c r="A908" s="8">
        <v>907</v>
      </c>
      <c r="B908" s="8" t="s">
        <v>4346</v>
      </c>
      <c r="C908" s="8" t="s">
        <v>4346</v>
      </c>
      <c r="F908" s="47" t="s">
        <v>56201</v>
      </c>
      <c r="G908" s="8">
        <v>15</v>
      </c>
      <c r="H908" s="8" t="s">
        <v>21</v>
      </c>
      <c r="I908" s="8" t="s">
        <v>22</v>
      </c>
      <c r="J908" s="8" t="s">
        <v>22</v>
      </c>
      <c r="K908" s="8" t="s">
        <v>269</v>
      </c>
      <c r="L908" s="8" t="s">
        <v>125</v>
      </c>
      <c r="M908" s="8" t="s">
        <v>126</v>
      </c>
      <c r="N908" s="8" t="s">
        <v>4347</v>
      </c>
      <c r="O908" s="8">
        <f>2+23/60+1.7/3600</f>
        <v>2.3838055555555555</v>
      </c>
      <c r="P908" s="8" t="s">
        <v>4348</v>
      </c>
      <c r="Q908" s="8">
        <f>-(20+42/60+41/3600)</f>
        <v>-20.711388888888887</v>
      </c>
      <c r="R908" s="8">
        <v>12.6</v>
      </c>
      <c r="S908" s="8">
        <v>13.2</v>
      </c>
      <c r="T908" s="8">
        <v>0.6</v>
      </c>
      <c r="U908" s="8">
        <v>12.6</v>
      </c>
      <c r="V908" s="8">
        <v>1.8</v>
      </c>
      <c r="W908" s="8">
        <v>0.6</v>
      </c>
      <c r="X908" s="8">
        <v>87</v>
      </c>
      <c r="Y908" s="8" t="s">
        <v>4349</v>
      </c>
      <c r="Z908" s="8" t="s">
        <v>4350</v>
      </c>
    </row>
    <row r="909" spans="1:26" x14ac:dyDescent="0.2">
      <c r="A909" s="8">
        <v>908</v>
      </c>
      <c r="B909" s="8" t="s">
        <v>4351</v>
      </c>
      <c r="C909" s="8" t="s">
        <v>4351</v>
      </c>
      <c r="F909" s="47" t="s">
        <v>56202</v>
      </c>
      <c r="G909" s="8">
        <v>6</v>
      </c>
      <c r="H909" s="8" t="s">
        <v>21</v>
      </c>
      <c r="I909" s="8" t="s">
        <v>22</v>
      </c>
      <c r="J909" s="8" t="s">
        <v>22</v>
      </c>
      <c r="K909" s="8" t="s">
        <v>64</v>
      </c>
      <c r="L909" s="8" t="s">
        <v>125</v>
      </c>
      <c r="M909" s="8" t="s">
        <v>126</v>
      </c>
      <c r="N909" s="8" t="s">
        <v>4352</v>
      </c>
      <c r="O909" s="8">
        <f>2+23/60+4.6/3600</f>
        <v>2.384611111111111</v>
      </c>
      <c r="P909" s="8" t="s">
        <v>4353</v>
      </c>
      <c r="Q909" s="8">
        <f>-(21+14/60+0/3600)</f>
        <v>-21.233333333333334</v>
      </c>
      <c r="R909" s="8">
        <v>10.199999999999999</v>
      </c>
      <c r="S909" s="8">
        <v>10.8</v>
      </c>
      <c r="T909" s="8">
        <v>0.6</v>
      </c>
      <c r="U909" s="8">
        <v>13</v>
      </c>
      <c r="V909" s="8">
        <v>6.1</v>
      </c>
      <c r="W909" s="8">
        <v>2.7</v>
      </c>
      <c r="X909" s="8">
        <v>75</v>
      </c>
      <c r="Y909" s="8" t="s">
        <v>4354</v>
      </c>
      <c r="Z909" s="8" t="s">
        <v>4355</v>
      </c>
    </row>
    <row r="910" spans="1:26" x14ac:dyDescent="0.2">
      <c r="A910" s="8">
        <v>909</v>
      </c>
      <c r="B910" s="8" t="s">
        <v>4356</v>
      </c>
      <c r="C910" s="8" t="s">
        <v>4356</v>
      </c>
      <c r="F910" s="47"/>
      <c r="G910" s="8">
        <v>19</v>
      </c>
      <c r="H910" s="8" t="s">
        <v>21</v>
      </c>
      <c r="I910" s="8" t="s">
        <v>22</v>
      </c>
      <c r="J910" s="8" t="s">
        <v>22</v>
      </c>
      <c r="K910" s="8" t="s">
        <v>460</v>
      </c>
      <c r="L910" s="8" t="s">
        <v>51</v>
      </c>
      <c r="M910" s="8" t="s">
        <v>52</v>
      </c>
      <c r="N910" s="8" t="s">
        <v>4357</v>
      </c>
      <c r="O910" s="8">
        <f>2+25/60+22.7/3600</f>
        <v>2.4229722222222221</v>
      </c>
      <c r="P910" s="8" t="s">
        <v>4358</v>
      </c>
      <c r="Q910" s="8">
        <f>+(42+2/60+10/3600)</f>
        <v>42.036111111111111</v>
      </c>
      <c r="R910" s="8">
        <v>13.7</v>
      </c>
      <c r="S910" s="8">
        <v>14.7</v>
      </c>
      <c r="T910" s="8">
        <v>1</v>
      </c>
      <c r="U910" s="8">
        <v>13.5</v>
      </c>
      <c r="V910" s="8">
        <v>0.9</v>
      </c>
      <c r="W910" s="8">
        <v>0.9</v>
      </c>
      <c r="Y910" s="8" t="s">
        <v>4359</v>
      </c>
      <c r="Z910" s="8" t="s">
        <v>4360</v>
      </c>
    </row>
    <row r="911" spans="1:26" x14ac:dyDescent="0.2">
      <c r="A911" s="8">
        <v>910</v>
      </c>
      <c r="B911" s="8" t="s">
        <v>4361</v>
      </c>
      <c r="C911" s="8" t="s">
        <v>4361</v>
      </c>
      <c r="F911" s="47" t="s">
        <v>56203</v>
      </c>
      <c r="G911" s="8">
        <v>15</v>
      </c>
      <c r="H911" s="8" t="s">
        <v>21</v>
      </c>
      <c r="I911" s="8" t="s">
        <v>22</v>
      </c>
      <c r="J911" s="8" t="s">
        <v>22</v>
      </c>
      <c r="K911" s="8" t="s">
        <v>460</v>
      </c>
      <c r="L911" s="8" t="s">
        <v>51</v>
      </c>
      <c r="M911" s="8" t="s">
        <v>52</v>
      </c>
      <c r="N911" s="8" t="s">
        <v>4362</v>
      </c>
      <c r="O911" s="8">
        <f>2+25/60+26.8/3600</f>
        <v>2.4241111111111109</v>
      </c>
      <c r="P911" s="8" t="s">
        <v>4363</v>
      </c>
      <c r="Q911" s="8">
        <f>+(41+49/60+27/3600)</f>
        <v>41.82416666666667</v>
      </c>
      <c r="R911" s="8">
        <v>12.2</v>
      </c>
      <c r="S911" s="8">
        <v>13.2</v>
      </c>
      <c r="T911" s="8">
        <v>1</v>
      </c>
      <c r="U911" s="8">
        <v>13.7</v>
      </c>
      <c r="V911" s="8">
        <v>1.6</v>
      </c>
      <c r="W911" s="8">
        <v>1.6</v>
      </c>
      <c r="Y911" s="8" t="s">
        <v>4364</v>
      </c>
      <c r="Z911" s="8" t="s">
        <v>4365</v>
      </c>
    </row>
    <row r="912" spans="1:26" x14ac:dyDescent="0.2">
      <c r="A912" s="8">
        <v>911</v>
      </c>
      <c r="B912" s="8" t="s">
        <v>4366</v>
      </c>
      <c r="C912" s="8" t="s">
        <v>4366</v>
      </c>
      <c r="F912" s="47"/>
      <c r="G912" s="8">
        <v>19</v>
      </c>
      <c r="H912" s="8" t="s">
        <v>21</v>
      </c>
      <c r="I912" s="8" t="s">
        <v>22</v>
      </c>
      <c r="J912" s="8" t="s">
        <v>22</v>
      </c>
      <c r="K912" s="8" t="s">
        <v>1068</v>
      </c>
      <c r="L912" s="8" t="s">
        <v>51</v>
      </c>
      <c r="M912" s="8" t="s">
        <v>52</v>
      </c>
      <c r="N912" s="8" t="s">
        <v>4367</v>
      </c>
      <c r="O912" s="8">
        <f>2+25/60+42.4/3600</f>
        <v>2.4284444444444442</v>
      </c>
      <c r="P912" s="8" t="s">
        <v>4368</v>
      </c>
      <c r="Q912" s="8">
        <f>+(41+57/60+24/3600)</f>
        <v>41.956666666666671</v>
      </c>
      <c r="R912" s="8">
        <v>12.7</v>
      </c>
      <c r="S912" s="8">
        <v>13.7</v>
      </c>
      <c r="T912" s="8">
        <v>1</v>
      </c>
      <c r="U912" s="8">
        <v>12.7</v>
      </c>
      <c r="V912" s="8">
        <v>1.3</v>
      </c>
      <c r="W912" s="8">
        <v>0.7</v>
      </c>
      <c r="X912" s="8">
        <v>115</v>
      </c>
      <c r="Y912" s="8" t="s">
        <v>4165</v>
      </c>
      <c r="Z912" s="8" t="s">
        <v>4166</v>
      </c>
    </row>
    <row r="913" spans="1:26" x14ac:dyDescent="0.2">
      <c r="A913" s="8">
        <v>912</v>
      </c>
      <c r="B913" s="8" t="s">
        <v>4369</v>
      </c>
      <c r="C913" s="8" t="s">
        <v>4369</v>
      </c>
      <c r="F913" s="47"/>
      <c r="G913" s="8">
        <v>19</v>
      </c>
      <c r="H913" s="8" t="s">
        <v>21</v>
      </c>
      <c r="I913" s="8" t="s">
        <v>22</v>
      </c>
      <c r="J913" s="8" t="s">
        <v>22</v>
      </c>
      <c r="K913" s="8" t="s">
        <v>58</v>
      </c>
      <c r="L913" s="8" t="s">
        <v>51</v>
      </c>
      <c r="M913" s="8" t="s">
        <v>52</v>
      </c>
      <c r="N913" s="8" t="s">
        <v>4370</v>
      </c>
      <c r="O913" s="8">
        <f>2+25/60+42.7/3600</f>
        <v>2.4285277777777776</v>
      </c>
      <c r="P913" s="8" t="s">
        <v>4371</v>
      </c>
      <c r="Q913" s="8">
        <f>+(41+46/60+41/3600)</f>
        <v>41.778055555555554</v>
      </c>
      <c r="R913" s="8">
        <v>14.1</v>
      </c>
      <c r="S913" s="8">
        <v>15.1</v>
      </c>
      <c r="T913" s="8">
        <v>1</v>
      </c>
      <c r="U913" s="8">
        <v>13.8</v>
      </c>
      <c r="V913" s="8">
        <v>0.9</v>
      </c>
      <c r="W913" s="8">
        <v>0.8</v>
      </c>
      <c r="X913" s="8">
        <v>153</v>
      </c>
      <c r="Y913" s="8" t="s">
        <v>3952</v>
      </c>
      <c r="Z913" s="8" t="s">
        <v>3953</v>
      </c>
    </row>
    <row r="914" spans="1:26" x14ac:dyDescent="0.2">
      <c r="A914" s="8">
        <v>913</v>
      </c>
      <c r="B914" s="8" t="s">
        <v>4372</v>
      </c>
      <c r="C914" s="8" t="s">
        <v>4372</v>
      </c>
      <c r="F914" s="47"/>
      <c r="G914" s="8">
        <v>19</v>
      </c>
      <c r="H914" s="8" t="s">
        <v>21</v>
      </c>
      <c r="I914" s="8" t="s">
        <v>22</v>
      </c>
      <c r="J914" s="8" t="s">
        <v>22</v>
      </c>
      <c r="K914" s="8" t="s">
        <v>37</v>
      </c>
      <c r="L914" s="8" t="s">
        <v>51</v>
      </c>
      <c r="M914" s="8" t="s">
        <v>52</v>
      </c>
      <c r="N914" s="8" t="s">
        <v>4373</v>
      </c>
      <c r="O914" s="8">
        <f>2+25/60+44.8/3600</f>
        <v>2.4291111111111108</v>
      </c>
      <c r="P914" s="8" t="s">
        <v>4374</v>
      </c>
      <c r="Q914" s="8">
        <f>+(41+47/60+57/3600)</f>
        <v>41.799166666666665</v>
      </c>
      <c r="R914" s="8">
        <v>15</v>
      </c>
      <c r="S914" s="8">
        <v>16</v>
      </c>
      <c r="T914" s="8">
        <v>1</v>
      </c>
      <c r="U914" s="8">
        <v>12.4</v>
      </c>
      <c r="V914" s="8">
        <v>0.5</v>
      </c>
      <c r="W914" s="8">
        <v>0.2</v>
      </c>
      <c r="X914" s="8">
        <v>24</v>
      </c>
      <c r="Y914" s="8" t="s">
        <v>479</v>
      </c>
      <c r="Z914" s="8" t="s">
        <v>480</v>
      </c>
    </row>
    <row r="915" spans="1:26" x14ac:dyDescent="0.2">
      <c r="A915" s="8">
        <v>914</v>
      </c>
      <c r="B915" s="8" t="s">
        <v>4375</v>
      </c>
      <c r="C915" s="8" t="s">
        <v>4375</v>
      </c>
      <c r="F915" s="47"/>
      <c r="G915" s="8">
        <v>19</v>
      </c>
      <c r="H915" s="8" t="s">
        <v>21</v>
      </c>
      <c r="I915" s="8" t="s">
        <v>22</v>
      </c>
      <c r="J915" s="8" t="s">
        <v>22</v>
      </c>
      <c r="K915" s="8" t="s">
        <v>160</v>
      </c>
      <c r="L915" s="8" t="s">
        <v>51</v>
      </c>
      <c r="M915" s="8" t="s">
        <v>52</v>
      </c>
      <c r="N915" s="8" t="s">
        <v>4376</v>
      </c>
      <c r="O915" s="8">
        <f>2+26/60+5.1/3600</f>
        <v>2.4347500000000002</v>
      </c>
      <c r="P915" s="8" t="s">
        <v>4377</v>
      </c>
      <c r="Q915" s="8">
        <f>+(42+8/60+41/3600)</f>
        <v>42.144722222222221</v>
      </c>
      <c r="R915" s="8">
        <v>13</v>
      </c>
      <c r="S915" s="8">
        <v>13.7</v>
      </c>
      <c r="T915" s="8">
        <v>0.7</v>
      </c>
      <c r="U915" s="8">
        <v>13.4</v>
      </c>
      <c r="V915" s="8">
        <v>1.5</v>
      </c>
      <c r="W915" s="8">
        <v>1.1000000000000001</v>
      </c>
      <c r="X915" s="8">
        <v>117</v>
      </c>
      <c r="Y915" s="8" t="s">
        <v>3014</v>
      </c>
      <c r="Z915" s="8" t="s">
        <v>3015</v>
      </c>
    </row>
    <row r="916" spans="1:26" x14ac:dyDescent="0.2">
      <c r="A916" s="8">
        <v>915</v>
      </c>
      <c r="B916" s="8" t="s">
        <v>4378</v>
      </c>
      <c r="C916" s="8" t="s">
        <v>4378</v>
      </c>
      <c r="F916" s="47"/>
      <c r="G916" s="8">
        <v>18</v>
      </c>
      <c r="H916" s="8" t="s">
        <v>21</v>
      </c>
      <c r="I916" s="8" t="s">
        <v>22</v>
      </c>
      <c r="J916" s="8" t="s">
        <v>22</v>
      </c>
      <c r="K916" s="8" t="s">
        <v>37</v>
      </c>
      <c r="L916" s="8" t="s">
        <v>3256</v>
      </c>
      <c r="M916" s="8" t="s">
        <v>3257</v>
      </c>
      <c r="N916" s="8" t="s">
        <v>4379</v>
      </c>
      <c r="O916" s="8">
        <f>2+25/60+45.5/3600</f>
        <v>2.4293055555555556</v>
      </c>
      <c r="P916" s="8" t="s">
        <v>4380</v>
      </c>
      <c r="Q916" s="8">
        <f>+(27+13/60+18/3600)</f>
        <v>27.221666666666664</v>
      </c>
      <c r="R916" s="8">
        <v>14.2</v>
      </c>
      <c r="S916" s="8">
        <v>15.2</v>
      </c>
      <c r="T916" s="8">
        <v>1</v>
      </c>
      <c r="U916" s="8">
        <v>13.3</v>
      </c>
      <c r="V916" s="8">
        <v>0.7</v>
      </c>
      <c r="W916" s="8">
        <v>0.7</v>
      </c>
      <c r="Y916" s="8" t="s">
        <v>2287</v>
      </c>
      <c r="Z916" s="8" t="s">
        <v>2288</v>
      </c>
    </row>
    <row r="917" spans="1:26" x14ac:dyDescent="0.2">
      <c r="A917" s="8">
        <v>916</v>
      </c>
      <c r="B917" s="8" t="s">
        <v>4381</v>
      </c>
      <c r="C917" s="8" t="s">
        <v>4381</v>
      </c>
      <c r="F917" s="47"/>
      <c r="G917" s="8">
        <v>18</v>
      </c>
      <c r="H917" s="8" t="s">
        <v>21</v>
      </c>
      <c r="I917" s="8" t="s">
        <v>22</v>
      </c>
      <c r="J917" s="8" t="s">
        <v>22</v>
      </c>
      <c r="K917" s="8" t="s">
        <v>449</v>
      </c>
      <c r="L917" s="8" t="s">
        <v>3256</v>
      </c>
      <c r="M917" s="8" t="s">
        <v>3257</v>
      </c>
      <c r="N917" s="8" t="s">
        <v>4382</v>
      </c>
      <c r="O917" s="8">
        <f>2+25/60+47.6/3600</f>
        <v>2.4298888888888888</v>
      </c>
      <c r="P917" s="8" t="s">
        <v>4383</v>
      </c>
      <c r="Q917" s="8">
        <f>+(27+14/60+35/3600)</f>
        <v>27.243055555555557</v>
      </c>
      <c r="R917" s="8">
        <v>15.3</v>
      </c>
      <c r="S917" s="8">
        <v>16.100000000000001</v>
      </c>
      <c r="T917" s="8">
        <v>0.8</v>
      </c>
      <c r="U917" s="8">
        <v>13.7</v>
      </c>
      <c r="V917" s="8">
        <v>0.9</v>
      </c>
      <c r="W917" s="8">
        <v>0.3</v>
      </c>
      <c r="X917" s="8">
        <v>0</v>
      </c>
      <c r="Y917" s="8" t="s">
        <v>47</v>
      </c>
      <c r="Z917" s="8" t="s">
        <v>48</v>
      </c>
    </row>
    <row r="918" spans="1:26" x14ac:dyDescent="0.2">
      <c r="A918" s="8">
        <v>917</v>
      </c>
      <c r="B918" s="8" t="s">
        <v>4384</v>
      </c>
      <c r="C918" s="8" t="s">
        <v>4384</v>
      </c>
      <c r="F918" s="47"/>
      <c r="G918" s="8">
        <v>16</v>
      </c>
      <c r="H918" s="8" t="s">
        <v>21</v>
      </c>
      <c r="I918" s="8" t="s">
        <v>22</v>
      </c>
      <c r="J918" s="8" t="s">
        <v>22</v>
      </c>
      <c r="K918" s="8" t="s">
        <v>31</v>
      </c>
      <c r="L918" s="8" t="s">
        <v>2809</v>
      </c>
      <c r="M918" s="8" t="s">
        <v>2810</v>
      </c>
      <c r="N918" s="8" t="s">
        <v>4385</v>
      </c>
      <c r="O918" s="8">
        <f>2+26/60+7.7/3600</f>
        <v>2.4354722222222223</v>
      </c>
      <c r="P918" s="8" t="s">
        <v>4386</v>
      </c>
      <c r="Q918" s="8">
        <f>+(31+54/60+44/3600)</f>
        <v>31.912222222222219</v>
      </c>
      <c r="R918" s="8">
        <v>13.3</v>
      </c>
      <c r="S918" s="8">
        <v>14.1</v>
      </c>
      <c r="T918" s="8">
        <v>0.8</v>
      </c>
      <c r="U918" s="8">
        <v>14.3</v>
      </c>
      <c r="V918" s="8">
        <v>2.5</v>
      </c>
      <c r="W918" s="8">
        <v>1.3</v>
      </c>
      <c r="X918" s="8">
        <v>55</v>
      </c>
      <c r="Y918" s="8" t="s">
        <v>4387</v>
      </c>
      <c r="Z918" s="8" t="s">
        <v>4388</v>
      </c>
    </row>
    <row r="919" spans="1:26" x14ac:dyDescent="0.2">
      <c r="A919" s="8">
        <v>918</v>
      </c>
      <c r="B919" s="8" t="s">
        <v>4389</v>
      </c>
      <c r="C919" s="8" t="s">
        <v>4389</v>
      </c>
      <c r="F919" s="47"/>
      <c r="G919" s="8">
        <v>16</v>
      </c>
      <c r="H919" s="8" t="s">
        <v>21</v>
      </c>
      <c r="I919" s="8" t="s">
        <v>22</v>
      </c>
      <c r="J919" s="8" t="s">
        <v>22</v>
      </c>
      <c r="K919" s="8" t="s">
        <v>64</v>
      </c>
      <c r="L919" s="8" t="s">
        <v>3256</v>
      </c>
      <c r="M919" s="8" t="s">
        <v>3257</v>
      </c>
      <c r="N919" s="8" t="s">
        <v>4390</v>
      </c>
      <c r="O919" s="8">
        <f>2+25/60+50.8/3600</f>
        <v>2.4307777777777777</v>
      </c>
      <c r="P919" s="8" t="s">
        <v>4391</v>
      </c>
      <c r="Q919" s="8">
        <f>+(18+29/60+45/3600)</f>
        <v>18.495833333333334</v>
      </c>
      <c r="R919" s="8">
        <v>12.2</v>
      </c>
      <c r="S919" s="8">
        <v>13.1</v>
      </c>
      <c r="T919" s="8">
        <v>0.9</v>
      </c>
      <c r="U919" s="8">
        <v>14.2</v>
      </c>
      <c r="V919" s="8">
        <v>3.5</v>
      </c>
      <c r="W919" s="8">
        <v>2</v>
      </c>
      <c r="X919" s="8">
        <v>158</v>
      </c>
      <c r="Y919" s="8" t="s">
        <v>4392</v>
      </c>
      <c r="Z919" s="8" t="s">
        <v>4393</v>
      </c>
    </row>
    <row r="920" spans="1:26" x14ac:dyDescent="0.2">
      <c r="A920" s="8">
        <v>919</v>
      </c>
      <c r="B920" s="8" t="s">
        <v>4394</v>
      </c>
      <c r="C920" s="8" t="s">
        <v>4394</v>
      </c>
      <c r="F920" s="47"/>
      <c r="G920" s="8">
        <v>18</v>
      </c>
      <c r="H920" s="8" t="s">
        <v>21</v>
      </c>
      <c r="I920" s="8" t="s">
        <v>22</v>
      </c>
      <c r="J920" s="8" t="s">
        <v>22</v>
      </c>
      <c r="K920" s="8" t="s">
        <v>31</v>
      </c>
      <c r="L920" s="8" t="s">
        <v>3256</v>
      </c>
      <c r="M920" s="8" t="s">
        <v>3257</v>
      </c>
      <c r="N920" s="8" t="s">
        <v>4395</v>
      </c>
      <c r="O920" s="8">
        <f>2+26/60+16.6/3600</f>
        <v>2.4379444444444447</v>
      </c>
      <c r="P920" s="8" t="s">
        <v>4396</v>
      </c>
      <c r="Q920" s="8">
        <f>+(27+12/60+41/3600)</f>
        <v>27.211388888888887</v>
      </c>
      <c r="R920" s="8">
        <v>14.5</v>
      </c>
      <c r="S920" s="8">
        <v>15.3</v>
      </c>
      <c r="T920" s="8">
        <v>0.8</v>
      </c>
      <c r="U920" s="8">
        <v>13.2</v>
      </c>
      <c r="V920" s="8">
        <v>1.2</v>
      </c>
      <c r="W920" s="8">
        <v>0.3</v>
      </c>
      <c r="X920" s="8">
        <v>138</v>
      </c>
      <c r="Y920" s="8" t="s">
        <v>47</v>
      </c>
      <c r="Z920" s="8" t="s">
        <v>48</v>
      </c>
    </row>
    <row r="921" spans="1:26" x14ac:dyDescent="0.2">
      <c r="A921" s="8">
        <v>920</v>
      </c>
      <c r="B921" s="8" t="s">
        <v>4397</v>
      </c>
      <c r="C921" s="8" t="s">
        <v>4397</v>
      </c>
      <c r="F921" s="47"/>
      <c r="G921" s="8">
        <v>19</v>
      </c>
      <c r="H921" s="8" t="s">
        <v>21</v>
      </c>
      <c r="I921" s="8" t="s">
        <v>22</v>
      </c>
      <c r="J921" s="8" t="s">
        <v>22</v>
      </c>
      <c r="K921" s="8" t="s">
        <v>476</v>
      </c>
      <c r="L921" s="8" t="s">
        <v>51</v>
      </c>
      <c r="M921" s="8" t="s">
        <v>52</v>
      </c>
      <c r="N921" s="8" t="s">
        <v>4398</v>
      </c>
      <c r="O921" s="8">
        <f>2+28/60+45.8/3600</f>
        <v>2.4793888888888889</v>
      </c>
      <c r="P921" s="8" t="s">
        <v>4399</v>
      </c>
      <c r="Q921" s="8">
        <f>+(45+58/60+16/3600)</f>
        <v>45.971111111111114</v>
      </c>
      <c r="R921" s="8">
        <v>13.7</v>
      </c>
      <c r="S921" s="8">
        <v>14.6</v>
      </c>
      <c r="T921" s="8">
        <v>0.9</v>
      </c>
      <c r="U921" s="8">
        <v>12.8</v>
      </c>
      <c r="V921" s="8">
        <v>1.1000000000000001</v>
      </c>
      <c r="W921" s="8">
        <v>0.4</v>
      </c>
      <c r="X921" s="8">
        <v>34</v>
      </c>
      <c r="Y921" s="8" t="s">
        <v>4400</v>
      </c>
      <c r="Z921" s="8" t="s">
        <v>4401</v>
      </c>
    </row>
    <row r="922" spans="1:26" x14ac:dyDescent="0.2">
      <c r="A922" s="8">
        <v>921</v>
      </c>
      <c r="B922" s="8" t="s">
        <v>4402</v>
      </c>
      <c r="C922" s="8" t="s">
        <v>4402</v>
      </c>
      <c r="F922" s="47"/>
      <c r="G922" s="8">
        <v>19</v>
      </c>
      <c r="H922" s="8" t="s">
        <v>21</v>
      </c>
      <c r="I922" s="8" t="s">
        <v>22</v>
      </c>
      <c r="J922" s="8" t="s">
        <v>22</v>
      </c>
      <c r="K922" s="8" t="s">
        <v>160</v>
      </c>
      <c r="L922" s="8" t="s">
        <v>125</v>
      </c>
      <c r="M922" s="8" t="s">
        <v>126</v>
      </c>
      <c r="N922" s="8" t="s">
        <v>4403</v>
      </c>
      <c r="O922" s="8">
        <f>2+26/60+33.5/3600</f>
        <v>2.4426388888888892</v>
      </c>
      <c r="P922" s="8" t="s">
        <v>4404</v>
      </c>
      <c r="Q922" s="8">
        <f>-(15+50/60+51/3600)</f>
        <v>-15.8475</v>
      </c>
      <c r="R922" s="8">
        <v>14.3</v>
      </c>
      <c r="S922" s="8">
        <v>15</v>
      </c>
      <c r="T922" s="8">
        <v>0.7</v>
      </c>
      <c r="U922" s="8">
        <v>14</v>
      </c>
      <c r="V922" s="8">
        <v>1.4</v>
      </c>
      <c r="W922" s="8">
        <v>0.6</v>
      </c>
      <c r="X922" s="8">
        <v>84</v>
      </c>
      <c r="Y922" s="8" t="s">
        <v>3923</v>
      </c>
      <c r="Z922" s="8" t="s">
        <v>3924</v>
      </c>
    </row>
    <row r="923" spans="1:26" x14ac:dyDescent="0.2">
      <c r="A923" s="8">
        <v>922</v>
      </c>
      <c r="B923" s="8" t="s">
        <v>4405</v>
      </c>
      <c r="C923" s="8" t="s">
        <v>4405</v>
      </c>
      <c r="F923" s="47" t="s">
        <v>56204</v>
      </c>
      <c r="G923" s="8">
        <v>13</v>
      </c>
      <c r="H923" s="8" t="s">
        <v>21</v>
      </c>
      <c r="I923" s="8" t="s">
        <v>22</v>
      </c>
      <c r="J923" s="8" t="s">
        <v>22</v>
      </c>
      <c r="K923" s="8" t="s">
        <v>1420</v>
      </c>
      <c r="L923" s="8" t="s">
        <v>3335</v>
      </c>
      <c r="M923" s="8" t="s">
        <v>3336</v>
      </c>
      <c r="N923" s="8" t="s">
        <v>4406</v>
      </c>
      <c r="O923" s="8">
        <f>2+25/60+3.5/3600</f>
        <v>2.4176388888888889</v>
      </c>
      <c r="P923" s="8" t="s">
        <v>4407</v>
      </c>
      <c r="Q923" s="8">
        <f>-(24+47/60+21/3600)</f>
        <v>-24.789166666666667</v>
      </c>
      <c r="R923" s="8">
        <v>12.1</v>
      </c>
      <c r="S923" s="8">
        <v>12.5</v>
      </c>
      <c r="T923" s="8">
        <v>0.4</v>
      </c>
      <c r="U923" s="8">
        <v>13.2</v>
      </c>
      <c r="V923" s="8">
        <v>2</v>
      </c>
      <c r="W923" s="8">
        <v>1.6</v>
      </c>
      <c r="X923" s="8">
        <v>172</v>
      </c>
      <c r="Y923" s="8" t="s">
        <v>4408</v>
      </c>
      <c r="Z923" s="8" t="s">
        <v>4409</v>
      </c>
    </row>
    <row r="924" spans="1:26" x14ac:dyDescent="0.2">
      <c r="A924" s="8">
        <v>923</v>
      </c>
      <c r="B924" s="8" t="s">
        <v>4410</v>
      </c>
      <c r="C924" s="8" t="s">
        <v>4410</v>
      </c>
      <c r="F924" s="47"/>
      <c r="G924" s="8">
        <v>19</v>
      </c>
      <c r="H924" s="8" t="s">
        <v>21</v>
      </c>
      <c r="I924" s="8" t="s">
        <v>22</v>
      </c>
      <c r="J924" s="8" t="s">
        <v>22</v>
      </c>
      <c r="K924" s="8" t="s">
        <v>23</v>
      </c>
      <c r="L924" s="8" t="s">
        <v>51</v>
      </c>
      <c r="M924" s="8" t="s">
        <v>52</v>
      </c>
      <c r="N924" s="8" t="s">
        <v>4411</v>
      </c>
      <c r="O924" s="8">
        <f>2+27/60+34.6/3600</f>
        <v>2.4596111111111112</v>
      </c>
      <c r="P924" s="8" t="s">
        <v>4412</v>
      </c>
      <c r="Q924" s="8">
        <f>+(41+58/60+41/3600)</f>
        <v>41.978055555555557</v>
      </c>
      <c r="R924" s="8">
        <v>13.7</v>
      </c>
      <c r="S924" s="8">
        <v>14.5</v>
      </c>
      <c r="T924" s="8">
        <v>0.8</v>
      </c>
      <c r="U924" s="8">
        <v>12.8</v>
      </c>
      <c r="V924" s="8">
        <v>0.8</v>
      </c>
      <c r="W924" s="8">
        <v>0.6</v>
      </c>
      <c r="X924" s="8">
        <v>95</v>
      </c>
      <c r="Y924" s="8" t="s">
        <v>4413</v>
      </c>
      <c r="Z924" s="8" t="s">
        <v>4414</v>
      </c>
    </row>
    <row r="925" spans="1:26" x14ac:dyDescent="0.2">
      <c r="A925" s="8">
        <v>924</v>
      </c>
      <c r="B925" s="8" t="s">
        <v>4415</v>
      </c>
      <c r="C925" s="8" t="s">
        <v>4415</v>
      </c>
      <c r="F925" s="47" t="s">
        <v>56205</v>
      </c>
      <c r="G925" s="8">
        <v>15</v>
      </c>
      <c r="H925" s="8" t="s">
        <v>21</v>
      </c>
      <c r="I925" s="8" t="s">
        <v>22</v>
      </c>
      <c r="J925" s="8" t="s">
        <v>22</v>
      </c>
      <c r="K925" s="8" t="s">
        <v>37</v>
      </c>
      <c r="L925" s="8" t="s">
        <v>3256</v>
      </c>
      <c r="M925" s="8" t="s">
        <v>3257</v>
      </c>
      <c r="N925" s="8" t="s">
        <v>4416</v>
      </c>
      <c r="O925" s="8">
        <f>2+26/60+46.7/3600</f>
        <v>2.446305555555556</v>
      </c>
      <c r="P925" s="8" t="s">
        <v>4417</v>
      </c>
      <c r="Q925" s="8">
        <f>+(20+29/60+50/3600)</f>
        <v>20.497222222222224</v>
      </c>
      <c r="R925" s="8">
        <v>12.4</v>
      </c>
      <c r="S925" s="8">
        <v>13.4</v>
      </c>
      <c r="T925" s="8">
        <v>1</v>
      </c>
      <c r="U925" s="8">
        <v>13.4</v>
      </c>
      <c r="V925" s="8">
        <v>2.2999999999999998</v>
      </c>
      <c r="W925" s="8">
        <v>1.3</v>
      </c>
      <c r="X925" s="8">
        <v>53</v>
      </c>
      <c r="Y925" s="8" t="s">
        <v>4418</v>
      </c>
      <c r="Z925" s="8" t="s">
        <v>4419</v>
      </c>
    </row>
    <row r="926" spans="1:26" x14ac:dyDescent="0.2">
      <c r="A926" s="8">
        <v>925</v>
      </c>
      <c r="B926" s="8" t="s">
        <v>4420</v>
      </c>
      <c r="C926" s="8" t="s">
        <v>4420</v>
      </c>
      <c r="F926" s="47" t="s">
        <v>56206</v>
      </c>
      <c r="G926" s="8">
        <v>6.5</v>
      </c>
      <c r="H926" s="8" t="s">
        <v>21</v>
      </c>
      <c r="I926" s="8" t="s">
        <v>22</v>
      </c>
      <c r="J926" s="8" t="s">
        <v>22</v>
      </c>
      <c r="K926" s="8" t="s">
        <v>1277</v>
      </c>
      <c r="L926" s="8" t="s">
        <v>2809</v>
      </c>
      <c r="M926" s="8" t="s">
        <v>2810</v>
      </c>
      <c r="N926" s="8" t="s">
        <v>4421</v>
      </c>
      <c r="O926" s="8">
        <f>2+27/60+16.8/3600</f>
        <v>2.4546666666666668</v>
      </c>
      <c r="P926" s="8" t="s">
        <v>3037</v>
      </c>
      <c r="Q926" s="8">
        <f>+(33+34/60+44/3600)</f>
        <v>33.578888888888891</v>
      </c>
      <c r="R926" s="8">
        <v>10.1</v>
      </c>
      <c r="S926" s="8">
        <v>10.7</v>
      </c>
      <c r="T926" s="8">
        <v>0.6</v>
      </c>
      <c r="U926" s="8">
        <v>14.4</v>
      </c>
      <c r="V926" s="8">
        <v>10.5</v>
      </c>
      <c r="W926" s="8">
        <v>5.9</v>
      </c>
      <c r="X926" s="8">
        <v>102</v>
      </c>
      <c r="Y926" s="8" t="s">
        <v>4422</v>
      </c>
      <c r="Z926" s="8" t="s">
        <v>4423</v>
      </c>
    </row>
    <row r="927" spans="1:26" x14ac:dyDescent="0.2">
      <c r="A927" s="8">
        <v>926</v>
      </c>
      <c r="B927" s="8" t="s">
        <v>4424</v>
      </c>
      <c r="C927" s="8" t="s">
        <v>4424</v>
      </c>
      <c r="F927" s="47"/>
      <c r="G927" s="8">
        <v>18</v>
      </c>
      <c r="H927" s="8" t="s">
        <v>21</v>
      </c>
      <c r="I927" s="8" t="s">
        <v>22</v>
      </c>
      <c r="J927" s="8" t="s">
        <v>22</v>
      </c>
      <c r="K927" s="8" t="s">
        <v>85</v>
      </c>
      <c r="L927" s="8" t="s">
        <v>125</v>
      </c>
      <c r="M927" s="8" t="s">
        <v>126</v>
      </c>
      <c r="N927" s="8" t="s">
        <v>4425</v>
      </c>
      <c r="O927" s="8">
        <f>2+26/60+6.6/3600</f>
        <v>2.4351666666666669</v>
      </c>
      <c r="P927" s="8" t="s">
        <v>4426</v>
      </c>
      <c r="Q927" s="8">
        <f>-(0+19/60+57/3600)</f>
        <v>-0.33249999999999996</v>
      </c>
      <c r="R927" s="8">
        <v>13.3</v>
      </c>
      <c r="S927" s="8">
        <v>14</v>
      </c>
      <c r="T927" s="8">
        <v>0.7</v>
      </c>
      <c r="U927" s="8">
        <v>13.7</v>
      </c>
      <c r="V927" s="8">
        <v>1.8</v>
      </c>
      <c r="W927" s="8">
        <v>1</v>
      </c>
      <c r="X927" s="8">
        <v>36</v>
      </c>
      <c r="Y927" s="8" t="s">
        <v>4007</v>
      </c>
      <c r="Z927" s="8" t="s">
        <v>4008</v>
      </c>
    </row>
    <row r="928" spans="1:26" x14ac:dyDescent="0.2">
      <c r="A928" s="8">
        <v>927</v>
      </c>
      <c r="B928" s="8" t="s">
        <v>4427</v>
      </c>
      <c r="C928" s="8" t="s">
        <v>4427</v>
      </c>
      <c r="F928" s="47"/>
      <c r="G928" s="8">
        <v>19</v>
      </c>
      <c r="H928" s="8" t="s">
        <v>21</v>
      </c>
      <c r="I928" s="8" t="s">
        <v>22</v>
      </c>
      <c r="J928" s="8" t="s">
        <v>22</v>
      </c>
      <c r="K928" s="8" t="s">
        <v>64</v>
      </c>
      <c r="L928" s="8" t="s">
        <v>3256</v>
      </c>
      <c r="M928" s="8" t="s">
        <v>3257</v>
      </c>
      <c r="N928" s="8" t="s">
        <v>4428</v>
      </c>
      <c r="O928" s="8">
        <f>2+26/60+37.3/3600</f>
        <v>2.4436944444444446</v>
      </c>
      <c r="P928" s="8" t="s">
        <v>4429</v>
      </c>
      <c r="Q928" s="8">
        <f>+(12+9/60+19/3600)</f>
        <v>12.155277777777778</v>
      </c>
      <c r="R928" s="8">
        <v>13.4</v>
      </c>
      <c r="S928" s="8">
        <v>14.1</v>
      </c>
      <c r="T928" s="8">
        <v>0.7</v>
      </c>
      <c r="U928" s="8">
        <v>13.7</v>
      </c>
      <c r="V928" s="8">
        <v>1.2</v>
      </c>
      <c r="W928" s="8">
        <v>1.2</v>
      </c>
      <c r="Y928" s="8" t="s">
        <v>4430</v>
      </c>
      <c r="Z928" s="8" t="s">
        <v>4431</v>
      </c>
    </row>
    <row r="929" spans="1:26" x14ac:dyDescent="0.2">
      <c r="A929" s="8">
        <v>928</v>
      </c>
      <c r="B929" s="8" t="s">
        <v>4432</v>
      </c>
      <c r="C929" s="8" t="s">
        <v>4432</v>
      </c>
      <c r="F929" s="47"/>
      <c r="G929" s="8">
        <v>18</v>
      </c>
      <c r="H929" s="8" t="s">
        <v>21</v>
      </c>
      <c r="I929" s="8" t="s">
        <v>22</v>
      </c>
      <c r="J929" s="8" t="s">
        <v>22</v>
      </c>
      <c r="K929" s="8" t="s">
        <v>449</v>
      </c>
      <c r="L929" s="8" t="s">
        <v>3256</v>
      </c>
      <c r="M929" s="8" t="s">
        <v>3257</v>
      </c>
      <c r="N929" s="8" t="s">
        <v>4433</v>
      </c>
      <c r="O929" s="8">
        <f>2+27/60+40.8/3600</f>
        <v>2.4613333333333336</v>
      </c>
      <c r="P929" s="8" t="s">
        <v>4434</v>
      </c>
      <c r="Q929" s="8">
        <f>+(27+13/60+15/3600)</f>
        <v>27.220833333333331</v>
      </c>
      <c r="R929" s="8">
        <v>14</v>
      </c>
      <c r="S929" s="8">
        <v>14.8</v>
      </c>
      <c r="T929" s="8">
        <v>0.8</v>
      </c>
      <c r="U929" s="8">
        <v>12.2</v>
      </c>
      <c r="V929" s="8">
        <v>0.7</v>
      </c>
      <c r="W929" s="8">
        <v>0.3</v>
      </c>
      <c r="X929" s="8">
        <v>35</v>
      </c>
      <c r="Y929" s="8" t="s">
        <v>2287</v>
      </c>
      <c r="Z929" s="8" t="s">
        <v>2288</v>
      </c>
    </row>
    <row r="930" spans="1:26" x14ac:dyDescent="0.2">
      <c r="A930" s="8">
        <v>929</v>
      </c>
      <c r="B930" s="8" t="s">
        <v>4435</v>
      </c>
      <c r="C930" s="8" t="s">
        <v>4435</v>
      </c>
      <c r="F930" s="47"/>
      <c r="G930" s="8">
        <v>19</v>
      </c>
      <c r="H930" s="8" t="s">
        <v>21</v>
      </c>
      <c r="I930" s="8" t="s">
        <v>22</v>
      </c>
      <c r="J930" s="8" t="s">
        <v>22</v>
      </c>
      <c r="K930" s="8" t="s">
        <v>91</v>
      </c>
      <c r="L930" s="8" t="s">
        <v>125</v>
      </c>
      <c r="M930" s="8" t="s">
        <v>126</v>
      </c>
      <c r="N930" s="8" t="s">
        <v>4436</v>
      </c>
      <c r="O930" s="8">
        <f>2+27/60+18.1/3600</f>
        <v>2.455027777777778</v>
      </c>
      <c r="P930" s="8" t="s">
        <v>4437</v>
      </c>
      <c r="Q930" s="8">
        <f>-(12+5/60+14/3600)</f>
        <v>-12.087222222222223</v>
      </c>
      <c r="R930" s="8">
        <v>14.2</v>
      </c>
      <c r="S930" s="8">
        <v>15.1</v>
      </c>
      <c r="T930" s="8">
        <v>0.9</v>
      </c>
      <c r="U930" s="8">
        <v>13.5</v>
      </c>
      <c r="V930" s="8">
        <v>1</v>
      </c>
      <c r="W930" s="8">
        <v>0.6</v>
      </c>
      <c r="X930" s="8">
        <v>170</v>
      </c>
      <c r="Y930" s="8" t="s">
        <v>4438</v>
      </c>
      <c r="Z930" s="8" t="s">
        <v>4439</v>
      </c>
    </row>
    <row r="931" spans="1:26" x14ac:dyDescent="0.2">
      <c r="A931" s="8">
        <v>930</v>
      </c>
      <c r="B931" s="8" t="s">
        <v>4440</v>
      </c>
      <c r="C931" s="8" t="s">
        <v>4440</v>
      </c>
      <c r="F931" s="47"/>
      <c r="G931" s="8">
        <v>18</v>
      </c>
      <c r="H931" s="8" t="s">
        <v>21</v>
      </c>
      <c r="I931" s="8" t="s">
        <v>1075</v>
      </c>
      <c r="J931" s="8" t="s">
        <v>1075</v>
      </c>
      <c r="K931" s="8" t="s">
        <v>1075</v>
      </c>
      <c r="L931" s="8" t="s">
        <v>3256</v>
      </c>
      <c r="M931" s="8" t="s">
        <v>3257</v>
      </c>
      <c r="N931" s="8" t="s">
        <v>4441</v>
      </c>
      <c r="O931" s="8">
        <f>2+27/60+56.7/3600</f>
        <v>2.4657500000000003</v>
      </c>
      <c r="P931" s="8" t="s">
        <v>4442</v>
      </c>
      <c r="Q931" s="8">
        <f>+(20+20/60+33/3600)</f>
        <v>20.342499999999998</v>
      </c>
      <c r="R931" s="8">
        <v>14.5</v>
      </c>
      <c r="S931" s="8">
        <v>99</v>
      </c>
      <c r="T931" s="8">
        <v>99</v>
      </c>
      <c r="U931" s="8">
        <v>99</v>
      </c>
      <c r="V931" s="8">
        <v>0.1</v>
      </c>
      <c r="W931" s="8">
        <v>0.1</v>
      </c>
      <c r="Y931" s="8" t="s">
        <v>4443</v>
      </c>
      <c r="Z931" s="8" t="s">
        <v>4444</v>
      </c>
    </row>
    <row r="932" spans="1:26" x14ac:dyDescent="0.2">
      <c r="A932" s="8">
        <v>931</v>
      </c>
      <c r="B932" s="8" t="s">
        <v>4445</v>
      </c>
      <c r="C932" s="8" t="s">
        <v>4445</v>
      </c>
      <c r="F932" s="47"/>
      <c r="G932" s="8">
        <v>18</v>
      </c>
      <c r="H932" s="8" t="s">
        <v>21</v>
      </c>
      <c r="I932" s="8" t="s">
        <v>22</v>
      </c>
      <c r="J932" s="8" t="s">
        <v>22</v>
      </c>
      <c r="K932" s="8" t="s">
        <v>396</v>
      </c>
      <c r="L932" s="8" t="s">
        <v>2809</v>
      </c>
      <c r="M932" s="8" t="s">
        <v>2810</v>
      </c>
      <c r="N932" s="8" t="s">
        <v>4446</v>
      </c>
      <c r="O932" s="8">
        <f>2+28/60+14.5/3600</f>
        <v>2.4706944444444447</v>
      </c>
      <c r="P932" s="8" t="s">
        <v>4447</v>
      </c>
      <c r="Q932" s="8">
        <f>+(31+18/60+40/3600)</f>
        <v>31.311111111111114</v>
      </c>
      <c r="R932" s="8">
        <v>12.8</v>
      </c>
      <c r="S932" s="8">
        <v>13.6</v>
      </c>
      <c r="T932" s="8">
        <v>0.8</v>
      </c>
      <c r="U932" s="8">
        <v>13.9</v>
      </c>
      <c r="V932" s="8">
        <v>3.9</v>
      </c>
      <c r="W932" s="8">
        <v>0.8</v>
      </c>
      <c r="X932" s="8">
        <v>72</v>
      </c>
      <c r="Y932" s="8" t="s">
        <v>4448</v>
      </c>
      <c r="Z932" s="8" t="s">
        <v>4449</v>
      </c>
    </row>
    <row r="933" spans="1:26" x14ac:dyDescent="0.2">
      <c r="A933" s="8">
        <v>932</v>
      </c>
      <c r="B933" s="8" t="s">
        <v>4450</v>
      </c>
      <c r="C933" s="8" t="s">
        <v>4450</v>
      </c>
      <c r="F933" s="47" t="s">
        <v>56207</v>
      </c>
      <c r="G933" s="8">
        <v>15</v>
      </c>
      <c r="H933" s="8" t="s">
        <v>21</v>
      </c>
      <c r="I933" s="8" t="s">
        <v>22</v>
      </c>
      <c r="J933" s="8" t="s">
        <v>22</v>
      </c>
      <c r="K933" s="8" t="s">
        <v>91</v>
      </c>
      <c r="L933" s="8" t="s">
        <v>3256</v>
      </c>
      <c r="M933" s="8" t="s">
        <v>3257</v>
      </c>
      <c r="N933" s="8" t="s">
        <v>4451</v>
      </c>
      <c r="O933" s="8">
        <f>2+27/60+54.6/3600</f>
        <v>2.4651666666666667</v>
      </c>
      <c r="P933" s="8" t="s">
        <v>4452</v>
      </c>
      <c r="Q933" s="8">
        <f>+(20+19/60+59/3600)</f>
        <v>20.333055555555557</v>
      </c>
      <c r="R933" s="8">
        <v>12.4</v>
      </c>
      <c r="S933" s="8">
        <v>13.3</v>
      </c>
      <c r="T933" s="8">
        <v>0.9</v>
      </c>
      <c r="U933" s="8">
        <v>13.5</v>
      </c>
      <c r="V933" s="8">
        <v>1.9</v>
      </c>
      <c r="W933" s="8">
        <v>1.6</v>
      </c>
      <c r="X933" s="8">
        <v>42</v>
      </c>
      <c r="Y933" s="8" t="s">
        <v>4453</v>
      </c>
      <c r="Z933" s="8" t="s">
        <v>4454</v>
      </c>
    </row>
    <row r="934" spans="1:26" x14ac:dyDescent="0.2">
      <c r="A934" s="8">
        <v>933</v>
      </c>
      <c r="B934" s="8" t="s">
        <v>4455</v>
      </c>
      <c r="C934" s="8" t="s">
        <v>4455</v>
      </c>
      <c r="F934" s="47"/>
      <c r="G934" s="8">
        <v>19</v>
      </c>
      <c r="H934" s="8" t="s">
        <v>21</v>
      </c>
      <c r="I934" s="8" t="s">
        <v>22</v>
      </c>
      <c r="J934" s="8" t="s">
        <v>22</v>
      </c>
      <c r="K934" s="8" t="s">
        <v>449</v>
      </c>
      <c r="L934" s="8" t="s">
        <v>51</v>
      </c>
      <c r="M934" s="8" t="s">
        <v>52</v>
      </c>
      <c r="N934" s="8" t="s">
        <v>4456</v>
      </c>
      <c r="O934" s="8">
        <f>2+29/60+17.4/3600</f>
        <v>2.4881666666666669</v>
      </c>
      <c r="P934" s="8" t="s">
        <v>4457</v>
      </c>
      <c r="Q934" s="8">
        <f>+(45+54/60+43/3600)</f>
        <v>45.911944444444444</v>
      </c>
      <c r="R934" s="8">
        <v>13.9</v>
      </c>
      <c r="S934" s="8">
        <v>14.7</v>
      </c>
      <c r="T934" s="8">
        <v>0.8</v>
      </c>
      <c r="U934" s="8">
        <v>13.9</v>
      </c>
      <c r="V934" s="8">
        <v>1.3</v>
      </c>
      <c r="W934" s="8">
        <v>0.9</v>
      </c>
      <c r="X934" s="8">
        <v>35</v>
      </c>
      <c r="Y934" s="8" t="s">
        <v>4458</v>
      </c>
      <c r="Z934" s="8" t="s">
        <v>4459</v>
      </c>
    </row>
    <row r="935" spans="1:26" x14ac:dyDescent="0.2">
      <c r="A935" s="8">
        <v>934</v>
      </c>
      <c r="B935" s="8" t="s">
        <v>4460</v>
      </c>
      <c r="C935" s="8" t="s">
        <v>4460</v>
      </c>
      <c r="F935" s="47"/>
      <c r="G935" s="8">
        <v>18</v>
      </c>
      <c r="H935" s="8" t="s">
        <v>21</v>
      </c>
      <c r="I935" s="8" t="s">
        <v>22</v>
      </c>
      <c r="J935" s="8" t="s">
        <v>22</v>
      </c>
      <c r="K935" s="8" t="s">
        <v>58</v>
      </c>
      <c r="L935" s="8" t="s">
        <v>125</v>
      </c>
      <c r="M935" s="8" t="s">
        <v>126</v>
      </c>
      <c r="N935" s="8" t="s">
        <v>4461</v>
      </c>
      <c r="O935" s="8">
        <f>2+27/60+32.9/3600</f>
        <v>2.459138888888889</v>
      </c>
      <c r="P935" s="8" t="s">
        <v>4462</v>
      </c>
      <c r="Q935" s="8">
        <f>-(0+14/60+39/3600)</f>
        <v>-0.24416666666666667</v>
      </c>
      <c r="R935" s="8">
        <v>13.1</v>
      </c>
      <c r="S935" s="8">
        <v>14</v>
      </c>
      <c r="T935" s="8">
        <v>0.9</v>
      </c>
      <c r="U935" s="8">
        <v>13.2</v>
      </c>
      <c r="V935" s="8">
        <v>1.3</v>
      </c>
      <c r="W935" s="8">
        <v>0.9</v>
      </c>
      <c r="X935" s="8">
        <v>130</v>
      </c>
      <c r="Y935" s="8" t="s">
        <v>4463</v>
      </c>
      <c r="Z935" s="8" t="s">
        <v>4464</v>
      </c>
    </row>
    <row r="936" spans="1:26" x14ac:dyDescent="0.2">
      <c r="A936" s="8">
        <v>935</v>
      </c>
      <c r="B936" s="8" t="s">
        <v>4465</v>
      </c>
      <c r="C936" s="8" t="s">
        <v>4465</v>
      </c>
      <c r="F936" s="47"/>
      <c r="G936" s="8">
        <v>19</v>
      </c>
      <c r="H936" s="8" t="s">
        <v>21</v>
      </c>
      <c r="I936" s="8" t="s">
        <v>22</v>
      </c>
      <c r="J936" s="8" t="s">
        <v>22</v>
      </c>
      <c r="K936" s="8" t="s">
        <v>160</v>
      </c>
      <c r="L936" s="8" t="s">
        <v>3256</v>
      </c>
      <c r="M936" s="8" t="s">
        <v>3257</v>
      </c>
      <c r="N936" s="8" t="s">
        <v>4466</v>
      </c>
      <c r="O936" s="8">
        <f>2+28/60+11.2/3600</f>
        <v>2.4697777777777778</v>
      </c>
      <c r="P936" s="8" t="s">
        <v>4467</v>
      </c>
      <c r="Q936" s="8">
        <f>+(19+35/60+57/3600)</f>
        <v>19.599166666666665</v>
      </c>
      <c r="R936" s="8">
        <v>12.9</v>
      </c>
      <c r="S936" s="8">
        <v>13.6</v>
      </c>
      <c r="T936" s="8">
        <v>0.7</v>
      </c>
      <c r="U936" s="8">
        <v>13.5</v>
      </c>
      <c r="V936" s="8">
        <v>1.7</v>
      </c>
      <c r="W936" s="8">
        <v>1.1000000000000001</v>
      </c>
      <c r="X936" s="8">
        <v>155</v>
      </c>
      <c r="Y936" s="8" t="s">
        <v>4468</v>
      </c>
      <c r="Z936" s="8" t="s">
        <v>4469</v>
      </c>
    </row>
    <row r="937" spans="1:26" x14ac:dyDescent="0.2">
      <c r="A937" s="8">
        <v>936</v>
      </c>
      <c r="B937" s="8" t="s">
        <v>4470</v>
      </c>
      <c r="C937" s="8" t="s">
        <v>4470</v>
      </c>
      <c r="F937" s="47" t="s">
        <v>56208</v>
      </c>
      <c r="G937" s="8">
        <v>6</v>
      </c>
      <c r="H937" s="8" t="s">
        <v>4471</v>
      </c>
      <c r="I937" s="8" t="s">
        <v>22</v>
      </c>
      <c r="J937" s="8" t="s">
        <v>22</v>
      </c>
      <c r="K937" s="8" t="s">
        <v>435</v>
      </c>
      <c r="L937" s="8" t="s">
        <v>125</v>
      </c>
      <c r="M937" s="8" t="s">
        <v>126</v>
      </c>
      <c r="N937" s="8" t="s">
        <v>4472</v>
      </c>
      <c r="O937" s="8">
        <f>2+27/60+37.5/3600</f>
        <v>2.4604166666666667</v>
      </c>
      <c r="P937" s="8" t="s">
        <v>4473</v>
      </c>
      <c r="Q937" s="8">
        <f>-(1+9/60+23/3600)</f>
        <v>-1.1563888888888889</v>
      </c>
      <c r="R937" s="8">
        <v>10.199999999999999</v>
      </c>
      <c r="S937" s="8">
        <v>11.1</v>
      </c>
      <c r="T937" s="8">
        <v>0.9</v>
      </c>
      <c r="U937" s="8">
        <v>13.2</v>
      </c>
      <c r="V937" s="8">
        <v>4.7</v>
      </c>
      <c r="W937" s="8">
        <v>4.0999999999999996</v>
      </c>
      <c r="X937" s="8">
        <v>135</v>
      </c>
      <c r="Y937" s="8" t="s">
        <v>4474</v>
      </c>
      <c r="Z937" s="8" t="s">
        <v>4475</v>
      </c>
    </row>
    <row r="938" spans="1:26" x14ac:dyDescent="0.2">
      <c r="A938" s="8">
        <v>937</v>
      </c>
      <c r="B938" s="8" t="s">
        <v>4476</v>
      </c>
      <c r="C938" s="8" t="s">
        <v>4476</v>
      </c>
      <c r="F938" s="47"/>
      <c r="G938" s="8">
        <v>19</v>
      </c>
      <c r="H938" s="8" t="s">
        <v>21</v>
      </c>
      <c r="I938" s="8" t="s">
        <v>22</v>
      </c>
      <c r="J938" s="8" t="s">
        <v>22</v>
      </c>
      <c r="K938" s="8" t="s">
        <v>64</v>
      </c>
      <c r="L938" s="8" t="s">
        <v>51</v>
      </c>
      <c r="M938" s="8" t="s">
        <v>52</v>
      </c>
      <c r="N938" s="8" t="s">
        <v>4477</v>
      </c>
      <c r="O938" s="8">
        <f>2+29/60+28.1/3600</f>
        <v>2.491138888888889</v>
      </c>
      <c r="P938" s="8" t="s">
        <v>4478</v>
      </c>
      <c r="Q938" s="8">
        <f>+(42+14/60+59/3600)</f>
        <v>42.249722222222225</v>
      </c>
      <c r="R938" s="8">
        <v>14.2</v>
      </c>
      <c r="S938" s="8">
        <v>14.9</v>
      </c>
      <c r="T938" s="8">
        <v>0.7</v>
      </c>
      <c r="U938" s="8">
        <v>13.4</v>
      </c>
      <c r="V938" s="8">
        <v>1.1000000000000001</v>
      </c>
      <c r="W938" s="8">
        <v>0.5</v>
      </c>
      <c r="X938" s="8">
        <v>117</v>
      </c>
      <c r="Y938" s="8" t="s">
        <v>4479</v>
      </c>
      <c r="Z938" s="8" t="s">
        <v>4480</v>
      </c>
    </row>
    <row r="939" spans="1:26" x14ac:dyDescent="0.2">
      <c r="A939" s="8">
        <v>938</v>
      </c>
      <c r="B939" s="8" t="s">
        <v>4481</v>
      </c>
      <c r="C939" s="8" t="s">
        <v>4481</v>
      </c>
      <c r="F939" s="47"/>
      <c r="G939" s="8">
        <v>18</v>
      </c>
      <c r="H939" s="8" t="s">
        <v>21</v>
      </c>
      <c r="I939" s="8" t="s">
        <v>22</v>
      </c>
      <c r="J939" s="8" t="s">
        <v>22</v>
      </c>
      <c r="K939" s="8" t="s">
        <v>382</v>
      </c>
      <c r="L939" s="8" t="s">
        <v>3256</v>
      </c>
      <c r="M939" s="8" t="s">
        <v>3257</v>
      </c>
      <c r="N939" s="8" t="s">
        <v>4482</v>
      </c>
      <c r="O939" s="8">
        <f>2+28/60+33.5/3600</f>
        <v>2.4759722222222225</v>
      </c>
      <c r="P939" s="8" t="s">
        <v>4483</v>
      </c>
      <c r="Q939" s="8">
        <f>+(20+17/60+2/3600)</f>
        <v>20.283888888888889</v>
      </c>
      <c r="R939" s="8">
        <v>12.4</v>
      </c>
      <c r="S939" s="8">
        <v>13.4</v>
      </c>
      <c r="T939" s="8">
        <v>1</v>
      </c>
      <c r="U939" s="8">
        <v>13.1</v>
      </c>
      <c r="V939" s="8">
        <v>1.6</v>
      </c>
      <c r="W939" s="8">
        <v>1.2</v>
      </c>
      <c r="X939" s="8">
        <v>100</v>
      </c>
      <c r="Y939" s="8" t="s">
        <v>4484</v>
      </c>
      <c r="Z939" s="8" t="s">
        <v>4485</v>
      </c>
    </row>
    <row r="940" spans="1:26" x14ac:dyDescent="0.2">
      <c r="A940" s="8">
        <v>939</v>
      </c>
      <c r="B940" s="8" t="s">
        <v>4486</v>
      </c>
      <c r="C940" s="8" t="s">
        <v>4486</v>
      </c>
      <c r="F940" s="47"/>
      <c r="G940" s="8">
        <v>16</v>
      </c>
      <c r="H940" s="8" t="s">
        <v>21</v>
      </c>
      <c r="I940" s="8" t="s">
        <v>22</v>
      </c>
      <c r="J940" s="8" t="s">
        <v>22</v>
      </c>
      <c r="K940" s="8" t="s">
        <v>1136</v>
      </c>
      <c r="L940" s="8" t="s">
        <v>3328</v>
      </c>
      <c r="M940" s="8" t="s">
        <v>3329</v>
      </c>
      <c r="N940" s="8" t="s">
        <v>4487</v>
      </c>
      <c r="O940" s="8">
        <f>2+26/60+21.4/3600</f>
        <v>2.4392777777777779</v>
      </c>
      <c r="P940" s="8" t="s">
        <v>4488</v>
      </c>
      <c r="Q940" s="8">
        <f>-(44+26/60+47/3600)</f>
        <v>-44.446388888888883</v>
      </c>
      <c r="R940" s="8">
        <v>13</v>
      </c>
      <c r="S940" s="8">
        <v>14</v>
      </c>
      <c r="T940" s="8">
        <v>1</v>
      </c>
      <c r="U940" s="8">
        <v>13.2</v>
      </c>
      <c r="V940" s="8">
        <v>1.2</v>
      </c>
      <c r="W940" s="8">
        <v>1</v>
      </c>
      <c r="X940" s="8">
        <v>110</v>
      </c>
      <c r="Y940" s="8" t="s">
        <v>4489</v>
      </c>
      <c r="Z940" s="8" t="s">
        <v>4490</v>
      </c>
    </row>
    <row r="941" spans="1:26" x14ac:dyDescent="0.2">
      <c r="A941" s="8">
        <v>940</v>
      </c>
      <c r="B941" s="8" t="s">
        <v>4491</v>
      </c>
      <c r="C941" s="8" t="s">
        <v>4491</v>
      </c>
      <c r="F941" s="47"/>
      <c r="G941" s="8">
        <v>18</v>
      </c>
      <c r="H941" s="8" t="s">
        <v>21</v>
      </c>
      <c r="I941" s="8" t="s">
        <v>22</v>
      </c>
      <c r="J941" s="8" t="s">
        <v>22</v>
      </c>
      <c r="K941" s="8" t="s">
        <v>37</v>
      </c>
      <c r="L941" s="8" t="s">
        <v>2809</v>
      </c>
      <c r="M941" s="8" t="s">
        <v>2810</v>
      </c>
      <c r="N941" s="8" t="s">
        <v>4492</v>
      </c>
      <c r="O941" s="8">
        <f>2+29/60+27.4/3600</f>
        <v>2.4909444444444446</v>
      </c>
      <c r="P941" s="8" t="s">
        <v>4493</v>
      </c>
      <c r="Q941" s="8">
        <f>+(31+38/60+29/3600)</f>
        <v>31.641388888888887</v>
      </c>
      <c r="R941" s="8">
        <v>12.4</v>
      </c>
      <c r="S941" s="8">
        <v>13.4</v>
      </c>
      <c r="T941" s="8">
        <v>1</v>
      </c>
      <c r="U941" s="8">
        <v>12.5</v>
      </c>
      <c r="V941" s="8">
        <v>1.2</v>
      </c>
      <c r="W941" s="8">
        <v>0.9</v>
      </c>
      <c r="X941" s="8">
        <v>9</v>
      </c>
      <c r="Y941" s="8" t="s">
        <v>2641</v>
      </c>
      <c r="Z941" s="8" t="s">
        <v>2642</v>
      </c>
    </row>
    <row r="942" spans="1:26" x14ac:dyDescent="0.2">
      <c r="A942" s="8">
        <v>941</v>
      </c>
      <c r="B942" s="8" t="s">
        <v>4494</v>
      </c>
      <c r="C942" s="8" t="s">
        <v>4494</v>
      </c>
      <c r="F942" s="47" t="s">
        <v>56209</v>
      </c>
      <c r="G942" s="8">
        <v>11</v>
      </c>
      <c r="H942" s="8" t="s">
        <v>21</v>
      </c>
      <c r="I942" s="8" t="s">
        <v>22</v>
      </c>
      <c r="J942" s="8" t="s">
        <v>22</v>
      </c>
      <c r="K942" s="8" t="s">
        <v>64</v>
      </c>
      <c r="L942" s="8" t="s">
        <v>125</v>
      </c>
      <c r="M942" s="8" t="s">
        <v>126</v>
      </c>
      <c r="N942" s="8" t="s">
        <v>4495</v>
      </c>
      <c r="O942" s="8">
        <f>2+28/60+27.8/3600</f>
        <v>2.474388888888889</v>
      </c>
      <c r="P942" s="8" t="s">
        <v>4496</v>
      </c>
      <c r="Q942" s="8">
        <f>-(1+9/60+4/3600)</f>
        <v>-1.151111111111111</v>
      </c>
      <c r="R942" s="8">
        <v>12.4</v>
      </c>
      <c r="S942" s="8">
        <v>12.9</v>
      </c>
      <c r="T942" s="8">
        <v>0.5</v>
      </c>
      <c r="U942" s="8">
        <v>14.1</v>
      </c>
      <c r="V942" s="8">
        <v>2.7</v>
      </c>
      <c r="W942" s="8">
        <v>1.8</v>
      </c>
      <c r="X942" s="8">
        <v>170</v>
      </c>
      <c r="Y942" s="8" t="s">
        <v>4497</v>
      </c>
      <c r="Z942" s="8" t="s">
        <v>4498</v>
      </c>
    </row>
    <row r="943" spans="1:26" x14ac:dyDescent="0.2">
      <c r="A943" s="8">
        <v>942</v>
      </c>
      <c r="B943" s="8" t="s">
        <v>4499</v>
      </c>
      <c r="C943" s="8" t="s">
        <v>4499</v>
      </c>
      <c r="F943" s="47"/>
      <c r="G943" s="8">
        <v>19</v>
      </c>
      <c r="H943" s="8" t="s">
        <v>21</v>
      </c>
      <c r="I943" s="8" t="s">
        <v>22</v>
      </c>
      <c r="J943" s="8" t="s">
        <v>22</v>
      </c>
      <c r="K943" s="8" t="s">
        <v>632</v>
      </c>
      <c r="L943" s="8" t="s">
        <v>125</v>
      </c>
      <c r="M943" s="8" t="s">
        <v>126</v>
      </c>
      <c r="N943" s="8" t="s">
        <v>4500</v>
      </c>
      <c r="O943" s="8">
        <f>2+29/60+10.2/3600</f>
        <v>2.4861666666666666</v>
      </c>
      <c r="P943" s="8" t="s">
        <v>4501</v>
      </c>
      <c r="Q943" s="8">
        <f>-(10+50/60+8/3600)</f>
        <v>-10.835555555555556</v>
      </c>
      <c r="R943" s="8">
        <v>13</v>
      </c>
      <c r="S943" s="8">
        <v>13.9</v>
      </c>
      <c r="T943" s="8">
        <v>0.9</v>
      </c>
      <c r="U943" s="8">
        <v>14.3</v>
      </c>
      <c r="V943" s="8">
        <v>2.8</v>
      </c>
      <c r="W943" s="8">
        <v>1.3</v>
      </c>
      <c r="X943" s="8">
        <v>35</v>
      </c>
      <c r="Y943" s="8" t="s">
        <v>4502</v>
      </c>
      <c r="Z943" s="8" t="s">
        <v>4503</v>
      </c>
    </row>
    <row r="944" spans="1:26" x14ac:dyDescent="0.2">
      <c r="A944" s="8">
        <v>943</v>
      </c>
      <c r="B944" s="8" t="s">
        <v>4504</v>
      </c>
      <c r="C944" s="8" t="s">
        <v>4504</v>
      </c>
      <c r="F944" s="47"/>
      <c r="G944" s="8">
        <v>19</v>
      </c>
      <c r="H944" s="8" t="s">
        <v>21</v>
      </c>
      <c r="I944" s="8" t="s">
        <v>22</v>
      </c>
      <c r="J944" s="8" t="s">
        <v>22</v>
      </c>
      <c r="K944" s="8" t="s">
        <v>818</v>
      </c>
      <c r="L944" s="8" t="s">
        <v>125</v>
      </c>
      <c r="M944" s="8" t="s">
        <v>126</v>
      </c>
      <c r="N944" s="8" t="s">
        <v>4505</v>
      </c>
      <c r="O944" s="8">
        <f>2+29/60+9.5/3600</f>
        <v>2.4859722222222222</v>
      </c>
      <c r="P944" s="8" t="s">
        <v>4506</v>
      </c>
      <c r="Q944" s="8">
        <f>-(10+49/60+41/3600)</f>
        <v>-10.828055555555554</v>
      </c>
      <c r="R944" s="8">
        <v>12.9</v>
      </c>
      <c r="S944" s="8">
        <v>13.9</v>
      </c>
      <c r="T944" s="8">
        <v>1</v>
      </c>
      <c r="U944" s="8">
        <v>14.4</v>
      </c>
      <c r="V944" s="8">
        <v>2.8</v>
      </c>
      <c r="W944" s="8">
        <v>1.3</v>
      </c>
      <c r="X944" s="8">
        <v>15</v>
      </c>
      <c r="Y944" s="8" t="s">
        <v>4502</v>
      </c>
      <c r="Z944" s="8" t="s">
        <v>4503</v>
      </c>
    </row>
    <row r="945" spans="1:26" x14ac:dyDescent="0.2">
      <c r="A945" s="8">
        <v>944</v>
      </c>
      <c r="B945" s="8" t="s">
        <v>4507</v>
      </c>
      <c r="C945" s="8" t="s">
        <v>4507</v>
      </c>
      <c r="F945" s="47"/>
      <c r="G945" s="8">
        <v>19</v>
      </c>
      <c r="H945" s="8" t="s">
        <v>21</v>
      </c>
      <c r="I945" s="8" t="s">
        <v>22</v>
      </c>
      <c r="J945" s="8" t="s">
        <v>22</v>
      </c>
      <c r="K945" s="8" t="s">
        <v>632</v>
      </c>
      <c r="L945" s="8" t="s">
        <v>125</v>
      </c>
      <c r="M945" s="8" t="s">
        <v>126</v>
      </c>
      <c r="N945" s="8" t="s">
        <v>4508</v>
      </c>
      <c r="O945" s="8">
        <f>2+26/60+41.6/3600</f>
        <v>2.4448888888888893</v>
      </c>
      <c r="P945" s="8" t="s">
        <v>4509</v>
      </c>
      <c r="Q945" s="8">
        <f>-(14+30/60+57/3600)</f>
        <v>-14.515833333333333</v>
      </c>
      <c r="R945" s="8">
        <v>14</v>
      </c>
      <c r="S945" s="8">
        <v>14.9</v>
      </c>
      <c r="T945" s="8">
        <v>0.9</v>
      </c>
      <c r="U945" s="8">
        <v>13</v>
      </c>
      <c r="V945" s="8">
        <v>1.1000000000000001</v>
      </c>
      <c r="W945" s="8">
        <v>0.4</v>
      </c>
      <c r="X945" s="8">
        <v>15</v>
      </c>
      <c r="Y945" s="8" t="s">
        <v>4510</v>
      </c>
      <c r="Z945" s="8" t="s">
        <v>4511</v>
      </c>
    </row>
    <row r="946" spans="1:26" x14ac:dyDescent="0.2">
      <c r="A946" s="8">
        <v>945</v>
      </c>
      <c r="B946" s="8" t="s">
        <v>4512</v>
      </c>
      <c r="C946" s="8" t="s">
        <v>4512</v>
      </c>
      <c r="F946" s="47" t="s">
        <v>56210</v>
      </c>
      <c r="G946" s="8">
        <v>15</v>
      </c>
      <c r="H946" s="8" t="s">
        <v>21</v>
      </c>
      <c r="I946" s="8" t="s">
        <v>22</v>
      </c>
      <c r="J946" s="8" t="s">
        <v>22</v>
      </c>
      <c r="K946" s="8" t="s">
        <v>64</v>
      </c>
      <c r="L946" s="8" t="s">
        <v>125</v>
      </c>
      <c r="M946" s="8" t="s">
        <v>126</v>
      </c>
      <c r="N946" s="8" t="s">
        <v>4513</v>
      </c>
      <c r="O946" s="8">
        <f>2+28/60+37.2/3600</f>
        <v>2.4770000000000003</v>
      </c>
      <c r="P946" s="8" t="s">
        <v>4514</v>
      </c>
      <c r="Q946" s="8">
        <f>-(10+32/60+20/3600)</f>
        <v>-10.53888888888889</v>
      </c>
      <c r="R946" s="8">
        <v>12.1</v>
      </c>
      <c r="S946" s="8">
        <v>12.8</v>
      </c>
      <c r="T946" s="8">
        <v>0.7</v>
      </c>
      <c r="U946" s="8">
        <v>13.6</v>
      </c>
      <c r="V946" s="8">
        <v>2.2999999999999998</v>
      </c>
      <c r="W946" s="8">
        <v>2.2000000000000002</v>
      </c>
      <c r="X946" s="8">
        <v>10</v>
      </c>
      <c r="Y946" s="8" t="s">
        <v>4515</v>
      </c>
      <c r="Z946" s="8" t="s">
        <v>4516</v>
      </c>
    </row>
    <row r="947" spans="1:26" x14ac:dyDescent="0.2">
      <c r="A947" s="8">
        <v>946</v>
      </c>
      <c r="B947" s="8" t="s">
        <v>4517</v>
      </c>
      <c r="C947" s="8" t="s">
        <v>4517</v>
      </c>
      <c r="F947" s="47"/>
      <c r="G947" s="8">
        <v>15</v>
      </c>
      <c r="H947" s="8" t="s">
        <v>21</v>
      </c>
      <c r="I947" s="8" t="s">
        <v>22</v>
      </c>
      <c r="J947" s="8" t="s">
        <v>22</v>
      </c>
      <c r="K947" s="8" t="s">
        <v>37</v>
      </c>
      <c r="L947" s="8" t="s">
        <v>51</v>
      </c>
      <c r="M947" s="8" t="s">
        <v>52</v>
      </c>
      <c r="N947" s="8" t="s">
        <v>4518</v>
      </c>
      <c r="O947" s="8">
        <f>2+30/60+38.4/3600</f>
        <v>2.5106666666666668</v>
      </c>
      <c r="P947" s="8" t="s">
        <v>4519</v>
      </c>
      <c r="Q947" s="8">
        <f>+(42+13/60+59/3600)</f>
        <v>42.233055555555559</v>
      </c>
      <c r="R947" s="8">
        <v>13.2</v>
      </c>
      <c r="S947" s="8">
        <v>14.2</v>
      </c>
      <c r="T947" s="8">
        <v>1</v>
      </c>
      <c r="U947" s="8">
        <v>13.4</v>
      </c>
      <c r="V947" s="8">
        <v>1.5</v>
      </c>
      <c r="W947" s="8">
        <v>1</v>
      </c>
      <c r="X947" s="8">
        <v>65</v>
      </c>
      <c r="Y947" s="8" t="s">
        <v>1837</v>
      </c>
      <c r="Z947" s="8" t="s">
        <v>1838</v>
      </c>
    </row>
    <row r="948" spans="1:26" x14ac:dyDescent="0.2">
      <c r="A948" s="8">
        <v>947</v>
      </c>
      <c r="B948" s="8" t="s">
        <v>4520</v>
      </c>
      <c r="C948" s="8" t="s">
        <v>4520</v>
      </c>
      <c r="F948" s="47"/>
      <c r="G948" s="8">
        <v>16</v>
      </c>
      <c r="H948" s="8" t="s">
        <v>21</v>
      </c>
      <c r="I948" s="8" t="s">
        <v>22</v>
      </c>
      <c r="J948" s="8" t="s">
        <v>22</v>
      </c>
      <c r="K948" s="8" t="s">
        <v>64</v>
      </c>
      <c r="L948" s="8" t="s">
        <v>125</v>
      </c>
      <c r="M948" s="8" t="s">
        <v>126</v>
      </c>
      <c r="N948" s="8" t="s">
        <v>4521</v>
      </c>
      <c r="O948" s="8">
        <f>2+28/60+33.3/3600</f>
        <v>2.475916666666667</v>
      </c>
      <c r="P948" s="8" t="s">
        <v>4522</v>
      </c>
      <c r="Q948" s="8">
        <f>-(19+2/60+32/3600)</f>
        <v>-19.042222222222225</v>
      </c>
      <c r="R948" s="8">
        <v>12.6</v>
      </c>
      <c r="S948" s="8">
        <v>13.2</v>
      </c>
      <c r="T948" s="8">
        <v>0.6</v>
      </c>
      <c r="U948" s="8">
        <v>13.3</v>
      </c>
      <c r="V948" s="8">
        <v>2.1</v>
      </c>
      <c r="W948" s="8">
        <v>1.1000000000000001</v>
      </c>
      <c r="X948" s="8">
        <v>50</v>
      </c>
      <c r="Y948" s="8" t="s">
        <v>4523</v>
      </c>
      <c r="Z948" s="8" t="s">
        <v>4524</v>
      </c>
    </row>
    <row r="949" spans="1:26" x14ac:dyDescent="0.2">
      <c r="A949" s="8">
        <v>948</v>
      </c>
      <c r="B949" s="8" t="s">
        <v>4525</v>
      </c>
      <c r="C949" s="8" t="s">
        <v>4525</v>
      </c>
      <c r="F949" s="47"/>
      <c r="G949" s="8">
        <v>19</v>
      </c>
      <c r="H949" s="8" t="s">
        <v>21</v>
      </c>
      <c r="I949" s="8" t="s">
        <v>22</v>
      </c>
      <c r="J949" s="8" t="s">
        <v>22</v>
      </c>
      <c r="K949" s="8" t="s">
        <v>64</v>
      </c>
      <c r="L949" s="8" t="s">
        <v>125</v>
      </c>
      <c r="M949" s="8" t="s">
        <v>126</v>
      </c>
      <c r="N949" s="8" t="s">
        <v>4526</v>
      </c>
      <c r="O949" s="8">
        <f>2+28/60+45.4/3600</f>
        <v>2.4792777777777779</v>
      </c>
      <c r="P949" s="8" t="s">
        <v>4527</v>
      </c>
      <c r="Q949" s="8">
        <f>-(10+30/60+50/3600)</f>
        <v>-10.513888888888889</v>
      </c>
      <c r="R949" s="8">
        <v>13.7</v>
      </c>
      <c r="S949" s="8">
        <v>14.4</v>
      </c>
      <c r="T949" s="8">
        <v>0.7</v>
      </c>
      <c r="U949" s="8">
        <v>14</v>
      </c>
      <c r="V949" s="8">
        <v>1.4</v>
      </c>
      <c r="W949" s="8">
        <v>1.1000000000000001</v>
      </c>
      <c r="X949" s="8">
        <v>12</v>
      </c>
      <c r="Y949" s="8" t="s">
        <v>170</v>
      </c>
      <c r="Z949" s="8" t="s">
        <v>171</v>
      </c>
    </row>
    <row r="950" spans="1:26" x14ac:dyDescent="0.2">
      <c r="A950" s="8">
        <v>949</v>
      </c>
      <c r="B950" s="8" t="s">
        <v>4528</v>
      </c>
      <c r="C950" s="8" t="s">
        <v>4528</v>
      </c>
      <c r="F950" s="47" t="s">
        <v>56211</v>
      </c>
      <c r="G950" s="8">
        <v>9</v>
      </c>
      <c r="H950" s="8" t="s">
        <v>21</v>
      </c>
      <c r="I950" s="8" t="s">
        <v>22</v>
      </c>
      <c r="J950" s="8" t="s">
        <v>22</v>
      </c>
      <c r="K950" s="8" t="s">
        <v>23</v>
      </c>
      <c r="L950" s="8" t="s">
        <v>2809</v>
      </c>
      <c r="M950" s="8" t="s">
        <v>2810</v>
      </c>
      <c r="N950" s="8" t="s">
        <v>4529</v>
      </c>
      <c r="O950" s="8">
        <f>2+30/60+48.8/3600</f>
        <v>2.5135555555555555</v>
      </c>
      <c r="P950" s="8" t="s">
        <v>4530</v>
      </c>
      <c r="Q950" s="8">
        <f>+(37+8/60+9/3600)</f>
        <v>37.135833333333331</v>
      </c>
      <c r="R950" s="8">
        <v>11.8</v>
      </c>
      <c r="S950" s="8">
        <v>12.4</v>
      </c>
      <c r="T950" s="8">
        <v>0.6</v>
      </c>
      <c r="U950" s="8">
        <v>12.9</v>
      </c>
      <c r="V950" s="8">
        <v>3</v>
      </c>
      <c r="W950" s="8">
        <v>1.6</v>
      </c>
      <c r="X950" s="8">
        <v>148</v>
      </c>
      <c r="Y950" s="8" t="s">
        <v>4531</v>
      </c>
      <c r="Z950" s="8" t="s">
        <v>4532</v>
      </c>
    </row>
    <row r="951" spans="1:26" x14ac:dyDescent="0.2">
      <c r="A951" s="8">
        <v>950</v>
      </c>
      <c r="B951" s="8" t="s">
        <v>4533</v>
      </c>
      <c r="C951" s="8" t="s">
        <v>4533</v>
      </c>
      <c r="F951" s="47"/>
      <c r="G951" s="8">
        <v>19</v>
      </c>
      <c r="H951" s="8" t="s">
        <v>21</v>
      </c>
      <c r="I951" s="8" t="s">
        <v>22</v>
      </c>
      <c r="J951" s="8" t="s">
        <v>22</v>
      </c>
      <c r="K951" s="8" t="s">
        <v>23</v>
      </c>
      <c r="L951" s="8" t="s">
        <v>125</v>
      </c>
      <c r="M951" s="8" t="s">
        <v>126</v>
      </c>
      <c r="N951" s="8" t="s">
        <v>4534</v>
      </c>
      <c r="O951" s="8">
        <f>2+29/60+11.6/3600</f>
        <v>2.4865555555555554</v>
      </c>
      <c r="P951" s="8" t="s">
        <v>4535</v>
      </c>
      <c r="Q951" s="8">
        <f>-(11+1/60+30/3600)</f>
        <v>-11.025</v>
      </c>
      <c r="R951" s="8">
        <v>13.8</v>
      </c>
      <c r="S951" s="8">
        <v>14.6</v>
      </c>
      <c r="T951" s="8">
        <v>0.8</v>
      </c>
      <c r="U951" s="8">
        <v>13.7</v>
      </c>
      <c r="V951" s="8">
        <v>1.3</v>
      </c>
      <c r="W951" s="8">
        <v>0.8</v>
      </c>
      <c r="X951" s="8">
        <v>40</v>
      </c>
      <c r="Y951" s="8" t="s">
        <v>4536</v>
      </c>
      <c r="Z951" s="8" t="s">
        <v>4537</v>
      </c>
    </row>
    <row r="952" spans="1:26" x14ac:dyDescent="0.2">
      <c r="A952" s="8">
        <v>951</v>
      </c>
      <c r="B952" s="8" t="s">
        <v>4538</v>
      </c>
      <c r="C952" s="8" t="s">
        <v>4538</v>
      </c>
      <c r="F952" s="47"/>
      <c r="G952" s="8">
        <v>19</v>
      </c>
      <c r="H952" s="8" t="s">
        <v>21</v>
      </c>
      <c r="I952" s="8" t="s">
        <v>22</v>
      </c>
      <c r="J952" s="8" t="s">
        <v>22</v>
      </c>
      <c r="K952" s="8" t="s">
        <v>406</v>
      </c>
      <c r="L952" s="8" t="s">
        <v>125</v>
      </c>
      <c r="M952" s="8" t="s">
        <v>126</v>
      </c>
      <c r="N952" s="8" t="s">
        <v>4539</v>
      </c>
      <c r="O952" s="8">
        <f>2+28/60+56.9/3600</f>
        <v>2.4824722222222224</v>
      </c>
      <c r="P952" s="8" t="s">
        <v>4540</v>
      </c>
      <c r="Q952" s="8">
        <f>-(22+20/60+57/3600)</f>
        <v>-22.349166666666665</v>
      </c>
      <c r="R952" s="8">
        <v>14.6</v>
      </c>
      <c r="S952" s="8">
        <v>15.4</v>
      </c>
      <c r="T952" s="8">
        <v>0.8</v>
      </c>
      <c r="U952" s="8">
        <v>13.9</v>
      </c>
      <c r="V952" s="8">
        <v>1</v>
      </c>
      <c r="W952" s="8">
        <v>0.6</v>
      </c>
      <c r="X952" s="8">
        <v>48</v>
      </c>
      <c r="Y952" s="8" t="s">
        <v>4541</v>
      </c>
      <c r="Z952" s="8" t="s">
        <v>4542</v>
      </c>
    </row>
    <row r="953" spans="1:26" x14ac:dyDescent="0.2">
      <c r="A953" s="8">
        <v>952</v>
      </c>
      <c r="B953" s="8" t="s">
        <v>4543</v>
      </c>
      <c r="C953" s="8" t="s">
        <v>4543</v>
      </c>
      <c r="F953" s="47"/>
      <c r="G953" s="8">
        <v>18</v>
      </c>
      <c r="H953" s="8" t="s">
        <v>21</v>
      </c>
      <c r="I953" s="8" t="s">
        <v>22</v>
      </c>
      <c r="J953" s="8" t="s">
        <v>57</v>
      </c>
      <c r="K953" s="8" t="s">
        <v>37</v>
      </c>
      <c r="L953" s="8" t="s">
        <v>2809</v>
      </c>
      <c r="M953" s="8" t="s">
        <v>2810</v>
      </c>
      <c r="N953" s="8" t="s">
        <v>4492</v>
      </c>
      <c r="O953" s="8">
        <f>2+29/60+27.4/3600</f>
        <v>2.4909444444444446</v>
      </c>
      <c r="P953" s="8" t="s">
        <v>4493</v>
      </c>
      <c r="Q953" s="8">
        <f>+(31+38/60+29/3600)</f>
        <v>31.641388888888887</v>
      </c>
      <c r="R953" s="8">
        <v>12.4</v>
      </c>
      <c r="S953" s="8">
        <v>13.4</v>
      </c>
      <c r="T953" s="8">
        <v>1</v>
      </c>
      <c r="U953" s="8">
        <v>12.5</v>
      </c>
      <c r="V953" s="8">
        <v>1.2</v>
      </c>
      <c r="W953" s="8">
        <v>0.9</v>
      </c>
      <c r="X953" s="8">
        <v>9</v>
      </c>
      <c r="Y953" s="8" t="s">
        <v>115</v>
      </c>
      <c r="Z953" s="8" t="s">
        <v>116</v>
      </c>
    </row>
    <row r="954" spans="1:26" x14ac:dyDescent="0.2">
      <c r="A954" s="8">
        <v>953</v>
      </c>
      <c r="B954" s="8" t="s">
        <v>4544</v>
      </c>
      <c r="C954" s="8" t="s">
        <v>4544</v>
      </c>
      <c r="F954" s="47"/>
      <c r="G954" s="8">
        <v>18</v>
      </c>
      <c r="H954" s="8" t="s">
        <v>21</v>
      </c>
      <c r="I954" s="8" t="s">
        <v>22</v>
      </c>
      <c r="J954" s="8" t="s">
        <v>22</v>
      </c>
      <c r="K954" s="8" t="s">
        <v>460</v>
      </c>
      <c r="L954" s="8" t="s">
        <v>2809</v>
      </c>
      <c r="M954" s="8" t="s">
        <v>2810</v>
      </c>
      <c r="N954" s="8" t="s">
        <v>4545</v>
      </c>
      <c r="O954" s="8">
        <f>2+31/60+9.8/3600</f>
        <v>2.5193888888888889</v>
      </c>
      <c r="P954" s="8" t="s">
        <v>4546</v>
      </c>
      <c r="Q954" s="8">
        <f>+(29+35/60+20/3600)</f>
        <v>29.588888888888889</v>
      </c>
      <c r="R954" s="8">
        <v>13.5</v>
      </c>
      <c r="S954" s="8">
        <v>14.5</v>
      </c>
      <c r="T954" s="8">
        <v>1</v>
      </c>
      <c r="U954" s="8">
        <v>14.1</v>
      </c>
      <c r="V954" s="8">
        <v>1.3</v>
      </c>
      <c r="W954" s="8">
        <v>1.3</v>
      </c>
      <c r="Y954" s="8" t="s">
        <v>4547</v>
      </c>
      <c r="Z954" s="8" t="s">
        <v>4548</v>
      </c>
    </row>
    <row r="955" spans="1:26" x14ac:dyDescent="0.2">
      <c r="A955" s="8">
        <v>954</v>
      </c>
      <c r="B955" s="8" t="s">
        <v>4549</v>
      </c>
      <c r="C955" s="8" t="s">
        <v>4549</v>
      </c>
      <c r="F955" s="47"/>
      <c r="G955" s="8">
        <v>16</v>
      </c>
      <c r="H955" s="8" t="s">
        <v>21</v>
      </c>
      <c r="I955" s="8" t="s">
        <v>22</v>
      </c>
      <c r="J955" s="8" t="s">
        <v>22</v>
      </c>
      <c r="K955" s="8" t="s">
        <v>64</v>
      </c>
      <c r="L955" s="8" t="s">
        <v>3328</v>
      </c>
      <c r="M955" s="8" t="s">
        <v>3329</v>
      </c>
      <c r="N955" s="8" t="s">
        <v>4550</v>
      </c>
      <c r="O955" s="8">
        <f>2+28/60+51.6/3600</f>
        <v>2.4810000000000003</v>
      </c>
      <c r="P955" s="8" t="s">
        <v>4551</v>
      </c>
      <c r="Q955" s="8">
        <f>-(41+24/60+9/3600)</f>
        <v>-41.402499999999996</v>
      </c>
      <c r="R955" s="8">
        <v>12.8</v>
      </c>
      <c r="S955" s="8">
        <v>13.5</v>
      </c>
      <c r="T955" s="8">
        <v>0.7</v>
      </c>
      <c r="U955" s="8">
        <v>13</v>
      </c>
      <c r="V955" s="8">
        <v>1.6</v>
      </c>
      <c r="W955" s="8">
        <v>0.8</v>
      </c>
      <c r="X955" s="8">
        <v>19</v>
      </c>
      <c r="Y955" s="8" t="s">
        <v>4552</v>
      </c>
      <c r="Z955" s="8" t="s">
        <v>4553</v>
      </c>
    </row>
    <row r="956" spans="1:26" x14ac:dyDescent="0.2">
      <c r="A956" s="8">
        <v>955</v>
      </c>
      <c r="B956" s="8" t="s">
        <v>4554</v>
      </c>
      <c r="C956" s="8" t="s">
        <v>4554</v>
      </c>
      <c r="F956" s="47" t="s">
        <v>56212</v>
      </c>
      <c r="G956" s="8">
        <v>9</v>
      </c>
      <c r="H956" s="8" t="s">
        <v>21</v>
      </c>
      <c r="I956" s="8" t="s">
        <v>22</v>
      </c>
      <c r="J956" s="8" t="s">
        <v>22</v>
      </c>
      <c r="K956" s="8" t="s">
        <v>31</v>
      </c>
      <c r="L956" s="8" t="s">
        <v>125</v>
      </c>
      <c r="M956" s="8" t="s">
        <v>126</v>
      </c>
      <c r="N956" s="8" t="s">
        <v>4555</v>
      </c>
      <c r="O956" s="8">
        <f>2+30/60+33.1/3600</f>
        <v>2.5091944444444443</v>
      </c>
      <c r="P956" s="8" t="s">
        <v>4556</v>
      </c>
      <c r="Q956" s="8">
        <f>-(1+6/60+30/3600)</f>
        <v>-1.1083333333333334</v>
      </c>
      <c r="R956" s="8">
        <v>12</v>
      </c>
      <c r="S956" s="8">
        <v>12.9</v>
      </c>
      <c r="T956" s="8">
        <v>0.9</v>
      </c>
      <c r="U956" s="8">
        <v>12.6</v>
      </c>
      <c r="V956" s="8">
        <v>2.9</v>
      </c>
      <c r="W956" s="8">
        <v>0.9</v>
      </c>
      <c r="X956" s="8">
        <v>19</v>
      </c>
      <c r="Y956" s="8" t="s">
        <v>4557</v>
      </c>
      <c r="Z956" s="8" t="s">
        <v>4558</v>
      </c>
    </row>
    <row r="957" spans="1:26" x14ac:dyDescent="0.2">
      <c r="A957" s="8">
        <v>956</v>
      </c>
      <c r="B957" s="8" t="s">
        <v>4559</v>
      </c>
      <c r="C957" s="8" t="s">
        <v>4559</v>
      </c>
      <c r="F957" s="47"/>
      <c r="G957" s="8">
        <v>14</v>
      </c>
      <c r="H957" s="8" t="s">
        <v>21</v>
      </c>
      <c r="I957" s="8" t="s">
        <v>557</v>
      </c>
      <c r="J957" s="8" t="s">
        <v>557</v>
      </c>
      <c r="K957" s="8" t="s">
        <v>600</v>
      </c>
      <c r="L957" s="8" t="s">
        <v>51</v>
      </c>
      <c r="M957" s="8" t="s">
        <v>52</v>
      </c>
      <c r="N957" s="8" t="s">
        <v>4560</v>
      </c>
      <c r="O957" s="8">
        <f>2+32/60+14.9/3600</f>
        <v>2.5374722222222221</v>
      </c>
      <c r="P957" s="8" t="s">
        <v>4561</v>
      </c>
      <c r="Q957" s="8">
        <f>+(44+38/60+48/3600)</f>
        <v>44.646666666666668</v>
      </c>
      <c r="R957" s="8">
        <v>99</v>
      </c>
      <c r="S957" s="8">
        <v>8.9</v>
      </c>
      <c r="T957" s="8">
        <v>99</v>
      </c>
      <c r="U957" s="8">
        <v>99</v>
      </c>
      <c r="V957" s="8">
        <v>9</v>
      </c>
      <c r="Y957" s="8" t="s">
        <v>4562</v>
      </c>
      <c r="Z957" s="8" t="s">
        <v>4563</v>
      </c>
    </row>
    <row r="958" spans="1:26" x14ac:dyDescent="0.2">
      <c r="A958" s="8">
        <v>957</v>
      </c>
      <c r="B958" s="8" t="s">
        <v>4564</v>
      </c>
      <c r="C958" s="8" t="s">
        <v>4564</v>
      </c>
      <c r="F958" s="47"/>
      <c r="G958" s="8">
        <v>7</v>
      </c>
      <c r="H958" s="8" t="s">
        <v>21</v>
      </c>
      <c r="I958" s="8" t="s">
        <v>557</v>
      </c>
      <c r="J958" s="8" t="s">
        <v>557</v>
      </c>
      <c r="K958" s="8" t="s">
        <v>987</v>
      </c>
      <c r="L958" s="8" t="s">
        <v>3147</v>
      </c>
      <c r="M958" s="8" t="s">
        <v>3148</v>
      </c>
      <c r="N958" s="8" t="s">
        <v>4565</v>
      </c>
      <c r="O958" s="8">
        <f>2+33/60+21/3600</f>
        <v>2.5558333333333332</v>
      </c>
      <c r="P958" s="8" t="s">
        <v>4566</v>
      </c>
      <c r="Q958" s="8">
        <f>+(57+33/60+36/3600)</f>
        <v>57.559999999999995</v>
      </c>
      <c r="R958" s="8">
        <v>7.6</v>
      </c>
      <c r="S958" s="8">
        <v>99</v>
      </c>
      <c r="T958" s="8">
        <v>99</v>
      </c>
      <c r="U958" s="8">
        <v>99</v>
      </c>
      <c r="V958" s="8">
        <v>10</v>
      </c>
      <c r="Y958" s="8" t="s">
        <v>4567</v>
      </c>
      <c r="Z958" s="8" t="s">
        <v>4568</v>
      </c>
    </row>
    <row r="959" spans="1:26" x14ac:dyDescent="0.2">
      <c r="A959" s="8">
        <v>958</v>
      </c>
      <c r="B959" s="8" t="s">
        <v>4569</v>
      </c>
      <c r="C959" s="8" t="s">
        <v>4569</v>
      </c>
      <c r="F959" s="47" t="s">
        <v>56213</v>
      </c>
      <c r="G959" s="8">
        <v>13</v>
      </c>
      <c r="H959" s="8" t="s">
        <v>21</v>
      </c>
      <c r="I959" s="8" t="s">
        <v>22</v>
      </c>
      <c r="J959" s="8" t="s">
        <v>22</v>
      </c>
      <c r="K959" s="8" t="s">
        <v>64</v>
      </c>
      <c r="L959" s="8" t="s">
        <v>125</v>
      </c>
      <c r="M959" s="8" t="s">
        <v>126</v>
      </c>
      <c r="N959" s="8" t="s">
        <v>4570</v>
      </c>
      <c r="O959" s="8">
        <f>2+30/60+42.5/3600</f>
        <v>2.5118055555555556</v>
      </c>
      <c r="P959" s="8" t="s">
        <v>4571</v>
      </c>
      <c r="Q959" s="8">
        <f>-(2+56/60+27/3600)</f>
        <v>-2.9408333333333334</v>
      </c>
      <c r="R959" s="8">
        <v>12.2</v>
      </c>
      <c r="S959" s="8">
        <v>12.9</v>
      </c>
      <c r="T959" s="8">
        <v>0.7</v>
      </c>
      <c r="U959" s="8">
        <v>13.1</v>
      </c>
      <c r="V959" s="8">
        <v>2.9</v>
      </c>
      <c r="W959" s="8">
        <v>0.9</v>
      </c>
      <c r="X959" s="8">
        <v>10</v>
      </c>
      <c r="Y959" s="8" t="s">
        <v>4572</v>
      </c>
      <c r="Z959" s="8" t="s">
        <v>4573</v>
      </c>
    </row>
    <row r="960" spans="1:26" x14ac:dyDescent="0.2">
      <c r="A960" s="8">
        <v>959</v>
      </c>
      <c r="B960" s="8" t="s">
        <v>4574</v>
      </c>
      <c r="C960" s="8" t="s">
        <v>4574</v>
      </c>
      <c r="F960" s="47"/>
      <c r="G960" s="8">
        <v>18</v>
      </c>
      <c r="H960" s="8" t="s">
        <v>21</v>
      </c>
      <c r="I960" s="8" t="s">
        <v>22</v>
      </c>
      <c r="J960" s="8" t="s">
        <v>22</v>
      </c>
      <c r="K960" s="8" t="s">
        <v>3523</v>
      </c>
      <c r="L960" s="8" t="s">
        <v>2809</v>
      </c>
      <c r="M960" s="8" t="s">
        <v>2810</v>
      </c>
      <c r="N960" s="8" t="s">
        <v>4575</v>
      </c>
      <c r="O960" s="8">
        <f>2+32/60+24/3600</f>
        <v>2.54</v>
      </c>
      <c r="P960" s="8" t="s">
        <v>4576</v>
      </c>
      <c r="Q960" s="8">
        <f>+(35+29/60+42/3600)</f>
        <v>35.494999999999997</v>
      </c>
      <c r="R960" s="8">
        <v>12.4</v>
      </c>
      <c r="S960" s="8">
        <v>13</v>
      </c>
      <c r="T960" s="8">
        <v>0.6</v>
      </c>
      <c r="U960" s="8">
        <v>13.6</v>
      </c>
      <c r="V960" s="8">
        <v>2.2999999999999998</v>
      </c>
      <c r="W960" s="8">
        <v>1.4</v>
      </c>
      <c r="X960" s="8">
        <v>65</v>
      </c>
      <c r="Y960" s="8" t="s">
        <v>4577</v>
      </c>
      <c r="Z960" s="8" t="s">
        <v>4578</v>
      </c>
    </row>
    <row r="961" spans="1:26" x14ac:dyDescent="0.2">
      <c r="A961" s="8">
        <v>960</v>
      </c>
      <c r="B961" s="8" t="s">
        <v>4579</v>
      </c>
      <c r="C961" s="8" t="s">
        <v>4579</v>
      </c>
      <c r="F961" s="47"/>
      <c r="G961" s="8">
        <v>19</v>
      </c>
      <c r="H961" s="8" t="s">
        <v>21</v>
      </c>
      <c r="I961" s="8" t="s">
        <v>22</v>
      </c>
      <c r="J961" s="8" t="s">
        <v>22</v>
      </c>
      <c r="K961" s="8" t="s">
        <v>23</v>
      </c>
      <c r="L961" s="8" t="s">
        <v>125</v>
      </c>
      <c r="M961" s="8" t="s">
        <v>126</v>
      </c>
      <c r="N961" s="8" t="s">
        <v>4580</v>
      </c>
      <c r="O961" s="8">
        <f>2+31/60+41.3/3600</f>
        <v>2.5281388888888889</v>
      </c>
      <c r="P961" s="8" t="s">
        <v>4581</v>
      </c>
      <c r="Q961" s="8">
        <f>-(9+18/60+1/3600)</f>
        <v>-9.3002777777777776</v>
      </c>
      <c r="R961" s="8">
        <v>14.2</v>
      </c>
      <c r="S961" s="8">
        <v>15</v>
      </c>
      <c r="T961" s="8">
        <v>0.8</v>
      </c>
      <c r="U961" s="8">
        <v>12.9</v>
      </c>
      <c r="V961" s="8">
        <v>1.2</v>
      </c>
      <c r="W961" s="8">
        <v>0.3</v>
      </c>
      <c r="X961" s="8">
        <v>125</v>
      </c>
      <c r="Y961" s="8" t="s">
        <v>4582</v>
      </c>
      <c r="Z961" s="8" t="s">
        <v>4583</v>
      </c>
    </row>
    <row r="962" spans="1:26" x14ac:dyDescent="0.2">
      <c r="A962" s="8">
        <v>961</v>
      </c>
      <c r="B962" s="8" t="s">
        <v>4584</v>
      </c>
      <c r="C962" s="8" t="s">
        <v>4584</v>
      </c>
      <c r="F962" s="47"/>
      <c r="G962" s="8">
        <v>19</v>
      </c>
      <c r="H962" s="8" t="s">
        <v>21</v>
      </c>
      <c r="I962" s="8" t="s">
        <v>22</v>
      </c>
      <c r="J962" s="8" t="s">
        <v>57</v>
      </c>
      <c r="K962" s="8" t="s">
        <v>4103</v>
      </c>
      <c r="L962" s="8" t="s">
        <v>125</v>
      </c>
      <c r="M962" s="8" t="s">
        <v>126</v>
      </c>
      <c r="N962" s="8" t="s">
        <v>4585</v>
      </c>
      <c r="O962" s="8">
        <f>2+41/60+2.2/3600</f>
        <v>2.6839444444444447</v>
      </c>
      <c r="P962" s="8" t="s">
        <v>4586</v>
      </c>
      <c r="Q962" s="8">
        <f>-(6+56/60+8/3600)</f>
        <v>-6.9355555555555561</v>
      </c>
      <c r="R962" s="8">
        <v>12.8</v>
      </c>
      <c r="S962" s="8">
        <v>13.4</v>
      </c>
      <c r="T962" s="8">
        <v>0.6</v>
      </c>
      <c r="U962" s="8">
        <v>13.7</v>
      </c>
      <c r="V962" s="8">
        <v>1.9</v>
      </c>
      <c r="W962" s="8">
        <v>1.4</v>
      </c>
      <c r="X962" s="8">
        <v>49</v>
      </c>
      <c r="Y962" s="8" t="s">
        <v>4587</v>
      </c>
      <c r="Z962" s="8" t="s">
        <v>4588</v>
      </c>
    </row>
    <row r="963" spans="1:26" x14ac:dyDescent="0.2">
      <c r="A963" s="8">
        <v>962</v>
      </c>
      <c r="B963" s="8" t="s">
        <v>4589</v>
      </c>
      <c r="C963" s="8" t="s">
        <v>4589</v>
      </c>
      <c r="F963" s="47"/>
      <c r="G963" s="8">
        <v>18</v>
      </c>
      <c r="H963" s="8" t="s">
        <v>21</v>
      </c>
      <c r="I963" s="8" t="s">
        <v>22</v>
      </c>
      <c r="J963" s="8" t="s">
        <v>22</v>
      </c>
      <c r="K963" s="8" t="s">
        <v>183</v>
      </c>
      <c r="L963" s="8" t="s">
        <v>3256</v>
      </c>
      <c r="M963" s="8" t="s">
        <v>3257</v>
      </c>
      <c r="N963" s="8" t="s">
        <v>4590</v>
      </c>
      <c r="O963" s="8">
        <f>2+32/60+39.9/3600</f>
        <v>2.5444166666666663</v>
      </c>
      <c r="P963" s="8" t="s">
        <v>4591</v>
      </c>
      <c r="Q963" s="8">
        <f>+(28+4/60+15/3600)</f>
        <v>28.070833333333333</v>
      </c>
      <c r="R963" s="8">
        <v>12.9</v>
      </c>
      <c r="S963" s="8">
        <v>13.9</v>
      </c>
      <c r="T963" s="8">
        <v>1</v>
      </c>
      <c r="U963" s="8">
        <v>13.6</v>
      </c>
      <c r="V963" s="8">
        <v>1.4</v>
      </c>
      <c r="W963" s="8">
        <v>1.2</v>
      </c>
      <c r="X963" s="8">
        <v>175</v>
      </c>
      <c r="Y963" s="8" t="s">
        <v>3475</v>
      </c>
      <c r="Z963" s="8" t="s">
        <v>3476</v>
      </c>
    </row>
    <row r="964" spans="1:26" x14ac:dyDescent="0.2">
      <c r="A964" s="8">
        <v>963</v>
      </c>
      <c r="B964" s="8" t="s">
        <v>4592</v>
      </c>
      <c r="C964" s="8" t="s">
        <v>4592</v>
      </c>
      <c r="F964" s="47"/>
      <c r="G964" s="8">
        <v>19</v>
      </c>
      <c r="H964" s="8" t="s">
        <v>21</v>
      </c>
      <c r="I964" s="8" t="s">
        <v>22</v>
      </c>
      <c r="J964" s="8" t="s">
        <v>22</v>
      </c>
      <c r="K964" s="8" t="s">
        <v>4219</v>
      </c>
      <c r="L964" s="8" t="s">
        <v>125</v>
      </c>
      <c r="M964" s="8" t="s">
        <v>126</v>
      </c>
      <c r="N964" s="8" t="s">
        <v>4593</v>
      </c>
      <c r="O964" s="8">
        <f>2+30/60+31.1/3600</f>
        <v>2.5086388888888891</v>
      </c>
      <c r="P964" s="8" t="s">
        <v>4594</v>
      </c>
      <c r="Q964" s="8">
        <f>-(4+12/60+56/3600)</f>
        <v>-4.2155555555555555</v>
      </c>
      <c r="R964" s="8">
        <v>13.7</v>
      </c>
      <c r="S964" s="8">
        <v>14.3</v>
      </c>
      <c r="T964" s="8">
        <v>0.6</v>
      </c>
      <c r="U964" s="8">
        <v>12.8</v>
      </c>
      <c r="V964" s="8">
        <v>0.7</v>
      </c>
      <c r="W964" s="8">
        <v>0.7</v>
      </c>
      <c r="Y964" s="8" t="s">
        <v>4595</v>
      </c>
      <c r="Z964" s="8" t="s">
        <v>4596</v>
      </c>
    </row>
    <row r="965" spans="1:26" x14ac:dyDescent="0.2">
      <c r="A965" s="8">
        <v>964</v>
      </c>
      <c r="B965" s="8" t="s">
        <v>4597</v>
      </c>
      <c r="C965" s="8" t="s">
        <v>4597</v>
      </c>
      <c r="F965" s="47"/>
      <c r="G965" s="8">
        <v>16</v>
      </c>
      <c r="H965" s="8" t="s">
        <v>21</v>
      </c>
      <c r="I965" s="8" t="s">
        <v>22</v>
      </c>
      <c r="J965" s="8" t="s">
        <v>22</v>
      </c>
      <c r="K965" s="8" t="s">
        <v>31</v>
      </c>
      <c r="L965" s="8" t="s">
        <v>3335</v>
      </c>
      <c r="M965" s="8" t="s">
        <v>3336</v>
      </c>
      <c r="N965" s="8" t="s">
        <v>4598</v>
      </c>
      <c r="O965" s="8">
        <f>2+31/60+5.7/3600</f>
        <v>2.5182500000000001</v>
      </c>
      <c r="P965" s="8" t="s">
        <v>4599</v>
      </c>
      <c r="Q965" s="8">
        <f>-(36+2/60+5/3600)</f>
        <v>-36.034722222222221</v>
      </c>
      <c r="R965" s="8">
        <v>12.4</v>
      </c>
      <c r="S965" s="8">
        <v>13.2</v>
      </c>
      <c r="T965" s="8">
        <v>0.8</v>
      </c>
      <c r="U965" s="8">
        <v>12.2</v>
      </c>
      <c r="V965" s="8">
        <v>2.1</v>
      </c>
      <c r="W965" s="8">
        <v>0.5</v>
      </c>
      <c r="X965" s="8">
        <v>31</v>
      </c>
      <c r="Y965" s="8" t="s">
        <v>4600</v>
      </c>
      <c r="Z965" s="8" t="s">
        <v>4601</v>
      </c>
    </row>
    <row r="966" spans="1:26" x14ac:dyDescent="0.2">
      <c r="A966" s="8">
        <v>965</v>
      </c>
      <c r="B966" s="8" t="s">
        <v>4602</v>
      </c>
      <c r="C966" s="8" t="s">
        <v>4602</v>
      </c>
      <c r="F966" s="47"/>
      <c r="G966" s="8">
        <v>19</v>
      </c>
      <c r="H966" s="8" t="s">
        <v>21</v>
      </c>
      <c r="I966" s="8" t="s">
        <v>22</v>
      </c>
      <c r="J966" s="8" t="s">
        <v>22</v>
      </c>
      <c r="K966" s="8" t="s">
        <v>160</v>
      </c>
      <c r="L966" s="8" t="s">
        <v>125</v>
      </c>
      <c r="M966" s="8" t="s">
        <v>126</v>
      </c>
      <c r="N966" s="8" t="s">
        <v>4603</v>
      </c>
      <c r="O966" s="8">
        <f>2+32/60+25.1/3600</f>
        <v>2.5403055555555554</v>
      </c>
      <c r="P966" s="8" t="s">
        <v>4604</v>
      </c>
      <c r="Q966" s="8">
        <f>-(18+38/60+25/3600)</f>
        <v>-18.640277777777776</v>
      </c>
      <c r="R966" s="8">
        <v>14.1</v>
      </c>
      <c r="S966" s="8">
        <v>14.8</v>
      </c>
      <c r="T966" s="8">
        <v>0.7</v>
      </c>
      <c r="U966" s="8">
        <v>13.7</v>
      </c>
      <c r="V966" s="8">
        <v>1</v>
      </c>
      <c r="W966" s="8">
        <v>0.8</v>
      </c>
      <c r="X966" s="8">
        <v>10</v>
      </c>
      <c r="Y966" s="8" t="s">
        <v>3056</v>
      </c>
      <c r="Z966" s="8" t="s">
        <v>3057</v>
      </c>
    </row>
    <row r="967" spans="1:26" x14ac:dyDescent="0.2">
      <c r="A967" s="8">
        <v>966</v>
      </c>
      <c r="B967" s="8" t="s">
        <v>4605</v>
      </c>
      <c r="C967" s="8" t="s">
        <v>4605</v>
      </c>
      <c r="F967" s="47"/>
      <c r="G967" s="8">
        <v>19</v>
      </c>
      <c r="H967" s="8" t="s">
        <v>21</v>
      </c>
      <c r="I967" s="8" t="s">
        <v>22</v>
      </c>
      <c r="J967" s="8" t="s">
        <v>22</v>
      </c>
      <c r="K967" s="8" t="s">
        <v>58</v>
      </c>
      <c r="L967" s="8" t="s">
        <v>125</v>
      </c>
      <c r="M967" s="8" t="s">
        <v>126</v>
      </c>
      <c r="N967" s="8" t="s">
        <v>4606</v>
      </c>
      <c r="O967" s="8">
        <f>2+31/60+47.1/3600</f>
        <v>2.5297499999999999</v>
      </c>
      <c r="P967" s="8" t="s">
        <v>4607</v>
      </c>
      <c r="Q967" s="8">
        <f>-(19+52/60+54/3600)</f>
        <v>-19.881666666666668</v>
      </c>
      <c r="R967" s="8">
        <v>13.2</v>
      </c>
      <c r="S967" s="8">
        <v>14.2</v>
      </c>
      <c r="T967" s="8">
        <v>1</v>
      </c>
      <c r="U967" s="8">
        <v>13</v>
      </c>
      <c r="V967" s="8">
        <v>1</v>
      </c>
      <c r="W967" s="8">
        <v>0.9</v>
      </c>
      <c r="X967" s="8">
        <v>112</v>
      </c>
      <c r="Y967" s="8" t="s">
        <v>4608</v>
      </c>
      <c r="Z967" s="8" t="s">
        <v>4609</v>
      </c>
    </row>
    <row r="968" spans="1:26" x14ac:dyDescent="0.2">
      <c r="A968" s="8">
        <v>967</v>
      </c>
      <c r="B968" s="8" t="s">
        <v>4610</v>
      </c>
      <c r="C968" s="8" t="s">
        <v>4610</v>
      </c>
      <c r="F968" s="47"/>
      <c r="G968" s="8">
        <v>16</v>
      </c>
      <c r="H968" s="8" t="s">
        <v>21</v>
      </c>
      <c r="I968" s="8" t="s">
        <v>22</v>
      </c>
      <c r="J968" s="8" t="s">
        <v>22</v>
      </c>
      <c r="K968" s="8" t="s">
        <v>58</v>
      </c>
      <c r="L968" s="8" t="s">
        <v>125</v>
      </c>
      <c r="M968" s="8" t="s">
        <v>126</v>
      </c>
      <c r="N968" s="8" t="s">
        <v>4611</v>
      </c>
      <c r="O968" s="8">
        <f>2+32/60+12.8/3600</f>
        <v>2.536888888888889</v>
      </c>
      <c r="P968" s="8" t="s">
        <v>4612</v>
      </c>
      <c r="Q968" s="8">
        <f>-(17+12/60+59/3600)</f>
        <v>-17.21638888888889</v>
      </c>
      <c r="R968" s="8">
        <v>12.5</v>
      </c>
      <c r="S968" s="8">
        <v>13.5</v>
      </c>
      <c r="T968" s="8">
        <v>1</v>
      </c>
      <c r="U968" s="8">
        <v>12.8</v>
      </c>
      <c r="V968" s="8">
        <v>1.6</v>
      </c>
      <c r="W968" s="8">
        <v>1</v>
      </c>
      <c r="X968" s="8">
        <v>33</v>
      </c>
      <c r="Y968" s="8" t="s">
        <v>4613</v>
      </c>
      <c r="Z968" s="8" t="s">
        <v>4614</v>
      </c>
    </row>
    <row r="969" spans="1:26" x14ac:dyDescent="0.2">
      <c r="A969" s="8">
        <v>968</v>
      </c>
      <c r="B969" s="8" t="s">
        <v>4615</v>
      </c>
      <c r="C969" s="8" t="s">
        <v>4615</v>
      </c>
      <c r="F969" s="47"/>
      <c r="G969" s="8">
        <v>19</v>
      </c>
      <c r="H969" s="8" t="s">
        <v>21</v>
      </c>
      <c r="I969" s="8" t="s">
        <v>22</v>
      </c>
      <c r="J969" s="8" t="s">
        <v>22</v>
      </c>
      <c r="K969" s="8" t="s">
        <v>50</v>
      </c>
      <c r="L969" s="8" t="s">
        <v>2809</v>
      </c>
      <c r="M969" s="8" t="s">
        <v>2810</v>
      </c>
      <c r="N969" s="8" t="s">
        <v>4616</v>
      </c>
      <c r="O969" s="8">
        <f>2+34/60+6.1/3600</f>
        <v>2.5683611111111109</v>
      </c>
      <c r="P969" s="8" t="s">
        <v>4617</v>
      </c>
      <c r="Q969" s="8">
        <f>+(34+28/60+50/3600)</f>
        <v>34.480555555555554</v>
      </c>
      <c r="R969" s="8">
        <v>12.2</v>
      </c>
      <c r="S969" s="8">
        <v>13.2</v>
      </c>
      <c r="T969" s="8">
        <v>1</v>
      </c>
      <c r="U969" s="8">
        <v>13.8</v>
      </c>
      <c r="V969" s="8">
        <v>2.7</v>
      </c>
      <c r="W969" s="8">
        <v>1.5</v>
      </c>
      <c r="X969" s="8">
        <v>60</v>
      </c>
      <c r="Y969" s="8" t="s">
        <v>302</v>
      </c>
      <c r="Z969" s="8" t="s">
        <v>303</v>
      </c>
    </row>
    <row r="970" spans="1:26" x14ac:dyDescent="0.2">
      <c r="A970" s="8">
        <v>969</v>
      </c>
      <c r="B970" s="8" t="s">
        <v>4618</v>
      </c>
      <c r="C970" s="8" t="s">
        <v>4618</v>
      </c>
      <c r="F970" s="47"/>
      <c r="G970" s="8">
        <v>16</v>
      </c>
      <c r="H970" s="8" t="s">
        <v>21</v>
      </c>
      <c r="I970" s="8" t="s">
        <v>22</v>
      </c>
      <c r="J970" s="8" t="s">
        <v>22</v>
      </c>
      <c r="K970" s="8" t="s">
        <v>37</v>
      </c>
      <c r="L970" s="8" t="s">
        <v>2809</v>
      </c>
      <c r="M970" s="8" t="s">
        <v>2810</v>
      </c>
      <c r="N970" s="8" t="s">
        <v>4619</v>
      </c>
      <c r="O970" s="8">
        <f>2+34/60+8/3600</f>
        <v>2.5688888888888886</v>
      </c>
      <c r="P970" s="8" t="s">
        <v>4620</v>
      </c>
      <c r="Q970" s="8">
        <f>+(32+56/60+47/3600)</f>
        <v>32.946388888888883</v>
      </c>
      <c r="R970" s="8">
        <v>12.3</v>
      </c>
      <c r="S970" s="8">
        <v>13.3</v>
      </c>
      <c r="T970" s="8">
        <v>1</v>
      </c>
      <c r="U970" s="8">
        <v>12.8</v>
      </c>
      <c r="V970" s="8">
        <v>1.7</v>
      </c>
      <c r="W970" s="8">
        <v>1</v>
      </c>
      <c r="X970" s="8">
        <v>3</v>
      </c>
      <c r="Y970" s="8" t="s">
        <v>4621</v>
      </c>
      <c r="Z970" s="8" t="s">
        <v>4622</v>
      </c>
    </row>
    <row r="971" spans="1:26" x14ac:dyDescent="0.2">
      <c r="A971" s="8">
        <v>970</v>
      </c>
      <c r="B971" s="8" t="s">
        <v>4623</v>
      </c>
      <c r="C971" s="8" t="s">
        <v>4623</v>
      </c>
      <c r="F971" s="47"/>
      <c r="G971" s="8">
        <v>18</v>
      </c>
      <c r="H971" s="8" t="s">
        <v>21</v>
      </c>
      <c r="I971" s="8" t="s">
        <v>22</v>
      </c>
      <c r="J971" s="8" t="s">
        <v>22</v>
      </c>
      <c r="K971" s="8" t="s">
        <v>449</v>
      </c>
      <c r="L971" s="8" t="s">
        <v>2809</v>
      </c>
      <c r="M971" s="8" t="s">
        <v>2810</v>
      </c>
      <c r="N971" s="8" t="s">
        <v>4624</v>
      </c>
      <c r="O971" s="8">
        <f>2+34/60+11.7/3600</f>
        <v>2.5699166666666664</v>
      </c>
      <c r="P971" s="8" t="s">
        <v>4625</v>
      </c>
      <c r="Q971" s="8">
        <f>+(32+58/60+35/3600)</f>
        <v>32.976388888888891</v>
      </c>
      <c r="R971" s="8">
        <v>14.8</v>
      </c>
      <c r="S971" s="8">
        <v>15.6</v>
      </c>
      <c r="T971" s="8">
        <v>0.8</v>
      </c>
      <c r="U971" s="8">
        <v>12.5</v>
      </c>
      <c r="V971" s="8">
        <v>0.7</v>
      </c>
      <c r="W971" s="8">
        <v>0.2</v>
      </c>
      <c r="X971" s="8">
        <v>55</v>
      </c>
      <c r="Y971" s="8" t="s">
        <v>4626</v>
      </c>
      <c r="Z971" s="8" t="s">
        <v>4627</v>
      </c>
    </row>
    <row r="972" spans="1:26" x14ac:dyDescent="0.2">
      <c r="A972" s="8">
        <v>971</v>
      </c>
      <c r="B972" s="8" t="s">
        <v>4628</v>
      </c>
      <c r="C972" s="8" t="s">
        <v>4628</v>
      </c>
      <c r="F972" s="47"/>
      <c r="G972" s="8">
        <v>18</v>
      </c>
      <c r="H972" s="8" t="s">
        <v>21</v>
      </c>
      <c r="I972" s="8" t="s">
        <v>72</v>
      </c>
      <c r="J972" s="8" t="s">
        <v>72</v>
      </c>
      <c r="K972" s="8" t="s">
        <v>20</v>
      </c>
      <c r="L972" s="8" t="s">
        <v>2809</v>
      </c>
      <c r="M972" s="8" t="s">
        <v>2810</v>
      </c>
      <c r="N972" s="8" t="s">
        <v>4629</v>
      </c>
      <c r="O972" s="8">
        <f>2+34/60+15.7/3600</f>
        <v>2.5710277777777777</v>
      </c>
      <c r="P972" s="8" t="s">
        <v>4630</v>
      </c>
      <c r="Q972" s="8">
        <f>+(32+58/60+45/3600)</f>
        <v>32.979166666666671</v>
      </c>
      <c r="R972" s="8">
        <v>99</v>
      </c>
      <c r="S972" s="8">
        <v>99</v>
      </c>
      <c r="T972" s="8">
        <v>99</v>
      </c>
      <c r="U972" s="8">
        <v>99</v>
      </c>
      <c r="Y972" s="8" t="s">
        <v>4631</v>
      </c>
      <c r="Z972" s="8" t="s">
        <v>4632</v>
      </c>
    </row>
    <row r="973" spans="1:26" x14ac:dyDescent="0.2">
      <c r="A973" s="8">
        <v>972</v>
      </c>
      <c r="B973" s="8" t="s">
        <v>4633</v>
      </c>
      <c r="C973" s="8" t="s">
        <v>4633</v>
      </c>
      <c r="F973" s="47" t="s">
        <v>56214</v>
      </c>
      <c r="G973" s="8">
        <v>7</v>
      </c>
      <c r="H973" s="8" t="s">
        <v>21</v>
      </c>
      <c r="I973" s="8" t="s">
        <v>22</v>
      </c>
      <c r="J973" s="8" t="s">
        <v>22</v>
      </c>
      <c r="K973" s="8" t="s">
        <v>31</v>
      </c>
      <c r="L973" s="8" t="s">
        <v>3256</v>
      </c>
      <c r="M973" s="8" t="s">
        <v>3257</v>
      </c>
      <c r="N973" s="8" t="s">
        <v>4634</v>
      </c>
      <c r="O973" s="8">
        <f>2+34/60+13.3/3600</f>
        <v>2.5703611111111107</v>
      </c>
      <c r="P973" s="8" t="s">
        <v>4635</v>
      </c>
      <c r="Q973" s="8">
        <f>+(29+18/60+37/3600)</f>
        <v>29.310277777777777</v>
      </c>
      <c r="R973" s="8">
        <v>11.4</v>
      </c>
      <c r="S973" s="8">
        <v>12.3</v>
      </c>
      <c r="T973" s="8">
        <v>0.9</v>
      </c>
      <c r="U973" s="8">
        <v>13.1</v>
      </c>
      <c r="V973" s="8">
        <v>3.3</v>
      </c>
      <c r="W973" s="8">
        <v>1.6</v>
      </c>
      <c r="X973" s="8">
        <v>152</v>
      </c>
      <c r="Y973" s="8" t="s">
        <v>4636</v>
      </c>
      <c r="Z973" s="8" t="s">
        <v>4637</v>
      </c>
    </row>
    <row r="974" spans="1:26" x14ac:dyDescent="0.2">
      <c r="A974" s="8">
        <v>973</v>
      </c>
      <c r="B974" s="8" t="s">
        <v>4638</v>
      </c>
      <c r="C974" s="8" t="s">
        <v>4638</v>
      </c>
      <c r="F974" s="47"/>
      <c r="G974" s="8">
        <v>19</v>
      </c>
      <c r="H974" s="8" t="s">
        <v>21</v>
      </c>
      <c r="I974" s="8" t="s">
        <v>22</v>
      </c>
      <c r="J974" s="8" t="s">
        <v>22</v>
      </c>
      <c r="K974" s="8" t="s">
        <v>23</v>
      </c>
      <c r="L974" s="8" t="s">
        <v>2809</v>
      </c>
      <c r="M974" s="8" t="s">
        <v>2810</v>
      </c>
      <c r="N974" s="8" t="s">
        <v>4639</v>
      </c>
      <c r="O974" s="8">
        <f>2+34/60+20.1/3600</f>
        <v>2.5722499999999999</v>
      </c>
      <c r="P974" s="8" t="s">
        <v>4640</v>
      </c>
      <c r="Q974" s="8">
        <f>+(32+30/60+20/3600)</f>
        <v>32.505555555555553</v>
      </c>
      <c r="R974" s="8">
        <v>12.8</v>
      </c>
      <c r="S974" s="8">
        <v>13.6</v>
      </c>
      <c r="T974" s="8">
        <v>0.8</v>
      </c>
      <c r="U974" s="8">
        <v>13.3</v>
      </c>
      <c r="V974" s="8">
        <v>3.7</v>
      </c>
      <c r="W974" s="8">
        <v>0.5</v>
      </c>
      <c r="X974" s="8">
        <v>48</v>
      </c>
      <c r="Y974" s="8" t="s">
        <v>4641</v>
      </c>
      <c r="Z974" s="8" t="s">
        <v>4642</v>
      </c>
    </row>
    <row r="975" spans="1:26" x14ac:dyDescent="0.2">
      <c r="A975" s="8">
        <v>974</v>
      </c>
      <c r="B975" s="8" t="s">
        <v>4643</v>
      </c>
      <c r="C975" s="8" t="s">
        <v>4643</v>
      </c>
      <c r="F975" s="47"/>
      <c r="G975" s="8">
        <v>16</v>
      </c>
      <c r="H975" s="8" t="s">
        <v>21</v>
      </c>
      <c r="I975" s="8" t="s">
        <v>22</v>
      </c>
      <c r="J975" s="8" t="s">
        <v>22</v>
      </c>
      <c r="K975" s="8" t="s">
        <v>23</v>
      </c>
      <c r="L975" s="8" t="s">
        <v>2809</v>
      </c>
      <c r="M975" s="8" t="s">
        <v>2810</v>
      </c>
      <c r="N975" s="8" t="s">
        <v>4644</v>
      </c>
      <c r="O975" s="8">
        <f>2+34/60+25.7/3600</f>
        <v>2.5738055555555555</v>
      </c>
      <c r="P975" s="8" t="s">
        <v>4645</v>
      </c>
      <c r="Q975" s="8">
        <f>+(32+57/60+18/3600)</f>
        <v>32.955000000000005</v>
      </c>
      <c r="R975" s="8">
        <v>12.8</v>
      </c>
      <c r="S975" s="8">
        <v>13.6</v>
      </c>
      <c r="T975" s="8">
        <v>0.8</v>
      </c>
      <c r="U975" s="8">
        <v>13.4</v>
      </c>
      <c r="V975" s="8">
        <v>1.7</v>
      </c>
      <c r="W975" s="8">
        <v>1.2</v>
      </c>
      <c r="X975" s="8">
        <v>63</v>
      </c>
      <c r="Y975" s="8" t="s">
        <v>4646</v>
      </c>
      <c r="Z975" s="8" t="s">
        <v>4647</v>
      </c>
    </row>
    <row r="976" spans="1:26" x14ac:dyDescent="0.2">
      <c r="A976" s="8">
        <v>975</v>
      </c>
      <c r="B976" s="8" t="s">
        <v>4648</v>
      </c>
      <c r="C976" s="8" t="s">
        <v>4648</v>
      </c>
      <c r="F976" s="47"/>
      <c r="G976" s="8">
        <v>19</v>
      </c>
      <c r="H976" s="8" t="s">
        <v>21</v>
      </c>
      <c r="I976" s="8" t="s">
        <v>22</v>
      </c>
      <c r="J976" s="8" t="s">
        <v>22</v>
      </c>
      <c r="K976" s="8" t="s">
        <v>632</v>
      </c>
      <c r="L976" s="8" t="s">
        <v>125</v>
      </c>
      <c r="M976" s="8" t="s">
        <v>126</v>
      </c>
      <c r="N976" s="8" t="s">
        <v>4649</v>
      </c>
      <c r="O976" s="8">
        <f>2+33/60+22.7/3600</f>
        <v>2.5563055555555554</v>
      </c>
      <c r="P976" s="8" t="s">
        <v>4650</v>
      </c>
      <c r="Q976" s="8">
        <f>+(9+36/60+7/3600)</f>
        <v>9.6019444444444435</v>
      </c>
      <c r="R976" s="8">
        <v>13.1</v>
      </c>
      <c r="S976" s="8">
        <v>14</v>
      </c>
      <c r="T976" s="8">
        <v>0.9</v>
      </c>
      <c r="U976" s="8">
        <v>12.8</v>
      </c>
      <c r="V976" s="8">
        <v>1.1000000000000001</v>
      </c>
      <c r="W976" s="8">
        <v>0.8</v>
      </c>
      <c r="X976" s="8">
        <v>0</v>
      </c>
      <c r="Y976" s="8" t="s">
        <v>4651</v>
      </c>
      <c r="Z976" s="8" t="s">
        <v>4652</v>
      </c>
    </row>
    <row r="977" spans="1:26" x14ac:dyDescent="0.2">
      <c r="A977" s="8">
        <v>976</v>
      </c>
      <c r="B977" s="8" t="s">
        <v>4653</v>
      </c>
      <c r="C977" s="8" t="s">
        <v>4653</v>
      </c>
      <c r="F977" s="47"/>
      <c r="G977" s="8">
        <v>13</v>
      </c>
      <c r="H977" s="8" t="s">
        <v>21</v>
      </c>
      <c r="I977" s="8" t="s">
        <v>22</v>
      </c>
      <c r="J977" s="8" t="s">
        <v>22</v>
      </c>
      <c r="K977" s="8" t="s">
        <v>396</v>
      </c>
      <c r="L977" s="8" t="s">
        <v>3256</v>
      </c>
      <c r="M977" s="8" t="s">
        <v>3257</v>
      </c>
      <c r="N977" s="8" t="s">
        <v>4654</v>
      </c>
      <c r="O977" s="8">
        <f>2+33/60+59.9/3600</f>
        <v>2.5666388888888889</v>
      </c>
      <c r="P977" s="8" t="s">
        <v>4655</v>
      </c>
      <c r="Q977" s="8">
        <f>+(20+58/60+38/3600)</f>
        <v>20.97722222222222</v>
      </c>
      <c r="R977" s="8">
        <v>12.4</v>
      </c>
      <c r="S977" s="8">
        <v>13.3</v>
      </c>
      <c r="T977" s="8">
        <v>0.9</v>
      </c>
      <c r="U977" s="8">
        <v>13</v>
      </c>
      <c r="V977" s="8">
        <v>1.6</v>
      </c>
      <c r="W977" s="8">
        <v>1.3</v>
      </c>
      <c r="X977" s="8">
        <v>162</v>
      </c>
      <c r="Y977" s="8" t="s">
        <v>4656</v>
      </c>
      <c r="Z977" s="8" t="s">
        <v>4657</v>
      </c>
    </row>
    <row r="978" spans="1:26" x14ac:dyDescent="0.2">
      <c r="A978" s="8">
        <v>977</v>
      </c>
      <c r="B978" s="8" t="s">
        <v>4658</v>
      </c>
      <c r="C978" s="8" t="s">
        <v>4658</v>
      </c>
      <c r="F978" s="47" t="s">
        <v>56215</v>
      </c>
      <c r="G978" s="8">
        <v>15</v>
      </c>
      <c r="H978" s="8" t="s">
        <v>21</v>
      </c>
      <c r="I978" s="8" t="s">
        <v>22</v>
      </c>
      <c r="J978" s="8" t="s">
        <v>22</v>
      </c>
      <c r="K978" s="8" t="s">
        <v>91</v>
      </c>
      <c r="L978" s="8" t="s">
        <v>125</v>
      </c>
      <c r="M978" s="8" t="s">
        <v>126</v>
      </c>
      <c r="N978" s="8" t="s">
        <v>4659</v>
      </c>
      <c r="O978" s="8">
        <f>2+33/60+3.4/3600</f>
        <v>2.5509444444444442</v>
      </c>
      <c r="P978" s="8" t="s">
        <v>4660</v>
      </c>
      <c r="Q978" s="8">
        <f>-(10+45/60+34/3600)</f>
        <v>-10.759444444444444</v>
      </c>
      <c r="R978" s="8">
        <v>13.5</v>
      </c>
      <c r="S978" s="8">
        <v>14.4</v>
      </c>
      <c r="T978" s="8">
        <v>0.9</v>
      </c>
      <c r="U978" s="8">
        <v>14.6</v>
      </c>
      <c r="V978" s="8">
        <v>2</v>
      </c>
      <c r="W978" s="8">
        <v>1.6</v>
      </c>
      <c r="X978" s="8">
        <v>26</v>
      </c>
      <c r="Y978" s="8" t="s">
        <v>4661</v>
      </c>
      <c r="Z978" s="8" t="s">
        <v>4662</v>
      </c>
    </row>
    <row r="979" spans="1:26" x14ac:dyDescent="0.2">
      <c r="A979" s="8">
        <v>978</v>
      </c>
      <c r="B979" s="8" t="s">
        <v>4663</v>
      </c>
      <c r="C979" s="8" t="s">
        <v>4663</v>
      </c>
      <c r="F979" s="47"/>
      <c r="G979" s="8">
        <v>16</v>
      </c>
      <c r="H979" s="8" t="s">
        <v>21</v>
      </c>
      <c r="I979" s="8" t="s">
        <v>22</v>
      </c>
      <c r="J979" s="8" t="s">
        <v>22</v>
      </c>
      <c r="K979" s="8" t="s">
        <v>58</v>
      </c>
      <c r="L979" s="8" t="s">
        <v>2809</v>
      </c>
      <c r="M979" s="8" t="s">
        <v>2810</v>
      </c>
      <c r="N979" s="8" t="s">
        <v>4664</v>
      </c>
      <c r="O979" s="8">
        <f>2+34/60+47/3600</f>
        <v>2.5797222222222218</v>
      </c>
      <c r="P979" s="8" t="s">
        <v>4665</v>
      </c>
      <c r="Q979" s="8">
        <f>+(32+50/60+42/3600)</f>
        <v>32.844999999999999</v>
      </c>
      <c r="R979" s="8">
        <v>12.2</v>
      </c>
      <c r="S979" s="8">
        <v>13.2</v>
      </c>
      <c r="T979" s="8">
        <v>1</v>
      </c>
      <c r="U979" s="8">
        <v>12.6</v>
      </c>
      <c r="V979" s="8">
        <v>1.3</v>
      </c>
      <c r="W979" s="8">
        <v>1</v>
      </c>
      <c r="X979" s="8">
        <v>62</v>
      </c>
      <c r="Y979" s="8" t="s">
        <v>4666</v>
      </c>
      <c r="Z979" s="8" t="s">
        <v>4667</v>
      </c>
    </row>
    <row r="980" spans="1:26" x14ac:dyDescent="0.2">
      <c r="A980" s="8">
        <v>979</v>
      </c>
      <c r="B980" s="8" t="s">
        <v>4668</v>
      </c>
      <c r="C980" s="8" t="s">
        <v>4668</v>
      </c>
      <c r="F980" s="47"/>
      <c r="G980" s="8">
        <v>16</v>
      </c>
      <c r="H980" s="8" t="s">
        <v>21</v>
      </c>
      <c r="I980" s="8" t="s">
        <v>22</v>
      </c>
      <c r="J980" s="8" t="s">
        <v>22</v>
      </c>
      <c r="K980" s="8" t="s">
        <v>224</v>
      </c>
      <c r="L980" s="8" t="s">
        <v>3328</v>
      </c>
      <c r="M980" s="8" t="s">
        <v>3329</v>
      </c>
      <c r="N980" s="8" t="s">
        <v>4669</v>
      </c>
      <c r="O980" s="8">
        <f>2+31/60+38.7/3600</f>
        <v>2.5274166666666664</v>
      </c>
      <c r="P980" s="8" t="s">
        <v>4670</v>
      </c>
      <c r="Q980" s="8">
        <f>-(44+31/60+27/3600)</f>
        <v>-44.524166666666666</v>
      </c>
      <c r="R980" s="8">
        <v>12.7</v>
      </c>
      <c r="S980" s="8">
        <v>13.7</v>
      </c>
      <c r="T980" s="8">
        <v>1</v>
      </c>
      <c r="U980" s="8">
        <v>12.1</v>
      </c>
      <c r="V980" s="8">
        <v>0.9</v>
      </c>
      <c r="W980" s="8">
        <v>0.7</v>
      </c>
      <c r="X980" s="8">
        <v>0</v>
      </c>
      <c r="Y980" s="8" t="s">
        <v>4671</v>
      </c>
      <c r="Z980" s="8" t="s">
        <v>4672</v>
      </c>
    </row>
    <row r="981" spans="1:26" x14ac:dyDescent="0.2">
      <c r="A981" s="8">
        <v>980</v>
      </c>
      <c r="B981" s="8" t="s">
        <v>4673</v>
      </c>
      <c r="C981" s="8" t="s">
        <v>4673</v>
      </c>
      <c r="F981" s="47" t="s">
        <v>56216</v>
      </c>
      <c r="G981" s="8">
        <v>15</v>
      </c>
      <c r="H981" s="8" t="s">
        <v>21</v>
      </c>
      <c r="I981" s="8" t="s">
        <v>22</v>
      </c>
      <c r="J981" s="8" t="s">
        <v>22</v>
      </c>
      <c r="K981" s="8" t="s">
        <v>37</v>
      </c>
      <c r="L981" s="8" t="s">
        <v>51</v>
      </c>
      <c r="M981" s="8" t="s">
        <v>52</v>
      </c>
      <c r="N981" s="8" t="s">
        <v>4674</v>
      </c>
      <c r="O981" s="8">
        <f>2+35/60+18.5/3600</f>
        <v>2.5884722222222223</v>
      </c>
      <c r="P981" s="8" t="s">
        <v>4675</v>
      </c>
      <c r="Q981" s="8">
        <f>+(40+55/60+37/3600)</f>
        <v>40.926944444444445</v>
      </c>
      <c r="R981" s="8">
        <v>13</v>
      </c>
      <c r="S981" s="8">
        <v>14</v>
      </c>
      <c r="T981" s="8">
        <v>1</v>
      </c>
      <c r="U981" s="8">
        <v>13.4</v>
      </c>
      <c r="V981" s="8">
        <v>1.7</v>
      </c>
      <c r="W981" s="8">
        <v>0.9</v>
      </c>
      <c r="X981" s="8">
        <v>110</v>
      </c>
      <c r="Y981" s="8" t="s">
        <v>4676</v>
      </c>
      <c r="Z981" s="8" t="s">
        <v>4677</v>
      </c>
    </row>
    <row r="982" spans="1:26" x14ac:dyDescent="0.2">
      <c r="A982" s="8">
        <v>981</v>
      </c>
      <c r="B982" s="8" t="s">
        <v>4678</v>
      </c>
      <c r="C982" s="8" t="s">
        <v>4678</v>
      </c>
      <c r="F982" s="47"/>
      <c r="G982" s="8">
        <v>19</v>
      </c>
      <c r="H982" s="8" t="s">
        <v>21</v>
      </c>
      <c r="I982" s="8" t="s">
        <v>22</v>
      </c>
      <c r="J982" s="8" t="s">
        <v>22</v>
      </c>
      <c r="K982" s="8" t="s">
        <v>160</v>
      </c>
      <c r="L982" s="8" t="s">
        <v>125</v>
      </c>
      <c r="M982" s="8" t="s">
        <v>126</v>
      </c>
      <c r="N982" s="8" t="s">
        <v>4679</v>
      </c>
      <c r="O982" s="8">
        <f>2+32/60+59.8/3600</f>
        <v>2.5499444444444443</v>
      </c>
      <c r="P982" s="8" t="s">
        <v>4680</v>
      </c>
      <c r="Q982" s="8">
        <f>-(10+58/60+25/3600)</f>
        <v>-10.973611111111111</v>
      </c>
      <c r="R982" s="8">
        <v>13.9</v>
      </c>
      <c r="S982" s="8">
        <v>14.6</v>
      </c>
      <c r="T982" s="8">
        <v>0.7</v>
      </c>
      <c r="U982" s="8">
        <v>12.9</v>
      </c>
      <c r="V982" s="8">
        <v>1</v>
      </c>
      <c r="W982" s="8">
        <v>0.6</v>
      </c>
      <c r="X982" s="8">
        <v>5</v>
      </c>
      <c r="Y982" s="8" t="s">
        <v>4536</v>
      </c>
      <c r="Z982" s="8" t="s">
        <v>4537</v>
      </c>
    </row>
    <row r="983" spans="1:26" x14ac:dyDescent="0.2">
      <c r="A983" s="8">
        <v>982</v>
      </c>
      <c r="B983" s="8" t="s">
        <v>4681</v>
      </c>
      <c r="C983" s="8" t="s">
        <v>4681</v>
      </c>
      <c r="F983" s="47" t="s">
        <v>56217</v>
      </c>
      <c r="G983" s="8">
        <v>15</v>
      </c>
      <c r="H983" s="8" t="s">
        <v>21</v>
      </c>
      <c r="I983" s="8" t="s">
        <v>22</v>
      </c>
      <c r="J983" s="8" t="s">
        <v>22</v>
      </c>
      <c r="K983" s="8" t="s">
        <v>91</v>
      </c>
      <c r="L983" s="8" t="s">
        <v>51</v>
      </c>
      <c r="M983" s="8" t="s">
        <v>52</v>
      </c>
      <c r="N983" s="8" t="s">
        <v>4682</v>
      </c>
      <c r="O983" s="8">
        <f>2+35/60+24.8/3600</f>
        <v>2.5902222222222222</v>
      </c>
      <c r="P983" s="8" t="s">
        <v>4683</v>
      </c>
      <c r="Q983" s="8">
        <f>+(40+52/60+10/3600)</f>
        <v>40.869444444444447</v>
      </c>
      <c r="R983" s="8">
        <v>12.5</v>
      </c>
      <c r="S983" s="8">
        <v>13.4</v>
      </c>
      <c r="T983" s="8">
        <v>0.9</v>
      </c>
      <c r="U983" s="8">
        <v>12.2</v>
      </c>
      <c r="V983" s="8">
        <v>1.5</v>
      </c>
      <c r="W983" s="8">
        <v>0.6</v>
      </c>
      <c r="X983" s="8">
        <v>132</v>
      </c>
      <c r="Y983" s="8" t="s">
        <v>4684</v>
      </c>
      <c r="Z983" s="8" t="s">
        <v>4685</v>
      </c>
    </row>
    <row r="984" spans="1:26" x14ac:dyDescent="0.2">
      <c r="A984" s="8">
        <v>983</v>
      </c>
      <c r="B984" s="8" t="s">
        <v>4686</v>
      </c>
      <c r="C984" s="8" t="s">
        <v>4686</v>
      </c>
      <c r="F984" s="47"/>
      <c r="G984" s="8">
        <v>18</v>
      </c>
      <c r="H984" s="8" t="s">
        <v>21</v>
      </c>
      <c r="I984" s="8" t="s">
        <v>22</v>
      </c>
      <c r="J984" s="8" t="s">
        <v>22</v>
      </c>
      <c r="K984" s="8" t="s">
        <v>218</v>
      </c>
      <c r="L984" s="8" t="s">
        <v>2809</v>
      </c>
      <c r="M984" s="8" t="s">
        <v>2810</v>
      </c>
      <c r="N984" s="8" t="s">
        <v>4687</v>
      </c>
      <c r="O984" s="8">
        <f>2+38/60+55.7/3600</f>
        <v>2.6488055555555556</v>
      </c>
      <c r="P984" s="8" t="s">
        <v>4688</v>
      </c>
      <c r="Q984" s="8">
        <f>+(34+37/60+19/3600)</f>
        <v>34.621944444444445</v>
      </c>
      <c r="R984" s="8">
        <v>13.2</v>
      </c>
      <c r="S984" s="8">
        <v>14</v>
      </c>
      <c r="T984" s="8">
        <v>0.8</v>
      </c>
      <c r="U984" s="8">
        <v>13.1</v>
      </c>
      <c r="V984" s="8">
        <v>1.2</v>
      </c>
      <c r="W984" s="8">
        <v>0.9</v>
      </c>
      <c r="X984" s="8">
        <v>146</v>
      </c>
      <c r="Y984" s="8" t="s">
        <v>4165</v>
      </c>
      <c r="Z984" s="8" t="s">
        <v>4166</v>
      </c>
    </row>
    <row r="985" spans="1:26" x14ac:dyDescent="0.2">
      <c r="A985" s="8">
        <v>984</v>
      </c>
      <c r="B985" s="8" t="s">
        <v>4689</v>
      </c>
      <c r="C985" s="8" t="s">
        <v>4689</v>
      </c>
      <c r="F985" s="47"/>
      <c r="G985" s="8">
        <v>18</v>
      </c>
      <c r="H985" s="8" t="s">
        <v>21</v>
      </c>
      <c r="I985" s="8" t="s">
        <v>22</v>
      </c>
      <c r="J985" s="8" t="s">
        <v>22</v>
      </c>
      <c r="K985" s="8" t="s">
        <v>632</v>
      </c>
      <c r="L985" s="8" t="s">
        <v>3256</v>
      </c>
      <c r="M985" s="8" t="s">
        <v>3257</v>
      </c>
      <c r="N985" s="8" t="s">
        <v>4690</v>
      </c>
      <c r="O985" s="8">
        <f>2+34/60+43/3600</f>
        <v>2.578611111111111</v>
      </c>
      <c r="P985" s="8" t="s">
        <v>4691</v>
      </c>
      <c r="Q985" s="8">
        <f>+(23+24/60+49/3600)</f>
        <v>23.413611111111109</v>
      </c>
      <c r="R985" s="8">
        <v>12.8</v>
      </c>
      <c r="S985" s="8">
        <v>13.8</v>
      </c>
      <c r="T985" s="8">
        <v>1</v>
      </c>
      <c r="U985" s="8">
        <v>13.7</v>
      </c>
      <c r="V985" s="8">
        <v>2</v>
      </c>
      <c r="W985" s="8">
        <v>1.2</v>
      </c>
      <c r="X985" s="8">
        <v>120</v>
      </c>
      <c r="Y985" s="8" t="s">
        <v>4692</v>
      </c>
      <c r="Z985" s="8" t="s">
        <v>4693</v>
      </c>
    </row>
    <row r="986" spans="1:26" x14ac:dyDescent="0.2">
      <c r="A986" s="8">
        <v>985</v>
      </c>
      <c r="B986" s="8" t="s">
        <v>4694</v>
      </c>
      <c r="C986" s="8" t="s">
        <v>4694</v>
      </c>
      <c r="F986" s="47"/>
      <c r="G986" s="8">
        <v>19</v>
      </c>
      <c r="H986" s="8" t="s">
        <v>21</v>
      </c>
      <c r="I986" s="8" t="s">
        <v>22</v>
      </c>
      <c r="J986" s="8" t="s">
        <v>22</v>
      </c>
      <c r="K986" s="8" t="s">
        <v>4695</v>
      </c>
      <c r="L986" s="8" t="s">
        <v>125</v>
      </c>
      <c r="M986" s="8" t="s">
        <v>126</v>
      </c>
      <c r="N986" s="8" t="s">
        <v>4696</v>
      </c>
      <c r="O986" s="8">
        <f>2+34/60+37.4/3600</f>
        <v>2.5770555555555554</v>
      </c>
      <c r="P986" s="8" t="s">
        <v>4697</v>
      </c>
      <c r="Q986" s="8">
        <f>-(8+47/60+6/3600)</f>
        <v>-8.7850000000000001</v>
      </c>
      <c r="R986" s="8">
        <v>13.4</v>
      </c>
      <c r="S986" s="8">
        <v>14</v>
      </c>
      <c r="T986" s="8">
        <v>0.6</v>
      </c>
      <c r="U986" s="8">
        <v>13.1</v>
      </c>
      <c r="V986" s="8">
        <v>1</v>
      </c>
      <c r="W986" s="8">
        <v>0.9</v>
      </c>
      <c r="X986" s="8">
        <v>69</v>
      </c>
      <c r="Y986" s="8" t="s">
        <v>4698</v>
      </c>
      <c r="Z986" s="8" t="s">
        <v>4699</v>
      </c>
    </row>
    <row r="987" spans="1:26" x14ac:dyDescent="0.2">
      <c r="A987" s="8">
        <v>986</v>
      </c>
      <c r="B987" s="8" t="s">
        <v>4700</v>
      </c>
      <c r="C987" s="8" t="s">
        <v>4700</v>
      </c>
      <c r="F987" s="47"/>
      <c r="G987" s="8">
        <v>13</v>
      </c>
      <c r="H987" s="8" t="s">
        <v>21</v>
      </c>
      <c r="I987" s="8" t="s">
        <v>22</v>
      </c>
      <c r="J987" s="8" t="s">
        <v>22</v>
      </c>
      <c r="K987" s="8" t="s">
        <v>406</v>
      </c>
      <c r="L987" s="8" t="s">
        <v>3335</v>
      </c>
      <c r="M987" s="8" t="s">
        <v>3336</v>
      </c>
      <c r="N987" s="8" t="s">
        <v>4701</v>
      </c>
      <c r="O987" s="8">
        <f>2+33/60+34.1/3600</f>
        <v>2.5594722222222219</v>
      </c>
      <c r="P987" s="8" t="s">
        <v>4702</v>
      </c>
      <c r="Q987" s="8">
        <f>-(39+2/60+45/3600)</f>
        <v>-39.045833333333334</v>
      </c>
      <c r="R987" s="8">
        <v>10.9</v>
      </c>
      <c r="S987" s="8">
        <v>11.6</v>
      </c>
      <c r="T987" s="8">
        <v>0.7</v>
      </c>
      <c r="U987" s="8">
        <v>13.4</v>
      </c>
      <c r="V987" s="8">
        <v>4</v>
      </c>
      <c r="W987" s="8">
        <v>3.2</v>
      </c>
      <c r="X987" s="8">
        <v>150</v>
      </c>
      <c r="Y987" s="8" t="s">
        <v>4703</v>
      </c>
      <c r="Z987" s="8" t="s">
        <v>4704</v>
      </c>
    </row>
    <row r="988" spans="1:26" x14ac:dyDescent="0.2">
      <c r="A988" s="8">
        <v>987</v>
      </c>
      <c r="B988" s="8" t="s">
        <v>4705</v>
      </c>
      <c r="C988" s="8" t="s">
        <v>4705</v>
      </c>
      <c r="F988" s="47" t="s">
        <v>56218</v>
      </c>
      <c r="G988" s="8">
        <v>15</v>
      </c>
      <c r="H988" s="8" t="s">
        <v>21</v>
      </c>
      <c r="I988" s="8" t="s">
        <v>22</v>
      </c>
      <c r="J988" s="8" t="s">
        <v>22</v>
      </c>
      <c r="K988" s="8" t="s">
        <v>435</v>
      </c>
      <c r="L988" s="8" t="s">
        <v>2809</v>
      </c>
      <c r="M988" s="8" t="s">
        <v>2810</v>
      </c>
      <c r="N988" s="8" t="s">
        <v>4706</v>
      </c>
      <c r="O988" s="8">
        <f>2+36/60+49.5/3600</f>
        <v>2.61375</v>
      </c>
      <c r="P988" s="8" t="s">
        <v>4707</v>
      </c>
      <c r="Q988" s="8">
        <f>+(33+19/60+38/3600)</f>
        <v>33.327222222222225</v>
      </c>
      <c r="R988" s="8">
        <v>12.4</v>
      </c>
      <c r="S988" s="8">
        <v>13.3</v>
      </c>
      <c r="T988" s="8">
        <v>0.9</v>
      </c>
      <c r="U988" s="8">
        <v>12.9</v>
      </c>
      <c r="V988" s="8">
        <v>1.6</v>
      </c>
      <c r="W988" s="8">
        <v>1.1000000000000001</v>
      </c>
      <c r="X988" s="8">
        <v>39</v>
      </c>
      <c r="Y988" s="8" t="s">
        <v>4708</v>
      </c>
      <c r="Z988" s="8" t="s">
        <v>4709</v>
      </c>
    </row>
    <row r="989" spans="1:26" x14ac:dyDescent="0.2">
      <c r="A989" s="8">
        <v>988</v>
      </c>
      <c r="B989" s="8" t="s">
        <v>4710</v>
      </c>
      <c r="C989" s="8" t="s">
        <v>4710</v>
      </c>
      <c r="F989" s="47"/>
      <c r="G989" s="8">
        <v>19</v>
      </c>
      <c r="H989" s="8" t="s">
        <v>21</v>
      </c>
      <c r="I989" s="8" t="s">
        <v>22</v>
      </c>
      <c r="J989" s="8" t="s">
        <v>22</v>
      </c>
      <c r="K989" s="8" t="s">
        <v>64</v>
      </c>
      <c r="L989" s="8" t="s">
        <v>125</v>
      </c>
      <c r="M989" s="8" t="s">
        <v>126</v>
      </c>
      <c r="N989" s="8" t="s">
        <v>4711</v>
      </c>
      <c r="O989" s="8">
        <f>2+35/60+27.3/3600</f>
        <v>2.5909166666666668</v>
      </c>
      <c r="P989" s="8" t="s">
        <v>4712</v>
      </c>
      <c r="Q989" s="8">
        <f>-(9+21/60+18/3600)</f>
        <v>-9.3550000000000004</v>
      </c>
      <c r="R989" s="8">
        <v>11</v>
      </c>
      <c r="S989" s="8">
        <v>11.4</v>
      </c>
      <c r="T989" s="8">
        <v>0.4</v>
      </c>
      <c r="U989" s="8">
        <v>13.5</v>
      </c>
      <c r="V989" s="8">
        <v>4.0999999999999996</v>
      </c>
      <c r="W989" s="8">
        <v>1.6</v>
      </c>
      <c r="X989" s="8">
        <v>114</v>
      </c>
      <c r="Y989" s="8" t="s">
        <v>4713</v>
      </c>
      <c r="Z989" s="8" t="s">
        <v>4714</v>
      </c>
    </row>
    <row r="990" spans="1:26" x14ac:dyDescent="0.2">
      <c r="A990" s="8">
        <v>989</v>
      </c>
      <c r="B990" s="8" t="s">
        <v>4715</v>
      </c>
      <c r="C990" s="8" t="s">
        <v>4715</v>
      </c>
      <c r="F990" s="47"/>
      <c r="G990" s="8">
        <v>19</v>
      </c>
      <c r="H990" s="8" t="s">
        <v>21</v>
      </c>
      <c r="I990" s="8" t="s">
        <v>22</v>
      </c>
      <c r="J990" s="8" t="s">
        <v>22</v>
      </c>
      <c r="K990" s="8" t="s">
        <v>37</v>
      </c>
      <c r="L990" s="8" t="s">
        <v>125</v>
      </c>
      <c r="M990" s="8" t="s">
        <v>126</v>
      </c>
      <c r="N990" s="8" t="s">
        <v>4716</v>
      </c>
      <c r="O990" s="8">
        <f>2+33/60+46/3600</f>
        <v>2.5627777777777778</v>
      </c>
      <c r="P990" s="8" t="s">
        <v>4717</v>
      </c>
      <c r="Q990" s="8">
        <f>-(16+30/60+41/3600)</f>
        <v>-16.511388888888888</v>
      </c>
      <c r="R990" s="8">
        <v>14</v>
      </c>
      <c r="S990" s="8">
        <v>15</v>
      </c>
      <c r="T990" s="8">
        <v>1</v>
      </c>
      <c r="U990" s="8">
        <v>13.2</v>
      </c>
      <c r="V990" s="8">
        <v>0.8</v>
      </c>
      <c r="W990" s="8">
        <v>0.7</v>
      </c>
      <c r="X990" s="8">
        <v>80</v>
      </c>
      <c r="Y990" s="8" t="s">
        <v>3668</v>
      </c>
      <c r="Z990" s="8" t="s">
        <v>3669</v>
      </c>
    </row>
    <row r="991" spans="1:26" x14ac:dyDescent="0.2">
      <c r="A991" s="8">
        <v>990</v>
      </c>
      <c r="B991" s="8" t="s">
        <v>4718</v>
      </c>
      <c r="C991" s="8" t="s">
        <v>4718</v>
      </c>
      <c r="F991" s="47" t="s">
        <v>56219</v>
      </c>
      <c r="G991" s="8">
        <v>15</v>
      </c>
      <c r="H991" s="8" t="s">
        <v>21</v>
      </c>
      <c r="I991" s="8" t="s">
        <v>22</v>
      </c>
      <c r="J991" s="8" t="s">
        <v>22</v>
      </c>
      <c r="K991" s="8" t="s">
        <v>1136</v>
      </c>
      <c r="L991" s="8" t="s">
        <v>3256</v>
      </c>
      <c r="M991" s="8" t="s">
        <v>3257</v>
      </c>
      <c r="N991" s="8" t="s">
        <v>4719</v>
      </c>
      <c r="O991" s="8">
        <f>2+36/60+18.1/3600</f>
        <v>2.6050277777777779</v>
      </c>
      <c r="P991" s="8" t="s">
        <v>4720</v>
      </c>
      <c r="Q991" s="8">
        <f>+(11+38/60+32/3600)</f>
        <v>11.642222222222221</v>
      </c>
      <c r="R991" s="8">
        <v>12.5</v>
      </c>
      <c r="S991" s="8">
        <v>13.5</v>
      </c>
      <c r="T991" s="8">
        <v>1</v>
      </c>
      <c r="U991" s="8">
        <v>13.5</v>
      </c>
      <c r="V991" s="8">
        <v>1.8</v>
      </c>
      <c r="W991" s="8">
        <v>1.5</v>
      </c>
      <c r="X991" s="8">
        <v>42</v>
      </c>
      <c r="Y991" s="8" t="s">
        <v>446</v>
      </c>
      <c r="Z991" s="8" t="s">
        <v>447</v>
      </c>
    </row>
    <row r="992" spans="1:26" x14ac:dyDescent="0.2">
      <c r="A992" s="8">
        <v>991</v>
      </c>
      <c r="B992" s="8" t="s">
        <v>4721</v>
      </c>
      <c r="C992" s="8" t="s">
        <v>4721</v>
      </c>
      <c r="F992" s="47" t="s">
        <v>56220</v>
      </c>
      <c r="G992" s="8">
        <v>6.5</v>
      </c>
      <c r="H992" s="8" t="s">
        <v>21</v>
      </c>
      <c r="I992" s="8" t="s">
        <v>22</v>
      </c>
      <c r="J992" s="8" t="s">
        <v>22</v>
      </c>
      <c r="K992" s="8" t="s">
        <v>64</v>
      </c>
      <c r="L992" s="8" t="s">
        <v>125</v>
      </c>
      <c r="M992" s="8" t="s">
        <v>126</v>
      </c>
      <c r="N992" s="8" t="s">
        <v>4722</v>
      </c>
      <c r="O992" s="8">
        <f>2+35/60+32.6/3600</f>
        <v>2.5923888888888889</v>
      </c>
      <c r="P992" s="8" t="s">
        <v>4723</v>
      </c>
      <c r="Q992" s="8">
        <f>-(7+9/60+18/3600)</f>
        <v>-7.1550000000000002</v>
      </c>
      <c r="R992" s="8">
        <v>11.7</v>
      </c>
      <c r="S992" s="8">
        <v>12.4</v>
      </c>
      <c r="T992" s="8">
        <v>0.7</v>
      </c>
      <c r="U992" s="8">
        <v>13.8</v>
      </c>
      <c r="V992" s="8">
        <v>3</v>
      </c>
      <c r="W992" s="8">
        <v>2.7</v>
      </c>
      <c r="X992" s="8">
        <v>60</v>
      </c>
      <c r="Y992" s="8" t="s">
        <v>4724</v>
      </c>
      <c r="Z992" s="8" t="s">
        <v>4725</v>
      </c>
    </row>
    <row r="993" spans="1:26" x14ac:dyDescent="0.2">
      <c r="A993" s="8">
        <v>992</v>
      </c>
      <c r="B993" s="8" t="s">
        <v>4726</v>
      </c>
      <c r="C993" s="8" t="s">
        <v>4726</v>
      </c>
      <c r="F993" s="47"/>
      <c r="G993" s="8">
        <v>19</v>
      </c>
      <c r="H993" s="8" t="s">
        <v>21</v>
      </c>
      <c r="I993" s="8" t="s">
        <v>22</v>
      </c>
      <c r="J993" s="8" t="s">
        <v>22</v>
      </c>
      <c r="K993" s="8" t="s">
        <v>160</v>
      </c>
      <c r="L993" s="8" t="s">
        <v>3256</v>
      </c>
      <c r="M993" s="8" t="s">
        <v>3257</v>
      </c>
      <c r="N993" s="8" t="s">
        <v>4727</v>
      </c>
      <c r="O993" s="8">
        <f>2+37/60+25.5/3600</f>
        <v>2.6237500000000002</v>
      </c>
      <c r="P993" s="8" t="s">
        <v>4728</v>
      </c>
      <c r="Q993" s="8">
        <f>+(21+6/60+1/3600)</f>
        <v>21.10027777777778</v>
      </c>
      <c r="R993" s="8">
        <v>12.8</v>
      </c>
      <c r="S993" s="8">
        <v>13.7</v>
      </c>
      <c r="T993" s="8">
        <v>0.9</v>
      </c>
      <c r="U993" s="8">
        <v>12.1</v>
      </c>
      <c r="V993" s="8">
        <v>0.9</v>
      </c>
      <c r="W993" s="8">
        <v>0.7</v>
      </c>
      <c r="X993" s="8">
        <v>7</v>
      </c>
      <c r="Y993" s="8" t="s">
        <v>4729</v>
      </c>
      <c r="Z993" s="8" t="s">
        <v>4730</v>
      </c>
    </row>
    <row r="994" spans="1:26" x14ac:dyDescent="0.2">
      <c r="A994" s="8">
        <v>993</v>
      </c>
      <c r="B994" s="8" t="s">
        <v>4731</v>
      </c>
      <c r="C994" s="8" t="s">
        <v>4731</v>
      </c>
      <c r="F994" s="47"/>
      <c r="G994" s="8">
        <v>18</v>
      </c>
      <c r="H994" s="8" t="s">
        <v>21</v>
      </c>
      <c r="I994" s="8" t="s">
        <v>22</v>
      </c>
      <c r="J994" s="8" t="s">
        <v>22</v>
      </c>
      <c r="K994" s="8" t="s">
        <v>58</v>
      </c>
      <c r="L994" s="8" t="s">
        <v>125</v>
      </c>
      <c r="M994" s="8" t="s">
        <v>126</v>
      </c>
      <c r="N994" s="8" t="s">
        <v>4732</v>
      </c>
      <c r="O994" s="8">
        <f>2+36/60+46/3600</f>
        <v>2.6127777777777781</v>
      </c>
      <c r="P994" s="8" t="s">
        <v>4733</v>
      </c>
      <c r="Q994" s="8">
        <f>+(2+3/60+1/3600)</f>
        <v>2.0502777777777776</v>
      </c>
      <c r="R994" s="8">
        <v>13.6</v>
      </c>
      <c r="S994" s="8">
        <v>14.6</v>
      </c>
      <c r="T994" s="8">
        <v>1</v>
      </c>
      <c r="U994" s="8">
        <v>13.3</v>
      </c>
      <c r="V994" s="8">
        <v>0.9</v>
      </c>
      <c r="W994" s="8">
        <v>0.8</v>
      </c>
      <c r="X994" s="8">
        <v>110</v>
      </c>
      <c r="Y994" s="8" t="s">
        <v>266</v>
      </c>
      <c r="Z994" s="8" t="s">
        <v>267</v>
      </c>
    </row>
    <row r="995" spans="1:26" x14ac:dyDescent="0.2">
      <c r="A995" s="8">
        <v>994</v>
      </c>
      <c r="B995" s="8" t="s">
        <v>4734</v>
      </c>
      <c r="C995" s="8" t="s">
        <v>4734</v>
      </c>
      <c r="F995" s="47"/>
      <c r="G995" s="8">
        <v>19</v>
      </c>
      <c r="H995" s="8" t="s">
        <v>21</v>
      </c>
      <c r="I995" s="8" t="s">
        <v>22</v>
      </c>
      <c r="J995" s="8" t="s">
        <v>57</v>
      </c>
      <c r="K995" s="8" t="s">
        <v>58</v>
      </c>
      <c r="L995" s="8" t="s">
        <v>125</v>
      </c>
      <c r="M995" s="8" t="s">
        <v>126</v>
      </c>
      <c r="N995" s="8" t="s">
        <v>4732</v>
      </c>
      <c r="O995" s="8">
        <f>2+36/60+46/3600</f>
        <v>2.6127777777777781</v>
      </c>
      <c r="P995" s="8" t="s">
        <v>4733</v>
      </c>
      <c r="Q995" s="8">
        <f>+(2+3/60+1/3600)</f>
        <v>2.0502777777777776</v>
      </c>
      <c r="R995" s="8">
        <v>13.6</v>
      </c>
      <c r="S995" s="8">
        <v>14.6</v>
      </c>
      <c r="T995" s="8">
        <v>1</v>
      </c>
      <c r="U995" s="8">
        <v>13.3</v>
      </c>
      <c r="V995" s="8">
        <v>0.9</v>
      </c>
      <c r="W995" s="8">
        <v>0.8</v>
      </c>
      <c r="X995" s="8">
        <v>110</v>
      </c>
      <c r="Y995" s="8" t="s">
        <v>266</v>
      </c>
      <c r="Z995" s="8" t="s">
        <v>4735</v>
      </c>
    </row>
    <row r="996" spans="1:26" x14ac:dyDescent="0.2">
      <c r="A996" s="8">
        <v>995</v>
      </c>
      <c r="B996" s="8" t="s">
        <v>4736</v>
      </c>
      <c r="C996" s="8" t="s">
        <v>4736</v>
      </c>
      <c r="F996" s="47"/>
      <c r="G996" s="8">
        <v>18</v>
      </c>
      <c r="H996" s="8" t="s">
        <v>21</v>
      </c>
      <c r="I996" s="8" t="s">
        <v>22</v>
      </c>
      <c r="J996" s="8" t="s">
        <v>22</v>
      </c>
      <c r="K996" s="8" t="s">
        <v>37</v>
      </c>
      <c r="L996" s="8" t="s">
        <v>51</v>
      </c>
      <c r="M996" s="8" t="s">
        <v>52</v>
      </c>
      <c r="N996" s="8" t="s">
        <v>4737</v>
      </c>
      <c r="O996" s="8">
        <f>2+38/60+31.9/3600</f>
        <v>2.6421944444444443</v>
      </c>
      <c r="P996" s="8" t="s">
        <v>4738</v>
      </c>
      <c r="Q996" s="8">
        <f>+(41+31/60+44/3600)</f>
        <v>41.528888888888886</v>
      </c>
      <c r="R996" s="8">
        <v>13.4</v>
      </c>
      <c r="S996" s="8">
        <v>14.4</v>
      </c>
      <c r="T996" s="8">
        <v>1</v>
      </c>
      <c r="U996" s="8">
        <v>13</v>
      </c>
      <c r="V996" s="8">
        <v>1.3</v>
      </c>
      <c r="W996" s="8">
        <v>0.6</v>
      </c>
      <c r="X996" s="8">
        <v>35</v>
      </c>
      <c r="Y996" s="8" t="s">
        <v>282</v>
      </c>
      <c r="Z996" s="8" t="s">
        <v>283</v>
      </c>
    </row>
    <row r="997" spans="1:26" x14ac:dyDescent="0.2">
      <c r="A997" s="8">
        <v>996</v>
      </c>
      <c r="B997" s="8" t="s">
        <v>4739</v>
      </c>
      <c r="C997" s="8" t="s">
        <v>4739</v>
      </c>
      <c r="F997" s="47"/>
      <c r="G997" s="8">
        <v>18</v>
      </c>
      <c r="H997" s="8" t="s">
        <v>21</v>
      </c>
      <c r="I997" s="8" t="s">
        <v>22</v>
      </c>
      <c r="J997" s="8" t="s">
        <v>22</v>
      </c>
      <c r="K997" s="8" t="s">
        <v>460</v>
      </c>
      <c r="L997" s="8" t="s">
        <v>51</v>
      </c>
      <c r="M997" s="8" t="s">
        <v>52</v>
      </c>
      <c r="N997" s="8" t="s">
        <v>4740</v>
      </c>
      <c r="O997" s="8">
        <f>2+38/60+39.6/3600</f>
        <v>2.6443333333333334</v>
      </c>
      <c r="P997" s="8" t="s">
        <v>4741</v>
      </c>
      <c r="Q997" s="8">
        <f>+(41+38/60+50/3600)</f>
        <v>41.647222222222219</v>
      </c>
      <c r="R997" s="8">
        <v>13</v>
      </c>
      <c r="S997" s="8">
        <v>14</v>
      </c>
      <c r="T997" s="8">
        <v>1</v>
      </c>
      <c r="U997" s="8">
        <v>13.5</v>
      </c>
      <c r="V997" s="8">
        <v>1.2</v>
      </c>
      <c r="W997" s="8">
        <v>1.2</v>
      </c>
      <c r="Y997" s="8" t="s">
        <v>282</v>
      </c>
      <c r="Z997" s="8" t="s">
        <v>283</v>
      </c>
    </row>
    <row r="998" spans="1:26" x14ac:dyDescent="0.2">
      <c r="A998" s="8">
        <v>997</v>
      </c>
      <c r="B998" s="8" t="s">
        <v>4742</v>
      </c>
      <c r="C998" s="8" t="s">
        <v>4742</v>
      </c>
      <c r="F998" s="47"/>
      <c r="G998" s="8">
        <v>18</v>
      </c>
      <c r="H998" s="8" t="s">
        <v>21</v>
      </c>
      <c r="I998" s="8" t="s">
        <v>22</v>
      </c>
      <c r="J998" s="8" t="s">
        <v>22</v>
      </c>
      <c r="K998" s="8" t="s">
        <v>4743</v>
      </c>
      <c r="L998" s="8" t="s">
        <v>125</v>
      </c>
      <c r="M998" s="8" t="s">
        <v>126</v>
      </c>
      <c r="N998" s="8" t="s">
        <v>4744</v>
      </c>
      <c r="O998" s="8">
        <f>2+37/60+14.4/3600</f>
        <v>2.6206666666666667</v>
      </c>
      <c r="P998" s="8" t="s">
        <v>4745</v>
      </c>
      <c r="Q998" s="8">
        <f>+(7+18/60+22/3600)</f>
        <v>7.306111111111111</v>
      </c>
      <c r="R998" s="8">
        <v>13.4</v>
      </c>
      <c r="S998" s="8">
        <v>14.4</v>
      </c>
      <c r="T998" s="8">
        <v>1</v>
      </c>
      <c r="U998" s="8">
        <v>13.7</v>
      </c>
      <c r="V998" s="8">
        <v>1.1000000000000001</v>
      </c>
      <c r="W998" s="8">
        <v>1.1000000000000001</v>
      </c>
      <c r="Y998" s="8" t="s">
        <v>4065</v>
      </c>
      <c r="Z998" s="8" t="s">
        <v>4066</v>
      </c>
    </row>
    <row r="999" spans="1:26" x14ac:dyDescent="0.2">
      <c r="A999" s="8">
        <v>998</v>
      </c>
      <c r="B999" s="8" t="s">
        <v>4746</v>
      </c>
      <c r="C999" s="8" t="s">
        <v>4746</v>
      </c>
      <c r="F999" s="47"/>
      <c r="G999" s="8">
        <v>18</v>
      </c>
      <c r="H999" s="8" t="s">
        <v>21</v>
      </c>
      <c r="I999" s="8" t="s">
        <v>22</v>
      </c>
      <c r="J999" s="8" t="s">
        <v>22</v>
      </c>
      <c r="K999" s="8" t="s">
        <v>449</v>
      </c>
      <c r="L999" s="8" t="s">
        <v>125</v>
      </c>
      <c r="M999" s="8" t="s">
        <v>126</v>
      </c>
      <c r="N999" s="8" t="s">
        <v>4747</v>
      </c>
      <c r="O999" s="8">
        <f>2+37/60+16.5/3600</f>
        <v>2.6212499999999999</v>
      </c>
      <c r="P999" s="8" t="s">
        <v>4748</v>
      </c>
      <c r="Q999" s="8">
        <f>+(7+20/60+9/3600)</f>
        <v>7.3358333333333334</v>
      </c>
      <c r="R999" s="8">
        <v>14.7</v>
      </c>
      <c r="S999" s="8">
        <v>15.5</v>
      </c>
      <c r="T999" s="8">
        <v>0.8</v>
      </c>
      <c r="U999" s="8">
        <v>13.6</v>
      </c>
      <c r="V999" s="8">
        <v>0.8</v>
      </c>
      <c r="W999" s="8">
        <v>0.5</v>
      </c>
      <c r="X999" s="8">
        <v>177</v>
      </c>
      <c r="Y999" s="8" t="s">
        <v>297</v>
      </c>
      <c r="Z999" s="8" t="s">
        <v>298</v>
      </c>
    </row>
    <row r="1000" spans="1:26" x14ac:dyDescent="0.2">
      <c r="A1000" s="8">
        <v>999</v>
      </c>
      <c r="B1000" s="8" t="s">
        <v>4749</v>
      </c>
      <c r="C1000" s="8" t="s">
        <v>4749</v>
      </c>
      <c r="F1000" s="47"/>
      <c r="G1000" s="8">
        <v>18</v>
      </c>
      <c r="H1000" s="8" t="s">
        <v>21</v>
      </c>
      <c r="I1000" s="8" t="s">
        <v>22</v>
      </c>
      <c r="J1000" s="8" t="s">
        <v>22</v>
      </c>
      <c r="K1000" s="8" t="s">
        <v>154</v>
      </c>
      <c r="L1000" s="8" t="s">
        <v>51</v>
      </c>
      <c r="M1000" s="8" t="s">
        <v>52</v>
      </c>
      <c r="N1000" s="8" t="s">
        <v>4750</v>
      </c>
      <c r="O1000" s="8">
        <f>2+38/60+47.4/3600</f>
        <v>2.6465000000000001</v>
      </c>
      <c r="P1000" s="8" t="s">
        <v>4751</v>
      </c>
      <c r="Q1000" s="8">
        <f>+(41+40/60+16/3600)</f>
        <v>41.671111111111109</v>
      </c>
      <c r="R1000" s="8">
        <v>13.5</v>
      </c>
      <c r="S1000" s="8">
        <v>14.4</v>
      </c>
      <c r="T1000" s="8">
        <v>0.9</v>
      </c>
      <c r="U1000" s="8">
        <v>13.3</v>
      </c>
      <c r="V1000" s="8">
        <v>1.2</v>
      </c>
      <c r="W1000" s="8">
        <v>0.8</v>
      </c>
      <c r="X1000" s="8">
        <v>48</v>
      </c>
      <c r="Y1000" s="8" t="s">
        <v>47</v>
      </c>
      <c r="Z1000" s="8" t="s">
        <v>48</v>
      </c>
    </row>
    <row r="1001" spans="1:26" x14ac:dyDescent="0.2">
      <c r="A1001" s="8">
        <v>1000</v>
      </c>
      <c r="B1001" s="8" t="s">
        <v>4752</v>
      </c>
      <c r="C1001" s="8" t="s">
        <v>4752</v>
      </c>
      <c r="F1001" s="47"/>
      <c r="G1001" s="8">
        <v>18</v>
      </c>
      <c r="H1001" s="8" t="s">
        <v>21</v>
      </c>
      <c r="I1001" s="8" t="s">
        <v>22</v>
      </c>
      <c r="J1001" s="8" t="s">
        <v>22</v>
      </c>
      <c r="K1001" s="8" t="s">
        <v>424</v>
      </c>
      <c r="L1001" s="8" t="s">
        <v>51</v>
      </c>
      <c r="M1001" s="8" t="s">
        <v>52</v>
      </c>
      <c r="N1001" s="8" t="s">
        <v>4753</v>
      </c>
      <c r="O1001" s="8">
        <f>2+38/60+49.7/3600</f>
        <v>2.6471388888888887</v>
      </c>
      <c r="P1001" s="8" t="s">
        <v>4754</v>
      </c>
      <c r="Q1001" s="8">
        <f>+(41+27/60+37/3600)</f>
        <v>41.460277777777783</v>
      </c>
      <c r="R1001" s="8">
        <v>14.6</v>
      </c>
      <c r="S1001" s="8">
        <v>15.6</v>
      </c>
      <c r="T1001" s="8">
        <v>1</v>
      </c>
      <c r="U1001" s="8">
        <v>13.7</v>
      </c>
      <c r="V1001" s="8">
        <v>0.7</v>
      </c>
      <c r="W1001" s="8">
        <v>0.7</v>
      </c>
      <c r="Y1001" s="8" t="s">
        <v>4755</v>
      </c>
      <c r="Z1001" s="8" t="s">
        <v>4756</v>
      </c>
    </row>
    <row r="1002" spans="1:26" x14ac:dyDescent="0.2">
      <c r="A1002" s="8">
        <v>1001</v>
      </c>
      <c r="B1002" s="8" t="s">
        <v>4757</v>
      </c>
      <c r="C1002" s="8" t="s">
        <v>4757</v>
      </c>
      <c r="F1002" s="47"/>
      <c r="G1002" s="8">
        <v>18</v>
      </c>
      <c r="H1002" s="8" t="s">
        <v>21</v>
      </c>
      <c r="I1002" s="8" t="s">
        <v>22</v>
      </c>
      <c r="J1002" s="8" t="s">
        <v>22</v>
      </c>
      <c r="K1002" s="8" t="s">
        <v>396</v>
      </c>
      <c r="L1002" s="8" t="s">
        <v>3147</v>
      </c>
      <c r="M1002" s="8" t="s">
        <v>3148</v>
      </c>
      <c r="N1002" s="8" t="s">
        <v>4758</v>
      </c>
      <c r="O1002" s="8">
        <f>2+39/60+12.6/3600</f>
        <v>2.6534999999999997</v>
      </c>
      <c r="P1002" s="8" t="s">
        <v>4759</v>
      </c>
      <c r="Q1002" s="8">
        <f>+(41+40/60+18/3600)</f>
        <v>41.671666666666667</v>
      </c>
      <c r="R1002" s="8">
        <v>14.8</v>
      </c>
      <c r="S1002" s="8">
        <v>15.6</v>
      </c>
      <c r="T1002" s="8">
        <v>0.8</v>
      </c>
      <c r="U1002" s="8">
        <v>13</v>
      </c>
      <c r="V1002" s="8">
        <v>0.7</v>
      </c>
      <c r="W1002" s="8">
        <v>0.3</v>
      </c>
      <c r="X1002" s="8">
        <v>132</v>
      </c>
      <c r="Y1002" s="8" t="s">
        <v>282</v>
      </c>
      <c r="Z1002" s="8" t="s">
        <v>283</v>
      </c>
    </row>
    <row r="1003" spans="1:26" x14ac:dyDescent="0.2">
      <c r="A1003" s="8">
        <v>1002</v>
      </c>
      <c r="B1003" s="8" t="s">
        <v>4760</v>
      </c>
      <c r="C1003" s="8" t="s">
        <v>4760</v>
      </c>
      <c r="F1003" s="47"/>
      <c r="G1003" s="8">
        <v>19</v>
      </c>
      <c r="H1003" s="8" t="s">
        <v>21</v>
      </c>
      <c r="I1003" s="8" t="s">
        <v>22</v>
      </c>
      <c r="J1003" s="8" t="s">
        <v>57</v>
      </c>
      <c r="K1003" s="8" t="s">
        <v>218</v>
      </c>
      <c r="L1003" s="8" t="s">
        <v>2809</v>
      </c>
      <c r="M1003" s="8" t="s">
        <v>2810</v>
      </c>
      <c r="N1003" s="8" t="s">
        <v>4687</v>
      </c>
      <c r="O1003" s="8">
        <f>2+38/60+55.7/3600</f>
        <v>2.6488055555555556</v>
      </c>
      <c r="P1003" s="8" t="s">
        <v>4688</v>
      </c>
      <c r="Q1003" s="8">
        <f>+(34+37/60+19/3600)</f>
        <v>34.621944444444445</v>
      </c>
      <c r="R1003" s="8">
        <v>13.2</v>
      </c>
      <c r="S1003" s="8">
        <v>14</v>
      </c>
      <c r="T1003" s="8">
        <v>0.8</v>
      </c>
      <c r="U1003" s="8">
        <v>13.1</v>
      </c>
      <c r="V1003" s="8">
        <v>1.2</v>
      </c>
      <c r="W1003" s="8">
        <v>0.9</v>
      </c>
      <c r="X1003" s="8">
        <v>146</v>
      </c>
      <c r="Y1003" s="8" t="s">
        <v>4761</v>
      </c>
      <c r="Z1003" s="8" t="s">
        <v>4762</v>
      </c>
    </row>
    <row r="1004" spans="1:26" x14ac:dyDescent="0.2">
      <c r="A1004" s="8">
        <v>1003</v>
      </c>
      <c r="B1004" s="8" t="s">
        <v>4763</v>
      </c>
      <c r="C1004" s="8" t="s">
        <v>4763</v>
      </c>
      <c r="F1004" s="47" t="s">
        <v>56221</v>
      </c>
      <c r="G1004" s="8">
        <v>6.5</v>
      </c>
      <c r="H1004" s="8" t="s">
        <v>21</v>
      </c>
      <c r="I1004" s="8" t="s">
        <v>22</v>
      </c>
      <c r="J1004" s="8" t="s">
        <v>22</v>
      </c>
      <c r="K1004" s="8" t="s">
        <v>160</v>
      </c>
      <c r="L1004" s="8" t="s">
        <v>3147</v>
      </c>
      <c r="M1004" s="8" t="s">
        <v>3148</v>
      </c>
      <c r="N1004" s="8" t="s">
        <v>4764</v>
      </c>
      <c r="O1004" s="8">
        <f>2+39/60+16.6/3600</f>
        <v>2.654611111111111</v>
      </c>
      <c r="P1004" s="8" t="s">
        <v>4765</v>
      </c>
      <c r="Q1004" s="8">
        <f>+(40+52/60+22/3600)</f>
        <v>40.872777777777777</v>
      </c>
      <c r="R1004" s="8">
        <v>11.5</v>
      </c>
      <c r="S1004" s="8">
        <v>12</v>
      </c>
      <c r="T1004" s="8">
        <v>0.5</v>
      </c>
      <c r="U1004" s="8">
        <v>13.8</v>
      </c>
      <c r="V1004" s="8">
        <v>4.3</v>
      </c>
      <c r="W1004" s="8">
        <v>1.3</v>
      </c>
      <c r="X1004" s="8">
        <v>97</v>
      </c>
      <c r="Y1004" s="8" t="s">
        <v>4766</v>
      </c>
      <c r="Z1004" s="8" t="s">
        <v>4767</v>
      </c>
    </row>
    <row r="1005" spans="1:26" x14ac:dyDescent="0.2">
      <c r="A1005" s="8">
        <v>1004</v>
      </c>
      <c r="B1005" s="8" t="s">
        <v>4768</v>
      </c>
      <c r="C1005" s="8" t="s">
        <v>4768</v>
      </c>
      <c r="F1005" s="47"/>
      <c r="G1005" s="8">
        <v>19</v>
      </c>
      <c r="H1005" s="8" t="s">
        <v>21</v>
      </c>
      <c r="I1005" s="8" t="s">
        <v>22</v>
      </c>
      <c r="J1005" s="8" t="s">
        <v>22</v>
      </c>
      <c r="K1005" s="8" t="s">
        <v>183</v>
      </c>
      <c r="L1005" s="8" t="s">
        <v>125</v>
      </c>
      <c r="M1005" s="8" t="s">
        <v>126</v>
      </c>
      <c r="N1005" s="8" t="s">
        <v>4769</v>
      </c>
      <c r="O1005" s="8">
        <f>2+37/60+41.7/3600</f>
        <v>2.62825</v>
      </c>
      <c r="P1005" s="8" t="s">
        <v>4770</v>
      </c>
      <c r="Q1005" s="8">
        <f>+(1+58/60+32/3600)</f>
        <v>1.9755555555555557</v>
      </c>
      <c r="R1005" s="8">
        <v>12.7</v>
      </c>
      <c r="S1005" s="8">
        <v>13.7</v>
      </c>
      <c r="T1005" s="8">
        <v>1</v>
      </c>
      <c r="U1005" s="8">
        <v>13.2</v>
      </c>
      <c r="V1005" s="8">
        <v>1.4</v>
      </c>
      <c r="W1005" s="8">
        <v>1.2</v>
      </c>
      <c r="X1005" s="8">
        <v>115</v>
      </c>
      <c r="Y1005" s="8" t="s">
        <v>4771</v>
      </c>
      <c r="Z1005" s="8" t="s">
        <v>4772</v>
      </c>
    </row>
    <row r="1006" spans="1:26" x14ac:dyDescent="0.2">
      <c r="A1006" s="8">
        <v>1005</v>
      </c>
      <c r="B1006" s="8" t="s">
        <v>4773</v>
      </c>
      <c r="C1006" s="8" t="s">
        <v>4773</v>
      </c>
      <c r="F1006" s="47"/>
      <c r="G1006" s="8">
        <v>18</v>
      </c>
      <c r="H1006" s="8" t="s">
        <v>21</v>
      </c>
      <c r="I1006" s="8" t="s">
        <v>22</v>
      </c>
      <c r="J1006" s="8" t="s">
        <v>22</v>
      </c>
      <c r="K1006" s="8" t="s">
        <v>58</v>
      </c>
      <c r="L1006" s="8" t="s">
        <v>3147</v>
      </c>
      <c r="M1006" s="8" t="s">
        <v>3148</v>
      </c>
      <c r="N1006" s="8" t="s">
        <v>4774</v>
      </c>
      <c r="O1006" s="8">
        <f>2+39/60+27.6/3600</f>
        <v>2.6576666666666666</v>
      </c>
      <c r="P1006" s="8" t="s">
        <v>4775</v>
      </c>
      <c r="Q1006" s="8">
        <f>+(41+29/60+36/3600)</f>
        <v>41.493333333333332</v>
      </c>
      <c r="R1006" s="8">
        <v>13.8</v>
      </c>
      <c r="S1006" s="8">
        <v>14.8</v>
      </c>
      <c r="T1006" s="8">
        <v>1</v>
      </c>
      <c r="U1006" s="8">
        <v>13.6</v>
      </c>
      <c r="V1006" s="8">
        <v>1</v>
      </c>
      <c r="W1006" s="8">
        <v>0.8</v>
      </c>
      <c r="X1006" s="8">
        <v>65</v>
      </c>
      <c r="Y1006" s="8" t="s">
        <v>282</v>
      </c>
      <c r="Z1006" s="8" t="s">
        <v>283</v>
      </c>
    </row>
    <row r="1007" spans="1:26" x14ac:dyDescent="0.2">
      <c r="A1007" s="8">
        <v>1006</v>
      </c>
      <c r="B1007" s="8" t="s">
        <v>4776</v>
      </c>
      <c r="C1007" s="8" t="s">
        <v>4776</v>
      </c>
      <c r="F1007" s="47"/>
      <c r="G1007" s="8">
        <v>19</v>
      </c>
      <c r="H1007" s="8" t="s">
        <v>21</v>
      </c>
      <c r="I1007" s="8" t="s">
        <v>22</v>
      </c>
      <c r="J1007" s="8" t="s">
        <v>57</v>
      </c>
      <c r="K1007" s="8" t="s">
        <v>160</v>
      </c>
      <c r="L1007" s="8" t="s">
        <v>125</v>
      </c>
      <c r="M1007" s="8" t="s">
        <v>126</v>
      </c>
      <c r="N1007" s="8" t="s">
        <v>4777</v>
      </c>
      <c r="O1007" s="8">
        <f>2+37/60+34.8/3600</f>
        <v>2.6263333333333332</v>
      </c>
      <c r="P1007" s="8" t="s">
        <v>4778</v>
      </c>
      <c r="Q1007" s="8">
        <f>-(11+1/60+31/3600)</f>
        <v>-11.025277777777779</v>
      </c>
      <c r="R1007" s="8">
        <v>14.1</v>
      </c>
      <c r="S1007" s="8">
        <v>14.8</v>
      </c>
      <c r="T1007" s="8">
        <v>0.7</v>
      </c>
      <c r="U1007" s="8">
        <v>13.5</v>
      </c>
      <c r="V1007" s="8">
        <v>0.8</v>
      </c>
      <c r="W1007" s="8">
        <v>0.8</v>
      </c>
      <c r="Y1007" s="8" t="s">
        <v>4779</v>
      </c>
      <c r="Z1007" s="8" t="s">
        <v>4780</v>
      </c>
    </row>
    <row r="1008" spans="1:26" x14ac:dyDescent="0.2">
      <c r="A1008" s="8">
        <v>1007</v>
      </c>
      <c r="B1008" s="8" t="s">
        <v>4781</v>
      </c>
      <c r="C1008" s="8" t="s">
        <v>4781</v>
      </c>
      <c r="F1008" s="47"/>
      <c r="G1008" s="8">
        <v>18</v>
      </c>
      <c r="H1008" s="8" t="s">
        <v>21</v>
      </c>
      <c r="I1008" s="8" t="s">
        <v>22</v>
      </c>
      <c r="J1008" s="8" t="s">
        <v>22</v>
      </c>
      <c r="K1008" s="8" t="s">
        <v>1174</v>
      </c>
      <c r="L1008" s="8" t="s">
        <v>125</v>
      </c>
      <c r="M1008" s="8" t="s">
        <v>126</v>
      </c>
      <c r="N1008" s="8" t="s">
        <v>4782</v>
      </c>
      <c r="O1008" s="8">
        <f>2+37/60+52.2/3600</f>
        <v>2.6311666666666667</v>
      </c>
      <c r="P1008" s="8" t="s">
        <v>4783</v>
      </c>
      <c r="Q1008" s="8">
        <f>+(2+9/60+20/3600)</f>
        <v>2.1555555555555554</v>
      </c>
      <c r="R1008" s="8">
        <v>15.5</v>
      </c>
      <c r="S1008" s="8">
        <v>16.5</v>
      </c>
      <c r="T1008" s="8">
        <v>1</v>
      </c>
      <c r="U1008" s="8">
        <v>13.1</v>
      </c>
      <c r="V1008" s="8">
        <v>0.6</v>
      </c>
      <c r="W1008" s="8">
        <v>0.2</v>
      </c>
      <c r="X1008" s="8">
        <v>48</v>
      </c>
      <c r="Y1008" s="8" t="s">
        <v>457</v>
      </c>
      <c r="Z1008" s="8" t="s">
        <v>458</v>
      </c>
    </row>
    <row r="1009" spans="1:26" x14ac:dyDescent="0.2">
      <c r="A1009" s="8">
        <v>1008</v>
      </c>
      <c r="B1009" s="8" t="s">
        <v>4784</v>
      </c>
      <c r="C1009" s="8" t="s">
        <v>4784</v>
      </c>
      <c r="F1009" s="47"/>
      <c r="G1009" s="8">
        <v>18</v>
      </c>
      <c r="H1009" s="8" t="s">
        <v>21</v>
      </c>
      <c r="I1009" s="8" t="s">
        <v>22</v>
      </c>
      <c r="J1009" s="8" t="s">
        <v>22</v>
      </c>
      <c r="K1009" s="8" t="s">
        <v>382</v>
      </c>
      <c r="L1009" s="8" t="s">
        <v>125</v>
      </c>
      <c r="M1009" s="8" t="s">
        <v>126</v>
      </c>
      <c r="N1009" s="8" t="s">
        <v>4785</v>
      </c>
      <c r="O1009" s="8">
        <f>2+37/60+55.2/3600</f>
        <v>2.6320000000000001</v>
      </c>
      <c r="P1009" s="8" t="s">
        <v>4786</v>
      </c>
      <c r="Q1009" s="8">
        <f>+(2+4/60+49/3600)</f>
        <v>2.0802777777777779</v>
      </c>
      <c r="R1009" s="8">
        <v>13.6</v>
      </c>
      <c r="S1009" s="8">
        <v>14.6</v>
      </c>
      <c r="T1009" s="8">
        <v>1</v>
      </c>
      <c r="U1009" s="8">
        <v>13</v>
      </c>
      <c r="V1009" s="8">
        <v>0.8</v>
      </c>
      <c r="W1009" s="8">
        <v>0.6</v>
      </c>
      <c r="X1009" s="8">
        <v>85</v>
      </c>
      <c r="Y1009" s="8" t="s">
        <v>4787</v>
      </c>
      <c r="Z1009" s="8" t="s">
        <v>2313</v>
      </c>
    </row>
    <row r="1010" spans="1:26" x14ac:dyDescent="0.2">
      <c r="A1010" s="8">
        <v>1009</v>
      </c>
      <c r="B1010" s="8" t="s">
        <v>4788</v>
      </c>
      <c r="C1010" s="8" t="s">
        <v>4788</v>
      </c>
      <c r="F1010" s="47"/>
      <c r="G1010" s="8">
        <v>19</v>
      </c>
      <c r="H1010" s="8" t="s">
        <v>21</v>
      </c>
      <c r="I1010" s="8" t="s">
        <v>22</v>
      </c>
      <c r="J1010" s="8" t="s">
        <v>22</v>
      </c>
      <c r="K1010" s="8" t="s">
        <v>23</v>
      </c>
      <c r="L1010" s="8" t="s">
        <v>125</v>
      </c>
      <c r="M1010" s="8" t="s">
        <v>126</v>
      </c>
      <c r="N1010" s="8" t="s">
        <v>4789</v>
      </c>
      <c r="O1010" s="8">
        <f>2+38/60+18.9/3600</f>
        <v>2.6385833333333335</v>
      </c>
      <c r="P1010" s="8" t="s">
        <v>4790</v>
      </c>
      <c r="Q1010" s="8">
        <f>+(2+18/60+36/3600)</f>
        <v>2.3099999999999996</v>
      </c>
      <c r="R1010" s="8">
        <v>14.4</v>
      </c>
      <c r="S1010" s="8">
        <v>15.2</v>
      </c>
      <c r="T1010" s="8">
        <v>0.8</v>
      </c>
      <c r="U1010" s="8">
        <v>12.9</v>
      </c>
      <c r="V1010" s="8">
        <v>1.4</v>
      </c>
      <c r="W1010" s="8">
        <v>0.2</v>
      </c>
      <c r="X1010" s="8">
        <v>124</v>
      </c>
      <c r="Y1010" s="8" t="s">
        <v>4791</v>
      </c>
      <c r="Z1010" s="8" t="s">
        <v>4792</v>
      </c>
    </row>
    <row r="1011" spans="1:26" x14ac:dyDescent="0.2">
      <c r="A1011" s="8">
        <v>1010</v>
      </c>
      <c r="B1011" s="8" t="s">
        <v>4793</v>
      </c>
      <c r="C1011" s="8" t="s">
        <v>4793</v>
      </c>
      <c r="F1011" s="47"/>
      <c r="G1011" s="8">
        <v>18</v>
      </c>
      <c r="H1011" s="8" t="s">
        <v>21</v>
      </c>
      <c r="I1011" s="8" t="s">
        <v>22</v>
      </c>
      <c r="J1011" s="8" t="s">
        <v>22</v>
      </c>
      <c r="K1011" s="8" t="s">
        <v>160</v>
      </c>
      <c r="L1011" s="8" t="s">
        <v>125</v>
      </c>
      <c r="M1011" s="8" t="s">
        <v>126</v>
      </c>
      <c r="N1011" s="8" t="s">
        <v>4777</v>
      </c>
      <c r="O1011" s="8">
        <f>2+37/60+34.8/3600</f>
        <v>2.6263333333333332</v>
      </c>
      <c r="P1011" s="8" t="s">
        <v>4778</v>
      </c>
      <c r="Q1011" s="8">
        <f>-(11+1/60+31/3600)</f>
        <v>-11.025277777777779</v>
      </c>
      <c r="R1011" s="8">
        <v>14.1</v>
      </c>
      <c r="S1011" s="8">
        <v>14.8</v>
      </c>
      <c r="T1011" s="8">
        <v>0.7</v>
      </c>
      <c r="U1011" s="8">
        <v>13.5</v>
      </c>
      <c r="V1011" s="8">
        <v>0.8</v>
      </c>
      <c r="W1011" s="8">
        <v>0.8</v>
      </c>
      <c r="Y1011" s="8" t="s">
        <v>4779</v>
      </c>
      <c r="Z1011" s="8" t="s">
        <v>228</v>
      </c>
    </row>
    <row r="1012" spans="1:26" x14ac:dyDescent="0.2">
      <c r="A1012" s="8">
        <v>1011</v>
      </c>
      <c r="B1012" s="8" t="s">
        <v>4794</v>
      </c>
      <c r="C1012" s="8" t="s">
        <v>4794</v>
      </c>
      <c r="F1012" s="47"/>
      <c r="G1012" s="8">
        <v>18</v>
      </c>
      <c r="H1012" s="8" t="s">
        <v>21</v>
      </c>
      <c r="I1012" s="8" t="s">
        <v>22</v>
      </c>
      <c r="J1012" s="8" t="s">
        <v>22</v>
      </c>
      <c r="K1012" s="8" t="s">
        <v>91</v>
      </c>
      <c r="L1012" s="8" t="s">
        <v>125</v>
      </c>
      <c r="M1012" s="8" t="s">
        <v>126</v>
      </c>
      <c r="N1012" s="8" t="s">
        <v>4795</v>
      </c>
      <c r="O1012" s="8">
        <f>2+37/60+38.8/3600</f>
        <v>2.6274444444444445</v>
      </c>
      <c r="P1012" s="8" t="s">
        <v>4796</v>
      </c>
      <c r="Q1012" s="8">
        <f>-(11+0/60+18/3600)</f>
        <v>-11.005000000000001</v>
      </c>
      <c r="R1012" s="8">
        <v>14.3</v>
      </c>
      <c r="S1012" s="8">
        <v>15.2</v>
      </c>
      <c r="T1012" s="8">
        <v>0.9</v>
      </c>
      <c r="U1012" s="8">
        <v>13</v>
      </c>
      <c r="V1012" s="8">
        <v>0.6</v>
      </c>
      <c r="W1012" s="8">
        <v>0.6</v>
      </c>
      <c r="Y1012" s="8" t="s">
        <v>3982</v>
      </c>
      <c r="Z1012" s="8" t="s">
        <v>3983</v>
      </c>
    </row>
    <row r="1013" spans="1:26" x14ac:dyDescent="0.2">
      <c r="A1013" s="8">
        <v>1012</v>
      </c>
      <c r="B1013" s="8" t="s">
        <v>4797</v>
      </c>
      <c r="C1013" s="8" t="s">
        <v>4797</v>
      </c>
      <c r="F1013" s="47" t="s">
        <v>56222</v>
      </c>
      <c r="G1013" s="8">
        <v>6.5</v>
      </c>
      <c r="H1013" s="8" t="s">
        <v>21</v>
      </c>
      <c r="I1013" s="8" t="s">
        <v>22</v>
      </c>
      <c r="J1013" s="8" t="s">
        <v>22</v>
      </c>
      <c r="K1013" s="8" t="s">
        <v>632</v>
      </c>
      <c r="L1013" s="8" t="s">
        <v>3256</v>
      </c>
      <c r="M1013" s="8" t="s">
        <v>3257</v>
      </c>
      <c r="N1013" s="8" t="s">
        <v>4798</v>
      </c>
      <c r="O1013" s="8">
        <f>2+39/60+14.7/3600</f>
        <v>2.6540833333333333</v>
      </c>
      <c r="P1013" s="8" t="s">
        <v>4799</v>
      </c>
      <c r="Q1013" s="8">
        <f>+(30+9/60+5/3600)</f>
        <v>30.151388888888889</v>
      </c>
      <c r="R1013" s="8">
        <v>12</v>
      </c>
      <c r="S1013" s="8">
        <v>12.9</v>
      </c>
      <c r="T1013" s="8">
        <v>0.9</v>
      </c>
      <c r="U1013" s="8">
        <v>12.9</v>
      </c>
      <c r="V1013" s="8">
        <v>2.5</v>
      </c>
      <c r="W1013" s="8">
        <v>1.1000000000000001</v>
      </c>
      <c r="X1013" s="8">
        <v>24</v>
      </c>
      <c r="Y1013" s="8" t="s">
        <v>4800</v>
      </c>
      <c r="Z1013" s="8" t="s">
        <v>4801</v>
      </c>
    </row>
    <row r="1014" spans="1:26" x14ac:dyDescent="0.2">
      <c r="A1014" s="8">
        <v>1013</v>
      </c>
      <c r="B1014" s="8" t="s">
        <v>4802</v>
      </c>
      <c r="C1014" s="8" t="s">
        <v>4802</v>
      </c>
      <c r="F1014" s="47"/>
      <c r="G1014" s="8">
        <v>19</v>
      </c>
      <c r="H1014" s="8" t="s">
        <v>21</v>
      </c>
      <c r="I1014" s="8" t="s">
        <v>22</v>
      </c>
      <c r="J1014" s="8" t="s">
        <v>22</v>
      </c>
      <c r="K1014" s="8" t="s">
        <v>632</v>
      </c>
      <c r="L1014" s="8" t="s">
        <v>125</v>
      </c>
      <c r="M1014" s="8" t="s">
        <v>126</v>
      </c>
      <c r="N1014" s="8" t="s">
        <v>4803</v>
      </c>
      <c r="O1014" s="8">
        <f>2+37/60+50.4/3600</f>
        <v>2.6306666666666665</v>
      </c>
      <c r="P1014" s="8" t="s">
        <v>4804</v>
      </c>
      <c r="Q1014" s="8">
        <f>-(11+30/60+24/3600)</f>
        <v>-11.506666666666666</v>
      </c>
      <c r="R1014" s="8">
        <v>14</v>
      </c>
      <c r="S1014" s="8">
        <v>14.9</v>
      </c>
      <c r="T1014" s="8">
        <v>0.9</v>
      </c>
      <c r="U1014" s="8">
        <v>13.1</v>
      </c>
      <c r="V1014" s="8">
        <v>0.8</v>
      </c>
      <c r="W1014" s="8">
        <v>0.6</v>
      </c>
      <c r="X1014" s="8">
        <v>75</v>
      </c>
      <c r="Y1014" s="8" t="s">
        <v>4805</v>
      </c>
      <c r="Z1014" s="8" t="s">
        <v>4806</v>
      </c>
    </row>
    <row r="1015" spans="1:26" x14ac:dyDescent="0.2">
      <c r="A1015" s="8">
        <v>1014</v>
      </c>
      <c r="B1015" s="8" t="s">
        <v>4807</v>
      </c>
      <c r="C1015" s="8" t="s">
        <v>4807</v>
      </c>
      <c r="F1015" s="47"/>
      <c r="G1015" s="8">
        <v>19</v>
      </c>
      <c r="H1015" s="8" t="s">
        <v>21</v>
      </c>
      <c r="I1015" s="8" t="s">
        <v>72</v>
      </c>
      <c r="J1015" s="8" t="s">
        <v>72</v>
      </c>
      <c r="K1015" s="8" t="s">
        <v>73</v>
      </c>
      <c r="L1015" s="8" t="s">
        <v>125</v>
      </c>
      <c r="M1015" s="8" t="s">
        <v>126</v>
      </c>
      <c r="N1015" s="8" t="s">
        <v>4808</v>
      </c>
      <c r="O1015" s="8">
        <f>2+38/60+0.8/3600</f>
        <v>2.6335555555555556</v>
      </c>
      <c r="P1015" s="8" t="s">
        <v>4809</v>
      </c>
      <c r="Q1015" s="8">
        <f>-(9+34/60+19/3600)</f>
        <v>-9.5719444444444441</v>
      </c>
      <c r="R1015" s="8">
        <v>99</v>
      </c>
      <c r="S1015" s="8">
        <v>99</v>
      </c>
      <c r="T1015" s="8">
        <v>99</v>
      </c>
      <c r="U1015" s="8">
        <v>99</v>
      </c>
      <c r="Y1015" s="8" t="s">
        <v>4810</v>
      </c>
      <c r="Z1015" s="8" t="s">
        <v>4811</v>
      </c>
    </row>
    <row r="1016" spans="1:26" x14ac:dyDescent="0.2">
      <c r="A1016" s="8">
        <v>1015</v>
      </c>
      <c r="B1016" s="8" t="s">
        <v>4812</v>
      </c>
      <c r="C1016" s="8" t="s">
        <v>4812</v>
      </c>
      <c r="F1016" s="47"/>
      <c r="G1016" s="8">
        <v>18</v>
      </c>
      <c r="H1016" s="8" t="s">
        <v>21</v>
      </c>
      <c r="I1016" s="8" t="s">
        <v>22</v>
      </c>
      <c r="J1016" s="8" t="s">
        <v>22</v>
      </c>
      <c r="K1016" s="8" t="s">
        <v>154</v>
      </c>
      <c r="L1016" s="8" t="s">
        <v>125</v>
      </c>
      <c r="M1016" s="8" t="s">
        <v>126</v>
      </c>
      <c r="N1016" s="8" t="s">
        <v>4813</v>
      </c>
      <c r="O1016" s="8">
        <f>2+38/60+11.6/3600</f>
        <v>2.6365555555555553</v>
      </c>
      <c r="P1016" s="8" t="s">
        <v>4814</v>
      </c>
      <c r="Q1016" s="8">
        <f>-(1+19/60+6/3600)</f>
        <v>-1.3183333333333334</v>
      </c>
      <c r="R1016" s="8">
        <v>12.1</v>
      </c>
      <c r="S1016" s="8">
        <v>13</v>
      </c>
      <c r="T1016" s="8">
        <v>0.9</v>
      </c>
      <c r="U1016" s="8">
        <v>13.3</v>
      </c>
      <c r="V1016" s="8">
        <v>2</v>
      </c>
      <c r="W1016" s="8">
        <v>1.7</v>
      </c>
      <c r="X1016" s="8">
        <v>16</v>
      </c>
      <c r="Y1016" s="8" t="s">
        <v>1511</v>
      </c>
      <c r="Z1016" s="8" t="s">
        <v>1512</v>
      </c>
    </row>
    <row r="1017" spans="1:26" x14ac:dyDescent="0.2">
      <c r="A1017" s="8">
        <v>1016</v>
      </c>
      <c r="B1017" s="8" t="s">
        <v>4815</v>
      </c>
      <c r="C1017" s="8" t="s">
        <v>4815</v>
      </c>
      <c r="F1017" s="47"/>
      <c r="G1017" s="8">
        <v>18</v>
      </c>
      <c r="H1017" s="8" t="s">
        <v>21</v>
      </c>
      <c r="I1017" s="8" t="s">
        <v>22</v>
      </c>
      <c r="J1017" s="8" t="s">
        <v>22</v>
      </c>
      <c r="K1017" s="8" t="s">
        <v>460</v>
      </c>
      <c r="L1017" s="8" t="s">
        <v>125</v>
      </c>
      <c r="M1017" s="8" t="s">
        <v>126</v>
      </c>
      <c r="N1017" s="8" t="s">
        <v>4816</v>
      </c>
      <c r="O1017" s="8">
        <f>2+38/60+19.6/3600</f>
        <v>2.6387777777777779</v>
      </c>
      <c r="P1017" s="8" t="s">
        <v>4817</v>
      </c>
      <c r="Q1017" s="8">
        <f>+(2+7/60+9/3600)</f>
        <v>2.1191666666666666</v>
      </c>
      <c r="R1017" s="8">
        <v>11.6</v>
      </c>
      <c r="S1017" s="8">
        <v>12.6</v>
      </c>
      <c r="T1017" s="8">
        <v>1</v>
      </c>
      <c r="U1017" s="8">
        <v>13.5</v>
      </c>
      <c r="V1017" s="8">
        <v>2</v>
      </c>
      <c r="W1017" s="8">
        <v>2</v>
      </c>
      <c r="Y1017" s="8" t="s">
        <v>446</v>
      </c>
      <c r="Z1017" s="8" t="s">
        <v>447</v>
      </c>
    </row>
    <row r="1018" spans="1:26" x14ac:dyDescent="0.2">
      <c r="A1018" s="8">
        <v>1017</v>
      </c>
      <c r="B1018" s="8" t="s">
        <v>4818</v>
      </c>
      <c r="C1018" s="8" t="s">
        <v>4818</v>
      </c>
      <c r="F1018" s="47"/>
      <c r="G1018" s="8">
        <v>19</v>
      </c>
      <c r="H1018" s="8" t="s">
        <v>21</v>
      </c>
      <c r="I1018" s="8" t="s">
        <v>22</v>
      </c>
      <c r="J1018" s="8" t="s">
        <v>22</v>
      </c>
      <c r="K1018" s="8" t="s">
        <v>3616</v>
      </c>
      <c r="L1018" s="8" t="s">
        <v>125</v>
      </c>
      <c r="M1018" s="8" t="s">
        <v>126</v>
      </c>
      <c r="N1018" s="8" t="s">
        <v>4819</v>
      </c>
      <c r="O1018" s="8">
        <f>2+37/60+49.9/3600</f>
        <v>2.630527777777778</v>
      </c>
      <c r="P1018" s="8" t="s">
        <v>4820</v>
      </c>
      <c r="Q1018" s="8">
        <f>-(11+0/60+38/3600)</f>
        <v>-11.010555555555555</v>
      </c>
      <c r="R1018" s="8">
        <v>14.4</v>
      </c>
      <c r="S1018" s="8">
        <v>15</v>
      </c>
      <c r="T1018" s="8">
        <v>0.6</v>
      </c>
      <c r="U1018" s="8">
        <v>13.3</v>
      </c>
      <c r="V1018" s="8">
        <v>0.7</v>
      </c>
      <c r="W1018" s="8">
        <v>0.6</v>
      </c>
      <c r="X1018" s="8">
        <v>50</v>
      </c>
      <c r="Y1018" s="8" t="s">
        <v>369</v>
      </c>
      <c r="Z1018" s="8" t="s">
        <v>370</v>
      </c>
    </row>
    <row r="1019" spans="1:26" x14ac:dyDescent="0.2">
      <c r="A1019" s="8">
        <v>1018</v>
      </c>
      <c r="B1019" s="8" t="s">
        <v>4821</v>
      </c>
      <c r="C1019" s="8" t="s">
        <v>4821</v>
      </c>
      <c r="F1019" s="47"/>
      <c r="G1019" s="8">
        <v>19</v>
      </c>
      <c r="H1019" s="8" t="s">
        <v>21</v>
      </c>
      <c r="I1019" s="8" t="s">
        <v>22</v>
      </c>
      <c r="J1019" s="8" t="s">
        <v>22</v>
      </c>
      <c r="K1019" s="8" t="s">
        <v>435</v>
      </c>
      <c r="L1019" s="8" t="s">
        <v>125</v>
      </c>
      <c r="M1019" s="8" t="s">
        <v>126</v>
      </c>
      <c r="N1019" s="8" t="s">
        <v>4822</v>
      </c>
      <c r="O1019" s="8">
        <f>2+38/60+10.3/3600</f>
        <v>2.6361944444444445</v>
      </c>
      <c r="P1019" s="8" t="s">
        <v>4823</v>
      </c>
      <c r="Q1019" s="8">
        <f>-(9+32/60+39/3600)</f>
        <v>-9.5441666666666674</v>
      </c>
      <c r="R1019" s="8">
        <v>14.8</v>
      </c>
      <c r="S1019" s="8">
        <v>15.7</v>
      </c>
      <c r="T1019" s="8">
        <v>0.9</v>
      </c>
      <c r="U1019" s="8">
        <v>14.1</v>
      </c>
      <c r="V1019" s="8">
        <v>1</v>
      </c>
      <c r="W1019" s="8">
        <v>0.6</v>
      </c>
      <c r="X1019" s="8">
        <v>170</v>
      </c>
      <c r="Y1019" s="8" t="s">
        <v>4824</v>
      </c>
      <c r="Z1019" s="8" t="s">
        <v>4825</v>
      </c>
    </row>
    <row r="1020" spans="1:26" x14ac:dyDescent="0.2">
      <c r="A1020" s="8">
        <v>1019</v>
      </c>
      <c r="B1020" s="8" t="s">
        <v>4826</v>
      </c>
      <c r="C1020" s="8" t="s">
        <v>4826</v>
      </c>
      <c r="F1020" s="47"/>
      <c r="G1020" s="8">
        <v>19</v>
      </c>
      <c r="H1020" s="8" t="s">
        <v>21</v>
      </c>
      <c r="I1020" s="8" t="s">
        <v>22</v>
      </c>
      <c r="J1020" s="8" t="s">
        <v>22</v>
      </c>
      <c r="K1020" s="8" t="s">
        <v>85</v>
      </c>
      <c r="L1020" s="8" t="s">
        <v>125</v>
      </c>
      <c r="M1020" s="8" t="s">
        <v>126</v>
      </c>
      <c r="N1020" s="8" t="s">
        <v>4827</v>
      </c>
      <c r="O1020" s="8">
        <f>2+38/60+27.4/3600</f>
        <v>2.6409444444444445</v>
      </c>
      <c r="P1020" s="8" t="s">
        <v>4828</v>
      </c>
      <c r="Q1020" s="8">
        <f>+(1+54/60+29/3600)</f>
        <v>1.9080555555555554</v>
      </c>
      <c r="R1020" s="8">
        <v>13.5</v>
      </c>
      <c r="S1020" s="8">
        <v>14.3</v>
      </c>
      <c r="T1020" s="8">
        <v>0.8</v>
      </c>
      <c r="U1020" s="8">
        <v>13.3</v>
      </c>
      <c r="V1020" s="8">
        <v>1</v>
      </c>
      <c r="W1020" s="8">
        <v>0.9</v>
      </c>
      <c r="X1020" s="8">
        <v>40</v>
      </c>
      <c r="Y1020" s="8" t="s">
        <v>679</v>
      </c>
      <c r="Z1020" s="8" t="s">
        <v>680</v>
      </c>
    </row>
    <row r="1021" spans="1:26" x14ac:dyDescent="0.2">
      <c r="A1021" s="8">
        <v>1020</v>
      </c>
      <c r="B1021" s="8" t="s">
        <v>4829</v>
      </c>
      <c r="C1021" s="8" t="s">
        <v>4829</v>
      </c>
      <c r="F1021" s="47"/>
      <c r="G1021" s="8">
        <v>18</v>
      </c>
      <c r="H1021" s="8" t="s">
        <v>21</v>
      </c>
      <c r="I1021" s="8" t="s">
        <v>22</v>
      </c>
      <c r="J1021" s="8" t="s">
        <v>22</v>
      </c>
      <c r="K1021" s="8" t="s">
        <v>37</v>
      </c>
      <c r="L1021" s="8" t="s">
        <v>125</v>
      </c>
      <c r="M1021" s="8" t="s">
        <v>126</v>
      </c>
      <c r="N1021" s="8" t="s">
        <v>4830</v>
      </c>
      <c r="O1021" s="8">
        <f>2+38/60+44.3/3600</f>
        <v>2.6456388888888887</v>
      </c>
      <c r="P1021" s="8" t="s">
        <v>4831</v>
      </c>
      <c r="Q1021" s="8">
        <f>+(2+13/60+52/3600)</f>
        <v>2.2311111111111113</v>
      </c>
      <c r="R1021" s="8">
        <v>14.1</v>
      </c>
      <c r="S1021" s="8">
        <v>15.1</v>
      </c>
      <c r="T1021" s="8">
        <v>1</v>
      </c>
      <c r="U1021" s="8">
        <v>12.6</v>
      </c>
      <c r="V1021" s="8">
        <v>0.8</v>
      </c>
      <c r="W1021" s="8">
        <v>0.2</v>
      </c>
      <c r="X1021" s="8">
        <v>20</v>
      </c>
      <c r="Y1021" s="8" t="s">
        <v>266</v>
      </c>
      <c r="Z1021" s="8" t="s">
        <v>267</v>
      </c>
    </row>
    <row r="1022" spans="1:26" x14ac:dyDescent="0.2">
      <c r="A1022" s="8">
        <v>1021</v>
      </c>
      <c r="B1022" s="8" t="s">
        <v>4832</v>
      </c>
      <c r="C1022" s="8" t="s">
        <v>4832</v>
      </c>
      <c r="F1022" s="47"/>
      <c r="G1022" s="8">
        <v>18</v>
      </c>
      <c r="H1022" s="8" t="s">
        <v>21</v>
      </c>
      <c r="I1022" s="8" t="s">
        <v>22</v>
      </c>
      <c r="J1022" s="8" t="s">
        <v>22</v>
      </c>
      <c r="K1022" s="8" t="s">
        <v>396</v>
      </c>
      <c r="L1022" s="8" t="s">
        <v>125</v>
      </c>
      <c r="M1022" s="8" t="s">
        <v>126</v>
      </c>
      <c r="N1022" s="8" t="s">
        <v>4833</v>
      </c>
      <c r="O1022" s="8">
        <f>2+38/60+47.9/3600</f>
        <v>2.646638888888889</v>
      </c>
      <c r="P1022" s="8" t="s">
        <v>4834</v>
      </c>
      <c r="Q1022" s="8">
        <f>+(2+13/60+2/3600)</f>
        <v>2.2172222222222224</v>
      </c>
      <c r="R1022" s="8">
        <v>14.2</v>
      </c>
      <c r="S1022" s="8">
        <v>15</v>
      </c>
      <c r="T1022" s="8">
        <v>0.8</v>
      </c>
      <c r="U1022" s="8">
        <v>13.3</v>
      </c>
      <c r="V1022" s="8">
        <v>0.7</v>
      </c>
      <c r="W1022" s="8">
        <v>0.5</v>
      </c>
      <c r="X1022" s="8">
        <v>160</v>
      </c>
      <c r="Y1022" s="8" t="s">
        <v>745</v>
      </c>
      <c r="Z1022" s="8" t="s">
        <v>746</v>
      </c>
    </row>
    <row r="1023" spans="1:26" x14ac:dyDescent="0.2">
      <c r="A1023" s="8">
        <v>1022</v>
      </c>
      <c r="B1023" s="8" t="s">
        <v>4835</v>
      </c>
      <c r="C1023" s="8" t="s">
        <v>4835</v>
      </c>
      <c r="F1023" s="47" t="s">
        <v>56223</v>
      </c>
      <c r="G1023" s="8">
        <v>6</v>
      </c>
      <c r="H1023" s="8" t="s">
        <v>21</v>
      </c>
      <c r="I1023" s="8" t="s">
        <v>22</v>
      </c>
      <c r="J1023" s="8" t="s">
        <v>22</v>
      </c>
      <c r="K1023" s="8" t="s">
        <v>154</v>
      </c>
      <c r="L1023" s="8" t="s">
        <v>125</v>
      </c>
      <c r="M1023" s="8" t="s">
        <v>126</v>
      </c>
      <c r="N1023" s="8" t="s">
        <v>4836</v>
      </c>
      <c r="O1023" s="8">
        <f>2+38/60+32.5/3600</f>
        <v>2.6423611111111112</v>
      </c>
      <c r="P1023" s="8" t="s">
        <v>4837</v>
      </c>
      <c r="Q1023" s="8">
        <f>-(6+40/60+39/3600)</f>
        <v>-6.6775000000000002</v>
      </c>
      <c r="R1023" s="8">
        <v>11.3</v>
      </c>
      <c r="S1023" s="8">
        <v>12.1</v>
      </c>
      <c r="T1023" s="8">
        <v>0.8</v>
      </c>
      <c r="U1023" s="8">
        <v>12.9</v>
      </c>
      <c r="V1023" s="8">
        <v>2.4</v>
      </c>
      <c r="W1023" s="8">
        <v>2.2000000000000002</v>
      </c>
      <c r="X1023" s="8">
        <v>12</v>
      </c>
      <c r="Y1023" s="8" t="s">
        <v>4838</v>
      </c>
      <c r="Z1023" s="8" t="s">
        <v>4839</v>
      </c>
    </row>
    <row r="1024" spans="1:26" x14ac:dyDescent="0.2">
      <c r="A1024" s="8">
        <v>1023</v>
      </c>
      <c r="B1024" s="8" t="s">
        <v>4840</v>
      </c>
      <c r="C1024" s="8" t="s">
        <v>4840</v>
      </c>
      <c r="F1024" s="47" t="s">
        <v>56224</v>
      </c>
      <c r="G1024" s="8">
        <v>5</v>
      </c>
      <c r="H1024" s="8" t="s">
        <v>4841</v>
      </c>
      <c r="I1024" s="8" t="s">
        <v>22</v>
      </c>
      <c r="J1024" s="8" t="s">
        <v>22</v>
      </c>
      <c r="K1024" s="8" t="s">
        <v>118</v>
      </c>
      <c r="L1024" s="8" t="s">
        <v>3147</v>
      </c>
      <c r="M1024" s="8" t="s">
        <v>3148</v>
      </c>
      <c r="N1024" s="8" t="s">
        <v>4842</v>
      </c>
      <c r="O1024" s="8">
        <f>2+40/60+24.1/3600</f>
        <v>2.6733611111111109</v>
      </c>
      <c r="P1024" s="8" t="s">
        <v>4843</v>
      </c>
      <c r="Q1024" s="8">
        <f>+(39+3/60+48/3600)</f>
        <v>39.063333333333333</v>
      </c>
      <c r="R1024" s="8">
        <v>9.4</v>
      </c>
      <c r="S1024" s="8">
        <v>10.4</v>
      </c>
      <c r="T1024" s="8">
        <v>1</v>
      </c>
      <c r="U1024" s="8">
        <v>12.8</v>
      </c>
      <c r="V1024" s="8">
        <v>7.4</v>
      </c>
      <c r="W1024" s="8">
        <v>2.5</v>
      </c>
      <c r="X1024" s="8">
        <v>87</v>
      </c>
      <c r="Y1024" s="8" t="s">
        <v>4844</v>
      </c>
      <c r="Z1024" s="8" t="s">
        <v>4845</v>
      </c>
    </row>
    <row r="1025" spans="1:26" x14ac:dyDescent="0.2">
      <c r="A1025" s="8">
        <v>1024</v>
      </c>
      <c r="B1025" s="8" t="s">
        <v>4846</v>
      </c>
      <c r="C1025" s="8" t="s">
        <v>4846</v>
      </c>
      <c r="F1025" s="47" t="s">
        <v>56225</v>
      </c>
      <c r="G1025" s="8">
        <v>15</v>
      </c>
      <c r="H1025" s="8" t="s">
        <v>21</v>
      </c>
      <c r="I1025" s="8" t="s">
        <v>22</v>
      </c>
      <c r="J1025" s="8" t="s">
        <v>22</v>
      </c>
      <c r="K1025" s="8" t="s">
        <v>31</v>
      </c>
      <c r="L1025" s="8" t="s">
        <v>3256</v>
      </c>
      <c r="M1025" s="8" t="s">
        <v>3257</v>
      </c>
      <c r="N1025" s="8" t="s">
        <v>4847</v>
      </c>
      <c r="O1025" s="8">
        <f>2+39/60+11.8/3600</f>
        <v>2.6532777777777778</v>
      </c>
      <c r="P1025" s="8" t="s">
        <v>4848</v>
      </c>
      <c r="Q1025" s="8">
        <f>+(10+50/60+52/3600)</f>
        <v>10.847777777777779</v>
      </c>
      <c r="R1025" s="8">
        <v>12.1</v>
      </c>
      <c r="S1025" s="8">
        <v>13.1</v>
      </c>
      <c r="T1025" s="8">
        <v>1</v>
      </c>
      <c r="U1025" s="8">
        <v>13.8</v>
      </c>
      <c r="V1025" s="8">
        <v>3.9</v>
      </c>
      <c r="W1025" s="8">
        <v>1.5</v>
      </c>
      <c r="X1025" s="8">
        <v>155</v>
      </c>
      <c r="Y1025" s="8" t="s">
        <v>4849</v>
      </c>
      <c r="Z1025" s="8" t="s">
        <v>4850</v>
      </c>
    </row>
    <row r="1026" spans="1:26" x14ac:dyDescent="0.2">
      <c r="A1026" s="8">
        <v>1025</v>
      </c>
      <c r="B1026" s="8" t="s">
        <v>4851</v>
      </c>
      <c r="C1026" s="8" t="s">
        <v>4851</v>
      </c>
      <c r="F1026" s="47"/>
      <c r="G1026" s="8">
        <v>16</v>
      </c>
      <c r="H1026" s="8" t="s">
        <v>21</v>
      </c>
      <c r="I1026" s="8" t="s">
        <v>22</v>
      </c>
      <c r="J1026" s="8" t="s">
        <v>22</v>
      </c>
      <c r="K1026" s="8" t="s">
        <v>218</v>
      </c>
      <c r="L1026" s="8" t="s">
        <v>4263</v>
      </c>
      <c r="M1026" s="8" t="s">
        <v>4264</v>
      </c>
      <c r="N1026" s="8" t="s">
        <v>4852</v>
      </c>
      <c r="O1026" s="8">
        <f>2+36/60+19.9/3600</f>
        <v>2.6055277777777777</v>
      </c>
      <c r="P1026" s="8" t="s">
        <v>4853</v>
      </c>
      <c r="Q1026" s="8">
        <f>-(54+51/60+49/3600)</f>
        <v>-54.863611111111112</v>
      </c>
      <c r="R1026" s="8">
        <v>13.1</v>
      </c>
      <c r="S1026" s="8">
        <v>13.8</v>
      </c>
      <c r="T1026" s="8">
        <v>0.7</v>
      </c>
      <c r="U1026" s="8">
        <v>12.9</v>
      </c>
      <c r="V1026" s="8">
        <v>0.9</v>
      </c>
      <c r="W1026" s="8">
        <v>0.5</v>
      </c>
      <c r="X1026" s="8">
        <v>6</v>
      </c>
      <c r="Y1026" s="8" t="s">
        <v>4854</v>
      </c>
      <c r="Z1026" s="8" t="s">
        <v>4855</v>
      </c>
    </row>
    <row r="1027" spans="1:26" x14ac:dyDescent="0.2">
      <c r="A1027" s="8">
        <v>1026</v>
      </c>
      <c r="B1027" s="8" t="s">
        <v>4856</v>
      </c>
      <c r="C1027" s="8" t="s">
        <v>4856</v>
      </c>
      <c r="F1027" s="47"/>
      <c r="G1027" s="8">
        <v>18</v>
      </c>
      <c r="H1027" s="8" t="s">
        <v>21</v>
      </c>
      <c r="I1027" s="8" t="s">
        <v>22</v>
      </c>
      <c r="J1027" s="8" t="s">
        <v>22</v>
      </c>
      <c r="K1027" s="8" t="s">
        <v>37</v>
      </c>
      <c r="L1027" s="8" t="s">
        <v>125</v>
      </c>
      <c r="M1027" s="8" t="s">
        <v>126</v>
      </c>
      <c r="N1027" s="8" t="s">
        <v>4857</v>
      </c>
      <c r="O1027" s="8">
        <f>2+39/60+19.2/3600</f>
        <v>2.6553333333333331</v>
      </c>
      <c r="P1027" s="8" t="s">
        <v>4858</v>
      </c>
      <c r="Q1027" s="8">
        <f>+(6+32/60+40/3600)</f>
        <v>6.5444444444444443</v>
      </c>
      <c r="R1027" s="8">
        <v>12.6</v>
      </c>
      <c r="S1027" s="8">
        <v>13.6</v>
      </c>
      <c r="T1027" s="8">
        <v>1</v>
      </c>
      <c r="U1027" s="8">
        <v>13.3</v>
      </c>
      <c r="V1027" s="8">
        <v>1.7</v>
      </c>
      <c r="W1027" s="8">
        <v>1.3</v>
      </c>
      <c r="X1027" s="8">
        <v>114</v>
      </c>
      <c r="Y1027" s="8" t="s">
        <v>4859</v>
      </c>
      <c r="Z1027" s="8" t="s">
        <v>4860</v>
      </c>
    </row>
    <row r="1028" spans="1:26" x14ac:dyDescent="0.2">
      <c r="A1028" s="8">
        <v>1027</v>
      </c>
      <c r="B1028" s="8" t="s">
        <v>4861</v>
      </c>
      <c r="C1028" s="8" t="s">
        <v>4861</v>
      </c>
      <c r="F1028" s="47" t="s">
        <v>56226</v>
      </c>
      <c r="G1028" s="8">
        <v>5</v>
      </c>
      <c r="H1028" s="8" t="s">
        <v>21</v>
      </c>
      <c r="I1028" s="8" t="s">
        <v>557</v>
      </c>
      <c r="J1028" s="8" t="s">
        <v>557</v>
      </c>
      <c r="K1028" s="8" t="s">
        <v>987</v>
      </c>
      <c r="L1028" s="8" t="s">
        <v>559</v>
      </c>
      <c r="M1028" s="8" t="s">
        <v>560</v>
      </c>
      <c r="N1028" s="8" t="s">
        <v>4862</v>
      </c>
      <c r="O1028" s="8">
        <f>2+42/60+36/3600</f>
        <v>2.71</v>
      </c>
      <c r="P1028" s="8" t="s">
        <v>4863</v>
      </c>
      <c r="Q1028" s="8">
        <f>+(61+35/60+42/3600)</f>
        <v>61.594999999999999</v>
      </c>
      <c r="R1028" s="8">
        <v>6.7</v>
      </c>
      <c r="S1028" s="8">
        <v>99</v>
      </c>
      <c r="T1028" s="8">
        <v>99</v>
      </c>
      <c r="U1028" s="8">
        <v>99</v>
      </c>
      <c r="V1028" s="8">
        <v>15</v>
      </c>
      <c r="Y1028" s="8" t="s">
        <v>4864</v>
      </c>
      <c r="Z1028" s="8" t="s">
        <v>4865</v>
      </c>
    </row>
    <row r="1029" spans="1:26" x14ac:dyDescent="0.2">
      <c r="A1029" s="8">
        <v>1028</v>
      </c>
      <c r="B1029" s="8" t="s">
        <v>4866</v>
      </c>
      <c r="C1029" s="8" t="s">
        <v>4866</v>
      </c>
      <c r="F1029" s="47"/>
      <c r="G1029" s="8">
        <v>18</v>
      </c>
      <c r="H1029" s="8" t="s">
        <v>21</v>
      </c>
      <c r="I1029" s="8" t="s">
        <v>22</v>
      </c>
      <c r="J1029" s="8" t="s">
        <v>22</v>
      </c>
      <c r="K1029" s="8" t="s">
        <v>64</v>
      </c>
      <c r="L1029" s="8" t="s">
        <v>3256</v>
      </c>
      <c r="M1029" s="8" t="s">
        <v>3257</v>
      </c>
      <c r="N1029" s="8" t="s">
        <v>4867</v>
      </c>
      <c r="O1029" s="8">
        <f>2+39/60+37.1/3600</f>
        <v>2.6603055555555555</v>
      </c>
      <c r="P1029" s="8" t="s">
        <v>4868</v>
      </c>
      <c r="Q1029" s="8">
        <f>+(10+50/60+36/3600)</f>
        <v>10.843333333333334</v>
      </c>
      <c r="R1029" s="8">
        <v>14.8</v>
      </c>
      <c r="S1029" s="8">
        <v>15.5</v>
      </c>
      <c r="T1029" s="8">
        <v>0.7</v>
      </c>
      <c r="U1029" s="8">
        <v>13.2</v>
      </c>
      <c r="V1029" s="8">
        <v>0.9</v>
      </c>
      <c r="W1029" s="8">
        <v>0.3</v>
      </c>
      <c r="X1029" s="8">
        <v>15</v>
      </c>
      <c r="Y1029" s="8" t="s">
        <v>47</v>
      </c>
      <c r="Z1029" s="8" t="s">
        <v>48</v>
      </c>
    </row>
    <row r="1030" spans="1:26" x14ac:dyDescent="0.2">
      <c r="A1030" s="8">
        <v>1029</v>
      </c>
      <c r="B1030" s="8" t="s">
        <v>4869</v>
      </c>
      <c r="C1030" s="8" t="s">
        <v>4869</v>
      </c>
      <c r="F1030" s="47"/>
      <c r="G1030" s="8">
        <v>18</v>
      </c>
      <c r="H1030" s="8" t="s">
        <v>21</v>
      </c>
      <c r="I1030" s="8" t="s">
        <v>22</v>
      </c>
      <c r="J1030" s="8" t="s">
        <v>22</v>
      </c>
      <c r="K1030" s="8" t="s">
        <v>632</v>
      </c>
      <c r="L1030" s="8" t="s">
        <v>3256</v>
      </c>
      <c r="M1030" s="8" t="s">
        <v>3257</v>
      </c>
      <c r="N1030" s="8" t="s">
        <v>4870</v>
      </c>
      <c r="O1030" s="8">
        <f>2+39/60+36.4/3600</f>
        <v>2.6601111111111111</v>
      </c>
      <c r="P1030" s="8" t="s">
        <v>4871</v>
      </c>
      <c r="Q1030" s="8">
        <f>+(10+47/60+36/3600)</f>
        <v>10.793333333333333</v>
      </c>
      <c r="R1030" s="8">
        <v>13.2</v>
      </c>
      <c r="S1030" s="8">
        <v>14.1</v>
      </c>
      <c r="T1030" s="8">
        <v>0.9</v>
      </c>
      <c r="U1030" s="8">
        <v>12.5</v>
      </c>
      <c r="V1030" s="8">
        <v>1.4</v>
      </c>
      <c r="W1030" s="8">
        <v>0.4</v>
      </c>
      <c r="X1030" s="8">
        <v>70</v>
      </c>
      <c r="Y1030" s="8" t="s">
        <v>3977</v>
      </c>
      <c r="Z1030" s="8" t="s">
        <v>3978</v>
      </c>
    </row>
    <row r="1031" spans="1:26" x14ac:dyDescent="0.2">
      <c r="A1031" s="8">
        <v>1030</v>
      </c>
      <c r="B1031" s="8" t="s">
        <v>4872</v>
      </c>
      <c r="C1031" s="8" t="s">
        <v>4872</v>
      </c>
      <c r="F1031" s="47" t="s">
        <v>56227</v>
      </c>
      <c r="G1031" s="8">
        <v>15</v>
      </c>
      <c r="H1031" s="8" t="s">
        <v>21</v>
      </c>
      <c r="I1031" s="8" t="s">
        <v>22</v>
      </c>
      <c r="J1031" s="8" t="s">
        <v>22</v>
      </c>
      <c r="K1031" s="8" t="s">
        <v>396</v>
      </c>
      <c r="L1031" s="8" t="s">
        <v>3256</v>
      </c>
      <c r="M1031" s="8" t="s">
        <v>3257</v>
      </c>
      <c r="N1031" s="8" t="s">
        <v>4873</v>
      </c>
      <c r="O1031" s="8">
        <f>2+39/60+50.5/3600</f>
        <v>2.6640277777777777</v>
      </c>
      <c r="P1031" s="8" t="s">
        <v>4874</v>
      </c>
      <c r="Q1031" s="8">
        <f>+(18+1/60+26/3600)</f>
        <v>18.023888888888887</v>
      </c>
      <c r="R1031" s="8">
        <v>13.3</v>
      </c>
      <c r="S1031" s="8">
        <v>14.1</v>
      </c>
      <c r="T1031" s="8">
        <v>0.8</v>
      </c>
      <c r="U1031" s="8">
        <v>13.3</v>
      </c>
      <c r="V1031" s="8">
        <v>1.6</v>
      </c>
      <c r="W1031" s="8">
        <v>0.7</v>
      </c>
      <c r="X1031" s="8">
        <v>8</v>
      </c>
      <c r="Y1031" s="8" t="s">
        <v>4875</v>
      </c>
      <c r="Z1031" s="8" t="s">
        <v>4876</v>
      </c>
    </row>
    <row r="1032" spans="1:26" x14ac:dyDescent="0.2">
      <c r="A1032" s="8">
        <v>1031</v>
      </c>
      <c r="B1032" s="8" t="s">
        <v>4877</v>
      </c>
      <c r="C1032" s="8" t="s">
        <v>4877</v>
      </c>
      <c r="F1032" s="47"/>
      <c r="G1032" s="8">
        <v>16</v>
      </c>
      <c r="H1032" s="8" t="s">
        <v>21</v>
      </c>
      <c r="I1032" s="8" t="s">
        <v>22</v>
      </c>
      <c r="J1032" s="8" t="s">
        <v>22</v>
      </c>
      <c r="K1032" s="8" t="s">
        <v>154</v>
      </c>
      <c r="L1032" s="8" t="s">
        <v>4263</v>
      </c>
      <c r="M1032" s="8" t="s">
        <v>4264</v>
      </c>
      <c r="N1032" s="8" t="s">
        <v>4878</v>
      </c>
      <c r="O1032" s="8">
        <f>2+36/60+38.6/3600</f>
        <v>2.6107222222222224</v>
      </c>
      <c r="P1032" s="8" t="s">
        <v>4879</v>
      </c>
      <c r="Q1032" s="8">
        <f>-(54+51/60+32/3600)</f>
        <v>-54.858888888888892</v>
      </c>
      <c r="R1032" s="8">
        <v>12.5</v>
      </c>
      <c r="S1032" s="8">
        <v>13.4</v>
      </c>
      <c r="T1032" s="8">
        <v>0.9</v>
      </c>
      <c r="U1032" s="8">
        <v>13.2</v>
      </c>
      <c r="V1032" s="8">
        <v>1.9</v>
      </c>
      <c r="W1032" s="8">
        <v>1.1000000000000001</v>
      </c>
      <c r="X1032" s="8">
        <v>23</v>
      </c>
      <c r="Y1032" s="8" t="s">
        <v>4880</v>
      </c>
      <c r="Z1032" s="8" t="s">
        <v>4881</v>
      </c>
    </row>
    <row r="1033" spans="1:26" x14ac:dyDescent="0.2">
      <c r="A1033" s="8">
        <v>1032</v>
      </c>
      <c r="B1033" s="8" t="s">
        <v>4882</v>
      </c>
      <c r="C1033" s="8" t="s">
        <v>4882</v>
      </c>
      <c r="F1033" s="47" t="s">
        <v>56228</v>
      </c>
      <c r="G1033" s="8">
        <v>6.5</v>
      </c>
      <c r="H1033" s="8" t="s">
        <v>21</v>
      </c>
      <c r="I1033" s="8" t="s">
        <v>22</v>
      </c>
      <c r="J1033" s="8" t="s">
        <v>22</v>
      </c>
      <c r="K1033" s="8" t="s">
        <v>632</v>
      </c>
      <c r="L1033" s="8" t="s">
        <v>125</v>
      </c>
      <c r="M1033" s="8" t="s">
        <v>126</v>
      </c>
      <c r="N1033" s="8" t="s">
        <v>4883</v>
      </c>
      <c r="O1033" s="8">
        <f>2+39/60+23.6/3600</f>
        <v>2.6565555555555553</v>
      </c>
      <c r="P1033" s="8" t="s">
        <v>4884</v>
      </c>
      <c r="Q1033" s="8">
        <f>+(1+5/60+38/3600)</f>
        <v>1.0938888888888889</v>
      </c>
      <c r="R1033" s="8">
        <v>11.6</v>
      </c>
      <c r="S1033" s="8">
        <v>12.6</v>
      </c>
      <c r="T1033" s="8">
        <v>1</v>
      </c>
      <c r="U1033" s="8">
        <v>12.9</v>
      </c>
      <c r="V1033" s="8">
        <v>3.4</v>
      </c>
      <c r="W1033" s="8">
        <v>1.1000000000000001</v>
      </c>
      <c r="X1033" s="8">
        <v>68</v>
      </c>
      <c r="Y1033" s="8" t="s">
        <v>4885</v>
      </c>
      <c r="Z1033" s="8" t="s">
        <v>4886</v>
      </c>
    </row>
    <row r="1034" spans="1:26" x14ac:dyDescent="0.2">
      <c r="A1034" s="8">
        <v>1033</v>
      </c>
      <c r="B1034" s="8" t="s">
        <v>4887</v>
      </c>
      <c r="C1034" s="8" t="s">
        <v>4887</v>
      </c>
      <c r="F1034" s="47"/>
      <c r="G1034" s="8">
        <v>19</v>
      </c>
      <c r="H1034" s="8" t="s">
        <v>21</v>
      </c>
      <c r="I1034" s="8" t="s">
        <v>22</v>
      </c>
      <c r="J1034" s="8" t="s">
        <v>22</v>
      </c>
      <c r="K1034" s="8" t="s">
        <v>160</v>
      </c>
      <c r="L1034" s="8" t="s">
        <v>125</v>
      </c>
      <c r="M1034" s="8" t="s">
        <v>126</v>
      </c>
      <c r="N1034" s="8" t="s">
        <v>4888</v>
      </c>
      <c r="O1034" s="8">
        <f>2+40/60+16.1/3600</f>
        <v>2.6711388888888887</v>
      </c>
      <c r="P1034" s="8" t="s">
        <v>4889</v>
      </c>
      <c r="Q1034" s="8">
        <f>-(8+46/60+35/3600)</f>
        <v>-8.7763888888888903</v>
      </c>
      <c r="R1034" s="8">
        <v>13.8</v>
      </c>
      <c r="S1034" s="8">
        <v>14.5</v>
      </c>
      <c r="T1034" s="8">
        <v>0.7</v>
      </c>
      <c r="U1034" s="8">
        <v>13.8</v>
      </c>
      <c r="V1034" s="8">
        <v>1.2</v>
      </c>
      <c r="W1034" s="8">
        <v>1</v>
      </c>
      <c r="X1034" s="8">
        <v>0</v>
      </c>
      <c r="Y1034" s="8" t="s">
        <v>4890</v>
      </c>
      <c r="Z1034" s="8" t="s">
        <v>4891</v>
      </c>
    </row>
    <row r="1035" spans="1:26" x14ac:dyDescent="0.2">
      <c r="A1035" s="8">
        <v>1034</v>
      </c>
      <c r="B1035" s="8" t="s">
        <v>4892</v>
      </c>
      <c r="C1035" s="8" t="s">
        <v>4892</v>
      </c>
      <c r="F1035" s="47"/>
      <c r="G1035" s="8">
        <v>19</v>
      </c>
      <c r="H1035" s="8" t="s">
        <v>21</v>
      </c>
      <c r="I1035" s="8" t="s">
        <v>22</v>
      </c>
      <c r="J1035" s="8" t="s">
        <v>22</v>
      </c>
      <c r="K1035" s="8" t="s">
        <v>4219</v>
      </c>
      <c r="L1035" s="8" t="s">
        <v>125</v>
      </c>
      <c r="M1035" s="8" t="s">
        <v>126</v>
      </c>
      <c r="N1035" s="8" t="s">
        <v>4893</v>
      </c>
      <c r="O1035" s="8">
        <f>2+38/60+13.9/3600</f>
        <v>2.6371944444444444</v>
      </c>
      <c r="P1035" s="8" t="s">
        <v>4894</v>
      </c>
      <c r="Q1035" s="8">
        <f>-(15+48/60+33/3600)</f>
        <v>-15.809166666666668</v>
      </c>
      <c r="R1035" s="8">
        <v>14</v>
      </c>
      <c r="S1035" s="8">
        <v>14.6</v>
      </c>
      <c r="T1035" s="8">
        <v>0.6</v>
      </c>
      <c r="U1035" s="8">
        <v>13.2</v>
      </c>
      <c r="V1035" s="8">
        <v>0.8</v>
      </c>
      <c r="W1035" s="8">
        <v>0.7</v>
      </c>
      <c r="X1035" s="8">
        <v>142</v>
      </c>
      <c r="Y1035" s="8" t="s">
        <v>4895</v>
      </c>
      <c r="Z1035" s="8" t="s">
        <v>4896</v>
      </c>
    </row>
    <row r="1036" spans="1:26" x14ac:dyDescent="0.2">
      <c r="A1036" s="8">
        <v>1035</v>
      </c>
      <c r="B1036" s="8" t="s">
        <v>4897</v>
      </c>
      <c r="C1036" s="8" t="s">
        <v>4897</v>
      </c>
      <c r="F1036" s="47" t="s">
        <v>56229</v>
      </c>
      <c r="G1036" s="8">
        <v>6.5</v>
      </c>
      <c r="H1036" s="8" t="s">
        <v>21</v>
      </c>
      <c r="I1036" s="8" t="s">
        <v>22</v>
      </c>
      <c r="J1036" s="8" t="s">
        <v>22</v>
      </c>
      <c r="K1036" s="8" t="s">
        <v>160</v>
      </c>
      <c r="L1036" s="8" t="s">
        <v>125</v>
      </c>
      <c r="M1036" s="8" t="s">
        <v>126</v>
      </c>
      <c r="N1036" s="8" t="s">
        <v>4898</v>
      </c>
      <c r="O1036" s="8">
        <f>2+39/60+29/3600</f>
        <v>2.6580555555555554</v>
      </c>
      <c r="P1036" s="8" t="s">
        <v>4899</v>
      </c>
      <c r="Q1036" s="8">
        <f>-(8+7/60+57/3600)</f>
        <v>-8.1325000000000003</v>
      </c>
      <c r="R1036" s="8">
        <v>12.2</v>
      </c>
      <c r="S1036" s="8">
        <v>12.9</v>
      </c>
      <c r="T1036" s="8">
        <v>0.7</v>
      </c>
      <c r="U1036" s="8">
        <v>12.5</v>
      </c>
      <c r="V1036" s="8">
        <v>2.2000000000000002</v>
      </c>
      <c r="W1036" s="8">
        <v>0.6</v>
      </c>
      <c r="X1036" s="8">
        <v>150</v>
      </c>
      <c r="Y1036" s="8" t="s">
        <v>4900</v>
      </c>
      <c r="Z1036" s="8" t="s">
        <v>4901</v>
      </c>
    </row>
    <row r="1037" spans="1:26" x14ac:dyDescent="0.2">
      <c r="A1037" s="8">
        <v>1036</v>
      </c>
      <c r="B1037" s="8" t="s">
        <v>4902</v>
      </c>
      <c r="C1037" s="8" t="s">
        <v>4902</v>
      </c>
      <c r="F1037" s="47" t="s">
        <v>56230</v>
      </c>
      <c r="G1037" s="8">
        <v>15</v>
      </c>
      <c r="H1037" s="8" t="s">
        <v>21</v>
      </c>
      <c r="I1037" s="8" t="s">
        <v>22</v>
      </c>
      <c r="J1037" s="8" t="s">
        <v>22</v>
      </c>
      <c r="K1037" s="8" t="s">
        <v>1174</v>
      </c>
      <c r="L1037" s="8" t="s">
        <v>3256</v>
      </c>
      <c r="M1037" s="8" t="s">
        <v>3257</v>
      </c>
      <c r="N1037" s="8" t="s">
        <v>4903</v>
      </c>
      <c r="O1037" s="8">
        <f>2+40/60+29/3600</f>
        <v>2.674722222222222</v>
      </c>
      <c r="P1037" s="8" t="s">
        <v>4904</v>
      </c>
      <c r="Q1037" s="8">
        <f>+(19+17/60+49/3600)</f>
        <v>19.296944444444446</v>
      </c>
      <c r="R1037" s="8">
        <v>13.2</v>
      </c>
      <c r="S1037" s="8">
        <v>13.8</v>
      </c>
      <c r="T1037" s="8">
        <v>0.6</v>
      </c>
      <c r="U1037" s="8">
        <v>13.6</v>
      </c>
      <c r="V1037" s="8">
        <v>1.5</v>
      </c>
      <c r="W1037" s="8">
        <v>1.1000000000000001</v>
      </c>
      <c r="X1037" s="8">
        <v>2</v>
      </c>
      <c r="Y1037" s="8" t="s">
        <v>972</v>
      </c>
      <c r="Z1037" s="8" t="s">
        <v>973</v>
      </c>
    </row>
    <row r="1038" spans="1:26" x14ac:dyDescent="0.2">
      <c r="A1038" s="8">
        <v>1037</v>
      </c>
      <c r="B1038" s="8" t="s">
        <v>4905</v>
      </c>
      <c r="C1038" s="8" t="s">
        <v>4905</v>
      </c>
      <c r="F1038" s="47"/>
      <c r="G1038" s="8">
        <v>19</v>
      </c>
      <c r="H1038" s="8" t="s">
        <v>21</v>
      </c>
      <c r="I1038" s="8" t="s">
        <v>329</v>
      </c>
      <c r="J1038" s="8" t="s">
        <v>329</v>
      </c>
      <c r="K1038" s="8" t="s">
        <v>329</v>
      </c>
      <c r="L1038" s="8" t="s">
        <v>125</v>
      </c>
      <c r="M1038" s="8" t="s">
        <v>126</v>
      </c>
      <c r="N1038" s="8" t="s">
        <v>4906</v>
      </c>
      <c r="O1038" s="8">
        <f>2+39/60+58.3/3600</f>
        <v>2.6661944444444443</v>
      </c>
      <c r="P1038" s="8" t="s">
        <v>4907</v>
      </c>
      <c r="Q1038" s="8">
        <f>-(1+44/60+3/3600)</f>
        <v>-1.7341666666666666</v>
      </c>
      <c r="R1038" s="8">
        <v>99</v>
      </c>
      <c r="S1038" s="8">
        <v>99</v>
      </c>
      <c r="T1038" s="8">
        <v>99</v>
      </c>
      <c r="U1038" s="8">
        <v>99</v>
      </c>
      <c r="Y1038" s="8" t="s">
        <v>4908</v>
      </c>
      <c r="Z1038" s="8" t="s">
        <v>4909</v>
      </c>
    </row>
    <row r="1039" spans="1:26" x14ac:dyDescent="0.2">
      <c r="A1039" s="8">
        <v>1038</v>
      </c>
      <c r="B1039" s="8" t="s">
        <v>4910</v>
      </c>
      <c r="C1039" s="8" t="s">
        <v>4910</v>
      </c>
      <c r="F1039" s="47"/>
      <c r="G1039" s="8">
        <v>19</v>
      </c>
      <c r="H1039" s="8" t="s">
        <v>21</v>
      </c>
      <c r="I1039" s="8" t="s">
        <v>22</v>
      </c>
      <c r="J1039" s="8" t="s">
        <v>22</v>
      </c>
      <c r="K1039" s="8" t="s">
        <v>632</v>
      </c>
      <c r="L1039" s="8" t="s">
        <v>125</v>
      </c>
      <c r="M1039" s="8" t="s">
        <v>126</v>
      </c>
      <c r="N1039" s="8" t="s">
        <v>4911</v>
      </c>
      <c r="O1039" s="8">
        <f>2+40/60+6.3/3600</f>
        <v>2.6684166666666664</v>
      </c>
      <c r="P1039" s="8" t="s">
        <v>4912</v>
      </c>
      <c r="Q1039" s="8">
        <f>+(1+30/60+34/3600)</f>
        <v>1.5094444444444444</v>
      </c>
      <c r="R1039" s="8">
        <v>13.4</v>
      </c>
      <c r="S1039" s="8">
        <v>14.3</v>
      </c>
      <c r="T1039" s="8">
        <v>0.9</v>
      </c>
      <c r="U1039" s="8">
        <v>12.4</v>
      </c>
      <c r="V1039" s="8">
        <v>1.2</v>
      </c>
      <c r="W1039" s="8">
        <v>0.4</v>
      </c>
      <c r="X1039" s="8">
        <v>61</v>
      </c>
      <c r="Y1039" s="8" t="s">
        <v>4913</v>
      </c>
      <c r="Z1039" s="8" t="s">
        <v>4914</v>
      </c>
    </row>
    <row r="1040" spans="1:26" x14ac:dyDescent="0.2">
      <c r="A1040" s="8">
        <v>1039</v>
      </c>
      <c r="B1040" s="8" t="s">
        <v>4915</v>
      </c>
      <c r="C1040" s="8" t="s">
        <v>55868</v>
      </c>
      <c r="F1040" s="47"/>
      <c r="G1040" s="8">
        <v>1</v>
      </c>
      <c r="H1040" s="8" t="s">
        <v>4916</v>
      </c>
      <c r="I1040" s="8" t="s">
        <v>557</v>
      </c>
      <c r="J1040" s="8" t="s">
        <v>557</v>
      </c>
      <c r="K1040" s="8" t="s">
        <v>3170</v>
      </c>
      <c r="L1040" s="8" t="s">
        <v>3147</v>
      </c>
      <c r="M1040" s="8" t="s">
        <v>3148</v>
      </c>
      <c r="N1040" s="8" t="s">
        <v>4917</v>
      </c>
      <c r="O1040" s="8">
        <f>2+42/60+5/3600</f>
        <v>2.7013888888888893</v>
      </c>
      <c r="P1040" s="8" t="s">
        <v>4918</v>
      </c>
      <c r="Q1040" s="8">
        <f>+(42+45/60+42/3600)</f>
        <v>42.761666666666663</v>
      </c>
      <c r="R1040" s="8">
        <v>5.2</v>
      </c>
      <c r="S1040" s="8">
        <v>99</v>
      </c>
      <c r="T1040" s="8">
        <v>99</v>
      </c>
      <c r="U1040" s="8">
        <v>99</v>
      </c>
      <c r="V1040" s="8">
        <v>25</v>
      </c>
      <c r="Y1040" s="8" t="s">
        <v>4919</v>
      </c>
      <c r="Z1040" s="8" t="s">
        <v>4920</v>
      </c>
    </row>
    <row r="1041" spans="1:26" x14ac:dyDescent="0.2">
      <c r="A1041" s="8">
        <v>1040</v>
      </c>
      <c r="B1041" s="8" t="s">
        <v>4921</v>
      </c>
      <c r="C1041" s="8" t="s">
        <v>4921</v>
      </c>
      <c r="E1041" s="8">
        <v>1</v>
      </c>
      <c r="F1041" s="47"/>
      <c r="G1041" s="8">
        <v>18</v>
      </c>
      <c r="H1041" s="8" t="s">
        <v>21</v>
      </c>
      <c r="I1041" s="8" t="s">
        <v>22</v>
      </c>
      <c r="J1041" s="8" t="s">
        <v>22</v>
      </c>
      <c r="K1041" s="8" t="s">
        <v>37</v>
      </c>
      <c r="L1041" s="8" t="s">
        <v>3147</v>
      </c>
      <c r="M1041" s="8" t="s">
        <v>3148</v>
      </c>
      <c r="N1041" s="8" t="s">
        <v>4922</v>
      </c>
      <c r="O1041" s="8">
        <f>2+43/60+12.5/3600</f>
        <v>2.7201388888888891</v>
      </c>
      <c r="P1041" s="8" t="s">
        <v>4923</v>
      </c>
      <c r="Q1041" s="8">
        <f>+(41+30/60+1/3600)</f>
        <v>41.500277777777775</v>
      </c>
      <c r="R1041" s="8">
        <v>12.9</v>
      </c>
      <c r="S1041" s="8">
        <v>13.9</v>
      </c>
      <c r="T1041" s="8">
        <v>1</v>
      </c>
      <c r="U1041" s="8">
        <v>13.1</v>
      </c>
      <c r="V1041" s="8">
        <v>1.7</v>
      </c>
      <c r="W1041" s="8">
        <v>0.8</v>
      </c>
      <c r="X1041" s="8">
        <v>40</v>
      </c>
      <c r="Y1041" s="8" t="s">
        <v>4430</v>
      </c>
      <c r="Z1041" s="8" t="s">
        <v>4431</v>
      </c>
    </row>
    <row r="1042" spans="1:26" x14ac:dyDescent="0.2">
      <c r="A1042" s="8">
        <v>1041</v>
      </c>
      <c r="B1042" s="8" t="s">
        <v>4924</v>
      </c>
      <c r="C1042" s="8" t="s">
        <v>4924</v>
      </c>
      <c r="F1042" s="47"/>
      <c r="G1042" s="8">
        <v>19</v>
      </c>
      <c r="H1042" s="8" t="s">
        <v>21</v>
      </c>
      <c r="I1042" s="8" t="s">
        <v>22</v>
      </c>
      <c r="J1042" s="8" t="s">
        <v>22</v>
      </c>
      <c r="K1042" s="8" t="s">
        <v>58</v>
      </c>
      <c r="L1042" s="8" t="s">
        <v>125</v>
      </c>
      <c r="M1042" s="8" t="s">
        <v>126</v>
      </c>
      <c r="N1042" s="8" t="s">
        <v>4925</v>
      </c>
      <c r="O1042" s="8">
        <f>2+40/60+25.2/3600</f>
        <v>2.6736666666666666</v>
      </c>
      <c r="P1042" s="8" t="s">
        <v>4926</v>
      </c>
      <c r="Q1042" s="8">
        <f>-(5+26/60+24/3600)</f>
        <v>-5.44</v>
      </c>
      <c r="R1042" s="8">
        <v>13.3</v>
      </c>
      <c r="S1042" s="8">
        <v>14.3</v>
      </c>
      <c r="T1042" s="8">
        <v>1</v>
      </c>
      <c r="U1042" s="8">
        <v>14.2</v>
      </c>
      <c r="V1042" s="8">
        <v>1.7</v>
      </c>
      <c r="W1042" s="8">
        <v>1.3</v>
      </c>
      <c r="X1042" s="8">
        <v>57</v>
      </c>
      <c r="Y1042" s="8" t="s">
        <v>4927</v>
      </c>
      <c r="Z1042" s="8" t="s">
        <v>4928</v>
      </c>
    </row>
    <row r="1043" spans="1:26" x14ac:dyDescent="0.2">
      <c r="A1043" s="8">
        <v>1042</v>
      </c>
      <c r="B1043" s="8" t="s">
        <v>4929</v>
      </c>
      <c r="C1043" s="8" t="s">
        <v>4929</v>
      </c>
      <c r="F1043" s="47"/>
      <c r="G1043" s="8">
        <v>13</v>
      </c>
      <c r="H1043" s="8" t="s">
        <v>21</v>
      </c>
      <c r="I1043" s="8" t="s">
        <v>22</v>
      </c>
      <c r="J1043" s="8" t="s">
        <v>22</v>
      </c>
      <c r="K1043" s="8" t="s">
        <v>64</v>
      </c>
      <c r="L1043" s="8" t="s">
        <v>125</v>
      </c>
      <c r="M1043" s="8" t="s">
        <v>126</v>
      </c>
      <c r="N1043" s="8" t="s">
        <v>4930</v>
      </c>
      <c r="O1043" s="8">
        <f>2+40/60+23.9/3600</f>
        <v>2.6733055555555554</v>
      </c>
      <c r="P1043" s="8" t="s">
        <v>4931</v>
      </c>
      <c r="Q1043" s="8">
        <f>-(8+26/60+3/3600)</f>
        <v>-8.4341666666666661</v>
      </c>
      <c r="R1043" s="8">
        <v>11</v>
      </c>
      <c r="S1043" s="8">
        <v>11.6</v>
      </c>
      <c r="T1043" s="8">
        <v>0.6</v>
      </c>
      <c r="U1043" s="8">
        <v>14</v>
      </c>
      <c r="V1043" s="8">
        <v>4.3</v>
      </c>
      <c r="W1043" s="8">
        <v>3.6</v>
      </c>
      <c r="X1043" s="8">
        <v>18</v>
      </c>
      <c r="Y1043" s="8" t="s">
        <v>4932</v>
      </c>
      <c r="Z1043" s="8" t="s">
        <v>4933</v>
      </c>
    </row>
    <row r="1044" spans="1:26" x14ac:dyDescent="0.2">
      <c r="A1044" s="8">
        <v>1043</v>
      </c>
      <c r="B1044" s="8" t="s">
        <v>4934</v>
      </c>
      <c r="C1044" s="8" t="s">
        <v>4934</v>
      </c>
      <c r="F1044" s="47"/>
      <c r="G1044" s="8">
        <v>19</v>
      </c>
      <c r="H1044" s="8" t="s">
        <v>21</v>
      </c>
      <c r="I1044" s="8" t="s">
        <v>22</v>
      </c>
      <c r="J1044" s="8" t="s">
        <v>22</v>
      </c>
      <c r="K1044" s="8" t="s">
        <v>23</v>
      </c>
      <c r="L1044" s="8" t="s">
        <v>125</v>
      </c>
      <c r="M1044" s="8" t="s">
        <v>126</v>
      </c>
      <c r="N1044" s="8" t="s">
        <v>4935</v>
      </c>
      <c r="O1044" s="8">
        <f>2+40/60+46.5/3600</f>
        <v>2.679583333333333</v>
      </c>
      <c r="P1044" s="8" t="s">
        <v>4936</v>
      </c>
      <c r="Q1044" s="8">
        <f>+(1+20/60+35/3600)</f>
        <v>1.3430555555555554</v>
      </c>
      <c r="R1044" s="8">
        <v>15</v>
      </c>
      <c r="S1044" s="8">
        <v>15.8</v>
      </c>
      <c r="T1044" s="8">
        <v>0.8</v>
      </c>
      <c r="U1044" s="8">
        <v>13</v>
      </c>
      <c r="V1044" s="8">
        <v>0.9</v>
      </c>
      <c r="W1044" s="8">
        <v>0.2</v>
      </c>
      <c r="X1044" s="8">
        <v>110</v>
      </c>
      <c r="Y1044" s="8" t="s">
        <v>4937</v>
      </c>
      <c r="Z1044" s="8" t="s">
        <v>4938</v>
      </c>
    </row>
    <row r="1045" spans="1:26" x14ac:dyDescent="0.2">
      <c r="A1045" s="8">
        <v>1044</v>
      </c>
      <c r="B1045" s="8" t="s">
        <v>4939</v>
      </c>
      <c r="C1045" s="8" t="s">
        <v>4939</v>
      </c>
      <c r="F1045" s="47" t="s">
        <v>56231</v>
      </c>
      <c r="G1045" s="8">
        <v>15</v>
      </c>
      <c r="H1045" s="8" t="s">
        <v>21</v>
      </c>
      <c r="I1045" s="8" t="s">
        <v>22</v>
      </c>
      <c r="J1045" s="8" t="s">
        <v>22</v>
      </c>
      <c r="K1045" s="8" t="s">
        <v>58</v>
      </c>
      <c r="L1045" s="8" t="s">
        <v>125</v>
      </c>
      <c r="M1045" s="8" t="s">
        <v>126</v>
      </c>
      <c r="N1045" s="8" t="s">
        <v>4940</v>
      </c>
      <c r="O1045" s="8">
        <f>2+41/60+6.1/3600</f>
        <v>2.685027777777778</v>
      </c>
      <c r="P1045" s="8" t="s">
        <v>4941</v>
      </c>
      <c r="Q1045" s="8">
        <f>+(8+44/60+19/3600)</f>
        <v>8.7386111111111102</v>
      </c>
      <c r="R1045" s="8">
        <v>13.2</v>
      </c>
      <c r="S1045" s="8">
        <v>14.4</v>
      </c>
      <c r="T1045" s="8">
        <v>1.2</v>
      </c>
      <c r="U1045" s="8">
        <v>11.8</v>
      </c>
      <c r="V1045" s="8">
        <v>0.5</v>
      </c>
      <c r="W1045" s="8">
        <v>0.5</v>
      </c>
      <c r="Y1045" s="8" t="s">
        <v>4942</v>
      </c>
      <c r="Z1045" s="8" t="s">
        <v>4943</v>
      </c>
    </row>
    <row r="1046" spans="1:26" x14ac:dyDescent="0.2">
      <c r="A1046" s="8">
        <v>1045</v>
      </c>
      <c r="B1046" s="8" t="s">
        <v>4944</v>
      </c>
      <c r="C1046" s="8" t="s">
        <v>4944</v>
      </c>
      <c r="F1046" s="47" t="s">
        <v>56232</v>
      </c>
      <c r="G1046" s="8">
        <v>6.5</v>
      </c>
      <c r="H1046" s="8" t="s">
        <v>21</v>
      </c>
      <c r="I1046" s="8" t="s">
        <v>22</v>
      </c>
      <c r="J1046" s="8" t="s">
        <v>22</v>
      </c>
      <c r="K1046" s="8" t="s">
        <v>58</v>
      </c>
      <c r="L1046" s="8" t="s">
        <v>125</v>
      </c>
      <c r="M1046" s="8" t="s">
        <v>126</v>
      </c>
      <c r="N1046" s="8" t="s">
        <v>4945</v>
      </c>
      <c r="O1046" s="8">
        <f>2+40/60+29.1/3600</f>
        <v>2.67475</v>
      </c>
      <c r="P1046" s="8" t="s">
        <v>4946</v>
      </c>
      <c r="Q1046" s="8">
        <f>-(11+16/60+40/3600)</f>
        <v>-11.277777777777779</v>
      </c>
      <c r="R1046" s="8">
        <v>12.4</v>
      </c>
      <c r="S1046" s="8">
        <v>13.4</v>
      </c>
      <c r="T1046" s="8">
        <v>1</v>
      </c>
      <c r="U1046" s="8">
        <v>13.2</v>
      </c>
      <c r="V1046" s="8">
        <v>1.6</v>
      </c>
      <c r="W1046" s="8">
        <v>1.2</v>
      </c>
      <c r="X1046" s="8">
        <v>40</v>
      </c>
      <c r="Y1046" s="8" t="s">
        <v>2641</v>
      </c>
      <c r="Z1046" s="8" t="s">
        <v>2642</v>
      </c>
    </row>
    <row r="1047" spans="1:26" x14ac:dyDescent="0.2">
      <c r="A1047" s="8">
        <v>1046</v>
      </c>
      <c r="B1047" s="8" t="s">
        <v>4947</v>
      </c>
      <c r="C1047" s="8" t="s">
        <v>4947</v>
      </c>
      <c r="F1047" s="47" t="s">
        <v>56233</v>
      </c>
      <c r="G1047" s="8">
        <v>15</v>
      </c>
      <c r="H1047" s="8" t="s">
        <v>21</v>
      </c>
      <c r="I1047" s="8" t="s">
        <v>22</v>
      </c>
      <c r="J1047" s="8" t="s">
        <v>22</v>
      </c>
      <c r="K1047" s="8" t="s">
        <v>58</v>
      </c>
      <c r="L1047" s="8" t="s">
        <v>125</v>
      </c>
      <c r="M1047" s="8" t="s">
        <v>126</v>
      </c>
      <c r="N1047" s="8" t="s">
        <v>4948</v>
      </c>
      <c r="O1047" s="8">
        <f>2+41/60+12.8/3600</f>
        <v>2.6868888888888893</v>
      </c>
      <c r="P1047" s="8" t="s">
        <v>4949</v>
      </c>
      <c r="Q1047" s="8">
        <f>+(8+43/60+12/3600)</f>
        <v>8.7200000000000006</v>
      </c>
      <c r="R1047" s="8">
        <v>13.2</v>
      </c>
      <c r="S1047" s="8">
        <v>14.2</v>
      </c>
      <c r="T1047" s="8">
        <v>1</v>
      </c>
      <c r="U1047" s="8">
        <v>12.3</v>
      </c>
      <c r="V1047" s="8">
        <v>0.4</v>
      </c>
      <c r="W1047" s="8">
        <v>0.4</v>
      </c>
      <c r="Y1047" s="8" t="s">
        <v>4950</v>
      </c>
      <c r="Z1047" s="8" t="s">
        <v>4951</v>
      </c>
    </row>
    <row r="1048" spans="1:26" x14ac:dyDescent="0.2">
      <c r="A1048" s="8">
        <v>1047</v>
      </c>
      <c r="B1048" s="8" t="s">
        <v>4952</v>
      </c>
      <c r="C1048" s="8" t="s">
        <v>4952</v>
      </c>
      <c r="F1048" s="47"/>
      <c r="G1048" s="8">
        <v>19</v>
      </c>
      <c r="H1048" s="8" t="s">
        <v>21</v>
      </c>
      <c r="I1048" s="8" t="s">
        <v>22</v>
      </c>
      <c r="J1048" s="8" t="s">
        <v>22</v>
      </c>
      <c r="K1048" s="8" t="s">
        <v>632</v>
      </c>
      <c r="L1048" s="8" t="s">
        <v>125</v>
      </c>
      <c r="M1048" s="8" t="s">
        <v>126</v>
      </c>
      <c r="N1048" s="8" t="s">
        <v>4953</v>
      </c>
      <c r="O1048" s="8">
        <f>2+40/60+32.8/3600</f>
        <v>2.6757777777777778</v>
      </c>
      <c r="P1048" s="8" t="s">
        <v>4954</v>
      </c>
      <c r="Q1048" s="8">
        <f>-(8+8/60+50/3600)</f>
        <v>-8.1472222222222221</v>
      </c>
      <c r="R1048" s="8">
        <v>13.5</v>
      </c>
      <c r="S1048" s="8">
        <v>14.4</v>
      </c>
      <c r="T1048" s="8">
        <v>0.9</v>
      </c>
      <c r="U1048" s="8">
        <v>13.1</v>
      </c>
      <c r="V1048" s="8">
        <v>1.3</v>
      </c>
      <c r="W1048" s="8">
        <v>0.6</v>
      </c>
      <c r="X1048" s="8">
        <v>88</v>
      </c>
      <c r="Y1048" s="8" t="s">
        <v>3161</v>
      </c>
      <c r="Z1048" s="8" t="s">
        <v>3162</v>
      </c>
    </row>
    <row r="1049" spans="1:26" x14ac:dyDescent="0.2">
      <c r="A1049" s="8">
        <v>1048</v>
      </c>
      <c r="B1049" s="8" t="s">
        <v>4955</v>
      </c>
      <c r="C1049" s="8" t="s">
        <v>4955</v>
      </c>
      <c r="F1049" s="47"/>
      <c r="G1049" s="8">
        <v>19</v>
      </c>
      <c r="H1049" s="8" t="s">
        <v>21</v>
      </c>
      <c r="I1049" s="8" t="s">
        <v>22</v>
      </c>
      <c r="J1049" s="8" t="s">
        <v>22</v>
      </c>
      <c r="K1049" s="8" t="s">
        <v>435</v>
      </c>
      <c r="L1049" s="8" t="s">
        <v>125</v>
      </c>
      <c r="M1049" s="8" t="s">
        <v>126</v>
      </c>
      <c r="N1049" s="8" t="s">
        <v>4956</v>
      </c>
      <c r="O1049" s="8">
        <f>2+40/60+37.9/3600</f>
        <v>2.6771944444444444</v>
      </c>
      <c r="P1049" s="8" t="s">
        <v>4957</v>
      </c>
      <c r="Q1049" s="8">
        <f>-(8+32/60+1/3600)</f>
        <v>-8.5336111111111101</v>
      </c>
      <c r="R1049" s="8">
        <v>14.5</v>
      </c>
      <c r="S1049" s="8">
        <v>15.5</v>
      </c>
      <c r="T1049" s="8">
        <v>1</v>
      </c>
      <c r="U1049" s="8">
        <v>12.8</v>
      </c>
      <c r="V1049" s="8">
        <v>1</v>
      </c>
      <c r="W1049" s="8">
        <v>0.3</v>
      </c>
      <c r="X1049" s="8">
        <v>101</v>
      </c>
      <c r="Y1049" s="8" t="s">
        <v>4958</v>
      </c>
      <c r="Z1049" s="8" t="s">
        <v>4959</v>
      </c>
    </row>
    <row r="1050" spans="1:26" x14ac:dyDescent="0.2">
      <c r="A1050" s="8">
        <v>1049</v>
      </c>
      <c r="B1050" s="8" t="s">
        <v>4960</v>
      </c>
      <c r="C1050" s="8" t="s">
        <v>4960</v>
      </c>
      <c r="F1050" s="47"/>
      <c r="G1050" s="8">
        <v>10</v>
      </c>
      <c r="H1050" s="8" t="s">
        <v>4961</v>
      </c>
      <c r="I1050" s="8" t="s">
        <v>567</v>
      </c>
      <c r="J1050" s="8" t="s">
        <v>567</v>
      </c>
      <c r="K1050" s="8" t="s">
        <v>567</v>
      </c>
      <c r="L1050" s="8" t="s">
        <v>3335</v>
      </c>
      <c r="M1050" s="8" t="s">
        <v>3336</v>
      </c>
      <c r="N1050" s="8" t="s">
        <v>4962</v>
      </c>
      <c r="O1050" s="8">
        <f>2+39/60+48.1/3600</f>
        <v>2.6633611111111111</v>
      </c>
      <c r="P1050" s="8" t="s">
        <v>4963</v>
      </c>
      <c r="Q1050" s="8">
        <f>-(34+15/60+30/3600)</f>
        <v>-34.258333333333333</v>
      </c>
      <c r="R1050" s="8">
        <v>12.9</v>
      </c>
      <c r="S1050" s="8">
        <v>99</v>
      </c>
      <c r="T1050" s="8">
        <v>99</v>
      </c>
      <c r="U1050" s="8">
        <v>99</v>
      </c>
      <c r="V1050" s="8">
        <v>1.2</v>
      </c>
      <c r="Y1050" s="8" t="s">
        <v>4964</v>
      </c>
      <c r="Z1050" s="8" t="s">
        <v>4965</v>
      </c>
    </row>
    <row r="1051" spans="1:26" x14ac:dyDescent="0.2">
      <c r="A1051" s="8">
        <v>1050</v>
      </c>
      <c r="B1051" s="8" t="s">
        <v>4966</v>
      </c>
      <c r="C1051" s="8" t="s">
        <v>4966</v>
      </c>
      <c r="F1051" s="47"/>
      <c r="G1051" s="8">
        <v>18</v>
      </c>
      <c r="H1051" s="8" t="s">
        <v>21</v>
      </c>
      <c r="I1051" s="8" t="s">
        <v>22</v>
      </c>
      <c r="J1051" s="8" t="s">
        <v>22</v>
      </c>
      <c r="K1051" s="8" t="s">
        <v>154</v>
      </c>
      <c r="L1051" s="8" t="s">
        <v>3147</v>
      </c>
      <c r="M1051" s="8" t="s">
        <v>3148</v>
      </c>
      <c r="N1051" s="8" t="s">
        <v>4967</v>
      </c>
      <c r="O1051" s="8">
        <f>2+42/60+35.6/3600</f>
        <v>2.709888888888889</v>
      </c>
      <c r="P1051" s="8" t="s">
        <v>4968</v>
      </c>
      <c r="Q1051" s="8">
        <f>+(34+45/60+51/3600)</f>
        <v>34.764166666666668</v>
      </c>
      <c r="R1051" s="8">
        <v>12.6</v>
      </c>
      <c r="S1051" s="8">
        <v>13.5</v>
      </c>
      <c r="T1051" s="8">
        <v>0.9</v>
      </c>
      <c r="U1051" s="8">
        <v>13.1</v>
      </c>
      <c r="V1051" s="8">
        <v>1.7</v>
      </c>
      <c r="W1051" s="8">
        <v>1.1000000000000001</v>
      </c>
      <c r="X1051" s="8">
        <v>113</v>
      </c>
      <c r="Y1051" s="8" t="s">
        <v>4969</v>
      </c>
      <c r="Z1051" s="8" t="s">
        <v>4970</v>
      </c>
    </row>
    <row r="1052" spans="1:26" x14ac:dyDescent="0.2">
      <c r="A1052" s="8">
        <v>1051</v>
      </c>
      <c r="B1052" s="8" t="s">
        <v>4971</v>
      </c>
      <c r="C1052" s="8" t="s">
        <v>4971</v>
      </c>
      <c r="F1052" s="47"/>
      <c r="G1052" s="8">
        <v>19</v>
      </c>
      <c r="H1052" s="8" t="s">
        <v>21</v>
      </c>
      <c r="I1052" s="8" t="s">
        <v>22</v>
      </c>
      <c r="J1052" s="8" t="s">
        <v>22</v>
      </c>
      <c r="K1052" s="8" t="s">
        <v>4103</v>
      </c>
      <c r="L1052" s="8" t="s">
        <v>125</v>
      </c>
      <c r="M1052" s="8" t="s">
        <v>126</v>
      </c>
      <c r="N1052" s="8" t="s">
        <v>4585</v>
      </c>
      <c r="O1052" s="8">
        <f>2+41/60+2.2/3600</f>
        <v>2.6839444444444447</v>
      </c>
      <c r="P1052" s="8" t="s">
        <v>4586</v>
      </c>
      <c r="Q1052" s="8">
        <f>-(6+56/60+8/3600)</f>
        <v>-6.9355555555555561</v>
      </c>
      <c r="R1052" s="8">
        <v>12.8</v>
      </c>
      <c r="S1052" s="8">
        <v>13.4</v>
      </c>
      <c r="T1052" s="8">
        <v>0.6</v>
      </c>
      <c r="U1052" s="8">
        <v>13.7</v>
      </c>
      <c r="V1052" s="8">
        <v>1.9</v>
      </c>
      <c r="W1052" s="8">
        <v>1.4</v>
      </c>
      <c r="X1052" s="8">
        <v>49</v>
      </c>
      <c r="Y1052" s="8" t="s">
        <v>4972</v>
      </c>
      <c r="Z1052" s="8" t="s">
        <v>4973</v>
      </c>
    </row>
    <row r="1053" spans="1:26" x14ac:dyDescent="0.2">
      <c r="A1053" s="8">
        <v>1052</v>
      </c>
      <c r="B1053" s="8" t="s">
        <v>4974</v>
      </c>
      <c r="C1053" s="8" t="s">
        <v>4974</v>
      </c>
      <c r="F1053" s="47" t="s">
        <v>56234</v>
      </c>
      <c r="G1053" s="8">
        <v>6</v>
      </c>
      <c r="H1053" s="8" t="s">
        <v>21</v>
      </c>
      <c r="I1053" s="8" t="s">
        <v>22</v>
      </c>
      <c r="J1053" s="8" t="s">
        <v>22</v>
      </c>
      <c r="K1053" s="8" t="s">
        <v>50</v>
      </c>
      <c r="L1053" s="8" t="s">
        <v>125</v>
      </c>
      <c r="M1053" s="8" t="s">
        <v>126</v>
      </c>
      <c r="N1053" s="8" t="s">
        <v>4975</v>
      </c>
      <c r="O1053" s="8">
        <f>2+41/60+4.6/3600</f>
        <v>2.6846111111111113</v>
      </c>
      <c r="P1053" s="8" t="s">
        <v>4976</v>
      </c>
      <c r="Q1053" s="8">
        <f>-(8+15/60+17/3600)</f>
        <v>-8.2547222222222221</v>
      </c>
      <c r="R1053" s="8">
        <v>10.5</v>
      </c>
      <c r="S1053" s="8">
        <v>11.4</v>
      </c>
      <c r="T1053" s="8">
        <v>0.9</v>
      </c>
      <c r="U1053" s="8">
        <v>12.5</v>
      </c>
      <c r="V1053" s="8">
        <v>2.8</v>
      </c>
      <c r="W1053" s="8">
        <v>2</v>
      </c>
      <c r="X1053" s="8">
        <v>126</v>
      </c>
      <c r="Y1053" s="8" t="s">
        <v>4977</v>
      </c>
      <c r="Z1053" s="8" t="s">
        <v>4978</v>
      </c>
    </row>
    <row r="1054" spans="1:26" x14ac:dyDescent="0.2">
      <c r="A1054" s="8">
        <v>1053</v>
      </c>
      <c r="B1054" s="8" t="s">
        <v>4979</v>
      </c>
      <c r="C1054" s="8" t="s">
        <v>4979</v>
      </c>
      <c r="E1054" s="8">
        <v>1</v>
      </c>
      <c r="F1054" s="47"/>
      <c r="G1054" s="8">
        <v>19</v>
      </c>
      <c r="H1054" s="8" t="s">
        <v>21</v>
      </c>
      <c r="I1054" s="8" t="s">
        <v>22</v>
      </c>
      <c r="J1054" s="8" t="s">
        <v>57</v>
      </c>
      <c r="K1054" s="8" t="s">
        <v>37</v>
      </c>
      <c r="L1054" s="8" t="s">
        <v>3147</v>
      </c>
      <c r="M1054" s="8" t="s">
        <v>3148</v>
      </c>
      <c r="N1054" s="8" t="s">
        <v>4922</v>
      </c>
      <c r="O1054" s="8">
        <f>2+43/60+12.5/3600</f>
        <v>2.7201388888888891</v>
      </c>
      <c r="P1054" s="8" t="s">
        <v>4923</v>
      </c>
      <c r="Q1054" s="8">
        <f>+(41+30/60+1/3600)</f>
        <v>41.500277777777775</v>
      </c>
      <c r="R1054" s="8">
        <v>12.9</v>
      </c>
      <c r="S1054" s="8">
        <v>13.9</v>
      </c>
      <c r="T1054" s="8">
        <v>1</v>
      </c>
      <c r="U1054" s="8">
        <v>13.1</v>
      </c>
      <c r="V1054" s="8">
        <v>1.7</v>
      </c>
      <c r="W1054" s="8">
        <v>0.8</v>
      </c>
      <c r="X1054" s="8">
        <v>40</v>
      </c>
      <c r="Y1054" s="8" t="s">
        <v>4980</v>
      </c>
      <c r="Z1054" s="8" t="s">
        <v>4981</v>
      </c>
    </row>
    <row r="1055" spans="1:26" x14ac:dyDescent="0.2">
      <c r="A1055" s="8">
        <v>1054</v>
      </c>
      <c r="B1055" s="8" t="s">
        <v>4982</v>
      </c>
      <c r="C1055" s="8" t="s">
        <v>4982</v>
      </c>
      <c r="F1055" s="47"/>
      <c r="G1055" s="8">
        <v>18</v>
      </c>
      <c r="H1055" s="8" t="s">
        <v>21</v>
      </c>
      <c r="I1055" s="8" t="s">
        <v>22</v>
      </c>
      <c r="J1055" s="8" t="s">
        <v>22</v>
      </c>
      <c r="K1055" s="8" t="s">
        <v>396</v>
      </c>
      <c r="L1055" s="8" t="s">
        <v>3256</v>
      </c>
      <c r="M1055" s="8" t="s">
        <v>3257</v>
      </c>
      <c r="N1055" s="8" t="s">
        <v>4983</v>
      </c>
      <c r="O1055" s="8">
        <f>2+42/60+15.8/3600</f>
        <v>2.704388888888889</v>
      </c>
      <c r="P1055" s="8" t="s">
        <v>4984</v>
      </c>
      <c r="Q1055" s="8">
        <f>+(18+13/60+3/3600)</f>
        <v>18.217499999999998</v>
      </c>
      <c r="R1055" s="8">
        <v>13.7</v>
      </c>
      <c r="S1055" s="8">
        <v>14.5</v>
      </c>
      <c r="T1055" s="8">
        <v>0.8</v>
      </c>
      <c r="U1055" s="8">
        <v>12.7</v>
      </c>
      <c r="V1055" s="8">
        <v>0.9</v>
      </c>
      <c r="W1055" s="8">
        <v>0.5</v>
      </c>
      <c r="X1055" s="8">
        <v>33</v>
      </c>
      <c r="Y1055" s="8" t="s">
        <v>2500</v>
      </c>
      <c r="Z1055" s="8" t="s">
        <v>2501</v>
      </c>
    </row>
    <row r="1056" spans="1:26" x14ac:dyDescent="0.2">
      <c r="A1056" s="8">
        <v>1055</v>
      </c>
      <c r="B1056" s="8" t="s">
        <v>4985</v>
      </c>
      <c r="C1056" s="8" t="s">
        <v>4985</v>
      </c>
      <c r="F1056" s="47" t="s">
        <v>56235</v>
      </c>
      <c r="G1056" s="8">
        <v>6</v>
      </c>
      <c r="H1056" s="8" t="s">
        <v>21</v>
      </c>
      <c r="I1056" s="8" t="s">
        <v>22</v>
      </c>
      <c r="J1056" s="8" t="s">
        <v>22</v>
      </c>
      <c r="K1056" s="8" t="s">
        <v>218</v>
      </c>
      <c r="L1056" s="8" t="s">
        <v>125</v>
      </c>
      <c r="M1056" s="8" t="s">
        <v>126</v>
      </c>
      <c r="N1056" s="8" t="s">
        <v>4986</v>
      </c>
      <c r="O1056" s="8">
        <f>2+41/60+45.3/3600</f>
        <v>2.6959166666666667</v>
      </c>
      <c r="P1056" s="8" t="s">
        <v>4987</v>
      </c>
      <c r="Q1056" s="8">
        <f>+(0+26/60+34/3600)</f>
        <v>0.44277777777777777</v>
      </c>
      <c r="R1056" s="8">
        <v>10.6</v>
      </c>
      <c r="S1056" s="8">
        <v>11.4</v>
      </c>
      <c r="T1056" s="8">
        <v>0.8</v>
      </c>
      <c r="U1056" s="8">
        <v>13.7</v>
      </c>
      <c r="V1056" s="8">
        <v>7.6</v>
      </c>
      <c r="W1056" s="8">
        <v>2.7</v>
      </c>
      <c r="X1056" s="8">
        <v>105</v>
      </c>
      <c r="Y1056" s="8" t="s">
        <v>4988</v>
      </c>
      <c r="Z1056" s="8" t="s">
        <v>4989</v>
      </c>
    </row>
    <row r="1057" spans="1:26" x14ac:dyDescent="0.2">
      <c r="A1057" s="8">
        <v>1056</v>
      </c>
      <c r="B1057" s="8" t="s">
        <v>4990</v>
      </c>
      <c r="C1057" s="8" t="s">
        <v>4990</v>
      </c>
      <c r="F1057" s="47" t="s">
        <v>56236</v>
      </c>
      <c r="G1057" s="8">
        <v>15</v>
      </c>
      <c r="H1057" s="8" t="s">
        <v>21</v>
      </c>
      <c r="I1057" s="8" t="s">
        <v>22</v>
      </c>
      <c r="J1057" s="8" t="s">
        <v>22</v>
      </c>
      <c r="K1057" s="8" t="s">
        <v>91</v>
      </c>
      <c r="L1057" s="8" t="s">
        <v>3256</v>
      </c>
      <c r="M1057" s="8" t="s">
        <v>3257</v>
      </c>
      <c r="N1057" s="8" t="s">
        <v>4991</v>
      </c>
      <c r="O1057" s="8">
        <f>2+42/60+48.4/3600</f>
        <v>2.7134444444444448</v>
      </c>
      <c r="P1057" s="8" t="s">
        <v>4992</v>
      </c>
      <c r="Q1057" s="8">
        <f>+(28+34/60+28/3600)</f>
        <v>28.574444444444445</v>
      </c>
      <c r="R1057" s="8">
        <v>12.4</v>
      </c>
      <c r="S1057" s="8">
        <v>13.3</v>
      </c>
      <c r="T1057" s="8">
        <v>0.9</v>
      </c>
      <c r="U1057" s="8">
        <v>13.3</v>
      </c>
      <c r="V1057" s="8">
        <v>2.4</v>
      </c>
      <c r="W1057" s="8">
        <v>1.1000000000000001</v>
      </c>
      <c r="X1057" s="8">
        <v>160</v>
      </c>
      <c r="Y1057" s="8" t="s">
        <v>446</v>
      </c>
      <c r="Z1057" s="8" t="s">
        <v>447</v>
      </c>
    </row>
    <row r="1058" spans="1:26" x14ac:dyDescent="0.2">
      <c r="A1058" s="8">
        <v>1057</v>
      </c>
      <c r="B1058" s="8" t="s">
        <v>4993</v>
      </c>
      <c r="C1058" s="8" t="s">
        <v>4993</v>
      </c>
      <c r="F1058" s="47"/>
      <c r="G1058" s="8">
        <v>18</v>
      </c>
      <c r="H1058" s="8" t="s">
        <v>21</v>
      </c>
      <c r="I1058" s="8" t="s">
        <v>22</v>
      </c>
      <c r="J1058" s="8" t="s">
        <v>22</v>
      </c>
      <c r="K1058" s="8" t="s">
        <v>37</v>
      </c>
      <c r="L1058" s="8" t="s">
        <v>2809</v>
      </c>
      <c r="M1058" s="8" t="s">
        <v>2810</v>
      </c>
      <c r="N1058" s="8" t="s">
        <v>4994</v>
      </c>
      <c r="O1058" s="8">
        <f>2+43/60+2.8/3600</f>
        <v>2.7174444444444448</v>
      </c>
      <c r="P1058" s="8" t="s">
        <v>4995</v>
      </c>
      <c r="Q1058" s="8">
        <f>+(32+29/60+30/3600)</f>
        <v>32.491666666666667</v>
      </c>
      <c r="R1058" s="8">
        <v>14.2</v>
      </c>
      <c r="S1058" s="8">
        <v>15.2</v>
      </c>
      <c r="T1058" s="8">
        <v>1</v>
      </c>
      <c r="U1058" s="8">
        <v>14</v>
      </c>
      <c r="V1058" s="8">
        <v>1.2</v>
      </c>
      <c r="W1058" s="8">
        <v>0.8</v>
      </c>
      <c r="X1058" s="8">
        <v>115</v>
      </c>
      <c r="Y1058" s="8" t="s">
        <v>4996</v>
      </c>
      <c r="Z1058" s="8" t="s">
        <v>4997</v>
      </c>
    </row>
    <row r="1059" spans="1:26" x14ac:dyDescent="0.2">
      <c r="A1059" s="8">
        <v>1058</v>
      </c>
      <c r="B1059" s="8" t="s">
        <v>4998</v>
      </c>
      <c r="C1059" s="8" t="s">
        <v>4998</v>
      </c>
      <c r="F1059" s="47" t="s">
        <v>56237</v>
      </c>
      <c r="G1059" s="8">
        <v>6.5</v>
      </c>
      <c r="H1059" s="8" t="s">
        <v>21</v>
      </c>
      <c r="I1059" s="8" t="s">
        <v>22</v>
      </c>
      <c r="J1059" s="8" t="s">
        <v>22</v>
      </c>
      <c r="K1059" s="8" t="s">
        <v>160</v>
      </c>
      <c r="L1059" s="8" t="s">
        <v>3147</v>
      </c>
      <c r="M1059" s="8" t="s">
        <v>3148</v>
      </c>
      <c r="N1059" s="8" t="s">
        <v>4999</v>
      </c>
      <c r="O1059" s="8">
        <f>2+43/60+29.9/3600</f>
        <v>2.7249722222222221</v>
      </c>
      <c r="P1059" s="8" t="s">
        <v>5000</v>
      </c>
      <c r="Q1059" s="8">
        <f>+(37+20/60+29/3600)</f>
        <v>37.341388888888893</v>
      </c>
      <c r="R1059" s="8">
        <v>11.2</v>
      </c>
      <c r="S1059" s="8">
        <v>11.8</v>
      </c>
      <c r="T1059" s="8">
        <v>0.6</v>
      </c>
      <c r="U1059" s="8">
        <v>13.4</v>
      </c>
      <c r="V1059" s="8">
        <v>2.5</v>
      </c>
      <c r="W1059" s="8">
        <v>2.5</v>
      </c>
      <c r="Y1059" s="8" t="s">
        <v>5001</v>
      </c>
      <c r="Z1059" s="8" t="s">
        <v>5002</v>
      </c>
    </row>
    <row r="1060" spans="1:26" x14ac:dyDescent="0.2">
      <c r="A1060" s="8">
        <v>1059</v>
      </c>
      <c r="B1060" s="8" t="s">
        <v>5003</v>
      </c>
      <c r="C1060" s="8" t="s">
        <v>5003</v>
      </c>
      <c r="F1060" s="47"/>
      <c r="G1060" s="8">
        <v>16</v>
      </c>
      <c r="H1060" s="8" t="s">
        <v>21</v>
      </c>
      <c r="I1060" s="8" t="s">
        <v>72</v>
      </c>
      <c r="J1060" s="8" t="s">
        <v>72</v>
      </c>
      <c r="K1060" s="8" t="s">
        <v>73</v>
      </c>
      <c r="L1060" s="8" t="s">
        <v>3256</v>
      </c>
      <c r="M1060" s="8" t="s">
        <v>3257</v>
      </c>
      <c r="N1060" s="8" t="s">
        <v>5004</v>
      </c>
      <c r="O1060" s="8">
        <f>2+42/60+35.5/3600</f>
        <v>2.7098611111111115</v>
      </c>
      <c r="P1060" s="8" t="s">
        <v>5005</v>
      </c>
      <c r="Q1060" s="8">
        <f>+(17+59/60+46/3600)</f>
        <v>17.996111111111112</v>
      </c>
      <c r="R1060" s="8">
        <v>99</v>
      </c>
      <c r="S1060" s="8">
        <v>99</v>
      </c>
      <c r="T1060" s="8">
        <v>99</v>
      </c>
      <c r="U1060" s="8">
        <v>99</v>
      </c>
      <c r="Y1060" s="8" t="s">
        <v>5006</v>
      </c>
      <c r="Z1060" s="8" t="s">
        <v>5007</v>
      </c>
    </row>
    <row r="1061" spans="1:26" x14ac:dyDescent="0.2">
      <c r="A1061" s="8">
        <v>1060</v>
      </c>
      <c r="B1061" s="8" t="s">
        <v>5008</v>
      </c>
      <c r="C1061" s="8" t="s">
        <v>5008</v>
      </c>
      <c r="F1061" s="47" t="s">
        <v>56238</v>
      </c>
      <c r="G1061" s="8">
        <v>6.5</v>
      </c>
      <c r="H1061" s="8" t="s">
        <v>21</v>
      </c>
      <c r="I1061" s="8" t="s">
        <v>22</v>
      </c>
      <c r="J1061" s="8" t="s">
        <v>22</v>
      </c>
      <c r="K1061" s="8" t="s">
        <v>58</v>
      </c>
      <c r="L1061" s="8" t="s">
        <v>2809</v>
      </c>
      <c r="M1061" s="8" t="s">
        <v>2810</v>
      </c>
      <c r="N1061" s="8" t="s">
        <v>5009</v>
      </c>
      <c r="O1061" s="8">
        <f>2+43/60+15/3600</f>
        <v>2.7208333333333337</v>
      </c>
      <c r="P1061" s="8" t="s">
        <v>5010</v>
      </c>
      <c r="Q1061" s="8">
        <f>+(32+25/60+29/3600)</f>
        <v>32.424722222222222</v>
      </c>
      <c r="R1061" s="8">
        <v>11.8</v>
      </c>
      <c r="S1061" s="8">
        <v>13</v>
      </c>
      <c r="T1061" s="8">
        <v>1.2</v>
      </c>
      <c r="U1061" s="8">
        <v>13.2</v>
      </c>
      <c r="V1061" s="8">
        <v>2.2999999999999998</v>
      </c>
      <c r="W1061" s="8">
        <v>1.7</v>
      </c>
      <c r="X1061" s="8">
        <v>75</v>
      </c>
      <c r="Y1061" s="8" t="s">
        <v>5011</v>
      </c>
      <c r="Z1061" s="8" t="s">
        <v>5012</v>
      </c>
    </row>
    <row r="1062" spans="1:26" x14ac:dyDescent="0.2">
      <c r="A1062" s="8">
        <v>1061</v>
      </c>
      <c r="B1062" s="8" t="s">
        <v>5013</v>
      </c>
      <c r="C1062" s="8" t="s">
        <v>5013</v>
      </c>
      <c r="F1062" s="47"/>
      <c r="G1062" s="8">
        <v>18</v>
      </c>
      <c r="H1062" s="8" t="s">
        <v>21</v>
      </c>
      <c r="I1062" s="8" t="s">
        <v>22</v>
      </c>
      <c r="J1062" s="8" t="s">
        <v>22</v>
      </c>
      <c r="K1062" s="8" t="s">
        <v>3523</v>
      </c>
      <c r="L1062" s="8" t="s">
        <v>2809</v>
      </c>
      <c r="M1062" s="8" t="s">
        <v>2810</v>
      </c>
      <c r="N1062" s="8" t="s">
        <v>5014</v>
      </c>
      <c r="O1062" s="8">
        <f>2+43/60+15.8/3600</f>
        <v>2.7210555555555556</v>
      </c>
      <c r="P1062" s="8" t="s">
        <v>5015</v>
      </c>
      <c r="Q1062" s="8">
        <f>+(32+28/60+2/3600)</f>
        <v>32.467222222222226</v>
      </c>
      <c r="R1062" s="8">
        <v>14.1</v>
      </c>
      <c r="S1062" s="8">
        <v>14.7</v>
      </c>
      <c r="T1062" s="8">
        <v>0.6</v>
      </c>
      <c r="U1062" s="8">
        <v>13.3</v>
      </c>
      <c r="V1062" s="8">
        <v>0.9</v>
      </c>
      <c r="W1062" s="8">
        <v>0.6</v>
      </c>
      <c r="X1062" s="8">
        <v>42</v>
      </c>
      <c r="Y1062" s="8" t="s">
        <v>2248</v>
      </c>
      <c r="Z1062" s="8" t="s">
        <v>2249</v>
      </c>
    </row>
    <row r="1063" spans="1:26" x14ac:dyDescent="0.2">
      <c r="A1063" s="8">
        <v>1062</v>
      </c>
      <c r="B1063" s="8" t="s">
        <v>5016</v>
      </c>
      <c r="C1063" s="8" t="s">
        <v>5016</v>
      </c>
      <c r="F1063" s="47"/>
      <c r="G1063" s="8">
        <v>18</v>
      </c>
      <c r="H1063" s="8" t="s">
        <v>21</v>
      </c>
      <c r="I1063" s="8" t="s">
        <v>72</v>
      </c>
      <c r="J1063" s="8" t="s">
        <v>72</v>
      </c>
      <c r="K1063" s="8" t="s">
        <v>20</v>
      </c>
      <c r="L1063" s="8" t="s">
        <v>2809</v>
      </c>
      <c r="M1063" s="8" t="s">
        <v>2810</v>
      </c>
      <c r="N1063" s="8" t="s">
        <v>5017</v>
      </c>
      <c r="O1063" s="8">
        <f>2+43/60+24.4/3600</f>
        <v>2.7234444444444446</v>
      </c>
      <c r="P1063" s="8" t="s">
        <v>5018</v>
      </c>
      <c r="Q1063" s="8">
        <f>+(32+27/60+45/3600)</f>
        <v>32.462500000000006</v>
      </c>
      <c r="R1063" s="8">
        <v>99</v>
      </c>
      <c r="S1063" s="8">
        <v>99</v>
      </c>
      <c r="T1063" s="8">
        <v>99</v>
      </c>
      <c r="U1063" s="8">
        <v>99</v>
      </c>
      <c r="Y1063" s="8" t="s">
        <v>2908</v>
      </c>
      <c r="Z1063" s="8" t="s">
        <v>2909</v>
      </c>
    </row>
    <row r="1064" spans="1:26" x14ac:dyDescent="0.2">
      <c r="A1064" s="8">
        <v>1063</v>
      </c>
      <c r="B1064" s="8" t="s">
        <v>5019</v>
      </c>
      <c r="C1064" s="8" t="s">
        <v>5019</v>
      </c>
      <c r="F1064" s="47"/>
      <c r="G1064" s="8">
        <v>19</v>
      </c>
      <c r="H1064" s="8" t="s">
        <v>21</v>
      </c>
      <c r="I1064" s="8" t="s">
        <v>22</v>
      </c>
      <c r="J1064" s="8" t="s">
        <v>22</v>
      </c>
      <c r="K1064" s="8" t="s">
        <v>85</v>
      </c>
      <c r="L1064" s="8" t="s">
        <v>125</v>
      </c>
      <c r="M1064" s="8" t="s">
        <v>126</v>
      </c>
      <c r="N1064" s="8" t="s">
        <v>5020</v>
      </c>
      <c r="O1064" s="8">
        <f>2+42/60+9.9/3600</f>
        <v>2.70275</v>
      </c>
      <c r="P1064" s="8" t="s">
        <v>5021</v>
      </c>
      <c r="Q1064" s="8">
        <f>-(5+34/60+6/3600)</f>
        <v>-5.5683333333333334</v>
      </c>
      <c r="R1064" s="8">
        <v>13.8</v>
      </c>
      <c r="S1064" s="8">
        <v>14.6</v>
      </c>
      <c r="T1064" s="8">
        <v>0.8</v>
      </c>
      <c r="U1064" s="8">
        <v>13.3</v>
      </c>
      <c r="V1064" s="8">
        <v>1.4</v>
      </c>
      <c r="W1064" s="8">
        <v>0.5</v>
      </c>
      <c r="X1064" s="8">
        <v>105</v>
      </c>
      <c r="Y1064" s="8" t="s">
        <v>5022</v>
      </c>
      <c r="Z1064" s="8" t="s">
        <v>5023</v>
      </c>
    </row>
    <row r="1065" spans="1:26" x14ac:dyDescent="0.2">
      <c r="A1065" s="8">
        <v>1064</v>
      </c>
      <c r="B1065" s="8" t="s">
        <v>5024</v>
      </c>
      <c r="C1065" s="8" t="s">
        <v>5024</v>
      </c>
      <c r="F1065" s="47"/>
      <c r="G1065" s="8">
        <v>19</v>
      </c>
      <c r="H1065" s="8" t="s">
        <v>21</v>
      </c>
      <c r="I1065" s="8" t="s">
        <v>22</v>
      </c>
      <c r="J1065" s="8" t="s">
        <v>22</v>
      </c>
      <c r="K1065" s="8" t="s">
        <v>160</v>
      </c>
      <c r="L1065" s="8" t="s">
        <v>125</v>
      </c>
      <c r="M1065" s="8" t="s">
        <v>126</v>
      </c>
      <c r="N1065" s="8" t="s">
        <v>5025</v>
      </c>
      <c r="O1065" s="8">
        <f>2+42/60+23.3/3600</f>
        <v>2.7064722222222226</v>
      </c>
      <c r="P1065" s="8" t="s">
        <v>5026</v>
      </c>
      <c r="Q1065" s="8">
        <f>-(9+21/60+46/3600)</f>
        <v>-9.3627777777777776</v>
      </c>
      <c r="R1065" s="8">
        <v>14.3</v>
      </c>
      <c r="S1065" s="8">
        <v>15</v>
      </c>
      <c r="T1065" s="8">
        <v>0.7</v>
      </c>
      <c r="U1065" s="8">
        <v>14.3</v>
      </c>
      <c r="V1065" s="8">
        <v>1.1000000000000001</v>
      </c>
      <c r="W1065" s="8">
        <v>1</v>
      </c>
      <c r="X1065" s="8">
        <v>30</v>
      </c>
      <c r="Y1065" s="8" t="s">
        <v>227</v>
      </c>
      <c r="Z1065" s="8" t="s">
        <v>228</v>
      </c>
    </row>
    <row r="1066" spans="1:26" x14ac:dyDescent="0.2">
      <c r="A1066" s="8">
        <v>1065</v>
      </c>
      <c r="B1066" s="8" t="s">
        <v>5027</v>
      </c>
      <c r="C1066" s="8" t="s">
        <v>5027</v>
      </c>
      <c r="F1066" s="47"/>
      <c r="G1066" s="8">
        <v>19</v>
      </c>
      <c r="H1066" s="8" t="s">
        <v>21</v>
      </c>
      <c r="I1066" s="8" t="s">
        <v>22</v>
      </c>
      <c r="J1066" s="8" t="s">
        <v>22</v>
      </c>
      <c r="K1066" s="8" t="s">
        <v>58</v>
      </c>
      <c r="L1066" s="8" t="s">
        <v>125</v>
      </c>
      <c r="M1066" s="8" t="s">
        <v>126</v>
      </c>
      <c r="N1066" s="8" t="s">
        <v>5028</v>
      </c>
      <c r="O1066" s="8">
        <f>2+42/60+6.2/3600</f>
        <v>2.7017222222222226</v>
      </c>
      <c r="P1066" s="8" t="s">
        <v>5029</v>
      </c>
      <c r="Q1066" s="8">
        <f>-(15+5/60+30/3600)</f>
        <v>-15.091666666666667</v>
      </c>
      <c r="R1066" s="8">
        <v>14.1</v>
      </c>
      <c r="S1066" s="8">
        <v>15.1</v>
      </c>
      <c r="T1066" s="8">
        <v>1</v>
      </c>
      <c r="U1066" s="8">
        <v>13.5</v>
      </c>
      <c r="V1066" s="8">
        <v>0.8</v>
      </c>
      <c r="W1066" s="8">
        <v>0.7</v>
      </c>
      <c r="X1066" s="8">
        <v>170</v>
      </c>
      <c r="Y1066" s="8" t="s">
        <v>5030</v>
      </c>
      <c r="Z1066" s="8" t="s">
        <v>5031</v>
      </c>
    </row>
    <row r="1067" spans="1:26" x14ac:dyDescent="0.2">
      <c r="A1067" s="8">
        <v>1066</v>
      </c>
      <c r="B1067" s="8" t="s">
        <v>5032</v>
      </c>
      <c r="C1067" s="8" t="s">
        <v>5032</v>
      </c>
      <c r="F1067" s="47" t="s">
        <v>56239</v>
      </c>
      <c r="G1067" s="8">
        <v>15</v>
      </c>
      <c r="H1067" s="8" t="s">
        <v>21</v>
      </c>
      <c r="I1067" s="8" t="s">
        <v>22</v>
      </c>
      <c r="J1067" s="8" t="s">
        <v>22</v>
      </c>
      <c r="K1067" s="8" t="s">
        <v>183</v>
      </c>
      <c r="L1067" s="8" t="s">
        <v>2809</v>
      </c>
      <c r="M1067" s="8" t="s">
        <v>2810</v>
      </c>
      <c r="N1067" s="8" t="s">
        <v>5033</v>
      </c>
      <c r="O1067" s="8">
        <f>2+43/60+49.9/3600</f>
        <v>2.7305277777777781</v>
      </c>
      <c r="P1067" s="8" t="s">
        <v>5034</v>
      </c>
      <c r="Q1067" s="8">
        <f>+(32+28/60+32/3600)</f>
        <v>32.475555555555559</v>
      </c>
      <c r="R1067" s="8">
        <v>13.3</v>
      </c>
      <c r="S1067" s="8">
        <v>14.3</v>
      </c>
      <c r="T1067" s="8">
        <v>1</v>
      </c>
      <c r="U1067" s="8">
        <v>14.2</v>
      </c>
      <c r="V1067" s="8">
        <v>1.7</v>
      </c>
      <c r="W1067" s="8">
        <v>1.6</v>
      </c>
      <c r="X1067" s="8">
        <v>57</v>
      </c>
      <c r="Y1067" s="8" t="s">
        <v>5035</v>
      </c>
      <c r="Z1067" s="8" t="s">
        <v>5036</v>
      </c>
    </row>
    <row r="1068" spans="1:26" x14ac:dyDescent="0.2">
      <c r="A1068" s="8">
        <v>1067</v>
      </c>
      <c r="B1068" s="8" t="s">
        <v>5037</v>
      </c>
      <c r="C1068" s="8" t="s">
        <v>5037</v>
      </c>
      <c r="F1068" s="47"/>
      <c r="G1068" s="8">
        <v>16</v>
      </c>
      <c r="H1068" s="8" t="s">
        <v>21</v>
      </c>
      <c r="I1068" s="8" t="s">
        <v>22</v>
      </c>
      <c r="J1068" s="8" t="s">
        <v>22</v>
      </c>
      <c r="K1068" s="8" t="s">
        <v>160</v>
      </c>
      <c r="L1068" s="8" t="s">
        <v>2809</v>
      </c>
      <c r="M1068" s="8" t="s">
        <v>2810</v>
      </c>
      <c r="N1068" s="8" t="s">
        <v>5038</v>
      </c>
      <c r="O1068" s="8">
        <f>2+43/60+50.6/3600</f>
        <v>2.7307222222222225</v>
      </c>
      <c r="P1068" s="8" t="s">
        <v>5039</v>
      </c>
      <c r="Q1068" s="8">
        <f>+(32+30/60+42/3600)</f>
        <v>32.511666666666663</v>
      </c>
      <c r="R1068" s="8">
        <v>13.7</v>
      </c>
      <c r="S1068" s="8">
        <v>14.6</v>
      </c>
      <c r="T1068" s="8">
        <v>0.9</v>
      </c>
      <c r="U1068" s="8">
        <v>13.6</v>
      </c>
      <c r="V1068" s="8">
        <v>1.1000000000000001</v>
      </c>
      <c r="W1068" s="8">
        <v>1</v>
      </c>
      <c r="X1068" s="8">
        <v>165</v>
      </c>
      <c r="Y1068" s="8" t="s">
        <v>5040</v>
      </c>
      <c r="Z1068" s="8" t="s">
        <v>5041</v>
      </c>
    </row>
    <row r="1069" spans="1:26" x14ac:dyDescent="0.2">
      <c r="A1069" s="8">
        <v>1068</v>
      </c>
      <c r="B1069" s="8" t="s">
        <v>5042</v>
      </c>
      <c r="C1069" s="8" t="s">
        <v>55869</v>
      </c>
      <c r="F1069" s="47"/>
      <c r="G1069" s="8">
        <v>1</v>
      </c>
      <c r="H1069" s="8" t="s">
        <v>5043</v>
      </c>
      <c r="I1069" s="8" t="s">
        <v>22</v>
      </c>
      <c r="J1069" s="8" t="s">
        <v>22</v>
      </c>
      <c r="K1069" s="8" t="s">
        <v>79</v>
      </c>
      <c r="L1069" s="8" t="s">
        <v>125</v>
      </c>
      <c r="M1069" s="8" t="s">
        <v>126</v>
      </c>
      <c r="N1069" s="8" t="s">
        <v>5044</v>
      </c>
      <c r="O1069" s="8">
        <f>2+42/60+40.8/3600</f>
        <v>2.7113333333333336</v>
      </c>
      <c r="P1069" s="8" t="s">
        <v>5045</v>
      </c>
      <c r="Q1069" s="8">
        <f>-(0+0/60+46/3600)</f>
        <v>-1.2777777777777779E-2</v>
      </c>
      <c r="R1069" s="8">
        <v>8.9</v>
      </c>
      <c r="S1069" s="8">
        <v>9.6</v>
      </c>
      <c r="T1069" s="8">
        <v>0.7</v>
      </c>
      <c r="U1069" s="8">
        <v>12.8</v>
      </c>
      <c r="V1069" s="8">
        <v>7.1</v>
      </c>
      <c r="W1069" s="8">
        <v>6</v>
      </c>
      <c r="X1069" s="8">
        <v>70</v>
      </c>
      <c r="Y1069" s="8" t="s">
        <v>5046</v>
      </c>
      <c r="Z1069" s="8" t="s">
        <v>5047</v>
      </c>
    </row>
    <row r="1070" spans="1:26" x14ac:dyDescent="0.2">
      <c r="A1070" s="8">
        <v>1069</v>
      </c>
      <c r="B1070" s="8" t="s">
        <v>5048</v>
      </c>
      <c r="C1070" s="8" t="s">
        <v>5048</v>
      </c>
      <c r="F1070" s="47"/>
      <c r="G1070" s="8">
        <v>19</v>
      </c>
      <c r="H1070" s="8" t="s">
        <v>21</v>
      </c>
      <c r="I1070" s="8" t="s">
        <v>22</v>
      </c>
      <c r="J1070" s="8" t="s">
        <v>22</v>
      </c>
      <c r="K1070" s="8" t="s">
        <v>160</v>
      </c>
      <c r="L1070" s="8" t="s">
        <v>125</v>
      </c>
      <c r="M1070" s="8" t="s">
        <v>126</v>
      </c>
      <c r="N1070" s="8" t="s">
        <v>5049</v>
      </c>
      <c r="O1070" s="8">
        <f>2+42/60+59.9/3600</f>
        <v>2.7166388888888893</v>
      </c>
      <c r="P1070" s="8" t="s">
        <v>5050</v>
      </c>
      <c r="Q1070" s="8">
        <f>-(8+17/60+20/3600)</f>
        <v>-8.2888888888888896</v>
      </c>
      <c r="R1070" s="8">
        <v>13.5</v>
      </c>
      <c r="S1070" s="8">
        <v>14.2</v>
      </c>
      <c r="T1070" s="8">
        <v>0.7</v>
      </c>
      <c r="U1070" s="8">
        <v>13.6</v>
      </c>
      <c r="V1070" s="8">
        <v>1.4</v>
      </c>
      <c r="W1070" s="8">
        <v>0.9</v>
      </c>
      <c r="X1070" s="8">
        <v>145</v>
      </c>
      <c r="Y1070" s="8" t="s">
        <v>5051</v>
      </c>
      <c r="Z1070" s="8" t="s">
        <v>5052</v>
      </c>
    </row>
    <row r="1071" spans="1:26" x14ac:dyDescent="0.2">
      <c r="A1071" s="8">
        <v>1070</v>
      </c>
      <c r="B1071" s="8" t="s">
        <v>5053</v>
      </c>
      <c r="C1071" s="8" t="s">
        <v>5053</v>
      </c>
      <c r="F1071" s="47" t="s">
        <v>56240</v>
      </c>
      <c r="G1071" s="8">
        <v>6.5</v>
      </c>
      <c r="H1071" s="8" t="s">
        <v>21</v>
      </c>
      <c r="I1071" s="8" t="s">
        <v>22</v>
      </c>
      <c r="J1071" s="8" t="s">
        <v>22</v>
      </c>
      <c r="K1071" s="8" t="s">
        <v>23</v>
      </c>
      <c r="L1071" s="8" t="s">
        <v>125</v>
      </c>
      <c r="M1071" s="8" t="s">
        <v>126</v>
      </c>
      <c r="N1071" s="8" t="s">
        <v>5054</v>
      </c>
      <c r="O1071" s="8">
        <f>2+43/60+22/3600</f>
        <v>2.722777777777778</v>
      </c>
      <c r="P1071" s="8" t="s">
        <v>5055</v>
      </c>
      <c r="Q1071" s="8">
        <f>+(4+58/60+7/3600)</f>
        <v>4.9686111111111115</v>
      </c>
      <c r="R1071" s="8">
        <v>11.9</v>
      </c>
      <c r="S1071" s="8">
        <v>12.7</v>
      </c>
      <c r="T1071" s="8">
        <v>0.8</v>
      </c>
      <c r="U1071" s="8">
        <v>13.4</v>
      </c>
      <c r="V1071" s="8">
        <v>2.2999999999999998</v>
      </c>
      <c r="W1071" s="8">
        <v>1.9</v>
      </c>
      <c r="X1071" s="8">
        <v>175</v>
      </c>
      <c r="Y1071" s="8" t="s">
        <v>5056</v>
      </c>
      <c r="Z1071" s="8" t="s">
        <v>5057</v>
      </c>
    </row>
    <row r="1072" spans="1:26" x14ac:dyDescent="0.2">
      <c r="A1072" s="8">
        <v>1071</v>
      </c>
      <c r="B1072" s="8" t="s">
        <v>5058</v>
      </c>
      <c r="C1072" s="8" t="s">
        <v>5058</v>
      </c>
      <c r="F1072" s="47"/>
      <c r="G1072" s="8">
        <v>19</v>
      </c>
      <c r="H1072" s="8" t="s">
        <v>21</v>
      </c>
      <c r="I1072" s="8" t="s">
        <v>22</v>
      </c>
      <c r="J1072" s="8" t="s">
        <v>22</v>
      </c>
      <c r="K1072" s="8" t="s">
        <v>91</v>
      </c>
      <c r="L1072" s="8" t="s">
        <v>125</v>
      </c>
      <c r="M1072" s="8" t="s">
        <v>126</v>
      </c>
      <c r="N1072" s="8" t="s">
        <v>5059</v>
      </c>
      <c r="O1072" s="8">
        <f>2+43/60+7.8/3600</f>
        <v>2.7188333333333334</v>
      </c>
      <c r="P1072" s="8" t="s">
        <v>5060</v>
      </c>
      <c r="Q1072" s="8">
        <f>-(8+46/60+27/3600)</f>
        <v>-8.7741666666666678</v>
      </c>
      <c r="R1072" s="8">
        <v>14.4</v>
      </c>
      <c r="S1072" s="8">
        <v>15.3</v>
      </c>
      <c r="T1072" s="8">
        <v>0.9</v>
      </c>
      <c r="U1072" s="8">
        <v>13.7</v>
      </c>
      <c r="V1072" s="8">
        <v>1.2</v>
      </c>
      <c r="W1072" s="8">
        <v>0.5</v>
      </c>
      <c r="X1072" s="8">
        <v>160</v>
      </c>
      <c r="Y1072" s="8" t="s">
        <v>5061</v>
      </c>
      <c r="Z1072" s="8" t="s">
        <v>5062</v>
      </c>
    </row>
    <row r="1073" spans="1:26" x14ac:dyDescent="0.2">
      <c r="A1073" s="8">
        <v>1072</v>
      </c>
      <c r="B1073" s="8" t="s">
        <v>5063</v>
      </c>
      <c r="C1073" s="8" t="s">
        <v>5063</v>
      </c>
      <c r="F1073" s="47"/>
      <c r="G1073" s="8">
        <v>19</v>
      </c>
      <c r="H1073" s="8" t="s">
        <v>21</v>
      </c>
      <c r="I1073" s="8" t="s">
        <v>22</v>
      </c>
      <c r="J1073" s="8" t="s">
        <v>22</v>
      </c>
      <c r="K1073" s="8" t="s">
        <v>218</v>
      </c>
      <c r="L1073" s="8" t="s">
        <v>125</v>
      </c>
      <c r="M1073" s="8" t="s">
        <v>126</v>
      </c>
      <c r="N1073" s="8" t="s">
        <v>5064</v>
      </c>
      <c r="O1073" s="8">
        <f>2+43/60+31.3/3600</f>
        <v>2.7253611111111113</v>
      </c>
      <c r="P1073" s="8" t="s">
        <v>5065</v>
      </c>
      <c r="Q1073" s="8">
        <f>+(0+18/60+25/3600)</f>
        <v>0.30694444444444441</v>
      </c>
      <c r="R1073" s="8">
        <v>13.4</v>
      </c>
      <c r="S1073" s="8">
        <v>14.2</v>
      </c>
      <c r="T1073" s="8">
        <v>0.8</v>
      </c>
      <c r="U1073" s="8">
        <v>12.9</v>
      </c>
      <c r="V1073" s="8">
        <v>1.5</v>
      </c>
      <c r="W1073" s="8">
        <v>0.5</v>
      </c>
      <c r="X1073" s="8">
        <v>11</v>
      </c>
      <c r="Y1073" s="8" t="s">
        <v>5066</v>
      </c>
      <c r="Z1073" s="8" t="s">
        <v>5067</v>
      </c>
    </row>
    <row r="1074" spans="1:26" x14ac:dyDescent="0.2">
      <c r="A1074" s="8">
        <v>1073</v>
      </c>
      <c r="B1074" s="8" t="s">
        <v>5068</v>
      </c>
      <c r="C1074" s="8" t="s">
        <v>5068</v>
      </c>
      <c r="F1074" s="47" t="s">
        <v>56241</v>
      </c>
      <c r="G1074" s="8">
        <v>6.5</v>
      </c>
      <c r="H1074" s="8" t="s">
        <v>21</v>
      </c>
      <c r="I1074" s="8" t="s">
        <v>22</v>
      </c>
      <c r="J1074" s="8" t="s">
        <v>22</v>
      </c>
      <c r="K1074" s="8" t="s">
        <v>64</v>
      </c>
      <c r="L1074" s="8" t="s">
        <v>125</v>
      </c>
      <c r="M1074" s="8" t="s">
        <v>126</v>
      </c>
      <c r="N1074" s="8" t="s">
        <v>5069</v>
      </c>
      <c r="O1074" s="8">
        <f>2+43/60+40.3/3600</f>
        <v>2.7278611111111113</v>
      </c>
      <c r="P1074" s="8" t="s">
        <v>5070</v>
      </c>
      <c r="Q1074" s="8">
        <f>+(1+22/60+34/3600)</f>
        <v>1.3761111111111111</v>
      </c>
      <c r="R1074" s="8">
        <v>11</v>
      </c>
      <c r="S1074" s="8">
        <v>11.5</v>
      </c>
      <c r="T1074" s="8">
        <v>0.5</v>
      </c>
      <c r="U1074" s="8">
        <v>14.2</v>
      </c>
      <c r="V1074" s="8">
        <v>4.9000000000000004</v>
      </c>
      <c r="W1074" s="8">
        <v>4.3</v>
      </c>
      <c r="X1074" s="8">
        <v>15</v>
      </c>
      <c r="Y1074" s="8" t="s">
        <v>5071</v>
      </c>
      <c r="Z1074" s="8" t="s">
        <v>5072</v>
      </c>
    </row>
    <row r="1075" spans="1:26" x14ac:dyDescent="0.2">
      <c r="A1075" s="8">
        <v>1074</v>
      </c>
      <c r="B1075" s="8" t="s">
        <v>5073</v>
      </c>
      <c r="C1075" s="8" t="s">
        <v>5073</v>
      </c>
      <c r="F1075" s="47"/>
      <c r="G1075" s="8">
        <v>19</v>
      </c>
      <c r="H1075" s="8" t="s">
        <v>21</v>
      </c>
      <c r="I1075" s="8" t="s">
        <v>22</v>
      </c>
      <c r="J1075" s="8" t="s">
        <v>22</v>
      </c>
      <c r="K1075" s="8" t="s">
        <v>31</v>
      </c>
      <c r="L1075" s="8" t="s">
        <v>125</v>
      </c>
      <c r="M1075" s="8" t="s">
        <v>126</v>
      </c>
      <c r="N1075" s="8" t="s">
        <v>5074</v>
      </c>
      <c r="O1075" s="8">
        <f>2+43/60+36/3600</f>
        <v>2.7266666666666666</v>
      </c>
      <c r="P1075" s="8" t="s">
        <v>5075</v>
      </c>
      <c r="Q1075" s="8">
        <f>-(16+17/60+49/3600)</f>
        <v>-16.296944444444446</v>
      </c>
      <c r="R1075" s="8">
        <v>14.3</v>
      </c>
      <c r="S1075" s="8">
        <v>15.1</v>
      </c>
      <c r="T1075" s="8">
        <v>0.8</v>
      </c>
      <c r="U1075" s="8">
        <v>15.2</v>
      </c>
      <c r="V1075" s="8">
        <v>2</v>
      </c>
      <c r="W1075" s="8">
        <v>1.3</v>
      </c>
      <c r="X1075" s="8">
        <v>167</v>
      </c>
      <c r="Y1075" s="8" t="s">
        <v>385</v>
      </c>
      <c r="Z1075" s="8" t="s">
        <v>386</v>
      </c>
    </row>
    <row r="1076" spans="1:26" x14ac:dyDescent="0.2">
      <c r="A1076" s="8">
        <v>1075</v>
      </c>
      <c r="B1076" s="8" t="s">
        <v>5076</v>
      </c>
      <c r="C1076" s="8" t="s">
        <v>5076</v>
      </c>
      <c r="F1076" s="47"/>
      <c r="G1076" s="8">
        <v>19</v>
      </c>
      <c r="H1076" s="8" t="s">
        <v>21</v>
      </c>
      <c r="I1076" s="8" t="s">
        <v>22</v>
      </c>
      <c r="J1076" s="8" t="s">
        <v>22</v>
      </c>
      <c r="K1076" s="8" t="s">
        <v>435</v>
      </c>
      <c r="L1076" s="8" t="s">
        <v>125</v>
      </c>
      <c r="M1076" s="8" t="s">
        <v>126</v>
      </c>
      <c r="N1076" s="8" t="s">
        <v>5077</v>
      </c>
      <c r="O1076" s="8">
        <f>2+43/60+33.5/3600</f>
        <v>2.7259722222222225</v>
      </c>
      <c r="P1076" s="8" t="s">
        <v>5078</v>
      </c>
      <c r="Q1076" s="8">
        <f>-(16+12/60+4/3600)</f>
        <v>-16.201111111111111</v>
      </c>
      <c r="R1076" s="8">
        <v>14.3</v>
      </c>
      <c r="S1076" s="8">
        <v>15.2</v>
      </c>
      <c r="T1076" s="8">
        <v>0.9</v>
      </c>
      <c r="U1076" s="8">
        <v>13.4</v>
      </c>
      <c r="V1076" s="8">
        <v>0.8</v>
      </c>
      <c r="W1076" s="8">
        <v>0.6</v>
      </c>
      <c r="X1076" s="8">
        <v>132</v>
      </c>
      <c r="Y1076" s="8" t="s">
        <v>5079</v>
      </c>
      <c r="Z1076" s="8" t="s">
        <v>5080</v>
      </c>
    </row>
    <row r="1077" spans="1:26" x14ac:dyDescent="0.2">
      <c r="A1077" s="8">
        <v>1076</v>
      </c>
      <c r="B1077" s="8" t="s">
        <v>5081</v>
      </c>
      <c r="C1077" s="8" t="s">
        <v>5081</v>
      </c>
      <c r="F1077" s="47"/>
      <c r="G1077" s="8">
        <v>19</v>
      </c>
      <c r="H1077" s="8" t="s">
        <v>21</v>
      </c>
      <c r="I1077" s="8" t="s">
        <v>22</v>
      </c>
      <c r="J1077" s="8" t="s">
        <v>22</v>
      </c>
      <c r="K1077" s="8" t="s">
        <v>632</v>
      </c>
      <c r="L1077" s="8" t="s">
        <v>125</v>
      </c>
      <c r="M1077" s="8" t="s">
        <v>126</v>
      </c>
      <c r="N1077" s="8" t="s">
        <v>5082</v>
      </c>
      <c r="O1077" s="8">
        <f>2+43/60+29.1/3600</f>
        <v>2.7247500000000002</v>
      </c>
      <c r="P1077" s="8" t="s">
        <v>5083</v>
      </c>
      <c r="Q1077" s="8">
        <f>-(14+45/60+18/3600)</f>
        <v>-14.755000000000001</v>
      </c>
      <c r="R1077" s="8">
        <v>12.7</v>
      </c>
      <c r="S1077" s="8">
        <v>13.6</v>
      </c>
      <c r="T1077" s="8">
        <v>0.9</v>
      </c>
      <c r="U1077" s="8">
        <v>13.4</v>
      </c>
      <c r="V1077" s="8">
        <v>2</v>
      </c>
      <c r="W1077" s="8">
        <v>1.1000000000000001</v>
      </c>
      <c r="X1077" s="8">
        <v>99</v>
      </c>
      <c r="Y1077" s="8" t="s">
        <v>5084</v>
      </c>
      <c r="Z1077" s="8" t="s">
        <v>5085</v>
      </c>
    </row>
    <row r="1078" spans="1:26" x14ac:dyDescent="0.2">
      <c r="A1078" s="8">
        <v>1077</v>
      </c>
      <c r="B1078" s="8" t="s">
        <v>5086</v>
      </c>
      <c r="C1078" s="8" t="s">
        <v>5086</v>
      </c>
      <c r="D1078" s="8" t="s">
        <v>351</v>
      </c>
      <c r="F1078" s="47"/>
      <c r="G1078" s="8">
        <v>19</v>
      </c>
      <c r="H1078" s="8" t="s">
        <v>21</v>
      </c>
      <c r="I1078" s="8" t="s">
        <v>22</v>
      </c>
      <c r="J1078" s="8" t="s">
        <v>22</v>
      </c>
      <c r="K1078" s="8" t="s">
        <v>23</v>
      </c>
      <c r="L1078" s="8" t="s">
        <v>3147</v>
      </c>
      <c r="M1078" s="8" t="s">
        <v>3148</v>
      </c>
      <c r="N1078" s="8" t="s">
        <v>5087</v>
      </c>
      <c r="O1078" s="8">
        <f>2+46/60+0.6/3600</f>
        <v>2.7668333333333335</v>
      </c>
      <c r="P1078" s="8" t="s">
        <v>5088</v>
      </c>
      <c r="Q1078" s="8">
        <f>+(40+5/60+24/3600)</f>
        <v>40.090000000000003</v>
      </c>
      <c r="R1078" s="8">
        <v>13.6</v>
      </c>
      <c r="S1078" s="8">
        <v>14.4</v>
      </c>
      <c r="T1078" s="8">
        <v>0.8</v>
      </c>
      <c r="U1078" s="8">
        <v>13.2</v>
      </c>
      <c r="V1078" s="8">
        <v>1.1000000000000001</v>
      </c>
      <c r="W1078" s="8">
        <v>0.8</v>
      </c>
      <c r="X1078" s="8">
        <v>165</v>
      </c>
      <c r="Y1078" s="8" t="s">
        <v>5089</v>
      </c>
      <c r="Z1078" s="8" t="s">
        <v>5090</v>
      </c>
    </row>
    <row r="1079" spans="1:26" x14ac:dyDescent="0.2">
      <c r="A1079" s="8">
        <v>1078</v>
      </c>
      <c r="B1079" s="8" t="s">
        <v>5091</v>
      </c>
      <c r="C1079" s="8" t="s">
        <v>5091</v>
      </c>
      <c r="F1079" s="47"/>
      <c r="G1079" s="8">
        <v>19</v>
      </c>
      <c r="H1079" s="8" t="s">
        <v>21</v>
      </c>
      <c r="I1079" s="8" t="s">
        <v>22</v>
      </c>
      <c r="J1079" s="8" t="s">
        <v>22</v>
      </c>
      <c r="K1079" s="8" t="s">
        <v>58</v>
      </c>
      <c r="L1079" s="8" t="s">
        <v>125</v>
      </c>
      <c r="M1079" s="8" t="s">
        <v>126</v>
      </c>
      <c r="N1079" s="8" t="s">
        <v>5092</v>
      </c>
      <c r="O1079" s="8">
        <f>2+44/60+8/3600</f>
        <v>2.7355555555555555</v>
      </c>
      <c r="P1079" s="8" t="s">
        <v>5093</v>
      </c>
      <c r="Q1079" s="8">
        <f>-(9+27/60+7/3600)</f>
        <v>-9.4519444444444431</v>
      </c>
      <c r="R1079" s="8">
        <v>14.3</v>
      </c>
      <c r="S1079" s="8">
        <v>15.3</v>
      </c>
      <c r="T1079" s="8">
        <v>1</v>
      </c>
      <c r="U1079" s="8">
        <v>14</v>
      </c>
      <c r="V1079" s="8">
        <v>0.9</v>
      </c>
      <c r="W1079" s="8">
        <v>0.8</v>
      </c>
      <c r="X1079" s="8">
        <v>18</v>
      </c>
      <c r="Y1079" s="8" t="s">
        <v>5094</v>
      </c>
      <c r="Z1079" s="8" t="s">
        <v>5095</v>
      </c>
    </row>
    <row r="1080" spans="1:26" x14ac:dyDescent="0.2">
      <c r="A1080" s="8">
        <v>1079</v>
      </c>
      <c r="B1080" s="8" t="s">
        <v>5096</v>
      </c>
      <c r="C1080" s="8" t="s">
        <v>5096</v>
      </c>
      <c r="F1080" s="47"/>
      <c r="G1080" s="8">
        <v>13</v>
      </c>
      <c r="H1080" s="8" t="s">
        <v>21</v>
      </c>
      <c r="I1080" s="8" t="s">
        <v>22</v>
      </c>
      <c r="J1080" s="8" t="s">
        <v>22</v>
      </c>
      <c r="K1080" s="8" t="s">
        <v>5097</v>
      </c>
      <c r="L1080" s="8" t="s">
        <v>3335</v>
      </c>
      <c r="M1080" s="8" t="s">
        <v>3336</v>
      </c>
      <c r="N1080" s="8" t="s">
        <v>5098</v>
      </c>
      <c r="O1080" s="8">
        <f>2+43/60+44.5/3600</f>
        <v>2.7290277777777781</v>
      </c>
      <c r="P1080" s="8" t="s">
        <v>5099</v>
      </c>
      <c r="Q1080" s="8">
        <f>-(29+0/60+10/3600)</f>
        <v>-29.002777777777776</v>
      </c>
      <c r="R1080" s="8">
        <v>11.5</v>
      </c>
      <c r="S1080" s="8">
        <v>12.4</v>
      </c>
      <c r="T1080" s="8">
        <v>0.9</v>
      </c>
      <c r="U1080" s="8">
        <v>13.5</v>
      </c>
      <c r="V1080" s="8">
        <v>5.5</v>
      </c>
      <c r="W1080" s="8">
        <v>3.1</v>
      </c>
      <c r="X1080" s="8">
        <v>87</v>
      </c>
      <c r="Y1080" s="8" t="s">
        <v>5100</v>
      </c>
      <c r="Z1080" s="8" t="s">
        <v>5101</v>
      </c>
    </row>
    <row r="1081" spans="1:26" x14ac:dyDescent="0.2">
      <c r="A1081" s="8">
        <v>1080</v>
      </c>
      <c r="B1081" s="8" t="s">
        <v>5102</v>
      </c>
      <c r="C1081" s="8" t="s">
        <v>5102</v>
      </c>
      <c r="F1081" s="47"/>
      <c r="G1081" s="8">
        <v>19</v>
      </c>
      <c r="H1081" s="8" t="s">
        <v>21</v>
      </c>
      <c r="I1081" s="8" t="s">
        <v>22</v>
      </c>
      <c r="J1081" s="8" t="s">
        <v>22</v>
      </c>
      <c r="K1081" s="8" t="s">
        <v>64</v>
      </c>
      <c r="L1081" s="8" t="s">
        <v>125</v>
      </c>
      <c r="M1081" s="8" t="s">
        <v>126</v>
      </c>
      <c r="N1081" s="8" t="s">
        <v>5103</v>
      </c>
      <c r="O1081" s="8">
        <f>2+45/60+10.1/3600</f>
        <v>2.7528055555555557</v>
      </c>
      <c r="P1081" s="8" t="s">
        <v>5104</v>
      </c>
      <c r="Q1081" s="8">
        <f>-(4+42/60+39/3600)</f>
        <v>-4.7108333333333334</v>
      </c>
      <c r="R1081" s="8">
        <v>13.5</v>
      </c>
      <c r="S1081" s="8">
        <v>14.1</v>
      </c>
      <c r="T1081" s="8">
        <v>0.6</v>
      </c>
      <c r="U1081" s="8">
        <v>13.3</v>
      </c>
      <c r="V1081" s="8">
        <v>1.1000000000000001</v>
      </c>
      <c r="W1081" s="8">
        <v>0.8</v>
      </c>
      <c r="X1081" s="8">
        <v>174</v>
      </c>
      <c r="Y1081" s="8" t="s">
        <v>5105</v>
      </c>
      <c r="Z1081" s="8" t="s">
        <v>881</v>
      </c>
    </row>
    <row r="1082" spans="1:26" x14ac:dyDescent="0.2">
      <c r="A1082" s="8">
        <v>1081</v>
      </c>
      <c r="B1082" s="8" t="s">
        <v>5106</v>
      </c>
      <c r="C1082" s="8" t="s">
        <v>5106</v>
      </c>
      <c r="F1082" s="47"/>
      <c r="G1082" s="8">
        <v>19</v>
      </c>
      <c r="H1082" s="8" t="s">
        <v>21</v>
      </c>
      <c r="I1082" s="8" t="s">
        <v>22</v>
      </c>
      <c r="J1082" s="8" t="s">
        <v>22</v>
      </c>
      <c r="K1082" s="8" t="s">
        <v>23</v>
      </c>
      <c r="L1082" s="8" t="s">
        <v>3328</v>
      </c>
      <c r="M1082" s="8" t="s">
        <v>3329</v>
      </c>
      <c r="N1082" s="8" t="s">
        <v>5107</v>
      </c>
      <c r="O1082" s="8">
        <f>2+45/60+5.4/3600</f>
        <v>2.7515000000000001</v>
      </c>
      <c r="P1082" s="8" t="s">
        <v>5108</v>
      </c>
      <c r="Q1082" s="8">
        <f>-(15+35/60+15/3600)</f>
        <v>-15.5875</v>
      </c>
      <c r="R1082" s="8">
        <v>13.3</v>
      </c>
      <c r="S1082" s="8">
        <v>14.1</v>
      </c>
      <c r="T1082" s="8">
        <v>0.8</v>
      </c>
      <c r="U1082" s="8">
        <v>13.1</v>
      </c>
      <c r="V1082" s="8">
        <v>1.6</v>
      </c>
      <c r="W1082" s="8">
        <v>0.6</v>
      </c>
      <c r="X1082" s="8">
        <v>27</v>
      </c>
      <c r="Y1082" s="8" t="s">
        <v>4170</v>
      </c>
      <c r="Z1082" s="8" t="s">
        <v>4171</v>
      </c>
    </row>
    <row r="1083" spans="1:26" x14ac:dyDescent="0.2">
      <c r="A1083" s="8">
        <v>1082</v>
      </c>
      <c r="B1083" s="8" t="s">
        <v>5109</v>
      </c>
      <c r="C1083" s="8" t="s">
        <v>5109</v>
      </c>
      <c r="E1083" s="8">
        <v>1</v>
      </c>
      <c r="F1083" s="47"/>
      <c r="G1083" s="8">
        <v>19</v>
      </c>
      <c r="H1083" s="8" t="s">
        <v>21</v>
      </c>
      <c r="I1083" s="8" t="s">
        <v>22</v>
      </c>
      <c r="J1083" s="8" t="s">
        <v>22</v>
      </c>
      <c r="K1083" s="8" t="s">
        <v>37</v>
      </c>
      <c r="L1083" s="8" t="s">
        <v>3328</v>
      </c>
      <c r="M1083" s="8" t="s">
        <v>3329</v>
      </c>
      <c r="N1083" s="8" t="s">
        <v>5110</v>
      </c>
      <c r="O1083" s="8">
        <f>2+45/60+41.2/3600</f>
        <v>2.7614444444444444</v>
      </c>
      <c r="P1083" s="8" t="s">
        <v>5111</v>
      </c>
      <c r="Q1083" s="8">
        <f>-(8+10/60+48/3600)</f>
        <v>-8.18</v>
      </c>
      <c r="R1083" s="8">
        <v>14</v>
      </c>
      <c r="S1083" s="8">
        <v>15</v>
      </c>
      <c r="T1083" s="8">
        <v>1</v>
      </c>
      <c r="U1083" s="8">
        <v>13.4</v>
      </c>
      <c r="V1083" s="8">
        <v>0.9</v>
      </c>
      <c r="W1083" s="8">
        <v>0.7</v>
      </c>
      <c r="X1083" s="8">
        <v>120</v>
      </c>
      <c r="Y1083" s="8" t="s">
        <v>5112</v>
      </c>
      <c r="Z1083" s="8" t="s">
        <v>5113</v>
      </c>
    </row>
    <row r="1084" spans="1:26" x14ac:dyDescent="0.2">
      <c r="A1084" s="8">
        <v>1083</v>
      </c>
      <c r="B1084" s="8" t="s">
        <v>5114</v>
      </c>
      <c r="C1084" s="8" t="s">
        <v>5114</v>
      </c>
      <c r="F1084" s="47"/>
      <c r="G1084" s="8">
        <v>19</v>
      </c>
      <c r="H1084" s="8" t="s">
        <v>21</v>
      </c>
      <c r="I1084" s="8" t="s">
        <v>22</v>
      </c>
      <c r="J1084" s="8" t="s">
        <v>22</v>
      </c>
      <c r="K1084" s="8" t="s">
        <v>23</v>
      </c>
      <c r="L1084" s="8" t="s">
        <v>3328</v>
      </c>
      <c r="M1084" s="8" t="s">
        <v>3329</v>
      </c>
      <c r="N1084" s="8" t="s">
        <v>5115</v>
      </c>
      <c r="O1084" s="8">
        <f>2+45/60+40.7/3600</f>
        <v>2.7613055555555555</v>
      </c>
      <c r="P1084" s="8" t="s">
        <v>5116</v>
      </c>
      <c r="Q1084" s="8">
        <f>-(15+21/60+26/3600)</f>
        <v>-15.357222222222221</v>
      </c>
      <c r="R1084" s="8">
        <v>14.4</v>
      </c>
      <c r="S1084" s="8">
        <v>15.2</v>
      </c>
      <c r="T1084" s="8">
        <v>0.8</v>
      </c>
      <c r="U1084" s="8">
        <v>13.5</v>
      </c>
      <c r="V1084" s="8">
        <v>1.6</v>
      </c>
      <c r="W1084" s="8">
        <v>0.3</v>
      </c>
      <c r="X1084" s="8">
        <v>17</v>
      </c>
      <c r="Y1084" s="8" t="s">
        <v>5117</v>
      </c>
      <c r="Z1084" s="8" t="s">
        <v>5118</v>
      </c>
    </row>
    <row r="1085" spans="1:26" x14ac:dyDescent="0.2">
      <c r="A1085" s="8">
        <v>1084</v>
      </c>
      <c r="B1085" s="8" t="s">
        <v>5119</v>
      </c>
      <c r="C1085" s="8" t="s">
        <v>5119</v>
      </c>
      <c r="F1085" s="47" t="s">
        <v>56242</v>
      </c>
      <c r="G1085" s="8">
        <v>6</v>
      </c>
      <c r="H1085" s="8" t="s">
        <v>21</v>
      </c>
      <c r="I1085" s="8" t="s">
        <v>22</v>
      </c>
      <c r="J1085" s="8" t="s">
        <v>22</v>
      </c>
      <c r="K1085" s="8" t="s">
        <v>160</v>
      </c>
      <c r="L1085" s="8" t="s">
        <v>3328</v>
      </c>
      <c r="M1085" s="8" t="s">
        <v>3329</v>
      </c>
      <c r="N1085" s="8" t="s">
        <v>5120</v>
      </c>
      <c r="O1085" s="8">
        <f>2+45/60+59.8/3600</f>
        <v>2.7666111111111111</v>
      </c>
      <c r="P1085" s="8" t="s">
        <v>5121</v>
      </c>
      <c r="Q1085" s="8">
        <f>-(7+34/60+40/3600)</f>
        <v>-7.5777777777777775</v>
      </c>
      <c r="R1085" s="8">
        <v>10.7</v>
      </c>
      <c r="S1085" s="8">
        <v>11.3</v>
      </c>
      <c r="T1085" s="8">
        <v>0.6</v>
      </c>
      <c r="U1085" s="8">
        <v>12.5</v>
      </c>
      <c r="V1085" s="8">
        <v>2.8</v>
      </c>
      <c r="W1085" s="8">
        <v>1.4</v>
      </c>
      <c r="X1085" s="8">
        <v>30</v>
      </c>
      <c r="Y1085" s="8" t="s">
        <v>5122</v>
      </c>
      <c r="Z1085" s="8" t="s">
        <v>5123</v>
      </c>
    </row>
    <row r="1086" spans="1:26" x14ac:dyDescent="0.2">
      <c r="A1086" s="8">
        <v>1085</v>
      </c>
      <c r="B1086" s="8" t="s">
        <v>5124</v>
      </c>
      <c r="C1086" s="8" t="s">
        <v>5124</v>
      </c>
      <c r="F1086" s="47"/>
      <c r="G1086" s="8">
        <v>18</v>
      </c>
      <c r="H1086" s="8" t="s">
        <v>21</v>
      </c>
      <c r="I1086" s="8" t="s">
        <v>22</v>
      </c>
      <c r="J1086" s="8" t="s">
        <v>22</v>
      </c>
      <c r="K1086" s="8" t="s">
        <v>396</v>
      </c>
      <c r="L1086" s="8" t="s">
        <v>125</v>
      </c>
      <c r="M1086" s="8" t="s">
        <v>126</v>
      </c>
      <c r="N1086" s="8" t="s">
        <v>5125</v>
      </c>
      <c r="O1086" s="8">
        <f>2+46/60+25.2/3600</f>
        <v>2.7736666666666667</v>
      </c>
      <c r="P1086" s="8" t="s">
        <v>5126</v>
      </c>
      <c r="Q1086" s="8">
        <f>+(3+36/60+28/3600)</f>
        <v>3.6077777777777778</v>
      </c>
      <c r="R1086" s="8">
        <v>12.4</v>
      </c>
      <c r="S1086" s="8">
        <v>13.2</v>
      </c>
      <c r="T1086" s="8">
        <v>0.8</v>
      </c>
      <c r="U1086" s="8">
        <v>13.2</v>
      </c>
      <c r="V1086" s="8">
        <v>1.8</v>
      </c>
      <c r="W1086" s="8">
        <v>1.3</v>
      </c>
      <c r="X1086" s="8">
        <v>15</v>
      </c>
      <c r="Y1086" s="8" t="s">
        <v>5127</v>
      </c>
      <c r="Z1086" s="8" t="s">
        <v>5128</v>
      </c>
    </row>
    <row r="1087" spans="1:26" x14ac:dyDescent="0.2">
      <c r="A1087" s="8">
        <v>1086</v>
      </c>
      <c r="B1087" s="8" t="s">
        <v>5129</v>
      </c>
      <c r="C1087" s="8" t="s">
        <v>5129</v>
      </c>
      <c r="F1087" s="47"/>
      <c r="G1087" s="8">
        <v>19</v>
      </c>
      <c r="H1087" s="8" t="s">
        <v>21</v>
      </c>
      <c r="I1087" s="8" t="s">
        <v>22</v>
      </c>
      <c r="J1087" s="8" t="s">
        <v>22</v>
      </c>
      <c r="K1087" s="8" t="s">
        <v>160</v>
      </c>
      <c r="L1087" s="8" t="s">
        <v>3147</v>
      </c>
      <c r="M1087" s="8" t="s">
        <v>3148</v>
      </c>
      <c r="N1087" s="8" t="s">
        <v>5130</v>
      </c>
      <c r="O1087" s="8">
        <f>2+47/60+56.2/3600</f>
        <v>2.7989444444444445</v>
      </c>
      <c r="P1087" s="8" t="s">
        <v>5131</v>
      </c>
      <c r="Q1087" s="8">
        <f>+(41+14/60+48/3600)</f>
        <v>41.24666666666667</v>
      </c>
      <c r="R1087" s="8">
        <v>12.8</v>
      </c>
      <c r="S1087" s="8">
        <v>13.5</v>
      </c>
      <c r="T1087" s="8">
        <v>0.7</v>
      </c>
      <c r="U1087" s="8">
        <v>13.1</v>
      </c>
      <c r="V1087" s="8">
        <v>1.5</v>
      </c>
      <c r="W1087" s="8">
        <v>1</v>
      </c>
      <c r="X1087" s="8">
        <v>35</v>
      </c>
      <c r="Y1087" s="8" t="s">
        <v>5132</v>
      </c>
      <c r="Z1087" s="8" t="s">
        <v>5133</v>
      </c>
    </row>
    <row r="1088" spans="1:26" x14ac:dyDescent="0.2">
      <c r="A1088" s="8">
        <v>1087</v>
      </c>
      <c r="B1088" s="8" t="s">
        <v>5134</v>
      </c>
      <c r="C1088" s="8" t="s">
        <v>5134</v>
      </c>
      <c r="F1088" s="47" t="s">
        <v>56243</v>
      </c>
      <c r="G1088" s="8">
        <v>6.5</v>
      </c>
      <c r="H1088" s="8" t="s">
        <v>21</v>
      </c>
      <c r="I1088" s="8" t="s">
        <v>22</v>
      </c>
      <c r="J1088" s="8" t="s">
        <v>22</v>
      </c>
      <c r="K1088" s="8" t="s">
        <v>64</v>
      </c>
      <c r="L1088" s="8" t="s">
        <v>125</v>
      </c>
      <c r="M1088" s="8" t="s">
        <v>126</v>
      </c>
      <c r="N1088" s="8" t="s">
        <v>5125</v>
      </c>
      <c r="O1088" s="8">
        <f>2+46/60+25.2/3600</f>
        <v>2.7736666666666667</v>
      </c>
      <c r="P1088" s="8" t="s">
        <v>5135</v>
      </c>
      <c r="Q1088" s="8">
        <f>-(0+29/60+57/3600)</f>
        <v>-0.49916666666666665</v>
      </c>
      <c r="R1088" s="8">
        <v>10.9</v>
      </c>
      <c r="S1088" s="8">
        <v>11.5</v>
      </c>
      <c r="T1088" s="8">
        <v>0.6</v>
      </c>
      <c r="U1088" s="8">
        <v>13.1</v>
      </c>
      <c r="V1088" s="8">
        <v>3.9</v>
      </c>
      <c r="W1088" s="8">
        <v>2.2999999999999998</v>
      </c>
      <c r="X1088" s="8">
        <v>5</v>
      </c>
      <c r="Y1088" s="8" t="s">
        <v>3942</v>
      </c>
      <c r="Z1088" s="8" t="s">
        <v>3943</v>
      </c>
    </row>
    <row r="1089" spans="1:26" x14ac:dyDescent="0.2">
      <c r="A1089" s="8">
        <v>1088</v>
      </c>
      <c r="B1089" s="8" t="s">
        <v>5136</v>
      </c>
      <c r="C1089" s="8" t="s">
        <v>5136</v>
      </c>
      <c r="F1089" s="47" t="s">
        <v>56244</v>
      </c>
      <c r="G1089" s="8">
        <v>15</v>
      </c>
      <c r="H1089" s="8" t="s">
        <v>21</v>
      </c>
      <c r="I1089" s="8" t="s">
        <v>22</v>
      </c>
      <c r="J1089" s="8" t="s">
        <v>22</v>
      </c>
      <c r="K1089" s="8" t="s">
        <v>632</v>
      </c>
      <c r="L1089" s="8" t="s">
        <v>3256</v>
      </c>
      <c r="M1089" s="8" t="s">
        <v>3257</v>
      </c>
      <c r="N1089" s="8" t="s">
        <v>5137</v>
      </c>
      <c r="O1089" s="8">
        <f>2+47/60+3.9/3600</f>
        <v>2.7844166666666665</v>
      </c>
      <c r="P1089" s="8" t="s">
        <v>5138</v>
      </c>
      <c r="Q1089" s="8">
        <f>+(16+12/60+1/3600)</f>
        <v>16.200277777777778</v>
      </c>
      <c r="R1089" s="8">
        <v>13.6</v>
      </c>
      <c r="S1089" s="8">
        <v>14.5</v>
      </c>
      <c r="T1089" s="8">
        <v>0.9</v>
      </c>
      <c r="U1089" s="8">
        <v>12.9</v>
      </c>
      <c r="V1089" s="8">
        <v>1</v>
      </c>
      <c r="W1089" s="8">
        <v>0.6</v>
      </c>
      <c r="X1089" s="8">
        <v>99</v>
      </c>
      <c r="Y1089" s="8" t="s">
        <v>5139</v>
      </c>
      <c r="Z1089" s="8" t="s">
        <v>5140</v>
      </c>
    </row>
    <row r="1090" spans="1:26" x14ac:dyDescent="0.2">
      <c r="A1090" s="8">
        <v>1089</v>
      </c>
      <c r="B1090" s="8" t="s">
        <v>5141</v>
      </c>
      <c r="C1090" s="8" t="s">
        <v>5141</v>
      </c>
      <c r="F1090" s="47"/>
      <c r="G1090" s="8">
        <v>19</v>
      </c>
      <c r="H1090" s="8" t="s">
        <v>21</v>
      </c>
      <c r="I1090" s="8" t="s">
        <v>22</v>
      </c>
      <c r="J1090" s="8" t="s">
        <v>22</v>
      </c>
      <c r="K1090" s="8" t="s">
        <v>183</v>
      </c>
      <c r="L1090" s="8" t="s">
        <v>3328</v>
      </c>
      <c r="M1090" s="8" t="s">
        <v>3329</v>
      </c>
      <c r="N1090" s="8" t="s">
        <v>5142</v>
      </c>
      <c r="O1090" s="8">
        <f>2+46/60+10/3600</f>
        <v>2.7694444444444444</v>
      </c>
      <c r="P1090" s="8" t="s">
        <v>5143</v>
      </c>
      <c r="Q1090" s="8">
        <f>-(15+4/60+25/3600)</f>
        <v>-15.073611111111111</v>
      </c>
      <c r="R1090" s="8">
        <v>13.5</v>
      </c>
      <c r="S1090" s="8">
        <v>14.5</v>
      </c>
      <c r="T1090" s="8">
        <v>1</v>
      </c>
      <c r="U1090" s="8">
        <v>13.4</v>
      </c>
      <c r="V1090" s="8">
        <v>0.9</v>
      </c>
      <c r="W1090" s="8">
        <v>0.8</v>
      </c>
      <c r="X1090" s="8">
        <v>15</v>
      </c>
      <c r="Y1090" s="8" t="s">
        <v>5144</v>
      </c>
      <c r="Z1090" s="8" t="s">
        <v>5145</v>
      </c>
    </row>
    <row r="1091" spans="1:26" x14ac:dyDescent="0.2">
      <c r="A1091" s="8">
        <v>1090</v>
      </c>
      <c r="B1091" s="8" t="s">
        <v>5146</v>
      </c>
      <c r="C1091" s="8" t="s">
        <v>5146</v>
      </c>
      <c r="F1091" s="47" t="s">
        <v>56245</v>
      </c>
      <c r="G1091" s="8">
        <v>6.5</v>
      </c>
      <c r="H1091" s="8" t="s">
        <v>21</v>
      </c>
      <c r="I1091" s="8" t="s">
        <v>22</v>
      </c>
      <c r="J1091" s="8" t="s">
        <v>22</v>
      </c>
      <c r="K1091" s="8" t="s">
        <v>85</v>
      </c>
      <c r="L1091" s="8" t="s">
        <v>125</v>
      </c>
      <c r="M1091" s="8" t="s">
        <v>126</v>
      </c>
      <c r="N1091" s="8" t="s">
        <v>5147</v>
      </c>
      <c r="O1091" s="8">
        <f>2+46/60+34/3600</f>
        <v>2.7761111111111112</v>
      </c>
      <c r="P1091" s="8" t="s">
        <v>5148</v>
      </c>
      <c r="Q1091" s="8">
        <f>-(0+14/60+52/3600)</f>
        <v>-0.24777777777777779</v>
      </c>
      <c r="R1091" s="8">
        <v>11.8</v>
      </c>
      <c r="S1091" s="8">
        <v>12.5</v>
      </c>
      <c r="T1091" s="8">
        <v>0.7</v>
      </c>
      <c r="U1091" s="8">
        <v>13.8</v>
      </c>
      <c r="V1091" s="8">
        <v>3.9</v>
      </c>
      <c r="W1091" s="8">
        <v>1.8</v>
      </c>
      <c r="X1091" s="8">
        <v>102</v>
      </c>
      <c r="Y1091" s="8" t="s">
        <v>5149</v>
      </c>
      <c r="Z1091" s="8" t="s">
        <v>5150</v>
      </c>
    </row>
    <row r="1092" spans="1:26" x14ac:dyDescent="0.2">
      <c r="A1092" s="8">
        <v>1091</v>
      </c>
      <c r="B1092" s="8" t="s">
        <v>5151</v>
      </c>
      <c r="C1092" s="8" t="s">
        <v>5151</v>
      </c>
      <c r="F1092" s="47"/>
      <c r="G1092" s="8">
        <v>19</v>
      </c>
      <c r="H1092" s="8" t="s">
        <v>21</v>
      </c>
      <c r="I1092" s="8" t="s">
        <v>22</v>
      </c>
      <c r="J1092" s="8" t="s">
        <v>22</v>
      </c>
      <c r="K1092" s="8" t="s">
        <v>154</v>
      </c>
      <c r="L1092" s="8" t="s">
        <v>3328</v>
      </c>
      <c r="M1092" s="8" t="s">
        <v>3329</v>
      </c>
      <c r="N1092" s="8" t="s">
        <v>5152</v>
      </c>
      <c r="O1092" s="8">
        <f>2+45/60+22.3/3600</f>
        <v>2.7561944444444446</v>
      </c>
      <c r="P1092" s="8" t="s">
        <v>5153</v>
      </c>
      <c r="Q1092" s="8">
        <f>-(17+32/60+0/3600)</f>
        <v>-17.533333333333335</v>
      </c>
      <c r="R1092" s="8">
        <v>14.1</v>
      </c>
      <c r="S1092" s="8">
        <v>15</v>
      </c>
      <c r="T1092" s="8">
        <v>0.9</v>
      </c>
      <c r="U1092" s="8">
        <v>14.5</v>
      </c>
      <c r="V1092" s="8">
        <v>0.9</v>
      </c>
      <c r="W1092" s="8">
        <v>0.6</v>
      </c>
      <c r="X1092" s="8">
        <v>77</v>
      </c>
      <c r="Y1092" s="8" t="s">
        <v>2636</v>
      </c>
      <c r="Z1092" s="8" t="s">
        <v>2637</v>
      </c>
    </row>
    <row r="1093" spans="1:26" x14ac:dyDescent="0.2">
      <c r="A1093" s="8">
        <v>1092</v>
      </c>
      <c r="B1093" s="8" t="s">
        <v>5154</v>
      </c>
      <c r="C1093" s="8" t="s">
        <v>5154</v>
      </c>
      <c r="F1093" s="47"/>
      <c r="G1093" s="8">
        <v>19</v>
      </c>
      <c r="H1093" s="8" t="s">
        <v>21</v>
      </c>
      <c r="I1093" s="8" t="s">
        <v>22</v>
      </c>
      <c r="J1093" s="8" t="s">
        <v>22</v>
      </c>
      <c r="K1093" s="8" t="s">
        <v>183</v>
      </c>
      <c r="L1093" s="8" t="s">
        <v>3328</v>
      </c>
      <c r="M1093" s="8" t="s">
        <v>3329</v>
      </c>
      <c r="N1093" s="8" t="s">
        <v>5155</v>
      </c>
      <c r="O1093" s="8">
        <f>2+45/60+29.5/3600</f>
        <v>2.7581944444444444</v>
      </c>
      <c r="P1093" s="8" t="s">
        <v>5156</v>
      </c>
      <c r="Q1093" s="8">
        <f>-(17+32/60+33/3600)</f>
        <v>-17.5425</v>
      </c>
      <c r="R1093" s="8">
        <v>14</v>
      </c>
      <c r="S1093" s="8">
        <v>15</v>
      </c>
      <c r="T1093" s="8">
        <v>1</v>
      </c>
      <c r="U1093" s="8">
        <v>13.7</v>
      </c>
      <c r="V1093" s="8">
        <v>0.9</v>
      </c>
      <c r="W1093" s="8">
        <v>0.8</v>
      </c>
      <c r="X1093" s="8">
        <v>170</v>
      </c>
      <c r="Y1093" s="8" t="s">
        <v>5157</v>
      </c>
      <c r="Z1093" s="8" t="s">
        <v>2637</v>
      </c>
    </row>
    <row r="1094" spans="1:26" x14ac:dyDescent="0.2">
      <c r="A1094" s="8">
        <v>1093</v>
      </c>
      <c r="B1094" s="8" t="s">
        <v>5158</v>
      </c>
      <c r="C1094" s="8" t="s">
        <v>5158</v>
      </c>
      <c r="F1094" s="47"/>
      <c r="G1094" s="8">
        <v>19</v>
      </c>
      <c r="H1094" s="8" t="s">
        <v>21</v>
      </c>
      <c r="I1094" s="8" t="s">
        <v>22</v>
      </c>
      <c r="J1094" s="8" t="s">
        <v>22</v>
      </c>
      <c r="K1094" s="8" t="s">
        <v>31</v>
      </c>
      <c r="L1094" s="8" t="s">
        <v>2809</v>
      </c>
      <c r="M1094" s="8" t="s">
        <v>2810</v>
      </c>
      <c r="N1094" s="8" t="s">
        <v>5159</v>
      </c>
      <c r="O1094" s="8">
        <f>2+48/60+16.1/3600</f>
        <v>2.804472222222222</v>
      </c>
      <c r="P1094" s="8" t="s">
        <v>5160</v>
      </c>
      <c r="Q1094" s="8">
        <f>+(34+25/60+12/3600)</f>
        <v>34.419999999999995</v>
      </c>
      <c r="R1094" s="8">
        <v>13.1</v>
      </c>
      <c r="S1094" s="8">
        <v>13.9</v>
      </c>
      <c r="T1094" s="8">
        <v>0.8</v>
      </c>
      <c r="U1094" s="8">
        <v>13.3</v>
      </c>
      <c r="V1094" s="8">
        <v>1.4</v>
      </c>
      <c r="W1094" s="8">
        <v>1</v>
      </c>
      <c r="X1094" s="8">
        <v>100</v>
      </c>
      <c r="Y1094" s="8" t="s">
        <v>266</v>
      </c>
      <c r="Z1094" s="8" t="s">
        <v>267</v>
      </c>
    </row>
    <row r="1095" spans="1:26" x14ac:dyDescent="0.2">
      <c r="A1095" s="8">
        <v>1094</v>
      </c>
      <c r="B1095" s="8" t="s">
        <v>5161</v>
      </c>
      <c r="C1095" s="8" t="s">
        <v>5161</v>
      </c>
      <c r="F1095" s="47" t="s">
        <v>56246</v>
      </c>
      <c r="G1095" s="8">
        <v>15</v>
      </c>
      <c r="H1095" s="8" t="s">
        <v>21</v>
      </c>
      <c r="I1095" s="8" t="s">
        <v>22</v>
      </c>
      <c r="J1095" s="8" t="s">
        <v>22</v>
      </c>
      <c r="K1095" s="8" t="s">
        <v>406</v>
      </c>
      <c r="L1095" s="8" t="s">
        <v>125</v>
      </c>
      <c r="M1095" s="8" t="s">
        <v>126</v>
      </c>
      <c r="N1095" s="8" t="s">
        <v>5162</v>
      </c>
      <c r="O1095" s="8">
        <f>2+47/60+27.8/3600</f>
        <v>2.7910555555555554</v>
      </c>
      <c r="P1095" s="8" t="s">
        <v>5163</v>
      </c>
      <c r="Q1095" s="8">
        <f>-(0+17/60+7/3600)</f>
        <v>-0.2852777777777778</v>
      </c>
      <c r="R1095" s="8">
        <v>12.5</v>
      </c>
      <c r="S1095" s="8">
        <v>13.3</v>
      </c>
      <c r="T1095" s="8">
        <v>0.8</v>
      </c>
      <c r="U1095" s="8">
        <v>12.7</v>
      </c>
      <c r="V1095" s="8">
        <v>1.3</v>
      </c>
      <c r="W1095" s="8">
        <v>1</v>
      </c>
      <c r="X1095" s="8">
        <v>85</v>
      </c>
      <c r="Y1095" s="8" t="s">
        <v>5164</v>
      </c>
      <c r="Z1095" s="8" t="s">
        <v>5165</v>
      </c>
    </row>
    <row r="1096" spans="1:26" x14ac:dyDescent="0.2">
      <c r="A1096" s="8">
        <v>1095</v>
      </c>
      <c r="B1096" s="8" t="s">
        <v>5166</v>
      </c>
      <c r="C1096" s="8" t="s">
        <v>5166</v>
      </c>
      <c r="F1096" s="47"/>
      <c r="G1096" s="8">
        <v>18</v>
      </c>
      <c r="H1096" s="8" t="s">
        <v>21</v>
      </c>
      <c r="I1096" s="8" t="s">
        <v>22</v>
      </c>
      <c r="J1096" s="8" t="s">
        <v>22</v>
      </c>
      <c r="K1096" s="8" t="s">
        <v>64</v>
      </c>
      <c r="L1096" s="8" t="s">
        <v>125</v>
      </c>
      <c r="M1096" s="8" t="s">
        <v>126</v>
      </c>
      <c r="N1096" s="8" t="s">
        <v>5167</v>
      </c>
      <c r="O1096" s="8">
        <f>2+47/60+37.7/3600</f>
        <v>2.7938055555555557</v>
      </c>
      <c r="P1096" s="8" t="s">
        <v>5168</v>
      </c>
      <c r="Q1096" s="8">
        <f>+(4+38/60+17/3600)</f>
        <v>4.6380555555555549</v>
      </c>
      <c r="R1096" s="8">
        <v>13.3</v>
      </c>
      <c r="S1096" s="8">
        <v>14</v>
      </c>
      <c r="T1096" s="8">
        <v>0.7</v>
      </c>
      <c r="U1096" s="8">
        <v>13</v>
      </c>
      <c r="V1096" s="8">
        <v>1.3</v>
      </c>
      <c r="W1096" s="8">
        <v>0.8</v>
      </c>
      <c r="X1096" s="8">
        <v>45</v>
      </c>
      <c r="Y1096" s="8" t="s">
        <v>4170</v>
      </c>
      <c r="Z1096" s="8" t="s">
        <v>4171</v>
      </c>
    </row>
    <row r="1097" spans="1:26" x14ac:dyDescent="0.2">
      <c r="A1097" s="8">
        <v>1096</v>
      </c>
      <c r="B1097" s="8" t="s">
        <v>5169</v>
      </c>
      <c r="C1097" s="8" t="s">
        <v>5169</v>
      </c>
      <c r="F1097" s="47"/>
      <c r="G1097" s="8">
        <v>16</v>
      </c>
      <c r="H1097" s="8" t="s">
        <v>21</v>
      </c>
      <c r="I1097" s="8" t="s">
        <v>22</v>
      </c>
      <c r="J1097" s="8" t="s">
        <v>22</v>
      </c>
      <c r="K1097" s="8" t="s">
        <v>85</v>
      </c>
      <c r="L1097" s="8" t="s">
        <v>4263</v>
      </c>
      <c r="M1097" s="8" t="s">
        <v>4264</v>
      </c>
      <c r="N1097" s="8" t="s">
        <v>5170</v>
      </c>
      <c r="O1097" s="8">
        <f>2+43/60+49.3/3600</f>
        <v>2.7303611111111112</v>
      </c>
      <c r="P1097" s="8" t="s">
        <v>5171</v>
      </c>
      <c r="Q1097" s="8">
        <f>-(59+54/60+50/3600)</f>
        <v>-59.913888888888884</v>
      </c>
      <c r="R1097" s="8">
        <v>12.8</v>
      </c>
      <c r="S1097" s="8">
        <v>13.5</v>
      </c>
      <c r="T1097" s="8">
        <v>0.7</v>
      </c>
      <c r="U1097" s="8">
        <v>14</v>
      </c>
      <c r="V1097" s="8">
        <v>1.9</v>
      </c>
      <c r="W1097" s="8">
        <v>1.8</v>
      </c>
      <c r="X1097" s="8">
        <v>50</v>
      </c>
      <c r="Y1097" s="8" t="s">
        <v>5172</v>
      </c>
      <c r="Z1097" s="8" t="s">
        <v>5173</v>
      </c>
    </row>
    <row r="1098" spans="1:26" x14ac:dyDescent="0.2">
      <c r="A1098" s="8">
        <v>1097</v>
      </c>
      <c r="B1098" s="8" t="s">
        <v>5174</v>
      </c>
      <c r="C1098" s="8" t="s">
        <v>5174</v>
      </c>
      <c r="F1098" s="47" t="s">
        <v>56247</v>
      </c>
      <c r="G1098" s="8">
        <v>2</v>
      </c>
      <c r="H1098" s="8" t="s">
        <v>21</v>
      </c>
      <c r="I1098" s="8" t="s">
        <v>22</v>
      </c>
      <c r="J1098" s="8" t="s">
        <v>22</v>
      </c>
      <c r="K1098" s="8" t="s">
        <v>218</v>
      </c>
      <c r="L1098" s="8" t="s">
        <v>3335</v>
      </c>
      <c r="M1098" s="8" t="s">
        <v>3336</v>
      </c>
      <c r="N1098" s="8" t="s">
        <v>5175</v>
      </c>
      <c r="O1098" s="8">
        <f>2+46/60+19.5/3600</f>
        <v>2.7720833333333332</v>
      </c>
      <c r="P1098" s="8" t="s">
        <v>5176</v>
      </c>
      <c r="Q1098" s="8">
        <f>-(30+16/60+32/3600)</f>
        <v>-30.275555555555556</v>
      </c>
      <c r="R1098" s="8">
        <v>9.5</v>
      </c>
      <c r="S1098" s="8">
        <v>10.199999999999999</v>
      </c>
      <c r="T1098" s="8">
        <v>0.7</v>
      </c>
      <c r="U1098" s="8">
        <v>13.8</v>
      </c>
      <c r="V1098" s="8">
        <v>9.4</v>
      </c>
      <c r="W1098" s="8">
        <v>6.6</v>
      </c>
      <c r="X1098" s="8">
        <v>130</v>
      </c>
      <c r="Y1098" s="8" t="s">
        <v>5177</v>
      </c>
      <c r="Z1098" s="8" t="s">
        <v>5178</v>
      </c>
    </row>
    <row r="1099" spans="1:26" x14ac:dyDescent="0.2">
      <c r="A1099" s="8">
        <v>1098</v>
      </c>
      <c r="B1099" s="8" t="s">
        <v>5179</v>
      </c>
      <c r="C1099" s="8" t="s">
        <v>5179</v>
      </c>
      <c r="F1099" s="47"/>
      <c r="G1099" s="8">
        <v>19</v>
      </c>
      <c r="H1099" s="8" t="s">
        <v>21</v>
      </c>
      <c r="I1099" s="8" t="s">
        <v>22</v>
      </c>
      <c r="J1099" s="8" t="s">
        <v>22</v>
      </c>
      <c r="K1099" s="8" t="s">
        <v>58</v>
      </c>
      <c r="L1099" s="8" t="s">
        <v>3328</v>
      </c>
      <c r="M1099" s="8" t="s">
        <v>3329</v>
      </c>
      <c r="N1099" s="8" t="s">
        <v>5180</v>
      </c>
      <c r="O1099" s="8">
        <f>2+44/60+53.6/3600</f>
        <v>2.7482222222222221</v>
      </c>
      <c r="P1099" s="8" t="s">
        <v>5181</v>
      </c>
      <c r="Q1099" s="8">
        <f>-(17+39/60+34/3600)</f>
        <v>-17.659444444444443</v>
      </c>
      <c r="R1099" s="8">
        <v>12.6</v>
      </c>
      <c r="S1099" s="8">
        <v>13.6</v>
      </c>
      <c r="T1099" s="8">
        <v>1</v>
      </c>
      <c r="U1099" s="8">
        <v>13.4</v>
      </c>
      <c r="V1099" s="8">
        <v>1.7</v>
      </c>
      <c r="W1099" s="8">
        <v>1.3</v>
      </c>
      <c r="X1099" s="8">
        <v>102</v>
      </c>
      <c r="Y1099" s="8" t="s">
        <v>5182</v>
      </c>
      <c r="Z1099" s="8" t="s">
        <v>5183</v>
      </c>
    </row>
    <row r="1100" spans="1:26" x14ac:dyDescent="0.2">
      <c r="A1100" s="8">
        <v>1099</v>
      </c>
      <c r="B1100" s="8" t="s">
        <v>5184</v>
      </c>
      <c r="C1100" s="8" t="s">
        <v>5184</v>
      </c>
      <c r="F1100" s="47"/>
      <c r="G1100" s="8">
        <v>19</v>
      </c>
      <c r="H1100" s="8" t="s">
        <v>21</v>
      </c>
      <c r="I1100" s="8" t="s">
        <v>22</v>
      </c>
      <c r="J1100" s="8" t="s">
        <v>22</v>
      </c>
      <c r="K1100" s="8" t="s">
        <v>218</v>
      </c>
      <c r="L1100" s="8" t="s">
        <v>3328</v>
      </c>
      <c r="M1100" s="8" t="s">
        <v>3329</v>
      </c>
      <c r="N1100" s="8" t="s">
        <v>5185</v>
      </c>
      <c r="O1100" s="8">
        <f>2+45/60+17.8/3600</f>
        <v>2.7549444444444444</v>
      </c>
      <c r="P1100" s="8" t="s">
        <v>5186</v>
      </c>
      <c r="Q1100" s="8">
        <f>-(17+42/60+31/3600)</f>
        <v>-17.708611111111111</v>
      </c>
      <c r="R1100" s="8">
        <v>13.1</v>
      </c>
      <c r="S1100" s="8">
        <v>13.9</v>
      </c>
      <c r="T1100" s="8">
        <v>0.8</v>
      </c>
      <c r="U1100" s="8">
        <v>13</v>
      </c>
      <c r="V1100" s="8">
        <v>1.9</v>
      </c>
      <c r="W1100" s="8">
        <v>0.6</v>
      </c>
      <c r="X1100" s="8">
        <v>10</v>
      </c>
      <c r="Y1100" s="8" t="s">
        <v>5187</v>
      </c>
      <c r="Z1100" s="8" t="s">
        <v>5188</v>
      </c>
    </row>
    <row r="1101" spans="1:26" x14ac:dyDescent="0.2">
      <c r="A1101" s="8">
        <v>1100</v>
      </c>
      <c r="B1101" s="8" t="s">
        <v>5189</v>
      </c>
      <c r="C1101" s="8" t="s">
        <v>5189</v>
      </c>
      <c r="F1101" s="47"/>
      <c r="G1101" s="8">
        <v>19</v>
      </c>
      <c r="H1101" s="8" t="s">
        <v>21</v>
      </c>
      <c r="I1101" s="8" t="s">
        <v>22</v>
      </c>
      <c r="J1101" s="8" t="s">
        <v>22</v>
      </c>
      <c r="K1101" s="8" t="s">
        <v>154</v>
      </c>
      <c r="L1101" s="8" t="s">
        <v>3328</v>
      </c>
      <c r="M1101" s="8" t="s">
        <v>3329</v>
      </c>
      <c r="N1101" s="8" t="s">
        <v>5190</v>
      </c>
      <c r="O1101" s="8">
        <f>2+45/60+35.9/3600</f>
        <v>2.7599722222222223</v>
      </c>
      <c r="P1101" s="8" t="s">
        <v>5191</v>
      </c>
      <c r="Q1101" s="8">
        <f>-(17+41/60+19/3600)</f>
        <v>-17.688611111111111</v>
      </c>
      <c r="R1101" s="8">
        <v>13</v>
      </c>
      <c r="S1101" s="8">
        <v>13.9</v>
      </c>
      <c r="T1101" s="8">
        <v>0.9</v>
      </c>
      <c r="U1101" s="8">
        <v>13.1</v>
      </c>
      <c r="V1101" s="8">
        <v>1.7</v>
      </c>
      <c r="W1101" s="8">
        <v>0.8</v>
      </c>
      <c r="X1101" s="8">
        <v>58</v>
      </c>
      <c r="Y1101" s="8" t="s">
        <v>5192</v>
      </c>
      <c r="Z1101" s="8" t="s">
        <v>5193</v>
      </c>
    </row>
    <row r="1102" spans="1:26" x14ac:dyDescent="0.2">
      <c r="A1102" s="8">
        <v>1101</v>
      </c>
      <c r="B1102" s="8" t="s">
        <v>5194</v>
      </c>
      <c r="C1102" s="8" t="s">
        <v>5194</v>
      </c>
      <c r="F1102" s="47"/>
      <c r="G1102" s="8">
        <v>18</v>
      </c>
      <c r="H1102" s="8" t="s">
        <v>21</v>
      </c>
      <c r="I1102" s="8" t="s">
        <v>22</v>
      </c>
      <c r="J1102" s="8" t="s">
        <v>22</v>
      </c>
      <c r="K1102" s="8" t="s">
        <v>37</v>
      </c>
      <c r="L1102" s="8" t="s">
        <v>125</v>
      </c>
      <c r="M1102" s="8" t="s">
        <v>126</v>
      </c>
      <c r="N1102" s="8" t="s">
        <v>5195</v>
      </c>
      <c r="O1102" s="8">
        <f>2+48/60+14.7/3600</f>
        <v>2.8040833333333333</v>
      </c>
      <c r="P1102" s="8" t="s">
        <v>5196</v>
      </c>
      <c r="Q1102" s="8">
        <f>+(4+34/60+43/3600)</f>
        <v>4.578611111111111</v>
      </c>
      <c r="R1102" s="8">
        <v>13</v>
      </c>
      <c r="S1102" s="8">
        <v>14</v>
      </c>
      <c r="T1102" s="8">
        <v>1</v>
      </c>
      <c r="U1102" s="8">
        <v>13.2</v>
      </c>
      <c r="V1102" s="8">
        <v>1.3</v>
      </c>
      <c r="W1102" s="8">
        <v>1</v>
      </c>
      <c r="X1102" s="8">
        <v>120</v>
      </c>
      <c r="Y1102" s="8" t="s">
        <v>5197</v>
      </c>
      <c r="Z1102" s="8" t="s">
        <v>5198</v>
      </c>
    </row>
    <row r="1103" spans="1:26" x14ac:dyDescent="0.2">
      <c r="A1103" s="8">
        <v>1102</v>
      </c>
      <c r="B1103" s="8" t="s">
        <v>5199</v>
      </c>
      <c r="C1103" s="8" t="s">
        <v>5199</v>
      </c>
      <c r="F1103" s="47"/>
      <c r="G1103" s="8">
        <v>19</v>
      </c>
      <c r="H1103" s="8" t="s">
        <v>21</v>
      </c>
      <c r="I1103" s="8" t="s">
        <v>22</v>
      </c>
      <c r="J1103" s="8" t="s">
        <v>22</v>
      </c>
      <c r="K1103" s="8" t="s">
        <v>218</v>
      </c>
      <c r="L1103" s="8" t="s">
        <v>3328</v>
      </c>
      <c r="M1103" s="8" t="s">
        <v>3329</v>
      </c>
      <c r="N1103" s="8" t="s">
        <v>5200</v>
      </c>
      <c r="O1103" s="8">
        <f>2+47/60+12.8/3600</f>
        <v>2.786888888888889</v>
      </c>
      <c r="P1103" s="8" t="s">
        <v>5201</v>
      </c>
      <c r="Q1103" s="8">
        <f>-(22+12/60+32/3600)</f>
        <v>-22.20888888888889</v>
      </c>
      <c r="R1103" s="8">
        <v>14.5</v>
      </c>
      <c r="S1103" s="8">
        <v>15.3</v>
      </c>
      <c r="T1103" s="8">
        <v>0.8</v>
      </c>
      <c r="U1103" s="8">
        <v>13.6</v>
      </c>
      <c r="V1103" s="8">
        <v>0.8</v>
      </c>
      <c r="W1103" s="8">
        <v>0.6</v>
      </c>
      <c r="X1103" s="8">
        <v>90</v>
      </c>
      <c r="Y1103" s="8" t="s">
        <v>385</v>
      </c>
      <c r="Z1103" s="8" t="s">
        <v>386</v>
      </c>
    </row>
    <row r="1104" spans="1:26" x14ac:dyDescent="0.2">
      <c r="A1104" s="8">
        <v>1103</v>
      </c>
      <c r="B1104" s="8" t="s">
        <v>5202</v>
      </c>
      <c r="C1104" s="8" t="s">
        <v>5202</v>
      </c>
      <c r="F1104" s="47"/>
      <c r="G1104" s="8">
        <v>19</v>
      </c>
      <c r="H1104" s="8" t="s">
        <v>21</v>
      </c>
      <c r="I1104" s="8" t="s">
        <v>22</v>
      </c>
      <c r="J1104" s="8" t="s">
        <v>22</v>
      </c>
      <c r="K1104" s="8" t="s">
        <v>218</v>
      </c>
      <c r="L1104" s="8" t="s">
        <v>3328</v>
      </c>
      <c r="M1104" s="8" t="s">
        <v>3329</v>
      </c>
      <c r="N1104" s="8" t="s">
        <v>5203</v>
      </c>
      <c r="O1104" s="8">
        <f>2+48/60+6/3600</f>
        <v>2.8016666666666663</v>
      </c>
      <c r="P1104" s="8" t="s">
        <v>5204</v>
      </c>
      <c r="Q1104" s="8">
        <f>-(13+57/60+34/3600)</f>
        <v>-13.959444444444443</v>
      </c>
      <c r="R1104" s="8">
        <v>12.9</v>
      </c>
      <c r="S1104" s="8">
        <v>13.6</v>
      </c>
      <c r="T1104" s="8">
        <v>0.7</v>
      </c>
      <c r="U1104" s="8">
        <v>12.9</v>
      </c>
      <c r="V1104" s="8">
        <v>2.2000000000000002</v>
      </c>
      <c r="W1104" s="8">
        <v>0.6</v>
      </c>
      <c r="X1104" s="8">
        <v>45</v>
      </c>
      <c r="Y1104" s="8" t="s">
        <v>5205</v>
      </c>
      <c r="Z1104" s="8" t="s">
        <v>5206</v>
      </c>
    </row>
    <row r="1105" spans="1:26" x14ac:dyDescent="0.2">
      <c r="A1105" s="8">
        <v>1104</v>
      </c>
      <c r="B1105" s="8" t="s">
        <v>5207</v>
      </c>
      <c r="C1105" s="8" t="s">
        <v>5207</v>
      </c>
      <c r="F1105" s="47"/>
      <c r="G1105" s="8">
        <v>18</v>
      </c>
      <c r="H1105" s="8" t="s">
        <v>21</v>
      </c>
      <c r="I1105" s="8" t="s">
        <v>22</v>
      </c>
      <c r="J1105" s="8" t="s">
        <v>22</v>
      </c>
      <c r="K1105" s="8" t="s">
        <v>435</v>
      </c>
      <c r="L1105" s="8" t="s">
        <v>125</v>
      </c>
      <c r="M1105" s="8" t="s">
        <v>126</v>
      </c>
      <c r="N1105" s="8" t="s">
        <v>5208</v>
      </c>
      <c r="O1105" s="8">
        <f>2+48/60+38.7/3600</f>
        <v>2.8107499999999996</v>
      </c>
      <c r="P1105" s="8" t="s">
        <v>5209</v>
      </c>
      <c r="Q1105" s="8">
        <f>-(0+16/60+17/3600)</f>
        <v>-0.2713888888888889</v>
      </c>
      <c r="R1105" s="8">
        <v>13.6</v>
      </c>
      <c r="S1105" s="8">
        <v>14.5</v>
      </c>
      <c r="T1105" s="8">
        <v>0.9</v>
      </c>
      <c r="U1105" s="8">
        <v>13.5</v>
      </c>
      <c r="V1105" s="8">
        <v>1.2</v>
      </c>
      <c r="W1105" s="8">
        <v>0.9</v>
      </c>
      <c r="X1105" s="8">
        <v>70</v>
      </c>
      <c r="Y1105" s="8" t="s">
        <v>5210</v>
      </c>
      <c r="Z1105" s="8" t="s">
        <v>5211</v>
      </c>
    </row>
    <row r="1106" spans="1:26" x14ac:dyDescent="0.2">
      <c r="A1106" s="8">
        <v>1105</v>
      </c>
      <c r="B1106" s="8" t="s">
        <v>5212</v>
      </c>
      <c r="C1106" s="8" t="s">
        <v>5212</v>
      </c>
      <c r="F1106" s="47"/>
      <c r="G1106" s="8">
        <v>19</v>
      </c>
      <c r="H1106" s="8" t="s">
        <v>21</v>
      </c>
      <c r="I1106" s="8" t="s">
        <v>22</v>
      </c>
      <c r="J1106" s="8" t="s">
        <v>22</v>
      </c>
      <c r="K1106" s="8" t="s">
        <v>23</v>
      </c>
      <c r="L1106" s="8" t="s">
        <v>125</v>
      </c>
      <c r="M1106" s="8" t="s">
        <v>126</v>
      </c>
      <c r="N1106" s="8" t="s">
        <v>5213</v>
      </c>
      <c r="O1106" s="8">
        <f>2+43/60+41.9/3600</f>
        <v>2.7283055555555555</v>
      </c>
      <c r="P1106" s="8" t="s">
        <v>5214</v>
      </c>
      <c r="Q1106" s="8">
        <f>-(15+42/60+21/3600)</f>
        <v>-15.705833333333333</v>
      </c>
      <c r="R1106" s="8">
        <v>14.3</v>
      </c>
      <c r="S1106" s="8">
        <v>15.1</v>
      </c>
      <c r="T1106" s="8">
        <v>0.8</v>
      </c>
      <c r="U1106" s="8">
        <v>13.4</v>
      </c>
      <c r="V1106" s="8">
        <v>0.7</v>
      </c>
      <c r="W1106" s="8">
        <v>0.7</v>
      </c>
      <c r="Y1106" s="8" t="s">
        <v>421</v>
      </c>
      <c r="Z1106" s="8" t="s">
        <v>422</v>
      </c>
    </row>
    <row r="1107" spans="1:26" x14ac:dyDescent="0.2">
      <c r="A1107" s="8">
        <v>1106</v>
      </c>
      <c r="B1107" s="8" t="s">
        <v>5215</v>
      </c>
      <c r="C1107" s="8" t="s">
        <v>5215</v>
      </c>
      <c r="F1107" s="47"/>
      <c r="G1107" s="8">
        <v>16</v>
      </c>
      <c r="H1107" s="8" t="s">
        <v>21</v>
      </c>
      <c r="I1107" s="8" t="s">
        <v>22</v>
      </c>
      <c r="J1107" s="8" t="s">
        <v>22</v>
      </c>
      <c r="K1107" s="8" t="s">
        <v>37</v>
      </c>
      <c r="L1107" s="8" t="s">
        <v>3147</v>
      </c>
      <c r="M1107" s="8" t="s">
        <v>3148</v>
      </c>
      <c r="N1107" s="8" t="s">
        <v>5216</v>
      </c>
      <c r="O1107" s="8">
        <f>2+50/60+40.5/3600</f>
        <v>2.8445833333333335</v>
      </c>
      <c r="P1107" s="8" t="s">
        <v>5217</v>
      </c>
      <c r="Q1107" s="8">
        <f>+(41+40/60+20/3600)</f>
        <v>41.672222222222217</v>
      </c>
      <c r="R1107" s="8">
        <v>12.3</v>
      </c>
      <c r="S1107" s="8">
        <v>13.3</v>
      </c>
      <c r="T1107" s="8">
        <v>1</v>
      </c>
      <c r="U1107" s="8">
        <v>12.5</v>
      </c>
      <c r="V1107" s="8">
        <v>1.3</v>
      </c>
      <c r="W1107" s="8">
        <v>1</v>
      </c>
      <c r="X1107" s="8">
        <v>27</v>
      </c>
      <c r="Y1107" s="8" t="s">
        <v>5218</v>
      </c>
      <c r="Z1107" s="8" t="s">
        <v>5219</v>
      </c>
    </row>
    <row r="1108" spans="1:26" x14ac:dyDescent="0.2">
      <c r="A1108" s="8">
        <v>1107</v>
      </c>
      <c r="B1108" s="8" t="s">
        <v>5220</v>
      </c>
      <c r="C1108" s="8" t="s">
        <v>5220</v>
      </c>
      <c r="F1108" s="47"/>
      <c r="G1108" s="8">
        <v>18</v>
      </c>
      <c r="H1108" s="8" t="s">
        <v>21</v>
      </c>
      <c r="I1108" s="8" t="s">
        <v>22</v>
      </c>
      <c r="J1108" s="8" t="s">
        <v>22</v>
      </c>
      <c r="K1108" s="8" t="s">
        <v>37</v>
      </c>
      <c r="L1108" s="8" t="s">
        <v>125</v>
      </c>
      <c r="M1108" s="8" t="s">
        <v>126</v>
      </c>
      <c r="N1108" s="8" t="s">
        <v>5221</v>
      </c>
      <c r="O1108" s="8">
        <f>2+49/60+19.5/3600</f>
        <v>2.8220833333333331</v>
      </c>
      <c r="P1108" s="8" t="s">
        <v>5222</v>
      </c>
      <c r="Q1108" s="8">
        <f>+(8+5/60+36/3600)</f>
        <v>8.0933333333333337</v>
      </c>
      <c r="R1108" s="8">
        <v>12.2</v>
      </c>
      <c r="S1108" s="8">
        <v>13.5</v>
      </c>
      <c r="T1108" s="8">
        <v>1.3</v>
      </c>
      <c r="U1108" s="8">
        <v>13.1</v>
      </c>
      <c r="V1108" s="8">
        <v>1.8</v>
      </c>
      <c r="W1108" s="8">
        <v>1.5</v>
      </c>
      <c r="X1108" s="8">
        <v>140</v>
      </c>
      <c r="Y1108" s="8" t="s">
        <v>2181</v>
      </c>
      <c r="Z1108" s="8" t="s">
        <v>2182</v>
      </c>
    </row>
    <row r="1109" spans="1:26" x14ac:dyDescent="0.2">
      <c r="A1109" s="8">
        <v>1108</v>
      </c>
      <c r="B1109" s="8" t="s">
        <v>5223</v>
      </c>
      <c r="C1109" s="8" t="s">
        <v>5223</v>
      </c>
      <c r="F1109" s="47"/>
      <c r="G1109" s="8">
        <v>19</v>
      </c>
      <c r="H1109" s="8" t="s">
        <v>21</v>
      </c>
      <c r="I1109" s="8" t="s">
        <v>22</v>
      </c>
      <c r="J1109" s="8" t="s">
        <v>22</v>
      </c>
      <c r="K1109" s="8" t="s">
        <v>58</v>
      </c>
      <c r="L1109" s="8" t="s">
        <v>3328</v>
      </c>
      <c r="M1109" s="8" t="s">
        <v>3329</v>
      </c>
      <c r="N1109" s="8" t="s">
        <v>5224</v>
      </c>
      <c r="O1109" s="8">
        <f>2+48/60+38.5/3600</f>
        <v>2.8106944444444442</v>
      </c>
      <c r="P1109" s="8" t="s">
        <v>5225</v>
      </c>
      <c r="Q1109" s="8">
        <f>-(7+57/60+2/3600)</f>
        <v>-7.9505555555555558</v>
      </c>
      <c r="R1109" s="8">
        <v>13.9</v>
      </c>
      <c r="S1109" s="8">
        <v>14.9</v>
      </c>
      <c r="T1109" s="8">
        <v>1</v>
      </c>
      <c r="U1109" s="8">
        <v>12.7</v>
      </c>
      <c r="V1109" s="8">
        <v>0.8</v>
      </c>
      <c r="W1109" s="8">
        <v>0.4</v>
      </c>
      <c r="X1109" s="8">
        <v>85</v>
      </c>
      <c r="Y1109" s="8" t="s">
        <v>4170</v>
      </c>
      <c r="Z1109" s="8" t="s">
        <v>4171</v>
      </c>
    </row>
    <row r="1110" spans="1:26" x14ac:dyDescent="0.2">
      <c r="A1110" s="8">
        <v>1109</v>
      </c>
      <c r="B1110" s="8" t="s">
        <v>5226</v>
      </c>
      <c r="C1110" s="8" t="s">
        <v>5226</v>
      </c>
      <c r="F1110" s="47"/>
      <c r="G1110" s="8">
        <v>18</v>
      </c>
      <c r="H1110" s="8" t="s">
        <v>21</v>
      </c>
      <c r="I1110" s="8" t="s">
        <v>22</v>
      </c>
      <c r="J1110" s="8" t="s">
        <v>22</v>
      </c>
      <c r="K1110" s="8" t="s">
        <v>424</v>
      </c>
      <c r="L1110" s="8" t="s">
        <v>3256</v>
      </c>
      <c r="M1110" s="8" t="s">
        <v>3257</v>
      </c>
      <c r="N1110" s="8" t="s">
        <v>5227</v>
      </c>
      <c r="O1110" s="8">
        <f>2+47/60+43.5/3600</f>
        <v>2.7954166666666667</v>
      </c>
      <c r="P1110" s="8" t="s">
        <v>5228</v>
      </c>
      <c r="Q1110" s="8">
        <f>+(13+15/60+20/3600)</f>
        <v>13.255555555555556</v>
      </c>
      <c r="R1110" s="8">
        <v>14.4</v>
      </c>
      <c r="S1110" s="8">
        <v>15.4</v>
      </c>
      <c r="T1110" s="8">
        <v>1</v>
      </c>
      <c r="U1110" s="8">
        <v>13</v>
      </c>
      <c r="V1110" s="8">
        <v>0.6</v>
      </c>
      <c r="W1110" s="8">
        <v>0.5</v>
      </c>
      <c r="X1110" s="8">
        <v>150</v>
      </c>
      <c r="Y1110" s="8" t="s">
        <v>297</v>
      </c>
      <c r="Z1110" s="8" t="s">
        <v>298</v>
      </c>
    </row>
    <row r="1111" spans="1:26" x14ac:dyDescent="0.2">
      <c r="A1111" s="8">
        <v>1110</v>
      </c>
      <c r="B1111" s="8" t="s">
        <v>5229</v>
      </c>
      <c r="C1111" s="8" t="s">
        <v>5229</v>
      </c>
      <c r="F1111" s="47"/>
      <c r="G1111" s="8">
        <v>19</v>
      </c>
      <c r="H1111" s="8" t="s">
        <v>21</v>
      </c>
      <c r="I1111" s="8" t="s">
        <v>22</v>
      </c>
      <c r="J1111" s="8" t="s">
        <v>22</v>
      </c>
      <c r="K1111" s="8" t="s">
        <v>4103</v>
      </c>
      <c r="L1111" s="8" t="s">
        <v>3328</v>
      </c>
      <c r="M1111" s="8" t="s">
        <v>3329</v>
      </c>
      <c r="N1111" s="8" t="s">
        <v>5230</v>
      </c>
      <c r="O1111" s="8">
        <f>2+49/60+9.4/3600</f>
        <v>2.8192777777777773</v>
      </c>
      <c r="P1111" s="8" t="s">
        <v>5231</v>
      </c>
      <c r="Q1111" s="8">
        <f>-(7+50/60+17/3600)</f>
        <v>-7.8380555555555551</v>
      </c>
      <c r="R1111" s="8">
        <v>13.9</v>
      </c>
      <c r="S1111" s="8">
        <v>14.5</v>
      </c>
      <c r="T1111" s="8">
        <v>0.6</v>
      </c>
      <c r="U1111" s="8">
        <v>14.2</v>
      </c>
      <c r="V1111" s="8">
        <v>2.9</v>
      </c>
      <c r="W1111" s="8">
        <v>0.5</v>
      </c>
      <c r="X1111" s="8">
        <v>18</v>
      </c>
      <c r="Y1111" s="8" t="s">
        <v>5232</v>
      </c>
      <c r="Z1111" s="8" t="s">
        <v>5233</v>
      </c>
    </row>
    <row r="1112" spans="1:26" x14ac:dyDescent="0.2">
      <c r="A1112" s="8">
        <v>1111</v>
      </c>
      <c r="B1112" s="8" t="s">
        <v>5234</v>
      </c>
      <c r="C1112" s="8" t="s">
        <v>5234</v>
      </c>
      <c r="F1112" s="47"/>
      <c r="G1112" s="8">
        <v>18</v>
      </c>
      <c r="H1112" s="8" t="s">
        <v>21</v>
      </c>
      <c r="I1112" s="8" t="s">
        <v>22</v>
      </c>
      <c r="J1112" s="8" t="s">
        <v>22</v>
      </c>
      <c r="K1112" s="8" t="s">
        <v>449</v>
      </c>
      <c r="L1112" s="8" t="s">
        <v>3256</v>
      </c>
      <c r="M1112" s="8" t="s">
        <v>3257</v>
      </c>
      <c r="N1112" s="8" t="s">
        <v>5235</v>
      </c>
      <c r="O1112" s="8">
        <f>2+48/60+39.3/3600</f>
        <v>2.8109166666666665</v>
      </c>
      <c r="P1112" s="8" t="s">
        <v>5236</v>
      </c>
      <c r="Q1112" s="8">
        <f>+(13+15/60+33/3600)</f>
        <v>13.259166666666667</v>
      </c>
      <c r="R1112" s="8">
        <v>15.2</v>
      </c>
      <c r="S1112" s="8">
        <v>16</v>
      </c>
      <c r="T1112" s="8">
        <v>0.8</v>
      </c>
      <c r="U1112" s="8">
        <v>12.6</v>
      </c>
      <c r="V1112" s="8">
        <v>0.5</v>
      </c>
      <c r="W1112" s="8">
        <v>0.2</v>
      </c>
      <c r="X1112" s="8">
        <v>5</v>
      </c>
      <c r="Y1112" s="8" t="s">
        <v>256</v>
      </c>
      <c r="Z1112" s="8" t="s">
        <v>2209</v>
      </c>
    </row>
    <row r="1113" spans="1:26" x14ac:dyDescent="0.2">
      <c r="A1113" s="8">
        <v>1112</v>
      </c>
      <c r="B1113" s="8" t="s">
        <v>5237</v>
      </c>
      <c r="C1113" s="8" t="s">
        <v>5237</v>
      </c>
      <c r="F1113" s="47"/>
      <c r="G1113" s="8">
        <v>18</v>
      </c>
      <c r="H1113" s="8" t="s">
        <v>21</v>
      </c>
      <c r="I1113" s="8" t="s">
        <v>22</v>
      </c>
      <c r="J1113" s="8" t="s">
        <v>22</v>
      </c>
      <c r="K1113" s="8" t="s">
        <v>64</v>
      </c>
      <c r="L1113" s="8" t="s">
        <v>3256</v>
      </c>
      <c r="M1113" s="8" t="s">
        <v>3257</v>
      </c>
      <c r="N1113" s="8" t="s">
        <v>5238</v>
      </c>
      <c r="O1113" s="8">
        <f>2+49/60+0.4/3600</f>
        <v>2.8167777777777774</v>
      </c>
      <c r="P1113" s="8" t="s">
        <v>5239</v>
      </c>
      <c r="Q1113" s="8">
        <f>+(13+13/60+25/3600)</f>
        <v>13.223611111111111</v>
      </c>
      <c r="R1113" s="8">
        <v>13.8</v>
      </c>
      <c r="S1113" s="8">
        <v>14.5</v>
      </c>
      <c r="T1113" s="8">
        <v>0.7</v>
      </c>
      <c r="U1113" s="8">
        <v>13</v>
      </c>
      <c r="V1113" s="8">
        <v>1.2</v>
      </c>
      <c r="W1113" s="8">
        <v>0.9</v>
      </c>
      <c r="X1113" s="8">
        <v>3</v>
      </c>
      <c r="Y1113" s="8" t="s">
        <v>5240</v>
      </c>
      <c r="Z1113" s="8" t="s">
        <v>5241</v>
      </c>
    </row>
    <row r="1114" spans="1:26" x14ac:dyDescent="0.2">
      <c r="A1114" s="8">
        <v>1113</v>
      </c>
      <c r="B1114" s="8" t="s">
        <v>5242</v>
      </c>
      <c r="C1114" s="8" t="s">
        <v>5242</v>
      </c>
      <c r="F1114" s="47"/>
      <c r="G1114" s="8">
        <v>18</v>
      </c>
      <c r="H1114" s="8" t="s">
        <v>21</v>
      </c>
      <c r="I1114" s="8" t="s">
        <v>72</v>
      </c>
      <c r="J1114" s="8" t="s">
        <v>72</v>
      </c>
      <c r="K1114" s="8" t="s">
        <v>20</v>
      </c>
      <c r="L1114" s="8" t="s">
        <v>3256</v>
      </c>
      <c r="M1114" s="8" t="s">
        <v>3257</v>
      </c>
      <c r="N1114" s="8" t="s">
        <v>5243</v>
      </c>
      <c r="O1114" s="8">
        <f>2+49/60+4.6/3600</f>
        <v>2.8179444444444441</v>
      </c>
      <c r="P1114" s="8" t="s">
        <v>5244</v>
      </c>
      <c r="Q1114" s="8">
        <f>+(13+18/60+27/3600)</f>
        <v>13.307500000000001</v>
      </c>
      <c r="R1114" s="8">
        <v>99</v>
      </c>
      <c r="S1114" s="8">
        <v>15.2</v>
      </c>
      <c r="T1114" s="8">
        <v>99</v>
      </c>
      <c r="U1114" s="8">
        <v>99</v>
      </c>
      <c r="Y1114" s="8" t="s">
        <v>297</v>
      </c>
      <c r="Z1114" s="8" t="s">
        <v>298</v>
      </c>
    </row>
    <row r="1115" spans="1:26" x14ac:dyDescent="0.2">
      <c r="A1115" s="8">
        <v>1114</v>
      </c>
      <c r="B1115" s="8" t="s">
        <v>5245</v>
      </c>
      <c r="C1115" s="8" t="s">
        <v>5245</v>
      </c>
      <c r="F1115" s="47" t="s">
        <v>56248</v>
      </c>
      <c r="G1115" s="8">
        <v>6.5</v>
      </c>
      <c r="H1115" s="8" t="s">
        <v>21</v>
      </c>
      <c r="I1115" s="8" t="s">
        <v>22</v>
      </c>
      <c r="J1115" s="8" t="s">
        <v>22</v>
      </c>
      <c r="K1115" s="8" t="s">
        <v>160</v>
      </c>
      <c r="L1115" s="8" t="s">
        <v>3328</v>
      </c>
      <c r="M1115" s="8" t="s">
        <v>3329</v>
      </c>
      <c r="N1115" s="8" t="s">
        <v>5246</v>
      </c>
      <c r="O1115" s="8">
        <f>2+49/60+7/3600</f>
        <v>2.8186111111111107</v>
      </c>
      <c r="P1115" s="8" t="s">
        <v>5247</v>
      </c>
      <c r="Q1115" s="8">
        <f>-(16+59/60+38/3600)</f>
        <v>-16.99388888888889</v>
      </c>
      <c r="R1115" s="8">
        <v>12.5</v>
      </c>
      <c r="S1115" s="8">
        <v>13.2</v>
      </c>
      <c r="T1115" s="8">
        <v>0.7</v>
      </c>
      <c r="U1115" s="8">
        <v>12.6</v>
      </c>
      <c r="V1115" s="8">
        <v>1.8</v>
      </c>
      <c r="W1115" s="8">
        <v>0.8</v>
      </c>
      <c r="X1115" s="8">
        <v>9</v>
      </c>
      <c r="Y1115" s="8" t="s">
        <v>5248</v>
      </c>
      <c r="Z1115" s="8" t="s">
        <v>5249</v>
      </c>
    </row>
    <row r="1116" spans="1:26" x14ac:dyDescent="0.2">
      <c r="A1116" s="8">
        <v>1115</v>
      </c>
      <c r="B1116" s="8" t="s">
        <v>5250</v>
      </c>
      <c r="C1116" s="8" t="s">
        <v>5250</v>
      </c>
      <c r="F1116" s="47"/>
      <c r="G1116" s="8">
        <v>18</v>
      </c>
      <c r="H1116" s="8" t="s">
        <v>21</v>
      </c>
      <c r="I1116" s="8" t="s">
        <v>22</v>
      </c>
      <c r="J1116" s="8" t="s">
        <v>22</v>
      </c>
      <c r="K1116" s="8" t="s">
        <v>476</v>
      </c>
      <c r="L1116" s="8" t="s">
        <v>3256</v>
      </c>
      <c r="M1116" s="8" t="s">
        <v>3257</v>
      </c>
      <c r="N1116" s="8" t="s">
        <v>5251</v>
      </c>
      <c r="O1116" s="8">
        <f>2+50/60+25.4/3600</f>
        <v>2.8403888888888891</v>
      </c>
      <c r="P1116" s="8" t="s">
        <v>5252</v>
      </c>
      <c r="Q1116" s="8">
        <f>+(13+16/60+1/3600)</f>
        <v>13.266944444444444</v>
      </c>
      <c r="R1116" s="8">
        <v>14.7</v>
      </c>
      <c r="S1116" s="8">
        <v>15.6</v>
      </c>
      <c r="T1116" s="8">
        <v>0.9</v>
      </c>
      <c r="U1116" s="8">
        <v>12.4</v>
      </c>
      <c r="V1116" s="8">
        <v>0.7</v>
      </c>
      <c r="W1116" s="8">
        <v>0.2</v>
      </c>
      <c r="X1116" s="8">
        <v>12</v>
      </c>
      <c r="Y1116" s="8" t="s">
        <v>297</v>
      </c>
      <c r="Z1116" s="8" t="s">
        <v>298</v>
      </c>
    </row>
    <row r="1117" spans="1:26" x14ac:dyDescent="0.2">
      <c r="A1117" s="8">
        <v>1116</v>
      </c>
      <c r="B1117" s="8" t="s">
        <v>5253</v>
      </c>
      <c r="C1117" s="8" t="s">
        <v>5253</v>
      </c>
      <c r="F1117" s="47"/>
      <c r="G1117" s="8">
        <v>18</v>
      </c>
      <c r="H1117" s="8" t="s">
        <v>21</v>
      </c>
      <c r="I1117" s="8" t="s">
        <v>22</v>
      </c>
      <c r="J1117" s="8" t="s">
        <v>22</v>
      </c>
      <c r="K1117" s="8" t="s">
        <v>31</v>
      </c>
      <c r="L1117" s="8" t="s">
        <v>3256</v>
      </c>
      <c r="M1117" s="8" t="s">
        <v>3257</v>
      </c>
      <c r="N1117" s="8" t="s">
        <v>5254</v>
      </c>
      <c r="O1117" s="8">
        <f>2+50/60+35.8/3600</f>
        <v>2.8432777777777778</v>
      </c>
      <c r="P1117" s="8" t="s">
        <v>5255</v>
      </c>
      <c r="Q1117" s="8">
        <f>+(13+20/60+6/3600)</f>
        <v>13.335000000000001</v>
      </c>
      <c r="R1117" s="8">
        <v>14.3</v>
      </c>
      <c r="S1117" s="8">
        <v>15.1</v>
      </c>
      <c r="T1117" s="8">
        <v>0.8</v>
      </c>
      <c r="U1117" s="8">
        <v>13.1</v>
      </c>
      <c r="V1117" s="8">
        <v>1.4</v>
      </c>
      <c r="W1117" s="8">
        <v>0.3</v>
      </c>
      <c r="X1117" s="8">
        <v>27</v>
      </c>
      <c r="Y1117" s="8" t="s">
        <v>297</v>
      </c>
      <c r="Z1117" s="8" t="s">
        <v>298</v>
      </c>
    </row>
    <row r="1118" spans="1:26" x14ac:dyDescent="0.2">
      <c r="A1118" s="8">
        <v>1117</v>
      </c>
      <c r="B1118" s="8" t="s">
        <v>5256</v>
      </c>
      <c r="C1118" s="8" t="s">
        <v>5256</v>
      </c>
      <c r="D1118" s="8" t="s">
        <v>351</v>
      </c>
      <c r="F1118" s="47"/>
      <c r="G1118" s="8">
        <v>18</v>
      </c>
      <c r="H1118" s="8" t="s">
        <v>21</v>
      </c>
      <c r="I1118" s="8" t="s">
        <v>22</v>
      </c>
      <c r="J1118" s="8" t="s">
        <v>22</v>
      </c>
      <c r="K1118" s="8" t="s">
        <v>58</v>
      </c>
      <c r="L1118" s="8" t="s">
        <v>3256</v>
      </c>
      <c r="M1118" s="8" t="s">
        <v>3257</v>
      </c>
      <c r="N1118" s="8" t="s">
        <v>5257</v>
      </c>
      <c r="O1118" s="8">
        <f>2+51/60+12.9/3600</f>
        <v>2.8535833333333334</v>
      </c>
      <c r="P1118" s="8" t="s">
        <v>5258</v>
      </c>
      <c r="Q1118" s="8">
        <f>+(13+11/60+33/3600)</f>
        <v>13.192500000000001</v>
      </c>
      <c r="R1118" s="8">
        <v>13.9</v>
      </c>
      <c r="S1118" s="8">
        <v>14.9</v>
      </c>
      <c r="T1118" s="8">
        <v>1</v>
      </c>
      <c r="U1118" s="8">
        <v>11.9</v>
      </c>
      <c r="V1118" s="8">
        <v>0.5</v>
      </c>
      <c r="W1118" s="8">
        <v>0.3</v>
      </c>
      <c r="X1118" s="8">
        <v>30</v>
      </c>
      <c r="Y1118" s="8" t="s">
        <v>297</v>
      </c>
      <c r="Z1118" s="8" t="s">
        <v>5259</v>
      </c>
    </row>
    <row r="1119" spans="1:26" x14ac:dyDescent="0.2">
      <c r="A1119" s="8">
        <v>1118</v>
      </c>
      <c r="B1119" s="8" t="s">
        <v>5260</v>
      </c>
      <c r="C1119" s="8" t="s">
        <v>5260</v>
      </c>
      <c r="F1119" s="47"/>
      <c r="G1119" s="8">
        <v>19</v>
      </c>
      <c r="H1119" s="8" t="s">
        <v>21</v>
      </c>
      <c r="I1119" s="8" t="s">
        <v>22</v>
      </c>
      <c r="J1119" s="8" t="s">
        <v>22</v>
      </c>
      <c r="K1119" s="8" t="s">
        <v>37</v>
      </c>
      <c r="L1119" s="8" t="s">
        <v>3328</v>
      </c>
      <c r="M1119" s="8" t="s">
        <v>3329</v>
      </c>
      <c r="N1119" s="8" t="s">
        <v>5261</v>
      </c>
      <c r="O1119" s="8">
        <f>2+49/60+58.7/3600</f>
        <v>2.8329722222222218</v>
      </c>
      <c r="P1119" s="8" t="s">
        <v>5262</v>
      </c>
      <c r="Q1119" s="8">
        <f>-(12+9/60+50/3600)</f>
        <v>-12.16388888888889</v>
      </c>
      <c r="R1119" s="8">
        <v>13.2</v>
      </c>
      <c r="S1119" s="8">
        <v>14.2</v>
      </c>
      <c r="T1119" s="8">
        <v>1</v>
      </c>
      <c r="U1119" s="8">
        <v>13.6</v>
      </c>
      <c r="V1119" s="8">
        <v>2.2000000000000002</v>
      </c>
      <c r="W1119" s="8">
        <v>0.7</v>
      </c>
      <c r="X1119" s="8">
        <v>90</v>
      </c>
      <c r="Y1119" s="8" t="s">
        <v>5263</v>
      </c>
      <c r="Z1119" s="8" t="s">
        <v>5264</v>
      </c>
    </row>
    <row r="1120" spans="1:26" x14ac:dyDescent="0.2">
      <c r="A1120" s="8">
        <v>1119</v>
      </c>
      <c r="B1120" s="8" t="s">
        <v>5265</v>
      </c>
      <c r="C1120" s="8" t="s">
        <v>5265</v>
      </c>
      <c r="F1120" s="47"/>
      <c r="G1120" s="8">
        <v>19</v>
      </c>
      <c r="H1120" s="8" t="s">
        <v>21</v>
      </c>
      <c r="I1120" s="8" t="s">
        <v>22</v>
      </c>
      <c r="J1120" s="8" t="s">
        <v>22</v>
      </c>
      <c r="K1120" s="8" t="s">
        <v>224</v>
      </c>
      <c r="L1120" s="8" t="s">
        <v>3328</v>
      </c>
      <c r="M1120" s="8" t="s">
        <v>3329</v>
      </c>
      <c r="N1120" s="8" t="s">
        <v>5266</v>
      </c>
      <c r="O1120" s="8">
        <f>2+48/60+17/3600</f>
        <v>2.8047222222222219</v>
      </c>
      <c r="P1120" s="8" t="s">
        <v>5267</v>
      </c>
      <c r="Q1120" s="8">
        <f>-(17+59/60+17/3600)</f>
        <v>-17.988055555555558</v>
      </c>
      <c r="R1120" s="8">
        <v>13.8</v>
      </c>
      <c r="S1120" s="8">
        <v>14.8</v>
      </c>
      <c r="T1120" s="8">
        <v>1</v>
      </c>
      <c r="U1120" s="8">
        <v>11.9</v>
      </c>
      <c r="V1120" s="8">
        <v>0.5</v>
      </c>
      <c r="W1120" s="8">
        <v>0.4</v>
      </c>
      <c r="X1120" s="8">
        <v>0</v>
      </c>
      <c r="Y1120" s="8" t="s">
        <v>5268</v>
      </c>
      <c r="Z1120" s="8" t="s">
        <v>5269</v>
      </c>
    </row>
    <row r="1121" spans="1:26" x14ac:dyDescent="0.2">
      <c r="A1121" s="8">
        <v>1120</v>
      </c>
      <c r="B1121" s="8" t="s">
        <v>5270</v>
      </c>
      <c r="C1121" s="8" t="s">
        <v>5270</v>
      </c>
      <c r="F1121" s="47"/>
      <c r="G1121" s="8">
        <v>19</v>
      </c>
      <c r="H1121" s="8" t="s">
        <v>21</v>
      </c>
      <c r="I1121" s="8" t="s">
        <v>22</v>
      </c>
      <c r="J1121" s="8" t="s">
        <v>22</v>
      </c>
      <c r="K1121" s="8" t="s">
        <v>58</v>
      </c>
      <c r="L1121" s="8" t="s">
        <v>3328</v>
      </c>
      <c r="M1121" s="8" t="s">
        <v>3329</v>
      </c>
      <c r="N1121" s="8" t="s">
        <v>5271</v>
      </c>
      <c r="O1121" s="8">
        <f>2+49/60+4/3600</f>
        <v>2.8177777777777777</v>
      </c>
      <c r="P1121" s="8" t="s">
        <v>5272</v>
      </c>
      <c r="Q1121" s="8">
        <f>-(14+28/60+13/3600)</f>
        <v>-14.470277777777778</v>
      </c>
      <c r="R1121" s="8">
        <v>13.6</v>
      </c>
      <c r="S1121" s="8">
        <v>14.6</v>
      </c>
      <c r="T1121" s="8">
        <v>1</v>
      </c>
      <c r="U1121" s="8">
        <v>13.7</v>
      </c>
      <c r="V1121" s="8">
        <v>1.3</v>
      </c>
      <c r="W1121" s="8">
        <v>0.8</v>
      </c>
      <c r="X1121" s="8">
        <v>40</v>
      </c>
      <c r="Y1121" s="8" t="s">
        <v>2248</v>
      </c>
      <c r="Z1121" s="8" t="s">
        <v>2249</v>
      </c>
    </row>
    <row r="1122" spans="1:26" x14ac:dyDescent="0.2">
      <c r="A1122" s="8">
        <v>1121</v>
      </c>
      <c r="B1122" s="8" t="s">
        <v>5273</v>
      </c>
      <c r="C1122" s="8" t="s">
        <v>5273</v>
      </c>
      <c r="F1122" s="47"/>
      <c r="G1122" s="8">
        <v>19</v>
      </c>
      <c r="H1122" s="8" t="s">
        <v>21</v>
      </c>
      <c r="I1122" s="8" t="s">
        <v>22</v>
      </c>
      <c r="J1122" s="8" t="s">
        <v>22</v>
      </c>
      <c r="K1122" s="8" t="s">
        <v>37</v>
      </c>
      <c r="L1122" s="8" t="s">
        <v>3328</v>
      </c>
      <c r="M1122" s="8" t="s">
        <v>3329</v>
      </c>
      <c r="N1122" s="8" t="s">
        <v>5274</v>
      </c>
      <c r="O1122" s="8">
        <f>2+50/60+39.1/3600</f>
        <v>2.8441944444444447</v>
      </c>
      <c r="P1122" s="8" t="s">
        <v>4907</v>
      </c>
      <c r="Q1122" s="8">
        <f>-(1+44/60+3/3600)</f>
        <v>-1.7341666666666666</v>
      </c>
      <c r="R1122" s="8">
        <v>12.9</v>
      </c>
      <c r="S1122" s="8">
        <v>13.9</v>
      </c>
      <c r="T1122" s="8">
        <v>1</v>
      </c>
      <c r="U1122" s="8">
        <v>11.7</v>
      </c>
      <c r="V1122" s="8">
        <v>0.9</v>
      </c>
      <c r="W1122" s="8">
        <v>0.4</v>
      </c>
      <c r="X1122" s="8">
        <v>10</v>
      </c>
      <c r="Y1122" s="8" t="s">
        <v>5275</v>
      </c>
      <c r="Z1122" s="8" t="s">
        <v>5276</v>
      </c>
    </row>
    <row r="1123" spans="1:26" x14ac:dyDescent="0.2">
      <c r="A1123" s="8">
        <v>1122</v>
      </c>
      <c r="B1123" s="8" t="s">
        <v>5277</v>
      </c>
      <c r="C1123" s="8" t="s">
        <v>5277</v>
      </c>
      <c r="F1123" s="47"/>
      <c r="G1123" s="8">
        <v>19</v>
      </c>
      <c r="H1123" s="8" t="s">
        <v>21</v>
      </c>
      <c r="I1123" s="8" t="s">
        <v>22</v>
      </c>
      <c r="J1123" s="8" t="s">
        <v>57</v>
      </c>
      <c r="K1123" s="8" t="s">
        <v>218</v>
      </c>
      <c r="L1123" s="8" t="s">
        <v>3147</v>
      </c>
      <c r="M1123" s="8" t="s">
        <v>3148</v>
      </c>
      <c r="N1123" s="8" t="s">
        <v>5278</v>
      </c>
      <c r="O1123" s="8">
        <f>2+52/60+51.2/3600</f>
        <v>2.8808888888888888</v>
      </c>
      <c r="P1123" s="8" t="s">
        <v>5279</v>
      </c>
      <c r="Q1123" s="8">
        <f>+(42+12/60+19/3600)</f>
        <v>42.205277777777781</v>
      </c>
      <c r="R1123" s="8">
        <v>12.1</v>
      </c>
      <c r="S1123" s="8">
        <v>12.9</v>
      </c>
      <c r="T1123" s="8">
        <v>0.8</v>
      </c>
      <c r="U1123" s="8">
        <v>12.7</v>
      </c>
      <c r="V1123" s="8">
        <v>1.8</v>
      </c>
      <c r="W1123" s="8">
        <v>1.3</v>
      </c>
      <c r="X1123" s="8">
        <v>40</v>
      </c>
      <c r="Y1123" s="8" t="s">
        <v>5280</v>
      </c>
      <c r="Z1123" s="8" t="s">
        <v>5281</v>
      </c>
    </row>
    <row r="1124" spans="1:26" x14ac:dyDescent="0.2">
      <c r="A1124" s="8">
        <v>1123</v>
      </c>
      <c r="B1124" s="8" t="s">
        <v>5282</v>
      </c>
      <c r="C1124" s="8" t="s">
        <v>5282</v>
      </c>
      <c r="F1124" s="47" t="s">
        <v>56249</v>
      </c>
      <c r="G1124" s="8">
        <v>15</v>
      </c>
      <c r="H1124" s="8" t="s">
        <v>21</v>
      </c>
      <c r="I1124" s="8" t="s">
        <v>22</v>
      </c>
      <c r="J1124" s="8" t="s">
        <v>22</v>
      </c>
      <c r="K1124" s="8" t="s">
        <v>218</v>
      </c>
      <c r="L1124" s="8" t="s">
        <v>3147</v>
      </c>
      <c r="M1124" s="8" t="s">
        <v>3148</v>
      </c>
      <c r="N1124" s="8" t="s">
        <v>5278</v>
      </c>
      <c r="O1124" s="8">
        <f>2+52/60+51.2/3600</f>
        <v>2.8808888888888888</v>
      </c>
      <c r="P1124" s="8" t="s">
        <v>5279</v>
      </c>
      <c r="Q1124" s="8">
        <f>+(42+12/60+19/3600)</f>
        <v>42.205277777777781</v>
      </c>
      <c r="R1124" s="8">
        <v>12.1</v>
      </c>
      <c r="S1124" s="8">
        <v>12.9</v>
      </c>
      <c r="T1124" s="8">
        <v>0.8</v>
      </c>
      <c r="U1124" s="8">
        <v>12.7</v>
      </c>
      <c r="V1124" s="8">
        <v>1.8</v>
      </c>
      <c r="W1124" s="8">
        <v>1.3</v>
      </c>
      <c r="X1124" s="8">
        <v>40</v>
      </c>
      <c r="Y1124" s="8" t="s">
        <v>5280</v>
      </c>
      <c r="Z1124" s="8" t="s">
        <v>5283</v>
      </c>
    </row>
    <row r="1125" spans="1:26" x14ac:dyDescent="0.2">
      <c r="A1125" s="8">
        <v>1124</v>
      </c>
      <c r="B1125" s="8" t="s">
        <v>5284</v>
      </c>
      <c r="C1125" s="8" t="s">
        <v>5284</v>
      </c>
      <c r="F1125" s="47"/>
      <c r="G1125" s="8">
        <v>19</v>
      </c>
      <c r="H1125" s="8" t="s">
        <v>21</v>
      </c>
      <c r="I1125" s="8" t="s">
        <v>22</v>
      </c>
      <c r="J1125" s="8" t="s">
        <v>22</v>
      </c>
      <c r="K1125" s="8" t="s">
        <v>224</v>
      </c>
      <c r="L1125" s="8" t="s">
        <v>3335</v>
      </c>
      <c r="M1125" s="8" t="s">
        <v>3336</v>
      </c>
      <c r="N1125" s="8" t="s">
        <v>5285</v>
      </c>
      <c r="O1125" s="8">
        <f>2+51/60+36/3600</f>
        <v>2.86</v>
      </c>
      <c r="P1125" s="8" t="s">
        <v>5286</v>
      </c>
      <c r="Q1125" s="8">
        <f>-(25+42/60+5/3600)</f>
        <v>-25.701388888888889</v>
      </c>
      <c r="R1125" s="8">
        <v>14</v>
      </c>
      <c r="S1125" s="8">
        <v>14.9</v>
      </c>
      <c r="T1125" s="8">
        <v>0.9</v>
      </c>
      <c r="U1125" s="8">
        <v>13.6</v>
      </c>
      <c r="V1125" s="8">
        <v>1</v>
      </c>
      <c r="W1125" s="8">
        <v>0.8</v>
      </c>
      <c r="X1125" s="8">
        <v>164</v>
      </c>
      <c r="Y1125" s="8" t="s">
        <v>5287</v>
      </c>
      <c r="Z1125" s="8" t="s">
        <v>5288</v>
      </c>
    </row>
    <row r="1126" spans="1:26" x14ac:dyDescent="0.2">
      <c r="A1126" s="8">
        <v>1125</v>
      </c>
      <c r="B1126" s="8" t="s">
        <v>5289</v>
      </c>
      <c r="C1126" s="8" t="s">
        <v>5289</v>
      </c>
      <c r="F1126" s="47" t="s">
        <v>56250</v>
      </c>
      <c r="G1126" s="8">
        <v>15</v>
      </c>
      <c r="H1126" s="8" t="s">
        <v>21</v>
      </c>
      <c r="I1126" s="8" t="s">
        <v>22</v>
      </c>
      <c r="J1126" s="8" t="s">
        <v>22</v>
      </c>
      <c r="K1126" s="8" t="s">
        <v>435</v>
      </c>
      <c r="L1126" s="8" t="s">
        <v>3328</v>
      </c>
      <c r="M1126" s="8" t="s">
        <v>3329</v>
      </c>
      <c r="N1126" s="8" t="s">
        <v>5290</v>
      </c>
      <c r="O1126" s="8">
        <f>2+51/60+40.3/3600</f>
        <v>2.8611944444444446</v>
      </c>
      <c r="P1126" s="8" t="s">
        <v>5291</v>
      </c>
      <c r="Q1126" s="8">
        <f>-(16+39/60+3/3600)</f>
        <v>-16.650833333333331</v>
      </c>
      <c r="R1126" s="8">
        <v>12.6</v>
      </c>
      <c r="S1126" s="8">
        <v>13.4</v>
      </c>
      <c r="T1126" s="8">
        <v>0.8</v>
      </c>
      <c r="U1126" s="8">
        <v>13</v>
      </c>
      <c r="V1126" s="8">
        <v>1.8</v>
      </c>
      <c r="W1126" s="8">
        <v>0.9</v>
      </c>
      <c r="X1126" s="8">
        <v>51</v>
      </c>
      <c r="Y1126" s="8" t="s">
        <v>5292</v>
      </c>
      <c r="Z1126" s="8" t="s">
        <v>5293</v>
      </c>
    </row>
    <row r="1127" spans="1:26" x14ac:dyDescent="0.2">
      <c r="A1127" s="8">
        <v>1126</v>
      </c>
      <c r="B1127" s="8" t="s">
        <v>5294</v>
      </c>
      <c r="C1127" s="8" t="s">
        <v>5294</v>
      </c>
      <c r="F1127" s="47"/>
      <c r="G1127" s="8">
        <v>19</v>
      </c>
      <c r="H1127" s="8" t="s">
        <v>21</v>
      </c>
      <c r="I1127" s="8" t="s">
        <v>22</v>
      </c>
      <c r="J1127" s="8" t="s">
        <v>22</v>
      </c>
      <c r="K1127" s="8" t="s">
        <v>23</v>
      </c>
      <c r="L1127" s="8" t="s">
        <v>3328</v>
      </c>
      <c r="M1127" s="8" t="s">
        <v>3329</v>
      </c>
      <c r="N1127" s="8" t="s">
        <v>5295</v>
      </c>
      <c r="O1127" s="8">
        <f>2+52/60+18.7/3600</f>
        <v>2.871861111111111</v>
      </c>
      <c r="P1127" s="8" t="s">
        <v>5296</v>
      </c>
      <c r="Q1127" s="8">
        <f>-(1+17/60+47/3600)</f>
        <v>-1.2963888888888888</v>
      </c>
      <c r="R1127" s="8">
        <v>14.6</v>
      </c>
      <c r="S1127" s="8">
        <v>15.4</v>
      </c>
      <c r="T1127" s="8">
        <v>0.8</v>
      </c>
      <c r="U1127" s="8">
        <v>13.2</v>
      </c>
      <c r="V1127" s="8">
        <v>0.8</v>
      </c>
      <c r="W1127" s="8">
        <v>0.2</v>
      </c>
      <c r="X1127" s="8">
        <v>135</v>
      </c>
      <c r="Y1127" s="8" t="s">
        <v>5297</v>
      </c>
      <c r="Z1127" s="8" t="s">
        <v>5298</v>
      </c>
    </row>
    <row r="1128" spans="1:26" x14ac:dyDescent="0.2">
      <c r="A1128" s="8">
        <v>1127</v>
      </c>
      <c r="B1128" s="8" t="s">
        <v>5299</v>
      </c>
      <c r="C1128" s="8" t="s">
        <v>5299</v>
      </c>
      <c r="F1128" s="47"/>
      <c r="G1128" s="8">
        <v>18</v>
      </c>
      <c r="H1128" s="8" t="s">
        <v>21</v>
      </c>
      <c r="I1128" s="8" t="s">
        <v>22</v>
      </c>
      <c r="J1128" s="8" t="s">
        <v>22</v>
      </c>
      <c r="K1128" s="8" t="s">
        <v>406</v>
      </c>
      <c r="L1128" s="8" t="s">
        <v>3256</v>
      </c>
      <c r="M1128" s="8" t="s">
        <v>3257</v>
      </c>
      <c r="N1128" s="8" t="s">
        <v>5300</v>
      </c>
      <c r="O1128" s="8">
        <f>2+52/60+51.8/3600</f>
        <v>2.8810555555555557</v>
      </c>
      <c r="P1128" s="8" t="s">
        <v>5301</v>
      </c>
      <c r="Q1128" s="8">
        <f>+(13+15/60+25/3600)</f>
        <v>13.256944444444445</v>
      </c>
      <c r="R1128" s="8">
        <v>14.7</v>
      </c>
      <c r="S1128" s="8">
        <v>15.5</v>
      </c>
      <c r="T1128" s="8">
        <v>0.8</v>
      </c>
      <c r="U1128" s="8">
        <v>13.4</v>
      </c>
      <c r="V1128" s="8">
        <v>0.7</v>
      </c>
      <c r="W1128" s="8">
        <v>0.5</v>
      </c>
      <c r="X1128" s="8">
        <v>39</v>
      </c>
      <c r="Y1128" s="8" t="s">
        <v>297</v>
      </c>
      <c r="Z1128" s="8" t="s">
        <v>298</v>
      </c>
    </row>
    <row r="1129" spans="1:26" x14ac:dyDescent="0.2">
      <c r="A1129" s="8">
        <v>1128</v>
      </c>
      <c r="B1129" s="8" t="s">
        <v>5302</v>
      </c>
      <c r="C1129" s="8" t="s">
        <v>5302</v>
      </c>
      <c r="E1129" s="8">
        <v>1</v>
      </c>
      <c r="F1129" s="47"/>
      <c r="G1129" s="8">
        <v>19</v>
      </c>
      <c r="H1129" s="8" t="s">
        <v>21</v>
      </c>
      <c r="I1129" s="8" t="s">
        <v>22</v>
      </c>
      <c r="J1129" s="8" t="s">
        <v>22</v>
      </c>
      <c r="K1129" s="8" t="s">
        <v>460</v>
      </c>
      <c r="L1129" s="8" t="s">
        <v>125</v>
      </c>
      <c r="M1129" s="8" t="s">
        <v>126</v>
      </c>
      <c r="N1129" s="8" t="s">
        <v>5303</v>
      </c>
      <c r="O1129" s="8">
        <f>2+57/60+41.5/3600</f>
        <v>2.961527777777778</v>
      </c>
      <c r="P1129" s="8" t="s">
        <v>5304</v>
      </c>
      <c r="Q1129" s="8">
        <f>+(6+1/60+36/3600)</f>
        <v>6.0266666666666664</v>
      </c>
      <c r="R1129" s="8">
        <v>14.5</v>
      </c>
      <c r="S1129" s="8">
        <v>15.5</v>
      </c>
      <c r="T1129" s="8">
        <v>1</v>
      </c>
      <c r="U1129" s="8">
        <v>13.1</v>
      </c>
      <c r="V1129" s="8">
        <v>0.5</v>
      </c>
      <c r="W1129" s="8">
        <v>0.5</v>
      </c>
      <c r="Y1129" s="8" t="s">
        <v>5305</v>
      </c>
      <c r="Z1129" s="8" t="s">
        <v>5306</v>
      </c>
    </row>
    <row r="1130" spans="1:26" x14ac:dyDescent="0.2">
      <c r="A1130" s="8">
        <v>1129</v>
      </c>
      <c r="B1130" s="8" t="s">
        <v>5307</v>
      </c>
      <c r="C1130" s="8" t="s">
        <v>5307</v>
      </c>
      <c r="F1130" s="47" t="s">
        <v>56251</v>
      </c>
      <c r="G1130" s="8">
        <v>15</v>
      </c>
      <c r="H1130" s="8" t="s">
        <v>21</v>
      </c>
      <c r="I1130" s="8" t="s">
        <v>22</v>
      </c>
      <c r="J1130" s="8" t="s">
        <v>22</v>
      </c>
      <c r="K1130" s="8" t="s">
        <v>382</v>
      </c>
      <c r="L1130" s="8" t="s">
        <v>3147</v>
      </c>
      <c r="M1130" s="8" t="s">
        <v>3148</v>
      </c>
      <c r="N1130" s="8" t="s">
        <v>5308</v>
      </c>
      <c r="O1130" s="8">
        <f>2+54/60+27.3/3600</f>
        <v>2.9075833333333332</v>
      </c>
      <c r="P1130" s="8" t="s">
        <v>5309</v>
      </c>
      <c r="Q1130" s="8">
        <f>+(41+34/60+47/3600)</f>
        <v>41.579722222222223</v>
      </c>
      <c r="R1130" s="8">
        <v>12.4</v>
      </c>
      <c r="S1130" s="8">
        <v>13.5</v>
      </c>
      <c r="T1130" s="8">
        <v>1.1000000000000001</v>
      </c>
      <c r="U1130" s="8">
        <v>14.4</v>
      </c>
      <c r="V1130" s="8">
        <v>2.9</v>
      </c>
      <c r="W1130" s="8">
        <v>2.1</v>
      </c>
      <c r="X1130" s="8">
        <v>90</v>
      </c>
      <c r="Y1130" s="8" t="s">
        <v>5310</v>
      </c>
      <c r="Z1130" s="8" t="s">
        <v>5311</v>
      </c>
    </row>
    <row r="1131" spans="1:26" x14ac:dyDescent="0.2">
      <c r="A1131" s="8">
        <v>1130</v>
      </c>
      <c r="B1131" s="8" t="s">
        <v>5312</v>
      </c>
      <c r="C1131" s="8" t="s">
        <v>5312</v>
      </c>
      <c r="F1131" s="47"/>
      <c r="G1131" s="8">
        <v>12</v>
      </c>
      <c r="H1131" s="8" t="s">
        <v>21</v>
      </c>
      <c r="I1131" s="8" t="s">
        <v>22</v>
      </c>
      <c r="J1131" s="8" t="s">
        <v>22</v>
      </c>
      <c r="K1131" s="8" t="s">
        <v>424</v>
      </c>
      <c r="L1131" s="8" t="s">
        <v>3147</v>
      </c>
      <c r="M1131" s="8" t="s">
        <v>3148</v>
      </c>
      <c r="N1131" s="8" t="s">
        <v>5313</v>
      </c>
      <c r="O1131" s="8">
        <f>2+54/60+24.5/3600</f>
        <v>2.9068055555555556</v>
      </c>
      <c r="P1131" s="8" t="s">
        <v>5314</v>
      </c>
      <c r="Q1131" s="8">
        <f>+(41+36/60+22/3600)</f>
        <v>41.606111111111112</v>
      </c>
      <c r="R1131" s="8">
        <v>15.1</v>
      </c>
      <c r="S1131" s="8">
        <v>16.100000000000001</v>
      </c>
      <c r="T1131" s="8">
        <v>1</v>
      </c>
      <c r="U1131" s="8">
        <v>12.9</v>
      </c>
      <c r="V1131" s="8">
        <v>0.5</v>
      </c>
      <c r="W1131" s="8">
        <v>0.3</v>
      </c>
      <c r="X1131" s="8">
        <v>36</v>
      </c>
      <c r="Y1131" s="8" t="s">
        <v>962</v>
      </c>
      <c r="Z1131" s="8" t="s">
        <v>963</v>
      </c>
    </row>
    <row r="1132" spans="1:26" x14ac:dyDescent="0.2">
      <c r="A1132" s="8">
        <v>1131</v>
      </c>
      <c r="B1132" s="8" t="s">
        <v>5315</v>
      </c>
      <c r="C1132" s="8" t="s">
        <v>5315</v>
      </c>
      <c r="F1132" s="47"/>
      <c r="G1132" s="8">
        <v>18</v>
      </c>
      <c r="H1132" s="8" t="s">
        <v>21</v>
      </c>
      <c r="I1132" s="8" t="s">
        <v>22</v>
      </c>
      <c r="J1132" s="8" t="s">
        <v>22</v>
      </c>
      <c r="K1132" s="8" t="s">
        <v>460</v>
      </c>
      <c r="L1132" s="8" t="s">
        <v>3147</v>
      </c>
      <c r="M1132" s="8" t="s">
        <v>3148</v>
      </c>
      <c r="N1132" s="8" t="s">
        <v>5316</v>
      </c>
      <c r="O1132" s="8">
        <f>2+54/60+34/3600</f>
        <v>2.9094444444444445</v>
      </c>
      <c r="P1132" s="8" t="s">
        <v>5317</v>
      </c>
      <c r="Q1132" s="8">
        <f>+(41+33/60+33/3600)</f>
        <v>41.559166666666663</v>
      </c>
      <c r="R1132" s="8">
        <v>14.6</v>
      </c>
      <c r="S1132" s="8">
        <v>15.6</v>
      </c>
      <c r="T1132" s="8">
        <v>1</v>
      </c>
      <c r="U1132" s="8">
        <v>12.7</v>
      </c>
      <c r="V1132" s="8">
        <v>0.4</v>
      </c>
      <c r="W1132" s="8">
        <v>0.4</v>
      </c>
      <c r="Y1132" s="8" t="s">
        <v>962</v>
      </c>
      <c r="Z1132" s="8" t="s">
        <v>963</v>
      </c>
    </row>
    <row r="1133" spans="1:26" x14ac:dyDescent="0.2">
      <c r="A1133" s="8">
        <v>1132</v>
      </c>
      <c r="B1133" s="8" t="s">
        <v>5318</v>
      </c>
      <c r="C1133" s="8" t="s">
        <v>5318</v>
      </c>
      <c r="F1133" s="47"/>
      <c r="G1133" s="8">
        <v>16</v>
      </c>
      <c r="H1133" s="8" t="s">
        <v>21</v>
      </c>
      <c r="I1133" s="8" t="s">
        <v>22</v>
      </c>
      <c r="J1133" s="8" t="s">
        <v>22</v>
      </c>
      <c r="K1133" s="8" t="s">
        <v>1068</v>
      </c>
      <c r="L1133" s="8" t="s">
        <v>3328</v>
      </c>
      <c r="M1133" s="8" t="s">
        <v>3329</v>
      </c>
      <c r="N1133" s="8" t="s">
        <v>5300</v>
      </c>
      <c r="O1133" s="8">
        <f>2+52/60+51.8/3600</f>
        <v>2.8810555555555557</v>
      </c>
      <c r="P1133" s="8" t="s">
        <v>5319</v>
      </c>
      <c r="Q1133" s="8">
        <f>-(1+16/60+28/3600)</f>
        <v>-1.2744444444444445</v>
      </c>
      <c r="R1133" s="8">
        <v>12.3</v>
      </c>
      <c r="S1133" s="8">
        <v>13.3</v>
      </c>
      <c r="T1133" s="8">
        <v>1</v>
      </c>
      <c r="U1133" s="8">
        <v>13.6</v>
      </c>
      <c r="V1133" s="8">
        <v>2.5</v>
      </c>
      <c r="W1133" s="8">
        <v>1.3</v>
      </c>
      <c r="X1133" s="8">
        <v>140</v>
      </c>
      <c r="Y1133" s="8" t="s">
        <v>5320</v>
      </c>
      <c r="Z1133" s="8" t="s">
        <v>5321</v>
      </c>
    </row>
    <row r="1134" spans="1:26" x14ac:dyDescent="0.2">
      <c r="A1134" s="8">
        <v>1133</v>
      </c>
      <c r="B1134" s="8" t="s">
        <v>5322</v>
      </c>
      <c r="C1134" s="8" t="s">
        <v>5322</v>
      </c>
      <c r="F1134" s="47"/>
      <c r="G1134" s="8">
        <v>19</v>
      </c>
      <c r="H1134" s="8" t="s">
        <v>21</v>
      </c>
      <c r="I1134" s="8" t="s">
        <v>22</v>
      </c>
      <c r="J1134" s="8" t="s">
        <v>22</v>
      </c>
      <c r="K1134" s="8" t="s">
        <v>91</v>
      </c>
      <c r="L1134" s="8" t="s">
        <v>3328</v>
      </c>
      <c r="M1134" s="8" t="s">
        <v>3329</v>
      </c>
      <c r="N1134" s="8" t="s">
        <v>5323</v>
      </c>
      <c r="O1134" s="8">
        <f>2+52/60+42.2/3600</f>
        <v>2.8783888888888889</v>
      </c>
      <c r="P1134" s="8" t="s">
        <v>5324</v>
      </c>
      <c r="Q1134" s="8">
        <f>-(8+48/60+16/3600)</f>
        <v>-8.8044444444444458</v>
      </c>
      <c r="R1134" s="8">
        <v>14</v>
      </c>
      <c r="S1134" s="8">
        <v>14.9</v>
      </c>
      <c r="T1134" s="8">
        <v>0.9</v>
      </c>
      <c r="U1134" s="8">
        <v>13.2</v>
      </c>
      <c r="V1134" s="8">
        <v>0.9</v>
      </c>
      <c r="W1134" s="8">
        <v>0.6</v>
      </c>
      <c r="X1134" s="8">
        <v>157</v>
      </c>
      <c r="Y1134" s="8" t="s">
        <v>5325</v>
      </c>
      <c r="Z1134" s="8" t="s">
        <v>5326</v>
      </c>
    </row>
    <row r="1135" spans="1:26" x14ac:dyDescent="0.2">
      <c r="A1135" s="8">
        <v>1134</v>
      </c>
      <c r="B1135" s="8" t="s">
        <v>5327</v>
      </c>
      <c r="C1135" s="8" t="s">
        <v>5327</v>
      </c>
      <c r="F1135" s="47" t="s">
        <v>56252</v>
      </c>
      <c r="G1135" s="8">
        <v>15</v>
      </c>
      <c r="H1135" s="8" t="s">
        <v>21</v>
      </c>
      <c r="I1135" s="8" t="s">
        <v>22</v>
      </c>
      <c r="J1135" s="8" t="s">
        <v>22</v>
      </c>
      <c r="K1135" s="8" t="s">
        <v>23</v>
      </c>
      <c r="L1135" s="8" t="s">
        <v>3256</v>
      </c>
      <c r="M1135" s="8" t="s">
        <v>3257</v>
      </c>
      <c r="N1135" s="8" t="s">
        <v>5328</v>
      </c>
      <c r="O1135" s="8">
        <f>2+53/60+41.1/3600</f>
        <v>2.8947500000000002</v>
      </c>
      <c r="P1135" s="8" t="s">
        <v>5329</v>
      </c>
      <c r="Q1135" s="8">
        <f>+(13+0/60+53/3600)</f>
        <v>13.014722222222222</v>
      </c>
      <c r="R1135" s="8">
        <v>12.2</v>
      </c>
      <c r="S1135" s="8">
        <v>13</v>
      </c>
      <c r="T1135" s="8">
        <v>0.8</v>
      </c>
      <c r="U1135" s="8">
        <v>12.9</v>
      </c>
      <c r="V1135" s="8">
        <v>2.5</v>
      </c>
      <c r="W1135" s="8">
        <v>0.9</v>
      </c>
      <c r="X1135" s="8">
        <v>148</v>
      </c>
      <c r="Y1135" s="8" t="s">
        <v>5330</v>
      </c>
      <c r="Z1135" s="8" t="s">
        <v>5331</v>
      </c>
    </row>
    <row r="1136" spans="1:26" x14ac:dyDescent="0.2">
      <c r="A1136" s="8">
        <v>1135</v>
      </c>
      <c r="B1136" s="8" t="s">
        <v>5332</v>
      </c>
      <c r="C1136" s="8" t="s">
        <v>5332</v>
      </c>
      <c r="F1136" s="47"/>
      <c r="G1136" s="8">
        <v>16</v>
      </c>
      <c r="H1136" s="8" t="s">
        <v>21</v>
      </c>
      <c r="I1136" s="8" t="s">
        <v>22</v>
      </c>
      <c r="J1136" s="8" t="s">
        <v>22</v>
      </c>
      <c r="K1136" s="8" t="s">
        <v>579</v>
      </c>
      <c r="L1136" s="8" t="s">
        <v>4263</v>
      </c>
      <c r="M1136" s="8" t="s">
        <v>4264</v>
      </c>
      <c r="N1136" s="8" t="s">
        <v>5333</v>
      </c>
      <c r="O1136" s="8">
        <f>2+50/60+47.2/3600</f>
        <v>2.8464444444444448</v>
      </c>
      <c r="P1136" s="8" t="s">
        <v>5334</v>
      </c>
      <c r="Q1136" s="8">
        <f>-(54+55/60+46/3600)</f>
        <v>-54.929444444444442</v>
      </c>
      <c r="R1136" s="8">
        <v>14.8</v>
      </c>
      <c r="S1136" s="8">
        <v>15.5</v>
      </c>
      <c r="T1136" s="8">
        <v>0.7</v>
      </c>
      <c r="U1136" s="8">
        <v>13.2</v>
      </c>
      <c r="V1136" s="8">
        <v>0.7</v>
      </c>
      <c r="W1136" s="8">
        <v>0.3</v>
      </c>
      <c r="X1136" s="8">
        <v>72</v>
      </c>
      <c r="Y1136" s="8" t="s">
        <v>5335</v>
      </c>
      <c r="Z1136" s="8" t="s">
        <v>5336</v>
      </c>
    </row>
    <row r="1137" spans="1:26" x14ac:dyDescent="0.2">
      <c r="A1137" s="8">
        <v>1136</v>
      </c>
      <c r="B1137" s="8" t="s">
        <v>5337</v>
      </c>
      <c r="C1137" s="8" t="s">
        <v>5337</v>
      </c>
      <c r="F1137" s="47"/>
      <c r="G1137" s="8">
        <v>16</v>
      </c>
      <c r="H1137" s="8" t="s">
        <v>21</v>
      </c>
      <c r="I1137" s="8" t="s">
        <v>22</v>
      </c>
      <c r="J1137" s="8" t="s">
        <v>22</v>
      </c>
      <c r="K1137" s="8" t="s">
        <v>154</v>
      </c>
      <c r="L1137" s="8" t="s">
        <v>4263</v>
      </c>
      <c r="M1137" s="8" t="s">
        <v>4264</v>
      </c>
      <c r="N1137" s="8" t="s">
        <v>5338</v>
      </c>
      <c r="O1137" s="8">
        <f>2+50/60+53.6/3600</f>
        <v>2.8482222222222222</v>
      </c>
      <c r="P1137" s="8" t="s">
        <v>5339</v>
      </c>
      <c r="Q1137" s="8">
        <f>-(54+58/60+34/3600)</f>
        <v>-54.976111111111116</v>
      </c>
      <c r="R1137" s="8">
        <v>13</v>
      </c>
      <c r="S1137" s="8">
        <v>13.8</v>
      </c>
      <c r="T1137" s="8">
        <v>0.8</v>
      </c>
      <c r="U1137" s="8">
        <v>13.4</v>
      </c>
      <c r="V1137" s="8">
        <v>1.4</v>
      </c>
      <c r="W1137" s="8">
        <v>1.2</v>
      </c>
      <c r="X1137" s="8">
        <v>80</v>
      </c>
      <c r="Y1137" s="8" t="s">
        <v>5335</v>
      </c>
      <c r="Z1137" s="8" t="s">
        <v>5336</v>
      </c>
    </row>
    <row r="1138" spans="1:26" x14ac:dyDescent="0.2">
      <c r="A1138" s="8">
        <v>1137</v>
      </c>
      <c r="B1138" s="8" t="s">
        <v>5340</v>
      </c>
      <c r="C1138" s="8" t="s">
        <v>5340</v>
      </c>
      <c r="F1138" s="47"/>
      <c r="G1138" s="8">
        <v>19</v>
      </c>
      <c r="H1138" s="8" t="s">
        <v>21</v>
      </c>
      <c r="I1138" s="8" t="s">
        <v>22</v>
      </c>
      <c r="J1138" s="8" t="s">
        <v>22</v>
      </c>
      <c r="K1138" s="8" t="s">
        <v>23</v>
      </c>
      <c r="L1138" s="8" t="s">
        <v>125</v>
      </c>
      <c r="M1138" s="8" t="s">
        <v>126</v>
      </c>
      <c r="N1138" s="8" t="s">
        <v>5341</v>
      </c>
      <c r="O1138" s="8">
        <f>2+54/60+2.7/3600</f>
        <v>2.9007499999999999</v>
      </c>
      <c r="P1138" s="8" t="s">
        <v>5342</v>
      </c>
      <c r="Q1138" s="8">
        <f>+(2+57/60+43/3600)</f>
        <v>2.9619444444444447</v>
      </c>
      <c r="R1138" s="8">
        <v>12.4</v>
      </c>
      <c r="S1138" s="8">
        <v>13.2</v>
      </c>
      <c r="T1138" s="8">
        <v>0.8</v>
      </c>
      <c r="U1138" s="8">
        <v>13.4</v>
      </c>
      <c r="V1138" s="8">
        <v>2.2000000000000002</v>
      </c>
      <c r="W1138" s="8">
        <v>1.3</v>
      </c>
      <c r="X1138" s="8">
        <v>20</v>
      </c>
      <c r="Y1138" s="8" t="s">
        <v>5343</v>
      </c>
      <c r="Z1138" s="8" t="s">
        <v>4250</v>
      </c>
    </row>
    <row r="1139" spans="1:26" x14ac:dyDescent="0.2">
      <c r="A1139" s="8">
        <v>1138</v>
      </c>
      <c r="B1139" s="8" t="s">
        <v>5344</v>
      </c>
      <c r="C1139" s="8" t="s">
        <v>5344</v>
      </c>
      <c r="F1139" s="47" t="s">
        <v>56253</v>
      </c>
      <c r="G1139" s="8">
        <v>15</v>
      </c>
      <c r="H1139" s="8" t="s">
        <v>21</v>
      </c>
      <c r="I1139" s="8" t="s">
        <v>22</v>
      </c>
      <c r="J1139" s="8" t="s">
        <v>22</v>
      </c>
      <c r="K1139" s="8" t="s">
        <v>224</v>
      </c>
      <c r="L1139" s="8" t="s">
        <v>3147</v>
      </c>
      <c r="M1139" s="8" t="s">
        <v>3148</v>
      </c>
      <c r="N1139" s="8" t="s">
        <v>5345</v>
      </c>
      <c r="O1139" s="8">
        <f>2+56/60+36.3/3600</f>
        <v>2.9434166666666668</v>
      </c>
      <c r="P1139" s="8" t="s">
        <v>5346</v>
      </c>
      <c r="Q1139" s="8">
        <f>+(43+2/60+50/3600)</f>
        <v>43.047222222222217</v>
      </c>
      <c r="R1139" s="8">
        <v>12.8</v>
      </c>
      <c r="S1139" s="8">
        <v>13.8</v>
      </c>
      <c r="T1139" s="8">
        <v>1</v>
      </c>
      <c r="U1139" s="8">
        <v>12.9</v>
      </c>
      <c r="V1139" s="8">
        <v>1.1000000000000001</v>
      </c>
      <c r="W1139" s="8">
        <v>1.1000000000000001</v>
      </c>
      <c r="Y1139" s="8" t="s">
        <v>5347</v>
      </c>
      <c r="Z1139" s="8" t="s">
        <v>5348</v>
      </c>
    </row>
    <row r="1140" spans="1:26" x14ac:dyDescent="0.2">
      <c r="A1140" s="8">
        <v>1139</v>
      </c>
      <c r="B1140" s="8" t="s">
        <v>5349</v>
      </c>
      <c r="C1140" s="8" t="s">
        <v>5349</v>
      </c>
      <c r="F1140" s="47"/>
      <c r="G1140" s="8">
        <v>19</v>
      </c>
      <c r="H1140" s="8" t="s">
        <v>21</v>
      </c>
      <c r="I1140" s="8" t="s">
        <v>22</v>
      </c>
      <c r="J1140" s="8" t="s">
        <v>22</v>
      </c>
      <c r="K1140" s="8" t="s">
        <v>435</v>
      </c>
      <c r="L1140" s="8" t="s">
        <v>3328</v>
      </c>
      <c r="M1140" s="8" t="s">
        <v>3329</v>
      </c>
      <c r="N1140" s="8" t="s">
        <v>5350</v>
      </c>
      <c r="O1140" s="8">
        <f>2+52/60+46.7/3600</f>
        <v>2.8796388888888891</v>
      </c>
      <c r="P1140" s="8" t="s">
        <v>5351</v>
      </c>
      <c r="Q1140" s="8">
        <f>-(14+31/60+44/3600)</f>
        <v>-14.52888888888889</v>
      </c>
      <c r="R1140" s="8">
        <v>14.6</v>
      </c>
      <c r="S1140" s="8">
        <v>15.5</v>
      </c>
      <c r="T1140" s="8">
        <v>0.9</v>
      </c>
      <c r="U1140" s="8">
        <v>14.4</v>
      </c>
      <c r="V1140" s="8">
        <v>1.2</v>
      </c>
      <c r="W1140" s="8">
        <v>0.8</v>
      </c>
      <c r="X1140" s="8">
        <v>36</v>
      </c>
      <c r="Y1140" s="8" t="s">
        <v>5352</v>
      </c>
      <c r="Z1140" s="8" t="s">
        <v>5353</v>
      </c>
    </row>
    <row r="1141" spans="1:26" x14ac:dyDescent="0.2">
      <c r="A1141" s="8">
        <v>1140</v>
      </c>
      <c r="B1141" s="8" t="s">
        <v>5354</v>
      </c>
      <c r="C1141" s="8" t="s">
        <v>5354</v>
      </c>
      <c r="F1141" s="47" t="s">
        <v>56254</v>
      </c>
      <c r="G1141" s="8">
        <v>13</v>
      </c>
      <c r="H1141" s="8" t="s">
        <v>21</v>
      </c>
      <c r="I1141" s="8" t="s">
        <v>22</v>
      </c>
      <c r="J1141" s="8" t="s">
        <v>22</v>
      </c>
      <c r="K1141" s="8" t="s">
        <v>4103</v>
      </c>
      <c r="L1141" s="8" t="s">
        <v>3328</v>
      </c>
      <c r="M1141" s="8" t="s">
        <v>3329</v>
      </c>
      <c r="N1141" s="8" t="s">
        <v>5355</v>
      </c>
      <c r="O1141" s="8">
        <f>2+54/60+33.5/3600</f>
        <v>2.9093055555555556</v>
      </c>
      <c r="P1141" s="8" t="s">
        <v>5356</v>
      </c>
      <c r="Q1141" s="8">
        <f>-(10+1/60+41/3600)</f>
        <v>-10.028055555555556</v>
      </c>
      <c r="R1141" s="8">
        <v>12.5</v>
      </c>
      <c r="S1141" s="8">
        <v>12.8</v>
      </c>
      <c r="T1141" s="8">
        <v>0.3</v>
      </c>
      <c r="U1141" s="8">
        <v>12.8</v>
      </c>
      <c r="V1141" s="8">
        <v>1.8</v>
      </c>
      <c r="W1141" s="8">
        <v>1</v>
      </c>
      <c r="X1141" s="8">
        <v>169</v>
      </c>
      <c r="Y1141" s="8" t="s">
        <v>4964</v>
      </c>
      <c r="Z1141" s="8" t="s">
        <v>4965</v>
      </c>
    </row>
    <row r="1142" spans="1:26" x14ac:dyDescent="0.2">
      <c r="A1142" s="8">
        <v>1141</v>
      </c>
      <c r="B1142" s="8" t="s">
        <v>5357</v>
      </c>
      <c r="C1142" s="8" t="s">
        <v>5357</v>
      </c>
      <c r="F1142" s="47"/>
      <c r="G1142" s="8">
        <v>18</v>
      </c>
      <c r="H1142" s="8" t="s">
        <v>21</v>
      </c>
      <c r="I1142" s="8" t="s">
        <v>22</v>
      </c>
      <c r="J1142" s="8" t="s">
        <v>22</v>
      </c>
      <c r="K1142" s="8" t="s">
        <v>5358</v>
      </c>
      <c r="L1142" s="8" t="s">
        <v>125</v>
      </c>
      <c r="M1142" s="8" t="s">
        <v>126</v>
      </c>
      <c r="N1142" s="8" t="s">
        <v>5359</v>
      </c>
      <c r="O1142" s="8">
        <f>2+55/60+9.7/3600</f>
        <v>2.9193611111111109</v>
      </c>
      <c r="P1142" s="8" t="s">
        <v>5360</v>
      </c>
      <c r="Q1142" s="8">
        <f>-(0+10/60+41/3600)</f>
        <v>-0.17805555555555555</v>
      </c>
      <c r="R1142" s="8">
        <v>13.1</v>
      </c>
      <c r="S1142" s="8">
        <v>14.1</v>
      </c>
      <c r="T1142" s="8">
        <v>1</v>
      </c>
      <c r="U1142" s="8">
        <v>12.4</v>
      </c>
      <c r="V1142" s="8">
        <v>0.9</v>
      </c>
      <c r="W1142" s="8">
        <v>0.7</v>
      </c>
      <c r="X1142" s="8">
        <v>110</v>
      </c>
      <c r="Y1142" s="8" t="s">
        <v>5361</v>
      </c>
      <c r="Z1142" s="8" t="s">
        <v>5362</v>
      </c>
    </row>
    <row r="1143" spans="1:26" x14ac:dyDescent="0.2">
      <c r="A1143" s="8">
        <v>1142</v>
      </c>
      <c r="B1143" s="8" t="s">
        <v>5363</v>
      </c>
      <c r="C1143" s="8" t="s">
        <v>5363</v>
      </c>
      <c r="F1143" s="47"/>
      <c r="G1143" s="8">
        <v>18</v>
      </c>
      <c r="H1143" s="8" t="s">
        <v>21</v>
      </c>
      <c r="I1143" s="8" t="s">
        <v>22</v>
      </c>
      <c r="J1143" s="8" t="s">
        <v>22</v>
      </c>
      <c r="K1143" s="8" t="s">
        <v>5364</v>
      </c>
      <c r="L1143" s="8" t="s">
        <v>125</v>
      </c>
      <c r="M1143" s="8" t="s">
        <v>126</v>
      </c>
      <c r="N1143" s="8" t="s">
        <v>5365</v>
      </c>
      <c r="O1143" s="8">
        <f>2+55/60+12.2/3600</f>
        <v>2.9200555555555554</v>
      </c>
      <c r="P1143" s="8" t="s">
        <v>5366</v>
      </c>
      <c r="Q1143" s="8">
        <f>-(0+11/60+2/3600)</f>
        <v>-0.18388888888888888</v>
      </c>
      <c r="R1143" s="8">
        <v>13</v>
      </c>
      <c r="S1143" s="8">
        <v>13.8</v>
      </c>
      <c r="T1143" s="8">
        <v>0.8</v>
      </c>
      <c r="U1143" s="8">
        <v>12.5</v>
      </c>
      <c r="V1143" s="8">
        <v>0.9</v>
      </c>
      <c r="W1143" s="8">
        <v>0.5</v>
      </c>
      <c r="X1143" s="8">
        <v>130</v>
      </c>
      <c r="Y1143" s="8" t="s">
        <v>5367</v>
      </c>
      <c r="Z1143" s="8" t="s">
        <v>5368</v>
      </c>
    </row>
    <row r="1144" spans="1:26" x14ac:dyDescent="0.2">
      <c r="A1144" s="8">
        <v>1143</v>
      </c>
      <c r="B1144" s="8" t="s">
        <v>5369</v>
      </c>
      <c r="C1144" s="8" t="s">
        <v>5369</v>
      </c>
      <c r="F1144" s="47"/>
      <c r="G1144" s="8">
        <v>18</v>
      </c>
      <c r="H1144" s="8" t="s">
        <v>21</v>
      </c>
      <c r="I1144" s="8" t="s">
        <v>22</v>
      </c>
      <c r="J1144" s="8" t="s">
        <v>57</v>
      </c>
      <c r="K1144" s="8" t="s">
        <v>5358</v>
      </c>
      <c r="L1144" s="8" t="s">
        <v>125</v>
      </c>
      <c r="M1144" s="8" t="s">
        <v>126</v>
      </c>
      <c r="N1144" s="8" t="s">
        <v>5359</v>
      </c>
      <c r="O1144" s="8">
        <f>2+55/60+9.7/3600</f>
        <v>2.9193611111111109</v>
      </c>
      <c r="P1144" s="8" t="s">
        <v>5360</v>
      </c>
      <c r="Q1144" s="8">
        <f>-(0+10/60+41/3600)</f>
        <v>-0.17805555555555555</v>
      </c>
      <c r="R1144" s="8">
        <v>13.1</v>
      </c>
      <c r="S1144" s="8">
        <v>14.1</v>
      </c>
      <c r="T1144" s="8">
        <v>1</v>
      </c>
      <c r="U1144" s="8">
        <v>12.4</v>
      </c>
      <c r="V1144" s="8">
        <v>0.9</v>
      </c>
      <c r="W1144" s="8">
        <v>0.7</v>
      </c>
      <c r="X1144" s="8">
        <v>110</v>
      </c>
      <c r="Y1144" s="8" t="s">
        <v>5361</v>
      </c>
      <c r="Z1144" s="8" t="s">
        <v>4855</v>
      </c>
    </row>
    <row r="1145" spans="1:26" x14ac:dyDescent="0.2">
      <c r="A1145" s="8">
        <v>1144</v>
      </c>
      <c r="B1145" s="8" t="s">
        <v>5370</v>
      </c>
      <c r="C1145" s="8" t="s">
        <v>5370</v>
      </c>
      <c r="F1145" s="47"/>
      <c r="G1145" s="8">
        <v>18</v>
      </c>
      <c r="H1145" s="8" t="s">
        <v>21</v>
      </c>
      <c r="I1145" s="8" t="s">
        <v>22</v>
      </c>
      <c r="J1145" s="8" t="s">
        <v>57</v>
      </c>
      <c r="K1145" s="8" t="s">
        <v>5364</v>
      </c>
      <c r="L1145" s="8" t="s">
        <v>125</v>
      </c>
      <c r="M1145" s="8" t="s">
        <v>126</v>
      </c>
      <c r="N1145" s="8" t="s">
        <v>5365</v>
      </c>
      <c r="O1145" s="8">
        <f>2+55/60+12.2/3600</f>
        <v>2.9200555555555554</v>
      </c>
      <c r="P1145" s="8" t="s">
        <v>5366</v>
      </c>
      <c r="Q1145" s="8">
        <f>-(0+11/60+2/3600)</f>
        <v>-0.18388888888888888</v>
      </c>
      <c r="R1145" s="8">
        <v>13</v>
      </c>
      <c r="S1145" s="8">
        <v>13.8</v>
      </c>
      <c r="T1145" s="8">
        <v>0.8</v>
      </c>
      <c r="U1145" s="8">
        <v>12.5</v>
      </c>
      <c r="V1145" s="8">
        <v>0.9</v>
      </c>
      <c r="W1145" s="8">
        <v>0.5</v>
      </c>
      <c r="X1145" s="8">
        <v>130</v>
      </c>
      <c r="Y1145" s="8" t="s">
        <v>5367</v>
      </c>
      <c r="Z1145" s="8" t="s">
        <v>5371</v>
      </c>
    </row>
    <row r="1146" spans="1:26" x14ac:dyDescent="0.2">
      <c r="A1146" s="8">
        <v>1145</v>
      </c>
      <c r="B1146" s="8" t="s">
        <v>5372</v>
      </c>
      <c r="C1146" s="8" t="s">
        <v>5372</v>
      </c>
      <c r="F1146" s="47"/>
      <c r="G1146" s="8">
        <v>16</v>
      </c>
      <c r="H1146" s="8" t="s">
        <v>21</v>
      </c>
      <c r="I1146" s="8" t="s">
        <v>22</v>
      </c>
      <c r="J1146" s="8" t="s">
        <v>22</v>
      </c>
      <c r="K1146" s="8" t="s">
        <v>160</v>
      </c>
      <c r="L1146" s="8" t="s">
        <v>3328</v>
      </c>
      <c r="M1146" s="8" t="s">
        <v>3329</v>
      </c>
      <c r="N1146" s="8" t="s">
        <v>5373</v>
      </c>
      <c r="O1146" s="8">
        <f>2+54/60+33.4/3600</f>
        <v>2.9092777777777776</v>
      </c>
      <c r="P1146" s="8" t="s">
        <v>5374</v>
      </c>
      <c r="Q1146" s="8">
        <f>-(18+38/60+9/3600)</f>
        <v>-18.635833333333334</v>
      </c>
      <c r="R1146" s="8">
        <v>12.4</v>
      </c>
      <c r="S1146" s="8">
        <v>13.6</v>
      </c>
      <c r="T1146" s="8">
        <v>1.2</v>
      </c>
      <c r="U1146" s="8">
        <v>12.8</v>
      </c>
      <c r="V1146" s="8">
        <v>3.2</v>
      </c>
      <c r="W1146" s="8">
        <v>0.5</v>
      </c>
      <c r="X1146" s="8">
        <v>60</v>
      </c>
      <c r="Y1146" s="8" t="s">
        <v>5375</v>
      </c>
      <c r="Z1146" s="8" t="s">
        <v>5376</v>
      </c>
    </row>
    <row r="1147" spans="1:26" x14ac:dyDescent="0.2">
      <c r="A1147" s="8">
        <v>1146</v>
      </c>
      <c r="B1147" s="8" t="s">
        <v>5377</v>
      </c>
      <c r="C1147" s="8" t="s">
        <v>5377</v>
      </c>
      <c r="F1147" s="47"/>
      <c r="G1147" s="8">
        <v>18</v>
      </c>
      <c r="H1147" s="8" t="s">
        <v>21</v>
      </c>
      <c r="I1147" s="8" t="s">
        <v>72</v>
      </c>
      <c r="J1147" s="8" t="s">
        <v>72</v>
      </c>
      <c r="K1147" s="8" t="s">
        <v>73</v>
      </c>
      <c r="L1147" s="8" t="s">
        <v>3147</v>
      </c>
      <c r="M1147" s="8" t="s">
        <v>3148</v>
      </c>
      <c r="N1147" s="8" t="s">
        <v>5378</v>
      </c>
      <c r="O1147" s="8">
        <f>2+57/60+41/3600</f>
        <v>2.9613888888888891</v>
      </c>
      <c r="P1147" s="8" t="s">
        <v>5379</v>
      </c>
      <c r="Q1147" s="8">
        <f>+(46+25/60+3/3600)</f>
        <v>46.417499999999997</v>
      </c>
      <c r="R1147" s="8">
        <v>99</v>
      </c>
      <c r="S1147" s="8">
        <v>99</v>
      </c>
      <c r="T1147" s="8">
        <v>99</v>
      </c>
      <c r="U1147" s="8">
        <v>99</v>
      </c>
      <c r="Y1147" s="8" t="s">
        <v>5380</v>
      </c>
      <c r="Z1147" s="8" t="s">
        <v>5381</v>
      </c>
    </row>
    <row r="1148" spans="1:26" x14ac:dyDescent="0.2">
      <c r="A1148" s="8">
        <v>1147</v>
      </c>
      <c r="B1148" s="8" t="s">
        <v>5382</v>
      </c>
      <c r="C1148" s="8" t="s">
        <v>5382</v>
      </c>
      <c r="F1148" s="47"/>
      <c r="G1148" s="8">
        <v>19</v>
      </c>
      <c r="H1148" s="8" t="s">
        <v>21</v>
      </c>
      <c r="I1148" s="8" t="s">
        <v>329</v>
      </c>
      <c r="J1148" s="8" t="s">
        <v>329</v>
      </c>
      <c r="K1148" s="8" t="s">
        <v>329</v>
      </c>
      <c r="L1148" s="8" t="s">
        <v>3328</v>
      </c>
      <c r="M1148" s="8" t="s">
        <v>3329</v>
      </c>
      <c r="N1148" s="8" t="s">
        <v>5383</v>
      </c>
      <c r="O1148" s="8">
        <f>2+55/60+9.2/3600</f>
        <v>2.9192222222222219</v>
      </c>
      <c r="P1148" s="8" t="s">
        <v>5384</v>
      </c>
      <c r="Q1148" s="8">
        <f>-(9+7/60+11/3600)</f>
        <v>-9.1197222222222223</v>
      </c>
      <c r="R1148" s="8">
        <v>99</v>
      </c>
      <c r="S1148" s="8">
        <v>99</v>
      </c>
      <c r="T1148" s="8">
        <v>99</v>
      </c>
      <c r="U1148" s="8">
        <v>99</v>
      </c>
      <c r="Y1148" s="8" t="s">
        <v>5385</v>
      </c>
      <c r="Z1148" s="8" t="s">
        <v>5386</v>
      </c>
    </row>
    <row r="1149" spans="1:26" x14ac:dyDescent="0.2">
      <c r="A1149" s="8">
        <v>1148</v>
      </c>
      <c r="B1149" s="8" t="s">
        <v>5387</v>
      </c>
      <c r="C1149" s="8" t="s">
        <v>5387</v>
      </c>
      <c r="F1149" s="47"/>
      <c r="G1149" s="8">
        <v>19</v>
      </c>
      <c r="H1149" s="8" t="s">
        <v>21</v>
      </c>
      <c r="I1149" s="8" t="s">
        <v>22</v>
      </c>
      <c r="J1149" s="8" t="s">
        <v>22</v>
      </c>
      <c r="K1149" s="8" t="s">
        <v>3523</v>
      </c>
      <c r="L1149" s="8" t="s">
        <v>3328</v>
      </c>
      <c r="M1149" s="8" t="s">
        <v>3329</v>
      </c>
      <c r="N1149" s="8" t="s">
        <v>5388</v>
      </c>
      <c r="O1149" s="8">
        <f>2+57/60+4.3/3600</f>
        <v>2.9511944444444445</v>
      </c>
      <c r="P1149" s="8" t="s">
        <v>5389</v>
      </c>
      <c r="Q1149" s="8">
        <f>-(7+41/60+8/3600)</f>
        <v>-7.6855555555555561</v>
      </c>
      <c r="R1149" s="8">
        <v>14.9</v>
      </c>
      <c r="S1149" s="8">
        <v>15.5</v>
      </c>
      <c r="T1149" s="8">
        <v>0.6</v>
      </c>
      <c r="U1149" s="8">
        <v>14.9</v>
      </c>
      <c r="V1149" s="8">
        <v>1.4</v>
      </c>
      <c r="W1149" s="8">
        <v>0.8</v>
      </c>
      <c r="X1149" s="8">
        <v>84</v>
      </c>
      <c r="Y1149" s="8" t="s">
        <v>5390</v>
      </c>
      <c r="Z1149" s="8" t="s">
        <v>5391</v>
      </c>
    </row>
    <row r="1150" spans="1:26" x14ac:dyDescent="0.2">
      <c r="A1150" s="8">
        <v>1149</v>
      </c>
      <c r="B1150" s="8" t="s">
        <v>5392</v>
      </c>
      <c r="C1150" s="8" t="s">
        <v>5392</v>
      </c>
      <c r="F1150" s="47"/>
      <c r="G1150" s="8">
        <v>19</v>
      </c>
      <c r="H1150" s="8" t="s">
        <v>21</v>
      </c>
      <c r="I1150" s="8" t="s">
        <v>22</v>
      </c>
      <c r="J1150" s="8" t="s">
        <v>22</v>
      </c>
      <c r="K1150" s="8" t="s">
        <v>58</v>
      </c>
      <c r="L1150" s="8" t="s">
        <v>125</v>
      </c>
      <c r="M1150" s="8" t="s">
        <v>126</v>
      </c>
      <c r="N1150" s="8" t="s">
        <v>5393</v>
      </c>
      <c r="O1150" s="8">
        <f>2+57/60+23.8/3600</f>
        <v>2.9566111111111111</v>
      </c>
      <c r="P1150" s="8" t="s">
        <v>5394</v>
      </c>
      <c r="Q1150" s="8">
        <f>-(0+18/60+32/3600)</f>
        <v>-0.30888888888888888</v>
      </c>
      <c r="R1150" s="8">
        <v>14</v>
      </c>
      <c r="S1150" s="8">
        <v>15</v>
      </c>
      <c r="T1150" s="8">
        <v>1</v>
      </c>
      <c r="U1150" s="8">
        <v>12.9</v>
      </c>
      <c r="V1150" s="8">
        <v>0.6</v>
      </c>
      <c r="W1150" s="8">
        <v>0.5</v>
      </c>
      <c r="X1150" s="8">
        <v>130</v>
      </c>
      <c r="Y1150" s="8" t="s">
        <v>5395</v>
      </c>
      <c r="Z1150" s="8" t="s">
        <v>5396</v>
      </c>
    </row>
    <row r="1151" spans="1:26" x14ac:dyDescent="0.2">
      <c r="A1151" s="8">
        <v>1150</v>
      </c>
      <c r="B1151" s="8" t="s">
        <v>5397</v>
      </c>
      <c r="C1151" s="8" t="s">
        <v>5397</v>
      </c>
      <c r="F1151" s="47"/>
      <c r="G1151" s="8">
        <v>19</v>
      </c>
      <c r="H1151" s="8" t="s">
        <v>21</v>
      </c>
      <c r="I1151" s="8" t="s">
        <v>22</v>
      </c>
      <c r="J1151" s="8" t="s">
        <v>22</v>
      </c>
      <c r="K1151" s="8" t="s">
        <v>37</v>
      </c>
      <c r="L1151" s="8" t="s">
        <v>3328</v>
      </c>
      <c r="M1151" s="8" t="s">
        <v>3329</v>
      </c>
      <c r="N1151" s="8" t="s">
        <v>5398</v>
      </c>
      <c r="O1151" s="8">
        <f>2+57/60+1.3/3600</f>
        <v>2.9503611111111114</v>
      </c>
      <c r="P1151" s="8" t="s">
        <v>5399</v>
      </c>
      <c r="Q1151" s="8">
        <f>-(15+2/60+55/3600)</f>
        <v>-15.048611111111111</v>
      </c>
      <c r="R1151" s="8">
        <v>14.1</v>
      </c>
      <c r="S1151" s="8">
        <v>15.1</v>
      </c>
      <c r="T1151" s="8">
        <v>1</v>
      </c>
      <c r="U1151" s="8">
        <v>13.3</v>
      </c>
      <c r="V1151" s="8">
        <v>0.9</v>
      </c>
      <c r="W1151" s="8">
        <v>0.6</v>
      </c>
      <c r="X1151" s="8">
        <v>73</v>
      </c>
      <c r="Y1151" s="8" t="s">
        <v>5400</v>
      </c>
      <c r="Z1151" s="8" t="s">
        <v>5401</v>
      </c>
    </row>
    <row r="1152" spans="1:26" x14ac:dyDescent="0.2">
      <c r="A1152" s="8">
        <v>1151</v>
      </c>
      <c r="B1152" s="8" t="s">
        <v>5402</v>
      </c>
      <c r="C1152" s="8" t="s">
        <v>5402</v>
      </c>
      <c r="F1152" s="47"/>
      <c r="G1152" s="8">
        <v>19</v>
      </c>
      <c r="H1152" s="8" t="s">
        <v>21</v>
      </c>
      <c r="I1152" s="8" t="s">
        <v>22</v>
      </c>
      <c r="J1152" s="8" t="s">
        <v>22</v>
      </c>
      <c r="K1152" s="8" t="s">
        <v>382</v>
      </c>
      <c r="L1152" s="8" t="s">
        <v>3328</v>
      </c>
      <c r="M1152" s="8" t="s">
        <v>3329</v>
      </c>
      <c r="N1152" s="8" t="s">
        <v>5403</v>
      </c>
      <c r="O1152" s="8">
        <f>2+57/60+4.6/3600</f>
        <v>2.9512777777777779</v>
      </c>
      <c r="P1152" s="8" t="s">
        <v>5404</v>
      </c>
      <c r="Q1152" s="8">
        <f>-(15+0/60+48/3600)</f>
        <v>-15.013333333333334</v>
      </c>
      <c r="R1152" s="8">
        <v>15</v>
      </c>
      <c r="S1152" s="8">
        <v>16</v>
      </c>
      <c r="T1152" s="8">
        <v>1</v>
      </c>
      <c r="U1152" s="8">
        <v>12.8</v>
      </c>
      <c r="V1152" s="8">
        <v>0.4</v>
      </c>
      <c r="W1152" s="8">
        <v>0.3</v>
      </c>
      <c r="X1152" s="8">
        <v>10</v>
      </c>
      <c r="Y1152" s="8" t="s">
        <v>5405</v>
      </c>
      <c r="Z1152" s="8" t="s">
        <v>5406</v>
      </c>
    </row>
    <row r="1153" spans="1:26" x14ac:dyDescent="0.2">
      <c r="A1153" s="8">
        <v>1152</v>
      </c>
      <c r="B1153" s="8" t="s">
        <v>5407</v>
      </c>
      <c r="C1153" s="8" t="s">
        <v>5407</v>
      </c>
      <c r="F1153" s="47"/>
      <c r="G1153" s="8">
        <v>19</v>
      </c>
      <c r="H1153" s="8" t="s">
        <v>21</v>
      </c>
      <c r="I1153" s="8" t="s">
        <v>22</v>
      </c>
      <c r="J1153" s="8" t="s">
        <v>22</v>
      </c>
      <c r="K1153" s="8" t="s">
        <v>37</v>
      </c>
      <c r="L1153" s="8" t="s">
        <v>3328</v>
      </c>
      <c r="M1153" s="8" t="s">
        <v>3329</v>
      </c>
      <c r="N1153" s="8" t="s">
        <v>5408</v>
      </c>
      <c r="O1153" s="8">
        <f>2+57/60+33.6/3600</f>
        <v>2.9593333333333334</v>
      </c>
      <c r="P1153" s="8" t="s">
        <v>5409</v>
      </c>
      <c r="Q1153" s="8">
        <f>-(7+45/60+35/3600)</f>
        <v>-7.759722222222222</v>
      </c>
      <c r="R1153" s="8">
        <v>13.5</v>
      </c>
      <c r="S1153" s="8">
        <v>14.5</v>
      </c>
      <c r="T1153" s="8">
        <v>1</v>
      </c>
      <c r="U1153" s="8">
        <v>13.1</v>
      </c>
      <c r="V1153" s="8">
        <v>0.9</v>
      </c>
      <c r="W1153" s="8">
        <v>0.6</v>
      </c>
      <c r="X1153" s="8">
        <v>29</v>
      </c>
      <c r="Y1153" s="8" t="s">
        <v>5410</v>
      </c>
      <c r="Z1153" s="8" t="s">
        <v>5411</v>
      </c>
    </row>
    <row r="1154" spans="1:26" x14ac:dyDescent="0.2">
      <c r="A1154" s="8">
        <v>1153</v>
      </c>
      <c r="B1154" s="8" t="s">
        <v>5412</v>
      </c>
      <c r="C1154" s="8" t="s">
        <v>5412</v>
      </c>
      <c r="F1154" s="47" t="s">
        <v>56255</v>
      </c>
      <c r="G1154" s="8">
        <v>15</v>
      </c>
      <c r="H1154" s="8" t="s">
        <v>21</v>
      </c>
      <c r="I1154" s="8" t="s">
        <v>22</v>
      </c>
      <c r="J1154" s="8" t="s">
        <v>22</v>
      </c>
      <c r="K1154" s="8" t="s">
        <v>632</v>
      </c>
      <c r="L1154" s="8" t="s">
        <v>125</v>
      </c>
      <c r="M1154" s="8" t="s">
        <v>126</v>
      </c>
      <c r="N1154" s="8" t="s">
        <v>5413</v>
      </c>
      <c r="O1154" s="8">
        <f>2+58/60+10.2/3600</f>
        <v>2.9695</v>
      </c>
      <c r="P1154" s="8" t="s">
        <v>5414</v>
      </c>
      <c r="Q1154" s="8">
        <f>+(3+21/60+43/3600)</f>
        <v>3.3619444444444446</v>
      </c>
      <c r="R1154" s="8">
        <v>12.4</v>
      </c>
      <c r="S1154" s="8">
        <v>13.3</v>
      </c>
      <c r="T1154" s="8">
        <v>0.9</v>
      </c>
      <c r="U1154" s="8">
        <v>12.1</v>
      </c>
      <c r="V1154" s="8">
        <v>1.2</v>
      </c>
      <c r="W1154" s="8">
        <v>0.7</v>
      </c>
      <c r="X1154" s="8">
        <v>45</v>
      </c>
      <c r="Y1154" s="8" t="s">
        <v>5415</v>
      </c>
      <c r="Z1154" s="8" t="s">
        <v>5416</v>
      </c>
    </row>
    <row r="1155" spans="1:26" x14ac:dyDescent="0.2">
      <c r="A1155" s="8">
        <v>1154</v>
      </c>
      <c r="B1155" s="8" t="s">
        <v>5417</v>
      </c>
      <c r="C1155" s="8" t="s">
        <v>5417</v>
      </c>
      <c r="F1155" s="47"/>
      <c r="G1155" s="8">
        <v>18</v>
      </c>
      <c r="H1155" s="8" t="s">
        <v>21</v>
      </c>
      <c r="I1155" s="8" t="s">
        <v>22</v>
      </c>
      <c r="J1155" s="8" t="s">
        <v>22</v>
      </c>
      <c r="K1155" s="8" t="s">
        <v>160</v>
      </c>
      <c r="L1155" s="8" t="s">
        <v>3328</v>
      </c>
      <c r="M1155" s="8" t="s">
        <v>3329</v>
      </c>
      <c r="N1155" s="8" t="s">
        <v>5418</v>
      </c>
      <c r="O1155" s="8">
        <f>2+58/60+7.6/3600</f>
        <v>2.968777777777778</v>
      </c>
      <c r="P1155" s="8" t="s">
        <v>5419</v>
      </c>
      <c r="Q1155" s="8">
        <f>-(10+21/60+49/3600)</f>
        <v>-10.36361111111111</v>
      </c>
      <c r="R1155" s="8">
        <v>13.2</v>
      </c>
      <c r="S1155" s="8">
        <v>13.9</v>
      </c>
      <c r="T1155" s="8">
        <v>0.7</v>
      </c>
      <c r="U1155" s="8">
        <v>12.5</v>
      </c>
      <c r="V1155" s="8">
        <v>1</v>
      </c>
      <c r="W1155" s="8">
        <v>0.8</v>
      </c>
      <c r="X1155" s="8">
        <v>124</v>
      </c>
      <c r="Y1155" s="8" t="s">
        <v>5420</v>
      </c>
      <c r="Z1155" s="8" t="s">
        <v>5421</v>
      </c>
    </row>
    <row r="1156" spans="1:26" x14ac:dyDescent="0.2">
      <c r="A1156" s="8">
        <v>1155</v>
      </c>
      <c r="B1156" s="8" t="s">
        <v>5422</v>
      </c>
      <c r="C1156" s="8" t="s">
        <v>5422</v>
      </c>
      <c r="F1156" s="47"/>
      <c r="G1156" s="8">
        <v>18</v>
      </c>
      <c r="H1156" s="8" t="s">
        <v>21</v>
      </c>
      <c r="I1156" s="8" t="s">
        <v>22</v>
      </c>
      <c r="J1156" s="8" t="s">
        <v>22</v>
      </c>
      <c r="K1156" s="8" t="s">
        <v>37</v>
      </c>
      <c r="L1156" s="8" t="s">
        <v>3328</v>
      </c>
      <c r="M1156" s="8" t="s">
        <v>3329</v>
      </c>
      <c r="N1156" s="8" t="s">
        <v>5423</v>
      </c>
      <c r="O1156" s="8">
        <f>2+58/60+13/3600</f>
        <v>2.970277777777778</v>
      </c>
      <c r="P1156" s="8" t="s">
        <v>5424</v>
      </c>
      <c r="Q1156" s="8">
        <f>-(10+21/60+1/3600)</f>
        <v>-10.350277777777777</v>
      </c>
      <c r="R1156" s="8">
        <v>13.4</v>
      </c>
      <c r="S1156" s="8">
        <v>14.4</v>
      </c>
      <c r="T1156" s="8">
        <v>1</v>
      </c>
      <c r="U1156" s="8">
        <v>13</v>
      </c>
      <c r="V1156" s="8">
        <v>1</v>
      </c>
      <c r="W1156" s="8">
        <v>0.8</v>
      </c>
      <c r="X1156" s="8">
        <v>165</v>
      </c>
      <c r="Y1156" s="8" t="s">
        <v>5425</v>
      </c>
      <c r="Z1156" s="8" t="s">
        <v>5426</v>
      </c>
    </row>
    <row r="1157" spans="1:26" x14ac:dyDescent="0.2">
      <c r="A1157" s="8">
        <v>1156</v>
      </c>
      <c r="B1157" s="8" t="s">
        <v>5427</v>
      </c>
      <c r="C1157" s="8" t="s">
        <v>5427</v>
      </c>
      <c r="F1157" s="47" t="s">
        <v>56256</v>
      </c>
      <c r="G1157" s="8">
        <v>6.5</v>
      </c>
      <c r="H1157" s="8" t="s">
        <v>21</v>
      </c>
      <c r="I1157" s="8" t="s">
        <v>22</v>
      </c>
      <c r="J1157" s="8" t="s">
        <v>22</v>
      </c>
      <c r="K1157" s="8" t="s">
        <v>107</v>
      </c>
      <c r="L1157" s="8" t="s">
        <v>3256</v>
      </c>
      <c r="M1157" s="8" t="s">
        <v>3257</v>
      </c>
      <c r="N1157" s="8" t="s">
        <v>5428</v>
      </c>
      <c r="O1157" s="8">
        <f>2+59/60+42.1/3600</f>
        <v>2.9950277777777776</v>
      </c>
      <c r="P1157" s="8" t="s">
        <v>5429</v>
      </c>
      <c r="Q1157" s="8">
        <f>+(25+14/60+14/3600)</f>
        <v>25.237222222222222</v>
      </c>
      <c r="R1157" s="8">
        <v>11.7</v>
      </c>
      <c r="S1157" s="8">
        <v>12.3</v>
      </c>
      <c r="T1157" s="8">
        <v>0.6</v>
      </c>
      <c r="U1157" s="8">
        <v>13.9</v>
      </c>
      <c r="V1157" s="8">
        <v>2.6</v>
      </c>
      <c r="W1157" s="8">
        <v>1.7</v>
      </c>
      <c r="X1157" s="8">
        <v>34</v>
      </c>
      <c r="Y1157" s="8" t="s">
        <v>5430</v>
      </c>
      <c r="Z1157" s="8" t="s">
        <v>5431</v>
      </c>
    </row>
    <row r="1158" spans="1:26" x14ac:dyDescent="0.2">
      <c r="A1158" s="8">
        <v>1157</v>
      </c>
      <c r="B1158" s="8" t="s">
        <v>5432</v>
      </c>
      <c r="C1158" s="8" t="s">
        <v>5432</v>
      </c>
      <c r="F1158" s="47"/>
      <c r="G1158" s="8">
        <v>19</v>
      </c>
      <c r="H1158" s="8" t="s">
        <v>21</v>
      </c>
      <c r="I1158" s="8" t="s">
        <v>22</v>
      </c>
      <c r="J1158" s="8" t="s">
        <v>22</v>
      </c>
      <c r="K1158" s="8" t="s">
        <v>23</v>
      </c>
      <c r="L1158" s="8" t="s">
        <v>3328</v>
      </c>
      <c r="M1158" s="8" t="s">
        <v>3329</v>
      </c>
      <c r="N1158" s="8" t="s">
        <v>5433</v>
      </c>
      <c r="O1158" s="8">
        <f>2+58/60+6.6/3600</f>
        <v>2.9685000000000001</v>
      </c>
      <c r="P1158" s="8" t="s">
        <v>5434</v>
      </c>
      <c r="Q1158" s="8">
        <f>-(15+7/60+5/3600)</f>
        <v>-15.118055555555555</v>
      </c>
      <c r="R1158" s="8">
        <v>14.8</v>
      </c>
      <c r="S1158" s="8">
        <v>15.6</v>
      </c>
      <c r="T1158" s="8">
        <v>0.8</v>
      </c>
      <c r="U1158" s="8">
        <v>12.8</v>
      </c>
      <c r="V1158" s="8">
        <v>0.6</v>
      </c>
      <c r="W1158" s="8">
        <v>0.3</v>
      </c>
      <c r="X1158" s="8">
        <v>169</v>
      </c>
      <c r="Y1158" s="8" t="s">
        <v>5435</v>
      </c>
      <c r="Z1158" s="8" t="s">
        <v>5436</v>
      </c>
    </row>
    <row r="1159" spans="1:26" x14ac:dyDescent="0.2">
      <c r="A1159" s="8">
        <v>1158</v>
      </c>
      <c r="B1159" s="8" t="s">
        <v>5437</v>
      </c>
      <c r="C1159" s="8" t="s">
        <v>5437</v>
      </c>
      <c r="F1159" s="47"/>
      <c r="G1159" s="8">
        <v>19</v>
      </c>
      <c r="H1159" s="8" t="s">
        <v>21</v>
      </c>
      <c r="I1159" s="8" t="s">
        <v>22</v>
      </c>
      <c r="J1159" s="8" t="s">
        <v>22</v>
      </c>
      <c r="K1159" s="8" t="s">
        <v>224</v>
      </c>
      <c r="L1159" s="8" t="s">
        <v>3328</v>
      </c>
      <c r="M1159" s="8" t="s">
        <v>3329</v>
      </c>
      <c r="N1159" s="8" t="s">
        <v>5438</v>
      </c>
      <c r="O1159" s="8">
        <f>2+57/60+11.4/3600</f>
        <v>2.9531666666666667</v>
      </c>
      <c r="P1159" s="8" t="s">
        <v>5439</v>
      </c>
      <c r="Q1159" s="8">
        <f>-(14+23/60+42/3600)</f>
        <v>-14.395</v>
      </c>
      <c r="R1159" s="8">
        <v>14.8</v>
      </c>
      <c r="S1159" s="8">
        <v>15.8</v>
      </c>
      <c r="T1159" s="8">
        <v>1</v>
      </c>
      <c r="U1159" s="8">
        <v>14</v>
      </c>
      <c r="V1159" s="8">
        <v>0.9</v>
      </c>
      <c r="W1159" s="8">
        <v>0.6</v>
      </c>
      <c r="X1159" s="8">
        <v>147</v>
      </c>
      <c r="Y1159" s="8" t="s">
        <v>5440</v>
      </c>
      <c r="Z1159" s="8" t="s">
        <v>5441</v>
      </c>
    </row>
    <row r="1160" spans="1:26" x14ac:dyDescent="0.2">
      <c r="A1160" s="8">
        <v>1159</v>
      </c>
      <c r="B1160" s="8" t="s">
        <v>5442</v>
      </c>
      <c r="C1160" s="8" t="s">
        <v>5442</v>
      </c>
      <c r="F1160" s="47"/>
      <c r="G1160" s="8">
        <v>19</v>
      </c>
      <c r="H1160" s="8" t="s">
        <v>21</v>
      </c>
      <c r="I1160" s="8" t="s">
        <v>22</v>
      </c>
      <c r="J1160" s="8" t="s">
        <v>22</v>
      </c>
      <c r="K1160" s="8" t="s">
        <v>37</v>
      </c>
      <c r="L1160" s="8" t="s">
        <v>3147</v>
      </c>
      <c r="M1160" s="8" t="s">
        <v>3148</v>
      </c>
      <c r="N1160" s="8" t="s">
        <v>5443</v>
      </c>
      <c r="O1160" s="8">
        <f>3+0/60+46.4/3600</f>
        <v>3.0128888888888889</v>
      </c>
      <c r="P1160" s="8" t="s">
        <v>5444</v>
      </c>
      <c r="Q1160" s="8">
        <f>+(43+9/60+46/3600)</f>
        <v>43.162777777777777</v>
      </c>
      <c r="R1160" s="8">
        <v>13.5</v>
      </c>
      <c r="S1160" s="8">
        <v>14.5</v>
      </c>
      <c r="T1160" s="8">
        <v>1</v>
      </c>
      <c r="U1160" s="8">
        <v>11.6</v>
      </c>
      <c r="V1160" s="8">
        <v>0.5</v>
      </c>
      <c r="W1160" s="8">
        <v>0.4</v>
      </c>
      <c r="X1160" s="8">
        <v>123</v>
      </c>
      <c r="Y1160" s="8" t="s">
        <v>5445</v>
      </c>
      <c r="Z1160" s="8" t="s">
        <v>577</v>
      </c>
    </row>
    <row r="1161" spans="1:26" x14ac:dyDescent="0.2">
      <c r="A1161" s="8">
        <v>1160</v>
      </c>
      <c r="B1161" s="8" t="s">
        <v>5446</v>
      </c>
      <c r="C1161" s="8" t="s">
        <v>5446</v>
      </c>
      <c r="F1161" s="47" t="s">
        <v>56257</v>
      </c>
      <c r="G1161" s="8">
        <v>9</v>
      </c>
      <c r="H1161" s="8" t="s">
        <v>21</v>
      </c>
      <c r="I1161" s="8" t="s">
        <v>22</v>
      </c>
      <c r="J1161" s="8" t="s">
        <v>22</v>
      </c>
      <c r="K1161" s="8" t="s">
        <v>579</v>
      </c>
      <c r="L1161" s="8" t="s">
        <v>3147</v>
      </c>
      <c r="M1161" s="8" t="s">
        <v>3148</v>
      </c>
      <c r="N1161" s="8" t="s">
        <v>5447</v>
      </c>
      <c r="O1161" s="8">
        <f>3+1/60+13.2/3600</f>
        <v>3.0203333333333333</v>
      </c>
      <c r="P1161" s="8" t="s">
        <v>5448</v>
      </c>
      <c r="Q1161" s="8">
        <f>+(44+57/60+20/3600)</f>
        <v>44.955555555555556</v>
      </c>
      <c r="R1161" s="8">
        <v>12.8</v>
      </c>
      <c r="S1161" s="8">
        <v>13.5</v>
      </c>
      <c r="T1161" s="8">
        <v>0.7</v>
      </c>
      <c r="U1161" s="8">
        <v>13.3</v>
      </c>
      <c r="V1161" s="8">
        <v>1.5</v>
      </c>
      <c r="W1161" s="8">
        <v>0.7</v>
      </c>
      <c r="X1161" s="8">
        <v>50</v>
      </c>
      <c r="Y1161" s="8" t="s">
        <v>1674</v>
      </c>
      <c r="Z1161" s="8" t="s">
        <v>1675</v>
      </c>
    </row>
    <row r="1162" spans="1:26" x14ac:dyDescent="0.2">
      <c r="A1162" s="8">
        <v>1161</v>
      </c>
      <c r="B1162" s="8" t="s">
        <v>5449</v>
      </c>
      <c r="C1162" s="8" t="s">
        <v>5449</v>
      </c>
      <c r="F1162" s="47" t="s">
        <v>56258</v>
      </c>
      <c r="G1162" s="8">
        <v>6.5</v>
      </c>
      <c r="H1162" s="8" t="s">
        <v>21</v>
      </c>
      <c r="I1162" s="8" t="s">
        <v>22</v>
      </c>
      <c r="J1162" s="8" t="s">
        <v>22</v>
      </c>
      <c r="K1162" s="8" t="s">
        <v>37</v>
      </c>
      <c r="L1162" s="8" t="s">
        <v>3147</v>
      </c>
      <c r="M1162" s="8" t="s">
        <v>3148</v>
      </c>
      <c r="N1162" s="8" t="s">
        <v>5450</v>
      </c>
      <c r="O1162" s="8">
        <f>3+1/60+14.1/3600</f>
        <v>3.0205833333333332</v>
      </c>
      <c r="P1162" s="8" t="s">
        <v>5451</v>
      </c>
      <c r="Q1162" s="8">
        <f>+(44+53/60+51/3600)</f>
        <v>44.897500000000001</v>
      </c>
      <c r="R1162" s="8">
        <v>11</v>
      </c>
      <c r="S1162" s="8">
        <v>12.1</v>
      </c>
      <c r="T1162" s="8">
        <v>1.1000000000000001</v>
      </c>
      <c r="U1162" s="8">
        <v>12.7</v>
      </c>
      <c r="V1162" s="8">
        <v>2.8</v>
      </c>
      <c r="W1162" s="8">
        <v>2</v>
      </c>
      <c r="X1162" s="8">
        <v>23</v>
      </c>
      <c r="Y1162" s="8" t="s">
        <v>5452</v>
      </c>
      <c r="Z1162" s="8" t="s">
        <v>5453</v>
      </c>
    </row>
    <row r="1163" spans="1:26" x14ac:dyDescent="0.2">
      <c r="A1163" s="8">
        <v>1162</v>
      </c>
      <c r="B1163" s="8" t="s">
        <v>5454</v>
      </c>
      <c r="C1163" s="8" t="s">
        <v>5454</v>
      </c>
      <c r="F1163" s="47" t="s">
        <v>56259</v>
      </c>
      <c r="G1163" s="8">
        <v>6.5</v>
      </c>
      <c r="H1163" s="8" t="s">
        <v>21</v>
      </c>
      <c r="I1163" s="8" t="s">
        <v>22</v>
      </c>
      <c r="J1163" s="8" t="s">
        <v>22</v>
      </c>
      <c r="K1163" s="8" t="s">
        <v>460</v>
      </c>
      <c r="L1163" s="8" t="s">
        <v>3328</v>
      </c>
      <c r="M1163" s="8" t="s">
        <v>3329</v>
      </c>
      <c r="N1163" s="8" t="s">
        <v>5455</v>
      </c>
      <c r="O1163" s="8">
        <f>2+58/60+55.9/3600</f>
        <v>2.9821944444444446</v>
      </c>
      <c r="P1163" s="8" t="s">
        <v>5456</v>
      </c>
      <c r="Q1163" s="8">
        <f>-(12+23/60+54/3600)</f>
        <v>-12.398333333333333</v>
      </c>
      <c r="R1163" s="8">
        <v>12.5</v>
      </c>
      <c r="S1163" s="8">
        <v>13.5</v>
      </c>
      <c r="T1163" s="8">
        <v>1</v>
      </c>
      <c r="U1163" s="8">
        <v>13.3</v>
      </c>
      <c r="V1163" s="8">
        <v>1.4</v>
      </c>
      <c r="W1163" s="8">
        <v>1.4</v>
      </c>
      <c r="Y1163" s="8" t="s">
        <v>5457</v>
      </c>
      <c r="Z1163" s="8" t="s">
        <v>5458</v>
      </c>
    </row>
    <row r="1164" spans="1:26" x14ac:dyDescent="0.2">
      <c r="A1164" s="8">
        <v>1163</v>
      </c>
      <c r="B1164" s="8" t="s">
        <v>5459</v>
      </c>
      <c r="C1164" s="8" t="s">
        <v>5459</v>
      </c>
      <c r="F1164" s="47"/>
      <c r="G1164" s="8">
        <v>19</v>
      </c>
      <c r="H1164" s="8" t="s">
        <v>21</v>
      </c>
      <c r="I1164" s="8" t="s">
        <v>22</v>
      </c>
      <c r="J1164" s="8" t="s">
        <v>22</v>
      </c>
      <c r="K1164" s="8" t="s">
        <v>85</v>
      </c>
      <c r="L1164" s="8" t="s">
        <v>3328</v>
      </c>
      <c r="M1164" s="8" t="s">
        <v>3329</v>
      </c>
      <c r="N1164" s="8" t="s">
        <v>5460</v>
      </c>
      <c r="O1164" s="8">
        <f>3+0/60+22/3600</f>
        <v>3.0061111111111112</v>
      </c>
      <c r="P1164" s="8" t="s">
        <v>5461</v>
      </c>
      <c r="Q1164" s="8">
        <f>-(17+9/60+10/3600)</f>
        <v>-17.152777777777775</v>
      </c>
      <c r="R1164" s="8">
        <v>13.8</v>
      </c>
      <c r="S1164" s="8">
        <v>14.7</v>
      </c>
      <c r="T1164" s="8">
        <v>0.9</v>
      </c>
      <c r="U1164" s="8">
        <v>13.3</v>
      </c>
      <c r="V1164" s="8">
        <v>2.2000000000000002</v>
      </c>
      <c r="W1164" s="8">
        <v>0.3</v>
      </c>
      <c r="X1164" s="8">
        <v>141</v>
      </c>
      <c r="Y1164" s="8" t="s">
        <v>5462</v>
      </c>
      <c r="Z1164" s="8" t="s">
        <v>5463</v>
      </c>
    </row>
    <row r="1165" spans="1:26" x14ac:dyDescent="0.2">
      <c r="A1165" s="8">
        <v>1164</v>
      </c>
      <c r="B1165" s="8" t="s">
        <v>5464</v>
      </c>
      <c r="C1165" s="8" t="s">
        <v>5464</v>
      </c>
      <c r="F1165" s="47"/>
      <c r="G1165" s="8">
        <v>16</v>
      </c>
      <c r="H1165" s="8" t="s">
        <v>21</v>
      </c>
      <c r="I1165" s="8" t="s">
        <v>22</v>
      </c>
      <c r="J1165" s="8" t="s">
        <v>22</v>
      </c>
      <c r="K1165" s="8" t="s">
        <v>406</v>
      </c>
      <c r="L1165" s="8" t="s">
        <v>3147</v>
      </c>
      <c r="M1165" s="8" t="s">
        <v>3148</v>
      </c>
      <c r="N1165" s="8" t="s">
        <v>5465</v>
      </c>
      <c r="O1165" s="8">
        <f>3+1/60+59.8/3600</f>
        <v>3.0332777777777777</v>
      </c>
      <c r="P1165" s="8" t="s">
        <v>5466</v>
      </c>
      <c r="Q1165" s="8">
        <f>+(42+35/60+8/3600)</f>
        <v>42.585555555555558</v>
      </c>
      <c r="R1165" s="8">
        <v>13.1</v>
      </c>
      <c r="S1165" s="8">
        <v>13.9</v>
      </c>
      <c r="T1165" s="8">
        <v>0.8</v>
      </c>
      <c r="U1165" s="8">
        <v>13.1</v>
      </c>
      <c r="V1165" s="8">
        <v>1.3</v>
      </c>
      <c r="W1165" s="8">
        <v>1.1000000000000001</v>
      </c>
      <c r="X1165" s="8">
        <v>145</v>
      </c>
      <c r="Y1165" s="8" t="s">
        <v>266</v>
      </c>
      <c r="Z1165" s="8" t="s">
        <v>267</v>
      </c>
    </row>
    <row r="1166" spans="1:26" x14ac:dyDescent="0.2">
      <c r="A1166" s="8">
        <v>1165</v>
      </c>
      <c r="B1166" s="8" t="s">
        <v>5467</v>
      </c>
      <c r="C1166" s="8" t="s">
        <v>5467</v>
      </c>
      <c r="F1166" s="47"/>
      <c r="G1166" s="8">
        <v>16</v>
      </c>
      <c r="H1166" s="8" t="s">
        <v>21</v>
      </c>
      <c r="I1166" s="8" t="s">
        <v>22</v>
      </c>
      <c r="J1166" s="8" t="s">
        <v>22</v>
      </c>
      <c r="K1166" s="8" t="s">
        <v>154</v>
      </c>
      <c r="L1166" s="8" t="s">
        <v>3335</v>
      </c>
      <c r="M1166" s="8" t="s">
        <v>3336</v>
      </c>
      <c r="N1166" s="8" t="s">
        <v>5468</v>
      </c>
      <c r="O1166" s="8">
        <f>2+58/60+47.7/3600</f>
        <v>2.979916666666667</v>
      </c>
      <c r="P1166" s="8" t="s">
        <v>5469</v>
      </c>
      <c r="Q1166" s="8">
        <f>-(32+5/60+58/3600)</f>
        <v>-32.099444444444444</v>
      </c>
      <c r="R1166" s="8">
        <v>12.7</v>
      </c>
      <c r="S1166" s="8">
        <v>13.6</v>
      </c>
      <c r="T1166" s="8">
        <v>0.9</v>
      </c>
      <c r="U1166" s="8">
        <v>13.6</v>
      </c>
      <c r="V1166" s="8">
        <v>2.5</v>
      </c>
      <c r="W1166" s="8">
        <v>0.9</v>
      </c>
      <c r="X1166" s="8">
        <v>115</v>
      </c>
      <c r="Y1166" s="8" t="s">
        <v>5470</v>
      </c>
      <c r="Z1166" s="8" t="s">
        <v>5471</v>
      </c>
    </row>
    <row r="1167" spans="1:26" x14ac:dyDescent="0.2">
      <c r="A1167" s="8">
        <v>1166</v>
      </c>
      <c r="B1167" s="8" t="s">
        <v>5472</v>
      </c>
      <c r="C1167" s="8" t="s">
        <v>5472</v>
      </c>
      <c r="F1167" s="47"/>
      <c r="G1167" s="8">
        <v>18</v>
      </c>
      <c r="H1167" s="8" t="s">
        <v>21</v>
      </c>
      <c r="I1167" s="8" t="s">
        <v>22</v>
      </c>
      <c r="J1167" s="8" t="s">
        <v>22</v>
      </c>
      <c r="K1167" s="8" t="s">
        <v>31</v>
      </c>
      <c r="L1167" s="8" t="s">
        <v>3256</v>
      </c>
      <c r="M1167" s="8" t="s">
        <v>3257</v>
      </c>
      <c r="N1167" s="8" t="s">
        <v>5473</v>
      </c>
      <c r="O1167" s="8">
        <f>3+0/60+34.9/3600</f>
        <v>3.0096944444444444</v>
      </c>
      <c r="P1167" s="8" t="s">
        <v>5474</v>
      </c>
      <c r="Q1167" s="8">
        <f>+(11+50/60+34/3600)</f>
        <v>11.842777777777778</v>
      </c>
      <c r="R1167" s="8">
        <v>14</v>
      </c>
      <c r="S1167" s="8">
        <v>14.8</v>
      </c>
      <c r="T1167" s="8">
        <v>0.8</v>
      </c>
      <c r="U1167" s="8">
        <v>13.8</v>
      </c>
      <c r="V1167" s="8">
        <v>1</v>
      </c>
      <c r="W1167" s="8">
        <v>1</v>
      </c>
      <c r="Y1167" s="8" t="s">
        <v>745</v>
      </c>
      <c r="Z1167" s="8" t="s">
        <v>746</v>
      </c>
    </row>
    <row r="1168" spans="1:26" x14ac:dyDescent="0.2">
      <c r="A1168" s="8">
        <v>1167</v>
      </c>
      <c r="B1168" s="8" t="s">
        <v>5475</v>
      </c>
      <c r="C1168" s="8" t="s">
        <v>5475</v>
      </c>
      <c r="F1168" s="47" t="s">
        <v>56260</v>
      </c>
      <c r="G1168" s="8">
        <v>15</v>
      </c>
      <c r="H1168" s="8" t="s">
        <v>21</v>
      </c>
      <c r="I1168" s="8" t="s">
        <v>22</v>
      </c>
      <c r="J1168" s="8" t="s">
        <v>22</v>
      </c>
      <c r="K1168" s="8" t="s">
        <v>37</v>
      </c>
      <c r="L1168" s="8" t="s">
        <v>3147</v>
      </c>
      <c r="M1168" s="8" t="s">
        <v>3148</v>
      </c>
      <c r="N1168" s="8" t="s">
        <v>5476</v>
      </c>
      <c r="O1168" s="8">
        <f>3+1/60+42.3/3600</f>
        <v>3.0284166666666668</v>
      </c>
      <c r="P1168" s="8" t="s">
        <v>5477</v>
      </c>
      <c r="Q1168" s="8">
        <f>+(35+12/60+21/3600)</f>
        <v>35.205833333333338</v>
      </c>
      <c r="R1168" s="8">
        <v>12.4</v>
      </c>
      <c r="S1168" s="8">
        <v>13.4</v>
      </c>
      <c r="T1168" s="8">
        <v>1</v>
      </c>
      <c r="U1168" s="8">
        <v>14.5</v>
      </c>
      <c r="V1168" s="8">
        <v>3.3</v>
      </c>
      <c r="W1168" s="8">
        <v>2.2999999999999998</v>
      </c>
      <c r="X1168" s="8">
        <v>70</v>
      </c>
      <c r="Y1168" s="8" t="s">
        <v>5478</v>
      </c>
      <c r="Z1168" s="8" t="s">
        <v>5479</v>
      </c>
    </row>
    <row r="1169" spans="1:26" x14ac:dyDescent="0.2">
      <c r="A1169" s="8">
        <v>1168</v>
      </c>
      <c r="B1169" s="8" t="s">
        <v>5480</v>
      </c>
      <c r="C1169" s="8" t="s">
        <v>5480</v>
      </c>
      <c r="F1169" s="47"/>
      <c r="G1169" s="8">
        <v>18</v>
      </c>
      <c r="H1169" s="8" t="s">
        <v>21</v>
      </c>
      <c r="I1169" s="8" t="s">
        <v>22</v>
      </c>
      <c r="J1169" s="8" t="s">
        <v>22</v>
      </c>
      <c r="K1169" s="8" t="s">
        <v>23</v>
      </c>
      <c r="L1169" s="8" t="s">
        <v>3256</v>
      </c>
      <c r="M1169" s="8" t="s">
        <v>3257</v>
      </c>
      <c r="N1169" s="8" t="s">
        <v>5481</v>
      </c>
      <c r="O1169" s="8">
        <f>3+0/60+47/3600</f>
        <v>3.0130555555555554</v>
      </c>
      <c r="P1169" s="8" t="s">
        <v>5482</v>
      </c>
      <c r="Q1169" s="8">
        <f>+(11+46/60+20/3600)</f>
        <v>11.772222222222224</v>
      </c>
      <c r="R1169" s="8">
        <v>14.2</v>
      </c>
      <c r="S1169" s="8">
        <v>15</v>
      </c>
      <c r="T1169" s="8">
        <v>0.8</v>
      </c>
      <c r="U1169" s="8">
        <v>13.9</v>
      </c>
      <c r="V1169" s="8">
        <v>1.1000000000000001</v>
      </c>
      <c r="W1169" s="8">
        <v>0.6</v>
      </c>
      <c r="X1169" s="8">
        <v>18</v>
      </c>
      <c r="Y1169" s="8" t="s">
        <v>47</v>
      </c>
      <c r="Z1169" s="8" t="s">
        <v>48</v>
      </c>
    </row>
    <row r="1170" spans="1:26" x14ac:dyDescent="0.2">
      <c r="A1170" s="8">
        <v>1169</v>
      </c>
      <c r="B1170" s="8" t="s">
        <v>5483</v>
      </c>
      <c r="C1170" s="8" t="s">
        <v>5483</v>
      </c>
      <c r="F1170" s="47" t="s">
        <v>56261</v>
      </c>
      <c r="G1170" s="8">
        <v>6.5</v>
      </c>
      <c r="H1170" s="8" t="s">
        <v>21</v>
      </c>
      <c r="I1170" s="8" t="s">
        <v>22</v>
      </c>
      <c r="J1170" s="8" t="s">
        <v>22</v>
      </c>
      <c r="K1170" s="8" t="s">
        <v>218</v>
      </c>
      <c r="L1170" s="8" t="s">
        <v>3147</v>
      </c>
      <c r="M1170" s="8" t="s">
        <v>3148</v>
      </c>
      <c r="N1170" s="8" t="s">
        <v>5484</v>
      </c>
      <c r="O1170" s="8">
        <f>3+3/60+34.8/3600</f>
        <v>3.0596666666666663</v>
      </c>
      <c r="P1170" s="8" t="s">
        <v>5485</v>
      </c>
      <c r="Q1170" s="8">
        <f>+(46+23/60+11/3600)</f>
        <v>46.386388888888888</v>
      </c>
      <c r="R1170" s="8">
        <v>11.3</v>
      </c>
      <c r="S1170" s="8">
        <v>12.2</v>
      </c>
      <c r="T1170" s="8">
        <v>0.9</v>
      </c>
      <c r="U1170" s="8">
        <v>13.8</v>
      </c>
      <c r="V1170" s="8">
        <v>4</v>
      </c>
      <c r="W1170" s="8">
        <v>2.6</v>
      </c>
      <c r="X1170" s="8">
        <v>28</v>
      </c>
      <c r="Y1170" s="8" t="s">
        <v>5486</v>
      </c>
      <c r="Z1170" s="8" t="s">
        <v>5487</v>
      </c>
    </row>
    <row r="1171" spans="1:26" x14ac:dyDescent="0.2">
      <c r="A1171" s="8">
        <v>1170</v>
      </c>
      <c r="B1171" s="8" t="s">
        <v>5488</v>
      </c>
      <c r="C1171" s="8" t="s">
        <v>5488</v>
      </c>
      <c r="F1171" s="47"/>
      <c r="G1171" s="8">
        <v>19</v>
      </c>
      <c r="H1171" s="8" t="s">
        <v>21</v>
      </c>
      <c r="I1171" s="8" t="s">
        <v>329</v>
      </c>
      <c r="J1171" s="8" t="s">
        <v>329</v>
      </c>
      <c r="K1171" s="8" t="s">
        <v>329</v>
      </c>
      <c r="L1171" s="8" t="s">
        <v>3256</v>
      </c>
      <c r="M1171" s="8" t="s">
        <v>3257</v>
      </c>
      <c r="N1171" s="8" t="s">
        <v>5489</v>
      </c>
      <c r="O1171" s="8">
        <f>3+2/60+26.8/3600</f>
        <v>3.0407777777777776</v>
      </c>
      <c r="P1171" s="8" t="s">
        <v>5490</v>
      </c>
      <c r="Q1171" s="8">
        <f>+(27+4/60+22/3600)</f>
        <v>27.072777777777777</v>
      </c>
      <c r="R1171" s="8">
        <v>99</v>
      </c>
      <c r="S1171" s="8">
        <v>99</v>
      </c>
      <c r="T1171" s="8">
        <v>99</v>
      </c>
      <c r="U1171" s="8">
        <v>99</v>
      </c>
      <c r="Y1171" s="8" t="s">
        <v>5491</v>
      </c>
      <c r="Z1171" s="8" t="s">
        <v>5492</v>
      </c>
    </row>
    <row r="1172" spans="1:26" x14ac:dyDescent="0.2">
      <c r="A1172" s="8">
        <v>1171</v>
      </c>
      <c r="B1172" s="8" t="s">
        <v>5493</v>
      </c>
      <c r="C1172" s="8" t="s">
        <v>5493</v>
      </c>
      <c r="F1172" s="47"/>
      <c r="G1172" s="8">
        <v>19</v>
      </c>
      <c r="H1172" s="8" t="s">
        <v>21</v>
      </c>
      <c r="I1172" s="8" t="s">
        <v>22</v>
      </c>
      <c r="J1172" s="8" t="s">
        <v>22</v>
      </c>
      <c r="K1172" s="8" t="s">
        <v>160</v>
      </c>
      <c r="L1172" s="8" t="s">
        <v>3147</v>
      </c>
      <c r="M1172" s="8" t="s">
        <v>3148</v>
      </c>
      <c r="N1172" s="8" t="s">
        <v>5494</v>
      </c>
      <c r="O1172" s="8">
        <f>3+3/60+58.9/3600</f>
        <v>3.0663611111111111</v>
      </c>
      <c r="P1172" s="8" t="s">
        <v>5495</v>
      </c>
      <c r="Q1172" s="8">
        <f>+(43+23/60+52/3600)</f>
        <v>43.397777777777776</v>
      </c>
      <c r="R1172" s="8">
        <v>12.3</v>
      </c>
      <c r="S1172" s="8">
        <v>13</v>
      </c>
      <c r="T1172" s="8">
        <v>0.7</v>
      </c>
      <c r="U1172" s="8">
        <v>12.8</v>
      </c>
      <c r="V1172" s="8">
        <v>1.9</v>
      </c>
      <c r="W1172" s="8">
        <v>1</v>
      </c>
      <c r="X1172" s="8">
        <v>147</v>
      </c>
      <c r="Y1172" s="8" t="s">
        <v>5496</v>
      </c>
      <c r="Z1172" s="8" t="s">
        <v>5497</v>
      </c>
    </row>
    <row r="1173" spans="1:26" x14ac:dyDescent="0.2">
      <c r="A1173" s="8">
        <v>1172</v>
      </c>
      <c r="B1173" s="8" t="s">
        <v>5498</v>
      </c>
      <c r="C1173" s="8" t="s">
        <v>5498</v>
      </c>
      <c r="F1173" s="47" t="s">
        <v>56262</v>
      </c>
      <c r="G1173" s="8">
        <v>6.5</v>
      </c>
      <c r="H1173" s="8" t="s">
        <v>21</v>
      </c>
      <c r="I1173" s="8" t="s">
        <v>22</v>
      </c>
      <c r="J1173" s="8" t="s">
        <v>22</v>
      </c>
      <c r="K1173" s="8" t="s">
        <v>382</v>
      </c>
      <c r="L1173" s="8" t="s">
        <v>3328</v>
      </c>
      <c r="M1173" s="8" t="s">
        <v>3329</v>
      </c>
      <c r="N1173" s="8" t="s">
        <v>5499</v>
      </c>
      <c r="O1173" s="8">
        <f>3+1/60+36/3600</f>
        <v>3.0266666666666664</v>
      </c>
      <c r="P1173" s="8" t="s">
        <v>5500</v>
      </c>
      <c r="Q1173" s="8">
        <f>-(14+50/60+12/3600)</f>
        <v>-14.836666666666668</v>
      </c>
      <c r="R1173" s="8">
        <v>11.9</v>
      </c>
      <c r="S1173" s="8">
        <v>12.7</v>
      </c>
      <c r="T1173" s="8">
        <v>0.8</v>
      </c>
      <c r="U1173" s="8">
        <v>13.3</v>
      </c>
      <c r="V1173" s="8">
        <v>2.2999999999999998</v>
      </c>
      <c r="W1173" s="8">
        <v>1.7</v>
      </c>
      <c r="X1173" s="8">
        <v>27</v>
      </c>
      <c r="Y1173" s="8" t="s">
        <v>5501</v>
      </c>
      <c r="Z1173" s="8" t="s">
        <v>5502</v>
      </c>
    </row>
    <row r="1174" spans="1:26" x14ac:dyDescent="0.2">
      <c r="A1174" s="8">
        <v>1173</v>
      </c>
      <c r="B1174" s="8" t="s">
        <v>5503</v>
      </c>
      <c r="C1174" s="8" t="s">
        <v>5503</v>
      </c>
      <c r="F1174" s="47"/>
      <c r="G1174" s="8">
        <v>19</v>
      </c>
      <c r="H1174" s="8" t="s">
        <v>21</v>
      </c>
      <c r="I1174" s="8" t="s">
        <v>329</v>
      </c>
      <c r="J1174" s="8" t="s">
        <v>329</v>
      </c>
      <c r="K1174" s="8" t="s">
        <v>329</v>
      </c>
      <c r="L1174" s="8" t="s">
        <v>3147</v>
      </c>
      <c r="M1174" s="8" t="s">
        <v>3148</v>
      </c>
      <c r="N1174" s="8" t="s">
        <v>5504</v>
      </c>
      <c r="O1174" s="8">
        <f>3+3/60+57.7/3600</f>
        <v>3.0660277777777778</v>
      </c>
      <c r="P1174" s="8" t="s">
        <v>5505</v>
      </c>
      <c r="Q1174" s="8">
        <f>+(42+23/60+1/3600)</f>
        <v>42.383611111111108</v>
      </c>
      <c r="R1174" s="8">
        <v>99</v>
      </c>
      <c r="S1174" s="8">
        <v>99</v>
      </c>
      <c r="T1174" s="8">
        <v>99</v>
      </c>
      <c r="U1174" s="8">
        <v>99</v>
      </c>
      <c r="Y1174" s="8" t="s">
        <v>5506</v>
      </c>
      <c r="Z1174" s="8" t="s">
        <v>5507</v>
      </c>
    </row>
    <row r="1175" spans="1:26" x14ac:dyDescent="0.2">
      <c r="A1175" s="8">
        <v>1174</v>
      </c>
      <c r="B1175" s="8" t="s">
        <v>5508</v>
      </c>
      <c r="C1175" s="8" t="s">
        <v>5508</v>
      </c>
      <c r="F1175" s="47"/>
      <c r="G1175" s="8">
        <v>19</v>
      </c>
      <c r="H1175" s="8" t="s">
        <v>21</v>
      </c>
      <c r="I1175" s="8" t="s">
        <v>22</v>
      </c>
      <c r="J1175" s="8" t="s">
        <v>57</v>
      </c>
      <c r="K1175" s="8" t="s">
        <v>85</v>
      </c>
      <c r="L1175" s="8" t="s">
        <v>3147</v>
      </c>
      <c r="M1175" s="8" t="s">
        <v>3148</v>
      </c>
      <c r="N1175" s="8" t="s">
        <v>5509</v>
      </c>
      <c r="O1175" s="8">
        <f>3+5/60+30.9/3600</f>
        <v>3.0919166666666666</v>
      </c>
      <c r="P1175" s="8" t="s">
        <v>5510</v>
      </c>
      <c r="Q1175" s="8">
        <f>+(42+50/60+8/3600)</f>
        <v>42.835555555555558</v>
      </c>
      <c r="R1175" s="8">
        <v>11.4</v>
      </c>
      <c r="S1175" s="8">
        <v>12.2</v>
      </c>
      <c r="T1175" s="8">
        <v>0.8</v>
      </c>
      <c r="U1175" s="8">
        <v>12.5</v>
      </c>
      <c r="V1175" s="8">
        <v>3.2</v>
      </c>
      <c r="W1175" s="8">
        <v>1.2</v>
      </c>
      <c r="X1175" s="8">
        <v>122</v>
      </c>
      <c r="Y1175" s="8" t="s">
        <v>5511</v>
      </c>
      <c r="Z1175" s="8" t="s">
        <v>5512</v>
      </c>
    </row>
    <row r="1176" spans="1:26" x14ac:dyDescent="0.2">
      <c r="A1176" s="8">
        <v>1175</v>
      </c>
      <c r="B1176" s="8" t="s">
        <v>5513</v>
      </c>
      <c r="C1176" s="8" t="s">
        <v>5513</v>
      </c>
      <c r="F1176" s="47" t="s">
        <v>56263</v>
      </c>
      <c r="G1176" s="8">
        <v>6.5</v>
      </c>
      <c r="H1176" s="8" t="s">
        <v>21</v>
      </c>
      <c r="I1176" s="8" t="s">
        <v>22</v>
      </c>
      <c r="J1176" s="8" t="s">
        <v>22</v>
      </c>
      <c r="K1176" s="8" t="s">
        <v>632</v>
      </c>
      <c r="L1176" s="8" t="s">
        <v>3147</v>
      </c>
      <c r="M1176" s="8" t="s">
        <v>3148</v>
      </c>
      <c r="N1176" s="8" t="s">
        <v>5514</v>
      </c>
      <c r="O1176" s="8">
        <f>3+4/60+32.3/3600</f>
        <v>3.0756388888888893</v>
      </c>
      <c r="P1176" s="8" t="s">
        <v>5515</v>
      </c>
      <c r="Q1176" s="8">
        <f>+(42+20/60+25/3600)</f>
        <v>42.340277777777779</v>
      </c>
      <c r="R1176" s="8">
        <v>12.9</v>
      </c>
      <c r="S1176" s="8">
        <v>13.9</v>
      </c>
      <c r="T1176" s="8">
        <v>1</v>
      </c>
      <c r="U1176" s="8">
        <v>12.9</v>
      </c>
      <c r="V1176" s="8">
        <v>1.9</v>
      </c>
      <c r="W1176" s="8">
        <v>0.7</v>
      </c>
      <c r="X1176" s="8">
        <v>153</v>
      </c>
      <c r="Y1176" s="8" t="s">
        <v>5516</v>
      </c>
      <c r="Z1176" s="8" t="s">
        <v>5517</v>
      </c>
    </row>
    <row r="1177" spans="1:26" x14ac:dyDescent="0.2">
      <c r="A1177" s="8">
        <v>1176</v>
      </c>
      <c r="B1177" s="8" t="s">
        <v>5518</v>
      </c>
      <c r="C1177" s="8" t="s">
        <v>5518</v>
      </c>
      <c r="F1177" s="47"/>
      <c r="G1177" s="8">
        <v>19</v>
      </c>
      <c r="H1177" s="8" t="s">
        <v>21</v>
      </c>
      <c r="I1177" s="8" t="s">
        <v>72</v>
      </c>
      <c r="J1177" s="8" t="s">
        <v>72</v>
      </c>
      <c r="K1177" s="8" t="s">
        <v>20</v>
      </c>
      <c r="L1177" s="8" t="s">
        <v>3147</v>
      </c>
      <c r="M1177" s="8" t="s">
        <v>3148</v>
      </c>
      <c r="N1177" s="8" t="s">
        <v>5519</v>
      </c>
      <c r="O1177" s="8">
        <f>3+4/60+34.8/3600</f>
        <v>3.0763333333333334</v>
      </c>
      <c r="P1177" s="8" t="s">
        <v>5520</v>
      </c>
      <c r="Q1177" s="8">
        <f>+(42+23/60+38/3600)</f>
        <v>42.393888888888888</v>
      </c>
      <c r="R1177" s="8">
        <v>99</v>
      </c>
      <c r="S1177" s="8">
        <v>99</v>
      </c>
      <c r="T1177" s="8">
        <v>99</v>
      </c>
      <c r="U1177" s="8">
        <v>99</v>
      </c>
      <c r="Y1177" s="8" t="s">
        <v>5521</v>
      </c>
      <c r="Z1177" s="8" t="s">
        <v>5522</v>
      </c>
    </row>
    <row r="1178" spans="1:26" x14ac:dyDescent="0.2">
      <c r="A1178" s="8">
        <v>1177</v>
      </c>
      <c r="B1178" s="8" t="s">
        <v>5523</v>
      </c>
      <c r="C1178" s="8" t="s">
        <v>5523</v>
      </c>
      <c r="F1178" s="47"/>
      <c r="G1178" s="8">
        <v>18</v>
      </c>
      <c r="H1178" s="8" t="s">
        <v>21</v>
      </c>
      <c r="I1178" s="8" t="s">
        <v>22</v>
      </c>
      <c r="J1178" s="8" t="s">
        <v>22</v>
      </c>
      <c r="K1178" s="8" t="s">
        <v>449</v>
      </c>
      <c r="L1178" s="8" t="s">
        <v>3147</v>
      </c>
      <c r="M1178" s="8" t="s">
        <v>3148</v>
      </c>
      <c r="N1178" s="8" t="s">
        <v>5524</v>
      </c>
      <c r="O1178" s="8">
        <f>3+4/60+37.2/3600</f>
        <v>3.0770000000000004</v>
      </c>
      <c r="P1178" s="8" t="s">
        <v>5525</v>
      </c>
      <c r="Q1178" s="8">
        <f>+(42+21/60+46/3600)</f>
        <v>42.362777777777779</v>
      </c>
      <c r="R1178" s="8">
        <v>14.6</v>
      </c>
      <c r="S1178" s="8">
        <v>15.4</v>
      </c>
      <c r="T1178" s="8">
        <v>0.8</v>
      </c>
      <c r="U1178" s="8">
        <v>12.5</v>
      </c>
      <c r="V1178" s="8">
        <v>0.4</v>
      </c>
      <c r="W1178" s="8">
        <v>0.4</v>
      </c>
      <c r="Y1178" s="8" t="s">
        <v>5526</v>
      </c>
      <c r="Z1178" s="8" t="s">
        <v>5527</v>
      </c>
    </row>
    <row r="1179" spans="1:26" x14ac:dyDescent="0.2">
      <c r="A1179" s="8">
        <v>1178</v>
      </c>
      <c r="B1179" s="8" t="s">
        <v>5528</v>
      </c>
      <c r="C1179" s="8" t="s">
        <v>5528</v>
      </c>
      <c r="F1179" s="47"/>
      <c r="G1179" s="8">
        <v>19</v>
      </c>
      <c r="H1179" s="8" t="s">
        <v>21</v>
      </c>
      <c r="I1179" s="8" t="s">
        <v>72</v>
      </c>
      <c r="J1179" s="8" t="s">
        <v>72</v>
      </c>
      <c r="K1179" s="8" t="s">
        <v>20</v>
      </c>
      <c r="L1179" s="8" t="s">
        <v>3147</v>
      </c>
      <c r="M1179" s="8" t="s">
        <v>3148</v>
      </c>
      <c r="N1179" s="8" t="s">
        <v>5529</v>
      </c>
      <c r="O1179" s="8">
        <f>3+4/60+38.7/3600</f>
        <v>3.0774166666666667</v>
      </c>
      <c r="P1179" s="8" t="s">
        <v>5530</v>
      </c>
      <c r="Q1179" s="8">
        <f>+(42+18/60+51/3600)</f>
        <v>42.314166666666665</v>
      </c>
      <c r="R1179" s="8">
        <v>99</v>
      </c>
      <c r="S1179" s="8">
        <v>13.8</v>
      </c>
      <c r="T1179" s="8">
        <v>99</v>
      </c>
      <c r="U1179" s="8">
        <v>99</v>
      </c>
      <c r="Y1179" s="8" t="s">
        <v>5531</v>
      </c>
      <c r="Z1179" s="8" t="s">
        <v>5532</v>
      </c>
    </row>
    <row r="1180" spans="1:26" x14ac:dyDescent="0.2">
      <c r="A1180" s="8">
        <v>1179</v>
      </c>
      <c r="B1180" s="8" t="s">
        <v>5533</v>
      </c>
      <c r="C1180" s="8" t="s">
        <v>5533</v>
      </c>
      <c r="F1180" s="47"/>
      <c r="G1180" s="8">
        <v>13</v>
      </c>
      <c r="H1180" s="8" t="s">
        <v>21</v>
      </c>
      <c r="I1180" s="8" t="s">
        <v>22</v>
      </c>
      <c r="J1180" s="8" t="s">
        <v>22</v>
      </c>
      <c r="K1180" s="8" t="s">
        <v>64</v>
      </c>
      <c r="L1180" s="8" t="s">
        <v>3328</v>
      </c>
      <c r="M1180" s="8" t="s">
        <v>3329</v>
      </c>
      <c r="N1180" s="8" t="s">
        <v>5534</v>
      </c>
      <c r="O1180" s="8">
        <f>3+2/60+38.5/3600</f>
        <v>3.0440277777777776</v>
      </c>
      <c r="P1180" s="8" t="s">
        <v>5535</v>
      </c>
      <c r="Q1180" s="8">
        <f>-(18+53/60+52/3600)</f>
        <v>-18.897777777777776</v>
      </c>
      <c r="R1180" s="8">
        <v>12</v>
      </c>
      <c r="S1180" s="8">
        <v>12.6</v>
      </c>
      <c r="T1180" s="8">
        <v>0.6</v>
      </c>
      <c r="U1180" s="8">
        <v>15</v>
      </c>
      <c r="V1180" s="8">
        <v>4.7</v>
      </c>
      <c r="W1180" s="8">
        <v>3.8</v>
      </c>
      <c r="X1180" s="8">
        <v>35</v>
      </c>
      <c r="Y1180" s="8" t="s">
        <v>5536</v>
      </c>
      <c r="Z1180" s="8" t="s">
        <v>5537</v>
      </c>
    </row>
    <row r="1181" spans="1:26" x14ac:dyDescent="0.2">
      <c r="A1181" s="8">
        <v>1180</v>
      </c>
      <c r="B1181" s="8" t="s">
        <v>5538</v>
      </c>
      <c r="C1181" s="8" t="s">
        <v>5538</v>
      </c>
      <c r="F1181" s="47"/>
      <c r="G1181" s="8">
        <v>19</v>
      </c>
      <c r="H1181" s="8" t="s">
        <v>21</v>
      </c>
      <c r="I1181" s="8" t="s">
        <v>22</v>
      </c>
      <c r="J1181" s="8" t="s">
        <v>22</v>
      </c>
      <c r="K1181" s="8" t="s">
        <v>58</v>
      </c>
      <c r="L1181" s="8" t="s">
        <v>3328</v>
      </c>
      <c r="M1181" s="8" t="s">
        <v>3329</v>
      </c>
      <c r="N1181" s="8" t="s">
        <v>5539</v>
      </c>
      <c r="O1181" s="8">
        <f>3+1/60+51/3600</f>
        <v>3.0308333333333333</v>
      </c>
      <c r="P1181" s="8" t="s">
        <v>5540</v>
      </c>
      <c r="Q1181" s="8">
        <f>-(15+1/60+49/3600)</f>
        <v>-15.030277777777778</v>
      </c>
      <c r="R1181" s="8">
        <v>14.9</v>
      </c>
      <c r="S1181" s="8">
        <v>15.9</v>
      </c>
      <c r="T1181" s="8">
        <v>1</v>
      </c>
      <c r="U1181" s="8">
        <v>13.7</v>
      </c>
      <c r="V1181" s="8">
        <v>0.6</v>
      </c>
      <c r="W1181" s="8">
        <v>0.5</v>
      </c>
      <c r="X1181" s="8">
        <v>5</v>
      </c>
      <c r="Y1181" s="8" t="s">
        <v>5541</v>
      </c>
      <c r="Z1181" s="8" t="s">
        <v>5542</v>
      </c>
    </row>
    <row r="1182" spans="1:26" x14ac:dyDescent="0.2">
      <c r="A1182" s="8">
        <v>1181</v>
      </c>
      <c r="B1182" s="8" t="s">
        <v>5543</v>
      </c>
      <c r="C1182" s="8" t="s">
        <v>5543</v>
      </c>
      <c r="F1182" s="47"/>
      <c r="G1182" s="8">
        <v>19</v>
      </c>
      <c r="H1182" s="8" t="s">
        <v>21</v>
      </c>
      <c r="I1182" s="8" t="s">
        <v>22</v>
      </c>
      <c r="J1182" s="8" t="s">
        <v>22</v>
      </c>
      <c r="K1182" s="8" t="s">
        <v>23</v>
      </c>
      <c r="L1182" s="8" t="s">
        <v>3328</v>
      </c>
      <c r="M1182" s="8" t="s">
        <v>3329</v>
      </c>
      <c r="N1182" s="8" t="s">
        <v>5544</v>
      </c>
      <c r="O1182" s="8">
        <f>3+1/60+42.8/3600</f>
        <v>3.0285555555555557</v>
      </c>
      <c r="P1182" s="8" t="s">
        <v>5545</v>
      </c>
      <c r="Q1182" s="8">
        <f>-(15+3/60+10/3600)</f>
        <v>-15.052777777777779</v>
      </c>
      <c r="R1182" s="8">
        <v>15.4</v>
      </c>
      <c r="S1182" s="8">
        <v>16.2</v>
      </c>
      <c r="T1182" s="8">
        <v>0.8</v>
      </c>
      <c r="U1182" s="8">
        <v>13.3</v>
      </c>
      <c r="V1182" s="8">
        <v>0.8</v>
      </c>
      <c r="W1182" s="8">
        <v>0.2</v>
      </c>
      <c r="X1182" s="8">
        <v>100</v>
      </c>
      <c r="Y1182" s="8" t="s">
        <v>5541</v>
      </c>
      <c r="Z1182" s="8" t="s">
        <v>5542</v>
      </c>
    </row>
    <row r="1183" spans="1:26" x14ac:dyDescent="0.2">
      <c r="A1183" s="8">
        <v>1182</v>
      </c>
      <c r="B1183" s="8" t="s">
        <v>5546</v>
      </c>
      <c r="C1183" s="8" t="s">
        <v>5546</v>
      </c>
      <c r="F1183" s="47"/>
      <c r="G1183" s="8">
        <v>19</v>
      </c>
      <c r="H1183" s="8" t="s">
        <v>21</v>
      </c>
      <c r="I1183" s="8" t="s">
        <v>22</v>
      </c>
      <c r="J1183" s="8" t="s">
        <v>22</v>
      </c>
      <c r="K1183" s="8" t="s">
        <v>91</v>
      </c>
      <c r="L1183" s="8" t="s">
        <v>3328</v>
      </c>
      <c r="M1183" s="8" t="s">
        <v>3329</v>
      </c>
      <c r="N1183" s="8" t="s">
        <v>5547</v>
      </c>
      <c r="O1183" s="8">
        <f>3+3/60+28.4/3600</f>
        <v>3.0578888888888889</v>
      </c>
      <c r="P1183" s="8" t="s">
        <v>5548</v>
      </c>
      <c r="Q1183" s="8">
        <f>-(9+40/60+14/3600)</f>
        <v>-9.6705555555555556</v>
      </c>
      <c r="R1183" s="8">
        <v>13.9</v>
      </c>
      <c r="S1183" s="8">
        <v>15</v>
      </c>
      <c r="T1183" s="8">
        <v>1.1000000000000001</v>
      </c>
      <c r="U1183" s="8">
        <v>12.5</v>
      </c>
      <c r="V1183" s="8">
        <v>0.9</v>
      </c>
      <c r="W1183" s="8">
        <v>0.4</v>
      </c>
      <c r="X1183" s="8">
        <v>115</v>
      </c>
      <c r="Y1183" s="8" t="s">
        <v>5549</v>
      </c>
      <c r="Z1183" s="8" t="s">
        <v>5550</v>
      </c>
    </row>
    <row r="1184" spans="1:26" x14ac:dyDescent="0.2">
      <c r="A1184" s="8">
        <v>1183</v>
      </c>
      <c r="B1184" s="8" t="s">
        <v>5551</v>
      </c>
      <c r="C1184" s="8" t="s">
        <v>5551</v>
      </c>
      <c r="F1184" s="47"/>
      <c r="G1184" s="8">
        <v>19</v>
      </c>
      <c r="H1184" s="8" t="s">
        <v>21</v>
      </c>
      <c r="I1184" s="8" t="s">
        <v>72</v>
      </c>
      <c r="J1184" s="8" t="s">
        <v>72</v>
      </c>
      <c r="K1184" s="8" t="s">
        <v>20</v>
      </c>
      <c r="L1184" s="8" t="s">
        <v>3147</v>
      </c>
      <c r="M1184" s="8" t="s">
        <v>3148</v>
      </c>
      <c r="N1184" s="8" t="s">
        <v>5552</v>
      </c>
      <c r="O1184" s="8">
        <f>3+4/60+46.1/3600</f>
        <v>3.0794722222222224</v>
      </c>
      <c r="P1184" s="8" t="s">
        <v>5553</v>
      </c>
      <c r="Q1184" s="8">
        <f>+(42+22/60+10/3600)</f>
        <v>42.369444444444447</v>
      </c>
      <c r="R1184" s="8">
        <v>99</v>
      </c>
      <c r="S1184" s="8">
        <v>13.9</v>
      </c>
      <c r="T1184" s="8">
        <v>99</v>
      </c>
      <c r="U1184" s="8">
        <v>99</v>
      </c>
      <c r="Y1184" s="8" t="s">
        <v>5554</v>
      </c>
      <c r="Z1184" s="8" t="s">
        <v>5555</v>
      </c>
    </row>
    <row r="1185" spans="1:26" x14ac:dyDescent="0.2">
      <c r="A1185" s="8">
        <v>1184</v>
      </c>
      <c r="B1185" s="8" t="s">
        <v>5556</v>
      </c>
      <c r="C1185" s="8" t="s">
        <v>5556</v>
      </c>
      <c r="F1185" s="47" t="s">
        <v>56264</v>
      </c>
      <c r="G1185" s="8">
        <v>6.5</v>
      </c>
      <c r="H1185" s="8" t="s">
        <v>21</v>
      </c>
      <c r="I1185" s="8" t="s">
        <v>22</v>
      </c>
      <c r="J1185" s="8" t="s">
        <v>22</v>
      </c>
      <c r="K1185" s="8" t="s">
        <v>632</v>
      </c>
      <c r="L1185" s="8" t="s">
        <v>242</v>
      </c>
      <c r="M1185" s="8" t="s">
        <v>243</v>
      </c>
      <c r="N1185" s="8" t="s">
        <v>5557</v>
      </c>
      <c r="O1185" s="8">
        <f>3+16/60+45.3/3600</f>
        <v>3.2792499999999998</v>
      </c>
      <c r="P1185" s="8" t="s">
        <v>5558</v>
      </c>
      <c r="Q1185" s="8">
        <f>+(80+47/60+35/3600)</f>
        <v>80.793055555555554</v>
      </c>
      <c r="R1185" s="8">
        <v>12.4</v>
      </c>
      <c r="S1185" s="8">
        <v>13.3</v>
      </c>
      <c r="T1185" s="8">
        <v>0.9</v>
      </c>
      <c r="U1185" s="8">
        <v>12.9</v>
      </c>
      <c r="V1185" s="8">
        <v>2.8</v>
      </c>
      <c r="W1185" s="8">
        <v>0.6</v>
      </c>
      <c r="X1185" s="8">
        <v>165</v>
      </c>
      <c r="Y1185" s="8" t="s">
        <v>3123</v>
      </c>
      <c r="Z1185" s="8" t="s">
        <v>3124</v>
      </c>
    </row>
    <row r="1186" spans="1:26" x14ac:dyDescent="0.2">
      <c r="A1186" s="8">
        <v>1185</v>
      </c>
      <c r="B1186" s="8" t="s">
        <v>5559</v>
      </c>
      <c r="C1186" s="8" t="s">
        <v>5559</v>
      </c>
      <c r="F1186" s="47"/>
      <c r="G1186" s="8">
        <v>19</v>
      </c>
      <c r="H1186" s="8" t="s">
        <v>21</v>
      </c>
      <c r="I1186" s="8" t="s">
        <v>22</v>
      </c>
      <c r="J1186" s="8" t="s">
        <v>22</v>
      </c>
      <c r="K1186" s="8" t="s">
        <v>23</v>
      </c>
      <c r="L1186" s="8" t="s">
        <v>3328</v>
      </c>
      <c r="M1186" s="8" t="s">
        <v>3329</v>
      </c>
      <c r="N1186" s="8" t="s">
        <v>5560</v>
      </c>
      <c r="O1186" s="8">
        <f>3+2/60+59.2/3600</f>
        <v>3.0497777777777775</v>
      </c>
      <c r="P1186" s="8" t="s">
        <v>5561</v>
      </c>
      <c r="Q1186" s="8">
        <f>-(9+7/60+59/3600)</f>
        <v>-9.1330555555555559</v>
      </c>
      <c r="R1186" s="8">
        <v>13.7</v>
      </c>
      <c r="S1186" s="8">
        <v>14.5</v>
      </c>
      <c r="T1186" s="8">
        <v>0.8</v>
      </c>
      <c r="U1186" s="8">
        <v>12.8</v>
      </c>
      <c r="V1186" s="8">
        <v>1.2</v>
      </c>
      <c r="W1186" s="8">
        <v>0.4</v>
      </c>
      <c r="X1186" s="8">
        <v>30</v>
      </c>
      <c r="Y1186" s="8" t="s">
        <v>5562</v>
      </c>
      <c r="Z1186" s="8" t="s">
        <v>5563</v>
      </c>
    </row>
    <row r="1187" spans="1:26" x14ac:dyDescent="0.2">
      <c r="A1187" s="8">
        <v>1186</v>
      </c>
      <c r="B1187" s="8" t="s">
        <v>5564</v>
      </c>
      <c r="C1187" s="8" t="s">
        <v>5564</v>
      </c>
      <c r="F1187" s="47" t="s">
        <v>56265</v>
      </c>
      <c r="G1187" s="8">
        <v>15</v>
      </c>
      <c r="H1187" s="8" t="s">
        <v>21</v>
      </c>
      <c r="I1187" s="8" t="s">
        <v>22</v>
      </c>
      <c r="J1187" s="8" t="s">
        <v>22</v>
      </c>
      <c r="K1187" s="8" t="s">
        <v>85</v>
      </c>
      <c r="L1187" s="8" t="s">
        <v>3147</v>
      </c>
      <c r="M1187" s="8" t="s">
        <v>3148</v>
      </c>
      <c r="N1187" s="8" t="s">
        <v>5509</v>
      </c>
      <c r="O1187" s="8">
        <f>3+5/60+30.9/3600</f>
        <v>3.0919166666666666</v>
      </c>
      <c r="P1187" s="8" t="s">
        <v>5510</v>
      </c>
      <c r="Q1187" s="8">
        <f>+(42+50/60+8/3600)</f>
        <v>42.835555555555558</v>
      </c>
      <c r="R1187" s="8">
        <v>11.4</v>
      </c>
      <c r="S1187" s="8">
        <v>12.2</v>
      </c>
      <c r="T1187" s="8">
        <v>0.8</v>
      </c>
      <c r="U1187" s="8">
        <v>12.5</v>
      </c>
      <c r="V1187" s="8">
        <v>3.2</v>
      </c>
      <c r="W1187" s="8">
        <v>1.2</v>
      </c>
      <c r="X1187" s="8">
        <v>122</v>
      </c>
      <c r="Y1187" s="8" t="s">
        <v>5511</v>
      </c>
      <c r="Z1187" s="8" t="s">
        <v>5565</v>
      </c>
    </row>
    <row r="1188" spans="1:26" x14ac:dyDescent="0.2">
      <c r="A1188" s="8">
        <v>1187</v>
      </c>
      <c r="B1188" s="8" t="s">
        <v>5566</v>
      </c>
      <c r="C1188" s="8" t="s">
        <v>5566</v>
      </c>
      <c r="F1188" s="47" t="s">
        <v>56266</v>
      </c>
      <c r="G1188" s="8">
        <v>6.5</v>
      </c>
      <c r="H1188" s="8" t="s">
        <v>21</v>
      </c>
      <c r="I1188" s="8" t="s">
        <v>22</v>
      </c>
      <c r="J1188" s="8" t="s">
        <v>22</v>
      </c>
      <c r="K1188" s="8" t="s">
        <v>64</v>
      </c>
      <c r="L1188" s="8" t="s">
        <v>3328</v>
      </c>
      <c r="M1188" s="8" t="s">
        <v>3329</v>
      </c>
      <c r="N1188" s="8" t="s">
        <v>5567</v>
      </c>
      <c r="O1188" s="8">
        <f>3+2/60+37.6/3600</f>
        <v>3.0437777777777777</v>
      </c>
      <c r="P1188" s="8" t="s">
        <v>5568</v>
      </c>
      <c r="Q1188" s="8">
        <f>-(22+52/60+2/3600)</f>
        <v>-22.867222222222221</v>
      </c>
      <c r="R1188" s="8">
        <v>10.8</v>
      </c>
      <c r="S1188" s="8">
        <v>11.3</v>
      </c>
      <c r="T1188" s="8">
        <v>0.5</v>
      </c>
      <c r="U1188" s="8">
        <v>14</v>
      </c>
      <c r="V1188" s="8">
        <v>4.2</v>
      </c>
      <c r="W1188" s="8">
        <v>3.2</v>
      </c>
      <c r="X1188" s="8">
        <v>130</v>
      </c>
      <c r="Y1188" s="8" t="s">
        <v>5569</v>
      </c>
      <c r="Z1188" s="8" t="s">
        <v>5570</v>
      </c>
    </row>
    <row r="1189" spans="1:26" x14ac:dyDescent="0.2">
      <c r="A1189" s="8">
        <v>1188</v>
      </c>
      <c r="B1189" s="8" t="s">
        <v>5571</v>
      </c>
      <c r="C1189" s="8" t="s">
        <v>5571</v>
      </c>
      <c r="F1189" s="47"/>
      <c r="G1189" s="8">
        <v>19</v>
      </c>
      <c r="H1189" s="8" t="s">
        <v>21</v>
      </c>
      <c r="I1189" s="8" t="s">
        <v>22</v>
      </c>
      <c r="J1189" s="8" t="s">
        <v>22</v>
      </c>
      <c r="K1189" s="8" t="s">
        <v>37</v>
      </c>
      <c r="L1189" s="8" t="s">
        <v>3328</v>
      </c>
      <c r="M1189" s="8" t="s">
        <v>3329</v>
      </c>
      <c r="N1189" s="8" t="s">
        <v>5572</v>
      </c>
      <c r="O1189" s="8">
        <f>3+3/60+43.4/3600</f>
        <v>3.0620555555555553</v>
      </c>
      <c r="P1189" s="8" t="s">
        <v>5573</v>
      </c>
      <c r="Q1189" s="8">
        <f>-(15+29/60+5/3600)</f>
        <v>-15.484722222222221</v>
      </c>
      <c r="R1189" s="8">
        <v>13.8</v>
      </c>
      <c r="S1189" s="8">
        <v>14.8</v>
      </c>
      <c r="T1189" s="8">
        <v>1</v>
      </c>
      <c r="U1189" s="8">
        <v>12.9</v>
      </c>
      <c r="V1189" s="8">
        <v>1</v>
      </c>
      <c r="W1189" s="8">
        <v>0.5</v>
      </c>
      <c r="X1189" s="8">
        <v>170</v>
      </c>
      <c r="Y1189" s="8" t="s">
        <v>5574</v>
      </c>
      <c r="Z1189" s="8" t="s">
        <v>5575</v>
      </c>
    </row>
    <row r="1190" spans="1:26" x14ac:dyDescent="0.2">
      <c r="A1190" s="8">
        <v>1189</v>
      </c>
      <c r="B1190" s="8" t="s">
        <v>5576</v>
      </c>
      <c r="C1190" s="8" t="s">
        <v>5576</v>
      </c>
      <c r="F1190" s="47"/>
      <c r="G1190" s="8">
        <v>19</v>
      </c>
      <c r="H1190" s="8" t="s">
        <v>21</v>
      </c>
      <c r="I1190" s="8" t="s">
        <v>22</v>
      </c>
      <c r="J1190" s="8" t="s">
        <v>22</v>
      </c>
      <c r="K1190" s="8" t="s">
        <v>1277</v>
      </c>
      <c r="L1190" s="8" t="s">
        <v>3328</v>
      </c>
      <c r="M1190" s="8" t="s">
        <v>3329</v>
      </c>
      <c r="N1190" s="8" t="s">
        <v>5577</v>
      </c>
      <c r="O1190" s="8">
        <f>3+3/60+24.2/3600</f>
        <v>3.0567222222222221</v>
      </c>
      <c r="P1190" s="8" t="s">
        <v>5578</v>
      </c>
      <c r="Q1190" s="8">
        <f>-(15+37/60+23/3600)</f>
        <v>-15.623055555555556</v>
      </c>
      <c r="R1190" s="8">
        <v>13.8</v>
      </c>
      <c r="S1190" s="8">
        <v>14.5</v>
      </c>
      <c r="T1190" s="8">
        <v>0.7</v>
      </c>
      <c r="U1190" s="8">
        <v>14.7</v>
      </c>
      <c r="V1190" s="8">
        <v>1.7</v>
      </c>
      <c r="W1190" s="8">
        <v>1.5</v>
      </c>
      <c r="X1190" s="8">
        <v>96</v>
      </c>
      <c r="Y1190" s="8" t="s">
        <v>5574</v>
      </c>
      <c r="Z1190" s="8" t="s">
        <v>5575</v>
      </c>
    </row>
    <row r="1191" spans="1:26" x14ac:dyDescent="0.2">
      <c r="A1191" s="8">
        <v>1190</v>
      </c>
      <c r="B1191" s="8" t="s">
        <v>5579</v>
      </c>
      <c r="C1191" s="8" t="s">
        <v>5579</v>
      </c>
      <c r="F1191" s="47"/>
      <c r="G1191" s="8">
        <v>19</v>
      </c>
      <c r="H1191" s="8" t="s">
        <v>21</v>
      </c>
      <c r="I1191" s="8" t="s">
        <v>22</v>
      </c>
      <c r="J1191" s="8" t="s">
        <v>22</v>
      </c>
      <c r="K1191" s="8" t="s">
        <v>37</v>
      </c>
      <c r="L1191" s="8" t="s">
        <v>3328</v>
      </c>
      <c r="M1191" s="8" t="s">
        <v>3329</v>
      </c>
      <c r="N1191" s="8" t="s">
        <v>5580</v>
      </c>
      <c r="O1191" s="8">
        <f>3+3/60+26/3600</f>
        <v>3.0572222222222218</v>
      </c>
      <c r="P1191" s="8" t="s">
        <v>5581</v>
      </c>
      <c r="Q1191" s="8">
        <f>-(15+39/60+44/3600)</f>
        <v>-15.662222222222223</v>
      </c>
      <c r="R1191" s="8">
        <v>14.2</v>
      </c>
      <c r="S1191" s="8">
        <v>15.2</v>
      </c>
      <c r="T1191" s="8">
        <v>1</v>
      </c>
      <c r="U1191" s="8">
        <v>12.4</v>
      </c>
      <c r="V1191" s="8">
        <v>0.9</v>
      </c>
      <c r="W1191" s="8">
        <v>0.3</v>
      </c>
      <c r="X1191" s="8">
        <v>95</v>
      </c>
      <c r="Y1191" s="8" t="s">
        <v>5574</v>
      </c>
      <c r="Z1191" s="8" t="s">
        <v>5575</v>
      </c>
    </row>
    <row r="1192" spans="1:26" x14ac:dyDescent="0.2">
      <c r="A1192" s="8">
        <v>1191</v>
      </c>
      <c r="B1192" s="8" t="s">
        <v>5582</v>
      </c>
      <c r="C1192" s="8" t="s">
        <v>5582</v>
      </c>
      <c r="F1192" s="47"/>
      <c r="G1192" s="8">
        <v>19</v>
      </c>
      <c r="H1192" s="8" t="s">
        <v>21</v>
      </c>
      <c r="I1192" s="8" t="s">
        <v>22</v>
      </c>
      <c r="J1192" s="8" t="s">
        <v>22</v>
      </c>
      <c r="K1192" s="8" t="s">
        <v>58</v>
      </c>
      <c r="L1192" s="8" t="s">
        <v>3328</v>
      </c>
      <c r="M1192" s="8" t="s">
        <v>3329</v>
      </c>
      <c r="N1192" s="8" t="s">
        <v>5583</v>
      </c>
      <c r="O1192" s="8">
        <f>3+3/60+30.8/3600</f>
        <v>3.0585555555555555</v>
      </c>
      <c r="P1192" s="8" t="s">
        <v>5584</v>
      </c>
      <c r="Q1192" s="8">
        <f>-(15+41/60+8/3600)</f>
        <v>-15.685555555555556</v>
      </c>
      <c r="R1192" s="8">
        <v>14.4</v>
      </c>
      <c r="S1192" s="8">
        <v>15.3</v>
      </c>
      <c r="T1192" s="8">
        <v>0.9</v>
      </c>
      <c r="U1192" s="8">
        <v>13.2</v>
      </c>
      <c r="V1192" s="8">
        <v>0.6</v>
      </c>
      <c r="W1192" s="8">
        <v>0.5</v>
      </c>
      <c r="X1192" s="8">
        <v>60</v>
      </c>
      <c r="Y1192" s="8" t="s">
        <v>5574</v>
      </c>
      <c r="Z1192" s="8" t="s">
        <v>5575</v>
      </c>
    </row>
    <row r="1193" spans="1:26" x14ac:dyDescent="0.2">
      <c r="A1193" s="8">
        <v>1192</v>
      </c>
      <c r="B1193" s="8" t="s">
        <v>5585</v>
      </c>
      <c r="C1193" s="8" t="s">
        <v>5585</v>
      </c>
      <c r="F1193" s="47"/>
      <c r="G1193" s="8">
        <v>19</v>
      </c>
      <c r="H1193" s="8" t="s">
        <v>21</v>
      </c>
      <c r="I1193" s="8" t="s">
        <v>22</v>
      </c>
      <c r="J1193" s="8" t="s">
        <v>22</v>
      </c>
      <c r="K1193" s="8" t="s">
        <v>3850</v>
      </c>
      <c r="L1193" s="8" t="s">
        <v>3328</v>
      </c>
      <c r="M1193" s="8" t="s">
        <v>3329</v>
      </c>
      <c r="N1193" s="8" t="s">
        <v>5586</v>
      </c>
      <c r="O1193" s="8">
        <f>3+3/60+34.6/3600</f>
        <v>3.0596111111111108</v>
      </c>
      <c r="P1193" s="8" t="s">
        <v>5587</v>
      </c>
      <c r="Q1193" s="8">
        <f>-(15+40/60+44/3600)</f>
        <v>-15.678888888888888</v>
      </c>
      <c r="R1193" s="8">
        <v>14.8</v>
      </c>
      <c r="S1193" s="8">
        <v>15.8</v>
      </c>
      <c r="T1193" s="8">
        <v>1</v>
      </c>
      <c r="U1193" s="8">
        <v>13.2</v>
      </c>
      <c r="V1193" s="8">
        <v>0.7</v>
      </c>
      <c r="W1193" s="8">
        <v>0.3</v>
      </c>
      <c r="X1193" s="8">
        <v>102</v>
      </c>
      <c r="Y1193" s="8" t="s">
        <v>5574</v>
      </c>
      <c r="Z1193" s="8" t="s">
        <v>5575</v>
      </c>
    </row>
    <row r="1194" spans="1:26" x14ac:dyDescent="0.2">
      <c r="A1194" s="8">
        <v>1193</v>
      </c>
      <c r="B1194" s="8" t="s">
        <v>5588</v>
      </c>
      <c r="C1194" s="8" t="s">
        <v>5588</v>
      </c>
      <c r="F1194" s="47" t="s">
        <v>56267</v>
      </c>
      <c r="G1194" s="8">
        <v>6.5</v>
      </c>
      <c r="H1194" s="8" t="s">
        <v>21</v>
      </c>
      <c r="I1194" s="8" t="s">
        <v>557</v>
      </c>
      <c r="J1194" s="8" t="s">
        <v>557</v>
      </c>
      <c r="K1194" s="8" t="s">
        <v>3170</v>
      </c>
      <c r="L1194" s="8" t="s">
        <v>3147</v>
      </c>
      <c r="M1194" s="8" t="s">
        <v>3148</v>
      </c>
      <c r="N1194" s="8" t="s">
        <v>5589</v>
      </c>
      <c r="O1194" s="8">
        <f>3+5/60+55/3600</f>
        <v>3.0986111111111114</v>
      </c>
      <c r="P1194" s="8" t="s">
        <v>5590</v>
      </c>
      <c r="Q1194" s="8">
        <f>+(44+23/60+0/3600)</f>
        <v>44.383333333333333</v>
      </c>
      <c r="R1194" s="8">
        <v>12.6</v>
      </c>
      <c r="S1194" s="8">
        <v>99</v>
      </c>
      <c r="T1194" s="8">
        <v>99</v>
      </c>
      <c r="U1194" s="8">
        <v>99</v>
      </c>
      <c r="V1194" s="8">
        <v>3</v>
      </c>
      <c r="Y1194" s="8" t="s">
        <v>5591</v>
      </c>
      <c r="Z1194" s="8" t="s">
        <v>5592</v>
      </c>
    </row>
    <row r="1195" spans="1:26" x14ac:dyDescent="0.2">
      <c r="A1195" s="8">
        <v>1194</v>
      </c>
      <c r="B1195" s="8" t="s">
        <v>5593</v>
      </c>
      <c r="C1195" s="8" t="s">
        <v>5593</v>
      </c>
      <c r="F1195" s="47"/>
      <c r="G1195" s="8">
        <v>19</v>
      </c>
      <c r="H1195" s="8" t="s">
        <v>21</v>
      </c>
      <c r="I1195" s="8" t="s">
        <v>22</v>
      </c>
      <c r="J1195" s="8" t="s">
        <v>22</v>
      </c>
      <c r="K1195" s="8" t="s">
        <v>632</v>
      </c>
      <c r="L1195" s="8" t="s">
        <v>125</v>
      </c>
      <c r="M1195" s="8" t="s">
        <v>126</v>
      </c>
      <c r="N1195" s="8" t="s">
        <v>5594</v>
      </c>
      <c r="O1195" s="8">
        <f>3+3/60+49.1/3600</f>
        <v>3.0636388888888888</v>
      </c>
      <c r="P1195" s="8" t="s">
        <v>5595</v>
      </c>
      <c r="Q1195" s="8">
        <f>-(1+6/60+12/3600)</f>
        <v>-1.1033333333333335</v>
      </c>
      <c r="R1195" s="8">
        <v>12.9</v>
      </c>
      <c r="S1195" s="8">
        <v>13.8</v>
      </c>
      <c r="T1195" s="8">
        <v>0.9</v>
      </c>
      <c r="U1195" s="8">
        <v>13.4</v>
      </c>
      <c r="V1195" s="8">
        <v>1.8</v>
      </c>
      <c r="W1195" s="8">
        <v>1</v>
      </c>
      <c r="X1195" s="8">
        <v>140</v>
      </c>
      <c r="Y1195" s="8" t="s">
        <v>1837</v>
      </c>
      <c r="Z1195" s="8" t="s">
        <v>1838</v>
      </c>
    </row>
    <row r="1196" spans="1:26" x14ac:dyDescent="0.2">
      <c r="A1196" s="8">
        <v>1195</v>
      </c>
      <c r="B1196" s="8" t="s">
        <v>5596</v>
      </c>
      <c r="C1196" s="8" t="s">
        <v>5596</v>
      </c>
      <c r="F1196" s="47"/>
      <c r="G1196" s="8">
        <v>18</v>
      </c>
      <c r="H1196" s="8" t="s">
        <v>21</v>
      </c>
      <c r="I1196" s="8" t="s">
        <v>22</v>
      </c>
      <c r="J1196" s="8" t="s">
        <v>22</v>
      </c>
      <c r="K1196" s="8" t="s">
        <v>58</v>
      </c>
      <c r="L1196" s="8" t="s">
        <v>3328</v>
      </c>
      <c r="M1196" s="8" t="s">
        <v>3329</v>
      </c>
      <c r="N1196" s="8" t="s">
        <v>5597</v>
      </c>
      <c r="O1196" s="8">
        <f>3+3/60+32.7/3600</f>
        <v>3.0590833333333332</v>
      </c>
      <c r="P1196" s="8" t="s">
        <v>5598</v>
      </c>
      <c r="Q1196" s="8">
        <f>-(12+2/60+21/3600)</f>
        <v>-12.039166666666667</v>
      </c>
      <c r="R1196" s="8">
        <v>14.5</v>
      </c>
      <c r="S1196" s="8">
        <v>15.5</v>
      </c>
      <c r="T1196" s="8">
        <v>1</v>
      </c>
      <c r="U1196" s="8">
        <v>13.3</v>
      </c>
      <c r="V1196" s="8">
        <v>0.6</v>
      </c>
      <c r="W1196" s="8">
        <v>0.5</v>
      </c>
      <c r="Y1196" s="8" t="s">
        <v>5599</v>
      </c>
      <c r="Z1196" s="8" t="s">
        <v>5600</v>
      </c>
    </row>
    <row r="1197" spans="1:26" x14ac:dyDescent="0.2">
      <c r="A1197" s="8">
        <v>1196</v>
      </c>
      <c r="B1197" s="8" t="s">
        <v>5601</v>
      </c>
      <c r="C1197" s="8" t="s">
        <v>5601</v>
      </c>
      <c r="F1197" s="47"/>
      <c r="G1197" s="8">
        <v>16</v>
      </c>
      <c r="H1197" s="8" t="s">
        <v>21</v>
      </c>
      <c r="I1197" s="8" t="s">
        <v>22</v>
      </c>
      <c r="J1197" s="8" t="s">
        <v>22</v>
      </c>
      <c r="K1197" s="8" t="s">
        <v>224</v>
      </c>
      <c r="L1197" s="8" t="s">
        <v>3328</v>
      </c>
      <c r="M1197" s="8" t="s">
        <v>3329</v>
      </c>
      <c r="N1197" s="8" t="s">
        <v>5602</v>
      </c>
      <c r="O1197" s="8">
        <f>3+3/60+35.2/3600</f>
        <v>3.0597777777777777</v>
      </c>
      <c r="P1197" s="8" t="s">
        <v>5603</v>
      </c>
      <c r="Q1197" s="8">
        <f>-(12+4/60+33/3600)</f>
        <v>-12.075833333333334</v>
      </c>
      <c r="R1197" s="8">
        <v>13.2</v>
      </c>
      <c r="S1197" s="8">
        <v>14.2</v>
      </c>
      <c r="T1197" s="8">
        <v>1</v>
      </c>
      <c r="U1197" s="8">
        <v>13.8</v>
      </c>
      <c r="V1197" s="8">
        <v>1.4</v>
      </c>
      <c r="W1197" s="8">
        <v>1.4</v>
      </c>
      <c r="Y1197" s="8" t="s">
        <v>5604</v>
      </c>
      <c r="Z1197" s="8" t="s">
        <v>5605</v>
      </c>
    </row>
    <row r="1198" spans="1:26" x14ac:dyDescent="0.2">
      <c r="A1198" s="8">
        <v>1197</v>
      </c>
      <c r="B1198" s="8" t="s">
        <v>5606</v>
      </c>
      <c r="C1198" s="8" t="s">
        <v>5606</v>
      </c>
      <c r="F1198" s="47"/>
      <c r="G1198" s="8">
        <v>19</v>
      </c>
      <c r="H1198" s="8" t="s">
        <v>21</v>
      </c>
      <c r="I1198" s="8" t="s">
        <v>329</v>
      </c>
      <c r="J1198" s="8" t="s">
        <v>329</v>
      </c>
      <c r="K1198" s="8" t="s">
        <v>329</v>
      </c>
      <c r="L1198" s="8" t="s">
        <v>3147</v>
      </c>
      <c r="M1198" s="8" t="s">
        <v>3148</v>
      </c>
      <c r="N1198" s="8" t="s">
        <v>5607</v>
      </c>
      <c r="O1198" s="8">
        <f>3+6/60+14.1/3600</f>
        <v>3.1039166666666667</v>
      </c>
      <c r="P1198" s="8" t="s">
        <v>5608</v>
      </c>
      <c r="Q1198" s="8">
        <f>+(44+3/60+40/3600)</f>
        <v>44.06111111111111</v>
      </c>
      <c r="R1198" s="8">
        <v>99</v>
      </c>
      <c r="S1198" s="8">
        <v>99</v>
      </c>
      <c r="T1198" s="8">
        <v>99</v>
      </c>
      <c r="U1198" s="8">
        <v>99</v>
      </c>
      <c r="Y1198" s="8" t="s">
        <v>5609</v>
      </c>
      <c r="Z1198" s="8" t="s">
        <v>5610</v>
      </c>
    </row>
    <row r="1199" spans="1:26" x14ac:dyDescent="0.2">
      <c r="A1199" s="8">
        <v>1198</v>
      </c>
      <c r="B1199" s="8" t="s">
        <v>5611</v>
      </c>
      <c r="C1199" s="8" t="s">
        <v>5611</v>
      </c>
      <c r="F1199" s="47"/>
      <c r="G1199" s="8">
        <v>19</v>
      </c>
      <c r="H1199" s="8" t="s">
        <v>21</v>
      </c>
      <c r="I1199" s="8" t="s">
        <v>22</v>
      </c>
      <c r="J1199" s="8" t="s">
        <v>22</v>
      </c>
      <c r="K1199" s="8" t="s">
        <v>58</v>
      </c>
      <c r="L1199" s="8" t="s">
        <v>3147</v>
      </c>
      <c r="M1199" s="8" t="s">
        <v>3148</v>
      </c>
      <c r="N1199" s="8" t="s">
        <v>5612</v>
      </c>
      <c r="O1199" s="8">
        <f>3+6/60+13.3/3600</f>
        <v>3.1036944444444448</v>
      </c>
      <c r="P1199" s="8" t="s">
        <v>5613</v>
      </c>
      <c r="Q1199" s="8">
        <f>+(41+50/60+56/3600)</f>
        <v>41.848888888888894</v>
      </c>
      <c r="R1199" s="8">
        <v>12.5</v>
      </c>
      <c r="S1199" s="8">
        <v>13.5</v>
      </c>
      <c r="T1199" s="8">
        <v>1</v>
      </c>
      <c r="U1199" s="8">
        <v>12.5</v>
      </c>
      <c r="V1199" s="8">
        <v>1.4</v>
      </c>
      <c r="W1199" s="8">
        <v>0.8</v>
      </c>
      <c r="X1199" s="8">
        <v>120</v>
      </c>
      <c r="Y1199" s="8" t="s">
        <v>5614</v>
      </c>
      <c r="Z1199" s="8" t="s">
        <v>5615</v>
      </c>
    </row>
    <row r="1200" spans="1:26" x14ac:dyDescent="0.2">
      <c r="A1200" s="8">
        <v>1199</v>
      </c>
      <c r="B1200" s="8" t="s">
        <v>5616</v>
      </c>
      <c r="C1200" s="8" t="s">
        <v>5616</v>
      </c>
      <c r="F1200" s="47" t="s">
        <v>56268</v>
      </c>
      <c r="G1200" s="8">
        <v>6.5</v>
      </c>
      <c r="H1200" s="8" t="s">
        <v>21</v>
      </c>
      <c r="I1200" s="8" t="s">
        <v>22</v>
      </c>
      <c r="J1200" s="8" t="s">
        <v>22</v>
      </c>
      <c r="K1200" s="8" t="s">
        <v>382</v>
      </c>
      <c r="L1200" s="8" t="s">
        <v>3328</v>
      </c>
      <c r="M1200" s="8" t="s">
        <v>3329</v>
      </c>
      <c r="N1200" s="8" t="s">
        <v>5617</v>
      </c>
      <c r="O1200" s="8">
        <f>3+3/60+38.4/3600</f>
        <v>3.0606666666666666</v>
      </c>
      <c r="P1200" s="8" t="s">
        <v>5618</v>
      </c>
      <c r="Q1200" s="8">
        <f>-(15+36/60+48/3600)</f>
        <v>-15.613333333333333</v>
      </c>
      <c r="R1200" s="8">
        <v>11.4</v>
      </c>
      <c r="S1200" s="8">
        <v>12.4</v>
      </c>
      <c r="T1200" s="8">
        <v>1</v>
      </c>
      <c r="U1200" s="8">
        <v>13</v>
      </c>
      <c r="V1200" s="8">
        <v>2.2999999999999998</v>
      </c>
      <c r="W1200" s="8">
        <v>1.7</v>
      </c>
      <c r="X1200" s="8">
        <v>63</v>
      </c>
      <c r="Y1200" s="8" t="s">
        <v>5619</v>
      </c>
      <c r="Z1200" s="8" t="s">
        <v>5620</v>
      </c>
    </row>
    <row r="1201" spans="1:26" x14ac:dyDescent="0.2">
      <c r="A1201" s="8">
        <v>1200</v>
      </c>
      <c r="B1201" s="8" t="s">
        <v>5621</v>
      </c>
      <c r="C1201" s="8" t="s">
        <v>5621</v>
      </c>
      <c r="F1201" s="47" t="s">
        <v>56269</v>
      </c>
      <c r="G1201" s="8">
        <v>15</v>
      </c>
      <c r="H1201" s="8" t="s">
        <v>21</v>
      </c>
      <c r="I1201" s="8" t="s">
        <v>22</v>
      </c>
      <c r="J1201" s="8" t="s">
        <v>22</v>
      </c>
      <c r="K1201" s="8" t="s">
        <v>58</v>
      </c>
      <c r="L1201" s="8" t="s">
        <v>3328</v>
      </c>
      <c r="M1201" s="8" t="s">
        <v>3329</v>
      </c>
      <c r="N1201" s="8" t="s">
        <v>5622</v>
      </c>
      <c r="O1201" s="8">
        <f>3+3/60+54.5/3600</f>
        <v>3.0651388888888889</v>
      </c>
      <c r="P1201" s="8" t="s">
        <v>5623</v>
      </c>
      <c r="Q1201" s="8">
        <f>-(11+59/60+29/3600)</f>
        <v>-11.991388888888888</v>
      </c>
      <c r="R1201" s="8">
        <v>12</v>
      </c>
      <c r="S1201" s="8">
        <v>13</v>
      </c>
      <c r="T1201" s="8">
        <v>1</v>
      </c>
      <c r="U1201" s="8">
        <v>13.9</v>
      </c>
      <c r="V1201" s="8">
        <v>2.9</v>
      </c>
      <c r="W1201" s="8">
        <v>2.2999999999999998</v>
      </c>
      <c r="X1201" s="8">
        <v>93</v>
      </c>
      <c r="Y1201" s="8" t="s">
        <v>5624</v>
      </c>
      <c r="Z1201" s="8" t="s">
        <v>5625</v>
      </c>
    </row>
    <row r="1202" spans="1:26" x14ac:dyDescent="0.2">
      <c r="A1202" s="8">
        <v>1201</v>
      </c>
      <c r="B1202" s="8" t="s">
        <v>5626</v>
      </c>
      <c r="C1202" s="8" t="s">
        <v>5626</v>
      </c>
      <c r="F1202" s="47" t="s">
        <v>56270</v>
      </c>
      <c r="G1202" s="8">
        <v>7</v>
      </c>
      <c r="H1202" s="8" t="s">
        <v>21</v>
      </c>
      <c r="I1202" s="8" t="s">
        <v>22</v>
      </c>
      <c r="J1202" s="8" t="s">
        <v>22</v>
      </c>
      <c r="K1202" s="8" t="s">
        <v>5627</v>
      </c>
      <c r="L1202" s="8" t="s">
        <v>3335</v>
      </c>
      <c r="M1202" s="8" t="s">
        <v>3336</v>
      </c>
      <c r="N1202" s="8" t="s">
        <v>5628</v>
      </c>
      <c r="O1202" s="8">
        <f>3+4/60+7.9/3600</f>
        <v>3.0688611111111115</v>
      </c>
      <c r="P1202" s="8" t="s">
        <v>5629</v>
      </c>
      <c r="Q1202" s="8">
        <f>-(26+4/60+8/3600)</f>
        <v>-26.068888888888889</v>
      </c>
      <c r="R1202" s="8">
        <v>10.7</v>
      </c>
      <c r="S1202" s="8">
        <v>11.7</v>
      </c>
      <c r="T1202" s="8">
        <v>1</v>
      </c>
      <c r="U1202" s="8">
        <v>12.8</v>
      </c>
      <c r="V1202" s="8">
        <v>3.6</v>
      </c>
      <c r="W1202" s="8">
        <v>2.1</v>
      </c>
      <c r="X1202" s="8">
        <v>7</v>
      </c>
      <c r="Y1202" s="8" t="s">
        <v>5630</v>
      </c>
      <c r="Z1202" s="8" t="s">
        <v>5631</v>
      </c>
    </row>
    <row r="1203" spans="1:26" x14ac:dyDescent="0.2">
      <c r="A1203" s="8">
        <v>1202</v>
      </c>
      <c r="B1203" s="8" t="s">
        <v>5632</v>
      </c>
      <c r="C1203" s="8" t="s">
        <v>5632</v>
      </c>
      <c r="F1203" s="47"/>
      <c r="G1203" s="8">
        <v>19</v>
      </c>
      <c r="H1203" s="8" t="s">
        <v>21</v>
      </c>
      <c r="I1203" s="8" t="s">
        <v>22</v>
      </c>
      <c r="J1203" s="8" t="s">
        <v>22</v>
      </c>
      <c r="K1203" s="8" t="s">
        <v>23</v>
      </c>
      <c r="L1203" s="8" t="s">
        <v>3328</v>
      </c>
      <c r="M1203" s="8" t="s">
        <v>3329</v>
      </c>
      <c r="N1203" s="8" t="s">
        <v>5633</v>
      </c>
      <c r="O1203" s="8">
        <f>3+5/60+2.4/3600</f>
        <v>3.0840000000000001</v>
      </c>
      <c r="P1203" s="8" t="s">
        <v>5634</v>
      </c>
      <c r="Q1203" s="8">
        <f>-(6+29/60+31/3600)</f>
        <v>-6.4919444444444441</v>
      </c>
      <c r="R1203" s="8">
        <v>14.2</v>
      </c>
      <c r="S1203" s="8">
        <v>15</v>
      </c>
      <c r="T1203" s="8">
        <v>0.8</v>
      </c>
      <c r="U1203" s="8">
        <v>12.7</v>
      </c>
      <c r="V1203" s="8">
        <v>0.6</v>
      </c>
      <c r="W1203" s="8">
        <v>0.5</v>
      </c>
      <c r="X1203" s="8">
        <v>94</v>
      </c>
      <c r="Y1203" s="8" t="s">
        <v>5635</v>
      </c>
      <c r="Z1203" s="8" t="s">
        <v>5636</v>
      </c>
    </row>
    <row r="1204" spans="1:26" x14ac:dyDescent="0.2">
      <c r="A1204" s="8">
        <v>1203</v>
      </c>
      <c r="B1204" s="8" t="s">
        <v>5637</v>
      </c>
      <c r="C1204" s="8" t="s">
        <v>5637</v>
      </c>
      <c r="D1204" s="8" t="s">
        <v>351</v>
      </c>
      <c r="F1204" s="47"/>
      <c r="G1204" s="8">
        <v>19</v>
      </c>
      <c r="H1204" s="8" t="s">
        <v>21</v>
      </c>
      <c r="I1204" s="8" t="s">
        <v>22</v>
      </c>
      <c r="J1204" s="8" t="s">
        <v>22</v>
      </c>
      <c r="K1204" s="8" t="s">
        <v>183</v>
      </c>
      <c r="L1204" s="8" t="s">
        <v>3328</v>
      </c>
      <c r="M1204" s="8" t="s">
        <v>3329</v>
      </c>
      <c r="N1204" s="8" t="s">
        <v>5638</v>
      </c>
      <c r="O1204" s="8">
        <f>3+5/60+14/3600</f>
        <v>3.0872222222222225</v>
      </c>
      <c r="P1204" s="8" t="s">
        <v>5639</v>
      </c>
      <c r="Q1204" s="8">
        <f>-(14+22/60+51/3600)</f>
        <v>-14.380833333333333</v>
      </c>
      <c r="R1204" s="8">
        <v>13.8</v>
      </c>
      <c r="S1204" s="8">
        <v>14.8</v>
      </c>
      <c r="T1204" s="8">
        <v>1</v>
      </c>
      <c r="U1204" s="8">
        <v>12.9</v>
      </c>
      <c r="V1204" s="8">
        <v>0.7</v>
      </c>
      <c r="W1204" s="8">
        <v>0.6</v>
      </c>
      <c r="Y1204" s="8" t="s">
        <v>5640</v>
      </c>
      <c r="Z1204" s="8" t="s">
        <v>5641</v>
      </c>
    </row>
    <row r="1205" spans="1:26" x14ac:dyDescent="0.2">
      <c r="A1205" s="8">
        <v>1204</v>
      </c>
      <c r="B1205" s="8" t="s">
        <v>5642</v>
      </c>
      <c r="C1205" s="8" t="s">
        <v>5642</v>
      </c>
      <c r="F1205" s="47"/>
      <c r="G1205" s="8">
        <v>19</v>
      </c>
      <c r="H1205" s="8" t="s">
        <v>21</v>
      </c>
      <c r="I1205" s="8" t="s">
        <v>22</v>
      </c>
      <c r="J1205" s="8" t="s">
        <v>22</v>
      </c>
      <c r="K1205" s="8" t="s">
        <v>632</v>
      </c>
      <c r="L1205" s="8" t="s">
        <v>3328</v>
      </c>
      <c r="M1205" s="8" t="s">
        <v>3329</v>
      </c>
      <c r="N1205" s="8" t="s">
        <v>5643</v>
      </c>
      <c r="O1205" s="8">
        <f>3+4/60+39.9/3600</f>
        <v>3.07775</v>
      </c>
      <c r="P1205" s="8" t="s">
        <v>5644</v>
      </c>
      <c r="Q1205" s="8">
        <f>-(12+20/60+30/3600)</f>
        <v>-12.341666666666667</v>
      </c>
      <c r="R1205" s="8">
        <v>13.3</v>
      </c>
      <c r="S1205" s="8">
        <v>14.2</v>
      </c>
      <c r="T1205" s="8">
        <v>0.9</v>
      </c>
      <c r="U1205" s="8">
        <v>12.1</v>
      </c>
      <c r="V1205" s="8">
        <v>1.2</v>
      </c>
      <c r="W1205" s="8">
        <v>0.3</v>
      </c>
      <c r="X1205" s="8">
        <v>69</v>
      </c>
      <c r="Y1205" s="8" t="s">
        <v>5645</v>
      </c>
      <c r="Z1205" s="8" t="s">
        <v>5646</v>
      </c>
    </row>
    <row r="1206" spans="1:26" x14ac:dyDescent="0.2">
      <c r="A1206" s="8">
        <v>1205</v>
      </c>
      <c r="B1206" s="8" t="s">
        <v>5647</v>
      </c>
      <c r="C1206" s="8" t="s">
        <v>5647</v>
      </c>
      <c r="F1206" s="47"/>
      <c r="G1206" s="8">
        <v>19</v>
      </c>
      <c r="H1206" s="8" t="s">
        <v>21</v>
      </c>
      <c r="I1206" s="8" t="s">
        <v>22</v>
      </c>
      <c r="J1206" s="8" t="s">
        <v>57</v>
      </c>
      <c r="K1206" s="8" t="s">
        <v>91</v>
      </c>
      <c r="L1206" s="8" t="s">
        <v>3328</v>
      </c>
      <c r="M1206" s="8" t="s">
        <v>3329</v>
      </c>
      <c r="N1206" s="8" t="s">
        <v>5547</v>
      </c>
      <c r="O1206" s="8">
        <f>3+3/60+28.4/3600</f>
        <v>3.0578888888888889</v>
      </c>
      <c r="P1206" s="8" t="s">
        <v>5548</v>
      </c>
      <c r="Q1206" s="8">
        <f>-(9+40/60+14/3600)</f>
        <v>-9.6705555555555556</v>
      </c>
      <c r="R1206" s="8">
        <v>13.9</v>
      </c>
      <c r="S1206" s="8">
        <v>15</v>
      </c>
      <c r="T1206" s="8">
        <v>1.1000000000000001</v>
      </c>
      <c r="U1206" s="8">
        <v>12.5</v>
      </c>
      <c r="V1206" s="8">
        <v>0.9</v>
      </c>
      <c r="W1206" s="8">
        <v>0.4</v>
      </c>
      <c r="X1206" s="8">
        <v>115</v>
      </c>
      <c r="Y1206" s="8" t="s">
        <v>5648</v>
      </c>
      <c r="Z1206" s="8" t="s">
        <v>5649</v>
      </c>
    </row>
    <row r="1207" spans="1:26" x14ac:dyDescent="0.2">
      <c r="A1207" s="8">
        <v>1206</v>
      </c>
      <c r="B1207" s="8" t="s">
        <v>5650</v>
      </c>
      <c r="C1207" s="8" t="s">
        <v>5650</v>
      </c>
      <c r="F1207" s="47"/>
      <c r="G1207" s="8">
        <v>19</v>
      </c>
      <c r="H1207" s="8" t="s">
        <v>21</v>
      </c>
      <c r="I1207" s="8" t="s">
        <v>22</v>
      </c>
      <c r="J1207" s="8" t="s">
        <v>22</v>
      </c>
      <c r="K1207" s="8" t="s">
        <v>460</v>
      </c>
      <c r="L1207" s="8" t="s">
        <v>3328</v>
      </c>
      <c r="M1207" s="8" t="s">
        <v>3329</v>
      </c>
      <c r="N1207" s="8" t="s">
        <v>5651</v>
      </c>
      <c r="O1207" s="8">
        <f>3+6/60+9.7/3600</f>
        <v>3.1026944444444444</v>
      </c>
      <c r="P1207" s="8" t="s">
        <v>5652</v>
      </c>
      <c r="Q1207" s="8">
        <f>-(8+49/60+58/3600)</f>
        <v>-8.8327777777777783</v>
      </c>
      <c r="R1207" s="8">
        <v>14.5</v>
      </c>
      <c r="S1207" s="8">
        <v>15.5</v>
      </c>
      <c r="T1207" s="8">
        <v>1</v>
      </c>
      <c r="U1207" s="8">
        <v>13.1</v>
      </c>
      <c r="V1207" s="8">
        <v>0.5</v>
      </c>
      <c r="W1207" s="8">
        <v>0.5</v>
      </c>
      <c r="Y1207" s="8" t="s">
        <v>5653</v>
      </c>
      <c r="Z1207" s="8" t="s">
        <v>5654</v>
      </c>
    </row>
    <row r="1208" spans="1:26" x14ac:dyDescent="0.2">
      <c r="A1208" s="8">
        <v>1207</v>
      </c>
      <c r="B1208" s="8" t="s">
        <v>5655</v>
      </c>
      <c r="C1208" s="8" t="s">
        <v>5655</v>
      </c>
      <c r="F1208" s="47" t="s">
        <v>56271</v>
      </c>
      <c r="G1208" s="8">
        <v>6.5</v>
      </c>
      <c r="H1208" s="8" t="s">
        <v>21</v>
      </c>
      <c r="I1208" s="8" t="s">
        <v>22</v>
      </c>
      <c r="J1208" s="8" t="s">
        <v>22</v>
      </c>
      <c r="K1208" s="8" t="s">
        <v>23</v>
      </c>
      <c r="L1208" s="8" t="s">
        <v>3147</v>
      </c>
      <c r="M1208" s="8" t="s">
        <v>3148</v>
      </c>
      <c r="N1208" s="8" t="s">
        <v>5656</v>
      </c>
      <c r="O1208" s="8">
        <f>3+8/60+15.4/3600</f>
        <v>3.1376111111111111</v>
      </c>
      <c r="P1208" s="8" t="s">
        <v>5657</v>
      </c>
      <c r="Q1208" s="8">
        <f>+(38+22/60+56/3600)</f>
        <v>38.382222222222225</v>
      </c>
      <c r="R1208" s="8">
        <v>12.7</v>
      </c>
      <c r="S1208" s="8">
        <v>13.5</v>
      </c>
      <c r="T1208" s="8">
        <v>0.8</v>
      </c>
      <c r="U1208" s="8">
        <v>14</v>
      </c>
      <c r="V1208" s="8">
        <v>2.2999999999999998</v>
      </c>
      <c r="W1208" s="8">
        <v>1.6</v>
      </c>
      <c r="X1208" s="8">
        <v>123</v>
      </c>
      <c r="Y1208" s="8" t="s">
        <v>5658</v>
      </c>
      <c r="Z1208" s="8" t="s">
        <v>5659</v>
      </c>
    </row>
    <row r="1209" spans="1:26" x14ac:dyDescent="0.2">
      <c r="A1209" s="8">
        <v>1208</v>
      </c>
      <c r="B1209" s="8" t="s">
        <v>5660</v>
      </c>
      <c r="C1209" s="8" t="s">
        <v>5660</v>
      </c>
      <c r="F1209" s="47" t="s">
        <v>56272</v>
      </c>
      <c r="G1209" s="8">
        <v>15</v>
      </c>
      <c r="H1209" s="8" t="s">
        <v>21</v>
      </c>
      <c r="I1209" s="8" t="s">
        <v>22</v>
      </c>
      <c r="J1209" s="8" t="s">
        <v>22</v>
      </c>
      <c r="K1209" s="8" t="s">
        <v>632</v>
      </c>
      <c r="L1209" s="8" t="s">
        <v>3328</v>
      </c>
      <c r="M1209" s="8" t="s">
        <v>3329</v>
      </c>
      <c r="N1209" s="8" t="s">
        <v>5661</v>
      </c>
      <c r="O1209" s="8">
        <f>3+6/60+11.7/3600</f>
        <v>3.1032500000000001</v>
      </c>
      <c r="P1209" s="8" t="s">
        <v>5662</v>
      </c>
      <c r="Q1209" s="8">
        <f>-(9+32/60+27/3600)</f>
        <v>-9.5408333333333335</v>
      </c>
      <c r="R1209" s="8">
        <v>12.3</v>
      </c>
      <c r="S1209" s="8">
        <v>13.2</v>
      </c>
      <c r="T1209" s="8">
        <v>0.9</v>
      </c>
      <c r="U1209" s="8">
        <v>12.7</v>
      </c>
      <c r="V1209" s="8">
        <v>1.9</v>
      </c>
      <c r="W1209" s="8">
        <v>0.9</v>
      </c>
      <c r="X1209" s="8">
        <v>80</v>
      </c>
      <c r="Y1209" s="8" t="s">
        <v>5663</v>
      </c>
      <c r="Z1209" s="8" t="s">
        <v>5664</v>
      </c>
    </row>
    <row r="1210" spans="1:26" x14ac:dyDescent="0.2">
      <c r="A1210" s="8">
        <v>1209</v>
      </c>
      <c r="B1210" s="8" t="s">
        <v>5665</v>
      </c>
      <c r="C1210" s="8" t="s">
        <v>5665</v>
      </c>
      <c r="F1210" s="47" t="s">
        <v>56273</v>
      </c>
      <c r="G1210" s="8">
        <v>6.5</v>
      </c>
      <c r="H1210" s="8" t="s">
        <v>21</v>
      </c>
      <c r="I1210" s="8" t="s">
        <v>22</v>
      </c>
      <c r="J1210" s="8" t="s">
        <v>22</v>
      </c>
      <c r="K1210" s="8" t="s">
        <v>3850</v>
      </c>
      <c r="L1210" s="8" t="s">
        <v>3328</v>
      </c>
      <c r="M1210" s="8" t="s">
        <v>3329</v>
      </c>
      <c r="N1210" s="8" t="s">
        <v>5666</v>
      </c>
      <c r="O1210" s="8">
        <f>3+6/60+2.9/3600</f>
        <v>3.1008055555555556</v>
      </c>
      <c r="P1210" s="8" t="s">
        <v>5667</v>
      </c>
      <c r="Q1210" s="8">
        <f>-(15+36/60+40/3600)</f>
        <v>-15.611111111111111</v>
      </c>
      <c r="R1210" s="8">
        <v>11.5</v>
      </c>
      <c r="S1210" s="8">
        <v>12.4</v>
      </c>
      <c r="T1210" s="8">
        <v>0.9</v>
      </c>
      <c r="U1210" s="8">
        <v>12.6</v>
      </c>
      <c r="V1210" s="8">
        <v>2.2000000000000002</v>
      </c>
      <c r="W1210" s="8">
        <v>1.1000000000000001</v>
      </c>
      <c r="X1210" s="8">
        <v>85</v>
      </c>
      <c r="Y1210" s="8" t="s">
        <v>5668</v>
      </c>
      <c r="Z1210" s="8" t="s">
        <v>5669</v>
      </c>
    </row>
    <row r="1211" spans="1:26" x14ac:dyDescent="0.2">
      <c r="A1211" s="8">
        <v>1210</v>
      </c>
      <c r="B1211" s="8" t="s">
        <v>5670</v>
      </c>
      <c r="C1211" s="8" t="s">
        <v>5670</v>
      </c>
      <c r="F1211" s="47"/>
      <c r="G1211" s="8">
        <v>19</v>
      </c>
      <c r="H1211" s="8" t="s">
        <v>21</v>
      </c>
      <c r="I1211" s="8" t="s">
        <v>22</v>
      </c>
      <c r="J1211" s="8" t="s">
        <v>22</v>
      </c>
      <c r="K1211" s="8" t="s">
        <v>224</v>
      </c>
      <c r="L1211" s="8" t="s">
        <v>3335</v>
      </c>
      <c r="M1211" s="8" t="s">
        <v>3336</v>
      </c>
      <c r="N1211" s="8" t="s">
        <v>5671</v>
      </c>
      <c r="O1211" s="8">
        <f>3+6/60+45.3/3600</f>
        <v>3.1125833333333333</v>
      </c>
      <c r="P1211" s="8" t="s">
        <v>5672</v>
      </c>
      <c r="Q1211" s="8">
        <f>-(25+42/60+59/3600)</f>
        <v>-25.71638888888889</v>
      </c>
      <c r="R1211" s="8">
        <v>12.7</v>
      </c>
      <c r="S1211" s="8">
        <v>13.5</v>
      </c>
      <c r="T1211" s="8">
        <v>0.8</v>
      </c>
      <c r="U1211" s="8">
        <v>13.9</v>
      </c>
      <c r="V1211" s="8">
        <v>1</v>
      </c>
      <c r="W1211" s="8">
        <v>0.9</v>
      </c>
      <c r="X1211" s="8">
        <v>156</v>
      </c>
      <c r="Y1211" s="8" t="s">
        <v>5673</v>
      </c>
      <c r="Z1211" s="8" t="s">
        <v>5674</v>
      </c>
    </row>
    <row r="1212" spans="1:26" x14ac:dyDescent="0.2">
      <c r="A1212" s="8">
        <v>1211</v>
      </c>
      <c r="B1212" s="8" t="s">
        <v>5675</v>
      </c>
      <c r="C1212" s="8" t="s">
        <v>5675</v>
      </c>
      <c r="F1212" s="47"/>
      <c r="G1212" s="8">
        <v>19</v>
      </c>
      <c r="H1212" s="8" t="s">
        <v>21</v>
      </c>
      <c r="I1212" s="8" t="s">
        <v>22</v>
      </c>
      <c r="J1212" s="8" t="s">
        <v>22</v>
      </c>
      <c r="K1212" s="8" t="s">
        <v>435</v>
      </c>
      <c r="L1212" s="8" t="s">
        <v>125</v>
      </c>
      <c r="M1212" s="8" t="s">
        <v>126</v>
      </c>
      <c r="N1212" s="8" t="s">
        <v>5676</v>
      </c>
      <c r="O1212" s="8">
        <f>3+6/60+52.4/3600</f>
        <v>3.1145555555555555</v>
      </c>
      <c r="P1212" s="8" t="s">
        <v>5677</v>
      </c>
      <c r="Q1212" s="8">
        <f>-(0+47/60+39/3600)</f>
        <v>-0.79416666666666669</v>
      </c>
      <c r="R1212" s="8">
        <v>12.3</v>
      </c>
      <c r="S1212" s="8">
        <v>13.3</v>
      </c>
      <c r="T1212" s="8">
        <v>1</v>
      </c>
      <c r="U1212" s="8">
        <v>13.7</v>
      </c>
      <c r="V1212" s="8">
        <v>2.1</v>
      </c>
      <c r="W1212" s="8">
        <v>1.9</v>
      </c>
      <c r="X1212" s="8">
        <v>30</v>
      </c>
      <c r="Y1212" s="8" t="s">
        <v>5678</v>
      </c>
      <c r="Z1212" s="8" t="s">
        <v>5679</v>
      </c>
    </row>
    <row r="1213" spans="1:26" x14ac:dyDescent="0.2">
      <c r="A1213" s="8">
        <v>1212</v>
      </c>
      <c r="B1213" s="8" t="s">
        <v>5680</v>
      </c>
      <c r="C1213" s="8" t="s">
        <v>5680</v>
      </c>
      <c r="F1213" s="47"/>
      <c r="G1213" s="8">
        <v>19</v>
      </c>
      <c r="H1213" s="8" t="s">
        <v>21</v>
      </c>
      <c r="I1213" s="8" t="s">
        <v>22</v>
      </c>
      <c r="J1213" s="8" t="s">
        <v>22</v>
      </c>
      <c r="K1213" s="8" t="s">
        <v>632</v>
      </c>
      <c r="L1213" s="8" t="s">
        <v>3147</v>
      </c>
      <c r="M1213" s="8" t="s">
        <v>3148</v>
      </c>
      <c r="N1213" s="8" t="s">
        <v>5681</v>
      </c>
      <c r="O1213" s="8">
        <f>3+9/60+42.3/3600</f>
        <v>3.1617500000000001</v>
      </c>
      <c r="P1213" s="8" t="s">
        <v>5682</v>
      </c>
      <c r="Q1213" s="8">
        <f>+(40+53/60+35/3600)</f>
        <v>40.893055555555556</v>
      </c>
      <c r="R1213" s="8">
        <v>14.6</v>
      </c>
      <c r="S1213" s="8">
        <v>15.5</v>
      </c>
      <c r="T1213" s="8">
        <v>0.9</v>
      </c>
      <c r="U1213" s="8">
        <v>13.7</v>
      </c>
      <c r="V1213" s="8">
        <v>1</v>
      </c>
      <c r="W1213" s="8">
        <v>0.5</v>
      </c>
      <c r="X1213" s="8">
        <v>22</v>
      </c>
      <c r="Y1213" s="8" t="s">
        <v>5683</v>
      </c>
      <c r="Z1213" s="8" t="s">
        <v>5684</v>
      </c>
    </row>
    <row r="1214" spans="1:26" x14ac:dyDescent="0.2">
      <c r="A1214" s="8">
        <v>1213</v>
      </c>
      <c r="B1214" s="8" t="s">
        <v>5685</v>
      </c>
      <c r="C1214" s="8" t="s">
        <v>5685</v>
      </c>
      <c r="F1214" s="47"/>
      <c r="G1214" s="8">
        <v>19</v>
      </c>
      <c r="H1214" s="8" t="s">
        <v>21</v>
      </c>
      <c r="I1214" s="8" t="s">
        <v>22</v>
      </c>
      <c r="J1214" s="8" t="s">
        <v>22</v>
      </c>
      <c r="K1214" s="8" t="s">
        <v>3523</v>
      </c>
      <c r="L1214" s="8" t="s">
        <v>3147</v>
      </c>
      <c r="M1214" s="8" t="s">
        <v>3148</v>
      </c>
      <c r="N1214" s="8" t="s">
        <v>5686</v>
      </c>
      <c r="O1214" s="8">
        <f>3+9/60+17.3/3600</f>
        <v>3.1548055555555554</v>
      </c>
      <c r="P1214" s="8" t="s">
        <v>5687</v>
      </c>
      <c r="Q1214" s="8">
        <f>+(38+38/60+57/3600)</f>
        <v>38.649166666666666</v>
      </c>
      <c r="R1214" s="8">
        <v>14.4</v>
      </c>
      <c r="S1214" s="8">
        <v>15</v>
      </c>
      <c r="T1214" s="8">
        <v>0.6</v>
      </c>
      <c r="U1214" s="8">
        <v>15.3</v>
      </c>
      <c r="V1214" s="8">
        <v>1.8</v>
      </c>
      <c r="W1214" s="8">
        <v>1.4</v>
      </c>
      <c r="X1214" s="8">
        <v>54</v>
      </c>
      <c r="Y1214" s="8" t="s">
        <v>5688</v>
      </c>
      <c r="Z1214" s="8" t="s">
        <v>5689</v>
      </c>
    </row>
    <row r="1215" spans="1:26" x14ac:dyDescent="0.2">
      <c r="A1215" s="8">
        <v>1214</v>
      </c>
      <c r="B1215" s="8" t="s">
        <v>5690</v>
      </c>
      <c r="C1215" s="8" t="s">
        <v>5690</v>
      </c>
      <c r="F1215" s="47"/>
      <c r="G1215" s="8">
        <v>19</v>
      </c>
      <c r="H1215" s="8" t="s">
        <v>21</v>
      </c>
      <c r="I1215" s="8" t="s">
        <v>22</v>
      </c>
      <c r="J1215" s="8" t="s">
        <v>22</v>
      </c>
      <c r="K1215" s="8" t="s">
        <v>632</v>
      </c>
      <c r="L1215" s="8" t="s">
        <v>3328</v>
      </c>
      <c r="M1215" s="8" t="s">
        <v>3329</v>
      </c>
      <c r="N1215" s="8" t="s">
        <v>5691</v>
      </c>
      <c r="O1215" s="8">
        <f>3+6/60+56/3600</f>
        <v>3.1155555555555559</v>
      </c>
      <c r="P1215" s="8" t="s">
        <v>4823</v>
      </c>
      <c r="Q1215" s="8">
        <f>-(9+32/60+39/3600)</f>
        <v>-9.5441666666666674</v>
      </c>
      <c r="R1215" s="8">
        <v>14</v>
      </c>
      <c r="S1215" s="8">
        <v>15</v>
      </c>
      <c r="T1215" s="8">
        <v>1</v>
      </c>
      <c r="U1215" s="8">
        <v>13.2</v>
      </c>
      <c r="V1215" s="8">
        <v>1.3</v>
      </c>
      <c r="W1215" s="8">
        <v>0.3</v>
      </c>
      <c r="X1215" s="8">
        <v>40</v>
      </c>
      <c r="Y1215" s="8" t="s">
        <v>5692</v>
      </c>
      <c r="Z1215" s="8" t="s">
        <v>5693</v>
      </c>
    </row>
    <row r="1216" spans="1:26" x14ac:dyDescent="0.2">
      <c r="A1216" s="8">
        <v>1215</v>
      </c>
      <c r="B1216" s="8" t="s">
        <v>5694</v>
      </c>
      <c r="C1216" s="8" t="s">
        <v>5694</v>
      </c>
      <c r="F1216" s="47"/>
      <c r="G1216" s="8">
        <v>19</v>
      </c>
      <c r="H1216" s="8" t="s">
        <v>21</v>
      </c>
      <c r="I1216" s="8" t="s">
        <v>22</v>
      </c>
      <c r="J1216" s="8" t="s">
        <v>22</v>
      </c>
      <c r="K1216" s="8" t="s">
        <v>91</v>
      </c>
      <c r="L1216" s="8" t="s">
        <v>3328</v>
      </c>
      <c r="M1216" s="8" t="s">
        <v>3329</v>
      </c>
      <c r="N1216" s="8" t="s">
        <v>5695</v>
      </c>
      <c r="O1216" s="8">
        <f>3+7/60+9.6/3600</f>
        <v>3.1193333333333335</v>
      </c>
      <c r="P1216" s="8" t="s">
        <v>5696</v>
      </c>
      <c r="Q1216" s="8">
        <f>-(9+35/60+34/3600)</f>
        <v>-9.5927777777777781</v>
      </c>
      <c r="R1216" s="8">
        <v>14.1</v>
      </c>
      <c r="S1216" s="8">
        <v>15</v>
      </c>
      <c r="T1216" s="8">
        <v>0.9</v>
      </c>
      <c r="U1216" s="8">
        <v>14.8</v>
      </c>
      <c r="V1216" s="8">
        <v>1.8</v>
      </c>
      <c r="W1216" s="8">
        <v>1.2</v>
      </c>
      <c r="X1216" s="8">
        <v>65</v>
      </c>
      <c r="Y1216" s="8" t="s">
        <v>385</v>
      </c>
      <c r="Z1216" s="8" t="s">
        <v>386</v>
      </c>
    </row>
    <row r="1217" spans="1:26" x14ac:dyDescent="0.2">
      <c r="A1217" s="8">
        <v>1216</v>
      </c>
      <c r="B1217" s="8" t="s">
        <v>5697</v>
      </c>
      <c r="C1217" s="8" t="s">
        <v>5697</v>
      </c>
      <c r="F1217" s="47"/>
      <c r="G1217" s="8">
        <v>19</v>
      </c>
      <c r="H1217" s="8" t="s">
        <v>21</v>
      </c>
      <c r="I1217" s="8" t="s">
        <v>22</v>
      </c>
      <c r="J1217" s="8" t="s">
        <v>22</v>
      </c>
      <c r="K1217" s="8" t="s">
        <v>632</v>
      </c>
      <c r="L1217" s="8" t="s">
        <v>3328</v>
      </c>
      <c r="M1217" s="8" t="s">
        <v>3329</v>
      </c>
      <c r="N1217" s="8" t="s">
        <v>5698</v>
      </c>
      <c r="O1217" s="8">
        <f>3+7/60+18.5/3600</f>
        <v>3.1218055555555555</v>
      </c>
      <c r="P1217" s="8" t="s">
        <v>5699</v>
      </c>
      <c r="Q1217" s="8">
        <f>-(9+36/60+45/3600)</f>
        <v>-9.6124999999999989</v>
      </c>
      <c r="R1217" s="8">
        <v>14.8</v>
      </c>
      <c r="S1217" s="8">
        <v>15.7</v>
      </c>
      <c r="T1217" s="8">
        <v>0.9</v>
      </c>
      <c r="U1217" s="8">
        <v>13.3</v>
      </c>
      <c r="V1217" s="8">
        <v>0.8</v>
      </c>
      <c r="W1217" s="8">
        <v>0.2</v>
      </c>
      <c r="X1217" s="8">
        <v>65</v>
      </c>
      <c r="Y1217" s="8" t="s">
        <v>5700</v>
      </c>
      <c r="Z1217" s="8" t="s">
        <v>5701</v>
      </c>
    </row>
    <row r="1218" spans="1:26" x14ac:dyDescent="0.2">
      <c r="A1218" s="8">
        <v>1217</v>
      </c>
      <c r="B1218" s="8" t="s">
        <v>5702</v>
      </c>
      <c r="C1218" s="8" t="s">
        <v>5702</v>
      </c>
      <c r="E1218" s="8">
        <v>1</v>
      </c>
      <c r="F1218" s="47"/>
      <c r="G1218" s="8">
        <v>16</v>
      </c>
      <c r="H1218" s="8" t="s">
        <v>21</v>
      </c>
      <c r="I1218" s="8" t="s">
        <v>22</v>
      </c>
      <c r="J1218" s="8" t="s">
        <v>22</v>
      </c>
      <c r="K1218" s="8" t="s">
        <v>91</v>
      </c>
      <c r="L1218" s="8" t="s">
        <v>3335</v>
      </c>
      <c r="M1218" s="8" t="s">
        <v>3336</v>
      </c>
      <c r="N1218" s="8" t="s">
        <v>5703</v>
      </c>
      <c r="O1218" s="8">
        <f>3+6/60+6/3600</f>
        <v>3.1016666666666666</v>
      </c>
      <c r="P1218" s="8" t="s">
        <v>5704</v>
      </c>
      <c r="Q1218" s="8">
        <f>-(39+2/60+9/3600)</f>
        <v>-39.035833333333329</v>
      </c>
      <c r="R1218" s="8">
        <v>12.1</v>
      </c>
      <c r="S1218" s="8">
        <v>13</v>
      </c>
      <c r="T1218" s="8">
        <v>0.9</v>
      </c>
      <c r="U1218" s="8">
        <v>12.9</v>
      </c>
      <c r="V1218" s="8">
        <v>1.8</v>
      </c>
      <c r="W1218" s="8">
        <v>1.3</v>
      </c>
      <c r="X1218" s="8">
        <v>50</v>
      </c>
      <c r="Y1218" s="8" t="s">
        <v>4859</v>
      </c>
      <c r="Z1218" s="8" t="s">
        <v>4860</v>
      </c>
    </row>
    <row r="1219" spans="1:26" x14ac:dyDescent="0.2">
      <c r="A1219" s="8">
        <v>1218</v>
      </c>
      <c r="B1219" s="8" t="s">
        <v>5705</v>
      </c>
      <c r="C1219" s="8" t="s">
        <v>5705</v>
      </c>
      <c r="F1219" s="47"/>
      <c r="G1219" s="8">
        <v>19</v>
      </c>
      <c r="H1219" s="8" t="s">
        <v>21</v>
      </c>
      <c r="I1219" s="8" t="s">
        <v>22</v>
      </c>
      <c r="J1219" s="8" t="s">
        <v>22</v>
      </c>
      <c r="K1219" s="8" t="s">
        <v>632</v>
      </c>
      <c r="L1219" s="8" t="s">
        <v>125</v>
      </c>
      <c r="M1219" s="8" t="s">
        <v>126</v>
      </c>
      <c r="N1219" s="8" t="s">
        <v>5706</v>
      </c>
      <c r="O1219" s="8">
        <f>3+8/60+26.1/3600</f>
        <v>3.1405833333333333</v>
      </c>
      <c r="P1219" s="8" t="s">
        <v>5707</v>
      </c>
      <c r="Q1219" s="8">
        <f>+(4+6/60+41/3600)</f>
        <v>4.1113888888888885</v>
      </c>
      <c r="R1219" s="8">
        <v>12.6</v>
      </c>
      <c r="S1219" s="8">
        <v>13.8</v>
      </c>
      <c r="T1219" s="8">
        <v>1.2</v>
      </c>
      <c r="U1219" s="8">
        <v>12.8</v>
      </c>
      <c r="V1219" s="8">
        <v>1.3</v>
      </c>
      <c r="W1219" s="8">
        <v>1</v>
      </c>
      <c r="X1219" s="8">
        <v>155</v>
      </c>
      <c r="Y1219" s="8" t="s">
        <v>803</v>
      </c>
      <c r="Z1219" s="8" t="s">
        <v>804</v>
      </c>
    </row>
    <row r="1220" spans="1:26" x14ac:dyDescent="0.2">
      <c r="A1220" s="8">
        <v>1219</v>
      </c>
      <c r="B1220" s="8" t="s">
        <v>5708</v>
      </c>
      <c r="C1220" s="8" t="s">
        <v>5708</v>
      </c>
      <c r="F1220" s="47"/>
      <c r="G1220" s="8">
        <v>18</v>
      </c>
      <c r="H1220" s="8" t="s">
        <v>21</v>
      </c>
      <c r="I1220" s="8" t="s">
        <v>22</v>
      </c>
      <c r="J1220" s="8" t="s">
        <v>22</v>
      </c>
      <c r="K1220" s="8" t="s">
        <v>160</v>
      </c>
      <c r="L1220" s="8" t="s">
        <v>125</v>
      </c>
      <c r="M1220" s="8" t="s">
        <v>126</v>
      </c>
      <c r="N1220" s="8" t="s">
        <v>5709</v>
      </c>
      <c r="O1220" s="8">
        <f>3+8/60+28.1/3600</f>
        <v>3.1411388888888889</v>
      </c>
      <c r="P1220" s="8" t="s">
        <v>5710</v>
      </c>
      <c r="Q1220" s="8">
        <f>+(2+6/60+29/3600)</f>
        <v>2.1080555555555556</v>
      </c>
      <c r="R1220" s="8">
        <v>13</v>
      </c>
      <c r="S1220" s="8">
        <v>13.8</v>
      </c>
      <c r="T1220" s="8">
        <v>0.8</v>
      </c>
      <c r="U1220" s="8">
        <v>13.3</v>
      </c>
      <c r="V1220" s="8">
        <v>1</v>
      </c>
      <c r="W1220" s="8">
        <v>0.8</v>
      </c>
      <c r="X1220" s="8">
        <v>30</v>
      </c>
      <c r="Y1220" s="8" t="s">
        <v>5711</v>
      </c>
      <c r="Z1220" s="8" t="s">
        <v>5712</v>
      </c>
    </row>
    <row r="1221" spans="1:26" x14ac:dyDescent="0.2">
      <c r="A1221" s="8">
        <v>1220</v>
      </c>
      <c r="B1221" s="8" t="s">
        <v>5713</v>
      </c>
      <c r="C1221" s="8" t="s">
        <v>5713</v>
      </c>
      <c r="F1221" s="47"/>
      <c r="G1221" s="8">
        <v>13</v>
      </c>
      <c r="H1221" s="8" t="s">
        <v>21</v>
      </c>
      <c r="I1221" s="8" t="s">
        <v>557</v>
      </c>
      <c r="J1221" s="8" t="s">
        <v>557</v>
      </c>
      <c r="K1221" s="8" t="s">
        <v>558</v>
      </c>
      <c r="L1221" s="8" t="s">
        <v>3147</v>
      </c>
      <c r="M1221" s="8" t="s">
        <v>3148</v>
      </c>
      <c r="N1221" s="8" t="s">
        <v>5714</v>
      </c>
      <c r="O1221" s="8">
        <f>3+11/60+40.6/3600</f>
        <v>3.1946111111111111</v>
      </c>
      <c r="P1221" s="8" t="s">
        <v>5715</v>
      </c>
      <c r="Q1221" s="8">
        <f>+(53+20/60+53/3600)</f>
        <v>53.348055555555561</v>
      </c>
      <c r="R1221" s="8">
        <v>11.8</v>
      </c>
      <c r="S1221" s="8">
        <v>99</v>
      </c>
      <c r="T1221" s="8">
        <v>99</v>
      </c>
      <c r="U1221" s="8">
        <v>99</v>
      </c>
      <c r="V1221" s="8">
        <v>2</v>
      </c>
      <c r="Y1221" s="8" t="s">
        <v>5716</v>
      </c>
      <c r="Z1221" s="8" t="s">
        <v>5717</v>
      </c>
    </row>
    <row r="1222" spans="1:26" x14ac:dyDescent="0.2">
      <c r="A1222" s="8">
        <v>1221</v>
      </c>
      <c r="B1222" s="8" t="s">
        <v>5718</v>
      </c>
      <c r="C1222" s="8" t="s">
        <v>5718</v>
      </c>
      <c r="F1222" s="47"/>
      <c r="G1222" s="8">
        <v>19</v>
      </c>
      <c r="H1222" s="8" t="s">
        <v>21</v>
      </c>
      <c r="I1222" s="8" t="s">
        <v>22</v>
      </c>
      <c r="J1222" s="8" t="s">
        <v>22</v>
      </c>
      <c r="K1222" s="8" t="s">
        <v>632</v>
      </c>
      <c r="L1222" s="8" t="s">
        <v>3328</v>
      </c>
      <c r="M1222" s="8" t="s">
        <v>3329</v>
      </c>
      <c r="N1222" s="8" t="s">
        <v>5719</v>
      </c>
      <c r="O1222" s="8">
        <f>3+8/60+15.6/3600</f>
        <v>3.1376666666666666</v>
      </c>
      <c r="P1222" s="8" t="s">
        <v>5720</v>
      </c>
      <c r="Q1222" s="8">
        <f>-(4+15/60+35/3600)</f>
        <v>-4.259722222222222</v>
      </c>
      <c r="R1222" s="8">
        <v>13.5</v>
      </c>
      <c r="S1222" s="8">
        <v>14.4</v>
      </c>
      <c r="T1222" s="8">
        <v>0.9</v>
      </c>
      <c r="U1222" s="8">
        <v>12.9</v>
      </c>
      <c r="V1222" s="8">
        <v>1.2</v>
      </c>
      <c r="W1222" s="8">
        <v>0.4</v>
      </c>
      <c r="X1222" s="8">
        <v>164</v>
      </c>
      <c r="Y1222" s="8" t="s">
        <v>5721</v>
      </c>
      <c r="Z1222" s="8" t="s">
        <v>5722</v>
      </c>
    </row>
    <row r="1223" spans="1:26" x14ac:dyDescent="0.2">
      <c r="A1223" s="8">
        <v>1222</v>
      </c>
      <c r="B1223" s="8" t="s">
        <v>5723</v>
      </c>
      <c r="C1223" s="8" t="s">
        <v>5723</v>
      </c>
      <c r="F1223" s="47"/>
      <c r="G1223" s="8">
        <v>19</v>
      </c>
      <c r="H1223" s="8" t="s">
        <v>21</v>
      </c>
      <c r="I1223" s="8" t="s">
        <v>22</v>
      </c>
      <c r="J1223" s="8" t="s">
        <v>22</v>
      </c>
      <c r="K1223" s="8" t="s">
        <v>58</v>
      </c>
      <c r="L1223" s="8" t="s">
        <v>3328</v>
      </c>
      <c r="M1223" s="8" t="s">
        <v>3329</v>
      </c>
      <c r="N1223" s="8" t="s">
        <v>5724</v>
      </c>
      <c r="O1223" s="8">
        <f>3+8/60+56.9/3600</f>
        <v>3.1491388888888889</v>
      </c>
      <c r="P1223" s="8" t="s">
        <v>5725</v>
      </c>
      <c r="Q1223" s="8">
        <f>-(2+57/60+20/3600)</f>
        <v>-2.9555555555555557</v>
      </c>
      <c r="R1223" s="8">
        <v>12.5</v>
      </c>
      <c r="S1223" s="8">
        <v>13.1</v>
      </c>
      <c r="T1223" s="8">
        <v>0.6</v>
      </c>
      <c r="U1223" s="8">
        <v>12.3</v>
      </c>
      <c r="V1223" s="8">
        <v>1.1000000000000001</v>
      </c>
      <c r="W1223" s="8">
        <v>0.9</v>
      </c>
      <c r="X1223" s="8">
        <v>169</v>
      </c>
      <c r="Y1223" s="8" t="s">
        <v>5726</v>
      </c>
      <c r="Z1223" s="8" t="s">
        <v>5727</v>
      </c>
    </row>
    <row r="1224" spans="1:26" x14ac:dyDescent="0.2">
      <c r="A1224" s="8">
        <v>1223</v>
      </c>
      <c r="B1224" s="8" t="s">
        <v>5728</v>
      </c>
      <c r="C1224" s="8" t="s">
        <v>5728</v>
      </c>
      <c r="F1224" s="47"/>
      <c r="G1224" s="8">
        <v>19</v>
      </c>
      <c r="H1224" s="8" t="s">
        <v>21</v>
      </c>
      <c r="I1224" s="8" t="s">
        <v>22</v>
      </c>
      <c r="J1224" s="8" t="s">
        <v>22</v>
      </c>
      <c r="K1224" s="8" t="s">
        <v>2041</v>
      </c>
      <c r="L1224" s="8" t="s">
        <v>3328</v>
      </c>
      <c r="M1224" s="8" t="s">
        <v>3329</v>
      </c>
      <c r="N1224" s="8" t="s">
        <v>5729</v>
      </c>
      <c r="O1224" s="8">
        <f>3+8/60+19.9/3600</f>
        <v>3.1388611111111109</v>
      </c>
      <c r="P1224" s="8" t="s">
        <v>5730</v>
      </c>
      <c r="Q1224" s="8">
        <f>-(4+8/60+19/3600)</f>
        <v>-4.1386111111111115</v>
      </c>
      <c r="R1224" s="8">
        <v>13.4</v>
      </c>
      <c r="S1224" s="8">
        <v>14.4</v>
      </c>
      <c r="T1224" s="8">
        <v>1</v>
      </c>
      <c r="U1224" s="8">
        <v>13.5</v>
      </c>
      <c r="V1224" s="8">
        <v>1.2</v>
      </c>
      <c r="W1224" s="8">
        <v>1</v>
      </c>
      <c r="X1224" s="8">
        <v>4</v>
      </c>
      <c r="Y1224" s="8" t="s">
        <v>5731</v>
      </c>
      <c r="Z1224" s="8" t="s">
        <v>5732</v>
      </c>
    </row>
    <row r="1225" spans="1:26" x14ac:dyDescent="0.2">
      <c r="A1225" s="8">
        <v>1224</v>
      </c>
      <c r="B1225" s="8" t="s">
        <v>5733</v>
      </c>
      <c r="C1225" s="8" t="s">
        <v>5733</v>
      </c>
      <c r="F1225" s="47"/>
      <c r="G1225" s="8">
        <v>19</v>
      </c>
      <c r="H1225" s="8" t="s">
        <v>21</v>
      </c>
      <c r="I1225" s="8" t="s">
        <v>22</v>
      </c>
      <c r="J1225" s="8" t="s">
        <v>22</v>
      </c>
      <c r="K1225" s="8" t="s">
        <v>58</v>
      </c>
      <c r="L1225" s="8" t="s">
        <v>3147</v>
      </c>
      <c r="M1225" s="8" t="s">
        <v>3148</v>
      </c>
      <c r="N1225" s="8" t="s">
        <v>5734</v>
      </c>
      <c r="O1225" s="8">
        <f>3+11/60+13.5/3600</f>
        <v>3.1870833333333333</v>
      </c>
      <c r="P1225" s="8" t="s">
        <v>5735</v>
      </c>
      <c r="Q1225" s="8">
        <f>+(41+21/60+48/3600)</f>
        <v>41.363333333333337</v>
      </c>
      <c r="R1225" s="8">
        <v>14</v>
      </c>
      <c r="S1225" s="8">
        <v>15</v>
      </c>
      <c r="T1225" s="8">
        <v>1</v>
      </c>
      <c r="U1225" s="8">
        <v>13.8</v>
      </c>
      <c r="V1225" s="8">
        <v>1</v>
      </c>
      <c r="W1225" s="8">
        <v>0.8</v>
      </c>
      <c r="X1225" s="8">
        <v>0</v>
      </c>
      <c r="Y1225" s="8" t="s">
        <v>385</v>
      </c>
      <c r="Z1225" s="8" t="s">
        <v>386</v>
      </c>
    </row>
    <row r="1226" spans="1:26" x14ac:dyDescent="0.2">
      <c r="A1226" s="8">
        <v>1225</v>
      </c>
      <c r="B1226" s="8" t="s">
        <v>5736</v>
      </c>
      <c r="C1226" s="8" t="s">
        <v>5736</v>
      </c>
      <c r="F1226" s="47"/>
      <c r="G1226" s="8">
        <v>19</v>
      </c>
      <c r="H1226" s="8" t="s">
        <v>21</v>
      </c>
      <c r="I1226" s="8" t="s">
        <v>22</v>
      </c>
      <c r="J1226" s="8" t="s">
        <v>22</v>
      </c>
      <c r="K1226" s="8" t="s">
        <v>23</v>
      </c>
      <c r="L1226" s="8" t="s">
        <v>3328</v>
      </c>
      <c r="M1226" s="8" t="s">
        <v>3329</v>
      </c>
      <c r="N1226" s="8" t="s">
        <v>5737</v>
      </c>
      <c r="O1226" s="8">
        <f>3+8/60+47.3/3600</f>
        <v>3.1464722222222221</v>
      </c>
      <c r="P1226" s="8" t="s">
        <v>5738</v>
      </c>
      <c r="Q1226" s="8">
        <f>-(4+6/60+6/3600)</f>
        <v>-4.1016666666666666</v>
      </c>
      <c r="R1226" s="8">
        <v>14</v>
      </c>
      <c r="S1226" s="8">
        <v>14.8</v>
      </c>
      <c r="T1226" s="8">
        <v>0.8</v>
      </c>
      <c r="U1226" s="8">
        <v>13.5</v>
      </c>
      <c r="V1226" s="8">
        <v>1</v>
      </c>
      <c r="W1226" s="8">
        <v>0.6</v>
      </c>
      <c r="X1226" s="8">
        <v>142</v>
      </c>
      <c r="Y1226" s="8" t="s">
        <v>5739</v>
      </c>
      <c r="Z1226" s="8" t="s">
        <v>5740</v>
      </c>
    </row>
    <row r="1227" spans="1:26" x14ac:dyDescent="0.2">
      <c r="A1227" s="8">
        <v>1226</v>
      </c>
      <c r="B1227" s="8" t="s">
        <v>5741</v>
      </c>
      <c r="C1227" s="8" t="s">
        <v>5741</v>
      </c>
      <c r="F1227" s="47"/>
      <c r="G1227" s="8">
        <v>19</v>
      </c>
      <c r="H1227" s="8" t="s">
        <v>21</v>
      </c>
      <c r="I1227" s="8" t="s">
        <v>22</v>
      </c>
      <c r="J1227" s="8" t="s">
        <v>57</v>
      </c>
      <c r="K1227" s="8" t="s">
        <v>1136</v>
      </c>
      <c r="L1227" s="8" t="s">
        <v>3147</v>
      </c>
      <c r="M1227" s="8" t="s">
        <v>3148</v>
      </c>
      <c r="N1227" s="8" t="s">
        <v>4010</v>
      </c>
      <c r="O1227" s="8">
        <f>3+11/60+5.4/3600</f>
        <v>3.1848333333333332</v>
      </c>
      <c r="P1227" s="8" t="s">
        <v>4011</v>
      </c>
      <c r="Q1227" s="8">
        <f>+(35+23/60+11/3600)</f>
        <v>35.386388888888888</v>
      </c>
      <c r="R1227" s="8">
        <v>12.9</v>
      </c>
      <c r="S1227" s="8">
        <v>13.9</v>
      </c>
      <c r="T1227" s="8">
        <v>1</v>
      </c>
      <c r="U1227" s="8">
        <v>13.7</v>
      </c>
      <c r="V1227" s="8">
        <v>1.6</v>
      </c>
      <c r="W1227" s="8">
        <v>1.3</v>
      </c>
      <c r="X1227" s="8">
        <v>95</v>
      </c>
      <c r="Y1227" s="8" t="s">
        <v>3952</v>
      </c>
      <c r="Z1227" s="8" t="s">
        <v>3953</v>
      </c>
    </row>
    <row r="1228" spans="1:26" x14ac:dyDescent="0.2">
      <c r="A1228" s="8">
        <v>1227</v>
      </c>
      <c r="B1228" s="8" t="s">
        <v>5742</v>
      </c>
      <c r="C1228" s="8" t="s">
        <v>5742</v>
      </c>
      <c r="F1228" s="47"/>
      <c r="G1228" s="8">
        <v>19</v>
      </c>
      <c r="H1228" s="8" t="s">
        <v>21</v>
      </c>
      <c r="I1228" s="8" t="s">
        <v>22</v>
      </c>
      <c r="J1228" s="8" t="s">
        <v>22</v>
      </c>
      <c r="K1228" s="8" t="s">
        <v>435</v>
      </c>
      <c r="L1228" s="8" t="s">
        <v>3147</v>
      </c>
      <c r="M1228" s="8" t="s">
        <v>3148</v>
      </c>
      <c r="N1228" s="8" t="s">
        <v>5743</v>
      </c>
      <c r="O1228" s="8">
        <f>3+11/60+7.8/3600</f>
        <v>3.1854999999999998</v>
      </c>
      <c r="P1228" s="8" t="s">
        <v>5744</v>
      </c>
      <c r="Q1228" s="8">
        <f>+(35+19/60+31/3600)</f>
        <v>35.325277777777778</v>
      </c>
      <c r="R1228" s="8">
        <v>14.2</v>
      </c>
      <c r="S1228" s="8">
        <v>15.1</v>
      </c>
      <c r="T1228" s="8">
        <v>0.9</v>
      </c>
      <c r="U1228" s="8">
        <v>14.2</v>
      </c>
      <c r="V1228" s="8">
        <v>1</v>
      </c>
      <c r="W1228" s="8">
        <v>0.9</v>
      </c>
      <c r="X1228" s="8">
        <v>63</v>
      </c>
      <c r="Y1228" s="8" t="s">
        <v>282</v>
      </c>
      <c r="Z1228" s="8" t="s">
        <v>283</v>
      </c>
    </row>
    <row r="1229" spans="1:26" x14ac:dyDescent="0.2">
      <c r="A1229" s="8">
        <v>1228</v>
      </c>
      <c r="B1229" s="8" t="s">
        <v>5745</v>
      </c>
      <c r="C1229" s="8" t="s">
        <v>5745</v>
      </c>
      <c r="F1229" s="47"/>
      <c r="G1229" s="8">
        <v>19</v>
      </c>
      <c r="H1229" s="8" t="s">
        <v>21</v>
      </c>
      <c r="I1229" s="8" t="s">
        <v>22</v>
      </c>
      <c r="J1229" s="8" t="s">
        <v>22</v>
      </c>
      <c r="K1229" s="8" t="s">
        <v>435</v>
      </c>
      <c r="L1229" s="8" t="s">
        <v>3328</v>
      </c>
      <c r="M1229" s="8" t="s">
        <v>3329</v>
      </c>
      <c r="N1229" s="8" t="s">
        <v>5746</v>
      </c>
      <c r="O1229" s="8">
        <f>3+8/60+11.7/3600</f>
        <v>3.1365833333333333</v>
      </c>
      <c r="P1229" s="8" t="s">
        <v>5747</v>
      </c>
      <c r="Q1229" s="8">
        <f>-(22+55/60+21/3600)</f>
        <v>-22.922499999999999</v>
      </c>
      <c r="R1229" s="8">
        <v>13.3</v>
      </c>
      <c r="S1229" s="8">
        <v>14.2</v>
      </c>
      <c r="T1229" s="8">
        <v>0.9</v>
      </c>
      <c r="U1229" s="8">
        <v>13.5</v>
      </c>
      <c r="V1229" s="8">
        <v>1.6</v>
      </c>
      <c r="W1229" s="8">
        <v>0.9</v>
      </c>
      <c r="X1229" s="8">
        <v>77</v>
      </c>
      <c r="Y1229" s="8" t="s">
        <v>5748</v>
      </c>
      <c r="Z1229" s="8" t="s">
        <v>5749</v>
      </c>
    </row>
    <row r="1230" spans="1:26" x14ac:dyDescent="0.2">
      <c r="A1230" s="8">
        <v>1229</v>
      </c>
      <c r="B1230" s="8" t="s">
        <v>5750</v>
      </c>
      <c r="C1230" s="8" t="s">
        <v>5750</v>
      </c>
      <c r="F1230" s="47"/>
      <c r="G1230" s="8">
        <v>19</v>
      </c>
      <c r="H1230" s="8" t="s">
        <v>21</v>
      </c>
      <c r="I1230" s="8" t="s">
        <v>22</v>
      </c>
      <c r="J1230" s="8" t="s">
        <v>22</v>
      </c>
      <c r="K1230" s="8" t="s">
        <v>5751</v>
      </c>
      <c r="L1230" s="8" t="s">
        <v>3328</v>
      </c>
      <c r="M1230" s="8" t="s">
        <v>3329</v>
      </c>
      <c r="N1230" s="8" t="s">
        <v>5752</v>
      </c>
      <c r="O1230" s="8">
        <f>3+8/60+10.8/3600</f>
        <v>3.1363333333333334</v>
      </c>
      <c r="P1230" s="8" t="s">
        <v>5753</v>
      </c>
      <c r="Q1230" s="8">
        <f>-(22+57/60+38/3600)</f>
        <v>-22.960555555555555</v>
      </c>
      <c r="R1230" s="8">
        <v>14.1</v>
      </c>
      <c r="S1230" s="8">
        <v>14.9</v>
      </c>
      <c r="T1230" s="8">
        <v>0.8</v>
      </c>
      <c r="U1230" s="8">
        <v>14.2</v>
      </c>
      <c r="V1230" s="8">
        <v>1.4</v>
      </c>
      <c r="W1230" s="8">
        <v>0.9</v>
      </c>
      <c r="X1230" s="8">
        <v>74</v>
      </c>
      <c r="Y1230" s="8" t="s">
        <v>5748</v>
      </c>
      <c r="Z1230" s="8" t="s">
        <v>5754</v>
      </c>
    </row>
    <row r="1231" spans="1:26" x14ac:dyDescent="0.2">
      <c r="A1231" s="8">
        <v>1230</v>
      </c>
      <c r="B1231" s="8" t="s">
        <v>5755</v>
      </c>
      <c r="C1231" s="8" t="s">
        <v>5755</v>
      </c>
      <c r="F1231" s="47"/>
      <c r="G1231" s="8">
        <v>19</v>
      </c>
      <c r="H1231" s="8" t="s">
        <v>21</v>
      </c>
      <c r="I1231" s="8" t="s">
        <v>22</v>
      </c>
      <c r="J1231" s="8" t="s">
        <v>22</v>
      </c>
      <c r="K1231" s="8" t="s">
        <v>5756</v>
      </c>
      <c r="L1231" s="8" t="s">
        <v>3328</v>
      </c>
      <c r="M1231" s="8" t="s">
        <v>3329</v>
      </c>
      <c r="N1231" s="8" t="s">
        <v>5757</v>
      </c>
      <c r="O1231" s="8">
        <f>3+8/60+16.3/3600</f>
        <v>3.137861111111111</v>
      </c>
      <c r="P1231" s="8" t="s">
        <v>5758</v>
      </c>
      <c r="Q1231" s="8">
        <f>-(22+59/60+2/3600)</f>
        <v>-22.983888888888888</v>
      </c>
      <c r="R1231" s="8">
        <v>14.4</v>
      </c>
      <c r="S1231" s="8">
        <v>15.4</v>
      </c>
      <c r="T1231" s="8">
        <v>1</v>
      </c>
      <c r="U1231" s="8">
        <v>12</v>
      </c>
      <c r="V1231" s="8">
        <v>0.6</v>
      </c>
      <c r="W1231" s="8">
        <v>0.2</v>
      </c>
      <c r="X1231" s="8">
        <v>107</v>
      </c>
      <c r="Y1231" s="8" t="s">
        <v>5759</v>
      </c>
      <c r="Z1231" s="8" t="s">
        <v>5760</v>
      </c>
    </row>
    <row r="1232" spans="1:26" x14ac:dyDescent="0.2">
      <c r="A1232" s="8">
        <v>1231</v>
      </c>
      <c r="B1232" s="8" t="s">
        <v>5761</v>
      </c>
      <c r="C1232" s="8" t="s">
        <v>5761</v>
      </c>
      <c r="F1232" s="47"/>
      <c r="G1232" s="8">
        <v>19</v>
      </c>
      <c r="H1232" s="8" t="s">
        <v>21</v>
      </c>
      <c r="I1232" s="8" t="s">
        <v>22</v>
      </c>
      <c r="J1232" s="8" t="s">
        <v>22</v>
      </c>
      <c r="K1232" s="8" t="s">
        <v>160</v>
      </c>
      <c r="L1232" s="8" t="s">
        <v>3328</v>
      </c>
      <c r="M1232" s="8" t="s">
        <v>3329</v>
      </c>
      <c r="N1232" s="8" t="s">
        <v>5762</v>
      </c>
      <c r="O1232" s="8">
        <f>3+6/60+29.3/3600</f>
        <v>3.108138888888889</v>
      </c>
      <c r="P1232" s="8" t="s">
        <v>5763</v>
      </c>
      <c r="Q1232" s="8">
        <f>-(15+34/60+9/3600)</f>
        <v>-15.569166666666666</v>
      </c>
      <c r="R1232" s="8">
        <v>14.2</v>
      </c>
      <c r="S1232" s="8">
        <v>14.9</v>
      </c>
      <c r="T1232" s="8">
        <v>0.7</v>
      </c>
      <c r="U1232" s="8">
        <v>13.6</v>
      </c>
      <c r="V1232" s="8">
        <v>0.8</v>
      </c>
      <c r="W1232" s="8">
        <v>0.8</v>
      </c>
      <c r="Y1232" s="8" t="s">
        <v>5764</v>
      </c>
      <c r="Z1232" s="8" t="s">
        <v>5765</v>
      </c>
    </row>
    <row r="1233" spans="1:26" x14ac:dyDescent="0.2">
      <c r="A1233" s="8">
        <v>1232</v>
      </c>
      <c r="B1233" s="8" t="s">
        <v>5766</v>
      </c>
      <c r="C1233" s="8" t="s">
        <v>5766</v>
      </c>
      <c r="F1233" s="47" t="s">
        <v>56274</v>
      </c>
      <c r="G1233" s="8">
        <v>3</v>
      </c>
      <c r="H1233" s="8" t="s">
        <v>5767</v>
      </c>
      <c r="I1233" s="8" t="s">
        <v>22</v>
      </c>
      <c r="J1233" s="8" t="s">
        <v>22</v>
      </c>
      <c r="K1233" s="8" t="s">
        <v>64</v>
      </c>
      <c r="L1233" s="8" t="s">
        <v>3328</v>
      </c>
      <c r="M1233" s="8" t="s">
        <v>3329</v>
      </c>
      <c r="N1233" s="8" t="s">
        <v>5768</v>
      </c>
      <c r="O1233" s="8">
        <f>3+9/60+45.3/3600</f>
        <v>3.1625833333333331</v>
      </c>
      <c r="P1233" s="8" t="s">
        <v>5769</v>
      </c>
      <c r="Q1233" s="8">
        <f>-(20+34/60+45/3600)</f>
        <v>-20.579166666666666</v>
      </c>
      <c r="R1233" s="8">
        <v>9.9</v>
      </c>
      <c r="S1233" s="8">
        <v>10.5</v>
      </c>
      <c r="T1233" s="8">
        <v>0.6</v>
      </c>
      <c r="U1233" s="8">
        <v>13.9</v>
      </c>
      <c r="V1233" s="8">
        <v>7.4</v>
      </c>
      <c r="W1233" s="8">
        <v>6.5</v>
      </c>
      <c r="X1233" s="8">
        <v>108</v>
      </c>
      <c r="Y1233" s="8" t="s">
        <v>5770</v>
      </c>
      <c r="Z1233" s="8" t="s">
        <v>5771</v>
      </c>
    </row>
    <row r="1234" spans="1:26" x14ac:dyDescent="0.2">
      <c r="A1234" s="8">
        <v>1233</v>
      </c>
      <c r="B1234" s="8" t="s">
        <v>5772</v>
      </c>
      <c r="C1234" s="8" t="s">
        <v>5772</v>
      </c>
      <c r="F1234" s="47"/>
      <c r="G1234" s="8">
        <v>18</v>
      </c>
      <c r="H1234" s="8" t="s">
        <v>21</v>
      </c>
      <c r="I1234" s="8" t="s">
        <v>22</v>
      </c>
      <c r="J1234" s="8" t="s">
        <v>22</v>
      </c>
      <c r="K1234" s="8" t="s">
        <v>23</v>
      </c>
      <c r="L1234" s="8" t="s">
        <v>3147</v>
      </c>
      <c r="M1234" s="8" t="s">
        <v>3148</v>
      </c>
      <c r="N1234" s="8" t="s">
        <v>5773</v>
      </c>
      <c r="O1234" s="8">
        <f>3+12/60+33.1/3600</f>
        <v>3.2091944444444445</v>
      </c>
      <c r="P1234" s="8" t="s">
        <v>5774</v>
      </c>
      <c r="Q1234" s="8">
        <f>+(39+19/60+9/3600)</f>
        <v>39.319166666666668</v>
      </c>
      <c r="R1234" s="8">
        <v>13.2</v>
      </c>
      <c r="S1234" s="8">
        <v>14</v>
      </c>
      <c r="T1234" s="8">
        <v>0.8</v>
      </c>
      <c r="U1234" s="8">
        <v>13.2</v>
      </c>
      <c r="V1234" s="8">
        <v>1.8</v>
      </c>
      <c r="W1234" s="8">
        <v>0.6</v>
      </c>
      <c r="X1234" s="8">
        <v>27</v>
      </c>
      <c r="Y1234" s="8" t="s">
        <v>5775</v>
      </c>
      <c r="Z1234" s="8" t="s">
        <v>5776</v>
      </c>
    </row>
    <row r="1235" spans="1:26" x14ac:dyDescent="0.2">
      <c r="A1235" s="8">
        <v>1234</v>
      </c>
      <c r="B1235" s="8" t="s">
        <v>5777</v>
      </c>
      <c r="C1235" s="8" t="s">
        <v>5777</v>
      </c>
      <c r="F1235" s="47"/>
      <c r="G1235" s="8">
        <v>19</v>
      </c>
      <c r="H1235" s="8" t="s">
        <v>21</v>
      </c>
      <c r="I1235" s="8" t="s">
        <v>22</v>
      </c>
      <c r="J1235" s="8" t="s">
        <v>22</v>
      </c>
      <c r="K1235" s="8" t="s">
        <v>1277</v>
      </c>
      <c r="L1235" s="8" t="s">
        <v>3328</v>
      </c>
      <c r="M1235" s="8" t="s">
        <v>3329</v>
      </c>
      <c r="N1235" s="8" t="s">
        <v>5778</v>
      </c>
      <c r="O1235" s="8">
        <f>3+9/60+39/3600</f>
        <v>3.1608333333333332</v>
      </c>
      <c r="P1235" s="8" t="s">
        <v>5779</v>
      </c>
      <c r="Q1235" s="8">
        <f>-(7+50/60+45/3600)</f>
        <v>-7.8458333333333332</v>
      </c>
      <c r="R1235" s="8">
        <v>14.2</v>
      </c>
      <c r="S1235" s="8">
        <v>14.9</v>
      </c>
      <c r="T1235" s="8">
        <v>0.7</v>
      </c>
      <c r="U1235" s="8">
        <v>14.6</v>
      </c>
      <c r="V1235" s="8">
        <v>1.8</v>
      </c>
      <c r="W1235" s="8">
        <v>0.9</v>
      </c>
      <c r="X1235" s="8">
        <v>141</v>
      </c>
      <c r="Y1235" s="8" t="s">
        <v>5780</v>
      </c>
      <c r="Z1235" s="8" t="s">
        <v>5781</v>
      </c>
    </row>
    <row r="1236" spans="1:26" x14ac:dyDescent="0.2">
      <c r="A1236" s="8">
        <v>1235</v>
      </c>
      <c r="B1236" s="8" t="s">
        <v>5782</v>
      </c>
      <c r="C1236" s="8" t="s">
        <v>5782</v>
      </c>
      <c r="F1236" s="47"/>
      <c r="G1236" s="8">
        <v>19</v>
      </c>
      <c r="H1236" s="8" t="s">
        <v>21</v>
      </c>
      <c r="I1236" s="8" t="s">
        <v>22</v>
      </c>
      <c r="J1236" s="8" t="s">
        <v>57</v>
      </c>
      <c r="K1236" s="8" t="s">
        <v>23</v>
      </c>
      <c r="L1236" s="8" t="s">
        <v>3147</v>
      </c>
      <c r="M1236" s="8" t="s">
        <v>3148</v>
      </c>
      <c r="N1236" s="8" t="s">
        <v>5773</v>
      </c>
      <c r="O1236" s="8">
        <f>3+12/60+33.1/3600</f>
        <v>3.2091944444444445</v>
      </c>
      <c r="P1236" s="8" t="s">
        <v>5774</v>
      </c>
      <c r="Q1236" s="8">
        <f>+(39+19/60+9/3600)</f>
        <v>39.319166666666668</v>
      </c>
      <c r="R1236" s="8">
        <v>13.2</v>
      </c>
      <c r="S1236" s="8">
        <v>14</v>
      </c>
      <c r="T1236" s="8">
        <v>0.8</v>
      </c>
      <c r="U1236" s="8">
        <v>13.2</v>
      </c>
      <c r="V1236" s="8">
        <v>1.8</v>
      </c>
      <c r="W1236" s="8">
        <v>0.6</v>
      </c>
      <c r="X1236" s="8">
        <v>27</v>
      </c>
      <c r="Y1236" s="8" t="s">
        <v>5775</v>
      </c>
      <c r="Z1236" s="8" t="s">
        <v>680</v>
      </c>
    </row>
    <row r="1237" spans="1:26" x14ac:dyDescent="0.2">
      <c r="A1237" s="8">
        <v>1236</v>
      </c>
      <c r="B1237" s="8" t="s">
        <v>5783</v>
      </c>
      <c r="C1237" s="8" t="s">
        <v>5783</v>
      </c>
      <c r="F1237" s="47"/>
      <c r="G1237" s="8">
        <v>18</v>
      </c>
      <c r="H1237" s="8" t="s">
        <v>21</v>
      </c>
      <c r="I1237" s="8" t="s">
        <v>22</v>
      </c>
      <c r="J1237" s="8" t="s">
        <v>22</v>
      </c>
      <c r="K1237" s="8" t="s">
        <v>449</v>
      </c>
      <c r="L1237" s="8" t="s">
        <v>3256</v>
      </c>
      <c r="M1237" s="8" t="s">
        <v>3257</v>
      </c>
      <c r="N1237" s="8" t="s">
        <v>5784</v>
      </c>
      <c r="O1237" s="8">
        <f>3+11/60+27.9/3600</f>
        <v>3.1910833333333333</v>
      </c>
      <c r="P1237" s="8" t="s">
        <v>5785</v>
      </c>
      <c r="Q1237" s="8">
        <f>+(10+48/60+32/3600)</f>
        <v>10.808888888888889</v>
      </c>
      <c r="R1237" s="8">
        <v>14.8</v>
      </c>
      <c r="S1237" s="8">
        <v>15.6</v>
      </c>
      <c r="T1237" s="8">
        <v>0.8</v>
      </c>
      <c r="U1237" s="8">
        <v>14</v>
      </c>
      <c r="V1237" s="8">
        <v>0.9</v>
      </c>
      <c r="W1237" s="8">
        <v>0.6</v>
      </c>
      <c r="X1237" s="8">
        <v>27</v>
      </c>
      <c r="Y1237" s="8" t="s">
        <v>385</v>
      </c>
      <c r="Z1237" s="8" t="s">
        <v>386</v>
      </c>
    </row>
    <row r="1238" spans="1:26" x14ac:dyDescent="0.2">
      <c r="A1238" s="8">
        <v>1237</v>
      </c>
      <c r="B1238" s="8" t="s">
        <v>5786</v>
      </c>
      <c r="C1238" s="8" t="s">
        <v>5786</v>
      </c>
      <c r="F1238" s="47"/>
      <c r="G1238" s="8">
        <v>19</v>
      </c>
      <c r="H1238" s="8" t="s">
        <v>21</v>
      </c>
      <c r="I1238" s="8" t="s">
        <v>72</v>
      </c>
      <c r="J1238" s="8" t="s">
        <v>72</v>
      </c>
      <c r="K1238" s="8" t="s">
        <v>73</v>
      </c>
      <c r="L1238" s="8" t="s">
        <v>3328</v>
      </c>
      <c r="M1238" s="8" t="s">
        <v>3329</v>
      </c>
      <c r="N1238" s="8" t="s">
        <v>5787</v>
      </c>
      <c r="O1238" s="8">
        <f>3+10/60+8.9/3600</f>
        <v>3.1691388888888889</v>
      </c>
      <c r="P1238" s="8" t="s">
        <v>5788</v>
      </c>
      <c r="Q1238" s="8">
        <f>-(8+41/60+31/3600)</f>
        <v>-8.6919444444444451</v>
      </c>
      <c r="R1238" s="8">
        <v>99</v>
      </c>
      <c r="S1238" s="8">
        <v>99</v>
      </c>
      <c r="T1238" s="8">
        <v>99</v>
      </c>
      <c r="U1238" s="8">
        <v>99</v>
      </c>
      <c r="Y1238" s="8" t="s">
        <v>5789</v>
      </c>
      <c r="Z1238" s="8" t="s">
        <v>5790</v>
      </c>
    </row>
    <row r="1239" spans="1:26" x14ac:dyDescent="0.2">
      <c r="A1239" s="8">
        <v>1238</v>
      </c>
      <c r="B1239" s="8" t="s">
        <v>5791</v>
      </c>
      <c r="C1239" s="8" t="s">
        <v>5791</v>
      </c>
      <c r="F1239" s="47"/>
      <c r="G1239" s="8">
        <v>19</v>
      </c>
      <c r="H1239" s="8" t="s">
        <v>21</v>
      </c>
      <c r="I1239" s="8" t="s">
        <v>22</v>
      </c>
      <c r="J1239" s="8" t="s">
        <v>22</v>
      </c>
      <c r="K1239" s="8" t="s">
        <v>382</v>
      </c>
      <c r="L1239" s="8" t="s">
        <v>3328</v>
      </c>
      <c r="M1239" s="8" t="s">
        <v>3329</v>
      </c>
      <c r="N1239" s="8" t="s">
        <v>5792</v>
      </c>
      <c r="O1239" s="8">
        <f>3+10/60+52.6/3600</f>
        <v>3.1812777777777774</v>
      </c>
      <c r="P1239" s="8" t="s">
        <v>5793</v>
      </c>
      <c r="Q1239" s="8">
        <f>-(10+44/60+51/3600)</f>
        <v>-10.747499999999999</v>
      </c>
      <c r="R1239" s="8">
        <v>13.3</v>
      </c>
      <c r="S1239" s="8">
        <v>14.3</v>
      </c>
      <c r="T1239" s="8">
        <v>1</v>
      </c>
      <c r="U1239" s="8">
        <v>14.1</v>
      </c>
      <c r="V1239" s="8">
        <v>1.6</v>
      </c>
      <c r="W1239" s="8">
        <v>1.2</v>
      </c>
      <c r="X1239" s="8">
        <v>110</v>
      </c>
      <c r="Y1239" s="8" t="s">
        <v>5794</v>
      </c>
      <c r="Z1239" s="8" t="s">
        <v>5795</v>
      </c>
    </row>
    <row r="1240" spans="1:26" x14ac:dyDescent="0.2">
      <c r="A1240" s="8">
        <v>1239</v>
      </c>
      <c r="B1240" s="8" t="s">
        <v>5796</v>
      </c>
      <c r="C1240" s="8" t="s">
        <v>5796</v>
      </c>
      <c r="F1240" s="47" t="s">
        <v>56275</v>
      </c>
      <c r="G1240" s="8">
        <v>15</v>
      </c>
      <c r="H1240" s="8" t="s">
        <v>21</v>
      </c>
      <c r="I1240" s="8" t="s">
        <v>22</v>
      </c>
      <c r="J1240" s="8" t="s">
        <v>22</v>
      </c>
      <c r="K1240" s="8" t="s">
        <v>37</v>
      </c>
      <c r="L1240" s="8" t="s">
        <v>3328</v>
      </c>
      <c r="M1240" s="8" t="s">
        <v>3329</v>
      </c>
      <c r="N1240" s="8" t="s">
        <v>5797</v>
      </c>
      <c r="O1240" s="8">
        <f>3+10/60+53.7/3600</f>
        <v>3.1815833333333332</v>
      </c>
      <c r="P1240" s="8" t="s">
        <v>5798</v>
      </c>
      <c r="Q1240" s="8">
        <f>-(2+33/60+9/3600)</f>
        <v>-2.5524999999999998</v>
      </c>
      <c r="R1240" s="8">
        <v>13.6</v>
      </c>
      <c r="S1240" s="8">
        <v>14.6</v>
      </c>
      <c r="T1240" s="8">
        <v>1</v>
      </c>
      <c r="U1240" s="8">
        <v>13.1</v>
      </c>
      <c r="V1240" s="8">
        <v>1.2</v>
      </c>
      <c r="W1240" s="8">
        <v>0.6</v>
      </c>
      <c r="X1240" s="8">
        <v>44</v>
      </c>
      <c r="Y1240" s="8" t="s">
        <v>5799</v>
      </c>
      <c r="Z1240" s="8" t="s">
        <v>5800</v>
      </c>
    </row>
    <row r="1241" spans="1:26" x14ac:dyDescent="0.2">
      <c r="A1241" s="8">
        <v>1240</v>
      </c>
      <c r="B1241" s="8" t="s">
        <v>5801</v>
      </c>
      <c r="C1241" s="8" t="s">
        <v>5801</v>
      </c>
      <c r="F1241" s="47" t="s">
        <v>56276</v>
      </c>
      <c r="G1241" s="8">
        <v>15</v>
      </c>
      <c r="H1241" s="8" t="s">
        <v>21</v>
      </c>
      <c r="I1241" s="8" t="s">
        <v>72</v>
      </c>
      <c r="J1241" s="8" t="s">
        <v>72</v>
      </c>
      <c r="K1241" s="8" t="s">
        <v>5802</v>
      </c>
      <c r="L1241" s="8" t="s">
        <v>3256</v>
      </c>
      <c r="M1241" s="8" t="s">
        <v>3257</v>
      </c>
      <c r="N1241" s="8" t="s">
        <v>5803</v>
      </c>
      <c r="O1241" s="8">
        <f>3+13/60+26.6/3600</f>
        <v>3.2240555555555557</v>
      </c>
      <c r="P1241" s="8" t="s">
        <v>5804</v>
      </c>
      <c r="Q1241" s="8">
        <f>+(30+30/60+27/3600)</f>
        <v>30.5075</v>
      </c>
      <c r="R1241" s="8">
        <v>99</v>
      </c>
      <c r="S1241" s="8">
        <v>99</v>
      </c>
      <c r="T1241" s="8">
        <v>99</v>
      </c>
      <c r="U1241" s="8">
        <v>99</v>
      </c>
      <c r="Y1241" s="8" t="s">
        <v>5805</v>
      </c>
      <c r="Z1241" s="8" t="s">
        <v>5806</v>
      </c>
    </row>
    <row r="1242" spans="1:26" x14ac:dyDescent="0.2">
      <c r="A1242" s="8">
        <v>1241</v>
      </c>
      <c r="B1242" s="8" t="s">
        <v>5807</v>
      </c>
      <c r="C1242" s="8" t="s">
        <v>5807</v>
      </c>
      <c r="F1242" s="47" t="s">
        <v>56277</v>
      </c>
      <c r="G1242" s="8">
        <v>13</v>
      </c>
      <c r="H1242" s="8" t="s">
        <v>21</v>
      </c>
      <c r="I1242" s="8" t="s">
        <v>22</v>
      </c>
      <c r="J1242" s="8" t="s">
        <v>22</v>
      </c>
      <c r="K1242" s="8" t="s">
        <v>218</v>
      </c>
      <c r="L1242" s="8" t="s">
        <v>3328</v>
      </c>
      <c r="M1242" s="8" t="s">
        <v>3329</v>
      </c>
      <c r="N1242" s="8" t="s">
        <v>5808</v>
      </c>
      <c r="O1242" s="8">
        <f>3+11/60+14.6/3600</f>
        <v>3.1873888888888886</v>
      </c>
      <c r="P1242" s="8" t="s">
        <v>5809</v>
      </c>
      <c r="Q1242" s="8">
        <f>-(8+55/60+20/3600)</f>
        <v>-8.9222222222222225</v>
      </c>
      <c r="R1242" s="8">
        <v>12</v>
      </c>
      <c r="S1242" s="8">
        <v>12.9</v>
      </c>
      <c r="T1242" s="8">
        <v>0.9</v>
      </c>
      <c r="U1242" s="8">
        <v>13.7</v>
      </c>
      <c r="V1242" s="8">
        <v>3.4</v>
      </c>
      <c r="W1242" s="8">
        <v>1.6</v>
      </c>
      <c r="X1242" s="8">
        <v>145</v>
      </c>
      <c r="Y1242" s="8" t="s">
        <v>5810</v>
      </c>
      <c r="Z1242" s="8" t="s">
        <v>5811</v>
      </c>
    </row>
    <row r="1243" spans="1:26" x14ac:dyDescent="0.2">
      <c r="A1243" s="8">
        <v>1242</v>
      </c>
      <c r="B1243" s="8" t="s">
        <v>5812</v>
      </c>
      <c r="C1243" s="8" t="s">
        <v>5812</v>
      </c>
      <c r="F1243" s="47" t="s">
        <v>56278</v>
      </c>
      <c r="G1243" s="8">
        <v>15</v>
      </c>
      <c r="H1243" s="8" t="s">
        <v>21</v>
      </c>
      <c r="I1243" s="8" t="s">
        <v>22</v>
      </c>
      <c r="J1243" s="8" t="s">
        <v>22</v>
      </c>
      <c r="K1243" s="8" t="s">
        <v>64</v>
      </c>
      <c r="L1243" s="8" t="s">
        <v>3328</v>
      </c>
      <c r="M1243" s="8" t="s">
        <v>3329</v>
      </c>
      <c r="N1243" s="8" t="s">
        <v>5813</v>
      </c>
      <c r="O1243" s="8">
        <f>3+11/60+19.3/3600</f>
        <v>3.1886944444444443</v>
      </c>
      <c r="P1243" s="8" t="s">
        <v>5814</v>
      </c>
      <c r="Q1243" s="8">
        <f>-(8+54/60+11/3600)</f>
        <v>-8.9030555555555555</v>
      </c>
      <c r="R1243" s="8">
        <v>13.7</v>
      </c>
      <c r="S1243" s="8">
        <v>14.3</v>
      </c>
      <c r="T1243" s="8">
        <v>0.6</v>
      </c>
      <c r="U1243" s="8">
        <v>13.3</v>
      </c>
      <c r="V1243" s="8">
        <v>1.2</v>
      </c>
      <c r="W1243" s="8">
        <v>0.6</v>
      </c>
      <c r="X1243" s="8">
        <v>130</v>
      </c>
      <c r="Y1243" s="8" t="s">
        <v>5810</v>
      </c>
      <c r="Z1243" s="8" t="s">
        <v>1512</v>
      </c>
    </row>
    <row r="1244" spans="1:26" x14ac:dyDescent="0.2">
      <c r="A1244" s="8">
        <v>1243</v>
      </c>
      <c r="B1244" s="8" t="s">
        <v>5815</v>
      </c>
      <c r="C1244" s="8" t="s">
        <v>5815</v>
      </c>
      <c r="F1244" s="47"/>
      <c r="G1244" s="8">
        <v>16</v>
      </c>
      <c r="H1244" s="8" t="s">
        <v>21</v>
      </c>
      <c r="I1244" s="8" t="s">
        <v>72</v>
      </c>
      <c r="J1244" s="8" t="s">
        <v>72</v>
      </c>
      <c r="K1244" s="8" t="s">
        <v>73</v>
      </c>
      <c r="L1244" s="8" t="s">
        <v>3328</v>
      </c>
      <c r="M1244" s="8" t="s">
        <v>3329</v>
      </c>
      <c r="N1244" s="8" t="s">
        <v>5816</v>
      </c>
      <c r="O1244" s="8">
        <f>3+11/60+25.4/3600</f>
        <v>3.1903888888888887</v>
      </c>
      <c r="P1244" s="8" t="s">
        <v>5817</v>
      </c>
      <c r="Q1244" s="8">
        <f>-(8+56/60+43/3600)</f>
        <v>-8.9452777777777772</v>
      </c>
      <c r="R1244" s="8">
        <v>99</v>
      </c>
      <c r="S1244" s="8">
        <v>99</v>
      </c>
      <c r="T1244" s="8">
        <v>99</v>
      </c>
      <c r="U1244" s="8">
        <v>99</v>
      </c>
      <c r="Y1244" s="8" t="s">
        <v>2181</v>
      </c>
      <c r="Z1244" s="8" t="s">
        <v>2182</v>
      </c>
    </row>
    <row r="1245" spans="1:26" x14ac:dyDescent="0.2">
      <c r="A1245" s="8">
        <v>1244</v>
      </c>
      <c r="B1245" s="8" t="s">
        <v>5818</v>
      </c>
      <c r="C1245" s="8" t="s">
        <v>5818</v>
      </c>
      <c r="F1245" s="47"/>
      <c r="G1245" s="8">
        <v>16</v>
      </c>
      <c r="H1245" s="8" t="s">
        <v>21</v>
      </c>
      <c r="I1245" s="8" t="s">
        <v>22</v>
      </c>
      <c r="J1245" s="8" t="s">
        <v>22</v>
      </c>
      <c r="K1245" s="8" t="s">
        <v>31</v>
      </c>
      <c r="L1245" s="8" t="s">
        <v>4263</v>
      </c>
      <c r="M1245" s="8" t="s">
        <v>4264</v>
      </c>
      <c r="N1245" s="8" t="s">
        <v>5819</v>
      </c>
      <c r="O1245" s="8">
        <f>3+6/60+31/3600</f>
        <v>3.1086111111111112</v>
      </c>
      <c r="P1245" s="8" t="s">
        <v>5820</v>
      </c>
      <c r="Q1245" s="8">
        <f>-(66+46/60+33/3600)</f>
        <v>-66.775833333333338</v>
      </c>
      <c r="R1245" s="8">
        <v>12.8</v>
      </c>
      <c r="S1245" s="8">
        <v>13.6</v>
      </c>
      <c r="T1245" s="8">
        <v>0.8</v>
      </c>
      <c r="U1245" s="8">
        <v>12.4</v>
      </c>
      <c r="V1245" s="8">
        <v>1.9</v>
      </c>
      <c r="W1245" s="8">
        <v>0.4</v>
      </c>
      <c r="X1245" s="8">
        <v>2</v>
      </c>
      <c r="Y1245" s="8" t="s">
        <v>5821</v>
      </c>
      <c r="Z1245" s="8" t="s">
        <v>5822</v>
      </c>
    </row>
    <row r="1246" spans="1:26" x14ac:dyDescent="0.2">
      <c r="A1246" s="8">
        <v>1245</v>
      </c>
      <c r="B1246" s="8" t="s">
        <v>5823</v>
      </c>
      <c r="C1246" s="8" t="s">
        <v>5823</v>
      </c>
      <c r="F1246" s="47" t="s">
        <v>56279</v>
      </c>
      <c r="G1246" s="8">
        <v>6</v>
      </c>
      <c r="H1246" s="8" t="s">
        <v>5824</v>
      </c>
      <c r="I1246" s="8" t="s">
        <v>557</v>
      </c>
      <c r="J1246" s="8" t="s">
        <v>557</v>
      </c>
      <c r="K1246" s="8" t="s">
        <v>5825</v>
      </c>
      <c r="L1246" s="8" t="s">
        <v>3147</v>
      </c>
      <c r="M1246" s="8" t="s">
        <v>3148</v>
      </c>
      <c r="N1246" s="8" t="s">
        <v>5826</v>
      </c>
      <c r="O1246" s="8">
        <f>3+14/60+41.4/3600</f>
        <v>3.2448333333333332</v>
      </c>
      <c r="P1246" s="8" t="s">
        <v>5827</v>
      </c>
      <c r="Q1246" s="8">
        <f>+(47+14/60+19/3600)</f>
        <v>47.238611111111112</v>
      </c>
      <c r="R1246" s="8">
        <v>8.4</v>
      </c>
      <c r="S1246" s="8">
        <v>99</v>
      </c>
      <c r="T1246" s="8">
        <v>99</v>
      </c>
      <c r="U1246" s="8">
        <v>99</v>
      </c>
      <c r="V1246" s="8">
        <v>10</v>
      </c>
      <c r="Y1246" s="8" t="s">
        <v>5828</v>
      </c>
      <c r="Z1246" s="8" t="s">
        <v>5829</v>
      </c>
    </row>
    <row r="1247" spans="1:26" x14ac:dyDescent="0.2">
      <c r="A1247" s="8">
        <v>1246</v>
      </c>
      <c r="B1247" s="8" t="s">
        <v>5830</v>
      </c>
      <c r="C1247" s="8" t="s">
        <v>5830</v>
      </c>
      <c r="F1247" s="47"/>
      <c r="G1247" s="8">
        <v>16</v>
      </c>
      <c r="H1247" s="8" t="s">
        <v>21</v>
      </c>
      <c r="I1247" s="8" t="s">
        <v>22</v>
      </c>
      <c r="J1247" s="8" t="s">
        <v>22</v>
      </c>
      <c r="K1247" s="8" t="s">
        <v>1068</v>
      </c>
      <c r="L1247" s="8" t="s">
        <v>4263</v>
      </c>
      <c r="M1247" s="8" t="s">
        <v>4264</v>
      </c>
      <c r="N1247" s="8" t="s">
        <v>5831</v>
      </c>
      <c r="O1247" s="8">
        <f>3+7/60+2.3/3600</f>
        <v>3.1173055555555558</v>
      </c>
      <c r="P1247" s="8" t="s">
        <v>5832</v>
      </c>
      <c r="Q1247" s="8">
        <f>-(66+56/60+18/3600)</f>
        <v>-66.938333333333333</v>
      </c>
      <c r="R1247" s="8">
        <v>12.9</v>
      </c>
      <c r="S1247" s="8">
        <v>13.9</v>
      </c>
      <c r="T1247" s="8">
        <v>1</v>
      </c>
      <c r="U1247" s="8">
        <v>13</v>
      </c>
      <c r="V1247" s="8">
        <v>1.3</v>
      </c>
      <c r="W1247" s="8">
        <v>0.8</v>
      </c>
      <c r="X1247" s="8">
        <v>31</v>
      </c>
      <c r="Y1247" s="8" t="s">
        <v>2171</v>
      </c>
      <c r="Z1247" s="8" t="s">
        <v>2172</v>
      </c>
    </row>
    <row r="1248" spans="1:26" x14ac:dyDescent="0.2">
      <c r="A1248" s="8">
        <v>1247</v>
      </c>
      <c r="B1248" s="8" t="s">
        <v>5833</v>
      </c>
      <c r="C1248" s="8" t="s">
        <v>5833</v>
      </c>
      <c r="F1248" s="47" t="s">
        <v>56280</v>
      </c>
      <c r="G1248" s="8">
        <v>15</v>
      </c>
      <c r="H1248" s="8" t="s">
        <v>21</v>
      </c>
      <c r="I1248" s="8" t="s">
        <v>22</v>
      </c>
      <c r="J1248" s="8" t="s">
        <v>22</v>
      </c>
      <c r="K1248" s="8" t="s">
        <v>396</v>
      </c>
      <c r="L1248" s="8" t="s">
        <v>3328</v>
      </c>
      <c r="M1248" s="8" t="s">
        <v>3329</v>
      </c>
      <c r="N1248" s="8" t="s">
        <v>5834</v>
      </c>
      <c r="O1248" s="8">
        <f>3+12/60+14.3/3600</f>
        <v>3.2039722222222222</v>
      </c>
      <c r="P1248" s="8" t="s">
        <v>5835</v>
      </c>
      <c r="Q1248" s="8">
        <f>-(10+28/60+52/3600)</f>
        <v>-10.481111111111112</v>
      </c>
      <c r="R1248" s="8">
        <v>12.5</v>
      </c>
      <c r="S1248" s="8">
        <v>13.5</v>
      </c>
      <c r="T1248" s="8">
        <v>1</v>
      </c>
      <c r="U1248" s="8">
        <v>12.9</v>
      </c>
      <c r="V1248" s="8">
        <v>3.4</v>
      </c>
      <c r="W1248" s="8">
        <v>0.5</v>
      </c>
      <c r="X1248" s="8">
        <v>69</v>
      </c>
      <c r="Y1248" s="8" t="s">
        <v>5836</v>
      </c>
      <c r="Z1248" s="8" t="s">
        <v>5837</v>
      </c>
    </row>
    <row r="1249" spans="1:26" x14ac:dyDescent="0.2">
      <c r="A1249" s="8">
        <v>1248</v>
      </c>
      <c r="B1249" s="8" t="s">
        <v>5838</v>
      </c>
      <c r="C1249" s="8" t="s">
        <v>5838</v>
      </c>
      <c r="F1249" s="47" t="s">
        <v>56281</v>
      </c>
      <c r="G1249" s="8">
        <v>15</v>
      </c>
      <c r="H1249" s="8" t="s">
        <v>21</v>
      </c>
      <c r="I1249" s="8" t="s">
        <v>22</v>
      </c>
      <c r="J1249" s="8" t="s">
        <v>22</v>
      </c>
      <c r="K1249" s="8" t="s">
        <v>37</v>
      </c>
      <c r="L1249" s="8" t="s">
        <v>3328</v>
      </c>
      <c r="M1249" s="8" t="s">
        <v>3329</v>
      </c>
      <c r="N1249" s="8" t="s">
        <v>5839</v>
      </c>
      <c r="O1249" s="8">
        <f>3+12/60+48.4/3600</f>
        <v>3.2134444444444448</v>
      </c>
      <c r="P1249" s="8" t="s">
        <v>5840</v>
      </c>
      <c r="Q1249" s="8">
        <f>-(5+13/60+29/3600)</f>
        <v>-5.2247222222222227</v>
      </c>
      <c r="R1249" s="8">
        <v>12.5</v>
      </c>
      <c r="S1249" s="8">
        <v>13.4</v>
      </c>
      <c r="T1249" s="8">
        <v>0.9</v>
      </c>
      <c r="U1249" s="8">
        <v>12.5</v>
      </c>
      <c r="V1249" s="8">
        <v>1.2</v>
      </c>
      <c r="W1249" s="8">
        <v>1</v>
      </c>
      <c r="X1249" s="8">
        <v>90</v>
      </c>
      <c r="Y1249" s="8" t="s">
        <v>5841</v>
      </c>
      <c r="Z1249" s="8" t="s">
        <v>5842</v>
      </c>
    </row>
    <row r="1250" spans="1:26" x14ac:dyDescent="0.2">
      <c r="A1250" s="8">
        <v>1249</v>
      </c>
      <c r="B1250" s="8" t="s">
        <v>5843</v>
      </c>
      <c r="C1250" s="8" t="s">
        <v>5843</v>
      </c>
      <c r="F1250" s="47"/>
      <c r="G1250" s="8">
        <v>13</v>
      </c>
      <c r="H1250" s="8" t="s">
        <v>21</v>
      </c>
      <c r="I1250" s="8" t="s">
        <v>22</v>
      </c>
      <c r="J1250" s="8" t="s">
        <v>22</v>
      </c>
      <c r="K1250" s="8" t="s">
        <v>64</v>
      </c>
      <c r="L1250" s="8" t="s">
        <v>4263</v>
      </c>
      <c r="M1250" s="8" t="s">
        <v>4264</v>
      </c>
      <c r="N1250" s="8" t="s">
        <v>5844</v>
      </c>
      <c r="O1250" s="8">
        <f>3+10/60+1.1/3600</f>
        <v>3.1669722222222219</v>
      </c>
      <c r="P1250" s="8" t="s">
        <v>5845</v>
      </c>
      <c r="Q1250" s="8">
        <f>-(53+20/60+10/3600)</f>
        <v>-53.336111111111116</v>
      </c>
      <c r="R1250" s="8">
        <v>11.8</v>
      </c>
      <c r="S1250" s="8">
        <v>12.2</v>
      </c>
      <c r="T1250" s="8">
        <v>0.4</v>
      </c>
      <c r="U1250" s="8">
        <v>14.3</v>
      </c>
      <c r="V1250" s="8">
        <v>4.7</v>
      </c>
      <c r="W1250" s="8">
        <v>2.5</v>
      </c>
      <c r="X1250" s="8">
        <v>86</v>
      </c>
      <c r="Y1250" s="8" t="s">
        <v>5846</v>
      </c>
      <c r="Z1250" s="8" t="s">
        <v>5847</v>
      </c>
    </row>
    <row r="1251" spans="1:26" x14ac:dyDescent="0.2">
      <c r="A1251" s="8">
        <v>1250</v>
      </c>
      <c r="B1251" s="8" t="s">
        <v>5848</v>
      </c>
      <c r="C1251" s="8" t="s">
        <v>5848</v>
      </c>
      <c r="F1251" s="47"/>
      <c r="G1251" s="8">
        <v>19</v>
      </c>
      <c r="H1251" s="8" t="s">
        <v>21</v>
      </c>
      <c r="I1251" s="8" t="s">
        <v>22</v>
      </c>
      <c r="J1251" s="8" t="s">
        <v>22</v>
      </c>
      <c r="K1251" s="8" t="s">
        <v>37</v>
      </c>
      <c r="L1251" s="8" t="s">
        <v>3147</v>
      </c>
      <c r="M1251" s="8" t="s">
        <v>3148</v>
      </c>
      <c r="N1251" s="8" t="s">
        <v>5849</v>
      </c>
      <c r="O1251" s="8">
        <f>3+15/60+21/3600</f>
        <v>3.2558333333333334</v>
      </c>
      <c r="P1251" s="8" t="s">
        <v>5850</v>
      </c>
      <c r="Q1251" s="8">
        <f>+(41+21/60+20/3600)</f>
        <v>41.355555555555554</v>
      </c>
      <c r="R1251" s="8">
        <v>12.9</v>
      </c>
      <c r="S1251" s="8">
        <v>14</v>
      </c>
      <c r="T1251" s="8">
        <v>1.1000000000000001</v>
      </c>
      <c r="U1251" s="8">
        <v>13.4</v>
      </c>
      <c r="V1251" s="8">
        <v>2.1</v>
      </c>
      <c r="W1251" s="8">
        <v>0.6</v>
      </c>
      <c r="X1251" s="8">
        <v>159</v>
      </c>
      <c r="Y1251" s="8" t="s">
        <v>421</v>
      </c>
      <c r="Z1251" s="8" t="s">
        <v>422</v>
      </c>
    </row>
    <row r="1252" spans="1:26" x14ac:dyDescent="0.2">
      <c r="A1252" s="8">
        <v>1251</v>
      </c>
      <c r="B1252" s="8" t="s">
        <v>5851</v>
      </c>
      <c r="C1252" s="8" t="s">
        <v>5851</v>
      </c>
      <c r="F1252" s="47"/>
      <c r="G1252" s="8">
        <v>18</v>
      </c>
      <c r="H1252" s="8" t="s">
        <v>21</v>
      </c>
      <c r="I1252" s="8" t="s">
        <v>72</v>
      </c>
      <c r="J1252" s="8" t="s">
        <v>72</v>
      </c>
      <c r="K1252" s="8" t="s">
        <v>73</v>
      </c>
      <c r="L1252" s="8" t="s">
        <v>125</v>
      </c>
      <c r="M1252" s="8" t="s">
        <v>126</v>
      </c>
      <c r="N1252" s="8" t="s">
        <v>5852</v>
      </c>
      <c r="O1252" s="8">
        <f>3+14/60+9.1/3600</f>
        <v>3.2358611111111113</v>
      </c>
      <c r="P1252" s="8" t="s">
        <v>5853</v>
      </c>
      <c r="Q1252" s="8">
        <f>+(1+27/60+25/3600)</f>
        <v>1.4569444444444444</v>
      </c>
      <c r="R1252" s="8">
        <v>99</v>
      </c>
      <c r="S1252" s="8">
        <v>99</v>
      </c>
      <c r="T1252" s="8">
        <v>99</v>
      </c>
      <c r="U1252" s="8">
        <v>99</v>
      </c>
      <c r="Y1252" s="8" t="s">
        <v>2802</v>
      </c>
      <c r="Z1252" s="8" t="s">
        <v>1021</v>
      </c>
    </row>
    <row r="1253" spans="1:26" x14ac:dyDescent="0.2">
      <c r="A1253" s="8">
        <v>1252</v>
      </c>
      <c r="B1253" s="8" t="s">
        <v>5854</v>
      </c>
      <c r="C1253" s="8" t="s">
        <v>5854</v>
      </c>
      <c r="F1253" s="47"/>
      <c r="G1253" s="8">
        <v>16</v>
      </c>
      <c r="H1253" s="8" t="s">
        <v>21</v>
      </c>
      <c r="I1253" s="8" t="s">
        <v>72</v>
      </c>
      <c r="J1253" s="8" t="s">
        <v>72</v>
      </c>
      <c r="K1253" s="8" t="s">
        <v>1405</v>
      </c>
      <c r="L1253" s="8" t="s">
        <v>4263</v>
      </c>
      <c r="M1253" s="8" t="s">
        <v>4264</v>
      </c>
      <c r="N1253" s="8" t="s">
        <v>5855</v>
      </c>
      <c r="O1253" s="8">
        <f>3+10/60+44/3600</f>
        <v>3.1788888888888889</v>
      </c>
      <c r="P1253" s="8" t="s">
        <v>5856</v>
      </c>
      <c r="Q1253" s="8">
        <f>-(57+45/60+30/3600)</f>
        <v>-57.758333333333333</v>
      </c>
      <c r="R1253" s="8">
        <v>99</v>
      </c>
      <c r="S1253" s="8">
        <v>99</v>
      </c>
      <c r="T1253" s="8">
        <v>99</v>
      </c>
      <c r="U1253" s="8">
        <v>99</v>
      </c>
      <c r="V1253" s="8">
        <v>8</v>
      </c>
      <c r="Y1253" s="8" t="s">
        <v>5857</v>
      </c>
      <c r="Z1253" s="8" t="s">
        <v>5858</v>
      </c>
    </row>
    <row r="1254" spans="1:26" x14ac:dyDescent="0.2">
      <c r="A1254" s="8">
        <v>1253</v>
      </c>
      <c r="B1254" s="8" t="s">
        <v>5859</v>
      </c>
      <c r="C1254" s="8" t="s">
        <v>5859</v>
      </c>
      <c r="F1254" s="47" t="s">
        <v>56282</v>
      </c>
      <c r="G1254" s="8">
        <v>15</v>
      </c>
      <c r="H1254" s="8" t="s">
        <v>21</v>
      </c>
      <c r="I1254" s="8" t="s">
        <v>22</v>
      </c>
      <c r="J1254" s="8" t="s">
        <v>22</v>
      </c>
      <c r="K1254" s="8" t="s">
        <v>64</v>
      </c>
      <c r="L1254" s="8" t="s">
        <v>3328</v>
      </c>
      <c r="M1254" s="8" t="s">
        <v>3329</v>
      </c>
      <c r="N1254" s="8" t="s">
        <v>5860</v>
      </c>
      <c r="O1254" s="8">
        <f>3+14/60+9.2/3600</f>
        <v>3.2358888888888888</v>
      </c>
      <c r="P1254" s="8" t="s">
        <v>5861</v>
      </c>
      <c r="Q1254" s="8">
        <f>-(2+49/60+23/3600)</f>
        <v>-2.8230555555555554</v>
      </c>
      <c r="R1254" s="8">
        <v>11.7</v>
      </c>
      <c r="S1254" s="8">
        <v>12.3</v>
      </c>
      <c r="T1254" s="8">
        <v>0.6</v>
      </c>
      <c r="U1254" s="8">
        <v>14.3</v>
      </c>
      <c r="V1254" s="8">
        <v>5.3</v>
      </c>
      <c r="W1254" s="8">
        <v>2.2999999999999998</v>
      </c>
      <c r="X1254" s="8">
        <v>81</v>
      </c>
      <c r="Y1254" s="8" t="s">
        <v>5862</v>
      </c>
      <c r="Z1254" s="8" t="s">
        <v>5863</v>
      </c>
    </row>
    <row r="1255" spans="1:26" x14ac:dyDescent="0.2">
      <c r="A1255" s="8">
        <v>1254</v>
      </c>
      <c r="B1255" s="8" t="s">
        <v>5864</v>
      </c>
      <c r="C1255" s="8" t="s">
        <v>5864</v>
      </c>
      <c r="F1255" s="47"/>
      <c r="G1255" s="8">
        <v>18</v>
      </c>
      <c r="H1255" s="8" t="s">
        <v>21</v>
      </c>
      <c r="I1255" s="8" t="s">
        <v>22</v>
      </c>
      <c r="J1255" s="8" t="s">
        <v>22</v>
      </c>
      <c r="K1255" s="8" t="s">
        <v>58</v>
      </c>
      <c r="L1255" s="8" t="s">
        <v>125</v>
      </c>
      <c r="M1255" s="8" t="s">
        <v>126</v>
      </c>
      <c r="N1255" s="8" t="s">
        <v>5865</v>
      </c>
      <c r="O1255" s="8">
        <f>3+14/60+23.8/3600</f>
        <v>3.2399444444444443</v>
      </c>
      <c r="P1255" s="8" t="s">
        <v>5866</v>
      </c>
      <c r="Q1255" s="8">
        <f>+(2+40/60+40/3600)</f>
        <v>2.6777777777777776</v>
      </c>
      <c r="R1255" s="8">
        <v>14.1</v>
      </c>
      <c r="S1255" s="8">
        <v>15.1</v>
      </c>
      <c r="T1255" s="8">
        <v>1</v>
      </c>
      <c r="U1255" s="8">
        <v>13.3</v>
      </c>
      <c r="V1255" s="8">
        <v>0.8</v>
      </c>
      <c r="W1255" s="8">
        <v>0.7</v>
      </c>
      <c r="X1255" s="8">
        <v>42</v>
      </c>
      <c r="Y1255" s="8" t="s">
        <v>256</v>
      </c>
      <c r="Z1255" s="8" t="s">
        <v>2209</v>
      </c>
    </row>
    <row r="1256" spans="1:26" x14ac:dyDescent="0.2">
      <c r="A1256" s="8">
        <v>1255</v>
      </c>
      <c r="B1256" s="8" t="s">
        <v>5867</v>
      </c>
      <c r="C1256" s="8" t="s">
        <v>5867</v>
      </c>
      <c r="F1256" s="47"/>
      <c r="G1256" s="8">
        <v>13</v>
      </c>
      <c r="H1256" s="8" t="s">
        <v>21</v>
      </c>
      <c r="I1256" s="8" t="s">
        <v>22</v>
      </c>
      <c r="J1256" s="8" t="s">
        <v>22</v>
      </c>
      <c r="K1256" s="8" t="s">
        <v>85</v>
      </c>
      <c r="L1256" s="8" t="s">
        <v>3335</v>
      </c>
      <c r="M1256" s="8" t="s">
        <v>3336</v>
      </c>
      <c r="N1256" s="8" t="s">
        <v>5868</v>
      </c>
      <c r="O1256" s="8">
        <f>3+13/60+32/3600</f>
        <v>3.2255555555555557</v>
      </c>
      <c r="P1256" s="8" t="s">
        <v>5869</v>
      </c>
      <c r="Q1256" s="8">
        <f>-(25+43/60+28/3600)</f>
        <v>-25.724444444444444</v>
      </c>
      <c r="R1256" s="8">
        <v>10.9</v>
      </c>
      <c r="S1256" s="8">
        <v>11.4</v>
      </c>
      <c r="T1256" s="8">
        <v>0.5</v>
      </c>
      <c r="U1256" s="8">
        <v>13.4</v>
      </c>
      <c r="V1256" s="8">
        <v>4.2</v>
      </c>
      <c r="W1256" s="8">
        <v>2.7</v>
      </c>
      <c r="X1256" s="8">
        <v>123</v>
      </c>
      <c r="Y1256" s="8" t="s">
        <v>5870</v>
      </c>
      <c r="Z1256" s="8" t="s">
        <v>5871</v>
      </c>
    </row>
    <row r="1257" spans="1:26" x14ac:dyDescent="0.2">
      <c r="A1257" s="8">
        <v>1256</v>
      </c>
      <c r="B1257" s="8" t="s">
        <v>5872</v>
      </c>
      <c r="C1257" s="8" t="s">
        <v>5872</v>
      </c>
      <c r="F1257" s="47"/>
      <c r="G1257" s="8">
        <v>16</v>
      </c>
      <c r="H1257" s="8" t="s">
        <v>21</v>
      </c>
      <c r="I1257" s="8" t="s">
        <v>22</v>
      </c>
      <c r="J1257" s="8" t="s">
        <v>22</v>
      </c>
      <c r="K1257" s="8" t="s">
        <v>118</v>
      </c>
      <c r="L1257" s="8" t="s">
        <v>3328</v>
      </c>
      <c r="M1257" s="8" t="s">
        <v>3329</v>
      </c>
      <c r="N1257" s="8" t="s">
        <v>5873</v>
      </c>
      <c r="O1257" s="8">
        <f>3+13/60+58.1/3600</f>
        <v>3.2328055555555557</v>
      </c>
      <c r="P1257" s="8" t="s">
        <v>5874</v>
      </c>
      <c r="Q1257" s="8">
        <f>-(21+59/60+11/3600)</f>
        <v>-21.986388888888889</v>
      </c>
      <c r="R1257" s="8">
        <v>13.6</v>
      </c>
      <c r="S1257" s="8">
        <v>14.6</v>
      </c>
      <c r="T1257" s="8">
        <v>1</v>
      </c>
      <c r="U1257" s="8">
        <v>12.7</v>
      </c>
      <c r="V1257" s="8">
        <v>1.1000000000000001</v>
      </c>
      <c r="W1257" s="8">
        <v>0.4</v>
      </c>
      <c r="X1257" s="8">
        <v>108</v>
      </c>
      <c r="Y1257" s="8" t="s">
        <v>5875</v>
      </c>
      <c r="Z1257" s="8" t="s">
        <v>5876</v>
      </c>
    </row>
    <row r="1258" spans="1:26" x14ac:dyDescent="0.2">
      <c r="A1258" s="8">
        <v>1257</v>
      </c>
      <c r="B1258" s="8" t="s">
        <v>5877</v>
      </c>
      <c r="C1258" s="8" t="s">
        <v>5877</v>
      </c>
      <c r="F1258" s="47"/>
      <c r="G1258" s="8">
        <v>19</v>
      </c>
      <c r="H1258" s="8" t="s">
        <v>21</v>
      </c>
      <c r="I1258" s="8" t="s">
        <v>72</v>
      </c>
      <c r="J1258" s="8" t="s">
        <v>72</v>
      </c>
      <c r="K1258" s="8" t="s">
        <v>73</v>
      </c>
      <c r="L1258" s="8" t="s">
        <v>3147</v>
      </c>
      <c r="M1258" s="8" t="s">
        <v>3148</v>
      </c>
      <c r="N1258" s="8" t="s">
        <v>5878</v>
      </c>
      <c r="O1258" s="8">
        <f>3+16/60+59.5/3600</f>
        <v>3.2831944444444443</v>
      </c>
      <c r="P1258" s="8" t="s">
        <v>5879</v>
      </c>
      <c r="Q1258" s="8">
        <f>+(41+31/60+46/3600)</f>
        <v>41.529444444444444</v>
      </c>
      <c r="R1258" s="8">
        <v>99</v>
      </c>
      <c r="S1258" s="8">
        <v>99</v>
      </c>
      <c r="T1258" s="8">
        <v>99</v>
      </c>
      <c r="U1258" s="8">
        <v>99</v>
      </c>
      <c r="Y1258" s="8" t="s">
        <v>5880</v>
      </c>
      <c r="Z1258" s="8" t="s">
        <v>5881</v>
      </c>
    </row>
    <row r="1259" spans="1:26" x14ac:dyDescent="0.2">
      <c r="A1259" s="8">
        <v>1258</v>
      </c>
      <c r="B1259" s="8" t="s">
        <v>5882</v>
      </c>
      <c r="C1259" s="8" t="s">
        <v>5882</v>
      </c>
      <c r="F1259" s="47"/>
      <c r="G1259" s="8">
        <v>19</v>
      </c>
      <c r="H1259" s="8" t="s">
        <v>21</v>
      </c>
      <c r="I1259" s="8" t="s">
        <v>22</v>
      </c>
      <c r="J1259" s="8" t="s">
        <v>22</v>
      </c>
      <c r="K1259" s="8" t="s">
        <v>64</v>
      </c>
      <c r="L1259" s="8" t="s">
        <v>3328</v>
      </c>
      <c r="M1259" s="8" t="s">
        <v>3329</v>
      </c>
      <c r="N1259" s="8" t="s">
        <v>5883</v>
      </c>
      <c r="O1259" s="8">
        <f>3+14/60+5.4/3600</f>
        <v>3.2348333333333334</v>
      </c>
      <c r="P1259" s="8" t="s">
        <v>5884</v>
      </c>
      <c r="Q1259" s="8">
        <f>-(21+46/60+28/3600)</f>
        <v>-21.774444444444445</v>
      </c>
      <c r="R1259" s="8">
        <v>13.2</v>
      </c>
      <c r="S1259" s="8">
        <v>13.9</v>
      </c>
      <c r="T1259" s="8">
        <v>0.7</v>
      </c>
      <c r="U1259" s="8">
        <v>13.2</v>
      </c>
      <c r="V1259" s="8">
        <v>1.3</v>
      </c>
      <c r="W1259" s="8">
        <v>0.9</v>
      </c>
      <c r="X1259" s="8">
        <v>17</v>
      </c>
      <c r="Y1259" s="8" t="s">
        <v>5885</v>
      </c>
      <c r="Z1259" s="8" t="s">
        <v>5886</v>
      </c>
    </row>
    <row r="1260" spans="1:26" x14ac:dyDescent="0.2">
      <c r="A1260" s="8">
        <v>1259</v>
      </c>
      <c r="B1260" s="8" t="s">
        <v>5887</v>
      </c>
      <c r="C1260" s="8" t="s">
        <v>5887</v>
      </c>
      <c r="F1260" s="47"/>
      <c r="G1260" s="8">
        <v>19</v>
      </c>
      <c r="H1260" s="8" t="s">
        <v>21</v>
      </c>
      <c r="I1260" s="8" t="s">
        <v>22</v>
      </c>
      <c r="J1260" s="8" t="s">
        <v>22</v>
      </c>
      <c r="K1260" s="8" t="s">
        <v>37</v>
      </c>
      <c r="L1260" s="8" t="s">
        <v>3147</v>
      </c>
      <c r="M1260" s="8" t="s">
        <v>3148</v>
      </c>
      <c r="N1260" s="8" t="s">
        <v>5888</v>
      </c>
      <c r="O1260" s="8">
        <f>3+17/60+17.3/3600</f>
        <v>3.2881388888888887</v>
      </c>
      <c r="P1260" s="8" t="s">
        <v>5889</v>
      </c>
      <c r="Q1260" s="8">
        <f>+(41+23/60+8/3600)</f>
        <v>41.385555555555555</v>
      </c>
      <c r="R1260" s="8">
        <v>14.3</v>
      </c>
      <c r="S1260" s="8">
        <v>15.3</v>
      </c>
      <c r="T1260" s="8">
        <v>1</v>
      </c>
      <c r="U1260" s="8">
        <v>13.4</v>
      </c>
      <c r="V1260" s="8">
        <v>0.7</v>
      </c>
      <c r="W1260" s="8">
        <v>0.7</v>
      </c>
      <c r="Y1260" s="8" t="s">
        <v>5445</v>
      </c>
      <c r="Z1260" s="8" t="s">
        <v>577</v>
      </c>
    </row>
    <row r="1261" spans="1:26" x14ac:dyDescent="0.2">
      <c r="A1261" s="8">
        <v>1260</v>
      </c>
      <c r="B1261" s="8" t="s">
        <v>5890</v>
      </c>
      <c r="C1261" s="8" t="s">
        <v>5890</v>
      </c>
      <c r="F1261" s="47"/>
      <c r="G1261" s="8">
        <v>19</v>
      </c>
      <c r="H1261" s="8" t="s">
        <v>21</v>
      </c>
      <c r="I1261" s="8" t="s">
        <v>22</v>
      </c>
      <c r="J1261" s="8" t="s">
        <v>22</v>
      </c>
      <c r="K1261" s="8" t="s">
        <v>632</v>
      </c>
      <c r="L1261" s="8" t="s">
        <v>3147</v>
      </c>
      <c r="M1261" s="8" t="s">
        <v>3148</v>
      </c>
      <c r="N1261" s="8" t="s">
        <v>5891</v>
      </c>
      <c r="O1261" s="8">
        <f>3+17/60+27.2/3600</f>
        <v>3.290888888888889</v>
      </c>
      <c r="P1261" s="8" t="s">
        <v>5892</v>
      </c>
      <c r="Q1261" s="8">
        <f>+(41+24/60+19/3600)</f>
        <v>41.405277777777776</v>
      </c>
      <c r="R1261" s="8">
        <v>13.3</v>
      </c>
      <c r="S1261" s="8">
        <v>14.2</v>
      </c>
      <c r="T1261" s="8">
        <v>0.9</v>
      </c>
      <c r="U1261" s="8">
        <v>12.5</v>
      </c>
      <c r="V1261" s="8">
        <v>1.1000000000000001</v>
      </c>
      <c r="W1261" s="8">
        <v>0.5</v>
      </c>
      <c r="X1261" s="8">
        <v>86</v>
      </c>
      <c r="Y1261" s="8" t="s">
        <v>170</v>
      </c>
      <c r="Z1261" s="8" t="s">
        <v>171</v>
      </c>
    </row>
    <row r="1262" spans="1:26" x14ac:dyDescent="0.2">
      <c r="A1262" s="8">
        <v>1261</v>
      </c>
      <c r="B1262" s="8" t="s">
        <v>5893</v>
      </c>
      <c r="C1262" s="8" t="s">
        <v>5893</v>
      </c>
      <c r="F1262" s="47"/>
      <c r="G1262" s="8">
        <v>2</v>
      </c>
      <c r="H1262" s="8" t="s">
        <v>21</v>
      </c>
      <c r="I1262" s="8" t="s">
        <v>567</v>
      </c>
      <c r="J1262" s="8" t="s">
        <v>567</v>
      </c>
      <c r="K1262" s="8" t="s">
        <v>5894</v>
      </c>
      <c r="L1262" s="8" t="s">
        <v>4263</v>
      </c>
      <c r="M1262" s="8" t="s">
        <v>4264</v>
      </c>
      <c r="N1262" s="8" t="s">
        <v>5895</v>
      </c>
      <c r="O1262" s="8">
        <f>3+12/60+15.3/3600</f>
        <v>3.20425</v>
      </c>
      <c r="P1262" s="8" t="s">
        <v>5896</v>
      </c>
      <c r="Q1262" s="8">
        <f>-(55+12/60+59/3600)</f>
        <v>-55.216388888888893</v>
      </c>
      <c r="R1262" s="8">
        <v>8.3000000000000007</v>
      </c>
      <c r="S1262" s="8">
        <v>99</v>
      </c>
      <c r="T1262" s="8">
        <v>99</v>
      </c>
      <c r="U1262" s="8">
        <v>99</v>
      </c>
      <c r="V1262" s="8">
        <v>6.8</v>
      </c>
      <c r="Y1262" s="8" t="s">
        <v>5897</v>
      </c>
      <c r="Z1262" s="8" t="s">
        <v>5898</v>
      </c>
    </row>
    <row r="1263" spans="1:26" x14ac:dyDescent="0.2">
      <c r="A1263" s="8">
        <v>1262</v>
      </c>
      <c r="B1263" s="8" t="s">
        <v>5899</v>
      </c>
      <c r="C1263" s="8" t="s">
        <v>5899</v>
      </c>
      <c r="F1263" s="47"/>
      <c r="G1263" s="8">
        <v>19</v>
      </c>
      <c r="H1263" s="8" t="s">
        <v>21</v>
      </c>
      <c r="I1263" s="8" t="s">
        <v>22</v>
      </c>
      <c r="J1263" s="8" t="s">
        <v>22</v>
      </c>
      <c r="K1263" s="8" t="s">
        <v>160</v>
      </c>
      <c r="L1263" s="8" t="s">
        <v>3328</v>
      </c>
      <c r="M1263" s="8" t="s">
        <v>3329</v>
      </c>
      <c r="N1263" s="8" t="s">
        <v>5900</v>
      </c>
      <c r="O1263" s="8">
        <f>3+15/60+33.6/3600</f>
        <v>3.2593333333333332</v>
      </c>
      <c r="P1263" s="8" t="s">
        <v>5901</v>
      </c>
      <c r="Q1263" s="8">
        <f>-(15+52/60+48/3600)</f>
        <v>-15.88</v>
      </c>
      <c r="R1263" s="8">
        <v>14.2</v>
      </c>
      <c r="S1263" s="8">
        <v>15</v>
      </c>
      <c r="T1263" s="8">
        <v>0.8</v>
      </c>
      <c r="U1263" s="8">
        <v>13.4</v>
      </c>
      <c r="V1263" s="8">
        <v>0.9</v>
      </c>
      <c r="W1263" s="8">
        <v>0.7</v>
      </c>
      <c r="X1263" s="8">
        <v>135</v>
      </c>
      <c r="Y1263" s="8" t="s">
        <v>5902</v>
      </c>
      <c r="Z1263" s="8" t="s">
        <v>5903</v>
      </c>
    </row>
    <row r="1264" spans="1:26" x14ac:dyDescent="0.2">
      <c r="A1264" s="8">
        <v>1263</v>
      </c>
      <c r="B1264" s="8" t="s">
        <v>5904</v>
      </c>
      <c r="C1264" s="8" t="s">
        <v>5904</v>
      </c>
      <c r="F1264" s="47"/>
      <c r="G1264" s="8">
        <v>19</v>
      </c>
      <c r="H1264" s="8" t="s">
        <v>21</v>
      </c>
      <c r="I1264" s="8" t="s">
        <v>22</v>
      </c>
      <c r="J1264" s="8" t="s">
        <v>22</v>
      </c>
      <c r="K1264" s="8" t="s">
        <v>435</v>
      </c>
      <c r="L1264" s="8" t="s">
        <v>3328</v>
      </c>
      <c r="M1264" s="8" t="s">
        <v>3329</v>
      </c>
      <c r="N1264" s="8" t="s">
        <v>5905</v>
      </c>
      <c r="O1264" s="8">
        <f>3+15/60+39.5/3600</f>
        <v>3.2609722222222222</v>
      </c>
      <c r="P1264" s="8" t="s">
        <v>5906</v>
      </c>
      <c r="Q1264" s="8">
        <f>-(15+5/60+54/3600)</f>
        <v>-15.098333333333334</v>
      </c>
      <c r="R1264" s="8">
        <v>14.1</v>
      </c>
      <c r="S1264" s="8">
        <v>15</v>
      </c>
      <c r="T1264" s="8">
        <v>0.9</v>
      </c>
      <c r="U1264" s="8">
        <v>13</v>
      </c>
      <c r="V1264" s="8">
        <v>0.7</v>
      </c>
      <c r="W1264" s="8">
        <v>0.6</v>
      </c>
      <c r="X1264" s="8">
        <v>0</v>
      </c>
      <c r="Y1264" s="8" t="s">
        <v>5907</v>
      </c>
      <c r="Z1264" s="8" t="s">
        <v>5908</v>
      </c>
    </row>
    <row r="1265" spans="1:26" x14ac:dyDescent="0.2">
      <c r="A1265" s="8">
        <v>1264</v>
      </c>
      <c r="B1265" s="8" t="s">
        <v>5909</v>
      </c>
      <c r="C1265" s="8" t="s">
        <v>5909</v>
      </c>
      <c r="F1265" s="47"/>
      <c r="G1265" s="8">
        <v>19</v>
      </c>
      <c r="H1265" s="8" t="s">
        <v>21</v>
      </c>
      <c r="I1265" s="8" t="s">
        <v>22</v>
      </c>
      <c r="J1265" s="8" t="s">
        <v>22</v>
      </c>
      <c r="K1265" s="8" t="s">
        <v>406</v>
      </c>
      <c r="L1265" s="8" t="s">
        <v>3147</v>
      </c>
      <c r="M1265" s="8" t="s">
        <v>3148</v>
      </c>
      <c r="N1265" s="8" t="s">
        <v>5910</v>
      </c>
      <c r="O1265" s="8">
        <f>3+17/60+59.5/3600</f>
        <v>3.2998611111111109</v>
      </c>
      <c r="P1265" s="8" t="s">
        <v>5911</v>
      </c>
      <c r="Q1265" s="8">
        <f>+(41+31/60+13/3600)</f>
        <v>41.520277777777778</v>
      </c>
      <c r="R1265" s="8">
        <v>14.1</v>
      </c>
      <c r="S1265" s="8">
        <v>14.9</v>
      </c>
      <c r="T1265" s="8">
        <v>0.8</v>
      </c>
      <c r="U1265" s="8">
        <v>13.6</v>
      </c>
      <c r="V1265" s="8">
        <v>1</v>
      </c>
      <c r="W1265" s="8">
        <v>0.5</v>
      </c>
      <c r="X1265" s="8">
        <v>30</v>
      </c>
      <c r="Y1265" s="8" t="s">
        <v>5912</v>
      </c>
      <c r="Z1265" s="8" t="s">
        <v>442</v>
      </c>
    </row>
    <row r="1266" spans="1:26" x14ac:dyDescent="0.2">
      <c r="A1266" s="8">
        <v>1265</v>
      </c>
      <c r="B1266" s="8" t="s">
        <v>5913</v>
      </c>
      <c r="C1266" s="8" t="s">
        <v>5913</v>
      </c>
      <c r="F1266" s="47"/>
      <c r="G1266" s="8">
        <v>19</v>
      </c>
      <c r="H1266" s="8" t="s">
        <v>21</v>
      </c>
      <c r="I1266" s="8" t="s">
        <v>22</v>
      </c>
      <c r="J1266" s="8" t="s">
        <v>22</v>
      </c>
      <c r="K1266" s="8" t="s">
        <v>1068</v>
      </c>
      <c r="L1266" s="8" t="s">
        <v>3147</v>
      </c>
      <c r="M1266" s="8" t="s">
        <v>3148</v>
      </c>
      <c r="N1266" s="8" t="s">
        <v>5914</v>
      </c>
      <c r="O1266" s="8">
        <f>3+18/60+8.4/3600</f>
        <v>3.3023333333333333</v>
      </c>
      <c r="P1266" s="8" t="s">
        <v>5915</v>
      </c>
      <c r="Q1266" s="8">
        <f>+(41+45/60+16/3600)</f>
        <v>41.754444444444445</v>
      </c>
      <c r="R1266" s="8">
        <v>13.4</v>
      </c>
      <c r="S1266" s="8">
        <v>14.4</v>
      </c>
      <c r="T1266" s="8">
        <v>1</v>
      </c>
      <c r="U1266" s="8">
        <v>13</v>
      </c>
      <c r="V1266" s="8">
        <v>1</v>
      </c>
      <c r="W1266" s="8">
        <v>0.5</v>
      </c>
      <c r="X1266" s="8">
        <v>125</v>
      </c>
      <c r="Y1266" s="8" t="s">
        <v>5916</v>
      </c>
      <c r="Z1266" s="8" t="s">
        <v>5917</v>
      </c>
    </row>
    <row r="1267" spans="1:26" x14ac:dyDescent="0.2">
      <c r="A1267" s="8">
        <v>1266</v>
      </c>
      <c r="B1267" s="8" t="s">
        <v>5918</v>
      </c>
      <c r="C1267" s="8" t="s">
        <v>5918</v>
      </c>
      <c r="F1267" s="47" t="s">
        <v>56283</v>
      </c>
      <c r="G1267" s="8">
        <v>15</v>
      </c>
      <c r="H1267" s="8" t="s">
        <v>21</v>
      </c>
      <c r="I1267" s="8" t="s">
        <v>22</v>
      </c>
      <c r="J1267" s="8" t="s">
        <v>22</v>
      </c>
      <c r="K1267" s="8" t="s">
        <v>37</v>
      </c>
      <c r="L1267" s="8" t="s">
        <v>3328</v>
      </c>
      <c r="M1267" s="8" t="s">
        <v>3329</v>
      </c>
      <c r="N1267" s="8" t="s">
        <v>5919</v>
      </c>
      <c r="O1267" s="8">
        <f>3+16/60+0.7/3600</f>
        <v>3.266861111111111</v>
      </c>
      <c r="P1267" s="8" t="s">
        <v>5920</v>
      </c>
      <c r="Q1267" s="8">
        <f>-(2+25/60+36/3600)</f>
        <v>-2.4266666666666663</v>
      </c>
      <c r="R1267" s="8">
        <v>13</v>
      </c>
      <c r="S1267" s="8">
        <v>14</v>
      </c>
      <c r="T1267" s="8">
        <v>1</v>
      </c>
      <c r="U1267" s="8">
        <v>13.4</v>
      </c>
      <c r="V1267" s="8">
        <v>1.6</v>
      </c>
      <c r="W1267" s="8">
        <v>1</v>
      </c>
      <c r="X1267" s="8">
        <v>115</v>
      </c>
      <c r="Y1267" s="8" t="s">
        <v>5921</v>
      </c>
      <c r="Z1267" s="8" t="s">
        <v>5922</v>
      </c>
    </row>
    <row r="1268" spans="1:26" x14ac:dyDescent="0.2">
      <c r="A1268" s="8">
        <v>1267</v>
      </c>
      <c r="B1268" s="8" t="s">
        <v>5923</v>
      </c>
      <c r="C1268" s="8" t="s">
        <v>5923</v>
      </c>
      <c r="F1268" s="47"/>
      <c r="G1268" s="8">
        <v>18</v>
      </c>
      <c r="H1268" s="8" t="s">
        <v>21</v>
      </c>
      <c r="I1268" s="8" t="s">
        <v>22</v>
      </c>
      <c r="J1268" s="8" t="s">
        <v>22</v>
      </c>
      <c r="K1268" s="8" t="s">
        <v>1136</v>
      </c>
      <c r="L1268" s="8" t="s">
        <v>3147</v>
      </c>
      <c r="M1268" s="8" t="s">
        <v>3148</v>
      </c>
      <c r="N1268" s="8" t="s">
        <v>5924</v>
      </c>
      <c r="O1268" s="8">
        <f>3+18/60+44.8/3600</f>
        <v>3.3124444444444441</v>
      </c>
      <c r="P1268" s="8" t="s">
        <v>5925</v>
      </c>
      <c r="Q1268" s="8">
        <f>+(41+28/60+3/3600)</f>
        <v>41.467500000000001</v>
      </c>
      <c r="R1268" s="8">
        <v>13.1</v>
      </c>
      <c r="S1268" s="8">
        <v>14.1</v>
      </c>
      <c r="T1268" s="8">
        <v>1</v>
      </c>
      <c r="U1268" s="8">
        <v>13.2</v>
      </c>
      <c r="V1268" s="8">
        <v>1.1000000000000001</v>
      </c>
      <c r="W1268" s="8">
        <v>0.9</v>
      </c>
      <c r="X1268" s="8">
        <v>30</v>
      </c>
      <c r="Y1268" s="8" t="s">
        <v>5926</v>
      </c>
      <c r="Z1268" s="8" t="s">
        <v>5927</v>
      </c>
    </row>
    <row r="1269" spans="1:26" x14ac:dyDescent="0.2">
      <c r="A1269" s="8">
        <v>1268</v>
      </c>
      <c r="B1269" s="8" t="s">
        <v>5928</v>
      </c>
      <c r="C1269" s="8" t="s">
        <v>5928</v>
      </c>
      <c r="F1269" s="47"/>
      <c r="G1269" s="8">
        <v>18</v>
      </c>
      <c r="H1269" s="8" t="s">
        <v>21</v>
      </c>
      <c r="I1269" s="8" t="s">
        <v>22</v>
      </c>
      <c r="J1269" s="8" t="s">
        <v>22</v>
      </c>
      <c r="K1269" s="8" t="s">
        <v>23</v>
      </c>
      <c r="L1269" s="8" t="s">
        <v>3147</v>
      </c>
      <c r="M1269" s="8" t="s">
        <v>3148</v>
      </c>
      <c r="N1269" s="8" t="s">
        <v>5929</v>
      </c>
      <c r="O1269" s="8">
        <f>3+18/60+45.2/3600</f>
        <v>3.3125555555555555</v>
      </c>
      <c r="P1269" s="8" t="s">
        <v>5930</v>
      </c>
      <c r="Q1269" s="8">
        <f>+(41+29/60+21/3600)</f>
        <v>41.489166666666669</v>
      </c>
      <c r="R1269" s="8">
        <v>13.4</v>
      </c>
      <c r="S1269" s="8">
        <v>14.2</v>
      </c>
      <c r="T1269" s="8">
        <v>0.8</v>
      </c>
      <c r="U1269" s="8">
        <v>12.7</v>
      </c>
      <c r="V1269" s="8">
        <v>0.9</v>
      </c>
      <c r="W1269" s="8">
        <v>0.6</v>
      </c>
      <c r="X1269" s="8">
        <v>120</v>
      </c>
      <c r="Y1269" s="8" t="s">
        <v>5931</v>
      </c>
      <c r="Z1269" s="8" t="s">
        <v>5932</v>
      </c>
    </row>
    <row r="1270" spans="1:26" x14ac:dyDescent="0.2">
      <c r="A1270" s="8">
        <v>1269</v>
      </c>
      <c r="B1270" s="8" t="s">
        <v>5933</v>
      </c>
      <c r="C1270" s="8" t="s">
        <v>5933</v>
      </c>
      <c r="F1270" s="47"/>
      <c r="G1270" s="8">
        <v>14</v>
      </c>
      <c r="H1270" s="8" t="s">
        <v>5934</v>
      </c>
      <c r="I1270" s="8" t="s">
        <v>22</v>
      </c>
      <c r="J1270" s="8" t="s">
        <v>57</v>
      </c>
      <c r="K1270" s="8" t="s">
        <v>435</v>
      </c>
      <c r="L1270" s="8" t="s">
        <v>3328</v>
      </c>
      <c r="M1270" s="8" t="s">
        <v>3329</v>
      </c>
      <c r="N1270" s="8" t="s">
        <v>5935</v>
      </c>
      <c r="O1270" s="8">
        <f>3+17/60+18.3/3600</f>
        <v>3.2884166666666665</v>
      </c>
      <c r="P1270" s="8" t="s">
        <v>5936</v>
      </c>
      <c r="Q1270" s="8">
        <f>-(41+6/60+26/3600)</f>
        <v>-41.107222222222227</v>
      </c>
      <c r="R1270" s="8">
        <v>8.5</v>
      </c>
      <c r="S1270" s="8">
        <v>9.4</v>
      </c>
      <c r="T1270" s="8">
        <v>0.9</v>
      </c>
      <c r="U1270" s="8">
        <v>13.1</v>
      </c>
      <c r="V1270" s="8">
        <v>11</v>
      </c>
      <c r="W1270" s="8">
        <v>9.5</v>
      </c>
      <c r="X1270" s="8">
        <v>72</v>
      </c>
      <c r="Y1270" s="8" t="s">
        <v>5937</v>
      </c>
      <c r="Z1270" s="8" t="s">
        <v>5938</v>
      </c>
    </row>
    <row r="1271" spans="1:26" x14ac:dyDescent="0.2">
      <c r="A1271" s="8">
        <v>1270</v>
      </c>
      <c r="B1271" s="8" t="s">
        <v>5939</v>
      </c>
      <c r="C1271" s="8" t="s">
        <v>5939</v>
      </c>
      <c r="F1271" s="47"/>
      <c r="G1271" s="8">
        <v>13</v>
      </c>
      <c r="H1271" s="8" t="s">
        <v>21</v>
      </c>
      <c r="I1271" s="8" t="s">
        <v>22</v>
      </c>
      <c r="J1271" s="8" t="s">
        <v>22</v>
      </c>
      <c r="K1271" s="8" t="s">
        <v>1136</v>
      </c>
      <c r="L1271" s="8" t="s">
        <v>3147</v>
      </c>
      <c r="M1271" s="8" t="s">
        <v>3148</v>
      </c>
      <c r="N1271" s="8" t="s">
        <v>5940</v>
      </c>
      <c r="O1271" s="8">
        <f>3+18/60+58.1/3600</f>
        <v>3.3161388888888887</v>
      </c>
      <c r="P1271" s="8" t="s">
        <v>5941</v>
      </c>
      <c r="Q1271" s="8">
        <f>+(41+28/60+13/3600)</f>
        <v>41.470277777777781</v>
      </c>
      <c r="R1271" s="8">
        <v>13.1</v>
      </c>
      <c r="S1271" s="8">
        <v>14.3</v>
      </c>
      <c r="T1271" s="8">
        <v>1.2</v>
      </c>
      <c r="U1271" s="8">
        <v>13.5</v>
      </c>
      <c r="V1271" s="8">
        <v>0.9</v>
      </c>
      <c r="W1271" s="8">
        <v>0.7</v>
      </c>
      <c r="X1271" s="8">
        <v>15</v>
      </c>
      <c r="Y1271" s="8" t="s">
        <v>170</v>
      </c>
      <c r="Z1271" s="8" t="s">
        <v>171</v>
      </c>
    </row>
    <row r="1272" spans="1:26" x14ac:dyDescent="0.2">
      <c r="A1272" s="8">
        <v>1271</v>
      </c>
      <c r="B1272" s="8" t="s">
        <v>5942</v>
      </c>
      <c r="C1272" s="8" t="s">
        <v>5942</v>
      </c>
      <c r="F1272" s="47"/>
      <c r="G1272" s="8">
        <v>19</v>
      </c>
      <c r="H1272" s="8" t="s">
        <v>21</v>
      </c>
      <c r="I1272" s="8" t="s">
        <v>22</v>
      </c>
      <c r="J1272" s="8" t="s">
        <v>22</v>
      </c>
      <c r="K1272" s="8" t="s">
        <v>5943</v>
      </c>
      <c r="L1272" s="8" t="s">
        <v>3147</v>
      </c>
      <c r="M1272" s="8" t="s">
        <v>3148</v>
      </c>
      <c r="N1272" s="8" t="s">
        <v>5944</v>
      </c>
      <c r="O1272" s="8">
        <f>3+19/60+11.2/3600</f>
        <v>3.3197777777777775</v>
      </c>
      <c r="P1272" s="8" t="s">
        <v>5945</v>
      </c>
      <c r="Q1272" s="8">
        <f>+(41+21/60+13/3600)</f>
        <v>41.353611111111114</v>
      </c>
      <c r="R1272" s="8">
        <v>13.9</v>
      </c>
      <c r="S1272" s="8">
        <v>14.9</v>
      </c>
      <c r="T1272" s="8">
        <v>1</v>
      </c>
      <c r="U1272" s="8">
        <v>12.1</v>
      </c>
      <c r="V1272" s="8">
        <v>0.5</v>
      </c>
      <c r="W1272" s="8">
        <v>0.2</v>
      </c>
      <c r="X1272" s="8">
        <v>127</v>
      </c>
      <c r="Y1272" s="8" t="s">
        <v>282</v>
      </c>
      <c r="Z1272" s="8" t="s">
        <v>283</v>
      </c>
    </row>
    <row r="1273" spans="1:26" x14ac:dyDescent="0.2">
      <c r="A1273" s="8">
        <v>1272</v>
      </c>
      <c r="B1273" s="8" t="s">
        <v>5946</v>
      </c>
      <c r="C1273" s="8" t="s">
        <v>5946</v>
      </c>
      <c r="F1273" s="47"/>
      <c r="G1273" s="8">
        <v>18</v>
      </c>
      <c r="H1273" s="8" t="s">
        <v>21</v>
      </c>
      <c r="I1273" s="8" t="s">
        <v>22</v>
      </c>
      <c r="J1273" s="8" t="s">
        <v>22</v>
      </c>
      <c r="K1273" s="8" t="s">
        <v>183</v>
      </c>
      <c r="L1273" s="8" t="s">
        <v>3147</v>
      </c>
      <c r="M1273" s="8" t="s">
        <v>3148</v>
      </c>
      <c r="N1273" s="8" t="s">
        <v>5947</v>
      </c>
      <c r="O1273" s="8">
        <f>3+19/60+21.3/3600</f>
        <v>3.3225833333333332</v>
      </c>
      <c r="P1273" s="8" t="s">
        <v>5948</v>
      </c>
      <c r="Q1273" s="8">
        <f>+(41+29/60+26/3600)</f>
        <v>41.490555555555559</v>
      </c>
      <c r="R1273" s="8">
        <v>11.8</v>
      </c>
      <c r="S1273" s="8">
        <v>12.9</v>
      </c>
      <c r="T1273" s="8">
        <v>1.1000000000000001</v>
      </c>
      <c r="U1273" s="8">
        <v>13.2</v>
      </c>
      <c r="V1273" s="8">
        <v>2.2000000000000002</v>
      </c>
      <c r="W1273" s="8">
        <v>2</v>
      </c>
      <c r="X1273" s="8">
        <v>0</v>
      </c>
      <c r="Y1273" s="8" t="s">
        <v>895</v>
      </c>
      <c r="Z1273" s="8" t="s">
        <v>896</v>
      </c>
    </row>
    <row r="1274" spans="1:26" x14ac:dyDescent="0.2">
      <c r="A1274" s="8">
        <v>1273</v>
      </c>
      <c r="B1274" s="8" t="s">
        <v>5949</v>
      </c>
      <c r="C1274" s="8" t="s">
        <v>5949</v>
      </c>
      <c r="F1274" s="47"/>
      <c r="G1274" s="8">
        <v>18</v>
      </c>
      <c r="H1274" s="8" t="s">
        <v>21</v>
      </c>
      <c r="I1274" s="8" t="s">
        <v>22</v>
      </c>
      <c r="J1274" s="8" t="s">
        <v>22</v>
      </c>
      <c r="K1274" s="8" t="s">
        <v>37</v>
      </c>
      <c r="L1274" s="8" t="s">
        <v>3147</v>
      </c>
      <c r="M1274" s="8" t="s">
        <v>3148</v>
      </c>
      <c r="N1274" s="8" t="s">
        <v>5950</v>
      </c>
      <c r="O1274" s="8">
        <f>3+19/60+26.8/3600</f>
        <v>3.3241111111111108</v>
      </c>
      <c r="P1274" s="8" t="s">
        <v>5951</v>
      </c>
      <c r="Q1274" s="8">
        <f>+(41+32/60+24/3600)</f>
        <v>41.54</v>
      </c>
      <c r="R1274" s="8">
        <v>13.2</v>
      </c>
      <c r="S1274" s="8">
        <v>14.3</v>
      </c>
      <c r="T1274" s="8">
        <v>1.1000000000000001</v>
      </c>
      <c r="U1274" s="8">
        <v>13.2</v>
      </c>
      <c r="V1274" s="8">
        <v>0.8</v>
      </c>
      <c r="W1274" s="8">
        <v>0.7</v>
      </c>
      <c r="X1274" s="8">
        <v>144</v>
      </c>
      <c r="Y1274" s="8" t="s">
        <v>282</v>
      </c>
      <c r="Z1274" s="8" t="s">
        <v>283</v>
      </c>
    </row>
    <row r="1275" spans="1:26" x14ac:dyDescent="0.2">
      <c r="A1275" s="8">
        <v>1274</v>
      </c>
      <c r="B1275" s="8" t="s">
        <v>5952</v>
      </c>
      <c r="C1275" s="8" t="s">
        <v>5952</v>
      </c>
      <c r="F1275" s="47"/>
      <c r="G1275" s="8">
        <v>18</v>
      </c>
      <c r="H1275" s="8" t="s">
        <v>21</v>
      </c>
      <c r="I1275" s="8" t="s">
        <v>22</v>
      </c>
      <c r="J1275" s="8" t="s">
        <v>22</v>
      </c>
      <c r="K1275" s="8" t="s">
        <v>382</v>
      </c>
      <c r="L1275" s="8" t="s">
        <v>3147</v>
      </c>
      <c r="M1275" s="8" t="s">
        <v>3148</v>
      </c>
      <c r="N1275" s="8" t="s">
        <v>5953</v>
      </c>
      <c r="O1275" s="8">
        <f>3+19/60+40.6/3600</f>
        <v>3.3279444444444444</v>
      </c>
      <c r="P1275" s="8" t="s">
        <v>5954</v>
      </c>
      <c r="Q1275" s="8">
        <f>+(41+32/60+58/3600)</f>
        <v>41.54944444444444</v>
      </c>
      <c r="R1275" s="8">
        <v>14.1</v>
      </c>
      <c r="S1275" s="8">
        <v>15.1</v>
      </c>
      <c r="T1275" s="8">
        <v>1</v>
      </c>
      <c r="U1275" s="8">
        <v>12.6</v>
      </c>
      <c r="V1275" s="8">
        <v>0.8</v>
      </c>
      <c r="W1275" s="8">
        <v>0.3</v>
      </c>
      <c r="X1275" s="8">
        <v>38</v>
      </c>
      <c r="Y1275" s="8" t="s">
        <v>282</v>
      </c>
      <c r="Z1275" s="8" t="s">
        <v>283</v>
      </c>
    </row>
    <row r="1276" spans="1:26" x14ac:dyDescent="0.2">
      <c r="A1276" s="8">
        <v>1275</v>
      </c>
      <c r="B1276" s="8" t="s">
        <v>5955</v>
      </c>
      <c r="C1276" s="8" t="s">
        <v>5955</v>
      </c>
      <c r="F1276" s="47" t="s">
        <v>56284</v>
      </c>
      <c r="G1276" s="8">
        <v>2</v>
      </c>
      <c r="H1276" s="8" t="s">
        <v>5956</v>
      </c>
      <c r="I1276" s="8" t="s">
        <v>22</v>
      </c>
      <c r="J1276" s="8" t="s">
        <v>22</v>
      </c>
      <c r="K1276" s="8" t="s">
        <v>643</v>
      </c>
      <c r="L1276" s="8" t="s">
        <v>3147</v>
      </c>
      <c r="M1276" s="8" t="s">
        <v>3148</v>
      </c>
      <c r="N1276" s="8" t="s">
        <v>5957</v>
      </c>
      <c r="O1276" s="8">
        <f>3+19/60+48.1/3600</f>
        <v>3.3300277777777776</v>
      </c>
      <c r="P1276" s="8" t="s">
        <v>5958</v>
      </c>
      <c r="Q1276" s="8">
        <f>+(41+30/60+41/3600)</f>
        <v>41.511388888888888</v>
      </c>
      <c r="R1276" s="8">
        <v>11.9</v>
      </c>
      <c r="S1276" s="8">
        <v>12.6</v>
      </c>
      <c r="T1276" s="8">
        <v>0.7</v>
      </c>
      <c r="U1276" s="8">
        <v>13.2</v>
      </c>
      <c r="V1276" s="8">
        <v>2.2999999999999998</v>
      </c>
      <c r="W1276" s="8">
        <v>1.6</v>
      </c>
      <c r="X1276" s="8">
        <v>110</v>
      </c>
      <c r="Y1276" s="8" t="s">
        <v>4065</v>
      </c>
      <c r="Z1276" s="8" t="s">
        <v>4066</v>
      </c>
    </row>
    <row r="1277" spans="1:26" x14ac:dyDescent="0.2">
      <c r="A1277" s="8">
        <v>1276</v>
      </c>
      <c r="B1277" s="8" t="s">
        <v>5959</v>
      </c>
      <c r="C1277" s="8" t="s">
        <v>5959</v>
      </c>
      <c r="F1277" s="47"/>
      <c r="G1277" s="8">
        <v>18</v>
      </c>
      <c r="H1277" s="8" t="s">
        <v>21</v>
      </c>
      <c r="I1277" s="8" t="s">
        <v>72</v>
      </c>
      <c r="J1277" s="8" t="s">
        <v>72</v>
      </c>
      <c r="K1277" s="8" t="s">
        <v>73</v>
      </c>
      <c r="L1277" s="8" t="s">
        <v>3147</v>
      </c>
      <c r="M1277" s="8" t="s">
        <v>3148</v>
      </c>
      <c r="N1277" s="8" t="s">
        <v>5960</v>
      </c>
      <c r="O1277" s="8">
        <f>3+19/60+51.1/3600</f>
        <v>3.3308611111111111</v>
      </c>
      <c r="P1277" s="8" t="s">
        <v>5961</v>
      </c>
      <c r="Q1277" s="8">
        <f>+(41+38/60+33/3600)</f>
        <v>41.642499999999998</v>
      </c>
      <c r="R1277" s="8">
        <v>99</v>
      </c>
      <c r="S1277" s="8">
        <v>99</v>
      </c>
      <c r="T1277" s="8">
        <v>99</v>
      </c>
      <c r="U1277" s="8">
        <v>99</v>
      </c>
      <c r="Y1277" s="8" t="s">
        <v>282</v>
      </c>
      <c r="Z1277" s="8" t="s">
        <v>283</v>
      </c>
    </row>
    <row r="1278" spans="1:26" x14ac:dyDescent="0.2">
      <c r="A1278" s="8">
        <v>1277</v>
      </c>
      <c r="B1278" s="8" t="s">
        <v>5962</v>
      </c>
      <c r="C1278" s="8" t="s">
        <v>5962</v>
      </c>
      <c r="F1278" s="47"/>
      <c r="G1278" s="8">
        <v>18</v>
      </c>
      <c r="H1278" s="8" t="s">
        <v>21</v>
      </c>
      <c r="I1278" s="8" t="s">
        <v>22</v>
      </c>
      <c r="J1278" s="8" t="s">
        <v>22</v>
      </c>
      <c r="K1278" s="8" t="s">
        <v>632</v>
      </c>
      <c r="L1278" s="8" t="s">
        <v>3147</v>
      </c>
      <c r="M1278" s="8" t="s">
        <v>3148</v>
      </c>
      <c r="N1278" s="8" t="s">
        <v>5963</v>
      </c>
      <c r="O1278" s="8">
        <f>3+19/60+51.4/3600</f>
        <v>3.330944444444444</v>
      </c>
      <c r="P1278" s="8" t="s">
        <v>5964</v>
      </c>
      <c r="Q1278" s="8">
        <f>+(41+34/60+27/3600)</f>
        <v>41.57416666666667</v>
      </c>
      <c r="R1278" s="8">
        <v>13.6</v>
      </c>
      <c r="S1278" s="8">
        <v>14.7</v>
      </c>
      <c r="T1278" s="8">
        <v>1.1000000000000001</v>
      </c>
      <c r="U1278" s="8">
        <v>12.3</v>
      </c>
      <c r="V1278" s="8">
        <v>0.8</v>
      </c>
      <c r="W1278" s="8">
        <v>0.3</v>
      </c>
      <c r="X1278" s="8">
        <v>92</v>
      </c>
      <c r="Y1278" s="8" t="s">
        <v>5965</v>
      </c>
      <c r="Z1278" s="8" t="s">
        <v>5966</v>
      </c>
    </row>
    <row r="1279" spans="1:26" x14ac:dyDescent="0.2">
      <c r="A1279" s="8">
        <v>1278</v>
      </c>
      <c r="B1279" s="8" t="s">
        <v>5967</v>
      </c>
      <c r="C1279" s="8" t="s">
        <v>5967</v>
      </c>
      <c r="F1279" s="47"/>
      <c r="G1279" s="8">
        <v>18</v>
      </c>
      <c r="H1279" s="8" t="s">
        <v>21</v>
      </c>
      <c r="I1279" s="8" t="s">
        <v>22</v>
      </c>
      <c r="J1279" s="8" t="s">
        <v>22</v>
      </c>
      <c r="K1279" s="8" t="s">
        <v>1136</v>
      </c>
      <c r="L1279" s="8" t="s">
        <v>3147</v>
      </c>
      <c r="M1279" s="8" t="s">
        <v>3148</v>
      </c>
      <c r="N1279" s="8" t="s">
        <v>5968</v>
      </c>
      <c r="O1279" s="8">
        <f>3+19/60+54.1/3600</f>
        <v>3.3316944444444441</v>
      </c>
      <c r="P1279" s="8" t="s">
        <v>5969</v>
      </c>
      <c r="Q1279" s="8">
        <f>+(41+33/60+49/3600)</f>
        <v>41.563611111111108</v>
      </c>
      <c r="R1279" s="8">
        <v>12.4</v>
      </c>
      <c r="S1279" s="8">
        <v>13.6</v>
      </c>
      <c r="T1279" s="8">
        <v>1.2</v>
      </c>
      <c r="U1279" s="8">
        <v>13</v>
      </c>
      <c r="V1279" s="8">
        <v>1.4</v>
      </c>
      <c r="W1279" s="8">
        <v>1.1000000000000001</v>
      </c>
      <c r="X1279" s="8">
        <v>102</v>
      </c>
      <c r="Y1279" s="8" t="s">
        <v>5970</v>
      </c>
      <c r="Z1279" s="8" t="s">
        <v>5971</v>
      </c>
    </row>
    <row r="1280" spans="1:26" x14ac:dyDescent="0.2">
      <c r="A1280" s="8">
        <v>1279</v>
      </c>
      <c r="B1280" s="8" t="s">
        <v>5972</v>
      </c>
      <c r="C1280" s="8" t="s">
        <v>5972</v>
      </c>
      <c r="F1280" s="47"/>
      <c r="G1280" s="8">
        <v>18</v>
      </c>
      <c r="H1280" s="8" t="s">
        <v>21</v>
      </c>
      <c r="I1280" s="8" t="s">
        <v>22</v>
      </c>
      <c r="J1280" s="8" t="s">
        <v>22</v>
      </c>
      <c r="K1280" s="8" t="s">
        <v>449</v>
      </c>
      <c r="L1280" s="8" t="s">
        <v>3147</v>
      </c>
      <c r="M1280" s="8" t="s">
        <v>3148</v>
      </c>
      <c r="N1280" s="8" t="s">
        <v>5973</v>
      </c>
      <c r="O1280" s="8">
        <f>3+19/60+59.1/3600</f>
        <v>3.3330833333333332</v>
      </c>
      <c r="P1280" s="8" t="s">
        <v>5974</v>
      </c>
      <c r="Q1280" s="8">
        <f>+(41+28/60+47/3600)</f>
        <v>41.479722222222222</v>
      </c>
      <c r="R1280" s="8">
        <v>15</v>
      </c>
      <c r="S1280" s="8">
        <v>15.8</v>
      </c>
      <c r="T1280" s="8">
        <v>0.8</v>
      </c>
      <c r="U1280" s="8">
        <v>13.3</v>
      </c>
      <c r="V1280" s="8">
        <v>0.6</v>
      </c>
      <c r="W1280" s="8">
        <v>0.4</v>
      </c>
      <c r="X1280" s="8">
        <v>0</v>
      </c>
      <c r="Y1280" s="8" t="s">
        <v>282</v>
      </c>
      <c r="Z1280" s="8" t="s">
        <v>283</v>
      </c>
    </row>
    <row r="1281" spans="1:26" x14ac:dyDescent="0.2">
      <c r="A1281" s="8">
        <v>1280</v>
      </c>
      <c r="B1281" s="8" t="s">
        <v>5975</v>
      </c>
      <c r="C1281" s="8" t="s">
        <v>5975</v>
      </c>
      <c r="F1281" s="47"/>
      <c r="G1281" s="8">
        <v>19</v>
      </c>
      <c r="H1281" s="8" t="s">
        <v>21</v>
      </c>
      <c r="I1281" s="8" t="s">
        <v>22</v>
      </c>
      <c r="J1281" s="8" t="s">
        <v>22</v>
      </c>
      <c r="K1281" s="8" t="s">
        <v>64</v>
      </c>
      <c r="L1281" s="8" t="s">
        <v>125</v>
      </c>
      <c r="M1281" s="8" t="s">
        <v>126</v>
      </c>
      <c r="N1281" s="8" t="s">
        <v>5976</v>
      </c>
      <c r="O1281" s="8">
        <f>3+17/60+57/3600</f>
        <v>3.2991666666666664</v>
      </c>
      <c r="P1281" s="8" t="s">
        <v>5977</v>
      </c>
      <c r="Q1281" s="8">
        <f>-(0+10/60+8/3600)</f>
        <v>-0.16888888888888887</v>
      </c>
      <c r="R1281" s="8">
        <v>13.4</v>
      </c>
      <c r="S1281" s="8">
        <v>14.1</v>
      </c>
      <c r="T1281" s="8">
        <v>0.7</v>
      </c>
      <c r="U1281" s="8">
        <v>12.9</v>
      </c>
      <c r="V1281" s="8">
        <v>0.9</v>
      </c>
      <c r="W1281" s="8">
        <v>0.8</v>
      </c>
      <c r="X1281" s="8">
        <v>55</v>
      </c>
      <c r="Y1281" s="8" t="s">
        <v>5978</v>
      </c>
      <c r="Z1281" s="8" t="s">
        <v>5979</v>
      </c>
    </row>
    <row r="1282" spans="1:26" x14ac:dyDescent="0.2">
      <c r="A1282" s="8">
        <v>1281</v>
      </c>
      <c r="B1282" s="8" t="s">
        <v>5980</v>
      </c>
      <c r="C1282" s="8" t="s">
        <v>5980</v>
      </c>
      <c r="F1282" s="47"/>
      <c r="G1282" s="8">
        <v>18</v>
      </c>
      <c r="H1282" s="8" t="s">
        <v>21</v>
      </c>
      <c r="I1282" s="8" t="s">
        <v>22</v>
      </c>
      <c r="J1282" s="8" t="s">
        <v>22</v>
      </c>
      <c r="K1282" s="8" t="s">
        <v>1068</v>
      </c>
      <c r="L1282" s="8" t="s">
        <v>3147</v>
      </c>
      <c r="M1282" s="8" t="s">
        <v>3148</v>
      </c>
      <c r="N1282" s="8" t="s">
        <v>5981</v>
      </c>
      <c r="O1282" s="8">
        <f>3+20/60+6.3/3600</f>
        <v>3.3350833333333334</v>
      </c>
      <c r="P1282" s="8" t="s">
        <v>5982</v>
      </c>
      <c r="Q1282" s="8">
        <f>+(41+37/60+47/3600)</f>
        <v>41.62972222222222</v>
      </c>
      <c r="R1282" s="8">
        <v>13.3</v>
      </c>
      <c r="S1282" s="8">
        <v>14.5</v>
      </c>
      <c r="T1282" s="8">
        <v>1.2</v>
      </c>
      <c r="U1282" s="8">
        <v>13</v>
      </c>
      <c r="V1282" s="8">
        <v>0.9</v>
      </c>
      <c r="W1282" s="8">
        <v>0.4</v>
      </c>
      <c r="X1282" s="8">
        <v>66</v>
      </c>
      <c r="Y1282" s="8" t="s">
        <v>5983</v>
      </c>
      <c r="Z1282" s="8" t="s">
        <v>5984</v>
      </c>
    </row>
    <row r="1283" spans="1:26" x14ac:dyDescent="0.2">
      <c r="A1283" s="8">
        <v>1282</v>
      </c>
      <c r="B1283" s="8" t="s">
        <v>5985</v>
      </c>
      <c r="C1283" s="8" t="s">
        <v>5985</v>
      </c>
      <c r="F1283" s="47"/>
      <c r="G1283" s="8">
        <v>19</v>
      </c>
      <c r="H1283" s="8" t="s">
        <v>21</v>
      </c>
      <c r="I1283" s="8" t="s">
        <v>22</v>
      </c>
      <c r="J1283" s="8" t="s">
        <v>22</v>
      </c>
      <c r="K1283" s="8" t="s">
        <v>50</v>
      </c>
      <c r="L1283" s="8" t="s">
        <v>3147</v>
      </c>
      <c r="M1283" s="8" t="s">
        <v>3148</v>
      </c>
      <c r="N1283" s="8" t="s">
        <v>5986</v>
      </c>
      <c r="O1283" s="8">
        <f>3+20/60+12/3600</f>
        <v>3.3366666666666669</v>
      </c>
      <c r="P1283" s="8" t="s">
        <v>5987</v>
      </c>
      <c r="Q1283" s="8">
        <f>+(41+22/60+1/3600)</f>
        <v>41.366944444444442</v>
      </c>
      <c r="R1283" s="8">
        <v>12.9</v>
      </c>
      <c r="S1283" s="8">
        <v>13.9</v>
      </c>
      <c r="T1283" s="8">
        <v>1</v>
      </c>
      <c r="U1283" s="8">
        <v>13.4</v>
      </c>
      <c r="V1283" s="8">
        <v>1.2</v>
      </c>
      <c r="W1283" s="8">
        <v>0.7</v>
      </c>
      <c r="X1283" s="8">
        <v>25</v>
      </c>
      <c r="Y1283" s="8" t="s">
        <v>5988</v>
      </c>
      <c r="Z1283" s="8" t="s">
        <v>5989</v>
      </c>
    </row>
    <row r="1284" spans="1:26" x14ac:dyDescent="0.2">
      <c r="A1284" s="8">
        <v>1283</v>
      </c>
      <c r="B1284" s="8" t="s">
        <v>5990</v>
      </c>
      <c r="C1284" s="8" t="s">
        <v>5990</v>
      </c>
      <c r="F1284" s="47"/>
      <c r="G1284" s="8">
        <v>19</v>
      </c>
      <c r="H1284" s="8" t="s">
        <v>21</v>
      </c>
      <c r="I1284" s="8" t="s">
        <v>22</v>
      </c>
      <c r="J1284" s="8" t="s">
        <v>22</v>
      </c>
      <c r="K1284" s="8" t="s">
        <v>183</v>
      </c>
      <c r="L1284" s="8" t="s">
        <v>3147</v>
      </c>
      <c r="M1284" s="8" t="s">
        <v>3148</v>
      </c>
      <c r="N1284" s="8" t="s">
        <v>5991</v>
      </c>
      <c r="O1284" s="8">
        <f>3+20/60+15.5/3600</f>
        <v>3.3376388888888888</v>
      </c>
      <c r="P1284" s="8" t="s">
        <v>5992</v>
      </c>
      <c r="Q1284" s="8">
        <f>+(41+23/60+55/3600)</f>
        <v>41.398611111111109</v>
      </c>
      <c r="R1284" s="8">
        <v>13.6</v>
      </c>
      <c r="S1284" s="8">
        <v>14.7</v>
      </c>
      <c r="T1284" s="8">
        <v>1.1000000000000001</v>
      </c>
      <c r="U1284" s="8">
        <v>12.7</v>
      </c>
      <c r="V1284" s="8">
        <v>0.7</v>
      </c>
      <c r="W1284" s="8">
        <v>0.6</v>
      </c>
      <c r="X1284" s="8">
        <v>73</v>
      </c>
      <c r="Y1284" s="8" t="s">
        <v>5912</v>
      </c>
      <c r="Z1284" s="8" t="s">
        <v>442</v>
      </c>
    </row>
    <row r="1285" spans="1:26" x14ac:dyDescent="0.2">
      <c r="A1285" s="8">
        <v>1284</v>
      </c>
      <c r="B1285" s="8" t="s">
        <v>5993</v>
      </c>
      <c r="C1285" s="8" t="s">
        <v>5993</v>
      </c>
      <c r="F1285" s="47" t="s">
        <v>56285</v>
      </c>
      <c r="G1285" s="8">
        <v>15</v>
      </c>
      <c r="H1285" s="8" t="s">
        <v>21</v>
      </c>
      <c r="I1285" s="8" t="s">
        <v>22</v>
      </c>
      <c r="J1285" s="8" t="s">
        <v>22</v>
      </c>
      <c r="K1285" s="8" t="s">
        <v>37</v>
      </c>
      <c r="L1285" s="8" t="s">
        <v>3328</v>
      </c>
      <c r="M1285" s="8" t="s">
        <v>3329</v>
      </c>
      <c r="N1285" s="8" t="s">
        <v>5994</v>
      </c>
      <c r="O1285" s="8">
        <f>3+17/60+45.4/3600</f>
        <v>3.2959444444444443</v>
      </c>
      <c r="P1285" s="8" t="s">
        <v>5995</v>
      </c>
      <c r="Q1285" s="8">
        <f>-(10+17/60+19/3600)</f>
        <v>-10.288611111111111</v>
      </c>
      <c r="R1285" s="8">
        <v>13.8</v>
      </c>
      <c r="S1285" s="8">
        <v>14.8</v>
      </c>
      <c r="T1285" s="8">
        <v>1</v>
      </c>
      <c r="U1285" s="8">
        <v>13.9</v>
      </c>
      <c r="V1285" s="8">
        <v>1.3</v>
      </c>
      <c r="W1285" s="8">
        <v>0.9</v>
      </c>
      <c r="X1285" s="8">
        <v>30</v>
      </c>
      <c r="Y1285" s="8" t="s">
        <v>5996</v>
      </c>
      <c r="Z1285" s="8" t="s">
        <v>5997</v>
      </c>
    </row>
    <row r="1286" spans="1:26" x14ac:dyDescent="0.2">
      <c r="A1286" s="8">
        <v>1285</v>
      </c>
      <c r="B1286" s="8" t="s">
        <v>5998</v>
      </c>
      <c r="C1286" s="8" t="s">
        <v>5998</v>
      </c>
      <c r="F1286" s="47"/>
      <c r="G1286" s="8">
        <v>18</v>
      </c>
      <c r="H1286" s="8" t="s">
        <v>21</v>
      </c>
      <c r="I1286" s="8" t="s">
        <v>22</v>
      </c>
      <c r="J1286" s="8" t="s">
        <v>22</v>
      </c>
      <c r="K1286" s="8" t="s">
        <v>5751</v>
      </c>
      <c r="L1286" s="8" t="s">
        <v>3328</v>
      </c>
      <c r="M1286" s="8" t="s">
        <v>3329</v>
      </c>
      <c r="N1286" s="8" t="s">
        <v>5999</v>
      </c>
      <c r="O1286" s="8">
        <f>3+17/60+53.4/3600</f>
        <v>3.2981666666666665</v>
      </c>
      <c r="P1286" s="8" t="s">
        <v>6000</v>
      </c>
      <c r="Q1286" s="8">
        <f>-(7+17/60+51/3600)</f>
        <v>-7.2975000000000003</v>
      </c>
      <c r="R1286" s="8">
        <v>12.8</v>
      </c>
      <c r="S1286" s="8">
        <v>13.6</v>
      </c>
      <c r="T1286" s="8">
        <v>0.8</v>
      </c>
      <c r="U1286" s="8">
        <v>13.2</v>
      </c>
      <c r="V1286" s="8">
        <v>1.5</v>
      </c>
      <c r="W1286" s="8">
        <v>1.1000000000000001</v>
      </c>
      <c r="X1286" s="8">
        <v>34</v>
      </c>
      <c r="Y1286" s="8" t="s">
        <v>6001</v>
      </c>
      <c r="Z1286" s="8" t="s">
        <v>6002</v>
      </c>
    </row>
    <row r="1287" spans="1:26" x14ac:dyDescent="0.2">
      <c r="A1287" s="8">
        <v>1286</v>
      </c>
      <c r="B1287" s="8" t="s">
        <v>6003</v>
      </c>
      <c r="C1287" s="8" t="s">
        <v>6003</v>
      </c>
      <c r="F1287" s="47"/>
      <c r="G1287" s="8">
        <v>19</v>
      </c>
      <c r="H1287" s="8" t="s">
        <v>21</v>
      </c>
      <c r="I1287" s="8" t="s">
        <v>22</v>
      </c>
      <c r="J1287" s="8" t="s">
        <v>22</v>
      </c>
      <c r="K1287" s="8" t="s">
        <v>37</v>
      </c>
      <c r="L1287" s="8" t="s">
        <v>3328</v>
      </c>
      <c r="M1287" s="8" t="s">
        <v>3329</v>
      </c>
      <c r="N1287" s="8" t="s">
        <v>6004</v>
      </c>
      <c r="O1287" s="8">
        <f>3+17/60+48.5/3600</f>
        <v>3.2968055555555553</v>
      </c>
      <c r="P1287" s="8" t="s">
        <v>6005</v>
      </c>
      <c r="Q1287" s="8">
        <f>-(7+36/60+59/3600)</f>
        <v>-7.6163888888888884</v>
      </c>
      <c r="R1287" s="8">
        <v>13.9</v>
      </c>
      <c r="S1287" s="8">
        <v>14.9</v>
      </c>
      <c r="T1287" s="8">
        <v>1</v>
      </c>
      <c r="U1287" s="8">
        <v>13.1</v>
      </c>
      <c r="V1287" s="8">
        <v>0.9</v>
      </c>
      <c r="W1287" s="8">
        <v>0.7</v>
      </c>
      <c r="X1287" s="8">
        <v>150</v>
      </c>
      <c r="Y1287" s="8" t="s">
        <v>6006</v>
      </c>
      <c r="Z1287" s="8" t="s">
        <v>6007</v>
      </c>
    </row>
    <row r="1288" spans="1:26" x14ac:dyDescent="0.2">
      <c r="A1288" s="8">
        <v>1287</v>
      </c>
      <c r="B1288" s="8" t="s">
        <v>6008</v>
      </c>
      <c r="C1288" s="8" t="s">
        <v>6008</v>
      </c>
      <c r="F1288" s="47" t="s">
        <v>56286</v>
      </c>
      <c r="G1288" s="8">
        <v>15</v>
      </c>
      <c r="H1288" s="8" t="s">
        <v>21</v>
      </c>
      <c r="I1288" s="8" t="s">
        <v>22</v>
      </c>
      <c r="J1288" s="8" t="s">
        <v>22</v>
      </c>
      <c r="K1288" s="8" t="s">
        <v>91</v>
      </c>
      <c r="L1288" s="8" t="s">
        <v>3328</v>
      </c>
      <c r="M1288" s="8" t="s">
        <v>3329</v>
      </c>
      <c r="N1288" s="8" t="s">
        <v>6009</v>
      </c>
      <c r="O1288" s="8">
        <f>3+18/60+33.3/3600</f>
        <v>3.30925</v>
      </c>
      <c r="P1288" s="8" t="s">
        <v>6010</v>
      </c>
      <c r="Q1288" s="8">
        <f>-(2+43/60+50/3600)</f>
        <v>-2.7305555555555556</v>
      </c>
      <c r="R1288" s="8">
        <v>13.9</v>
      </c>
      <c r="S1288" s="8">
        <v>14.8</v>
      </c>
      <c r="T1288" s="8">
        <v>0.9</v>
      </c>
      <c r="U1288" s="8">
        <v>13.1</v>
      </c>
      <c r="V1288" s="8">
        <v>0.8</v>
      </c>
      <c r="W1288" s="8">
        <v>0.7</v>
      </c>
      <c r="X1288" s="8">
        <v>130</v>
      </c>
      <c r="Y1288" s="8" t="s">
        <v>755</v>
      </c>
      <c r="Z1288" s="8" t="s">
        <v>756</v>
      </c>
    </row>
    <row r="1289" spans="1:26" x14ac:dyDescent="0.2">
      <c r="A1289" s="8">
        <v>1288</v>
      </c>
      <c r="B1289" s="8" t="s">
        <v>6011</v>
      </c>
      <c r="C1289" s="8" t="s">
        <v>6011</v>
      </c>
      <c r="F1289" s="47"/>
      <c r="G1289" s="8">
        <v>13</v>
      </c>
      <c r="H1289" s="8" t="s">
        <v>21</v>
      </c>
      <c r="I1289" s="8" t="s">
        <v>22</v>
      </c>
      <c r="J1289" s="8" t="s">
        <v>22</v>
      </c>
      <c r="K1289" s="8" t="s">
        <v>64</v>
      </c>
      <c r="L1289" s="8" t="s">
        <v>3335</v>
      </c>
      <c r="M1289" s="8" t="s">
        <v>3336</v>
      </c>
      <c r="N1289" s="8" t="s">
        <v>6012</v>
      </c>
      <c r="O1289" s="8">
        <f>3+17/60+13.2/3600</f>
        <v>3.2869999999999999</v>
      </c>
      <c r="P1289" s="8" t="s">
        <v>6013</v>
      </c>
      <c r="Q1289" s="8">
        <f>-(32+34/60+35/3600)</f>
        <v>-32.576388888888893</v>
      </c>
      <c r="R1289" s="8">
        <v>12.1</v>
      </c>
      <c r="S1289" s="8">
        <v>12.8</v>
      </c>
      <c r="T1289" s="8">
        <v>0.7</v>
      </c>
      <c r="U1289" s="8">
        <v>13.6</v>
      </c>
      <c r="V1289" s="8">
        <v>2.2999999999999998</v>
      </c>
      <c r="W1289" s="8">
        <v>1.9</v>
      </c>
      <c r="X1289" s="8">
        <v>166</v>
      </c>
      <c r="Y1289" s="8" t="s">
        <v>813</v>
      </c>
      <c r="Z1289" s="8" t="s">
        <v>814</v>
      </c>
    </row>
    <row r="1290" spans="1:26" x14ac:dyDescent="0.2">
      <c r="A1290" s="8">
        <v>1289</v>
      </c>
      <c r="B1290" s="8" t="s">
        <v>6014</v>
      </c>
      <c r="C1290" s="8" t="s">
        <v>6014</v>
      </c>
      <c r="F1290" s="47"/>
      <c r="G1290" s="8">
        <v>19</v>
      </c>
      <c r="H1290" s="8" t="s">
        <v>21</v>
      </c>
      <c r="I1290" s="8" t="s">
        <v>22</v>
      </c>
      <c r="J1290" s="8" t="s">
        <v>22</v>
      </c>
      <c r="K1290" s="8" t="s">
        <v>224</v>
      </c>
      <c r="L1290" s="8" t="s">
        <v>3328</v>
      </c>
      <c r="M1290" s="8" t="s">
        <v>3329</v>
      </c>
      <c r="N1290" s="8" t="s">
        <v>6015</v>
      </c>
      <c r="O1290" s="8">
        <f>3+18/60+49.8/3600</f>
        <v>3.3138333333333332</v>
      </c>
      <c r="P1290" s="8" t="s">
        <v>6016</v>
      </c>
      <c r="Q1290" s="8">
        <f>-(1+58/60+23/3600)</f>
        <v>-1.9730555555555558</v>
      </c>
      <c r="R1290" s="8">
        <v>12.6</v>
      </c>
      <c r="S1290" s="8">
        <v>13.5</v>
      </c>
      <c r="T1290" s="8">
        <v>0.9</v>
      </c>
      <c r="U1290" s="8">
        <v>13.2</v>
      </c>
      <c r="V1290" s="8">
        <v>1.8</v>
      </c>
      <c r="W1290" s="8">
        <v>1.1000000000000001</v>
      </c>
      <c r="X1290" s="8">
        <v>100</v>
      </c>
      <c r="Y1290" s="8" t="s">
        <v>6017</v>
      </c>
      <c r="Z1290" s="8" t="s">
        <v>6018</v>
      </c>
    </row>
    <row r="1291" spans="1:26" x14ac:dyDescent="0.2">
      <c r="A1291" s="8">
        <v>1290</v>
      </c>
      <c r="B1291" s="8" t="s">
        <v>6019</v>
      </c>
      <c r="C1291" s="8" t="s">
        <v>6019</v>
      </c>
      <c r="F1291" s="47"/>
      <c r="G1291" s="8">
        <v>19</v>
      </c>
      <c r="H1291" s="8" t="s">
        <v>21</v>
      </c>
      <c r="I1291" s="8" t="s">
        <v>22</v>
      </c>
      <c r="J1291" s="8" t="s">
        <v>22</v>
      </c>
      <c r="K1291" s="8" t="s">
        <v>818</v>
      </c>
      <c r="L1291" s="8" t="s">
        <v>3328</v>
      </c>
      <c r="M1291" s="8" t="s">
        <v>3329</v>
      </c>
      <c r="N1291" s="8" t="s">
        <v>6020</v>
      </c>
      <c r="O1291" s="8">
        <f>3+19/60+25.1/3600</f>
        <v>3.3236388888888886</v>
      </c>
      <c r="P1291" s="8" t="s">
        <v>6021</v>
      </c>
      <c r="Q1291" s="8">
        <f>-(13+59/60+21/3600)</f>
        <v>-13.989166666666666</v>
      </c>
      <c r="R1291" s="8">
        <v>14.8</v>
      </c>
      <c r="S1291" s="8">
        <v>15.8</v>
      </c>
      <c r="T1291" s="8">
        <v>1</v>
      </c>
      <c r="U1291" s="8">
        <v>13.1</v>
      </c>
      <c r="V1291" s="8">
        <v>0.5</v>
      </c>
      <c r="W1291" s="8">
        <v>0.4</v>
      </c>
      <c r="X1291" s="8">
        <v>85</v>
      </c>
      <c r="Y1291" s="8" t="s">
        <v>962</v>
      </c>
      <c r="Z1291" s="8" t="s">
        <v>963</v>
      </c>
    </row>
    <row r="1292" spans="1:26" x14ac:dyDescent="0.2">
      <c r="A1292" s="8">
        <v>1291</v>
      </c>
      <c r="B1292" s="8" t="s">
        <v>6022</v>
      </c>
      <c r="C1292" s="8" t="s">
        <v>6022</v>
      </c>
      <c r="F1292" s="47"/>
      <c r="G1292" s="8">
        <v>3</v>
      </c>
      <c r="H1292" s="8" t="s">
        <v>21</v>
      </c>
      <c r="I1292" s="8" t="s">
        <v>22</v>
      </c>
      <c r="J1292" s="8" t="s">
        <v>22</v>
      </c>
      <c r="K1292" s="8" t="s">
        <v>435</v>
      </c>
      <c r="L1292" s="8" t="s">
        <v>3328</v>
      </c>
      <c r="M1292" s="8" t="s">
        <v>3329</v>
      </c>
      <c r="N1292" s="8" t="s">
        <v>5935</v>
      </c>
      <c r="O1292" s="8">
        <f>3+17/60+18.3/3600</f>
        <v>3.2884166666666665</v>
      </c>
      <c r="P1292" s="8" t="s">
        <v>5936</v>
      </c>
      <c r="Q1292" s="8">
        <f>-(41+6/60+26/3600)</f>
        <v>-41.107222222222227</v>
      </c>
      <c r="R1292" s="8">
        <v>8.5</v>
      </c>
      <c r="S1292" s="8">
        <v>9.4</v>
      </c>
      <c r="T1292" s="8">
        <v>0.9</v>
      </c>
      <c r="U1292" s="8">
        <v>13.1</v>
      </c>
      <c r="V1292" s="8">
        <v>11</v>
      </c>
      <c r="W1292" s="8">
        <v>9.5</v>
      </c>
      <c r="X1292" s="8">
        <v>72</v>
      </c>
      <c r="Y1292" s="8" t="s">
        <v>5937</v>
      </c>
      <c r="Z1292" s="8" t="s">
        <v>6023</v>
      </c>
    </row>
    <row r="1293" spans="1:26" x14ac:dyDescent="0.2">
      <c r="A1293" s="8">
        <v>1292</v>
      </c>
      <c r="B1293" s="8" t="s">
        <v>6024</v>
      </c>
      <c r="C1293" s="8" t="s">
        <v>6024</v>
      </c>
      <c r="F1293" s="47"/>
      <c r="G1293" s="8">
        <v>13</v>
      </c>
      <c r="H1293" s="8" t="s">
        <v>21</v>
      </c>
      <c r="I1293" s="8" t="s">
        <v>22</v>
      </c>
      <c r="J1293" s="8" t="s">
        <v>22</v>
      </c>
      <c r="K1293" s="8" t="s">
        <v>160</v>
      </c>
      <c r="L1293" s="8" t="s">
        <v>3335</v>
      </c>
      <c r="M1293" s="8" t="s">
        <v>3336</v>
      </c>
      <c r="N1293" s="8" t="s">
        <v>6025</v>
      </c>
      <c r="O1293" s="8">
        <f>3+18/60+14.8/3600</f>
        <v>3.3041111111111108</v>
      </c>
      <c r="P1293" s="8" t="s">
        <v>6026</v>
      </c>
      <c r="Q1293" s="8">
        <f>-(27+36/60+38/3600)</f>
        <v>-27.610555555555557</v>
      </c>
      <c r="R1293" s="8">
        <v>12.2</v>
      </c>
      <c r="S1293" s="8">
        <v>12.7</v>
      </c>
      <c r="T1293" s="8">
        <v>0.5</v>
      </c>
      <c r="U1293" s="8">
        <v>13.5</v>
      </c>
      <c r="V1293" s="8">
        <v>3</v>
      </c>
      <c r="W1293" s="8">
        <v>1.4</v>
      </c>
      <c r="X1293" s="8">
        <v>7</v>
      </c>
      <c r="Y1293" s="8" t="s">
        <v>6027</v>
      </c>
      <c r="Z1293" s="8" t="s">
        <v>6028</v>
      </c>
    </row>
    <row r="1294" spans="1:26" x14ac:dyDescent="0.2">
      <c r="A1294" s="8">
        <v>1293</v>
      </c>
      <c r="B1294" s="8" t="s">
        <v>6029</v>
      </c>
      <c r="C1294" s="8" t="s">
        <v>6029</v>
      </c>
      <c r="F1294" s="47" t="s">
        <v>56287</v>
      </c>
      <c r="G1294" s="8">
        <v>15</v>
      </c>
      <c r="H1294" s="8" t="s">
        <v>21</v>
      </c>
      <c r="I1294" s="8" t="s">
        <v>22</v>
      </c>
      <c r="J1294" s="8" t="s">
        <v>22</v>
      </c>
      <c r="K1294" s="8" t="s">
        <v>460</v>
      </c>
      <c r="L1294" s="8" t="s">
        <v>3147</v>
      </c>
      <c r="M1294" s="8" t="s">
        <v>3148</v>
      </c>
      <c r="N1294" s="8" t="s">
        <v>6030</v>
      </c>
      <c r="O1294" s="8">
        <f>3+21/60+36.4/3600</f>
        <v>3.3601111111111113</v>
      </c>
      <c r="P1294" s="8" t="s">
        <v>6031</v>
      </c>
      <c r="Q1294" s="8">
        <f>+(41+23/60+36/3600)</f>
        <v>41.393333333333331</v>
      </c>
      <c r="R1294" s="8">
        <v>13.4</v>
      </c>
      <c r="S1294" s="8">
        <v>14.5</v>
      </c>
      <c r="T1294" s="8">
        <v>1.1000000000000001</v>
      </c>
      <c r="U1294" s="8">
        <v>13.4</v>
      </c>
      <c r="V1294" s="8">
        <v>0.9</v>
      </c>
      <c r="W1294" s="8">
        <v>0.9</v>
      </c>
      <c r="Y1294" s="8" t="s">
        <v>6032</v>
      </c>
      <c r="Z1294" s="8" t="s">
        <v>6033</v>
      </c>
    </row>
    <row r="1295" spans="1:26" x14ac:dyDescent="0.2">
      <c r="A1295" s="8">
        <v>1294</v>
      </c>
      <c r="B1295" s="8" t="s">
        <v>6034</v>
      </c>
      <c r="C1295" s="8" t="s">
        <v>6034</v>
      </c>
      <c r="F1295" s="47" t="s">
        <v>56288</v>
      </c>
      <c r="G1295" s="8">
        <v>15</v>
      </c>
      <c r="H1295" s="8" t="s">
        <v>21</v>
      </c>
      <c r="I1295" s="8" t="s">
        <v>22</v>
      </c>
      <c r="J1295" s="8" t="s">
        <v>22</v>
      </c>
      <c r="K1295" s="8" t="s">
        <v>58</v>
      </c>
      <c r="L1295" s="8" t="s">
        <v>3147</v>
      </c>
      <c r="M1295" s="8" t="s">
        <v>3148</v>
      </c>
      <c r="N1295" s="8" t="s">
        <v>6035</v>
      </c>
      <c r="O1295" s="8">
        <f>3+21/60+40/3600</f>
        <v>3.3611111111111112</v>
      </c>
      <c r="P1295" s="8" t="s">
        <v>6036</v>
      </c>
      <c r="Q1295" s="8">
        <f>+(41+21/60+38/3600)</f>
        <v>41.360555555555557</v>
      </c>
      <c r="R1295" s="8">
        <v>13.2</v>
      </c>
      <c r="S1295" s="8">
        <v>14.3</v>
      </c>
      <c r="T1295" s="8">
        <v>1.1000000000000001</v>
      </c>
      <c r="U1295" s="8">
        <v>13.5</v>
      </c>
      <c r="V1295" s="8">
        <v>1.1000000000000001</v>
      </c>
      <c r="W1295" s="8">
        <v>0.8</v>
      </c>
      <c r="X1295" s="8">
        <v>0</v>
      </c>
      <c r="Y1295" s="8" t="s">
        <v>6037</v>
      </c>
      <c r="Z1295" s="8" t="s">
        <v>6038</v>
      </c>
    </row>
    <row r="1296" spans="1:26" x14ac:dyDescent="0.2">
      <c r="A1296" s="8">
        <v>1295</v>
      </c>
      <c r="B1296" s="8" t="s">
        <v>6039</v>
      </c>
      <c r="C1296" s="8" t="s">
        <v>6039</v>
      </c>
      <c r="F1296" s="47"/>
      <c r="G1296" s="8">
        <v>19</v>
      </c>
      <c r="H1296" s="8" t="s">
        <v>21</v>
      </c>
      <c r="I1296" s="8" t="s">
        <v>22</v>
      </c>
      <c r="J1296" s="8" t="s">
        <v>22</v>
      </c>
      <c r="K1296" s="8" t="s">
        <v>37</v>
      </c>
      <c r="L1296" s="8" t="s">
        <v>3328</v>
      </c>
      <c r="M1296" s="8" t="s">
        <v>3329</v>
      </c>
      <c r="N1296" s="8" t="s">
        <v>6040</v>
      </c>
      <c r="O1296" s="8">
        <f>3+20/60+3.2/3600</f>
        <v>3.3342222222222224</v>
      </c>
      <c r="P1296" s="8" t="s">
        <v>6041</v>
      </c>
      <c r="Q1296" s="8">
        <f>-(13+59/60+52/3600)</f>
        <v>-13.997777777777777</v>
      </c>
      <c r="R1296" s="8">
        <v>14.3</v>
      </c>
      <c r="S1296" s="8">
        <v>15.3</v>
      </c>
      <c r="T1296" s="8">
        <v>1</v>
      </c>
      <c r="U1296" s="8">
        <v>13.3</v>
      </c>
      <c r="V1296" s="8">
        <v>0.9</v>
      </c>
      <c r="W1296" s="8">
        <v>0.5</v>
      </c>
      <c r="X1296" s="8">
        <v>175</v>
      </c>
      <c r="Y1296" s="8" t="s">
        <v>6042</v>
      </c>
      <c r="Z1296" s="8" t="s">
        <v>6043</v>
      </c>
    </row>
    <row r="1297" spans="1:26" x14ac:dyDescent="0.2">
      <c r="A1297" s="8">
        <v>1296</v>
      </c>
      <c r="B1297" s="8" t="s">
        <v>6044</v>
      </c>
      <c r="C1297" s="8" t="s">
        <v>6044</v>
      </c>
      <c r="F1297" s="47"/>
      <c r="G1297" s="8">
        <v>19</v>
      </c>
      <c r="H1297" s="8" t="s">
        <v>21</v>
      </c>
      <c r="I1297" s="8" t="s">
        <v>22</v>
      </c>
      <c r="J1297" s="8" t="s">
        <v>22</v>
      </c>
      <c r="K1297" s="8" t="s">
        <v>31</v>
      </c>
      <c r="L1297" s="8" t="s">
        <v>3328</v>
      </c>
      <c r="M1297" s="8" t="s">
        <v>3329</v>
      </c>
      <c r="N1297" s="8" t="s">
        <v>6045</v>
      </c>
      <c r="O1297" s="8">
        <f>3+18/60+49.7/3600</f>
        <v>3.3138055555555552</v>
      </c>
      <c r="P1297" s="8" t="s">
        <v>6046</v>
      </c>
      <c r="Q1297" s="8">
        <f>-(13+3/60+44/3600)</f>
        <v>-13.062222222222223</v>
      </c>
      <c r="R1297" s="8">
        <v>14.2</v>
      </c>
      <c r="S1297" s="8">
        <v>15</v>
      </c>
      <c r="T1297" s="8">
        <v>0.8</v>
      </c>
      <c r="U1297" s="8">
        <v>14</v>
      </c>
      <c r="V1297" s="8">
        <v>1.1000000000000001</v>
      </c>
      <c r="W1297" s="8">
        <v>0.9</v>
      </c>
      <c r="X1297" s="8">
        <v>0</v>
      </c>
      <c r="Y1297" s="8" t="s">
        <v>385</v>
      </c>
      <c r="Z1297" s="8" t="s">
        <v>386</v>
      </c>
    </row>
    <row r="1298" spans="1:26" x14ac:dyDescent="0.2">
      <c r="A1298" s="8">
        <v>1297</v>
      </c>
      <c r="B1298" s="8" t="s">
        <v>6047</v>
      </c>
      <c r="C1298" s="8" t="s">
        <v>6047</v>
      </c>
      <c r="F1298" s="47"/>
      <c r="G1298" s="8">
        <v>13</v>
      </c>
      <c r="H1298" s="8" t="s">
        <v>21</v>
      </c>
      <c r="I1298" s="8" t="s">
        <v>22</v>
      </c>
      <c r="J1298" s="8" t="s">
        <v>22</v>
      </c>
      <c r="K1298" s="8" t="s">
        <v>224</v>
      </c>
      <c r="L1298" s="8" t="s">
        <v>3328</v>
      </c>
      <c r="M1298" s="8" t="s">
        <v>3329</v>
      </c>
      <c r="N1298" s="8" t="s">
        <v>6048</v>
      </c>
      <c r="O1298" s="8">
        <f>3+19/60+14/3600</f>
        <v>3.3205555555555555</v>
      </c>
      <c r="P1298" s="8" t="s">
        <v>6049</v>
      </c>
      <c r="Q1298" s="8">
        <f>-(19+6/60+0/3600)</f>
        <v>-19.100000000000001</v>
      </c>
      <c r="R1298" s="8">
        <v>11.8</v>
      </c>
      <c r="S1298" s="8">
        <v>12.8</v>
      </c>
      <c r="T1298" s="8">
        <v>1</v>
      </c>
      <c r="U1298" s="8">
        <v>13.3</v>
      </c>
      <c r="V1298" s="8">
        <v>2.2999999999999998</v>
      </c>
      <c r="W1298" s="8">
        <v>1.9</v>
      </c>
      <c r="X1298" s="8">
        <v>3</v>
      </c>
      <c r="Y1298" s="8" t="s">
        <v>5240</v>
      </c>
      <c r="Z1298" s="8" t="s">
        <v>5241</v>
      </c>
    </row>
    <row r="1299" spans="1:26" x14ac:dyDescent="0.2">
      <c r="A1299" s="8">
        <v>1298</v>
      </c>
      <c r="B1299" s="8" t="s">
        <v>6050</v>
      </c>
      <c r="C1299" s="8" t="s">
        <v>6050</v>
      </c>
      <c r="F1299" s="47"/>
      <c r="G1299" s="8">
        <v>18</v>
      </c>
      <c r="H1299" s="8" t="s">
        <v>21</v>
      </c>
      <c r="I1299" s="8" t="s">
        <v>22</v>
      </c>
      <c r="J1299" s="8" t="s">
        <v>22</v>
      </c>
      <c r="K1299" s="8" t="s">
        <v>382</v>
      </c>
      <c r="L1299" s="8" t="s">
        <v>3328</v>
      </c>
      <c r="M1299" s="8" t="s">
        <v>3329</v>
      </c>
      <c r="N1299" s="8" t="s">
        <v>6051</v>
      </c>
      <c r="O1299" s="8">
        <f>3+20/60+13/3600</f>
        <v>3.3369444444444447</v>
      </c>
      <c r="P1299" s="8" t="s">
        <v>6052</v>
      </c>
      <c r="Q1299" s="8">
        <f>-(2+6/60+49/3600)</f>
        <v>-2.1136111111111111</v>
      </c>
      <c r="R1299" s="8">
        <v>14</v>
      </c>
      <c r="S1299" s="8">
        <v>15</v>
      </c>
      <c r="T1299" s="8">
        <v>1</v>
      </c>
      <c r="U1299" s="8">
        <v>14.7</v>
      </c>
      <c r="V1299" s="8">
        <v>1.1000000000000001</v>
      </c>
      <c r="W1299" s="8">
        <v>0.8</v>
      </c>
      <c r="X1299" s="8">
        <v>70</v>
      </c>
      <c r="Y1299" s="8" t="s">
        <v>6053</v>
      </c>
      <c r="Z1299" s="8" t="s">
        <v>6054</v>
      </c>
    </row>
    <row r="1300" spans="1:26" x14ac:dyDescent="0.2">
      <c r="A1300" s="8">
        <v>1299</v>
      </c>
      <c r="B1300" s="8" t="s">
        <v>6055</v>
      </c>
      <c r="C1300" s="8" t="s">
        <v>6055</v>
      </c>
      <c r="F1300" s="47" t="s">
        <v>56289</v>
      </c>
      <c r="G1300" s="8">
        <v>15</v>
      </c>
      <c r="H1300" s="8" t="s">
        <v>21</v>
      </c>
      <c r="I1300" s="8" t="s">
        <v>22</v>
      </c>
      <c r="J1300" s="8" t="s">
        <v>22</v>
      </c>
      <c r="K1300" s="8" t="s">
        <v>23</v>
      </c>
      <c r="L1300" s="8" t="s">
        <v>3328</v>
      </c>
      <c r="M1300" s="8" t="s">
        <v>3329</v>
      </c>
      <c r="N1300" s="8" t="s">
        <v>6056</v>
      </c>
      <c r="O1300" s="8">
        <f>3+20/60+9.6/3600</f>
        <v>3.3360000000000003</v>
      </c>
      <c r="P1300" s="8" t="s">
        <v>6057</v>
      </c>
      <c r="Q1300" s="8">
        <f>-(6+15/60+43/3600)</f>
        <v>-6.2619444444444445</v>
      </c>
      <c r="R1300" s="8">
        <v>13</v>
      </c>
      <c r="S1300" s="8">
        <v>13.8</v>
      </c>
      <c r="T1300" s="8">
        <v>0.8</v>
      </c>
      <c r="U1300" s="8">
        <v>12.5</v>
      </c>
      <c r="V1300" s="8">
        <v>1.2</v>
      </c>
      <c r="W1300" s="8">
        <v>0.6</v>
      </c>
      <c r="X1300" s="8">
        <v>45</v>
      </c>
      <c r="Y1300" s="8" t="s">
        <v>6058</v>
      </c>
      <c r="Z1300" s="8" t="s">
        <v>6059</v>
      </c>
    </row>
    <row r="1301" spans="1:26" x14ac:dyDescent="0.2">
      <c r="A1301" s="8">
        <v>1300</v>
      </c>
      <c r="B1301" s="8" t="s">
        <v>6060</v>
      </c>
      <c r="C1301" s="8" t="s">
        <v>6060</v>
      </c>
      <c r="F1301" s="47"/>
      <c r="G1301" s="8">
        <v>7</v>
      </c>
      <c r="H1301" s="8" t="s">
        <v>21</v>
      </c>
      <c r="I1301" s="8" t="s">
        <v>22</v>
      </c>
      <c r="J1301" s="8" t="s">
        <v>22</v>
      </c>
      <c r="K1301" s="8" t="s">
        <v>85</v>
      </c>
      <c r="L1301" s="8" t="s">
        <v>3328</v>
      </c>
      <c r="M1301" s="8" t="s">
        <v>3329</v>
      </c>
      <c r="N1301" s="8" t="s">
        <v>6061</v>
      </c>
      <c r="O1301" s="8">
        <f>3+19/60+40.7/3600</f>
        <v>3.3279722222222219</v>
      </c>
      <c r="P1301" s="8" t="s">
        <v>6062</v>
      </c>
      <c r="Q1301" s="8">
        <f>-(19+24/60+41/3600)</f>
        <v>-19.411388888888887</v>
      </c>
      <c r="R1301" s="8">
        <v>10.4</v>
      </c>
      <c r="S1301" s="8">
        <v>11.1</v>
      </c>
      <c r="T1301" s="8">
        <v>0.7</v>
      </c>
      <c r="U1301" s="8">
        <v>13.8</v>
      </c>
      <c r="V1301" s="8">
        <v>6.2</v>
      </c>
      <c r="W1301" s="8">
        <v>4.0999999999999996</v>
      </c>
      <c r="X1301" s="8">
        <v>106</v>
      </c>
      <c r="Y1301" s="8" t="s">
        <v>6063</v>
      </c>
      <c r="Z1301" s="8" t="s">
        <v>6064</v>
      </c>
    </row>
    <row r="1302" spans="1:26" x14ac:dyDescent="0.2">
      <c r="A1302" s="8">
        <v>1301</v>
      </c>
      <c r="B1302" s="8" t="s">
        <v>6065</v>
      </c>
      <c r="C1302" s="8" t="s">
        <v>6065</v>
      </c>
      <c r="F1302" s="47"/>
      <c r="G1302" s="8">
        <v>19</v>
      </c>
      <c r="H1302" s="8" t="s">
        <v>21</v>
      </c>
      <c r="I1302" s="8" t="s">
        <v>22</v>
      </c>
      <c r="J1302" s="8" t="s">
        <v>22</v>
      </c>
      <c r="K1302" s="8" t="s">
        <v>85</v>
      </c>
      <c r="L1302" s="8" t="s">
        <v>3328</v>
      </c>
      <c r="M1302" s="8" t="s">
        <v>3329</v>
      </c>
      <c r="N1302" s="8" t="s">
        <v>6066</v>
      </c>
      <c r="O1302" s="8">
        <f>3+20/60+35.4/3600</f>
        <v>3.3431666666666668</v>
      </c>
      <c r="P1302" s="8" t="s">
        <v>6067</v>
      </c>
      <c r="Q1302" s="8">
        <f>-(18+42/60+57/3600)</f>
        <v>-18.715833333333332</v>
      </c>
      <c r="R1302" s="8">
        <v>13.4</v>
      </c>
      <c r="S1302" s="8">
        <v>14.1</v>
      </c>
      <c r="T1302" s="8">
        <v>0.7</v>
      </c>
      <c r="U1302" s="8">
        <v>13.2</v>
      </c>
      <c r="V1302" s="8">
        <v>2.2000000000000002</v>
      </c>
      <c r="W1302" s="8">
        <v>0.5</v>
      </c>
      <c r="X1302" s="8">
        <v>140</v>
      </c>
      <c r="Y1302" s="8" t="s">
        <v>6068</v>
      </c>
      <c r="Z1302" s="8" t="s">
        <v>6069</v>
      </c>
    </row>
    <row r="1303" spans="1:26" x14ac:dyDescent="0.2">
      <c r="A1303" s="8">
        <v>1302</v>
      </c>
      <c r="B1303" s="8" t="s">
        <v>6070</v>
      </c>
      <c r="C1303" s="8" t="s">
        <v>6070</v>
      </c>
      <c r="F1303" s="47"/>
      <c r="G1303" s="8">
        <v>13</v>
      </c>
      <c r="H1303" s="8" t="s">
        <v>21</v>
      </c>
      <c r="I1303" s="8" t="s">
        <v>22</v>
      </c>
      <c r="J1303" s="8" t="s">
        <v>22</v>
      </c>
      <c r="K1303" s="8" t="s">
        <v>435</v>
      </c>
      <c r="L1303" s="8" t="s">
        <v>3335</v>
      </c>
      <c r="M1303" s="8" t="s">
        <v>3336</v>
      </c>
      <c r="N1303" s="8" t="s">
        <v>5960</v>
      </c>
      <c r="O1303" s="8">
        <f>3+19/60+51.1/3600</f>
        <v>3.3308611111111111</v>
      </c>
      <c r="P1303" s="8" t="s">
        <v>6071</v>
      </c>
      <c r="Q1303" s="8">
        <f>-(26+3/60+38/3600)</f>
        <v>-26.060555555555556</v>
      </c>
      <c r="R1303" s="8">
        <v>10.7</v>
      </c>
      <c r="S1303" s="8">
        <v>11.6</v>
      </c>
      <c r="T1303" s="8">
        <v>0.9</v>
      </c>
      <c r="U1303" s="8">
        <v>13.5</v>
      </c>
      <c r="V1303" s="8">
        <v>3.9</v>
      </c>
      <c r="W1303" s="8">
        <v>3.7</v>
      </c>
      <c r="Y1303" s="8" t="s">
        <v>6072</v>
      </c>
      <c r="Z1303" s="8" t="s">
        <v>6073</v>
      </c>
    </row>
    <row r="1304" spans="1:26" x14ac:dyDescent="0.2">
      <c r="A1304" s="8">
        <v>1303</v>
      </c>
      <c r="B1304" s="8" t="s">
        <v>6074</v>
      </c>
      <c r="C1304" s="8" t="s">
        <v>6074</v>
      </c>
      <c r="F1304" s="47"/>
      <c r="G1304" s="8">
        <v>18</v>
      </c>
      <c r="H1304" s="8" t="s">
        <v>21</v>
      </c>
      <c r="I1304" s="8" t="s">
        <v>22</v>
      </c>
      <c r="J1304" s="8" t="s">
        <v>22</v>
      </c>
      <c r="K1304" s="8" t="s">
        <v>37</v>
      </c>
      <c r="L1304" s="8" t="s">
        <v>3328</v>
      </c>
      <c r="M1304" s="8" t="s">
        <v>3329</v>
      </c>
      <c r="N1304" s="8" t="s">
        <v>6075</v>
      </c>
      <c r="O1304" s="8">
        <f>3+20/60+40.7/3600</f>
        <v>3.3446388888888889</v>
      </c>
      <c r="P1304" s="8" t="s">
        <v>6076</v>
      </c>
      <c r="Q1304" s="8">
        <f>-(7+23/60+39/3600)</f>
        <v>-7.394166666666667</v>
      </c>
      <c r="R1304" s="8">
        <v>13.9</v>
      </c>
      <c r="S1304" s="8">
        <v>14.9</v>
      </c>
      <c r="T1304" s="8">
        <v>1</v>
      </c>
      <c r="U1304" s="8">
        <v>13</v>
      </c>
      <c r="V1304" s="8">
        <v>0.8</v>
      </c>
      <c r="W1304" s="8">
        <v>0.6</v>
      </c>
      <c r="X1304" s="8">
        <v>28</v>
      </c>
      <c r="Y1304" s="8" t="s">
        <v>6077</v>
      </c>
      <c r="Z1304" s="8" t="s">
        <v>6078</v>
      </c>
    </row>
    <row r="1305" spans="1:26" x14ac:dyDescent="0.2">
      <c r="A1305" s="8">
        <v>1304</v>
      </c>
      <c r="B1305" s="8" t="s">
        <v>6079</v>
      </c>
      <c r="C1305" s="8" t="s">
        <v>6079</v>
      </c>
      <c r="F1305" s="47" t="s">
        <v>56290</v>
      </c>
      <c r="G1305" s="8">
        <v>15</v>
      </c>
      <c r="H1305" s="8" t="s">
        <v>21</v>
      </c>
      <c r="I1305" s="8" t="s">
        <v>22</v>
      </c>
      <c r="J1305" s="8" t="s">
        <v>22</v>
      </c>
      <c r="K1305" s="8" t="s">
        <v>58</v>
      </c>
      <c r="L1305" s="8" t="s">
        <v>3328</v>
      </c>
      <c r="M1305" s="8" t="s">
        <v>3329</v>
      </c>
      <c r="N1305" s="8" t="s">
        <v>6080</v>
      </c>
      <c r="O1305" s="8">
        <f>3+21/60+12.7/3600</f>
        <v>3.3535277777777779</v>
      </c>
      <c r="P1305" s="8" t="s">
        <v>6081</v>
      </c>
      <c r="Q1305" s="8">
        <f>-(4+35/60+1/3600)</f>
        <v>-4.5836111111111109</v>
      </c>
      <c r="R1305" s="8">
        <v>13.5</v>
      </c>
      <c r="S1305" s="8">
        <v>14.5</v>
      </c>
      <c r="T1305" s="8">
        <v>1</v>
      </c>
      <c r="U1305" s="8">
        <v>13.7</v>
      </c>
      <c r="V1305" s="8">
        <v>1.4</v>
      </c>
      <c r="W1305" s="8">
        <v>0.8</v>
      </c>
      <c r="X1305" s="8">
        <v>48</v>
      </c>
      <c r="Y1305" s="8" t="s">
        <v>266</v>
      </c>
      <c r="Z1305" s="8" t="s">
        <v>267</v>
      </c>
    </row>
    <row r="1306" spans="1:26" x14ac:dyDescent="0.2">
      <c r="A1306" s="8">
        <v>1305</v>
      </c>
      <c r="B1306" s="8" t="s">
        <v>6082</v>
      </c>
      <c r="C1306" s="8" t="s">
        <v>6082</v>
      </c>
      <c r="F1306" s="47"/>
      <c r="G1306" s="8">
        <v>18</v>
      </c>
      <c r="H1306" s="8" t="s">
        <v>21</v>
      </c>
      <c r="I1306" s="8" t="s">
        <v>22</v>
      </c>
      <c r="J1306" s="8" t="s">
        <v>22</v>
      </c>
      <c r="K1306" s="8" t="s">
        <v>58</v>
      </c>
      <c r="L1306" s="8" t="s">
        <v>3328</v>
      </c>
      <c r="M1306" s="8" t="s">
        <v>3329</v>
      </c>
      <c r="N1306" s="8" t="s">
        <v>6083</v>
      </c>
      <c r="O1306" s="8">
        <f>3+21/60+22.9/3600</f>
        <v>3.3563611111111111</v>
      </c>
      <c r="P1306" s="8" t="s">
        <v>6084</v>
      </c>
      <c r="Q1306" s="8">
        <f>-(2+18/60+59/3600)</f>
        <v>-2.3163888888888886</v>
      </c>
      <c r="R1306" s="8">
        <v>13.3</v>
      </c>
      <c r="S1306" s="8">
        <v>14.3</v>
      </c>
      <c r="T1306" s="8">
        <v>1</v>
      </c>
      <c r="U1306" s="8">
        <v>13.4</v>
      </c>
      <c r="V1306" s="8">
        <v>1.5</v>
      </c>
      <c r="W1306" s="8">
        <v>1</v>
      </c>
      <c r="X1306" s="8">
        <v>130</v>
      </c>
      <c r="Y1306" s="8" t="s">
        <v>6085</v>
      </c>
      <c r="Z1306" s="8" t="s">
        <v>6086</v>
      </c>
    </row>
    <row r="1307" spans="1:26" x14ac:dyDescent="0.2">
      <c r="A1307" s="8">
        <v>1306</v>
      </c>
      <c r="B1307" s="8" t="s">
        <v>6087</v>
      </c>
      <c r="C1307" s="8" t="s">
        <v>6087</v>
      </c>
      <c r="F1307" s="47"/>
      <c r="G1307" s="8">
        <v>19</v>
      </c>
      <c r="H1307" s="8" t="s">
        <v>21</v>
      </c>
      <c r="I1307" s="8" t="s">
        <v>22</v>
      </c>
      <c r="J1307" s="8" t="s">
        <v>22</v>
      </c>
      <c r="K1307" s="8" t="s">
        <v>23</v>
      </c>
      <c r="L1307" s="8" t="s">
        <v>3335</v>
      </c>
      <c r="M1307" s="8" t="s">
        <v>3336</v>
      </c>
      <c r="N1307" s="8" t="s">
        <v>6088</v>
      </c>
      <c r="O1307" s="8">
        <f>3+21/60+3/3600</f>
        <v>3.3508333333333336</v>
      </c>
      <c r="P1307" s="8" t="s">
        <v>6089</v>
      </c>
      <c r="Q1307" s="8">
        <f>-(25+30/60+44/3600)</f>
        <v>-25.512222222222221</v>
      </c>
      <c r="R1307" s="8">
        <v>12.9</v>
      </c>
      <c r="S1307" s="8">
        <v>13.7</v>
      </c>
      <c r="T1307" s="8">
        <v>0.8</v>
      </c>
      <c r="U1307" s="8">
        <v>12.3</v>
      </c>
      <c r="V1307" s="8">
        <v>0.8</v>
      </c>
      <c r="W1307" s="8">
        <v>0.8</v>
      </c>
      <c r="Y1307" s="8" t="s">
        <v>6090</v>
      </c>
      <c r="Z1307" s="8" t="s">
        <v>6091</v>
      </c>
    </row>
    <row r="1308" spans="1:26" x14ac:dyDescent="0.2">
      <c r="A1308" s="8">
        <v>1307</v>
      </c>
      <c r="B1308" s="8" t="s">
        <v>6092</v>
      </c>
      <c r="C1308" s="8" t="s">
        <v>6092</v>
      </c>
      <c r="F1308" s="47"/>
      <c r="G1308" s="8">
        <v>19</v>
      </c>
      <c r="H1308" s="8" t="s">
        <v>21</v>
      </c>
      <c r="I1308" s="8" t="s">
        <v>22</v>
      </c>
      <c r="J1308" s="8" t="s">
        <v>57</v>
      </c>
      <c r="K1308" s="8" t="s">
        <v>58</v>
      </c>
      <c r="L1308" s="8" t="s">
        <v>3328</v>
      </c>
      <c r="M1308" s="8" t="s">
        <v>3329</v>
      </c>
      <c r="N1308" s="8" t="s">
        <v>6080</v>
      </c>
      <c r="O1308" s="8">
        <f>3+21/60+12.7/3600</f>
        <v>3.3535277777777779</v>
      </c>
      <c r="P1308" s="8" t="s">
        <v>6081</v>
      </c>
      <c r="Q1308" s="8">
        <f>-(4+35/60+1/3600)</f>
        <v>-4.5836111111111109</v>
      </c>
      <c r="R1308" s="8">
        <v>13.5</v>
      </c>
      <c r="S1308" s="8">
        <v>14.5</v>
      </c>
      <c r="T1308" s="8">
        <v>1</v>
      </c>
      <c r="U1308" s="8">
        <v>13.7</v>
      </c>
      <c r="V1308" s="8">
        <v>1.4</v>
      </c>
      <c r="W1308" s="8">
        <v>0.8</v>
      </c>
      <c r="X1308" s="8">
        <v>48</v>
      </c>
      <c r="Y1308" s="8" t="s">
        <v>266</v>
      </c>
      <c r="Z1308" s="8" t="s">
        <v>6093</v>
      </c>
    </row>
    <row r="1309" spans="1:26" x14ac:dyDescent="0.2">
      <c r="A1309" s="8">
        <v>1308</v>
      </c>
      <c r="B1309" s="8" t="s">
        <v>6094</v>
      </c>
      <c r="C1309" s="8" t="s">
        <v>6094</v>
      </c>
      <c r="F1309" s="47" t="s">
        <v>56291</v>
      </c>
      <c r="G1309" s="8">
        <v>15</v>
      </c>
      <c r="H1309" s="8" t="s">
        <v>21</v>
      </c>
      <c r="I1309" s="8" t="s">
        <v>22</v>
      </c>
      <c r="J1309" s="8" t="s">
        <v>22</v>
      </c>
      <c r="K1309" s="8" t="s">
        <v>632</v>
      </c>
      <c r="L1309" s="8" t="s">
        <v>3328</v>
      </c>
      <c r="M1309" s="8" t="s">
        <v>3329</v>
      </c>
      <c r="N1309" s="8" t="s">
        <v>6095</v>
      </c>
      <c r="O1309" s="8">
        <f>3+22/60+28.5/3600</f>
        <v>3.3745833333333333</v>
      </c>
      <c r="P1309" s="8" t="s">
        <v>6096</v>
      </c>
      <c r="Q1309" s="8">
        <f>-(2+45/60+26/3600)</f>
        <v>-2.757222222222222</v>
      </c>
      <c r="R1309" s="8">
        <v>13.7</v>
      </c>
      <c r="S1309" s="8">
        <v>14.6</v>
      </c>
      <c r="T1309" s="8">
        <v>0.9</v>
      </c>
      <c r="U1309" s="8">
        <v>13.7</v>
      </c>
      <c r="V1309" s="8">
        <v>1.2</v>
      </c>
      <c r="W1309" s="8">
        <v>0.9</v>
      </c>
      <c r="X1309" s="8">
        <v>57</v>
      </c>
      <c r="Y1309" s="8" t="s">
        <v>6097</v>
      </c>
      <c r="Z1309" s="8" t="s">
        <v>6098</v>
      </c>
    </row>
    <row r="1310" spans="1:26" x14ac:dyDescent="0.2">
      <c r="A1310" s="8">
        <v>1309</v>
      </c>
      <c r="B1310" s="8" t="s">
        <v>6099</v>
      </c>
      <c r="C1310" s="8" t="s">
        <v>6099</v>
      </c>
      <c r="F1310" s="47" t="s">
        <v>56292</v>
      </c>
      <c r="G1310" s="8">
        <v>7</v>
      </c>
      <c r="H1310" s="8" t="s">
        <v>21</v>
      </c>
      <c r="I1310" s="8" t="s">
        <v>22</v>
      </c>
      <c r="J1310" s="8" t="s">
        <v>22</v>
      </c>
      <c r="K1310" s="8" t="s">
        <v>396</v>
      </c>
      <c r="L1310" s="8" t="s">
        <v>3328</v>
      </c>
      <c r="M1310" s="8" t="s">
        <v>3329</v>
      </c>
      <c r="N1310" s="8" t="s">
        <v>6100</v>
      </c>
      <c r="O1310" s="8">
        <f>3+22/60+6.3/3600</f>
        <v>3.3684166666666666</v>
      </c>
      <c r="P1310" s="8" t="s">
        <v>6101</v>
      </c>
      <c r="Q1310" s="8">
        <f>-(15+24/60+0/3600)</f>
        <v>-15.4</v>
      </c>
      <c r="R1310" s="8">
        <v>11.5</v>
      </c>
      <c r="S1310" s="8">
        <v>12</v>
      </c>
      <c r="T1310" s="8">
        <v>0.5</v>
      </c>
      <c r="U1310" s="8">
        <v>13</v>
      </c>
      <c r="V1310" s="8">
        <v>2.2999999999999998</v>
      </c>
      <c r="W1310" s="8">
        <v>2.2000000000000002</v>
      </c>
      <c r="X1310" s="8">
        <v>45</v>
      </c>
      <c r="Y1310" s="8" t="s">
        <v>6102</v>
      </c>
      <c r="Z1310" s="8" t="s">
        <v>6103</v>
      </c>
    </row>
    <row r="1311" spans="1:26" x14ac:dyDescent="0.2">
      <c r="A1311" s="8">
        <v>1310</v>
      </c>
      <c r="B1311" s="8" t="s">
        <v>6104</v>
      </c>
      <c r="C1311" s="8" t="s">
        <v>6104</v>
      </c>
      <c r="F1311" s="47"/>
      <c r="G1311" s="8">
        <v>16</v>
      </c>
      <c r="H1311" s="8" t="s">
        <v>21</v>
      </c>
      <c r="I1311" s="8" t="s">
        <v>22</v>
      </c>
      <c r="J1311" s="8" t="s">
        <v>22</v>
      </c>
      <c r="K1311" s="8" t="s">
        <v>64</v>
      </c>
      <c r="L1311" s="8" t="s">
        <v>3335</v>
      </c>
      <c r="M1311" s="8" t="s">
        <v>3336</v>
      </c>
      <c r="N1311" s="8" t="s">
        <v>6105</v>
      </c>
      <c r="O1311" s="8">
        <f>3+21/60+3.5/3600</f>
        <v>3.3509722222222225</v>
      </c>
      <c r="P1311" s="8" t="s">
        <v>6106</v>
      </c>
      <c r="Q1311" s="8">
        <f>-(37+6/60+8/3600)</f>
        <v>-37.102222222222224</v>
      </c>
      <c r="R1311" s="8">
        <v>12.1</v>
      </c>
      <c r="S1311" s="8">
        <v>12.6</v>
      </c>
      <c r="T1311" s="8">
        <v>0.5</v>
      </c>
      <c r="U1311" s="8">
        <v>13.1</v>
      </c>
      <c r="V1311" s="8">
        <v>1.9</v>
      </c>
      <c r="W1311" s="8">
        <v>1.5</v>
      </c>
      <c r="X1311" s="8">
        <v>95</v>
      </c>
      <c r="Y1311" s="8" t="s">
        <v>6107</v>
      </c>
      <c r="Z1311" s="8" t="s">
        <v>6108</v>
      </c>
    </row>
    <row r="1312" spans="1:26" x14ac:dyDescent="0.2">
      <c r="A1312" s="8">
        <v>1311</v>
      </c>
      <c r="B1312" s="8" t="s">
        <v>6109</v>
      </c>
      <c r="C1312" s="8" t="s">
        <v>6109</v>
      </c>
      <c r="F1312" s="47"/>
      <c r="G1312" s="8">
        <v>16</v>
      </c>
      <c r="H1312" s="8" t="s">
        <v>21</v>
      </c>
      <c r="I1312" s="8" t="s">
        <v>22</v>
      </c>
      <c r="J1312" s="8" t="s">
        <v>22</v>
      </c>
      <c r="K1312" s="8" t="s">
        <v>323</v>
      </c>
      <c r="L1312" s="8" t="s">
        <v>4263</v>
      </c>
      <c r="M1312" s="8" t="s">
        <v>4264</v>
      </c>
      <c r="N1312" s="8" t="s">
        <v>6110</v>
      </c>
      <c r="O1312" s="8">
        <f>3+20/60+6.7/3600</f>
        <v>3.3351944444444448</v>
      </c>
      <c r="P1312" s="8" t="s">
        <v>6111</v>
      </c>
      <c r="Q1312" s="8">
        <f>-(52+11/60+14/3600)</f>
        <v>-52.187222222222218</v>
      </c>
      <c r="R1312" s="8">
        <v>13</v>
      </c>
      <c r="S1312" s="8">
        <v>13.4</v>
      </c>
      <c r="T1312" s="8">
        <v>0.4</v>
      </c>
      <c r="U1312" s="8">
        <v>13.8</v>
      </c>
      <c r="V1312" s="8">
        <v>3</v>
      </c>
      <c r="W1312" s="8">
        <v>0.8</v>
      </c>
      <c r="X1312" s="8">
        <v>40</v>
      </c>
      <c r="Y1312" s="8" t="s">
        <v>6112</v>
      </c>
      <c r="Z1312" s="8" t="s">
        <v>6113</v>
      </c>
    </row>
    <row r="1313" spans="1:26" x14ac:dyDescent="0.2">
      <c r="A1313" s="8">
        <v>1312</v>
      </c>
      <c r="B1313" s="8" t="s">
        <v>6114</v>
      </c>
      <c r="C1313" s="8" t="s">
        <v>6114</v>
      </c>
      <c r="F1313" s="47"/>
      <c r="G1313" s="8">
        <v>18</v>
      </c>
      <c r="H1313" s="8" t="s">
        <v>21</v>
      </c>
      <c r="I1313" s="8" t="s">
        <v>72</v>
      </c>
      <c r="J1313" s="8" t="s">
        <v>72</v>
      </c>
      <c r="K1313" s="8" t="s">
        <v>73</v>
      </c>
      <c r="L1313" s="8" t="s">
        <v>6115</v>
      </c>
      <c r="M1313" s="8" t="s">
        <v>6116</v>
      </c>
      <c r="N1313" s="8" t="s">
        <v>6117</v>
      </c>
      <c r="O1313" s="8">
        <f>3+23/60+41.8/3600</f>
        <v>3.3949444444444445</v>
      </c>
      <c r="P1313" s="8" t="s">
        <v>6118</v>
      </c>
      <c r="Q1313" s="8">
        <f>+(1+11/60+4/3600)</f>
        <v>1.1844444444444444</v>
      </c>
      <c r="R1313" s="8">
        <v>99</v>
      </c>
      <c r="S1313" s="8">
        <v>99</v>
      </c>
      <c r="T1313" s="8">
        <v>99</v>
      </c>
      <c r="U1313" s="8">
        <v>99</v>
      </c>
      <c r="Y1313" s="8" t="s">
        <v>2802</v>
      </c>
      <c r="Z1313" s="8" t="s">
        <v>1021</v>
      </c>
    </row>
    <row r="1314" spans="1:26" x14ac:dyDescent="0.2">
      <c r="A1314" s="8">
        <v>1313</v>
      </c>
      <c r="B1314" s="8" t="s">
        <v>6119</v>
      </c>
      <c r="C1314" s="8" t="s">
        <v>6119</v>
      </c>
      <c r="F1314" s="47"/>
      <c r="G1314" s="8">
        <v>3</v>
      </c>
      <c r="H1314" s="8" t="s">
        <v>21</v>
      </c>
      <c r="I1314" s="8" t="s">
        <v>22</v>
      </c>
      <c r="J1314" s="8" t="s">
        <v>22</v>
      </c>
      <c r="K1314" s="8" t="s">
        <v>1277</v>
      </c>
      <c r="L1314" s="8" t="s">
        <v>6120</v>
      </c>
      <c r="M1314" s="8" t="s">
        <v>6121</v>
      </c>
      <c r="N1314" s="8" t="s">
        <v>6122</v>
      </c>
      <c r="O1314" s="8">
        <f>3+18/60+16/3600</f>
        <v>3.3044444444444441</v>
      </c>
      <c r="P1314" s="8" t="s">
        <v>6123</v>
      </c>
      <c r="Q1314" s="8">
        <f>-(66+29/60+43/3600)</f>
        <v>-66.495277777777773</v>
      </c>
      <c r="R1314" s="8">
        <v>8.6999999999999993</v>
      </c>
      <c r="S1314" s="8">
        <v>9.1999999999999993</v>
      </c>
      <c r="T1314" s="8">
        <v>0.5</v>
      </c>
      <c r="U1314" s="8">
        <v>13</v>
      </c>
      <c r="V1314" s="8">
        <v>9.1999999999999993</v>
      </c>
      <c r="W1314" s="8">
        <v>7.2</v>
      </c>
      <c r="X1314" s="8">
        <v>38</v>
      </c>
      <c r="Y1314" s="8" t="s">
        <v>6124</v>
      </c>
      <c r="Z1314" s="8" t="s">
        <v>6125</v>
      </c>
    </row>
    <row r="1315" spans="1:26" x14ac:dyDescent="0.2">
      <c r="A1315" s="8">
        <v>1314</v>
      </c>
      <c r="B1315" s="8" t="s">
        <v>6126</v>
      </c>
      <c r="C1315" s="8" t="s">
        <v>6126</v>
      </c>
      <c r="F1315" s="47"/>
      <c r="G1315" s="8">
        <v>19</v>
      </c>
      <c r="H1315" s="8" t="s">
        <v>21</v>
      </c>
      <c r="I1315" s="8" t="s">
        <v>22</v>
      </c>
      <c r="J1315" s="8" t="s">
        <v>22</v>
      </c>
      <c r="K1315" s="8" t="s">
        <v>579</v>
      </c>
      <c r="L1315" s="8" t="s">
        <v>3328</v>
      </c>
      <c r="M1315" s="8" t="s">
        <v>3329</v>
      </c>
      <c r="N1315" s="8" t="s">
        <v>6127</v>
      </c>
      <c r="O1315" s="8">
        <f>3+22/60+41.1/3600</f>
        <v>3.3780833333333335</v>
      </c>
      <c r="P1315" s="8" t="s">
        <v>6128</v>
      </c>
      <c r="Q1315" s="8">
        <f>-(4+11/60+11/3600)</f>
        <v>-4.1863888888888887</v>
      </c>
      <c r="R1315" s="8">
        <v>14.2</v>
      </c>
      <c r="S1315" s="8">
        <v>14.9</v>
      </c>
      <c r="T1315" s="8">
        <v>0.7</v>
      </c>
      <c r="U1315" s="8">
        <v>14.9</v>
      </c>
      <c r="V1315" s="8">
        <v>1.5</v>
      </c>
      <c r="W1315" s="8">
        <v>1.4</v>
      </c>
      <c r="X1315" s="8">
        <v>90</v>
      </c>
      <c r="Y1315" s="8" t="s">
        <v>6129</v>
      </c>
      <c r="Z1315" s="8" t="s">
        <v>6130</v>
      </c>
    </row>
    <row r="1316" spans="1:26" x14ac:dyDescent="0.2">
      <c r="A1316" s="8">
        <v>1315</v>
      </c>
      <c r="B1316" s="8" t="s">
        <v>6131</v>
      </c>
      <c r="C1316" s="8" t="s">
        <v>6131</v>
      </c>
      <c r="F1316" s="47"/>
      <c r="G1316" s="8">
        <v>16</v>
      </c>
      <c r="H1316" s="8" t="s">
        <v>21</v>
      </c>
      <c r="I1316" s="8" t="s">
        <v>22</v>
      </c>
      <c r="J1316" s="8" t="s">
        <v>22</v>
      </c>
      <c r="K1316" s="8" t="s">
        <v>435</v>
      </c>
      <c r="L1316" s="8" t="s">
        <v>3328</v>
      </c>
      <c r="M1316" s="8" t="s">
        <v>3329</v>
      </c>
      <c r="N1316" s="8" t="s">
        <v>6132</v>
      </c>
      <c r="O1316" s="8">
        <f>3+23/60+6.5/3600</f>
        <v>3.3851388888888887</v>
      </c>
      <c r="P1316" s="8" t="s">
        <v>6133</v>
      </c>
      <c r="Q1316" s="8">
        <f>-(21+22/60+29/3600)</f>
        <v>-21.374722222222221</v>
      </c>
      <c r="R1316" s="8">
        <v>12.6</v>
      </c>
      <c r="S1316" s="8">
        <v>13.5</v>
      </c>
      <c r="T1316" s="8">
        <v>0.9</v>
      </c>
      <c r="U1316" s="8">
        <v>13.3</v>
      </c>
      <c r="V1316" s="8">
        <v>1.6</v>
      </c>
      <c r="W1316" s="8">
        <v>1.4</v>
      </c>
      <c r="X1316" s="8">
        <v>55</v>
      </c>
      <c r="Y1316" s="8" t="s">
        <v>2176</v>
      </c>
      <c r="Z1316" s="8" t="s">
        <v>2177</v>
      </c>
    </row>
    <row r="1317" spans="1:26" x14ac:dyDescent="0.2">
      <c r="A1317" s="8">
        <v>1316</v>
      </c>
      <c r="B1317" s="8" t="s">
        <v>6134</v>
      </c>
      <c r="C1317" s="8" t="s">
        <v>6134</v>
      </c>
      <c r="F1317" s="47"/>
      <c r="G1317" s="8">
        <v>3</v>
      </c>
      <c r="H1317" s="8" t="s">
        <v>6135</v>
      </c>
      <c r="I1317" s="8" t="s">
        <v>22</v>
      </c>
      <c r="J1317" s="8" t="s">
        <v>22</v>
      </c>
      <c r="K1317" s="8" t="s">
        <v>224</v>
      </c>
      <c r="L1317" s="8" t="s">
        <v>3335</v>
      </c>
      <c r="M1317" s="8" t="s">
        <v>3336</v>
      </c>
      <c r="N1317" s="8" t="s">
        <v>6136</v>
      </c>
      <c r="O1317" s="8">
        <f>3+22/60+41.4/3600</f>
        <v>3.3781666666666665</v>
      </c>
      <c r="P1317" s="8" t="s">
        <v>6137</v>
      </c>
      <c r="Q1317" s="8">
        <f>-(37+12/60+28/3600)</f>
        <v>-37.207777777777778</v>
      </c>
      <c r="R1317" s="8">
        <v>8.5</v>
      </c>
      <c r="S1317" s="8">
        <v>9.4</v>
      </c>
      <c r="T1317" s="8">
        <v>0.9</v>
      </c>
      <c r="U1317" s="8">
        <v>13.4</v>
      </c>
      <c r="V1317" s="8">
        <v>11</v>
      </c>
      <c r="W1317" s="8">
        <v>7.2</v>
      </c>
      <c r="X1317" s="8">
        <v>50</v>
      </c>
      <c r="Y1317" s="8" t="s">
        <v>6138</v>
      </c>
      <c r="Z1317" s="8" t="s">
        <v>6139</v>
      </c>
    </row>
    <row r="1318" spans="1:26" x14ac:dyDescent="0.2">
      <c r="A1318" s="8">
        <v>1317</v>
      </c>
      <c r="B1318" s="8" t="s">
        <v>6140</v>
      </c>
      <c r="C1318" s="8" t="s">
        <v>6140</v>
      </c>
      <c r="F1318" s="47"/>
      <c r="G1318" s="8">
        <v>11</v>
      </c>
      <c r="H1318" s="8" t="s">
        <v>6141</v>
      </c>
      <c r="I1318" s="8" t="s">
        <v>22</v>
      </c>
      <c r="J1318" s="8" t="s">
        <v>22</v>
      </c>
      <c r="K1318" s="8" t="s">
        <v>154</v>
      </c>
      <c r="L1318" s="8" t="s">
        <v>3335</v>
      </c>
      <c r="M1318" s="8" t="s">
        <v>3336</v>
      </c>
      <c r="N1318" s="8" t="s">
        <v>6142</v>
      </c>
      <c r="O1318" s="8">
        <f>3+22/60+44.2/3600</f>
        <v>3.3789444444444445</v>
      </c>
      <c r="P1318" s="8" t="s">
        <v>6143</v>
      </c>
      <c r="Q1318" s="8">
        <f>-(37+6/60+12/3600)</f>
        <v>-37.103333333333332</v>
      </c>
      <c r="R1318" s="8">
        <v>11</v>
      </c>
      <c r="S1318" s="8">
        <v>11.9</v>
      </c>
      <c r="T1318" s="8">
        <v>0.9</v>
      </c>
      <c r="U1318" s="8">
        <v>12.9</v>
      </c>
      <c r="V1318" s="8">
        <v>2.8</v>
      </c>
      <c r="W1318" s="8">
        <v>2.4</v>
      </c>
      <c r="X1318" s="8">
        <v>78</v>
      </c>
      <c r="Y1318" s="8" t="s">
        <v>6144</v>
      </c>
      <c r="Z1318" s="8" t="s">
        <v>6145</v>
      </c>
    </row>
    <row r="1319" spans="1:26" x14ac:dyDescent="0.2">
      <c r="A1319" s="8">
        <v>1318</v>
      </c>
      <c r="B1319" s="8" t="s">
        <v>6146</v>
      </c>
      <c r="C1319" s="8" t="s">
        <v>6146</v>
      </c>
      <c r="F1319" s="47"/>
      <c r="G1319" s="8">
        <v>18</v>
      </c>
      <c r="H1319" s="8" t="s">
        <v>21</v>
      </c>
      <c r="I1319" s="8" t="s">
        <v>22</v>
      </c>
      <c r="J1319" s="8" t="s">
        <v>57</v>
      </c>
      <c r="K1319" s="8" t="s">
        <v>154</v>
      </c>
      <c r="L1319" s="8" t="s">
        <v>3335</v>
      </c>
      <c r="M1319" s="8" t="s">
        <v>3336</v>
      </c>
      <c r="N1319" s="8" t="s">
        <v>6142</v>
      </c>
      <c r="O1319" s="8">
        <f>3+22/60+44.2/3600</f>
        <v>3.3789444444444445</v>
      </c>
      <c r="P1319" s="8" t="s">
        <v>6143</v>
      </c>
      <c r="Q1319" s="8">
        <f>-(37+6/60+12/3600)</f>
        <v>-37.103333333333332</v>
      </c>
      <c r="R1319" s="8">
        <v>11</v>
      </c>
      <c r="S1319" s="8">
        <v>11.9</v>
      </c>
      <c r="T1319" s="8">
        <v>0.9</v>
      </c>
      <c r="U1319" s="8">
        <v>12.9</v>
      </c>
      <c r="V1319" s="8">
        <v>2.8</v>
      </c>
      <c r="W1319" s="8">
        <v>2.4</v>
      </c>
      <c r="X1319" s="8">
        <v>78</v>
      </c>
      <c r="Y1319" s="8" t="s">
        <v>6144</v>
      </c>
      <c r="Z1319" s="8" t="s">
        <v>1021</v>
      </c>
    </row>
    <row r="1320" spans="1:26" x14ac:dyDescent="0.2">
      <c r="A1320" s="8">
        <v>1319</v>
      </c>
      <c r="B1320" s="8" t="s">
        <v>6147</v>
      </c>
      <c r="C1320" s="8" t="s">
        <v>6147</v>
      </c>
      <c r="F1320" s="47"/>
      <c r="G1320" s="8">
        <v>16</v>
      </c>
      <c r="H1320" s="8" t="s">
        <v>21</v>
      </c>
      <c r="I1320" s="8" t="s">
        <v>22</v>
      </c>
      <c r="J1320" s="8" t="s">
        <v>22</v>
      </c>
      <c r="K1320" s="8" t="s">
        <v>643</v>
      </c>
      <c r="L1320" s="8" t="s">
        <v>3328</v>
      </c>
      <c r="M1320" s="8" t="s">
        <v>3329</v>
      </c>
      <c r="N1320" s="8" t="s">
        <v>6148</v>
      </c>
      <c r="O1320" s="8">
        <f>3+23/60+56.5/3600</f>
        <v>3.3990277777777775</v>
      </c>
      <c r="P1320" s="8" t="s">
        <v>6149</v>
      </c>
      <c r="Q1320" s="8">
        <f>-(21+31/60+38/3600)</f>
        <v>-21.527222222222221</v>
      </c>
      <c r="R1320" s="8">
        <v>12.9</v>
      </c>
      <c r="S1320" s="8">
        <v>13.9</v>
      </c>
      <c r="T1320" s="8">
        <v>1</v>
      </c>
      <c r="U1320" s="8">
        <v>12.7</v>
      </c>
      <c r="V1320" s="8">
        <v>1.3</v>
      </c>
      <c r="W1320" s="8">
        <v>0.7</v>
      </c>
      <c r="X1320" s="8">
        <v>27</v>
      </c>
      <c r="Y1320" s="8" t="s">
        <v>6150</v>
      </c>
      <c r="Z1320" s="8" t="s">
        <v>6151</v>
      </c>
    </row>
    <row r="1321" spans="1:26" x14ac:dyDescent="0.2">
      <c r="A1321" s="8">
        <v>1320</v>
      </c>
      <c r="B1321" s="8" t="s">
        <v>6152</v>
      </c>
      <c r="C1321" s="8" t="s">
        <v>6152</v>
      </c>
      <c r="F1321" s="47" t="s">
        <v>56293</v>
      </c>
      <c r="G1321" s="8">
        <v>15</v>
      </c>
      <c r="H1321" s="8" t="s">
        <v>21</v>
      </c>
      <c r="I1321" s="8" t="s">
        <v>22</v>
      </c>
      <c r="J1321" s="8" t="s">
        <v>22</v>
      </c>
      <c r="K1321" s="8" t="s">
        <v>91</v>
      </c>
      <c r="L1321" s="8" t="s">
        <v>3328</v>
      </c>
      <c r="M1321" s="8" t="s">
        <v>3329</v>
      </c>
      <c r="N1321" s="8" t="s">
        <v>6153</v>
      </c>
      <c r="O1321" s="8">
        <f>3+24/60+48.6/3600</f>
        <v>3.4135</v>
      </c>
      <c r="P1321" s="8" t="s">
        <v>6154</v>
      </c>
      <c r="Q1321" s="8">
        <f>-(3+2/60+33/3600)</f>
        <v>-3.0425</v>
      </c>
      <c r="R1321" s="8">
        <v>12.5</v>
      </c>
      <c r="S1321" s="8">
        <v>13.3</v>
      </c>
      <c r="T1321" s="8">
        <v>0.8</v>
      </c>
      <c r="U1321" s="8">
        <v>12.5</v>
      </c>
      <c r="V1321" s="8">
        <v>1.9</v>
      </c>
      <c r="W1321" s="8">
        <v>0.7</v>
      </c>
      <c r="X1321" s="8">
        <v>135</v>
      </c>
      <c r="Y1321" s="8" t="s">
        <v>2641</v>
      </c>
      <c r="Z1321" s="8" t="s">
        <v>2642</v>
      </c>
    </row>
    <row r="1322" spans="1:26" x14ac:dyDescent="0.2">
      <c r="A1322" s="8">
        <v>1321</v>
      </c>
      <c r="B1322" s="8" t="s">
        <v>6155</v>
      </c>
      <c r="C1322" s="8" t="s">
        <v>6155</v>
      </c>
      <c r="F1322" s="47" t="s">
        <v>56294</v>
      </c>
      <c r="G1322" s="8">
        <v>15</v>
      </c>
      <c r="H1322" s="8" t="s">
        <v>21</v>
      </c>
      <c r="I1322" s="8" t="s">
        <v>22</v>
      </c>
      <c r="J1322" s="8" t="s">
        <v>22</v>
      </c>
      <c r="K1322" s="8" t="s">
        <v>91</v>
      </c>
      <c r="L1322" s="8" t="s">
        <v>3328</v>
      </c>
      <c r="M1322" s="8" t="s">
        <v>3329</v>
      </c>
      <c r="N1322" s="8" t="s">
        <v>6153</v>
      </c>
      <c r="O1322" s="8">
        <f>3+24/60+48.6/3600</f>
        <v>3.4135</v>
      </c>
      <c r="P1322" s="8" t="s">
        <v>6156</v>
      </c>
      <c r="Q1322" s="8">
        <f>-(3+0/60+55/3600)</f>
        <v>-3.0152777777777779</v>
      </c>
      <c r="R1322" s="8">
        <v>13.6</v>
      </c>
      <c r="S1322" s="8">
        <v>14.5</v>
      </c>
      <c r="T1322" s="8">
        <v>0.9</v>
      </c>
      <c r="U1322" s="8">
        <v>12.6</v>
      </c>
      <c r="V1322" s="8">
        <v>0.9</v>
      </c>
      <c r="W1322" s="8">
        <v>0.5</v>
      </c>
      <c r="X1322" s="8">
        <v>85</v>
      </c>
      <c r="Y1322" s="8" t="s">
        <v>6157</v>
      </c>
      <c r="Z1322" s="8" t="s">
        <v>6158</v>
      </c>
    </row>
    <row r="1323" spans="1:26" x14ac:dyDescent="0.2">
      <c r="A1323" s="8">
        <v>1322</v>
      </c>
      <c r="B1323" s="8" t="s">
        <v>6159</v>
      </c>
      <c r="C1323" s="8" t="s">
        <v>6159</v>
      </c>
      <c r="F1323" s="47"/>
      <c r="G1323" s="8">
        <v>16</v>
      </c>
      <c r="H1323" s="8" t="s">
        <v>21</v>
      </c>
      <c r="I1323" s="8" t="s">
        <v>22</v>
      </c>
      <c r="J1323" s="8" t="s">
        <v>22</v>
      </c>
      <c r="K1323" s="8" t="s">
        <v>58</v>
      </c>
      <c r="L1323" s="8" t="s">
        <v>3328</v>
      </c>
      <c r="M1323" s="8" t="s">
        <v>3329</v>
      </c>
      <c r="N1323" s="8" t="s">
        <v>6160</v>
      </c>
      <c r="O1323" s="8">
        <f>3+24/60+54.6/3600</f>
        <v>3.4151666666666665</v>
      </c>
      <c r="P1323" s="8" t="s">
        <v>6161</v>
      </c>
      <c r="Q1323" s="8">
        <f>-(2+55/60+7/3600)</f>
        <v>-2.9186111111111108</v>
      </c>
      <c r="R1323" s="8">
        <v>13.4</v>
      </c>
      <c r="S1323" s="8">
        <v>14.4</v>
      </c>
      <c r="T1323" s="8">
        <v>1</v>
      </c>
      <c r="U1323" s="8">
        <v>13.2</v>
      </c>
      <c r="V1323" s="8">
        <v>1</v>
      </c>
      <c r="W1323" s="8">
        <v>0.8</v>
      </c>
      <c r="X1323" s="8">
        <v>115</v>
      </c>
      <c r="Y1323" s="8" t="s">
        <v>115</v>
      </c>
      <c r="Z1323" s="8" t="s">
        <v>116</v>
      </c>
    </row>
    <row r="1324" spans="1:26" x14ac:dyDescent="0.2">
      <c r="A1324" s="8">
        <v>1323</v>
      </c>
      <c r="B1324" s="8" t="s">
        <v>6162</v>
      </c>
      <c r="C1324" s="8" t="s">
        <v>6162</v>
      </c>
      <c r="F1324" s="47"/>
      <c r="G1324" s="8">
        <v>18</v>
      </c>
      <c r="H1324" s="8" t="s">
        <v>21</v>
      </c>
      <c r="I1324" s="8" t="s">
        <v>22</v>
      </c>
      <c r="J1324" s="8" t="s">
        <v>22</v>
      </c>
      <c r="K1324" s="8" t="s">
        <v>37</v>
      </c>
      <c r="L1324" s="8" t="s">
        <v>3328</v>
      </c>
      <c r="M1324" s="8" t="s">
        <v>3329</v>
      </c>
      <c r="N1324" s="8" t="s">
        <v>6163</v>
      </c>
      <c r="O1324" s="8">
        <f>3+24/60+56/3600</f>
        <v>3.4155555555555557</v>
      </c>
      <c r="P1324" s="8" t="s">
        <v>6164</v>
      </c>
      <c r="Q1324" s="8">
        <f>-(2+49/60+18/3600)</f>
        <v>-2.8216666666666663</v>
      </c>
      <c r="R1324" s="8">
        <v>15.1</v>
      </c>
      <c r="S1324" s="8">
        <v>16.100000000000001</v>
      </c>
      <c r="T1324" s="8">
        <v>1</v>
      </c>
      <c r="U1324" s="8">
        <v>13.6</v>
      </c>
      <c r="V1324" s="8">
        <v>0.9</v>
      </c>
      <c r="W1324" s="8">
        <v>0.3</v>
      </c>
      <c r="X1324" s="8">
        <v>86</v>
      </c>
      <c r="Y1324" s="8" t="s">
        <v>6165</v>
      </c>
      <c r="Z1324" s="8" t="s">
        <v>6166</v>
      </c>
    </row>
    <row r="1325" spans="1:26" x14ac:dyDescent="0.2">
      <c r="A1325" s="8">
        <v>1324</v>
      </c>
      <c r="B1325" s="8" t="s">
        <v>6167</v>
      </c>
      <c r="C1325" s="8" t="s">
        <v>6167</v>
      </c>
      <c r="F1325" s="47" t="s">
        <v>56295</v>
      </c>
      <c r="G1325" s="8">
        <v>15</v>
      </c>
      <c r="H1325" s="8" t="s">
        <v>21</v>
      </c>
      <c r="I1325" s="8" t="s">
        <v>22</v>
      </c>
      <c r="J1325" s="8" t="s">
        <v>22</v>
      </c>
      <c r="K1325" s="8" t="s">
        <v>23</v>
      </c>
      <c r="L1325" s="8" t="s">
        <v>3328</v>
      </c>
      <c r="M1325" s="8" t="s">
        <v>3329</v>
      </c>
      <c r="N1325" s="8" t="s">
        <v>6168</v>
      </c>
      <c r="O1325" s="8">
        <f>3+25/60+1.7/3600</f>
        <v>3.4171388888888887</v>
      </c>
      <c r="P1325" s="8" t="s">
        <v>6169</v>
      </c>
      <c r="Q1325" s="8">
        <f>-(5+44/60+43/3600)</f>
        <v>-5.7452777777777779</v>
      </c>
      <c r="R1325" s="8">
        <v>12.7</v>
      </c>
      <c r="S1325" s="8">
        <v>13.5</v>
      </c>
      <c r="T1325" s="8">
        <v>0.8</v>
      </c>
      <c r="U1325" s="8">
        <v>13.1</v>
      </c>
      <c r="V1325" s="8">
        <v>2.1</v>
      </c>
      <c r="W1325" s="8">
        <v>0.8</v>
      </c>
      <c r="X1325" s="8">
        <v>135</v>
      </c>
      <c r="Y1325" s="8" t="s">
        <v>6170</v>
      </c>
      <c r="Z1325" s="8" t="s">
        <v>6171</v>
      </c>
    </row>
    <row r="1326" spans="1:26" x14ac:dyDescent="0.2">
      <c r="A1326" s="8">
        <v>1325</v>
      </c>
      <c r="B1326" s="8" t="s">
        <v>6172</v>
      </c>
      <c r="C1326" s="8" t="s">
        <v>6172</v>
      </c>
      <c r="F1326" s="47" t="s">
        <v>56296</v>
      </c>
      <c r="G1326" s="8">
        <v>6.5</v>
      </c>
      <c r="H1326" s="8" t="s">
        <v>21</v>
      </c>
      <c r="I1326" s="8" t="s">
        <v>22</v>
      </c>
      <c r="J1326" s="8" t="s">
        <v>22</v>
      </c>
      <c r="K1326" s="8" t="s">
        <v>85</v>
      </c>
      <c r="L1326" s="8" t="s">
        <v>3328</v>
      </c>
      <c r="M1326" s="8" t="s">
        <v>3329</v>
      </c>
      <c r="N1326" s="8" t="s">
        <v>6173</v>
      </c>
      <c r="O1326" s="8">
        <f>3+24/60+25.5/3600</f>
        <v>3.4070833333333335</v>
      </c>
      <c r="P1326" s="8" t="s">
        <v>6174</v>
      </c>
      <c r="Q1326" s="8">
        <f>-(21+32/60+35/3600)</f>
        <v>-21.543055555555558</v>
      </c>
      <c r="R1326" s="8">
        <v>11.5</v>
      </c>
      <c r="S1326" s="8">
        <v>12.2</v>
      </c>
      <c r="T1326" s="8">
        <v>0.7</v>
      </c>
      <c r="U1326" s="8">
        <v>13.6</v>
      </c>
      <c r="V1326" s="8">
        <v>4.8</v>
      </c>
      <c r="W1326" s="8">
        <v>1.6</v>
      </c>
      <c r="X1326" s="8">
        <v>56</v>
      </c>
      <c r="Y1326" s="8" t="s">
        <v>6175</v>
      </c>
      <c r="Z1326" s="8" t="s">
        <v>6176</v>
      </c>
    </row>
    <row r="1327" spans="1:26" x14ac:dyDescent="0.2">
      <c r="A1327" s="8">
        <v>1326</v>
      </c>
      <c r="B1327" s="8" t="s">
        <v>6177</v>
      </c>
      <c r="C1327" s="8" t="s">
        <v>6177</v>
      </c>
      <c r="F1327" s="47"/>
      <c r="G1327" s="8">
        <v>11</v>
      </c>
      <c r="H1327" s="8" t="s">
        <v>21</v>
      </c>
      <c r="I1327" s="8" t="s">
        <v>22</v>
      </c>
      <c r="J1327" s="8" t="s">
        <v>22</v>
      </c>
      <c r="K1327" s="8" t="s">
        <v>224</v>
      </c>
      <c r="L1327" s="8" t="s">
        <v>3335</v>
      </c>
      <c r="M1327" s="8" t="s">
        <v>3336</v>
      </c>
      <c r="N1327" s="8" t="s">
        <v>6178</v>
      </c>
      <c r="O1327" s="8">
        <f>3+23/60+56.4/3600</f>
        <v>3.399</v>
      </c>
      <c r="P1327" s="8" t="s">
        <v>6179</v>
      </c>
      <c r="Q1327" s="8">
        <f>-(36+27/60+51/3600)</f>
        <v>-36.464166666666671</v>
      </c>
      <c r="R1327" s="8">
        <v>10.5</v>
      </c>
      <c r="S1327" s="8">
        <v>11.4</v>
      </c>
      <c r="T1327" s="8">
        <v>0.9</v>
      </c>
      <c r="U1327" s="8">
        <v>13</v>
      </c>
      <c r="V1327" s="8">
        <v>3.9</v>
      </c>
      <c r="W1327" s="8">
        <v>2.9</v>
      </c>
      <c r="X1327" s="8">
        <v>77</v>
      </c>
      <c r="Y1327" s="8" t="s">
        <v>6180</v>
      </c>
      <c r="Z1327" s="8" t="s">
        <v>6181</v>
      </c>
    </row>
    <row r="1328" spans="1:26" x14ac:dyDescent="0.2">
      <c r="A1328" s="8">
        <v>1327</v>
      </c>
      <c r="B1328" s="8" t="s">
        <v>6182</v>
      </c>
      <c r="C1328" s="8" t="s">
        <v>6182</v>
      </c>
      <c r="F1328" s="47"/>
      <c r="G1328" s="8">
        <v>19</v>
      </c>
      <c r="H1328" s="8" t="s">
        <v>21</v>
      </c>
      <c r="I1328" s="8" t="s">
        <v>22</v>
      </c>
      <c r="J1328" s="8" t="s">
        <v>22</v>
      </c>
      <c r="K1328" s="8" t="s">
        <v>218</v>
      </c>
      <c r="L1328" s="8" t="s">
        <v>3335</v>
      </c>
      <c r="M1328" s="8" t="s">
        <v>3336</v>
      </c>
      <c r="N1328" s="8" t="s">
        <v>6183</v>
      </c>
      <c r="O1328" s="8">
        <f>3+25/60+23.2/3600</f>
        <v>3.423111111111111</v>
      </c>
      <c r="P1328" s="8" t="s">
        <v>6184</v>
      </c>
      <c r="Q1328" s="8">
        <f>-(25+40/60+46/3600)</f>
        <v>-25.679444444444446</v>
      </c>
      <c r="R1328" s="8">
        <v>14.5</v>
      </c>
      <c r="S1328" s="8">
        <v>15.3</v>
      </c>
      <c r="T1328" s="8">
        <v>0.8</v>
      </c>
      <c r="U1328" s="8">
        <v>13.2</v>
      </c>
      <c r="V1328" s="8">
        <v>1</v>
      </c>
      <c r="W1328" s="8">
        <v>0.3</v>
      </c>
      <c r="X1328" s="8">
        <v>176</v>
      </c>
      <c r="Y1328" s="8" t="s">
        <v>6185</v>
      </c>
      <c r="Z1328" s="8" t="s">
        <v>6186</v>
      </c>
    </row>
    <row r="1329" spans="1:26" x14ac:dyDescent="0.2">
      <c r="A1329" s="8">
        <v>1328</v>
      </c>
      <c r="B1329" s="8" t="s">
        <v>6187</v>
      </c>
      <c r="C1329" s="8" t="s">
        <v>6187</v>
      </c>
      <c r="F1329" s="47"/>
      <c r="G1329" s="8">
        <v>19</v>
      </c>
      <c r="H1329" s="8" t="s">
        <v>21</v>
      </c>
      <c r="I1329" s="8" t="s">
        <v>22</v>
      </c>
      <c r="J1329" s="8" t="s">
        <v>22</v>
      </c>
      <c r="K1329" s="8" t="s">
        <v>37</v>
      </c>
      <c r="L1329" s="8" t="s">
        <v>3328</v>
      </c>
      <c r="M1329" s="8" t="s">
        <v>3329</v>
      </c>
      <c r="N1329" s="8" t="s">
        <v>6188</v>
      </c>
      <c r="O1329" s="8">
        <f>3+25/60+39/3600</f>
        <v>3.4274999999999998</v>
      </c>
      <c r="P1329" s="8" t="s">
        <v>6189</v>
      </c>
      <c r="Q1329" s="8">
        <f>-(4+7/60+28/3600)</f>
        <v>-4.1244444444444444</v>
      </c>
      <c r="R1329" s="8">
        <v>14</v>
      </c>
      <c r="S1329" s="8">
        <v>15</v>
      </c>
      <c r="T1329" s="8">
        <v>1</v>
      </c>
      <c r="U1329" s="8">
        <v>13.3</v>
      </c>
      <c r="V1329" s="8">
        <v>1</v>
      </c>
      <c r="W1329" s="8">
        <v>0.6</v>
      </c>
      <c r="X1329" s="8">
        <v>134</v>
      </c>
      <c r="Y1329" s="8" t="s">
        <v>3009</v>
      </c>
      <c r="Z1329" s="8" t="s">
        <v>3010</v>
      </c>
    </row>
    <row r="1330" spans="1:26" x14ac:dyDescent="0.2">
      <c r="A1330" s="8">
        <v>1329</v>
      </c>
      <c r="B1330" s="8" t="s">
        <v>6190</v>
      </c>
      <c r="C1330" s="8" t="s">
        <v>6190</v>
      </c>
      <c r="F1330" s="47"/>
      <c r="G1330" s="8">
        <v>16</v>
      </c>
      <c r="H1330" s="8" t="s">
        <v>21</v>
      </c>
      <c r="I1330" s="8" t="s">
        <v>22</v>
      </c>
      <c r="J1330" s="8" t="s">
        <v>22</v>
      </c>
      <c r="K1330" s="8" t="s">
        <v>91</v>
      </c>
      <c r="L1330" s="8" t="s">
        <v>3328</v>
      </c>
      <c r="M1330" s="8" t="s">
        <v>3329</v>
      </c>
      <c r="N1330" s="8" t="s">
        <v>6191</v>
      </c>
      <c r="O1330" s="8">
        <f>3+26/60+2.5/3600</f>
        <v>3.4340277777777781</v>
      </c>
      <c r="P1330" s="8" t="s">
        <v>6192</v>
      </c>
      <c r="Q1330" s="8">
        <f>-(17+35/60+30/3600)</f>
        <v>-17.591666666666665</v>
      </c>
      <c r="R1330" s="8">
        <v>12.7</v>
      </c>
      <c r="S1330" s="8">
        <v>13.5</v>
      </c>
      <c r="T1330" s="8">
        <v>0.8</v>
      </c>
      <c r="U1330" s="8">
        <v>13</v>
      </c>
      <c r="V1330" s="8">
        <v>1.4</v>
      </c>
      <c r="W1330" s="8">
        <v>1.2</v>
      </c>
      <c r="X1330" s="8">
        <v>35</v>
      </c>
      <c r="Y1330" s="8" t="s">
        <v>5172</v>
      </c>
      <c r="Z1330" s="8" t="s">
        <v>5173</v>
      </c>
    </row>
    <row r="1331" spans="1:26" x14ac:dyDescent="0.2">
      <c r="A1331" s="8">
        <v>1330</v>
      </c>
      <c r="B1331" s="8" t="s">
        <v>6193</v>
      </c>
      <c r="C1331" s="8" t="s">
        <v>6193</v>
      </c>
      <c r="F1331" s="47"/>
      <c r="G1331" s="8">
        <v>19</v>
      </c>
      <c r="H1331" s="8" t="s">
        <v>21</v>
      </c>
      <c r="I1331" s="8" t="s">
        <v>72</v>
      </c>
      <c r="J1331" s="8" t="s">
        <v>72</v>
      </c>
      <c r="K1331" s="8" t="s">
        <v>1405</v>
      </c>
      <c r="L1331" s="8" t="s">
        <v>3147</v>
      </c>
      <c r="M1331" s="8" t="s">
        <v>3148</v>
      </c>
      <c r="N1331" s="8" t="s">
        <v>6194</v>
      </c>
      <c r="O1331" s="8">
        <f>3+29/60+4.4/3600</f>
        <v>3.4845555555555556</v>
      </c>
      <c r="P1331" s="8" t="s">
        <v>6195</v>
      </c>
      <c r="Q1331" s="8">
        <f>+(41+40/60+32/3600)</f>
        <v>41.675555555555555</v>
      </c>
      <c r="R1331" s="8">
        <v>99</v>
      </c>
      <c r="S1331" s="8">
        <v>99</v>
      </c>
      <c r="T1331" s="8">
        <v>99</v>
      </c>
      <c r="U1331" s="8">
        <v>99</v>
      </c>
      <c r="Y1331" s="8" t="s">
        <v>6196</v>
      </c>
      <c r="Z1331" s="8" t="s">
        <v>6197</v>
      </c>
    </row>
    <row r="1332" spans="1:26" x14ac:dyDescent="0.2">
      <c r="A1332" s="8">
        <v>1331</v>
      </c>
      <c r="B1332" s="8" t="s">
        <v>6198</v>
      </c>
      <c r="C1332" s="8" t="s">
        <v>6198</v>
      </c>
      <c r="F1332" s="47" t="s">
        <v>56297</v>
      </c>
      <c r="G1332" s="8">
        <v>9</v>
      </c>
      <c r="H1332" s="8" t="s">
        <v>21</v>
      </c>
      <c r="I1332" s="8" t="s">
        <v>22</v>
      </c>
      <c r="J1332" s="8" t="s">
        <v>22</v>
      </c>
      <c r="K1332" s="8" t="s">
        <v>1136</v>
      </c>
      <c r="L1332" s="8" t="s">
        <v>3328</v>
      </c>
      <c r="M1332" s="8" t="s">
        <v>3329</v>
      </c>
      <c r="N1332" s="8" t="s">
        <v>6199</v>
      </c>
      <c r="O1332" s="8">
        <f>3+26/60+28.2/3600</f>
        <v>3.4411666666666667</v>
      </c>
      <c r="P1332" s="8" t="s">
        <v>6200</v>
      </c>
      <c r="Q1332" s="8">
        <f>-(21+21/60+20/3600)</f>
        <v>-21.355555555555558</v>
      </c>
      <c r="R1332" s="8">
        <v>13.4</v>
      </c>
      <c r="S1332" s="8">
        <v>14.3</v>
      </c>
      <c r="T1332" s="8">
        <v>0.9</v>
      </c>
      <c r="U1332" s="8">
        <v>13.2</v>
      </c>
      <c r="V1332" s="8">
        <v>0.9</v>
      </c>
      <c r="W1332" s="8">
        <v>0.7</v>
      </c>
      <c r="X1332" s="8">
        <v>3</v>
      </c>
      <c r="Y1332" s="8" t="s">
        <v>282</v>
      </c>
      <c r="Z1332" s="8" t="s">
        <v>283</v>
      </c>
    </row>
    <row r="1333" spans="1:26" x14ac:dyDescent="0.2">
      <c r="A1333" s="8">
        <v>1332</v>
      </c>
      <c r="B1333" s="8" t="s">
        <v>6201</v>
      </c>
      <c r="C1333" s="8" t="s">
        <v>6201</v>
      </c>
      <c r="F1333" s="47" t="s">
        <v>56298</v>
      </c>
      <c r="G1333" s="8">
        <v>6.5</v>
      </c>
      <c r="H1333" s="8" t="s">
        <v>21</v>
      </c>
      <c r="I1333" s="8" t="s">
        <v>22</v>
      </c>
      <c r="J1333" s="8" t="s">
        <v>22</v>
      </c>
      <c r="K1333" s="8" t="s">
        <v>58</v>
      </c>
      <c r="L1333" s="8" t="s">
        <v>3328</v>
      </c>
      <c r="M1333" s="8" t="s">
        <v>3329</v>
      </c>
      <c r="N1333" s="8" t="s">
        <v>6202</v>
      </c>
      <c r="O1333" s="8">
        <f>3+26/60+17/3600</f>
        <v>3.4380555555555556</v>
      </c>
      <c r="P1333" s="8" t="s">
        <v>6203</v>
      </c>
      <c r="Q1333" s="8">
        <f>-(21+20/60+4/3600)</f>
        <v>-21.334444444444443</v>
      </c>
      <c r="R1333" s="8">
        <v>10.3</v>
      </c>
      <c r="S1333" s="8">
        <v>11.3</v>
      </c>
      <c r="T1333" s="8">
        <v>1</v>
      </c>
      <c r="U1333" s="8">
        <v>12.2</v>
      </c>
      <c r="V1333" s="8">
        <v>4.5</v>
      </c>
      <c r="W1333" s="8">
        <v>1.4</v>
      </c>
      <c r="X1333" s="8">
        <v>115</v>
      </c>
      <c r="Y1333" s="8" t="s">
        <v>6204</v>
      </c>
      <c r="Z1333" s="8" t="s">
        <v>6205</v>
      </c>
    </row>
    <row r="1334" spans="1:26" x14ac:dyDescent="0.2">
      <c r="A1334" s="8">
        <v>1333</v>
      </c>
      <c r="B1334" s="8" t="s">
        <v>6206</v>
      </c>
      <c r="C1334" s="8" t="s">
        <v>6206</v>
      </c>
      <c r="F1334" s="47"/>
      <c r="G1334" s="8">
        <v>9</v>
      </c>
      <c r="H1334" s="8" t="s">
        <v>6207</v>
      </c>
      <c r="I1334" s="8" t="s">
        <v>1283</v>
      </c>
      <c r="J1334" s="8" t="s">
        <v>1283</v>
      </c>
      <c r="K1334" s="8" t="s">
        <v>6208</v>
      </c>
      <c r="L1334" s="8" t="s">
        <v>3147</v>
      </c>
      <c r="M1334" s="8" t="s">
        <v>3148</v>
      </c>
      <c r="N1334" s="8" t="s">
        <v>6209</v>
      </c>
      <c r="O1334" s="8">
        <f>3+29/60+18/3600</f>
        <v>3.4883333333333333</v>
      </c>
      <c r="P1334" s="8" t="s">
        <v>6210</v>
      </c>
      <c r="Q1334" s="8">
        <f>+(31+25/60+0/3600)</f>
        <v>31.416666666666668</v>
      </c>
      <c r="R1334" s="8">
        <v>99</v>
      </c>
      <c r="S1334" s="8">
        <v>99</v>
      </c>
      <c r="T1334" s="8">
        <v>99</v>
      </c>
      <c r="U1334" s="8">
        <v>99</v>
      </c>
      <c r="V1334" s="8">
        <v>6</v>
      </c>
      <c r="W1334" s="8">
        <v>3</v>
      </c>
      <c r="Y1334" s="8" t="s">
        <v>6211</v>
      </c>
      <c r="Z1334" s="8" t="s">
        <v>6212</v>
      </c>
    </row>
    <row r="1335" spans="1:26" x14ac:dyDescent="0.2">
      <c r="A1335" s="8">
        <v>1334</v>
      </c>
      <c r="B1335" s="8" t="s">
        <v>6213</v>
      </c>
      <c r="C1335" s="8" t="s">
        <v>6213</v>
      </c>
      <c r="F1335" s="47"/>
      <c r="G1335" s="8">
        <v>18</v>
      </c>
      <c r="H1335" s="8" t="s">
        <v>21</v>
      </c>
      <c r="I1335" s="8" t="s">
        <v>22</v>
      </c>
      <c r="J1335" s="8" t="s">
        <v>22</v>
      </c>
      <c r="K1335" s="8" t="s">
        <v>396</v>
      </c>
      <c r="L1335" s="8" t="s">
        <v>3147</v>
      </c>
      <c r="M1335" s="8" t="s">
        <v>3148</v>
      </c>
      <c r="N1335" s="8" t="s">
        <v>6214</v>
      </c>
      <c r="O1335" s="8">
        <f>3+30/60+1.7/3600</f>
        <v>3.5004722222222222</v>
      </c>
      <c r="P1335" s="8" t="s">
        <v>6215</v>
      </c>
      <c r="Q1335" s="8">
        <f>+(41+49/60+57/3600)</f>
        <v>41.832500000000003</v>
      </c>
      <c r="R1335" s="8">
        <v>13.2</v>
      </c>
      <c r="S1335" s="8">
        <v>14</v>
      </c>
      <c r="T1335" s="8">
        <v>0.8</v>
      </c>
      <c r="U1335" s="8">
        <v>13.1</v>
      </c>
      <c r="V1335" s="8">
        <v>1.5</v>
      </c>
      <c r="W1335" s="8">
        <v>0.7</v>
      </c>
      <c r="X1335" s="8">
        <v>115</v>
      </c>
      <c r="Y1335" s="8" t="s">
        <v>6216</v>
      </c>
      <c r="Z1335" s="8" t="s">
        <v>6217</v>
      </c>
    </row>
    <row r="1336" spans="1:26" x14ac:dyDescent="0.2">
      <c r="A1336" s="8">
        <v>1335</v>
      </c>
      <c r="B1336" s="8" t="s">
        <v>6218</v>
      </c>
      <c r="C1336" s="8" t="s">
        <v>6218</v>
      </c>
      <c r="F1336" s="47"/>
      <c r="G1336" s="8">
        <v>19</v>
      </c>
      <c r="H1336" s="8" t="s">
        <v>21</v>
      </c>
      <c r="I1336" s="8" t="s">
        <v>22</v>
      </c>
      <c r="J1336" s="8" t="s">
        <v>22</v>
      </c>
      <c r="K1336" s="8" t="s">
        <v>58</v>
      </c>
      <c r="L1336" s="8" t="s">
        <v>3147</v>
      </c>
      <c r="M1336" s="8" t="s">
        <v>3148</v>
      </c>
      <c r="N1336" s="8" t="s">
        <v>6219</v>
      </c>
      <c r="O1336" s="8">
        <f>3+30/60+19.4/3600</f>
        <v>3.5053888888888891</v>
      </c>
      <c r="P1336" s="8" t="s">
        <v>6220</v>
      </c>
      <c r="Q1336" s="8">
        <f>+(41+34/60+24/3600)</f>
        <v>41.573333333333338</v>
      </c>
      <c r="R1336" s="8">
        <v>13.8</v>
      </c>
      <c r="S1336" s="8">
        <v>14.8</v>
      </c>
      <c r="T1336" s="8">
        <v>1</v>
      </c>
      <c r="U1336" s="8">
        <v>13.1</v>
      </c>
      <c r="V1336" s="8">
        <v>1.1000000000000001</v>
      </c>
      <c r="W1336" s="8">
        <v>0.6</v>
      </c>
      <c r="X1336" s="8">
        <v>174</v>
      </c>
      <c r="Y1336" s="8" t="s">
        <v>6221</v>
      </c>
      <c r="Z1336" s="8" t="s">
        <v>6222</v>
      </c>
    </row>
    <row r="1337" spans="1:26" x14ac:dyDescent="0.2">
      <c r="A1337" s="8">
        <v>1336</v>
      </c>
      <c r="B1337" s="8" t="s">
        <v>6223</v>
      </c>
      <c r="C1337" s="8" t="s">
        <v>6223</v>
      </c>
      <c r="F1337" s="47"/>
      <c r="G1337" s="8">
        <v>16</v>
      </c>
      <c r="H1337" s="8" t="s">
        <v>21</v>
      </c>
      <c r="I1337" s="8" t="s">
        <v>22</v>
      </c>
      <c r="J1337" s="8" t="s">
        <v>22</v>
      </c>
      <c r="K1337" s="8" t="s">
        <v>58</v>
      </c>
      <c r="L1337" s="8" t="s">
        <v>3335</v>
      </c>
      <c r="M1337" s="8" t="s">
        <v>3336</v>
      </c>
      <c r="N1337" s="8" t="s">
        <v>6224</v>
      </c>
      <c r="O1337" s="8">
        <f>3+26/60+32/3600</f>
        <v>3.4422222222222225</v>
      </c>
      <c r="P1337" s="8" t="s">
        <v>6225</v>
      </c>
      <c r="Q1337" s="8">
        <f>-(35+42/60+48/3600)</f>
        <v>-35.713333333333338</v>
      </c>
      <c r="R1337" s="8">
        <v>12.3</v>
      </c>
      <c r="S1337" s="8">
        <v>13.1</v>
      </c>
      <c r="T1337" s="8">
        <v>0.8</v>
      </c>
      <c r="U1337" s="8">
        <v>13.4</v>
      </c>
      <c r="V1337" s="8">
        <v>2.1</v>
      </c>
      <c r="W1337" s="8">
        <v>1.5</v>
      </c>
      <c r="X1337" s="8">
        <v>22</v>
      </c>
      <c r="Y1337" s="8" t="s">
        <v>6226</v>
      </c>
      <c r="Z1337" s="8" t="s">
        <v>6227</v>
      </c>
    </row>
    <row r="1338" spans="1:26" x14ac:dyDescent="0.2">
      <c r="A1338" s="8">
        <v>1337</v>
      </c>
      <c r="B1338" s="8" t="s">
        <v>6228</v>
      </c>
      <c r="C1338" s="8" t="s">
        <v>6228</v>
      </c>
      <c r="F1338" s="47"/>
      <c r="G1338" s="8">
        <v>13</v>
      </c>
      <c r="H1338" s="8" t="s">
        <v>21</v>
      </c>
      <c r="I1338" s="8" t="s">
        <v>22</v>
      </c>
      <c r="J1338" s="8" t="s">
        <v>22</v>
      </c>
      <c r="K1338" s="8" t="s">
        <v>64</v>
      </c>
      <c r="L1338" s="8" t="s">
        <v>3328</v>
      </c>
      <c r="M1338" s="8" t="s">
        <v>3329</v>
      </c>
      <c r="N1338" s="8" t="s">
        <v>6229</v>
      </c>
      <c r="O1338" s="8">
        <f>3+28/60+5.6/3600</f>
        <v>3.4682222222222223</v>
      </c>
      <c r="P1338" s="8" t="s">
        <v>6230</v>
      </c>
      <c r="Q1338" s="8">
        <f>-(8+23/60+18/3600)</f>
        <v>-8.3883333333333336</v>
      </c>
      <c r="R1338" s="8">
        <v>11.9</v>
      </c>
      <c r="S1338" s="8">
        <v>12.5</v>
      </c>
      <c r="T1338" s="8">
        <v>0.6</v>
      </c>
      <c r="U1338" s="8">
        <v>14.1</v>
      </c>
      <c r="V1338" s="8">
        <v>5.7</v>
      </c>
      <c r="W1338" s="8">
        <v>1.5</v>
      </c>
      <c r="X1338" s="8">
        <v>144</v>
      </c>
      <c r="Y1338" s="8" t="s">
        <v>6231</v>
      </c>
      <c r="Z1338" s="8" t="s">
        <v>6232</v>
      </c>
    </row>
    <row r="1339" spans="1:26" x14ac:dyDescent="0.2">
      <c r="A1339" s="8">
        <v>1338</v>
      </c>
      <c r="B1339" s="8" t="s">
        <v>6233</v>
      </c>
      <c r="C1339" s="8" t="s">
        <v>6233</v>
      </c>
      <c r="F1339" s="47"/>
      <c r="G1339" s="8">
        <v>19</v>
      </c>
      <c r="H1339" s="8" t="s">
        <v>21</v>
      </c>
      <c r="I1339" s="8" t="s">
        <v>22</v>
      </c>
      <c r="J1339" s="8" t="s">
        <v>22</v>
      </c>
      <c r="K1339" s="8" t="s">
        <v>23</v>
      </c>
      <c r="L1339" s="8" t="s">
        <v>3328</v>
      </c>
      <c r="M1339" s="8" t="s">
        <v>3329</v>
      </c>
      <c r="N1339" s="8" t="s">
        <v>6234</v>
      </c>
      <c r="O1339" s="8">
        <f>3+28/60+54.4/3600</f>
        <v>3.4817777777777779</v>
      </c>
      <c r="P1339" s="8" t="s">
        <v>6235</v>
      </c>
      <c r="Q1339" s="8">
        <f>-(12+9/60+11/3600)</f>
        <v>-12.153055555555556</v>
      </c>
      <c r="R1339" s="8">
        <v>12.9</v>
      </c>
      <c r="S1339" s="8">
        <v>13.7</v>
      </c>
      <c r="T1339" s="8">
        <v>0.8</v>
      </c>
      <c r="U1339" s="8">
        <v>13.4</v>
      </c>
      <c r="V1339" s="8">
        <v>1.4</v>
      </c>
      <c r="W1339" s="8">
        <v>1.3</v>
      </c>
      <c r="X1339" s="8">
        <v>55</v>
      </c>
      <c r="Y1339" s="8" t="s">
        <v>6236</v>
      </c>
      <c r="Z1339" s="8" t="s">
        <v>6237</v>
      </c>
    </row>
    <row r="1340" spans="1:26" x14ac:dyDescent="0.2">
      <c r="A1340" s="8">
        <v>1339</v>
      </c>
      <c r="B1340" s="8" t="s">
        <v>6238</v>
      </c>
      <c r="C1340" s="8" t="s">
        <v>6238</v>
      </c>
      <c r="F1340" s="47"/>
      <c r="G1340" s="8">
        <v>13</v>
      </c>
      <c r="H1340" s="8" t="s">
        <v>21</v>
      </c>
      <c r="I1340" s="8" t="s">
        <v>22</v>
      </c>
      <c r="J1340" s="8" t="s">
        <v>22</v>
      </c>
      <c r="K1340" s="8" t="s">
        <v>382</v>
      </c>
      <c r="L1340" s="8" t="s">
        <v>3335</v>
      </c>
      <c r="M1340" s="8" t="s">
        <v>3336</v>
      </c>
      <c r="N1340" s="8" t="s">
        <v>6239</v>
      </c>
      <c r="O1340" s="8">
        <f>3+28/60+6.5/3600</f>
        <v>3.4684722222222222</v>
      </c>
      <c r="P1340" s="8" t="s">
        <v>6240</v>
      </c>
      <c r="Q1340" s="8">
        <f>-(32+17/60+8/3600)</f>
        <v>-32.285555555555554</v>
      </c>
      <c r="R1340" s="8">
        <v>11.6</v>
      </c>
      <c r="S1340" s="8">
        <v>12.5</v>
      </c>
      <c r="T1340" s="8">
        <v>0.9</v>
      </c>
      <c r="U1340" s="8">
        <v>12.6</v>
      </c>
      <c r="V1340" s="8">
        <v>1.5</v>
      </c>
      <c r="W1340" s="8">
        <v>1.1000000000000001</v>
      </c>
      <c r="X1340" s="8">
        <v>172</v>
      </c>
      <c r="Y1340" s="8" t="s">
        <v>6241</v>
      </c>
      <c r="Z1340" s="8" t="s">
        <v>6242</v>
      </c>
    </row>
    <row r="1341" spans="1:26" x14ac:dyDescent="0.2">
      <c r="A1341" s="8">
        <v>1340</v>
      </c>
      <c r="B1341" s="8" t="s">
        <v>6243</v>
      </c>
      <c r="C1341" s="8" t="s">
        <v>6243</v>
      </c>
      <c r="F1341" s="47"/>
      <c r="G1341" s="8">
        <v>16</v>
      </c>
      <c r="H1341" s="8" t="s">
        <v>21</v>
      </c>
      <c r="I1341" s="8" t="s">
        <v>22</v>
      </c>
      <c r="J1341" s="8" t="s">
        <v>57</v>
      </c>
      <c r="K1341" s="8" t="s">
        <v>1068</v>
      </c>
      <c r="L1341" s="8" t="s">
        <v>3335</v>
      </c>
      <c r="M1341" s="8" t="s">
        <v>3336</v>
      </c>
      <c r="N1341" s="8" t="s">
        <v>6244</v>
      </c>
      <c r="O1341" s="8">
        <f>3+28/60+19.5/3600</f>
        <v>3.4720833333333334</v>
      </c>
      <c r="P1341" s="8" t="s">
        <v>6245</v>
      </c>
      <c r="Q1341" s="8">
        <f>-(31+4/60+5/3600)</f>
        <v>-31.068055555555556</v>
      </c>
      <c r="R1341" s="8">
        <v>10.4</v>
      </c>
      <c r="S1341" s="8">
        <v>11.3</v>
      </c>
      <c r="T1341" s="8">
        <v>0.9</v>
      </c>
      <c r="U1341" s="8">
        <v>13.7</v>
      </c>
      <c r="V1341" s="8">
        <v>4.8</v>
      </c>
      <c r="W1341" s="8">
        <v>3.1</v>
      </c>
      <c r="X1341" s="8">
        <v>165</v>
      </c>
      <c r="Y1341" s="8" t="s">
        <v>6246</v>
      </c>
      <c r="Z1341" s="8" t="s">
        <v>6247</v>
      </c>
    </row>
    <row r="1342" spans="1:26" x14ac:dyDescent="0.2">
      <c r="A1342" s="8">
        <v>1341</v>
      </c>
      <c r="B1342" s="8" t="s">
        <v>6248</v>
      </c>
      <c r="C1342" s="8" t="s">
        <v>6248</v>
      </c>
      <c r="F1342" s="47"/>
      <c r="G1342" s="8">
        <v>11</v>
      </c>
      <c r="H1342" s="8" t="s">
        <v>21</v>
      </c>
      <c r="I1342" s="8" t="s">
        <v>22</v>
      </c>
      <c r="J1342" s="8" t="s">
        <v>22</v>
      </c>
      <c r="K1342" s="8" t="s">
        <v>406</v>
      </c>
      <c r="L1342" s="8" t="s">
        <v>3335</v>
      </c>
      <c r="M1342" s="8" t="s">
        <v>3336</v>
      </c>
      <c r="N1342" s="8" t="s">
        <v>6249</v>
      </c>
      <c r="O1342" s="8">
        <f>3+27/60+58.3/3600</f>
        <v>3.4661944444444446</v>
      </c>
      <c r="P1342" s="8" t="s">
        <v>6250</v>
      </c>
      <c r="Q1342" s="8">
        <f>-(37+8/60+58/3600)</f>
        <v>-37.149444444444441</v>
      </c>
      <c r="R1342" s="8">
        <v>11.8</v>
      </c>
      <c r="S1342" s="8">
        <v>12.3</v>
      </c>
      <c r="T1342" s="8">
        <v>0.5</v>
      </c>
      <c r="U1342" s="8">
        <v>12.9</v>
      </c>
      <c r="V1342" s="8">
        <v>1.2</v>
      </c>
      <c r="W1342" s="8">
        <v>1.1000000000000001</v>
      </c>
      <c r="X1342" s="8">
        <v>89</v>
      </c>
      <c r="Y1342" s="8" t="s">
        <v>6251</v>
      </c>
      <c r="Z1342" s="8" t="s">
        <v>6252</v>
      </c>
    </row>
    <row r="1343" spans="1:26" x14ac:dyDescent="0.2">
      <c r="A1343" s="8">
        <v>1342</v>
      </c>
      <c r="B1343" s="8" t="s">
        <v>6253</v>
      </c>
      <c r="C1343" s="8" t="s">
        <v>6253</v>
      </c>
      <c r="F1343" s="47" t="s">
        <v>56299</v>
      </c>
      <c r="G1343" s="8">
        <v>6</v>
      </c>
      <c r="H1343" s="8" t="s">
        <v>6254</v>
      </c>
      <c r="I1343" s="8" t="s">
        <v>557</v>
      </c>
      <c r="J1343" s="8" t="s">
        <v>557</v>
      </c>
      <c r="K1343" s="8" t="s">
        <v>6255</v>
      </c>
      <c r="L1343" s="8" t="s">
        <v>3147</v>
      </c>
      <c r="M1343" s="8" t="s">
        <v>3148</v>
      </c>
      <c r="N1343" s="8" t="s">
        <v>6256</v>
      </c>
      <c r="O1343" s="8">
        <f>3+31/60+38/3600</f>
        <v>3.527222222222222</v>
      </c>
      <c r="P1343" s="8" t="s">
        <v>6257</v>
      </c>
      <c r="Q1343" s="8">
        <f>+(37+22/60+36/3600)</f>
        <v>37.376666666666665</v>
      </c>
      <c r="R1343" s="8">
        <v>6.7</v>
      </c>
      <c r="S1343" s="8">
        <v>99</v>
      </c>
      <c r="T1343" s="8">
        <v>99</v>
      </c>
      <c r="U1343" s="8">
        <v>99</v>
      </c>
      <c r="V1343" s="8">
        <v>17</v>
      </c>
      <c r="Y1343" s="8" t="s">
        <v>6258</v>
      </c>
      <c r="Z1343" s="8" t="s">
        <v>6259</v>
      </c>
    </row>
    <row r="1344" spans="1:26" x14ac:dyDescent="0.2">
      <c r="A1344" s="8">
        <v>1343</v>
      </c>
      <c r="B1344" s="8" t="s">
        <v>6260</v>
      </c>
      <c r="C1344" s="8" t="s">
        <v>6260</v>
      </c>
      <c r="F1344" s="47" t="s">
        <v>56300</v>
      </c>
      <c r="G1344" s="8">
        <v>15</v>
      </c>
      <c r="H1344" s="8" t="s">
        <v>21</v>
      </c>
      <c r="I1344" s="8" t="s">
        <v>22</v>
      </c>
      <c r="J1344" s="8" t="s">
        <v>22</v>
      </c>
      <c r="K1344" s="8" t="s">
        <v>5751</v>
      </c>
      <c r="L1344" s="8" t="s">
        <v>559</v>
      </c>
      <c r="M1344" s="8" t="s">
        <v>560</v>
      </c>
      <c r="N1344" s="8" t="s">
        <v>6261</v>
      </c>
      <c r="O1344" s="8">
        <f>3+37/60+49.8/3600</f>
        <v>3.6305000000000001</v>
      </c>
      <c r="P1344" s="8" t="s">
        <v>6262</v>
      </c>
      <c r="Q1344" s="8">
        <f>+(72+34/60+17/3600)</f>
        <v>72.57138888888889</v>
      </c>
      <c r="R1344" s="8">
        <v>12.7</v>
      </c>
      <c r="S1344" s="8">
        <v>13.5</v>
      </c>
      <c r="T1344" s="8">
        <v>0.8</v>
      </c>
      <c r="U1344" s="8">
        <v>14.1</v>
      </c>
      <c r="V1344" s="8">
        <v>2.6</v>
      </c>
      <c r="W1344" s="8">
        <v>1.6</v>
      </c>
      <c r="X1344" s="8">
        <v>80</v>
      </c>
      <c r="Y1344" s="8" t="s">
        <v>6263</v>
      </c>
      <c r="Z1344" s="8" t="s">
        <v>6264</v>
      </c>
    </row>
    <row r="1345" spans="1:26" x14ac:dyDescent="0.2">
      <c r="A1345" s="8">
        <v>1344</v>
      </c>
      <c r="B1345" s="8" t="s">
        <v>6265</v>
      </c>
      <c r="C1345" s="8" t="s">
        <v>6265</v>
      </c>
      <c r="F1345" s="47" t="s">
        <v>56301</v>
      </c>
      <c r="G1345" s="8">
        <v>7</v>
      </c>
      <c r="H1345" s="8" t="s">
        <v>21</v>
      </c>
      <c r="I1345" s="8" t="s">
        <v>22</v>
      </c>
      <c r="J1345" s="8" t="s">
        <v>22</v>
      </c>
      <c r="K1345" s="8" t="s">
        <v>1068</v>
      </c>
      <c r="L1345" s="8" t="s">
        <v>3335</v>
      </c>
      <c r="M1345" s="8" t="s">
        <v>3336</v>
      </c>
      <c r="N1345" s="8" t="s">
        <v>6244</v>
      </c>
      <c r="O1345" s="8">
        <f>3+28/60+19.5/3600</f>
        <v>3.4720833333333334</v>
      </c>
      <c r="P1345" s="8" t="s">
        <v>6245</v>
      </c>
      <c r="Q1345" s="8">
        <f>-(31+4/60+5/3600)</f>
        <v>-31.068055555555556</v>
      </c>
      <c r="R1345" s="8">
        <v>10.4</v>
      </c>
      <c r="S1345" s="8">
        <v>11.3</v>
      </c>
      <c r="T1345" s="8">
        <v>0.9</v>
      </c>
      <c r="U1345" s="8">
        <v>13.7</v>
      </c>
      <c r="V1345" s="8">
        <v>4.8</v>
      </c>
      <c r="W1345" s="8">
        <v>3.1</v>
      </c>
      <c r="X1345" s="8">
        <v>165</v>
      </c>
      <c r="Y1345" s="8" t="s">
        <v>6246</v>
      </c>
      <c r="Z1345" s="8" t="s">
        <v>6266</v>
      </c>
    </row>
    <row r="1346" spans="1:26" x14ac:dyDescent="0.2">
      <c r="A1346" s="8">
        <v>1345</v>
      </c>
      <c r="B1346" s="8" t="s">
        <v>6267</v>
      </c>
      <c r="C1346" s="8" t="s">
        <v>6267</v>
      </c>
      <c r="F1346" s="47"/>
      <c r="G1346" s="8">
        <v>16</v>
      </c>
      <c r="H1346" s="8" t="s">
        <v>21</v>
      </c>
      <c r="I1346" s="8" t="s">
        <v>22</v>
      </c>
      <c r="J1346" s="8" t="s">
        <v>22</v>
      </c>
      <c r="K1346" s="8" t="s">
        <v>64</v>
      </c>
      <c r="L1346" s="8" t="s">
        <v>3328</v>
      </c>
      <c r="M1346" s="8" t="s">
        <v>3329</v>
      </c>
      <c r="N1346" s="8" t="s">
        <v>6268</v>
      </c>
      <c r="O1346" s="8">
        <f>3+29/60+31.5/3600</f>
        <v>3.4920833333333334</v>
      </c>
      <c r="P1346" s="8" t="s">
        <v>6269</v>
      </c>
      <c r="Q1346" s="8">
        <f>-(17+46/60+45/3600)</f>
        <v>-17.779166666666665</v>
      </c>
      <c r="R1346" s="8">
        <v>13.8</v>
      </c>
      <c r="S1346" s="8">
        <v>14.3</v>
      </c>
      <c r="T1346" s="8">
        <v>0.5</v>
      </c>
      <c r="U1346" s="8">
        <v>14.2</v>
      </c>
      <c r="V1346" s="8">
        <v>1.5</v>
      </c>
      <c r="W1346" s="8">
        <v>1.1000000000000001</v>
      </c>
      <c r="X1346" s="8">
        <v>108</v>
      </c>
      <c r="Y1346" s="8" t="s">
        <v>6270</v>
      </c>
      <c r="Z1346" s="8" t="s">
        <v>6271</v>
      </c>
    </row>
    <row r="1347" spans="1:26" x14ac:dyDescent="0.2">
      <c r="A1347" s="8">
        <v>1346</v>
      </c>
      <c r="B1347" s="8" t="s">
        <v>6272</v>
      </c>
      <c r="C1347" s="8" t="s">
        <v>6272</v>
      </c>
      <c r="F1347" s="47"/>
      <c r="G1347" s="8">
        <v>18</v>
      </c>
      <c r="H1347" s="8" t="s">
        <v>21</v>
      </c>
      <c r="I1347" s="8" t="s">
        <v>22</v>
      </c>
      <c r="J1347" s="8" t="s">
        <v>22</v>
      </c>
      <c r="K1347" s="8" t="s">
        <v>23</v>
      </c>
      <c r="L1347" s="8" t="s">
        <v>3328</v>
      </c>
      <c r="M1347" s="8" t="s">
        <v>3329</v>
      </c>
      <c r="N1347" s="8" t="s">
        <v>6273</v>
      </c>
      <c r="O1347" s="8">
        <f>3+30/60+13.2/3600</f>
        <v>3.5036666666666667</v>
      </c>
      <c r="P1347" s="8" t="s">
        <v>6274</v>
      </c>
      <c r="Q1347" s="8">
        <f>-(5+32/60+35/3600)</f>
        <v>-5.5430555555555552</v>
      </c>
      <c r="R1347" s="8">
        <v>13.2</v>
      </c>
      <c r="S1347" s="8">
        <v>14</v>
      </c>
      <c r="T1347" s="8">
        <v>0.8</v>
      </c>
      <c r="U1347" s="8">
        <v>12.8</v>
      </c>
      <c r="V1347" s="8">
        <v>1</v>
      </c>
      <c r="W1347" s="8">
        <v>0.7</v>
      </c>
      <c r="X1347" s="8">
        <v>85</v>
      </c>
      <c r="Y1347" s="8" t="s">
        <v>6275</v>
      </c>
      <c r="Z1347" s="8" t="s">
        <v>6276</v>
      </c>
    </row>
    <row r="1348" spans="1:26" x14ac:dyDescent="0.2">
      <c r="A1348" s="8">
        <v>1347</v>
      </c>
      <c r="B1348" s="8" t="s">
        <v>6277</v>
      </c>
      <c r="C1348" s="8" t="s">
        <v>6277</v>
      </c>
      <c r="E1348" s="8">
        <v>1</v>
      </c>
      <c r="F1348" s="47"/>
      <c r="G1348" s="8">
        <v>19</v>
      </c>
      <c r="H1348" s="8" t="s">
        <v>21</v>
      </c>
      <c r="I1348" s="8" t="s">
        <v>22</v>
      </c>
      <c r="J1348" s="8" t="s">
        <v>22</v>
      </c>
      <c r="K1348" s="8" t="s">
        <v>64</v>
      </c>
      <c r="L1348" s="8" t="s">
        <v>3328</v>
      </c>
      <c r="M1348" s="8" t="s">
        <v>3329</v>
      </c>
      <c r="N1348" s="8" t="s">
        <v>6278</v>
      </c>
      <c r="O1348" s="8">
        <f>3+29/60+41.8/3600</f>
        <v>3.4949444444444446</v>
      </c>
      <c r="P1348" s="8" t="s">
        <v>6279</v>
      </c>
      <c r="Q1348" s="8">
        <f>-(22+16/60+45/3600)</f>
        <v>-22.279166666666665</v>
      </c>
      <c r="R1348" s="8">
        <v>13.2</v>
      </c>
      <c r="S1348" s="8">
        <v>13.9</v>
      </c>
      <c r="T1348" s="8">
        <v>0.7</v>
      </c>
      <c r="U1348" s="8">
        <v>13.9</v>
      </c>
      <c r="V1348" s="8">
        <v>1.5</v>
      </c>
      <c r="W1348" s="8">
        <v>1.3</v>
      </c>
      <c r="X1348" s="8">
        <v>12</v>
      </c>
      <c r="Y1348" s="8" t="s">
        <v>6280</v>
      </c>
      <c r="Z1348" s="8" t="s">
        <v>6281</v>
      </c>
    </row>
    <row r="1349" spans="1:26" x14ac:dyDescent="0.2">
      <c r="A1349" s="8">
        <v>1348</v>
      </c>
      <c r="B1349" s="8" t="s">
        <v>6282</v>
      </c>
      <c r="C1349" s="8" t="s">
        <v>6282</v>
      </c>
      <c r="F1349" s="47" t="s">
        <v>56302</v>
      </c>
      <c r="G1349" s="8">
        <v>6.5</v>
      </c>
      <c r="H1349" s="8" t="s">
        <v>21</v>
      </c>
      <c r="I1349" s="8" t="s">
        <v>557</v>
      </c>
      <c r="J1349" s="8" t="s">
        <v>557</v>
      </c>
      <c r="K1349" s="8" t="s">
        <v>558</v>
      </c>
      <c r="L1349" s="8" t="s">
        <v>3147</v>
      </c>
      <c r="M1349" s="8" t="s">
        <v>3148</v>
      </c>
      <c r="N1349" s="8" t="s">
        <v>6283</v>
      </c>
      <c r="O1349" s="8">
        <f>3+34/60+6/3600</f>
        <v>3.5683333333333329</v>
      </c>
      <c r="P1349" s="8" t="s">
        <v>6284</v>
      </c>
      <c r="Q1349" s="8">
        <f>+(51+25/60+12/3600)</f>
        <v>51.419999999999995</v>
      </c>
      <c r="R1349" s="8">
        <v>99</v>
      </c>
      <c r="S1349" s="8">
        <v>99</v>
      </c>
      <c r="T1349" s="8">
        <v>99</v>
      </c>
      <c r="U1349" s="8">
        <v>99</v>
      </c>
      <c r="V1349" s="8">
        <v>6</v>
      </c>
      <c r="Y1349" s="8" t="s">
        <v>6285</v>
      </c>
      <c r="Z1349" s="8" t="s">
        <v>6286</v>
      </c>
    </row>
    <row r="1350" spans="1:26" x14ac:dyDescent="0.2">
      <c r="A1350" s="8">
        <v>1349</v>
      </c>
      <c r="B1350" s="8" t="s">
        <v>6287</v>
      </c>
      <c r="C1350" s="8" t="s">
        <v>6287</v>
      </c>
      <c r="F1350" s="47"/>
      <c r="G1350" s="8">
        <v>19</v>
      </c>
      <c r="H1350" s="8" t="s">
        <v>21</v>
      </c>
      <c r="I1350" s="8" t="s">
        <v>22</v>
      </c>
      <c r="J1350" s="8" t="s">
        <v>22</v>
      </c>
      <c r="K1350" s="8" t="s">
        <v>37</v>
      </c>
      <c r="L1350" s="8" t="s">
        <v>6115</v>
      </c>
      <c r="M1350" s="8" t="s">
        <v>6116</v>
      </c>
      <c r="N1350" s="8" t="s">
        <v>6288</v>
      </c>
      <c r="O1350" s="8">
        <f>3+31/60+27.4/3600</f>
        <v>3.5242777777777778</v>
      </c>
      <c r="P1350" s="8" t="s">
        <v>6289</v>
      </c>
      <c r="Q1350" s="8">
        <f>+(4+22/60+53/3600)</f>
        <v>4.3813888888888881</v>
      </c>
      <c r="R1350" s="8">
        <v>13.1</v>
      </c>
      <c r="S1350" s="8">
        <v>14.2</v>
      </c>
      <c r="T1350" s="8">
        <v>1.1000000000000001</v>
      </c>
      <c r="U1350" s="8">
        <v>12.2</v>
      </c>
      <c r="V1350" s="8">
        <v>0.8</v>
      </c>
      <c r="W1350" s="8">
        <v>0.8</v>
      </c>
      <c r="Y1350" s="8" t="s">
        <v>6290</v>
      </c>
      <c r="Z1350" s="8" t="s">
        <v>6291</v>
      </c>
    </row>
    <row r="1351" spans="1:26" x14ac:dyDescent="0.2">
      <c r="A1351" s="8">
        <v>1350</v>
      </c>
      <c r="B1351" s="8" t="s">
        <v>6292</v>
      </c>
      <c r="C1351" s="8" t="s">
        <v>6292</v>
      </c>
      <c r="F1351" s="47"/>
      <c r="G1351" s="8">
        <v>3</v>
      </c>
      <c r="H1351" s="8" t="s">
        <v>6293</v>
      </c>
      <c r="I1351" s="8" t="s">
        <v>22</v>
      </c>
      <c r="J1351" s="8" t="s">
        <v>22</v>
      </c>
      <c r="K1351" s="8" t="s">
        <v>406</v>
      </c>
      <c r="L1351" s="8" t="s">
        <v>3335</v>
      </c>
      <c r="M1351" s="8" t="s">
        <v>3336</v>
      </c>
      <c r="N1351" s="8" t="s">
        <v>6294</v>
      </c>
      <c r="O1351" s="8">
        <f>3+31/60+7.9/3600</f>
        <v>3.5188611111111112</v>
      </c>
      <c r="P1351" s="8" t="s">
        <v>6295</v>
      </c>
      <c r="Q1351" s="8">
        <f>-(33+37/60+38/3600)</f>
        <v>-33.627222222222223</v>
      </c>
      <c r="R1351" s="8">
        <v>10.3</v>
      </c>
      <c r="S1351" s="8">
        <v>11.2</v>
      </c>
      <c r="T1351" s="8">
        <v>0.9</v>
      </c>
      <c r="U1351" s="8">
        <v>13</v>
      </c>
      <c r="V1351" s="8">
        <v>5.9</v>
      </c>
      <c r="W1351" s="8">
        <v>3.1</v>
      </c>
      <c r="X1351" s="8">
        <v>170</v>
      </c>
      <c r="Y1351" s="8" t="s">
        <v>6296</v>
      </c>
      <c r="Z1351" s="8" t="s">
        <v>6297</v>
      </c>
    </row>
    <row r="1352" spans="1:26" x14ac:dyDescent="0.2">
      <c r="A1352" s="8">
        <v>1351</v>
      </c>
      <c r="B1352" s="8" t="s">
        <v>6298</v>
      </c>
      <c r="C1352" s="8" t="s">
        <v>6298</v>
      </c>
      <c r="F1352" s="47"/>
      <c r="G1352" s="8">
        <v>11</v>
      </c>
      <c r="H1352" s="8" t="s">
        <v>21</v>
      </c>
      <c r="I1352" s="8" t="s">
        <v>22</v>
      </c>
      <c r="J1352" s="8" t="s">
        <v>22</v>
      </c>
      <c r="K1352" s="8" t="s">
        <v>58</v>
      </c>
      <c r="L1352" s="8" t="s">
        <v>3335</v>
      </c>
      <c r="M1352" s="8" t="s">
        <v>3336</v>
      </c>
      <c r="N1352" s="8" t="s">
        <v>6299</v>
      </c>
      <c r="O1352" s="8">
        <f>3+30/60+34.9/3600</f>
        <v>3.5096944444444444</v>
      </c>
      <c r="P1352" s="8" t="s">
        <v>6300</v>
      </c>
      <c r="Q1352" s="8">
        <f>-(34+51/60+12/3600)</f>
        <v>-34.853333333333332</v>
      </c>
      <c r="R1352" s="8">
        <v>11.6</v>
      </c>
      <c r="S1352" s="8">
        <v>12.5</v>
      </c>
      <c r="T1352" s="8">
        <v>0.9</v>
      </c>
      <c r="U1352" s="8">
        <v>13.1</v>
      </c>
      <c r="V1352" s="8">
        <v>2.8</v>
      </c>
      <c r="W1352" s="8">
        <v>1.7</v>
      </c>
      <c r="X1352" s="8">
        <v>140</v>
      </c>
      <c r="Y1352" s="8" t="s">
        <v>6301</v>
      </c>
      <c r="Z1352" s="8" t="s">
        <v>6302</v>
      </c>
    </row>
    <row r="1353" spans="1:26" x14ac:dyDescent="0.2">
      <c r="A1353" s="8">
        <v>1352</v>
      </c>
      <c r="B1353" s="8" t="s">
        <v>6303</v>
      </c>
      <c r="C1353" s="8" t="s">
        <v>6303</v>
      </c>
      <c r="F1353" s="47"/>
      <c r="G1353" s="8">
        <v>16</v>
      </c>
      <c r="H1353" s="8" t="s">
        <v>21</v>
      </c>
      <c r="I1353" s="8" t="s">
        <v>22</v>
      </c>
      <c r="J1353" s="8" t="s">
        <v>22</v>
      </c>
      <c r="K1353" s="8" t="s">
        <v>224</v>
      </c>
      <c r="L1353" s="8" t="s">
        <v>3328</v>
      </c>
      <c r="M1353" s="8" t="s">
        <v>3329</v>
      </c>
      <c r="N1353" s="8" t="s">
        <v>6304</v>
      </c>
      <c r="O1353" s="8">
        <f>3+31/60+32.9/3600</f>
        <v>3.5258055555555554</v>
      </c>
      <c r="P1353" s="8" t="s">
        <v>6305</v>
      </c>
      <c r="Q1353" s="8">
        <f>-(19+16/60+40/3600)</f>
        <v>-19.277777777777779</v>
      </c>
      <c r="R1353" s="8">
        <v>13.3</v>
      </c>
      <c r="S1353" s="8">
        <v>14.3</v>
      </c>
      <c r="T1353" s="8">
        <v>1</v>
      </c>
      <c r="U1353" s="8">
        <v>12.9</v>
      </c>
      <c r="V1353" s="8">
        <v>1</v>
      </c>
      <c r="W1353" s="8">
        <v>0.7</v>
      </c>
      <c r="X1353" s="8">
        <v>116</v>
      </c>
      <c r="Y1353" s="8" t="s">
        <v>6306</v>
      </c>
      <c r="Z1353" s="8" t="s">
        <v>6307</v>
      </c>
    </row>
    <row r="1354" spans="1:26" x14ac:dyDescent="0.2">
      <c r="A1354" s="8">
        <v>1353</v>
      </c>
      <c r="B1354" s="8" t="s">
        <v>6308</v>
      </c>
      <c r="C1354" s="8" t="s">
        <v>6308</v>
      </c>
      <c r="F1354" s="47" t="s">
        <v>56303</v>
      </c>
      <c r="G1354" s="8">
        <v>6.5</v>
      </c>
      <c r="H1354" s="8" t="s">
        <v>21</v>
      </c>
      <c r="I1354" s="8" t="s">
        <v>22</v>
      </c>
      <c r="J1354" s="8" t="s">
        <v>22</v>
      </c>
      <c r="K1354" s="8" t="s">
        <v>218</v>
      </c>
      <c r="L1354" s="8" t="s">
        <v>3328</v>
      </c>
      <c r="M1354" s="8" t="s">
        <v>3329</v>
      </c>
      <c r="N1354" s="8" t="s">
        <v>6309</v>
      </c>
      <c r="O1354" s="8">
        <f>3+32/60+3.1/3600</f>
        <v>3.5341944444444442</v>
      </c>
      <c r="P1354" s="8" t="s">
        <v>6310</v>
      </c>
      <c r="Q1354" s="8">
        <f>-(20+49/60+8/3600)</f>
        <v>-20.818888888888889</v>
      </c>
      <c r="R1354" s="8">
        <v>11.5</v>
      </c>
      <c r="S1354" s="8">
        <v>12.4</v>
      </c>
      <c r="T1354" s="8">
        <v>0.9</v>
      </c>
      <c r="U1354" s="8">
        <v>13</v>
      </c>
      <c r="V1354" s="8">
        <v>3.4</v>
      </c>
      <c r="W1354" s="8">
        <v>1.4</v>
      </c>
      <c r="X1354" s="8">
        <v>138</v>
      </c>
      <c r="Y1354" s="8" t="s">
        <v>6311</v>
      </c>
      <c r="Z1354" s="8" t="s">
        <v>6312</v>
      </c>
    </row>
    <row r="1355" spans="1:26" x14ac:dyDescent="0.2">
      <c r="A1355" s="8">
        <v>1354</v>
      </c>
      <c r="B1355" s="8" t="s">
        <v>6313</v>
      </c>
      <c r="C1355" s="8" t="s">
        <v>6313</v>
      </c>
      <c r="F1355" s="47" t="s">
        <v>56304</v>
      </c>
      <c r="G1355" s="8">
        <v>15</v>
      </c>
      <c r="H1355" s="8" t="s">
        <v>21</v>
      </c>
      <c r="I1355" s="8" t="s">
        <v>22</v>
      </c>
      <c r="J1355" s="8" t="s">
        <v>22</v>
      </c>
      <c r="K1355" s="8" t="s">
        <v>632</v>
      </c>
      <c r="L1355" s="8" t="s">
        <v>3328</v>
      </c>
      <c r="M1355" s="8" t="s">
        <v>3329</v>
      </c>
      <c r="N1355" s="8" t="s">
        <v>6314</v>
      </c>
      <c r="O1355" s="8">
        <f>3+32/60+29.2/3600</f>
        <v>3.5414444444444442</v>
      </c>
      <c r="P1355" s="8" t="s">
        <v>6315</v>
      </c>
      <c r="Q1355" s="8">
        <f>-(15+13/60+15/3600)</f>
        <v>-15.220833333333333</v>
      </c>
      <c r="R1355" s="8">
        <v>12.3</v>
      </c>
      <c r="S1355" s="8">
        <v>13.2</v>
      </c>
      <c r="T1355" s="8">
        <v>0.9</v>
      </c>
      <c r="U1355" s="8">
        <v>12.8</v>
      </c>
      <c r="V1355" s="8">
        <v>2.2999999999999998</v>
      </c>
      <c r="W1355" s="8">
        <v>0.8</v>
      </c>
      <c r="X1355" s="8">
        <v>150</v>
      </c>
      <c r="Y1355" s="8" t="s">
        <v>6316</v>
      </c>
      <c r="Z1355" s="8" t="s">
        <v>6317</v>
      </c>
    </row>
    <row r="1356" spans="1:26" x14ac:dyDescent="0.2">
      <c r="A1356" s="8">
        <v>1355</v>
      </c>
      <c r="B1356" s="8" t="s">
        <v>6318</v>
      </c>
      <c r="C1356" s="8" t="s">
        <v>6318</v>
      </c>
      <c r="F1356" s="47"/>
      <c r="G1356" s="8">
        <v>12</v>
      </c>
      <c r="H1356" s="8" t="s">
        <v>21</v>
      </c>
      <c r="I1356" s="8" t="s">
        <v>22</v>
      </c>
      <c r="J1356" s="8" t="s">
        <v>22</v>
      </c>
      <c r="K1356" s="8" t="s">
        <v>37</v>
      </c>
      <c r="L1356" s="8" t="s">
        <v>3328</v>
      </c>
      <c r="M1356" s="8" t="s">
        <v>3329</v>
      </c>
      <c r="N1356" s="8" t="s">
        <v>6319</v>
      </c>
      <c r="O1356" s="8">
        <f>3+33/60+23.5/3600</f>
        <v>3.5565277777777777</v>
      </c>
      <c r="P1356" s="8" t="s">
        <v>6320</v>
      </c>
      <c r="Q1356" s="8">
        <f>-(4+59/60+54/3600)</f>
        <v>-4.9983333333333331</v>
      </c>
      <c r="R1356" s="8">
        <v>13.3</v>
      </c>
      <c r="S1356" s="8">
        <v>14.3</v>
      </c>
      <c r="T1356" s="8">
        <v>1</v>
      </c>
      <c r="U1356" s="8">
        <v>12.5</v>
      </c>
      <c r="V1356" s="8">
        <v>1.5</v>
      </c>
      <c r="W1356" s="8">
        <v>0.4</v>
      </c>
      <c r="X1356" s="8">
        <v>78</v>
      </c>
      <c r="Y1356" s="8" t="s">
        <v>6001</v>
      </c>
      <c r="Z1356" s="8" t="s">
        <v>6002</v>
      </c>
    </row>
    <row r="1357" spans="1:26" x14ac:dyDescent="0.2">
      <c r="A1357" s="8">
        <v>1356</v>
      </c>
      <c r="B1357" s="8" t="s">
        <v>6321</v>
      </c>
      <c r="C1357" s="8" t="s">
        <v>6321</v>
      </c>
      <c r="F1357" s="47"/>
      <c r="G1357" s="8">
        <v>16</v>
      </c>
      <c r="H1357" s="8" t="s">
        <v>21</v>
      </c>
      <c r="I1357" s="8" t="s">
        <v>22</v>
      </c>
      <c r="J1357" s="8" t="s">
        <v>22</v>
      </c>
      <c r="K1357" s="8" t="s">
        <v>85</v>
      </c>
      <c r="L1357" s="8" t="s">
        <v>4263</v>
      </c>
      <c r="M1357" s="8" t="s">
        <v>4264</v>
      </c>
      <c r="N1357" s="8" t="s">
        <v>6322</v>
      </c>
      <c r="O1357" s="8">
        <f>3+30/60+40.7/3600</f>
        <v>3.5113055555555555</v>
      </c>
      <c r="P1357" s="8" t="s">
        <v>6323</v>
      </c>
      <c r="Q1357" s="8">
        <f>-(50+18/60+33/3600)</f>
        <v>-50.309166666666663</v>
      </c>
      <c r="R1357" s="8">
        <v>13</v>
      </c>
      <c r="S1357" s="8">
        <v>13.7</v>
      </c>
      <c r="T1357" s="8">
        <v>0.7</v>
      </c>
      <c r="U1357" s="8">
        <v>13.3</v>
      </c>
      <c r="V1357" s="8">
        <v>1.7</v>
      </c>
      <c r="W1357" s="8">
        <v>0.9</v>
      </c>
      <c r="X1357" s="8">
        <v>173</v>
      </c>
      <c r="Y1357" s="8" t="s">
        <v>6324</v>
      </c>
      <c r="Z1357" s="8" t="s">
        <v>6325</v>
      </c>
    </row>
    <row r="1358" spans="1:26" x14ac:dyDescent="0.2">
      <c r="A1358" s="8">
        <v>1357</v>
      </c>
      <c r="B1358" s="8" t="s">
        <v>6326</v>
      </c>
      <c r="C1358" s="8" t="s">
        <v>6326</v>
      </c>
      <c r="F1358" s="47" t="s">
        <v>56305</v>
      </c>
      <c r="G1358" s="8">
        <v>13</v>
      </c>
      <c r="H1358" s="8" t="s">
        <v>21</v>
      </c>
      <c r="I1358" s="8" t="s">
        <v>22</v>
      </c>
      <c r="J1358" s="8" t="s">
        <v>22</v>
      </c>
      <c r="K1358" s="8" t="s">
        <v>31</v>
      </c>
      <c r="L1358" s="8" t="s">
        <v>3328</v>
      </c>
      <c r="M1358" s="8" t="s">
        <v>3329</v>
      </c>
      <c r="N1358" s="8" t="s">
        <v>6327</v>
      </c>
      <c r="O1358" s="8">
        <f>3+33/60+17.1/3600</f>
        <v>3.5547499999999999</v>
      </c>
      <c r="P1358" s="8" t="s">
        <v>6328</v>
      </c>
      <c r="Q1358" s="8">
        <f>-(13+39/60+52/3600)</f>
        <v>-13.664444444444445</v>
      </c>
      <c r="R1358" s="8">
        <v>11.5</v>
      </c>
      <c r="S1358" s="8">
        <v>12.4</v>
      </c>
      <c r="T1358" s="8">
        <v>0.9</v>
      </c>
      <c r="U1358" s="8">
        <v>13.2</v>
      </c>
      <c r="V1358" s="8">
        <v>3.2</v>
      </c>
      <c r="W1358" s="8">
        <v>2.4</v>
      </c>
      <c r="X1358" s="8">
        <v>85</v>
      </c>
      <c r="Y1358" s="8" t="s">
        <v>6329</v>
      </c>
      <c r="Z1358" s="8" t="s">
        <v>6330</v>
      </c>
    </row>
    <row r="1359" spans="1:26" x14ac:dyDescent="0.2">
      <c r="A1359" s="8">
        <v>1358</v>
      </c>
      <c r="B1359" s="8" t="s">
        <v>6331</v>
      </c>
      <c r="C1359" s="8" t="s">
        <v>6331</v>
      </c>
      <c r="F1359" s="47" t="s">
        <v>56306</v>
      </c>
      <c r="G1359" s="8">
        <v>13</v>
      </c>
      <c r="H1359" s="8" t="s">
        <v>21</v>
      </c>
      <c r="I1359" s="8" t="s">
        <v>22</v>
      </c>
      <c r="J1359" s="8" t="s">
        <v>22</v>
      </c>
      <c r="K1359" s="8" t="s">
        <v>435</v>
      </c>
      <c r="L1359" s="8" t="s">
        <v>3328</v>
      </c>
      <c r="M1359" s="8" t="s">
        <v>3329</v>
      </c>
      <c r="N1359" s="8" t="s">
        <v>6332</v>
      </c>
      <c r="O1359" s="8">
        <f>3+33/60+39.7/3600</f>
        <v>3.5610277777777775</v>
      </c>
      <c r="P1359" s="8" t="s">
        <v>6333</v>
      </c>
      <c r="Q1359" s="8">
        <f>-(5+5/60+20/3600)</f>
        <v>-5.0888888888888886</v>
      </c>
      <c r="R1359" s="8">
        <v>12.1</v>
      </c>
      <c r="S1359" s="8">
        <v>13</v>
      </c>
      <c r="T1359" s="8">
        <v>0.9</v>
      </c>
      <c r="U1359" s="8">
        <v>13.8</v>
      </c>
      <c r="V1359" s="8">
        <v>2.1</v>
      </c>
      <c r="W1359" s="8">
        <v>1.4</v>
      </c>
      <c r="X1359" s="8">
        <v>3</v>
      </c>
      <c r="Y1359" s="8" t="s">
        <v>6334</v>
      </c>
      <c r="Z1359" s="8" t="s">
        <v>6335</v>
      </c>
    </row>
    <row r="1360" spans="1:26" x14ac:dyDescent="0.2">
      <c r="A1360" s="8">
        <v>1359</v>
      </c>
      <c r="B1360" s="8" t="s">
        <v>6336</v>
      </c>
      <c r="C1360" s="8" t="s">
        <v>6336</v>
      </c>
      <c r="F1360" s="47"/>
      <c r="G1360" s="8">
        <v>13</v>
      </c>
      <c r="H1360" s="8" t="s">
        <v>21</v>
      </c>
      <c r="I1360" s="8" t="s">
        <v>22</v>
      </c>
      <c r="J1360" s="8" t="s">
        <v>22</v>
      </c>
      <c r="K1360" s="8" t="s">
        <v>6337</v>
      </c>
      <c r="L1360" s="8" t="s">
        <v>3328</v>
      </c>
      <c r="M1360" s="8" t="s">
        <v>3329</v>
      </c>
      <c r="N1360" s="8" t="s">
        <v>6338</v>
      </c>
      <c r="O1360" s="8">
        <f>3+33/60+47.8/3600</f>
        <v>3.5632777777777775</v>
      </c>
      <c r="P1360" s="8" t="s">
        <v>6339</v>
      </c>
      <c r="Q1360" s="8">
        <f>-(19+29/60+27/3600)</f>
        <v>-19.490833333333335</v>
      </c>
      <c r="R1360" s="8">
        <v>12.2</v>
      </c>
      <c r="S1360" s="8">
        <v>12.6</v>
      </c>
      <c r="T1360" s="8">
        <v>0.4</v>
      </c>
      <c r="U1360" s="8">
        <v>13.6</v>
      </c>
      <c r="V1360" s="8">
        <v>2.5</v>
      </c>
      <c r="W1360" s="8">
        <v>1.5</v>
      </c>
      <c r="X1360" s="8">
        <v>139</v>
      </c>
      <c r="Y1360" s="8" t="s">
        <v>6340</v>
      </c>
      <c r="Z1360" s="8" t="s">
        <v>6341</v>
      </c>
    </row>
    <row r="1361" spans="1:26" x14ac:dyDescent="0.2">
      <c r="A1361" s="8">
        <v>1360</v>
      </c>
      <c r="B1361" s="8" t="s">
        <v>6342</v>
      </c>
      <c r="C1361" s="8" t="s">
        <v>6342</v>
      </c>
      <c r="F1361" s="47"/>
      <c r="G1361" s="8">
        <v>3</v>
      </c>
      <c r="H1361" s="8" t="s">
        <v>6343</v>
      </c>
      <c r="I1361" s="8" t="s">
        <v>241</v>
      </c>
      <c r="J1361" s="8" t="s">
        <v>241</v>
      </c>
      <c r="K1361" s="8" t="s">
        <v>241</v>
      </c>
      <c r="L1361" s="8" t="s">
        <v>3335</v>
      </c>
      <c r="M1361" s="8" t="s">
        <v>3336</v>
      </c>
      <c r="N1361" s="8" t="s">
        <v>6344</v>
      </c>
      <c r="O1361" s="8">
        <f>3+33/60+14.6/3600</f>
        <v>3.5540555555555553</v>
      </c>
      <c r="P1361" s="8" t="s">
        <v>6345</v>
      </c>
      <c r="Q1361" s="8">
        <f>-(25+52/60+16/3600)</f>
        <v>-25.871111111111112</v>
      </c>
      <c r="R1361" s="8">
        <v>9.4</v>
      </c>
      <c r="S1361" s="8">
        <v>9.6</v>
      </c>
      <c r="T1361" s="8">
        <v>99</v>
      </c>
      <c r="U1361" s="8">
        <v>99</v>
      </c>
      <c r="V1361" s="8">
        <v>6.42</v>
      </c>
      <c r="Y1361" s="8" t="s">
        <v>6346</v>
      </c>
      <c r="Z1361" s="8" t="s">
        <v>6347</v>
      </c>
    </row>
    <row r="1362" spans="1:26" x14ac:dyDescent="0.2">
      <c r="A1362" s="8">
        <v>1361</v>
      </c>
      <c r="B1362" s="8" t="s">
        <v>6348</v>
      </c>
      <c r="C1362" s="8" t="s">
        <v>6348</v>
      </c>
      <c r="F1362" s="47"/>
      <c r="G1362" s="8">
        <v>19</v>
      </c>
      <c r="H1362" s="8" t="s">
        <v>21</v>
      </c>
      <c r="I1362" s="8" t="s">
        <v>22</v>
      </c>
      <c r="J1362" s="8" t="s">
        <v>22</v>
      </c>
      <c r="K1362" s="8" t="s">
        <v>6349</v>
      </c>
      <c r="L1362" s="8" t="s">
        <v>3328</v>
      </c>
      <c r="M1362" s="8" t="s">
        <v>3329</v>
      </c>
      <c r="N1362" s="8" t="s">
        <v>6350</v>
      </c>
      <c r="O1362" s="8">
        <f>3+34/60+17.7/3600</f>
        <v>3.5715833333333329</v>
      </c>
      <c r="P1362" s="8" t="s">
        <v>6351</v>
      </c>
      <c r="Q1362" s="8">
        <f>-(6+15/60+52/3600)</f>
        <v>-6.264444444444444</v>
      </c>
      <c r="R1362" s="8">
        <v>13.9</v>
      </c>
      <c r="S1362" s="8">
        <v>14.9</v>
      </c>
      <c r="T1362" s="8">
        <v>1</v>
      </c>
      <c r="U1362" s="8">
        <v>14.7</v>
      </c>
      <c r="V1362" s="8">
        <v>1.6</v>
      </c>
      <c r="W1362" s="8">
        <v>1.2</v>
      </c>
      <c r="X1362" s="8">
        <v>39</v>
      </c>
      <c r="Y1362" s="8" t="s">
        <v>3178</v>
      </c>
      <c r="Z1362" s="8" t="s">
        <v>3179</v>
      </c>
    </row>
    <row r="1363" spans="1:26" x14ac:dyDescent="0.2">
      <c r="A1363" s="8">
        <v>1362</v>
      </c>
      <c r="B1363" s="8" t="s">
        <v>6352</v>
      </c>
      <c r="C1363" s="8" t="s">
        <v>6352</v>
      </c>
      <c r="F1363" s="47"/>
      <c r="G1363" s="8">
        <v>16</v>
      </c>
      <c r="H1363" s="8" t="s">
        <v>21</v>
      </c>
      <c r="I1363" s="8" t="s">
        <v>22</v>
      </c>
      <c r="J1363" s="8" t="s">
        <v>22</v>
      </c>
      <c r="K1363" s="8" t="s">
        <v>37</v>
      </c>
      <c r="L1363" s="8" t="s">
        <v>3328</v>
      </c>
      <c r="M1363" s="8" t="s">
        <v>3329</v>
      </c>
      <c r="N1363" s="8" t="s">
        <v>6353</v>
      </c>
      <c r="O1363" s="8">
        <f>3+33/60+53/3600</f>
        <v>3.5647222222222221</v>
      </c>
      <c r="P1363" s="8" t="s">
        <v>6354</v>
      </c>
      <c r="Q1363" s="8">
        <f>-(20+16/60+56/3600)</f>
        <v>-20.28222222222222</v>
      </c>
      <c r="R1363" s="8">
        <v>12.8</v>
      </c>
      <c r="S1363" s="8">
        <v>13.8</v>
      </c>
      <c r="T1363" s="8">
        <v>1</v>
      </c>
      <c r="U1363" s="8">
        <v>12.9</v>
      </c>
      <c r="V1363" s="8">
        <v>1.2</v>
      </c>
      <c r="W1363" s="8">
        <v>1.1000000000000001</v>
      </c>
      <c r="X1363" s="8">
        <v>7</v>
      </c>
      <c r="Y1363" s="8" t="s">
        <v>170</v>
      </c>
      <c r="Z1363" s="8" t="s">
        <v>171</v>
      </c>
    </row>
    <row r="1364" spans="1:26" x14ac:dyDescent="0.2">
      <c r="A1364" s="8">
        <v>1363</v>
      </c>
      <c r="B1364" s="8" t="s">
        <v>6355</v>
      </c>
      <c r="C1364" s="8" t="s">
        <v>6355</v>
      </c>
      <c r="F1364" s="47"/>
      <c r="G1364" s="8">
        <v>19</v>
      </c>
      <c r="H1364" s="8" t="s">
        <v>21</v>
      </c>
      <c r="I1364" s="8" t="s">
        <v>22</v>
      </c>
      <c r="J1364" s="8" t="s">
        <v>22</v>
      </c>
      <c r="K1364" s="8" t="s">
        <v>396</v>
      </c>
      <c r="L1364" s="8" t="s">
        <v>3328</v>
      </c>
      <c r="M1364" s="8" t="s">
        <v>3329</v>
      </c>
      <c r="N1364" s="8" t="s">
        <v>6356</v>
      </c>
      <c r="O1364" s="8">
        <f>3+34/60+49.5/3600</f>
        <v>3.5804166666666664</v>
      </c>
      <c r="P1364" s="8" t="s">
        <v>6357</v>
      </c>
      <c r="Q1364" s="8">
        <f>-(9+50/60+32/3600)</f>
        <v>-9.8422222222222224</v>
      </c>
      <c r="R1364" s="8">
        <v>13.1</v>
      </c>
      <c r="S1364" s="8">
        <v>13.9</v>
      </c>
      <c r="T1364" s="8">
        <v>0.8</v>
      </c>
      <c r="U1364" s="8">
        <v>12.4</v>
      </c>
      <c r="V1364" s="8">
        <v>0.9</v>
      </c>
      <c r="W1364" s="8">
        <v>0.7</v>
      </c>
      <c r="X1364" s="8">
        <v>69</v>
      </c>
      <c r="Y1364" s="8" t="s">
        <v>6358</v>
      </c>
      <c r="Z1364" s="8" t="s">
        <v>6359</v>
      </c>
    </row>
    <row r="1365" spans="1:26" x14ac:dyDescent="0.2">
      <c r="A1365" s="8">
        <v>1364</v>
      </c>
      <c r="B1365" s="8" t="s">
        <v>6360</v>
      </c>
      <c r="C1365" s="8" t="s">
        <v>6360</v>
      </c>
      <c r="F1365" s="47"/>
      <c r="G1365" s="8">
        <v>19</v>
      </c>
      <c r="H1365" s="8" t="s">
        <v>21</v>
      </c>
      <c r="I1365" s="8" t="s">
        <v>22</v>
      </c>
      <c r="J1365" s="8" t="s">
        <v>22</v>
      </c>
      <c r="K1365" s="8" t="s">
        <v>579</v>
      </c>
      <c r="L1365" s="8" t="s">
        <v>3328</v>
      </c>
      <c r="M1365" s="8" t="s">
        <v>3329</v>
      </c>
      <c r="N1365" s="8" t="s">
        <v>6361</v>
      </c>
      <c r="O1365" s="8">
        <f>3+34/60+59/3600</f>
        <v>3.5830555555555552</v>
      </c>
      <c r="P1365" s="8" t="s">
        <v>6362</v>
      </c>
      <c r="Q1365" s="8">
        <f>-(9+50/60+20/3600)</f>
        <v>-9.8388888888888903</v>
      </c>
      <c r="R1365" s="8">
        <v>14.7</v>
      </c>
      <c r="S1365" s="8">
        <v>15.4</v>
      </c>
      <c r="T1365" s="8">
        <v>0.7</v>
      </c>
      <c r="U1365" s="8">
        <v>13</v>
      </c>
      <c r="V1365" s="8">
        <v>0.5</v>
      </c>
      <c r="W1365" s="8">
        <v>0.5</v>
      </c>
      <c r="Y1365" s="8" t="s">
        <v>6363</v>
      </c>
      <c r="Z1365" s="8" t="s">
        <v>6364</v>
      </c>
    </row>
    <row r="1366" spans="1:26" x14ac:dyDescent="0.2">
      <c r="A1366" s="8">
        <v>1365</v>
      </c>
      <c r="B1366" s="8" t="s">
        <v>6365</v>
      </c>
      <c r="C1366" s="8" t="s">
        <v>6365</v>
      </c>
      <c r="F1366" s="47"/>
      <c r="G1366" s="8">
        <v>3</v>
      </c>
      <c r="H1366" s="8" t="s">
        <v>6366</v>
      </c>
      <c r="I1366" s="8" t="s">
        <v>22</v>
      </c>
      <c r="J1366" s="8" t="s">
        <v>22</v>
      </c>
      <c r="K1366" s="8" t="s">
        <v>218</v>
      </c>
      <c r="L1366" s="8" t="s">
        <v>3335</v>
      </c>
      <c r="M1366" s="8" t="s">
        <v>3336</v>
      </c>
      <c r="N1366" s="8" t="s">
        <v>6367</v>
      </c>
      <c r="O1366" s="8">
        <f>3+33/60+36.7/3600</f>
        <v>3.5601944444444444</v>
      </c>
      <c r="P1366" s="8" t="s">
        <v>6368</v>
      </c>
      <c r="Q1366" s="8">
        <f>-(36+8/60+27/3600)</f>
        <v>-36.140833333333333</v>
      </c>
      <c r="R1366" s="8">
        <v>9.6</v>
      </c>
      <c r="S1366" s="8">
        <v>10.3</v>
      </c>
      <c r="T1366" s="8">
        <v>0.7</v>
      </c>
      <c r="U1366" s="8">
        <v>14.1</v>
      </c>
      <c r="V1366" s="8">
        <v>11</v>
      </c>
      <c r="W1366" s="8">
        <v>6.2</v>
      </c>
      <c r="X1366" s="8">
        <v>32</v>
      </c>
      <c r="Y1366" s="8" t="s">
        <v>6369</v>
      </c>
      <c r="Z1366" s="8" t="s">
        <v>6370</v>
      </c>
    </row>
    <row r="1367" spans="1:26" x14ac:dyDescent="0.2">
      <c r="A1367" s="8">
        <v>1366</v>
      </c>
      <c r="B1367" s="8" t="s">
        <v>6371</v>
      </c>
      <c r="C1367" s="8" t="s">
        <v>6371</v>
      </c>
      <c r="F1367" s="47" t="s">
        <v>56307</v>
      </c>
      <c r="G1367" s="8">
        <v>13</v>
      </c>
      <c r="H1367" s="8" t="s">
        <v>21</v>
      </c>
      <c r="I1367" s="8" t="s">
        <v>22</v>
      </c>
      <c r="J1367" s="8" t="s">
        <v>22</v>
      </c>
      <c r="K1367" s="8" t="s">
        <v>37</v>
      </c>
      <c r="L1367" s="8" t="s">
        <v>3335</v>
      </c>
      <c r="M1367" s="8" t="s">
        <v>3336</v>
      </c>
      <c r="N1367" s="8" t="s">
        <v>6372</v>
      </c>
      <c r="O1367" s="8">
        <f>3+33/60+53.6/3600</f>
        <v>3.5648888888888886</v>
      </c>
      <c r="P1367" s="8" t="s">
        <v>6373</v>
      </c>
      <c r="Q1367" s="8">
        <f>-(31+11/60+36/3600)</f>
        <v>-31.193333333333335</v>
      </c>
      <c r="R1367" s="8">
        <v>11.1</v>
      </c>
      <c r="S1367" s="8">
        <v>12</v>
      </c>
      <c r="T1367" s="8">
        <v>0.9</v>
      </c>
      <c r="U1367" s="8">
        <v>12.6</v>
      </c>
      <c r="V1367" s="8">
        <v>2.1</v>
      </c>
      <c r="W1367" s="8">
        <v>0.9</v>
      </c>
      <c r="X1367" s="8">
        <v>2</v>
      </c>
      <c r="Y1367" s="8" t="s">
        <v>6374</v>
      </c>
      <c r="Z1367" s="8" t="s">
        <v>6375</v>
      </c>
    </row>
    <row r="1368" spans="1:26" x14ac:dyDescent="0.2">
      <c r="A1368" s="8">
        <v>1367</v>
      </c>
      <c r="B1368" s="8" t="s">
        <v>6376</v>
      </c>
      <c r="C1368" s="8" t="s">
        <v>6376</v>
      </c>
      <c r="F1368" s="47"/>
      <c r="G1368" s="8">
        <v>19</v>
      </c>
      <c r="H1368" s="8" t="s">
        <v>21</v>
      </c>
      <c r="I1368" s="8" t="s">
        <v>22</v>
      </c>
      <c r="J1368" s="8" t="s">
        <v>57</v>
      </c>
      <c r="K1368" s="8" t="s">
        <v>154</v>
      </c>
      <c r="L1368" s="8" t="s">
        <v>3335</v>
      </c>
      <c r="M1368" s="8" t="s">
        <v>3336</v>
      </c>
      <c r="N1368" s="8" t="s">
        <v>6377</v>
      </c>
      <c r="O1368" s="8">
        <f>3+35/60+1.2/3600</f>
        <v>3.5836666666666668</v>
      </c>
      <c r="P1368" s="8" t="s">
        <v>6378</v>
      </c>
      <c r="Q1368" s="8">
        <f>-(24+56/60+0/3600)</f>
        <v>-24.933333333333334</v>
      </c>
      <c r="R1368" s="8">
        <v>10.7</v>
      </c>
      <c r="S1368" s="8">
        <v>11.6</v>
      </c>
      <c r="T1368" s="8">
        <v>0.9</v>
      </c>
      <c r="U1368" s="8">
        <v>13.9</v>
      </c>
      <c r="V1368" s="8">
        <v>5.6</v>
      </c>
      <c r="W1368" s="8">
        <v>3.9</v>
      </c>
      <c r="X1368" s="8">
        <v>135</v>
      </c>
      <c r="Y1368" s="8" t="s">
        <v>297</v>
      </c>
      <c r="Z1368" s="8" t="s">
        <v>298</v>
      </c>
    </row>
    <row r="1369" spans="1:26" x14ac:dyDescent="0.2">
      <c r="A1369" s="8">
        <v>1368</v>
      </c>
      <c r="B1369" s="8" t="s">
        <v>6379</v>
      </c>
      <c r="C1369" s="8" t="s">
        <v>6379</v>
      </c>
      <c r="F1369" s="47"/>
      <c r="G1369" s="8">
        <v>19</v>
      </c>
      <c r="H1369" s="8" t="s">
        <v>21</v>
      </c>
      <c r="I1369" s="8" t="s">
        <v>22</v>
      </c>
      <c r="J1369" s="8" t="s">
        <v>22</v>
      </c>
      <c r="K1369" s="8" t="s">
        <v>632</v>
      </c>
      <c r="L1369" s="8" t="s">
        <v>3328</v>
      </c>
      <c r="M1369" s="8" t="s">
        <v>3329</v>
      </c>
      <c r="N1369" s="8" t="s">
        <v>6380</v>
      </c>
      <c r="O1369" s="8">
        <f>3+34/60+58.8/3600</f>
        <v>3.5829999999999997</v>
      </c>
      <c r="P1369" s="8" t="s">
        <v>6381</v>
      </c>
      <c r="Q1369" s="8">
        <f>-(15+39/60+20/3600)</f>
        <v>-15.655555555555557</v>
      </c>
      <c r="R1369" s="8">
        <v>14.2</v>
      </c>
      <c r="S1369" s="8">
        <v>15.1</v>
      </c>
      <c r="T1369" s="8">
        <v>0.9</v>
      </c>
      <c r="U1369" s="8">
        <v>13.9</v>
      </c>
      <c r="V1369" s="8">
        <v>1.3</v>
      </c>
      <c r="W1369" s="8">
        <v>0.6</v>
      </c>
      <c r="X1369" s="8">
        <v>108</v>
      </c>
      <c r="Y1369" s="8" t="s">
        <v>3357</v>
      </c>
      <c r="Z1369" s="8" t="s">
        <v>3358</v>
      </c>
    </row>
    <row r="1370" spans="1:26" x14ac:dyDescent="0.2">
      <c r="A1370" s="8">
        <v>1369</v>
      </c>
      <c r="B1370" s="8" t="s">
        <v>6382</v>
      </c>
      <c r="C1370" s="8" t="s">
        <v>6382</v>
      </c>
      <c r="F1370" s="47"/>
      <c r="G1370" s="8">
        <v>9</v>
      </c>
      <c r="H1370" s="8" t="s">
        <v>21</v>
      </c>
      <c r="I1370" s="8" t="s">
        <v>22</v>
      </c>
      <c r="J1370" s="8" t="s">
        <v>22</v>
      </c>
      <c r="K1370" s="8" t="s">
        <v>435</v>
      </c>
      <c r="L1370" s="8" t="s">
        <v>3328</v>
      </c>
      <c r="M1370" s="8" t="s">
        <v>3329</v>
      </c>
      <c r="N1370" s="8" t="s">
        <v>6383</v>
      </c>
      <c r="O1370" s="8">
        <f>3+36/60+45.2/3600</f>
        <v>3.6125555555555557</v>
      </c>
      <c r="P1370" s="8" t="s">
        <v>6384</v>
      </c>
      <c r="Q1370" s="8">
        <f>-(36+15/60+20/3600)</f>
        <v>-36.255555555555553</v>
      </c>
      <c r="R1370" s="8">
        <v>12.8</v>
      </c>
      <c r="S1370" s="8">
        <v>13.7</v>
      </c>
      <c r="T1370" s="8">
        <v>0.9</v>
      </c>
      <c r="U1370" s="8">
        <v>13.4</v>
      </c>
      <c r="V1370" s="8">
        <v>1.5</v>
      </c>
      <c r="W1370" s="8">
        <v>1.4</v>
      </c>
      <c r="X1370" s="8">
        <v>12</v>
      </c>
      <c r="Y1370" s="8" t="s">
        <v>2802</v>
      </c>
      <c r="Z1370" s="8" t="s">
        <v>1021</v>
      </c>
    </row>
    <row r="1371" spans="1:26" x14ac:dyDescent="0.2">
      <c r="A1371" s="8">
        <v>1370</v>
      </c>
      <c r="B1371" s="8" t="s">
        <v>6385</v>
      </c>
      <c r="C1371" s="8" t="s">
        <v>6385</v>
      </c>
      <c r="F1371" s="47" t="s">
        <v>56308</v>
      </c>
      <c r="G1371" s="8">
        <v>15</v>
      </c>
      <c r="H1371" s="8" t="s">
        <v>21</v>
      </c>
      <c r="I1371" s="8" t="s">
        <v>22</v>
      </c>
      <c r="J1371" s="8" t="s">
        <v>22</v>
      </c>
      <c r="K1371" s="8" t="s">
        <v>382</v>
      </c>
      <c r="L1371" s="8" t="s">
        <v>3328</v>
      </c>
      <c r="M1371" s="8" t="s">
        <v>3329</v>
      </c>
      <c r="N1371" s="8" t="s">
        <v>6386</v>
      </c>
      <c r="O1371" s="8">
        <f>3+35/60+14.4/3600</f>
        <v>3.5873333333333335</v>
      </c>
      <c r="P1371" s="8" t="s">
        <v>6387</v>
      </c>
      <c r="Q1371" s="8">
        <f>-(20+22/60+24/3600)</f>
        <v>-20.373333333333335</v>
      </c>
      <c r="R1371" s="8">
        <v>12.6</v>
      </c>
      <c r="S1371" s="8">
        <v>13.6</v>
      </c>
      <c r="T1371" s="8">
        <v>1</v>
      </c>
      <c r="U1371" s="8">
        <v>12.9</v>
      </c>
      <c r="V1371" s="8">
        <v>1.5</v>
      </c>
      <c r="W1371" s="8">
        <v>1</v>
      </c>
      <c r="X1371" s="8">
        <v>50</v>
      </c>
      <c r="Y1371" s="8" t="s">
        <v>6388</v>
      </c>
      <c r="Z1371" s="8" t="s">
        <v>6389</v>
      </c>
    </row>
    <row r="1372" spans="1:26" x14ac:dyDescent="0.2">
      <c r="A1372" s="8">
        <v>1371</v>
      </c>
      <c r="B1372" s="8" t="s">
        <v>6390</v>
      </c>
      <c r="C1372" s="8" t="s">
        <v>6390</v>
      </c>
      <c r="F1372" s="47" t="s">
        <v>56309</v>
      </c>
      <c r="G1372" s="8">
        <v>13</v>
      </c>
      <c r="H1372" s="8" t="s">
        <v>21</v>
      </c>
      <c r="I1372" s="8" t="s">
        <v>22</v>
      </c>
      <c r="J1372" s="8" t="s">
        <v>22</v>
      </c>
      <c r="K1372" s="8" t="s">
        <v>154</v>
      </c>
      <c r="L1372" s="8" t="s">
        <v>3335</v>
      </c>
      <c r="M1372" s="8" t="s">
        <v>3336</v>
      </c>
      <c r="N1372" s="8" t="s">
        <v>6377</v>
      </c>
      <c r="O1372" s="8">
        <f>3+35/60+1.2/3600</f>
        <v>3.5836666666666668</v>
      </c>
      <c r="P1372" s="8" t="s">
        <v>6378</v>
      </c>
      <c r="Q1372" s="8">
        <f>-(24+56/60+0/3600)</f>
        <v>-24.933333333333334</v>
      </c>
      <c r="R1372" s="8">
        <v>10.7</v>
      </c>
      <c r="S1372" s="8">
        <v>11.6</v>
      </c>
      <c r="T1372" s="8">
        <v>0.9</v>
      </c>
      <c r="U1372" s="8">
        <v>13.9</v>
      </c>
      <c r="V1372" s="8">
        <v>5.6</v>
      </c>
      <c r="W1372" s="8">
        <v>3.9</v>
      </c>
      <c r="X1372" s="8">
        <v>135</v>
      </c>
      <c r="Y1372" s="8" t="s">
        <v>297</v>
      </c>
      <c r="Z1372" s="8" t="s">
        <v>6391</v>
      </c>
    </row>
    <row r="1373" spans="1:26" x14ac:dyDescent="0.2">
      <c r="A1373" s="8">
        <v>1372</v>
      </c>
      <c r="B1373" s="8" t="s">
        <v>6392</v>
      </c>
      <c r="C1373" s="8" t="s">
        <v>6392</v>
      </c>
      <c r="F1373" s="47"/>
      <c r="G1373" s="8">
        <v>19</v>
      </c>
      <c r="H1373" s="8" t="s">
        <v>21</v>
      </c>
      <c r="I1373" s="8" t="s">
        <v>22</v>
      </c>
      <c r="J1373" s="8" t="s">
        <v>22</v>
      </c>
      <c r="K1373" s="8" t="s">
        <v>460</v>
      </c>
      <c r="L1373" s="8" t="s">
        <v>3328</v>
      </c>
      <c r="M1373" s="8" t="s">
        <v>3329</v>
      </c>
      <c r="N1373" s="8" t="s">
        <v>6393</v>
      </c>
      <c r="O1373" s="8">
        <f>3+36/60+59.7/3600</f>
        <v>3.6165833333333333</v>
      </c>
      <c r="P1373" s="8" t="s">
        <v>6394</v>
      </c>
      <c r="Q1373" s="8">
        <f>-(15+52/60+54/3600)</f>
        <v>-15.881666666666668</v>
      </c>
      <c r="R1373" s="8">
        <v>14.3</v>
      </c>
      <c r="S1373" s="8">
        <v>15.3</v>
      </c>
      <c r="T1373" s="8">
        <v>1</v>
      </c>
      <c r="U1373" s="8">
        <v>13.3</v>
      </c>
      <c r="V1373" s="8">
        <v>0.6</v>
      </c>
      <c r="W1373" s="8">
        <v>0.6</v>
      </c>
      <c r="Y1373" s="8" t="s">
        <v>6395</v>
      </c>
      <c r="Z1373" s="8" t="s">
        <v>6396</v>
      </c>
    </row>
    <row r="1374" spans="1:26" x14ac:dyDescent="0.2">
      <c r="A1374" s="8">
        <v>1373</v>
      </c>
      <c r="B1374" s="8" t="s">
        <v>6397</v>
      </c>
      <c r="C1374" s="8" t="s">
        <v>6397</v>
      </c>
      <c r="F1374" s="47"/>
      <c r="G1374" s="8">
        <v>16</v>
      </c>
      <c r="H1374" s="8" t="s">
        <v>21</v>
      </c>
      <c r="I1374" s="8" t="s">
        <v>22</v>
      </c>
      <c r="J1374" s="8" t="s">
        <v>22</v>
      </c>
      <c r="K1374" s="8" t="s">
        <v>382</v>
      </c>
      <c r="L1374" s="8" t="s">
        <v>3335</v>
      </c>
      <c r="M1374" s="8" t="s">
        <v>3336</v>
      </c>
      <c r="N1374" s="8" t="s">
        <v>6398</v>
      </c>
      <c r="O1374" s="8">
        <f>3+34/60+59.1/3600</f>
        <v>3.5830833333333332</v>
      </c>
      <c r="P1374" s="8" t="s">
        <v>6399</v>
      </c>
      <c r="Q1374" s="8">
        <f>-(35+10/60+16/3600)</f>
        <v>-35.171111111111109</v>
      </c>
      <c r="R1374" s="8">
        <v>13.3</v>
      </c>
      <c r="S1374" s="8">
        <v>14.1</v>
      </c>
      <c r="T1374" s="8">
        <v>0.8</v>
      </c>
      <c r="U1374" s="8">
        <v>13.3</v>
      </c>
      <c r="V1374" s="8">
        <v>1.2</v>
      </c>
      <c r="W1374" s="8">
        <v>0.9</v>
      </c>
      <c r="X1374" s="8">
        <v>131</v>
      </c>
      <c r="Y1374" s="8" t="s">
        <v>6400</v>
      </c>
      <c r="Z1374" s="8" t="s">
        <v>6401</v>
      </c>
    </row>
    <row r="1375" spans="1:26" x14ac:dyDescent="0.2">
      <c r="A1375" s="8">
        <v>1374</v>
      </c>
      <c r="B1375" s="8" t="s">
        <v>6402</v>
      </c>
      <c r="C1375" s="8" t="s">
        <v>6402</v>
      </c>
      <c r="F1375" s="47"/>
      <c r="G1375" s="8">
        <v>11</v>
      </c>
      <c r="H1375" s="8" t="s">
        <v>21</v>
      </c>
      <c r="I1375" s="8" t="s">
        <v>22</v>
      </c>
      <c r="J1375" s="8" t="s">
        <v>22</v>
      </c>
      <c r="K1375" s="8" t="s">
        <v>183</v>
      </c>
      <c r="L1375" s="8" t="s">
        <v>3335</v>
      </c>
      <c r="M1375" s="8" t="s">
        <v>3336</v>
      </c>
      <c r="N1375" s="8" t="s">
        <v>6403</v>
      </c>
      <c r="O1375" s="8">
        <f>3+35/60+16.6/3600</f>
        <v>3.5879444444444446</v>
      </c>
      <c r="P1375" s="8" t="s">
        <v>6404</v>
      </c>
      <c r="Q1375" s="8">
        <f>-(35+13/60+33/3600)</f>
        <v>-35.225833333333334</v>
      </c>
      <c r="R1375" s="8">
        <v>11.1</v>
      </c>
      <c r="S1375" s="8">
        <v>12</v>
      </c>
      <c r="T1375" s="8">
        <v>0.9</v>
      </c>
      <c r="U1375" s="8">
        <v>12.9</v>
      </c>
      <c r="V1375" s="8">
        <v>2.7</v>
      </c>
      <c r="W1375" s="8">
        <v>2.4</v>
      </c>
      <c r="X1375" s="8">
        <v>124</v>
      </c>
      <c r="Y1375" s="8" t="s">
        <v>6405</v>
      </c>
      <c r="Z1375" s="8" t="s">
        <v>6406</v>
      </c>
    </row>
    <row r="1376" spans="1:26" x14ac:dyDescent="0.2">
      <c r="A1376" s="8">
        <v>1375</v>
      </c>
      <c r="B1376" s="8" t="s">
        <v>6407</v>
      </c>
      <c r="C1376" s="8" t="s">
        <v>6407</v>
      </c>
      <c r="F1376" s="47"/>
      <c r="G1376" s="8">
        <v>16</v>
      </c>
      <c r="H1376" s="8" t="s">
        <v>21</v>
      </c>
      <c r="I1376" s="8" t="s">
        <v>22</v>
      </c>
      <c r="J1376" s="8" t="s">
        <v>22</v>
      </c>
      <c r="K1376" s="8" t="s">
        <v>224</v>
      </c>
      <c r="L1376" s="8" t="s">
        <v>3335</v>
      </c>
      <c r="M1376" s="8" t="s">
        <v>3336</v>
      </c>
      <c r="N1376" s="8" t="s">
        <v>6408</v>
      </c>
      <c r="O1376" s="8">
        <f>3+35/60+16.8/3600</f>
        <v>3.5880000000000001</v>
      </c>
      <c r="P1376" s="8" t="s">
        <v>6409</v>
      </c>
      <c r="Q1376" s="8">
        <f>-(35+15/60+57/3600)</f>
        <v>-35.265833333333333</v>
      </c>
      <c r="R1376" s="8">
        <v>12.4</v>
      </c>
      <c r="S1376" s="8">
        <v>13.2</v>
      </c>
      <c r="T1376" s="8">
        <v>0.8</v>
      </c>
      <c r="U1376" s="8">
        <v>13</v>
      </c>
      <c r="V1376" s="8">
        <v>2.2999999999999998</v>
      </c>
      <c r="W1376" s="8">
        <v>0.9</v>
      </c>
      <c r="X1376" s="8">
        <v>91</v>
      </c>
      <c r="Y1376" s="8" t="s">
        <v>6410</v>
      </c>
      <c r="Z1376" s="8" t="s">
        <v>6411</v>
      </c>
    </row>
    <row r="1377" spans="1:26" x14ac:dyDescent="0.2">
      <c r="A1377" s="8">
        <v>1376</v>
      </c>
      <c r="B1377" s="8" t="s">
        <v>6412</v>
      </c>
      <c r="C1377" s="8" t="s">
        <v>6412</v>
      </c>
      <c r="F1377" s="47" t="s">
        <v>56310</v>
      </c>
      <c r="G1377" s="8">
        <v>13</v>
      </c>
      <c r="H1377" s="8" t="s">
        <v>21</v>
      </c>
      <c r="I1377" s="8" t="s">
        <v>22</v>
      </c>
      <c r="J1377" s="8" t="s">
        <v>22</v>
      </c>
      <c r="K1377" s="8" t="s">
        <v>160</v>
      </c>
      <c r="L1377" s="8" t="s">
        <v>3328</v>
      </c>
      <c r="M1377" s="8" t="s">
        <v>3329</v>
      </c>
      <c r="N1377" s="8" t="s">
        <v>6413</v>
      </c>
      <c r="O1377" s="8">
        <f>3+37/60+6/3600</f>
        <v>3.6183333333333332</v>
      </c>
      <c r="P1377" s="8" t="s">
        <v>6414</v>
      </c>
      <c r="Q1377" s="8">
        <f>-(5+2/60+34/3600)</f>
        <v>-5.0427777777777774</v>
      </c>
      <c r="R1377" s="8">
        <v>12.1</v>
      </c>
      <c r="S1377" s="8">
        <v>12.8</v>
      </c>
      <c r="T1377" s="8">
        <v>0.7</v>
      </c>
      <c r="U1377" s="8">
        <v>13.5</v>
      </c>
      <c r="V1377" s="8">
        <v>2.1</v>
      </c>
      <c r="W1377" s="8">
        <v>1.9</v>
      </c>
      <c r="X1377" s="8">
        <v>95</v>
      </c>
      <c r="Y1377" s="8" t="s">
        <v>6415</v>
      </c>
      <c r="Z1377" s="8" t="s">
        <v>6416</v>
      </c>
    </row>
    <row r="1378" spans="1:26" x14ac:dyDescent="0.2">
      <c r="A1378" s="8">
        <v>1377</v>
      </c>
      <c r="B1378" s="8" t="s">
        <v>6417</v>
      </c>
      <c r="C1378" s="8" t="s">
        <v>6417</v>
      </c>
      <c r="F1378" s="47" t="s">
        <v>56311</v>
      </c>
      <c r="G1378" s="8">
        <v>15</v>
      </c>
      <c r="H1378" s="8" t="s">
        <v>21</v>
      </c>
      <c r="I1378" s="8" t="s">
        <v>22</v>
      </c>
      <c r="J1378" s="8" t="s">
        <v>22</v>
      </c>
      <c r="K1378" s="8" t="s">
        <v>37</v>
      </c>
      <c r="L1378" s="8" t="s">
        <v>3328</v>
      </c>
      <c r="M1378" s="8" t="s">
        <v>3329</v>
      </c>
      <c r="N1378" s="8" t="s">
        <v>6418</v>
      </c>
      <c r="O1378" s="8">
        <f>3+36/60+39/3600</f>
        <v>3.6108333333333333</v>
      </c>
      <c r="P1378" s="8" t="s">
        <v>6419</v>
      </c>
      <c r="Q1378" s="8">
        <f>-(20+54/60+5/3600)</f>
        <v>-20.901388888888889</v>
      </c>
      <c r="R1378" s="8">
        <v>12.5</v>
      </c>
      <c r="S1378" s="8">
        <v>13.5</v>
      </c>
      <c r="T1378" s="8">
        <v>1</v>
      </c>
      <c r="U1378" s="8">
        <v>12.9</v>
      </c>
      <c r="V1378" s="8">
        <v>1.8</v>
      </c>
      <c r="W1378" s="8">
        <v>0.9</v>
      </c>
      <c r="X1378" s="8">
        <v>92</v>
      </c>
      <c r="Y1378" s="8" t="s">
        <v>6420</v>
      </c>
      <c r="Z1378" s="8" t="s">
        <v>6421</v>
      </c>
    </row>
    <row r="1379" spans="1:26" x14ac:dyDescent="0.2">
      <c r="A1379" s="8">
        <v>1378</v>
      </c>
      <c r="B1379" s="8" t="s">
        <v>6422</v>
      </c>
      <c r="C1379" s="8" t="s">
        <v>6422</v>
      </c>
      <c r="F1379" s="47"/>
      <c r="G1379" s="8">
        <v>18</v>
      </c>
      <c r="H1379" s="8" t="s">
        <v>21</v>
      </c>
      <c r="I1379" s="8" t="s">
        <v>72</v>
      </c>
      <c r="J1379" s="8" t="s">
        <v>72</v>
      </c>
      <c r="K1379" s="8" t="s">
        <v>73</v>
      </c>
      <c r="L1379" s="8" t="s">
        <v>3335</v>
      </c>
      <c r="M1379" s="8" t="s">
        <v>3336</v>
      </c>
      <c r="N1379" s="8" t="s">
        <v>6423</v>
      </c>
      <c r="O1379" s="8">
        <f>3+35/60+58.2/3600</f>
        <v>3.5995000000000004</v>
      </c>
      <c r="P1379" s="8" t="s">
        <v>6424</v>
      </c>
      <c r="Q1379" s="8">
        <f>-(35+12/60+40/3600)</f>
        <v>-35.211111111111116</v>
      </c>
      <c r="R1379" s="8">
        <v>99</v>
      </c>
      <c r="S1379" s="8">
        <v>99</v>
      </c>
      <c r="T1379" s="8">
        <v>99</v>
      </c>
      <c r="U1379" s="8">
        <v>99</v>
      </c>
      <c r="Y1379" s="8" t="s">
        <v>2802</v>
      </c>
      <c r="Z1379" s="8" t="s">
        <v>1021</v>
      </c>
    </row>
    <row r="1380" spans="1:26" x14ac:dyDescent="0.2">
      <c r="A1380" s="8">
        <v>1379</v>
      </c>
      <c r="B1380" s="8" t="s">
        <v>6425</v>
      </c>
      <c r="C1380" s="8" t="s">
        <v>6425</v>
      </c>
      <c r="F1380" s="47"/>
      <c r="G1380" s="8">
        <v>11</v>
      </c>
      <c r="H1380" s="8" t="s">
        <v>21</v>
      </c>
      <c r="I1380" s="8" t="s">
        <v>22</v>
      </c>
      <c r="J1380" s="8" t="s">
        <v>22</v>
      </c>
      <c r="K1380" s="8" t="s">
        <v>460</v>
      </c>
      <c r="L1380" s="8" t="s">
        <v>3335</v>
      </c>
      <c r="M1380" s="8" t="s">
        <v>3336</v>
      </c>
      <c r="N1380" s="8" t="s">
        <v>6426</v>
      </c>
      <c r="O1380" s="8">
        <f>3+36/60+3.8/3600</f>
        <v>3.6010555555555555</v>
      </c>
      <c r="P1380" s="8" t="s">
        <v>6427</v>
      </c>
      <c r="Q1380" s="8">
        <f>-(35+26/60+27/3600)</f>
        <v>-35.44083333333333</v>
      </c>
      <c r="R1380" s="8">
        <v>10.9</v>
      </c>
      <c r="S1380" s="8">
        <v>11.8</v>
      </c>
      <c r="T1380" s="8">
        <v>0.9</v>
      </c>
      <c r="U1380" s="8">
        <v>12.8</v>
      </c>
      <c r="V1380" s="8">
        <v>2.4</v>
      </c>
      <c r="W1380" s="8">
        <v>2.2999999999999998</v>
      </c>
      <c r="X1380" s="8">
        <v>17</v>
      </c>
      <c r="Y1380" s="8" t="s">
        <v>6428</v>
      </c>
      <c r="Z1380" s="8" t="s">
        <v>6429</v>
      </c>
    </row>
    <row r="1381" spans="1:26" x14ac:dyDescent="0.2">
      <c r="A1381" s="8">
        <v>1380</v>
      </c>
      <c r="B1381" s="8" t="s">
        <v>6430</v>
      </c>
      <c r="C1381" s="8" t="s">
        <v>6430</v>
      </c>
      <c r="F1381" s="47"/>
      <c r="G1381" s="8">
        <v>3</v>
      </c>
      <c r="H1381" s="8" t="s">
        <v>21</v>
      </c>
      <c r="I1381" s="8" t="s">
        <v>22</v>
      </c>
      <c r="J1381" s="8" t="s">
        <v>22</v>
      </c>
      <c r="K1381" s="8" t="s">
        <v>224</v>
      </c>
      <c r="L1381" s="8" t="s">
        <v>3335</v>
      </c>
      <c r="M1381" s="8" t="s">
        <v>3336</v>
      </c>
      <c r="N1381" s="8" t="s">
        <v>6431</v>
      </c>
      <c r="O1381" s="8">
        <f>3+36/60+27.5/3600</f>
        <v>3.6076388888888888</v>
      </c>
      <c r="P1381" s="8" t="s">
        <v>6432</v>
      </c>
      <c r="Q1381" s="8">
        <f>-(34+58/60+31/3600)</f>
        <v>-34.975277777777777</v>
      </c>
      <c r="R1381" s="8">
        <v>9.9</v>
      </c>
      <c r="S1381" s="8">
        <v>10.9</v>
      </c>
      <c r="T1381" s="8">
        <v>1</v>
      </c>
      <c r="U1381" s="8">
        <v>12.4</v>
      </c>
      <c r="V1381" s="8">
        <v>4</v>
      </c>
      <c r="W1381" s="8">
        <v>2.4</v>
      </c>
      <c r="X1381" s="8">
        <v>7</v>
      </c>
      <c r="Y1381" s="8" t="s">
        <v>6433</v>
      </c>
      <c r="Z1381" s="8" t="s">
        <v>6434</v>
      </c>
    </row>
    <row r="1382" spans="1:26" x14ac:dyDescent="0.2">
      <c r="A1382" s="8">
        <v>1381</v>
      </c>
      <c r="B1382" s="8" t="s">
        <v>6435</v>
      </c>
      <c r="C1382" s="8" t="s">
        <v>6435</v>
      </c>
      <c r="F1382" s="47"/>
      <c r="G1382" s="8">
        <v>11</v>
      </c>
      <c r="H1382" s="8" t="s">
        <v>21</v>
      </c>
      <c r="I1382" s="8" t="s">
        <v>22</v>
      </c>
      <c r="J1382" s="8" t="s">
        <v>22</v>
      </c>
      <c r="K1382" s="8" t="s">
        <v>37</v>
      </c>
      <c r="L1382" s="8" t="s">
        <v>3335</v>
      </c>
      <c r="M1382" s="8" t="s">
        <v>3336</v>
      </c>
      <c r="N1382" s="8" t="s">
        <v>6436</v>
      </c>
      <c r="O1382" s="8">
        <f>3+36/60+31.8/3600</f>
        <v>3.6088333333333336</v>
      </c>
      <c r="P1382" s="8" t="s">
        <v>6437</v>
      </c>
      <c r="Q1382" s="8">
        <f>-(35+17/60+43/3600)</f>
        <v>-35.295277777777777</v>
      </c>
      <c r="R1382" s="8">
        <v>11.5</v>
      </c>
      <c r="S1382" s="8">
        <v>12.4</v>
      </c>
      <c r="T1382" s="8">
        <v>0.9</v>
      </c>
      <c r="U1382" s="8">
        <v>12.1</v>
      </c>
      <c r="V1382" s="8">
        <v>2.6</v>
      </c>
      <c r="W1382" s="8">
        <v>0.8</v>
      </c>
      <c r="X1382" s="8">
        <v>139</v>
      </c>
      <c r="Y1382" s="8" t="s">
        <v>2802</v>
      </c>
      <c r="Z1382" s="8" t="s">
        <v>1021</v>
      </c>
    </row>
    <row r="1383" spans="1:26" x14ac:dyDescent="0.2">
      <c r="A1383" s="8">
        <v>1382</v>
      </c>
      <c r="B1383" s="8" t="s">
        <v>6438</v>
      </c>
      <c r="C1383" s="8" t="s">
        <v>6438</v>
      </c>
      <c r="F1383" s="47"/>
      <c r="G1383" s="8">
        <v>18</v>
      </c>
      <c r="H1383" s="8" t="s">
        <v>21</v>
      </c>
      <c r="I1383" s="8" t="s">
        <v>22</v>
      </c>
      <c r="J1383" s="8" t="s">
        <v>22</v>
      </c>
      <c r="K1383" s="8" t="s">
        <v>118</v>
      </c>
      <c r="L1383" s="8" t="s">
        <v>3335</v>
      </c>
      <c r="M1383" s="8" t="s">
        <v>3336</v>
      </c>
      <c r="N1383" s="8" t="s">
        <v>6439</v>
      </c>
      <c r="O1383" s="8">
        <f>3+37/60+9/3600</f>
        <v>3.6191666666666666</v>
      </c>
      <c r="P1383" s="8" t="s">
        <v>6440</v>
      </c>
      <c r="Q1383" s="8">
        <f>-(35+11/60+44/3600)</f>
        <v>-35.195555555555551</v>
      </c>
      <c r="R1383" s="8">
        <v>12.9</v>
      </c>
      <c r="S1383" s="8">
        <v>13.9</v>
      </c>
      <c r="T1383" s="8">
        <v>1</v>
      </c>
      <c r="U1383" s="8">
        <v>13.6</v>
      </c>
      <c r="V1383" s="8">
        <v>1.5</v>
      </c>
      <c r="W1383" s="8">
        <v>1.3</v>
      </c>
      <c r="X1383" s="8">
        <v>26</v>
      </c>
      <c r="Y1383" s="8" t="s">
        <v>2802</v>
      </c>
      <c r="Z1383" s="8" t="s">
        <v>1021</v>
      </c>
    </row>
    <row r="1384" spans="1:26" x14ac:dyDescent="0.2">
      <c r="A1384" s="8">
        <v>1383</v>
      </c>
      <c r="B1384" s="8" t="s">
        <v>6441</v>
      </c>
      <c r="C1384" s="8" t="s">
        <v>6441</v>
      </c>
      <c r="F1384" s="47"/>
      <c r="G1384" s="8">
        <v>16</v>
      </c>
      <c r="H1384" s="8" t="s">
        <v>21</v>
      </c>
      <c r="I1384" s="8" t="s">
        <v>22</v>
      </c>
      <c r="J1384" s="8" t="s">
        <v>22</v>
      </c>
      <c r="K1384" s="8" t="s">
        <v>224</v>
      </c>
      <c r="L1384" s="8" t="s">
        <v>3328</v>
      </c>
      <c r="M1384" s="8" t="s">
        <v>3329</v>
      </c>
      <c r="N1384" s="8" t="s">
        <v>6442</v>
      </c>
      <c r="O1384" s="8">
        <f>3+37/60+39.2/3600</f>
        <v>3.6275555555555554</v>
      </c>
      <c r="P1384" s="8" t="s">
        <v>2828</v>
      </c>
      <c r="Q1384" s="8">
        <f>-(18+20/60+22/3600)</f>
        <v>-18.339444444444442</v>
      </c>
      <c r="R1384" s="8">
        <v>12.5</v>
      </c>
      <c r="S1384" s="8">
        <v>13.5</v>
      </c>
      <c r="T1384" s="8">
        <v>1</v>
      </c>
      <c r="U1384" s="8">
        <v>12.9</v>
      </c>
      <c r="V1384" s="8">
        <v>1.9</v>
      </c>
      <c r="W1384" s="8">
        <v>0.8</v>
      </c>
      <c r="X1384" s="8">
        <v>91</v>
      </c>
      <c r="Y1384" s="8" t="s">
        <v>6443</v>
      </c>
      <c r="Z1384" s="8" t="s">
        <v>6444</v>
      </c>
    </row>
    <row r="1385" spans="1:26" x14ac:dyDescent="0.2">
      <c r="A1385" s="8">
        <v>1384</v>
      </c>
      <c r="B1385" s="8" t="s">
        <v>6445</v>
      </c>
      <c r="C1385" s="8" t="s">
        <v>6445</v>
      </c>
      <c r="F1385" s="47"/>
      <c r="G1385" s="8">
        <v>18</v>
      </c>
      <c r="H1385" s="8" t="s">
        <v>21</v>
      </c>
      <c r="I1385" s="8" t="s">
        <v>22</v>
      </c>
      <c r="J1385" s="8" t="s">
        <v>22</v>
      </c>
      <c r="K1385" s="8" t="s">
        <v>160</v>
      </c>
      <c r="L1385" s="8" t="s">
        <v>6115</v>
      </c>
      <c r="M1385" s="8" t="s">
        <v>6116</v>
      </c>
      <c r="N1385" s="8" t="s">
        <v>6446</v>
      </c>
      <c r="O1385" s="8">
        <f>3+39/60+13.5/3600</f>
        <v>3.6537500000000001</v>
      </c>
      <c r="P1385" s="8" t="s">
        <v>6447</v>
      </c>
      <c r="Q1385" s="8">
        <f>+(15+49/60+10/3600)</f>
        <v>15.819444444444445</v>
      </c>
      <c r="R1385" s="8">
        <v>14.5</v>
      </c>
      <c r="S1385" s="8">
        <v>15.2</v>
      </c>
      <c r="T1385" s="8">
        <v>0.7</v>
      </c>
      <c r="U1385" s="8">
        <v>13.4</v>
      </c>
      <c r="V1385" s="8">
        <v>0.9</v>
      </c>
      <c r="W1385" s="8">
        <v>0.5</v>
      </c>
      <c r="X1385" s="8">
        <v>135</v>
      </c>
      <c r="Y1385" s="8" t="s">
        <v>6448</v>
      </c>
      <c r="Z1385" s="8" t="s">
        <v>194</v>
      </c>
    </row>
    <row r="1386" spans="1:26" x14ac:dyDescent="0.2">
      <c r="A1386" s="8">
        <v>1385</v>
      </c>
      <c r="B1386" s="8" t="s">
        <v>6449</v>
      </c>
      <c r="C1386" s="8" t="s">
        <v>6449</v>
      </c>
      <c r="F1386" s="47" t="s">
        <v>56312</v>
      </c>
      <c r="G1386" s="8">
        <v>13</v>
      </c>
      <c r="H1386" s="8" t="s">
        <v>21</v>
      </c>
      <c r="I1386" s="8" t="s">
        <v>22</v>
      </c>
      <c r="J1386" s="8" t="s">
        <v>22</v>
      </c>
      <c r="K1386" s="8" t="s">
        <v>64</v>
      </c>
      <c r="L1386" s="8" t="s">
        <v>3335</v>
      </c>
      <c r="M1386" s="8" t="s">
        <v>3336</v>
      </c>
      <c r="N1386" s="8" t="s">
        <v>6450</v>
      </c>
      <c r="O1386" s="8">
        <f>3+37/60+28.6/3600</f>
        <v>3.6246111111111112</v>
      </c>
      <c r="P1386" s="8" t="s">
        <v>6451</v>
      </c>
      <c r="Q1386" s="8">
        <f>-(24+30/60+10/3600)</f>
        <v>-24.502777777777776</v>
      </c>
      <c r="R1386" s="8">
        <v>10.9</v>
      </c>
      <c r="S1386" s="8">
        <v>11.5</v>
      </c>
      <c r="T1386" s="8">
        <v>0.6</v>
      </c>
      <c r="U1386" s="8">
        <v>12.9</v>
      </c>
      <c r="V1386" s="8">
        <v>3.6</v>
      </c>
      <c r="W1386" s="8">
        <v>2.2000000000000002</v>
      </c>
      <c r="X1386" s="8">
        <v>171</v>
      </c>
      <c r="Y1386" s="8" t="s">
        <v>6452</v>
      </c>
      <c r="Z1386" s="8" t="s">
        <v>6453</v>
      </c>
    </row>
    <row r="1387" spans="1:26" x14ac:dyDescent="0.2">
      <c r="A1387" s="8">
        <v>1386</v>
      </c>
      <c r="B1387" s="8" t="s">
        <v>6454</v>
      </c>
      <c r="C1387" s="8" t="s">
        <v>6454</v>
      </c>
      <c r="F1387" s="47"/>
      <c r="G1387" s="8">
        <v>11</v>
      </c>
      <c r="H1387" s="8" t="s">
        <v>21</v>
      </c>
      <c r="I1387" s="8" t="s">
        <v>22</v>
      </c>
      <c r="J1387" s="8" t="s">
        <v>22</v>
      </c>
      <c r="K1387" s="8" t="s">
        <v>632</v>
      </c>
      <c r="L1387" s="8" t="s">
        <v>3328</v>
      </c>
      <c r="M1387" s="8" t="s">
        <v>3329</v>
      </c>
      <c r="N1387" s="8" t="s">
        <v>6455</v>
      </c>
      <c r="O1387" s="8">
        <f>3+36/60+46.3/3600</f>
        <v>3.6128611111111111</v>
      </c>
      <c r="P1387" s="8" t="s">
        <v>6456</v>
      </c>
      <c r="Q1387" s="8">
        <f>-(35+59/60+56/3600)</f>
        <v>-35.998888888888892</v>
      </c>
      <c r="R1387" s="8">
        <v>11.2</v>
      </c>
      <c r="S1387" s="8">
        <v>12.1</v>
      </c>
      <c r="T1387" s="8">
        <v>0.9</v>
      </c>
      <c r="U1387" s="8">
        <v>12.7</v>
      </c>
      <c r="V1387" s="8">
        <v>3.4</v>
      </c>
      <c r="W1387" s="8">
        <v>1.3</v>
      </c>
      <c r="X1387" s="8">
        <v>25</v>
      </c>
      <c r="Y1387" s="8" t="s">
        <v>2802</v>
      </c>
      <c r="Z1387" s="8" t="s">
        <v>1021</v>
      </c>
    </row>
    <row r="1388" spans="1:26" x14ac:dyDescent="0.2">
      <c r="A1388" s="8">
        <v>1387</v>
      </c>
      <c r="B1388" s="8" t="s">
        <v>6457</v>
      </c>
      <c r="C1388" s="8" t="s">
        <v>6457</v>
      </c>
      <c r="F1388" s="47"/>
      <c r="G1388" s="8">
        <v>3</v>
      </c>
      <c r="H1388" s="8" t="s">
        <v>21</v>
      </c>
      <c r="I1388" s="8" t="s">
        <v>22</v>
      </c>
      <c r="J1388" s="8" t="s">
        <v>22</v>
      </c>
      <c r="K1388" s="8" t="s">
        <v>118</v>
      </c>
      <c r="L1388" s="8" t="s">
        <v>3335</v>
      </c>
      <c r="M1388" s="8" t="s">
        <v>3336</v>
      </c>
      <c r="N1388" s="8" t="s">
        <v>6458</v>
      </c>
      <c r="O1388" s="8">
        <f>3+36/60+57.2/3600</f>
        <v>3.6158888888888892</v>
      </c>
      <c r="P1388" s="8" t="s">
        <v>6459</v>
      </c>
      <c r="Q1388" s="8">
        <f>-(35+30/60+21/3600)</f>
        <v>-35.505833333333335</v>
      </c>
      <c r="R1388" s="8">
        <v>10.7</v>
      </c>
      <c r="S1388" s="8">
        <v>11.7</v>
      </c>
      <c r="T1388" s="8">
        <v>1</v>
      </c>
      <c r="U1388" s="8">
        <v>12.8</v>
      </c>
      <c r="V1388" s="8">
        <v>2.8</v>
      </c>
      <c r="W1388" s="8">
        <v>2.6</v>
      </c>
      <c r="X1388" s="8">
        <v>119</v>
      </c>
      <c r="Y1388" s="8" t="s">
        <v>6460</v>
      </c>
      <c r="Z1388" s="8" t="s">
        <v>6461</v>
      </c>
    </row>
    <row r="1389" spans="1:26" x14ac:dyDescent="0.2">
      <c r="A1389" s="8">
        <v>1388</v>
      </c>
      <c r="B1389" s="8" t="s">
        <v>6462</v>
      </c>
      <c r="C1389" s="8" t="s">
        <v>6462</v>
      </c>
      <c r="F1389" s="47"/>
      <c r="G1389" s="8">
        <v>19</v>
      </c>
      <c r="H1389" s="8" t="s">
        <v>21</v>
      </c>
      <c r="I1389" s="8" t="s">
        <v>22</v>
      </c>
      <c r="J1389" s="8" t="s">
        <v>22</v>
      </c>
      <c r="K1389" s="8" t="s">
        <v>460</v>
      </c>
      <c r="L1389" s="8" t="s">
        <v>3328</v>
      </c>
      <c r="M1389" s="8" t="s">
        <v>3329</v>
      </c>
      <c r="N1389" s="8" t="s">
        <v>6463</v>
      </c>
      <c r="O1389" s="8">
        <f>3+38/60+12/3600</f>
        <v>3.6366666666666667</v>
      </c>
      <c r="P1389" s="8" t="s">
        <v>6464</v>
      </c>
      <c r="Q1389" s="8">
        <f>-(15+53/60+58/3600)</f>
        <v>-15.899444444444445</v>
      </c>
      <c r="R1389" s="8">
        <v>13.8</v>
      </c>
      <c r="S1389" s="8">
        <v>14.8</v>
      </c>
      <c r="T1389" s="8">
        <v>1</v>
      </c>
      <c r="U1389" s="8">
        <v>13.1</v>
      </c>
      <c r="V1389" s="8">
        <v>0.7</v>
      </c>
      <c r="W1389" s="8">
        <v>0.7</v>
      </c>
      <c r="Y1389" s="8" t="s">
        <v>3357</v>
      </c>
      <c r="Z1389" s="8" t="s">
        <v>3358</v>
      </c>
    </row>
    <row r="1390" spans="1:26" x14ac:dyDescent="0.2">
      <c r="A1390" s="8">
        <v>1389</v>
      </c>
      <c r="B1390" s="8" t="s">
        <v>6465</v>
      </c>
      <c r="C1390" s="8" t="s">
        <v>6465</v>
      </c>
      <c r="F1390" s="47"/>
      <c r="G1390" s="8">
        <v>11</v>
      </c>
      <c r="H1390" s="8" t="s">
        <v>21</v>
      </c>
      <c r="I1390" s="8" t="s">
        <v>22</v>
      </c>
      <c r="J1390" s="8" t="s">
        <v>22</v>
      </c>
      <c r="K1390" s="8" t="s">
        <v>118</v>
      </c>
      <c r="L1390" s="8" t="s">
        <v>3328</v>
      </c>
      <c r="M1390" s="8" t="s">
        <v>3329</v>
      </c>
      <c r="N1390" s="8" t="s">
        <v>6466</v>
      </c>
      <c r="O1390" s="8">
        <f>3+37/60+11.7/3600</f>
        <v>3.6199166666666667</v>
      </c>
      <c r="P1390" s="8" t="s">
        <v>6467</v>
      </c>
      <c r="Q1390" s="8">
        <f>-(35+44/60+44/3600)</f>
        <v>-35.745555555555555</v>
      </c>
      <c r="R1390" s="8">
        <v>11.5</v>
      </c>
      <c r="S1390" s="8">
        <v>12.4</v>
      </c>
      <c r="T1390" s="8">
        <v>0.9</v>
      </c>
      <c r="U1390" s="8">
        <v>12.6</v>
      </c>
      <c r="V1390" s="8">
        <v>2.2999999999999998</v>
      </c>
      <c r="W1390" s="8">
        <v>1.2</v>
      </c>
      <c r="X1390" s="8">
        <v>30</v>
      </c>
      <c r="Y1390" s="8" t="s">
        <v>2802</v>
      </c>
      <c r="Z1390" s="8" t="s">
        <v>1021</v>
      </c>
    </row>
    <row r="1391" spans="1:26" x14ac:dyDescent="0.2">
      <c r="A1391" s="8">
        <v>1390</v>
      </c>
      <c r="B1391" s="8" t="s">
        <v>6468</v>
      </c>
      <c r="C1391" s="8" t="s">
        <v>6468</v>
      </c>
      <c r="F1391" s="47"/>
      <c r="G1391" s="8">
        <v>19</v>
      </c>
      <c r="H1391" s="8" t="s">
        <v>21</v>
      </c>
      <c r="I1391" s="8" t="s">
        <v>22</v>
      </c>
      <c r="J1391" s="8" t="s">
        <v>22</v>
      </c>
      <c r="K1391" s="8" t="s">
        <v>154</v>
      </c>
      <c r="L1391" s="8" t="s">
        <v>3328</v>
      </c>
      <c r="M1391" s="8" t="s">
        <v>3329</v>
      </c>
      <c r="N1391" s="8" t="s">
        <v>6469</v>
      </c>
      <c r="O1391" s="8">
        <f>3+37/60+52.2/3600</f>
        <v>3.6311666666666667</v>
      </c>
      <c r="P1391" s="8" t="s">
        <v>6470</v>
      </c>
      <c r="Q1391" s="8">
        <f>-(19+0/60+27/3600)</f>
        <v>-19.0075</v>
      </c>
      <c r="R1391" s="8">
        <v>13.7</v>
      </c>
      <c r="S1391" s="8">
        <v>14.6</v>
      </c>
      <c r="T1391" s="8">
        <v>0.9</v>
      </c>
      <c r="U1391" s="8">
        <v>13.1</v>
      </c>
      <c r="V1391" s="8">
        <v>1.4</v>
      </c>
      <c r="W1391" s="8">
        <v>0.6</v>
      </c>
      <c r="X1391" s="8">
        <v>19</v>
      </c>
      <c r="Y1391" s="8" t="s">
        <v>6471</v>
      </c>
      <c r="Z1391" s="8" t="s">
        <v>6472</v>
      </c>
    </row>
    <row r="1392" spans="1:26" x14ac:dyDescent="0.2">
      <c r="A1392" s="8">
        <v>1391</v>
      </c>
      <c r="B1392" s="8" t="s">
        <v>6473</v>
      </c>
      <c r="C1392" s="8" t="s">
        <v>6473</v>
      </c>
      <c r="F1392" s="47"/>
      <c r="G1392" s="8">
        <v>19</v>
      </c>
      <c r="H1392" s="8" t="s">
        <v>21</v>
      </c>
      <c r="I1392" s="8" t="s">
        <v>22</v>
      </c>
      <c r="J1392" s="8" t="s">
        <v>22</v>
      </c>
      <c r="K1392" s="8" t="s">
        <v>224</v>
      </c>
      <c r="L1392" s="8" t="s">
        <v>3328</v>
      </c>
      <c r="M1392" s="8" t="s">
        <v>3329</v>
      </c>
      <c r="N1392" s="8" t="s">
        <v>6474</v>
      </c>
      <c r="O1392" s="8">
        <f>3+38/60+52.9/3600</f>
        <v>3.6480277777777776</v>
      </c>
      <c r="P1392" s="8" t="s">
        <v>6475</v>
      </c>
      <c r="Q1392" s="8">
        <f>-(18+21/60+16/3600)</f>
        <v>-18.354444444444447</v>
      </c>
      <c r="R1392" s="8">
        <v>13.4</v>
      </c>
      <c r="S1392" s="8">
        <v>14.4</v>
      </c>
      <c r="T1392" s="8">
        <v>1</v>
      </c>
      <c r="U1392" s="8">
        <v>12.7</v>
      </c>
      <c r="V1392" s="8">
        <v>1.2</v>
      </c>
      <c r="W1392" s="8">
        <v>0.5</v>
      </c>
      <c r="X1392" s="8">
        <v>65</v>
      </c>
      <c r="Y1392" s="8" t="s">
        <v>4030</v>
      </c>
      <c r="Z1392" s="8" t="s">
        <v>4031</v>
      </c>
    </row>
    <row r="1393" spans="1:26" x14ac:dyDescent="0.2">
      <c r="A1393" s="8">
        <v>1392</v>
      </c>
      <c r="B1393" s="8" t="s">
        <v>6476</v>
      </c>
      <c r="C1393" s="8" t="s">
        <v>6476</v>
      </c>
      <c r="F1393" s="47"/>
      <c r="G1393" s="8">
        <v>19</v>
      </c>
      <c r="H1393" s="8" t="s">
        <v>21</v>
      </c>
      <c r="I1393" s="8" t="s">
        <v>329</v>
      </c>
      <c r="J1393" s="8" t="s">
        <v>329</v>
      </c>
      <c r="K1393" s="8" t="s">
        <v>329</v>
      </c>
      <c r="L1393" s="8" t="s">
        <v>3328</v>
      </c>
      <c r="M1393" s="8" t="s">
        <v>3329</v>
      </c>
      <c r="N1393" s="8" t="s">
        <v>6477</v>
      </c>
      <c r="O1393" s="8">
        <f>3+37/60+30.3/3600</f>
        <v>3.6250833333333334</v>
      </c>
      <c r="P1393" s="8" t="s">
        <v>6478</v>
      </c>
      <c r="Q1393" s="8">
        <f>-(37+8/60+5/3600)</f>
        <v>-37.134722222222223</v>
      </c>
      <c r="R1393" s="8">
        <v>99</v>
      </c>
      <c r="S1393" s="8">
        <v>99</v>
      </c>
      <c r="T1393" s="8">
        <v>99</v>
      </c>
      <c r="U1393" s="8">
        <v>99</v>
      </c>
      <c r="Y1393" s="8" t="s">
        <v>237</v>
      </c>
      <c r="Z1393" s="8" t="s">
        <v>238</v>
      </c>
    </row>
    <row r="1394" spans="1:26" x14ac:dyDescent="0.2">
      <c r="A1394" s="8">
        <v>1393</v>
      </c>
      <c r="B1394" s="8" t="s">
        <v>6479</v>
      </c>
      <c r="C1394" s="8" t="s">
        <v>6479</v>
      </c>
      <c r="F1394" s="47" t="s">
        <v>56313</v>
      </c>
      <c r="G1394" s="8">
        <v>15</v>
      </c>
      <c r="H1394" s="8" t="s">
        <v>21</v>
      </c>
      <c r="I1394" s="8" t="s">
        <v>22</v>
      </c>
      <c r="J1394" s="8" t="s">
        <v>22</v>
      </c>
      <c r="K1394" s="8" t="s">
        <v>224</v>
      </c>
      <c r="L1394" s="8" t="s">
        <v>3328</v>
      </c>
      <c r="M1394" s="8" t="s">
        <v>3329</v>
      </c>
      <c r="N1394" s="8" t="s">
        <v>6480</v>
      </c>
      <c r="O1394" s="8">
        <f>3+38/60+38.4/3600</f>
        <v>3.6440000000000001</v>
      </c>
      <c r="P1394" s="8" t="s">
        <v>6481</v>
      </c>
      <c r="Q1394" s="8">
        <f>-(18+25/60+43/3600)</f>
        <v>-18.428611111111113</v>
      </c>
      <c r="R1394" s="8">
        <v>12</v>
      </c>
      <c r="S1394" s="8">
        <v>13</v>
      </c>
      <c r="T1394" s="8">
        <v>1</v>
      </c>
      <c r="U1394" s="8">
        <v>12.9</v>
      </c>
      <c r="V1394" s="8">
        <v>1.7</v>
      </c>
      <c r="W1394" s="8">
        <v>1.3</v>
      </c>
      <c r="X1394" s="8">
        <v>170</v>
      </c>
      <c r="Y1394" s="8" t="s">
        <v>1837</v>
      </c>
      <c r="Z1394" s="8" t="s">
        <v>1838</v>
      </c>
    </row>
    <row r="1395" spans="1:26" x14ac:dyDescent="0.2">
      <c r="A1395" s="8">
        <v>1394</v>
      </c>
      <c r="B1395" s="8" t="s">
        <v>6482</v>
      </c>
      <c r="C1395" s="8" t="s">
        <v>6482</v>
      </c>
      <c r="F1395" s="47"/>
      <c r="G1395" s="8">
        <v>19</v>
      </c>
      <c r="H1395" s="8" t="s">
        <v>21</v>
      </c>
      <c r="I1395" s="8" t="s">
        <v>22</v>
      </c>
      <c r="J1395" s="8" t="s">
        <v>22</v>
      </c>
      <c r="K1395" s="8" t="s">
        <v>37</v>
      </c>
      <c r="L1395" s="8" t="s">
        <v>3328</v>
      </c>
      <c r="M1395" s="8" t="s">
        <v>3329</v>
      </c>
      <c r="N1395" s="8" t="s">
        <v>6483</v>
      </c>
      <c r="O1395" s="8">
        <f>3+39/60+6.7/3600</f>
        <v>3.6518611111111112</v>
      </c>
      <c r="P1395" s="8" t="s">
        <v>6484</v>
      </c>
      <c r="Q1395" s="8">
        <f>-(18+17/60+32/3600)</f>
        <v>-18.292222222222225</v>
      </c>
      <c r="R1395" s="8">
        <v>12.8</v>
      </c>
      <c r="S1395" s="8">
        <v>13.8</v>
      </c>
      <c r="T1395" s="8">
        <v>1</v>
      </c>
      <c r="U1395" s="8">
        <v>12.1</v>
      </c>
      <c r="V1395" s="8">
        <v>1.3</v>
      </c>
      <c r="W1395" s="8">
        <v>0.4</v>
      </c>
      <c r="X1395" s="8">
        <v>5</v>
      </c>
      <c r="Y1395" s="8" t="s">
        <v>6485</v>
      </c>
      <c r="Z1395" s="8" t="s">
        <v>6486</v>
      </c>
    </row>
    <row r="1396" spans="1:26" x14ac:dyDescent="0.2">
      <c r="A1396" s="8">
        <v>1395</v>
      </c>
      <c r="B1396" s="8" t="s">
        <v>6487</v>
      </c>
      <c r="C1396" s="8" t="s">
        <v>6487</v>
      </c>
      <c r="F1396" s="47" t="s">
        <v>56314</v>
      </c>
      <c r="G1396" s="8">
        <v>7</v>
      </c>
      <c r="H1396" s="8" t="s">
        <v>21</v>
      </c>
      <c r="I1396" s="8" t="s">
        <v>22</v>
      </c>
      <c r="J1396" s="8" t="s">
        <v>22</v>
      </c>
      <c r="K1396" s="8" t="s">
        <v>1136</v>
      </c>
      <c r="L1396" s="8" t="s">
        <v>3328</v>
      </c>
      <c r="M1396" s="8" t="s">
        <v>3329</v>
      </c>
      <c r="N1396" s="8" t="s">
        <v>6488</v>
      </c>
      <c r="O1396" s="8">
        <f>3+38/60+29.6/3600</f>
        <v>3.6415555555555557</v>
      </c>
      <c r="P1396" s="8" t="s">
        <v>6489</v>
      </c>
      <c r="Q1396" s="8">
        <f>-(23+1/60+38/3600)</f>
        <v>-23.027222222222221</v>
      </c>
      <c r="R1396" s="8">
        <v>9.6</v>
      </c>
      <c r="S1396" s="8">
        <v>10.6</v>
      </c>
      <c r="T1396" s="8">
        <v>1</v>
      </c>
      <c r="U1396" s="8">
        <v>13.1</v>
      </c>
      <c r="V1396" s="8">
        <v>5</v>
      </c>
      <c r="W1396" s="8">
        <v>4.5</v>
      </c>
      <c r="X1396" s="8">
        <v>120</v>
      </c>
      <c r="Y1396" s="8" t="s">
        <v>6490</v>
      </c>
      <c r="Z1396" s="8" t="s">
        <v>6491</v>
      </c>
    </row>
    <row r="1397" spans="1:26" x14ac:dyDescent="0.2">
      <c r="A1397" s="8">
        <v>1396</v>
      </c>
      <c r="B1397" s="8" t="s">
        <v>6492</v>
      </c>
      <c r="C1397" s="8" t="s">
        <v>6492</v>
      </c>
      <c r="F1397" s="47"/>
      <c r="G1397" s="8">
        <v>18</v>
      </c>
      <c r="H1397" s="8" t="s">
        <v>21</v>
      </c>
      <c r="I1397" s="8" t="s">
        <v>22</v>
      </c>
      <c r="J1397" s="8" t="s">
        <v>22</v>
      </c>
      <c r="K1397" s="8" t="s">
        <v>118</v>
      </c>
      <c r="L1397" s="8" t="s">
        <v>3335</v>
      </c>
      <c r="M1397" s="8" t="s">
        <v>3336</v>
      </c>
      <c r="N1397" s="8" t="s">
        <v>6493</v>
      </c>
      <c r="O1397" s="8">
        <f>3+38/60+6.5/3600</f>
        <v>3.6351388888888887</v>
      </c>
      <c r="P1397" s="8" t="s">
        <v>6494</v>
      </c>
      <c r="Q1397" s="8">
        <f>-(35+26/60+23/3600)</f>
        <v>-35.439722222222215</v>
      </c>
      <c r="R1397" s="8">
        <v>13.8</v>
      </c>
      <c r="S1397" s="8">
        <v>14.8</v>
      </c>
      <c r="T1397" s="8">
        <v>1</v>
      </c>
      <c r="U1397" s="8">
        <v>12.3</v>
      </c>
      <c r="V1397" s="8">
        <v>0.7</v>
      </c>
      <c r="W1397" s="8">
        <v>0.4</v>
      </c>
      <c r="X1397" s="8">
        <v>90</v>
      </c>
      <c r="Y1397" s="8" t="s">
        <v>2802</v>
      </c>
      <c r="Z1397" s="8" t="s">
        <v>1021</v>
      </c>
    </row>
    <row r="1398" spans="1:26" x14ac:dyDescent="0.2">
      <c r="A1398" s="8">
        <v>1397</v>
      </c>
      <c r="B1398" s="8" t="s">
        <v>6495</v>
      </c>
      <c r="C1398" s="8" t="s">
        <v>6495</v>
      </c>
      <c r="F1398" s="47" t="s">
        <v>56315</v>
      </c>
      <c r="G1398" s="8">
        <v>15</v>
      </c>
      <c r="H1398" s="8" t="s">
        <v>21</v>
      </c>
      <c r="I1398" s="8" t="s">
        <v>22</v>
      </c>
      <c r="J1398" s="8" t="s">
        <v>22</v>
      </c>
      <c r="K1398" s="8" t="s">
        <v>435</v>
      </c>
      <c r="L1398" s="8" t="s">
        <v>3328</v>
      </c>
      <c r="M1398" s="8" t="s">
        <v>3329</v>
      </c>
      <c r="N1398" s="8" t="s">
        <v>6496</v>
      </c>
      <c r="O1398" s="8">
        <f>3+39/60+47.1/3600</f>
        <v>3.6630833333333332</v>
      </c>
      <c r="P1398" s="8" t="s">
        <v>6497</v>
      </c>
      <c r="Q1398" s="8">
        <f>-(4+40/60+11/3600)</f>
        <v>-4.6697222222222221</v>
      </c>
      <c r="R1398" s="8">
        <v>13.7</v>
      </c>
      <c r="S1398" s="8">
        <v>14.6</v>
      </c>
      <c r="T1398" s="8">
        <v>0.9</v>
      </c>
      <c r="U1398" s="8">
        <v>14.3</v>
      </c>
      <c r="V1398" s="8">
        <v>1.7</v>
      </c>
      <c r="W1398" s="8">
        <v>1.2</v>
      </c>
      <c r="X1398" s="8">
        <v>105</v>
      </c>
      <c r="Y1398" s="8" t="s">
        <v>2500</v>
      </c>
      <c r="Z1398" s="8" t="s">
        <v>2501</v>
      </c>
    </row>
    <row r="1399" spans="1:26" x14ac:dyDescent="0.2">
      <c r="A1399" s="8">
        <v>1398</v>
      </c>
      <c r="B1399" s="8" t="s">
        <v>6498</v>
      </c>
      <c r="C1399" s="8" t="s">
        <v>6498</v>
      </c>
      <c r="F1399" s="47"/>
      <c r="G1399" s="8">
        <v>3</v>
      </c>
      <c r="H1399" s="8" t="s">
        <v>21</v>
      </c>
      <c r="I1399" s="8" t="s">
        <v>22</v>
      </c>
      <c r="J1399" s="8" t="s">
        <v>22</v>
      </c>
      <c r="K1399" s="8" t="s">
        <v>406</v>
      </c>
      <c r="L1399" s="8" t="s">
        <v>3335</v>
      </c>
      <c r="M1399" s="8" t="s">
        <v>3336</v>
      </c>
      <c r="N1399" s="8" t="s">
        <v>6499</v>
      </c>
      <c r="O1399" s="8">
        <f>3+38/60+52/3600</f>
        <v>3.6477777777777778</v>
      </c>
      <c r="P1399" s="8" t="s">
        <v>6500</v>
      </c>
      <c r="Q1399" s="8">
        <f>-(26+20/60+14/3600)</f>
        <v>-26.33722222222222</v>
      </c>
      <c r="R1399" s="8">
        <v>9.6999999999999993</v>
      </c>
      <c r="S1399" s="8">
        <v>10.6</v>
      </c>
      <c r="T1399" s="8">
        <v>0.9</v>
      </c>
      <c r="U1399" s="8">
        <v>13.5</v>
      </c>
      <c r="V1399" s="8">
        <v>7.2</v>
      </c>
      <c r="W1399" s="8">
        <v>5.2</v>
      </c>
      <c r="X1399" s="8">
        <v>100</v>
      </c>
      <c r="Y1399" s="8" t="s">
        <v>6501</v>
      </c>
      <c r="Z1399" s="8" t="s">
        <v>6502</v>
      </c>
    </row>
    <row r="1400" spans="1:26" x14ac:dyDescent="0.2">
      <c r="A1400" s="8">
        <v>1399</v>
      </c>
      <c r="B1400" s="8" t="s">
        <v>6503</v>
      </c>
      <c r="C1400" s="8" t="s">
        <v>6503</v>
      </c>
      <c r="F1400" s="47"/>
      <c r="G1400" s="8">
        <v>3</v>
      </c>
      <c r="H1400" s="8" t="s">
        <v>21</v>
      </c>
      <c r="I1400" s="8" t="s">
        <v>22</v>
      </c>
      <c r="J1400" s="8" t="s">
        <v>22</v>
      </c>
      <c r="K1400" s="8" t="s">
        <v>183</v>
      </c>
      <c r="L1400" s="8" t="s">
        <v>3335</v>
      </c>
      <c r="M1400" s="8" t="s">
        <v>3336</v>
      </c>
      <c r="N1400" s="8" t="s">
        <v>6504</v>
      </c>
      <c r="O1400" s="8">
        <f>3+38/60+28.9/3600</f>
        <v>3.6413611111111113</v>
      </c>
      <c r="P1400" s="8" t="s">
        <v>6505</v>
      </c>
      <c r="Q1400" s="8">
        <f>-(35+26/60+59/3600)</f>
        <v>-35.449722222222221</v>
      </c>
      <c r="R1400" s="8">
        <v>9.6</v>
      </c>
      <c r="S1400" s="8">
        <v>10.6</v>
      </c>
      <c r="T1400" s="8">
        <v>1</v>
      </c>
      <c r="U1400" s="8">
        <v>13.7</v>
      </c>
      <c r="V1400" s="8">
        <v>6.9</v>
      </c>
      <c r="W1400" s="8">
        <v>6.5</v>
      </c>
      <c r="X1400" s="8">
        <v>76</v>
      </c>
      <c r="Y1400" s="8" t="s">
        <v>6506</v>
      </c>
      <c r="Z1400" s="8" t="s">
        <v>6507</v>
      </c>
    </row>
    <row r="1401" spans="1:26" x14ac:dyDescent="0.2">
      <c r="A1401" s="8">
        <v>1400</v>
      </c>
      <c r="B1401" s="8" t="s">
        <v>6508</v>
      </c>
      <c r="C1401" s="8" t="s">
        <v>6508</v>
      </c>
      <c r="F1401" s="47" t="s">
        <v>56316</v>
      </c>
      <c r="G1401" s="8">
        <v>6.5</v>
      </c>
      <c r="H1401" s="8" t="s">
        <v>21</v>
      </c>
      <c r="I1401" s="8" t="s">
        <v>22</v>
      </c>
      <c r="J1401" s="8" t="s">
        <v>22</v>
      </c>
      <c r="K1401" s="8" t="s">
        <v>58</v>
      </c>
      <c r="L1401" s="8" t="s">
        <v>3328</v>
      </c>
      <c r="M1401" s="8" t="s">
        <v>3329</v>
      </c>
      <c r="N1401" s="8" t="s">
        <v>6509</v>
      </c>
      <c r="O1401" s="8">
        <f>3+39/60+30.7/3600</f>
        <v>3.6585277777777776</v>
      </c>
      <c r="P1401" s="8" t="s">
        <v>6510</v>
      </c>
      <c r="Q1401" s="8">
        <f>-(18+41/60+17/3600)</f>
        <v>-18.688055555555557</v>
      </c>
      <c r="R1401" s="8">
        <v>11</v>
      </c>
      <c r="S1401" s="8">
        <v>11.9</v>
      </c>
      <c r="T1401" s="8">
        <v>0.9</v>
      </c>
      <c r="U1401" s="8">
        <v>12.5</v>
      </c>
      <c r="V1401" s="8">
        <v>2.5</v>
      </c>
      <c r="W1401" s="8">
        <v>2.1</v>
      </c>
      <c r="X1401" s="8">
        <v>40</v>
      </c>
      <c r="Y1401" s="8" t="s">
        <v>6511</v>
      </c>
      <c r="Z1401" s="8" t="s">
        <v>6512</v>
      </c>
    </row>
    <row r="1402" spans="1:26" x14ac:dyDescent="0.2">
      <c r="A1402" s="8">
        <v>1401</v>
      </c>
      <c r="B1402" s="8" t="s">
        <v>6513</v>
      </c>
      <c r="C1402" s="8" t="s">
        <v>6513</v>
      </c>
      <c r="F1402" s="47" t="s">
        <v>56317</v>
      </c>
      <c r="G1402" s="8">
        <v>15</v>
      </c>
      <c r="H1402" s="8" t="s">
        <v>21</v>
      </c>
      <c r="I1402" s="8" t="s">
        <v>22</v>
      </c>
      <c r="J1402" s="8" t="s">
        <v>22</v>
      </c>
      <c r="K1402" s="8" t="s">
        <v>224</v>
      </c>
      <c r="L1402" s="8" t="s">
        <v>3328</v>
      </c>
      <c r="M1402" s="8" t="s">
        <v>3329</v>
      </c>
      <c r="N1402" s="8" t="s">
        <v>6514</v>
      </c>
      <c r="O1402" s="8">
        <f>3+39/60+21.8/3600</f>
        <v>3.6560555555555556</v>
      </c>
      <c r="P1402" s="8" t="s">
        <v>6515</v>
      </c>
      <c r="Q1402" s="8">
        <f>-(22+43/60+28/3600)</f>
        <v>-22.724444444444444</v>
      </c>
      <c r="R1402" s="8">
        <v>12.3</v>
      </c>
      <c r="S1402" s="8">
        <v>13.1</v>
      </c>
      <c r="T1402" s="8">
        <v>0.8</v>
      </c>
      <c r="U1402" s="8">
        <v>12.6</v>
      </c>
      <c r="V1402" s="8">
        <v>2.4</v>
      </c>
      <c r="W1402" s="8">
        <v>0.6</v>
      </c>
      <c r="X1402" s="8">
        <v>130</v>
      </c>
      <c r="Y1402" s="8" t="s">
        <v>421</v>
      </c>
      <c r="Z1402" s="8" t="s">
        <v>422</v>
      </c>
    </row>
    <row r="1403" spans="1:26" x14ac:dyDescent="0.2">
      <c r="A1403" s="8">
        <v>1402</v>
      </c>
      <c r="B1403" s="8" t="s">
        <v>6516</v>
      </c>
      <c r="C1403" s="8" t="s">
        <v>6516</v>
      </c>
      <c r="F1403" s="47"/>
      <c r="G1403" s="8">
        <v>19</v>
      </c>
      <c r="H1403" s="8" t="s">
        <v>21</v>
      </c>
      <c r="I1403" s="8" t="s">
        <v>22</v>
      </c>
      <c r="J1403" s="8" t="s">
        <v>22</v>
      </c>
      <c r="K1403" s="8" t="s">
        <v>224</v>
      </c>
      <c r="L1403" s="8" t="s">
        <v>3328</v>
      </c>
      <c r="M1403" s="8" t="s">
        <v>3329</v>
      </c>
      <c r="N1403" s="8" t="s">
        <v>6517</v>
      </c>
      <c r="O1403" s="8">
        <f>3+39/60+30.4/3600</f>
        <v>3.6584444444444442</v>
      </c>
      <c r="P1403" s="8" t="s">
        <v>6518</v>
      </c>
      <c r="Q1403" s="8">
        <f>-(18+31/60+37/3600)</f>
        <v>-18.526944444444442</v>
      </c>
      <c r="R1403" s="8">
        <v>13.6</v>
      </c>
      <c r="S1403" s="8">
        <v>14.4</v>
      </c>
      <c r="T1403" s="8">
        <v>0.8</v>
      </c>
      <c r="U1403" s="8">
        <v>12.6</v>
      </c>
      <c r="V1403" s="8">
        <v>0.8</v>
      </c>
      <c r="W1403" s="8">
        <v>0.6</v>
      </c>
      <c r="X1403" s="8">
        <v>88</v>
      </c>
      <c r="Y1403" s="8" t="s">
        <v>385</v>
      </c>
      <c r="Z1403" s="8" t="s">
        <v>386</v>
      </c>
    </row>
    <row r="1404" spans="1:26" x14ac:dyDescent="0.2">
      <c r="A1404" s="8">
        <v>1403</v>
      </c>
      <c r="B1404" s="8" t="s">
        <v>6519</v>
      </c>
      <c r="C1404" s="8" t="s">
        <v>6519</v>
      </c>
      <c r="F1404" s="47"/>
      <c r="G1404" s="8">
        <v>19</v>
      </c>
      <c r="H1404" s="8" t="s">
        <v>21</v>
      </c>
      <c r="I1404" s="8" t="s">
        <v>22</v>
      </c>
      <c r="J1404" s="8" t="s">
        <v>22</v>
      </c>
      <c r="K1404" s="8" t="s">
        <v>224</v>
      </c>
      <c r="L1404" s="8" t="s">
        <v>3328</v>
      </c>
      <c r="M1404" s="8" t="s">
        <v>3329</v>
      </c>
      <c r="N1404" s="8" t="s">
        <v>6520</v>
      </c>
      <c r="O1404" s="8">
        <f>3+39/60+10.8/3600</f>
        <v>3.653</v>
      </c>
      <c r="P1404" s="8" t="s">
        <v>6521</v>
      </c>
      <c r="Q1404" s="8">
        <f>-(22+23/60+20/3600)</f>
        <v>-22.388888888888889</v>
      </c>
      <c r="R1404" s="8">
        <v>12.7</v>
      </c>
      <c r="S1404" s="8">
        <v>13.7</v>
      </c>
      <c r="T1404" s="8">
        <v>1</v>
      </c>
      <c r="U1404" s="8">
        <v>13</v>
      </c>
      <c r="V1404" s="8">
        <v>0.9</v>
      </c>
      <c r="W1404" s="8">
        <v>0.7</v>
      </c>
      <c r="X1404" s="8">
        <v>163</v>
      </c>
      <c r="Y1404" s="8" t="s">
        <v>6522</v>
      </c>
      <c r="Z1404" s="8" t="s">
        <v>6523</v>
      </c>
    </row>
    <row r="1405" spans="1:26" x14ac:dyDescent="0.2">
      <c r="A1405" s="8">
        <v>1404</v>
      </c>
      <c r="B1405" s="8" t="s">
        <v>6524</v>
      </c>
      <c r="C1405" s="8" t="s">
        <v>6524</v>
      </c>
      <c r="F1405" s="47"/>
      <c r="G1405" s="8">
        <v>3</v>
      </c>
      <c r="H1405" s="8" t="s">
        <v>21</v>
      </c>
      <c r="I1405" s="8" t="s">
        <v>22</v>
      </c>
      <c r="J1405" s="8" t="s">
        <v>22</v>
      </c>
      <c r="K1405" s="8" t="s">
        <v>183</v>
      </c>
      <c r="L1405" s="8" t="s">
        <v>3328</v>
      </c>
      <c r="M1405" s="8" t="s">
        <v>3329</v>
      </c>
      <c r="N1405" s="8" t="s">
        <v>6525</v>
      </c>
      <c r="O1405" s="8">
        <f>3+38/60+51.7/3600</f>
        <v>3.6476944444444444</v>
      </c>
      <c r="P1405" s="8" t="s">
        <v>6526</v>
      </c>
      <c r="Q1405" s="8">
        <f>-(35+35/60+34/3600)</f>
        <v>-35.592777777777783</v>
      </c>
      <c r="R1405" s="8">
        <v>10</v>
      </c>
      <c r="S1405" s="8">
        <v>11</v>
      </c>
      <c r="T1405" s="8">
        <v>1</v>
      </c>
      <c r="U1405" s="8">
        <v>12.5</v>
      </c>
      <c r="V1405" s="8">
        <v>3.3</v>
      </c>
      <c r="W1405" s="8">
        <v>3</v>
      </c>
      <c r="X1405" s="8">
        <v>163</v>
      </c>
      <c r="Y1405" s="8" t="s">
        <v>6527</v>
      </c>
      <c r="Z1405" s="8" t="s">
        <v>6528</v>
      </c>
    </row>
    <row r="1406" spans="1:26" x14ac:dyDescent="0.2">
      <c r="A1406" s="8">
        <v>1405</v>
      </c>
      <c r="B1406" s="8" t="s">
        <v>6529</v>
      </c>
      <c r="C1406" s="8" t="s">
        <v>6529</v>
      </c>
      <c r="F1406" s="47"/>
      <c r="G1406" s="8">
        <v>19</v>
      </c>
      <c r="H1406" s="8" t="s">
        <v>21</v>
      </c>
      <c r="I1406" s="8" t="s">
        <v>22</v>
      </c>
      <c r="J1406" s="8" t="s">
        <v>22</v>
      </c>
      <c r="K1406" s="8" t="s">
        <v>37</v>
      </c>
      <c r="L1406" s="8" t="s">
        <v>3328</v>
      </c>
      <c r="M1406" s="8" t="s">
        <v>3329</v>
      </c>
      <c r="N1406" s="8" t="s">
        <v>6530</v>
      </c>
      <c r="O1406" s="8">
        <f>3+40/60+19/3600</f>
        <v>3.6719444444444442</v>
      </c>
      <c r="P1406" s="8" t="s">
        <v>6531</v>
      </c>
      <c r="Q1406" s="8">
        <f>-(15+31/60+51/3600)</f>
        <v>-15.530833333333334</v>
      </c>
      <c r="R1406" s="8">
        <v>14.1</v>
      </c>
      <c r="S1406" s="8">
        <v>15.1</v>
      </c>
      <c r="T1406" s="8">
        <v>1</v>
      </c>
      <c r="U1406" s="8">
        <v>13.7</v>
      </c>
      <c r="V1406" s="8">
        <v>1.5</v>
      </c>
      <c r="W1406" s="8">
        <v>0.5</v>
      </c>
      <c r="X1406" s="8">
        <v>153</v>
      </c>
      <c r="Y1406" s="8" t="s">
        <v>6532</v>
      </c>
      <c r="Z1406" s="8" t="s">
        <v>6533</v>
      </c>
    </row>
    <row r="1407" spans="1:26" x14ac:dyDescent="0.2">
      <c r="A1407" s="8">
        <v>1406</v>
      </c>
      <c r="B1407" s="8" t="s">
        <v>6534</v>
      </c>
      <c r="C1407" s="8" t="s">
        <v>6534</v>
      </c>
      <c r="F1407" s="47"/>
      <c r="G1407" s="8">
        <v>13</v>
      </c>
      <c r="H1407" s="8" t="s">
        <v>21</v>
      </c>
      <c r="I1407" s="8" t="s">
        <v>22</v>
      </c>
      <c r="J1407" s="8" t="s">
        <v>22</v>
      </c>
      <c r="K1407" s="8" t="s">
        <v>85</v>
      </c>
      <c r="L1407" s="8" t="s">
        <v>3335</v>
      </c>
      <c r="M1407" s="8" t="s">
        <v>3336</v>
      </c>
      <c r="N1407" s="8" t="s">
        <v>6535</v>
      </c>
      <c r="O1407" s="8">
        <f>3+39/60+23/3600</f>
        <v>3.6563888888888889</v>
      </c>
      <c r="P1407" s="8" t="s">
        <v>6536</v>
      </c>
      <c r="Q1407" s="8">
        <f>-(31+19/60+20/3600)</f>
        <v>-31.322222222222223</v>
      </c>
      <c r="R1407" s="8">
        <v>11.8</v>
      </c>
      <c r="S1407" s="8">
        <v>12.4</v>
      </c>
      <c r="T1407" s="8">
        <v>0.6</v>
      </c>
      <c r="U1407" s="8">
        <v>12.8</v>
      </c>
      <c r="V1407" s="8">
        <v>3.9</v>
      </c>
      <c r="W1407" s="8">
        <v>0.7</v>
      </c>
      <c r="X1407" s="8">
        <v>15</v>
      </c>
      <c r="Y1407" s="8" t="s">
        <v>6537</v>
      </c>
      <c r="Z1407" s="8" t="s">
        <v>6538</v>
      </c>
    </row>
    <row r="1408" spans="1:26" x14ac:dyDescent="0.2">
      <c r="A1408" s="8">
        <v>1407</v>
      </c>
      <c r="B1408" s="8" t="s">
        <v>6539</v>
      </c>
      <c r="C1408" s="8" t="s">
        <v>6539</v>
      </c>
      <c r="F1408" s="47" t="s">
        <v>56318</v>
      </c>
      <c r="G1408" s="8">
        <v>5</v>
      </c>
      <c r="H1408" s="8" t="s">
        <v>6540</v>
      </c>
      <c r="I1408" s="8" t="s">
        <v>22</v>
      </c>
      <c r="J1408" s="8" t="s">
        <v>22</v>
      </c>
      <c r="K1408" s="8" t="s">
        <v>183</v>
      </c>
      <c r="L1408" s="8" t="s">
        <v>3328</v>
      </c>
      <c r="M1408" s="8" t="s">
        <v>3329</v>
      </c>
      <c r="N1408" s="8" t="s">
        <v>6541</v>
      </c>
      <c r="O1408" s="8">
        <f>3+40/60+11.8/3600</f>
        <v>3.6699444444444445</v>
      </c>
      <c r="P1408" s="8" t="s">
        <v>6542</v>
      </c>
      <c r="Q1408" s="8">
        <f>-(18+34/60+49/3600)</f>
        <v>-18.580277777777777</v>
      </c>
      <c r="R1408" s="8">
        <v>9.6999999999999993</v>
      </c>
      <c r="S1408" s="8">
        <v>10.7</v>
      </c>
      <c r="T1408" s="8">
        <v>1</v>
      </c>
      <c r="U1408" s="8">
        <v>12.8</v>
      </c>
      <c r="V1408" s="8">
        <v>4.5999999999999996</v>
      </c>
      <c r="W1408" s="8">
        <v>4.3</v>
      </c>
      <c r="X1408" s="8">
        <v>35</v>
      </c>
      <c r="Y1408" s="8" t="s">
        <v>6543</v>
      </c>
      <c r="Z1408" s="8" t="s">
        <v>6544</v>
      </c>
    </row>
    <row r="1409" spans="1:26" x14ac:dyDescent="0.2">
      <c r="A1409" s="8">
        <v>1408</v>
      </c>
      <c r="B1409" s="8" t="s">
        <v>6545</v>
      </c>
      <c r="C1409" s="8" t="s">
        <v>6545</v>
      </c>
      <c r="F1409" s="47"/>
      <c r="G1409" s="8">
        <v>18</v>
      </c>
      <c r="H1409" s="8" t="s">
        <v>21</v>
      </c>
      <c r="I1409" s="8" t="s">
        <v>329</v>
      </c>
      <c r="J1409" s="8" t="s">
        <v>329</v>
      </c>
      <c r="K1409" s="8" t="s">
        <v>329</v>
      </c>
      <c r="L1409" s="8" t="s">
        <v>3335</v>
      </c>
      <c r="M1409" s="8" t="s">
        <v>3336</v>
      </c>
      <c r="N1409" s="8" t="s">
        <v>6546</v>
      </c>
      <c r="O1409" s="8">
        <f>3+39/60+20/3600</f>
        <v>3.6555555555555554</v>
      </c>
      <c r="P1409" s="8" t="s">
        <v>6547</v>
      </c>
      <c r="Q1409" s="8">
        <f>-(35+31/60+30/3600)</f>
        <v>-35.524999999999999</v>
      </c>
      <c r="R1409" s="8">
        <v>99</v>
      </c>
      <c r="S1409" s="8">
        <v>99</v>
      </c>
      <c r="T1409" s="8">
        <v>99</v>
      </c>
      <c r="U1409" s="8">
        <v>99</v>
      </c>
      <c r="Y1409" s="8" t="s">
        <v>2802</v>
      </c>
      <c r="Z1409" s="8" t="s">
        <v>1021</v>
      </c>
    </row>
    <row r="1410" spans="1:26" x14ac:dyDescent="0.2">
      <c r="A1410" s="8">
        <v>1409</v>
      </c>
      <c r="B1410" s="8" t="s">
        <v>6548</v>
      </c>
      <c r="C1410" s="8" t="s">
        <v>6548</v>
      </c>
      <c r="F1410" s="47" t="s">
        <v>56319</v>
      </c>
      <c r="G1410" s="8">
        <v>15</v>
      </c>
      <c r="H1410" s="8" t="s">
        <v>21</v>
      </c>
      <c r="I1410" s="8" t="s">
        <v>22</v>
      </c>
      <c r="J1410" s="8" t="s">
        <v>22</v>
      </c>
      <c r="K1410" s="8" t="s">
        <v>224</v>
      </c>
      <c r="L1410" s="8" t="s">
        <v>6115</v>
      </c>
      <c r="M1410" s="8" t="s">
        <v>6116</v>
      </c>
      <c r="N1410" s="8" t="s">
        <v>6549</v>
      </c>
      <c r="O1410" s="8">
        <f>3+41/60+10.4/3600</f>
        <v>3.6862222222222223</v>
      </c>
      <c r="P1410" s="8" t="s">
        <v>6550</v>
      </c>
      <c r="Q1410" s="8">
        <f>-(1+18/60+7/3600)</f>
        <v>-1.3019444444444446</v>
      </c>
      <c r="R1410" s="8">
        <v>13.8</v>
      </c>
      <c r="S1410" s="8">
        <v>14.8</v>
      </c>
      <c r="T1410" s="8">
        <v>1</v>
      </c>
      <c r="U1410" s="8">
        <v>13.2</v>
      </c>
      <c r="V1410" s="8">
        <v>1</v>
      </c>
      <c r="W1410" s="8">
        <v>0.8</v>
      </c>
      <c r="X1410" s="8">
        <v>130</v>
      </c>
      <c r="Y1410" s="8" t="s">
        <v>6551</v>
      </c>
      <c r="Z1410" s="8" t="s">
        <v>6552</v>
      </c>
    </row>
    <row r="1411" spans="1:26" x14ac:dyDescent="0.2">
      <c r="A1411" s="8">
        <v>1410</v>
      </c>
      <c r="B1411" s="8" t="s">
        <v>6553</v>
      </c>
      <c r="C1411" s="8" t="s">
        <v>6553</v>
      </c>
      <c r="F1411" s="47"/>
      <c r="G1411" s="8">
        <v>18</v>
      </c>
      <c r="H1411" s="8" t="s">
        <v>21</v>
      </c>
      <c r="I1411" s="8" t="s">
        <v>22</v>
      </c>
      <c r="J1411" s="8" t="s">
        <v>22</v>
      </c>
      <c r="K1411" s="8" t="s">
        <v>183</v>
      </c>
      <c r="L1411" s="8" t="s">
        <v>6115</v>
      </c>
      <c r="M1411" s="8" t="s">
        <v>6116</v>
      </c>
      <c r="N1411" s="8" t="s">
        <v>6554</v>
      </c>
      <c r="O1411" s="8">
        <f>3+41/60+10.8/3600</f>
        <v>3.6863333333333337</v>
      </c>
      <c r="P1411" s="8" t="s">
        <v>6555</v>
      </c>
      <c r="Q1411" s="8">
        <f>-(1+17/60+55/3600)</f>
        <v>-1.2986111111111109</v>
      </c>
      <c r="R1411" s="8">
        <v>14</v>
      </c>
      <c r="S1411" s="8">
        <v>15</v>
      </c>
      <c r="T1411" s="8">
        <v>1</v>
      </c>
      <c r="U1411" s="8">
        <v>13.1</v>
      </c>
      <c r="V1411" s="8">
        <v>0.7</v>
      </c>
      <c r="W1411" s="8">
        <v>0.6</v>
      </c>
      <c r="X1411" s="8">
        <v>120</v>
      </c>
      <c r="Y1411" s="8" t="s">
        <v>6556</v>
      </c>
      <c r="Z1411" s="8" t="s">
        <v>6557</v>
      </c>
    </row>
    <row r="1412" spans="1:26" x14ac:dyDescent="0.2">
      <c r="A1412" s="8">
        <v>1411</v>
      </c>
      <c r="B1412" s="8" t="s">
        <v>6558</v>
      </c>
      <c r="C1412" s="8" t="s">
        <v>6558</v>
      </c>
      <c r="F1412" s="47"/>
      <c r="G1412" s="8">
        <v>13</v>
      </c>
      <c r="H1412" s="8" t="s">
        <v>21</v>
      </c>
      <c r="I1412" s="8" t="s">
        <v>22</v>
      </c>
      <c r="J1412" s="8" t="s">
        <v>22</v>
      </c>
      <c r="K1412" s="8" t="s">
        <v>58</v>
      </c>
      <c r="L1412" s="8" t="s">
        <v>4263</v>
      </c>
      <c r="M1412" s="8" t="s">
        <v>4264</v>
      </c>
      <c r="N1412" s="8" t="s">
        <v>6559</v>
      </c>
      <c r="O1412" s="8">
        <f>3+38/60+44.9/3600</f>
        <v>3.6458055555555555</v>
      </c>
      <c r="P1412" s="8" t="s">
        <v>6560</v>
      </c>
      <c r="Q1412" s="8">
        <f>-(44+6/60+2/3600)</f>
        <v>-44.100555555555559</v>
      </c>
      <c r="R1412" s="8">
        <v>11.3</v>
      </c>
      <c r="S1412" s="8">
        <v>12.2</v>
      </c>
      <c r="T1412" s="8">
        <v>0.9</v>
      </c>
      <c r="U1412" s="8">
        <v>12.6</v>
      </c>
      <c r="V1412" s="8">
        <v>1.8</v>
      </c>
      <c r="W1412" s="8">
        <v>1.4</v>
      </c>
      <c r="X1412" s="8">
        <v>6</v>
      </c>
      <c r="Y1412" s="8" t="s">
        <v>6561</v>
      </c>
      <c r="Z1412" s="8" t="s">
        <v>6562</v>
      </c>
    </row>
    <row r="1413" spans="1:26" x14ac:dyDescent="0.2">
      <c r="A1413" s="8">
        <v>1412</v>
      </c>
      <c r="B1413" s="8" t="s">
        <v>6563</v>
      </c>
      <c r="C1413" s="8" t="s">
        <v>6563</v>
      </c>
      <c r="F1413" s="47"/>
      <c r="G1413" s="8">
        <v>16</v>
      </c>
      <c r="H1413" s="8" t="s">
        <v>21</v>
      </c>
      <c r="I1413" s="8" t="s">
        <v>22</v>
      </c>
      <c r="J1413" s="8" t="s">
        <v>22</v>
      </c>
      <c r="K1413" s="8" t="s">
        <v>224</v>
      </c>
      <c r="L1413" s="8" t="s">
        <v>3335</v>
      </c>
      <c r="M1413" s="8" t="s">
        <v>3336</v>
      </c>
      <c r="N1413" s="8" t="s">
        <v>6564</v>
      </c>
      <c r="O1413" s="8">
        <f>3+40/60+29.3/3600</f>
        <v>3.6748055555555554</v>
      </c>
      <c r="P1413" s="8" t="s">
        <v>6565</v>
      </c>
      <c r="Q1413" s="8">
        <f>-(26+51/60+43/3600)</f>
        <v>-26.861944444444447</v>
      </c>
      <c r="R1413" s="8">
        <v>12.5</v>
      </c>
      <c r="S1413" s="8">
        <v>13.5</v>
      </c>
      <c r="T1413" s="8">
        <v>1</v>
      </c>
      <c r="U1413" s="8">
        <v>12.6</v>
      </c>
      <c r="V1413" s="8">
        <v>1.8</v>
      </c>
      <c r="W1413" s="8">
        <v>0.7</v>
      </c>
      <c r="X1413" s="8">
        <v>131</v>
      </c>
      <c r="Y1413" s="8" t="s">
        <v>6566</v>
      </c>
      <c r="Z1413" s="8" t="s">
        <v>6567</v>
      </c>
    </row>
    <row r="1414" spans="1:26" x14ac:dyDescent="0.2">
      <c r="A1414" s="8">
        <v>1413</v>
      </c>
      <c r="B1414" s="8" t="s">
        <v>6568</v>
      </c>
      <c r="C1414" s="8" t="s">
        <v>6568</v>
      </c>
      <c r="F1414" s="47"/>
      <c r="G1414" s="8">
        <v>19</v>
      </c>
      <c r="H1414" s="8" t="s">
        <v>21</v>
      </c>
      <c r="I1414" s="8" t="s">
        <v>22</v>
      </c>
      <c r="J1414" s="8" t="s">
        <v>22</v>
      </c>
      <c r="K1414" s="8" t="s">
        <v>1136</v>
      </c>
      <c r="L1414" s="8" t="s">
        <v>3328</v>
      </c>
      <c r="M1414" s="8" t="s">
        <v>3329</v>
      </c>
      <c r="N1414" s="8" t="s">
        <v>6569</v>
      </c>
      <c r="O1414" s="8">
        <f>3+40/60+11.5/3600</f>
        <v>3.669861111111111</v>
      </c>
      <c r="P1414" s="8" t="s">
        <v>6570</v>
      </c>
      <c r="Q1414" s="8">
        <f>-(15+36/60+37/3600)</f>
        <v>-15.610277777777778</v>
      </c>
      <c r="R1414" s="8">
        <v>14.3</v>
      </c>
      <c r="S1414" s="8">
        <v>15.3</v>
      </c>
      <c r="T1414" s="8">
        <v>1</v>
      </c>
      <c r="U1414" s="8">
        <v>14.1</v>
      </c>
      <c r="V1414" s="8">
        <v>1</v>
      </c>
      <c r="W1414" s="8">
        <v>0.8</v>
      </c>
      <c r="X1414" s="8">
        <v>57</v>
      </c>
      <c r="Y1414" s="8" t="s">
        <v>348</v>
      </c>
      <c r="Z1414" s="8" t="s">
        <v>349</v>
      </c>
    </row>
    <row r="1415" spans="1:26" x14ac:dyDescent="0.2">
      <c r="A1415" s="8">
        <v>1414</v>
      </c>
      <c r="B1415" s="8" t="s">
        <v>6571</v>
      </c>
      <c r="C1415" s="8" t="s">
        <v>6571</v>
      </c>
      <c r="F1415" s="47"/>
      <c r="G1415" s="8">
        <v>19</v>
      </c>
      <c r="H1415" s="8" t="s">
        <v>21</v>
      </c>
      <c r="I1415" s="8" t="s">
        <v>22</v>
      </c>
      <c r="J1415" s="8" t="s">
        <v>22</v>
      </c>
      <c r="K1415" s="8" t="s">
        <v>85</v>
      </c>
      <c r="L1415" s="8" t="s">
        <v>3328</v>
      </c>
      <c r="M1415" s="8" t="s">
        <v>3329</v>
      </c>
      <c r="N1415" s="8" t="s">
        <v>6572</v>
      </c>
      <c r="O1415" s="8">
        <f>3+40/60+57/3600</f>
        <v>3.6824999999999997</v>
      </c>
      <c r="P1415" s="8" t="s">
        <v>6573</v>
      </c>
      <c r="Q1415" s="8">
        <f>-(21+42/60+48/3600)</f>
        <v>-21.713333333333331</v>
      </c>
      <c r="R1415" s="8">
        <v>14</v>
      </c>
      <c r="S1415" s="8">
        <v>14.8</v>
      </c>
      <c r="T1415" s="8">
        <v>0.8</v>
      </c>
      <c r="U1415" s="8">
        <v>12.9</v>
      </c>
      <c r="V1415" s="8">
        <v>1.5</v>
      </c>
      <c r="W1415" s="8">
        <v>0.3</v>
      </c>
      <c r="X1415" s="8">
        <v>172</v>
      </c>
      <c r="Y1415" s="8" t="s">
        <v>6574</v>
      </c>
      <c r="Z1415" s="8" t="s">
        <v>6575</v>
      </c>
    </row>
    <row r="1416" spans="1:26" x14ac:dyDescent="0.2">
      <c r="A1416" s="8">
        <v>1415</v>
      </c>
      <c r="B1416" s="8" t="s">
        <v>6576</v>
      </c>
      <c r="C1416" s="8" t="s">
        <v>6576</v>
      </c>
      <c r="F1416" s="47" t="s">
        <v>56320</v>
      </c>
      <c r="G1416" s="8">
        <v>13</v>
      </c>
      <c r="H1416" s="8" t="s">
        <v>21</v>
      </c>
      <c r="I1416" s="8" t="s">
        <v>22</v>
      </c>
      <c r="J1416" s="8" t="s">
        <v>22</v>
      </c>
      <c r="K1416" s="8" t="s">
        <v>632</v>
      </c>
      <c r="L1416" s="8" t="s">
        <v>3328</v>
      </c>
      <c r="M1416" s="8" t="s">
        <v>3329</v>
      </c>
      <c r="N1416" s="8" t="s">
        <v>6577</v>
      </c>
      <c r="O1416" s="8">
        <f>3+40/60+56.9/3600</f>
        <v>3.6824722222222221</v>
      </c>
      <c r="P1416" s="8" t="s">
        <v>6578</v>
      </c>
      <c r="Q1416" s="8">
        <f>-(22+33/60+51/3600)</f>
        <v>-22.564166666666669</v>
      </c>
      <c r="R1416" s="8">
        <v>11.9</v>
      </c>
      <c r="S1416" s="8">
        <v>12.8</v>
      </c>
      <c r="T1416" s="8">
        <v>0.9</v>
      </c>
      <c r="U1416" s="8">
        <v>13.7</v>
      </c>
      <c r="V1416" s="8">
        <v>3.6</v>
      </c>
      <c r="W1416" s="8">
        <v>1.7</v>
      </c>
      <c r="X1416" s="8">
        <v>148</v>
      </c>
      <c r="Y1416" s="8" t="s">
        <v>6579</v>
      </c>
      <c r="Z1416" s="8" t="s">
        <v>6580</v>
      </c>
    </row>
    <row r="1417" spans="1:26" x14ac:dyDescent="0.2">
      <c r="A1417" s="8">
        <v>1416</v>
      </c>
      <c r="B1417" s="8" t="s">
        <v>6581</v>
      </c>
      <c r="C1417" s="8" t="s">
        <v>6581</v>
      </c>
      <c r="F1417" s="47"/>
      <c r="G1417" s="8">
        <v>19</v>
      </c>
      <c r="H1417" s="8" t="s">
        <v>21</v>
      </c>
      <c r="I1417" s="8" t="s">
        <v>22</v>
      </c>
      <c r="J1417" s="8" t="s">
        <v>22</v>
      </c>
      <c r="K1417" s="8" t="s">
        <v>183</v>
      </c>
      <c r="L1417" s="8" t="s">
        <v>3328</v>
      </c>
      <c r="M1417" s="8" t="s">
        <v>3329</v>
      </c>
      <c r="N1417" s="8" t="s">
        <v>6582</v>
      </c>
      <c r="O1417" s="8">
        <f>3+41/60+2.8/3600</f>
        <v>3.6841111111111116</v>
      </c>
      <c r="P1417" s="8" t="s">
        <v>6583</v>
      </c>
      <c r="Q1417" s="8">
        <f>-(22+43/60+9/3600)</f>
        <v>-22.719166666666666</v>
      </c>
      <c r="R1417" s="8">
        <v>12.9</v>
      </c>
      <c r="S1417" s="8">
        <v>13.9</v>
      </c>
      <c r="T1417" s="8">
        <v>1</v>
      </c>
      <c r="U1417" s="8">
        <v>13.4</v>
      </c>
      <c r="V1417" s="8">
        <v>1.2</v>
      </c>
      <c r="W1417" s="8">
        <v>1.2</v>
      </c>
      <c r="Y1417" s="8" t="s">
        <v>6584</v>
      </c>
      <c r="Z1417" s="8" t="s">
        <v>6585</v>
      </c>
    </row>
    <row r="1418" spans="1:26" x14ac:dyDescent="0.2">
      <c r="A1418" s="8">
        <v>1417</v>
      </c>
      <c r="B1418" s="8" t="s">
        <v>6586</v>
      </c>
      <c r="C1418" s="8" t="s">
        <v>6586</v>
      </c>
      <c r="F1418" s="47" t="s">
        <v>56321</v>
      </c>
      <c r="G1418" s="8">
        <v>13</v>
      </c>
      <c r="H1418" s="8" t="s">
        <v>21</v>
      </c>
      <c r="I1418" s="8" t="s">
        <v>22</v>
      </c>
      <c r="J1418" s="8" t="s">
        <v>22</v>
      </c>
      <c r="K1418" s="8" t="s">
        <v>218</v>
      </c>
      <c r="L1418" s="8" t="s">
        <v>3328</v>
      </c>
      <c r="M1418" s="8" t="s">
        <v>3329</v>
      </c>
      <c r="N1418" s="8" t="s">
        <v>6587</v>
      </c>
      <c r="O1418" s="8">
        <f>3+41/60+57.2/3600</f>
        <v>3.6992222222222226</v>
      </c>
      <c r="P1418" s="8" t="s">
        <v>6588</v>
      </c>
      <c r="Q1418" s="8">
        <f>-(4+42/60+19/3600)</f>
        <v>-4.7052777777777779</v>
      </c>
      <c r="R1418" s="8">
        <v>12.1</v>
      </c>
      <c r="S1418" s="8">
        <v>12.8</v>
      </c>
      <c r="T1418" s="8">
        <v>0.7</v>
      </c>
      <c r="U1418" s="8">
        <v>13.6</v>
      </c>
      <c r="V1418" s="8">
        <v>2.2999999999999998</v>
      </c>
      <c r="W1418" s="8">
        <v>1.2</v>
      </c>
      <c r="X1418" s="8">
        <v>0</v>
      </c>
      <c r="Y1418" s="8" t="s">
        <v>6589</v>
      </c>
      <c r="Z1418" s="8" t="s">
        <v>6590</v>
      </c>
    </row>
    <row r="1419" spans="1:26" x14ac:dyDescent="0.2">
      <c r="A1419" s="8">
        <v>1418</v>
      </c>
      <c r="B1419" s="8" t="s">
        <v>6591</v>
      </c>
      <c r="C1419" s="8" t="s">
        <v>6591</v>
      </c>
      <c r="F1419" s="47" t="s">
        <v>56322</v>
      </c>
      <c r="G1419" s="8">
        <v>15</v>
      </c>
      <c r="H1419" s="8" t="s">
        <v>21</v>
      </c>
      <c r="I1419" s="8" t="s">
        <v>22</v>
      </c>
      <c r="J1419" s="8" t="s">
        <v>22</v>
      </c>
      <c r="K1419" s="8" t="s">
        <v>218</v>
      </c>
      <c r="L1419" s="8" t="s">
        <v>3328</v>
      </c>
      <c r="M1419" s="8" t="s">
        <v>3329</v>
      </c>
      <c r="N1419" s="8" t="s">
        <v>6592</v>
      </c>
      <c r="O1419" s="8">
        <f>3+42/60+16.2/3600</f>
        <v>3.7045000000000003</v>
      </c>
      <c r="P1419" s="8" t="s">
        <v>6593</v>
      </c>
      <c r="Q1419" s="8">
        <f>-(4+43/60+54/3600)</f>
        <v>-4.7316666666666665</v>
      </c>
      <c r="R1419" s="8">
        <v>13.6</v>
      </c>
      <c r="S1419" s="8">
        <v>14.3</v>
      </c>
      <c r="T1419" s="8">
        <v>0.7</v>
      </c>
      <c r="U1419" s="8">
        <v>13.6</v>
      </c>
      <c r="V1419" s="8">
        <v>1</v>
      </c>
      <c r="W1419" s="8">
        <v>0.6</v>
      </c>
      <c r="X1419" s="8">
        <v>15</v>
      </c>
      <c r="Y1419" s="8" t="s">
        <v>6594</v>
      </c>
      <c r="Z1419" s="8" t="s">
        <v>6595</v>
      </c>
    </row>
    <row r="1420" spans="1:26" x14ac:dyDescent="0.2">
      <c r="A1420" s="8">
        <v>1419</v>
      </c>
      <c r="B1420" s="8" t="s">
        <v>6596</v>
      </c>
      <c r="C1420" s="8" t="s">
        <v>6596</v>
      </c>
      <c r="F1420" s="47"/>
      <c r="G1420" s="8">
        <v>16</v>
      </c>
      <c r="H1420" s="8" t="s">
        <v>21</v>
      </c>
      <c r="I1420" s="8" t="s">
        <v>22</v>
      </c>
      <c r="J1420" s="8" t="s">
        <v>22</v>
      </c>
      <c r="K1420" s="8" t="s">
        <v>460</v>
      </c>
      <c r="L1420" s="8" t="s">
        <v>3328</v>
      </c>
      <c r="M1420" s="8" t="s">
        <v>3329</v>
      </c>
      <c r="N1420" s="8" t="s">
        <v>6597</v>
      </c>
      <c r="O1420" s="8">
        <f>3+40/60+42/3600</f>
        <v>3.6783333333333332</v>
      </c>
      <c r="P1420" s="8" t="s">
        <v>6598</v>
      </c>
      <c r="Q1420" s="8">
        <f>-(37+30/60+40/3600)</f>
        <v>-37.511111111111113</v>
      </c>
      <c r="R1420" s="8">
        <v>12.6</v>
      </c>
      <c r="S1420" s="8">
        <v>13.5</v>
      </c>
      <c r="T1420" s="8">
        <v>0.9</v>
      </c>
      <c r="U1420" s="8">
        <v>12.8</v>
      </c>
      <c r="V1420" s="8">
        <v>0.9</v>
      </c>
      <c r="W1420" s="8">
        <v>0.9</v>
      </c>
      <c r="Y1420" s="8" t="s">
        <v>6599</v>
      </c>
      <c r="Z1420" s="8" t="s">
        <v>6600</v>
      </c>
    </row>
    <row r="1421" spans="1:26" x14ac:dyDescent="0.2">
      <c r="A1421" s="8">
        <v>1420</v>
      </c>
      <c r="B1421" s="8" t="s">
        <v>6601</v>
      </c>
      <c r="C1421" s="8" t="s">
        <v>6601</v>
      </c>
      <c r="F1421" s="47"/>
      <c r="G1421" s="8">
        <v>18</v>
      </c>
      <c r="H1421" s="8" t="s">
        <v>21</v>
      </c>
      <c r="I1421" s="8" t="s">
        <v>72</v>
      </c>
      <c r="J1421" s="8" t="s">
        <v>72</v>
      </c>
      <c r="K1421" s="8" t="s">
        <v>1802</v>
      </c>
      <c r="L1421" s="8" t="s">
        <v>3328</v>
      </c>
      <c r="M1421" s="8" t="s">
        <v>3329</v>
      </c>
      <c r="N1421" s="8" t="s">
        <v>6602</v>
      </c>
      <c r="O1421" s="8">
        <f>3+42/60+40/3600</f>
        <v>3.7111111111111112</v>
      </c>
      <c r="P1421" s="8" t="s">
        <v>6603</v>
      </c>
      <c r="Q1421" s="8">
        <f>-(5+51/60+8/3600)</f>
        <v>-5.8522222222222222</v>
      </c>
      <c r="R1421" s="8">
        <v>99</v>
      </c>
      <c r="S1421" s="8">
        <v>99</v>
      </c>
      <c r="T1421" s="8">
        <v>99</v>
      </c>
      <c r="U1421" s="8">
        <v>99</v>
      </c>
      <c r="Y1421" s="8" t="s">
        <v>6604</v>
      </c>
      <c r="Z1421" s="8" t="s">
        <v>6605</v>
      </c>
    </row>
    <row r="1422" spans="1:26" x14ac:dyDescent="0.2">
      <c r="A1422" s="8">
        <v>1421</v>
      </c>
      <c r="B1422" s="8" t="s">
        <v>6606</v>
      </c>
      <c r="C1422" s="8" t="s">
        <v>6606</v>
      </c>
      <c r="F1422" s="47" t="s">
        <v>56323</v>
      </c>
      <c r="G1422" s="8">
        <v>6.5</v>
      </c>
      <c r="H1422" s="8" t="s">
        <v>21</v>
      </c>
      <c r="I1422" s="8" t="s">
        <v>22</v>
      </c>
      <c r="J1422" s="8" t="s">
        <v>22</v>
      </c>
      <c r="K1422" s="8" t="s">
        <v>85</v>
      </c>
      <c r="L1422" s="8" t="s">
        <v>3328</v>
      </c>
      <c r="M1422" s="8" t="s">
        <v>3329</v>
      </c>
      <c r="N1422" s="8" t="s">
        <v>6607</v>
      </c>
      <c r="O1422" s="8">
        <f>3+42/60+29.4/3600</f>
        <v>3.7081666666666671</v>
      </c>
      <c r="P1422" s="8" t="s">
        <v>6608</v>
      </c>
      <c r="Q1422" s="8">
        <f>-(13+29/60+16/3600)</f>
        <v>-13.487777777777778</v>
      </c>
      <c r="R1422" s="8">
        <v>11.4</v>
      </c>
      <c r="S1422" s="8">
        <v>12</v>
      </c>
      <c r="T1422" s="8">
        <v>0.6</v>
      </c>
      <c r="U1422" s="8">
        <v>12.5</v>
      </c>
      <c r="V1422" s="8">
        <v>3.4</v>
      </c>
      <c r="W1422" s="8">
        <v>0.8</v>
      </c>
      <c r="X1422" s="8">
        <v>0</v>
      </c>
      <c r="Y1422" s="8" t="s">
        <v>6609</v>
      </c>
      <c r="Z1422" s="8" t="s">
        <v>6610</v>
      </c>
    </row>
    <row r="1423" spans="1:26" x14ac:dyDescent="0.2">
      <c r="A1423" s="8">
        <v>1422</v>
      </c>
      <c r="B1423" s="8" t="s">
        <v>6611</v>
      </c>
      <c r="C1423" s="8" t="s">
        <v>6611</v>
      </c>
      <c r="F1423" s="47"/>
      <c r="G1423" s="8">
        <v>19</v>
      </c>
      <c r="H1423" s="8" t="s">
        <v>21</v>
      </c>
      <c r="I1423" s="8" t="s">
        <v>22</v>
      </c>
      <c r="J1423" s="8" t="s">
        <v>22</v>
      </c>
      <c r="K1423" s="8" t="s">
        <v>406</v>
      </c>
      <c r="L1423" s="8" t="s">
        <v>3328</v>
      </c>
      <c r="M1423" s="8" t="s">
        <v>3329</v>
      </c>
      <c r="N1423" s="8" t="s">
        <v>6612</v>
      </c>
      <c r="O1423" s="8">
        <f>3+41/60+31.3/3600</f>
        <v>3.6920277777777781</v>
      </c>
      <c r="P1423" s="8" t="s">
        <v>6613</v>
      </c>
      <c r="Q1423" s="8">
        <f>-(21+40/60+51/3600)</f>
        <v>-21.680833333333336</v>
      </c>
      <c r="R1423" s="8">
        <v>13.2</v>
      </c>
      <c r="S1423" s="8">
        <v>14</v>
      </c>
      <c r="T1423" s="8">
        <v>0.8</v>
      </c>
      <c r="U1423" s="8">
        <v>13.4</v>
      </c>
      <c r="V1423" s="8">
        <v>2.2999999999999998</v>
      </c>
      <c r="W1423" s="8">
        <v>0.6</v>
      </c>
      <c r="X1423" s="8">
        <v>65</v>
      </c>
      <c r="Y1423" s="8" t="s">
        <v>6614</v>
      </c>
      <c r="Z1423" s="8" t="s">
        <v>6615</v>
      </c>
    </row>
    <row r="1424" spans="1:26" x14ac:dyDescent="0.2">
      <c r="A1424" s="8">
        <v>1423</v>
      </c>
      <c r="B1424" s="8" t="s">
        <v>6616</v>
      </c>
      <c r="C1424" s="8" t="s">
        <v>6616</v>
      </c>
      <c r="F1424" s="47"/>
      <c r="G1424" s="8">
        <v>19</v>
      </c>
      <c r="H1424" s="8" t="s">
        <v>21</v>
      </c>
      <c r="I1424" s="8" t="s">
        <v>22</v>
      </c>
      <c r="J1424" s="8" t="s">
        <v>22</v>
      </c>
      <c r="K1424" s="8" t="s">
        <v>1445</v>
      </c>
      <c r="L1424" s="8" t="s">
        <v>3328</v>
      </c>
      <c r="M1424" s="8" t="s">
        <v>3329</v>
      </c>
      <c r="N1424" s="8" t="s">
        <v>6617</v>
      </c>
      <c r="O1424" s="8">
        <f>3+42/60+40.1/3600</f>
        <v>3.7111388888888892</v>
      </c>
      <c r="P1424" s="8" t="s">
        <v>6618</v>
      </c>
      <c r="Q1424" s="8">
        <f>-(6+22/60+54/3600)</f>
        <v>-6.3816666666666659</v>
      </c>
      <c r="R1424" s="8">
        <v>14.1</v>
      </c>
      <c r="S1424" s="8">
        <v>14.9</v>
      </c>
      <c r="T1424" s="8">
        <v>0.8</v>
      </c>
      <c r="U1424" s="8">
        <v>13.3</v>
      </c>
      <c r="V1424" s="8">
        <v>0.9</v>
      </c>
      <c r="W1424" s="8">
        <v>0.6</v>
      </c>
      <c r="X1424" s="8">
        <v>22</v>
      </c>
      <c r="Y1424" s="8" t="s">
        <v>4937</v>
      </c>
      <c r="Z1424" s="8" t="s">
        <v>4938</v>
      </c>
    </row>
    <row r="1425" spans="1:26" x14ac:dyDescent="0.2">
      <c r="A1425" s="8">
        <v>1424</v>
      </c>
      <c r="B1425" s="8" t="s">
        <v>6619</v>
      </c>
      <c r="C1425" s="8" t="s">
        <v>6619</v>
      </c>
      <c r="F1425" s="47"/>
      <c r="G1425" s="8">
        <v>18</v>
      </c>
      <c r="H1425" s="8" t="s">
        <v>21</v>
      </c>
      <c r="I1425" s="8" t="s">
        <v>22</v>
      </c>
      <c r="J1425" s="8" t="s">
        <v>22</v>
      </c>
      <c r="K1425" s="8" t="s">
        <v>218</v>
      </c>
      <c r="L1425" s="8" t="s">
        <v>3328</v>
      </c>
      <c r="M1425" s="8" t="s">
        <v>3329</v>
      </c>
      <c r="N1425" s="8" t="s">
        <v>6620</v>
      </c>
      <c r="O1425" s="8">
        <f>3+43/60+14/3600</f>
        <v>3.7205555555555558</v>
      </c>
      <c r="P1425" s="8" t="s">
        <v>6621</v>
      </c>
      <c r="Q1425" s="8">
        <f>-(4+43/60+49/3600)</f>
        <v>-4.7302777777777782</v>
      </c>
      <c r="R1425" s="8">
        <v>13.8</v>
      </c>
      <c r="S1425" s="8">
        <v>14.3</v>
      </c>
      <c r="T1425" s="8">
        <v>0.5</v>
      </c>
      <c r="U1425" s="8">
        <v>13.7</v>
      </c>
      <c r="V1425" s="8">
        <v>1.6</v>
      </c>
      <c r="W1425" s="8">
        <v>0.6</v>
      </c>
      <c r="X1425" s="8">
        <v>11</v>
      </c>
      <c r="Y1425" s="8" t="s">
        <v>6622</v>
      </c>
      <c r="Z1425" s="8" t="s">
        <v>6623</v>
      </c>
    </row>
    <row r="1426" spans="1:26" x14ac:dyDescent="0.2">
      <c r="A1426" s="8">
        <v>1425</v>
      </c>
      <c r="B1426" s="8" t="s">
        <v>6624</v>
      </c>
      <c r="C1426" s="8" t="s">
        <v>6624</v>
      </c>
      <c r="F1426" s="47" t="s">
        <v>56324</v>
      </c>
      <c r="G1426" s="8">
        <v>13</v>
      </c>
      <c r="H1426" s="8" t="s">
        <v>21</v>
      </c>
      <c r="I1426" s="8" t="s">
        <v>22</v>
      </c>
      <c r="J1426" s="8" t="s">
        <v>22</v>
      </c>
      <c r="K1426" s="8" t="s">
        <v>23</v>
      </c>
      <c r="L1426" s="8" t="s">
        <v>3335</v>
      </c>
      <c r="M1426" s="8" t="s">
        <v>3336</v>
      </c>
      <c r="N1426" s="8" t="s">
        <v>6625</v>
      </c>
      <c r="O1426" s="8">
        <f>3+42/60+11.5/3600</f>
        <v>3.7031944444444447</v>
      </c>
      <c r="P1426" s="8" t="s">
        <v>6626</v>
      </c>
      <c r="Q1426" s="8">
        <f>-(29+53/60+39/3600)</f>
        <v>-29.894166666666667</v>
      </c>
      <c r="R1426" s="8">
        <v>10.6</v>
      </c>
      <c r="S1426" s="8">
        <v>11.3</v>
      </c>
      <c r="T1426" s="8">
        <v>0.7</v>
      </c>
      <c r="U1426" s="8">
        <v>13.4</v>
      </c>
      <c r="V1426" s="8">
        <v>5.8</v>
      </c>
      <c r="W1426" s="8">
        <v>2.5</v>
      </c>
      <c r="X1426" s="8">
        <v>129</v>
      </c>
      <c r="Y1426" s="8" t="s">
        <v>6627</v>
      </c>
      <c r="Z1426" s="8" t="s">
        <v>6628</v>
      </c>
    </row>
    <row r="1427" spans="1:26" x14ac:dyDescent="0.2">
      <c r="A1427" s="8">
        <v>1426</v>
      </c>
      <c r="B1427" s="8" t="s">
        <v>6629</v>
      </c>
      <c r="C1427" s="8" t="s">
        <v>6629</v>
      </c>
      <c r="F1427" s="47" t="s">
        <v>56325</v>
      </c>
      <c r="G1427" s="8">
        <v>13</v>
      </c>
      <c r="H1427" s="8" t="s">
        <v>21</v>
      </c>
      <c r="I1427" s="8" t="s">
        <v>22</v>
      </c>
      <c r="J1427" s="8" t="s">
        <v>22</v>
      </c>
      <c r="K1427" s="8" t="s">
        <v>50</v>
      </c>
      <c r="L1427" s="8" t="s">
        <v>3328</v>
      </c>
      <c r="M1427" s="8" t="s">
        <v>3329</v>
      </c>
      <c r="N1427" s="8" t="s">
        <v>6630</v>
      </c>
      <c r="O1427" s="8">
        <f>3+42/60+49.3/3600</f>
        <v>3.7136944444444446</v>
      </c>
      <c r="P1427" s="8" t="s">
        <v>6631</v>
      </c>
      <c r="Q1427" s="8">
        <f>-(22+6/60+28/3600)</f>
        <v>-22.10777777777778</v>
      </c>
      <c r="R1427" s="8">
        <v>11.4</v>
      </c>
      <c r="S1427" s="8">
        <v>12.3</v>
      </c>
      <c r="T1427" s="8">
        <v>0.9</v>
      </c>
      <c r="U1427" s="8">
        <v>13</v>
      </c>
      <c r="V1427" s="8">
        <v>2.6</v>
      </c>
      <c r="W1427" s="8">
        <v>1.6</v>
      </c>
      <c r="X1427" s="8">
        <v>111</v>
      </c>
      <c r="Y1427" s="8" t="s">
        <v>6632</v>
      </c>
      <c r="Z1427" s="8" t="s">
        <v>6633</v>
      </c>
    </row>
    <row r="1428" spans="1:26" x14ac:dyDescent="0.2">
      <c r="A1428" s="8">
        <v>1427</v>
      </c>
      <c r="B1428" s="8" t="s">
        <v>6634</v>
      </c>
      <c r="C1428" s="8" t="s">
        <v>6634</v>
      </c>
      <c r="F1428" s="47"/>
      <c r="G1428" s="8">
        <v>11</v>
      </c>
      <c r="H1428" s="8" t="s">
        <v>21</v>
      </c>
      <c r="I1428" s="8" t="s">
        <v>22</v>
      </c>
      <c r="J1428" s="8" t="s">
        <v>22</v>
      </c>
      <c r="K1428" s="8" t="s">
        <v>382</v>
      </c>
      <c r="L1428" s="8" t="s">
        <v>3335</v>
      </c>
      <c r="M1428" s="8" t="s">
        <v>3336</v>
      </c>
      <c r="N1428" s="8" t="s">
        <v>6635</v>
      </c>
      <c r="O1428" s="8">
        <f>3+42/60+19.2/3600</f>
        <v>3.7053333333333334</v>
      </c>
      <c r="P1428" s="8" t="s">
        <v>6636</v>
      </c>
      <c r="Q1428" s="8">
        <f>-(35+23/60+34/3600)</f>
        <v>-35.392777777777781</v>
      </c>
      <c r="R1428" s="8">
        <v>10.9</v>
      </c>
      <c r="S1428" s="8">
        <v>11.8</v>
      </c>
      <c r="T1428" s="8">
        <v>0.9</v>
      </c>
      <c r="U1428" s="8">
        <v>13.2</v>
      </c>
      <c r="V1428" s="8">
        <v>3.8</v>
      </c>
      <c r="W1428" s="8">
        <v>2.6</v>
      </c>
      <c r="X1428" s="8">
        <v>76</v>
      </c>
      <c r="Y1428" s="8" t="s">
        <v>6443</v>
      </c>
      <c r="Z1428" s="8" t="s">
        <v>6444</v>
      </c>
    </row>
    <row r="1429" spans="1:26" x14ac:dyDescent="0.2">
      <c r="A1429" s="8">
        <v>1428</v>
      </c>
      <c r="B1429" s="8" t="s">
        <v>6637</v>
      </c>
      <c r="C1429" s="8" t="s">
        <v>6637</v>
      </c>
      <c r="F1429" s="47"/>
      <c r="G1429" s="8">
        <v>18</v>
      </c>
      <c r="H1429" s="8" t="s">
        <v>21</v>
      </c>
      <c r="I1429" s="8" t="s">
        <v>22</v>
      </c>
      <c r="J1429" s="8" t="s">
        <v>22</v>
      </c>
      <c r="K1429" s="8" t="s">
        <v>118</v>
      </c>
      <c r="L1429" s="8" t="s">
        <v>3335</v>
      </c>
      <c r="M1429" s="8" t="s">
        <v>3336</v>
      </c>
      <c r="N1429" s="8" t="s">
        <v>6638</v>
      </c>
      <c r="O1429" s="8">
        <f>3+42/60+22.9/3600</f>
        <v>3.7063611111111112</v>
      </c>
      <c r="P1429" s="8" t="s">
        <v>6639</v>
      </c>
      <c r="Q1429" s="8">
        <f>-(35+9/60+14/3600)</f>
        <v>-35.153888888888886</v>
      </c>
      <c r="R1429" s="8">
        <v>12.9</v>
      </c>
      <c r="S1429" s="8">
        <v>13.9</v>
      </c>
      <c r="T1429" s="8">
        <v>1</v>
      </c>
      <c r="U1429" s="8">
        <v>12.3</v>
      </c>
      <c r="V1429" s="8">
        <v>1.1000000000000001</v>
      </c>
      <c r="W1429" s="8">
        <v>0.6</v>
      </c>
      <c r="X1429" s="8">
        <v>118</v>
      </c>
      <c r="Y1429" s="8" t="s">
        <v>2802</v>
      </c>
      <c r="Z1429" s="8" t="s">
        <v>1021</v>
      </c>
    </row>
    <row r="1430" spans="1:26" x14ac:dyDescent="0.2">
      <c r="A1430" s="8">
        <v>1429</v>
      </c>
      <c r="B1430" s="8" t="s">
        <v>6640</v>
      </c>
      <c r="C1430" s="8" t="s">
        <v>6640</v>
      </c>
      <c r="F1430" s="47"/>
      <c r="G1430" s="8">
        <v>19</v>
      </c>
      <c r="H1430" s="8" t="s">
        <v>21</v>
      </c>
      <c r="I1430" s="8" t="s">
        <v>329</v>
      </c>
      <c r="J1430" s="8" t="s">
        <v>329</v>
      </c>
      <c r="K1430" s="8" t="s">
        <v>329</v>
      </c>
      <c r="L1430" s="8" t="s">
        <v>3328</v>
      </c>
      <c r="M1430" s="8" t="s">
        <v>3329</v>
      </c>
      <c r="N1430" s="8" t="s">
        <v>6641</v>
      </c>
      <c r="O1430" s="8">
        <f>3+44/60+4.1/3600</f>
        <v>3.7344722222222222</v>
      </c>
      <c r="P1430" s="8" t="s">
        <v>6642</v>
      </c>
      <c r="Q1430" s="8">
        <f>-(4+43/60+5/3600)</f>
        <v>-4.7180555555555559</v>
      </c>
      <c r="R1430" s="8">
        <v>99</v>
      </c>
      <c r="S1430" s="8">
        <v>99</v>
      </c>
      <c r="T1430" s="8">
        <v>99</v>
      </c>
      <c r="U1430" s="8">
        <v>99</v>
      </c>
      <c r="Y1430" s="8" t="s">
        <v>6643</v>
      </c>
      <c r="Z1430" s="8" t="s">
        <v>6644</v>
      </c>
    </row>
    <row r="1431" spans="1:26" x14ac:dyDescent="0.2">
      <c r="A1431" s="8">
        <v>1430</v>
      </c>
      <c r="B1431" s="8" t="s">
        <v>6645</v>
      </c>
      <c r="C1431" s="8" t="s">
        <v>6645</v>
      </c>
      <c r="F1431" s="47"/>
      <c r="G1431" s="8">
        <v>19</v>
      </c>
      <c r="H1431" s="8" t="s">
        <v>21</v>
      </c>
      <c r="I1431" s="8" t="s">
        <v>72</v>
      </c>
      <c r="J1431" s="8" t="s">
        <v>72</v>
      </c>
      <c r="K1431" s="8" t="s">
        <v>20</v>
      </c>
      <c r="L1431" s="8" t="s">
        <v>3328</v>
      </c>
      <c r="M1431" s="8" t="s">
        <v>3329</v>
      </c>
      <c r="N1431" s="8" t="s">
        <v>6646</v>
      </c>
      <c r="O1431" s="8">
        <f>3+43/60+25.2/3600</f>
        <v>3.7236666666666669</v>
      </c>
      <c r="P1431" s="8" t="s">
        <v>6647</v>
      </c>
      <c r="Q1431" s="8">
        <f>-(18+13/60+28/3600)</f>
        <v>-18.224444444444444</v>
      </c>
      <c r="R1431" s="8">
        <v>99</v>
      </c>
      <c r="S1431" s="8">
        <v>13.3</v>
      </c>
      <c r="T1431" s="8">
        <v>99</v>
      </c>
      <c r="U1431" s="8">
        <v>99</v>
      </c>
      <c r="Y1431" s="8" t="s">
        <v>6648</v>
      </c>
      <c r="Z1431" s="8" t="s">
        <v>6649</v>
      </c>
    </row>
    <row r="1432" spans="1:26" x14ac:dyDescent="0.2">
      <c r="A1432" s="8">
        <v>1431</v>
      </c>
      <c r="B1432" s="8" t="s">
        <v>6650</v>
      </c>
      <c r="C1432" s="8" t="s">
        <v>6650</v>
      </c>
      <c r="F1432" s="47"/>
      <c r="G1432" s="8">
        <v>18</v>
      </c>
      <c r="H1432" s="8" t="s">
        <v>21</v>
      </c>
      <c r="I1432" s="8" t="s">
        <v>22</v>
      </c>
      <c r="J1432" s="8" t="s">
        <v>22</v>
      </c>
      <c r="K1432" s="8" t="s">
        <v>37</v>
      </c>
      <c r="L1432" s="8" t="s">
        <v>6115</v>
      </c>
      <c r="M1432" s="8" t="s">
        <v>6116</v>
      </c>
      <c r="N1432" s="8" t="s">
        <v>6651</v>
      </c>
      <c r="O1432" s="8">
        <f>3+44/60+40.7/3600</f>
        <v>3.7446388888888889</v>
      </c>
      <c r="P1432" s="8" t="s">
        <v>6652</v>
      </c>
      <c r="Q1432" s="8">
        <f>+(2+50/60+8/3600)</f>
        <v>2.8355555555555556</v>
      </c>
      <c r="R1432" s="8">
        <v>14.1</v>
      </c>
      <c r="S1432" s="8">
        <v>15.1</v>
      </c>
      <c r="T1432" s="8">
        <v>1</v>
      </c>
      <c r="U1432" s="8">
        <v>13.7</v>
      </c>
      <c r="V1432" s="8">
        <v>1</v>
      </c>
      <c r="W1432" s="8">
        <v>0.8</v>
      </c>
      <c r="X1432" s="8">
        <v>160</v>
      </c>
      <c r="Y1432" s="8" t="s">
        <v>2792</v>
      </c>
      <c r="Z1432" s="8" t="s">
        <v>2793</v>
      </c>
    </row>
    <row r="1433" spans="1:26" x14ac:dyDescent="0.2">
      <c r="A1433" s="8">
        <v>1432</v>
      </c>
      <c r="B1433" s="8" t="s">
        <v>6653</v>
      </c>
      <c r="C1433" s="8" t="s">
        <v>6653</v>
      </c>
      <c r="F1433" s="47"/>
      <c r="G1433" s="8">
        <v>5</v>
      </c>
      <c r="H1433" s="8" t="s">
        <v>6654</v>
      </c>
      <c r="I1433" s="8" t="s">
        <v>1283</v>
      </c>
      <c r="J1433" s="8" t="s">
        <v>1283</v>
      </c>
      <c r="K1433" s="8" t="s">
        <v>6208</v>
      </c>
      <c r="L1433" s="8" t="s">
        <v>6115</v>
      </c>
      <c r="M1433" s="8" t="s">
        <v>6116</v>
      </c>
      <c r="N1433" s="8" t="s">
        <v>6655</v>
      </c>
      <c r="O1433" s="8">
        <f>3+45/60+49.5/3600</f>
        <v>3.7637499999999999</v>
      </c>
      <c r="P1433" s="8" t="s">
        <v>6656</v>
      </c>
      <c r="Q1433" s="8">
        <f>+(24+22/60+6/3600)</f>
        <v>24.368333333333332</v>
      </c>
      <c r="R1433" s="8">
        <v>99</v>
      </c>
      <c r="S1433" s="8">
        <v>99</v>
      </c>
      <c r="T1433" s="8">
        <v>99</v>
      </c>
      <c r="U1433" s="8">
        <v>99</v>
      </c>
      <c r="V1433" s="8">
        <v>26</v>
      </c>
      <c r="W1433" s="8">
        <v>26</v>
      </c>
      <c r="Y1433" s="8" t="s">
        <v>6657</v>
      </c>
      <c r="Z1433" s="8" t="s">
        <v>6658</v>
      </c>
    </row>
    <row r="1434" spans="1:26" x14ac:dyDescent="0.2">
      <c r="A1434" s="8">
        <v>1433</v>
      </c>
      <c r="B1434" s="8" t="s">
        <v>6659</v>
      </c>
      <c r="C1434" s="8" t="s">
        <v>6659</v>
      </c>
      <c r="F1434" s="47"/>
      <c r="G1434" s="8">
        <v>3</v>
      </c>
      <c r="H1434" s="8" t="s">
        <v>21</v>
      </c>
      <c r="I1434" s="8" t="s">
        <v>22</v>
      </c>
      <c r="J1434" s="8" t="s">
        <v>22</v>
      </c>
      <c r="K1434" s="8" t="s">
        <v>154</v>
      </c>
      <c r="L1434" s="8" t="s">
        <v>4263</v>
      </c>
      <c r="M1434" s="8" t="s">
        <v>4264</v>
      </c>
      <c r="N1434" s="8" t="s">
        <v>6660</v>
      </c>
      <c r="O1434" s="8">
        <f>3+42/60+1.2/3600</f>
        <v>3.7003333333333335</v>
      </c>
      <c r="P1434" s="8" t="s">
        <v>6661</v>
      </c>
      <c r="Q1434" s="8">
        <f>-(47+13/60+19/3600)</f>
        <v>-47.221944444444446</v>
      </c>
      <c r="R1434" s="8">
        <v>9.9</v>
      </c>
      <c r="S1434" s="8">
        <v>10.7</v>
      </c>
      <c r="T1434" s="8">
        <v>0.8</v>
      </c>
      <c r="U1434" s="8">
        <v>13.7</v>
      </c>
      <c r="V1434" s="8">
        <v>6.5</v>
      </c>
      <c r="W1434" s="8">
        <v>5.9</v>
      </c>
      <c r="X1434" s="8">
        <v>99</v>
      </c>
      <c r="Y1434" s="8" t="s">
        <v>6662</v>
      </c>
      <c r="Z1434" s="8" t="s">
        <v>6663</v>
      </c>
    </row>
    <row r="1435" spans="1:26" x14ac:dyDescent="0.2">
      <c r="A1435" s="8">
        <v>1434</v>
      </c>
      <c r="B1435" s="8" t="s">
        <v>6664</v>
      </c>
      <c r="C1435" s="8" t="s">
        <v>6664</v>
      </c>
      <c r="F1435" s="47"/>
      <c r="G1435" s="8">
        <v>19</v>
      </c>
      <c r="H1435" s="8" t="s">
        <v>21</v>
      </c>
      <c r="I1435" s="8" t="s">
        <v>22</v>
      </c>
      <c r="J1435" s="8" t="s">
        <v>22</v>
      </c>
      <c r="K1435" s="8" t="s">
        <v>632</v>
      </c>
      <c r="L1435" s="8" t="s">
        <v>3328</v>
      </c>
      <c r="M1435" s="8" t="s">
        <v>3329</v>
      </c>
      <c r="N1435" s="8" t="s">
        <v>6665</v>
      </c>
      <c r="O1435" s="8">
        <f>3+46/60+12.8/3600</f>
        <v>3.7702222222222224</v>
      </c>
      <c r="P1435" s="8" t="s">
        <v>6666</v>
      </c>
      <c r="Q1435" s="8">
        <f>-(9+40/60+59/3600)</f>
        <v>-9.6830555555555549</v>
      </c>
      <c r="R1435" s="8">
        <v>14.3</v>
      </c>
      <c r="S1435" s="8">
        <v>15.2</v>
      </c>
      <c r="T1435" s="8">
        <v>0.9</v>
      </c>
      <c r="U1435" s="8">
        <v>13.2</v>
      </c>
      <c r="V1435" s="8">
        <v>0.8</v>
      </c>
      <c r="W1435" s="8">
        <v>0.5</v>
      </c>
      <c r="X1435" s="8">
        <v>165</v>
      </c>
      <c r="Y1435" s="8" t="s">
        <v>6667</v>
      </c>
      <c r="Z1435" s="8" t="s">
        <v>6668</v>
      </c>
    </row>
    <row r="1436" spans="1:26" x14ac:dyDescent="0.2">
      <c r="A1436" s="8">
        <v>1435</v>
      </c>
      <c r="B1436" s="8" t="s">
        <v>6669</v>
      </c>
      <c r="C1436" s="8" t="s">
        <v>6669</v>
      </c>
      <c r="F1436" s="47"/>
      <c r="G1436" s="8">
        <v>5</v>
      </c>
      <c r="H1436" s="8" t="s">
        <v>6670</v>
      </c>
      <c r="I1436" s="8" t="s">
        <v>1283</v>
      </c>
      <c r="J1436" s="8" t="s">
        <v>1283</v>
      </c>
      <c r="K1436" s="8" t="s">
        <v>6208</v>
      </c>
      <c r="L1436" s="8" t="s">
        <v>6115</v>
      </c>
      <c r="M1436" s="8" t="s">
        <v>6116</v>
      </c>
      <c r="N1436" s="8" t="s">
        <v>6671</v>
      </c>
      <c r="O1436" s="8">
        <f>3+46/60+10/3600</f>
        <v>3.7694444444444444</v>
      </c>
      <c r="P1436" s="8" t="s">
        <v>6672</v>
      </c>
      <c r="Q1436" s="8">
        <f>+(23+45/60+54/3600)</f>
        <v>23.765000000000001</v>
      </c>
      <c r="R1436" s="8">
        <v>99</v>
      </c>
      <c r="S1436" s="8">
        <v>99</v>
      </c>
      <c r="T1436" s="8">
        <v>99</v>
      </c>
      <c r="U1436" s="8">
        <v>99</v>
      </c>
      <c r="V1436" s="8">
        <v>30</v>
      </c>
      <c r="W1436" s="8">
        <v>30</v>
      </c>
      <c r="Y1436" s="8" t="s">
        <v>6673</v>
      </c>
      <c r="Z1436" s="8" t="s">
        <v>6674</v>
      </c>
    </row>
    <row r="1437" spans="1:26" x14ac:dyDescent="0.2">
      <c r="A1437" s="8">
        <v>1436</v>
      </c>
      <c r="B1437" s="8" t="s">
        <v>6675</v>
      </c>
      <c r="C1437" s="8" t="s">
        <v>6675</v>
      </c>
      <c r="F1437" s="47"/>
      <c r="G1437" s="8">
        <v>16</v>
      </c>
      <c r="H1437" s="8" t="s">
        <v>21</v>
      </c>
      <c r="I1437" s="8" t="s">
        <v>22</v>
      </c>
      <c r="J1437" s="8" t="s">
        <v>22</v>
      </c>
      <c r="K1437" s="8" t="s">
        <v>406</v>
      </c>
      <c r="L1437" s="8" t="s">
        <v>3328</v>
      </c>
      <c r="M1437" s="8" t="s">
        <v>3329</v>
      </c>
      <c r="N1437" s="8" t="s">
        <v>6676</v>
      </c>
      <c r="O1437" s="8">
        <f>3+43/60+37.1/3600</f>
        <v>3.7269722222222224</v>
      </c>
      <c r="P1437" s="8" t="s">
        <v>6677</v>
      </c>
      <c r="Q1437" s="8">
        <f>-(35+51/60+15/3600)</f>
        <v>-35.854166666666671</v>
      </c>
      <c r="R1437" s="8">
        <v>11.7</v>
      </c>
      <c r="S1437" s="8">
        <v>12.4</v>
      </c>
      <c r="T1437" s="8">
        <v>0.7</v>
      </c>
      <c r="U1437" s="8">
        <v>13.4</v>
      </c>
      <c r="V1437" s="8">
        <v>3.1</v>
      </c>
      <c r="W1437" s="8">
        <v>2</v>
      </c>
      <c r="X1437" s="8">
        <v>150</v>
      </c>
      <c r="Y1437" s="8" t="s">
        <v>6678</v>
      </c>
      <c r="Z1437" s="8" t="s">
        <v>6679</v>
      </c>
    </row>
    <row r="1438" spans="1:26" x14ac:dyDescent="0.2">
      <c r="A1438" s="8">
        <v>1437</v>
      </c>
      <c r="B1438" s="8" t="s">
        <v>6680</v>
      </c>
      <c r="C1438" s="8" t="s">
        <v>6680</v>
      </c>
      <c r="F1438" s="47"/>
      <c r="G1438" s="8">
        <v>11</v>
      </c>
      <c r="H1438" s="8" t="s">
        <v>21</v>
      </c>
      <c r="I1438" s="8" t="s">
        <v>22</v>
      </c>
      <c r="J1438" s="8" t="s">
        <v>57</v>
      </c>
      <c r="K1438" s="8" t="s">
        <v>406</v>
      </c>
      <c r="L1438" s="8" t="s">
        <v>3328</v>
      </c>
      <c r="M1438" s="8" t="s">
        <v>3329</v>
      </c>
      <c r="N1438" s="8" t="s">
        <v>6676</v>
      </c>
      <c r="O1438" s="8">
        <f>3+43/60+37.1/3600</f>
        <v>3.7269722222222224</v>
      </c>
      <c r="P1438" s="8" t="s">
        <v>6677</v>
      </c>
      <c r="Q1438" s="8">
        <f>-(35+51/60+15/3600)</f>
        <v>-35.854166666666671</v>
      </c>
      <c r="R1438" s="8">
        <v>11.7</v>
      </c>
      <c r="S1438" s="8">
        <v>12.4</v>
      </c>
      <c r="T1438" s="8">
        <v>0.7</v>
      </c>
      <c r="U1438" s="8">
        <v>13.4</v>
      </c>
      <c r="V1438" s="8">
        <v>3.1</v>
      </c>
      <c r="W1438" s="8">
        <v>2</v>
      </c>
      <c r="X1438" s="8">
        <v>150</v>
      </c>
      <c r="Y1438" s="8" t="s">
        <v>6678</v>
      </c>
      <c r="Z1438" s="8" t="s">
        <v>6681</v>
      </c>
    </row>
    <row r="1439" spans="1:26" x14ac:dyDescent="0.2">
      <c r="A1439" s="8">
        <v>1438</v>
      </c>
      <c r="B1439" s="8" t="s">
        <v>6682</v>
      </c>
      <c r="C1439" s="8" t="s">
        <v>6682</v>
      </c>
      <c r="F1439" s="47"/>
      <c r="G1439" s="8">
        <v>19</v>
      </c>
      <c r="H1439" s="8" t="s">
        <v>21</v>
      </c>
      <c r="I1439" s="8" t="s">
        <v>22</v>
      </c>
      <c r="J1439" s="8" t="s">
        <v>22</v>
      </c>
      <c r="K1439" s="8" t="s">
        <v>435</v>
      </c>
      <c r="L1439" s="8" t="s">
        <v>3328</v>
      </c>
      <c r="M1439" s="8" t="s">
        <v>3329</v>
      </c>
      <c r="N1439" s="8" t="s">
        <v>6683</v>
      </c>
      <c r="O1439" s="8">
        <f>3+45/60+17.1/3600</f>
        <v>3.75475</v>
      </c>
      <c r="P1439" s="8" t="s">
        <v>6684</v>
      </c>
      <c r="Q1439" s="8">
        <f>-(23+0/60+8/3600)</f>
        <v>-23.002222222222223</v>
      </c>
      <c r="R1439" s="8">
        <v>12.4</v>
      </c>
      <c r="S1439" s="8">
        <v>13.2</v>
      </c>
      <c r="T1439" s="8">
        <v>0.8</v>
      </c>
      <c r="U1439" s="8">
        <v>12.9</v>
      </c>
      <c r="V1439" s="8">
        <v>2</v>
      </c>
      <c r="W1439" s="8">
        <v>0.9</v>
      </c>
      <c r="X1439" s="8">
        <v>69</v>
      </c>
      <c r="Y1439" s="8" t="s">
        <v>6685</v>
      </c>
      <c r="Z1439" s="8" t="s">
        <v>6686</v>
      </c>
    </row>
    <row r="1440" spans="1:26" x14ac:dyDescent="0.2">
      <c r="A1440" s="8">
        <v>1439</v>
      </c>
      <c r="B1440" s="8" t="s">
        <v>6687</v>
      </c>
      <c r="C1440" s="8" t="s">
        <v>6687</v>
      </c>
      <c r="F1440" s="47" t="s">
        <v>56326</v>
      </c>
      <c r="G1440" s="8">
        <v>13</v>
      </c>
      <c r="H1440" s="8" t="s">
        <v>21</v>
      </c>
      <c r="I1440" s="8" t="s">
        <v>22</v>
      </c>
      <c r="J1440" s="8" t="s">
        <v>22</v>
      </c>
      <c r="K1440" s="8" t="s">
        <v>183</v>
      </c>
      <c r="L1440" s="8" t="s">
        <v>3328</v>
      </c>
      <c r="M1440" s="8" t="s">
        <v>3329</v>
      </c>
      <c r="N1440" s="8" t="s">
        <v>6688</v>
      </c>
      <c r="O1440" s="8">
        <f>3+44/60+49.8/3600</f>
        <v>3.7471666666666668</v>
      </c>
      <c r="P1440" s="8" t="s">
        <v>6689</v>
      </c>
      <c r="Q1440" s="8">
        <f>-(21+55/60+13/3600)</f>
        <v>-21.92027777777778</v>
      </c>
      <c r="R1440" s="8">
        <v>11.4</v>
      </c>
      <c r="S1440" s="8">
        <v>12.3</v>
      </c>
      <c r="T1440" s="8">
        <v>0.9</v>
      </c>
      <c r="U1440" s="8">
        <v>13.2</v>
      </c>
      <c r="V1440" s="8">
        <v>2.4</v>
      </c>
      <c r="W1440" s="8">
        <v>2.2000000000000002</v>
      </c>
      <c r="X1440" s="8">
        <v>27</v>
      </c>
      <c r="Y1440" s="8" t="s">
        <v>6690</v>
      </c>
      <c r="Z1440" s="8" t="s">
        <v>6691</v>
      </c>
    </row>
    <row r="1441" spans="1:26" x14ac:dyDescent="0.2">
      <c r="A1441" s="8">
        <v>1440</v>
      </c>
      <c r="B1441" s="8" t="s">
        <v>6692</v>
      </c>
      <c r="C1441" s="8" t="s">
        <v>6692</v>
      </c>
      <c r="F1441" s="47" t="s">
        <v>56327</v>
      </c>
      <c r="G1441" s="8">
        <v>13</v>
      </c>
      <c r="H1441" s="8" t="s">
        <v>21</v>
      </c>
      <c r="I1441" s="8" t="s">
        <v>22</v>
      </c>
      <c r="J1441" s="8" t="s">
        <v>22</v>
      </c>
      <c r="K1441" s="8" t="s">
        <v>224</v>
      </c>
      <c r="L1441" s="8" t="s">
        <v>3328</v>
      </c>
      <c r="M1441" s="8" t="s">
        <v>3329</v>
      </c>
      <c r="N1441" s="8" t="s">
        <v>6693</v>
      </c>
      <c r="O1441" s="8">
        <f>3+45/60+2.9/3600</f>
        <v>3.7508055555555555</v>
      </c>
      <c r="P1441" s="8" t="s">
        <v>6694</v>
      </c>
      <c r="Q1441" s="8">
        <f>-(18+15/60+59/3600)</f>
        <v>-18.266388888888891</v>
      </c>
      <c r="R1441" s="8">
        <v>11.6</v>
      </c>
      <c r="S1441" s="8">
        <v>12.6</v>
      </c>
      <c r="T1441" s="8">
        <v>1</v>
      </c>
      <c r="U1441" s="8">
        <v>12.8</v>
      </c>
      <c r="V1441" s="8">
        <v>2.2000000000000002</v>
      </c>
      <c r="W1441" s="8">
        <v>1.6</v>
      </c>
      <c r="X1441" s="8">
        <v>28</v>
      </c>
      <c r="Y1441" s="8" t="s">
        <v>6695</v>
      </c>
      <c r="Z1441" s="8" t="s">
        <v>6696</v>
      </c>
    </row>
    <row r="1442" spans="1:26" x14ac:dyDescent="0.2">
      <c r="A1442" s="8">
        <v>1441</v>
      </c>
      <c r="B1442" s="8" t="s">
        <v>6697</v>
      </c>
      <c r="C1442" s="8" t="s">
        <v>6697</v>
      </c>
      <c r="F1442" s="47" t="s">
        <v>56328</v>
      </c>
      <c r="G1442" s="8">
        <v>15</v>
      </c>
      <c r="H1442" s="8" t="s">
        <v>21</v>
      </c>
      <c r="I1442" s="8" t="s">
        <v>22</v>
      </c>
      <c r="J1442" s="8" t="s">
        <v>22</v>
      </c>
      <c r="K1442" s="8" t="s">
        <v>218</v>
      </c>
      <c r="L1442" s="8" t="s">
        <v>3328</v>
      </c>
      <c r="M1442" s="8" t="s">
        <v>3329</v>
      </c>
      <c r="N1442" s="8" t="s">
        <v>6698</v>
      </c>
      <c r="O1442" s="8">
        <f>3+45/60+43/3600</f>
        <v>3.7619444444444445</v>
      </c>
      <c r="P1442" s="8" t="s">
        <v>6699</v>
      </c>
      <c r="Q1442" s="8">
        <f>-(4+5/60+30/3600)</f>
        <v>-4.0916666666666668</v>
      </c>
      <c r="R1442" s="8">
        <v>12.9</v>
      </c>
      <c r="S1442" s="8">
        <v>13.9</v>
      </c>
      <c r="T1442" s="8">
        <v>1</v>
      </c>
      <c r="U1442" s="8">
        <v>12.8</v>
      </c>
      <c r="V1442" s="8">
        <v>1.7</v>
      </c>
      <c r="W1442" s="8">
        <v>0.7</v>
      </c>
      <c r="X1442" s="8">
        <v>90</v>
      </c>
      <c r="Y1442" s="8" t="s">
        <v>6700</v>
      </c>
      <c r="Z1442" s="8" t="s">
        <v>6701</v>
      </c>
    </row>
    <row r="1443" spans="1:26" x14ac:dyDescent="0.2">
      <c r="A1443" s="8">
        <v>1442</v>
      </c>
      <c r="B1443" s="8" t="s">
        <v>6702</v>
      </c>
      <c r="C1443" s="8" t="s">
        <v>6702</v>
      </c>
      <c r="F1443" s="47" t="s">
        <v>56329</v>
      </c>
      <c r="G1443" s="8">
        <v>15</v>
      </c>
      <c r="H1443" s="8" t="s">
        <v>21</v>
      </c>
      <c r="I1443" s="8" t="s">
        <v>22</v>
      </c>
      <c r="J1443" s="8" t="s">
        <v>57</v>
      </c>
      <c r="K1443" s="8" t="s">
        <v>224</v>
      </c>
      <c r="L1443" s="8" t="s">
        <v>3328</v>
      </c>
      <c r="M1443" s="8" t="s">
        <v>3329</v>
      </c>
      <c r="N1443" s="8" t="s">
        <v>6693</v>
      </c>
      <c r="O1443" s="8">
        <f>3+45/60+2.9/3600</f>
        <v>3.7508055555555555</v>
      </c>
      <c r="P1443" s="8" t="s">
        <v>6694</v>
      </c>
      <c r="Q1443" s="8">
        <f>-(18+15/60+59/3600)</f>
        <v>-18.266388888888891</v>
      </c>
      <c r="R1443" s="8">
        <v>11.6</v>
      </c>
      <c r="S1443" s="8">
        <v>12.6</v>
      </c>
      <c r="T1443" s="8">
        <v>1</v>
      </c>
      <c r="U1443" s="8">
        <v>12.8</v>
      </c>
      <c r="V1443" s="8">
        <v>2.2000000000000002</v>
      </c>
      <c r="W1443" s="8">
        <v>1.6</v>
      </c>
      <c r="X1443" s="8">
        <v>28</v>
      </c>
      <c r="Y1443" s="8" t="s">
        <v>6695</v>
      </c>
      <c r="Z1443" s="8" t="s">
        <v>6703</v>
      </c>
    </row>
    <row r="1444" spans="1:26" x14ac:dyDescent="0.2">
      <c r="A1444" s="8">
        <v>1443</v>
      </c>
      <c r="B1444" s="8" t="s">
        <v>6704</v>
      </c>
      <c r="C1444" s="8" t="s">
        <v>6704</v>
      </c>
      <c r="F1444" s="47"/>
      <c r="G1444" s="8">
        <v>19</v>
      </c>
      <c r="H1444" s="8" t="s">
        <v>21</v>
      </c>
      <c r="I1444" s="8" t="s">
        <v>72</v>
      </c>
      <c r="J1444" s="8" t="s">
        <v>72</v>
      </c>
      <c r="K1444" s="8" t="s">
        <v>20</v>
      </c>
      <c r="L1444" s="8" t="s">
        <v>3328</v>
      </c>
      <c r="M1444" s="8" t="s">
        <v>3329</v>
      </c>
      <c r="N1444" s="8" t="s">
        <v>6705</v>
      </c>
      <c r="O1444" s="8">
        <f>3+45/60+53.1/3600</f>
        <v>3.7647499999999998</v>
      </c>
      <c r="P1444" s="8" t="s">
        <v>6706</v>
      </c>
      <c r="Q1444" s="8">
        <f>-(4+3/60+8/3600)</f>
        <v>-4.0522222222222224</v>
      </c>
      <c r="R1444" s="8">
        <v>99</v>
      </c>
      <c r="S1444" s="8">
        <v>99</v>
      </c>
      <c r="T1444" s="8">
        <v>99</v>
      </c>
      <c r="U1444" s="8">
        <v>99</v>
      </c>
      <c r="Y1444" s="8" t="s">
        <v>6707</v>
      </c>
      <c r="Z1444" s="8" t="s">
        <v>6708</v>
      </c>
    </row>
    <row r="1445" spans="1:26" x14ac:dyDescent="0.2">
      <c r="A1445" s="8">
        <v>1444</v>
      </c>
      <c r="B1445" s="8" t="s">
        <v>6709</v>
      </c>
      <c r="C1445" s="8" t="s">
        <v>6709</v>
      </c>
      <c r="F1445" s="47" t="s">
        <v>56330</v>
      </c>
      <c r="G1445" s="8">
        <v>6</v>
      </c>
      <c r="H1445" s="8" t="s">
        <v>21</v>
      </c>
      <c r="I1445" s="8" t="s">
        <v>557</v>
      </c>
      <c r="J1445" s="8" t="s">
        <v>557</v>
      </c>
      <c r="K1445" s="8" t="s">
        <v>600</v>
      </c>
      <c r="L1445" s="8" t="s">
        <v>3147</v>
      </c>
      <c r="M1445" s="8" t="s">
        <v>3148</v>
      </c>
      <c r="N1445" s="8" t="s">
        <v>6710</v>
      </c>
      <c r="O1445" s="8">
        <f>3+49/60+25/3600</f>
        <v>3.8236111111111111</v>
      </c>
      <c r="P1445" s="8" t="s">
        <v>6711</v>
      </c>
      <c r="Q1445" s="8">
        <f>+(52+39/60+18/3600)</f>
        <v>52.655000000000001</v>
      </c>
      <c r="R1445" s="8">
        <v>6.6</v>
      </c>
      <c r="S1445" s="8">
        <v>99</v>
      </c>
      <c r="T1445" s="8">
        <v>99</v>
      </c>
      <c r="U1445" s="8">
        <v>99</v>
      </c>
      <c r="V1445" s="8">
        <v>4</v>
      </c>
      <c r="Y1445" s="8" t="s">
        <v>6712</v>
      </c>
      <c r="Z1445" s="8" t="s">
        <v>6713</v>
      </c>
    </row>
    <row r="1446" spans="1:26" x14ac:dyDescent="0.2">
      <c r="A1446" s="8">
        <v>1445</v>
      </c>
      <c r="B1446" s="8" t="s">
        <v>6714</v>
      </c>
      <c r="C1446" s="8" t="s">
        <v>6714</v>
      </c>
      <c r="F1446" s="47"/>
      <c r="G1446" s="8">
        <v>19</v>
      </c>
      <c r="H1446" s="8" t="s">
        <v>21</v>
      </c>
      <c r="I1446" s="8" t="s">
        <v>22</v>
      </c>
      <c r="J1446" s="8" t="s">
        <v>22</v>
      </c>
      <c r="K1446" s="8" t="s">
        <v>50</v>
      </c>
      <c r="L1446" s="8" t="s">
        <v>3328</v>
      </c>
      <c r="M1446" s="8" t="s">
        <v>3329</v>
      </c>
      <c r="N1446" s="8" t="s">
        <v>6715</v>
      </c>
      <c r="O1446" s="8">
        <f>3+44/60+56.2/3600</f>
        <v>3.7489444444444446</v>
      </c>
      <c r="P1446" s="8" t="s">
        <v>6716</v>
      </c>
      <c r="Q1446" s="8">
        <f>-(9+51/60+21/3600)</f>
        <v>-9.855833333333333</v>
      </c>
      <c r="R1446" s="8">
        <v>14</v>
      </c>
      <c r="S1446" s="8">
        <v>15</v>
      </c>
      <c r="T1446" s="8">
        <v>1</v>
      </c>
      <c r="U1446" s="8">
        <v>13.2</v>
      </c>
      <c r="V1446" s="8">
        <v>0.9</v>
      </c>
      <c r="W1446" s="8">
        <v>0.5</v>
      </c>
      <c r="X1446" s="8">
        <v>14</v>
      </c>
      <c r="Y1446" s="8" t="s">
        <v>6717</v>
      </c>
      <c r="Z1446" s="8" t="s">
        <v>6718</v>
      </c>
    </row>
    <row r="1447" spans="1:26" x14ac:dyDescent="0.2">
      <c r="A1447" s="8">
        <v>1446</v>
      </c>
      <c r="B1447" s="8" t="s">
        <v>6719</v>
      </c>
      <c r="C1447" s="8" t="s">
        <v>6719</v>
      </c>
      <c r="F1447" s="47"/>
      <c r="G1447" s="8">
        <v>19</v>
      </c>
      <c r="H1447" s="8" t="s">
        <v>21</v>
      </c>
      <c r="I1447" s="8" t="s">
        <v>72</v>
      </c>
      <c r="J1447" s="8" t="s">
        <v>72</v>
      </c>
      <c r="K1447" s="8" t="s">
        <v>20</v>
      </c>
      <c r="L1447" s="8" t="s">
        <v>3328</v>
      </c>
      <c r="M1447" s="8" t="s">
        <v>3329</v>
      </c>
      <c r="N1447" s="8" t="s">
        <v>6720</v>
      </c>
      <c r="O1447" s="8">
        <f>3+45/60+57.5/3600</f>
        <v>3.7659722222222221</v>
      </c>
      <c r="P1447" s="8" t="s">
        <v>6721</v>
      </c>
      <c r="Q1447" s="8">
        <f>-(4+6/60+42/3600)</f>
        <v>-4.1116666666666664</v>
      </c>
      <c r="R1447" s="8">
        <v>99</v>
      </c>
      <c r="S1447" s="8">
        <v>14.2</v>
      </c>
      <c r="T1447" s="8">
        <v>99</v>
      </c>
      <c r="U1447" s="8">
        <v>99</v>
      </c>
      <c r="Y1447" s="8" t="s">
        <v>6722</v>
      </c>
      <c r="Z1447" s="8" t="s">
        <v>6723</v>
      </c>
    </row>
    <row r="1448" spans="1:26" x14ac:dyDescent="0.2">
      <c r="A1448" s="8">
        <v>1447</v>
      </c>
      <c r="B1448" s="8" t="s">
        <v>6724</v>
      </c>
      <c r="C1448" s="8" t="s">
        <v>6724</v>
      </c>
      <c r="F1448" s="47"/>
      <c r="G1448" s="8">
        <v>19</v>
      </c>
      <c r="H1448" s="8" t="s">
        <v>21</v>
      </c>
      <c r="I1448" s="8" t="s">
        <v>22</v>
      </c>
      <c r="J1448" s="8" t="s">
        <v>22</v>
      </c>
      <c r="K1448" s="8" t="s">
        <v>37</v>
      </c>
      <c r="L1448" s="8" t="s">
        <v>3328</v>
      </c>
      <c r="M1448" s="8" t="s">
        <v>3329</v>
      </c>
      <c r="N1448" s="8" t="s">
        <v>6725</v>
      </c>
      <c r="O1448" s="8">
        <f>3+45/60+47.1/3600</f>
        <v>3.7630833333333333</v>
      </c>
      <c r="P1448" s="8" t="s">
        <v>6726</v>
      </c>
      <c r="Q1448" s="8">
        <f>-(9+1/60+6/3600)</f>
        <v>-9.0183333333333344</v>
      </c>
      <c r="R1448" s="8">
        <v>14.7</v>
      </c>
      <c r="S1448" s="8">
        <v>15.7</v>
      </c>
      <c r="T1448" s="8">
        <v>1</v>
      </c>
      <c r="U1448" s="8">
        <v>13.8</v>
      </c>
      <c r="V1448" s="8">
        <v>1</v>
      </c>
      <c r="W1448" s="8">
        <v>0.5</v>
      </c>
      <c r="X1448" s="8">
        <v>105</v>
      </c>
      <c r="Y1448" s="8" t="s">
        <v>6727</v>
      </c>
      <c r="Z1448" s="8" t="s">
        <v>6728</v>
      </c>
    </row>
    <row r="1449" spans="1:26" x14ac:dyDescent="0.2">
      <c r="A1449" s="8">
        <v>1448</v>
      </c>
      <c r="B1449" s="8" t="s">
        <v>6729</v>
      </c>
      <c r="C1449" s="8" t="s">
        <v>6729</v>
      </c>
      <c r="F1449" s="47"/>
      <c r="G1449" s="8">
        <v>13</v>
      </c>
      <c r="H1449" s="8" t="s">
        <v>21</v>
      </c>
      <c r="I1449" s="8" t="s">
        <v>22</v>
      </c>
      <c r="J1449" s="8" t="s">
        <v>57</v>
      </c>
      <c r="K1449" s="8" t="s">
        <v>160</v>
      </c>
      <c r="L1449" s="8" t="s">
        <v>4263</v>
      </c>
      <c r="M1449" s="8" t="s">
        <v>4264</v>
      </c>
      <c r="N1449" s="8" t="s">
        <v>6730</v>
      </c>
      <c r="O1449" s="8">
        <f>3+44/60+31.3/3600</f>
        <v>3.742027777777778</v>
      </c>
      <c r="P1449" s="8" t="s">
        <v>6731</v>
      </c>
      <c r="Q1449" s="8">
        <f>-(44+38/60+45/3600)</f>
        <v>-44.645833333333336</v>
      </c>
      <c r="R1449" s="8">
        <v>10.7</v>
      </c>
      <c r="S1449" s="8">
        <v>11.4</v>
      </c>
      <c r="T1449" s="8">
        <v>0.7</v>
      </c>
      <c r="U1449" s="8">
        <v>13.3</v>
      </c>
      <c r="V1449" s="8">
        <v>7.6</v>
      </c>
      <c r="W1449" s="8">
        <v>1.7</v>
      </c>
      <c r="X1449" s="8">
        <v>41</v>
      </c>
      <c r="Y1449" s="8" t="s">
        <v>6732</v>
      </c>
      <c r="Z1449" s="8" t="s">
        <v>6733</v>
      </c>
    </row>
    <row r="1450" spans="1:26" x14ac:dyDescent="0.2">
      <c r="A1450" s="8">
        <v>1449</v>
      </c>
      <c r="B1450" s="8" t="s">
        <v>6734</v>
      </c>
      <c r="C1450" s="8" t="s">
        <v>6734</v>
      </c>
      <c r="F1450" s="47"/>
      <c r="G1450" s="8">
        <v>18</v>
      </c>
      <c r="H1450" s="8" t="s">
        <v>21</v>
      </c>
      <c r="I1450" s="8" t="s">
        <v>22</v>
      </c>
      <c r="J1450" s="8" t="s">
        <v>22</v>
      </c>
      <c r="K1450" s="8" t="s">
        <v>37</v>
      </c>
      <c r="L1450" s="8" t="s">
        <v>3328</v>
      </c>
      <c r="M1450" s="8" t="s">
        <v>3329</v>
      </c>
      <c r="N1450" s="8" t="s">
        <v>6735</v>
      </c>
      <c r="O1450" s="8">
        <f>3+46/60+3/3600</f>
        <v>3.7675000000000001</v>
      </c>
      <c r="P1450" s="8" t="s">
        <v>6736</v>
      </c>
      <c r="Q1450" s="8">
        <f>-(4+8/60+17/3600)</f>
        <v>-4.1380555555555558</v>
      </c>
      <c r="R1450" s="8">
        <v>13.4</v>
      </c>
      <c r="S1450" s="8">
        <v>14.5</v>
      </c>
      <c r="T1450" s="8">
        <v>1.1000000000000001</v>
      </c>
      <c r="U1450" s="8">
        <v>12.1</v>
      </c>
      <c r="V1450" s="8">
        <v>0.8</v>
      </c>
      <c r="W1450" s="8">
        <v>0.5</v>
      </c>
      <c r="X1450" s="8">
        <v>22</v>
      </c>
      <c r="Y1450" s="8" t="s">
        <v>6737</v>
      </c>
      <c r="Z1450" s="8" t="s">
        <v>6738</v>
      </c>
    </row>
    <row r="1451" spans="1:26" x14ac:dyDescent="0.2">
      <c r="A1451" s="8">
        <v>1450</v>
      </c>
      <c r="B1451" s="8" t="s">
        <v>6739</v>
      </c>
      <c r="C1451" s="8" t="s">
        <v>6739</v>
      </c>
      <c r="E1451" s="8">
        <v>1</v>
      </c>
      <c r="F1451" s="47"/>
      <c r="G1451" s="8">
        <v>19</v>
      </c>
      <c r="H1451" s="8" t="s">
        <v>21</v>
      </c>
      <c r="I1451" s="8" t="s">
        <v>22</v>
      </c>
      <c r="J1451" s="8" t="s">
        <v>22</v>
      </c>
      <c r="K1451" s="8" t="s">
        <v>58</v>
      </c>
      <c r="L1451" s="8" t="s">
        <v>3328</v>
      </c>
      <c r="M1451" s="8" t="s">
        <v>3329</v>
      </c>
      <c r="N1451" s="8" t="s">
        <v>6740</v>
      </c>
      <c r="O1451" s="8">
        <f>3+45/60+36.5/3600</f>
        <v>3.7601388888888887</v>
      </c>
      <c r="P1451" s="8" t="s">
        <v>6741</v>
      </c>
      <c r="Q1451" s="8">
        <f>-(9+14/60+5/3600)</f>
        <v>-9.2347222222222207</v>
      </c>
      <c r="R1451" s="8">
        <v>14.1</v>
      </c>
      <c r="S1451" s="8">
        <v>15.1</v>
      </c>
      <c r="T1451" s="8">
        <v>1</v>
      </c>
      <c r="U1451" s="8">
        <v>13.4</v>
      </c>
      <c r="V1451" s="8">
        <v>0.8</v>
      </c>
      <c r="W1451" s="8">
        <v>0.6</v>
      </c>
      <c r="X1451" s="8">
        <v>40</v>
      </c>
      <c r="Y1451" s="8" t="s">
        <v>6742</v>
      </c>
      <c r="Z1451" s="8" t="s">
        <v>6743</v>
      </c>
    </row>
    <row r="1452" spans="1:26" x14ac:dyDescent="0.2">
      <c r="A1452" s="8">
        <v>1451</v>
      </c>
      <c r="B1452" s="8" t="s">
        <v>6744</v>
      </c>
      <c r="C1452" s="8" t="s">
        <v>6744</v>
      </c>
      <c r="F1452" s="47"/>
      <c r="G1452" s="8">
        <v>18</v>
      </c>
      <c r="H1452" s="8" t="s">
        <v>21</v>
      </c>
      <c r="I1452" s="8" t="s">
        <v>22</v>
      </c>
      <c r="J1452" s="8" t="s">
        <v>22</v>
      </c>
      <c r="K1452" s="8" t="s">
        <v>58</v>
      </c>
      <c r="L1452" s="8" t="s">
        <v>3328</v>
      </c>
      <c r="M1452" s="8" t="s">
        <v>3329</v>
      </c>
      <c r="N1452" s="8" t="s">
        <v>6745</v>
      </c>
      <c r="O1452" s="8">
        <f>3+46/60+7.1/3600</f>
        <v>3.7686388888888889</v>
      </c>
      <c r="P1452" s="8" t="s">
        <v>6746</v>
      </c>
      <c r="Q1452" s="8">
        <f>-(4+4/60+9/3600)</f>
        <v>-4.0691666666666668</v>
      </c>
      <c r="R1452" s="8">
        <v>13.4</v>
      </c>
      <c r="S1452" s="8">
        <v>14.4</v>
      </c>
      <c r="T1452" s="8">
        <v>1</v>
      </c>
      <c r="U1452" s="8">
        <v>11.9</v>
      </c>
      <c r="V1452" s="8">
        <v>0.8</v>
      </c>
      <c r="W1452" s="8">
        <v>0.5</v>
      </c>
      <c r="X1452" s="8">
        <v>33</v>
      </c>
      <c r="Y1452" s="8" t="s">
        <v>2500</v>
      </c>
      <c r="Z1452" s="8" t="s">
        <v>2501</v>
      </c>
    </row>
    <row r="1453" spans="1:26" x14ac:dyDescent="0.2">
      <c r="A1453" s="8">
        <v>1452</v>
      </c>
      <c r="B1453" s="8" t="s">
        <v>6747</v>
      </c>
      <c r="C1453" s="8" t="s">
        <v>6747</v>
      </c>
      <c r="F1453" s="47" t="s">
        <v>56331</v>
      </c>
      <c r="G1453" s="8">
        <v>13</v>
      </c>
      <c r="H1453" s="8" t="s">
        <v>21</v>
      </c>
      <c r="I1453" s="8" t="s">
        <v>22</v>
      </c>
      <c r="J1453" s="8" t="s">
        <v>22</v>
      </c>
      <c r="K1453" s="8" t="s">
        <v>435</v>
      </c>
      <c r="L1453" s="8" t="s">
        <v>3328</v>
      </c>
      <c r="M1453" s="8" t="s">
        <v>3329</v>
      </c>
      <c r="N1453" s="8" t="s">
        <v>6748</v>
      </c>
      <c r="O1453" s="8">
        <f>3+45/60+22.3/3600</f>
        <v>3.7561944444444446</v>
      </c>
      <c r="P1453" s="8" t="s">
        <v>6749</v>
      </c>
      <c r="Q1453" s="8">
        <f>-(18+37/60+59/3600)</f>
        <v>-18.633055555555558</v>
      </c>
      <c r="R1453" s="8">
        <v>11.8</v>
      </c>
      <c r="S1453" s="8">
        <v>12.8</v>
      </c>
      <c r="T1453" s="8">
        <v>1</v>
      </c>
      <c r="U1453" s="8">
        <v>12.9</v>
      </c>
      <c r="V1453" s="8">
        <v>2.8</v>
      </c>
      <c r="W1453" s="8">
        <v>1.5</v>
      </c>
      <c r="X1453" s="8">
        <v>113</v>
      </c>
      <c r="Y1453" s="8" t="s">
        <v>6750</v>
      </c>
      <c r="Z1453" s="8" t="s">
        <v>6751</v>
      </c>
    </row>
    <row r="1454" spans="1:26" x14ac:dyDescent="0.2">
      <c r="A1454" s="8">
        <v>1453</v>
      </c>
      <c r="B1454" s="8" t="s">
        <v>6752</v>
      </c>
      <c r="C1454" s="8" t="s">
        <v>6752</v>
      </c>
      <c r="F1454" s="47" t="s">
        <v>56332</v>
      </c>
      <c r="G1454" s="8">
        <v>13</v>
      </c>
      <c r="H1454" s="8" t="s">
        <v>21</v>
      </c>
      <c r="I1454" s="8" t="s">
        <v>22</v>
      </c>
      <c r="J1454" s="8" t="s">
        <v>22</v>
      </c>
      <c r="K1454" s="8" t="s">
        <v>1136</v>
      </c>
      <c r="L1454" s="8" t="s">
        <v>3328</v>
      </c>
      <c r="M1454" s="8" t="s">
        <v>3329</v>
      </c>
      <c r="N1454" s="8" t="s">
        <v>6753</v>
      </c>
      <c r="O1454" s="8">
        <f>3+46/60+27.2/3600</f>
        <v>3.7742222222222224</v>
      </c>
      <c r="P1454" s="8" t="s">
        <v>6754</v>
      </c>
      <c r="Q1454" s="8">
        <f>-(3+58/60+8/3600)</f>
        <v>-3.9688888888888889</v>
      </c>
      <c r="R1454" s="8">
        <v>11.5</v>
      </c>
      <c r="S1454" s="8">
        <v>12.6</v>
      </c>
      <c r="T1454" s="8">
        <v>1.1000000000000001</v>
      </c>
      <c r="U1454" s="8">
        <v>13.2</v>
      </c>
      <c r="V1454" s="8">
        <v>2.4</v>
      </c>
      <c r="W1454" s="8">
        <v>1.9</v>
      </c>
      <c r="X1454" s="8">
        <v>45</v>
      </c>
      <c r="Y1454" s="8" t="s">
        <v>6755</v>
      </c>
      <c r="Z1454" s="8" t="s">
        <v>6756</v>
      </c>
    </row>
    <row r="1455" spans="1:26" x14ac:dyDescent="0.2">
      <c r="A1455" s="8">
        <v>1454</v>
      </c>
      <c r="B1455" s="8" t="s">
        <v>6757</v>
      </c>
      <c r="C1455" s="8" t="s">
        <v>6757</v>
      </c>
      <c r="F1455" s="47"/>
      <c r="G1455" s="8">
        <v>19</v>
      </c>
      <c r="H1455" s="8" t="s">
        <v>21</v>
      </c>
      <c r="I1455" s="8" t="s">
        <v>72</v>
      </c>
      <c r="J1455" s="8" t="s">
        <v>72</v>
      </c>
      <c r="K1455" s="8" t="s">
        <v>20</v>
      </c>
      <c r="L1455" s="8" t="s">
        <v>3328</v>
      </c>
      <c r="M1455" s="8" t="s">
        <v>3329</v>
      </c>
      <c r="N1455" s="8" t="s">
        <v>6758</v>
      </c>
      <c r="O1455" s="8">
        <f>3+45/60+59.3/3600</f>
        <v>3.7664722222222222</v>
      </c>
      <c r="P1455" s="8" t="s">
        <v>6759</v>
      </c>
      <c r="Q1455" s="8">
        <f>-(20+39/60+6/3600)</f>
        <v>-20.651666666666664</v>
      </c>
      <c r="R1455" s="8">
        <v>99</v>
      </c>
      <c r="S1455" s="8">
        <v>15.3</v>
      </c>
      <c r="T1455" s="8">
        <v>99</v>
      </c>
      <c r="U1455" s="8">
        <v>99</v>
      </c>
      <c r="Y1455" s="8" t="s">
        <v>6760</v>
      </c>
      <c r="Z1455" s="8" t="s">
        <v>6761</v>
      </c>
    </row>
    <row r="1456" spans="1:26" x14ac:dyDescent="0.2">
      <c r="A1456" s="8">
        <v>1455</v>
      </c>
      <c r="B1456" s="8" t="s">
        <v>6762</v>
      </c>
      <c r="C1456" s="8" t="s">
        <v>6762</v>
      </c>
      <c r="F1456" s="47"/>
      <c r="G1456" s="8">
        <v>19</v>
      </c>
      <c r="H1456" s="8" t="s">
        <v>21</v>
      </c>
      <c r="I1456" s="8" t="s">
        <v>22</v>
      </c>
      <c r="J1456" s="8" t="s">
        <v>57</v>
      </c>
      <c r="K1456" s="8" t="s">
        <v>435</v>
      </c>
      <c r="L1456" s="8" t="s">
        <v>3328</v>
      </c>
      <c r="M1456" s="8" t="s">
        <v>3329</v>
      </c>
      <c r="N1456" s="8" t="s">
        <v>6748</v>
      </c>
      <c r="O1456" s="8">
        <f>3+45/60+22.3/3600</f>
        <v>3.7561944444444446</v>
      </c>
      <c r="P1456" s="8" t="s">
        <v>6749</v>
      </c>
      <c r="Q1456" s="8">
        <f>-(18+37/60+59/3600)</f>
        <v>-18.633055555555558</v>
      </c>
      <c r="R1456" s="8">
        <v>11.8</v>
      </c>
      <c r="S1456" s="8">
        <v>12.8</v>
      </c>
      <c r="T1456" s="8">
        <v>1</v>
      </c>
      <c r="U1456" s="8">
        <v>12.9</v>
      </c>
      <c r="V1456" s="8">
        <v>2.8</v>
      </c>
      <c r="W1456" s="8">
        <v>1.5</v>
      </c>
      <c r="X1456" s="8">
        <v>113</v>
      </c>
      <c r="Y1456" s="8" t="s">
        <v>6750</v>
      </c>
      <c r="Z1456" s="8" t="s">
        <v>6763</v>
      </c>
    </row>
    <row r="1457" spans="1:26" x14ac:dyDescent="0.2">
      <c r="A1457" s="8">
        <v>1456</v>
      </c>
      <c r="B1457" s="8" t="s">
        <v>6764</v>
      </c>
      <c r="C1457" s="8" t="s">
        <v>6764</v>
      </c>
      <c r="F1457" s="47"/>
      <c r="G1457" s="8">
        <v>19</v>
      </c>
      <c r="H1457" s="8" t="s">
        <v>21</v>
      </c>
      <c r="I1457" s="8" t="s">
        <v>72</v>
      </c>
      <c r="J1457" s="8" t="s">
        <v>72</v>
      </c>
      <c r="K1457" s="8" t="s">
        <v>73</v>
      </c>
      <c r="L1457" s="8" t="s">
        <v>6115</v>
      </c>
      <c r="M1457" s="8" t="s">
        <v>6116</v>
      </c>
      <c r="N1457" s="8" t="s">
        <v>6765</v>
      </c>
      <c r="O1457" s="8">
        <f>3+48/60+8.3/3600</f>
        <v>3.8023055555555554</v>
      </c>
      <c r="P1457" s="8" t="s">
        <v>6766</v>
      </c>
      <c r="Q1457" s="8">
        <f>+(22+33/60+30/3600)</f>
        <v>22.558333333333334</v>
      </c>
      <c r="R1457" s="8">
        <v>99</v>
      </c>
      <c r="S1457" s="8">
        <v>99</v>
      </c>
      <c r="T1457" s="8">
        <v>99</v>
      </c>
      <c r="U1457" s="8">
        <v>99</v>
      </c>
      <c r="Y1457" s="8" t="s">
        <v>6767</v>
      </c>
      <c r="Z1457" s="8" t="s">
        <v>6768</v>
      </c>
    </row>
    <row r="1458" spans="1:26" x14ac:dyDescent="0.2">
      <c r="A1458" s="8">
        <v>1457</v>
      </c>
      <c r="B1458" s="8" t="s">
        <v>6769</v>
      </c>
      <c r="C1458" s="8" t="s">
        <v>6769</v>
      </c>
      <c r="F1458" s="47"/>
      <c r="G1458" s="8">
        <v>16</v>
      </c>
      <c r="H1458" s="8" t="s">
        <v>21</v>
      </c>
      <c r="I1458" s="8" t="s">
        <v>22</v>
      </c>
      <c r="J1458" s="8" t="s">
        <v>22</v>
      </c>
      <c r="K1458" s="8" t="s">
        <v>160</v>
      </c>
      <c r="L1458" s="8" t="s">
        <v>4263</v>
      </c>
      <c r="M1458" s="8" t="s">
        <v>4264</v>
      </c>
      <c r="N1458" s="8" t="s">
        <v>6730</v>
      </c>
      <c r="O1458" s="8">
        <f>3+44/60+31.3/3600</f>
        <v>3.742027777777778</v>
      </c>
      <c r="P1458" s="8" t="s">
        <v>6731</v>
      </c>
      <c r="Q1458" s="8">
        <f>-(44+38/60+45/3600)</f>
        <v>-44.645833333333336</v>
      </c>
      <c r="R1458" s="8">
        <v>10.7</v>
      </c>
      <c r="S1458" s="8">
        <v>11.4</v>
      </c>
      <c r="T1458" s="8">
        <v>0.7</v>
      </c>
      <c r="U1458" s="8">
        <v>13.3</v>
      </c>
      <c r="V1458" s="8">
        <v>7.6</v>
      </c>
      <c r="W1458" s="8">
        <v>1.7</v>
      </c>
      <c r="X1458" s="8">
        <v>41</v>
      </c>
      <c r="Y1458" s="8" t="s">
        <v>6770</v>
      </c>
      <c r="Z1458" s="8" t="s">
        <v>6771</v>
      </c>
    </row>
    <row r="1459" spans="1:26" x14ac:dyDescent="0.2">
      <c r="A1459" s="8">
        <v>1458</v>
      </c>
      <c r="B1459" s="8" t="s">
        <v>6772</v>
      </c>
      <c r="C1459" s="8" t="s">
        <v>6772</v>
      </c>
      <c r="F1459" s="47"/>
      <c r="G1459" s="8">
        <v>19</v>
      </c>
      <c r="H1459" s="8" t="s">
        <v>21</v>
      </c>
      <c r="I1459" s="8" t="s">
        <v>22</v>
      </c>
      <c r="J1459" s="8" t="s">
        <v>57</v>
      </c>
      <c r="K1459" s="8" t="s">
        <v>224</v>
      </c>
      <c r="L1459" s="8" t="s">
        <v>3328</v>
      </c>
      <c r="M1459" s="8" t="s">
        <v>3329</v>
      </c>
      <c r="N1459" s="8" t="s">
        <v>6693</v>
      </c>
      <c r="O1459" s="8">
        <f>3+45/60+2.9/3600</f>
        <v>3.7508055555555555</v>
      </c>
      <c r="P1459" s="8" t="s">
        <v>6694</v>
      </c>
      <c r="Q1459" s="8">
        <f>-(18+15/60+59/3600)</f>
        <v>-18.266388888888891</v>
      </c>
      <c r="R1459" s="8">
        <v>11.6</v>
      </c>
      <c r="S1459" s="8">
        <v>12.6</v>
      </c>
      <c r="T1459" s="8">
        <v>1</v>
      </c>
      <c r="U1459" s="8">
        <v>12.8</v>
      </c>
      <c r="V1459" s="8">
        <v>2.2000000000000002</v>
      </c>
      <c r="W1459" s="8">
        <v>1.6</v>
      </c>
      <c r="X1459" s="8">
        <v>28</v>
      </c>
      <c r="Y1459" s="8" t="s">
        <v>6773</v>
      </c>
      <c r="Z1459" s="8" t="s">
        <v>6774</v>
      </c>
    </row>
    <row r="1460" spans="1:26" x14ac:dyDescent="0.2">
      <c r="A1460" s="8">
        <v>1459</v>
      </c>
      <c r="B1460" s="8" t="s">
        <v>6775</v>
      </c>
      <c r="C1460" s="8" t="s">
        <v>6775</v>
      </c>
      <c r="F1460" s="47"/>
      <c r="G1460" s="8">
        <v>19</v>
      </c>
      <c r="H1460" s="8" t="s">
        <v>21</v>
      </c>
      <c r="I1460" s="8" t="s">
        <v>22</v>
      </c>
      <c r="J1460" s="8" t="s">
        <v>22</v>
      </c>
      <c r="K1460" s="8" t="s">
        <v>85</v>
      </c>
      <c r="L1460" s="8" t="s">
        <v>3335</v>
      </c>
      <c r="M1460" s="8" t="s">
        <v>3336</v>
      </c>
      <c r="N1460" s="8" t="s">
        <v>6776</v>
      </c>
      <c r="O1460" s="8">
        <f>3+46/60+57.9/3600</f>
        <v>3.7827500000000001</v>
      </c>
      <c r="P1460" s="8" t="s">
        <v>6777</v>
      </c>
      <c r="Q1460" s="8">
        <f>-(25+31/60+17/3600)</f>
        <v>-25.52138888888889</v>
      </c>
      <c r="R1460" s="8">
        <v>12.9</v>
      </c>
      <c r="S1460" s="8">
        <v>13.7</v>
      </c>
      <c r="T1460" s="8">
        <v>0.8</v>
      </c>
      <c r="U1460" s="8">
        <v>13.4</v>
      </c>
      <c r="V1460" s="8">
        <v>1.7</v>
      </c>
      <c r="W1460" s="8">
        <v>1.1000000000000001</v>
      </c>
      <c r="X1460" s="8">
        <v>167</v>
      </c>
      <c r="Y1460" s="8" t="s">
        <v>6778</v>
      </c>
      <c r="Z1460" s="8" t="s">
        <v>6779</v>
      </c>
    </row>
    <row r="1461" spans="1:26" x14ac:dyDescent="0.2">
      <c r="A1461" s="8">
        <v>1460</v>
      </c>
      <c r="B1461" s="8" t="s">
        <v>6780</v>
      </c>
      <c r="C1461" s="8" t="s">
        <v>6780</v>
      </c>
      <c r="F1461" s="47"/>
      <c r="G1461" s="8">
        <v>16</v>
      </c>
      <c r="H1461" s="8" t="s">
        <v>21</v>
      </c>
      <c r="I1461" s="8" t="s">
        <v>22</v>
      </c>
      <c r="J1461" s="8" t="s">
        <v>22</v>
      </c>
      <c r="K1461" s="8" t="s">
        <v>224</v>
      </c>
      <c r="L1461" s="8" t="s">
        <v>3328</v>
      </c>
      <c r="M1461" s="8" t="s">
        <v>3329</v>
      </c>
      <c r="N1461" s="8" t="s">
        <v>6781</v>
      </c>
      <c r="O1461" s="8">
        <f>3+46/60+13.6/3600</f>
        <v>3.7704444444444443</v>
      </c>
      <c r="P1461" s="8" t="s">
        <v>6782</v>
      </c>
      <c r="Q1461" s="8">
        <f>-(36+41/60+48/3600)</f>
        <v>-36.696666666666665</v>
      </c>
      <c r="R1461" s="8">
        <v>12.6</v>
      </c>
      <c r="S1461" s="8">
        <v>13.6</v>
      </c>
      <c r="T1461" s="8">
        <v>1</v>
      </c>
      <c r="U1461" s="8">
        <v>12.8</v>
      </c>
      <c r="V1461" s="8">
        <v>1.4</v>
      </c>
      <c r="W1461" s="8">
        <v>1</v>
      </c>
      <c r="X1461" s="8">
        <v>63</v>
      </c>
      <c r="Y1461" s="8" t="s">
        <v>6783</v>
      </c>
      <c r="Z1461" s="8" t="s">
        <v>6784</v>
      </c>
    </row>
    <row r="1462" spans="1:26" x14ac:dyDescent="0.2">
      <c r="A1462" s="8">
        <v>1461</v>
      </c>
      <c r="B1462" s="8" t="s">
        <v>6785</v>
      </c>
      <c r="C1462" s="8" t="s">
        <v>6785</v>
      </c>
      <c r="F1462" s="47" t="s">
        <v>56333</v>
      </c>
      <c r="G1462" s="8">
        <v>13</v>
      </c>
      <c r="H1462" s="8" t="s">
        <v>21</v>
      </c>
      <c r="I1462" s="8" t="s">
        <v>22</v>
      </c>
      <c r="J1462" s="8" t="s">
        <v>22</v>
      </c>
      <c r="K1462" s="8" t="s">
        <v>37</v>
      </c>
      <c r="L1462" s="8" t="s">
        <v>3328</v>
      </c>
      <c r="M1462" s="8" t="s">
        <v>3329</v>
      </c>
      <c r="N1462" s="8" t="s">
        <v>6786</v>
      </c>
      <c r="O1462" s="8">
        <f>3+48/60+27.1/3600</f>
        <v>3.8075277777777776</v>
      </c>
      <c r="P1462" s="8" t="s">
        <v>6787</v>
      </c>
      <c r="Q1462" s="8">
        <f>-(16+23/60+34/3600)</f>
        <v>-16.392777777777777</v>
      </c>
      <c r="R1462" s="8">
        <v>11.8</v>
      </c>
      <c r="S1462" s="8">
        <v>12.8</v>
      </c>
      <c r="T1462" s="8">
        <v>1</v>
      </c>
      <c r="U1462" s="8">
        <v>12.8</v>
      </c>
      <c r="V1462" s="8">
        <v>3</v>
      </c>
      <c r="W1462" s="8">
        <v>0.9</v>
      </c>
      <c r="X1462" s="8">
        <v>155</v>
      </c>
      <c r="Y1462" s="8" t="s">
        <v>6788</v>
      </c>
      <c r="Z1462" s="8" t="s">
        <v>6789</v>
      </c>
    </row>
    <row r="1463" spans="1:26" x14ac:dyDescent="0.2">
      <c r="A1463" s="8">
        <v>1462</v>
      </c>
      <c r="B1463" s="8" t="s">
        <v>6790</v>
      </c>
      <c r="C1463" s="8" t="s">
        <v>6790</v>
      </c>
      <c r="F1463" s="47"/>
      <c r="G1463" s="8">
        <v>18</v>
      </c>
      <c r="H1463" s="8" t="s">
        <v>21</v>
      </c>
      <c r="I1463" s="8" t="s">
        <v>22</v>
      </c>
      <c r="J1463" s="8" t="s">
        <v>22</v>
      </c>
      <c r="K1463" s="8" t="s">
        <v>449</v>
      </c>
      <c r="L1463" s="8" t="s">
        <v>6115</v>
      </c>
      <c r="M1463" s="8" t="s">
        <v>6116</v>
      </c>
      <c r="N1463" s="8" t="s">
        <v>6791</v>
      </c>
      <c r="O1463" s="8">
        <f>3+50/60+23.4/3600</f>
        <v>3.8398333333333334</v>
      </c>
      <c r="P1463" s="8" t="s">
        <v>6792</v>
      </c>
      <c r="Q1463" s="8">
        <f>+(6+58/60+23/3600)</f>
        <v>6.9730555555555558</v>
      </c>
      <c r="R1463" s="8">
        <v>14.4</v>
      </c>
      <c r="S1463" s="8">
        <v>15.2</v>
      </c>
      <c r="T1463" s="8">
        <v>0.8</v>
      </c>
      <c r="U1463" s="8">
        <v>13.4</v>
      </c>
      <c r="V1463" s="8">
        <v>0.9</v>
      </c>
      <c r="W1463" s="8">
        <v>0.5</v>
      </c>
      <c r="X1463" s="8">
        <v>48</v>
      </c>
      <c r="Y1463" s="8" t="s">
        <v>6793</v>
      </c>
      <c r="Z1463" s="8" t="s">
        <v>6794</v>
      </c>
    </row>
    <row r="1464" spans="1:26" x14ac:dyDescent="0.2">
      <c r="A1464" s="8">
        <v>1463</v>
      </c>
      <c r="B1464" s="8" t="s">
        <v>6795</v>
      </c>
      <c r="C1464" s="8" t="s">
        <v>6795</v>
      </c>
      <c r="F1464" s="47"/>
      <c r="G1464" s="8">
        <v>16</v>
      </c>
      <c r="H1464" s="8" t="s">
        <v>21</v>
      </c>
      <c r="I1464" s="8" t="s">
        <v>22</v>
      </c>
      <c r="J1464" s="8" t="s">
        <v>22</v>
      </c>
      <c r="K1464" s="8" t="s">
        <v>91</v>
      </c>
      <c r="L1464" s="8" t="s">
        <v>6120</v>
      </c>
      <c r="M1464" s="8" t="s">
        <v>6121</v>
      </c>
      <c r="N1464" s="8" t="s">
        <v>6796</v>
      </c>
      <c r="O1464" s="8">
        <f>3+46/60+15.5/3600</f>
        <v>3.7709722222222219</v>
      </c>
      <c r="P1464" s="8" t="s">
        <v>6797</v>
      </c>
      <c r="Q1464" s="8">
        <f>-(59+48/60+37/3600)</f>
        <v>-59.810277777777777</v>
      </c>
      <c r="R1464" s="8">
        <v>13.5</v>
      </c>
      <c r="S1464" s="8">
        <v>14.3</v>
      </c>
      <c r="T1464" s="8">
        <v>0.8</v>
      </c>
      <c r="U1464" s="8">
        <v>13.9</v>
      </c>
      <c r="V1464" s="8">
        <v>1.3</v>
      </c>
      <c r="W1464" s="8">
        <v>1.2</v>
      </c>
      <c r="X1464" s="8">
        <v>45</v>
      </c>
      <c r="Y1464" s="8" t="s">
        <v>6798</v>
      </c>
      <c r="Z1464" s="8" t="s">
        <v>6799</v>
      </c>
    </row>
    <row r="1465" spans="1:26" x14ac:dyDescent="0.2">
      <c r="A1465" s="8">
        <v>1464</v>
      </c>
      <c r="B1465" s="8" t="s">
        <v>6800</v>
      </c>
      <c r="C1465" s="8" t="s">
        <v>6800</v>
      </c>
      <c r="F1465" s="47"/>
      <c r="G1465" s="8">
        <v>19</v>
      </c>
      <c r="H1465" s="8" t="s">
        <v>21</v>
      </c>
      <c r="I1465" s="8" t="s">
        <v>22</v>
      </c>
      <c r="J1465" s="8" t="s">
        <v>57</v>
      </c>
      <c r="K1465" s="8" t="s">
        <v>124</v>
      </c>
      <c r="L1465" s="8" t="s">
        <v>3328</v>
      </c>
      <c r="M1465" s="8" t="s">
        <v>3329</v>
      </c>
      <c r="N1465" s="8" t="s">
        <v>6801</v>
      </c>
      <c r="O1465" s="8">
        <f>3+51/60+24.4/3600</f>
        <v>3.8567777777777779</v>
      </c>
      <c r="P1465" s="8" t="s">
        <v>6802</v>
      </c>
      <c r="Q1465" s="8">
        <f>-(15+24/60+8/3600)</f>
        <v>-15.402222222222223</v>
      </c>
      <c r="R1465" s="8">
        <v>13.8</v>
      </c>
      <c r="S1465" s="8">
        <v>14.7</v>
      </c>
      <c r="T1465" s="8">
        <v>0.9</v>
      </c>
      <c r="U1465" s="8">
        <v>12.5</v>
      </c>
      <c r="V1465" s="8">
        <v>0.8</v>
      </c>
      <c r="W1465" s="8">
        <v>0.6</v>
      </c>
      <c r="X1465" s="8">
        <v>44</v>
      </c>
      <c r="Y1465" s="8" t="s">
        <v>6803</v>
      </c>
      <c r="Z1465" s="8" t="s">
        <v>211</v>
      </c>
    </row>
    <row r="1466" spans="1:26" x14ac:dyDescent="0.2">
      <c r="A1466" s="8">
        <v>1465</v>
      </c>
      <c r="B1466" s="8" t="s">
        <v>6804</v>
      </c>
      <c r="C1466" s="8" t="s">
        <v>6804</v>
      </c>
      <c r="F1466" s="47"/>
      <c r="G1466" s="8">
        <v>13</v>
      </c>
      <c r="H1466" s="8" t="s">
        <v>21</v>
      </c>
      <c r="I1466" s="8" t="s">
        <v>22</v>
      </c>
      <c r="J1466" s="8" t="s">
        <v>22</v>
      </c>
      <c r="K1466" s="8" t="s">
        <v>632</v>
      </c>
      <c r="L1466" s="8" t="s">
        <v>3147</v>
      </c>
      <c r="M1466" s="8" t="s">
        <v>3148</v>
      </c>
      <c r="N1466" s="8" t="s">
        <v>6805</v>
      </c>
      <c r="O1466" s="8">
        <f>3+53/60+31.9/3600</f>
        <v>3.8921944444444443</v>
      </c>
      <c r="P1466" s="8" t="s">
        <v>6806</v>
      </c>
      <c r="Q1466" s="8">
        <f>+(32+29/60+34/3600)</f>
        <v>32.492777777777782</v>
      </c>
      <c r="R1466" s="8">
        <v>13.7</v>
      </c>
      <c r="S1466" s="8">
        <v>14.6</v>
      </c>
      <c r="T1466" s="8">
        <v>0.9</v>
      </c>
      <c r="U1466" s="8">
        <v>13.4</v>
      </c>
      <c r="V1466" s="8">
        <v>1.7</v>
      </c>
      <c r="W1466" s="8">
        <v>0.5</v>
      </c>
      <c r="X1466" s="8">
        <v>165</v>
      </c>
      <c r="Y1466" s="8" t="s">
        <v>6807</v>
      </c>
      <c r="Z1466" s="8" t="s">
        <v>6808</v>
      </c>
    </row>
    <row r="1467" spans="1:26" x14ac:dyDescent="0.2">
      <c r="A1467" s="8">
        <v>1466</v>
      </c>
      <c r="B1467" s="8" t="s">
        <v>6809</v>
      </c>
      <c r="C1467" s="8" t="s">
        <v>6809</v>
      </c>
      <c r="F1467" s="47"/>
      <c r="G1467" s="8">
        <v>16</v>
      </c>
      <c r="H1467" s="8" t="s">
        <v>21</v>
      </c>
      <c r="I1467" s="8" t="s">
        <v>567</v>
      </c>
      <c r="J1467" s="8" t="s">
        <v>567</v>
      </c>
      <c r="K1467" s="8" t="s">
        <v>567</v>
      </c>
      <c r="L1467" s="8" t="s">
        <v>2916</v>
      </c>
      <c r="M1467" s="8" t="s">
        <v>2917</v>
      </c>
      <c r="N1467" s="8" t="s">
        <v>6810</v>
      </c>
      <c r="O1467" s="8">
        <f>3+44/60+33.4/3600</f>
        <v>3.7426111111111111</v>
      </c>
      <c r="P1467" s="8" t="s">
        <v>6811</v>
      </c>
      <c r="Q1467" s="8">
        <f>-(71+40/60+18/3600)</f>
        <v>-71.671666666666667</v>
      </c>
      <c r="R1467" s="8">
        <v>11.4</v>
      </c>
      <c r="S1467" s="8">
        <v>99</v>
      </c>
      <c r="T1467" s="8">
        <v>99</v>
      </c>
      <c r="U1467" s="8">
        <v>99</v>
      </c>
      <c r="V1467" s="8">
        <v>1.9</v>
      </c>
      <c r="Y1467" s="8" t="s">
        <v>6812</v>
      </c>
      <c r="Z1467" s="8" t="s">
        <v>6813</v>
      </c>
    </row>
    <row r="1468" spans="1:26" x14ac:dyDescent="0.2">
      <c r="A1468" s="8">
        <v>1467</v>
      </c>
      <c r="B1468" s="8" t="s">
        <v>6814</v>
      </c>
      <c r="C1468" s="8" t="s">
        <v>6814</v>
      </c>
      <c r="F1468" s="47"/>
      <c r="G1468" s="8">
        <v>19</v>
      </c>
      <c r="H1468" s="8" t="s">
        <v>21</v>
      </c>
      <c r="I1468" s="8" t="s">
        <v>22</v>
      </c>
      <c r="J1468" s="8" t="s">
        <v>22</v>
      </c>
      <c r="K1468" s="8" t="s">
        <v>632</v>
      </c>
      <c r="L1468" s="8" t="s">
        <v>3328</v>
      </c>
      <c r="M1468" s="8" t="s">
        <v>3329</v>
      </c>
      <c r="N1468" s="8" t="s">
        <v>6815</v>
      </c>
      <c r="O1468" s="8">
        <f>3+51/60+52.7/3600</f>
        <v>3.864638888888889</v>
      </c>
      <c r="P1468" s="8" t="s">
        <v>6816</v>
      </c>
      <c r="Q1468" s="8">
        <f>-(8+50/60+16/3600)</f>
        <v>-8.8377777777777791</v>
      </c>
      <c r="R1468" s="8">
        <v>14.1</v>
      </c>
      <c r="S1468" s="8">
        <v>15</v>
      </c>
      <c r="T1468" s="8">
        <v>0.9</v>
      </c>
      <c r="U1468" s="8">
        <v>13.7</v>
      </c>
      <c r="V1468" s="8">
        <v>1.1000000000000001</v>
      </c>
      <c r="W1468" s="8">
        <v>0.7</v>
      </c>
      <c r="X1468" s="8">
        <v>55</v>
      </c>
      <c r="Y1468" s="8" t="s">
        <v>6817</v>
      </c>
      <c r="Z1468" s="8" t="s">
        <v>6818</v>
      </c>
    </row>
    <row r="1469" spans="1:26" x14ac:dyDescent="0.2">
      <c r="A1469" s="8">
        <v>1468</v>
      </c>
      <c r="B1469" s="8" t="s">
        <v>6819</v>
      </c>
      <c r="C1469" s="8" t="s">
        <v>6819</v>
      </c>
      <c r="F1469" s="47"/>
      <c r="G1469" s="8">
        <v>19</v>
      </c>
      <c r="H1469" s="8" t="s">
        <v>21</v>
      </c>
      <c r="I1469" s="8" t="s">
        <v>22</v>
      </c>
      <c r="J1469" s="8" t="s">
        <v>22</v>
      </c>
      <c r="K1469" s="8" t="s">
        <v>58</v>
      </c>
      <c r="L1469" s="8" t="s">
        <v>3328</v>
      </c>
      <c r="M1469" s="8" t="s">
        <v>3329</v>
      </c>
      <c r="N1469" s="8" t="s">
        <v>6820</v>
      </c>
      <c r="O1469" s="8">
        <f>3+52/60+12.5/3600</f>
        <v>3.870138888888889</v>
      </c>
      <c r="P1469" s="8" t="s">
        <v>6821</v>
      </c>
      <c r="Q1469" s="8">
        <f>-(6+20/60+55/3600)</f>
        <v>-6.3486111111111105</v>
      </c>
      <c r="R1469" s="8">
        <v>14.2</v>
      </c>
      <c r="S1469" s="8">
        <v>15.2</v>
      </c>
      <c r="T1469" s="8">
        <v>1</v>
      </c>
      <c r="U1469" s="8">
        <v>14.2</v>
      </c>
      <c r="V1469" s="8">
        <v>1.2</v>
      </c>
      <c r="W1469" s="8">
        <v>0.8</v>
      </c>
      <c r="X1469" s="8">
        <v>135</v>
      </c>
      <c r="Y1469" s="8" t="s">
        <v>115</v>
      </c>
      <c r="Z1469" s="8" t="s">
        <v>116</v>
      </c>
    </row>
    <row r="1470" spans="1:26" x14ac:dyDescent="0.2">
      <c r="A1470" s="8">
        <v>1469</v>
      </c>
      <c r="B1470" s="8" t="s">
        <v>6822</v>
      </c>
      <c r="C1470" s="8" t="s">
        <v>6822</v>
      </c>
      <c r="F1470" s="47"/>
      <c r="G1470" s="8">
        <v>19</v>
      </c>
      <c r="H1470" s="8" t="s">
        <v>21</v>
      </c>
      <c r="I1470" s="8" t="s">
        <v>22</v>
      </c>
      <c r="J1470" s="8" t="s">
        <v>22</v>
      </c>
      <c r="K1470" s="8" t="s">
        <v>58</v>
      </c>
      <c r="L1470" s="8" t="s">
        <v>6823</v>
      </c>
      <c r="M1470" s="8" t="s">
        <v>6824</v>
      </c>
      <c r="N1470" s="8" t="s">
        <v>6825</v>
      </c>
      <c r="O1470" s="8">
        <f>4+0/60+27.8/3600</f>
        <v>4.0077222222222222</v>
      </c>
      <c r="P1470" s="8" t="s">
        <v>6826</v>
      </c>
      <c r="Q1470" s="8">
        <f>+(68+34/60+39/3600)</f>
        <v>68.577500000000001</v>
      </c>
      <c r="R1470" s="8">
        <v>12.7</v>
      </c>
      <c r="S1470" s="8">
        <v>13.7</v>
      </c>
      <c r="T1470" s="8">
        <v>1</v>
      </c>
      <c r="U1470" s="8">
        <v>13</v>
      </c>
      <c r="V1470" s="8">
        <v>1.9</v>
      </c>
      <c r="W1470" s="8">
        <v>0.8</v>
      </c>
      <c r="X1470" s="8">
        <v>153</v>
      </c>
      <c r="Y1470" s="8" t="s">
        <v>6827</v>
      </c>
      <c r="Z1470" s="8" t="s">
        <v>6828</v>
      </c>
    </row>
    <row r="1471" spans="1:26" x14ac:dyDescent="0.2">
      <c r="A1471" s="8">
        <v>1470</v>
      </c>
      <c r="B1471" s="8" t="s">
        <v>6829</v>
      </c>
      <c r="C1471" s="8" t="s">
        <v>6829</v>
      </c>
      <c r="F1471" s="47"/>
      <c r="G1471" s="8">
        <v>19</v>
      </c>
      <c r="H1471" s="8" t="s">
        <v>21</v>
      </c>
      <c r="I1471" s="8" t="s">
        <v>22</v>
      </c>
      <c r="J1471" s="8" t="s">
        <v>22</v>
      </c>
      <c r="K1471" s="8" t="s">
        <v>31</v>
      </c>
      <c r="L1471" s="8" t="s">
        <v>3328</v>
      </c>
      <c r="M1471" s="8" t="s">
        <v>3329</v>
      </c>
      <c r="N1471" s="8" t="s">
        <v>6830</v>
      </c>
      <c r="O1471" s="8">
        <f>3+52/60+9.8/3600</f>
        <v>3.869388888888889</v>
      </c>
      <c r="P1471" s="8" t="s">
        <v>6831</v>
      </c>
      <c r="Q1471" s="8">
        <f>-(9+0/60+0/3600)</f>
        <v>-9</v>
      </c>
      <c r="R1471" s="8">
        <v>13.7</v>
      </c>
      <c r="S1471" s="8">
        <v>14.5</v>
      </c>
      <c r="T1471" s="8">
        <v>0.8</v>
      </c>
      <c r="U1471" s="8">
        <v>12.5</v>
      </c>
      <c r="V1471" s="8">
        <v>1.3</v>
      </c>
      <c r="W1471" s="8">
        <v>0.3</v>
      </c>
      <c r="X1471" s="8">
        <v>169</v>
      </c>
      <c r="Y1471" s="8" t="s">
        <v>6832</v>
      </c>
      <c r="Z1471" s="8" t="s">
        <v>6833</v>
      </c>
    </row>
    <row r="1472" spans="1:26" x14ac:dyDescent="0.2">
      <c r="A1472" s="8">
        <v>1471</v>
      </c>
      <c r="B1472" s="8" t="s">
        <v>6834</v>
      </c>
      <c r="C1472" s="8" t="s">
        <v>6834</v>
      </c>
      <c r="F1472" s="47"/>
      <c r="G1472" s="8">
        <v>19</v>
      </c>
      <c r="H1472" s="8" t="s">
        <v>21</v>
      </c>
      <c r="I1472" s="8" t="s">
        <v>22</v>
      </c>
      <c r="J1472" s="8" t="s">
        <v>22</v>
      </c>
      <c r="K1472" s="8" t="s">
        <v>124</v>
      </c>
      <c r="L1472" s="8" t="s">
        <v>3328</v>
      </c>
      <c r="M1472" s="8" t="s">
        <v>3329</v>
      </c>
      <c r="N1472" s="8" t="s">
        <v>6801</v>
      </c>
      <c r="O1472" s="8">
        <f>3+51/60+24.4/3600</f>
        <v>3.8567777777777779</v>
      </c>
      <c r="P1472" s="8" t="s">
        <v>6802</v>
      </c>
      <c r="Q1472" s="8">
        <f>-(15+24/60+8/3600)</f>
        <v>-15.402222222222223</v>
      </c>
      <c r="R1472" s="8">
        <v>13.8</v>
      </c>
      <c r="S1472" s="8">
        <v>14.7</v>
      </c>
      <c r="T1472" s="8">
        <v>0.9</v>
      </c>
      <c r="U1472" s="8">
        <v>12.5</v>
      </c>
      <c r="V1472" s="8">
        <v>0.8</v>
      </c>
      <c r="W1472" s="8">
        <v>0.6</v>
      </c>
      <c r="X1472" s="8">
        <v>44</v>
      </c>
      <c r="Y1472" s="8" t="s">
        <v>6803</v>
      </c>
      <c r="Z1472" s="8" t="s">
        <v>6835</v>
      </c>
    </row>
    <row r="1473" spans="1:26" x14ac:dyDescent="0.2">
      <c r="A1473" s="8">
        <v>1472</v>
      </c>
      <c r="B1473" s="8" t="s">
        <v>6836</v>
      </c>
      <c r="C1473" s="8" t="s">
        <v>6836</v>
      </c>
      <c r="F1473" s="47"/>
      <c r="G1473" s="8">
        <v>19</v>
      </c>
      <c r="H1473" s="8" t="s">
        <v>21</v>
      </c>
      <c r="I1473" s="8" t="s">
        <v>22</v>
      </c>
      <c r="J1473" s="8" t="s">
        <v>22</v>
      </c>
      <c r="K1473" s="8" t="s">
        <v>37</v>
      </c>
      <c r="L1473" s="8" t="s">
        <v>3328</v>
      </c>
      <c r="M1473" s="8" t="s">
        <v>3329</v>
      </c>
      <c r="N1473" s="8" t="s">
        <v>6837</v>
      </c>
      <c r="O1473" s="8">
        <f>3+53/60+47.3/3600</f>
        <v>3.8964722222222221</v>
      </c>
      <c r="P1473" s="8" t="s">
        <v>6838</v>
      </c>
      <c r="Q1473" s="8">
        <f>-(8+34/60+5/3600)</f>
        <v>-8.5680555555555546</v>
      </c>
      <c r="R1473" s="8">
        <v>14.4</v>
      </c>
      <c r="S1473" s="8">
        <v>15.4</v>
      </c>
      <c r="T1473" s="8">
        <v>1</v>
      </c>
      <c r="U1473" s="8">
        <v>13.3</v>
      </c>
      <c r="V1473" s="8">
        <v>0.7</v>
      </c>
      <c r="W1473" s="8">
        <v>0.6</v>
      </c>
      <c r="X1473" s="8">
        <v>70</v>
      </c>
      <c r="Y1473" s="8" t="s">
        <v>6839</v>
      </c>
      <c r="Z1473" s="8" t="s">
        <v>6840</v>
      </c>
    </row>
    <row r="1474" spans="1:26" x14ac:dyDescent="0.2">
      <c r="A1474" s="8">
        <v>1473</v>
      </c>
      <c r="B1474" s="8" t="s">
        <v>6841</v>
      </c>
      <c r="C1474" s="8" t="s">
        <v>6841</v>
      </c>
      <c r="F1474" s="47"/>
      <c r="G1474" s="8">
        <v>16</v>
      </c>
      <c r="H1474" s="8" t="s">
        <v>21</v>
      </c>
      <c r="I1474" s="8" t="s">
        <v>22</v>
      </c>
      <c r="J1474" s="8" t="s">
        <v>22</v>
      </c>
      <c r="K1474" s="8" t="s">
        <v>107</v>
      </c>
      <c r="L1474" s="8" t="s">
        <v>2916</v>
      </c>
      <c r="M1474" s="8" t="s">
        <v>2917</v>
      </c>
      <c r="N1474" s="8" t="s">
        <v>6842</v>
      </c>
      <c r="O1474" s="8">
        <f>3+47/60+26.2/3600</f>
        <v>3.7906111111111112</v>
      </c>
      <c r="P1474" s="8" t="s">
        <v>6843</v>
      </c>
      <c r="Q1474" s="8">
        <f>-(68+13/60+14/3600)</f>
        <v>-68.220555555555563</v>
      </c>
      <c r="R1474" s="8">
        <v>12.9</v>
      </c>
      <c r="S1474" s="8">
        <v>13.4</v>
      </c>
      <c r="T1474" s="8">
        <v>0.5</v>
      </c>
      <c r="U1474" s="8">
        <v>12.9</v>
      </c>
      <c r="V1474" s="8">
        <v>1.5</v>
      </c>
      <c r="W1474" s="8">
        <v>0.8</v>
      </c>
      <c r="X1474" s="8">
        <v>36</v>
      </c>
      <c r="Y1474" s="8" t="s">
        <v>6844</v>
      </c>
      <c r="Z1474" s="8" t="s">
        <v>6845</v>
      </c>
    </row>
    <row r="1475" spans="1:26" x14ac:dyDescent="0.2">
      <c r="A1475" s="8">
        <v>1474</v>
      </c>
      <c r="B1475" s="8" t="s">
        <v>6846</v>
      </c>
      <c r="C1475" s="8" t="s">
        <v>6846</v>
      </c>
      <c r="F1475" s="47"/>
      <c r="G1475" s="8">
        <v>18</v>
      </c>
      <c r="H1475" s="8" t="s">
        <v>21</v>
      </c>
      <c r="I1475" s="8" t="s">
        <v>22</v>
      </c>
      <c r="J1475" s="8" t="s">
        <v>22</v>
      </c>
      <c r="K1475" s="8" t="s">
        <v>154</v>
      </c>
      <c r="L1475" s="8" t="s">
        <v>6115</v>
      </c>
      <c r="M1475" s="8" t="s">
        <v>6116</v>
      </c>
      <c r="N1475" s="8" t="s">
        <v>6847</v>
      </c>
      <c r="O1475" s="8">
        <f>3+54/60+30.3/3600</f>
        <v>3.9084166666666667</v>
      </c>
      <c r="P1475" s="8" t="s">
        <v>6848</v>
      </c>
      <c r="Q1475" s="8">
        <f>+(10+42/60+25/3600)</f>
        <v>10.706944444444444</v>
      </c>
      <c r="R1475" s="8">
        <v>13.8</v>
      </c>
      <c r="S1475" s="8">
        <v>14.7</v>
      </c>
      <c r="T1475" s="8">
        <v>0.9</v>
      </c>
      <c r="U1475" s="8">
        <v>13.9</v>
      </c>
      <c r="V1475" s="8">
        <v>1.1000000000000001</v>
      </c>
      <c r="W1475" s="8">
        <v>1</v>
      </c>
      <c r="X1475" s="8">
        <v>0</v>
      </c>
      <c r="Y1475" s="8" t="s">
        <v>170</v>
      </c>
      <c r="Z1475" s="8" t="s">
        <v>171</v>
      </c>
    </row>
    <row r="1476" spans="1:26" x14ac:dyDescent="0.2">
      <c r="A1476" s="8">
        <v>1475</v>
      </c>
      <c r="B1476" s="8" t="s">
        <v>6849</v>
      </c>
      <c r="C1476" s="8" t="s">
        <v>6849</v>
      </c>
      <c r="F1476" s="47"/>
      <c r="G1476" s="8">
        <v>19</v>
      </c>
      <c r="H1476" s="8" t="s">
        <v>21</v>
      </c>
      <c r="I1476" s="8" t="s">
        <v>22</v>
      </c>
      <c r="J1476" s="8" t="s">
        <v>22</v>
      </c>
      <c r="K1476" s="8" t="s">
        <v>460</v>
      </c>
      <c r="L1476" s="8" t="s">
        <v>3328</v>
      </c>
      <c r="M1476" s="8" t="s">
        <v>3329</v>
      </c>
      <c r="N1476" s="8" t="s">
        <v>6850</v>
      </c>
      <c r="O1476" s="8">
        <f>3+53/60+49.8/3600</f>
        <v>3.8971666666666667</v>
      </c>
      <c r="P1476" s="8" t="s">
        <v>6851</v>
      </c>
      <c r="Q1476" s="8">
        <f>-(8+8/60+15/3600)</f>
        <v>-8.1374999999999993</v>
      </c>
      <c r="R1476" s="8">
        <v>15.4</v>
      </c>
      <c r="S1476" s="8">
        <v>16.399999999999999</v>
      </c>
      <c r="T1476" s="8">
        <v>1</v>
      </c>
      <c r="U1476" s="8">
        <v>14.3</v>
      </c>
      <c r="V1476" s="8">
        <v>0.6</v>
      </c>
      <c r="W1476" s="8">
        <v>0.6</v>
      </c>
      <c r="Y1476" s="8" t="s">
        <v>6852</v>
      </c>
      <c r="Z1476" s="8" t="s">
        <v>6853</v>
      </c>
    </row>
    <row r="1477" spans="1:26" x14ac:dyDescent="0.2">
      <c r="A1477" s="8">
        <v>1476</v>
      </c>
      <c r="B1477" s="8" t="s">
        <v>6854</v>
      </c>
      <c r="C1477" s="8" t="s">
        <v>6854</v>
      </c>
      <c r="F1477" s="47"/>
      <c r="G1477" s="8">
        <v>16</v>
      </c>
      <c r="H1477" s="8" t="s">
        <v>21</v>
      </c>
      <c r="I1477" s="8" t="s">
        <v>22</v>
      </c>
      <c r="J1477" s="8" t="s">
        <v>22</v>
      </c>
      <c r="K1477" s="8" t="s">
        <v>91</v>
      </c>
      <c r="L1477" s="8" t="s">
        <v>4263</v>
      </c>
      <c r="M1477" s="8" t="s">
        <v>4264</v>
      </c>
      <c r="N1477" s="8" t="s">
        <v>6855</v>
      </c>
      <c r="O1477" s="8">
        <f>3+52/60+8.6/3600</f>
        <v>3.8690555555555557</v>
      </c>
      <c r="P1477" s="8" t="s">
        <v>6856</v>
      </c>
      <c r="Q1477" s="8">
        <f>-(44+31/60+56/3600)</f>
        <v>-44.532222222222224</v>
      </c>
      <c r="R1477" s="8">
        <v>13.3</v>
      </c>
      <c r="S1477" s="8">
        <v>14.2</v>
      </c>
      <c r="T1477" s="8">
        <v>0.9</v>
      </c>
      <c r="U1477" s="8">
        <v>12.5</v>
      </c>
      <c r="V1477" s="8">
        <v>1.4</v>
      </c>
      <c r="W1477" s="8">
        <v>0.6</v>
      </c>
      <c r="X1477" s="8">
        <v>86</v>
      </c>
      <c r="Y1477" s="8" t="s">
        <v>6857</v>
      </c>
      <c r="Z1477" s="8" t="s">
        <v>6858</v>
      </c>
    </row>
    <row r="1478" spans="1:26" x14ac:dyDescent="0.2">
      <c r="A1478" s="8">
        <v>1477</v>
      </c>
      <c r="B1478" s="8" t="s">
        <v>6859</v>
      </c>
      <c r="C1478" s="8" t="s">
        <v>6859</v>
      </c>
      <c r="F1478" s="47"/>
      <c r="G1478" s="8">
        <v>19</v>
      </c>
      <c r="H1478" s="8" t="s">
        <v>21</v>
      </c>
      <c r="I1478" s="8" t="s">
        <v>22</v>
      </c>
      <c r="J1478" s="8" t="s">
        <v>22</v>
      </c>
      <c r="K1478" s="8" t="s">
        <v>1136</v>
      </c>
      <c r="L1478" s="8" t="s">
        <v>3328</v>
      </c>
      <c r="M1478" s="8" t="s">
        <v>3329</v>
      </c>
      <c r="N1478" s="8" t="s">
        <v>6860</v>
      </c>
      <c r="O1478" s="8">
        <f>3+54/60+2.8/3600</f>
        <v>3.9007777777777779</v>
      </c>
      <c r="P1478" s="8" t="s">
        <v>6861</v>
      </c>
      <c r="Q1478" s="8">
        <f>-(8+34/60+28/3600)</f>
        <v>-8.5744444444444436</v>
      </c>
      <c r="R1478" s="8">
        <v>14.2</v>
      </c>
      <c r="S1478" s="8">
        <v>15.2</v>
      </c>
      <c r="T1478" s="8">
        <v>1</v>
      </c>
      <c r="U1478" s="8">
        <v>13</v>
      </c>
      <c r="V1478" s="8">
        <v>0.6</v>
      </c>
      <c r="W1478" s="8">
        <v>0.5</v>
      </c>
      <c r="X1478" s="8">
        <v>170</v>
      </c>
      <c r="Y1478" s="8" t="s">
        <v>6862</v>
      </c>
      <c r="Z1478" s="8" t="s">
        <v>6863</v>
      </c>
    </row>
    <row r="1479" spans="1:26" x14ac:dyDescent="0.2">
      <c r="A1479" s="8">
        <v>1478</v>
      </c>
      <c r="B1479" s="8" t="s">
        <v>6864</v>
      </c>
      <c r="C1479" s="8" t="s">
        <v>6864</v>
      </c>
      <c r="F1479" s="47"/>
      <c r="G1479" s="8">
        <v>19</v>
      </c>
      <c r="H1479" s="8" t="s">
        <v>21</v>
      </c>
      <c r="I1479" s="8" t="s">
        <v>22</v>
      </c>
      <c r="J1479" s="8" t="s">
        <v>22</v>
      </c>
      <c r="K1479" s="8" t="s">
        <v>37</v>
      </c>
      <c r="L1479" s="8" t="s">
        <v>3328</v>
      </c>
      <c r="M1479" s="8" t="s">
        <v>3329</v>
      </c>
      <c r="N1479" s="8" t="s">
        <v>6865</v>
      </c>
      <c r="O1479" s="8">
        <f>3+54/60+7.3/3600</f>
        <v>3.9020277777777777</v>
      </c>
      <c r="P1479" s="8" t="s">
        <v>6866</v>
      </c>
      <c r="Q1479" s="8">
        <f>-(8+33/60+18/3600)</f>
        <v>-8.5550000000000015</v>
      </c>
      <c r="R1479" s="8">
        <v>14.8</v>
      </c>
      <c r="S1479" s="8">
        <v>15.8</v>
      </c>
      <c r="T1479" s="8">
        <v>1</v>
      </c>
      <c r="U1479" s="8">
        <v>12.8</v>
      </c>
      <c r="V1479" s="8">
        <v>0.6</v>
      </c>
      <c r="W1479" s="8">
        <v>0.3</v>
      </c>
      <c r="X1479" s="8">
        <v>52</v>
      </c>
      <c r="Y1479" s="8" t="s">
        <v>6867</v>
      </c>
      <c r="Z1479" s="8" t="s">
        <v>6868</v>
      </c>
    </row>
    <row r="1480" spans="1:26" x14ac:dyDescent="0.2">
      <c r="A1480" s="8">
        <v>1479</v>
      </c>
      <c r="B1480" s="8" t="s">
        <v>6869</v>
      </c>
      <c r="C1480" s="8" t="s">
        <v>6869</v>
      </c>
      <c r="F1480" s="47"/>
      <c r="G1480" s="8">
        <v>19</v>
      </c>
      <c r="H1480" s="8" t="s">
        <v>21</v>
      </c>
      <c r="I1480" s="8" t="s">
        <v>329</v>
      </c>
      <c r="J1480" s="8" t="s">
        <v>329</v>
      </c>
      <c r="K1480" s="8" t="s">
        <v>329</v>
      </c>
      <c r="L1480" s="8" t="s">
        <v>3328</v>
      </c>
      <c r="M1480" s="8" t="s">
        <v>3329</v>
      </c>
      <c r="N1480" s="8" t="s">
        <v>6870</v>
      </c>
      <c r="O1480" s="8">
        <f>3+54/60+20.4/3600</f>
        <v>3.9056666666666664</v>
      </c>
      <c r="P1480" s="8" t="s">
        <v>6871</v>
      </c>
      <c r="Q1480" s="8">
        <f>-(10+12/60+31/3600)</f>
        <v>-10.208611111111111</v>
      </c>
      <c r="R1480" s="8">
        <v>99</v>
      </c>
      <c r="S1480" s="8">
        <v>99</v>
      </c>
      <c r="T1480" s="8">
        <v>99</v>
      </c>
      <c r="U1480" s="8">
        <v>99</v>
      </c>
      <c r="Y1480" s="8" t="s">
        <v>6872</v>
      </c>
      <c r="Z1480" s="8" t="s">
        <v>6873</v>
      </c>
    </row>
    <row r="1481" spans="1:26" x14ac:dyDescent="0.2">
      <c r="A1481" s="8">
        <v>1480</v>
      </c>
      <c r="B1481" s="8" t="s">
        <v>6874</v>
      </c>
      <c r="C1481" s="8" t="s">
        <v>6874</v>
      </c>
      <c r="F1481" s="47"/>
      <c r="G1481" s="8">
        <v>19</v>
      </c>
      <c r="H1481" s="8" t="s">
        <v>21</v>
      </c>
      <c r="I1481" s="8" t="s">
        <v>329</v>
      </c>
      <c r="J1481" s="8" t="s">
        <v>329</v>
      </c>
      <c r="K1481" s="8" t="s">
        <v>329</v>
      </c>
      <c r="L1481" s="8" t="s">
        <v>3328</v>
      </c>
      <c r="M1481" s="8" t="s">
        <v>3329</v>
      </c>
      <c r="N1481" s="8" t="s">
        <v>6875</v>
      </c>
      <c r="O1481" s="8">
        <f>3+54/60+32/3600</f>
        <v>3.9088888888888889</v>
      </c>
      <c r="P1481" s="8" t="s">
        <v>6876</v>
      </c>
      <c r="Q1481" s="8">
        <f>-(10+15/60+30/3600)</f>
        <v>-10.258333333333333</v>
      </c>
      <c r="R1481" s="8">
        <v>99</v>
      </c>
      <c r="S1481" s="8">
        <v>99</v>
      </c>
      <c r="T1481" s="8">
        <v>99</v>
      </c>
      <c r="U1481" s="8">
        <v>99</v>
      </c>
      <c r="Y1481" s="8" t="s">
        <v>6877</v>
      </c>
      <c r="Z1481" s="8" t="s">
        <v>6878</v>
      </c>
    </row>
    <row r="1482" spans="1:26" x14ac:dyDescent="0.2">
      <c r="A1482" s="8">
        <v>1481</v>
      </c>
      <c r="B1482" s="8" t="s">
        <v>6879</v>
      </c>
      <c r="C1482" s="8" t="s">
        <v>6879</v>
      </c>
      <c r="F1482" s="47"/>
      <c r="G1482" s="8">
        <v>16</v>
      </c>
      <c r="H1482" s="8" t="s">
        <v>21</v>
      </c>
      <c r="I1482" s="8" t="s">
        <v>22</v>
      </c>
      <c r="J1482" s="8" t="s">
        <v>22</v>
      </c>
      <c r="K1482" s="8" t="s">
        <v>58</v>
      </c>
      <c r="L1482" s="8" t="s">
        <v>3328</v>
      </c>
      <c r="M1482" s="8" t="s">
        <v>3329</v>
      </c>
      <c r="N1482" s="8" t="s">
        <v>6880</v>
      </c>
      <c r="O1482" s="8">
        <f>3+54/60+28.9/3600</f>
        <v>3.9080277777777779</v>
      </c>
      <c r="P1482" s="8" t="s">
        <v>6881</v>
      </c>
      <c r="Q1482" s="8">
        <f>-(20+25/60+36/3600)</f>
        <v>-20.426666666666669</v>
      </c>
      <c r="R1482" s="8">
        <v>13.8</v>
      </c>
      <c r="S1482" s="8">
        <v>14.8</v>
      </c>
      <c r="T1482" s="8">
        <v>1</v>
      </c>
      <c r="U1482" s="8">
        <v>13.5</v>
      </c>
      <c r="V1482" s="8">
        <v>1</v>
      </c>
      <c r="W1482" s="8">
        <v>0.7</v>
      </c>
      <c r="X1482" s="8">
        <v>133</v>
      </c>
      <c r="Y1482" s="8" t="s">
        <v>6882</v>
      </c>
      <c r="Z1482" s="8" t="s">
        <v>6883</v>
      </c>
    </row>
    <row r="1483" spans="1:26" x14ac:dyDescent="0.2">
      <c r="A1483" s="8">
        <v>1482</v>
      </c>
      <c r="B1483" s="8" t="s">
        <v>6884</v>
      </c>
      <c r="C1483" s="8" t="s">
        <v>6884</v>
      </c>
      <c r="F1483" s="47" t="s">
        <v>56334</v>
      </c>
      <c r="G1483" s="8">
        <v>15</v>
      </c>
      <c r="H1483" s="8" t="s">
        <v>21</v>
      </c>
      <c r="I1483" s="8" t="s">
        <v>22</v>
      </c>
      <c r="J1483" s="8" t="s">
        <v>22</v>
      </c>
      <c r="K1483" s="8" t="s">
        <v>632</v>
      </c>
      <c r="L1483" s="8" t="s">
        <v>3328</v>
      </c>
      <c r="M1483" s="8" t="s">
        <v>3329</v>
      </c>
      <c r="N1483" s="8" t="s">
        <v>6885</v>
      </c>
      <c r="O1483" s="8">
        <f>3+54/60+38.9/3600</f>
        <v>3.9108055555555556</v>
      </c>
      <c r="P1483" s="8" t="s">
        <v>6886</v>
      </c>
      <c r="Q1483" s="8">
        <f>-(20+30/60+7/3600)</f>
        <v>-20.501944444444444</v>
      </c>
      <c r="R1483" s="8">
        <v>12.2</v>
      </c>
      <c r="S1483" s="8">
        <v>13.1</v>
      </c>
      <c r="T1483" s="8">
        <v>0.9</v>
      </c>
      <c r="U1483" s="8">
        <v>13.4</v>
      </c>
      <c r="V1483" s="8">
        <v>2.4</v>
      </c>
      <c r="W1483" s="8">
        <v>1.4</v>
      </c>
      <c r="X1483" s="8">
        <v>103</v>
      </c>
      <c r="Y1483" s="8" t="s">
        <v>6887</v>
      </c>
      <c r="Z1483" s="8" t="s">
        <v>6888</v>
      </c>
    </row>
    <row r="1484" spans="1:26" x14ac:dyDescent="0.2">
      <c r="A1484" s="8">
        <v>1483</v>
      </c>
      <c r="B1484" s="8" t="s">
        <v>6889</v>
      </c>
      <c r="C1484" s="8" t="s">
        <v>6889</v>
      </c>
      <c r="F1484" s="47"/>
      <c r="G1484" s="8">
        <v>16</v>
      </c>
      <c r="H1484" s="8" t="s">
        <v>21</v>
      </c>
      <c r="I1484" s="8" t="s">
        <v>22</v>
      </c>
      <c r="J1484" s="8" t="s">
        <v>22</v>
      </c>
      <c r="K1484" s="8" t="s">
        <v>85</v>
      </c>
      <c r="L1484" s="8" t="s">
        <v>4263</v>
      </c>
      <c r="M1484" s="8" t="s">
        <v>4264</v>
      </c>
      <c r="N1484" s="8" t="s">
        <v>6890</v>
      </c>
      <c r="O1484" s="8">
        <f>3+52/60+47.7/3600</f>
        <v>3.8799166666666669</v>
      </c>
      <c r="P1484" s="8" t="s">
        <v>6891</v>
      </c>
      <c r="Q1484" s="8">
        <f>-(47+28/60+42/3600)</f>
        <v>-47.478333333333332</v>
      </c>
      <c r="R1484" s="8">
        <v>12.7</v>
      </c>
      <c r="S1484" s="8">
        <v>13.1</v>
      </c>
      <c r="T1484" s="8">
        <v>0.4</v>
      </c>
      <c r="U1484" s="8">
        <v>13.4</v>
      </c>
      <c r="V1484" s="8">
        <v>1.6</v>
      </c>
      <c r="W1484" s="8">
        <v>1.4</v>
      </c>
      <c r="X1484" s="8">
        <v>125</v>
      </c>
      <c r="Y1484" s="8" t="s">
        <v>6892</v>
      </c>
      <c r="Z1484" s="8" t="s">
        <v>6893</v>
      </c>
    </row>
    <row r="1485" spans="1:26" x14ac:dyDescent="0.2">
      <c r="A1485" s="8">
        <v>1484</v>
      </c>
      <c r="B1485" s="8" t="s">
        <v>6894</v>
      </c>
      <c r="C1485" s="8" t="s">
        <v>6894</v>
      </c>
      <c r="F1485" s="47"/>
      <c r="G1485" s="8">
        <v>16</v>
      </c>
      <c r="H1485" s="8" t="s">
        <v>21</v>
      </c>
      <c r="I1485" s="8" t="s">
        <v>22</v>
      </c>
      <c r="J1485" s="8" t="s">
        <v>22</v>
      </c>
      <c r="K1485" s="8" t="s">
        <v>23</v>
      </c>
      <c r="L1485" s="8" t="s">
        <v>3328</v>
      </c>
      <c r="M1485" s="8" t="s">
        <v>3329</v>
      </c>
      <c r="N1485" s="8" t="s">
        <v>6895</v>
      </c>
      <c r="O1485" s="8">
        <f>3+54/60+17.4/3600</f>
        <v>3.9048333333333334</v>
      </c>
      <c r="P1485" s="8" t="s">
        <v>6896</v>
      </c>
      <c r="Q1485" s="8">
        <f>-(36+58/60+15/3600)</f>
        <v>-36.970833333333339</v>
      </c>
      <c r="R1485" s="8">
        <v>13.1</v>
      </c>
      <c r="S1485" s="8">
        <v>13.9</v>
      </c>
      <c r="T1485" s="8">
        <v>0.8</v>
      </c>
      <c r="U1485" s="8">
        <v>13.4</v>
      </c>
      <c r="V1485" s="8">
        <v>2.5</v>
      </c>
      <c r="W1485" s="8">
        <v>0.6</v>
      </c>
      <c r="X1485" s="8">
        <v>80</v>
      </c>
      <c r="Y1485" s="8" t="s">
        <v>6897</v>
      </c>
      <c r="Z1485" s="8" t="s">
        <v>6898</v>
      </c>
    </row>
    <row r="1486" spans="1:26" x14ac:dyDescent="0.2">
      <c r="A1486" s="8">
        <v>1485</v>
      </c>
      <c r="B1486" s="8" t="s">
        <v>6899</v>
      </c>
      <c r="C1486" s="8" t="s">
        <v>6899</v>
      </c>
      <c r="F1486" s="47"/>
      <c r="G1486" s="8">
        <v>19</v>
      </c>
      <c r="H1486" s="8" t="s">
        <v>21</v>
      </c>
      <c r="I1486" s="8" t="s">
        <v>22</v>
      </c>
      <c r="J1486" s="8" t="s">
        <v>22</v>
      </c>
      <c r="K1486" s="8" t="s">
        <v>23</v>
      </c>
      <c r="L1486" s="8" t="s">
        <v>6823</v>
      </c>
      <c r="M1486" s="8" t="s">
        <v>6824</v>
      </c>
      <c r="N1486" s="8" t="s">
        <v>6900</v>
      </c>
      <c r="O1486" s="8">
        <f>4+5/60+3.4/3600</f>
        <v>4.0842777777777775</v>
      </c>
      <c r="P1486" s="8" t="s">
        <v>6901</v>
      </c>
      <c r="Q1486" s="8">
        <f>+(70+59/60+48/3600)</f>
        <v>70.99666666666667</v>
      </c>
      <c r="R1486" s="8">
        <v>12.6</v>
      </c>
      <c r="S1486" s="8">
        <v>13.4</v>
      </c>
      <c r="T1486" s="8">
        <v>0.8</v>
      </c>
      <c r="U1486" s="8">
        <v>12.9</v>
      </c>
      <c r="V1486" s="8">
        <v>2.1</v>
      </c>
      <c r="W1486" s="8">
        <v>0.7</v>
      </c>
      <c r="X1486" s="8">
        <v>22</v>
      </c>
      <c r="Y1486" s="8" t="s">
        <v>4170</v>
      </c>
      <c r="Z1486" s="8" t="s">
        <v>4171</v>
      </c>
    </row>
    <row r="1487" spans="1:26" x14ac:dyDescent="0.2">
      <c r="A1487" s="8">
        <v>1486</v>
      </c>
      <c r="B1487" s="8" t="s">
        <v>6902</v>
      </c>
      <c r="C1487" s="8" t="s">
        <v>6902</v>
      </c>
      <c r="F1487" s="47"/>
      <c r="G1487" s="8">
        <v>19</v>
      </c>
      <c r="H1487" s="8" t="s">
        <v>21</v>
      </c>
      <c r="I1487" s="8" t="s">
        <v>22</v>
      </c>
      <c r="J1487" s="8" t="s">
        <v>22</v>
      </c>
      <c r="K1487" s="8" t="s">
        <v>85</v>
      </c>
      <c r="L1487" s="8" t="s">
        <v>3328</v>
      </c>
      <c r="M1487" s="8" t="s">
        <v>3329</v>
      </c>
      <c r="N1487" s="8" t="s">
        <v>6903</v>
      </c>
      <c r="O1487" s="8">
        <f>3+56/60+18.8/3600</f>
        <v>3.9385555555555558</v>
      </c>
      <c r="P1487" s="8" t="s">
        <v>6904</v>
      </c>
      <c r="Q1487" s="8">
        <f>-(21+49/60+15/3600)</f>
        <v>-21.820833333333333</v>
      </c>
      <c r="R1487" s="8">
        <v>14.2</v>
      </c>
      <c r="S1487" s="8">
        <v>15</v>
      </c>
      <c r="T1487" s="8">
        <v>0.8</v>
      </c>
      <c r="U1487" s="8">
        <v>13.4</v>
      </c>
      <c r="V1487" s="8">
        <v>0.9</v>
      </c>
      <c r="W1487" s="8">
        <v>0.5</v>
      </c>
      <c r="X1487" s="8">
        <v>2</v>
      </c>
      <c r="Y1487" s="8" t="s">
        <v>385</v>
      </c>
      <c r="Z1487" s="8" t="s">
        <v>386</v>
      </c>
    </row>
    <row r="1488" spans="1:26" x14ac:dyDescent="0.2">
      <c r="A1488" s="8">
        <v>1487</v>
      </c>
      <c r="B1488" s="8" t="s">
        <v>6905</v>
      </c>
      <c r="C1488" s="8" t="s">
        <v>6905</v>
      </c>
      <c r="F1488" s="47"/>
      <c r="G1488" s="8">
        <v>13</v>
      </c>
      <c r="H1488" s="8" t="s">
        <v>21</v>
      </c>
      <c r="I1488" s="8" t="s">
        <v>22</v>
      </c>
      <c r="J1488" s="8" t="s">
        <v>22</v>
      </c>
      <c r="K1488" s="8" t="s">
        <v>4103</v>
      </c>
      <c r="L1488" s="8" t="s">
        <v>3328</v>
      </c>
      <c r="M1488" s="8" t="s">
        <v>3329</v>
      </c>
      <c r="N1488" s="8" t="s">
        <v>6906</v>
      </c>
      <c r="O1488" s="8">
        <f>3+55/60+45/3600</f>
        <v>3.9291666666666667</v>
      </c>
      <c r="P1488" s="8" t="s">
        <v>6907</v>
      </c>
      <c r="Q1488" s="8">
        <f>-(42+22/60+4/3600)</f>
        <v>-42.367777777777775</v>
      </c>
      <c r="R1488" s="8">
        <v>11.6</v>
      </c>
      <c r="S1488" s="8">
        <v>12.3</v>
      </c>
      <c r="T1488" s="8">
        <v>0.7</v>
      </c>
      <c r="U1488" s="8">
        <v>13</v>
      </c>
      <c r="V1488" s="8">
        <v>2.4</v>
      </c>
      <c r="W1488" s="8">
        <v>1.7</v>
      </c>
      <c r="X1488" s="8">
        <v>55</v>
      </c>
      <c r="Y1488" s="8" t="s">
        <v>6908</v>
      </c>
      <c r="Z1488" s="8" t="s">
        <v>6909</v>
      </c>
    </row>
    <row r="1489" spans="1:26" x14ac:dyDescent="0.2">
      <c r="A1489" s="8">
        <v>1488</v>
      </c>
      <c r="B1489" s="8" t="s">
        <v>6910</v>
      </c>
      <c r="C1489" s="8" t="s">
        <v>6910</v>
      </c>
      <c r="F1489" s="47"/>
      <c r="G1489" s="8">
        <v>17</v>
      </c>
      <c r="H1489" s="8" t="s">
        <v>21</v>
      </c>
      <c r="I1489" s="8" t="s">
        <v>72</v>
      </c>
      <c r="J1489" s="8" t="s">
        <v>72</v>
      </c>
      <c r="K1489" s="8" t="s">
        <v>73</v>
      </c>
      <c r="L1489" s="8" t="s">
        <v>6115</v>
      </c>
      <c r="M1489" s="8" t="s">
        <v>6116</v>
      </c>
      <c r="N1489" s="8" t="s">
        <v>6911</v>
      </c>
      <c r="O1489" s="8">
        <f>4+0/60+4.7/3600</f>
        <v>4.0013055555555557</v>
      </c>
      <c r="P1489" s="8" t="s">
        <v>6912</v>
      </c>
      <c r="Q1489" s="8">
        <f>+(18+34/60+0/3600)</f>
        <v>18.566666666666666</v>
      </c>
      <c r="R1489" s="8">
        <v>99</v>
      </c>
      <c r="S1489" s="8">
        <v>99</v>
      </c>
      <c r="T1489" s="8">
        <v>99</v>
      </c>
      <c r="U1489" s="8">
        <v>99</v>
      </c>
      <c r="Y1489" s="8" t="s">
        <v>6913</v>
      </c>
      <c r="Z1489" s="8" t="s">
        <v>6914</v>
      </c>
    </row>
    <row r="1490" spans="1:26" x14ac:dyDescent="0.2">
      <c r="A1490" s="8">
        <v>1489</v>
      </c>
      <c r="B1490" s="8" t="s">
        <v>6915</v>
      </c>
      <c r="C1490" s="8" t="s">
        <v>6915</v>
      </c>
      <c r="F1490" s="47"/>
      <c r="G1490" s="8">
        <v>19</v>
      </c>
      <c r="H1490" s="8" t="s">
        <v>21</v>
      </c>
      <c r="I1490" s="8" t="s">
        <v>22</v>
      </c>
      <c r="J1490" s="8" t="s">
        <v>22</v>
      </c>
      <c r="K1490" s="8" t="s">
        <v>218</v>
      </c>
      <c r="L1490" s="8" t="s">
        <v>3328</v>
      </c>
      <c r="M1490" s="8" t="s">
        <v>3329</v>
      </c>
      <c r="N1490" s="8" t="s">
        <v>6916</v>
      </c>
      <c r="O1490" s="8">
        <f>3+57/60+38.1/3600</f>
        <v>3.9605833333333336</v>
      </c>
      <c r="P1490" s="8" t="s">
        <v>6917</v>
      </c>
      <c r="Q1490" s="8">
        <f>-(19+13/60+2/3600)</f>
        <v>-19.217222222222219</v>
      </c>
      <c r="R1490" s="8">
        <v>13.8</v>
      </c>
      <c r="S1490" s="8">
        <v>14.6</v>
      </c>
      <c r="T1490" s="8">
        <v>0.8</v>
      </c>
      <c r="U1490" s="8">
        <v>13.4</v>
      </c>
      <c r="V1490" s="8">
        <v>1.4</v>
      </c>
      <c r="W1490" s="8">
        <v>0.6</v>
      </c>
      <c r="X1490" s="8">
        <v>12</v>
      </c>
      <c r="Y1490" s="8" t="s">
        <v>6918</v>
      </c>
      <c r="Z1490" s="8" t="s">
        <v>6919</v>
      </c>
    </row>
    <row r="1491" spans="1:26" x14ac:dyDescent="0.2">
      <c r="A1491" s="8">
        <v>1490</v>
      </c>
      <c r="B1491" s="8" t="s">
        <v>6920</v>
      </c>
      <c r="C1491" s="8" t="s">
        <v>6920</v>
      </c>
      <c r="F1491" s="47"/>
      <c r="G1491" s="8">
        <v>16</v>
      </c>
      <c r="H1491" s="8" t="s">
        <v>21</v>
      </c>
      <c r="I1491" s="8" t="s">
        <v>22</v>
      </c>
      <c r="J1491" s="8" t="s">
        <v>22</v>
      </c>
      <c r="K1491" s="8" t="s">
        <v>183</v>
      </c>
      <c r="L1491" s="8" t="s">
        <v>6120</v>
      </c>
      <c r="M1491" s="8" t="s">
        <v>6121</v>
      </c>
      <c r="N1491" s="8" t="s">
        <v>6921</v>
      </c>
      <c r="O1491" s="8">
        <f>3+53/60+34.1/3600</f>
        <v>3.8928055555555554</v>
      </c>
      <c r="P1491" s="8" t="s">
        <v>6922</v>
      </c>
      <c r="Q1491" s="8">
        <f>-(66+1/60+5/3600)</f>
        <v>-66.018055555555549</v>
      </c>
      <c r="R1491" s="8">
        <v>12.4</v>
      </c>
      <c r="S1491" s="8">
        <v>13.4</v>
      </c>
      <c r="T1491" s="8">
        <v>1</v>
      </c>
      <c r="U1491" s="8">
        <v>12.9</v>
      </c>
      <c r="V1491" s="8">
        <v>1.3</v>
      </c>
      <c r="W1491" s="8">
        <v>1.1000000000000001</v>
      </c>
      <c r="X1491" s="8">
        <v>142</v>
      </c>
      <c r="Y1491" s="8" t="s">
        <v>6923</v>
      </c>
      <c r="Z1491" s="8" t="s">
        <v>6924</v>
      </c>
    </row>
    <row r="1492" spans="1:26" x14ac:dyDescent="0.2">
      <c r="A1492" s="8">
        <v>1491</v>
      </c>
      <c r="B1492" s="8" t="s">
        <v>6925</v>
      </c>
      <c r="C1492" s="8" t="s">
        <v>6925</v>
      </c>
      <c r="F1492" s="47" t="s">
        <v>56335</v>
      </c>
      <c r="G1492" s="8">
        <v>6.5</v>
      </c>
      <c r="H1492" s="8" t="s">
        <v>6926</v>
      </c>
      <c r="I1492" s="8" t="s">
        <v>1283</v>
      </c>
      <c r="J1492" s="8" t="s">
        <v>1283</v>
      </c>
      <c r="K1492" s="8" t="s">
        <v>1284</v>
      </c>
      <c r="L1492" s="8" t="s">
        <v>3147</v>
      </c>
      <c r="M1492" s="8" t="s">
        <v>3148</v>
      </c>
      <c r="N1492" s="8" t="s">
        <v>6927</v>
      </c>
      <c r="O1492" s="8">
        <f>4+3/60+13.5/3600</f>
        <v>4.05375</v>
      </c>
      <c r="P1492" s="8" t="s">
        <v>6928</v>
      </c>
      <c r="Q1492" s="8">
        <f>+(51+18/60+58/3600)</f>
        <v>51.316111111111105</v>
      </c>
      <c r="R1492" s="8">
        <v>99</v>
      </c>
      <c r="S1492" s="8">
        <v>99</v>
      </c>
      <c r="T1492" s="8">
        <v>99</v>
      </c>
      <c r="U1492" s="8">
        <v>99</v>
      </c>
      <c r="V1492" s="8">
        <v>25</v>
      </c>
      <c r="W1492" s="8">
        <v>25</v>
      </c>
      <c r="Y1492" s="8" t="s">
        <v>6929</v>
      </c>
      <c r="Z1492" s="8" t="s">
        <v>6930</v>
      </c>
    </row>
    <row r="1493" spans="1:26" x14ac:dyDescent="0.2">
      <c r="A1493" s="8">
        <v>1492</v>
      </c>
      <c r="B1493" s="8" t="s">
        <v>6931</v>
      </c>
      <c r="C1493" s="8" t="s">
        <v>6931</v>
      </c>
      <c r="F1493" s="47"/>
      <c r="G1493" s="8">
        <v>16</v>
      </c>
      <c r="H1493" s="8" t="s">
        <v>21</v>
      </c>
      <c r="I1493" s="8" t="s">
        <v>22</v>
      </c>
      <c r="J1493" s="8" t="s">
        <v>22</v>
      </c>
      <c r="K1493" s="8" t="s">
        <v>91</v>
      </c>
      <c r="L1493" s="8" t="s">
        <v>3328</v>
      </c>
      <c r="M1493" s="8" t="s">
        <v>3329</v>
      </c>
      <c r="N1493" s="8" t="s">
        <v>6932</v>
      </c>
      <c r="O1493" s="8">
        <f>3+58/60+13.1/3600</f>
        <v>3.9703055555555555</v>
      </c>
      <c r="P1493" s="8" t="s">
        <v>6933</v>
      </c>
      <c r="Q1493" s="8">
        <f>-(35+26/60+45/3600)</f>
        <v>-35.445833333333333</v>
      </c>
      <c r="R1493" s="8">
        <v>13.5</v>
      </c>
      <c r="S1493" s="8">
        <v>14.4</v>
      </c>
      <c r="T1493" s="8">
        <v>0.9</v>
      </c>
      <c r="U1493" s="8">
        <v>12.8</v>
      </c>
      <c r="V1493" s="8">
        <v>0.9</v>
      </c>
      <c r="W1493" s="8">
        <v>0.7</v>
      </c>
      <c r="X1493" s="8">
        <v>10</v>
      </c>
      <c r="Y1493" s="8" t="s">
        <v>421</v>
      </c>
      <c r="Z1493" s="8" t="s">
        <v>422</v>
      </c>
    </row>
    <row r="1494" spans="1:26" x14ac:dyDescent="0.2">
      <c r="A1494" s="8">
        <v>1493</v>
      </c>
      <c r="B1494" s="8" t="s">
        <v>6934</v>
      </c>
      <c r="C1494" s="8" t="s">
        <v>6934</v>
      </c>
      <c r="F1494" s="47"/>
      <c r="G1494" s="8">
        <v>13</v>
      </c>
      <c r="H1494" s="8" t="s">
        <v>21</v>
      </c>
      <c r="I1494" s="8" t="s">
        <v>22</v>
      </c>
      <c r="J1494" s="8" t="s">
        <v>22</v>
      </c>
      <c r="K1494" s="8" t="s">
        <v>64</v>
      </c>
      <c r="L1494" s="8" t="s">
        <v>4263</v>
      </c>
      <c r="M1494" s="8" t="s">
        <v>4264</v>
      </c>
      <c r="N1494" s="8" t="s">
        <v>6935</v>
      </c>
      <c r="O1494" s="8">
        <f>3+57/60+27.5/3600</f>
        <v>3.9576388888888889</v>
      </c>
      <c r="P1494" s="8" t="s">
        <v>6936</v>
      </c>
      <c r="Q1494" s="8">
        <f>-(46+12/60+42/3600)</f>
        <v>-46.211666666666666</v>
      </c>
      <c r="R1494" s="8">
        <v>11.3</v>
      </c>
      <c r="S1494" s="8">
        <v>11.8</v>
      </c>
      <c r="T1494" s="8">
        <v>0.5</v>
      </c>
      <c r="U1494" s="8">
        <v>13.8</v>
      </c>
      <c r="V1494" s="8">
        <v>2.8</v>
      </c>
      <c r="W1494" s="8">
        <v>2.8</v>
      </c>
      <c r="Y1494" s="8" t="s">
        <v>6937</v>
      </c>
      <c r="Z1494" s="8" t="s">
        <v>6938</v>
      </c>
    </row>
    <row r="1495" spans="1:26" x14ac:dyDescent="0.2">
      <c r="A1495" s="8">
        <v>1494</v>
      </c>
      <c r="B1495" s="8" t="s">
        <v>6939</v>
      </c>
      <c r="C1495" s="8" t="s">
        <v>6939</v>
      </c>
      <c r="F1495" s="47"/>
      <c r="G1495" s="8">
        <v>13</v>
      </c>
      <c r="H1495" s="8" t="s">
        <v>21</v>
      </c>
      <c r="I1495" s="8" t="s">
        <v>22</v>
      </c>
      <c r="J1495" s="8" t="s">
        <v>22</v>
      </c>
      <c r="K1495" s="8" t="s">
        <v>1277</v>
      </c>
      <c r="L1495" s="8" t="s">
        <v>4263</v>
      </c>
      <c r="M1495" s="8" t="s">
        <v>4264</v>
      </c>
      <c r="N1495" s="8" t="s">
        <v>6940</v>
      </c>
      <c r="O1495" s="8">
        <f>3+57/60+42.5/3600</f>
        <v>3.9618055555555558</v>
      </c>
      <c r="P1495" s="8" t="s">
        <v>6941</v>
      </c>
      <c r="Q1495" s="8">
        <f>-(48+54/60+34/3600)</f>
        <v>-48.909444444444446</v>
      </c>
      <c r="R1495" s="8">
        <v>11.7</v>
      </c>
      <c r="S1495" s="8">
        <v>12.4</v>
      </c>
      <c r="T1495" s="8">
        <v>0.7</v>
      </c>
      <c r="U1495" s="8">
        <v>13.5</v>
      </c>
      <c r="V1495" s="8">
        <v>3.3</v>
      </c>
      <c r="W1495" s="8">
        <v>2</v>
      </c>
      <c r="X1495" s="8">
        <v>179</v>
      </c>
      <c r="Y1495" s="8" t="s">
        <v>6942</v>
      </c>
      <c r="Z1495" s="8" t="s">
        <v>6943</v>
      </c>
    </row>
    <row r="1496" spans="1:26" x14ac:dyDescent="0.2">
      <c r="A1496" s="8">
        <v>1495</v>
      </c>
      <c r="B1496" s="8" t="s">
        <v>6944</v>
      </c>
      <c r="C1496" s="8" t="s">
        <v>6944</v>
      </c>
      <c r="F1496" s="47"/>
      <c r="G1496" s="8">
        <v>16</v>
      </c>
      <c r="H1496" s="8" t="s">
        <v>21</v>
      </c>
      <c r="I1496" s="8" t="s">
        <v>22</v>
      </c>
      <c r="J1496" s="8" t="s">
        <v>22</v>
      </c>
      <c r="K1496" s="8" t="s">
        <v>160</v>
      </c>
      <c r="L1496" s="8" t="s">
        <v>4263</v>
      </c>
      <c r="M1496" s="8" t="s">
        <v>4264</v>
      </c>
      <c r="N1496" s="8" t="s">
        <v>6945</v>
      </c>
      <c r="O1496" s="8">
        <f>3+58/60+21.4/3600</f>
        <v>3.9726111111111111</v>
      </c>
      <c r="P1496" s="8" t="s">
        <v>6946</v>
      </c>
      <c r="Q1496" s="8">
        <f>-(44+27/60+57/3600)</f>
        <v>-44.465833333333336</v>
      </c>
      <c r="R1496" s="8">
        <v>12.6</v>
      </c>
      <c r="S1496" s="8">
        <v>13.3</v>
      </c>
      <c r="T1496" s="8">
        <v>0.7</v>
      </c>
      <c r="U1496" s="8">
        <v>13</v>
      </c>
      <c r="V1496" s="8">
        <v>3</v>
      </c>
      <c r="W1496" s="8">
        <v>0.5</v>
      </c>
      <c r="X1496" s="8">
        <v>105</v>
      </c>
      <c r="Y1496" s="8" t="s">
        <v>6947</v>
      </c>
      <c r="Z1496" s="8" t="s">
        <v>6948</v>
      </c>
    </row>
    <row r="1497" spans="1:26" x14ac:dyDescent="0.2">
      <c r="A1497" s="8">
        <v>1496</v>
      </c>
      <c r="B1497" s="8" t="s">
        <v>6949</v>
      </c>
      <c r="C1497" s="8" t="s">
        <v>6949</v>
      </c>
      <c r="F1497" s="47"/>
      <c r="G1497" s="8">
        <v>14</v>
      </c>
      <c r="H1497" s="8" t="s">
        <v>21</v>
      </c>
      <c r="I1497" s="8" t="s">
        <v>557</v>
      </c>
      <c r="J1497" s="8" t="s">
        <v>557</v>
      </c>
      <c r="K1497" s="8" t="s">
        <v>3602</v>
      </c>
      <c r="L1497" s="8" t="s">
        <v>3147</v>
      </c>
      <c r="M1497" s="8" t="s">
        <v>3148</v>
      </c>
      <c r="N1497" s="8" t="s">
        <v>6950</v>
      </c>
      <c r="O1497" s="8">
        <f>4+4/60+31.8/3600</f>
        <v>4.0754999999999999</v>
      </c>
      <c r="P1497" s="8" t="s">
        <v>6951</v>
      </c>
      <c r="Q1497" s="8">
        <f>+(52+39/60+41/3600)</f>
        <v>52.661388888888887</v>
      </c>
      <c r="R1497" s="8">
        <v>9.6</v>
      </c>
      <c r="S1497" s="8">
        <v>99</v>
      </c>
      <c r="T1497" s="8">
        <v>99</v>
      </c>
      <c r="U1497" s="8">
        <v>99</v>
      </c>
      <c r="V1497" s="8">
        <v>3</v>
      </c>
      <c r="Y1497" s="8" t="s">
        <v>6952</v>
      </c>
      <c r="Z1497" s="8" t="s">
        <v>6953</v>
      </c>
    </row>
    <row r="1498" spans="1:26" x14ac:dyDescent="0.2">
      <c r="A1498" s="8">
        <v>1497</v>
      </c>
      <c r="B1498" s="8" t="s">
        <v>6954</v>
      </c>
      <c r="C1498" s="8" t="s">
        <v>6954</v>
      </c>
      <c r="F1498" s="47"/>
      <c r="G1498" s="8">
        <v>18</v>
      </c>
      <c r="H1498" s="8" t="s">
        <v>21</v>
      </c>
      <c r="I1498" s="8" t="s">
        <v>22</v>
      </c>
      <c r="J1498" s="8" t="s">
        <v>22</v>
      </c>
      <c r="K1498" s="8" t="s">
        <v>37</v>
      </c>
      <c r="L1498" s="8" t="s">
        <v>6115</v>
      </c>
      <c r="M1498" s="8" t="s">
        <v>6116</v>
      </c>
      <c r="N1498" s="8" t="s">
        <v>6955</v>
      </c>
      <c r="O1498" s="8">
        <f>4+2/60+6.8/3600</f>
        <v>4.035222222222222</v>
      </c>
      <c r="P1498" s="8" t="s">
        <v>6956</v>
      </c>
      <c r="Q1498" s="8">
        <f>+(23+8/60+0/3600)</f>
        <v>23.133333333333333</v>
      </c>
      <c r="R1498" s="8">
        <v>13.1</v>
      </c>
      <c r="S1498" s="8">
        <v>14.1</v>
      </c>
      <c r="T1498" s="8">
        <v>1</v>
      </c>
      <c r="U1498" s="8">
        <v>13</v>
      </c>
      <c r="V1498" s="8">
        <v>1.5</v>
      </c>
      <c r="W1498" s="8">
        <v>0.7</v>
      </c>
      <c r="X1498" s="8">
        <v>60</v>
      </c>
      <c r="Y1498" s="8" t="s">
        <v>6957</v>
      </c>
      <c r="Z1498" s="8" t="s">
        <v>6958</v>
      </c>
    </row>
    <row r="1499" spans="1:26" x14ac:dyDescent="0.2">
      <c r="A1499" s="8">
        <v>1498</v>
      </c>
      <c r="B1499" s="8" t="s">
        <v>6959</v>
      </c>
      <c r="C1499" s="8" t="s">
        <v>6959</v>
      </c>
      <c r="F1499" s="47" t="s">
        <v>56336</v>
      </c>
      <c r="G1499" s="8">
        <v>15</v>
      </c>
      <c r="H1499" s="8" t="s">
        <v>21</v>
      </c>
      <c r="I1499" s="8" t="s">
        <v>72</v>
      </c>
      <c r="J1499" s="8" t="s">
        <v>72</v>
      </c>
      <c r="K1499" s="8" t="s">
        <v>1405</v>
      </c>
      <c r="L1499" s="8" t="s">
        <v>3328</v>
      </c>
      <c r="M1499" s="8" t="s">
        <v>3329</v>
      </c>
      <c r="N1499" s="8" t="s">
        <v>6960</v>
      </c>
      <c r="O1499" s="8">
        <f>4+3/60+6.8/3600</f>
        <v>4.0518888888888887</v>
      </c>
      <c r="P1499" s="8" t="s">
        <v>6961</v>
      </c>
      <c r="Q1499" s="8">
        <f>-(11+49/60+38/3600)</f>
        <v>-11.827222222222222</v>
      </c>
      <c r="R1499" s="8">
        <v>99</v>
      </c>
      <c r="S1499" s="8">
        <v>99</v>
      </c>
      <c r="T1499" s="8">
        <v>99</v>
      </c>
      <c r="U1499" s="8">
        <v>99</v>
      </c>
      <c r="Y1499" s="8" t="s">
        <v>6962</v>
      </c>
      <c r="Z1499" s="8" t="s">
        <v>6963</v>
      </c>
    </row>
    <row r="1500" spans="1:26" x14ac:dyDescent="0.2">
      <c r="A1500" s="8">
        <v>1499</v>
      </c>
      <c r="B1500" s="8" t="s">
        <v>6964</v>
      </c>
      <c r="C1500" s="8" t="s">
        <v>6964</v>
      </c>
      <c r="F1500" s="47"/>
      <c r="G1500" s="8">
        <v>5</v>
      </c>
      <c r="H1500" s="8" t="s">
        <v>6965</v>
      </c>
      <c r="I1500" s="8" t="s">
        <v>1283</v>
      </c>
      <c r="J1500" s="8" t="s">
        <v>1283</v>
      </c>
      <c r="K1500" s="8" t="s">
        <v>1284</v>
      </c>
      <c r="L1500" s="8" t="s">
        <v>3147</v>
      </c>
      <c r="M1500" s="8" t="s">
        <v>3148</v>
      </c>
      <c r="N1500" s="8" t="s">
        <v>6966</v>
      </c>
      <c r="O1500" s="8">
        <f>4+1/60+10/3600</f>
        <v>4.0194444444444448</v>
      </c>
      <c r="P1500" s="8" t="s">
        <v>3242</v>
      </c>
      <c r="Q1500" s="8">
        <f>+(36+27/60+36/3600)</f>
        <v>36.46</v>
      </c>
      <c r="R1500" s="8">
        <v>99</v>
      </c>
      <c r="S1500" s="8">
        <v>5</v>
      </c>
      <c r="T1500" s="8">
        <v>99</v>
      </c>
      <c r="U1500" s="8">
        <v>99</v>
      </c>
      <c r="V1500" s="8">
        <v>120</v>
      </c>
      <c r="W1500" s="8">
        <v>60</v>
      </c>
      <c r="X1500" s="8">
        <v>120</v>
      </c>
      <c r="Y1500" s="8" t="s">
        <v>6967</v>
      </c>
      <c r="Z1500" s="8" t="s">
        <v>6968</v>
      </c>
    </row>
    <row r="1501" spans="1:26" x14ac:dyDescent="0.2">
      <c r="A1501" s="8">
        <v>1500</v>
      </c>
      <c r="B1501" s="8" t="s">
        <v>6969</v>
      </c>
      <c r="C1501" s="8" t="s">
        <v>6969</v>
      </c>
      <c r="F1501" s="47"/>
      <c r="G1501" s="8">
        <v>16</v>
      </c>
      <c r="H1501" s="8" t="s">
        <v>21</v>
      </c>
      <c r="I1501" s="8" t="s">
        <v>22</v>
      </c>
      <c r="J1501" s="8" t="s">
        <v>22</v>
      </c>
      <c r="K1501" s="8" t="s">
        <v>58</v>
      </c>
      <c r="L1501" s="8" t="s">
        <v>55972</v>
      </c>
      <c r="M1501" s="8" t="s">
        <v>6970</v>
      </c>
      <c r="N1501" s="8" t="s">
        <v>6971</v>
      </c>
      <c r="O1501" s="8">
        <f>3+58/60+14/3600</f>
        <v>3.9705555555555558</v>
      </c>
      <c r="P1501" s="8" t="s">
        <v>6972</v>
      </c>
      <c r="Q1501" s="8">
        <f>-(52+19/60+42/3600)</f>
        <v>-52.328333333333333</v>
      </c>
      <c r="R1501" s="8">
        <v>13.8</v>
      </c>
      <c r="S1501" s="8">
        <v>14.9</v>
      </c>
      <c r="T1501" s="8">
        <v>1.1000000000000001</v>
      </c>
      <c r="U1501" s="8">
        <v>13.8</v>
      </c>
      <c r="V1501" s="8">
        <v>1.1000000000000001</v>
      </c>
      <c r="W1501" s="8">
        <v>0.9</v>
      </c>
      <c r="X1501" s="8">
        <v>101</v>
      </c>
      <c r="Y1501" s="8" t="s">
        <v>6973</v>
      </c>
      <c r="Z1501" s="8" t="s">
        <v>6974</v>
      </c>
    </row>
    <row r="1502" spans="1:26" x14ac:dyDescent="0.2">
      <c r="A1502" s="8">
        <v>1501</v>
      </c>
      <c r="B1502" s="8" t="s">
        <v>6975</v>
      </c>
      <c r="C1502" s="8" t="s">
        <v>6975</v>
      </c>
      <c r="F1502" s="47" t="s">
        <v>56337</v>
      </c>
      <c r="G1502" s="8">
        <v>5</v>
      </c>
      <c r="H1502" s="8" t="s">
        <v>6976</v>
      </c>
      <c r="I1502" s="8" t="s">
        <v>241</v>
      </c>
      <c r="J1502" s="8" t="s">
        <v>241</v>
      </c>
      <c r="K1502" s="8" t="s">
        <v>241</v>
      </c>
      <c r="L1502" s="8" t="s">
        <v>6823</v>
      </c>
      <c r="M1502" s="8" t="s">
        <v>6824</v>
      </c>
      <c r="N1502" s="8" t="s">
        <v>6977</v>
      </c>
      <c r="O1502" s="8">
        <f>4+6/60+59.4/3600</f>
        <v>4.1164999999999994</v>
      </c>
      <c r="P1502" s="8" t="s">
        <v>6978</v>
      </c>
      <c r="Q1502" s="8">
        <f>+(60+55/60+17/3600)</f>
        <v>60.921388888888885</v>
      </c>
      <c r="R1502" s="8">
        <v>11.5</v>
      </c>
      <c r="S1502" s="8">
        <v>13.3</v>
      </c>
      <c r="T1502" s="8">
        <v>99</v>
      </c>
      <c r="U1502" s="8">
        <v>99</v>
      </c>
      <c r="V1502" s="8">
        <v>0.87</v>
      </c>
      <c r="Y1502" s="8" t="s">
        <v>6979</v>
      </c>
      <c r="Z1502" s="8" t="s">
        <v>6980</v>
      </c>
    </row>
    <row r="1503" spans="1:26" x14ac:dyDescent="0.2">
      <c r="A1503" s="8">
        <v>1502</v>
      </c>
      <c r="B1503" s="8" t="s">
        <v>6981</v>
      </c>
      <c r="C1503" s="8" t="s">
        <v>6981</v>
      </c>
      <c r="F1503" s="47" t="s">
        <v>56338</v>
      </c>
      <c r="G1503" s="8">
        <v>5</v>
      </c>
      <c r="H1503" s="8" t="s">
        <v>6982</v>
      </c>
      <c r="I1503" s="8" t="s">
        <v>557</v>
      </c>
      <c r="J1503" s="8" t="s">
        <v>557</v>
      </c>
      <c r="K1503" s="8" t="s">
        <v>1840</v>
      </c>
      <c r="L1503" s="8" t="s">
        <v>6823</v>
      </c>
      <c r="M1503" s="8" t="s">
        <v>6824</v>
      </c>
      <c r="N1503" s="8" t="s">
        <v>6983</v>
      </c>
      <c r="O1503" s="8">
        <f>4+7/60+49.2/3600</f>
        <v>4.1303333333333327</v>
      </c>
      <c r="P1503" s="8" t="s">
        <v>6984</v>
      </c>
      <c r="Q1503" s="8">
        <f>+(62+19/60+54/3600)</f>
        <v>62.331666666666671</v>
      </c>
      <c r="R1503" s="8">
        <v>6.9</v>
      </c>
      <c r="S1503" s="8">
        <v>99</v>
      </c>
      <c r="T1503" s="8">
        <v>99</v>
      </c>
      <c r="U1503" s="8">
        <v>99</v>
      </c>
      <c r="V1503" s="8">
        <v>20</v>
      </c>
      <c r="Y1503" s="8" t="s">
        <v>6985</v>
      </c>
      <c r="Z1503" s="8" t="s">
        <v>6986</v>
      </c>
    </row>
    <row r="1504" spans="1:26" x14ac:dyDescent="0.2">
      <c r="A1504" s="8">
        <v>1503</v>
      </c>
      <c r="B1504" s="8" t="s">
        <v>6987</v>
      </c>
      <c r="C1504" s="8" t="s">
        <v>6987</v>
      </c>
      <c r="F1504" s="47"/>
      <c r="G1504" s="8">
        <v>16</v>
      </c>
      <c r="H1504" s="8" t="s">
        <v>21</v>
      </c>
      <c r="I1504" s="8" t="s">
        <v>22</v>
      </c>
      <c r="J1504" s="8" t="s">
        <v>22</v>
      </c>
      <c r="K1504" s="8" t="s">
        <v>435</v>
      </c>
      <c r="L1504" s="8" t="s">
        <v>6120</v>
      </c>
      <c r="M1504" s="8" t="s">
        <v>6121</v>
      </c>
      <c r="N1504" s="8" t="s">
        <v>6988</v>
      </c>
      <c r="O1504" s="8">
        <f>3+56/60+33.3/3600</f>
        <v>3.9425833333333338</v>
      </c>
      <c r="P1504" s="8" t="s">
        <v>6989</v>
      </c>
      <c r="Q1504" s="8">
        <f>-(66+2/60+26/3600)</f>
        <v>-66.040555555555557</v>
      </c>
      <c r="R1504" s="8">
        <v>13.6</v>
      </c>
      <c r="S1504" s="8">
        <v>14.5</v>
      </c>
      <c r="T1504" s="8">
        <v>0.9</v>
      </c>
      <c r="U1504" s="8">
        <v>13.1</v>
      </c>
      <c r="V1504" s="8">
        <v>0.9</v>
      </c>
      <c r="W1504" s="8">
        <v>0.7</v>
      </c>
      <c r="X1504" s="8">
        <v>140</v>
      </c>
      <c r="Y1504" s="8" t="s">
        <v>6990</v>
      </c>
      <c r="Z1504" s="8" t="s">
        <v>6991</v>
      </c>
    </row>
    <row r="1505" spans="1:26" x14ac:dyDescent="0.2">
      <c r="A1505" s="8">
        <v>1504</v>
      </c>
      <c r="B1505" s="8" t="s">
        <v>6992</v>
      </c>
      <c r="C1505" s="8" t="s">
        <v>6992</v>
      </c>
      <c r="F1505" s="47"/>
      <c r="G1505" s="8">
        <v>19</v>
      </c>
      <c r="H1505" s="8" t="s">
        <v>21</v>
      </c>
      <c r="I1505" s="8" t="s">
        <v>22</v>
      </c>
      <c r="J1505" s="8" t="s">
        <v>22</v>
      </c>
      <c r="K1505" s="8" t="s">
        <v>58</v>
      </c>
      <c r="L1505" s="8" t="s">
        <v>3328</v>
      </c>
      <c r="M1505" s="8" t="s">
        <v>3329</v>
      </c>
      <c r="N1505" s="8" t="s">
        <v>6993</v>
      </c>
      <c r="O1505" s="8">
        <f>4+2/60+29.6/3600</f>
        <v>4.0415555555555551</v>
      </c>
      <c r="P1505" s="8" t="s">
        <v>6994</v>
      </c>
      <c r="Q1505" s="8">
        <f>-(9+20/60+6/3600)</f>
        <v>-9.3350000000000009</v>
      </c>
      <c r="R1505" s="8">
        <v>14.4</v>
      </c>
      <c r="S1505" s="8">
        <v>15.4</v>
      </c>
      <c r="T1505" s="8">
        <v>1</v>
      </c>
      <c r="U1505" s="8">
        <v>13.3</v>
      </c>
      <c r="V1505" s="8">
        <v>0.7</v>
      </c>
      <c r="W1505" s="8">
        <v>0.5</v>
      </c>
      <c r="X1505" s="8">
        <v>20</v>
      </c>
      <c r="Y1505" s="8" t="s">
        <v>3923</v>
      </c>
      <c r="Z1505" s="8" t="s">
        <v>3924</v>
      </c>
    </row>
    <row r="1506" spans="1:26" x14ac:dyDescent="0.2">
      <c r="A1506" s="8">
        <v>1505</v>
      </c>
      <c r="B1506" s="8" t="s">
        <v>6995</v>
      </c>
      <c r="C1506" s="8" t="s">
        <v>6995</v>
      </c>
      <c r="F1506" s="47"/>
      <c r="G1506" s="8">
        <v>19</v>
      </c>
      <c r="H1506" s="8" t="s">
        <v>21</v>
      </c>
      <c r="I1506" s="8" t="s">
        <v>22</v>
      </c>
      <c r="J1506" s="8" t="s">
        <v>22</v>
      </c>
      <c r="K1506" s="8" t="s">
        <v>37</v>
      </c>
      <c r="L1506" s="8" t="s">
        <v>3328</v>
      </c>
      <c r="M1506" s="8" t="s">
        <v>3329</v>
      </c>
      <c r="N1506" s="8" t="s">
        <v>6996</v>
      </c>
      <c r="O1506" s="8">
        <f>4+2/60+36.3/3600</f>
        <v>4.0434166666666664</v>
      </c>
      <c r="P1506" s="8" t="s">
        <v>6997</v>
      </c>
      <c r="Q1506" s="8">
        <f>-(9+19/60+19/3600)</f>
        <v>-9.3219444444444441</v>
      </c>
      <c r="R1506" s="8">
        <v>13.7</v>
      </c>
      <c r="S1506" s="8">
        <v>14.7</v>
      </c>
      <c r="T1506" s="8">
        <v>1</v>
      </c>
      <c r="U1506" s="8">
        <v>13.1</v>
      </c>
      <c r="V1506" s="8">
        <v>0.9</v>
      </c>
      <c r="W1506" s="8">
        <v>0.7</v>
      </c>
      <c r="X1506" s="8">
        <v>80</v>
      </c>
      <c r="Y1506" s="8" t="s">
        <v>3923</v>
      </c>
      <c r="Z1506" s="8" t="s">
        <v>3924</v>
      </c>
    </row>
    <row r="1507" spans="1:26" x14ac:dyDescent="0.2">
      <c r="A1507" s="8">
        <v>1506</v>
      </c>
      <c r="B1507" s="8" t="s">
        <v>6998</v>
      </c>
      <c r="C1507" s="8" t="s">
        <v>6998</v>
      </c>
      <c r="F1507" s="47"/>
      <c r="G1507" s="8">
        <v>16</v>
      </c>
      <c r="H1507" s="8" t="s">
        <v>21</v>
      </c>
      <c r="I1507" s="8" t="s">
        <v>22</v>
      </c>
      <c r="J1507" s="8" t="s">
        <v>22</v>
      </c>
      <c r="K1507" s="8" t="s">
        <v>58</v>
      </c>
      <c r="L1507" s="8" t="s">
        <v>55972</v>
      </c>
      <c r="M1507" s="8" t="s">
        <v>6970</v>
      </c>
      <c r="N1507" s="8" t="s">
        <v>6999</v>
      </c>
      <c r="O1507" s="8">
        <f>4+0/60+21.6/3600</f>
        <v>4.0060000000000002</v>
      </c>
      <c r="P1507" s="8" t="s">
        <v>7000</v>
      </c>
      <c r="Q1507" s="8">
        <f>-(52+34/60+24/3600)</f>
        <v>-52.573333333333338</v>
      </c>
      <c r="R1507" s="8">
        <v>13.4</v>
      </c>
      <c r="S1507" s="8">
        <v>14.4</v>
      </c>
      <c r="T1507" s="8">
        <v>1</v>
      </c>
      <c r="U1507" s="8">
        <v>13.6</v>
      </c>
      <c r="V1507" s="8">
        <v>1.2</v>
      </c>
      <c r="W1507" s="8">
        <v>0.9</v>
      </c>
      <c r="X1507" s="8">
        <v>80</v>
      </c>
      <c r="Y1507" s="8" t="s">
        <v>7001</v>
      </c>
      <c r="Z1507" s="8" t="s">
        <v>7002</v>
      </c>
    </row>
    <row r="1508" spans="1:26" x14ac:dyDescent="0.2">
      <c r="A1508" s="8">
        <v>1507</v>
      </c>
      <c r="B1508" s="8" t="s">
        <v>7003</v>
      </c>
      <c r="C1508" s="8" t="s">
        <v>7003</v>
      </c>
      <c r="F1508" s="47" t="s">
        <v>56339</v>
      </c>
      <c r="G1508" s="8">
        <v>6.5</v>
      </c>
      <c r="H1508" s="8" t="s">
        <v>21</v>
      </c>
      <c r="I1508" s="8" t="s">
        <v>22</v>
      </c>
      <c r="J1508" s="8" t="s">
        <v>22</v>
      </c>
      <c r="K1508" s="8" t="s">
        <v>323</v>
      </c>
      <c r="L1508" s="8" t="s">
        <v>3328</v>
      </c>
      <c r="M1508" s="8" t="s">
        <v>3329</v>
      </c>
      <c r="N1508" s="8" t="s">
        <v>7004</v>
      </c>
      <c r="O1508" s="8">
        <f>4+4/60+27.2/3600</f>
        <v>4.0742222222222217</v>
      </c>
      <c r="P1508" s="8" t="s">
        <v>7005</v>
      </c>
      <c r="Q1508" s="8">
        <f>-(2+11/60+19/3600)</f>
        <v>-2.1886111111111108</v>
      </c>
      <c r="R1508" s="8">
        <v>12.3</v>
      </c>
      <c r="S1508" s="8">
        <v>12.9</v>
      </c>
      <c r="T1508" s="8">
        <v>0.6</v>
      </c>
      <c r="U1508" s="8">
        <v>13.4</v>
      </c>
      <c r="V1508" s="8">
        <v>3.6</v>
      </c>
      <c r="W1508" s="8">
        <v>1</v>
      </c>
      <c r="X1508" s="8">
        <v>11</v>
      </c>
      <c r="Y1508" s="8" t="s">
        <v>7006</v>
      </c>
      <c r="Z1508" s="8" t="s">
        <v>7007</v>
      </c>
    </row>
    <row r="1509" spans="1:26" x14ac:dyDescent="0.2">
      <c r="A1509" s="8">
        <v>1508</v>
      </c>
      <c r="B1509" s="8" t="s">
        <v>7008</v>
      </c>
      <c r="C1509" s="8" t="s">
        <v>7008</v>
      </c>
      <c r="F1509" s="47"/>
      <c r="G1509" s="8">
        <v>18</v>
      </c>
      <c r="H1509" s="8" t="s">
        <v>21</v>
      </c>
      <c r="I1509" s="8" t="s">
        <v>22</v>
      </c>
      <c r="J1509" s="8" t="s">
        <v>22</v>
      </c>
      <c r="K1509" s="8" t="s">
        <v>160</v>
      </c>
      <c r="L1509" s="8" t="s">
        <v>6115</v>
      </c>
      <c r="M1509" s="8" t="s">
        <v>6116</v>
      </c>
      <c r="N1509" s="8" t="s">
        <v>7009</v>
      </c>
      <c r="O1509" s="8">
        <f>4+5/60+47.6/3600</f>
        <v>4.0965555555555548</v>
      </c>
      <c r="P1509" s="8" t="s">
        <v>7010</v>
      </c>
      <c r="Q1509" s="8">
        <f>+(25+24/60+33/3600)</f>
        <v>25.409166666666664</v>
      </c>
      <c r="R1509" s="8">
        <v>14.5</v>
      </c>
      <c r="S1509" s="8">
        <v>15.2</v>
      </c>
      <c r="T1509" s="8">
        <v>0.7</v>
      </c>
      <c r="U1509" s="8">
        <v>13.4</v>
      </c>
      <c r="V1509" s="8">
        <v>0.7</v>
      </c>
      <c r="W1509" s="8">
        <v>0.6</v>
      </c>
      <c r="X1509" s="8">
        <v>24</v>
      </c>
      <c r="Y1509" s="8" t="s">
        <v>7011</v>
      </c>
      <c r="Z1509" s="8" t="s">
        <v>7012</v>
      </c>
    </row>
    <row r="1510" spans="1:26" x14ac:dyDescent="0.2">
      <c r="A1510" s="8">
        <v>1509</v>
      </c>
      <c r="B1510" s="8" t="s">
        <v>7013</v>
      </c>
      <c r="C1510" s="8" t="s">
        <v>7013</v>
      </c>
      <c r="F1510" s="47"/>
      <c r="G1510" s="8">
        <v>19</v>
      </c>
      <c r="H1510" s="8" t="s">
        <v>21</v>
      </c>
      <c r="I1510" s="8" t="s">
        <v>22</v>
      </c>
      <c r="J1510" s="8" t="s">
        <v>22</v>
      </c>
      <c r="K1510" s="8" t="s">
        <v>91</v>
      </c>
      <c r="L1510" s="8" t="s">
        <v>3328</v>
      </c>
      <c r="M1510" s="8" t="s">
        <v>3329</v>
      </c>
      <c r="N1510" s="8" t="s">
        <v>7014</v>
      </c>
      <c r="O1510" s="8">
        <f>4+3/60+55.1/3600</f>
        <v>4.0653055555555557</v>
      </c>
      <c r="P1510" s="8" t="s">
        <v>7015</v>
      </c>
      <c r="Q1510" s="8">
        <f>-(11+10/60+43/3600)</f>
        <v>-11.17861111111111</v>
      </c>
      <c r="R1510" s="8">
        <v>13.7</v>
      </c>
      <c r="S1510" s="8">
        <v>14.6</v>
      </c>
      <c r="T1510" s="8">
        <v>0.9</v>
      </c>
      <c r="U1510" s="8">
        <v>13</v>
      </c>
      <c r="V1510" s="8">
        <v>0.9</v>
      </c>
      <c r="W1510" s="8">
        <v>0.7</v>
      </c>
      <c r="X1510" s="8">
        <v>50</v>
      </c>
      <c r="Y1510" s="8" t="s">
        <v>7016</v>
      </c>
      <c r="Z1510" s="8" t="s">
        <v>7017</v>
      </c>
    </row>
    <row r="1511" spans="1:26" x14ac:dyDescent="0.2">
      <c r="A1511" s="8">
        <v>1510</v>
      </c>
      <c r="B1511" s="8" t="s">
        <v>7018</v>
      </c>
      <c r="C1511" s="8" t="s">
        <v>7018</v>
      </c>
      <c r="F1511" s="47"/>
      <c r="G1511" s="8">
        <v>16</v>
      </c>
      <c r="H1511" s="8" t="s">
        <v>21</v>
      </c>
      <c r="I1511" s="8" t="s">
        <v>22</v>
      </c>
      <c r="J1511" s="8" t="s">
        <v>22</v>
      </c>
      <c r="K1511" s="8" t="s">
        <v>37</v>
      </c>
      <c r="L1511" s="8" t="s">
        <v>4263</v>
      </c>
      <c r="M1511" s="8" t="s">
        <v>4264</v>
      </c>
      <c r="N1511" s="8" t="s">
        <v>7019</v>
      </c>
      <c r="O1511" s="8">
        <f>4+3/60+32.5/3600</f>
        <v>4.0590277777777777</v>
      </c>
      <c r="P1511" s="8" t="s">
        <v>7020</v>
      </c>
      <c r="Q1511" s="8">
        <f>-(43+23/60+59/3600)</f>
        <v>-43.399722222222223</v>
      </c>
      <c r="R1511" s="8">
        <v>13</v>
      </c>
      <c r="S1511" s="8">
        <v>13.5</v>
      </c>
      <c r="T1511" s="8">
        <v>0.5</v>
      </c>
      <c r="U1511" s="8">
        <v>12.8</v>
      </c>
      <c r="V1511" s="8">
        <v>3.2</v>
      </c>
      <c r="W1511" s="8">
        <v>1.8</v>
      </c>
      <c r="X1511" s="8">
        <v>90</v>
      </c>
      <c r="Y1511" s="8" t="s">
        <v>7021</v>
      </c>
      <c r="Z1511" s="8" t="s">
        <v>7022</v>
      </c>
    </row>
    <row r="1512" spans="1:26" x14ac:dyDescent="0.2">
      <c r="A1512" s="8">
        <v>1511</v>
      </c>
      <c r="B1512" s="8" t="s">
        <v>7023</v>
      </c>
      <c r="C1512" s="8" t="s">
        <v>7023</v>
      </c>
      <c r="F1512" s="47"/>
      <c r="G1512" s="8">
        <v>13</v>
      </c>
      <c r="H1512" s="8" t="s">
        <v>21</v>
      </c>
      <c r="I1512" s="8" t="s">
        <v>22</v>
      </c>
      <c r="J1512" s="8" t="s">
        <v>22</v>
      </c>
      <c r="K1512" s="8" t="s">
        <v>91</v>
      </c>
      <c r="L1512" s="8" t="s">
        <v>2916</v>
      </c>
      <c r="M1512" s="8" t="s">
        <v>2917</v>
      </c>
      <c r="N1512" s="8" t="s">
        <v>7024</v>
      </c>
      <c r="O1512" s="8">
        <f>3+59/60+36.8/3600</f>
        <v>3.9935555555555555</v>
      </c>
      <c r="P1512" s="8" t="s">
        <v>7025</v>
      </c>
      <c r="Q1512" s="8">
        <f>-(67+38/60+5/3600)</f>
        <v>-67.634722222222223</v>
      </c>
      <c r="R1512" s="8">
        <v>11.3</v>
      </c>
      <c r="S1512" s="8">
        <v>11.9</v>
      </c>
      <c r="T1512" s="8">
        <v>0.6</v>
      </c>
      <c r="U1512" s="8">
        <v>12.7</v>
      </c>
      <c r="V1512" s="8">
        <v>3.5</v>
      </c>
      <c r="W1512" s="8">
        <v>1.3</v>
      </c>
      <c r="X1512" s="8">
        <v>125</v>
      </c>
      <c r="Y1512" s="8" t="s">
        <v>7026</v>
      </c>
      <c r="Z1512" s="8" t="s">
        <v>7027</v>
      </c>
    </row>
    <row r="1513" spans="1:26" x14ac:dyDescent="0.2">
      <c r="A1513" s="8">
        <v>1512</v>
      </c>
      <c r="B1513" s="8" t="s">
        <v>7028</v>
      </c>
      <c r="C1513" s="8" t="s">
        <v>7028</v>
      </c>
      <c r="F1513" s="47"/>
      <c r="G1513" s="8">
        <v>3</v>
      </c>
      <c r="H1513" s="8" t="s">
        <v>21</v>
      </c>
      <c r="I1513" s="8" t="s">
        <v>22</v>
      </c>
      <c r="J1513" s="8" t="s">
        <v>22</v>
      </c>
      <c r="K1513" s="8" t="s">
        <v>154</v>
      </c>
      <c r="L1513" s="8" t="s">
        <v>4263</v>
      </c>
      <c r="M1513" s="8" t="s">
        <v>4264</v>
      </c>
      <c r="N1513" s="8" t="s">
        <v>7029</v>
      </c>
      <c r="O1513" s="8">
        <f>4+3/60+54/3600</f>
        <v>4.0649999999999995</v>
      </c>
      <c r="P1513" s="8" t="s">
        <v>7030</v>
      </c>
      <c r="Q1513" s="8">
        <f>-(43+20/60+56/3600)</f>
        <v>-43.348888888888894</v>
      </c>
      <c r="R1513" s="8">
        <v>10.3</v>
      </c>
      <c r="S1513" s="8">
        <v>11.1</v>
      </c>
      <c r="T1513" s="8">
        <v>0.8</v>
      </c>
      <c r="U1513" s="8">
        <v>14.4</v>
      </c>
      <c r="V1513" s="8">
        <v>8.9</v>
      </c>
      <c r="W1513" s="8">
        <v>5.6</v>
      </c>
      <c r="X1513" s="8">
        <v>90</v>
      </c>
      <c r="Y1513" s="8" t="s">
        <v>7031</v>
      </c>
      <c r="Z1513" s="8" t="s">
        <v>7032</v>
      </c>
    </row>
    <row r="1514" spans="1:26" x14ac:dyDescent="0.2">
      <c r="A1514" s="8">
        <v>1513</v>
      </c>
      <c r="B1514" s="8" t="s">
        <v>7033</v>
      </c>
      <c r="C1514" s="8" t="s">
        <v>7033</v>
      </c>
      <c r="F1514" s="47" t="s">
        <v>56340</v>
      </c>
      <c r="G1514" s="8">
        <v>6</v>
      </c>
      <c r="H1514" s="8" t="s">
        <v>21</v>
      </c>
      <c r="I1514" s="8" t="s">
        <v>557</v>
      </c>
      <c r="J1514" s="8" t="s">
        <v>557</v>
      </c>
      <c r="K1514" s="8" t="s">
        <v>7034</v>
      </c>
      <c r="L1514" s="8" t="s">
        <v>3147</v>
      </c>
      <c r="M1514" s="8" t="s">
        <v>3148</v>
      </c>
      <c r="N1514" s="8" t="s">
        <v>7035</v>
      </c>
      <c r="O1514" s="8">
        <f>4+9/60+57/3600</f>
        <v>4.1658333333333335</v>
      </c>
      <c r="P1514" s="8" t="s">
        <v>7036</v>
      </c>
      <c r="Q1514" s="8">
        <f>+(49+30/60+54/3600)</f>
        <v>49.515000000000001</v>
      </c>
      <c r="R1514" s="8">
        <v>8.4</v>
      </c>
      <c r="S1514" s="8">
        <v>99</v>
      </c>
      <c r="T1514" s="8">
        <v>99</v>
      </c>
      <c r="U1514" s="8">
        <v>99</v>
      </c>
      <c r="V1514" s="8">
        <v>12</v>
      </c>
      <c r="Y1514" s="8" t="s">
        <v>7037</v>
      </c>
      <c r="Z1514" s="8" t="s">
        <v>7038</v>
      </c>
    </row>
    <row r="1515" spans="1:26" x14ac:dyDescent="0.2">
      <c r="A1515" s="8">
        <v>1514</v>
      </c>
      <c r="B1515" s="8" t="s">
        <v>7039</v>
      </c>
      <c r="C1515" s="8" t="s">
        <v>7039</v>
      </c>
      <c r="F1515" s="47" t="s">
        <v>56341</v>
      </c>
      <c r="G1515" s="8">
        <v>5</v>
      </c>
      <c r="H1515" s="8" t="s">
        <v>7040</v>
      </c>
      <c r="I1515" s="8" t="s">
        <v>241</v>
      </c>
      <c r="J1515" s="8" t="s">
        <v>241</v>
      </c>
      <c r="K1515" s="8" t="s">
        <v>241</v>
      </c>
      <c r="L1515" s="8" t="s">
        <v>6115</v>
      </c>
      <c r="M1515" s="8" t="s">
        <v>6116</v>
      </c>
      <c r="N1515" s="8" t="s">
        <v>7041</v>
      </c>
      <c r="O1515" s="8">
        <f>4+9/60+17/3600</f>
        <v>4.1547222222222224</v>
      </c>
      <c r="P1515" s="8" t="s">
        <v>7042</v>
      </c>
      <c r="Q1515" s="8">
        <f>+(30+46/60+35/3600)</f>
        <v>30.776388888888889</v>
      </c>
      <c r="R1515" s="8">
        <v>10.9</v>
      </c>
      <c r="S1515" s="8">
        <v>10</v>
      </c>
      <c r="T1515" s="8">
        <v>99</v>
      </c>
      <c r="U1515" s="8">
        <v>99</v>
      </c>
      <c r="V1515" s="8">
        <v>2.2000000000000002</v>
      </c>
      <c r="Y1515" s="8" t="s">
        <v>7043</v>
      </c>
      <c r="Z1515" s="8" t="s">
        <v>7044</v>
      </c>
    </row>
    <row r="1516" spans="1:26" x14ac:dyDescent="0.2">
      <c r="A1516" s="8">
        <v>1515</v>
      </c>
      <c r="B1516" s="8" t="s">
        <v>7045</v>
      </c>
      <c r="C1516" s="8" t="s">
        <v>7045</v>
      </c>
      <c r="F1516" s="47"/>
      <c r="G1516" s="8">
        <v>10</v>
      </c>
      <c r="H1516" s="8" t="s">
        <v>21</v>
      </c>
      <c r="I1516" s="8" t="s">
        <v>22</v>
      </c>
      <c r="J1516" s="8" t="s">
        <v>22</v>
      </c>
      <c r="K1516" s="8" t="s">
        <v>85</v>
      </c>
      <c r="L1516" s="8" t="s">
        <v>55972</v>
      </c>
      <c r="M1516" s="8" t="s">
        <v>6970</v>
      </c>
      <c r="N1516" s="8" t="s">
        <v>7046</v>
      </c>
      <c r="O1516" s="8">
        <f>4+4/60+2.1/3600</f>
        <v>4.0672499999999996</v>
      </c>
      <c r="P1516" s="8" t="s">
        <v>7047</v>
      </c>
      <c r="Q1516" s="8">
        <f>-(54+6/60+0/3600)</f>
        <v>-54.1</v>
      </c>
      <c r="R1516" s="8">
        <v>11.2</v>
      </c>
      <c r="S1516" s="8">
        <v>12.1</v>
      </c>
      <c r="T1516" s="8">
        <v>0.9</v>
      </c>
      <c r="U1516" s="8">
        <v>13</v>
      </c>
      <c r="V1516" s="8">
        <v>5.4</v>
      </c>
      <c r="W1516" s="8">
        <v>1.3</v>
      </c>
      <c r="X1516" s="8">
        <v>17</v>
      </c>
      <c r="Y1516" s="8" t="s">
        <v>7048</v>
      </c>
      <c r="Z1516" s="8" t="s">
        <v>7049</v>
      </c>
    </row>
    <row r="1517" spans="1:26" x14ac:dyDescent="0.2">
      <c r="A1517" s="8">
        <v>1516</v>
      </c>
      <c r="B1517" s="8" t="s">
        <v>7050</v>
      </c>
      <c r="C1517" s="8" t="s">
        <v>7050</v>
      </c>
      <c r="D1517" s="8" t="s">
        <v>351</v>
      </c>
      <c r="F1517" s="47" t="s">
        <v>56342</v>
      </c>
      <c r="G1517" s="8">
        <v>15</v>
      </c>
      <c r="H1517" s="8" t="s">
        <v>21</v>
      </c>
      <c r="I1517" s="8" t="s">
        <v>22</v>
      </c>
      <c r="J1517" s="8" t="s">
        <v>22</v>
      </c>
      <c r="K1517" s="8" t="s">
        <v>85</v>
      </c>
      <c r="L1517" s="8" t="s">
        <v>3328</v>
      </c>
      <c r="M1517" s="8" t="s">
        <v>3329</v>
      </c>
      <c r="N1517" s="8" t="s">
        <v>7051</v>
      </c>
      <c r="O1517" s="8">
        <f>4+8/60+7.5/3600</f>
        <v>4.135416666666667</v>
      </c>
      <c r="P1517" s="8" t="s">
        <v>7052</v>
      </c>
      <c r="Q1517" s="8">
        <f>-(8+49/60+46/3600)</f>
        <v>-8.8294444444444444</v>
      </c>
      <c r="R1517" s="8">
        <v>14.6</v>
      </c>
      <c r="S1517" s="8">
        <v>15</v>
      </c>
      <c r="T1517" s="8">
        <v>0.4</v>
      </c>
      <c r="U1517" s="8">
        <v>12.9</v>
      </c>
      <c r="V1517" s="8">
        <v>1.4</v>
      </c>
      <c r="W1517" s="8">
        <v>0.9</v>
      </c>
      <c r="X1517" s="8">
        <v>55</v>
      </c>
      <c r="Y1517" s="8" t="s">
        <v>7053</v>
      </c>
      <c r="Z1517" s="8" t="s">
        <v>7054</v>
      </c>
    </row>
    <row r="1518" spans="1:26" x14ac:dyDescent="0.2">
      <c r="A1518" s="8">
        <v>1517</v>
      </c>
      <c r="B1518" s="8" t="s">
        <v>7055</v>
      </c>
      <c r="C1518" s="8" t="s">
        <v>7055</v>
      </c>
      <c r="F1518" s="47"/>
      <c r="G1518" s="8">
        <v>19</v>
      </c>
      <c r="H1518" s="8" t="s">
        <v>21</v>
      </c>
      <c r="I1518" s="8" t="s">
        <v>22</v>
      </c>
      <c r="J1518" s="8" t="s">
        <v>22</v>
      </c>
      <c r="K1518" s="8" t="s">
        <v>160</v>
      </c>
      <c r="L1518" s="8" t="s">
        <v>6115</v>
      </c>
      <c r="M1518" s="8" t="s">
        <v>6116</v>
      </c>
      <c r="N1518" s="8" t="s">
        <v>7056</v>
      </c>
      <c r="O1518" s="8">
        <f>4+9/60+11.9/3600</f>
        <v>4.1533055555555558</v>
      </c>
      <c r="P1518" s="8" t="s">
        <v>7057</v>
      </c>
      <c r="Q1518" s="8">
        <f>+(8+38/60+56/3600)</f>
        <v>8.6488888888888891</v>
      </c>
      <c r="R1518" s="8">
        <v>13.4</v>
      </c>
      <c r="S1518" s="8">
        <v>14.1</v>
      </c>
      <c r="T1518" s="8">
        <v>0.7</v>
      </c>
      <c r="U1518" s="8">
        <v>13.1</v>
      </c>
      <c r="V1518" s="8">
        <v>1.1000000000000001</v>
      </c>
      <c r="W1518" s="8">
        <v>1</v>
      </c>
      <c r="X1518" s="8">
        <v>0</v>
      </c>
      <c r="Y1518" s="8" t="s">
        <v>7058</v>
      </c>
      <c r="Z1518" s="8" t="s">
        <v>7059</v>
      </c>
    </row>
    <row r="1519" spans="1:26" x14ac:dyDescent="0.2">
      <c r="A1519" s="8">
        <v>1518</v>
      </c>
      <c r="B1519" s="8" t="s">
        <v>7060</v>
      </c>
      <c r="C1519" s="8" t="s">
        <v>7060</v>
      </c>
      <c r="F1519" s="47"/>
      <c r="G1519" s="8">
        <v>13</v>
      </c>
      <c r="H1519" s="8" t="s">
        <v>21</v>
      </c>
      <c r="I1519" s="8" t="s">
        <v>22</v>
      </c>
      <c r="J1519" s="8" t="s">
        <v>22</v>
      </c>
      <c r="K1519" s="8" t="s">
        <v>269</v>
      </c>
      <c r="L1519" s="8" t="s">
        <v>3328</v>
      </c>
      <c r="M1519" s="8" t="s">
        <v>3329</v>
      </c>
      <c r="N1519" s="8" t="s">
        <v>7061</v>
      </c>
      <c r="O1519" s="8">
        <f>4+6/60+49/3600</f>
        <v>4.1136111111111111</v>
      </c>
      <c r="P1519" s="8" t="s">
        <v>7062</v>
      </c>
      <c r="Q1519" s="8">
        <f>-(21+10/60+46/3600)</f>
        <v>-21.179444444444446</v>
      </c>
      <c r="R1519" s="8">
        <v>11.8</v>
      </c>
      <c r="S1519" s="8">
        <v>12.3</v>
      </c>
      <c r="T1519" s="8">
        <v>0.5</v>
      </c>
      <c r="U1519" s="8">
        <v>13.2</v>
      </c>
      <c r="V1519" s="8">
        <v>2.9</v>
      </c>
      <c r="W1519" s="8">
        <v>1.4</v>
      </c>
      <c r="X1519" s="8">
        <v>35</v>
      </c>
      <c r="Y1519" s="8" t="s">
        <v>7063</v>
      </c>
      <c r="Z1519" s="8" t="s">
        <v>7064</v>
      </c>
    </row>
    <row r="1520" spans="1:26" x14ac:dyDescent="0.2">
      <c r="A1520" s="8">
        <v>1519</v>
      </c>
      <c r="B1520" s="8" t="s">
        <v>7065</v>
      </c>
      <c r="C1520" s="8" t="s">
        <v>7065</v>
      </c>
      <c r="F1520" s="47"/>
      <c r="G1520" s="8">
        <v>19</v>
      </c>
      <c r="H1520" s="8" t="s">
        <v>21</v>
      </c>
      <c r="I1520" s="8" t="s">
        <v>22</v>
      </c>
      <c r="J1520" s="8" t="s">
        <v>22</v>
      </c>
      <c r="K1520" s="8" t="s">
        <v>218</v>
      </c>
      <c r="L1520" s="8" t="s">
        <v>3328</v>
      </c>
      <c r="M1520" s="8" t="s">
        <v>3329</v>
      </c>
      <c r="N1520" s="8" t="s">
        <v>7066</v>
      </c>
      <c r="O1520" s="8">
        <f>4+8/60+7.2/3600</f>
        <v>4.1353333333333335</v>
      </c>
      <c r="P1520" s="8" t="s">
        <v>7067</v>
      </c>
      <c r="Q1520" s="8">
        <f>-(17+11/60+34/3600)</f>
        <v>-17.192777777777778</v>
      </c>
      <c r="R1520" s="8">
        <v>12.9</v>
      </c>
      <c r="S1520" s="8">
        <v>13.6</v>
      </c>
      <c r="T1520" s="8">
        <v>0.7</v>
      </c>
      <c r="U1520" s="8">
        <v>13</v>
      </c>
      <c r="V1520" s="8">
        <v>2.1</v>
      </c>
      <c r="W1520" s="8">
        <v>0.6</v>
      </c>
      <c r="X1520" s="8">
        <v>108</v>
      </c>
      <c r="Y1520" s="8" t="s">
        <v>7068</v>
      </c>
      <c r="Z1520" s="8" t="s">
        <v>7069</v>
      </c>
    </row>
    <row r="1521" spans="1:26" x14ac:dyDescent="0.2">
      <c r="A1521" s="8">
        <v>1520</v>
      </c>
      <c r="B1521" s="8" t="s">
        <v>7070</v>
      </c>
      <c r="C1521" s="8" t="s">
        <v>7070</v>
      </c>
      <c r="F1521" s="47"/>
      <c r="G1521" s="8">
        <v>16</v>
      </c>
      <c r="H1521" s="8" t="s">
        <v>21</v>
      </c>
      <c r="I1521" s="8" t="s">
        <v>72</v>
      </c>
      <c r="J1521" s="8" t="s">
        <v>72</v>
      </c>
      <c r="K1521" s="8" t="s">
        <v>1405</v>
      </c>
      <c r="L1521" s="8" t="s">
        <v>7071</v>
      </c>
      <c r="M1521" s="8" t="s">
        <v>7072</v>
      </c>
      <c r="N1521" s="8" t="s">
        <v>7073</v>
      </c>
      <c r="O1521" s="8">
        <f>3+57/60+51.1/3600</f>
        <v>3.9641944444444448</v>
      </c>
      <c r="P1521" s="8" t="s">
        <v>7074</v>
      </c>
      <c r="Q1521" s="8">
        <f>-(76+48/60+20/3600)</f>
        <v>-76.805555555555557</v>
      </c>
      <c r="R1521" s="8">
        <v>99</v>
      </c>
      <c r="S1521" s="8">
        <v>99</v>
      </c>
      <c r="T1521" s="8">
        <v>99</v>
      </c>
      <c r="U1521" s="8">
        <v>99</v>
      </c>
      <c r="V1521" s="8">
        <v>5</v>
      </c>
      <c r="Y1521" s="8" t="s">
        <v>7075</v>
      </c>
      <c r="Z1521" s="8" t="s">
        <v>7076</v>
      </c>
    </row>
    <row r="1522" spans="1:26" x14ac:dyDescent="0.2">
      <c r="A1522" s="8">
        <v>1521</v>
      </c>
      <c r="B1522" s="8" t="s">
        <v>7077</v>
      </c>
      <c r="C1522" s="8" t="s">
        <v>7077</v>
      </c>
      <c r="F1522" s="47"/>
      <c r="G1522" s="8">
        <v>13</v>
      </c>
      <c r="H1522" s="8" t="s">
        <v>21</v>
      </c>
      <c r="I1522" s="8" t="s">
        <v>22</v>
      </c>
      <c r="J1522" s="8" t="s">
        <v>22</v>
      </c>
      <c r="K1522" s="8" t="s">
        <v>50</v>
      </c>
      <c r="L1522" s="8" t="s">
        <v>3328</v>
      </c>
      <c r="M1522" s="8" t="s">
        <v>3329</v>
      </c>
      <c r="N1522" s="8" t="s">
        <v>7078</v>
      </c>
      <c r="O1522" s="8">
        <f>4+8/60+18.7/3600</f>
        <v>4.138527777777778</v>
      </c>
      <c r="P1522" s="8" t="s">
        <v>7079</v>
      </c>
      <c r="Q1522" s="8">
        <f>-(21+3/60+6/3600)</f>
        <v>-21.051666666666666</v>
      </c>
      <c r="R1522" s="8">
        <v>11.4</v>
      </c>
      <c r="S1522" s="8">
        <v>12.4</v>
      </c>
      <c r="T1522" s="8">
        <v>1</v>
      </c>
      <c r="U1522" s="8">
        <v>13.1</v>
      </c>
      <c r="V1522" s="8">
        <v>2.7</v>
      </c>
      <c r="W1522" s="8">
        <v>1.6</v>
      </c>
      <c r="X1522" s="8">
        <v>10</v>
      </c>
      <c r="Y1522" s="8" t="s">
        <v>3569</v>
      </c>
      <c r="Z1522" s="8" t="s">
        <v>3570</v>
      </c>
    </row>
    <row r="1523" spans="1:26" x14ac:dyDescent="0.2">
      <c r="A1523" s="8">
        <v>1522</v>
      </c>
      <c r="B1523" s="8" t="s">
        <v>7080</v>
      </c>
      <c r="C1523" s="8" t="s">
        <v>7080</v>
      </c>
      <c r="F1523" s="47"/>
      <c r="G1523" s="8">
        <v>16</v>
      </c>
      <c r="H1523" s="8" t="s">
        <v>21</v>
      </c>
      <c r="I1523" s="8" t="s">
        <v>22</v>
      </c>
      <c r="J1523" s="8" t="s">
        <v>22</v>
      </c>
      <c r="K1523" s="8" t="s">
        <v>643</v>
      </c>
      <c r="L1523" s="8" t="s">
        <v>55972</v>
      </c>
      <c r="M1523" s="8" t="s">
        <v>6970</v>
      </c>
      <c r="N1523" s="8" t="s">
        <v>7081</v>
      </c>
      <c r="O1523" s="8">
        <f>4+6/60+7.6/3600</f>
        <v>4.1021111111111104</v>
      </c>
      <c r="P1523" s="8" t="s">
        <v>7082</v>
      </c>
      <c r="Q1523" s="8">
        <f>-(52+40/60+10/3600)</f>
        <v>-52.669444444444444</v>
      </c>
      <c r="R1523" s="8">
        <v>13.6</v>
      </c>
      <c r="S1523" s="8">
        <v>13.9</v>
      </c>
      <c r="T1523" s="8">
        <v>0.3</v>
      </c>
      <c r="U1523" s="8">
        <v>13.4</v>
      </c>
      <c r="V1523" s="8">
        <v>1.2</v>
      </c>
      <c r="W1523" s="8">
        <v>0.8</v>
      </c>
      <c r="X1523" s="8">
        <v>42</v>
      </c>
      <c r="Y1523" s="8" t="s">
        <v>7083</v>
      </c>
      <c r="Z1523" s="8" t="s">
        <v>7084</v>
      </c>
    </row>
    <row r="1524" spans="1:26" x14ac:dyDescent="0.2">
      <c r="A1524" s="8">
        <v>1523</v>
      </c>
      <c r="B1524" s="8" t="s">
        <v>7085</v>
      </c>
      <c r="C1524" s="8" t="s">
        <v>7085</v>
      </c>
      <c r="F1524" s="47"/>
      <c r="G1524" s="8">
        <v>16</v>
      </c>
      <c r="H1524" s="8" t="s">
        <v>21</v>
      </c>
      <c r="I1524" s="8" t="s">
        <v>72</v>
      </c>
      <c r="J1524" s="8" t="s">
        <v>72</v>
      </c>
      <c r="K1524" s="8" t="s">
        <v>5802</v>
      </c>
      <c r="L1524" s="8" t="s">
        <v>55972</v>
      </c>
      <c r="M1524" s="8" t="s">
        <v>6970</v>
      </c>
      <c r="N1524" s="8" t="s">
        <v>7086</v>
      </c>
      <c r="O1524" s="8">
        <f>4+6/60+11/3600</f>
        <v>4.1030555555555548</v>
      </c>
      <c r="P1524" s="8" t="s">
        <v>7087</v>
      </c>
      <c r="Q1524" s="8">
        <f>-(54+5/60+16/3600)</f>
        <v>-54.087777777777781</v>
      </c>
      <c r="R1524" s="8">
        <v>99</v>
      </c>
      <c r="S1524" s="8">
        <v>99</v>
      </c>
      <c r="T1524" s="8">
        <v>99</v>
      </c>
      <c r="U1524" s="8">
        <v>99</v>
      </c>
      <c r="Y1524" s="8" t="s">
        <v>1250</v>
      </c>
      <c r="Z1524" s="8" t="s">
        <v>1251</v>
      </c>
    </row>
    <row r="1525" spans="1:26" x14ac:dyDescent="0.2">
      <c r="A1525" s="8">
        <v>1524</v>
      </c>
      <c r="B1525" s="8" t="s">
        <v>7088</v>
      </c>
      <c r="C1525" s="8" t="s">
        <v>7088</v>
      </c>
      <c r="F1525" s="47"/>
      <c r="G1525" s="8">
        <v>19</v>
      </c>
      <c r="H1525" s="8" t="s">
        <v>21</v>
      </c>
      <c r="I1525" s="8" t="s">
        <v>22</v>
      </c>
      <c r="J1525" s="8" t="s">
        <v>57</v>
      </c>
      <c r="K1525" s="8" t="s">
        <v>85</v>
      </c>
      <c r="L1525" s="8" t="s">
        <v>3328</v>
      </c>
      <c r="M1525" s="8" t="s">
        <v>3329</v>
      </c>
      <c r="N1525" s="8" t="s">
        <v>7051</v>
      </c>
      <c r="O1525" s="8">
        <f>4+8/60+7.5/3600</f>
        <v>4.135416666666667</v>
      </c>
      <c r="P1525" s="8" t="s">
        <v>7052</v>
      </c>
      <c r="Q1525" s="8">
        <f>-(8+49/60+46/3600)</f>
        <v>-8.8294444444444444</v>
      </c>
      <c r="R1525" s="8">
        <v>14.6</v>
      </c>
      <c r="S1525" s="8">
        <v>15</v>
      </c>
      <c r="T1525" s="8">
        <v>0.4</v>
      </c>
      <c r="U1525" s="8">
        <v>12.9</v>
      </c>
      <c r="V1525" s="8">
        <v>1.4</v>
      </c>
      <c r="W1525" s="8">
        <v>0.9</v>
      </c>
      <c r="X1525" s="8">
        <v>55</v>
      </c>
      <c r="Y1525" s="8" t="s">
        <v>7053</v>
      </c>
      <c r="Z1525" s="8" t="s">
        <v>7089</v>
      </c>
    </row>
    <row r="1526" spans="1:26" x14ac:dyDescent="0.2">
      <c r="A1526" s="8">
        <v>1525</v>
      </c>
      <c r="B1526" s="8" t="s">
        <v>7090</v>
      </c>
      <c r="C1526" s="8" t="s">
        <v>7090</v>
      </c>
      <c r="F1526" s="47"/>
      <c r="G1526" s="8">
        <v>19</v>
      </c>
      <c r="H1526" s="8" t="s">
        <v>21</v>
      </c>
      <c r="I1526" s="8" t="s">
        <v>22</v>
      </c>
      <c r="J1526" s="8" t="s">
        <v>22</v>
      </c>
      <c r="K1526" s="8" t="s">
        <v>160</v>
      </c>
      <c r="L1526" s="8" t="s">
        <v>3328</v>
      </c>
      <c r="M1526" s="8" t="s">
        <v>3329</v>
      </c>
      <c r="N1526" s="8" t="s">
        <v>7091</v>
      </c>
      <c r="O1526" s="8">
        <f>4+8/60+8.2/3600</f>
        <v>4.1356111111111113</v>
      </c>
      <c r="P1526" s="8" t="s">
        <v>7092</v>
      </c>
      <c r="Q1526" s="8">
        <f>-(8+50/60+5/3600)</f>
        <v>-8.8347222222222221</v>
      </c>
      <c r="R1526" s="8">
        <v>13.8</v>
      </c>
      <c r="S1526" s="8">
        <v>14.5</v>
      </c>
      <c r="T1526" s="8">
        <v>0.7</v>
      </c>
      <c r="U1526" s="8">
        <v>13.1</v>
      </c>
      <c r="V1526" s="8">
        <v>0.9</v>
      </c>
      <c r="W1526" s="8">
        <v>0.7</v>
      </c>
      <c r="X1526" s="8">
        <v>126</v>
      </c>
      <c r="Y1526" s="8" t="s">
        <v>7053</v>
      </c>
      <c r="Z1526" s="8" t="s">
        <v>7089</v>
      </c>
    </row>
    <row r="1527" spans="1:26" x14ac:dyDescent="0.2">
      <c r="A1527" s="8">
        <v>1526</v>
      </c>
      <c r="B1527" s="8" t="s">
        <v>7093</v>
      </c>
      <c r="C1527" s="8" t="s">
        <v>7093</v>
      </c>
      <c r="F1527" s="47"/>
      <c r="G1527" s="8">
        <v>16</v>
      </c>
      <c r="H1527" s="8" t="s">
        <v>21</v>
      </c>
      <c r="I1527" s="8" t="s">
        <v>22</v>
      </c>
      <c r="J1527" s="8" t="s">
        <v>22</v>
      </c>
      <c r="K1527" s="8" t="s">
        <v>85</v>
      </c>
      <c r="L1527" s="8" t="s">
        <v>6120</v>
      </c>
      <c r="M1527" s="8" t="s">
        <v>6121</v>
      </c>
      <c r="N1527" s="8" t="s">
        <v>7094</v>
      </c>
      <c r="O1527" s="8">
        <f>4+5/60+12.3/3600</f>
        <v>4.0867499999999994</v>
      </c>
      <c r="P1527" s="8" t="s">
        <v>7095</v>
      </c>
      <c r="Q1527" s="8">
        <f>-(65+50/60+24/3600)</f>
        <v>-65.839999999999989</v>
      </c>
      <c r="R1527" s="8">
        <v>13.7</v>
      </c>
      <c r="S1527" s="8">
        <v>14.5</v>
      </c>
      <c r="T1527" s="8">
        <v>0.8</v>
      </c>
      <c r="U1527" s="8">
        <v>12.7</v>
      </c>
      <c r="V1527" s="8">
        <v>0.8</v>
      </c>
      <c r="W1527" s="8">
        <v>0.6</v>
      </c>
      <c r="X1527" s="8">
        <v>36</v>
      </c>
      <c r="Y1527" s="8" t="s">
        <v>7096</v>
      </c>
      <c r="Z1527" s="8" t="s">
        <v>7097</v>
      </c>
    </row>
    <row r="1528" spans="1:26" x14ac:dyDescent="0.2">
      <c r="A1528" s="8">
        <v>1527</v>
      </c>
      <c r="B1528" s="8" t="s">
        <v>7098</v>
      </c>
      <c r="C1528" s="8" t="s">
        <v>7098</v>
      </c>
      <c r="F1528" s="47"/>
      <c r="G1528" s="8">
        <v>13</v>
      </c>
      <c r="H1528" s="8" t="s">
        <v>21</v>
      </c>
      <c r="I1528" s="8" t="s">
        <v>22</v>
      </c>
      <c r="J1528" s="8" t="s">
        <v>22</v>
      </c>
      <c r="K1528" s="8" t="s">
        <v>224</v>
      </c>
      <c r="L1528" s="8" t="s">
        <v>4263</v>
      </c>
      <c r="M1528" s="8" t="s">
        <v>4264</v>
      </c>
      <c r="N1528" s="8" t="s">
        <v>7099</v>
      </c>
      <c r="O1528" s="8">
        <f>4+8/60+24.1/3600</f>
        <v>4.1400277777777781</v>
      </c>
      <c r="P1528" s="8" t="s">
        <v>7100</v>
      </c>
      <c r="Q1528" s="8">
        <f>-(47+53/60+48/3600)</f>
        <v>-47.896666666666668</v>
      </c>
      <c r="R1528" s="8">
        <v>10.8</v>
      </c>
      <c r="S1528" s="8">
        <v>11.7</v>
      </c>
      <c r="T1528" s="8">
        <v>0.9</v>
      </c>
      <c r="U1528" s="8">
        <v>12.4</v>
      </c>
      <c r="V1528" s="8">
        <v>3.9</v>
      </c>
      <c r="W1528" s="8">
        <v>1.5</v>
      </c>
      <c r="X1528" s="8">
        <v>78</v>
      </c>
      <c r="Y1528" s="8" t="s">
        <v>7101</v>
      </c>
      <c r="Z1528" s="8" t="s">
        <v>7102</v>
      </c>
    </row>
    <row r="1529" spans="1:26" x14ac:dyDescent="0.2">
      <c r="A1529" s="8">
        <v>1528</v>
      </c>
      <c r="B1529" s="8" t="s">
        <v>7103</v>
      </c>
      <c r="C1529" s="8" t="s">
        <v>7103</v>
      </c>
      <c r="F1529" s="47" t="s">
        <v>56343</v>
      </c>
      <c r="G1529" s="8">
        <v>5</v>
      </c>
      <c r="H1529" s="8" t="s">
        <v>7104</v>
      </c>
      <c r="I1529" s="8" t="s">
        <v>557</v>
      </c>
      <c r="J1529" s="8" t="s">
        <v>557</v>
      </c>
      <c r="K1529" s="8" t="s">
        <v>2722</v>
      </c>
      <c r="L1529" s="8" t="s">
        <v>3147</v>
      </c>
      <c r="M1529" s="8" t="s">
        <v>3148</v>
      </c>
      <c r="N1529" s="8" t="s">
        <v>7105</v>
      </c>
      <c r="O1529" s="8">
        <f>4+15/60+19/3600</f>
        <v>4.2552777777777777</v>
      </c>
      <c r="P1529" s="8" t="s">
        <v>7106</v>
      </c>
      <c r="Q1529" s="8">
        <f>+(51+12/60+42/3600)</f>
        <v>51.211666666666666</v>
      </c>
      <c r="R1529" s="8">
        <v>6.4</v>
      </c>
      <c r="S1529" s="8">
        <v>99</v>
      </c>
      <c r="T1529" s="8">
        <v>99</v>
      </c>
      <c r="U1529" s="8">
        <v>99</v>
      </c>
      <c r="V1529" s="8">
        <v>18</v>
      </c>
      <c r="Y1529" s="8" t="s">
        <v>7107</v>
      </c>
      <c r="Z1529" s="8" t="s">
        <v>7108</v>
      </c>
    </row>
    <row r="1530" spans="1:26" x14ac:dyDescent="0.2">
      <c r="A1530" s="8">
        <v>1529</v>
      </c>
      <c r="B1530" s="8" t="s">
        <v>7109</v>
      </c>
      <c r="C1530" s="8" t="s">
        <v>7109</v>
      </c>
      <c r="F1530" s="47"/>
      <c r="G1530" s="8">
        <v>16</v>
      </c>
      <c r="H1530" s="8" t="s">
        <v>21</v>
      </c>
      <c r="I1530" s="8" t="s">
        <v>22</v>
      </c>
      <c r="J1530" s="8" t="s">
        <v>22</v>
      </c>
      <c r="K1530" s="8" t="s">
        <v>37</v>
      </c>
      <c r="L1530" s="8" t="s">
        <v>6120</v>
      </c>
      <c r="M1530" s="8" t="s">
        <v>6121</v>
      </c>
      <c r="N1530" s="8" t="s">
        <v>7110</v>
      </c>
      <c r="O1530" s="8">
        <f>4+7/60+19.9/3600</f>
        <v>4.1221944444444443</v>
      </c>
      <c r="P1530" s="8" t="s">
        <v>7111</v>
      </c>
      <c r="Q1530" s="8">
        <f>-(62+53/60+58/3600)</f>
        <v>-62.899444444444441</v>
      </c>
      <c r="R1530" s="8">
        <v>13.3</v>
      </c>
      <c r="S1530" s="8">
        <v>14.3</v>
      </c>
      <c r="T1530" s="8">
        <v>1</v>
      </c>
      <c r="U1530" s="8">
        <v>12.1</v>
      </c>
      <c r="V1530" s="8">
        <v>1.2</v>
      </c>
      <c r="W1530" s="8">
        <v>0.3</v>
      </c>
      <c r="X1530" s="8">
        <v>164</v>
      </c>
      <c r="Y1530" s="8" t="s">
        <v>750</v>
      </c>
      <c r="Z1530" s="8" t="s">
        <v>751</v>
      </c>
    </row>
    <row r="1531" spans="1:26" x14ac:dyDescent="0.2">
      <c r="A1531" s="8">
        <v>1530</v>
      </c>
      <c r="B1531" s="8" t="s">
        <v>7112</v>
      </c>
      <c r="C1531" s="8" t="s">
        <v>7112</v>
      </c>
      <c r="F1531" s="47"/>
      <c r="G1531" s="8">
        <v>13</v>
      </c>
      <c r="H1531" s="8" t="s">
        <v>21</v>
      </c>
      <c r="I1531" s="8" t="s">
        <v>22</v>
      </c>
      <c r="J1531" s="8" t="s">
        <v>22</v>
      </c>
      <c r="K1531" s="8" t="s">
        <v>218</v>
      </c>
      <c r="L1531" s="8" t="s">
        <v>6823</v>
      </c>
      <c r="M1531" s="8" t="s">
        <v>6824</v>
      </c>
      <c r="N1531" s="8" t="s">
        <v>7113</v>
      </c>
      <c r="O1531" s="8">
        <f>4+23/60+26.9/3600</f>
        <v>4.3908055555555556</v>
      </c>
      <c r="P1531" s="8" t="s">
        <v>7114</v>
      </c>
      <c r="Q1531" s="8">
        <f>+(75+17/60+40/3600)</f>
        <v>75.294444444444437</v>
      </c>
      <c r="R1531" s="8">
        <v>11.5</v>
      </c>
      <c r="S1531" s="8">
        <v>12.3</v>
      </c>
      <c r="T1531" s="8">
        <v>0.8</v>
      </c>
      <c r="U1531" s="8">
        <v>13.9</v>
      </c>
      <c r="V1531" s="8">
        <v>4.4000000000000004</v>
      </c>
      <c r="W1531" s="8">
        <v>2.5</v>
      </c>
      <c r="X1531" s="8">
        <v>24</v>
      </c>
      <c r="Y1531" s="8" t="s">
        <v>7115</v>
      </c>
      <c r="Z1531" s="8" t="s">
        <v>7116</v>
      </c>
    </row>
    <row r="1532" spans="1:26" x14ac:dyDescent="0.2">
      <c r="A1532" s="8">
        <v>1531</v>
      </c>
      <c r="B1532" s="8" t="s">
        <v>7117</v>
      </c>
      <c r="C1532" s="8" t="s">
        <v>7117</v>
      </c>
      <c r="F1532" s="47"/>
      <c r="G1532" s="8">
        <v>9</v>
      </c>
      <c r="H1532" s="8" t="s">
        <v>21</v>
      </c>
      <c r="I1532" s="8" t="s">
        <v>22</v>
      </c>
      <c r="J1532" s="8" t="s">
        <v>22</v>
      </c>
      <c r="K1532" s="8" t="s">
        <v>58</v>
      </c>
      <c r="L1532" s="8" t="s">
        <v>3328</v>
      </c>
      <c r="M1532" s="8" t="s">
        <v>3329</v>
      </c>
      <c r="N1532" s="8" t="s">
        <v>7118</v>
      </c>
      <c r="O1532" s="8">
        <f>4+11/60+59.1/3600</f>
        <v>4.1997499999999999</v>
      </c>
      <c r="P1532" s="8" t="s">
        <v>7119</v>
      </c>
      <c r="Q1532" s="8">
        <f>-(32+51/60+3/3600)</f>
        <v>-32.850833333333334</v>
      </c>
      <c r="R1532" s="8">
        <v>11.9</v>
      </c>
      <c r="S1532" s="8">
        <v>12.9</v>
      </c>
      <c r="T1532" s="8">
        <v>1</v>
      </c>
      <c r="U1532" s="8">
        <v>12.1</v>
      </c>
      <c r="V1532" s="8">
        <v>1.2</v>
      </c>
      <c r="W1532" s="8">
        <v>0.9</v>
      </c>
      <c r="X1532" s="8">
        <v>122</v>
      </c>
      <c r="Y1532" s="8" t="s">
        <v>7120</v>
      </c>
      <c r="Z1532" s="8" t="s">
        <v>7121</v>
      </c>
    </row>
    <row r="1533" spans="1:26" x14ac:dyDescent="0.2">
      <c r="A1533" s="8">
        <v>1532</v>
      </c>
      <c r="B1533" s="8" t="s">
        <v>7122</v>
      </c>
      <c r="C1533" s="8" t="s">
        <v>7122</v>
      </c>
      <c r="F1533" s="47"/>
      <c r="G1533" s="8">
        <v>9</v>
      </c>
      <c r="H1533" s="8" t="s">
        <v>21</v>
      </c>
      <c r="I1533" s="8" t="s">
        <v>22</v>
      </c>
      <c r="J1533" s="8" t="s">
        <v>22</v>
      </c>
      <c r="K1533" s="8" t="s">
        <v>218</v>
      </c>
      <c r="L1533" s="8" t="s">
        <v>3328</v>
      </c>
      <c r="M1533" s="8" t="s">
        <v>3329</v>
      </c>
      <c r="N1533" s="8" t="s">
        <v>7123</v>
      </c>
      <c r="O1533" s="8">
        <f>4+12/60+3.8/3600</f>
        <v>4.2010555555555555</v>
      </c>
      <c r="P1533" s="8" t="s">
        <v>7124</v>
      </c>
      <c r="Q1533" s="8">
        <f>-(32+52/60+23/3600)</f>
        <v>-32.873055555555553</v>
      </c>
      <c r="R1533" s="8">
        <v>9.9</v>
      </c>
      <c r="S1533" s="8">
        <v>10.7</v>
      </c>
      <c r="T1533" s="8">
        <v>0.8</v>
      </c>
      <c r="U1533" s="8">
        <v>13.8</v>
      </c>
      <c r="V1533" s="8">
        <v>11.6</v>
      </c>
      <c r="W1533" s="8">
        <v>3.4</v>
      </c>
      <c r="X1533" s="8">
        <v>33</v>
      </c>
      <c r="Y1533" s="8" t="s">
        <v>7125</v>
      </c>
      <c r="Z1533" s="8" t="s">
        <v>7126</v>
      </c>
    </row>
    <row r="1534" spans="1:26" x14ac:dyDescent="0.2">
      <c r="A1534" s="8">
        <v>1533</v>
      </c>
      <c r="B1534" s="8" t="s">
        <v>7127</v>
      </c>
      <c r="C1534" s="8" t="s">
        <v>7127</v>
      </c>
      <c r="F1534" s="47"/>
      <c r="G1534" s="8">
        <v>13</v>
      </c>
      <c r="H1534" s="8" t="s">
        <v>21</v>
      </c>
      <c r="I1534" s="8" t="s">
        <v>22</v>
      </c>
      <c r="J1534" s="8" t="s">
        <v>22</v>
      </c>
      <c r="K1534" s="8" t="s">
        <v>224</v>
      </c>
      <c r="L1534" s="8" t="s">
        <v>55972</v>
      </c>
      <c r="M1534" s="8" t="s">
        <v>6970</v>
      </c>
      <c r="N1534" s="8" t="s">
        <v>7128</v>
      </c>
      <c r="O1534" s="8">
        <f>4+9/60+51.9/3600</f>
        <v>4.1644166666666669</v>
      </c>
      <c r="P1534" s="8" t="s">
        <v>7129</v>
      </c>
      <c r="Q1534" s="8">
        <f>-(56+7/60+4/3600)</f>
        <v>-56.117777777777775</v>
      </c>
      <c r="R1534" s="8">
        <v>10.7</v>
      </c>
      <c r="S1534" s="8">
        <v>11.7</v>
      </c>
      <c r="T1534" s="8">
        <v>1</v>
      </c>
      <c r="U1534" s="8">
        <v>12.6</v>
      </c>
      <c r="V1534" s="8">
        <v>2.8</v>
      </c>
      <c r="W1534" s="8">
        <v>2.2999999999999998</v>
      </c>
      <c r="X1534" s="8">
        <v>151</v>
      </c>
      <c r="Y1534" s="8" t="s">
        <v>7130</v>
      </c>
      <c r="Z1534" s="8" t="s">
        <v>7131</v>
      </c>
    </row>
    <row r="1535" spans="1:26" x14ac:dyDescent="0.2">
      <c r="A1535" s="8">
        <v>1534</v>
      </c>
      <c r="B1535" s="8" t="s">
        <v>7132</v>
      </c>
      <c r="C1535" s="8" t="s">
        <v>7132</v>
      </c>
      <c r="F1535" s="47"/>
      <c r="G1535" s="8">
        <v>16</v>
      </c>
      <c r="H1535" s="8" t="s">
        <v>21</v>
      </c>
      <c r="I1535" s="8" t="s">
        <v>22</v>
      </c>
      <c r="J1535" s="8" t="s">
        <v>22</v>
      </c>
      <c r="K1535" s="8" t="s">
        <v>632</v>
      </c>
      <c r="L1535" s="8" t="s">
        <v>6120</v>
      </c>
      <c r="M1535" s="8" t="s">
        <v>6121</v>
      </c>
      <c r="N1535" s="8" t="s">
        <v>7133</v>
      </c>
      <c r="O1535" s="8">
        <f>4+8/60+46.2/3600</f>
        <v>4.1461666666666668</v>
      </c>
      <c r="P1535" s="8" t="s">
        <v>7134</v>
      </c>
      <c r="Q1535" s="8">
        <f>-(62+47/60+50/3600)</f>
        <v>-62.797222222222217</v>
      </c>
      <c r="R1535" s="8">
        <v>12.7</v>
      </c>
      <c r="S1535" s="8">
        <v>13.6</v>
      </c>
      <c r="T1535" s="8">
        <v>0.9</v>
      </c>
      <c r="U1535" s="8">
        <v>12.9</v>
      </c>
      <c r="V1535" s="8">
        <v>1.7</v>
      </c>
      <c r="W1535" s="8">
        <v>0.8</v>
      </c>
      <c r="X1535" s="8">
        <v>76</v>
      </c>
      <c r="Y1535" s="8" t="s">
        <v>7135</v>
      </c>
      <c r="Z1535" s="8" t="s">
        <v>7136</v>
      </c>
    </row>
    <row r="1536" spans="1:26" x14ac:dyDescent="0.2">
      <c r="A1536" s="8">
        <v>1535</v>
      </c>
      <c r="B1536" s="8" t="s">
        <v>7137</v>
      </c>
      <c r="C1536" s="8" t="s">
        <v>7137</v>
      </c>
      <c r="F1536" s="47" t="s">
        <v>56344</v>
      </c>
      <c r="G1536" s="8">
        <v>3</v>
      </c>
      <c r="H1536" s="8" t="s">
        <v>7138</v>
      </c>
      <c r="I1536" s="8" t="s">
        <v>241</v>
      </c>
      <c r="J1536" s="8" t="s">
        <v>241</v>
      </c>
      <c r="K1536" s="8" t="s">
        <v>241</v>
      </c>
      <c r="L1536" s="8" t="s">
        <v>3328</v>
      </c>
      <c r="M1536" s="8" t="s">
        <v>3329</v>
      </c>
      <c r="N1536" s="8" t="s">
        <v>7139</v>
      </c>
      <c r="O1536" s="8">
        <f>4+14/60+15.8/3600</f>
        <v>4.2377222222222226</v>
      </c>
      <c r="P1536" s="8" t="s">
        <v>7140</v>
      </c>
      <c r="Q1536" s="8">
        <f>-(12+44/60+20/3600)</f>
        <v>-12.738888888888889</v>
      </c>
      <c r="R1536" s="8">
        <v>9.6</v>
      </c>
      <c r="S1536" s="8">
        <v>9.6</v>
      </c>
      <c r="T1536" s="8">
        <v>99</v>
      </c>
      <c r="U1536" s="8">
        <v>99</v>
      </c>
      <c r="V1536" s="8">
        <v>0.85</v>
      </c>
      <c r="Y1536" s="8" t="s">
        <v>7141</v>
      </c>
      <c r="Z1536" s="8" t="s">
        <v>7142</v>
      </c>
    </row>
    <row r="1537" spans="1:26" x14ac:dyDescent="0.2">
      <c r="A1537" s="8">
        <v>1536</v>
      </c>
      <c r="B1537" s="8" t="s">
        <v>7143</v>
      </c>
      <c r="C1537" s="8" t="s">
        <v>7143</v>
      </c>
      <c r="F1537" s="47"/>
      <c r="G1537" s="8">
        <v>13</v>
      </c>
      <c r="H1537" s="8" t="s">
        <v>21</v>
      </c>
      <c r="I1537" s="8" t="s">
        <v>22</v>
      </c>
      <c r="J1537" s="8" t="s">
        <v>22</v>
      </c>
      <c r="K1537" s="8" t="s">
        <v>64</v>
      </c>
      <c r="L1537" s="8" t="s">
        <v>6120</v>
      </c>
      <c r="M1537" s="8" t="s">
        <v>6121</v>
      </c>
      <c r="N1537" s="8" t="s">
        <v>7144</v>
      </c>
      <c r="O1537" s="8">
        <f>4+11/60+0.2/3600</f>
        <v>4.1833888888888895</v>
      </c>
      <c r="P1537" s="8" t="s">
        <v>7145</v>
      </c>
      <c r="Q1537" s="8">
        <f>-(56+28/60+57/3600)</f>
        <v>-56.482500000000002</v>
      </c>
      <c r="R1537" s="8">
        <v>12.5</v>
      </c>
      <c r="S1537" s="8">
        <v>13.2</v>
      </c>
      <c r="T1537" s="8">
        <v>0.7</v>
      </c>
      <c r="U1537" s="8">
        <v>13.5</v>
      </c>
      <c r="V1537" s="8">
        <v>2.1</v>
      </c>
      <c r="W1537" s="8">
        <v>1.5</v>
      </c>
      <c r="X1537" s="8">
        <v>155</v>
      </c>
      <c r="Y1537" s="8" t="s">
        <v>7146</v>
      </c>
      <c r="Z1537" s="8" t="s">
        <v>7147</v>
      </c>
    </row>
    <row r="1538" spans="1:26" x14ac:dyDescent="0.2">
      <c r="A1538" s="8">
        <v>1537</v>
      </c>
      <c r="B1538" s="8" t="s">
        <v>7148</v>
      </c>
      <c r="C1538" s="8" t="s">
        <v>7148</v>
      </c>
      <c r="F1538" s="47"/>
      <c r="G1538" s="8">
        <v>13</v>
      </c>
      <c r="H1538" s="8" t="s">
        <v>21</v>
      </c>
      <c r="I1538" s="8" t="s">
        <v>22</v>
      </c>
      <c r="J1538" s="8" t="s">
        <v>22</v>
      </c>
      <c r="K1538" s="8" t="s">
        <v>118</v>
      </c>
      <c r="L1538" s="8" t="s">
        <v>3328</v>
      </c>
      <c r="M1538" s="8" t="s">
        <v>3329</v>
      </c>
      <c r="N1538" s="8" t="s">
        <v>7149</v>
      </c>
      <c r="O1538" s="8">
        <f>4+13/60+40.7/3600</f>
        <v>4.2279722222222222</v>
      </c>
      <c r="P1538" s="8" t="s">
        <v>7150</v>
      </c>
      <c r="Q1538" s="8">
        <f>-(31+38/60+44/3600)</f>
        <v>-31.645555555555553</v>
      </c>
      <c r="R1538" s="8">
        <v>10.6</v>
      </c>
      <c r="S1538" s="8">
        <v>11.5</v>
      </c>
      <c r="T1538" s="8">
        <v>0.9</v>
      </c>
      <c r="U1538" s="8">
        <v>12.9</v>
      </c>
      <c r="V1538" s="8">
        <v>3.9</v>
      </c>
      <c r="W1538" s="8">
        <v>2.6</v>
      </c>
      <c r="X1538" s="8">
        <v>98</v>
      </c>
      <c r="Y1538" s="8" t="s">
        <v>7151</v>
      </c>
      <c r="Z1538" s="8" t="s">
        <v>7152</v>
      </c>
    </row>
    <row r="1539" spans="1:26" x14ac:dyDescent="0.2">
      <c r="A1539" s="8">
        <v>1538</v>
      </c>
      <c r="B1539" s="8" t="s">
        <v>7153</v>
      </c>
      <c r="C1539" s="8" t="s">
        <v>7153</v>
      </c>
      <c r="F1539" s="47"/>
      <c r="G1539" s="8">
        <v>19</v>
      </c>
      <c r="H1539" s="8" t="s">
        <v>21</v>
      </c>
      <c r="I1539" s="8" t="s">
        <v>22</v>
      </c>
      <c r="J1539" s="8" t="s">
        <v>22</v>
      </c>
      <c r="K1539" s="8" t="s">
        <v>476</v>
      </c>
      <c r="L1539" s="8" t="s">
        <v>3328</v>
      </c>
      <c r="M1539" s="8" t="s">
        <v>3329</v>
      </c>
      <c r="N1539" s="8" t="s">
        <v>7154</v>
      </c>
      <c r="O1539" s="8">
        <f>4+14/60+56/3600</f>
        <v>4.2488888888888887</v>
      </c>
      <c r="P1539" s="8" t="s">
        <v>7155</v>
      </c>
      <c r="Q1539" s="8">
        <f>-(13+11/60+29/3600)</f>
        <v>-13.191388888888889</v>
      </c>
      <c r="R1539" s="8">
        <v>15.1</v>
      </c>
      <c r="S1539" s="8">
        <v>16</v>
      </c>
      <c r="T1539" s="8">
        <v>0.9</v>
      </c>
      <c r="U1539" s="8">
        <v>13.6</v>
      </c>
      <c r="V1539" s="8">
        <v>0.6</v>
      </c>
      <c r="W1539" s="8">
        <v>0.5</v>
      </c>
      <c r="Y1539" s="8" t="s">
        <v>1133</v>
      </c>
      <c r="Z1539" s="8" t="s">
        <v>1134</v>
      </c>
    </row>
    <row r="1540" spans="1:26" x14ac:dyDescent="0.2">
      <c r="A1540" s="8">
        <v>1539</v>
      </c>
      <c r="B1540" s="8" t="s">
        <v>7156</v>
      </c>
      <c r="C1540" s="8" t="s">
        <v>7156</v>
      </c>
      <c r="E1540" s="8">
        <v>1</v>
      </c>
      <c r="F1540" s="47"/>
      <c r="G1540" s="8">
        <v>18</v>
      </c>
      <c r="H1540" s="8" t="s">
        <v>21</v>
      </c>
      <c r="I1540" s="8" t="s">
        <v>22</v>
      </c>
      <c r="J1540" s="8" t="s">
        <v>22</v>
      </c>
      <c r="K1540" s="8" t="s">
        <v>424</v>
      </c>
      <c r="L1540" s="8" t="s">
        <v>6115</v>
      </c>
      <c r="M1540" s="8" t="s">
        <v>6116</v>
      </c>
      <c r="N1540" s="8" t="s">
        <v>7157</v>
      </c>
      <c r="O1540" s="8">
        <f>4+19/60+1.9/3600</f>
        <v>4.3171944444444446</v>
      </c>
      <c r="P1540" s="8" t="s">
        <v>7158</v>
      </c>
      <c r="Q1540" s="8">
        <f>+(26+49/60+39/3600)</f>
        <v>26.827500000000001</v>
      </c>
      <c r="R1540" s="8">
        <v>14.8</v>
      </c>
      <c r="S1540" s="8">
        <v>15.8</v>
      </c>
      <c r="T1540" s="8">
        <v>1</v>
      </c>
      <c r="U1540" s="8">
        <v>13.1</v>
      </c>
      <c r="V1540" s="8">
        <v>0.5</v>
      </c>
      <c r="W1540" s="8">
        <v>0.5</v>
      </c>
      <c r="Y1540" s="8" t="s">
        <v>1748</v>
      </c>
      <c r="Z1540" s="8" t="s">
        <v>1749</v>
      </c>
    </row>
    <row r="1541" spans="1:26" x14ac:dyDescent="0.2">
      <c r="A1541" s="8">
        <v>1540</v>
      </c>
      <c r="B1541" s="8" t="s">
        <v>7159</v>
      </c>
      <c r="C1541" s="8" t="s">
        <v>7159</v>
      </c>
      <c r="D1541" s="8" t="s">
        <v>351</v>
      </c>
      <c r="F1541" s="47"/>
      <c r="G1541" s="8">
        <v>16</v>
      </c>
      <c r="H1541" s="8" t="s">
        <v>21</v>
      </c>
      <c r="I1541" s="8" t="s">
        <v>22</v>
      </c>
      <c r="J1541" s="8" t="s">
        <v>22</v>
      </c>
      <c r="K1541" s="8" t="s">
        <v>31</v>
      </c>
      <c r="L1541" s="8" t="s">
        <v>3328</v>
      </c>
      <c r="M1541" s="8" t="s">
        <v>3329</v>
      </c>
      <c r="N1541" s="8" t="s">
        <v>7160</v>
      </c>
      <c r="O1541" s="8">
        <f>4+15/60+10.2/3600</f>
        <v>4.2528333333333332</v>
      </c>
      <c r="P1541" s="8" t="s">
        <v>7161</v>
      </c>
      <c r="Q1541" s="8">
        <f>-(28+28/60+46/3600)</f>
        <v>-28.479444444444443</v>
      </c>
      <c r="R1541" s="8">
        <v>13.7</v>
      </c>
      <c r="S1541" s="8">
        <v>14.5</v>
      </c>
      <c r="T1541" s="8">
        <v>0.8</v>
      </c>
      <c r="U1541" s="8">
        <v>12.6</v>
      </c>
      <c r="V1541" s="8">
        <v>0.8</v>
      </c>
      <c r="W1541" s="8">
        <v>0.5</v>
      </c>
      <c r="X1541" s="8">
        <v>72</v>
      </c>
      <c r="Y1541" s="8" t="s">
        <v>7162</v>
      </c>
      <c r="Z1541" s="8" t="s">
        <v>7163</v>
      </c>
    </row>
    <row r="1542" spans="1:26" x14ac:dyDescent="0.2">
      <c r="A1542" s="8">
        <v>1541</v>
      </c>
      <c r="B1542" s="8" t="s">
        <v>7164</v>
      </c>
      <c r="C1542" s="8" t="s">
        <v>7164</v>
      </c>
      <c r="F1542" s="47"/>
      <c r="G1542" s="8">
        <v>18</v>
      </c>
      <c r="H1542" s="8" t="s">
        <v>21</v>
      </c>
      <c r="I1542" s="8" t="s">
        <v>22</v>
      </c>
      <c r="J1542" s="8" t="s">
        <v>22</v>
      </c>
      <c r="K1542" s="8" t="s">
        <v>632</v>
      </c>
      <c r="L1542" s="8" t="s">
        <v>6115</v>
      </c>
      <c r="M1542" s="8" t="s">
        <v>6116</v>
      </c>
      <c r="N1542" s="8" t="s">
        <v>7165</v>
      </c>
      <c r="O1542" s="8">
        <f>4+17/60+0.2/3600</f>
        <v>4.2833888888888891</v>
      </c>
      <c r="P1542" s="8" t="s">
        <v>7166</v>
      </c>
      <c r="Q1542" s="8">
        <f>+(0+50/60+7/3600)</f>
        <v>0.83527777777777779</v>
      </c>
      <c r="R1542" s="8">
        <v>13.6</v>
      </c>
      <c r="S1542" s="8">
        <v>14.6</v>
      </c>
      <c r="T1542" s="8">
        <v>1</v>
      </c>
      <c r="U1542" s="8">
        <v>12.9</v>
      </c>
      <c r="V1542" s="8">
        <v>1.3</v>
      </c>
      <c r="W1542" s="8">
        <v>0.5</v>
      </c>
      <c r="X1542" s="8">
        <v>83</v>
      </c>
      <c r="Y1542" s="8" t="s">
        <v>1511</v>
      </c>
      <c r="Z1542" s="8" t="s">
        <v>1512</v>
      </c>
    </row>
    <row r="1543" spans="1:26" x14ac:dyDescent="0.2">
      <c r="A1543" s="8">
        <v>1542</v>
      </c>
      <c r="B1543" s="8" t="s">
        <v>7167</v>
      </c>
      <c r="C1543" s="8" t="s">
        <v>7167</v>
      </c>
      <c r="F1543" s="47"/>
      <c r="G1543" s="8">
        <v>18</v>
      </c>
      <c r="H1543" s="8" t="s">
        <v>21</v>
      </c>
      <c r="I1543" s="8" t="s">
        <v>22</v>
      </c>
      <c r="J1543" s="8" t="s">
        <v>22</v>
      </c>
      <c r="K1543" s="8" t="s">
        <v>31</v>
      </c>
      <c r="L1543" s="8" t="s">
        <v>6115</v>
      </c>
      <c r="M1543" s="8" t="s">
        <v>6116</v>
      </c>
      <c r="N1543" s="8" t="s">
        <v>7168</v>
      </c>
      <c r="O1543" s="8">
        <f>4+17/60+14.1/3600</f>
        <v>4.2872500000000002</v>
      </c>
      <c r="P1543" s="8" t="s">
        <v>7169</v>
      </c>
      <c r="Q1543" s="8">
        <f>+(4+46/60+55/3600)</f>
        <v>4.7819444444444441</v>
      </c>
      <c r="R1543" s="8">
        <v>13.9</v>
      </c>
      <c r="S1543" s="8">
        <v>14.7</v>
      </c>
      <c r="T1543" s="8">
        <v>0.8</v>
      </c>
      <c r="U1543" s="8">
        <v>13.3</v>
      </c>
      <c r="V1543" s="8">
        <v>1.3</v>
      </c>
      <c r="W1543" s="8">
        <v>0.5</v>
      </c>
      <c r="X1543" s="8">
        <v>128</v>
      </c>
      <c r="Y1543" s="8" t="s">
        <v>307</v>
      </c>
      <c r="Z1543" s="8" t="s">
        <v>308</v>
      </c>
    </row>
    <row r="1544" spans="1:26" x14ac:dyDescent="0.2">
      <c r="A1544" s="8">
        <v>1543</v>
      </c>
      <c r="B1544" s="8" t="s">
        <v>7170</v>
      </c>
      <c r="C1544" s="8" t="s">
        <v>7170</v>
      </c>
      <c r="F1544" s="47"/>
      <c r="G1544" s="8">
        <v>10</v>
      </c>
      <c r="H1544" s="8" t="s">
        <v>21</v>
      </c>
      <c r="I1544" s="8" t="s">
        <v>22</v>
      </c>
      <c r="J1544" s="8" t="s">
        <v>22</v>
      </c>
      <c r="K1544" s="8" t="s">
        <v>224</v>
      </c>
      <c r="L1544" s="8" t="s">
        <v>6120</v>
      </c>
      <c r="M1544" s="8" t="s">
        <v>6121</v>
      </c>
      <c r="N1544" s="8" t="s">
        <v>7171</v>
      </c>
      <c r="O1544" s="8">
        <f>4+12/60+43.1/3600</f>
        <v>4.2119722222222222</v>
      </c>
      <c r="P1544" s="8" t="s">
        <v>7172</v>
      </c>
      <c r="Q1544" s="8">
        <f>-(57+44/60+14/3600)</f>
        <v>-57.737222222222222</v>
      </c>
      <c r="R1544" s="8">
        <v>10.5</v>
      </c>
      <c r="S1544" s="8">
        <v>11.5</v>
      </c>
      <c r="T1544" s="8">
        <v>1</v>
      </c>
      <c r="U1544" s="8">
        <v>13.2</v>
      </c>
      <c r="V1544" s="8">
        <v>3.8</v>
      </c>
      <c r="W1544" s="8">
        <v>2.8</v>
      </c>
      <c r="X1544" s="8">
        <v>93</v>
      </c>
      <c r="Y1544" s="8" t="s">
        <v>7173</v>
      </c>
      <c r="Z1544" s="8" t="s">
        <v>7174</v>
      </c>
    </row>
    <row r="1545" spans="1:26" x14ac:dyDescent="0.2">
      <c r="A1545" s="8">
        <v>1544</v>
      </c>
      <c r="B1545" s="8" t="s">
        <v>7175</v>
      </c>
      <c r="C1545" s="8" t="s">
        <v>7175</v>
      </c>
      <c r="F1545" s="47"/>
      <c r="G1545" s="8">
        <v>18</v>
      </c>
      <c r="H1545" s="8" t="s">
        <v>21</v>
      </c>
      <c r="I1545" s="8" t="s">
        <v>22</v>
      </c>
      <c r="J1545" s="8" t="s">
        <v>22</v>
      </c>
      <c r="K1545" s="8" t="s">
        <v>476</v>
      </c>
      <c r="L1545" s="8" t="s">
        <v>242</v>
      </c>
      <c r="M1545" s="8" t="s">
        <v>243</v>
      </c>
      <c r="N1545" s="8" t="s">
        <v>7176</v>
      </c>
      <c r="O1545" s="8">
        <f>5+2/60+36.2/3600</f>
        <v>5.0433888888888889</v>
      </c>
      <c r="P1545" s="8" t="s">
        <v>7177</v>
      </c>
      <c r="Q1545" s="8">
        <f>+(86+13/60+22/3600)</f>
        <v>86.222777777777779</v>
      </c>
      <c r="R1545" s="8">
        <v>13.3</v>
      </c>
      <c r="S1545" s="8">
        <v>14.2</v>
      </c>
      <c r="T1545" s="8">
        <v>0.9</v>
      </c>
      <c r="U1545" s="8">
        <v>13.3</v>
      </c>
      <c r="V1545" s="8">
        <v>1.3</v>
      </c>
      <c r="W1545" s="8">
        <v>0.9</v>
      </c>
      <c r="X1545" s="8">
        <v>130</v>
      </c>
      <c r="Y1545" s="8" t="s">
        <v>282</v>
      </c>
      <c r="Z1545" s="8" t="s">
        <v>283</v>
      </c>
    </row>
    <row r="1546" spans="1:26" x14ac:dyDescent="0.2">
      <c r="A1546" s="8">
        <v>1545</v>
      </c>
      <c r="B1546" s="8" t="s">
        <v>7178</v>
      </c>
      <c r="C1546" s="8" t="s">
        <v>7178</v>
      </c>
      <c r="F1546" s="47" t="s">
        <v>56345</v>
      </c>
      <c r="G1546" s="8">
        <v>5</v>
      </c>
      <c r="H1546" s="8" t="s">
        <v>7104</v>
      </c>
      <c r="I1546" s="8" t="s">
        <v>557</v>
      </c>
      <c r="J1546" s="8" t="s">
        <v>557</v>
      </c>
      <c r="K1546" s="8" t="s">
        <v>558</v>
      </c>
      <c r="L1546" s="8" t="s">
        <v>3147</v>
      </c>
      <c r="M1546" s="8" t="s">
        <v>3148</v>
      </c>
      <c r="N1546" s="8" t="s">
        <v>7179</v>
      </c>
      <c r="O1546" s="8">
        <f>4+20/60+56.2/3600</f>
        <v>4.3489444444444443</v>
      </c>
      <c r="P1546" s="8" t="s">
        <v>7180</v>
      </c>
      <c r="Q1546" s="8">
        <f>+(50+15/60+19/3600)</f>
        <v>50.255277777777778</v>
      </c>
      <c r="R1546" s="8">
        <v>6.2</v>
      </c>
      <c r="S1546" s="8">
        <v>99</v>
      </c>
      <c r="T1546" s="8">
        <v>99</v>
      </c>
      <c r="U1546" s="8">
        <v>99</v>
      </c>
      <c r="V1546" s="8">
        <v>12</v>
      </c>
      <c r="Y1546" s="8" t="s">
        <v>7181</v>
      </c>
      <c r="Z1546" s="8" t="s">
        <v>7182</v>
      </c>
    </row>
    <row r="1547" spans="1:26" x14ac:dyDescent="0.2">
      <c r="A1547" s="8">
        <v>1546</v>
      </c>
      <c r="B1547" s="8" t="s">
        <v>7183</v>
      </c>
      <c r="C1547" s="8" t="s">
        <v>7183</v>
      </c>
      <c r="F1547" s="47"/>
      <c r="G1547" s="8">
        <v>13</v>
      </c>
      <c r="H1547" s="8" t="s">
        <v>21</v>
      </c>
      <c r="I1547" s="8" t="s">
        <v>22</v>
      </c>
      <c r="J1547" s="8" t="s">
        <v>22</v>
      </c>
      <c r="K1547" s="8" t="s">
        <v>632</v>
      </c>
      <c r="L1547" s="8" t="s">
        <v>55972</v>
      </c>
      <c r="M1547" s="8" t="s">
        <v>6970</v>
      </c>
      <c r="N1547" s="8" t="s">
        <v>7184</v>
      </c>
      <c r="O1547" s="8">
        <f>4+14/60+36.7/3600</f>
        <v>4.2435277777777776</v>
      </c>
      <c r="P1547" s="8" t="s">
        <v>7185</v>
      </c>
      <c r="Q1547" s="8">
        <f>-(56+3/60+37/3600)</f>
        <v>-56.060277777777777</v>
      </c>
      <c r="R1547" s="8">
        <v>10.9</v>
      </c>
      <c r="S1547" s="8">
        <v>11.8</v>
      </c>
      <c r="T1547" s="8">
        <v>0.9</v>
      </c>
      <c r="U1547" s="8">
        <v>12.5</v>
      </c>
      <c r="V1547" s="8">
        <v>3.2</v>
      </c>
      <c r="W1547" s="8">
        <v>1.9</v>
      </c>
      <c r="X1547" s="8">
        <v>147</v>
      </c>
      <c r="Y1547" s="8" t="s">
        <v>7186</v>
      </c>
      <c r="Z1547" s="8" t="s">
        <v>7187</v>
      </c>
    </row>
    <row r="1548" spans="1:26" x14ac:dyDescent="0.2">
      <c r="A1548" s="8">
        <v>1547</v>
      </c>
      <c r="B1548" s="8" t="s">
        <v>7188</v>
      </c>
      <c r="C1548" s="8" t="s">
        <v>7188</v>
      </c>
      <c r="F1548" s="47"/>
      <c r="G1548" s="8">
        <v>19</v>
      </c>
      <c r="H1548" s="8" t="s">
        <v>21</v>
      </c>
      <c r="I1548" s="8" t="s">
        <v>22</v>
      </c>
      <c r="J1548" s="8" t="s">
        <v>22</v>
      </c>
      <c r="K1548" s="8" t="s">
        <v>85</v>
      </c>
      <c r="L1548" s="8" t="s">
        <v>3328</v>
      </c>
      <c r="M1548" s="8" t="s">
        <v>3329</v>
      </c>
      <c r="N1548" s="8" t="s">
        <v>7189</v>
      </c>
      <c r="O1548" s="8">
        <f>4+17/60+12.3/3600</f>
        <v>4.2867499999999996</v>
      </c>
      <c r="P1548" s="8" t="s">
        <v>7190</v>
      </c>
      <c r="Q1548" s="8">
        <f>-(17+51/60+27/3600)</f>
        <v>-17.857500000000002</v>
      </c>
      <c r="R1548" s="8">
        <v>13.4</v>
      </c>
      <c r="S1548" s="8">
        <v>14.2</v>
      </c>
      <c r="T1548" s="8">
        <v>0.8</v>
      </c>
      <c r="U1548" s="8">
        <v>13</v>
      </c>
      <c r="V1548" s="8">
        <v>1.3</v>
      </c>
      <c r="W1548" s="8">
        <v>0.6</v>
      </c>
      <c r="X1548" s="8">
        <v>133</v>
      </c>
      <c r="Y1548" s="8" t="s">
        <v>7191</v>
      </c>
      <c r="Z1548" s="8" t="s">
        <v>7192</v>
      </c>
    </row>
    <row r="1549" spans="1:26" x14ac:dyDescent="0.2">
      <c r="A1549" s="8">
        <v>1548</v>
      </c>
      <c r="B1549" s="8" t="s">
        <v>7193</v>
      </c>
      <c r="C1549" s="8" t="s">
        <v>7193</v>
      </c>
      <c r="F1549" s="47"/>
      <c r="G1549" s="8">
        <v>16</v>
      </c>
      <c r="H1549" s="8" t="s">
        <v>21</v>
      </c>
      <c r="I1549" s="8" t="s">
        <v>72</v>
      </c>
      <c r="J1549" s="8" t="s">
        <v>72</v>
      </c>
      <c r="K1549" s="8" t="s">
        <v>1405</v>
      </c>
      <c r="L1549" s="8" t="s">
        <v>3147</v>
      </c>
      <c r="M1549" s="8" t="s">
        <v>3148</v>
      </c>
      <c r="N1549" s="8" t="s">
        <v>7194</v>
      </c>
      <c r="O1549" s="8">
        <f>4+20/60+49.6/3600</f>
        <v>4.3471111111111105</v>
      </c>
      <c r="P1549" s="8" t="s">
        <v>7195</v>
      </c>
      <c r="Q1549" s="8">
        <f>+(36+53/60+55/3600)</f>
        <v>36.898611111111109</v>
      </c>
      <c r="R1549" s="8">
        <v>99</v>
      </c>
      <c r="S1549" s="8">
        <v>99</v>
      </c>
      <c r="T1549" s="8">
        <v>99</v>
      </c>
      <c r="U1549" s="8">
        <v>99</v>
      </c>
      <c r="V1549" s="8">
        <v>30</v>
      </c>
      <c r="Y1549" s="8" t="s">
        <v>7196</v>
      </c>
      <c r="Z1549" s="8" t="s">
        <v>7197</v>
      </c>
    </row>
    <row r="1550" spans="1:26" x14ac:dyDescent="0.2">
      <c r="A1550" s="8">
        <v>1549</v>
      </c>
      <c r="B1550" s="8" t="s">
        <v>7198</v>
      </c>
      <c r="C1550" s="8" t="s">
        <v>7198</v>
      </c>
      <c r="F1550" s="47"/>
      <c r="G1550" s="8">
        <v>3</v>
      </c>
      <c r="H1550" s="8" t="s">
        <v>21</v>
      </c>
      <c r="I1550" s="8" t="s">
        <v>22</v>
      </c>
      <c r="J1550" s="8" t="s">
        <v>22</v>
      </c>
      <c r="K1550" s="8" t="s">
        <v>460</v>
      </c>
      <c r="L1550" s="8" t="s">
        <v>55972</v>
      </c>
      <c r="M1550" s="8" t="s">
        <v>6970</v>
      </c>
      <c r="N1550" s="8" t="s">
        <v>7199</v>
      </c>
      <c r="O1550" s="8">
        <f>4+15/60+45/3600</f>
        <v>4.2625000000000002</v>
      </c>
      <c r="P1550" s="8" t="s">
        <v>7200</v>
      </c>
      <c r="Q1550" s="8">
        <f>-(55+35/60+29/3600)</f>
        <v>-55.591388888888893</v>
      </c>
      <c r="R1550" s="8">
        <v>9.8000000000000007</v>
      </c>
      <c r="S1550" s="8">
        <v>10.7</v>
      </c>
      <c r="T1550" s="8">
        <v>0.9</v>
      </c>
      <c r="U1550" s="8">
        <v>13</v>
      </c>
      <c r="V1550" s="8">
        <v>4.9000000000000004</v>
      </c>
      <c r="W1550" s="8">
        <v>4.0999999999999996</v>
      </c>
      <c r="X1550" s="8">
        <v>135</v>
      </c>
      <c r="Y1550" s="8" t="s">
        <v>7201</v>
      </c>
      <c r="Z1550" s="8" t="s">
        <v>7202</v>
      </c>
    </row>
    <row r="1551" spans="1:26" x14ac:dyDescent="0.2">
      <c r="A1551" s="8">
        <v>1550</v>
      </c>
      <c r="B1551" s="8" t="s">
        <v>7203</v>
      </c>
      <c r="C1551" s="8" t="s">
        <v>7203</v>
      </c>
      <c r="F1551" s="47"/>
      <c r="G1551" s="8">
        <v>18</v>
      </c>
      <c r="H1551" s="8" t="s">
        <v>21</v>
      </c>
      <c r="I1551" s="8" t="s">
        <v>22</v>
      </c>
      <c r="J1551" s="8" t="s">
        <v>57</v>
      </c>
      <c r="K1551" s="8" t="s">
        <v>58</v>
      </c>
      <c r="L1551" s="8" t="s">
        <v>6115</v>
      </c>
      <c r="M1551" s="8" t="s">
        <v>6116</v>
      </c>
      <c r="N1551" s="8" t="s">
        <v>7204</v>
      </c>
      <c r="O1551" s="8">
        <f>4+19/60+38.1/3600</f>
        <v>4.3272499999999994</v>
      </c>
      <c r="P1551" s="8" t="s">
        <v>7205</v>
      </c>
      <c r="Q1551" s="8">
        <f>+(2+24/60+34/3600)</f>
        <v>2.4094444444444445</v>
      </c>
      <c r="R1551" s="8">
        <v>12</v>
      </c>
      <c r="S1551" s="8">
        <v>13.1</v>
      </c>
      <c r="T1551" s="8">
        <v>1.1000000000000001</v>
      </c>
      <c r="U1551" s="8">
        <v>13.4</v>
      </c>
      <c r="V1551" s="8">
        <v>2.2000000000000002</v>
      </c>
      <c r="W1551" s="8">
        <v>1.9</v>
      </c>
      <c r="X1551" s="8">
        <v>30</v>
      </c>
      <c r="Y1551" s="8" t="s">
        <v>7206</v>
      </c>
      <c r="Z1551" s="8" t="s">
        <v>7207</v>
      </c>
    </row>
    <row r="1552" spans="1:26" x14ac:dyDescent="0.2">
      <c r="A1552" s="8">
        <v>1551</v>
      </c>
      <c r="B1552" s="8" t="s">
        <v>7208</v>
      </c>
      <c r="C1552" s="8" t="s">
        <v>7208</v>
      </c>
      <c r="F1552" s="47" t="s">
        <v>56346</v>
      </c>
      <c r="G1552" s="8">
        <v>15</v>
      </c>
      <c r="H1552" s="8" t="s">
        <v>21</v>
      </c>
      <c r="I1552" s="8" t="s">
        <v>22</v>
      </c>
      <c r="J1552" s="8" t="s">
        <v>22</v>
      </c>
      <c r="K1552" s="8" t="s">
        <v>58</v>
      </c>
      <c r="L1552" s="8" t="s">
        <v>6115</v>
      </c>
      <c r="M1552" s="8" t="s">
        <v>6116</v>
      </c>
      <c r="N1552" s="8" t="s">
        <v>7204</v>
      </c>
      <c r="O1552" s="8">
        <f>4+19/60+38.1/3600</f>
        <v>4.3272499999999994</v>
      </c>
      <c r="P1552" s="8" t="s">
        <v>7205</v>
      </c>
      <c r="Q1552" s="8">
        <f>+(2+24/60+34/3600)</f>
        <v>2.4094444444444445</v>
      </c>
      <c r="R1552" s="8">
        <v>12</v>
      </c>
      <c r="S1552" s="8">
        <v>13.1</v>
      </c>
      <c r="T1552" s="8">
        <v>1.1000000000000001</v>
      </c>
      <c r="U1552" s="8">
        <v>13.4</v>
      </c>
      <c r="V1552" s="8">
        <v>2.2000000000000002</v>
      </c>
      <c r="W1552" s="8">
        <v>1.9</v>
      </c>
      <c r="X1552" s="8">
        <v>30</v>
      </c>
      <c r="Y1552" s="8" t="s">
        <v>7206</v>
      </c>
      <c r="Z1552" s="8" t="s">
        <v>7209</v>
      </c>
    </row>
    <row r="1553" spans="1:26" x14ac:dyDescent="0.2">
      <c r="A1553" s="8">
        <v>1552</v>
      </c>
      <c r="B1553" s="8" t="s">
        <v>7210</v>
      </c>
      <c r="C1553" s="8" t="s">
        <v>7210</v>
      </c>
      <c r="F1553" s="47" t="s">
        <v>56347</v>
      </c>
      <c r="G1553" s="8">
        <v>15</v>
      </c>
      <c r="H1553" s="8" t="s">
        <v>21</v>
      </c>
      <c r="I1553" s="8" t="s">
        <v>22</v>
      </c>
      <c r="J1553" s="8" t="s">
        <v>22</v>
      </c>
      <c r="K1553" s="8" t="s">
        <v>632</v>
      </c>
      <c r="L1553" s="8" t="s">
        <v>3328</v>
      </c>
      <c r="M1553" s="8" t="s">
        <v>3329</v>
      </c>
      <c r="N1553" s="8" t="s">
        <v>7211</v>
      </c>
      <c r="O1553" s="8">
        <f>4+20/60+17.6/3600</f>
        <v>4.338222222222222</v>
      </c>
      <c r="P1553" s="8" t="s">
        <v>7212</v>
      </c>
      <c r="Q1553" s="8">
        <f>-(0+41/60+33/3600)</f>
        <v>-0.6925</v>
      </c>
      <c r="R1553" s="8">
        <v>12.9</v>
      </c>
      <c r="S1553" s="8">
        <v>13.8</v>
      </c>
      <c r="T1553" s="8">
        <v>0.9</v>
      </c>
      <c r="U1553" s="8">
        <v>13.6</v>
      </c>
      <c r="V1553" s="8">
        <v>1.8</v>
      </c>
      <c r="W1553" s="8">
        <v>1.2</v>
      </c>
      <c r="X1553" s="8">
        <v>110</v>
      </c>
      <c r="Y1553" s="8" t="s">
        <v>7213</v>
      </c>
      <c r="Z1553" s="8" t="s">
        <v>7214</v>
      </c>
    </row>
    <row r="1554" spans="1:26" x14ac:dyDescent="0.2">
      <c r="A1554" s="8">
        <v>1553</v>
      </c>
      <c r="B1554" s="8" t="s">
        <v>7215</v>
      </c>
      <c r="C1554" s="8" t="s">
        <v>7215</v>
      </c>
      <c r="F1554" s="47"/>
      <c r="G1554" s="8">
        <v>3</v>
      </c>
      <c r="H1554" s="8" t="s">
        <v>21</v>
      </c>
      <c r="I1554" s="8" t="s">
        <v>22</v>
      </c>
      <c r="J1554" s="8" t="s">
        <v>22</v>
      </c>
      <c r="K1554" s="8" t="s">
        <v>37</v>
      </c>
      <c r="L1554" s="8" t="s">
        <v>55972</v>
      </c>
      <c r="M1554" s="8" t="s">
        <v>6970</v>
      </c>
      <c r="N1554" s="8" t="s">
        <v>7216</v>
      </c>
      <c r="O1554" s="8">
        <f>4+16/60+10.6/3600</f>
        <v>4.2696111111111108</v>
      </c>
      <c r="P1554" s="8" t="s">
        <v>7217</v>
      </c>
      <c r="Q1554" s="8">
        <f>-(55+46/60+46/3600)</f>
        <v>-55.779444444444444</v>
      </c>
      <c r="R1554" s="8">
        <v>9.4</v>
      </c>
      <c r="S1554" s="8">
        <v>10.3</v>
      </c>
      <c r="T1554" s="8">
        <v>0.9</v>
      </c>
      <c r="U1554" s="8">
        <v>12</v>
      </c>
      <c r="V1554" s="8">
        <v>4.5</v>
      </c>
      <c r="W1554" s="8">
        <v>2.8</v>
      </c>
      <c r="X1554" s="8">
        <v>150</v>
      </c>
      <c r="Y1554" s="8" t="s">
        <v>7218</v>
      </c>
      <c r="Z1554" s="8" t="s">
        <v>7219</v>
      </c>
    </row>
    <row r="1555" spans="1:26" x14ac:dyDescent="0.2">
      <c r="A1555" s="8">
        <v>1554</v>
      </c>
      <c r="B1555" s="8" t="s">
        <v>7220</v>
      </c>
      <c r="C1555" s="8" t="s">
        <v>7220</v>
      </c>
      <c r="F1555" s="47"/>
      <c r="G1555" s="8">
        <v>9</v>
      </c>
      <c r="H1555" s="8" t="s">
        <v>7221</v>
      </c>
      <c r="I1555" s="8" t="s">
        <v>72</v>
      </c>
      <c r="J1555" s="8" t="s">
        <v>72</v>
      </c>
      <c r="K1555" s="8" t="s">
        <v>73</v>
      </c>
      <c r="L1555" s="8" t="s">
        <v>6115</v>
      </c>
      <c r="M1555" s="8" t="s">
        <v>6116</v>
      </c>
      <c r="N1555" s="8" t="s">
        <v>7222</v>
      </c>
      <c r="O1555" s="8">
        <f>4+21/60+43.5/3600</f>
        <v>4.3620833333333326</v>
      </c>
      <c r="P1555" s="8" t="s">
        <v>7223</v>
      </c>
      <c r="Q1555" s="8">
        <f>+(19+31/60+16/3600)</f>
        <v>19.521111111111111</v>
      </c>
      <c r="R1555" s="8">
        <v>99</v>
      </c>
      <c r="S1555" s="8">
        <v>99</v>
      </c>
      <c r="T1555" s="8">
        <v>99</v>
      </c>
      <c r="U1555" s="8">
        <v>99</v>
      </c>
      <c r="Y1555" s="8" t="s">
        <v>7224</v>
      </c>
      <c r="Z1555" s="8" t="s">
        <v>7225</v>
      </c>
    </row>
    <row r="1556" spans="1:26" x14ac:dyDescent="0.2">
      <c r="A1556" s="8">
        <v>1555</v>
      </c>
      <c r="B1556" s="8" t="s">
        <v>7226</v>
      </c>
      <c r="C1556" s="8" t="s">
        <v>7226</v>
      </c>
      <c r="F1556" s="47"/>
      <c r="G1556" s="8">
        <v>9</v>
      </c>
      <c r="H1556" s="8" t="s">
        <v>7227</v>
      </c>
      <c r="I1556" s="8" t="s">
        <v>1283</v>
      </c>
      <c r="J1556" s="8" t="s">
        <v>1283</v>
      </c>
      <c r="K1556" s="8" t="s">
        <v>6208</v>
      </c>
      <c r="L1556" s="8" t="s">
        <v>6115</v>
      </c>
      <c r="M1556" s="8" t="s">
        <v>6116</v>
      </c>
      <c r="N1556" s="8" t="s">
        <v>7228</v>
      </c>
      <c r="O1556" s="8">
        <f>4+21/60+56.7/3600</f>
        <v>4.3657499999999994</v>
      </c>
      <c r="P1556" s="8" t="s">
        <v>7229</v>
      </c>
      <c r="Q1556" s="8">
        <f>+(19+32/60+4/3600)</f>
        <v>19.534444444444446</v>
      </c>
      <c r="R1556" s="8">
        <v>99</v>
      </c>
      <c r="S1556" s="8">
        <v>99</v>
      </c>
      <c r="T1556" s="8">
        <v>99</v>
      </c>
      <c r="U1556" s="8">
        <v>99</v>
      </c>
      <c r="V1556" s="8">
        <v>0.5</v>
      </c>
      <c r="Y1556" s="8" t="s">
        <v>7230</v>
      </c>
      <c r="Z1556" s="8" t="s">
        <v>7231</v>
      </c>
    </row>
    <row r="1557" spans="1:26" x14ac:dyDescent="0.2">
      <c r="A1557" s="8">
        <v>1556</v>
      </c>
      <c r="B1557" s="8" t="s">
        <v>7232</v>
      </c>
      <c r="C1557" s="8" t="s">
        <v>7232</v>
      </c>
      <c r="F1557" s="47"/>
      <c r="G1557" s="8">
        <v>16</v>
      </c>
      <c r="H1557" s="8" t="s">
        <v>21</v>
      </c>
      <c r="I1557" s="8" t="s">
        <v>22</v>
      </c>
      <c r="J1557" s="8" t="s">
        <v>22</v>
      </c>
      <c r="K1557" s="8" t="s">
        <v>31</v>
      </c>
      <c r="L1557" s="8" t="s">
        <v>55972</v>
      </c>
      <c r="M1557" s="8" t="s">
        <v>6970</v>
      </c>
      <c r="N1557" s="8" t="s">
        <v>7233</v>
      </c>
      <c r="O1557" s="8">
        <f>4+17/60+44.7/3600</f>
        <v>4.29575</v>
      </c>
      <c r="P1557" s="8" t="s">
        <v>7234</v>
      </c>
      <c r="Q1557" s="8">
        <f>-(50+9/60+51/3600)</f>
        <v>-50.164166666666667</v>
      </c>
      <c r="R1557" s="8">
        <v>13.1</v>
      </c>
      <c r="S1557" s="8">
        <v>13.5</v>
      </c>
      <c r="T1557" s="8">
        <v>0.4</v>
      </c>
      <c r="U1557" s="8">
        <v>12.8</v>
      </c>
      <c r="V1557" s="8">
        <v>1.7</v>
      </c>
      <c r="W1557" s="8">
        <v>0.5</v>
      </c>
      <c r="X1557" s="8">
        <v>167</v>
      </c>
      <c r="Y1557" s="8" t="s">
        <v>7235</v>
      </c>
      <c r="Z1557" s="8" t="s">
        <v>7236</v>
      </c>
    </row>
    <row r="1558" spans="1:26" x14ac:dyDescent="0.2">
      <c r="A1558" s="8">
        <v>1557</v>
      </c>
      <c r="B1558" s="8" t="s">
        <v>7237</v>
      </c>
      <c r="C1558" s="8" t="s">
        <v>7237</v>
      </c>
      <c r="F1558" s="47"/>
      <c r="G1558" s="8">
        <v>16</v>
      </c>
      <c r="H1558" s="8" t="s">
        <v>21</v>
      </c>
      <c r="I1558" s="8" t="s">
        <v>72</v>
      </c>
      <c r="J1558" s="8" t="s">
        <v>72</v>
      </c>
      <c r="K1558" s="8" t="s">
        <v>1405</v>
      </c>
      <c r="L1558" s="8" t="s">
        <v>2916</v>
      </c>
      <c r="M1558" s="8" t="s">
        <v>2917</v>
      </c>
      <c r="N1558" s="8" t="s">
        <v>7238</v>
      </c>
      <c r="O1558" s="8">
        <f>4+13/60+14/3600</f>
        <v>4.2205555555555554</v>
      </c>
      <c r="P1558" s="8" t="s">
        <v>7239</v>
      </c>
      <c r="Q1558" s="8">
        <f>-(70+30/60+30/3600)</f>
        <v>-70.50833333333334</v>
      </c>
      <c r="R1558" s="8">
        <v>99</v>
      </c>
      <c r="S1558" s="8">
        <v>99</v>
      </c>
      <c r="T1558" s="8">
        <v>99</v>
      </c>
      <c r="U1558" s="8">
        <v>99</v>
      </c>
      <c r="V1558" s="8">
        <v>10</v>
      </c>
      <c r="Y1558" s="8" t="s">
        <v>7240</v>
      </c>
      <c r="Z1558" s="8" t="s">
        <v>7241</v>
      </c>
    </row>
    <row r="1559" spans="1:26" x14ac:dyDescent="0.2">
      <c r="A1559" s="8">
        <v>1558</v>
      </c>
      <c r="B1559" s="8" t="s">
        <v>7242</v>
      </c>
      <c r="C1559" s="8" t="s">
        <v>7242</v>
      </c>
      <c r="F1559" s="47"/>
      <c r="G1559" s="8">
        <v>16</v>
      </c>
      <c r="H1559" s="8" t="s">
        <v>21</v>
      </c>
      <c r="I1559" s="8" t="s">
        <v>22</v>
      </c>
      <c r="J1559" s="8" t="s">
        <v>22</v>
      </c>
      <c r="K1559" s="8" t="s">
        <v>85</v>
      </c>
      <c r="L1559" s="8" t="s">
        <v>7243</v>
      </c>
      <c r="M1559" s="8" t="s">
        <v>7244</v>
      </c>
      <c r="N1559" s="8" t="s">
        <v>7245</v>
      </c>
      <c r="O1559" s="8">
        <f>4+20/60+15.7/3600</f>
        <v>4.3376944444444439</v>
      </c>
      <c r="P1559" s="8" t="s">
        <v>7246</v>
      </c>
      <c r="Q1559" s="8">
        <f>-(45+1/60+52/3600)</f>
        <v>-45.031111111111109</v>
      </c>
      <c r="R1559" s="8">
        <v>12.4</v>
      </c>
      <c r="S1559" s="8">
        <v>13.2</v>
      </c>
      <c r="T1559" s="8">
        <v>0.8</v>
      </c>
      <c r="U1559" s="8">
        <v>13.1</v>
      </c>
      <c r="V1559" s="8">
        <v>2.5</v>
      </c>
      <c r="W1559" s="8">
        <v>1</v>
      </c>
      <c r="X1559" s="8">
        <v>72</v>
      </c>
      <c r="Y1559" s="8" t="s">
        <v>7247</v>
      </c>
      <c r="Z1559" s="8" t="s">
        <v>7248</v>
      </c>
    </row>
    <row r="1560" spans="1:26" x14ac:dyDescent="0.2">
      <c r="A1560" s="8">
        <v>1559</v>
      </c>
      <c r="B1560" s="8" t="s">
        <v>7249</v>
      </c>
      <c r="C1560" s="8" t="s">
        <v>7249</v>
      </c>
      <c r="F1560" s="47"/>
      <c r="G1560" s="8">
        <v>10</v>
      </c>
      <c r="H1560" s="8" t="s">
        <v>21</v>
      </c>
      <c r="I1560" s="8" t="s">
        <v>22</v>
      </c>
      <c r="J1560" s="8" t="s">
        <v>22</v>
      </c>
      <c r="K1560" s="8" t="s">
        <v>64</v>
      </c>
      <c r="L1560" s="8" t="s">
        <v>6120</v>
      </c>
      <c r="M1560" s="8" t="s">
        <v>6121</v>
      </c>
      <c r="N1560" s="8" t="s">
        <v>7250</v>
      </c>
      <c r="O1560" s="8">
        <f>4+17/60+36.7/3600</f>
        <v>4.2935277777777774</v>
      </c>
      <c r="P1560" s="8" t="s">
        <v>7251</v>
      </c>
      <c r="Q1560" s="8">
        <f>-(62+47/60+2/3600)</f>
        <v>-62.783888888888889</v>
      </c>
      <c r="R1560" s="8">
        <v>10.7</v>
      </c>
      <c r="S1560" s="8">
        <v>11</v>
      </c>
      <c r="T1560" s="8">
        <v>0.3</v>
      </c>
      <c r="U1560" s="8">
        <v>12.6</v>
      </c>
      <c r="V1560" s="8">
        <v>3.5</v>
      </c>
      <c r="W1560" s="8">
        <v>2</v>
      </c>
      <c r="X1560" s="8">
        <v>64</v>
      </c>
      <c r="Y1560" s="8" t="s">
        <v>7252</v>
      </c>
      <c r="Z1560" s="8" t="s">
        <v>7253</v>
      </c>
    </row>
    <row r="1561" spans="1:26" x14ac:dyDescent="0.2">
      <c r="A1561" s="8">
        <v>1560</v>
      </c>
      <c r="B1561" s="8" t="s">
        <v>7254</v>
      </c>
      <c r="C1561" s="8" t="s">
        <v>7254</v>
      </c>
      <c r="F1561" s="47"/>
      <c r="G1561" s="8">
        <v>19</v>
      </c>
      <c r="H1561" s="8" t="s">
        <v>21</v>
      </c>
      <c r="I1561" s="8" t="s">
        <v>22</v>
      </c>
      <c r="J1561" s="8" t="s">
        <v>22</v>
      </c>
      <c r="K1561" s="8" t="s">
        <v>579</v>
      </c>
      <c r="L1561" s="8" t="s">
        <v>6823</v>
      </c>
      <c r="M1561" s="8" t="s">
        <v>6824</v>
      </c>
      <c r="N1561" s="8" t="s">
        <v>7255</v>
      </c>
      <c r="O1561" s="8">
        <f>4+32/60+47.5/3600</f>
        <v>4.5465277777777775</v>
      </c>
      <c r="P1561" s="8" t="s">
        <v>7256</v>
      </c>
      <c r="Q1561" s="8">
        <f>+(71+52/60+46/3600)</f>
        <v>71.879444444444431</v>
      </c>
      <c r="R1561" s="8">
        <v>11.4</v>
      </c>
      <c r="S1561" s="8">
        <v>12.2</v>
      </c>
      <c r="T1561" s="8">
        <v>0.8</v>
      </c>
      <c r="U1561" s="8">
        <v>14.4</v>
      </c>
      <c r="V1561" s="8">
        <v>9.8000000000000007</v>
      </c>
      <c r="W1561" s="8">
        <v>1.5</v>
      </c>
      <c r="X1561" s="8">
        <v>23</v>
      </c>
      <c r="Y1561" s="8" t="s">
        <v>7257</v>
      </c>
      <c r="Z1561" s="8" t="s">
        <v>7258</v>
      </c>
    </row>
    <row r="1562" spans="1:26" x14ac:dyDescent="0.2">
      <c r="A1562" s="8">
        <v>1561</v>
      </c>
      <c r="B1562" s="8" t="s">
        <v>7259</v>
      </c>
      <c r="C1562" s="8" t="s">
        <v>7259</v>
      </c>
      <c r="F1562" s="47"/>
      <c r="G1562" s="8">
        <v>19</v>
      </c>
      <c r="H1562" s="8" t="s">
        <v>21</v>
      </c>
      <c r="I1562" s="8" t="s">
        <v>22</v>
      </c>
      <c r="J1562" s="8" t="s">
        <v>22</v>
      </c>
      <c r="K1562" s="8" t="s">
        <v>58</v>
      </c>
      <c r="L1562" s="8" t="s">
        <v>3328</v>
      </c>
      <c r="M1562" s="8" t="s">
        <v>3329</v>
      </c>
      <c r="N1562" s="8" t="s">
        <v>7260</v>
      </c>
      <c r="O1562" s="8">
        <f>4+23/60+1/3600</f>
        <v>4.3836111111111116</v>
      </c>
      <c r="P1562" s="8" t="s">
        <v>7261</v>
      </c>
      <c r="Q1562" s="8">
        <f>-(15+50/60+43/3600)</f>
        <v>-15.845277777777778</v>
      </c>
      <c r="R1562" s="8">
        <v>13.8</v>
      </c>
      <c r="S1562" s="8">
        <v>14.8</v>
      </c>
      <c r="T1562" s="8">
        <v>1</v>
      </c>
      <c r="U1562" s="8">
        <v>13.5</v>
      </c>
      <c r="V1562" s="8">
        <v>1.1000000000000001</v>
      </c>
      <c r="W1562" s="8">
        <v>0.8</v>
      </c>
      <c r="X1562" s="8">
        <v>175</v>
      </c>
      <c r="Y1562" s="8" t="s">
        <v>7262</v>
      </c>
      <c r="Z1562" s="8" t="s">
        <v>7263</v>
      </c>
    </row>
    <row r="1563" spans="1:26" x14ac:dyDescent="0.2">
      <c r="A1563" s="8">
        <v>1562</v>
      </c>
      <c r="B1563" s="8" t="s">
        <v>7264</v>
      </c>
      <c r="C1563" s="8" t="s">
        <v>7264</v>
      </c>
      <c r="F1563" s="47"/>
      <c r="G1563" s="8">
        <v>19</v>
      </c>
      <c r="H1563" s="8" t="s">
        <v>21</v>
      </c>
      <c r="I1563" s="8" t="s">
        <v>22</v>
      </c>
      <c r="J1563" s="8" t="s">
        <v>22</v>
      </c>
      <c r="K1563" s="8" t="s">
        <v>37</v>
      </c>
      <c r="L1563" s="8" t="s">
        <v>3328</v>
      </c>
      <c r="M1563" s="8" t="s">
        <v>3329</v>
      </c>
      <c r="N1563" s="8" t="s">
        <v>7265</v>
      </c>
      <c r="O1563" s="8">
        <f>4+21/60+47.6/3600</f>
        <v>4.3632222222222214</v>
      </c>
      <c r="P1563" s="8" t="s">
        <v>7266</v>
      </c>
      <c r="Q1563" s="8">
        <f>-(15+45/60+19/3600)</f>
        <v>-15.755277777777778</v>
      </c>
      <c r="R1563" s="8">
        <v>14.3</v>
      </c>
      <c r="S1563" s="8">
        <v>15.3</v>
      </c>
      <c r="T1563" s="8">
        <v>1</v>
      </c>
      <c r="U1563" s="8">
        <v>13.1</v>
      </c>
      <c r="V1563" s="8">
        <v>0.6</v>
      </c>
      <c r="W1563" s="8">
        <v>0.6</v>
      </c>
      <c r="Y1563" s="8" t="s">
        <v>7267</v>
      </c>
      <c r="Z1563" s="8" t="s">
        <v>7268</v>
      </c>
    </row>
    <row r="1564" spans="1:26" x14ac:dyDescent="0.2">
      <c r="A1564" s="8">
        <v>1563</v>
      </c>
      <c r="B1564" s="8" t="s">
        <v>7269</v>
      </c>
      <c r="C1564" s="8" t="s">
        <v>7269</v>
      </c>
      <c r="F1564" s="47"/>
      <c r="G1564" s="8">
        <v>19</v>
      </c>
      <c r="H1564" s="8" t="s">
        <v>21</v>
      </c>
      <c r="I1564" s="8" t="s">
        <v>22</v>
      </c>
      <c r="J1564" s="8" t="s">
        <v>22</v>
      </c>
      <c r="K1564" s="8" t="s">
        <v>818</v>
      </c>
      <c r="L1564" s="8" t="s">
        <v>3328</v>
      </c>
      <c r="M1564" s="8" t="s">
        <v>3329</v>
      </c>
      <c r="N1564" s="8" t="s">
        <v>7270</v>
      </c>
      <c r="O1564" s="8">
        <f>4+22/60+53.9/3600</f>
        <v>4.3816388888888884</v>
      </c>
      <c r="P1564" s="8" t="s">
        <v>7271</v>
      </c>
      <c r="Q1564" s="8">
        <f>-(15+43/60+58/3600)</f>
        <v>-15.732777777777779</v>
      </c>
      <c r="R1564" s="8">
        <v>15</v>
      </c>
      <c r="S1564" s="8">
        <v>16</v>
      </c>
      <c r="T1564" s="8">
        <v>1</v>
      </c>
      <c r="U1564" s="8">
        <v>13.4</v>
      </c>
      <c r="V1564" s="8">
        <v>0.7</v>
      </c>
      <c r="W1564" s="8">
        <v>0.3</v>
      </c>
      <c r="X1564" s="8">
        <v>80</v>
      </c>
      <c r="Y1564" s="8" t="s">
        <v>7272</v>
      </c>
      <c r="Z1564" s="8" t="s">
        <v>7273</v>
      </c>
    </row>
    <row r="1565" spans="1:26" x14ac:dyDescent="0.2">
      <c r="A1565" s="8">
        <v>1564</v>
      </c>
      <c r="B1565" s="8" t="s">
        <v>7274</v>
      </c>
      <c r="C1565" s="8" t="s">
        <v>7274</v>
      </c>
      <c r="F1565" s="47"/>
      <c r="G1565" s="8">
        <v>19</v>
      </c>
      <c r="H1565" s="8" t="s">
        <v>21</v>
      </c>
      <c r="I1565" s="8" t="s">
        <v>22</v>
      </c>
      <c r="J1565" s="8" t="s">
        <v>22</v>
      </c>
      <c r="K1565" s="8" t="s">
        <v>37</v>
      </c>
      <c r="L1565" s="8" t="s">
        <v>3328</v>
      </c>
      <c r="M1565" s="8" t="s">
        <v>3329</v>
      </c>
      <c r="N1565" s="8" t="s">
        <v>7275</v>
      </c>
      <c r="O1565" s="8">
        <f>4+23/60+0.9/3600</f>
        <v>4.3835833333333341</v>
      </c>
      <c r="P1565" s="8" t="s">
        <v>7276</v>
      </c>
      <c r="Q1565" s="8">
        <f>-(15+44/60+20/3600)</f>
        <v>-15.738888888888889</v>
      </c>
      <c r="R1565" s="8">
        <v>14.6</v>
      </c>
      <c r="S1565" s="8">
        <v>15.6</v>
      </c>
      <c r="T1565" s="8">
        <v>1</v>
      </c>
      <c r="U1565" s="8">
        <v>13.3</v>
      </c>
      <c r="V1565" s="8">
        <v>0.7</v>
      </c>
      <c r="W1565" s="8">
        <v>0.5</v>
      </c>
      <c r="X1565" s="8">
        <v>20</v>
      </c>
      <c r="Y1565" s="8" t="s">
        <v>7277</v>
      </c>
      <c r="Z1565" s="8" t="s">
        <v>7273</v>
      </c>
    </row>
    <row r="1566" spans="1:26" x14ac:dyDescent="0.2">
      <c r="A1566" s="8">
        <v>1565</v>
      </c>
      <c r="B1566" s="8" t="s">
        <v>7278</v>
      </c>
      <c r="C1566" s="8" t="s">
        <v>7278</v>
      </c>
      <c r="F1566" s="47"/>
      <c r="G1566" s="8">
        <v>19</v>
      </c>
      <c r="H1566" s="8" t="s">
        <v>21</v>
      </c>
      <c r="I1566" s="8" t="s">
        <v>22</v>
      </c>
      <c r="J1566" s="8" t="s">
        <v>22</v>
      </c>
      <c r="K1566" s="8" t="s">
        <v>160</v>
      </c>
      <c r="L1566" s="8" t="s">
        <v>3328</v>
      </c>
      <c r="M1566" s="8" t="s">
        <v>3329</v>
      </c>
      <c r="N1566" s="8" t="s">
        <v>7279</v>
      </c>
      <c r="O1566" s="8">
        <f>4+23/60+23.6/3600</f>
        <v>4.3898888888888896</v>
      </c>
      <c r="P1566" s="8" t="s">
        <v>7280</v>
      </c>
      <c r="Q1566" s="8">
        <f>-(15+44/60+41/3600)</f>
        <v>-15.744722222222221</v>
      </c>
      <c r="R1566" s="8">
        <v>14</v>
      </c>
      <c r="S1566" s="8">
        <v>14.7</v>
      </c>
      <c r="T1566" s="8">
        <v>0.7</v>
      </c>
      <c r="U1566" s="8">
        <v>13.5</v>
      </c>
      <c r="V1566" s="8">
        <v>0.9</v>
      </c>
      <c r="W1566" s="8">
        <v>0.8</v>
      </c>
      <c r="X1566" s="8">
        <v>170</v>
      </c>
      <c r="Y1566" s="8" t="s">
        <v>1348</v>
      </c>
      <c r="Z1566" s="8" t="s">
        <v>1349</v>
      </c>
    </row>
    <row r="1567" spans="1:26" x14ac:dyDescent="0.2">
      <c r="A1567" s="8">
        <v>1566</v>
      </c>
      <c r="B1567" s="8" t="s">
        <v>7281</v>
      </c>
      <c r="C1567" s="8" t="s">
        <v>7281</v>
      </c>
      <c r="F1567" s="47"/>
      <c r="G1567" s="8">
        <v>3</v>
      </c>
      <c r="H1567" s="8" t="s">
        <v>21</v>
      </c>
      <c r="I1567" s="8" t="s">
        <v>22</v>
      </c>
      <c r="J1567" s="8" t="s">
        <v>22</v>
      </c>
      <c r="K1567" s="8" t="s">
        <v>85</v>
      </c>
      <c r="L1567" s="8" t="s">
        <v>55972</v>
      </c>
      <c r="M1567" s="8" t="s">
        <v>6970</v>
      </c>
      <c r="N1567" s="8" t="s">
        <v>7282</v>
      </c>
      <c r="O1567" s="8">
        <f>4+20/60+0.5/3600</f>
        <v>4.3334722222222215</v>
      </c>
      <c r="P1567" s="8" t="s">
        <v>7283</v>
      </c>
      <c r="Q1567" s="8">
        <f>-(54+56/60+14/3600)</f>
        <v>-54.937222222222218</v>
      </c>
      <c r="R1567" s="8">
        <v>9.6999999999999993</v>
      </c>
      <c r="S1567" s="8">
        <v>10.3</v>
      </c>
      <c r="T1567" s="8">
        <v>0.6</v>
      </c>
      <c r="U1567" s="8">
        <v>13.9</v>
      </c>
      <c r="V1567" s="8">
        <v>8.1999999999999993</v>
      </c>
      <c r="W1567" s="8">
        <v>6.5</v>
      </c>
      <c r="X1567" s="8">
        <v>60</v>
      </c>
      <c r="Y1567" s="8" t="s">
        <v>7284</v>
      </c>
      <c r="Z1567" s="8" t="s">
        <v>7285</v>
      </c>
    </row>
    <row r="1568" spans="1:26" x14ac:dyDescent="0.2">
      <c r="A1568" s="8">
        <v>1567</v>
      </c>
      <c r="B1568" s="8" t="s">
        <v>7286</v>
      </c>
      <c r="C1568" s="8" t="s">
        <v>7286</v>
      </c>
      <c r="F1568" s="47"/>
      <c r="G1568" s="8">
        <v>16</v>
      </c>
      <c r="H1568" s="8" t="s">
        <v>21</v>
      </c>
      <c r="I1568" s="8" t="s">
        <v>22</v>
      </c>
      <c r="J1568" s="8" t="s">
        <v>22</v>
      </c>
      <c r="K1568" s="8" t="s">
        <v>460</v>
      </c>
      <c r="L1568" s="8" t="s">
        <v>7243</v>
      </c>
      <c r="M1568" s="8" t="s">
        <v>7244</v>
      </c>
      <c r="N1568" s="8" t="s">
        <v>7287</v>
      </c>
      <c r="O1568" s="8">
        <f>4+21/60+8.7/3600</f>
        <v>4.3524166666666666</v>
      </c>
      <c r="P1568" s="8" t="s">
        <v>7288</v>
      </c>
      <c r="Q1568" s="8">
        <f>-(48+15/60+17/3600)</f>
        <v>-48.25472222222222</v>
      </c>
      <c r="R1568" s="8">
        <v>11.5</v>
      </c>
      <c r="S1568" s="8">
        <v>12.5</v>
      </c>
      <c r="T1568" s="8">
        <v>1</v>
      </c>
      <c r="U1568" s="8">
        <v>12.1</v>
      </c>
      <c r="V1568" s="8">
        <v>1.3</v>
      </c>
      <c r="W1568" s="8">
        <v>1.3</v>
      </c>
      <c r="Y1568" s="8" t="s">
        <v>2641</v>
      </c>
      <c r="Z1568" s="8" t="s">
        <v>2642</v>
      </c>
    </row>
    <row r="1569" spans="1:26" x14ac:dyDescent="0.2">
      <c r="A1569" s="8">
        <v>1568</v>
      </c>
      <c r="B1569" s="8" t="s">
        <v>7289</v>
      </c>
      <c r="C1569" s="8" t="s">
        <v>7289</v>
      </c>
      <c r="D1569" s="8" t="s">
        <v>351</v>
      </c>
      <c r="F1569" s="47"/>
      <c r="G1569" s="8">
        <v>19</v>
      </c>
      <c r="H1569" s="8" t="s">
        <v>21</v>
      </c>
      <c r="I1569" s="8" t="s">
        <v>22</v>
      </c>
      <c r="J1569" s="8" t="s">
        <v>22</v>
      </c>
      <c r="K1569" s="8" t="s">
        <v>632</v>
      </c>
      <c r="L1569" s="8" t="s">
        <v>3328</v>
      </c>
      <c r="M1569" s="8" t="s">
        <v>3329</v>
      </c>
      <c r="N1569" s="8" t="s">
        <v>7290</v>
      </c>
      <c r="O1569" s="8">
        <f>4+24/60+20.6/3600</f>
        <v>4.4057222222222228</v>
      </c>
      <c r="P1569" s="8" t="s">
        <v>7291</v>
      </c>
      <c r="Q1569" s="8">
        <f>-(0+44/60+17/3600)</f>
        <v>-0.73805555555555546</v>
      </c>
      <c r="R1569" s="8">
        <v>14</v>
      </c>
      <c r="S1569" s="8">
        <v>14.9</v>
      </c>
      <c r="T1569" s="8">
        <v>0.9</v>
      </c>
      <c r="U1569" s="8">
        <v>12.1</v>
      </c>
      <c r="V1569" s="8">
        <v>0.5</v>
      </c>
      <c r="W1569" s="8">
        <v>0.4</v>
      </c>
      <c r="X1569" s="8">
        <v>135</v>
      </c>
      <c r="Y1569" s="8" t="s">
        <v>7292</v>
      </c>
      <c r="Z1569" s="8" t="s">
        <v>7293</v>
      </c>
    </row>
    <row r="1570" spans="1:26" x14ac:dyDescent="0.2">
      <c r="A1570" s="8">
        <v>1569</v>
      </c>
      <c r="B1570" s="8" t="s">
        <v>7294</v>
      </c>
      <c r="C1570" s="8" t="s">
        <v>7294</v>
      </c>
      <c r="F1570" s="47" t="s">
        <v>56348</v>
      </c>
      <c r="G1570" s="8">
        <v>7</v>
      </c>
      <c r="H1570" s="8" t="s">
        <v>21</v>
      </c>
      <c r="I1570" s="8" t="s">
        <v>22</v>
      </c>
      <c r="J1570" s="8" t="s">
        <v>22</v>
      </c>
      <c r="K1570" s="8" t="s">
        <v>107</v>
      </c>
      <c r="L1570" s="8" t="s">
        <v>6823</v>
      </c>
      <c r="M1570" s="8" t="s">
        <v>6824</v>
      </c>
      <c r="N1570" s="8" t="s">
        <v>7295</v>
      </c>
      <c r="O1570" s="8">
        <f>4+30/60+49.1/3600</f>
        <v>4.513638888888889</v>
      </c>
      <c r="P1570" s="8" t="s">
        <v>7296</v>
      </c>
      <c r="Q1570" s="8">
        <f>+(64+50/60+53/3600)</f>
        <v>64.848055555555547</v>
      </c>
      <c r="R1570" s="8">
        <v>11</v>
      </c>
      <c r="S1570" s="8">
        <v>11.9</v>
      </c>
      <c r="T1570" s="8">
        <v>0.9</v>
      </c>
      <c r="U1570" s="8">
        <v>12.9</v>
      </c>
      <c r="V1570" s="8">
        <v>3.7</v>
      </c>
      <c r="W1570" s="8">
        <v>1.8</v>
      </c>
      <c r="X1570" s="8">
        <v>120</v>
      </c>
      <c r="Y1570" s="8" t="s">
        <v>7297</v>
      </c>
      <c r="Z1570" s="8" t="s">
        <v>7298</v>
      </c>
    </row>
    <row r="1571" spans="1:26" x14ac:dyDescent="0.2">
      <c r="A1571" s="8">
        <v>1570</v>
      </c>
      <c r="B1571" s="8" t="s">
        <v>7299</v>
      </c>
      <c r="C1571" s="8" t="s">
        <v>7299</v>
      </c>
      <c r="F1571" s="47"/>
      <c r="G1571" s="8">
        <v>16</v>
      </c>
      <c r="H1571" s="8" t="s">
        <v>21</v>
      </c>
      <c r="I1571" s="8" t="s">
        <v>22</v>
      </c>
      <c r="J1571" s="8" t="s">
        <v>22</v>
      </c>
      <c r="K1571" s="8" t="s">
        <v>1136</v>
      </c>
      <c r="L1571" s="8" t="s">
        <v>7243</v>
      </c>
      <c r="M1571" s="8" t="s">
        <v>7244</v>
      </c>
      <c r="N1571" s="8" t="s">
        <v>7300</v>
      </c>
      <c r="O1571" s="8">
        <f>4+22/60+8.9/3600</f>
        <v>4.3691388888888882</v>
      </c>
      <c r="P1571" s="8" t="s">
        <v>7301</v>
      </c>
      <c r="Q1571" s="8">
        <f>-(43+37/60+48/3600)</f>
        <v>-43.63</v>
      </c>
      <c r="R1571" s="8">
        <v>12.3</v>
      </c>
      <c r="S1571" s="8">
        <v>13.2</v>
      </c>
      <c r="T1571" s="8">
        <v>0.9</v>
      </c>
      <c r="U1571" s="8">
        <v>13.5</v>
      </c>
      <c r="V1571" s="8">
        <v>1.5</v>
      </c>
      <c r="W1571" s="8">
        <v>1.2</v>
      </c>
      <c r="X1571" s="8">
        <v>172</v>
      </c>
      <c r="Y1571" s="8" t="s">
        <v>6420</v>
      </c>
      <c r="Z1571" s="8" t="s">
        <v>6421</v>
      </c>
    </row>
    <row r="1572" spans="1:26" x14ac:dyDescent="0.2">
      <c r="A1572" s="8">
        <v>1571</v>
      </c>
      <c r="B1572" s="8" t="s">
        <v>7302</v>
      </c>
      <c r="C1572" s="8" t="s">
        <v>7302</v>
      </c>
      <c r="F1572" s="47"/>
      <c r="G1572" s="8">
        <v>16</v>
      </c>
      <c r="H1572" s="8" t="s">
        <v>21</v>
      </c>
      <c r="I1572" s="8" t="s">
        <v>22</v>
      </c>
      <c r="J1572" s="8" t="s">
        <v>57</v>
      </c>
      <c r="K1572" s="8" t="s">
        <v>1136</v>
      </c>
      <c r="L1572" s="8" t="s">
        <v>7243</v>
      </c>
      <c r="M1572" s="8" t="s">
        <v>7244</v>
      </c>
      <c r="N1572" s="8" t="s">
        <v>7300</v>
      </c>
      <c r="O1572" s="8">
        <f>4+22/60+8.9/3600</f>
        <v>4.3691388888888882</v>
      </c>
      <c r="P1572" s="8" t="s">
        <v>7301</v>
      </c>
      <c r="Q1572" s="8">
        <f>-(43+37/60+48/3600)</f>
        <v>-43.63</v>
      </c>
      <c r="R1572" s="8">
        <v>12.3</v>
      </c>
      <c r="S1572" s="8">
        <v>13.2</v>
      </c>
      <c r="T1572" s="8">
        <v>0.9</v>
      </c>
      <c r="U1572" s="8">
        <v>13.5</v>
      </c>
      <c r="V1572" s="8">
        <v>1.5</v>
      </c>
      <c r="W1572" s="8">
        <v>1.2</v>
      </c>
      <c r="X1572" s="8">
        <v>172</v>
      </c>
      <c r="Y1572" s="8" t="s">
        <v>6420</v>
      </c>
      <c r="Z1572" s="8" t="s">
        <v>7303</v>
      </c>
    </row>
    <row r="1573" spans="1:26" x14ac:dyDescent="0.2">
      <c r="A1573" s="8">
        <v>1572</v>
      </c>
      <c r="B1573" s="8" t="s">
        <v>7304</v>
      </c>
      <c r="C1573" s="8" t="s">
        <v>7304</v>
      </c>
      <c r="F1573" s="47"/>
      <c r="G1573" s="8">
        <v>16</v>
      </c>
      <c r="H1573" s="8" t="s">
        <v>21</v>
      </c>
      <c r="I1573" s="8" t="s">
        <v>22</v>
      </c>
      <c r="J1573" s="8" t="s">
        <v>22</v>
      </c>
      <c r="K1573" s="8" t="s">
        <v>154</v>
      </c>
      <c r="L1573" s="8" t="s">
        <v>7243</v>
      </c>
      <c r="M1573" s="8" t="s">
        <v>7244</v>
      </c>
      <c r="N1573" s="8" t="s">
        <v>7305</v>
      </c>
      <c r="O1573" s="8">
        <f>4+22/60+42.7/3600</f>
        <v>4.3785277777777774</v>
      </c>
      <c r="P1573" s="8" t="s">
        <v>7306</v>
      </c>
      <c r="Q1573" s="8">
        <f>-(40+36/60+4/3600)</f>
        <v>-40.601111111111109</v>
      </c>
      <c r="R1573" s="8">
        <v>12.4</v>
      </c>
      <c r="S1573" s="8">
        <v>13.3</v>
      </c>
      <c r="T1573" s="8">
        <v>0.9</v>
      </c>
      <c r="U1573" s="8">
        <v>13.5</v>
      </c>
      <c r="V1573" s="8">
        <v>2.4</v>
      </c>
      <c r="W1573" s="8">
        <v>1.2</v>
      </c>
      <c r="X1573" s="8">
        <v>0</v>
      </c>
      <c r="Y1573" s="8" t="s">
        <v>7307</v>
      </c>
      <c r="Z1573" s="8" t="s">
        <v>7308</v>
      </c>
    </row>
    <row r="1574" spans="1:26" x14ac:dyDescent="0.2">
      <c r="A1574" s="8">
        <v>1573</v>
      </c>
      <c r="B1574" s="8" t="s">
        <v>7309</v>
      </c>
      <c r="C1574" s="8" t="s">
        <v>7309</v>
      </c>
      <c r="F1574" s="47"/>
      <c r="G1574" s="8">
        <v>19</v>
      </c>
      <c r="H1574" s="8" t="s">
        <v>21</v>
      </c>
      <c r="I1574" s="8" t="s">
        <v>22</v>
      </c>
      <c r="J1574" s="8" t="s">
        <v>22</v>
      </c>
      <c r="K1574" s="8" t="s">
        <v>382</v>
      </c>
      <c r="L1574" s="8" t="s">
        <v>6823</v>
      </c>
      <c r="M1574" s="8" t="s">
        <v>6824</v>
      </c>
      <c r="N1574" s="8" t="s">
        <v>7310</v>
      </c>
      <c r="O1574" s="8">
        <f>4+35/60+4.2/3600</f>
        <v>4.5844999999999994</v>
      </c>
      <c r="P1574" s="8" t="s">
        <v>7311</v>
      </c>
      <c r="Q1574" s="8">
        <f>+(73+15/60+47/3600)</f>
        <v>73.263055555555553</v>
      </c>
      <c r="R1574" s="8">
        <v>11.7</v>
      </c>
      <c r="S1574" s="8">
        <v>12.8</v>
      </c>
      <c r="T1574" s="8">
        <v>1.1000000000000001</v>
      </c>
      <c r="U1574" s="8">
        <v>12.6</v>
      </c>
      <c r="V1574" s="8">
        <v>1.9</v>
      </c>
      <c r="W1574" s="8">
        <v>1.3</v>
      </c>
      <c r="X1574" s="8">
        <v>35</v>
      </c>
      <c r="Y1574" s="8" t="s">
        <v>7312</v>
      </c>
      <c r="Z1574" s="8" t="s">
        <v>7313</v>
      </c>
    </row>
    <row r="1575" spans="1:26" x14ac:dyDescent="0.2">
      <c r="A1575" s="8">
        <v>1574</v>
      </c>
      <c r="B1575" s="8" t="s">
        <v>7314</v>
      </c>
      <c r="C1575" s="8" t="s">
        <v>7314</v>
      </c>
      <c r="F1575" s="47"/>
      <c r="G1575" s="8">
        <v>13</v>
      </c>
      <c r="H1575" s="8" t="s">
        <v>21</v>
      </c>
      <c r="I1575" s="8" t="s">
        <v>22</v>
      </c>
      <c r="J1575" s="8" t="s">
        <v>22</v>
      </c>
      <c r="K1575" s="8" t="s">
        <v>5627</v>
      </c>
      <c r="L1575" s="8" t="s">
        <v>6120</v>
      </c>
      <c r="M1575" s="8" t="s">
        <v>6121</v>
      </c>
      <c r="N1575" s="8" t="s">
        <v>7315</v>
      </c>
      <c r="O1575" s="8">
        <f>4+21/60+58.6/3600</f>
        <v>4.3662777777777775</v>
      </c>
      <c r="P1575" s="8" t="s">
        <v>7316</v>
      </c>
      <c r="Q1575" s="8">
        <f>-(56+58/60+28/3600)</f>
        <v>-56.974444444444444</v>
      </c>
      <c r="R1575" s="8">
        <v>10.4</v>
      </c>
      <c r="S1575" s="8">
        <v>11.4</v>
      </c>
      <c r="T1575" s="8">
        <v>1</v>
      </c>
      <c r="U1575" s="8">
        <v>12.8</v>
      </c>
      <c r="V1575" s="8">
        <v>4</v>
      </c>
      <c r="W1575" s="8">
        <v>3.6</v>
      </c>
      <c r="X1575" s="8">
        <v>134</v>
      </c>
      <c r="Y1575" s="8" t="s">
        <v>7317</v>
      </c>
      <c r="Z1575" s="8" t="s">
        <v>7318</v>
      </c>
    </row>
    <row r="1576" spans="1:26" x14ac:dyDescent="0.2">
      <c r="A1576" s="8">
        <v>1575</v>
      </c>
      <c r="B1576" s="8" t="s">
        <v>7319</v>
      </c>
      <c r="C1576" s="8" t="s">
        <v>7319</v>
      </c>
      <c r="F1576" s="47"/>
      <c r="G1576" s="8">
        <v>19</v>
      </c>
      <c r="H1576" s="8" t="s">
        <v>21</v>
      </c>
      <c r="I1576" s="8" t="s">
        <v>22</v>
      </c>
      <c r="J1576" s="8" t="s">
        <v>57</v>
      </c>
      <c r="K1576" s="8" t="s">
        <v>1445</v>
      </c>
      <c r="L1576" s="8" t="s">
        <v>3328</v>
      </c>
      <c r="M1576" s="8" t="s">
        <v>3329</v>
      </c>
      <c r="N1576" s="8" t="s">
        <v>7320</v>
      </c>
      <c r="O1576" s="8">
        <f>4+26/60+20.5/3600</f>
        <v>4.4390277777777776</v>
      </c>
      <c r="P1576" s="8" t="s">
        <v>7321</v>
      </c>
      <c r="Q1576" s="8">
        <f>-(10+5/60+56/3600)</f>
        <v>-10.09888888888889</v>
      </c>
      <c r="R1576" s="8">
        <v>12.6</v>
      </c>
      <c r="S1576" s="8">
        <v>13.4</v>
      </c>
      <c r="T1576" s="8">
        <v>0.8</v>
      </c>
      <c r="U1576" s="8">
        <v>13.2</v>
      </c>
      <c r="V1576" s="8">
        <v>1.5</v>
      </c>
      <c r="W1576" s="8">
        <v>1.3</v>
      </c>
      <c r="X1576" s="8">
        <v>130</v>
      </c>
      <c r="Y1576" s="8" t="s">
        <v>7322</v>
      </c>
      <c r="Z1576" s="8" t="s">
        <v>7323</v>
      </c>
    </row>
    <row r="1577" spans="1:26" x14ac:dyDescent="0.2">
      <c r="A1577" s="8">
        <v>1576</v>
      </c>
      <c r="B1577" s="8" t="s">
        <v>7324</v>
      </c>
      <c r="C1577" s="8" t="s">
        <v>7324</v>
      </c>
      <c r="F1577" s="47" t="s">
        <v>56349</v>
      </c>
      <c r="G1577" s="8">
        <v>15</v>
      </c>
      <c r="H1577" s="8" t="s">
        <v>21</v>
      </c>
      <c r="I1577" s="8" t="s">
        <v>22</v>
      </c>
      <c r="J1577" s="8" t="s">
        <v>22</v>
      </c>
      <c r="K1577" s="8" t="s">
        <v>58</v>
      </c>
      <c r="L1577" s="8" t="s">
        <v>3328</v>
      </c>
      <c r="M1577" s="8" t="s">
        <v>3329</v>
      </c>
      <c r="N1577" s="8" t="s">
        <v>7325</v>
      </c>
      <c r="O1577" s="8">
        <f>4+26/60+18.7/3600</f>
        <v>4.4385277777777778</v>
      </c>
      <c r="P1577" s="8" t="s">
        <v>7326</v>
      </c>
      <c r="Q1577" s="8">
        <f>-(3+37/60+15/3600)</f>
        <v>-3.6208333333333336</v>
      </c>
      <c r="R1577" s="8">
        <v>13.3</v>
      </c>
      <c r="S1577" s="8">
        <v>14.3</v>
      </c>
      <c r="T1577" s="8">
        <v>1</v>
      </c>
      <c r="U1577" s="8">
        <v>13.1</v>
      </c>
      <c r="V1577" s="8">
        <v>1.1000000000000001</v>
      </c>
      <c r="W1577" s="8">
        <v>0.7</v>
      </c>
      <c r="X1577" s="8">
        <v>127</v>
      </c>
      <c r="Y1577" s="8" t="s">
        <v>7327</v>
      </c>
      <c r="Z1577" s="8" t="s">
        <v>7328</v>
      </c>
    </row>
    <row r="1578" spans="1:26" x14ac:dyDescent="0.2">
      <c r="A1578" s="8">
        <v>1577</v>
      </c>
      <c r="B1578" s="8" t="s">
        <v>7329</v>
      </c>
      <c r="C1578" s="8" t="s">
        <v>7329</v>
      </c>
      <c r="F1578" s="47"/>
      <c r="G1578" s="8">
        <v>19</v>
      </c>
      <c r="H1578" s="8" t="s">
        <v>21</v>
      </c>
      <c r="I1578" s="8" t="s">
        <v>22</v>
      </c>
      <c r="J1578" s="8" t="s">
        <v>22</v>
      </c>
      <c r="K1578" s="8" t="s">
        <v>1445</v>
      </c>
      <c r="L1578" s="8" t="s">
        <v>3328</v>
      </c>
      <c r="M1578" s="8" t="s">
        <v>3329</v>
      </c>
      <c r="N1578" s="8" t="s">
        <v>7320</v>
      </c>
      <c r="O1578" s="8">
        <f>4+26/60+20.5/3600</f>
        <v>4.4390277777777776</v>
      </c>
      <c r="P1578" s="8" t="s">
        <v>7321</v>
      </c>
      <c r="Q1578" s="8">
        <f>-(10+5/60+56/3600)</f>
        <v>-10.09888888888889</v>
      </c>
      <c r="R1578" s="8">
        <v>12.6</v>
      </c>
      <c r="S1578" s="8">
        <v>13.4</v>
      </c>
      <c r="T1578" s="8">
        <v>0.8</v>
      </c>
      <c r="U1578" s="8">
        <v>13.2</v>
      </c>
      <c r="V1578" s="8">
        <v>1.5</v>
      </c>
      <c r="W1578" s="8">
        <v>1.3</v>
      </c>
      <c r="X1578" s="8">
        <v>130</v>
      </c>
      <c r="Y1578" s="8" t="s">
        <v>7322</v>
      </c>
      <c r="Z1578" s="8" t="s">
        <v>7330</v>
      </c>
    </row>
    <row r="1579" spans="1:26" x14ac:dyDescent="0.2">
      <c r="A1579" s="8">
        <v>1578</v>
      </c>
      <c r="B1579" s="8" t="s">
        <v>7331</v>
      </c>
      <c r="C1579" s="8" t="s">
        <v>7331</v>
      </c>
      <c r="F1579" s="47"/>
      <c r="G1579" s="8">
        <v>16</v>
      </c>
      <c r="H1579" s="8" t="s">
        <v>21</v>
      </c>
      <c r="I1579" s="8" t="s">
        <v>22</v>
      </c>
      <c r="J1579" s="8" t="s">
        <v>22</v>
      </c>
      <c r="K1579" s="8" t="s">
        <v>91</v>
      </c>
      <c r="L1579" s="8" t="s">
        <v>55972</v>
      </c>
      <c r="M1579" s="8" t="s">
        <v>6970</v>
      </c>
      <c r="N1579" s="8" t="s">
        <v>7332</v>
      </c>
      <c r="O1579" s="8">
        <f>4+23/60+46.7/3600</f>
        <v>4.3963055555555561</v>
      </c>
      <c r="P1579" s="8" t="s">
        <v>7333</v>
      </c>
      <c r="Q1579" s="8">
        <f>-(51+35/60+58/3600)</f>
        <v>-51.599444444444444</v>
      </c>
      <c r="R1579" s="8">
        <v>13.1</v>
      </c>
      <c r="S1579" s="8">
        <v>13.9</v>
      </c>
      <c r="T1579" s="8">
        <v>0.8</v>
      </c>
      <c r="U1579" s="8">
        <v>13.3</v>
      </c>
      <c r="V1579" s="8">
        <v>1.2</v>
      </c>
      <c r="W1579" s="8">
        <v>1.1000000000000001</v>
      </c>
      <c r="X1579" s="8">
        <v>177</v>
      </c>
      <c r="Y1579" s="8" t="s">
        <v>3034</v>
      </c>
      <c r="Z1579" s="8" t="s">
        <v>1899</v>
      </c>
    </row>
    <row r="1580" spans="1:26" x14ac:dyDescent="0.2">
      <c r="A1580" s="8">
        <v>1579</v>
      </c>
      <c r="B1580" s="8" t="s">
        <v>7334</v>
      </c>
      <c r="C1580" s="8" t="s">
        <v>7334</v>
      </c>
      <c r="F1580" s="47" t="s">
        <v>56350</v>
      </c>
      <c r="G1580" s="8">
        <v>5</v>
      </c>
      <c r="H1580" s="8" t="s">
        <v>7335</v>
      </c>
      <c r="I1580" s="8" t="s">
        <v>1283</v>
      </c>
      <c r="J1580" s="8" t="s">
        <v>1283</v>
      </c>
      <c r="K1580" s="8" t="s">
        <v>6208</v>
      </c>
      <c r="L1580" s="8" t="s">
        <v>3147</v>
      </c>
      <c r="M1580" s="8" t="s">
        <v>3148</v>
      </c>
      <c r="N1580" s="8" t="s">
        <v>7336</v>
      </c>
      <c r="O1580" s="8">
        <f>4+30/60+14.2/3600</f>
        <v>4.5039444444444445</v>
      </c>
      <c r="P1580" s="8" t="s">
        <v>7337</v>
      </c>
      <c r="Q1580" s="8">
        <f>+(35+16/60+47/3600)</f>
        <v>35.279722222222219</v>
      </c>
      <c r="R1580" s="8">
        <v>99</v>
      </c>
      <c r="S1580" s="8">
        <v>99</v>
      </c>
      <c r="T1580" s="8">
        <v>99</v>
      </c>
      <c r="U1580" s="8">
        <v>99</v>
      </c>
      <c r="V1580" s="8">
        <v>12</v>
      </c>
      <c r="W1580" s="8">
        <v>8</v>
      </c>
      <c r="Y1580" s="8" t="s">
        <v>7338</v>
      </c>
      <c r="Z1580" s="8" t="s">
        <v>7339</v>
      </c>
    </row>
    <row r="1581" spans="1:26" x14ac:dyDescent="0.2">
      <c r="A1581" s="8">
        <v>1580</v>
      </c>
      <c r="B1581" s="8" t="s">
        <v>7340</v>
      </c>
      <c r="C1581" s="8" t="s">
        <v>7340</v>
      </c>
      <c r="F1581" s="47"/>
      <c r="G1581" s="8">
        <v>18</v>
      </c>
      <c r="H1581" s="8" t="s">
        <v>21</v>
      </c>
      <c r="I1581" s="8" t="s">
        <v>22</v>
      </c>
      <c r="J1581" s="8" t="s">
        <v>22</v>
      </c>
      <c r="K1581" s="8" t="s">
        <v>396</v>
      </c>
      <c r="L1581" s="8" t="s">
        <v>3328</v>
      </c>
      <c r="M1581" s="8" t="s">
        <v>3329</v>
      </c>
      <c r="N1581" s="8" t="s">
        <v>7341</v>
      </c>
      <c r="O1581" s="8">
        <f>4+28/60+18.4/3600</f>
        <v>4.4717777777777776</v>
      </c>
      <c r="P1581" s="8" t="s">
        <v>7342</v>
      </c>
      <c r="Q1581" s="8">
        <f>-(5+10/60+45/3600)</f>
        <v>-5.1791666666666671</v>
      </c>
      <c r="R1581" s="8">
        <v>13.5</v>
      </c>
      <c r="S1581" s="8">
        <v>14.3</v>
      </c>
      <c r="T1581" s="8">
        <v>0.8</v>
      </c>
      <c r="U1581" s="8">
        <v>13</v>
      </c>
      <c r="V1581" s="8">
        <v>0.9</v>
      </c>
      <c r="W1581" s="8">
        <v>0.8</v>
      </c>
      <c r="X1581" s="8">
        <v>95</v>
      </c>
      <c r="Y1581" s="8" t="s">
        <v>7343</v>
      </c>
      <c r="Z1581" s="8" t="s">
        <v>7344</v>
      </c>
    </row>
    <row r="1582" spans="1:26" x14ac:dyDescent="0.2">
      <c r="A1582" s="8">
        <v>1581</v>
      </c>
      <c r="B1582" s="8" t="s">
        <v>7345</v>
      </c>
      <c r="C1582" s="8" t="s">
        <v>7345</v>
      </c>
      <c r="F1582" s="47"/>
      <c r="G1582" s="8">
        <v>16</v>
      </c>
      <c r="H1582" s="8" t="s">
        <v>21</v>
      </c>
      <c r="I1582" s="8" t="s">
        <v>22</v>
      </c>
      <c r="J1582" s="8" t="s">
        <v>22</v>
      </c>
      <c r="K1582" s="8" t="s">
        <v>58</v>
      </c>
      <c r="L1582" s="8" t="s">
        <v>55972</v>
      </c>
      <c r="M1582" s="8" t="s">
        <v>6970</v>
      </c>
      <c r="N1582" s="8" t="s">
        <v>7346</v>
      </c>
      <c r="O1582" s="8">
        <f>4+24/60+44.9/3600</f>
        <v>4.412472222222223</v>
      </c>
      <c r="P1582" s="8" t="s">
        <v>7347</v>
      </c>
      <c r="Q1582" s="8">
        <f>-(54+56/60+32/3600)</f>
        <v>-54.94222222222222</v>
      </c>
      <c r="R1582" s="8">
        <v>12.9</v>
      </c>
      <c r="S1582" s="8">
        <v>13.6</v>
      </c>
      <c r="T1582" s="8">
        <v>0.7</v>
      </c>
      <c r="U1582" s="8">
        <v>13</v>
      </c>
      <c r="V1582" s="8">
        <v>1.8</v>
      </c>
      <c r="W1582" s="8">
        <v>0.7</v>
      </c>
      <c r="X1582" s="8">
        <v>80</v>
      </c>
      <c r="Y1582" s="8" t="s">
        <v>7348</v>
      </c>
      <c r="Z1582" s="8" t="s">
        <v>7349</v>
      </c>
    </row>
    <row r="1583" spans="1:26" x14ac:dyDescent="0.2">
      <c r="A1583" s="8">
        <v>1582</v>
      </c>
      <c r="B1583" s="8" t="s">
        <v>7350</v>
      </c>
      <c r="C1583" s="8" t="s">
        <v>7350</v>
      </c>
      <c r="F1583" s="47" t="s">
        <v>56351</v>
      </c>
      <c r="G1583" s="8">
        <v>6.5</v>
      </c>
      <c r="H1583" s="8" t="s">
        <v>21</v>
      </c>
      <c r="I1583" s="8" t="s">
        <v>557</v>
      </c>
      <c r="J1583" s="8" t="s">
        <v>557</v>
      </c>
      <c r="K1583" s="8" t="s">
        <v>693</v>
      </c>
      <c r="L1583" s="8" t="s">
        <v>3147</v>
      </c>
      <c r="M1583" s="8" t="s">
        <v>3148</v>
      </c>
      <c r="N1583" s="8" t="s">
        <v>7351</v>
      </c>
      <c r="O1583" s="8">
        <f>4+31/60+39/3600</f>
        <v>4.5274999999999999</v>
      </c>
      <c r="P1583" s="8" t="s">
        <v>7352</v>
      </c>
      <c r="Q1583" s="8">
        <f>+(43+44/60+36/3600)</f>
        <v>43.743333333333332</v>
      </c>
      <c r="R1583" s="8">
        <v>7</v>
      </c>
      <c r="S1583" s="8">
        <v>99</v>
      </c>
      <c r="T1583" s="8">
        <v>99</v>
      </c>
      <c r="U1583" s="8">
        <v>99</v>
      </c>
      <c r="V1583" s="8">
        <v>24</v>
      </c>
      <c r="Y1583" s="8" t="s">
        <v>7353</v>
      </c>
      <c r="Z1583" s="8" t="s">
        <v>7354</v>
      </c>
    </row>
    <row r="1584" spans="1:26" x14ac:dyDescent="0.2">
      <c r="A1584" s="8">
        <v>1583</v>
      </c>
      <c r="B1584" s="8" t="s">
        <v>7355</v>
      </c>
      <c r="C1584" s="8" t="s">
        <v>7355</v>
      </c>
      <c r="F1584" s="47"/>
      <c r="G1584" s="8">
        <v>19</v>
      </c>
      <c r="H1584" s="8" t="s">
        <v>21</v>
      </c>
      <c r="I1584" s="8" t="s">
        <v>22</v>
      </c>
      <c r="J1584" s="8" t="s">
        <v>22</v>
      </c>
      <c r="K1584" s="8" t="s">
        <v>37</v>
      </c>
      <c r="L1584" s="8" t="s">
        <v>3328</v>
      </c>
      <c r="M1584" s="8" t="s">
        <v>3329</v>
      </c>
      <c r="N1584" s="8" t="s">
        <v>7356</v>
      </c>
      <c r="O1584" s="8">
        <f>4+28/60+20.7/3600</f>
        <v>4.4724166666666667</v>
      </c>
      <c r="P1584" s="8" t="s">
        <v>7357</v>
      </c>
      <c r="Q1584" s="8">
        <f>-(17+35/60+46/3600)</f>
        <v>-17.59611111111111</v>
      </c>
      <c r="R1584" s="8">
        <v>13.7</v>
      </c>
      <c r="S1584" s="8">
        <v>14.7</v>
      </c>
      <c r="T1584" s="8">
        <v>1</v>
      </c>
      <c r="U1584" s="8">
        <v>12.8</v>
      </c>
      <c r="V1584" s="8">
        <v>0.7</v>
      </c>
      <c r="W1584" s="8">
        <v>0.7</v>
      </c>
      <c r="Y1584" s="8" t="s">
        <v>7358</v>
      </c>
      <c r="Z1584" s="8" t="s">
        <v>7359</v>
      </c>
    </row>
    <row r="1585" spans="1:26" x14ac:dyDescent="0.2">
      <c r="A1585" s="8">
        <v>1584</v>
      </c>
      <c r="B1585" s="8" t="s">
        <v>7360</v>
      </c>
      <c r="C1585" s="8" t="s">
        <v>7360</v>
      </c>
      <c r="F1585" s="47"/>
      <c r="G1585" s="8">
        <v>19</v>
      </c>
      <c r="H1585" s="8" t="s">
        <v>21</v>
      </c>
      <c r="I1585" s="8" t="s">
        <v>22</v>
      </c>
      <c r="J1585" s="8" t="s">
        <v>22</v>
      </c>
      <c r="K1585" s="8" t="s">
        <v>58</v>
      </c>
      <c r="L1585" s="8" t="s">
        <v>3328</v>
      </c>
      <c r="M1585" s="8" t="s">
        <v>3329</v>
      </c>
      <c r="N1585" s="8" t="s">
        <v>7361</v>
      </c>
      <c r="O1585" s="8">
        <f>4+28/60+10.2/3600</f>
        <v>4.4695</v>
      </c>
      <c r="P1585" s="8" t="s">
        <v>7362</v>
      </c>
      <c r="Q1585" s="8">
        <f>-(17+31/60+26/3600)</f>
        <v>-17.523888888888887</v>
      </c>
      <c r="R1585" s="8">
        <v>14</v>
      </c>
      <c r="S1585" s="8">
        <v>15</v>
      </c>
      <c r="T1585" s="8">
        <v>1</v>
      </c>
      <c r="U1585" s="8">
        <v>13</v>
      </c>
      <c r="V1585" s="8">
        <v>0.6</v>
      </c>
      <c r="W1585" s="8">
        <v>0.6</v>
      </c>
      <c r="Y1585" s="8" t="s">
        <v>7363</v>
      </c>
      <c r="Z1585" s="8" t="s">
        <v>7364</v>
      </c>
    </row>
    <row r="1586" spans="1:26" x14ac:dyDescent="0.2">
      <c r="A1586" s="8">
        <v>1585</v>
      </c>
      <c r="B1586" s="8" t="s">
        <v>7365</v>
      </c>
      <c r="C1586" s="8" t="s">
        <v>7365</v>
      </c>
      <c r="F1586" s="47"/>
      <c r="G1586" s="8">
        <v>16</v>
      </c>
      <c r="H1586" s="8" t="s">
        <v>21</v>
      </c>
      <c r="I1586" s="8" t="s">
        <v>22</v>
      </c>
      <c r="J1586" s="8" t="s">
        <v>22</v>
      </c>
      <c r="K1586" s="8" t="s">
        <v>160</v>
      </c>
      <c r="L1586" s="8" t="s">
        <v>7243</v>
      </c>
      <c r="M1586" s="8" t="s">
        <v>7244</v>
      </c>
      <c r="N1586" s="8" t="s">
        <v>7366</v>
      </c>
      <c r="O1586" s="8">
        <f>4+27/60+33/3600</f>
        <v>4.4591666666666665</v>
      </c>
      <c r="P1586" s="8" t="s">
        <v>7367</v>
      </c>
      <c r="Q1586" s="8">
        <f>-(42+9/60+54/3600)</f>
        <v>-42.164999999999999</v>
      </c>
      <c r="R1586" s="8">
        <v>13.5</v>
      </c>
      <c r="S1586" s="8">
        <v>14.2</v>
      </c>
      <c r="T1586" s="8">
        <v>0.7</v>
      </c>
      <c r="U1586" s="8">
        <v>13.2</v>
      </c>
      <c r="V1586" s="8">
        <v>1.2</v>
      </c>
      <c r="W1586" s="8">
        <v>0.7</v>
      </c>
      <c r="X1586" s="8">
        <v>175</v>
      </c>
      <c r="Y1586" s="8" t="s">
        <v>7368</v>
      </c>
      <c r="Z1586" s="8" t="s">
        <v>7369</v>
      </c>
    </row>
    <row r="1587" spans="1:26" x14ac:dyDescent="0.2">
      <c r="A1587" s="8">
        <v>1586</v>
      </c>
      <c r="B1587" s="8" t="s">
        <v>7370</v>
      </c>
      <c r="C1587" s="8" t="s">
        <v>7370</v>
      </c>
      <c r="F1587" s="47"/>
      <c r="G1587" s="8">
        <v>18</v>
      </c>
      <c r="H1587" s="8" t="s">
        <v>21</v>
      </c>
      <c r="I1587" s="8" t="s">
        <v>22</v>
      </c>
      <c r="J1587" s="8" t="s">
        <v>22</v>
      </c>
      <c r="K1587" s="8" t="s">
        <v>396</v>
      </c>
      <c r="L1587" s="8" t="s">
        <v>3328</v>
      </c>
      <c r="M1587" s="8" t="s">
        <v>3329</v>
      </c>
      <c r="N1587" s="8" t="s">
        <v>7371</v>
      </c>
      <c r="O1587" s="8">
        <f>4+30/60+38.2/3600</f>
        <v>4.5106111111111113</v>
      </c>
      <c r="P1587" s="8" t="s">
        <v>7372</v>
      </c>
      <c r="Q1587" s="8">
        <f>-(0+18/60+19/3600)</f>
        <v>-0.30527777777777776</v>
      </c>
      <c r="R1587" s="8">
        <v>13.2</v>
      </c>
      <c r="S1587" s="8">
        <v>14</v>
      </c>
      <c r="T1587" s="8">
        <v>0.8</v>
      </c>
      <c r="U1587" s="8">
        <v>13.5</v>
      </c>
      <c r="V1587" s="8">
        <v>1.7</v>
      </c>
      <c r="W1587" s="8">
        <v>0.9</v>
      </c>
      <c r="X1587" s="8">
        <v>155</v>
      </c>
      <c r="Y1587" s="8" t="s">
        <v>7373</v>
      </c>
      <c r="Z1587" s="8" t="s">
        <v>7374</v>
      </c>
    </row>
    <row r="1588" spans="1:26" x14ac:dyDescent="0.2">
      <c r="A1588" s="8">
        <v>1587</v>
      </c>
      <c r="B1588" s="8" t="s">
        <v>7375</v>
      </c>
      <c r="C1588" s="8" t="s">
        <v>7375</v>
      </c>
      <c r="F1588" s="47" t="s">
        <v>56352</v>
      </c>
      <c r="G1588" s="8">
        <v>6.5</v>
      </c>
      <c r="H1588" s="8" t="s">
        <v>21</v>
      </c>
      <c r="I1588" s="8" t="s">
        <v>22</v>
      </c>
      <c r="J1588" s="8" t="s">
        <v>22</v>
      </c>
      <c r="K1588" s="8" t="s">
        <v>1136</v>
      </c>
      <c r="L1588" s="8" t="s">
        <v>6115</v>
      </c>
      <c r="M1588" s="8" t="s">
        <v>6116</v>
      </c>
      <c r="N1588" s="8" t="s">
        <v>7376</v>
      </c>
      <c r="O1588" s="8">
        <f>4+30/60+40/3600</f>
        <v>4.5111111111111111</v>
      </c>
      <c r="P1588" s="8" t="s">
        <v>7377</v>
      </c>
      <c r="Q1588" s="8">
        <f>+(0+39/60+45/3600)</f>
        <v>0.66249999999999998</v>
      </c>
      <c r="R1588" s="8">
        <v>11.7</v>
      </c>
      <c r="S1588" s="8">
        <v>12.7</v>
      </c>
      <c r="T1588" s="8">
        <v>1</v>
      </c>
      <c r="U1588" s="8">
        <v>12.7</v>
      </c>
      <c r="V1588" s="8">
        <v>1.7</v>
      </c>
      <c r="W1588" s="8">
        <v>1.4</v>
      </c>
      <c r="X1588" s="8">
        <v>70</v>
      </c>
      <c r="Y1588" s="8" t="s">
        <v>7378</v>
      </c>
      <c r="Z1588" s="8" t="s">
        <v>7379</v>
      </c>
    </row>
    <row r="1589" spans="1:26" x14ac:dyDescent="0.2">
      <c r="A1589" s="8">
        <v>1588</v>
      </c>
      <c r="B1589" s="8" t="s">
        <v>7380</v>
      </c>
      <c r="C1589" s="8" t="s">
        <v>7380</v>
      </c>
      <c r="F1589" s="47" t="s">
        <v>56353</v>
      </c>
      <c r="G1589" s="8">
        <v>15</v>
      </c>
      <c r="H1589" s="8" t="s">
        <v>21</v>
      </c>
      <c r="I1589" s="8" t="s">
        <v>22</v>
      </c>
      <c r="J1589" s="8" t="s">
        <v>22</v>
      </c>
      <c r="K1589" s="8" t="s">
        <v>1068</v>
      </c>
      <c r="L1589" s="8" t="s">
        <v>6115</v>
      </c>
      <c r="M1589" s="8" t="s">
        <v>6116</v>
      </c>
      <c r="N1589" s="8" t="s">
        <v>7381</v>
      </c>
      <c r="O1589" s="8">
        <f>4+30/60+43.7/3600</f>
        <v>4.5121388888888889</v>
      </c>
      <c r="P1589" s="8" t="s">
        <v>7382</v>
      </c>
      <c r="Q1589" s="8">
        <f>+(0+39/60+55/3600)</f>
        <v>0.66527777777777775</v>
      </c>
      <c r="R1589" s="8">
        <v>12.9</v>
      </c>
      <c r="S1589" s="8">
        <v>13.9</v>
      </c>
      <c r="T1589" s="8">
        <v>1</v>
      </c>
      <c r="U1589" s="8">
        <v>13</v>
      </c>
      <c r="V1589" s="8">
        <v>1.1000000000000001</v>
      </c>
      <c r="W1589" s="8">
        <v>0.6</v>
      </c>
      <c r="X1589" s="8">
        <v>175</v>
      </c>
      <c r="Y1589" s="8" t="s">
        <v>7383</v>
      </c>
      <c r="Z1589" s="8" t="s">
        <v>7384</v>
      </c>
    </row>
    <row r="1590" spans="1:26" x14ac:dyDescent="0.2">
      <c r="A1590" s="8">
        <v>1589</v>
      </c>
      <c r="B1590" s="8" t="s">
        <v>7385</v>
      </c>
      <c r="C1590" s="8" t="s">
        <v>7385</v>
      </c>
      <c r="F1590" s="47" t="s">
        <v>56354</v>
      </c>
      <c r="G1590" s="8">
        <v>15</v>
      </c>
      <c r="H1590" s="8" t="s">
        <v>21</v>
      </c>
      <c r="I1590" s="8" t="s">
        <v>22</v>
      </c>
      <c r="J1590" s="8" t="s">
        <v>22</v>
      </c>
      <c r="K1590" s="8" t="s">
        <v>31</v>
      </c>
      <c r="L1590" s="8" t="s">
        <v>6115</v>
      </c>
      <c r="M1590" s="8" t="s">
        <v>6116</v>
      </c>
      <c r="N1590" s="8" t="s">
        <v>7386</v>
      </c>
      <c r="O1590" s="8">
        <f>4+30/60+45.4/3600</f>
        <v>4.5126111111111111</v>
      </c>
      <c r="P1590" s="8" t="s">
        <v>7387</v>
      </c>
      <c r="Q1590" s="8">
        <f>+(0+51/60+48/3600)</f>
        <v>0.86333333333333329</v>
      </c>
      <c r="R1590" s="8">
        <v>11.8</v>
      </c>
      <c r="S1590" s="8">
        <v>12.8</v>
      </c>
      <c r="T1590" s="8">
        <v>1</v>
      </c>
      <c r="U1590" s="8">
        <v>12.9</v>
      </c>
      <c r="V1590" s="8">
        <v>3.2</v>
      </c>
      <c r="W1590" s="8">
        <v>1</v>
      </c>
      <c r="X1590" s="8">
        <v>160</v>
      </c>
      <c r="Y1590" s="8" t="s">
        <v>7388</v>
      </c>
      <c r="Z1590" s="8" t="s">
        <v>7389</v>
      </c>
    </row>
    <row r="1591" spans="1:26" x14ac:dyDescent="0.2">
      <c r="A1591" s="8">
        <v>1590</v>
      </c>
      <c r="B1591" s="8" t="s">
        <v>7390</v>
      </c>
      <c r="C1591" s="8" t="s">
        <v>7390</v>
      </c>
      <c r="F1591" s="47"/>
      <c r="G1591" s="8">
        <v>18</v>
      </c>
      <c r="H1591" s="8" t="s">
        <v>21</v>
      </c>
      <c r="I1591" s="8" t="s">
        <v>22</v>
      </c>
      <c r="J1591" s="8" t="s">
        <v>22</v>
      </c>
      <c r="K1591" s="8" t="s">
        <v>124</v>
      </c>
      <c r="L1591" s="8" t="s">
        <v>6115</v>
      </c>
      <c r="M1591" s="8" t="s">
        <v>6116</v>
      </c>
      <c r="N1591" s="8" t="s">
        <v>7391</v>
      </c>
      <c r="O1591" s="8">
        <f>4+31/60+10.2/3600</f>
        <v>4.5194999999999999</v>
      </c>
      <c r="P1591" s="8" t="s">
        <v>7392</v>
      </c>
      <c r="Q1591" s="8">
        <f>+(7+37/60+51/3600)</f>
        <v>7.6308333333333342</v>
      </c>
      <c r="R1591" s="8">
        <v>13.7</v>
      </c>
      <c r="S1591" s="8">
        <v>14.5</v>
      </c>
      <c r="T1591" s="8">
        <v>0.8</v>
      </c>
      <c r="U1591" s="8">
        <v>13</v>
      </c>
      <c r="V1591" s="8">
        <v>0.9</v>
      </c>
      <c r="W1591" s="8">
        <v>0.7</v>
      </c>
      <c r="X1591" s="8">
        <v>95</v>
      </c>
      <c r="Y1591" s="8" t="s">
        <v>7393</v>
      </c>
      <c r="Z1591" s="8" t="s">
        <v>7394</v>
      </c>
    </row>
    <row r="1592" spans="1:26" x14ac:dyDescent="0.2">
      <c r="A1592" s="8">
        <v>1591</v>
      </c>
      <c r="B1592" s="8" t="s">
        <v>7395</v>
      </c>
      <c r="C1592" s="8" t="s">
        <v>7395</v>
      </c>
      <c r="F1592" s="47"/>
      <c r="G1592" s="8">
        <v>16</v>
      </c>
      <c r="H1592" s="8" t="s">
        <v>21</v>
      </c>
      <c r="I1592" s="8" t="s">
        <v>22</v>
      </c>
      <c r="J1592" s="8" t="s">
        <v>22</v>
      </c>
      <c r="K1592" s="8" t="s">
        <v>406</v>
      </c>
      <c r="L1592" s="8" t="s">
        <v>3328</v>
      </c>
      <c r="M1592" s="8" t="s">
        <v>3329</v>
      </c>
      <c r="N1592" s="8" t="s">
        <v>7396</v>
      </c>
      <c r="O1592" s="8">
        <f>4+29/60+30.7/3600</f>
        <v>4.4918611111111115</v>
      </c>
      <c r="P1592" s="8" t="s">
        <v>7397</v>
      </c>
      <c r="Q1592" s="8">
        <f>-(26+42/60+46/3600)</f>
        <v>-26.712777777777777</v>
      </c>
      <c r="R1592" s="8">
        <v>12.9</v>
      </c>
      <c r="S1592" s="8">
        <v>13.7</v>
      </c>
      <c r="T1592" s="8">
        <v>0.8</v>
      </c>
      <c r="U1592" s="8">
        <v>12.7</v>
      </c>
      <c r="V1592" s="8">
        <v>1.2</v>
      </c>
      <c r="W1592" s="8">
        <v>0.8</v>
      </c>
      <c r="X1592" s="8">
        <v>30</v>
      </c>
      <c r="Y1592" s="8" t="s">
        <v>3243</v>
      </c>
      <c r="Z1592" s="8" t="s">
        <v>3244</v>
      </c>
    </row>
    <row r="1593" spans="1:26" x14ac:dyDescent="0.2">
      <c r="A1593" s="8">
        <v>1592</v>
      </c>
      <c r="B1593" s="8" t="s">
        <v>7398</v>
      </c>
      <c r="C1593" s="8" t="s">
        <v>7398</v>
      </c>
      <c r="F1593" s="47"/>
      <c r="G1593" s="8">
        <v>16</v>
      </c>
      <c r="H1593" s="8" t="s">
        <v>21</v>
      </c>
      <c r="I1593" s="8" t="s">
        <v>22</v>
      </c>
      <c r="J1593" s="8" t="s">
        <v>22</v>
      </c>
      <c r="K1593" s="8" t="s">
        <v>124</v>
      </c>
      <c r="L1593" s="8" t="s">
        <v>3328</v>
      </c>
      <c r="M1593" s="8" t="s">
        <v>3329</v>
      </c>
      <c r="N1593" s="8" t="s">
        <v>7399</v>
      </c>
      <c r="O1593" s="8">
        <f>4+29/60+40.7/3600</f>
        <v>4.4946388888888889</v>
      </c>
      <c r="P1593" s="8" t="s">
        <v>7400</v>
      </c>
      <c r="Q1593" s="8">
        <f>-(27+24/60+29/3600)</f>
        <v>-27.408055555555553</v>
      </c>
      <c r="R1593" s="8">
        <v>13.6</v>
      </c>
      <c r="S1593" s="8">
        <v>14.5</v>
      </c>
      <c r="T1593" s="8">
        <v>0.9</v>
      </c>
      <c r="U1593" s="8">
        <v>14</v>
      </c>
      <c r="V1593" s="8">
        <v>1.7</v>
      </c>
      <c r="W1593" s="8">
        <v>1</v>
      </c>
      <c r="X1593" s="8">
        <v>96</v>
      </c>
      <c r="Y1593" s="8" t="s">
        <v>282</v>
      </c>
      <c r="Z1593" s="8" t="s">
        <v>283</v>
      </c>
    </row>
    <row r="1594" spans="1:26" x14ac:dyDescent="0.2">
      <c r="A1594" s="8">
        <v>1593</v>
      </c>
      <c r="B1594" s="8" t="s">
        <v>7401</v>
      </c>
      <c r="C1594" s="8" t="s">
        <v>7401</v>
      </c>
      <c r="F1594" s="47"/>
      <c r="G1594" s="8">
        <v>18</v>
      </c>
      <c r="H1594" s="8" t="s">
        <v>21</v>
      </c>
      <c r="I1594" s="8" t="s">
        <v>22</v>
      </c>
      <c r="J1594" s="8" t="s">
        <v>22</v>
      </c>
      <c r="K1594" s="8" t="s">
        <v>37</v>
      </c>
      <c r="L1594" s="8" t="s">
        <v>6115</v>
      </c>
      <c r="M1594" s="8" t="s">
        <v>6116</v>
      </c>
      <c r="N1594" s="8" t="s">
        <v>7402</v>
      </c>
      <c r="O1594" s="8">
        <f>4+32/60+6.1/3600</f>
        <v>4.5350277777777777</v>
      </c>
      <c r="P1594" s="8" t="s">
        <v>7403</v>
      </c>
      <c r="Q1594" s="8">
        <f>+(0+34/60+4/3600)</f>
        <v>0.56777777777777771</v>
      </c>
      <c r="R1594" s="8">
        <v>13.4</v>
      </c>
      <c r="S1594" s="8">
        <v>14.4</v>
      </c>
      <c r="T1594" s="8">
        <v>1</v>
      </c>
      <c r="U1594" s="8">
        <v>13.3</v>
      </c>
      <c r="V1594" s="8">
        <v>1.6</v>
      </c>
      <c r="W1594" s="8">
        <v>0.6</v>
      </c>
      <c r="X1594" s="8">
        <v>130</v>
      </c>
      <c r="Y1594" s="8" t="s">
        <v>297</v>
      </c>
      <c r="Z1594" s="8" t="s">
        <v>298</v>
      </c>
    </row>
    <row r="1595" spans="1:26" x14ac:dyDescent="0.2">
      <c r="A1595" s="8">
        <v>1594</v>
      </c>
      <c r="B1595" s="8" t="s">
        <v>7404</v>
      </c>
      <c r="C1595" s="8" t="s">
        <v>7404</v>
      </c>
      <c r="F1595" s="47"/>
      <c r="G1595" s="8">
        <v>19</v>
      </c>
      <c r="H1595" s="8" t="s">
        <v>21</v>
      </c>
      <c r="I1595" s="8" t="s">
        <v>22</v>
      </c>
      <c r="J1595" s="8" t="s">
        <v>22</v>
      </c>
      <c r="K1595" s="8" t="s">
        <v>85</v>
      </c>
      <c r="L1595" s="8" t="s">
        <v>3328</v>
      </c>
      <c r="M1595" s="8" t="s">
        <v>3329</v>
      </c>
      <c r="N1595" s="8" t="s">
        <v>7405</v>
      </c>
      <c r="O1595" s="8">
        <f>4+30/60+51.5/3600</f>
        <v>4.5143055555555556</v>
      </c>
      <c r="P1595" s="8" t="s">
        <v>7406</v>
      </c>
      <c r="Q1595" s="8">
        <f>-(5+47/60+52/3600)</f>
        <v>-5.7977777777777773</v>
      </c>
      <c r="R1595" s="8">
        <v>13</v>
      </c>
      <c r="S1595" s="8">
        <v>13.8</v>
      </c>
      <c r="T1595" s="8">
        <v>0.8</v>
      </c>
      <c r="U1595" s="8">
        <v>13.8</v>
      </c>
      <c r="V1595" s="8">
        <v>1.8</v>
      </c>
      <c r="W1595" s="8">
        <v>1.3</v>
      </c>
      <c r="X1595" s="8">
        <v>60</v>
      </c>
      <c r="Y1595" s="8" t="s">
        <v>4007</v>
      </c>
      <c r="Z1595" s="8" t="s">
        <v>4008</v>
      </c>
    </row>
    <row r="1596" spans="1:26" x14ac:dyDescent="0.2">
      <c r="A1596" s="8">
        <v>1595</v>
      </c>
      <c r="B1596" s="8" t="s">
        <v>7407</v>
      </c>
      <c r="C1596" s="8" t="s">
        <v>7407</v>
      </c>
      <c r="F1596" s="47"/>
      <c r="G1596" s="8">
        <v>14</v>
      </c>
      <c r="H1596" s="8" t="s">
        <v>7408</v>
      </c>
      <c r="I1596" s="8" t="s">
        <v>22</v>
      </c>
      <c r="J1596" s="8" t="s">
        <v>22</v>
      </c>
      <c r="K1596" s="8" t="s">
        <v>382</v>
      </c>
      <c r="L1596" s="8" t="s">
        <v>7243</v>
      </c>
      <c r="M1596" s="8" t="s">
        <v>7244</v>
      </c>
      <c r="N1596" s="8" t="s">
        <v>7409</v>
      </c>
      <c r="O1596" s="8">
        <f>4+28/60+21.6/3600</f>
        <v>4.472666666666667</v>
      </c>
      <c r="P1596" s="8" t="s">
        <v>7410</v>
      </c>
      <c r="Q1596" s="8">
        <f>-(47+48/60+55/3600)</f>
        <v>-47.815277777777773</v>
      </c>
      <c r="R1596" s="8">
        <v>12.7</v>
      </c>
      <c r="S1596" s="8">
        <v>13.7</v>
      </c>
      <c r="T1596" s="8">
        <v>1</v>
      </c>
      <c r="U1596" s="8">
        <v>13</v>
      </c>
      <c r="V1596" s="8">
        <v>1.3</v>
      </c>
      <c r="W1596" s="8">
        <v>0.9</v>
      </c>
      <c r="X1596" s="8">
        <v>17</v>
      </c>
      <c r="Y1596" s="8" t="s">
        <v>2248</v>
      </c>
      <c r="Z1596" s="8" t="s">
        <v>2249</v>
      </c>
    </row>
    <row r="1597" spans="1:26" x14ac:dyDescent="0.2">
      <c r="A1597" s="8">
        <v>1596</v>
      </c>
      <c r="B1597" s="8" t="s">
        <v>7411</v>
      </c>
      <c r="C1597" s="8" t="s">
        <v>7411</v>
      </c>
      <c r="F1597" s="47"/>
      <c r="G1597" s="8">
        <v>13</v>
      </c>
      <c r="H1597" s="8" t="s">
        <v>21</v>
      </c>
      <c r="I1597" s="8" t="s">
        <v>22</v>
      </c>
      <c r="J1597" s="8" t="s">
        <v>22</v>
      </c>
      <c r="K1597" s="8" t="s">
        <v>37</v>
      </c>
      <c r="L1597" s="8" t="s">
        <v>55972</v>
      </c>
      <c r="M1597" s="8" t="s">
        <v>6970</v>
      </c>
      <c r="N1597" s="8" t="s">
        <v>7412</v>
      </c>
      <c r="O1597" s="8">
        <f>4+27/60+38/3600</f>
        <v>4.4605555555555556</v>
      </c>
      <c r="P1597" s="8" t="s">
        <v>7413</v>
      </c>
      <c r="Q1597" s="8">
        <f>-(55+1/60+35/3600)</f>
        <v>-55.026388888888889</v>
      </c>
      <c r="R1597" s="8">
        <v>11.2</v>
      </c>
      <c r="S1597" s="8">
        <v>12.1</v>
      </c>
      <c r="T1597" s="8">
        <v>0.9</v>
      </c>
      <c r="U1597" s="8">
        <v>12.4</v>
      </c>
      <c r="V1597" s="8">
        <v>3.7</v>
      </c>
      <c r="W1597" s="8">
        <v>0.9</v>
      </c>
      <c r="X1597" s="8">
        <v>20</v>
      </c>
      <c r="Y1597" s="8" t="s">
        <v>7414</v>
      </c>
      <c r="Z1597" s="8" t="s">
        <v>7415</v>
      </c>
    </row>
    <row r="1598" spans="1:26" x14ac:dyDescent="0.2">
      <c r="A1598" s="8">
        <v>1597</v>
      </c>
      <c r="B1598" s="8" t="s">
        <v>7416</v>
      </c>
      <c r="C1598" s="8" t="s">
        <v>7416</v>
      </c>
      <c r="F1598" s="47"/>
      <c r="G1598" s="8">
        <v>19</v>
      </c>
      <c r="H1598" s="8" t="s">
        <v>21</v>
      </c>
      <c r="I1598" s="8" t="s">
        <v>22</v>
      </c>
      <c r="J1598" s="8" t="s">
        <v>22</v>
      </c>
      <c r="K1598" s="8" t="s">
        <v>58</v>
      </c>
      <c r="L1598" s="8" t="s">
        <v>3328</v>
      </c>
      <c r="M1598" s="8" t="s">
        <v>3329</v>
      </c>
      <c r="N1598" s="8" t="s">
        <v>7417</v>
      </c>
      <c r="O1598" s="8">
        <f>4+31/60+13.4/3600</f>
        <v>4.5203888888888892</v>
      </c>
      <c r="P1598" s="8" t="s">
        <v>7418</v>
      </c>
      <c r="Q1598" s="8">
        <f>-(11+17/60+24/3600)</f>
        <v>-11.29</v>
      </c>
      <c r="R1598" s="8">
        <v>13.9</v>
      </c>
      <c r="S1598" s="8">
        <v>14.9</v>
      </c>
      <c r="T1598" s="8">
        <v>1</v>
      </c>
      <c r="U1598" s="8">
        <v>13.6</v>
      </c>
      <c r="V1598" s="8">
        <v>0.9</v>
      </c>
      <c r="W1598" s="8">
        <v>0.7</v>
      </c>
      <c r="X1598" s="8">
        <v>95</v>
      </c>
      <c r="Y1598" s="8" t="s">
        <v>1133</v>
      </c>
      <c r="Z1598" s="8" t="s">
        <v>1134</v>
      </c>
    </row>
    <row r="1599" spans="1:26" x14ac:dyDescent="0.2">
      <c r="A1599" s="8">
        <v>1598</v>
      </c>
      <c r="B1599" s="8" t="s">
        <v>7419</v>
      </c>
      <c r="C1599" s="8" t="s">
        <v>7419</v>
      </c>
      <c r="F1599" s="47"/>
      <c r="G1599" s="8">
        <v>14</v>
      </c>
      <c r="H1599" s="8" t="s">
        <v>7408</v>
      </c>
      <c r="I1599" s="8" t="s">
        <v>22</v>
      </c>
      <c r="J1599" s="8" t="s">
        <v>22</v>
      </c>
      <c r="K1599" s="8" t="s">
        <v>64</v>
      </c>
      <c r="L1599" s="8" t="s">
        <v>7243</v>
      </c>
      <c r="M1599" s="8" t="s">
        <v>7244</v>
      </c>
      <c r="N1599" s="8" t="s">
        <v>7420</v>
      </c>
      <c r="O1599" s="8">
        <f>4+28/60+33.4/3600</f>
        <v>4.4759444444444449</v>
      </c>
      <c r="P1599" s="8" t="s">
        <v>7421</v>
      </c>
      <c r="Q1599" s="8">
        <f>-(47+46/60+57/3600)</f>
        <v>-47.782499999999999</v>
      </c>
      <c r="R1599" s="8">
        <v>13.3</v>
      </c>
      <c r="S1599" s="8">
        <v>13.8</v>
      </c>
      <c r="T1599" s="8">
        <v>0.5</v>
      </c>
      <c r="U1599" s="8">
        <v>13.3</v>
      </c>
      <c r="V1599" s="8">
        <v>1.4</v>
      </c>
      <c r="W1599" s="8">
        <v>0.8</v>
      </c>
      <c r="X1599" s="8">
        <v>123</v>
      </c>
      <c r="Y1599" s="8" t="s">
        <v>2641</v>
      </c>
      <c r="Z1599" s="8" t="s">
        <v>2642</v>
      </c>
    </row>
    <row r="1600" spans="1:26" x14ac:dyDescent="0.2">
      <c r="A1600" s="8">
        <v>1599</v>
      </c>
      <c r="B1600" s="8" t="s">
        <v>7422</v>
      </c>
      <c r="C1600" s="8" t="s">
        <v>7422</v>
      </c>
      <c r="F1600" s="47"/>
      <c r="G1600" s="8">
        <v>19</v>
      </c>
      <c r="H1600" s="8" t="s">
        <v>21</v>
      </c>
      <c r="I1600" s="8" t="s">
        <v>22</v>
      </c>
      <c r="J1600" s="8" t="s">
        <v>22</v>
      </c>
      <c r="K1600" s="8" t="s">
        <v>160</v>
      </c>
      <c r="L1600" s="8" t="s">
        <v>3328</v>
      </c>
      <c r="M1600" s="8" t="s">
        <v>3329</v>
      </c>
      <c r="N1600" s="8" t="s">
        <v>7423</v>
      </c>
      <c r="O1600" s="8">
        <f>4+31/60+38.8/3600</f>
        <v>4.5274444444444448</v>
      </c>
      <c r="P1600" s="8" t="s">
        <v>7424</v>
      </c>
      <c r="Q1600" s="8">
        <f>-(4+35/60+19/3600)</f>
        <v>-4.5886111111111108</v>
      </c>
      <c r="R1600" s="8">
        <v>13.7</v>
      </c>
      <c r="S1600" s="8">
        <v>14.1</v>
      </c>
      <c r="T1600" s="8">
        <v>0.4</v>
      </c>
      <c r="U1600" s="8">
        <v>13.1</v>
      </c>
      <c r="V1600" s="8">
        <v>0.9</v>
      </c>
      <c r="W1600" s="8">
        <v>0.8</v>
      </c>
      <c r="X1600" s="8">
        <v>174</v>
      </c>
      <c r="Y1600" s="8" t="s">
        <v>2233</v>
      </c>
      <c r="Z1600" s="8" t="s">
        <v>2234</v>
      </c>
    </row>
    <row r="1601" spans="1:26" x14ac:dyDescent="0.2">
      <c r="A1601" s="8">
        <v>1600</v>
      </c>
      <c r="B1601" s="8" t="s">
        <v>7425</v>
      </c>
      <c r="C1601" s="8" t="s">
        <v>7425</v>
      </c>
      <c r="F1601" s="47" t="s">
        <v>56355</v>
      </c>
      <c r="G1601" s="8">
        <v>6.5</v>
      </c>
      <c r="H1601" s="8" t="s">
        <v>21</v>
      </c>
      <c r="I1601" s="8" t="s">
        <v>22</v>
      </c>
      <c r="J1601" s="8" t="s">
        <v>22</v>
      </c>
      <c r="K1601" s="8" t="s">
        <v>382</v>
      </c>
      <c r="L1601" s="8" t="s">
        <v>3328</v>
      </c>
      <c r="M1601" s="8" t="s">
        <v>3329</v>
      </c>
      <c r="N1601" s="8" t="s">
        <v>7426</v>
      </c>
      <c r="O1601" s="8">
        <f>4+31/60+39.9/3600</f>
        <v>4.5277500000000002</v>
      </c>
      <c r="P1601" s="8" t="s">
        <v>7427</v>
      </c>
      <c r="Q1601" s="8">
        <f>-(5+5/60+14/3600)</f>
        <v>-5.0872222222222216</v>
      </c>
      <c r="R1601" s="8">
        <v>10.9</v>
      </c>
      <c r="S1601" s="8">
        <v>11.9</v>
      </c>
      <c r="T1601" s="8">
        <v>1</v>
      </c>
      <c r="U1601" s="8">
        <v>12.5</v>
      </c>
      <c r="V1601" s="8">
        <v>2.5</v>
      </c>
      <c r="W1601" s="8">
        <v>1.7</v>
      </c>
      <c r="X1601" s="8">
        <v>15</v>
      </c>
      <c r="Y1601" s="8" t="s">
        <v>3655</v>
      </c>
      <c r="Z1601" s="8" t="s">
        <v>3656</v>
      </c>
    </row>
    <row r="1602" spans="1:26" x14ac:dyDescent="0.2">
      <c r="A1602" s="8">
        <v>1601</v>
      </c>
      <c r="B1602" s="8" t="s">
        <v>7428</v>
      </c>
      <c r="C1602" s="8" t="s">
        <v>7428</v>
      </c>
      <c r="F1602" s="47"/>
      <c r="G1602" s="8">
        <v>18</v>
      </c>
      <c r="H1602" s="8" t="s">
        <v>21</v>
      </c>
      <c r="I1602" s="8" t="s">
        <v>22</v>
      </c>
      <c r="J1602" s="8" t="s">
        <v>22</v>
      </c>
      <c r="K1602" s="8" t="s">
        <v>37</v>
      </c>
      <c r="L1602" s="8" t="s">
        <v>3328</v>
      </c>
      <c r="M1602" s="8" t="s">
        <v>3329</v>
      </c>
      <c r="N1602" s="8" t="s">
        <v>7429</v>
      </c>
      <c r="O1602" s="8">
        <f>4+31/60+41.7/3600</f>
        <v>4.5282499999999999</v>
      </c>
      <c r="P1602" s="8" t="s">
        <v>7430</v>
      </c>
      <c r="Q1602" s="8">
        <f>-(5+3/60+35/3600)</f>
        <v>-5.0597222222222218</v>
      </c>
      <c r="R1602" s="8">
        <v>13.8</v>
      </c>
      <c r="S1602" s="8">
        <v>14.8</v>
      </c>
      <c r="T1602" s="8">
        <v>1</v>
      </c>
      <c r="U1602" s="8">
        <v>11.9</v>
      </c>
      <c r="V1602" s="8">
        <v>0.6</v>
      </c>
      <c r="W1602" s="8">
        <v>0.3</v>
      </c>
      <c r="X1602" s="8">
        <v>90</v>
      </c>
      <c r="Y1602" s="8" t="s">
        <v>282</v>
      </c>
      <c r="Z1602" s="8" t="s">
        <v>283</v>
      </c>
    </row>
    <row r="1603" spans="1:26" x14ac:dyDescent="0.2">
      <c r="A1603" s="8">
        <v>1602</v>
      </c>
      <c r="B1603" s="8" t="s">
        <v>7431</v>
      </c>
      <c r="C1603" s="8" t="s">
        <v>7431</v>
      </c>
      <c r="F1603" s="47"/>
      <c r="G1603" s="8">
        <v>16</v>
      </c>
      <c r="H1603" s="8" t="s">
        <v>21</v>
      </c>
      <c r="I1603" s="8" t="s">
        <v>22</v>
      </c>
      <c r="J1603" s="8" t="s">
        <v>22</v>
      </c>
      <c r="K1603" s="8" t="s">
        <v>483</v>
      </c>
      <c r="L1603" s="8" t="s">
        <v>55972</v>
      </c>
      <c r="M1603" s="8" t="s">
        <v>6970</v>
      </c>
      <c r="N1603" s="8" t="s">
        <v>7432</v>
      </c>
      <c r="O1603" s="8">
        <f>4+27/60+54.4/3600</f>
        <v>4.4651111111111117</v>
      </c>
      <c r="P1603" s="8" t="s">
        <v>7433</v>
      </c>
      <c r="Q1603" s="8">
        <f>-(55+3/60+24/3600)</f>
        <v>-55.056666666666665</v>
      </c>
      <c r="R1603" s="8">
        <v>13</v>
      </c>
      <c r="S1603" s="8">
        <v>13.3</v>
      </c>
      <c r="T1603" s="8">
        <v>0.3</v>
      </c>
      <c r="U1603" s="8">
        <v>13.6</v>
      </c>
      <c r="V1603" s="8">
        <v>1.9</v>
      </c>
      <c r="W1603" s="8">
        <v>1.1000000000000001</v>
      </c>
      <c r="X1603" s="8">
        <v>83</v>
      </c>
      <c r="Y1603" s="8" t="s">
        <v>7434</v>
      </c>
      <c r="Z1603" s="8" t="s">
        <v>7435</v>
      </c>
    </row>
    <row r="1604" spans="1:26" x14ac:dyDescent="0.2">
      <c r="A1604" s="8">
        <v>1603</v>
      </c>
      <c r="B1604" s="8" t="s">
        <v>7436</v>
      </c>
      <c r="C1604" s="8" t="s">
        <v>7436</v>
      </c>
      <c r="F1604" s="47"/>
      <c r="G1604" s="8">
        <v>18</v>
      </c>
      <c r="H1604" s="8" t="s">
        <v>21</v>
      </c>
      <c r="I1604" s="8" t="s">
        <v>22</v>
      </c>
      <c r="J1604" s="8" t="s">
        <v>22</v>
      </c>
      <c r="K1604" s="8" t="s">
        <v>58</v>
      </c>
      <c r="L1604" s="8" t="s">
        <v>3328</v>
      </c>
      <c r="M1604" s="8" t="s">
        <v>3329</v>
      </c>
      <c r="N1604" s="8" t="s">
        <v>7437</v>
      </c>
      <c r="O1604" s="8">
        <f>4+31/60+49.9/3600</f>
        <v>4.5305277777777775</v>
      </c>
      <c r="P1604" s="8" t="s">
        <v>7438</v>
      </c>
      <c r="Q1604" s="8">
        <f>-(5+5/60+38/3600)</f>
        <v>-5.0938888888888885</v>
      </c>
      <c r="R1604" s="8">
        <v>13.8</v>
      </c>
      <c r="S1604" s="8">
        <v>14.7</v>
      </c>
      <c r="T1604" s="8">
        <v>0.9</v>
      </c>
      <c r="U1604" s="8">
        <v>12.8</v>
      </c>
      <c r="V1604" s="8">
        <v>0.8</v>
      </c>
      <c r="W1604" s="8">
        <v>0.5</v>
      </c>
      <c r="X1604" s="8">
        <v>37</v>
      </c>
      <c r="Y1604" s="8" t="s">
        <v>282</v>
      </c>
      <c r="Z1604" s="8" t="s">
        <v>283</v>
      </c>
    </row>
    <row r="1605" spans="1:26" x14ac:dyDescent="0.2">
      <c r="A1605" s="8">
        <v>1604</v>
      </c>
      <c r="B1605" s="8" t="s">
        <v>7439</v>
      </c>
      <c r="C1605" s="8" t="s">
        <v>7439</v>
      </c>
      <c r="F1605" s="47"/>
      <c r="G1605" s="8">
        <v>19</v>
      </c>
      <c r="H1605" s="8" t="s">
        <v>21</v>
      </c>
      <c r="I1605" s="8" t="s">
        <v>22</v>
      </c>
      <c r="J1605" s="8" t="s">
        <v>22</v>
      </c>
      <c r="K1605" s="8" t="s">
        <v>37</v>
      </c>
      <c r="L1605" s="8" t="s">
        <v>3328</v>
      </c>
      <c r="M1605" s="8" t="s">
        <v>3329</v>
      </c>
      <c r="N1605" s="8" t="s">
        <v>7440</v>
      </c>
      <c r="O1605" s="8">
        <f>4+31/60+58.5/3600</f>
        <v>4.5329166666666669</v>
      </c>
      <c r="P1605" s="8" t="s">
        <v>7441</v>
      </c>
      <c r="Q1605" s="8">
        <f>-(5+22/60+10/3600)</f>
        <v>-5.3694444444444445</v>
      </c>
      <c r="R1605" s="8">
        <v>13.7</v>
      </c>
      <c r="S1605" s="8">
        <v>14.7</v>
      </c>
      <c r="T1605" s="8">
        <v>1</v>
      </c>
      <c r="U1605" s="8">
        <v>13.2</v>
      </c>
      <c r="V1605" s="8">
        <v>1</v>
      </c>
      <c r="W1605" s="8">
        <v>0.7</v>
      </c>
      <c r="X1605" s="8">
        <v>71</v>
      </c>
      <c r="Y1605" s="8" t="s">
        <v>7442</v>
      </c>
      <c r="Z1605" s="8" t="s">
        <v>7443</v>
      </c>
    </row>
    <row r="1606" spans="1:26" x14ac:dyDescent="0.2">
      <c r="A1606" s="8">
        <v>1605</v>
      </c>
      <c r="B1606" s="8" t="s">
        <v>7444</v>
      </c>
      <c r="C1606" s="8" t="s">
        <v>7444</v>
      </c>
      <c r="F1606" s="47" t="s">
        <v>56356</v>
      </c>
      <c r="G1606" s="8">
        <v>6.5</v>
      </c>
      <c r="H1606" s="8" t="s">
        <v>21</v>
      </c>
      <c r="I1606" s="8" t="s">
        <v>557</v>
      </c>
      <c r="J1606" s="8" t="s">
        <v>557</v>
      </c>
      <c r="K1606" s="8" t="s">
        <v>3647</v>
      </c>
      <c r="L1606" s="8" t="s">
        <v>3147</v>
      </c>
      <c r="M1606" s="8" t="s">
        <v>3148</v>
      </c>
      <c r="N1606" s="8" t="s">
        <v>7445</v>
      </c>
      <c r="O1606" s="8">
        <f>4+34/60+52.2/3600</f>
        <v>4.5811666666666664</v>
      </c>
      <c r="P1606" s="8" t="s">
        <v>7446</v>
      </c>
      <c r="Q1606" s="8">
        <f>+(45+16/60+17/3600)</f>
        <v>45.271388888888886</v>
      </c>
      <c r="R1606" s="8">
        <v>10.7</v>
      </c>
      <c r="S1606" s="8">
        <v>99</v>
      </c>
      <c r="T1606" s="8">
        <v>99</v>
      </c>
      <c r="U1606" s="8">
        <v>99</v>
      </c>
      <c r="V1606" s="8">
        <v>5</v>
      </c>
      <c r="Y1606" s="8" t="s">
        <v>7447</v>
      </c>
      <c r="Z1606" s="8" t="s">
        <v>7448</v>
      </c>
    </row>
    <row r="1607" spans="1:26" x14ac:dyDescent="0.2">
      <c r="A1607" s="8">
        <v>1606</v>
      </c>
      <c r="B1607" s="8" t="s">
        <v>7449</v>
      </c>
      <c r="C1607" s="8" t="s">
        <v>7449</v>
      </c>
      <c r="F1607" s="47"/>
      <c r="G1607" s="8">
        <v>18</v>
      </c>
      <c r="H1607" s="8" t="s">
        <v>21</v>
      </c>
      <c r="I1607" s="8" t="s">
        <v>22</v>
      </c>
      <c r="J1607" s="8" t="s">
        <v>22</v>
      </c>
      <c r="K1607" s="8" t="s">
        <v>435</v>
      </c>
      <c r="L1607" s="8" t="s">
        <v>3328</v>
      </c>
      <c r="M1607" s="8" t="s">
        <v>3329</v>
      </c>
      <c r="N1607" s="8" t="s">
        <v>7450</v>
      </c>
      <c r="O1607" s="8">
        <f>4+32/60+3.3/3600</f>
        <v>4.5342500000000001</v>
      </c>
      <c r="P1607" s="8" t="s">
        <v>7451</v>
      </c>
      <c r="Q1607" s="8">
        <f>-(5+1/60+55/3600)</f>
        <v>-5.0319444444444441</v>
      </c>
      <c r="R1607" s="8">
        <v>14.9</v>
      </c>
      <c r="S1607" s="8">
        <v>15.8</v>
      </c>
      <c r="T1607" s="8">
        <v>0.9</v>
      </c>
      <c r="U1607" s="8">
        <v>13.2</v>
      </c>
      <c r="V1607" s="8">
        <v>0.5</v>
      </c>
      <c r="W1607" s="8">
        <v>0.5</v>
      </c>
      <c r="Y1607" s="8" t="s">
        <v>47</v>
      </c>
      <c r="Z1607" s="8" t="s">
        <v>48</v>
      </c>
    </row>
    <row r="1608" spans="1:26" x14ac:dyDescent="0.2">
      <c r="A1608" s="8">
        <v>1607</v>
      </c>
      <c r="B1608" s="8" t="s">
        <v>7452</v>
      </c>
      <c r="C1608" s="8" t="s">
        <v>7452</v>
      </c>
      <c r="F1608" s="47"/>
      <c r="G1608" s="8">
        <v>19</v>
      </c>
      <c r="H1608" s="8" t="s">
        <v>21</v>
      </c>
      <c r="I1608" s="8" t="s">
        <v>22</v>
      </c>
      <c r="J1608" s="8" t="s">
        <v>22</v>
      </c>
      <c r="K1608" s="8" t="s">
        <v>632</v>
      </c>
      <c r="L1608" s="8" t="s">
        <v>3328</v>
      </c>
      <c r="M1608" s="8" t="s">
        <v>3329</v>
      </c>
      <c r="N1608" s="8" t="s">
        <v>7453</v>
      </c>
      <c r="O1608" s="8">
        <f>4+32/60+3.1/3600</f>
        <v>4.5341944444444442</v>
      </c>
      <c r="P1608" s="8" t="s">
        <v>7454</v>
      </c>
      <c r="Q1608" s="8">
        <f>-(4+27/60+38/3600)</f>
        <v>-4.4605555555555556</v>
      </c>
      <c r="R1608" s="8">
        <v>13.2</v>
      </c>
      <c r="S1608" s="8">
        <v>14.1</v>
      </c>
      <c r="T1608" s="8">
        <v>0.9</v>
      </c>
      <c r="U1608" s="8">
        <v>12.6</v>
      </c>
      <c r="V1608" s="8">
        <v>1</v>
      </c>
      <c r="W1608" s="8">
        <v>0.4</v>
      </c>
      <c r="X1608" s="8">
        <v>50</v>
      </c>
      <c r="Y1608" s="8" t="s">
        <v>972</v>
      </c>
      <c r="Z1608" s="8" t="s">
        <v>973</v>
      </c>
    </row>
    <row r="1609" spans="1:26" x14ac:dyDescent="0.2">
      <c r="A1609" s="8">
        <v>1608</v>
      </c>
      <c r="B1609" s="8" t="s">
        <v>7455</v>
      </c>
      <c r="C1609" s="8" t="s">
        <v>7455</v>
      </c>
      <c r="F1609" s="47"/>
      <c r="G1609" s="8">
        <v>18</v>
      </c>
      <c r="H1609" s="8" t="s">
        <v>21</v>
      </c>
      <c r="I1609" s="8" t="s">
        <v>22</v>
      </c>
      <c r="J1609" s="8" t="s">
        <v>57</v>
      </c>
      <c r="K1609" s="8" t="s">
        <v>37</v>
      </c>
      <c r="L1609" s="8" t="s">
        <v>6115</v>
      </c>
      <c r="M1609" s="8" t="s">
        <v>6116</v>
      </c>
      <c r="N1609" s="8" t="s">
        <v>7402</v>
      </c>
      <c r="O1609" s="8">
        <f>4+32/60+6.1/3600</f>
        <v>4.5350277777777777</v>
      </c>
      <c r="P1609" s="8" t="s">
        <v>7403</v>
      </c>
      <c r="Q1609" s="8">
        <f>+(0+34/60+4/3600)</f>
        <v>0.56777777777777771</v>
      </c>
      <c r="R1609" s="8">
        <v>13.4</v>
      </c>
      <c r="S1609" s="8">
        <v>14.4</v>
      </c>
      <c r="T1609" s="8">
        <v>1</v>
      </c>
      <c r="U1609" s="8">
        <v>13.3</v>
      </c>
      <c r="V1609" s="8">
        <v>1.6</v>
      </c>
      <c r="W1609" s="8">
        <v>0.6</v>
      </c>
      <c r="X1609" s="8">
        <v>130</v>
      </c>
      <c r="Y1609" s="8" t="s">
        <v>7456</v>
      </c>
      <c r="Z1609" s="8" t="s">
        <v>7457</v>
      </c>
    </row>
    <row r="1610" spans="1:26" x14ac:dyDescent="0.2">
      <c r="A1610" s="8">
        <v>1609</v>
      </c>
      <c r="B1610" s="8" t="s">
        <v>7458</v>
      </c>
      <c r="C1610" s="8" t="s">
        <v>7458</v>
      </c>
      <c r="F1610" s="47" t="s">
        <v>56357</v>
      </c>
      <c r="G1610" s="8">
        <v>15</v>
      </c>
      <c r="H1610" s="8" t="s">
        <v>21</v>
      </c>
      <c r="I1610" s="8" t="s">
        <v>22</v>
      </c>
      <c r="J1610" s="8" t="s">
        <v>22</v>
      </c>
      <c r="K1610" s="8" t="s">
        <v>632</v>
      </c>
      <c r="L1610" s="8" t="s">
        <v>3328</v>
      </c>
      <c r="M1610" s="8" t="s">
        <v>3329</v>
      </c>
      <c r="N1610" s="8" t="s">
        <v>7459</v>
      </c>
      <c r="O1610" s="8">
        <f>4+32/60+45/3600</f>
        <v>4.5458333333333334</v>
      </c>
      <c r="P1610" s="8" t="s">
        <v>7460</v>
      </c>
      <c r="Q1610" s="8">
        <f>-(4+22/60+19/3600)</f>
        <v>-4.371944444444444</v>
      </c>
      <c r="R1610" s="8">
        <v>13.5</v>
      </c>
      <c r="S1610" s="8">
        <v>14.4</v>
      </c>
      <c r="T1610" s="8">
        <v>0.9</v>
      </c>
      <c r="U1610" s="8">
        <v>13.1</v>
      </c>
      <c r="V1610" s="8">
        <v>1.1000000000000001</v>
      </c>
      <c r="W1610" s="8">
        <v>0.7</v>
      </c>
      <c r="X1610" s="8">
        <v>95</v>
      </c>
      <c r="Y1610" s="8" t="s">
        <v>7461</v>
      </c>
      <c r="Z1610" s="8" t="s">
        <v>7462</v>
      </c>
    </row>
    <row r="1611" spans="1:26" x14ac:dyDescent="0.2">
      <c r="A1611" s="8">
        <v>1610</v>
      </c>
      <c r="B1611" s="8" t="s">
        <v>7463</v>
      </c>
      <c r="C1611" s="8" t="s">
        <v>7463</v>
      </c>
      <c r="F1611" s="47"/>
      <c r="G1611" s="8">
        <v>19</v>
      </c>
      <c r="H1611" s="8" t="s">
        <v>21</v>
      </c>
      <c r="I1611" s="8" t="s">
        <v>329</v>
      </c>
      <c r="J1611" s="8" t="s">
        <v>329</v>
      </c>
      <c r="K1611" s="8" t="s">
        <v>329</v>
      </c>
      <c r="L1611" s="8" t="s">
        <v>3328</v>
      </c>
      <c r="M1611" s="8" t="s">
        <v>3329</v>
      </c>
      <c r="N1611" s="8" t="s">
        <v>7464</v>
      </c>
      <c r="O1611" s="8">
        <f>4+32/60+44.7/3600</f>
        <v>4.54575</v>
      </c>
      <c r="P1611" s="8" t="s">
        <v>7465</v>
      </c>
      <c r="Q1611" s="8">
        <f>-(4+34/60+55/3600)</f>
        <v>-4.5819444444444439</v>
      </c>
      <c r="R1611" s="8">
        <v>99</v>
      </c>
      <c r="S1611" s="8">
        <v>99</v>
      </c>
      <c r="T1611" s="8">
        <v>99</v>
      </c>
      <c r="U1611" s="8">
        <v>99</v>
      </c>
      <c r="Y1611" s="8" t="s">
        <v>5541</v>
      </c>
      <c r="Z1611" s="8" t="s">
        <v>5542</v>
      </c>
    </row>
    <row r="1612" spans="1:26" x14ac:dyDescent="0.2">
      <c r="A1612" s="8">
        <v>1611</v>
      </c>
      <c r="B1612" s="8" t="s">
        <v>7466</v>
      </c>
      <c r="C1612" s="8" t="s">
        <v>7466</v>
      </c>
      <c r="F1612" s="47" t="s">
        <v>56358</v>
      </c>
      <c r="G1612" s="8">
        <v>15</v>
      </c>
      <c r="H1612" s="8" t="s">
        <v>21</v>
      </c>
      <c r="I1612" s="8" t="s">
        <v>22</v>
      </c>
      <c r="J1612" s="8" t="s">
        <v>22</v>
      </c>
      <c r="K1612" s="8" t="s">
        <v>632</v>
      </c>
      <c r="L1612" s="8" t="s">
        <v>3328</v>
      </c>
      <c r="M1612" s="8" t="s">
        <v>3329</v>
      </c>
      <c r="N1612" s="8" t="s">
        <v>7467</v>
      </c>
      <c r="O1612" s="8">
        <f>4+33/60+5.8/3600</f>
        <v>4.5516111111111108</v>
      </c>
      <c r="P1612" s="8" t="s">
        <v>7468</v>
      </c>
      <c r="Q1612" s="8">
        <f>-(4+17/60+49/3600)</f>
        <v>-4.2969444444444447</v>
      </c>
      <c r="R1612" s="8">
        <v>13.4</v>
      </c>
      <c r="S1612" s="8">
        <v>14.3</v>
      </c>
      <c r="T1612" s="8">
        <v>0.9</v>
      </c>
      <c r="U1612" s="8">
        <v>13.5</v>
      </c>
      <c r="V1612" s="8">
        <v>2</v>
      </c>
      <c r="W1612" s="8">
        <v>0.6</v>
      </c>
      <c r="X1612" s="8">
        <v>108</v>
      </c>
      <c r="Y1612" s="8" t="s">
        <v>7469</v>
      </c>
      <c r="Z1612" s="8" t="s">
        <v>7470</v>
      </c>
    </row>
    <row r="1613" spans="1:26" x14ac:dyDescent="0.2">
      <c r="A1613" s="8">
        <v>1612</v>
      </c>
      <c r="B1613" s="8" t="s">
        <v>7471</v>
      </c>
      <c r="C1613" s="8" t="s">
        <v>7471</v>
      </c>
      <c r="F1613" s="47"/>
      <c r="G1613" s="8">
        <v>19</v>
      </c>
      <c r="H1613" s="8" t="s">
        <v>21</v>
      </c>
      <c r="I1613" s="8" t="s">
        <v>22</v>
      </c>
      <c r="J1613" s="8" t="s">
        <v>22</v>
      </c>
      <c r="K1613" s="8" t="s">
        <v>632</v>
      </c>
      <c r="L1613" s="8" t="s">
        <v>3328</v>
      </c>
      <c r="M1613" s="8" t="s">
        <v>3329</v>
      </c>
      <c r="N1613" s="8" t="s">
        <v>7472</v>
      </c>
      <c r="O1613" s="8">
        <f>4+33/60+13.1/3600</f>
        <v>4.553638888888889</v>
      </c>
      <c r="P1613" s="8" t="s">
        <v>7473</v>
      </c>
      <c r="Q1613" s="8">
        <f>-(4+10/60+19/3600)</f>
        <v>-4.1719444444444447</v>
      </c>
      <c r="R1613" s="8">
        <v>13.4</v>
      </c>
      <c r="S1613" s="8">
        <v>14.3</v>
      </c>
      <c r="T1613" s="8">
        <v>0.9</v>
      </c>
      <c r="U1613" s="8">
        <v>13.6</v>
      </c>
      <c r="V1613" s="8">
        <v>1.3</v>
      </c>
      <c r="W1613" s="8">
        <v>1</v>
      </c>
      <c r="X1613" s="8">
        <v>142</v>
      </c>
      <c r="Y1613" s="8" t="s">
        <v>7474</v>
      </c>
      <c r="Z1613" s="8" t="s">
        <v>7475</v>
      </c>
    </row>
    <row r="1614" spans="1:26" x14ac:dyDescent="0.2">
      <c r="A1614" s="8">
        <v>1613</v>
      </c>
      <c r="B1614" s="8" t="s">
        <v>7476</v>
      </c>
      <c r="C1614" s="8" t="s">
        <v>7476</v>
      </c>
      <c r="F1614" s="47"/>
      <c r="G1614" s="8">
        <v>19</v>
      </c>
      <c r="H1614" s="8" t="s">
        <v>21</v>
      </c>
      <c r="I1614" s="8" t="s">
        <v>22</v>
      </c>
      <c r="J1614" s="8" t="s">
        <v>22</v>
      </c>
      <c r="K1614" s="8" t="s">
        <v>632</v>
      </c>
      <c r="L1614" s="8" t="s">
        <v>3328</v>
      </c>
      <c r="M1614" s="8" t="s">
        <v>3329</v>
      </c>
      <c r="N1614" s="8" t="s">
        <v>7477</v>
      </c>
      <c r="O1614" s="8">
        <f>4+33/60+25.3/3600</f>
        <v>4.5570277777777779</v>
      </c>
      <c r="P1614" s="8" t="s">
        <v>7478</v>
      </c>
      <c r="Q1614" s="8">
        <f>-(4+15/60+54/3600)</f>
        <v>-4.2649999999999997</v>
      </c>
      <c r="R1614" s="8">
        <v>13.7</v>
      </c>
      <c r="S1614" s="8">
        <v>14.6</v>
      </c>
      <c r="T1614" s="8">
        <v>0.9</v>
      </c>
      <c r="U1614" s="8">
        <v>13.3</v>
      </c>
      <c r="V1614" s="8">
        <v>1</v>
      </c>
      <c r="W1614" s="8">
        <v>0.8</v>
      </c>
      <c r="X1614" s="8">
        <v>45</v>
      </c>
      <c r="Y1614" s="8" t="s">
        <v>7479</v>
      </c>
      <c r="Z1614" s="8" t="s">
        <v>7480</v>
      </c>
    </row>
    <row r="1615" spans="1:26" x14ac:dyDescent="0.2">
      <c r="A1615" s="8">
        <v>1614</v>
      </c>
      <c r="B1615" s="8" t="s">
        <v>7481</v>
      </c>
      <c r="C1615" s="8" t="s">
        <v>7481</v>
      </c>
      <c r="F1615" s="47"/>
      <c r="G1615" s="8">
        <v>19</v>
      </c>
      <c r="H1615" s="8" t="s">
        <v>21</v>
      </c>
      <c r="I1615" s="8" t="s">
        <v>22</v>
      </c>
      <c r="J1615" s="8" t="s">
        <v>22</v>
      </c>
      <c r="K1615" s="8" t="s">
        <v>520</v>
      </c>
      <c r="L1615" s="8" t="s">
        <v>3328</v>
      </c>
      <c r="M1615" s="8" t="s">
        <v>3329</v>
      </c>
      <c r="N1615" s="8" t="s">
        <v>7482</v>
      </c>
      <c r="O1615" s="8">
        <f>4+33/60+59.8/3600</f>
        <v>4.5666111111111105</v>
      </c>
      <c r="P1615" s="8" t="s">
        <v>7483</v>
      </c>
      <c r="Q1615" s="8">
        <f>-(8+34/60+45/3600)</f>
        <v>-8.5791666666666657</v>
      </c>
      <c r="R1615" s="8">
        <v>12.9</v>
      </c>
      <c r="S1615" s="8">
        <v>13.6</v>
      </c>
      <c r="T1615" s="8">
        <v>0.7</v>
      </c>
      <c r="U1615" s="8">
        <v>13.2</v>
      </c>
      <c r="V1615" s="8">
        <v>1.3</v>
      </c>
      <c r="W1615" s="8">
        <v>0.9</v>
      </c>
      <c r="X1615" s="8">
        <v>142</v>
      </c>
      <c r="Y1615" s="8" t="s">
        <v>7484</v>
      </c>
      <c r="Z1615" s="8" t="s">
        <v>7485</v>
      </c>
    </row>
    <row r="1616" spans="1:26" x14ac:dyDescent="0.2">
      <c r="A1616" s="8">
        <v>1615</v>
      </c>
      <c r="B1616" s="8" t="s">
        <v>7486</v>
      </c>
      <c r="C1616" s="8" t="s">
        <v>7486</v>
      </c>
      <c r="F1616" s="47"/>
      <c r="G1616" s="8">
        <v>19</v>
      </c>
      <c r="H1616" s="8" t="s">
        <v>21</v>
      </c>
      <c r="I1616" s="8" t="s">
        <v>22</v>
      </c>
      <c r="J1616" s="8" t="s">
        <v>22</v>
      </c>
      <c r="K1616" s="8" t="s">
        <v>58</v>
      </c>
      <c r="L1616" s="8" t="s">
        <v>6115</v>
      </c>
      <c r="M1616" s="8" t="s">
        <v>6116</v>
      </c>
      <c r="N1616" s="8" t="s">
        <v>7487</v>
      </c>
      <c r="O1616" s="8">
        <f>4+36/60+1.9/3600</f>
        <v>4.6005277777777778</v>
      </c>
      <c r="P1616" s="8" t="s">
        <v>7488</v>
      </c>
      <c r="Q1616" s="8">
        <f>+(19+57/60+3/3600)</f>
        <v>19.950833333333332</v>
      </c>
      <c r="R1616" s="8">
        <v>13.9</v>
      </c>
      <c r="S1616" s="8">
        <v>14.6</v>
      </c>
      <c r="T1616" s="8">
        <v>0.7</v>
      </c>
      <c r="U1616" s="8">
        <v>13.6</v>
      </c>
      <c r="V1616" s="8">
        <v>1.2</v>
      </c>
      <c r="W1616" s="8">
        <v>0.8</v>
      </c>
      <c r="X1616" s="8">
        <v>115</v>
      </c>
      <c r="Y1616" s="8" t="s">
        <v>7489</v>
      </c>
      <c r="Z1616" s="8" t="s">
        <v>7490</v>
      </c>
    </row>
    <row r="1617" spans="1:26" x14ac:dyDescent="0.2">
      <c r="A1617" s="8">
        <v>1616</v>
      </c>
      <c r="B1617" s="8" t="s">
        <v>7491</v>
      </c>
      <c r="C1617" s="8" t="s">
        <v>7491</v>
      </c>
      <c r="F1617" s="47"/>
      <c r="G1617" s="8">
        <v>16</v>
      </c>
      <c r="H1617" s="8" t="s">
        <v>21</v>
      </c>
      <c r="I1617" s="8" t="s">
        <v>22</v>
      </c>
      <c r="J1617" s="8" t="s">
        <v>22</v>
      </c>
      <c r="K1617" s="8" t="s">
        <v>396</v>
      </c>
      <c r="L1617" s="8" t="s">
        <v>7243</v>
      </c>
      <c r="M1617" s="8" t="s">
        <v>7244</v>
      </c>
      <c r="N1617" s="8" t="s">
        <v>7492</v>
      </c>
      <c r="O1617" s="8">
        <f>4+32/60+41.9/3600</f>
        <v>4.5449722222222224</v>
      </c>
      <c r="P1617" s="8" t="s">
        <v>7493</v>
      </c>
      <c r="Q1617" s="8">
        <f>-(43+42/60+54/3600)</f>
        <v>-43.715000000000003</v>
      </c>
      <c r="R1617" s="8">
        <v>12.6</v>
      </c>
      <c r="S1617" s="8">
        <v>13.3</v>
      </c>
      <c r="T1617" s="8">
        <v>0.7</v>
      </c>
      <c r="U1617" s="8">
        <v>13</v>
      </c>
      <c r="V1617" s="8">
        <v>1.8</v>
      </c>
      <c r="W1617" s="8">
        <v>0.9</v>
      </c>
      <c r="X1617" s="8">
        <v>36</v>
      </c>
      <c r="Y1617" s="8" t="s">
        <v>7494</v>
      </c>
      <c r="Z1617" s="8" t="s">
        <v>7495</v>
      </c>
    </row>
    <row r="1618" spans="1:26" x14ac:dyDescent="0.2">
      <c r="A1618" s="8">
        <v>1617</v>
      </c>
      <c r="B1618" s="8" t="s">
        <v>7496</v>
      </c>
      <c r="C1618" s="8" t="s">
        <v>7496</v>
      </c>
      <c r="F1618" s="47"/>
      <c r="G1618" s="8">
        <v>3</v>
      </c>
      <c r="H1618" s="8" t="s">
        <v>21</v>
      </c>
      <c r="I1618" s="8" t="s">
        <v>22</v>
      </c>
      <c r="J1618" s="8" t="s">
        <v>22</v>
      </c>
      <c r="K1618" s="8" t="s">
        <v>154</v>
      </c>
      <c r="L1618" s="8" t="s">
        <v>55972</v>
      </c>
      <c r="M1618" s="8" t="s">
        <v>6970</v>
      </c>
      <c r="N1618" s="8" t="s">
        <v>7497</v>
      </c>
      <c r="O1618" s="8">
        <f>4+31/60+39.5/3600</f>
        <v>4.5276388888888892</v>
      </c>
      <c r="P1618" s="8" t="s">
        <v>7498</v>
      </c>
      <c r="Q1618" s="8">
        <f>-(54+36/60+7/3600)</f>
        <v>-54.601944444444449</v>
      </c>
      <c r="R1618" s="8">
        <v>10.4</v>
      </c>
      <c r="S1618" s="8">
        <v>11.4</v>
      </c>
      <c r="T1618" s="8">
        <v>1</v>
      </c>
      <c r="U1618" s="8">
        <v>12.7</v>
      </c>
      <c r="V1618" s="8">
        <v>4.3</v>
      </c>
      <c r="W1618" s="8">
        <v>2.1</v>
      </c>
      <c r="X1618" s="8">
        <v>107</v>
      </c>
      <c r="Y1618" s="8" t="s">
        <v>7499</v>
      </c>
      <c r="Z1618" s="8" t="s">
        <v>7500</v>
      </c>
    </row>
    <row r="1619" spans="1:26" x14ac:dyDescent="0.2">
      <c r="A1619" s="8">
        <v>1618</v>
      </c>
      <c r="B1619" s="8" t="s">
        <v>7501</v>
      </c>
      <c r="C1619" s="8" t="s">
        <v>7501</v>
      </c>
      <c r="F1619" s="47" t="s">
        <v>56359</v>
      </c>
      <c r="G1619" s="8">
        <v>6.5</v>
      </c>
      <c r="H1619" s="8" t="s">
        <v>21</v>
      </c>
      <c r="I1619" s="8" t="s">
        <v>22</v>
      </c>
      <c r="J1619" s="8" t="s">
        <v>22</v>
      </c>
      <c r="K1619" s="8" t="s">
        <v>218</v>
      </c>
      <c r="L1619" s="8" t="s">
        <v>3328</v>
      </c>
      <c r="M1619" s="8" t="s">
        <v>3329</v>
      </c>
      <c r="N1619" s="8" t="s">
        <v>7502</v>
      </c>
      <c r="O1619" s="8">
        <f>4+36/60+6.6/3600</f>
        <v>4.6018333333333326</v>
      </c>
      <c r="P1619" s="8" t="s">
        <v>7503</v>
      </c>
      <c r="Q1619" s="8">
        <f>-(3+8/60+55/3600)</f>
        <v>-3.1486111111111112</v>
      </c>
      <c r="R1619" s="8">
        <v>12.7</v>
      </c>
      <c r="S1619" s="8">
        <v>13.5</v>
      </c>
      <c r="T1619" s="8">
        <v>0.8</v>
      </c>
      <c r="U1619" s="8">
        <v>13.2</v>
      </c>
      <c r="V1619" s="8">
        <v>2.4</v>
      </c>
      <c r="W1619" s="8">
        <v>0.8</v>
      </c>
      <c r="X1619" s="8">
        <v>26</v>
      </c>
      <c r="Y1619" s="8" t="s">
        <v>7504</v>
      </c>
      <c r="Z1619" s="8" t="s">
        <v>7505</v>
      </c>
    </row>
    <row r="1620" spans="1:26" x14ac:dyDescent="0.2">
      <c r="A1620" s="8">
        <v>1619</v>
      </c>
      <c r="B1620" s="8" t="s">
        <v>7506</v>
      </c>
      <c r="C1620" s="8" t="s">
        <v>7506</v>
      </c>
      <c r="F1620" s="47"/>
      <c r="G1620" s="8">
        <v>19</v>
      </c>
      <c r="H1620" s="8" t="s">
        <v>21</v>
      </c>
      <c r="I1620" s="8" t="s">
        <v>329</v>
      </c>
      <c r="J1620" s="8" t="s">
        <v>329</v>
      </c>
      <c r="K1620" s="8" t="s">
        <v>329</v>
      </c>
      <c r="L1620" s="8" t="s">
        <v>3328</v>
      </c>
      <c r="M1620" s="8" t="s">
        <v>3329</v>
      </c>
      <c r="N1620" s="8" t="s">
        <v>7507</v>
      </c>
      <c r="O1620" s="8">
        <f>4+36/60+11.4/3600</f>
        <v>4.6031666666666666</v>
      </c>
      <c r="P1620" s="8" t="s">
        <v>7508</v>
      </c>
      <c r="Q1620" s="8">
        <f>-(4+49/60+57/3600)</f>
        <v>-4.8324999999999996</v>
      </c>
      <c r="R1620" s="8">
        <v>99</v>
      </c>
      <c r="S1620" s="8">
        <v>99</v>
      </c>
      <c r="T1620" s="8">
        <v>99</v>
      </c>
      <c r="U1620" s="8">
        <v>99</v>
      </c>
      <c r="Y1620" s="8" t="s">
        <v>7509</v>
      </c>
      <c r="Z1620" s="8" t="s">
        <v>3537</v>
      </c>
    </row>
    <row r="1621" spans="1:26" x14ac:dyDescent="0.2">
      <c r="A1621" s="8">
        <v>1620</v>
      </c>
      <c r="B1621" s="8" t="s">
        <v>7510</v>
      </c>
      <c r="C1621" s="8" t="s">
        <v>7510</v>
      </c>
      <c r="F1621" s="47" t="s">
        <v>56360</v>
      </c>
      <c r="G1621" s="8">
        <v>15</v>
      </c>
      <c r="H1621" s="8" t="s">
        <v>21</v>
      </c>
      <c r="I1621" s="8" t="s">
        <v>22</v>
      </c>
      <c r="J1621" s="8" t="s">
        <v>22</v>
      </c>
      <c r="K1621" s="8" t="s">
        <v>160</v>
      </c>
      <c r="L1621" s="8" t="s">
        <v>3328</v>
      </c>
      <c r="M1621" s="8" t="s">
        <v>3329</v>
      </c>
      <c r="N1621" s="8" t="s">
        <v>7511</v>
      </c>
      <c r="O1621" s="8">
        <f>4+36/60+37.2/3600</f>
        <v>4.6103333333333332</v>
      </c>
      <c r="P1621" s="8" t="s">
        <v>7512</v>
      </c>
      <c r="Q1621" s="8">
        <f>-(0+8/60+39/3600)</f>
        <v>-0.14416666666666667</v>
      </c>
      <c r="R1621" s="8">
        <v>12.3</v>
      </c>
      <c r="S1621" s="8">
        <v>13.1</v>
      </c>
      <c r="T1621" s="8">
        <v>0.8</v>
      </c>
      <c r="U1621" s="8">
        <v>13.3</v>
      </c>
      <c r="V1621" s="8">
        <v>2.9</v>
      </c>
      <c r="W1621" s="8">
        <v>1</v>
      </c>
      <c r="X1621" s="8">
        <v>25</v>
      </c>
      <c r="Y1621" s="8" t="s">
        <v>7513</v>
      </c>
      <c r="Z1621" s="8" t="s">
        <v>7514</v>
      </c>
    </row>
    <row r="1622" spans="1:26" x14ac:dyDescent="0.2">
      <c r="A1622" s="8">
        <v>1621</v>
      </c>
      <c r="B1622" s="8" t="s">
        <v>7515</v>
      </c>
      <c r="C1622" s="8" t="s">
        <v>7515</v>
      </c>
      <c r="F1622" s="47"/>
      <c r="G1622" s="8">
        <v>19</v>
      </c>
      <c r="H1622" s="8" t="s">
        <v>21</v>
      </c>
      <c r="I1622" s="8" t="s">
        <v>22</v>
      </c>
      <c r="J1622" s="8" t="s">
        <v>57</v>
      </c>
      <c r="K1622" s="8" t="s">
        <v>50</v>
      </c>
      <c r="L1622" s="8" t="s">
        <v>3328</v>
      </c>
      <c r="M1622" s="8" t="s">
        <v>3329</v>
      </c>
      <c r="N1622" s="8" t="s">
        <v>7516</v>
      </c>
      <c r="O1622" s="8">
        <f>4+36/60+25/3600</f>
        <v>4.6069444444444443</v>
      </c>
      <c r="P1622" s="8" t="s">
        <v>7517</v>
      </c>
      <c r="Q1622" s="8">
        <f>-(4+59/60+12/3600)</f>
        <v>-4.9866666666666664</v>
      </c>
      <c r="R1622" s="8">
        <v>13.6</v>
      </c>
      <c r="S1622" s="8">
        <v>14.6</v>
      </c>
      <c r="T1622" s="8">
        <v>1</v>
      </c>
      <c r="U1622" s="8">
        <v>13.8</v>
      </c>
      <c r="V1622" s="8">
        <v>1.4</v>
      </c>
      <c r="W1622" s="8">
        <v>0.8</v>
      </c>
      <c r="X1622" s="8">
        <v>105</v>
      </c>
      <c r="Y1622" s="8" t="s">
        <v>7518</v>
      </c>
      <c r="Z1622" s="8" t="s">
        <v>3983</v>
      </c>
    </row>
    <row r="1623" spans="1:26" x14ac:dyDescent="0.2">
      <c r="A1623" s="8">
        <v>1622</v>
      </c>
      <c r="B1623" s="8" t="s">
        <v>7519</v>
      </c>
      <c r="C1623" s="8" t="s">
        <v>7519</v>
      </c>
      <c r="F1623" s="47"/>
      <c r="G1623" s="8">
        <v>18</v>
      </c>
      <c r="H1623" s="8" t="s">
        <v>21</v>
      </c>
      <c r="I1623" s="8" t="s">
        <v>22</v>
      </c>
      <c r="J1623" s="8" t="s">
        <v>22</v>
      </c>
      <c r="K1623" s="8" t="s">
        <v>406</v>
      </c>
      <c r="L1623" s="8" t="s">
        <v>3328</v>
      </c>
      <c r="M1623" s="8" t="s">
        <v>3329</v>
      </c>
      <c r="N1623" s="8" t="s">
        <v>7520</v>
      </c>
      <c r="O1623" s="8">
        <f>4+36/60+36.6/3600</f>
        <v>4.6101666666666663</v>
      </c>
      <c r="P1623" s="8" t="s">
        <v>7521</v>
      </c>
      <c r="Q1623" s="8">
        <f>-(3+11/60+18/3600)</f>
        <v>-3.188333333333333</v>
      </c>
      <c r="R1623" s="8">
        <v>12.5</v>
      </c>
      <c r="S1623" s="8">
        <v>13.4</v>
      </c>
      <c r="T1623" s="8">
        <v>0.9</v>
      </c>
      <c r="U1623" s="8">
        <v>13.4</v>
      </c>
      <c r="V1623" s="8">
        <v>3.7</v>
      </c>
      <c r="W1623" s="8">
        <v>0.7</v>
      </c>
      <c r="X1623" s="8">
        <v>33</v>
      </c>
      <c r="Y1623" s="8" t="s">
        <v>7522</v>
      </c>
      <c r="Z1623" s="8" t="s">
        <v>7523</v>
      </c>
    </row>
    <row r="1624" spans="1:26" x14ac:dyDescent="0.2">
      <c r="A1624" s="8">
        <v>1623</v>
      </c>
      <c r="B1624" s="8" t="s">
        <v>7524</v>
      </c>
      <c r="C1624" s="8" t="s">
        <v>7524</v>
      </c>
      <c r="F1624" s="47"/>
      <c r="G1624" s="8">
        <v>19</v>
      </c>
      <c r="H1624" s="8" t="s">
        <v>21</v>
      </c>
      <c r="I1624" s="8" t="s">
        <v>22</v>
      </c>
      <c r="J1624" s="8" t="s">
        <v>22</v>
      </c>
      <c r="K1624" s="8" t="s">
        <v>435</v>
      </c>
      <c r="L1624" s="8" t="s">
        <v>3328</v>
      </c>
      <c r="M1624" s="8" t="s">
        <v>3329</v>
      </c>
      <c r="N1624" s="8" t="s">
        <v>7525</v>
      </c>
      <c r="O1624" s="8">
        <f>4+35/60+32.2/3600</f>
        <v>4.5922777777777775</v>
      </c>
      <c r="P1624" s="8" t="s">
        <v>7526</v>
      </c>
      <c r="Q1624" s="8">
        <f>-(13+33/60+23/3600)</f>
        <v>-13.55638888888889</v>
      </c>
      <c r="R1624" s="8">
        <v>15.6</v>
      </c>
      <c r="S1624" s="8">
        <v>16.5</v>
      </c>
      <c r="T1624" s="8">
        <v>0.9</v>
      </c>
      <c r="U1624" s="8">
        <v>14.5</v>
      </c>
      <c r="V1624" s="8">
        <v>0.8</v>
      </c>
      <c r="W1624" s="8">
        <v>0.5</v>
      </c>
      <c r="X1624" s="8">
        <v>15</v>
      </c>
      <c r="Y1624" s="8" t="s">
        <v>7527</v>
      </c>
      <c r="Z1624" s="8" t="s">
        <v>7528</v>
      </c>
    </row>
    <row r="1625" spans="1:26" x14ac:dyDescent="0.2">
      <c r="A1625" s="8">
        <v>1624</v>
      </c>
      <c r="B1625" s="8" t="s">
        <v>7529</v>
      </c>
      <c r="C1625" s="8" t="s">
        <v>7529</v>
      </c>
      <c r="F1625" s="47" t="s">
        <v>56361</v>
      </c>
      <c r="G1625" s="8">
        <v>5</v>
      </c>
      <c r="H1625" s="8" t="s">
        <v>21</v>
      </c>
      <c r="I1625" s="8" t="s">
        <v>557</v>
      </c>
      <c r="J1625" s="8" t="s">
        <v>557</v>
      </c>
      <c r="K1625" s="8" t="s">
        <v>7530</v>
      </c>
      <c r="L1625" s="8" t="s">
        <v>3147</v>
      </c>
      <c r="M1625" s="8" t="s">
        <v>3148</v>
      </c>
      <c r="N1625" s="8" t="s">
        <v>7531</v>
      </c>
      <c r="O1625" s="8">
        <f>4+40/60+36.4/3600</f>
        <v>4.6767777777777777</v>
      </c>
      <c r="P1625" s="8" t="s">
        <v>7532</v>
      </c>
      <c r="Q1625" s="8">
        <f>+(50+27/60+42/3600)</f>
        <v>50.461666666666666</v>
      </c>
      <c r="R1625" s="8">
        <v>11.8</v>
      </c>
      <c r="S1625" s="8">
        <v>99</v>
      </c>
      <c r="T1625" s="8">
        <v>99</v>
      </c>
      <c r="U1625" s="8">
        <v>99</v>
      </c>
      <c r="V1625" s="8">
        <v>3</v>
      </c>
      <c r="Y1625" s="8" t="s">
        <v>7533</v>
      </c>
      <c r="Z1625" s="8" t="s">
        <v>7534</v>
      </c>
    </row>
    <row r="1626" spans="1:26" x14ac:dyDescent="0.2">
      <c r="A1626" s="8">
        <v>1625</v>
      </c>
      <c r="B1626" s="8" t="s">
        <v>7535</v>
      </c>
      <c r="C1626" s="8" t="s">
        <v>7535</v>
      </c>
      <c r="F1626" s="47"/>
      <c r="G1626" s="8">
        <v>13</v>
      </c>
      <c r="H1626" s="8" t="s">
        <v>21</v>
      </c>
      <c r="I1626" s="8" t="s">
        <v>22</v>
      </c>
      <c r="J1626" s="8" t="s">
        <v>22</v>
      </c>
      <c r="K1626" s="8" t="s">
        <v>218</v>
      </c>
      <c r="L1626" s="8" t="s">
        <v>3328</v>
      </c>
      <c r="M1626" s="8" t="s">
        <v>3329</v>
      </c>
      <c r="N1626" s="8" t="s">
        <v>7536</v>
      </c>
      <c r="O1626" s="8">
        <f>4+37/60+6.3/3600</f>
        <v>4.6184166666666675</v>
      </c>
      <c r="P1626" s="8" t="s">
        <v>7537</v>
      </c>
      <c r="Q1626" s="8">
        <f>-(3+18/60+14/3600)</f>
        <v>-3.3038888888888889</v>
      </c>
      <c r="R1626" s="8">
        <v>12.3</v>
      </c>
      <c r="S1626" s="8">
        <v>13</v>
      </c>
      <c r="T1626" s="8">
        <v>0.7</v>
      </c>
      <c r="U1626" s="8">
        <v>12.2</v>
      </c>
      <c r="V1626" s="8">
        <v>2.1</v>
      </c>
      <c r="W1626" s="8">
        <v>0.5</v>
      </c>
      <c r="X1626" s="8">
        <v>131</v>
      </c>
      <c r="Y1626" s="8" t="s">
        <v>7538</v>
      </c>
      <c r="Z1626" s="8" t="s">
        <v>7539</v>
      </c>
    </row>
    <row r="1627" spans="1:26" x14ac:dyDescent="0.2">
      <c r="A1627" s="8">
        <v>1626</v>
      </c>
      <c r="B1627" s="8" t="s">
        <v>7540</v>
      </c>
      <c r="C1627" s="8" t="s">
        <v>7540</v>
      </c>
      <c r="F1627" s="47"/>
      <c r="G1627" s="8">
        <v>19</v>
      </c>
      <c r="H1627" s="8" t="s">
        <v>21</v>
      </c>
      <c r="I1627" s="8" t="s">
        <v>22</v>
      </c>
      <c r="J1627" s="8" t="s">
        <v>22</v>
      </c>
      <c r="K1627" s="8" t="s">
        <v>50</v>
      </c>
      <c r="L1627" s="8" t="s">
        <v>3328</v>
      </c>
      <c r="M1627" s="8" t="s">
        <v>3329</v>
      </c>
      <c r="N1627" s="8" t="s">
        <v>7516</v>
      </c>
      <c r="O1627" s="8">
        <f>4+36/60+25/3600</f>
        <v>4.6069444444444443</v>
      </c>
      <c r="P1627" s="8" t="s">
        <v>7517</v>
      </c>
      <c r="Q1627" s="8">
        <f>-(4+59/60+12/3600)</f>
        <v>-4.9866666666666664</v>
      </c>
      <c r="R1627" s="8">
        <v>13.6</v>
      </c>
      <c r="S1627" s="8">
        <v>14.6</v>
      </c>
      <c r="T1627" s="8">
        <v>1</v>
      </c>
      <c r="U1627" s="8">
        <v>13.8</v>
      </c>
      <c r="V1627" s="8">
        <v>1.4</v>
      </c>
      <c r="W1627" s="8">
        <v>0.8</v>
      </c>
      <c r="X1627" s="8">
        <v>105</v>
      </c>
      <c r="Y1627" s="8" t="s">
        <v>7518</v>
      </c>
      <c r="Z1627" s="8" t="s">
        <v>7541</v>
      </c>
    </row>
    <row r="1628" spans="1:26" x14ac:dyDescent="0.2">
      <c r="A1628" s="8">
        <v>1627</v>
      </c>
      <c r="B1628" s="8" t="s">
        <v>7542</v>
      </c>
      <c r="C1628" s="8" t="s">
        <v>7542</v>
      </c>
      <c r="F1628" s="47"/>
      <c r="G1628" s="8">
        <v>19</v>
      </c>
      <c r="H1628" s="8" t="s">
        <v>21</v>
      </c>
      <c r="I1628" s="8" t="s">
        <v>22</v>
      </c>
      <c r="J1628" s="8" t="s">
        <v>22</v>
      </c>
      <c r="K1628" s="8" t="s">
        <v>160</v>
      </c>
      <c r="L1628" s="8" t="s">
        <v>3328</v>
      </c>
      <c r="M1628" s="8" t="s">
        <v>3329</v>
      </c>
      <c r="N1628" s="8" t="s">
        <v>7543</v>
      </c>
      <c r="O1628" s="8">
        <f>4+37/60+37.9/3600</f>
        <v>4.6271944444444451</v>
      </c>
      <c r="P1628" s="8" t="s">
        <v>7544</v>
      </c>
      <c r="Q1628" s="8">
        <f>-(4+53/60+17/3600)</f>
        <v>-4.8880555555555549</v>
      </c>
      <c r="R1628" s="8">
        <v>12.8</v>
      </c>
      <c r="S1628" s="8">
        <v>13.5</v>
      </c>
      <c r="T1628" s="8">
        <v>0.7</v>
      </c>
      <c r="U1628" s="8">
        <v>13.6</v>
      </c>
      <c r="V1628" s="8">
        <v>1.6</v>
      </c>
      <c r="W1628" s="8">
        <v>1.5</v>
      </c>
      <c r="X1628" s="8">
        <v>138</v>
      </c>
      <c r="Y1628" s="8" t="s">
        <v>7545</v>
      </c>
      <c r="Z1628" s="8" t="s">
        <v>7546</v>
      </c>
    </row>
    <row r="1629" spans="1:26" x14ac:dyDescent="0.2">
      <c r="A1629" s="8">
        <v>1628</v>
      </c>
      <c r="B1629" s="8" t="s">
        <v>7547</v>
      </c>
      <c r="C1629" s="8" t="s">
        <v>7547</v>
      </c>
      <c r="F1629" s="47"/>
      <c r="G1629" s="8">
        <v>19</v>
      </c>
      <c r="H1629" s="8" t="s">
        <v>21</v>
      </c>
      <c r="I1629" s="8" t="s">
        <v>22</v>
      </c>
      <c r="J1629" s="8" t="s">
        <v>22</v>
      </c>
      <c r="K1629" s="8" t="s">
        <v>23</v>
      </c>
      <c r="L1629" s="8" t="s">
        <v>3328</v>
      </c>
      <c r="M1629" s="8" t="s">
        <v>3329</v>
      </c>
      <c r="N1629" s="8" t="s">
        <v>7548</v>
      </c>
      <c r="O1629" s="8">
        <f>4+37/60+36.1/3600</f>
        <v>4.6266944444444453</v>
      </c>
      <c r="P1629" s="8" t="s">
        <v>7549</v>
      </c>
      <c r="Q1629" s="8">
        <f>-(4+42/60+57/3600)</f>
        <v>-4.7158333333333333</v>
      </c>
      <c r="R1629" s="8">
        <v>13.4</v>
      </c>
      <c r="S1629" s="8">
        <v>14.2</v>
      </c>
      <c r="T1629" s="8">
        <v>0.8</v>
      </c>
      <c r="U1629" s="8">
        <v>13</v>
      </c>
      <c r="V1629" s="8">
        <v>1.9</v>
      </c>
      <c r="W1629" s="8">
        <v>0.4</v>
      </c>
      <c r="X1629" s="8">
        <v>6</v>
      </c>
      <c r="Y1629" s="8" t="s">
        <v>7550</v>
      </c>
      <c r="Z1629" s="8" t="s">
        <v>7551</v>
      </c>
    </row>
    <row r="1630" spans="1:26" x14ac:dyDescent="0.2">
      <c r="A1630" s="8">
        <v>1629</v>
      </c>
      <c r="B1630" s="8" t="s">
        <v>7552</v>
      </c>
      <c r="C1630" s="8" t="s">
        <v>7552</v>
      </c>
      <c r="F1630" s="47"/>
      <c r="G1630" s="8">
        <v>16</v>
      </c>
      <c r="H1630" s="8" t="s">
        <v>21</v>
      </c>
      <c r="I1630" s="8" t="s">
        <v>557</v>
      </c>
      <c r="J1630" s="8" t="s">
        <v>557</v>
      </c>
      <c r="K1630" s="8" t="s">
        <v>557</v>
      </c>
      <c r="L1630" s="8" t="s">
        <v>2916</v>
      </c>
      <c r="M1630" s="8" t="s">
        <v>2917</v>
      </c>
      <c r="N1630" s="8" t="s">
        <v>7553</v>
      </c>
      <c r="O1630" s="8">
        <f>4+29/60+37/3600</f>
        <v>4.493611111111111</v>
      </c>
      <c r="P1630" s="8" t="s">
        <v>7554</v>
      </c>
      <c r="Q1630" s="8">
        <f>-(71+50/60+18/3600)</f>
        <v>-71.838333333333324</v>
      </c>
      <c r="R1630" s="8">
        <v>12.7</v>
      </c>
      <c r="S1630" s="8">
        <v>13.3</v>
      </c>
      <c r="T1630" s="8">
        <v>99</v>
      </c>
      <c r="U1630" s="8">
        <v>99</v>
      </c>
      <c r="V1630" s="8">
        <v>1</v>
      </c>
      <c r="Y1630" s="8" t="s">
        <v>1973</v>
      </c>
      <c r="Z1630" s="8" t="s">
        <v>1974</v>
      </c>
    </row>
    <row r="1631" spans="1:26" x14ac:dyDescent="0.2">
      <c r="A1631" s="8">
        <v>1630</v>
      </c>
      <c r="B1631" s="8" t="s">
        <v>7555</v>
      </c>
      <c r="C1631" s="8" t="s">
        <v>7555</v>
      </c>
      <c r="E1631" s="8">
        <v>1</v>
      </c>
      <c r="F1631" s="47"/>
      <c r="G1631" s="8">
        <v>19</v>
      </c>
      <c r="H1631" s="8" t="s">
        <v>21</v>
      </c>
      <c r="I1631" s="8" t="s">
        <v>22</v>
      </c>
      <c r="J1631" s="8" t="s">
        <v>22</v>
      </c>
      <c r="K1631" s="8" t="s">
        <v>632</v>
      </c>
      <c r="L1631" s="8" t="s">
        <v>3328</v>
      </c>
      <c r="M1631" s="8" t="s">
        <v>3329</v>
      </c>
      <c r="N1631" s="8" t="s">
        <v>7556</v>
      </c>
      <c r="O1631" s="8">
        <f>4+37/60+15.4/3600</f>
        <v>4.6209444444444445</v>
      </c>
      <c r="P1631" s="8" t="s">
        <v>7557</v>
      </c>
      <c r="Q1631" s="8">
        <f>-(18+54/60+7/3600)</f>
        <v>-18.901944444444442</v>
      </c>
      <c r="R1631" s="8">
        <v>14</v>
      </c>
      <c r="S1631" s="8">
        <v>14.9</v>
      </c>
      <c r="T1631" s="8">
        <v>0.9</v>
      </c>
      <c r="U1631" s="8">
        <v>12.7</v>
      </c>
      <c r="V1631" s="8">
        <v>0.7</v>
      </c>
      <c r="W1631" s="8">
        <v>0.5</v>
      </c>
      <c r="X1631" s="8">
        <v>140</v>
      </c>
      <c r="Y1631" s="8" t="s">
        <v>1829</v>
      </c>
      <c r="Z1631" s="8" t="s">
        <v>1830</v>
      </c>
    </row>
    <row r="1632" spans="1:26" x14ac:dyDescent="0.2">
      <c r="A1632" s="8">
        <v>1631</v>
      </c>
      <c r="B1632" s="8" t="s">
        <v>7558</v>
      </c>
      <c r="C1632" s="8" t="s">
        <v>7558</v>
      </c>
      <c r="F1632" s="47"/>
      <c r="G1632" s="8">
        <v>16</v>
      </c>
      <c r="H1632" s="8" t="s">
        <v>21</v>
      </c>
      <c r="I1632" s="8" t="s">
        <v>22</v>
      </c>
      <c r="J1632" s="8" t="s">
        <v>22</v>
      </c>
      <c r="K1632" s="8" t="s">
        <v>435</v>
      </c>
      <c r="L1632" s="8" t="s">
        <v>3328</v>
      </c>
      <c r="M1632" s="8" t="s">
        <v>3329</v>
      </c>
      <c r="N1632" s="8" t="s">
        <v>7559</v>
      </c>
      <c r="O1632" s="8">
        <f>4+38/60+24.1/3600</f>
        <v>4.6400277777777772</v>
      </c>
      <c r="P1632" s="8" t="s">
        <v>7560</v>
      </c>
      <c r="Q1632" s="8">
        <f>-(20+39/60+1/3600)</f>
        <v>-20.650277777777777</v>
      </c>
      <c r="R1632" s="8">
        <v>13.3</v>
      </c>
      <c r="S1632" s="8">
        <v>14.2</v>
      </c>
      <c r="T1632" s="8">
        <v>0.9</v>
      </c>
      <c r="U1632" s="8">
        <v>13.4</v>
      </c>
      <c r="V1632" s="8">
        <v>1.5</v>
      </c>
      <c r="W1632" s="8">
        <v>0.9</v>
      </c>
      <c r="X1632" s="8">
        <v>44</v>
      </c>
      <c r="Y1632" s="8" t="s">
        <v>7561</v>
      </c>
      <c r="Z1632" s="8" t="s">
        <v>7562</v>
      </c>
    </row>
    <row r="1633" spans="1:26" x14ac:dyDescent="0.2">
      <c r="A1633" s="8">
        <v>1632</v>
      </c>
      <c r="B1633" s="8" t="s">
        <v>7563</v>
      </c>
      <c r="C1633" s="8" t="s">
        <v>7563</v>
      </c>
      <c r="F1633" s="47"/>
      <c r="G1633" s="8">
        <v>19</v>
      </c>
      <c r="H1633" s="8" t="s">
        <v>21</v>
      </c>
      <c r="I1633" s="8" t="s">
        <v>22</v>
      </c>
      <c r="J1633" s="8" t="s">
        <v>22</v>
      </c>
      <c r="K1633" s="8" t="s">
        <v>91</v>
      </c>
      <c r="L1633" s="8" t="s">
        <v>3328</v>
      </c>
      <c r="M1633" s="8" t="s">
        <v>3329</v>
      </c>
      <c r="N1633" s="8" t="s">
        <v>7564</v>
      </c>
      <c r="O1633" s="8">
        <f>4+39/60+58.5/3600</f>
        <v>4.6662500000000007</v>
      </c>
      <c r="P1633" s="8" t="s">
        <v>7565</v>
      </c>
      <c r="Q1633" s="8">
        <f>-(9+27/60+21/3600)</f>
        <v>-9.4558333333333326</v>
      </c>
      <c r="R1633" s="8">
        <v>14.4</v>
      </c>
      <c r="S1633" s="8">
        <v>15.3</v>
      </c>
      <c r="T1633" s="8">
        <v>0.9</v>
      </c>
      <c r="U1633" s="8">
        <v>13.7</v>
      </c>
      <c r="V1633" s="8">
        <v>1</v>
      </c>
      <c r="W1633" s="8">
        <v>0.6</v>
      </c>
      <c r="X1633" s="8">
        <v>40</v>
      </c>
      <c r="Y1633" s="8" t="s">
        <v>385</v>
      </c>
      <c r="Z1633" s="8" t="s">
        <v>386</v>
      </c>
    </row>
    <row r="1634" spans="1:26" x14ac:dyDescent="0.2">
      <c r="A1634" s="8">
        <v>1633</v>
      </c>
      <c r="B1634" s="8" t="s">
        <v>7566</v>
      </c>
      <c r="C1634" s="8" t="s">
        <v>7566</v>
      </c>
      <c r="F1634" s="47" t="s">
        <v>56362</v>
      </c>
      <c r="G1634" s="8">
        <v>15</v>
      </c>
      <c r="H1634" s="8" t="s">
        <v>21</v>
      </c>
      <c r="I1634" s="8" t="s">
        <v>22</v>
      </c>
      <c r="J1634" s="8" t="s">
        <v>22</v>
      </c>
      <c r="K1634" s="8" t="s">
        <v>406</v>
      </c>
      <c r="L1634" s="8" t="s">
        <v>6115</v>
      </c>
      <c r="M1634" s="8" t="s">
        <v>6116</v>
      </c>
      <c r="N1634" s="8" t="s">
        <v>7567</v>
      </c>
      <c r="O1634" s="8">
        <f>4+40/60+9.1/3600</f>
        <v>4.6691944444444449</v>
      </c>
      <c r="P1634" s="8" t="s">
        <v>7568</v>
      </c>
      <c r="Q1634" s="8">
        <f>+(7+20/60+59/3600)</f>
        <v>7.3497222222222218</v>
      </c>
      <c r="R1634" s="8">
        <v>13.5</v>
      </c>
      <c r="S1634" s="8">
        <v>14.3</v>
      </c>
      <c r="T1634" s="8">
        <v>0.8</v>
      </c>
      <c r="U1634" s="8">
        <v>13.5</v>
      </c>
      <c r="V1634" s="8">
        <v>1</v>
      </c>
      <c r="W1634" s="8">
        <v>0.9</v>
      </c>
      <c r="X1634" s="8">
        <v>51</v>
      </c>
      <c r="Y1634" s="8" t="s">
        <v>7569</v>
      </c>
      <c r="Z1634" s="8" t="s">
        <v>7570</v>
      </c>
    </row>
    <row r="1635" spans="1:26" x14ac:dyDescent="0.2">
      <c r="A1635" s="8">
        <v>1634</v>
      </c>
      <c r="B1635" s="8" t="s">
        <v>7571</v>
      </c>
      <c r="C1635" s="8" t="s">
        <v>7571</v>
      </c>
      <c r="F1635" s="47" t="s">
        <v>56363</v>
      </c>
      <c r="G1635" s="8">
        <v>15</v>
      </c>
      <c r="H1635" s="8" t="s">
        <v>21</v>
      </c>
      <c r="I1635" s="8" t="s">
        <v>22</v>
      </c>
      <c r="J1635" s="8" t="s">
        <v>22</v>
      </c>
      <c r="K1635" s="8" t="s">
        <v>58</v>
      </c>
      <c r="L1635" s="8" t="s">
        <v>6115</v>
      </c>
      <c r="M1635" s="8" t="s">
        <v>6116</v>
      </c>
      <c r="N1635" s="8" t="s">
        <v>7572</v>
      </c>
      <c r="O1635" s="8">
        <f>4+40/60+9.8/3600</f>
        <v>4.6693888888888893</v>
      </c>
      <c r="P1635" s="8" t="s">
        <v>7573</v>
      </c>
      <c r="Q1635" s="8">
        <f>+(7+20/60+20/3600)</f>
        <v>7.3388888888888886</v>
      </c>
      <c r="R1635" s="8">
        <v>14.1</v>
      </c>
      <c r="S1635" s="8">
        <v>15.1</v>
      </c>
      <c r="T1635" s="8">
        <v>1</v>
      </c>
      <c r="U1635" s="8">
        <v>11.9</v>
      </c>
      <c r="V1635" s="8">
        <v>0.4</v>
      </c>
      <c r="W1635" s="8">
        <v>0.3</v>
      </c>
      <c r="X1635" s="8">
        <v>109</v>
      </c>
      <c r="Y1635" s="8" t="s">
        <v>7574</v>
      </c>
      <c r="Z1635" s="8" t="s">
        <v>7575</v>
      </c>
    </row>
    <row r="1636" spans="1:26" x14ac:dyDescent="0.2">
      <c r="A1636" s="8">
        <v>1635</v>
      </c>
      <c r="B1636" s="8" t="s">
        <v>7576</v>
      </c>
      <c r="C1636" s="8" t="s">
        <v>7576</v>
      </c>
      <c r="F1636" s="47" t="s">
        <v>56364</v>
      </c>
      <c r="G1636" s="8">
        <v>15</v>
      </c>
      <c r="H1636" s="8" t="s">
        <v>21</v>
      </c>
      <c r="I1636" s="8" t="s">
        <v>22</v>
      </c>
      <c r="J1636" s="8" t="s">
        <v>22</v>
      </c>
      <c r="K1636" s="8" t="s">
        <v>435</v>
      </c>
      <c r="L1636" s="8" t="s">
        <v>3328</v>
      </c>
      <c r="M1636" s="8" t="s">
        <v>3329</v>
      </c>
      <c r="N1636" s="8" t="s">
        <v>7577</v>
      </c>
      <c r="O1636" s="8">
        <f>4+40/60+7.9/3600</f>
        <v>4.6688611111111111</v>
      </c>
      <c r="P1636" s="8" t="s">
        <v>7578</v>
      </c>
      <c r="Q1636" s="8">
        <f>-(0+32/60+50/3600)</f>
        <v>-0.54722222222222217</v>
      </c>
      <c r="R1636" s="8">
        <v>12.4</v>
      </c>
      <c r="S1636" s="8">
        <v>13.3</v>
      </c>
      <c r="T1636" s="8">
        <v>0.9</v>
      </c>
      <c r="U1636" s="8">
        <v>12.9</v>
      </c>
      <c r="V1636" s="8">
        <v>1.4</v>
      </c>
      <c r="W1636" s="8">
        <v>1.3</v>
      </c>
      <c r="X1636" s="8">
        <v>5</v>
      </c>
      <c r="Y1636" s="8" t="s">
        <v>7579</v>
      </c>
      <c r="Z1636" s="8" t="s">
        <v>7580</v>
      </c>
    </row>
    <row r="1637" spans="1:26" x14ac:dyDescent="0.2">
      <c r="A1637" s="8">
        <v>1636</v>
      </c>
      <c r="B1637" s="8" t="s">
        <v>7581</v>
      </c>
      <c r="C1637" s="8" t="s">
        <v>7581</v>
      </c>
      <c r="F1637" s="47" t="s">
        <v>56365</v>
      </c>
      <c r="G1637" s="8">
        <v>15</v>
      </c>
      <c r="H1637" s="8" t="s">
        <v>21</v>
      </c>
      <c r="I1637" s="8" t="s">
        <v>22</v>
      </c>
      <c r="J1637" s="8" t="s">
        <v>22</v>
      </c>
      <c r="K1637" s="8" t="s">
        <v>31</v>
      </c>
      <c r="L1637" s="8" t="s">
        <v>3328</v>
      </c>
      <c r="M1637" s="8" t="s">
        <v>3329</v>
      </c>
      <c r="N1637" s="8" t="s">
        <v>7582</v>
      </c>
      <c r="O1637" s="8">
        <f>4+40/60+40.2/3600</f>
        <v>4.677833333333334</v>
      </c>
      <c r="P1637" s="8" t="s">
        <v>7583</v>
      </c>
      <c r="Q1637" s="8">
        <f>-(8+36/60+28/3600)</f>
        <v>-8.6077777777777769</v>
      </c>
      <c r="R1637" s="8">
        <v>13</v>
      </c>
      <c r="S1637" s="8">
        <v>13.8</v>
      </c>
      <c r="T1637" s="8">
        <v>0.8</v>
      </c>
      <c r="U1637" s="8">
        <v>12.9</v>
      </c>
      <c r="V1637" s="8">
        <v>1.2</v>
      </c>
      <c r="W1637" s="8">
        <v>0.9</v>
      </c>
      <c r="X1637" s="8">
        <v>0</v>
      </c>
      <c r="Y1637" s="8" t="s">
        <v>7584</v>
      </c>
      <c r="Z1637" s="8" t="s">
        <v>7585</v>
      </c>
    </row>
    <row r="1638" spans="1:26" x14ac:dyDescent="0.2">
      <c r="A1638" s="8">
        <v>1637</v>
      </c>
      <c r="B1638" s="8" t="s">
        <v>7586</v>
      </c>
      <c r="C1638" s="8" t="s">
        <v>7586</v>
      </c>
      <c r="F1638" s="47" t="s">
        <v>56366</v>
      </c>
      <c r="G1638" s="8">
        <v>6.5</v>
      </c>
      <c r="H1638" s="8" t="s">
        <v>21</v>
      </c>
      <c r="I1638" s="8" t="s">
        <v>22</v>
      </c>
      <c r="J1638" s="8" t="s">
        <v>22</v>
      </c>
      <c r="K1638" s="8" t="s">
        <v>64</v>
      </c>
      <c r="L1638" s="8" t="s">
        <v>3328</v>
      </c>
      <c r="M1638" s="8" t="s">
        <v>3329</v>
      </c>
      <c r="N1638" s="8" t="s">
        <v>7587</v>
      </c>
      <c r="O1638" s="8">
        <f>4+41/60+28.2/3600</f>
        <v>4.6911666666666667</v>
      </c>
      <c r="P1638" s="8" t="s">
        <v>7588</v>
      </c>
      <c r="Q1638" s="8">
        <f>-(2+51/60+28/3600)</f>
        <v>-2.8577777777777778</v>
      </c>
      <c r="R1638" s="8">
        <v>10.8</v>
      </c>
      <c r="S1638" s="8">
        <v>11.5</v>
      </c>
      <c r="T1638" s="8">
        <v>0.7</v>
      </c>
      <c r="U1638" s="8">
        <v>13.5</v>
      </c>
      <c r="V1638" s="8">
        <v>3.3</v>
      </c>
      <c r="W1638" s="8">
        <v>2.7</v>
      </c>
      <c r="X1638" s="8">
        <v>24</v>
      </c>
      <c r="Y1638" s="8" t="s">
        <v>7589</v>
      </c>
      <c r="Z1638" s="8" t="s">
        <v>7590</v>
      </c>
    </row>
    <row r="1639" spans="1:26" x14ac:dyDescent="0.2">
      <c r="A1639" s="8">
        <v>1638</v>
      </c>
      <c r="B1639" s="8" t="s">
        <v>7591</v>
      </c>
      <c r="C1639" s="8" t="s">
        <v>7591</v>
      </c>
      <c r="F1639" s="47" t="s">
        <v>56367</v>
      </c>
      <c r="G1639" s="8">
        <v>13</v>
      </c>
      <c r="H1639" s="8" t="s">
        <v>21</v>
      </c>
      <c r="I1639" s="8" t="s">
        <v>22</v>
      </c>
      <c r="J1639" s="8" t="s">
        <v>22</v>
      </c>
      <c r="K1639" s="8" t="s">
        <v>224</v>
      </c>
      <c r="L1639" s="8" t="s">
        <v>3328</v>
      </c>
      <c r="M1639" s="8" t="s">
        <v>3329</v>
      </c>
      <c r="N1639" s="8" t="s">
        <v>7592</v>
      </c>
      <c r="O1639" s="8">
        <f>4+41/60+36.4/3600</f>
        <v>4.6934444444444443</v>
      </c>
      <c r="P1639" s="8" t="s">
        <v>7593</v>
      </c>
      <c r="Q1639" s="8">
        <f>-(1+48/60+30/3600)</f>
        <v>-1.8083333333333333</v>
      </c>
      <c r="R1639" s="8">
        <v>12</v>
      </c>
      <c r="S1639" s="8">
        <v>12.9</v>
      </c>
      <c r="T1639" s="8">
        <v>0.9</v>
      </c>
      <c r="U1639" s="8">
        <v>13.1</v>
      </c>
      <c r="V1639" s="8">
        <v>1.8</v>
      </c>
      <c r="W1639" s="8">
        <v>1.2</v>
      </c>
      <c r="X1639" s="8">
        <v>70</v>
      </c>
      <c r="Y1639" s="8" t="s">
        <v>7594</v>
      </c>
      <c r="Z1639" s="8" t="s">
        <v>7595</v>
      </c>
    </row>
    <row r="1640" spans="1:26" x14ac:dyDescent="0.2">
      <c r="A1640" s="8">
        <v>1639</v>
      </c>
      <c r="B1640" s="8" t="s">
        <v>7596</v>
      </c>
      <c r="C1640" s="8" t="s">
        <v>7596</v>
      </c>
      <c r="F1640" s="47"/>
      <c r="G1640" s="8">
        <v>16</v>
      </c>
      <c r="H1640" s="8" t="s">
        <v>21</v>
      </c>
      <c r="I1640" s="8" t="s">
        <v>72</v>
      </c>
      <c r="J1640" s="8" t="s">
        <v>72</v>
      </c>
      <c r="K1640" s="8" t="s">
        <v>1802</v>
      </c>
      <c r="L1640" s="8" t="s">
        <v>3328</v>
      </c>
      <c r="M1640" s="8" t="s">
        <v>3329</v>
      </c>
      <c r="N1640" s="8" t="s">
        <v>7597</v>
      </c>
      <c r="O1640" s="8">
        <f>4+40/60+52.3/3600</f>
        <v>4.6811944444444444</v>
      </c>
      <c r="P1640" s="8" t="s">
        <v>7598</v>
      </c>
      <c r="Q1640" s="8">
        <f>-(16+59/60+29/3600)</f>
        <v>-16.991388888888888</v>
      </c>
      <c r="R1640" s="8">
        <v>99</v>
      </c>
      <c r="S1640" s="8">
        <v>99</v>
      </c>
      <c r="T1640" s="8">
        <v>99</v>
      </c>
      <c r="U1640" s="8">
        <v>99</v>
      </c>
      <c r="Y1640" s="8" t="s">
        <v>7599</v>
      </c>
      <c r="Z1640" s="8" t="s">
        <v>7600</v>
      </c>
    </row>
    <row r="1641" spans="1:26" x14ac:dyDescent="0.2">
      <c r="A1641" s="8">
        <v>1640</v>
      </c>
      <c r="B1641" s="8" t="s">
        <v>7601</v>
      </c>
      <c r="C1641" s="8" t="s">
        <v>7601</v>
      </c>
      <c r="F1641" s="47"/>
      <c r="G1641" s="8">
        <v>13</v>
      </c>
      <c r="H1641" s="8" t="s">
        <v>21</v>
      </c>
      <c r="I1641" s="8" t="s">
        <v>22</v>
      </c>
      <c r="J1641" s="8" t="s">
        <v>22</v>
      </c>
      <c r="K1641" s="8" t="s">
        <v>406</v>
      </c>
      <c r="L1641" s="8" t="s">
        <v>3328</v>
      </c>
      <c r="M1641" s="8" t="s">
        <v>3329</v>
      </c>
      <c r="N1641" s="8" t="s">
        <v>7602</v>
      </c>
      <c r="O1641" s="8">
        <f>4+42/60+14.5/3600</f>
        <v>4.7040277777777781</v>
      </c>
      <c r="P1641" s="8" t="s">
        <v>7603</v>
      </c>
      <c r="Q1641" s="8">
        <f>-(20+26/60+5/3600)</f>
        <v>-20.434722222222224</v>
      </c>
      <c r="R1641" s="8">
        <v>11.7</v>
      </c>
      <c r="S1641" s="8">
        <v>12.4</v>
      </c>
      <c r="T1641" s="8">
        <v>0.7</v>
      </c>
      <c r="U1641" s="8">
        <v>13.3</v>
      </c>
      <c r="V1641" s="8">
        <v>2.7</v>
      </c>
      <c r="W1641" s="8">
        <v>2.2999999999999998</v>
      </c>
      <c r="X1641" s="8">
        <v>45</v>
      </c>
      <c r="Y1641" s="8" t="s">
        <v>7604</v>
      </c>
      <c r="Z1641" s="8" t="s">
        <v>7605</v>
      </c>
    </row>
    <row r="1642" spans="1:26" x14ac:dyDescent="0.2">
      <c r="A1642" s="8">
        <v>1641</v>
      </c>
      <c r="B1642" s="8" t="s">
        <v>7606</v>
      </c>
      <c r="C1642" s="8" t="s">
        <v>7606</v>
      </c>
      <c r="F1642" s="47"/>
      <c r="G1642" s="8">
        <v>16</v>
      </c>
      <c r="H1642" s="8" t="s">
        <v>21</v>
      </c>
      <c r="I1642" s="8" t="s">
        <v>557</v>
      </c>
      <c r="J1642" s="8" t="s">
        <v>557</v>
      </c>
      <c r="K1642" s="8" t="s">
        <v>557</v>
      </c>
      <c r="L1642" s="8" t="s">
        <v>55972</v>
      </c>
      <c r="M1642" s="8" t="s">
        <v>6970</v>
      </c>
      <c r="N1642" s="8" t="s">
        <v>7607</v>
      </c>
      <c r="O1642" s="8">
        <f>4+35/60+38/3600</f>
        <v>4.5938888888888885</v>
      </c>
      <c r="P1642" s="8" t="s">
        <v>7608</v>
      </c>
      <c r="Q1642" s="8">
        <f>-(65+46/60+6/3600)</f>
        <v>-65.768333333333331</v>
      </c>
      <c r="R1642" s="8">
        <v>99</v>
      </c>
      <c r="S1642" s="8">
        <v>99</v>
      </c>
      <c r="T1642" s="8">
        <v>99</v>
      </c>
      <c r="U1642" s="8">
        <v>99</v>
      </c>
      <c r="V1642" s="8">
        <v>9</v>
      </c>
      <c r="W1642" s="8">
        <v>6</v>
      </c>
      <c r="Y1642" s="8" t="s">
        <v>7609</v>
      </c>
      <c r="Z1642" s="8" t="s">
        <v>7610</v>
      </c>
    </row>
    <row r="1643" spans="1:26" x14ac:dyDescent="0.2">
      <c r="A1643" s="8">
        <v>1642</v>
      </c>
      <c r="B1643" s="8" t="s">
        <v>7611</v>
      </c>
      <c r="C1643" s="8" t="s">
        <v>7611</v>
      </c>
      <c r="F1643" s="47"/>
      <c r="G1643" s="8">
        <v>18</v>
      </c>
      <c r="H1643" s="8" t="s">
        <v>21</v>
      </c>
      <c r="I1643" s="8" t="s">
        <v>22</v>
      </c>
      <c r="J1643" s="8" t="s">
        <v>22</v>
      </c>
      <c r="K1643" s="8" t="s">
        <v>160</v>
      </c>
      <c r="L1643" s="8" t="s">
        <v>6115</v>
      </c>
      <c r="M1643" s="8" t="s">
        <v>6116</v>
      </c>
      <c r="N1643" s="8" t="s">
        <v>7612</v>
      </c>
      <c r="O1643" s="8">
        <f>4+42/60+54.9/3600</f>
        <v>4.7152500000000002</v>
      </c>
      <c r="P1643" s="8" t="s">
        <v>7613</v>
      </c>
      <c r="Q1643" s="8">
        <f>+(0+37/60+8/3600)</f>
        <v>0.61888888888888893</v>
      </c>
      <c r="R1643" s="8">
        <v>12.6</v>
      </c>
      <c r="S1643" s="8">
        <v>13.3</v>
      </c>
      <c r="T1643" s="8">
        <v>0.7</v>
      </c>
      <c r="U1643" s="8">
        <v>13.6</v>
      </c>
      <c r="V1643" s="8">
        <v>1.7</v>
      </c>
      <c r="W1643" s="8">
        <v>1.2</v>
      </c>
      <c r="X1643" s="8">
        <v>175</v>
      </c>
      <c r="Y1643" s="8" t="s">
        <v>7614</v>
      </c>
      <c r="Z1643" s="8" t="s">
        <v>7615</v>
      </c>
    </row>
    <row r="1644" spans="1:26" x14ac:dyDescent="0.2">
      <c r="A1644" s="8">
        <v>1643</v>
      </c>
      <c r="B1644" s="8" t="s">
        <v>7616</v>
      </c>
      <c r="C1644" s="8" t="s">
        <v>7616</v>
      </c>
      <c r="F1644" s="47" t="s">
        <v>56368</v>
      </c>
      <c r="G1644" s="8">
        <v>15</v>
      </c>
      <c r="H1644" s="8" t="s">
        <v>21</v>
      </c>
      <c r="I1644" s="8" t="s">
        <v>22</v>
      </c>
      <c r="J1644" s="8" t="s">
        <v>22</v>
      </c>
      <c r="K1644" s="8" t="s">
        <v>396</v>
      </c>
      <c r="L1644" s="8" t="s">
        <v>3328</v>
      </c>
      <c r="M1644" s="8" t="s">
        <v>3329</v>
      </c>
      <c r="N1644" s="8" t="s">
        <v>7617</v>
      </c>
      <c r="O1644" s="8">
        <f>4+43/60+43.9/3600</f>
        <v>4.7288611111111116</v>
      </c>
      <c r="P1644" s="8" t="s">
        <v>7618</v>
      </c>
      <c r="Q1644" s="8">
        <f>-(5+19/60+8/3600)</f>
        <v>-5.318888888888889</v>
      </c>
      <c r="R1644" s="8">
        <v>13.3</v>
      </c>
      <c r="S1644" s="8">
        <v>14.1</v>
      </c>
      <c r="T1644" s="8">
        <v>0.8</v>
      </c>
      <c r="U1644" s="8">
        <v>13.5</v>
      </c>
      <c r="V1644" s="8">
        <v>1.2</v>
      </c>
      <c r="W1644" s="8">
        <v>1.1000000000000001</v>
      </c>
      <c r="X1644" s="8">
        <v>147</v>
      </c>
      <c r="Y1644" s="8" t="s">
        <v>7619</v>
      </c>
      <c r="Z1644" s="8" t="s">
        <v>7620</v>
      </c>
    </row>
    <row r="1645" spans="1:26" x14ac:dyDescent="0.2">
      <c r="A1645" s="8">
        <v>1644</v>
      </c>
      <c r="B1645" s="8" t="s">
        <v>7621</v>
      </c>
      <c r="C1645" s="8" t="s">
        <v>7621</v>
      </c>
      <c r="F1645" s="47"/>
      <c r="G1645" s="8">
        <v>16</v>
      </c>
      <c r="H1645" s="8" t="s">
        <v>21</v>
      </c>
      <c r="I1645" s="8" t="s">
        <v>557</v>
      </c>
      <c r="J1645" s="8" t="s">
        <v>557</v>
      </c>
      <c r="K1645" s="8" t="s">
        <v>557</v>
      </c>
      <c r="L1645" s="8" t="s">
        <v>55972</v>
      </c>
      <c r="M1645" s="8" t="s">
        <v>6970</v>
      </c>
      <c r="N1645" s="8" t="s">
        <v>7622</v>
      </c>
      <c r="O1645" s="8">
        <f>4+37/60+39.6/3600</f>
        <v>4.6276666666666673</v>
      </c>
      <c r="P1645" s="8" t="s">
        <v>7623</v>
      </c>
      <c r="Q1645" s="8">
        <f>-(66+11/60+49/3600)</f>
        <v>-66.196944444444455</v>
      </c>
      <c r="R1645" s="8">
        <v>12.9</v>
      </c>
      <c r="S1645" s="8">
        <v>12.5</v>
      </c>
      <c r="T1645" s="8">
        <v>99</v>
      </c>
      <c r="U1645" s="8">
        <v>99</v>
      </c>
      <c r="V1645" s="8">
        <v>1.6</v>
      </c>
      <c r="Y1645" s="8" t="s">
        <v>6420</v>
      </c>
      <c r="Z1645" s="8" t="s">
        <v>6421</v>
      </c>
    </row>
    <row r="1646" spans="1:26" x14ac:dyDescent="0.2">
      <c r="A1646" s="8">
        <v>1645</v>
      </c>
      <c r="B1646" s="8" t="s">
        <v>7624</v>
      </c>
      <c r="C1646" s="8" t="s">
        <v>7624</v>
      </c>
      <c r="F1646" s="47"/>
      <c r="G1646" s="8">
        <v>18</v>
      </c>
      <c r="H1646" s="8" t="s">
        <v>21</v>
      </c>
      <c r="I1646" s="8" t="s">
        <v>22</v>
      </c>
      <c r="J1646" s="8" t="s">
        <v>22</v>
      </c>
      <c r="K1646" s="8" t="s">
        <v>1157</v>
      </c>
      <c r="L1646" s="8" t="s">
        <v>3328</v>
      </c>
      <c r="M1646" s="8" t="s">
        <v>3329</v>
      </c>
      <c r="N1646" s="8" t="s">
        <v>7625</v>
      </c>
      <c r="O1646" s="8">
        <f>4+44/60+6.3/3600</f>
        <v>4.7350833333333338</v>
      </c>
      <c r="P1646" s="8" t="s">
        <v>7626</v>
      </c>
      <c r="Q1646" s="8">
        <f>-(5+27/60+54/3600)</f>
        <v>-5.4649999999999999</v>
      </c>
      <c r="R1646" s="8">
        <v>13</v>
      </c>
      <c r="S1646" s="8">
        <v>13.9</v>
      </c>
      <c r="T1646" s="8">
        <v>0.9</v>
      </c>
      <c r="U1646" s="8">
        <v>13.6</v>
      </c>
      <c r="V1646" s="8">
        <v>2.1</v>
      </c>
      <c r="W1646" s="8">
        <v>0.9</v>
      </c>
      <c r="X1646" s="8">
        <v>85</v>
      </c>
      <c r="Y1646" s="8" t="s">
        <v>7627</v>
      </c>
      <c r="Z1646" s="8" t="s">
        <v>7628</v>
      </c>
    </row>
    <row r="1647" spans="1:26" x14ac:dyDescent="0.2">
      <c r="A1647" s="8">
        <v>1646</v>
      </c>
      <c r="B1647" s="8" t="s">
        <v>7629</v>
      </c>
      <c r="C1647" s="8" t="s">
        <v>7629</v>
      </c>
      <c r="E1647" s="8">
        <v>1</v>
      </c>
      <c r="F1647" s="47" t="s">
        <v>56369</v>
      </c>
      <c r="G1647" s="8">
        <v>15</v>
      </c>
      <c r="H1647" s="8" t="s">
        <v>21</v>
      </c>
      <c r="I1647" s="8" t="s">
        <v>22</v>
      </c>
      <c r="J1647" s="8" t="s">
        <v>22</v>
      </c>
      <c r="K1647" s="8" t="s">
        <v>58</v>
      </c>
      <c r="L1647" s="8" t="s">
        <v>3328</v>
      </c>
      <c r="M1647" s="8" t="s">
        <v>3329</v>
      </c>
      <c r="N1647" s="8" t="s">
        <v>7630</v>
      </c>
      <c r="O1647" s="8">
        <f>4+44/60+23.5/3600</f>
        <v>4.7398611111111109</v>
      </c>
      <c r="P1647" s="8" t="s">
        <v>7631</v>
      </c>
      <c r="Q1647" s="8">
        <f>-(8+31/60+53/3600)</f>
        <v>-8.5313888888888894</v>
      </c>
      <c r="R1647" s="8">
        <v>12.4</v>
      </c>
      <c r="S1647" s="8">
        <v>13.4</v>
      </c>
      <c r="T1647" s="8">
        <v>1</v>
      </c>
      <c r="U1647" s="8">
        <v>13.7</v>
      </c>
      <c r="V1647" s="8">
        <v>2.2000000000000002</v>
      </c>
      <c r="W1647" s="8">
        <v>1.3</v>
      </c>
      <c r="X1647" s="8">
        <v>165</v>
      </c>
      <c r="Y1647" s="8" t="s">
        <v>7632</v>
      </c>
      <c r="Z1647" s="8" t="s">
        <v>7633</v>
      </c>
    </row>
    <row r="1648" spans="1:26" x14ac:dyDescent="0.2">
      <c r="A1648" s="8">
        <v>1647</v>
      </c>
      <c r="B1648" s="8" t="s">
        <v>7634</v>
      </c>
      <c r="C1648" s="8" t="s">
        <v>7634</v>
      </c>
      <c r="F1648" s="47" t="s">
        <v>56370</v>
      </c>
      <c r="G1648" s="8">
        <v>5</v>
      </c>
      <c r="H1648" s="8" t="s">
        <v>7635</v>
      </c>
      <c r="I1648" s="8" t="s">
        <v>557</v>
      </c>
      <c r="J1648" s="8" t="s">
        <v>557</v>
      </c>
      <c r="K1648" s="8" t="s">
        <v>2722</v>
      </c>
      <c r="L1648" s="8" t="s">
        <v>6115</v>
      </c>
      <c r="M1648" s="8" t="s">
        <v>6116</v>
      </c>
      <c r="N1648" s="8" t="s">
        <v>7636</v>
      </c>
      <c r="O1648" s="8">
        <f>4+45/60+42.2/3600</f>
        <v>4.7617222222222226</v>
      </c>
      <c r="P1648" s="8" t="s">
        <v>7637</v>
      </c>
      <c r="Q1648" s="8">
        <f>+(19+7/60+9/3600)</f>
        <v>19.119166666666668</v>
      </c>
      <c r="R1648" s="8">
        <v>6.4</v>
      </c>
      <c r="S1648" s="8">
        <v>99</v>
      </c>
      <c r="T1648" s="8">
        <v>99</v>
      </c>
      <c r="U1648" s="8">
        <v>99</v>
      </c>
      <c r="V1648" s="8">
        <v>40</v>
      </c>
      <c r="Y1648" s="8" t="s">
        <v>7638</v>
      </c>
      <c r="Z1648" s="8" t="s">
        <v>7639</v>
      </c>
    </row>
    <row r="1649" spans="1:26" x14ac:dyDescent="0.2">
      <c r="A1649" s="8">
        <v>1648</v>
      </c>
      <c r="B1649" s="8" t="s">
        <v>7640</v>
      </c>
      <c r="C1649" s="8" t="s">
        <v>7640</v>
      </c>
      <c r="F1649" s="47"/>
      <c r="G1649" s="8">
        <v>19</v>
      </c>
      <c r="H1649" s="8" t="s">
        <v>21</v>
      </c>
      <c r="I1649" s="8" t="s">
        <v>22</v>
      </c>
      <c r="J1649" s="8" t="s">
        <v>22</v>
      </c>
      <c r="K1649" s="8" t="s">
        <v>37</v>
      </c>
      <c r="L1649" s="8" t="s">
        <v>3328</v>
      </c>
      <c r="M1649" s="8" t="s">
        <v>3329</v>
      </c>
      <c r="N1649" s="8" t="s">
        <v>7641</v>
      </c>
      <c r="O1649" s="8">
        <f>4+44/60+34.7/3600</f>
        <v>4.7429722222222219</v>
      </c>
      <c r="P1649" s="8" t="s">
        <v>7642</v>
      </c>
      <c r="Q1649" s="8">
        <f>-(8+28/60+42/3600)</f>
        <v>-8.4783333333333335</v>
      </c>
      <c r="R1649" s="8">
        <v>14.6</v>
      </c>
      <c r="S1649" s="8">
        <v>15.6</v>
      </c>
      <c r="T1649" s="8">
        <v>1</v>
      </c>
      <c r="U1649" s="8">
        <v>13.2</v>
      </c>
      <c r="V1649" s="8">
        <v>0.6</v>
      </c>
      <c r="W1649" s="8">
        <v>0.5</v>
      </c>
      <c r="X1649" s="8">
        <v>4</v>
      </c>
      <c r="Y1649" s="8" t="s">
        <v>7643</v>
      </c>
      <c r="Z1649" s="8" t="s">
        <v>7644</v>
      </c>
    </row>
    <row r="1650" spans="1:26" x14ac:dyDescent="0.2">
      <c r="A1650" s="8">
        <v>1649</v>
      </c>
      <c r="B1650" s="8" t="s">
        <v>7645</v>
      </c>
      <c r="C1650" s="8" t="s">
        <v>7645</v>
      </c>
      <c r="F1650" s="47"/>
      <c r="G1650" s="8">
        <v>16</v>
      </c>
      <c r="H1650" s="8" t="s">
        <v>21</v>
      </c>
      <c r="I1650" s="8" t="s">
        <v>557</v>
      </c>
      <c r="J1650" s="8" t="s">
        <v>57</v>
      </c>
      <c r="K1650" s="8" t="s">
        <v>557</v>
      </c>
      <c r="L1650" s="8" t="s">
        <v>55972</v>
      </c>
      <c r="M1650" s="8" t="s">
        <v>6970</v>
      </c>
      <c r="N1650" s="8" t="s">
        <v>7646</v>
      </c>
      <c r="O1650" s="8">
        <f>4+38/60+22.9/3600</f>
        <v>4.6396944444444443</v>
      </c>
      <c r="P1650" s="8" t="s">
        <v>7647</v>
      </c>
      <c r="Q1650" s="8">
        <f>-(68+40/60+23/3600)</f>
        <v>-68.673055555555564</v>
      </c>
      <c r="R1650" s="8">
        <v>13.1</v>
      </c>
      <c r="S1650" s="8">
        <v>13.9</v>
      </c>
      <c r="T1650" s="8">
        <v>99</v>
      </c>
      <c r="U1650" s="8">
        <v>99</v>
      </c>
      <c r="V1650" s="8">
        <v>15</v>
      </c>
      <c r="Y1650" s="8" t="s">
        <v>1323</v>
      </c>
      <c r="Z1650" s="8" t="s">
        <v>1324</v>
      </c>
    </row>
    <row r="1651" spans="1:26" x14ac:dyDescent="0.2">
      <c r="A1651" s="8">
        <v>1650</v>
      </c>
      <c r="B1651" s="8" t="s">
        <v>7648</v>
      </c>
      <c r="C1651" s="8" t="s">
        <v>7648</v>
      </c>
      <c r="F1651" s="47"/>
      <c r="G1651" s="8">
        <v>19</v>
      </c>
      <c r="H1651" s="8" t="s">
        <v>21</v>
      </c>
      <c r="I1651" s="8" t="s">
        <v>22</v>
      </c>
      <c r="J1651" s="8" t="s">
        <v>22</v>
      </c>
      <c r="K1651" s="8" t="s">
        <v>50</v>
      </c>
      <c r="L1651" s="8" t="s">
        <v>3328</v>
      </c>
      <c r="M1651" s="8" t="s">
        <v>3329</v>
      </c>
      <c r="N1651" s="8" t="s">
        <v>7649</v>
      </c>
      <c r="O1651" s="8">
        <f>4+45/60+11.4/3600</f>
        <v>4.753166666666667</v>
      </c>
      <c r="P1651" s="8" t="s">
        <v>7650</v>
      </c>
      <c r="Q1651" s="8">
        <f>-(15+52/60+12/3600)</f>
        <v>-15.870000000000001</v>
      </c>
      <c r="R1651" s="8">
        <v>12.7</v>
      </c>
      <c r="S1651" s="8">
        <v>13.7</v>
      </c>
      <c r="T1651" s="8">
        <v>1</v>
      </c>
      <c r="U1651" s="8">
        <v>14</v>
      </c>
      <c r="V1651" s="8">
        <v>2.2999999999999998</v>
      </c>
      <c r="W1651" s="8">
        <v>1.3</v>
      </c>
      <c r="X1651" s="8">
        <v>170</v>
      </c>
      <c r="Y1651" s="8" t="s">
        <v>7651</v>
      </c>
      <c r="Z1651" s="8" t="s">
        <v>7652</v>
      </c>
    </row>
    <row r="1652" spans="1:26" x14ac:dyDescent="0.2">
      <c r="A1652" s="8">
        <v>1651</v>
      </c>
      <c r="B1652" s="8" t="s">
        <v>7653</v>
      </c>
      <c r="C1652" s="8" t="s">
        <v>7653</v>
      </c>
      <c r="F1652" s="47"/>
      <c r="G1652" s="8">
        <v>16</v>
      </c>
      <c r="H1652" s="8" t="s">
        <v>21</v>
      </c>
      <c r="I1652" s="8" t="s">
        <v>557</v>
      </c>
      <c r="J1652" s="8" t="s">
        <v>557</v>
      </c>
      <c r="K1652" s="8" t="s">
        <v>557</v>
      </c>
      <c r="L1652" s="8" t="s">
        <v>7071</v>
      </c>
      <c r="M1652" s="8" t="s">
        <v>7072</v>
      </c>
      <c r="N1652" s="8" t="s">
        <v>7654</v>
      </c>
      <c r="O1652" s="8">
        <f>4+37/60+32.7/3600</f>
        <v>4.6257500000000009</v>
      </c>
      <c r="P1652" s="8" t="s">
        <v>7655</v>
      </c>
      <c r="Q1652" s="8">
        <f>-(70+35/60+8/3600)</f>
        <v>-70.585555555555544</v>
      </c>
      <c r="R1652" s="8">
        <v>12.3</v>
      </c>
      <c r="S1652" s="8">
        <v>13</v>
      </c>
      <c r="T1652" s="8">
        <v>99</v>
      </c>
      <c r="U1652" s="8">
        <v>99</v>
      </c>
      <c r="V1652" s="8">
        <v>2.5</v>
      </c>
      <c r="Y1652" s="8" t="s">
        <v>7656</v>
      </c>
      <c r="Z1652" s="8" t="s">
        <v>7657</v>
      </c>
    </row>
    <row r="1653" spans="1:26" x14ac:dyDescent="0.2">
      <c r="A1653" s="8">
        <v>1652</v>
      </c>
      <c r="B1653" s="8" t="s">
        <v>7658</v>
      </c>
      <c r="C1653" s="8" t="s">
        <v>7658</v>
      </c>
      <c r="F1653" s="47"/>
      <c r="G1653" s="8">
        <v>16</v>
      </c>
      <c r="H1653" s="8" t="s">
        <v>21</v>
      </c>
      <c r="I1653" s="8" t="s">
        <v>557</v>
      </c>
      <c r="J1653" s="8" t="s">
        <v>557</v>
      </c>
      <c r="K1653" s="8" t="s">
        <v>557</v>
      </c>
      <c r="L1653" s="8" t="s">
        <v>55972</v>
      </c>
      <c r="M1653" s="8" t="s">
        <v>6970</v>
      </c>
      <c r="N1653" s="8" t="s">
        <v>7646</v>
      </c>
      <c r="O1653" s="8">
        <f>4+38/60+22.9/3600</f>
        <v>4.6396944444444443</v>
      </c>
      <c r="P1653" s="8" t="s">
        <v>7647</v>
      </c>
      <c r="Q1653" s="8">
        <f>-(68+40/60+23/3600)</f>
        <v>-68.673055555555564</v>
      </c>
      <c r="R1653" s="8">
        <v>13.1</v>
      </c>
      <c r="S1653" s="8">
        <v>13.9</v>
      </c>
      <c r="T1653" s="8">
        <v>99</v>
      </c>
      <c r="U1653" s="8">
        <v>99</v>
      </c>
      <c r="V1653" s="8">
        <v>15</v>
      </c>
      <c r="Y1653" s="8" t="s">
        <v>2067</v>
      </c>
      <c r="Z1653" s="8" t="s">
        <v>2068</v>
      </c>
    </row>
    <row r="1654" spans="1:26" x14ac:dyDescent="0.2">
      <c r="A1654" s="8">
        <v>1653</v>
      </c>
      <c r="B1654" s="8" t="s">
        <v>7659</v>
      </c>
      <c r="C1654" s="8" t="s">
        <v>7659</v>
      </c>
      <c r="F1654" s="47" t="s">
        <v>56371</v>
      </c>
      <c r="G1654" s="8">
        <v>15</v>
      </c>
      <c r="H1654" s="8" t="s">
        <v>21</v>
      </c>
      <c r="I1654" s="8" t="s">
        <v>22</v>
      </c>
      <c r="J1654" s="8" t="s">
        <v>22</v>
      </c>
      <c r="K1654" s="8" t="s">
        <v>460</v>
      </c>
      <c r="L1654" s="8" t="s">
        <v>3328</v>
      </c>
      <c r="M1654" s="8" t="s">
        <v>3329</v>
      </c>
      <c r="N1654" s="8" t="s">
        <v>7660</v>
      </c>
      <c r="O1654" s="8">
        <f>4+45/60+47.5/3600</f>
        <v>4.7631944444444443</v>
      </c>
      <c r="P1654" s="8" t="s">
        <v>7661</v>
      </c>
      <c r="Q1654" s="8">
        <f>-(2+23/60+34/3600)</f>
        <v>-2.3927777777777779</v>
      </c>
      <c r="R1654" s="8">
        <v>12</v>
      </c>
      <c r="S1654" s="8">
        <v>12.9</v>
      </c>
      <c r="T1654" s="8">
        <v>0.9</v>
      </c>
      <c r="U1654" s="8">
        <v>12.8</v>
      </c>
      <c r="V1654" s="8">
        <v>1.5</v>
      </c>
      <c r="W1654" s="8">
        <v>1.5</v>
      </c>
      <c r="Y1654" s="8" t="s">
        <v>7662</v>
      </c>
      <c r="Z1654" s="8" t="s">
        <v>7663</v>
      </c>
    </row>
    <row r="1655" spans="1:26" x14ac:dyDescent="0.2">
      <c r="A1655" s="8">
        <v>1654</v>
      </c>
      <c r="B1655" s="8" t="s">
        <v>7664</v>
      </c>
      <c r="C1655" s="8" t="s">
        <v>7664</v>
      </c>
      <c r="F1655" s="47"/>
      <c r="G1655" s="8">
        <v>19</v>
      </c>
      <c r="H1655" s="8" t="s">
        <v>21</v>
      </c>
      <c r="I1655" s="8" t="s">
        <v>22</v>
      </c>
      <c r="J1655" s="8" t="s">
        <v>22</v>
      </c>
      <c r="K1655" s="8" t="s">
        <v>91</v>
      </c>
      <c r="L1655" s="8" t="s">
        <v>3328</v>
      </c>
      <c r="M1655" s="8" t="s">
        <v>3329</v>
      </c>
      <c r="N1655" s="8" t="s">
        <v>7665</v>
      </c>
      <c r="O1655" s="8">
        <f>4+45/60+48.4/3600</f>
        <v>4.7634444444444446</v>
      </c>
      <c r="P1655" s="8" t="s">
        <v>7666</v>
      </c>
      <c r="Q1655" s="8">
        <f>-(2+5/60+0/3600)</f>
        <v>-2.0833333333333335</v>
      </c>
      <c r="R1655" s="8">
        <v>13.4</v>
      </c>
      <c r="S1655" s="8">
        <v>14.3</v>
      </c>
      <c r="T1655" s="8">
        <v>0.9</v>
      </c>
      <c r="U1655" s="8">
        <v>12.8</v>
      </c>
      <c r="V1655" s="8">
        <v>0.8</v>
      </c>
      <c r="W1655" s="8">
        <v>0.8</v>
      </c>
      <c r="Y1655" s="8" t="s">
        <v>7667</v>
      </c>
      <c r="Z1655" s="8" t="s">
        <v>7668</v>
      </c>
    </row>
    <row r="1656" spans="1:26" x14ac:dyDescent="0.2">
      <c r="A1656" s="8">
        <v>1655</v>
      </c>
      <c r="B1656" s="8" t="s">
        <v>7669</v>
      </c>
      <c r="C1656" s="8" t="s">
        <v>7669</v>
      </c>
      <c r="F1656" s="47"/>
      <c r="G1656" s="8">
        <v>19</v>
      </c>
      <c r="H1656" s="8" t="s">
        <v>21</v>
      </c>
      <c r="I1656" s="8" t="s">
        <v>72</v>
      </c>
      <c r="J1656" s="8" t="s">
        <v>72</v>
      </c>
      <c r="K1656" s="8" t="s">
        <v>73</v>
      </c>
      <c r="L1656" s="8" t="s">
        <v>6115</v>
      </c>
      <c r="M1656" s="8" t="s">
        <v>6116</v>
      </c>
      <c r="N1656" s="8" t="s">
        <v>7670</v>
      </c>
      <c r="O1656" s="8">
        <f>4+47/60+11.8/3600</f>
        <v>4.7866111111111111</v>
      </c>
      <c r="P1656" s="8" t="s">
        <v>7671</v>
      </c>
      <c r="Q1656" s="8">
        <f>+(20+55/60+25/3600)</f>
        <v>20.923611111111111</v>
      </c>
      <c r="R1656" s="8">
        <v>99</v>
      </c>
      <c r="S1656" s="8">
        <v>99</v>
      </c>
      <c r="T1656" s="8">
        <v>99</v>
      </c>
      <c r="U1656" s="8">
        <v>99</v>
      </c>
      <c r="Y1656" s="8" t="s">
        <v>7672</v>
      </c>
      <c r="Z1656" s="8" t="s">
        <v>7673</v>
      </c>
    </row>
    <row r="1657" spans="1:26" x14ac:dyDescent="0.2">
      <c r="A1657" s="8">
        <v>1656</v>
      </c>
      <c r="B1657" s="8" t="s">
        <v>7674</v>
      </c>
      <c r="C1657" s="8" t="s">
        <v>7674</v>
      </c>
      <c r="F1657" s="47"/>
      <c r="G1657" s="8">
        <v>16</v>
      </c>
      <c r="H1657" s="8" t="s">
        <v>21</v>
      </c>
      <c r="I1657" s="8" t="s">
        <v>22</v>
      </c>
      <c r="J1657" s="8" t="s">
        <v>22</v>
      </c>
      <c r="K1657" s="8" t="s">
        <v>632</v>
      </c>
      <c r="L1657" s="8" t="s">
        <v>3328</v>
      </c>
      <c r="M1657" s="8" t="s">
        <v>3329</v>
      </c>
      <c r="N1657" s="8" t="s">
        <v>7675</v>
      </c>
      <c r="O1657" s="8">
        <f>4+45/60+53.3/3600</f>
        <v>4.7648055555555553</v>
      </c>
      <c r="P1657" s="8" t="s">
        <v>7676</v>
      </c>
      <c r="Q1657" s="8">
        <f>-(5+8/60+11/3600)</f>
        <v>-5.1363888888888889</v>
      </c>
      <c r="R1657" s="8">
        <v>12.9</v>
      </c>
      <c r="S1657" s="8">
        <v>13.8</v>
      </c>
      <c r="T1657" s="8">
        <v>0.9</v>
      </c>
      <c r="U1657" s="8">
        <v>13.2</v>
      </c>
      <c r="V1657" s="8">
        <v>1.5</v>
      </c>
      <c r="W1657" s="8">
        <v>1</v>
      </c>
      <c r="X1657" s="8">
        <v>123</v>
      </c>
      <c r="Y1657" s="8" t="s">
        <v>7677</v>
      </c>
      <c r="Z1657" s="8" t="s">
        <v>7678</v>
      </c>
    </row>
    <row r="1658" spans="1:26" x14ac:dyDescent="0.2">
      <c r="A1658" s="8">
        <v>1657</v>
      </c>
      <c r="B1658" s="8" t="s">
        <v>7679</v>
      </c>
      <c r="C1658" s="8" t="s">
        <v>7679</v>
      </c>
      <c r="F1658" s="47"/>
      <c r="G1658" s="8">
        <v>19</v>
      </c>
      <c r="H1658" s="8" t="s">
        <v>21</v>
      </c>
      <c r="I1658" s="8" t="s">
        <v>22</v>
      </c>
      <c r="J1658" s="8" t="s">
        <v>22</v>
      </c>
      <c r="K1658" s="8" t="s">
        <v>85</v>
      </c>
      <c r="L1658" s="8" t="s">
        <v>3328</v>
      </c>
      <c r="M1658" s="8" t="s">
        <v>3329</v>
      </c>
      <c r="N1658" s="8" t="s">
        <v>7680</v>
      </c>
      <c r="O1658" s="8">
        <f>4+46/60+7.3/3600</f>
        <v>4.7686944444444448</v>
      </c>
      <c r="P1658" s="8" t="s">
        <v>7681</v>
      </c>
      <c r="Q1658" s="8">
        <f>-(2+4/60+37/3600)</f>
        <v>-2.0769444444444445</v>
      </c>
      <c r="R1658" s="8">
        <v>13.8</v>
      </c>
      <c r="S1658" s="8">
        <v>14.6</v>
      </c>
      <c r="T1658" s="8">
        <v>0.8</v>
      </c>
      <c r="U1658" s="8">
        <v>13.3</v>
      </c>
      <c r="V1658" s="8">
        <v>1.2</v>
      </c>
      <c r="W1658" s="8">
        <v>0.8</v>
      </c>
      <c r="X1658" s="8">
        <v>150</v>
      </c>
      <c r="Y1658" s="8" t="s">
        <v>7682</v>
      </c>
      <c r="Z1658" s="8" t="s">
        <v>7683</v>
      </c>
    </row>
    <row r="1659" spans="1:26" x14ac:dyDescent="0.2">
      <c r="A1659" s="8">
        <v>1658</v>
      </c>
      <c r="B1659" s="8" t="s">
        <v>7684</v>
      </c>
      <c r="C1659" s="8" t="s">
        <v>7684</v>
      </c>
      <c r="F1659" s="47"/>
      <c r="G1659" s="8">
        <v>16</v>
      </c>
      <c r="H1659" s="8" t="s">
        <v>21</v>
      </c>
      <c r="I1659" s="8" t="s">
        <v>22</v>
      </c>
      <c r="J1659" s="8" t="s">
        <v>22</v>
      </c>
      <c r="K1659" s="8" t="s">
        <v>396</v>
      </c>
      <c r="L1659" s="8" t="s">
        <v>7243</v>
      </c>
      <c r="M1659" s="8" t="s">
        <v>7244</v>
      </c>
      <c r="N1659" s="8" t="s">
        <v>7685</v>
      </c>
      <c r="O1659" s="8">
        <f>4+44/60+1.1/3600</f>
        <v>4.7336388888888887</v>
      </c>
      <c r="P1659" s="8" t="s">
        <v>7686</v>
      </c>
      <c r="Q1659" s="8">
        <f>-(41+27/60+49/3600)</f>
        <v>-41.463611111111113</v>
      </c>
      <c r="R1659" s="8">
        <v>13.5</v>
      </c>
      <c r="S1659" s="8">
        <v>14.3</v>
      </c>
      <c r="T1659" s="8">
        <v>0.8</v>
      </c>
      <c r="U1659" s="8">
        <v>12.9</v>
      </c>
      <c r="V1659" s="8">
        <v>1.5</v>
      </c>
      <c r="W1659" s="8">
        <v>0.5</v>
      </c>
      <c r="X1659" s="8">
        <v>124</v>
      </c>
      <c r="Y1659" s="8" t="s">
        <v>7687</v>
      </c>
      <c r="Z1659" s="8" t="s">
        <v>7688</v>
      </c>
    </row>
    <row r="1660" spans="1:26" x14ac:dyDescent="0.2">
      <c r="A1660" s="8">
        <v>1659</v>
      </c>
      <c r="B1660" s="8" t="s">
        <v>7689</v>
      </c>
      <c r="C1660" s="8" t="s">
        <v>7689</v>
      </c>
      <c r="F1660" s="47" t="s">
        <v>56372</v>
      </c>
      <c r="G1660" s="8">
        <v>13</v>
      </c>
      <c r="H1660" s="8" t="s">
        <v>21</v>
      </c>
      <c r="I1660" s="8" t="s">
        <v>22</v>
      </c>
      <c r="J1660" s="8" t="s">
        <v>22</v>
      </c>
      <c r="K1660" s="8" t="s">
        <v>396</v>
      </c>
      <c r="L1660" s="8" t="s">
        <v>3328</v>
      </c>
      <c r="M1660" s="8" t="s">
        <v>3329</v>
      </c>
      <c r="N1660" s="8" t="s">
        <v>7690</v>
      </c>
      <c r="O1660" s="8">
        <f>4+46/60+30/3600</f>
        <v>4.7750000000000004</v>
      </c>
      <c r="P1660" s="8" t="s">
        <v>7691</v>
      </c>
      <c r="Q1660" s="8">
        <f>-(4+47/60+19/3600)</f>
        <v>-4.7886111111111109</v>
      </c>
      <c r="R1660" s="8">
        <v>12.5</v>
      </c>
      <c r="S1660" s="8">
        <v>13.1</v>
      </c>
      <c r="T1660" s="8">
        <v>0.6</v>
      </c>
      <c r="U1660" s="8">
        <v>13</v>
      </c>
      <c r="V1660" s="8">
        <v>1.5</v>
      </c>
      <c r="W1660" s="8">
        <v>1.1000000000000001</v>
      </c>
      <c r="X1660" s="8">
        <v>50</v>
      </c>
      <c r="Y1660" s="8" t="s">
        <v>7692</v>
      </c>
      <c r="Z1660" s="8" t="s">
        <v>7693</v>
      </c>
    </row>
    <row r="1661" spans="1:26" x14ac:dyDescent="0.2">
      <c r="A1661" s="8">
        <v>1660</v>
      </c>
      <c r="B1661" s="8" t="s">
        <v>7694</v>
      </c>
      <c r="C1661" s="8" t="s">
        <v>7694</v>
      </c>
      <c r="F1661" s="47"/>
      <c r="G1661" s="8">
        <v>16</v>
      </c>
      <c r="H1661" s="8" t="s">
        <v>21</v>
      </c>
      <c r="I1661" s="8" t="s">
        <v>22</v>
      </c>
      <c r="J1661" s="8" t="s">
        <v>22</v>
      </c>
      <c r="K1661" s="8" t="s">
        <v>91</v>
      </c>
      <c r="L1661" s="8" t="s">
        <v>7243</v>
      </c>
      <c r="M1661" s="8" t="s">
        <v>7244</v>
      </c>
      <c r="N1661" s="8" t="s">
        <v>7695</v>
      </c>
      <c r="O1661" s="8">
        <f>4+44/60+11.1/3600</f>
        <v>4.7364166666666669</v>
      </c>
      <c r="P1661" s="8" t="s">
        <v>7696</v>
      </c>
      <c r="Q1661" s="8">
        <f>-(41+29/60+52/3600)</f>
        <v>-41.497777777777777</v>
      </c>
      <c r="R1661" s="8">
        <v>14</v>
      </c>
      <c r="S1661" s="8">
        <v>14.9</v>
      </c>
      <c r="T1661" s="8">
        <v>0.9</v>
      </c>
      <c r="U1661" s="8">
        <v>13.1</v>
      </c>
      <c r="V1661" s="8">
        <v>1</v>
      </c>
      <c r="W1661" s="8">
        <v>0.5</v>
      </c>
      <c r="X1661" s="8">
        <v>32</v>
      </c>
      <c r="Y1661" s="8" t="s">
        <v>6316</v>
      </c>
      <c r="Z1661" s="8" t="s">
        <v>6317</v>
      </c>
    </row>
    <row r="1662" spans="1:26" x14ac:dyDescent="0.2">
      <c r="A1662" s="8">
        <v>1661</v>
      </c>
      <c r="B1662" s="8" t="s">
        <v>7697</v>
      </c>
      <c r="C1662" s="8" t="s">
        <v>7697</v>
      </c>
      <c r="F1662" s="47"/>
      <c r="G1662" s="8">
        <v>19</v>
      </c>
      <c r="H1662" s="8" t="s">
        <v>21</v>
      </c>
      <c r="I1662" s="8" t="s">
        <v>22</v>
      </c>
      <c r="J1662" s="8" t="s">
        <v>22</v>
      </c>
      <c r="K1662" s="8" t="s">
        <v>396</v>
      </c>
      <c r="L1662" s="8" t="s">
        <v>7698</v>
      </c>
      <c r="M1662" s="8" t="s">
        <v>7699</v>
      </c>
      <c r="N1662" s="8" t="s">
        <v>7700</v>
      </c>
      <c r="O1662" s="8">
        <f>4+47/60+7.7/3600</f>
        <v>4.7854722222222223</v>
      </c>
      <c r="P1662" s="8" t="s">
        <v>7701</v>
      </c>
      <c r="Q1662" s="8">
        <f>-(2+3/60+18/3600)</f>
        <v>-2.0549999999999997</v>
      </c>
      <c r="R1662" s="8">
        <v>13.2</v>
      </c>
      <c r="S1662" s="8">
        <v>14</v>
      </c>
      <c r="T1662" s="8">
        <v>0.8</v>
      </c>
      <c r="U1662" s="8">
        <v>13.3</v>
      </c>
      <c r="V1662" s="8">
        <v>1.4</v>
      </c>
      <c r="W1662" s="8">
        <v>0.9</v>
      </c>
      <c r="X1662" s="8">
        <v>35</v>
      </c>
      <c r="Y1662" s="8" t="s">
        <v>7702</v>
      </c>
      <c r="Z1662" s="8" t="s">
        <v>7703</v>
      </c>
    </row>
    <row r="1663" spans="1:26" x14ac:dyDescent="0.2">
      <c r="A1663" s="8">
        <v>1662</v>
      </c>
      <c r="B1663" s="8" t="s">
        <v>7704</v>
      </c>
      <c r="C1663" s="8" t="s">
        <v>7704</v>
      </c>
      <c r="F1663" s="47" t="s">
        <v>56373</v>
      </c>
      <c r="G1663" s="8">
        <v>5</v>
      </c>
      <c r="H1663" s="8" t="s">
        <v>21</v>
      </c>
      <c r="I1663" s="8" t="s">
        <v>557</v>
      </c>
      <c r="J1663" s="8" t="s">
        <v>557</v>
      </c>
      <c r="K1663" s="8" t="s">
        <v>7705</v>
      </c>
      <c r="L1663" s="8" t="s">
        <v>7698</v>
      </c>
      <c r="M1663" s="8" t="s">
        <v>7699</v>
      </c>
      <c r="N1663" s="8" t="s">
        <v>7706</v>
      </c>
      <c r="O1663" s="8">
        <f>4+48/60+27/3600</f>
        <v>4.8075000000000001</v>
      </c>
      <c r="P1663" s="8" t="s">
        <v>7707</v>
      </c>
      <c r="Q1663" s="8">
        <f>+(10+55/60+48/3600)</f>
        <v>10.93</v>
      </c>
      <c r="R1663" s="8">
        <v>6.4</v>
      </c>
      <c r="S1663" s="8">
        <v>99</v>
      </c>
      <c r="T1663" s="8">
        <v>99</v>
      </c>
      <c r="U1663" s="8">
        <v>99</v>
      </c>
      <c r="V1663" s="8">
        <v>12</v>
      </c>
      <c r="Y1663" s="8" t="s">
        <v>7708</v>
      </c>
      <c r="Z1663" s="8" t="s">
        <v>7709</v>
      </c>
    </row>
    <row r="1664" spans="1:26" x14ac:dyDescent="0.2">
      <c r="A1664" s="8">
        <v>1663</v>
      </c>
      <c r="B1664" s="8" t="s">
        <v>7710</v>
      </c>
      <c r="C1664" s="8" t="s">
        <v>7710</v>
      </c>
      <c r="F1664" s="47" t="s">
        <v>56374</v>
      </c>
      <c r="G1664" s="8">
        <v>6.5</v>
      </c>
      <c r="H1664" s="8" t="s">
        <v>21</v>
      </c>
      <c r="I1664" s="8" t="s">
        <v>557</v>
      </c>
      <c r="J1664" s="8" t="s">
        <v>557</v>
      </c>
      <c r="K1664" s="8" t="s">
        <v>693</v>
      </c>
      <c r="L1664" s="8" t="s">
        <v>7698</v>
      </c>
      <c r="M1664" s="8" t="s">
        <v>7699</v>
      </c>
      <c r="N1664" s="8" t="s">
        <v>7711</v>
      </c>
      <c r="O1664" s="8">
        <f>4+49/60+24.3/3600</f>
        <v>4.8234166666666667</v>
      </c>
      <c r="P1664" s="8" t="s">
        <v>7712</v>
      </c>
      <c r="Q1664" s="8">
        <f>+(13+8/60+27/3600)</f>
        <v>13.140833333333333</v>
      </c>
      <c r="R1664" s="8">
        <v>14.5</v>
      </c>
      <c r="S1664" s="8">
        <v>15.8</v>
      </c>
      <c r="T1664" s="8">
        <v>99</v>
      </c>
      <c r="U1664" s="8">
        <v>99</v>
      </c>
      <c r="V1664" s="8">
        <v>9</v>
      </c>
      <c r="Y1664" s="8" t="s">
        <v>7713</v>
      </c>
      <c r="Z1664" s="8" t="s">
        <v>7714</v>
      </c>
    </row>
    <row r="1665" spans="1:26" x14ac:dyDescent="0.2">
      <c r="A1665" s="8">
        <v>1664</v>
      </c>
      <c r="B1665" s="8" t="s">
        <v>7715</v>
      </c>
      <c r="C1665" s="8" t="s">
        <v>7715</v>
      </c>
      <c r="F1665" s="47" t="s">
        <v>56375</v>
      </c>
      <c r="G1665" s="8">
        <v>6</v>
      </c>
      <c r="H1665" s="8" t="s">
        <v>7716</v>
      </c>
      <c r="I1665" s="8" t="s">
        <v>557</v>
      </c>
      <c r="J1665" s="8" t="s">
        <v>557</v>
      </c>
      <c r="K1665" s="8" t="s">
        <v>1168</v>
      </c>
      <c r="L1665" s="8" t="s">
        <v>7717</v>
      </c>
      <c r="M1665" s="8" t="s">
        <v>7718</v>
      </c>
      <c r="N1665" s="8" t="s">
        <v>7719</v>
      </c>
      <c r="O1665" s="8">
        <f>4+51/60+5.4/3600</f>
        <v>4.8514999999999997</v>
      </c>
      <c r="P1665" s="8" t="s">
        <v>7720</v>
      </c>
      <c r="Q1665" s="8">
        <f>+(43+40/60+34/3600)</f>
        <v>43.676111111111112</v>
      </c>
      <c r="R1665" s="8">
        <v>7.6</v>
      </c>
      <c r="S1665" s="8">
        <v>99</v>
      </c>
      <c r="T1665" s="8">
        <v>99</v>
      </c>
      <c r="U1665" s="8">
        <v>99</v>
      </c>
      <c r="V1665" s="8">
        <v>18</v>
      </c>
      <c r="Y1665" s="8" t="s">
        <v>7721</v>
      </c>
      <c r="Z1665" s="8" t="s">
        <v>7722</v>
      </c>
    </row>
    <row r="1666" spans="1:26" x14ac:dyDescent="0.2">
      <c r="A1666" s="8">
        <v>1665</v>
      </c>
      <c r="B1666" s="8" t="s">
        <v>7723</v>
      </c>
      <c r="C1666" s="8" t="s">
        <v>7723</v>
      </c>
      <c r="F1666" s="47" t="s">
        <v>56376</v>
      </c>
      <c r="G1666" s="8">
        <v>15</v>
      </c>
      <c r="H1666" s="8" t="s">
        <v>21</v>
      </c>
      <c r="I1666" s="8" t="s">
        <v>22</v>
      </c>
      <c r="J1666" s="8" t="s">
        <v>22</v>
      </c>
      <c r="K1666" s="8" t="s">
        <v>37</v>
      </c>
      <c r="L1666" s="8" t="s">
        <v>3328</v>
      </c>
      <c r="M1666" s="8" t="s">
        <v>3329</v>
      </c>
      <c r="N1666" s="8" t="s">
        <v>7724</v>
      </c>
      <c r="O1666" s="8">
        <f>4+48/60+17/3600</f>
        <v>4.8047222222222219</v>
      </c>
      <c r="P1666" s="8" t="s">
        <v>7725</v>
      </c>
      <c r="Q1666" s="8">
        <f>-(5+25/60+38/3600)</f>
        <v>-5.4272222222222224</v>
      </c>
      <c r="R1666" s="8">
        <v>12.8</v>
      </c>
      <c r="S1666" s="8">
        <v>13.8</v>
      </c>
      <c r="T1666" s="8">
        <v>1</v>
      </c>
      <c r="U1666" s="8">
        <v>13.4</v>
      </c>
      <c r="V1666" s="8">
        <v>1.8</v>
      </c>
      <c r="W1666" s="8">
        <v>1.1000000000000001</v>
      </c>
      <c r="X1666" s="8">
        <v>50</v>
      </c>
      <c r="Y1666" s="8" t="s">
        <v>7726</v>
      </c>
      <c r="Z1666" s="8" t="s">
        <v>7727</v>
      </c>
    </row>
    <row r="1667" spans="1:26" x14ac:dyDescent="0.2">
      <c r="A1667" s="8">
        <v>1666</v>
      </c>
      <c r="B1667" s="8" t="s">
        <v>7728</v>
      </c>
      <c r="C1667" s="8" t="s">
        <v>7728</v>
      </c>
      <c r="F1667" s="47"/>
      <c r="G1667" s="8">
        <v>19</v>
      </c>
      <c r="H1667" s="8" t="s">
        <v>21</v>
      </c>
      <c r="I1667" s="8" t="s">
        <v>22</v>
      </c>
      <c r="J1667" s="8" t="s">
        <v>22</v>
      </c>
      <c r="K1667" s="8" t="s">
        <v>435</v>
      </c>
      <c r="L1667" s="8" t="s">
        <v>3328</v>
      </c>
      <c r="M1667" s="8" t="s">
        <v>3329</v>
      </c>
      <c r="N1667" s="8" t="s">
        <v>7729</v>
      </c>
      <c r="O1667" s="8">
        <f>4+48/60+32.8/3600</f>
        <v>4.8091111111111111</v>
      </c>
      <c r="P1667" s="8" t="s">
        <v>7730</v>
      </c>
      <c r="Q1667" s="8">
        <f>-(6+34/60+10/3600)</f>
        <v>-6.5694444444444446</v>
      </c>
      <c r="R1667" s="8">
        <v>12.6</v>
      </c>
      <c r="S1667" s="8">
        <v>13.6</v>
      </c>
      <c r="T1667" s="8">
        <v>1</v>
      </c>
      <c r="U1667" s="8">
        <v>13</v>
      </c>
      <c r="V1667" s="8">
        <v>1.4</v>
      </c>
      <c r="W1667" s="8">
        <v>1.1000000000000001</v>
      </c>
      <c r="X1667" s="8">
        <v>143</v>
      </c>
      <c r="Y1667" s="8" t="s">
        <v>237</v>
      </c>
      <c r="Z1667" s="8" t="s">
        <v>238</v>
      </c>
    </row>
    <row r="1668" spans="1:26" x14ac:dyDescent="0.2">
      <c r="A1668" s="8">
        <v>1667</v>
      </c>
      <c r="B1668" s="8" t="s">
        <v>7731</v>
      </c>
      <c r="C1668" s="8" t="s">
        <v>7731</v>
      </c>
      <c r="F1668" s="47"/>
      <c r="G1668" s="8">
        <v>13</v>
      </c>
      <c r="H1668" s="8" t="s">
        <v>21</v>
      </c>
      <c r="I1668" s="8" t="s">
        <v>22</v>
      </c>
      <c r="J1668" s="8" t="s">
        <v>22</v>
      </c>
      <c r="K1668" s="8" t="s">
        <v>64</v>
      </c>
      <c r="L1668" s="8" t="s">
        <v>3328</v>
      </c>
      <c r="M1668" s="8" t="s">
        <v>3329</v>
      </c>
      <c r="N1668" s="8" t="s">
        <v>7732</v>
      </c>
      <c r="O1668" s="8">
        <f>4+48/60+37/3600</f>
        <v>4.8102777777777774</v>
      </c>
      <c r="P1668" s="8" t="s">
        <v>7733</v>
      </c>
      <c r="Q1668" s="8">
        <f>-(6+19/60+13/3600)</f>
        <v>-6.3202777777777772</v>
      </c>
      <c r="R1668" s="8">
        <v>12.1</v>
      </c>
      <c r="S1668" s="8">
        <v>12.8</v>
      </c>
      <c r="T1668" s="8">
        <v>0.7</v>
      </c>
      <c r="U1668" s="8">
        <v>12.9</v>
      </c>
      <c r="V1668" s="8">
        <v>1.4</v>
      </c>
      <c r="W1668" s="8">
        <v>1</v>
      </c>
      <c r="X1668" s="8">
        <v>20</v>
      </c>
      <c r="Y1668" s="8" t="s">
        <v>7734</v>
      </c>
      <c r="Z1668" s="8" t="s">
        <v>7735</v>
      </c>
    </row>
    <row r="1669" spans="1:26" x14ac:dyDescent="0.2">
      <c r="A1669" s="8">
        <v>1668</v>
      </c>
      <c r="B1669" s="8" t="s">
        <v>7736</v>
      </c>
      <c r="C1669" s="8" t="s">
        <v>7736</v>
      </c>
      <c r="F1669" s="47"/>
      <c r="G1669" s="8">
        <v>16</v>
      </c>
      <c r="H1669" s="8" t="s">
        <v>21</v>
      </c>
      <c r="I1669" s="8" t="s">
        <v>22</v>
      </c>
      <c r="J1669" s="8" t="s">
        <v>22</v>
      </c>
      <c r="K1669" s="8" t="s">
        <v>118</v>
      </c>
      <c r="L1669" s="8" t="s">
        <v>7243</v>
      </c>
      <c r="M1669" s="8" t="s">
        <v>7244</v>
      </c>
      <c r="N1669" s="8" t="s">
        <v>7737</v>
      </c>
      <c r="O1669" s="8">
        <f>4+46/60+5.9/3600</f>
        <v>4.7683055555555551</v>
      </c>
      <c r="P1669" s="8" t="s">
        <v>7738</v>
      </c>
      <c r="Q1669" s="8">
        <f>-(44+43/60+58/3600)</f>
        <v>-44.732777777777777</v>
      </c>
      <c r="R1669" s="8">
        <v>12.8</v>
      </c>
      <c r="S1669" s="8">
        <v>13.8</v>
      </c>
      <c r="T1669" s="8">
        <v>1</v>
      </c>
      <c r="U1669" s="8">
        <v>13.3</v>
      </c>
      <c r="V1669" s="8">
        <v>1.6</v>
      </c>
      <c r="W1669" s="8">
        <v>0.9</v>
      </c>
      <c r="X1669" s="8">
        <v>107</v>
      </c>
      <c r="Y1669" s="8" t="s">
        <v>7739</v>
      </c>
      <c r="Z1669" s="8" t="s">
        <v>7740</v>
      </c>
    </row>
    <row r="1670" spans="1:26" x14ac:dyDescent="0.2">
      <c r="A1670" s="8">
        <v>1669</v>
      </c>
      <c r="B1670" s="8" t="s">
        <v>7741</v>
      </c>
      <c r="C1670" s="8" t="s">
        <v>7741</v>
      </c>
      <c r="F1670" s="47"/>
      <c r="G1670" s="8">
        <v>16</v>
      </c>
      <c r="H1670" s="8" t="s">
        <v>21</v>
      </c>
      <c r="I1670" s="8" t="s">
        <v>22</v>
      </c>
      <c r="J1670" s="8" t="s">
        <v>22</v>
      </c>
      <c r="K1670" s="8" t="s">
        <v>91</v>
      </c>
      <c r="L1670" s="8" t="s">
        <v>55972</v>
      </c>
      <c r="M1670" s="8" t="s">
        <v>6970</v>
      </c>
      <c r="N1670" s="8" t="s">
        <v>7742</v>
      </c>
      <c r="O1670" s="8">
        <f>4+43/60+0/3600</f>
        <v>4.7166666666666668</v>
      </c>
      <c r="P1670" s="8" t="s">
        <v>7743</v>
      </c>
      <c r="Q1670" s="8">
        <f>-(65+48/60+51/3600)</f>
        <v>-65.814166666666665</v>
      </c>
      <c r="R1670" s="8">
        <v>13.8</v>
      </c>
      <c r="S1670" s="8">
        <v>14.7</v>
      </c>
      <c r="T1670" s="8">
        <v>0.9</v>
      </c>
      <c r="U1670" s="8">
        <v>12.3</v>
      </c>
      <c r="V1670" s="8">
        <v>0.8</v>
      </c>
      <c r="W1670" s="8">
        <v>0.4</v>
      </c>
      <c r="X1670" s="8">
        <v>97</v>
      </c>
      <c r="Y1670" s="8" t="s">
        <v>227</v>
      </c>
      <c r="Z1670" s="8" t="s">
        <v>228</v>
      </c>
    </row>
    <row r="1671" spans="1:26" x14ac:dyDescent="0.2">
      <c r="A1671" s="8">
        <v>1670</v>
      </c>
      <c r="B1671" s="8" t="s">
        <v>7744</v>
      </c>
      <c r="C1671" s="8" t="s">
        <v>7744</v>
      </c>
      <c r="F1671" s="47" t="s">
        <v>56377</v>
      </c>
      <c r="G1671" s="8">
        <v>15</v>
      </c>
      <c r="H1671" s="8" t="s">
        <v>21</v>
      </c>
      <c r="I1671" s="8" t="s">
        <v>22</v>
      </c>
      <c r="J1671" s="8" t="s">
        <v>22</v>
      </c>
      <c r="K1671" s="8" t="s">
        <v>37</v>
      </c>
      <c r="L1671" s="8" t="s">
        <v>7698</v>
      </c>
      <c r="M1671" s="8" t="s">
        <v>7699</v>
      </c>
      <c r="N1671" s="8" t="s">
        <v>7745</v>
      </c>
      <c r="O1671" s="8">
        <f>4+49/60+42.6/3600</f>
        <v>4.8285</v>
      </c>
      <c r="P1671" s="8" t="s">
        <v>7746</v>
      </c>
      <c r="Q1671" s="8">
        <f>-(2+45/60+36/3600)</f>
        <v>-2.76</v>
      </c>
      <c r="R1671" s="8">
        <v>12.8</v>
      </c>
      <c r="S1671" s="8">
        <v>13.8</v>
      </c>
      <c r="T1671" s="8">
        <v>1</v>
      </c>
      <c r="U1671" s="8">
        <v>12.6</v>
      </c>
      <c r="V1671" s="8">
        <v>1.3</v>
      </c>
      <c r="W1671" s="8">
        <v>0.7</v>
      </c>
      <c r="X1671" s="8">
        <v>72</v>
      </c>
      <c r="Y1671" s="8" t="s">
        <v>282</v>
      </c>
      <c r="Z1671" s="8" t="s">
        <v>283</v>
      </c>
    </row>
    <row r="1672" spans="1:26" x14ac:dyDescent="0.2">
      <c r="A1672" s="8">
        <v>1671</v>
      </c>
      <c r="B1672" s="8" t="s">
        <v>7747</v>
      </c>
      <c r="C1672" s="8" t="s">
        <v>7747</v>
      </c>
      <c r="F1672" s="47"/>
      <c r="G1672" s="8">
        <v>19</v>
      </c>
      <c r="H1672" s="8" t="s">
        <v>21</v>
      </c>
      <c r="I1672" s="8" t="s">
        <v>22</v>
      </c>
      <c r="J1672" s="8" t="s">
        <v>22</v>
      </c>
      <c r="K1672" s="8" t="s">
        <v>37</v>
      </c>
      <c r="L1672" s="8" t="s">
        <v>7698</v>
      </c>
      <c r="M1672" s="8" t="s">
        <v>7699</v>
      </c>
      <c r="N1672" s="8" t="s">
        <v>7748</v>
      </c>
      <c r="O1672" s="8">
        <f>4+49/60+33.8/3600</f>
        <v>4.8260555555555555</v>
      </c>
      <c r="P1672" s="8" t="s">
        <v>7749</v>
      </c>
      <c r="Q1672" s="8">
        <f>+(0+15/60+12/3600)</f>
        <v>0.25333333333333335</v>
      </c>
      <c r="R1672" s="8">
        <v>12.9</v>
      </c>
      <c r="S1672" s="8">
        <v>13.9</v>
      </c>
      <c r="T1672" s="8">
        <v>1</v>
      </c>
      <c r="U1672" s="8">
        <v>12.8</v>
      </c>
      <c r="V1672" s="8">
        <v>0.9</v>
      </c>
      <c r="W1672" s="8">
        <v>0.6</v>
      </c>
      <c r="X1672" s="8">
        <v>130</v>
      </c>
      <c r="Y1672" s="8" t="s">
        <v>803</v>
      </c>
      <c r="Z1672" s="8" t="s">
        <v>804</v>
      </c>
    </row>
    <row r="1673" spans="1:26" x14ac:dyDescent="0.2">
      <c r="A1673" s="8">
        <v>1672</v>
      </c>
      <c r="B1673" s="8" t="s">
        <v>7750</v>
      </c>
      <c r="C1673" s="8" t="s">
        <v>7750</v>
      </c>
      <c r="F1673" s="47"/>
      <c r="G1673" s="8">
        <v>3</v>
      </c>
      <c r="H1673" s="8" t="s">
        <v>21</v>
      </c>
      <c r="I1673" s="8" t="s">
        <v>22</v>
      </c>
      <c r="J1673" s="8" t="s">
        <v>22</v>
      </c>
      <c r="K1673" s="8" t="s">
        <v>218</v>
      </c>
      <c r="L1673" s="8" t="s">
        <v>55972</v>
      </c>
      <c r="M1673" s="8" t="s">
        <v>6970</v>
      </c>
      <c r="N1673" s="8" t="s">
        <v>7751</v>
      </c>
      <c r="O1673" s="8">
        <f>4+45/60+42.8/3600</f>
        <v>4.7618888888888886</v>
      </c>
      <c r="P1673" s="8" t="s">
        <v>7752</v>
      </c>
      <c r="Q1673" s="8">
        <f>-(59+14/60+52/3600)</f>
        <v>-59.247777777777777</v>
      </c>
      <c r="R1673" s="8">
        <v>9.6999999999999993</v>
      </c>
      <c r="S1673" s="8">
        <v>10.3</v>
      </c>
      <c r="T1673" s="8">
        <v>0.6</v>
      </c>
      <c r="U1673" s="8">
        <v>13.4</v>
      </c>
      <c r="V1673" s="8">
        <v>6.7</v>
      </c>
      <c r="W1673" s="8">
        <v>5.6</v>
      </c>
      <c r="X1673" s="8">
        <v>170</v>
      </c>
      <c r="Y1673" s="8" t="s">
        <v>7753</v>
      </c>
      <c r="Z1673" s="8" t="s">
        <v>7754</v>
      </c>
    </row>
    <row r="1674" spans="1:26" x14ac:dyDescent="0.2">
      <c r="A1674" s="8">
        <v>1673</v>
      </c>
      <c r="B1674" s="8" t="s">
        <v>7755</v>
      </c>
      <c r="C1674" s="8" t="s">
        <v>7755</v>
      </c>
      <c r="F1674" s="47"/>
      <c r="G1674" s="8">
        <v>16</v>
      </c>
      <c r="H1674" s="8" t="s">
        <v>21</v>
      </c>
      <c r="I1674" s="8" t="s">
        <v>557</v>
      </c>
      <c r="J1674" s="8" t="s">
        <v>557</v>
      </c>
      <c r="K1674" s="8" t="s">
        <v>557</v>
      </c>
      <c r="L1674" s="8" t="s">
        <v>7071</v>
      </c>
      <c r="M1674" s="8" t="s">
        <v>7072</v>
      </c>
      <c r="N1674" s="8" t="s">
        <v>7756</v>
      </c>
      <c r="O1674" s="8">
        <f>4+42/60+39.7/3600</f>
        <v>4.7110277777777778</v>
      </c>
      <c r="P1674" s="8" t="s">
        <v>7757</v>
      </c>
      <c r="Q1674" s="8">
        <f>-(69+49/60+17/3600)</f>
        <v>-69.82138888888889</v>
      </c>
      <c r="R1674" s="8">
        <v>14.1</v>
      </c>
      <c r="S1674" s="8">
        <v>14.5</v>
      </c>
      <c r="T1674" s="8">
        <v>99</v>
      </c>
      <c r="U1674" s="8">
        <v>99</v>
      </c>
      <c r="V1674" s="8">
        <v>0.7</v>
      </c>
      <c r="Y1674" s="8" t="s">
        <v>7758</v>
      </c>
      <c r="Z1674" s="8" t="s">
        <v>7759</v>
      </c>
    </row>
    <row r="1675" spans="1:26" x14ac:dyDescent="0.2">
      <c r="A1675" s="8">
        <v>1674</v>
      </c>
      <c r="B1675" s="8" t="s">
        <v>7760</v>
      </c>
      <c r="C1675" s="8" t="s">
        <v>7760</v>
      </c>
      <c r="F1675" s="47"/>
      <c r="G1675" s="8">
        <v>19</v>
      </c>
      <c r="H1675" s="8" t="s">
        <v>21</v>
      </c>
      <c r="I1675" s="8" t="s">
        <v>72</v>
      </c>
      <c r="J1675" s="8" t="s">
        <v>72</v>
      </c>
      <c r="K1675" s="8" t="s">
        <v>1405</v>
      </c>
      <c r="L1675" s="8" t="s">
        <v>6115</v>
      </c>
      <c r="M1675" s="8" t="s">
        <v>6116</v>
      </c>
      <c r="N1675" s="8" t="s">
        <v>7761</v>
      </c>
      <c r="O1675" s="8">
        <f>4+52/60+25/3600</f>
        <v>4.8736111111111118</v>
      </c>
      <c r="P1675" s="8" t="s">
        <v>7762</v>
      </c>
      <c r="Q1675" s="8">
        <f>+(23+51/60+37/3600)</f>
        <v>23.860277777777778</v>
      </c>
      <c r="R1675" s="8">
        <v>99</v>
      </c>
      <c r="S1675" s="8">
        <v>99</v>
      </c>
      <c r="T1675" s="8">
        <v>99</v>
      </c>
      <c r="U1675" s="8">
        <v>99</v>
      </c>
      <c r="Y1675" s="8" t="s">
        <v>7763</v>
      </c>
      <c r="Z1675" s="8" t="s">
        <v>7764</v>
      </c>
    </row>
    <row r="1676" spans="1:26" x14ac:dyDescent="0.2">
      <c r="A1676" s="8">
        <v>1675</v>
      </c>
      <c r="B1676" s="8" t="s">
        <v>7765</v>
      </c>
      <c r="C1676" s="8" t="s">
        <v>7765</v>
      </c>
      <c r="F1676" s="47"/>
      <c r="G1676" s="8">
        <v>19</v>
      </c>
      <c r="H1676" s="8" t="s">
        <v>21</v>
      </c>
      <c r="I1676" s="8" t="s">
        <v>72</v>
      </c>
      <c r="J1676" s="8" t="s">
        <v>57</v>
      </c>
      <c r="K1676" s="8" t="s">
        <v>1405</v>
      </c>
      <c r="L1676" s="8" t="s">
        <v>6115</v>
      </c>
      <c r="M1676" s="8" t="s">
        <v>6116</v>
      </c>
      <c r="N1676" s="8" t="s">
        <v>7761</v>
      </c>
      <c r="O1676" s="8">
        <f>4+52/60+25/3600</f>
        <v>4.8736111111111118</v>
      </c>
      <c r="P1676" s="8" t="s">
        <v>7762</v>
      </c>
      <c r="Q1676" s="8">
        <f>+(23+51/60+37/3600)</f>
        <v>23.860277777777778</v>
      </c>
      <c r="R1676" s="8">
        <v>99</v>
      </c>
      <c r="S1676" s="8">
        <v>99</v>
      </c>
      <c r="T1676" s="8">
        <v>99</v>
      </c>
      <c r="U1676" s="8">
        <v>99</v>
      </c>
      <c r="Y1676" s="8" t="s">
        <v>7763</v>
      </c>
      <c r="Z1676" s="8" t="s">
        <v>7764</v>
      </c>
    </row>
    <row r="1677" spans="1:26" x14ac:dyDescent="0.2">
      <c r="A1677" s="8">
        <v>1676</v>
      </c>
      <c r="B1677" s="8" t="s">
        <v>7766</v>
      </c>
      <c r="C1677" s="8" t="s">
        <v>7766</v>
      </c>
      <c r="F1677" s="47"/>
      <c r="G1677" s="8">
        <v>16</v>
      </c>
      <c r="H1677" s="8" t="s">
        <v>21</v>
      </c>
      <c r="I1677" s="8" t="s">
        <v>557</v>
      </c>
      <c r="J1677" s="8" t="s">
        <v>557</v>
      </c>
      <c r="K1677" s="8" t="s">
        <v>557</v>
      </c>
      <c r="L1677" s="8" t="s">
        <v>55972</v>
      </c>
      <c r="M1677" s="8" t="s">
        <v>6970</v>
      </c>
      <c r="N1677" s="8" t="s">
        <v>7767</v>
      </c>
      <c r="O1677" s="8">
        <f>4+43/60+54.2/3600</f>
        <v>4.7317222222222224</v>
      </c>
      <c r="P1677" s="8" t="s">
        <v>7768</v>
      </c>
      <c r="Q1677" s="8">
        <f>-(68+49/60+40/3600)</f>
        <v>-68.827777777777769</v>
      </c>
      <c r="R1677" s="8">
        <v>99</v>
      </c>
      <c r="S1677" s="8">
        <v>99</v>
      </c>
      <c r="T1677" s="8">
        <v>99</v>
      </c>
      <c r="U1677" s="8">
        <v>99</v>
      </c>
      <c r="V1677" s="8">
        <v>0.8</v>
      </c>
      <c r="Y1677" s="8" t="s">
        <v>7769</v>
      </c>
      <c r="Z1677" s="8" t="s">
        <v>7770</v>
      </c>
    </row>
    <row r="1678" spans="1:26" x14ac:dyDescent="0.2">
      <c r="A1678" s="8">
        <v>1677</v>
      </c>
      <c r="B1678" s="8" t="s">
        <v>7771</v>
      </c>
      <c r="C1678" s="8" t="s">
        <v>7771</v>
      </c>
      <c r="F1678" s="47"/>
      <c r="G1678" s="8">
        <v>19</v>
      </c>
      <c r="H1678" s="8" t="s">
        <v>21</v>
      </c>
      <c r="I1678" s="8" t="s">
        <v>22</v>
      </c>
      <c r="J1678" s="8" t="s">
        <v>57</v>
      </c>
      <c r="K1678" s="8" t="s">
        <v>396</v>
      </c>
      <c r="L1678" s="8" t="s">
        <v>3328</v>
      </c>
      <c r="M1678" s="8" t="s">
        <v>3329</v>
      </c>
      <c r="N1678" s="8" t="s">
        <v>7690</v>
      </c>
      <c r="O1678" s="8">
        <f>4+46/60+30/3600</f>
        <v>4.7750000000000004</v>
      </c>
      <c r="P1678" s="8" t="s">
        <v>7691</v>
      </c>
      <c r="Q1678" s="8">
        <f>-(4+47/60+19/3600)</f>
        <v>-4.7886111111111109</v>
      </c>
      <c r="R1678" s="8">
        <v>12.5</v>
      </c>
      <c r="S1678" s="8">
        <v>13.1</v>
      </c>
      <c r="T1678" s="8">
        <v>0.6</v>
      </c>
      <c r="U1678" s="8">
        <v>13</v>
      </c>
      <c r="V1678" s="8">
        <v>1.5</v>
      </c>
      <c r="W1678" s="8">
        <v>1.1000000000000001</v>
      </c>
      <c r="X1678" s="8">
        <v>50</v>
      </c>
      <c r="Y1678" s="8" t="s">
        <v>7692</v>
      </c>
      <c r="Z1678" s="8" t="s">
        <v>7772</v>
      </c>
    </row>
    <row r="1679" spans="1:26" x14ac:dyDescent="0.2">
      <c r="A1679" s="8">
        <v>1678</v>
      </c>
      <c r="B1679" s="8" t="s">
        <v>7773</v>
      </c>
      <c r="C1679" s="8" t="s">
        <v>7773</v>
      </c>
      <c r="F1679" s="47" t="s">
        <v>56378</v>
      </c>
      <c r="G1679" s="8">
        <v>15</v>
      </c>
      <c r="H1679" s="8" t="s">
        <v>21</v>
      </c>
      <c r="I1679" s="8" t="s">
        <v>22</v>
      </c>
      <c r="J1679" s="8" t="s">
        <v>22</v>
      </c>
      <c r="K1679" s="8" t="s">
        <v>37</v>
      </c>
      <c r="L1679" s="8" t="s">
        <v>7698</v>
      </c>
      <c r="M1679" s="8" t="s">
        <v>7699</v>
      </c>
      <c r="N1679" s="8" t="s">
        <v>7774</v>
      </c>
      <c r="O1679" s="8">
        <f>4+51/60+35.4/3600</f>
        <v>4.8598333333333326</v>
      </c>
      <c r="P1679" s="8" t="s">
        <v>7775</v>
      </c>
      <c r="Q1679" s="8">
        <f>-(2+37/60+22/3600)</f>
        <v>-2.6227777777777779</v>
      </c>
      <c r="R1679" s="8">
        <v>13.2</v>
      </c>
      <c r="S1679" s="8">
        <v>14.2</v>
      </c>
      <c r="T1679" s="8">
        <v>1</v>
      </c>
      <c r="U1679" s="8">
        <v>13.1</v>
      </c>
      <c r="V1679" s="8">
        <v>1.1000000000000001</v>
      </c>
      <c r="W1679" s="8">
        <v>0.8</v>
      </c>
      <c r="X1679" s="8">
        <v>72</v>
      </c>
      <c r="Y1679" s="8" t="s">
        <v>1511</v>
      </c>
      <c r="Z1679" s="8" t="s">
        <v>1512</v>
      </c>
    </row>
    <row r="1680" spans="1:26" x14ac:dyDescent="0.2">
      <c r="A1680" s="8">
        <v>1679</v>
      </c>
      <c r="B1680" s="8" t="s">
        <v>7776</v>
      </c>
      <c r="C1680" s="8" t="s">
        <v>7776</v>
      </c>
      <c r="F1680" s="47"/>
      <c r="G1680" s="8">
        <v>13</v>
      </c>
      <c r="H1680" s="8" t="s">
        <v>21</v>
      </c>
      <c r="I1680" s="8" t="s">
        <v>22</v>
      </c>
      <c r="J1680" s="8" t="s">
        <v>22</v>
      </c>
      <c r="K1680" s="8" t="s">
        <v>323</v>
      </c>
      <c r="L1680" s="8" t="s">
        <v>7243</v>
      </c>
      <c r="M1680" s="8" t="s">
        <v>7244</v>
      </c>
      <c r="N1680" s="8" t="s">
        <v>7777</v>
      </c>
      <c r="O1680" s="8">
        <f>4+49/60+55.5/3600</f>
        <v>4.8320833333333333</v>
      </c>
      <c r="P1680" s="8" t="s">
        <v>7778</v>
      </c>
      <c r="Q1680" s="8">
        <f>-(31+58/60+2/3600)</f>
        <v>-31.967222222222219</v>
      </c>
      <c r="R1680" s="8">
        <v>11.6</v>
      </c>
      <c r="S1680" s="8">
        <v>12.2</v>
      </c>
      <c r="T1680" s="8">
        <v>0.6</v>
      </c>
      <c r="U1680" s="8">
        <v>13.3</v>
      </c>
      <c r="V1680" s="8">
        <v>2.7</v>
      </c>
      <c r="W1680" s="8">
        <v>2</v>
      </c>
      <c r="X1680" s="8">
        <v>150</v>
      </c>
      <c r="Y1680" s="8" t="s">
        <v>7779</v>
      </c>
      <c r="Z1680" s="8" t="s">
        <v>7780</v>
      </c>
    </row>
    <row r="1681" spans="1:26" x14ac:dyDescent="0.2">
      <c r="A1681" s="8">
        <v>1680</v>
      </c>
      <c r="B1681" s="8" t="s">
        <v>7781</v>
      </c>
      <c r="C1681" s="8" t="s">
        <v>7781</v>
      </c>
      <c r="F1681" s="47"/>
      <c r="G1681" s="8">
        <v>16</v>
      </c>
      <c r="H1681" s="8" t="s">
        <v>21</v>
      </c>
      <c r="I1681" s="8" t="s">
        <v>22</v>
      </c>
      <c r="J1681" s="8" t="s">
        <v>22</v>
      </c>
      <c r="K1681" s="8" t="s">
        <v>218</v>
      </c>
      <c r="L1681" s="8" t="s">
        <v>7782</v>
      </c>
      <c r="M1681" s="8" t="s">
        <v>7783</v>
      </c>
      <c r="N1681" s="8" t="s">
        <v>7784</v>
      </c>
      <c r="O1681" s="8">
        <f>4+48/60+33.7/3600</f>
        <v>4.8093611111111105</v>
      </c>
      <c r="P1681" s="8" t="s">
        <v>7785</v>
      </c>
      <c r="Q1681" s="8">
        <f>-(47+49/60+0/3600)</f>
        <v>-47.81666666666667</v>
      </c>
      <c r="R1681" s="8">
        <v>13.6</v>
      </c>
      <c r="S1681" s="8">
        <v>14.4</v>
      </c>
      <c r="T1681" s="8">
        <v>0.8</v>
      </c>
      <c r="U1681" s="8">
        <v>12.9</v>
      </c>
      <c r="V1681" s="8">
        <v>1.2</v>
      </c>
      <c r="W1681" s="8">
        <v>0.5</v>
      </c>
      <c r="X1681" s="8">
        <v>102</v>
      </c>
      <c r="Y1681" s="8" t="s">
        <v>7786</v>
      </c>
      <c r="Z1681" s="8" t="s">
        <v>7787</v>
      </c>
    </row>
    <row r="1682" spans="1:26" x14ac:dyDescent="0.2">
      <c r="A1682" s="8">
        <v>1681</v>
      </c>
      <c r="B1682" s="8" t="s">
        <v>7788</v>
      </c>
      <c r="C1682" s="8" t="s">
        <v>7788</v>
      </c>
      <c r="F1682" s="47"/>
      <c r="G1682" s="8">
        <v>19</v>
      </c>
      <c r="H1682" s="8" t="s">
        <v>21</v>
      </c>
      <c r="I1682" s="8" t="s">
        <v>22</v>
      </c>
      <c r="J1682" s="8" t="s">
        <v>22</v>
      </c>
      <c r="K1682" s="8" t="s">
        <v>23</v>
      </c>
      <c r="L1682" s="8" t="s">
        <v>3328</v>
      </c>
      <c r="M1682" s="8" t="s">
        <v>3329</v>
      </c>
      <c r="N1682" s="8" t="s">
        <v>7789</v>
      </c>
      <c r="O1682" s="8">
        <f>4+51/60+50.1/3600</f>
        <v>4.8639166666666664</v>
      </c>
      <c r="P1682" s="8" t="s">
        <v>7790</v>
      </c>
      <c r="Q1682" s="8">
        <f>-(5+48/60+11/3600)</f>
        <v>-5.803055555555555</v>
      </c>
      <c r="R1682" s="8">
        <v>12.9</v>
      </c>
      <c r="S1682" s="8">
        <v>13.7</v>
      </c>
      <c r="T1682" s="8">
        <v>0.8</v>
      </c>
      <c r="U1682" s="8">
        <v>13.2</v>
      </c>
      <c r="V1682" s="8">
        <v>1.3</v>
      </c>
      <c r="W1682" s="8">
        <v>1.2</v>
      </c>
      <c r="X1682" s="8">
        <v>142</v>
      </c>
      <c r="Y1682" s="8" t="s">
        <v>5445</v>
      </c>
      <c r="Z1682" s="8" t="s">
        <v>577</v>
      </c>
    </row>
    <row r="1683" spans="1:26" x14ac:dyDescent="0.2">
      <c r="A1683" s="8">
        <v>1682</v>
      </c>
      <c r="B1683" s="8" t="s">
        <v>7791</v>
      </c>
      <c r="C1683" s="8" t="s">
        <v>7791</v>
      </c>
      <c r="F1683" s="47" t="s">
        <v>56379</v>
      </c>
      <c r="G1683" s="8">
        <v>15</v>
      </c>
      <c r="H1683" s="8" t="s">
        <v>21</v>
      </c>
      <c r="I1683" s="8" t="s">
        <v>22</v>
      </c>
      <c r="J1683" s="8" t="s">
        <v>22</v>
      </c>
      <c r="K1683" s="8" t="s">
        <v>58</v>
      </c>
      <c r="L1683" s="8" t="s">
        <v>7698</v>
      </c>
      <c r="M1683" s="8" t="s">
        <v>7699</v>
      </c>
      <c r="N1683" s="8" t="s">
        <v>7792</v>
      </c>
      <c r="O1683" s="8">
        <f>4+52/60+19.7/3600</f>
        <v>4.8721388888888892</v>
      </c>
      <c r="P1683" s="8" t="s">
        <v>7793</v>
      </c>
      <c r="Q1683" s="8">
        <f>-(3+6/60+19/3600)</f>
        <v>-3.1052777777777778</v>
      </c>
      <c r="R1683" s="8">
        <v>13.5</v>
      </c>
      <c r="S1683" s="8">
        <v>14.5</v>
      </c>
      <c r="T1683" s="8">
        <v>1</v>
      </c>
      <c r="U1683" s="8">
        <v>13.3</v>
      </c>
      <c r="V1683" s="8">
        <v>0.9</v>
      </c>
      <c r="W1683" s="8">
        <v>0.9</v>
      </c>
      <c r="Y1683" s="8" t="s">
        <v>7794</v>
      </c>
      <c r="Z1683" s="8" t="s">
        <v>7795</v>
      </c>
    </row>
    <row r="1684" spans="1:26" x14ac:dyDescent="0.2">
      <c r="A1684" s="8">
        <v>1683</v>
      </c>
      <c r="B1684" s="8" t="s">
        <v>7796</v>
      </c>
      <c r="C1684" s="8" t="s">
        <v>7796</v>
      </c>
      <c r="F1684" s="47"/>
      <c r="G1684" s="8">
        <v>18</v>
      </c>
      <c r="H1684" s="8" t="s">
        <v>21</v>
      </c>
      <c r="I1684" s="8" t="s">
        <v>22</v>
      </c>
      <c r="J1684" s="8" t="s">
        <v>22</v>
      </c>
      <c r="K1684" s="8" t="s">
        <v>91</v>
      </c>
      <c r="L1684" s="8" t="s">
        <v>7698</v>
      </c>
      <c r="M1684" s="8" t="s">
        <v>7699</v>
      </c>
      <c r="N1684" s="8" t="s">
        <v>7797</v>
      </c>
      <c r="O1684" s="8">
        <f>4+52/60+17.5/3600</f>
        <v>4.8715277777777786</v>
      </c>
      <c r="P1684" s="8" t="s">
        <v>7798</v>
      </c>
      <c r="Q1684" s="8">
        <f>-(3+1/60+27/3600)</f>
        <v>-3.0241666666666664</v>
      </c>
      <c r="R1684" s="8">
        <v>14.7</v>
      </c>
      <c r="S1684" s="8">
        <v>15.6</v>
      </c>
      <c r="T1684" s="8">
        <v>0.9</v>
      </c>
      <c r="U1684" s="8">
        <v>13.6</v>
      </c>
      <c r="V1684" s="8">
        <v>1</v>
      </c>
      <c r="W1684" s="8">
        <v>0.4</v>
      </c>
      <c r="X1684" s="8">
        <v>162</v>
      </c>
      <c r="Y1684" s="8" t="s">
        <v>1250</v>
      </c>
      <c r="Z1684" s="8" t="s">
        <v>1251</v>
      </c>
    </row>
    <row r="1685" spans="1:26" x14ac:dyDescent="0.2">
      <c r="A1685" s="8">
        <v>1684</v>
      </c>
      <c r="B1685" s="8" t="s">
        <v>7799</v>
      </c>
      <c r="C1685" s="8" t="s">
        <v>7799</v>
      </c>
      <c r="F1685" s="47" t="s">
        <v>56380</v>
      </c>
      <c r="G1685" s="8">
        <v>15</v>
      </c>
      <c r="H1685" s="8" t="s">
        <v>21</v>
      </c>
      <c r="I1685" s="8" t="s">
        <v>22</v>
      </c>
      <c r="J1685" s="8" t="s">
        <v>22</v>
      </c>
      <c r="K1685" s="8" t="s">
        <v>1136</v>
      </c>
      <c r="L1685" s="8" t="s">
        <v>7698</v>
      </c>
      <c r="M1685" s="8" t="s">
        <v>7699</v>
      </c>
      <c r="N1685" s="8" t="s">
        <v>7800</v>
      </c>
      <c r="O1685" s="8">
        <f>4+52/60+31.1/3600</f>
        <v>4.8753055555555562</v>
      </c>
      <c r="P1685" s="8" t="s">
        <v>7801</v>
      </c>
      <c r="Q1685" s="8">
        <f>-(3+6/60+20/3600)</f>
        <v>-3.1055555555555556</v>
      </c>
      <c r="R1685" s="8">
        <v>12</v>
      </c>
      <c r="S1685" s="8">
        <v>13</v>
      </c>
      <c r="T1685" s="8">
        <v>1</v>
      </c>
      <c r="U1685" s="8">
        <v>13.5</v>
      </c>
      <c r="V1685" s="8">
        <v>2.2000000000000002</v>
      </c>
      <c r="W1685" s="8">
        <v>1.7</v>
      </c>
      <c r="X1685" s="8">
        <v>93</v>
      </c>
      <c r="Y1685" s="8" t="s">
        <v>7802</v>
      </c>
      <c r="Z1685" s="8" t="s">
        <v>7803</v>
      </c>
    </row>
    <row r="1686" spans="1:26" x14ac:dyDescent="0.2">
      <c r="A1686" s="8">
        <v>1685</v>
      </c>
      <c r="B1686" s="8" t="s">
        <v>7804</v>
      </c>
      <c r="C1686" s="8" t="s">
        <v>7804</v>
      </c>
      <c r="F1686" s="47"/>
      <c r="G1686" s="8">
        <v>18</v>
      </c>
      <c r="H1686" s="8" t="s">
        <v>21</v>
      </c>
      <c r="I1686" s="8" t="s">
        <v>22</v>
      </c>
      <c r="J1686" s="8" t="s">
        <v>22</v>
      </c>
      <c r="K1686" s="8" t="s">
        <v>435</v>
      </c>
      <c r="L1686" s="8" t="s">
        <v>7698</v>
      </c>
      <c r="M1686" s="8" t="s">
        <v>7699</v>
      </c>
      <c r="N1686" s="8" t="s">
        <v>7805</v>
      </c>
      <c r="O1686" s="8">
        <f>4+52/60+34.2/3600</f>
        <v>4.8761666666666672</v>
      </c>
      <c r="P1686" s="8" t="s">
        <v>7806</v>
      </c>
      <c r="Q1686" s="8">
        <f>-(2+56/60+59/3600)</f>
        <v>-2.9497222222222224</v>
      </c>
      <c r="R1686" s="8">
        <v>14.1</v>
      </c>
      <c r="S1686" s="8">
        <v>15</v>
      </c>
      <c r="T1686" s="8">
        <v>0.9</v>
      </c>
      <c r="U1686" s="8">
        <v>14.1</v>
      </c>
      <c r="V1686" s="8">
        <v>1.3</v>
      </c>
      <c r="W1686" s="8">
        <v>0.9</v>
      </c>
      <c r="X1686" s="8">
        <v>135</v>
      </c>
      <c r="Y1686" s="8" t="s">
        <v>2802</v>
      </c>
      <c r="Z1686" s="8" t="s">
        <v>1021</v>
      </c>
    </row>
    <row r="1687" spans="1:26" x14ac:dyDescent="0.2">
      <c r="A1687" s="8">
        <v>1686</v>
      </c>
      <c r="B1687" s="8" t="s">
        <v>7807</v>
      </c>
      <c r="C1687" s="8" t="s">
        <v>7807</v>
      </c>
      <c r="F1687" s="47"/>
      <c r="G1687" s="8">
        <v>19</v>
      </c>
      <c r="H1687" s="8" t="s">
        <v>21</v>
      </c>
      <c r="I1687" s="8" t="s">
        <v>22</v>
      </c>
      <c r="J1687" s="8" t="s">
        <v>22</v>
      </c>
      <c r="K1687" s="8" t="s">
        <v>396</v>
      </c>
      <c r="L1687" s="8" t="s">
        <v>3328</v>
      </c>
      <c r="M1687" s="8" t="s">
        <v>3329</v>
      </c>
      <c r="N1687" s="8" t="s">
        <v>7808</v>
      </c>
      <c r="O1687" s="8">
        <f>4+52/60+54.7/3600</f>
        <v>4.8818611111111112</v>
      </c>
      <c r="P1687" s="8" t="s">
        <v>7809</v>
      </c>
      <c r="Q1687" s="8">
        <f>-(15+20/60+47/3600)</f>
        <v>-15.346388888888889</v>
      </c>
      <c r="R1687" s="8">
        <v>13.7</v>
      </c>
      <c r="S1687" s="8">
        <v>14.5</v>
      </c>
      <c r="T1687" s="8">
        <v>0.8</v>
      </c>
      <c r="U1687" s="8">
        <v>12.8</v>
      </c>
      <c r="V1687" s="8">
        <v>1.7</v>
      </c>
      <c r="W1687" s="8">
        <v>0.3</v>
      </c>
      <c r="X1687" s="8">
        <v>27</v>
      </c>
      <c r="Y1687" s="8" t="s">
        <v>7810</v>
      </c>
      <c r="Z1687" s="8" t="s">
        <v>7811</v>
      </c>
    </row>
    <row r="1688" spans="1:26" x14ac:dyDescent="0.2">
      <c r="A1688" s="8">
        <v>1687</v>
      </c>
      <c r="B1688" s="8" t="s">
        <v>7812</v>
      </c>
      <c r="C1688" s="8" t="s">
        <v>7812</v>
      </c>
      <c r="F1688" s="47"/>
      <c r="G1688" s="8">
        <v>16</v>
      </c>
      <c r="H1688" s="8" t="s">
        <v>21</v>
      </c>
      <c r="I1688" s="8" t="s">
        <v>22</v>
      </c>
      <c r="J1688" s="8" t="s">
        <v>22</v>
      </c>
      <c r="K1688" s="8" t="s">
        <v>406</v>
      </c>
      <c r="L1688" s="8" t="s">
        <v>7243</v>
      </c>
      <c r="M1688" s="8" t="s">
        <v>7244</v>
      </c>
      <c r="N1688" s="8" t="s">
        <v>7813</v>
      </c>
      <c r="O1688" s="8">
        <f>4+51/60+21.1/3600</f>
        <v>4.8558611111111105</v>
      </c>
      <c r="P1688" s="8" t="s">
        <v>7814</v>
      </c>
      <c r="Q1688" s="8">
        <f>-(33+56/60+21/3600)</f>
        <v>-33.939166666666665</v>
      </c>
      <c r="R1688" s="8">
        <v>13.9</v>
      </c>
      <c r="S1688" s="8">
        <v>14.7</v>
      </c>
      <c r="T1688" s="8">
        <v>0.8</v>
      </c>
      <c r="U1688" s="8">
        <v>13.3</v>
      </c>
      <c r="V1688" s="8">
        <v>1.3</v>
      </c>
      <c r="W1688" s="8">
        <v>0.5</v>
      </c>
      <c r="X1688" s="8">
        <v>40</v>
      </c>
      <c r="Y1688" s="8" t="s">
        <v>7815</v>
      </c>
      <c r="Z1688" s="8" t="s">
        <v>7816</v>
      </c>
    </row>
    <row r="1689" spans="1:26" x14ac:dyDescent="0.2">
      <c r="A1689" s="8">
        <v>1688</v>
      </c>
      <c r="B1689" s="8" t="s">
        <v>7817</v>
      </c>
      <c r="C1689" s="8" t="s">
        <v>7817</v>
      </c>
      <c r="F1689" s="47"/>
      <c r="G1689" s="8">
        <v>13</v>
      </c>
      <c r="H1689" s="8" t="s">
        <v>21</v>
      </c>
      <c r="I1689" s="8" t="s">
        <v>22</v>
      </c>
      <c r="J1689" s="8" t="s">
        <v>22</v>
      </c>
      <c r="K1689" s="8" t="s">
        <v>64</v>
      </c>
      <c r="L1689" s="8" t="s">
        <v>55972</v>
      </c>
      <c r="M1689" s="8" t="s">
        <v>6970</v>
      </c>
      <c r="N1689" s="8" t="s">
        <v>7818</v>
      </c>
      <c r="O1689" s="8">
        <f>4+48/60+23.5/3600</f>
        <v>4.8065277777777773</v>
      </c>
      <c r="P1689" s="8" t="s">
        <v>7819</v>
      </c>
      <c r="Q1689" s="8">
        <f>-(59+48/60+0/3600)</f>
        <v>-59.8</v>
      </c>
      <c r="R1689" s="8">
        <v>12.1</v>
      </c>
      <c r="S1689" s="8">
        <v>12.8</v>
      </c>
      <c r="T1689" s="8">
        <v>0.7</v>
      </c>
      <c r="U1689" s="8">
        <v>13.7</v>
      </c>
      <c r="V1689" s="8">
        <v>2.4</v>
      </c>
      <c r="W1689" s="8">
        <v>1.9</v>
      </c>
      <c r="X1689" s="8">
        <v>177</v>
      </c>
      <c r="Y1689" s="8" t="s">
        <v>7820</v>
      </c>
      <c r="Z1689" s="8" t="s">
        <v>7821</v>
      </c>
    </row>
    <row r="1690" spans="1:26" x14ac:dyDescent="0.2">
      <c r="A1690" s="8">
        <v>1689</v>
      </c>
      <c r="B1690" s="8" t="s">
        <v>7822</v>
      </c>
      <c r="C1690" s="8" t="s">
        <v>7822</v>
      </c>
      <c r="F1690" s="47"/>
      <c r="G1690" s="8">
        <v>19</v>
      </c>
      <c r="H1690" s="8" t="s">
        <v>21</v>
      </c>
      <c r="I1690" s="8" t="s">
        <v>22</v>
      </c>
      <c r="J1690" s="8" t="s">
        <v>57</v>
      </c>
      <c r="K1690" s="8" t="s">
        <v>64</v>
      </c>
      <c r="L1690" s="8" t="s">
        <v>3328</v>
      </c>
      <c r="M1690" s="8" t="s">
        <v>3329</v>
      </c>
      <c r="N1690" s="8" t="s">
        <v>7732</v>
      </c>
      <c r="O1690" s="8">
        <f>4+48/60+37/3600</f>
        <v>4.8102777777777774</v>
      </c>
      <c r="P1690" s="8" t="s">
        <v>7733</v>
      </c>
      <c r="Q1690" s="8">
        <f>-(6+19/60+13/3600)</f>
        <v>-6.3202777777777772</v>
      </c>
      <c r="R1690" s="8">
        <v>12.1</v>
      </c>
      <c r="S1690" s="8">
        <v>12.8</v>
      </c>
      <c r="T1690" s="8">
        <v>0.7</v>
      </c>
      <c r="U1690" s="8">
        <v>12.9</v>
      </c>
      <c r="V1690" s="8">
        <v>1.4</v>
      </c>
      <c r="W1690" s="8">
        <v>1</v>
      </c>
      <c r="X1690" s="8">
        <v>20</v>
      </c>
      <c r="Y1690" s="8" t="s">
        <v>7734</v>
      </c>
      <c r="Z1690" s="8" t="s">
        <v>7823</v>
      </c>
    </row>
    <row r="1691" spans="1:26" x14ac:dyDescent="0.2">
      <c r="A1691" s="8">
        <v>1690</v>
      </c>
      <c r="B1691" s="8" t="s">
        <v>7824</v>
      </c>
      <c r="C1691" s="8" t="s">
        <v>7824</v>
      </c>
      <c r="F1691" s="47"/>
      <c r="G1691" s="8">
        <v>16</v>
      </c>
      <c r="H1691" s="8" t="s">
        <v>21</v>
      </c>
      <c r="I1691" s="8" t="s">
        <v>22</v>
      </c>
      <c r="J1691" s="8" t="s">
        <v>22</v>
      </c>
      <c r="K1691" s="8" t="s">
        <v>818</v>
      </c>
      <c r="L1691" s="8" t="s">
        <v>7698</v>
      </c>
      <c r="M1691" s="8" t="s">
        <v>7699</v>
      </c>
      <c r="N1691" s="8" t="s">
        <v>7825</v>
      </c>
      <c r="O1691" s="8">
        <f>4+54/60+19.3/3600</f>
        <v>4.9053611111111115</v>
      </c>
      <c r="P1691" s="8" t="s">
        <v>7826</v>
      </c>
      <c r="Q1691" s="8">
        <f>+(1+38/60+26/3600)</f>
        <v>1.6405555555555555</v>
      </c>
      <c r="R1691" s="8">
        <v>14.3</v>
      </c>
      <c r="S1691" s="8">
        <v>15.3</v>
      </c>
      <c r="T1691" s="8">
        <v>1</v>
      </c>
      <c r="U1691" s="8">
        <v>14.4</v>
      </c>
      <c r="V1691" s="8">
        <v>1</v>
      </c>
      <c r="W1691" s="8">
        <v>1</v>
      </c>
      <c r="Y1691" s="8" t="s">
        <v>7827</v>
      </c>
      <c r="Z1691" s="8" t="s">
        <v>7828</v>
      </c>
    </row>
    <row r="1692" spans="1:26" x14ac:dyDescent="0.2">
      <c r="A1692" s="8">
        <v>1691</v>
      </c>
      <c r="B1692" s="8" t="s">
        <v>7829</v>
      </c>
      <c r="C1692" s="8" t="s">
        <v>7829</v>
      </c>
      <c r="F1692" s="47"/>
      <c r="G1692" s="8">
        <v>18</v>
      </c>
      <c r="H1692" s="8" t="s">
        <v>21</v>
      </c>
      <c r="I1692" s="8" t="s">
        <v>22</v>
      </c>
      <c r="J1692" s="8" t="s">
        <v>22</v>
      </c>
      <c r="K1692" s="8" t="s">
        <v>435</v>
      </c>
      <c r="L1692" s="8" t="s">
        <v>7698</v>
      </c>
      <c r="M1692" s="8" t="s">
        <v>7699</v>
      </c>
      <c r="N1692" s="8" t="s">
        <v>7830</v>
      </c>
      <c r="O1692" s="8">
        <f>4+54/60+38.3/3600</f>
        <v>4.9106388888888892</v>
      </c>
      <c r="P1692" s="8" t="s">
        <v>7831</v>
      </c>
      <c r="Q1692" s="8">
        <f>+(3+16/60+4/3600)</f>
        <v>3.2677777777777779</v>
      </c>
      <c r="R1692" s="8">
        <v>12</v>
      </c>
      <c r="S1692" s="8">
        <v>12.9</v>
      </c>
      <c r="T1692" s="8">
        <v>0.9</v>
      </c>
      <c r="U1692" s="8">
        <v>13.4</v>
      </c>
      <c r="V1692" s="8">
        <v>2.2999999999999998</v>
      </c>
      <c r="W1692" s="8">
        <v>1.8</v>
      </c>
      <c r="X1692" s="8">
        <v>37</v>
      </c>
      <c r="Y1692" s="8" t="s">
        <v>7832</v>
      </c>
      <c r="Z1692" s="8" t="s">
        <v>7833</v>
      </c>
    </row>
    <row r="1693" spans="1:26" x14ac:dyDescent="0.2">
      <c r="A1693" s="8">
        <v>1692</v>
      </c>
      <c r="B1693" s="8" t="s">
        <v>7834</v>
      </c>
      <c r="C1693" s="8" t="s">
        <v>7834</v>
      </c>
      <c r="F1693" s="47"/>
      <c r="G1693" s="8">
        <v>19</v>
      </c>
      <c r="H1693" s="8" t="s">
        <v>21</v>
      </c>
      <c r="I1693" s="8" t="s">
        <v>22</v>
      </c>
      <c r="J1693" s="8" t="s">
        <v>22</v>
      </c>
      <c r="K1693" s="8" t="s">
        <v>37</v>
      </c>
      <c r="L1693" s="8" t="s">
        <v>3328</v>
      </c>
      <c r="M1693" s="8" t="s">
        <v>3329</v>
      </c>
      <c r="N1693" s="8" t="s">
        <v>7835</v>
      </c>
      <c r="O1693" s="8">
        <f>4+55/60+23.7/3600</f>
        <v>4.9232500000000003</v>
      </c>
      <c r="P1693" s="8" t="s">
        <v>7836</v>
      </c>
      <c r="Q1693" s="8">
        <f>-(20+34/60+16/3600)</f>
        <v>-20.571111111111112</v>
      </c>
      <c r="R1693" s="8">
        <v>13</v>
      </c>
      <c r="S1693" s="8">
        <v>14</v>
      </c>
      <c r="T1693" s="8">
        <v>1</v>
      </c>
      <c r="U1693" s="8">
        <v>13.4</v>
      </c>
      <c r="V1693" s="8">
        <v>1.3</v>
      </c>
      <c r="W1693" s="8">
        <v>1.2</v>
      </c>
      <c r="X1693" s="8">
        <v>5</v>
      </c>
      <c r="Y1693" s="8" t="s">
        <v>385</v>
      </c>
      <c r="Z1693" s="8" t="s">
        <v>386</v>
      </c>
    </row>
    <row r="1694" spans="1:26" x14ac:dyDescent="0.2">
      <c r="A1694" s="8">
        <v>1693</v>
      </c>
      <c r="B1694" s="8" t="s">
        <v>7837</v>
      </c>
      <c r="C1694" s="8" t="s">
        <v>7837</v>
      </c>
      <c r="F1694" s="47"/>
      <c r="G1694" s="8">
        <v>16</v>
      </c>
      <c r="H1694" s="8" t="s">
        <v>21</v>
      </c>
      <c r="I1694" s="8" t="s">
        <v>557</v>
      </c>
      <c r="J1694" s="8" t="s">
        <v>557</v>
      </c>
      <c r="K1694" s="8" t="s">
        <v>557</v>
      </c>
      <c r="L1694" s="8" t="s">
        <v>55972</v>
      </c>
      <c r="M1694" s="8" t="s">
        <v>6970</v>
      </c>
      <c r="N1694" s="8" t="s">
        <v>7838</v>
      </c>
      <c r="O1694" s="8">
        <f>4+47/60+38.8/3600</f>
        <v>4.7941111111111114</v>
      </c>
      <c r="P1694" s="8" t="s">
        <v>7839</v>
      </c>
      <c r="Q1694" s="8">
        <f>-(69+20/60+37/3600)</f>
        <v>-69.343611111111102</v>
      </c>
      <c r="R1694" s="8">
        <v>12.9</v>
      </c>
      <c r="S1694" s="8">
        <v>13.2</v>
      </c>
      <c r="T1694" s="8">
        <v>99</v>
      </c>
      <c r="U1694" s="8">
        <v>99</v>
      </c>
      <c r="V1694" s="8">
        <v>0.7</v>
      </c>
      <c r="Y1694" s="8" t="s">
        <v>895</v>
      </c>
      <c r="Z1694" s="8" t="s">
        <v>896</v>
      </c>
    </row>
    <row r="1695" spans="1:26" x14ac:dyDescent="0.2">
      <c r="A1695" s="8">
        <v>1694</v>
      </c>
      <c r="B1695" s="8" t="s">
        <v>7840</v>
      </c>
      <c r="C1695" s="8" t="s">
        <v>7840</v>
      </c>
      <c r="F1695" s="47"/>
      <c r="G1695" s="8">
        <v>19</v>
      </c>
      <c r="H1695" s="8" t="s">
        <v>21</v>
      </c>
      <c r="I1695" s="8" t="s">
        <v>22</v>
      </c>
      <c r="J1695" s="8" t="s">
        <v>22</v>
      </c>
      <c r="K1695" s="8" t="s">
        <v>160</v>
      </c>
      <c r="L1695" s="8" t="s">
        <v>3328</v>
      </c>
      <c r="M1695" s="8" t="s">
        <v>3329</v>
      </c>
      <c r="N1695" s="8" t="s">
        <v>7841</v>
      </c>
      <c r="O1695" s="8">
        <f>4+55/60+16.8/3600</f>
        <v>4.921333333333334</v>
      </c>
      <c r="P1695" s="8" t="s">
        <v>7842</v>
      </c>
      <c r="Q1695" s="8">
        <f>-(4+39/60+8/3600)</f>
        <v>-4.6522222222222229</v>
      </c>
      <c r="R1695" s="8">
        <v>14.3</v>
      </c>
      <c r="S1695" s="8">
        <v>15</v>
      </c>
      <c r="T1695" s="8">
        <v>0.7</v>
      </c>
      <c r="U1695" s="8">
        <v>14</v>
      </c>
      <c r="V1695" s="8">
        <v>1.2</v>
      </c>
      <c r="W1695" s="8">
        <v>0.7</v>
      </c>
      <c r="X1695" s="8">
        <v>34</v>
      </c>
      <c r="Y1695" s="8" t="s">
        <v>1709</v>
      </c>
      <c r="Z1695" s="8" t="s">
        <v>1710</v>
      </c>
    </row>
    <row r="1696" spans="1:26" x14ac:dyDescent="0.2">
      <c r="A1696" s="8">
        <v>1695</v>
      </c>
      <c r="B1696" s="8" t="s">
        <v>7843</v>
      </c>
      <c r="C1696" s="8" t="s">
        <v>7843</v>
      </c>
      <c r="F1696" s="47"/>
      <c r="G1696" s="8">
        <v>16</v>
      </c>
      <c r="H1696" s="8" t="s">
        <v>21</v>
      </c>
      <c r="I1696" s="8" t="s">
        <v>557</v>
      </c>
      <c r="J1696" s="8" t="s">
        <v>557</v>
      </c>
      <c r="K1696" s="8" t="s">
        <v>557</v>
      </c>
      <c r="L1696" s="8" t="s">
        <v>55972</v>
      </c>
      <c r="M1696" s="8" t="s">
        <v>6970</v>
      </c>
      <c r="N1696" s="8" t="s">
        <v>7844</v>
      </c>
      <c r="O1696" s="8">
        <f>4+47/60+44.5/3600</f>
        <v>4.795694444444444</v>
      </c>
      <c r="P1696" s="8" t="s">
        <v>7845</v>
      </c>
      <c r="Q1696" s="8">
        <f>-(69+22/60+26/3600)</f>
        <v>-69.373888888888885</v>
      </c>
      <c r="R1696" s="8">
        <v>12.2</v>
      </c>
      <c r="S1696" s="8">
        <v>12.5</v>
      </c>
      <c r="T1696" s="8">
        <v>99</v>
      </c>
      <c r="U1696" s="8">
        <v>99</v>
      </c>
      <c r="V1696" s="8">
        <v>1.5</v>
      </c>
      <c r="Y1696" s="8" t="s">
        <v>895</v>
      </c>
      <c r="Z1696" s="8" t="s">
        <v>896</v>
      </c>
    </row>
    <row r="1697" spans="1:26" x14ac:dyDescent="0.2">
      <c r="A1697" s="8">
        <v>1696</v>
      </c>
      <c r="B1697" s="8" t="s">
        <v>7846</v>
      </c>
      <c r="C1697" s="8" t="s">
        <v>7846</v>
      </c>
      <c r="F1697" s="47"/>
      <c r="G1697" s="8">
        <v>16</v>
      </c>
      <c r="H1697" s="8" t="s">
        <v>21</v>
      </c>
      <c r="I1697" s="8" t="s">
        <v>557</v>
      </c>
      <c r="J1697" s="8" t="s">
        <v>557</v>
      </c>
      <c r="K1697" s="8" t="s">
        <v>557</v>
      </c>
      <c r="L1697" s="8" t="s">
        <v>55972</v>
      </c>
      <c r="M1697" s="8" t="s">
        <v>6970</v>
      </c>
      <c r="N1697" s="8" t="s">
        <v>7847</v>
      </c>
      <c r="O1697" s="8">
        <f>4+48/60+30/3600</f>
        <v>4.8083333333333336</v>
      </c>
      <c r="P1697" s="8" t="s">
        <v>7848</v>
      </c>
      <c r="Q1697" s="8">
        <f>-(68+14/60+35/3600)</f>
        <v>-68.243055555555557</v>
      </c>
      <c r="R1697" s="8">
        <v>14</v>
      </c>
      <c r="S1697" s="8">
        <v>14.4</v>
      </c>
      <c r="T1697" s="8">
        <v>99</v>
      </c>
      <c r="U1697" s="8">
        <v>99</v>
      </c>
      <c r="V1697" s="8">
        <v>0.9</v>
      </c>
      <c r="Y1697" s="8" t="s">
        <v>7849</v>
      </c>
      <c r="Z1697" s="8" t="s">
        <v>7850</v>
      </c>
    </row>
    <row r="1698" spans="1:26" x14ac:dyDescent="0.2">
      <c r="A1698" s="8">
        <v>1697</v>
      </c>
      <c r="B1698" s="8" t="s">
        <v>7851</v>
      </c>
      <c r="C1698" s="8" t="s">
        <v>7851</v>
      </c>
      <c r="F1698" s="47"/>
      <c r="G1698" s="8">
        <v>16</v>
      </c>
      <c r="H1698" s="8" t="s">
        <v>21</v>
      </c>
      <c r="I1698" s="8" t="s">
        <v>557</v>
      </c>
      <c r="J1698" s="8" t="s">
        <v>557</v>
      </c>
      <c r="K1698" s="8" t="s">
        <v>557</v>
      </c>
      <c r="L1698" s="8" t="s">
        <v>55972</v>
      </c>
      <c r="M1698" s="8" t="s">
        <v>6970</v>
      </c>
      <c r="N1698" s="8" t="s">
        <v>7852</v>
      </c>
      <c r="O1698" s="8">
        <f>4+48/60+36.4/3600</f>
        <v>4.8101111111111106</v>
      </c>
      <c r="P1698" s="8" t="s">
        <v>7853</v>
      </c>
      <c r="Q1698" s="8">
        <f>-(68+33/60+29/3600)</f>
        <v>-68.558055555555555</v>
      </c>
      <c r="R1698" s="8">
        <v>12.6</v>
      </c>
      <c r="S1698" s="8">
        <v>13.2</v>
      </c>
      <c r="T1698" s="8">
        <v>99</v>
      </c>
      <c r="U1698" s="8">
        <v>99</v>
      </c>
      <c r="V1698" s="8">
        <v>2.6</v>
      </c>
      <c r="Y1698" s="8" t="s">
        <v>7854</v>
      </c>
      <c r="Z1698" s="8" t="s">
        <v>7855</v>
      </c>
    </row>
    <row r="1699" spans="1:26" x14ac:dyDescent="0.2">
      <c r="A1699" s="8">
        <v>1698</v>
      </c>
      <c r="B1699" s="8" t="s">
        <v>7856</v>
      </c>
      <c r="C1699" s="8" t="s">
        <v>7856</v>
      </c>
      <c r="F1699" s="47"/>
      <c r="G1699" s="8">
        <v>16</v>
      </c>
      <c r="H1699" s="8" t="s">
        <v>21</v>
      </c>
      <c r="I1699" s="8" t="s">
        <v>557</v>
      </c>
      <c r="J1699" s="8" t="s">
        <v>557</v>
      </c>
      <c r="K1699" s="8" t="s">
        <v>557</v>
      </c>
      <c r="L1699" s="8" t="s">
        <v>55972</v>
      </c>
      <c r="M1699" s="8" t="s">
        <v>6970</v>
      </c>
      <c r="N1699" s="8" t="s">
        <v>7857</v>
      </c>
      <c r="O1699" s="8">
        <f>4+49/60+4.5/3600</f>
        <v>4.8179166666666662</v>
      </c>
      <c r="P1699" s="8" t="s">
        <v>7858</v>
      </c>
      <c r="Q1699" s="8">
        <f>-(69+6/60+49/3600)</f>
        <v>-69.113611111111112</v>
      </c>
      <c r="R1699" s="8">
        <v>12.1</v>
      </c>
      <c r="S1699" s="8">
        <v>12.2</v>
      </c>
      <c r="T1699" s="8">
        <v>99</v>
      </c>
      <c r="U1699" s="8">
        <v>99</v>
      </c>
      <c r="V1699" s="8">
        <v>1.6</v>
      </c>
      <c r="Y1699" s="8" t="s">
        <v>7859</v>
      </c>
      <c r="Z1699" s="8" t="s">
        <v>7860</v>
      </c>
    </row>
    <row r="1700" spans="1:26" x14ac:dyDescent="0.2">
      <c r="A1700" s="8">
        <v>1699</v>
      </c>
      <c r="B1700" s="8" t="s">
        <v>7861</v>
      </c>
      <c r="C1700" s="8" t="s">
        <v>7861</v>
      </c>
      <c r="F1700" s="47"/>
      <c r="G1700" s="8">
        <v>19</v>
      </c>
      <c r="H1700" s="8" t="s">
        <v>21</v>
      </c>
      <c r="I1700" s="8" t="s">
        <v>22</v>
      </c>
      <c r="J1700" s="8" t="s">
        <v>22</v>
      </c>
      <c r="K1700" s="8" t="s">
        <v>23</v>
      </c>
      <c r="L1700" s="8" t="s">
        <v>3328</v>
      </c>
      <c r="M1700" s="8" t="s">
        <v>3329</v>
      </c>
      <c r="N1700" s="8" t="s">
        <v>7862</v>
      </c>
      <c r="O1700" s="8">
        <f>4+56/60+59.5/3600</f>
        <v>4.9498611111111117</v>
      </c>
      <c r="P1700" s="8" t="s">
        <v>7863</v>
      </c>
      <c r="Q1700" s="8">
        <f>-(4+45/60+26/3600)</f>
        <v>-4.7572222222222225</v>
      </c>
      <c r="R1700" s="8">
        <v>13.9</v>
      </c>
      <c r="S1700" s="8">
        <v>14.7</v>
      </c>
      <c r="T1700" s="8">
        <v>0.8</v>
      </c>
      <c r="U1700" s="8">
        <v>12.9</v>
      </c>
      <c r="V1700" s="8">
        <v>0.9</v>
      </c>
      <c r="W1700" s="8">
        <v>0.5</v>
      </c>
      <c r="X1700" s="8">
        <v>155</v>
      </c>
      <c r="Y1700" s="8" t="s">
        <v>7864</v>
      </c>
      <c r="Z1700" s="8" t="s">
        <v>7865</v>
      </c>
    </row>
    <row r="1701" spans="1:26" x14ac:dyDescent="0.2">
      <c r="A1701" s="8">
        <v>1700</v>
      </c>
      <c r="B1701" s="8" t="s">
        <v>7866</v>
      </c>
      <c r="C1701" s="8" t="s">
        <v>7866</v>
      </c>
      <c r="F1701" s="47" t="s">
        <v>56381</v>
      </c>
      <c r="G1701" s="8">
        <v>6.5</v>
      </c>
      <c r="H1701" s="8" t="s">
        <v>21</v>
      </c>
      <c r="I1701" s="8" t="s">
        <v>22</v>
      </c>
      <c r="J1701" s="8" t="s">
        <v>22</v>
      </c>
      <c r="K1701" s="8" t="s">
        <v>50</v>
      </c>
      <c r="L1701" s="8" t="s">
        <v>3328</v>
      </c>
      <c r="M1701" s="8" t="s">
        <v>3329</v>
      </c>
      <c r="N1701" s="8" t="s">
        <v>7867</v>
      </c>
      <c r="O1701" s="8">
        <f>4+56/60+56.2/3600</f>
        <v>4.9489444444444448</v>
      </c>
      <c r="P1701" s="8" t="s">
        <v>7868</v>
      </c>
      <c r="Q1701" s="8">
        <f>-(4+51/60+55/3600)</f>
        <v>-4.8652777777777771</v>
      </c>
      <c r="R1701" s="8">
        <v>11.2</v>
      </c>
      <c r="S1701" s="8">
        <v>12.2</v>
      </c>
      <c r="T1701" s="8">
        <v>1</v>
      </c>
      <c r="U1701" s="8">
        <v>13.3</v>
      </c>
      <c r="V1701" s="8">
        <v>3.3</v>
      </c>
      <c r="W1701" s="8">
        <v>2.1</v>
      </c>
      <c r="X1701" s="8">
        <v>120</v>
      </c>
      <c r="Y1701" s="8" t="s">
        <v>7869</v>
      </c>
      <c r="Z1701" s="8" t="s">
        <v>7870</v>
      </c>
    </row>
    <row r="1702" spans="1:26" x14ac:dyDescent="0.2">
      <c r="A1702" s="8">
        <v>1701</v>
      </c>
      <c r="B1702" s="8" t="s">
        <v>7871</v>
      </c>
      <c r="C1702" s="8" t="s">
        <v>7871</v>
      </c>
      <c r="F1702" s="47"/>
      <c r="G1702" s="8">
        <v>16</v>
      </c>
      <c r="H1702" s="8" t="s">
        <v>21</v>
      </c>
      <c r="I1702" s="8" t="s">
        <v>22</v>
      </c>
      <c r="J1702" s="8" t="s">
        <v>22</v>
      </c>
      <c r="K1702" s="8" t="s">
        <v>23</v>
      </c>
      <c r="L1702" s="8" t="s">
        <v>7243</v>
      </c>
      <c r="M1702" s="8" t="s">
        <v>7244</v>
      </c>
      <c r="N1702" s="8" t="s">
        <v>7872</v>
      </c>
      <c r="O1702" s="8">
        <f>4+55/60+51.1/3600</f>
        <v>4.9308611111111116</v>
      </c>
      <c r="P1702" s="8" t="s">
        <v>7873</v>
      </c>
      <c r="Q1702" s="8">
        <f>-(29+53/60+1/3600)</f>
        <v>-29.883611111111112</v>
      </c>
      <c r="R1702" s="8">
        <v>12.8</v>
      </c>
      <c r="S1702" s="8">
        <v>13.6</v>
      </c>
      <c r="T1702" s="8">
        <v>0.8</v>
      </c>
      <c r="U1702" s="8">
        <v>12.7</v>
      </c>
      <c r="V1702" s="8">
        <v>1.2</v>
      </c>
      <c r="W1702" s="8">
        <v>0.9</v>
      </c>
      <c r="X1702" s="8">
        <v>137</v>
      </c>
      <c r="Y1702" s="8" t="s">
        <v>7874</v>
      </c>
      <c r="Z1702" s="8" t="s">
        <v>7875</v>
      </c>
    </row>
    <row r="1703" spans="1:26" x14ac:dyDescent="0.2">
      <c r="A1703" s="8">
        <v>1702</v>
      </c>
      <c r="B1703" s="8" t="s">
        <v>7876</v>
      </c>
      <c r="C1703" s="8" t="s">
        <v>7876</v>
      </c>
      <c r="F1703" s="47"/>
      <c r="G1703" s="8">
        <v>16</v>
      </c>
      <c r="H1703" s="8" t="s">
        <v>21</v>
      </c>
      <c r="I1703" s="8" t="s">
        <v>557</v>
      </c>
      <c r="J1703" s="8" t="s">
        <v>557</v>
      </c>
      <c r="K1703" s="8" t="s">
        <v>557</v>
      </c>
      <c r="L1703" s="8" t="s">
        <v>7071</v>
      </c>
      <c r="M1703" s="8" t="s">
        <v>7072</v>
      </c>
      <c r="N1703" s="8" t="s">
        <v>7877</v>
      </c>
      <c r="O1703" s="8">
        <f>4+49/60+27.7/3600</f>
        <v>4.8243611111111111</v>
      </c>
      <c r="P1703" s="8" t="s">
        <v>7878</v>
      </c>
      <c r="Q1703" s="8">
        <f>-(69+51/60+3/3600)</f>
        <v>-69.850833333333327</v>
      </c>
      <c r="R1703" s="8">
        <v>12.5</v>
      </c>
      <c r="S1703" s="8">
        <v>12.7</v>
      </c>
      <c r="T1703" s="8">
        <v>99</v>
      </c>
      <c r="U1703" s="8">
        <v>99</v>
      </c>
      <c r="V1703" s="8">
        <v>1</v>
      </c>
      <c r="Y1703" s="8" t="s">
        <v>7879</v>
      </c>
      <c r="Z1703" s="8" t="s">
        <v>7880</v>
      </c>
    </row>
    <row r="1704" spans="1:26" x14ac:dyDescent="0.2">
      <c r="A1704" s="8">
        <v>1703</v>
      </c>
      <c r="B1704" s="8" t="s">
        <v>7881</v>
      </c>
      <c r="C1704" s="8" t="s">
        <v>7881</v>
      </c>
      <c r="F1704" s="47"/>
      <c r="G1704" s="8">
        <v>16</v>
      </c>
      <c r="H1704" s="8" t="s">
        <v>21</v>
      </c>
      <c r="I1704" s="8" t="s">
        <v>22</v>
      </c>
      <c r="J1704" s="8" t="s">
        <v>22</v>
      </c>
      <c r="K1704" s="8" t="s">
        <v>218</v>
      </c>
      <c r="L1704" s="8" t="s">
        <v>55972</v>
      </c>
      <c r="M1704" s="8" t="s">
        <v>6970</v>
      </c>
      <c r="N1704" s="8" t="s">
        <v>7882</v>
      </c>
      <c r="O1704" s="8">
        <f>4+52/60+51.9/3600</f>
        <v>4.8810833333333337</v>
      </c>
      <c r="P1704" s="8" t="s">
        <v>7883</v>
      </c>
      <c r="Q1704" s="8">
        <f>-(59+44/60+34/3600)</f>
        <v>-59.742777777777782</v>
      </c>
      <c r="R1704" s="8">
        <v>11.3</v>
      </c>
      <c r="S1704" s="8">
        <v>11.9</v>
      </c>
      <c r="T1704" s="8">
        <v>0.6</v>
      </c>
      <c r="U1704" s="8">
        <v>13.4</v>
      </c>
      <c r="V1704" s="8">
        <v>2.9</v>
      </c>
      <c r="W1704" s="8">
        <v>2.6</v>
      </c>
      <c r="X1704" s="8">
        <v>6</v>
      </c>
      <c r="Y1704" s="8" t="s">
        <v>7884</v>
      </c>
      <c r="Z1704" s="8" t="s">
        <v>7885</v>
      </c>
    </row>
    <row r="1705" spans="1:26" x14ac:dyDescent="0.2">
      <c r="A1705" s="8">
        <v>1704</v>
      </c>
      <c r="B1705" s="8" t="s">
        <v>7886</v>
      </c>
      <c r="C1705" s="8" t="s">
        <v>7886</v>
      </c>
      <c r="F1705" s="47"/>
      <c r="G1705" s="8">
        <v>16</v>
      </c>
      <c r="H1705" s="8" t="s">
        <v>21</v>
      </c>
      <c r="I1705" s="8" t="s">
        <v>557</v>
      </c>
      <c r="J1705" s="8" t="s">
        <v>557</v>
      </c>
      <c r="K1705" s="8" t="s">
        <v>557</v>
      </c>
      <c r="L1705" s="8" t="s">
        <v>55972</v>
      </c>
      <c r="M1705" s="8" t="s">
        <v>6970</v>
      </c>
      <c r="N1705" s="8" t="s">
        <v>7777</v>
      </c>
      <c r="O1705" s="8">
        <f>4+49/60+55.5/3600</f>
        <v>4.8320833333333333</v>
      </c>
      <c r="P1705" s="8" t="s">
        <v>7887</v>
      </c>
      <c r="Q1705" s="8">
        <f>-(69+45/60+23/3600)</f>
        <v>-69.756388888888893</v>
      </c>
      <c r="R1705" s="8">
        <v>11.5</v>
      </c>
      <c r="S1705" s="8">
        <v>99</v>
      </c>
      <c r="T1705" s="8">
        <v>99</v>
      </c>
      <c r="U1705" s="8">
        <v>99</v>
      </c>
      <c r="V1705" s="8">
        <v>1.7</v>
      </c>
      <c r="Y1705" s="8" t="s">
        <v>7888</v>
      </c>
      <c r="Z1705" s="8" t="s">
        <v>7889</v>
      </c>
    </row>
    <row r="1706" spans="1:26" x14ac:dyDescent="0.2">
      <c r="A1706" s="8">
        <v>1705</v>
      </c>
      <c r="B1706" s="8" t="s">
        <v>7890</v>
      </c>
      <c r="C1706" s="8" t="s">
        <v>7890</v>
      </c>
      <c r="F1706" s="47"/>
      <c r="G1706" s="8">
        <v>13</v>
      </c>
      <c r="H1706" s="8" t="s">
        <v>21</v>
      </c>
      <c r="I1706" s="8" t="s">
        <v>22</v>
      </c>
      <c r="J1706" s="8" t="s">
        <v>22</v>
      </c>
      <c r="K1706" s="8" t="s">
        <v>58</v>
      </c>
      <c r="L1706" s="8" t="s">
        <v>7782</v>
      </c>
      <c r="M1706" s="8" t="s">
        <v>7783</v>
      </c>
      <c r="N1706" s="8" t="s">
        <v>7891</v>
      </c>
      <c r="O1706" s="8">
        <f>4+54/60+13.9/3600</f>
        <v>4.9038611111111114</v>
      </c>
      <c r="P1706" s="8" t="s">
        <v>7892</v>
      </c>
      <c r="Q1706" s="8">
        <f>-(53+21/60+38/3600)</f>
        <v>-53.360555555555557</v>
      </c>
      <c r="R1706" s="8">
        <v>12.4</v>
      </c>
      <c r="S1706" s="8">
        <v>12.8</v>
      </c>
      <c r="T1706" s="8">
        <v>0.4</v>
      </c>
      <c r="U1706" s="8">
        <v>13.3</v>
      </c>
      <c r="V1706" s="8">
        <v>1.9</v>
      </c>
      <c r="W1706" s="8">
        <v>1.4</v>
      </c>
      <c r="X1706" s="8">
        <v>50</v>
      </c>
      <c r="Y1706" s="8" t="s">
        <v>7893</v>
      </c>
      <c r="Z1706" s="8" t="s">
        <v>7894</v>
      </c>
    </row>
    <row r="1707" spans="1:26" x14ac:dyDescent="0.2">
      <c r="A1707" s="8">
        <v>1706</v>
      </c>
      <c r="B1707" s="8" t="s">
        <v>7895</v>
      </c>
      <c r="C1707" s="8" t="s">
        <v>7895</v>
      </c>
      <c r="F1707" s="47"/>
      <c r="G1707" s="8">
        <v>16</v>
      </c>
      <c r="H1707" s="8" t="s">
        <v>21</v>
      </c>
      <c r="I1707" s="8" t="s">
        <v>22</v>
      </c>
      <c r="J1707" s="8" t="s">
        <v>22</v>
      </c>
      <c r="K1707" s="8" t="s">
        <v>31</v>
      </c>
      <c r="L1707" s="8" t="s">
        <v>55972</v>
      </c>
      <c r="M1707" s="8" t="s">
        <v>6970</v>
      </c>
      <c r="N1707" s="8" t="s">
        <v>7800</v>
      </c>
      <c r="O1707" s="8">
        <f>4+52/60+31.1/3600</f>
        <v>4.8753055555555562</v>
      </c>
      <c r="P1707" s="8" t="s">
        <v>7896</v>
      </c>
      <c r="Q1707" s="8">
        <f>-(62+59/60+10/3600)</f>
        <v>-62.986111111111114</v>
      </c>
      <c r="R1707" s="8">
        <v>12.6</v>
      </c>
      <c r="S1707" s="8">
        <v>13.5</v>
      </c>
      <c r="T1707" s="8">
        <v>0.9</v>
      </c>
      <c r="U1707" s="8">
        <v>12.8</v>
      </c>
      <c r="V1707" s="8">
        <v>1.4</v>
      </c>
      <c r="W1707" s="8">
        <v>1</v>
      </c>
      <c r="X1707" s="8">
        <v>124</v>
      </c>
      <c r="Y1707" s="8" t="s">
        <v>7897</v>
      </c>
      <c r="Z1707" s="8" t="s">
        <v>7898</v>
      </c>
    </row>
    <row r="1708" spans="1:26" x14ac:dyDescent="0.2">
      <c r="A1708" s="8">
        <v>1707</v>
      </c>
      <c r="B1708" s="8" t="s">
        <v>7899</v>
      </c>
      <c r="C1708" s="8" t="s">
        <v>7899</v>
      </c>
      <c r="F1708" s="47"/>
      <c r="G1708" s="8">
        <v>16</v>
      </c>
      <c r="H1708" s="8" t="s">
        <v>21</v>
      </c>
      <c r="I1708" s="8" t="s">
        <v>72</v>
      </c>
      <c r="J1708" s="8" t="s">
        <v>72</v>
      </c>
      <c r="K1708" s="8" t="s">
        <v>1405</v>
      </c>
      <c r="L1708" s="8" t="s">
        <v>7698</v>
      </c>
      <c r="M1708" s="8" t="s">
        <v>7699</v>
      </c>
      <c r="N1708" s="8" t="s">
        <v>7900</v>
      </c>
      <c r="O1708" s="8">
        <f>4+58/60+21.1/3600</f>
        <v>4.9725277777777777</v>
      </c>
      <c r="P1708" s="8" t="s">
        <v>7901</v>
      </c>
      <c r="Q1708" s="8">
        <f>+(8+14/60+20/3600)</f>
        <v>8.2388888888888889</v>
      </c>
      <c r="R1708" s="8">
        <v>99</v>
      </c>
      <c r="S1708" s="8">
        <v>99</v>
      </c>
      <c r="T1708" s="8">
        <v>99</v>
      </c>
      <c r="U1708" s="8">
        <v>99</v>
      </c>
      <c r="V1708" s="8">
        <v>1</v>
      </c>
      <c r="Y1708" s="8" t="s">
        <v>7902</v>
      </c>
      <c r="Z1708" s="8" t="s">
        <v>7903</v>
      </c>
    </row>
    <row r="1709" spans="1:26" x14ac:dyDescent="0.2">
      <c r="A1709" s="8">
        <v>1708</v>
      </c>
      <c r="B1709" s="8" t="s">
        <v>7904</v>
      </c>
      <c r="C1709" s="8" t="s">
        <v>7904</v>
      </c>
      <c r="F1709" s="47"/>
      <c r="G1709" s="8">
        <v>12</v>
      </c>
      <c r="H1709" s="8" t="s">
        <v>21</v>
      </c>
      <c r="I1709" s="8" t="s">
        <v>557</v>
      </c>
      <c r="J1709" s="8" t="s">
        <v>557</v>
      </c>
      <c r="K1709" s="8" t="s">
        <v>557</v>
      </c>
      <c r="L1709" s="8" t="s">
        <v>6823</v>
      </c>
      <c r="M1709" s="8" t="s">
        <v>6824</v>
      </c>
      <c r="N1709" s="8" t="s">
        <v>7905</v>
      </c>
      <c r="O1709" s="8">
        <f>5+3/60+27/3600</f>
        <v>5.0575000000000001</v>
      </c>
      <c r="P1709" s="8" t="s">
        <v>7906</v>
      </c>
      <c r="Q1709" s="8">
        <f>+(52+50/60+0/3600)</f>
        <v>52.833333333333336</v>
      </c>
      <c r="R1709" s="8">
        <v>99</v>
      </c>
      <c r="S1709" s="8">
        <v>99</v>
      </c>
      <c r="T1709" s="8">
        <v>99</v>
      </c>
      <c r="U1709" s="8">
        <v>99</v>
      </c>
      <c r="V1709" s="8">
        <v>20</v>
      </c>
      <c r="Y1709" s="8" t="s">
        <v>7907</v>
      </c>
      <c r="Z1709" s="8" t="s">
        <v>7908</v>
      </c>
    </row>
    <row r="1710" spans="1:26" x14ac:dyDescent="0.2">
      <c r="A1710" s="8">
        <v>1709</v>
      </c>
      <c r="B1710" s="8" t="s">
        <v>7909</v>
      </c>
      <c r="C1710" s="8" t="s">
        <v>7909</v>
      </c>
      <c r="F1710" s="47"/>
      <c r="G1710" s="8">
        <v>18</v>
      </c>
      <c r="H1710" s="8" t="s">
        <v>21</v>
      </c>
      <c r="I1710" s="8" t="s">
        <v>22</v>
      </c>
      <c r="J1710" s="8" t="s">
        <v>22</v>
      </c>
      <c r="K1710" s="8" t="s">
        <v>37</v>
      </c>
      <c r="L1710" s="8" t="s">
        <v>7698</v>
      </c>
      <c r="M1710" s="8" t="s">
        <v>7699</v>
      </c>
      <c r="N1710" s="8" t="s">
        <v>7910</v>
      </c>
      <c r="O1710" s="8">
        <f>4+58/60+44/3600</f>
        <v>4.9788888888888891</v>
      </c>
      <c r="P1710" s="8" t="s">
        <v>7911</v>
      </c>
      <c r="Q1710" s="8">
        <f>-(0+28/60+40/3600)</f>
        <v>-0.4777777777777778</v>
      </c>
      <c r="R1710" s="8">
        <v>14.2</v>
      </c>
      <c r="S1710" s="8">
        <v>15.2</v>
      </c>
      <c r="T1710" s="8">
        <v>1</v>
      </c>
      <c r="U1710" s="8">
        <v>13.6</v>
      </c>
      <c r="V1710" s="8">
        <v>0.9</v>
      </c>
      <c r="W1710" s="8">
        <v>0.7</v>
      </c>
      <c r="X1710" s="8">
        <v>49</v>
      </c>
      <c r="Y1710" s="8" t="s">
        <v>7912</v>
      </c>
      <c r="Z1710" s="8" t="s">
        <v>7913</v>
      </c>
    </row>
    <row r="1711" spans="1:26" x14ac:dyDescent="0.2">
      <c r="A1711" s="8">
        <v>1710</v>
      </c>
      <c r="B1711" s="8" t="s">
        <v>7914</v>
      </c>
      <c r="C1711" s="8" t="s">
        <v>7914</v>
      </c>
      <c r="F1711" s="47"/>
      <c r="G1711" s="8">
        <v>19</v>
      </c>
      <c r="H1711" s="8" t="s">
        <v>21</v>
      </c>
      <c r="I1711" s="8" t="s">
        <v>22</v>
      </c>
      <c r="J1711" s="8" t="s">
        <v>22</v>
      </c>
      <c r="K1711" s="8" t="s">
        <v>58</v>
      </c>
      <c r="L1711" s="8" t="s">
        <v>7915</v>
      </c>
      <c r="M1711" s="8" t="s">
        <v>7916</v>
      </c>
      <c r="N1711" s="8" t="s">
        <v>7917</v>
      </c>
      <c r="O1711" s="8">
        <f>4+57/60+16.8/3600</f>
        <v>4.9546666666666672</v>
      </c>
      <c r="P1711" s="8" t="s">
        <v>7918</v>
      </c>
      <c r="Q1711" s="8">
        <f>-(15+17/60+20/3600)</f>
        <v>-15.28888888888889</v>
      </c>
      <c r="R1711" s="8">
        <v>12.7</v>
      </c>
      <c r="S1711" s="8">
        <v>13.7</v>
      </c>
      <c r="T1711" s="8">
        <v>1</v>
      </c>
      <c r="U1711" s="8">
        <v>13.2</v>
      </c>
      <c r="V1711" s="8">
        <v>1.3</v>
      </c>
      <c r="W1711" s="8">
        <v>1</v>
      </c>
      <c r="X1711" s="8">
        <v>15</v>
      </c>
      <c r="Y1711" s="8" t="s">
        <v>7919</v>
      </c>
      <c r="Z1711" s="8" t="s">
        <v>7920</v>
      </c>
    </row>
    <row r="1712" spans="1:26" x14ac:dyDescent="0.2">
      <c r="A1712" s="8">
        <v>1711</v>
      </c>
      <c r="B1712" s="8" t="s">
        <v>7921</v>
      </c>
      <c r="C1712" s="8" t="s">
        <v>7921</v>
      </c>
      <c r="F1712" s="47"/>
      <c r="G1712" s="8">
        <v>16</v>
      </c>
      <c r="H1712" s="8" t="s">
        <v>21</v>
      </c>
      <c r="I1712" s="8" t="s">
        <v>557</v>
      </c>
      <c r="J1712" s="8" t="s">
        <v>557</v>
      </c>
      <c r="K1712" s="8" t="s">
        <v>557</v>
      </c>
      <c r="L1712" s="8" t="s">
        <v>7071</v>
      </c>
      <c r="M1712" s="8" t="s">
        <v>7072</v>
      </c>
      <c r="N1712" s="8" t="s">
        <v>7922</v>
      </c>
      <c r="O1712" s="8">
        <f>4+50/60+36.2/3600</f>
        <v>4.8433888888888887</v>
      </c>
      <c r="P1712" s="8" t="s">
        <v>7923</v>
      </c>
      <c r="Q1712" s="8">
        <f>-(69+59/60+8/3600)</f>
        <v>-69.98555555555555</v>
      </c>
      <c r="R1712" s="8">
        <v>10.1</v>
      </c>
      <c r="S1712" s="8">
        <v>99</v>
      </c>
      <c r="T1712" s="8">
        <v>99</v>
      </c>
      <c r="U1712" s="8">
        <v>99</v>
      </c>
      <c r="V1712" s="8">
        <v>2.4</v>
      </c>
      <c r="Y1712" s="8" t="s">
        <v>7924</v>
      </c>
      <c r="Z1712" s="8" t="s">
        <v>7925</v>
      </c>
    </row>
    <row r="1713" spans="1:26" x14ac:dyDescent="0.2">
      <c r="A1713" s="8">
        <v>1712</v>
      </c>
      <c r="B1713" s="8" t="s">
        <v>7926</v>
      </c>
      <c r="C1713" s="8" t="s">
        <v>7926</v>
      </c>
      <c r="F1713" s="47"/>
      <c r="G1713" s="8">
        <v>16</v>
      </c>
      <c r="H1713" s="8" t="s">
        <v>21</v>
      </c>
      <c r="I1713" s="8" t="s">
        <v>557</v>
      </c>
      <c r="J1713" s="8" t="s">
        <v>557</v>
      </c>
      <c r="K1713" s="8" t="s">
        <v>557</v>
      </c>
      <c r="L1713" s="8" t="s">
        <v>55972</v>
      </c>
      <c r="M1713" s="8" t="s">
        <v>6970</v>
      </c>
      <c r="N1713" s="8" t="s">
        <v>7927</v>
      </c>
      <c r="O1713" s="8">
        <f>4+50/60+58.5/3600</f>
        <v>4.8495833333333334</v>
      </c>
      <c r="P1713" s="8" t="s">
        <v>7928</v>
      </c>
      <c r="Q1713" s="8">
        <f>-(69+24/60+27/3600)</f>
        <v>-69.407499999999999</v>
      </c>
      <c r="R1713" s="8">
        <v>99</v>
      </c>
      <c r="S1713" s="8">
        <v>99</v>
      </c>
      <c r="T1713" s="8">
        <v>99</v>
      </c>
      <c r="U1713" s="8">
        <v>99</v>
      </c>
      <c r="V1713" s="8">
        <v>2.5</v>
      </c>
      <c r="Y1713" s="8" t="s">
        <v>7929</v>
      </c>
      <c r="Z1713" s="8" t="s">
        <v>7930</v>
      </c>
    </row>
    <row r="1714" spans="1:26" x14ac:dyDescent="0.2">
      <c r="A1714" s="8">
        <v>1713</v>
      </c>
      <c r="B1714" s="8" t="s">
        <v>7931</v>
      </c>
      <c r="C1714" s="8" t="s">
        <v>7931</v>
      </c>
      <c r="F1714" s="47" t="s">
        <v>56382</v>
      </c>
      <c r="G1714" s="8">
        <v>15</v>
      </c>
      <c r="H1714" s="8" t="s">
        <v>21</v>
      </c>
      <c r="I1714" s="8" t="s">
        <v>22</v>
      </c>
      <c r="J1714" s="8" t="s">
        <v>22</v>
      </c>
      <c r="K1714" s="8" t="s">
        <v>183</v>
      </c>
      <c r="L1714" s="8" t="s">
        <v>7698</v>
      </c>
      <c r="M1714" s="8" t="s">
        <v>7699</v>
      </c>
      <c r="N1714" s="8" t="s">
        <v>7932</v>
      </c>
      <c r="O1714" s="8">
        <f>4+58/60+54.7/3600</f>
        <v>4.9818611111111109</v>
      </c>
      <c r="P1714" s="8" t="s">
        <v>7933</v>
      </c>
      <c r="Q1714" s="8">
        <f>-(0+29/60+19/3600)</f>
        <v>-0.48861111111111111</v>
      </c>
      <c r="R1714" s="8">
        <v>12.7</v>
      </c>
      <c r="S1714" s="8">
        <v>13.9</v>
      </c>
      <c r="T1714" s="8">
        <v>1.2</v>
      </c>
      <c r="U1714" s="8">
        <v>13.1</v>
      </c>
      <c r="V1714" s="8">
        <v>1.4</v>
      </c>
      <c r="W1714" s="8">
        <v>1.2</v>
      </c>
      <c r="X1714" s="8">
        <v>45</v>
      </c>
      <c r="Y1714" s="8" t="s">
        <v>2641</v>
      </c>
      <c r="Z1714" s="8" t="s">
        <v>2642</v>
      </c>
    </row>
    <row r="1715" spans="1:26" x14ac:dyDescent="0.2">
      <c r="A1715" s="8">
        <v>1714</v>
      </c>
      <c r="B1715" s="8" t="s">
        <v>7934</v>
      </c>
      <c r="C1715" s="8" t="s">
        <v>7934</v>
      </c>
      <c r="F1715" s="47"/>
      <c r="G1715" s="8">
        <v>13</v>
      </c>
      <c r="H1715" s="8" t="s">
        <v>21</v>
      </c>
      <c r="I1715" s="8" t="s">
        <v>1283</v>
      </c>
      <c r="J1715" s="8" t="s">
        <v>1283</v>
      </c>
      <c r="K1715" s="8" t="s">
        <v>1284</v>
      </c>
      <c r="L1715" s="8" t="s">
        <v>55972</v>
      </c>
      <c r="M1715" s="8" t="s">
        <v>6970</v>
      </c>
      <c r="N1715" s="8" t="s">
        <v>7935</v>
      </c>
      <c r="O1715" s="8">
        <f>4+52/60+8.4/3600</f>
        <v>4.8690000000000007</v>
      </c>
      <c r="P1715" s="8" t="s">
        <v>7936</v>
      </c>
      <c r="Q1715" s="8">
        <f>-(66+55/60+32/3600)</f>
        <v>-66.925555555555562</v>
      </c>
      <c r="R1715" s="8">
        <v>11.6</v>
      </c>
      <c r="S1715" s="8">
        <v>11.5</v>
      </c>
      <c r="T1715" s="8">
        <v>99</v>
      </c>
      <c r="U1715" s="8">
        <v>99</v>
      </c>
      <c r="V1715" s="8">
        <v>1.2</v>
      </c>
      <c r="Y1715" s="8" t="s">
        <v>7937</v>
      </c>
      <c r="Z1715" s="8" t="s">
        <v>7938</v>
      </c>
    </row>
    <row r="1716" spans="1:26" x14ac:dyDescent="0.2">
      <c r="A1716" s="8">
        <v>1715</v>
      </c>
      <c r="B1716" s="8" t="s">
        <v>7939</v>
      </c>
      <c r="C1716" s="8" t="s">
        <v>7939</v>
      </c>
      <c r="F1716" s="47"/>
      <c r="G1716" s="8">
        <v>16</v>
      </c>
      <c r="H1716" s="8" t="s">
        <v>21</v>
      </c>
      <c r="I1716" s="8" t="s">
        <v>1283</v>
      </c>
      <c r="J1716" s="8" t="s">
        <v>1283</v>
      </c>
      <c r="K1716" s="8" t="s">
        <v>1284</v>
      </c>
      <c r="L1716" s="8" t="s">
        <v>55972</v>
      </c>
      <c r="M1716" s="8" t="s">
        <v>6970</v>
      </c>
      <c r="N1716" s="8" t="s">
        <v>7940</v>
      </c>
      <c r="O1716" s="8">
        <f>4+52/60+10.5/3600</f>
        <v>4.8695833333333338</v>
      </c>
      <c r="P1716" s="8" t="s">
        <v>7941</v>
      </c>
      <c r="Q1716" s="8">
        <f>-(66+54/60+32/3600)</f>
        <v>-66.908888888888896</v>
      </c>
      <c r="R1716" s="8">
        <v>99</v>
      </c>
      <c r="S1716" s="8">
        <v>99</v>
      </c>
      <c r="T1716" s="8">
        <v>99</v>
      </c>
      <c r="U1716" s="8">
        <v>99</v>
      </c>
      <c r="Y1716" s="8" t="s">
        <v>7942</v>
      </c>
      <c r="Z1716" s="8" t="s">
        <v>7943</v>
      </c>
    </row>
    <row r="1717" spans="1:26" x14ac:dyDescent="0.2">
      <c r="A1717" s="8">
        <v>1716</v>
      </c>
      <c r="B1717" s="8" t="s">
        <v>7944</v>
      </c>
      <c r="C1717" s="8" t="s">
        <v>7944</v>
      </c>
      <c r="F1717" s="47"/>
      <c r="G1717" s="8">
        <v>16</v>
      </c>
      <c r="H1717" s="8" t="s">
        <v>21</v>
      </c>
      <c r="I1717" s="8" t="s">
        <v>22</v>
      </c>
      <c r="J1717" s="8" t="s">
        <v>22</v>
      </c>
      <c r="K1717" s="8" t="s">
        <v>85</v>
      </c>
      <c r="L1717" s="8" t="s">
        <v>7915</v>
      </c>
      <c r="M1717" s="8" t="s">
        <v>7916</v>
      </c>
      <c r="N1717" s="8" t="s">
        <v>7945</v>
      </c>
      <c r="O1717" s="8">
        <f>4+58/60+13.2/3600</f>
        <v>4.9703333333333335</v>
      </c>
      <c r="P1717" s="8" t="s">
        <v>7946</v>
      </c>
      <c r="Q1717" s="8">
        <f>-(20+21/60+48/3600)</f>
        <v>-20.363333333333333</v>
      </c>
      <c r="R1717" s="8">
        <v>13.1</v>
      </c>
      <c r="S1717" s="8">
        <v>13.9</v>
      </c>
      <c r="T1717" s="8">
        <v>0.8</v>
      </c>
      <c r="U1717" s="8">
        <v>13.5</v>
      </c>
      <c r="V1717" s="8">
        <v>1.4</v>
      </c>
      <c r="W1717" s="8">
        <v>1.2</v>
      </c>
      <c r="X1717" s="8">
        <v>20</v>
      </c>
      <c r="Y1717" s="8" t="s">
        <v>7947</v>
      </c>
      <c r="Z1717" s="8" t="s">
        <v>7948</v>
      </c>
    </row>
    <row r="1718" spans="1:26" x14ac:dyDescent="0.2">
      <c r="A1718" s="8">
        <v>1717</v>
      </c>
      <c r="B1718" s="8" t="s">
        <v>7949</v>
      </c>
      <c r="C1718" s="8" t="s">
        <v>7949</v>
      </c>
      <c r="F1718" s="47"/>
      <c r="G1718" s="8">
        <v>18</v>
      </c>
      <c r="H1718" s="8" t="s">
        <v>21</v>
      </c>
      <c r="I1718" s="8" t="s">
        <v>72</v>
      </c>
      <c r="J1718" s="8" t="s">
        <v>72</v>
      </c>
      <c r="K1718" s="8" t="s">
        <v>20</v>
      </c>
      <c r="L1718" s="8" t="s">
        <v>7698</v>
      </c>
      <c r="M1718" s="8" t="s">
        <v>7699</v>
      </c>
      <c r="N1718" s="8" t="s">
        <v>7950</v>
      </c>
      <c r="O1718" s="8">
        <f>4+58/60+17.6/3600</f>
        <v>4.9715555555555557</v>
      </c>
      <c r="P1718" s="8" t="s">
        <v>7951</v>
      </c>
      <c r="Q1718" s="8">
        <f>-(0+14/60+58/3600)</f>
        <v>-0.24944444444444444</v>
      </c>
      <c r="R1718" s="8">
        <v>99</v>
      </c>
      <c r="S1718" s="8">
        <v>99</v>
      </c>
      <c r="T1718" s="8">
        <v>99</v>
      </c>
      <c r="U1718" s="8">
        <v>99</v>
      </c>
      <c r="Y1718" s="8" t="s">
        <v>7912</v>
      </c>
      <c r="Z1718" s="8" t="s">
        <v>7952</v>
      </c>
    </row>
    <row r="1719" spans="1:26" x14ac:dyDescent="0.2">
      <c r="A1719" s="8">
        <v>1718</v>
      </c>
      <c r="B1719" s="8" t="s">
        <v>7953</v>
      </c>
      <c r="C1719" s="8" t="s">
        <v>7953</v>
      </c>
      <c r="F1719" s="47"/>
      <c r="G1719" s="8">
        <v>16</v>
      </c>
      <c r="H1719" s="8" t="s">
        <v>21</v>
      </c>
      <c r="I1719" s="8" t="s">
        <v>557</v>
      </c>
      <c r="J1719" s="8" t="s">
        <v>557</v>
      </c>
      <c r="K1719" s="8" t="s">
        <v>557</v>
      </c>
      <c r="L1719" s="8" t="s">
        <v>55972</v>
      </c>
      <c r="M1719" s="8" t="s">
        <v>6970</v>
      </c>
      <c r="N1719" s="8" t="s">
        <v>7954</v>
      </c>
      <c r="O1719" s="8">
        <f>4+52/60+25.4/3600</f>
        <v>4.8737222222222227</v>
      </c>
      <c r="P1719" s="8" t="s">
        <v>7955</v>
      </c>
      <c r="Q1719" s="8">
        <f>-(67+3/60+3/3600)</f>
        <v>-67.05083333333333</v>
      </c>
      <c r="R1719" s="8">
        <v>12.3</v>
      </c>
      <c r="S1719" s="8">
        <v>99</v>
      </c>
      <c r="T1719" s="8">
        <v>99</v>
      </c>
      <c r="U1719" s="8">
        <v>99</v>
      </c>
      <c r="V1719" s="8">
        <v>2</v>
      </c>
      <c r="Y1719" s="8" t="s">
        <v>7897</v>
      </c>
      <c r="Z1719" s="8" t="s">
        <v>7898</v>
      </c>
    </row>
    <row r="1720" spans="1:26" x14ac:dyDescent="0.2">
      <c r="A1720" s="8">
        <v>1719</v>
      </c>
      <c r="B1720" s="8" t="s">
        <v>7956</v>
      </c>
      <c r="C1720" s="8" t="s">
        <v>7956</v>
      </c>
      <c r="F1720" s="47"/>
      <c r="G1720" s="8">
        <v>16</v>
      </c>
      <c r="H1720" s="8" t="s">
        <v>21</v>
      </c>
      <c r="I1720" s="8" t="s">
        <v>22</v>
      </c>
      <c r="J1720" s="8" t="s">
        <v>22</v>
      </c>
      <c r="K1720" s="8" t="s">
        <v>91</v>
      </c>
      <c r="L1720" s="8" t="s">
        <v>7698</v>
      </c>
      <c r="M1720" s="8" t="s">
        <v>7699</v>
      </c>
      <c r="N1720" s="8" t="s">
        <v>7957</v>
      </c>
      <c r="O1720" s="8">
        <f>4+59/60+34.5/3600</f>
        <v>4.9929166666666669</v>
      </c>
      <c r="P1720" s="8" t="s">
        <v>7958</v>
      </c>
      <c r="Q1720" s="8">
        <f>-(0+15/60+38/3600)</f>
        <v>-0.26055555555555554</v>
      </c>
      <c r="R1720" s="8">
        <v>13.6</v>
      </c>
      <c r="S1720" s="8">
        <v>14.5</v>
      </c>
      <c r="T1720" s="8">
        <v>0.9</v>
      </c>
      <c r="U1720" s="8">
        <v>12.2</v>
      </c>
      <c r="V1720" s="8">
        <v>1.1000000000000001</v>
      </c>
      <c r="W1720" s="8">
        <v>0.3</v>
      </c>
      <c r="X1720" s="8">
        <v>102</v>
      </c>
      <c r="Y1720" s="8" t="s">
        <v>7959</v>
      </c>
      <c r="Z1720" s="8" t="s">
        <v>7960</v>
      </c>
    </row>
    <row r="1721" spans="1:26" x14ac:dyDescent="0.2">
      <c r="A1721" s="8">
        <v>1720</v>
      </c>
      <c r="B1721" s="8" t="s">
        <v>7961</v>
      </c>
      <c r="C1721" s="8" t="s">
        <v>7961</v>
      </c>
      <c r="F1721" s="47"/>
      <c r="G1721" s="8">
        <v>18</v>
      </c>
      <c r="H1721" s="8" t="s">
        <v>21</v>
      </c>
      <c r="I1721" s="8" t="s">
        <v>22</v>
      </c>
      <c r="J1721" s="8" t="s">
        <v>22</v>
      </c>
      <c r="K1721" s="8" t="s">
        <v>406</v>
      </c>
      <c r="L1721" s="8" t="s">
        <v>3328</v>
      </c>
      <c r="M1721" s="8" t="s">
        <v>3329</v>
      </c>
      <c r="N1721" s="8" t="s">
        <v>7962</v>
      </c>
      <c r="O1721" s="8">
        <f>4+59/60+20.5/3600</f>
        <v>4.9890277777777774</v>
      </c>
      <c r="P1721" s="8" t="s">
        <v>7963</v>
      </c>
      <c r="Q1721" s="8">
        <f>-(7+51/60+33/3600)</f>
        <v>-7.859166666666666</v>
      </c>
      <c r="R1721" s="8">
        <v>12.4</v>
      </c>
      <c r="S1721" s="8">
        <v>13.2</v>
      </c>
      <c r="T1721" s="8">
        <v>0.8</v>
      </c>
      <c r="U1721" s="8">
        <v>13.2</v>
      </c>
      <c r="V1721" s="8">
        <v>2</v>
      </c>
      <c r="W1721" s="8">
        <v>1.2</v>
      </c>
      <c r="X1721" s="8">
        <v>78</v>
      </c>
      <c r="Y1721" s="8" t="s">
        <v>7964</v>
      </c>
      <c r="Z1721" s="8" t="s">
        <v>7965</v>
      </c>
    </row>
    <row r="1722" spans="1:26" x14ac:dyDescent="0.2">
      <c r="A1722" s="8">
        <v>1721</v>
      </c>
      <c r="B1722" s="8" t="s">
        <v>7966</v>
      </c>
      <c r="C1722" s="8" t="s">
        <v>7966</v>
      </c>
      <c r="F1722" s="47"/>
      <c r="G1722" s="8">
        <v>19</v>
      </c>
      <c r="H1722" s="8" t="s">
        <v>21</v>
      </c>
      <c r="I1722" s="8" t="s">
        <v>22</v>
      </c>
      <c r="J1722" s="8" t="s">
        <v>22</v>
      </c>
      <c r="K1722" s="8" t="s">
        <v>37</v>
      </c>
      <c r="L1722" s="8" t="s">
        <v>3328</v>
      </c>
      <c r="M1722" s="8" t="s">
        <v>3329</v>
      </c>
      <c r="N1722" s="8" t="s">
        <v>7967</v>
      </c>
      <c r="O1722" s="8">
        <f>4+59/60+17.4/3600</f>
        <v>4.9881666666666664</v>
      </c>
      <c r="P1722" s="8" t="s">
        <v>7968</v>
      </c>
      <c r="Q1722" s="8">
        <f>-(11+7/60+6/3600)</f>
        <v>-11.118333333333334</v>
      </c>
      <c r="R1722" s="8">
        <v>12.8</v>
      </c>
      <c r="S1722" s="8">
        <v>13.8</v>
      </c>
      <c r="T1722" s="8">
        <v>1</v>
      </c>
      <c r="U1722" s="8">
        <v>13.4</v>
      </c>
      <c r="V1722" s="8">
        <v>1.9</v>
      </c>
      <c r="W1722" s="8">
        <v>1</v>
      </c>
      <c r="X1722" s="8">
        <v>132</v>
      </c>
      <c r="Y1722" s="8" t="s">
        <v>421</v>
      </c>
      <c r="Z1722" s="8" t="s">
        <v>422</v>
      </c>
    </row>
    <row r="1723" spans="1:26" x14ac:dyDescent="0.2">
      <c r="A1723" s="8">
        <v>1722</v>
      </c>
      <c r="B1723" s="8" t="s">
        <v>7969</v>
      </c>
      <c r="C1723" s="8" t="s">
        <v>7969</v>
      </c>
      <c r="F1723" s="47"/>
      <c r="G1723" s="8">
        <v>16</v>
      </c>
      <c r="H1723" s="8" t="s">
        <v>21</v>
      </c>
      <c r="I1723" s="8" t="s">
        <v>557</v>
      </c>
      <c r="J1723" s="8" t="s">
        <v>557</v>
      </c>
      <c r="K1723" s="8" t="s">
        <v>1816</v>
      </c>
      <c r="L1723" s="8" t="s">
        <v>55972</v>
      </c>
      <c r="M1723" s="8" t="s">
        <v>6970</v>
      </c>
      <c r="N1723" s="8" t="s">
        <v>7970</v>
      </c>
      <c r="O1723" s="8">
        <f>4+51/60+50.7/3600</f>
        <v>4.8640833333333333</v>
      </c>
      <c r="P1723" s="8" t="s">
        <v>7971</v>
      </c>
      <c r="Q1723" s="8">
        <f>-(69+23/60+56/3600)</f>
        <v>-69.398888888888891</v>
      </c>
      <c r="R1723" s="8">
        <v>13.2</v>
      </c>
      <c r="S1723" s="8">
        <v>13.2</v>
      </c>
      <c r="T1723" s="8">
        <v>99</v>
      </c>
      <c r="U1723" s="8">
        <v>99</v>
      </c>
      <c r="V1723" s="8">
        <v>1</v>
      </c>
      <c r="Y1723" s="8" t="s">
        <v>7972</v>
      </c>
      <c r="Z1723" s="8" t="s">
        <v>7973</v>
      </c>
    </row>
    <row r="1724" spans="1:26" x14ac:dyDescent="0.2">
      <c r="A1724" s="8">
        <v>1723</v>
      </c>
      <c r="B1724" s="8" t="s">
        <v>7974</v>
      </c>
      <c r="C1724" s="8" t="s">
        <v>7974</v>
      </c>
      <c r="F1724" s="47"/>
      <c r="G1724" s="8">
        <v>19</v>
      </c>
      <c r="H1724" s="8" t="s">
        <v>21</v>
      </c>
      <c r="I1724" s="8" t="s">
        <v>22</v>
      </c>
      <c r="J1724" s="8" t="s">
        <v>22</v>
      </c>
      <c r="K1724" s="8" t="s">
        <v>7975</v>
      </c>
      <c r="L1724" s="8" t="s">
        <v>3328</v>
      </c>
      <c r="M1724" s="8" t="s">
        <v>3329</v>
      </c>
      <c r="N1724" s="8" t="s">
        <v>7976</v>
      </c>
      <c r="O1724" s="8">
        <f>4+59/60+25.9/3600</f>
        <v>4.9905277777777775</v>
      </c>
      <c r="P1724" s="8" t="s">
        <v>7977</v>
      </c>
      <c r="Q1724" s="8">
        <f>-(10+58/60+50/3600)</f>
        <v>-10.980555555555556</v>
      </c>
      <c r="R1724" s="8">
        <v>11.7</v>
      </c>
      <c r="S1724" s="8">
        <v>12.7</v>
      </c>
      <c r="T1724" s="8">
        <v>1</v>
      </c>
      <c r="U1724" s="8">
        <v>13.2</v>
      </c>
      <c r="V1724" s="8">
        <v>2.6</v>
      </c>
      <c r="W1724" s="8">
        <v>1.8</v>
      </c>
      <c r="X1724" s="8">
        <v>144</v>
      </c>
      <c r="Y1724" s="8" t="s">
        <v>7978</v>
      </c>
      <c r="Z1724" s="8" t="s">
        <v>7979</v>
      </c>
    </row>
    <row r="1725" spans="1:26" x14ac:dyDescent="0.2">
      <c r="A1725" s="8">
        <v>1724</v>
      </c>
      <c r="B1725" s="8" t="s">
        <v>7980</v>
      </c>
      <c r="C1725" s="8" t="s">
        <v>7980</v>
      </c>
      <c r="F1725" s="47"/>
      <c r="G1725" s="8">
        <v>18</v>
      </c>
      <c r="H1725" s="8" t="s">
        <v>21</v>
      </c>
      <c r="I1725" s="8" t="s">
        <v>72</v>
      </c>
      <c r="J1725" s="8" t="s">
        <v>72</v>
      </c>
      <c r="K1725" s="8" t="s">
        <v>1405</v>
      </c>
      <c r="L1725" s="8" t="s">
        <v>7717</v>
      </c>
      <c r="M1725" s="8" t="s">
        <v>7718</v>
      </c>
      <c r="N1725" s="8" t="s">
        <v>7981</v>
      </c>
      <c r="O1725" s="8">
        <f>5+3/60+33/3600</f>
        <v>5.0591666666666661</v>
      </c>
      <c r="P1725" s="8" t="s">
        <v>7982</v>
      </c>
      <c r="Q1725" s="8">
        <f>+(49+29/60+30/3600)</f>
        <v>49.491666666666667</v>
      </c>
      <c r="R1725" s="8">
        <v>99</v>
      </c>
      <c r="S1725" s="8">
        <v>99</v>
      </c>
      <c r="T1725" s="8">
        <v>99</v>
      </c>
      <c r="U1725" s="8">
        <v>99</v>
      </c>
      <c r="V1725" s="8">
        <v>1</v>
      </c>
      <c r="Y1725" s="8" t="s">
        <v>7983</v>
      </c>
      <c r="Z1725" s="8" t="s">
        <v>7984</v>
      </c>
    </row>
    <row r="1726" spans="1:26" x14ac:dyDescent="0.2">
      <c r="A1726" s="8">
        <v>1725</v>
      </c>
      <c r="B1726" s="8" t="s">
        <v>7985</v>
      </c>
      <c r="C1726" s="8" t="s">
        <v>7985</v>
      </c>
      <c r="F1726" s="47"/>
      <c r="G1726" s="8">
        <v>19</v>
      </c>
      <c r="H1726" s="8" t="s">
        <v>21</v>
      </c>
      <c r="I1726" s="8" t="s">
        <v>22</v>
      </c>
      <c r="J1726" s="8" t="s">
        <v>22</v>
      </c>
      <c r="K1726" s="8" t="s">
        <v>58</v>
      </c>
      <c r="L1726" s="8" t="s">
        <v>3328</v>
      </c>
      <c r="M1726" s="8" t="s">
        <v>3329</v>
      </c>
      <c r="N1726" s="8" t="s">
        <v>7986</v>
      </c>
      <c r="O1726" s="8">
        <f>4+59/60+22.9/3600</f>
        <v>4.9896944444444449</v>
      </c>
      <c r="P1726" s="8" t="s">
        <v>7987</v>
      </c>
      <c r="Q1726" s="8">
        <f>-(11+7/60+55/3600)</f>
        <v>-11.131944444444445</v>
      </c>
      <c r="R1726" s="8">
        <v>12.8</v>
      </c>
      <c r="S1726" s="8">
        <v>13.8</v>
      </c>
      <c r="T1726" s="8">
        <v>1</v>
      </c>
      <c r="U1726" s="8">
        <v>13.1</v>
      </c>
      <c r="V1726" s="8">
        <v>1.2</v>
      </c>
      <c r="W1726" s="8">
        <v>1</v>
      </c>
      <c r="X1726" s="8">
        <v>20</v>
      </c>
      <c r="Y1726" s="8" t="s">
        <v>385</v>
      </c>
      <c r="Z1726" s="8" t="s">
        <v>386</v>
      </c>
    </row>
    <row r="1727" spans="1:26" x14ac:dyDescent="0.2">
      <c r="A1727" s="8">
        <v>1726</v>
      </c>
      <c r="B1727" s="8" t="s">
        <v>7988</v>
      </c>
      <c r="C1727" s="8" t="s">
        <v>7988</v>
      </c>
      <c r="F1727" s="47"/>
      <c r="G1727" s="8">
        <v>13</v>
      </c>
      <c r="H1727" s="8" t="s">
        <v>21</v>
      </c>
      <c r="I1727" s="8" t="s">
        <v>22</v>
      </c>
      <c r="J1727" s="8" t="s">
        <v>22</v>
      </c>
      <c r="K1727" s="8" t="s">
        <v>37</v>
      </c>
      <c r="L1727" s="8" t="s">
        <v>3328</v>
      </c>
      <c r="M1727" s="8" t="s">
        <v>3329</v>
      </c>
      <c r="N1727" s="8" t="s">
        <v>7989</v>
      </c>
      <c r="O1727" s="8">
        <f>4+59/60+41.9/3600</f>
        <v>4.9949722222222226</v>
      </c>
      <c r="P1727" s="8" t="s">
        <v>7990</v>
      </c>
      <c r="Q1727" s="8">
        <f>-(7+45/60+18/3600)</f>
        <v>-7.7549999999999999</v>
      </c>
      <c r="R1727" s="8">
        <v>11.7</v>
      </c>
      <c r="S1727" s="8">
        <v>12.7</v>
      </c>
      <c r="T1727" s="8">
        <v>1</v>
      </c>
      <c r="U1727" s="8">
        <v>12.1</v>
      </c>
      <c r="V1727" s="8">
        <v>1.7</v>
      </c>
      <c r="W1727" s="8">
        <v>1.4</v>
      </c>
      <c r="X1727" s="8">
        <v>0</v>
      </c>
      <c r="Y1727" s="8" t="s">
        <v>7991</v>
      </c>
      <c r="Z1727" s="8" t="s">
        <v>7992</v>
      </c>
    </row>
    <row r="1728" spans="1:26" x14ac:dyDescent="0.2">
      <c r="A1728" s="8">
        <v>1727</v>
      </c>
      <c r="B1728" s="8" t="s">
        <v>7993</v>
      </c>
      <c r="C1728" s="8" t="s">
        <v>7993</v>
      </c>
      <c r="F1728" s="47"/>
      <c r="G1728" s="8">
        <v>16</v>
      </c>
      <c r="H1728" s="8" t="s">
        <v>21</v>
      </c>
      <c r="I1728" s="8" t="s">
        <v>557</v>
      </c>
      <c r="J1728" s="8" t="s">
        <v>557</v>
      </c>
      <c r="K1728" s="8" t="s">
        <v>1816</v>
      </c>
      <c r="L1728" s="8" t="s">
        <v>55972</v>
      </c>
      <c r="M1728" s="8" t="s">
        <v>6970</v>
      </c>
      <c r="N1728" s="8" t="s">
        <v>7994</v>
      </c>
      <c r="O1728" s="8">
        <f>4+52/60+20/3600</f>
        <v>4.8722222222222227</v>
      </c>
      <c r="P1728" s="8" t="s">
        <v>7995</v>
      </c>
      <c r="Q1728" s="8">
        <f>-(69+20/60+42/3600)</f>
        <v>-69.344999999999999</v>
      </c>
      <c r="R1728" s="8">
        <v>11.1</v>
      </c>
      <c r="S1728" s="8">
        <v>99</v>
      </c>
      <c r="T1728" s="8">
        <v>99</v>
      </c>
      <c r="U1728" s="8">
        <v>99</v>
      </c>
      <c r="V1728" s="8">
        <v>2.5</v>
      </c>
      <c r="Y1728" s="8" t="s">
        <v>7996</v>
      </c>
      <c r="Z1728" s="8" t="s">
        <v>7997</v>
      </c>
    </row>
    <row r="1729" spans="1:26" x14ac:dyDescent="0.2">
      <c r="A1729" s="8">
        <v>1728</v>
      </c>
      <c r="B1729" s="8" t="s">
        <v>7998</v>
      </c>
      <c r="C1729" s="8" t="s">
        <v>7998</v>
      </c>
      <c r="F1729" s="47"/>
      <c r="G1729" s="8">
        <v>19</v>
      </c>
      <c r="H1729" s="8" t="s">
        <v>21</v>
      </c>
      <c r="I1729" s="8" t="s">
        <v>22</v>
      </c>
      <c r="J1729" s="8" t="s">
        <v>22</v>
      </c>
      <c r="K1729" s="8" t="s">
        <v>91</v>
      </c>
      <c r="L1729" s="8" t="s">
        <v>3328</v>
      </c>
      <c r="M1729" s="8" t="s">
        <v>3329</v>
      </c>
      <c r="N1729" s="8" t="s">
        <v>7999</v>
      </c>
      <c r="O1729" s="8">
        <f>4+59/60+27.8/3600</f>
        <v>4.9910555555555556</v>
      </c>
      <c r="P1729" s="8" t="s">
        <v>8000</v>
      </c>
      <c r="Q1729" s="8">
        <f>-(11+7/60+24/3600)</f>
        <v>-11.123333333333333</v>
      </c>
      <c r="R1729" s="8">
        <v>13.9</v>
      </c>
      <c r="S1729" s="8">
        <v>14.8</v>
      </c>
      <c r="T1729" s="8">
        <v>0.9</v>
      </c>
      <c r="U1729" s="8">
        <v>14.1</v>
      </c>
      <c r="V1729" s="8">
        <v>2</v>
      </c>
      <c r="W1729" s="8">
        <v>0.7</v>
      </c>
      <c r="X1729" s="8">
        <v>177</v>
      </c>
      <c r="Y1729" s="8" t="s">
        <v>421</v>
      </c>
      <c r="Z1729" s="8" t="s">
        <v>422</v>
      </c>
    </row>
    <row r="1730" spans="1:26" x14ac:dyDescent="0.2">
      <c r="A1730" s="8">
        <v>1729</v>
      </c>
      <c r="B1730" s="8" t="s">
        <v>8001</v>
      </c>
      <c r="C1730" s="8" t="s">
        <v>8001</v>
      </c>
      <c r="F1730" s="47" t="s">
        <v>56383</v>
      </c>
      <c r="G1730" s="8">
        <v>15</v>
      </c>
      <c r="H1730" s="8" t="s">
        <v>21</v>
      </c>
      <c r="I1730" s="8" t="s">
        <v>22</v>
      </c>
      <c r="J1730" s="8" t="s">
        <v>22</v>
      </c>
      <c r="K1730" s="8" t="s">
        <v>160</v>
      </c>
      <c r="L1730" s="8" t="s">
        <v>7698</v>
      </c>
      <c r="M1730" s="8" t="s">
        <v>7699</v>
      </c>
      <c r="N1730" s="8" t="s">
        <v>8002</v>
      </c>
      <c r="O1730" s="8">
        <f>5+0/60+15.6/3600</f>
        <v>5.0043333333333333</v>
      </c>
      <c r="P1730" s="8" t="s">
        <v>8003</v>
      </c>
      <c r="Q1730" s="8">
        <f>-(3+21/60+11/3600)</f>
        <v>-3.3530555555555557</v>
      </c>
      <c r="R1730" s="8">
        <v>12.9</v>
      </c>
      <c r="S1730" s="8">
        <v>13.6</v>
      </c>
      <c r="T1730" s="8">
        <v>0.7</v>
      </c>
      <c r="U1730" s="8">
        <v>13.7</v>
      </c>
      <c r="V1730" s="8">
        <v>1.7</v>
      </c>
      <c r="W1730" s="8">
        <v>1.4</v>
      </c>
      <c r="X1730" s="8">
        <v>30</v>
      </c>
      <c r="Y1730" s="8" t="s">
        <v>8004</v>
      </c>
      <c r="Z1730" s="8" t="s">
        <v>8005</v>
      </c>
    </row>
    <row r="1731" spans="1:26" x14ac:dyDescent="0.2">
      <c r="A1731" s="8">
        <v>1730</v>
      </c>
      <c r="B1731" s="8" t="s">
        <v>8006</v>
      </c>
      <c r="C1731" s="8" t="s">
        <v>8006</v>
      </c>
      <c r="F1731" s="47"/>
      <c r="G1731" s="8">
        <v>19</v>
      </c>
      <c r="H1731" s="8" t="s">
        <v>21</v>
      </c>
      <c r="I1731" s="8" t="s">
        <v>22</v>
      </c>
      <c r="J1731" s="8" t="s">
        <v>22</v>
      </c>
      <c r="K1731" s="8" t="s">
        <v>154</v>
      </c>
      <c r="L1731" s="8" t="s">
        <v>7915</v>
      </c>
      <c r="M1731" s="8" t="s">
        <v>7916</v>
      </c>
      <c r="N1731" s="8" t="s">
        <v>8007</v>
      </c>
      <c r="O1731" s="8">
        <f>4+59/60+31.7/3600</f>
        <v>4.9921388888888893</v>
      </c>
      <c r="P1731" s="8" t="s">
        <v>8008</v>
      </c>
      <c r="Q1731" s="8">
        <f>-(15+49/60+24/3600)</f>
        <v>-15.823333333333332</v>
      </c>
      <c r="R1731" s="8">
        <v>12.3</v>
      </c>
      <c r="S1731" s="8">
        <v>13.2</v>
      </c>
      <c r="T1731" s="8">
        <v>0.9</v>
      </c>
      <c r="U1731" s="8">
        <v>13.1</v>
      </c>
      <c r="V1731" s="8">
        <v>2.2999999999999998</v>
      </c>
      <c r="W1731" s="8">
        <v>1</v>
      </c>
      <c r="X1731" s="8">
        <v>100</v>
      </c>
      <c r="Y1731" s="8" t="s">
        <v>8009</v>
      </c>
      <c r="Z1731" s="8" t="s">
        <v>8010</v>
      </c>
    </row>
    <row r="1732" spans="1:26" x14ac:dyDescent="0.2">
      <c r="A1732" s="8">
        <v>1731</v>
      </c>
      <c r="B1732" s="8" t="s">
        <v>8011</v>
      </c>
      <c r="C1732" s="8" t="s">
        <v>8011</v>
      </c>
      <c r="F1732" s="47"/>
      <c r="G1732" s="8">
        <v>16</v>
      </c>
      <c r="H1732" s="8" t="s">
        <v>21</v>
      </c>
      <c r="I1732" s="8" t="s">
        <v>557</v>
      </c>
      <c r="J1732" s="8" t="s">
        <v>557</v>
      </c>
      <c r="K1732" s="8" t="s">
        <v>1816</v>
      </c>
      <c r="L1732" s="8" t="s">
        <v>55972</v>
      </c>
      <c r="M1732" s="8" t="s">
        <v>6970</v>
      </c>
      <c r="N1732" s="8" t="s">
        <v>8012</v>
      </c>
      <c r="O1732" s="8">
        <f>4+53/60+32.1/3600</f>
        <v>4.8922499999999998</v>
      </c>
      <c r="P1732" s="8" t="s">
        <v>8013</v>
      </c>
      <c r="Q1732" s="8">
        <f>-(66+55/60+31/3600)</f>
        <v>-66.925277777777779</v>
      </c>
      <c r="R1732" s="8">
        <v>9.9</v>
      </c>
      <c r="S1732" s="8">
        <v>99</v>
      </c>
      <c r="T1732" s="8">
        <v>99</v>
      </c>
      <c r="U1732" s="8">
        <v>99</v>
      </c>
      <c r="V1732" s="8">
        <v>8</v>
      </c>
      <c r="Y1732" s="8" t="s">
        <v>8014</v>
      </c>
      <c r="Z1732" s="8" t="s">
        <v>8015</v>
      </c>
    </row>
    <row r="1733" spans="1:26" x14ac:dyDescent="0.2">
      <c r="A1733" s="8">
        <v>1732</v>
      </c>
      <c r="B1733" s="8" t="s">
        <v>8016</v>
      </c>
      <c r="C1733" s="8" t="s">
        <v>8016</v>
      </c>
      <c r="F1733" s="47"/>
      <c r="G1733" s="8">
        <v>16</v>
      </c>
      <c r="H1733" s="8" t="s">
        <v>21</v>
      </c>
      <c r="I1733" s="8" t="s">
        <v>557</v>
      </c>
      <c r="J1733" s="8" t="s">
        <v>557</v>
      </c>
      <c r="K1733" s="8" t="s">
        <v>557</v>
      </c>
      <c r="L1733" s="8" t="s">
        <v>55972</v>
      </c>
      <c r="M1733" s="8" t="s">
        <v>6970</v>
      </c>
      <c r="N1733" s="8" t="s">
        <v>8017</v>
      </c>
      <c r="O1733" s="8">
        <f>4+53/60+10.6/3600</f>
        <v>4.8862777777777771</v>
      </c>
      <c r="P1733" s="8" t="s">
        <v>8018</v>
      </c>
      <c r="Q1733" s="8">
        <f>-(68+39/60+0/3600)</f>
        <v>-68.650000000000006</v>
      </c>
      <c r="R1733" s="8">
        <v>12.3</v>
      </c>
      <c r="S1733" s="8">
        <v>99</v>
      </c>
      <c r="T1733" s="8">
        <v>99</v>
      </c>
      <c r="U1733" s="8">
        <v>99</v>
      </c>
      <c r="V1733" s="8">
        <v>0.9</v>
      </c>
      <c r="Y1733" s="8" t="s">
        <v>8019</v>
      </c>
      <c r="Z1733" s="8" t="s">
        <v>8020</v>
      </c>
    </row>
    <row r="1734" spans="1:26" x14ac:dyDescent="0.2">
      <c r="A1734" s="8">
        <v>1733</v>
      </c>
      <c r="B1734" s="8" t="s">
        <v>8021</v>
      </c>
      <c r="C1734" s="8" t="s">
        <v>8021</v>
      </c>
      <c r="F1734" s="47"/>
      <c r="G1734" s="8">
        <v>16</v>
      </c>
      <c r="H1734" s="8" t="s">
        <v>21</v>
      </c>
      <c r="I1734" s="8" t="s">
        <v>557</v>
      </c>
      <c r="J1734" s="8" t="s">
        <v>557</v>
      </c>
      <c r="K1734" s="8" t="s">
        <v>557</v>
      </c>
      <c r="L1734" s="8" t="s">
        <v>55972</v>
      </c>
      <c r="M1734" s="8" t="s">
        <v>6970</v>
      </c>
      <c r="N1734" s="8" t="s">
        <v>8022</v>
      </c>
      <c r="O1734" s="8">
        <f>4+54/60+4.8/3600</f>
        <v>4.9013333333333335</v>
      </c>
      <c r="P1734" s="8" t="s">
        <v>8023</v>
      </c>
      <c r="Q1734" s="8">
        <f>-(66+40/60+58/3600)</f>
        <v>-66.682777777777787</v>
      </c>
      <c r="R1734" s="8">
        <v>13.3</v>
      </c>
      <c r="S1734" s="8">
        <v>13.7</v>
      </c>
      <c r="T1734" s="8">
        <v>99</v>
      </c>
      <c r="U1734" s="8">
        <v>99</v>
      </c>
      <c r="V1734" s="8">
        <v>1.2</v>
      </c>
      <c r="Y1734" s="8" t="s">
        <v>8024</v>
      </c>
      <c r="Z1734" s="8" t="s">
        <v>8025</v>
      </c>
    </row>
    <row r="1735" spans="1:26" x14ac:dyDescent="0.2">
      <c r="A1735" s="8">
        <v>1734</v>
      </c>
      <c r="B1735" s="8" t="s">
        <v>8026</v>
      </c>
      <c r="C1735" s="8" t="s">
        <v>8026</v>
      </c>
      <c r="F1735" s="47"/>
      <c r="G1735" s="8">
        <v>16</v>
      </c>
      <c r="H1735" s="8" t="s">
        <v>21</v>
      </c>
      <c r="I1735" s="8" t="s">
        <v>557</v>
      </c>
      <c r="J1735" s="8" t="s">
        <v>557</v>
      </c>
      <c r="K1735" s="8" t="s">
        <v>557</v>
      </c>
      <c r="L1735" s="8" t="s">
        <v>55972</v>
      </c>
      <c r="M1735" s="8" t="s">
        <v>6970</v>
      </c>
      <c r="N1735" s="8" t="s">
        <v>8027</v>
      </c>
      <c r="O1735" s="8">
        <f>4+53/60+33.6/3600</f>
        <v>4.8926666666666661</v>
      </c>
      <c r="P1735" s="8" t="s">
        <v>8028</v>
      </c>
      <c r="Q1735" s="8">
        <f>-(68+46/60+8/3600)</f>
        <v>-68.768888888888881</v>
      </c>
      <c r="R1735" s="8">
        <v>13.1</v>
      </c>
      <c r="S1735" s="8">
        <v>13.3</v>
      </c>
      <c r="T1735" s="8">
        <v>99</v>
      </c>
      <c r="U1735" s="8">
        <v>99</v>
      </c>
      <c r="V1735" s="8">
        <v>1.3</v>
      </c>
      <c r="Y1735" s="8" t="s">
        <v>8029</v>
      </c>
      <c r="Z1735" s="8" t="s">
        <v>8030</v>
      </c>
    </row>
    <row r="1736" spans="1:26" x14ac:dyDescent="0.2">
      <c r="A1736" s="8">
        <v>1735</v>
      </c>
      <c r="B1736" s="8" t="s">
        <v>8031</v>
      </c>
      <c r="C1736" s="8" t="s">
        <v>8031</v>
      </c>
      <c r="F1736" s="47"/>
      <c r="G1736" s="8">
        <v>16</v>
      </c>
      <c r="H1736" s="8" t="s">
        <v>21</v>
      </c>
      <c r="I1736" s="8" t="s">
        <v>557</v>
      </c>
      <c r="J1736" s="8" t="s">
        <v>557</v>
      </c>
      <c r="K1736" s="8" t="s">
        <v>557</v>
      </c>
      <c r="L1736" s="8" t="s">
        <v>55972</v>
      </c>
      <c r="M1736" s="8" t="s">
        <v>6970</v>
      </c>
      <c r="N1736" s="8" t="s">
        <v>8032</v>
      </c>
      <c r="O1736" s="8">
        <f>4+54/60+19.7/3600</f>
        <v>4.9054722222222225</v>
      </c>
      <c r="P1736" s="8" t="s">
        <v>8033</v>
      </c>
      <c r="Q1736" s="8">
        <f>-(67+5/60+59/3600)</f>
        <v>-67.099722222222212</v>
      </c>
      <c r="R1736" s="8">
        <v>10.8</v>
      </c>
      <c r="S1736" s="8">
        <v>10.9</v>
      </c>
      <c r="T1736" s="8">
        <v>99</v>
      </c>
      <c r="U1736" s="8">
        <v>99</v>
      </c>
      <c r="V1736" s="8">
        <v>1.6</v>
      </c>
      <c r="Y1736" s="8" t="s">
        <v>8034</v>
      </c>
      <c r="Z1736" s="8" t="s">
        <v>8035</v>
      </c>
    </row>
    <row r="1737" spans="1:26" x14ac:dyDescent="0.2">
      <c r="A1737" s="8">
        <v>1736</v>
      </c>
      <c r="B1737" s="8" t="s">
        <v>8036</v>
      </c>
      <c r="C1737" s="8" t="s">
        <v>8036</v>
      </c>
      <c r="F1737" s="47"/>
      <c r="G1737" s="8">
        <v>16</v>
      </c>
      <c r="H1737" s="8" t="s">
        <v>21</v>
      </c>
      <c r="I1737" s="8" t="s">
        <v>1283</v>
      </c>
      <c r="J1737" s="8" t="s">
        <v>1283</v>
      </c>
      <c r="K1737" s="8" t="s">
        <v>1284</v>
      </c>
      <c r="L1737" s="8" t="s">
        <v>55972</v>
      </c>
      <c r="M1737" s="8" t="s">
        <v>6970</v>
      </c>
      <c r="N1737" s="8" t="s">
        <v>8037</v>
      </c>
      <c r="O1737" s="8">
        <f>4+53/60+1.6/3600</f>
        <v>4.8837777777777776</v>
      </c>
      <c r="P1737" s="8" t="s">
        <v>8038</v>
      </c>
      <c r="Q1737" s="8">
        <f>-(68+3/60+12/3600)</f>
        <v>-68.053333333333327</v>
      </c>
      <c r="R1737" s="8">
        <v>99</v>
      </c>
      <c r="S1737" s="8">
        <v>99</v>
      </c>
      <c r="T1737" s="8">
        <v>99</v>
      </c>
      <c r="U1737" s="8">
        <v>99</v>
      </c>
      <c r="Y1737" s="8" t="s">
        <v>8039</v>
      </c>
      <c r="Z1737" s="8" t="s">
        <v>8040</v>
      </c>
    </row>
    <row r="1738" spans="1:26" x14ac:dyDescent="0.2">
      <c r="A1738" s="8">
        <v>1737</v>
      </c>
      <c r="B1738" s="8" t="s">
        <v>8041</v>
      </c>
      <c r="C1738" s="8" t="s">
        <v>8041</v>
      </c>
      <c r="F1738" s="47"/>
      <c r="G1738" s="8">
        <v>16</v>
      </c>
      <c r="H1738" s="8" t="s">
        <v>21</v>
      </c>
      <c r="I1738" s="8" t="s">
        <v>1283</v>
      </c>
      <c r="J1738" s="8" t="s">
        <v>1283</v>
      </c>
      <c r="K1738" s="8" t="s">
        <v>1284</v>
      </c>
      <c r="L1738" s="8" t="s">
        <v>55972</v>
      </c>
      <c r="M1738" s="8" t="s">
        <v>6970</v>
      </c>
      <c r="N1738" s="8" t="s">
        <v>8042</v>
      </c>
      <c r="O1738" s="8">
        <f>4+53/60+57.8/3600</f>
        <v>4.8993888888888888</v>
      </c>
      <c r="P1738" s="8" t="s">
        <v>8043</v>
      </c>
      <c r="Q1738" s="8">
        <f>-(69+10/60+28/3600)</f>
        <v>-69.174444444444447</v>
      </c>
      <c r="R1738" s="8">
        <v>99</v>
      </c>
      <c r="S1738" s="8">
        <v>99</v>
      </c>
      <c r="T1738" s="8">
        <v>99</v>
      </c>
      <c r="U1738" s="8">
        <v>99</v>
      </c>
      <c r="Y1738" s="8" t="s">
        <v>8044</v>
      </c>
      <c r="Z1738" s="8" t="s">
        <v>8045</v>
      </c>
    </row>
    <row r="1739" spans="1:26" x14ac:dyDescent="0.2">
      <c r="A1739" s="8">
        <v>1738</v>
      </c>
      <c r="B1739" s="8" t="s">
        <v>8046</v>
      </c>
      <c r="C1739" s="8" t="s">
        <v>8046</v>
      </c>
      <c r="F1739" s="47"/>
      <c r="G1739" s="8">
        <v>19</v>
      </c>
      <c r="H1739" s="8" t="s">
        <v>21</v>
      </c>
      <c r="I1739" s="8" t="s">
        <v>22</v>
      </c>
      <c r="J1739" s="8" t="s">
        <v>22</v>
      </c>
      <c r="K1739" s="8" t="s">
        <v>85</v>
      </c>
      <c r="L1739" s="8" t="s">
        <v>7915</v>
      </c>
      <c r="M1739" s="8" t="s">
        <v>7916</v>
      </c>
      <c r="N1739" s="8" t="s">
        <v>8047</v>
      </c>
      <c r="O1739" s="8">
        <f>5+1/60+46.5/3600</f>
        <v>5.0295833333333331</v>
      </c>
      <c r="P1739" s="8" t="s">
        <v>8048</v>
      </c>
      <c r="Q1739" s="8">
        <f>-(18+9/60+27/3600)</f>
        <v>-18.157499999999999</v>
      </c>
      <c r="R1739" s="8">
        <v>12.9</v>
      </c>
      <c r="S1739" s="8">
        <v>13.7</v>
      </c>
      <c r="T1739" s="8">
        <v>0.8</v>
      </c>
      <c r="U1739" s="8">
        <v>12.6</v>
      </c>
      <c r="V1739" s="8">
        <v>1.3</v>
      </c>
      <c r="W1739" s="8">
        <v>0.7</v>
      </c>
      <c r="X1739" s="8">
        <v>38</v>
      </c>
      <c r="Y1739" s="8" t="s">
        <v>8049</v>
      </c>
      <c r="Z1739" s="8" t="s">
        <v>8050</v>
      </c>
    </row>
    <row r="1740" spans="1:26" x14ac:dyDescent="0.2">
      <c r="A1740" s="8">
        <v>1739</v>
      </c>
      <c r="B1740" s="8" t="s">
        <v>8051</v>
      </c>
      <c r="C1740" s="8" t="s">
        <v>8051</v>
      </c>
      <c r="F1740" s="47"/>
      <c r="G1740" s="8">
        <v>19</v>
      </c>
      <c r="H1740" s="8" t="s">
        <v>21</v>
      </c>
      <c r="I1740" s="8" t="s">
        <v>22</v>
      </c>
      <c r="J1740" s="8" t="s">
        <v>22</v>
      </c>
      <c r="K1740" s="8" t="s">
        <v>396</v>
      </c>
      <c r="L1740" s="8" t="s">
        <v>7915</v>
      </c>
      <c r="M1740" s="8" t="s">
        <v>7916</v>
      </c>
      <c r="N1740" s="8" t="s">
        <v>8052</v>
      </c>
      <c r="O1740" s="8">
        <f>5+1/60+47.3/3600</f>
        <v>5.0298055555555559</v>
      </c>
      <c r="P1740" s="8" t="s">
        <v>8053</v>
      </c>
      <c r="Q1740" s="8">
        <f>-(18+10/60+2/3600)</f>
        <v>-18.167222222222222</v>
      </c>
      <c r="R1740" s="8">
        <v>13.5</v>
      </c>
      <c r="S1740" s="8">
        <v>14.3</v>
      </c>
      <c r="T1740" s="8">
        <v>0.8</v>
      </c>
      <c r="U1740" s="8">
        <v>13.3</v>
      </c>
      <c r="V1740" s="8">
        <v>1.4</v>
      </c>
      <c r="W1740" s="8">
        <v>0.8</v>
      </c>
      <c r="X1740" s="8">
        <v>105</v>
      </c>
      <c r="Y1740" s="8" t="s">
        <v>8054</v>
      </c>
      <c r="Z1740" s="8" t="s">
        <v>8055</v>
      </c>
    </row>
    <row r="1741" spans="1:26" x14ac:dyDescent="0.2">
      <c r="A1741" s="8">
        <v>1740</v>
      </c>
      <c r="B1741" s="8" t="s">
        <v>8056</v>
      </c>
      <c r="C1741" s="8" t="s">
        <v>8056</v>
      </c>
      <c r="F1741" s="47"/>
      <c r="G1741" s="8">
        <v>16</v>
      </c>
      <c r="H1741" s="8" t="s">
        <v>21</v>
      </c>
      <c r="I1741" s="8" t="s">
        <v>22</v>
      </c>
      <c r="J1741" s="8" t="s">
        <v>22</v>
      </c>
      <c r="K1741" s="8" t="s">
        <v>58</v>
      </c>
      <c r="L1741" s="8" t="s">
        <v>7698</v>
      </c>
      <c r="M1741" s="8" t="s">
        <v>7699</v>
      </c>
      <c r="N1741" s="8" t="s">
        <v>8057</v>
      </c>
      <c r="O1741" s="8">
        <f>5+1/60+54.7/3600</f>
        <v>5.0318611111111107</v>
      </c>
      <c r="P1741" s="8" t="s">
        <v>8058</v>
      </c>
      <c r="Q1741" s="8">
        <f>-(3+17/60+45/3600)</f>
        <v>-3.2958333333333334</v>
      </c>
      <c r="R1741" s="8">
        <v>12.9</v>
      </c>
      <c r="S1741" s="8">
        <v>13.9</v>
      </c>
      <c r="T1741" s="8">
        <v>1</v>
      </c>
      <c r="U1741" s="8">
        <v>13.6</v>
      </c>
      <c r="V1741" s="8">
        <v>1.5</v>
      </c>
      <c r="W1741" s="8">
        <v>1.2</v>
      </c>
      <c r="X1741" s="8">
        <v>55</v>
      </c>
      <c r="Y1741" s="8" t="s">
        <v>8059</v>
      </c>
      <c r="Z1741" s="8" t="s">
        <v>8060</v>
      </c>
    </row>
    <row r="1742" spans="1:26" x14ac:dyDescent="0.2">
      <c r="A1742" s="8">
        <v>1741</v>
      </c>
      <c r="B1742" s="8" t="s">
        <v>8061</v>
      </c>
      <c r="C1742" s="8" t="s">
        <v>8061</v>
      </c>
      <c r="D1742" s="8" t="s">
        <v>351</v>
      </c>
      <c r="F1742" s="47"/>
      <c r="G1742" s="8">
        <v>19</v>
      </c>
      <c r="H1742" s="8" t="s">
        <v>21</v>
      </c>
      <c r="I1742" s="8" t="s">
        <v>22</v>
      </c>
      <c r="J1742" s="8" t="s">
        <v>22</v>
      </c>
      <c r="K1742" s="8" t="s">
        <v>8062</v>
      </c>
      <c r="L1742" s="8" t="s">
        <v>3328</v>
      </c>
      <c r="M1742" s="8" t="s">
        <v>3329</v>
      </c>
      <c r="N1742" s="8" t="s">
        <v>8063</v>
      </c>
      <c r="O1742" s="8">
        <f>5+1/60+38.7/3600</f>
        <v>5.0274166666666664</v>
      </c>
      <c r="P1742" s="8" t="s">
        <v>8064</v>
      </c>
      <c r="Q1742" s="8">
        <f>-(4+15/60+32/3600)</f>
        <v>-4.2588888888888885</v>
      </c>
      <c r="R1742" s="8">
        <v>15</v>
      </c>
      <c r="S1742" s="8">
        <v>15.6</v>
      </c>
      <c r="T1742" s="8">
        <v>0.6</v>
      </c>
      <c r="U1742" s="8">
        <v>13.4</v>
      </c>
      <c r="V1742" s="8">
        <v>0.9</v>
      </c>
      <c r="W1742" s="8">
        <v>0.3</v>
      </c>
      <c r="X1742" s="8">
        <v>63</v>
      </c>
      <c r="Y1742" s="8" t="s">
        <v>8065</v>
      </c>
      <c r="Z1742" s="8" t="s">
        <v>8066</v>
      </c>
    </row>
    <row r="1743" spans="1:26" x14ac:dyDescent="0.2">
      <c r="A1743" s="8">
        <v>1742</v>
      </c>
      <c r="B1743" s="8" t="s">
        <v>8067</v>
      </c>
      <c r="C1743" s="8" t="s">
        <v>8067</v>
      </c>
      <c r="F1743" s="47"/>
      <c r="G1743" s="8">
        <v>18</v>
      </c>
      <c r="H1743" s="8" t="s">
        <v>21</v>
      </c>
      <c r="I1743" s="8" t="s">
        <v>72</v>
      </c>
      <c r="J1743" s="8" t="s">
        <v>72</v>
      </c>
      <c r="K1743" s="8" t="s">
        <v>20</v>
      </c>
      <c r="L1743" s="8" t="s">
        <v>7698</v>
      </c>
      <c r="M1743" s="8" t="s">
        <v>7699</v>
      </c>
      <c r="N1743" s="8" t="s">
        <v>8068</v>
      </c>
      <c r="O1743" s="8">
        <f>5+2/60+0.5/3600</f>
        <v>5.0334722222222217</v>
      </c>
      <c r="P1743" s="8" t="s">
        <v>8069</v>
      </c>
      <c r="Q1743" s="8">
        <f>-(3+17/60+14/3600)</f>
        <v>-3.2872222222222223</v>
      </c>
      <c r="R1743" s="8">
        <v>99</v>
      </c>
      <c r="S1743" s="8">
        <v>13.7</v>
      </c>
      <c r="T1743" s="8">
        <v>99</v>
      </c>
      <c r="U1743" s="8">
        <v>99</v>
      </c>
      <c r="Y1743" s="8" t="s">
        <v>8070</v>
      </c>
      <c r="Z1743" s="8" t="s">
        <v>8071</v>
      </c>
    </row>
    <row r="1744" spans="1:26" x14ac:dyDescent="0.2">
      <c r="A1744" s="8">
        <v>1743</v>
      </c>
      <c r="B1744" s="8" t="s">
        <v>8072</v>
      </c>
      <c r="C1744" s="8" t="s">
        <v>8072</v>
      </c>
      <c r="F1744" s="47"/>
      <c r="G1744" s="8">
        <v>13</v>
      </c>
      <c r="H1744" s="8" t="s">
        <v>21</v>
      </c>
      <c r="I1744" s="8" t="s">
        <v>1283</v>
      </c>
      <c r="J1744" s="8" t="s">
        <v>1283</v>
      </c>
      <c r="K1744" s="8" t="s">
        <v>1284</v>
      </c>
      <c r="L1744" s="8" t="s">
        <v>55972</v>
      </c>
      <c r="M1744" s="8" t="s">
        <v>6970</v>
      </c>
      <c r="N1744" s="8" t="s">
        <v>8073</v>
      </c>
      <c r="O1744" s="8">
        <f>4+54/60+3.2/3600</f>
        <v>4.9008888888888889</v>
      </c>
      <c r="P1744" s="8" t="s">
        <v>8074</v>
      </c>
      <c r="Q1744" s="8">
        <f>-(69+11/60+57/3600)</f>
        <v>-69.19916666666667</v>
      </c>
      <c r="R1744" s="8">
        <v>99</v>
      </c>
      <c r="S1744" s="8">
        <v>99</v>
      </c>
      <c r="T1744" s="8">
        <v>99</v>
      </c>
      <c r="U1744" s="8">
        <v>99</v>
      </c>
      <c r="V1744" s="8">
        <v>2</v>
      </c>
      <c r="W1744" s="8">
        <v>2</v>
      </c>
      <c r="Y1744" s="8" t="s">
        <v>8075</v>
      </c>
      <c r="Z1744" s="8" t="s">
        <v>8076</v>
      </c>
    </row>
    <row r="1745" spans="1:26" x14ac:dyDescent="0.2">
      <c r="A1745" s="8">
        <v>1744</v>
      </c>
      <c r="B1745" s="8" t="s">
        <v>8077</v>
      </c>
      <c r="C1745" s="8" t="s">
        <v>8077</v>
      </c>
      <c r="F1745" s="47"/>
      <c r="G1745" s="8">
        <v>13</v>
      </c>
      <c r="H1745" s="8" t="s">
        <v>21</v>
      </c>
      <c r="I1745" s="8" t="s">
        <v>22</v>
      </c>
      <c r="J1745" s="8" t="s">
        <v>22</v>
      </c>
      <c r="K1745" s="8" t="s">
        <v>1277</v>
      </c>
      <c r="L1745" s="8" t="s">
        <v>7915</v>
      </c>
      <c r="M1745" s="8" t="s">
        <v>7916</v>
      </c>
      <c r="N1745" s="8" t="s">
        <v>8078</v>
      </c>
      <c r="O1745" s="8">
        <f>4+59/60+57.6/3600</f>
        <v>4.9993333333333334</v>
      </c>
      <c r="P1745" s="8" t="s">
        <v>8079</v>
      </c>
      <c r="Q1745" s="8">
        <f>-(26+1/60+22/3600)</f>
        <v>-26.022777777777776</v>
      </c>
      <c r="R1745" s="8">
        <v>11.1</v>
      </c>
      <c r="S1745" s="8">
        <v>11.6</v>
      </c>
      <c r="T1745" s="8">
        <v>0.5</v>
      </c>
      <c r="U1745" s="8">
        <v>14.8</v>
      </c>
      <c r="V1745" s="8">
        <v>7.4</v>
      </c>
      <c r="W1745" s="8">
        <v>3.5</v>
      </c>
      <c r="X1745" s="8">
        <v>168</v>
      </c>
      <c r="Y1745" s="8" t="s">
        <v>8080</v>
      </c>
      <c r="Z1745" s="8" t="s">
        <v>8081</v>
      </c>
    </row>
    <row r="1746" spans="1:26" x14ac:dyDescent="0.2">
      <c r="A1746" s="8">
        <v>1745</v>
      </c>
      <c r="B1746" s="8" t="s">
        <v>8082</v>
      </c>
      <c r="C1746" s="8" t="s">
        <v>8082</v>
      </c>
      <c r="F1746" s="47"/>
      <c r="G1746" s="8">
        <v>16</v>
      </c>
      <c r="H1746" s="8" t="s">
        <v>21</v>
      </c>
      <c r="I1746" s="8" t="s">
        <v>1283</v>
      </c>
      <c r="J1746" s="8" t="s">
        <v>1283</v>
      </c>
      <c r="K1746" s="8" t="s">
        <v>1751</v>
      </c>
      <c r="L1746" s="8" t="s">
        <v>55972</v>
      </c>
      <c r="M1746" s="8" t="s">
        <v>6970</v>
      </c>
      <c r="N1746" s="8" t="s">
        <v>8083</v>
      </c>
      <c r="O1746" s="8">
        <f>4+54/60+20.7/3600</f>
        <v>4.9057500000000003</v>
      </c>
      <c r="P1746" s="8" t="s">
        <v>8084</v>
      </c>
      <c r="Q1746" s="8">
        <f>-(69+9/60+32/3600)</f>
        <v>-69.158888888888896</v>
      </c>
      <c r="R1746" s="8">
        <v>99</v>
      </c>
      <c r="S1746" s="8">
        <v>99</v>
      </c>
      <c r="T1746" s="8">
        <v>99</v>
      </c>
      <c r="U1746" s="8">
        <v>99</v>
      </c>
      <c r="Y1746" s="8" t="s">
        <v>8085</v>
      </c>
      <c r="Z1746" s="8" t="s">
        <v>8086</v>
      </c>
    </row>
    <row r="1747" spans="1:26" x14ac:dyDescent="0.2">
      <c r="A1747" s="8">
        <v>1746</v>
      </c>
      <c r="B1747" s="8" t="s">
        <v>8087</v>
      </c>
      <c r="C1747" s="8" t="s">
        <v>8087</v>
      </c>
      <c r="F1747" s="47"/>
      <c r="G1747" s="8">
        <v>5</v>
      </c>
      <c r="H1747" s="8" t="s">
        <v>21</v>
      </c>
      <c r="I1747" s="8" t="s">
        <v>72</v>
      </c>
      <c r="J1747" s="8" t="s">
        <v>72</v>
      </c>
      <c r="K1747" s="8" t="s">
        <v>1405</v>
      </c>
      <c r="L1747" s="8" t="s">
        <v>6115</v>
      </c>
      <c r="M1747" s="8" t="s">
        <v>6116</v>
      </c>
      <c r="N1747" s="8" t="s">
        <v>8088</v>
      </c>
      <c r="O1747" s="8">
        <f>5+3/60+50/3600</f>
        <v>5.0638888888888891</v>
      </c>
      <c r="P1747" s="8" t="s">
        <v>8089</v>
      </c>
      <c r="Q1747" s="8">
        <f>+(23+46/60+12/3600)</f>
        <v>23.77</v>
      </c>
      <c r="R1747" s="8">
        <v>6.1</v>
      </c>
      <c r="S1747" s="8">
        <v>99</v>
      </c>
      <c r="T1747" s="8">
        <v>99</v>
      </c>
      <c r="U1747" s="8">
        <v>99</v>
      </c>
      <c r="V1747" s="8">
        <v>40</v>
      </c>
      <c r="Y1747" s="8" t="s">
        <v>8090</v>
      </c>
      <c r="Z1747" s="8" t="s">
        <v>8091</v>
      </c>
    </row>
    <row r="1748" spans="1:26" x14ac:dyDescent="0.2">
      <c r="A1748" s="8">
        <v>1747</v>
      </c>
      <c r="B1748" s="8" t="s">
        <v>8092</v>
      </c>
      <c r="C1748" s="8" t="s">
        <v>8092</v>
      </c>
      <c r="F1748" s="47"/>
      <c r="G1748" s="8">
        <v>16</v>
      </c>
      <c r="H1748" s="8" t="s">
        <v>21</v>
      </c>
      <c r="I1748" s="8" t="s">
        <v>557</v>
      </c>
      <c r="J1748" s="8" t="s">
        <v>557</v>
      </c>
      <c r="K1748" s="8" t="s">
        <v>1816</v>
      </c>
      <c r="L1748" s="8" t="s">
        <v>55972</v>
      </c>
      <c r="M1748" s="8" t="s">
        <v>6970</v>
      </c>
      <c r="N1748" s="8" t="s">
        <v>8093</v>
      </c>
      <c r="O1748" s="8">
        <f>4+55/60+11/3600</f>
        <v>4.9197222222222221</v>
      </c>
      <c r="P1748" s="8" t="s">
        <v>8094</v>
      </c>
      <c r="Q1748" s="8">
        <f>-(67+10/60+8/3600)</f>
        <v>-67.168888888888887</v>
      </c>
      <c r="R1748" s="8">
        <v>9.4</v>
      </c>
      <c r="S1748" s="8">
        <v>9.4</v>
      </c>
      <c r="T1748" s="8">
        <v>99</v>
      </c>
      <c r="U1748" s="8">
        <v>99</v>
      </c>
      <c r="Y1748" s="8" t="s">
        <v>8095</v>
      </c>
      <c r="Z1748" s="8" t="s">
        <v>8096</v>
      </c>
    </row>
    <row r="1749" spans="1:26" x14ac:dyDescent="0.2">
      <c r="A1749" s="8">
        <v>1748</v>
      </c>
      <c r="B1749" s="8" t="s">
        <v>8097</v>
      </c>
      <c r="C1749" s="8" t="s">
        <v>8097</v>
      </c>
      <c r="F1749" s="47"/>
      <c r="G1749" s="8">
        <v>16</v>
      </c>
      <c r="H1749" s="8" t="s">
        <v>21</v>
      </c>
      <c r="I1749" s="8" t="s">
        <v>1283</v>
      </c>
      <c r="J1749" s="8" t="s">
        <v>1283</v>
      </c>
      <c r="K1749" s="8" t="s">
        <v>1284</v>
      </c>
      <c r="L1749" s="8" t="s">
        <v>55972</v>
      </c>
      <c r="M1749" s="8" t="s">
        <v>6970</v>
      </c>
      <c r="N1749" s="8" t="s">
        <v>8098</v>
      </c>
      <c r="O1749" s="8">
        <f>4+54/60+23.7/3600</f>
        <v>4.9065833333333337</v>
      </c>
      <c r="P1749" s="8" t="s">
        <v>8099</v>
      </c>
      <c r="Q1749" s="8">
        <f>-(69+11/60+6/3600)</f>
        <v>-69.185000000000002</v>
      </c>
      <c r="R1749" s="8">
        <v>99</v>
      </c>
      <c r="S1749" s="8">
        <v>99</v>
      </c>
      <c r="T1749" s="8">
        <v>99</v>
      </c>
      <c r="U1749" s="8">
        <v>99</v>
      </c>
      <c r="Y1749" s="8" t="s">
        <v>8100</v>
      </c>
      <c r="Z1749" s="8" t="s">
        <v>8101</v>
      </c>
    </row>
    <row r="1750" spans="1:26" x14ac:dyDescent="0.2">
      <c r="A1750" s="8">
        <v>1749</v>
      </c>
      <c r="B1750" s="8" t="s">
        <v>8102</v>
      </c>
      <c r="C1750" s="8" t="s">
        <v>8102</v>
      </c>
      <c r="F1750" s="47"/>
      <c r="G1750" s="8">
        <v>16</v>
      </c>
      <c r="H1750" s="8" t="s">
        <v>21</v>
      </c>
      <c r="I1750" s="8" t="s">
        <v>557</v>
      </c>
      <c r="J1750" s="8" t="s">
        <v>557</v>
      </c>
      <c r="K1750" s="8" t="s">
        <v>557</v>
      </c>
      <c r="L1750" s="8" t="s">
        <v>55972</v>
      </c>
      <c r="M1750" s="8" t="s">
        <v>6970</v>
      </c>
      <c r="N1750" s="8" t="s">
        <v>8103</v>
      </c>
      <c r="O1750" s="8">
        <f>4+54/60+56.1/3600</f>
        <v>4.9155833333333341</v>
      </c>
      <c r="P1750" s="8" t="s">
        <v>8104</v>
      </c>
      <c r="Q1750" s="8">
        <f>-(68+11/60+20/3600)</f>
        <v>-68.188888888888897</v>
      </c>
      <c r="R1750" s="8">
        <v>13.6</v>
      </c>
      <c r="S1750" s="8">
        <v>13.6</v>
      </c>
      <c r="T1750" s="8">
        <v>99</v>
      </c>
      <c r="U1750" s="8">
        <v>99</v>
      </c>
      <c r="V1750" s="8">
        <v>1.2</v>
      </c>
      <c r="Y1750" s="8" t="s">
        <v>8105</v>
      </c>
      <c r="Z1750" s="8" t="s">
        <v>8106</v>
      </c>
    </row>
    <row r="1751" spans="1:26" x14ac:dyDescent="0.2">
      <c r="A1751" s="8">
        <v>1750</v>
      </c>
      <c r="B1751" s="8" t="s">
        <v>8107</v>
      </c>
      <c r="C1751" s="8" t="s">
        <v>8107</v>
      </c>
      <c r="F1751" s="47" t="s">
        <v>56384</v>
      </c>
      <c r="G1751" s="8">
        <v>6.5</v>
      </c>
      <c r="H1751" s="8" t="s">
        <v>21</v>
      </c>
      <c r="I1751" s="8" t="s">
        <v>557</v>
      </c>
      <c r="J1751" s="8" t="s">
        <v>557</v>
      </c>
      <c r="K1751" s="8" t="s">
        <v>557</v>
      </c>
      <c r="L1751" s="8" t="s">
        <v>6115</v>
      </c>
      <c r="M1751" s="8" t="s">
        <v>6116</v>
      </c>
      <c r="N1751" s="8" t="s">
        <v>8108</v>
      </c>
      <c r="O1751" s="8">
        <f>5+3/60+54/3600</f>
        <v>5.0649999999999995</v>
      </c>
      <c r="P1751" s="8" t="s">
        <v>8109</v>
      </c>
      <c r="Q1751" s="8">
        <f>+(23+39/60+30/3600)</f>
        <v>23.658333333333331</v>
      </c>
      <c r="R1751" s="8">
        <v>99</v>
      </c>
      <c r="S1751" s="8">
        <v>99</v>
      </c>
      <c r="T1751" s="8">
        <v>99</v>
      </c>
      <c r="U1751" s="8">
        <v>99</v>
      </c>
      <c r="V1751" s="8">
        <v>25</v>
      </c>
      <c r="W1751" s="8">
        <v>12</v>
      </c>
      <c r="Y1751" s="8" t="s">
        <v>8110</v>
      </c>
      <c r="Z1751" s="8" t="s">
        <v>8111</v>
      </c>
    </row>
    <row r="1752" spans="1:26" x14ac:dyDescent="0.2">
      <c r="A1752" s="8">
        <v>1751</v>
      </c>
      <c r="B1752" s="8" t="s">
        <v>8112</v>
      </c>
      <c r="C1752" s="8" t="s">
        <v>8112</v>
      </c>
      <c r="F1752" s="47"/>
      <c r="G1752" s="8">
        <v>16</v>
      </c>
      <c r="H1752" s="8" t="s">
        <v>21</v>
      </c>
      <c r="I1752" s="8" t="s">
        <v>557</v>
      </c>
      <c r="J1752" s="8" t="s">
        <v>557</v>
      </c>
      <c r="K1752" s="8" t="s">
        <v>557</v>
      </c>
      <c r="L1752" s="8" t="s">
        <v>7071</v>
      </c>
      <c r="M1752" s="8" t="s">
        <v>7072</v>
      </c>
      <c r="N1752" s="8" t="s">
        <v>8113</v>
      </c>
      <c r="O1752" s="8">
        <f>4+54/60+12.1/3600</f>
        <v>4.9033611111111117</v>
      </c>
      <c r="P1752" s="8" t="s">
        <v>8114</v>
      </c>
      <c r="Q1752" s="8">
        <f>-(69+48/60+23/3600)</f>
        <v>-69.80638888888889</v>
      </c>
      <c r="R1752" s="8">
        <v>14.5</v>
      </c>
      <c r="S1752" s="8">
        <v>15.1</v>
      </c>
      <c r="T1752" s="8">
        <v>99</v>
      </c>
      <c r="U1752" s="8">
        <v>99</v>
      </c>
      <c r="V1752" s="8">
        <v>1.7</v>
      </c>
      <c r="Y1752" s="8" t="s">
        <v>2792</v>
      </c>
      <c r="Z1752" s="8" t="s">
        <v>2793</v>
      </c>
    </row>
    <row r="1753" spans="1:26" x14ac:dyDescent="0.2">
      <c r="A1753" s="8">
        <v>1752</v>
      </c>
      <c r="B1753" s="8" t="s">
        <v>8115</v>
      </c>
      <c r="C1753" s="8" t="s">
        <v>8115</v>
      </c>
      <c r="F1753" s="47"/>
      <c r="G1753" s="8">
        <v>18</v>
      </c>
      <c r="H1753" s="8" t="s">
        <v>21</v>
      </c>
      <c r="I1753" s="8" t="s">
        <v>22</v>
      </c>
      <c r="J1753" s="8" t="s">
        <v>22</v>
      </c>
      <c r="K1753" s="8" t="s">
        <v>64</v>
      </c>
      <c r="L1753" s="8" t="s">
        <v>3328</v>
      </c>
      <c r="M1753" s="8" t="s">
        <v>3329</v>
      </c>
      <c r="N1753" s="8" t="s">
        <v>8116</v>
      </c>
      <c r="O1753" s="8">
        <f>5+2/60+9.6/3600</f>
        <v>5.0359999999999996</v>
      </c>
      <c r="P1753" s="8" t="s">
        <v>8117</v>
      </c>
      <c r="Q1753" s="8">
        <f>-(8+14/60+27/3600)</f>
        <v>-8.2408333333333328</v>
      </c>
      <c r="R1753" s="8">
        <v>12.4</v>
      </c>
      <c r="S1753" s="8">
        <v>13.3</v>
      </c>
      <c r="T1753" s="8">
        <v>0.9</v>
      </c>
      <c r="U1753" s="8">
        <v>13.1</v>
      </c>
      <c r="V1753" s="8">
        <v>2.6</v>
      </c>
      <c r="W1753" s="8">
        <v>0.8</v>
      </c>
      <c r="X1753" s="8">
        <v>70</v>
      </c>
      <c r="Y1753" s="8" t="s">
        <v>8118</v>
      </c>
      <c r="Z1753" s="8" t="s">
        <v>8119</v>
      </c>
    </row>
    <row r="1754" spans="1:26" x14ac:dyDescent="0.2">
      <c r="A1754" s="8">
        <v>1753</v>
      </c>
      <c r="B1754" s="8" t="s">
        <v>8120</v>
      </c>
      <c r="C1754" s="8" t="s">
        <v>8120</v>
      </c>
      <c r="F1754" s="47"/>
      <c r="G1754" s="8">
        <v>19</v>
      </c>
      <c r="H1754" s="8" t="s">
        <v>21</v>
      </c>
      <c r="I1754" s="8" t="s">
        <v>22</v>
      </c>
      <c r="J1754" s="8" t="s">
        <v>22</v>
      </c>
      <c r="K1754" s="8" t="s">
        <v>91</v>
      </c>
      <c r="L1754" s="8" t="s">
        <v>7698</v>
      </c>
      <c r="M1754" s="8" t="s">
        <v>7699</v>
      </c>
      <c r="N1754" s="8" t="s">
        <v>8121</v>
      </c>
      <c r="O1754" s="8">
        <f>5+2/60+32.2/3600</f>
        <v>5.0422777777777776</v>
      </c>
      <c r="P1754" s="8" t="s">
        <v>8122</v>
      </c>
      <c r="Q1754" s="8">
        <f>-(3+20/60+41/3600)</f>
        <v>-3.3447222222222224</v>
      </c>
      <c r="R1754" s="8">
        <v>14.5</v>
      </c>
      <c r="S1754" s="8">
        <v>15.4</v>
      </c>
      <c r="T1754" s="8">
        <v>0.9</v>
      </c>
      <c r="U1754" s="8">
        <v>14.2</v>
      </c>
      <c r="V1754" s="8">
        <v>1.4</v>
      </c>
      <c r="W1754" s="8">
        <v>0.6</v>
      </c>
      <c r="X1754" s="8">
        <v>165</v>
      </c>
      <c r="Y1754" s="8" t="s">
        <v>8123</v>
      </c>
      <c r="Z1754" s="8" t="s">
        <v>8124</v>
      </c>
    </row>
    <row r="1755" spans="1:26" x14ac:dyDescent="0.2">
      <c r="A1755" s="8">
        <v>1754</v>
      </c>
      <c r="B1755" s="8" t="s">
        <v>8125</v>
      </c>
      <c r="C1755" s="8" t="s">
        <v>8125</v>
      </c>
      <c r="F1755" s="47"/>
      <c r="G1755" s="8">
        <v>16</v>
      </c>
      <c r="H1755" s="8" t="s">
        <v>21</v>
      </c>
      <c r="I1755" s="8" t="s">
        <v>557</v>
      </c>
      <c r="J1755" s="8" t="s">
        <v>557</v>
      </c>
      <c r="K1755" s="8" t="s">
        <v>557</v>
      </c>
      <c r="L1755" s="8" t="s">
        <v>7071</v>
      </c>
      <c r="M1755" s="8" t="s">
        <v>7072</v>
      </c>
      <c r="N1755" s="8" t="s">
        <v>8126</v>
      </c>
      <c r="O1755" s="8">
        <f>4+54/60+17.9/3600</f>
        <v>4.9049722222222227</v>
      </c>
      <c r="P1755" s="8" t="s">
        <v>8127</v>
      </c>
      <c r="Q1755" s="8">
        <f>-(70+26/60+30/3600)</f>
        <v>-70.441666666666677</v>
      </c>
      <c r="R1755" s="8">
        <v>12</v>
      </c>
      <c r="S1755" s="8">
        <v>99</v>
      </c>
      <c r="T1755" s="8">
        <v>99</v>
      </c>
      <c r="U1755" s="8">
        <v>99</v>
      </c>
      <c r="Y1755" s="8" t="s">
        <v>8128</v>
      </c>
      <c r="Z1755" s="8" t="s">
        <v>8129</v>
      </c>
    </row>
    <row r="1756" spans="1:26" x14ac:dyDescent="0.2">
      <c r="A1756" s="8">
        <v>1755</v>
      </c>
      <c r="B1756" s="8" t="s">
        <v>8130</v>
      </c>
      <c r="C1756" s="8" t="s">
        <v>8130</v>
      </c>
      <c r="F1756" s="47"/>
      <c r="G1756" s="8">
        <v>16</v>
      </c>
      <c r="H1756" s="8" t="s">
        <v>21</v>
      </c>
      <c r="I1756" s="8" t="s">
        <v>557</v>
      </c>
      <c r="J1756" s="8" t="s">
        <v>557</v>
      </c>
      <c r="K1756" s="8" t="s">
        <v>557</v>
      </c>
      <c r="L1756" s="8" t="s">
        <v>55972</v>
      </c>
      <c r="M1756" s="8" t="s">
        <v>6970</v>
      </c>
      <c r="N1756" s="8" t="s">
        <v>8131</v>
      </c>
      <c r="O1756" s="8">
        <f>4+55/60+14.9/3600</f>
        <v>4.9208055555555559</v>
      </c>
      <c r="P1756" s="8" t="s">
        <v>8132</v>
      </c>
      <c r="Q1756" s="8">
        <f>-(68+12/60+15/3600)</f>
        <v>-68.204166666666666</v>
      </c>
      <c r="R1756" s="8">
        <v>9.9</v>
      </c>
      <c r="S1756" s="8">
        <v>99</v>
      </c>
      <c r="T1756" s="8">
        <v>99</v>
      </c>
      <c r="U1756" s="8">
        <v>99</v>
      </c>
      <c r="V1756" s="8">
        <v>2.6</v>
      </c>
      <c r="Y1756" s="8" t="s">
        <v>8133</v>
      </c>
      <c r="Z1756" s="8" t="s">
        <v>8134</v>
      </c>
    </row>
    <row r="1757" spans="1:26" x14ac:dyDescent="0.2">
      <c r="A1757" s="8">
        <v>1756</v>
      </c>
      <c r="B1757" s="8" t="s">
        <v>8135</v>
      </c>
      <c r="C1757" s="8" t="s">
        <v>8135</v>
      </c>
      <c r="F1757" s="47"/>
      <c r="G1757" s="8">
        <v>16</v>
      </c>
      <c r="H1757" s="8" t="s">
        <v>21</v>
      </c>
      <c r="I1757" s="8" t="s">
        <v>557</v>
      </c>
      <c r="J1757" s="8" t="s">
        <v>557</v>
      </c>
      <c r="K1757" s="8" t="s">
        <v>557</v>
      </c>
      <c r="L1757" s="8" t="s">
        <v>55972</v>
      </c>
      <c r="M1757" s="8" t="s">
        <v>6970</v>
      </c>
      <c r="N1757" s="8" t="s">
        <v>8136</v>
      </c>
      <c r="O1757" s="8">
        <f>4+54/60+49.9/3600</f>
        <v>4.9138611111111112</v>
      </c>
      <c r="P1757" s="8" t="s">
        <v>8137</v>
      </c>
      <c r="Q1757" s="8">
        <f>-(69+14/60+15/3600)</f>
        <v>-69.237499999999997</v>
      </c>
      <c r="R1757" s="8">
        <v>12.2</v>
      </c>
      <c r="S1757" s="8">
        <v>99</v>
      </c>
      <c r="T1757" s="8">
        <v>99</v>
      </c>
      <c r="U1757" s="8">
        <v>99</v>
      </c>
      <c r="V1757" s="8">
        <v>1.1000000000000001</v>
      </c>
      <c r="Y1757" s="8" t="s">
        <v>170</v>
      </c>
      <c r="Z1757" s="8" t="s">
        <v>171</v>
      </c>
    </row>
    <row r="1758" spans="1:26" x14ac:dyDescent="0.2">
      <c r="A1758" s="8">
        <v>1757</v>
      </c>
      <c r="B1758" s="8" t="s">
        <v>8138</v>
      </c>
      <c r="C1758" s="8" t="s">
        <v>8138</v>
      </c>
      <c r="F1758" s="47"/>
      <c r="G1758" s="8">
        <v>16</v>
      </c>
      <c r="H1758" s="8" t="s">
        <v>21</v>
      </c>
      <c r="I1758" s="8" t="s">
        <v>329</v>
      </c>
      <c r="J1758" s="8" t="s">
        <v>329</v>
      </c>
      <c r="K1758" s="8" t="s">
        <v>329</v>
      </c>
      <c r="L1758" s="8" t="s">
        <v>3328</v>
      </c>
      <c r="M1758" s="8" t="s">
        <v>3329</v>
      </c>
      <c r="N1758" s="8" t="s">
        <v>8139</v>
      </c>
      <c r="O1758" s="8">
        <f>5+2/60+39.3/3600</f>
        <v>5.0442499999999999</v>
      </c>
      <c r="P1758" s="8" t="s">
        <v>8140</v>
      </c>
      <c r="Q1758" s="8">
        <f>-(4+43/60+23/3600)</f>
        <v>-4.7230555555555558</v>
      </c>
      <c r="R1758" s="8">
        <v>99</v>
      </c>
      <c r="S1758" s="8">
        <v>99</v>
      </c>
      <c r="T1758" s="8">
        <v>99</v>
      </c>
      <c r="U1758" s="8">
        <v>99</v>
      </c>
      <c r="Y1758" s="8" t="s">
        <v>8141</v>
      </c>
      <c r="Z1758" s="8" t="s">
        <v>8142</v>
      </c>
    </row>
    <row r="1759" spans="1:26" x14ac:dyDescent="0.2">
      <c r="A1759" s="8">
        <v>1758</v>
      </c>
      <c r="B1759" s="8" t="s">
        <v>8143</v>
      </c>
      <c r="C1759" s="8" t="s">
        <v>8143</v>
      </c>
      <c r="F1759" s="47" t="s">
        <v>56385</v>
      </c>
      <c r="G1759" s="8">
        <v>8.5</v>
      </c>
      <c r="H1759" s="8" t="s">
        <v>21</v>
      </c>
      <c r="I1759" s="8" t="s">
        <v>557</v>
      </c>
      <c r="J1759" s="8" t="s">
        <v>557</v>
      </c>
      <c r="K1759" s="8" t="s">
        <v>600</v>
      </c>
      <c r="L1759" s="8" t="s">
        <v>6115</v>
      </c>
      <c r="M1759" s="8" t="s">
        <v>6116</v>
      </c>
      <c r="N1759" s="8" t="s">
        <v>8144</v>
      </c>
      <c r="O1759" s="8">
        <f>5+4/60+36/3600</f>
        <v>5.0766666666666662</v>
      </c>
      <c r="P1759" s="8" t="s">
        <v>8145</v>
      </c>
      <c r="Q1759" s="8">
        <f>+(23+47/60+54/3600)</f>
        <v>23.798333333333336</v>
      </c>
      <c r="R1759" s="8">
        <v>99</v>
      </c>
      <c r="S1759" s="8">
        <v>99</v>
      </c>
      <c r="T1759" s="8">
        <v>99</v>
      </c>
      <c r="U1759" s="8">
        <v>99</v>
      </c>
      <c r="V1759" s="8">
        <v>40</v>
      </c>
      <c r="Y1759" s="8" t="s">
        <v>8146</v>
      </c>
      <c r="Z1759" s="8" t="s">
        <v>8147</v>
      </c>
    </row>
    <row r="1760" spans="1:26" x14ac:dyDescent="0.2">
      <c r="A1760" s="8">
        <v>1759</v>
      </c>
      <c r="B1760" s="8" t="s">
        <v>8148</v>
      </c>
      <c r="C1760" s="8" t="s">
        <v>8148</v>
      </c>
      <c r="F1760" s="47"/>
      <c r="G1760" s="8">
        <v>16</v>
      </c>
      <c r="H1760" s="8" t="s">
        <v>21</v>
      </c>
      <c r="I1760" s="8" t="s">
        <v>22</v>
      </c>
      <c r="J1760" s="8" t="s">
        <v>22</v>
      </c>
      <c r="K1760" s="8" t="s">
        <v>460</v>
      </c>
      <c r="L1760" s="8" t="s">
        <v>7243</v>
      </c>
      <c r="M1760" s="8" t="s">
        <v>7244</v>
      </c>
      <c r="N1760" s="8" t="s">
        <v>8149</v>
      </c>
      <c r="O1760" s="8">
        <f>5+0/60+49/3600</f>
        <v>5.0136111111111115</v>
      </c>
      <c r="P1760" s="8" t="s">
        <v>8150</v>
      </c>
      <c r="Q1760" s="8">
        <f>-(38+40/60+25/3600)</f>
        <v>-38.673611111111107</v>
      </c>
      <c r="R1760" s="8">
        <v>12.8</v>
      </c>
      <c r="S1760" s="8">
        <v>13.8</v>
      </c>
      <c r="T1760" s="8">
        <v>1</v>
      </c>
      <c r="U1760" s="8">
        <v>13.1</v>
      </c>
      <c r="V1760" s="8">
        <v>1.2</v>
      </c>
      <c r="W1760" s="8">
        <v>1.2</v>
      </c>
      <c r="Y1760" s="8" t="s">
        <v>8151</v>
      </c>
      <c r="Z1760" s="8" t="s">
        <v>8152</v>
      </c>
    </row>
    <row r="1761" spans="1:26" x14ac:dyDescent="0.2">
      <c r="A1761" s="8">
        <v>1760</v>
      </c>
      <c r="B1761" s="8" t="s">
        <v>8153</v>
      </c>
      <c r="C1761" s="8" t="s">
        <v>8153</v>
      </c>
      <c r="F1761" s="47"/>
      <c r="G1761" s="8">
        <v>16</v>
      </c>
      <c r="H1761" s="8" t="s">
        <v>21</v>
      </c>
      <c r="I1761" s="8" t="s">
        <v>1283</v>
      </c>
      <c r="J1761" s="8" t="s">
        <v>1283</v>
      </c>
      <c r="K1761" s="8" t="s">
        <v>1284</v>
      </c>
      <c r="L1761" s="8" t="s">
        <v>55972</v>
      </c>
      <c r="M1761" s="8" t="s">
        <v>6970</v>
      </c>
      <c r="N1761" s="8" t="s">
        <v>8154</v>
      </c>
      <c r="O1761" s="8">
        <f>4+56/60+36/3600</f>
        <v>4.9433333333333334</v>
      </c>
      <c r="P1761" s="8" t="s">
        <v>8155</v>
      </c>
      <c r="Q1761" s="8">
        <f>-(66+31/60+24/3600)</f>
        <v>-66.523333333333326</v>
      </c>
      <c r="R1761" s="8">
        <v>99</v>
      </c>
      <c r="S1761" s="8">
        <v>99</v>
      </c>
      <c r="T1761" s="8">
        <v>99</v>
      </c>
      <c r="U1761" s="8">
        <v>99</v>
      </c>
      <c r="Y1761" s="8" t="s">
        <v>8156</v>
      </c>
      <c r="Z1761" s="8" t="s">
        <v>8157</v>
      </c>
    </row>
    <row r="1762" spans="1:26" x14ac:dyDescent="0.2">
      <c r="A1762" s="8">
        <v>1761</v>
      </c>
      <c r="B1762" s="8" t="s">
        <v>8158</v>
      </c>
      <c r="C1762" s="8" t="s">
        <v>8158</v>
      </c>
      <c r="F1762" s="47"/>
      <c r="G1762" s="8">
        <v>16</v>
      </c>
      <c r="H1762" s="8" t="s">
        <v>21</v>
      </c>
      <c r="I1762" s="8" t="s">
        <v>557</v>
      </c>
      <c r="J1762" s="8" t="s">
        <v>557</v>
      </c>
      <c r="K1762" s="8" t="s">
        <v>557</v>
      </c>
      <c r="L1762" s="8" t="s">
        <v>55972</v>
      </c>
      <c r="M1762" s="8" t="s">
        <v>6970</v>
      </c>
      <c r="N1762" s="8" t="s">
        <v>8159</v>
      </c>
      <c r="O1762" s="8">
        <f>4+56/60+42/3600</f>
        <v>4.9450000000000003</v>
      </c>
      <c r="P1762" s="8" t="s">
        <v>8160</v>
      </c>
      <c r="Q1762" s="8">
        <f>-(66+28/60+45/3600)</f>
        <v>-66.479166666666671</v>
      </c>
      <c r="R1762" s="8">
        <v>9.9</v>
      </c>
      <c r="S1762" s="8">
        <v>99</v>
      </c>
      <c r="T1762" s="8">
        <v>99</v>
      </c>
      <c r="U1762" s="8">
        <v>99</v>
      </c>
      <c r="V1762" s="8">
        <v>1.2</v>
      </c>
      <c r="Y1762" s="8" t="s">
        <v>8161</v>
      </c>
      <c r="Z1762" s="8" t="s">
        <v>8162</v>
      </c>
    </row>
    <row r="1763" spans="1:26" x14ac:dyDescent="0.2">
      <c r="A1763" s="8">
        <v>1762</v>
      </c>
      <c r="B1763" s="8" t="s">
        <v>8163</v>
      </c>
      <c r="C1763" s="8" t="s">
        <v>8163</v>
      </c>
      <c r="F1763" s="47" t="s">
        <v>56386</v>
      </c>
      <c r="G1763" s="8">
        <v>6.5</v>
      </c>
      <c r="H1763" s="8" t="s">
        <v>21</v>
      </c>
      <c r="I1763" s="8" t="s">
        <v>22</v>
      </c>
      <c r="J1763" s="8" t="s">
        <v>22</v>
      </c>
      <c r="K1763" s="8" t="s">
        <v>160</v>
      </c>
      <c r="L1763" s="8" t="s">
        <v>7698</v>
      </c>
      <c r="M1763" s="8" t="s">
        <v>7699</v>
      </c>
      <c r="N1763" s="8" t="s">
        <v>8164</v>
      </c>
      <c r="O1763" s="8">
        <f>5+3/60+37/3600</f>
        <v>5.0602777777777774</v>
      </c>
      <c r="P1763" s="8" t="s">
        <v>8165</v>
      </c>
      <c r="Q1763" s="8">
        <f>+(1+34/60+24/3600)</f>
        <v>1.5733333333333333</v>
      </c>
      <c r="R1763" s="8">
        <v>12.6</v>
      </c>
      <c r="S1763" s="8">
        <v>13.4</v>
      </c>
      <c r="T1763" s="8">
        <v>0.8</v>
      </c>
      <c r="U1763" s="8">
        <v>13.1</v>
      </c>
      <c r="V1763" s="8">
        <v>1.7</v>
      </c>
      <c r="W1763" s="8">
        <v>1.1000000000000001</v>
      </c>
      <c r="X1763" s="8">
        <v>175</v>
      </c>
      <c r="Y1763" s="8" t="s">
        <v>282</v>
      </c>
      <c r="Z1763" s="8" t="s">
        <v>283</v>
      </c>
    </row>
    <row r="1764" spans="1:26" x14ac:dyDescent="0.2">
      <c r="A1764" s="8">
        <v>1763</v>
      </c>
      <c r="B1764" s="8" t="s">
        <v>8166</v>
      </c>
      <c r="C1764" s="8" t="s">
        <v>8166</v>
      </c>
      <c r="F1764" s="47"/>
      <c r="G1764" s="8">
        <v>3</v>
      </c>
      <c r="H1764" s="8" t="s">
        <v>21</v>
      </c>
      <c r="I1764" s="8" t="s">
        <v>1283</v>
      </c>
      <c r="J1764" s="8" t="s">
        <v>1283</v>
      </c>
      <c r="K1764" s="8" t="s">
        <v>1284</v>
      </c>
      <c r="L1764" s="8" t="s">
        <v>55972</v>
      </c>
      <c r="M1764" s="8" t="s">
        <v>6970</v>
      </c>
      <c r="N1764" s="8" t="s">
        <v>8167</v>
      </c>
      <c r="O1764" s="8">
        <f>4+56/60+45/3600</f>
        <v>4.9458333333333337</v>
      </c>
      <c r="P1764" s="8" t="s">
        <v>8168</v>
      </c>
      <c r="Q1764" s="8">
        <f>-(66+25/60+6/3600)</f>
        <v>-66.418333333333337</v>
      </c>
      <c r="R1764" s="8">
        <v>99</v>
      </c>
      <c r="S1764" s="8">
        <v>99</v>
      </c>
      <c r="T1764" s="8">
        <v>99</v>
      </c>
      <c r="U1764" s="8">
        <v>99</v>
      </c>
      <c r="V1764" s="8">
        <v>5</v>
      </c>
      <c r="W1764" s="8">
        <v>3</v>
      </c>
      <c r="Y1764" s="8" t="s">
        <v>8169</v>
      </c>
      <c r="Z1764" s="8" t="s">
        <v>8170</v>
      </c>
    </row>
    <row r="1765" spans="1:26" x14ac:dyDescent="0.2">
      <c r="A1765" s="8">
        <v>1764</v>
      </c>
      <c r="B1765" s="8" t="s">
        <v>8171</v>
      </c>
      <c r="C1765" s="8" t="s">
        <v>8171</v>
      </c>
      <c r="F1765" s="47"/>
      <c r="G1765" s="8">
        <v>16</v>
      </c>
      <c r="H1765" s="8" t="s">
        <v>21</v>
      </c>
      <c r="I1765" s="8" t="s">
        <v>557</v>
      </c>
      <c r="J1765" s="8" t="s">
        <v>557</v>
      </c>
      <c r="K1765" s="8" t="s">
        <v>557</v>
      </c>
      <c r="L1765" s="8" t="s">
        <v>55972</v>
      </c>
      <c r="M1765" s="8" t="s">
        <v>6970</v>
      </c>
      <c r="N1765" s="8" t="s">
        <v>8172</v>
      </c>
      <c r="O1765" s="8">
        <f>4+56/60+27.8/3600</f>
        <v>4.9410555555555558</v>
      </c>
      <c r="P1765" s="8" t="s">
        <v>8173</v>
      </c>
      <c r="Q1765" s="8">
        <f>-(67+41/60+38/3600)</f>
        <v>-67.693888888888893</v>
      </c>
      <c r="R1765" s="8">
        <v>12.6</v>
      </c>
      <c r="S1765" s="8">
        <v>12.9</v>
      </c>
      <c r="T1765" s="8">
        <v>99</v>
      </c>
      <c r="U1765" s="8">
        <v>99</v>
      </c>
      <c r="V1765" s="8">
        <v>1</v>
      </c>
      <c r="Y1765" s="8" t="s">
        <v>170</v>
      </c>
      <c r="Z1765" s="8" t="s">
        <v>171</v>
      </c>
    </row>
    <row r="1766" spans="1:26" x14ac:dyDescent="0.2">
      <c r="A1766" s="8">
        <v>1765</v>
      </c>
      <c r="B1766" s="8" t="s">
        <v>8174</v>
      </c>
      <c r="C1766" s="8" t="s">
        <v>8174</v>
      </c>
      <c r="F1766" s="47"/>
      <c r="G1766" s="8">
        <v>16</v>
      </c>
      <c r="H1766" s="8" t="s">
        <v>21</v>
      </c>
      <c r="I1766" s="8" t="s">
        <v>22</v>
      </c>
      <c r="J1766" s="8" t="s">
        <v>22</v>
      </c>
      <c r="K1766" s="8" t="s">
        <v>224</v>
      </c>
      <c r="L1766" s="8" t="s">
        <v>55972</v>
      </c>
      <c r="M1766" s="8" t="s">
        <v>6970</v>
      </c>
      <c r="N1766" s="8" t="s">
        <v>8175</v>
      </c>
      <c r="O1766" s="8">
        <f>4+58/60+24.3/3600</f>
        <v>4.973416666666667</v>
      </c>
      <c r="P1766" s="8" t="s">
        <v>8176</v>
      </c>
      <c r="Q1766" s="8">
        <f>-(62+1/60+40/3600)</f>
        <v>-62.027777777777779</v>
      </c>
      <c r="R1766" s="8">
        <v>13</v>
      </c>
      <c r="S1766" s="8">
        <v>14</v>
      </c>
      <c r="T1766" s="8">
        <v>1</v>
      </c>
      <c r="U1766" s="8">
        <v>13</v>
      </c>
      <c r="V1766" s="8">
        <v>1.2</v>
      </c>
      <c r="W1766" s="8">
        <v>1</v>
      </c>
      <c r="X1766" s="8">
        <v>150</v>
      </c>
      <c r="Y1766" s="8" t="s">
        <v>8177</v>
      </c>
      <c r="Z1766" s="8" t="s">
        <v>8178</v>
      </c>
    </row>
    <row r="1767" spans="1:26" x14ac:dyDescent="0.2">
      <c r="A1767" s="8">
        <v>1766</v>
      </c>
      <c r="B1767" s="8" t="s">
        <v>8179</v>
      </c>
      <c r="C1767" s="8" t="s">
        <v>8179</v>
      </c>
      <c r="F1767" s="47"/>
      <c r="G1767" s="8">
        <v>16</v>
      </c>
      <c r="H1767" s="8" t="s">
        <v>21</v>
      </c>
      <c r="I1767" s="8" t="s">
        <v>557</v>
      </c>
      <c r="J1767" s="8" t="s">
        <v>557</v>
      </c>
      <c r="K1767" s="8" t="s">
        <v>557</v>
      </c>
      <c r="L1767" s="8" t="s">
        <v>7071</v>
      </c>
      <c r="M1767" s="8" t="s">
        <v>7072</v>
      </c>
      <c r="N1767" s="8" t="s">
        <v>8180</v>
      </c>
      <c r="O1767" s="8">
        <f>4+55/60+57.7/3600</f>
        <v>4.9326944444444445</v>
      </c>
      <c r="P1767" s="8" t="s">
        <v>8181</v>
      </c>
      <c r="Q1767" s="8">
        <f>-(70+13/60+31/3600)</f>
        <v>-70.225277777777777</v>
      </c>
      <c r="R1767" s="8">
        <v>12.2</v>
      </c>
      <c r="S1767" s="8">
        <v>99</v>
      </c>
      <c r="T1767" s="8">
        <v>99</v>
      </c>
      <c r="U1767" s="8">
        <v>99</v>
      </c>
      <c r="V1767" s="8">
        <v>0.7</v>
      </c>
      <c r="Y1767" s="8" t="s">
        <v>8182</v>
      </c>
      <c r="Z1767" s="8" t="s">
        <v>8183</v>
      </c>
    </row>
    <row r="1768" spans="1:26" x14ac:dyDescent="0.2">
      <c r="A1768" s="8">
        <v>1767</v>
      </c>
      <c r="B1768" s="8" t="s">
        <v>8184</v>
      </c>
      <c r="C1768" s="8" t="s">
        <v>8184</v>
      </c>
      <c r="F1768" s="49"/>
      <c r="G1768" s="8">
        <v>18</v>
      </c>
      <c r="H1768" s="8" t="s">
        <v>21</v>
      </c>
      <c r="I1768" s="8" t="s">
        <v>557</v>
      </c>
      <c r="J1768" s="8" t="s">
        <v>557</v>
      </c>
      <c r="K1768" s="8" t="s">
        <v>1816</v>
      </c>
      <c r="L1768" s="8" t="s">
        <v>55972</v>
      </c>
      <c r="M1768" s="8" t="s">
        <v>6970</v>
      </c>
      <c r="N1768" s="8" t="s">
        <v>8185</v>
      </c>
      <c r="O1768" s="8">
        <f>4+56/60+27.4/3600</f>
        <v>4.9409444444444448</v>
      </c>
      <c r="P1768" s="8" t="s">
        <v>8186</v>
      </c>
      <c r="Q1768" s="8">
        <f>-(69+24/60+2/3600)</f>
        <v>-69.400555555555556</v>
      </c>
      <c r="R1768" s="8">
        <v>10.6</v>
      </c>
      <c r="S1768" s="8">
        <v>10.9</v>
      </c>
      <c r="T1768" s="8">
        <v>99</v>
      </c>
      <c r="U1768" s="8">
        <v>99</v>
      </c>
      <c r="V1768" s="8">
        <v>1.6</v>
      </c>
      <c r="Y1768" s="8" t="s">
        <v>8187</v>
      </c>
      <c r="Z1768" s="8" t="s">
        <v>8188</v>
      </c>
    </row>
    <row r="1769" spans="1:26" x14ac:dyDescent="0.2">
      <c r="A1769" s="8">
        <v>1768</v>
      </c>
      <c r="B1769" s="8" t="s">
        <v>8189</v>
      </c>
      <c r="C1769" s="8" t="s">
        <v>8189</v>
      </c>
      <c r="F1769" s="47"/>
      <c r="G1769" s="8">
        <v>16</v>
      </c>
      <c r="H1769" s="8" t="s">
        <v>21</v>
      </c>
      <c r="I1769" s="8" t="s">
        <v>557</v>
      </c>
      <c r="J1769" s="8" t="s">
        <v>557</v>
      </c>
      <c r="K1769" s="8" t="s">
        <v>557</v>
      </c>
      <c r="L1769" s="8" t="s">
        <v>55972</v>
      </c>
      <c r="M1769" s="8" t="s">
        <v>6970</v>
      </c>
      <c r="N1769" s="8" t="s">
        <v>8190</v>
      </c>
      <c r="O1769" s="8">
        <f>4+57/60+0.2/3600</f>
        <v>4.9500555555555561</v>
      </c>
      <c r="P1769" s="8" t="s">
        <v>8191</v>
      </c>
      <c r="Q1769" s="8">
        <f>-(68+14/60+58/3600)</f>
        <v>-68.24944444444445</v>
      </c>
      <c r="R1769" s="8">
        <v>12.8</v>
      </c>
      <c r="S1769" s="8">
        <v>12.5</v>
      </c>
      <c r="T1769" s="8">
        <v>99</v>
      </c>
      <c r="U1769" s="8">
        <v>99</v>
      </c>
      <c r="V1769" s="8">
        <v>0.9</v>
      </c>
      <c r="Y1769" s="8" t="s">
        <v>6420</v>
      </c>
      <c r="Z1769" s="8" t="s">
        <v>6421</v>
      </c>
    </row>
    <row r="1770" spans="1:26" x14ac:dyDescent="0.2">
      <c r="A1770" s="8">
        <v>1769</v>
      </c>
      <c r="B1770" s="8" t="s">
        <v>8192</v>
      </c>
      <c r="C1770" s="8" t="s">
        <v>8192</v>
      </c>
      <c r="F1770" s="47"/>
      <c r="G1770" s="8">
        <v>16</v>
      </c>
      <c r="H1770" s="8" t="s">
        <v>21</v>
      </c>
      <c r="I1770" s="8" t="s">
        <v>1283</v>
      </c>
      <c r="J1770" s="8" t="s">
        <v>1283</v>
      </c>
      <c r="K1770" s="8" t="s">
        <v>1284</v>
      </c>
      <c r="L1770" s="8" t="s">
        <v>55972</v>
      </c>
      <c r="M1770" s="8" t="s">
        <v>6970</v>
      </c>
      <c r="N1770" s="8" t="s">
        <v>8193</v>
      </c>
      <c r="O1770" s="8">
        <f>4+57/60+44.7/3600</f>
        <v>4.9624166666666669</v>
      </c>
      <c r="P1770" s="8" t="s">
        <v>8194</v>
      </c>
      <c r="Q1770" s="8">
        <f>-(66+27/60+49/3600)</f>
        <v>-66.463611111111121</v>
      </c>
      <c r="R1770" s="8">
        <v>99</v>
      </c>
      <c r="S1770" s="8">
        <v>99</v>
      </c>
      <c r="T1770" s="8">
        <v>99</v>
      </c>
      <c r="U1770" s="8">
        <v>99</v>
      </c>
      <c r="Y1770" s="8" t="s">
        <v>8195</v>
      </c>
      <c r="Z1770" s="8" t="s">
        <v>8196</v>
      </c>
    </row>
    <row r="1771" spans="1:26" x14ac:dyDescent="0.2">
      <c r="A1771" s="8">
        <v>1770</v>
      </c>
      <c r="B1771" s="8" t="s">
        <v>8197</v>
      </c>
      <c r="C1771" s="8" t="s">
        <v>8197</v>
      </c>
      <c r="F1771" s="47"/>
      <c r="G1771" s="8">
        <v>5</v>
      </c>
      <c r="H1771" s="8" t="s">
        <v>21</v>
      </c>
      <c r="I1771" s="8" t="s">
        <v>557</v>
      </c>
      <c r="J1771" s="8" t="s">
        <v>557</v>
      </c>
      <c r="K1771" s="8" t="s">
        <v>1816</v>
      </c>
      <c r="L1771" s="8" t="s">
        <v>55972</v>
      </c>
      <c r="M1771" s="8" t="s">
        <v>6970</v>
      </c>
      <c r="N1771" s="8" t="s">
        <v>8198</v>
      </c>
      <c r="O1771" s="8">
        <f>4+57/60+18/3600</f>
        <v>4.9550000000000001</v>
      </c>
      <c r="P1771" s="8" t="s">
        <v>8199</v>
      </c>
      <c r="Q1771" s="8">
        <f>-(68+24/60+54/3600)</f>
        <v>-68.415000000000006</v>
      </c>
      <c r="R1771" s="8">
        <v>99</v>
      </c>
      <c r="S1771" s="8">
        <v>99</v>
      </c>
      <c r="T1771" s="8">
        <v>99</v>
      </c>
      <c r="U1771" s="8">
        <v>99</v>
      </c>
      <c r="V1771" s="8">
        <v>1.6</v>
      </c>
      <c r="Y1771" s="8" t="s">
        <v>8200</v>
      </c>
      <c r="Z1771" s="8" t="s">
        <v>8201</v>
      </c>
    </row>
    <row r="1772" spans="1:26" x14ac:dyDescent="0.2">
      <c r="A1772" s="8">
        <v>1771</v>
      </c>
      <c r="B1772" s="8" t="s">
        <v>8202</v>
      </c>
      <c r="C1772" s="8" t="s">
        <v>8202</v>
      </c>
      <c r="F1772" s="47"/>
      <c r="G1772" s="8">
        <v>16</v>
      </c>
      <c r="H1772" s="8" t="s">
        <v>21</v>
      </c>
      <c r="I1772" s="8" t="s">
        <v>22</v>
      </c>
      <c r="J1772" s="8" t="s">
        <v>22</v>
      </c>
      <c r="K1772" s="8" t="s">
        <v>160</v>
      </c>
      <c r="L1772" s="8" t="s">
        <v>55972</v>
      </c>
      <c r="M1772" s="8" t="s">
        <v>6970</v>
      </c>
      <c r="N1772" s="8" t="s">
        <v>8203</v>
      </c>
      <c r="O1772" s="8">
        <f>4+58/60+55.6/3600</f>
        <v>4.9821111111111112</v>
      </c>
      <c r="P1772" s="8" t="s">
        <v>8204</v>
      </c>
      <c r="Q1772" s="8">
        <f>-(63+17/60+54/3600)</f>
        <v>-63.298333333333332</v>
      </c>
      <c r="R1772" s="8">
        <v>13.4</v>
      </c>
      <c r="S1772" s="8">
        <v>14.2</v>
      </c>
      <c r="T1772" s="8">
        <v>0.8</v>
      </c>
      <c r="U1772" s="8">
        <v>13.3</v>
      </c>
      <c r="V1772" s="8">
        <v>1.8</v>
      </c>
      <c r="W1772" s="8">
        <v>0.5</v>
      </c>
      <c r="X1772" s="8">
        <v>136</v>
      </c>
      <c r="Y1772" s="8" t="s">
        <v>8205</v>
      </c>
      <c r="Z1772" s="8" t="s">
        <v>8206</v>
      </c>
    </row>
    <row r="1773" spans="1:26" x14ac:dyDescent="0.2">
      <c r="A1773" s="8">
        <v>1772</v>
      </c>
      <c r="B1773" s="8" t="s">
        <v>8207</v>
      </c>
      <c r="C1773" s="8" t="s">
        <v>8207</v>
      </c>
      <c r="F1773" s="47"/>
      <c r="G1773" s="8">
        <v>16</v>
      </c>
      <c r="H1773" s="8" t="s">
        <v>21</v>
      </c>
      <c r="I1773" s="8" t="s">
        <v>557</v>
      </c>
      <c r="J1773" s="8" t="s">
        <v>557</v>
      </c>
      <c r="K1773" s="8" t="s">
        <v>557</v>
      </c>
      <c r="L1773" s="8" t="s">
        <v>55972</v>
      </c>
      <c r="M1773" s="8" t="s">
        <v>6970</v>
      </c>
      <c r="N1773" s="8" t="s">
        <v>8208</v>
      </c>
      <c r="O1773" s="8">
        <f>4+56/60+52.9/3600</f>
        <v>4.9480277777777779</v>
      </c>
      <c r="P1773" s="8" t="s">
        <v>8209</v>
      </c>
      <c r="Q1773" s="8">
        <f>-(69+33/60+22/3600)</f>
        <v>-69.556111111111107</v>
      </c>
      <c r="R1773" s="8">
        <v>11</v>
      </c>
      <c r="S1773" s="8">
        <v>11.2</v>
      </c>
      <c r="T1773" s="8">
        <v>99</v>
      </c>
      <c r="U1773" s="8">
        <v>99</v>
      </c>
      <c r="V1773" s="8">
        <v>1.5</v>
      </c>
      <c r="Y1773" s="8" t="s">
        <v>8210</v>
      </c>
      <c r="Z1773" s="8" t="s">
        <v>8211</v>
      </c>
    </row>
    <row r="1774" spans="1:26" x14ac:dyDescent="0.2">
      <c r="A1774" s="8">
        <v>1773</v>
      </c>
      <c r="B1774" s="8" t="s">
        <v>8212</v>
      </c>
      <c r="C1774" s="8" t="s">
        <v>8212</v>
      </c>
      <c r="F1774" s="47"/>
      <c r="G1774" s="8">
        <v>16</v>
      </c>
      <c r="H1774" s="8" t="s">
        <v>21</v>
      </c>
      <c r="I1774" s="8" t="s">
        <v>1283</v>
      </c>
      <c r="J1774" s="8" t="s">
        <v>1283</v>
      </c>
      <c r="K1774" s="8" t="s">
        <v>1284</v>
      </c>
      <c r="L1774" s="8" t="s">
        <v>55972</v>
      </c>
      <c r="M1774" s="8" t="s">
        <v>6970</v>
      </c>
      <c r="N1774" s="8" t="s">
        <v>8213</v>
      </c>
      <c r="O1774" s="8">
        <f>4+58/60+12/3600</f>
        <v>4.97</v>
      </c>
      <c r="P1774" s="8" t="s">
        <v>8214</v>
      </c>
      <c r="Q1774" s="8">
        <f>-(66+21/60+57/3600)</f>
        <v>-66.365833333333327</v>
      </c>
      <c r="R1774" s="8">
        <v>99</v>
      </c>
      <c r="S1774" s="8">
        <v>99</v>
      </c>
      <c r="T1774" s="8">
        <v>99</v>
      </c>
      <c r="U1774" s="8">
        <v>99</v>
      </c>
      <c r="Y1774" s="8" t="s">
        <v>8215</v>
      </c>
      <c r="Z1774" s="8" t="s">
        <v>8216</v>
      </c>
    </row>
    <row r="1775" spans="1:26" x14ac:dyDescent="0.2">
      <c r="A1775" s="8">
        <v>1774</v>
      </c>
      <c r="B1775" s="8" t="s">
        <v>8217</v>
      </c>
      <c r="C1775" s="8" t="s">
        <v>8217</v>
      </c>
      <c r="F1775" s="47"/>
      <c r="G1775" s="8">
        <v>16</v>
      </c>
      <c r="H1775" s="8" t="s">
        <v>21</v>
      </c>
      <c r="I1775" s="8" t="s">
        <v>557</v>
      </c>
      <c r="J1775" s="8" t="s">
        <v>557</v>
      </c>
      <c r="K1775" s="8" t="s">
        <v>557</v>
      </c>
      <c r="L1775" s="8" t="s">
        <v>55972</v>
      </c>
      <c r="M1775" s="8" t="s">
        <v>6970</v>
      </c>
      <c r="N1775" s="8" t="s">
        <v>8218</v>
      </c>
      <c r="O1775" s="8">
        <f>4+58/60+6.9/3600</f>
        <v>4.9685833333333331</v>
      </c>
      <c r="P1775" s="8" t="s">
        <v>8219</v>
      </c>
      <c r="Q1775" s="8">
        <f>-(67+14/60+33/3600)</f>
        <v>-67.242500000000007</v>
      </c>
      <c r="R1775" s="8">
        <v>10.8</v>
      </c>
      <c r="S1775" s="8">
        <v>99</v>
      </c>
      <c r="T1775" s="8">
        <v>99</v>
      </c>
      <c r="U1775" s="8">
        <v>99</v>
      </c>
      <c r="V1775" s="8">
        <v>1.8</v>
      </c>
      <c r="Y1775" s="8" t="s">
        <v>8220</v>
      </c>
      <c r="Z1775" s="8" t="s">
        <v>8221</v>
      </c>
    </row>
    <row r="1776" spans="1:26" x14ac:dyDescent="0.2">
      <c r="A1776" s="8">
        <v>1775</v>
      </c>
      <c r="B1776" s="8" t="s">
        <v>8222</v>
      </c>
      <c r="C1776" s="8" t="s">
        <v>8222</v>
      </c>
      <c r="F1776" s="47"/>
      <c r="G1776" s="8">
        <v>16</v>
      </c>
      <c r="H1776" s="8" t="s">
        <v>21</v>
      </c>
      <c r="I1776" s="8" t="s">
        <v>557</v>
      </c>
      <c r="J1776" s="8" t="s">
        <v>557</v>
      </c>
      <c r="K1776" s="8" t="s">
        <v>557</v>
      </c>
      <c r="L1776" s="8" t="s">
        <v>7071</v>
      </c>
      <c r="M1776" s="8" t="s">
        <v>7072</v>
      </c>
      <c r="N1776" s="8" t="s">
        <v>8223</v>
      </c>
      <c r="O1776" s="8">
        <f>4+56/60+53.4/3600</f>
        <v>4.9481666666666673</v>
      </c>
      <c r="P1776" s="8" t="s">
        <v>8224</v>
      </c>
      <c r="Q1776" s="8">
        <f>-(70+25/60+47/3600)</f>
        <v>-70.429722222222225</v>
      </c>
      <c r="R1776" s="8">
        <v>12.6</v>
      </c>
      <c r="S1776" s="8">
        <v>99</v>
      </c>
      <c r="T1776" s="8">
        <v>99</v>
      </c>
      <c r="U1776" s="8">
        <v>99</v>
      </c>
      <c r="V1776" s="8">
        <v>0.7</v>
      </c>
      <c r="Y1776" s="8" t="s">
        <v>2792</v>
      </c>
      <c r="Z1776" s="8" t="s">
        <v>2793</v>
      </c>
    </row>
    <row r="1777" spans="1:26" x14ac:dyDescent="0.2">
      <c r="A1777" s="8">
        <v>1776</v>
      </c>
      <c r="B1777" s="8" t="s">
        <v>8225</v>
      </c>
      <c r="C1777" s="8" t="s">
        <v>8225</v>
      </c>
      <c r="F1777" s="47"/>
      <c r="G1777" s="8">
        <v>16</v>
      </c>
      <c r="H1777" s="8" t="s">
        <v>21</v>
      </c>
      <c r="I1777" s="8" t="s">
        <v>557</v>
      </c>
      <c r="J1777" s="8" t="s">
        <v>557</v>
      </c>
      <c r="K1777" s="8" t="s">
        <v>557</v>
      </c>
      <c r="L1777" s="8" t="s">
        <v>55972</v>
      </c>
      <c r="M1777" s="8" t="s">
        <v>6970</v>
      </c>
      <c r="N1777" s="8" t="s">
        <v>8226</v>
      </c>
      <c r="O1777" s="8">
        <f>4+58/60+39.8/3600</f>
        <v>4.9777222222222219</v>
      </c>
      <c r="P1777" s="8" t="s">
        <v>8227</v>
      </c>
      <c r="Q1777" s="8">
        <f>-(66+25/60+47/3600)</f>
        <v>-66.429722222222225</v>
      </c>
      <c r="R1777" s="8">
        <v>13</v>
      </c>
      <c r="S1777" s="8">
        <v>13.3</v>
      </c>
      <c r="T1777" s="8">
        <v>99</v>
      </c>
      <c r="U1777" s="8">
        <v>99</v>
      </c>
      <c r="V1777" s="8">
        <v>1.1000000000000001</v>
      </c>
      <c r="Y1777" s="8" t="s">
        <v>750</v>
      </c>
      <c r="Z1777" s="8" t="s">
        <v>751</v>
      </c>
    </row>
    <row r="1778" spans="1:26" x14ac:dyDescent="0.2">
      <c r="A1778" s="8">
        <v>1777</v>
      </c>
      <c r="B1778" s="8" t="s">
        <v>8228</v>
      </c>
      <c r="C1778" s="8" t="s">
        <v>8228</v>
      </c>
      <c r="F1778" s="47"/>
      <c r="G1778" s="8">
        <v>16</v>
      </c>
      <c r="H1778" s="8" t="s">
        <v>21</v>
      </c>
      <c r="I1778" s="8" t="s">
        <v>557</v>
      </c>
      <c r="J1778" s="8" t="s">
        <v>557</v>
      </c>
      <c r="K1778" s="8" t="s">
        <v>557</v>
      </c>
      <c r="L1778" s="8" t="s">
        <v>7071</v>
      </c>
      <c r="M1778" s="8" t="s">
        <v>7072</v>
      </c>
      <c r="N1778" s="8" t="s">
        <v>8229</v>
      </c>
      <c r="O1778" s="8">
        <f>4+55/60+47.8/3600</f>
        <v>4.9299444444444447</v>
      </c>
      <c r="P1778" s="8" t="s">
        <v>8230</v>
      </c>
      <c r="Q1778" s="8">
        <f>-(74+17/60+8/3600)</f>
        <v>-74.285555555555547</v>
      </c>
      <c r="R1778" s="8">
        <v>12.8</v>
      </c>
      <c r="S1778" s="8">
        <v>13.4</v>
      </c>
      <c r="T1778" s="8">
        <v>99</v>
      </c>
      <c r="U1778" s="8">
        <v>99</v>
      </c>
      <c r="V1778" s="8">
        <v>2.1</v>
      </c>
      <c r="Y1778" s="8" t="s">
        <v>8231</v>
      </c>
      <c r="Z1778" s="8" t="s">
        <v>8232</v>
      </c>
    </row>
    <row r="1779" spans="1:26" x14ac:dyDescent="0.2">
      <c r="A1779" s="8">
        <v>1778</v>
      </c>
      <c r="B1779" s="8" t="s">
        <v>8233</v>
      </c>
      <c r="C1779" s="8" t="s">
        <v>8233</v>
      </c>
      <c r="F1779" s="47" t="s">
        <v>56387</v>
      </c>
      <c r="G1779" s="8">
        <v>6.5</v>
      </c>
      <c r="H1779" s="8" t="s">
        <v>21</v>
      </c>
      <c r="I1779" s="8" t="s">
        <v>557</v>
      </c>
      <c r="J1779" s="8" t="s">
        <v>557</v>
      </c>
      <c r="K1779" s="8" t="s">
        <v>987</v>
      </c>
      <c r="L1779" s="8" t="s">
        <v>7717</v>
      </c>
      <c r="M1779" s="8" t="s">
        <v>7718</v>
      </c>
      <c r="N1779" s="8" t="s">
        <v>8234</v>
      </c>
      <c r="O1779" s="8">
        <f>5+8/60+5/3600</f>
        <v>5.1347222222222229</v>
      </c>
      <c r="P1779" s="8" t="s">
        <v>8235</v>
      </c>
      <c r="Q1779" s="8">
        <f>+(37+1/60+24/3600)</f>
        <v>37.023333333333333</v>
      </c>
      <c r="R1779" s="8">
        <v>7.7</v>
      </c>
      <c r="S1779" s="8">
        <v>99</v>
      </c>
      <c r="T1779" s="8">
        <v>99</v>
      </c>
      <c r="U1779" s="8">
        <v>99</v>
      </c>
      <c r="V1779" s="8">
        <v>8</v>
      </c>
      <c r="Y1779" s="8" t="s">
        <v>8236</v>
      </c>
      <c r="Z1779" s="8" t="s">
        <v>8237</v>
      </c>
    </row>
    <row r="1780" spans="1:26" x14ac:dyDescent="0.2">
      <c r="A1780" s="8">
        <v>1779</v>
      </c>
      <c r="B1780" s="8" t="s">
        <v>8238</v>
      </c>
      <c r="C1780" s="8" t="s">
        <v>8238</v>
      </c>
      <c r="F1780" s="47" t="s">
        <v>56388</v>
      </c>
      <c r="G1780" s="8">
        <v>6.5</v>
      </c>
      <c r="H1780" s="8" t="s">
        <v>21</v>
      </c>
      <c r="I1780" s="8" t="s">
        <v>22</v>
      </c>
      <c r="J1780" s="8" t="s">
        <v>22</v>
      </c>
      <c r="K1780" s="8" t="s">
        <v>435</v>
      </c>
      <c r="L1780" s="8" t="s">
        <v>3328</v>
      </c>
      <c r="M1780" s="8" t="s">
        <v>3329</v>
      </c>
      <c r="N1780" s="8" t="s">
        <v>8239</v>
      </c>
      <c r="O1780" s="8">
        <f>5+5/60+18/3600</f>
        <v>5.0883333333333329</v>
      </c>
      <c r="P1780" s="8" t="s">
        <v>8240</v>
      </c>
      <c r="Q1780" s="8">
        <f>-(9+8/60+52/3600)</f>
        <v>-9.1477777777777778</v>
      </c>
      <c r="R1780" s="8">
        <v>12.1</v>
      </c>
      <c r="S1780" s="8">
        <v>13</v>
      </c>
      <c r="T1780" s="8">
        <v>0.9</v>
      </c>
      <c r="U1780" s="8">
        <v>13.1</v>
      </c>
      <c r="V1780" s="8">
        <v>2.5</v>
      </c>
      <c r="W1780" s="8">
        <v>1.4</v>
      </c>
      <c r="X1780" s="8">
        <v>108</v>
      </c>
      <c r="Y1780" s="8" t="s">
        <v>8241</v>
      </c>
      <c r="Z1780" s="8" t="s">
        <v>8242</v>
      </c>
    </row>
    <row r="1781" spans="1:26" x14ac:dyDescent="0.2">
      <c r="A1781" s="8">
        <v>1780</v>
      </c>
      <c r="B1781" s="8" t="s">
        <v>8243</v>
      </c>
      <c r="C1781" s="8" t="s">
        <v>8243</v>
      </c>
      <c r="F1781" s="47"/>
      <c r="G1781" s="8">
        <v>19</v>
      </c>
      <c r="H1781" s="8" t="s">
        <v>21</v>
      </c>
      <c r="I1781" s="8" t="s">
        <v>22</v>
      </c>
      <c r="J1781" s="8" t="s">
        <v>22</v>
      </c>
      <c r="K1781" s="8" t="s">
        <v>224</v>
      </c>
      <c r="L1781" s="8" t="s">
        <v>7915</v>
      </c>
      <c r="M1781" s="8" t="s">
        <v>7916</v>
      </c>
      <c r="N1781" s="8" t="s">
        <v>8244</v>
      </c>
      <c r="O1781" s="8">
        <f>5+6/60+20.7/3600</f>
        <v>5.1057499999999996</v>
      </c>
      <c r="P1781" s="8" t="s">
        <v>8245</v>
      </c>
      <c r="Q1781" s="8">
        <f>-(19+28/60+1/3600)</f>
        <v>-19.466944444444444</v>
      </c>
      <c r="R1781" s="8">
        <v>13.7</v>
      </c>
      <c r="S1781" s="8">
        <v>14.7</v>
      </c>
      <c r="T1781" s="8">
        <v>1</v>
      </c>
      <c r="U1781" s="8">
        <v>12.7</v>
      </c>
      <c r="V1781" s="8">
        <v>0.9</v>
      </c>
      <c r="W1781" s="8">
        <v>0.5</v>
      </c>
      <c r="X1781" s="8">
        <v>84</v>
      </c>
      <c r="Y1781" s="8" t="s">
        <v>8246</v>
      </c>
      <c r="Z1781" s="8" t="s">
        <v>8247</v>
      </c>
    </row>
    <row r="1782" spans="1:26" x14ac:dyDescent="0.2">
      <c r="A1782" s="8">
        <v>1781</v>
      </c>
      <c r="B1782" s="8" t="s">
        <v>8248</v>
      </c>
      <c r="C1782" s="8" t="s">
        <v>8248</v>
      </c>
      <c r="F1782" s="47" t="s">
        <v>56389</v>
      </c>
      <c r="G1782" s="8">
        <v>15</v>
      </c>
      <c r="H1782" s="8" t="s">
        <v>21</v>
      </c>
      <c r="I1782" s="8" t="s">
        <v>22</v>
      </c>
      <c r="J1782" s="8" t="s">
        <v>22</v>
      </c>
      <c r="K1782" s="8" t="s">
        <v>224</v>
      </c>
      <c r="L1782" s="8" t="s">
        <v>7915</v>
      </c>
      <c r="M1782" s="8" t="s">
        <v>7916</v>
      </c>
      <c r="N1782" s="8" t="s">
        <v>8249</v>
      </c>
      <c r="O1782" s="8">
        <f>5+7/60+55.1/3600</f>
        <v>5.1319722222222222</v>
      </c>
      <c r="P1782" s="8" t="s">
        <v>8250</v>
      </c>
      <c r="Q1782" s="8">
        <f>-(18+11/60+24/3600)</f>
        <v>-18.190000000000001</v>
      </c>
      <c r="R1782" s="8">
        <v>12.6</v>
      </c>
      <c r="S1782" s="8">
        <v>13.6</v>
      </c>
      <c r="T1782" s="8">
        <v>1</v>
      </c>
      <c r="U1782" s="8">
        <v>12.8</v>
      </c>
      <c r="V1782" s="8">
        <v>1.3</v>
      </c>
      <c r="W1782" s="8">
        <v>1.1000000000000001</v>
      </c>
      <c r="X1782" s="8">
        <v>45</v>
      </c>
      <c r="Y1782" s="8" t="s">
        <v>2287</v>
      </c>
      <c r="Z1782" s="8" t="s">
        <v>2288</v>
      </c>
    </row>
    <row r="1783" spans="1:26" x14ac:dyDescent="0.2">
      <c r="A1783" s="8">
        <v>1782</v>
      </c>
      <c r="B1783" s="8" t="s">
        <v>8251</v>
      </c>
      <c r="C1783" s="8" t="s">
        <v>8251</v>
      </c>
      <c r="F1783" s="47"/>
      <c r="G1783" s="8">
        <v>16</v>
      </c>
      <c r="H1783" s="8" t="s">
        <v>21</v>
      </c>
      <c r="I1783" s="8" t="s">
        <v>557</v>
      </c>
      <c r="J1783" s="8" t="s">
        <v>557</v>
      </c>
      <c r="K1783" s="8" t="s">
        <v>557</v>
      </c>
      <c r="L1783" s="8" t="s">
        <v>55972</v>
      </c>
      <c r="M1783" s="8" t="s">
        <v>6970</v>
      </c>
      <c r="N1783" s="8" t="s">
        <v>8252</v>
      </c>
      <c r="O1783" s="8">
        <f>4+57/60+51.2/3600</f>
        <v>4.9642222222222223</v>
      </c>
      <c r="P1783" s="8" t="s">
        <v>8253</v>
      </c>
      <c r="Q1783" s="8">
        <f>-(69+23/60+32/3600)</f>
        <v>-69.39222222222223</v>
      </c>
      <c r="R1783" s="8">
        <v>10.5</v>
      </c>
      <c r="S1783" s="8">
        <v>10.8</v>
      </c>
      <c r="T1783" s="8">
        <v>99</v>
      </c>
      <c r="U1783" s="8">
        <v>99</v>
      </c>
      <c r="V1783" s="8">
        <v>1.2</v>
      </c>
      <c r="Y1783" s="8" t="s">
        <v>8254</v>
      </c>
      <c r="Z1783" s="8" t="s">
        <v>8255</v>
      </c>
    </row>
    <row r="1784" spans="1:26" x14ac:dyDescent="0.2">
      <c r="A1784" s="8">
        <v>1783</v>
      </c>
      <c r="B1784" s="8" t="s">
        <v>8256</v>
      </c>
      <c r="C1784" s="8" t="s">
        <v>8256</v>
      </c>
      <c r="F1784" s="47"/>
      <c r="G1784" s="8">
        <v>3</v>
      </c>
      <c r="H1784" s="8" t="s">
        <v>21</v>
      </c>
      <c r="I1784" s="8" t="s">
        <v>557</v>
      </c>
      <c r="J1784" s="8" t="s">
        <v>557</v>
      </c>
      <c r="K1784" s="8" t="s">
        <v>557</v>
      </c>
      <c r="L1784" s="8" t="s">
        <v>55972</v>
      </c>
      <c r="M1784" s="8" t="s">
        <v>6970</v>
      </c>
      <c r="N1784" s="8" t="s">
        <v>8257</v>
      </c>
      <c r="O1784" s="8">
        <f>4+59/60+8.8/3600</f>
        <v>4.9857777777777779</v>
      </c>
      <c r="P1784" s="8" t="s">
        <v>8258</v>
      </c>
      <c r="Q1784" s="8">
        <f>-(65+59/60+7/3600)</f>
        <v>-65.985277777777782</v>
      </c>
      <c r="R1784" s="8">
        <v>10.9</v>
      </c>
      <c r="S1784" s="8">
        <v>10.9</v>
      </c>
      <c r="T1784" s="8">
        <v>99</v>
      </c>
      <c r="U1784" s="8">
        <v>99</v>
      </c>
      <c r="V1784" s="8">
        <v>3</v>
      </c>
      <c r="Y1784" s="8" t="s">
        <v>8259</v>
      </c>
      <c r="Z1784" s="8" t="s">
        <v>8260</v>
      </c>
    </row>
    <row r="1785" spans="1:26" x14ac:dyDescent="0.2">
      <c r="A1785" s="8">
        <v>1784</v>
      </c>
      <c r="B1785" s="8" t="s">
        <v>8261</v>
      </c>
      <c r="C1785" s="8" t="s">
        <v>8261</v>
      </c>
      <c r="F1785" s="47"/>
      <c r="G1785" s="8">
        <v>13</v>
      </c>
      <c r="H1785" s="8" t="s">
        <v>21</v>
      </c>
      <c r="I1785" s="8" t="s">
        <v>22</v>
      </c>
      <c r="J1785" s="8" t="s">
        <v>22</v>
      </c>
      <c r="K1785" s="8" t="s">
        <v>64</v>
      </c>
      <c r="L1785" s="8" t="s">
        <v>7915</v>
      </c>
      <c r="M1785" s="8" t="s">
        <v>7916</v>
      </c>
      <c r="N1785" s="8" t="s">
        <v>8262</v>
      </c>
      <c r="O1785" s="8">
        <f>5+5/60+27.1/3600</f>
        <v>5.0908611111111108</v>
      </c>
      <c r="P1785" s="8" t="s">
        <v>8263</v>
      </c>
      <c r="Q1785" s="8">
        <f>-(11+52/60+16/3600)</f>
        <v>-11.871111111111112</v>
      </c>
      <c r="R1785" s="8">
        <v>11.7</v>
      </c>
      <c r="S1785" s="8">
        <v>12.4</v>
      </c>
      <c r="T1785" s="8">
        <v>0.7</v>
      </c>
      <c r="U1785" s="8">
        <v>14</v>
      </c>
      <c r="V1785" s="8">
        <v>4.0999999999999996</v>
      </c>
      <c r="W1785" s="8">
        <v>2.6</v>
      </c>
      <c r="X1785" s="8">
        <v>105</v>
      </c>
      <c r="Y1785" s="8" t="s">
        <v>8264</v>
      </c>
      <c r="Z1785" s="8" t="s">
        <v>8265</v>
      </c>
    </row>
    <row r="1786" spans="1:26" x14ac:dyDescent="0.2">
      <c r="A1786" s="8">
        <v>1785</v>
      </c>
      <c r="B1786" s="8" t="s">
        <v>8266</v>
      </c>
      <c r="C1786" s="8" t="s">
        <v>8266</v>
      </c>
      <c r="F1786" s="49"/>
      <c r="G1786" s="8">
        <v>18</v>
      </c>
      <c r="H1786" s="8" t="s">
        <v>21</v>
      </c>
      <c r="I1786" s="8" t="s">
        <v>72</v>
      </c>
      <c r="J1786" s="8" t="s">
        <v>72</v>
      </c>
      <c r="K1786" s="8" t="s">
        <v>1405</v>
      </c>
      <c r="L1786" s="8" t="s">
        <v>55972</v>
      </c>
      <c r="M1786" s="8" t="s">
        <v>6970</v>
      </c>
      <c r="N1786" s="8" t="s">
        <v>8267</v>
      </c>
      <c r="O1786" s="8">
        <f>4+58/60+35.3/3600</f>
        <v>4.9764722222222222</v>
      </c>
      <c r="P1786" s="8" t="s">
        <v>8268</v>
      </c>
      <c r="Q1786" s="8">
        <f>-(68+50/60+37/3600)</f>
        <v>-68.843611111111102</v>
      </c>
      <c r="R1786" s="8">
        <v>99</v>
      </c>
      <c r="S1786" s="8">
        <v>99</v>
      </c>
      <c r="T1786" s="8">
        <v>99</v>
      </c>
      <c r="U1786" s="8">
        <v>99</v>
      </c>
      <c r="V1786" s="8">
        <v>3</v>
      </c>
      <c r="Y1786" s="8" t="s">
        <v>8269</v>
      </c>
      <c r="Z1786" s="8" t="s">
        <v>8270</v>
      </c>
    </row>
    <row r="1787" spans="1:26" x14ac:dyDescent="0.2">
      <c r="A1787" s="8">
        <v>1786</v>
      </c>
      <c r="B1787" s="8" t="s">
        <v>8271</v>
      </c>
      <c r="C1787" s="8" t="s">
        <v>8271</v>
      </c>
      <c r="F1787" s="47"/>
      <c r="G1787" s="8">
        <v>16</v>
      </c>
      <c r="H1787" s="8" t="s">
        <v>21</v>
      </c>
      <c r="I1787" s="8" t="s">
        <v>567</v>
      </c>
      <c r="J1787" s="8" t="s">
        <v>567</v>
      </c>
      <c r="K1787" s="8" t="s">
        <v>5894</v>
      </c>
      <c r="L1787" s="8" t="s">
        <v>55972</v>
      </c>
      <c r="M1787" s="8" t="s">
        <v>6970</v>
      </c>
      <c r="N1787" s="8" t="s">
        <v>8272</v>
      </c>
      <c r="O1787" s="8">
        <f>4+59/60+7.9/3600</f>
        <v>4.9855277777777776</v>
      </c>
      <c r="P1787" s="8" t="s">
        <v>8273</v>
      </c>
      <c r="Q1787" s="8">
        <f>-(67+44/60+43/3600)</f>
        <v>-67.745277777777773</v>
      </c>
      <c r="R1787" s="8">
        <v>10.9</v>
      </c>
      <c r="S1787" s="8">
        <v>99</v>
      </c>
      <c r="T1787" s="8">
        <v>99</v>
      </c>
      <c r="U1787" s="8">
        <v>99</v>
      </c>
      <c r="V1787" s="8">
        <v>1.6</v>
      </c>
      <c r="Y1787" s="8" t="s">
        <v>8274</v>
      </c>
      <c r="Z1787" s="8" t="s">
        <v>8275</v>
      </c>
    </row>
    <row r="1788" spans="1:26" x14ac:dyDescent="0.2">
      <c r="A1788" s="8">
        <v>1787</v>
      </c>
      <c r="B1788" s="8" t="s">
        <v>8276</v>
      </c>
      <c r="C1788" s="8" t="s">
        <v>8276</v>
      </c>
      <c r="F1788" s="47"/>
      <c r="G1788" s="8">
        <v>16</v>
      </c>
      <c r="H1788" s="8" t="s">
        <v>21</v>
      </c>
      <c r="I1788" s="8" t="s">
        <v>557</v>
      </c>
      <c r="J1788" s="8" t="s">
        <v>557</v>
      </c>
      <c r="K1788" s="8" t="s">
        <v>557</v>
      </c>
      <c r="L1788" s="8" t="s">
        <v>55972</v>
      </c>
      <c r="M1788" s="8" t="s">
        <v>6970</v>
      </c>
      <c r="N1788" s="8" t="s">
        <v>8277</v>
      </c>
      <c r="O1788" s="8">
        <f>5+0/60+2/3600</f>
        <v>5.0005555555555556</v>
      </c>
      <c r="P1788" s="8" t="s">
        <v>8278</v>
      </c>
      <c r="Q1788" s="8">
        <f>-(65+47/60+42/3600)</f>
        <v>-65.795000000000002</v>
      </c>
      <c r="R1788" s="8">
        <v>10.9</v>
      </c>
      <c r="S1788" s="8">
        <v>99</v>
      </c>
      <c r="T1788" s="8">
        <v>99</v>
      </c>
      <c r="U1788" s="8">
        <v>99</v>
      </c>
      <c r="V1788" s="8">
        <v>23</v>
      </c>
      <c r="Y1788" s="8" t="s">
        <v>8279</v>
      </c>
      <c r="Z1788" s="8" t="s">
        <v>8280</v>
      </c>
    </row>
    <row r="1789" spans="1:26" x14ac:dyDescent="0.2">
      <c r="A1789" s="8">
        <v>1788</v>
      </c>
      <c r="B1789" s="8" t="s">
        <v>8281</v>
      </c>
      <c r="C1789" s="8" t="s">
        <v>8281</v>
      </c>
      <c r="F1789" s="47" t="s">
        <v>56390</v>
      </c>
      <c r="G1789" s="8">
        <v>6</v>
      </c>
      <c r="H1789" s="8" t="s">
        <v>8282</v>
      </c>
      <c r="I1789" s="8" t="s">
        <v>1283</v>
      </c>
      <c r="J1789" s="8" t="s">
        <v>1283</v>
      </c>
      <c r="K1789" s="8" t="s">
        <v>6208</v>
      </c>
      <c r="L1789" s="8" t="s">
        <v>7698</v>
      </c>
      <c r="M1789" s="8" t="s">
        <v>7699</v>
      </c>
      <c r="N1789" s="8" t="s">
        <v>8283</v>
      </c>
      <c r="O1789" s="8">
        <f>5+6/60+53.2/3600</f>
        <v>5.1147777777777774</v>
      </c>
      <c r="P1789" s="8" t="s">
        <v>8284</v>
      </c>
      <c r="Q1789" s="8">
        <f>-(3+20/60+28/3600)</f>
        <v>-3.3411111111111111</v>
      </c>
      <c r="R1789" s="8">
        <v>99</v>
      </c>
      <c r="S1789" s="8">
        <v>99</v>
      </c>
      <c r="T1789" s="8">
        <v>99</v>
      </c>
      <c r="U1789" s="8">
        <v>99</v>
      </c>
      <c r="V1789" s="8">
        <v>5</v>
      </c>
      <c r="W1789" s="8">
        <v>3</v>
      </c>
      <c r="Y1789" s="8" t="s">
        <v>8285</v>
      </c>
      <c r="Z1789" s="8" t="s">
        <v>8286</v>
      </c>
    </row>
    <row r="1790" spans="1:26" x14ac:dyDescent="0.2">
      <c r="A1790" s="8">
        <v>1789</v>
      </c>
      <c r="B1790" s="8" t="s">
        <v>8287</v>
      </c>
      <c r="C1790" s="8" t="s">
        <v>8287</v>
      </c>
      <c r="F1790" s="47"/>
      <c r="G1790" s="8">
        <v>16</v>
      </c>
      <c r="H1790" s="8" t="s">
        <v>21</v>
      </c>
      <c r="I1790" s="8" t="s">
        <v>557</v>
      </c>
      <c r="J1790" s="8" t="s">
        <v>557</v>
      </c>
      <c r="K1790" s="8" t="s">
        <v>557</v>
      </c>
      <c r="L1790" s="8" t="s">
        <v>7071</v>
      </c>
      <c r="M1790" s="8" t="s">
        <v>7072</v>
      </c>
      <c r="N1790" s="8" t="s">
        <v>8252</v>
      </c>
      <c r="O1790" s="8">
        <f>4+57/60+51.2/3600</f>
        <v>4.9642222222222223</v>
      </c>
      <c r="P1790" s="8" t="s">
        <v>8288</v>
      </c>
      <c r="Q1790" s="8">
        <f>-(71+54/60+3/3600)</f>
        <v>-71.900833333333338</v>
      </c>
      <c r="R1790" s="8">
        <v>13.1</v>
      </c>
      <c r="S1790" s="8">
        <v>13.6</v>
      </c>
      <c r="T1790" s="8">
        <v>99</v>
      </c>
      <c r="U1790" s="8">
        <v>99</v>
      </c>
      <c r="V1790" s="8">
        <v>1.5</v>
      </c>
      <c r="Y1790" s="8" t="s">
        <v>3113</v>
      </c>
      <c r="Z1790" s="8" t="s">
        <v>3114</v>
      </c>
    </row>
    <row r="1791" spans="1:26" x14ac:dyDescent="0.2">
      <c r="A1791" s="8">
        <v>1790</v>
      </c>
      <c r="B1791" s="8" t="s">
        <v>8289</v>
      </c>
      <c r="C1791" s="8" t="s">
        <v>8289</v>
      </c>
      <c r="F1791" s="47"/>
      <c r="G1791" s="8">
        <v>16</v>
      </c>
      <c r="H1791" s="8" t="s">
        <v>21</v>
      </c>
      <c r="I1791" s="8" t="s">
        <v>72</v>
      </c>
      <c r="J1791" s="8" t="s">
        <v>72</v>
      </c>
      <c r="K1791" s="8" t="s">
        <v>1405</v>
      </c>
      <c r="L1791" s="8" t="s">
        <v>7717</v>
      </c>
      <c r="M1791" s="8" t="s">
        <v>7718</v>
      </c>
      <c r="N1791" s="8" t="s">
        <v>8290</v>
      </c>
      <c r="O1791" s="8">
        <f>5+11/60+7.2/3600</f>
        <v>5.1853333333333333</v>
      </c>
      <c r="P1791" s="8" t="s">
        <v>8291</v>
      </c>
      <c r="Q1791" s="8">
        <f>+(52+3/60+30/3600)</f>
        <v>52.05833333333333</v>
      </c>
      <c r="R1791" s="8">
        <v>99</v>
      </c>
      <c r="S1791" s="8">
        <v>99</v>
      </c>
      <c r="T1791" s="8">
        <v>99</v>
      </c>
      <c r="U1791" s="8">
        <v>99</v>
      </c>
      <c r="V1791" s="8">
        <v>15</v>
      </c>
      <c r="Y1791" s="8" t="s">
        <v>8292</v>
      </c>
      <c r="Z1791" s="8" t="s">
        <v>8293</v>
      </c>
    </row>
    <row r="1792" spans="1:26" x14ac:dyDescent="0.2">
      <c r="A1792" s="8">
        <v>1791</v>
      </c>
      <c r="B1792" s="8" t="s">
        <v>8294</v>
      </c>
      <c r="C1792" s="8" t="s">
        <v>8294</v>
      </c>
      <c r="F1792" s="47"/>
      <c r="G1792" s="8">
        <v>16</v>
      </c>
      <c r="H1792" s="8" t="s">
        <v>21</v>
      </c>
      <c r="I1792" s="8" t="s">
        <v>557</v>
      </c>
      <c r="J1792" s="8" t="s">
        <v>557</v>
      </c>
      <c r="K1792" s="8" t="s">
        <v>557</v>
      </c>
      <c r="L1792" s="8" t="s">
        <v>7071</v>
      </c>
      <c r="M1792" s="8" t="s">
        <v>7072</v>
      </c>
      <c r="N1792" s="8" t="s">
        <v>8295</v>
      </c>
      <c r="O1792" s="8">
        <f>4+59/60+6.6/3600</f>
        <v>4.9851666666666663</v>
      </c>
      <c r="P1792" s="8" t="s">
        <v>8296</v>
      </c>
      <c r="Q1792" s="8">
        <f>-(70+10/60+8/3600)</f>
        <v>-70.168888888888887</v>
      </c>
      <c r="R1792" s="8">
        <v>13.1</v>
      </c>
      <c r="S1792" s="8">
        <v>13.5</v>
      </c>
      <c r="T1792" s="8">
        <v>99</v>
      </c>
      <c r="U1792" s="8">
        <v>99</v>
      </c>
      <c r="V1792" s="8">
        <v>1.3</v>
      </c>
      <c r="Y1792" s="8" t="s">
        <v>227</v>
      </c>
      <c r="Z1792" s="8" t="s">
        <v>228</v>
      </c>
    </row>
    <row r="1793" spans="1:26" x14ac:dyDescent="0.2">
      <c r="A1793" s="8">
        <v>1792</v>
      </c>
      <c r="B1793" s="8" t="s">
        <v>8297</v>
      </c>
      <c r="C1793" s="8" t="s">
        <v>8297</v>
      </c>
      <c r="F1793" s="47"/>
      <c r="G1793" s="8">
        <v>3</v>
      </c>
      <c r="H1793" s="8" t="s">
        <v>21</v>
      </c>
      <c r="I1793" s="8" t="s">
        <v>22</v>
      </c>
      <c r="J1793" s="8" t="s">
        <v>22</v>
      </c>
      <c r="K1793" s="8" t="s">
        <v>85</v>
      </c>
      <c r="L1793" s="8" t="s">
        <v>8298</v>
      </c>
      <c r="M1793" s="8" t="s">
        <v>8299</v>
      </c>
      <c r="N1793" s="8" t="s">
        <v>8300</v>
      </c>
      <c r="O1793" s="8">
        <f>5+5/60+13.8/3600</f>
        <v>5.0871666666666666</v>
      </c>
      <c r="P1793" s="8" t="s">
        <v>8301</v>
      </c>
      <c r="Q1793" s="8">
        <f>-(37+58/60+47/3600)</f>
        <v>-37.979722222222222</v>
      </c>
      <c r="R1793" s="8">
        <v>10.199999999999999</v>
      </c>
      <c r="S1793" s="8">
        <v>10.9</v>
      </c>
      <c r="T1793" s="8">
        <v>0.7</v>
      </c>
      <c r="U1793" s="8">
        <v>12.9</v>
      </c>
      <c r="V1793" s="8">
        <v>5.2</v>
      </c>
      <c r="W1793" s="8">
        <v>2.6</v>
      </c>
      <c r="X1793" s="8">
        <v>137</v>
      </c>
      <c r="Y1793" s="8" t="s">
        <v>8302</v>
      </c>
      <c r="Z1793" s="8" t="s">
        <v>8303</v>
      </c>
    </row>
    <row r="1794" spans="1:26" x14ac:dyDescent="0.2">
      <c r="A1794" s="8">
        <v>1793</v>
      </c>
      <c r="B1794" s="8" t="s">
        <v>8304</v>
      </c>
      <c r="C1794" s="8" t="s">
        <v>8304</v>
      </c>
      <c r="F1794" s="47"/>
      <c r="G1794" s="8">
        <v>16</v>
      </c>
      <c r="H1794" s="8" t="s">
        <v>21</v>
      </c>
      <c r="I1794" s="8" t="s">
        <v>557</v>
      </c>
      <c r="J1794" s="8" t="s">
        <v>557</v>
      </c>
      <c r="K1794" s="8" t="s">
        <v>557</v>
      </c>
      <c r="L1794" s="8" t="s">
        <v>55972</v>
      </c>
      <c r="M1794" s="8" t="s">
        <v>6970</v>
      </c>
      <c r="N1794" s="8" t="s">
        <v>8305</v>
      </c>
      <c r="O1794" s="8">
        <f>4+59/60+38.3/3600</f>
        <v>4.9939722222222223</v>
      </c>
      <c r="P1794" s="8" t="s">
        <v>8306</v>
      </c>
      <c r="Q1794" s="8">
        <f>-(69+33/60+28/3600)</f>
        <v>-69.557777777777773</v>
      </c>
      <c r="R1794" s="8">
        <v>12.4</v>
      </c>
      <c r="S1794" s="8">
        <v>99</v>
      </c>
      <c r="T1794" s="8">
        <v>99</v>
      </c>
      <c r="U1794" s="8">
        <v>99</v>
      </c>
      <c r="V1794" s="8">
        <v>1.3</v>
      </c>
      <c r="Y1794" s="8" t="s">
        <v>1837</v>
      </c>
      <c r="Z1794" s="8" t="s">
        <v>1838</v>
      </c>
    </row>
    <row r="1795" spans="1:26" x14ac:dyDescent="0.2">
      <c r="A1795" s="8">
        <v>1794</v>
      </c>
      <c r="B1795" s="8" t="s">
        <v>8307</v>
      </c>
      <c r="C1795" s="8" t="s">
        <v>8307</v>
      </c>
      <c r="F1795" s="47"/>
      <c r="G1795" s="8">
        <v>19</v>
      </c>
      <c r="H1795" s="8" t="s">
        <v>21</v>
      </c>
      <c r="I1795" s="8" t="s">
        <v>22</v>
      </c>
      <c r="J1795" s="8" t="s">
        <v>57</v>
      </c>
      <c r="K1795" s="8" t="s">
        <v>224</v>
      </c>
      <c r="L1795" s="8" t="s">
        <v>7915</v>
      </c>
      <c r="M1795" s="8" t="s">
        <v>7916</v>
      </c>
      <c r="N1795" s="8" t="s">
        <v>8249</v>
      </c>
      <c r="O1795" s="8">
        <f>5+7/60+55.1/3600</f>
        <v>5.1319722222222222</v>
      </c>
      <c r="P1795" s="8" t="s">
        <v>8250</v>
      </c>
      <c r="Q1795" s="8">
        <f>-(18+11/60+24/3600)</f>
        <v>-18.190000000000001</v>
      </c>
      <c r="R1795" s="8">
        <v>12.6</v>
      </c>
      <c r="S1795" s="8">
        <v>13.6</v>
      </c>
      <c r="T1795" s="8">
        <v>1</v>
      </c>
      <c r="U1795" s="8">
        <v>12.8</v>
      </c>
      <c r="V1795" s="8">
        <v>1.3</v>
      </c>
      <c r="W1795" s="8">
        <v>1.1000000000000001</v>
      </c>
      <c r="X1795" s="8">
        <v>45</v>
      </c>
      <c r="Y1795" s="8" t="s">
        <v>2287</v>
      </c>
      <c r="Z1795" s="8" t="s">
        <v>8308</v>
      </c>
    </row>
    <row r="1796" spans="1:26" x14ac:dyDescent="0.2">
      <c r="A1796" s="8">
        <v>1795</v>
      </c>
      <c r="B1796" s="8" t="s">
        <v>8309</v>
      </c>
      <c r="C1796" s="8" t="s">
        <v>8309</v>
      </c>
      <c r="F1796" s="47"/>
      <c r="G1796" s="8">
        <v>16</v>
      </c>
      <c r="H1796" s="8" t="s">
        <v>21</v>
      </c>
      <c r="I1796" s="8" t="s">
        <v>557</v>
      </c>
      <c r="J1796" s="8" t="s">
        <v>557</v>
      </c>
      <c r="K1796" s="8" t="s">
        <v>557</v>
      </c>
      <c r="L1796" s="8" t="s">
        <v>55972</v>
      </c>
      <c r="M1796" s="8" t="s">
        <v>6970</v>
      </c>
      <c r="N1796" s="8" t="s">
        <v>8310</v>
      </c>
      <c r="O1796" s="8">
        <f>4+59/60+47/3600</f>
        <v>4.9963888888888892</v>
      </c>
      <c r="P1796" s="8" t="s">
        <v>8311</v>
      </c>
      <c r="Q1796" s="8">
        <f>-(69+48/60+5/3600)</f>
        <v>-69.80138888888888</v>
      </c>
      <c r="R1796" s="8">
        <v>12.4</v>
      </c>
      <c r="S1796" s="8">
        <v>13.2</v>
      </c>
      <c r="T1796" s="8">
        <v>99</v>
      </c>
      <c r="U1796" s="8">
        <v>99</v>
      </c>
      <c r="V1796" s="8">
        <v>1.6</v>
      </c>
      <c r="Y1796" s="8" t="s">
        <v>7594</v>
      </c>
      <c r="Z1796" s="8" t="s">
        <v>7595</v>
      </c>
    </row>
    <row r="1797" spans="1:26" x14ac:dyDescent="0.2">
      <c r="A1797" s="8">
        <v>1796</v>
      </c>
      <c r="B1797" s="8" t="s">
        <v>8312</v>
      </c>
      <c r="C1797" s="8" t="s">
        <v>8312</v>
      </c>
      <c r="F1797" s="47"/>
      <c r="G1797" s="8">
        <v>13</v>
      </c>
      <c r="H1797" s="8" t="s">
        <v>21</v>
      </c>
      <c r="I1797" s="8" t="s">
        <v>22</v>
      </c>
      <c r="J1797" s="8" t="s">
        <v>22</v>
      </c>
      <c r="K1797" s="8" t="s">
        <v>218</v>
      </c>
      <c r="L1797" s="8" t="s">
        <v>55972</v>
      </c>
      <c r="M1797" s="8" t="s">
        <v>6970</v>
      </c>
      <c r="N1797" s="8" t="s">
        <v>8313</v>
      </c>
      <c r="O1797" s="8">
        <f>5+2/60+42.8/3600</f>
        <v>5.0452222222222218</v>
      </c>
      <c r="P1797" s="8" t="s">
        <v>8314</v>
      </c>
      <c r="Q1797" s="8">
        <f>-(61+8/60+23/3600)</f>
        <v>-61.139722222222218</v>
      </c>
      <c r="R1797" s="8">
        <v>12.3</v>
      </c>
      <c r="S1797" s="8">
        <v>12.9</v>
      </c>
      <c r="T1797" s="8">
        <v>0.6</v>
      </c>
      <c r="U1797" s="8">
        <v>12.8</v>
      </c>
      <c r="V1797" s="8">
        <v>1.8</v>
      </c>
      <c r="W1797" s="8">
        <v>1</v>
      </c>
      <c r="X1797" s="8">
        <v>102</v>
      </c>
      <c r="Y1797" s="8" t="s">
        <v>8315</v>
      </c>
      <c r="Z1797" s="8" t="s">
        <v>8316</v>
      </c>
    </row>
    <row r="1798" spans="1:26" x14ac:dyDescent="0.2">
      <c r="A1798" s="8">
        <v>1797</v>
      </c>
      <c r="B1798" s="8" t="s">
        <v>8317</v>
      </c>
      <c r="C1798" s="8" t="s">
        <v>8317</v>
      </c>
      <c r="F1798" s="47"/>
      <c r="G1798" s="8">
        <v>19</v>
      </c>
      <c r="H1798" s="8" t="s">
        <v>21</v>
      </c>
      <c r="I1798" s="8" t="s">
        <v>22</v>
      </c>
      <c r="J1798" s="8" t="s">
        <v>22</v>
      </c>
      <c r="K1798" s="8" t="s">
        <v>91</v>
      </c>
      <c r="L1798" s="8" t="s">
        <v>3328</v>
      </c>
      <c r="M1798" s="8" t="s">
        <v>3329</v>
      </c>
      <c r="N1798" s="8" t="s">
        <v>8318</v>
      </c>
      <c r="O1798" s="8">
        <f>5+7/60+44.9/3600</f>
        <v>5.1291388888888889</v>
      </c>
      <c r="P1798" s="8" t="s">
        <v>8319</v>
      </c>
      <c r="Q1798" s="8">
        <f>-(8+1/60+8/3600)</f>
        <v>-8.0188888888888901</v>
      </c>
      <c r="R1798" s="8">
        <v>13.5</v>
      </c>
      <c r="S1798" s="8">
        <v>14.4</v>
      </c>
      <c r="T1798" s="8">
        <v>0.9</v>
      </c>
      <c r="U1798" s="8">
        <v>13.9</v>
      </c>
      <c r="V1798" s="8">
        <v>1.6</v>
      </c>
      <c r="W1798" s="8">
        <v>1</v>
      </c>
      <c r="X1798" s="8">
        <v>90</v>
      </c>
      <c r="Y1798" s="8" t="s">
        <v>8320</v>
      </c>
      <c r="Z1798" s="8" t="s">
        <v>8321</v>
      </c>
    </row>
    <row r="1799" spans="1:26" x14ac:dyDescent="0.2">
      <c r="A1799" s="8">
        <v>1798</v>
      </c>
      <c r="B1799" s="8" t="s">
        <v>8322</v>
      </c>
      <c r="C1799" s="8" t="s">
        <v>8322</v>
      </c>
      <c r="F1799" s="47"/>
      <c r="G1799" s="8">
        <v>9</v>
      </c>
      <c r="H1799" s="8" t="s">
        <v>21</v>
      </c>
      <c r="I1799" s="8" t="s">
        <v>557</v>
      </c>
      <c r="J1799" s="8" t="s">
        <v>557</v>
      </c>
      <c r="K1799" s="8" t="s">
        <v>2722</v>
      </c>
      <c r="L1799" s="8" t="s">
        <v>7717</v>
      </c>
      <c r="M1799" s="8" t="s">
        <v>7718</v>
      </c>
      <c r="N1799" s="8" t="s">
        <v>8323</v>
      </c>
      <c r="O1799" s="8">
        <f>5+11/60+39.3/3600</f>
        <v>5.1942500000000003</v>
      </c>
      <c r="P1799" s="8" t="s">
        <v>8324</v>
      </c>
      <c r="Q1799" s="8">
        <f>+(47+41/60+44/3600)</f>
        <v>47.695555555555551</v>
      </c>
      <c r="R1799" s="8">
        <v>10</v>
      </c>
      <c r="S1799" s="8">
        <v>99</v>
      </c>
      <c r="T1799" s="8">
        <v>99</v>
      </c>
      <c r="U1799" s="8">
        <v>99</v>
      </c>
      <c r="V1799" s="8">
        <v>5</v>
      </c>
      <c r="Y1799" s="8" t="s">
        <v>8325</v>
      </c>
      <c r="Z1799" s="8" t="s">
        <v>8326</v>
      </c>
    </row>
    <row r="1800" spans="1:26" x14ac:dyDescent="0.2">
      <c r="A1800" s="8">
        <v>1799</v>
      </c>
      <c r="B1800" s="8" t="s">
        <v>8327</v>
      </c>
      <c r="C1800" s="8" t="s">
        <v>8327</v>
      </c>
      <c r="F1800" s="47"/>
      <c r="G1800" s="8">
        <v>19</v>
      </c>
      <c r="H1800" s="8" t="s">
        <v>21</v>
      </c>
      <c r="I1800" s="8" t="s">
        <v>22</v>
      </c>
      <c r="J1800" s="8" t="s">
        <v>22</v>
      </c>
      <c r="K1800" s="8" t="s">
        <v>37</v>
      </c>
      <c r="L1800" s="8" t="s">
        <v>3328</v>
      </c>
      <c r="M1800" s="8" t="s">
        <v>3329</v>
      </c>
      <c r="N1800" s="8" t="s">
        <v>8328</v>
      </c>
      <c r="O1800" s="8">
        <f>5+7/60+44.5/3600</f>
        <v>5.1290277777777771</v>
      </c>
      <c r="P1800" s="8" t="s">
        <v>8329</v>
      </c>
      <c r="Q1800" s="8">
        <f>-(7+58/60+8/3600)</f>
        <v>-7.9688888888888894</v>
      </c>
      <c r="R1800" s="8">
        <v>13.7</v>
      </c>
      <c r="S1800" s="8">
        <v>14.7</v>
      </c>
      <c r="T1800" s="8">
        <v>1</v>
      </c>
      <c r="U1800" s="8">
        <v>13.1</v>
      </c>
      <c r="V1800" s="8">
        <v>1.1000000000000001</v>
      </c>
      <c r="W1800" s="8">
        <v>0.6</v>
      </c>
      <c r="X1800" s="8">
        <v>125</v>
      </c>
      <c r="Y1800" s="8" t="s">
        <v>6737</v>
      </c>
      <c r="Z1800" s="8" t="s">
        <v>6738</v>
      </c>
    </row>
    <row r="1801" spans="1:26" x14ac:dyDescent="0.2">
      <c r="A1801" s="8">
        <v>1800</v>
      </c>
      <c r="B1801" s="8" t="s">
        <v>8330</v>
      </c>
      <c r="C1801" s="8" t="s">
        <v>8330</v>
      </c>
      <c r="F1801" s="47"/>
      <c r="G1801" s="8">
        <v>13</v>
      </c>
      <c r="H1801" s="8" t="s">
        <v>21</v>
      </c>
      <c r="I1801" s="8" t="s">
        <v>22</v>
      </c>
      <c r="J1801" s="8" t="s">
        <v>22</v>
      </c>
      <c r="K1801" s="8" t="s">
        <v>107</v>
      </c>
      <c r="L1801" s="8" t="s">
        <v>8298</v>
      </c>
      <c r="M1801" s="8" t="s">
        <v>8299</v>
      </c>
      <c r="N1801" s="8" t="s">
        <v>8331</v>
      </c>
      <c r="O1801" s="8">
        <f>5+6/60+25.4/3600</f>
        <v>5.1070555555555552</v>
      </c>
      <c r="P1801" s="8" t="s">
        <v>8332</v>
      </c>
      <c r="Q1801" s="8">
        <f>-(31+57/60+16/3600)</f>
        <v>-31.954444444444444</v>
      </c>
      <c r="R1801" s="8">
        <v>12.6</v>
      </c>
      <c r="S1801" s="8">
        <v>13.1</v>
      </c>
      <c r="T1801" s="8">
        <v>0.5</v>
      </c>
      <c r="U1801" s="8">
        <v>13.3</v>
      </c>
      <c r="V1801" s="8">
        <v>2</v>
      </c>
      <c r="W1801" s="8">
        <v>1.1000000000000001</v>
      </c>
      <c r="X1801" s="8">
        <v>113</v>
      </c>
      <c r="Y1801" s="8" t="s">
        <v>8333</v>
      </c>
      <c r="Z1801" s="8" t="s">
        <v>8334</v>
      </c>
    </row>
    <row r="1802" spans="1:26" x14ac:dyDescent="0.2">
      <c r="A1802" s="8">
        <v>1801</v>
      </c>
      <c r="B1802" s="8" t="s">
        <v>8335</v>
      </c>
      <c r="C1802" s="8" t="s">
        <v>8335</v>
      </c>
      <c r="F1802" s="47"/>
      <c r="G1802" s="8">
        <v>16</v>
      </c>
      <c r="H1802" s="8" t="s">
        <v>21</v>
      </c>
      <c r="I1802" s="8" t="s">
        <v>557</v>
      </c>
      <c r="J1802" s="8" t="s">
        <v>557</v>
      </c>
      <c r="K1802" s="8" t="s">
        <v>557</v>
      </c>
      <c r="L1802" s="8" t="s">
        <v>55972</v>
      </c>
      <c r="M1802" s="8" t="s">
        <v>6970</v>
      </c>
      <c r="N1802" s="8" t="s">
        <v>8336</v>
      </c>
      <c r="O1802" s="8">
        <f>5+0/60+34.6/3600</f>
        <v>5.009611111111111</v>
      </c>
      <c r="P1802" s="8" t="s">
        <v>8337</v>
      </c>
      <c r="Q1802" s="8">
        <f>-(69+36/60+50/3600)</f>
        <v>-69.61388888888888</v>
      </c>
      <c r="R1802" s="8">
        <v>12.2</v>
      </c>
      <c r="S1802" s="8">
        <v>99</v>
      </c>
      <c r="T1802" s="8">
        <v>99</v>
      </c>
      <c r="U1802" s="8">
        <v>99</v>
      </c>
      <c r="V1802" s="8">
        <v>2.2000000000000002</v>
      </c>
      <c r="Y1802" s="8" t="s">
        <v>8338</v>
      </c>
      <c r="Z1802" s="8" t="s">
        <v>2079</v>
      </c>
    </row>
    <row r="1803" spans="1:26" x14ac:dyDescent="0.2">
      <c r="A1803" s="8">
        <v>1802</v>
      </c>
      <c r="B1803" s="8" t="s">
        <v>8339</v>
      </c>
      <c r="C1803" s="8" t="s">
        <v>8339</v>
      </c>
      <c r="F1803" s="47" t="s">
        <v>56391</v>
      </c>
      <c r="G1803" s="8">
        <v>15</v>
      </c>
      <c r="H1803" s="8" t="s">
        <v>21</v>
      </c>
      <c r="I1803" s="8" t="s">
        <v>557</v>
      </c>
      <c r="J1803" s="8" t="s">
        <v>557</v>
      </c>
      <c r="K1803" s="8" t="s">
        <v>557</v>
      </c>
      <c r="L1803" s="8" t="s">
        <v>6115</v>
      </c>
      <c r="M1803" s="8" t="s">
        <v>6116</v>
      </c>
      <c r="N1803" s="8" t="s">
        <v>8340</v>
      </c>
      <c r="O1803" s="8">
        <f>5+10/60+14/3600</f>
        <v>5.1705555555555556</v>
      </c>
      <c r="P1803" s="8" t="s">
        <v>8341</v>
      </c>
      <c r="Q1803" s="8">
        <f>+(24+7/60+30/3600)</f>
        <v>24.125</v>
      </c>
      <c r="R1803" s="8">
        <v>99</v>
      </c>
      <c r="S1803" s="8">
        <v>99</v>
      </c>
      <c r="T1803" s="8">
        <v>99</v>
      </c>
      <c r="U1803" s="8">
        <v>99</v>
      </c>
      <c r="V1803" s="8">
        <v>20</v>
      </c>
      <c r="Y1803" s="8" t="s">
        <v>8342</v>
      </c>
      <c r="Z1803" s="8" t="s">
        <v>8343</v>
      </c>
    </row>
    <row r="1804" spans="1:26" x14ac:dyDescent="0.2">
      <c r="A1804" s="8">
        <v>1803</v>
      </c>
      <c r="B1804" s="8" t="s">
        <v>8344</v>
      </c>
      <c r="C1804" s="8" t="s">
        <v>8344</v>
      </c>
      <c r="F1804" s="47"/>
      <c r="G1804" s="8">
        <v>16</v>
      </c>
      <c r="H1804" s="8" t="s">
        <v>21</v>
      </c>
      <c r="I1804" s="8" t="s">
        <v>22</v>
      </c>
      <c r="J1804" s="8" t="s">
        <v>22</v>
      </c>
      <c r="K1804" s="8" t="s">
        <v>85</v>
      </c>
      <c r="L1804" s="8" t="s">
        <v>7782</v>
      </c>
      <c r="M1804" s="8" t="s">
        <v>7783</v>
      </c>
      <c r="N1804" s="8" t="s">
        <v>8345</v>
      </c>
      <c r="O1804" s="8">
        <f>5+5/60+26.5/3600</f>
        <v>5.090694444444444</v>
      </c>
      <c r="P1804" s="8" t="s">
        <v>8346</v>
      </c>
      <c r="Q1804" s="8">
        <f>-(49+34/60+3/3600)</f>
        <v>-49.567500000000003</v>
      </c>
      <c r="R1804" s="8">
        <v>12.9</v>
      </c>
      <c r="S1804" s="8">
        <v>13.4</v>
      </c>
      <c r="T1804" s="8">
        <v>0.5</v>
      </c>
      <c r="U1804" s="8">
        <v>12.7</v>
      </c>
      <c r="V1804" s="8">
        <v>1.3</v>
      </c>
      <c r="W1804" s="8">
        <v>0.8</v>
      </c>
      <c r="X1804" s="8">
        <v>62</v>
      </c>
      <c r="Y1804" s="8" t="s">
        <v>8347</v>
      </c>
      <c r="Z1804" s="8" t="s">
        <v>8348</v>
      </c>
    </row>
    <row r="1805" spans="1:26" x14ac:dyDescent="0.2">
      <c r="A1805" s="8">
        <v>1804</v>
      </c>
      <c r="B1805" s="8" t="s">
        <v>8349</v>
      </c>
      <c r="C1805" s="8" t="s">
        <v>8349</v>
      </c>
      <c r="F1805" s="47"/>
      <c r="G1805" s="8">
        <v>16</v>
      </c>
      <c r="H1805" s="8" t="s">
        <v>21</v>
      </c>
      <c r="I1805" s="8" t="s">
        <v>557</v>
      </c>
      <c r="J1805" s="8" t="s">
        <v>557</v>
      </c>
      <c r="K1805" s="8" t="s">
        <v>557</v>
      </c>
      <c r="L1805" s="8" t="s">
        <v>55972</v>
      </c>
      <c r="M1805" s="8" t="s">
        <v>6970</v>
      </c>
      <c r="N1805" s="8" t="s">
        <v>8350</v>
      </c>
      <c r="O1805" s="8">
        <f>5+1/60+3.3/3600</f>
        <v>5.0175833333333335</v>
      </c>
      <c r="P1805" s="8" t="s">
        <v>8351</v>
      </c>
      <c r="Q1805" s="8">
        <f>-(69+4/60+58/3600)</f>
        <v>-69.082777777777778</v>
      </c>
      <c r="R1805" s="8">
        <v>11.9</v>
      </c>
      <c r="S1805" s="8">
        <v>99</v>
      </c>
      <c r="T1805" s="8">
        <v>99</v>
      </c>
      <c r="U1805" s="8">
        <v>99</v>
      </c>
      <c r="V1805" s="8">
        <v>1</v>
      </c>
      <c r="Y1805" s="8" t="s">
        <v>2641</v>
      </c>
      <c r="Z1805" s="8" t="s">
        <v>2642</v>
      </c>
    </row>
    <row r="1806" spans="1:26" x14ac:dyDescent="0.2">
      <c r="A1806" s="8">
        <v>1805</v>
      </c>
      <c r="B1806" s="8" t="s">
        <v>8352</v>
      </c>
      <c r="C1806" s="8" t="s">
        <v>8352</v>
      </c>
      <c r="F1806" s="47"/>
      <c r="G1806" s="8">
        <v>16</v>
      </c>
      <c r="H1806" s="8" t="s">
        <v>21</v>
      </c>
      <c r="I1806" s="8" t="s">
        <v>557</v>
      </c>
      <c r="J1806" s="8" t="s">
        <v>557</v>
      </c>
      <c r="K1806" s="8" t="s">
        <v>557</v>
      </c>
      <c r="L1806" s="8" t="s">
        <v>55972</v>
      </c>
      <c r="M1806" s="8" t="s">
        <v>6970</v>
      </c>
      <c r="N1806" s="8" t="s">
        <v>8353</v>
      </c>
      <c r="O1806" s="8">
        <f>5+2/60+21.4/3600</f>
        <v>5.0392777777777775</v>
      </c>
      <c r="P1806" s="8" t="s">
        <v>8354</v>
      </c>
      <c r="Q1806" s="8">
        <f>-(66+6/60+44/3600)</f>
        <v>-66.112222222222215</v>
      </c>
      <c r="R1806" s="8">
        <v>10.6</v>
      </c>
      <c r="S1806" s="8">
        <v>99</v>
      </c>
      <c r="T1806" s="8">
        <v>99</v>
      </c>
      <c r="U1806" s="8">
        <v>99</v>
      </c>
      <c r="V1806" s="8">
        <v>2.2000000000000002</v>
      </c>
      <c r="Y1806" s="8" t="s">
        <v>8355</v>
      </c>
      <c r="Z1806" s="8" t="s">
        <v>8356</v>
      </c>
    </row>
    <row r="1807" spans="1:26" x14ac:dyDescent="0.2">
      <c r="A1807" s="8">
        <v>1806</v>
      </c>
      <c r="B1807" s="8" t="s">
        <v>8357</v>
      </c>
      <c r="C1807" s="8" t="s">
        <v>8357</v>
      </c>
      <c r="F1807" s="47"/>
      <c r="G1807" s="8">
        <v>16</v>
      </c>
      <c r="H1807" s="8" t="s">
        <v>21</v>
      </c>
      <c r="I1807" s="8" t="s">
        <v>557</v>
      </c>
      <c r="J1807" s="8" t="s">
        <v>557</v>
      </c>
      <c r="K1807" s="8" t="s">
        <v>557</v>
      </c>
      <c r="L1807" s="8" t="s">
        <v>55972</v>
      </c>
      <c r="M1807" s="8" t="s">
        <v>6970</v>
      </c>
      <c r="N1807" s="8" t="s">
        <v>8358</v>
      </c>
      <c r="O1807" s="8">
        <f>5+2/60+11.4/3600</f>
        <v>5.0365000000000002</v>
      </c>
      <c r="P1807" s="8" t="s">
        <v>8359</v>
      </c>
      <c r="Q1807" s="8">
        <f>-(67+59/60+2/3600)</f>
        <v>-67.983888888888885</v>
      </c>
      <c r="R1807" s="8">
        <v>99</v>
      </c>
      <c r="S1807" s="8">
        <v>11.1</v>
      </c>
      <c r="T1807" s="8">
        <v>99</v>
      </c>
      <c r="U1807" s="8">
        <v>99</v>
      </c>
      <c r="V1807" s="8">
        <v>2.2000000000000002</v>
      </c>
      <c r="Y1807" s="8" t="s">
        <v>8360</v>
      </c>
      <c r="Z1807" s="8" t="s">
        <v>8361</v>
      </c>
    </row>
    <row r="1808" spans="1:26" x14ac:dyDescent="0.2">
      <c r="A1808" s="8">
        <v>1807</v>
      </c>
      <c r="B1808" s="8" t="s">
        <v>8362</v>
      </c>
      <c r="C1808" s="8" t="s">
        <v>8362</v>
      </c>
      <c r="F1808" s="47"/>
      <c r="G1808" s="8">
        <v>7</v>
      </c>
      <c r="H1808" s="8" t="s">
        <v>8363</v>
      </c>
      <c r="I1808" s="8" t="s">
        <v>557</v>
      </c>
      <c r="J1808" s="8" t="s">
        <v>557</v>
      </c>
      <c r="K1808" s="8" t="s">
        <v>558</v>
      </c>
      <c r="L1808" s="8" t="s">
        <v>6115</v>
      </c>
      <c r="M1808" s="8" t="s">
        <v>6116</v>
      </c>
      <c r="N1808" s="8" t="s">
        <v>8364</v>
      </c>
      <c r="O1808" s="8">
        <f>5+10/60+46/3600</f>
        <v>5.179444444444445</v>
      </c>
      <c r="P1808" s="8" t="s">
        <v>8365</v>
      </c>
      <c r="Q1808" s="8">
        <f>+(16+30/60+48/3600)</f>
        <v>16.513333333333332</v>
      </c>
      <c r="R1808" s="8">
        <v>7</v>
      </c>
      <c r="S1808" s="8">
        <v>99</v>
      </c>
      <c r="T1808" s="8">
        <v>99</v>
      </c>
      <c r="U1808" s="8">
        <v>99</v>
      </c>
      <c r="V1808" s="8">
        <v>12</v>
      </c>
      <c r="Y1808" s="8" t="s">
        <v>8366</v>
      </c>
      <c r="Z1808" s="8" t="s">
        <v>8367</v>
      </c>
    </row>
    <row r="1809" spans="1:26" x14ac:dyDescent="0.2">
      <c r="A1809" s="8">
        <v>1808</v>
      </c>
      <c r="B1809" s="8" t="s">
        <v>8368</v>
      </c>
      <c r="C1809" s="8" t="s">
        <v>8368</v>
      </c>
      <c r="F1809" s="47"/>
      <c r="G1809" s="8">
        <v>3</v>
      </c>
      <c r="H1809" s="8" t="s">
        <v>21</v>
      </c>
      <c r="I1809" s="8" t="s">
        <v>22</v>
      </c>
      <c r="J1809" s="8" t="s">
        <v>22</v>
      </c>
      <c r="K1809" s="8" t="s">
        <v>154</v>
      </c>
      <c r="L1809" s="8" t="s">
        <v>8298</v>
      </c>
      <c r="M1809" s="8" t="s">
        <v>8299</v>
      </c>
      <c r="N1809" s="8" t="s">
        <v>8369</v>
      </c>
      <c r="O1809" s="8">
        <f>5+7/60+42.5/3600</f>
        <v>5.1284722222222214</v>
      </c>
      <c r="P1809" s="8" t="s">
        <v>8370</v>
      </c>
      <c r="Q1809" s="8">
        <f>-(37+30/60+48/3600)</f>
        <v>-37.513333333333335</v>
      </c>
      <c r="R1809" s="8">
        <v>9.9</v>
      </c>
      <c r="S1809" s="8">
        <v>10.7</v>
      </c>
      <c r="T1809" s="8">
        <v>0.8</v>
      </c>
      <c r="U1809" s="8">
        <v>13.3</v>
      </c>
      <c r="V1809" s="8">
        <v>6.5</v>
      </c>
      <c r="W1809" s="8">
        <v>3.9</v>
      </c>
      <c r="X1809" s="8">
        <v>133</v>
      </c>
      <c r="Y1809" s="8" t="s">
        <v>8371</v>
      </c>
      <c r="Z1809" s="8" t="s">
        <v>8372</v>
      </c>
    </row>
    <row r="1810" spans="1:26" x14ac:dyDescent="0.2">
      <c r="A1810" s="8">
        <v>1809</v>
      </c>
      <c r="B1810" s="8" t="s">
        <v>8373</v>
      </c>
      <c r="C1810" s="8" t="s">
        <v>8373</v>
      </c>
      <c r="F1810" s="47"/>
      <c r="G1810" s="8">
        <v>16</v>
      </c>
      <c r="H1810" s="8" t="s">
        <v>21</v>
      </c>
      <c r="I1810" s="8" t="s">
        <v>22</v>
      </c>
      <c r="J1810" s="8" t="s">
        <v>22</v>
      </c>
      <c r="K1810" s="8" t="s">
        <v>160</v>
      </c>
      <c r="L1810" s="8" t="s">
        <v>55972</v>
      </c>
      <c r="M1810" s="8" t="s">
        <v>6970</v>
      </c>
      <c r="N1810" s="8" t="s">
        <v>8374</v>
      </c>
      <c r="O1810" s="8">
        <f>5+2/60+5.3/3600</f>
        <v>5.0348055555555558</v>
      </c>
      <c r="P1810" s="8" t="s">
        <v>8375</v>
      </c>
      <c r="Q1810" s="8">
        <f>-(69+34/60+6/3600)</f>
        <v>-69.568333333333328</v>
      </c>
      <c r="R1810" s="8">
        <v>12.1</v>
      </c>
      <c r="S1810" s="8">
        <v>13</v>
      </c>
      <c r="T1810" s="8">
        <v>0.9</v>
      </c>
      <c r="U1810" s="8">
        <v>13</v>
      </c>
      <c r="V1810" s="8">
        <v>3.2</v>
      </c>
      <c r="W1810" s="8">
        <v>0.8</v>
      </c>
      <c r="X1810" s="8">
        <v>143</v>
      </c>
      <c r="Y1810" s="8" t="s">
        <v>8376</v>
      </c>
      <c r="Z1810" s="8" t="s">
        <v>8377</v>
      </c>
    </row>
    <row r="1811" spans="1:26" x14ac:dyDescent="0.2">
      <c r="A1811" s="8">
        <v>1810</v>
      </c>
      <c r="B1811" s="8" t="s">
        <v>8378</v>
      </c>
      <c r="C1811" s="8" t="s">
        <v>8378</v>
      </c>
      <c r="F1811" s="47"/>
      <c r="G1811" s="8">
        <v>16</v>
      </c>
      <c r="H1811" s="8" t="s">
        <v>21</v>
      </c>
      <c r="I1811" s="8" t="s">
        <v>557</v>
      </c>
      <c r="J1811" s="8" t="s">
        <v>557</v>
      </c>
      <c r="K1811" s="8" t="s">
        <v>557</v>
      </c>
      <c r="L1811" s="8" t="s">
        <v>55972</v>
      </c>
      <c r="M1811" s="8" t="s">
        <v>6970</v>
      </c>
      <c r="N1811" s="8" t="s">
        <v>8379</v>
      </c>
      <c r="O1811" s="8">
        <f>5+3/60+23.3/3600</f>
        <v>5.0564722222222223</v>
      </c>
      <c r="P1811" s="8" t="s">
        <v>8380</v>
      </c>
      <c r="Q1811" s="8">
        <f>-(66+22/60+55/3600)</f>
        <v>-66.381944444444443</v>
      </c>
      <c r="R1811" s="8">
        <v>11.9</v>
      </c>
      <c r="S1811" s="8">
        <v>99</v>
      </c>
      <c r="T1811" s="8">
        <v>99</v>
      </c>
      <c r="U1811" s="8">
        <v>99</v>
      </c>
      <c r="V1811" s="8">
        <v>1.2</v>
      </c>
      <c r="Y1811" s="8" t="s">
        <v>8381</v>
      </c>
      <c r="Z1811" s="8" t="s">
        <v>8382</v>
      </c>
    </row>
    <row r="1812" spans="1:26" x14ac:dyDescent="0.2">
      <c r="A1812" s="8">
        <v>1811</v>
      </c>
      <c r="B1812" s="8" t="s">
        <v>8383</v>
      </c>
      <c r="C1812" s="8" t="s">
        <v>8383</v>
      </c>
      <c r="F1812" s="47"/>
      <c r="G1812" s="8">
        <v>16</v>
      </c>
      <c r="H1812" s="8" t="s">
        <v>21</v>
      </c>
      <c r="I1812" s="8" t="s">
        <v>22</v>
      </c>
      <c r="J1812" s="8" t="s">
        <v>22</v>
      </c>
      <c r="K1812" s="8" t="s">
        <v>91</v>
      </c>
      <c r="L1812" s="8" t="s">
        <v>8298</v>
      </c>
      <c r="M1812" s="8" t="s">
        <v>8299</v>
      </c>
      <c r="N1812" s="8" t="s">
        <v>8384</v>
      </c>
      <c r="O1812" s="8">
        <f>5+8/60+42.5/3600</f>
        <v>5.1451388888888889</v>
      </c>
      <c r="P1812" s="8" t="s">
        <v>8385</v>
      </c>
      <c r="Q1812" s="8">
        <f>-(29+16/60+35/3600)</f>
        <v>-29.276388888888889</v>
      </c>
      <c r="R1812" s="8">
        <v>13.6</v>
      </c>
      <c r="S1812" s="8">
        <v>14.5</v>
      </c>
      <c r="T1812" s="8">
        <v>0.9</v>
      </c>
      <c r="U1812" s="8">
        <v>13</v>
      </c>
      <c r="V1812" s="8">
        <v>1.7</v>
      </c>
      <c r="W1812" s="8">
        <v>0.4</v>
      </c>
      <c r="X1812" s="8">
        <v>60</v>
      </c>
      <c r="Y1812" s="8" t="s">
        <v>8386</v>
      </c>
      <c r="Z1812" s="8" t="s">
        <v>8387</v>
      </c>
    </row>
    <row r="1813" spans="1:26" x14ac:dyDescent="0.2">
      <c r="A1813" s="8">
        <v>1812</v>
      </c>
      <c r="B1813" s="8" t="s">
        <v>8388</v>
      </c>
      <c r="C1813" s="8" t="s">
        <v>8388</v>
      </c>
      <c r="F1813" s="47"/>
      <c r="G1813" s="8">
        <v>16</v>
      </c>
      <c r="H1813" s="8" t="s">
        <v>21</v>
      </c>
      <c r="I1813" s="8" t="s">
        <v>22</v>
      </c>
      <c r="J1813" s="8" t="s">
        <v>22</v>
      </c>
      <c r="K1813" s="8" t="s">
        <v>91</v>
      </c>
      <c r="L1813" s="8" t="s">
        <v>8298</v>
      </c>
      <c r="M1813" s="8" t="s">
        <v>8299</v>
      </c>
      <c r="N1813" s="8" t="s">
        <v>8389</v>
      </c>
      <c r="O1813" s="8">
        <f>5+8/60+52.8/3600</f>
        <v>5.1480000000000006</v>
      </c>
      <c r="P1813" s="8" t="s">
        <v>8390</v>
      </c>
      <c r="Q1813" s="8">
        <f>-(29+15/60+6/3600)</f>
        <v>-29.251666666666665</v>
      </c>
      <c r="R1813" s="8">
        <v>12.6</v>
      </c>
      <c r="S1813" s="8">
        <v>13.5</v>
      </c>
      <c r="T1813" s="8">
        <v>0.9</v>
      </c>
      <c r="U1813" s="8">
        <v>12.5</v>
      </c>
      <c r="V1813" s="8">
        <v>1.2</v>
      </c>
      <c r="W1813" s="8">
        <v>0.9</v>
      </c>
      <c r="X1813" s="8">
        <v>8</v>
      </c>
      <c r="Y1813" s="8" t="s">
        <v>8391</v>
      </c>
      <c r="Z1813" s="8" t="s">
        <v>8392</v>
      </c>
    </row>
    <row r="1814" spans="1:26" x14ac:dyDescent="0.2">
      <c r="A1814" s="8">
        <v>1813</v>
      </c>
      <c r="B1814" s="8" t="s">
        <v>8393</v>
      </c>
      <c r="C1814" s="8" t="s">
        <v>8393</v>
      </c>
      <c r="F1814" s="47"/>
      <c r="G1814" s="8">
        <v>16</v>
      </c>
      <c r="H1814" s="8" t="s">
        <v>21</v>
      </c>
      <c r="I1814" s="8" t="s">
        <v>557</v>
      </c>
      <c r="J1814" s="8" t="s">
        <v>557</v>
      </c>
      <c r="K1814" s="8" t="s">
        <v>557</v>
      </c>
      <c r="L1814" s="8" t="s">
        <v>7071</v>
      </c>
      <c r="M1814" s="8" t="s">
        <v>7072</v>
      </c>
      <c r="N1814" s="8" t="s">
        <v>8394</v>
      </c>
      <c r="O1814" s="8">
        <f>5+2/60+40.4/3600</f>
        <v>5.0445555555555552</v>
      </c>
      <c r="P1814" s="8" t="s">
        <v>8395</v>
      </c>
      <c r="Q1814" s="8">
        <f>-(70+19/60+5/3600)</f>
        <v>-70.318055555555546</v>
      </c>
      <c r="R1814" s="8">
        <v>12.8</v>
      </c>
      <c r="S1814" s="8">
        <v>12.1</v>
      </c>
      <c r="T1814" s="8">
        <v>99</v>
      </c>
      <c r="U1814" s="8">
        <v>99</v>
      </c>
      <c r="Y1814" s="8" t="s">
        <v>8396</v>
      </c>
      <c r="Z1814" s="8" t="s">
        <v>8397</v>
      </c>
    </row>
    <row r="1815" spans="1:26" x14ac:dyDescent="0.2">
      <c r="A1815" s="8">
        <v>1814</v>
      </c>
      <c r="B1815" s="8" t="s">
        <v>8398</v>
      </c>
      <c r="C1815" s="8" t="s">
        <v>8398</v>
      </c>
      <c r="F1815" s="47"/>
      <c r="G1815" s="8">
        <v>16</v>
      </c>
      <c r="H1815" s="8" t="s">
        <v>21</v>
      </c>
      <c r="I1815" s="8" t="s">
        <v>557</v>
      </c>
      <c r="J1815" s="8" t="s">
        <v>557</v>
      </c>
      <c r="K1815" s="8" t="s">
        <v>1816</v>
      </c>
      <c r="L1815" s="8" t="s">
        <v>55972</v>
      </c>
      <c r="M1815" s="8" t="s">
        <v>6970</v>
      </c>
      <c r="N1815" s="8" t="s">
        <v>8399</v>
      </c>
      <c r="O1815" s="8">
        <f>5+3/60+46.5/3600</f>
        <v>5.0629166666666663</v>
      </c>
      <c r="P1815" s="8" t="s">
        <v>8400</v>
      </c>
      <c r="Q1815" s="8">
        <f>-(67+18/60+3/3600)</f>
        <v>-67.30083333333333</v>
      </c>
      <c r="R1815" s="8">
        <v>9</v>
      </c>
      <c r="S1815" s="8">
        <v>99</v>
      </c>
      <c r="T1815" s="8">
        <v>99</v>
      </c>
      <c r="U1815" s="8">
        <v>99</v>
      </c>
      <c r="V1815" s="8">
        <v>1</v>
      </c>
      <c r="Y1815" s="8" t="s">
        <v>8401</v>
      </c>
      <c r="Z1815" s="8" t="s">
        <v>8402</v>
      </c>
    </row>
    <row r="1816" spans="1:26" x14ac:dyDescent="0.2">
      <c r="A1816" s="8">
        <v>1815</v>
      </c>
      <c r="B1816" s="8" t="s">
        <v>8403</v>
      </c>
      <c r="C1816" s="8" t="s">
        <v>8403</v>
      </c>
      <c r="F1816" s="47"/>
      <c r="G1816" s="8">
        <v>16</v>
      </c>
      <c r="H1816" s="8" t="s">
        <v>21</v>
      </c>
      <c r="I1816" s="8" t="s">
        <v>557</v>
      </c>
      <c r="J1816" s="8" t="s">
        <v>557</v>
      </c>
      <c r="K1816" s="8" t="s">
        <v>557</v>
      </c>
      <c r="L1816" s="8" t="s">
        <v>7071</v>
      </c>
      <c r="M1816" s="8" t="s">
        <v>7072</v>
      </c>
      <c r="N1816" s="8" t="s">
        <v>8404</v>
      </c>
      <c r="O1816" s="8">
        <f>5+2/60+27.3/3600</f>
        <v>5.0409166666666669</v>
      </c>
      <c r="P1816" s="8" t="s">
        <v>8405</v>
      </c>
      <c r="Q1816" s="8">
        <f>-(70+37/60+16/3600)</f>
        <v>-70.621111111111105</v>
      </c>
      <c r="R1816" s="8">
        <v>12.4</v>
      </c>
      <c r="S1816" s="8">
        <v>12.4</v>
      </c>
      <c r="T1816" s="8">
        <v>99</v>
      </c>
      <c r="U1816" s="8">
        <v>99</v>
      </c>
      <c r="V1816" s="8">
        <v>1.2</v>
      </c>
      <c r="Y1816" s="8" t="s">
        <v>8406</v>
      </c>
      <c r="Z1816" s="8" t="s">
        <v>8407</v>
      </c>
    </row>
    <row r="1817" spans="1:26" x14ac:dyDescent="0.2">
      <c r="A1817" s="8">
        <v>1816</v>
      </c>
      <c r="B1817" s="8" t="s">
        <v>8408</v>
      </c>
      <c r="C1817" s="8" t="s">
        <v>8408</v>
      </c>
      <c r="F1817" s="47"/>
      <c r="G1817" s="8">
        <v>16</v>
      </c>
      <c r="H1817" s="8" t="s">
        <v>21</v>
      </c>
      <c r="I1817" s="8" t="s">
        <v>557</v>
      </c>
      <c r="J1817" s="8" t="s">
        <v>557</v>
      </c>
      <c r="K1817" s="8" t="s">
        <v>557</v>
      </c>
      <c r="L1817" s="8" t="s">
        <v>55972</v>
      </c>
      <c r="M1817" s="8" t="s">
        <v>6970</v>
      </c>
      <c r="N1817" s="8" t="s">
        <v>8409</v>
      </c>
      <c r="O1817" s="8">
        <f>5+3/60+50.8/3600</f>
        <v>5.064111111111111</v>
      </c>
      <c r="P1817" s="8" t="s">
        <v>8410</v>
      </c>
      <c r="Q1817" s="8">
        <f>-(67+15/60+39/3600)</f>
        <v>-67.260833333333338</v>
      </c>
      <c r="R1817" s="8">
        <v>9</v>
      </c>
      <c r="S1817" s="8">
        <v>99</v>
      </c>
      <c r="T1817" s="8">
        <v>99</v>
      </c>
      <c r="U1817" s="8">
        <v>99</v>
      </c>
      <c r="V1817" s="8">
        <v>1</v>
      </c>
      <c r="Y1817" s="8" t="s">
        <v>8411</v>
      </c>
      <c r="Z1817" s="8" t="s">
        <v>8412</v>
      </c>
    </row>
    <row r="1818" spans="1:26" x14ac:dyDescent="0.2">
      <c r="A1818" s="8">
        <v>1817</v>
      </c>
      <c r="B1818" s="8" t="s">
        <v>8413</v>
      </c>
      <c r="C1818" s="8" t="s">
        <v>8413</v>
      </c>
      <c r="F1818" s="47" t="s">
        <v>56392</v>
      </c>
      <c r="G1818" s="8">
        <v>6</v>
      </c>
      <c r="H1818" s="8" t="s">
        <v>8363</v>
      </c>
      <c r="I1818" s="8" t="s">
        <v>557</v>
      </c>
      <c r="J1818" s="8" t="s">
        <v>557</v>
      </c>
      <c r="K1818" s="8" t="s">
        <v>3647</v>
      </c>
      <c r="L1818" s="8" t="s">
        <v>6115</v>
      </c>
      <c r="M1818" s="8" t="s">
        <v>6116</v>
      </c>
      <c r="N1818" s="8" t="s">
        <v>8414</v>
      </c>
      <c r="O1818" s="8">
        <f>5+12/60+27/3600</f>
        <v>5.2075000000000005</v>
      </c>
      <c r="P1818" s="8" t="s">
        <v>8415</v>
      </c>
      <c r="Q1818" s="8">
        <f>+(16+41/60+0/3600)</f>
        <v>16.683333333333334</v>
      </c>
      <c r="R1818" s="8">
        <v>7.7</v>
      </c>
      <c r="S1818" s="8">
        <v>99</v>
      </c>
      <c r="T1818" s="8">
        <v>99</v>
      </c>
      <c r="U1818" s="8">
        <v>99</v>
      </c>
      <c r="V1818" s="8">
        <v>20</v>
      </c>
      <c r="Y1818" s="8" t="s">
        <v>8416</v>
      </c>
      <c r="Z1818" s="8" t="s">
        <v>8417</v>
      </c>
    </row>
    <row r="1819" spans="1:26" x14ac:dyDescent="0.2">
      <c r="A1819" s="8">
        <v>1818</v>
      </c>
      <c r="B1819" s="8" t="s">
        <v>8418</v>
      </c>
      <c r="C1819" s="8" t="s">
        <v>8418</v>
      </c>
      <c r="F1819" s="47"/>
      <c r="G1819" s="8">
        <v>3</v>
      </c>
      <c r="H1819" s="8" t="s">
        <v>21</v>
      </c>
      <c r="I1819" s="8" t="s">
        <v>557</v>
      </c>
      <c r="J1819" s="8" t="s">
        <v>557</v>
      </c>
      <c r="K1819" s="8" t="s">
        <v>557</v>
      </c>
      <c r="L1819" s="8" t="s">
        <v>55972</v>
      </c>
      <c r="M1819" s="8" t="s">
        <v>6970</v>
      </c>
      <c r="N1819" s="8" t="s">
        <v>8419</v>
      </c>
      <c r="O1819" s="8">
        <f>5+4/60+14.8/3600</f>
        <v>5.0707777777777778</v>
      </c>
      <c r="P1819" s="8" t="s">
        <v>8420</v>
      </c>
      <c r="Q1819" s="8">
        <f>-(66+26/60+4/3600)</f>
        <v>-66.434444444444452</v>
      </c>
      <c r="R1819" s="8">
        <v>9.6999999999999993</v>
      </c>
      <c r="S1819" s="8">
        <v>99</v>
      </c>
      <c r="T1819" s="8">
        <v>99</v>
      </c>
      <c r="U1819" s="8">
        <v>99</v>
      </c>
      <c r="V1819" s="8">
        <v>3.4</v>
      </c>
      <c r="Y1819" s="8" t="s">
        <v>8421</v>
      </c>
      <c r="Z1819" s="8" t="s">
        <v>8422</v>
      </c>
    </row>
    <row r="1820" spans="1:26" x14ac:dyDescent="0.2">
      <c r="A1820" s="8">
        <v>1819</v>
      </c>
      <c r="B1820" s="8" t="s">
        <v>8423</v>
      </c>
      <c r="C1820" s="8" t="s">
        <v>8423</v>
      </c>
      <c r="F1820" s="47"/>
      <c r="G1820" s="8">
        <v>12</v>
      </c>
      <c r="H1820" s="8" t="s">
        <v>21</v>
      </c>
      <c r="I1820" s="8" t="s">
        <v>22</v>
      </c>
      <c r="J1820" s="8" t="s">
        <v>22</v>
      </c>
      <c r="K1820" s="8" t="s">
        <v>224</v>
      </c>
      <c r="L1820" s="8" t="s">
        <v>7698</v>
      </c>
      <c r="M1820" s="8" t="s">
        <v>7699</v>
      </c>
      <c r="N1820" s="8" t="s">
        <v>8424</v>
      </c>
      <c r="O1820" s="8">
        <f>5+11/60+46/3600</f>
        <v>5.1961111111111116</v>
      </c>
      <c r="P1820" s="8" t="s">
        <v>8425</v>
      </c>
      <c r="Q1820" s="8">
        <f>+(5+12/60+3/3600)</f>
        <v>5.2008333333333336</v>
      </c>
      <c r="R1820" s="8">
        <v>12.5</v>
      </c>
      <c r="S1820" s="8">
        <v>13.5</v>
      </c>
      <c r="T1820" s="8">
        <v>1</v>
      </c>
      <c r="U1820" s="8">
        <v>12.6</v>
      </c>
      <c r="V1820" s="8">
        <v>1.3</v>
      </c>
      <c r="W1820" s="8">
        <v>1</v>
      </c>
      <c r="X1820" s="8">
        <v>120</v>
      </c>
      <c r="Y1820" s="8" t="s">
        <v>170</v>
      </c>
      <c r="Z1820" s="8" t="s">
        <v>171</v>
      </c>
    </row>
    <row r="1821" spans="1:26" x14ac:dyDescent="0.2">
      <c r="A1821" s="8">
        <v>1820</v>
      </c>
      <c r="B1821" s="8" t="s">
        <v>8426</v>
      </c>
      <c r="C1821" s="8" t="s">
        <v>8426</v>
      </c>
      <c r="F1821" s="47"/>
      <c r="G1821" s="8">
        <v>16</v>
      </c>
      <c r="H1821" s="8" t="s">
        <v>21</v>
      </c>
      <c r="I1821" s="8" t="s">
        <v>557</v>
      </c>
      <c r="J1821" s="8" t="s">
        <v>557</v>
      </c>
      <c r="K1821" s="8" t="s">
        <v>557</v>
      </c>
      <c r="L1821" s="8" t="s">
        <v>55972</v>
      </c>
      <c r="M1821" s="8" t="s">
        <v>6970</v>
      </c>
      <c r="N1821" s="8" t="s">
        <v>8427</v>
      </c>
      <c r="O1821" s="8">
        <f>5+4/60+4/3600</f>
        <v>5.0677777777777777</v>
      </c>
      <c r="P1821" s="8" t="s">
        <v>8428</v>
      </c>
      <c r="Q1821" s="8">
        <f>-(67+16/60+18/3600)</f>
        <v>-67.271666666666661</v>
      </c>
      <c r="R1821" s="8">
        <v>9</v>
      </c>
      <c r="S1821" s="8">
        <v>99</v>
      </c>
      <c r="T1821" s="8">
        <v>99</v>
      </c>
      <c r="U1821" s="8">
        <v>99</v>
      </c>
      <c r="Y1821" s="8" t="s">
        <v>8429</v>
      </c>
      <c r="Z1821" s="8" t="s">
        <v>8430</v>
      </c>
    </row>
    <row r="1822" spans="1:26" x14ac:dyDescent="0.2">
      <c r="A1822" s="8">
        <v>1821</v>
      </c>
      <c r="B1822" s="8" t="s">
        <v>8431</v>
      </c>
      <c r="C1822" s="8" t="s">
        <v>8431</v>
      </c>
      <c r="F1822" s="47"/>
      <c r="G1822" s="8">
        <v>19</v>
      </c>
      <c r="H1822" s="8" t="s">
        <v>21</v>
      </c>
      <c r="I1822" s="8" t="s">
        <v>22</v>
      </c>
      <c r="J1822" s="8" t="s">
        <v>22</v>
      </c>
      <c r="K1822" s="8" t="s">
        <v>107</v>
      </c>
      <c r="L1822" s="8" t="s">
        <v>7915</v>
      </c>
      <c r="M1822" s="8" t="s">
        <v>7916</v>
      </c>
      <c r="N1822" s="8" t="s">
        <v>8424</v>
      </c>
      <c r="O1822" s="8">
        <f>5+11/60+46/3600</f>
        <v>5.1961111111111116</v>
      </c>
      <c r="P1822" s="8" t="s">
        <v>8432</v>
      </c>
      <c r="Q1822" s="8">
        <f>-(15+8/60+4/3600)</f>
        <v>-15.134444444444444</v>
      </c>
      <c r="R1822" s="8">
        <v>13.3</v>
      </c>
      <c r="S1822" s="8">
        <v>13.9</v>
      </c>
      <c r="T1822" s="8">
        <v>0.6</v>
      </c>
      <c r="U1822" s="8">
        <v>13.1</v>
      </c>
      <c r="V1822" s="8">
        <v>1.2</v>
      </c>
      <c r="W1822" s="8">
        <v>0.8</v>
      </c>
      <c r="X1822" s="8">
        <v>125</v>
      </c>
      <c r="Y1822" s="8" t="s">
        <v>2500</v>
      </c>
      <c r="Z1822" s="8" t="s">
        <v>2501</v>
      </c>
    </row>
    <row r="1823" spans="1:26" x14ac:dyDescent="0.2">
      <c r="A1823" s="8">
        <v>1822</v>
      </c>
      <c r="B1823" s="8" t="s">
        <v>8433</v>
      </c>
      <c r="C1823" s="8" t="s">
        <v>8433</v>
      </c>
      <c r="F1823" s="47"/>
      <c r="G1823" s="8">
        <v>16</v>
      </c>
      <c r="H1823" s="8" t="s">
        <v>21</v>
      </c>
      <c r="I1823" s="8" t="s">
        <v>557</v>
      </c>
      <c r="J1823" s="8" t="s">
        <v>557</v>
      </c>
      <c r="K1823" s="8" t="s">
        <v>557</v>
      </c>
      <c r="L1823" s="8" t="s">
        <v>55972</v>
      </c>
      <c r="M1823" s="8" t="s">
        <v>6970</v>
      </c>
      <c r="N1823" s="8" t="s">
        <v>8434</v>
      </c>
      <c r="O1823" s="8">
        <f>5+5/60+9.2/3600</f>
        <v>5.0858888888888885</v>
      </c>
      <c r="P1823" s="8" t="s">
        <v>8435</v>
      </c>
      <c r="Q1823" s="8">
        <f>-(66+12/60+38/3600)</f>
        <v>-66.210555555555558</v>
      </c>
      <c r="R1823" s="8">
        <v>13.2</v>
      </c>
      <c r="S1823" s="8">
        <v>13.2</v>
      </c>
      <c r="T1823" s="8">
        <v>99</v>
      </c>
      <c r="U1823" s="8">
        <v>99</v>
      </c>
      <c r="V1823" s="8">
        <v>0.8</v>
      </c>
      <c r="Y1823" s="8" t="s">
        <v>8436</v>
      </c>
      <c r="Z1823" s="8" t="s">
        <v>8437</v>
      </c>
    </row>
    <row r="1824" spans="1:26" x14ac:dyDescent="0.2">
      <c r="A1824" s="8">
        <v>1823</v>
      </c>
      <c r="B1824" s="8" t="s">
        <v>8438</v>
      </c>
      <c r="C1824" s="8" t="s">
        <v>8438</v>
      </c>
      <c r="F1824" s="47"/>
      <c r="G1824" s="8">
        <v>16</v>
      </c>
      <c r="H1824" s="8" t="s">
        <v>21</v>
      </c>
      <c r="I1824" s="8" t="s">
        <v>557</v>
      </c>
      <c r="J1824" s="8" t="s">
        <v>557</v>
      </c>
      <c r="K1824" s="8" t="s">
        <v>557</v>
      </c>
      <c r="L1824" s="8" t="s">
        <v>7071</v>
      </c>
      <c r="M1824" s="8" t="s">
        <v>7072</v>
      </c>
      <c r="N1824" s="8" t="s">
        <v>8439</v>
      </c>
      <c r="O1824" s="8">
        <f>5+3/60+25/3600</f>
        <v>5.0569444444444445</v>
      </c>
      <c r="P1824" s="8" t="s">
        <v>8440</v>
      </c>
      <c r="Q1824" s="8">
        <f>-(70+20/60+8/3600)</f>
        <v>-70.335555555555544</v>
      </c>
      <c r="R1824" s="8">
        <v>12.1</v>
      </c>
      <c r="S1824" s="8">
        <v>99</v>
      </c>
      <c r="T1824" s="8">
        <v>99</v>
      </c>
      <c r="U1824" s="8">
        <v>99</v>
      </c>
      <c r="V1824" s="8">
        <v>0.9</v>
      </c>
      <c r="Y1824" s="8" t="s">
        <v>8441</v>
      </c>
      <c r="Z1824" s="8" t="s">
        <v>8442</v>
      </c>
    </row>
    <row r="1825" spans="1:26" x14ac:dyDescent="0.2">
      <c r="A1825" s="8">
        <v>1824</v>
      </c>
      <c r="B1825" s="8" t="s">
        <v>8443</v>
      </c>
      <c r="C1825" s="8" t="s">
        <v>8443</v>
      </c>
      <c r="F1825" s="47"/>
      <c r="G1825" s="8">
        <v>16</v>
      </c>
      <c r="H1825" s="8" t="s">
        <v>21</v>
      </c>
      <c r="I1825" s="8" t="s">
        <v>22</v>
      </c>
      <c r="J1825" s="8" t="s">
        <v>22</v>
      </c>
      <c r="K1825" s="8" t="s">
        <v>323</v>
      </c>
      <c r="L1825" s="8" t="s">
        <v>55972</v>
      </c>
      <c r="M1825" s="8" t="s">
        <v>6970</v>
      </c>
      <c r="N1825" s="8" t="s">
        <v>8444</v>
      </c>
      <c r="O1825" s="8">
        <f>5+6/60+56/3600</f>
        <v>5.115555555555555</v>
      </c>
      <c r="P1825" s="8" t="s">
        <v>8445</v>
      </c>
      <c r="Q1825" s="8">
        <f>-(59+43/60+31/3600)</f>
        <v>-59.725277777777777</v>
      </c>
      <c r="R1825" s="8">
        <v>12.6</v>
      </c>
      <c r="S1825" s="8">
        <v>13</v>
      </c>
      <c r="T1825" s="8">
        <v>0.4</v>
      </c>
      <c r="U1825" s="8">
        <v>13.5</v>
      </c>
      <c r="V1825" s="8">
        <v>3.2</v>
      </c>
      <c r="W1825" s="8">
        <v>0.8</v>
      </c>
      <c r="X1825" s="8">
        <v>160</v>
      </c>
      <c r="Y1825" s="8" t="s">
        <v>8446</v>
      </c>
      <c r="Z1825" s="8" t="s">
        <v>8447</v>
      </c>
    </row>
    <row r="1826" spans="1:26" x14ac:dyDescent="0.2">
      <c r="A1826" s="8">
        <v>1825</v>
      </c>
      <c r="B1826" s="8" t="s">
        <v>8448</v>
      </c>
      <c r="C1826" s="8" t="s">
        <v>8448</v>
      </c>
      <c r="F1826" s="49"/>
      <c r="G1826" s="8">
        <v>18</v>
      </c>
      <c r="H1826" s="8" t="s">
        <v>21</v>
      </c>
      <c r="I1826" s="8" t="s">
        <v>557</v>
      </c>
      <c r="J1826" s="8" t="s">
        <v>557</v>
      </c>
      <c r="K1826" s="8" t="s">
        <v>557</v>
      </c>
      <c r="L1826" s="8" t="s">
        <v>55972</v>
      </c>
      <c r="M1826" s="8" t="s">
        <v>6970</v>
      </c>
      <c r="N1826" s="8" t="s">
        <v>8449</v>
      </c>
      <c r="O1826" s="8">
        <f>5+4/60+19/3600</f>
        <v>5.0719444444444441</v>
      </c>
      <c r="P1826" s="8" t="s">
        <v>8450</v>
      </c>
      <c r="Q1826" s="8">
        <f>-(68+55/60+36/3600)</f>
        <v>-68.926666666666677</v>
      </c>
      <c r="R1826" s="8">
        <v>12</v>
      </c>
      <c r="S1826" s="8">
        <v>99</v>
      </c>
      <c r="T1826" s="8">
        <v>99</v>
      </c>
      <c r="U1826" s="8">
        <v>99</v>
      </c>
      <c r="V1826" s="8">
        <v>0.5</v>
      </c>
      <c r="Y1826" s="8" t="s">
        <v>8269</v>
      </c>
      <c r="Z1826" s="8" t="s">
        <v>8270</v>
      </c>
    </row>
    <row r="1827" spans="1:26" x14ac:dyDescent="0.2">
      <c r="A1827" s="8">
        <v>1826</v>
      </c>
      <c r="B1827" s="8" t="s">
        <v>8451</v>
      </c>
      <c r="C1827" s="8" t="s">
        <v>8451</v>
      </c>
      <c r="F1827" s="47"/>
      <c r="G1827" s="8">
        <v>16</v>
      </c>
      <c r="H1827" s="8" t="s">
        <v>21</v>
      </c>
      <c r="I1827" s="8" t="s">
        <v>557</v>
      </c>
      <c r="J1827" s="8" t="s">
        <v>557</v>
      </c>
      <c r="K1827" s="8" t="s">
        <v>557</v>
      </c>
      <c r="L1827" s="8" t="s">
        <v>55972</v>
      </c>
      <c r="M1827" s="8" t="s">
        <v>6970</v>
      </c>
      <c r="N1827" s="8" t="s">
        <v>8452</v>
      </c>
      <c r="O1827" s="8">
        <f>5+5/60+34/3600</f>
        <v>5.0927777777777772</v>
      </c>
      <c r="P1827" s="8" t="s">
        <v>8453</v>
      </c>
      <c r="Q1827" s="8">
        <f>-(66+13/60+52/3600)</f>
        <v>-66.231111111111119</v>
      </c>
      <c r="R1827" s="8">
        <v>13.3</v>
      </c>
      <c r="S1827" s="8">
        <v>13.8</v>
      </c>
      <c r="T1827" s="8">
        <v>99</v>
      </c>
      <c r="U1827" s="8">
        <v>99</v>
      </c>
      <c r="V1827" s="8">
        <v>0.9</v>
      </c>
      <c r="Y1827" s="8" t="s">
        <v>8454</v>
      </c>
      <c r="Z1827" s="8" t="s">
        <v>8455</v>
      </c>
    </row>
    <row r="1828" spans="1:26" x14ac:dyDescent="0.2">
      <c r="A1828" s="8">
        <v>1827</v>
      </c>
      <c r="B1828" s="8" t="s">
        <v>8456</v>
      </c>
      <c r="C1828" s="8" t="s">
        <v>8456</v>
      </c>
      <c r="F1828" s="47"/>
      <c r="G1828" s="8">
        <v>16</v>
      </c>
      <c r="H1828" s="8" t="s">
        <v>21</v>
      </c>
      <c r="I1828" s="8" t="s">
        <v>22</v>
      </c>
      <c r="J1828" s="8" t="s">
        <v>22</v>
      </c>
      <c r="K1828" s="8" t="s">
        <v>64</v>
      </c>
      <c r="L1828" s="8" t="s">
        <v>8298</v>
      </c>
      <c r="M1828" s="8" t="s">
        <v>8299</v>
      </c>
      <c r="N1828" s="8" t="s">
        <v>8457</v>
      </c>
      <c r="O1828" s="8">
        <f>5+10/60+4.4/3600</f>
        <v>5.1678888888888892</v>
      </c>
      <c r="P1828" s="8" t="s">
        <v>8458</v>
      </c>
      <c r="Q1828" s="8">
        <f>-(36+57/60+37/3600)</f>
        <v>-36.960277777777783</v>
      </c>
      <c r="R1828" s="8">
        <v>12.6</v>
      </c>
      <c r="S1828" s="8">
        <v>13.3</v>
      </c>
      <c r="T1828" s="8">
        <v>0.7</v>
      </c>
      <c r="U1828" s="8">
        <v>13.3</v>
      </c>
      <c r="V1828" s="8">
        <v>3</v>
      </c>
      <c r="W1828" s="8">
        <v>0.7</v>
      </c>
      <c r="X1828" s="8">
        <v>120</v>
      </c>
      <c r="Y1828" s="8" t="s">
        <v>8459</v>
      </c>
      <c r="Z1828" s="8" t="s">
        <v>8460</v>
      </c>
    </row>
    <row r="1829" spans="1:26" x14ac:dyDescent="0.2">
      <c r="A1829" s="8">
        <v>1828</v>
      </c>
      <c r="B1829" s="8" t="s">
        <v>8461</v>
      </c>
      <c r="C1829" s="8" t="s">
        <v>8461</v>
      </c>
      <c r="F1829" s="47"/>
      <c r="G1829" s="8">
        <v>16</v>
      </c>
      <c r="H1829" s="8" t="s">
        <v>21</v>
      </c>
      <c r="I1829" s="8" t="s">
        <v>557</v>
      </c>
      <c r="J1829" s="8" t="s">
        <v>557</v>
      </c>
      <c r="K1829" s="8" t="s">
        <v>557</v>
      </c>
      <c r="L1829" s="8" t="s">
        <v>55972</v>
      </c>
      <c r="M1829" s="8" t="s">
        <v>6970</v>
      </c>
      <c r="N1829" s="8" t="s">
        <v>8462</v>
      </c>
      <c r="O1829" s="8">
        <f>5+4/60+20.9/3600</f>
        <v>5.0724722222222223</v>
      </c>
      <c r="P1829" s="8" t="s">
        <v>8463</v>
      </c>
      <c r="Q1829" s="8">
        <f>-(69+23/60+18/3600)</f>
        <v>-69.388333333333335</v>
      </c>
      <c r="R1829" s="8">
        <v>12.5</v>
      </c>
      <c r="S1829" s="8">
        <v>99</v>
      </c>
      <c r="T1829" s="8">
        <v>99</v>
      </c>
      <c r="U1829" s="8">
        <v>99</v>
      </c>
      <c r="V1829" s="8">
        <v>0.7</v>
      </c>
      <c r="Y1829" s="8" t="s">
        <v>8464</v>
      </c>
      <c r="Z1829" s="8" t="s">
        <v>8465</v>
      </c>
    </row>
    <row r="1830" spans="1:26" x14ac:dyDescent="0.2">
      <c r="A1830" s="8">
        <v>1829</v>
      </c>
      <c r="B1830" s="8" t="s">
        <v>8466</v>
      </c>
      <c r="C1830" s="8" t="s">
        <v>8466</v>
      </c>
      <c r="F1830" s="47"/>
      <c r="G1830" s="8">
        <v>5</v>
      </c>
      <c r="H1830" s="8" t="s">
        <v>21</v>
      </c>
      <c r="I1830" s="8" t="s">
        <v>557</v>
      </c>
      <c r="J1830" s="8" t="s">
        <v>557</v>
      </c>
      <c r="K1830" s="8" t="s">
        <v>1816</v>
      </c>
      <c r="L1830" s="8" t="s">
        <v>55972</v>
      </c>
      <c r="M1830" s="8" t="s">
        <v>6970</v>
      </c>
      <c r="N1830" s="8" t="s">
        <v>8467</v>
      </c>
      <c r="O1830" s="8">
        <f>5+4/60+57.4/3600</f>
        <v>5.0826111111111105</v>
      </c>
      <c r="P1830" s="8" t="s">
        <v>8468</v>
      </c>
      <c r="Q1830" s="8">
        <f>-(68+3/60+20/3600)</f>
        <v>-68.055555555555557</v>
      </c>
      <c r="R1830" s="8">
        <v>99</v>
      </c>
      <c r="S1830" s="8">
        <v>99</v>
      </c>
      <c r="T1830" s="8">
        <v>99</v>
      </c>
      <c r="U1830" s="8">
        <v>99</v>
      </c>
      <c r="V1830" s="8">
        <v>2.1</v>
      </c>
      <c r="Y1830" s="8" t="s">
        <v>8469</v>
      </c>
      <c r="Z1830" s="8" t="s">
        <v>8470</v>
      </c>
    </row>
    <row r="1831" spans="1:26" x14ac:dyDescent="0.2">
      <c r="A1831" s="8">
        <v>1830</v>
      </c>
      <c r="B1831" s="8" t="s">
        <v>8471</v>
      </c>
      <c r="C1831" s="8" t="s">
        <v>8471</v>
      </c>
      <c r="F1831" s="47"/>
      <c r="G1831" s="8">
        <v>16</v>
      </c>
      <c r="H1831" s="8" t="s">
        <v>21</v>
      </c>
      <c r="I1831" s="8" t="s">
        <v>557</v>
      </c>
      <c r="J1831" s="8" t="s">
        <v>557</v>
      </c>
      <c r="K1831" s="8" t="s">
        <v>557</v>
      </c>
      <c r="L1831" s="8" t="s">
        <v>55972</v>
      </c>
      <c r="M1831" s="8" t="s">
        <v>6970</v>
      </c>
      <c r="N1831" s="8" t="s">
        <v>8472</v>
      </c>
      <c r="O1831" s="8">
        <f>5+4/60+38.3/3600</f>
        <v>5.0773055555555553</v>
      </c>
      <c r="P1831" s="8" t="s">
        <v>8473</v>
      </c>
      <c r="Q1831" s="8">
        <f>-(69+20/60+25/3600)</f>
        <v>-69.340277777777771</v>
      </c>
      <c r="R1831" s="8">
        <v>12.6</v>
      </c>
      <c r="S1831" s="8">
        <v>99</v>
      </c>
      <c r="T1831" s="8">
        <v>99</v>
      </c>
      <c r="U1831" s="8">
        <v>99</v>
      </c>
      <c r="V1831" s="8">
        <v>0.7</v>
      </c>
      <c r="Y1831" s="8" t="s">
        <v>8474</v>
      </c>
      <c r="Z1831" s="8" t="s">
        <v>8475</v>
      </c>
    </row>
    <row r="1832" spans="1:26" x14ac:dyDescent="0.2">
      <c r="A1832" s="8">
        <v>1831</v>
      </c>
      <c r="B1832" s="8" t="s">
        <v>8476</v>
      </c>
      <c r="C1832" s="8" t="s">
        <v>8476</v>
      </c>
      <c r="F1832" s="47"/>
      <c r="G1832" s="8">
        <v>16</v>
      </c>
      <c r="H1832" s="8" t="s">
        <v>21</v>
      </c>
      <c r="I1832" s="8" t="s">
        <v>557</v>
      </c>
      <c r="J1832" s="8" t="s">
        <v>557</v>
      </c>
      <c r="K1832" s="8" t="s">
        <v>557</v>
      </c>
      <c r="L1832" s="8" t="s">
        <v>55972</v>
      </c>
      <c r="M1832" s="8" t="s">
        <v>6970</v>
      </c>
      <c r="N1832" s="8" t="s">
        <v>8477</v>
      </c>
      <c r="O1832" s="8">
        <f>5+6/60+16.2/3600</f>
        <v>5.1044999999999998</v>
      </c>
      <c r="P1832" s="8" t="s">
        <v>8478</v>
      </c>
      <c r="Q1832" s="8">
        <f>-(64+55/60+7/3600)</f>
        <v>-64.918611111111119</v>
      </c>
      <c r="R1832" s="8">
        <v>11.2</v>
      </c>
      <c r="S1832" s="8">
        <v>99</v>
      </c>
      <c r="T1832" s="8">
        <v>99</v>
      </c>
      <c r="U1832" s="8">
        <v>99</v>
      </c>
      <c r="V1832" s="8">
        <v>3.9</v>
      </c>
      <c r="Y1832" s="8" t="s">
        <v>8479</v>
      </c>
      <c r="Z1832" s="8" t="s">
        <v>8480</v>
      </c>
    </row>
    <row r="1833" spans="1:26" x14ac:dyDescent="0.2">
      <c r="A1833" s="8">
        <v>1832</v>
      </c>
      <c r="B1833" s="8" t="s">
        <v>8481</v>
      </c>
      <c r="C1833" s="8" t="s">
        <v>8481</v>
      </c>
      <c r="F1833" s="47" t="s">
        <v>56393</v>
      </c>
      <c r="G1833" s="8">
        <v>6.5</v>
      </c>
      <c r="H1833" s="8" t="s">
        <v>21</v>
      </c>
      <c r="I1833" s="8" t="s">
        <v>22</v>
      </c>
      <c r="J1833" s="8" t="s">
        <v>22</v>
      </c>
      <c r="K1833" s="8" t="s">
        <v>85</v>
      </c>
      <c r="L1833" s="8" t="s">
        <v>7915</v>
      </c>
      <c r="M1833" s="8" t="s">
        <v>7916</v>
      </c>
      <c r="N1833" s="8" t="s">
        <v>8482</v>
      </c>
      <c r="O1833" s="8">
        <f>5+12/60+3/3600</f>
        <v>5.2008333333333336</v>
      </c>
      <c r="P1833" s="8" t="s">
        <v>8483</v>
      </c>
      <c r="Q1833" s="8">
        <f>-(15+41/60+20/3600)</f>
        <v>-15.68888888888889</v>
      </c>
      <c r="R1833" s="8">
        <v>11.3</v>
      </c>
      <c r="S1833" s="8">
        <v>12</v>
      </c>
      <c r="T1833" s="8">
        <v>0.7</v>
      </c>
      <c r="U1833" s="8">
        <v>12.8</v>
      </c>
      <c r="V1833" s="8">
        <v>2.6</v>
      </c>
      <c r="W1833" s="8">
        <v>1.7</v>
      </c>
      <c r="X1833" s="8">
        <v>12</v>
      </c>
      <c r="Y1833" s="8" t="s">
        <v>8484</v>
      </c>
      <c r="Z1833" s="8" t="s">
        <v>8485</v>
      </c>
    </row>
    <row r="1834" spans="1:26" x14ac:dyDescent="0.2">
      <c r="A1834" s="8">
        <v>1833</v>
      </c>
      <c r="B1834" s="8" t="s">
        <v>8486</v>
      </c>
      <c r="C1834" s="8" t="s">
        <v>8486</v>
      </c>
      <c r="F1834" s="47"/>
      <c r="G1834" s="8">
        <v>16</v>
      </c>
      <c r="H1834" s="8" t="s">
        <v>21</v>
      </c>
      <c r="I1834" s="8" t="s">
        <v>557</v>
      </c>
      <c r="J1834" s="8" t="s">
        <v>557</v>
      </c>
      <c r="K1834" s="8" t="s">
        <v>1816</v>
      </c>
      <c r="L1834" s="8" t="s">
        <v>7071</v>
      </c>
      <c r="M1834" s="8" t="s">
        <v>7072</v>
      </c>
      <c r="N1834" s="8" t="s">
        <v>8487</v>
      </c>
      <c r="O1834" s="8">
        <f>5+4/60+21.8/3600</f>
        <v>5.0727222222222217</v>
      </c>
      <c r="P1834" s="8" t="s">
        <v>8488</v>
      </c>
      <c r="Q1834" s="8">
        <f>-(70+43/60+54/3600)</f>
        <v>-70.731666666666669</v>
      </c>
      <c r="R1834" s="8">
        <v>99</v>
      </c>
      <c r="S1834" s="8">
        <v>99</v>
      </c>
      <c r="T1834" s="8">
        <v>99</v>
      </c>
      <c r="U1834" s="8">
        <v>99</v>
      </c>
      <c r="V1834" s="8">
        <v>2.1</v>
      </c>
      <c r="Y1834" s="8" t="s">
        <v>8489</v>
      </c>
      <c r="Z1834" s="8" t="s">
        <v>8490</v>
      </c>
    </row>
    <row r="1835" spans="1:26" x14ac:dyDescent="0.2">
      <c r="A1835" s="8">
        <v>1834</v>
      </c>
      <c r="B1835" s="8" t="s">
        <v>8491</v>
      </c>
      <c r="C1835" s="8" t="s">
        <v>8491</v>
      </c>
      <c r="F1835" s="47"/>
      <c r="G1835" s="8">
        <v>16</v>
      </c>
      <c r="H1835" s="8" t="s">
        <v>21</v>
      </c>
      <c r="I1835" s="8" t="s">
        <v>557</v>
      </c>
      <c r="J1835" s="8" t="s">
        <v>557</v>
      </c>
      <c r="K1835" s="8" t="s">
        <v>557</v>
      </c>
      <c r="L1835" s="8" t="s">
        <v>55972</v>
      </c>
      <c r="M1835" s="8" t="s">
        <v>6970</v>
      </c>
      <c r="N1835" s="8" t="s">
        <v>8492</v>
      </c>
      <c r="O1835" s="8">
        <f>5+5/60+11.4/3600</f>
        <v>5.0865</v>
      </c>
      <c r="P1835" s="8" t="s">
        <v>8493</v>
      </c>
      <c r="Q1835" s="8">
        <f>-(69+12/60+27/3600)</f>
        <v>-69.207499999999996</v>
      </c>
      <c r="R1835" s="8">
        <v>99</v>
      </c>
      <c r="S1835" s="8">
        <v>11.8</v>
      </c>
      <c r="T1835" s="8">
        <v>99</v>
      </c>
      <c r="U1835" s="8">
        <v>99</v>
      </c>
      <c r="Y1835" s="8" t="s">
        <v>8494</v>
      </c>
      <c r="Z1835" s="8" t="s">
        <v>8495</v>
      </c>
    </row>
    <row r="1836" spans="1:26" x14ac:dyDescent="0.2">
      <c r="A1836" s="8">
        <v>1835</v>
      </c>
      <c r="B1836" s="8" t="s">
        <v>8496</v>
      </c>
      <c r="C1836" s="8" t="s">
        <v>8496</v>
      </c>
      <c r="F1836" s="47"/>
      <c r="G1836" s="8">
        <v>16</v>
      </c>
      <c r="H1836" s="8" t="s">
        <v>21</v>
      </c>
      <c r="I1836" s="8" t="s">
        <v>557</v>
      </c>
      <c r="J1836" s="8" t="s">
        <v>557</v>
      </c>
      <c r="K1836" s="8" t="s">
        <v>557</v>
      </c>
      <c r="L1836" s="8" t="s">
        <v>55972</v>
      </c>
      <c r="M1836" s="8" t="s">
        <v>6970</v>
      </c>
      <c r="N1836" s="8" t="s">
        <v>8497</v>
      </c>
      <c r="O1836" s="8">
        <f>5+5/60+5.7/3600</f>
        <v>5.0849166666666665</v>
      </c>
      <c r="P1836" s="8" t="s">
        <v>8498</v>
      </c>
      <c r="Q1836" s="8">
        <f>-(69+24/60+15/3600)</f>
        <v>-69.404166666666669</v>
      </c>
      <c r="R1836" s="8">
        <v>10.6</v>
      </c>
      <c r="S1836" s="8">
        <v>11.3</v>
      </c>
      <c r="T1836" s="8">
        <v>99</v>
      </c>
      <c r="U1836" s="8">
        <v>99</v>
      </c>
      <c r="V1836" s="8">
        <v>1.2</v>
      </c>
      <c r="Y1836" s="8" t="s">
        <v>8499</v>
      </c>
      <c r="Z1836" s="8" t="s">
        <v>8500</v>
      </c>
    </row>
    <row r="1837" spans="1:26" x14ac:dyDescent="0.2">
      <c r="A1837" s="8">
        <v>1836</v>
      </c>
      <c r="B1837" s="8" t="s">
        <v>8501</v>
      </c>
      <c r="C1837" s="8" t="s">
        <v>8501</v>
      </c>
      <c r="F1837" s="47"/>
      <c r="G1837" s="8">
        <v>16</v>
      </c>
      <c r="H1837" s="8" t="s">
        <v>21</v>
      </c>
      <c r="I1837" s="8" t="s">
        <v>557</v>
      </c>
      <c r="J1837" s="8" t="s">
        <v>557</v>
      </c>
      <c r="K1837" s="8" t="s">
        <v>557</v>
      </c>
      <c r="L1837" s="8" t="s">
        <v>55972</v>
      </c>
      <c r="M1837" s="8" t="s">
        <v>6970</v>
      </c>
      <c r="N1837" s="8" t="s">
        <v>8502</v>
      </c>
      <c r="O1837" s="8">
        <f>5+5/60+34.5/3600</f>
        <v>5.0929166666666665</v>
      </c>
      <c r="P1837" s="8" t="s">
        <v>8503</v>
      </c>
      <c r="Q1837" s="8">
        <f>-(68+37/60+41/3600)</f>
        <v>-68.628055555555548</v>
      </c>
      <c r="R1837" s="8">
        <v>12.2</v>
      </c>
      <c r="S1837" s="8">
        <v>99</v>
      </c>
      <c r="T1837" s="8">
        <v>99</v>
      </c>
      <c r="U1837" s="8">
        <v>99</v>
      </c>
      <c r="V1837" s="8">
        <v>0.8</v>
      </c>
      <c r="Y1837" s="8" t="s">
        <v>8504</v>
      </c>
      <c r="Z1837" s="8" t="s">
        <v>8505</v>
      </c>
    </row>
    <row r="1838" spans="1:26" x14ac:dyDescent="0.2">
      <c r="A1838" s="8">
        <v>1837</v>
      </c>
      <c r="B1838" s="8" t="s">
        <v>8506</v>
      </c>
      <c r="C1838" s="8" t="s">
        <v>8506</v>
      </c>
      <c r="F1838" s="47"/>
      <c r="G1838" s="8">
        <v>16</v>
      </c>
      <c r="H1838" s="8" t="s">
        <v>21</v>
      </c>
      <c r="I1838" s="8" t="s">
        <v>557</v>
      </c>
      <c r="J1838" s="8" t="s">
        <v>557</v>
      </c>
      <c r="K1838" s="8" t="s">
        <v>557</v>
      </c>
      <c r="L1838" s="8" t="s">
        <v>7071</v>
      </c>
      <c r="M1838" s="8" t="s">
        <v>7072</v>
      </c>
      <c r="N1838" s="8" t="s">
        <v>8507</v>
      </c>
      <c r="O1838" s="8">
        <f>5+4/60+55.9/3600</f>
        <v>5.0821944444444442</v>
      </c>
      <c r="P1838" s="8" t="s">
        <v>8508</v>
      </c>
      <c r="Q1838" s="8">
        <f>-(70+42/60+51/3600)</f>
        <v>-70.714166666666671</v>
      </c>
      <c r="R1838" s="8">
        <v>10.6</v>
      </c>
      <c r="S1838" s="8">
        <v>99</v>
      </c>
      <c r="T1838" s="8">
        <v>99</v>
      </c>
      <c r="U1838" s="8">
        <v>99</v>
      </c>
      <c r="V1838" s="8">
        <v>1.3</v>
      </c>
      <c r="Y1838" s="8" t="s">
        <v>8509</v>
      </c>
      <c r="Z1838" s="8" t="s">
        <v>8510</v>
      </c>
    </row>
    <row r="1839" spans="1:26" x14ac:dyDescent="0.2">
      <c r="A1839" s="8">
        <v>1838</v>
      </c>
      <c r="B1839" s="8" t="s">
        <v>8511</v>
      </c>
      <c r="C1839" s="8" t="s">
        <v>8511</v>
      </c>
      <c r="F1839" s="47"/>
      <c r="G1839" s="8">
        <v>16</v>
      </c>
      <c r="H1839" s="8" t="s">
        <v>21</v>
      </c>
      <c r="I1839" s="8" t="s">
        <v>557</v>
      </c>
      <c r="J1839" s="8" t="s">
        <v>557</v>
      </c>
      <c r="K1839" s="8" t="s">
        <v>557</v>
      </c>
      <c r="L1839" s="8" t="s">
        <v>55972</v>
      </c>
      <c r="M1839" s="8" t="s">
        <v>6970</v>
      </c>
      <c r="N1839" s="8" t="s">
        <v>8512</v>
      </c>
      <c r="O1839" s="8">
        <f>5+6/60+47/3600</f>
        <v>5.1130555555555555</v>
      </c>
      <c r="P1839" s="8" t="s">
        <v>8513</v>
      </c>
      <c r="Q1839" s="8">
        <f>-(68+25/60+24/3600)</f>
        <v>-68.423333333333332</v>
      </c>
      <c r="R1839" s="8">
        <v>12.9</v>
      </c>
      <c r="S1839" s="8">
        <v>99</v>
      </c>
      <c r="T1839" s="8">
        <v>99</v>
      </c>
      <c r="U1839" s="8">
        <v>99</v>
      </c>
      <c r="V1839" s="8">
        <v>0.7</v>
      </c>
      <c r="Y1839" s="8" t="s">
        <v>8514</v>
      </c>
      <c r="Z1839" s="8" t="s">
        <v>8515</v>
      </c>
    </row>
    <row r="1840" spans="1:26" x14ac:dyDescent="0.2">
      <c r="A1840" s="8">
        <v>1839</v>
      </c>
      <c r="B1840" s="8" t="s">
        <v>8516</v>
      </c>
      <c r="C1840" s="8" t="s">
        <v>8516</v>
      </c>
      <c r="F1840" s="47"/>
      <c r="G1840" s="8">
        <v>16</v>
      </c>
      <c r="H1840" s="8" t="s">
        <v>21</v>
      </c>
      <c r="I1840" s="8" t="s">
        <v>557</v>
      </c>
      <c r="J1840" s="8" t="s">
        <v>557</v>
      </c>
      <c r="K1840" s="8" t="s">
        <v>1816</v>
      </c>
      <c r="L1840" s="8" t="s">
        <v>55972</v>
      </c>
      <c r="M1840" s="8" t="s">
        <v>6970</v>
      </c>
      <c r="N1840" s="8" t="s">
        <v>8517</v>
      </c>
      <c r="O1840" s="8">
        <f>5+6/60+2.4/3600</f>
        <v>5.1006666666666662</v>
      </c>
      <c r="P1840" s="8" t="s">
        <v>8518</v>
      </c>
      <c r="Q1840" s="8">
        <f>-(68+37/60+37/3600)</f>
        <v>-68.626944444444433</v>
      </c>
      <c r="R1840" s="8">
        <v>11.8</v>
      </c>
      <c r="S1840" s="8">
        <v>11.9</v>
      </c>
      <c r="T1840" s="8">
        <v>99</v>
      </c>
      <c r="U1840" s="8">
        <v>99</v>
      </c>
      <c r="Y1840" s="8" t="s">
        <v>8519</v>
      </c>
      <c r="Z1840" s="8" t="s">
        <v>8520</v>
      </c>
    </row>
    <row r="1841" spans="1:26" x14ac:dyDescent="0.2">
      <c r="A1841" s="8">
        <v>1840</v>
      </c>
      <c r="B1841" s="8" t="s">
        <v>8521</v>
      </c>
      <c r="C1841" s="8" t="s">
        <v>8521</v>
      </c>
      <c r="F1841" s="47"/>
      <c r="G1841" s="8">
        <v>16</v>
      </c>
      <c r="H1841" s="8" t="s">
        <v>21</v>
      </c>
      <c r="I1841" s="8" t="s">
        <v>557</v>
      </c>
      <c r="J1841" s="8" t="s">
        <v>557</v>
      </c>
      <c r="K1841" s="8" t="s">
        <v>557</v>
      </c>
      <c r="L1841" s="8" t="s">
        <v>7071</v>
      </c>
      <c r="M1841" s="8" t="s">
        <v>7072</v>
      </c>
      <c r="N1841" s="8" t="s">
        <v>8522</v>
      </c>
      <c r="O1841" s="8">
        <f>5+5/60+19.2/3600</f>
        <v>5.0886666666666667</v>
      </c>
      <c r="P1841" s="8" t="s">
        <v>8523</v>
      </c>
      <c r="Q1841" s="8">
        <f>-(71+45/60+47/3600)</f>
        <v>-71.763055555555553</v>
      </c>
      <c r="R1841" s="8">
        <v>99</v>
      </c>
      <c r="S1841" s="8">
        <v>99</v>
      </c>
      <c r="T1841" s="8">
        <v>99</v>
      </c>
      <c r="U1841" s="8">
        <v>99</v>
      </c>
      <c r="V1841" s="8">
        <v>0.6</v>
      </c>
      <c r="Y1841" s="8" t="s">
        <v>8524</v>
      </c>
      <c r="Z1841" s="8" t="s">
        <v>8525</v>
      </c>
    </row>
    <row r="1842" spans="1:26" x14ac:dyDescent="0.2">
      <c r="A1842" s="8">
        <v>1841</v>
      </c>
      <c r="B1842" s="8" t="s">
        <v>8526</v>
      </c>
      <c r="C1842" s="8" t="s">
        <v>8526</v>
      </c>
      <c r="F1842" s="47"/>
      <c r="G1842" s="8">
        <v>16</v>
      </c>
      <c r="H1842" s="8" t="s">
        <v>21</v>
      </c>
      <c r="I1842" s="8" t="s">
        <v>567</v>
      </c>
      <c r="J1842" s="8" t="s">
        <v>567</v>
      </c>
      <c r="K1842" s="8" t="s">
        <v>567</v>
      </c>
      <c r="L1842" s="8" t="s">
        <v>7071</v>
      </c>
      <c r="M1842" s="8" t="s">
        <v>7072</v>
      </c>
      <c r="N1842" s="8" t="s">
        <v>8527</v>
      </c>
      <c r="O1842" s="8">
        <f>4+45/60+23.1/3600</f>
        <v>4.7564166666666665</v>
      </c>
      <c r="P1842" s="8" t="s">
        <v>8528</v>
      </c>
      <c r="Q1842" s="8">
        <f>-(83+59/60+49/3600)</f>
        <v>-83.996944444444452</v>
      </c>
      <c r="R1842" s="8">
        <v>14.1</v>
      </c>
      <c r="S1842" s="8">
        <v>99</v>
      </c>
      <c r="T1842" s="8">
        <v>99</v>
      </c>
      <c r="U1842" s="8">
        <v>99</v>
      </c>
      <c r="V1842" s="8">
        <v>2.4</v>
      </c>
      <c r="Y1842" s="8" t="s">
        <v>8529</v>
      </c>
      <c r="Z1842" s="8" t="s">
        <v>8530</v>
      </c>
    </row>
    <row r="1843" spans="1:26" x14ac:dyDescent="0.2">
      <c r="A1843" s="8">
        <v>1842</v>
      </c>
      <c r="B1843" s="8" t="s">
        <v>8531</v>
      </c>
      <c r="C1843" s="8" t="s">
        <v>8531</v>
      </c>
      <c r="F1843" s="47"/>
      <c r="G1843" s="8">
        <v>16</v>
      </c>
      <c r="H1843" s="8" t="s">
        <v>21</v>
      </c>
      <c r="I1843" s="8" t="s">
        <v>557</v>
      </c>
      <c r="J1843" s="8" t="s">
        <v>557</v>
      </c>
      <c r="K1843" s="8" t="s">
        <v>557</v>
      </c>
      <c r="L1843" s="8" t="s">
        <v>55972</v>
      </c>
      <c r="M1843" s="8" t="s">
        <v>6970</v>
      </c>
      <c r="N1843" s="8" t="s">
        <v>8532</v>
      </c>
      <c r="O1843" s="8">
        <f>5+7/60+18.2/3600</f>
        <v>5.1217222222222221</v>
      </c>
      <c r="P1843" s="8" t="s">
        <v>8533</v>
      </c>
      <c r="Q1843" s="8">
        <f>-(67+16/60+24/3600)</f>
        <v>-67.273333333333326</v>
      </c>
      <c r="R1843" s="8">
        <v>14</v>
      </c>
      <c r="S1843" s="8">
        <v>14.3</v>
      </c>
      <c r="T1843" s="8">
        <v>99</v>
      </c>
      <c r="U1843" s="8">
        <v>99</v>
      </c>
      <c r="V1843" s="8">
        <v>0.8</v>
      </c>
      <c r="Y1843" s="8" t="s">
        <v>8534</v>
      </c>
      <c r="Z1843" s="8" t="s">
        <v>8535</v>
      </c>
    </row>
    <row r="1844" spans="1:26" x14ac:dyDescent="0.2">
      <c r="A1844" s="8">
        <v>1843</v>
      </c>
      <c r="B1844" s="8" t="s">
        <v>8536</v>
      </c>
      <c r="C1844" s="8" t="s">
        <v>8536</v>
      </c>
      <c r="F1844" s="47"/>
      <c r="G1844" s="8">
        <v>18</v>
      </c>
      <c r="H1844" s="8" t="s">
        <v>21</v>
      </c>
      <c r="I1844" s="8" t="s">
        <v>22</v>
      </c>
      <c r="J1844" s="8" t="s">
        <v>22</v>
      </c>
      <c r="K1844" s="8" t="s">
        <v>160</v>
      </c>
      <c r="L1844" s="8" t="s">
        <v>7698</v>
      </c>
      <c r="M1844" s="8" t="s">
        <v>7699</v>
      </c>
      <c r="N1844" s="8" t="s">
        <v>8537</v>
      </c>
      <c r="O1844" s="8">
        <f>5+14/60+6.1/3600</f>
        <v>5.2350277777777778</v>
      </c>
      <c r="P1844" s="8" t="s">
        <v>8538</v>
      </c>
      <c r="Q1844" s="8">
        <f>-(10+37/60+36/3600)</f>
        <v>-10.626666666666667</v>
      </c>
      <c r="R1844" s="8">
        <v>12.7</v>
      </c>
      <c r="S1844" s="8">
        <v>13.4</v>
      </c>
      <c r="T1844" s="8">
        <v>0.7</v>
      </c>
      <c r="U1844" s="8">
        <v>13.9</v>
      </c>
      <c r="V1844" s="8">
        <v>2.1</v>
      </c>
      <c r="W1844" s="8">
        <v>1.7</v>
      </c>
      <c r="X1844" s="8">
        <v>122</v>
      </c>
      <c r="Y1844" s="8" t="s">
        <v>972</v>
      </c>
      <c r="Z1844" s="8" t="s">
        <v>973</v>
      </c>
    </row>
    <row r="1845" spans="1:26" x14ac:dyDescent="0.2">
      <c r="A1845" s="8">
        <v>1844</v>
      </c>
      <c r="B1845" s="8" t="s">
        <v>8539</v>
      </c>
      <c r="C1845" s="8" t="s">
        <v>8539</v>
      </c>
      <c r="F1845" s="47"/>
      <c r="G1845" s="8">
        <v>16</v>
      </c>
      <c r="H1845" s="8" t="s">
        <v>21</v>
      </c>
      <c r="I1845" s="8" t="s">
        <v>557</v>
      </c>
      <c r="J1845" s="8" t="s">
        <v>557</v>
      </c>
      <c r="K1845" s="8" t="s">
        <v>557</v>
      </c>
      <c r="L1845" s="8" t="s">
        <v>55972</v>
      </c>
      <c r="M1845" s="8" t="s">
        <v>6970</v>
      </c>
      <c r="N1845" s="8" t="s">
        <v>8540</v>
      </c>
      <c r="O1845" s="8">
        <f>5+7/60+30.7/3600</f>
        <v>5.1251944444444444</v>
      </c>
      <c r="P1845" s="8" t="s">
        <v>8541</v>
      </c>
      <c r="Q1845" s="8">
        <f>-(67+19/60+25/3600)</f>
        <v>-67.323611111111106</v>
      </c>
      <c r="R1845" s="8">
        <v>12.1</v>
      </c>
      <c r="S1845" s="8">
        <v>99</v>
      </c>
      <c r="T1845" s="8">
        <v>99</v>
      </c>
      <c r="U1845" s="8">
        <v>99</v>
      </c>
      <c r="V1845" s="8">
        <v>1.3</v>
      </c>
      <c r="Y1845" s="8" t="s">
        <v>8542</v>
      </c>
      <c r="Z1845" s="8" t="s">
        <v>8543</v>
      </c>
    </row>
    <row r="1846" spans="1:26" x14ac:dyDescent="0.2">
      <c r="A1846" s="8">
        <v>1845</v>
      </c>
      <c r="B1846" s="8" t="s">
        <v>8544</v>
      </c>
      <c r="C1846" s="8" t="s">
        <v>8544</v>
      </c>
      <c r="F1846" s="47"/>
      <c r="G1846" s="8">
        <v>16</v>
      </c>
      <c r="H1846" s="8" t="s">
        <v>21</v>
      </c>
      <c r="I1846" s="8" t="s">
        <v>557</v>
      </c>
      <c r="J1846" s="8" t="s">
        <v>557</v>
      </c>
      <c r="K1846" s="8" t="s">
        <v>557</v>
      </c>
      <c r="L1846" s="8" t="s">
        <v>7071</v>
      </c>
      <c r="M1846" s="8" t="s">
        <v>7072</v>
      </c>
      <c r="N1846" s="8" t="s">
        <v>8545</v>
      </c>
      <c r="O1846" s="8">
        <f>5+5/60+45/3600</f>
        <v>5.0958333333333332</v>
      </c>
      <c r="P1846" s="8" t="s">
        <v>8546</v>
      </c>
      <c r="Q1846" s="8">
        <f>-(70+34/60+54/3600)</f>
        <v>-70.581666666666663</v>
      </c>
      <c r="R1846" s="8">
        <v>10.199999999999999</v>
      </c>
      <c r="S1846" s="8">
        <v>10.3</v>
      </c>
      <c r="T1846" s="8">
        <v>99</v>
      </c>
      <c r="U1846" s="8">
        <v>99</v>
      </c>
      <c r="V1846" s="8">
        <v>20</v>
      </c>
      <c r="Y1846" s="8" t="s">
        <v>8547</v>
      </c>
      <c r="Z1846" s="8" t="s">
        <v>8548</v>
      </c>
    </row>
    <row r="1847" spans="1:26" x14ac:dyDescent="0.2">
      <c r="A1847" s="8">
        <v>1846</v>
      </c>
      <c r="B1847" s="8" t="s">
        <v>8549</v>
      </c>
      <c r="C1847" s="8" t="s">
        <v>8549</v>
      </c>
      <c r="F1847" s="47"/>
      <c r="G1847" s="8">
        <v>16</v>
      </c>
      <c r="H1847" s="8" t="s">
        <v>21</v>
      </c>
      <c r="I1847" s="8" t="s">
        <v>557</v>
      </c>
      <c r="J1847" s="8" t="s">
        <v>557</v>
      </c>
      <c r="K1847" s="8" t="s">
        <v>557</v>
      </c>
      <c r="L1847" s="8" t="s">
        <v>55972</v>
      </c>
      <c r="M1847" s="8" t="s">
        <v>6970</v>
      </c>
      <c r="N1847" s="8" t="s">
        <v>8550</v>
      </c>
      <c r="O1847" s="8">
        <f>5+7/60+34.7/3600</f>
        <v>5.1263055555555548</v>
      </c>
      <c r="P1847" s="8" t="s">
        <v>8551</v>
      </c>
      <c r="Q1847" s="8">
        <f>-(67+27/60+31/3600)</f>
        <v>-67.458611111111111</v>
      </c>
      <c r="R1847" s="8">
        <v>11.3</v>
      </c>
      <c r="S1847" s="8">
        <v>12.1</v>
      </c>
      <c r="T1847" s="8">
        <v>99</v>
      </c>
      <c r="U1847" s="8">
        <v>99</v>
      </c>
      <c r="V1847" s="8">
        <v>2.8</v>
      </c>
      <c r="Y1847" s="8" t="s">
        <v>8552</v>
      </c>
      <c r="Z1847" s="8" t="s">
        <v>8553</v>
      </c>
    </row>
    <row r="1848" spans="1:26" x14ac:dyDescent="0.2">
      <c r="A1848" s="8">
        <v>1847</v>
      </c>
      <c r="B1848" s="8" t="s">
        <v>8554</v>
      </c>
      <c r="C1848" s="8" t="s">
        <v>8554</v>
      </c>
      <c r="F1848" s="47"/>
      <c r="G1848" s="8">
        <v>16</v>
      </c>
      <c r="H1848" s="8" t="s">
        <v>21</v>
      </c>
      <c r="I1848" s="8" t="s">
        <v>557</v>
      </c>
      <c r="J1848" s="8" t="s">
        <v>557</v>
      </c>
      <c r="K1848" s="8" t="s">
        <v>557</v>
      </c>
      <c r="L1848" s="8" t="s">
        <v>55972</v>
      </c>
      <c r="M1848" s="8" t="s">
        <v>6970</v>
      </c>
      <c r="N1848" s="8" t="s">
        <v>8555</v>
      </c>
      <c r="O1848" s="8">
        <f>5+7/60+8.2/3600</f>
        <v>5.1189444444444439</v>
      </c>
      <c r="P1848" s="8" t="s">
        <v>8556</v>
      </c>
      <c r="Q1848" s="8">
        <f>-(68+58/60+17/3600)</f>
        <v>-68.971388888888896</v>
      </c>
      <c r="R1848" s="8">
        <v>11.1</v>
      </c>
      <c r="S1848" s="8">
        <v>99</v>
      </c>
      <c r="T1848" s="8">
        <v>99</v>
      </c>
      <c r="U1848" s="8">
        <v>99</v>
      </c>
      <c r="V1848" s="8">
        <v>1</v>
      </c>
      <c r="Y1848" s="8" t="s">
        <v>8557</v>
      </c>
      <c r="Z1848" s="8" t="s">
        <v>8558</v>
      </c>
    </row>
    <row r="1849" spans="1:26" x14ac:dyDescent="0.2">
      <c r="A1849" s="8">
        <v>1848</v>
      </c>
      <c r="B1849" s="8" t="s">
        <v>8559</v>
      </c>
      <c r="C1849" s="8" t="s">
        <v>8559</v>
      </c>
      <c r="F1849" s="47"/>
      <c r="G1849" s="8">
        <v>16</v>
      </c>
      <c r="H1849" s="8" t="s">
        <v>21</v>
      </c>
      <c r="I1849" s="8" t="s">
        <v>557</v>
      </c>
      <c r="J1849" s="8" t="s">
        <v>557</v>
      </c>
      <c r="K1849" s="8" t="s">
        <v>557</v>
      </c>
      <c r="L1849" s="8" t="s">
        <v>7071</v>
      </c>
      <c r="M1849" s="8" t="s">
        <v>7072</v>
      </c>
      <c r="N1849" s="8" t="s">
        <v>8560</v>
      </c>
      <c r="O1849" s="8">
        <f>5+7/60+27.2/3600</f>
        <v>5.1242222222222216</v>
      </c>
      <c r="P1849" s="8" t="s">
        <v>8561</v>
      </c>
      <c r="Q1849" s="8">
        <f>-(71+11/60+44/3600)</f>
        <v>-71.195555555555558</v>
      </c>
      <c r="R1849" s="8">
        <v>9.6999999999999993</v>
      </c>
      <c r="S1849" s="8">
        <v>9.8000000000000007</v>
      </c>
      <c r="T1849" s="8">
        <v>99</v>
      </c>
      <c r="U1849" s="8">
        <v>99</v>
      </c>
      <c r="Y1849" s="8" t="s">
        <v>8562</v>
      </c>
      <c r="Z1849" s="8" t="s">
        <v>8563</v>
      </c>
    </row>
    <row r="1850" spans="1:26" x14ac:dyDescent="0.2">
      <c r="A1850" s="8">
        <v>1849</v>
      </c>
      <c r="B1850" s="8" t="s">
        <v>8564</v>
      </c>
      <c r="C1850" s="8" t="s">
        <v>8564</v>
      </c>
      <c r="F1850" s="47"/>
      <c r="G1850" s="8">
        <v>16</v>
      </c>
      <c r="H1850" s="8" t="s">
        <v>21</v>
      </c>
      <c r="I1850" s="8" t="s">
        <v>557</v>
      </c>
      <c r="J1850" s="8" t="s">
        <v>557</v>
      </c>
      <c r="K1850" s="8" t="s">
        <v>557</v>
      </c>
      <c r="L1850" s="8" t="s">
        <v>55972</v>
      </c>
      <c r="M1850" s="8" t="s">
        <v>6970</v>
      </c>
      <c r="N1850" s="8" t="s">
        <v>8565</v>
      </c>
      <c r="O1850" s="8">
        <f>5+9/60+34.9/3600</f>
        <v>5.1596944444444448</v>
      </c>
      <c r="P1850" s="8" t="s">
        <v>8566</v>
      </c>
      <c r="Q1850" s="8">
        <f>-(66+18/60+57/3600)</f>
        <v>-66.31583333333333</v>
      </c>
      <c r="R1850" s="8">
        <v>12.8</v>
      </c>
      <c r="S1850" s="8">
        <v>99</v>
      </c>
      <c r="T1850" s="8">
        <v>99</v>
      </c>
      <c r="U1850" s="8">
        <v>99</v>
      </c>
      <c r="V1850" s="8">
        <v>1.3</v>
      </c>
      <c r="Y1850" s="8" t="s">
        <v>6316</v>
      </c>
      <c r="Z1850" s="8" t="s">
        <v>6317</v>
      </c>
    </row>
    <row r="1851" spans="1:26" x14ac:dyDescent="0.2">
      <c r="A1851" s="8">
        <v>1850</v>
      </c>
      <c r="B1851" s="8" t="s">
        <v>8567</v>
      </c>
      <c r="C1851" s="8" t="s">
        <v>8567</v>
      </c>
      <c r="F1851" s="47"/>
      <c r="G1851" s="8">
        <v>10</v>
      </c>
      <c r="H1851" s="8" t="s">
        <v>21</v>
      </c>
      <c r="I1851" s="8" t="s">
        <v>557</v>
      </c>
      <c r="J1851" s="8" t="s">
        <v>557</v>
      </c>
      <c r="K1851" s="8" t="s">
        <v>557</v>
      </c>
      <c r="L1851" s="8" t="s">
        <v>55972</v>
      </c>
      <c r="M1851" s="8" t="s">
        <v>6970</v>
      </c>
      <c r="N1851" s="8" t="s">
        <v>8568</v>
      </c>
      <c r="O1851" s="8">
        <f>5+8/60+44.8/3600</f>
        <v>5.145777777777778</v>
      </c>
      <c r="P1851" s="8" t="s">
        <v>8569</v>
      </c>
      <c r="Q1851" s="8">
        <f>-(68+45/60+42/3600)</f>
        <v>-68.76166666666667</v>
      </c>
      <c r="R1851" s="8">
        <v>9</v>
      </c>
      <c r="S1851" s="8">
        <v>99</v>
      </c>
      <c r="T1851" s="8">
        <v>99</v>
      </c>
      <c r="U1851" s="8">
        <v>99</v>
      </c>
      <c r="V1851" s="8">
        <v>3.4</v>
      </c>
      <c r="Y1851" s="8" t="s">
        <v>8570</v>
      </c>
      <c r="Z1851" s="8" t="s">
        <v>8571</v>
      </c>
    </row>
    <row r="1852" spans="1:26" x14ac:dyDescent="0.2">
      <c r="A1852" s="8">
        <v>1851</v>
      </c>
      <c r="B1852" s="8" t="s">
        <v>8572</v>
      </c>
      <c r="C1852" s="8" t="s">
        <v>8572</v>
      </c>
      <c r="F1852" s="47"/>
      <c r="G1852" s="8">
        <v>2</v>
      </c>
      <c r="H1852" s="8" t="s">
        <v>21</v>
      </c>
      <c r="I1852" s="8" t="s">
        <v>567</v>
      </c>
      <c r="J1852" s="8" t="s">
        <v>567</v>
      </c>
      <c r="K1852" s="8" t="s">
        <v>5894</v>
      </c>
      <c r="L1852" s="8" t="s">
        <v>8298</v>
      </c>
      <c r="M1852" s="8" t="s">
        <v>8299</v>
      </c>
      <c r="N1852" s="8" t="s">
        <v>8573</v>
      </c>
      <c r="O1852" s="8">
        <f>5+14/60+6.3/3600</f>
        <v>5.2350833333333338</v>
      </c>
      <c r="P1852" s="8" t="s">
        <v>8574</v>
      </c>
      <c r="Q1852" s="8">
        <f>-(40+2/60+48/3600)</f>
        <v>-40.046666666666667</v>
      </c>
      <c r="R1852" s="8">
        <v>7.1</v>
      </c>
      <c r="S1852" s="8">
        <v>99</v>
      </c>
      <c r="T1852" s="8">
        <v>99</v>
      </c>
      <c r="U1852" s="8">
        <v>99</v>
      </c>
      <c r="V1852" s="8">
        <v>12</v>
      </c>
      <c r="Y1852" s="8" t="s">
        <v>8575</v>
      </c>
      <c r="Z1852" s="8" t="s">
        <v>8576</v>
      </c>
    </row>
    <row r="1853" spans="1:26" x14ac:dyDescent="0.2">
      <c r="A1853" s="8">
        <v>1852</v>
      </c>
      <c r="B1853" s="8" t="s">
        <v>8577</v>
      </c>
      <c r="C1853" s="8" t="s">
        <v>8577</v>
      </c>
      <c r="F1853" s="47"/>
      <c r="G1853" s="8">
        <v>16</v>
      </c>
      <c r="H1853" s="8" t="s">
        <v>21</v>
      </c>
      <c r="I1853" s="8" t="s">
        <v>557</v>
      </c>
      <c r="J1853" s="8" t="s">
        <v>557</v>
      </c>
      <c r="K1853" s="8" t="s">
        <v>557</v>
      </c>
      <c r="L1853" s="8" t="s">
        <v>55972</v>
      </c>
      <c r="M1853" s="8" t="s">
        <v>6970</v>
      </c>
      <c r="N1853" s="8" t="s">
        <v>8578</v>
      </c>
      <c r="O1853" s="8">
        <f>5+9/60+24/3600</f>
        <v>5.1566666666666672</v>
      </c>
      <c r="P1853" s="8" t="s">
        <v>8579</v>
      </c>
      <c r="Q1853" s="8">
        <f>-(67+46/60+39/3600)</f>
        <v>-67.777500000000003</v>
      </c>
      <c r="R1853" s="8">
        <v>12</v>
      </c>
      <c r="S1853" s="8">
        <v>99</v>
      </c>
      <c r="T1853" s="8">
        <v>99</v>
      </c>
      <c r="U1853" s="8">
        <v>99</v>
      </c>
      <c r="V1853" s="8">
        <v>1.8</v>
      </c>
      <c r="Y1853" s="8" t="s">
        <v>4196</v>
      </c>
      <c r="Z1853" s="8" t="s">
        <v>4197</v>
      </c>
    </row>
    <row r="1854" spans="1:26" x14ac:dyDescent="0.2">
      <c r="A1854" s="8">
        <v>1853</v>
      </c>
      <c r="B1854" s="8" t="s">
        <v>8580</v>
      </c>
      <c r="C1854" s="8" t="s">
        <v>8580</v>
      </c>
      <c r="F1854" s="47"/>
      <c r="G1854" s="8">
        <v>16</v>
      </c>
      <c r="H1854" s="8" t="s">
        <v>21</v>
      </c>
      <c r="I1854" s="8" t="s">
        <v>22</v>
      </c>
      <c r="J1854" s="8" t="s">
        <v>22</v>
      </c>
      <c r="K1854" s="8" t="s">
        <v>1277</v>
      </c>
      <c r="L1854" s="8" t="s">
        <v>55972</v>
      </c>
      <c r="M1854" s="8" t="s">
        <v>6970</v>
      </c>
      <c r="N1854" s="8" t="s">
        <v>8581</v>
      </c>
      <c r="O1854" s="8">
        <f>5+12/60+16/3600</f>
        <v>5.2044444444444444</v>
      </c>
      <c r="P1854" s="8" t="s">
        <v>8582</v>
      </c>
      <c r="Q1854" s="8">
        <f>-(57+23/60+58/3600)</f>
        <v>-57.399444444444441</v>
      </c>
      <c r="R1854" s="8">
        <v>13</v>
      </c>
      <c r="S1854" s="8">
        <v>13.7</v>
      </c>
      <c r="T1854" s="8">
        <v>0.7</v>
      </c>
      <c r="U1854" s="8">
        <v>13.2</v>
      </c>
      <c r="V1854" s="8">
        <v>2</v>
      </c>
      <c r="W1854" s="8">
        <v>0.7</v>
      </c>
      <c r="X1854" s="8">
        <v>43</v>
      </c>
      <c r="Y1854" s="8" t="s">
        <v>8583</v>
      </c>
      <c r="Z1854" s="8" t="s">
        <v>8584</v>
      </c>
    </row>
    <row r="1855" spans="1:26" x14ac:dyDescent="0.2">
      <c r="A1855" s="8">
        <v>1854</v>
      </c>
      <c r="B1855" s="8" t="s">
        <v>8585</v>
      </c>
      <c r="C1855" s="8" t="s">
        <v>8585</v>
      </c>
      <c r="F1855" s="47"/>
      <c r="G1855" s="8">
        <v>16</v>
      </c>
      <c r="H1855" s="8" t="s">
        <v>21</v>
      </c>
      <c r="I1855" s="8" t="s">
        <v>567</v>
      </c>
      <c r="J1855" s="8" t="s">
        <v>567</v>
      </c>
      <c r="K1855" s="8" t="s">
        <v>567</v>
      </c>
      <c r="L1855" s="8" t="s">
        <v>55972</v>
      </c>
      <c r="M1855" s="8" t="s">
        <v>6970</v>
      </c>
      <c r="N1855" s="8" t="s">
        <v>8586</v>
      </c>
      <c r="O1855" s="8">
        <f>5+9/60+20/3600</f>
        <v>5.1555555555555559</v>
      </c>
      <c r="P1855" s="8" t="s">
        <v>8587</v>
      </c>
      <c r="Q1855" s="8">
        <f>-(68+50/60+51/3600)</f>
        <v>-68.847499999999997</v>
      </c>
      <c r="R1855" s="8">
        <v>10.4</v>
      </c>
      <c r="S1855" s="8">
        <v>10.199999999999999</v>
      </c>
      <c r="T1855" s="8">
        <v>99</v>
      </c>
      <c r="U1855" s="8">
        <v>99</v>
      </c>
      <c r="Y1855" s="8" t="s">
        <v>8588</v>
      </c>
      <c r="Z1855" s="8" t="s">
        <v>8589</v>
      </c>
    </row>
    <row r="1856" spans="1:26" x14ac:dyDescent="0.2">
      <c r="A1856" s="8">
        <v>1855</v>
      </c>
      <c r="B1856" s="8" t="s">
        <v>8590</v>
      </c>
      <c r="C1856" s="8" t="s">
        <v>8590</v>
      </c>
      <c r="F1856" s="47"/>
      <c r="G1856" s="8">
        <v>16</v>
      </c>
      <c r="H1856" s="8" t="s">
        <v>21</v>
      </c>
      <c r="I1856" s="8" t="s">
        <v>567</v>
      </c>
      <c r="J1856" s="8" t="s">
        <v>57</v>
      </c>
      <c r="K1856" s="8" t="s">
        <v>567</v>
      </c>
      <c r="L1856" s="8" t="s">
        <v>55972</v>
      </c>
      <c r="M1856" s="8" t="s">
        <v>6970</v>
      </c>
      <c r="N1856" s="8" t="s">
        <v>8586</v>
      </c>
      <c r="O1856" s="8">
        <f>5+9/60+20/3600</f>
        <v>5.1555555555555559</v>
      </c>
      <c r="P1856" s="8" t="s">
        <v>8587</v>
      </c>
      <c r="Q1856" s="8">
        <f>-(68+50/60+51/3600)</f>
        <v>-68.847499999999997</v>
      </c>
      <c r="R1856" s="8">
        <v>10.4</v>
      </c>
      <c r="S1856" s="8">
        <v>10.199999999999999</v>
      </c>
      <c r="T1856" s="8">
        <v>99</v>
      </c>
      <c r="U1856" s="8">
        <v>99</v>
      </c>
      <c r="Y1856" s="8" t="s">
        <v>8588</v>
      </c>
      <c r="Z1856" s="8" t="s">
        <v>8591</v>
      </c>
    </row>
    <row r="1857" spans="1:26" x14ac:dyDescent="0.2">
      <c r="A1857" s="8">
        <v>1856</v>
      </c>
      <c r="B1857" s="8" t="s">
        <v>8592</v>
      </c>
      <c r="C1857" s="8" t="s">
        <v>8592</v>
      </c>
      <c r="F1857" s="47"/>
      <c r="G1857" s="8">
        <v>16</v>
      </c>
      <c r="H1857" s="8" t="s">
        <v>21</v>
      </c>
      <c r="I1857" s="8" t="s">
        <v>557</v>
      </c>
      <c r="J1857" s="8" t="s">
        <v>557</v>
      </c>
      <c r="K1857" s="8" t="s">
        <v>557</v>
      </c>
      <c r="L1857" s="8" t="s">
        <v>55972</v>
      </c>
      <c r="M1857" s="8" t="s">
        <v>6970</v>
      </c>
      <c r="N1857" s="8" t="s">
        <v>8593</v>
      </c>
      <c r="O1857" s="8">
        <f>5+9/60+29.4/3600</f>
        <v>5.1581666666666672</v>
      </c>
      <c r="P1857" s="8" t="s">
        <v>8594</v>
      </c>
      <c r="Q1857" s="8">
        <f>-(69+7/60+40/3600)</f>
        <v>-69.127777777777766</v>
      </c>
      <c r="R1857" s="8">
        <v>10.1</v>
      </c>
      <c r="S1857" s="8">
        <v>99</v>
      </c>
      <c r="T1857" s="8">
        <v>99</v>
      </c>
      <c r="U1857" s="8">
        <v>99</v>
      </c>
      <c r="V1857" s="8">
        <v>1.8</v>
      </c>
      <c r="Y1857" s="8" t="s">
        <v>8595</v>
      </c>
      <c r="Z1857" s="8" t="s">
        <v>8596</v>
      </c>
    </row>
    <row r="1858" spans="1:26" x14ac:dyDescent="0.2">
      <c r="A1858" s="8">
        <v>1857</v>
      </c>
      <c r="B1858" s="8" t="s">
        <v>8597</v>
      </c>
      <c r="C1858" s="8" t="s">
        <v>8597</v>
      </c>
      <c r="F1858" s="47" t="s">
        <v>56394</v>
      </c>
      <c r="G1858" s="8">
        <v>6</v>
      </c>
      <c r="H1858" s="8" t="s">
        <v>21</v>
      </c>
      <c r="I1858" s="8" t="s">
        <v>557</v>
      </c>
      <c r="J1858" s="8" t="s">
        <v>557</v>
      </c>
      <c r="K1858" s="8" t="s">
        <v>2722</v>
      </c>
      <c r="L1858" s="8" t="s">
        <v>7717</v>
      </c>
      <c r="M1858" s="8" t="s">
        <v>7718</v>
      </c>
      <c r="N1858" s="8" t="s">
        <v>8598</v>
      </c>
      <c r="O1858" s="8">
        <f>5+20/60+5/3600</f>
        <v>5.3347222222222221</v>
      </c>
      <c r="P1858" s="8" t="s">
        <v>8599</v>
      </c>
      <c r="Q1858" s="8">
        <f>+(39+20/60+36/3600)</f>
        <v>39.343333333333334</v>
      </c>
      <c r="R1858" s="8">
        <v>7</v>
      </c>
      <c r="S1858" s="8">
        <v>99</v>
      </c>
      <c r="T1858" s="8">
        <v>99</v>
      </c>
      <c r="U1858" s="8">
        <v>99</v>
      </c>
      <c r="V1858" s="8">
        <v>10</v>
      </c>
      <c r="Y1858" s="8" t="s">
        <v>8600</v>
      </c>
      <c r="Z1858" s="8" t="s">
        <v>8601</v>
      </c>
    </row>
    <row r="1859" spans="1:26" x14ac:dyDescent="0.2">
      <c r="A1859" s="8">
        <v>1858</v>
      </c>
      <c r="B1859" s="8" t="s">
        <v>8602</v>
      </c>
      <c r="C1859" s="8" t="s">
        <v>8602</v>
      </c>
      <c r="F1859" s="47"/>
      <c r="G1859" s="8">
        <v>16</v>
      </c>
      <c r="H1859" s="8" t="s">
        <v>21</v>
      </c>
      <c r="I1859" s="8" t="s">
        <v>557</v>
      </c>
      <c r="J1859" s="8" t="s">
        <v>557</v>
      </c>
      <c r="K1859" s="8" t="s">
        <v>1816</v>
      </c>
      <c r="L1859" s="8" t="s">
        <v>55972</v>
      </c>
      <c r="M1859" s="8" t="s">
        <v>6970</v>
      </c>
      <c r="N1859" s="8" t="s">
        <v>8603</v>
      </c>
      <c r="O1859" s="8">
        <f>5+9/60+55/3600</f>
        <v>5.1652777777777779</v>
      </c>
      <c r="P1859" s="8" t="s">
        <v>8604</v>
      </c>
      <c r="Q1859" s="8">
        <f>-(68+53/60+54/3600)</f>
        <v>-68.898333333333341</v>
      </c>
      <c r="R1859" s="8">
        <v>9.9</v>
      </c>
      <c r="S1859" s="8">
        <v>9.8000000000000007</v>
      </c>
      <c r="T1859" s="8">
        <v>99</v>
      </c>
      <c r="U1859" s="8">
        <v>99</v>
      </c>
      <c r="Y1859" s="8" t="s">
        <v>8605</v>
      </c>
      <c r="Z1859" s="8" t="s">
        <v>8606</v>
      </c>
    </row>
    <row r="1860" spans="1:26" x14ac:dyDescent="0.2">
      <c r="A1860" s="8">
        <v>1859</v>
      </c>
      <c r="B1860" s="8" t="s">
        <v>8607</v>
      </c>
      <c r="C1860" s="8" t="s">
        <v>8607</v>
      </c>
      <c r="F1860" s="47"/>
      <c r="G1860" s="8">
        <v>16</v>
      </c>
      <c r="H1860" s="8" t="s">
        <v>21</v>
      </c>
      <c r="I1860" s="8" t="s">
        <v>557</v>
      </c>
      <c r="J1860" s="8" t="s">
        <v>557</v>
      </c>
      <c r="K1860" s="8" t="s">
        <v>557</v>
      </c>
      <c r="L1860" s="8" t="s">
        <v>55972</v>
      </c>
      <c r="M1860" s="8" t="s">
        <v>6970</v>
      </c>
      <c r="N1860" s="8" t="s">
        <v>8608</v>
      </c>
      <c r="O1860" s="8">
        <f>5+11/60+31.8/3600</f>
        <v>5.192166666666667</v>
      </c>
      <c r="P1860" s="8" t="s">
        <v>8609</v>
      </c>
      <c r="Q1860" s="8">
        <f>-(65+14/60+59/3600)</f>
        <v>-65.249722222222218</v>
      </c>
      <c r="R1860" s="8">
        <v>12.3</v>
      </c>
      <c r="S1860" s="8">
        <v>12.7</v>
      </c>
      <c r="T1860" s="8">
        <v>99</v>
      </c>
      <c r="U1860" s="8">
        <v>99</v>
      </c>
      <c r="V1860" s="8">
        <v>2</v>
      </c>
      <c r="Y1860" s="8" t="s">
        <v>8610</v>
      </c>
      <c r="Z1860" s="8" t="s">
        <v>8611</v>
      </c>
    </row>
    <row r="1861" spans="1:26" x14ac:dyDescent="0.2">
      <c r="A1861" s="8">
        <v>1860</v>
      </c>
      <c r="B1861" s="8" t="s">
        <v>8612</v>
      </c>
      <c r="C1861" s="8" t="s">
        <v>8612</v>
      </c>
      <c r="F1861" s="47"/>
      <c r="G1861" s="8">
        <v>16</v>
      </c>
      <c r="H1861" s="8" t="s">
        <v>21</v>
      </c>
      <c r="I1861" s="8" t="s">
        <v>557</v>
      </c>
      <c r="J1861" s="8" t="s">
        <v>557</v>
      </c>
      <c r="K1861" s="8" t="s">
        <v>557</v>
      </c>
      <c r="L1861" s="8" t="s">
        <v>55972</v>
      </c>
      <c r="M1861" s="8" t="s">
        <v>6970</v>
      </c>
      <c r="N1861" s="8" t="s">
        <v>8613</v>
      </c>
      <c r="O1861" s="8">
        <f>5+10/60+39.6/3600</f>
        <v>5.1776666666666671</v>
      </c>
      <c r="P1861" s="8" t="s">
        <v>8614</v>
      </c>
      <c r="Q1861" s="8">
        <f>-(68+45/60+8/3600)</f>
        <v>-68.752222222222215</v>
      </c>
      <c r="R1861" s="8">
        <v>11</v>
      </c>
      <c r="S1861" s="8">
        <v>99</v>
      </c>
      <c r="T1861" s="8">
        <v>99</v>
      </c>
      <c r="U1861" s="8">
        <v>99</v>
      </c>
      <c r="V1861" s="8">
        <v>0.8</v>
      </c>
      <c r="Y1861" s="8" t="s">
        <v>8615</v>
      </c>
      <c r="Z1861" s="8" t="s">
        <v>8616</v>
      </c>
    </row>
    <row r="1862" spans="1:26" x14ac:dyDescent="0.2">
      <c r="A1862" s="8">
        <v>1861</v>
      </c>
      <c r="B1862" s="8" t="s">
        <v>8617</v>
      </c>
      <c r="C1862" s="8" t="s">
        <v>8617</v>
      </c>
      <c r="F1862" s="47"/>
      <c r="G1862" s="8">
        <v>16</v>
      </c>
      <c r="H1862" s="8" t="s">
        <v>21</v>
      </c>
      <c r="I1862" s="8" t="s">
        <v>557</v>
      </c>
      <c r="J1862" s="8" t="s">
        <v>557</v>
      </c>
      <c r="K1862" s="8" t="s">
        <v>557</v>
      </c>
      <c r="L1862" s="8" t="s">
        <v>7071</v>
      </c>
      <c r="M1862" s="8" t="s">
        <v>7072</v>
      </c>
      <c r="N1862" s="8" t="s">
        <v>8618</v>
      </c>
      <c r="O1862" s="8">
        <f>5+10/60+22.2/3600</f>
        <v>5.1728333333333341</v>
      </c>
      <c r="P1862" s="8" t="s">
        <v>8619</v>
      </c>
      <c r="Q1862" s="8">
        <f>-(70+46/60+38/3600)</f>
        <v>-70.777222222222221</v>
      </c>
      <c r="R1862" s="8">
        <v>13.2</v>
      </c>
      <c r="S1862" s="8">
        <v>13.6</v>
      </c>
      <c r="T1862" s="8">
        <v>99</v>
      </c>
      <c r="U1862" s="8">
        <v>99</v>
      </c>
      <c r="V1862" s="8">
        <v>1.2</v>
      </c>
      <c r="Y1862" s="8" t="s">
        <v>1235</v>
      </c>
      <c r="Z1862" s="8" t="s">
        <v>1236</v>
      </c>
    </row>
    <row r="1863" spans="1:26" x14ac:dyDescent="0.2">
      <c r="A1863" s="8">
        <v>1862</v>
      </c>
      <c r="B1863" s="8" t="s">
        <v>8620</v>
      </c>
      <c r="C1863" s="8" t="s">
        <v>8620</v>
      </c>
      <c r="F1863" s="47"/>
      <c r="G1863" s="8">
        <v>16</v>
      </c>
      <c r="H1863" s="8" t="s">
        <v>21</v>
      </c>
      <c r="I1863" s="8" t="s">
        <v>557</v>
      </c>
      <c r="J1863" s="8" t="s">
        <v>557</v>
      </c>
      <c r="K1863" s="8" t="s">
        <v>557</v>
      </c>
      <c r="L1863" s="8" t="s">
        <v>55972</v>
      </c>
      <c r="M1863" s="8" t="s">
        <v>6970</v>
      </c>
      <c r="N1863" s="8" t="s">
        <v>8621</v>
      </c>
      <c r="O1863" s="8">
        <f>5+12/60+34.6/3600</f>
        <v>5.2096111111111112</v>
      </c>
      <c r="P1863" s="8" t="s">
        <v>8622</v>
      </c>
      <c r="Q1863" s="8">
        <f>-(66+9/60+16/3600)</f>
        <v>-66.154444444444451</v>
      </c>
      <c r="R1863" s="8">
        <v>13.3</v>
      </c>
      <c r="S1863" s="8">
        <v>13.5</v>
      </c>
      <c r="T1863" s="8">
        <v>99</v>
      </c>
      <c r="U1863" s="8">
        <v>99</v>
      </c>
      <c r="V1863" s="8">
        <v>0.3</v>
      </c>
      <c r="Y1863" s="8" t="s">
        <v>8623</v>
      </c>
      <c r="Z1863" s="8" t="s">
        <v>8624</v>
      </c>
    </row>
    <row r="1864" spans="1:26" x14ac:dyDescent="0.2">
      <c r="A1864" s="8">
        <v>1863</v>
      </c>
      <c r="B1864" s="8" t="s">
        <v>8625</v>
      </c>
      <c r="C1864" s="8" t="s">
        <v>8625</v>
      </c>
      <c r="F1864" s="47"/>
      <c r="G1864" s="8">
        <v>16</v>
      </c>
      <c r="H1864" s="8" t="s">
        <v>21</v>
      </c>
      <c r="I1864" s="8" t="s">
        <v>557</v>
      </c>
      <c r="J1864" s="8" t="s">
        <v>557</v>
      </c>
      <c r="K1864" s="8" t="s">
        <v>557</v>
      </c>
      <c r="L1864" s="8" t="s">
        <v>55972</v>
      </c>
      <c r="M1864" s="8" t="s">
        <v>6970</v>
      </c>
      <c r="N1864" s="8" t="s">
        <v>8626</v>
      </c>
      <c r="O1864" s="8">
        <f>5+11/60+39.6/3600</f>
        <v>5.1943333333333337</v>
      </c>
      <c r="P1864" s="8" t="s">
        <v>8627</v>
      </c>
      <c r="Q1864" s="8">
        <f>-(68+43/60+37/3600)</f>
        <v>-68.726944444444442</v>
      </c>
      <c r="R1864" s="8">
        <v>11</v>
      </c>
      <c r="S1864" s="8">
        <v>99</v>
      </c>
      <c r="T1864" s="8">
        <v>99</v>
      </c>
      <c r="U1864" s="8">
        <v>99</v>
      </c>
      <c r="V1864" s="8">
        <v>0.5</v>
      </c>
      <c r="Y1864" s="8" t="s">
        <v>8628</v>
      </c>
      <c r="Z1864" s="8" t="s">
        <v>8629</v>
      </c>
    </row>
    <row r="1865" spans="1:26" x14ac:dyDescent="0.2">
      <c r="A1865" s="8">
        <v>1864</v>
      </c>
      <c r="B1865" s="8" t="s">
        <v>8630</v>
      </c>
      <c r="C1865" s="8" t="s">
        <v>8630</v>
      </c>
      <c r="F1865" s="47"/>
      <c r="G1865" s="8">
        <v>16</v>
      </c>
      <c r="H1865" s="8" t="s">
        <v>21</v>
      </c>
      <c r="I1865" s="8" t="s">
        <v>557</v>
      </c>
      <c r="J1865" s="8" t="s">
        <v>557</v>
      </c>
      <c r="K1865" s="8" t="s">
        <v>557</v>
      </c>
      <c r="L1865" s="8" t="s">
        <v>55972</v>
      </c>
      <c r="M1865" s="8" t="s">
        <v>6970</v>
      </c>
      <c r="N1865" s="8" t="s">
        <v>8631</v>
      </c>
      <c r="O1865" s="8">
        <f>5+12/60+40.7/3600</f>
        <v>5.2113055555555556</v>
      </c>
      <c r="P1865" s="8" t="s">
        <v>8632</v>
      </c>
      <c r="Q1865" s="8">
        <f>-(67+37/60+17/3600)</f>
        <v>-67.621388888888887</v>
      </c>
      <c r="R1865" s="8">
        <v>12.9</v>
      </c>
      <c r="S1865" s="8">
        <v>13.1</v>
      </c>
      <c r="T1865" s="8">
        <v>99</v>
      </c>
      <c r="U1865" s="8">
        <v>99</v>
      </c>
      <c r="V1865" s="8">
        <v>0.9</v>
      </c>
      <c r="Y1865" s="8" t="s">
        <v>8633</v>
      </c>
      <c r="Z1865" s="8" t="s">
        <v>8634</v>
      </c>
    </row>
    <row r="1866" spans="1:26" x14ac:dyDescent="0.2">
      <c r="A1866" s="8">
        <v>1865</v>
      </c>
      <c r="B1866" s="8" t="s">
        <v>8635</v>
      </c>
      <c r="C1866" s="8" t="s">
        <v>8635</v>
      </c>
      <c r="F1866" s="47"/>
      <c r="G1866" s="8">
        <v>16</v>
      </c>
      <c r="H1866" s="8" t="s">
        <v>21</v>
      </c>
      <c r="I1866" s="8" t="s">
        <v>557</v>
      </c>
      <c r="J1866" s="8" t="s">
        <v>557</v>
      </c>
      <c r="K1866" s="8" t="s">
        <v>557</v>
      </c>
      <c r="L1866" s="8" t="s">
        <v>55972</v>
      </c>
      <c r="M1866" s="8" t="s">
        <v>6970</v>
      </c>
      <c r="N1866" s="8" t="s">
        <v>8636</v>
      </c>
      <c r="O1866" s="8">
        <f>5+12/60+25.1/3600</f>
        <v>5.2069722222222223</v>
      </c>
      <c r="P1866" s="8" t="s">
        <v>8637</v>
      </c>
      <c r="Q1866" s="8">
        <f>-(68+46/60+16/3600)</f>
        <v>-68.771111111111111</v>
      </c>
      <c r="R1866" s="8">
        <v>12.9</v>
      </c>
      <c r="S1866" s="8">
        <v>99</v>
      </c>
      <c r="T1866" s="8">
        <v>99</v>
      </c>
      <c r="U1866" s="8">
        <v>99</v>
      </c>
      <c r="V1866" s="8">
        <v>0.8</v>
      </c>
      <c r="Y1866" s="8" t="s">
        <v>8638</v>
      </c>
      <c r="Z1866" s="8" t="s">
        <v>8639</v>
      </c>
    </row>
    <row r="1867" spans="1:26" x14ac:dyDescent="0.2">
      <c r="A1867" s="8">
        <v>1866</v>
      </c>
      <c r="B1867" s="8" t="s">
        <v>8640</v>
      </c>
      <c r="C1867" s="8" t="s">
        <v>8640</v>
      </c>
      <c r="F1867" s="47"/>
      <c r="G1867" s="8">
        <v>3</v>
      </c>
      <c r="H1867" s="8" t="s">
        <v>21</v>
      </c>
      <c r="I1867" s="8" t="s">
        <v>557</v>
      </c>
      <c r="J1867" s="8" t="s">
        <v>557</v>
      </c>
      <c r="K1867" s="8" t="s">
        <v>557</v>
      </c>
      <c r="L1867" s="8" t="s">
        <v>55972</v>
      </c>
      <c r="M1867" s="8" t="s">
        <v>6970</v>
      </c>
      <c r="N1867" s="8" t="s">
        <v>8641</v>
      </c>
      <c r="O1867" s="8">
        <f>5+13/60+39.1/3600</f>
        <v>5.2275277777777776</v>
      </c>
      <c r="P1867" s="8" t="s">
        <v>8642</v>
      </c>
      <c r="Q1867" s="8">
        <f>-(65+27/60+56/3600)</f>
        <v>-65.465555555555554</v>
      </c>
      <c r="R1867" s="8">
        <v>9.6999999999999993</v>
      </c>
      <c r="S1867" s="8">
        <v>99</v>
      </c>
      <c r="T1867" s="8">
        <v>99</v>
      </c>
      <c r="U1867" s="8">
        <v>99</v>
      </c>
      <c r="V1867" s="8">
        <v>4.5</v>
      </c>
      <c r="Y1867" s="8" t="s">
        <v>8643</v>
      </c>
      <c r="Z1867" s="8" t="s">
        <v>8644</v>
      </c>
    </row>
    <row r="1868" spans="1:26" x14ac:dyDescent="0.2">
      <c r="A1868" s="8">
        <v>1867</v>
      </c>
      <c r="B1868" s="8" t="s">
        <v>8645</v>
      </c>
      <c r="C1868" s="8" t="s">
        <v>8645</v>
      </c>
      <c r="F1868" s="47"/>
      <c r="G1868" s="8">
        <v>16</v>
      </c>
      <c r="H1868" s="8" t="s">
        <v>21</v>
      </c>
      <c r="I1868" s="8" t="s">
        <v>557</v>
      </c>
      <c r="J1868" s="8" t="s">
        <v>557</v>
      </c>
      <c r="K1868" s="8" t="s">
        <v>557</v>
      </c>
      <c r="L1868" s="8" t="s">
        <v>55972</v>
      </c>
      <c r="M1868" s="8" t="s">
        <v>6970</v>
      </c>
      <c r="N1868" s="8" t="s">
        <v>8646</v>
      </c>
      <c r="O1868" s="8">
        <f>5+13/60+42.5/3600</f>
        <v>5.228472222222222</v>
      </c>
      <c r="P1868" s="8" t="s">
        <v>8647</v>
      </c>
      <c r="Q1868" s="8">
        <f>-(66+17/60+39/3600)</f>
        <v>-66.294166666666669</v>
      </c>
      <c r="R1868" s="8">
        <v>13.4</v>
      </c>
      <c r="S1868" s="8">
        <v>13.8</v>
      </c>
      <c r="T1868" s="8">
        <v>99</v>
      </c>
      <c r="U1868" s="8">
        <v>99</v>
      </c>
      <c r="V1868" s="8">
        <v>1.3</v>
      </c>
      <c r="Y1868" s="8" t="s">
        <v>2734</v>
      </c>
      <c r="Z1868" s="8" t="s">
        <v>2735</v>
      </c>
    </row>
    <row r="1869" spans="1:26" x14ac:dyDescent="0.2">
      <c r="A1869" s="8">
        <v>1868</v>
      </c>
      <c r="B1869" s="8" t="s">
        <v>8648</v>
      </c>
      <c r="C1869" s="8" t="s">
        <v>8648</v>
      </c>
      <c r="F1869" s="47"/>
      <c r="G1869" s="8">
        <v>16</v>
      </c>
      <c r="H1869" s="8" t="s">
        <v>21</v>
      </c>
      <c r="I1869" s="8" t="s">
        <v>557</v>
      </c>
      <c r="J1869" s="8" t="s">
        <v>557</v>
      </c>
      <c r="K1869" s="8" t="s">
        <v>557</v>
      </c>
      <c r="L1869" s="8" t="s">
        <v>55972</v>
      </c>
      <c r="M1869" s="8" t="s">
        <v>6970</v>
      </c>
      <c r="N1869" s="8" t="s">
        <v>8649</v>
      </c>
      <c r="O1869" s="8">
        <f>5+14/60+36.5/3600</f>
        <v>5.2434722222222225</v>
      </c>
      <c r="P1869" s="8" t="s">
        <v>8650</v>
      </c>
      <c r="Q1869" s="8">
        <f>-(63+57/60+18/3600)</f>
        <v>-63.955000000000005</v>
      </c>
      <c r="R1869" s="8">
        <v>11.6</v>
      </c>
      <c r="S1869" s="8">
        <v>12</v>
      </c>
      <c r="T1869" s="8">
        <v>99</v>
      </c>
      <c r="U1869" s="8">
        <v>99</v>
      </c>
      <c r="V1869" s="8">
        <v>3.9</v>
      </c>
      <c r="Y1869" s="8" t="s">
        <v>8651</v>
      </c>
      <c r="Z1869" s="8" t="s">
        <v>8652</v>
      </c>
    </row>
    <row r="1870" spans="1:26" x14ac:dyDescent="0.2">
      <c r="A1870" s="8">
        <v>1869</v>
      </c>
      <c r="B1870" s="8" t="s">
        <v>8653</v>
      </c>
      <c r="C1870" s="8" t="s">
        <v>8653</v>
      </c>
      <c r="F1870" s="47"/>
      <c r="G1870" s="8">
        <v>16</v>
      </c>
      <c r="H1870" s="8" t="s">
        <v>21</v>
      </c>
      <c r="I1870" s="8" t="s">
        <v>557</v>
      </c>
      <c r="J1870" s="8" t="s">
        <v>557</v>
      </c>
      <c r="K1870" s="8" t="s">
        <v>1816</v>
      </c>
      <c r="L1870" s="8" t="s">
        <v>55972</v>
      </c>
      <c r="M1870" s="8" t="s">
        <v>6970</v>
      </c>
      <c r="N1870" s="8" t="s">
        <v>8654</v>
      </c>
      <c r="O1870" s="8">
        <f>5+13/60+52/3600</f>
        <v>5.2311111111111108</v>
      </c>
      <c r="P1870" s="8" t="s">
        <v>8655</v>
      </c>
      <c r="Q1870" s="8">
        <f>-(67+22/60+40/3600)</f>
        <v>-67.377777777777766</v>
      </c>
      <c r="R1870" s="8">
        <v>99</v>
      </c>
      <c r="S1870" s="8">
        <v>99</v>
      </c>
      <c r="T1870" s="8">
        <v>99</v>
      </c>
      <c r="U1870" s="8">
        <v>99</v>
      </c>
      <c r="V1870" s="8">
        <v>14</v>
      </c>
      <c r="Y1870" s="8" t="s">
        <v>8656</v>
      </c>
      <c r="Z1870" s="8" t="s">
        <v>8657</v>
      </c>
    </row>
    <row r="1871" spans="1:26" x14ac:dyDescent="0.2">
      <c r="A1871" s="8">
        <v>1870</v>
      </c>
      <c r="B1871" s="8" t="s">
        <v>8658</v>
      </c>
      <c r="C1871" s="8" t="s">
        <v>8658</v>
      </c>
      <c r="F1871" s="47"/>
      <c r="G1871" s="8">
        <v>16</v>
      </c>
      <c r="H1871" s="8" t="s">
        <v>21</v>
      </c>
      <c r="I1871" s="8" t="s">
        <v>557</v>
      </c>
      <c r="J1871" s="8" t="s">
        <v>557</v>
      </c>
      <c r="K1871" s="8" t="s">
        <v>557</v>
      </c>
      <c r="L1871" s="8" t="s">
        <v>55972</v>
      </c>
      <c r="M1871" s="8" t="s">
        <v>6970</v>
      </c>
      <c r="N1871" s="8" t="s">
        <v>8659</v>
      </c>
      <c r="O1871" s="8">
        <f>5+13/60+10/3600</f>
        <v>5.219444444444445</v>
      </c>
      <c r="P1871" s="8" t="s">
        <v>8660</v>
      </c>
      <c r="Q1871" s="8">
        <f>-(69+7/60+1/3600)</f>
        <v>-69.116944444444442</v>
      </c>
      <c r="R1871" s="8">
        <v>11.3</v>
      </c>
      <c r="S1871" s="8">
        <v>99</v>
      </c>
      <c r="T1871" s="8">
        <v>99</v>
      </c>
      <c r="U1871" s="8">
        <v>99</v>
      </c>
      <c r="V1871" s="8">
        <v>0.5</v>
      </c>
      <c r="Y1871" s="8" t="s">
        <v>8661</v>
      </c>
      <c r="Z1871" s="8" t="s">
        <v>8662</v>
      </c>
    </row>
    <row r="1872" spans="1:26" x14ac:dyDescent="0.2">
      <c r="A1872" s="8">
        <v>1871</v>
      </c>
      <c r="B1872" s="8" t="s">
        <v>8663</v>
      </c>
      <c r="C1872" s="8" t="s">
        <v>8663</v>
      </c>
      <c r="F1872" s="47"/>
      <c r="G1872" s="8">
        <v>16</v>
      </c>
      <c r="H1872" s="8" t="s">
        <v>21</v>
      </c>
      <c r="I1872" s="8" t="s">
        <v>557</v>
      </c>
      <c r="J1872" s="8" t="s">
        <v>557</v>
      </c>
      <c r="K1872" s="8" t="s">
        <v>1816</v>
      </c>
      <c r="L1872" s="8" t="s">
        <v>55972</v>
      </c>
      <c r="M1872" s="8" t="s">
        <v>6970</v>
      </c>
      <c r="N1872" s="8" t="s">
        <v>8664</v>
      </c>
      <c r="O1872" s="8">
        <f>5+13/60+51.8/3600</f>
        <v>5.2310555555555558</v>
      </c>
      <c r="P1872" s="8" t="s">
        <v>8665</v>
      </c>
      <c r="Q1872" s="8">
        <f>-(67+27/60+10/3600)</f>
        <v>-67.452777777777783</v>
      </c>
      <c r="R1872" s="8">
        <v>10.1</v>
      </c>
      <c r="S1872" s="8">
        <v>10.199999999999999</v>
      </c>
      <c r="T1872" s="8">
        <v>99</v>
      </c>
      <c r="U1872" s="8">
        <v>99</v>
      </c>
      <c r="V1872" s="8">
        <v>2</v>
      </c>
      <c r="Y1872" s="8" t="s">
        <v>8666</v>
      </c>
      <c r="Z1872" s="8" t="s">
        <v>8667</v>
      </c>
    </row>
    <row r="1873" spans="1:26" x14ac:dyDescent="0.2">
      <c r="A1873" s="8">
        <v>1872</v>
      </c>
      <c r="B1873" s="8" t="s">
        <v>8668</v>
      </c>
      <c r="C1873" s="8" t="s">
        <v>8668</v>
      </c>
      <c r="F1873" s="47"/>
      <c r="G1873" s="8">
        <v>16</v>
      </c>
      <c r="H1873" s="8" t="s">
        <v>21</v>
      </c>
      <c r="I1873" s="8" t="s">
        <v>557</v>
      </c>
      <c r="J1873" s="8" t="s">
        <v>557</v>
      </c>
      <c r="K1873" s="8" t="s">
        <v>557</v>
      </c>
      <c r="L1873" s="8" t="s">
        <v>55972</v>
      </c>
      <c r="M1873" s="8" t="s">
        <v>6970</v>
      </c>
      <c r="N1873" s="8" t="s">
        <v>8669</v>
      </c>
      <c r="O1873" s="8">
        <f>5+13/60+10.8/3600</f>
        <v>5.2196666666666669</v>
      </c>
      <c r="P1873" s="8" t="s">
        <v>8670</v>
      </c>
      <c r="Q1873" s="8">
        <f>-(69+19/60+2/3600)</f>
        <v>-69.317222222222213</v>
      </c>
      <c r="R1873" s="8">
        <v>11</v>
      </c>
      <c r="S1873" s="8">
        <v>99</v>
      </c>
      <c r="T1873" s="8">
        <v>99</v>
      </c>
      <c r="U1873" s="8">
        <v>99</v>
      </c>
      <c r="V1873" s="8">
        <v>1</v>
      </c>
      <c r="Y1873" s="8" t="s">
        <v>8671</v>
      </c>
      <c r="Z1873" s="8" t="s">
        <v>8672</v>
      </c>
    </row>
    <row r="1874" spans="1:26" x14ac:dyDescent="0.2">
      <c r="A1874" s="8">
        <v>1873</v>
      </c>
      <c r="B1874" s="8" t="s">
        <v>8673</v>
      </c>
      <c r="C1874" s="8" t="s">
        <v>8673</v>
      </c>
      <c r="F1874" s="47"/>
      <c r="G1874" s="8">
        <v>16</v>
      </c>
      <c r="H1874" s="8" t="s">
        <v>21</v>
      </c>
      <c r="I1874" s="8" t="s">
        <v>557</v>
      </c>
      <c r="J1874" s="8" t="s">
        <v>557</v>
      </c>
      <c r="K1874" s="8" t="s">
        <v>1816</v>
      </c>
      <c r="L1874" s="8" t="s">
        <v>55972</v>
      </c>
      <c r="M1874" s="8" t="s">
        <v>6970</v>
      </c>
      <c r="N1874" s="8" t="s">
        <v>8674</v>
      </c>
      <c r="O1874" s="8">
        <f>5+13/60+55.7/3600</f>
        <v>5.2321388888888887</v>
      </c>
      <c r="P1874" s="8" t="s">
        <v>8675</v>
      </c>
      <c r="Q1874" s="8">
        <f>-(67+20/60+4/3600)</f>
        <v>-67.334444444444443</v>
      </c>
      <c r="R1874" s="8">
        <v>10.4</v>
      </c>
      <c r="S1874" s="8">
        <v>99</v>
      </c>
      <c r="T1874" s="8">
        <v>99</v>
      </c>
      <c r="U1874" s="8">
        <v>99</v>
      </c>
      <c r="V1874" s="8">
        <v>3.5</v>
      </c>
      <c r="Y1874" s="8" t="s">
        <v>8676</v>
      </c>
      <c r="Z1874" s="8" t="s">
        <v>8677</v>
      </c>
    </row>
    <row r="1875" spans="1:26" x14ac:dyDescent="0.2">
      <c r="A1875" s="8">
        <v>1874</v>
      </c>
      <c r="B1875" s="8" t="s">
        <v>8678</v>
      </c>
      <c r="C1875" s="8" t="s">
        <v>8678</v>
      </c>
      <c r="F1875" s="47"/>
      <c r="G1875" s="8">
        <v>16</v>
      </c>
      <c r="H1875" s="8" t="s">
        <v>21</v>
      </c>
      <c r="I1875" s="8" t="s">
        <v>1283</v>
      </c>
      <c r="J1875" s="8" t="s">
        <v>1283</v>
      </c>
      <c r="K1875" s="8" t="s">
        <v>1751</v>
      </c>
      <c r="L1875" s="8" t="s">
        <v>55972</v>
      </c>
      <c r="M1875" s="8" t="s">
        <v>6970</v>
      </c>
      <c r="N1875" s="8" t="s">
        <v>8679</v>
      </c>
      <c r="O1875" s="8">
        <f>5+13/60+11.7/3600</f>
        <v>5.2199166666666672</v>
      </c>
      <c r="P1875" s="8" t="s">
        <v>8680</v>
      </c>
      <c r="Q1875" s="8">
        <f>-(69+22/60+35/3600)</f>
        <v>-69.376388888888883</v>
      </c>
      <c r="R1875" s="8">
        <v>99</v>
      </c>
      <c r="S1875" s="8">
        <v>9</v>
      </c>
      <c r="T1875" s="8">
        <v>99</v>
      </c>
      <c r="U1875" s="8">
        <v>99</v>
      </c>
      <c r="V1875" s="8">
        <v>1</v>
      </c>
      <c r="Y1875" s="8" t="s">
        <v>8681</v>
      </c>
      <c r="Z1875" s="8" t="s">
        <v>8682</v>
      </c>
    </row>
    <row r="1876" spans="1:26" x14ac:dyDescent="0.2">
      <c r="A1876" s="8">
        <v>1875</v>
      </c>
      <c r="B1876" s="8" t="s">
        <v>8683</v>
      </c>
      <c r="C1876" s="8" t="s">
        <v>8683</v>
      </c>
      <c r="F1876" s="47"/>
      <c r="G1876" s="8">
        <v>18</v>
      </c>
      <c r="H1876" s="8" t="s">
        <v>21</v>
      </c>
      <c r="I1876" s="8" t="s">
        <v>22</v>
      </c>
      <c r="J1876" s="8" t="s">
        <v>22</v>
      </c>
      <c r="K1876" s="8" t="s">
        <v>58</v>
      </c>
      <c r="L1876" s="8" t="s">
        <v>7698</v>
      </c>
      <c r="M1876" s="8" t="s">
        <v>7699</v>
      </c>
      <c r="N1876" s="8" t="s">
        <v>8684</v>
      </c>
      <c r="O1876" s="8">
        <f>5+21/60+45.7/3600</f>
        <v>5.3626944444444442</v>
      </c>
      <c r="P1876" s="8" t="s">
        <v>8685</v>
      </c>
      <c r="Q1876" s="8">
        <f>+(6+41/60+20/3600)</f>
        <v>6.6888888888888891</v>
      </c>
      <c r="R1876" s="8">
        <v>13.7</v>
      </c>
      <c r="S1876" s="8">
        <v>14.7</v>
      </c>
      <c r="T1876" s="8">
        <v>1</v>
      </c>
      <c r="U1876" s="8">
        <v>13</v>
      </c>
      <c r="V1876" s="8">
        <v>0.8</v>
      </c>
      <c r="W1876" s="8">
        <v>0.7</v>
      </c>
      <c r="X1876" s="8">
        <v>20</v>
      </c>
      <c r="Y1876" s="8" t="s">
        <v>227</v>
      </c>
      <c r="Z1876" s="8" t="s">
        <v>228</v>
      </c>
    </row>
    <row r="1877" spans="1:26" x14ac:dyDescent="0.2">
      <c r="A1877" s="8">
        <v>1876</v>
      </c>
      <c r="B1877" s="8" t="s">
        <v>8686</v>
      </c>
      <c r="C1877" s="8" t="s">
        <v>8686</v>
      </c>
      <c r="F1877" s="47"/>
      <c r="G1877" s="8">
        <v>16</v>
      </c>
      <c r="H1877" s="8" t="s">
        <v>21</v>
      </c>
      <c r="I1877" s="8" t="s">
        <v>557</v>
      </c>
      <c r="J1877" s="8" t="s">
        <v>557</v>
      </c>
      <c r="K1877" s="8" t="s">
        <v>1816</v>
      </c>
      <c r="L1877" s="8" t="s">
        <v>55972</v>
      </c>
      <c r="M1877" s="8" t="s">
        <v>6970</v>
      </c>
      <c r="N1877" s="8" t="s">
        <v>8687</v>
      </c>
      <c r="O1877" s="8">
        <f>5+13/60+18.5/3600</f>
        <v>5.221805555555556</v>
      </c>
      <c r="P1877" s="8" t="s">
        <v>8688</v>
      </c>
      <c r="Q1877" s="8">
        <f>-(69+21/60+52/3600)</f>
        <v>-69.364444444444445</v>
      </c>
      <c r="R1877" s="8">
        <v>11.7</v>
      </c>
      <c r="S1877" s="8">
        <v>11.5</v>
      </c>
      <c r="T1877" s="8">
        <v>99</v>
      </c>
      <c r="U1877" s="8">
        <v>99</v>
      </c>
      <c r="Y1877" s="8" t="s">
        <v>8689</v>
      </c>
      <c r="Z1877" s="8" t="s">
        <v>8690</v>
      </c>
    </row>
    <row r="1878" spans="1:26" x14ac:dyDescent="0.2">
      <c r="A1878" s="8">
        <v>1877</v>
      </c>
      <c r="B1878" s="8" t="s">
        <v>8691</v>
      </c>
      <c r="C1878" s="8" t="s">
        <v>8691</v>
      </c>
      <c r="F1878" s="47"/>
      <c r="G1878" s="8">
        <v>16</v>
      </c>
      <c r="H1878" s="8" t="s">
        <v>21</v>
      </c>
      <c r="I1878" s="8" t="s">
        <v>557</v>
      </c>
      <c r="J1878" s="8" t="s">
        <v>557</v>
      </c>
      <c r="K1878" s="8" t="s">
        <v>1816</v>
      </c>
      <c r="L1878" s="8" t="s">
        <v>55972</v>
      </c>
      <c r="M1878" s="8" t="s">
        <v>6970</v>
      </c>
      <c r="N1878" s="8" t="s">
        <v>8692</v>
      </c>
      <c r="O1878" s="8">
        <f>5+13/60+39/3600</f>
        <v>5.2275</v>
      </c>
      <c r="P1878" s="8" t="s">
        <v>8693</v>
      </c>
      <c r="Q1878" s="8">
        <f>-(69+23/60+0/3600)</f>
        <v>-69.38333333333334</v>
      </c>
      <c r="R1878" s="8">
        <v>99</v>
      </c>
      <c r="S1878" s="8">
        <v>12</v>
      </c>
      <c r="T1878" s="8">
        <v>99</v>
      </c>
      <c r="U1878" s="8">
        <v>99</v>
      </c>
      <c r="V1878" s="8">
        <v>3</v>
      </c>
      <c r="Y1878" s="8" t="s">
        <v>8694</v>
      </c>
      <c r="Z1878" s="8" t="s">
        <v>8695</v>
      </c>
    </row>
    <row r="1879" spans="1:26" x14ac:dyDescent="0.2">
      <c r="A1879" s="8">
        <v>1878</v>
      </c>
      <c r="B1879" s="8" t="s">
        <v>8696</v>
      </c>
      <c r="C1879" s="8" t="s">
        <v>8696</v>
      </c>
      <c r="F1879" s="47"/>
      <c r="G1879" s="8">
        <v>16</v>
      </c>
      <c r="H1879" s="8" t="s">
        <v>21</v>
      </c>
      <c r="I1879" s="8" t="s">
        <v>557</v>
      </c>
      <c r="J1879" s="8" t="s">
        <v>557</v>
      </c>
      <c r="K1879" s="8" t="s">
        <v>557</v>
      </c>
      <c r="L1879" s="8" t="s">
        <v>7071</v>
      </c>
      <c r="M1879" s="8" t="s">
        <v>7072</v>
      </c>
      <c r="N1879" s="8" t="s">
        <v>8697</v>
      </c>
      <c r="O1879" s="8">
        <f>5+12/60+51/3600</f>
        <v>5.2141666666666673</v>
      </c>
      <c r="P1879" s="8" t="s">
        <v>8698</v>
      </c>
      <c r="Q1879" s="8">
        <f>-(70+28/60+18/3600)</f>
        <v>-70.471666666666664</v>
      </c>
      <c r="R1879" s="8">
        <v>12.9</v>
      </c>
      <c r="S1879" s="8">
        <v>13.2</v>
      </c>
      <c r="T1879" s="8">
        <v>99</v>
      </c>
      <c r="U1879" s="8">
        <v>99</v>
      </c>
      <c r="V1879" s="8">
        <v>1.1000000000000001</v>
      </c>
      <c r="Y1879" s="8" t="s">
        <v>8699</v>
      </c>
      <c r="Z1879" s="8" t="s">
        <v>8700</v>
      </c>
    </row>
    <row r="1880" spans="1:26" x14ac:dyDescent="0.2">
      <c r="A1880" s="8">
        <v>1879</v>
      </c>
      <c r="B1880" s="8" t="s">
        <v>8701</v>
      </c>
      <c r="C1880" s="8" t="s">
        <v>8701</v>
      </c>
      <c r="F1880" s="47"/>
      <c r="G1880" s="8">
        <v>16</v>
      </c>
      <c r="H1880" s="8" t="s">
        <v>21</v>
      </c>
      <c r="I1880" s="8" t="s">
        <v>22</v>
      </c>
      <c r="J1880" s="8" t="s">
        <v>22</v>
      </c>
      <c r="K1880" s="8" t="s">
        <v>323</v>
      </c>
      <c r="L1880" s="8" t="s">
        <v>8298</v>
      </c>
      <c r="M1880" s="8" t="s">
        <v>8299</v>
      </c>
      <c r="N1880" s="8" t="s">
        <v>8702</v>
      </c>
      <c r="O1880" s="8">
        <f>5+19/60+48.1/3600</f>
        <v>5.3300277777777776</v>
      </c>
      <c r="P1880" s="8" t="s">
        <v>8703</v>
      </c>
      <c r="Q1880" s="8">
        <f>-(32+8/60+33/3600)</f>
        <v>-32.142499999999998</v>
      </c>
      <c r="R1880" s="8">
        <v>12.8</v>
      </c>
      <c r="S1880" s="8">
        <v>13.2</v>
      </c>
      <c r="T1880" s="8">
        <v>0.4</v>
      </c>
      <c r="U1880" s="8">
        <v>14.2</v>
      </c>
      <c r="V1880" s="8">
        <v>2.5</v>
      </c>
      <c r="W1880" s="8">
        <v>1.7</v>
      </c>
      <c r="X1880" s="8">
        <v>60</v>
      </c>
      <c r="Y1880" s="8" t="s">
        <v>8704</v>
      </c>
      <c r="Z1880" s="8" t="s">
        <v>8705</v>
      </c>
    </row>
    <row r="1881" spans="1:26" x14ac:dyDescent="0.2">
      <c r="A1881" s="8">
        <v>1880</v>
      </c>
      <c r="B1881" s="8" t="s">
        <v>8706</v>
      </c>
      <c r="C1881" s="8" t="s">
        <v>8706</v>
      </c>
      <c r="F1881" s="47"/>
      <c r="G1881" s="8">
        <v>16</v>
      </c>
      <c r="H1881" s="8" t="s">
        <v>21</v>
      </c>
      <c r="I1881" s="8" t="s">
        <v>1283</v>
      </c>
      <c r="J1881" s="8" t="s">
        <v>1283</v>
      </c>
      <c r="K1881" s="8" t="s">
        <v>1284</v>
      </c>
      <c r="L1881" s="8" t="s">
        <v>55972</v>
      </c>
      <c r="M1881" s="8" t="s">
        <v>6970</v>
      </c>
      <c r="N1881" s="8" t="s">
        <v>8707</v>
      </c>
      <c r="O1881" s="8">
        <f>5+13/60+39.2/3600</f>
        <v>5.227555555555556</v>
      </c>
      <c r="P1881" s="8" t="s">
        <v>8708</v>
      </c>
      <c r="Q1881" s="8">
        <f>-(69+22/60+52/3600)</f>
        <v>-69.38111111111111</v>
      </c>
      <c r="R1881" s="8">
        <v>99</v>
      </c>
      <c r="S1881" s="8">
        <v>99</v>
      </c>
      <c r="T1881" s="8">
        <v>99</v>
      </c>
      <c r="U1881" s="8">
        <v>99</v>
      </c>
      <c r="Y1881" s="8" t="s">
        <v>8709</v>
      </c>
      <c r="Z1881" s="8" t="s">
        <v>8710</v>
      </c>
    </row>
    <row r="1882" spans="1:26" x14ac:dyDescent="0.2">
      <c r="A1882" s="8">
        <v>1881</v>
      </c>
      <c r="B1882" s="8" t="s">
        <v>8711</v>
      </c>
      <c r="C1882" s="8" t="s">
        <v>8711</v>
      </c>
      <c r="F1882" s="47"/>
      <c r="G1882" s="8">
        <v>16</v>
      </c>
      <c r="H1882" s="8" t="s">
        <v>21</v>
      </c>
      <c r="I1882" s="8" t="s">
        <v>557</v>
      </c>
      <c r="J1882" s="8" t="s">
        <v>557</v>
      </c>
      <c r="K1882" s="8" t="s">
        <v>557</v>
      </c>
      <c r="L1882" s="8" t="s">
        <v>55972</v>
      </c>
      <c r="M1882" s="8" t="s">
        <v>6970</v>
      </c>
      <c r="N1882" s="8" t="s">
        <v>8712</v>
      </c>
      <c r="O1882" s="8">
        <f>5+13/60+36/3600</f>
        <v>5.2266666666666666</v>
      </c>
      <c r="P1882" s="8" t="s">
        <v>8713</v>
      </c>
      <c r="Q1882" s="8">
        <f>-(69+17/60+54/3600)</f>
        <v>-69.298333333333332</v>
      </c>
      <c r="R1882" s="8">
        <v>99</v>
      </c>
      <c r="S1882" s="8">
        <v>99</v>
      </c>
      <c r="T1882" s="8">
        <v>99</v>
      </c>
      <c r="U1882" s="8">
        <v>99</v>
      </c>
      <c r="Y1882" s="8" t="s">
        <v>8714</v>
      </c>
      <c r="Z1882" s="8" t="s">
        <v>8715</v>
      </c>
    </row>
    <row r="1883" spans="1:26" x14ac:dyDescent="0.2">
      <c r="A1883" s="8">
        <v>1882</v>
      </c>
      <c r="B1883" s="8" t="s">
        <v>8716</v>
      </c>
      <c r="C1883" s="8" t="s">
        <v>8716</v>
      </c>
      <c r="F1883" s="47"/>
      <c r="G1883" s="8">
        <v>16</v>
      </c>
      <c r="H1883" s="8" t="s">
        <v>21</v>
      </c>
      <c r="I1883" s="8" t="s">
        <v>557</v>
      </c>
      <c r="J1883" s="8" t="s">
        <v>557</v>
      </c>
      <c r="K1883" s="8" t="s">
        <v>557</v>
      </c>
      <c r="L1883" s="8" t="s">
        <v>55972</v>
      </c>
      <c r="M1883" s="8" t="s">
        <v>6970</v>
      </c>
      <c r="N1883" s="8" t="s">
        <v>8717</v>
      </c>
      <c r="O1883" s="8">
        <f>5+15/60+33.4/3600</f>
        <v>5.2592777777777782</v>
      </c>
      <c r="P1883" s="8" t="s">
        <v>8718</v>
      </c>
      <c r="Q1883" s="8">
        <f>-(66+7/60+47/3600)</f>
        <v>-66.129722222222213</v>
      </c>
      <c r="R1883" s="8">
        <v>12.3</v>
      </c>
      <c r="S1883" s="8">
        <v>12.4</v>
      </c>
      <c r="T1883" s="8">
        <v>99</v>
      </c>
      <c r="U1883" s="8">
        <v>99</v>
      </c>
      <c r="V1883" s="8">
        <v>1.2</v>
      </c>
      <c r="Y1883" s="8" t="s">
        <v>8719</v>
      </c>
      <c r="Z1883" s="8" t="s">
        <v>8720</v>
      </c>
    </row>
    <row r="1884" spans="1:26" x14ac:dyDescent="0.2">
      <c r="A1884" s="8">
        <v>1883</v>
      </c>
      <c r="B1884" s="8" t="s">
        <v>8721</v>
      </c>
      <c r="C1884" s="8" t="s">
        <v>8721</v>
      </c>
      <c r="F1884" s="47" t="s">
        <v>56395</v>
      </c>
      <c r="G1884" s="8">
        <v>6.5</v>
      </c>
      <c r="H1884" s="8" t="s">
        <v>21</v>
      </c>
      <c r="I1884" s="8" t="s">
        <v>557</v>
      </c>
      <c r="J1884" s="8" t="s">
        <v>557</v>
      </c>
      <c r="K1884" s="8" t="s">
        <v>1840</v>
      </c>
      <c r="L1884" s="8" t="s">
        <v>7717</v>
      </c>
      <c r="M1884" s="8" t="s">
        <v>7718</v>
      </c>
      <c r="N1884" s="8" t="s">
        <v>8722</v>
      </c>
      <c r="O1884" s="8">
        <f>5+25/60+54.1/3600</f>
        <v>5.431694444444445</v>
      </c>
      <c r="P1884" s="8" t="s">
        <v>8723</v>
      </c>
      <c r="Q1884" s="8">
        <f>+(46+29/60+25/3600)</f>
        <v>46.490277777777777</v>
      </c>
      <c r="R1884" s="8">
        <v>12</v>
      </c>
      <c r="S1884" s="8">
        <v>99</v>
      </c>
      <c r="T1884" s="8">
        <v>99</v>
      </c>
      <c r="U1884" s="8">
        <v>99</v>
      </c>
      <c r="V1884" s="8">
        <v>5</v>
      </c>
      <c r="Y1884" s="8" t="s">
        <v>8724</v>
      </c>
      <c r="Z1884" s="8" t="s">
        <v>8725</v>
      </c>
    </row>
    <row r="1885" spans="1:26" x14ac:dyDescent="0.2">
      <c r="A1885" s="8">
        <v>1884</v>
      </c>
      <c r="B1885" s="8" t="s">
        <v>8726</v>
      </c>
      <c r="C1885" s="8" t="s">
        <v>8726</v>
      </c>
      <c r="F1885" s="47"/>
      <c r="G1885" s="8">
        <v>16</v>
      </c>
      <c r="H1885" s="8" t="s">
        <v>21</v>
      </c>
      <c r="I1885" s="8" t="s">
        <v>329</v>
      </c>
      <c r="J1885" s="8" t="s">
        <v>329</v>
      </c>
      <c r="K1885" s="8" t="s">
        <v>329</v>
      </c>
      <c r="L1885" s="8" t="s">
        <v>55972</v>
      </c>
      <c r="M1885" s="8" t="s">
        <v>6970</v>
      </c>
      <c r="N1885" s="8" t="s">
        <v>8727</v>
      </c>
      <c r="O1885" s="8">
        <f>5+15/60+58/3600</f>
        <v>5.266111111111111</v>
      </c>
      <c r="P1885" s="8" t="s">
        <v>8728</v>
      </c>
      <c r="Q1885" s="8">
        <f>-(66+9/60+48/3600)</f>
        <v>-66.163333333333341</v>
      </c>
      <c r="R1885" s="8">
        <v>99</v>
      </c>
      <c r="S1885" s="8">
        <v>99</v>
      </c>
      <c r="T1885" s="8">
        <v>99</v>
      </c>
      <c r="U1885" s="8">
        <v>99</v>
      </c>
      <c r="Y1885" s="8" t="s">
        <v>3505</v>
      </c>
      <c r="Z1885" s="8" t="s">
        <v>3506</v>
      </c>
    </row>
    <row r="1886" spans="1:26" x14ac:dyDescent="0.2">
      <c r="A1886" s="8">
        <v>1885</v>
      </c>
      <c r="B1886" s="8" t="s">
        <v>8729</v>
      </c>
      <c r="C1886" s="8" t="s">
        <v>8729</v>
      </c>
      <c r="F1886" s="47"/>
      <c r="G1886" s="8">
        <v>16</v>
      </c>
      <c r="H1886" s="8" t="s">
        <v>21</v>
      </c>
      <c r="I1886" s="8" t="s">
        <v>557</v>
      </c>
      <c r="J1886" s="8" t="s">
        <v>557</v>
      </c>
      <c r="K1886" s="8" t="s">
        <v>557</v>
      </c>
      <c r="L1886" s="8" t="s">
        <v>55972</v>
      </c>
      <c r="M1886" s="8" t="s">
        <v>6970</v>
      </c>
      <c r="N1886" s="8" t="s">
        <v>8730</v>
      </c>
      <c r="O1886" s="8">
        <f>5+15/60+5.9/3600</f>
        <v>5.2516388888888885</v>
      </c>
      <c r="P1886" s="8" t="s">
        <v>8731</v>
      </c>
      <c r="Q1886" s="8">
        <f>-(68+58/60+40/3600)</f>
        <v>-68.977777777777774</v>
      </c>
      <c r="R1886" s="8">
        <v>12</v>
      </c>
      <c r="S1886" s="8">
        <v>99</v>
      </c>
      <c r="T1886" s="8">
        <v>99</v>
      </c>
      <c r="U1886" s="8">
        <v>99</v>
      </c>
      <c r="V1886" s="8">
        <v>0.8</v>
      </c>
      <c r="Y1886" s="8" t="s">
        <v>8732</v>
      </c>
      <c r="Z1886" s="8" t="s">
        <v>8733</v>
      </c>
    </row>
    <row r="1887" spans="1:26" x14ac:dyDescent="0.2">
      <c r="A1887" s="8">
        <v>1886</v>
      </c>
      <c r="B1887" s="8" t="s">
        <v>8734</v>
      </c>
      <c r="C1887" s="8" t="s">
        <v>8734</v>
      </c>
      <c r="F1887" s="47"/>
      <c r="G1887" s="8">
        <v>19</v>
      </c>
      <c r="H1887" s="8" t="s">
        <v>21</v>
      </c>
      <c r="I1887" s="8" t="s">
        <v>22</v>
      </c>
      <c r="J1887" s="8" t="s">
        <v>22</v>
      </c>
      <c r="K1887" s="8" t="s">
        <v>396</v>
      </c>
      <c r="L1887" s="8" t="s">
        <v>7915</v>
      </c>
      <c r="M1887" s="8" t="s">
        <v>7916</v>
      </c>
      <c r="N1887" s="8" t="s">
        <v>8735</v>
      </c>
      <c r="O1887" s="8">
        <f>5+21/60+48.2/3600</f>
        <v>5.3633888888888883</v>
      </c>
      <c r="P1887" s="8" t="s">
        <v>8736</v>
      </c>
      <c r="Q1887" s="8">
        <f>-(23+48/60+36/3600)</f>
        <v>-23.810000000000002</v>
      </c>
      <c r="R1887" s="8">
        <v>12.7</v>
      </c>
      <c r="S1887" s="8">
        <v>13.5</v>
      </c>
      <c r="T1887" s="8">
        <v>0.8</v>
      </c>
      <c r="U1887" s="8">
        <v>12.8</v>
      </c>
      <c r="V1887" s="8">
        <v>3.1</v>
      </c>
      <c r="W1887" s="8">
        <v>0.4</v>
      </c>
      <c r="X1887" s="8">
        <v>60</v>
      </c>
      <c r="Y1887" s="8" t="s">
        <v>8737</v>
      </c>
      <c r="Z1887" s="8" t="s">
        <v>8738</v>
      </c>
    </row>
    <row r="1888" spans="1:26" x14ac:dyDescent="0.2">
      <c r="A1888" s="8">
        <v>1887</v>
      </c>
      <c r="B1888" s="8" t="s">
        <v>8739</v>
      </c>
      <c r="C1888" s="8" t="s">
        <v>8739</v>
      </c>
      <c r="F1888" s="47"/>
      <c r="G1888" s="8">
        <v>16</v>
      </c>
      <c r="H1888" s="8" t="s">
        <v>21</v>
      </c>
      <c r="I1888" s="8" t="s">
        <v>557</v>
      </c>
      <c r="J1888" s="8" t="s">
        <v>557</v>
      </c>
      <c r="K1888" s="8" t="s">
        <v>557</v>
      </c>
      <c r="L1888" s="8" t="s">
        <v>55972</v>
      </c>
      <c r="M1888" s="8" t="s">
        <v>6970</v>
      </c>
      <c r="N1888" s="8" t="s">
        <v>8740</v>
      </c>
      <c r="O1888" s="8">
        <f>5+16/60+6/3600</f>
        <v>5.2683333333333335</v>
      </c>
      <c r="P1888" s="8" t="s">
        <v>8741</v>
      </c>
      <c r="Q1888" s="8">
        <f>-(66+19/60+7/3600)</f>
        <v>-66.31861111111111</v>
      </c>
      <c r="R1888" s="8">
        <v>12.7</v>
      </c>
      <c r="S1888" s="8">
        <v>12.9</v>
      </c>
      <c r="T1888" s="8">
        <v>99</v>
      </c>
      <c r="U1888" s="8">
        <v>99</v>
      </c>
      <c r="V1888" s="8">
        <v>1.1000000000000001</v>
      </c>
      <c r="Y1888" s="8" t="s">
        <v>8742</v>
      </c>
      <c r="Z1888" s="8" t="s">
        <v>8743</v>
      </c>
    </row>
    <row r="1889" spans="1:26" x14ac:dyDescent="0.2">
      <c r="A1889" s="8">
        <v>1888</v>
      </c>
      <c r="B1889" s="8" t="s">
        <v>8744</v>
      </c>
      <c r="C1889" s="8" t="s">
        <v>8744</v>
      </c>
      <c r="F1889" s="47" t="s">
        <v>56396</v>
      </c>
      <c r="G1889" s="8">
        <v>15</v>
      </c>
      <c r="H1889" s="8" t="s">
        <v>21</v>
      </c>
      <c r="I1889" s="8" t="s">
        <v>22</v>
      </c>
      <c r="J1889" s="8" t="s">
        <v>22</v>
      </c>
      <c r="K1889" s="8" t="s">
        <v>520</v>
      </c>
      <c r="L1889" s="8" t="s">
        <v>7915</v>
      </c>
      <c r="M1889" s="8" t="s">
        <v>7916</v>
      </c>
      <c r="N1889" s="8" t="s">
        <v>8745</v>
      </c>
      <c r="O1889" s="8">
        <f>5+22/60+34.4/3600</f>
        <v>5.3762222222222222</v>
      </c>
      <c r="P1889" s="8" t="s">
        <v>8746</v>
      </c>
      <c r="Q1889" s="8">
        <f>-(11+30/60+1/3600)</f>
        <v>-11.500277777777777</v>
      </c>
      <c r="R1889" s="8">
        <v>11.9</v>
      </c>
      <c r="S1889" s="8">
        <v>12.8</v>
      </c>
      <c r="T1889" s="8">
        <v>0.9</v>
      </c>
      <c r="U1889" s="8">
        <v>12.8</v>
      </c>
      <c r="V1889" s="8">
        <v>3</v>
      </c>
      <c r="W1889" s="8">
        <v>0.8</v>
      </c>
      <c r="X1889" s="8">
        <v>145</v>
      </c>
      <c r="Y1889" s="8" t="s">
        <v>8747</v>
      </c>
      <c r="Z1889" s="8" t="s">
        <v>8748</v>
      </c>
    </row>
    <row r="1890" spans="1:26" x14ac:dyDescent="0.2">
      <c r="A1890" s="8">
        <v>1889</v>
      </c>
      <c r="B1890" s="8" t="s">
        <v>8749</v>
      </c>
      <c r="C1890" s="8" t="s">
        <v>8749</v>
      </c>
      <c r="F1890" s="47"/>
      <c r="G1890" s="8">
        <v>18</v>
      </c>
      <c r="H1890" s="8" t="s">
        <v>21</v>
      </c>
      <c r="I1890" s="8" t="s">
        <v>22</v>
      </c>
      <c r="J1890" s="8" t="s">
        <v>22</v>
      </c>
      <c r="K1890" s="8" t="s">
        <v>382</v>
      </c>
      <c r="L1890" s="8" t="s">
        <v>7915</v>
      </c>
      <c r="M1890" s="8" t="s">
        <v>7916</v>
      </c>
      <c r="N1890" s="8" t="s">
        <v>8750</v>
      </c>
      <c r="O1890" s="8">
        <f>5+22/60+35.3/3600</f>
        <v>5.3764722222222217</v>
      </c>
      <c r="P1890" s="8" t="s">
        <v>8751</v>
      </c>
      <c r="Q1890" s="8">
        <f>-(11+29/60+49/3600)</f>
        <v>-11.496944444444443</v>
      </c>
      <c r="R1890" s="8">
        <v>13.1</v>
      </c>
      <c r="S1890" s="8">
        <v>14.1</v>
      </c>
      <c r="T1890" s="8">
        <v>1</v>
      </c>
      <c r="U1890" s="8">
        <v>11.6</v>
      </c>
      <c r="V1890" s="8">
        <v>0.6</v>
      </c>
      <c r="W1890" s="8">
        <v>0.4</v>
      </c>
      <c r="X1890" s="8">
        <v>165</v>
      </c>
      <c r="Y1890" s="8" t="s">
        <v>8747</v>
      </c>
      <c r="Z1890" s="8" t="s">
        <v>8752</v>
      </c>
    </row>
    <row r="1891" spans="1:26" x14ac:dyDescent="0.2">
      <c r="A1891" s="8">
        <v>1890</v>
      </c>
      <c r="B1891" s="8" t="s">
        <v>8753</v>
      </c>
      <c r="C1891" s="8" t="s">
        <v>8753</v>
      </c>
      <c r="F1891" s="47"/>
      <c r="G1891" s="8">
        <v>16</v>
      </c>
      <c r="H1891" s="8" t="s">
        <v>21</v>
      </c>
      <c r="I1891" s="8" t="s">
        <v>557</v>
      </c>
      <c r="J1891" s="8" t="s">
        <v>557</v>
      </c>
      <c r="K1891" s="8" t="s">
        <v>557</v>
      </c>
      <c r="L1891" s="8" t="s">
        <v>7071</v>
      </c>
      <c r="M1891" s="8" t="s">
        <v>7072</v>
      </c>
      <c r="N1891" s="8" t="s">
        <v>8754</v>
      </c>
      <c r="O1891" s="8">
        <f>5+13/60+45.9/3600</f>
        <v>5.2294166666666664</v>
      </c>
      <c r="P1891" s="8" t="s">
        <v>8755</v>
      </c>
      <c r="Q1891" s="8">
        <f>-(72+4/60+41/3600)</f>
        <v>-72.078055555555551</v>
      </c>
      <c r="R1891" s="8">
        <v>12.8</v>
      </c>
      <c r="S1891" s="8">
        <v>13.1</v>
      </c>
      <c r="T1891" s="8">
        <v>99</v>
      </c>
      <c r="U1891" s="8">
        <v>99</v>
      </c>
      <c r="V1891" s="8">
        <v>1.2</v>
      </c>
      <c r="Y1891" s="8" t="s">
        <v>2067</v>
      </c>
      <c r="Z1891" s="8" t="s">
        <v>2068</v>
      </c>
    </row>
    <row r="1892" spans="1:26" x14ac:dyDescent="0.2">
      <c r="A1892" s="8">
        <v>1891</v>
      </c>
      <c r="B1892" s="8" t="s">
        <v>8756</v>
      </c>
      <c r="C1892" s="8" t="s">
        <v>8756</v>
      </c>
      <c r="F1892" s="47"/>
      <c r="G1892" s="8">
        <v>16</v>
      </c>
      <c r="H1892" s="8" t="s">
        <v>21</v>
      </c>
      <c r="I1892" s="8" t="s">
        <v>72</v>
      </c>
      <c r="J1892" s="8" t="s">
        <v>72</v>
      </c>
      <c r="K1892" s="8" t="s">
        <v>1405</v>
      </c>
      <c r="L1892" s="8" t="s">
        <v>8298</v>
      </c>
      <c r="M1892" s="8" t="s">
        <v>8299</v>
      </c>
      <c r="N1892" s="8" t="s">
        <v>8757</v>
      </c>
      <c r="O1892" s="8">
        <f>5+21/60+44/3600</f>
        <v>5.362222222222222</v>
      </c>
      <c r="P1892" s="8" t="s">
        <v>8758</v>
      </c>
      <c r="Q1892" s="8">
        <f>-(35+47/60+24/3600)</f>
        <v>-35.79</v>
      </c>
      <c r="R1892" s="8">
        <v>99</v>
      </c>
      <c r="S1892" s="8">
        <v>99</v>
      </c>
      <c r="T1892" s="8">
        <v>99</v>
      </c>
      <c r="U1892" s="8">
        <v>99</v>
      </c>
      <c r="V1892" s="8">
        <v>5</v>
      </c>
      <c r="Y1892" s="8" t="s">
        <v>8759</v>
      </c>
      <c r="Z1892" s="8" t="s">
        <v>8760</v>
      </c>
    </row>
    <row r="1893" spans="1:26" x14ac:dyDescent="0.2">
      <c r="A1893" s="8">
        <v>1892</v>
      </c>
      <c r="B1893" s="8" t="s">
        <v>8761</v>
      </c>
      <c r="C1893" s="8" t="s">
        <v>8761</v>
      </c>
      <c r="F1893" s="47"/>
      <c r="G1893" s="8">
        <v>16</v>
      </c>
      <c r="H1893" s="8" t="s">
        <v>21</v>
      </c>
      <c r="I1893" s="8" t="s">
        <v>22</v>
      </c>
      <c r="J1893" s="8" t="s">
        <v>22</v>
      </c>
      <c r="K1893" s="8" t="s">
        <v>160</v>
      </c>
      <c r="L1893" s="8" t="s">
        <v>55972</v>
      </c>
      <c r="M1893" s="8" t="s">
        <v>6970</v>
      </c>
      <c r="N1893" s="8" t="s">
        <v>8762</v>
      </c>
      <c r="O1893" s="8">
        <f>5+17/60+9.5/3600</f>
        <v>5.2859722222222221</v>
      </c>
      <c r="P1893" s="8" t="s">
        <v>8763</v>
      </c>
      <c r="Q1893" s="8">
        <f>-(64+57/60+37/3600)</f>
        <v>-64.960277777777776</v>
      </c>
      <c r="R1893" s="8">
        <v>12.2</v>
      </c>
      <c r="S1893" s="8">
        <v>12.8</v>
      </c>
      <c r="T1893" s="8">
        <v>0.6</v>
      </c>
      <c r="U1893" s="8">
        <v>13</v>
      </c>
      <c r="V1893" s="8">
        <v>2.9</v>
      </c>
      <c r="W1893" s="8">
        <v>0.8</v>
      </c>
      <c r="X1893" s="8">
        <v>74</v>
      </c>
      <c r="Y1893" s="8" t="s">
        <v>8764</v>
      </c>
      <c r="Z1893" s="8" t="s">
        <v>8765</v>
      </c>
    </row>
    <row r="1894" spans="1:26" x14ac:dyDescent="0.2">
      <c r="A1894" s="8">
        <v>1893</v>
      </c>
      <c r="B1894" s="8" t="s">
        <v>8766</v>
      </c>
      <c r="C1894" s="8" t="s">
        <v>8766</v>
      </c>
      <c r="F1894" s="47"/>
      <c r="G1894" s="8">
        <v>8</v>
      </c>
      <c r="H1894" s="8" t="s">
        <v>8767</v>
      </c>
      <c r="I1894" s="8" t="s">
        <v>557</v>
      </c>
      <c r="J1894" s="8" t="s">
        <v>557</v>
      </c>
      <c r="K1894" s="8" t="s">
        <v>8768</v>
      </c>
      <c r="L1894" s="8" t="s">
        <v>7717</v>
      </c>
      <c r="M1894" s="8" t="s">
        <v>7718</v>
      </c>
      <c r="N1894" s="8" t="s">
        <v>8769</v>
      </c>
      <c r="O1894" s="8">
        <f>5+22/60+45.6/3600</f>
        <v>5.3793333333333333</v>
      </c>
      <c r="P1894" s="8" t="s">
        <v>8770</v>
      </c>
      <c r="Q1894" s="8">
        <f>+(33+24/60+52/3600)</f>
        <v>33.414444444444442</v>
      </c>
      <c r="R1894" s="8">
        <v>7.5</v>
      </c>
      <c r="S1894" s="8">
        <v>99</v>
      </c>
      <c r="T1894" s="8">
        <v>99</v>
      </c>
      <c r="U1894" s="8">
        <v>99</v>
      </c>
      <c r="V1894" s="8">
        <v>10</v>
      </c>
      <c r="Y1894" s="8" t="s">
        <v>8771</v>
      </c>
      <c r="Z1894" s="8" t="s">
        <v>8772</v>
      </c>
    </row>
    <row r="1895" spans="1:26" x14ac:dyDescent="0.2">
      <c r="A1895" s="8">
        <v>1894</v>
      </c>
      <c r="B1895" s="8" t="s">
        <v>8773</v>
      </c>
      <c r="C1895" s="8" t="s">
        <v>8773</v>
      </c>
      <c r="F1895" s="47"/>
      <c r="G1895" s="8">
        <v>16</v>
      </c>
      <c r="H1895" s="8" t="s">
        <v>21</v>
      </c>
      <c r="I1895" s="8" t="s">
        <v>557</v>
      </c>
      <c r="J1895" s="8" t="s">
        <v>557</v>
      </c>
      <c r="K1895" s="8" t="s">
        <v>557</v>
      </c>
      <c r="L1895" s="8" t="s">
        <v>55972</v>
      </c>
      <c r="M1895" s="8" t="s">
        <v>6970</v>
      </c>
      <c r="N1895" s="8" t="s">
        <v>8774</v>
      </c>
      <c r="O1895" s="8">
        <f>5+15/60+51.3/3600</f>
        <v>5.2642499999999997</v>
      </c>
      <c r="P1895" s="8" t="s">
        <v>8775</v>
      </c>
      <c r="Q1895" s="8">
        <f>-(69+28/60+7/3600)</f>
        <v>-69.468611111111116</v>
      </c>
      <c r="R1895" s="8">
        <v>12.2</v>
      </c>
      <c r="S1895" s="8">
        <v>99</v>
      </c>
      <c r="T1895" s="8">
        <v>99</v>
      </c>
      <c r="U1895" s="8">
        <v>99</v>
      </c>
      <c r="V1895" s="8">
        <v>0.8</v>
      </c>
      <c r="Y1895" s="8" t="s">
        <v>8776</v>
      </c>
      <c r="Z1895" s="8" t="s">
        <v>8777</v>
      </c>
    </row>
    <row r="1896" spans="1:26" x14ac:dyDescent="0.2">
      <c r="A1896" s="8">
        <v>1895</v>
      </c>
      <c r="B1896" s="8" t="s">
        <v>8778</v>
      </c>
      <c r="C1896" s="8" t="s">
        <v>8778</v>
      </c>
      <c r="F1896" s="47"/>
      <c r="G1896" s="8">
        <v>16</v>
      </c>
      <c r="H1896" s="8" t="s">
        <v>21</v>
      </c>
      <c r="I1896" s="8" t="s">
        <v>1283</v>
      </c>
      <c r="J1896" s="8" t="s">
        <v>1283</v>
      </c>
      <c r="K1896" s="8" t="s">
        <v>1284</v>
      </c>
      <c r="L1896" s="8" t="s">
        <v>55972</v>
      </c>
      <c r="M1896" s="8" t="s">
        <v>6970</v>
      </c>
      <c r="N1896" s="8" t="s">
        <v>8779</v>
      </c>
      <c r="O1896" s="8">
        <f>5+16/60+52.4/3600</f>
        <v>5.2812222222222225</v>
      </c>
      <c r="P1896" s="8" t="s">
        <v>8780</v>
      </c>
      <c r="Q1896" s="8">
        <f>-(67+19/60+47/3600)</f>
        <v>-67.329722222222216</v>
      </c>
      <c r="R1896" s="8">
        <v>99</v>
      </c>
      <c r="S1896" s="8">
        <v>99</v>
      </c>
      <c r="T1896" s="8">
        <v>99</v>
      </c>
      <c r="U1896" s="8">
        <v>99</v>
      </c>
      <c r="Y1896" s="8" t="s">
        <v>8781</v>
      </c>
      <c r="Z1896" s="8" t="s">
        <v>8782</v>
      </c>
    </row>
    <row r="1897" spans="1:26" x14ac:dyDescent="0.2">
      <c r="A1897" s="8">
        <v>1896</v>
      </c>
      <c r="B1897" s="8" t="s">
        <v>8783</v>
      </c>
      <c r="C1897" s="8" t="s">
        <v>8783</v>
      </c>
      <c r="F1897" s="47" t="s">
        <v>56397</v>
      </c>
      <c r="G1897" s="8">
        <v>15</v>
      </c>
      <c r="H1897" s="8" t="s">
        <v>21</v>
      </c>
      <c r="I1897" s="8" t="s">
        <v>72</v>
      </c>
      <c r="J1897" s="8" t="s">
        <v>72</v>
      </c>
      <c r="K1897" s="8" t="s">
        <v>1405</v>
      </c>
      <c r="L1897" s="8" t="s">
        <v>7717</v>
      </c>
      <c r="M1897" s="8" t="s">
        <v>7718</v>
      </c>
      <c r="N1897" s="8" t="s">
        <v>8784</v>
      </c>
      <c r="O1897" s="8">
        <f>5+25/60+6/3600</f>
        <v>5.4183333333333339</v>
      </c>
      <c r="P1897" s="8" t="s">
        <v>8785</v>
      </c>
      <c r="Q1897" s="8">
        <f>+(29+22/60+0/3600)</f>
        <v>29.366666666666667</v>
      </c>
      <c r="R1897" s="8">
        <v>99</v>
      </c>
      <c r="S1897" s="8">
        <v>99</v>
      </c>
      <c r="T1897" s="8">
        <v>99</v>
      </c>
      <c r="U1897" s="8">
        <v>99</v>
      </c>
      <c r="V1897" s="8">
        <v>10</v>
      </c>
      <c r="Y1897" s="8" t="s">
        <v>8786</v>
      </c>
      <c r="Z1897" s="8" t="s">
        <v>8787</v>
      </c>
    </row>
    <row r="1898" spans="1:26" x14ac:dyDescent="0.2">
      <c r="A1898" s="8">
        <v>1897</v>
      </c>
      <c r="B1898" s="8" t="s">
        <v>8788</v>
      </c>
      <c r="C1898" s="8" t="s">
        <v>8788</v>
      </c>
      <c r="F1898" s="47"/>
      <c r="G1898" s="8">
        <v>16</v>
      </c>
      <c r="H1898" s="8" t="s">
        <v>21</v>
      </c>
      <c r="I1898" s="8" t="s">
        <v>557</v>
      </c>
      <c r="J1898" s="8" t="s">
        <v>557</v>
      </c>
      <c r="K1898" s="8" t="s">
        <v>557</v>
      </c>
      <c r="L1898" s="8" t="s">
        <v>55972</v>
      </c>
      <c r="M1898" s="8" t="s">
        <v>6970</v>
      </c>
      <c r="N1898" s="8" t="s">
        <v>8789</v>
      </c>
      <c r="O1898" s="8">
        <f>5+17/60+32.4/3600</f>
        <v>5.2923333333333336</v>
      </c>
      <c r="P1898" s="8" t="s">
        <v>8790</v>
      </c>
      <c r="Q1898" s="8">
        <f>-(67+26/60+56/3600)</f>
        <v>-67.448888888888888</v>
      </c>
      <c r="R1898" s="8">
        <v>13.5</v>
      </c>
      <c r="S1898" s="8">
        <v>13.9</v>
      </c>
      <c r="T1898" s="8">
        <v>99</v>
      </c>
      <c r="U1898" s="8">
        <v>99</v>
      </c>
      <c r="V1898" s="8">
        <v>1</v>
      </c>
      <c r="Y1898" s="8" t="s">
        <v>227</v>
      </c>
      <c r="Z1898" s="8" t="s">
        <v>228</v>
      </c>
    </row>
    <row r="1899" spans="1:26" x14ac:dyDescent="0.2">
      <c r="A1899" s="8">
        <v>1898</v>
      </c>
      <c r="B1899" s="8" t="s">
        <v>8791</v>
      </c>
      <c r="C1899" s="8" t="s">
        <v>8791</v>
      </c>
      <c r="F1899" s="47"/>
      <c r="G1899" s="8">
        <v>16</v>
      </c>
      <c r="H1899" s="8" t="s">
        <v>21</v>
      </c>
      <c r="I1899" s="8" t="s">
        <v>557</v>
      </c>
      <c r="J1899" s="8" t="s">
        <v>557</v>
      </c>
      <c r="K1899" s="8" t="s">
        <v>557</v>
      </c>
      <c r="L1899" s="8" t="s">
        <v>55972</v>
      </c>
      <c r="M1899" s="8" t="s">
        <v>6970</v>
      </c>
      <c r="N1899" s="8" t="s">
        <v>8792</v>
      </c>
      <c r="O1899" s="8">
        <f>5+16/60+42.4/3600</f>
        <v>5.2784444444444443</v>
      </c>
      <c r="P1899" s="8" t="s">
        <v>8793</v>
      </c>
      <c r="Q1899" s="8">
        <f>-(69+39/60+23/3600)</f>
        <v>-69.656388888888898</v>
      </c>
      <c r="R1899" s="8">
        <v>11.9</v>
      </c>
      <c r="S1899" s="8">
        <v>99</v>
      </c>
      <c r="T1899" s="8">
        <v>99</v>
      </c>
      <c r="U1899" s="8">
        <v>99</v>
      </c>
      <c r="Y1899" s="8" t="s">
        <v>1374</v>
      </c>
      <c r="Z1899" s="8" t="s">
        <v>1375</v>
      </c>
    </row>
    <row r="1900" spans="1:26" x14ac:dyDescent="0.2">
      <c r="A1900" s="8">
        <v>1899</v>
      </c>
      <c r="B1900" s="8" t="s">
        <v>8794</v>
      </c>
      <c r="C1900" s="8" t="s">
        <v>8794</v>
      </c>
      <c r="F1900" s="47"/>
      <c r="G1900" s="8">
        <v>16</v>
      </c>
      <c r="H1900" s="8" t="s">
        <v>21</v>
      </c>
      <c r="I1900" s="8" t="s">
        <v>1283</v>
      </c>
      <c r="J1900" s="8" t="s">
        <v>1283</v>
      </c>
      <c r="K1900" s="8" t="s">
        <v>1284</v>
      </c>
      <c r="L1900" s="8" t="s">
        <v>55972</v>
      </c>
      <c r="M1900" s="8" t="s">
        <v>6970</v>
      </c>
      <c r="N1900" s="8" t="s">
        <v>8795</v>
      </c>
      <c r="O1900" s="8">
        <f>5+17/60+46/3600</f>
        <v>5.2961111111111112</v>
      </c>
      <c r="P1900" s="8" t="s">
        <v>8796</v>
      </c>
      <c r="Q1900" s="8">
        <f>-(67+54/60+0/3600)</f>
        <v>-67.900000000000006</v>
      </c>
      <c r="R1900" s="8">
        <v>99</v>
      </c>
      <c r="S1900" s="8">
        <v>99</v>
      </c>
      <c r="T1900" s="8">
        <v>99</v>
      </c>
      <c r="U1900" s="8">
        <v>99</v>
      </c>
      <c r="Y1900" s="8" t="s">
        <v>8797</v>
      </c>
      <c r="Z1900" s="8" t="s">
        <v>8798</v>
      </c>
    </row>
    <row r="1901" spans="1:26" x14ac:dyDescent="0.2">
      <c r="A1901" s="8">
        <v>1900</v>
      </c>
      <c r="B1901" s="8" t="s">
        <v>8799</v>
      </c>
      <c r="C1901" s="8" t="s">
        <v>8799</v>
      </c>
      <c r="F1901" s="47"/>
      <c r="G1901" s="8">
        <v>16</v>
      </c>
      <c r="H1901" s="8" t="s">
        <v>21</v>
      </c>
      <c r="I1901" s="8" t="s">
        <v>557</v>
      </c>
      <c r="J1901" s="8" t="s">
        <v>557</v>
      </c>
      <c r="K1901" s="8" t="s">
        <v>557</v>
      </c>
      <c r="L1901" s="8" t="s">
        <v>55972</v>
      </c>
      <c r="M1901" s="8" t="s">
        <v>6970</v>
      </c>
      <c r="N1901" s="8" t="s">
        <v>8800</v>
      </c>
      <c r="O1901" s="8">
        <f>5+19/60+9.4/3600</f>
        <v>5.3192777777777778</v>
      </c>
      <c r="P1901" s="8" t="s">
        <v>8801</v>
      </c>
      <c r="Q1901" s="8">
        <f>-(63+1/60+25/3600)</f>
        <v>-63.023611111111109</v>
      </c>
      <c r="R1901" s="8">
        <v>13.6</v>
      </c>
      <c r="S1901" s="8">
        <v>14</v>
      </c>
      <c r="T1901" s="8">
        <v>99</v>
      </c>
      <c r="U1901" s="8">
        <v>99</v>
      </c>
      <c r="V1901" s="8">
        <v>1.7</v>
      </c>
      <c r="Y1901" s="8" t="s">
        <v>8802</v>
      </c>
      <c r="Z1901" s="8" t="s">
        <v>8803</v>
      </c>
    </row>
    <row r="1902" spans="1:26" x14ac:dyDescent="0.2">
      <c r="A1902" s="8">
        <v>1901</v>
      </c>
      <c r="B1902" s="8" t="s">
        <v>8804</v>
      </c>
      <c r="C1902" s="8" t="s">
        <v>8804</v>
      </c>
      <c r="F1902" s="47"/>
      <c r="G1902" s="8">
        <v>16</v>
      </c>
      <c r="H1902" s="8" t="s">
        <v>21</v>
      </c>
      <c r="I1902" s="8" t="s">
        <v>557</v>
      </c>
      <c r="J1902" s="8" t="s">
        <v>557</v>
      </c>
      <c r="K1902" s="8" t="s">
        <v>8805</v>
      </c>
      <c r="L1902" s="8" t="s">
        <v>55972</v>
      </c>
      <c r="M1902" s="8" t="s">
        <v>6970</v>
      </c>
      <c r="N1902" s="8" t="s">
        <v>8806</v>
      </c>
      <c r="O1902" s="8">
        <f>5+17/60+48/3600</f>
        <v>5.2966666666666669</v>
      </c>
      <c r="P1902" s="8" t="s">
        <v>8807</v>
      </c>
      <c r="Q1902" s="8">
        <f>-(68+26/60+0/3600)</f>
        <v>-68.433333333333337</v>
      </c>
      <c r="R1902" s="8">
        <v>99</v>
      </c>
      <c r="S1902" s="8">
        <v>99</v>
      </c>
      <c r="T1902" s="8">
        <v>99</v>
      </c>
      <c r="U1902" s="8">
        <v>99</v>
      </c>
      <c r="V1902" s="8">
        <v>40</v>
      </c>
      <c r="Y1902" s="8" t="s">
        <v>8808</v>
      </c>
      <c r="Z1902" s="8" t="s">
        <v>8809</v>
      </c>
    </row>
    <row r="1903" spans="1:26" x14ac:dyDescent="0.2">
      <c r="A1903" s="8">
        <v>1902</v>
      </c>
      <c r="B1903" s="8" t="s">
        <v>8810</v>
      </c>
      <c r="C1903" s="8" t="s">
        <v>8810</v>
      </c>
      <c r="F1903" s="47"/>
      <c r="G1903" s="8">
        <v>16</v>
      </c>
      <c r="H1903" s="8" t="s">
        <v>21</v>
      </c>
      <c r="I1903" s="8" t="s">
        <v>557</v>
      </c>
      <c r="J1903" s="8" t="s">
        <v>557</v>
      </c>
      <c r="K1903" s="8" t="s">
        <v>557</v>
      </c>
      <c r="L1903" s="8" t="s">
        <v>55972</v>
      </c>
      <c r="M1903" s="8" t="s">
        <v>6970</v>
      </c>
      <c r="N1903" s="8" t="s">
        <v>8811</v>
      </c>
      <c r="O1903" s="8">
        <f>5+18/60+19.2/3600</f>
        <v>5.3053333333333335</v>
      </c>
      <c r="P1903" s="8" t="s">
        <v>8812</v>
      </c>
      <c r="Q1903" s="8">
        <f>-(66+37/60+39/3600)</f>
        <v>-66.627499999999998</v>
      </c>
      <c r="R1903" s="8">
        <v>11.8</v>
      </c>
      <c r="S1903" s="8">
        <v>10</v>
      </c>
      <c r="T1903" s="8">
        <v>99</v>
      </c>
      <c r="U1903" s="8">
        <v>99</v>
      </c>
      <c r="V1903" s="8">
        <v>1.6</v>
      </c>
      <c r="Y1903" s="8" t="s">
        <v>8813</v>
      </c>
      <c r="Z1903" s="8" t="s">
        <v>8814</v>
      </c>
    </row>
    <row r="1904" spans="1:26" x14ac:dyDescent="0.2">
      <c r="A1904" s="8">
        <v>1903</v>
      </c>
      <c r="B1904" s="8" t="s">
        <v>8815</v>
      </c>
      <c r="C1904" s="8" t="s">
        <v>8815</v>
      </c>
      <c r="F1904" s="47"/>
      <c r="G1904" s="8">
        <v>16</v>
      </c>
      <c r="H1904" s="8" t="s">
        <v>21</v>
      </c>
      <c r="I1904" s="8" t="s">
        <v>557</v>
      </c>
      <c r="J1904" s="8" t="s">
        <v>557</v>
      </c>
      <c r="K1904" s="8" t="s">
        <v>557</v>
      </c>
      <c r="L1904" s="8" t="s">
        <v>55972</v>
      </c>
      <c r="M1904" s="8" t="s">
        <v>6970</v>
      </c>
      <c r="N1904" s="8" t="s">
        <v>8816</v>
      </c>
      <c r="O1904" s="8">
        <f>5+17/60+22.4/3600</f>
        <v>5.2895555555555553</v>
      </c>
      <c r="P1904" s="8" t="s">
        <v>8817</v>
      </c>
      <c r="Q1904" s="8">
        <f>-(69+20/60+7/3600)</f>
        <v>-69.335277777777776</v>
      </c>
      <c r="R1904" s="8">
        <v>11.9</v>
      </c>
      <c r="S1904" s="8">
        <v>99</v>
      </c>
      <c r="T1904" s="8">
        <v>99</v>
      </c>
      <c r="U1904" s="8">
        <v>99</v>
      </c>
      <c r="V1904" s="8">
        <v>1</v>
      </c>
      <c r="Y1904" s="8" t="s">
        <v>8818</v>
      </c>
      <c r="Z1904" s="8" t="s">
        <v>8819</v>
      </c>
    </row>
    <row r="1905" spans="1:26" x14ac:dyDescent="0.2">
      <c r="A1905" s="8">
        <v>1904</v>
      </c>
      <c r="B1905" s="8" t="s">
        <v>8820</v>
      </c>
      <c r="C1905" s="8" t="s">
        <v>55870</v>
      </c>
      <c r="F1905" s="47"/>
      <c r="G1905" s="8">
        <v>1</v>
      </c>
      <c r="H1905" s="8" t="s">
        <v>21</v>
      </c>
      <c r="I1905" s="8" t="s">
        <v>567</v>
      </c>
      <c r="J1905" s="8" t="s">
        <v>567</v>
      </c>
      <c r="K1905" s="8" t="s">
        <v>8821</v>
      </c>
      <c r="L1905" s="8" t="s">
        <v>7915</v>
      </c>
      <c r="M1905" s="8" t="s">
        <v>7916</v>
      </c>
      <c r="N1905" s="8" t="s">
        <v>8822</v>
      </c>
      <c r="O1905" s="8">
        <f>5+24/60+10.6/3600</f>
        <v>5.4029444444444445</v>
      </c>
      <c r="P1905" s="8" t="s">
        <v>8823</v>
      </c>
      <c r="Q1905" s="8">
        <f>-(24+31/60+25/3600)</f>
        <v>-24.523611111111109</v>
      </c>
      <c r="R1905" s="8">
        <v>7.7</v>
      </c>
      <c r="S1905" s="8">
        <v>99</v>
      </c>
      <c r="T1905" s="8">
        <v>99</v>
      </c>
      <c r="U1905" s="8">
        <v>99</v>
      </c>
      <c r="V1905" s="8">
        <v>9.6</v>
      </c>
      <c r="Y1905" s="8" t="s">
        <v>8824</v>
      </c>
      <c r="Z1905" s="8" t="s">
        <v>8825</v>
      </c>
    </row>
    <row r="1906" spans="1:26" x14ac:dyDescent="0.2">
      <c r="A1906" s="8">
        <v>1905</v>
      </c>
      <c r="B1906" s="8" t="s">
        <v>8826</v>
      </c>
      <c r="C1906" s="8" t="s">
        <v>8826</v>
      </c>
      <c r="F1906" s="47"/>
      <c r="G1906" s="8">
        <v>16</v>
      </c>
      <c r="H1906" s="8" t="s">
        <v>21</v>
      </c>
      <c r="I1906" s="8" t="s">
        <v>557</v>
      </c>
      <c r="J1906" s="8" t="s">
        <v>557</v>
      </c>
      <c r="K1906" s="8" t="s">
        <v>557</v>
      </c>
      <c r="L1906" s="8" t="s">
        <v>55972</v>
      </c>
      <c r="M1906" s="8" t="s">
        <v>6970</v>
      </c>
      <c r="N1906" s="8" t="s">
        <v>8827</v>
      </c>
      <c r="O1906" s="8">
        <f>5+18/60+23.6/3600</f>
        <v>5.3065555555555557</v>
      </c>
      <c r="P1906" s="8" t="s">
        <v>8828</v>
      </c>
      <c r="Q1906" s="8">
        <f>-(67+16/60+41/3600)</f>
        <v>-67.278055555555554</v>
      </c>
      <c r="R1906" s="8">
        <v>13.2</v>
      </c>
      <c r="S1906" s="8">
        <v>13.5</v>
      </c>
      <c r="T1906" s="8">
        <v>99</v>
      </c>
      <c r="U1906" s="8">
        <v>99</v>
      </c>
      <c r="V1906" s="8">
        <v>1</v>
      </c>
      <c r="Y1906" s="8" t="s">
        <v>8829</v>
      </c>
      <c r="Z1906" s="8" t="s">
        <v>8830</v>
      </c>
    </row>
    <row r="1907" spans="1:26" x14ac:dyDescent="0.2">
      <c r="A1907" s="8">
        <v>1906</v>
      </c>
      <c r="B1907" s="8" t="s">
        <v>8831</v>
      </c>
      <c r="C1907" s="8" t="s">
        <v>8831</v>
      </c>
      <c r="F1907" s="47"/>
      <c r="G1907" s="8">
        <v>19</v>
      </c>
      <c r="H1907" s="8" t="s">
        <v>21</v>
      </c>
      <c r="I1907" s="8" t="s">
        <v>22</v>
      </c>
      <c r="J1907" s="8" t="s">
        <v>22</v>
      </c>
      <c r="K1907" s="8" t="s">
        <v>579</v>
      </c>
      <c r="L1907" s="8" t="s">
        <v>7915</v>
      </c>
      <c r="M1907" s="8" t="s">
        <v>7916</v>
      </c>
      <c r="N1907" s="8" t="s">
        <v>8832</v>
      </c>
      <c r="O1907" s="8">
        <f>5+24/60+47.1/3600</f>
        <v>5.4130833333333337</v>
      </c>
      <c r="P1907" s="8" t="s">
        <v>8833</v>
      </c>
      <c r="Q1907" s="8">
        <f>-(15+56/60+34/3600)</f>
        <v>-15.942777777777778</v>
      </c>
      <c r="R1907" s="8">
        <v>13.6</v>
      </c>
      <c r="S1907" s="8">
        <v>14.3</v>
      </c>
      <c r="T1907" s="8">
        <v>0.7</v>
      </c>
      <c r="U1907" s="8">
        <v>12.7</v>
      </c>
      <c r="V1907" s="8">
        <v>0.9</v>
      </c>
      <c r="W1907" s="8">
        <v>0.5</v>
      </c>
      <c r="X1907" s="8">
        <v>145</v>
      </c>
      <c r="Y1907" s="8" t="s">
        <v>8834</v>
      </c>
      <c r="Z1907" s="8" t="s">
        <v>8835</v>
      </c>
    </row>
    <row r="1908" spans="1:26" x14ac:dyDescent="0.2">
      <c r="A1908" s="8">
        <v>1907</v>
      </c>
      <c r="B1908" s="8" t="s">
        <v>8836</v>
      </c>
      <c r="C1908" s="8" t="s">
        <v>8836</v>
      </c>
      <c r="F1908" s="47" t="s">
        <v>56398</v>
      </c>
      <c r="G1908" s="8">
        <v>6</v>
      </c>
      <c r="H1908" s="8" t="s">
        <v>21</v>
      </c>
      <c r="I1908" s="8" t="s">
        <v>557</v>
      </c>
      <c r="J1908" s="8" t="s">
        <v>557</v>
      </c>
      <c r="K1908" s="8" t="s">
        <v>7034</v>
      </c>
      <c r="L1908" s="8" t="s">
        <v>7717</v>
      </c>
      <c r="M1908" s="8" t="s">
        <v>7718</v>
      </c>
      <c r="N1908" s="8" t="s">
        <v>8837</v>
      </c>
      <c r="O1908" s="8">
        <f>5+28/60+4.5/3600</f>
        <v>5.4679166666666665</v>
      </c>
      <c r="P1908" s="8" t="s">
        <v>8838</v>
      </c>
      <c r="Q1908" s="8">
        <f>+(35+19/60+32/3600)</f>
        <v>35.32555555555556</v>
      </c>
      <c r="R1908" s="8">
        <v>8.1999999999999993</v>
      </c>
      <c r="S1908" s="8">
        <v>99</v>
      </c>
      <c r="T1908" s="8">
        <v>99</v>
      </c>
      <c r="U1908" s="8">
        <v>99</v>
      </c>
      <c r="V1908" s="8">
        <v>5</v>
      </c>
      <c r="Y1908" s="8" t="s">
        <v>8839</v>
      </c>
      <c r="Z1908" s="8" t="s">
        <v>8840</v>
      </c>
    </row>
    <row r="1909" spans="1:26" x14ac:dyDescent="0.2">
      <c r="A1909" s="8">
        <v>1908</v>
      </c>
      <c r="B1909" s="8" t="s">
        <v>8841</v>
      </c>
      <c r="C1909" s="8" t="s">
        <v>8841</v>
      </c>
      <c r="F1909" s="47" t="s">
        <v>56399</v>
      </c>
      <c r="G1909" s="8">
        <v>15</v>
      </c>
      <c r="H1909" s="8" t="s">
        <v>21</v>
      </c>
      <c r="I1909" s="8" t="s">
        <v>329</v>
      </c>
      <c r="J1909" s="8" t="s">
        <v>329</v>
      </c>
      <c r="K1909" s="8" t="s">
        <v>329</v>
      </c>
      <c r="L1909" s="8" t="s">
        <v>7698</v>
      </c>
      <c r="M1909" s="8" t="s">
        <v>7699</v>
      </c>
      <c r="N1909" s="8" t="s">
        <v>8842</v>
      </c>
      <c r="O1909" s="8">
        <f>5+25/60+53.7/3600</f>
        <v>5.4315833333333332</v>
      </c>
      <c r="P1909" s="8" t="s">
        <v>8843</v>
      </c>
      <c r="Q1909" s="8">
        <f>-(2+31/60+44/3600)</f>
        <v>-2.528888888888889</v>
      </c>
      <c r="R1909" s="8">
        <v>99</v>
      </c>
      <c r="S1909" s="8">
        <v>99</v>
      </c>
      <c r="T1909" s="8">
        <v>99</v>
      </c>
      <c r="U1909" s="8">
        <v>99</v>
      </c>
      <c r="Y1909" s="8" t="s">
        <v>8844</v>
      </c>
      <c r="Z1909" s="8" t="s">
        <v>8845</v>
      </c>
    </row>
    <row r="1910" spans="1:26" x14ac:dyDescent="0.2">
      <c r="A1910" s="8">
        <v>1909</v>
      </c>
      <c r="B1910" s="8" t="s">
        <v>8846</v>
      </c>
      <c r="C1910" s="8" t="s">
        <v>8846</v>
      </c>
      <c r="F1910" s="47" t="s">
        <v>56400</v>
      </c>
      <c r="G1910" s="8">
        <v>13</v>
      </c>
      <c r="H1910" s="8" t="s">
        <v>21</v>
      </c>
      <c r="I1910" s="8" t="s">
        <v>329</v>
      </c>
      <c r="J1910" s="8" t="s">
        <v>329</v>
      </c>
      <c r="K1910" s="8" t="s">
        <v>329</v>
      </c>
      <c r="L1910" s="8" t="s">
        <v>3328</v>
      </c>
      <c r="M1910" s="8" t="s">
        <v>3329</v>
      </c>
      <c r="N1910" s="8" t="s">
        <v>8847</v>
      </c>
      <c r="O1910" s="8">
        <f>5+25/60+54/3600</f>
        <v>5.4316666666666666</v>
      </c>
      <c r="P1910" s="8" t="s">
        <v>8848</v>
      </c>
      <c r="Q1910" s="8">
        <f>-(8+1/60+0/3600)</f>
        <v>-8.0166666666666675</v>
      </c>
      <c r="R1910" s="8">
        <v>99</v>
      </c>
      <c r="S1910" s="8">
        <v>99</v>
      </c>
      <c r="T1910" s="8">
        <v>99</v>
      </c>
      <c r="U1910" s="8">
        <v>99</v>
      </c>
      <c r="Y1910" s="8" t="s">
        <v>8849</v>
      </c>
      <c r="Z1910" s="8" t="s">
        <v>8850</v>
      </c>
    </row>
    <row r="1911" spans="1:26" x14ac:dyDescent="0.2">
      <c r="A1911" s="8">
        <v>1910</v>
      </c>
      <c r="B1911" s="8" t="s">
        <v>8851</v>
      </c>
      <c r="C1911" s="8" t="s">
        <v>8851</v>
      </c>
      <c r="F1911" s="47"/>
      <c r="G1911" s="8">
        <v>13</v>
      </c>
      <c r="H1911" s="8" t="s">
        <v>8852</v>
      </c>
      <c r="I1911" s="8" t="s">
        <v>557</v>
      </c>
      <c r="J1911" s="8" t="s">
        <v>557</v>
      </c>
      <c r="K1911" s="8" t="s">
        <v>1816</v>
      </c>
      <c r="L1911" s="8" t="s">
        <v>55972</v>
      </c>
      <c r="M1911" s="8" t="s">
        <v>6970</v>
      </c>
      <c r="N1911" s="8" t="s">
        <v>8853</v>
      </c>
      <c r="O1911" s="8">
        <f>5+18/60+33.4/3600</f>
        <v>5.309277777777778</v>
      </c>
      <c r="P1911" s="8" t="s">
        <v>8854</v>
      </c>
      <c r="Q1911" s="8">
        <f>-(69+13/60+49/3600)</f>
        <v>-69.230277777777786</v>
      </c>
      <c r="R1911" s="8">
        <v>11.2</v>
      </c>
      <c r="S1911" s="8">
        <v>99</v>
      </c>
      <c r="T1911" s="8">
        <v>99</v>
      </c>
      <c r="U1911" s="8">
        <v>99</v>
      </c>
      <c r="V1911" s="8">
        <v>8.5</v>
      </c>
      <c r="Y1911" s="8" t="s">
        <v>8855</v>
      </c>
      <c r="Z1911" s="8" t="s">
        <v>8856</v>
      </c>
    </row>
    <row r="1912" spans="1:26" x14ac:dyDescent="0.2">
      <c r="A1912" s="8">
        <v>1911</v>
      </c>
      <c r="B1912" s="8" t="s">
        <v>8857</v>
      </c>
      <c r="C1912" s="8" t="s">
        <v>8857</v>
      </c>
      <c r="F1912" s="47"/>
      <c r="G1912" s="8">
        <v>16</v>
      </c>
      <c r="H1912" s="8" t="s">
        <v>21</v>
      </c>
      <c r="I1912" s="8" t="s">
        <v>1283</v>
      </c>
      <c r="J1912" s="8" t="s">
        <v>57</v>
      </c>
      <c r="K1912" s="8" t="s">
        <v>1751</v>
      </c>
      <c r="L1912" s="8" t="s">
        <v>55972</v>
      </c>
      <c r="M1912" s="8" t="s">
        <v>6970</v>
      </c>
      <c r="N1912" s="8" t="s">
        <v>8858</v>
      </c>
      <c r="O1912" s="8">
        <f>5+20/60+33/3600</f>
        <v>5.3424999999999994</v>
      </c>
      <c r="P1912" s="8" t="s">
        <v>8859</v>
      </c>
      <c r="Q1912" s="8">
        <f>-(66+46/60+43/3600)</f>
        <v>-66.778611111111104</v>
      </c>
      <c r="R1912" s="8">
        <v>99</v>
      </c>
      <c r="S1912" s="8">
        <v>99</v>
      </c>
      <c r="T1912" s="8">
        <v>99</v>
      </c>
      <c r="U1912" s="8">
        <v>99</v>
      </c>
      <c r="Y1912" s="8" t="s">
        <v>8860</v>
      </c>
      <c r="Z1912" s="8" t="s">
        <v>8861</v>
      </c>
    </row>
    <row r="1913" spans="1:26" x14ac:dyDescent="0.2">
      <c r="A1913" s="8">
        <v>1912</v>
      </c>
      <c r="B1913" s="8" t="s">
        <v>8862</v>
      </c>
      <c r="C1913" s="8" t="s">
        <v>55871</v>
      </c>
      <c r="F1913" s="47"/>
      <c r="G1913" s="8">
        <v>1</v>
      </c>
      <c r="H1913" s="8" t="s">
        <v>8863</v>
      </c>
      <c r="I1913" s="8" t="s">
        <v>557</v>
      </c>
      <c r="J1913" s="8" t="s">
        <v>557</v>
      </c>
      <c r="K1913" s="8" t="s">
        <v>981</v>
      </c>
      <c r="L1913" s="8" t="s">
        <v>7717</v>
      </c>
      <c r="M1913" s="8" t="s">
        <v>7718</v>
      </c>
      <c r="N1913" s="8" t="s">
        <v>8864</v>
      </c>
      <c r="O1913" s="8">
        <f>5+28/60+43/3600</f>
        <v>5.4786111111111113</v>
      </c>
      <c r="P1913" s="8" t="s">
        <v>8865</v>
      </c>
      <c r="Q1913" s="8">
        <f>+(35+51/60+18/3600)</f>
        <v>35.855000000000004</v>
      </c>
      <c r="R1913" s="8">
        <v>6.4</v>
      </c>
      <c r="S1913" s="8">
        <v>99</v>
      </c>
      <c r="T1913" s="8">
        <v>99</v>
      </c>
      <c r="U1913" s="8">
        <v>99</v>
      </c>
      <c r="V1913" s="8">
        <v>15</v>
      </c>
      <c r="Y1913" s="8" t="s">
        <v>8866</v>
      </c>
      <c r="Z1913" s="8" t="s">
        <v>8867</v>
      </c>
    </row>
    <row r="1914" spans="1:26" x14ac:dyDescent="0.2">
      <c r="A1914" s="8">
        <v>1913</v>
      </c>
      <c r="B1914" s="8" t="s">
        <v>8868</v>
      </c>
      <c r="C1914" s="8" t="s">
        <v>8868</v>
      </c>
      <c r="F1914" s="49"/>
      <c r="G1914" s="8">
        <v>18</v>
      </c>
      <c r="H1914" s="8" t="s">
        <v>21</v>
      </c>
      <c r="I1914" s="8" t="s">
        <v>557</v>
      </c>
      <c r="J1914" s="8" t="s">
        <v>557</v>
      </c>
      <c r="K1914" s="8" t="s">
        <v>557</v>
      </c>
      <c r="L1914" s="8" t="s">
        <v>55972</v>
      </c>
      <c r="M1914" s="8" t="s">
        <v>6970</v>
      </c>
      <c r="N1914" s="8" t="s">
        <v>8869</v>
      </c>
      <c r="O1914" s="8">
        <f>5+18/60+19.4/3600</f>
        <v>5.3053888888888885</v>
      </c>
      <c r="P1914" s="8" t="s">
        <v>8870</v>
      </c>
      <c r="Q1914" s="8">
        <f>-(69+32/60+12/3600)</f>
        <v>-69.536666666666662</v>
      </c>
      <c r="R1914" s="8">
        <v>11.1</v>
      </c>
      <c r="S1914" s="8">
        <v>99</v>
      </c>
      <c r="T1914" s="8">
        <v>99</v>
      </c>
      <c r="U1914" s="8">
        <v>99</v>
      </c>
      <c r="V1914" s="8">
        <v>0.6</v>
      </c>
      <c r="Y1914" s="8" t="s">
        <v>8871</v>
      </c>
      <c r="Z1914" s="8" t="s">
        <v>8270</v>
      </c>
    </row>
    <row r="1915" spans="1:26" x14ac:dyDescent="0.2">
      <c r="A1915" s="8">
        <v>1914</v>
      </c>
      <c r="B1915" s="8" t="s">
        <v>8872</v>
      </c>
      <c r="C1915" s="8" t="s">
        <v>8872</v>
      </c>
      <c r="F1915" s="47"/>
      <c r="G1915" s="8">
        <v>16</v>
      </c>
      <c r="H1915" s="8" t="s">
        <v>21</v>
      </c>
      <c r="I1915" s="8" t="s">
        <v>557</v>
      </c>
      <c r="J1915" s="8" t="s">
        <v>557</v>
      </c>
      <c r="K1915" s="8" t="s">
        <v>1816</v>
      </c>
      <c r="L1915" s="8" t="s">
        <v>7071</v>
      </c>
      <c r="M1915" s="8" t="s">
        <v>7072</v>
      </c>
      <c r="N1915" s="8" t="s">
        <v>8873</v>
      </c>
      <c r="O1915" s="8">
        <f>5+17/60+39.8/3600</f>
        <v>5.2943888888888884</v>
      </c>
      <c r="P1915" s="8" t="s">
        <v>8874</v>
      </c>
      <c r="Q1915" s="8">
        <f>-(71+15/60+21/3600)</f>
        <v>-71.255833333333328</v>
      </c>
      <c r="R1915" s="8">
        <v>12</v>
      </c>
      <c r="S1915" s="8">
        <v>99</v>
      </c>
      <c r="T1915" s="8">
        <v>99</v>
      </c>
      <c r="U1915" s="8">
        <v>99</v>
      </c>
      <c r="V1915" s="8">
        <v>2.2000000000000002</v>
      </c>
      <c r="Y1915" s="8" t="s">
        <v>8875</v>
      </c>
      <c r="Z1915" s="8" t="s">
        <v>8876</v>
      </c>
    </row>
    <row r="1916" spans="1:26" x14ac:dyDescent="0.2">
      <c r="A1916" s="8">
        <v>1915</v>
      </c>
      <c r="B1916" s="8" t="s">
        <v>8877</v>
      </c>
      <c r="C1916" s="8" t="s">
        <v>8877</v>
      </c>
      <c r="F1916" s="47"/>
      <c r="G1916" s="8">
        <v>16</v>
      </c>
      <c r="H1916" s="8" t="s">
        <v>21</v>
      </c>
      <c r="I1916" s="8" t="s">
        <v>329</v>
      </c>
      <c r="J1916" s="8" t="s">
        <v>329</v>
      </c>
      <c r="K1916" s="8" t="s">
        <v>329</v>
      </c>
      <c r="L1916" s="8" t="s">
        <v>55972</v>
      </c>
      <c r="M1916" s="8" t="s">
        <v>6970</v>
      </c>
      <c r="N1916" s="8" t="s">
        <v>8878</v>
      </c>
      <c r="O1916" s="8">
        <f>5+19/60+42.3/3600</f>
        <v>5.3284166666666666</v>
      </c>
      <c r="P1916" s="8" t="s">
        <v>8879</v>
      </c>
      <c r="Q1916" s="8">
        <f>-(66+49/60+17/3600)</f>
        <v>-66.82138888888889</v>
      </c>
      <c r="R1916" s="8">
        <v>99</v>
      </c>
      <c r="S1916" s="8">
        <v>99</v>
      </c>
      <c r="T1916" s="8">
        <v>99</v>
      </c>
      <c r="U1916" s="8">
        <v>99</v>
      </c>
      <c r="Y1916" s="8" t="s">
        <v>3505</v>
      </c>
      <c r="Z1916" s="8" t="s">
        <v>3506</v>
      </c>
    </row>
    <row r="1917" spans="1:26" x14ac:dyDescent="0.2">
      <c r="A1917" s="8">
        <v>1916</v>
      </c>
      <c r="B1917" s="8" t="s">
        <v>8880</v>
      </c>
      <c r="C1917" s="8" t="s">
        <v>8880</v>
      </c>
      <c r="F1917" s="47"/>
      <c r="G1917" s="8">
        <v>16</v>
      </c>
      <c r="H1917" s="8" t="s">
        <v>21</v>
      </c>
      <c r="I1917" s="8" t="s">
        <v>557</v>
      </c>
      <c r="J1917" s="8" t="s">
        <v>557</v>
      </c>
      <c r="K1917" s="8" t="s">
        <v>557</v>
      </c>
      <c r="L1917" s="8" t="s">
        <v>55972</v>
      </c>
      <c r="M1917" s="8" t="s">
        <v>6970</v>
      </c>
      <c r="N1917" s="8" t="s">
        <v>8881</v>
      </c>
      <c r="O1917" s="8">
        <f>5+18/60+36.5/3600</f>
        <v>5.310138888888889</v>
      </c>
      <c r="P1917" s="8" t="s">
        <v>8882</v>
      </c>
      <c r="Q1917" s="8">
        <f>-(69+24/60+25/3600)</f>
        <v>-69.406944444444449</v>
      </c>
      <c r="R1917" s="8">
        <v>10.4</v>
      </c>
      <c r="S1917" s="8">
        <v>11.2</v>
      </c>
      <c r="T1917" s="8">
        <v>99</v>
      </c>
      <c r="U1917" s="8">
        <v>99</v>
      </c>
      <c r="Y1917" s="8" t="s">
        <v>8883</v>
      </c>
      <c r="Z1917" s="8" t="s">
        <v>8884</v>
      </c>
    </row>
    <row r="1918" spans="1:26" x14ac:dyDescent="0.2">
      <c r="A1918" s="8">
        <v>1917</v>
      </c>
      <c r="B1918" s="8" t="s">
        <v>8885</v>
      </c>
      <c r="C1918" s="8" t="s">
        <v>8885</v>
      </c>
      <c r="F1918" s="47"/>
      <c r="G1918" s="8">
        <v>16</v>
      </c>
      <c r="H1918" s="8" t="s">
        <v>21</v>
      </c>
      <c r="I1918" s="8" t="s">
        <v>567</v>
      </c>
      <c r="J1918" s="8" t="s">
        <v>567</v>
      </c>
      <c r="K1918" s="8" t="s">
        <v>567</v>
      </c>
      <c r="L1918" s="8" t="s">
        <v>55972</v>
      </c>
      <c r="M1918" s="8" t="s">
        <v>6970</v>
      </c>
      <c r="N1918" s="8" t="s">
        <v>8886</v>
      </c>
      <c r="O1918" s="8">
        <f>5+19/60+1.2/3600</f>
        <v>5.3170000000000002</v>
      </c>
      <c r="P1918" s="8" t="s">
        <v>8887</v>
      </c>
      <c r="Q1918" s="8">
        <f>-(68+59/60+54/3600)</f>
        <v>-68.998333333333335</v>
      </c>
      <c r="R1918" s="8">
        <v>12.3</v>
      </c>
      <c r="S1918" s="8">
        <v>12.9</v>
      </c>
      <c r="T1918" s="8">
        <v>99</v>
      </c>
      <c r="U1918" s="8">
        <v>99</v>
      </c>
      <c r="Y1918" s="8" t="s">
        <v>813</v>
      </c>
      <c r="Z1918" s="8" t="s">
        <v>814</v>
      </c>
    </row>
    <row r="1919" spans="1:26" x14ac:dyDescent="0.2">
      <c r="A1919" s="8">
        <v>1918</v>
      </c>
      <c r="B1919" s="8" t="s">
        <v>8888</v>
      </c>
      <c r="C1919" s="8" t="s">
        <v>8888</v>
      </c>
      <c r="F1919" s="49"/>
      <c r="G1919" s="8">
        <v>18</v>
      </c>
      <c r="H1919" s="8" t="s">
        <v>21</v>
      </c>
      <c r="I1919" s="8" t="s">
        <v>1283</v>
      </c>
      <c r="J1919" s="8" t="s">
        <v>1283</v>
      </c>
      <c r="K1919" s="8" t="s">
        <v>8889</v>
      </c>
      <c r="L1919" s="8" t="s">
        <v>55972</v>
      </c>
      <c r="M1919" s="8" t="s">
        <v>6970</v>
      </c>
      <c r="N1919" s="8" t="s">
        <v>8890</v>
      </c>
      <c r="O1919" s="8">
        <f>5+19/60+7.1/3600</f>
        <v>5.3186388888888887</v>
      </c>
      <c r="P1919" s="8" t="s">
        <v>8891</v>
      </c>
      <c r="Q1919" s="8">
        <f>-(69+39/60+45/3600)</f>
        <v>-69.662500000000009</v>
      </c>
      <c r="R1919" s="8">
        <v>99</v>
      </c>
      <c r="S1919" s="8">
        <v>99</v>
      </c>
      <c r="T1919" s="8">
        <v>99</v>
      </c>
      <c r="U1919" s="8">
        <v>99</v>
      </c>
      <c r="Y1919" s="8" t="s">
        <v>8871</v>
      </c>
      <c r="Z1919" s="8" t="s">
        <v>8270</v>
      </c>
    </row>
    <row r="1920" spans="1:26" x14ac:dyDescent="0.2">
      <c r="A1920" s="8">
        <v>1919</v>
      </c>
      <c r="B1920" s="8" t="s">
        <v>8892</v>
      </c>
      <c r="C1920" s="8" t="s">
        <v>8892</v>
      </c>
      <c r="F1920" s="47"/>
      <c r="G1920" s="8">
        <v>16</v>
      </c>
      <c r="H1920" s="8" t="s">
        <v>21</v>
      </c>
      <c r="I1920" s="8" t="s">
        <v>557</v>
      </c>
      <c r="J1920" s="8" t="s">
        <v>557</v>
      </c>
      <c r="K1920" s="8" t="s">
        <v>1816</v>
      </c>
      <c r="L1920" s="8" t="s">
        <v>55972</v>
      </c>
      <c r="M1920" s="8" t="s">
        <v>6970</v>
      </c>
      <c r="N1920" s="8" t="s">
        <v>8893</v>
      </c>
      <c r="O1920" s="8">
        <f>5+20/60+18/3600</f>
        <v>5.3383333333333329</v>
      </c>
      <c r="P1920" s="8" t="s">
        <v>8894</v>
      </c>
      <c r="Q1920" s="8">
        <f>-(66+53/60+20/3600)</f>
        <v>-66.8888888888889</v>
      </c>
      <c r="R1920" s="8">
        <v>99</v>
      </c>
      <c r="S1920" s="8">
        <v>99</v>
      </c>
      <c r="T1920" s="8">
        <v>99</v>
      </c>
      <c r="U1920" s="8">
        <v>99</v>
      </c>
      <c r="V1920" s="8">
        <v>1.7</v>
      </c>
      <c r="Y1920" s="8" t="s">
        <v>8895</v>
      </c>
      <c r="Z1920" s="8" t="s">
        <v>8896</v>
      </c>
    </row>
    <row r="1921" spans="1:26" x14ac:dyDescent="0.2">
      <c r="A1921" s="8">
        <v>1920</v>
      </c>
      <c r="B1921" s="8" t="s">
        <v>8897</v>
      </c>
      <c r="C1921" s="8" t="s">
        <v>8897</v>
      </c>
      <c r="F1921" s="47"/>
      <c r="G1921" s="8">
        <v>16</v>
      </c>
      <c r="H1921" s="8" t="s">
        <v>21</v>
      </c>
      <c r="I1921" s="8" t="s">
        <v>1283</v>
      </c>
      <c r="J1921" s="8" t="s">
        <v>1283</v>
      </c>
      <c r="K1921" s="8" t="s">
        <v>1751</v>
      </c>
      <c r="L1921" s="8" t="s">
        <v>55972</v>
      </c>
      <c r="M1921" s="8" t="s">
        <v>6970</v>
      </c>
      <c r="N1921" s="8" t="s">
        <v>8858</v>
      </c>
      <c r="O1921" s="8">
        <f>5+20/60+33/3600</f>
        <v>5.3424999999999994</v>
      </c>
      <c r="P1921" s="8" t="s">
        <v>8859</v>
      </c>
      <c r="Q1921" s="8">
        <f>-(66+46/60+43/3600)</f>
        <v>-66.778611111111104</v>
      </c>
      <c r="R1921" s="8">
        <v>99</v>
      </c>
      <c r="S1921" s="8">
        <v>99</v>
      </c>
      <c r="T1921" s="8">
        <v>99</v>
      </c>
      <c r="U1921" s="8">
        <v>99</v>
      </c>
      <c r="Y1921" s="8" t="s">
        <v>8860</v>
      </c>
      <c r="Z1921" s="8" t="s">
        <v>8898</v>
      </c>
    </row>
    <row r="1922" spans="1:26" x14ac:dyDescent="0.2">
      <c r="A1922" s="8">
        <v>1921</v>
      </c>
      <c r="B1922" s="8" t="s">
        <v>8899</v>
      </c>
      <c r="C1922" s="8" t="s">
        <v>8899</v>
      </c>
      <c r="F1922" s="47"/>
      <c r="G1922" s="8">
        <v>16</v>
      </c>
      <c r="H1922" s="8" t="s">
        <v>21</v>
      </c>
      <c r="I1922" s="8" t="s">
        <v>1283</v>
      </c>
      <c r="J1922" s="8" t="s">
        <v>1283</v>
      </c>
      <c r="K1922" s="8" t="s">
        <v>1284</v>
      </c>
      <c r="L1922" s="8" t="s">
        <v>55972</v>
      </c>
      <c r="M1922" s="8" t="s">
        <v>6970</v>
      </c>
      <c r="N1922" s="8" t="s">
        <v>8900</v>
      </c>
      <c r="O1922" s="8">
        <f>5+19/60+22.8/3600</f>
        <v>5.3229999999999995</v>
      </c>
      <c r="P1922" s="8" t="s">
        <v>8901</v>
      </c>
      <c r="Q1922" s="8">
        <f>-(69+47/60+16/3600)</f>
        <v>-69.787777777777777</v>
      </c>
      <c r="R1922" s="8">
        <v>99</v>
      </c>
      <c r="S1922" s="8">
        <v>99</v>
      </c>
      <c r="T1922" s="8">
        <v>99</v>
      </c>
      <c r="U1922" s="8">
        <v>99</v>
      </c>
      <c r="Y1922" s="8" t="s">
        <v>8902</v>
      </c>
      <c r="Z1922" s="8" t="s">
        <v>8903</v>
      </c>
    </row>
    <row r="1923" spans="1:26" x14ac:dyDescent="0.2">
      <c r="A1923" s="8">
        <v>1922</v>
      </c>
      <c r="B1923" s="8" t="s">
        <v>8904</v>
      </c>
      <c r="C1923" s="8" t="s">
        <v>8904</v>
      </c>
      <c r="F1923" s="49"/>
      <c r="G1923" s="8">
        <v>14</v>
      </c>
      <c r="H1923" s="8" t="s">
        <v>8863</v>
      </c>
      <c r="I1923" s="8" t="s">
        <v>557</v>
      </c>
      <c r="J1923" s="8" t="s">
        <v>557</v>
      </c>
      <c r="K1923" s="8" t="s">
        <v>557</v>
      </c>
      <c r="L1923" s="8" t="s">
        <v>55972</v>
      </c>
      <c r="M1923" s="8" t="s">
        <v>6970</v>
      </c>
      <c r="N1923" s="8" t="s">
        <v>8905</v>
      </c>
      <c r="O1923" s="8">
        <f>5+19/60+50/3600</f>
        <v>5.3305555555555557</v>
      </c>
      <c r="P1923" s="8" t="s">
        <v>8906</v>
      </c>
      <c r="Q1923" s="8">
        <f>-(69+30/60+6/3600)</f>
        <v>-69.501666666666665</v>
      </c>
      <c r="R1923" s="8">
        <v>11.5</v>
      </c>
      <c r="S1923" s="8">
        <v>99</v>
      </c>
      <c r="T1923" s="8">
        <v>99</v>
      </c>
      <c r="U1923" s="8">
        <v>99</v>
      </c>
      <c r="V1923" s="8">
        <v>0.5</v>
      </c>
      <c r="Y1923" s="8" t="s">
        <v>8871</v>
      </c>
      <c r="Z1923" s="8" t="s">
        <v>8270</v>
      </c>
    </row>
    <row r="1924" spans="1:26" x14ac:dyDescent="0.2">
      <c r="A1924" s="8">
        <v>1923</v>
      </c>
      <c r="B1924" s="8" t="s">
        <v>8907</v>
      </c>
      <c r="C1924" s="8" t="s">
        <v>8907</v>
      </c>
      <c r="F1924" s="47"/>
      <c r="G1924" s="8">
        <v>16</v>
      </c>
      <c r="H1924" s="8" t="s">
        <v>21</v>
      </c>
      <c r="I1924" s="8" t="s">
        <v>557</v>
      </c>
      <c r="J1924" s="8" t="s">
        <v>557</v>
      </c>
      <c r="K1924" s="8" t="s">
        <v>1816</v>
      </c>
      <c r="L1924" s="8" t="s">
        <v>55972</v>
      </c>
      <c r="M1924" s="8" t="s">
        <v>6970</v>
      </c>
      <c r="N1924" s="8" t="s">
        <v>8908</v>
      </c>
      <c r="O1924" s="8">
        <f>5+21/60+34.1/3600</f>
        <v>5.3594722222222222</v>
      </c>
      <c r="P1924" s="8" t="s">
        <v>8909</v>
      </c>
      <c r="Q1924" s="8">
        <f>-(65+29/60+12/3600)</f>
        <v>-65.486666666666665</v>
      </c>
      <c r="R1924" s="8">
        <v>11.2</v>
      </c>
      <c r="S1924" s="8">
        <v>11.5</v>
      </c>
      <c r="T1924" s="8">
        <v>99</v>
      </c>
      <c r="U1924" s="8">
        <v>99</v>
      </c>
      <c r="V1924" s="8">
        <v>0.9</v>
      </c>
      <c r="Y1924" s="8" t="s">
        <v>237</v>
      </c>
      <c r="Z1924" s="8" t="s">
        <v>238</v>
      </c>
    </row>
    <row r="1925" spans="1:26" x14ac:dyDescent="0.2">
      <c r="A1925" s="8">
        <v>1924</v>
      </c>
      <c r="B1925" s="8" t="s">
        <v>8910</v>
      </c>
      <c r="C1925" s="8" t="s">
        <v>8910</v>
      </c>
      <c r="F1925" s="47" t="s">
        <v>56401</v>
      </c>
      <c r="G1925" s="8">
        <v>12</v>
      </c>
      <c r="H1925" s="8" t="s">
        <v>21</v>
      </c>
      <c r="I1925" s="8" t="s">
        <v>22</v>
      </c>
      <c r="J1925" s="8" t="s">
        <v>22</v>
      </c>
      <c r="K1925" s="8" t="s">
        <v>85</v>
      </c>
      <c r="L1925" s="8" t="s">
        <v>7698</v>
      </c>
      <c r="M1925" s="8" t="s">
        <v>7699</v>
      </c>
      <c r="N1925" s="8" t="s">
        <v>8911</v>
      </c>
      <c r="O1925" s="8">
        <f>5+28/60+1.9/3600</f>
        <v>5.4671944444444449</v>
      </c>
      <c r="P1925" s="8" t="s">
        <v>8912</v>
      </c>
      <c r="Q1925" s="8">
        <f>-(5+18/60+37/3600)</f>
        <v>-5.3102777777777774</v>
      </c>
      <c r="R1925" s="8">
        <v>12.5</v>
      </c>
      <c r="S1925" s="8">
        <v>13.3</v>
      </c>
      <c r="T1925" s="8">
        <v>0.8</v>
      </c>
      <c r="U1925" s="8">
        <v>13.1</v>
      </c>
      <c r="V1925" s="8">
        <v>1.6</v>
      </c>
      <c r="W1925" s="8">
        <v>1.2</v>
      </c>
      <c r="X1925" s="8">
        <v>140</v>
      </c>
      <c r="Y1925" s="8" t="s">
        <v>8913</v>
      </c>
      <c r="Z1925" s="8" t="s">
        <v>8914</v>
      </c>
    </row>
    <row r="1926" spans="1:26" x14ac:dyDescent="0.2">
      <c r="A1926" s="8">
        <v>1925</v>
      </c>
      <c r="B1926" s="8" t="s">
        <v>8915</v>
      </c>
      <c r="C1926" s="8" t="s">
        <v>8915</v>
      </c>
      <c r="F1926" s="47"/>
      <c r="G1926" s="8">
        <v>16</v>
      </c>
      <c r="H1926" s="8" t="s">
        <v>21</v>
      </c>
      <c r="I1926" s="8" t="s">
        <v>557</v>
      </c>
      <c r="J1926" s="8" t="s">
        <v>557</v>
      </c>
      <c r="K1926" s="8" t="s">
        <v>557</v>
      </c>
      <c r="L1926" s="8" t="s">
        <v>55972</v>
      </c>
      <c r="M1926" s="8" t="s">
        <v>6970</v>
      </c>
      <c r="N1926" s="8" t="s">
        <v>8916</v>
      </c>
      <c r="O1926" s="8">
        <f>5+21/60+30/3600</f>
        <v>5.3583333333333334</v>
      </c>
      <c r="P1926" s="8" t="s">
        <v>8917</v>
      </c>
      <c r="Q1926" s="8">
        <f>-(65+48/60+48/3600)</f>
        <v>-65.813333333333333</v>
      </c>
      <c r="R1926" s="8">
        <v>99</v>
      </c>
      <c r="S1926" s="8">
        <v>99</v>
      </c>
      <c r="T1926" s="8">
        <v>99</v>
      </c>
      <c r="U1926" s="8">
        <v>99</v>
      </c>
      <c r="V1926" s="8">
        <v>11</v>
      </c>
      <c r="Y1926" s="8" t="s">
        <v>8918</v>
      </c>
      <c r="Z1926" s="8" t="s">
        <v>8919</v>
      </c>
    </row>
    <row r="1927" spans="1:26" x14ac:dyDescent="0.2">
      <c r="A1927" s="8">
        <v>1926</v>
      </c>
      <c r="B1927" s="8" t="s">
        <v>8920</v>
      </c>
      <c r="C1927" s="8" t="s">
        <v>8920</v>
      </c>
      <c r="F1927" s="47"/>
      <c r="G1927" s="8">
        <v>16</v>
      </c>
      <c r="H1927" s="8" t="s">
        <v>21</v>
      </c>
      <c r="I1927" s="8" t="s">
        <v>557</v>
      </c>
      <c r="J1927" s="8" t="s">
        <v>557</v>
      </c>
      <c r="K1927" s="8" t="s">
        <v>557</v>
      </c>
      <c r="L1927" s="8" t="s">
        <v>55972</v>
      </c>
      <c r="M1927" s="8" t="s">
        <v>6970</v>
      </c>
      <c r="N1927" s="8" t="s">
        <v>8921</v>
      </c>
      <c r="O1927" s="8">
        <f>5+20/60+34.2/3600</f>
        <v>5.3428333333333331</v>
      </c>
      <c r="P1927" s="8" t="s">
        <v>8922</v>
      </c>
      <c r="Q1927" s="8">
        <f>-(69+31/60+27/3600)</f>
        <v>-69.524166666666659</v>
      </c>
      <c r="R1927" s="8">
        <v>11.8</v>
      </c>
      <c r="S1927" s="8">
        <v>99</v>
      </c>
      <c r="T1927" s="8">
        <v>99</v>
      </c>
      <c r="U1927" s="8">
        <v>99</v>
      </c>
      <c r="V1927" s="8">
        <v>0.7</v>
      </c>
      <c r="Y1927" s="8" t="s">
        <v>8923</v>
      </c>
      <c r="Z1927" s="8" t="s">
        <v>8924</v>
      </c>
    </row>
    <row r="1928" spans="1:26" x14ac:dyDescent="0.2">
      <c r="A1928" s="8">
        <v>1927</v>
      </c>
      <c r="B1928" s="8" t="s">
        <v>8925</v>
      </c>
      <c r="C1928" s="8" t="s">
        <v>8925</v>
      </c>
      <c r="F1928" s="47"/>
      <c r="G1928" s="8">
        <v>16</v>
      </c>
      <c r="H1928" s="8" t="s">
        <v>21</v>
      </c>
      <c r="I1928" s="8" t="s">
        <v>329</v>
      </c>
      <c r="J1928" s="8" t="s">
        <v>329</v>
      </c>
      <c r="K1928" s="8" t="s">
        <v>329</v>
      </c>
      <c r="L1928" s="8" t="s">
        <v>7698</v>
      </c>
      <c r="M1928" s="8" t="s">
        <v>7699</v>
      </c>
      <c r="N1928" s="8" t="s">
        <v>8926</v>
      </c>
      <c r="O1928" s="8">
        <f>5+28/60+42.9/3600</f>
        <v>5.4785833333333338</v>
      </c>
      <c r="P1928" s="8" t="s">
        <v>8927</v>
      </c>
      <c r="Q1928" s="8">
        <f>-(8+22/60+38/3600)</f>
        <v>-8.3772222222222226</v>
      </c>
      <c r="R1928" s="8">
        <v>99</v>
      </c>
      <c r="S1928" s="8">
        <v>99</v>
      </c>
      <c r="T1928" s="8">
        <v>99</v>
      </c>
      <c r="U1928" s="8">
        <v>99</v>
      </c>
      <c r="Y1928" s="8" t="s">
        <v>8928</v>
      </c>
      <c r="Z1928" s="8" t="s">
        <v>8929</v>
      </c>
    </row>
    <row r="1929" spans="1:26" x14ac:dyDescent="0.2">
      <c r="A1929" s="8">
        <v>1928</v>
      </c>
      <c r="B1929" s="8" t="s">
        <v>8930</v>
      </c>
      <c r="C1929" s="8" t="s">
        <v>8930</v>
      </c>
      <c r="F1929" s="47"/>
      <c r="G1929" s="8">
        <v>16</v>
      </c>
      <c r="H1929" s="8" t="s">
        <v>21</v>
      </c>
      <c r="I1929" s="8" t="s">
        <v>557</v>
      </c>
      <c r="J1929" s="8" t="s">
        <v>557</v>
      </c>
      <c r="K1929" s="8" t="s">
        <v>557</v>
      </c>
      <c r="L1929" s="8" t="s">
        <v>55972</v>
      </c>
      <c r="M1929" s="8" t="s">
        <v>6970</v>
      </c>
      <c r="N1929" s="8" t="s">
        <v>8931</v>
      </c>
      <c r="O1929" s="8">
        <f>5+20/60+56.6/3600</f>
        <v>5.3490555555555552</v>
      </c>
      <c r="P1929" s="8" t="s">
        <v>8932</v>
      </c>
      <c r="Q1929" s="8">
        <f>-(69+28/60+41/3600)</f>
        <v>-69.478055555555557</v>
      </c>
      <c r="R1929" s="8">
        <v>11.9</v>
      </c>
      <c r="S1929" s="8">
        <v>99</v>
      </c>
      <c r="T1929" s="8">
        <v>99</v>
      </c>
      <c r="U1929" s="8">
        <v>99</v>
      </c>
      <c r="V1929" s="8">
        <v>0.5</v>
      </c>
      <c r="Y1929" s="8" t="s">
        <v>8933</v>
      </c>
      <c r="Z1929" s="8" t="s">
        <v>8934</v>
      </c>
    </row>
    <row r="1930" spans="1:26" x14ac:dyDescent="0.2">
      <c r="A1930" s="8">
        <v>1929</v>
      </c>
      <c r="B1930" s="8" t="s">
        <v>8935</v>
      </c>
      <c r="C1930" s="8" t="s">
        <v>8935</v>
      </c>
      <c r="F1930" s="47"/>
      <c r="G1930" s="8">
        <v>16</v>
      </c>
      <c r="H1930" s="8" t="s">
        <v>21</v>
      </c>
      <c r="I1930" s="8" t="s">
        <v>1283</v>
      </c>
      <c r="J1930" s="8" t="s">
        <v>1283</v>
      </c>
      <c r="K1930" s="8" t="s">
        <v>1284</v>
      </c>
      <c r="L1930" s="8" t="s">
        <v>55972</v>
      </c>
      <c r="M1930" s="8" t="s">
        <v>6970</v>
      </c>
      <c r="N1930" s="8" t="s">
        <v>8936</v>
      </c>
      <c r="O1930" s="8">
        <f>5+21/60+37/3600</f>
        <v>5.3602777777777773</v>
      </c>
      <c r="P1930" s="8" t="s">
        <v>8937</v>
      </c>
      <c r="Q1930" s="8">
        <f>-(67+54/60+48/3600)</f>
        <v>-67.913333333333341</v>
      </c>
      <c r="R1930" s="8">
        <v>99</v>
      </c>
      <c r="S1930" s="8">
        <v>99</v>
      </c>
      <c r="T1930" s="8">
        <v>99</v>
      </c>
      <c r="U1930" s="8">
        <v>99</v>
      </c>
      <c r="Y1930" s="8" t="s">
        <v>8938</v>
      </c>
      <c r="Z1930" s="8" t="s">
        <v>8939</v>
      </c>
    </row>
    <row r="1931" spans="1:26" x14ac:dyDescent="0.2">
      <c r="A1931" s="8">
        <v>1930</v>
      </c>
      <c r="B1931" s="8" t="s">
        <v>8940</v>
      </c>
      <c r="C1931" s="8" t="s">
        <v>8940</v>
      </c>
      <c r="F1931" s="47"/>
      <c r="G1931" s="8">
        <v>16</v>
      </c>
      <c r="H1931" s="8" t="s">
        <v>21</v>
      </c>
      <c r="I1931" s="8" t="s">
        <v>22</v>
      </c>
      <c r="J1931" s="8" t="s">
        <v>22</v>
      </c>
      <c r="K1931" s="8" t="s">
        <v>224</v>
      </c>
      <c r="L1931" s="8" t="s">
        <v>7782</v>
      </c>
      <c r="M1931" s="8" t="s">
        <v>7783</v>
      </c>
      <c r="N1931" s="8" t="s">
        <v>8941</v>
      </c>
      <c r="O1931" s="8">
        <f>5+25/60+56.6/3600</f>
        <v>5.4323888888888892</v>
      </c>
      <c r="P1931" s="8" t="s">
        <v>8942</v>
      </c>
      <c r="Q1931" s="8">
        <f>-(46+43/60+42/3600)</f>
        <v>-46.728333333333332</v>
      </c>
      <c r="R1931" s="8">
        <v>12.4</v>
      </c>
      <c r="S1931" s="8">
        <v>13.4</v>
      </c>
      <c r="T1931" s="8">
        <v>1</v>
      </c>
      <c r="U1931" s="8">
        <v>13.2</v>
      </c>
      <c r="V1931" s="8">
        <v>1.9</v>
      </c>
      <c r="W1931" s="8">
        <v>1.2</v>
      </c>
      <c r="X1931" s="8">
        <v>32</v>
      </c>
      <c r="Y1931" s="8" t="s">
        <v>8943</v>
      </c>
      <c r="Z1931" s="8" t="s">
        <v>8944</v>
      </c>
    </row>
    <row r="1932" spans="1:26" x14ac:dyDescent="0.2">
      <c r="A1932" s="8">
        <v>1931</v>
      </c>
      <c r="B1932" s="8" t="s">
        <v>8945</v>
      </c>
      <c r="C1932" s="8" t="s">
        <v>8945</v>
      </c>
      <c r="F1932" s="47" t="s">
        <v>56402</v>
      </c>
      <c r="G1932" s="8">
        <v>6</v>
      </c>
      <c r="H1932" s="8" t="s">
        <v>8946</v>
      </c>
      <c r="I1932" s="8" t="s">
        <v>1283</v>
      </c>
      <c r="J1932" s="8" t="s">
        <v>1283</v>
      </c>
      <c r="K1932" s="8" t="s">
        <v>1751</v>
      </c>
      <c r="L1932" s="8" t="s">
        <v>7717</v>
      </c>
      <c r="M1932" s="8" t="s">
        <v>7718</v>
      </c>
      <c r="N1932" s="8" t="s">
        <v>8947</v>
      </c>
      <c r="O1932" s="8">
        <f>5+31/60+25.7/3600</f>
        <v>5.5238055555555556</v>
      </c>
      <c r="P1932" s="8" t="s">
        <v>8948</v>
      </c>
      <c r="Q1932" s="8">
        <f>+(34+14/60+42/3600)</f>
        <v>34.244999999999997</v>
      </c>
      <c r="R1932" s="8">
        <v>99</v>
      </c>
      <c r="S1932" s="8">
        <v>99</v>
      </c>
      <c r="T1932" s="8">
        <v>99</v>
      </c>
      <c r="U1932" s="8">
        <v>99</v>
      </c>
      <c r="Y1932" s="8" t="s">
        <v>8949</v>
      </c>
      <c r="Z1932" s="8" t="s">
        <v>8950</v>
      </c>
    </row>
    <row r="1933" spans="1:26" x14ac:dyDescent="0.2">
      <c r="A1933" s="8">
        <v>1932</v>
      </c>
      <c r="B1933" s="8" t="s">
        <v>8951</v>
      </c>
      <c r="C1933" s="8" t="s">
        <v>8951</v>
      </c>
      <c r="F1933" s="47"/>
      <c r="G1933" s="8">
        <v>16</v>
      </c>
      <c r="H1933" s="8" t="s">
        <v>21</v>
      </c>
      <c r="I1933" s="8" t="s">
        <v>72</v>
      </c>
      <c r="J1933" s="8" t="s">
        <v>72</v>
      </c>
      <c r="K1933" s="8" t="s">
        <v>20</v>
      </c>
      <c r="L1933" s="8" t="s">
        <v>55972</v>
      </c>
      <c r="M1933" s="8" t="s">
        <v>6970</v>
      </c>
      <c r="N1933" s="8" t="s">
        <v>8952</v>
      </c>
      <c r="O1933" s="8">
        <f>5+22/60+17.3/3600</f>
        <v>5.3714722222222218</v>
      </c>
      <c r="P1933" s="8" t="s">
        <v>8953</v>
      </c>
      <c r="Q1933" s="8">
        <f>-(66+9/60+14/3600)</f>
        <v>-66.153888888888901</v>
      </c>
      <c r="R1933" s="8">
        <v>99</v>
      </c>
      <c r="S1933" s="8">
        <v>13.8</v>
      </c>
      <c r="T1933" s="8">
        <v>99</v>
      </c>
      <c r="U1933" s="8">
        <v>99</v>
      </c>
      <c r="Y1933" s="8" t="s">
        <v>8954</v>
      </c>
      <c r="Z1933" s="8" t="s">
        <v>8955</v>
      </c>
    </row>
    <row r="1934" spans="1:26" x14ac:dyDescent="0.2">
      <c r="A1934" s="8">
        <v>1933</v>
      </c>
      <c r="B1934" s="8" t="s">
        <v>8956</v>
      </c>
      <c r="C1934" s="8" t="s">
        <v>8956</v>
      </c>
      <c r="F1934" s="47"/>
      <c r="G1934" s="8">
        <v>18</v>
      </c>
      <c r="H1934" s="8" t="s">
        <v>21</v>
      </c>
      <c r="I1934" s="8" t="s">
        <v>557</v>
      </c>
      <c r="J1934" s="8" t="s">
        <v>557</v>
      </c>
      <c r="K1934" s="8" t="s">
        <v>557</v>
      </c>
      <c r="L1934" s="8" t="s">
        <v>55972</v>
      </c>
      <c r="M1934" s="8" t="s">
        <v>6970</v>
      </c>
      <c r="N1934" s="8" t="s">
        <v>8957</v>
      </c>
      <c r="O1934" s="8">
        <f>5+22/60+27.3/3600</f>
        <v>5.37425</v>
      </c>
      <c r="P1934" s="8" t="s">
        <v>8958</v>
      </c>
      <c r="Q1934" s="8">
        <f>-(66+9/60+8/3600)</f>
        <v>-66.152222222222221</v>
      </c>
      <c r="R1934" s="8">
        <v>99</v>
      </c>
      <c r="S1934" s="8">
        <v>99</v>
      </c>
      <c r="T1934" s="8">
        <v>99</v>
      </c>
      <c r="U1934" s="8">
        <v>99</v>
      </c>
      <c r="Y1934" s="8" t="s">
        <v>8959</v>
      </c>
      <c r="Z1934" s="8" t="s">
        <v>8960</v>
      </c>
    </row>
    <row r="1935" spans="1:26" x14ac:dyDescent="0.2">
      <c r="A1935" s="8">
        <v>1934</v>
      </c>
      <c r="B1935" s="8" t="s">
        <v>8961</v>
      </c>
      <c r="C1935" s="8" t="s">
        <v>8961</v>
      </c>
      <c r="F1935" s="47"/>
      <c r="G1935" s="8">
        <v>16</v>
      </c>
      <c r="H1935" s="8" t="s">
        <v>21</v>
      </c>
      <c r="I1935" s="8" t="s">
        <v>1283</v>
      </c>
      <c r="J1935" s="8" t="s">
        <v>1283</v>
      </c>
      <c r="K1935" s="8" t="s">
        <v>1284</v>
      </c>
      <c r="L1935" s="8" t="s">
        <v>55972</v>
      </c>
      <c r="M1935" s="8" t="s">
        <v>6970</v>
      </c>
      <c r="N1935" s="8" t="s">
        <v>8962</v>
      </c>
      <c r="O1935" s="8">
        <f>5+21/60+54/3600</f>
        <v>5.3649999999999993</v>
      </c>
      <c r="P1935" s="8" t="s">
        <v>8963</v>
      </c>
      <c r="Q1935" s="8">
        <f>-(67+54/60+54/3600)</f>
        <v>-67.915000000000006</v>
      </c>
      <c r="R1935" s="8">
        <v>99</v>
      </c>
      <c r="S1935" s="8">
        <v>99</v>
      </c>
      <c r="T1935" s="8">
        <v>99</v>
      </c>
      <c r="U1935" s="8">
        <v>99</v>
      </c>
      <c r="Y1935" s="8" t="s">
        <v>8964</v>
      </c>
      <c r="Z1935" s="8" t="s">
        <v>8965</v>
      </c>
    </row>
    <row r="1936" spans="1:26" x14ac:dyDescent="0.2">
      <c r="A1936" s="8">
        <v>1935</v>
      </c>
      <c r="B1936" s="8" t="s">
        <v>8966</v>
      </c>
      <c r="C1936" s="8" t="s">
        <v>8966</v>
      </c>
      <c r="F1936" s="47"/>
      <c r="G1936" s="8">
        <v>16</v>
      </c>
      <c r="H1936" s="8" t="s">
        <v>21</v>
      </c>
      <c r="I1936" s="8" t="s">
        <v>1283</v>
      </c>
      <c r="J1936" s="8" t="s">
        <v>1283</v>
      </c>
      <c r="K1936" s="8" t="s">
        <v>1284</v>
      </c>
      <c r="L1936" s="8" t="s">
        <v>55972</v>
      </c>
      <c r="M1936" s="8" t="s">
        <v>6970</v>
      </c>
      <c r="N1936" s="8" t="s">
        <v>8967</v>
      </c>
      <c r="O1936" s="8">
        <f>5+21/60+58.8/3600</f>
        <v>5.3663333333333334</v>
      </c>
      <c r="P1936" s="8" t="s">
        <v>8968</v>
      </c>
      <c r="Q1936" s="8">
        <f>-(67+57/60+27/3600)</f>
        <v>-67.957499999999996</v>
      </c>
      <c r="R1936" s="8">
        <v>99</v>
      </c>
      <c r="S1936" s="8">
        <v>99</v>
      </c>
      <c r="T1936" s="8">
        <v>99</v>
      </c>
      <c r="U1936" s="8">
        <v>99</v>
      </c>
      <c r="Y1936" s="8" t="s">
        <v>8969</v>
      </c>
      <c r="Z1936" s="8" t="s">
        <v>8970</v>
      </c>
    </row>
    <row r="1937" spans="1:26" x14ac:dyDescent="0.2">
      <c r="A1937" s="8">
        <v>1936</v>
      </c>
      <c r="B1937" s="8" t="s">
        <v>8971</v>
      </c>
      <c r="C1937" s="8" t="s">
        <v>8971</v>
      </c>
      <c r="F1937" s="47"/>
      <c r="G1937" s="8">
        <v>13</v>
      </c>
      <c r="H1937" s="8" t="s">
        <v>21</v>
      </c>
      <c r="I1937" s="8" t="s">
        <v>1283</v>
      </c>
      <c r="J1937" s="8" t="s">
        <v>1283</v>
      </c>
      <c r="K1937" s="8" t="s">
        <v>1284</v>
      </c>
      <c r="L1937" s="8" t="s">
        <v>55972</v>
      </c>
      <c r="M1937" s="8" t="s">
        <v>6970</v>
      </c>
      <c r="N1937" s="8" t="s">
        <v>8972</v>
      </c>
      <c r="O1937" s="8">
        <f>5+22/60+14.6/3600</f>
        <v>5.3707222222222217</v>
      </c>
      <c r="P1937" s="8" t="s">
        <v>8973</v>
      </c>
      <c r="Q1937" s="8">
        <f>-(67+58/60+34/3600)</f>
        <v>-67.976111111111109</v>
      </c>
      <c r="R1937" s="8">
        <v>99</v>
      </c>
      <c r="S1937" s="8">
        <v>99</v>
      </c>
      <c r="T1937" s="8">
        <v>99</v>
      </c>
      <c r="U1937" s="8">
        <v>99</v>
      </c>
      <c r="Y1937" s="8" t="s">
        <v>8974</v>
      </c>
      <c r="Z1937" s="8" t="s">
        <v>8975</v>
      </c>
    </row>
    <row r="1938" spans="1:26" x14ac:dyDescent="0.2">
      <c r="A1938" s="8">
        <v>1937</v>
      </c>
      <c r="B1938" s="8" t="s">
        <v>8976</v>
      </c>
      <c r="C1938" s="8" t="s">
        <v>8976</v>
      </c>
      <c r="F1938" s="47"/>
      <c r="G1938" s="8">
        <v>16</v>
      </c>
      <c r="H1938" s="8" t="s">
        <v>21</v>
      </c>
      <c r="I1938" s="8" t="s">
        <v>557</v>
      </c>
      <c r="J1938" s="8" t="s">
        <v>557</v>
      </c>
      <c r="K1938" s="8" t="s">
        <v>557</v>
      </c>
      <c r="L1938" s="8" t="s">
        <v>55972</v>
      </c>
      <c r="M1938" s="8" t="s">
        <v>6970</v>
      </c>
      <c r="N1938" s="8" t="s">
        <v>8977</v>
      </c>
      <c r="O1938" s="8">
        <f>5+22/60+24/3600</f>
        <v>5.3733333333333331</v>
      </c>
      <c r="P1938" s="8" t="s">
        <v>8796</v>
      </c>
      <c r="Q1938" s="8">
        <f>-(67+54/60+0/3600)</f>
        <v>-67.900000000000006</v>
      </c>
      <c r="R1938" s="8">
        <v>99</v>
      </c>
      <c r="S1938" s="8">
        <v>99</v>
      </c>
      <c r="T1938" s="8">
        <v>99</v>
      </c>
      <c r="U1938" s="8">
        <v>99</v>
      </c>
      <c r="Y1938" s="8" t="s">
        <v>8978</v>
      </c>
      <c r="Z1938" s="8" t="s">
        <v>8979</v>
      </c>
    </row>
    <row r="1939" spans="1:26" x14ac:dyDescent="0.2">
      <c r="A1939" s="8">
        <v>1938</v>
      </c>
      <c r="B1939" s="8" t="s">
        <v>8980</v>
      </c>
      <c r="C1939" s="8" t="s">
        <v>8980</v>
      </c>
      <c r="F1939" s="47"/>
      <c r="G1939" s="8">
        <v>16</v>
      </c>
      <c r="H1939" s="8" t="s">
        <v>21</v>
      </c>
      <c r="I1939" s="8" t="s">
        <v>557</v>
      </c>
      <c r="J1939" s="8" t="s">
        <v>557</v>
      </c>
      <c r="K1939" s="8" t="s">
        <v>557</v>
      </c>
      <c r="L1939" s="8" t="s">
        <v>7071</v>
      </c>
      <c r="M1939" s="8" t="s">
        <v>7072</v>
      </c>
      <c r="N1939" s="8" t="s">
        <v>8981</v>
      </c>
      <c r="O1939" s="8">
        <f>5+21/60+24.8/3600</f>
        <v>5.3568888888888884</v>
      </c>
      <c r="P1939" s="8" t="s">
        <v>8982</v>
      </c>
      <c r="Q1939" s="8">
        <f>-(69+56/60+22/3600)</f>
        <v>-69.939444444444447</v>
      </c>
      <c r="R1939" s="8">
        <v>11.8</v>
      </c>
      <c r="S1939" s="8">
        <v>99</v>
      </c>
      <c r="T1939" s="8">
        <v>99</v>
      </c>
      <c r="U1939" s="8">
        <v>99</v>
      </c>
      <c r="V1939" s="8">
        <v>0.6</v>
      </c>
      <c r="Y1939" s="8" t="s">
        <v>8983</v>
      </c>
      <c r="Z1939" s="8" t="s">
        <v>8984</v>
      </c>
    </row>
    <row r="1940" spans="1:26" x14ac:dyDescent="0.2">
      <c r="A1940" s="8">
        <v>1939</v>
      </c>
      <c r="B1940" s="8" t="s">
        <v>8985</v>
      </c>
      <c r="C1940" s="8" t="s">
        <v>8985</v>
      </c>
      <c r="F1940" s="47"/>
      <c r="G1940" s="8">
        <v>18</v>
      </c>
      <c r="H1940" s="8" t="s">
        <v>21</v>
      </c>
      <c r="I1940" s="8" t="s">
        <v>567</v>
      </c>
      <c r="J1940" s="8" t="s">
        <v>567</v>
      </c>
      <c r="K1940" s="8" t="s">
        <v>567</v>
      </c>
      <c r="L1940" s="8" t="s">
        <v>7071</v>
      </c>
      <c r="M1940" s="8" t="s">
        <v>7072</v>
      </c>
      <c r="N1940" s="8" t="s">
        <v>8986</v>
      </c>
      <c r="O1940" s="8">
        <f>5+21/60+26.7/3600</f>
        <v>5.3574166666666665</v>
      </c>
      <c r="P1940" s="8" t="s">
        <v>8987</v>
      </c>
      <c r="Q1940" s="8">
        <f>-(69+56/60+59/3600)</f>
        <v>-69.949722222222221</v>
      </c>
      <c r="R1940" s="8">
        <v>12.9</v>
      </c>
      <c r="S1940" s="8">
        <v>99</v>
      </c>
      <c r="T1940" s="8">
        <v>99</v>
      </c>
      <c r="U1940" s="8">
        <v>99</v>
      </c>
      <c r="V1940" s="8">
        <v>0.5</v>
      </c>
      <c r="Y1940" s="8" t="s">
        <v>8988</v>
      </c>
      <c r="Z1940" s="8" t="s">
        <v>8989</v>
      </c>
    </row>
    <row r="1941" spans="1:26" x14ac:dyDescent="0.2">
      <c r="A1941" s="8">
        <v>1940</v>
      </c>
      <c r="B1941" s="8" t="s">
        <v>8990</v>
      </c>
      <c r="C1941" s="8" t="s">
        <v>8990</v>
      </c>
      <c r="F1941" s="47"/>
      <c r="G1941" s="8">
        <v>16</v>
      </c>
      <c r="H1941" s="8" t="s">
        <v>21</v>
      </c>
      <c r="I1941" s="8" t="s">
        <v>557</v>
      </c>
      <c r="J1941" s="8" t="s">
        <v>557</v>
      </c>
      <c r="K1941" s="8" t="s">
        <v>557</v>
      </c>
      <c r="L1941" s="8" t="s">
        <v>55972</v>
      </c>
      <c r="M1941" s="8" t="s">
        <v>6970</v>
      </c>
      <c r="N1941" s="8" t="s">
        <v>8991</v>
      </c>
      <c r="O1941" s="8">
        <f>5+22/60+43.8/3600</f>
        <v>5.3788333333333327</v>
      </c>
      <c r="P1941" s="8" t="s">
        <v>8992</v>
      </c>
      <c r="Q1941" s="8">
        <f>-(67+11/60+12/3600)</f>
        <v>-67.186666666666667</v>
      </c>
      <c r="R1941" s="8">
        <v>11.9</v>
      </c>
      <c r="S1941" s="8">
        <v>12.2</v>
      </c>
      <c r="T1941" s="8">
        <v>99</v>
      </c>
      <c r="U1941" s="8">
        <v>99</v>
      </c>
      <c r="V1941" s="8">
        <v>1</v>
      </c>
      <c r="Y1941" s="8" t="s">
        <v>8993</v>
      </c>
      <c r="Z1941" s="8" t="s">
        <v>8994</v>
      </c>
    </row>
    <row r="1942" spans="1:26" x14ac:dyDescent="0.2">
      <c r="A1942" s="8">
        <v>1941</v>
      </c>
      <c r="B1942" s="8" t="s">
        <v>8995</v>
      </c>
      <c r="C1942" s="8" t="s">
        <v>8995</v>
      </c>
      <c r="F1942" s="47"/>
      <c r="G1942" s="8">
        <v>16</v>
      </c>
      <c r="H1942" s="8" t="s">
        <v>21</v>
      </c>
      <c r="I1942" s="8" t="s">
        <v>1283</v>
      </c>
      <c r="J1942" s="8" t="s">
        <v>1283</v>
      </c>
      <c r="K1942" s="8" t="s">
        <v>1284</v>
      </c>
      <c r="L1942" s="8" t="s">
        <v>55972</v>
      </c>
      <c r="M1942" s="8" t="s">
        <v>6970</v>
      </c>
      <c r="N1942" s="8" t="s">
        <v>8996</v>
      </c>
      <c r="O1942" s="8">
        <f>5+23/60+7.8/3600</f>
        <v>5.3855000000000004</v>
      </c>
      <c r="P1942" s="8" t="s">
        <v>8997</v>
      </c>
      <c r="Q1942" s="8">
        <f>-(66+22/60+43/3600)</f>
        <v>-66.378611111111098</v>
      </c>
      <c r="R1942" s="8">
        <v>99</v>
      </c>
      <c r="S1942" s="8">
        <v>99</v>
      </c>
      <c r="T1942" s="8">
        <v>99</v>
      </c>
      <c r="U1942" s="8">
        <v>99</v>
      </c>
      <c r="Y1942" s="8" t="s">
        <v>8998</v>
      </c>
      <c r="Z1942" s="8" t="s">
        <v>8999</v>
      </c>
    </row>
    <row r="1943" spans="1:26" x14ac:dyDescent="0.2">
      <c r="A1943" s="8">
        <v>1942</v>
      </c>
      <c r="B1943" s="8" t="s">
        <v>9000</v>
      </c>
      <c r="C1943" s="8" t="s">
        <v>9000</v>
      </c>
      <c r="F1943" s="47"/>
      <c r="G1943" s="8">
        <v>16</v>
      </c>
      <c r="H1943" s="8" t="s">
        <v>21</v>
      </c>
      <c r="I1943" s="8" t="s">
        <v>557</v>
      </c>
      <c r="J1943" s="8" t="s">
        <v>557</v>
      </c>
      <c r="K1943" s="8" t="s">
        <v>557</v>
      </c>
      <c r="L1943" s="8" t="s">
        <v>55972</v>
      </c>
      <c r="M1943" s="8" t="s">
        <v>6970</v>
      </c>
      <c r="N1943" s="8" t="s">
        <v>9001</v>
      </c>
      <c r="O1943" s="8">
        <f>5+24/60+44.6/3600</f>
        <v>5.4123888888888896</v>
      </c>
      <c r="P1943" s="8" t="s">
        <v>9002</v>
      </c>
      <c r="Q1943" s="8">
        <f>-(63+56/60+32/3600)</f>
        <v>-63.94222222222222</v>
      </c>
      <c r="R1943" s="8">
        <v>13.5</v>
      </c>
      <c r="S1943" s="8">
        <v>14.2</v>
      </c>
      <c r="T1943" s="8">
        <v>99</v>
      </c>
      <c r="U1943" s="8">
        <v>99</v>
      </c>
      <c r="V1943" s="8">
        <v>1.1000000000000001</v>
      </c>
      <c r="Y1943" s="8" t="s">
        <v>9003</v>
      </c>
      <c r="Z1943" s="8" t="s">
        <v>9004</v>
      </c>
    </row>
    <row r="1944" spans="1:26" x14ac:dyDescent="0.2">
      <c r="A1944" s="8">
        <v>1943</v>
      </c>
      <c r="B1944" s="8" t="s">
        <v>9005</v>
      </c>
      <c r="C1944" s="8" t="s">
        <v>9005</v>
      </c>
      <c r="F1944" s="47"/>
      <c r="G1944" s="8">
        <v>16</v>
      </c>
      <c r="H1944" s="8" t="s">
        <v>21</v>
      </c>
      <c r="I1944" s="8" t="s">
        <v>1283</v>
      </c>
      <c r="J1944" s="8" t="s">
        <v>1283</v>
      </c>
      <c r="K1944" s="8" t="s">
        <v>1751</v>
      </c>
      <c r="L1944" s="8" t="s">
        <v>7071</v>
      </c>
      <c r="M1944" s="8" t="s">
        <v>7072</v>
      </c>
      <c r="N1944" s="8" t="s">
        <v>9006</v>
      </c>
      <c r="O1944" s="8">
        <f>5+22/60+28.8/3600</f>
        <v>5.3746666666666663</v>
      </c>
      <c r="P1944" s="8" t="s">
        <v>9007</v>
      </c>
      <c r="Q1944" s="8">
        <f>-(70+9/60+18/3600)</f>
        <v>-70.155000000000001</v>
      </c>
      <c r="R1944" s="8">
        <v>99</v>
      </c>
      <c r="S1944" s="8">
        <v>12</v>
      </c>
      <c r="T1944" s="8">
        <v>99</v>
      </c>
      <c r="U1944" s="8">
        <v>99</v>
      </c>
      <c r="Y1944" s="8" t="s">
        <v>9008</v>
      </c>
      <c r="Z1944" s="8" t="s">
        <v>9009</v>
      </c>
    </row>
    <row r="1945" spans="1:26" x14ac:dyDescent="0.2">
      <c r="A1945" s="8">
        <v>1944</v>
      </c>
      <c r="B1945" s="8" t="s">
        <v>9010</v>
      </c>
      <c r="C1945" s="8" t="s">
        <v>9010</v>
      </c>
      <c r="F1945" s="47"/>
      <c r="G1945" s="8">
        <v>16</v>
      </c>
      <c r="H1945" s="8" t="s">
        <v>21</v>
      </c>
      <c r="I1945" s="8" t="s">
        <v>557</v>
      </c>
      <c r="J1945" s="8" t="s">
        <v>557</v>
      </c>
      <c r="K1945" s="8" t="s">
        <v>557</v>
      </c>
      <c r="L1945" s="8" t="s">
        <v>7071</v>
      </c>
      <c r="M1945" s="8" t="s">
        <v>7072</v>
      </c>
      <c r="N1945" s="8" t="s">
        <v>9011</v>
      </c>
      <c r="O1945" s="8">
        <f>5+21/60+57.4/3600</f>
        <v>5.3659444444444437</v>
      </c>
      <c r="P1945" s="8" t="s">
        <v>9012</v>
      </c>
      <c r="Q1945" s="8">
        <f>-(72+29/60+40/3600)</f>
        <v>-72.49444444444444</v>
      </c>
      <c r="R1945" s="8">
        <v>11.8</v>
      </c>
      <c r="S1945" s="8">
        <v>12.1</v>
      </c>
      <c r="T1945" s="8">
        <v>99</v>
      </c>
      <c r="U1945" s="8">
        <v>99</v>
      </c>
      <c r="V1945" s="8">
        <v>3.3</v>
      </c>
      <c r="Y1945" s="8" t="s">
        <v>9013</v>
      </c>
      <c r="Z1945" s="8" t="s">
        <v>9014</v>
      </c>
    </row>
    <row r="1946" spans="1:26" x14ac:dyDescent="0.2">
      <c r="A1946" s="8">
        <v>1945</v>
      </c>
      <c r="B1946" s="8" t="s">
        <v>9015</v>
      </c>
      <c r="C1946" s="8" t="s">
        <v>9015</v>
      </c>
      <c r="F1946" s="47"/>
      <c r="G1946" s="8">
        <v>16</v>
      </c>
      <c r="H1946" s="8" t="s">
        <v>21</v>
      </c>
      <c r="I1946" s="8" t="s">
        <v>1283</v>
      </c>
      <c r="J1946" s="8" t="s">
        <v>1283</v>
      </c>
      <c r="K1946" s="8" t="s">
        <v>1284</v>
      </c>
      <c r="L1946" s="8" t="s">
        <v>55972</v>
      </c>
      <c r="M1946" s="8" t="s">
        <v>6970</v>
      </c>
      <c r="N1946" s="8" t="s">
        <v>9016</v>
      </c>
      <c r="O1946" s="8">
        <f>5+24/60+54/3600</f>
        <v>5.415</v>
      </c>
      <c r="P1946" s="8" t="s">
        <v>9017</v>
      </c>
      <c r="Q1946" s="8">
        <f>-(66+27/60+12/3600)</f>
        <v>-66.453333333333333</v>
      </c>
      <c r="R1946" s="8">
        <v>99</v>
      </c>
      <c r="S1946" s="8">
        <v>99</v>
      </c>
      <c r="T1946" s="8">
        <v>99</v>
      </c>
      <c r="U1946" s="8">
        <v>99</v>
      </c>
      <c r="Y1946" s="8" t="s">
        <v>9018</v>
      </c>
      <c r="Z1946" s="8" t="s">
        <v>9019</v>
      </c>
    </row>
    <row r="1947" spans="1:26" x14ac:dyDescent="0.2">
      <c r="A1947" s="8">
        <v>1946</v>
      </c>
      <c r="B1947" s="8" t="s">
        <v>9020</v>
      </c>
      <c r="C1947" s="8" t="s">
        <v>9020</v>
      </c>
      <c r="F1947" s="47"/>
      <c r="G1947" s="8">
        <v>16</v>
      </c>
      <c r="H1947" s="8" t="s">
        <v>21</v>
      </c>
      <c r="I1947" s="8" t="s">
        <v>557</v>
      </c>
      <c r="J1947" s="8" t="s">
        <v>557</v>
      </c>
      <c r="K1947" s="8" t="s">
        <v>557</v>
      </c>
      <c r="L1947" s="8" t="s">
        <v>55972</v>
      </c>
      <c r="M1947" s="8" t="s">
        <v>6970</v>
      </c>
      <c r="N1947" s="8" t="s">
        <v>9021</v>
      </c>
      <c r="O1947" s="8">
        <f>5+25/60+16.4/3600</f>
        <v>5.4212222222222222</v>
      </c>
      <c r="P1947" s="8" t="s">
        <v>9022</v>
      </c>
      <c r="Q1947" s="8">
        <f>-(66+23/60+41/3600)</f>
        <v>-66.394722222222228</v>
      </c>
      <c r="R1947" s="8">
        <v>12.6</v>
      </c>
      <c r="S1947" s="8">
        <v>12.7</v>
      </c>
      <c r="T1947" s="8">
        <v>99</v>
      </c>
      <c r="U1947" s="8">
        <v>99</v>
      </c>
      <c r="V1947" s="8">
        <v>1</v>
      </c>
      <c r="Y1947" s="8" t="s">
        <v>9023</v>
      </c>
      <c r="Z1947" s="8" t="s">
        <v>9024</v>
      </c>
    </row>
    <row r="1948" spans="1:26" x14ac:dyDescent="0.2">
      <c r="A1948" s="8">
        <v>1947</v>
      </c>
      <c r="B1948" s="8" t="s">
        <v>9025</v>
      </c>
      <c r="C1948" s="8" t="s">
        <v>9025</v>
      </c>
      <c r="F1948" s="47"/>
      <c r="G1948" s="8">
        <v>13</v>
      </c>
      <c r="H1948" s="8" t="s">
        <v>21</v>
      </c>
      <c r="I1948" s="8" t="s">
        <v>22</v>
      </c>
      <c r="J1948" s="8" t="s">
        <v>22</v>
      </c>
      <c r="K1948" s="8" t="s">
        <v>58</v>
      </c>
      <c r="L1948" s="8" t="s">
        <v>55972</v>
      </c>
      <c r="M1948" s="8" t="s">
        <v>6970</v>
      </c>
      <c r="N1948" s="8" t="s">
        <v>9026</v>
      </c>
      <c r="O1948" s="8">
        <f>5+26/60+47.3/3600</f>
        <v>5.4464722222222228</v>
      </c>
      <c r="P1948" s="8" t="s">
        <v>9027</v>
      </c>
      <c r="Q1948" s="8">
        <f>-(63+45/60+39/3600)</f>
        <v>-63.760833333333331</v>
      </c>
      <c r="R1948" s="8">
        <v>10.7</v>
      </c>
      <c r="S1948" s="8">
        <v>11.7</v>
      </c>
      <c r="T1948" s="8">
        <v>1</v>
      </c>
      <c r="U1948" s="8">
        <v>12.8</v>
      </c>
      <c r="V1948" s="8">
        <v>3</v>
      </c>
      <c r="W1948" s="8">
        <v>2.6</v>
      </c>
      <c r="X1948" s="8">
        <v>119</v>
      </c>
      <c r="Y1948" s="8" t="s">
        <v>9028</v>
      </c>
      <c r="Z1948" s="8" t="s">
        <v>9029</v>
      </c>
    </row>
    <row r="1949" spans="1:26" x14ac:dyDescent="0.2">
      <c r="A1949" s="8">
        <v>1948</v>
      </c>
      <c r="B1949" s="8" t="s">
        <v>9030</v>
      </c>
      <c r="C1949" s="8" t="s">
        <v>9030</v>
      </c>
      <c r="F1949" s="47"/>
      <c r="G1949" s="8">
        <v>16</v>
      </c>
      <c r="H1949" s="8" t="s">
        <v>21</v>
      </c>
      <c r="I1949" s="8" t="s">
        <v>557</v>
      </c>
      <c r="J1949" s="8" t="s">
        <v>557</v>
      </c>
      <c r="K1949" s="8" t="s">
        <v>1816</v>
      </c>
      <c r="L1949" s="8" t="s">
        <v>55972</v>
      </c>
      <c r="M1949" s="8" t="s">
        <v>6970</v>
      </c>
      <c r="N1949" s="8" t="s">
        <v>9031</v>
      </c>
      <c r="O1949" s="8">
        <f>5+25/60+46.3/3600</f>
        <v>5.4295277777777784</v>
      </c>
      <c r="P1949" s="8" t="s">
        <v>9032</v>
      </c>
      <c r="Q1949" s="8">
        <f>-(66+16/60+1/3600)</f>
        <v>-66.266944444444448</v>
      </c>
      <c r="R1949" s="8">
        <v>11.6</v>
      </c>
      <c r="S1949" s="8">
        <v>11.8</v>
      </c>
      <c r="T1949" s="8">
        <v>99</v>
      </c>
      <c r="U1949" s="8">
        <v>99</v>
      </c>
      <c r="Y1949" s="8" t="s">
        <v>9033</v>
      </c>
      <c r="Z1949" s="8" t="s">
        <v>9034</v>
      </c>
    </row>
    <row r="1950" spans="1:26" x14ac:dyDescent="0.2">
      <c r="A1950" s="8">
        <v>1949</v>
      </c>
      <c r="B1950" s="8" t="s">
        <v>9035</v>
      </c>
      <c r="C1950" s="8" t="s">
        <v>9035</v>
      </c>
      <c r="F1950" s="47"/>
      <c r="G1950" s="8">
        <v>16</v>
      </c>
      <c r="H1950" s="8" t="s">
        <v>21</v>
      </c>
      <c r="I1950" s="8" t="s">
        <v>1283</v>
      </c>
      <c r="J1950" s="8" t="s">
        <v>1283</v>
      </c>
      <c r="K1950" s="8" t="s">
        <v>1284</v>
      </c>
      <c r="L1950" s="8" t="s">
        <v>55972</v>
      </c>
      <c r="M1950" s="8" t="s">
        <v>6970</v>
      </c>
      <c r="N1950" s="8" t="s">
        <v>9036</v>
      </c>
      <c r="O1950" s="8">
        <f>5+25/60+5/3600</f>
        <v>5.4180555555555561</v>
      </c>
      <c r="P1950" s="8" t="s">
        <v>9037</v>
      </c>
      <c r="Q1950" s="8">
        <f>-(68+28/60+16/3600)</f>
        <v>-68.471111111111114</v>
      </c>
      <c r="R1950" s="8">
        <v>99</v>
      </c>
      <c r="S1950" s="8">
        <v>99</v>
      </c>
      <c r="T1950" s="8">
        <v>99</v>
      </c>
      <c r="U1950" s="8">
        <v>99</v>
      </c>
      <c r="Y1950" s="8" t="s">
        <v>3061</v>
      </c>
      <c r="Z1950" s="8" t="s">
        <v>3062</v>
      </c>
    </row>
    <row r="1951" spans="1:26" x14ac:dyDescent="0.2">
      <c r="A1951" s="8">
        <v>1950</v>
      </c>
      <c r="B1951" s="8" t="s">
        <v>9038</v>
      </c>
      <c r="C1951" s="8" t="s">
        <v>9038</v>
      </c>
      <c r="F1951" s="47"/>
      <c r="G1951" s="8">
        <v>16</v>
      </c>
      <c r="H1951" s="8" t="s">
        <v>21</v>
      </c>
      <c r="I1951" s="8" t="s">
        <v>557</v>
      </c>
      <c r="J1951" s="8" t="s">
        <v>557</v>
      </c>
      <c r="K1951" s="8" t="s">
        <v>557</v>
      </c>
      <c r="L1951" s="8" t="s">
        <v>7071</v>
      </c>
      <c r="M1951" s="8" t="s">
        <v>7072</v>
      </c>
      <c r="N1951" s="8" t="s">
        <v>9039</v>
      </c>
      <c r="O1951" s="8">
        <f>5+24/60+33.1/3600</f>
        <v>5.4091944444444451</v>
      </c>
      <c r="P1951" s="8" t="s">
        <v>9040</v>
      </c>
      <c r="Q1951" s="8">
        <f>-(69+54/60+9/3600)</f>
        <v>-69.902500000000003</v>
      </c>
      <c r="R1951" s="8">
        <v>13.2</v>
      </c>
      <c r="S1951" s="8">
        <v>99</v>
      </c>
      <c r="T1951" s="8">
        <v>99</v>
      </c>
      <c r="U1951" s="8">
        <v>99</v>
      </c>
      <c r="V1951" s="8">
        <v>1</v>
      </c>
      <c r="Y1951" s="8" t="s">
        <v>21</v>
      </c>
      <c r="Z1951" s="8" t="s">
        <v>9041</v>
      </c>
    </row>
    <row r="1952" spans="1:26" x14ac:dyDescent="0.2">
      <c r="A1952" s="8">
        <v>1951</v>
      </c>
      <c r="B1952" s="8" t="s">
        <v>9042</v>
      </c>
      <c r="C1952" s="8" t="s">
        <v>9042</v>
      </c>
      <c r="F1952" s="47"/>
      <c r="G1952" s="8">
        <v>16</v>
      </c>
      <c r="H1952" s="8" t="s">
        <v>21</v>
      </c>
      <c r="I1952" s="8" t="s">
        <v>557</v>
      </c>
      <c r="J1952" s="8" t="s">
        <v>557</v>
      </c>
      <c r="K1952" s="8" t="s">
        <v>557</v>
      </c>
      <c r="L1952" s="8" t="s">
        <v>55972</v>
      </c>
      <c r="M1952" s="8" t="s">
        <v>6970</v>
      </c>
      <c r="N1952" s="8" t="s">
        <v>9043</v>
      </c>
      <c r="O1952" s="8">
        <f>5+26/60+6.9/3600</f>
        <v>5.4352499999999999</v>
      </c>
      <c r="P1952" s="8" t="s">
        <v>9044</v>
      </c>
      <c r="Q1952" s="8">
        <f>-(66+35/60+50/3600)</f>
        <v>-66.597222222222214</v>
      </c>
      <c r="R1952" s="8">
        <v>10.6</v>
      </c>
      <c r="S1952" s="8">
        <v>99</v>
      </c>
      <c r="T1952" s="8">
        <v>99</v>
      </c>
      <c r="U1952" s="8">
        <v>99</v>
      </c>
      <c r="V1952" s="8">
        <v>1.9</v>
      </c>
      <c r="Y1952" s="8" t="s">
        <v>21</v>
      </c>
      <c r="Z1952" s="8" t="s">
        <v>9045</v>
      </c>
    </row>
    <row r="1953" spans="1:26" x14ac:dyDescent="0.2">
      <c r="A1953" s="8">
        <v>1952</v>
      </c>
      <c r="B1953" s="8" t="s">
        <v>9046</v>
      </c>
      <c r="C1953" s="8" t="s">
        <v>55872</v>
      </c>
      <c r="F1953" s="47"/>
      <c r="G1953" s="8">
        <v>1</v>
      </c>
      <c r="H1953" s="8" t="s">
        <v>9047</v>
      </c>
      <c r="I1953" s="8" t="s">
        <v>1283</v>
      </c>
      <c r="J1953" s="8" t="s">
        <v>1283</v>
      </c>
      <c r="K1953" s="8" t="s">
        <v>8889</v>
      </c>
      <c r="L1953" s="8" t="s">
        <v>6115</v>
      </c>
      <c r="M1953" s="8" t="s">
        <v>6116</v>
      </c>
      <c r="N1953" s="8" t="s">
        <v>9048</v>
      </c>
      <c r="O1953" s="8">
        <f>5+34/60+31.9/3600</f>
        <v>5.5755277777777774</v>
      </c>
      <c r="P1953" s="8" t="s">
        <v>9049</v>
      </c>
      <c r="Q1953" s="8">
        <f>+(22+0/60+52/3600)</f>
        <v>22.014444444444443</v>
      </c>
      <c r="R1953" s="8">
        <v>8.4</v>
      </c>
      <c r="S1953" s="8">
        <v>99</v>
      </c>
      <c r="T1953" s="8">
        <v>99</v>
      </c>
      <c r="U1953" s="8">
        <v>99</v>
      </c>
      <c r="V1953" s="8">
        <v>6</v>
      </c>
      <c r="W1953" s="8">
        <v>4</v>
      </c>
      <c r="Y1953" s="8" t="s">
        <v>9050</v>
      </c>
      <c r="Z1953" s="8" t="s">
        <v>9051</v>
      </c>
    </row>
    <row r="1954" spans="1:26" x14ac:dyDescent="0.2">
      <c r="A1954" s="8">
        <v>1953</v>
      </c>
      <c r="B1954" s="8" t="s">
        <v>9052</v>
      </c>
      <c r="C1954" s="8" t="s">
        <v>9052</v>
      </c>
      <c r="F1954" s="47"/>
      <c r="G1954" s="8">
        <v>16</v>
      </c>
      <c r="H1954" s="8" t="s">
        <v>21</v>
      </c>
      <c r="I1954" s="8" t="s">
        <v>557</v>
      </c>
      <c r="J1954" s="8" t="s">
        <v>557</v>
      </c>
      <c r="K1954" s="8" t="s">
        <v>557</v>
      </c>
      <c r="L1954" s="8" t="s">
        <v>55972</v>
      </c>
      <c r="M1954" s="8" t="s">
        <v>6970</v>
      </c>
      <c r="N1954" s="8" t="s">
        <v>9053</v>
      </c>
      <c r="O1954" s="8">
        <f>5+25/60+27.9/3600</f>
        <v>5.4244166666666667</v>
      </c>
      <c r="P1954" s="8" t="s">
        <v>9054</v>
      </c>
      <c r="Q1954" s="8">
        <f>-(68+50/60+18/3600)</f>
        <v>-68.838333333333324</v>
      </c>
      <c r="R1954" s="8">
        <v>11.7</v>
      </c>
      <c r="S1954" s="8">
        <v>11.9</v>
      </c>
      <c r="T1954" s="8">
        <v>99</v>
      </c>
      <c r="U1954" s="8">
        <v>99</v>
      </c>
      <c r="Y1954" s="8" t="s">
        <v>9055</v>
      </c>
      <c r="Z1954" s="8" t="s">
        <v>9056</v>
      </c>
    </row>
    <row r="1955" spans="1:26" x14ac:dyDescent="0.2">
      <c r="A1955" s="8">
        <v>1954</v>
      </c>
      <c r="B1955" s="8" t="s">
        <v>9057</v>
      </c>
      <c r="C1955" s="8" t="s">
        <v>9057</v>
      </c>
      <c r="F1955" s="47" t="s">
        <v>56403</v>
      </c>
      <c r="G1955" s="8">
        <v>15</v>
      </c>
      <c r="H1955" s="8" t="s">
        <v>21</v>
      </c>
      <c r="I1955" s="8" t="s">
        <v>22</v>
      </c>
      <c r="J1955" s="8" t="s">
        <v>22</v>
      </c>
      <c r="K1955" s="8" t="s">
        <v>396</v>
      </c>
      <c r="L1955" s="8" t="s">
        <v>7915</v>
      </c>
      <c r="M1955" s="8" t="s">
        <v>7916</v>
      </c>
      <c r="N1955" s="8" t="s">
        <v>9058</v>
      </c>
      <c r="O1955" s="8">
        <f>5+32/60+48.3/3600</f>
        <v>5.5467500000000003</v>
      </c>
      <c r="P1955" s="8" t="s">
        <v>9059</v>
      </c>
      <c r="Q1955" s="8">
        <f>-(14+3/60+44/3600)</f>
        <v>-14.062222222222223</v>
      </c>
      <c r="R1955" s="8">
        <v>11.8</v>
      </c>
      <c r="S1955" s="8">
        <v>12.4</v>
      </c>
      <c r="T1955" s="8">
        <v>0.6</v>
      </c>
      <c r="U1955" s="8">
        <v>14.1</v>
      </c>
      <c r="V1955" s="8">
        <v>4.2</v>
      </c>
      <c r="W1955" s="8">
        <v>2</v>
      </c>
      <c r="X1955" s="8">
        <v>150</v>
      </c>
      <c r="Y1955" s="8" t="s">
        <v>9060</v>
      </c>
      <c r="Z1955" s="8" t="s">
        <v>9061</v>
      </c>
    </row>
    <row r="1956" spans="1:26" x14ac:dyDescent="0.2">
      <c r="A1956" s="8">
        <v>1955</v>
      </c>
      <c r="B1956" s="8" t="s">
        <v>9062</v>
      </c>
      <c r="C1956" s="8" t="s">
        <v>9062</v>
      </c>
      <c r="F1956" s="47"/>
      <c r="G1956" s="8">
        <v>5</v>
      </c>
      <c r="H1956" s="8" t="s">
        <v>21</v>
      </c>
      <c r="I1956" s="8" t="s">
        <v>557</v>
      </c>
      <c r="J1956" s="8" t="s">
        <v>557</v>
      </c>
      <c r="K1956" s="8" t="s">
        <v>1816</v>
      </c>
      <c r="L1956" s="8" t="s">
        <v>55972</v>
      </c>
      <c r="M1956" s="8" t="s">
        <v>6970</v>
      </c>
      <c r="N1956" s="8" t="s">
        <v>9063</v>
      </c>
      <c r="O1956" s="8">
        <f>5+26/60+10/3600</f>
        <v>5.4361111111111118</v>
      </c>
      <c r="P1956" s="8" t="s">
        <v>9064</v>
      </c>
      <c r="Q1956" s="8">
        <f>-(67+29/60+51/3600)</f>
        <v>-67.497500000000002</v>
      </c>
      <c r="R1956" s="8">
        <v>9</v>
      </c>
      <c r="S1956" s="8">
        <v>99</v>
      </c>
      <c r="T1956" s="8">
        <v>99</v>
      </c>
      <c r="U1956" s="8">
        <v>99</v>
      </c>
      <c r="V1956" s="8">
        <v>1.8</v>
      </c>
      <c r="Y1956" s="8" t="s">
        <v>9065</v>
      </c>
      <c r="Z1956" s="8" t="s">
        <v>9066</v>
      </c>
    </row>
    <row r="1957" spans="1:26" x14ac:dyDescent="0.2">
      <c r="A1957" s="8">
        <v>1956</v>
      </c>
      <c r="B1957" s="8" t="s">
        <v>9067</v>
      </c>
      <c r="C1957" s="8" t="s">
        <v>9067</v>
      </c>
      <c r="F1957" s="47"/>
      <c r="G1957" s="8">
        <v>16</v>
      </c>
      <c r="H1957" s="8" t="s">
        <v>21</v>
      </c>
      <c r="I1957" s="8" t="s">
        <v>22</v>
      </c>
      <c r="J1957" s="8" t="s">
        <v>22</v>
      </c>
      <c r="K1957" s="8" t="s">
        <v>91</v>
      </c>
      <c r="L1957" s="8" t="s">
        <v>7071</v>
      </c>
      <c r="M1957" s="8" t="s">
        <v>7072</v>
      </c>
      <c r="N1957" s="8" t="s">
        <v>9068</v>
      </c>
      <c r="O1957" s="8">
        <f>5+19/60+35.6/3600</f>
        <v>5.3265555555555553</v>
      </c>
      <c r="P1957" s="8" t="s">
        <v>9069</v>
      </c>
      <c r="Q1957" s="8">
        <f>-(77+43/60+47/3600)</f>
        <v>-77.729722222222222</v>
      </c>
      <c r="R1957" s="8">
        <v>13.1</v>
      </c>
      <c r="S1957" s="8">
        <v>14</v>
      </c>
      <c r="T1957" s="8">
        <v>0.9</v>
      </c>
      <c r="U1957" s="8">
        <v>13.4</v>
      </c>
      <c r="V1957" s="8">
        <v>1.9</v>
      </c>
      <c r="W1957" s="8">
        <v>0.8</v>
      </c>
      <c r="X1957" s="8">
        <v>68</v>
      </c>
      <c r="Y1957" s="8" t="s">
        <v>4536</v>
      </c>
      <c r="Z1957" s="8" t="s">
        <v>4537</v>
      </c>
    </row>
    <row r="1958" spans="1:26" x14ac:dyDescent="0.2">
      <c r="A1958" s="8">
        <v>1957</v>
      </c>
      <c r="B1958" s="8" t="s">
        <v>9070</v>
      </c>
      <c r="C1958" s="8" t="s">
        <v>9070</v>
      </c>
      <c r="F1958" s="47"/>
      <c r="G1958" s="8">
        <v>19</v>
      </c>
      <c r="H1958" s="8" t="s">
        <v>21</v>
      </c>
      <c r="I1958" s="8" t="s">
        <v>22</v>
      </c>
      <c r="J1958" s="8" t="s">
        <v>22</v>
      </c>
      <c r="K1958" s="8" t="s">
        <v>382</v>
      </c>
      <c r="L1958" s="8" t="s">
        <v>7915</v>
      </c>
      <c r="M1958" s="8" t="s">
        <v>7916</v>
      </c>
      <c r="N1958" s="8" t="s">
        <v>9071</v>
      </c>
      <c r="O1958" s="8">
        <f>5+32/60+55.1/3600</f>
        <v>5.5486388888888891</v>
      </c>
      <c r="P1958" s="8" t="s">
        <v>9072</v>
      </c>
      <c r="Q1958" s="8">
        <f>-(14+7/60+57/3600)</f>
        <v>-14.1325</v>
      </c>
      <c r="R1958" s="8">
        <v>13.9</v>
      </c>
      <c r="S1958" s="8">
        <v>14.9</v>
      </c>
      <c r="T1958" s="8">
        <v>1</v>
      </c>
      <c r="U1958" s="8">
        <v>13.8</v>
      </c>
      <c r="V1958" s="8">
        <v>1.1000000000000001</v>
      </c>
      <c r="W1958" s="8">
        <v>0.8</v>
      </c>
      <c r="X1958" s="8">
        <v>169</v>
      </c>
      <c r="Y1958" s="8" t="s">
        <v>9073</v>
      </c>
      <c r="Z1958" s="8" t="s">
        <v>9074</v>
      </c>
    </row>
    <row r="1959" spans="1:26" x14ac:dyDescent="0.2">
      <c r="A1959" s="8">
        <v>1958</v>
      </c>
      <c r="B1959" s="8" t="s">
        <v>9075</v>
      </c>
      <c r="C1959" s="8" t="s">
        <v>9075</v>
      </c>
      <c r="F1959" s="47"/>
      <c r="G1959" s="8">
        <v>16</v>
      </c>
      <c r="H1959" s="8" t="s">
        <v>21</v>
      </c>
      <c r="I1959" s="8" t="s">
        <v>567</v>
      </c>
      <c r="J1959" s="8" t="s">
        <v>567</v>
      </c>
      <c r="K1959" s="8" t="s">
        <v>567</v>
      </c>
      <c r="L1959" s="8" t="s">
        <v>55972</v>
      </c>
      <c r="M1959" s="8" t="s">
        <v>6970</v>
      </c>
      <c r="N1959" s="8" t="s">
        <v>9076</v>
      </c>
      <c r="O1959" s="8">
        <f>5+25/60+30.6/3600</f>
        <v>5.4251666666666667</v>
      </c>
      <c r="P1959" s="8" t="s">
        <v>9077</v>
      </c>
      <c r="Q1959" s="8">
        <f>-(69+50/60+13/3600)</f>
        <v>-69.836944444444441</v>
      </c>
      <c r="R1959" s="8">
        <v>13</v>
      </c>
      <c r="S1959" s="8">
        <v>13.5</v>
      </c>
      <c r="T1959" s="8">
        <v>99</v>
      </c>
      <c r="U1959" s="8">
        <v>99</v>
      </c>
      <c r="Y1959" s="8" t="s">
        <v>21</v>
      </c>
      <c r="Z1959" s="8" t="s">
        <v>9078</v>
      </c>
    </row>
    <row r="1960" spans="1:26" x14ac:dyDescent="0.2">
      <c r="A1960" s="8">
        <v>1959</v>
      </c>
      <c r="B1960" s="8" t="s">
        <v>9079</v>
      </c>
      <c r="C1960" s="8" t="s">
        <v>9079</v>
      </c>
      <c r="F1960" s="47"/>
      <c r="G1960" s="8">
        <v>16</v>
      </c>
      <c r="H1960" s="8" t="s">
        <v>21</v>
      </c>
      <c r="I1960" s="8" t="s">
        <v>557</v>
      </c>
      <c r="J1960" s="8" t="s">
        <v>557</v>
      </c>
      <c r="K1960" s="8" t="s">
        <v>557</v>
      </c>
      <c r="L1960" s="8" t="s">
        <v>7071</v>
      </c>
      <c r="M1960" s="8" t="s">
        <v>7072</v>
      </c>
      <c r="N1960" s="8" t="s">
        <v>9080</v>
      </c>
      <c r="O1960" s="8">
        <f>5+25/60+36.7/3600</f>
        <v>5.4268611111111111</v>
      </c>
      <c r="P1960" s="8" t="s">
        <v>9081</v>
      </c>
      <c r="Q1960" s="8">
        <f>-(69+55/60+37/3600)</f>
        <v>-69.926944444444445</v>
      </c>
      <c r="R1960" s="8">
        <v>12.2</v>
      </c>
      <c r="S1960" s="8">
        <v>99</v>
      </c>
      <c r="T1960" s="8">
        <v>99</v>
      </c>
      <c r="U1960" s="8">
        <v>99</v>
      </c>
      <c r="V1960" s="8">
        <v>0.5</v>
      </c>
      <c r="Y1960" s="8" t="s">
        <v>21</v>
      </c>
      <c r="Z1960" s="8" t="s">
        <v>9082</v>
      </c>
    </row>
    <row r="1961" spans="1:26" x14ac:dyDescent="0.2">
      <c r="A1961" s="8">
        <v>1960</v>
      </c>
      <c r="B1961" s="8" t="s">
        <v>9083</v>
      </c>
      <c r="C1961" s="8" t="s">
        <v>55873</v>
      </c>
      <c r="F1961" s="47"/>
      <c r="G1961" s="8">
        <v>1</v>
      </c>
      <c r="H1961" s="8" t="s">
        <v>9084</v>
      </c>
      <c r="I1961" s="8" t="s">
        <v>557</v>
      </c>
      <c r="J1961" s="8" t="s">
        <v>557</v>
      </c>
      <c r="K1961" s="8" t="s">
        <v>3170</v>
      </c>
      <c r="L1961" s="8" t="s">
        <v>7717</v>
      </c>
      <c r="M1961" s="8" t="s">
        <v>7718</v>
      </c>
      <c r="N1961" s="8" t="s">
        <v>9085</v>
      </c>
      <c r="O1961" s="8">
        <f>5+36/60+17.7/3600</f>
        <v>5.6049166666666661</v>
      </c>
      <c r="P1961" s="8" t="s">
        <v>9086</v>
      </c>
      <c r="Q1961" s="8">
        <f>+(34+8/60+27/3600)</f>
        <v>34.140833333333333</v>
      </c>
      <c r="R1961" s="8">
        <v>6</v>
      </c>
      <c r="S1961" s="8">
        <v>99</v>
      </c>
      <c r="T1961" s="8">
        <v>99</v>
      </c>
      <c r="U1961" s="8">
        <v>99</v>
      </c>
      <c r="V1961" s="8">
        <v>10</v>
      </c>
      <c r="Y1961" s="8" t="s">
        <v>21</v>
      </c>
      <c r="Z1961" s="8" t="s">
        <v>9087</v>
      </c>
    </row>
    <row r="1962" spans="1:26" x14ac:dyDescent="0.2">
      <c r="A1962" s="8">
        <v>1961</v>
      </c>
      <c r="B1962" s="8" t="s">
        <v>9088</v>
      </c>
      <c r="C1962" s="8" t="s">
        <v>9088</v>
      </c>
      <c r="F1962" s="47" t="s">
        <v>56404</v>
      </c>
      <c r="G1962" s="8">
        <v>6</v>
      </c>
      <c r="H1962" s="8" t="s">
        <v>21</v>
      </c>
      <c r="I1962" s="8" t="s">
        <v>22</v>
      </c>
      <c r="J1962" s="8" t="s">
        <v>22</v>
      </c>
      <c r="K1962" s="8" t="s">
        <v>85</v>
      </c>
      <c r="L1962" s="8" t="s">
        <v>6823</v>
      </c>
      <c r="M1962" s="8" t="s">
        <v>6824</v>
      </c>
      <c r="N1962" s="8" t="s">
        <v>9089</v>
      </c>
      <c r="O1962" s="8">
        <f>5+42/60+3.9/3600</f>
        <v>5.7010833333333339</v>
      </c>
      <c r="P1962" s="8" t="s">
        <v>9090</v>
      </c>
      <c r="Q1962" s="8">
        <f>+(69+22/60+43/3600)</f>
        <v>69.378611111111098</v>
      </c>
      <c r="R1962" s="8">
        <v>11</v>
      </c>
      <c r="S1962" s="8">
        <v>11.7</v>
      </c>
      <c r="T1962" s="8">
        <v>0.7</v>
      </c>
      <c r="U1962" s="8">
        <v>13.7</v>
      </c>
      <c r="V1962" s="8">
        <v>4.5</v>
      </c>
      <c r="W1962" s="8">
        <v>3.1</v>
      </c>
      <c r="X1962" s="8">
        <v>85</v>
      </c>
      <c r="Y1962" s="8" t="s">
        <v>9091</v>
      </c>
      <c r="Z1962" s="8" t="s">
        <v>9092</v>
      </c>
    </row>
    <row r="1963" spans="1:26" x14ac:dyDescent="0.2">
      <c r="A1963" s="8">
        <v>1962</v>
      </c>
      <c r="B1963" s="8" t="s">
        <v>9093</v>
      </c>
      <c r="C1963" s="8" t="s">
        <v>9093</v>
      </c>
      <c r="F1963" s="47"/>
      <c r="G1963" s="8">
        <v>5</v>
      </c>
      <c r="H1963" s="8" t="s">
        <v>21</v>
      </c>
      <c r="I1963" s="8" t="s">
        <v>557</v>
      </c>
      <c r="J1963" s="8" t="s">
        <v>557</v>
      </c>
      <c r="K1963" s="8" t="s">
        <v>557</v>
      </c>
      <c r="L1963" s="8" t="s">
        <v>55972</v>
      </c>
      <c r="M1963" s="8" t="s">
        <v>6970</v>
      </c>
      <c r="N1963" s="8" t="s">
        <v>9094</v>
      </c>
      <c r="O1963" s="8">
        <f>5+26/60+17.8/3600</f>
        <v>5.4382777777777784</v>
      </c>
      <c r="P1963" s="8" t="s">
        <v>9095</v>
      </c>
      <c r="Q1963" s="8">
        <f>-(68+50/60+16/3600)</f>
        <v>-68.837777777777774</v>
      </c>
      <c r="R1963" s="8">
        <v>11.5</v>
      </c>
      <c r="S1963" s="8">
        <v>99</v>
      </c>
      <c r="T1963" s="8">
        <v>99</v>
      </c>
      <c r="U1963" s="8">
        <v>99</v>
      </c>
      <c r="V1963" s="8">
        <v>0.5</v>
      </c>
      <c r="Y1963" s="8" t="s">
        <v>21</v>
      </c>
      <c r="Z1963" s="8" t="s">
        <v>9096</v>
      </c>
    </row>
    <row r="1964" spans="1:26" x14ac:dyDescent="0.2">
      <c r="A1964" s="8">
        <v>1963</v>
      </c>
      <c r="B1964" s="8" t="s">
        <v>9097</v>
      </c>
      <c r="C1964" s="8" t="s">
        <v>9097</v>
      </c>
      <c r="F1964" s="47"/>
      <c r="G1964" s="8">
        <v>16</v>
      </c>
      <c r="H1964" s="8" t="s">
        <v>21</v>
      </c>
      <c r="I1964" s="8" t="s">
        <v>557</v>
      </c>
      <c r="J1964" s="8" t="s">
        <v>557</v>
      </c>
      <c r="K1964" s="8" t="s">
        <v>557</v>
      </c>
      <c r="L1964" s="8" t="s">
        <v>8298</v>
      </c>
      <c r="M1964" s="8" t="s">
        <v>8299</v>
      </c>
      <c r="N1964" s="8" t="s">
        <v>9098</v>
      </c>
      <c r="O1964" s="8">
        <f>5+32/60+10.8/3600</f>
        <v>5.5363333333333333</v>
      </c>
      <c r="P1964" s="8" t="s">
        <v>9099</v>
      </c>
      <c r="Q1964" s="8">
        <f>-(36+22/60+50/3600)</f>
        <v>-36.380555555555553</v>
      </c>
      <c r="R1964" s="8">
        <v>99</v>
      </c>
      <c r="S1964" s="8">
        <v>99</v>
      </c>
      <c r="T1964" s="8">
        <v>99</v>
      </c>
      <c r="U1964" s="8">
        <v>99</v>
      </c>
      <c r="V1964" s="8">
        <v>14</v>
      </c>
      <c r="Y1964" s="8" t="s">
        <v>9100</v>
      </c>
      <c r="Z1964" s="8" t="s">
        <v>9101</v>
      </c>
    </row>
    <row r="1965" spans="1:26" x14ac:dyDescent="0.2">
      <c r="A1965" s="8">
        <v>1964</v>
      </c>
      <c r="B1965" s="8" t="s">
        <v>9102</v>
      </c>
      <c r="C1965" s="8" t="s">
        <v>9102</v>
      </c>
      <c r="F1965" s="47" t="s">
        <v>56405</v>
      </c>
      <c r="G1965" s="8">
        <v>6</v>
      </c>
      <c r="H1965" s="8" t="s">
        <v>21</v>
      </c>
      <c r="I1965" s="8" t="s">
        <v>22</v>
      </c>
      <c r="J1965" s="8" t="s">
        <v>22</v>
      </c>
      <c r="K1965" s="8" t="s">
        <v>218</v>
      </c>
      <c r="L1965" s="8" t="s">
        <v>7915</v>
      </c>
      <c r="M1965" s="8" t="s">
        <v>7916</v>
      </c>
      <c r="N1965" s="8" t="s">
        <v>9103</v>
      </c>
      <c r="O1965" s="8">
        <f>5+33/60+21.8/3600</f>
        <v>5.5560555555555551</v>
      </c>
      <c r="P1965" s="8" t="s">
        <v>9104</v>
      </c>
      <c r="Q1965" s="8">
        <f>-(21+56/60+43/3600)</f>
        <v>-21.945277777777779</v>
      </c>
      <c r="R1965" s="8">
        <v>10.8</v>
      </c>
      <c r="S1965" s="8">
        <v>11.6</v>
      </c>
      <c r="T1965" s="8">
        <v>0.8</v>
      </c>
      <c r="U1965" s="8">
        <v>13.4</v>
      </c>
      <c r="V1965" s="8">
        <v>5.6</v>
      </c>
      <c r="W1965" s="8">
        <v>1.8</v>
      </c>
      <c r="X1965" s="8">
        <v>32</v>
      </c>
      <c r="Y1965" s="8" t="s">
        <v>21</v>
      </c>
      <c r="Z1965" s="8" t="s">
        <v>9105</v>
      </c>
    </row>
    <row r="1966" spans="1:26" x14ac:dyDescent="0.2">
      <c r="A1966" s="8">
        <v>1965</v>
      </c>
      <c r="B1966" s="8" t="s">
        <v>9106</v>
      </c>
      <c r="C1966" s="8" t="s">
        <v>9106</v>
      </c>
      <c r="F1966" s="47"/>
      <c r="G1966" s="8">
        <v>16</v>
      </c>
      <c r="H1966" s="8" t="s">
        <v>21</v>
      </c>
      <c r="I1966" s="8" t="s">
        <v>1283</v>
      </c>
      <c r="J1966" s="8" t="s">
        <v>1283</v>
      </c>
      <c r="K1966" s="8" t="s">
        <v>1751</v>
      </c>
      <c r="L1966" s="8" t="s">
        <v>55972</v>
      </c>
      <c r="M1966" s="8" t="s">
        <v>6970</v>
      </c>
      <c r="N1966" s="8" t="s">
        <v>9107</v>
      </c>
      <c r="O1966" s="8">
        <f>5+26/60+29.1/3600</f>
        <v>5.441416666666667</v>
      </c>
      <c r="P1966" s="8" t="s">
        <v>9108</v>
      </c>
      <c r="Q1966" s="8">
        <f>-(68+48/60+23/3600)</f>
        <v>-68.80638888888889</v>
      </c>
      <c r="R1966" s="8">
        <v>99</v>
      </c>
      <c r="S1966" s="8">
        <v>8</v>
      </c>
      <c r="T1966" s="8">
        <v>99</v>
      </c>
      <c r="U1966" s="8">
        <v>99</v>
      </c>
      <c r="Y1966" s="8" t="s">
        <v>21</v>
      </c>
      <c r="Z1966" s="8" t="s">
        <v>9109</v>
      </c>
    </row>
    <row r="1967" spans="1:26" x14ac:dyDescent="0.2">
      <c r="A1967" s="8">
        <v>1966</v>
      </c>
      <c r="B1967" s="8" t="s">
        <v>9110</v>
      </c>
      <c r="C1967" s="8" t="s">
        <v>9110</v>
      </c>
      <c r="F1967" s="47"/>
      <c r="G1967" s="8">
        <v>5</v>
      </c>
      <c r="H1967" s="8" t="s">
        <v>21</v>
      </c>
      <c r="I1967" s="8" t="s">
        <v>1283</v>
      </c>
      <c r="J1967" s="8" t="s">
        <v>1283</v>
      </c>
      <c r="K1967" s="8" t="s">
        <v>1751</v>
      </c>
      <c r="L1967" s="8" t="s">
        <v>55972</v>
      </c>
      <c r="M1967" s="8" t="s">
        <v>6970</v>
      </c>
      <c r="N1967" s="8" t="s">
        <v>9111</v>
      </c>
      <c r="O1967" s="8">
        <f>5+26/60+45/3600</f>
        <v>5.4458333333333337</v>
      </c>
      <c r="P1967" s="8" t="s">
        <v>9112</v>
      </c>
      <c r="Q1967" s="8">
        <f>-(68+48/60+54/3600)</f>
        <v>-68.814999999999998</v>
      </c>
      <c r="R1967" s="8">
        <v>99</v>
      </c>
      <c r="S1967" s="8">
        <v>8.5</v>
      </c>
      <c r="T1967" s="8">
        <v>99</v>
      </c>
      <c r="U1967" s="8">
        <v>99</v>
      </c>
      <c r="V1967" s="8">
        <v>13</v>
      </c>
      <c r="W1967" s="8">
        <v>13</v>
      </c>
      <c r="Y1967" s="8" t="s">
        <v>21</v>
      </c>
      <c r="Z1967" s="8" t="s">
        <v>9113</v>
      </c>
    </row>
    <row r="1968" spans="1:26" x14ac:dyDescent="0.2">
      <c r="A1968" s="8">
        <v>1967</v>
      </c>
      <c r="B1968" s="8" t="s">
        <v>9114</v>
      </c>
      <c r="C1968" s="8" t="s">
        <v>9114</v>
      </c>
      <c r="F1968" s="49"/>
      <c r="G1968" s="8">
        <v>18</v>
      </c>
      <c r="H1968" s="8" t="s">
        <v>21</v>
      </c>
      <c r="I1968" s="8" t="s">
        <v>557</v>
      </c>
      <c r="J1968" s="8" t="s">
        <v>557</v>
      </c>
      <c r="K1968" s="8" t="s">
        <v>557</v>
      </c>
      <c r="L1968" s="8" t="s">
        <v>55972</v>
      </c>
      <c r="M1968" s="8" t="s">
        <v>6970</v>
      </c>
      <c r="N1968" s="8" t="s">
        <v>9115</v>
      </c>
      <c r="O1968" s="8">
        <f>5+26/60+43.4/3600</f>
        <v>5.4453888888888891</v>
      </c>
      <c r="P1968" s="8" t="s">
        <v>9116</v>
      </c>
      <c r="Q1968" s="8">
        <f>-(69+6/60+6/3600)</f>
        <v>-69.101666666666659</v>
      </c>
      <c r="R1968" s="8">
        <v>10.8</v>
      </c>
      <c r="S1968" s="8">
        <v>99</v>
      </c>
      <c r="T1968" s="8">
        <v>99</v>
      </c>
      <c r="U1968" s="8">
        <v>99</v>
      </c>
      <c r="V1968" s="8">
        <v>0.4</v>
      </c>
      <c r="Y1968" s="8" t="s">
        <v>8269</v>
      </c>
      <c r="Z1968" s="8" t="s">
        <v>8270</v>
      </c>
    </row>
    <row r="1969" spans="1:26" x14ac:dyDescent="0.2">
      <c r="A1969" s="8">
        <v>1968</v>
      </c>
      <c r="B1969" s="8" t="s">
        <v>9117</v>
      </c>
      <c r="C1969" s="8" t="s">
        <v>9117</v>
      </c>
      <c r="F1969" s="47"/>
      <c r="G1969" s="8">
        <v>5</v>
      </c>
      <c r="H1969" s="8" t="s">
        <v>21</v>
      </c>
      <c r="I1969" s="8" t="s">
        <v>557</v>
      </c>
      <c r="J1969" s="8" t="s">
        <v>557</v>
      </c>
      <c r="K1969" s="8" t="s">
        <v>1816</v>
      </c>
      <c r="L1969" s="8" t="s">
        <v>55972</v>
      </c>
      <c r="M1969" s="8" t="s">
        <v>6970</v>
      </c>
      <c r="N1969" s="8" t="s">
        <v>9118</v>
      </c>
      <c r="O1969" s="8">
        <f>5+27/60+24/3600</f>
        <v>5.456666666666667</v>
      </c>
      <c r="P1969" s="8" t="s">
        <v>9119</v>
      </c>
      <c r="Q1969" s="8">
        <f>-(67+27/60+48/3600)</f>
        <v>-67.463333333333338</v>
      </c>
      <c r="R1969" s="8">
        <v>9</v>
      </c>
      <c r="S1969" s="8">
        <v>99</v>
      </c>
      <c r="T1969" s="8">
        <v>99</v>
      </c>
      <c r="U1969" s="8">
        <v>99</v>
      </c>
      <c r="V1969" s="8">
        <v>1.1000000000000001</v>
      </c>
      <c r="Y1969" s="8" t="s">
        <v>9120</v>
      </c>
      <c r="Z1969" s="8" t="s">
        <v>9121</v>
      </c>
    </row>
    <row r="1970" spans="1:26" x14ac:dyDescent="0.2">
      <c r="A1970" s="8">
        <v>1969</v>
      </c>
      <c r="B1970" s="8" t="s">
        <v>9122</v>
      </c>
      <c r="C1970" s="8" t="s">
        <v>9122</v>
      </c>
      <c r="F1970" s="47"/>
      <c r="G1970" s="8">
        <v>16</v>
      </c>
      <c r="H1970" s="8" t="s">
        <v>21</v>
      </c>
      <c r="I1970" s="8" t="s">
        <v>557</v>
      </c>
      <c r="J1970" s="8" t="s">
        <v>557</v>
      </c>
      <c r="K1970" s="8" t="s">
        <v>557</v>
      </c>
      <c r="L1970" s="8" t="s">
        <v>55972</v>
      </c>
      <c r="M1970" s="8" t="s">
        <v>6970</v>
      </c>
      <c r="N1970" s="8" t="s">
        <v>9123</v>
      </c>
      <c r="O1970" s="8">
        <f>5+26/60+32.4/3600</f>
        <v>5.4423333333333339</v>
      </c>
      <c r="P1970" s="8" t="s">
        <v>9124</v>
      </c>
      <c r="Q1970" s="8">
        <f>-(69+50/60+29/3600)</f>
        <v>-69.841388888888886</v>
      </c>
      <c r="R1970" s="8">
        <v>12.5</v>
      </c>
      <c r="S1970" s="8">
        <v>99</v>
      </c>
      <c r="T1970" s="8">
        <v>99</v>
      </c>
      <c r="U1970" s="8">
        <v>99</v>
      </c>
      <c r="V1970" s="8">
        <v>0.8</v>
      </c>
      <c r="Y1970" s="8" t="s">
        <v>21</v>
      </c>
      <c r="Z1970" s="8" t="s">
        <v>9125</v>
      </c>
    </row>
    <row r="1971" spans="1:26" x14ac:dyDescent="0.2">
      <c r="A1971" s="8">
        <v>1970</v>
      </c>
      <c r="B1971" s="8" t="s">
        <v>9126</v>
      </c>
      <c r="C1971" s="8" t="s">
        <v>9126</v>
      </c>
      <c r="F1971" s="47"/>
      <c r="G1971" s="8">
        <v>16</v>
      </c>
      <c r="H1971" s="8" t="s">
        <v>21</v>
      </c>
      <c r="I1971" s="8" t="s">
        <v>1283</v>
      </c>
      <c r="J1971" s="8" t="s">
        <v>1283</v>
      </c>
      <c r="K1971" s="8" t="s">
        <v>1751</v>
      </c>
      <c r="L1971" s="8" t="s">
        <v>55972</v>
      </c>
      <c r="M1971" s="8" t="s">
        <v>6970</v>
      </c>
      <c r="N1971" s="8" t="s">
        <v>9127</v>
      </c>
      <c r="O1971" s="8">
        <f>5+26/60+52.7/3600</f>
        <v>5.4479722222222229</v>
      </c>
      <c r="P1971" s="8" t="s">
        <v>9128</v>
      </c>
      <c r="Q1971" s="8">
        <f>-(68+50/60+12/3600)</f>
        <v>-68.836666666666659</v>
      </c>
      <c r="R1971" s="8">
        <v>99</v>
      </c>
      <c r="S1971" s="8">
        <v>8</v>
      </c>
      <c r="T1971" s="8">
        <v>99</v>
      </c>
      <c r="U1971" s="8">
        <v>99</v>
      </c>
      <c r="Y1971" s="8" t="s">
        <v>9129</v>
      </c>
      <c r="Z1971" s="8" t="s">
        <v>9129</v>
      </c>
    </row>
    <row r="1972" spans="1:26" x14ac:dyDescent="0.2">
      <c r="A1972" s="8">
        <v>1971</v>
      </c>
      <c r="B1972" s="8" t="s">
        <v>9130</v>
      </c>
      <c r="C1972" s="8" t="s">
        <v>9130</v>
      </c>
      <c r="F1972" s="47"/>
      <c r="G1972" s="8">
        <v>16</v>
      </c>
      <c r="H1972" s="8" t="s">
        <v>21</v>
      </c>
      <c r="I1972" s="8" t="s">
        <v>557</v>
      </c>
      <c r="J1972" s="8" t="s">
        <v>557</v>
      </c>
      <c r="K1972" s="8" t="s">
        <v>557</v>
      </c>
      <c r="L1972" s="8" t="s">
        <v>55972</v>
      </c>
      <c r="M1972" s="8" t="s">
        <v>6970</v>
      </c>
      <c r="N1972" s="8" t="s">
        <v>9131</v>
      </c>
      <c r="O1972" s="8">
        <f>5+26/60+45.3/3600</f>
        <v>5.4459166666666672</v>
      </c>
      <c r="P1972" s="8" t="s">
        <v>9132</v>
      </c>
      <c r="Q1972" s="8">
        <f>-(69+51/60+6/3600)</f>
        <v>-69.851666666666659</v>
      </c>
      <c r="R1972" s="8">
        <v>11.9</v>
      </c>
      <c r="S1972" s="8">
        <v>99</v>
      </c>
      <c r="T1972" s="8">
        <v>99</v>
      </c>
      <c r="U1972" s="8">
        <v>99</v>
      </c>
      <c r="V1972" s="8">
        <v>0.8</v>
      </c>
      <c r="Y1972" s="8" t="s">
        <v>21</v>
      </c>
      <c r="Z1972" s="8" t="s">
        <v>9133</v>
      </c>
    </row>
    <row r="1973" spans="1:26" x14ac:dyDescent="0.2">
      <c r="A1973" s="8">
        <v>1972</v>
      </c>
      <c r="B1973" s="8" t="s">
        <v>9134</v>
      </c>
      <c r="C1973" s="8" t="s">
        <v>9134</v>
      </c>
      <c r="F1973" s="47"/>
      <c r="G1973" s="8">
        <v>16</v>
      </c>
      <c r="H1973" s="8" t="s">
        <v>21</v>
      </c>
      <c r="I1973" s="8" t="s">
        <v>557</v>
      </c>
      <c r="J1973" s="8" t="s">
        <v>557</v>
      </c>
      <c r="K1973" s="8" t="s">
        <v>557</v>
      </c>
      <c r="L1973" s="8" t="s">
        <v>55972</v>
      </c>
      <c r="M1973" s="8" t="s">
        <v>6970</v>
      </c>
      <c r="N1973" s="8" t="s">
        <v>9135</v>
      </c>
      <c r="O1973" s="8">
        <f>5+26/60+47.4/3600</f>
        <v>5.4465000000000003</v>
      </c>
      <c r="P1973" s="8" t="s">
        <v>9136</v>
      </c>
      <c r="Q1973" s="8">
        <f>-(69+50/60+18/3600)</f>
        <v>-69.838333333333324</v>
      </c>
      <c r="R1973" s="8">
        <v>12.6</v>
      </c>
      <c r="S1973" s="8">
        <v>99</v>
      </c>
      <c r="T1973" s="8">
        <v>99</v>
      </c>
      <c r="U1973" s="8">
        <v>99</v>
      </c>
      <c r="V1973" s="8">
        <v>0.9</v>
      </c>
      <c r="Y1973" s="8" t="s">
        <v>21</v>
      </c>
      <c r="Z1973" s="8" t="s">
        <v>9137</v>
      </c>
    </row>
    <row r="1974" spans="1:26" x14ac:dyDescent="0.2">
      <c r="A1974" s="8">
        <v>1973</v>
      </c>
      <c r="B1974" s="8" t="s">
        <v>9138</v>
      </c>
      <c r="C1974" s="8" t="s">
        <v>9138</v>
      </c>
      <c r="F1974" s="47"/>
      <c r="G1974" s="8">
        <v>7</v>
      </c>
      <c r="H1974" s="8" t="s">
        <v>9139</v>
      </c>
      <c r="I1974" s="8" t="s">
        <v>1283</v>
      </c>
      <c r="J1974" s="8" t="s">
        <v>1283</v>
      </c>
      <c r="K1974" s="8" t="s">
        <v>1284</v>
      </c>
      <c r="L1974" s="8" t="s">
        <v>7698</v>
      </c>
      <c r="M1974" s="8" t="s">
        <v>7699</v>
      </c>
      <c r="N1974" s="8" t="s">
        <v>9140</v>
      </c>
      <c r="O1974" s="8">
        <f>5+35/60+4.8/3600</f>
        <v>5.5846666666666662</v>
      </c>
      <c r="P1974" s="8" t="s">
        <v>9141</v>
      </c>
      <c r="Q1974" s="8">
        <f>-(4+43/60+55/3600)</f>
        <v>-4.7319444444444443</v>
      </c>
      <c r="R1974" s="8">
        <v>99</v>
      </c>
      <c r="S1974" s="8">
        <v>7</v>
      </c>
      <c r="T1974" s="8">
        <v>99</v>
      </c>
      <c r="U1974" s="8">
        <v>99</v>
      </c>
      <c r="V1974" s="8">
        <v>5</v>
      </c>
      <c r="W1974" s="8">
        <v>5</v>
      </c>
      <c r="Y1974" s="8" t="s">
        <v>21</v>
      </c>
      <c r="Z1974" s="8" t="s">
        <v>9142</v>
      </c>
    </row>
    <row r="1975" spans="1:26" x14ac:dyDescent="0.2">
      <c r="A1975" s="8">
        <v>1974</v>
      </c>
      <c r="B1975" s="8" t="s">
        <v>9143</v>
      </c>
      <c r="C1975" s="8" t="s">
        <v>9143</v>
      </c>
      <c r="F1975" s="47"/>
      <c r="G1975" s="8">
        <v>5</v>
      </c>
      <c r="H1975" s="8" t="s">
        <v>21</v>
      </c>
      <c r="I1975" s="8" t="s">
        <v>557</v>
      </c>
      <c r="J1975" s="8" t="s">
        <v>557</v>
      </c>
      <c r="K1975" s="8" t="s">
        <v>1816</v>
      </c>
      <c r="L1975" s="8" t="s">
        <v>55972</v>
      </c>
      <c r="M1975" s="8" t="s">
        <v>6970</v>
      </c>
      <c r="N1975" s="8" t="s">
        <v>9144</v>
      </c>
      <c r="O1975" s="8">
        <f>5+28/60+0.4/3600</f>
        <v>5.4667777777777777</v>
      </c>
      <c r="P1975" s="8" t="s">
        <v>9145</v>
      </c>
      <c r="Q1975" s="8">
        <f>-(67+25/60+23/3600)</f>
        <v>-67.423055555555564</v>
      </c>
      <c r="R1975" s="8">
        <v>9</v>
      </c>
      <c r="S1975" s="8">
        <v>99</v>
      </c>
      <c r="T1975" s="8">
        <v>99</v>
      </c>
      <c r="U1975" s="8">
        <v>99</v>
      </c>
      <c r="V1975" s="8">
        <v>1.7</v>
      </c>
      <c r="Y1975" s="8" t="s">
        <v>9146</v>
      </c>
      <c r="Z1975" s="8" t="s">
        <v>9147</v>
      </c>
    </row>
    <row r="1976" spans="1:26" x14ac:dyDescent="0.2">
      <c r="A1976" s="8">
        <v>1975</v>
      </c>
      <c r="B1976" s="8" t="s">
        <v>9148</v>
      </c>
      <c r="C1976" s="8" t="s">
        <v>9148</v>
      </c>
      <c r="F1976" s="47"/>
      <c r="G1976" s="8">
        <v>9</v>
      </c>
      <c r="H1976" s="8" t="s">
        <v>9149</v>
      </c>
      <c r="I1976" s="8" t="s">
        <v>1283</v>
      </c>
      <c r="J1976" s="8" t="s">
        <v>1283</v>
      </c>
      <c r="K1976" s="8" t="s">
        <v>1284</v>
      </c>
      <c r="L1976" s="8" t="s">
        <v>7698</v>
      </c>
      <c r="M1976" s="8" t="s">
        <v>7699</v>
      </c>
      <c r="N1976" s="8" t="s">
        <v>9150</v>
      </c>
      <c r="O1976" s="8">
        <f>5+35/60+18/3600</f>
        <v>5.5883333333333329</v>
      </c>
      <c r="P1976" s="8" t="s">
        <v>9151</v>
      </c>
      <c r="Q1976" s="8">
        <f>-(4+41/60+0/3600)</f>
        <v>-4.6833333333333336</v>
      </c>
      <c r="R1976" s="8">
        <v>99</v>
      </c>
      <c r="S1976" s="8">
        <v>7</v>
      </c>
      <c r="T1976" s="8">
        <v>99</v>
      </c>
      <c r="U1976" s="8">
        <v>99</v>
      </c>
      <c r="V1976" s="8">
        <v>10</v>
      </c>
      <c r="W1976" s="8">
        <v>5</v>
      </c>
      <c r="Y1976" s="8" t="s">
        <v>21</v>
      </c>
      <c r="Z1976" s="8" t="s">
        <v>9152</v>
      </c>
    </row>
    <row r="1977" spans="1:26" x14ac:dyDescent="0.2">
      <c r="A1977" s="8">
        <v>1976</v>
      </c>
      <c r="B1977" s="8" t="s">
        <v>9153</v>
      </c>
      <c r="C1977" s="8" t="s">
        <v>55874</v>
      </c>
      <c r="F1977" s="47"/>
      <c r="G1977" s="8">
        <v>1</v>
      </c>
      <c r="H1977" s="8" t="s">
        <v>9154</v>
      </c>
      <c r="I1977" s="8" t="s">
        <v>1283</v>
      </c>
      <c r="J1977" s="8" t="s">
        <v>1283</v>
      </c>
      <c r="K1977" s="8" t="s">
        <v>9155</v>
      </c>
      <c r="L1977" s="8" t="s">
        <v>7698</v>
      </c>
      <c r="M1977" s="8" t="s">
        <v>7699</v>
      </c>
      <c r="N1977" s="8" t="s">
        <v>9156</v>
      </c>
      <c r="O1977" s="8">
        <f>5+35/60+17.1/3600</f>
        <v>5.5880833333333326</v>
      </c>
      <c r="P1977" s="8" t="s">
        <v>9157</v>
      </c>
      <c r="Q1977" s="8">
        <f>-(5+23/60+25/3600)</f>
        <v>-5.3902777777777784</v>
      </c>
      <c r="R1977" s="8">
        <v>4</v>
      </c>
      <c r="S1977" s="8">
        <v>3.7</v>
      </c>
      <c r="T1977" s="8">
        <v>99</v>
      </c>
      <c r="U1977" s="8">
        <v>99</v>
      </c>
      <c r="V1977" s="8">
        <v>40</v>
      </c>
      <c r="W1977" s="8">
        <v>35</v>
      </c>
      <c r="Y1977" s="8" t="s">
        <v>21</v>
      </c>
      <c r="Z1977" s="8" t="s">
        <v>9158</v>
      </c>
    </row>
    <row r="1978" spans="1:26" x14ac:dyDescent="0.2">
      <c r="A1978" s="8">
        <v>1977</v>
      </c>
      <c r="B1978" s="8" t="s">
        <v>9159</v>
      </c>
      <c r="C1978" s="8" t="s">
        <v>9159</v>
      </c>
      <c r="F1978" s="47" t="s">
        <v>56406</v>
      </c>
      <c r="G1978" s="8">
        <v>6.5</v>
      </c>
      <c r="H1978" s="8" t="s">
        <v>9149</v>
      </c>
      <c r="I1978" s="8" t="s">
        <v>1283</v>
      </c>
      <c r="J1978" s="8" t="s">
        <v>1283</v>
      </c>
      <c r="K1978" s="8" t="s">
        <v>9160</v>
      </c>
      <c r="L1978" s="8" t="s">
        <v>7698</v>
      </c>
      <c r="M1978" s="8" t="s">
        <v>7699</v>
      </c>
      <c r="N1978" s="8" t="s">
        <v>9150</v>
      </c>
      <c r="O1978" s="8">
        <f>5+35/60+18/3600</f>
        <v>5.5883333333333329</v>
      </c>
      <c r="P1978" s="8" t="s">
        <v>9161</v>
      </c>
      <c r="Q1978" s="8">
        <f>-(4+49/60+15/3600)</f>
        <v>-4.8208333333333329</v>
      </c>
      <c r="R1978" s="8">
        <v>99</v>
      </c>
      <c r="S1978" s="8">
        <v>99</v>
      </c>
      <c r="T1978" s="8">
        <v>99</v>
      </c>
      <c r="U1978" s="8">
        <v>99</v>
      </c>
      <c r="V1978" s="8">
        <v>20</v>
      </c>
      <c r="Y1978" s="8" t="s">
        <v>21</v>
      </c>
      <c r="Z1978" s="8" t="s">
        <v>9162</v>
      </c>
    </row>
    <row r="1979" spans="1:26" x14ac:dyDescent="0.2">
      <c r="A1979" s="8">
        <v>1978</v>
      </c>
      <c r="B1979" s="8" t="s">
        <v>9163</v>
      </c>
      <c r="C1979" s="8" t="s">
        <v>9163</v>
      </c>
      <c r="F1979" s="47"/>
      <c r="G1979" s="8">
        <v>16</v>
      </c>
      <c r="H1979" s="8" t="s">
        <v>21</v>
      </c>
      <c r="I1979" s="8" t="s">
        <v>557</v>
      </c>
      <c r="J1979" s="8" t="s">
        <v>557</v>
      </c>
      <c r="K1979" s="8" t="s">
        <v>557</v>
      </c>
      <c r="L1979" s="8" t="s">
        <v>55972</v>
      </c>
      <c r="M1979" s="8" t="s">
        <v>6970</v>
      </c>
      <c r="N1979" s="8" t="s">
        <v>9164</v>
      </c>
      <c r="O1979" s="8">
        <f>5+28/60+45.2/3600</f>
        <v>5.479222222222222</v>
      </c>
      <c r="P1979" s="8" t="s">
        <v>9165</v>
      </c>
      <c r="Q1979" s="8">
        <f>-(66+14/60+14/3600)</f>
        <v>-66.237222222222229</v>
      </c>
      <c r="R1979" s="8">
        <v>10.7</v>
      </c>
      <c r="S1979" s="8">
        <v>10.7</v>
      </c>
      <c r="T1979" s="8">
        <v>99</v>
      </c>
      <c r="U1979" s="8">
        <v>99</v>
      </c>
      <c r="V1979" s="8">
        <v>3.9</v>
      </c>
      <c r="Y1979" s="8" t="s">
        <v>9166</v>
      </c>
      <c r="Z1979" s="8" t="s">
        <v>9167</v>
      </c>
    </row>
    <row r="1980" spans="1:26" x14ac:dyDescent="0.2">
      <c r="A1980" s="8">
        <v>1979</v>
      </c>
      <c r="B1980" s="8" t="s">
        <v>9168</v>
      </c>
      <c r="C1980" s="8" t="s">
        <v>9168</v>
      </c>
      <c r="F1980" s="47" t="s">
        <v>56407</v>
      </c>
      <c r="G1980" s="8">
        <v>15</v>
      </c>
      <c r="H1980" s="8" t="s">
        <v>21</v>
      </c>
      <c r="I1980" s="8" t="s">
        <v>22</v>
      </c>
      <c r="J1980" s="8" t="s">
        <v>22</v>
      </c>
      <c r="K1980" s="8" t="s">
        <v>58</v>
      </c>
      <c r="L1980" s="8" t="s">
        <v>7915</v>
      </c>
      <c r="M1980" s="8" t="s">
        <v>7916</v>
      </c>
      <c r="N1980" s="8" t="s">
        <v>9169</v>
      </c>
      <c r="O1980" s="8">
        <f>5+34/60+1.1/3600</f>
        <v>5.5669722222222218</v>
      </c>
      <c r="P1980" s="8" t="s">
        <v>9170</v>
      </c>
      <c r="Q1980" s="8">
        <f>-(23+18/60+37/3600)</f>
        <v>-23.310277777777777</v>
      </c>
      <c r="R1980" s="8">
        <v>11.9</v>
      </c>
      <c r="S1980" s="8">
        <v>12.9</v>
      </c>
      <c r="T1980" s="8">
        <v>1</v>
      </c>
      <c r="U1980" s="8">
        <v>13.1</v>
      </c>
      <c r="V1980" s="8">
        <v>1.8</v>
      </c>
      <c r="W1980" s="8">
        <v>1.8</v>
      </c>
      <c r="Y1980" s="8" t="s">
        <v>1948</v>
      </c>
      <c r="Z1980" s="8" t="s">
        <v>1949</v>
      </c>
    </row>
    <row r="1981" spans="1:26" x14ac:dyDescent="0.2">
      <c r="A1981" s="8">
        <v>1980</v>
      </c>
      <c r="B1981" s="8" t="s">
        <v>9171</v>
      </c>
      <c r="C1981" s="8" t="s">
        <v>9171</v>
      </c>
      <c r="F1981" s="47" t="s">
        <v>56408</v>
      </c>
      <c r="G1981" s="8">
        <v>5</v>
      </c>
      <c r="H1981" s="8" t="s">
        <v>9172</v>
      </c>
      <c r="I1981" s="8" t="s">
        <v>72</v>
      </c>
      <c r="J1981" s="8" t="s">
        <v>72</v>
      </c>
      <c r="K1981" s="8" t="s">
        <v>20</v>
      </c>
      <c r="L1981" s="8" t="s">
        <v>7698</v>
      </c>
      <c r="M1981" s="8" t="s">
        <v>7699</v>
      </c>
      <c r="N1981" s="8" t="s">
        <v>9173</v>
      </c>
      <c r="O1981" s="8">
        <f>5+35/60+25/3600</f>
        <v>5.5902777777777777</v>
      </c>
      <c r="P1981" s="8" t="s">
        <v>9174</v>
      </c>
      <c r="Q1981" s="8">
        <f>-(5+54/60+54/3600)</f>
        <v>-5.915</v>
      </c>
      <c r="R1981" s="8">
        <v>99</v>
      </c>
      <c r="S1981" s="8">
        <v>99</v>
      </c>
      <c r="T1981" s="8">
        <v>99</v>
      </c>
      <c r="U1981" s="8">
        <v>99</v>
      </c>
      <c r="Y1981" s="8" t="s">
        <v>21</v>
      </c>
      <c r="Z1981" s="8" t="s">
        <v>9175</v>
      </c>
    </row>
    <row r="1982" spans="1:26" x14ac:dyDescent="0.2">
      <c r="A1982" s="8">
        <v>1981</v>
      </c>
      <c r="B1982" s="8" t="s">
        <v>9176</v>
      </c>
      <c r="C1982" s="8" t="s">
        <v>9176</v>
      </c>
      <c r="F1982" s="47"/>
      <c r="G1982" s="8">
        <v>5</v>
      </c>
      <c r="H1982" s="8" t="s">
        <v>9177</v>
      </c>
      <c r="I1982" s="8" t="s">
        <v>557</v>
      </c>
      <c r="J1982" s="8" t="s">
        <v>557</v>
      </c>
      <c r="K1982" s="8" t="s">
        <v>987</v>
      </c>
      <c r="L1982" s="8" t="s">
        <v>7698</v>
      </c>
      <c r="M1982" s="8" t="s">
        <v>7699</v>
      </c>
      <c r="N1982" s="8" t="s">
        <v>9178</v>
      </c>
      <c r="O1982" s="8">
        <f>5+35/60+12/3600</f>
        <v>5.586666666666666</v>
      </c>
      <c r="P1982" s="8" t="s">
        <v>9179</v>
      </c>
      <c r="Q1982" s="8">
        <f>-(4+26/60+0/3600)</f>
        <v>-4.4333333333333336</v>
      </c>
      <c r="R1982" s="8">
        <v>4.2</v>
      </c>
      <c r="S1982" s="8">
        <v>99</v>
      </c>
      <c r="T1982" s="8">
        <v>99</v>
      </c>
      <c r="U1982" s="8">
        <v>99</v>
      </c>
      <c r="V1982" s="8">
        <v>28</v>
      </c>
      <c r="Y1982" s="8" t="s">
        <v>9180</v>
      </c>
      <c r="Z1982" s="8" t="s">
        <v>9181</v>
      </c>
    </row>
    <row r="1983" spans="1:26" x14ac:dyDescent="0.2">
      <c r="A1983" s="8">
        <v>1982</v>
      </c>
      <c r="B1983" s="8" t="s">
        <v>9182</v>
      </c>
      <c r="C1983" s="8" t="s">
        <v>55875</v>
      </c>
      <c r="F1983" s="47" t="s">
        <v>56409</v>
      </c>
      <c r="G1983" s="8">
        <v>1</v>
      </c>
      <c r="H1983" s="8" t="s">
        <v>9183</v>
      </c>
      <c r="I1983" s="8" t="s">
        <v>1283</v>
      </c>
      <c r="J1983" s="8" t="s">
        <v>1283</v>
      </c>
      <c r="K1983" s="8" t="s">
        <v>1284</v>
      </c>
      <c r="L1983" s="8" t="s">
        <v>7698</v>
      </c>
      <c r="M1983" s="8" t="s">
        <v>7699</v>
      </c>
      <c r="N1983" s="8" t="s">
        <v>9184</v>
      </c>
      <c r="O1983" s="8">
        <f>5+35/60+31.3/3600</f>
        <v>5.5920277777777772</v>
      </c>
      <c r="P1983" s="8" t="s">
        <v>9185</v>
      </c>
      <c r="Q1983" s="8">
        <f>-(5+16/60+3/3600)</f>
        <v>-5.2675000000000001</v>
      </c>
      <c r="R1983" s="8">
        <v>99</v>
      </c>
      <c r="S1983" s="8">
        <v>6.8</v>
      </c>
      <c r="T1983" s="8">
        <v>99</v>
      </c>
      <c r="U1983" s="8">
        <v>99</v>
      </c>
      <c r="V1983" s="8">
        <v>20</v>
      </c>
      <c r="W1983" s="8">
        <v>15</v>
      </c>
      <c r="Y1983" s="8" t="s">
        <v>21</v>
      </c>
      <c r="Z1983" s="8" t="s">
        <v>9186</v>
      </c>
    </row>
    <row r="1984" spans="1:26" x14ac:dyDescent="0.2">
      <c r="A1984" s="8">
        <v>1983</v>
      </c>
      <c r="B1984" s="8" t="s">
        <v>9187</v>
      </c>
      <c r="C1984" s="8" t="s">
        <v>9187</v>
      </c>
      <c r="F1984" s="47"/>
      <c r="G1984" s="8">
        <v>5</v>
      </c>
      <c r="H1984" s="8" t="s">
        <v>21</v>
      </c>
      <c r="I1984" s="8" t="s">
        <v>557</v>
      </c>
      <c r="J1984" s="8" t="s">
        <v>557</v>
      </c>
      <c r="K1984" s="8" t="s">
        <v>1816</v>
      </c>
      <c r="L1984" s="8" t="s">
        <v>55972</v>
      </c>
      <c r="M1984" s="8" t="s">
        <v>6970</v>
      </c>
      <c r="N1984" s="8" t="s">
        <v>9188</v>
      </c>
      <c r="O1984" s="8">
        <f>5+27/60+44.3/3600</f>
        <v>5.462305555555556</v>
      </c>
      <c r="P1984" s="8" t="s">
        <v>9189</v>
      </c>
      <c r="Q1984" s="8">
        <f>-(68+59/60+10/3600)</f>
        <v>-68.986111111111114</v>
      </c>
      <c r="R1984" s="8">
        <v>9.9</v>
      </c>
      <c r="S1984" s="8">
        <v>10.4</v>
      </c>
      <c r="T1984" s="8">
        <v>99</v>
      </c>
      <c r="U1984" s="8">
        <v>99</v>
      </c>
      <c r="Y1984" s="8" t="s">
        <v>9190</v>
      </c>
      <c r="Z1984" s="8" t="s">
        <v>9191</v>
      </c>
    </row>
    <row r="1985" spans="1:26" x14ac:dyDescent="0.2">
      <c r="A1985" s="8">
        <v>1984</v>
      </c>
      <c r="B1985" s="8" t="s">
        <v>9192</v>
      </c>
      <c r="C1985" s="8" t="s">
        <v>9192</v>
      </c>
      <c r="F1985" s="47"/>
      <c r="G1985" s="8">
        <v>16</v>
      </c>
      <c r="H1985" s="8" t="s">
        <v>21</v>
      </c>
      <c r="I1985" s="8" t="s">
        <v>557</v>
      </c>
      <c r="J1985" s="8" t="s">
        <v>557</v>
      </c>
      <c r="K1985" s="8" t="s">
        <v>1816</v>
      </c>
      <c r="L1985" s="8" t="s">
        <v>55972</v>
      </c>
      <c r="M1985" s="8" t="s">
        <v>6970</v>
      </c>
      <c r="N1985" s="8" t="s">
        <v>9193</v>
      </c>
      <c r="O1985" s="8">
        <f>5+27/60+41/3600</f>
        <v>5.4613888888888891</v>
      </c>
      <c r="P1985" s="8" t="s">
        <v>9194</v>
      </c>
      <c r="Q1985" s="8">
        <f>-(69+8/60+4/3600)</f>
        <v>-69.134444444444455</v>
      </c>
      <c r="R1985" s="8">
        <v>10</v>
      </c>
      <c r="S1985" s="8">
        <v>10</v>
      </c>
      <c r="T1985" s="8">
        <v>99</v>
      </c>
      <c r="U1985" s="8">
        <v>99</v>
      </c>
      <c r="Y1985" s="8" t="s">
        <v>21</v>
      </c>
      <c r="Z1985" s="8" t="s">
        <v>9195</v>
      </c>
    </row>
    <row r="1986" spans="1:26" x14ac:dyDescent="0.2">
      <c r="A1986" s="8">
        <v>1985</v>
      </c>
      <c r="B1986" s="8" t="s">
        <v>9196</v>
      </c>
      <c r="C1986" s="8" t="s">
        <v>9196</v>
      </c>
      <c r="F1986" s="47" t="s">
        <v>56410</v>
      </c>
      <c r="G1986" s="8">
        <v>13</v>
      </c>
      <c r="H1986" s="8" t="s">
        <v>21</v>
      </c>
      <c r="I1986" s="8" t="s">
        <v>1283</v>
      </c>
      <c r="J1986" s="8" t="s">
        <v>1283</v>
      </c>
      <c r="K1986" s="8" t="s">
        <v>6208</v>
      </c>
      <c r="L1986" s="8" t="s">
        <v>7717</v>
      </c>
      <c r="M1986" s="8" t="s">
        <v>7718</v>
      </c>
      <c r="N1986" s="8" t="s">
        <v>9197</v>
      </c>
      <c r="O1986" s="8">
        <f>5+37/60+47.8/3600</f>
        <v>5.6299444444444449</v>
      </c>
      <c r="P1986" s="8" t="s">
        <v>9198</v>
      </c>
      <c r="Q1986" s="8">
        <f>+(31+59/60+20/3600)</f>
        <v>31.988888888888891</v>
      </c>
      <c r="R1986" s="8">
        <v>99</v>
      </c>
      <c r="S1986" s="8">
        <v>12.7</v>
      </c>
      <c r="T1986" s="8">
        <v>99</v>
      </c>
      <c r="U1986" s="8">
        <v>99</v>
      </c>
      <c r="V1986" s="8">
        <v>0.68</v>
      </c>
      <c r="Y1986" s="8" t="s">
        <v>9199</v>
      </c>
      <c r="Z1986" s="8" t="s">
        <v>9200</v>
      </c>
    </row>
    <row r="1987" spans="1:26" x14ac:dyDescent="0.2">
      <c r="A1987" s="8">
        <v>1986</v>
      </c>
      <c r="B1987" s="8" t="s">
        <v>9201</v>
      </c>
      <c r="C1987" s="8" t="s">
        <v>9201</v>
      </c>
      <c r="F1987" s="47"/>
      <c r="G1987" s="8">
        <v>16</v>
      </c>
      <c r="H1987" s="8" t="s">
        <v>21</v>
      </c>
      <c r="I1987" s="8" t="s">
        <v>557</v>
      </c>
      <c r="J1987" s="8" t="s">
        <v>557</v>
      </c>
      <c r="K1987" s="8" t="s">
        <v>557</v>
      </c>
      <c r="L1987" s="8" t="s">
        <v>7071</v>
      </c>
      <c r="M1987" s="8" t="s">
        <v>7072</v>
      </c>
      <c r="N1987" s="8" t="s">
        <v>9202</v>
      </c>
      <c r="O1987" s="8">
        <f>5+27/60+39/3600</f>
        <v>5.4608333333333334</v>
      </c>
      <c r="P1987" s="8" t="s">
        <v>9203</v>
      </c>
      <c r="Q1987" s="8">
        <f>-(69+58/60+22/3600)</f>
        <v>-69.972777777777779</v>
      </c>
      <c r="R1987" s="8">
        <v>11.1</v>
      </c>
      <c r="S1987" s="8">
        <v>99</v>
      </c>
      <c r="T1987" s="8">
        <v>99</v>
      </c>
      <c r="U1987" s="8">
        <v>99</v>
      </c>
      <c r="V1987" s="8">
        <v>0.7</v>
      </c>
      <c r="Y1987" s="8" t="s">
        <v>9204</v>
      </c>
      <c r="Z1987" s="8" t="s">
        <v>9205</v>
      </c>
    </row>
    <row r="1988" spans="1:26" x14ac:dyDescent="0.2">
      <c r="A1988" s="8">
        <v>1987</v>
      </c>
      <c r="B1988" s="8" t="s">
        <v>9206</v>
      </c>
      <c r="C1988" s="8" t="s">
        <v>9206</v>
      </c>
      <c r="F1988" s="47"/>
      <c r="G1988" s="8">
        <v>16</v>
      </c>
      <c r="H1988" s="8" t="s">
        <v>21</v>
      </c>
      <c r="I1988" s="8" t="s">
        <v>557</v>
      </c>
      <c r="J1988" s="8" t="s">
        <v>557</v>
      </c>
      <c r="K1988" s="8" t="s">
        <v>557</v>
      </c>
      <c r="L1988" s="8" t="s">
        <v>7071</v>
      </c>
      <c r="M1988" s="8" t="s">
        <v>7072</v>
      </c>
      <c r="N1988" s="8" t="s">
        <v>9207</v>
      </c>
      <c r="O1988" s="8">
        <f>5+27/60+17.2/3600</f>
        <v>5.4547777777777782</v>
      </c>
      <c r="P1988" s="8" t="s">
        <v>9208</v>
      </c>
      <c r="Q1988" s="8">
        <f>-(70+44/60+15/3600)</f>
        <v>-70.737499999999997</v>
      </c>
      <c r="R1988" s="8">
        <v>99</v>
      </c>
      <c r="S1988" s="8">
        <v>12.1</v>
      </c>
      <c r="T1988" s="8">
        <v>99</v>
      </c>
      <c r="U1988" s="8">
        <v>99</v>
      </c>
      <c r="V1988" s="8">
        <v>1.7</v>
      </c>
      <c r="Y1988" s="8" t="s">
        <v>9209</v>
      </c>
      <c r="Z1988" s="8" t="s">
        <v>9210</v>
      </c>
    </row>
    <row r="1989" spans="1:26" x14ac:dyDescent="0.2">
      <c r="A1989" s="8">
        <v>1988</v>
      </c>
      <c r="B1989" s="8" t="s">
        <v>9211</v>
      </c>
      <c r="C1989" s="8" t="s">
        <v>9211</v>
      </c>
      <c r="F1989" s="47"/>
      <c r="G1989" s="8">
        <v>18</v>
      </c>
      <c r="H1989" s="8" t="s">
        <v>21</v>
      </c>
      <c r="I1989" s="8" t="s">
        <v>72</v>
      </c>
      <c r="J1989" s="8" t="s">
        <v>72</v>
      </c>
      <c r="K1989" s="8" t="s">
        <v>20</v>
      </c>
      <c r="L1989" s="8" t="s">
        <v>6115</v>
      </c>
      <c r="M1989" s="8" t="s">
        <v>6116</v>
      </c>
      <c r="N1989" s="8" t="s">
        <v>9212</v>
      </c>
      <c r="O1989" s="8">
        <f>5+37/60+26.5/3600</f>
        <v>5.6240277777777781</v>
      </c>
      <c r="P1989" s="8" t="s">
        <v>9213</v>
      </c>
      <c r="Q1989" s="8">
        <f>+(21+13/60+7/3600)</f>
        <v>21.218611111111109</v>
      </c>
      <c r="R1989" s="8">
        <v>99</v>
      </c>
      <c r="S1989" s="8">
        <v>11</v>
      </c>
      <c r="T1989" s="8">
        <v>99</v>
      </c>
      <c r="U1989" s="8">
        <v>99</v>
      </c>
      <c r="Y1989" s="8" t="s">
        <v>21</v>
      </c>
      <c r="Z1989" s="8" t="s">
        <v>9214</v>
      </c>
    </row>
    <row r="1990" spans="1:26" x14ac:dyDescent="0.2">
      <c r="A1990" s="8">
        <v>1989</v>
      </c>
      <c r="B1990" s="8" t="s">
        <v>9215</v>
      </c>
      <c r="C1990" s="8" t="s">
        <v>9215</v>
      </c>
      <c r="F1990" s="47"/>
      <c r="G1990" s="8">
        <v>16</v>
      </c>
      <c r="H1990" s="8" t="s">
        <v>21</v>
      </c>
      <c r="I1990" s="8" t="s">
        <v>22</v>
      </c>
      <c r="J1990" s="8" t="s">
        <v>22</v>
      </c>
      <c r="K1990" s="8" t="s">
        <v>58</v>
      </c>
      <c r="L1990" s="8" t="s">
        <v>8298</v>
      </c>
      <c r="M1990" s="8" t="s">
        <v>8299</v>
      </c>
      <c r="N1990" s="8" t="s">
        <v>9216</v>
      </c>
      <c r="O1990" s="8">
        <f>5+34/60+23.4/3600</f>
        <v>5.5731666666666664</v>
      </c>
      <c r="P1990" s="8" t="s">
        <v>9217</v>
      </c>
      <c r="Q1990" s="8">
        <f>-(30+48/60+2/3600)</f>
        <v>-30.800555555555555</v>
      </c>
      <c r="R1990" s="8">
        <v>12.9</v>
      </c>
      <c r="S1990" s="8">
        <v>13.9</v>
      </c>
      <c r="T1990" s="8">
        <v>1</v>
      </c>
      <c r="U1990" s="8">
        <v>13.1</v>
      </c>
      <c r="V1990" s="8">
        <v>1.4</v>
      </c>
      <c r="W1990" s="8">
        <v>1.1000000000000001</v>
      </c>
      <c r="X1990" s="8">
        <v>106</v>
      </c>
      <c r="Y1990" s="8" t="s">
        <v>9218</v>
      </c>
      <c r="Z1990" s="8" t="s">
        <v>9219</v>
      </c>
    </row>
    <row r="1991" spans="1:26" x14ac:dyDescent="0.2">
      <c r="A1991" s="8">
        <v>1990</v>
      </c>
      <c r="B1991" s="8" t="s">
        <v>9220</v>
      </c>
      <c r="C1991" s="8" t="s">
        <v>9220</v>
      </c>
      <c r="F1991" s="47" t="s">
        <v>56411</v>
      </c>
      <c r="G1991" s="8">
        <v>6.5</v>
      </c>
      <c r="H1991" s="8" t="s">
        <v>9221</v>
      </c>
      <c r="I1991" s="8" t="s">
        <v>1283</v>
      </c>
      <c r="J1991" s="8" t="s">
        <v>1283</v>
      </c>
      <c r="K1991" s="8" t="s">
        <v>6208</v>
      </c>
      <c r="L1991" s="8" t="s">
        <v>7698</v>
      </c>
      <c r="M1991" s="8" t="s">
        <v>7699</v>
      </c>
      <c r="N1991" s="8" t="s">
        <v>9222</v>
      </c>
      <c r="O1991" s="8">
        <f>5+36/60+12.8/3600</f>
        <v>5.6035555555555554</v>
      </c>
      <c r="P1991" s="8" t="s">
        <v>9223</v>
      </c>
      <c r="Q1991" s="8">
        <f>-(1+12/60+5/3600)</f>
        <v>-1.2013888888888888</v>
      </c>
      <c r="R1991" s="8">
        <v>99</v>
      </c>
      <c r="S1991" s="8">
        <v>99</v>
      </c>
      <c r="T1991" s="8">
        <v>99</v>
      </c>
      <c r="U1991" s="8">
        <v>99</v>
      </c>
      <c r="V1991" s="8">
        <v>50</v>
      </c>
      <c r="W1991" s="8">
        <v>10</v>
      </c>
      <c r="Y1991" s="8" t="s">
        <v>21</v>
      </c>
      <c r="Z1991" s="8" t="s">
        <v>9224</v>
      </c>
    </row>
    <row r="1992" spans="1:26" x14ac:dyDescent="0.2">
      <c r="A1992" s="8">
        <v>1991</v>
      </c>
      <c r="B1992" s="8" t="s">
        <v>9225</v>
      </c>
      <c r="C1992" s="8" t="s">
        <v>9225</v>
      </c>
      <c r="F1992" s="47"/>
      <c r="G1992" s="8">
        <v>16</v>
      </c>
      <c r="H1992" s="8" t="s">
        <v>21</v>
      </c>
      <c r="I1992" s="8" t="s">
        <v>557</v>
      </c>
      <c r="J1992" s="8" t="s">
        <v>57</v>
      </c>
      <c r="K1992" s="8" t="s">
        <v>1816</v>
      </c>
      <c r="L1992" s="8" t="s">
        <v>55972</v>
      </c>
      <c r="M1992" s="8" t="s">
        <v>6970</v>
      </c>
      <c r="N1992" s="8" t="s">
        <v>9144</v>
      </c>
      <c r="O1992" s="8">
        <f>5+28/60+0.4/3600</f>
        <v>5.4667777777777777</v>
      </c>
      <c r="P1992" s="8" t="s">
        <v>9145</v>
      </c>
      <c r="Q1992" s="8">
        <f>-(67+25/60+23/3600)</f>
        <v>-67.423055555555564</v>
      </c>
      <c r="R1992" s="8">
        <v>9</v>
      </c>
      <c r="S1992" s="8">
        <v>99</v>
      </c>
      <c r="T1992" s="8">
        <v>99</v>
      </c>
      <c r="U1992" s="8">
        <v>99</v>
      </c>
      <c r="V1992" s="8">
        <v>1.7</v>
      </c>
      <c r="Y1992" s="8" t="s">
        <v>21</v>
      </c>
      <c r="Z1992" s="8" t="s">
        <v>9226</v>
      </c>
    </row>
    <row r="1993" spans="1:26" x14ac:dyDescent="0.2">
      <c r="A1993" s="8">
        <v>1992</v>
      </c>
      <c r="B1993" s="8" t="s">
        <v>9227</v>
      </c>
      <c r="C1993" s="8" t="s">
        <v>9227</v>
      </c>
      <c r="F1993" s="47"/>
      <c r="G1993" s="8">
        <v>16</v>
      </c>
      <c r="H1993" s="8" t="s">
        <v>21</v>
      </c>
      <c r="I1993" s="8" t="s">
        <v>22</v>
      </c>
      <c r="J1993" s="8" t="s">
        <v>22</v>
      </c>
      <c r="K1993" s="8" t="s">
        <v>632</v>
      </c>
      <c r="L1993" s="8" t="s">
        <v>8298</v>
      </c>
      <c r="M1993" s="8" t="s">
        <v>8299</v>
      </c>
      <c r="N1993" s="8" t="s">
        <v>9228</v>
      </c>
      <c r="O1993" s="8">
        <f>5+34/60+31.8/3600</f>
        <v>5.5754999999999999</v>
      </c>
      <c r="P1993" s="8" t="s">
        <v>9229</v>
      </c>
      <c r="Q1993" s="8">
        <f>-(30+53/60+49/3600)</f>
        <v>-30.896944444444443</v>
      </c>
      <c r="R1993" s="8">
        <v>13.5</v>
      </c>
      <c r="S1993" s="8">
        <v>14.4</v>
      </c>
      <c r="T1993" s="8">
        <v>0.9</v>
      </c>
      <c r="U1993" s="8">
        <v>13.1</v>
      </c>
      <c r="V1993" s="8">
        <v>1.1000000000000001</v>
      </c>
      <c r="W1993" s="8">
        <v>0.7</v>
      </c>
      <c r="X1993" s="8">
        <v>45</v>
      </c>
      <c r="Y1993" s="8" t="s">
        <v>9230</v>
      </c>
      <c r="Z1993" s="8" t="s">
        <v>9231</v>
      </c>
    </row>
    <row r="1994" spans="1:26" x14ac:dyDescent="0.2">
      <c r="A1994" s="8">
        <v>1993</v>
      </c>
      <c r="B1994" s="8" t="s">
        <v>9232</v>
      </c>
      <c r="C1994" s="8" t="s">
        <v>9232</v>
      </c>
      <c r="F1994" s="47" t="s">
        <v>56412</v>
      </c>
      <c r="G1994" s="8">
        <v>15</v>
      </c>
      <c r="H1994" s="8" t="s">
        <v>21</v>
      </c>
      <c r="I1994" s="8" t="s">
        <v>22</v>
      </c>
      <c r="J1994" s="8" t="s">
        <v>22</v>
      </c>
      <c r="K1994" s="8" t="s">
        <v>58</v>
      </c>
      <c r="L1994" s="8" t="s">
        <v>7915</v>
      </c>
      <c r="M1994" s="8" t="s">
        <v>7916</v>
      </c>
      <c r="N1994" s="8" t="s">
        <v>9233</v>
      </c>
      <c r="O1994" s="8">
        <f>5+35/60+25.4/3600</f>
        <v>5.5903888888888886</v>
      </c>
      <c r="P1994" s="8" t="s">
        <v>9234</v>
      </c>
      <c r="Q1994" s="8">
        <f>-(17+48/60+54/3600)</f>
        <v>-17.815000000000001</v>
      </c>
      <c r="R1994" s="8">
        <v>12.4</v>
      </c>
      <c r="S1994" s="8">
        <v>13.4</v>
      </c>
      <c r="T1994" s="8">
        <v>1</v>
      </c>
      <c r="U1994" s="8">
        <v>13.3</v>
      </c>
      <c r="V1994" s="8">
        <v>1.5</v>
      </c>
      <c r="W1994" s="8">
        <v>1.4</v>
      </c>
      <c r="X1994" s="8">
        <v>80</v>
      </c>
      <c r="Y1994" s="8" t="s">
        <v>2287</v>
      </c>
      <c r="Z1994" s="8" t="s">
        <v>2288</v>
      </c>
    </row>
    <row r="1995" spans="1:26" x14ac:dyDescent="0.2">
      <c r="A1995" s="8">
        <v>1994</v>
      </c>
      <c r="B1995" s="8" t="s">
        <v>9235</v>
      </c>
      <c r="C1995" s="8" t="s">
        <v>9235</v>
      </c>
      <c r="F1995" s="47"/>
      <c r="G1995" s="8">
        <v>16</v>
      </c>
      <c r="H1995" s="8" t="s">
        <v>21</v>
      </c>
      <c r="I1995" s="8" t="s">
        <v>557</v>
      </c>
      <c r="J1995" s="8" t="s">
        <v>557</v>
      </c>
      <c r="K1995" s="8" t="s">
        <v>557</v>
      </c>
      <c r="L1995" s="8" t="s">
        <v>55972</v>
      </c>
      <c r="M1995" s="8" t="s">
        <v>6970</v>
      </c>
      <c r="N1995" s="8" t="s">
        <v>9236</v>
      </c>
      <c r="O1995" s="8">
        <f>5+28/60+21.8/3600</f>
        <v>5.472722222222222</v>
      </c>
      <c r="P1995" s="8" t="s">
        <v>9237</v>
      </c>
      <c r="Q1995" s="8">
        <f>-(69+8/60+31/3600)</f>
        <v>-69.141944444444448</v>
      </c>
      <c r="R1995" s="8">
        <v>9.8000000000000007</v>
      </c>
      <c r="S1995" s="8">
        <v>99</v>
      </c>
      <c r="T1995" s="8">
        <v>99</v>
      </c>
      <c r="U1995" s="8">
        <v>99</v>
      </c>
      <c r="V1995" s="8">
        <v>0.6</v>
      </c>
      <c r="Y1995" s="8" t="s">
        <v>9238</v>
      </c>
      <c r="Z1995" s="8" t="s">
        <v>9239</v>
      </c>
    </row>
    <row r="1996" spans="1:26" x14ac:dyDescent="0.2">
      <c r="A1996" s="8">
        <v>1995</v>
      </c>
      <c r="B1996" s="8" t="s">
        <v>9240</v>
      </c>
      <c r="C1996" s="8" t="s">
        <v>9240</v>
      </c>
      <c r="F1996" s="47"/>
      <c r="G1996" s="8">
        <v>16</v>
      </c>
      <c r="H1996" s="8" t="s">
        <v>21</v>
      </c>
      <c r="I1996" s="8" t="s">
        <v>72</v>
      </c>
      <c r="J1996" s="8" t="s">
        <v>72</v>
      </c>
      <c r="K1996" s="8" t="s">
        <v>73</v>
      </c>
      <c r="L1996" s="8" t="s">
        <v>7782</v>
      </c>
      <c r="M1996" s="8" t="s">
        <v>7783</v>
      </c>
      <c r="N1996" s="8" t="s">
        <v>9241</v>
      </c>
      <c r="O1996" s="8">
        <f>5+33/60+3.3/3600</f>
        <v>5.5509166666666667</v>
      </c>
      <c r="P1996" s="8" t="s">
        <v>9242</v>
      </c>
      <c r="Q1996" s="8">
        <f>-(48+40/60+28/3600)</f>
        <v>-48.67444444444444</v>
      </c>
      <c r="R1996" s="8">
        <v>99</v>
      </c>
      <c r="S1996" s="8">
        <v>99</v>
      </c>
      <c r="T1996" s="8">
        <v>99</v>
      </c>
      <c r="U1996" s="8">
        <v>99</v>
      </c>
      <c r="Y1996" s="8" t="s">
        <v>9243</v>
      </c>
      <c r="Z1996" s="8" t="s">
        <v>9244</v>
      </c>
    </row>
    <row r="1997" spans="1:26" x14ac:dyDescent="0.2">
      <c r="A1997" s="8">
        <v>1996</v>
      </c>
      <c r="B1997" s="8" t="s">
        <v>9245</v>
      </c>
      <c r="C1997" s="8" t="s">
        <v>9245</v>
      </c>
      <c r="F1997" s="47" t="s">
        <v>56413</v>
      </c>
      <c r="G1997" s="8">
        <v>15</v>
      </c>
      <c r="H1997" s="8" t="s">
        <v>21</v>
      </c>
      <c r="I1997" s="8" t="s">
        <v>72</v>
      </c>
      <c r="J1997" s="8" t="s">
        <v>72</v>
      </c>
      <c r="K1997" s="8" t="s">
        <v>1405</v>
      </c>
      <c r="L1997" s="8" t="s">
        <v>6115</v>
      </c>
      <c r="M1997" s="8" t="s">
        <v>6116</v>
      </c>
      <c r="N1997" s="8" t="s">
        <v>9246</v>
      </c>
      <c r="O1997" s="8">
        <f>5+38/60+10.2/3600</f>
        <v>5.6361666666666661</v>
      </c>
      <c r="P1997" s="8" t="s">
        <v>9247</v>
      </c>
      <c r="Q1997" s="8">
        <f>+(25+49/60+4/3600)</f>
        <v>25.817777777777778</v>
      </c>
      <c r="R1997" s="8">
        <v>99</v>
      </c>
      <c r="S1997" s="8">
        <v>99</v>
      </c>
      <c r="T1997" s="8">
        <v>99</v>
      </c>
      <c r="U1997" s="8">
        <v>99</v>
      </c>
      <c r="V1997" s="8">
        <v>22</v>
      </c>
      <c r="Y1997" s="8" t="s">
        <v>9248</v>
      </c>
      <c r="Z1997" s="8" t="s">
        <v>9249</v>
      </c>
    </row>
    <row r="1998" spans="1:26" x14ac:dyDescent="0.2">
      <c r="A1998" s="8">
        <v>1997</v>
      </c>
      <c r="B1998" s="8" t="s">
        <v>9250</v>
      </c>
      <c r="C1998" s="8" t="s">
        <v>9250</v>
      </c>
      <c r="F1998" s="47"/>
      <c r="G1998" s="8">
        <v>16</v>
      </c>
      <c r="H1998" s="8" t="s">
        <v>21</v>
      </c>
      <c r="I1998" s="8" t="s">
        <v>557</v>
      </c>
      <c r="J1998" s="8" t="s">
        <v>557</v>
      </c>
      <c r="K1998" s="8" t="s">
        <v>557</v>
      </c>
      <c r="L1998" s="8" t="s">
        <v>55972</v>
      </c>
      <c r="M1998" s="8" t="s">
        <v>6970</v>
      </c>
      <c r="N1998" s="8" t="s">
        <v>9251</v>
      </c>
      <c r="O1998" s="8">
        <f>5+30/60+34.4/3600</f>
        <v>5.509555555555556</v>
      </c>
      <c r="P1998" s="8" t="s">
        <v>9252</v>
      </c>
      <c r="Q1998" s="8">
        <f>-(63+12/60+15/3600)</f>
        <v>-63.204166666666673</v>
      </c>
      <c r="R1998" s="8">
        <v>13.4</v>
      </c>
      <c r="S1998" s="8">
        <v>14.3</v>
      </c>
      <c r="T1998" s="8">
        <v>99</v>
      </c>
      <c r="U1998" s="8">
        <v>99</v>
      </c>
      <c r="V1998" s="8">
        <v>1.3</v>
      </c>
      <c r="Y1998" s="8" t="s">
        <v>9253</v>
      </c>
      <c r="Z1998" s="8" t="s">
        <v>9254</v>
      </c>
    </row>
    <row r="1999" spans="1:26" x14ac:dyDescent="0.2">
      <c r="A1999" s="8">
        <v>1998</v>
      </c>
      <c r="B1999" s="8" t="s">
        <v>9255</v>
      </c>
      <c r="C1999" s="8" t="s">
        <v>9255</v>
      </c>
      <c r="F1999" s="47"/>
      <c r="G1999" s="8">
        <v>16</v>
      </c>
      <c r="H1999" s="8" t="s">
        <v>21</v>
      </c>
      <c r="I1999" s="8" t="s">
        <v>22</v>
      </c>
      <c r="J1999" s="8" t="s">
        <v>22</v>
      </c>
      <c r="K1999" s="8" t="s">
        <v>37</v>
      </c>
      <c r="L1999" s="8" t="s">
        <v>7782</v>
      </c>
      <c r="M1999" s="8" t="s">
        <v>7783</v>
      </c>
      <c r="N1999" s="8" t="s">
        <v>9256</v>
      </c>
      <c r="O1999" s="8">
        <f>5+33/60+15.7/3600</f>
        <v>5.5543611111111106</v>
      </c>
      <c r="P1999" s="8" t="s">
        <v>9257</v>
      </c>
      <c r="Q1999" s="8">
        <f>-(48+41/60+43/3600)</f>
        <v>-48.695277777777775</v>
      </c>
      <c r="R1999" s="8">
        <v>14.2</v>
      </c>
      <c r="S1999" s="8">
        <v>15.1</v>
      </c>
      <c r="T1999" s="8">
        <v>0.9</v>
      </c>
      <c r="U1999" s="8">
        <v>13.5</v>
      </c>
      <c r="V1999" s="8">
        <v>0.9</v>
      </c>
      <c r="W1999" s="8">
        <v>0.5</v>
      </c>
      <c r="X1999" s="8">
        <v>20</v>
      </c>
      <c r="Y1999" s="8" t="s">
        <v>21</v>
      </c>
      <c r="Z1999" s="8" t="s">
        <v>9258</v>
      </c>
    </row>
    <row r="2000" spans="1:26" x14ac:dyDescent="0.2">
      <c r="A2000" s="8">
        <v>1999</v>
      </c>
      <c r="B2000" s="8" t="s">
        <v>9259</v>
      </c>
      <c r="C2000" s="8" t="s">
        <v>9259</v>
      </c>
      <c r="F2000" s="47" t="s">
        <v>56414</v>
      </c>
      <c r="G2000" s="8">
        <v>6</v>
      </c>
      <c r="H2000" s="8" t="s">
        <v>9260</v>
      </c>
      <c r="I2000" s="8" t="s">
        <v>1283</v>
      </c>
      <c r="J2000" s="8" t="s">
        <v>1283</v>
      </c>
      <c r="K2000" s="8" t="s">
        <v>9155</v>
      </c>
      <c r="L2000" s="8" t="s">
        <v>7698</v>
      </c>
      <c r="M2000" s="8" t="s">
        <v>7699</v>
      </c>
      <c r="N2000" s="8" t="s">
        <v>9261</v>
      </c>
      <c r="O2000" s="8">
        <f>5+36/60+25.4/3600</f>
        <v>5.6070555555555552</v>
      </c>
      <c r="P2000" s="8" t="s">
        <v>9262</v>
      </c>
      <c r="Q2000" s="8">
        <f>-(6+42/60+57/3600)</f>
        <v>-6.7158333333333333</v>
      </c>
      <c r="R2000" s="8">
        <v>99</v>
      </c>
      <c r="S2000" s="8">
        <v>99</v>
      </c>
      <c r="T2000" s="8">
        <v>99</v>
      </c>
      <c r="U2000" s="8">
        <v>99</v>
      </c>
      <c r="V2000" s="8">
        <v>2</v>
      </c>
      <c r="W2000" s="8">
        <v>2</v>
      </c>
      <c r="Y2000" s="8" t="s">
        <v>21</v>
      </c>
      <c r="Z2000" s="8" t="s">
        <v>9263</v>
      </c>
    </row>
    <row r="2001" spans="1:26" x14ac:dyDescent="0.2">
      <c r="A2001" s="8">
        <v>2000</v>
      </c>
      <c r="B2001" s="8" t="s">
        <v>9264</v>
      </c>
      <c r="C2001" s="8" t="s">
        <v>9264</v>
      </c>
      <c r="F2001" s="47"/>
      <c r="G2001" s="8">
        <v>16</v>
      </c>
      <c r="H2001" s="8" t="s">
        <v>21</v>
      </c>
      <c r="I2001" s="8" t="s">
        <v>557</v>
      </c>
      <c r="J2001" s="8" t="s">
        <v>557</v>
      </c>
      <c r="K2001" s="8" t="s">
        <v>557</v>
      </c>
      <c r="L2001" s="8" t="s">
        <v>7071</v>
      </c>
      <c r="M2001" s="8" t="s">
        <v>7072</v>
      </c>
      <c r="N2001" s="8" t="s">
        <v>9265</v>
      </c>
      <c r="O2001" s="8">
        <f>5+27/60+29.3/3600</f>
        <v>5.4581388888888887</v>
      </c>
      <c r="P2001" s="8" t="s">
        <v>9266</v>
      </c>
      <c r="Q2001" s="8">
        <f>-(71+52/60+46/3600)</f>
        <v>-71.879444444444431</v>
      </c>
      <c r="R2001" s="8">
        <v>11.9</v>
      </c>
      <c r="S2001" s="8">
        <v>99</v>
      </c>
      <c r="T2001" s="8">
        <v>99</v>
      </c>
      <c r="U2001" s="8">
        <v>99</v>
      </c>
      <c r="V2001" s="8">
        <v>1.7</v>
      </c>
      <c r="Y2001" s="8" t="s">
        <v>9267</v>
      </c>
      <c r="Z2001" s="8" t="s">
        <v>9268</v>
      </c>
    </row>
    <row r="2002" spans="1:26" x14ac:dyDescent="0.2">
      <c r="A2002" s="8">
        <v>2001</v>
      </c>
      <c r="B2002" s="8" t="s">
        <v>9269</v>
      </c>
      <c r="C2002" s="8" t="s">
        <v>9269</v>
      </c>
      <c r="F2002" s="47"/>
      <c r="G2002" s="8">
        <v>16</v>
      </c>
      <c r="H2002" s="8" t="s">
        <v>21</v>
      </c>
      <c r="I2002" s="8" t="s">
        <v>557</v>
      </c>
      <c r="J2002" s="8" t="s">
        <v>557</v>
      </c>
      <c r="K2002" s="8" t="s">
        <v>557</v>
      </c>
      <c r="L2002" s="8" t="s">
        <v>55972</v>
      </c>
      <c r="M2002" s="8" t="s">
        <v>6970</v>
      </c>
      <c r="N2002" s="8" t="s">
        <v>9270</v>
      </c>
      <c r="O2002" s="8">
        <f>5+29/60+2.1/3600</f>
        <v>5.4839166666666666</v>
      </c>
      <c r="P2002" s="8" t="s">
        <v>9271</v>
      </c>
      <c r="Q2002" s="8">
        <f>-(68+46/60+10/3600)</f>
        <v>-68.769444444444446</v>
      </c>
      <c r="R2002" s="8">
        <v>99</v>
      </c>
      <c r="S2002" s="8">
        <v>99</v>
      </c>
      <c r="T2002" s="8">
        <v>99</v>
      </c>
      <c r="U2002" s="8">
        <v>99</v>
      </c>
      <c r="V2002" s="8">
        <v>1.7</v>
      </c>
      <c r="Y2002" s="8" t="s">
        <v>9272</v>
      </c>
      <c r="Z2002" s="8" t="s">
        <v>9273</v>
      </c>
    </row>
    <row r="2003" spans="1:26" x14ac:dyDescent="0.2">
      <c r="A2003" s="8">
        <v>2002</v>
      </c>
      <c r="B2003" s="8" t="s">
        <v>9274</v>
      </c>
      <c r="C2003" s="8" t="s">
        <v>9274</v>
      </c>
      <c r="F2003" s="47"/>
      <c r="G2003" s="8">
        <v>16</v>
      </c>
      <c r="H2003" s="8" t="s">
        <v>21</v>
      </c>
      <c r="I2003" s="8" t="s">
        <v>557</v>
      </c>
      <c r="J2003" s="8" t="s">
        <v>557</v>
      </c>
      <c r="K2003" s="8" t="s">
        <v>557</v>
      </c>
      <c r="L2003" s="8" t="s">
        <v>55972</v>
      </c>
      <c r="M2003" s="8" t="s">
        <v>6970</v>
      </c>
      <c r="N2003" s="8" t="s">
        <v>9275</v>
      </c>
      <c r="O2003" s="8">
        <f>5+30/60+20.4/3600</f>
        <v>5.5056666666666665</v>
      </c>
      <c r="P2003" s="8" t="s">
        <v>9276</v>
      </c>
      <c r="Q2003" s="8">
        <f>-(66+53/60+3/3600)</f>
        <v>-66.884166666666673</v>
      </c>
      <c r="R2003" s="8">
        <v>10.1</v>
      </c>
      <c r="S2003" s="8">
        <v>99</v>
      </c>
      <c r="T2003" s="8">
        <v>99</v>
      </c>
      <c r="U2003" s="8">
        <v>99</v>
      </c>
      <c r="V2003" s="8">
        <v>2</v>
      </c>
      <c r="Y2003" s="8" t="s">
        <v>9277</v>
      </c>
      <c r="Z2003" s="8" t="s">
        <v>9278</v>
      </c>
    </row>
    <row r="2004" spans="1:26" x14ac:dyDescent="0.2">
      <c r="A2004" s="8">
        <v>2003</v>
      </c>
      <c r="B2004" s="8" t="s">
        <v>9279</v>
      </c>
      <c r="C2004" s="8" t="s">
        <v>9279</v>
      </c>
      <c r="F2004" s="47"/>
      <c r="G2004" s="8">
        <v>16</v>
      </c>
      <c r="H2004" s="8" t="s">
        <v>21</v>
      </c>
      <c r="I2004" s="8" t="s">
        <v>557</v>
      </c>
      <c r="J2004" s="8" t="s">
        <v>557</v>
      </c>
      <c r="K2004" s="8" t="s">
        <v>557</v>
      </c>
      <c r="L2004" s="8" t="s">
        <v>55972</v>
      </c>
      <c r="M2004" s="8" t="s">
        <v>6970</v>
      </c>
      <c r="N2004" s="8" t="s">
        <v>9280</v>
      </c>
      <c r="O2004" s="8">
        <f>5+30/60+54.4/3600</f>
        <v>5.5151111111111115</v>
      </c>
      <c r="P2004" s="8" t="s">
        <v>9281</v>
      </c>
      <c r="Q2004" s="8">
        <f>-(66+27/60+59/3600)</f>
        <v>-66.466388888888886</v>
      </c>
      <c r="R2004" s="8">
        <v>11.3</v>
      </c>
      <c r="S2004" s="8">
        <v>99</v>
      </c>
      <c r="T2004" s="8">
        <v>99</v>
      </c>
      <c r="U2004" s="8">
        <v>99</v>
      </c>
      <c r="V2004" s="8">
        <v>2.1</v>
      </c>
      <c r="Y2004" s="8" t="s">
        <v>9282</v>
      </c>
      <c r="Z2004" s="8" t="s">
        <v>9283</v>
      </c>
    </row>
    <row r="2005" spans="1:26" x14ac:dyDescent="0.2">
      <c r="A2005" s="8">
        <v>2004</v>
      </c>
      <c r="B2005" s="8" t="s">
        <v>9284</v>
      </c>
      <c r="C2005" s="8" t="s">
        <v>9284</v>
      </c>
      <c r="F2005" s="47"/>
      <c r="G2005" s="8">
        <v>16</v>
      </c>
      <c r="H2005" s="8" t="s">
        <v>21</v>
      </c>
      <c r="I2005" s="8" t="s">
        <v>557</v>
      </c>
      <c r="J2005" s="8" t="s">
        <v>557</v>
      </c>
      <c r="K2005" s="8" t="s">
        <v>557</v>
      </c>
      <c r="L2005" s="8" t="s">
        <v>55972</v>
      </c>
      <c r="M2005" s="8" t="s">
        <v>6970</v>
      </c>
      <c r="N2005" s="8" t="s">
        <v>9285</v>
      </c>
      <c r="O2005" s="8">
        <f>5+30/60+40.3/3600</f>
        <v>5.5111944444444445</v>
      </c>
      <c r="P2005" s="8" t="s">
        <v>9286</v>
      </c>
      <c r="Q2005" s="8">
        <f>-(67+17/60+10/3600)</f>
        <v>-67.286111111111111</v>
      </c>
      <c r="R2005" s="8">
        <v>9.6</v>
      </c>
      <c r="S2005" s="8">
        <v>99</v>
      </c>
      <c r="T2005" s="8">
        <v>99</v>
      </c>
      <c r="U2005" s="8">
        <v>99</v>
      </c>
      <c r="V2005" s="8">
        <v>2.7</v>
      </c>
      <c r="Y2005" s="8" t="s">
        <v>9287</v>
      </c>
      <c r="Z2005" s="8" t="s">
        <v>9288</v>
      </c>
    </row>
    <row r="2006" spans="1:26" x14ac:dyDescent="0.2">
      <c r="A2006" s="8">
        <v>2005</v>
      </c>
      <c r="B2006" s="8" t="s">
        <v>9289</v>
      </c>
      <c r="C2006" s="8" t="s">
        <v>9289</v>
      </c>
      <c r="F2006" s="49"/>
      <c r="G2006" s="8">
        <v>18</v>
      </c>
      <c r="H2006" s="8" t="s">
        <v>21</v>
      </c>
      <c r="I2006" s="8" t="s">
        <v>567</v>
      </c>
      <c r="J2006" s="8" t="s">
        <v>567</v>
      </c>
      <c r="K2006" s="8" t="s">
        <v>567</v>
      </c>
      <c r="L2006" s="8" t="s">
        <v>55972</v>
      </c>
      <c r="M2006" s="8" t="s">
        <v>6970</v>
      </c>
      <c r="N2006" s="8" t="s">
        <v>9290</v>
      </c>
      <c r="O2006" s="8">
        <f>5+30/60+10.9/3600</f>
        <v>5.5030277777777776</v>
      </c>
      <c r="P2006" s="8" t="s">
        <v>9291</v>
      </c>
      <c r="Q2006" s="8">
        <f>-(69+45/60+9/3600)</f>
        <v>-69.752499999999998</v>
      </c>
      <c r="R2006" s="8">
        <v>11.6</v>
      </c>
      <c r="S2006" s="8">
        <v>99</v>
      </c>
      <c r="T2006" s="8">
        <v>99</v>
      </c>
      <c r="U2006" s="8">
        <v>99</v>
      </c>
      <c r="V2006" s="8">
        <v>1.8</v>
      </c>
      <c r="Y2006" s="8" t="s">
        <v>9292</v>
      </c>
      <c r="Z2006" s="8" t="s">
        <v>8270</v>
      </c>
    </row>
    <row r="2007" spans="1:26" x14ac:dyDescent="0.2">
      <c r="A2007" s="8">
        <v>2006</v>
      </c>
      <c r="B2007" s="8" t="s">
        <v>9293</v>
      </c>
      <c r="C2007" s="8" t="s">
        <v>9293</v>
      </c>
      <c r="F2007" s="47"/>
      <c r="G2007" s="8">
        <v>16</v>
      </c>
      <c r="H2007" s="8" t="s">
        <v>21</v>
      </c>
      <c r="I2007" s="8" t="s">
        <v>557</v>
      </c>
      <c r="J2007" s="8" t="s">
        <v>557</v>
      </c>
      <c r="K2007" s="8" t="s">
        <v>557</v>
      </c>
      <c r="L2007" s="8" t="s">
        <v>55972</v>
      </c>
      <c r="M2007" s="8" t="s">
        <v>6970</v>
      </c>
      <c r="N2007" s="8" t="s">
        <v>9294</v>
      </c>
      <c r="O2007" s="8">
        <f>5+31/60+19.6/3600</f>
        <v>5.5221111111111112</v>
      </c>
      <c r="P2007" s="8" t="s">
        <v>9295</v>
      </c>
      <c r="Q2007" s="8">
        <f>-(66+58/60+19/3600)</f>
        <v>-66.971944444444446</v>
      </c>
      <c r="R2007" s="8">
        <v>11.5</v>
      </c>
      <c r="S2007" s="8">
        <v>99</v>
      </c>
      <c r="T2007" s="8">
        <v>99</v>
      </c>
      <c r="U2007" s="8">
        <v>99</v>
      </c>
      <c r="V2007" s="8">
        <v>1</v>
      </c>
      <c r="Y2007" s="8" t="s">
        <v>9296</v>
      </c>
      <c r="Z2007" s="8" t="s">
        <v>9297</v>
      </c>
    </row>
    <row r="2008" spans="1:26" x14ac:dyDescent="0.2">
      <c r="A2008" s="8">
        <v>2007</v>
      </c>
      <c r="B2008" s="8" t="s">
        <v>9298</v>
      </c>
      <c r="C2008" s="8" t="s">
        <v>9298</v>
      </c>
      <c r="F2008" s="47"/>
      <c r="G2008" s="8">
        <v>16</v>
      </c>
      <c r="H2008" s="8" t="s">
        <v>21</v>
      </c>
      <c r="I2008" s="8" t="s">
        <v>22</v>
      </c>
      <c r="J2008" s="8" t="s">
        <v>22</v>
      </c>
      <c r="K2008" s="8" t="s">
        <v>160</v>
      </c>
      <c r="L2008" s="8" t="s">
        <v>7782</v>
      </c>
      <c r="M2008" s="8" t="s">
        <v>7783</v>
      </c>
      <c r="N2008" s="8" t="s">
        <v>9299</v>
      </c>
      <c r="O2008" s="8">
        <f>5+34/60+58.9/3600</f>
        <v>5.5830277777777777</v>
      </c>
      <c r="P2008" s="8" t="s">
        <v>9300</v>
      </c>
      <c r="Q2008" s="8">
        <f>-(50+55/60+18/3600)</f>
        <v>-50.921666666666667</v>
      </c>
      <c r="R2008" s="8">
        <v>13.4</v>
      </c>
      <c r="S2008" s="8">
        <v>14.1</v>
      </c>
      <c r="T2008" s="8">
        <v>0.7</v>
      </c>
      <c r="U2008" s="8">
        <v>13.3</v>
      </c>
      <c r="V2008" s="8">
        <v>1.7</v>
      </c>
      <c r="W2008" s="8">
        <v>0.6</v>
      </c>
      <c r="X2008" s="8">
        <v>83</v>
      </c>
      <c r="Y2008" s="8" t="s">
        <v>2734</v>
      </c>
      <c r="Z2008" s="8" t="s">
        <v>2735</v>
      </c>
    </row>
    <row r="2009" spans="1:26" x14ac:dyDescent="0.2">
      <c r="A2009" s="8">
        <v>2008</v>
      </c>
      <c r="B2009" s="8" t="s">
        <v>9301</v>
      </c>
      <c r="C2009" s="8" t="s">
        <v>9301</v>
      </c>
      <c r="F2009" s="47"/>
      <c r="G2009" s="8">
        <v>16</v>
      </c>
      <c r="H2009" s="8" t="s">
        <v>21</v>
      </c>
      <c r="I2009" s="8" t="s">
        <v>22</v>
      </c>
      <c r="J2009" s="8" t="s">
        <v>22</v>
      </c>
      <c r="K2009" s="8" t="s">
        <v>160</v>
      </c>
      <c r="L2009" s="8" t="s">
        <v>7782</v>
      </c>
      <c r="M2009" s="8" t="s">
        <v>7783</v>
      </c>
      <c r="N2009" s="8" t="s">
        <v>9302</v>
      </c>
      <c r="O2009" s="8">
        <f>5+35/60+3.8/3600</f>
        <v>5.5843888888888884</v>
      </c>
      <c r="P2009" s="8" t="s">
        <v>9303</v>
      </c>
      <c r="Q2009" s="8">
        <f>-(50+57/60+58/3600)</f>
        <v>-50.966111111111111</v>
      </c>
      <c r="R2009" s="8">
        <v>13.2</v>
      </c>
      <c r="S2009" s="8">
        <v>13.8</v>
      </c>
      <c r="T2009" s="8">
        <v>0.6</v>
      </c>
      <c r="U2009" s="8">
        <v>13.8</v>
      </c>
      <c r="V2009" s="8">
        <v>1.4</v>
      </c>
      <c r="W2009" s="8">
        <v>0.7</v>
      </c>
      <c r="X2009" s="8">
        <v>105</v>
      </c>
      <c r="Y2009" s="8" t="s">
        <v>9304</v>
      </c>
      <c r="Z2009" s="8" t="s">
        <v>9305</v>
      </c>
    </row>
    <row r="2010" spans="1:26" x14ac:dyDescent="0.2">
      <c r="A2010" s="8">
        <v>2009</v>
      </c>
      <c r="B2010" s="8" t="s">
        <v>9306</v>
      </c>
      <c r="C2010" s="8" t="s">
        <v>9306</v>
      </c>
      <c r="F2010" s="47"/>
      <c r="G2010" s="8">
        <v>16</v>
      </c>
      <c r="H2010" s="8" t="s">
        <v>21</v>
      </c>
      <c r="I2010" s="8" t="s">
        <v>557</v>
      </c>
      <c r="J2010" s="8" t="s">
        <v>557</v>
      </c>
      <c r="K2010" s="8" t="s">
        <v>557</v>
      </c>
      <c r="L2010" s="8" t="s">
        <v>55972</v>
      </c>
      <c r="M2010" s="8" t="s">
        <v>6970</v>
      </c>
      <c r="N2010" s="8" t="s">
        <v>9307</v>
      </c>
      <c r="O2010" s="8">
        <f>5+30/60+59.2/3600</f>
        <v>5.5164444444444447</v>
      </c>
      <c r="P2010" s="8" t="s">
        <v>9308</v>
      </c>
      <c r="Q2010" s="8">
        <f>-(69+10/60+54/3600)</f>
        <v>-69.181666666666672</v>
      </c>
      <c r="R2010" s="8">
        <v>11</v>
      </c>
      <c r="S2010" s="8">
        <v>99</v>
      </c>
      <c r="T2010" s="8">
        <v>99</v>
      </c>
      <c r="U2010" s="8">
        <v>99</v>
      </c>
      <c r="V2010" s="8">
        <v>0.8</v>
      </c>
      <c r="Y2010" s="8" t="s">
        <v>9309</v>
      </c>
      <c r="Z2010" s="8" t="s">
        <v>9310</v>
      </c>
    </row>
    <row r="2011" spans="1:26" x14ac:dyDescent="0.2">
      <c r="A2011" s="8">
        <v>2010</v>
      </c>
      <c r="B2011" s="8" t="s">
        <v>9311</v>
      </c>
      <c r="C2011" s="8" t="s">
        <v>9311</v>
      </c>
      <c r="F2011" s="47"/>
      <c r="G2011" s="8">
        <v>16</v>
      </c>
      <c r="H2011" s="8" t="s">
        <v>21</v>
      </c>
      <c r="I2011" s="8" t="s">
        <v>557</v>
      </c>
      <c r="J2011" s="8" t="s">
        <v>557</v>
      </c>
      <c r="K2011" s="8" t="s">
        <v>557</v>
      </c>
      <c r="L2011" s="8" t="s">
        <v>7071</v>
      </c>
      <c r="M2011" s="8" t="s">
        <v>7072</v>
      </c>
      <c r="N2011" s="8" t="s">
        <v>9312</v>
      </c>
      <c r="O2011" s="8">
        <f>5+30/60+35/3600</f>
        <v>5.509722222222222</v>
      </c>
      <c r="P2011" s="8" t="s">
        <v>9313</v>
      </c>
      <c r="Q2011" s="8">
        <f>-(70+49/60+11/3600)</f>
        <v>-70.819722222222225</v>
      </c>
      <c r="R2011" s="8">
        <v>11.7</v>
      </c>
      <c r="S2011" s="8">
        <v>11.7</v>
      </c>
      <c r="T2011" s="8">
        <v>99</v>
      </c>
      <c r="U2011" s="8">
        <v>99</v>
      </c>
      <c r="V2011" s="8">
        <v>2.2000000000000002</v>
      </c>
      <c r="Y2011" s="8" t="s">
        <v>6937</v>
      </c>
      <c r="Z2011" s="8" t="s">
        <v>6938</v>
      </c>
    </row>
    <row r="2012" spans="1:26" x14ac:dyDescent="0.2">
      <c r="A2012" s="8">
        <v>2011</v>
      </c>
      <c r="B2012" s="8" t="s">
        <v>9314</v>
      </c>
      <c r="C2012" s="8" t="s">
        <v>9314</v>
      </c>
      <c r="F2012" s="47"/>
      <c r="G2012" s="8">
        <v>5</v>
      </c>
      <c r="H2012" s="8" t="s">
        <v>21</v>
      </c>
      <c r="I2012" s="8" t="s">
        <v>557</v>
      </c>
      <c r="J2012" s="8" t="s">
        <v>557</v>
      </c>
      <c r="K2012" s="8" t="s">
        <v>557</v>
      </c>
      <c r="L2012" s="8" t="s">
        <v>55972</v>
      </c>
      <c r="M2012" s="8" t="s">
        <v>6970</v>
      </c>
      <c r="N2012" s="8" t="s">
        <v>9315</v>
      </c>
      <c r="O2012" s="8">
        <f>5+32/60+20.3/3600</f>
        <v>5.5389722222222222</v>
      </c>
      <c r="P2012" s="8" t="s">
        <v>9316</v>
      </c>
      <c r="Q2012" s="8">
        <f>-(67+31/60+24/3600)</f>
        <v>-67.523333333333326</v>
      </c>
      <c r="R2012" s="8">
        <v>10.6</v>
      </c>
      <c r="S2012" s="8">
        <v>10.6</v>
      </c>
      <c r="T2012" s="8">
        <v>99</v>
      </c>
      <c r="U2012" s="8">
        <v>99</v>
      </c>
      <c r="V2012" s="8">
        <v>1</v>
      </c>
      <c r="Y2012" s="8" t="s">
        <v>9317</v>
      </c>
      <c r="Z2012" s="8" t="s">
        <v>9318</v>
      </c>
    </row>
    <row r="2013" spans="1:26" x14ac:dyDescent="0.2">
      <c r="A2013" s="8">
        <v>2012</v>
      </c>
      <c r="B2013" s="8" t="s">
        <v>9319</v>
      </c>
      <c r="C2013" s="8" t="s">
        <v>9319</v>
      </c>
      <c r="F2013" s="47"/>
      <c r="G2013" s="8">
        <v>16</v>
      </c>
      <c r="H2013" s="8" t="s">
        <v>21</v>
      </c>
      <c r="I2013" s="8" t="s">
        <v>22</v>
      </c>
      <c r="J2013" s="8" t="s">
        <v>22</v>
      </c>
      <c r="K2013" s="8" t="s">
        <v>58</v>
      </c>
      <c r="L2013" s="8" t="s">
        <v>7071</v>
      </c>
      <c r="M2013" s="8" t="s">
        <v>7072</v>
      </c>
      <c r="N2013" s="8" t="s">
        <v>9320</v>
      </c>
      <c r="O2013" s="8">
        <f>5+22/60+35.1/3600</f>
        <v>5.3764166666666666</v>
      </c>
      <c r="P2013" s="8" t="s">
        <v>9321</v>
      </c>
      <c r="Q2013" s="8">
        <f>-(79+51/60+7/3600)</f>
        <v>-79.851944444444442</v>
      </c>
      <c r="R2013" s="8">
        <v>12.9</v>
      </c>
      <c r="S2013" s="8">
        <v>14</v>
      </c>
      <c r="T2013" s="8">
        <v>1.1000000000000001</v>
      </c>
      <c r="U2013" s="8">
        <v>12.4</v>
      </c>
      <c r="V2013" s="8">
        <v>1.1000000000000001</v>
      </c>
      <c r="W2013" s="8">
        <v>0.6</v>
      </c>
      <c r="X2013" s="8">
        <v>117</v>
      </c>
      <c r="Y2013" s="8" t="s">
        <v>9322</v>
      </c>
      <c r="Z2013" s="8" t="s">
        <v>9323</v>
      </c>
    </row>
    <row r="2014" spans="1:26" x14ac:dyDescent="0.2">
      <c r="A2014" s="8">
        <v>2013</v>
      </c>
      <c r="B2014" s="8" t="s">
        <v>9324</v>
      </c>
      <c r="C2014" s="8" t="s">
        <v>9324</v>
      </c>
      <c r="F2014" s="47"/>
      <c r="G2014" s="8">
        <v>16</v>
      </c>
      <c r="H2014" s="8" t="s">
        <v>21</v>
      </c>
      <c r="I2014" s="8" t="s">
        <v>557</v>
      </c>
      <c r="J2014" s="8" t="s">
        <v>557</v>
      </c>
      <c r="K2014" s="8" t="s">
        <v>557</v>
      </c>
      <c r="L2014" s="8" t="s">
        <v>7717</v>
      </c>
      <c r="M2014" s="8" t="s">
        <v>7718</v>
      </c>
      <c r="N2014" s="8" t="s">
        <v>9325</v>
      </c>
      <c r="O2014" s="8">
        <f>5+44/60+1.6/3600</f>
        <v>5.7337777777777781</v>
      </c>
      <c r="P2014" s="8" t="s">
        <v>9326</v>
      </c>
      <c r="Q2014" s="8">
        <f>+(55+47/60+22/3600)</f>
        <v>55.789444444444442</v>
      </c>
      <c r="R2014" s="8">
        <v>99</v>
      </c>
      <c r="S2014" s="8">
        <v>99</v>
      </c>
      <c r="T2014" s="8">
        <v>99</v>
      </c>
      <c r="U2014" s="8">
        <v>99</v>
      </c>
      <c r="Y2014" s="8" t="s">
        <v>9327</v>
      </c>
      <c r="Z2014" s="8" t="s">
        <v>9328</v>
      </c>
    </row>
    <row r="2015" spans="1:26" x14ac:dyDescent="0.2">
      <c r="A2015" s="8">
        <v>2014</v>
      </c>
      <c r="B2015" s="8" t="s">
        <v>9329</v>
      </c>
      <c r="C2015" s="8" t="s">
        <v>9329</v>
      </c>
      <c r="F2015" s="47"/>
      <c r="G2015" s="8">
        <v>5</v>
      </c>
      <c r="H2015" s="8" t="s">
        <v>21</v>
      </c>
      <c r="I2015" s="8" t="s">
        <v>557</v>
      </c>
      <c r="J2015" s="8" t="s">
        <v>557</v>
      </c>
      <c r="K2015" s="8" t="s">
        <v>1816</v>
      </c>
      <c r="L2015" s="8" t="s">
        <v>55972</v>
      </c>
      <c r="M2015" s="8" t="s">
        <v>6970</v>
      </c>
      <c r="N2015" s="8" t="s">
        <v>9330</v>
      </c>
      <c r="O2015" s="8">
        <f>5+32/60+19.9/3600</f>
        <v>5.5388611111111112</v>
      </c>
      <c r="P2015" s="8" t="s">
        <v>9331</v>
      </c>
      <c r="Q2015" s="8">
        <f>-(67+41/60+24/3600)</f>
        <v>-67.69</v>
      </c>
      <c r="R2015" s="8">
        <v>9</v>
      </c>
      <c r="S2015" s="8">
        <v>9.1999999999999993</v>
      </c>
      <c r="T2015" s="8">
        <v>99</v>
      </c>
      <c r="U2015" s="8">
        <v>99</v>
      </c>
      <c r="V2015" s="8">
        <v>1.8</v>
      </c>
      <c r="Y2015" s="8" t="s">
        <v>9332</v>
      </c>
      <c r="Z2015" s="8" t="s">
        <v>9333</v>
      </c>
    </row>
    <row r="2016" spans="1:26" x14ac:dyDescent="0.2">
      <c r="A2016" s="8">
        <v>2015</v>
      </c>
      <c r="B2016" s="8" t="s">
        <v>9334</v>
      </c>
      <c r="C2016" s="8" t="s">
        <v>9334</v>
      </c>
      <c r="F2016" s="47"/>
      <c r="G2016" s="8">
        <v>16</v>
      </c>
      <c r="H2016" s="8" t="s">
        <v>21</v>
      </c>
      <c r="I2016" s="8" t="s">
        <v>557</v>
      </c>
      <c r="J2016" s="8" t="s">
        <v>557</v>
      </c>
      <c r="K2016" s="8" t="s">
        <v>557</v>
      </c>
      <c r="L2016" s="8" t="s">
        <v>55972</v>
      </c>
      <c r="M2016" s="8" t="s">
        <v>6970</v>
      </c>
      <c r="N2016" s="8" t="s">
        <v>9335</v>
      </c>
      <c r="O2016" s="8">
        <f>5+32/60+6/3600</f>
        <v>5.5350000000000001</v>
      </c>
      <c r="P2016" s="8" t="s">
        <v>9336</v>
      </c>
      <c r="Q2016" s="8">
        <f>-(69+14/60+36/3600)</f>
        <v>-69.243333333333339</v>
      </c>
      <c r="R2016" s="8">
        <v>99</v>
      </c>
      <c r="S2016" s="8">
        <v>99</v>
      </c>
      <c r="T2016" s="8">
        <v>99</v>
      </c>
      <c r="U2016" s="8">
        <v>99</v>
      </c>
      <c r="V2016" s="8">
        <v>5.6</v>
      </c>
      <c r="Y2016" s="8" t="s">
        <v>9337</v>
      </c>
      <c r="Z2016" s="8" t="s">
        <v>9338</v>
      </c>
    </row>
    <row r="2017" spans="1:26" x14ac:dyDescent="0.2">
      <c r="A2017" s="8">
        <v>2016</v>
      </c>
      <c r="B2017" s="8" t="s">
        <v>9339</v>
      </c>
      <c r="C2017" s="8" t="s">
        <v>9339</v>
      </c>
      <c r="F2017" s="47"/>
      <c r="G2017" s="8">
        <v>16</v>
      </c>
      <c r="H2017" s="8" t="s">
        <v>21</v>
      </c>
      <c r="I2017" s="8" t="s">
        <v>557</v>
      </c>
      <c r="J2017" s="8" t="s">
        <v>557</v>
      </c>
      <c r="K2017" s="8" t="s">
        <v>557</v>
      </c>
      <c r="L2017" s="8" t="s">
        <v>7071</v>
      </c>
      <c r="M2017" s="8" t="s">
        <v>7072</v>
      </c>
      <c r="N2017" s="8" t="s">
        <v>9340</v>
      </c>
      <c r="O2017" s="8">
        <f>5+31/60+36/3600</f>
        <v>5.5266666666666664</v>
      </c>
      <c r="P2017" s="8" t="s">
        <v>9341</v>
      </c>
      <c r="Q2017" s="8">
        <f>-(69+56/60+30/3600)</f>
        <v>-69.941666666666677</v>
      </c>
      <c r="R2017" s="8">
        <v>10.4</v>
      </c>
      <c r="S2017" s="8">
        <v>10.6</v>
      </c>
      <c r="T2017" s="8">
        <v>99</v>
      </c>
      <c r="U2017" s="8">
        <v>99</v>
      </c>
      <c r="V2017" s="8">
        <v>0.3</v>
      </c>
      <c r="Y2017" s="8" t="s">
        <v>9342</v>
      </c>
      <c r="Z2017" s="8" t="s">
        <v>9343</v>
      </c>
    </row>
    <row r="2018" spans="1:26" x14ac:dyDescent="0.2">
      <c r="A2018" s="8">
        <v>2017</v>
      </c>
      <c r="B2018" s="8" t="s">
        <v>9344</v>
      </c>
      <c r="C2018" s="8" t="s">
        <v>9344</v>
      </c>
      <c r="F2018" s="47"/>
      <c r="G2018" s="8">
        <v>13</v>
      </c>
      <c r="H2018" s="8" t="s">
        <v>21</v>
      </c>
      <c r="I2018" s="8" t="s">
        <v>72</v>
      </c>
      <c r="J2018" s="8" t="s">
        <v>72</v>
      </c>
      <c r="K2018" s="8" t="s">
        <v>1405</v>
      </c>
      <c r="L2018" s="8" t="s">
        <v>7915</v>
      </c>
      <c r="M2018" s="8" t="s">
        <v>7916</v>
      </c>
      <c r="N2018" s="8" t="s">
        <v>9345</v>
      </c>
      <c r="O2018" s="8">
        <f>5+39/60+16.2/3600</f>
        <v>5.6545000000000005</v>
      </c>
      <c r="P2018" s="8" t="s">
        <v>9346</v>
      </c>
      <c r="Q2018" s="8">
        <f>-(17+50/60+59/3600)</f>
        <v>-17.849722222222223</v>
      </c>
      <c r="R2018" s="8">
        <v>99</v>
      </c>
      <c r="S2018" s="8">
        <v>99</v>
      </c>
      <c r="T2018" s="8">
        <v>99</v>
      </c>
      <c r="U2018" s="8">
        <v>99</v>
      </c>
      <c r="V2018" s="8">
        <v>4</v>
      </c>
      <c r="Y2018" s="8" t="s">
        <v>9347</v>
      </c>
      <c r="Z2018" s="8" t="s">
        <v>9348</v>
      </c>
    </row>
    <row r="2019" spans="1:26" x14ac:dyDescent="0.2">
      <c r="A2019" s="8">
        <v>2018</v>
      </c>
      <c r="B2019" s="8" t="s">
        <v>9349</v>
      </c>
      <c r="C2019" s="8" t="s">
        <v>9349</v>
      </c>
      <c r="F2019" s="47"/>
      <c r="G2019" s="8">
        <v>16</v>
      </c>
      <c r="H2019" s="8" t="s">
        <v>21</v>
      </c>
      <c r="I2019" s="8" t="s">
        <v>557</v>
      </c>
      <c r="J2019" s="8" t="s">
        <v>557</v>
      </c>
      <c r="K2019" s="8" t="s">
        <v>1816</v>
      </c>
      <c r="L2019" s="8" t="s">
        <v>7071</v>
      </c>
      <c r="M2019" s="8" t="s">
        <v>7072</v>
      </c>
      <c r="N2019" s="8" t="s">
        <v>9350</v>
      </c>
      <c r="O2019" s="8">
        <f>5+31/60+20.2/3600</f>
        <v>5.5222777777777781</v>
      </c>
      <c r="P2019" s="8" t="s">
        <v>9351</v>
      </c>
      <c r="Q2019" s="8">
        <f>-(71+3/60+58/3600)</f>
        <v>-71.066111111111113</v>
      </c>
      <c r="R2019" s="8">
        <v>10.9</v>
      </c>
      <c r="S2019" s="8">
        <v>10.9</v>
      </c>
      <c r="T2019" s="8">
        <v>99</v>
      </c>
      <c r="U2019" s="8">
        <v>99</v>
      </c>
      <c r="V2019" s="8">
        <v>2.8</v>
      </c>
      <c r="Y2019" s="8" t="s">
        <v>9352</v>
      </c>
      <c r="Z2019" s="8" t="s">
        <v>9353</v>
      </c>
    </row>
    <row r="2020" spans="1:26" x14ac:dyDescent="0.2">
      <c r="A2020" s="8">
        <v>2019</v>
      </c>
      <c r="B2020" s="8" t="s">
        <v>9354</v>
      </c>
      <c r="C2020" s="8" t="s">
        <v>9354</v>
      </c>
      <c r="F2020" s="47"/>
      <c r="G2020" s="8">
        <v>16</v>
      </c>
      <c r="H2020" s="8" t="s">
        <v>21</v>
      </c>
      <c r="I2020" s="8" t="s">
        <v>567</v>
      </c>
      <c r="J2020" s="8" t="s">
        <v>567</v>
      </c>
      <c r="K2020" s="8" t="s">
        <v>567</v>
      </c>
      <c r="L2020" s="8" t="s">
        <v>7071</v>
      </c>
      <c r="M2020" s="8" t="s">
        <v>7072</v>
      </c>
      <c r="N2020" s="8" t="s">
        <v>9355</v>
      </c>
      <c r="O2020" s="8">
        <f>5+31/60+56.7/3600</f>
        <v>5.5324166666666663</v>
      </c>
      <c r="P2020" s="8" t="s">
        <v>9356</v>
      </c>
      <c r="Q2020" s="8">
        <f>-(70+9/60+35/3600)</f>
        <v>-70.159722222222229</v>
      </c>
      <c r="R2020" s="8">
        <v>10.9</v>
      </c>
      <c r="S2020" s="8">
        <v>99</v>
      </c>
      <c r="T2020" s="8">
        <v>99</v>
      </c>
      <c r="U2020" s="8">
        <v>99</v>
      </c>
      <c r="V2020" s="8">
        <v>1</v>
      </c>
      <c r="Y2020" s="8" t="s">
        <v>9357</v>
      </c>
      <c r="Z2020" s="8" t="s">
        <v>9358</v>
      </c>
    </row>
    <row r="2021" spans="1:26" x14ac:dyDescent="0.2">
      <c r="A2021" s="8">
        <v>2020</v>
      </c>
      <c r="B2021" s="8" t="s">
        <v>9359</v>
      </c>
      <c r="C2021" s="8" t="s">
        <v>9359</v>
      </c>
      <c r="F2021" s="47"/>
      <c r="G2021" s="8">
        <v>16</v>
      </c>
      <c r="H2021" s="8" t="s">
        <v>21</v>
      </c>
      <c r="I2021" s="8" t="s">
        <v>1283</v>
      </c>
      <c r="J2021" s="8" t="s">
        <v>1283</v>
      </c>
      <c r="K2021" s="8" t="s">
        <v>1284</v>
      </c>
      <c r="L2021" s="8" t="s">
        <v>55972</v>
      </c>
      <c r="M2021" s="8" t="s">
        <v>6970</v>
      </c>
      <c r="N2021" s="8" t="s">
        <v>9360</v>
      </c>
      <c r="O2021" s="8">
        <f>5+33/60+12.7/3600</f>
        <v>5.5535277777777772</v>
      </c>
      <c r="P2021" s="8" t="s">
        <v>9361</v>
      </c>
      <c r="Q2021" s="8">
        <f>-(67+42/60+57/3600)</f>
        <v>-67.715833333333336</v>
      </c>
      <c r="R2021" s="8">
        <v>99</v>
      </c>
      <c r="S2021" s="8">
        <v>99</v>
      </c>
      <c r="T2021" s="8">
        <v>99</v>
      </c>
      <c r="U2021" s="8">
        <v>99</v>
      </c>
      <c r="V2021" s="8">
        <v>2</v>
      </c>
      <c r="Y2021" s="8" t="s">
        <v>9362</v>
      </c>
      <c r="Z2021" s="8" t="s">
        <v>9363</v>
      </c>
    </row>
    <row r="2022" spans="1:26" x14ac:dyDescent="0.2">
      <c r="A2022" s="8">
        <v>2021</v>
      </c>
      <c r="B2022" s="8" t="s">
        <v>9364</v>
      </c>
      <c r="C2022" s="8" t="s">
        <v>9364</v>
      </c>
      <c r="F2022" s="47"/>
      <c r="G2022" s="8">
        <v>16</v>
      </c>
      <c r="H2022" s="8" t="s">
        <v>21</v>
      </c>
      <c r="I2022" s="8" t="s">
        <v>557</v>
      </c>
      <c r="J2022" s="8" t="s">
        <v>557</v>
      </c>
      <c r="K2022" s="8" t="s">
        <v>557</v>
      </c>
      <c r="L2022" s="8" t="s">
        <v>55972</v>
      </c>
      <c r="M2022" s="8" t="s">
        <v>6970</v>
      </c>
      <c r="N2022" s="8" t="s">
        <v>9365</v>
      </c>
      <c r="O2022" s="8">
        <f>5+33/60+30.7/3600</f>
        <v>5.558527777777778</v>
      </c>
      <c r="P2022" s="8" t="s">
        <v>9366</v>
      </c>
      <c r="Q2022" s="8">
        <f>-(67+27/60+11/3600)</f>
        <v>-67.453055555555565</v>
      </c>
      <c r="R2022" s="8">
        <v>12.1</v>
      </c>
      <c r="S2022" s="8">
        <v>99</v>
      </c>
      <c r="T2022" s="8">
        <v>99</v>
      </c>
      <c r="U2022" s="8">
        <v>99</v>
      </c>
      <c r="V2022" s="8">
        <v>0.9</v>
      </c>
      <c r="Y2022" s="8" t="s">
        <v>9367</v>
      </c>
      <c r="Z2022" s="8" t="s">
        <v>9368</v>
      </c>
    </row>
    <row r="2023" spans="1:26" x14ac:dyDescent="0.2">
      <c r="A2023" s="8">
        <v>2022</v>
      </c>
      <c r="B2023" s="8" t="s">
        <v>9369</v>
      </c>
      <c r="C2023" s="8" t="s">
        <v>9369</v>
      </c>
      <c r="F2023" s="47" t="s">
        <v>56415</v>
      </c>
      <c r="G2023" s="8">
        <v>5</v>
      </c>
      <c r="H2023" s="8" t="s">
        <v>9370</v>
      </c>
      <c r="I2023" s="8" t="s">
        <v>241</v>
      </c>
      <c r="J2023" s="8" t="s">
        <v>241</v>
      </c>
      <c r="K2023" s="8" t="s">
        <v>241</v>
      </c>
      <c r="L2023" s="8" t="s">
        <v>7698</v>
      </c>
      <c r="M2023" s="8" t="s">
        <v>7699</v>
      </c>
      <c r="N2023" s="8" t="s">
        <v>9371</v>
      </c>
      <c r="O2023" s="8">
        <f>5+42/60+6.2/3600</f>
        <v>5.7017222222222221</v>
      </c>
      <c r="P2023" s="8" t="s">
        <v>9372</v>
      </c>
      <c r="Q2023" s="8">
        <f>+(9+5/60+12/3600)</f>
        <v>9.0866666666666678</v>
      </c>
      <c r="R2023" s="8">
        <v>11.6</v>
      </c>
      <c r="S2023" s="8">
        <v>12.4</v>
      </c>
      <c r="T2023" s="8">
        <v>99</v>
      </c>
      <c r="U2023" s="8">
        <v>99</v>
      </c>
      <c r="V2023" s="8">
        <v>0.65</v>
      </c>
      <c r="Y2023" s="8" t="s">
        <v>9373</v>
      </c>
      <c r="Z2023" s="8" t="s">
        <v>9374</v>
      </c>
    </row>
    <row r="2024" spans="1:26" x14ac:dyDescent="0.2">
      <c r="A2024" s="8">
        <v>2023</v>
      </c>
      <c r="B2024" s="8" t="s">
        <v>9375</v>
      </c>
      <c r="C2024" s="8" t="s">
        <v>9375</v>
      </c>
      <c r="F2024" s="47" t="s">
        <v>56416</v>
      </c>
      <c r="G2024" s="8">
        <v>6.5</v>
      </c>
      <c r="H2024" s="8" t="s">
        <v>21</v>
      </c>
      <c r="I2024" s="8" t="s">
        <v>1283</v>
      </c>
      <c r="J2024" s="8" t="s">
        <v>1283</v>
      </c>
      <c r="K2024" s="8" t="s">
        <v>9155</v>
      </c>
      <c r="L2024" s="8" t="s">
        <v>7698</v>
      </c>
      <c r="M2024" s="8" t="s">
        <v>7699</v>
      </c>
      <c r="N2024" s="8" t="s">
        <v>9376</v>
      </c>
      <c r="O2024" s="8">
        <f>5+41/60+38.2/3600</f>
        <v>5.6939444444444449</v>
      </c>
      <c r="P2024" s="8" t="s">
        <v>9377</v>
      </c>
      <c r="Q2024" s="8">
        <f>-(2+15/60+33/3600)</f>
        <v>-2.2591666666666668</v>
      </c>
      <c r="R2024" s="8">
        <v>99</v>
      </c>
      <c r="S2024" s="8">
        <v>99</v>
      </c>
      <c r="T2024" s="8">
        <v>99</v>
      </c>
      <c r="U2024" s="8">
        <v>99</v>
      </c>
      <c r="V2024" s="8">
        <v>10</v>
      </c>
      <c r="W2024" s="8">
        <v>10</v>
      </c>
      <c r="Y2024" s="8" t="s">
        <v>9378</v>
      </c>
      <c r="Z2024" s="8" t="s">
        <v>9379</v>
      </c>
    </row>
    <row r="2025" spans="1:26" x14ac:dyDescent="0.2">
      <c r="A2025" s="8">
        <v>2024</v>
      </c>
      <c r="B2025" s="8" t="s">
        <v>9380</v>
      </c>
      <c r="C2025" s="8" t="s">
        <v>9380</v>
      </c>
      <c r="F2025" s="47" t="s">
        <v>56417</v>
      </c>
      <c r="G2025" s="8">
        <v>6</v>
      </c>
      <c r="H2025" s="8" t="s">
        <v>9381</v>
      </c>
      <c r="I2025" s="8" t="s">
        <v>1283</v>
      </c>
      <c r="J2025" s="8" t="s">
        <v>1283</v>
      </c>
      <c r="K2025" s="8" t="s">
        <v>1284</v>
      </c>
      <c r="L2025" s="8" t="s">
        <v>7698</v>
      </c>
      <c r="M2025" s="8" t="s">
        <v>7699</v>
      </c>
      <c r="N2025" s="8" t="s">
        <v>9382</v>
      </c>
      <c r="O2025" s="8">
        <f>5+41/60+42/3600</f>
        <v>5.6950000000000003</v>
      </c>
      <c r="P2025" s="8" t="s">
        <v>9383</v>
      </c>
      <c r="Q2025" s="8">
        <f>-(1+51/60+24/3600)</f>
        <v>-1.8566666666666667</v>
      </c>
      <c r="R2025" s="8">
        <v>99</v>
      </c>
      <c r="S2025" s="8">
        <v>99</v>
      </c>
      <c r="T2025" s="8">
        <v>99</v>
      </c>
      <c r="U2025" s="8">
        <v>99</v>
      </c>
      <c r="V2025" s="8">
        <v>30</v>
      </c>
      <c r="W2025" s="8">
        <v>30</v>
      </c>
      <c r="Y2025" s="8" t="s">
        <v>9384</v>
      </c>
      <c r="Z2025" s="8" t="s">
        <v>9385</v>
      </c>
    </row>
    <row r="2026" spans="1:26" x14ac:dyDescent="0.2">
      <c r="A2026" s="8">
        <v>2025</v>
      </c>
      <c r="B2026" s="8" t="s">
        <v>9386</v>
      </c>
      <c r="C2026" s="8" t="s">
        <v>9386</v>
      </c>
      <c r="F2026" s="47"/>
      <c r="G2026" s="8">
        <v>16</v>
      </c>
      <c r="H2026" s="8" t="s">
        <v>21</v>
      </c>
      <c r="I2026" s="8" t="s">
        <v>557</v>
      </c>
      <c r="J2026" s="8" t="s">
        <v>557</v>
      </c>
      <c r="K2026" s="8" t="s">
        <v>557</v>
      </c>
      <c r="L2026" s="8" t="s">
        <v>7071</v>
      </c>
      <c r="M2026" s="8" t="s">
        <v>7072</v>
      </c>
      <c r="N2026" s="8" t="s">
        <v>9387</v>
      </c>
      <c r="O2026" s="8">
        <f>5+32/60+33.7/3600</f>
        <v>5.5426944444444439</v>
      </c>
      <c r="P2026" s="8" t="s">
        <v>9388</v>
      </c>
      <c r="Q2026" s="8">
        <f>-(71+42/60+56/3600)</f>
        <v>-71.715555555555554</v>
      </c>
      <c r="R2026" s="8">
        <v>10.9</v>
      </c>
      <c r="S2026" s="8">
        <v>99</v>
      </c>
      <c r="T2026" s="8">
        <v>99</v>
      </c>
      <c r="U2026" s="8">
        <v>99</v>
      </c>
      <c r="V2026" s="8">
        <v>1.9</v>
      </c>
      <c r="Y2026" s="8" t="s">
        <v>9389</v>
      </c>
      <c r="Z2026" s="8" t="s">
        <v>9390</v>
      </c>
    </row>
    <row r="2027" spans="1:26" x14ac:dyDescent="0.2">
      <c r="A2027" s="8">
        <v>2026</v>
      </c>
      <c r="B2027" s="8" t="s">
        <v>9391</v>
      </c>
      <c r="C2027" s="8" t="s">
        <v>9391</v>
      </c>
      <c r="F2027" s="47" t="s">
        <v>56418</v>
      </c>
      <c r="G2027" s="8">
        <v>15</v>
      </c>
      <c r="H2027" s="8" t="s">
        <v>21</v>
      </c>
      <c r="I2027" s="8" t="s">
        <v>557</v>
      </c>
      <c r="J2027" s="8" t="s">
        <v>557</v>
      </c>
      <c r="K2027" s="8" t="s">
        <v>557</v>
      </c>
      <c r="L2027" s="8" t="s">
        <v>6115</v>
      </c>
      <c r="M2027" s="8" t="s">
        <v>6116</v>
      </c>
      <c r="N2027" s="8" t="s">
        <v>9392</v>
      </c>
      <c r="O2027" s="8">
        <f>5+43/60+12/3600</f>
        <v>5.72</v>
      </c>
      <c r="P2027" s="8" t="s">
        <v>9393</v>
      </c>
      <c r="Q2027" s="8">
        <f>+(20+8/60+0/3600)</f>
        <v>20.133333333333333</v>
      </c>
      <c r="R2027" s="8">
        <v>99</v>
      </c>
      <c r="S2027" s="8">
        <v>99</v>
      </c>
      <c r="T2027" s="8">
        <v>99</v>
      </c>
      <c r="U2027" s="8">
        <v>99</v>
      </c>
      <c r="V2027" s="8">
        <v>10</v>
      </c>
      <c r="Y2027" s="8" t="s">
        <v>9394</v>
      </c>
      <c r="Z2027" s="8" t="s">
        <v>9395</v>
      </c>
    </row>
    <row r="2028" spans="1:26" x14ac:dyDescent="0.2">
      <c r="A2028" s="8">
        <v>2027</v>
      </c>
      <c r="B2028" s="8" t="s">
        <v>9396</v>
      </c>
      <c r="C2028" s="8" t="s">
        <v>9396</v>
      </c>
      <c r="F2028" s="47"/>
      <c r="G2028" s="8">
        <v>16</v>
      </c>
      <c r="H2028" s="8" t="s">
        <v>21</v>
      </c>
      <c r="I2028" s="8" t="s">
        <v>557</v>
      </c>
      <c r="J2028" s="8" t="s">
        <v>557</v>
      </c>
      <c r="K2028" s="8" t="s">
        <v>557</v>
      </c>
      <c r="L2028" s="8" t="s">
        <v>55972</v>
      </c>
      <c r="M2028" s="8" t="s">
        <v>6970</v>
      </c>
      <c r="N2028" s="8" t="s">
        <v>9397</v>
      </c>
      <c r="O2028" s="8">
        <f>5+34/60+59.8/3600</f>
        <v>5.5832777777777771</v>
      </c>
      <c r="P2028" s="8" t="s">
        <v>9398</v>
      </c>
      <c r="Q2028" s="8">
        <f>-(66+54/60+59/3600)</f>
        <v>-66.916388888888889</v>
      </c>
      <c r="R2028" s="8">
        <v>11.9</v>
      </c>
      <c r="S2028" s="8">
        <v>99</v>
      </c>
      <c r="T2028" s="8">
        <v>99</v>
      </c>
      <c r="U2028" s="8">
        <v>99</v>
      </c>
      <c r="V2028" s="8">
        <v>0.7</v>
      </c>
      <c r="Y2028" s="8" t="s">
        <v>9399</v>
      </c>
      <c r="Z2028" s="8" t="s">
        <v>9400</v>
      </c>
    </row>
    <row r="2029" spans="1:26" x14ac:dyDescent="0.2">
      <c r="A2029" s="8">
        <v>2028</v>
      </c>
      <c r="B2029" s="8" t="s">
        <v>9401</v>
      </c>
      <c r="C2029" s="8" t="s">
        <v>9401</v>
      </c>
      <c r="F2029" s="47"/>
      <c r="G2029" s="8">
        <v>16</v>
      </c>
      <c r="H2029" s="8" t="s">
        <v>21</v>
      </c>
      <c r="I2029" s="8" t="s">
        <v>557</v>
      </c>
      <c r="J2029" s="8" t="s">
        <v>557</v>
      </c>
      <c r="K2029" s="8" t="s">
        <v>557</v>
      </c>
      <c r="L2029" s="8" t="s">
        <v>7071</v>
      </c>
      <c r="M2029" s="8" t="s">
        <v>7072</v>
      </c>
      <c r="N2029" s="8" t="s">
        <v>9402</v>
      </c>
      <c r="O2029" s="8">
        <f>5+33/60+48.6/3600</f>
        <v>5.5634999999999994</v>
      </c>
      <c r="P2029" s="8" t="s">
        <v>9403</v>
      </c>
      <c r="Q2029" s="8">
        <f>-(69+57/60+7/3600)</f>
        <v>-69.95194444444445</v>
      </c>
      <c r="R2029" s="8">
        <v>12.9</v>
      </c>
      <c r="S2029" s="8">
        <v>99</v>
      </c>
      <c r="T2029" s="8">
        <v>99</v>
      </c>
      <c r="U2029" s="8">
        <v>99</v>
      </c>
      <c r="V2029" s="8">
        <v>0.5</v>
      </c>
      <c r="Y2029" s="8" t="s">
        <v>297</v>
      </c>
      <c r="Z2029" s="8" t="s">
        <v>298</v>
      </c>
    </row>
    <row r="2030" spans="1:26" x14ac:dyDescent="0.2">
      <c r="A2030" s="8">
        <v>2029</v>
      </c>
      <c r="B2030" s="8" t="s">
        <v>9404</v>
      </c>
      <c r="C2030" s="8" t="s">
        <v>9404</v>
      </c>
      <c r="F2030" s="47"/>
      <c r="G2030" s="8">
        <v>16</v>
      </c>
      <c r="H2030" s="8" t="s">
        <v>21</v>
      </c>
      <c r="I2030" s="8" t="s">
        <v>1283</v>
      </c>
      <c r="J2030" s="8" t="s">
        <v>1283</v>
      </c>
      <c r="K2030" s="8" t="s">
        <v>1284</v>
      </c>
      <c r="L2030" s="8" t="s">
        <v>55972</v>
      </c>
      <c r="M2030" s="8" t="s">
        <v>6970</v>
      </c>
      <c r="N2030" s="8" t="s">
        <v>9405</v>
      </c>
      <c r="O2030" s="8">
        <f>5+35/60+38/3600</f>
        <v>5.5938888888888885</v>
      </c>
      <c r="P2030" s="8" t="s">
        <v>9406</v>
      </c>
      <c r="Q2030" s="8">
        <f>-(66+2/60+0/3600)</f>
        <v>-66.033333333333331</v>
      </c>
      <c r="R2030" s="8">
        <v>99</v>
      </c>
      <c r="S2030" s="8">
        <v>99</v>
      </c>
      <c r="T2030" s="8">
        <v>99</v>
      </c>
      <c r="U2030" s="8">
        <v>99</v>
      </c>
      <c r="Y2030" s="8" t="s">
        <v>9407</v>
      </c>
      <c r="Z2030" s="8" t="s">
        <v>9408</v>
      </c>
    </row>
    <row r="2031" spans="1:26" x14ac:dyDescent="0.2">
      <c r="A2031" s="8">
        <v>2030</v>
      </c>
      <c r="B2031" s="8" t="s">
        <v>9409</v>
      </c>
      <c r="C2031" s="8" t="s">
        <v>9409</v>
      </c>
      <c r="F2031" s="47"/>
      <c r="G2031" s="8">
        <v>16</v>
      </c>
      <c r="H2031" s="8" t="s">
        <v>21</v>
      </c>
      <c r="I2031" s="8" t="s">
        <v>1283</v>
      </c>
      <c r="J2031" s="8" t="s">
        <v>1283</v>
      </c>
      <c r="K2031" s="8" t="s">
        <v>1284</v>
      </c>
      <c r="L2031" s="8" t="s">
        <v>55972</v>
      </c>
      <c r="M2031" s="8" t="s">
        <v>6970</v>
      </c>
      <c r="N2031" s="8" t="s">
        <v>9410</v>
      </c>
      <c r="O2031" s="8">
        <f>5+35/60+0/3600</f>
        <v>5.583333333333333</v>
      </c>
      <c r="P2031" s="8" t="s">
        <v>9411</v>
      </c>
      <c r="Q2031" s="8">
        <f>-(67+33/60+18/3600)</f>
        <v>-67.554999999999993</v>
      </c>
      <c r="R2031" s="8">
        <v>99</v>
      </c>
      <c r="S2031" s="8">
        <v>99</v>
      </c>
      <c r="T2031" s="8">
        <v>99</v>
      </c>
      <c r="U2031" s="8">
        <v>99</v>
      </c>
      <c r="Y2031" s="8" t="s">
        <v>9412</v>
      </c>
      <c r="Z2031" s="8" t="s">
        <v>9413</v>
      </c>
    </row>
    <row r="2032" spans="1:26" x14ac:dyDescent="0.2">
      <c r="A2032" s="8">
        <v>2031</v>
      </c>
      <c r="B2032" s="8" t="s">
        <v>9414</v>
      </c>
      <c r="C2032" s="8" t="s">
        <v>9414</v>
      </c>
      <c r="F2032" s="47"/>
      <c r="G2032" s="8">
        <v>16</v>
      </c>
      <c r="H2032" s="8" t="s">
        <v>21</v>
      </c>
      <c r="I2032" s="8" t="s">
        <v>557</v>
      </c>
      <c r="J2032" s="8" t="s">
        <v>557</v>
      </c>
      <c r="K2032" s="8" t="s">
        <v>557</v>
      </c>
      <c r="L2032" s="8" t="s">
        <v>7071</v>
      </c>
      <c r="M2032" s="8" t="s">
        <v>7072</v>
      </c>
      <c r="N2032" s="8" t="s">
        <v>9415</v>
      </c>
      <c r="O2032" s="8">
        <f>5+33/60+41.9/3600</f>
        <v>5.561638888888889</v>
      </c>
      <c r="P2032" s="8" t="s">
        <v>9416</v>
      </c>
      <c r="Q2032" s="8">
        <f>-(70+59/60+13/3600)</f>
        <v>-70.986944444444447</v>
      </c>
      <c r="R2032" s="8">
        <v>10.8</v>
      </c>
      <c r="S2032" s="8">
        <v>99</v>
      </c>
      <c r="T2032" s="8">
        <v>99</v>
      </c>
      <c r="U2032" s="8">
        <v>99</v>
      </c>
      <c r="V2032" s="8">
        <v>3.4</v>
      </c>
      <c r="Y2032" s="8" t="s">
        <v>9417</v>
      </c>
      <c r="Z2032" s="8" t="s">
        <v>9418</v>
      </c>
    </row>
    <row r="2033" spans="1:26" x14ac:dyDescent="0.2">
      <c r="A2033" s="8">
        <v>2032</v>
      </c>
      <c r="B2033" s="8" t="s">
        <v>9419</v>
      </c>
      <c r="C2033" s="8" t="s">
        <v>9419</v>
      </c>
      <c r="F2033" s="47"/>
      <c r="G2033" s="8">
        <v>16</v>
      </c>
      <c r="H2033" s="8" t="s">
        <v>21</v>
      </c>
      <c r="I2033" s="8" t="s">
        <v>1283</v>
      </c>
      <c r="J2033" s="8" t="s">
        <v>1283</v>
      </c>
      <c r="K2033" s="8" t="s">
        <v>1284</v>
      </c>
      <c r="L2033" s="8" t="s">
        <v>55972</v>
      </c>
      <c r="M2033" s="8" t="s">
        <v>6970</v>
      </c>
      <c r="N2033" s="8" t="s">
        <v>9420</v>
      </c>
      <c r="O2033" s="8">
        <f>5+35/60+20/3600</f>
        <v>5.5888888888888886</v>
      </c>
      <c r="P2033" s="8" t="s">
        <v>9421</v>
      </c>
      <c r="Q2033" s="8">
        <f>-(67+34/60+36/3600)</f>
        <v>-67.576666666666668</v>
      </c>
      <c r="R2033" s="8">
        <v>99</v>
      </c>
      <c r="S2033" s="8">
        <v>99</v>
      </c>
      <c r="T2033" s="8">
        <v>99</v>
      </c>
      <c r="U2033" s="8">
        <v>99</v>
      </c>
      <c r="Y2033" s="8" t="s">
        <v>9422</v>
      </c>
      <c r="Z2033" s="8" t="s">
        <v>9423</v>
      </c>
    </row>
    <row r="2034" spans="1:26" x14ac:dyDescent="0.2">
      <c r="A2034" s="8">
        <v>2033</v>
      </c>
      <c r="B2034" s="8" t="s">
        <v>9424</v>
      </c>
      <c r="C2034" s="8" t="s">
        <v>9424</v>
      </c>
      <c r="F2034" s="47"/>
      <c r="G2034" s="8">
        <v>18</v>
      </c>
      <c r="H2034" s="8" t="s">
        <v>21</v>
      </c>
      <c r="I2034" s="8" t="s">
        <v>557</v>
      </c>
      <c r="J2034" s="8" t="s">
        <v>557</v>
      </c>
      <c r="K2034" s="8" t="s">
        <v>557</v>
      </c>
      <c r="L2034" s="8" t="s">
        <v>55972</v>
      </c>
      <c r="M2034" s="8" t="s">
        <v>6970</v>
      </c>
      <c r="N2034" s="8" t="s">
        <v>9425</v>
      </c>
      <c r="O2034" s="8">
        <f>5+34/60+30.6/3600</f>
        <v>5.5751666666666662</v>
      </c>
      <c r="P2034" s="8" t="s">
        <v>9426</v>
      </c>
      <c r="Q2034" s="8">
        <f>-(69+46/60+48/3600)</f>
        <v>-69.78</v>
      </c>
      <c r="R2034" s="8">
        <v>11.6</v>
      </c>
      <c r="S2034" s="8">
        <v>99</v>
      </c>
      <c r="T2034" s="8">
        <v>99</v>
      </c>
      <c r="U2034" s="8">
        <v>99</v>
      </c>
      <c r="V2034" s="8">
        <v>0.5</v>
      </c>
      <c r="Y2034" s="8" t="s">
        <v>9427</v>
      </c>
      <c r="Z2034" s="8" t="s">
        <v>9428</v>
      </c>
    </row>
    <row r="2035" spans="1:26" x14ac:dyDescent="0.2">
      <c r="A2035" s="8">
        <v>2034</v>
      </c>
      <c r="B2035" s="8" t="s">
        <v>9429</v>
      </c>
      <c r="C2035" s="8" t="s">
        <v>9429</v>
      </c>
      <c r="F2035" s="47"/>
      <c r="G2035" s="8">
        <v>16</v>
      </c>
      <c r="H2035" s="8" t="s">
        <v>21</v>
      </c>
      <c r="I2035" s="8" t="s">
        <v>557</v>
      </c>
      <c r="J2035" s="8" t="s">
        <v>557</v>
      </c>
      <c r="K2035" s="8" t="s">
        <v>1816</v>
      </c>
      <c r="L2035" s="8" t="s">
        <v>55972</v>
      </c>
      <c r="M2035" s="8" t="s">
        <v>6970</v>
      </c>
      <c r="N2035" s="8" t="s">
        <v>9430</v>
      </c>
      <c r="O2035" s="8">
        <f>5+35/60+32.8/3600</f>
        <v>5.5924444444444443</v>
      </c>
      <c r="P2035" s="8" t="s">
        <v>9431</v>
      </c>
      <c r="Q2035" s="8">
        <f>-(66+54/60+13/3600)</f>
        <v>-66.903611111111118</v>
      </c>
      <c r="R2035" s="8">
        <v>99</v>
      </c>
      <c r="S2035" s="8">
        <v>99</v>
      </c>
      <c r="T2035" s="8">
        <v>99</v>
      </c>
      <c r="U2035" s="8">
        <v>99</v>
      </c>
      <c r="Y2035" s="8" t="s">
        <v>9432</v>
      </c>
      <c r="Z2035" s="8" t="s">
        <v>9433</v>
      </c>
    </row>
    <row r="2036" spans="1:26" x14ac:dyDescent="0.2">
      <c r="A2036" s="8">
        <v>2035</v>
      </c>
      <c r="B2036" s="8" t="s">
        <v>9434</v>
      </c>
      <c r="C2036" s="8" t="s">
        <v>9434</v>
      </c>
      <c r="F2036" s="47"/>
      <c r="G2036" s="8">
        <v>16</v>
      </c>
      <c r="H2036" s="8" t="s">
        <v>21</v>
      </c>
      <c r="I2036" s="8" t="s">
        <v>1283</v>
      </c>
      <c r="J2036" s="8" t="s">
        <v>1283</v>
      </c>
      <c r="K2036" s="8" t="s">
        <v>1284</v>
      </c>
      <c r="L2036" s="8" t="s">
        <v>55972</v>
      </c>
      <c r="M2036" s="8" t="s">
        <v>6970</v>
      </c>
      <c r="N2036" s="8" t="s">
        <v>9435</v>
      </c>
      <c r="O2036" s="8">
        <f>5+35/60+32.5/3600</f>
        <v>5.5923611111111109</v>
      </c>
      <c r="P2036" s="8" t="s">
        <v>9436</v>
      </c>
      <c r="Q2036" s="8">
        <f>-(67+35/60+8/3600)</f>
        <v>-67.585555555555544</v>
      </c>
      <c r="R2036" s="8">
        <v>99</v>
      </c>
      <c r="S2036" s="8">
        <v>99</v>
      </c>
      <c r="T2036" s="8">
        <v>99</v>
      </c>
      <c r="U2036" s="8">
        <v>99</v>
      </c>
      <c r="V2036" s="8">
        <v>3</v>
      </c>
      <c r="W2036" s="8">
        <v>3</v>
      </c>
      <c r="Y2036" s="8" t="s">
        <v>9437</v>
      </c>
      <c r="Z2036" s="8" t="s">
        <v>9438</v>
      </c>
    </row>
    <row r="2037" spans="1:26" x14ac:dyDescent="0.2">
      <c r="A2037" s="8">
        <v>2036</v>
      </c>
      <c r="B2037" s="8" t="s">
        <v>9439</v>
      </c>
      <c r="C2037" s="8" t="s">
        <v>9439</v>
      </c>
      <c r="F2037" s="47"/>
      <c r="G2037" s="8">
        <v>16</v>
      </c>
      <c r="H2037" s="8" t="s">
        <v>21</v>
      </c>
      <c r="I2037" s="8" t="s">
        <v>557</v>
      </c>
      <c r="J2037" s="8" t="s">
        <v>557</v>
      </c>
      <c r="K2037" s="8" t="s">
        <v>557</v>
      </c>
      <c r="L2037" s="8" t="s">
        <v>7071</v>
      </c>
      <c r="M2037" s="8" t="s">
        <v>7072</v>
      </c>
      <c r="N2037" s="8" t="s">
        <v>9440</v>
      </c>
      <c r="O2037" s="8">
        <f>5+34/60+31.5/3600</f>
        <v>5.5754166666666665</v>
      </c>
      <c r="P2037" s="8" t="s">
        <v>9441</v>
      </c>
      <c r="Q2037" s="8">
        <f>-(70+3/60+52/3600)</f>
        <v>-70.064444444444447</v>
      </c>
      <c r="R2037" s="8">
        <v>12.8</v>
      </c>
      <c r="S2037" s="8">
        <v>99</v>
      </c>
      <c r="T2037" s="8">
        <v>99</v>
      </c>
      <c r="U2037" s="8">
        <v>99</v>
      </c>
      <c r="V2037" s="8">
        <v>0.6</v>
      </c>
      <c r="Y2037" s="8" t="s">
        <v>541</v>
      </c>
      <c r="Z2037" s="8" t="s">
        <v>542</v>
      </c>
    </row>
    <row r="2038" spans="1:26" x14ac:dyDescent="0.2">
      <c r="A2038" s="8">
        <v>2037</v>
      </c>
      <c r="B2038" s="8" t="s">
        <v>9442</v>
      </c>
      <c r="C2038" s="8" t="s">
        <v>9442</v>
      </c>
      <c r="F2038" s="47"/>
      <c r="G2038" s="8">
        <v>18</v>
      </c>
      <c r="H2038" s="8" t="s">
        <v>21</v>
      </c>
      <c r="I2038" s="8" t="s">
        <v>557</v>
      </c>
      <c r="J2038" s="8" t="s">
        <v>557</v>
      </c>
      <c r="K2038" s="8" t="s">
        <v>557</v>
      </c>
      <c r="L2038" s="8" t="s">
        <v>55972</v>
      </c>
      <c r="M2038" s="8" t="s">
        <v>6970</v>
      </c>
      <c r="N2038" s="8" t="s">
        <v>9443</v>
      </c>
      <c r="O2038" s="8">
        <f>5+34/60+54/3600</f>
        <v>5.5816666666666661</v>
      </c>
      <c r="P2038" s="8" t="s">
        <v>9444</v>
      </c>
      <c r="Q2038" s="8">
        <f>-(69+44/60+12/3600)</f>
        <v>-69.736666666666665</v>
      </c>
      <c r="R2038" s="8">
        <v>10.3</v>
      </c>
      <c r="S2038" s="8">
        <v>99</v>
      </c>
      <c r="T2038" s="8">
        <v>99</v>
      </c>
      <c r="U2038" s="8">
        <v>99</v>
      </c>
      <c r="V2038" s="8">
        <v>0.5</v>
      </c>
      <c r="Y2038" s="8" t="s">
        <v>9445</v>
      </c>
      <c r="Z2038" s="8" t="s">
        <v>9428</v>
      </c>
    </row>
    <row r="2039" spans="1:26" x14ac:dyDescent="0.2">
      <c r="A2039" s="8">
        <v>2038</v>
      </c>
      <c r="B2039" s="8" t="s">
        <v>9446</v>
      </c>
      <c r="C2039" s="8" t="s">
        <v>9446</v>
      </c>
      <c r="F2039" s="47"/>
      <c r="G2039" s="8">
        <v>16</v>
      </c>
      <c r="H2039" s="8" t="s">
        <v>21</v>
      </c>
      <c r="I2039" s="8" t="s">
        <v>557</v>
      </c>
      <c r="J2039" s="8" t="s">
        <v>557</v>
      </c>
      <c r="K2039" s="8" t="s">
        <v>557</v>
      </c>
      <c r="L2039" s="8" t="s">
        <v>7071</v>
      </c>
      <c r="M2039" s="8" t="s">
        <v>7072</v>
      </c>
      <c r="N2039" s="8" t="s">
        <v>9447</v>
      </c>
      <c r="O2039" s="8">
        <f>5+34/60+42.4/3600</f>
        <v>5.5784444444444441</v>
      </c>
      <c r="P2039" s="8" t="s">
        <v>9448</v>
      </c>
      <c r="Q2039" s="8">
        <f>-(70+33/60+47/3600)</f>
        <v>-70.56305555555555</v>
      </c>
      <c r="R2039" s="8">
        <v>11.9</v>
      </c>
      <c r="S2039" s="8">
        <v>99</v>
      </c>
      <c r="T2039" s="8">
        <v>99</v>
      </c>
      <c r="U2039" s="8">
        <v>99</v>
      </c>
      <c r="V2039" s="8">
        <v>1.7</v>
      </c>
      <c r="Y2039" s="8" t="s">
        <v>9449</v>
      </c>
      <c r="Z2039" s="8" t="s">
        <v>9450</v>
      </c>
    </row>
    <row r="2040" spans="1:26" x14ac:dyDescent="0.2">
      <c r="A2040" s="8">
        <v>2039</v>
      </c>
      <c r="B2040" s="8" t="s">
        <v>9451</v>
      </c>
      <c r="C2040" s="8" t="s">
        <v>9451</v>
      </c>
      <c r="F2040" s="47"/>
      <c r="G2040" s="8">
        <v>16</v>
      </c>
      <c r="H2040" s="8" t="s">
        <v>21</v>
      </c>
      <c r="I2040" s="8" t="s">
        <v>72</v>
      </c>
      <c r="J2040" s="8" t="s">
        <v>72</v>
      </c>
      <c r="K2040" s="8" t="s">
        <v>1405</v>
      </c>
      <c r="L2040" s="8" t="s">
        <v>7698</v>
      </c>
      <c r="M2040" s="8" t="s">
        <v>7699</v>
      </c>
      <c r="N2040" s="8" t="s">
        <v>9452</v>
      </c>
      <c r="O2040" s="8">
        <f>5+44/60+1/3600</f>
        <v>5.7336111111111112</v>
      </c>
      <c r="P2040" s="8" t="s">
        <v>9453</v>
      </c>
      <c r="Q2040" s="8">
        <f>+(8+41/60+30/3600)</f>
        <v>8.6916666666666664</v>
      </c>
      <c r="R2040" s="8">
        <v>99</v>
      </c>
      <c r="S2040" s="8">
        <v>99</v>
      </c>
      <c r="T2040" s="8">
        <v>99</v>
      </c>
      <c r="U2040" s="8">
        <v>99</v>
      </c>
      <c r="V2040" s="8">
        <v>55</v>
      </c>
      <c r="Y2040" s="8" t="s">
        <v>9454</v>
      </c>
      <c r="Z2040" s="8" t="s">
        <v>9455</v>
      </c>
    </row>
    <row r="2041" spans="1:26" x14ac:dyDescent="0.2">
      <c r="A2041" s="8">
        <v>2040</v>
      </c>
      <c r="B2041" s="8" t="s">
        <v>9456</v>
      </c>
      <c r="C2041" s="8" t="s">
        <v>9456</v>
      </c>
      <c r="F2041" s="47"/>
      <c r="G2041" s="8">
        <v>16</v>
      </c>
      <c r="H2041" s="8" t="s">
        <v>21</v>
      </c>
      <c r="I2041" s="8" t="s">
        <v>1283</v>
      </c>
      <c r="J2041" s="8" t="s">
        <v>1283</v>
      </c>
      <c r="K2041" s="8" t="s">
        <v>1284</v>
      </c>
      <c r="L2041" s="8" t="s">
        <v>55972</v>
      </c>
      <c r="M2041" s="8" t="s">
        <v>6970</v>
      </c>
      <c r="N2041" s="8" t="s">
        <v>9457</v>
      </c>
      <c r="O2041" s="8">
        <f>5+36/60+7.6/3600</f>
        <v>5.6021111111111104</v>
      </c>
      <c r="P2041" s="8" t="s">
        <v>9458</v>
      </c>
      <c r="Q2041" s="8">
        <f>-(67+34/60+4/3600)</f>
        <v>-67.567777777777778</v>
      </c>
      <c r="R2041" s="8">
        <v>99</v>
      </c>
      <c r="S2041" s="8">
        <v>99</v>
      </c>
      <c r="T2041" s="8">
        <v>99</v>
      </c>
      <c r="U2041" s="8">
        <v>99</v>
      </c>
      <c r="V2041" s="8">
        <v>3</v>
      </c>
      <c r="W2041" s="8">
        <v>3</v>
      </c>
      <c r="Y2041" s="8" t="s">
        <v>9459</v>
      </c>
      <c r="Z2041" s="8" t="s">
        <v>9460</v>
      </c>
    </row>
    <row r="2042" spans="1:26" x14ac:dyDescent="0.2">
      <c r="A2042" s="8">
        <v>2041</v>
      </c>
      <c r="B2042" s="8" t="s">
        <v>9461</v>
      </c>
      <c r="C2042" s="8" t="s">
        <v>9461</v>
      </c>
      <c r="F2042" s="47"/>
      <c r="G2042" s="8">
        <v>16</v>
      </c>
      <c r="H2042" s="8" t="s">
        <v>21</v>
      </c>
      <c r="I2042" s="8" t="s">
        <v>557</v>
      </c>
      <c r="J2042" s="8" t="s">
        <v>557</v>
      </c>
      <c r="K2042" s="8" t="s">
        <v>557</v>
      </c>
      <c r="L2042" s="8" t="s">
        <v>55972</v>
      </c>
      <c r="M2042" s="8" t="s">
        <v>6970</v>
      </c>
      <c r="N2042" s="8" t="s">
        <v>9462</v>
      </c>
      <c r="O2042" s="8">
        <f>5+36/60+28.1/3600</f>
        <v>5.6078055555555553</v>
      </c>
      <c r="P2042" s="8" t="s">
        <v>9463</v>
      </c>
      <c r="Q2042" s="8">
        <f>-(66+59/60+23/3600)</f>
        <v>-66.989722222222227</v>
      </c>
      <c r="R2042" s="8">
        <v>10.4</v>
      </c>
      <c r="S2042" s="8">
        <v>99</v>
      </c>
      <c r="T2042" s="8">
        <v>99</v>
      </c>
      <c r="U2042" s="8">
        <v>99</v>
      </c>
      <c r="V2042" s="8">
        <v>0.7</v>
      </c>
      <c r="Y2042" s="8" t="s">
        <v>9464</v>
      </c>
      <c r="Z2042" s="8" t="s">
        <v>9465</v>
      </c>
    </row>
    <row r="2043" spans="1:26" x14ac:dyDescent="0.2">
      <c r="A2043" s="8">
        <v>2042</v>
      </c>
      <c r="B2043" s="8" t="s">
        <v>9466</v>
      </c>
      <c r="C2043" s="8" t="s">
        <v>9466</v>
      </c>
      <c r="F2043" s="47"/>
      <c r="G2043" s="8">
        <v>16</v>
      </c>
      <c r="H2043" s="8" t="s">
        <v>21</v>
      </c>
      <c r="I2043" s="8" t="s">
        <v>557</v>
      </c>
      <c r="J2043" s="8" t="s">
        <v>557</v>
      </c>
      <c r="K2043" s="8" t="s">
        <v>557</v>
      </c>
      <c r="L2043" s="8" t="s">
        <v>55972</v>
      </c>
      <c r="M2043" s="8" t="s">
        <v>6970</v>
      </c>
      <c r="N2043" s="8" t="s">
        <v>9467</v>
      </c>
      <c r="O2043" s="8">
        <f>5+36/60+9.6/3600</f>
        <v>5.602666666666666</v>
      </c>
      <c r="P2043" s="8" t="s">
        <v>9468</v>
      </c>
      <c r="Q2043" s="8">
        <f>-(68+55/60+25/3600)</f>
        <v>-68.923611111111114</v>
      </c>
      <c r="R2043" s="8">
        <v>9.6</v>
      </c>
      <c r="S2043" s="8">
        <v>9.8000000000000007</v>
      </c>
      <c r="T2043" s="8">
        <v>99</v>
      </c>
      <c r="U2043" s="8">
        <v>99</v>
      </c>
      <c r="V2043" s="8">
        <v>9</v>
      </c>
      <c r="Y2043" s="8" t="s">
        <v>9469</v>
      </c>
      <c r="Z2043" s="8" t="s">
        <v>9470</v>
      </c>
    </row>
    <row r="2044" spans="1:26" x14ac:dyDescent="0.2">
      <c r="A2044" s="8">
        <v>2043</v>
      </c>
      <c r="B2044" s="8" t="s">
        <v>9471</v>
      </c>
      <c r="C2044" s="8" t="s">
        <v>9471</v>
      </c>
      <c r="F2044" s="47"/>
      <c r="G2044" s="8">
        <v>19</v>
      </c>
      <c r="H2044" s="8" t="s">
        <v>21</v>
      </c>
      <c r="I2044" s="8" t="s">
        <v>557</v>
      </c>
      <c r="J2044" s="8" t="s">
        <v>557</v>
      </c>
      <c r="K2044" s="8" t="s">
        <v>557</v>
      </c>
      <c r="L2044" s="8" t="s">
        <v>7071</v>
      </c>
      <c r="M2044" s="8" t="s">
        <v>7072</v>
      </c>
      <c r="N2044" s="8" t="s">
        <v>9472</v>
      </c>
      <c r="O2044" s="8">
        <f>5+35/60+57.3/3600</f>
        <v>5.5992499999999996</v>
      </c>
      <c r="P2044" s="8" t="s">
        <v>9473</v>
      </c>
      <c r="Q2044" s="8">
        <f>-(70+4/60+28/3600)</f>
        <v>-70.074444444444438</v>
      </c>
      <c r="R2044" s="8">
        <v>99</v>
      </c>
      <c r="S2044" s="8">
        <v>99</v>
      </c>
      <c r="T2044" s="8">
        <v>99</v>
      </c>
      <c r="U2044" s="8">
        <v>99</v>
      </c>
      <c r="Y2044" s="8" t="s">
        <v>9474</v>
      </c>
      <c r="Z2044" s="8" t="s">
        <v>9475</v>
      </c>
    </row>
    <row r="2045" spans="1:26" x14ac:dyDescent="0.2">
      <c r="A2045" s="8">
        <v>2044</v>
      </c>
      <c r="B2045" s="8" t="s">
        <v>9476</v>
      </c>
      <c r="C2045" s="8" t="s">
        <v>9476</v>
      </c>
      <c r="F2045" s="47"/>
      <c r="G2045" s="8">
        <v>18</v>
      </c>
      <c r="H2045" s="8" t="s">
        <v>21</v>
      </c>
      <c r="I2045" s="8" t="s">
        <v>557</v>
      </c>
      <c r="J2045" s="8" t="s">
        <v>557</v>
      </c>
      <c r="K2045" s="8" t="s">
        <v>557</v>
      </c>
      <c r="L2045" s="8" t="s">
        <v>55972</v>
      </c>
      <c r="M2045" s="8" t="s">
        <v>6970</v>
      </c>
      <c r="N2045" s="8" t="s">
        <v>9477</v>
      </c>
      <c r="O2045" s="8">
        <f>5+36/60+6/3600</f>
        <v>5.6016666666666666</v>
      </c>
      <c r="P2045" s="8" t="s">
        <v>9478</v>
      </c>
      <c r="Q2045" s="8">
        <f>-(69+11/60+55/3600)</f>
        <v>-69.19861111111112</v>
      </c>
      <c r="R2045" s="8">
        <v>10.6</v>
      </c>
      <c r="S2045" s="8">
        <v>10.7</v>
      </c>
      <c r="T2045" s="8">
        <v>99</v>
      </c>
      <c r="U2045" s="8">
        <v>99</v>
      </c>
      <c r="V2045" s="8">
        <v>2</v>
      </c>
      <c r="Y2045" s="8" t="s">
        <v>9445</v>
      </c>
      <c r="Z2045" s="8" t="s">
        <v>9428</v>
      </c>
    </row>
    <row r="2046" spans="1:26" x14ac:dyDescent="0.2">
      <c r="A2046" s="8">
        <v>2045</v>
      </c>
      <c r="B2046" s="8" t="s">
        <v>9479</v>
      </c>
      <c r="C2046" s="8" t="s">
        <v>9479</v>
      </c>
      <c r="F2046" s="47"/>
      <c r="G2046" s="8">
        <v>16</v>
      </c>
      <c r="H2046" s="8" t="s">
        <v>21</v>
      </c>
      <c r="I2046" s="8" t="s">
        <v>72</v>
      </c>
      <c r="J2046" s="8" t="s">
        <v>72</v>
      </c>
      <c r="K2046" s="8" t="s">
        <v>20</v>
      </c>
      <c r="L2046" s="8" t="s">
        <v>6115</v>
      </c>
      <c r="M2046" s="8" t="s">
        <v>6116</v>
      </c>
      <c r="N2046" s="8" t="s">
        <v>9480</v>
      </c>
      <c r="O2046" s="8">
        <f>5+45/60+1.4/3600</f>
        <v>5.7503888888888888</v>
      </c>
      <c r="P2046" s="8" t="s">
        <v>9481</v>
      </c>
      <c r="Q2046" s="8">
        <f>+(12+53/60+18/3600)</f>
        <v>12.888333333333334</v>
      </c>
      <c r="R2046" s="8">
        <v>99</v>
      </c>
      <c r="S2046" s="8">
        <v>6.5</v>
      </c>
      <c r="T2046" s="8">
        <v>99</v>
      </c>
      <c r="U2046" s="8">
        <v>99</v>
      </c>
      <c r="Y2046" s="8" t="s">
        <v>9482</v>
      </c>
      <c r="Z2046" s="8" t="s">
        <v>9483</v>
      </c>
    </row>
    <row r="2047" spans="1:26" x14ac:dyDescent="0.2">
      <c r="A2047" s="8">
        <v>2046</v>
      </c>
      <c r="B2047" s="8" t="s">
        <v>9484</v>
      </c>
      <c r="C2047" s="8" t="s">
        <v>9484</v>
      </c>
      <c r="F2047" s="47"/>
      <c r="G2047" s="8">
        <v>16</v>
      </c>
      <c r="H2047" s="8" t="s">
        <v>21</v>
      </c>
      <c r="I2047" s="8" t="s">
        <v>557</v>
      </c>
      <c r="J2047" s="8" t="s">
        <v>557</v>
      </c>
      <c r="K2047" s="8" t="s">
        <v>557</v>
      </c>
      <c r="L2047" s="8" t="s">
        <v>7071</v>
      </c>
      <c r="M2047" s="8" t="s">
        <v>7072</v>
      </c>
      <c r="N2047" s="8" t="s">
        <v>9485</v>
      </c>
      <c r="O2047" s="8">
        <f>5+35/60+37.6/3600</f>
        <v>5.5937777777777775</v>
      </c>
      <c r="P2047" s="8" t="s">
        <v>9486</v>
      </c>
      <c r="Q2047" s="8">
        <f>-(70+14/60+27/3600)</f>
        <v>-70.240833333333327</v>
      </c>
      <c r="R2047" s="8">
        <v>12.6</v>
      </c>
      <c r="S2047" s="8">
        <v>99</v>
      </c>
      <c r="T2047" s="8">
        <v>99</v>
      </c>
      <c r="U2047" s="8">
        <v>99</v>
      </c>
      <c r="V2047" s="8">
        <v>1.3</v>
      </c>
      <c r="Y2047" s="8" t="s">
        <v>9487</v>
      </c>
      <c r="Z2047" s="8" t="s">
        <v>9488</v>
      </c>
    </row>
    <row r="2048" spans="1:26" x14ac:dyDescent="0.2">
      <c r="A2048" s="8">
        <v>2047</v>
      </c>
      <c r="B2048" s="8" t="s">
        <v>9489</v>
      </c>
      <c r="C2048" s="8" t="s">
        <v>9489</v>
      </c>
      <c r="F2048" s="47"/>
      <c r="G2048" s="8">
        <v>16</v>
      </c>
      <c r="H2048" s="8" t="s">
        <v>21</v>
      </c>
      <c r="I2048" s="8" t="s">
        <v>557</v>
      </c>
      <c r="J2048" s="8" t="s">
        <v>557</v>
      </c>
      <c r="K2048" s="8" t="s">
        <v>557</v>
      </c>
      <c r="L2048" s="8" t="s">
        <v>7071</v>
      </c>
      <c r="M2048" s="8" t="s">
        <v>7072</v>
      </c>
      <c r="N2048" s="8" t="s">
        <v>9490</v>
      </c>
      <c r="O2048" s="8">
        <f>5+35/60+53.1/3600</f>
        <v>5.5980833333333333</v>
      </c>
      <c r="P2048" s="8" t="s">
        <v>9491</v>
      </c>
      <c r="Q2048" s="8">
        <f>-(70+11/60+34/3600)</f>
        <v>-70.192777777777778</v>
      </c>
      <c r="R2048" s="8">
        <v>13.2</v>
      </c>
      <c r="S2048" s="8">
        <v>99</v>
      </c>
      <c r="T2048" s="8">
        <v>99</v>
      </c>
      <c r="U2048" s="8">
        <v>99</v>
      </c>
      <c r="V2048" s="8">
        <v>0.8</v>
      </c>
      <c r="Y2048" s="8" t="s">
        <v>9492</v>
      </c>
      <c r="Z2048" s="8" t="s">
        <v>9493</v>
      </c>
    </row>
    <row r="2049" spans="1:26" x14ac:dyDescent="0.2">
      <c r="A2049" s="8">
        <v>2048</v>
      </c>
      <c r="B2049" s="8" t="s">
        <v>9494</v>
      </c>
      <c r="C2049" s="8" t="s">
        <v>9494</v>
      </c>
      <c r="F2049" s="47"/>
      <c r="G2049" s="8">
        <v>16</v>
      </c>
      <c r="H2049" s="8" t="s">
        <v>21</v>
      </c>
      <c r="I2049" s="8" t="s">
        <v>1283</v>
      </c>
      <c r="J2049" s="8" t="s">
        <v>1283</v>
      </c>
      <c r="K2049" s="8" t="s">
        <v>9495</v>
      </c>
      <c r="L2049" s="8" t="s">
        <v>55972</v>
      </c>
      <c r="M2049" s="8" t="s">
        <v>6970</v>
      </c>
      <c r="N2049" s="8" t="s">
        <v>9496</v>
      </c>
      <c r="O2049" s="8">
        <f>5+35/60+55.4/3600</f>
        <v>5.5987222222222215</v>
      </c>
      <c r="P2049" s="8" t="s">
        <v>9497</v>
      </c>
      <c r="Q2049" s="8">
        <f>-(69+38/60+58/3600)</f>
        <v>-69.649444444444455</v>
      </c>
      <c r="R2049" s="8">
        <v>99</v>
      </c>
      <c r="S2049" s="8">
        <v>99</v>
      </c>
      <c r="T2049" s="8">
        <v>99</v>
      </c>
      <c r="U2049" s="8">
        <v>99</v>
      </c>
      <c r="V2049" s="8">
        <v>0.5</v>
      </c>
      <c r="Y2049" s="8" t="s">
        <v>9498</v>
      </c>
      <c r="Z2049" s="8" t="s">
        <v>9499</v>
      </c>
    </row>
    <row r="2050" spans="1:26" x14ac:dyDescent="0.2">
      <c r="A2050" s="8">
        <v>2049</v>
      </c>
      <c r="B2050" s="8" t="s">
        <v>9500</v>
      </c>
      <c r="C2050" s="8" t="s">
        <v>9500</v>
      </c>
      <c r="F2050" s="47"/>
      <c r="G2050" s="8">
        <v>16</v>
      </c>
      <c r="H2050" s="8" t="s">
        <v>21</v>
      </c>
      <c r="I2050" s="8" t="s">
        <v>22</v>
      </c>
      <c r="J2050" s="8" t="s">
        <v>22</v>
      </c>
      <c r="K2050" s="8" t="s">
        <v>91</v>
      </c>
      <c r="L2050" s="8" t="s">
        <v>8298</v>
      </c>
      <c r="M2050" s="8" t="s">
        <v>8299</v>
      </c>
      <c r="N2050" s="8" t="s">
        <v>9501</v>
      </c>
      <c r="O2050" s="8">
        <f>5+43/60+15.1/3600</f>
        <v>5.7208611111111116</v>
      </c>
      <c r="P2050" s="8" t="s">
        <v>9502</v>
      </c>
      <c r="Q2050" s="8">
        <f>-(30+4/60+41/3600)</f>
        <v>-30.078055555555554</v>
      </c>
      <c r="R2050" s="8">
        <v>12.7</v>
      </c>
      <c r="S2050" s="8">
        <v>13.6</v>
      </c>
      <c r="T2050" s="8">
        <v>0.9</v>
      </c>
      <c r="U2050" s="8">
        <v>13.3</v>
      </c>
      <c r="V2050" s="8">
        <v>2</v>
      </c>
      <c r="W2050" s="8">
        <v>1</v>
      </c>
      <c r="X2050" s="8">
        <v>168</v>
      </c>
      <c r="Y2050" s="8" t="s">
        <v>2248</v>
      </c>
      <c r="Z2050" s="8" t="s">
        <v>2249</v>
      </c>
    </row>
    <row r="2051" spans="1:26" x14ac:dyDescent="0.2">
      <c r="A2051" s="8">
        <v>2050</v>
      </c>
      <c r="B2051" s="8" t="s">
        <v>9503</v>
      </c>
      <c r="C2051" s="8" t="s">
        <v>9503</v>
      </c>
      <c r="F2051" s="47"/>
      <c r="G2051" s="8">
        <v>16</v>
      </c>
      <c r="H2051" s="8" t="s">
        <v>21</v>
      </c>
      <c r="I2051" s="8" t="s">
        <v>557</v>
      </c>
      <c r="J2051" s="8" t="s">
        <v>557</v>
      </c>
      <c r="K2051" s="8" t="s">
        <v>557</v>
      </c>
      <c r="L2051" s="8" t="s">
        <v>55972</v>
      </c>
      <c r="M2051" s="8" t="s">
        <v>6970</v>
      </c>
      <c r="N2051" s="8" t="s">
        <v>9504</v>
      </c>
      <c r="O2051" s="8">
        <f>5+36/60+38.9/3600</f>
        <v>5.6108055555555554</v>
      </c>
      <c r="P2051" s="8" t="s">
        <v>9505</v>
      </c>
      <c r="Q2051" s="8">
        <f>-(69+23/60+1/3600)</f>
        <v>-69.383611111111122</v>
      </c>
      <c r="R2051" s="8">
        <v>9.3000000000000007</v>
      </c>
      <c r="S2051" s="8">
        <v>9.5</v>
      </c>
      <c r="T2051" s="8">
        <v>99</v>
      </c>
      <c r="U2051" s="8">
        <v>99</v>
      </c>
      <c r="V2051" s="8">
        <v>1</v>
      </c>
      <c r="Y2051" s="8" t="s">
        <v>9506</v>
      </c>
      <c r="Z2051" s="8" t="s">
        <v>9507</v>
      </c>
    </row>
    <row r="2052" spans="1:26" x14ac:dyDescent="0.2">
      <c r="A2052" s="8">
        <v>2051</v>
      </c>
      <c r="B2052" s="8" t="s">
        <v>9508</v>
      </c>
      <c r="C2052" s="8" t="s">
        <v>9508</v>
      </c>
      <c r="F2052" s="47"/>
      <c r="G2052" s="8">
        <v>16</v>
      </c>
      <c r="H2052" s="8" t="s">
        <v>21</v>
      </c>
      <c r="I2052" s="8" t="s">
        <v>557</v>
      </c>
      <c r="J2052" s="8" t="s">
        <v>557</v>
      </c>
      <c r="K2052" s="8" t="s">
        <v>557</v>
      </c>
      <c r="L2052" s="8" t="s">
        <v>7071</v>
      </c>
      <c r="M2052" s="8" t="s">
        <v>7072</v>
      </c>
      <c r="N2052" s="8" t="s">
        <v>9509</v>
      </c>
      <c r="O2052" s="8">
        <f>5+36/60+7.4/3600</f>
        <v>5.6020555555555553</v>
      </c>
      <c r="P2052" s="8" t="s">
        <v>9510</v>
      </c>
      <c r="Q2052" s="8">
        <f>-(71+0/60+41/3600)</f>
        <v>-71.011388888888888</v>
      </c>
      <c r="R2052" s="8">
        <v>11.7</v>
      </c>
      <c r="S2052" s="8">
        <v>12</v>
      </c>
      <c r="T2052" s="8">
        <v>99</v>
      </c>
      <c r="U2052" s="8">
        <v>99</v>
      </c>
      <c r="V2052" s="8">
        <v>1.7</v>
      </c>
      <c r="Y2052" s="8" t="s">
        <v>2176</v>
      </c>
      <c r="Z2052" s="8" t="s">
        <v>2177</v>
      </c>
    </row>
    <row r="2053" spans="1:26" x14ac:dyDescent="0.2">
      <c r="A2053" s="8">
        <v>2052</v>
      </c>
      <c r="B2053" s="8" t="s">
        <v>9511</v>
      </c>
      <c r="C2053" s="8" t="s">
        <v>9511</v>
      </c>
      <c r="F2053" s="47"/>
      <c r="G2053" s="8">
        <v>16</v>
      </c>
      <c r="H2053" s="8" t="s">
        <v>21</v>
      </c>
      <c r="I2053" s="8" t="s">
        <v>1283</v>
      </c>
      <c r="J2053" s="8" t="s">
        <v>1283</v>
      </c>
      <c r="K2053" s="8" t="s">
        <v>1284</v>
      </c>
      <c r="L2053" s="8" t="s">
        <v>55972</v>
      </c>
      <c r="M2053" s="8" t="s">
        <v>6970</v>
      </c>
      <c r="N2053" s="8" t="s">
        <v>9512</v>
      </c>
      <c r="O2053" s="8">
        <f>5+37/60+11.1/3600</f>
        <v>5.6197500000000007</v>
      </c>
      <c r="P2053" s="8" t="s">
        <v>9513</v>
      </c>
      <c r="Q2053" s="8">
        <f>-(69+46/60+27/3600)</f>
        <v>-69.774166666666659</v>
      </c>
      <c r="R2053" s="8">
        <v>99</v>
      </c>
      <c r="S2053" s="8">
        <v>99</v>
      </c>
      <c r="T2053" s="8">
        <v>99</v>
      </c>
      <c r="U2053" s="8">
        <v>99</v>
      </c>
      <c r="V2053" s="8">
        <v>18</v>
      </c>
      <c r="W2053" s="8">
        <v>12</v>
      </c>
      <c r="Y2053" s="8" t="s">
        <v>9514</v>
      </c>
      <c r="Z2053" s="8" t="s">
        <v>9515</v>
      </c>
    </row>
    <row r="2054" spans="1:26" x14ac:dyDescent="0.2">
      <c r="A2054" s="8">
        <v>2053</v>
      </c>
      <c r="B2054" s="8" t="s">
        <v>9516</v>
      </c>
      <c r="C2054" s="8" t="s">
        <v>9516</v>
      </c>
      <c r="F2054" s="47"/>
      <c r="G2054" s="8">
        <v>16</v>
      </c>
      <c r="H2054" s="8" t="s">
        <v>21</v>
      </c>
      <c r="I2054" s="8" t="s">
        <v>557</v>
      </c>
      <c r="J2054" s="8" t="s">
        <v>557</v>
      </c>
      <c r="K2054" s="8" t="s">
        <v>557</v>
      </c>
      <c r="L2054" s="8" t="s">
        <v>55972</v>
      </c>
      <c r="M2054" s="8" t="s">
        <v>6970</v>
      </c>
      <c r="N2054" s="8" t="s">
        <v>9517</v>
      </c>
      <c r="O2054" s="8">
        <f>5+37/60+39.8/3600</f>
        <v>5.6277222222222223</v>
      </c>
      <c r="P2054" s="8" t="s">
        <v>9518</v>
      </c>
      <c r="Q2054" s="8">
        <f>-(67+24/60+47/3600)</f>
        <v>-67.413055555555559</v>
      </c>
      <c r="R2054" s="8">
        <v>12.2</v>
      </c>
      <c r="S2054" s="8">
        <v>12.4</v>
      </c>
      <c r="T2054" s="8">
        <v>99</v>
      </c>
      <c r="U2054" s="8">
        <v>99</v>
      </c>
      <c r="V2054" s="8">
        <v>1.2</v>
      </c>
      <c r="Y2054" s="8" t="s">
        <v>9519</v>
      </c>
      <c r="Z2054" s="8" t="s">
        <v>9520</v>
      </c>
    </row>
    <row r="2055" spans="1:26" x14ac:dyDescent="0.2">
      <c r="A2055" s="8">
        <v>2054</v>
      </c>
      <c r="B2055" s="8" t="s">
        <v>9521</v>
      </c>
      <c r="C2055" s="8" t="s">
        <v>9521</v>
      </c>
      <c r="F2055" s="47"/>
      <c r="G2055" s="8">
        <v>18</v>
      </c>
      <c r="H2055" s="8" t="s">
        <v>21</v>
      </c>
      <c r="I2055" s="8" t="s">
        <v>72</v>
      </c>
      <c r="J2055" s="8" t="s">
        <v>72</v>
      </c>
      <c r="K2055" s="8" t="s">
        <v>5802</v>
      </c>
      <c r="L2055" s="8" t="s">
        <v>7698</v>
      </c>
      <c r="M2055" s="8" t="s">
        <v>7699</v>
      </c>
      <c r="N2055" s="8" t="s">
        <v>9522</v>
      </c>
      <c r="O2055" s="8">
        <f>5+45/60+15.6/3600</f>
        <v>5.7543333333333333</v>
      </c>
      <c r="P2055" s="8" t="s">
        <v>9523</v>
      </c>
      <c r="Q2055" s="8">
        <f>-(10+4/60+58/3600)</f>
        <v>-10.082777777777778</v>
      </c>
      <c r="R2055" s="8">
        <v>99</v>
      </c>
      <c r="S2055" s="8">
        <v>99</v>
      </c>
      <c r="T2055" s="8">
        <v>99</v>
      </c>
      <c r="U2055" s="8">
        <v>99</v>
      </c>
      <c r="Y2055" s="8" t="s">
        <v>9524</v>
      </c>
      <c r="Z2055" s="8" t="s">
        <v>9525</v>
      </c>
    </row>
    <row r="2056" spans="1:26" x14ac:dyDescent="0.2">
      <c r="A2056" s="8">
        <v>2055</v>
      </c>
      <c r="B2056" s="8" t="s">
        <v>9526</v>
      </c>
      <c r="C2056" s="8" t="s">
        <v>9526</v>
      </c>
      <c r="F2056" s="47"/>
      <c r="G2056" s="8">
        <v>16</v>
      </c>
      <c r="H2056" s="8" t="s">
        <v>21</v>
      </c>
      <c r="I2056" s="8" t="s">
        <v>557</v>
      </c>
      <c r="J2056" s="8" t="s">
        <v>557</v>
      </c>
      <c r="K2056" s="8" t="s">
        <v>557</v>
      </c>
      <c r="L2056" s="8" t="s">
        <v>55972</v>
      </c>
      <c r="M2056" s="8" t="s">
        <v>6970</v>
      </c>
      <c r="N2056" s="8" t="s">
        <v>9527</v>
      </c>
      <c r="O2056" s="8">
        <f>5+37/60+3/3600</f>
        <v>5.6175000000000006</v>
      </c>
      <c r="P2056" s="8" t="s">
        <v>9528</v>
      </c>
      <c r="Q2056" s="8">
        <f>-(69+25/60+54/3600)</f>
        <v>-69.431666666666672</v>
      </c>
      <c r="R2056" s="8">
        <v>8.4</v>
      </c>
      <c r="S2056" s="8">
        <v>8.5</v>
      </c>
      <c r="T2056" s="8">
        <v>99</v>
      </c>
      <c r="U2056" s="8">
        <v>99</v>
      </c>
      <c r="V2056" s="8">
        <v>0.6</v>
      </c>
      <c r="Y2056" s="8" t="s">
        <v>9529</v>
      </c>
      <c r="Z2056" s="8" t="s">
        <v>9530</v>
      </c>
    </row>
    <row r="2057" spans="1:26" x14ac:dyDescent="0.2">
      <c r="A2057" s="8">
        <v>2056</v>
      </c>
      <c r="B2057" s="8" t="s">
        <v>9531</v>
      </c>
      <c r="C2057" s="8" t="s">
        <v>9531</v>
      </c>
      <c r="F2057" s="47"/>
      <c r="G2057" s="8">
        <v>16</v>
      </c>
      <c r="H2057" s="8" t="s">
        <v>21</v>
      </c>
      <c r="I2057" s="8" t="s">
        <v>557</v>
      </c>
      <c r="J2057" s="8" t="s">
        <v>557</v>
      </c>
      <c r="K2057" s="8" t="s">
        <v>557</v>
      </c>
      <c r="L2057" s="8" t="s">
        <v>7071</v>
      </c>
      <c r="M2057" s="8" t="s">
        <v>7072</v>
      </c>
      <c r="N2057" s="8" t="s">
        <v>9532</v>
      </c>
      <c r="O2057" s="8">
        <f>5+36/60+34.1/3600</f>
        <v>5.6094722222222222</v>
      </c>
      <c r="P2057" s="8" t="s">
        <v>9533</v>
      </c>
      <c r="Q2057" s="8">
        <f>-(70+40/60+19/3600)</f>
        <v>-70.671944444444449</v>
      </c>
      <c r="R2057" s="8">
        <v>12.3</v>
      </c>
      <c r="S2057" s="8">
        <v>99</v>
      </c>
      <c r="T2057" s="8">
        <v>99</v>
      </c>
      <c r="U2057" s="8">
        <v>99</v>
      </c>
      <c r="V2057" s="8">
        <v>1.7</v>
      </c>
      <c r="Y2057" s="8" t="s">
        <v>9534</v>
      </c>
      <c r="Z2057" s="8" t="s">
        <v>9535</v>
      </c>
    </row>
    <row r="2058" spans="1:26" x14ac:dyDescent="0.2">
      <c r="A2058" s="8">
        <v>2057</v>
      </c>
      <c r="B2058" s="8" t="s">
        <v>9536</v>
      </c>
      <c r="C2058" s="8" t="s">
        <v>9536</v>
      </c>
      <c r="F2058" s="47"/>
      <c r="G2058" s="8">
        <v>16</v>
      </c>
      <c r="H2058" s="8" t="s">
        <v>21</v>
      </c>
      <c r="I2058" s="8" t="s">
        <v>557</v>
      </c>
      <c r="J2058" s="8" t="s">
        <v>557</v>
      </c>
      <c r="K2058" s="8" t="s">
        <v>557</v>
      </c>
      <c r="L2058" s="8" t="s">
        <v>7071</v>
      </c>
      <c r="M2058" s="8" t="s">
        <v>7072</v>
      </c>
      <c r="N2058" s="8" t="s">
        <v>9537</v>
      </c>
      <c r="O2058" s="8">
        <f>5+36/60+55.2/3600</f>
        <v>5.6153333333333331</v>
      </c>
      <c r="P2058" s="8" t="s">
        <v>9538</v>
      </c>
      <c r="Q2058" s="8">
        <f>-(70+16/60+8/3600)</f>
        <v>-70.268888888888881</v>
      </c>
      <c r="R2058" s="8">
        <v>12.2</v>
      </c>
      <c r="S2058" s="8">
        <v>99</v>
      </c>
      <c r="T2058" s="8">
        <v>99</v>
      </c>
      <c r="U2058" s="8">
        <v>99</v>
      </c>
      <c r="V2058" s="8">
        <v>1.8</v>
      </c>
      <c r="Y2058" s="8" t="s">
        <v>9539</v>
      </c>
      <c r="Z2058" s="8" t="s">
        <v>9540</v>
      </c>
    </row>
    <row r="2059" spans="1:26" x14ac:dyDescent="0.2">
      <c r="A2059" s="8">
        <v>2058</v>
      </c>
      <c r="B2059" s="8" t="s">
        <v>9541</v>
      </c>
      <c r="C2059" s="8" t="s">
        <v>9541</v>
      </c>
      <c r="F2059" s="47"/>
      <c r="G2059" s="8">
        <v>16</v>
      </c>
      <c r="H2059" s="8" t="s">
        <v>21</v>
      </c>
      <c r="I2059" s="8" t="s">
        <v>557</v>
      </c>
      <c r="J2059" s="8" t="s">
        <v>557</v>
      </c>
      <c r="K2059" s="8" t="s">
        <v>557</v>
      </c>
      <c r="L2059" s="8" t="s">
        <v>7071</v>
      </c>
      <c r="M2059" s="8" t="s">
        <v>7072</v>
      </c>
      <c r="N2059" s="8" t="s">
        <v>9542</v>
      </c>
      <c r="O2059" s="8">
        <f>5+36/60+54.3/3600</f>
        <v>5.6150833333333328</v>
      </c>
      <c r="P2059" s="8" t="s">
        <v>9543</v>
      </c>
      <c r="Q2059" s="8">
        <f>-(70+9/60+44/3600)</f>
        <v>-70.162222222222226</v>
      </c>
      <c r="R2059" s="8">
        <v>11.9</v>
      </c>
      <c r="S2059" s="8">
        <v>99</v>
      </c>
      <c r="T2059" s="8">
        <v>99</v>
      </c>
      <c r="U2059" s="8">
        <v>99</v>
      </c>
      <c r="V2059" s="8">
        <v>1.8</v>
      </c>
      <c r="Y2059" s="8" t="s">
        <v>9544</v>
      </c>
      <c r="Z2059" s="8" t="s">
        <v>9545</v>
      </c>
    </row>
    <row r="2060" spans="1:26" x14ac:dyDescent="0.2">
      <c r="A2060" s="8">
        <v>2059</v>
      </c>
      <c r="B2060" s="8" t="s">
        <v>9546</v>
      </c>
      <c r="C2060" s="8" t="s">
        <v>9546</v>
      </c>
      <c r="F2060" s="47"/>
      <c r="G2060" s="8">
        <v>16</v>
      </c>
      <c r="H2060" s="8" t="s">
        <v>21</v>
      </c>
      <c r="I2060" s="8" t="s">
        <v>557</v>
      </c>
      <c r="J2060" s="8" t="s">
        <v>557</v>
      </c>
      <c r="K2060" s="8" t="s">
        <v>557</v>
      </c>
      <c r="L2060" s="8" t="s">
        <v>7071</v>
      </c>
      <c r="M2060" s="8" t="s">
        <v>7072</v>
      </c>
      <c r="N2060" s="8" t="s">
        <v>9547</v>
      </c>
      <c r="O2060" s="8">
        <f>5+37/60+0.6/3600</f>
        <v>5.616833333333334</v>
      </c>
      <c r="P2060" s="8" t="s">
        <v>9548</v>
      </c>
      <c r="Q2060" s="8">
        <f>-(70+7/60+45/3600)</f>
        <v>-70.129166666666663</v>
      </c>
      <c r="R2060" s="8">
        <v>12.9</v>
      </c>
      <c r="S2060" s="8">
        <v>99</v>
      </c>
      <c r="T2060" s="8">
        <v>99</v>
      </c>
      <c r="U2060" s="8">
        <v>99</v>
      </c>
      <c r="V2060" s="8">
        <v>1</v>
      </c>
      <c r="Y2060" s="8" t="s">
        <v>9549</v>
      </c>
      <c r="Z2060" s="8" t="s">
        <v>9550</v>
      </c>
    </row>
    <row r="2061" spans="1:26" x14ac:dyDescent="0.2">
      <c r="A2061" s="8">
        <v>2060</v>
      </c>
      <c r="B2061" s="8" t="s">
        <v>9551</v>
      </c>
      <c r="C2061" s="8" t="s">
        <v>9551</v>
      </c>
      <c r="F2061" s="47"/>
      <c r="G2061" s="8">
        <v>14</v>
      </c>
      <c r="H2061" s="8" t="s">
        <v>9552</v>
      </c>
      <c r="I2061" s="8" t="s">
        <v>1283</v>
      </c>
      <c r="J2061" s="8" t="s">
        <v>1283</v>
      </c>
      <c r="K2061" s="8" t="s">
        <v>8889</v>
      </c>
      <c r="L2061" s="8" t="s">
        <v>55972</v>
      </c>
      <c r="M2061" s="8" t="s">
        <v>6970</v>
      </c>
      <c r="N2061" s="8" t="s">
        <v>9553</v>
      </c>
      <c r="O2061" s="8">
        <f>5+37/60+51.6/3600</f>
        <v>5.6310000000000002</v>
      </c>
      <c r="P2061" s="8" t="s">
        <v>9554</v>
      </c>
      <c r="Q2061" s="8">
        <f>-(69+10/60+23/3600)</f>
        <v>-69.173055555555564</v>
      </c>
      <c r="R2061" s="8">
        <v>9.6</v>
      </c>
      <c r="S2061" s="8">
        <v>9.6999999999999993</v>
      </c>
      <c r="T2061" s="8">
        <v>99</v>
      </c>
      <c r="U2061" s="8">
        <v>99</v>
      </c>
      <c r="Y2061" s="8" t="s">
        <v>9555</v>
      </c>
      <c r="Z2061" s="8" t="s">
        <v>9556</v>
      </c>
    </row>
    <row r="2062" spans="1:26" x14ac:dyDescent="0.2">
      <c r="A2062" s="8">
        <v>2061</v>
      </c>
      <c r="B2062" s="8" t="s">
        <v>9557</v>
      </c>
      <c r="C2062" s="8" t="s">
        <v>9557</v>
      </c>
      <c r="F2062" s="47"/>
      <c r="G2062" s="8">
        <v>16</v>
      </c>
      <c r="H2062" s="8" t="s">
        <v>21</v>
      </c>
      <c r="I2062" s="8" t="s">
        <v>72</v>
      </c>
      <c r="J2062" s="8" t="s">
        <v>72</v>
      </c>
      <c r="K2062" s="8" t="s">
        <v>1405</v>
      </c>
      <c r="L2062" s="8" t="s">
        <v>8298</v>
      </c>
      <c r="M2062" s="8" t="s">
        <v>8299</v>
      </c>
      <c r="N2062" s="8" t="s">
        <v>9558</v>
      </c>
      <c r="O2062" s="8">
        <f>5+42/60+41.9/3600</f>
        <v>5.7116388888888894</v>
      </c>
      <c r="P2062" s="8" t="s">
        <v>9559</v>
      </c>
      <c r="Q2062" s="8">
        <f>-(34+0/60+14/3600)</f>
        <v>-34.003888888888888</v>
      </c>
      <c r="R2062" s="8">
        <v>99</v>
      </c>
      <c r="S2062" s="8">
        <v>99</v>
      </c>
      <c r="T2062" s="8">
        <v>99</v>
      </c>
      <c r="U2062" s="8">
        <v>99</v>
      </c>
      <c r="V2062" s="8">
        <v>8</v>
      </c>
      <c r="W2062" s="8">
        <v>8</v>
      </c>
      <c r="Y2062" s="8" t="s">
        <v>9560</v>
      </c>
      <c r="Z2062" s="8" t="s">
        <v>9561</v>
      </c>
    </row>
    <row r="2063" spans="1:26" x14ac:dyDescent="0.2">
      <c r="A2063" s="8">
        <v>2062</v>
      </c>
      <c r="B2063" s="8" t="s">
        <v>9562</v>
      </c>
      <c r="C2063" s="8" t="s">
        <v>9562</v>
      </c>
      <c r="F2063" s="47"/>
      <c r="G2063" s="8">
        <v>16</v>
      </c>
      <c r="H2063" s="8" t="s">
        <v>21</v>
      </c>
      <c r="I2063" s="8" t="s">
        <v>557</v>
      </c>
      <c r="J2063" s="8" t="s">
        <v>557</v>
      </c>
      <c r="K2063" s="8" t="s">
        <v>557</v>
      </c>
      <c r="L2063" s="8" t="s">
        <v>55972</v>
      </c>
      <c r="M2063" s="8" t="s">
        <v>6970</v>
      </c>
      <c r="N2063" s="8" t="s">
        <v>9563</v>
      </c>
      <c r="O2063" s="8">
        <f>5+40/60+2.8/3600</f>
        <v>5.6674444444444445</v>
      </c>
      <c r="P2063" s="8" t="s">
        <v>9564</v>
      </c>
      <c r="Q2063" s="8">
        <f>-(66+52/60+33/3600)</f>
        <v>-66.875833333333333</v>
      </c>
      <c r="R2063" s="8">
        <v>12.7</v>
      </c>
      <c r="S2063" s="8">
        <v>13</v>
      </c>
      <c r="T2063" s="8">
        <v>99</v>
      </c>
      <c r="U2063" s="8">
        <v>99</v>
      </c>
      <c r="V2063" s="8">
        <v>0.9</v>
      </c>
      <c r="Y2063" s="8" t="s">
        <v>9565</v>
      </c>
      <c r="Z2063" s="8" t="s">
        <v>9566</v>
      </c>
    </row>
    <row r="2064" spans="1:26" x14ac:dyDescent="0.2">
      <c r="A2064" s="8">
        <v>2063</v>
      </c>
      <c r="B2064" s="8" t="s">
        <v>9567</v>
      </c>
      <c r="C2064" s="8" t="s">
        <v>9567</v>
      </c>
      <c r="F2064" s="47" t="s">
        <v>56419</v>
      </c>
      <c r="G2064" s="8">
        <v>15</v>
      </c>
      <c r="H2064" s="8" t="s">
        <v>21</v>
      </c>
      <c r="I2064" s="8" t="s">
        <v>72</v>
      </c>
      <c r="J2064" s="8" t="s">
        <v>72</v>
      </c>
      <c r="K2064" s="8" t="s">
        <v>1405</v>
      </c>
      <c r="L2064" s="8" t="s">
        <v>7698</v>
      </c>
      <c r="M2064" s="8" t="s">
        <v>7699</v>
      </c>
      <c r="N2064" s="8" t="s">
        <v>9568</v>
      </c>
      <c r="O2064" s="8">
        <f>5+46/60+44/3600</f>
        <v>5.778888888888889</v>
      </c>
      <c r="P2064" s="8" t="s">
        <v>9569</v>
      </c>
      <c r="Q2064" s="8">
        <f>+(8+42/60+50/3600)</f>
        <v>8.7138888888888886</v>
      </c>
      <c r="R2064" s="8">
        <v>99</v>
      </c>
      <c r="S2064" s="8">
        <v>99</v>
      </c>
      <c r="T2064" s="8">
        <v>99</v>
      </c>
      <c r="U2064" s="8">
        <v>99</v>
      </c>
      <c r="V2064" s="8">
        <v>9</v>
      </c>
      <c r="Y2064" s="8" t="s">
        <v>9570</v>
      </c>
      <c r="Z2064" s="8" t="s">
        <v>9571</v>
      </c>
    </row>
    <row r="2065" spans="1:26" x14ac:dyDescent="0.2">
      <c r="A2065" s="8">
        <v>2064</v>
      </c>
      <c r="B2065" s="8" t="s">
        <v>9572</v>
      </c>
      <c r="C2065" s="8" t="s">
        <v>9572</v>
      </c>
      <c r="F2065" s="47"/>
      <c r="G2065" s="8">
        <v>12</v>
      </c>
      <c r="H2065" s="8" t="s">
        <v>21</v>
      </c>
      <c r="I2065" s="8" t="s">
        <v>1283</v>
      </c>
      <c r="J2065" s="8" t="s">
        <v>1283</v>
      </c>
      <c r="K2065" s="8" t="s">
        <v>6208</v>
      </c>
      <c r="L2065" s="8" t="s">
        <v>7698</v>
      </c>
      <c r="M2065" s="8" t="s">
        <v>7699</v>
      </c>
      <c r="N2065" s="8" t="s">
        <v>9573</v>
      </c>
      <c r="O2065" s="8">
        <f>5+46/60+18.4/3600</f>
        <v>5.7717777777777775</v>
      </c>
      <c r="P2065" s="8" t="s">
        <v>9574</v>
      </c>
      <c r="Q2065" s="8">
        <f>+(0+0/60+21/3600)</f>
        <v>5.8333333333333336E-3</v>
      </c>
      <c r="R2065" s="8">
        <v>99</v>
      </c>
      <c r="S2065" s="8">
        <v>99</v>
      </c>
      <c r="T2065" s="8">
        <v>99</v>
      </c>
      <c r="U2065" s="8">
        <v>99</v>
      </c>
      <c r="V2065" s="8">
        <v>1</v>
      </c>
      <c r="W2065" s="8">
        <v>1</v>
      </c>
      <c r="Y2065" s="8" t="s">
        <v>9575</v>
      </c>
      <c r="Z2065" s="8" t="s">
        <v>9576</v>
      </c>
    </row>
    <row r="2066" spans="1:26" x14ac:dyDescent="0.2">
      <c r="A2066" s="8">
        <v>2065</v>
      </c>
      <c r="B2066" s="8" t="s">
        <v>9577</v>
      </c>
      <c r="C2066" s="8" t="s">
        <v>9577</v>
      </c>
      <c r="F2066" s="47"/>
      <c r="G2066" s="8">
        <v>16</v>
      </c>
      <c r="H2066" s="8" t="s">
        <v>21</v>
      </c>
      <c r="I2066" s="8" t="s">
        <v>557</v>
      </c>
      <c r="J2066" s="8" t="s">
        <v>557</v>
      </c>
      <c r="K2066" s="8" t="s">
        <v>557</v>
      </c>
      <c r="L2066" s="8" t="s">
        <v>7071</v>
      </c>
      <c r="M2066" s="8" t="s">
        <v>7072</v>
      </c>
      <c r="N2066" s="8" t="s">
        <v>9578</v>
      </c>
      <c r="O2066" s="8">
        <f>5+37/60+38.5/3600</f>
        <v>5.6273611111111119</v>
      </c>
      <c r="P2066" s="8" t="s">
        <v>9579</v>
      </c>
      <c r="Q2066" s="8">
        <f>-(70+14/60+12/3600)</f>
        <v>-70.236666666666665</v>
      </c>
      <c r="R2066" s="8">
        <v>11.2</v>
      </c>
      <c r="S2066" s="8">
        <v>99</v>
      </c>
      <c r="T2066" s="8">
        <v>99</v>
      </c>
      <c r="U2066" s="8">
        <v>99</v>
      </c>
      <c r="V2066" s="8">
        <v>2.6</v>
      </c>
      <c r="Y2066" s="8" t="s">
        <v>9580</v>
      </c>
      <c r="Z2066" s="8" t="s">
        <v>9581</v>
      </c>
    </row>
    <row r="2067" spans="1:26" x14ac:dyDescent="0.2">
      <c r="A2067" s="8">
        <v>2066</v>
      </c>
      <c r="B2067" s="8" t="s">
        <v>9582</v>
      </c>
      <c r="C2067" s="8" t="s">
        <v>9582</v>
      </c>
      <c r="F2067" s="47"/>
      <c r="G2067" s="8">
        <v>16</v>
      </c>
      <c r="H2067" s="8" t="s">
        <v>21</v>
      </c>
      <c r="I2067" s="8" t="s">
        <v>557</v>
      </c>
      <c r="J2067" s="8" t="s">
        <v>557</v>
      </c>
      <c r="K2067" s="8" t="s">
        <v>557</v>
      </c>
      <c r="L2067" s="8" t="s">
        <v>7071</v>
      </c>
      <c r="M2067" s="8" t="s">
        <v>7072</v>
      </c>
      <c r="N2067" s="8" t="s">
        <v>9583</v>
      </c>
      <c r="O2067" s="8">
        <f>5+37/60+43.2/3600</f>
        <v>5.6286666666666667</v>
      </c>
      <c r="P2067" s="8" t="s">
        <v>9584</v>
      </c>
      <c r="Q2067" s="8">
        <f>-(70+10/60+0/3600)</f>
        <v>-70.166666666666671</v>
      </c>
      <c r="R2067" s="8">
        <v>13.1</v>
      </c>
      <c r="S2067" s="8">
        <v>99</v>
      </c>
      <c r="T2067" s="8">
        <v>99</v>
      </c>
      <c r="U2067" s="8">
        <v>99</v>
      </c>
      <c r="V2067" s="8">
        <v>0.7</v>
      </c>
      <c r="Y2067" s="8" t="s">
        <v>9585</v>
      </c>
      <c r="Z2067" s="8" t="s">
        <v>9586</v>
      </c>
    </row>
    <row r="2068" spans="1:26" x14ac:dyDescent="0.2">
      <c r="A2068" s="8">
        <v>2067</v>
      </c>
      <c r="B2068" s="8" t="s">
        <v>9587</v>
      </c>
      <c r="C2068" s="8" t="s">
        <v>9587</v>
      </c>
      <c r="F2068" s="47"/>
      <c r="G2068" s="8">
        <v>12</v>
      </c>
      <c r="H2068" s="8" t="s">
        <v>21</v>
      </c>
      <c r="I2068" s="8" t="s">
        <v>1283</v>
      </c>
      <c r="J2068" s="8" t="s">
        <v>1283</v>
      </c>
      <c r="K2068" s="8" t="s">
        <v>6208</v>
      </c>
      <c r="L2068" s="8" t="s">
        <v>7698</v>
      </c>
      <c r="M2068" s="8" t="s">
        <v>7699</v>
      </c>
      <c r="N2068" s="8" t="s">
        <v>9588</v>
      </c>
      <c r="O2068" s="8">
        <f>5+46/60+32/3600</f>
        <v>5.7755555555555551</v>
      </c>
      <c r="P2068" s="8" t="s">
        <v>9589</v>
      </c>
      <c r="Q2068" s="8">
        <f>+(0+7/60+54/3600)</f>
        <v>0.13166666666666665</v>
      </c>
      <c r="R2068" s="8">
        <v>99</v>
      </c>
      <c r="S2068" s="8">
        <v>99</v>
      </c>
      <c r="T2068" s="8">
        <v>99</v>
      </c>
      <c r="U2068" s="8">
        <v>99</v>
      </c>
      <c r="V2068" s="8">
        <v>8</v>
      </c>
      <c r="W2068" s="8">
        <v>3</v>
      </c>
      <c r="Y2068" s="8" t="s">
        <v>9590</v>
      </c>
      <c r="Z2068" s="8" t="s">
        <v>9591</v>
      </c>
    </row>
    <row r="2069" spans="1:26" x14ac:dyDescent="0.2">
      <c r="A2069" s="8">
        <v>2068</v>
      </c>
      <c r="B2069" s="8" t="s">
        <v>9592</v>
      </c>
      <c r="C2069" s="8" t="s">
        <v>55876</v>
      </c>
      <c r="F2069" s="47"/>
      <c r="G2069" s="8">
        <v>1</v>
      </c>
      <c r="H2069" s="8" t="s">
        <v>9593</v>
      </c>
      <c r="I2069" s="8" t="s">
        <v>1283</v>
      </c>
      <c r="J2069" s="8" t="s">
        <v>1283</v>
      </c>
      <c r="K2069" s="8" t="s">
        <v>6208</v>
      </c>
      <c r="L2069" s="8" t="s">
        <v>7698</v>
      </c>
      <c r="M2069" s="8" t="s">
        <v>7699</v>
      </c>
      <c r="N2069" s="8" t="s">
        <v>9594</v>
      </c>
      <c r="O2069" s="8">
        <f>5+46/60+45/3600</f>
        <v>5.7791666666666668</v>
      </c>
      <c r="P2069" s="8" t="s">
        <v>9595</v>
      </c>
      <c r="Q2069" s="8">
        <f>+(0+4/60+48/3600)</f>
        <v>0.08</v>
      </c>
      <c r="R2069" s="8">
        <v>99</v>
      </c>
      <c r="S2069" s="8">
        <v>8</v>
      </c>
      <c r="T2069" s="8">
        <v>99</v>
      </c>
      <c r="U2069" s="8">
        <v>99</v>
      </c>
      <c r="V2069" s="8">
        <v>8</v>
      </c>
      <c r="W2069" s="8">
        <v>6</v>
      </c>
      <c r="Y2069" s="8" t="s">
        <v>9596</v>
      </c>
      <c r="Z2069" s="8" t="s">
        <v>9597</v>
      </c>
    </row>
    <row r="2070" spans="1:26" x14ac:dyDescent="0.2">
      <c r="A2070" s="8">
        <v>2069</v>
      </c>
      <c r="B2070" s="8" t="s">
        <v>9598</v>
      </c>
      <c r="C2070" s="8" t="s">
        <v>9598</v>
      </c>
      <c r="F2070" s="47"/>
      <c r="G2070" s="8">
        <v>16</v>
      </c>
      <c r="H2070" s="8" t="s">
        <v>21</v>
      </c>
      <c r="I2070" s="8" t="s">
        <v>1283</v>
      </c>
      <c r="J2070" s="8" t="s">
        <v>1283</v>
      </c>
      <c r="K2070" s="8" t="s">
        <v>1284</v>
      </c>
      <c r="L2070" s="8" t="s">
        <v>55972</v>
      </c>
      <c r="M2070" s="8" t="s">
        <v>6970</v>
      </c>
      <c r="N2070" s="8" t="s">
        <v>9599</v>
      </c>
      <c r="O2070" s="8">
        <f>5+38/60+40/3600</f>
        <v>5.6444444444444439</v>
      </c>
      <c r="P2070" s="8" t="s">
        <v>9600</v>
      </c>
      <c r="Q2070" s="8">
        <f>-(69+0/60+18/3600)</f>
        <v>-69.004999999999995</v>
      </c>
      <c r="R2070" s="8">
        <v>99</v>
      </c>
      <c r="S2070" s="8">
        <v>99</v>
      </c>
      <c r="T2070" s="8">
        <v>99</v>
      </c>
      <c r="U2070" s="8">
        <v>99</v>
      </c>
      <c r="Y2070" s="8" t="s">
        <v>9601</v>
      </c>
      <c r="Z2070" s="8" t="s">
        <v>9602</v>
      </c>
    </row>
    <row r="2071" spans="1:26" x14ac:dyDescent="0.2">
      <c r="A2071" s="8">
        <v>2070</v>
      </c>
      <c r="B2071" s="8" t="s">
        <v>9603</v>
      </c>
      <c r="C2071" s="8" t="s">
        <v>9603</v>
      </c>
      <c r="F2071" s="47"/>
      <c r="G2071" s="8">
        <v>2</v>
      </c>
      <c r="H2071" s="8" t="s">
        <v>9604</v>
      </c>
      <c r="I2071" s="8" t="s">
        <v>1283</v>
      </c>
      <c r="J2071" s="8" t="s">
        <v>1283</v>
      </c>
      <c r="K2071" s="8" t="s">
        <v>1284</v>
      </c>
      <c r="L2071" s="8" t="s">
        <v>55972</v>
      </c>
      <c r="M2071" s="8" t="s">
        <v>6970</v>
      </c>
      <c r="N2071" s="8" t="s">
        <v>9605</v>
      </c>
      <c r="O2071" s="8">
        <f>5+38/60+42.5/3600</f>
        <v>5.645138888888888</v>
      </c>
      <c r="P2071" s="8" t="s">
        <v>9606</v>
      </c>
      <c r="Q2071" s="8">
        <f>-(69+6/60+3/3600)</f>
        <v>-69.100833333333327</v>
      </c>
      <c r="R2071" s="8">
        <v>99</v>
      </c>
      <c r="S2071" s="8">
        <v>5</v>
      </c>
      <c r="T2071" s="8">
        <v>99</v>
      </c>
      <c r="U2071" s="8">
        <v>99</v>
      </c>
      <c r="V2071" s="8">
        <v>30</v>
      </c>
      <c r="W2071" s="8">
        <v>20</v>
      </c>
      <c r="Y2071" s="8" t="s">
        <v>9601</v>
      </c>
      <c r="Z2071" s="8" t="s">
        <v>9607</v>
      </c>
    </row>
    <row r="2072" spans="1:26" x14ac:dyDescent="0.2">
      <c r="A2072" s="8">
        <v>2071</v>
      </c>
      <c r="B2072" s="8" t="s">
        <v>9608</v>
      </c>
      <c r="C2072" s="8" t="s">
        <v>9608</v>
      </c>
      <c r="F2072" s="47" t="s">
        <v>56420</v>
      </c>
      <c r="G2072" s="8">
        <v>6.5</v>
      </c>
      <c r="H2072" s="8" t="s">
        <v>21</v>
      </c>
      <c r="I2072" s="8" t="s">
        <v>1283</v>
      </c>
      <c r="J2072" s="8" t="s">
        <v>1283</v>
      </c>
      <c r="K2072" s="8" t="s">
        <v>6208</v>
      </c>
      <c r="L2072" s="8" t="s">
        <v>7698</v>
      </c>
      <c r="M2072" s="8" t="s">
        <v>7699</v>
      </c>
      <c r="N2072" s="8" t="s">
        <v>9609</v>
      </c>
      <c r="O2072" s="8">
        <f>5+47/60+7.2/3600</f>
        <v>5.785333333333333</v>
      </c>
      <c r="P2072" s="8" t="s">
        <v>9610</v>
      </c>
      <c r="Q2072" s="8">
        <f>+(0+17/60+39/3600)</f>
        <v>0.29416666666666669</v>
      </c>
      <c r="R2072" s="8">
        <v>99</v>
      </c>
      <c r="S2072" s="8">
        <v>8</v>
      </c>
      <c r="T2072" s="8">
        <v>99</v>
      </c>
      <c r="U2072" s="8">
        <v>99</v>
      </c>
      <c r="V2072" s="8">
        <v>7</v>
      </c>
      <c r="W2072" s="8">
        <v>5</v>
      </c>
      <c r="Y2072" s="8" t="s">
        <v>9611</v>
      </c>
      <c r="Z2072" s="8" t="s">
        <v>9612</v>
      </c>
    </row>
    <row r="2073" spans="1:26" x14ac:dyDescent="0.2">
      <c r="A2073" s="8">
        <v>2072</v>
      </c>
      <c r="B2073" s="8" t="s">
        <v>9613</v>
      </c>
      <c r="C2073" s="8" t="s">
        <v>9613</v>
      </c>
      <c r="F2073" s="47"/>
      <c r="G2073" s="8">
        <v>19</v>
      </c>
      <c r="H2073" s="8" t="s">
        <v>21</v>
      </c>
      <c r="I2073" s="8" t="s">
        <v>557</v>
      </c>
      <c r="J2073" s="8" t="s">
        <v>557</v>
      </c>
      <c r="K2073" s="8" t="s">
        <v>557</v>
      </c>
      <c r="L2073" s="8" t="s">
        <v>7071</v>
      </c>
      <c r="M2073" s="8" t="s">
        <v>7072</v>
      </c>
      <c r="N2073" s="8" t="s">
        <v>9614</v>
      </c>
      <c r="O2073" s="8">
        <f>5+38/60+24.5/3600</f>
        <v>5.6401388888888881</v>
      </c>
      <c r="P2073" s="8" t="s">
        <v>9615</v>
      </c>
      <c r="Q2073" s="8">
        <f>-(70+14/60+3/3600)</f>
        <v>-70.234166666666667</v>
      </c>
      <c r="R2073" s="8">
        <v>13.2</v>
      </c>
      <c r="S2073" s="8">
        <v>99</v>
      </c>
      <c r="T2073" s="8">
        <v>99</v>
      </c>
      <c r="U2073" s="8">
        <v>99</v>
      </c>
      <c r="V2073" s="8">
        <v>1.3</v>
      </c>
      <c r="Y2073" s="8" t="s">
        <v>1511</v>
      </c>
      <c r="Z2073" s="8" t="s">
        <v>1512</v>
      </c>
    </row>
    <row r="2074" spans="1:26" x14ac:dyDescent="0.2">
      <c r="A2074" s="8">
        <v>2073</v>
      </c>
      <c r="B2074" s="8" t="s">
        <v>9616</v>
      </c>
      <c r="C2074" s="8" t="s">
        <v>9616</v>
      </c>
      <c r="F2074" s="47" t="s">
        <v>56421</v>
      </c>
      <c r="G2074" s="8">
        <v>15</v>
      </c>
      <c r="H2074" s="8" t="s">
        <v>21</v>
      </c>
      <c r="I2074" s="8" t="s">
        <v>22</v>
      </c>
      <c r="J2074" s="8" t="s">
        <v>22</v>
      </c>
      <c r="K2074" s="8" t="s">
        <v>58</v>
      </c>
      <c r="L2074" s="8" t="s">
        <v>7915</v>
      </c>
      <c r="M2074" s="8" t="s">
        <v>7916</v>
      </c>
      <c r="N2074" s="8" t="s">
        <v>9617</v>
      </c>
      <c r="O2074" s="8">
        <f>5+45/60+53.8/3600</f>
        <v>5.7649444444444446</v>
      </c>
      <c r="P2074" s="8" t="s">
        <v>9618</v>
      </c>
      <c r="Q2074" s="8">
        <f>-(21+59/60+57/3600)</f>
        <v>-21.999166666666667</v>
      </c>
      <c r="R2074" s="8">
        <v>12.5</v>
      </c>
      <c r="S2074" s="8">
        <v>13.5</v>
      </c>
      <c r="T2074" s="8">
        <v>1</v>
      </c>
      <c r="U2074" s="8">
        <v>13.2</v>
      </c>
      <c r="V2074" s="8">
        <v>1.5</v>
      </c>
      <c r="W2074" s="8">
        <v>1.4</v>
      </c>
      <c r="Y2074" s="8" t="s">
        <v>1133</v>
      </c>
      <c r="Z2074" s="8" t="s">
        <v>1134</v>
      </c>
    </row>
    <row r="2075" spans="1:26" x14ac:dyDescent="0.2">
      <c r="A2075" s="8">
        <v>2074</v>
      </c>
      <c r="B2075" s="8" t="s">
        <v>9619</v>
      </c>
      <c r="C2075" s="8" t="s">
        <v>9619</v>
      </c>
      <c r="F2075" s="47"/>
      <c r="G2075" s="8">
        <v>10</v>
      </c>
      <c r="H2075" s="8" t="s">
        <v>21</v>
      </c>
      <c r="I2075" s="8" t="s">
        <v>1283</v>
      </c>
      <c r="J2075" s="8" t="s">
        <v>1283</v>
      </c>
      <c r="K2075" s="8" t="s">
        <v>1284</v>
      </c>
      <c r="L2075" s="8" t="s">
        <v>55972</v>
      </c>
      <c r="M2075" s="8" t="s">
        <v>6970</v>
      </c>
      <c r="N2075" s="8" t="s">
        <v>9620</v>
      </c>
      <c r="O2075" s="8">
        <f>5+39/60+3.6/3600</f>
        <v>5.6510000000000007</v>
      </c>
      <c r="P2075" s="8" t="s">
        <v>9621</v>
      </c>
      <c r="Q2075" s="8">
        <f>-(69+29/60+53/3600)</f>
        <v>-69.498055555555553</v>
      </c>
      <c r="R2075" s="8">
        <v>99</v>
      </c>
      <c r="S2075" s="8">
        <v>8.5</v>
      </c>
      <c r="T2075" s="8">
        <v>99</v>
      </c>
      <c r="U2075" s="8">
        <v>99</v>
      </c>
      <c r="Y2075" s="8" t="s">
        <v>9622</v>
      </c>
      <c r="Z2075" s="8" t="s">
        <v>9623</v>
      </c>
    </row>
    <row r="2076" spans="1:26" x14ac:dyDescent="0.2">
      <c r="A2076" s="8">
        <v>2075</v>
      </c>
      <c r="B2076" s="8" t="s">
        <v>9624</v>
      </c>
      <c r="C2076" s="8" t="s">
        <v>9624</v>
      </c>
      <c r="F2076" s="47"/>
      <c r="G2076" s="8">
        <v>16</v>
      </c>
      <c r="H2076" s="8" t="s">
        <v>21</v>
      </c>
      <c r="I2076" s="8" t="s">
        <v>557</v>
      </c>
      <c r="J2076" s="8" t="s">
        <v>557</v>
      </c>
      <c r="K2076" s="8" t="s">
        <v>1816</v>
      </c>
      <c r="L2076" s="8" t="s">
        <v>7071</v>
      </c>
      <c r="M2076" s="8" t="s">
        <v>7072</v>
      </c>
      <c r="N2076" s="8" t="s">
        <v>9625</v>
      </c>
      <c r="O2076" s="8">
        <f>5+38/60+20.8/3600</f>
        <v>5.6391111111111103</v>
      </c>
      <c r="P2076" s="8" t="s">
        <v>9626</v>
      </c>
      <c r="Q2076" s="8">
        <f>-(70+41/60+9/3600)</f>
        <v>-70.685833333333335</v>
      </c>
      <c r="R2076" s="8">
        <v>11.5</v>
      </c>
      <c r="S2076" s="8">
        <v>11.5</v>
      </c>
      <c r="T2076" s="8">
        <v>99</v>
      </c>
      <c r="U2076" s="8">
        <v>99</v>
      </c>
      <c r="V2076" s="8">
        <v>2</v>
      </c>
      <c r="Y2076" s="8" t="s">
        <v>9627</v>
      </c>
      <c r="Z2076" s="8" t="s">
        <v>9628</v>
      </c>
    </row>
    <row r="2077" spans="1:26" x14ac:dyDescent="0.2">
      <c r="A2077" s="8">
        <v>2076</v>
      </c>
      <c r="B2077" s="8" t="s">
        <v>9629</v>
      </c>
      <c r="C2077" s="8" t="s">
        <v>9629</v>
      </c>
      <c r="F2077" s="47" t="s">
        <v>56422</v>
      </c>
      <c r="G2077" s="8">
        <v>15</v>
      </c>
      <c r="H2077" s="8" t="s">
        <v>21</v>
      </c>
      <c r="I2077" s="8" t="s">
        <v>22</v>
      </c>
      <c r="J2077" s="8" t="s">
        <v>22</v>
      </c>
      <c r="K2077" s="8" t="s">
        <v>632</v>
      </c>
      <c r="L2077" s="8" t="s">
        <v>7915</v>
      </c>
      <c r="M2077" s="8" t="s">
        <v>7916</v>
      </c>
      <c r="N2077" s="8" t="s">
        <v>9630</v>
      </c>
      <c r="O2077" s="8">
        <f>5+46/60+47.4/3600</f>
        <v>5.7798333333333334</v>
      </c>
      <c r="P2077" s="8" t="s">
        <v>9631</v>
      </c>
      <c r="Q2077" s="8">
        <f>-(16+46/60+58/3600)</f>
        <v>-16.782777777777778</v>
      </c>
      <c r="R2077" s="8">
        <v>13</v>
      </c>
      <c r="S2077" s="8">
        <v>14</v>
      </c>
      <c r="T2077" s="8">
        <v>1</v>
      </c>
      <c r="U2077" s="8">
        <v>14.1</v>
      </c>
      <c r="V2077" s="8">
        <v>2.2000000000000002</v>
      </c>
      <c r="W2077" s="8">
        <v>1.3</v>
      </c>
      <c r="X2077" s="8">
        <v>45</v>
      </c>
      <c r="Y2077" s="8" t="s">
        <v>9632</v>
      </c>
      <c r="Z2077" s="8" t="s">
        <v>9633</v>
      </c>
    </row>
    <row r="2078" spans="1:26" x14ac:dyDescent="0.2">
      <c r="A2078" s="8">
        <v>2077</v>
      </c>
      <c r="B2078" s="8" t="s">
        <v>9634</v>
      </c>
      <c r="C2078" s="8" t="s">
        <v>9634</v>
      </c>
      <c r="F2078" s="47"/>
      <c r="G2078" s="8">
        <v>16</v>
      </c>
      <c r="H2078" s="8" t="s">
        <v>21</v>
      </c>
      <c r="I2078" s="8" t="s">
        <v>1283</v>
      </c>
      <c r="J2078" s="8" t="s">
        <v>1283</v>
      </c>
      <c r="K2078" s="8" t="s">
        <v>1284</v>
      </c>
      <c r="L2078" s="8" t="s">
        <v>55972</v>
      </c>
      <c r="M2078" s="8" t="s">
        <v>6970</v>
      </c>
      <c r="N2078" s="8" t="s">
        <v>9635</v>
      </c>
      <c r="O2078" s="8">
        <f>5+39/60+36/3600</f>
        <v>5.66</v>
      </c>
      <c r="P2078" s="8" t="s">
        <v>9636</v>
      </c>
      <c r="Q2078" s="8">
        <f>-(69+39/60+26/3600)</f>
        <v>-69.657222222222231</v>
      </c>
      <c r="R2078" s="8">
        <v>99</v>
      </c>
      <c r="S2078" s="8">
        <v>99</v>
      </c>
      <c r="T2078" s="8">
        <v>99</v>
      </c>
      <c r="U2078" s="8">
        <v>99</v>
      </c>
      <c r="V2078" s="8">
        <v>15</v>
      </c>
      <c r="W2078" s="8">
        <v>15</v>
      </c>
      <c r="Y2078" s="8" t="s">
        <v>9637</v>
      </c>
      <c r="Z2078" s="8" t="s">
        <v>9638</v>
      </c>
    </row>
    <row r="2079" spans="1:26" x14ac:dyDescent="0.2">
      <c r="A2079" s="8">
        <v>2078</v>
      </c>
      <c r="B2079" s="8" t="s">
        <v>9639</v>
      </c>
      <c r="C2079" s="8" t="s">
        <v>9639</v>
      </c>
      <c r="F2079" s="47"/>
      <c r="G2079" s="8">
        <v>16</v>
      </c>
      <c r="H2079" s="8" t="s">
        <v>21</v>
      </c>
      <c r="I2079" s="8" t="s">
        <v>1283</v>
      </c>
      <c r="J2079" s="8" t="s">
        <v>1283</v>
      </c>
      <c r="K2079" s="8" t="s">
        <v>1284</v>
      </c>
      <c r="L2079" s="8" t="s">
        <v>55972</v>
      </c>
      <c r="M2079" s="8" t="s">
        <v>6970</v>
      </c>
      <c r="N2079" s="8" t="s">
        <v>9640</v>
      </c>
      <c r="O2079" s="8">
        <f>5+39/60+39.3/3600</f>
        <v>5.660916666666667</v>
      </c>
      <c r="P2079" s="8" t="s">
        <v>9641</v>
      </c>
      <c r="Q2079" s="8">
        <f>-(69+44/60+38/3600)</f>
        <v>-69.74388888888889</v>
      </c>
      <c r="R2079" s="8">
        <v>99</v>
      </c>
      <c r="S2079" s="8">
        <v>99</v>
      </c>
      <c r="T2079" s="8">
        <v>99</v>
      </c>
      <c r="U2079" s="8">
        <v>99</v>
      </c>
      <c r="Y2079" s="8" t="s">
        <v>9642</v>
      </c>
      <c r="Z2079" s="8" t="s">
        <v>9643</v>
      </c>
    </row>
    <row r="2080" spans="1:26" x14ac:dyDescent="0.2">
      <c r="A2080" s="8">
        <v>2079</v>
      </c>
      <c r="B2080" s="8" t="s">
        <v>9644</v>
      </c>
      <c r="C2080" s="8" t="s">
        <v>9644</v>
      </c>
      <c r="F2080" s="47"/>
      <c r="G2080" s="8">
        <v>16</v>
      </c>
      <c r="H2080" s="8" t="s">
        <v>21</v>
      </c>
      <c r="I2080" s="8" t="s">
        <v>1283</v>
      </c>
      <c r="J2080" s="8" t="s">
        <v>1283</v>
      </c>
      <c r="K2080" s="8" t="s">
        <v>1284</v>
      </c>
      <c r="L2080" s="8" t="s">
        <v>55972</v>
      </c>
      <c r="M2080" s="8" t="s">
        <v>6970</v>
      </c>
      <c r="N2080" s="8" t="s">
        <v>9645</v>
      </c>
      <c r="O2080" s="8">
        <f>5+39/60+40/3600</f>
        <v>5.6611111111111114</v>
      </c>
      <c r="P2080" s="8" t="s">
        <v>9646</v>
      </c>
      <c r="Q2080" s="8">
        <f>-(69+46/60+26/3600)</f>
        <v>-69.773888888888891</v>
      </c>
      <c r="R2080" s="8">
        <v>99</v>
      </c>
      <c r="S2080" s="8">
        <v>99</v>
      </c>
      <c r="T2080" s="8">
        <v>99</v>
      </c>
      <c r="U2080" s="8">
        <v>99</v>
      </c>
      <c r="Y2080" s="8" t="s">
        <v>9647</v>
      </c>
      <c r="Z2080" s="8" t="s">
        <v>9648</v>
      </c>
    </row>
    <row r="2081" spans="1:26" x14ac:dyDescent="0.2">
      <c r="A2081" s="8">
        <v>2080</v>
      </c>
      <c r="B2081" s="8" t="s">
        <v>9649</v>
      </c>
      <c r="C2081" s="8" t="s">
        <v>9649</v>
      </c>
      <c r="F2081" s="47"/>
      <c r="G2081" s="8">
        <v>14</v>
      </c>
      <c r="H2081" s="8" t="s">
        <v>9650</v>
      </c>
      <c r="I2081" s="8" t="s">
        <v>1283</v>
      </c>
      <c r="J2081" s="8" t="s">
        <v>1283</v>
      </c>
      <c r="K2081" s="8" t="s">
        <v>1284</v>
      </c>
      <c r="L2081" s="8" t="s">
        <v>55972</v>
      </c>
      <c r="M2081" s="8" t="s">
        <v>6970</v>
      </c>
      <c r="N2081" s="8" t="s">
        <v>9651</v>
      </c>
      <c r="O2081" s="8">
        <f>5+39/60+44.2/3600</f>
        <v>5.6622777777777777</v>
      </c>
      <c r="P2081" s="8" t="s">
        <v>9652</v>
      </c>
      <c r="Q2081" s="8">
        <f>-(69+38/60+44/3600)</f>
        <v>-69.645555555555561</v>
      </c>
      <c r="R2081" s="8">
        <v>99</v>
      </c>
      <c r="S2081" s="8">
        <v>99</v>
      </c>
      <c r="T2081" s="8">
        <v>99</v>
      </c>
      <c r="U2081" s="8">
        <v>99</v>
      </c>
      <c r="Y2081" s="8" t="s">
        <v>9653</v>
      </c>
      <c r="Z2081" s="8" t="s">
        <v>9654</v>
      </c>
    </row>
    <row r="2082" spans="1:26" x14ac:dyDescent="0.2">
      <c r="A2082" s="8">
        <v>2081</v>
      </c>
      <c r="B2082" s="8" t="s">
        <v>9655</v>
      </c>
      <c r="C2082" s="8" t="s">
        <v>9655</v>
      </c>
      <c r="F2082" s="47"/>
      <c r="G2082" s="8">
        <v>16</v>
      </c>
      <c r="H2082" s="8" t="s">
        <v>21</v>
      </c>
      <c r="I2082" s="8" t="s">
        <v>557</v>
      </c>
      <c r="J2082" s="8" t="s">
        <v>557</v>
      </c>
      <c r="K2082" s="8" t="s">
        <v>1816</v>
      </c>
      <c r="L2082" s="8" t="s">
        <v>55972</v>
      </c>
      <c r="M2082" s="8" t="s">
        <v>6970</v>
      </c>
      <c r="N2082" s="8" t="s">
        <v>9656</v>
      </c>
      <c r="O2082" s="8">
        <f>5+39/60+59.5/3600</f>
        <v>5.6665277777777785</v>
      </c>
      <c r="P2082" s="8" t="s">
        <v>9657</v>
      </c>
      <c r="Q2082" s="8">
        <f>-(69+24/60+21/3600)</f>
        <v>-69.405833333333334</v>
      </c>
      <c r="R2082" s="8">
        <v>99</v>
      </c>
      <c r="S2082" s="8">
        <v>99</v>
      </c>
      <c r="T2082" s="8">
        <v>99</v>
      </c>
      <c r="U2082" s="8">
        <v>99</v>
      </c>
      <c r="Y2082" s="8" t="s">
        <v>9658</v>
      </c>
      <c r="Z2082" s="8" t="s">
        <v>9659</v>
      </c>
    </row>
    <row r="2083" spans="1:26" x14ac:dyDescent="0.2">
      <c r="A2083" s="8">
        <v>2082</v>
      </c>
      <c r="B2083" s="8" t="s">
        <v>9660</v>
      </c>
      <c r="C2083" s="8" t="s">
        <v>9660</v>
      </c>
      <c r="F2083" s="47"/>
      <c r="G2083" s="8">
        <v>13</v>
      </c>
      <c r="H2083" s="8" t="s">
        <v>21</v>
      </c>
      <c r="I2083" s="8" t="s">
        <v>22</v>
      </c>
      <c r="J2083" s="8" t="s">
        <v>22</v>
      </c>
      <c r="K2083" s="8" t="s">
        <v>218</v>
      </c>
      <c r="L2083" s="8" t="s">
        <v>55972</v>
      </c>
      <c r="M2083" s="8" t="s">
        <v>6970</v>
      </c>
      <c r="N2083" s="8" t="s">
        <v>9661</v>
      </c>
      <c r="O2083" s="8">
        <f>5+41/60+50.9/3600</f>
        <v>5.6974722222222223</v>
      </c>
      <c r="P2083" s="8" t="s">
        <v>9662</v>
      </c>
      <c r="Q2083" s="8">
        <f>-(64+18/60+5/3600)</f>
        <v>-64.30138888888888</v>
      </c>
      <c r="R2083" s="8">
        <v>12.1</v>
      </c>
      <c r="S2083" s="8">
        <v>12.6</v>
      </c>
      <c r="T2083" s="8">
        <v>0.5</v>
      </c>
      <c r="U2083" s="8">
        <v>13.2</v>
      </c>
      <c r="V2083" s="8">
        <v>1.3</v>
      </c>
      <c r="W2083" s="8">
        <v>1.2</v>
      </c>
      <c r="X2083" s="8">
        <v>37</v>
      </c>
      <c r="Y2083" s="8" t="s">
        <v>9663</v>
      </c>
      <c r="Z2083" s="8" t="s">
        <v>9664</v>
      </c>
    </row>
    <row r="2084" spans="1:26" x14ac:dyDescent="0.2">
      <c r="A2084" s="8">
        <v>2083</v>
      </c>
      <c r="B2084" s="8" t="s">
        <v>9665</v>
      </c>
      <c r="C2084" s="8" t="s">
        <v>9665</v>
      </c>
      <c r="F2084" s="47"/>
      <c r="G2084" s="8">
        <v>16</v>
      </c>
      <c r="H2084" s="8" t="s">
        <v>21</v>
      </c>
      <c r="I2084" s="8" t="s">
        <v>1283</v>
      </c>
      <c r="J2084" s="8" t="s">
        <v>1283</v>
      </c>
      <c r="K2084" s="8" t="s">
        <v>1284</v>
      </c>
      <c r="L2084" s="8" t="s">
        <v>55972</v>
      </c>
      <c r="M2084" s="8" t="s">
        <v>6970</v>
      </c>
      <c r="N2084" s="8" t="s">
        <v>9666</v>
      </c>
      <c r="O2084" s="8">
        <f>5+39/60+59.3/3600</f>
        <v>5.6664722222222226</v>
      </c>
      <c r="P2084" s="8" t="s">
        <v>9667</v>
      </c>
      <c r="Q2084" s="8">
        <f>-(69+44/60+16/3600)</f>
        <v>-69.737777777777779</v>
      </c>
      <c r="R2084" s="8">
        <v>99</v>
      </c>
      <c r="S2084" s="8">
        <v>99</v>
      </c>
      <c r="T2084" s="8">
        <v>99</v>
      </c>
      <c r="U2084" s="8">
        <v>99</v>
      </c>
      <c r="Y2084" s="8" t="s">
        <v>9668</v>
      </c>
      <c r="Z2084" s="8" t="s">
        <v>9669</v>
      </c>
    </row>
    <row r="2085" spans="1:26" x14ac:dyDescent="0.2">
      <c r="A2085" s="8">
        <v>2084</v>
      </c>
      <c r="B2085" s="8" t="s">
        <v>9670</v>
      </c>
      <c r="C2085" s="8" t="s">
        <v>9670</v>
      </c>
      <c r="F2085" s="47"/>
      <c r="G2085" s="8">
        <v>16</v>
      </c>
      <c r="H2085" s="8" t="s">
        <v>21</v>
      </c>
      <c r="I2085" s="8" t="s">
        <v>1283</v>
      </c>
      <c r="J2085" s="8" t="s">
        <v>1283</v>
      </c>
      <c r="K2085" s="8" t="s">
        <v>1284</v>
      </c>
      <c r="L2085" s="8" t="s">
        <v>55972</v>
      </c>
      <c r="M2085" s="8" t="s">
        <v>6970</v>
      </c>
      <c r="N2085" s="8" t="s">
        <v>9671</v>
      </c>
      <c r="O2085" s="8">
        <f>5+40/60+7.1/3600</f>
        <v>5.6686388888888892</v>
      </c>
      <c r="P2085" s="8" t="s">
        <v>9672</v>
      </c>
      <c r="Q2085" s="8">
        <f>-(69+45/60+34/3600)</f>
        <v>-69.759444444444441</v>
      </c>
      <c r="R2085" s="8">
        <v>99</v>
      </c>
      <c r="S2085" s="8">
        <v>99</v>
      </c>
      <c r="T2085" s="8">
        <v>99</v>
      </c>
      <c r="U2085" s="8">
        <v>99</v>
      </c>
      <c r="Y2085" s="8" t="s">
        <v>9673</v>
      </c>
      <c r="Z2085" s="8" t="s">
        <v>9674</v>
      </c>
    </row>
    <row r="2086" spans="1:26" x14ac:dyDescent="0.2">
      <c r="A2086" s="8">
        <v>2085</v>
      </c>
      <c r="B2086" s="8" t="s">
        <v>9675</v>
      </c>
      <c r="C2086" s="8" t="s">
        <v>9675</v>
      </c>
      <c r="F2086" s="47"/>
      <c r="G2086" s="8">
        <v>16</v>
      </c>
      <c r="H2086" s="8" t="s">
        <v>21</v>
      </c>
      <c r="I2086" s="8" t="s">
        <v>1283</v>
      </c>
      <c r="J2086" s="8" t="s">
        <v>1283</v>
      </c>
      <c r="K2086" s="8" t="s">
        <v>1284</v>
      </c>
      <c r="L2086" s="8" t="s">
        <v>55972</v>
      </c>
      <c r="M2086" s="8" t="s">
        <v>6970</v>
      </c>
      <c r="N2086" s="8" t="s">
        <v>9676</v>
      </c>
      <c r="O2086" s="8">
        <f>5+40/60+9/3600</f>
        <v>5.6691666666666674</v>
      </c>
      <c r="P2086" s="8" t="s">
        <v>9677</v>
      </c>
      <c r="Q2086" s="8">
        <f>-(69+40/60+24/3600)</f>
        <v>-69.673333333333332</v>
      </c>
      <c r="R2086" s="8">
        <v>99</v>
      </c>
      <c r="S2086" s="8">
        <v>99</v>
      </c>
      <c r="T2086" s="8">
        <v>99</v>
      </c>
      <c r="U2086" s="8">
        <v>99</v>
      </c>
      <c r="Y2086" s="8" t="s">
        <v>9678</v>
      </c>
      <c r="Z2086" s="8" t="s">
        <v>9679</v>
      </c>
    </row>
    <row r="2087" spans="1:26" x14ac:dyDescent="0.2">
      <c r="A2087" s="8">
        <v>2086</v>
      </c>
      <c r="B2087" s="8" t="s">
        <v>9680</v>
      </c>
      <c r="C2087" s="8" t="s">
        <v>9680</v>
      </c>
      <c r="F2087" s="47"/>
      <c r="G2087" s="8">
        <v>16</v>
      </c>
      <c r="H2087" s="8" t="s">
        <v>21</v>
      </c>
      <c r="I2087" s="8" t="s">
        <v>1283</v>
      </c>
      <c r="J2087" s="8" t="s">
        <v>1283</v>
      </c>
      <c r="K2087" s="8" t="s">
        <v>1284</v>
      </c>
      <c r="L2087" s="8" t="s">
        <v>55972</v>
      </c>
      <c r="M2087" s="8" t="s">
        <v>6970</v>
      </c>
      <c r="N2087" s="8" t="s">
        <v>9681</v>
      </c>
      <c r="O2087" s="8">
        <f>5+40/60+13/3600</f>
        <v>5.6702777777777778</v>
      </c>
      <c r="P2087" s="8" t="s">
        <v>9682</v>
      </c>
      <c r="Q2087" s="8">
        <f>-(69+40/60+5/3600)</f>
        <v>-69.668055555555554</v>
      </c>
      <c r="R2087" s="8">
        <v>99</v>
      </c>
      <c r="S2087" s="8">
        <v>99</v>
      </c>
      <c r="T2087" s="8">
        <v>99</v>
      </c>
      <c r="U2087" s="8">
        <v>99</v>
      </c>
      <c r="Y2087" s="8" t="s">
        <v>9683</v>
      </c>
      <c r="Z2087" s="8" t="s">
        <v>9684</v>
      </c>
    </row>
    <row r="2088" spans="1:26" x14ac:dyDescent="0.2">
      <c r="A2088" s="8">
        <v>2087</v>
      </c>
      <c r="B2088" s="8" t="s">
        <v>9685</v>
      </c>
      <c r="C2088" s="8" t="s">
        <v>9685</v>
      </c>
      <c r="F2088" s="47"/>
      <c r="G2088" s="8">
        <v>16</v>
      </c>
      <c r="H2088" s="8" t="s">
        <v>21</v>
      </c>
      <c r="I2088" s="8" t="s">
        <v>22</v>
      </c>
      <c r="J2088" s="8" t="s">
        <v>22</v>
      </c>
      <c r="K2088" s="8" t="s">
        <v>154</v>
      </c>
      <c r="L2088" s="8" t="s">
        <v>7782</v>
      </c>
      <c r="M2088" s="8" t="s">
        <v>7783</v>
      </c>
      <c r="N2088" s="8" t="s">
        <v>9686</v>
      </c>
      <c r="O2088" s="8">
        <f>5+44/60+16.1/3600</f>
        <v>5.737805555555556</v>
      </c>
      <c r="P2088" s="8" t="s">
        <v>9687</v>
      </c>
      <c r="Q2088" s="8">
        <f>-(55+31/60+59/3600)</f>
        <v>-55.533055555555556</v>
      </c>
      <c r="R2088" s="8">
        <v>13.6</v>
      </c>
      <c r="S2088" s="8">
        <v>14.5</v>
      </c>
      <c r="T2088" s="8">
        <v>0.9</v>
      </c>
      <c r="U2088" s="8">
        <v>12.7</v>
      </c>
      <c r="V2088" s="8">
        <v>0.8</v>
      </c>
      <c r="W2088" s="8">
        <v>0.6</v>
      </c>
      <c r="X2088" s="8">
        <v>136</v>
      </c>
      <c r="Y2088" s="8" t="s">
        <v>9688</v>
      </c>
      <c r="Z2088" s="8" t="s">
        <v>9689</v>
      </c>
    </row>
    <row r="2089" spans="1:26" x14ac:dyDescent="0.2">
      <c r="A2089" s="8">
        <v>2088</v>
      </c>
      <c r="B2089" s="8" t="s">
        <v>9690</v>
      </c>
      <c r="C2089" s="8" t="s">
        <v>9690</v>
      </c>
      <c r="F2089" s="47"/>
      <c r="G2089" s="8">
        <v>16</v>
      </c>
      <c r="H2089" s="8" t="s">
        <v>21</v>
      </c>
      <c r="I2089" s="8" t="s">
        <v>557</v>
      </c>
      <c r="J2089" s="8" t="s">
        <v>557</v>
      </c>
      <c r="K2089" s="8" t="s">
        <v>557</v>
      </c>
      <c r="L2089" s="8" t="s">
        <v>55972</v>
      </c>
      <c r="M2089" s="8" t="s">
        <v>6970</v>
      </c>
      <c r="N2089" s="8" t="s">
        <v>9691</v>
      </c>
      <c r="O2089" s="8">
        <f>5+40/60+59.9/3600</f>
        <v>5.6833055555555561</v>
      </c>
      <c r="P2089" s="8" t="s">
        <v>9692</v>
      </c>
      <c r="Q2089" s="8">
        <f>-(68+27/60+56/3600)</f>
        <v>-68.465555555555554</v>
      </c>
      <c r="R2089" s="8">
        <v>12.5</v>
      </c>
      <c r="S2089" s="8">
        <v>12.8</v>
      </c>
      <c r="T2089" s="8">
        <v>99</v>
      </c>
      <c r="U2089" s="8">
        <v>99</v>
      </c>
      <c r="V2089" s="8">
        <v>1.7</v>
      </c>
      <c r="Y2089" s="8" t="s">
        <v>170</v>
      </c>
      <c r="Z2089" s="8" t="s">
        <v>171</v>
      </c>
    </row>
    <row r="2090" spans="1:26" x14ac:dyDescent="0.2">
      <c r="A2090" s="8">
        <v>2089</v>
      </c>
      <c r="B2090" s="8" t="s">
        <v>9693</v>
      </c>
      <c r="C2090" s="8" t="s">
        <v>9693</v>
      </c>
      <c r="F2090" s="47" t="s">
        <v>56423</v>
      </c>
      <c r="G2090" s="8">
        <v>15</v>
      </c>
      <c r="H2090" s="8" t="s">
        <v>21</v>
      </c>
      <c r="I2090" s="8" t="s">
        <v>22</v>
      </c>
      <c r="J2090" s="8" t="s">
        <v>22</v>
      </c>
      <c r="K2090" s="8" t="s">
        <v>118</v>
      </c>
      <c r="L2090" s="8" t="s">
        <v>7915</v>
      </c>
      <c r="M2090" s="8" t="s">
        <v>7916</v>
      </c>
      <c r="N2090" s="8" t="s">
        <v>9694</v>
      </c>
      <c r="O2090" s="8">
        <f>5+47/60+51.3/3600</f>
        <v>5.7975833333333329</v>
      </c>
      <c r="P2090" s="8" t="s">
        <v>9695</v>
      </c>
      <c r="Q2090" s="8">
        <f>-(17+36/60+10/3600)</f>
        <v>-17.602777777777778</v>
      </c>
      <c r="R2090" s="8">
        <v>12</v>
      </c>
      <c r="S2090" s="8">
        <v>13</v>
      </c>
      <c r="T2090" s="8">
        <v>1</v>
      </c>
      <c r="U2090" s="8">
        <v>12.6</v>
      </c>
      <c r="V2090" s="8">
        <v>1.9</v>
      </c>
      <c r="W2090" s="8">
        <v>1.2</v>
      </c>
      <c r="X2090" s="8">
        <v>39</v>
      </c>
      <c r="Y2090" s="8" t="s">
        <v>4787</v>
      </c>
      <c r="Z2090" s="8" t="s">
        <v>2313</v>
      </c>
    </row>
    <row r="2091" spans="1:26" x14ac:dyDescent="0.2">
      <c r="A2091" s="8">
        <v>2090</v>
      </c>
      <c r="B2091" s="8" t="s">
        <v>9696</v>
      </c>
      <c r="C2091" s="8" t="s">
        <v>9696</v>
      </c>
      <c r="F2091" s="47"/>
      <c r="G2091" s="8">
        <v>13</v>
      </c>
      <c r="H2091" s="8" t="s">
        <v>21</v>
      </c>
      <c r="I2091" s="8" t="s">
        <v>22</v>
      </c>
      <c r="J2091" s="8" t="s">
        <v>22</v>
      </c>
      <c r="K2091" s="8" t="s">
        <v>160</v>
      </c>
      <c r="L2091" s="8" t="s">
        <v>8298</v>
      </c>
      <c r="M2091" s="8" t="s">
        <v>8299</v>
      </c>
      <c r="N2091" s="8" t="s">
        <v>9697</v>
      </c>
      <c r="O2091" s="8">
        <f>5+47/60+1.6/3600</f>
        <v>5.7837777777777779</v>
      </c>
      <c r="P2091" s="8" t="s">
        <v>9698</v>
      </c>
      <c r="Q2091" s="8">
        <f>-(34+15/60+3/3600)</f>
        <v>-34.250833333333333</v>
      </c>
      <c r="R2091" s="8">
        <v>11.2</v>
      </c>
      <c r="S2091" s="8">
        <v>12</v>
      </c>
      <c r="T2091" s="8">
        <v>0.8</v>
      </c>
      <c r="U2091" s="8">
        <v>13.7</v>
      </c>
      <c r="V2091" s="8">
        <v>4.9000000000000004</v>
      </c>
      <c r="W2091" s="8">
        <v>2.4</v>
      </c>
      <c r="X2091" s="8">
        <v>13</v>
      </c>
      <c r="Y2091" s="8" t="s">
        <v>9699</v>
      </c>
      <c r="Z2091" s="8" t="s">
        <v>9700</v>
      </c>
    </row>
    <row r="2092" spans="1:26" x14ac:dyDescent="0.2">
      <c r="A2092" s="8">
        <v>2091</v>
      </c>
      <c r="B2092" s="8" t="s">
        <v>9701</v>
      </c>
      <c r="C2092" s="8" t="s">
        <v>9701</v>
      </c>
      <c r="F2092" s="47"/>
      <c r="G2092" s="8">
        <v>16</v>
      </c>
      <c r="H2092" s="8" t="s">
        <v>21</v>
      </c>
      <c r="I2092" s="8" t="s">
        <v>557</v>
      </c>
      <c r="J2092" s="8" t="s">
        <v>557</v>
      </c>
      <c r="K2092" s="8" t="s">
        <v>557</v>
      </c>
      <c r="L2092" s="8" t="s">
        <v>55972</v>
      </c>
      <c r="M2092" s="8" t="s">
        <v>6970</v>
      </c>
      <c r="N2092" s="8" t="s">
        <v>9702</v>
      </c>
      <c r="O2092" s="8">
        <f>5+40/60+58.1/3600</f>
        <v>5.6828055555555554</v>
      </c>
      <c r="P2092" s="8" t="s">
        <v>9703</v>
      </c>
      <c r="Q2092" s="8">
        <f>-(69+26/60+14/3600)</f>
        <v>-69.437222222222232</v>
      </c>
      <c r="R2092" s="8">
        <v>12.1</v>
      </c>
      <c r="S2092" s="8">
        <v>12.4</v>
      </c>
      <c r="T2092" s="8">
        <v>99</v>
      </c>
      <c r="U2092" s="8">
        <v>99</v>
      </c>
      <c r="V2092" s="8">
        <v>1.7</v>
      </c>
      <c r="Y2092" s="8" t="s">
        <v>9704</v>
      </c>
      <c r="Z2092" s="8" t="s">
        <v>9705</v>
      </c>
    </row>
    <row r="2093" spans="1:26" x14ac:dyDescent="0.2">
      <c r="A2093" s="8">
        <v>2092</v>
      </c>
      <c r="B2093" s="8" t="s">
        <v>9706</v>
      </c>
      <c r="C2093" s="8" t="s">
        <v>9706</v>
      </c>
      <c r="F2093" s="47"/>
      <c r="G2093" s="8">
        <v>16</v>
      </c>
      <c r="H2093" s="8" t="s">
        <v>21</v>
      </c>
      <c r="I2093" s="8" t="s">
        <v>557</v>
      </c>
      <c r="J2093" s="8" t="s">
        <v>557</v>
      </c>
      <c r="K2093" s="8" t="s">
        <v>557</v>
      </c>
      <c r="L2093" s="8" t="s">
        <v>55972</v>
      </c>
      <c r="M2093" s="8" t="s">
        <v>6970</v>
      </c>
      <c r="N2093" s="8" t="s">
        <v>9707</v>
      </c>
      <c r="O2093" s="8">
        <f>5+41/60+22.1/3600</f>
        <v>5.6894722222222223</v>
      </c>
      <c r="P2093" s="8" t="s">
        <v>9708</v>
      </c>
      <c r="Q2093" s="8">
        <f>-(69+13/60+27/3600)</f>
        <v>-69.224166666666662</v>
      </c>
      <c r="R2093" s="8">
        <v>99</v>
      </c>
      <c r="S2093" s="8">
        <v>99</v>
      </c>
      <c r="T2093" s="8">
        <v>99</v>
      </c>
      <c r="U2093" s="8">
        <v>99</v>
      </c>
      <c r="V2093" s="8">
        <v>1.2</v>
      </c>
      <c r="Y2093" s="8" t="s">
        <v>9709</v>
      </c>
      <c r="Z2093" s="8" t="s">
        <v>9710</v>
      </c>
    </row>
    <row r="2094" spans="1:26" x14ac:dyDescent="0.2">
      <c r="A2094" s="8">
        <v>2093</v>
      </c>
      <c r="B2094" s="8" t="s">
        <v>9711</v>
      </c>
      <c r="C2094" s="8" t="s">
        <v>9711</v>
      </c>
      <c r="F2094" s="47"/>
      <c r="G2094" s="8">
        <v>16</v>
      </c>
      <c r="H2094" s="8" t="s">
        <v>21</v>
      </c>
      <c r="I2094" s="8" t="s">
        <v>557</v>
      </c>
      <c r="J2094" s="8" t="s">
        <v>557</v>
      </c>
      <c r="K2094" s="8" t="s">
        <v>557</v>
      </c>
      <c r="L2094" s="8" t="s">
        <v>55972</v>
      </c>
      <c r="M2094" s="8" t="s">
        <v>6970</v>
      </c>
      <c r="N2094" s="8" t="s">
        <v>9712</v>
      </c>
      <c r="O2094" s="8">
        <f>5+41/60+49.8/3600</f>
        <v>5.6971666666666669</v>
      </c>
      <c r="P2094" s="8" t="s">
        <v>9713</v>
      </c>
      <c r="Q2094" s="8">
        <f>-(68+55/60+17/3600)</f>
        <v>-68.921388888888899</v>
      </c>
      <c r="R2094" s="8">
        <v>11.6</v>
      </c>
      <c r="S2094" s="8">
        <v>11.9</v>
      </c>
      <c r="T2094" s="8">
        <v>99</v>
      </c>
      <c r="U2094" s="8">
        <v>99</v>
      </c>
      <c r="V2094" s="8">
        <v>1.7</v>
      </c>
      <c r="Y2094" s="8" t="s">
        <v>170</v>
      </c>
      <c r="Z2094" s="8" t="s">
        <v>171</v>
      </c>
    </row>
    <row r="2095" spans="1:26" x14ac:dyDescent="0.2">
      <c r="A2095" s="8">
        <v>2094</v>
      </c>
      <c r="B2095" s="8" t="s">
        <v>9714</v>
      </c>
      <c r="C2095" s="8" t="s">
        <v>9714</v>
      </c>
      <c r="F2095" s="47"/>
      <c r="G2095" s="8">
        <v>16</v>
      </c>
      <c r="H2095" s="8" t="s">
        <v>21</v>
      </c>
      <c r="I2095" s="8" t="s">
        <v>557</v>
      </c>
      <c r="J2095" s="8" t="s">
        <v>557</v>
      </c>
      <c r="K2095" s="8" t="s">
        <v>557</v>
      </c>
      <c r="L2095" s="8" t="s">
        <v>55972</v>
      </c>
      <c r="M2095" s="8" t="s">
        <v>6970</v>
      </c>
      <c r="N2095" s="8" t="s">
        <v>9715</v>
      </c>
      <c r="O2095" s="8">
        <f>5+42/60+8/3600</f>
        <v>5.7022222222222227</v>
      </c>
      <c r="P2095" s="8" t="s">
        <v>9716</v>
      </c>
      <c r="Q2095" s="8">
        <f>-(68+21/60+48/3600)</f>
        <v>-68.36333333333333</v>
      </c>
      <c r="R2095" s="8">
        <v>99</v>
      </c>
      <c r="S2095" s="8">
        <v>99</v>
      </c>
      <c r="T2095" s="8">
        <v>99</v>
      </c>
      <c r="U2095" s="8">
        <v>99</v>
      </c>
      <c r="Y2095" s="8" t="s">
        <v>170</v>
      </c>
      <c r="Z2095" s="8" t="s">
        <v>171</v>
      </c>
    </row>
    <row r="2096" spans="1:26" x14ac:dyDescent="0.2">
      <c r="A2096" s="8">
        <v>2095</v>
      </c>
      <c r="B2096" s="8" t="s">
        <v>9717</v>
      </c>
      <c r="C2096" s="8" t="s">
        <v>9717</v>
      </c>
      <c r="F2096" s="47"/>
      <c r="G2096" s="8">
        <v>16</v>
      </c>
      <c r="H2096" s="8" t="s">
        <v>21</v>
      </c>
      <c r="I2096" s="8" t="s">
        <v>557</v>
      </c>
      <c r="J2096" s="8" t="s">
        <v>557</v>
      </c>
      <c r="K2096" s="8" t="s">
        <v>557</v>
      </c>
      <c r="L2096" s="8" t="s">
        <v>55972</v>
      </c>
      <c r="M2096" s="8" t="s">
        <v>6970</v>
      </c>
      <c r="N2096" s="8" t="s">
        <v>9718</v>
      </c>
      <c r="O2096" s="8">
        <f>5+42/60+50/3600</f>
        <v>5.7138888888888895</v>
      </c>
      <c r="P2096" s="8" t="s">
        <v>9719</v>
      </c>
      <c r="Q2096" s="8">
        <f>-(67+19/60+12/3600)</f>
        <v>-67.319999999999993</v>
      </c>
      <c r="R2096" s="8">
        <v>13.1</v>
      </c>
      <c r="S2096" s="8">
        <v>13.1</v>
      </c>
      <c r="T2096" s="8">
        <v>99</v>
      </c>
      <c r="U2096" s="8">
        <v>99</v>
      </c>
      <c r="V2096" s="8">
        <v>0.8</v>
      </c>
      <c r="Y2096" s="8" t="s">
        <v>9720</v>
      </c>
      <c r="Z2096" s="8" t="s">
        <v>9721</v>
      </c>
    </row>
    <row r="2097" spans="1:26" x14ac:dyDescent="0.2">
      <c r="A2097" s="8">
        <v>2096</v>
      </c>
      <c r="B2097" s="8" t="s">
        <v>9722</v>
      </c>
      <c r="C2097" s="8" t="s">
        <v>9722</v>
      </c>
      <c r="F2097" s="47"/>
      <c r="G2097" s="8">
        <v>18</v>
      </c>
      <c r="H2097" s="8" t="s">
        <v>21</v>
      </c>
      <c r="I2097" s="8" t="s">
        <v>557</v>
      </c>
      <c r="J2097" s="8" t="s">
        <v>557</v>
      </c>
      <c r="K2097" s="8" t="s">
        <v>557</v>
      </c>
      <c r="L2097" s="8" t="s">
        <v>55972</v>
      </c>
      <c r="M2097" s="8" t="s">
        <v>6970</v>
      </c>
      <c r="N2097" s="8" t="s">
        <v>9723</v>
      </c>
      <c r="O2097" s="8">
        <f>5+42/60+17.9/3600</f>
        <v>5.7049722222222226</v>
      </c>
      <c r="P2097" s="8" t="s">
        <v>9724</v>
      </c>
      <c r="Q2097" s="8">
        <f>-(68+27/60+31/3600)</f>
        <v>-68.458611111111111</v>
      </c>
      <c r="R2097" s="8">
        <v>11.3</v>
      </c>
      <c r="S2097" s="8">
        <v>11.8</v>
      </c>
      <c r="T2097" s="8">
        <v>99</v>
      </c>
      <c r="U2097" s="8">
        <v>99</v>
      </c>
      <c r="V2097" s="8">
        <v>1.2</v>
      </c>
      <c r="Y2097" s="8" t="s">
        <v>9555</v>
      </c>
      <c r="Z2097" s="8" t="s">
        <v>9725</v>
      </c>
    </row>
    <row r="2098" spans="1:26" x14ac:dyDescent="0.2">
      <c r="A2098" s="8">
        <v>2097</v>
      </c>
      <c r="B2098" s="8" t="s">
        <v>9726</v>
      </c>
      <c r="C2098" s="8" t="s">
        <v>9726</v>
      </c>
      <c r="F2098" s="47"/>
      <c r="G2098" s="8">
        <v>16</v>
      </c>
      <c r="H2098" s="8" t="s">
        <v>21</v>
      </c>
      <c r="I2098" s="8" t="s">
        <v>557</v>
      </c>
      <c r="J2098" s="8" t="s">
        <v>557</v>
      </c>
      <c r="K2098" s="8" t="s">
        <v>557</v>
      </c>
      <c r="L2098" s="8" t="s">
        <v>55972</v>
      </c>
      <c r="M2098" s="8" t="s">
        <v>6970</v>
      </c>
      <c r="N2098" s="8" t="s">
        <v>9727</v>
      </c>
      <c r="O2098" s="8">
        <f>5+44/60+16/3600</f>
        <v>5.7377777777777776</v>
      </c>
      <c r="P2098" s="8" t="s">
        <v>9728</v>
      </c>
      <c r="Q2098" s="8">
        <f>-(62+47/60+8/3600)</f>
        <v>-62.785555555555554</v>
      </c>
      <c r="R2098" s="8">
        <v>13.7</v>
      </c>
      <c r="S2098" s="8">
        <v>14.1</v>
      </c>
      <c r="T2098" s="8">
        <v>99</v>
      </c>
      <c r="U2098" s="8">
        <v>99</v>
      </c>
      <c r="V2098" s="8">
        <v>1.8</v>
      </c>
      <c r="Y2098" s="8" t="s">
        <v>9729</v>
      </c>
      <c r="Z2098" s="8" t="s">
        <v>9730</v>
      </c>
    </row>
    <row r="2099" spans="1:26" x14ac:dyDescent="0.2">
      <c r="A2099" s="8">
        <v>2098</v>
      </c>
      <c r="B2099" s="8" t="s">
        <v>9731</v>
      </c>
      <c r="C2099" s="8" t="s">
        <v>9731</v>
      </c>
      <c r="F2099" s="47"/>
      <c r="G2099" s="8">
        <v>16</v>
      </c>
      <c r="H2099" s="8" t="s">
        <v>21</v>
      </c>
      <c r="I2099" s="8" t="s">
        <v>557</v>
      </c>
      <c r="J2099" s="8" t="s">
        <v>557</v>
      </c>
      <c r="K2099" s="8" t="s">
        <v>557</v>
      </c>
      <c r="L2099" s="8" t="s">
        <v>55972</v>
      </c>
      <c r="M2099" s="8" t="s">
        <v>6970</v>
      </c>
      <c r="N2099" s="8" t="s">
        <v>9732</v>
      </c>
      <c r="O2099" s="8">
        <f>5+42/60+30.4/3600</f>
        <v>5.7084444444444449</v>
      </c>
      <c r="P2099" s="8" t="s">
        <v>9733</v>
      </c>
      <c r="Q2099" s="8">
        <f>-(68+16/60+32/3600)</f>
        <v>-68.275555555555556</v>
      </c>
      <c r="R2099" s="8">
        <v>10.7</v>
      </c>
      <c r="S2099" s="8">
        <v>10.9</v>
      </c>
      <c r="T2099" s="8">
        <v>99</v>
      </c>
      <c r="U2099" s="8">
        <v>99</v>
      </c>
      <c r="V2099" s="8">
        <v>1.6</v>
      </c>
      <c r="Y2099" s="8" t="s">
        <v>9734</v>
      </c>
      <c r="Z2099" s="8" t="s">
        <v>9735</v>
      </c>
    </row>
    <row r="2100" spans="1:26" x14ac:dyDescent="0.2">
      <c r="A2100" s="8">
        <v>2099</v>
      </c>
      <c r="B2100" s="8" t="s">
        <v>9736</v>
      </c>
      <c r="C2100" s="8" t="s">
        <v>55877</v>
      </c>
      <c r="F2100" s="47"/>
      <c r="G2100" s="8">
        <v>1</v>
      </c>
      <c r="H2100" s="8" t="s">
        <v>9737</v>
      </c>
      <c r="I2100" s="8" t="s">
        <v>557</v>
      </c>
      <c r="J2100" s="8" t="s">
        <v>557</v>
      </c>
      <c r="K2100" s="8" t="s">
        <v>9738</v>
      </c>
      <c r="L2100" s="8" t="s">
        <v>7717</v>
      </c>
      <c r="M2100" s="8" t="s">
        <v>7718</v>
      </c>
      <c r="N2100" s="8" t="s">
        <v>9739</v>
      </c>
      <c r="O2100" s="8">
        <f>5+52/60+18.3/3600</f>
        <v>5.8717500000000005</v>
      </c>
      <c r="P2100" s="8" t="s">
        <v>9740</v>
      </c>
      <c r="Q2100" s="8">
        <f>+(32+33/60+11/3600)</f>
        <v>32.553055555555552</v>
      </c>
      <c r="R2100" s="8">
        <v>5.6</v>
      </c>
      <c r="S2100" s="8">
        <v>99</v>
      </c>
      <c r="T2100" s="8">
        <v>99</v>
      </c>
      <c r="U2100" s="8">
        <v>99</v>
      </c>
      <c r="V2100" s="8">
        <v>15</v>
      </c>
      <c r="Y2100" s="8" t="s">
        <v>9741</v>
      </c>
      <c r="Z2100" s="8" t="s">
        <v>9742</v>
      </c>
    </row>
    <row r="2101" spans="1:26" x14ac:dyDescent="0.2">
      <c r="A2101" s="8">
        <v>2100</v>
      </c>
      <c r="B2101" s="8" t="s">
        <v>9743</v>
      </c>
      <c r="C2101" s="8" t="s">
        <v>9743</v>
      </c>
      <c r="F2101" s="47"/>
      <c r="G2101" s="8">
        <v>16</v>
      </c>
      <c r="H2101" s="8" t="s">
        <v>21</v>
      </c>
      <c r="I2101" s="8" t="s">
        <v>557</v>
      </c>
      <c r="J2101" s="8" t="s">
        <v>557</v>
      </c>
      <c r="K2101" s="8" t="s">
        <v>557</v>
      </c>
      <c r="L2101" s="8" t="s">
        <v>55972</v>
      </c>
      <c r="M2101" s="8" t="s">
        <v>6970</v>
      </c>
      <c r="N2101" s="8" t="s">
        <v>9744</v>
      </c>
      <c r="O2101" s="8">
        <f>5+42/60+9.1/3600</f>
        <v>5.7025277777777781</v>
      </c>
      <c r="P2101" s="8" t="s">
        <v>9745</v>
      </c>
      <c r="Q2101" s="8">
        <f>-(69+12/60+43/3600)</f>
        <v>-69.211944444444441</v>
      </c>
      <c r="R2101" s="8">
        <v>9.6</v>
      </c>
      <c r="S2101" s="8">
        <v>99</v>
      </c>
      <c r="T2101" s="8">
        <v>99</v>
      </c>
      <c r="U2101" s="8">
        <v>99</v>
      </c>
      <c r="V2101" s="8">
        <v>2.8</v>
      </c>
      <c r="Y2101" s="8" t="s">
        <v>9746</v>
      </c>
      <c r="Z2101" s="8" t="s">
        <v>9747</v>
      </c>
    </row>
    <row r="2102" spans="1:26" x14ac:dyDescent="0.2">
      <c r="A2102" s="8">
        <v>2101</v>
      </c>
      <c r="B2102" s="8" t="s">
        <v>9748</v>
      </c>
      <c r="C2102" s="8" t="s">
        <v>9748</v>
      </c>
      <c r="F2102" s="47"/>
      <c r="G2102" s="8">
        <v>16</v>
      </c>
      <c r="H2102" s="8" t="s">
        <v>21</v>
      </c>
      <c r="I2102" s="8" t="s">
        <v>22</v>
      </c>
      <c r="J2102" s="8" t="s">
        <v>22</v>
      </c>
      <c r="K2102" s="8" t="s">
        <v>483</v>
      </c>
      <c r="L2102" s="8" t="s">
        <v>7782</v>
      </c>
      <c r="M2102" s="8" t="s">
        <v>7783</v>
      </c>
      <c r="N2102" s="8" t="s">
        <v>9749</v>
      </c>
      <c r="O2102" s="8">
        <f>5+46/60+22.4/3600</f>
        <v>5.7728888888888887</v>
      </c>
      <c r="P2102" s="8" t="s">
        <v>9750</v>
      </c>
      <c r="Q2102" s="8">
        <f>-(52+5/60+24/3600)</f>
        <v>-52.09</v>
      </c>
      <c r="R2102" s="8">
        <v>13.3</v>
      </c>
      <c r="S2102" s="8">
        <v>13.7</v>
      </c>
      <c r="T2102" s="8">
        <v>0.4</v>
      </c>
      <c r="U2102" s="8">
        <v>14.5</v>
      </c>
      <c r="V2102" s="8">
        <v>2</v>
      </c>
      <c r="W2102" s="8">
        <v>1.3</v>
      </c>
      <c r="X2102" s="8">
        <v>85</v>
      </c>
      <c r="Y2102" s="8" t="s">
        <v>21</v>
      </c>
      <c r="Z2102" s="8" t="s">
        <v>9751</v>
      </c>
    </row>
    <row r="2103" spans="1:26" x14ac:dyDescent="0.2">
      <c r="A2103" s="8">
        <v>2102</v>
      </c>
      <c r="B2103" s="8" t="s">
        <v>9752</v>
      </c>
      <c r="C2103" s="8" t="s">
        <v>9752</v>
      </c>
      <c r="F2103" s="47"/>
      <c r="G2103" s="8">
        <v>18</v>
      </c>
      <c r="H2103" s="8" t="s">
        <v>21</v>
      </c>
      <c r="I2103" s="8" t="s">
        <v>557</v>
      </c>
      <c r="J2103" s="8" t="s">
        <v>557</v>
      </c>
      <c r="K2103" s="8" t="s">
        <v>557</v>
      </c>
      <c r="L2103" s="8" t="s">
        <v>55972</v>
      </c>
      <c r="M2103" s="8" t="s">
        <v>6970</v>
      </c>
      <c r="N2103" s="8" t="s">
        <v>9753</v>
      </c>
      <c r="O2103" s="8">
        <f>5+42/60+20.6/3600</f>
        <v>5.7057222222222226</v>
      </c>
      <c r="P2103" s="8" t="s">
        <v>9754</v>
      </c>
      <c r="Q2103" s="8">
        <f>-(69+29/60+14/3600)</f>
        <v>-69.487222222222229</v>
      </c>
      <c r="R2103" s="8">
        <v>11.4</v>
      </c>
      <c r="S2103" s="8">
        <v>99</v>
      </c>
      <c r="T2103" s="8">
        <v>99</v>
      </c>
      <c r="U2103" s="8">
        <v>99</v>
      </c>
      <c r="V2103" s="8">
        <v>1</v>
      </c>
      <c r="Y2103" s="8" t="s">
        <v>9555</v>
      </c>
      <c r="Z2103" s="8" t="s">
        <v>9556</v>
      </c>
    </row>
    <row r="2104" spans="1:26" x14ac:dyDescent="0.2">
      <c r="A2104" s="8">
        <v>2103</v>
      </c>
      <c r="B2104" s="8" t="s">
        <v>9755</v>
      </c>
      <c r="C2104" s="8" t="s">
        <v>9755</v>
      </c>
      <c r="F2104" s="47"/>
      <c r="G2104" s="8">
        <v>16</v>
      </c>
      <c r="H2104" s="8" t="s">
        <v>21</v>
      </c>
      <c r="I2104" s="8" t="s">
        <v>1283</v>
      </c>
      <c r="J2104" s="8" t="s">
        <v>1283</v>
      </c>
      <c r="K2104" s="8" t="s">
        <v>1284</v>
      </c>
      <c r="L2104" s="8" t="s">
        <v>7071</v>
      </c>
      <c r="M2104" s="8" t="s">
        <v>7072</v>
      </c>
      <c r="N2104" s="8" t="s">
        <v>9756</v>
      </c>
      <c r="O2104" s="8">
        <f>5+41/60+40/3600</f>
        <v>5.6944444444444446</v>
      </c>
      <c r="P2104" s="8" t="s">
        <v>9757</v>
      </c>
      <c r="Q2104" s="8">
        <f>-(71+19/60+54/3600)</f>
        <v>-71.331666666666663</v>
      </c>
      <c r="R2104" s="8">
        <v>99</v>
      </c>
      <c r="S2104" s="8">
        <v>99</v>
      </c>
      <c r="T2104" s="8">
        <v>99</v>
      </c>
      <c r="U2104" s="8">
        <v>99</v>
      </c>
      <c r="Y2104" s="8" t="s">
        <v>9758</v>
      </c>
      <c r="Z2104" s="8" t="s">
        <v>9759</v>
      </c>
    </row>
    <row r="2105" spans="1:26" x14ac:dyDescent="0.2">
      <c r="A2105" s="8">
        <v>2104</v>
      </c>
      <c r="B2105" s="8" t="s">
        <v>9760</v>
      </c>
      <c r="C2105" s="8" t="s">
        <v>9760</v>
      </c>
      <c r="F2105" s="47"/>
      <c r="G2105" s="8">
        <v>16</v>
      </c>
      <c r="H2105" s="8" t="s">
        <v>21</v>
      </c>
      <c r="I2105" s="8" t="s">
        <v>22</v>
      </c>
      <c r="J2105" s="8" t="s">
        <v>22</v>
      </c>
      <c r="K2105" s="8" t="s">
        <v>323</v>
      </c>
      <c r="L2105" s="8" t="s">
        <v>7782</v>
      </c>
      <c r="M2105" s="8" t="s">
        <v>7783</v>
      </c>
      <c r="N2105" s="8" t="s">
        <v>9761</v>
      </c>
      <c r="O2105" s="8">
        <f>5+47/60+4.2/3600</f>
        <v>5.7844999999999995</v>
      </c>
      <c r="P2105" s="8" t="s">
        <v>9762</v>
      </c>
      <c r="Q2105" s="8">
        <f>-(51+33/60+11/3600)</f>
        <v>-51.553055555555552</v>
      </c>
      <c r="R2105" s="8">
        <v>12.7</v>
      </c>
      <c r="S2105" s="8">
        <v>13.2</v>
      </c>
      <c r="T2105" s="8">
        <v>0.5</v>
      </c>
      <c r="U2105" s="8">
        <v>13.2</v>
      </c>
      <c r="V2105" s="8">
        <v>2</v>
      </c>
      <c r="W2105" s="8">
        <v>0.9</v>
      </c>
      <c r="X2105" s="8">
        <v>160</v>
      </c>
      <c r="Y2105" s="8" t="s">
        <v>7859</v>
      </c>
      <c r="Z2105" s="8" t="s">
        <v>7860</v>
      </c>
    </row>
    <row r="2106" spans="1:26" x14ac:dyDescent="0.2">
      <c r="A2106" s="8">
        <v>2105</v>
      </c>
      <c r="B2106" s="8" t="s">
        <v>9763</v>
      </c>
      <c r="C2106" s="8" t="s">
        <v>9763</v>
      </c>
      <c r="F2106" s="47"/>
      <c r="G2106" s="8">
        <v>16</v>
      </c>
      <c r="H2106" s="8" t="s">
        <v>21</v>
      </c>
      <c r="I2106" s="8" t="s">
        <v>557</v>
      </c>
      <c r="J2106" s="8" t="s">
        <v>557</v>
      </c>
      <c r="K2106" s="8" t="s">
        <v>557</v>
      </c>
      <c r="L2106" s="8" t="s">
        <v>55972</v>
      </c>
      <c r="M2106" s="8" t="s">
        <v>6970</v>
      </c>
      <c r="N2106" s="8" t="s">
        <v>9764</v>
      </c>
      <c r="O2106" s="8">
        <f>5+44/60+19.2/3600</f>
        <v>5.738666666666667</v>
      </c>
      <c r="P2106" s="8" t="s">
        <v>9765</v>
      </c>
      <c r="Q2106" s="8">
        <f>-(66+55/60+4/3600)</f>
        <v>-66.917777777777786</v>
      </c>
      <c r="R2106" s="8">
        <v>12.2</v>
      </c>
      <c r="S2106" s="8">
        <v>12.3</v>
      </c>
      <c r="T2106" s="8">
        <v>99</v>
      </c>
      <c r="U2106" s="8">
        <v>99</v>
      </c>
      <c r="V2106" s="8">
        <v>1.7</v>
      </c>
      <c r="Y2106" s="8" t="s">
        <v>1323</v>
      </c>
      <c r="Z2106" s="8" t="s">
        <v>1324</v>
      </c>
    </row>
    <row r="2107" spans="1:26" x14ac:dyDescent="0.2">
      <c r="A2107" s="8">
        <v>2106</v>
      </c>
      <c r="B2107" s="8" t="s">
        <v>9766</v>
      </c>
      <c r="C2107" s="8" t="s">
        <v>9766</v>
      </c>
      <c r="F2107" s="47"/>
      <c r="G2107" s="8">
        <v>16</v>
      </c>
      <c r="H2107" s="8" t="s">
        <v>21</v>
      </c>
      <c r="I2107" s="8" t="s">
        <v>22</v>
      </c>
      <c r="J2107" s="8" t="s">
        <v>22</v>
      </c>
      <c r="K2107" s="8" t="s">
        <v>224</v>
      </c>
      <c r="L2107" s="8" t="s">
        <v>7915</v>
      </c>
      <c r="M2107" s="8" t="s">
        <v>7916</v>
      </c>
      <c r="N2107" s="8" t="s">
        <v>9767</v>
      </c>
      <c r="O2107" s="8">
        <f>5+50/60+46.3/3600</f>
        <v>5.8461944444444445</v>
      </c>
      <c r="P2107" s="8" t="s">
        <v>9768</v>
      </c>
      <c r="Q2107" s="8">
        <f>-(21+34/60+1/3600)</f>
        <v>-21.566944444444445</v>
      </c>
      <c r="R2107" s="8">
        <v>12.1</v>
      </c>
      <c r="S2107" s="8">
        <v>13.1</v>
      </c>
      <c r="T2107" s="8">
        <v>1</v>
      </c>
      <c r="U2107" s="8">
        <v>13.4</v>
      </c>
      <c r="V2107" s="8">
        <v>2.7</v>
      </c>
      <c r="W2107" s="8">
        <v>1.4</v>
      </c>
      <c r="X2107" s="8">
        <v>103</v>
      </c>
      <c r="Y2107" s="8" t="s">
        <v>6226</v>
      </c>
      <c r="Z2107" s="8" t="s">
        <v>6227</v>
      </c>
    </row>
    <row r="2108" spans="1:26" x14ac:dyDescent="0.2">
      <c r="A2108" s="8">
        <v>2107</v>
      </c>
      <c r="B2108" s="8" t="s">
        <v>9769</v>
      </c>
      <c r="C2108" s="8" t="s">
        <v>9769</v>
      </c>
      <c r="F2108" s="47"/>
      <c r="G2108" s="8">
        <v>16</v>
      </c>
      <c r="H2108" s="8" t="s">
        <v>21</v>
      </c>
      <c r="I2108" s="8" t="s">
        <v>557</v>
      </c>
      <c r="J2108" s="8" t="s">
        <v>557</v>
      </c>
      <c r="K2108" s="8" t="s">
        <v>557</v>
      </c>
      <c r="L2108" s="8" t="s">
        <v>7071</v>
      </c>
      <c r="M2108" s="8" t="s">
        <v>7072</v>
      </c>
      <c r="N2108" s="8" t="s">
        <v>9770</v>
      </c>
      <c r="O2108" s="8">
        <f>5+43/60+13/3600</f>
        <v>5.7202777777777776</v>
      </c>
      <c r="P2108" s="8" t="s">
        <v>9771</v>
      </c>
      <c r="Q2108" s="8">
        <f>-(70+38/60+24/3600)</f>
        <v>-70.64</v>
      </c>
      <c r="R2108" s="8">
        <v>11.5</v>
      </c>
      <c r="S2108" s="8">
        <v>99</v>
      </c>
      <c r="T2108" s="8">
        <v>99</v>
      </c>
      <c r="U2108" s="8">
        <v>99</v>
      </c>
      <c r="V2108" s="8">
        <v>2.1</v>
      </c>
      <c r="Y2108" s="8" t="s">
        <v>9772</v>
      </c>
      <c r="Z2108" s="8" t="s">
        <v>9773</v>
      </c>
    </row>
    <row r="2109" spans="1:26" x14ac:dyDescent="0.2">
      <c r="A2109" s="8">
        <v>2108</v>
      </c>
      <c r="B2109" s="8" t="s">
        <v>9774</v>
      </c>
      <c r="C2109" s="8" t="s">
        <v>9774</v>
      </c>
      <c r="F2109" s="47"/>
      <c r="G2109" s="8">
        <v>16</v>
      </c>
      <c r="H2109" s="8" t="s">
        <v>21</v>
      </c>
      <c r="I2109" s="8" t="s">
        <v>557</v>
      </c>
      <c r="J2109" s="8" t="s">
        <v>557</v>
      </c>
      <c r="K2109" s="8" t="s">
        <v>557</v>
      </c>
      <c r="L2109" s="8" t="s">
        <v>55972</v>
      </c>
      <c r="M2109" s="8" t="s">
        <v>6970</v>
      </c>
      <c r="N2109" s="8" t="s">
        <v>9775</v>
      </c>
      <c r="O2109" s="8">
        <f>5+43/60+55.3/3600</f>
        <v>5.7320277777777777</v>
      </c>
      <c r="P2109" s="8" t="s">
        <v>9776</v>
      </c>
      <c r="Q2109" s="8">
        <f>-(69+10/60+51/3600)</f>
        <v>-69.180833333333339</v>
      </c>
      <c r="R2109" s="8">
        <v>12.8</v>
      </c>
      <c r="S2109" s="8">
        <v>12.9</v>
      </c>
      <c r="T2109" s="8">
        <v>99</v>
      </c>
      <c r="U2109" s="8">
        <v>99</v>
      </c>
      <c r="V2109" s="8">
        <v>2</v>
      </c>
      <c r="Y2109" s="8" t="s">
        <v>9777</v>
      </c>
      <c r="Z2109" s="8" t="s">
        <v>9778</v>
      </c>
    </row>
    <row r="2110" spans="1:26" x14ac:dyDescent="0.2">
      <c r="A2110" s="8">
        <v>2109</v>
      </c>
      <c r="B2110" s="8" t="s">
        <v>9779</v>
      </c>
      <c r="C2110" s="8" t="s">
        <v>9779</v>
      </c>
      <c r="F2110" s="47"/>
      <c r="G2110" s="8">
        <v>16</v>
      </c>
      <c r="H2110" s="8" t="s">
        <v>21</v>
      </c>
      <c r="I2110" s="8" t="s">
        <v>557</v>
      </c>
      <c r="J2110" s="8" t="s">
        <v>557</v>
      </c>
      <c r="K2110" s="8" t="s">
        <v>557</v>
      </c>
      <c r="L2110" s="8" t="s">
        <v>55972</v>
      </c>
      <c r="M2110" s="8" t="s">
        <v>6970</v>
      </c>
      <c r="N2110" s="8" t="s">
        <v>9780</v>
      </c>
      <c r="O2110" s="8">
        <f>5+44/60+23/3600</f>
        <v>5.7397222222222224</v>
      </c>
      <c r="P2110" s="8" t="s">
        <v>9781</v>
      </c>
      <c r="Q2110" s="8">
        <f>-(68+32/60+52/3600)</f>
        <v>-68.547777777777782</v>
      </c>
      <c r="R2110" s="8">
        <v>12.2</v>
      </c>
      <c r="S2110" s="8">
        <v>12.6</v>
      </c>
      <c r="T2110" s="8">
        <v>99</v>
      </c>
      <c r="U2110" s="8">
        <v>99</v>
      </c>
      <c r="V2110" s="8">
        <v>2</v>
      </c>
      <c r="Y2110" s="8" t="s">
        <v>7897</v>
      </c>
      <c r="Z2110" s="8" t="s">
        <v>7898</v>
      </c>
    </row>
    <row r="2111" spans="1:26" x14ac:dyDescent="0.2">
      <c r="A2111" s="8">
        <v>2110</v>
      </c>
      <c r="B2111" s="8" t="s">
        <v>9782</v>
      </c>
      <c r="C2111" s="8" t="s">
        <v>9782</v>
      </c>
      <c r="F2111" s="47" t="s">
        <v>56424</v>
      </c>
      <c r="G2111" s="8">
        <v>15</v>
      </c>
      <c r="H2111" s="8" t="s">
        <v>21</v>
      </c>
      <c r="I2111" s="8" t="s">
        <v>22</v>
      </c>
      <c r="J2111" s="8" t="s">
        <v>22</v>
      </c>
      <c r="K2111" s="8" t="s">
        <v>58</v>
      </c>
      <c r="L2111" s="8" t="s">
        <v>7698</v>
      </c>
      <c r="M2111" s="8" t="s">
        <v>7699</v>
      </c>
      <c r="N2111" s="8" t="s">
        <v>9783</v>
      </c>
      <c r="O2111" s="8">
        <f>5+52/60+11.2/3600</f>
        <v>5.8697777777777782</v>
      </c>
      <c r="P2111" s="8" t="s">
        <v>9784</v>
      </c>
      <c r="Q2111" s="8">
        <f>-(7+27/60+23/3600)</f>
        <v>-7.4563888888888892</v>
      </c>
      <c r="R2111" s="8">
        <v>12.5</v>
      </c>
      <c r="S2111" s="8">
        <v>13.5</v>
      </c>
      <c r="T2111" s="8">
        <v>1</v>
      </c>
      <c r="U2111" s="8">
        <v>13.3</v>
      </c>
      <c r="V2111" s="8">
        <v>1.7</v>
      </c>
      <c r="W2111" s="8">
        <v>1.2</v>
      </c>
      <c r="X2111" s="8">
        <v>173</v>
      </c>
      <c r="Y2111" s="8" t="s">
        <v>9785</v>
      </c>
      <c r="Z2111" s="8" t="s">
        <v>9786</v>
      </c>
    </row>
    <row r="2112" spans="1:26" x14ac:dyDescent="0.2">
      <c r="A2112" s="8">
        <v>2111</v>
      </c>
      <c r="B2112" s="8" t="s">
        <v>9787</v>
      </c>
      <c r="C2112" s="8" t="s">
        <v>9787</v>
      </c>
      <c r="F2112" s="47"/>
      <c r="G2112" s="8">
        <v>16</v>
      </c>
      <c r="H2112" s="8" t="s">
        <v>21</v>
      </c>
      <c r="I2112" s="8" t="s">
        <v>557</v>
      </c>
      <c r="J2112" s="8" t="s">
        <v>557</v>
      </c>
      <c r="K2112" s="8" t="s">
        <v>557</v>
      </c>
      <c r="L2112" s="8" t="s">
        <v>7071</v>
      </c>
      <c r="M2112" s="8" t="s">
        <v>7072</v>
      </c>
      <c r="N2112" s="8" t="s">
        <v>9788</v>
      </c>
      <c r="O2112" s="8">
        <f>5+44/60+33.1/3600</f>
        <v>5.7425277777777781</v>
      </c>
      <c r="P2112" s="8" t="s">
        <v>9789</v>
      </c>
      <c r="Q2112" s="8">
        <f>-(70+59/60+36/3600)</f>
        <v>-70.993333333333339</v>
      </c>
      <c r="R2112" s="8">
        <v>12.5</v>
      </c>
      <c r="S2112" s="8">
        <v>12.8</v>
      </c>
      <c r="T2112" s="8">
        <v>99</v>
      </c>
      <c r="U2112" s="8">
        <v>99</v>
      </c>
      <c r="V2112" s="8">
        <v>1.6</v>
      </c>
      <c r="Y2112" s="8" t="s">
        <v>750</v>
      </c>
      <c r="Z2112" s="8" t="s">
        <v>751</v>
      </c>
    </row>
    <row r="2113" spans="1:26" x14ac:dyDescent="0.2">
      <c r="A2113" s="8">
        <v>2112</v>
      </c>
      <c r="B2113" s="8" t="s">
        <v>9790</v>
      </c>
      <c r="C2113" s="8" t="s">
        <v>9790</v>
      </c>
      <c r="F2113" s="47" t="s">
        <v>56425</v>
      </c>
      <c r="G2113" s="8">
        <v>6.5</v>
      </c>
      <c r="H2113" s="8" t="s">
        <v>21</v>
      </c>
      <c r="I2113" s="8" t="s">
        <v>557</v>
      </c>
      <c r="J2113" s="8" t="s">
        <v>557</v>
      </c>
      <c r="K2113" s="8" t="s">
        <v>3170</v>
      </c>
      <c r="L2113" s="8" t="s">
        <v>7698</v>
      </c>
      <c r="M2113" s="8" t="s">
        <v>7699</v>
      </c>
      <c r="N2113" s="8" t="s">
        <v>9791</v>
      </c>
      <c r="O2113" s="8">
        <f>5+53/60+45.2/3600</f>
        <v>5.8958888888888881</v>
      </c>
      <c r="P2113" s="8" t="s">
        <v>9792</v>
      </c>
      <c r="Q2113" s="8">
        <f>+(0+24/60+39/3600)</f>
        <v>0.41083333333333338</v>
      </c>
      <c r="R2113" s="8">
        <v>9.1</v>
      </c>
      <c r="S2113" s="8">
        <v>99</v>
      </c>
      <c r="T2113" s="8">
        <v>99</v>
      </c>
      <c r="U2113" s="8">
        <v>99</v>
      </c>
      <c r="V2113" s="8">
        <v>18</v>
      </c>
      <c r="Y2113" s="8" t="s">
        <v>9793</v>
      </c>
      <c r="Z2113" s="8" t="s">
        <v>9794</v>
      </c>
    </row>
    <row r="2114" spans="1:26" x14ac:dyDescent="0.2">
      <c r="A2114" s="8">
        <v>2113</v>
      </c>
      <c r="B2114" s="8" t="s">
        <v>9795</v>
      </c>
      <c r="C2114" s="8" t="s">
        <v>9795</v>
      </c>
      <c r="F2114" s="47"/>
      <c r="G2114" s="8">
        <v>16</v>
      </c>
      <c r="H2114" s="8" t="s">
        <v>21</v>
      </c>
      <c r="I2114" s="8" t="s">
        <v>557</v>
      </c>
      <c r="J2114" s="8" t="s">
        <v>557</v>
      </c>
      <c r="K2114" s="8" t="s">
        <v>1816</v>
      </c>
      <c r="L2114" s="8" t="s">
        <v>55972</v>
      </c>
      <c r="M2114" s="8" t="s">
        <v>6970</v>
      </c>
      <c r="N2114" s="8" t="s">
        <v>9796</v>
      </c>
      <c r="O2114" s="8">
        <f>5+45/60+24.6/3600</f>
        <v>5.7568333333333337</v>
      </c>
      <c r="P2114" s="8" t="s">
        <v>9513</v>
      </c>
      <c r="Q2114" s="8">
        <f>-(69+46/60+27/3600)</f>
        <v>-69.774166666666659</v>
      </c>
      <c r="R2114" s="8">
        <v>12.3</v>
      </c>
      <c r="S2114" s="8">
        <v>99</v>
      </c>
      <c r="T2114" s="8">
        <v>99</v>
      </c>
      <c r="U2114" s="8">
        <v>99</v>
      </c>
      <c r="V2114" s="8">
        <v>1.8</v>
      </c>
      <c r="Y2114" s="8" t="s">
        <v>9797</v>
      </c>
      <c r="Z2114" s="8" t="s">
        <v>9798</v>
      </c>
    </row>
    <row r="2115" spans="1:26" x14ac:dyDescent="0.2">
      <c r="A2115" s="8">
        <v>2114</v>
      </c>
      <c r="B2115" s="8" t="s">
        <v>9799</v>
      </c>
      <c r="C2115" s="8" t="s">
        <v>9799</v>
      </c>
      <c r="F2115" s="47"/>
      <c r="G2115" s="8">
        <v>16</v>
      </c>
      <c r="H2115" s="8" t="s">
        <v>21</v>
      </c>
      <c r="I2115" s="8" t="s">
        <v>557</v>
      </c>
      <c r="J2115" s="8" t="s">
        <v>557</v>
      </c>
      <c r="K2115" s="8" t="s">
        <v>557</v>
      </c>
      <c r="L2115" s="8" t="s">
        <v>55972</v>
      </c>
      <c r="M2115" s="8" t="s">
        <v>6970</v>
      </c>
      <c r="N2115" s="8" t="s">
        <v>9800</v>
      </c>
      <c r="O2115" s="8">
        <f>5+46/60+12.2/3600</f>
        <v>5.7700555555555555</v>
      </c>
      <c r="P2115" s="8" t="s">
        <v>9801</v>
      </c>
      <c r="Q2115" s="8">
        <f>-(68+2/60+54/3600)</f>
        <v>-68.048333333333332</v>
      </c>
      <c r="R2115" s="8">
        <v>12.5</v>
      </c>
      <c r="S2115" s="8">
        <v>12.6</v>
      </c>
      <c r="T2115" s="8">
        <v>99</v>
      </c>
      <c r="U2115" s="8">
        <v>99</v>
      </c>
      <c r="V2115" s="8">
        <v>1</v>
      </c>
      <c r="Y2115" s="8" t="s">
        <v>2792</v>
      </c>
      <c r="Z2115" s="8" t="s">
        <v>2793</v>
      </c>
    </row>
    <row r="2116" spans="1:26" x14ac:dyDescent="0.2">
      <c r="A2116" s="8">
        <v>2115</v>
      </c>
      <c r="B2116" s="8" t="s">
        <v>9802</v>
      </c>
      <c r="C2116" s="8" t="s">
        <v>9802</v>
      </c>
      <c r="D2116" s="8" t="s">
        <v>351</v>
      </c>
      <c r="F2116" s="47"/>
      <c r="G2116" s="8">
        <v>16</v>
      </c>
      <c r="H2116" s="8" t="s">
        <v>21</v>
      </c>
      <c r="I2116" s="8" t="s">
        <v>22</v>
      </c>
      <c r="J2116" s="8" t="s">
        <v>22</v>
      </c>
      <c r="K2116" s="8" t="s">
        <v>632</v>
      </c>
      <c r="L2116" s="8" t="s">
        <v>7782</v>
      </c>
      <c r="M2116" s="8" t="s">
        <v>7783</v>
      </c>
      <c r="N2116" s="8" t="s">
        <v>9803</v>
      </c>
      <c r="O2116" s="8">
        <f>5+51/60+19.8/3600</f>
        <v>5.8554999999999993</v>
      </c>
      <c r="P2116" s="8" t="s">
        <v>9804</v>
      </c>
      <c r="Q2116" s="8">
        <f>-(50+35/60+0/3600)</f>
        <v>-50.583333333333336</v>
      </c>
      <c r="R2116" s="8">
        <v>13</v>
      </c>
      <c r="S2116" s="8">
        <v>13.9</v>
      </c>
      <c r="T2116" s="8">
        <v>0.9</v>
      </c>
      <c r="U2116" s="8">
        <v>12.3</v>
      </c>
      <c r="V2116" s="8">
        <v>0.8</v>
      </c>
      <c r="W2116" s="8">
        <v>0.7</v>
      </c>
      <c r="X2116" s="8">
        <v>50</v>
      </c>
      <c r="Y2116" s="8" t="s">
        <v>21</v>
      </c>
      <c r="Z2116" s="8" t="s">
        <v>9805</v>
      </c>
    </row>
    <row r="2117" spans="1:26" x14ac:dyDescent="0.2">
      <c r="A2117" s="8">
        <v>2116</v>
      </c>
      <c r="B2117" s="8" t="s">
        <v>9806</v>
      </c>
      <c r="C2117" s="8" t="s">
        <v>9806</v>
      </c>
      <c r="F2117" s="47"/>
      <c r="G2117" s="8">
        <v>16</v>
      </c>
      <c r="H2117" s="8" t="s">
        <v>21</v>
      </c>
      <c r="I2117" s="8" t="s">
        <v>557</v>
      </c>
      <c r="J2117" s="8" t="s">
        <v>557</v>
      </c>
      <c r="K2117" s="8" t="s">
        <v>557</v>
      </c>
      <c r="L2117" s="8" t="s">
        <v>55972</v>
      </c>
      <c r="M2117" s="8" t="s">
        <v>6970</v>
      </c>
      <c r="N2117" s="8" t="s">
        <v>9807</v>
      </c>
      <c r="O2117" s="8">
        <f>5+47/60+15.2/3600</f>
        <v>5.7875555555555556</v>
      </c>
      <c r="P2117" s="8" t="s">
        <v>9808</v>
      </c>
      <c r="Q2117" s="8">
        <f>-(68+30/60+29/3600)</f>
        <v>-68.508055555555558</v>
      </c>
      <c r="R2117" s="8">
        <v>12.9</v>
      </c>
      <c r="S2117" s="8">
        <v>13.2</v>
      </c>
      <c r="T2117" s="8">
        <v>99</v>
      </c>
      <c r="U2117" s="8">
        <v>99</v>
      </c>
      <c r="V2117" s="8">
        <v>1</v>
      </c>
      <c r="Y2117" s="8" t="s">
        <v>9809</v>
      </c>
      <c r="Z2117" s="8" t="s">
        <v>9810</v>
      </c>
    </row>
    <row r="2118" spans="1:26" x14ac:dyDescent="0.2">
      <c r="A2118" s="8">
        <v>2117</v>
      </c>
      <c r="B2118" s="8" t="s">
        <v>9811</v>
      </c>
      <c r="C2118" s="8" t="s">
        <v>9811</v>
      </c>
      <c r="F2118" s="47"/>
      <c r="G2118" s="8">
        <v>16</v>
      </c>
      <c r="H2118" s="8" t="s">
        <v>21</v>
      </c>
      <c r="I2118" s="8" t="s">
        <v>557</v>
      </c>
      <c r="J2118" s="8" t="s">
        <v>557</v>
      </c>
      <c r="K2118" s="8" t="s">
        <v>557</v>
      </c>
      <c r="L2118" s="8" t="s">
        <v>55972</v>
      </c>
      <c r="M2118" s="8" t="s">
        <v>6970</v>
      </c>
      <c r="N2118" s="8" t="s">
        <v>9812</v>
      </c>
      <c r="O2118" s="8">
        <f>5+47/60+46/3600</f>
        <v>5.7961111111111112</v>
      </c>
      <c r="P2118" s="8" t="s">
        <v>9813</v>
      </c>
      <c r="Q2118" s="8">
        <f>-(67+27/60+1/3600)</f>
        <v>-67.450277777777785</v>
      </c>
      <c r="R2118" s="8">
        <v>12.7</v>
      </c>
      <c r="S2118" s="8">
        <v>12</v>
      </c>
      <c r="T2118" s="8">
        <v>99</v>
      </c>
      <c r="U2118" s="8">
        <v>99</v>
      </c>
      <c r="V2118" s="8">
        <v>1.3</v>
      </c>
      <c r="Y2118" s="8" t="s">
        <v>9814</v>
      </c>
      <c r="Z2118" s="8" t="s">
        <v>9815</v>
      </c>
    </row>
    <row r="2119" spans="1:26" x14ac:dyDescent="0.2">
      <c r="A2119" s="8">
        <v>2118</v>
      </c>
      <c r="B2119" s="8" t="s">
        <v>9816</v>
      </c>
      <c r="C2119" s="8" t="s">
        <v>9816</v>
      </c>
      <c r="F2119" s="47"/>
      <c r="G2119" s="8">
        <v>16</v>
      </c>
      <c r="H2119" s="8" t="s">
        <v>21</v>
      </c>
      <c r="I2119" s="8" t="s">
        <v>557</v>
      </c>
      <c r="J2119" s="8" t="s">
        <v>557</v>
      </c>
      <c r="K2119" s="8" t="s">
        <v>557</v>
      </c>
      <c r="L2119" s="8" t="s">
        <v>55972</v>
      </c>
      <c r="M2119" s="8" t="s">
        <v>6970</v>
      </c>
      <c r="N2119" s="8" t="s">
        <v>9817</v>
      </c>
      <c r="O2119" s="8">
        <f>5+47/60+39.6/3600</f>
        <v>5.7943333333333333</v>
      </c>
      <c r="P2119" s="8" t="s">
        <v>9818</v>
      </c>
      <c r="Q2119" s="8">
        <f>-(69+7/60+55/3600)</f>
        <v>-69.131944444444443</v>
      </c>
      <c r="R2119" s="8">
        <v>12</v>
      </c>
      <c r="S2119" s="8">
        <v>99</v>
      </c>
      <c r="T2119" s="8">
        <v>99</v>
      </c>
      <c r="U2119" s="8">
        <v>99</v>
      </c>
      <c r="V2119" s="8">
        <v>1.3</v>
      </c>
      <c r="Y2119" s="8" t="s">
        <v>9819</v>
      </c>
      <c r="Z2119" s="8" t="s">
        <v>9820</v>
      </c>
    </row>
    <row r="2120" spans="1:26" x14ac:dyDescent="0.2">
      <c r="A2120" s="8">
        <v>2119</v>
      </c>
      <c r="B2120" s="8" t="s">
        <v>9821</v>
      </c>
      <c r="C2120" s="8" t="s">
        <v>9821</v>
      </c>
      <c r="F2120" s="47"/>
      <c r="G2120" s="8">
        <v>19</v>
      </c>
      <c r="H2120" s="8" t="s">
        <v>21</v>
      </c>
      <c r="I2120" s="8" t="s">
        <v>22</v>
      </c>
      <c r="J2120" s="8" t="s">
        <v>22</v>
      </c>
      <c r="K2120" s="8" t="s">
        <v>1136</v>
      </c>
      <c r="L2120" s="8" t="s">
        <v>7698</v>
      </c>
      <c r="M2120" s="8" t="s">
        <v>7699</v>
      </c>
      <c r="N2120" s="8" t="s">
        <v>9822</v>
      </c>
      <c r="O2120" s="8">
        <f>5+57/60+26.9/3600</f>
        <v>5.9574722222222221</v>
      </c>
      <c r="P2120" s="8" t="s">
        <v>9823</v>
      </c>
      <c r="Q2120" s="8">
        <f>+(11+56/60+56/3600)</f>
        <v>11.94888888888889</v>
      </c>
      <c r="R2120" s="8">
        <v>14</v>
      </c>
      <c r="S2120" s="8">
        <v>15</v>
      </c>
      <c r="T2120" s="8">
        <v>1</v>
      </c>
      <c r="U2120" s="8">
        <v>13.9</v>
      </c>
      <c r="V2120" s="8">
        <v>1.2</v>
      </c>
      <c r="W2120" s="8">
        <v>1</v>
      </c>
      <c r="X2120" s="8">
        <v>145</v>
      </c>
      <c r="Y2120" s="8" t="s">
        <v>3952</v>
      </c>
      <c r="Z2120" s="8" t="s">
        <v>3953</v>
      </c>
    </row>
    <row r="2121" spans="1:26" x14ac:dyDescent="0.2">
      <c r="A2121" s="8">
        <v>2120</v>
      </c>
      <c r="B2121" s="8" t="s">
        <v>9824</v>
      </c>
      <c r="C2121" s="8" t="s">
        <v>9824</v>
      </c>
      <c r="F2121" s="47"/>
      <c r="G2121" s="8">
        <v>16</v>
      </c>
      <c r="H2121" s="8" t="s">
        <v>21</v>
      </c>
      <c r="I2121" s="8" t="s">
        <v>557</v>
      </c>
      <c r="J2121" s="8" t="s">
        <v>557</v>
      </c>
      <c r="K2121" s="8" t="s">
        <v>557</v>
      </c>
      <c r="L2121" s="8" t="s">
        <v>55972</v>
      </c>
      <c r="M2121" s="8" t="s">
        <v>6970</v>
      </c>
      <c r="N2121" s="8" t="s">
        <v>9825</v>
      </c>
      <c r="O2121" s="8">
        <f>5+50/60+34.8/3600</f>
        <v>5.843</v>
      </c>
      <c r="P2121" s="8" t="s">
        <v>9826</v>
      </c>
      <c r="Q2121" s="8">
        <f>-(63+40/60+30/3600)</f>
        <v>-63.674999999999997</v>
      </c>
      <c r="R2121" s="8">
        <v>12.7</v>
      </c>
      <c r="S2121" s="8">
        <v>13.3</v>
      </c>
      <c r="T2121" s="8">
        <v>99</v>
      </c>
      <c r="U2121" s="8">
        <v>99</v>
      </c>
      <c r="V2121" s="8">
        <v>2</v>
      </c>
      <c r="Y2121" s="8" t="s">
        <v>6892</v>
      </c>
      <c r="Z2121" s="8" t="s">
        <v>6893</v>
      </c>
    </row>
    <row r="2122" spans="1:26" x14ac:dyDescent="0.2">
      <c r="A2122" s="8">
        <v>2121</v>
      </c>
      <c r="B2122" s="8" t="s">
        <v>9827</v>
      </c>
      <c r="C2122" s="8" t="s">
        <v>9827</v>
      </c>
      <c r="F2122" s="47"/>
      <c r="G2122" s="8">
        <v>16</v>
      </c>
      <c r="H2122" s="8" t="s">
        <v>21</v>
      </c>
      <c r="I2122" s="8" t="s">
        <v>557</v>
      </c>
      <c r="J2122" s="8" t="s">
        <v>557</v>
      </c>
      <c r="K2122" s="8" t="s">
        <v>557</v>
      </c>
      <c r="L2122" s="8" t="s">
        <v>7071</v>
      </c>
      <c r="M2122" s="8" t="s">
        <v>7072</v>
      </c>
      <c r="N2122" s="8" t="s">
        <v>9828</v>
      </c>
      <c r="O2122" s="8">
        <f>5+48/60+12.4/3600</f>
        <v>5.8034444444444446</v>
      </c>
      <c r="P2122" s="8" t="s">
        <v>9829</v>
      </c>
      <c r="Q2122" s="8">
        <f>-(71+28/60+52/3600)</f>
        <v>-71.481111111111119</v>
      </c>
      <c r="R2122" s="8">
        <v>12.4</v>
      </c>
      <c r="S2122" s="8">
        <v>13.2</v>
      </c>
      <c r="T2122" s="8">
        <v>99</v>
      </c>
      <c r="U2122" s="8">
        <v>99</v>
      </c>
      <c r="V2122" s="8">
        <v>2.7</v>
      </c>
      <c r="Y2122" s="8" t="s">
        <v>9830</v>
      </c>
      <c r="Z2122" s="8" t="s">
        <v>9831</v>
      </c>
    </row>
    <row r="2123" spans="1:26" x14ac:dyDescent="0.2">
      <c r="A2123" s="8">
        <v>2122</v>
      </c>
      <c r="B2123" s="8" t="s">
        <v>9832</v>
      </c>
      <c r="C2123" s="8" t="s">
        <v>9832</v>
      </c>
      <c r="F2123" s="47"/>
      <c r="G2123" s="8">
        <v>16</v>
      </c>
      <c r="H2123" s="8" t="s">
        <v>21</v>
      </c>
      <c r="I2123" s="8" t="s">
        <v>557</v>
      </c>
      <c r="J2123" s="8" t="s">
        <v>557</v>
      </c>
      <c r="K2123" s="8" t="s">
        <v>1816</v>
      </c>
      <c r="L2123" s="8" t="s">
        <v>7071</v>
      </c>
      <c r="M2123" s="8" t="s">
        <v>7072</v>
      </c>
      <c r="N2123" s="8" t="s">
        <v>9833</v>
      </c>
      <c r="O2123" s="8">
        <f>5+48/60+52.6/3600</f>
        <v>5.8146111111111107</v>
      </c>
      <c r="P2123" s="8" t="s">
        <v>9834</v>
      </c>
      <c r="Q2123" s="8">
        <f>-(70+4/60+12/3600)</f>
        <v>-70.069999999999993</v>
      </c>
      <c r="R2123" s="8">
        <v>10.4</v>
      </c>
      <c r="S2123" s="8">
        <v>99</v>
      </c>
      <c r="T2123" s="8">
        <v>99</v>
      </c>
      <c r="U2123" s="8">
        <v>99</v>
      </c>
      <c r="V2123" s="8">
        <v>4.5</v>
      </c>
      <c r="Y2123" s="8" t="s">
        <v>21</v>
      </c>
      <c r="Z2123" s="8" t="s">
        <v>9835</v>
      </c>
    </row>
    <row r="2124" spans="1:26" x14ac:dyDescent="0.2">
      <c r="A2124" s="8">
        <v>2123</v>
      </c>
      <c r="B2124" s="8" t="s">
        <v>9836</v>
      </c>
      <c r="C2124" s="8" t="s">
        <v>9836</v>
      </c>
      <c r="F2124" s="47"/>
      <c r="G2124" s="8">
        <v>16</v>
      </c>
      <c r="H2124" s="8" t="s">
        <v>21</v>
      </c>
      <c r="I2124" s="8" t="s">
        <v>557</v>
      </c>
      <c r="J2124" s="8" t="s">
        <v>557</v>
      </c>
      <c r="K2124" s="8" t="s">
        <v>557</v>
      </c>
      <c r="L2124" s="8" t="s">
        <v>55972</v>
      </c>
      <c r="M2124" s="8" t="s">
        <v>6970</v>
      </c>
      <c r="N2124" s="8" t="s">
        <v>9837</v>
      </c>
      <c r="O2124" s="8">
        <f>5+51/60+43.4/3600</f>
        <v>5.8620555555555551</v>
      </c>
      <c r="P2124" s="8" t="s">
        <v>9838</v>
      </c>
      <c r="Q2124" s="8">
        <f>-(65+19/60+18/3600)</f>
        <v>-65.321666666666658</v>
      </c>
      <c r="R2124" s="8">
        <v>12.6</v>
      </c>
      <c r="S2124" s="8">
        <v>12.8</v>
      </c>
      <c r="T2124" s="8">
        <v>99</v>
      </c>
      <c r="U2124" s="8">
        <v>99</v>
      </c>
      <c r="V2124" s="8">
        <v>1.2</v>
      </c>
      <c r="Y2124" s="8" t="s">
        <v>9839</v>
      </c>
      <c r="Z2124" s="8" t="s">
        <v>9840</v>
      </c>
    </row>
    <row r="2125" spans="1:26" x14ac:dyDescent="0.2">
      <c r="A2125" s="8">
        <v>2124</v>
      </c>
      <c r="B2125" s="8" t="s">
        <v>9841</v>
      </c>
      <c r="C2125" s="8" t="s">
        <v>9841</v>
      </c>
      <c r="F2125" s="47" t="s">
        <v>56426</v>
      </c>
      <c r="G2125" s="8">
        <v>15</v>
      </c>
      <c r="H2125" s="8" t="s">
        <v>21</v>
      </c>
      <c r="I2125" s="8" t="s">
        <v>22</v>
      </c>
      <c r="J2125" s="8" t="s">
        <v>22</v>
      </c>
      <c r="K2125" s="8" t="s">
        <v>23</v>
      </c>
      <c r="L2125" s="8" t="s">
        <v>7915</v>
      </c>
      <c r="M2125" s="8" t="s">
        <v>7916</v>
      </c>
      <c r="N2125" s="8" t="s">
        <v>9842</v>
      </c>
      <c r="O2125" s="8">
        <f>5+57/60+52.3/3600</f>
        <v>5.9645277777777777</v>
      </c>
      <c r="P2125" s="8" t="s">
        <v>9843</v>
      </c>
      <c r="Q2125" s="8">
        <f>-(20+5/60+6/3600)</f>
        <v>-20.084999999999997</v>
      </c>
      <c r="R2125" s="8">
        <v>12.2</v>
      </c>
      <c r="S2125" s="8">
        <v>13</v>
      </c>
      <c r="T2125" s="8">
        <v>0.8</v>
      </c>
      <c r="U2125" s="8">
        <v>12.9</v>
      </c>
      <c r="V2125" s="8">
        <v>2.7</v>
      </c>
      <c r="W2125" s="8">
        <v>0.9</v>
      </c>
      <c r="X2125" s="8">
        <v>5</v>
      </c>
      <c r="Y2125" s="8" t="s">
        <v>9844</v>
      </c>
      <c r="Z2125" s="8" t="s">
        <v>9845</v>
      </c>
    </row>
    <row r="2126" spans="1:26" x14ac:dyDescent="0.2">
      <c r="A2126" s="8">
        <v>2125</v>
      </c>
      <c r="B2126" s="8" t="s">
        <v>9846</v>
      </c>
      <c r="C2126" s="8" t="s">
        <v>9846</v>
      </c>
      <c r="F2126" s="47"/>
      <c r="G2126" s="8">
        <v>16</v>
      </c>
      <c r="H2126" s="8" t="s">
        <v>21</v>
      </c>
      <c r="I2126" s="8" t="s">
        <v>557</v>
      </c>
      <c r="J2126" s="8" t="s">
        <v>557</v>
      </c>
      <c r="K2126" s="8" t="s">
        <v>557</v>
      </c>
      <c r="L2126" s="8" t="s">
        <v>55972</v>
      </c>
      <c r="M2126" s="8" t="s">
        <v>6970</v>
      </c>
      <c r="N2126" s="8" t="s">
        <v>9847</v>
      </c>
      <c r="O2126" s="8">
        <f>5+50/60+54.3/3600</f>
        <v>5.8484166666666662</v>
      </c>
      <c r="P2126" s="8" t="s">
        <v>9848</v>
      </c>
      <c r="Q2126" s="8">
        <f>-(69+28/60+45/3600)</f>
        <v>-69.479166666666671</v>
      </c>
      <c r="R2126" s="8">
        <v>99</v>
      </c>
      <c r="S2126" s="8">
        <v>99</v>
      </c>
      <c r="T2126" s="8">
        <v>99</v>
      </c>
      <c r="U2126" s="8">
        <v>99</v>
      </c>
      <c r="V2126" s="8">
        <v>1</v>
      </c>
      <c r="Y2126" s="8" t="s">
        <v>2304</v>
      </c>
      <c r="Z2126" s="8" t="s">
        <v>2305</v>
      </c>
    </row>
    <row r="2127" spans="1:26" x14ac:dyDescent="0.2">
      <c r="A2127" s="8">
        <v>2126</v>
      </c>
      <c r="B2127" s="8" t="s">
        <v>9849</v>
      </c>
      <c r="C2127" s="8" t="s">
        <v>9849</v>
      </c>
      <c r="F2127" s="47" t="s">
        <v>56427</v>
      </c>
      <c r="G2127" s="8">
        <v>6</v>
      </c>
      <c r="H2127" s="8" t="s">
        <v>21</v>
      </c>
      <c r="I2127" s="8" t="s">
        <v>557</v>
      </c>
      <c r="J2127" s="8" t="s">
        <v>557</v>
      </c>
      <c r="K2127" s="8" t="s">
        <v>3602</v>
      </c>
      <c r="L2127" s="8" t="s">
        <v>7717</v>
      </c>
      <c r="M2127" s="8" t="s">
        <v>7718</v>
      </c>
      <c r="N2127" s="8" t="s">
        <v>9850</v>
      </c>
      <c r="O2127" s="8">
        <f>6+2/60+32.9/3600</f>
        <v>6.042472222222222</v>
      </c>
      <c r="P2127" s="8" t="s">
        <v>9851</v>
      </c>
      <c r="Q2127" s="8">
        <f>+(49+51/60+57/3600)</f>
        <v>49.865833333333335</v>
      </c>
      <c r="R2127" s="8">
        <v>10.199999999999999</v>
      </c>
      <c r="S2127" s="8">
        <v>99</v>
      </c>
      <c r="T2127" s="8">
        <v>99</v>
      </c>
      <c r="U2127" s="8">
        <v>99</v>
      </c>
      <c r="V2127" s="8">
        <v>6</v>
      </c>
      <c r="Y2127" s="8" t="s">
        <v>21</v>
      </c>
      <c r="Z2127" s="8" t="s">
        <v>9852</v>
      </c>
    </row>
    <row r="2128" spans="1:26" x14ac:dyDescent="0.2">
      <c r="A2128" s="8">
        <v>2127</v>
      </c>
      <c r="B2128" s="8" t="s">
        <v>9853</v>
      </c>
      <c r="C2128" s="8" t="s">
        <v>9853</v>
      </c>
      <c r="F2128" s="47"/>
      <c r="G2128" s="8">
        <v>16</v>
      </c>
      <c r="H2128" s="8" t="s">
        <v>21</v>
      </c>
      <c r="I2128" s="8" t="s">
        <v>557</v>
      </c>
      <c r="J2128" s="8" t="s">
        <v>557</v>
      </c>
      <c r="K2128" s="8" t="s">
        <v>557</v>
      </c>
      <c r="L2128" s="8" t="s">
        <v>55972</v>
      </c>
      <c r="M2128" s="8" t="s">
        <v>6970</v>
      </c>
      <c r="N2128" s="8" t="s">
        <v>9854</v>
      </c>
      <c r="O2128" s="8">
        <f>5+51/60+22.4/3600</f>
        <v>5.8562222222222218</v>
      </c>
      <c r="P2128" s="8" t="s">
        <v>9855</v>
      </c>
      <c r="Q2128" s="8">
        <f>-(69+21/60+41/3600)</f>
        <v>-69.361388888888882</v>
      </c>
      <c r="R2128" s="8">
        <v>11.6</v>
      </c>
      <c r="S2128" s="8">
        <v>12</v>
      </c>
      <c r="T2128" s="8">
        <v>99</v>
      </c>
      <c r="U2128" s="8">
        <v>99</v>
      </c>
      <c r="V2128" s="8">
        <v>1.2</v>
      </c>
      <c r="Y2128" s="8" t="s">
        <v>9856</v>
      </c>
      <c r="Z2128" s="8" t="s">
        <v>9857</v>
      </c>
    </row>
    <row r="2129" spans="1:26" x14ac:dyDescent="0.2">
      <c r="A2129" s="8">
        <v>2128</v>
      </c>
      <c r="B2129" s="8" t="s">
        <v>9858</v>
      </c>
      <c r="C2129" s="8" t="s">
        <v>9858</v>
      </c>
      <c r="F2129" s="47"/>
      <c r="G2129" s="8">
        <v>19</v>
      </c>
      <c r="H2129" s="8" t="s">
        <v>21</v>
      </c>
      <c r="I2129" s="8" t="s">
        <v>22</v>
      </c>
      <c r="J2129" s="8" t="s">
        <v>22</v>
      </c>
      <c r="K2129" s="8" t="s">
        <v>58</v>
      </c>
      <c r="L2129" s="8" t="s">
        <v>6823</v>
      </c>
      <c r="M2129" s="8" t="s">
        <v>6824</v>
      </c>
      <c r="N2129" s="8" t="s">
        <v>9859</v>
      </c>
      <c r="O2129" s="8">
        <f>6+4/60+34/3600</f>
        <v>6.0761111111111106</v>
      </c>
      <c r="P2129" s="8" t="s">
        <v>9860</v>
      </c>
      <c r="Q2129" s="8">
        <f>+(57+37/60+39/3600)</f>
        <v>57.627499999999998</v>
      </c>
      <c r="R2129" s="8">
        <v>12.6</v>
      </c>
      <c r="S2129" s="8">
        <v>13.6</v>
      </c>
      <c r="T2129" s="8">
        <v>1</v>
      </c>
      <c r="U2129" s="8">
        <v>13.2</v>
      </c>
      <c r="V2129" s="8">
        <v>1.5</v>
      </c>
      <c r="W2129" s="8">
        <v>1.1000000000000001</v>
      </c>
      <c r="X2129" s="8">
        <v>60</v>
      </c>
      <c r="Y2129" s="8" t="s">
        <v>6737</v>
      </c>
      <c r="Z2129" s="8" t="s">
        <v>6738</v>
      </c>
    </row>
    <row r="2130" spans="1:26" x14ac:dyDescent="0.2">
      <c r="A2130" s="8">
        <v>2129</v>
      </c>
      <c r="B2130" s="8" t="s">
        <v>9861</v>
      </c>
      <c r="C2130" s="8" t="s">
        <v>9861</v>
      </c>
      <c r="F2130" s="47" t="s">
        <v>56428</v>
      </c>
      <c r="G2130" s="8">
        <v>5</v>
      </c>
      <c r="H2130" s="8" t="s">
        <v>21</v>
      </c>
      <c r="I2130" s="8" t="s">
        <v>557</v>
      </c>
      <c r="J2130" s="8" t="s">
        <v>557</v>
      </c>
      <c r="K2130" s="8" t="s">
        <v>6255</v>
      </c>
      <c r="L2130" s="8" t="s">
        <v>9862</v>
      </c>
      <c r="M2130" s="8" t="s">
        <v>9863</v>
      </c>
      <c r="N2130" s="8" t="s">
        <v>9864</v>
      </c>
      <c r="O2130" s="8">
        <f>6+1/60+6.5/3600</f>
        <v>6.018472222222222</v>
      </c>
      <c r="P2130" s="8" t="s">
        <v>9865</v>
      </c>
      <c r="Q2130" s="8">
        <f>+(23+19/60+4/3600)</f>
        <v>23.317777777777778</v>
      </c>
      <c r="R2130" s="8">
        <v>6.7</v>
      </c>
      <c r="S2130" s="8">
        <v>99</v>
      </c>
      <c r="T2130" s="8">
        <v>99</v>
      </c>
      <c r="U2130" s="8">
        <v>99</v>
      </c>
      <c r="V2130" s="8">
        <v>6</v>
      </c>
      <c r="Y2130" s="8" t="s">
        <v>21</v>
      </c>
      <c r="Z2130" s="8" t="s">
        <v>9866</v>
      </c>
    </row>
    <row r="2131" spans="1:26" x14ac:dyDescent="0.2">
      <c r="A2131" s="8">
        <v>2130</v>
      </c>
      <c r="B2131" s="8" t="s">
        <v>9867</v>
      </c>
      <c r="C2131" s="8" t="s">
        <v>9867</v>
      </c>
      <c r="F2131" s="47"/>
      <c r="G2131" s="8">
        <v>16</v>
      </c>
      <c r="H2131" s="8" t="s">
        <v>21</v>
      </c>
      <c r="I2131" s="8" t="s">
        <v>557</v>
      </c>
      <c r="J2131" s="8" t="s">
        <v>557</v>
      </c>
      <c r="K2131" s="8" t="s">
        <v>557</v>
      </c>
      <c r="L2131" s="8" t="s">
        <v>55972</v>
      </c>
      <c r="M2131" s="8" t="s">
        <v>6970</v>
      </c>
      <c r="N2131" s="8" t="s">
        <v>9868</v>
      </c>
      <c r="O2131" s="8">
        <f>5+52/60+23.8/3600</f>
        <v>5.873277777777778</v>
      </c>
      <c r="P2131" s="8" t="s">
        <v>9869</v>
      </c>
      <c r="Q2131" s="8">
        <f>-(67+20/60+3/3600)</f>
        <v>-67.334166666666661</v>
      </c>
      <c r="R2131" s="8">
        <v>12</v>
      </c>
      <c r="S2131" s="8">
        <v>12.4</v>
      </c>
      <c r="T2131" s="8">
        <v>99</v>
      </c>
      <c r="U2131" s="8">
        <v>99</v>
      </c>
      <c r="V2131" s="8">
        <v>1.2</v>
      </c>
      <c r="Y2131" s="8" t="s">
        <v>5172</v>
      </c>
      <c r="Z2131" s="8" t="s">
        <v>5173</v>
      </c>
    </row>
    <row r="2132" spans="1:26" x14ac:dyDescent="0.2">
      <c r="A2132" s="8">
        <v>2131</v>
      </c>
      <c r="B2132" s="8" t="s">
        <v>9870</v>
      </c>
      <c r="C2132" s="8" t="s">
        <v>9870</v>
      </c>
      <c r="F2132" s="47"/>
      <c r="G2132" s="8">
        <v>16</v>
      </c>
      <c r="H2132" s="8" t="s">
        <v>21</v>
      </c>
      <c r="I2132" s="8" t="s">
        <v>22</v>
      </c>
      <c r="J2132" s="8" t="s">
        <v>22</v>
      </c>
      <c r="K2132" s="8" t="s">
        <v>107</v>
      </c>
      <c r="L2132" s="8" t="s">
        <v>7915</v>
      </c>
      <c r="M2132" s="8" t="s">
        <v>7916</v>
      </c>
      <c r="N2132" s="8" t="s">
        <v>9871</v>
      </c>
      <c r="O2132" s="8">
        <f>5+58/60+47.2/3600</f>
        <v>5.9797777777777776</v>
      </c>
      <c r="P2132" s="8" t="s">
        <v>9872</v>
      </c>
      <c r="Q2132" s="8">
        <f>-(26+39/60+11/3600)</f>
        <v>-26.653055555555554</v>
      </c>
      <c r="R2132" s="8">
        <v>14</v>
      </c>
      <c r="S2132" s="8">
        <v>14.6</v>
      </c>
      <c r="T2132" s="8">
        <v>0.6</v>
      </c>
      <c r="U2132" s="8">
        <v>13.2</v>
      </c>
      <c r="V2132" s="8">
        <v>1.1000000000000001</v>
      </c>
      <c r="W2132" s="8">
        <v>0.5</v>
      </c>
      <c r="X2132" s="8">
        <v>118</v>
      </c>
      <c r="Y2132" s="8" t="s">
        <v>2304</v>
      </c>
      <c r="Z2132" s="8" t="s">
        <v>2305</v>
      </c>
    </row>
    <row r="2133" spans="1:26" x14ac:dyDescent="0.2">
      <c r="A2133" s="8">
        <v>2132</v>
      </c>
      <c r="B2133" s="8" t="s">
        <v>9873</v>
      </c>
      <c r="C2133" s="8" t="s">
        <v>9873</v>
      </c>
      <c r="F2133" s="47"/>
      <c r="G2133" s="8">
        <v>16</v>
      </c>
      <c r="H2133" s="8" t="s">
        <v>21</v>
      </c>
      <c r="I2133" s="8" t="s">
        <v>72</v>
      </c>
      <c r="J2133" s="8" t="s">
        <v>72</v>
      </c>
      <c r="K2133" s="8" t="s">
        <v>1405</v>
      </c>
      <c r="L2133" s="8" t="s">
        <v>7782</v>
      </c>
      <c r="M2133" s="8" t="s">
        <v>7783</v>
      </c>
      <c r="N2133" s="8" t="s">
        <v>9874</v>
      </c>
      <c r="O2133" s="8">
        <f>5+55/60+9.1/3600</f>
        <v>5.9191944444444449</v>
      </c>
      <c r="P2133" s="8" t="s">
        <v>9875</v>
      </c>
      <c r="Q2133" s="8">
        <f>-(59+54/60+37/3600)</f>
        <v>-59.910277777777779</v>
      </c>
      <c r="R2133" s="8">
        <v>99</v>
      </c>
      <c r="S2133" s="8">
        <v>99</v>
      </c>
      <c r="T2133" s="8">
        <v>99</v>
      </c>
      <c r="U2133" s="8">
        <v>99</v>
      </c>
      <c r="V2133" s="8">
        <v>45</v>
      </c>
      <c r="Y2133" s="8" t="s">
        <v>9876</v>
      </c>
      <c r="Z2133" s="8" t="s">
        <v>9877</v>
      </c>
    </row>
    <row r="2134" spans="1:26" x14ac:dyDescent="0.2">
      <c r="A2134" s="8">
        <v>2133</v>
      </c>
      <c r="B2134" s="8" t="s">
        <v>9878</v>
      </c>
      <c r="C2134" s="8" t="s">
        <v>9878</v>
      </c>
      <c r="F2134" s="47"/>
      <c r="G2134" s="8">
        <v>16</v>
      </c>
      <c r="H2134" s="8" t="s">
        <v>21</v>
      </c>
      <c r="I2134" s="8" t="s">
        <v>557</v>
      </c>
      <c r="J2134" s="8" t="s">
        <v>557</v>
      </c>
      <c r="K2134" s="8" t="s">
        <v>557</v>
      </c>
      <c r="L2134" s="8" t="s">
        <v>7071</v>
      </c>
      <c r="M2134" s="8" t="s">
        <v>7072</v>
      </c>
      <c r="N2134" s="8" t="s">
        <v>9879</v>
      </c>
      <c r="O2134" s="8">
        <f>5+51/60+28.8/3600</f>
        <v>5.8579999999999997</v>
      </c>
      <c r="P2134" s="8" t="s">
        <v>9880</v>
      </c>
      <c r="Q2134" s="8">
        <f>-(71+10/60+30/3600)</f>
        <v>-71.175000000000011</v>
      </c>
      <c r="R2134" s="8">
        <v>99</v>
      </c>
      <c r="S2134" s="8">
        <v>12</v>
      </c>
      <c r="T2134" s="8">
        <v>99</v>
      </c>
      <c r="U2134" s="8">
        <v>99</v>
      </c>
      <c r="V2134" s="8">
        <v>1.7</v>
      </c>
      <c r="Y2134" s="8" t="s">
        <v>9881</v>
      </c>
      <c r="Z2134" s="8" t="s">
        <v>9882</v>
      </c>
    </row>
    <row r="2135" spans="1:26" x14ac:dyDescent="0.2">
      <c r="A2135" s="8">
        <v>2134</v>
      </c>
      <c r="B2135" s="8" t="s">
        <v>9883</v>
      </c>
      <c r="C2135" s="8" t="s">
        <v>9883</v>
      </c>
      <c r="F2135" s="47"/>
      <c r="G2135" s="8">
        <v>16</v>
      </c>
      <c r="H2135" s="8" t="s">
        <v>21</v>
      </c>
      <c r="I2135" s="8" t="s">
        <v>557</v>
      </c>
      <c r="J2135" s="8" t="s">
        <v>557</v>
      </c>
      <c r="K2135" s="8" t="s">
        <v>557</v>
      </c>
      <c r="L2135" s="8" t="s">
        <v>7071</v>
      </c>
      <c r="M2135" s="8" t="s">
        <v>7072</v>
      </c>
      <c r="N2135" s="8" t="s">
        <v>9884</v>
      </c>
      <c r="O2135" s="8">
        <f>5+51/60+56.7/3600</f>
        <v>5.8657499999999994</v>
      </c>
      <c r="P2135" s="8" t="s">
        <v>9885</v>
      </c>
      <c r="Q2135" s="8">
        <f>-(71+5/60+50/3600)</f>
        <v>-71.097222222222214</v>
      </c>
      <c r="R2135" s="8">
        <v>11.1</v>
      </c>
      <c r="S2135" s="8">
        <v>99</v>
      </c>
      <c r="T2135" s="8">
        <v>99</v>
      </c>
      <c r="U2135" s="8">
        <v>99</v>
      </c>
      <c r="V2135" s="8">
        <v>2.5</v>
      </c>
      <c r="Y2135" s="8" t="s">
        <v>9886</v>
      </c>
      <c r="Z2135" s="8" t="s">
        <v>9887</v>
      </c>
    </row>
    <row r="2136" spans="1:26" x14ac:dyDescent="0.2">
      <c r="A2136" s="8">
        <v>2135</v>
      </c>
      <c r="B2136" s="8" t="s">
        <v>9888</v>
      </c>
      <c r="C2136" s="8" t="s">
        <v>9888</v>
      </c>
      <c r="F2136" s="47"/>
      <c r="G2136" s="8">
        <v>16</v>
      </c>
      <c r="H2136" s="8" t="s">
        <v>21</v>
      </c>
      <c r="I2136" s="8" t="s">
        <v>557</v>
      </c>
      <c r="J2136" s="8" t="s">
        <v>557</v>
      </c>
      <c r="K2136" s="8" t="s">
        <v>557</v>
      </c>
      <c r="L2136" s="8" t="s">
        <v>55972</v>
      </c>
      <c r="M2136" s="8" t="s">
        <v>6970</v>
      </c>
      <c r="N2136" s="8" t="s">
        <v>9889</v>
      </c>
      <c r="O2136" s="8">
        <f>5+53/60+35/3600</f>
        <v>5.8930555555555548</v>
      </c>
      <c r="P2136" s="8" t="s">
        <v>9890</v>
      </c>
      <c r="Q2136" s="8">
        <f>-(67+25/60+38/3600)</f>
        <v>-67.427222222222227</v>
      </c>
      <c r="R2136" s="8">
        <v>12.1</v>
      </c>
      <c r="S2136" s="8">
        <v>12.2</v>
      </c>
      <c r="T2136" s="8">
        <v>99</v>
      </c>
      <c r="U2136" s="8">
        <v>99</v>
      </c>
      <c r="V2136" s="8">
        <v>1</v>
      </c>
      <c r="Y2136" s="8" t="s">
        <v>9891</v>
      </c>
      <c r="Z2136" s="8" t="s">
        <v>9892</v>
      </c>
    </row>
    <row r="2137" spans="1:26" x14ac:dyDescent="0.2">
      <c r="A2137" s="8">
        <v>2136</v>
      </c>
      <c r="B2137" s="8" t="s">
        <v>9893</v>
      </c>
      <c r="C2137" s="8" t="s">
        <v>9893</v>
      </c>
      <c r="F2137" s="47"/>
      <c r="G2137" s="8">
        <v>16</v>
      </c>
      <c r="H2137" s="8" t="s">
        <v>21</v>
      </c>
      <c r="I2137" s="8" t="s">
        <v>557</v>
      </c>
      <c r="J2137" s="8" t="s">
        <v>557</v>
      </c>
      <c r="K2137" s="8" t="s">
        <v>557</v>
      </c>
      <c r="L2137" s="8" t="s">
        <v>55972</v>
      </c>
      <c r="M2137" s="8" t="s">
        <v>6970</v>
      </c>
      <c r="N2137" s="8" t="s">
        <v>9894</v>
      </c>
      <c r="O2137" s="8">
        <f>5+52/60+58.5/3600</f>
        <v>5.8829166666666675</v>
      </c>
      <c r="P2137" s="8" t="s">
        <v>9895</v>
      </c>
      <c r="Q2137" s="8">
        <f>-(69+29/60+33/3600)</f>
        <v>-69.492500000000007</v>
      </c>
      <c r="R2137" s="8">
        <v>10.5</v>
      </c>
      <c r="S2137" s="8">
        <v>99</v>
      </c>
      <c r="T2137" s="8">
        <v>99</v>
      </c>
      <c r="U2137" s="8">
        <v>99</v>
      </c>
      <c r="V2137" s="8">
        <v>1.9</v>
      </c>
      <c r="Y2137" s="8" t="s">
        <v>9896</v>
      </c>
      <c r="Z2137" s="8" t="s">
        <v>9897</v>
      </c>
    </row>
    <row r="2138" spans="1:26" x14ac:dyDescent="0.2">
      <c r="A2138" s="8">
        <v>2137</v>
      </c>
      <c r="B2138" s="8" t="s">
        <v>9898</v>
      </c>
      <c r="C2138" s="8" t="s">
        <v>9898</v>
      </c>
      <c r="F2138" s="47"/>
      <c r="G2138" s="8">
        <v>16</v>
      </c>
      <c r="H2138" s="8" t="s">
        <v>21</v>
      </c>
      <c r="I2138" s="8" t="s">
        <v>557</v>
      </c>
      <c r="J2138" s="8" t="s">
        <v>557</v>
      </c>
      <c r="K2138" s="8" t="s">
        <v>557</v>
      </c>
      <c r="L2138" s="8" t="s">
        <v>55972</v>
      </c>
      <c r="M2138" s="8" t="s">
        <v>6970</v>
      </c>
      <c r="N2138" s="8" t="s">
        <v>9899</v>
      </c>
      <c r="O2138" s="8">
        <f>5+53/60+13.2/3600</f>
        <v>5.8869999999999996</v>
      </c>
      <c r="P2138" s="8" t="s">
        <v>9900</v>
      </c>
      <c r="Q2138" s="8">
        <f>-(69+28/60+55/3600)</f>
        <v>-69.481944444444451</v>
      </c>
      <c r="R2138" s="8">
        <v>12.7</v>
      </c>
      <c r="S2138" s="8">
        <v>12.9</v>
      </c>
      <c r="T2138" s="8">
        <v>99</v>
      </c>
      <c r="U2138" s="8">
        <v>99</v>
      </c>
      <c r="V2138" s="8">
        <v>0.8</v>
      </c>
      <c r="Y2138" s="8" t="s">
        <v>9901</v>
      </c>
      <c r="Z2138" s="8" t="s">
        <v>9902</v>
      </c>
    </row>
    <row r="2139" spans="1:26" x14ac:dyDescent="0.2">
      <c r="A2139" s="8">
        <v>2138</v>
      </c>
      <c r="B2139" s="8" t="s">
        <v>9903</v>
      </c>
      <c r="C2139" s="8" t="s">
        <v>9903</v>
      </c>
      <c r="F2139" s="47"/>
      <c r="G2139" s="8">
        <v>16</v>
      </c>
      <c r="H2139" s="8" t="s">
        <v>21</v>
      </c>
      <c r="I2139" s="8" t="s">
        <v>557</v>
      </c>
      <c r="J2139" s="8" t="s">
        <v>557</v>
      </c>
      <c r="K2139" s="8" t="s">
        <v>557</v>
      </c>
      <c r="L2139" s="8" t="s">
        <v>55972</v>
      </c>
      <c r="M2139" s="8" t="s">
        <v>6970</v>
      </c>
      <c r="N2139" s="8" t="s">
        <v>9904</v>
      </c>
      <c r="O2139" s="8">
        <f>5+54/60+48.8/3600</f>
        <v>5.9135555555555559</v>
      </c>
      <c r="P2139" s="8" t="s">
        <v>9905</v>
      </c>
      <c r="Q2139" s="8">
        <f>-(65+50/60+7/3600)</f>
        <v>-65.835277777777776</v>
      </c>
      <c r="R2139" s="8">
        <v>13.8</v>
      </c>
      <c r="S2139" s="8">
        <v>14</v>
      </c>
      <c r="T2139" s="8">
        <v>99</v>
      </c>
      <c r="U2139" s="8">
        <v>99</v>
      </c>
      <c r="V2139" s="8">
        <v>1</v>
      </c>
      <c r="Y2139" s="8" t="s">
        <v>227</v>
      </c>
      <c r="Z2139" s="8" t="s">
        <v>228</v>
      </c>
    </row>
    <row r="2140" spans="1:26" x14ac:dyDescent="0.2">
      <c r="A2140" s="8">
        <v>2139</v>
      </c>
      <c r="B2140" s="8" t="s">
        <v>9906</v>
      </c>
      <c r="C2140" s="8" t="s">
        <v>9906</v>
      </c>
      <c r="F2140" s="47" t="s">
        <v>56429</v>
      </c>
      <c r="G2140" s="8">
        <v>6.5</v>
      </c>
      <c r="H2140" s="8" t="s">
        <v>21</v>
      </c>
      <c r="I2140" s="8" t="s">
        <v>22</v>
      </c>
      <c r="J2140" s="8" t="s">
        <v>22</v>
      </c>
      <c r="K2140" s="8" t="s">
        <v>64</v>
      </c>
      <c r="L2140" s="8" t="s">
        <v>7915</v>
      </c>
      <c r="M2140" s="8" t="s">
        <v>7916</v>
      </c>
      <c r="N2140" s="8" t="s">
        <v>9907</v>
      </c>
      <c r="O2140" s="8">
        <f>6+1/60+8/3600</f>
        <v>6.0188888888888892</v>
      </c>
      <c r="P2140" s="8" t="s">
        <v>9908</v>
      </c>
      <c r="Q2140" s="8">
        <f>-(23+40/60+22/3600)</f>
        <v>-23.672777777777778</v>
      </c>
      <c r="R2140" s="8">
        <v>11.6</v>
      </c>
      <c r="S2140" s="8">
        <v>12</v>
      </c>
      <c r="T2140" s="8">
        <v>0.4</v>
      </c>
      <c r="U2140" s="8">
        <v>13.3</v>
      </c>
      <c r="V2140" s="8">
        <v>2.4</v>
      </c>
      <c r="W2140" s="8">
        <v>1.9</v>
      </c>
      <c r="X2140" s="8">
        <v>140</v>
      </c>
      <c r="Y2140" s="8" t="s">
        <v>4065</v>
      </c>
      <c r="Z2140" s="8" t="s">
        <v>4066</v>
      </c>
    </row>
    <row r="2141" spans="1:26" x14ac:dyDescent="0.2">
      <c r="A2141" s="8">
        <v>2140</v>
      </c>
      <c r="B2141" s="8" t="s">
        <v>9909</v>
      </c>
      <c r="C2141" s="8" t="s">
        <v>9909</v>
      </c>
      <c r="F2141" s="47"/>
      <c r="G2141" s="8">
        <v>16</v>
      </c>
      <c r="H2141" s="8" t="s">
        <v>21</v>
      </c>
      <c r="I2141" s="8" t="s">
        <v>557</v>
      </c>
      <c r="J2141" s="8" t="s">
        <v>557</v>
      </c>
      <c r="K2141" s="8" t="s">
        <v>557</v>
      </c>
      <c r="L2141" s="8" t="s">
        <v>55972</v>
      </c>
      <c r="M2141" s="8" t="s">
        <v>6970</v>
      </c>
      <c r="N2141" s="8" t="s">
        <v>9910</v>
      </c>
      <c r="O2141" s="8">
        <f>5+54/60+16.3/3600</f>
        <v>5.904527777777778</v>
      </c>
      <c r="P2141" s="8" t="s">
        <v>9911</v>
      </c>
      <c r="Q2141" s="8">
        <f>-(68+36/60+0/3600)</f>
        <v>-68.599999999999994</v>
      </c>
      <c r="R2141" s="8">
        <v>12.4</v>
      </c>
      <c r="S2141" s="8">
        <v>12.7</v>
      </c>
      <c r="T2141" s="8">
        <v>99</v>
      </c>
      <c r="U2141" s="8">
        <v>99</v>
      </c>
      <c r="V2141" s="8">
        <v>1.7</v>
      </c>
      <c r="Y2141" s="8" t="s">
        <v>4927</v>
      </c>
      <c r="Z2141" s="8" t="s">
        <v>4928</v>
      </c>
    </row>
    <row r="2142" spans="1:26" x14ac:dyDescent="0.2">
      <c r="A2142" s="8">
        <v>2141</v>
      </c>
      <c r="B2142" s="8" t="s">
        <v>9912</v>
      </c>
      <c r="C2142" s="8" t="s">
        <v>9912</v>
      </c>
      <c r="F2142" s="47"/>
      <c r="G2142" s="8">
        <v>7</v>
      </c>
      <c r="H2142" s="8" t="s">
        <v>21</v>
      </c>
      <c r="I2142" s="8" t="s">
        <v>557</v>
      </c>
      <c r="J2142" s="8" t="s">
        <v>557</v>
      </c>
      <c r="K2142" s="8" t="s">
        <v>2951</v>
      </c>
      <c r="L2142" s="8" t="s">
        <v>7698</v>
      </c>
      <c r="M2142" s="8" t="s">
        <v>7699</v>
      </c>
      <c r="N2142" s="8" t="s">
        <v>9913</v>
      </c>
      <c r="O2142" s="8">
        <f>6+2/60+55/3600</f>
        <v>6.0486111111111107</v>
      </c>
      <c r="P2142" s="8" t="s">
        <v>9914</v>
      </c>
      <c r="Q2142" s="8">
        <f>+(10+26/60+47/3600)</f>
        <v>10.446388888888889</v>
      </c>
      <c r="R2142" s="8">
        <v>9.4</v>
      </c>
      <c r="S2142" s="8">
        <v>99</v>
      </c>
      <c r="T2142" s="8">
        <v>99</v>
      </c>
      <c r="U2142" s="8">
        <v>99</v>
      </c>
      <c r="V2142" s="8">
        <v>10</v>
      </c>
      <c r="Y2142" s="8" t="s">
        <v>21</v>
      </c>
      <c r="Z2142" s="8" t="s">
        <v>9915</v>
      </c>
    </row>
    <row r="2143" spans="1:26" x14ac:dyDescent="0.2">
      <c r="A2143" s="8">
        <v>2142</v>
      </c>
      <c r="B2143" s="8" t="s">
        <v>9916</v>
      </c>
      <c r="C2143" s="8" t="s">
        <v>9916</v>
      </c>
      <c r="F2143" s="47"/>
      <c r="G2143" s="8">
        <v>16</v>
      </c>
      <c r="H2143" s="8" t="s">
        <v>21</v>
      </c>
      <c r="I2143" s="8" t="s">
        <v>72</v>
      </c>
      <c r="J2143" s="8" t="s">
        <v>72</v>
      </c>
      <c r="K2143" s="8" t="s">
        <v>20</v>
      </c>
      <c r="L2143" s="8" t="s">
        <v>9917</v>
      </c>
      <c r="M2143" s="8" t="s">
        <v>9918</v>
      </c>
      <c r="N2143" s="8" t="s">
        <v>9919</v>
      </c>
      <c r="O2143" s="8">
        <f>6+1/60+50.3/3600</f>
        <v>6.0306388888888884</v>
      </c>
      <c r="P2143" s="8" t="s">
        <v>9920</v>
      </c>
      <c r="Q2143" s="8">
        <f>-(10+35/60+51/3600)</f>
        <v>-10.5975</v>
      </c>
      <c r="R2143" s="8">
        <v>99</v>
      </c>
      <c r="S2143" s="8">
        <v>5</v>
      </c>
      <c r="T2143" s="8">
        <v>99</v>
      </c>
      <c r="U2143" s="8">
        <v>99</v>
      </c>
      <c r="Y2143" s="8" t="s">
        <v>21</v>
      </c>
      <c r="Z2143" s="8" t="s">
        <v>9921</v>
      </c>
    </row>
    <row r="2144" spans="1:26" x14ac:dyDescent="0.2">
      <c r="A2144" s="8">
        <v>2143</v>
      </c>
      <c r="B2144" s="8" t="s">
        <v>9922</v>
      </c>
      <c r="C2144" s="8" t="s">
        <v>9922</v>
      </c>
      <c r="F2144" s="47"/>
      <c r="G2144" s="8">
        <v>16</v>
      </c>
      <c r="H2144" s="8" t="s">
        <v>21</v>
      </c>
      <c r="I2144" s="8" t="s">
        <v>557</v>
      </c>
      <c r="J2144" s="8" t="s">
        <v>557</v>
      </c>
      <c r="K2144" s="8" t="s">
        <v>557</v>
      </c>
      <c r="L2144" s="8" t="s">
        <v>7698</v>
      </c>
      <c r="M2144" s="8" t="s">
        <v>7699</v>
      </c>
      <c r="N2144" s="8" t="s">
        <v>9923</v>
      </c>
      <c r="O2144" s="8">
        <f>6+3/60+7.4/3600</f>
        <v>6.0520555555555555</v>
      </c>
      <c r="P2144" s="8" t="s">
        <v>9924</v>
      </c>
      <c r="Q2144" s="8">
        <f>+(5+43/60+42/3600)</f>
        <v>5.7283333333333335</v>
      </c>
      <c r="R2144" s="8">
        <v>99</v>
      </c>
      <c r="S2144" s="8">
        <v>99</v>
      </c>
      <c r="T2144" s="8">
        <v>99</v>
      </c>
      <c r="U2144" s="8">
        <v>99</v>
      </c>
      <c r="V2144" s="8">
        <v>11</v>
      </c>
      <c r="Y2144" s="8" t="s">
        <v>9925</v>
      </c>
      <c r="Z2144" s="8" t="s">
        <v>9926</v>
      </c>
    </row>
    <row r="2145" spans="1:26" x14ac:dyDescent="0.2">
      <c r="A2145" s="8">
        <v>2144</v>
      </c>
      <c r="B2145" s="8" t="s">
        <v>9927</v>
      </c>
      <c r="C2145" s="8" t="s">
        <v>9927</v>
      </c>
      <c r="F2145" s="47"/>
      <c r="G2145" s="8">
        <v>16</v>
      </c>
      <c r="H2145" s="8" t="s">
        <v>21</v>
      </c>
      <c r="I2145" s="8" t="s">
        <v>22</v>
      </c>
      <c r="J2145" s="8" t="s">
        <v>22</v>
      </c>
      <c r="K2145" s="8" t="s">
        <v>91</v>
      </c>
      <c r="L2145" s="8" t="s">
        <v>7071</v>
      </c>
      <c r="M2145" s="8" t="s">
        <v>7072</v>
      </c>
      <c r="N2145" s="8" t="s">
        <v>9928</v>
      </c>
      <c r="O2145" s="8">
        <f>5+40/60+56.3/3600</f>
        <v>5.6823055555555557</v>
      </c>
      <c r="P2145" s="8" t="s">
        <v>9929</v>
      </c>
      <c r="Q2145" s="8">
        <f>-(82+7/60+8/3600)</f>
        <v>-82.118888888888875</v>
      </c>
      <c r="R2145" s="8">
        <v>13</v>
      </c>
      <c r="S2145" s="8">
        <v>13.9</v>
      </c>
      <c r="T2145" s="8">
        <v>0.9</v>
      </c>
      <c r="U2145" s="8">
        <v>13.3</v>
      </c>
      <c r="V2145" s="8">
        <v>1.4</v>
      </c>
      <c r="W2145" s="8">
        <v>1.1000000000000001</v>
      </c>
      <c r="X2145" s="8">
        <v>93</v>
      </c>
      <c r="Y2145" s="8" t="s">
        <v>9930</v>
      </c>
      <c r="Z2145" s="8" t="s">
        <v>9931</v>
      </c>
    </row>
    <row r="2146" spans="1:26" x14ac:dyDescent="0.2">
      <c r="A2146" s="8">
        <v>2145</v>
      </c>
      <c r="B2146" s="8" t="s">
        <v>9932</v>
      </c>
      <c r="C2146" s="8" t="s">
        <v>9932</v>
      </c>
      <c r="F2146" s="47"/>
      <c r="G2146" s="8">
        <v>16</v>
      </c>
      <c r="H2146" s="8" t="s">
        <v>21</v>
      </c>
      <c r="I2146" s="8" t="s">
        <v>557</v>
      </c>
      <c r="J2146" s="8" t="s">
        <v>557</v>
      </c>
      <c r="K2146" s="8" t="s">
        <v>557</v>
      </c>
      <c r="L2146" s="8" t="s">
        <v>7071</v>
      </c>
      <c r="M2146" s="8" t="s">
        <v>7072</v>
      </c>
      <c r="N2146" s="8" t="s">
        <v>9933</v>
      </c>
      <c r="O2146" s="8">
        <f>5+54/60+22.8/3600</f>
        <v>5.9063333333333334</v>
      </c>
      <c r="P2146" s="8" t="s">
        <v>9934</v>
      </c>
      <c r="Q2146" s="8">
        <f>-(70+54/60+7/3600)</f>
        <v>-70.901944444444453</v>
      </c>
      <c r="R2146" s="8">
        <v>12.1</v>
      </c>
      <c r="S2146" s="8">
        <v>12.4</v>
      </c>
      <c r="T2146" s="8">
        <v>99</v>
      </c>
      <c r="U2146" s="8">
        <v>99</v>
      </c>
      <c r="V2146" s="8">
        <v>1.7</v>
      </c>
      <c r="Y2146" s="8" t="s">
        <v>9935</v>
      </c>
      <c r="Z2146" s="8" t="s">
        <v>9936</v>
      </c>
    </row>
    <row r="2147" spans="1:26" x14ac:dyDescent="0.2">
      <c r="A2147" s="8">
        <v>2146</v>
      </c>
      <c r="B2147" s="8" t="s">
        <v>9937</v>
      </c>
      <c r="C2147" s="8" t="s">
        <v>9937</v>
      </c>
      <c r="F2147" s="47"/>
      <c r="G2147" s="8">
        <v>9</v>
      </c>
      <c r="H2147" s="8" t="s">
        <v>9938</v>
      </c>
      <c r="I2147" s="8" t="s">
        <v>22</v>
      </c>
      <c r="J2147" s="8" t="s">
        <v>22</v>
      </c>
      <c r="K2147" s="8" t="s">
        <v>4023</v>
      </c>
      <c r="L2147" s="8" t="s">
        <v>6823</v>
      </c>
      <c r="M2147" s="8" t="s">
        <v>6824</v>
      </c>
      <c r="N2147" s="8" t="s">
        <v>9939</v>
      </c>
      <c r="O2147" s="8">
        <f>6+18/60+38.3/3600</f>
        <v>6.3106388888888887</v>
      </c>
      <c r="P2147" s="8" t="s">
        <v>9940</v>
      </c>
      <c r="Q2147" s="8">
        <f>+(78+21/60+21/3600)</f>
        <v>78.355833333333322</v>
      </c>
      <c r="R2147" s="8">
        <v>10.6</v>
      </c>
      <c r="S2147" s="8">
        <v>11.4</v>
      </c>
      <c r="T2147" s="8">
        <v>0.8</v>
      </c>
      <c r="U2147" s="8">
        <v>13.7</v>
      </c>
      <c r="V2147" s="8">
        <v>5.4</v>
      </c>
      <c r="W2147" s="8">
        <v>2.9</v>
      </c>
      <c r="X2147" s="8">
        <v>123</v>
      </c>
      <c r="Y2147" s="8" t="s">
        <v>9941</v>
      </c>
      <c r="Z2147" s="8" t="s">
        <v>9942</v>
      </c>
    </row>
    <row r="2148" spans="1:26" x14ac:dyDescent="0.2">
      <c r="A2148" s="8">
        <v>2147</v>
      </c>
      <c r="B2148" s="8" t="s">
        <v>9943</v>
      </c>
      <c r="C2148" s="8" t="s">
        <v>9943</v>
      </c>
      <c r="F2148" s="47"/>
      <c r="G2148" s="8">
        <v>16</v>
      </c>
      <c r="H2148" s="8" t="s">
        <v>21</v>
      </c>
      <c r="I2148" s="8" t="s">
        <v>557</v>
      </c>
      <c r="J2148" s="8" t="s">
        <v>557</v>
      </c>
      <c r="K2148" s="8" t="s">
        <v>557</v>
      </c>
      <c r="L2148" s="8" t="s">
        <v>55972</v>
      </c>
      <c r="M2148" s="8" t="s">
        <v>6970</v>
      </c>
      <c r="N2148" s="8" t="s">
        <v>9944</v>
      </c>
      <c r="O2148" s="8">
        <f>5+55/60+45.7/3600</f>
        <v>5.9293611111111115</v>
      </c>
      <c r="P2148" s="8" t="s">
        <v>9945</v>
      </c>
      <c r="Q2148" s="8">
        <f>-(68+12/60+6/3600)</f>
        <v>-68.201666666666668</v>
      </c>
      <c r="R2148" s="8">
        <v>12.9</v>
      </c>
      <c r="S2148" s="8">
        <v>13.2</v>
      </c>
      <c r="T2148" s="8">
        <v>99</v>
      </c>
      <c r="U2148" s="8">
        <v>99</v>
      </c>
      <c r="V2148" s="8">
        <v>1.1000000000000001</v>
      </c>
      <c r="Y2148" s="8" t="s">
        <v>314</v>
      </c>
      <c r="Z2148" s="8" t="s">
        <v>315</v>
      </c>
    </row>
    <row r="2149" spans="1:26" x14ac:dyDescent="0.2">
      <c r="A2149" s="8">
        <v>2148</v>
      </c>
      <c r="B2149" s="8" t="s">
        <v>9946</v>
      </c>
      <c r="C2149" s="8" t="s">
        <v>9946</v>
      </c>
      <c r="F2149" s="47"/>
      <c r="G2149" s="8">
        <v>16</v>
      </c>
      <c r="H2149" s="8" t="s">
        <v>21</v>
      </c>
      <c r="I2149" s="8" t="s">
        <v>22</v>
      </c>
      <c r="J2149" s="8" t="s">
        <v>22</v>
      </c>
      <c r="K2149" s="8" t="s">
        <v>23</v>
      </c>
      <c r="L2149" s="8" t="s">
        <v>7782</v>
      </c>
      <c r="M2149" s="8" t="s">
        <v>7783</v>
      </c>
      <c r="N2149" s="8" t="s">
        <v>9947</v>
      </c>
      <c r="O2149" s="8">
        <f>5+58/60+45.6/3600</f>
        <v>5.9793333333333338</v>
      </c>
      <c r="P2149" s="8" t="s">
        <v>9948</v>
      </c>
      <c r="Q2149" s="8">
        <f>-(59+7/60+35/3600)</f>
        <v>-59.12638888888889</v>
      </c>
      <c r="R2149" s="8">
        <v>13.6</v>
      </c>
      <c r="S2149" s="8">
        <v>14.4</v>
      </c>
      <c r="T2149" s="8">
        <v>0.8</v>
      </c>
      <c r="U2149" s="8">
        <v>13.3</v>
      </c>
      <c r="V2149" s="8">
        <v>1.1000000000000001</v>
      </c>
      <c r="W2149" s="8">
        <v>0.8</v>
      </c>
      <c r="X2149" s="8">
        <v>150</v>
      </c>
      <c r="Y2149" s="8" t="s">
        <v>21</v>
      </c>
      <c r="Z2149" s="8" t="s">
        <v>9949</v>
      </c>
    </row>
    <row r="2150" spans="1:26" x14ac:dyDescent="0.2">
      <c r="A2150" s="8">
        <v>2149</v>
      </c>
      <c r="B2150" s="8" t="s">
        <v>9950</v>
      </c>
      <c r="C2150" s="8" t="s">
        <v>9950</v>
      </c>
      <c r="F2150" s="47"/>
      <c r="G2150" s="8">
        <v>13</v>
      </c>
      <c r="H2150" s="8" t="s">
        <v>21</v>
      </c>
      <c r="I2150" s="8" t="s">
        <v>1283</v>
      </c>
      <c r="J2150" s="8" t="s">
        <v>1283</v>
      </c>
      <c r="K2150" s="8" t="s">
        <v>6208</v>
      </c>
      <c r="L2150" s="8" t="s">
        <v>9917</v>
      </c>
      <c r="M2150" s="8" t="s">
        <v>9918</v>
      </c>
      <c r="N2150" s="8" t="s">
        <v>9951</v>
      </c>
      <c r="O2150" s="8">
        <f>6+3/60+30.7/3600</f>
        <v>6.058527777777778</v>
      </c>
      <c r="P2150" s="8" t="s">
        <v>9952</v>
      </c>
      <c r="Q2150" s="8">
        <f>-(9+43/60+50/3600)</f>
        <v>-9.7305555555555561</v>
      </c>
      <c r="R2150" s="8">
        <v>99</v>
      </c>
      <c r="S2150" s="8">
        <v>99</v>
      </c>
      <c r="T2150" s="8">
        <v>99</v>
      </c>
      <c r="U2150" s="8">
        <v>99</v>
      </c>
      <c r="V2150" s="8">
        <v>3</v>
      </c>
      <c r="W2150" s="8">
        <v>2</v>
      </c>
      <c r="Y2150" s="8" t="s">
        <v>9953</v>
      </c>
      <c r="Z2150" s="8" t="s">
        <v>9954</v>
      </c>
    </row>
    <row r="2151" spans="1:26" x14ac:dyDescent="0.2">
      <c r="A2151" s="8">
        <v>2150</v>
      </c>
      <c r="B2151" s="8" t="s">
        <v>9955</v>
      </c>
      <c r="C2151" s="8" t="s">
        <v>9955</v>
      </c>
      <c r="F2151" s="47"/>
      <c r="G2151" s="8">
        <v>16</v>
      </c>
      <c r="H2151" s="8" t="s">
        <v>21</v>
      </c>
      <c r="I2151" s="8" t="s">
        <v>22</v>
      </c>
      <c r="J2151" s="8" t="s">
        <v>22</v>
      </c>
      <c r="K2151" s="8" t="s">
        <v>406</v>
      </c>
      <c r="L2151" s="8" t="s">
        <v>55972</v>
      </c>
      <c r="M2151" s="8" t="s">
        <v>6970</v>
      </c>
      <c r="N2151" s="8" t="s">
        <v>9956</v>
      </c>
      <c r="O2151" s="8">
        <f>5+55/60+46.4/3600</f>
        <v>5.9295555555555559</v>
      </c>
      <c r="P2151" s="8" t="s">
        <v>9957</v>
      </c>
      <c r="Q2151" s="8">
        <f>-(69+33/60+39/3600)</f>
        <v>-69.560833333333335</v>
      </c>
      <c r="R2151" s="8">
        <v>13</v>
      </c>
      <c r="S2151" s="8">
        <v>13.6</v>
      </c>
      <c r="T2151" s="8">
        <v>0.6</v>
      </c>
      <c r="U2151" s="8">
        <v>12.9</v>
      </c>
      <c r="V2151" s="8">
        <v>1.2</v>
      </c>
      <c r="W2151" s="8">
        <v>0.9</v>
      </c>
      <c r="X2151" s="8">
        <v>143</v>
      </c>
      <c r="Y2151" s="8" t="s">
        <v>9958</v>
      </c>
      <c r="Z2151" s="8" t="s">
        <v>9959</v>
      </c>
    </row>
    <row r="2152" spans="1:26" x14ac:dyDescent="0.2">
      <c r="A2152" s="8">
        <v>2151</v>
      </c>
      <c r="B2152" s="8" t="s">
        <v>9960</v>
      </c>
      <c r="C2152" s="8" t="s">
        <v>9960</v>
      </c>
      <c r="F2152" s="47"/>
      <c r="G2152" s="8">
        <v>16</v>
      </c>
      <c r="H2152" s="8" t="s">
        <v>21</v>
      </c>
      <c r="I2152" s="8" t="s">
        <v>557</v>
      </c>
      <c r="J2152" s="8" t="s">
        <v>557</v>
      </c>
      <c r="K2152" s="8" t="s">
        <v>557</v>
      </c>
      <c r="L2152" s="8" t="s">
        <v>55972</v>
      </c>
      <c r="M2152" s="8" t="s">
        <v>6970</v>
      </c>
      <c r="N2152" s="8" t="s">
        <v>9961</v>
      </c>
      <c r="O2152" s="8">
        <f>5+56/60+20.5/3600</f>
        <v>5.9390277777777776</v>
      </c>
      <c r="P2152" s="8" t="s">
        <v>9962</v>
      </c>
      <c r="Q2152" s="8">
        <f>-(69+1/60+3/3600)</f>
        <v>-69.017499999999998</v>
      </c>
      <c r="R2152" s="8">
        <v>99</v>
      </c>
      <c r="S2152" s="8">
        <v>99</v>
      </c>
      <c r="T2152" s="8">
        <v>99</v>
      </c>
      <c r="U2152" s="8">
        <v>99</v>
      </c>
      <c r="V2152" s="8">
        <v>1</v>
      </c>
      <c r="Y2152" s="8" t="s">
        <v>2088</v>
      </c>
      <c r="Z2152" s="8" t="s">
        <v>2094</v>
      </c>
    </row>
    <row r="2153" spans="1:26" x14ac:dyDescent="0.2">
      <c r="A2153" s="8">
        <v>2152</v>
      </c>
      <c r="B2153" s="8" t="s">
        <v>9963</v>
      </c>
      <c r="C2153" s="8" t="s">
        <v>9963</v>
      </c>
      <c r="F2153" s="47"/>
      <c r="G2153" s="8">
        <v>16</v>
      </c>
      <c r="H2153" s="8" t="s">
        <v>21</v>
      </c>
      <c r="I2153" s="8" t="s">
        <v>22</v>
      </c>
      <c r="J2153" s="8" t="s">
        <v>22</v>
      </c>
      <c r="K2153" s="8" t="s">
        <v>154</v>
      </c>
      <c r="L2153" s="8" t="s">
        <v>7782</v>
      </c>
      <c r="M2153" s="8" t="s">
        <v>7783</v>
      </c>
      <c r="N2153" s="8" t="s">
        <v>9964</v>
      </c>
      <c r="O2153" s="8">
        <f>6+0/60+55/3600</f>
        <v>6.0152777777777775</v>
      </c>
      <c r="P2153" s="8" t="s">
        <v>9965</v>
      </c>
      <c r="Q2153" s="8">
        <f>-(50+44/60+27/3600)</f>
        <v>-50.740833333333335</v>
      </c>
      <c r="R2153" s="8">
        <v>13.5</v>
      </c>
      <c r="S2153" s="8">
        <v>14.4</v>
      </c>
      <c r="T2153" s="8">
        <v>0.9</v>
      </c>
      <c r="U2153" s="8">
        <v>13.3</v>
      </c>
      <c r="V2153" s="8">
        <v>1.1000000000000001</v>
      </c>
      <c r="W2153" s="8">
        <v>0.8</v>
      </c>
      <c r="X2153" s="8">
        <v>69</v>
      </c>
      <c r="Y2153" s="8" t="s">
        <v>9966</v>
      </c>
      <c r="Z2153" s="8" t="s">
        <v>9967</v>
      </c>
    </row>
    <row r="2154" spans="1:26" x14ac:dyDescent="0.2">
      <c r="A2154" s="8">
        <v>2153</v>
      </c>
      <c r="B2154" s="8" t="s">
        <v>9968</v>
      </c>
      <c r="C2154" s="8" t="s">
        <v>9968</v>
      </c>
      <c r="F2154" s="47"/>
      <c r="G2154" s="8">
        <v>16</v>
      </c>
      <c r="H2154" s="8" t="s">
        <v>21</v>
      </c>
      <c r="I2154" s="8" t="s">
        <v>557</v>
      </c>
      <c r="J2154" s="8" t="s">
        <v>557</v>
      </c>
      <c r="K2154" s="8" t="s">
        <v>557</v>
      </c>
      <c r="L2154" s="8" t="s">
        <v>55972</v>
      </c>
      <c r="M2154" s="8" t="s">
        <v>6970</v>
      </c>
      <c r="N2154" s="8" t="s">
        <v>9969</v>
      </c>
      <c r="O2154" s="8">
        <f>5+57/60+51.8/3600</f>
        <v>5.9643888888888892</v>
      </c>
      <c r="P2154" s="8" t="s">
        <v>9970</v>
      </c>
      <c r="Q2154" s="8">
        <f>-(66+24/60+3/3600)</f>
        <v>-66.400833333333338</v>
      </c>
      <c r="R2154" s="8">
        <v>13.1</v>
      </c>
      <c r="S2154" s="8">
        <v>13.7</v>
      </c>
      <c r="T2154" s="8">
        <v>99</v>
      </c>
      <c r="U2154" s="8">
        <v>99</v>
      </c>
      <c r="V2154" s="8">
        <v>1.3</v>
      </c>
      <c r="Y2154" s="8" t="s">
        <v>9971</v>
      </c>
      <c r="Z2154" s="8" t="s">
        <v>9972</v>
      </c>
    </row>
    <row r="2155" spans="1:26" x14ac:dyDescent="0.2">
      <c r="A2155" s="8">
        <v>2154</v>
      </c>
      <c r="B2155" s="8" t="s">
        <v>9973</v>
      </c>
      <c r="C2155" s="8" t="s">
        <v>9973</v>
      </c>
      <c r="F2155" s="47"/>
      <c r="G2155" s="8">
        <v>16</v>
      </c>
      <c r="H2155" s="8" t="s">
        <v>21</v>
      </c>
      <c r="I2155" s="8" t="s">
        <v>557</v>
      </c>
      <c r="J2155" s="8" t="s">
        <v>557</v>
      </c>
      <c r="K2155" s="8" t="s">
        <v>557</v>
      </c>
      <c r="L2155" s="8" t="s">
        <v>55972</v>
      </c>
      <c r="M2155" s="8" t="s">
        <v>6970</v>
      </c>
      <c r="N2155" s="8" t="s">
        <v>9974</v>
      </c>
      <c r="O2155" s="8">
        <f>5+57/60+38.3/3600</f>
        <v>5.960638888888889</v>
      </c>
      <c r="P2155" s="8" t="s">
        <v>9975</v>
      </c>
      <c r="Q2155" s="8">
        <f>-(67+15/60+44/3600)</f>
        <v>-67.262222222222221</v>
      </c>
      <c r="R2155" s="8">
        <v>11.8</v>
      </c>
      <c r="S2155" s="8">
        <v>12.5</v>
      </c>
      <c r="T2155" s="8">
        <v>99</v>
      </c>
      <c r="U2155" s="8">
        <v>99</v>
      </c>
      <c r="V2155" s="8">
        <v>2.4</v>
      </c>
      <c r="Y2155" s="8" t="s">
        <v>4196</v>
      </c>
      <c r="Z2155" s="8" t="s">
        <v>4197</v>
      </c>
    </row>
    <row r="2156" spans="1:26" x14ac:dyDescent="0.2">
      <c r="A2156" s="8">
        <v>2155</v>
      </c>
      <c r="B2156" s="8" t="s">
        <v>9976</v>
      </c>
      <c r="C2156" s="8" t="s">
        <v>9976</v>
      </c>
      <c r="F2156" s="47"/>
      <c r="G2156" s="8">
        <v>16</v>
      </c>
      <c r="H2156" s="8" t="s">
        <v>21</v>
      </c>
      <c r="I2156" s="8" t="s">
        <v>557</v>
      </c>
      <c r="J2156" s="8" t="s">
        <v>557</v>
      </c>
      <c r="K2156" s="8" t="s">
        <v>557</v>
      </c>
      <c r="L2156" s="8" t="s">
        <v>55972</v>
      </c>
      <c r="M2156" s="8" t="s">
        <v>6970</v>
      </c>
      <c r="N2156" s="8" t="s">
        <v>9977</v>
      </c>
      <c r="O2156" s="8">
        <f>5+58/60+33.3/3600</f>
        <v>5.9759166666666665</v>
      </c>
      <c r="P2156" s="8" t="s">
        <v>9978</v>
      </c>
      <c r="Q2156" s="8">
        <f>-(65+28/60+35/3600)</f>
        <v>-65.476388888888891</v>
      </c>
      <c r="R2156" s="8">
        <v>12.6</v>
      </c>
      <c r="S2156" s="8">
        <v>13.4</v>
      </c>
      <c r="T2156" s="8">
        <v>99</v>
      </c>
      <c r="U2156" s="8">
        <v>99</v>
      </c>
      <c r="V2156" s="8">
        <v>2.1</v>
      </c>
      <c r="Y2156" s="8" t="s">
        <v>4196</v>
      </c>
      <c r="Z2156" s="8" t="s">
        <v>4197</v>
      </c>
    </row>
    <row r="2157" spans="1:26" x14ac:dyDescent="0.2">
      <c r="A2157" s="8">
        <v>2156</v>
      </c>
      <c r="B2157" s="8" t="s">
        <v>9979</v>
      </c>
      <c r="C2157" s="8" t="s">
        <v>9979</v>
      </c>
      <c r="F2157" s="47"/>
      <c r="G2157" s="8">
        <v>16</v>
      </c>
      <c r="H2157" s="8" t="s">
        <v>21</v>
      </c>
      <c r="I2157" s="8" t="s">
        <v>557</v>
      </c>
      <c r="J2157" s="8" t="s">
        <v>557</v>
      </c>
      <c r="K2157" s="8" t="s">
        <v>557</v>
      </c>
      <c r="L2157" s="8" t="s">
        <v>55972</v>
      </c>
      <c r="M2157" s="8" t="s">
        <v>6970</v>
      </c>
      <c r="N2157" s="8" t="s">
        <v>9980</v>
      </c>
      <c r="O2157" s="8">
        <f>5+57/60+50.4/3600</f>
        <v>5.9640000000000004</v>
      </c>
      <c r="P2157" s="8" t="s">
        <v>9981</v>
      </c>
      <c r="Q2157" s="8">
        <f>-(68+27/60+39/3600)</f>
        <v>-68.460833333333341</v>
      </c>
      <c r="R2157" s="8">
        <v>11.4</v>
      </c>
      <c r="S2157" s="8">
        <v>99</v>
      </c>
      <c r="T2157" s="8">
        <v>99</v>
      </c>
      <c r="U2157" s="8">
        <v>99</v>
      </c>
      <c r="V2157" s="8">
        <v>1.1000000000000001</v>
      </c>
      <c r="Y2157" s="8" t="s">
        <v>9982</v>
      </c>
      <c r="Z2157" s="8" t="s">
        <v>9983</v>
      </c>
    </row>
    <row r="2158" spans="1:26" x14ac:dyDescent="0.2">
      <c r="A2158" s="8">
        <v>2157</v>
      </c>
      <c r="B2158" s="8" t="s">
        <v>9984</v>
      </c>
      <c r="C2158" s="8" t="s">
        <v>9984</v>
      </c>
      <c r="F2158" s="47"/>
      <c r="G2158" s="8">
        <v>16</v>
      </c>
      <c r="H2158" s="8" t="s">
        <v>21</v>
      </c>
      <c r="I2158" s="8" t="s">
        <v>557</v>
      </c>
      <c r="J2158" s="8" t="s">
        <v>557</v>
      </c>
      <c r="K2158" s="8" t="s">
        <v>557</v>
      </c>
      <c r="L2158" s="8" t="s">
        <v>55972</v>
      </c>
      <c r="M2158" s="8" t="s">
        <v>6970</v>
      </c>
      <c r="N2158" s="8" t="s">
        <v>9985</v>
      </c>
      <c r="O2158" s="8">
        <f>5+57/60+34.9/3600</f>
        <v>5.9596944444444446</v>
      </c>
      <c r="P2158" s="8" t="s">
        <v>9986</v>
      </c>
      <c r="Q2158" s="8">
        <f>-(69+11/60+50/3600)</f>
        <v>-69.197222222222223</v>
      </c>
      <c r="R2158" s="8">
        <v>10.199999999999999</v>
      </c>
      <c r="S2158" s="8">
        <v>99</v>
      </c>
      <c r="T2158" s="8">
        <v>99</v>
      </c>
      <c r="U2158" s="8">
        <v>99</v>
      </c>
      <c r="V2158" s="8">
        <v>2.7</v>
      </c>
      <c r="Y2158" s="8" t="s">
        <v>9987</v>
      </c>
      <c r="Z2158" s="8" t="s">
        <v>9988</v>
      </c>
    </row>
    <row r="2159" spans="1:26" x14ac:dyDescent="0.2">
      <c r="A2159" s="8">
        <v>2158</v>
      </c>
      <c r="B2159" s="8" t="s">
        <v>9989</v>
      </c>
      <c r="C2159" s="8" t="s">
        <v>9989</v>
      </c>
      <c r="F2159" s="47" t="s">
        <v>56430</v>
      </c>
      <c r="G2159" s="8">
        <v>6</v>
      </c>
      <c r="H2159" s="8" t="s">
        <v>21</v>
      </c>
      <c r="I2159" s="8" t="s">
        <v>557</v>
      </c>
      <c r="J2159" s="8" t="s">
        <v>557</v>
      </c>
      <c r="K2159" s="8" t="s">
        <v>2951</v>
      </c>
      <c r="L2159" s="8" t="s">
        <v>9862</v>
      </c>
      <c r="M2159" s="8" t="s">
        <v>9863</v>
      </c>
      <c r="N2159" s="8" t="s">
        <v>9990</v>
      </c>
      <c r="O2159" s="8">
        <f>6+7/60+25.6/3600</f>
        <v>6.1237777777777778</v>
      </c>
      <c r="P2159" s="8" t="s">
        <v>9991</v>
      </c>
      <c r="Q2159" s="8">
        <f>+(24+5/60+46/3600)</f>
        <v>24.09611111111111</v>
      </c>
      <c r="R2159" s="8">
        <v>8.6</v>
      </c>
      <c r="S2159" s="8">
        <v>99</v>
      </c>
      <c r="T2159" s="8">
        <v>99</v>
      </c>
      <c r="U2159" s="8">
        <v>99</v>
      </c>
      <c r="V2159" s="8">
        <v>5</v>
      </c>
      <c r="Y2159" s="8" t="s">
        <v>9992</v>
      </c>
      <c r="Z2159" s="8" t="s">
        <v>9993</v>
      </c>
    </row>
    <row r="2160" spans="1:26" x14ac:dyDescent="0.2">
      <c r="A2160" s="8">
        <v>2159</v>
      </c>
      <c r="B2160" s="8" t="s">
        <v>9994</v>
      </c>
      <c r="C2160" s="8" t="s">
        <v>9994</v>
      </c>
      <c r="F2160" s="47"/>
      <c r="G2160" s="8">
        <v>16</v>
      </c>
      <c r="H2160" s="8" t="s">
        <v>21</v>
      </c>
      <c r="I2160" s="8" t="s">
        <v>557</v>
      </c>
      <c r="J2160" s="8" t="s">
        <v>557</v>
      </c>
      <c r="K2160" s="8" t="s">
        <v>557</v>
      </c>
      <c r="L2160" s="8" t="s">
        <v>55972</v>
      </c>
      <c r="M2160" s="8" t="s">
        <v>6970</v>
      </c>
      <c r="N2160" s="8" t="s">
        <v>9995</v>
      </c>
      <c r="O2160" s="8">
        <f>5+58/60+3/3600</f>
        <v>5.9675000000000002</v>
      </c>
      <c r="P2160" s="8" t="s">
        <v>9996</v>
      </c>
      <c r="Q2160" s="8">
        <f>-(68+37/60+28/3600)</f>
        <v>-68.624444444444435</v>
      </c>
      <c r="R2160" s="8">
        <v>11.4</v>
      </c>
      <c r="S2160" s="8">
        <v>99</v>
      </c>
      <c r="T2160" s="8">
        <v>99</v>
      </c>
      <c r="U2160" s="8">
        <v>99</v>
      </c>
      <c r="V2160" s="8">
        <v>0.9</v>
      </c>
      <c r="Y2160" s="8" t="s">
        <v>21</v>
      </c>
      <c r="Z2160" s="8" t="s">
        <v>9997</v>
      </c>
    </row>
    <row r="2161" spans="1:26" x14ac:dyDescent="0.2">
      <c r="A2161" s="8">
        <v>2160</v>
      </c>
      <c r="B2161" s="8" t="s">
        <v>9998</v>
      </c>
      <c r="C2161" s="8" t="s">
        <v>9998</v>
      </c>
      <c r="F2161" s="47"/>
      <c r="G2161" s="8">
        <v>16</v>
      </c>
      <c r="H2161" s="8" t="s">
        <v>21</v>
      </c>
      <c r="I2161" s="8" t="s">
        <v>557</v>
      </c>
      <c r="J2161" s="8" t="s">
        <v>557</v>
      </c>
      <c r="K2161" s="8" t="s">
        <v>557</v>
      </c>
      <c r="L2161" s="8" t="s">
        <v>55972</v>
      </c>
      <c r="M2161" s="8" t="s">
        <v>6970</v>
      </c>
      <c r="N2161" s="8" t="s">
        <v>9999</v>
      </c>
      <c r="O2161" s="8">
        <f>5+58/60+12.9/3600</f>
        <v>5.9702500000000001</v>
      </c>
      <c r="P2161" s="8" t="s">
        <v>10000</v>
      </c>
      <c r="Q2161" s="8">
        <f>-(68+17/60+23/3600)</f>
        <v>-68.289722222222224</v>
      </c>
      <c r="R2161" s="8">
        <v>12.2</v>
      </c>
      <c r="S2161" s="8">
        <v>12.4</v>
      </c>
      <c r="T2161" s="8">
        <v>99</v>
      </c>
      <c r="U2161" s="8">
        <v>99</v>
      </c>
      <c r="V2161" s="8">
        <v>1.2</v>
      </c>
      <c r="Y2161" s="8" t="s">
        <v>3243</v>
      </c>
      <c r="Z2161" s="8" t="s">
        <v>3244</v>
      </c>
    </row>
    <row r="2162" spans="1:26" x14ac:dyDescent="0.2">
      <c r="A2162" s="8">
        <v>2161</v>
      </c>
      <c r="B2162" s="8" t="s">
        <v>10001</v>
      </c>
      <c r="C2162" s="8" t="s">
        <v>10001</v>
      </c>
      <c r="F2162" s="47"/>
      <c r="G2162" s="8">
        <v>16</v>
      </c>
      <c r="H2162" s="8" t="s">
        <v>21</v>
      </c>
      <c r="I2162" s="8" t="s">
        <v>557</v>
      </c>
      <c r="J2162" s="8" t="s">
        <v>557</v>
      </c>
      <c r="K2162" s="8" t="s">
        <v>557</v>
      </c>
      <c r="L2162" s="8" t="s">
        <v>7071</v>
      </c>
      <c r="M2162" s="8" t="s">
        <v>7072</v>
      </c>
      <c r="N2162" s="8" t="s">
        <v>10002</v>
      </c>
      <c r="O2162" s="8">
        <f>5+55/60+43.2/3600</f>
        <v>5.9286666666666665</v>
      </c>
      <c r="P2162" s="8" t="s">
        <v>10003</v>
      </c>
      <c r="Q2162" s="8">
        <f>-(74+21/60+14/3600)</f>
        <v>-74.353888888888889</v>
      </c>
      <c r="R2162" s="8">
        <v>13</v>
      </c>
      <c r="S2162" s="8">
        <v>99</v>
      </c>
      <c r="T2162" s="8">
        <v>99</v>
      </c>
      <c r="U2162" s="8">
        <v>99</v>
      </c>
      <c r="V2162" s="8">
        <v>2.2000000000000002</v>
      </c>
      <c r="Y2162" s="8" t="s">
        <v>9881</v>
      </c>
      <c r="Z2162" s="8" t="s">
        <v>9882</v>
      </c>
    </row>
    <row r="2163" spans="1:26" x14ac:dyDescent="0.2">
      <c r="A2163" s="8">
        <v>2162</v>
      </c>
      <c r="B2163" s="8" t="s">
        <v>10004</v>
      </c>
      <c r="C2163" s="8" t="s">
        <v>10004</v>
      </c>
      <c r="F2163" s="47"/>
      <c r="G2163" s="8">
        <v>16</v>
      </c>
      <c r="H2163" s="8" t="s">
        <v>21</v>
      </c>
      <c r="I2163" s="8" t="s">
        <v>557</v>
      </c>
      <c r="J2163" s="8" t="s">
        <v>557</v>
      </c>
      <c r="K2163" s="8" t="s">
        <v>557</v>
      </c>
      <c r="L2163" s="8" t="s">
        <v>55972</v>
      </c>
      <c r="M2163" s="8" t="s">
        <v>6970</v>
      </c>
      <c r="N2163" s="8" t="s">
        <v>10005</v>
      </c>
      <c r="O2163" s="8">
        <f>6+0/60+30.4/3600</f>
        <v>6.0084444444444447</v>
      </c>
      <c r="P2163" s="8" t="s">
        <v>10006</v>
      </c>
      <c r="Q2163" s="8">
        <f>-(63+43/60+20/3600)</f>
        <v>-63.722222222222221</v>
      </c>
      <c r="R2163" s="8">
        <v>99</v>
      </c>
      <c r="S2163" s="8">
        <v>99</v>
      </c>
      <c r="T2163" s="8">
        <v>99</v>
      </c>
      <c r="U2163" s="8">
        <v>99</v>
      </c>
      <c r="V2163" s="8">
        <v>2.1</v>
      </c>
      <c r="Y2163" s="8" t="s">
        <v>4196</v>
      </c>
      <c r="Z2163" s="8" t="s">
        <v>4197</v>
      </c>
    </row>
    <row r="2164" spans="1:26" x14ac:dyDescent="0.2">
      <c r="A2164" s="8">
        <v>2163</v>
      </c>
      <c r="B2164" s="8" t="s">
        <v>10007</v>
      </c>
      <c r="C2164" s="8" t="s">
        <v>10007</v>
      </c>
      <c r="F2164" s="47"/>
      <c r="G2164" s="8">
        <v>19</v>
      </c>
      <c r="H2164" s="8" t="s">
        <v>21</v>
      </c>
      <c r="I2164" s="8" t="s">
        <v>1283</v>
      </c>
      <c r="J2164" s="8" t="s">
        <v>1283</v>
      </c>
      <c r="K2164" s="8" t="s">
        <v>6208</v>
      </c>
      <c r="L2164" s="8" t="s">
        <v>7698</v>
      </c>
      <c r="M2164" s="8" t="s">
        <v>7699</v>
      </c>
      <c r="N2164" s="8" t="s">
        <v>10008</v>
      </c>
      <c r="O2164" s="8">
        <f>6+7/60+49.5/3600</f>
        <v>6.1304166666666662</v>
      </c>
      <c r="P2164" s="8" t="s">
        <v>10009</v>
      </c>
      <c r="Q2164" s="8">
        <f>+(18+39/60+27/3600)</f>
        <v>18.657499999999999</v>
      </c>
      <c r="R2164" s="8">
        <v>99</v>
      </c>
      <c r="S2164" s="8">
        <v>99</v>
      </c>
      <c r="T2164" s="8">
        <v>99</v>
      </c>
      <c r="U2164" s="8">
        <v>99</v>
      </c>
      <c r="V2164" s="8">
        <v>3</v>
      </c>
      <c r="W2164" s="8">
        <v>2</v>
      </c>
      <c r="Y2164" s="8" t="s">
        <v>21</v>
      </c>
      <c r="Z2164" s="8" t="s">
        <v>10010</v>
      </c>
    </row>
    <row r="2165" spans="1:26" x14ac:dyDescent="0.2">
      <c r="A2165" s="8">
        <v>2164</v>
      </c>
      <c r="B2165" s="8" t="s">
        <v>10011</v>
      </c>
      <c r="C2165" s="8" t="s">
        <v>10011</v>
      </c>
      <c r="F2165" s="47"/>
      <c r="G2165" s="8">
        <v>16</v>
      </c>
      <c r="H2165" s="8" t="s">
        <v>21</v>
      </c>
      <c r="I2165" s="8" t="s">
        <v>557</v>
      </c>
      <c r="J2165" s="8" t="s">
        <v>557</v>
      </c>
      <c r="K2165" s="8" t="s">
        <v>557</v>
      </c>
      <c r="L2165" s="8" t="s">
        <v>55972</v>
      </c>
      <c r="M2165" s="8" t="s">
        <v>6970</v>
      </c>
      <c r="N2165" s="8" t="s">
        <v>10012</v>
      </c>
      <c r="O2165" s="8">
        <f>5+58/60+55/3600</f>
        <v>5.9819444444444443</v>
      </c>
      <c r="P2165" s="8" t="s">
        <v>10013</v>
      </c>
      <c r="Q2165" s="8">
        <f>-(68+30/60+56/3600)</f>
        <v>-68.515555555555551</v>
      </c>
      <c r="R2165" s="8">
        <v>10.3</v>
      </c>
      <c r="S2165" s="8">
        <v>99</v>
      </c>
      <c r="T2165" s="8">
        <v>99</v>
      </c>
      <c r="U2165" s="8">
        <v>99</v>
      </c>
      <c r="V2165" s="8">
        <v>2.5</v>
      </c>
      <c r="Y2165" s="8" t="s">
        <v>10014</v>
      </c>
      <c r="Z2165" s="8" t="s">
        <v>10015</v>
      </c>
    </row>
    <row r="2166" spans="1:26" x14ac:dyDescent="0.2">
      <c r="A2166" s="8">
        <v>2165</v>
      </c>
      <c r="B2166" s="8" t="s">
        <v>10016</v>
      </c>
      <c r="C2166" s="8" t="s">
        <v>10016</v>
      </c>
      <c r="F2166" s="47"/>
      <c r="G2166" s="8">
        <v>16</v>
      </c>
      <c r="H2166" s="8" t="s">
        <v>21</v>
      </c>
      <c r="I2166" s="8" t="s">
        <v>557</v>
      </c>
      <c r="J2166" s="8" t="s">
        <v>557</v>
      </c>
      <c r="K2166" s="8" t="s">
        <v>557</v>
      </c>
      <c r="L2166" s="8" t="s">
        <v>7717</v>
      </c>
      <c r="M2166" s="8" t="s">
        <v>7718</v>
      </c>
      <c r="N2166" s="8" t="s">
        <v>10017</v>
      </c>
      <c r="O2166" s="8">
        <f>6+11/60+4/3600</f>
        <v>6.1844444444444449</v>
      </c>
      <c r="P2166" s="8" t="s">
        <v>10018</v>
      </c>
      <c r="Q2166" s="8">
        <f>+(51+40/60+42/3600)</f>
        <v>51.678333333333327</v>
      </c>
      <c r="R2166" s="8">
        <v>12.7</v>
      </c>
      <c r="S2166" s="8">
        <v>13.4</v>
      </c>
      <c r="T2166" s="8">
        <v>99</v>
      </c>
      <c r="U2166" s="8">
        <v>99</v>
      </c>
      <c r="V2166" s="8">
        <v>6</v>
      </c>
      <c r="Y2166" s="8" t="s">
        <v>10019</v>
      </c>
      <c r="Z2166" s="8" t="s">
        <v>10020</v>
      </c>
    </row>
    <row r="2167" spans="1:26" x14ac:dyDescent="0.2">
      <c r="A2167" s="8">
        <v>2166</v>
      </c>
      <c r="B2167" s="8" t="s">
        <v>10021</v>
      </c>
      <c r="C2167" s="8" t="s">
        <v>10021</v>
      </c>
      <c r="F2167" s="47"/>
      <c r="G2167" s="8">
        <v>16</v>
      </c>
      <c r="H2167" s="8" t="s">
        <v>21</v>
      </c>
      <c r="I2167" s="8" t="s">
        <v>557</v>
      </c>
      <c r="J2167" s="8" t="s">
        <v>557</v>
      </c>
      <c r="K2167" s="8" t="s">
        <v>557</v>
      </c>
      <c r="L2167" s="8" t="s">
        <v>55972</v>
      </c>
      <c r="M2167" s="8" t="s">
        <v>6970</v>
      </c>
      <c r="N2167" s="8" t="s">
        <v>10022</v>
      </c>
      <c r="O2167" s="8">
        <f>5+59/60+33.8/3600</f>
        <v>5.9927222222222225</v>
      </c>
      <c r="P2167" s="8" t="s">
        <v>10023</v>
      </c>
      <c r="Q2167" s="8">
        <f>-(67+56/60+29/3600)</f>
        <v>-67.941388888888895</v>
      </c>
      <c r="R2167" s="8">
        <v>12.9</v>
      </c>
      <c r="S2167" s="8">
        <v>13.1</v>
      </c>
      <c r="T2167" s="8">
        <v>99</v>
      </c>
      <c r="U2167" s="8">
        <v>99</v>
      </c>
      <c r="V2167" s="8">
        <v>1.2</v>
      </c>
      <c r="Y2167" s="8" t="s">
        <v>6420</v>
      </c>
      <c r="Z2167" s="8" t="s">
        <v>6421</v>
      </c>
    </row>
    <row r="2168" spans="1:26" x14ac:dyDescent="0.2">
      <c r="A2168" s="8">
        <v>2167</v>
      </c>
      <c r="B2168" s="8" t="s">
        <v>10024</v>
      </c>
      <c r="C2168" s="8" t="s">
        <v>10024</v>
      </c>
      <c r="F2168" s="47"/>
      <c r="G2168" s="8">
        <v>16</v>
      </c>
      <c r="H2168" s="8" t="s">
        <v>21</v>
      </c>
      <c r="I2168" s="8" t="s">
        <v>72</v>
      </c>
      <c r="J2168" s="8" t="s">
        <v>72</v>
      </c>
      <c r="K2168" s="8" t="s">
        <v>20</v>
      </c>
      <c r="L2168" s="8" t="s">
        <v>9917</v>
      </c>
      <c r="M2168" s="8" t="s">
        <v>9918</v>
      </c>
      <c r="N2168" s="8" t="s">
        <v>10025</v>
      </c>
      <c r="O2168" s="8">
        <f>6+6/60+58.6/3600</f>
        <v>6.1162777777777775</v>
      </c>
      <c r="P2168" s="8" t="s">
        <v>10026</v>
      </c>
      <c r="Q2168" s="8">
        <f>-(6+12/60+10/3600)</f>
        <v>-6.2027777777777784</v>
      </c>
      <c r="R2168" s="8">
        <v>6.6</v>
      </c>
      <c r="S2168" s="8">
        <v>99</v>
      </c>
      <c r="T2168" s="8">
        <v>99</v>
      </c>
      <c r="U2168" s="8">
        <v>99</v>
      </c>
      <c r="Y2168" s="8" t="s">
        <v>10027</v>
      </c>
      <c r="Z2168" s="8" t="s">
        <v>10028</v>
      </c>
    </row>
    <row r="2169" spans="1:26" x14ac:dyDescent="0.2">
      <c r="A2169" s="8">
        <v>2168</v>
      </c>
      <c r="B2169" s="8" t="s">
        <v>10029</v>
      </c>
      <c r="C2169" s="8" t="s">
        <v>55878</v>
      </c>
      <c r="F2169" s="47"/>
      <c r="G2169" s="8">
        <v>1</v>
      </c>
      <c r="H2169" s="8" t="s">
        <v>10030</v>
      </c>
      <c r="I2169" s="8" t="s">
        <v>557</v>
      </c>
      <c r="J2169" s="8" t="s">
        <v>557</v>
      </c>
      <c r="K2169" s="8" t="s">
        <v>3217</v>
      </c>
      <c r="L2169" s="8" t="s">
        <v>9862</v>
      </c>
      <c r="M2169" s="8" t="s">
        <v>9863</v>
      </c>
      <c r="N2169" s="8" t="s">
        <v>10031</v>
      </c>
      <c r="O2169" s="8">
        <f>6+9/60+0/3600</f>
        <v>6.15</v>
      </c>
      <c r="P2169" s="8" t="s">
        <v>10032</v>
      </c>
      <c r="Q2169" s="8">
        <f>+(24+21/60+0/3600)</f>
        <v>24.35</v>
      </c>
      <c r="R2169" s="8">
        <v>5.0999999999999996</v>
      </c>
      <c r="S2169" s="8">
        <v>99</v>
      </c>
      <c r="T2169" s="8">
        <v>99</v>
      </c>
      <c r="U2169" s="8">
        <v>99</v>
      </c>
      <c r="V2169" s="8">
        <v>25</v>
      </c>
      <c r="Y2169" s="8" t="s">
        <v>21</v>
      </c>
      <c r="Z2169" s="8" t="s">
        <v>10033</v>
      </c>
    </row>
    <row r="2170" spans="1:26" x14ac:dyDescent="0.2">
      <c r="A2170" s="8">
        <v>2169</v>
      </c>
      <c r="B2170" s="8" t="s">
        <v>10034</v>
      </c>
      <c r="C2170" s="8" t="s">
        <v>10034</v>
      </c>
      <c r="F2170" s="47" t="s">
        <v>56431</v>
      </c>
      <c r="G2170" s="8">
        <v>5</v>
      </c>
      <c r="H2170" s="8" t="s">
        <v>10035</v>
      </c>
      <c r="I2170" s="8" t="s">
        <v>557</v>
      </c>
      <c r="J2170" s="8" t="s">
        <v>557</v>
      </c>
      <c r="K2170" s="8" t="s">
        <v>3082</v>
      </c>
      <c r="L2170" s="8" t="s">
        <v>7698</v>
      </c>
      <c r="M2170" s="8" t="s">
        <v>7699</v>
      </c>
      <c r="N2170" s="8" t="s">
        <v>10036</v>
      </c>
      <c r="O2170" s="8">
        <f>6+8/60+24.3/3600</f>
        <v>6.140083333333334</v>
      </c>
      <c r="P2170" s="8" t="s">
        <v>10037</v>
      </c>
      <c r="Q2170" s="8">
        <f>+(13+57/60+53/3600)</f>
        <v>13.964722222222221</v>
      </c>
      <c r="R2170" s="8">
        <v>5.9</v>
      </c>
      <c r="S2170" s="8">
        <v>99</v>
      </c>
      <c r="T2170" s="8">
        <v>99</v>
      </c>
      <c r="U2170" s="8">
        <v>99</v>
      </c>
      <c r="V2170" s="8">
        <v>6</v>
      </c>
      <c r="Y2170" s="8" t="s">
        <v>21</v>
      </c>
      <c r="Z2170" s="8" t="s">
        <v>10038</v>
      </c>
    </row>
    <row r="2171" spans="1:26" x14ac:dyDescent="0.2">
      <c r="A2171" s="8">
        <v>2170</v>
      </c>
      <c r="B2171" s="8" t="s">
        <v>10039</v>
      </c>
      <c r="C2171" s="8" t="s">
        <v>10039</v>
      </c>
      <c r="F2171" s="47" t="s">
        <v>56432</v>
      </c>
      <c r="G2171" s="8">
        <v>6.5</v>
      </c>
      <c r="H2171" s="8" t="s">
        <v>10040</v>
      </c>
      <c r="I2171" s="8" t="s">
        <v>1283</v>
      </c>
      <c r="J2171" s="8" t="s">
        <v>1283</v>
      </c>
      <c r="K2171" s="8" t="s">
        <v>6208</v>
      </c>
      <c r="L2171" s="8" t="s">
        <v>9917</v>
      </c>
      <c r="M2171" s="8" t="s">
        <v>9918</v>
      </c>
      <c r="N2171" s="8" t="s">
        <v>10041</v>
      </c>
      <c r="O2171" s="8">
        <f>6+7/60+31.3/3600</f>
        <v>6.1253611111111104</v>
      </c>
      <c r="P2171" s="8" t="s">
        <v>10042</v>
      </c>
      <c r="Q2171" s="8">
        <f>-(6+23/60+53/3600)</f>
        <v>-6.3980555555555556</v>
      </c>
      <c r="R2171" s="8">
        <v>99</v>
      </c>
      <c r="S2171" s="8">
        <v>99</v>
      </c>
      <c r="T2171" s="8">
        <v>99</v>
      </c>
      <c r="U2171" s="8">
        <v>99</v>
      </c>
      <c r="V2171" s="8">
        <v>2</v>
      </c>
      <c r="W2171" s="8">
        <v>2</v>
      </c>
      <c r="Y2171" s="8" t="s">
        <v>21</v>
      </c>
      <c r="Z2171" s="8" t="s">
        <v>10043</v>
      </c>
    </row>
    <row r="2172" spans="1:26" x14ac:dyDescent="0.2">
      <c r="A2172" s="8">
        <v>2171</v>
      </c>
      <c r="B2172" s="8" t="s">
        <v>10044</v>
      </c>
      <c r="C2172" s="8" t="s">
        <v>10044</v>
      </c>
      <c r="F2172" s="47"/>
      <c r="G2172" s="8">
        <v>16</v>
      </c>
      <c r="H2172" s="8" t="s">
        <v>21</v>
      </c>
      <c r="I2172" s="8" t="s">
        <v>72</v>
      </c>
      <c r="J2172" s="8" t="s">
        <v>72</v>
      </c>
      <c r="K2172" s="8" t="s">
        <v>10045</v>
      </c>
      <c r="L2172" s="8" t="s">
        <v>7071</v>
      </c>
      <c r="M2172" s="8" t="s">
        <v>7072</v>
      </c>
      <c r="N2172" s="8" t="s">
        <v>10046</v>
      </c>
      <c r="O2172" s="8">
        <f>5+44/60+13.8/3600</f>
        <v>5.737166666666667</v>
      </c>
      <c r="P2172" s="8" t="s">
        <v>10047</v>
      </c>
      <c r="Q2172" s="8">
        <f>-(70+40/60+9/3600)</f>
        <v>-70.669166666666669</v>
      </c>
      <c r="R2172" s="8">
        <v>99</v>
      </c>
      <c r="S2172" s="8">
        <v>99</v>
      </c>
      <c r="T2172" s="8">
        <v>99</v>
      </c>
      <c r="U2172" s="8">
        <v>99</v>
      </c>
      <c r="Y2172" s="8" t="s">
        <v>10048</v>
      </c>
      <c r="Z2172" s="8" t="s">
        <v>10049</v>
      </c>
    </row>
    <row r="2173" spans="1:26" x14ac:dyDescent="0.2">
      <c r="A2173" s="8">
        <v>2172</v>
      </c>
      <c r="B2173" s="8" t="s">
        <v>10050</v>
      </c>
      <c r="C2173" s="8" t="s">
        <v>10050</v>
      </c>
      <c r="F2173" s="47"/>
      <c r="G2173" s="8">
        <v>16</v>
      </c>
      <c r="H2173" s="8" t="s">
        <v>21</v>
      </c>
      <c r="I2173" s="8" t="s">
        <v>557</v>
      </c>
      <c r="J2173" s="8" t="s">
        <v>557</v>
      </c>
      <c r="K2173" s="8" t="s">
        <v>557</v>
      </c>
      <c r="L2173" s="8" t="s">
        <v>55972</v>
      </c>
      <c r="M2173" s="8" t="s">
        <v>6970</v>
      </c>
      <c r="N2173" s="8" t="s">
        <v>10051</v>
      </c>
      <c r="O2173" s="8">
        <f>6+0/60+5.9/3600</f>
        <v>6.0016388888888885</v>
      </c>
      <c r="P2173" s="8" t="s">
        <v>10052</v>
      </c>
      <c r="Q2173" s="8">
        <f>-(68+38/60+13/3600)</f>
        <v>-68.636944444444453</v>
      </c>
      <c r="R2173" s="8">
        <v>11.8</v>
      </c>
      <c r="S2173" s="8">
        <v>99</v>
      </c>
      <c r="T2173" s="8">
        <v>99</v>
      </c>
      <c r="U2173" s="8">
        <v>99</v>
      </c>
      <c r="V2173" s="8">
        <v>1.7</v>
      </c>
      <c r="Y2173" s="8" t="s">
        <v>10053</v>
      </c>
      <c r="Z2173" s="8" t="s">
        <v>10054</v>
      </c>
    </row>
    <row r="2174" spans="1:26" x14ac:dyDescent="0.2">
      <c r="A2174" s="8">
        <v>2173</v>
      </c>
      <c r="B2174" s="8" t="s">
        <v>10055</v>
      </c>
      <c r="C2174" s="8" t="s">
        <v>10055</v>
      </c>
      <c r="F2174" s="47"/>
      <c r="G2174" s="8">
        <v>16</v>
      </c>
      <c r="H2174" s="8" t="s">
        <v>21</v>
      </c>
      <c r="I2174" s="8" t="s">
        <v>557</v>
      </c>
      <c r="J2174" s="8" t="s">
        <v>557</v>
      </c>
      <c r="K2174" s="8" t="s">
        <v>557</v>
      </c>
      <c r="L2174" s="8" t="s">
        <v>7071</v>
      </c>
      <c r="M2174" s="8" t="s">
        <v>7072</v>
      </c>
      <c r="N2174" s="8" t="s">
        <v>10056</v>
      </c>
      <c r="O2174" s="8">
        <f>5+57/60+58.5/3600</f>
        <v>5.9662500000000005</v>
      </c>
      <c r="P2174" s="8" t="s">
        <v>10057</v>
      </c>
      <c r="Q2174" s="8">
        <f>-(72+58/60+41/3600)</f>
        <v>-72.978055555555557</v>
      </c>
      <c r="R2174" s="8">
        <v>11.9</v>
      </c>
      <c r="S2174" s="8">
        <v>12.7</v>
      </c>
      <c r="T2174" s="8">
        <v>99</v>
      </c>
      <c r="U2174" s="8">
        <v>99</v>
      </c>
      <c r="V2174" s="8">
        <v>2.4</v>
      </c>
      <c r="Y2174" s="8" t="s">
        <v>10058</v>
      </c>
      <c r="Z2174" s="8" t="s">
        <v>10059</v>
      </c>
    </row>
    <row r="2175" spans="1:26" x14ac:dyDescent="0.2">
      <c r="A2175" s="8">
        <v>2174</v>
      </c>
      <c r="B2175" s="8" t="s">
        <v>10060</v>
      </c>
      <c r="C2175" s="8" t="s">
        <v>10060</v>
      </c>
      <c r="F2175" s="47"/>
      <c r="G2175" s="8">
        <v>10</v>
      </c>
      <c r="H2175" s="8" t="s">
        <v>10061</v>
      </c>
      <c r="I2175" s="8" t="s">
        <v>1283</v>
      </c>
      <c r="J2175" s="8" t="s">
        <v>1283</v>
      </c>
      <c r="K2175" s="8" t="s">
        <v>1284</v>
      </c>
      <c r="L2175" s="8" t="s">
        <v>7698</v>
      </c>
      <c r="M2175" s="8" t="s">
        <v>7699</v>
      </c>
      <c r="N2175" s="8" t="s">
        <v>10062</v>
      </c>
      <c r="O2175" s="8">
        <f>6+9/60+0.3/3600</f>
        <v>6.1500833333333338</v>
      </c>
      <c r="P2175" s="8" t="s">
        <v>10063</v>
      </c>
      <c r="Q2175" s="8">
        <f>+(20+38/60+26/3600)</f>
        <v>20.640555555555554</v>
      </c>
      <c r="R2175" s="8">
        <v>99</v>
      </c>
      <c r="S2175" s="8">
        <v>99</v>
      </c>
      <c r="T2175" s="8">
        <v>99</v>
      </c>
      <c r="U2175" s="8">
        <v>99</v>
      </c>
      <c r="V2175" s="8">
        <v>3.5</v>
      </c>
      <c r="W2175" s="8">
        <v>2</v>
      </c>
      <c r="Y2175" s="8" t="s">
        <v>10064</v>
      </c>
      <c r="Z2175" s="8" t="s">
        <v>10065</v>
      </c>
    </row>
    <row r="2176" spans="1:26" x14ac:dyDescent="0.2">
      <c r="A2176" s="8">
        <v>2175</v>
      </c>
      <c r="B2176" s="8" t="s">
        <v>10066</v>
      </c>
      <c r="C2176" s="8" t="s">
        <v>10066</v>
      </c>
      <c r="F2176" s="47"/>
      <c r="G2176" s="8">
        <v>5</v>
      </c>
      <c r="H2176" s="8" t="s">
        <v>21</v>
      </c>
      <c r="I2176" s="8" t="s">
        <v>1283</v>
      </c>
      <c r="J2176" s="8" t="s">
        <v>1283</v>
      </c>
      <c r="K2176" s="8" t="s">
        <v>1284</v>
      </c>
      <c r="L2176" s="8" t="s">
        <v>7698</v>
      </c>
      <c r="M2176" s="8" t="s">
        <v>7699</v>
      </c>
      <c r="N2176" s="8" t="s">
        <v>10067</v>
      </c>
      <c r="O2176" s="8">
        <f>6+9/60+38.6/3600</f>
        <v>6.1607222222222227</v>
      </c>
      <c r="P2176" s="8" t="s">
        <v>10068</v>
      </c>
      <c r="Q2176" s="8">
        <f>+(20+29/60+18/3600)</f>
        <v>20.488333333333333</v>
      </c>
      <c r="R2176" s="8">
        <v>99</v>
      </c>
      <c r="S2176" s="8">
        <v>99</v>
      </c>
      <c r="T2176" s="8">
        <v>99</v>
      </c>
      <c r="U2176" s="8">
        <v>99</v>
      </c>
      <c r="V2176" s="8">
        <v>40</v>
      </c>
      <c r="W2176" s="8">
        <v>30</v>
      </c>
      <c r="Y2176" s="8" t="s">
        <v>10069</v>
      </c>
      <c r="Z2176" s="8" t="s">
        <v>10070</v>
      </c>
    </row>
    <row r="2177" spans="1:26" x14ac:dyDescent="0.2">
      <c r="A2177" s="8">
        <v>2176</v>
      </c>
      <c r="B2177" s="8" t="s">
        <v>10071</v>
      </c>
      <c r="C2177" s="8" t="s">
        <v>10071</v>
      </c>
      <c r="F2177" s="47"/>
      <c r="G2177" s="8">
        <v>16</v>
      </c>
      <c r="H2177" s="8" t="s">
        <v>21</v>
      </c>
      <c r="I2177" s="8" t="s">
        <v>557</v>
      </c>
      <c r="J2177" s="8" t="s">
        <v>557</v>
      </c>
      <c r="K2177" s="8" t="s">
        <v>557</v>
      </c>
      <c r="L2177" s="8" t="s">
        <v>55972</v>
      </c>
      <c r="M2177" s="8" t="s">
        <v>6970</v>
      </c>
      <c r="N2177" s="8" t="s">
        <v>10072</v>
      </c>
      <c r="O2177" s="8">
        <f>6+1/60+19.4/3600</f>
        <v>6.0220555555555553</v>
      </c>
      <c r="P2177" s="8" t="s">
        <v>10073</v>
      </c>
      <c r="Q2177" s="8">
        <f>-(66+51/60+12/3600)</f>
        <v>-66.853333333333325</v>
      </c>
      <c r="R2177" s="8">
        <v>99</v>
      </c>
      <c r="S2177" s="8">
        <v>99</v>
      </c>
      <c r="T2177" s="8">
        <v>99</v>
      </c>
      <c r="U2177" s="8">
        <v>99</v>
      </c>
      <c r="V2177" s="8">
        <v>1.3</v>
      </c>
      <c r="Y2177" s="8" t="s">
        <v>10074</v>
      </c>
      <c r="Z2177" s="8" t="s">
        <v>10075</v>
      </c>
    </row>
    <row r="2178" spans="1:26" x14ac:dyDescent="0.2">
      <c r="A2178" s="8">
        <v>2177</v>
      </c>
      <c r="B2178" s="8" t="s">
        <v>10076</v>
      </c>
      <c r="C2178" s="8" t="s">
        <v>10076</v>
      </c>
      <c r="F2178" s="47"/>
      <c r="G2178" s="8">
        <v>16</v>
      </c>
      <c r="H2178" s="8" t="s">
        <v>21</v>
      </c>
      <c r="I2178" s="8" t="s">
        <v>557</v>
      </c>
      <c r="J2178" s="8" t="s">
        <v>557</v>
      </c>
      <c r="K2178" s="8" t="s">
        <v>557</v>
      </c>
      <c r="L2178" s="8" t="s">
        <v>55972</v>
      </c>
      <c r="M2178" s="8" t="s">
        <v>6970</v>
      </c>
      <c r="N2178" s="8" t="s">
        <v>10077</v>
      </c>
      <c r="O2178" s="8">
        <f>6+1/60+16.5/3600</f>
        <v>6.0212500000000002</v>
      </c>
      <c r="P2178" s="8" t="s">
        <v>10078</v>
      </c>
      <c r="Q2178" s="8">
        <f>-(67+44/60+0/3600)</f>
        <v>-67.733333333333334</v>
      </c>
      <c r="R2178" s="8">
        <v>12.8</v>
      </c>
      <c r="S2178" s="8">
        <v>13</v>
      </c>
      <c r="T2178" s="8">
        <v>99</v>
      </c>
      <c r="U2178" s="8">
        <v>99</v>
      </c>
      <c r="V2178" s="8">
        <v>1.2</v>
      </c>
      <c r="Y2178" s="8" t="s">
        <v>10079</v>
      </c>
      <c r="Z2178" s="8" t="s">
        <v>10080</v>
      </c>
    </row>
    <row r="2179" spans="1:26" x14ac:dyDescent="0.2">
      <c r="A2179" s="8">
        <v>2178</v>
      </c>
      <c r="B2179" s="8" t="s">
        <v>10081</v>
      </c>
      <c r="C2179" s="8" t="s">
        <v>10081</v>
      </c>
      <c r="F2179" s="47"/>
      <c r="G2179" s="8">
        <v>16</v>
      </c>
      <c r="H2179" s="8" t="s">
        <v>21</v>
      </c>
      <c r="I2179" s="8" t="s">
        <v>22</v>
      </c>
      <c r="J2179" s="8" t="s">
        <v>22</v>
      </c>
      <c r="K2179" s="8" t="s">
        <v>183</v>
      </c>
      <c r="L2179" s="8" t="s">
        <v>7782</v>
      </c>
      <c r="M2179" s="8" t="s">
        <v>7783</v>
      </c>
      <c r="N2179" s="8" t="s">
        <v>10082</v>
      </c>
      <c r="O2179" s="8">
        <f>6+2/60+47.5/3600</f>
        <v>6.0465277777777775</v>
      </c>
      <c r="P2179" s="8" t="s">
        <v>10083</v>
      </c>
      <c r="Q2179" s="8">
        <f>-(63+45/60+50/3600)</f>
        <v>-63.763888888888886</v>
      </c>
      <c r="R2179" s="8">
        <v>12.9</v>
      </c>
      <c r="S2179" s="8">
        <v>13.9</v>
      </c>
      <c r="T2179" s="8">
        <v>1</v>
      </c>
      <c r="U2179" s="8">
        <v>12.8</v>
      </c>
      <c r="V2179" s="8">
        <v>0.9</v>
      </c>
      <c r="W2179" s="8">
        <v>0.9</v>
      </c>
      <c r="Y2179" s="8" t="s">
        <v>385</v>
      </c>
      <c r="Z2179" s="8" t="s">
        <v>386</v>
      </c>
    </row>
    <row r="2180" spans="1:26" x14ac:dyDescent="0.2">
      <c r="A2180" s="8">
        <v>2179</v>
      </c>
      <c r="B2180" s="8" t="s">
        <v>10084</v>
      </c>
      <c r="C2180" s="8" t="s">
        <v>10084</v>
      </c>
      <c r="F2180" s="47"/>
      <c r="G2180" s="8">
        <v>13</v>
      </c>
      <c r="H2180" s="8" t="s">
        <v>21</v>
      </c>
      <c r="I2180" s="8" t="s">
        <v>22</v>
      </c>
      <c r="J2180" s="8" t="s">
        <v>22</v>
      </c>
      <c r="K2180" s="8" t="s">
        <v>435</v>
      </c>
      <c r="L2180" s="8" t="s">
        <v>7915</v>
      </c>
      <c r="M2180" s="8" t="s">
        <v>7916</v>
      </c>
      <c r="N2180" s="8" t="s">
        <v>10085</v>
      </c>
      <c r="O2180" s="8">
        <f>6+8/60+2.1/3600</f>
        <v>6.1339166666666669</v>
      </c>
      <c r="P2180" s="8" t="s">
        <v>10086</v>
      </c>
      <c r="Q2180" s="8">
        <f>-(21+44/60+46/3600)</f>
        <v>-21.746111111111112</v>
      </c>
      <c r="R2180" s="8">
        <v>12.3</v>
      </c>
      <c r="S2180" s="8">
        <v>13.2</v>
      </c>
      <c r="T2180" s="8">
        <v>0.9</v>
      </c>
      <c r="U2180" s="8">
        <v>12.9</v>
      </c>
      <c r="V2180" s="8">
        <v>1.1000000000000001</v>
      </c>
      <c r="W2180" s="8">
        <v>0.9</v>
      </c>
      <c r="X2180" s="8">
        <v>170</v>
      </c>
      <c r="Y2180" s="8" t="s">
        <v>10087</v>
      </c>
      <c r="Z2180" s="8" t="s">
        <v>10088</v>
      </c>
    </row>
    <row r="2181" spans="1:26" x14ac:dyDescent="0.2">
      <c r="A2181" s="8">
        <v>2180</v>
      </c>
      <c r="B2181" s="8" t="s">
        <v>10089</v>
      </c>
      <c r="C2181" s="8" t="s">
        <v>10089</v>
      </c>
      <c r="F2181" s="47" t="s">
        <v>56433</v>
      </c>
      <c r="G2181" s="8">
        <v>15</v>
      </c>
      <c r="H2181" s="8" t="s">
        <v>21</v>
      </c>
      <c r="I2181" s="8" t="s">
        <v>557</v>
      </c>
      <c r="J2181" s="8" t="s">
        <v>557</v>
      </c>
      <c r="K2181" s="8" t="s">
        <v>557</v>
      </c>
      <c r="L2181" s="8" t="s">
        <v>7698</v>
      </c>
      <c r="M2181" s="8" t="s">
        <v>7699</v>
      </c>
      <c r="N2181" s="8" t="s">
        <v>10090</v>
      </c>
      <c r="O2181" s="8">
        <f>6+9/60+36.2/3600</f>
        <v>6.1600555555555561</v>
      </c>
      <c r="P2181" s="8" t="s">
        <v>10091</v>
      </c>
      <c r="Q2181" s="8">
        <f>+(4+42/60+44/3600)</f>
        <v>4.7122222222222225</v>
      </c>
      <c r="R2181" s="8">
        <v>99</v>
      </c>
      <c r="S2181" s="8">
        <v>99</v>
      </c>
      <c r="T2181" s="8">
        <v>99</v>
      </c>
      <c r="U2181" s="8">
        <v>99</v>
      </c>
      <c r="V2181" s="8">
        <v>6</v>
      </c>
      <c r="Y2181" s="8" t="s">
        <v>10092</v>
      </c>
      <c r="Z2181" s="8" t="s">
        <v>10093</v>
      </c>
    </row>
    <row r="2182" spans="1:26" x14ac:dyDescent="0.2">
      <c r="A2182" s="8">
        <v>2181</v>
      </c>
      <c r="B2182" s="8" t="s">
        <v>10094</v>
      </c>
      <c r="C2182" s="8" t="s">
        <v>10094</v>
      </c>
      <c r="F2182" s="47"/>
      <c r="G2182" s="8">
        <v>16</v>
      </c>
      <c r="H2182" s="8" t="s">
        <v>21</v>
      </c>
      <c r="I2182" s="8" t="s">
        <v>557</v>
      </c>
      <c r="J2182" s="8" t="s">
        <v>557</v>
      </c>
      <c r="K2182" s="8" t="s">
        <v>557</v>
      </c>
      <c r="L2182" s="8" t="s">
        <v>55972</v>
      </c>
      <c r="M2182" s="8" t="s">
        <v>6970</v>
      </c>
      <c r="N2182" s="8" t="s">
        <v>10095</v>
      </c>
      <c r="O2182" s="8">
        <f>6+2/60+43.7/3600</f>
        <v>6.0454722222222221</v>
      </c>
      <c r="P2182" s="8" t="s">
        <v>10096</v>
      </c>
      <c r="Q2182" s="8">
        <f>-(65+15/60+54/3600)</f>
        <v>-65.265000000000001</v>
      </c>
      <c r="R2182" s="8">
        <v>13.6</v>
      </c>
      <c r="S2182" s="8">
        <v>13.9</v>
      </c>
      <c r="T2182" s="8">
        <v>99</v>
      </c>
      <c r="U2182" s="8">
        <v>99</v>
      </c>
      <c r="V2182" s="8">
        <v>1.6</v>
      </c>
      <c r="Y2182" s="8" t="s">
        <v>170</v>
      </c>
      <c r="Z2182" s="8" t="s">
        <v>171</v>
      </c>
    </row>
    <row r="2183" spans="1:26" x14ac:dyDescent="0.2">
      <c r="A2183" s="8">
        <v>2182</v>
      </c>
      <c r="B2183" s="8" t="s">
        <v>10097</v>
      </c>
      <c r="C2183" s="8" t="s">
        <v>10097</v>
      </c>
      <c r="F2183" s="47" t="s">
        <v>56434</v>
      </c>
      <c r="G2183" s="8">
        <v>6.5</v>
      </c>
      <c r="H2183" s="8" t="s">
        <v>21</v>
      </c>
      <c r="I2183" s="8" t="s">
        <v>1283</v>
      </c>
      <c r="J2183" s="8" t="s">
        <v>1283</v>
      </c>
      <c r="K2183" s="8" t="s">
        <v>6208</v>
      </c>
      <c r="L2183" s="8" t="s">
        <v>9917</v>
      </c>
      <c r="M2183" s="8" t="s">
        <v>9918</v>
      </c>
      <c r="N2183" s="8" t="s">
        <v>10098</v>
      </c>
      <c r="O2183" s="8">
        <f>6+9/60+30.9/3600</f>
        <v>6.1585833333333335</v>
      </c>
      <c r="P2183" s="8" t="s">
        <v>10099</v>
      </c>
      <c r="Q2183" s="8">
        <f>-(6+19/60+35/3600)</f>
        <v>-6.3263888888888884</v>
      </c>
      <c r="R2183" s="8">
        <v>99</v>
      </c>
      <c r="S2183" s="8">
        <v>99</v>
      </c>
      <c r="T2183" s="8">
        <v>99</v>
      </c>
      <c r="U2183" s="8">
        <v>99</v>
      </c>
      <c r="V2183" s="8">
        <v>2</v>
      </c>
      <c r="W2183" s="8">
        <v>2</v>
      </c>
      <c r="Y2183" s="8" t="s">
        <v>21</v>
      </c>
      <c r="Z2183" s="8" t="s">
        <v>10100</v>
      </c>
    </row>
    <row r="2184" spans="1:26" x14ac:dyDescent="0.2">
      <c r="A2184" s="8">
        <v>2183</v>
      </c>
      <c r="B2184" s="8" t="s">
        <v>10101</v>
      </c>
      <c r="C2184" s="8" t="s">
        <v>10101</v>
      </c>
      <c r="F2184" s="47"/>
      <c r="G2184" s="8">
        <v>12</v>
      </c>
      <c r="H2184" s="8" t="s">
        <v>21</v>
      </c>
      <c r="I2184" s="8" t="s">
        <v>1283</v>
      </c>
      <c r="J2184" s="8" t="s">
        <v>1283</v>
      </c>
      <c r="K2184" s="8" t="s">
        <v>6208</v>
      </c>
      <c r="L2184" s="8" t="s">
        <v>9917</v>
      </c>
      <c r="M2184" s="8" t="s">
        <v>9918</v>
      </c>
      <c r="N2184" s="8" t="s">
        <v>10102</v>
      </c>
      <c r="O2184" s="8">
        <f>6+10/60+46.9/3600</f>
        <v>6.1796944444444444</v>
      </c>
      <c r="P2184" s="8" t="s">
        <v>10103</v>
      </c>
      <c r="Q2184" s="8">
        <f>-(6+12/60+43/3600)</f>
        <v>-6.2119444444444447</v>
      </c>
      <c r="R2184" s="8">
        <v>99</v>
      </c>
      <c r="S2184" s="8">
        <v>99</v>
      </c>
      <c r="T2184" s="8">
        <v>99</v>
      </c>
      <c r="U2184" s="8">
        <v>99</v>
      </c>
      <c r="V2184" s="8">
        <v>1</v>
      </c>
      <c r="W2184" s="8">
        <v>1</v>
      </c>
      <c r="Y2184" s="8" t="s">
        <v>21</v>
      </c>
      <c r="Z2184" s="8" t="s">
        <v>10104</v>
      </c>
    </row>
    <row r="2185" spans="1:26" x14ac:dyDescent="0.2">
      <c r="A2185" s="8">
        <v>2184</v>
      </c>
      <c r="B2185" s="8" t="s">
        <v>10105</v>
      </c>
      <c r="C2185" s="8" t="s">
        <v>10105</v>
      </c>
      <c r="F2185" s="47"/>
      <c r="G2185" s="8">
        <v>16</v>
      </c>
      <c r="H2185" s="8" t="s">
        <v>21</v>
      </c>
      <c r="I2185" s="8" t="s">
        <v>72</v>
      </c>
      <c r="J2185" s="8" t="s">
        <v>72</v>
      </c>
      <c r="K2185" s="8" t="s">
        <v>1405</v>
      </c>
      <c r="L2185" s="8" t="s">
        <v>7698</v>
      </c>
      <c r="M2185" s="8" t="s">
        <v>7699</v>
      </c>
      <c r="N2185" s="8" t="s">
        <v>10106</v>
      </c>
      <c r="O2185" s="8">
        <f>6+11/60+0/3600</f>
        <v>6.1833333333333336</v>
      </c>
      <c r="P2185" s="8" t="s">
        <v>10107</v>
      </c>
      <c r="Q2185" s="8">
        <f>-(3+29/60+0/3600)</f>
        <v>-3.4833333333333334</v>
      </c>
      <c r="R2185" s="8">
        <v>99</v>
      </c>
      <c r="S2185" s="8">
        <v>99</v>
      </c>
      <c r="T2185" s="8">
        <v>99</v>
      </c>
      <c r="U2185" s="8">
        <v>99</v>
      </c>
      <c r="V2185" s="8">
        <v>33</v>
      </c>
      <c r="Y2185" s="8" t="s">
        <v>10108</v>
      </c>
      <c r="Z2185" s="8" t="s">
        <v>8515</v>
      </c>
    </row>
    <row r="2186" spans="1:26" x14ac:dyDescent="0.2">
      <c r="A2186" s="8">
        <v>2185</v>
      </c>
      <c r="B2186" s="8" t="s">
        <v>10109</v>
      </c>
      <c r="C2186" s="8" t="s">
        <v>10109</v>
      </c>
      <c r="F2186" s="47" t="s">
        <v>56435</v>
      </c>
      <c r="G2186" s="8">
        <v>6</v>
      </c>
      <c r="H2186" s="8" t="s">
        <v>21</v>
      </c>
      <c r="I2186" s="8" t="s">
        <v>1283</v>
      </c>
      <c r="J2186" s="8" t="s">
        <v>1283</v>
      </c>
      <c r="K2186" s="8" t="s">
        <v>6208</v>
      </c>
      <c r="L2186" s="8" t="s">
        <v>9917</v>
      </c>
      <c r="M2186" s="8" t="s">
        <v>9918</v>
      </c>
      <c r="N2186" s="8" t="s">
        <v>10110</v>
      </c>
      <c r="O2186" s="8">
        <f>6+11/60+0.4/3600</f>
        <v>6.1834444444444445</v>
      </c>
      <c r="P2186" s="8" t="s">
        <v>10111</v>
      </c>
      <c r="Q2186" s="8">
        <f>-(6+13/60+36/3600)</f>
        <v>-6.2266666666666666</v>
      </c>
      <c r="R2186" s="8">
        <v>99</v>
      </c>
      <c r="S2186" s="8">
        <v>99</v>
      </c>
      <c r="T2186" s="8">
        <v>99</v>
      </c>
      <c r="U2186" s="8">
        <v>99</v>
      </c>
      <c r="V2186" s="8">
        <v>1</v>
      </c>
      <c r="W2186" s="8">
        <v>1</v>
      </c>
      <c r="Y2186" s="8" t="s">
        <v>21</v>
      </c>
      <c r="Z2186" s="8" t="s">
        <v>10112</v>
      </c>
    </row>
    <row r="2187" spans="1:26" x14ac:dyDescent="0.2">
      <c r="A2187" s="8">
        <v>2186</v>
      </c>
      <c r="B2187" s="8" t="s">
        <v>10113</v>
      </c>
      <c r="C2187" s="8" t="s">
        <v>10113</v>
      </c>
      <c r="F2187" s="47" t="s">
        <v>56436</v>
      </c>
      <c r="G2187" s="8">
        <v>6</v>
      </c>
      <c r="H2187" s="8" t="s">
        <v>21</v>
      </c>
      <c r="I2187" s="8" t="s">
        <v>557</v>
      </c>
      <c r="J2187" s="8" t="s">
        <v>557</v>
      </c>
      <c r="K2187" s="8" t="s">
        <v>558</v>
      </c>
      <c r="L2187" s="8" t="s">
        <v>7698</v>
      </c>
      <c r="M2187" s="8" t="s">
        <v>7699</v>
      </c>
      <c r="N2187" s="8" t="s">
        <v>10114</v>
      </c>
      <c r="O2187" s="8">
        <f>6+12/60+7.1/3600</f>
        <v>6.2019722222222224</v>
      </c>
      <c r="P2187" s="8" t="s">
        <v>10115</v>
      </c>
      <c r="Q2187" s="8">
        <f>+(5+27/60+31/3600)</f>
        <v>5.4586111111111109</v>
      </c>
      <c r="R2187" s="8">
        <v>8.6999999999999993</v>
      </c>
      <c r="S2187" s="8">
        <v>99</v>
      </c>
      <c r="T2187" s="8">
        <v>99</v>
      </c>
      <c r="U2187" s="8">
        <v>99</v>
      </c>
      <c r="V2187" s="8">
        <v>5</v>
      </c>
      <c r="Y2187" s="8" t="s">
        <v>10116</v>
      </c>
      <c r="Z2187" s="8" t="s">
        <v>10117</v>
      </c>
    </row>
    <row r="2188" spans="1:26" x14ac:dyDescent="0.2">
      <c r="A2188" s="8">
        <v>2187</v>
      </c>
      <c r="B2188" s="8" t="s">
        <v>10118</v>
      </c>
      <c r="C2188" s="8" t="s">
        <v>10118</v>
      </c>
      <c r="F2188" s="47"/>
      <c r="G2188" s="8">
        <v>16</v>
      </c>
      <c r="H2188" s="8" t="s">
        <v>21</v>
      </c>
      <c r="I2188" s="8" t="s">
        <v>22</v>
      </c>
      <c r="J2188" s="8" t="s">
        <v>22</v>
      </c>
      <c r="K2188" s="8" t="s">
        <v>91</v>
      </c>
      <c r="L2188" s="8" t="s">
        <v>55972</v>
      </c>
      <c r="M2188" s="8" t="s">
        <v>6970</v>
      </c>
      <c r="N2188" s="8" t="s">
        <v>10119</v>
      </c>
      <c r="O2188" s="8">
        <f>6+3/60+52.4/3600</f>
        <v>6.0645555555555557</v>
      </c>
      <c r="P2188" s="8" t="s">
        <v>10120</v>
      </c>
      <c r="Q2188" s="8">
        <f>-(69+34/60+40/3600)</f>
        <v>-69.577777777777769</v>
      </c>
      <c r="R2188" s="8">
        <v>12.2</v>
      </c>
      <c r="S2188" s="8">
        <v>13.1</v>
      </c>
      <c r="T2188" s="8">
        <v>0.9</v>
      </c>
      <c r="U2188" s="8">
        <v>12.5</v>
      </c>
      <c r="V2188" s="8">
        <v>1.3</v>
      </c>
      <c r="W2188" s="8">
        <v>0.9</v>
      </c>
      <c r="X2188" s="8">
        <v>99</v>
      </c>
      <c r="Y2188" s="8" t="s">
        <v>21</v>
      </c>
      <c r="Z2188" s="8" t="s">
        <v>10121</v>
      </c>
    </row>
    <row r="2189" spans="1:26" x14ac:dyDescent="0.2">
      <c r="A2189" s="8">
        <v>2188</v>
      </c>
      <c r="B2189" s="8" t="s">
        <v>10122</v>
      </c>
      <c r="C2189" s="8" t="s">
        <v>10122</v>
      </c>
      <c r="F2189" s="47"/>
      <c r="G2189" s="8">
        <v>13</v>
      </c>
      <c r="H2189" s="8" t="s">
        <v>21</v>
      </c>
      <c r="I2189" s="8" t="s">
        <v>22</v>
      </c>
      <c r="J2189" s="8" t="s">
        <v>22</v>
      </c>
      <c r="K2189" s="8" t="s">
        <v>323</v>
      </c>
      <c r="L2189" s="8" t="s">
        <v>8298</v>
      </c>
      <c r="M2189" s="8" t="s">
        <v>8299</v>
      </c>
      <c r="N2189" s="8" t="s">
        <v>10123</v>
      </c>
      <c r="O2189" s="8">
        <f>6+10/60+9.7/3600</f>
        <v>6.1693611111111117</v>
      </c>
      <c r="P2189" s="8" t="s">
        <v>10124</v>
      </c>
      <c r="Q2189" s="8">
        <f>-(34+6/60+18/3600)</f>
        <v>-34.105000000000004</v>
      </c>
      <c r="R2189" s="8">
        <v>11.7</v>
      </c>
      <c r="S2189" s="8">
        <v>12.1</v>
      </c>
      <c r="T2189" s="8">
        <v>0.4</v>
      </c>
      <c r="U2189" s="8">
        <v>13.3</v>
      </c>
      <c r="V2189" s="8">
        <v>4.2</v>
      </c>
      <c r="W2189" s="8">
        <v>1.1000000000000001</v>
      </c>
      <c r="X2189" s="8">
        <v>175</v>
      </c>
      <c r="Y2189" s="8" t="s">
        <v>10125</v>
      </c>
      <c r="Z2189" s="8" t="s">
        <v>10126</v>
      </c>
    </row>
    <row r="2190" spans="1:26" x14ac:dyDescent="0.2">
      <c r="A2190" s="8">
        <v>2189</v>
      </c>
      <c r="B2190" s="8" t="s">
        <v>10127</v>
      </c>
      <c r="C2190" s="8" t="s">
        <v>10127</v>
      </c>
      <c r="F2190" s="47"/>
      <c r="G2190" s="8">
        <v>18</v>
      </c>
      <c r="H2190" s="8" t="s">
        <v>21</v>
      </c>
      <c r="I2190" s="8" t="s">
        <v>329</v>
      </c>
      <c r="J2190" s="8" t="s">
        <v>329</v>
      </c>
      <c r="K2190" s="8" t="s">
        <v>329</v>
      </c>
      <c r="L2190" s="8" t="s">
        <v>7698</v>
      </c>
      <c r="M2190" s="8" t="s">
        <v>7699</v>
      </c>
      <c r="N2190" s="8" t="s">
        <v>10128</v>
      </c>
      <c r="O2190" s="8">
        <f>6+12/60+17/3600</f>
        <v>6.2047222222222222</v>
      </c>
      <c r="P2190" s="8" t="s">
        <v>10129</v>
      </c>
      <c r="Q2190" s="8">
        <f>+(1+3/60+42/3600)</f>
        <v>1.0616666666666668</v>
      </c>
      <c r="R2190" s="8">
        <v>99</v>
      </c>
      <c r="S2190" s="8">
        <v>99</v>
      </c>
      <c r="T2190" s="8">
        <v>99</v>
      </c>
      <c r="U2190" s="8">
        <v>99</v>
      </c>
      <c r="Y2190" s="8" t="s">
        <v>21</v>
      </c>
      <c r="Z2190" s="8" t="s">
        <v>10130</v>
      </c>
    </row>
    <row r="2191" spans="1:26" x14ac:dyDescent="0.2">
      <c r="A2191" s="8">
        <v>2190</v>
      </c>
      <c r="B2191" s="8" t="s">
        <v>10131</v>
      </c>
      <c r="C2191" s="8" t="s">
        <v>10131</v>
      </c>
      <c r="F2191" s="47"/>
      <c r="G2191" s="8">
        <v>16</v>
      </c>
      <c r="H2191" s="8" t="s">
        <v>21</v>
      </c>
      <c r="I2191" s="8" t="s">
        <v>557</v>
      </c>
      <c r="J2191" s="8" t="s">
        <v>557</v>
      </c>
      <c r="K2191" s="8" t="s">
        <v>557</v>
      </c>
      <c r="L2191" s="8" t="s">
        <v>7071</v>
      </c>
      <c r="M2191" s="8" t="s">
        <v>7072</v>
      </c>
      <c r="N2191" s="8" t="s">
        <v>10132</v>
      </c>
      <c r="O2191" s="8">
        <f>6+1/60+4.1/3600</f>
        <v>6.0178055555555554</v>
      </c>
      <c r="P2191" s="8" t="s">
        <v>10133</v>
      </c>
      <c r="Q2191" s="8">
        <f>-(74+43/60+32/3600)</f>
        <v>-74.725555555555559</v>
      </c>
      <c r="R2191" s="8">
        <v>12.9</v>
      </c>
      <c r="S2191" s="8">
        <v>13.6</v>
      </c>
      <c r="T2191" s="8">
        <v>99</v>
      </c>
      <c r="U2191" s="8">
        <v>99</v>
      </c>
      <c r="V2191" s="8">
        <v>2</v>
      </c>
      <c r="Y2191" s="8" t="s">
        <v>1973</v>
      </c>
      <c r="Z2191" s="8" t="s">
        <v>1974</v>
      </c>
    </row>
    <row r="2192" spans="1:26" x14ac:dyDescent="0.2">
      <c r="A2192" s="8">
        <v>2191</v>
      </c>
      <c r="B2192" s="8" t="s">
        <v>10134</v>
      </c>
      <c r="C2192" s="8" t="s">
        <v>10134</v>
      </c>
      <c r="F2192" s="47"/>
      <c r="G2192" s="8">
        <v>16</v>
      </c>
      <c r="H2192" s="8" t="s">
        <v>21</v>
      </c>
      <c r="I2192" s="8" t="s">
        <v>22</v>
      </c>
      <c r="J2192" s="8" t="s">
        <v>22</v>
      </c>
      <c r="K2192" s="8" t="s">
        <v>224</v>
      </c>
      <c r="L2192" s="8" t="s">
        <v>10135</v>
      </c>
      <c r="M2192" s="8" t="s">
        <v>10136</v>
      </c>
      <c r="N2192" s="8" t="s">
        <v>10137</v>
      </c>
      <c r="O2192" s="8">
        <f>6+8/60+23.7/3600</f>
        <v>6.1399166666666671</v>
      </c>
      <c r="P2192" s="8" t="s">
        <v>10138</v>
      </c>
      <c r="Q2192" s="8">
        <f>-(52+30/60+44/3600)</f>
        <v>-52.512222222222221</v>
      </c>
      <c r="R2192" s="8">
        <v>11.4</v>
      </c>
      <c r="S2192" s="8">
        <v>12.3</v>
      </c>
      <c r="T2192" s="8">
        <v>0.9</v>
      </c>
      <c r="U2192" s="8">
        <v>12.7</v>
      </c>
      <c r="V2192" s="8">
        <v>1.7</v>
      </c>
      <c r="W2192" s="8">
        <v>0.9</v>
      </c>
      <c r="X2192" s="8">
        <v>118</v>
      </c>
      <c r="Y2192" s="8" t="s">
        <v>21</v>
      </c>
      <c r="Z2192" s="8" t="s">
        <v>10139</v>
      </c>
    </row>
    <row r="2193" spans="1:26" x14ac:dyDescent="0.2">
      <c r="A2193" s="8">
        <v>2192</v>
      </c>
      <c r="B2193" s="8" t="s">
        <v>10140</v>
      </c>
      <c r="C2193" s="8" t="s">
        <v>10140</v>
      </c>
      <c r="F2193" s="47" t="s">
        <v>56437</v>
      </c>
      <c r="G2193" s="8">
        <v>6.5</v>
      </c>
      <c r="H2193" s="8" t="s">
        <v>21</v>
      </c>
      <c r="I2193" s="8" t="s">
        <v>557</v>
      </c>
      <c r="J2193" s="8" t="s">
        <v>557</v>
      </c>
      <c r="K2193" s="8" t="s">
        <v>1168</v>
      </c>
      <c r="L2193" s="8" t="s">
        <v>7717</v>
      </c>
      <c r="M2193" s="8" t="s">
        <v>7718</v>
      </c>
      <c r="N2193" s="8" t="s">
        <v>10141</v>
      </c>
      <c r="O2193" s="8">
        <f>6+15/60+17.4/3600</f>
        <v>6.254833333333333</v>
      </c>
      <c r="P2193" s="8" t="s">
        <v>10142</v>
      </c>
      <c r="Q2193" s="8">
        <f>+(39+51/60+19/3600)</f>
        <v>39.855277777777779</v>
      </c>
      <c r="R2193" s="8">
        <v>10.9</v>
      </c>
      <c r="S2193" s="8">
        <v>99</v>
      </c>
      <c r="T2193" s="8">
        <v>99</v>
      </c>
      <c r="U2193" s="8">
        <v>99</v>
      </c>
      <c r="V2193" s="8">
        <v>5</v>
      </c>
      <c r="Y2193" s="8" t="s">
        <v>10143</v>
      </c>
      <c r="Z2193" s="8" t="s">
        <v>10144</v>
      </c>
    </row>
    <row r="2194" spans="1:26" x14ac:dyDescent="0.2">
      <c r="A2194" s="8">
        <v>2193</v>
      </c>
      <c r="B2194" s="8" t="s">
        <v>10145</v>
      </c>
      <c r="C2194" s="8" t="s">
        <v>10145</v>
      </c>
      <c r="F2194" s="47"/>
      <c r="G2194" s="8">
        <v>16</v>
      </c>
      <c r="H2194" s="8" t="s">
        <v>21</v>
      </c>
      <c r="I2194" s="8" t="s">
        <v>557</v>
      </c>
      <c r="J2194" s="8" t="s">
        <v>557</v>
      </c>
      <c r="K2194" s="8" t="s">
        <v>557</v>
      </c>
      <c r="L2194" s="8" t="s">
        <v>55972</v>
      </c>
      <c r="M2194" s="8" t="s">
        <v>6970</v>
      </c>
      <c r="N2194" s="8" t="s">
        <v>10146</v>
      </c>
      <c r="O2194" s="8">
        <f>6+6/60+17.9/3600</f>
        <v>6.104972222222222</v>
      </c>
      <c r="P2194" s="8" t="s">
        <v>10147</v>
      </c>
      <c r="Q2194" s="8">
        <f>-(65+5/60+57/3600)</f>
        <v>-65.099166666666662</v>
      </c>
      <c r="R2194" s="8">
        <v>13.4</v>
      </c>
      <c r="S2194" s="8">
        <v>14.1</v>
      </c>
      <c r="T2194" s="8">
        <v>99</v>
      </c>
      <c r="U2194" s="8">
        <v>99</v>
      </c>
      <c r="V2194" s="8">
        <v>1.9</v>
      </c>
      <c r="Y2194" s="8" t="s">
        <v>10148</v>
      </c>
      <c r="Z2194" s="8" t="s">
        <v>10149</v>
      </c>
    </row>
    <row r="2195" spans="1:26" x14ac:dyDescent="0.2">
      <c r="A2195" s="8">
        <v>2194</v>
      </c>
      <c r="B2195" s="8" t="s">
        <v>10150</v>
      </c>
      <c r="C2195" s="8" t="s">
        <v>10150</v>
      </c>
      <c r="F2195" s="47" t="s">
        <v>56438</v>
      </c>
      <c r="G2195" s="8">
        <v>6</v>
      </c>
      <c r="H2195" s="8" t="s">
        <v>10151</v>
      </c>
      <c r="I2195" s="8" t="s">
        <v>557</v>
      </c>
      <c r="J2195" s="8" t="s">
        <v>557</v>
      </c>
      <c r="K2195" s="8" t="s">
        <v>5825</v>
      </c>
      <c r="L2195" s="8" t="s">
        <v>7698</v>
      </c>
      <c r="M2195" s="8" t="s">
        <v>7699</v>
      </c>
      <c r="N2195" s="8" t="s">
        <v>10152</v>
      </c>
      <c r="O2195" s="8">
        <f>6+13/60+45.9/3600</f>
        <v>6.2294166666666664</v>
      </c>
      <c r="P2195" s="8" t="s">
        <v>10153</v>
      </c>
      <c r="Q2195" s="8">
        <f>+(12+48/60+24/3600)</f>
        <v>12.806666666666667</v>
      </c>
      <c r="R2195" s="8">
        <v>8.5</v>
      </c>
      <c r="S2195" s="8">
        <v>99</v>
      </c>
      <c r="T2195" s="8">
        <v>99</v>
      </c>
      <c r="U2195" s="8">
        <v>99</v>
      </c>
      <c r="V2195" s="8">
        <v>9</v>
      </c>
      <c r="Y2195" s="8" t="s">
        <v>21</v>
      </c>
      <c r="Z2195" s="8" t="s">
        <v>10154</v>
      </c>
    </row>
    <row r="2196" spans="1:26" x14ac:dyDescent="0.2">
      <c r="A2196" s="8">
        <v>2195</v>
      </c>
      <c r="B2196" s="8" t="s">
        <v>10155</v>
      </c>
      <c r="C2196" s="8" t="s">
        <v>10155</v>
      </c>
      <c r="F2196" s="47"/>
      <c r="G2196" s="8">
        <v>19</v>
      </c>
      <c r="H2196" s="8" t="s">
        <v>21</v>
      </c>
      <c r="I2196" s="8" t="s">
        <v>72</v>
      </c>
      <c r="J2196" s="8" t="s">
        <v>72</v>
      </c>
      <c r="K2196" s="8" t="s">
        <v>73</v>
      </c>
      <c r="L2196" s="8" t="s">
        <v>7698</v>
      </c>
      <c r="M2196" s="8" t="s">
        <v>7699</v>
      </c>
      <c r="N2196" s="8" t="s">
        <v>10156</v>
      </c>
      <c r="O2196" s="8">
        <f>6+14/60+34.8/3600</f>
        <v>6.2430000000000003</v>
      </c>
      <c r="P2196" s="8" t="s">
        <v>10157</v>
      </c>
      <c r="Q2196" s="8">
        <f>+(17+38/60+22/3600)</f>
        <v>17.639444444444443</v>
      </c>
      <c r="R2196" s="8">
        <v>99</v>
      </c>
      <c r="S2196" s="8">
        <v>99</v>
      </c>
      <c r="T2196" s="8">
        <v>99</v>
      </c>
      <c r="U2196" s="8">
        <v>99</v>
      </c>
      <c r="Y2196" s="8" t="s">
        <v>21</v>
      </c>
      <c r="Z2196" s="8" t="s">
        <v>10158</v>
      </c>
    </row>
    <row r="2197" spans="1:26" x14ac:dyDescent="0.2">
      <c r="A2197" s="8">
        <v>2196</v>
      </c>
      <c r="B2197" s="8" t="s">
        <v>10159</v>
      </c>
      <c r="C2197" s="8" t="s">
        <v>10159</v>
      </c>
      <c r="F2197" s="47" t="s">
        <v>56439</v>
      </c>
      <c r="G2197" s="8">
        <v>6.5</v>
      </c>
      <c r="H2197" s="8" t="s">
        <v>21</v>
      </c>
      <c r="I2197" s="8" t="s">
        <v>22</v>
      </c>
      <c r="J2197" s="8" t="s">
        <v>22</v>
      </c>
      <c r="K2197" s="8" t="s">
        <v>91</v>
      </c>
      <c r="L2197" s="8" t="s">
        <v>7915</v>
      </c>
      <c r="M2197" s="8" t="s">
        <v>7916</v>
      </c>
      <c r="N2197" s="8" t="s">
        <v>10160</v>
      </c>
      <c r="O2197" s="8">
        <f>6+12/60+9.6/3600</f>
        <v>6.2026666666666666</v>
      </c>
      <c r="P2197" s="8" t="s">
        <v>10161</v>
      </c>
      <c r="Q2197" s="8">
        <f>-(21+48/60+22/3600)</f>
        <v>-21.806111111111111</v>
      </c>
      <c r="R2197" s="8">
        <v>11</v>
      </c>
      <c r="S2197" s="8">
        <v>11.8</v>
      </c>
      <c r="T2197" s="8">
        <v>0.8</v>
      </c>
      <c r="U2197" s="8">
        <v>12.8</v>
      </c>
      <c r="V2197" s="8">
        <v>2.8</v>
      </c>
      <c r="W2197" s="8">
        <v>2.2000000000000002</v>
      </c>
      <c r="X2197" s="8">
        <v>35</v>
      </c>
      <c r="Y2197" s="8" t="s">
        <v>10162</v>
      </c>
      <c r="Z2197" s="8" t="s">
        <v>10163</v>
      </c>
    </row>
    <row r="2198" spans="1:26" x14ac:dyDescent="0.2">
      <c r="A2198" s="8">
        <v>2197</v>
      </c>
      <c r="B2198" s="8" t="s">
        <v>10164</v>
      </c>
      <c r="C2198" s="8" t="s">
        <v>10164</v>
      </c>
      <c r="F2198" s="47"/>
      <c r="G2198" s="8">
        <v>16</v>
      </c>
      <c r="H2198" s="8" t="s">
        <v>21</v>
      </c>
      <c r="I2198" s="8" t="s">
        <v>557</v>
      </c>
      <c r="J2198" s="8" t="s">
        <v>557</v>
      </c>
      <c r="K2198" s="8" t="s">
        <v>557</v>
      </c>
      <c r="L2198" s="8" t="s">
        <v>55972</v>
      </c>
      <c r="M2198" s="8" t="s">
        <v>6970</v>
      </c>
      <c r="N2198" s="8" t="s">
        <v>10165</v>
      </c>
      <c r="O2198" s="8">
        <f>6+6/60+8.7/3600</f>
        <v>6.1024166666666666</v>
      </c>
      <c r="P2198" s="8" t="s">
        <v>10166</v>
      </c>
      <c r="Q2198" s="8">
        <f>-(67+5/60+51/3600)</f>
        <v>-67.097499999999997</v>
      </c>
      <c r="R2198" s="8">
        <v>13.5</v>
      </c>
      <c r="S2198" s="8">
        <v>13.8</v>
      </c>
      <c r="T2198" s="8">
        <v>99</v>
      </c>
      <c r="U2198" s="8">
        <v>99</v>
      </c>
      <c r="V2198" s="8">
        <v>1.7</v>
      </c>
      <c r="Y2198" s="8" t="s">
        <v>2304</v>
      </c>
      <c r="Z2198" s="8" t="s">
        <v>2305</v>
      </c>
    </row>
    <row r="2199" spans="1:26" x14ac:dyDescent="0.2">
      <c r="A2199" s="8">
        <v>2198</v>
      </c>
      <c r="B2199" s="8" t="s">
        <v>10167</v>
      </c>
      <c r="C2199" s="8" t="s">
        <v>10167</v>
      </c>
      <c r="F2199" s="47"/>
      <c r="G2199" s="8">
        <v>18</v>
      </c>
      <c r="H2199" s="8" t="s">
        <v>21</v>
      </c>
      <c r="I2199" s="8" t="s">
        <v>329</v>
      </c>
      <c r="J2199" s="8" t="s">
        <v>329</v>
      </c>
      <c r="K2199" s="8" t="s">
        <v>329</v>
      </c>
      <c r="L2199" s="8" t="s">
        <v>7698</v>
      </c>
      <c r="M2199" s="8" t="s">
        <v>7699</v>
      </c>
      <c r="N2199" s="8" t="s">
        <v>10168</v>
      </c>
      <c r="O2199" s="8">
        <f>6+13/60+54/3600</f>
        <v>6.2316666666666665</v>
      </c>
      <c r="P2199" s="8" t="s">
        <v>10169</v>
      </c>
      <c r="Q2199" s="8">
        <f>+(0+59/60+42/3600)</f>
        <v>0.995</v>
      </c>
      <c r="R2199" s="8">
        <v>99</v>
      </c>
      <c r="S2199" s="8">
        <v>99</v>
      </c>
      <c r="T2199" s="8">
        <v>99</v>
      </c>
      <c r="U2199" s="8">
        <v>99</v>
      </c>
      <c r="Y2199" s="8" t="s">
        <v>21</v>
      </c>
      <c r="Z2199" s="8" t="s">
        <v>10170</v>
      </c>
    </row>
    <row r="2200" spans="1:26" x14ac:dyDescent="0.2">
      <c r="A2200" s="8">
        <v>2199</v>
      </c>
      <c r="B2200" s="8" t="s">
        <v>10171</v>
      </c>
      <c r="C2200" s="8" t="s">
        <v>10171</v>
      </c>
      <c r="F2200" s="47"/>
      <c r="G2200" s="8">
        <v>16</v>
      </c>
      <c r="H2200" s="8" t="s">
        <v>21</v>
      </c>
      <c r="I2200" s="8" t="s">
        <v>22</v>
      </c>
      <c r="J2200" s="8" t="s">
        <v>22</v>
      </c>
      <c r="K2200" s="8" t="s">
        <v>91</v>
      </c>
      <c r="L2200" s="8" t="s">
        <v>7071</v>
      </c>
      <c r="M2200" s="8" t="s">
        <v>7072</v>
      </c>
      <c r="N2200" s="8" t="s">
        <v>10172</v>
      </c>
      <c r="O2200" s="8">
        <f>6+4/60+44.9/3600</f>
        <v>6.0791388888888891</v>
      </c>
      <c r="P2200" s="8" t="s">
        <v>10173</v>
      </c>
      <c r="Q2200" s="8">
        <f>-(73+24/60+0/3600)</f>
        <v>-73.400000000000006</v>
      </c>
      <c r="R2200" s="8">
        <v>12.8</v>
      </c>
      <c r="S2200" s="8">
        <v>13.7</v>
      </c>
      <c r="T2200" s="8">
        <v>0.9</v>
      </c>
      <c r="U2200" s="8">
        <v>13.1</v>
      </c>
      <c r="V2200" s="8">
        <v>2</v>
      </c>
      <c r="W2200" s="8">
        <v>0.8</v>
      </c>
      <c r="X2200" s="8">
        <v>37</v>
      </c>
      <c r="Y2200" s="8" t="s">
        <v>3952</v>
      </c>
      <c r="Z2200" s="8" t="s">
        <v>3953</v>
      </c>
    </row>
    <row r="2201" spans="1:26" x14ac:dyDescent="0.2">
      <c r="A2201" s="8">
        <v>2200</v>
      </c>
      <c r="B2201" s="8" t="s">
        <v>10174</v>
      </c>
      <c r="C2201" s="8" t="s">
        <v>10174</v>
      </c>
      <c r="F2201" s="47"/>
      <c r="G2201" s="8">
        <v>16</v>
      </c>
      <c r="H2201" s="8" t="s">
        <v>21</v>
      </c>
      <c r="I2201" s="8" t="s">
        <v>22</v>
      </c>
      <c r="J2201" s="8" t="s">
        <v>22</v>
      </c>
      <c r="K2201" s="8" t="s">
        <v>64</v>
      </c>
      <c r="L2201" s="8" t="s">
        <v>10175</v>
      </c>
      <c r="M2201" s="8" t="s">
        <v>10176</v>
      </c>
      <c r="N2201" s="8" t="s">
        <v>10177</v>
      </c>
      <c r="O2201" s="8">
        <f>6+13/60+17.4/3600</f>
        <v>6.2214999999999998</v>
      </c>
      <c r="P2201" s="8" t="s">
        <v>10178</v>
      </c>
      <c r="Q2201" s="8">
        <f>-(43+39/60+47/3600)</f>
        <v>-43.663055555555552</v>
      </c>
      <c r="R2201" s="8">
        <v>14</v>
      </c>
      <c r="S2201" s="8">
        <v>14.7</v>
      </c>
      <c r="T2201" s="8">
        <v>0.7</v>
      </c>
      <c r="U2201" s="8">
        <v>13.2</v>
      </c>
      <c r="V2201" s="8">
        <v>0.9</v>
      </c>
      <c r="W2201" s="8">
        <v>0.6</v>
      </c>
      <c r="X2201" s="8">
        <v>161</v>
      </c>
      <c r="Y2201" s="8" t="s">
        <v>21</v>
      </c>
      <c r="Z2201" s="8" t="s">
        <v>10179</v>
      </c>
    </row>
    <row r="2202" spans="1:26" x14ac:dyDescent="0.2">
      <c r="A2202" s="8">
        <v>2201</v>
      </c>
      <c r="B2202" s="8" t="s">
        <v>10180</v>
      </c>
      <c r="C2202" s="8" t="s">
        <v>10180</v>
      </c>
      <c r="F2202" s="47"/>
      <c r="G2202" s="8">
        <v>16</v>
      </c>
      <c r="H2202" s="8" t="s">
        <v>21</v>
      </c>
      <c r="I2202" s="8" t="s">
        <v>22</v>
      </c>
      <c r="J2202" s="8" t="s">
        <v>22</v>
      </c>
      <c r="K2202" s="8" t="s">
        <v>218</v>
      </c>
      <c r="L2202" s="8" t="s">
        <v>10175</v>
      </c>
      <c r="M2202" s="8" t="s">
        <v>10176</v>
      </c>
      <c r="N2202" s="8" t="s">
        <v>10181</v>
      </c>
      <c r="O2202" s="8">
        <f>6+13/60+31.4/3600</f>
        <v>6.2253888888888893</v>
      </c>
      <c r="P2202" s="8" t="s">
        <v>10182</v>
      </c>
      <c r="Q2202" s="8">
        <f>-(43+42/60+18/3600)</f>
        <v>-43.705000000000005</v>
      </c>
      <c r="R2202" s="8">
        <v>13.3</v>
      </c>
      <c r="S2202" s="8">
        <v>14.1</v>
      </c>
      <c r="T2202" s="8">
        <v>0.8</v>
      </c>
      <c r="U2202" s="8">
        <v>12.5</v>
      </c>
      <c r="V2202" s="8">
        <v>1.1000000000000001</v>
      </c>
      <c r="W2202" s="8">
        <v>0.5</v>
      </c>
      <c r="X2202" s="8">
        <v>113</v>
      </c>
      <c r="Y2202" s="8" t="s">
        <v>21</v>
      </c>
      <c r="Z2202" s="8" t="s">
        <v>10183</v>
      </c>
    </row>
    <row r="2203" spans="1:26" x14ac:dyDescent="0.2">
      <c r="A2203" s="8">
        <v>2202</v>
      </c>
      <c r="B2203" s="8" t="s">
        <v>10184</v>
      </c>
      <c r="C2203" s="8" t="s">
        <v>10184</v>
      </c>
      <c r="F2203" s="47"/>
      <c r="G2203" s="8">
        <v>16</v>
      </c>
      <c r="H2203" s="8" t="s">
        <v>21</v>
      </c>
      <c r="I2203" s="8" t="s">
        <v>557</v>
      </c>
      <c r="J2203" s="8" t="s">
        <v>557</v>
      </c>
      <c r="K2203" s="8" t="s">
        <v>557</v>
      </c>
      <c r="L2203" s="8" t="s">
        <v>7698</v>
      </c>
      <c r="M2203" s="8" t="s">
        <v>7699</v>
      </c>
      <c r="N2203" s="8" t="s">
        <v>10185</v>
      </c>
      <c r="O2203" s="8">
        <f>6+16/60+50.7/3600</f>
        <v>6.2807500000000003</v>
      </c>
      <c r="P2203" s="8" t="s">
        <v>10186</v>
      </c>
      <c r="Q2203" s="8">
        <f>+(5+59/60+48/3600)</f>
        <v>5.996666666666667</v>
      </c>
      <c r="R2203" s="8">
        <v>99</v>
      </c>
      <c r="S2203" s="8">
        <v>99</v>
      </c>
      <c r="T2203" s="8">
        <v>99</v>
      </c>
      <c r="U2203" s="8">
        <v>99</v>
      </c>
      <c r="V2203" s="8">
        <v>7</v>
      </c>
      <c r="Y2203" s="8" t="s">
        <v>21</v>
      </c>
      <c r="Z2203" s="8" t="s">
        <v>10187</v>
      </c>
    </row>
    <row r="2204" spans="1:26" x14ac:dyDescent="0.2">
      <c r="A2204" s="8">
        <v>2203</v>
      </c>
      <c r="B2204" s="8" t="s">
        <v>10188</v>
      </c>
      <c r="C2204" s="8" t="s">
        <v>10188</v>
      </c>
      <c r="F2204" s="47"/>
      <c r="G2204" s="8">
        <v>16</v>
      </c>
      <c r="H2204" s="8" t="s">
        <v>21</v>
      </c>
      <c r="I2204" s="8" t="s">
        <v>557</v>
      </c>
      <c r="J2204" s="8" t="s">
        <v>557</v>
      </c>
      <c r="K2204" s="8" t="s">
        <v>557</v>
      </c>
      <c r="L2204" s="8" t="s">
        <v>7071</v>
      </c>
      <c r="M2204" s="8" t="s">
        <v>7072</v>
      </c>
      <c r="N2204" s="8" t="s">
        <v>10189</v>
      </c>
      <c r="O2204" s="8">
        <f>6+4/60+42.7/3600</f>
        <v>6.0785277777777775</v>
      </c>
      <c r="P2204" s="8" t="s">
        <v>10190</v>
      </c>
      <c r="Q2204" s="8">
        <f>-(75+26/60+18/3600)</f>
        <v>-75.438333333333333</v>
      </c>
      <c r="R2204" s="8">
        <v>12</v>
      </c>
      <c r="S2204" s="8">
        <v>12.8</v>
      </c>
      <c r="T2204" s="8">
        <v>99</v>
      </c>
      <c r="U2204" s="8">
        <v>99</v>
      </c>
      <c r="V2204" s="8">
        <v>3.3</v>
      </c>
      <c r="Y2204" s="8" t="s">
        <v>10191</v>
      </c>
      <c r="Z2204" s="8" t="s">
        <v>10192</v>
      </c>
    </row>
    <row r="2205" spans="1:26" x14ac:dyDescent="0.2">
      <c r="A2205" s="8">
        <v>2204</v>
      </c>
      <c r="B2205" s="8" t="s">
        <v>10193</v>
      </c>
      <c r="C2205" s="8" t="s">
        <v>10193</v>
      </c>
      <c r="F2205" s="47" t="s">
        <v>56440</v>
      </c>
      <c r="G2205" s="8">
        <v>6</v>
      </c>
      <c r="H2205" s="8" t="s">
        <v>21</v>
      </c>
      <c r="I2205" s="8" t="s">
        <v>557</v>
      </c>
      <c r="J2205" s="8" t="s">
        <v>557</v>
      </c>
      <c r="K2205" s="8" t="s">
        <v>8805</v>
      </c>
      <c r="L2205" s="8" t="s">
        <v>10194</v>
      </c>
      <c r="M2205" s="8" t="s">
        <v>10195</v>
      </c>
      <c r="N2205" s="8" t="s">
        <v>10196</v>
      </c>
      <c r="O2205" s="8">
        <f>6+15/60+33/3600</f>
        <v>6.2591666666666663</v>
      </c>
      <c r="P2205" s="8" t="s">
        <v>10197</v>
      </c>
      <c r="Q2205" s="8">
        <f>-(18+39/60+54/3600)</f>
        <v>-18.664999999999999</v>
      </c>
      <c r="R2205" s="8">
        <v>8.6</v>
      </c>
      <c r="S2205" s="8">
        <v>99</v>
      </c>
      <c r="T2205" s="8">
        <v>99</v>
      </c>
      <c r="U2205" s="8">
        <v>99</v>
      </c>
      <c r="V2205" s="8">
        <v>10</v>
      </c>
      <c r="Y2205" s="8" t="s">
        <v>10198</v>
      </c>
      <c r="Z2205" s="8" t="s">
        <v>10199</v>
      </c>
    </row>
    <row r="2206" spans="1:26" x14ac:dyDescent="0.2">
      <c r="A2206" s="8">
        <v>2205</v>
      </c>
      <c r="B2206" s="8" t="s">
        <v>10200</v>
      </c>
      <c r="C2206" s="8" t="s">
        <v>10200</v>
      </c>
      <c r="F2206" s="47"/>
      <c r="G2206" s="8">
        <v>16</v>
      </c>
      <c r="H2206" s="8" t="s">
        <v>21</v>
      </c>
      <c r="I2206" s="8" t="s">
        <v>22</v>
      </c>
      <c r="J2206" s="8" t="s">
        <v>22</v>
      </c>
      <c r="K2206" s="8" t="s">
        <v>118</v>
      </c>
      <c r="L2206" s="8" t="s">
        <v>7782</v>
      </c>
      <c r="M2206" s="8" t="s">
        <v>7783</v>
      </c>
      <c r="N2206" s="8" t="s">
        <v>10201</v>
      </c>
      <c r="O2206" s="8">
        <f>6+10/60+32.8/3600</f>
        <v>6.1757777777777783</v>
      </c>
      <c r="P2206" s="8" t="s">
        <v>10202</v>
      </c>
      <c r="Q2206" s="8">
        <f>-(62+32/60+19/3600)</f>
        <v>-62.538611111111109</v>
      </c>
      <c r="R2206" s="8">
        <v>12.7</v>
      </c>
      <c r="S2206" s="8">
        <v>13.7</v>
      </c>
      <c r="T2206" s="8">
        <v>1</v>
      </c>
      <c r="U2206" s="8">
        <v>13</v>
      </c>
      <c r="V2206" s="8">
        <v>1.4</v>
      </c>
      <c r="W2206" s="8">
        <v>0.9</v>
      </c>
      <c r="X2206" s="8">
        <v>80</v>
      </c>
      <c r="Y2206" s="8" t="s">
        <v>3034</v>
      </c>
      <c r="Z2206" s="8" t="s">
        <v>1899</v>
      </c>
    </row>
    <row r="2207" spans="1:26" x14ac:dyDescent="0.2">
      <c r="A2207" s="8">
        <v>2206</v>
      </c>
      <c r="B2207" s="8" t="s">
        <v>10203</v>
      </c>
      <c r="C2207" s="8" t="s">
        <v>10203</v>
      </c>
      <c r="F2207" s="47"/>
      <c r="G2207" s="8">
        <v>16</v>
      </c>
      <c r="H2207" s="8" t="s">
        <v>21</v>
      </c>
      <c r="I2207" s="8" t="s">
        <v>22</v>
      </c>
      <c r="J2207" s="8" t="s">
        <v>22</v>
      </c>
      <c r="K2207" s="8" t="s">
        <v>85</v>
      </c>
      <c r="L2207" s="8" t="s">
        <v>10194</v>
      </c>
      <c r="M2207" s="8" t="s">
        <v>10195</v>
      </c>
      <c r="N2207" s="8" t="s">
        <v>10204</v>
      </c>
      <c r="O2207" s="8">
        <f>6+15/60+59.7/3600</f>
        <v>6.2665833333333332</v>
      </c>
      <c r="P2207" s="8" t="s">
        <v>10205</v>
      </c>
      <c r="Q2207" s="8">
        <f>-(26+45/60+55/3600)</f>
        <v>-26.765277777777779</v>
      </c>
      <c r="R2207" s="8">
        <v>12.2</v>
      </c>
      <c r="S2207" s="8">
        <v>12.9</v>
      </c>
      <c r="T2207" s="8">
        <v>0.7</v>
      </c>
      <c r="U2207" s="8">
        <v>13.3</v>
      </c>
      <c r="V2207" s="8">
        <v>2.4</v>
      </c>
      <c r="W2207" s="8">
        <v>1.3</v>
      </c>
      <c r="X2207" s="8">
        <v>138</v>
      </c>
      <c r="Y2207" s="8" t="s">
        <v>10206</v>
      </c>
      <c r="Z2207" s="8" t="s">
        <v>10207</v>
      </c>
    </row>
    <row r="2208" spans="1:26" x14ac:dyDescent="0.2">
      <c r="A2208" s="8">
        <v>2207</v>
      </c>
      <c r="B2208" s="8" t="s">
        <v>10208</v>
      </c>
      <c r="C2208" s="8" t="s">
        <v>10208</v>
      </c>
      <c r="F2208" s="47"/>
      <c r="G2208" s="8">
        <v>7</v>
      </c>
      <c r="H2208" s="8" t="s">
        <v>21</v>
      </c>
      <c r="I2208" s="8" t="s">
        <v>22</v>
      </c>
      <c r="J2208" s="8" t="s">
        <v>22</v>
      </c>
      <c r="K2208" s="8" t="s">
        <v>3407</v>
      </c>
      <c r="L2208" s="8" t="s">
        <v>10194</v>
      </c>
      <c r="M2208" s="8" t="s">
        <v>10195</v>
      </c>
      <c r="N2208" s="8" t="s">
        <v>10209</v>
      </c>
      <c r="O2208" s="8">
        <f>6+16/60+21.8/3600</f>
        <v>6.2727222222222219</v>
      </c>
      <c r="P2208" s="8" t="s">
        <v>10210</v>
      </c>
      <c r="Q2208" s="8">
        <f>-(21+22/60+22/3600)</f>
        <v>-21.372777777777777</v>
      </c>
      <c r="R2208" s="8">
        <v>10.9</v>
      </c>
      <c r="S2208" s="8">
        <v>11.7</v>
      </c>
      <c r="T2208" s="8">
        <v>0.8</v>
      </c>
      <c r="U2208" s="8">
        <v>13.1</v>
      </c>
      <c r="V2208" s="8">
        <v>3.9</v>
      </c>
      <c r="W2208" s="8">
        <v>2.2000000000000002</v>
      </c>
      <c r="X2208" s="8">
        <v>141</v>
      </c>
      <c r="Y2208" s="8" t="s">
        <v>21</v>
      </c>
      <c r="Z2208" s="8" t="s">
        <v>10211</v>
      </c>
    </row>
    <row r="2209" spans="1:26" x14ac:dyDescent="0.2">
      <c r="A2209" s="8">
        <v>2208</v>
      </c>
      <c r="B2209" s="8" t="s">
        <v>10212</v>
      </c>
      <c r="C2209" s="8" t="s">
        <v>10212</v>
      </c>
      <c r="F2209" s="47"/>
      <c r="G2209" s="8">
        <v>19</v>
      </c>
      <c r="H2209" s="8" t="s">
        <v>21</v>
      </c>
      <c r="I2209" s="8" t="s">
        <v>22</v>
      </c>
      <c r="J2209" s="8" t="s">
        <v>22</v>
      </c>
      <c r="K2209" s="8" t="s">
        <v>37</v>
      </c>
      <c r="L2209" s="8" t="s">
        <v>7717</v>
      </c>
      <c r="M2209" s="8" t="s">
        <v>7718</v>
      </c>
      <c r="N2209" s="8" t="s">
        <v>10213</v>
      </c>
      <c r="O2209" s="8">
        <f>6+22/60+34.6/3600</f>
        <v>6.3762777777777773</v>
      </c>
      <c r="P2209" s="8" t="s">
        <v>10214</v>
      </c>
      <c r="Q2209" s="8">
        <f>+(51+54/60+36/3600)</f>
        <v>51.91</v>
      </c>
      <c r="R2209" s="8">
        <v>12.8</v>
      </c>
      <c r="S2209" s="8">
        <v>13.8</v>
      </c>
      <c r="T2209" s="8">
        <v>1</v>
      </c>
      <c r="U2209" s="8">
        <v>13.2</v>
      </c>
      <c r="V2209" s="8">
        <v>1.6</v>
      </c>
      <c r="W2209" s="8">
        <v>1.1000000000000001</v>
      </c>
      <c r="X2209" s="8">
        <v>110</v>
      </c>
      <c r="Y2209" s="8" t="s">
        <v>10215</v>
      </c>
      <c r="Z2209" s="8" t="s">
        <v>10216</v>
      </c>
    </row>
    <row r="2210" spans="1:26" x14ac:dyDescent="0.2">
      <c r="A2210" s="8">
        <v>2209</v>
      </c>
      <c r="B2210" s="8" t="s">
        <v>10217</v>
      </c>
      <c r="C2210" s="8" t="s">
        <v>10217</v>
      </c>
      <c r="F2210" s="47"/>
      <c r="G2210" s="8">
        <v>16</v>
      </c>
      <c r="H2210" s="8" t="s">
        <v>21</v>
      </c>
      <c r="I2210" s="8" t="s">
        <v>557</v>
      </c>
      <c r="J2210" s="8" t="s">
        <v>557</v>
      </c>
      <c r="K2210" s="8" t="s">
        <v>557</v>
      </c>
      <c r="L2210" s="8" t="s">
        <v>7071</v>
      </c>
      <c r="M2210" s="8" t="s">
        <v>7072</v>
      </c>
      <c r="N2210" s="8" t="s">
        <v>10218</v>
      </c>
      <c r="O2210" s="8">
        <f>6+8/60+33.5/3600</f>
        <v>6.1426388888888894</v>
      </c>
      <c r="P2210" s="8" t="s">
        <v>10219</v>
      </c>
      <c r="Q2210" s="8">
        <f>-(73+50/60+16/3600)</f>
        <v>-73.837777777777774</v>
      </c>
      <c r="R2210" s="8">
        <v>13.2</v>
      </c>
      <c r="S2210" s="8">
        <v>13.6</v>
      </c>
      <c r="T2210" s="8">
        <v>99</v>
      </c>
      <c r="U2210" s="8">
        <v>99</v>
      </c>
      <c r="V2210" s="8">
        <v>2.8</v>
      </c>
      <c r="Y2210" s="8" t="s">
        <v>10220</v>
      </c>
      <c r="Z2210" s="8" t="s">
        <v>10221</v>
      </c>
    </row>
    <row r="2211" spans="1:26" x14ac:dyDescent="0.2">
      <c r="A2211" s="8">
        <v>2210</v>
      </c>
      <c r="B2211" s="8" t="s">
        <v>10222</v>
      </c>
      <c r="C2211" s="8" t="s">
        <v>10222</v>
      </c>
      <c r="F2211" s="47"/>
      <c r="G2211" s="8">
        <v>16</v>
      </c>
      <c r="H2211" s="8" t="s">
        <v>21</v>
      </c>
      <c r="I2211" s="8" t="s">
        <v>557</v>
      </c>
      <c r="J2211" s="8" t="s">
        <v>557</v>
      </c>
      <c r="K2211" s="8" t="s">
        <v>557</v>
      </c>
      <c r="L2211" s="8" t="s">
        <v>55972</v>
      </c>
      <c r="M2211" s="8" t="s">
        <v>6970</v>
      </c>
      <c r="N2211" s="8" t="s">
        <v>10223</v>
      </c>
      <c r="O2211" s="8">
        <f>6+11/60+31.9/3600</f>
        <v>6.1921944444444446</v>
      </c>
      <c r="P2211" s="8" t="s">
        <v>10224</v>
      </c>
      <c r="Q2211" s="8">
        <f>-(69+7/60+15/3600)</f>
        <v>-69.120833333333323</v>
      </c>
      <c r="R2211" s="8">
        <v>10.199999999999999</v>
      </c>
      <c r="S2211" s="8">
        <v>99</v>
      </c>
      <c r="T2211" s="8">
        <v>99</v>
      </c>
      <c r="U2211" s="8">
        <v>99</v>
      </c>
      <c r="V2211" s="8">
        <v>2.1</v>
      </c>
      <c r="Y2211" s="8" t="s">
        <v>10225</v>
      </c>
      <c r="Z2211" s="8" t="s">
        <v>10226</v>
      </c>
    </row>
    <row r="2212" spans="1:26" x14ac:dyDescent="0.2">
      <c r="A2212" s="8">
        <v>2211</v>
      </c>
      <c r="B2212" s="8" t="s">
        <v>10227</v>
      </c>
      <c r="C2212" s="8" t="s">
        <v>10227</v>
      </c>
      <c r="F2212" s="47"/>
      <c r="G2212" s="8">
        <v>19</v>
      </c>
      <c r="H2212" s="8" t="s">
        <v>21</v>
      </c>
      <c r="I2212" s="8" t="s">
        <v>22</v>
      </c>
      <c r="J2212" s="8" t="s">
        <v>22</v>
      </c>
      <c r="K2212" s="8" t="s">
        <v>224</v>
      </c>
      <c r="L2212" s="8" t="s">
        <v>10194</v>
      </c>
      <c r="M2212" s="8" t="s">
        <v>10195</v>
      </c>
      <c r="N2212" s="8" t="s">
        <v>10228</v>
      </c>
      <c r="O2212" s="8">
        <f>6+18/60+30.2/3600</f>
        <v>6.3083888888888886</v>
      </c>
      <c r="P2212" s="8" t="s">
        <v>10229</v>
      </c>
      <c r="Q2212" s="8">
        <f>-(18+32/60+16/3600)</f>
        <v>-18.53777777777778</v>
      </c>
      <c r="R2212" s="8">
        <v>12.7</v>
      </c>
      <c r="S2212" s="8">
        <v>13.7</v>
      </c>
      <c r="T2212" s="8">
        <v>1</v>
      </c>
      <c r="U2212" s="8">
        <v>12.5</v>
      </c>
      <c r="V2212" s="8">
        <v>1.4</v>
      </c>
      <c r="W2212" s="8">
        <v>0.7</v>
      </c>
      <c r="X2212" s="8">
        <v>22</v>
      </c>
      <c r="Y2212" s="8" t="s">
        <v>10230</v>
      </c>
      <c r="Z2212" s="8" t="s">
        <v>10231</v>
      </c>
    </row>
    <row r="2213" spans="1:26" x14ac:dyDescent="0.2">
      <c r="A2213" s="8">
        <v>2212</v>
      </c>
      <c r="B2213" s="8" t="s">
        <v>10232</v>
      </c>
      <c r="C2213" s="8" t="s">
        <v>10232</v>
      </c>
      <c r="F2213" s="47"/>
      <c r="G2213" s="8">
        <v>19</v>
      </c>
      <c r="H2213" s="8" t="s">
        <v>21</v>
      </c>
      <c r="I2213" s="8" t="s">
        <v>22</v>
      </c>
      <c r="J2213" s="8" t="s">
        <v>22</v>
      </c>
      <c r="K2213" s="8" t="s">
        <v>435</v>
      </c>
      <c r="L2213" s="8" t="s">
        <v>10194</v>
      </c>
      <c r="M2213" s="8" t="s">
        <v>10195</v>
      </c>
      <c r="N2213" s="8" t="s">
        <v>10233</v>
      </c>
      <c r="O2213" s="8">
        <f>6+18/60+35.7/3600</f>
        <v>6.3099166666666662</v>
      </c>
      <c r="P2213" s="8" t="s">
        <v>10234</v>
      </c>
      <c r="Q2213" s="8">
        <f>-(18+31/60+12/3600)</f>
        <v>-18.52</v>
      </c>
      <c r="R2213" s="8">
        <v>13.4</v>
      </c>
      <c r="S2213" s="8">
        <v>14.3</v>
      </c>
      <c r="T2213" s="8">
        <v>0.9</v>
      </c>
      <c r="U2213" s="8">
        <v>13.5</v>
      </c>
      <c r="V2213" s="8">
        <v>1.5</v>
      </c>
      <c r="W2213" s="8">
        <v>0.8</v>
      </c>
      <c r="X2213" s="8">
        <v>136</v>
      </c>
      <c r="Y2213" s="8" t="s">
        <v>10235</v>
      </c>
      <c r="Z2213" s="8" t="s">
        <v>10236</v>
      </c>
    </row>
    <row r="2214" spans="1:26" x14ac:dyDescent="0.2">
      <c r="A2214" s="8">
        <v>2213</v>
      </c>
      <c r="B2214" s="8" t="s">
        <v>10237</v>
      </c>
      <c r="C2214" s="8" t="s">
        <v>10237</v>
      </c>
      <c r="F2214" s="47"/>
      <c r="G2214" s="8">
        <v>16</v>
      </c>
      <c r="H2214" s="8" t="s">
        <v>21</v>
      </c>
      <c r="I2214" s="8" t="s">
        <v>557</v>
      </c>
      <c r="J2214" s="8" t="s">
        <v>557</v>
      </c>
      <c r="K2214" s="8" t="s">
        <v>557</v>
      </c>
      <c r="L2214" s="8" t="s">
        <v>7071</v>
      </c>
      <c r="M2214" s="8" t="s">
        <v>7072</v>
      </c>
      <c r="N2214" s="8" t="s">
        <v>10238</v>
      </c>
      <c r="O2214" s="8">
        <f>6+10/60+42/3600</f>
        <v>6.1783333333333337</v>
      </c>
      <c r="P2214" s="8" t="s">
        <v>10239</v>
      </c>
      <c r="Q2214" s="8">
        <f>-(71+31/60+42/3600)</f>
        <v>-71.528333333333336</v>
      </c>
      <c r="R2214" s="8">
        <v>12.4</v>
      </c>
      <c r="S2214" s="8">
        <v>13.1</v>
      </c>
      <c r="T2214" s="8">
        <v>99</v>
      </c>
      <c r="U2214" s="8">
        <v>99</v>
      </c>
      <c r="V2214" s="8">
        <v>2.1</v>
      </c>
      <c r="Y2214" s="8" t="s">
        <v>21</v>
      </c>
      <c r="Z2214" s="8" t="s">
        <v>10240</v>
      </c>
    </row>
    <row r="2215" spans="1:26" x14ac:dyDescent="0.2">
      <c r="A2215" s="8">
        <v>2214</v>
      </c>
      <c r="B2215" s="8" t="s">
        <v>10241</v>
      </c>
      <c r="C2215" s="8" t="s">
        <v>10241</v>
      </c>
      <c r="F2215" s="47"/>
      <c r="G2215" s="8">
        <v>3</v>
      </c>
      <c r="H2215" s="8" t="s">
        <v>21</v>
      </c>
      <c r="I2215" s="8" t="s">
        <v>557</v>
      </c>
      <c r="J2215" s="8" t="s">
        <v>557</v>
      </c>
      <c r="K2215" s="8" t="s">
        <v>557</v>
      </c>
      <c r="L2215" s="8" t="s">
        <v>55972</v>
      </c>
      <c r="M2215" s="8" t="s">
        <v>6970</v>
      </c>
      <c r="N2215" s="8" t="s">
        <v>10242</v>
      </c>
      <c r="O2215" s="8">
        <f>6+12/60+57.5/3600</f>
        <v>6.2159722222222227</v>
      </c>
      <c r="P2215" s="8" t="s">
        <v>10243</v>
      </c>
      <c r="Q2215" s="8">
        <f>-(68+15/60+33/3600)</f>
        <v>-68.259166666666673</v>
      </c>
      <c r="R2215" s="8">
        <v>10.9</v>
      </c>
      <c r="S2215" s="8">
        <v>99</v>
      </c>
      <c r="T2215" s="8">
        <v>99</v>
      </c>
      <c r="U2215" s="8">
        <v>99</v>
      </c>
      <c r="V2215" s="8">
        <v>3.6</v>
      </c>
      <c r="Y2215" s="8" t="s">
        <v>10244</v>
      </c>
      <c r="Z2215" s="8" t="s">
        <v>10245</v>
      </c>
    </row>
    <row r="2216" spans="1:26" x14ac:dyDescent="0.2">
      <c r="A2216" s="8">
        <v>2215</v>
      </c>
      <c r="B2216" s="8" t="s">
        <v>10246</v>
      </c>
      <c r="C2216" s="8" t="s">
        <v>10246</v>
      </c>
      <c r="F2216" s="47" t="s">
        <v>56441</v>
      </c>
      <c r="G2216" s="8">
        <v>6</v>
      </c>
      <c r="H2216" s="8" t="s">
        <v>21</v>
      </c>
      <c r="I2216" s="8" t="s">
        <v>557</v>
      </c>
      <c r="J2216" s="8" t="s">
        <v>557</v>
      </c>
      <c r="K2216" s="8" t="s">
        <v>558</v>
      </c>
      <c r="L2216" s="8" t="s">
        <v>9917</v>
      </c>
      <c r="M2216" s="8" t="s">
        <v>9918</v>
      </c>
      <c r="N2216" s="8" t="s">
        <v>10247</v>
      </c>
      <c r="O2216" s="8">
        <f>6+20/60+49.2/3600</f>
        <v>6.3469999999999995</v>
      </c>
      <c r="P2216" s="8" t="s">
        <v>10248</v>
      </c>
      <c r="Q2216" s="8">
        <f>-(7+17/60+2/3600)</f>
        <v>-7.2838888888888889</v>
      </c>
      <c r="R2216" s="8">
        <v>8.4</v>
      </c>
      <c r="S2216" s="8">
        <v>99</v>
      </c>
      <c r="T2216" s="8">
        <v>99</v>
      </c>
      <c r="U2216" s="8">
        <v>99</v>
      </c>
      <c r="V2216" s="8">
        <v>8</v>
      </c>
      <c r="Y2216" s="8" t="s">
        <v>10249</v>
      </c>
      <c r="Z2216" s="8" t="s">
        <v>10250</v>
      </c>
    </row>
    <row r="2217" spans="1:26" x14ac:dyDescent="0.2">
      <c r="A2217" s="8">
        <v>2216</v>
      </c>
      <c r="B2217" s="8" t="s">
        <v>10251</v>
      </c>
      <c r="C2217" s="8" t="s">
        <v>10251</v>
      </c>
      <c r="F2217" s="47"/>
      <c r="G2217" s="8">
        <v>16</v>
      </c>
      <c r="H2217" s="8" t="s">
        <v>21</v>
      </c>
      <c r="I2217" s="8" t="s">
        <v>22</v>
      </c>
      <c r="J2217" s="8" t="s">
        <v>22</v>
      </c>
      <c r="K2217" s="8" t="s">
        <v>406</v>
      </c>
      <c r="L2217" s="8" t="s">
        <v>10194</v>
      </c>
      <c r="M2217" s="8" t="s">
        <v>10195</v>
      </c>
      <c r="N2217" s="8" t="s">
        <v>10252</v>
      </c>
      <c r="O2217" s="8">
        <f>6+21/60+30.7/3600</f>
        <v>6.3585277777777778</v>
      </c>
      <c r="P2217" s="8" t="s">
        <v>10253</v>
      </c>
      <c r="Q2217" s="8">
        <f>-(22+5/60+14/3600)</f>
        <v>-22.08722222222222</v>
      </c>
      <c r="R2217" s="8">
        <v>12.8</v>
      </c>
      <c r="S2217" s="8">
        <v>13.6</v>
      </c>
      <c r="T2217" s="8">
        <v>0.8</v>
      </c>
      <c r="U2217" s="8">
        <v>13.1</v>
      </c>
      <c r="V2217" s="8">
        <v>1.4</v>
      </c>
      <c r="W2217" s="8">
        <v>1.1000000000000001</v>
      </c>
      <c r="X2217" s="8">
        <v>20</v>
      </c>
      <c r="Y2217" s="8" t="s">
        <v>8638</v>
      </c>
      <c r="Z2217" s="8" t="s">
        <v>8639</v>
      </c>
    </row>
    <row r="2218" spans="1:26" x14ac:dyDescent="0.2">
      <c r="A2218" s="8">
        <v>2217</v>
      </c>
      <c r="B2218" s="8" t="s">
        <v>10254</v>
      </c>
      <c r="C2218" s="8" t="s">
        <v>10254</v>
      </c>
      <c r="F2218" s="47"/>
      <c r="G2218" s="8">
        <v>7</v>
      </c>
      <c r="H2218" s="8" t="s">
        <v>21</v>
      </c>
      <c r="I2218" s="8" t="s">
        <v>22</v>
      </c>
      <c r="J2218" s="8" t="s">
        <v>22</v>
      </c>
      <c r="K2218" s="8" t="s">
        <v>435</v>
      </c>
      <c r="L2218" s="8" t="s">
        <v>10194</v>
      </c>
      <c r="M2218" s="8" t="s">
        <v>10195</v>
      </c>
      <c r="N2218" s="8" t="s">
        <v>10255</v>
      </c>
      <c r="O2218" s="8">
        <f>6+21/60+39.8/3600</f>
        <v>6.3610555555555548</v>
      </c>
      <c r="P2218" s="8" t="s">
        <v>10256</v>
      </c>
      <c r="Q2218" s="8">
        <f>-(27+14/60+3/3600)</f>
        <v>-27.234166666666667</v>
      </c>
      <c r="R2218" s="8">
        <v>10.7</v>
      </c>
      <c r="S2218" s="8">
        <v>11.7</v>
      </c>
      <c r="T2218" s="8">
        <v>1</v>
      </c>
      <c r="U2218" s="8">
        <v>13.8</v>
      </c>
      <c r="V2218" s="8">
        <v>4.7</v>
      </c>
      <c r="W2218" s="8">
        <v>4.3</v>
      </c>
      <c r="X2218" s="8">
        <v>21</v>
      </c>
      <c r="Y2218" s="8" t="s">
        <v>10257</v>
      </c>
      <c r="Z2218" s="8" t="s">
        <v>10258</v>
      </c>
    </row>
    <row r="2219" spans="1:26" x14ac:dyDescent="0.2">
      <c r="A2219" s="8">
        <v>2218</v>
      </c>
      <c r="B2219" s="8" t="s">
        <v>10259</v>
      </c>
      <c r="C2219" s="8" t="s">
        <v>10259</v>
      </c>
      <c r="F2219" s="47"/>
      <c r="G2219" s="8">
        <v>17</v>
      </c>
      <c r="H2219" s="8" t="s">
        <v>21</v>
      </c>
      <c r="I2219" s="8" t="s">
        <v>329</v>
      </c>
      <c r="J2219" s="8" t="s">
        <v>329</v>
      </c>
      <c r="K2219" s="8" t="s">
        <v>329</v>
      </c>
      <c r="L2219" s="8" t="s">
        <v>9862</v>
      </c>
      <c r="M2219" s="8" t="s">
        <v>9863</v>
      </c>
      <c r="N2219" s="8" t="s">
        <v>10260</v>
      </c>
      <c r="O2219" s="8">
        <f>6+24/60+42/3600</f>
        <v>6.4116666666666671</v>
      </c>
      <c r="P2219" s="8" t="s">
        <v>10261</v>
      </c>
      <c r="Q2219" s="8">
        <f>+(19+20/60+42/3600)</f>
        <v>19.344999999999999</v>
      </c>
      <c r="R2219" s="8">
        <v>99</v>
      </c>
      <c r="S2219" s="8">
        <v>99</v>
      </c>
      <c r="T2219" s="8">
        <v>99</v>
      </c>
      <c r="U2219" s="8">
        <v>99</v>
      </c>
      <c r="Y2219" s="8" t="s">
        <v>10262</v>
      </c>
      <c r="Z2219" s="8" t="s">
        <v>10263</v>
      </c>
    </row>
    <row r="2220" spans="1:26" x14ac:dyDescent="0.2">
      <c r="A2220" s="8">
        <v>2219</v>
      </c>
      <c r="B2220" s="8" t="s">
        <v>10264</v>
      </c>
      <c r="C2220" s="8" t="s">
        <v>10264</v>
      </c>
      <c r="F2220" s="47"/>
      <c r="G2220" s="8">
        <v>16</v>
      </c>
      <c r="H2220" s="8" t="s">
        <v>21</v>
      </c>
      <c r="I2220" s="8" t="s">
        <v>557</v>
      </c>
      <c r="J2220" s="8" t="s">
        <v>557</v>
      </c>
      <c r="K2220" s="8" t="s">
        <v>557</v>
      </c>
      <c r="L2220" s="8" t="s">
        <v>9917</v>
      </c>
      <c r="M2220" s="8" t="s">
        <v>9918</v>
      </c>
      <c r="N2220" s="8" t="s">
        <v>10265</v>
      </c>
      <c r="O2220" s="8">
        <f>6+23/60+44.3/3600</f>
        <v>6.3956388888888895</v>
      </c>
      <c r="P2220" s="8" t="s">
        <v>10266</v>
      </c>
      <c r="Q2220" s="8">
        <f>-(4+40/60+36/3600)</f>
        <v>-4.6766666666666667</v>
      </c>
      <c r="R2220" s="8">
        <v>99</v>
      </c>
      <c r="S2220" s="8">
        <v>99</v>
      </c>
      <c r="T2220" s="8">
        <v>99</v>
      </c>
      <c r="U2220" s="8">
        <v>99</v>
      </c>
      <c r="V2220" s="8">
        <v>10</v>
      </c>
      <c r="Y2220" s="8" t="s">
        <v>21</v>
      </c>
      <c r="Z2220" s="8" t="s">
        <v>10267</v>
      </c>
    </row>
    <row r="2221" spans="1:26" x14ac:dyDescent="0.2">
      <c r="A2221" s="8">
        <v>2220</v>
      </c>
      <c r="B2221" s="8" t="s">
        <v>10268</v>
      </c>
      <c r="C2221" s="8" t="s">
        <v>10268</v>
      </c>
      <c r="F2221" s="47"/>
      <c r="G2221" s="8">
        <v>16</v>
      </c>
      <c r="H2221" s="8" t="s">
        <v>21</v>
      </c>
      <c r="I2221" s="8" t="s">
        <v>72</v>
      </c>
      <c r="J2221" s="8" t="s">
        <v>72</v>
      </c>
      <c r="K2221" s="8" t="s">
        <v>1405</v>
      </c>
      <c r="L2221" s="8" t="s">
        <v>10175</v>
      </c>
      <c r="M2221" s="8" t="s">
        <v>10176</v>
      </c>
      <c r="N2221" s="8" t="s">
        <v>10269</v>
      </c>
      <c r="O2221" s="8">
        <f>6+21/60+12/3600</f>
        <v>6.3533333333333326</v>
      </c>
      <c r="P2221" s="8" t="s">
        <v>10270</v>
      </c>
      <c r="Q2221" s="8">
        <f>-(44+45/60+28/3600)</f>
        <v>-44.757777777777775</v>
      </c>
      <c r="R2221" s="8">
        <v>99</v>
      </c>
      <c r="S2221" s="8">
        <v>99</v>
      </c>
      <c r="T2221" s="8">
        <v>99</v>
      </c>
      <c r="U2221" s="8">
        <v>99</v>
      </c>
      <c r="V2221" s="8">
        <v>5</v>
      </c>
      <c r="Y2221" s="8" t="s">
        <v>10271</v>
      </c>
      <c r="Z2221" s="8" t="s">
        <v>10272</v>
      </c>
    </row>
    <row r="2222" spans="1:26" x14ac:dyDescent="0.2">
      <c r="A2222" s="8">
        <v>2221</v>
      </c>
      <c r="B2222" s="8" t="s">
        <v>10273</v>
      </c>
      <c r="C2222" s="8" t="s">
        <v>10273</v>
      </c>
      <c r="F2222" s="47"/>
      <c r="G2222" s="8">
        <v>16</v>
      </c>
      <c r="H2222" s="8" t="s">
        <v>21</v>
      </c>
      <c r="I2222" s="8" t="s">
        <v>22</v>
      </c>
      <c r="J2222" s="8" t="s">
        <v>22</v>
      </c>
      <c r="K2222" s="8" t="s">
        <v>91</v>
      </c>
      <c r="L2222" s="8" t="s">
        <v>7782</v>
      </c>
      <c r="M2222" s="8" t="s">
        <v>7783</v>
      </c>
      <c r="N2222" s="8" t="s">
        <v>10274</v>
      </c>
      <c r="O2222" s="8">
        <f>6+20/60+15.8/3600</f>
        <v>6.3377222222222223</v>
      </c>
      <c r="P2222" s="8" t="s">
        <v>10275</v>
      </c>
      <c r="Q2222" s="8">
        <f>-(57+34/60+43/3600)</f>
        <v>-57.578611111111115</v>
      </c>
      <c r="R2222" s="8">
        <v>13.2</v>
      </c>
      <c r="S2222" s="8">
        <v>14.1</v>
      </c>
      <c r="T2222" s="8">
        <v>0.9</v>
      </c>
      <c r="U2222" s="8">
        <v>12.8</v>
      </c>
      <c r="V2222" s="8">
        <v>2</v>
      </c>
      <c r="W2222" s="8">
        <v>0.5</v>
      </c>
      <c r="X2222" s="8">
        <v>0</v>
      </c>
      <c r="Y2222" s="8" t="s">
        <v>10276</v>
      </c>
      <c r="Z2222" s="8" t="s">
        <v>10277</v>
      </c>
    </row>
    <row r="2223" spans="1:26" x14ac:dyDescent="0.2">
      <c r="A2223" s="8">
        <v>2222</v>
      </c>
      <c r="B2223" s="8" t="s">
        <v>10278</v>
      </c>
      <c r="C2223" s="8" t="s">
        <v>10278</v>
      </c>
      <c r="F2223" s="47"/>
      <c r="G2223" s="8">
        <v>16</v>
      </c>
      <c r="H2223" s="8" t="s">
        <v>21</v>
      </c>
      <c r="I2223" s="8" t="s">
        <v>22</v>
      </c>
      <c r="J2223" s="8" t="s">
        <v>22</v>
      </c>
      <c r="K2223" s="8" t="s">
        <v>154</v>
      </c>
      <c r="L2223" s="8" t="s">
        <v>7782</v>
      </c>
      <c r="M2223" s="8" t="s">
        <v>7783</v>
      </c>
      <c r="N2223" s="8" t="s">
        <v>10279</v>
      </c>
      <c r="O2223" s="8">
        <f>6+20/60+16.8/3600</f>
        <v>6.3380000000000001</v>
      </c>
      <c r="P2223" s="8" t="s">
        <v>10280</v>
      </c>
      <c r="Q2223" s="8">
        <f>-(57+32/60+0/3600)</f>
        <v>-57.533333333333331</v>
      </c>
      <c r="R2223" s="8">
        <v>13.3</v>
      </c>
      <c r="S2223" s="8">
        <v>14.2</v>
      </c>
      <c r="T2223" s="8">
        <v>0.9</v>
      </c>
      <c r="U2223" s="8">
        <v>12</v>
      </c>
      <c r="V2223" s="8">
        <v>1.2</v>
      </c>
      <c r="W2223" s="8">
        <v>0.3</v>
      </c>
      <c r="X2223" s="8">
        <v>150</v>
      </c>
      <c r="Y2223" s="8" t="s">
        <v>10281</v>
      </c>
      <c r="Z2223" s="8" t="s">
        <v>10282</v>
      </c>
    </row>
    <row r="2224" spans="1:26" x14ac:dyDescent="0.2">
      <c r="A2224" s="8">
        <v>2223</v>
      </c>
      <c r="B2224" s="8" t="s">
        <v>10283</v>
      </c>
      <c r="C2224" s="8" t="s">
        <v>10283</v>
      </c>
      <c r="F2224" s="47"/>
      <c r="G2224" s="8">
        <v>13</v>
      </c>
      <c r="H2224" s="8" t="s">
        <v>21</v>
      </c>
      <c r="I2224" s="8" t="s">
        <v>22</v>
      </c>
      <c r="J2224" s="8" t="s">
        <v>22</v>
      </c>
      <c r="K2224" s="8" t="s">
        <v>218</v>
      </c>
      <c r="L2224" s="8" t="s">
        <v>10194</v>
      </c>
      <c r="M2224" s="8" t="s">
        <v>10195</v>
      </c>
      <c r="N2224" s="8" t="s">
        <v>10284</v>
      </c>
      <c r="O2224" s="8">
        <f>6+24/60+35.8/3600</f>
        <v>6.4099444444444451</v>
      </c>
      <c r="P2224" s="8" t="s">
        <v>10285</v>
      </c>
      <c r="Q2224" s="8">
        <f>-(22+50/60+19/3600)</f>
        <v>-22.83861111111111</v>
      </c>
      <c r="R2224" s="8">
        <v>11.5</v>
      </c>
      <c r="S2224" s="8">
        <v>12.3</v>
      </c>
      <c r="T2224" s="8">
        <v>0.8</v>
      </c>
      <c r="U2224" s="8">
        <v>13.6</v>
      </c>
      <c r="V2224" s="8">
        <v>3</v>
      </c>
      <c r="W2224" s="8">
        <v>2.6</v>
      </c>
      <c r="X2224" s="8">
        <v>175</v>
      </c>
      <c r="Y2224" s="8" t="s">
        <v>10286</v>
      </c>
      <c r="Z2224" s="8" t="s">
        <v>10287</v>
      </c>
    </row>
    <row r="2225" spans="1:26" x14ac:dyDescent="0.2">
      <c r="A2225" s="8">
        <v>2224</v>
      </c>
      <c r="B2225" s="8" t="s">
        <v>10288</v>
      </c>
      <c r="C2225" s="8" t="s">
        <v>10288</v>
      </c>
      <c r="F2225" s="47" t="s">
        <v>56442</v>
      </c>
      <c r="G2225" s="8">
        <v>15</v>
      </c>
      <c r="H2225" s="8" t="s">
        <v>21</v>
      </c>
      <c r="I2225" s="8" t="s">
        <v>72</v>
      </c>
      <c r="J2225" s="8" t="s">
        <v>72</v>
      </c>
      <c r="K2225" s="8" t="s">
        <v>1405</v>
      </c>
      <c r="L2225" s="8" t="s">
        <v>9862</v>
      </c>
      <c r="M2225" s="8" t="s">
        <v>9863</v>
      </c>
      <c r="N2225" s="8" t="s">
        <v>10289</v>
      </c>
      <c r="O2225" s="8">
        <f>6+27/60+32/3600</f>
        <v>6.4588888888888887</v>
      </c>
      <c r="P2225" s="8" t="s">
        <v>3775</v>
      </c>
      <c r="Q2225" s="8">
        <f>+(12+39/60+20/3600)</f>
        <v>12.655555555555557</v>
      </c>
      <c r="R2225" s="8">
        <v>99</v>
      </c>
      <c r="S2225" s="8">
        <v>99</v>
      </c>
      <c r="T2225" s="8">
        <v>99</v>
      </c>
      <c r="U2225" s="8">
        <v>99</v>
      </c>
      <c r="V2225" s="8">
        <v>20</v>
      </c>
      <c r="Y2225" s="8" t="s">
        <v>21</v>
      </c>
      <c r="Z2225" s="8" t="s">
        <v>10290</v>
      </c>
    </row>
    <row r="2226" spans="1:26" x14ac:dyDescent="0.2">
      <c r="A2226" s="8">
        <v>2225</v>
      </c>
      <c r="B2226" s="8" t="s">
        <v>10291</v>
      </c>
      <c r="C2226" s="8" t="s">
        <v>10291</v>
      </c>
      <c r="F2226" s="47" t="s">
        <v>56443</v>
      </c>
      <c r="G2226" s="8">
        <v>9</v>
      </c>
      <c r="H2226" s="8" t="s">
        <v>21</v>
      </c>
      <c r="I2226" s="8" t="s">
        <v>557</v>
      </c>
      <c r="J2226" s="8" t="s">
        <v>557</v>
      </c>
      <c r="K2226" s="8" t="s">
        <v>557</v>
      </c>
      <c r="L2226" s="8" t="s">
        <v>9917</v>
      </c>
      <c r="M2226" s="8" t="s">
        <v>9918</v>
      </c>
      <c r="N2226" s="8" t="s">
        <v>10292</v>
      </c>
      <c r="O2226" s="8">
        <f>6+26/60+37.5/3600</f>
        <v>6.4437500000000005</v>
      </c>
      <c r="P2226" s="8" t="s">
        <v>10293</v>
      </c>
      <c r="Q2226" s="8">
        <f>-(9+38/60+32/3600)</f>
        <v>-9.6422222222222214</v>
      </c>
      <c r="R2226" s="8">
        <v>99</v>
      </c>
      <c r="S2226" s="8">
        <v>99</v>
      </c>
      <c r="T2226" s="8">
        <v>99</v>
      </c>
      <c r="U2226" s="8">
        <v>99</v>
      </c>
      <c r="V2226" s="8">
        <v>40</v>
      </c>
      <c r="Y2226" s="8" t="s">
        <v>10294</v>
      </c>
      <c r="Z2226" s="8" t="s">
        <v>10295</v>
      </c>
    </row>
    <row r="2227" spans="1:26" x14ac:dyDescent="0.2">
      <c r="A2227" s="8">
        <v>2226</v>
      </c>
      <c r="B2227" s="8" t="s">
        <v>10296</v>
      </c>
      <c r="C2227" s="8" t="s">
        <v>10296</v>
      </c>
      <c r="F2227" s="47"/>
      <c r="G2227" s="8">
        <v>19</v>
      </c>
      <c r="H2227" s="8" t="s">
        <v>21</v>
      </c>
      <c r="I2227" s="8" t="s">
        <v>557</v>
      </c>
      <c r="J2227" s="8" t="s">
        <v>57</v>
      </c>
      <c r="K2227" s="8" t="s">
        <v>557</v>
      </c>
      <c r="L2227" s="8" t="s">
        <v>9917</v>
      </c>
      <c r="M2227" s="8" t="s">
        <v>9918</v>
      </c>
      <c r="N2227" s="8" t="s">
        <v>10292</v>
      </c>
      <c r="O2227" s="8">
        <f>6+26/60+37.5/3600</f>
        <v>6.4437500000000005</v>
      </c>
      <c r="P2227" s="8" t="s">
        <v>10293</v>
      </c>
      <c r="Q2227" s="8">
        <f>-(9+38/60+32/3600)</f>
        <v>-9.6422222222222214</v>
      </c>
      <c r="R2227" s="8">
        <v>99</v>
      </c>
      <c r="S2227" s="8">
        <v>99</v>
      </c>
      <c r="T2227" s="8">
        <v>99</v>
      </c>
      <c r="U2227" s="8">
        <v>99</v>
      </c>
      <c r="V2227" s="8">
        <v>40</v>
      </c>
      <c r="Y2227" s="8" t="s">
        <v>21</v>
      </c>
      <c r="Z2227" s="8" t="s">
        <v>10297</v>
      </c>
    </row>
    <row r="2228" spans="1:26" x14ac:dyDescent="0.2">
      <c r="A2228" s="8">
        <v>2227</v>
      </c>
      <c r="B2228" s="8" t="s">
        <v>10298</v>
      </c>
      <c r="C2228" s="8" t="s">
        <v>10298</v>
      </c>
      <c r="F2228" s="47"/>
      <c r="G2228" s="8">
        <v>16</v>
      </c>
      <c r="H2228" s="8" t="s">
        <v>21</v>
      </c>
      <c r="I2228" s="8" t="s">
        <v>22</v>
      </c>
      <c r="J2228" s="8" t="s">
        <v>22</v>
      </c>
      <c r="K2228" s="8" t="s">
        <v>64</v>
      </c>
      <c r="L2228" s="8" t="s">
        <v>10194</v>
      </c>
      <c r="M2228" s="8" t="s">
        <v>10195</v>
      </c>
      <c r="N2228" s="8" t="s">
        <v>10299</v>
      </c>
      <c r="O2228" s="8">
        <f>6+25/60+57.9/3600</f>
        <v>6.4327500000000004</v>
      </c>
      <c r="P2228" s="8" t="s">
        <v>10300</v>
      </c>
      <c r="Q2228" s="8">
        <f>-(22+0/60+17/3600)</f>
        <v>-22.004722222222224</v>
      </c>
      <c r="R2228" s="8">
        <v>12.5</v>
      </c>
      <c r="S2228" s="8">
        <v>13.2</v>
      </c>
      <c r="T2228" s="8">
        <v>0.7</v>
      </c>
      <c r="U2228" s="8">
        <v>13.3</v>
      </c>
      <c r="V2228" s="8">
        <v>2.1</v>
      </c>
      <c r="W2228" s="8">
        <v>1.2</v>
      </c>
      <c r="X2228" s="8">
        <v>19</v>
      </c>
      <c r="Y2228" s="8" t="s">
        <v>21</v>
      </c>
      <c r="Z2228" s="8" t="s">
        <v>10301</v>
      </c>
    </row>
    <row r="2229" spans="1:26" x14ac:dyDescent="0.2">
      <c r="A2229" s="8">
        <v>2228</v>
      </c>
      <c r="B2229" s="8" t="s">
        <v>10302</v>
      </c>
      <c r="C2229" s="8" t="s">
        <v>10302</v>
      </c>
      <c r="F2229" s="47"/>
      <c r="G2229" s="8">
        <v>16</v>
      </c>
      <c r="H2229" s="8" t="s">
        <v>21</v>
      </c>
      <c r="I2229" s="8" t="s">
        <v>22</v>
      </c>
      <c r="J2229" s="8" t="s">
        <v>22</v>
      </c>
      <c r="K2229" s="8" t="s">
        <v>224</v>
      </c>
      <c r="L2229" s="8" t="s">
        <v>55972</v>
      </c>
      <c r="M2229" s="8" t="s">
        <v>6970</v>
      </c>
      <c r="N2229" s="8" t="s">
        <v>10303</v>
      </c>
      <c r="O2229" s="8">
        <f>6+21/60+15.9/3600</f>
        <v>6.3544166666666664</v>
      </c>
      <c r="P2229" s="8" t="s">
        <v>10304</v>
      </c>
      <c r="Q2229" s="8">
        <f>-(64+27/60+33/3600)</f>
        <v>-64.459166666666675</v>
      </c>
      <c r="R2229" s="8">
        <v>13.3</v>
      </c>
      <c r="S2229" s="8">
        <v>14.3</v>
      </c>
      <c r="T2229" s="8">
        <v>1</v>
      </c>
      <c r="U2229" s="8">
        <v>12.6</v>
      </c>
      <c r="V2229" s="8">
        <v>0.8</v>
      </c>
      <c r="W2229" s="8">
        <v>0.7</v>
      </c>
      <c r="Y2229" s="8" t="s">
        <v>1837</v>
      </c>
      <c r="Z2229" s="8" t="s">
        <v>1838</v>
      </c>
    </row>
    <row r="2230" spans="1:26" x14ac:dyDescent="0.2">
      <c r="A2230" s="8">
        <v>2229</v>
      </c>
      <c r="B2230" s="8" t="s">
        <v>10305</v>
      </c>
      <c r="C2230" s="8" t="s">
        <v>10305</v>
      </c>
      <c r="F2230" s="47"/>
      <c r="G2230" s="8">
        <v>16</v>
      </c>
      <c r="H2230" s="8" t="s">
        <v>21</v>
      </c>
      <c r="I2230" s="8" t="s">
        <v>22</v>
      </c>
      <c r="J2230" s="8" t="s">
        <v>22</v>
      </c>
      <c r="K2230" s="8" t="s">
        <v>435</v>
      </c>
      <c r="L2230" s="8" t="s">
        <v>55972</v>
      </c>
      <c r="M2230" s="8" t="s">
        <v>6970</v>
      </c>
      <c r="N2230" s="8" t="s">
        <v>10306</v>
      </c>
      <c r="O2230" s="8">
        <f>6+21/60+23.8/3600</f>
        <v>6.3566111111111105</v>
      </c>
      <c r="P2230" s="8" t="s">
        <v>10307</v>
      </c>
      <c r="Q2230" s="8">
        <f>-(64+57/60+24/3600)</f>
        <v>-64.956666666666663</v>
      </c>
      <c r="R2230" s="8">
        <v>13.2</v>
      </c>
      <c r="S2230" s="8">
        <v>14.1</v>
      </c>
      <c r="T2230" s="8">
        <v>0.9</v>
      </c>
      <c r="U2230" s="8">
        <v>12.5</v>
      </c>
      <c r="V2230" s="8">
        <v>1.5</v>
      </c>
      <c r="W2230" s="8">
        <v>0.4</v>
      </c>
      <c r="X2230" s="8">
        <v>133</v>
      </c>
      <c r="Y2230" s="8" t="s">
        <v>10308</v>
      </c>
      <c r="Z2230" s="8" t="s">
        <v>10309</v>
      </c>
    </row>
    <row r="2231" spans="1:26" x14ac:dyDescent="0.2">
      <c r="A2231" s="8">
        <v>2230</v>
      </c>
      <c r="B2231" s="8" t="s">
        <v>10310</v>
      </c>
      <c r="C2231" s="8" t="s">
        <v>10310</v>
      </c>
      <c r="F2231" s="47"/>
      <c r="G2231" s="8">
        <v>16</v>
      </c>
      <c r="H2231" s="8" t="s">
        <v>21</v>
      </c>
      <c r="I2231" s="8" t="s">
        <v>22</v>
      </c>
      <c r="J2231" s="8" t="s">
        <v>22</v>
      </c>
      <c r="K2231" s="8" t="s">
        <v>58</v>
      </c>
      <c r="L2231" s="8" t="s">
        <v>55972</v>
      </c>
      <c r="M2231" s="8" t="s">
        <v>6970</v>
      </c>
      <c r="N2231" s="8" t="s">
        <v>10311</v>
      </c>
      <c r="O2231" s="8">
        <f>6+21/60+27.9/3600</f>
        <v>6.3577499999999993</v>
      </c>
      <c r="P2231" s="8" t="s">
        <v>10312</v>
      </c>
      <c r="Q2231" s="8">
        <f>-(64+59/60+34/3600)</f>
        <v>-64.992777777777775</v>
      </c>
      <c r="R2231" s="8">
        <v>12.8</v>
      </c>
      <c r="S2231" s="8">
        <v>13.8</v>
      </c>
      <c r="T2231" s="8">
        <v>1</v>
      </c>
      <c r="U2231" s="8">
        <v>12.8</v>
      </c>
      <c r="V2231" s="8">
        <v>1.2</v>
      </c>
      <c r="W2231" s="8">
        <v>0.9</v>
      </c>
      <c r="X2231" s="8">
        <v>77</v>
      </c>
      <c r="Y2231" s="8" t="s">
        <v>10313</v>
      </c>
      <c r="Z2231" s="8" t="s">
        <v>10314</v>
      </c>
    </row>
    <row r="2232" spans="1:26" x14ac:dyDescent="0.2">
      <c r="A2232" s="8">
        <v>2231</v>
      </c>
      <c r="B2232" s="8" t="s">
        <v>10315</v>
      </c>
      <c r="C2232" s="8" t="s">
        <v>10315</v>
      </c>
      <c r="F2232" s="47"/>
      <c r="G2232" s="8">
        <v>16</v>
      </c>
      <c r="H2232" s="8" t="s">
        <v>21</v>
      </c>
      <c r="I2232" s="8" t="s">
        <v>557</v>
      </c>
      <c r="J2232" s="8" t="s">
        <v>557</v>
      </c>
      <c r="K2232" s="8" t="s">
        <v>557</v>
      </c>
      <c r="L2232" s="8" t="s">
        <v>55972</v>
      </c>
      <c r="M2232" s="8" t="s">
        <v>6970</v>
      </c>
      <c r="N2232" s="8" t="s">
        <v>10316</v>
      </c>
      <c r="O2232" s="8">
        <f>6+20/60+43/3600</f>
        <v>6.3452777777777776</v>
      </c>
      <c r="P2232" s="8" t="s">
        <v>10317</v>
      </c>
      <c r="Q2232" s="8">
        <f>-(67+31/60+7/3600)</f>
        <v>-67.518611111111113</v>
      </c>
      <c r="R2232" s="8">
        <v>13.2</v>
      </c>
      <c r="S2232" s="8">
        <v>13.9</v>
      </c>
      <c r="T2232" s="8">
        <v>99</v>
      </c>
      <c r="U2232" s="8">
        <v>99</v>
      </c>
      <c r="V2232" s="8">
        <v>2</v>
      </c>
      <c r="Y2232" s="8" t="s">
        <v>10318</v>
      </c>
      <c r="Z2232" s="8" t="s">
        <v>10319</v>
      </c>
    </row>
    <row r="2233" spans="1:26" x14ac:dyDescent="0.2">
      <c r="A2233" s="8">
        <v>2232</v>
      </c>
      <c r="B2233" s="8" t="s">
        <v>10320</v>
      </c>
      <c r="C2233" s="8" t="s">
        <v>10320</v>
      </c>
      <c r="F2233" s="47" t="s">
        <v>56444</v>
      </c>
      <c r="G2233" s="8">
        <v>5</v>
      </c>
      <c r="H2233" s="8" t="s">
        <v>10321</v>
      </c>
      <c r="I2233" s="8" t="s">
        <v>557</v>
      </c>
      <c r="J2233" s="8" t="s">
        <v>557</v>
      </c>
      <c r="K2233" s="8" t="s">
        <v>779</v>
      </c>
      <c r="L2233" s="8" t="s">
        <v>9917</v>
      </c>
      <c r="M2233" s="8" t="s">
        <v>9918</v>
      </c>
      <c r="N2233" s="8" t="s">
        <v>10322</v>
      </c>
      <c r="O2233" s="8">
        <f>6+27/60+15/3600</f>
        <v>6.4541666666666666</v>
      </c>
      <c r="P2233" s="8" t="s">
        <v>10323</v>
      </c>
      <c r="Q2233" s="8">
        <f>-(4+45/60+30/3600)</f>
        <v>-4.7583333333333337</v>
      </c>
      <c r="R2233" s="8">
        <v>4.2</v>
      </c>
      <c r="S2233" s="8">
        <v>99</v>
      </c>
      <c r="T2233" s="8">
        <v>99</v>
      </c>
      <c r="U2233" s="8">
        <v>99</v>
      </c>
      <c r="V2233" s="8">
        <v>45</v>
      </c>
      <c r="Y2233" s="8" t="s">
        <v>21</v>
      </c>
      <c r="Z2233" s="8" t="s">
        <v>10324</v>
      </c>
    </row>
    <row r="2234" spans="1:26" x14ac:dyDescent="0.2">
      <c r="A2234" s="8">
        <v>2233</v>
      </c>
      <c r="B2234" s="8" t="s">
        <v>10325</v>
      </c>
      <c r="C2234" s="8" t="s">
        <v>10325</v>
      </c>
      <c r="F2234" s="47"/>
      <c r="G2234" s="8">
        <v>16</v>
      </c>
      <c r="H2234" s="8" t="s">
        <v>21</v>
      </c>
      <c r="I2234" s="8" t="s">
        <v>22</v>
      </c>
      <c r="J2234" s="8" t="s">
        <v>22</v>
      </c>
      <c r="K2234" s="8" t="s">
        <v>58</v>
      </c>
      <c r="L2234" s="8" t="s">
        <v>55972</v>
      </c>
      <c r="M2234" s="8" t="s">
        <v>6970</v>
      </c>
      <c r="N2234" s="8" t="s">
        <v>10326</v>
      </c>
      <c r="O2234" s="8">
        <f>6+21/60+40.1/3600</f>
        <v>6.3611388888888882</v>
      </c>
      <c r="P2234" s="8" t="s">
        <v>10327</v>
      </c>
      <c r="Q2234" s="8">
        <f>-(65+2/60+0/3600)</f>
        <v>-65.033333333333331</v>
      </c>
      <c r="R2234" s="8">
        <v>13.7</v>
      </c>
      <c r="S2234" s="8">
        <v>14.7</v>
      </c>
      <c r="T2234" s="8">
        <v>1</v>
      </c>
      <c r="U2234" s="8">
        <v>12.1</v>
      </c>
      <c r="V2234" s="8">
        <v>0.9</v>
      </c>
      <c r="W2234" s="8">
        <v>0.2</v>
      </c>
      <c r="X2234" s="8">
        <v>39</v>
      </c>
      <c r="Y2234" s="8" t="s">
        <v>10328</v>
      </c>
      <c r="Z2234" s="8" t="s">
        <v>10329</v>
      </c>
    </row>
    <row r="2235" spans="1:26" x14ac:dyDescent="0.2">
      <c r="A2235" s="8">
        <v>2234</v>
      </c>
      <c r="B2235" s="8" t="s">
        <v>10330</v>
      </c>
      <c r="C2235" s="8" t="s">
        <v>10330</v>
      </c>
      <c r="F2235" s="47" t="s">
        <v>56445</v>
      </c>
      <c r="G2235" s="8">
        <v>12</v>
      </c>
      <c r="H2235" s="8" t="s">
        <v>21</v>
      </c>
      <c r="I2235" s="8" t="s">
        <v>72</v>
      </c>
      <c r="J2235" s="8" t="s">
        <v>72</v>
      </c>
      <c r="K2235" s="8" t="s">
        <v>1405</v>
      </c>
      <c r="L2235" s="8" t="s">
        <v>9862</v>
      </c>
      <c r="M2235" s="8" t="s">
        <v>9863</v>
      </c>
      <c r="N2235" s="8" t="s">
        <v>10331</v>
      </c>
      <c r="O2235" s="8">
        <f>6+29/60+29.2/3600</f>
        <v>6.4914444444444444</v>
      </c>
      <c r="P2235" s="8" t="s">
        <v>10332</v>
      </c>
      <c r="Q2235" s="8">
        <f>+(16+43/60+8/3600)</f>
        <v>16.718888888888888</v>
      </c>
      <c r="R2235" s="8">
        <v>99</v>
      </c>
      <c r="S2235" s="8">
        <v>99</v>
      </c>
      <c r="T2235" s="8">
        <v>99</v>
      </c>
      <c r="U2235" s="8">
        <v>99</v>
      </c>
      <c r="V2235" s="8">
        <v>35</v>
      </c>
      <c r="Y2235" s="8" t="s">
        <v>10333</v>
      </c>
      <c r="Z2235" s="8" t="s">
        <v>10334</v>
      </c>
    </row>
    <row r="2236" spans="1:26" x14ac:dyDescent="0.2">
      <c r="A2236" s="8">
        <v>2235</v>
      </c>
      <c r="B2236" s="8" t="s">
        <v>10335</v>
      </c>
      <c r="C2236" s="8" t="s">
        <v>10335</v>
      </c>
      <c r="F2236" s="47"/>
      <c r="G2236" s="8">
        <v>16</v>
      </c>
      <c r="H2236" s="8" t="s">
        <v>21</v>
      </c>
      <c r="I2236" s="8" t="s">
        <v>22</v>
      </c>
      <c r="J2236" s="8" t="s">
        <v>22</v>
      </c>
      <c r="K2236" s="8" t="s">
        <v>1136</v>
      </c>
      <c r="L2236" s="8" t="s">
        <v>55972</v>
      </c>
      <c r="M2236" s="8" t="s">
        <v>6970</v>
      </c>
      <c r="N2236" s="8" t="s">
        <v>10336</v>
      </c>
      <c r="O2236" s="8">
        <f>6+22/60+22.2/3600</f>
        <v>6.3728333333333333</v>
      </c>
      <c r="P2236" s="8" t="s">
        <v>10337</v>
      </c>
      <c r="Q2236" s="8">
        <f>-(64+56/60+5/3600)</f>
        <v>-64.93472222222222</v>
      </c>
      <c r="R2236" s="8">
        <v>12.7</v>
      </c>
      <c r="S2236" s="8">
        <v>13.7</v>
      </c>
      <c r="T2236" s="8">
        <v>1</v>
      </c>
      <c r="U2236" s="8">
        <v>13</v>
      </c>
      <c r="V2236" s="8">
        <v>1.4</v>
      </c>
      <c r="W2236" s="8">
        <v>1</v>
      </c>
      <c r="X2236" s="8">
        <v>68</v>
      </c>
      <c r="Y2236" s="8" t="s">
        <v>10338</v>
      </c>
      <c r="Z2236" s="8" t="s">
        <v>10339</v>
      </c>
    </row>
    <row r="2237" spans="1:26" x14ac:dyDescent="0.2">
      <c r="A2237" s="8">
        <v>2236</v>
      </c>
      <c r="B2237" s="8" t="s">
        <v>10340</v>
      </c>
      <c r="C2237" s="8" t="s">
        <v>10340</v>
      </c>
      <c r="F2237" s="47" t="s">
        <v>56446</v>
      </c>
      <c r="G2237" s="8">
        <v>6.5</v>
      </c>
      <c r="H2237" s="8" t="s">
        <v>21</v>
      </c>
      <c r="I2237" s="8" t="s">
        <v>557</v>
      </c>
      <c r="J2237" s="8" t="s">
        <v>557</v>
      </c>
      <c r="K2237" s="8" t="s">
        <v>987</v>
      </c>
      <c r="L2237" s="8" t="s">
        <v>9917</v>
      </c>
      <c r="M2237" s="8" t="s">
        <v>9918</v>
      </c>
      <c r="N2237" s="8" t="s">
        <v>10341</v>
      </c>
      <c r="O2237" s="8">
        <f>6+29/60+39.6/3600</f>
        <v>6.4943333333333335</v>
      </c>
      <c r="P2237" s="8" t="s">
        <v>10342</v>
      </c>
      <c r="Q2237" s="8">
        <f>+(6+49/60+51/3600)</f>
        <v>6.8308333333333335</v>
      </c>
      <c r="R2237" s="8">
        <v>8.5</v>
      </c>
      <c r="S2237" s="8">
        <v>99</v>
      </c>
      <c r="T2237" s="8">
        <v>99</v>
      </c>
      <c r="U2237" s="8">
        <v>99</v>
      </c>
      <c r="V2237" s="8">
        <v>8</v>
      </c>
      <c r="Y2237" s="8" t="s">
        <v>21</v>
      </c>
      <c r="Z2237" s="8" t="s">
        <v>10343</v>
      </c>
    </row>
    <row r="2238" spans="1:26" x14ac:dyDescent="0.2">
      <c r="A2238" s="8">
        <v>2237</v>
      </c>
      <c r="B2238" s="8" t="s">
        <v>10344</v>
      </c>
      <c r="C2238" s="8" t="s">
        <v>10344</v>
      </c>
      <c r="F2238" s="47"/>
      <c r="G2238" s="8">
        <v>2</v>
      </c>
      <c r="H2238" s="8" t="s">
        <v>10345</v>
      </c>
      <c r="I2238" s="8" t="s">
        <v>1283</v>
      </c>
      <c r="J2238" s="8" t="s">
        <v>1283</v>
      </c>
      <c r="K2238" s="8" t="s">
        <v>1284</v>
      </c>
      <c r="L2238" s="8" t="s">
        <v>9917</v>
      </c>
      <c r="M2238" s="8" t="s">
        <v>9918</v>
      </c>
      <c r="N2238" s="8" t="s">
        <v>10346</v>
      </c>
      <c r="O2238" s="8">
        <f>6+30/60+54.6/3600</f>
        <v>6.5151666666666666</v>
      </c>
      <c r="P2238" s="8" t="s">
        <v>10347</v>
      </c>
      <c r="Q2238" s="8">
        <f>+(5+2/60+52/3600)</f>
        <v>5.0477777777777773</v>
      </c>
      <c r="R2238" s="8">
        <v>99</v>
      </c>
      <c r="S2238" s="8">
        <v>99</v>
      </c>
      <c r="T2238" s="8">
        <v>99</v>
      </c>
      <c r="U2238" s="8">
        <v>99</v>
      </c>
      <c r="V2238" s="8">
        <v>80</v>
      </c>
      <c r="W2238" s="8">
        <v>50</v>
      </c>
      <c r="Y2238" s="8" t="s">
        <v>21</v>
      </c>
      <c r="Z2238" s="8" t="s">
        <v>10348</v>
      </c>
    </row>
    <row r="2239" spans="1:26" x14ac:dyDescent="0.2">
      <c r="A2239" s="8">
        <v>2238</v>
      </c>
      <c r="B2239" s="8" t="s">
        <v>10349</v>
      </c>
      <c r="C2239" s="8" t="s">
        <v>10349</v>
      </c>
      <c r="F2239" s="47"/>
      <c r="G2239" s="8">
        <v>9</v>
      </c>
      <c r="H2239" s="8" t="s">
        <v>10345</v>
      </c>
      <c r="I2239" s="8" t="s">
        <v>1283</v>
      </c>
      <c r="J2239" s="8" t="s">
        <v>1283</v>
      </c>
      <c r="K2239" s="8" t="s">
        <v>1284</v>
      </c>
      <c r="L2239" s="8" t="s">
        <v>9917</v>
      </c>
      <c r="M2239" s="8" t="s">
        <v>9918</v>
      </c>
      <c r="N2239" s="8" t="s">
        <v>10350</v>
      </c>
      <c r="O2239" s="8">
        <f>6+30/60+40.3/3600</f>
        <v>6.5111944444444445</v>
      </c>
      <c r="P2239" s="8" t="s">
        <v>10351</v>
      </c>
      <c r="Q2239" s="8">
        <f>+(5+0/60+47/3600)</f>
        <v>5.0130555555555558</v>
      </c>
      <c r="R2239" s="8">
        <v>99</v>
      </c>
      <c r="S2239" s="8">
        <v>6</v>
      </c>
      <c r="T2239" s="8">
        <v>99</v>
      </c>
      <c r="U2239" s="8">
        <v>99</v>
      </c>
      <c r="V2239" s="8">
        <v>80</v>
      </c>
      <c r="W2239" s="8">
        <v>60</v>
      </c>
      <c r="Y2239" s="8" t="s">
        <v>21</v>
      </c>
      <c r="Z2239" s="8" t="s">
        <v>10352</v>
      </c>
    </row>
    <row r="2240" spans="1:26" x14ac:dyDescent="0.2">
      <c r="A2240" s="8">
        <v>2239</v>
      </c>
      <c r="B2240" s="8" t="s">
        <v>10353</v>
      </c>
      <c r="C2240" s="8" t="s">
        <v>10353</v>
      </c>
      <c r="F2240" s="47"/>
      <c r="G2240" s="8">
        <v>9</v>
      </c>
      <c r="H2240" s="8" t="s">
        <v>21</v>
      </c>
      <c r="I2240" s="8" t="s">
        <v>557</v>
      </c>
      <c r="J2240" s="8" t="s">
        <v>57</v>
      </c>
      <c r="K2240" s="8" t="s">
        <v>1840</v>
      </c>
      <c r="L2240" s="8" t="s">
        <v>9917</v>
      </c>
      <c r="M2240" s="8" t="s">
        <v>9918</v>
      </c>
      <c r="N2240" s="8" t="s">
        <v>10354</v>
      </c>
      <c r="O2240" s="8">
        <f>6+32/60+19/3600</f>
        <v>6.5386111111111109</v>
      </c>
      <c r="P2240" s="8" t="s">
        <v>10355</v>
      </c>
      <c r="Q2240" s="8">
        <f>+(4+51/60+24/3600)</f>
        <v>4.8566666666666665</v>
      </c>
      <c r="R2240" s="8">
        <v>4.8</v>
      </c>
      <c r="S2240" s="8">
        <v>5.3</v>
      </c>
      <c r="T2240" s="8">
        <v>99</v>
      </c>
      <c r="U2240" s="8">
        <v>99</v>
      </c>
      <c r="V2240" s="8">
        <v>24</v>
      </c>
      <c r="Y2240" s="8" t="s">
        <v>10356</v>
      </c>
      <c r="Z2240" s="8" t="s">
        <v>10357</v>
      </c>
    </row>
    <row r="2241" spans="1:26" x14ac:dyDescent="0.2">
      <c r="A2241" s="8">
        <v>2240</v>
      </c>
      <c r="B2241" s="8" t="s">
        <v>10358</v>
      </c>
      <c r="C2241" s="8" t="s">
        <v>10358</v>
      </c>
      <c r="F2241" s="47" t="s">
        <v>56447</v>
      </c>
      <c r="G2241" s="8">
        <v>15</v>
      </c>
      <c r="H2241" s="8" t="s">
        <v>21</v>
      </c>
      <c r="I2241" s="8" t="s">
        <v>557</v>
      </c>
      <c r="J2241" s="8" t="s">
        <v>557</v>
      </c>
      <c r="K2241" s="8" t="s">
        <v>557</v>
      </c>
      <c r="L2241" s="8" t="s">
        <v>7717</v>
      </c>
      <c r="M2241" s="8" t="s">
        <v>7718</v>
      </c>
      <c r="N2241" s="8" t="s">
        <v>10359</v>
      </c>
      <c r="O2241" s="8">
        <f>6+33/60+10.5/3600</f>
        <v>6.5529166666666665</v>
      </c>
      <c r="P2241" s="8" t="s">
        <v>10360</v>
      </c>
      <c r="Q2241" s="8">
        <f>+(35+15/60+2/3600)</f>
        <v>35.250555555555557</v>
      </c>
      <c r="R2241" s="8">
        <v>99</v>
      </c>
      <c r="S2241" s="8">
        <v>99</v>
      </c>
      <c r="T2241" s="8">
        <v>99</v>
      </c>
      <c r="U2241" s="8">
        <v>99</v>
      </c>
      <c r="Y2241" s="8" t="s">
        <v>21</v>
      </c>
      <c r="Z2241" s="8" t="s">
        <v>10361</v>
      </c>
    </row>
    <row r="2242" spans="1:26" x14ac:dyDescent="0.2">
      <c r="A2242" s="8">
        <v>2241</v>
      </c>
      <c r="B2242" s="8" t="s">
        <v>10362</v>
      </c>
      <c r="C2242" s="8" t="s">
        <v>10362</v>
      </c>
      <c r="F2242" s="47"/>
      <c r="G2242" s="8">
        <v>16</v>
      </c>
      <c r="H2242" s="8" t="s">
        <v>21</v>
      </c>
      <c r="I2242" s="8" t="s">
        <v>557</v>
      </c>
      <c r="J2242" s="8" t="s">
        <v>557</v>
      </c>
      <c r="K2242" s="8" t="s">
        <v>557</v>
      </c>
      <c r="L2242" s="8" t="s">
        <v>55972</v>
      </c>
      <c r="M2242" s="8" t="s">
        <v>6970</v>
      </c>
      <c r="N2242" s="8" t="s">
        <v>10363</v>
      </c>
      <c r="O2242" s="8">
        <f>6+22/60+53.3/3600</f>
        <v>6.3814722222222215</v>
      </c>
      <c r="P2242" s="8" t="s">
        <v>10364</v>
      </c>
      <c r="Q2242" s="8">
        <f>-(68+55/60+29/3600)</f>
        <v>-68.924722222222229</v>
      </c>
      <c r="R2242" s="8">
        <v>13.3</v>
      </c>
      <c r="S2242" s="8">
        <v>14</v>
      </c>
      <c r="T2242" s="8">
        <v>99</v>
      </c>
      <c r="U2242" s="8">
        <v>99</v>
      </c>
      <c r="V2242" s="8">
        <v>1.3</v>
      </c>
      <c r="Y2242" s="8" t="s">
        <v>1973</v>
      </c>
      <c r="Z2242" s="8" t="s">
        <v>1974</v>
      </c>
    </row>
    <row r="2243" spans="1:26" x14ac:dyDescent="0.2">
      <c r="A2243" s="8">
        <v>2242</v>
      </c>
      <c r="B2243" s="8" t="s">
        <v>10365</v>
      </c>
      <c r="C2243" s="8" t="s">
        <v>10365</v>
      </c>
      <c r="F2243" s="47"/>
      <c r="G2243" s="8">
        <v>19</v>
      </c>
      <c r="H2243" s="8" t="s">
        <v>21</v>
      </c>
      <c r="I2243" s="8" t="s">
        <v>241</v>
      </c>
      <c r="J2243" s="8" t="s">
        <v>241</v>
      </c>
      <c r="K2243" s="8" t="s">
        <v>241</v>
      </c>
      <c r="L2243" s="8" t="s">
        <v>7717</v>
      </c>
      <c r="M2243" s="8" t="s">
        <v>7718</v>
      </c>
      <c r="N2243" s="8" t="s">
        <v>10366</v>
      </c>
      <c r="O2243" s="8">
        <f>6+34/60+7.4/3600</f>
        <v>6.5687222222222221</v>
      </c>
      <c r="P2243" s="8" t="s">
        <v>10367</v>
      </c>
      <c r="Q2243" s="8">
        <f>+(44+46/60+40/3600)</f>
        <v>44.777777777777779</v>
      </c>
      <c r="R2243" s="8">
        <v>15</v>
      </c>
      <c r="S2243" s="8">
        <v>15.1</v>
      </c>
      <c r="T2243" s="8">
        <v>99</v>
      </c>
      <c r="U2243" s="8">
        <v>99</v>
      </c>
      <c r="V2243" s="8">
        <v>0.37</v>
      </c>
      <c r="Y2243" s="8" t="s">
        <v>10368</v>
      </c>
      <c r="Z2243" s="8" t="s">
        <v>10369</v>
      </c>
    </row>
    <row r="2244" spans="1:26" x14ac:dyDescent="0.2">
      <c r="A2244" s="8">
        <v>2243</v>
      </c>
      <c r="B2244" s="8" t="s">
        <v>10370</v>
      </c>
      <c r="C2244" s="8" t="s">
        <v>10370</v>
      </c>
      <c r="F2244" s="47"/>
      <c r="G2244" s="8">
        <v>3</v>
      </c>
      <c r="H2244" s="8" t="s">
        <v>21</v>
      </c>
      <c r="I2244" s="8" t="s">
        <v>557</v>
      </c>
      <c r="J2244" s="8" t="s">
        <v>557</v>
      </c>
      <c r="K2244" s="8" t="s">
        <v>10371</v>
      </c>
      <c r="L2244" s="8" t="s">
        <v>10194</v>
      </c>
      <c r="M2244" s="8" t="s">
        <v>10195</v>
      </c>
      <c r="N2244" s="8" t="s">
        <v>10372</v>
      </c>
      <c r="O2244" s="8">
        <f>6+29/60+34.4/3600</f>
        <v>6.4928888888888894</v>
      </c>
      <c r="P2244" s="8" t="s">
        <v>10373</v>
      </c>
      <c r="Q2244" s="8">
        <f>-(31+16/60+53/3600)</f>
        <v>-31.281388888888888</v>
      </c>
      <c r="R2244" s="8">
        <v>9.4</v>
      </c>
      <c r="S2244" s="8">
        <v>99</v>
      </c>
      <c r="T2244" s="8">
        <v>99</v>
      </c>
      <c r="U2244" s="8">
        <v>99</v>
      </c>
      <c r="V2244" s="8">
        <v>8.3000000000000007</v>
      </c>
      <c r="Y2244" s="8" t="s">
        <v>21</v>
      </c>
      <c r="Z2244" s="8" t="s">
        <v>10374</v>
      </c>
    </row>
    <row r="2245" spans="1:26" x14ac:dyDescent="0.2">
      <c r="A2245" s="8">
        <v>2244</v>
      </c>
      <c r="B2245" s="8" t="s">
        <v>10375</v>
      </c>
      <c r="C2245" s="8" t="s">
        <v>10375</v>
      </c>
      <c r="F2245" s="47" t="s">
        <v>56448</v>
      </c>
      <c r="G2245" s="8">
        <v>2</v>
      </c>
      <c r="H2245" s="8" t="s">
        <v>10345</v>
      </c>
      <c r="I2245" s="8" t="s">
        <v>557</v>
      </c>
      <c r="J2245" s="8" t="s">
        <v>557</v>
      </c>
      <c r="K2245" s="8" t="s">
        <v>1840</v>
      </c>
      <c r="L2245" s="8" t="s">
        <v>9917</v>
      </c>
      <c r="M2245" s="8" t="s">
        <v>9918</v>
      </c>
      <c r="N2245" s="8" t="s">
        <v>10354</v>
      </c>
      <c r="O2245" s="8">
        <f>6+32/60+19/3600</f>
        <v>6.5386111111111109</v>
      </c>
      <c r="P2245" s="8" t="s">
        <v>10355</v>
      </c>
      <c r="Q2245" s="8">
        <f>+(4+51/60+24/3600)</f>
        <v>4.8566666666666665</v>
      </c>
      <c r="R2245" s="8">
        <v>4.8</v>
      </c>
      <c r="S2245" s="8">
        <v>5.3</v>
      </c>
      <c r="T2245" s="8">
        <v>99</v>
      </c>
      <c r="U2245" s="8">
        <v>99</v>
      </c>
      <c r="V2245" s="8">
        <v>24</v>
      </c>
      <c r="Y2245" s="8" t="s">
        <v>21</v>
      </c>
      <c r="Z2245" s="8" t="s">
        <v>10376</v>
      </c>
    </row>
    <row r="2246" spans="1:26" x14ac:dyDescent="0.2">
      <c r="A2246" s="8">
        <v>2245</v>
      </c>
      <c r="B2246" s="8" t="s">
        <v>10377</v>
      </c>
      <c r="C2246" s="8" t="s">
        <v>10377</v>
      </c>
      <c r="F2246" s="47" t="s">
        <v>56449</v>
      </c>
      <c r="G2246" s="8">
        <v>6.5</v>
      </c>
      <c r="H2246" s="8" t="s">
        <v>21</v>
      </c>
      <c r="I2246" s="8" t="s">
        <v>1283</v>
      </c>
      <c r="J2246" s="8" t="s">
        <v>1283</v>
      </c>
      <c r="K2246" s="8" t="s">
        <v>6208</v>
      </c>
      <c r="L2246" s="8" t="s">
        <v>9917</v>
      </c>
      <c r="M2246" s="8" t="s">
        <v>9918</v>
      </c>
      <c r="N2246" s="8" t="s">
        <v>10378</v>
      </c>
      <c r="O2246" s="8">
        <f>6+32/60+41.2/3600</f>
        <v>6.544777777777778</v>
      </c>
      <c r="P2246" s="8" t="s">
        <v>10379</v>
      </c>
      <c r="Q2246" s="8">
        <f>+(10+9/60+24/3600)</f>
        <v>10.156666666666666</v>
      </c>
      <c r="R2246" s="8">
        <v>99</v>
      </c>
      <c r="S2246" s="8">
        <v>99</v>
      </c>
      <c r="T2246" s="8">
        <v>99</v>
      </c>
      <c r="U2246" s="8">
        <v>99</v>
      </c>
      <c r="V2246" s="8">
        <v>5</v>
      </c>
      <c r="W2246" s="8">
        <v>4</v>
      </c>
      <c r="Y2246" s="8" t="s">
        <v>21</v>
      </c>
      <c r="Z2246" s="8" t="s">
        <v>10380</v>
      </c>
    </row>
    <row r="2247" spans="1:26" x14ac:dyDescent="0.2">
      <c r="A2247" s="8">
        <v>2246</v>
      </c>
      <c r="B2247" s="8" t="s">
        <v>10381</v>
      </c>
      <c r="C2247" s="8" t="s">
        <v>10381</v>
      </c>
      <c r="F2247" s="47"/>
      <c r="G2247" s="8">
        <v>9</v>
      </c>
      <c r="H2247" s="8" t="s">
        <v>10345</v>
      </c>
      <c r="I2247" s="8" t="s">
        <v>1283</v>
      </c>
      <c r="J2247" s="8" t="s">
        <v>1283</v>
      </c>
      <c r="K2247" s="8" t="s">
        <v>1284</v>
      </c>
      <c r="L2247" s="8" t="s">
        <v>9917</v>
      </c>
      <c r="M2247" s="8" t="s">
        <v>9918</v>
      </c>
      <c r="N2247" s="8" t="s">
        <v>10382</v>
      </c>
      <c r="O2247" s="8">
        <f>6+32/60+33.7/3600</f>
        <v>6.5426944444444439</v>
      </c>
      <c r="P2247" s="8" t="s">
        <v>10383</v>
      </c>
      <c r="Q2247" s="8">
        <f>+(5+7/60+42/3600)</f>
        <v>5.128333333333333</v>
      </c>
      <c r="R2247" s="8">
        <v>99</v>
      </c>
      <c r="S2247" s="8">
        <v>99</v>
      </c>
      <c r="T2247" s="8">
        <v>99</v>
      </c>
      <c r="U2247" s="8">
        <v>99</v>
      </c>
      <c r="Y2247" s="8" t="s">
        <v>10384</v>
      </c>
      <c r="Z2247" s="8" t="s">
        <v>10385</v>
      </c>
    </row>
    <row r="2248" spans="1:26" x14ac:dyDescent="0.2">
      <c r="A2248" s="8">
        <v>2247</v>
      </c>
      <c r="B2248" s="8" t="s">
        <v>10386</v>
      </c>
      <c r="C2248" s="8" t="s">
        <v>10386</v>
      </c>
      <c r="F2248" s="47"/>
      <c r="G2248" s="8">
        <v>19</v>
      </c>
      <c r="H2248" s="8" t="s">
        <v>21</v>
      </c>
      <c r="I2248" s="8" t="s">
        <v>1283</v>
      </c>
      <c r="J2248" s="8" t="s">
        <v>1283</v>
      </c>
      <c r="K2248" s="8" t="s">
        <v>6208</v>
      </c>
      <c r="L2248" s="8" t="s">
        <v>9917</v>
      </c>
      <c r="M2248" s="8" t="s">
        <v>9918</v>
      </c>
      <c r="N2248" s="8" t="s">
        <v>10387</v>
      </c>
      <c r="O2248" s="8">
        <f>6+33/60+5.1/3600</f>
        <v>6.5514166666666664</v>
      </c>
      <c r="P2248" s="8" t="s">
        <v>10388</v>
      </c>
      <c r="Q2248" s="8">
        <f>+(10+19/60+18/3600)</f>
        <v>10.321666666666667</v>
      </c>
      <c r="R2248" s="8">
        <v>99</v>
      </c>
      <c r="S2248" s="8">
        <v>99</v>
      </c>
      <c r="T2248" s="8">
        <v>99</v>
      </c>
      <c r="U2248" s="8">
        <v>99</v>
      </c>
      <c r="V2248" s="8">
        <v>6</v>
      </c>
      <c r="W2248" s="8">
        <v>6</v>
      </c>
      <c r="Y2248" s="8" t="s">
        <v>21</v>
      </c>
      <c r="Z2248" s="8" t="s">
        <v>10389</v>
      </c>
    </row>
    <row r="2249" spans="1:26" x14ac:dyDescent="0.2">
      <c r="A2249" s="8">
        <v>2248</v>
      </c>
      <c r="B2249" s="8" t="s">
        <v>10390</v>
      </c>
      <c r="C2249" s="8" t="s">
        <v>10390</v>
      </c>
      <c r="F2249" s="47"/>
      <c r="G2249" s="8">
        <v>17</v>
      </c>
      <c r="H2249" s="8" t="s">
        <v>21</v>
      </c>
      <c r="I2249" s="8" t="s">
        <v>72</v>
      </c>
      <c r="J2249" s="8" t="s">
        <v>72</v>
      </c>
      <c r="K2249" s="8" t="s">
        <v>1405</v>
      </c>
      <c r="L2249" s="8" t="s">
        <v>9862</v>
      </c>
      <c r="M2249" s="8" t="s">
        <v>9863</v>
      </c>
      <c r="N2249" s="8" t="s">
        <v>10391</v>
      </c>
      <c r="O2249" s="8">
        <f>6+34/60+35.3/3600</f>
        <v>6.5764722222222218</v>
      </c>
      <c r="P2249" s="8" t="s">
        <v>10392</v>
      </c>
      <c r="Q2249" s="8">
        <f>+(26+18/60+21/3600)</f>
        <v>26.305833333333332</v>
      </c>
      <c r="R2249" s="8">
        <v>99</v>
      </c>
      <c r="S2249" s="8">
        <v>99</v>
      </c>
      <c r="T2249" s="8">
        <v>99</v>
      </c>
      <c r="U2249" s="8">
        <v>99</v>
      </c>
      <c r="Y2249" s="8" t="s">
        <v>21</v>
      </c>
      <c r="Z2249" s="8" t="s">
        <v>10393</v>
      </c>
    </row>
    <row r="2250" spans="1:26" x14ac:dyDescent="0.2">
      <c r="A2250" s="8">
        <v>2249</v>
      </c>
      <c r="B2250" s="8" t="s">
        <v>10394</v>
      </c>
      <c r="C2250" s="8" t="s">
        <v>10394</v>
      </c>
      <c r="F2250" s="47"/>
      <c r="G2250" s="8">
        <v>16</v>
      </c>
      <c r="H2250" s="8" t="s">
        <v>21</v>
      </c>
      <c r="I2250" s="8" t="s">
        <v>557</v>
      </c>
      <c r="J2250" s="8" t="s">
        <v>557</v>
      </c>
      <c r="K2250" s="8" t="s">
        <v>557</v>
      </c>
      <c r="L2250" s="8" t="s">
        <v>55972</v>
      </c>
      <c r="M2250" s="8" t="s">
        <v>6970</v>
      </c>
      <c r="N2250" s="8" t="s">
        <v>10395</v>
      </c>
      <c r="O2250" s="8">
        <f>6+25/60+49.6/3600</f>
        <v>6.4304444444444444</v>
      </c>
      <c r="P2250" s="8" t="s">
        <v>10396</v>
      </c>
      <c r="Q2250" s="8">
        <f>-(68+55/60+11/3600)</f>
        <v>-68.919722222222234</v>
      </c>
      <c r="R2250" s="8">
        <v>12.2</v>
      </c>
      <c r="S2250" s="8">
        <v>99</v>
      </c>
      <c r="T2250" s="8">
        <v>99</v>
      </c>
      <c r="U2250" s="8">
        <v>99</v>
      </c>
      <c r="V2250" s="8">
        <v>1.7</v>
      </c>
      <c r="Y2250" s="8" t="s">
        <v>10397</v>
      </c>
      <c r="Z2250" s="8" t="s">
        <v>10398</v>
      </c>
    </row>
    <row r="2251" spans="1:26" x14ac:dyDescent="0.2">
      <c r="A2251" s="8">
        <v>2250</v>
      </c>
      <c r="B2251" s="8" t="s">
        <v>10399</v>
      </c>
      <c r="C2251" s="8" t="s">
        <v>10399</v>
      </c>
      <c r="F2251" s="47"/>
      <c r="G2251" s="8">
        <v>14</v>
      </c>
      <c r="H2251" s="8" t="s">
        <v>21</v>
      </c>
      <c r="I2251" s="8" t="s">
        <v>557</v>
      </c>
      <c r="J2251" s="8" t="s">
        <v>557</v>
      </c>
      <c r="K2251" s="8" t="s">
        <v>693</v>
      </c>
      <c r="L2251" s="8" t="s">
        <v>9917</v>
      </c>
      <c r="M2251" s="8" t="s">
        <v>9918</v>
      </c>
      <c r="N2251" s="8" t="s">
        <v>10400</v>
      </c>
      <c r="O2251" s="8">
        <f>6+33/60+49.8/3600</f>
        <v>6.5638333333333332</v>
      </c>
      <c r="P2251" s="8" t="s">
        <v>10401</v>
      </c>
      <c r="Q2251" s="8">
        <f>-(5+5/60+4/3600)</f>
        <v>-5.0844444444444443</v>
      </c>
      <c r="R2251" s="8">
        <v>8.9</v>
      </c>
      <c r="S2251" s="8">
        <v>99</v>
      </c>
      <c r="T2251" s="8">
        <v>99</v>
      </c>
      <c r="U2251" s="8">
        <v>99</v>
      </c>
      <c r="V2251" s="8">
        <v>10</v>
      </c>
      <c r="Y2251" s="8" t="s">
        <v>21</v>
      </c>
      <c r="Z2251" s="8" t="s">
        <v>10402</v>
      </c>
    </row>
    <row r="2252" spans="1:26" x14ac:dyDescent="0.2">
      <c r="A2252" s="8">
        <v>2251</v>
      </c>
      <c r="B2252" s="8" t="s">
        <v>10403</v>
      </c>
      <c r="C2252" s="8" t="s">
        <v>10403</v>
      </c>
      <c r="F2252" s="47" t="s">
        <v>56450</v>
      </c>
      <c r="G2252" s="8">
        <v>6</v>
      </c>
      <c r="H2252" s="8" t="s">
        <v>21</v>
      </c>
      <c r="I2252" s="8" t="s">
        <v>557</v>
      </c>
      <c r="J2252" s="8" t="s">
        <v>557</v>
      </c>
      <c r="K2252" s="8" t="s">
        <v>987</v>
      </c>
      <c r="L2252" s="8" t="s">
        <v>9917</v>
      </c>
      <c r="M2252" s="8" t="s">
        <v>9918</v>
      </c>
      <c r="N2252" s="8" t="s">
        <v>10404</v>
      </c>
      <c r="O2252" s="8">
        <f>6+34/60+38.4/3600</f>
        <v>6.5773333333333328</v>
      </c>
      <c r="P2252" s="8" t="s">
        <v>10405</v>
      </c>
      <c r="Q2252" s="8">
        <f>+(8+21/60+59/3600)</f>
        <v>8.3663888888888884</v>
      </c>
      <c r="R2252" s="8">
        <v>7.3</v>
      </c>
      <c r="S2252" s="8">
        <v>99</v>
      </c>
      <c r="T2252" s="8">
        <v>99</v>
      </c>
      <c r="U2252" s="8">
        <v>99</v>
      </c>
      <c r="V2252" s="8">
        <v>10</v>
      </c>
      <c r="Y2252" s="8" t="s">
        <v>10406</v>
      </c>
      <c r="Z2252" s="8" t="s">
        <v>10407</v>
      </c>
    </row>
    <row r="2253" spans="1:26" x14ac:dyDescent="0.2">
      <c r="A2253" s="8">
        <v>2252</v>
      </c>
      <c r="B2253" s="8" t="s">
        <v>10408</v>
      </c>
      <c r="C2253" s="8" t="s">
        <v>10408</v>
      </c>
      <c r="F2253" s="47" t="s">
        <v>56451</v>
      </c>
      <c r="G2253" s="8">
        <v>6.5</v>
      </c>
      <c r="H2253" s="8" t="s">
        <v>21</v>
      </c>
      <c r="I2253" s="8" t="s">
        <v>557</v>
      </c>
      <c r="J2253" s="8" t="s">
        <v>557</v>
      </c>
      <c r="K2253" s="8" t="s">
        <v>693</v>
      </c>
      <c r="L2253" s="8" t="s">
        <v>9917</v>
      </c>
      <c r="M2253" s="8" t="s">
        <v>9918</v>
      </c>
      <c r="N2253" s="8" t="s">
        <v>10409</v>
      </c>
      <c r="O2253" s="8">
        <f>6+34/60+19.8/3600</f>
        <v>6.572166666666666</v>
      </c>
      <c r="P2253" s="8" t="s">
        <v>10410</v>
      </c>
      <c r="Q2253" s="8">
        <f>+(5+19/60+22/3600)</f>
        <v>5.3227777777777776</v>
      </c>
      <c r="R2253" s="8">
        <v>99</v>
      </c>
      <c r="S2253" s="8">
        <v>7.7</v>
      </c>
      <c r="T2253" s="8">
        <v>99</v>
      </c>
      <c r="U2253" s="8">
        <v>99</v>
      </c>
      <c r="V2253" s="8">
        <v>18</v>
      </c>
      <c r="Y2253" s="8" t="s">
        <v>10411</v>
      </c>
      <c r="Z2253" s="8" t="s">
        <v>10412</v>
      </c>
    </row>
    <row r="2254" spans="1:26" x14ac:dyDescent="0.2">
      <c r="A2254" s="8">
        <v>2253</v>
      </c>
      <c r="B2254" s="8" t="s">
        <v>10413</v>
      </c>
      <c r="C2254" s="8" t="s">
        <v>10413</v>
      </c>
      <c r="F2254" s="47" t="s">
        <v>56452</v>
      </c>
      <c r="G2254" s="8">
        <v>6.5</v>
      </c>
      <c r="H2254" s="8" t="s">
        <v>21</v>
      </c>
      <c r="I2254" s="8" t="s">
        <v>72</v>
      </c>
      <c r="J2254" s="8" t="s">
        <v>72</v>
      </c>
      <c r="K2254" s="8" t="s">
        <v>1405</v>
      </c>
      <c r="L2254" s="8" t="s">
        <v>6823</v>
      </c>
      <c r="M2254" s="8" t="s">
        <v>6824</v>
      </c>
      <c r="N2254" s="8" t="s">
        <v>10414</v>
      </c>
      <c r="O2254" s="8">
        <f>6+42/60+0/3600</f>
        <v>6.7</v>
      </c>
      <c r="P2254" s="8" t="s">
        <v>10415</v>
      </c>
      <c r="Q2254" s="8">
        <f>+(65+51/60+0/3600)</f>
        <v>65.849999999999994</v>
      </c>
      <c r="R2254" s="8">
        <v>99</v>
      </c>
      <c r="S2254" s="8">
        <v>99</v>
      </c>
      <c r="T2254" s="8">
        <v>99</v>
      </c>
      <c r="U2254" s="8">
        <v>99</v>
      </c>
      <c r="Y2254" s="8" t="s">
        <v>10416</v>
      </c>
      <c r="Z2254" s="8" t="s">
        <v>10417</v>
      </c>
    </row>
    <row r="2255" spans="1:26" x14ac:dyDescent="0.2">
      <c r="A2255" s="8">
        <v>2254</v>
      </c>
      <c r="B2255" s="8" t="s">
        <v>10418</v>
      </c>
      <c r="C2255" s="8" t="s">
        <v>10418</v>
      </c>
      <c r="F2255" s="47" t="s">
        <v>56453</v>
      </c>
      <c r="G2255" s="8">
        <v>6.5</v>
      </c>
      <c r="H2255" s="8" t="s">
        <v>21</v>
      </c>
      <c r="I2255" s="8" t="s">
        <v>557</v>
      </c>
      <c r="J2255" s="8" t="s">
        <v>557</v>
      </c>
      <c r="K2255" s="8" t="s">
        <v>7705</v>
      </c>
      <c r="L2255" s="8" t="s">
        <v>9917</v>
      </c>
      <c r="M2255" s="8" t="s">
        <v>9918</v>
      </c>
      <c r="N2255" s="8" t="s">
        <v>10419</v>
      </c>
      <c r="O2255" s="8">
        <f>6+35/60+46.6/3600</f>
        <v>6.5962777777777779</v>
      </c>
      <c r="P2255" s="8" t="s">
        <v>10420</v>
      </c>
      <c r="Q2255" s="8">
        <f>+(7+40/60+15/3600)</f>
        <v>7.6708333333333334</v>
      </c>
      <c r="R2255" s="8">
        <v>9.1</v>
      </c>
      <c r="S2255" s="8">
        <v>99</v>
      </c>
      <c r="T2255" s="8">
        <v>99</v>
      </c>
      <c r="U2255" s="8">
        <v>99</v>
      </c>
      <c r="V2255" s="8">
        <v>6</v>
      </c>
      <c r="Y2255" s="8" t="s">
        <v>10421</v>
      </c>
      <c r="Z2255" s="8" t="s">
        <v>10422</v>
      </c>
    </row>
    <row r="2256" spans="1:26" x14ac:dyDescent="0.2">
      <c r="A2256" s="8">
        <v>2255</v>
      </c>
      <c r="B2256" s="8" t="s">
        <v>10423</v>
      </c>
      <c r="C2256" s="8" t="s">
        <v>10423</v>
      </c>
      <c r="F2256" s="47"/>
      <c r="G2256" s="8">
        <v>16</v>
      </c>
      <c r="H2256" s="8" t="s">
        <v>21</v>
      </c>
      <c r="I2256" s="8" t="s">
        <v>22</v>
      </c>
      <c r="J2256" s="8" t="s">
        <v>22</v>
      </c>
      <c r="K2256" s="8" t="s">
        <v>64</v>
      </c>
      <c r="L2256" s="8" t="s">
        <v>8298</v>
      </c>
      <c r="M2256" s="8" t="s">
        <v>8299</v>
      </c>
      <c r="N2256" s="8" t="s">
        <v>10424</v>
      </c>
      <c r="O2256" s="8">
        <f>6+33/60+58.6/3600</f>
        <v>6.5662777777777777</v>
      </c>
      <c r="P2256" s="8" t="s">
        <v>10425</v>
      </c>
      <c r="Q2256" s="8">
        <f>-(34+48/60+42/3600)</f>
        <v>-34.81166666666666</v>
      </c>
      <c r="R2256" s="8">
        <v>13.5</v>
      </c>
      <c r="S2256" s="8">
        <v>14.2</v>
      </c>
      <c r="T2256" s="8">
        <v>0.7</v>
      </c>
      <c r="U2256" s="8">
        <v>13.4</v>
      </c>
      <c r="V2256" s="8">
        <v>1.5</v>
      </c>
      <c r="W2256" s="8">
        <v>0.7</v>
      </c>
      <c r="X2256" s="8">
        <v>152</v>
      </c>
      <c r="Y2256" s="8" t="s">
        <v>10426</v>
      </c>
      <c r="Z2256" s="8" t="s">
        <v>10427</v>
      </c>
    </row>
    <row r="2257" spans="1:26" x14ac:dyDescent="0.2">
      <c r="A2257" s="8">
        <v>2256</v>
      </c>
      <c r="B2257" s="8" t="s">
        <v>10428</v>
      </c>
      <c r="C2257" s="8" t="s">
        <v>10428</v>
      </c>
      <c r="F2257" s="47"/>
      <c r="G2257" s="8">
        <v>19</v>
      </c>
      <c r="H2257" s="8" t="s">
        <v>21</v>
      </c>
      <c r="I2257" s="8" t="s">
        <v>22</v>
      </c>
      <c r="J2257" s="8" t="s">
        <v>22</v>
      </c>
      <c r="K2257" s="8" t="s">
        <v>118</v>
      </c>
      <c r="L2257" s="8" t="s">
        <v>6823</v>
      </c>
      <c r="M2257" s="8" t="s">
        <v>6824</v>
      </c>
      <c r="N2257" s="8" t="s">
        <v>10429</v>
      </c>
      <c r="O2257" s="8">
        <f>6+47/60+14.2/3600</f>
        <v>6.7872777777777777</v>
      </c>
      <c r="P2257" s="8" t="s">
        <v>10430</v>
      </c>
      <c r="Q2257" s="8">
        <f>+(74+14/60+13/3600)</f>
        <v>74.236944444444447</v>
      </c>
      <c r="R2257" s="8">
        <v>12.5</v>
      </c>
      <c r="S2257" s="8">
        <v>13.5</v>
      </c>
      <c r="T2257" s="8">
        <v>1</v>
      </c>
      <c r="U2257" s="8">
        <v>14</v>
      </c>
      <c r="V2257" s="8">
        <v>2.2999999999999998</v>
      </c>
      <c r="W2257" s="8">
        <v>2</v>
      </c>
      <c r="X2257" s="8">
        <v>72</v>
      </c>
      <c r="Y2257" s="8" t="s">
        <v>21</v>
      </c>
      <c r="Z2257" s="8" t="s">
        <v>10431</v>
      </c>
    </row>
    <row r="2258" spans="1:26" x14ac:dyDescent="0.2">
      <c r="A2258" s="8">
        <v>2257</v>
      </c>
      <c r="B2258" s="8" t="s">
        <v>10432</v>
      </c>
      <c r="C2258" s="8" t="s">
        <v>10432</v>
      </c>
      <c r="F2258" s="47"/>
      <c r="G2258" s="8">
        <v>16</v>
      </c>
      <c r="H2258" s="8" t="s">
        <v>21</v>
      </c>
      <c r="I2258" s="8" t="s">
        <v>557</v>
      </c>
      <c r="J2258" s="8" t="s">
        <v>557</v>
      </c>
      <c r="K2258" s="8" t="s">
        <v>557</v>
      </c>
      <c r="L2258" s="8" t="s">
        <v>55972</v>
      </c>
      <c r="M2258" s="8" t="s">
        <v>6970</v>
      </c>
      <c r="N2258" s="8" t="s">
        <v>10433</v>
      </c>
      <c r="O2258" s="8">
        <f>6+30/60+13/3600</f>
        <v>6.5036111111111108</v>
      </c>
      <c r="P2258" s="8" t="s">
        <v>10434</v>
      </c>
      <c r="Q2258" s="8">
        <f>-(64+19/60+29/3600)</f>
        <v>-64.324722222222221</v>
      </c>
      <c r="R2258" s="8">
        <v>13.5</v>
      </c>
      <c r="S2258" s="8">
        <v>99</v>
      </c>
      <c r="T2258" s="8">
        <v>99</v>
      </c>
      <c r="U2258" s="8">
        <v>99</v>
      </c>
      <c r="V2258" s="8">
        <v>2.2000000000000002</v>
      </c>
      <c r="Y2258" s="8" t="s">
        <v>10435</v>
      </c>
      <c r="Z2258" s="8" t="s">
        <v>10436</v>
      </c>
    </row>
    <row r="2259" spans="1:26" x14ac:dyDescent="0.2">
      <c r="A2259" s="8">
        <v>2258</v>
      </c>
      <c r="B2259" s="8" t="s">
        <v>10437</v>
      </c>
      <c r="C2259" s="8" t="s">
        <v>10437</v>
      </c>
      <c r="F2259" s="47"/>
      <c r="G2259" s="8">
        <v>19</v>
      </c>
      <c r="H2259" s="8" t="s">
        <v>21</v>
      </c>
      <c r="I2259" s="8" t="s">
        <v>22</v>
      </c>
      <c r="J2259" s="8" t="s">
        <v>22</v>
      </c>
      <c r="K2259" s="8" t="s">
        <v>37</v>
      </c>
      <c r="L2259" s="8" t="s">
        <v>6823</v>
      </c>
      <c r="M2259" s="8" t="s">
        <v>6824</v>
      </c>
      <c r="N2259" s="8" t="s">
        <v>10438</v>
      </c>
      <c r="O2259" s="8">
        <f>6+47/60+46.5/3600</f>
        <v>6.7962499999999997</v>
      </c>
      <c r="P2259" s="8" t="s">
        <v>10439</v>
      </c>
      <c r="Q2259" s="8">
        <f>+(74+28/60+53/3600)</f>
        <v>74.481388888888887</v>
      </c>
      <c r="R2259" s="8">
        <v>11.9</v>
      </c>
      <c r="S2259" s="8">
        <v>13</v>
      </c>
      <c r="T2259" s="8">
        <v>1.1000000000000001</v>
      </c>
      <c r="U2259" s="8">
        <v>13.1</v>
      </c>
      <c r="V2259" s="8">
        <v>2.2999999999999998</v>
      </c>
      <c r="W2259" s="8">
        <v>1.5</v>
      </c>
      <c r="X2259" s="8">
        <v>150</v>
      </c>
      <c r="Y2259" s="8" t="s">
        <v>21</v>
      </c>
      <c r="Z2259" s="8" t="s">
        <v>10440</v>
      </c>
    </row>
    <row r="2260" spans="1:26" x14ac:dyDescent="0.2">
      <c r="A2260" s="8">
        <v>2259</v>
      </c>
      <c r="B2260" s="8" t="s">
        <v>10441</v>
      </c>
      <c r="C2260" s="8" t="s">
        <v>10441</v>
      </c>
      <c r="F2260" s="47" t="s">
        <v>56454</v>
      </c>
      <c r="G2260" s="8">
        <v>6.5</v>
      </c>
      <c r="H2260" s="8" t="s">
        <v>21</v>
      </c>
      <c r="I2260" s="8" t="s">
        <v>557</v>
      </c>
      <c r="J2260" s="8" t="s">
        <v>557</v>
      </c>
      <c r="K2260" s="8" t="s">
        <v>558</v>
      </c>
      <c r="L2260" s="8" t="s">
        <v>9917</v>
      </c>
      <c r="M2260" s="8" t="s">
        <v>9918</v>
      </c>
      <c r="N2260" s="8" t="s">
        <v>10442</v>
      </c>
      <c r="O2260" s="8">
        <f>6+38/60+33.3/3600</f>
        <v>6.6425833333333326</v>
      </c>
      <c r="P2260" s="8" t="s">
        <v>10443</v>
      </c>
      <c r="Q2260" s="8">
        <f>+(10+52/60+57/3600)</f>
        <v>10.8825</v>
      </c>
      <c r="R2260" s="8">
        <v>10.8</v>
      </c>
      <c r="S2260" s="8">
        <v>99</v>
      </c>
      <c r="T2260" s="8">
        <v>99</v>
      </c>
      <c r="U2260" s="8">
        <v>99</v>
      </c>
      <c r="V2260" s="8">
        <v>3.5</v>
      </c>
      <c r="Y2260" s="8" t="s">
        <v>10444</v>
      </c>
      <c r="Z2260" s="8" t="s">
        <v>10445</v>
      </c>
    </row>
    <row r="2261" spans="1:26" x14ac:dyDescent="0.2">
      <c r="A2261" s="8">
        <v>2260</v>
      </c>
      <c r="B2261" s="8" t="s">
        <v>10446</v>
      </c>
      <c r="C2261" s="8" t="s">
        <v>10446</v>
      </c>
      <c r="F2261" s="47" t="s">
        <v>56455</v>
      </c>
      <c r="G2261" s="8">
        <v>12</v>
      </c>
      <c r="H2261" s="8" t="s">
        <v>21</v>
      </c>
      <c r="I2261" s="8" t="s">
        <v>557</v>
      </c>
      <c r="J2261" s="8" t="s">
        <v>557</v>
      </c>
      <c r="K2261" s="8" t="s">
        <v>557</v>
      </c>
      <c r="L2261" s="8" t="s">
        <v>9917</v>
      </c>
      <c r="M2261" s="8" t="s">
        <v>9918</v>
      </c>
      <c r="N2261" s="8" t="s">
        <v>10447</v>
      </c>
      <c r="O2261" s="8">
        <f>6+38/60+3/3600</f>
        <v>6.6341666666666663</v>
      </c>
      <c r="P2261" s="8" t="s">
        <v>10448</v>
      </c>
      <c r="Q2261" s="8">
        <f>-(1+28/60+20/3600)</f>
        <v>-1.4722222222222223</v>
      </c>
      <c r="R2261" s="8">
        <v>99</v>
      </c>
      <c r="S2261" s="8">
        <v>99</v>
      </c>
      <c r="T2261" s="8">
        <v>99</v>
      </c>
      <c r="U2261" s="8">
        <v>99</v>
      </c>
      <c r="V2261" s="8">
        <v>20</v>
      </c>
      <c r="Y2261" s="8" t="s">
        <v>10449</v>
      </c>
      <c r="Z2261" s="8" t="s">
        <v>10450</v>
      </c>
    </row>
    <row r="2262" spans="1:26" x14ac:dyDescent="0.2">
      <c r="A2262" s="8">
        <v>2261</v>
      </c>
      <c r="B2262" s="8" t="s">
        <v>10451</v>
      </c>
      <c r="C2262" s="8" t="s">
        <v>10451</v>
      </c>
      <c r="F2262" s="47" t="s">
        <v>56456</v>
      </c>
      <c r="G2262" s="8">
        <v>2</v>
      </c>
      <c r="H2262" s="8" t="s">
        <v>10452</v>
      </c>
      <c r="I2262" s="8" t="s">
        <v>1283</v>
      </c>
      <c r="J2262" s="8" t="s">
        <v>1283</v>
      </c>
      <c r="K2262" s="8" t="s">
        <v>9155</v>
      </c>
      <c r="L2262" s="8" t="s">
        <v>9917</v>
      </c>
      <c r="M2262" s="8" t="s">
        <v>9918</v>
      </c>
      <c r="N2262" s="8" t="s">
        <v>10453</v>
      </c>
      <c r="O2262" s="8">
        <f>6+39/60+9.5/3600</f>
        <v>6.6526388888888892</v>
      </c>
      <c r="P2262" s="8" t="s">
        <v>10454</v>
      </c>
      <c r="Q2262" s="8">
        <f>+(8+44/60+40/3600)</f>
        <v>8.7444444444444436</v>
      </c>
      <c r="R2262" s="8">
        <v>99</v>
      </c>
      <c r="S2262" s="8">
        <v>99</v>
      </c>
      <c r="T2262" s="8">
        <v>99</v>
      </c>
      <c r="U2262" s="8">
        <v>99</v>
      </c>
      <c r="V2262" s="8">
        <v>3</v>
      </c>
      <c r="W2262" s="8">
        <v>1</v>
      </c>
      <c r="Y2262" s="8" t="s">
        <v>21</v>
      </c>
      <c r="Z2262" s="8" t="s">
        <v>10455</v>
      </c>
    </row>
    <row r="2263" spans="1:26" x14ac:dyDescent="0.2">
      <c r="A2263" s="8">
        <v>2262</v>
      </c>
      <c r="B2263" s="8" t="s">
        <v>10456</v>
      </c>
      <c r="C2263" s="8" t="s">
        <v>10456</v>
      </c>
      <c r="F2263" s="47" t="s">
        <v>56457</v>
      </c>
      <c r="G2263" s="8">
        <v>13</v>
      </c>
      <c r="H2263" s="8" t="s">
        <v>21</v>
      </c>
      <c r="I2263" s="8" t="s">
        <v>557</v>
      </c>
      <c r="J2263" s="8" t="s">
        <v>557</v>
      </c>
      <c r="K2263" s="8" t="s">
        <v>7705</v>
      </c>
      <c r="L2263" s="8" t="s">
        <v>9917</v>
      </c>
      <c r="M2263" s="8" t="s">
        <v>9918</v>
      </c>
      <c r="N2263" s="8" t="s">
        <v>10457</v>
      </c>
      <c r="O2263" s="8">
        <f>6+39/60+38.7/3600</f>
        <v>6.6607500000000002</v>
      </c>
      <c r="P2263" s="8" t="s">
        <v>10458</v>
      </c>
      <c r="Q2263" s="8">
        <f>+(1+8/60+30/3600)</f>
        <v>1.1416666666666666</v>
      </c>
      <c r="R2263" s="8">
        <v>11.3</v>
      </c>
      <c r="S2263" s="8">
        <v>99</v>
      </c>
      <c r="T2263" s="8">
        <v>99</v>
      </c>
      <c r="U2263" s="8">
        <v>99</v>
      </c>
      <c r="V2263" s="8">
        <v>4</v>
      </c>
      <c r="Y2263" s="8" t="s">
        <v>10459</v>
      </c>
      <c r="Z2263" s="8" t="s">
        <v>10460</v>
      </c>
    </row>
    <row r="2264" spans="1:26" x14ac:dyDescent="0.2">
      <c r="A2264" s="8">
        <v>2263</v>
      </c>
      <c r="B2264" s="8" t="s">
        <v>10461</v>
      </c>
      <c r="C2264" s="8" t="s">
        <v>10461</v>
      </c>
      <c r="F2264" s="47"/>
      <c r="G2264" s="8">
        <v>16</v>
      </c>
      <c r="H2264" s="8" t="s">
        <v>21</v>
      </c>
      <c r="I2264" s="8" t="s">
        <v>22</v>
      </c>
      <c r="J2264" s="8" t="s">
        <v>22</v>
      </c>
      <c r="K2264" s="8" t="s">
        <v>406</v>
      </c>
      <c r="L2264" s="8" t="s">
        <v>10194</v>
      </c>
      <c r="M2264" s="8" t="s">
        <v>10195</v>
      </c>
      <c r="N2264" s="8" t="s">
        <v>10462</v>
      </c>
      <c r="O2264" s="8">
        <f>6+38/60+28.8/3600</f>
        <v>6.6413333333333329</v>
      </c>
      <c r="P2264" s="8" t="s">
        <v>10463</v>
      </c>
      <c r="Q2264" s="8">
        <f>-(24+50/60+55/3600)</f>
        <v>-24.848611111111111</v>
      </c>
      <c r="R2264" s="8">
        <v>11.9</v>
      </c>
      <c r="S2264" s="8">
        <v>12.7</v>
      </c>
      <c r="T2264" s="8">
        <v>0.8</v>
      </c>
      <c r="U2264" s="8">
        <v>13.6</v>
      </c>
      <c r="V2264" s="8">
        <v>2.6</v>
      </c>
      <c r="W2264" s="8">
        <v>2</v>
      </c>
      <c r="X2264" s="8">
        <v>143</v>
      </c>
      <c r="Y2264" s="8" t="s">
        <v>10464</v>
      </c>
      <c r="Z2264" s="8" t="s">
        <v>10465</v>
      </c>
    </row>
    <row r="2265" spans="1:26" x14ac:dyDescent="0.2">
      <c r="A2265" s="8">
        <v>2264</v>
      </c>
      <c r="B2265" s="8" t="s">
        <v>10466</v>
      </c>
      <c r="C2265" s="8" t="s">
        <v>10466</v>
      </c>
      <c r="F2265" s="47" t="s">
        <v>56458</v>
      </c>
      <c r="G2265" s="8">
        <v>5</v>
      </c>
      <c r="H2265" s="8" t="s">
        <v>10467</v>
      </c>
      <c r="I2265" s="8" t="s">
        <v>557</v>
      </c>
      <c r="J2265" s="8" t="s">
        <v>557</v>
      </c>
      <c r="K2265" s="8" t="s">
        <v>10468</v>
      </c>
      <c r="L2265" s="8" t="s">
        <v>9917</v>
      </c>
      <c r="M2265" s="8" t="s">
        <v>9918</v>
      </c>
      <c r="N2265" s="8" t="s">
        <v>10469</v>
      </c>
      <c r="O2265" s="8">
        <f>6+40/60+58.2/3600</f>
        <v>6.6828333333333338</v>
      </c>
      <c r="P2265" s="8" t="s">
        <v>10470</v>
      </c>
      <c r="Q2265" s="8">
        <f>+(9+53/60+44/3600)</f>
        <v>9.8955555555555552</v>
      </c>
      <c r="R2265" s="8">
        <v>4.0999999999999996</v>
      </c>
      <c r="S2265" s="8">
        <v>99</v>
      </c>
      <c r="T2265" s="8">
        <v>99</v>
      </c>
      <c r="U2265" s="8">
        <v>99</v>
      </c>
      <c r="V2265" s="8">
        <v>40</v>
      </c>
      <c r="Y2265" s="8" t="s">
        <v>21</v>
      </c>
      <c r="Z2265" s="8" t="s">
        <v>10471</v>
      </c>
    </row>
    <row r="2266" spans="1:26" x14ac:dyDescent="0.2">
      <c r="A2266" s="8">
        <v>2265</v>
      </c>
      <c r="B2266" s="8" t="s">
        <v>10472</v>
      </c>
      <c r="C2266" s="8" t="s">
        <v>10472</v>
      </c>
      <c r="F2266" s="47"/>
      <c r="G2266" s="8">
        <v>16</v>
      </c>
      <c r="H2266" s="8" t="s">
        <v>21</v>
      </c>
      <c r="I2266" s="8" t="s">
        <v>72</v>
      </c>
      <c r="J2266" s="8" t="s">
        <v>72</v>
      </c>
      <c r="K2266" s="8" t="s">
        <v>1405</v>
      </c>
      <c r="L2266" s="8" t="s">
        <v>9862</v>
      </c>
      <c r="M2266" s="8" t="s">
        <v>9863</v>
      </c>
      <c r="N2266" s="8" t="s">
        <v>10473</v>
      </c>
      <c r="O2266" s="8">
        <f>6+41/60+41.6/3600</f>
        <v>6.6948888888888893</v>
      </c>
      <c r="P2266" s="8" t="s">
        <v>10474</v>
      </c>
      <c r="Q2266" s="8">
        <f>+(11+54/60+19/3600)</f>
        <v>11.905277777777778</v>
      </c>
      <c r="R2266" s="8">
        <v>99</v>
      </c>
      <c r="S2266" s="8">
        <v>99</v>
      </c>
      <c r="T2266" s="8">
        <v>99</v>
      </c>
      <c r="U2266" s="8">
        <v>99</v>
      </c>
      <c r="V2266" s="8">
        <v>10</v>
      </c>
      <c r="Y2266" s="8" t="s">
        <v>21</v>
      </c>
      <c r="Z2266" s="8" t="s">
        <v>10475</v>
      </c>
    </row>
    <row r="2267" spans="1:26" x14ac:dyDescent="0.2">
      <c r="A2267" s="8">
        <v>2266</v>
      </c>
      <c r="B2267" s="8" t="s">
        <v>10476</v>
      </c>
      <c r="C2267" s="8" t="s">
        <v>10476</v>
      </c>
      <c r="F2267" s="47" t="s">
        <v>56459</v>
      </c>
      <c r="G2267" s="8">
        <v>6</v>
      </c>
      <c r="H2267" s="8" t="s">
        <v>21</v>
      </c>
      <c r="I2267" s="8" t="s">
        <v>557</v>
      </c>
      <c r="J2267" s="8" t="s">
        <v>557</v>
      </c>
      <c r="K2267" s="8" t="s">
        <v>2722</v>
      </c>
      <c r="L2267" s="8" t="s">
        <v>9862</v>
      </c>
      <c r="M2267" s="8" t="s">
        <v>9863</v>
      </c>
      <c r="N2267" s="8" t="s">
        <v>10477</v>
      </c>
      <c r="O2267" s="8">
        <f>6+43/60+19.2/3600</f>
        <v>6.7220000000000004</v>
      </c>
      <c r="P2267" s="8" t="s">
        <v>10478</v>
      </c>
      <c r="Q2267" s="8">
        <f>+(26+58/60+10/3600)</f>
        <v>26.969444444444441</v>
      </c>
      <c r="R2267" s="8">
        <v>9.5</v>
      </c>
      <c r="S2267" s="8">
        <v>99</v>
      </c>
      <c r="T2267" s="8">
        <v>99</v>
      </c>
      <c r="U2267" s="8">
        <v>99</v>
      </c>
      <c r="V2267" s="8">
        <v>5</v>
      </c>
      <c r="Y2267" s="8" t="s">
        <v>10479</v>
      </c>
      <c r="Z2267" s="8" t="s">
        <v>10480</v>
      </c>
    </row>
    <row r="2268" spans="1:26" x14ac:dyDescent="0.2">
      <c r="A2268" s="8">
        <v>2267</v>
      </c>
      <c r="B2268" s="8" t="s">
        <v>10481</v>
      </c>
      <c r="C2268" s="8" t="s">
        <v>10481</v>
      </c>
      <c r="F2268" s="47"/>
      <c r="G2268" s="8">
        <v>16</v>
      </c>
      <c r="H2268" s="8" t="s">
        <v>21</v>
      </c>
      <c r="I2268" s="8" t="s">
        <v>22</v>
      </c>
      <c r="J2268" s="8" t="s">
        <v>22</v>
      </c>
      <c r="K2268" s="8" t="s">
        <v>224</v>
      </c>
      <c r="L2268" s="8" t="s">
        <v>10194</v>
      </c>
      <c r="M2268" s="8" t="s">
        <v>10195</v>
      </c>
      <c r="N2268" s="8" t="s">
        <v>10482</v>
      </c>
      <c r="O2268" s="8">
        <f>6+40/60+51.7/3600</f>
        <v>6.6810277777777785</v>
      </c>
      <c r="P2268" s="8" t="s">
        <v>10483</v>
      </c>
      <c r="Q2268" s="8">
        <f>-(32+28/60+56/3600)</f>
        <v>-32.482222222222227</v>
      </c>
      <c r="R2268" s="8">
        <v>12.5</v>
      </c>
      <c r="S2268" s="8">
        <v>13.5</v>
      </c>
      <c r="T2268" s="8">
        <v>1</v>
      </c>
      <c r="U2268" s="8">
        <v>13.2</v>
      </c>
      <c r="V2268" s="8">
        <v>1.7</v>
      </c>
      <c r="W2268" s="8">
        <v>1.3</v>
      </c>
      <c r="X2268" s="8">
        <v>120</v>
      </c>
      <c r="Y2268" s="8" t="s">
        <v>21</v>
      </c>
      <c r="Z2268" s="8" t="s">
        <v>10484</v>
      </c>
    </row>
    <row r="2269" spans="1:26" x14ac:dyDescent="0.2">
      <c r="A2269" s="8">
        <v>2268</v>
      </c>
      <c r="B2269" s="8" t="s">
        <v>10485</v>
      </c>
      <c r="C2269" s="8" t="s">
        <v>10485</v>
      </c>
      <c r="F2269" s="47"/>
      <c r="G2269" s="8">
        <v>9</v>
      </c>
      <c r="H2269" s="8" t="s">
        <v>21</v>
      </c>
      <c r="I2269" s="8" t="s">
        <v>22</v>
      </c>
      <c r="J2269" s="8" t="s">
        <v>22</v>
      </c>
      <c r="K2269" s="8" t="s">
        <v>85</v>
      </c>
      <c r="L2269" s="8" t="s">
        <v>6823</v>
      </c>
      <c r="M2269" s="8" t="s">
        <v>6824</v>
      </c>
      <c r="N2269" s="8" t="s">
        <v>10486</v>
      </c>
      <c r="O2269" s="8">
        <f>7+14/60+17.5/3600</f>
        <v>7.2381944444444448</v>
      </c>
      <c r="P2269" s="8" t="s">
        <v>10487</v>
      </c>
      <c r="Q2269" s="8">
        <f>+(84+22/60+56/3600)</f>
        <v>84.382222222222211</v>
      </c>
      <c r="R2269" s="8">
        <v>11.5</v>
      </c>
      <c r="S2269" s="8">
        <v>12.2</v>
      </c>
      <c r="T2269" s="8">
        <v>0.7</v>
      </c>
      <c r="U2269" s="8">
        <v>13.4</v>
      </c>
      <c r="V2269" s="8">
        <v>2.7</v>
      </c>
      <c r="W2269" s="8">
        <v>1.5</v>
      </c>
      <c r="X2269" s="8">
        <v>63</v>
      </c>
      <c r="Y2269" s="8" t="s">
        <v>10488</v>
      </c>
      <c r="Z2269" s="8" t="s">
        <v>7772</v>
      </c>
    </row>
    <row r="2270" spans="1:26" x14ac:dyDescent="0.2">
      <c r="A2270" s="8">
        <v>2269</v>
      </c>
      <c r="B2270" s="8" t="s">
        <v>10489</v>
      </c>
      <c r="C2270" s="8" t="s">
        <v>10489</v>
      </c>
      <c r="F2270" s="47" t="s">
        <v>56460</v>
      </c>
      <c r="G2270" s="8">
        <v>6.5</v>
      </c>
      <c r="H2270" s="8" t="s">
        <v>10490</v>
      </c>
      <c r="I2270" s="8" t="s">
        <v>557</v>
      </c>
      <c r="J2270" s="8" t="s">
        <v>557</v>
      </c>
      <c r="K2270" s="8" t="s">
        <v>558</v>
      </c>
      <c r="L2270" s="8" t="s">
        <v>9917</v>
      </c>
      <c r="M2270" s="8" t="s">
        <v>9918</v>
      </c>
      <c r="N2270" s="8" t="s">
        <v>10491</v>
      </c>
      <c r="O2270" s="8">
        <f>6+43/60+17/3600</f>
        <v>6.7213888888888889</v>
      </c>
      <c r="P2270" s="8" t="s">
        <v>10492</v>
      </c>
      <c r="Q2270" s="8">
        <f>+(4+37/60+28/3600)</f>
        <v>4.6244444444444452</v>
      </c>
      <c r="R2270" s="8">
        <v>10</v>
      </c>
      <c r="S2270" s="8">
        <v>99</v>
      </c>
      <c r="T2270" s="8">
        <v>99</v>
      </c>
      <c r="U2270" s="8">
        <v>99</v>
      </c>
      <c r="V2270" s="8">
        <v>3</v>
      </c>
      <c r="Y2270" s="8" t="s">
        <v>10493</v>
      </c>
      <c r="Z2270" s="8" t="s">
        <v>10494</v>
      </c>
    </row>
    <row r="2271" spans="1:26" x14ac:dyDescent="0.2">
      <c r="A2271" s="8">
        <v>2270</v>
      </c>
      <c r="B2271" s="8" t="s">
        <v>10495</v>
      </c>
      <c r="C2271" s="8" t="s">
        <v>10495</v>
      </c>
      <c r="F2271" s="47" t="s">
        <v>56461</v>
      </c>
      <c r="G2271" s="8">
        <v>15</v>
      </c>
      <c r="H2271" s="8" t="s">
        <v>21</v>
      </c>
      <c r="I2271" s="8" t="s">
        <v>557</v>
      </c>
      <c r="J2271" s="8" t="s">
        <v>557</v>
      </c>
      <c r="K2271" s="8" t="s">
        <v>557</v>
      </c>
      <c r="L2271" s="8" t="s">
        <v>9917</v>
      </c>
      <c r="M2271" s="8" t="s">
        <v>9918</v>
      </c>
      <c r="N2271" s="8" t="s">
        <v>10496</v>
      </c>
      <c r="O2271" s="8">
        <f>6+43/60+57.7/3600</f>
        <v>6.7326944444444443</v>
      </c>
      <c r="P2271" s="8" t="s">
        <v>10497</v>
      </c>
      <c r="Q2271" s="8">
        <f>+(3+28/60+45/3600)</f>
        <v>3.479166666666667</v>
      </c>
      <c r="R2271" s="8">
        <v>99</v>
      </c>
      <c r="S2271" s="8">
        <v>99</v>
      </c>
      <c r="T2271" s="8">
        <v>99</v>
      </c>
      <c r="U2271" s="8">
        <v>99</v>
      </c>
      <c r="Y2271" s="8" t="s">
        <v>10498</v>
      </c>
      <c r="Z2271" s="8" t="s">
        <v>10499</v>
      </c>
    </row>
    <row r="2272" spans="1:26" x14ac:dyDescent="0.2">
      <c r="A2272" s="8">
        <v>2271</v>
      </c>
      <c r="B2272" s="8" t="s">
        <v>10500</v>
      </c>
      <c r="C2272" s="8" t="s">
        <v>10500</v>
      </c>
      <c r="F2272" s="47"/>
      <c r="G2272" s="8">
        <v>16</v>
      </c>
      <c r="H2272" s="8" t="s">
        <v>21</v>
      </c>
      <c r="I2272" s="8" t="s">
        <v>22</v>
      </c>
      <c r="J2272" s="8" t="s">
        <v>22</v>
      </c>
      <c r="K2272" s="8" t="s">
        <v>118</v>
      </c>
      <c r="L2272" s="8" t="s">
        <v>10194</v>
      </c>
      <c r="M2272" s="8" t="s">
        <v>10195</v>
      </c>
      <c r="N2272" s="8" t="s">
        <v>10501</v>
      </c>
      <c r="O2272" s="8">
        <f>6+42/60+52.9/3600</f>
        <v>6.7146944444444445</v>
      </c>
      <c r="P2272" s="8" t="s">
        <v>10502</v>
      </c>
      <c r="Q2272" s="8">
        <f>-(23+28/60+33/3600)</f>
        <v>-23.47583333333333</v>
      </c>
      <c r="R2272" s="8">
        <v>12.1</v>
      </c>
      <c r="S2272" s="8">
        <v>13.1</v>
      </c>
      <c r="T2272" s="8">
        <v>1</v>
      </c>
      <c r="U2272" s="8">
        <v>13.2</v>
      </c>
      <c r="V2272" s="8">
        <v>2.1</v>
      </c>
      <c r="W2272" s="8">
        <v>1.4</v>
      </c>
      <c r="X2272" s="8">
        <v>71</v>
      </c>
      <c r="Y2272" s="8" t="s">
        <v>10503</v>
      </c>
      <c r="Z2272" s="8" t="s">
        <v>10504</v>
      </c>
    </row>
    <row r="2273" spans="1:26" x14ac:dyDescent="0.2">
      <c r="A2273" s="8">
        <v>2272</v>
      </c>
      <c r="B2273" s="8" t="s">
        <v>10505</v>
      </c>
      <c r="C2273" s="8" t="s">
        <v>10505</v>
      </c>
      <c r="F2273" s="47"/>
      <c r="G2273" s="8">
        <v>16</v>
      </c>
      <c r="H2273" s="8" t="s">
        <v>21</v>
      </c>
      <c r="I2273" s="8" t="s">
        <v>22</v>
      </c>
      <c r="J2273" s="8" t="s">
        <v>22</v>
      </c>
      <c r="K2273" s="8" t="s">
        <v>118</v>
      </c>
      <c r="L2273" s="8" t="s">
        <v>10194</v>
      </c>
      <c r="M2273" s="8" t="s">
        <v>10195</v>
      </c>
      <c r="N2273" s="8" t="s">
        <v>10506</v>
      </c>
      <c r="O2273" s="8">
        <f>6+42/60+41.2/3600</f>
        <v>6.711444444444445</v>
      </c>
      <c r="P2273" s="8" t="s">
        <v>10507</v>
      </c>
      <c r="Q2273" s="8">
        <f>-(27+27/60+35/3600)</f>
        <v>-27.459722222222222</v>
      </c>
      <c r="R2273" s="8">
        <v>11.5</v>
      </c>
      <c r="S2273" s="8">
        <v>12.5</v>
      </c>
      <c r="T2273" s="8">
        <v>1</v>
      </c>
      <c r="U2273" s="8">
        <v>12.8</v>
      </c>
      <c r="V2273" s="8">
        <v>2.4</v>
      </c>
      <c r="W2273" s="8">
        <v>1.6</v>
      </c>
      <c r="X2273" s="8">
        <v>123</v>
      </c>
      <c r="Y2273" s="8" t="s">
        <v>10508</v>
      </c>
      <c r="Z2273" s="8" t="s">
        <v>10509</v>
      </c>
    </row>
    <row r="2274" spans="1:26" x14ac:dyDescent="0.2">
      <c r="A2274" s="8">
        <v>2273</v>
      </c>
      <c r="B2274" s="8" t="s">
        <v>10510</v>
      </c>
      <c r="C2274" s="8" t="s">
        <v>10510</v>
      </c>
      <c r="F2274" s="47"/>
      <c r="G2274" s="8">
        <v>18</v>
      </c>
      <c r="H2274" s="8" t="s">
        <v>21</v>
      </c>
      <c r="I2274" s="8" t="s">
        <v>22</v>
      </c>
      <c r="J2274" s="8" t="s">
        <v>22</v>
      </c>
      <c r="K2274" s="8" t="s">
        <v>154</v>
      </c>
      <c r="L2274" s="8" t="s">
        <v>10511</v>
      </c>
      <c r="M2274" s="8" t="s">
        <v>10512</v>
      </c>
      <c r="N2274" s="8" t="s">
        <v>10513</v>
      </c>
      <c r="O2274" s="8">
        <f>6+50/60+8.4/3600</f>
        <v>6.8356666666666666</v>
      </c>
      <c r="P2274" s="8" t="s">
        <v>10514</v>
      </c>
      <c r="Q2274" s="8">
        <f>+(60+50/60+45/3600)</f>
        <v>60.845833333333339</v>
      </c>
      <c r="R2274" s="8">
        <v>11.7</v>
      </c>
      <c r="S2274" s="8">
        <v>12.6</v>
      </c>
      <c r="T2274" s="8">
        <v>0.9</v>
      </c>
      <c r="U2274" s="8">
        <v>13.8</v>
      </c>
      <c r="V2274" s="8">
        <v>3.6</v>
      </c>
      <c r="W2274" s="8">
        <v>2</v>
      </c>
      <c r="X2274" s="8">
        <v>50</v>
      </c>
      <c r="Y2274" s="8" t="s">
        <v>10515</v>
      </c>
      <c r="Z2274" s="8" t="s">
        <v>10516</v>
      </c>
    </row>
    <row r="2275" spans="1:26" x14ac:dyDescent="0.2">
      <c r="A2275" s="8">
        <v>2274</v>
      </c>
      <c r="B2275" s="8" t="s">
        <v>10517</v>
      </c>
      <c r="C2275" s="8" t="s">
        <v>10517</v>
      </c>
      <c r="F2275" s="47" t="s">
        <v>56462</v>
      </c>
      <c r="G2275" s="8">
        <v>6.5</v>
      </c>
      <c r="H2275" s="8" t="s">
        <v>21</v>
      </c>
      <c r="I2275" s="8" t="s">
        <v>22</v>
      </c>
      <c r="J2275" s="8" t="s">
        <v>22</v>
      </c>
      <c r="K2275" s="8" t="s">
        <v>183</v>
      </c>
      <c r="L2275" s="8" t="s">
        <v>9862</v>
      </c>
      <c r="M2275" s="8" t="s">
        <v>9863</v>
      </c>
      <c r="N2275" s="8" t="s">
        <v>10518</v>
      </c>
      <c r="O2275" s="8">
        <f>6+47/60+17.4/3600</f>
        <v>6.7881666666666662</v>
      </c>
      <c r="P2275" s="8" t="s">
        <v>10519</v>
      </c>
      <c r="Q2275" s="8">
        <f>+(33+34/60+3/3600)</f>
        <v>33.567500000000003</v>
      </c>
      <c r="R2275" s="8">
        <v>12.1</v>
      </c>
      <c r="S2275" s="8">
        <v>13.1</v>
      </c>
      <c r="T2275" s="8">
        <v>1</v>
      </c>
      <c r="U2275" s="8">
        <v>12.5</v>
      </c>
      <c r="V2275" s="8">
        <v>1.2</v>
      </c>
      <c r="W2275" s="8">
        <v>1.1000000000000001</v>
      </c>
      <c r="X2275" s="8">
        <v>169</v>
      </c>
      <c r="Y2275" s="8" t="s">
        <v>4430</v>
      </c>
      <c r="Z2275" s="8" t="s">
        <v>4431</v>
      </c>
    </row>
    <row r="2276" spans="1:26" x14ac:dyDescent="0.2">
      <c r="A2276" s="8">
        <v>2275</v>
      </c>
      <c r="B2276" s="8" t="s">
        <v>10520</v>
      </c>
      <c r="C2276" s="8" t="s">
        <v>10520</v>
      </c>
      <c r="F2276" s="47" t="s">
        <v>56463</v>
      </c>
      <c r="G2276" s="8">
        <v>15</v>
      </c>
      <c r="H2276" s="8" t="s">
        <v>21</v>
      </c>
      <c r="I2276" s="8" t="s">
        <v>22</v>
      </c>
      <c r="J2276" s="8" t="s">
        <v>22</v>
      </c>
      <c r="K2276" s="8" t="s">
        <v>31</v>
      </c>
      <c r="L2276" s="8" t="s">
        <v>9862</v>
      </c>
      <c r="M2276" s="8" t="s">
        <v>9863</v>
      </c>
      <c r="N2276" s="8" t="s">
        <v>10521</v>
      </c>
      <c r="O2276" s="8">
        <f>6+47/60+17.9/3600</f>
        <v>6.7883055555555556</v>
      </c>
      <c r="P2276" s="8" t="s">
        <v>10522</v>
      </c>
      <c r="Q2276" s="8">
        <f>+(33+35/60+57/3600)</f>
        <v>33.599166666666669</v>
      </c>
      <c r="R2276" s="8">
        <v>13.2</v>
      </c>
      <c r="S2276" s="8">
        <v>14</v>
      </c>
      <c r="T2276" s="8">
        <v>0.8</v>
      </c>
      <c r="U2276" s="8">
        <v>13.3</v>
      </c>
      <c r="V2276" s="8">
        <v>1.3</v>
      </c>
      <c r="W2276" s="8">
        <v>0.9</v>
      </c>
      <c r="X2276" s="8">
        <v>157</v>
      </c>
      <c r="Y2276" s="8" t="s">
        <v>266</v>
      </c>
      <c r="Z2276" s="8" t="s">
        <v>267</v>
      </c>
    </row>
    <row r="2277" spans="1:26" x14ac:dyDescent="0.2">
      <c r="A2277" s="8">
        <v>2276</v>
      </c>
      <c r="B2277" s="8" t="s">
        <v>10523</v>
      </c>
      <c r="C2277" s="8" t="s">
        <v>10523</v>
      </c>
      <c r="F2277" s="47"/>
      <c r="G2277" s="8">
        <v>11</v>
      </c>
      <c r="H2277" s="8" t="s">
        <v>21</v>
      </c>
      <c r="I2277" s="8" t="s">
        <v>22</v>
      </c>
      <c r="J2277" s="8" t="s">
        <v>22</v>
      </c>
      <c r="K2277" s="8" t="s">
        <v>64</v>
      </c>
      <c r="L2277" s="8" t="s">
        <v>242</v>
      </c>
      <c r="M2277" s="8" t="s">
        <v>243</v>
      </c>
      <c r="N2277" s="8" t="s">
        <v>10524</v>
      </c>
      <c r="O2277" s="8">
        <f>7+27/60+13.6/3600</f>
        <v>7.4537777777777778</v>
      </c>
      <c r="P2277" s="8" t="s">
        <v>10525</v>
      </c>
      <c r="Q2277" s="8">
        <f>+(85+45/60+18/3600)</f>
        <v>85.754999999999995</v>
      </c>
      <c r="R2277" s="8">
        <v>11.4</v>
      </c>
      <c r="S2277" s="8">
        <v>11.9</v>
      </c>
      <c r="T2277" s="8">
        <v>0.5</v>
      </c>
      <c r="U2277" s="8">
        <v>13.4</v>
      </c>
      <c r="V2277" s="8">
        <v>2.2999999999999998</v>
      </c>
      <c r="W2277" s="8">
        <v>1.9</v>
      </c>
      <c r="X2277" s="8">
        <v>20</v>
      </c>
      <c r="Y2277" s="8" t="s">
        <v>21</v>
      </c>
      <c r="Z2277" s="8" t="s">
        <v>10526</v>
      </c>
    </row>
    <row r="2278" spans="1:26" x14ac:dyDescent="0.2">
      <c r="A2278" s="8">
        <v>2277</v>
      </c>
      <c r="B2278" s="8" t="s">
        <v>10527</v>
      </c>
      <c r="C2278" s="8" t="s">
        <v>10527</v>
      </c>
      <c r="F2278" s="47"/>
      <c r="G2278" s="8">
        <v>18</v>
      </c>
      <c r="H2278" s="8" t="s">
        <v>21</v>
      </c>
      <c r="I2278" s="8" t="s">
        <v>72</v>
      </c>
      <c r="J2278" s="8" t="s">
        <v>72</v>
      </c>
      <c r="K2278" s="8" t="s">
        <v>20</v>
      </c>
      <c r="L2278" s="8" t="s">
        <v>9862</v>
      </c>
      <c r="M2278" s="8" t="s">
        <v>9863</v>
      </c>
      <c r="N2278" s="8" t="s">
        <v>10528</v>
      </c>
      <c r="O2278" s="8">
        <f>6+47/60+47/3600</f>
        <v>6.796388888888889</v>
      </c>
      <c r="P2278" s="8" t="s">
        <v>10529</v>
      </c>
      <c r="Q2278" s="8">
        <f>+(33+27/60+17/3600)</f>
        <v>33.454722222222223</v>
      </c>
      <c r="R2278" s="8">
        <v>13.4</v>
      </c>
      <c r="S2278" s="8">
        <v>13.4</v>
      </c>
      <c r="T2278" s="8">
        <v>99</v>
      </c>
      <c r="U2278" s="8">
        <v>99</v>
      </c>
      <c r="Y2278" s="8" t="s">
        <v>10530</v>
      </c>
      <c r="Z2278" s="8" t="s">
        <v>10531</v>
      </c>
    </row>
    <row r="2279" spans="1:26" x14ac:dyDescent="0.2">
      <c r="A2279" s="8">
        <v>2278</v>
      </c>
      <c r="B2279" s="8" t="s">
        <v>10532</v>
      </c>
      <c r="C2279" s="8" t="s">
        <v>10532</v>
      </c>
      <c r="F2279" s="47"/>
      <c r="G2279" s="8">
        <v>18</v>
      </c>
      <c r="H2279" s="8" t="s">
        <v>21</v>
      </c>
      <c r="I2279" s="8" t="s">
        <v>72</v>
      </c>
      <c r="J2279" s="8" t="s">
        <v>72</v>
      </c>
      <c r="K2279" s="8" t="s">
        <v>73</v>
      </c>
      <c r="L2279" s="8" t="s">
        <v>9862</v>
      </c>
      <c r="M2279" s="8" t="s">
        <v>9863</v>
      </c>
      <c r="N2279" s="8" t="s">
        <v>10533</v>
      </c>
      <c r="O2279" s="8">
        <f>6+48/60+16.3/3600</f>
        <v>6.8045277777777775</v>
      </c>
      <c r="P2279" s="8" t="s">
        <v>10534</v>
      </c>
      <c r="Q2279" s="8">
        <f>+(33+23/60+43/3600)</f>
        <v>33.395277777777778</v>
      </c>
      <c r="R2279" s="8">
        <v>99</v>
      </c>
      <c r="S2279" s="8">
        <v>99</v>
      </c>
      <c r="T2279" s="8">
        <v>99</v>
      </c>
      <c r="U2279" s="8">
        <v>99</v>
      </c>
      <c r="Y2279" s="8" t="s">
        <v>282</v>
      </c>
      <c r="Z2279" s="8" t="s">
        <v>283</v>
      </c>
    </row>
    <row r="2280" spans="1:26" x14ac:dyDescent="0.2">
      <c r="A2280" s="8">
        <v>2279</v>
      </c>
      <c r="B2280" s="8" t="s">
        <v>10535</v>
      </c>
      <c r="C2280" s="8" t="s">
        <v>10535</v>
      </c>
      <c r="F2280" s="47"/>
      <c r="G2280" s="8">
        <v>19</v>
      </c>
      <c r="H2280" s="8" t="s">
        <v>21</v>
      </c>
      <c r="I2280" s="8" t="s">
        <v>72</v>
      </c>
      <c r="J2280" s="8" t="s">
        <v>72</v>
      </c>
      <c r="K2280" s="8" t="s">
        <v>1802</v>
      </c>
      <c r="L2280" s="8" t="s">
        <v>9862</v>
      </c>
      <c r="M2280" s="8" t="s">
        <v>9863</v>
      </c>
      <c r="N2280" s="8" t="s">
        <v>10536</v>
      </c>
      <c r="O2280" s="8">
        <f>6+48/60+24.7/3600</f>
        <v>6.806861111111111</v>
      </c>
      <c r="P2280" s="8" t="s">
        <v>8770</v>
      </c>
      <c r="Q2280" s="8">
        <f>+(33+24/60+52/3600)</f>
        <v>33.414444444444442</v>
      </c>
      <c r="R2280" s="8">
        <v>99</v>
      </c>
      <c r="S2280" s="8">
        <v>99</v>
      </c>
      <c r="T2280" s="8">
        <v>99</v>
      </c>
      <c r="U2280" s="8">
        <v>99</v>
      </c>
      <c r="Y2280" s="8" t="s">
        <v>10537</v>
      </c>
      <c r="Z2280" s="8" t="s">
        <v>10538</v>
      </c>
    </row>
    <row r="2281" spans="1:26" x14ac:dyDescent="0.2">
      <c r="A2281" s="8">
        <v>2280</v>
      </c>
      <c r="B2281" s="8" t="s">
        <v>10539</v>
      </c>
      <c r="C2281" s="8" t="s">
        <v>10539</v>
      </c>
      <c r="F2281" s="47"/>
      <c r="G2281" s="8">
        <v>13</v>
      </c>
      <c r="H2281" s="8" t="s">
        <v>21</v>
      </c>
      <c r="I2281" s="8" t="s">
        <v>22</v>
      </c>
      <c r="J2281" s="8" t="s">
        <v>22</v>
      </c>
      <c r="K2281" s="8" t="s">
        <v>160</v>
      </c>
      <c r="L2281" s="8" t="s">
        <v>10194</v>
      </c>
      <c r="M2281" s="8" t="s">
        <v>10195</v>
      </c>
      <c r="N2281" s="8" t="s">
        <v>10540</v>
      </c>
      <c r="O2281" s="8">
        <f>6+44/60+48.9/3600</f>
        <v>6.7469166666666665</v>
      </c>
      <c r="P2281" s="8" t="s">
        <v>10541</v>
      </c>
      <c r="Q2281" s="8">
        <f>-(27+38/60+20/3600)</f>
        <v>-27.638888888888889</v>
      </c>
      <c r="R2281" s="8">
        <v>10.3</v>
      </c>
      <c r="S2281" s="8">
        <v>10.9</v>
      </c>
      <c r="T2281" s="8">
        <v>0.6</v>
      </c>
      <c r="U2281" s="8">
        <v>13.3</v>
      </c>
      <c r="V2281" s="8">
        <v>6.3</v>
      </c>
      <c r="W2281" s="8">
        <v>3</v>
      </c>
      <c r="X2281" s="8">
        <v>163</v>
      </c>
      <c r="Y2281" s="8" t="s">
        <v>10542</v>
      </c>
      <c r="Z2281" s="8" t="s">
        <v>10543</v>
      </c>
    </row>
    <row r="2282" spans="1:26" x14ac:dyDescent="0.2">
      <c r="A2282" s="8">
        <v>2281</v>
      </c>
      <c r="B2282" s="8" t="s">
        <v>10544</v>
      </c>
      <c r="C2282" s="8" t="s">
        <v>10544</v>
      </c>
      <c r="F2282" s="47" t="s">
        <v>56464</v>
      </c>
      <c r="G2282" s="8">
        <v>5</v>
      </c>
      <c r="H2282" s="8" t="s">
        <v>10545</v>
      </c>
      <c r="I2282" s="8" t="s">
        <v>557</v>
      </c>
      <c r="J2282" s="8" t="s">
        <v>557</v>
      </c>
      <c r="K2282" s="8" t="s">
        <v>3082</v>
      </c>
      <c r="L2282" s="8" t="s">
        <v>7717</v>
      </c>
      <c r="M2282" s="8" t="s">
        <v>7718</v>
      </c>
      <c r="N2282" s="8" t="s">
        <v>10546</v>
      </c>
      <c r="O2282" s="8">
        <f>6+48/60+17.8/3600</f>
        <v>6.8049444444444447</v>
      </c>
      <c r="P2282" s="8" t="s">
        <v>10547</v>
      </c>
      <c r="Q2282" s="8">
        <f>+(41+4/60+44/3600)</f>
        <v>41.078888888888891</v>
      </c>
      <c r="R2282" s="8">
        <v>5.4</v>
      </c>
      <c r="S2282" s="8">
        <v>99</v>
      </c>
      <c r="T2282" s="8">
        <v>99</v>
      </c>
      <c r="U2282" s="8">
        <v>99</v>
      </c>
      <c r="V2282" s="8">
        <v>25</v>
      </c>
      <c r="Y2282" s="8" t="s">
        <v>10548</v>
      </c>
      <c r="Z2282" s="8" t="s">
        <v>10549</v>
      </c>
    </row>
    <row r="2283" spans="1:26" x14ac:dyDescent="0.2">
      <c r="A2283" s="8">
        <v>2282</v>
      </c>
      <c r="B2283" s="8" t="s">
        <v>10550</v>
      </c>
      <c r="C2283" s="8" t="s">
        <v>10550</v>
      </c>
      <c r="F2283" s="47"/>
      <c r="G2283" s="8">
        <v>13</v>
      </c>
      <c r="H2283" s="8" t="s">
        <v>21</v>
      </c>
      <c r="I2283" s="8" t="s">
        <v>1283</v>
      </c>
      <c r="J2283" s="8" t="s">
        <v>1283</v>
      </c>
      <c r="K2283" s="8" t="s">
        <v>6208</v>
      </c>
      <c r="L2283" s="8" t="s">
        <v>9917</v>
      </c>
      <c r="M2283" s="8" t="s">
        <v>9918</v>
      </c>
      <c r="N2283" s="8" t="s">
        <v>10551</v>
      </c>
      <c r="O2283" s="8">
        <f>6+46/60+51.2/3600</f>
        <v>6.7808888888888887</v>
      </c>
      <c r="P2283" s="8" t="s">
        <v>10552</v>
      </c>
      <c r="Q2283" s="8">
        <f>+(1+18/60+54/3600)</f>
        <v>1.3149999999999999</v>
      </c>
      <c r="R2283" s="8">
        <v>99</v>
      </c>
      <c r="S2283" s="8">
        <v>99</v>
      </c>
      <c r="T2283" s="8">
        <v>99</v>
      </c>
      <c r="U2283" s="8">
        <v>99</v>
      </c>
      <c r="V2283" s="8">
        <v>3</v>
      </c>
      <c r="W2283" s="8">
        <v>3</v>
      </c>
      <c r="Y2283" s="8" t="s">
        <v>10553</v>
      </c>
      <c r="Z2283" s="8" t="s">
        <v>10554</v>
      </c>
    </row>
    <row r="2284" spans="1:26" x14ac:dyDescent="0.2">
      <c r="A2284" s="8">
        <v>2283</v>
      </c>
      <c r="B2284" s="8" t="s">
        <v>10555</v>
      </c>
      <c r="C2284" s="8" t="s">
        <v>10555</v>
      </c>
      <c r="F2284" s="47" t="s">
        <v>56465</v>
      </c>
      <c r="G2284" s="8">
        <v>6.5</v>
      </c>
      <c r="H2284" s="8" t="s">
        <v>21</v>
      </c>
      <c r="I2284" s="8" t="s">
        <v>22</v>
      </c>
      <c r="J2284" s="8" t="s">
        <v>22</v>
      </c>
      <c r="K2284" s="8" t="s">
        <v>64</v>
      </c>
      <c r="L2284" s="8" t="s">
        <v>10194</v>
      </c>
      <c r="M2284" s="8" t="s">
        <v>10195</v>
      </c>
      <c r="N2284" s="8" t="s">
        <v>10556</v>
      </c>
      <c r="O2284" s="8">
        <f>6+45/60+52.6/3600</f>
        <v>6.7646111111111109</v>
      </c>
      <c r="P2284" s="8" t="s">
        <v>10557</v>
      </c>
      <c r="Q2284" s="8">
        <f>-(18+12/60+37/3600)</f>
        <v>-18.210277777777776</v>
      </c>
      <c r="R2284" s="8">
        <v>11.5</v>
      </c>
      <c r="S2284" s="8">
        <v>12.2</v>
      </c>
      <c r="T2284" s="8">
        <v>0.7</v>
      </c>
      <c r="U2284" s="8">
        <v>13.8</v>
      </c>
      <c r="V2284" s="8">
        <v>3.6</v>
      </c>
      <c r="W2284" s="8">
        <v>2.7</v>
      </c>
      <c r="X2284" s="8">
        <v>2</v>
      </c>
      <c r="Y2284" s="8" t="s">
        <v>21</v>
      </c>
      <c r="Z2284" s="8" t="s">
        <v>10558</v>
      </c>
    </row>
    <row r="2285" spans="1:26" x14ac:dyDescent="0.2">
      <c r="A2285" s="8">
        <v>2284</v>
      </c>
      <c r="B2285" s="8" t="s">
        <v>10559</v>
      </c>
      <c r="C2285" s="8" t="s">
        <v>10559</v>
      </c>
      <c r="F2285" s="47"/>
      <c r="G2285" s="8">
        <v>18</v>
      </c>
      <c r="H2285" s="8" t="s">
        <v>21</v>
      </c>
      <c r="I2285" s="8" t="s">
        <v>72</v>
      </c>
      <c r="J2285" s="8" t="s">
        <v>72</v>
      </c>
      <c r="K2285" s="8" t="s">
        <v>5802</v>
      </c>
      <c r="L2285" s="8" t="s">
        <v>9862</v>
      </c>
      <c r="M2285" s="8" t="s">
        <v>9863</v>
      </c>
      <c r="N2285" s="8" t="s">
        <v>10560</v>
      </c>
      <c r="O2285" s="8">
        <f>6+49/60+9.5/3600</f>
        <v>6.8193055555555553</v>
      </c>
      <c r="P2285" s="8" t="s">
        <v>10561</v>
      </c>
      <c r="Q2285" s="8">
        <f>+(33+11/60+40/3600)</f>
        <v>33.194444444444443</v>
      </c>
      <c r="R2285" s="8">
        <v>99</v>
      </c>
      <c r="S2285" s="8">
        <v>99</v>
      </c>
      <c r="T2285" s="8">
        <v>99</v>
      </c>
      <c r="U2285" s="8">
        <v>99</v>
      </c>
      <c r="Y2285" s="8" t="s">
        <v>10562</v>
      </c>
      <c r="Z2285" s="8" t="s">
        <v>10563</v>
      </c>
    </row>
    <row r="2286" spans="1:26" x14ac:dyDescent="0.2">
      <c r="A2286" s="8">
        <v>2285</v>
      </c>
      <c r="B2286" s="8" t="s">
        <v>10564</v>
      </c>
      <c r="C2286" s="8" t="s">
        <v>10564</v>
      </c>
      <c r="F2286" s="47"/>
      <c r="G2286" s="8">
        <v>18</v>
      </c>
      <c r="H2286" s="8" t="s">
        <v>21</v>
      </c>
      <c r="I2286" s="8" t="s">
        <v>72</v>
      </c>
      <c r="J2286" s="8" t="s">
        <v>72</v>
      </c>
      <c r="K2286" s="8" t="s">
        <v>73</v>
      </c>
      <c r="L2286" s="8" t="s">
        <v>9862</v>
      </c>
      <c r="M2286" s="8" t="s">
        <v>9863</v>
      </c>
      <c r="N2286" s="8" t="s">
        <v>10565</v>
      </c>
      <c r="O2286" s="8">
        <f>6+49/60+36/3600</f>
        <v>6.8266666666666662</v>
      </c>
      <c r="P2286" s="8" t="s">
        <v>10566</v>
      </c>
      <c r="Q2286" s="8">
        <f>+(33+21/60+54/3600)</f>
        <v>33.365000000000002</v>
      </c>
      <c r="R2286" s="8">
        <v>99</v>
      </c>
      <c r="S2286" s="8">
        <v>99</v>
      </c>
      <c r="T2286" s="8">
        <v>99</v>
      </c>
      <c r="U2286" s="8">
        <v>99</v>
      </c>
      <c r="Y2286" s="8" t="s">
        <v>10567</v>
      </c>
      <c r="Z2286" s="8" t="s">
        <v>10568</v>
      </c>
    </row>
    <row r="2287" spans="1:26" x14ac:dyDescent="0.2">
      <c r="A2287" s="8">
        <v>2286</v>
      </c>
      <c r="B2287" s="8" t="s">
        <v>10569</v>
      </c>
      <c r="C2287" s="8" t="s">
        <v>10569</v>
      </c>
      <c r="F2287" s="47" t="s">
        <v>56466</v>
      </c>
      <c r="G2287" s="8">
        <v>6</v>
      </c>
      <c r="H2287" s="8" t="s">
        <v>21</v>
      </c>
      <c r="I2287" s="8" t="s">
        <v>557</v>
      </c>
      <c r="J2287" s="8" t="s">
        <v>557</v>
      </c>
      <c r="K2287" s="8" t="s">
        <v>10570</v>
      </c>
      <c r="L2287" s="8" t="s">
        <v>9917</v>
      </c>
      <c r="M2287" s="8" t="s">
        <v>9918</v>
      </c>
      <c r="N2287" s="8" t="s">
        <v>10571</v>
      </c>
      <c r="O2287" s="8">
        <f>6+47/60+40.1/3600</f>
        <v>6.7944722222222218</v>
      </c>
      <c r="P2287" s="8" t="s">
        <v>10572</v>
      </c>
      <c r="Q2287" s="8">
        <f>-(3+8/60+52/3600)</f>
        <v>-3.1477777777777778</v>
      </c>
      <c r="R2287" s="8">
        <v>7.5</v>
      </c>
      <c r="S2287" s="8">
        <v>99</v>
      </c>
      <c r="T2287" s="8">
        <v>99</v>
      </c>
      <c r="U2287" s="8">
        <v>99</v>
      </c>
      <c r="V2287" s="8">
        <v>15</v>
      </c>
      <c r="Y2287" s="8" t="s">
        <v>21</v>
      </c>
      <c r="Z2287" s="8" t="s">
        <v>10573</v>
      </c>
    </row>
    <row r="2288" spans="1:26" x14ac:dyDescent="0.2">
      <c r="A2288" s="8">
        <v>2287</v>
      </c>
      <c r="B2288" s="8" t="s">
        <v>10574</v>
      </c>
      <c r="C2288" s="8" t="s">
        <v>55879</v>
      </c>
      <c r="F2288" s="47"/>
      <c r="G2288" s="8">
        <v>1</v>
      </c>
      <c r="H2288" s="8" t="s">
        <v>10575</v>
      </c>
      <c r="I2288" s="8" t="s">
        <v>557</v>
      </c>
      <c r="J2288" s="8" t="s">
        <v>557</v>
      </c>
      <c r="K2288" s="8" t="s">
        <v>3170</v>
      </c>
      <c r="L2288" s="8" t="s">
        <v>10194</v>
      </c>
      <c r="M2288" s="8" t="s">
        <v>10195</v>
      </c>
      <c r="N2288" s="8" t="s">
        <v>10576</v>
      </c>
      <c r="O2288" s="8">
        <f>6+46/60+0/3600</f>
        <v>6.7666666666666666</v>
      </c>
      <c r="P2288" s="8" t="s">
        <v>10577</v>
      </c>
      <c r="Q2288" s="8">
        <f>-(20+45/60+24/3600)</f>
        <v>-20.756666666666668</v>
      </c>
      <c r="R2288" s="8">
        <v>4.5</v>
      </c>
      <c r="S2288" s="8">
        <v>99</v>
      </c>
      <c r="T2288" s="8">
        <v>99</v>
      </c>
      <c r="U2288" s="8">
        <v>99</v>
      </c>
      <c r="V2288" s="8">
        <v>39</v>
      </c>
      <c r="Y2288" s="8" t="s">
        <v>10578</v>
      </c>
      <c r="Z2288" s="8" t="s">
        <v>10579</v>
      </c>
    </row>
    <row r="2289" spans="1:26" x14ac:dyDescent="0.2">
      <c r="A2289" s="8">
        <v>2288</v>
      </c>
      <c r="B2289" s="8" t="s">
        <v>10580</v>
      </c>
      <c r="C2289" s="8" t="s">
        <v>10580</v>
      </c>
      <c r="F2289" s="47"/>
      <c r="G2289" s="8">
        <v>18</v>
      </c>
      <c r="H2289" s="8" t="s">
        <v>21</v>
      </c>
      <c r="I2289" s="8" t="s">
        <v>22</v>
      </c>
      <c r="J2289" s="8" t="s">
        <v>22</v>
      </c>
      <c r="K2289" s="8" t="s">
        <v>1068</v>
      </c>
      <c r="L2289" s="8" t="s">
        <v>9862</v>
      </c>
      <c r="M2289" s="8" t="s">
        <v>9863</v>
      </c>
      <c r="N2289" s="8" t="s">
        <v>10581</v>
      </c>
      <c r="O2289" s="8">
        <f>6+50/60+51.9/3600</f>
        <v>6.8477499999999996</v>
      </c>
      <c r="P2289" s="8" t="s">
        <v>10582</v>
      </c>
      <c r="Q2289" s="8">
        <f>+(33+27/60+45/3600)</f>
        <v>33.462500000000006</v>
      </c>
      <c r="R2289" s="8">
        <v>14.4</v>
      </c>
      <c r="S2289" s="8">
        <v>15.3</v>
      </c>
      <c r="T2289" s="8">
        <v>0.9</v>
      </c>
      <c r="U2289" s="8">
        <v>11.7</v>
      </c>
      <c r="V2289" s="8">
        <v>0.4</v>
      </c>
      <c r="W2289" s="8">
        <v>0.2</v>
      </c>
      <c r="X2289" s="8">
        <v>93</v>
      </c>
      <c r="Y2289" s="8" t="s">
        <v>21</v>
      </c>
      <c r="Z2289" s="8" t="s">
        <v>10583</v>
      </c>
    </row>
    <row r="2290" spans="1:26" x14ac:dyDescent="0.2">
      <c r="A2290" s="8">
        <v>2289</v>
      </c>
      <c r="B2290" s="8" t="s">
        <v>10584</v>
      </c>
      <c r="C2290" s="8" t="s">
        <v>10584</v>
      </c>
      <c r="F2290" s="47" t="s">
        <v>56467</v>
      </c>
      <c r="G2290" s="8">
        <v>15</v>
      </c>
      <c r="H2290" s="8" t="s">
        <v>21</v>
      </c>
      <c r="I2290" s="8" t="s">
        <v>22</v>
      </c>
      <c r="J2290" s="8" t="s">
        <v>22</v>
      </c>
      <c r="K2290" s="8" t="s">
        <v>37</v>
      </c>
      <c r="L2290" s="8" t="s">
        <v>9862</v>
      </c>
      <c r="M2290" s="8" t="s">
        <v>9863</v>
      </c>
      <c r="N2290" s="8" t="s">
        <v>10585</v>
      </c>
      <c r="O2290" s="8">
        <f>6+50/60+53.5/3600</f>
        <v>6.8481944444444443</v>
      </c>
      <c r="P2290" s="8" t="s">
        <v>10586</v>
      </c>
      <c r="Q2290" s="8">
        <f>+(33+28/60+44/3600)</f>
        <v>33.478888888888889</v>
      </c>
      <c r="R2290" s="8">
        <v>13.1</v>
      </c>
      <c r="S2290" s="8">
        <v>14.2</v>
      </c>
      <c r="T2290" s="8">
        <v>1.1000000000000001</v>
      </c>
      <c r="U2290" s="8">
        <v>12.6</v>
      </c>
      <c r="V2290" s="8">
        <v>1.1000000000000001</v>
      </c>
      <c r="W2290" s="8">
        <v>0.6</v>
      </c>
      <c r="X2290" s="8">
        <v>92</v>
      </c>
      <c r="Y2290" s="8" t="s">
        <v>21</v>
      </c>
      <c r="Z2290" s="8" t="s">
        <v>10587</v>
      </c>
    </row>
    <row r="2291" spans="1:26" x14ac:dyDescent="0.2">
      <c r="A2291" s="8">
        <v>2290</v>
      </c>
      <c r="B2291" s="8" t="s">
        <v>10588</v>
      </c>
      <c r="C2291" s="8" t="s">
        <v>10588</v>
      </c>
      <c r="F2291" s="47" t="s">
        <v>56468</v>
      </c>
      <c r="G2291" s="8">
        <v>15</v>
      </c>
      <c r="H2291" s="8" t="s">
        <v>21</v>
      </c>
      <c r="I2291" s="8" t="s">
        <v>22</v>
      </c>
      <c r="J2291" s="8" t="s">
        <v>22</v>
      </c>
      <c r="K2291" s="8" t="s">
        <v>91</v>
      </c>
      <c r="L2291" s="8" t="s">
        <v>9862</v>
      </c>
      <c r="M2291" s="8" t="s">
        <v>9863</v>
      </c>
      <c r="N2291" s="8" t="s">
        <v>10589</v>
      </c>
      <c r="O2291" s="8">
        <f>6+50/60+56.9/3600</f>
        <v>6.8491388888888887</v>
      </c>
      <c r="P2291" s="8" t="s">
        <v>10590</v>
      </c>
      <c r="Q2291" s="8">
        <f>+(33+26/60+15/3600)</f>
        <v>33.4375</v>
      </c>
      <c r="R2291" s="8">
        <v>13.2</v>
      </c>
      <c r="S2291" s="8">
        <v>14.2</v>
      </c>
      <c r="T2291" s="8">
        <v>1</v>
      </c>
      <c r="U2291" s="8">
        <v>13</v>
      </c>
      <c r="V2291" s="8">
        <v>1.2</v>
      </c>
      <c r="W2291" s="8">
        <v>0.7</v>
      </c>
      <c r="X2291" s="8">
        <v>50</v>
      </c>
      <c r="Y2291" s="8" t="s">
        <v>21</v>
      </c>
      <c r="Z2291" s="8" t="s">
        <v>10591</v>
      </c>
    </row>
    <row r="2292" spans="1:26" x14ac:dyDescent="0.2">
      <c r="A2292" s="8">
        <v>2291</v>
      </c>
      <c r="B2292" s="8" t="s">
        <v>10592</v>
      </c>
      <c r="C2292" s="8" t="s">
        <v>10592</v>
      </c>
      <c r="F2292" s="47"/>
      <c r="G2292" s="8">
        <v>18</v>
      </c>
      <c r="H2292" s="8" t="s">
        <v>21</v>
      </c>
      <c r="I2292" s="8" t="s">
        <v>22</v>
      </c>
      <c r="J2292" s="8" t="s">
        <v>22</v>
      </c>
      <c r="K2292" s="8" t="s">
        <v>37</v>
      </c>
      <c r="L2292" s="8" t="s">
        <v>9862</v>
      </c>
      <c r="M2292" s="8" t="s">
        <v>9863</v>
      </c>
      <c r="N2292" s="8" t="s">
        <v>10593</v>
      </c>
      <c r="O2292" s="8">
        <f>6+50/60+58.6/3600</f>
        <v>6.8496111111111109</v>
      </c>
      <c r="P2292" s="8" t="s">
        <v>10594</v>
      </c>
      <c r="Q2292" s="8">
        <f>+(33+31/60+30/3600)</f>
        <v>33.524999999999999</v>
      </c>
      <c r="R2292" s="8">
        <v>13.2</v>
      </c>
      <c r="S2292" s="8">
        <v>14.2</v>
      </c>
      <c r="T2292" s="8">
        <v>1</v>
      </c>
      <c r="U2292" s="8">
        <v>13.2</v>
      </c>
      <c r="V2292" s="8">
        <v>1</v>
      </c>
      <c r="W2292" s="8">
        <v>0.8</v>
      </c>
      <c r="X2292" s="8">
        <v>126</v>
      </c>
      <c r="Y2292" s="8" t="s">
        <v>21</v>
      </c>
      <c r="Z2292" s="8" t="s">
        <v>10595</v>
      </c>
    </row>
    <row r="2293" spans="1:26" x14ac:dyDescent="0.2">
      <c r="A2293" s="8">
        <v>2292</v>
      </c>
      <c r="B2293" s="8" t="s">
        <v>10596</v>
      </c>
      <c r="C2293" s="8" t="s">
        <v>10596</v>
      </c>
      <c r="F2293" s="47"/>
      <c r="G2293" s="8">
        <v>16</v>
      </c>
      <c r="H2293" s="8" t="s">
        <v>21</v>
      </c>
      <c r="I2293" s="8" t="s">
        <v>22</v>
      </c>
      <c r="J2293" s="8" t="s">
        <v>22</v>
      </c>
      <c r="K2293" s="8" t="s">
        <v>224</v>
      </c>
      <c r="L2293" s="8" t="s">
        <v>10194</v>
      </c>
      <c r="M2293" s="8" t="s">
        <v>10195</v>
      </c>
      <c r="N2293" s="8" t="s">
        <v>10597</v>
      </c>
      <c r="O2293" s="8">
        <f>6+47/60+39.4/3600</f>
        <v>6.7942777777777774</v>
      </c>
      <c r="P2293" s="8" t="s">
        <v>10598</v>
      </c>
      <c r="Q2293" s="8">
        <f>-(26+44/60+47/3600)</f>
        <v>-26.746388888888891</v>
      </c>
      <c r="R2293" s="8">
        <v>11</v>
      </c>
      <c r="S2293" s="8">
        <v>12</v>
      </c>
      <c r="T2293" s="8">
        <v>1</v>
      </c>
      <c r="U2293" s="8">
        <v>13.8</v>
      </c>
      <c r="V2293" s="8">
        <v>4</v>
      </c>
      <c r="W2293" s="8">
        <v>3.5</v>
      </c>
      <c r="X2293" s="8">
        <v>124</v>
      </c>
      <c r="Y2293" s="8" t="s">
        <v>10599</v>
      </c>
      <c r="Z2293" s="8" t="s">
        <v>10600</v>
      </c>
    </row>
    <row r="2294" spans="1:26" x14ac:dyDescent="0.2">
      <c r="A2294" s="8">
        <v>2293</v>
      </c>
      <c r="B2294" s="8" t="s">
        <v>10601</v>
      </c>
      <c r="C2294" s="8" t="s">
        <v>10601</v>
      </c>
      <c r="F2294" s="47"/>
      <c r="G2294" s="8">
        <v>12</v>
      </c>
      <c r="H2294" s="8" t="s">
        <v>21</v>
      </c>
      <c r="I2294" s="8" t="s">
        <v>22</v>
      </c>
      <c r="J2294" s="8" t="s">
        <v>22</v>
      </c>
      <c r="K2294" s="8" t="s">
        <v>435</v>
      </c>
      <c r="L2294" s="8" t="s">
        <v>10194</v>
      </c>
      <c r="M2294" s="8" t="s">
        <v>10195</v>
      </c>
      <c r="N2294" s="8" t="s">
        <v>10602</v>
      </c>
      <c r="O2294" s="8">
        <f>6+47/60+42.8/3600</f>
        <v>6.7952222222222218</v>
      </c>
      <c r="P2294" s="8" t="s">
        <v>10603</v>
      </c>
      <c r="Q2294" s="8">
        <f>-(26+45/60+17/3600)</f>
        <v>-26.754722222222224</v>
      </c>
      <c r="R2294" s="8">
        <v>11.2</v>
      </c>
      <c r="S2294" s="8">
        <v>12.3</v>
      </c>
      <c r="T2294" s="8">
        <v>1.1000000000000001</v>
      </c>
      <c r="U2294" s="8">
        <v>13.9</v>
      </c>
      <c r="V2294" s="8">
        <v>4</v>
      </c>
      <c r="W2294" s="8">
        <v>3.2</v>
      </c>
      <c r="X2294" s="8">
        <v>125</v>
      </c>
      <c r="Y2294" s="8" t="s">
        <v>10604</v>
      </c>
      <c r="Z2294" s="8" t="s">
        <v>10605</v>
      </c>
    </row>
    <row r="2295" spans="1:26" x14ac:dyDescent="0.2">
      <c r="A2295" s="8">
        <v>2294</v>
      </c>
      <c r="B2295" s="8" t="s">
        <v>10606</v>
      </c>
      <c r="C2295" s="8" t="s">
        <v>10606</v>
      </c>
      <c r="F2295" s="47"/>
      <c r="G2295" s="8">
        <v>18</v>
      </c>
      <c r="H2295" s="8" t="s">
        <v>21</v>
      </c>
      <c r="I2295" s="8" t="s">
        <v>22</v>
      </c>
      <c r="J2295" s="8" t="s">
        <v>22</v>
      </c>
      <c r="K2295" s="8" t="s">
        <v>3850</v>
      </c>
      <c r="L2295" s="8" t="s">
        <v>9862</v>
      </c>
      <c r="M2295" s="8" t="s">
        <v>9863</v>
      </c>
      <c r="N2295" s="8" t="s">
        <v>10607</v>
      </c>
      <c r="O2295" s="8">
        <f>6+51/60+11.3/3600</f>
        <v>6.8531388888888882</v>
      </c>
      <c r="P2295" s="8" t="s">
        <v>10608</v>
      </c>
      <c r="Q2295" s="8">
        <f>+(33+31/60+38/3600)</f>
        <v>33.527222222222221</v>
      </c>
      <c r="R2295" s="8">
        <v>13.8</v>
      </c>
      <c r="S2295" s="8">
        <v>14.9</v>
      </c>
      <c r="T2295" s="8">
        <v>1.1000000000000001</v>
      </c>
      <c r="U2295" s="8">
        <v>13.8</v>
      </c>
      <c r="V2295" s="8">
        <v>0.8</v>
      </c>
      <c r="W2295" s="8">
        <v>0.4</v>
      </c>
      <c r="X2295" s="8">
        <v>6</v>
      </c>
      <c r="Y2295" s="8" t="s">
        <v>21</v>
      </c>
      <c r="Z2295" s="8" t="s">
        <v>10609</v>
      </c>
    </row>
    <row r="2296" spans="1:26" x14ac:dyDescent="0.2">
      <c r="A2296" s="8">
        <v>2295</v>
      </c>
      <c r="B2296" s="8" t="s">
        <v>10610</v>
      </c>
      <c r="C2296" s="8" t="s">
        <v>10610</v>
      </c>
      <c r="F2296" s="47"/>
      <c r="G2296" s="8">
        <v>16</v>
      </c>
      <c r="H2296" s="8" t="s">
        <v>21</v>
      </c>
      <c r="I2296" s="8" t="s">
        <v>22</v>
      </c>
      <c r="J2296" s="8" t="s">
        <v>22</v>
      </c>
      <c r="K2296" s="8" t="s">
        <v>31</v>
      </c>
      <c r="L2296" s="8" t="s">
        <v>10194</v>
      </c>
      <c r="M2296" s="8" t="s">
        <v>10195</v>
      </c>
      <c r="N2296" s="8" t="s">
        <v>10611</v>
      </c>
      <c r="O2296" s="8">
        <f>6+47/60+23.2/3600</f>
        <v>6.7897777777777772</v>
      </c>
      <c r="P2296" s="8" t="s">
        <v>10612</v>
      </c>
      <c r="Q2296" s="8">
        <f>-(26+44/60+10/3600)</f>
        <v>-26.736111111111111</v>
      </c>
      <c r="R2296" s="8">
        <v>12.5</v>
      </c>
      <c r="S2296" s="8">
        <v>13.3</v>
      </c>
      <c r="T2296" s="8">
        <v>0.8</v>
      </c>
      <c r="U2296" s="8">
        <v>12.6</v>
      </c>
      <c r="V2296" s="8">
        <v>2.1</v>
      </c>
      <c r="W2296" s="8">
        <v>0.6</v>
      </c>
      <c r="X2296" s="8">
        <v>46</v>
      </c>
      <c r="Y2296" s="8" t="s">
        <v>21</v>
      </c>
      <c r="Z2296" s="8" t="s">
        <v>10613</v>
      </c>
    </row>
    <row r="2297" spans="1:26" x14ac:dyDescent="0.2">
      <c r="A2297" s="8">
        <v>2296</v>
      </c>
      <c r="B2297" s="8" t="s">
        <v>10614</v>
      </c>
      <c r="C2297" s="8" t="s">
        <v>10614</v>
      </c>
      <c r="F2297" s="47"/>
      <c r="G2297" s="8">
        <v>19</v>
      </c>
      <c r="H2297" s="8" t="s">
        <v>21</v>
      </c>
      <c r="I2297" s="8" t="s">
        <v>1283</v>
      </c>
      <c r="J2297" s="8" t="s">
        <v>1283</v>
      </c>
      <c r="K2297" s="8" t="s">
        <v>6208</v>
      </c>
      <c r="L2297" s="8" t="s">
        <v>10194</v>
      </c>
      <c r="M2297" s="8" t="s">
        <v>10195</v>
      </c>
      <c r="N2297" s="8" t="s">
        <v>10615</v>
      </c>
      <c r="O2297" s="8">
        <f>6+48/60+39/3600</f>
        <v>6.8108333333333331</v>
      </c>
      <c r="P2297" s="8" t="s">
        <v>10616</v>
      </c>
      <c r="Q2297" s="8">
        <f>-(16+54/60+4/3600)</f>
        <v>-16.90111111111111</v>
      </c>
      <c r="R2297" s="8">
        <v>99</v>
      </c>
      <c r="S2297" s="8">
        <v>13</v>
      </c>
      <c r="T2297" s="8">
        <v>99</v>
      </c>
      <c r="U2297" s="8">
        <v>99</v>
      </c>
      <c r="V2297" s="8">
        <v>3</v>
      </c>
      <c r="W2297" s="8">
        <v>2.4</v>
      </c>
      <c r="X2297" s="8">
        <v>175</v>
      </c>
      <c r="Y2297" s="8" t="s">
        <v>421</v>
      </c>
      <c r="Z2297" s="8" t="s">
        <v>422</v>
      </c>
    </row>
    <row r="2298" spans="1:26" x14ac:dyDescent="0.2">
      <c r="A2298" s="8">
        <v>2297</v>
      </c>
      <c r="B2298" s="8" t="s">
        <v>10617</v>
      </c>
      <c r="C2298" s="8" t="s">
        <v>10617</v>
      </c>
      <c r="F2298" s="47"/>
      <c r="G2298" s="8">
        <v>16</v>
      </c>
      <c r="H2298" s="8" t="s">
        <v>21</v>
      </c>
      <c r="I2298" s="8" t="s">
        <v>22</v>
      </c>
      <c r="J2298" s="8" t="s">
        <v>22</v>
      </c>
      <c r="K2298" s="8" t="s">
        <v>85</v>
      </c>
      <c r="L2298" s="8" t="s">
        <v>7782</v>
      </c>
      <c r="M2298" s="8" t="s">
        <v>7783</v>
      </c>
      <c r="N2298" s="8" t="s">
        <v>10618</v>
      </c>
      <c r="O2298" s="8">
        <f>6+44/60+24.5/3600</f>
        <v>6.7401388888888887</v>
      </c>
      <c r="P2298" s="8" t="s">
        <v>10619</v>
      </c>
      <c r="Q2298" s="8">
        <f>-(63+43/60+3/3600)</f>
        <v>-63.717500000000001</v>
      </c>
      <c r="R2298" s="8">
        <v>12.7</v>
      </c>
      <c r="S2298" s="8">
        <v>13.4</v>
      </c>
      <c r="T2298" s="8">
        <v>0.7</v>
      </c>
      <c r="U2298" s="8">
        <v>13.2</v>
      </c>
      <c r="V2298" s="8">
        <v>1.9</v>
      </c>
      <c r="W2298" s="8">
        <v>1.5</v>
      </c>
      <c r="X2298" s="8">
        <v>101</v>
      </c>
      <c r="Y2298" s="8" t="s">
        <v>7815</v>
      </c>
      <c r="Z2298" s="8" t="s">
        <v>7816</v>
      </c>
    </row>
    <row r="2299" spans="1:26" x14ac:dyDescent="0.2">
      <c r="A2299" s="8">
        <v>2298</v>
      </c>
      <c r="B2299" s="8" t="s">
        <v>10620</v>
      </c>
      <c r="C2299" s="8" t="s">
        <v>10620</v>
      </c>
      <c r="F2299" s="47"/>
      <c r="G2299" s="8">
        <v>3</v>
      </c>
      <c r="H2299" s="8" t="s">
        <v>21</v>
      </c>
      <c r="I2299" s="8" t="s">
        <v>567</v>
      </c>
      <c r="J2299" s="8" t="s">
        <v>567</v>
      </c>
      <c r="K2299" s="8" t="s">
        <v>10621</v>
      </c>
      <c r="L2299" s="8" t="s">
        <v>10175</v>
      </c>
      <c r="M2299" s="8" t="s">
        <v>10176</v>
      </c>
      <c r="N2299" s="8" t="s">
        <v>10622</v>
      </c>
      <c r="O2299" s="8">
        <f>6+48/60+59.2/3600</f>
        <v>6.8164444444444445</v>
      </c>
      <c r="P2299" s="8" t="s">
        <v>10623</v>
      </c>
      <c r="Q2299" s="8">
        <f>-(36+0/60+17/3600)</f>
        <v>-36.00472222222222</v>
      </c>
      <c r="R2299" s="8">
        <v>9.3000000000000007</v>
      </c>
      <c r="S2299" s="8">
        <v>99</v>
      </c>
      <c r="T2299" s="8">
        <v>99</v>
      </c>
      <c r="U2299" s="8">
        <v>99</v>
      </c>
      <c r="V2299" s="8">
        <v>5</v>
      </c>
      <c r="Y2299" s="8" t="s">
        <v>10624</v>
      </c>
      <c r="Z2299" s="8" t="s">
        <v>10625</v>
      </c>
    </row>
    <row r="2300" spans="1:26" x14ac:dyDescent="0.2">
      <c r="A2300" s="8">
        <v>2299</v>
      </c>
      <c r="B2300" s="8" t="s">
        <v>10626</v>
      </c>
      <c r="C2300" s="8" t="s">
        <v>10626</v>
      </c>
      <c r="F2300" s="47"/>
      <c r="G2300" s="8">
        <v>16</v>
      </c>
      <c r="H2300" s="8" t="s">
        <v>21</v>
      </c>
      <c r="I2300" s="8" t="s">
        <v>557</v>
      </c>
      <c r="J2300" s="8" t="s">
        <v>57</v>
      </c>
      <c r="K2300" s="8" t="s">
        <v>558</v>
      </c>
      <c r="L2300" s="8" t="s">
        <v>9917</v>
      </c>
      <c r="M2300" s="8" t="s">
        <v>9918</v>
      </c>
      <c r="N2300" s="8" t="s">
        <v>10627</v>
      </c>
      <c r="O2300" s="8">
        <f>6+51/60+56.6/3600</f>
        <v>6.8657222222222218</v>
      </c>
      <c r="P2300" s="8" t="s">
        <v>10628</v>
      </c>
      <c r="Q2300" s="8">
        <f>-(7+5/60+4/3600)</f>
        <v>-7.0844444444444443</v>
      </c>
      <c r="R2300" s="8">
        <v>8.9</v>
      </c>
      <c r="S2300" s="8">
        <v>9.1</v>
      </c>
      <c r="T2300" s="8">
        <v>99</v>
      </c>
      <c r="U2300" s="8">
        <v>99</v>
      </c>
      <c r="V2300" s="8">
        <v>2.5</v>
      </c>
      <c r="Y2300" s="8" t="s">
        <v>21</v>
      </c>
      <c r="Z2300" s="8" t="s">
        <v>10629</v>
      </c>
    </row>
    <row r="2301" spans="1:26" x14ac:dyDescent="0.2">
      <c r="A2301" s="8">
        <v>2300</v>
      </c>
      <c r="B2301" s="8" t="s">
        <v>10630</v>
      </c>
      <c r="C2301" s="8" t="s">
        <v>10630</v>
      </c>
      <c r="F2301" s="47"/>
      <c r="G2301" s="8">
        <v>11</v>
      </c>
      <c r="H2301" s="8" t="s">
        <v>21</v>
      </c>
      <c r="I2301" s="8" t="s">
        <v>22</v>
      </c>
      <c r="J2301" s="8" t="s">
        <v>22</v>
      </c>
      <c r="K2301" s="8" t="s">
        <v>58</v>
      </c>
      <c r="L2301" s="8" t="s">
        <v>242</v>
      </c>
      <c r="M2301" s="8" t="s">
        <v>243</v>
      </c>
      <c r="N2301" s="8" t="s">
        <v>10631</v>
      </c>
      <c r="O2301" s="8">
        <f>7+32/60+20.3/3600</f>
        <v>7.5389722222222222</v>
      </c>
      <c r="P2301" s="8" t="s">
        <v>10632</v>
      </c>
      <c r="Q2301" s="8">
        <f>+(85+42/60+33/3600)</f>
        <v>85.709166666666675</v>
      </c>
      <c r="R2301" s="8">
        <v>11</v>
      </c>
      <c r="S2301" s="8">
        <v>12.1</v>
      </c>
      <c r="T2301" s="8">
        <v>1.1000000000000001</v>
      </c>
      <c r="U2301" s="8">
        <v>12.8</v>
      </c>
      <c r="V2301" s="8">
        <v>2.8</v>
      </c>
      <c r="W2301" s="8">
        <v>2</v>
      </c>
      <c r="X2301" s="8">
        <v>78</v>
      </c>
      <c r="Y2301" s="8" t="s">
        <v>10633</v>
      </c>
      <c r="Z2301" s="8" t="s">
        <v>10634</v>
      </c>
    </row>
    <row r="2302" spans="1:26" x14ac:dyDescent="0.2">
      <c r="A2302" s="8">
        <v>2301</v>
      </c>
      <c r="B2302" s="8" t="s">
        <v>10635</v>
      </c>
      <c r="C2302" s="8" t="s">
        <v>10635</v>
      </c>
      <c r="F2302" s="47" t="s">
        <v>56469</v>
      </c>
      <c r="G2302" s="8">
        <v>5</v>
      </c>
      <c r="H2302" s="8" t="s">
        <v>10636</v>
      </c>
      <c r="I2302" s="8" t="s">
        <v>557</v>
      </c>
      <c r="J2302" s="8" t="s">
        <v>557</v>
      </c>
      <c r="K2302" s="8" t="s">
        <v>2158</v>
      </c>
      <c r="L2302" s="8" t="s">
        <v>9917</v>
      </c>
      <c r="M2302" s="8" t="s">
        <v>9918</v>
      </c>
      <c r="N2302" s="8" t="s">
        <v>10637</v>
      </c>
      <c r="O2302" s="8">
        <f>6+51/60+45.2/3600</f>
        <v>6.8625555555555549</v>
      </c>
      <c r="P2302" s="8" t="s">
        <v>10638</v>
      </c>
      <c r="Q2302" s="8">
        <f>+(0+27/60+33/3600)</f>
        <v>0.45916666666666667</v>
      </c>
      <c r="R2302" s="8">
        <v>6</v>
      </c>
      <c r="S2302" s="8">
        <v>99</v>
      </c>
      <c r="T2302" s="8">
        <v>99</v>
      </c>
      <c r="U2302" s="8">
        <v>99</v>
      </c>
      <c r="V2302" s="8">
        <v>15</v>
      </c>
      <c r="Y2302" s="8" t="s">
        <v>10639</v>
      </c>
      <c r="Z2302" s="8" t="s">
        <v>10640</v>
      </c>
    </row>
    <row r="2303" spans="1:26" x14ac:dyDescent="0.2">
      <c r="A2303" s="8">
        <v>2302</v>
      </c>
      <c r="B2303" s="8" t="s">
        <v>10641</v>
      </c>
      <c r="C2303" s="8" t="s">
        <v>10641</v>
      </c>
      <c r="F2303" s="47" t="s">
        <v>56470</v>
      </c>
      <c r="G2303" s="8">
        <v>6.5</v>
      </c>
      <c r="H2303" s="8" t="s">
        <v>21</v>
      </c>
      <c r="I2303" s="8" t="s">
        <v>557</v>
      </c>
      <c r="J2303" s="8" t="s">
        <v>557</v>
      </c>
      <c r="K2303" s="8" t="s">
        <v>558</v>
      </c>
      <c r="L2303" s="8" t="s">
        <v>9917</v>
      </c>
      <c r="M2303" s="8" t="s">
        <v>9918</v>
      </c>
      <c r="N2303" s="8" t="s">
        <v>10627</v>
      </c>
      <c r="O2303" s="8">
        <f>6+51/60+56.6/3600</f>
        <v>6.8657222222222218</v>
      </c>
      <c r="P2303" s="8" t="s">
        <v>10628</v>
      </c>
      <c r="Q2303" s="8">
        <f>-(7+5/60+4/3600)</f>
        <v>-7.0844444444444443</v>
      </c>
      <c r="R2303" s="8">
        <v>8.9</v>
      </c>
      <c r="S2303" s="8">
        <v>9.1</v>
      </c>
      <c r="T2303" s="8">
        <v>99</v>
      </c>
      <c r="U2303" s="8">
        <v>99</v>
      </c>
      <c r="V2303" s="8">
        <v>2.5</v>
      </c>
      <c r="Y2303" s="8" t="s">
        <v>10642</v>
      </c>
      <c r="Z2303" s="8" t="s">
        <v>10643</v>
      </c>
    </row>
    <row r="2304" spans="1:26" x14ac:dyDescent="0.2">
      <c r="A2304" s="8">
        <v>2303</v>
      </c>
      <c r="B2304" s="8" t="s">
        <v>10644</v>
      </c>
      <c r="C2304" s="8" t="s">
        <v>10644</v>
      </c>
      <c r="F2304" s="47"/>
      <c r="G2304" s="8">
        <v>19</v>
      </c>
      <c r="H2304" s="8" t="s">
        <v>21</v>
      </c>
      <c r="I2304" s="8" t="s">
        <v>22</v>
      </c>
      <c r="J2304" s="8" t="s">
        <v>22</v>
      </c>
      <c r="K2304" s="8" t="s">
        <v>460</v>
      </c>
      <c r="L2304" s="8" t="s">
        <v>7717</v>
      </c>
      <c r="M2304" s="8" t="s">
        <v>7718</v>
      </c>
      <c r="N2304" s="8" t="s">
        <v>10645</v>
      </c>
      <c r="O2304" s="8">
        <f>6+56/60+17.4/3600</f>
        <v>6.9381666666666666</v>
      </c>
      <c r="P2304" s="8" t="s">
        <v>10646</v>
      </c>
      <c r="Q2304" s="8">
        <f>+(45+29/60+36/3600)</f>
        <v>45.493333333333332</v>
      </c>
      <c r="R2304" s="8">
        <v>12.6</v>
      </c>
      <c r="S2304" s="8">
        <v>13.6</v>
      </c>
      <c r="T2304" s="8">
        <v>1</v>
      </c>
      <c r="U2304" s="8">
        <v>13.4</v>
      </c>
      <c r="V2304" s="8">
        <v>1.5</v>
      </c>
      <c r="W2304" s="8">
        <v>1.5</v>
      </c>
      <c r="Y2304" s="8" t="s">
        <v>10647</v>
      </c>
      <c r="Z2304" s="8" t="s">
        <v>10648</v>
      </c>
    </row>
    <row r="2305" spans="1:26" x14ac:dyDescent="0.2">
      <c r="A2305" s="8">
        <v>2304</v>
      </c>
      <c r="B2305" s="8" t="s">
        <v>10649</v>
      </c>
      <c r="C2305" s="8" t="s">
        <v>10649</v>
      </c>
      <c r="F2305" s="47" t="s">
        <v>56471</v>
      </c>
      <c r="G2305" s="8">
        <v>6</v>
      </c>
      <c r="H2305" s="8" t="s">
        <v>21</v>
      </c>
      <c r="I2305" s="8" t="s">
        <v>557</v>
      </c>
      <c r="J2305" s="8" t="s">
        <v>557</v>
      </c>
      <c r="K2305" s="8" t="s">
        <v>3602</v>
      </c>
      <c r="L2305" s="8" t="s">
        <v>9862</v>
      </c>
      <c r="M2305" s="8" t="s">
        <v>9863</v>
      </c>
      <c r="N2305" s="8" t="s">
        <v>10650</v>
      </c>
      <c r="O2305" s="8">
        <f>6+55/60+11.8/3600</f>
        <v>6.9199444444444449</v>
      </c>
      <c r="P2305" s="8" t="s">
        <v>10651</v>
      </c>
      <c r="Q2305" s="8">
        <f>+(17+59/60+19/3600)</f>
        <v>17.988611111111112</v>
      </c>
      <c r="R2305" s="8">
        <v>10</v>
      </c>
      <c r="S2305" s="8">
        <v>99</v>
      </c>
      <c r="T2305" s="8">
        <v>99</v>
      </c>
      <c r="U2305" s="8">
        <v>99</v>
      </c>
      <c r="V2305" s="8">
        <v>3</v>
      </c>
      <c r="Y2305" s="8" t="s">
        <v>10652</v>
      </c>
      <c r="Z2305" s="8" t="s">
        <v>10653</v>
      </c>
    </row>
    <row r="2306" spans="1:26" x14ac:dyDescent="0.2">
      <c r="A2306" s="8">
        <v>2305</v>
      </c>
      <c r="B2306" s="8" t="s">
        <v>10654</v>
      </c>
      <c r="C2306" s="8" t="s">
        <v>10654</v>
      </c>
      <c r="F2306" s="47"/>
      <c r="G2306" s="8">
        <v>16</v>
      </c>
      <c r="H2306" s="8" t="s">
        <v>21</v>
      </c>
      <c r="I2306" s="8" t="s">
        <v>22</v>
      </c>
      <c r="J2306" s="8" t="s">
        <v>22</v>
      </c>
      <c r="K2306" s="8" t="s">
        <v>10655</v>
      </c>
      <c r="L2306" s="8" t="s">
        <v>10656</v>
      </c>
      <c r="M2306" s="8" t="s">
        <v>10657</v>
      </c>
      <c r="N2306" s="8" t="s">
        <v>10658</v>
      </c>
      <c r="O2306" s="8">
        <f>6+48/60+37.3/3600</f>
        <v>6.8103611111111109</v>
      </c>
      <c r="P2306" s="8" t="s">
        <v>10659</v>
      </c>
      <c r="Q2306" s="8">
        <f>-(64+16/60+22/3600)</f>
        <v>-64.272777777777776</v>
      </c>
      <c r="R2306" s="8">
        <v>11.7</v>
      </c>
      <c r="S2306" s="8">
        <v>12.7</v>
      </c>
      <c r="T2306" s="8">
        <v>1</v>
      </c>
      <c r="U2306" s="8">
        <v>12.9</v>
      </c>
      <c r="V2306" s="8">
        <v>2.1</v>
      </c>
      <c r="W2306" s="8">
        <v>1.5</v>
      </c>
      <c r="X2306" s="8">
        <v>142</v>
      </c>
      <c r="Y2306" s="8" t="s">
        <v>10660</v>
      </c>
      <c r="Z2306" s="8" t="s">
        <v>10661</v>
      </c>
    </row>
    <row r="2307" spans="1:26" x14ac:dyDescent="0.2">
      <c r="A2307" s="8">
        <v>2306</v>
      </c>
      <c r="B2307" s="8" t="s">
        <v>10662</v>
      </c>
      <c r="C2307" s="8" t="s">
        <v>10662</v>
      </c>
      <c r="F2307" s="47" t="s">
        <v>56472</v>
      </c>
      <c r="G2307" s="8">
        <v>15</v>
      </c>
      <c r="H2307" s="8" t="s">
        <v>21</v>
      </c>
      <c r="I2307" s="8" t="s">
        <v>557</v>
      </c>
      <c r="J2307" s="8" t="s">
        <v>557</v>
      </c>
      <c r="K2307" s="8" t="s">
        <v>557</v>
      </c>
      <c r="L2307" s="8" t="s">
        <v>9917</v>
      </c>
      <c r="M2307" s="8" t="s">
        <v>9918</v>
      </c>
      <c r="N2307" s="8" t="s">
        <v>10663</v>
      </c>
      <c r="O2307" s="8">
        <f>6+54/60+29.5/3600</f>
        <v>6.9081944444444447</v>
      </c>
      <c r="P2307" s="8" t="s">
        <v>10664</v>
      </c>
      <c r="Q2307" s="8">
        <f>-(7+11/60+55/3600)</f>
        <v>-7.1986111111111111</v>
      </c>
      <c r="R2307" s="8">
        <v>99</v>
      </c>
      <c r="S2307" s="8">
        <v>99</v>
      </c>
      <c r="T2307" s="8">
        <v>99</v>
      </c>
      <c r="U2307" s="8">
        <v>99</v>
      </c>
      <c r="Y2307" s="8" t="s">
        <v>10665</v>
      </c>
      <c r="Z2307" s="8" t="s">
        <v>10666</v>
      </c>
    </row>
    <row r="2308" spans="1:26" x14ac:dyDescent="0.2">
      <c r="A2308" s="8">
        <v>2307</v>
      </c>
      <c r="B2308" s="8" t="s">
        <v>10667</v>
      </c>
      <c r="C2308" s="8" t="s">
        <v>10667</v>
      </c>
      <c r="F2308" s="47"/>
      <c r="G2308" s="8">
        <v>16</v>
      </c>
      <c r="H2308" s="8" t="s">
        <v>21</v>
      </c>
      <c r="I2308" s="8" t="s">
        <v>22</v>
      </c>
      <c r="J2308" s="8" t="s">
        <v>22</v>
      </c>
      <c r="K2308" s="8" t="s">
        <v>218</v>
      </c>
      <c r="L2308" s="8" t="s">
        <v>10656</v>
      </c>
      <c r="M2308" s="8" t="s">
        <v>10657</v>
      </c>
      <c r="N2308" s="8" t="s">
        <v>10668</v>
      </c>
      <c r="O2308" s="8">
        <f>6+48/60+51/3600</f>
        <v>6.8141666666666669</v>
      </c>
      <c r="P2308" s="8" t="s">
        <v>10669</v>
      </c>
      <c r="Q2308" s="8">
        <f>-(64+20/60+6/3600)</f>
        <v>-64.334999999999994</v>
      </c>
      <c r="R2308" s="8">
        <v>12</v>
      </c>
      <c r="S2308" s="8">
        <v>12.9</v>
      </c>
      <c r="T2308" s="8">
        <v>0.9</v>
      </c>
      <c r="U2308" s="8">
        <v>13</v>
      </c>
      <c r="V2308" s="8">
        <v>1.7</v>
      </c>
      <c r="W2308" s="8">
        <v>1.6</v>
      </c>
      <c r="X2308" s="8">
        <v>145</v>
      </c>
      <c r="Y2308" s="8" t="s">
        <v>10670</v>
      </c>
      <c r="Z2308" s="8" t="s">
        <v>10671</v>
      </c>
    </row>
    <row r="2309" spans="1:26" x14ac:dyDescent="0.2">
      <c r="A2309" s="8">
        <v>2308</v>
      </c>
      <c r="B2309" s="8" t="s">
        <v>10672</v>
      </c>
      <c r="C2309" s="8" t="s">
        <v>10672</v>
      </c>
      <c r="F2309" s="47"/>
      <c r="G2309" s="8">
        <v>18</v>
      </c>
      <c r="H2309" s="8" t="s">
        <v>21</v>
      </c>
      <c r="I2309" s="8" t="s">
        <v>22</v>
      </c>
      <c r="J2309" s="8" t="s">
        <v>22</v>
      </c>
      <c r="K2309" s="8" t="s">
        <v>31</v>
      </c>
      <c r="L2309" s="8" t="s">
        <v>10511</v>
      </c>
      <c r="M2309" s="8" t="s">
        <v>10512</v>
      </c>
      <c r="N2309" s="8" t="s">
        <v>10673</v>
      </c>
      <c r="O2309" s="8">
        <f>6+58/60+37.5/3600</f>
        <v>6.9770833333333337</v>
      </c>
      <c r="P2309" s="8" t="s">
        <v>10674</v>
      </c>
      <c r="Q2309" s="8">
        <f>+(45+12/60+40/3600)</f>
        <v>45.211111111111116</v>
      </c>
      <c r="R2309" s="8">
        <v>13.2</v>
      </c>
      <c r="S2309" s="8">
        <v>14</v>
      </c>
      <c r="T2309" s="8">
        <v>0.8</v>
      </c>
      <c r="U2309" s="8">
        <v>13.9</v>
      </c>
      <c r="V2309" s="8">
        <v>1.8</v>
      </c>
      <c r="W2309" s="8">
        <v>1.2</v>
      </c>
      <c r="X2309" s="8">
        <v>170</v>
      </c>
      <c r="Y2309" s="8" t="s">
        <v>10675</v>
      </c>
      <c r="Z2309" s="8" t="s">
        <v>10676</v>
      </c>
    </row>
    <row r="2310" spans="1:26" x14ac:dyDescent="0.2">
      <c r="A2310" s="8">
        <v>2309</v>
      </c>
      <c r="B2310" s="8" t="s">
        <v>10677</v>
      </c>
      <c r="C2310" s="8" t="s">
        <v>10677</v>
      </c>
      <c r="F2310" s="47" t="s">
        <v>56473</v>
      </c>
      <c r="G2310" s="8">
        <v>6.5</v>
      </c>
      <c r="H2310" s="8" t="s">
        <v>21</v>
      </c>
      <c r="I2310" s="8" t="s">
        <v>557</v>
      </c>
      <c r="J2310" s="8" t="s">
        <v>557</v>
      </c>
      <c r="K2310" s="8" t="s">
        <v>2722</v>
      </c>
      <c r="L2310" s="8" t="s">
        <v>9917</v>
      </c>
      <c r="M2310" s="8" t="s">
        <v>9918</v>
      </c>
      <c r="N2310" s="8" t="s">
        <v>10678</v>
      </c>
      <c r="O2310" s="8">
        <f>6+56/60+3.6/3600</f>
        <v>6.9343333333333339</v>
      </c>
      <c r="P2310" s="8" t="s">
        <v>10679</v>
      </c>
      <c r="Q2310" s="8">
        <f>-(7+10/60+28/3600)</f>
        <v>-7.1744444444444451</v>
      </c>
      <c r="R2310" s="8">
        <v>10.5</v>
      </c>
      <c r="S2310" s="8">
        <v>99</v>
      </c>
      <c r="T2310" s="8">
        <v>99</v>
      </c>
      <c r="U2310" s="8">
        <v>99</v>
      </c>
      <c r="V2310" s="8">
        <v>5</v>
      </c>
      <c r="Y2310" s="8" t="s">
        <v>10680</v>
      </c>
      <c r="Z2310" s="8" t="s">
        <v>10681</v>
      </c>
    </row>
    <row r="2311" spans="1:26" x14ac:dyDescent="0.2">
      <c r="A2311" s="8">
        <v>2310</v>
      </c>
      <c r="B2311" s="8" t="s">
        <v>10682</v>
      </c>
      <c r="C2311" s="8" t="s">
        <v>10682</v>
      </c>
      <c r="F2311" s="47"/>
      <c r="G2311" s="8">
        <v>13</v>
      </c>
      <c r="H2311" s="8" t="s">
        <v>21</v>
      </c>
      <c r="I2311" s="8" t="s">
        <v>22</v>
      </c>
      <c r="J2311" s="8" t="s">
        <v>22</v>
      </c>
      <c r="K2311" s="8" t="s">
        <v>37</v>
      </c>
      <c r="L2311" s="8" t="s">
        <v>10175</v>
      </c>
      <c r="M2311" s="8" t="s">
        <v>10176</v>
      </c>
      <c r="N2311" s="8" t="s">
        <v>10683</v>
      </c>
      <c r="O2311" s="8">
        <f>6+53/60+53.8/3600</f>
        <v>6.8982777777777775</v>
      </c>
      <c r="P2311" s="8" t="s">
        <v>10684</v>
      </c>
      <c r="Q2311" s="8">
        <f>-(40+51/60+49/3600)</f>
        <v>-40.863611111111112</v>
      </c>
      <c r="R2311" s="8">
        <v>11.8</v>
      </c>
      <c r="S2311" s="8">
        <v>12.7</v>
      </c>
      <c r="T2311" s="8">
        <v>0.9</v>
      </c>
      <c r="U2311" s="8">
        <v>13</v>
      </c>
      <c r="V2311" s="8">
        <v>4.3</v>
      </c>
      <c r="W2311" s="8">
        <v>0.8</v>
      </c>
      <c r="X2311" s="8">
        <v>47</v>
      </c>
      <c r="Y2311" s="8" t="s">
        <v>10685</v>
      </c>
      <c r="Z2311" s="8" t="s">
        <v>10686</v>
      </c>
    </row>
    <row r="2312" spans="1:26" x14ac:dyDescent="0.2">
      <c r="A2312" s="8">
        <v>2311</v>
      </c>
      <c r="B2312" s="8" t="s">
        <v>10687</v>
      </c>
      <c r="C2312" s="8" t="s">
        <v>10687</v>
      </c>
      <c r="F2312" s="47" t="s">
        <v>56474</v>
      </c>
      <c r="G2312" s="8">
        <v>6</v>
      </c>
      <c r="H2312" s="8" t="s">
        <v>21</v>
      </c>
      <c r="I2312" s="8" t="s">
        <v>557</v>
      </c>
      <c r="J2312" s="8" t="s">
        <v>557</v>
      </c>
      <c r="K2312" s="8" t="s">
        <v>987</v>
      </c>
      <c r="L2312" s="8" t="s">
        <v>9917</v>
      </c>
      <c r="M2312" s="8" t="s">
        <v>9918</v>
      </c>
      <c r="N2312" s="8" t="s">
        <v>10688</v>
      </c>
      <c r="O2312" s="8">
        <f>6+57/60+47.5/3600</f>
        <v>6.9631944444444445</v>
      </c>
      <c r="P2312" s="8" t="s">
        <v>10689</v>
      </c>
      <c r="Q2312" s="8">
        <f>-(4+36/60+41/3600)</f>
        <v>-4.6113888888888885</v>
      </c>
      <c r="R2312" s="8">
        <v>9.6</v>
      </c>
      <c r="S2312" s="8">
        <v>99</v>
      </c>
      <c r="T2312" s="8">
        <v>99</v>
      </c>
      <c r="U2312" s="8">
        <v>99</v>
      </c>
      <c r="V2312" s="8">
        <v>7</v>
      </c>
      <c r="Y2312" s="8" t="s">
        <v>10498</v>
      </c>
      <c r="Z2312" s="8" t="s">
        <v>10499</v>
      </c>
    </row>
    <row r="2313" spans="1:26" x14ac:dyDescent="0.2">
      <c r="A2313" s="8">
        <v>2312</v>
      </c>
      <c r="B2313" s="8" t="s">
        <v>10690</v>
      </c>
      <c r="C2313" s="8" t="s">
        <v>10690</v>
      </c>
      <c r="F2313" s="47"/>
      <c r="G2313" s="8">
        <v>16</v>
      </c>
      <c r="H2313" s="8" t="s">
        <v>21</v>
      </c>
      <c r="I2313" s="8" t="s">
        <v>72</v>
      </c>
      <c r="J2313" s="8" t="s">
        <v>72</v>
      </c>
      <c r="K2313" s="8" t="s">
        <v>1405</v>
      </c>
      <c r="L2313" s="8" t="s">
        <v>9917</v>
      </c>
      <c r="M2313" s="8" t="s">
        <v>9918</v>
      </c>
      <c r="N2313" s="8" t="s">
        <v>10691</v>
      </c>
      <c r="O2313" s="8">
        <f>6+58/60+47/3600</f>
        <v>6.9797222222222226</v>
      </c>
      <c r="P2313" s="8" t="s">
        <v>10692</v>
      </c>
      <c r="Q2313" s="8">
        <f>+(10+17/60+44/3600)</f>
        <v>10.295555555555556</v>
      </c>
      <c r="R2313" s="8">
        <v>99</v>
      </c>
      <c r="S2313" s="8">
        <v>99</v>
      </c>
      <c r="T2313" s="8">
        <v>99</v>
      </c>
      <c r="U2313" s="8">
        <v>99</v>
      </c>
      <c r="V2313" s="8">
        <v>5</v>
      </c>
      <c r="W2313" s="8">
        <v>2.5</v>
      </c>
      <c r="Y2313" s="8" t="s">
        <v>10693</v>
      </c>
      <c r="Z2313" s="8" t="s">
        <v>8091</v>
      </c>
    </row>
    <row r="2314" spans="1:26" x14ac:dyDescent="0.2">
      <c r="A2314" s="8">
        <v>2313</v>
      </c>
      <c r="B2314" s="8" t="s">
        <v>10694</v>
      </c>
      <c r="C2314" s="8" t="s">
        <v>10694</v>
      </c>
      <c r="F2314" s="47"/>
      <c r="G2314" s="8">
        <v>18</v>
      </c>
      <c r="H2314" s="8" t="s">
        <v>21</v>
      </c>
      <c r="I2314" s="8" t="s">
        <v>1283</v>
      </c>
      <c r="J2314" s="8" t="s">
        <v>1283</v>
      </c>
      <c r="K2314" s="8" t="s">
        <v>1284</v>
      </c>
      <c r="L2314" s="8" t="s">
        <v>9917</v>
      </c>
      <c r="M2314" s="8" t="s">
        <v>9918</v>
      </c>
      <c r="N2314" s="8" t="s">
        <v>10695</v>
      </c>
      <c r="O2314" s="8">
        <f>6+58/60+2.8/3600</f>
        <v>6.9674444444444443</v>
      </c>
      <c r="P2314" s="8" t="s">
        <v>10696</v>
      </c>
      <c r="Q2314" s="8">
        <f>-(7+56/60+42/3600)</f>
        <v>-7.9450000000000003</v>
      </c>
      <c r="R2314" s="8">
        <v>99</v>
      </c>
      <c r="S2314" s="8">
        <v>99</v>
      </c>
      <c r="T2314" s="8">
        <v>99</v>
      </c>
      <c r="U2314" s="8">
        <v>99</v>
      </c>
      <c r="Y2314" s="8" t="s">
        <v>2181</v>
      </c>
      <c r="Z2314" s="8" t="s">
        <v>2182</v>
      </c>
    </row>
    <row r="2315" spans="1:26" x14ac:dyDescent="0.2">
      <c r="A2315" s="8">
        <v>2314</v>
      </c>
      <c r="B2315" s="8" t="s">
        <v>10697</v>
      </c>
      <c r="C2315" s="8" t="s">
        <v>10697</v>
      </c>
      <c r="F2315" s="47"/>
      <c r="G2315" s="8">
        <v>13</v>
      </c>
      <c r="H2315" s="8" t="s">
        <v>21</v>
      </c>
      <c r="I2315" s="8" t="s">
        <v>22</v>
      </c>
      <c r="J2315" s="8" t="s">
        <v>22</v>
      </c>
      <c r="K2315" s="8" t="s">
        <v>382</v>
      </c>
      <c r="L2315" s="8" t="s">
        <v>6823</v>
      </c>
      <c r="M2315" s="8" t="s">
        <v>6824</v>
      </c>
      <c r="N2315" s="8" t="s">
        <v>10698</v>
      </c>
      <c r="O2315" s="8">
        <f>7+10/60+31.8/3600</f>
        <v>7.1755000000000004</v>
      </c>
      <c r="P2315" s="8" t="s">
        <v>10699</v>
      </c>
      <c r="Q2315" s="8">
        <f>+(75+19/60+40/3600)</f>
        <v>75.327777777777769</v>
      </c>
      <c r="R2315" s="8">
        <v>12.2</v>
      </c>
      <c r="S2315" s="8">
        <v>13.2</v>
      </c>
      <c r="T2315" s="8">
        <v>1</v>
      </c>
      <c r="U2315" s="8">
        <v>13.2</v>
      </c>
      <c r="V2315" s="8">
        <v>1.1000000000000001</v>
      </c>
      <c r="W2315" s="8">
        <v>0.8</v>
      </c>
      <c r="X2315" s="8">
        <v>25</v>
      </c>
      <c r="Y2315" s="8" t="s">
        <v>170</v>
      </c>
      <c r="Z2315" s="8" t="s">
        <v>171</v>
      </c>
    </row>
    <row r="2316" spans="1:26" x14ac:dyDescent="0.2">
      <c r="A2316" s="8">
        <v>2315</v>
      </c>
      <c r="B2316" s="8" t="s">
        <v>10700</v>
      </c>
      <c r="C2316" s="8" t="s">
        <v>10700</v>
      </c>
      <c r="F2316" s="47"/>
      <c r="G2316" s="8">
        <v>16</v>
      </c>
      <c r="H2316" s="8" t="s">
        <v>21</v>
      </c>
      <c r="I2316" s="8" t="s">
        <v>22</v>
      </c>
      <c r="J2316" s="8" t="s">
        <v>22</v>
      </c>
      <c r="K2316" s="8" t="s">
        <v>632</v>
      </c>
      <c r="L2316" s="8" t="s">
        <v>10511</v>
      </c>
      <c r="M2316" s="8" t="s">
        <v>10512</v>
      </c>
      <c r="N2316" s="8" t="s">
        <v>10701</v>
      </c>
      <c r="O2316" s="8">
        <f>7+2/60+33/3600</f>
        <v>7.0424999999999995</v>
      </c>
      <c r="P2316" s="8" t="s">
        <v>10702</v>
      </c>
      <c r="Q2316" s="8">
        <f>+(50+35/60+27/3600)</f>
        <v>50.590833333333336</v>
      </c>
      <c r="R2316" s="8">
        <v>13.6</v>
      </c>
      <c r="S2316" s="8">
        <v>14.5</v>
      </c>
      <c r="T2316" s="8">
        <v>0.9</v>
      </c>
      <c r="U2316" s="8">
        <v>12.5</v>
      </c>
      <c r="V2316" s="8">
        <v>1.3</v>
      </c>
      <c r="W2316" s="8">
        <v>0.3</v>
      </c>
      <c r="X2316" s="8">
        <v>116</v>
      </c>
      <c r="Y2316" s="8" t="s">
        <v>47</v>
      </c>
      <c r="Z2316" s="8" t="s">
        <v>48</v>
      </c>
    </row>
    <row r="2317" spans="1:26" x14ac:dyDescent="0.2">
      <c r="A2317" s="8">
        <v>2316</v>
      </c>
      <c r="B2317" s="8" t="s">
        <v>10703</v>
      </c>
      <c r="C2317" s="8" t="s">
        <v>10703</v>
      </c>
      <c r="F2317" s="47" t="s">
        <v>56475</v>
      </c>
      <c r="G2317" s="8">
        <v>6.5</v>
      </c>
      <c r="H2317" s="8" t="s">
        <v>21</v>
      </c>
      <c r="I2317" s="8" t="s">
        <v>1283</v>
      </c>
      <c r="J2317" s="8" t="s">
        <v>1283</v>
      </c>
      <c r="K2317" s="8" t="s">
        <v>10704</v>
      </c>
      <c r="L2317" s="8" t="s">
        <v>9917</v>
      </c>
      <c r="M2317" s="8" t="s">
        <v>9918</v>
      </c>
      <c r="N2317" s="8" t="s">
        <v>10705</v>
      </c>
      <c r="O2317" s="8">
        <f>6+59/60+40.8/3600</f>
        <v>6.9946666666666664</v>
      </c>
      <c r="P2317" s="8" t="s">
        <v>10706</v>
      </c>
      <c r="Q2317" s="8">
        <f>-(7+46/60+38/3600)</f>
        <v>-7.777222222222222</v>
      </c>
      <c r="R2317" s="8">
        <v>99</v>
      </c>
      <c r="S2317" s="8">
        <v>99</v>
      </c>
      <c r="T2317" s="8">
        <v>99</v>
      </c>
      <c r="U2317" s="8">
        <v>99</v>
      </c>
      <c r="V2317" s="8">
        <v>4</v>
      </c>
      <c r="W2317" s="8">
        <v>3</v>
      </c>
      <c r="Y2317" s="8" t="s">
        <v>10707</v>
      </c>
      <c r="Z2317" s="8" t="s">
        <v>10708</v>
      </c>
    </row>
    <row r="2318" spans="1:26" x14ac:dyDescent="0.2">
      <c r="A2318" s="8">
        <v>2317</v>
      </c>
      <c r="B2318" s="8" t="s">
        <v>10709</v>
      </c>
      <c r="C2318" s="8" t="s">
        <v>10709</v>
      </c>
      <c r="F2318" s="47"/>
      <c r="G2318" s="8">
        <v>18</v>
      </c>
      <c r="H2318" s="8" t="s">
        <v>21</v>
      </c>
      <c r="I2318" s="8" t="s">
        <v>1283</v>
      </c>
      <c r="J2318" s="8" t="s">
        <v>57</v>
      </c>
      <c r="K2318" s="8" t="s">
        <v>10704</v>
      </c>
      <c r="L2318" s="8" t="s">
        <v>9917</v>
      </c>
      <c r="M2318" s="8" t="s">
        <v>9918</v>
      </c>
      <c r="N2318" s="8" t="s">
        <v>10705</v>
      </c>
      <c r="O2318" s="8">
        <f>6+59/60+40.8/3600</f>
        <v>6.9946666666666664</v>
      </c>
      <c r="P2318" s="8" t="s">
        <v>10706</v>
      </c>
      <c r="Q2318" s="8">
        <f>-(7+46/60+38/3600)</f>
        <v>-7.777222222222222</v>
      </c>
      <c r="R2318" s="8">
        <v>99</v>
      </c>
      <c r="S2318" s="8">
        <v>99</v>
      </c>
      <c r="T2318" s="8">
        <v>99</v>
      </c>
      <c r="U2318" s="8">
        <v>99</v>
      </c>
      <c r="V2318" s="8">
        <v>4</v>
      </c>
      <c r="W2318" s="8">
        <v>3</v>
      </c>
      <c r="Y2318" s="8" t="s">
        <v>21</v>
      </c>
      <c r="Z2318" s="8" t="s">
        <v>10710</v>
      </c>
    </row>
    <row r="2319" spans="1:26" x14ac:dyDescent="0.2">
      <c r="A2319" s="8">
        <v>2318</v>
      </c>
      <c r="B2319" s="8" t="s">
        <v>10711</v>
      </c>
      <c r="C2319" s="8" t="s">
        <v>10711</v>
      </c>
      <c r="F2319" s="47" t="s">
        <v>56476</v>
      </c>
      <c r="G2319" s="8">
        <v>12</v>
      </c>
      <c r="H2319" s="8" t="s">
        <v>21</v>
      </c>
      <c r="I2319" s="8" t="s">
        <v>557</v>
      </c>
      <c r="J2319" s="8" t="s">
        <v>557</v>
      </c>
      <c r="K2319" s="8" t="s">
        <v>557</v>
      </c>
      <c r="L2319" s="8" t="s">
        <v>10194</v>
      </c>
      <c r="M2319" s="8" t="s">
        <v>10195</v>
      </c>
      <c r="N2319" s="8" t="s">
        <v>10712</v>
      </c>
      <c r="O2319" s="8">
        <f>6+59/60+27/3600</f>
        <v>6.9908333333333337</v>
      </c>
      <c r="P2319" s="8" t="s">
        <v>10713</v>
      </c>
      <c r="Q2319" s="8">
        <f>-(13+41/60+52/3600)</f>
        <v>-13.697777777777778</v>
      </c>
      <c r="R2319" s="8">
        <v>99</v>
      </c>
      <c r="S2319" s="8">
        <v>99</v>
      </c>
      <c r="T2319" s="8">
        <v>99</v>
      </c>
      <c r="U2319" s="8">
        <v>99</v>
      </c>
      <c r="Y2319" s="8" t="s">
        <v>21</v>
      </c>
      <c r="Z2319" s="8" t="s">
        <v>10714</v>
      </c>
    </row>
    <row r="2320" spans="1:26" x14ac:dyDescent="0.2">
      <c r="A2320" s="8">
        <v>2319</v>
      </c>
      <c r="B2320" s="8" t="s">
        <v>10715</v>
      </c>
      <c r="C2320" s="8" t="s">
        <v>10715</v>
      </c>
      <c r="F2320" s="47" t="s">
        <v>56477</v>
      </c>
      <c r="G2320" s="8">
        <v>16</v>
      </c>
      <c r="H2320" s="8" t="s">
        <v>21</v>
      </c>
      <c r="I2320" s="8" t="s">
        <v>72</v>
      </c>
      <c r="J2320" s="8" t="s">
        <v>72</v>
      </c>
      <c r="K2320" s="8" t="s">
        <v>1405</v>
      </c>
      <c r="L2320" s="8" t="s">
        <v>9917</v>
      </c>
      <c r="M2320" s="8" t="s">
        <v>9918</v>
      </c>
      <c r="N2320" s="8" t="s">
        <v>10716</v>
      </c>
      <c r="O2320" s="8">
        <f>7+0/60+32.2/3600</f>
        <v>7.0089444444444444</v>
      </c>
      <c r="P2320" s="8" t="s">
        <v>10717</v>
      </c>
      <c r="Q2320" s="8">
        <f>+(3+2/60+34/3600)</f>
        <v>3.0427777777777778</v>
      </c>
      <c r="R2320" s="8">
        <v>99</v>
      </c>
      <c r="S2320" s="8">
        <v>99</v>
      </c>
      <c r="T2320" s="8">
        <v>99</v>
      </c>
      <c r="U2320" s="8">
        <v>99</v>
      </c>
      <c r="V2320" s="8">
        <v>16</v>
      </c>
      <c r="Y2320" s="8" t="s">
        <v>21</v>
      </c>
      <c r="Z2320" s="8" t="s">
        <v>10718</v>
      </c>
    </row>
    <row r="2321" spans="1:26" x14ac:dyDescent="0.2">
      <c r="A2321" s="8">
        <v>2320</v>
      </c>
      <c r="B2321" s="8" t="s">
        <v>10719</v>
      </c>
      <c r="C2321" s="8" t="s">
        <v>10719</v>
      </c>
      <c r="F2321" s="47" t="s">
        <v>56478</v>
      </c>
      <c r="G2321" s="8">
        <v>15</v>
      </c>
      <c r="H2321" s="8" t="s">
        <v>21</v>
      </c>
      <c r="I2321" s="8" t="s">
        <v>22</v>
      </c>
      <c r="J2321" s="8" t="s">
        <v>22</v>
      </c>
      <c r="K2321" s="8" t="s">
        <v>50</v>
      </c>
      <c r="L2321" s="8" t="s">
        <v>10511</v>
      </c>
      <c r="M2321" s="8" t="s">
        <v>10512</v>
      </c>
      <c r="N2321" s="8" t="s">
        <v>10720</v>
      </c>
      <c r="O2321" s="8">
        <f>7+5/60+41.9/3600</f>
        <v>7.0949722222222222</v>
      </c>
      <c r="P2321" s="8" t="s">
        <v>10721</v>
      </c>
      <c r="Q2321" s="8">
        <f>+(50+34/60+51/3600)</f>
        <v>50.580833333333338</v>
      </c>
      <c r="R2321" s="8">
        <v>11.9</v>
      </c>
      <c r="S2321" s="8">
        <v>12.9</v>
      </c>
      <c r="T2321" s="8">
        <v>1</v>
      </c>
      <c r="U2321" s="8">
        <v>12.1</v>
      </c>
      <c r="V2321" s="8">
        <v>1.4</v>
      </c>
      <c r="W2321" s="8">
        <v>0.8</v>
      </c>
      <c r="X2321" s="8">
        <v>140</v>
      </c>
      <c r="Y2321" s="8" t="s">
        <v>21</v>
      </c>
      <c r="Z2321" s="8" t="s">
        <v>10722</v>
      </c>
    </row>
    <row r="2322" spans="1:26" x14ac:dyDescent="0.2">
      <c r="A2322" s="8">
        <v>2321</v>
      </c>
      <c r="B2322" s="8" t="s">
        <v>10723</v>
      </c>
      <c r="C2322" s="8" t="s">
        <v>10723</v>
      </c>
      <c r="F2322" s="47"/>
      <c r="G2322" s="8">
        <v>18</v>
      </c>
      <c r="H2322" s="8" t="s">
        <v>21</v>
      </c>
      <c r="I2322" s="8" t="s">
        <v>22</v>
      </c>
      <c r="J2322" s="8" t="s">
        <v>22</v>
      </c>
      <c r="K2322" s="8" t="s">
        <v>154</v>
      </c>
      <c r="L2322" s="8" t="s">
        <v>10511</v>
      </c>
      <c r="M2322" s="8" t="s">
        <v>10512</v>
      </c>
      <c r="N2322" s="8" t="s">
        <v>10724</v>
      </c>
      <c r="O2322" s="8">
        <f>7+5/60+58.9/3600</f>
        <v>7.0996944444444443</v>
      </c>
      <c r="P2322" s="8" t="s">
        <v>10725</v>
      </c>
      <c r="Q2322" s="8">
        <f>+(50+45/60+24/3600)</f>
        <v>50.756666666666668</v>
      </c>
      <c r="R2322" s="8">
        <v>13.6</v>
      </c>
      <c r="S2322" s="8">
        <v>14.5</v>
      </c>
      <c r="T2322" s="8">
        <v>0.9</v>
      </c>
      <c r="U2322" s="8">
        <v>13.9</v>
      </c>
      <c r="V2322" s="8">
        <v>1.4</v>
      </c>
      <c r="W2322" s="8">
        <v>1.1000000000000001</v>
      </c>
      <c r="X2322" s="8">
        <v>135</v>
      </c>
      <c r="Y2322" s="8" t="s">
        <v>21</v>
      </c>
      <c r="Z2322" s="8" t="s">
        <v>10726</v>
      </c>
    </row>
    <row r="2323" spans="1:26" x14ac:dyDescent="0.2">
      <c r="A2323" s="8">
        <v>2322</v>
      </c>
      <c r="B2323" s="8" t="s">
        <v>10727</v>
      </c>
      <c r="C2323" s="8" t="s">
        <v>10727</v>
      </c>
      <c r="F2323" s="47" t="s">
        <v>56479</v>
      </c>
      <c r="G2323" s="8">
        <v>15</v>
      </c>
      <c r="H2323" s="8" t="s">
        <v>21</v>
      </c>
      <c r="I2323" s="8" t="s">
        <v>22</v>
      </c>
      <c r="J2323" s="8" t="s">
        <v>22</v>
      </c>
      <c r="K2323" s="8" t="s">
        <v>154</v>
      </c>
      <c r="L2323" s="8" t="s">
        <v>10511</v>
      </c>
      <c r="M2323" s="8" t="s">
        <v>10512</v>
      </c>
      <c r="N2323" s="8" t="s">
        <v>10728</v>
      </c>
      <c r="O2323" s="8">
        <f>7+6/60+0.3/3600</f>
        <v>7.1000833333333331</v>
      </c>
      <c r="P2323" s="8" t="s">
        <v>10729</v>
      </c>
      <c r="Q2323" s="8">
        <f>+(50+30/60+38/3600)</f>
        <v>50.510555555555555</v>
      </c>
      <c r="R2323" s="8">
        <v>13.8</v>
      </c>
      <c r="S2323" s="8">
        <v>14.7</v>
      </c>
      <c r="T2323" s="8">
        <v>0.9</v>
      </c>
      <c r="U2323" s="8">
        <v>12.7</v>
      </c>
      <c r="V2323" s="8">
        <v>1.1000000000000001</v>
      </c>
      <c r="W2323" s="8">
        <v>0.4</v>
      </c>
      <c r="X2323" s="8">
        <v>136</v>
      </c>
      <c r="Y2323" s="8" t="s">
        <v>2500</v>
      </c>
      <c r="Z2323" s="8" t="s">
        <v>2501</v>
      </c>
    </row>
    <row r="2324" spans="1:26" x14ac:dyDescent="0.2">
      <c r="A2324" s="8">
        <v>2323</v>
      </c>
      <c r="B2324" s="8" t="s">
        <v>10730</v>
      </c>
      <c r="C2324" s="8" t="s">
        <v>55880</v>
      </c>
      <c r="F2324" s="47"/>
      <c r="G2324" s="8">
        <v>1</v>
      </c>
      <c r="H2324" s="8" t="s">
        <v>10731</v>
      </c>
      <c r="I2324" s="8" t="s">
        <v>557</v>
      </c>
      <c r="J2324" s="8" t="s">
        <v>557</v>
      </c>
      <c r="K2324" s="8" t="s">
        <v>3170</v>
      </c>
      <c r="L2324" s="8" t="s">
        <v>9917</v>
      </c>
      <c r="M2324" s="8" t="s">
        <v>9918</v>
      </c>
      <c r="N2324" s="8" t="s">
        <v>10732</v>
      </c>
      <c r="O2324" s="8">
        <f>7+2/60+47.8/3600</f>
        <v>7.0466111111111109</v>
      </c>
      <c r="P2324" s="8" t="s">
        <v>10733</v>
      </c>
      <c r="Q2324" s="8">
        <f>-(8+22/60+33/3600)</f>
        <v>-8.3758333333333344</v>
      </c>
      <c r="R2324" s="8">
        <v>5.9</v>
      </c>
      <c r="S2324" s="8">
        <v>99</v>
      </c>
      <c r="T2324" s="8">
        <v>99</v>
      </c>
      <c r="U2324" s="8">
        <v>99</v>
      </c>
      <c r="V2324" s="8">
        <v>15</v>
      </c>
      <c r="Y2324" s="8" t="s">
        <v>10707</v>
      </c>
      <c r="Z2324" s="8" t="s">
        <v>10734</v>
      </c>
    </row>
    <row r="2325" spans="1:26" x14ac:dyDescent="0.2">
      <c r="A2325" s="8">
        <v>2324</v>
      </c>
      <c r="B2325" s="8" t="s">
        <v>10735</v>
      </c>
      <c r="C2325" s="8" t="s">
        <v>10735</v>
      </c>
      <c r="F2325" s="47" t="s">
        <v>56480</v>
      </c>
      <c r="G2325" s="8">
        <v>6</v>
      </c>
      <c r="H2325" s="8" t="s">
        <v>21</v>
      </c>
      <c r="I2325" s="8" t="s">
        <v>557</v>
      </c>
      <c r="J2325" s="8" t="s">
        <v>557</v>
      </c>
      <c r="K2325" s="8" t="s">
        <v>981</v>
      </c>
      <c r="L2325" s="8" t="s">
        <v>9917</v>
      </c>
      <c r="M2325" s="8" t="s">
        <v>9918</v>
      </c>
      <c r="N2325" s="8" t="s">
        <v>10736</v>
      </c>
      <c r="O2325" s="8">
        <f>7+4/60+7.9/3600</f>
        <v>7.0688611111111106</v>
      </c>
      <c r="P2325" s="8" t="s">
        <v>10737</v>
      </c>
      <c r="Q2325" s="8">
        <f>+(1+2/60+41/3600)</f>
        <v>1.0447222222222223</v>
      </c>
      <c r="R2325" s="8">
        <v>8.4</v>
      </c>
      <c r="S2325" s="8">
        <v>99</v>
      </c>
      <c r="T2325" s="8">
        <v>99</v>
      </c>
      <c r="U2325" s="8">
        <v>99</v>
      </c>
      <c r="V2325" s="8">
        <v>8</v>
      </c>
      <c r="Y2325" s="8" t="s">
        <v>10738</v>
      </c>
      <c r="Z2325" s="8" t="s">
        <v>10739</v>
      </c>
    </row>
    <row r="2326" spans="1:26" x14ac:dyDescent="0.2">
      <c r="A2326" s="8">
        <v>2325</v>
      </c>
      <c r="B2326" s="8" t="s">
        <v>10740</v>
      </c>
      <c r="C2326" s="8" t="s">
        <v>10740</v>
      </c>
      <c r="F2326" s="47"/>
      <c r="G2326" s="8">
        <v>13</v>
      </c>
      <c r="H2326" s="8" t="s">
        <v>21</v>
      </c>
      <c r="I2326" s="8" t="s">
        <v>22</v>
      </c>
      <c r="J2326" s="8" t="s">
        <v>22</v>
      </c>
      <c r="K2326" s="8" t="s">
        <v>50</v>
      </c>
      <c r="L2326" s="8" t="s">
        <v>10194</v>
      </c>
      <c r="M2326" s="8" t="s">
        <v>10195</v>
      </c>
      <c r="N2326" s="8" t="s">
        <v>10741</v>
      </c>
      <c r="O2326" s="8">
        <f>7+2/60+40.2/3600</f>
        <v>7.0445000000000002</v>
      </c>
      <c r="P2326" s="8" t="s">
        <v>10742</v>
      </c>
      <c r="Q2326" s="8">
        <f>-(28+41/60+52/3600)</f>
        <v>-28.697777777777777</v>
      </c>
      <c r="R2326" s="8">
        <v>11.3</v>
      </c>
      <c r="S2326" s="8">
        <v>12.3</v>
      </c>
      <c r="T2326" s="8">
        <v>1</v>
      </c>
      <c r="U2326" s="8">
        <v>13</v>
      </c>
      <c r="V2326" s="8">
        <v>3</v>
      </c>
      <c r="W2326" s="8">
        <v>1.5</v>
      </c>
      <c r="X2326" s="8">
        <v>6</v>
      </c>
      <c r="Y2326" s="8" t="s">
        <v>10743</v>
      </c>
      <c r="Z2326" s="8" t="s">
        <v>10744</v>
      </c>
    </row>
    <row r="2327" spans="1:26" x14ac:dyDescent="0.2">
      <c r="A2327" s="8">
        <v>2326</v>
      </c>
      <c r="B2327" s="8" t="s">
        <v>10745</v>
      </c>
      <c r="C2327" s="8" t="s">
        <v>10745</v>
      </c>
      <c r="F2327" s="47" t="s">
        <v>56481</v>
      </c>
      <c r="G2327" s="8">
        <v>15</v>
      </c>
      <c r="H2327" s="8" t="s">
        <v>21</v>
      </c>
      <c r="I2327" s="8" t="s">
        <v>22</v>
      </c>
      <c r="J2327" s="8" t="s">
        <v>22</v>
      </c>
      <c r="K2327" s="8" t="s">
        <v>218</v>
      </c>
      <c r="L2327" s="8" t="s">
        <v>10511</v>
      </c>
      <c r="M2327" s="8" t="s">
        <v>10512</v>
      </c>
      <c r="N2327" s="8" t="s">
        <v>10746</v>
      </c>
      <c r="O2327" s="8">
        <f>7+8/60+10.9/3600</f>
        <v>7.1363611111111114</v>
      </c>
      <c r="P2327" s="8" t="s">
        <v>10747</v>
      </c>
      <c r="Q2327" s="8">
        <f>+(50+40/60+56/3600)</f>
        <v>50.682222222222222</v>
      </c>
      <c r="R2327" s="8">
        <v>13.1</v>
      </c>
      <c r="S2327" s="8">
        <v>13.9</v>
      </c>
      <c r="T2327" s="8">
        <v>0.8</v>
      </c>
      <c r="U2327" s="8">
        <v>14.3</v>
      </c>
      <c r="V2327" s="8">
        <v>1.9</v>
      </c>
      <c r="W2327" s="8">
        <v>1.8</v>
      </c>
      <c r="X2327" s="8">
        <v>120</v>
      </c>
      <c r="Y2327" s="8" t="s">
        <v>21</v>
      </c>
      <c r="Z2327" s="8" t="s">
        <v>10748</v>
      </c>
    </row>
    <row r="2328" spans="1:26" x14ac:dyDescent="0.2">
      <c r="A2328" s="8">
        <v>2327</v>
      </c>
      <c r="B2328" s="8" t="s">
        <v>10749</v>
      </c>
      <c r="C2328" s="8" t="s">
        <v>10749</v>
      </c>
      <c r="F2328" s="47" t="s">
        <v>56482</v>
      </c>
      <c r="G2328" s="8">
        <v>7</v>
      </c>
      <c r="H2328" s="8" t="s">
        <v>21</v>
      </c>
      <c r="I2328" s="8" t="s">
        <v>1283</v>
      </c>
      <c r="J2328" s="8" t="s">
        <v>1283</v>
      </c>
      <c r="K2328" s="8" t="s">
        <v>1284</v>
      </c>
      <c r="L2328" s="8" t="s">
        <v>10194</v>
      </c>
      <c r="M2328" s="8" t="s">
        <v>10195</v>
      </c>
      <c r="N2328" s="8" t="s">
        <v>10750</v>
      </c>
      <c r="O2328" s="8">
        <f>7+4/60+7.2/3600</f>
        <v>7.0686666666666662</v>
      </c>
      <c r="P2328" s="8" t="s">
        <v>10751</v>
      </c>
      <c r="Q2328" s="8">
        <f>-(11+18/60+51/3600)</f>
        <v>-11.314166666666667</v>
      </c>
      <c r="R2328" s="8">
        <v>99</v>
      </c>
      <c r="S2328" s="8">
        <v>99</v>
      </c>
      <c r="T2328" s="8">
        <v>99</v>
      </c>
      <c r="U2328" s="8">
        <v>99</v>
      </c>
      <c r="V2328" s="8">
        <v>1</v>
      </c>
      <c r="W2328" s="8">
        <v>1</v>
      </c>
      <c r="Y2328" s="8" t="s">
        <v>21</v>
      </c>
      <c r="Z2328" s="8" t="s">
        <v>10752</v>
      </c>
    </row>
    <row r="2329" spans="1:26" x14ac:dyDescent="0.2">
      <c r="A2329" s="8">
        <v>2328</v>
      </c>
      <c r="B2329" s="8" t="s">
        <v>10753</v>
      </c>
      <c r="C2329" s="8" t="s">
        <v>10753</v>
      </c>
      <c r="F2329" s="47"/>
      <c r="G2329" s="8">
        <v>16</v>
      </c>
      <c r="H2329" s="8" t="s">
        <v>21</v>
      </c>
      <c r="I2329" s="8" t="s">
        <v>22</v>
      </c>
      <c r="J2329" s="8" t="s">
        <v>22</v>
      </c>
      <c r="K2329" s="8" t="s">
        <v>118</v>
      </c>
      <c r="L2329" s="8" t="s">
        <v>10175</v>
      </c>
      <c r="M2329" s="8" t="s">
        <v>10176</v>
      </c>
      <c r="N2329" s="8" t="s">
        <v>10754</v>
      </c>
      <c r="O2329" s="8">
        <f>7+2/60+36.1/3600</f>
        <v>7.0433611111111114</v>
      </c>
      <c r="P2329" s="8" t="s">
        <v>10755</v>
      </c>
      <c r="Q2329" s="8">
        <f>-(42+4/60+5/3600)</f>
        <v>-42.06805555555556</v>
      </c>
      <c r="R2329" s="8">
        <v>12.1</v>
      </c>
      <c r="S2329" s="8">
        <v>12.8</v>
      </c>
      <c r="T2329" s="8">
        <v>0.7</v>
      </c>
      <c r="U2329" s="8">
        <v>13.4</v>
      </c>
      <c r="V2329" s="8">
        <v>1.3</v>
      </c>
      <c r="W2329" s="8">
        <v>0.8</v>
      </c>
      <c r="X2329" s="8">
        <v>115</v>
      </c>
      <c r="Y2329" s="8" t="s">
        <v>10756</v>
      </c>
      <c r="Z2329" s="8" t="s">
        <v>10757</v>
      </c>
    </row>
    <row r="2330" spans="1:26" x14ac:dyDescent="0.2">
      <c r="A2330" s="8">
        <v>2329</v>
      </c>
      <c r="B2330" s="8" t="s">
        <v>10758</v>
      </c>
      <c r="C2330" s="8" t="s">
        <v>10758</v>
      </c>
      <c r="F2330" s="47" t="s">
        <v>56483</v>
      </c>
      <c r="G2330" s="8">
        <v>15</v>
      </c>
      <c r="H2330" s="8" t="s">
        <v>21</v>
      </c>
      <c r="I2330" s="8" t="s">
        <v>22</v>
      </c>
      <c r="J2330" s="8" t="s">
        <v>22</v>
      </c>
      <c r="K2330" s="8" t="s">
        <v>58</v>
      </c>
      <c r="L2330" s="8" t="s">
        <v>10511</v>
      </c>
      <c r="M2330" s="8" t="s">
        <v>10512</v>
      </c>
      <c r="N2330" s="8" t="s">
        <v>10759</v>
      </c>
      <c r="O2330" s="8">
        <f>7+9/60+7.9/3600</f>
        <v>7.1521944444444445</v>
      </c>
      <c r="P2330" s="8" t="s">
        <v>10760</v>
      </c>
      <c r="Q2330" s="8">
        <f>+(48+36/60+57/3600)</f>
        <v>48.615833333333335</v>
      </c>
      <c r="R2330" s="8">
        <v>12.5</v>
      </c>
      <c r="S2330" s="8">
        <v>13.5</v>
      </c>
      <c r="T2330" s="8">
        <v>1</v>
      </c>
      <c r="U2330" s="8">
        <v>12.7</v>
      </c>
      <c r="V2330" s="8">
        <v>1.3</v>
      </c>
      <c r="W2330" s="8">
        <v>1.1000000000000001</v>
      </c>
      <c r="X2330" s="8">
        <v>175</v>
      </c>
      <c r="Y2330" s="8" t="s">
        <v>1948</v>
      </c>
      <c r="Z2330" s="8" t="s">
        <v>1949</v>
      </c>
    </row>
    <row r="2331" spans="1:26" x14ac:dyDescent="0.2">
      <c r="A2331" s="8">
        <v>2330</v>
      </c>
      <c r="B2331" s="8" t="s">
        <v>10761</v>
      </c>
      <c r="C2331" s="8" t="s">
        <v>10761</v>
      </c>
      <c r="F2331" s="47"/>
      <c r="G2331" s="8">
        <v>18</v>
      </c>
      <c r="H2331" s="8" t="s">
        <v>21</v>
      </c>
      <c r="I2331" s="8" t="s">
        <v>22</v>
      </c>
      <c r="J2331" s="8" t="s">
        <v>22</v>
      </c>
      <c r="K2331" s="8" t="s">
        <v>382</v>
      </c>
      <c r="L2331" s="8" t="s">
        <v>10511</v>
      </c>
      <c r="M2331" s="8" t="s">
        <v>10512</v>
      </c>
      <c r="N2331" s="8" t="s">
        <v>10762</v>
      </c>
      <c r="O2331" s="8">
        <f>7+9/60+28.3/3600</f>
        <v>7.1578611111111119</v>
      </c>
      <c r="P2331" s="8" t="s">
        <v>10763</v>
      </c>
      <c r="Q2331" s="8">
        <f>+(50+9/60+11/3600)</f>
        <v>50.153055555555554</v>
      </c>
      <c r="R2331" s="8">
        <v>14.8</v>
      </c>
      <c r="S2331" s="8">
        <v>15.8</v>
      </c>
      <c r="T2331" s="8">
        <v>1</v>
      </c>
      <c r="U2331" s="8">
        <v>12.6</v>
      </c>
      <c r="V2331" s="8">
        <v>0.4</v>
      </c>
      <c r="W2331" s="8">
        <v>0.3</v>
      </c>
      <c r="X2331" s="8">
        <v>30</v>
      </c>
      <c r="Y2331" s="8" t="s">
        <v>10764</v>
      </c>
      <c r="Z2331" s="8" t="s">
        <v>10765</v>
      </c>
    </row>
    <row r="2332" spans="1:26" x14ac:dyDescent="0.2">
      <c r="A2332" s="8">
        <v>2331</v>
      </c>
      <c r="B2332" s="8" t="s">
        <v>10766</v>
      </c>
      <c r="C2332" s="8" t="s">
        <v>10766</v>
      </c>
      <c r="F2332" s="47" t="s">
        <v>56484</v>
      </c>
      <c r="G2332" s="8">
        <v>6.5</v>
      </c>
      <c r="H2332" s="8" t="s">
        <v>21</v>
      </c>
      <c r="I2332" s="8" t="s">
        <v>557</v>
      </c>
      <c r="J2332" s="8" t="s">
        <v>557</v>
      </c>
      <c r="K2332" s="8" t="s">
        <v>600</v>
      </c>
      <c r="L2332" s="8" t="s">
        <v>9862</v>
      </c>
      <c r="M2332" s="8" t="s">
        <v>9863</v>
      </c>
      <c r="N2332" s="8" t="s">
        <v>10767</v>
      </c>
      <c r="O2332" s="8">
        <f>7+6/60+59.8/3600</f>
        <v>7.1166111111111103</v>
      </c>
      <c r="P2332" s="8" t="s">
        <v>10768</v>
      </c>
      <c r="Q2332" s="8">
        <f>+(27+15/60+42/3600)</f>
        <v>27.261666666666667</v>
      </c>
      <c r="R2332" s="8">
        <v>8.5</v>
      </c>
      <c r="S2332" s="8">
        <v>99</v>
      </c>
      <c r="T2332" s="8">
        <v>99</v>
      </c>
      <c r="U2332" s="8">
        <v>99</v>
      </c>
      <c r="V2332" s="8">
        <v>19</v>
      </c>
      <c r="Y2332" s="8" t="s">
        <v>21</v>
      </c>
      <c r="Z2332" s="8" t="s">
        <v>10769</v>
      </c>
    </row>
    <row r="2333" spans="1:26" x14ac:dyDescent="0.2">
      <c r="A2333" s="8">
        <v>2332</v>
      </c>
      <c r="B2333" s="8" t="s">
        <v>10770</v>
      </c>
      <c r="C2333" s="8" t="s">
        <v>10770</v>
      </c>
      <c r="F2333" s="47" t="s">
        <v>56485</v>
      </c>
      <c r="G2333" s="8">
        <v>15</v>
      </c>
      <c r="H2333" s="8" t="s">
        <v>21</v>
      </c>
      <c r="I2333" s="8" t="s">
        <v>22</v>
      </c>
      <c r="J2333" s="8" t="s">
        <v>22</v>
      </c>
      <c r="K2333" s="8" t="s">
        <v>37</v>
      </c>
      <c r="L2333" s="8" t="s">
        <v>10511</v>
      </c>
      <c r="M2333" s="8" t="s">
        <v>10512</v>
      </c>
      <c r="N2333" s="8" t="s">
        <v>10771</v>
      </c>
      <c r="O2333" s="8">
        <f>7+9/60+33.8/3600</f>
        <v>7.1593888888888895</v>
      </c>
      <c r="P2333" s="8" t="s">
        <v>10772</v>
      </c>
      <c r="Q2333" s="8">
        <f>+(50+10/60+55/3600)</f>
        <v>50.18194444444444</v>
      </c>
      <c r="R2333" s="8">
        <v>12.8</v>
      </c>
      <c r="S2333" s="8">
        <v>13.8</v>
      </c>
      <c r="T2333" s="8">
        <v>1</v>
      </c>
      <c r="U2333" s="8">
        <v>13.1</v>
      </c>
      <c r="V2333" s="8">
        <v>1.5</v>
      </c>
      <c r="W2333" s="8">
        <v>1</v>
      </c>
      <c r="X2333" s="8">
        <v>60</v>
      </c>
      <c r="Y2333" s="8" t="s">
        <v>446</v>
      </c>
      <c r="Z2333" s="8" t="s">
        <v>447</v>
      </c>
    </row>
    <row r="2334" spans="1:26" x14ac:dyDescent="0.2">
      <c r="A2334" s="8">
        <v>2333</v>
      </c>
      <c r="B2334" s="8" t="s">
        <v>10773</v>
      </c>
      <c r="C2334" s="8" t="s">
        <v>10773</v>
      </c>
      <c r="F2334" s="47" t="s">
        <v>56486</v>
      </c>
      <c r="G2334" s="8">
        <v>15</v>
      </c>
      <c r="H2334" s="8" t="s">
        <v>21</v>
      </c>
      <c r="I2334" s="8" t="s">
        <v>22</v>
      </c>
      <c r="J2334" s="8" t="s">
        <v>22</v>
      </c>
      <c r="K2334" s="8" t="s">
        <v>91</v>
      </c>
      <c r="L2334" s="8" t="s">
        <v>9862</v>
      </c>
      <c r="M2334" s="8" t="s">
        <v>9863</v>
      </c>
      <c r="N2334" s="8" t="s">
        <v>10774</v>
      </c>
      <c r="O2334" s="8">
        <f>7+8/60+21.2/3600</f>
        <v>7.139222222222223</v>
      </c>
      <c r="P2334" s="8" t="s">
        <v>10775</v>
      </c>
      <c r="Q2334" s="8">
        <f>+(35+10/60+12/3600)</f>
        <v>35.169999999999995</v>
      </c>
      <c r="R2334" s="8">
        <v>13.3</v>
      </c>
      <c r="S2334" s="8">
        <v>14.2</v>
      </c>
      <c r="T2334" s="8">
        <v>0.9</v>
      </c>
      <c r="U2334" s="8">
        <v>12.8</v>
      </c>
      <c r="V2334" s="8">
        <v>1</v>
      </c>
      <c r="W2334" s="8">
        <v>0.7</v>
      </c>
      <c r="X2334" s="8">
        <v>35</v>
      </c>
      <c r="Y2334" s="8" t="s">
        <v>2248</v>
      </c>
      <c r="Z2334" s="8" t="s">
        <v>2249</v>
      </c>
    </row>
    <row r="2335" spans="1:26" x14ac:dyDescent="0.2">
      <c r="A2335" s="8">
        <v>2334</v>
      </c>
      <c r="B2335" s="8" t="s">
        <v>10776</v>
      </c>
      <c r="C2335" s="8" t="s">
        <v>10776</v>
      </c>
      <c r="F2335" s="47"/>
      <c r="G2335" s="8">
        <v>19</v>
      </c>
      <c r="H2335" s="8" t="s">
        <v>21</v>
      </c>
      <c r="I2335" s="8" t="s">
        <v>22</v>
      </c>
      <c r="J2335" s="8" t="s">
        <v>22</v>
      </c>
      <c r="K2335" s="8" t="s">
        <v>424</v>
      </c>
      <c r="L2335" s="8" t="s">
        <v>10511</v>
      </c>
      <c r="M2335" s="8" t="s">
        <v>10512</v>
      </c>
      <c r="N2335" s="8" t="s">
        <v>10777</v>
      </c>
      <c r="O2335" s="8">
        <f>7+11/60+33.6/3600</f>
        <v>7.1926666666666668</v>
      </c>
      <c r="P2335" s="8" t="s">
        <v>10778</v>
      </c>
      <c r="Q2335" s="8">
        <f>+(50+14/60+56/3600)</f>
        <v>50.248888888888892</v>
      </c>
      <c r="R2335" s="8">
        <v>13.7</v>
      </c>
      <c r="S2335" s="8">
        <v>14.7</v>
      </c>
      <c r="T2335" s="8">
        <v>1</v>
      </c>
      <c r="U2335" s="8">
        <v>13</v>
      </c>
      <c r="V2335" s="8">
        <v>0.9</v>
      </c>
      <c r="W2335" s="8">
        <v>0.7</v>
      </c>
      <c r="X2335" s="8">
        <v>80</v>
      </c>
      <c r="Y2335" s="8" t="s">
        <v>10764</v>
      </c>
      <c r="Z2335" s="8" t="s">
        <v>10779</v>
      </c>
    </row>
    <row r="2336" spans="1:26" x14ac:dyDescent="0.2">
      <c r="A2336" s="8">
        <v>2335</v>
      </c>
      <c r="B2336" s="8" t="s">
        <v>10780</v>
      </c>
      <c r="C2336" s="8" t="s">
        <v>10780</v>
      </c>
      <c r="F2336" s="47" t="s">
        <v>56487</v>
      </c>
      <c r="G2336" s="8">
        <v>6</v>
      </c>
      <c r="H2336" s="8" t="s">
        <v>21</v>
      </c>
      <c r="I2336" s="8" t="s">
        <v>557</v>
      </c>
      <c r="J2336" s="8" t="s">
        <v>557</v>
      </c>
      <c r="K2336" s="8" t="s">
        <v>8805</v>
      </c>
      <c r="L2336" s="8" t="s">
        <v>9917</v>
      </c>
      <c r="M2336" s="8" t="s">
        <v>9918</v>
      </c>
      <c r="N2336" s="8" t="s">
        <v>10781</v>
      </c>
      <c r="O2336" s="8">
        <f>7+6/60+49.4/3600</f>
        <v>7.1137222222222221</v>
      </c>
      <c r="P2336" s="8" t="s">
        <v>10782</v>
      </c>
      <c r="Q2336" s="8">
        <f>-(10+1/60+43/3600)</f>
        <v>-10.028611111111111</v>
      </c>
      <c r="R2336" s="8">
        <v>7.2</v>
      </c>
      <c r="S2336" s="8">
        <v>99</v>
      </c>
      <c r="T2336" s="8">
        <v>99</v>
      </c>
      <c r="U2336" s="8">
        <v>99</v>
      </c>
      <c r="V2336" s="8">
        <v>7</v>
      </c>
      <c r="Y2336" s="8" t="s">
        <v>1408</v>
      </c>
      <c r="Z2336" s="8" t="s">
        <v>1409</v>
      </c>
    </row>
    <row r="2337" spans="1:26" x14ac:dyDescent="0.2">
      <c r="A2337" s="8">
        <v>2336</v>
      </c>
      <c r="B2337" s="8" t="s">
        <v>10783</v>
      </c>
      <c r="C2337" s="8" t="s">
        <v>10783</v>
      </c>
      <c r="F2337" s="47"/>
      <c r="G2337" s="8">
        <v>9</v>
      </c>
      <c r="H2337" s="8" t="s">
        <v>21</v>
      </c>
      <c r="I2337" s="8" t="s">
        <v>22</v>
      </c>
      <c r="J2337" s="8" t="s">
        <v>22</v>
      </c>
      <c r="K2337" s="8" t="s">
        <v>85</v>
      </c>
      <c r="L2337" s="8" t="s">
        <v>6823</v>
      </c>
      <c r="M2337" s="8" t="s">
        <v>6824</v>
      </c>
      <c r="N2337" s="8" t="s">
        <v>10784</v>
      </c>
      <c r="O2337" s="8">
        <f>7+27/60+3.6/3600</f>
        <v>7.4510000000000005</v>
      </c>
      <c r="P2337" s="8" t="s">
        <v>10785</v>
      </c>
      <c r="Q2337" s="8">
        <f>+(80+10/60+40/3600)</f>
        <v>80.177777777777777</v>
      </c>
      <c r="R2337" s="8">
        <v>10.4</v>
      </c>
      <c r="S2337" s="8">
        <v>11.1</v>
      </c>
      <c r="T2337" s="8">
        <v>0.7</v>
      </c>
      <c r="U2337" s="8">
        <v>13.9</v>
      </c>
      <c r="V2337" s="8">
        <v>7.1</v>
      </c>
      <c r="W2337" s="8">
        <v>3.9</v>
      </c>
      <c r="X2337" s="8">
        <v>178</v>
      </c>
      <c r="Y2337" s="8" t="s">
        <v>10786</v>
      </c>
      <c r="Z2337" s="8" t="s">
        <v>10787</v>
      </c>
    </row>
    <row r="2338" spans="1:26" x14ac:dyDescent="0.2">
      <c r="A2338" s="8">
        <v>2337</v>
      </c>
      <c r="B2338" s="8" t="s">
        <v>10788</v>
      </c>
      <c r="C2338" s="8" t="s">
        <v>10788</v>
      </c>
      <c r="F2338" s="47"/>
      <c r="G2338" s="8">
        <v>18</v>
      </c>
      <c r="H2338" s="8" t="s">
        <v>21</v>
      </c>
      <c r="I2338" s="8" t="s">
        <v>22</v>
      </c>
      <c r="J2338" s="8" t="s">
        <v>22</v>
      </c>
      <c r="K2338" s="8" t="s">
        <v>107</v>
      </c>
      <c r="L2338" s="8" t="s">
        <v>10511</v>
      </c>
      <c r="M2338" s="8" t="s">
        <v>10512</v>
      </c>
      <c r="N2338" s="8" t="s">
        <v>10789</v>
      </c>
      <c r="O2338" s="8">
        <f>7+10/60+13.6/3600</f>
        <v>7.1704444444444446</v>
      </c>
      <c r="P2338" s="8" t="s">
        <v>10790</v>
      </c>
      <c r="Q2338" s="8">
        <f>+(44+27/60+25/3600)</f>
        <v>44.456944444444446</v>
      </c>
      <c r="R2338" s="8">
        <v>12.4</v>
      </c>
      <c r="S2338" s="8">
        <v>13</v>
      </c>
      <c r="T2338" s="8">
        <v>0.6</v>
      </c>
      <c r="U2338" s="8">
        <v>13.4</v>
      </c>
      <c r="V2338" s="8">
        <v>2.1</v>
      </c>
      <c r="W2338" s="8">
        <v>1.4</v>
      </c>
      <c r="X2338" s="8">
        <v>120</v>
      </c>
      <c r="Y2338" s="8" t="s">
        <v>905</v>
      </c>
      <c r="Z2338" s="8" t="s">
        <v>906</v>
      </c>
    </row>
    <row r="2339" spans="1:26" x14ac:dyDescent="0.2">
      <c r="A2339" s="8">
        <v>2338</v>
      </c>
      <c r="B2339" s="8" t="s">
        <v>10791</v>
      </c>
      <c r="C2339" s="8" t="s">
        <v>10791</v>
      </c>
      <c r="F2339" s="47"/>
      <c r="G2339" s="8">
        <v>16</v>
      </c>
      <c r="H2339" s="8" t="s">
        <v>21</v>
      </c>
      <c r="I2339" s="8" t="s">
        <v>557</v>
      </c>
      <c r="J2339" s="8" t="s">
        <v>557</v>
      </c>
      <c r="K2339" s="8" t="s">
        <v>557</v>
      </c>
      <c r="L2339" s="8" t="s">
        <v>9917</v>
      </c>
      <c r="M2339" s="8" t="s">
        <v>9918</v>
      </c>
      <c r="N2339" s="8" t="s">
        <v>10792</v>
      </c>
      <c r="O2339" s="8">
        <f>7+7/60+43/3600</f>
        <v>7.1286111111111108</v>
      </c>
      <c r="P2339" s="8" t="s">
        <v>10793</v>
      </c>
      <c r="Q2339" s="8">
        <f>-(5+43/60+0/3600)</f>
        <v>-5.7166666666666668</v>
      </c>
      <c r="R2339" s="8">
        <v>99</v>
      </c>
      <c r="S2339" s="8">
        <v>99</v>
      </c>
      <c r="T2339" s="8">
        <v>99</v>
      </c>
      <c r="U2339" s="8">
        <v>99</v>
      </c>
      <c r="Y2339" s="8" t="s">
        <v>10794</v>
      </c>
      <c r="Z2339" s="8" t="s">
        <v>10795</v>
      </c>
    </row>
    <row r="2340" spans="1:26" x14ac:dyDescent="0.2">
      <c r="A2340" s="8">
        <v>2339</v>
      </c>
      <c r="B2340" s="8" t="s">
        <v>10796</v>
      </c>
      <c r="C2340" s="8" t="s">
        <v>10796</v>
      </c>
      <c r="F2340" s="47" t="s">
        <v>56488</v>
      </c>
      <c r="G2340" s="8">
        <v>6.5</v>
      </c>
      <c r="H2340" s="8" t="s">
        <v>21</v>
      </c>
      <c r="I2340" s="8" t="s">
        <v>22</v>
      </c>
      <c r="J2340" s="8" t="s">
        <v>22</v>
      </c>
      <c r="K2340" s="8" t="s">
        <v>85</v>
      </c>
      <c r="L2340" s="8" t="s">
        <v>9862</v>
      </c>
      <c r="M2340" s="8" t="s">
        <v>9863</v>
      </c>
      <c r="N2340" s="8" t="s">
        <v>10797</v>
      </c>
      <c r="O2340" s="8">
        <f>7+8/60+20.3/3600</f>
        <v>7.1389722222222227</v>
      </c>
      <c r="P2340" s="8" t="s">
        <v>10798</v>
      </c>
      <c r="Q2340" s="8">
        <f>+(18+46/60+46/3600)</f>
        <v>18.779444444444444</v>
      </c>
      <c r="R2340" s="8">
        <v>11.8</v>
      </c>
      <c r="S2340" s="8">
        <v>12.5</v>
      </c>
      <c r="T2340" s="8">
        <v>0.7</v>
      </c>
      <c r="U2340" s="8">
        <v>13.5</v>
      </c>
      <c r="V2340" s="8">
        <v>2.7</v>
      </c>
      <c r="W2340" s="8">
        <v>2</v>
      </c>
      <c r="X2340" s="8">
        <v>175</v>
      </c>
      <c r="Y2340" s="8" t="s">
        <v>3758</v>
      </c>
      <c r="Z2340" s="8" t="s">
        <v>3759</v>
      </c>
    </row>
    <row r="2341" spans="1:26" x14ac:dyDescent="0.2">
      <c r="A2341" s="8">
        <v>2340</v>
      </c>
      <c r="B2341" s="8" t="s">
        <v>10799</v>
      </c>
      <c r="C2341" s="8" t="s">
        <v>10799</v>
      </c>
      <c r="F2341" s="47" t="s">
        <v>56489</v>
      </c>
      <c r="G2341" s="8">
        <v>15</v>
      </c>
      <c r="H2341" s="8" t="s">
        <v>21</v>
      </c>
      <c r="I2341" s="8" t="s">
        <v>22</v>
      </c>
      <c r="J2341" s="8" t="s">
        <v>22</v>
      </c>
      <c r="K2341" s="8" t="s">
        <v>382</v>
      </c>
      <c r="L2341" s="8" t="s">
        <v>10511</v>
      </c>
      <c r="M2341" s="8" t="s">
        <v>10512</v>
      </c>
      <c r="N2341" s="8" t="s">
        <v>10800</v>
      </c>
      <c r="O2341" s="8">
        <f>7+11/60+10.7/3600</f>
        <v>7.1863055555555562</v>
      </c>
      <c r="P2341" s="8" t="s">
        <v>10801</v>
      </c>
      <c r="Q2341" s="8">
        <f>+(50+10/60+29/3600)</f>
        <v>50.174722222222222</v>
      </c>
      <c r="R2341" s="8">
        <v>11.7</v>
      </c>
      <c r="S2341" s="8">
        <v>12.7</v>
      </c>
      <c r="T2341" s="8">
        <v>1</v>
      </c>
      <c r="U2341" s="8">
        <v>12.5</v>
      </c>
      <c r="V2341" s="8">
        <v>1.8</v>
      </c>
      <c r="W2341" s="8">
        <v>1.2</v>
      </c>
      <c r="X2341" s="8">
        <v>84</v>
      </c>
      <c r="Y2341" s="8" t="s">
        <v>10802</v>
      </c>
      <c r="Z2341" s="8" t="s">
        <v>10803</v>
      </c>
    </row>
    <row r="2342" spans="1:26" x14ac:dyDescent="0.2">
      <c r="A2342" s="8">
        <v>2341</v>
      </c>
      <c r="B2342" s="8" t="s">
        <v>10804</v>
      </c>
      <c r="C2342" s="8" t="s">
        <v>10804</v>
      </c>
      <c r="F2342" s="47"/>
      <c r="G2342" s="8">
        <v>18</v>
      </c>
      <c r="H2342" s="8" t="s">
        <v>21</v>
      </c>
      <c r="I2342" s="8" t="s">
        <v>22</v>
      </c>
      <c r="J2342" s="8" t="s">
        <v>22</v>
      </c>
      <c r="K2342" s="8" t="s">
        <v>538</v>
      </c>
      <c r="L2342" s="8" t="s">
        <v>9862</v>
      </c>
      <c r="M2342" s="8" t="s">
        <v>9863</v>
      </c>
      <c r="N2342" s="8" t="s">
        <v>10805</v>
      </c>
      <c r="O2342" s="8">
        <f>7+9/60+12/3600</f>
        <v>7.1533333333333333</v>
      </c>
      <c r="P2342" s="8" t="s">
        <v>10806</v>
      </c>
      <c r="Q2342" s="8">
        <f>+(20+36/60+12/3600)</f>
        <v>20.603333333333335</v>
      </c>
      <c r="R2342" s="8">
        <v>13.2</v>
      </c>
      <c r="S2342" s="8">
        <v>13.8</v>
      </c>
      <c r="T2342" s="8">
        <v>0.6</v>
      </c>
      <c r="U2342" s="8">
        <v>12.6</v>
      </c>
      <c r="V2342" s="8">
        <v>0.8</v>
      </c>
      <c r="W2342" s="8">
        <v>0.8</v>
      </c>
      <c r="Y2342" s="8" t="s">
        <v>282</v>
      </c>
      <c r="Z2342" s="8" t="s">
        <v>283</v>
      </c>
    </row>
    <row r="2343" spans="1:26" x14ac:dyDescent="0.2">
      <c r="A2343" s="8">
        <v>2342</v>
      </c>
      <c r="B2343" s="8" t="s">
        <v>10807</v>
      </c>
      <c r="C2343" s="8" t="s">
        <v>10807</v>
      </c>
      <c r="F2343" s="47"/>
      <c r="G2343" s="8">
        <v>18</v>
      </c>
      <c r="H2343" s="8" t="s">
        <v>21</v>
      </c>
      <c r="I2343" s="8" t="s">
        <v>22</v>
      </c>
      <c r="J2343" s="8" t="s">
        <v>22</v>
      </c>
      <c r="K2343" s="8" t="s">
        <v>160</v>
      </c>
      <c r="L2343" s="8" t="s">
        <v>9862</v>
      </c>
      <c r="M2343" s="8" t="s">
        <v>9863</v>
      </c>
      <c r="N2343" s="8" t="s">
        <v>10808</v>
      </c>
      <c r="O2343" s="8">
        <f>7+9/60+18.1/3600</f>
        <v>7.1550277777777778</v>
      </c>
      <c r="P2343" s="8" t="s">
        <v>10809</v>
      </c>
      <c r="Q2343" s="8">
        <f>+(20+38/60+13/3600)</f>
        <v>20.636944444444445</v>
      </c>
      <c r="R2343" s="8">
        <v>12.6</v>
      </c>
      <c r="S2343" s="8">
        <v>13.1</v>
      </c>
      <c r="T2343" s="8">
        <v>0.5</v>
      </c>
      <c r="U2343" s="8">
        <v>13</v>
      </c>
      <c r="V2343" s="8">
        <v>1.4</v>
      </c>
      <c r="W2343" s="8">
        <v>1.3</v>
      </c>
      <c r="X2343" s="8">
        <v>126</v>
      </c>
      <c r="Y2343" s="8" t="s">
        <v>10810</v>
      </c>
      <c r="Z2343" s="8" t="s">
        <v>10811</v>
      </c>
    </row>
    <row r="2344" spans="1:26" x14ac:dyDescent="0.2">
      <c r="A2344" s="8">
        <v>2343</v>
      </c>
      <c r="B2344" s="8" t="s">
        <v>10812</v>
      </c>
      <c r="C2344" s="8" t="s">
        <v>10812</v>
      </c>
      <c r="F2344" s="47" t="s">
        <v>56490</v>
      </c>
      <c r="G2344" s="8">
        <v>6</v>
      </c>
      <c r="H2344" s="8" t="s">
        <v>10813</v>
      </c>
      <c r="I2344" s="8" t="s">
        <v>557</v>
      </c>
      <c r="J2344" s="8" t="s">
        <v>557</v>
      </c>
      <c r="K2344" s="8" t="s">
        <v>6255</v>
      </c>
      <c r="L2344" s="8" t="s">
        <v>9917</v>
      </c>
      <c r="M2344" s="8" t="s">
        <v>9918</v>
      </c>
      <c r="N2344" s="8" t="s">
        <v>10814</v>
      </c>
      <c r="O2344" s="8">
        <f>7+8/60+6.7/3600</f>
        <v>7.1351944444444451</v>
      </c>
      <c r="P2344" s="8" t="s">
        <v>10815</v>
      </c>
      <c r="Q2344" s="8">
        <f>-(10+37/60+0/3600)</f>
        <v>-10.616666666666667</v>
      </c>
      <c r="R2344" s="8">
        <v>6.7</v>
      </c>
      <c r="S2344" s="8">
        <v>99</v>
      </c>
      <c r="T2344" s="8">
        <v>99</v>
      </c>
      <c r="U2344" s="8">
        <v>99</v>
      </c>
      <c r="V2344" s="8">
        <v>6</v>
      </c>
      <c r="Y2344" s="8" t="s">
        <v>10816</v>
      </c>
      <c r="Z2344" s="8" t="s">
        <v>10817</v>
      </c>
    </row>
    <row r="2345" spans="1:26" x14ac:dyDescent="0.2">
      <c r="A2345" s="8">
        <v>2344</v>
      </c>
      <c r="B2345" s="8" t="s">
        <v>10818</v>
      </c>
      <c r="C2345" s="8" t="s">
        <v>10818</v>
      </c>
      <c r="F2345" s="47"/>
      <c r="G2345" s="8">
        <v>19</v>
      </c>
      <c r="H2345" s="8" t="s">
        <v>21</v>
      </c>
      <c r="I2345" s="8" t="s">
        <v>22</v>
      </c>
      <c r="J2345" s="8" t="s">
        <v>22</v>
      </c>
      <c r="K2345" s="8" t="s">
        <v>85</v>
      </c>
      <c r="L2345" s="8" t="s">
        <v>10511</v>
      </c>
      <c r="M2345" s="8" t="s">
        <v>10512</v>
      </c>
      <c r="N2345" s="8" t="s">
        <v>10819</v>
      </c>
      <c r="O2345" s="8">
        <f>7+12/60+28.6/3600</f>
        <v>7.2079444444444443</v>
      </c>
      <c r="P2345" s="8" t="s">
        <v>10820</v>
      </c>
      <c r="Q2345" s="8">
        <f>+(47+10/60+2/3600)</f>
        <v>47.167222222222222</v>
      </c>
      <c r="R2345" s="8">
        <v>12</v>
      </c>
      <c r="S2345" s="8">
        <v>12.8</v>
      </c>
      <c r="T2345" s="8">
        <v>0.8</v>
      </c>
      <c r="U2345" s="8">
        <v>13</v>
      </c>
      <c r="V2345" s="8">
        <v>1.5</v>
      </c>
      <c r="W2345" s="8">
        <v>1.2</v>
      </c>
      <c r="X2345" s="8">
        <v>165</v>
      </c>
      <c r="Y2345" s="8" t="s">
        <v>10821</v>
      </c>
      <c r="Z2345" s="8" t="s">
        <v>10822</v>
      </c>
    </row>
    <row r="2346" spans="1:26" x14ac:dyDescent="0.2">
      <c r="A2346" s="8">
        <v>2345</v>
      </c>
      <c r="B2346" s="8" t="s">
        <v>10823</v>
      </c>
      <c r="C2346" s="8" t="s">
        <v>10823</v>
      </c>
      <c r="F2346" s="47"/>
      <c r="G2346" s="8">
        <v>7</v>
      </c>
      <c r="H2346" s="8" t="s">
        <v>21</v>
      </c>
      <c r="I2346" s="8" t="s">
        <v>557</v>
      </c>
      <c r="J2346" s="8" t="s">
        <v>557</v>
      </c>
      <c r="K2346" s="8" t="s">
        <v>2158</v>
      </c>
      <c r="L2346" s="8" t="s">
        <v>10194</v>
      </c>
      <c r="M2346" s="8" t="s">
        <v>10195</v>
      </c>
      <c r="N2346" s="8" t="s">
        <v>10824</v>
      </c>
      <c r="O2346" s="8">
        <f>7+8/60+18.7/3600</f>
        <v>7.138527777777778</v>
      </c>
      <c r="P2346" s="8" t="s">
        <v>10825</v>
      </c>
      <c r="Q2346" s="8">
        <f>-(13+11/60+37/3600)</f>
        <v>-13.193611111111112</v>
      </c>
      <c r="R2346" s="8">
        <v>7.7</v>
      </c>
      <c r="S2346" s="8">
        <v>99</v>
      </c>
      <c r="T2346" s="8">
        <v>99</v>
      </c>
      <c r="U2346" s="8">
        <v>99</v>
      </c>
      <c r="V2346" s="8">
        <v>12</v>
      </c>
      <c r="Y2346" s="8" t="s">
        <v>10826</v>
      </c>
      <c r="Z2346" s="8" t="s">
        <v>10827</v>
      </c>
    </row>
    <row r="2347" spans="1:26" x14ac:dyDescent="0.2">
      <c r="A2347" s="8">
        <v>2346</v>
      </c>
      <c r="B2347" s="8" t="s">
        <v>10828</v>
      </c>
      <c r="C2347" s="8" t="s">
        <v>10828</v>
      </c>
      <c r="F2347" s="47" t="s">
        <v>56491</v>
      </c>
      <c r="G2347" s="8">
        <v>6.5</v>
      </c>
      <c r="H2347" s="8" t="s">
        <v>10829</v>
      </c>
      <c r="I2347" s="8" t="s">
        <v>241</v>
      </c>
      <c r="J2347" s="8" t="s">
        <v>241</v>
      </c>
      <c r="K2347" s="8" t="s">
        <v>241</v>
      </c>
      <c r="L2347" s="8" t="s">
        <v>9917</v>
      </c>
      <c r="M2347" s="8" t="s">
        <v>9918</v>
      </c>
      <c r="N2347" s="8" t="s">
        <v>10830</v>
      </c>
      <c r="O2347" s="8">
        <f>7+9/60+22.5/3600</f>
        <v>7.15625</v>
      </c>
      <c r="P2347" s="8" t="s">
        <v>10831</v>
      </c>
      <c r="Q2347" s="8">
        <f>-(0+48/60+22/3600)</f>
        <v>-0.80611111111111111</v>
      </c>
      <c r="R2347" s="8">
        <v>11.6</v>
      </c>
      <c r="S2347" s="8">
        <v>11.8</v>
      </c>
      <c r="T2347" s="8">
        <v>99</v>
      </c>
      <c r="U2347" s="8">
        <v>99</v>
      </c>
      <c r="V2347" s="8">
        <v>0.87</v>
      </c>
      <c r="Y2347" s="8" t="s">
        <v>21</v>
      </c>
      <c r="Z2347" s="8" t="s">
        <v>10832</v>
      </c>
    </row>
    <row r="2348" spans="1:26" x14ac:dyDescent="0.2">
      <c r="A2348" s="8">
        <v>2347</v>
      </c>
      <c r="B2348" s="8" t="s">
        <v>10833</v>
      </c>
      <c r="C2348" s="8" t="s">
        <v>10833</v>
      </c>
      <c r="F2348" s="47" t="s">
        <v>56492</v>
      </c>
      <c r="G2348" s="8">
        <v>6.5</v>
      </c>
      <c r="H2348" s="8" t="s">
        <v>21</v>
      </c>
      <c r="I2348" s="8" t="s">
        <v>22</v>
      </c>
      <c r="J2348" s="8" t="s">
        <v>22</v>
      </c>
      <c r="K2348" s="8" t="s">
        <v>23</v>
      </c>
      <c r="L2348" s="8" t="s">
        <v>6823</v>
      </c>
      <c r="M2348" s="8" t="s">
        <v>6824</v>
      </c>
      <c r="N2348" s="8" t="s">
        <v>10834</v>
      </c>
      <c r="O2348" s="8">
        <f>7+16/60+4/3600</f>
        <v>7.2677777777777779</v>
      </c>
      <c r="P2348" s="8" t="s">
        <v>10835</v>
      </c>
      <c r="Q2348" s="8">
        <f>+(64+42/60+41/3600)</f>
        <v>64.711388888888891</v>
      </c>
      <c r="R2348" s="8">
        <v>12.5</v>
      </c>
      <c r="S2348" s="8">
        <v>13.2</v>
      </c>
      <c r="T2348" s="8">
        <v>0.7</v>
      </c>
      <c r="U2348" s="8">
        <v>13.2</v>
      </c>
      <c r="V2348" s="8">
        <v>1.8</v>
      </c>
      <c r="W2348" s="8">
        <v>1.3</v>
      </c>
      <c r="X2348" s="8">
        <v>4</v>
      </c>
      <c r="Y2348" s="8" t="s">
        <v>10836</v>
      </c>
      <c r="Z2348" s="8" t="s">
        <v>10837</v>
      </c>
    </row>
    <row r="2349" spans="1:26" x14ac:dyDescent="0.2">
      <c r="A2349" s="8">
        <v>2348</v>
      </c>
      <c r="B2349" s="8" t="s">
        <v>10838</v>
      </c>
      <c r="C2349" s="8" t="s">
        <v>10838</v>
      </c>
      <c r="F2349" s="47"/>
      <c r="G2349" s="8">
        <v>16</v>
      </c>
      <c r="H2349" s="8" t="s">
        <v>21</v>
      </c>
      <c r="I2349" s="8" t="s">
        <v>557</v>
      </c>
      <c r="J2349" s="8" t="s">
        <v>557</v>
      </c>
      <c r="K2349" s="8" t="s">
        <v>557</v>
      </c>
      <c r="L2349" s="8" t="s">
        <v>10656</v>
      </c>
      <c r="M2349" s="8" t="s">
        <v>10657</v>
      </c>
      <c r="N2349" s="8" t="s">
        <v>10839</v>
      </c>
      <c r="O2349" s="8">
        <f>7+3/60+2.7/3600</f>
        <v>7.0507499999999999</v>
      </c>
      <c r="P2349" s="8" t="s">
        <v>10840</v>
      </c>
      <c r="Q2349" s="8">
        <f>-(67+23/60+39/3600)</f>
        <v>-67.394166666666678</v>
      </c>
      <c r="R2349" s="8">
        <v>99</v>
      </c>
      <c r="S2349" s="8">
        <v>99</v>
      </c>
      <c r="T2349" s="8">
        <v>99</v>
      </c>
      <c r="U2349" s="8">
        <v>99</v>
      </c>
      <c r="V2349" s="8">
        <v>11</v>
      </c>
      <c r="Y2349" s="8" t="s">
        <v>21</v>
      </c>
      <c r="Z2349" s="8" t="s">
        <v>10841</v>
      </c>
    </row>
    <row r="2350" spans="1:26" x14ac:dyDescent="0.2">
      <c r="A2350" s="8">
        <v>2349</v>
      </c>
      <c r="B2350" s="8" t="s">
        <v>10842</v>
      </c>
      <c r="C2350" s="8" t="s">
        <v>10842</v>
      </c>
      <c r="F2350" s="47" t="s">
        <v>56493</v>
      </c>
      <c r="G2350" s="8">
        <v>15</v>
      </c>
      <c r="H2350" s="8" t="s">
        <v>21</v>
      </c>
      <c r="I2350" s="8" t="s">
        <v>557</v>
      </c>
      <c r="J2350" s="8" t="s">
        <v>557</v>
      </c>
      <c r="K2350" s="8" t="s">
        <v>557</v>
      </c>
      <c r="L2350" s="8" t="s">
        <v>9917</v>
      </c>
      <c r="M2350" s="8" t="s">
        <v>9918</v>
      </c>
      <c r="N2350" s="8" t="s">
        <v>10843</v>
      </c>
      <c r="O2350" s="8">
        <f>7+10/60+48.1/3600</f>
        <v>7.1800277777777781</v>
      </c>
      <c r="P2350" s="8" t="s">
        <v>10844</v>
      </c>
      <c r="Q2350" s="8">
        <f>-(8+35/60+34/3600)</f>
        <v>-8.5927777777777781</v>
      </c>
      <c r="R2350" s="8">
        <v>99</v>
      </c>
      <c r="S2350" s="8">
        <v>99</v>
      </c>
      <c r="T2350" s="8">
        <v>99</v>
      </c>
      <c r="U2350" s="8">
        <v>99</v>
      </c>
      <c r="Y2350" s="8" t="s">
        <v>10845</v>
      </c>
      <c r="Z2350" s="8" t="s">
        <v>10846</v>
      </c>
    </row>
    <row r="2351" spans="1:26" x14ac:dyDescent="0.2">
      <c r="A2351" s="8">
        <v>2350</v>
      </c>
      <c r="B2351" s="8" t="s">
        <v>10847</v>
      </c>
      <c r="C2351" s="8" t="s">
        <v>10847</v>
      </c>
      <c r="F2351" s="47"/>
      <c r="G2351" s="8">
        <v>18</v>
      </c>
      <c r="H2351" s="8" t="s">
        <v>21</v>
      </c>
      <c r="I2351" s="8" t="s">
        <v>22</v>
      </c>
      <c r="J2351" s="8" t="s">
        <v>22</v>
      </c>
      <c r="K2351" s="8" t="s">
        <v>632</v>
      </c>
      <c r="L2351" s="8" t="s">
        <v>10848</v>
      </c>
      <c r="M2351" s="8" t="s">
        <v>10849</v>
      </c>
      <c r="N2351" s="8" t="s">
        <v>10850</v>
      </c>
      <c r="O2351" s="8">
        <f>7+13/60+12.1/3600</f>
        <v>7.2200277777777782</v>
      </c>
      <c r="P2351" s="8" t="s">
        <v>10851</v>
      </c>
      <c r="Q2351" s="8">
        <f>+(12+15/60+59/3600)</f>
        <v>12.266388888888889</v>
      </c>
      <c r="R2351" s="8">
        <v>12.3</v>
      </c>
      <c r="S2351" s="8">
        <v>13.3</v>
      </c>
      <c r="T2351" s="8">
        <v>1</v>
      </c>
      <c r="U2351" s="8">
        <v>12</v>
      </c>
      <c r="V2351" s="8">
        <v>1.4</v>
      </c>
      <c r="W2351" s="8">
        <v>0.7</v>
      </c>
      <c r="X2351" s="8">
        <v>110</v>
      </c>
      <c r="Y2351" s="8" t="s">
        <v>4159</v>
      </c>
      <c r="Z2351" s="8" t="s">
        <v>4160</v>
      </c>
    </row>
    <row r="2352" spans="1:26" x14ac:dyDescent="0.2">
      <c r="A2352" s="8">
        <v>2351</v>
      </c>
      <c r="B2352" s="8" t="s">
        <v>10852</v>
      </c>
      <c r="C2352" s="8" t="s">
        <v>10852</v>
      </c>
      <c r="F2352" s="47"/>
      <c r="G2352" s="8">
        <v>16</v>
      </c>
      <c r="H2352" s="8" t="s">
        <v>21</v>
      </c>
      <c r="I2352" s="8" t="s">
        <v>72</v>
      </c>
      <c r="J2352" s="8" t="s">
        <v>72</v>
      </c>
      <c r="K2352" s="8" t="s">
        <v>1405</v>
      </c>
      <c r="L2352" s="8" t="s">
        <v>9917</v>
      </c>
      <c r="M2352" s="8" t="s">
        <v>9918</v>
      </c>
      <c r="N2352" s="8" t="s">
        <v>10853</v>
      </c>
      <c r="O2352" s="8">
        <f>7+13/60+30/3600</f>
        <v>7.2250000000000005</v>
      </c>
      <c r="P2352" s="8" t="s">
        <v>10854</v>
      </c>
      <c r="Q2352" s="8">
        <f>-(10+28/60+58/3600)</f>
        <v>-10.482777777777779</v>
      </c>
      <c r="R2352" s="8">
        <v>99</v>
      </c>
      <c r="S2352" s="8">
        <v>99</v>
      </c>
      <c r="T2352" s="8">
        <v>99</v>
      </c>
      <c r="U2352" s="8">
        <v>99</v>
      </c>
      <c r="Y2352" s="8" t="s">
        <v>10855</v>
      </c>
      <c r="Z2352" s="8" t="s">
        <v>10856</v>
      </c>
    </row>
    <row r="2353" spans="1:26" x14ac:dyDescent="0.2">
      <c r="A2353" s="8">
        <v>2352</v>
      </c>
      <c r="B2353" s="8" t="s">
        <v>10857</v>
      </c>
      <c r="C2353" s="8" t="s">
        <v>10857</v>
      </c>
      <c r="F2353" s="47" t="s">
        <v>56494</v>
      </c>
      <c r="G2353" s="8">
        <v>15</v>
      </c>
      <c r="H2353" s="8" t="s">
        <v>21</v>
      </c>
      <c r="I2353" s="8" t="s">
        <v>72</v>
      </c>
      <c r="J2353" s="8" t="s">
        <v>72</v>
      </c>
      <c r="K2353" s="8" t="s">
        <v>1405</v>
      </c>
      <c r="L2353" s="8" t="s">
        <v>10194</v>
      </c>
      <c r="M2353" s="8" t="s">
        <v>10195</v>
      </c>
      <c r="N2353" s="8" t="s">
        <v>10858</v>
      </c>
      <c r="O2353" s="8">
        <f>7+13/60+5.7/3600</f>
        <v>7.2182500000000003</v>
      </c>
      <c r="P2353" s="8" t="s">
        <v>10859</v>
      </c>
      <c r="Q2353" s="8">
        <f>-(24+2/60+20/3600)</f>
        <v>-24.038888888888891</v>
      </c>
      <c r="R2353" s="8">
        <v>99</v>
      </c>
      <c r="S2353" s="8">
        <v>99</v>
      </c>
      <c r="T2353" s="8">
        <v>99</v>
      </c>
      <c r="U2353" s="8">
        <v>99</v>
      </c>
      <c r="V2353" s="8">
        <v>5</v>
      </c>
      <c r="Y2353" s="8" t="s">
        <v>10860</v>
      </c>
      <c r="Z2353" s="8" t="s">
        <v>10861</v>
      </c>
    </row>
    <row r="2354" spans="1:26" x14ac:dyDescent="0.2">
      <c r="A2354" s="8">
        <v>2353</v>
      </c>
      <c r="B2354" s="8" t="s">
        <v>10862</v>
      </c>
      <c r="C2354" s="8" t="s">
        <v>10862</v>
      </c>
      <c r="F2354" s="47" t="s">
        <v>56495</v>
      </c>
      <c r="G2354" s="8">
        <v>6</v>
      </c>
      <c r="H2354" s="8" t="s">
        <v>10863</v>
      </c>
      <c r="I2354" s="8" t="s">
        <v>557</v>
      </c>
      <c r="J2354" s="8" t="s">
        <v>557</v>
      </c>
      <c r="K2354" s="8" t="s">
        <v>558</v>
      </c>
      <c r="L2354" s="8" t="s">
        <v>9917</v>
      </c>
      <c r="M2354" s="8" t="s">
        <v>9918</v>
      </c>
      <c r="N2354" s="8" t="s">
        <v>10864</v>
      </c>
      <c r="O2354" s="8">
        <f>7+14/60+30.3/3600</f>
        <v>7.2417499999999997</v>
      </c>
      <c r="P2354" s="8" t="s">
        <v>10865</v>
      </c>
      <c r="Q2354" s="8">
        <f>-(10+15/60+57/3600)</f>
        <v>-10.265833333333333</v>
      </c>
      <c r="R2354" s="8">
        <v>7.1</v>
      </c>
      <c r="S2354" s="8">
        <v>99</v>
      </c>
      <c r="T2354" s="8">
        <v>99</v>
      </c>
      <c r="U2354" s="8">
        <v>99</v>
      </c>
      <c r="V2354" s="8">
        <v>18</v>
      </c>
      <c r="Y2354" s="8" t="s">
        <v>21</v>
      </c>
      <c r="Z2354" s="8" t="s">
        <v>10866</v>
      </c>
    </row>
    <row r="2355" spans="1:26" x14ac:dyDescent="0.2">
      <c r="A2355" s="8">
        <v>2354</v>
      </c>
      <c r="B2355" s="8" t="s">
        <v>10867</v>
      </c>
      <c r="C2355" s="8" t="s">
        <v>10867</v>
      </c>
      <c r="F2355" s="47" t="s">
        <v>56496</v>
      </c>
      <c r="G2355" s="8">
        <v>5</v>
      </c>
      <c r="H2355" s="8" t="s">
        <v>21</v>
      </c>
      <c r="I2355" s="8" t="s">
        <v>557</v>
      </c>
      <c r="J2355" s="8" t="s">
        <v>557</v>
      </c>
      <c r="K2355" s="8" t="s">
        <v>3217</v>
      </c>
      <c r="L2355" s="8" t="s">
        <v>10194</v>
      </c>
      <c r="M2355" s="8" t="s">
        <v>10195</v>
      </c>
      <c r="N2355" s="8" t="s">
        <v>10868</v>
      </c>
      <c r="O2355" s="8">
        <f>7+14/60+10/3600</f>
        <v>7.2361111111111116</v>
      </c>
      <c r="P2355" s="8" t="s">
        <v>10869</v>
      </c>
      <c r="Q2355" s="8">
        <f>-(25+41/60+24/3600)</f>
        <v>-25.69</v>
      </c>
      <c r="R2355" s="8">
        <v>6.5</v>
      </c>
      <c r="S2355" s="8">
        <v>99</v>
      </c>
      <c r="T2355" s="8">
        <v>99</v>
      </c>
      <c r="U2355" s="8">
        <v>99</v>
      </c>
      <c r="V2355" s="8">
        <v>18</v>
      </c>
      <c r="Y2355" s="8" t="s">
        <v>10870</v>
      </c>
      <c r="Z2355" s="8" t="s">
        <v>10871</v>
      </c>
    </row>
    <row r="2356" spans="1:26" x14ac:dyDescent="0.2">
      <c r="A2356" s="8">
        <v>2355</v>
      </c>
      <c r="B2356" s="8" t="s">
        <v>10872</v>
      </c>
      <c r="C2356" s="8" t="s">
        <v>10872</v>
      </c>
      <c r="F2356" s="47" t="s">
        <v>56497</v>
      </c>
      <c r="G2356" s="8">
        <v>6</v>
      </c>
      <c r="H2356" s="8" t="s">
        <v>21</v>
      </c>
      <c r="I2356" s="8" t="s">
        <v>557</v>
      </c>
      <c r="J2356" s="8" t="s">
        <v>557</v>
      </c>
      <c r="K2356" s="8" t="s">
        <v>558</v>
      </c>
      <c r="L2356" s="8" t="s">
        <v>9862</v>
      </c>
      <c r="M2356" s="8" t="s">
        <v>9863</v>
      </c>
      <c r="N2356" s="8" t="s">
        <v>10873</v>
      </c>
      <c r="O2356" s="8">
        <f>7+16/60+59.2/3600</f>
        <v>7.2831111111111113</v>
      </c>
      <c r="P2356" s="8" t="s">
        <v>10874</v>
      </c>
      <c r="Q2356" s="8">
        <f>+(13+45/60+0/3600)</f>
        <v>13.75</v>
      </c>
      <c r="R2356" s="8">
        <v>9.6999999999999993</v>
      </c>
      <c r="S2356" s="8">
        <v>99</v>
      </c>
      <c r="T2356" s="8">
        <v>99</v>
      </c>
      <c r="U2356" s="8">
        <v>99</v>
      </c>
      <c r="V2356" s="8">
        <v>8</v>
      </c>
      <c r="Y2356" s="8" t="s">
        <v>10875</v>
      </c>
      <c r="Z2356" s="8" t="s">
        <v>10876</v>
      </c>
    </row>
    <row r="2357" spans="1:26" x14ac:dyDescent="0.2">
      <c r="A2357" s="8">
        <v>2356</v>
      </c>
      <c r="B2357" s="8" t="s">
        <v>10877</v>
      </c>
      <c r="C2357" s="8" t="s">
        <v>10877</v>
      </c>
      <c r="F2357" s="47" t="s">
        <v>56498</v>
      </c>
      <c r="G2357" s="8">
        <v>15</v>
      </c>
      <c r="H2357" s="8" t="s">
        <v>21</v>
      </c>
      <c r="I2357" s="8" t="s">
        <v>557</v>
      </c>
      <c r="J2357" s="8" t="s">
        <v>57</v>
      </c>
      <c r="K2357" s="8" t="s">
        <v>558</v>
      </c>
      <c r="L2357" s="8" t="s">
        <v>9862</v>
      </c>
      <c r="M2357" s="8" t="s">
        <v>9863</v>
      </c>
      <c r="N2357" s="8" t="s">
        <v>10873</v>
      </c>
      <c r="O2357" s="8">
        <f>7+16/60+59.2/3600</f>
        <v>7.2831111111111113</v>
      </c>
      <c r="P2357" s="8" t="s">
        <v>10874</v>
      </c>
      <c r="Q2357" s="8">
        <f>+(13+45/60+0/3600)</f>
        <v>13.75</v>
      </c>
      <c r="R2357" s="8">
        <v>9.6999999999999993</v>
      </c>
      <c r="S2357" s="8">
        <v>99</v>
      </c>
      <c r="T2357" s="8">
        <v>99</v>
      </c>
      <c r="U2357" s="8">
        <v>99</v>
      </c>
      <c r="V2357" s="8">
        <v>8</v>
      </c>
      <c r="Y2357" s="8" t="s">
        <v>10878</v>
      </c>
      <c r="Z2357" s="8" t="s">
        <v>10879</v>
      </c>
    </row>
    <row r="2358" spans="1:26" x14ac:dyDescent="0.2">
      <c r="A2358" s="8">
        <v>2357</v>
      </c>
      <c r="B2358" s="8" t="s">
        <v>10880</v>
      </c>
      <c r="C2358" s="8" t="s">
        <v>10880</v>
      </c>
      <c r="F2358" s="47"/>
      <c r="G2358" s="8">
        <v>19</v>
      </c>
      <c r="H2358" s="8" t="s">
        <v>21</v>
      </c>
      <c r="I2358" s="8" t="s">
        <v>22</v>
      </c>
      <c r="J2358" s="8" t="s">
        <v>22</v>
      </c>
      <c r="K2358" s="8" t="s">
        <v>160</v>
      </c>
      <c r="L2358" s="8" t="s">
        <v>9862</v>
      </c>
      <c r="M2358" s="8" t="s">
        <v>9863</v>
      </c>
      <c r="N2358" s="8" t="s">
        <v>10881</v>
      </c>
      <c r="O2358" s="8">
        <f>7+17/60+40.9/3600</f>
        <v>7.2946944444444446</v>
      </c>
      <c r="P2358" s="8" t="s">
        <v>10882</v>
      </c>
      <c r="Q2358" s="8">
        <f>+(23+21/60+23/3600)</f>
        <v>23.35638888888889</v>
      </c>
      <c r="R2358" s="8">
        <v>13.3</v>
      </c>
      <c r="S2358" s="8">
        <v>14</v>
      </c>
      <c r="T2358" s="8">
        <v>0.7</v>
      </c>
      <c r="U2358" s="8">
        <v>13.8</v>
      </c>
      <c r="V2358" s="8">
        <v>3.6</v>
      </c>
      <c r="W2358" s="8">
        <v>0.5</v>
      </c>
      <c r="X2358" s="8">
        <v>122</v>
      </c>
      <c r="Y2358" s="8" t="s">
        <v>10883</v>
      </c>
      <c r="Z2358" s="8" t="s">
        <v>10884</v>
      </c>
    </row>
    <row r="2359" spans="1:26" x14ac:dyDescent="0.2">
      <c r="A2359" s="8">
        <v>2358</v>
      </c>
      <c r="B2359" s="8" t="s">
        <v>10885</v>
      </c>
      <c r="C2359" s="8" t="s">
        <v>10885</v>
      </c>
      <c r="F2359" s="47" t="s">
        <v>56499</v>
      </c>
      <c r="G2359" s="8">
        <v>15</v>
      </c>
      <c r="H2359" s="8" t="s">
        <v>21</v>
      </c>
      <c r="I2359" s="8" t="s">
        <v>557</v>
      </c>
      <c r="J2359" s="8" t="s">
        <v>557</v>
      </c>
      <c r="K2359" s="8" t="s">
        <v>557</v>
      </c>
      <c r="L2359" s="8" t="s">
        <v>10194</v>
      </c>
      <c r="M2359" s="8" t="s">
        <v>10195</v>
      </c>
      <c r="N2359" s="8" t="s">
        <v>10886</v>
      </c>
      <c r="O2359" s="8">
        <f>7+16/60+56.3/3600</f>
        <v>7.2823055555555554</v>
      </c>
      <c r="P2359" s="8" t="s">
        <v>10887</v>
      </c>
      <c r="Q2359" s="8">
        <f>-(17+7/60+0/3600)</f>
        <v>-17.116666666666667</v>
      </c>
      <c r="R2359" s="8">
        <v>99</v>
      </c>
      <c r="S2359" s="8">
        <v>99</v>
      </c>
      <c r="T2359" s="8">
        <v>99</v>
      </c>
      <c r="U2359" s="8">
        <v>99</v>
      </c>
      <c r="V2359" s="8">
        <v>8</v>
      </c>
      <c r="Y2359" s="8" t="s">
        <v>10888</v>
      </c>
      <c r="Z2359" s="8" t="s">
        <v>10889</v>
      </c>
    </row>
    <row r="2360" spans="1:26" x14ac:dyDescent="0.2">
      <c r="A2360" s="8">
        <v>2359</v>
      </c>
      <c r="B2360" s="8" t="s">
        <v>10890</v>
      </c>
      <c r="C2360" s="8" t="s">
        <v>10890</v>
      </c>
      <c r="F2360" s="47" t="s">
        <v>56500</v>
      </c>
      <c r="G2360" s="8">
        <v>6.5</v>
      </c>
      <c r="H2360" s="8" t="s">
        <v>10891</v>
      </c>
      <c r="I2360" s="8" t="s">
        <v>1283</v>
      </c>
      <c r="J2360" s="8" t="s">
        <v>1283</v>
      </c>
      <c r="K2360" s="8" t="s">
        <v>1284</v>
      </c>
      <c r="L2360" s="8" t="s">
        <v>10194</v>
      </c>
      <c r="M2360" s="8" t="s">
        <v>10195</v>
      </c>
      <c r="N2360" s="8" t="s">
        <v>10892</v>
      </c>
      <c r="O2360" s="8">
        <f>7+18/60+30/3600</f>
        <v>7.3083333333333336</v>
      </c>
      <c r="P2360" s="8" t="s">
        <v>10893</v>
      </c>
      <c r="Q2360" s="8">
        <f>-(13+15/60+50/3600)</f>
        <v>-13.263888888888889</v>
      </c>
      <c r="R2360" s="8">
        <v>99</v>
      </c>
      <c r="S2360" s="8">
        <v>99</v>
      </c>
      <c r="T2360" s="8">
        <v>99</v>
      </c>
      <c r="U2360" s="8">
        <v>99</v>
      </c>
      <c r="V2360" s="8">
        <v>6</v>
      </c>
      <c r="W2360" s="8">
        <v>4</v>
      </c>
      <c r="Y2360" s="8" t="s">
        <v>10875</v>
      </c>
      <c r="Z2360" s="8" t="s">
        <v>10894</v>
      </c>
    </row>
    <row r="2361" spans="1:26" x14ac:dyDescent="0.2">
      <c r="A2361" s="8">
        <v>2360</v>
      </c>
      <c r="B2361" s="8" t="s">
        <v>10895</v>
      </c>
      <c r="C2361" s="8" t="s">
        <v>10895</v>
      </c>
      <c r="F2361" s="47" t="s">
        <v>56501</v>
      </c>
      <c r="G2361" s="8">
        <v>2</v>
      </c>
      <c r="H2361" s="8" t="s">
        <v>10896</v>
      </c>
      <c r="I2361" s="8" t="s">
        <v>557</v>
      </c>
      <c r="J2361" s="8" t="s">
        <v>557</v>
      </c>
      <c r="K2361" s="8" t="s">
        <v>2722</v>
      </c>
      <c r="L2361" s="8" t="s">
        <v>10194</v>
      </c>
      <c r="M2361" s="8" t="s">
        <v>10195</v>
      </c>
      <c r="N2361" s="8" t="s">
        <v>10897</v>
      </c>
      <c r="O2361" s="8">
        <f>7+17/60+43.1/3600</f>
        <v>7.2953055555555553</v>
      </c>
      <c r="P2361" s="8" t="s">
        <v>10898</v>
      </c>
      <c r="Q2361" s="8">
        <f>-(15+38/60+29/3600)</f>
        <v>-15.641388888888889</v>
      </c>
      <c r="R2361" s="8">
        <v>7.2</v>
      </c>
      <c r="S2361" s="8">
        <v>99</v>
      </c>
      <c r="T2361" s="8">
        <v>99</v>
      </c>
      <c r="U2361" s="8">
        <v>99</v>
      </c>
      <c r="V2361" s="8">
        <v>14</v>
      </c>
      <c r="Y2361" s="8" t="s">
        <v>10899</v>
      </c>
      <c r="Z2361" s="8" t="s">
        <v>10900</v>
      </c>
    </row>
    <row r="2362" spans="1:26" x14ac:dyDescent="0.2">
      <c r="A2362" s="8">
        <v>2361</v>
      </c>
      <c r="B2362" s="8" t="s">
        <v>10901</v>
      </c>
      <c r="C2362" s="8" t="s">
        <v>10901</v>
      </c>
      <c r="F2362" s="47"/>
      <c r="G2362" s="8">
        <v>19</v>
      </c>
      <c r="H2362" s="8" t="s">
        <v>21</v>
      </c>
      <c r="I2362" s="8" t="s">
        <v>1283</v>
      </c>
      <c r="J2362" s="8" t="s">
        <v>1283</v>
      </c>
      <c r="K2362" s="8" t="s">
        <v>1284</v>
      </c>
      <c r="L2362" s="8" t="s">
        <v>10194</v>
      </c>
      <c r="M2362" s="8" t="s">
        <v>10195</v>
      </c>
      <c r="N2362" s="8" t="s">
        <v>10902</v>
      </c>
      <c r="O2362" s="8">
        <f>7+18/60+23.7/3600</f>
        <v>7.3065833333333332</v>
      </c>
      <c r="P2362" s="8" t="s">
        <v>10903</v>
      </c>
      <c r="Q2362" s="8">
        <f>-(13+12/60+32/3600)</f>
        <v>-13.208888888888888</v>
      </c>
      <c r="R2362" s="8">
        <v>99</v>
      </c>
      <c r="S2362" s="8">
        <v>99</v>
      </c>
      <c r="T2362" s="8">
        <v>99</v>
      </c>
      <c r="U2362" s="8">
        <v>99</v>
      </c>
      <c r="Y2362" s="8" t="s">
        <v>10904</v>
      </c>
      <c r="Z2362" s="8" t="s">
        <v>10905</v>
      </c>
    </row>
    <row r="2363" spans="1:26" x14ac:dyDescent="0.2">
      <c r="A2363" s="8">
        <v>2362</v>
      </c>
      <c r="B2363" s="8" t="s">
        <v>10906</v>
      </c>
      <c r="C2363" s="8" t="s">
        <v>10906</v>
      </c>
      <c r="F2363" s="47" t="s">
        <v>56502</v>
      </c>
      <c r="G2363" s="8">
        <v>2</v>
      </c>
      <c r="H2363" s="8" t="s">
        <v>10907</v>
      </c>
      <c r="I2363" s="8" t="s">
        <v>557</v>
      </c>
      <c r="J2363" s="8" t="s">
        <v>557</v>
      </c>
      <c r="K2363" s="8" t="s">
        <v>3082</v>
      </c>
      <c r="L2363" s="8" t="s">
        <v>10194</v>
      </c>
      <c r="M2363" s="8" t="s">
        <v>10195</v>
      </c>
      <c r="N2363" s="8" t="s">
        <v>10908</v>
      </c>
      <c r="O2363" s="8">
        <f>7+18/60+41.4/3600</f>
        <v>7.3114999999999997</v>
      </c>
      <c r="P2363" s="8" t="s">
        <v>10909</v>
      </c>
      <c r="Q2363" s="8">
        <f>-(24+57/60+15/3600)</f>
        <v>-24.954166666666666</v>
      </c>
      <c r="R2363" s="8">
        <v>3.8</v>
      </c>
      <c r="S2363" s="8">
        <v>99</v>
      </c>
      <c r="T2363" s="8">
        <v>99</v>
      </c>
      <c r="U2363" s="8">
        <v>99</v>
      </c>
      <c r="V2363" s="8">
        <v>6</v>
      </c>
      <c r="Y2363" s="8" t="s">
        <v>10875</v>
      </c>
      <c r="Z2363" s="8" t="s">
        <v>10910</v>
      </c>
    </row>
    <row r="2364" spans="1:26" x14ac:dyDescent="0.2">
      <c r="A2364" s="8">
        <v>2363</v>
      </c>
      <c r="B2364" s="8" t="s">
        <v>10911</v>
      </c>
      <c r="C2364" s="8" t="s">
        <v>10911</v>
      </c>
      <c r="F2364" s="47" t="s">
        <v>56503</v>
      </c>
      <c r="G2364" s="8">
        <v>18</v>
      </c>
      <c r="H2364" s="8" t="s">
        <v>21</v>
      </c>
      <c r="I2364" s="8" t="s">
        <v>1075</v>
      </c>
      <c r="J2364" s="8" t="s">
        <v>1075</v>
      </c>
      <c r="K2364" s="8" t="s">
        <v>1075</v>
      </c>
      <c r="L2364" s="8" t="s">
        <v>6823</v>
      </c>
      <c r="M2364" s="8" t="s">
        <v>6824</v>
      </c>
      <c r="N2364" s="8" t="s">
        <v>10912</v>
      </c>
      <c r="O2364" s="8">
        <f>7+28/60+29.9/3600</f>
        <v>7.4749722222222221</v>
      </c>
      <c r="P2364" s="8" t="s">
        <v>10913</v>
      </c>
      <c r="Q2364" s="8">
        <f>+(69+11/60+34/3600)</f>
        <v>69.192777777777778</v>
      </c>
      <c r="R2364" s="8">
        <v>13</v>
      </c>
      <c r="S2364" s="8">
        <v>13.6</v>
      </c>
      <c r="T2364" s="8">
        <v>0.6</v>
      </c>
      <c r="U2364" s="8">
        <v>13.4</v>
      </c>
      <c r="V2364" s="8">
        <v>1.6</v>
      </c>
      <c r="W2364" s="8">
        <v>1</v>
      </c>
      <c r="X2364" s="8">
        <v>20</v>
      </c>
      <c r="Y2364" s="8" t="s">
        <v>21</v>
      </c>
      <c r="Z2364" s="8" t="s">
        <v>10914</v>
      </c>
    </row>
    <row r="2365" spans="1:26" x14ac:dyDescent="0.2">
      <c r="A2365" s="8">
        <v>2364</v>
      </c>
      <c r="B2365" s="8" t="s">
        <v>10915</v>
      </c>
      <c r="C2365" s="8" t="s">
        <v>10915</v>
      </c>
      <c r="F2365" s="47"/>
      <c r="G2365" s="8">
        <v>16</v>
      </c>
      <c r="H2365" s="8" t="s">
        <v>21</v>
      </c>
      <c r="I2365" s="8" t="s">
        <v>557</v>
      </c>
      <c r="J2365" s="8" t="s">
        <v>557</v>
      </c>
      <c r="K2365" s="8" t="s">
        <v>557</v>
      </c>
      <c r="L2365" s="8" t="s">
        <v>9917</v>
      </c>
      <c r="M2365" s="8" t="s">
        <v>9918</v>
      </c>
      <c r="N2365" s="8" t="s">
        <v>10916</v>
      </c>
      <c r="O2365" s="8">
        <f>7+20/60+46.4/3600</f>
        <v>7.346222222222222</v>
      </c>
      <c r="P2365" s="8" t="s">
        <v>10917</v>
      </c>
      <c r="Q2365" s="8">
        <f>-(7+32/60+58/3600)</f>
        <v>-7.5494444444444442</v>
      </c>
      <c r="R2365" s="8">
        <v>99</v>
      </c>
      <c r="S2365" s="8">
        <v>99</v>
      </c>
      <c r="T2365" s="8">
        <v>99</v>
      </c>
      <c r="U2365" s="8">
        <v>99</v>
      </c>
      <c r="Y2365" s="8" t="s">
        <v>10918</v>
      </c>
      <c r="Z2365" s="8" t="s">
        <v>10919</v>
      </c>
    </row>
    <row r="2366" spans="1:26" x14ac:dyDescent="0.2">
      <c r="A2366" s="8">
        <v>2365</v>
      </c>
      <c r="B2366" s="8" t="s">
        <v>10920</v>
      </c>
      <c r="C2366" s="8" t="s">
        <v>10920</v>
      </c>
      <c r="F2366" s="47"/>
      <c r="G2366" s="8">
        <v>18</v>
      </c>
      <c r="H2366" s="8" t="s">
        <v>21</v>
      </c>
      <c r="I2366" s="8" t="s">
        <v>22</v>
      </c>
      <c r="J2366" s="8" t="s">
        <v>22</v>
      </c>
      <c r="K2366" s="8" t="s">
        <v>154</v>
      </c>
      <c r="L2366" s="8" t="s">
        <v>9862</v>
      </c>
      <c r="M2366" s="8" t="s">
        <v>9863</v>
      </c>
      <c r="N2366" s="8" t="s">
        <v>10921</v>
      </c>
      <c r="O2366" s="8">
        <f>7+22/60+22.3/3600</f>
        <v>7.3728611111111109</v>
      </c>
      <c r="P2366" s="8" t="s">
        <v>10922</v>
      </c>
      <c r="Q2366" s="8">
        <f>+(22+5/60+0/3600)</f>
        <v>22.083333333333332</v>
      </c>
      <c r="R2366" s="8">
        <v>12.4</v>
      </c>
      <c r="S2366" s="8">
        <v>13.3</v>
      </c>
      <c r="T2366" s="8">
        <v>0.9</v>
      </c>
      <c r="U2366" s="8">
        <v>13.7</v>
      </c>
      <c r="V2366" s="8">
        <v>2.8</v>
      </c>
      <c r="W2366" s="8">
        <v>1.4</v>
      </c>
      <c r="X2366" s="8">
        <v>170</v>
      </c>
      <c r="Y2366" s="8" t="s">
        <v>10923</v>
      </c>
      <c r="Z2366" s="8" t="s">
        <v>10924</v>
      </c>
    </row>
    <row r="2367" spans="1:26" x14ac:dyDescent="0.2">
      <c r="A2367" s="8">
        <v>2366</v>
      </c>
      <c r="B2367" s="8" t="s">
        <v>10925</v>
      </c>
      <c r="C2367" s="8" t="s">
        <v>10925</v>
      </c>
      <c r="F2367" s="47" t="s">
        <v>56503</v>
      </c>
      <c r="G2367" s="8">
        <v>6.5</v>
      </c>
      <c r="H2367" s="8" t="s">
        <v>21</v>
      </c>
      <c r="I2367" s="8" t="s">
        <v>22</v>
      </c>
      <c r="J2367" s="8" t="s">
        <v>22</v>
      </c>
      <c r="K2367" s="8" t="s">
        <v>107</v>
      </c>
      <c r="L2367" s="8" t="s">
        <v>6823</v>
      </c>
      <c r="M2367" s="8" t="s">
        <v>6824</v>
      </c>
      <c r="N2367" s="8" t="s">
        <v>10926</v>
      </c>
      <c r="O2367" s="8">
        <f>7+28/60+54.8/3600</f>
        <v>7.4818888888888893</v>
      </c>
      <c r="P2367" s="8" t="s">
        <v>10927</v>
      </c>
      <c r="Q2367" s="8">
        <f>+(69+12/60+58/3600)</f>
        <v>69.216111111111118</v>
      </c>
      <c r="R2367" s="8">
        <v>11.1</v>
      </c>
      <c r="S2367" s="8">
        <v>11.5</v>
      </c>
      <c r="T2367" s="8">
        <v>0.4</v>
      </c>
      <c r="U2367" s="8">
        <v>14.5</v>
      </c>
      <c r="V2367" s="8">
        <v>8.1</v>
      </c>
      <c r="W2367" s="8">
        <v>3</v>
      </c>
      <c r="X2367" s="8">
        <v>25</v>
      </c>
      <c r="Y2367" s="8" t="s">
        <v>21</v>
      </c>
      <c r="Z2367" s="8" t="s">
        <v>10928</v>
      </c>
    </row>
    <row r="2368" spans="1:26" x14ac:dyDescent="0.2">
      <c r="A2368" s="8">
        <v>2367</v>
      </c>
      <c r="B2368" s="8" t="s">
        <v>10929</v>
      </c>
      <c r="C2368" s="8" t="s">
        <v>10929</v>
      </c>
      <c r="F2368" s="47" t="s">
        <v>56504</v>
      </c>
      <c r="G2368" s="8">
        <v>6.5</v>
      </c>
      <c r="H2368" s="8" t="s">
        <v>10930</v>
      </c>
      <c r="I2368" s="8" t="s">
        <v>557</v>
      </c>
      <c r="J2368" s="8" t="s">
        <v>557</v>
      </c>
      <c r="K2368" s="8" t="s">
        <v>779</v>
      </c>
      <c r="L2368" s="8" t="s">
        <v>10194</v>
      </c>
      <c r="M2368" s="8" t="s">
        <v>10195</v>
      </c>
      <c r="N2368" s="8" t="s">
        <v>10931</v>
      </c>
      <c r="O2368" s="8">
        <f>7+20/60+6/3600</f>
        <v>7.335</v>
      </c>
      <c r="P2368" s="8" t="s">
        <v>10932</v>
      </c>
      <c r="Q2368" s="8">
        <f>-(21+52/60+54/3600)</f>
        <v>-21.881666666666668</v>
      </c>
      <c r="R2368" s="8">
        <v>7.9</v>
      </c>
      <c r="S2368" s="8">
        <v>99</v>
      </c>
      <c r="T2368" s="8">
        <v>99</v>
      </c>
      <c r="U2368" s="8">
        <v>99</v>
      </c>
      <c r="V2368" s="8">
        <v>5</v>
      </c>
      <c r="Y2368" s="8" t="s">
        <v>10933</v>
      </c>
      <c r="Z2368" s="8" t="s">
        <v>10934</v>
      </c>
    </row>
    <row r="2369" spans="1:26" x14ac:dyDescent="0.2">
      <c r="A2369" s="8">
        <v>2368</v>
      </c>
      <c r="B2369" s="8" t="s">
        <v>10935</v>
      </c>
      <c r="C2369" s="8" t="s">
        <v>10935</v>
      </c>
      <c r="F2369" s="47"/>
      <c r="G2369" s="8">
        <v>14</v>
      </c>
      <c r="H2369" s="8" t="s">
        <v>21</v>
      </c>
      <c r="I2369" s="8" t="s">
        <v>557</v>
      </c>
      <c r="J2369" s="8" t="s">
        <v>557</v>
      </c>
      <c r="K2369" s="8" t="s">
        <v>693</v>
      </c>
      <c r="L2369" s="8" t="s">
        <v>9917</v>
      </c>
      <c r="M2369" s="8" t="s">
        <v>9918</v>
      </c>
      <c r="N2369" s="8" t="s">
        <v>10936</v>
      </c>
      <c r="O2369" s="8">
        <f>7+21/60+2.2/3600</f>
        <v>7.3506111111111103</v>
      </c>
      <c r="P2369" s="8" t="s">
        <v>10937</v>
      </c>
      <c r="Q2369" s="8">
        <f>-(10+22/60+28/3600)</f>
        <v>-10.374444444444444</v>
      </c>
      <c r="R2369" s="8">
        <v>11.8</v>
      </c>
      <c r="S2369" s="8">
        <v>99</v>
      </c>
      <c r="T2369" s="8">
        <v>99</v>
      </c>
      <c r="U2369" s="8">
        <v>99</v>
      </c>
      <c r="V2369" s="8">
        <v>3</v>
      </c>
      <c r="Y2369" s="8" t="s">
        <v>10938</v>
      </c>
      <c r="Z2369" s="8" t="s">
        <v>10939</v>
      </c>
    </row>
    <row r="2370" spans="1:26" x14ac:dyDescent="0.2">
      <c r="A2370" s="8">
        <v>2369</v>
      </c>
      <c r="B2370" s="8" t="s">
        <v>10940</v>
      </c>
      <c r="C2370" s="8" t="s">
        <v>10940</v>
      </c>
      <c r="F2370" s="47"/>
      <c r="G2370" s="8">
        <v>13</v>
      </c>
      <c r="H2370" s="8" t="s">
        <v>21</v>
      </c>
      <c r="I2370" s="8" t="s">
        <v>22</v>
      </c>
      <c r="J2370" s="8" t="s">
        <v>22</v>
      </c>
      <c r="K2370" s="8" t="s">
        <v>154</v>
      </c>
      <c r="L2370" s="8" t="s">
        <v>10135</v>
      </c>
      <c r="M2370" s="8" t="s">
        <v>10136</v>
      </c>
      <c r="N2370" s="8" t="s">
        <v>10941</v>
      </c>
      <c r="O2370" s="8">
        <f>7+16/60+37.7/3600</f>
        <v>7.2771388888888886</v>
      </c>
      <c r="P2370" s="8" t="s">
        <v>10942</v>
      </c>
      <c r="Q2370" s="8">
        <f>-(62+20/60+38/3600)</f>
        <v>-62.343888888888891</v>
      </c>
      <c r="R2370" s="8">
        <v>12.3</v>
      </c>
      <c r="S2370" s="8">
        <v>13.2</v>
      </c>
      <c r="T2370" s="8">
        <v>0.9</v>
      </c>
      <c r="U2370" s="8">
        <v>13.6</v>
      </c>
      <c r="V2370" s="8">
        <v>3.5</v>
      </c>
      <c r="W2370" s="8">
        <v>1.1000000000000001</v>
      </c>
      <c r="X2370" s="8">
        <v>177</v>
      </c>
      <c r="Y2370" s="8" t="s">
        <v>10943</v>
      </c>
      <c r="Z2370" s="8" t="s">
        <v>10944</v>
      </c>
    </row>
    <row r="2371" spans="1:26" x14ac:dyDescent="0.2">
      <c r="A2371" s="8">
        <v>2370</v>
      </c>
      <c r="B2371" s="8" t="s">
        <v>10945</v>
      </c>
      <c r="C2371" s="8" t="s">
        <v>10945</v>
      </c>
      <c r="F2371" s="47"/>
      <c r="G2371" s="8">
        <v>18</v>
      </c>
      <c r="H2371" s="8" t="s">
        <v>21</v>
      </c>
      <c r="I2371" s="8" t="s">
        <v>22</v>
      </c>
      <c r="J2371" s="8" t="s">
        <v>22</v>
      </c>
      <c r="K2371" s="8" t="s">
        <v>64</v>
      </c>
      <c r="L2371" s="8" t="s">
        <v>9862</v>
      </c>
      <c r="M2371" s="8" t="s">
        <v>9863</v>
      </c>
      <c r="N2371" s="8" t="s">
        <v>10946</v>
      </c>
      <c r="O2371" s="8">
        <f>7+25/60+1.5/3600</f>
        <v>7.4170833333333333</v>
      </c>
      <c r="P2371" s="8" t="s">
        <v>10947</v>
      </c>
      <c r="Q2371" s="8">
        <f>+(23+47/60+1/3600)</f>
        <v>23.783611111111114</v>
      </c>
      <c r="R2371" s="8">
        <v>13.7</v>
      </c>
      <c r="S2371" s="8">
        <v>14.4</v>
      </c>
      <c r="T2371" s="8">
        <v>0.7</v>
      </c>
      <c r="U2371" s="8">
        <v>12.6</v>
      </c>
      <c r="V2371" s="8">
        <v>0.8</v>
      </c>
      <c r="W2371" s="8">
        <v>0.5</v>
      </c>
      <c r="X2371" s="8">
        <v>43</v>
      </c>
      <c r="Y2371" s="8" t="s">
        <v>10948</v>
      </c>
      <c r="Z2371" s="8" t="s">
        <v>10949</v>
      </c>
    </row>
    <row r="2372" spans="1:26" x14ac:dyDescent="0.2">
      <c r="A2372" s="8">
        <v>2371</v>
      </c>
      <c r="B2372" s="8" t="s">
        <v>10950</v>
      </c>
      <c r="C2372" s="8" t="s">
        <v>10950</v>
      </c>
      <c r="F2372" s="47" t="s">
        <v>56505</v>
      </c>
      <c r="G2372" s="8">
        <v>5</v>
      </c>
      <c r="H2372" s="8" t="s">
        <v>10951</v>
      </c>
      <c r="I2372" s="8" t="s">
        <v>241</v>
      </c>
      <c r="J2372" s="8" t="s">
        <v>241</v>
      </c>
      <c r="K2372" s="8" t="s">
        <v>241</v>
      </c>
      <c r="L2372" s="8" t="s">
        <v>9862</v>
      </c>
      <c r="M2372" s="8" t="s">
        <v>9863</v>
      </c>
      <c r="N2372" s="8" t="s">
        <v>10952</v>
      </c>
      <c r="O2372" s="8">
        <f>7+25/60+33.9/3600</f>
        <v>7.4260833333333336</v>
      </c>
      <c r="P2372" s="8" t="s">
        <v>10953</v>
      </c>
      <c r="Q2372" s="8">
        <f>+(29+29/60+18/3600)</f>
        <v>29.488333333333333</v>
      </c>
      <c r="R2372" s="8">
        <v>11.2</v>
      </c>
      <c r="S2372" s="8">
        <v>13</v>
      </c>
      <c r="T2372" s="8">
        <v>99</v>
      </c>
      <c r="U2372" s="8">
        <v>99</v>
      </c>
      <c r="V2372" s="8">
        <v>1.03</v>
      </c>
      <c r="Y2372" s="8" t="s">
        <v>10954</v>
      </c>
      <c r="Z2372" s="8" t="s">
        <v>10955</v>
      </c>
    </row>
    <row r="2373" spans="1:26" x14ac:dyDescent="0.2">
      <c r="A2373" s="8">
        <v>2372</v>
      </c>
      <c r="B2373" s="8" t="s">
        <v>10956</v>
      </c>
      <c r="C2373" s="8" t="s">
        <v>10956</v>
      </c>
      <c r="F2373" s="47" t="s">
        <v>56506</v>
      </c>
      <c r="G2373" s="8">
        <v>6</v>
      </c>
      <c r="H2373" s="8" t="s">
        <v>21</v>
      </c>
      <c r="I2373" s="8" t="s">
        <v>241</v>
      </c>
      <c r="J2373" s="8" t="s">
        <v>57</v>
      </c>
      <c r="K2373" s="8" t="s">
        <v>241</v>
      </c>
      <c r="L2373" s="8" t="s">
        <v>9862</v>
      </c>
      <c r="M2373" s="8" t="s">
        <v>9863</v>
      </c>
      <c r="N2373" s="8" t="s">
        <v>10952</v>
      </c>
      <c r="O2373" s="8">
        <f>7+25/60+33.9/3600</f>
        <v>7.4260833333333336</v>
      </c>
      <c r="P2373" s="8" t="s">
        <v>10953</v>
      </c>
      <c r="Q2373" s="8">
        <f>+(29+29/60+18/3600)</f>
        <v>29.488333333333333</v>
      </c>
      <c r="R2373" s="8">
        <v>11.2</v>
      </c>
      <c r="S2373" s="8">
        <v>13</v>
      </c>
      <c r="T2373" s="8">
        <v>99</v>
      </c>
      <c r="U2373" s="8">
        <v>99</v>
      </c>
      <c r="V2373" s="8">
        <v>1.03</v>
      </c>
      <c r="Y2373" s="8" t="s">
        <v>10954</v>
      </c>
      <c r="Z2373" s="8" t="s">
        <v>10957</v>
      </c>
    </row>
    <row r="2374" spans="1:26" x14ac:dyDescent="0.2">
      <c r="A2374" s="8">
        <v>2373</v>
      </c>
      <c r="B2374" s="8" t="s">
        <v>10958</v>
      </c>
      <c r="C2374" s="8" t="s">
        <v>10958</v>
      </c>
      <c r="F2374" s="47"/>
      <c r="G2374" s="8">
        <v>18</v>
      </c>
      <c r="H2374" s="8" t="s">
        <v>21</v>
      </c>
      <c r="I2374" s="8" t="s">
        <v>22</v>
      </c>
      <c r="J2374" s="8" t="s">
        <v>22</v>
      </c>
      <c r="K2374" s="8" t="s">
        <v>396</v>
      </c>
      <c r="L2374" s="8" t="s">
        <v>9862</v>
      </c>
      <c r="M2374" s="8" t="s">
        <v>9863</v>
      </c>
      <c r="N2374" s="8" t="s">
        <v>10959</v>
      </c>
      <c r="O2374" s="8">
        <f>7+26/60+36.9/3600</f>
        <v>7.4435833333333337</v>
      </c>
      <c r="P2374" s="8" t="s">
        <v>10960</v>
      </c>
      <c r="Q2374" s="8">
        <f>+(33+49/60+27/3600)</f>
        <v>33.82416666666667</v>
      </c>
      <c r="R2374" s="8">
        <v>13.8</v>
      </c>
      <c r="S2374" s="8">
        <v>14.6</v>
      </c>
      <c r="T2374" s="8">
        <v>0.8</v>
      </c>
      <c r="U2374" s="8">
        <v>12.3</v>
      </c>
      <c r="V2374" s="8">
        <v>0.6</v>
      </c>
      <c r="W2374" s="8">
        <v>0.5</v>
      </c>
      <c r="X2374" s="8">
        <v>159</v>
      </c>
      <c r="Y2374" s="8" t="s">
        <v>21</v>
      </c>
      <c r="Z2374" s="8" t="s">
        <v>10961</v>
      </c>
    </row>
    <row r="2375" spans="1:26" x14ac:dyDescent="0.2">
      <c r="A2375" s="8">
        <v>2374</v>
      </c>
      <c r="B2375" s="8" t="s">
        <v>10962</v>
      </c>
      <c r="C2375" s="8" t="s">
        <v>10962</v>
      </c>
      <c r="F2375" s="47" t="s">
        <v>56507</v>
      </c>
      <c r="G2375" s="8">
        <v>6.5</v>
      </c>
      <c r="H2375" s="8" t="s">
        <v>21</v>
      </c>
      <c r="I2375" s="8" t="s">
        <v>557</v>
      </c>
      <c r="J2375" s="8" t="s">
        <v>557</v>
      </c>
      <c r="K2375" s="8" t="s">
        <v>1840</v>
      </c>
      <c r="L2375" s="8" t="s">
        <v>10194</v>
      </c>
      <c r="M2375" s="8" t="s">
        <v>10195</v>
      </c>
      <c r="N2375" s="8" t="s">
        <v>10963</v>
      </c>
      <c r="O2375" s="8">
        <f>7+23/60+56/3600</f>
        <v>7.3988888888888891</v>
      </c>
      <c r="P2375" s="8" t="s">
        <v>10964</v>
      </c>
      <c r="Q2375" s="8">
        <f>-(13+15/60+48/3600)</f>
        <v>-13.263333333333334</v>
      </c>
      <c r="R2375" s="8">
        <v>8</v>
      </c>
      <c r="S2375" s="8">
        <v>99</v>
      </c>
      <c r="T2375" s="8">
        <v>99</v>
      </c>
      <c r="U2375" s="8">
        <v>99</v>
      </c>
      <c r="V2375" s="8">
        <v>12</v>
      </c>
      <c r="Y2375" s="8" t="s">
        <v>10965</v>
      </c>
      <c r="Z2375" s="8" t="s">
        <v>7354</v>
      </c>
    </row>
    <row r="2376" spans="1:26" x14ac:dyDescent="0.2">
      <c r="A2376" s="8">
        <v>2375</v>
      </c>
      <c r="B2376" s="8" t="s">
        <v>10966</v>
      </c>
      <c r="C2376" s="8" t="s">
        <v>10966</v>
      </c>
      <c r="F2376" s="47"/>
      <c r="G2376" s="8">
        <v>18</v>
      </c>
      <c r="H2376" s="8" t="s">
        <v>21</v>
      </c>
      <c r="I2376" s="8" t="s">
        <v>22</v>
      </c>
      <c r="J2376" s="8" t="s">
        <v>22</v>
      </c>
      <c r="K2376" s="8" t="s">
        <v>218</v>
      </c>
      <c r="L2376" s="8" t="s">
        <v>9862</v>
      </c>
      <c r="M2376" s="8" t="s">
        <v>9863</v>
      </c>
      <c r="N2376" s="8" t="s">
        <v>10967</v>
      </c>
      <c r="O2376" s="8">
        <f>7+27/60+9.4/3600</f>
        <v>7.4526111111111115</v>
      </c>
      <c r="P2376" s="8" t="s">
        <v>10968</v>
      </c>
      <c r="Q2376" s="8">
        <f>+(33+49/60+57/3600)</f>
        <v>33.832500000000003</v>
      </c>
      <c r="R2376" s="8">
        <v>13.6</v>
      </c>
      <c r="S2376" s="8">
        <v>14.4</v>
      </c>
      <c r="T2376" s="8">
        <v>0.8</v>
      </c>
      <c r="U2376" s="8">
        <v>13.8</v>
      </c>
      <c r="V2376" s="8">
        <v>1.3</v>
      </c>
      <c r="W2376" s="8">
        <v>1</v>
      </c>
      <c r="X2376" s="8">
        <v>170</v>
      </c>
      <c r="Y2376" s="8" t="s">
        <v>21</v>
      </c>
      <c r="Z2376" s="8" t="s">
        <v>10969</v>
      </c>
    </row>
    <row r="2377" spans="1:26" x14ac:dyDescent="0.2">
      <c r="A2377" s="8">
        <v>2376</v>
      </c>
      <c r="B2377" s="8" t="s">
        <v>10970</v>
      </c>
      <c r="C2377" s="8" t="s">
        <v>10970</v>
      </c>
      <c r="F2377" s="47"/>
      <c r="G2377" s="8">
        <v>18</v>
      </c>
      <c r="H2377" s="8" t="s">
        <v>21</v>
      </c>
      <c r="I2377" s="8" t="s">
        <v>22</v>
      </c>
      <c r="J2377" s="8" t="s">
        <v>22</v>
      </c>
      <c r="K2377" s="8" t="s">
        <v>396</v>
      </c>
      <c r="L2377" s="8" t="s">
        <v>9862</v>
      </c>
      <c r="M2377" s="8" t="s">
        <v>9863</v>
      </c>
      <c r="N2377" s="8" t="s">
        <v>10971</v>
      </c>
      <c r="O2377" s="8">
        <f>7+26/60+35.9/3600</f>
        <v>7.4433055555555558</v>
      </c>
      <c r="P2377" s="8" t="s">
        <v>10972</v>
      </c>
      <c r="Q2377" s="8">
        <f>+(23+4/60+24/3600)</f>
        <v>23.073333333333334</v>
      </c>
      <c r="R2377" s="8">
        <v>14.4</v>
      </c>
      <c r="S2377" s="8">
        <v>15.2</v>
      </c>
      <c r="T2377" s="8">
        <v>0.8</v>
      </c>
      <c r="U2377" s="8">
        <v>13.1</v>
      </c>
      <c r="V2377" s="8">
        <v>0.6</v>
      </c>
      <c r="W2377" s="8">
        <v>0.6</v>
      </c>
      <c r="Y2377" s="8" t="s">
        <v>266</v>
      </c>
      <c r="Z2377" s="8" t="s">
        <v>267</v>
      </c>
    </row>
    <row r="2378" spans="1:26" x14ac:dyDescent="0.2">
      <c r="A2378" s="8">
        <v>2377</v>
      </c>
      <c r="B2378" s="8" t="s">
        <v>10973</v>
      </c>
      <c r="C2378" s="8" t="s">
        <v>10973</v>
      </c>
      <c r="F2378" s="47"/>
      <c r="G2378" s="8">
        <v>18</v>
      </c>
      <c r="H2378" s="8" t="s">
        <v>21</v>
      </c>
      <c r="I2378" s="8" t="s">
        <v>22</v>
      </c>
      <c r="J2378" s="8" t="s">
        <v>22</v>
      </c>
      <c r="K2378" s="8" t="s">
        <v>160</v>
      </c>
      <c r="L2378" s="8" t="s">
        <v>9917</v>
      </c>
      <c r="M2378" s="8" t="s">
        <v>9918</v>
      </c>
      <c r="N2378" s="8" t="s">
        <v>10974</v>
      </c>
      <c r="O2378" s="8">
        <f>7+24/60+56.7/3600</f>
        <v>7.4157500000000001</v>
      </c>
      <c r="P2378" s="8" t="s">
        <v>10975</v>
      </c>
      <c r="Q2378" s="8">
        <f>-(9+39/60+38/3600)</f>
        <v>-9.6605555555555558</v>
      </c>
      <c r="R2378" s="8">
        <v>12.7</v>
      </c>
      <c r="S2378" s="8">
        <v>13.5</v>
      </c>
      <c r="T2378" s="8">
        <v>0.8</v>
      </c>
      <c r="U2378" s="8">
        <v>13.4</v>
      </c>
      <c r="V2378" s="8">
        <v>1.7</v>
      </c>
      <c r="W2378" s="8">
        <v>1.3</v>
      </c>
      <c r="X2378" s="8">
        <v>170</v>
      </c>
      <c r="Y2378" s="8" t="s">
        <v>10976</v>
      </c>
      <c r="Z2378" s="8" t="s">
        <v>10977</v>
      </c>
    </row>
    <row r="2379" spans="1:26" x14ac:dyDescent="0.2">
      <c r="A2379" s="8">
        <v>2378</v>
      </c>
      <c r="B2379" s="8" t="s">
        <v>10978</v>
      </c>
      <c r="C2379" s="8" t="s">
        <v>10978</v>
      </c>
      <c r="F2379" s="47"/>
      <c r="G2379" s="8">
        <v>19</v>
      </c>
      <c r="H2379" s="8" t="s">
        <v>21</v>
      </c>
      <c r="I2379" s="8" t="s">
        <v>72</v>
      </c>
      <c r="J2379" s="8" t="s">
        <v>72</v>
      </c>
      <c r="K2379" s="8" t="s">
        <v>73</v>
      </c>
      <c r="L2379" s="8" t="s">
        <v>9862</v>
      </c>
      <c r="M2379" s="8" t="s">
        <v>9863</v>
      </c>
      <c r="N2379" s="8" t="s">
        <v>10979</v>
      </c>
      <c r="O2379" s="8">
        <f>7+27/60+23.9/3600</f>
        <v>7.4566388888888895</v>
      </c>
      <c r="P2379" s="8" t="s">
        <v>10980</v>
      </c>
      <c r="Q2379" s="8">
        <f>+(33+49/60+55/3600)</f>
        <v>33.831944444444446</v>
      </c>
      <c r="R2379" s="8">
        <v>99</v>
      </c>
      <c r="S2379" s="8">
        <v>99</v>
      </c>
      <c r="T2379" s="8">
        <v>99</v>
      </c>
      <c r="U2379" s="8">
        <v>99</v>
      </c>
      <c r="Y2379" s="8" t="s">
        <v>21</v>
      </c>
      <c r="Z2379" s="8" t="s">
        <v>10981</v>
      </c>
    </row>
    <row r="2380" spans="1:26" x14ac:dyDescent="0.2">
      <c r="A2380" s="8">
        <v>2379</v>
      </c>
      <c r="B2380" s="8" t="s">
        <v>10982</v>
      </c>
      <c r="C2380" s="8" t="s">
        <v>10982</v>
      </c>
      <c r="F2380" s="47"/>
      <c r="G2380" s="8">
        <v>16</v>
      </c>
      <c r="H2380" s="8" t="s">
        <v>21</v>
      </c>
      <c r="I2380" s="8" t="s">
        <v>22</v>
      </c>
      <c r="J2380" s="8" t="s">
        <v>22</v>
      </c>
      <c r="K2380" s="8" t="s">
        <v>37</v>
      </c>
      <c r="L2380" s="8" t="s">
        <v>9862</v>
      </c>
      <c r="M2380" s="8" t="s">
        <v>9863</v>
      </c>
      <c r="N2380" s="8" t="s">
        <v>10983</v>
      </c>
      <c r="O2380" s="8">
        <f>7+27/60+26.2/3600</f>
        <v>7.4572777777777777</v>
      </c>
      <c r="P2380" s="8" t="s">
        <v>10984</v>
      </c>
      <c r="Q2380" s="8">
        <f>+(33+48/60+43/3600)</f>
        <v>33.811944444444443</v>
      </c>
      <c r="R2380" s="8">
        <v>13.5</v>
      </c>
      <c r="S2380" s="8">
        <v>14.5</v>
      </c>
      <c r="T2380" s="8">
        <v>1</v>
      </c>
      <c r="U2380" s="8">
        <v>12.9</v>
      </c>
      <c r="V2380" s="8">
        <v>0.9</v>
      </c>
      <c r="W2380" s="8">
        <v>0.8</v>
      </c>
      <c r="X2380" s="8">
        <v>127</v>
      </c>
      <c r="Y2380" s="8" t="s">
        <v>21</v>
      </c>
      <c r="Z2380" s="8" t="s">
        <v>10985</v>
      </c>
    </row>
    <row r="2381" spans="1:26" x14ac:dyDescent="0.2">
      <c r="A2381" s="8">
        <v>2380</v>
      </c>
      <c r="B2381" s="8" t="s">
        <v>10986</v>
      </c>
      <c r="C2381" s="8" t="s">
        <v>10986</v>
      </c>
      <c r="F2381" s="47"/>
      <c r="G2381" s="8">
        <v>16</v>
      </c>
      <c r="H2381" s="8" t="s">
        <v>21</v>
      </c>
      <c r="I2381" s="8" t="s">
        <v>22</v>
      </c>
      <c r="J2381" s="8" t="s">
        <v>57</v>
      </c>
      <c r="K2381" s="8" t="s">
        <v>224</v>
      </c>
      <c r="L2381" s="8" t="s">
        <v>10194</v>
      </c>
      <c r="M2381" s="8" t="s">
        <v>10195</v>
      </c>
      <c r="N2381" s="8" t="s">
        <v>10987</v>
      </c>
      <c r="O2381" s="8">
        <f>7+23/60+54.5/3600</f>
        <v>7.3984722222222228</v>
      </c>
      <c r="P2381" s="8" t="s">
        <v>10988</v>
      </c>
      <c r="Q2381" s="8">
        <f>-(27+31/60+43/3600)</f>
        <v>-27.528611111111111</v>
      </c>
      <c r="R2381" s="8">
        <v>11.2</v>
      </c>
      <c r="S2381" s="8">
        <v>12.3</v>
      </c>
      <c r="T2381" s="8">
        <v>1.1000000000000001</v>
      </c>
      <c r="U2381" s="8">
        <v>12.5</v>
      </c>
      <c r="V2381" s="8">
        <v>2.1</v>
      </c>
      <c r="W2381" s="8">
        <v>2</v>
      </c>
      <c r="X2381" s="8">
        <v>168</v>
      </c>
      <c r="Y2381" s="8" t="s">
        <v>10989</v>
      </c>
      <c r="Z2381" s="8" t="s">
        <v>10990</v>
      </c>
    </row>
    <row r="2382" spans="1:26" x14ac:dyDescent="0.2">
      <c r="A2382" s="8">
        <v>2381</v>
      </c>
      <c r="B2382" s="8" t="s">
        <v>10991</v>
      </c>
      <c r="C2382" s="8" t="s">
        <v>10991</v>
      </c>
      <c r="F2382" s="47"/>
      <c r="G2382" s="8">
        <v>16</v>
      </c>
      <c r="H2382" s="8" t="s">
        <v>21</v>
      </c>
      <c r="I2382" s="8" t="s">
        <v>22</v>
      </c>
      <c r="J2382" s="8" t="s">
        <v>22</v>
      </c>
      <c r="K2382" s="8" t="s">
        <v>154</v>
      </c>
      <c r="L2382" s="8" t="s">
        <v>10135</v>
      </c>
      <c r="M2382" s="8" t="s">
        <v>10136</v>
      </c>
      <c r="N2382" s="8" t="s">
        <v>10992</v>
      </c>
      <c r="O2382" s="8">
        <f>7+19/60+57.4/3600</f>
        <v>7.3326111111111105</v>
      </c>
      <c r="P2382" s="8" t="s">
        <v>10993</v>
      </c>
      <c r="Q2382" s="8">
        <f>-(63+4/60+1/3600)</f>
        <v>-63.066944444444445</v>
      </c>
      <c r="R2382" s="8">
        <v>12.8</v>
      </c>
      <c r="S2382" s="8">
        <v>13.6</v>
      </c>
      <c r="T2382" s="8">
        <v>0.8</v>
      </c>
      <c r="U2382" s="8">
        <v>13.5</v>
      </c>
      <c r="V2382" s="8">
        <v>1.4</v>
      </c>
      <c r="W2382" s="8">
        <v>1.4</v>
      </c>
      <c r="Y2382" s="8" t="s">
        <v>10994</v>
      </c>
      <c r="Z2382" s="8" t="s">
        <v>10995</v>
      </c>
    </row>
    <row r="2383" spans="1:26" x14ac:dyDescent="0.2">
      <c r="A2383" s="8">
        <v>2382</v>
      </c>
      <c r="B2383" s="8" t="s">
        <v>10996</v>
      </c>
      <c r="C2383" s="8" t="s">
        <v>10996</v>
      </c>
      <c r="F2383" s="47"/>
      <c r="G2383" s="8">
        <v>16</v>
      </c>
      <c r="H2383" s="8" t="s">
        <v>21</v>
      </c>
      <c r="I2383" s="8" t="s">
        <v>22</v>
      </c>
      <c r="J2383" s="8" t="s">
        <v>22</v>
      </c>
      <c r="K2383" s="8" t="s">
        <v>224</v>
      </c>
      <c r="L2383" s="8" t="s">
        <v>10194</v>
      </c>
      <c r="M2383" s="8" t="s">
        <v>10195</v>
      </c>
      <c r="N2383" s="8" t="s">
        <v>10987</v>
      </c>
      <c r="O2383" s="8">
        <f>7+23/60+54.5/3600</f>
        <v>7.3984722222222228</v>
      </c>
      <c r="P2383" s="8" t="s">
        <v>10988</v>
      </c>
      <c r="Q2383" s="8">
        <f>-(27+31/60+43/3600)</f>
        <v>-27.528611111111111</v>
      </c>
      <c r="R2383" s="8">
        <v>11.2</v>
      </c>
      <c r="S2383" s="8">
        <v>12.3</v>
      </c>
      <c r="T2383" s="8">
        <v>1.1000000000000001</v>
      </c>
      <c r="U2383" s="8">
        <v>12.5</v>
      </c>
      <c r="V2383" s="8">
        <v>2.1</v>
      </c>
      <c r="W2383" s="8">
        <v>2</v>
      </c>
      <c r="X2383" s="8">
        <v>168</v>
      </c>
      <c r="Y2383" s="8" t="s">
        <v>3034</v>
      </c>
      <c r="Z2383" s="8" t="s">
        <v>1899</v>
      </c>
    </row>
    <row r="2384" spans="1:26" x14ac:dyDescent="0.2">
      <c r="A2384" s="8">
        <v>2383</v>
      </c>
      <c r="B2384" s="8" t="s">
        <v>10997</v>
      </c>
      <c r="C2384" s="8" t="s">
        <v>10997</v>
      </c>
      <c r="F2384" s="47"/>
      <c r="G2384" s="8">
        <v>11</v>
      </c>
      <c r="H2384" s="8" t="s">
        <v>21</v>
      </c>
      <c r="I2384" s="8" t="s">
        <v>557</v>
      </c>
      <c r="J2384" s="8" t="s">
        <v>557</v>
      </c>
      <c r="K2384" s="8" t="s">
        <v>2158</v>
      </c>
      <c r="L2384" s="8" t="s">
        <v>10194</v>
      </c>
      <c r="M2384" s="8" t="s">
        <v>10195</v>
      </c>
      <c r="N2384" s="8" t="s">
        <v>10998</v>
      </c>
      <c r="O2384" s="8">
        <f>7+24/60+39.9/3600</f>
        <v>7.4110833333333339</v>
      </c>
      <c r="P2384" s="8" t="s">
        <v>10999</v>
      </c>
      <c r="Q2384" s="8">
        <f>-(20+56/60+51/3600)</f>
        <v>-20.947500000000002</v>
      </c>
      <c r="R2384" s="8">
        <v>8.4</v>
      </c>
      <c r="S2384" s="8">
        <v>99</v>
      </c>
      <c r="T2384" s="8">
        <v>99</v>
      </c>
      <c r="U2384" s="8">
        <v>99</v>
      </c>
      <c r="V2384" s="8">
        <v>5</v>
      </c>
      <c r="Y2384" s="8" t="s">
        <v>11000</v>
      </c>
      <c r="Z2384" s="8" t="s">
        <v>11001</v>
      </c>
    </row>
    <row r="2385" spans="1:26" x14ac:dyDescent="0.2">
      <c r="A2385" s="8">
        <v>2384</v>
      </c>
      <c r="B2385" s="8" t="s">
        <v>11002</v>
      </c>
      <c r="C2385" s="8" t="s">
        <v>11002</v>
      </c>
      <c r="F2385" s="47"/>
      <c r="G2385" s="8">
        <v>14</v>
      </c>
      <c r="H2385" s="8" t="s">
        <v>21</v>
      </c>
      <c r="I2385" s="8" t="s">
        <v>557</v>
      </c>
      <c r="J2385" s="8" t="s">
        <v>557</v>
      </c>
      <c r="K2385" s="8" t="s">
        <v>779</v>
      </c>
      <c r="L2385" s="8" t="s">
        <v>10194</v>
      </c>
      <c r="M2385" s="8" t="s">
        <v>10195</v>
      </c>
      <c r="N2385" s="8" t="s">
        <v>11003</v>
      </c>
      <c r="O2385" s="8">
        <f>7+25/60+10/3600</f>
        <v>7.4194444444444452</v>
      </c>
      <c r="P2385" s="8" t="s">
        <v>11004</v>
      </c>
      <c r="Q2385" s="8">
        <f>-(21+1/60+18/3600)</f>
        <v>-21.021666666666665</v>
      </c>
      <c r="R2385" s="8">
        <v>7.4</v>
      </c>
      <c r="S2385" s="8">
        <v>99</v>
      </c>
      <c r="T2385" s="8">
        <v>99</v>
      </c>
      <c r="U2385" s="8">
        <v>99</v>
      </c>
      <c r="V2385" s="8">
        <v>5</v>
      </c>
      <c r="Y2385" s="8" t="s">
        <v>21</v>
      </c>
      <c r="Z2385" s="8" t="s">
        <v>11005</v>
      </c>
    </row>
    <row r="2386" spans="1:26" x14ac:dyDescent="0.2">
      <c r="A2386" s="8">
        <v>2385</v>
      </c>
      <c r="B2386" s="8" t="s">
        <v>11006</v>
      </c>
      <c r="C2386" s="8" t="s">
        <v>11006</v>
      </c>
      <c r="F2386" s="47" t="s">
        <v>56508</v>
      </c>
      <c r="G2386" s="8">
        <v>15</v>
      </c>
      <c r="H2386" s="8" t="s">
        <v>21</v>
      </c>
      <c r="I2386" s="8" t="s">
        <v>22</v>
      </c>
      <c r="J2386" s="8" t="s">
        <v>22</v>
      </c>
      <c r="K2386" s="8" t="s">
        <v>476</v>
      </c>
      <c r="L2386" s="8" t="s">
        <v>9862</v>
      </c>
      <c r="M2386" s="8" t="s">
        <v>9863</v>
      </c>
      <c r="N2386" s="8" t="s">
        <v>11007</v>
      </c>
      <c r="O2386" s="8">
        <f>7+28/60+28.2/3600</f>
        <v>7.4744999999999999</v>
      </c>
      <c r="P2386" s="8" t="s">
        <v>11008</v>
      </c>
      <c r="Q2386" s="8">
        <f>+(33+50/60+17/3600)</f>
        <v>33.838055555555556</v>
      </c>
      <c r="R2386" s="8">
        <v>13.9</v>
      </c>
      <c r="S2386" s="8">
        <v>14.8</v>
      </c>
      <c r="T2386" s="8">
        <v>0.9</v>
      </c>
      <c r="U2386" s="8">
        <v>13.4</v>
      </c>
      <c r="V2386" s="8">
        <v>1</v>
      </c>
      <c r="W2386" s="8">
        <v>0.7</v>
      </c>
      <c r="X2386" s="8">
        <v>54</v>
      </c>
      <c r="Y2386" s="8" t="s">
        <v>115</v>
      </c>
      <c r="Z2386" s="8" t="s">
        <v>116</v>
      </c>
    </row>
    <row r="2387" spans="1:26" x14ac:dyDescent="0.2">
      <c r="A2387" s="8">
        <v>2386</v>
      </c>
      <c r="B2387" s="8" t="s">
        <v>11009</v>
      </c>
      <c r="C2387" s="8" t="s">
        <v>11009</v>
      </c>
      <c r="F2387" s="47"/>
      <c r="G2387" s="8">
        <v>18</v>
      </c>
      <c r="H2387" s="8" t="s">
        <v>21</v>
      </c>
      <c r="I2387" s="8" t="s">
        <v>72</v>
      </c>
      <c r="J2387" s="8" t="s">
        <v>72</v>
      </c>
      <c r="K2387" s="8" t="s">
        <v>73</v>
      </c>
      <c r="L2387" s="8" t="s">
        <v>9862</v>
      </c>
      <c r="M2387" s="8" t="s">
        <v>9863</v>
      </c>
      <c r="N2387" s="8" t="s">
        <v>11010</v>
      </c>
      <c r="O2387" s="8">
        <f>7+28/60+38.1/3600</f>
        <v>7.4772499999999997</v>
      </c>
      <c r="P2387" s="8" t="s">
        <v>11011</v>
      </c>
      <c r="Q2387" s="8">
        <f>+(33+46/60+35/3600)</f>
        <v>33.776388888888889</v>
      </c>
      <c r="R2387" s="8">
        <v>99</v>
      </c>
      <c r="S2387" s="8">
        <v>99</v>
      </c>
      <c r="T2387" s="8">
        <v>99</v>
      </c>
      <c r="U2387" s="8">
        <v>99</v>
      </c>
      <c r="Y2387" s="8" t="s">
        <v>1588</v>
      </c>
      <c r="Z2387" s="8" t="s">
        <v>1589</v>
      </c>
    </row>
    <row r="2388" spans="1:26" x14ac:dyDescent="0.2">
      <c r="A2388" s="8">
        <v>2387</v>
      </c>
      <c r="B2388" s="8" t="s">
        <v>11012</v>
      </c>
      <c r="C2388" s="8" t="s">
        <v>11012</v>
      </c>
      <c r="F2388" s="47" t="s">
        <v>56509</v>
      </c>
      <c r="G2388" s="8">
        <v>15</v>
      </c>
      <c r="H2388" s="8" t="s">
        <v>21</v>
      </c>
      <c r="I2388" s="8" t="s">
        <v>72</v>
      </c>
      <c r="J2388" s="8" t="s">
        <v>72</v>
      </c>
      <c r="K2388" s="8" t="s">
        <v>73</v>
      </c>
      <c r="L2388" s="8" t="s">
        <v>7717</v>
      </c>
      <c r="M2388" s="8" t="s">
        <v>7718</v>
      </c>
      <c r="N2388" s="8" t="s">
        <v>11013</v>
      </c>
      <c r="O2388" s="8">
        <f>7+29/60+26.1/3600</f>
        <v>7.4905833333333334</v>
      </c>
      <c r="P2388" s="8" t="s">
        <v>11014</v>
      </c>
      <c r="Q2388" s="8">
        <f>+(36+46/60+8/3600)</f>
        <v>36.768888888888888</v>
      </c>
      <c r="R2388" s="8">
        <v>99</v>
      </c>
      <c r="S2388" s="8">
        <v>99</v>
      </c>
      <c r="T2388" s="8">
        <v>99</v>
      </c>
      <c r="U2388" s="8">
        <v>99</v>
      </c>
      <c r="Y2388" s="8" t="s">
        <v>11015</v>
      </c>
      <c r="Z2388" s="8" t="s">
        <v>11016</v>
      </c>
    </row>
    <row r="2389" spans="1:26" x14ac:dyDescent="0.2">
      <c r="A2389" s="8">
        <v>2388</v>
      </c>
      <c r="B2389" s="8" t="s">
        <v>11017</v>
      </c>
      <c r="C2389" s="8" t="s">
        <v>11017</v>
      </c>
      <c r="F2389" s="47" t="s">
        <v>56510</v>
      </c>
      <c r="G2389" s="8">
        <v>15</v>
      </c>
      <c r="H2389" s="8" t="s">
        <v>21</v>
      </c>
      <c r="I2389" s="8" t="s">
        <v>22</v>
      </c>
      <c r="J2389" s="8" t="s">
        <v>22</v>
      </c>
      <c r="K2389" s="8" t="s">
        <v>449</v>
      </c>
      <c r="L2389" s="8" t="s">
        <v>9862</v>
      </c>
      <c r="M2389" s="8" t="s">
        <v>9863</v>
      </c>
      <c r="N2389" s="8" t="s">
        <v>11018</v>
      </c>
      <c r="O2389" s="8">
        <f>7+28/60+53.5/3600</f>
        <v>7.481527777777778</v>
      </c>
      <c r="P2389" s="8" t="s">
        <v>11019</v>
      </c>
      <c r="Q2389" s="8">
        <f>+(33+49/60+8/3600)</f>
        <v>33.818888888888893</v>
      </c>
      <c r="R2389" s="8">
        <v>13.8</v>
      </c>
      <c r="S2389" s="8">
        <v>14.6</v>
      </c>
      <c r="T2389" s="8">
        <v>0.8</v>
      </c>
      <c r="U2389" s="8">
        <v>13.1</v>
      </c>
      <c r="V2389" s="8">
        <v>1</v>
      </c>
      <c r="W2389" s="8">
        <v>0.6</v>
      </c>
      <c r="X2389" s="8">
        <v>65</v>
      </c>
      <c r="Y2389" s="8" t="s">
        <v>2248</v>
      </c>
      <c r="Z2389" s="8" t="s">
        <v>2249</v>
      </c>
    </row>
    <row r="2390" spans="1:26" x14ac:dyDescent="0.2">
      <c r="A2390" s="8">
        <v>2389</v>
      </c>
      <c r="B2390" s="8" t="s">
        <v>11020</v>
      </c>
      <c r="C2390" s="8" t="s">
        <v>11020</v>
      </c>
      <c r="F2390" s="47" t="s">
        <v>56511</v>
      </c>
      <c r="G2390" s="8">
        <v>15</v>
      </c>
      <c r="H2390" s="8" t="s">
        <v>21</v>
      </c>
      <c r="I2390" s="8" t="s">
        <v>22</v>
      </c>
      <c r="J2390" s="8" t="s">
        <v>22</v>
      </c>
      <c r="K2390" s="8" t="s">
        <v>64</v>
      </c>
      <c r="L2390" s="8" t="s">
        <v>9862</v>
      </c>
      <c r="M2390" s="8" t="s">
        <v>9863</v>
      </c>
      <c r="N2390" s="8" t="s">
        <v>11021</v>
      </c>
      <c r="O2390" s="8">
        <f>7+29/60+4.8/3600</f>
        <v>7.4846666666666666</v>
      </c>
      <c r="P2390" s="8" t="s">
        <v>11022</v>
      </c>
      <c r="Q2390" s="8">
        <f>+(33+51/60+39/3600)</f>
        <v>33.860833333333332</v>
      </c>
      <c r="R2390" s="8">
        <v>12.9</v>
      </c>
      <c r="S2390" s="8">
        <v>13.4</v>
      </c>
      <c r="T2390" s="8">
        <v>0.5</v>
      </c>
      <c r="U2390" s="8">
        <v>13.9</v>
      </c>
      <c r="V2390" s="8">
        <v>2</v>
      </c>
      <c r="W2390" s="8">
        <v>1.4</v>
      </c>
      <c r="X2390" s="8">
        <v>83</v>
      </c>
      <c r="Y2390" s="8" t="s">
        <v>11023</v>
      </c>
      <c r="Z2390" s="8" t="s">
        <v>11024</v>
      </c>
    </row>
    <row r="2391" spans="1:26" x14ac:dyDescent="0.2">
      <c r="A2391" s="8">
        <v>2390</v>
      </c>
      <c r="B2391" s="8" t="s">
        <v>11025</v>
      </c>
      <c r="C2391" s="8" t="s">
        <v>11025</v>
      </c>
      <c r="F2391" s="47"/>
      <c r="G2391" s="8">
        <v>18</v>
      </c>
      <c r="H2391" s="8" t="s">
        <v>21</v>
      </c>
      <c r="I2391" s="8" t="s">
        <v>72</v>
      </c>
      <c r="J2391" s="8" t="s">
        <v>72</v>
      </c>
      <c r="K2391" s="8" t="s">
        <v>20</v>
      </c>
      <c r="L2391" s="8" t="s">
        <v>9862</v>
      </c>
      <c r="M2391" s="8" t="s">
        <v>9863</v>
      </c>
      <c r="N2391" s="8" t="s">
        <v>11026</v>
      </c>
      <c r="O2391" s="8">
        <f>7+29/60+4.2/3600</f>
        <v>7.4844999999999997</v>
      </c>
      <c r="P2391" s="8" t="s">
        <v>11027</v>
      </c>
      <c r="Q2391" s="8">
        <f>+(33+50/60+13/3600)</f>
        <v>33.836944444444448</v>
      </c>
      <c r="R2391" s="8">
        <v>99</v>
      </c>
      <c r="S2391" s="8">
        <v>13.9</v>
      </c>
      <c r="T2391" s="8">
        <v>99</v>
      </c>
      <c r="U2391" s="8">
        <v>99</v>
      </c>
      <c r="Y2391" s="8" t="s">
        <v>297</v>
      </c>
      <c r="Z2391" s="8" t="s">
        <v>298</v>
      </c>
    </row>
    <row r="2392" spans="1:26" x14ac:dyDescent="0.2">
      <c r="A2392" s="8">
        <v>2391</v>
      </c>
      <c r="B2392" s="8" t="s">
        <v>11028</v>
      </c>
      <c r="C2392" s="8" t="s">
        <v>11028</v>
      </c>
      <c r="F2392" s="47"/>
      <c r="G2392" s="8">
        <v>18</v>
      </c>
      <c r="H2392" s="8" t="s">
        <v>21</v>
      </c>
      <c r="I2392" s="8" t="s">
        <v>72</v>
      </c>
      <c r="J2392" s="8" t="s">
        <v>72</v>
      </c>
      <c r="K2392" s="8" t="s">
        <v>20</v>
      </c>
      <c r="L2392" s="8" t="s">
        <v>9862</v>
      </c>
      <c r="M2392" s="8" t="s">
        <v>9863</v>
      </c>
      <c r="N2392" s="8" t="s">
        <v>11029</v>
      </c>
      <c r="O2392" s="8">
        <f>7+29/60+7.6/3600</f>
        <v>7.4854444444444441</v>
      </c>
      <c r="P2392" s="8" t="s">
        <v>11030</v>
      </c>
      <c r="Q2392" s="8">
        <f>+(33+49/60+33/3600)</f>
        <v>33.825833333333335</v>
      </c>
      <c r="R2392" s="8">
        <v>99</v>
      </c>
      <c r="S2392" s="8">
        <v>15.2</v>
      </c>
      <c r="T2392" s="8">
        <v>99</v>
      </c>
      <c r="U2392" s="8">
        <v>99</v>
      </c>
      <c r="Y2392" s="8" t="s">
        <v>47</v>
      </c>
      <c r="Z2392" s="8" t="s">
        <v>48</v>
      </c>
    </row>
    <row r="2393" spans="1:26" x14ac:dyDescent="0.2">
      <c r="A2393" s="8">
        <v>2392</v>
      </c>
      <c r="B2393" s="8" t="s">
        <v>11031</v>
      </c>
      <c r="C2393" s="8" t="s">
        <v>11031</v>
      </c>
      <c r="F2393" s="47" t="s">
        <v>56512</v>
      </c>
      <c r="G2393" s="8">
        <v>2</v>
      </c>
      <c r="H2393" s="8" t="s">
        <v>11032</v>
      </c>
      <c r="I2393" s="8" t="s">
        <v>241</v>
      </c>
      <c r="J2393" s="8" t="s">
        <v>241</v>
      </c>
      <c r="K2393" s="8" t="s">
        <v>241</v>
      </c>
      <c r="L2393" s="8" t="s">
        <v>9862</v>
      </c>
      <c r="M2393" s="8" t="s">
        <v>9863</v>
      </c>
      <c r="N2393" s="8" t="s">
        <v>11033</v>
      </c>
      <c r="O2393" s="8">
        <f>7+29/60+10.8/3600</f>
        <v>7.4863333333333335</v>
      </c>
      <c r="P2393" s="8" t="s">
        <v>11034</v>
      </c>
      <c r="Q2393" s="8">
        <f>+(20+54/60+45/3600)</f>
        <v>20.912499999999998</v>
      </c>
      <c r="R2393" s="8">
        <v>9.1</v>
      </c>
      <c r="S2393" s="8">
        <v>9.9</v>
      </c>
      <c r="T2393" s="8">
        <v>99</v>
      </c>
      <c r="U2393" s="8">
        <v>99</v>
      </c>
      <c r="V2393" s="8">
        <v>0.9</v>
      </c>
      <c r="Y2393" s="8" t="s">
        <v>11035</v>
      </c>
      <c r="Z2393" s="8" t="s">
        <v>11036</v>
      </c>
    </row>
    <row r="2394" spans="1:26" x14ac:dyDescent="0.2">
      <c r="A2394" s="8">
        <v>2393</v>
      </c>
      <c r="B2394" s="8" t="s">
        <v>11037</v>
      </c>
      <c r="C2394" s="8" t="s">
        <v>11037</v>
      </c>
      <c r="F2394" s="47"/>
      <c r="G2394" s="8">
        <v>19</v>
      </c>
      <c r="H2394" s="8" t="s">
        <v>21</v>
      </c>
      <c r="I2394" s="8" t="s">
        <v>22</v>
      </c>
      <c r="J2394" s="8" t="s">
        <v>22</v>
      </c>
      <c r="K2394" s="8" t="s">
        <v>160</v>
      </c>
      <c r="L2394" s="8" t="s">
        <v>9862</v>
      </c>
      <c r="M2394" s="8" t="s">
        <v>9863</v>
      </c>
      <c r="N2394" s="8" t="s">
        <v>11038</v>
      </c>
      <c r="O2394" s="8">
        <f>7+30/60+4.9/3600</f>
        <v>7.5013611111111107</v>
      </c>
      <c r="P2394" s="8" t="s">
        <v>11039</v>
      </c>
      <c r="Q2394" s="8">
        <f>+(34+1/60+40/3600)</f>
        <v>34.027777777777779</v>
      </c>
      <c r="R2394" s="8">
        <v>14</v>
      </c>
      <c r="S2394" s="8">
        <v>14.7</v>
      </c>
      <c r="T2394" s="8">
        <v>0.7</v>
      </c>
      <c r="U2394" s="8">
        <v>13.8</v>
      </c>
      <c r="V2394" s="8">
        <v>1.2</v>
      </c>
      <c r="W2394" s="8">
        <v>0.8</v>
      </c>
      <c r="X2394" s="8">
        <v>103</v>
      </c>
      <c r="Y2394" s="8" t="s">
        <v>11040</v>
      </c>
      <c r="Z2394" s="8" t="s">
        <v>11041</v>
      </c>
    </row>
    <row r="2395" spans="1:26" x14ac:dyDescent="0.2">
      <c r="A2395" s="8">
        <v>2394</v>
      </c>
      <c r="B2395" s="8" t="s">
        <v>11042</v>
      </c>
      <c r="C2395" s="8" t="s">
        <v>11042</v>
      </c>
      <c r="F2395" s="47" t="s">
        <v>56513</v>
      </c>
      <c r="G2395" s="8">
        <v>12</v>
      </c>
      <c r="H2395" s="8" t="s">
        <v>21</v>
      </c>
      <c r="I2395" s="8" t="s">
        <v>72</v>
      </c>
      <c r="J2395" s="8" t="s">
        <v>72</v>
      </c>
      <c r="K2395" s="8" t="s">
        <v>1405</v>
      </c>
      <c r="L2395" s="8" t="s">
        <v>10848</v>
      </c>
      <c r="M2395" s="8" t="s">
        <v>10849</v>
      </c>
      <c r="N2395" s="8" t="s">
        <v>11043</v>
      </c>
      <c r="O2395" s="8">
        <f>7+28/60+36.5/3600</f>
        <v>7.4768055555555559</v>
      </c>
      <c r="P2395" s="8" t="s">
        <v>11044</v>
      </c>
      <c r="Q2395" s="8">
        <f>+(7+5/60+14/3600)</f>
        <v>7.0872222222222216</v>
      </c>
      <c r="R2395" s="8">
        <v>99</v>
      </c>
      <c r="S2395" s="8">
        <v>99</v>
      </c>
      <c r="T2395" s="8">
        <v>99</v>
      </c>
      <c r="U2395" s="8">
        <v>99</v>
      </c>
      <c r="Y2395" s="8" t="s">
        <v>11045</v>
      </c>
      <c r="Z2395" s="8" t="s">
        <v>11046</v>
      </c>
    </row>
    <row r="2396" spans="1:26" x14ac:dyDescent="0.2">
      <c r="A2396" s="8">
        <v>2395</v>
      </c>
      <c r="B2396" s="8" t="s">
        <v>11047</v>
      </c>
      <c r="C2396" s="8" t="s">
        <v>11047</v>
      </c>
      <c r="F2396" s="47" t="s">
        <v>56514</v>
      </c>
      <c r="G2396" s="8">
        <v>6</v>
      </c>
      <c r="H2396" s="8" t="s">
        <v>21</v>
      </c>
      <c r="I2396" s="8" t="s">
        <v>557</v>
      </c>
      <c r="J2396" s="8" t="s">
        <v>557</v>
      </c>
      <c r="K2396" s="8" t="s">
        <v>1168</v>
      </c>
      <c r="L2396" s="8" t="s">
        <v>9862</v>
      </c>
      <c r="M2396" s="8" t="s">
        <v>9863</v>
      </c>
      <c r="N2396" s="8" t="s">
        <v>11048</v>
      </c>
      <c r="O2396" s="8">
        <f>7+27/60+12.8/3600</f>
        <v>7.4535555555555559</v>
      </c>
      <c r="P2396" s="8" t="s">
        <v>11049</v>
      </c>
      <c r="Q2396" s="8">
        <f>+(13+36/60+30/3600)</f>
        <v>13.608333333333333</v>
      </c>
      <c r="R2396" s="8">
        <v>8</v>
      </c>
      <c r="S2396" s="8">
        <v>99</v>
      </c>
      <c r="T2396" s="8">
        <v>99</v>
      </c>
      <c r="U2396" s="8">
        <v>99</v>
      </c>
      <c r="V2396" s="8">
        <v>15</v>
      </c>
      <c r="Y2396" s="8" t="s">
        <v>11050</v>
      </c>
      <c r="Z2396" s="8" t="s">
        <v>11051</v>
      </c>
    </row>
    <row r="2397" spans="1:26" x14ac:dyDescent="0.2">
      <c r="A2397" s="8">
        <v>2396</v>
      </c>
      <c r="B2397" s="8" t="s">
        <v>11052</v>
      </c>
      <c r="C2397" s="8" t="s">
        <v>11052</v>
      </c>
      <c r="F2397" s="47" t="s">
        <v>56515</v>
      </c>
      <c r="G2397" s="8">
        <v>6.5</v>
      </c>
      <c r="H2397" s="8" t="s">
        <v>21</v>
      </c>
      <c r="I2397" s="8" t="s">
        <v>557</v>
      </c>
      <c r="J2397" s="8" t="s">
        <v>557</v>
      </c>
      <c r="K2397" s="8" t="s">
        <v>6255</v>
      </c>
      <c r="L2397" s="8" t="s">
        <v>10175</v>
      </c>
      <c r="M2397" s="8" t="s">
        <v>10176</v>
      </c>
      <c r="N2397" s="8" t="s">
        <v>11053</v>
      </c>
      <c r="O2397" s="8">
        <f>7+28/60+0/3600</f>
        <v>7.4666666666666668</v>
      </c>
      <c r="P2397" s="8" t="s">
        <v>11054</v>
      </c>
      <c r="Q2397" s="8">
        <f>-(11+43/60+0/3600)</f>
        <v>-11.716666666666667</v>
      </c>
      <c r="R2397" s="8">
        <v>7.4</v>
      </c>
      <c r="S2397" s="8">
        <v>99</v>
      </c>
      <c r="T2397" s="8">
        <v>99</v>
      </c>
      <c r="U2397" s="8">
        <v>99</v>
      </c>
      <c r="V2397" s="8">
        <v>10</v>
      </c>
      <c r="Y2397" s="8" t="s">
        <v>11055</v>
      </c>
      <c r="Z2397" s="8" t="s">
        <v>11056</v>
      </c>
    </row>
    <row r="2398" spans="1:26" x14ac:dyDescent="0.2">
      <c r="A2398" s="8">
        <v>2397</v>
      </c>
      <c r="B2398" s="8" t="s">
        <v>11057</v>
      </c>
      <c r="C2398" s="8" t="s">
        <v>11057</v>
      </c>
      <c r="F2398" s="47"/>
      <c r="G2398" s="8">
        <v>13</v>
      </c>
      <c r="H2398" s="8" t="s">
        <v>21</v>
      </c>
      <c r="I2398" s="8" t="s">
        <v>22</v>
      </c>
      <c r="J2398" s="8" t="s">
        <v>22</v>
      </c>
      <c r="K2398" s="8" t="s">
        <v>23</v>
      </c>
      <c r="L2398" s="8" t="s">
        <v>10656</v>
      </c>
      <c r="M2398" s="8" t="s">
        <v>10657</v>
      </c>
      <c r="N2398" s="8" t="s">
        <v>11058</v>
      </c>
      <c r="O2398" s="8">
        <f>7+21/60+19.5/3600</f>
        <v>7.3554166666666667</v>
      </c>
      <c r="P2398" s="8" t="s">
        <v>11059</v>
      </c>
      <c r="Q2398" s="8">
        <f>-(69+0/60+5/3600)</f>
        <v>-69.001388888888883</v>
      </c>
      <c r="R2398" s="8">
        <v>11.8</v>
      </c>
      <c r="S2398" s="8">
        <v>12.7</v>
      </c>
      <c r="T2398" s="8">
        <v>0.9</v>
      </c>
      <c r="U2398" s="8">
        <v>12.8</v>
      </c>
      <c r="V2398" s="8">
        <v>2.5</v>
      </c>
      <c r="W2398" s="8">
        <v>1.2</v>
      </c>
      <c r="X2398" s="8">
        <v>123</v>
      </c>
      <c r="Y2398" s="8" t="s">
        <v>21</v>
      </c>
      <c r="Z2398" s="8" t="s">
        <v>11060</v>
      </c>
    </row>
    <row r="2399" spans="1:26" x14ac:dyDescent="0.2">
      <c r="A2399" s="8">
        <v>2398</v>
      </c>
      <c r="B2399" s="8" t="s">
        <v>11061</v>
      </c>
      <c r="C2399" s="8" t="s">
        <v>11061</v>
      </c>
      <c r="E2399" s="8">
        <v>1</v>
      </c>
      <c r="F2399" s="47"/>
      <c r="G2399" s="8">
        <v>19</v>
      </c>
      <c r="H2399" s="8" t="s">
        <v>21</v>
      </c>
      <c r="I2399" s="8" t="s">
        <v>22</v>
      </c>
      <c r="J2399" s="8" t="s">
        <v>22</v>
      </c>
      <c r="K2399" s="8" t="s">
        <v>476</v>
      </c>
      <c r="L2399" s="8" t="s">
        <v>9862</v>
      </c>
      <c r="M2399" s="8" t="s">
        <v>9863</v>
      </c>
      <c r="N2399" s="8" t="s">
        <v>11062</v>
      </c>
      <c r="O2399" s="8">
        <f>7+30/60+16.2/3600</f>
        <v>7.5045000000000002</v>
      </c>
      <c r="P2399" s="8" t="s">
        <v>11063</v>
      </c>
      <c r="Q2399" s="8">
        <f>+(24+29/60+17/3600)</f>
        <v>24.488055555555558</v>
      </c>
      <c r="R2399" s="8">
        <v>13.9</v>
      </c>
      <c r="S2399" s="8">
        <v>14.8</v>
      </c>
      <c r="T2399" s="8">
        <v>0.9</v>
      </c>
      <c r="U2399" s="8">
        <v>11.7</v>
      </c>
      <c r="V2399" s="8">
        <v>0.4</v>
      </c>
      <c r="W2399" s="8">
        <v>0.3</v>
      </c>
      <c r="X2399" s="8">
        <v>150</v>
      </c>
      <c r="Y2399" s="8" t="s">
        <v>11064</v>
      </c>
      <c r="Z2399" s="8" t="s">
        <v>11065</v>
      </c>
    </row>
    <row r="2400" spans="1:26" x14ac:dyDescent="0.2">
      <c r="A2400" s="8">
        <v>2399</v>
      </c>
      <c r="B2400" s="8" t="s">
        <v>11066</v>
      </c>
      <c r="C2400" s="8" t="s">
        <v>11066</v>
      </c>
      <c r="F2400" s="47"/>
      <c r="G2400" s="8">
        <v>17</v>
      </c>
      <c r="H2400" s="8" t="s">
        <v>21</v>
      </c>
      <c r="I2400" s="8" t="s">
        <v>72</v>
      </c>
      <c r="J2400" s="8" t="s">
        <v>72</v>
      </c>
      <c r="K2400" s="8" t="s">
        <v>1802</v>
      </c>
      <c r="L2400" s="8" t="s">
        <v>10848</v>
      </c>
      <c r="M2400" s="8" t="s">
        <v>10849</v>
      </c>
      <c r="N2400" s="8" t="s">
        <v>11067</v>
      </c>
      <c r="O2400" s="8">
        <f>7+29/60+49.9/3600</f>
        <v>7.4971944444444443</v>
      </c>
      <c r="P2400" s="8" t="s">
        <v>11068</v>
      </c>
      <c r="Q2400" s="8">
        <f>-(0+12/60+49/3600)</f>
        <v>-0.21361111111111111</v>
      </c>
      <c r="R2400" s="8">
        <v>99</v>
      </c>
      <c r="S2400" s="8">
        <v>99</v>
      </c>
      <c r="T2400" s="8">
        <v>99</v>
      </c>
      <c r="U2400" s="8">
        <v>99</v>
      </c>
      <c r="Y2400" s="8" t="s">
        <v>11069</v>
      </c>
      <c r="Z2400" s="8" t="s">
        <v>11070</v>
      </c>
    </row>
    <row r="2401" spans="1:26" x14ac:dyDescent="0.2">
      <c r="A2401" s="8">
        <v>2400</v>
      </c>
      <c r="B2401" s="8" t="s">
        <v>11071</v>
      </c>
      <c r="C2401" s="8" t="s">
        <v>11071</v>
      </c>
      <c r="F2401" s="47"/>
      <c r="G2401" s="8">
        <v>17</v>
      </c>
      <c r="H2401" s="8" t="s">
        <v>21</v>
      </c>
      <c r="I2401" s="8" t="s">
        <v>72</v>
      </c>
      <c r="J2401" s="8" t="s">
        <v>72</v>
      </c>
      <c r="K2401" s="8" t="s">
        <v>1802</v>
      </c>
      <c r="L2401" s="8" t="s">
        <v>10848</v>
      </c>
      <c r="M2401" s="8" t="s">
        <v>10849</v>
      </c>
      <c r="N2401" s="8" t="s">
        <v>11072</v>
      </c>
      <c r="O2401" s="8">
        <f>7+29/60+55.1/3600</f>
        <v>7.4986388888888893</v>
      </c>
      <c r="P2401" s="8" t="s">
        <v>11073</v>
      </c>
      <c r="Q2401" s="8">
        <f>-(0+12/60+51/3600)</f>
        <v>-0.21416666666666667</v>
      </c>
      <c r="R2401" s="8">
        <v>99</v>
      </c>
      <c r="S2401" s="8">
        <v>99</v>
      </c>
      <c r="T2401" s="8">
        <v>99</v>
      </c>
      <c r="U2401" s="8">
        <v>99</v>
      </c>
      <c r="Y2401" s="8" t="s">
        <v>11069</v>
      </c>
      <c r="Z2401" s="8" t="s">
        <v>11070</v>
      </c>
    </row>
    <row r="2402" spans="1:26" x14ac:dyDescent="0.2">
      <c r="A2402" s="8">
        <v>2401</v>
      </c>
      <c r="B2402" s="8" t="s">
        <v>11074</v>
      </c>
      <c r="C2402" s="8" t="s">
        <v>11074</v>
      </c>
      <c r="F2402" s="47" t="s">
        <v>56516</v>
      </c>
      <c r="G2402" s="8">
        <v>9</v>
      </c>
      <c r="H2402" s="8" t="s">
        <v>21</v>
      </c>
      <c r="I2402" s="8" t="s">
        <v>557</v>
      </c>
      <c r="J2402" s="8" t="s">
        <v>557</v>
      </c>
      <c r="K2402" s="8" t="s">
        <v>1840</v>
      </c>
      <c r="L2402" s="8" t="s">
        <v>10175</v>
      </c>
      <c r="M2402" s="8" t="s">
        <v>10176</v>
      </c>
      <c r="N2402" s="8" t="s">
        <v>11075</v>
      </c>
      <c r="O2402" s="8">
        <f>7+29/60+24.3/3600</f>
        <v>7.4900833333333336</v>
      </c>
      <c r="P2402" s="8" t="s">
        <v>11076</v>
      </c>
      <c r="Q2402" s="8">
        <f>-(13+58/60+0/3600)</f>
        <v>-13.966666666666667</v>
      </c>
      <c r="R2402" s="8">
        <v>12.6</v>
      </c>
      <c r="S2402" s="8">
        <v>99</v>
      </c>
      <c r="T2402" s="8">
        <v>99</v>
      </c>
      <c r="U2402" s="8">
        <v>99</v>
      </c>
      <c r="V2402" s="8">
        <v>2</v>
      </c>
      <c r="Y2402" s="8" t="s">
        <v>11077</v>
      </c>
      <c r="Z2402" s="8" t="s">
        <v>11078</v>
      </c>
    </row>
    <row r="2403" spans="1:26" x14ac:dyDescent="0.2">
      <c r="A2403" s="8">
        <v>2402</v>
      </c>
      <c r="B2403" s="8" t="s">
        <v>11079</v>
      </c>
      <c r="C2403" s="8" t="s">
        <v>11079</v>
      </c>
      <c r="E2403" s="8">
        <v>1</v>
      </c>
      <c r="F2403" s="47" t="s">
        <v>56517</v>
      </c>
      <c r="G2403" s="8">
        <v>15</v>
      </c>
      <c r="H2403" s="8" t="s">
        <v>21</v>
      </c>
      <c r="I2403" s="8" t="s">
        <v>22</v>
      </c>
      <c r="J2403" s="8" t="s">
        <v>22</v>
      </c>
      <c r="K2403" s="8" t="s">
        <v>818</v>
      </c>
      <c r="L2403" s="8" t="s">
        <v>10848</v>
      </c>
      <c r="M2403" s="8" t="s">
        <v>10849</v>
      </c>
      <c r="N2403" s="8" t="s">
        <v>11080</v>
      </c>
      <c r="O2403" s="8">
        <f>7+30/60+46.5/3600</f>
        <v>7.5129166666666665</v>
      </c>
      <c r="P2403" s="8" t="s">
        <v>11081</v>
      </c>
      <c r="Q2403" s="8">
        <f>+(9+38/60+51/3600)</f>
        <v>9.6474999999999991</v>
      </c>
      <c r="R2403" s="8">
        <v>13.9</v>
      </c>
      <c r="S2403" s="8">
        <v>14.9</v>
      </c>
      <c r="T2403" s="8">
        <v>1</v>
      </c>
      <c r="U2403" s="8">
        <v>13.4</v>
      </c>
      <c r="V2403" s="8">
        <v>0.8</v>
      </c>
      <c r="W2403" s="8">
        <v>0.8</v>
      </c>
      <c r="Y2403" s="8" t="s">
        <v>11082</v>
      </c>
      <c r="Z2403" s="8" t="s">
        <v>11083</v>
      </c>
    </row>
    <row r="2404" spans="1:26" x14ac:dyDescent="0.2">
      <c r="A2404" s="8">
        <v>2403</v>
      </c>
      <c r="B2404" s="8" t="s">
        <v>11084</v>
      </c>
      <c r="C2404" s="8" t="s">
        <v>11084</v>
      </c>
      <c r="F2404" s="47" t="s">
        <v>56518</v>
      </c>
      <c r="G2404" s="8">
        <v>2</v>
      </c>
      <c r="H2404" s="8" t="s">
        <v>21</v>
      </c>
      <c r="I2404" s="8" t="s">
        <v>22</v>
      </c>
      <c r="J2404" s="8" t="s">
        <v>22</v>
      </c>
      <c r="K2404" s="8" t="s">
        <v>64</v>
      </c>
      <c r="L2404" s="8" t="s">
        <v>6823</v>
      </c>
      <c r="M2404" s="8" t="s">
        <v>6824</v>
      </c>
      <c r="N2404" s="8" t="s">
        <v>11085</v>
      </c>
      <c r="O2404" s="8">
        <f>7+36/60+50.6/3600</f>
        <v>7.6140555555555549</v>
      </c>
      <c r="P2404" s="8" t="s">
        <v>11086</v>
      </c>
      <c r="Q2404" s="8">
        <f>+(65+36/60+6/3600)</f>
        <v>65.601666666666659</v>
      </c>
      <c r="R2404" s="8">
        <v>8.5</v>
      </c>
      <c r="S2404" s="8">
        <v>8.9</v>
      </c>
      <c r="T2404" s="8">
        <v>0.4</v>
      </c>
      <c r="U2404" s="8">
        <v>14.4</v>
      </c>
      <c r="V2404" s="8">
        <v>23.4</v>
      </c>
      <c r="W2404" s="8">
        <v>11.8</v>
      </c>
      <c r="X2404" s="8">
        <v>127</v>
      </c>
      <c r="Y2404" s="8" t="s">
        <v>11087</v>
      </c>
      <c r="Z2404" s="8" t="s">
        <v>11088</v>
      </c>
    </row>
    <row r="2405" spans="1:26" x14ac:dyDescent="0.2">
      <c r="A2405" s="8">
        <v>2404</v>
      </c>
      <c r="B2405" s="8" t="s">
        <v>11089</v>
      </c>
      <c r="C2405" s="8" t="s">
        <v>11089</v>
      </c>
      <c r="F2405" s="47"/>
      <c r="G2405" s="8">
        <v>19</v>
      </c>
      <c r="H2405" s="8" t="s">
        <v>21</v>
      </c>
      <c r="I2405" s="8" t="s">
        <v>1075</v>
      </c>
      <c r="J2405" s="8" t="s">
        <v>1075</v>
      </c>
      <c r="K2405" s="8" t="s">
        <v>1075</v>
      </c>
      <c r="L2405" s="8" t="s">
        <v>6823</v>
      </c>
      <c r="M2405" s="8" t="s">
        <v>6824</v>
      </c>
      <c r="N2405" s="8" t="s">
        <v>11090</v>
      </c>
      <c r="O2405" s="8">
        <f>7+37/60+7/3600</f>
        <v>7.6186111111111119</v>
      </c>
      <c r="P2405" s="8" t="s">
        <v>11091</v>
      </c>
      <c r="Q2405" s="8">
        <f>+(65+36/60+40/3600)</f>
        <v>65.6111111111111</v>
      </c>
      <c r="R2405" s="8">
        <v>14.5</v>
      </c>
      <c r="S2405" s="8">
        <v>99</v>
      </c>
      <c r="T2405" s="8">
        <v>99</v>
      </c>
      <c r="U2405" s="8">
        <v>99</v>
      </c>
      <c r="V2405" s="8">
        <v>0.4</v>
      </c>
      <c r="Y2405" s="8" t="s">
        <v>282</v>
      </c>
      <c r="Z2405" s="8" t="s">
        <v>283</v>
      </c>
    </row>
    <row r="2406" spans="1:26" x14ac:dyDescent="0.2">
      <c r="A2406" s="8">
        <v>2405</v>
      </c>
      <c r="B2406" s="8" t="s">
        <v>11092</v>
      </c>
      <c r="C2406" s="8" t="s">
        <v>11092</v>
      </c>
      <c r="E2406" s="8">
        <v>1</v>
      </c>
      <c r="F2406" s="47"/>
      <c r="G2406" s="8">
        <v>18</v>
      </c>
      <c r="H2406" s="8" t="s">
        <v>21</v>
      </c>
      <c r="I2406" s="8" t="s">
        <v>22</v>
      </c>
      <c r="J2406" s="8" t="s">
        <v>22</v>
      </c>
      <c r="K2406" s="8" t="s">
        <v>449</v>
      </c>
      <c r="L2406" s="8" t="s">
        <v>9862</v>
      </c>
      <c r="M2406" s="8" t="s">
        <v>9863</v>
      </c>
      <c r="N2406" s="8" t="s">
        <v>11093</v>
      </c>
      <c r="O2406" s="8">
        <f>7+32/60+13.9/3600</f>
        <v>7.5371944444444443</v>
      </c>
      <c r="P2406" s="8" t="s">
        <v>11094</v>
      </c>
      <c r="Q2406" s="8">
        <f>+(25+54/60+22/3600)</f>
        <v>25.906111111111109</v>
      </c>
      <c r="R2406" s="8">
        <v>14.1</v>
      </c>
      <c r="S2406" s="8">
        <v>14.9</v>
      </c>
      <c r="T2406" s="8">
        <v>0.8</v>
      </c>
      <c r="U2406" s="8">
        <v>11.9</v>
      </c>
      <c r="V2406" s="8">
        <v>0.5</v>
      </c>
      <c r="W2406" s="8">
        <v>0.3</v>
      </c>
      <c r="X2406" s="8">
        <v>105</v>
      </c>
      <c r="Y2406" s="8" t="s">
        <v>1794</v>
      </c>
      <c r="Z2406" s="8" t="s">
        <v>1795</v>
      </c>
    </row>
    <row r="2407" spans="1:26" x14ac:dyDescent="0.2">
      <c r="A2407" s="8">
        <v>2406</v>
      </c>
      <c r="B2407" s="8" t="s">
        <v>11095</v>
      </c>
      <c r="C2407" s="8" t="s">
        <v>11095</v>
      </c>
      <c r="F2407" s="47"/>
      <c r="G2407" s="8">
        <v>19</v>
      </c>
      <c r="H2407" s="8" t="s">
        <v>21</v>
      </c>
      <c r="I2407" s="8" t="s">
        <v>22</v>
      </c>
      <c r="J2407" s="8" t="s">
        <v>22</v>
      </c>
      <c r="K2407" s="8" t="s">
        <v>818</v>
      </c>
      <c r="L2407" s="8" t="s">
        <v>9862</v>
      </c>
      <c r="M2407" s="8" t="s">
        <v>9863</v>
      </c>
      <c r="N2407" s="8" t="s">
        <v>11096</v>
      </c>
      <c r="O2407" s="8">
        <f>7+31/60+47.7/3600</f>
        <v>7.5299166666666668</v>
      </c>
      <c r="P2407" s="8" t="s">
        <v>11097</v>
      </c>
      <c r="Q2407" s="8">
        <f>+(18+17/60+19/3600)</f>
        <v>18.288611111111113</v>
      </c>
      <c r="R2407" s="8">
        <v>14.2</v>
      </c>
      <c r="S2407" s="8">
        <v>15.2</v>
      </c>
      <c r="T2407" s="8">
        <v>1</v>
      </c>
      <c r="U2407" s="8">
        <v>13.3</v>
      </c>
      <c r="V2407" s="8">
        <v>0.7</v>
      </c>
      <c r="W2407" s="8">
        <v>0.6</v>
      </c>
      <c r="X2407" s="8">
        <v>51</v>
      </c>
      <c r="Y2407" s="8" t="s">
        <v>11098</v>
      </c>
      <c r="Z2407" s="8" t="s">
        <v>11099</v>
      </c>
    </row>
    <row r="2408" spans="1:26" x14ac:dyDescent="0.2">
      <c r="A2408" s="8">
        <v>2407</v>
      </c>
      <c r="B2408" s="8" t="s">
        <v>11100</v>
      </c>
      <c r="C2408" s="8" t="s">
        <v>11100</v>
      </c>
      <c r="F2408" s="47"/>
      <c r="G2408" s="8">
        <v>19</v>
      </c>
      <c r="H2408" s="8" t="s">
        <v>21</v>
      </c>
      <c r="I2408" s="8" t="s">
        <v>22</v>
      </c>
      <c r="J2408" s="8" t="s">
        <v>22</v>
      </c>
      <c r="K2408" s="8" t="s">
        <v>58</v>
      </c>
      <c r="L2408" s="8" t="s">
        <v>9862</v>
      </c>
      <c r="M2408" s="8" t="s">
        <v>9863</v>
      </c>
      <c r="N2408" s="8" t="s">
        <v>11101</v>
      </c>
      <c r="O2408" s="8">
        <f>7+31/60+56.6/3600</f>
        <v>7.5323888888888888</v>
      </c>
      <c r="P2408" s="8" t="s">
        <v>11102</v>
      </c>
      <c r="Q2408" s="8">
        <f>+(18+20/60+1/3600)</f>
        <v>18.333611111111111</v>
      </c>
      <c r="R2408" s="8">
        <v>13.4</v>
      </c>
      <c r="S2408" s="8">
        <v>14.4</v>
      </c>
      <c r="T2408" s="8">
        <v>1</v>
      </c>
      <c r="U2408" s="8">
        <v>13.2</v>
      </c>
      <c r="V2408" s="8">
        <v>1.1000000000000001</v>
      </c>
      <c r="W2408" s="8">
        <v>1</v>
      </c>
      <c r="X2408" s="8">
        <v>42</v>
      </c>
      <c r="Y2408" s="8" t="s">
        <v>11098</v>
      </c>
      <c r="Z2408" s="8" t="s">
        <v>11099</v>
      </c>
    </row>
    <row r="2409" spans="1:26" x14ac:dyDescent="0.2">
      <c r="A2409" s="8">
        <v>2408</v>
      </c>
      <c r="B2409" s="8" t="s">
        <v>11103</v>
      </c>
      <c r="C2409" s="8" t="s">
        <v>11103</v>
      </c>
      <c r="F2409" s="47"/>
      <c r="G2409" s="8">
        <v>16</v>
      </c>
      <c r="H2409" s="8" t="s">
        <v>21</v>
      </c>
      <c r="I2409" s="8" t="s">
        <v>72</v>
      </c>
      <c r="J2409" s="8" t="s">
        <v>72</v>
      </c>
      <c r="K2409" s="8" t="s">
        <v>1405</v>
      </c>
      <c r="L2409" s="8" t="s">
        <v>6823</v>
      </c>
      <c r="M2409" s="8" t="s">
        <v>6824</v>
      </c>
      <c r="N2409" s="8" t="s">
        <v>11104</v>
      </c>
      <c r="O2409" s="8">
        <f>7+40/60+30/3600</f>
        <v>7.6750000000000007</v>
      </c>
      <c r="P2409" s="8" t="s">
        <v>11105</v>
      </c>
      <c r="Q2409" s="8">
        <f>+(71+40/60+0/3600)</f>
        <v>71.666666666666671</v>
      </c>
      <c r="R2409" s="8">
        <v>99</v>
      </c>
      <c r="S2409" s="8">
        <v>99</v>
      </c>
      <c r="T2409" s="8">
        <v>99</v>
      </c>
      <c r="U2409" s="8">
        <v>99</v>
      </c>
      <c r="V2409" s="8">
        <v>10</v>
      </c>
      <c r="Y2409" s="8" t="s">
        <v>11106</v>
      </c>
      <c r="Z2409" s="8" t="s">
        <v>10795</v>
      </c>
    </row>
    <row r="2410" spans="1:26" x14ac:dyDescent="0.2">
      <c r="A2410" s="8">
        <v>2409</v>
      </c>
      <c r="B2410" s="8" t="s">
        <v>11107</v>
      </c>
      <c r="C2410" s="8" t="s">
        <v>11107</v>
      </c>
      <c r="F2410" s="47"/>
      <c r="G2410" s="8">
        <v>8.5</v>
      </c>
      <c r="H2410" s="8" t="s">
        <v>11108</v>
      </c>
      <c r="I2410" s="8" t="s">
        <v>557</v>
      </c>
      <c r="J2410" s="8" t="s">
        <v>557</v>
      </c>
      <c r="K2410" s="8" t="s">
        <v>557</v>
      </c>
      <c r="L2410" s="8" t="s">
        <v>10175</v>
      </c>
      <c r="M2410" s="8" t="s">
        <v>10176</v>
      </c>
      <c r="N2410" s="8" t="s">
        <v>11109</v>
      </c>
      <c r="O2410" s="8">
        <f>7+31/60+36.7/3600</f>
        <v>7.5268611111111108</v>
      </c>
      <c r="P2410" s="8" t="s">
        <v>11110</v>
      </c>
      <c r="Q2410" s="8">
        <f>-(17+11/60+23/3600)</f>
        <v>-17.189722222222223</v>
      </c>
      <c r="R2410" s="8">
        <v>7.3</v>
      </c>
      <c r="S2410" s="8">
        <v>7.5</v>
      </c>
      <c r="T2410" s="8">
        <v>99</v>
      </c>
      <c r="U2410" s="8">
        <v>99</v>
      </c>
      <c r="V2410" s="8">
        <v>2.5</v>
      </c>
      <c r="Y2410" s="8" t="s">
        <v>11111</v>
      </c>
      <c r="Z2410" s="8" t="s">
        <v>11112</v>
      </c>
    </row>
    <row r="2411" spans="1:26" x14ac:dyDescent="0.2">
      <c r="A2411" s="8">
        <v>2410</v>
      </c>
      <c r="B2411" s="8" t="s">
        <v>11113</v>
      </c>
      <c r="C2411" s="8" t="s">
        <v>11113</v>
      </c>
      <c r="F2411" s="47"/>
      <c r="G2411" s="8">
        <v>12</v>
      </c>
      <c r="H2411" s="8" t="s">
        <v>21</v>
      </c>
      <c r="I2411" s="8" t="s">
        <v>22</v>
      </c>
      <c r="J2411" s="8" t="s">
        <v>22</v>
      </c>
      <c r="K2411" s="8" t="s">
        <v>218</v>
      </c>
      <c r="L2411" s="8" t="s">
        <v>9862</v>
      </c>
      <c r="M2411" s="8" t="s">
        <v>9863</v>
      </c>
      <c r="N2411" s="8" t="s">
        <v>11114</v>
      </c>
      <c r="O2411" s="8">
        <f>7+35/60+2.2/3600</f>
        <v>7.5839444444444437</v>
      </c>
      <c r="P2411" s="8" t="s">
        <v>11115</v>
      </c>
      <c r="Q2411" s="8">
        <f>+(32+49/60+21/3600)</f>
        <v>32.822500000000005</v>
      </c>
      <c r="R2411" s="8">
        <v>13</v>
      </c>
      <c r="S2411" s="8">
        <v>13.8</v>
      </c>
      <c r="T2411" s="8">
        <v>0.8</v>
      </c>
      <c r="U2411" s="8">
        <v>13.4</v>
      </c>
      <c r="V2411" s="8">
        <v>2.4</v>
      </c>
      <c r="W2411" s="8">
        <v>0.7</v>
      </c>
      <c r="X2411" s="8">
        <v>31</v>
      </c>
      <c r="Y2411" s="8" t="s">
        <v>11116</v>
      </c>
      <c r="Z2411" s="8" t="s">
        <v>11117</v>
      </c>
    </row>
    <row r="2412" spans="1:26" x14ac:dyDescent="0.2">
      <c r="A2412" s="8">
        <v>2411</v>
      </c>
      <c r="B2412" s="8" t="s">
        <v>11118</v>
      </c>
      <c r="C2412" s="8" t="s">
        <v>11118</v>
      </c>
      <c r="F2412" s="47"/>
      <c r="G2412" s="8">
        <v>19</v>
      </c>
      <c r="H2412" s="8" t="s">
        <v>21</v>
      </c>
      <c r="I2412" s="8" t="s">
        <v>22</v>
      </c>
      <c r="J2412" s="8" t="s">
        <v>22</v>
      </c>
      <c r="K2412" s="8" t="s">
        <v>818</v>
      </c>
      <c r="L2412" s="8" t="s">
        <v>9862</v>
      </c>
      <c r="M2412" s="8" t="s">
        <v>9863</v>
      </c>
      <c r="N2412" s="8" t="s">
        <v>11119</v>
      </c>
      <c r="O2412" s="8">
        <f>7+34/60+36.4/3600</f>
        <v>7.5767777777777772</v>
      </c>
      <c r="P2412" s="8" t="s">
        <v>11120</v>
      </c>
      <c r="Q2412" s="8">
        <f>+(18+16/60+55/3600)</f>
        <v>18.281944444444445</v>
      </c>
      <c r="R2412" s="8">
        <v>13.8</v>
      </c>
      <c r="S2412" s="8">
        <v>14.8</v>
      </c>
      <c r="T2412" s="8">
        <v>1</v>
      </c>
      <c r="U2412" s="8">
        <v>13.2</v>
      </c>
      <c r="V2412" s="8">
        <v>0.9</v>
      </c>
      <c r="W2412" s="8">
        <v>0.5</v>
      </c>
      <c r="X2412" s="8">
        <v>50</v>
      </c>
      <c r="Y2412" s="8" t="s">
        <v>11121</v>
      </c>
      <c r="Z2412" s="8" t="s">
        <v>11122</v>
      </c>
    </row>
    <row r="2413" spans="1:26" x14ac:dyDescent="0.2">
      <c r="A2413" s="8">
        <v>2412</v>
      </c>
      <c r="B2413" s="8" t="s">
        <v>11123</v>
      </c>
      <c r="C2413" s="8" t="s">
        <v>11123</v>
      </c>
      <c r="F2413" s="47"/>
      <c r="G2413" s="8">
        <v>19</v>
      </c>
      <c r="H2413" s="8" t="s">
        <v>21</v>
      </c>
      <c r="I2413" s="8" t="s">
        <v>72</v>
      </c>
      <c r="J2413" s="8" t="s">
        <v>72</v>
      </c>
      <c r="K2413" s="8" t="s">
        <v>73</v>
      </c>
      <c r="L2413" s="8" t="s">
        <v>10848</v>
      </c>
      <c r="M2413" s="8" t="s">
        <v>10849</v>
      </c>
      <c r="N2413" s="8" t="s">
        <v>11124</v>
      </c>
      <c r="O2413" s="8">
        <f>7+34/60+21.5/3600</f>
        <v>7.5726388888888883</v>
      </c>
      <c r="P2413" s="8" t="s">
        <v>11125</v>
      </c>
      <c r="Q2413" s="8">
        <f>+(8+32/60+51/3600)</f>
        <v>8.5474999999999994</v>
      </c>
      <c r="R2413" s="8">
        <v>99</v>
      </c>
      <c r="S2413" s="8">
        <v>99</v>
      </c>
      <c r="T2413" s="8">
        <v>99</v>
      </c>
      <c r="U2413" s="8">
        <v>99</v>
      </c>
      <c r="Y2413" s="8" t="s">
        <v>11126</v>
      </c>
      <c r="Z2413" s="8" t="s">
        <v>11127</v>
      </c>
    </row>
    <row r="2414" spans="1:26" x14ac:dyDescent="0.2">
      <c r="A2414" s="8">
        <v>2413</v>
      </c>
      <c r="B2414" s="8" t="s">
        <v>11128</v>
      </c>
      <c r="C2414" s="8" t="s">
        <v>11128</v>
      </c>
      <c r="F2414" s="47" t="s">
        <v>56519</v>
      </c>
      <c r="G2414" s="8">
        <v>12</v>
      </c>
      <c r="H2414" s="8" t="s">
        <v>21</v>
      </c>
      <c r="I2414" s="8" t="s">
        <v>72</v>
      </c>
      <c r="J2414" s="8" t="s">
        <v>72</v>
      </c>
      <c r="K2414" s="8" t="s">
        <v>1405</v>
      </c>
      <c r="L2414" s="8" t="s">
        <v>10175</v>
      </c>
      <c r="M2414" s="8" t="s">
        <v>10176</v>
      </c>
      <c r="N2414" s="8" t="s">
        <v>11129</v>
      </c>
      <c r="O2414" s="8">
        <f>7+33/60+19/3600</f>
        <v>7.5552777777777775</v>
      </c>
      <c r="P2414" s="8" t="s">
        <v>11130</v>
      </c>
      <c r="Q2414" s="8">
        <f>-(13+7/60+9/3600)</f>
        <v>-13.119166666666667</v>
      </c>
      <c r="R2414" s="8">
        <v>99</v>
      </c>
      <c r="S2414" s="8">
        <v>99</v>
      </c>
      <c r="T2414" s="8">
        <v>99</v>
      </c>
      <c r="U2414" s="8">
        <v>99</v>
      </c>
      <c r="V2414" s="8">
        <v>10</v>
      </c>
      <c r="Y2414" s="8" t="s">
        <v>11131</v>
      </c>
      <c r="Z2414" s="8" t="s">
        <v>11132</v>
      </c>
    </row>
    <row r="2415" spans="1:26" x14ac:dyDescent="0.2">
      <c r="A2415" s="8">
        <v>2414</v>
      </c>
      <c r="B2415" s="8" t="s">
        <v>11133</v>
      </c>
      <c r="C2415" s="8" t="s">
        <v>11133</v>
      </c>
      <c r="F2415" s="47" t="s">
        <v>56520</v>
      </c>
      <c r="G2415" s="8">
        <v>6.5</v>
      </c>
      <c r="H2415" s="8" t="s">
        <v>21</v>
      </c>
      <c r="I2415" s="8" t="s">
        <v>557</v>
      </c>
      <c r="J2415" s="8" t="s">
        <v>557</v>
      </c>
      <c r="K2415" s="8" t="s">
        <v>2158</v>
      </c>
      <c r="L2415" s="8" t="s">
        <v>10175</v>
      </c>
      <c r="M2415" s="8" t="s">
        <v>10176</v>
      </c>
      <c r="N2415" s="8" t="s">
        <v>11134</v>
      </c>
      <c r="O2415" s="8">
        <f>7+33/60+12.8/3600</f>
        <v>7.5535555555555556</v>
      </c>
      <c r="P2415" s="8" t="s">
        <v>11135</v>
      </c>
      <c r="Q2415" s="8">
        <f>-(15+27/60+14/3600)</f>
        <v>-15.453888888888889</v>
      </c>
      <c r="R2415" s="8">
        <v>7.9</v>
      </c>
      <c r="S2415" s="8">
        <v>99</v>
      </c>
      <c r="T2415" s="8">
        <v>99</v>
      </c>
      <c r="U2415" s="8">
        <v>99</v>
      </c>
      <c r="V2415" s="8">
        <v>6</v>
      </c>
      <c r="Y2415" s="8" t="s">
        <v>11136</v>
      </c>
      <c r="Z2415" s="8" t="s">
        <v>11137</v>
      </c>
    </row>
    <row r="2416" spans="1:26" x14ac:dyDescent="0.2">
      <c r="A2416" s="8">
        <v>2415</v>
      </c>
      <c r="B2416" s="8" t="s">
        <v>11138</v>
      </c>
      <c r="C2416" s="8" t="s">
        <v>11138</v>
      </c>
      <c r="F2416" s="47" t="s">
        <v>56521</v>
      </c>
      <c r="G2416" s="8">
        <v>6.5</v>
      </c>
      <c r="H2416" s="8" t="s">
        <v>21</v>
      </c>
      <c r="I2416" s="8" t="s">
        <v>22</v>
      </c>
      <c r="J2416" s="8" t="s">
        <v>22</v>
      </c>
      <c r="K2416" s="8" t="s">
        <v>3616</v>
      </c>
      <c r="L2416" s="8" t="s">
        <v>10511</v>
      </c>
      <c r="M2416" s="8" t="s">
        <v>10512</v>
      </c>
      <c r="N2416" s="8" t="s">
        <v>11139</v>
      </c>
      <c r="O2416" s="8">
        <f>7+36/60+56.5/3600</f>
        <v>7.6156944444444443</v>
      </c>
      <c r="P2416" s="8" t="s">
        <v>11140</v>
      </c>
      <c r="Q2416" s="8">
        <f>+(35+14/60+31/3600)</f>
        <v>35.241944444444442</v>
      </c>
      <c r="R2416" s="8">
        <v>12.4</v>
      </c>
      <c r="S2416" s="8">
        <v>12.8</v>
      </c>
      <c r="T2416" s="8">
        <v>0.4</v>
      </c>
      <c r="U2416" s="8">
        <v>12</v>
      </c>
      <c r="V2416" s="8">
        <v>0.9</v>
      </c>
      <c r="W2416" s="8">
        <v>0.9</v>
      </c>
      <c r="Y2416" s="8" t="s">
        <v>11141</v>
      </c>
      <c r="Z2416" s="8" t="s">
        <v>11142</v>
      </c>
    </row>
    <row r="2417" spans="1:26" x14ac:dyDescent="0.2">
      <c r="A2417" s="8">
        <v>2416</v>
      </c>
      <c r="B2417" s="8" t="s">
        <v>11143</v>
      </c>
      <c r="C2417" s="8" t="s">
        <v>11143</v>
      </c>
      <c r="F2417" s="47"/>
      <c r="G2417" s="8">
        <v>18</v>
      </c>
      <c r="H2417" s="8" t="s">
        <v>21</v>
      </c>
      <c r="I2417" s="8" t="s">
        <v>22</v>
      </c>
      <c r="J2417" s="8" t="s">
        <v>22</v>
      </c>
      <c r="K2417" s="8" t="s">
        <v>160</v>
      </c>
      <c r="L2417" s="8" t="s">
        <v>10848</v>
      </c>
      <c r="M2417" s="8" t="s">
        <v>10849</v>
      </c>
      <c r="N2417" s="8" t="s">
        <v>11144</v>
      </c>
      <c r="O2417" s="8">
        <f>7+35/60+41.4/3600</f>
        <v>7.5948333333333329</v>
      </c>
      <c r="P2417" s="8" t="s">
        <v>11145</v>
      </c>
      <c r="Q2417" s="8">
        <f>+(11+36/60+45/3600)</f>
        <v>11.612499999999999</v>
      </c>
      <c r="R2417" s="8">
        <v>13.4</v>
      </c>
      <c r="S2417" s="8">
        <v>14.1</v>
      </c>
      <c r="T2417" s="8">
        <v>0.7</v>
      </c>
      <c r="U2417" s="8">
        <v>12.9</v>
      </c>
      <c r="V2417" s="8">
        <v>1</v>
      </c>
      <c r="W2417" s="8">
        <v>0.7</v>
      </c>
      <c r="X2417" s="8">
        <v>110</v>
      </c>
      <c r="Y2417" s="8" t="s">
        <v>745</v>
      </c>
      <c r="Z2417" s="8" t="s">
        <v>746</v>
      </c>
    </row>
    <row r="2418" spans="1:26" x14ac:dyDescent="0.2">
      <c r="A2418" s="8">
        <v>2417</v>
      </c>
      <c r="B2418" s="8" t="s">
        <v>11146</v>
      </c>
      <c r="C2418" s="8" t="s">
        <v>11146</v>
      </c>
      <c r="F2418" s="47"/>
      <c r="G2418" s="8">
        <v>16</v>
      </c>
      <c r="H2418" s="8" t="s">
        <v>21</v>
      </c>
      <c r="I2418" s="8" t="s">
        <v>22</v>
      </c>
      <c r="J2418" s="8" t="s">
        <v>22</v>
      </c>
      <c r="K2418" s="8" t="s">
        <v>396</v>
      </c>
      <c r="L2418" s="8" t="s">
        <v>10135</v>
      </c>
      <c r="M2418" s="8" t="s">
        <v>10136</v>
      </c>
      <c r="N2418" s="8" t="s">
        <v>11147</v>
      </c>
      <c r="O2418" s="8">
        <f>7+30/60+12.1/3600</f>
        <v>7.5033611111111114</v>
      </c>
      <c r="P2418" s="8" t="s">
        <v>11148</v>
      </c>
      <c r="Q2418" s="8">
        <f>-(62+15/60+9/3600)</f>
        <v>-62.252499999999998</v>
      </c>
      <c r="R2418" s="8">
        <v>12</v>
      </c>
      <c r="S2418" s="8">
        <v>12.8</v>
      </c>
      <c r="T2418" s="8">
        <v>0.8</v>
      </c>
      <c r="U2418" s="8">
        <v>13.7</v>
      </c>
      <c r="V2418" s="8">
        <v>2.8</v>
      </c>
      <c r="W2418" s="8">
        <v>1.9</v>
      </c>
      <c r="X2418" s="8">
        <v>81</v>
      </c>
      <c r="Y2418" s="8" t="s">
        <v>11149</v>
      </c>
      <c r="Z2418" s="8" t="s">
        <v>11150</v>
      </c>
    </row>
    <row r="2419" spans="1:26" x14ac:dyDescent="0.2">
      <c r="A2419" s="8">
        <v>2418</v>
      </c>
      <c r="B2419" s="8" t="s">
        <v>11151</v>
      </c>
      <c r="C2419" s="8" t="s">
        <v>11151</v>
      </c>
      <c r="F2419" s="47"/>
      <c r="G2419" s="8">
        <v>18</v>
      </c>
      <c r="H2419" s="8" t="s">
        <v>21</v>
      </c>
      <c r="I2419" s="8" t="s">
        <v>22</v>
      </c>
      <c r="J2419" s="8" t="s">
        <v>22</v>
      </c>
      <c r="K2419" s="8" t="s">
        <v>460</v>
      </c>
      <c r="L2419" s="8" t="s">
        <v>9862</v>
      </c>
      <c r="M2419" s="8" t="s">
        <v>9863</v>
      </c>
      <c r="N2419" s="8" t="s">
        <v>11152</v>
      </c>
      <c r="O2419" s="8">
        <f>7+36/60+37.4/3600</f>
        <v>7.6103888888888882</v>
      </c>
      <c r="P2419" s="8" t="s">
        <v>11153</v>
      </c>
      <c r="Q2419" s="8">
        <f>+(17+53/60+2/3600)</f>
        <v>17.883888888888887</v>
      </c>
      <c r="R2419" s="8">
        <v>12.2</v>
      </c>
      <c r="S2419" s="8">
        <v>13.2</v>
      </c>
      <c r="T2419" s="8">
        <v>1</v>
      </c>
      <c r="U2419" s="8">
        <v>13.4</v>
      </c>
      <c r="V2419" s="8">
        <v>1.8</v>
      </c>
      <c r="W2419" s="8">
        <v>1.8</v>
      </c>
      <c r="Y2419" s="8" t="s">
        <v>11154</v>
      </c>
      <c r="Z2419" s="8" t="s">
        <v>11155</v>
      </c>
    </row>
    <row r="2420" spans="1:26" x14ac:dyDescent="0.2">
      <c r="A2420" s="8">
        <v>2419</v>
      </c>
      <c r="B2420" s="8" t="s">
        <v>11156</v>
      </c>
      <c r="C2420" s="8" t="s">
        <v>11156</v>
      </c>
      <c r="F2420" s="47" t="s">
        <v>56522</v>
      </c>
      <c r="G2420" s="8">
        <v>2</v>
      </c>
      <c r="H2420" s="8" t="s">
        <v>10151</v>
      </c>
      <c r="I2420" s="8" t="s">
        <v>567</v>
      </c>
      <c r="J2420" s="8" t="s">
        <v>567</v>
      </c>
      <c r="K2420" s="8" t="s">
        <v>5894</v>
      </c>
      <c r="L2420" s="8" t="s">
        <v>10511</v>
      </c>
      <c r="M2420" s="8" t="s">
        <v>10512</v>
      </c>
      <c r="N2420" s="8" t="s">
        <v>11157</v>
      </c>
      <c r="O2420" s="8">
        <f>7+38/60+8.5/3600</f>
        <v>7.6356944444444439</v>
      </c>
      <c r="P2420" s="8" t="s">
        <v>11158</v>
      </c>
      <c r="Q2420" s="8">
        <f>+(38+52/60+57/3600)</f>
        <v>38.8825</v>
      </c>
      <c r="R2420" s="8">
        <v>10.3</v>
      </c>
      <c r="S2420" s="8">
        <v>99</v>
      </c>
      <c r="T2420" s="8">
        <v>99</v>
      </c>
      <c r="U2420" s="8">
        <v>99</v>
      </c>
      <c r="V2420" s="8">
        <v>4.5999999999999996</v>
      </c>
      <c r="Y2420" s="8" t="s">
        <v>11159</v>
      </c>
      <c r="Z2420" s="8" t="s">
        <v>11160</v>
      </c>
    </row>
    <row r="2421" spans="1:26" x14ac:dyDescent="0.2">
      <c r="A2421" s="8">
        <v>2420</v>
      </c>
      <c r="B2421" s="8" t="s">
        <v>11161</v>
      </c>
      <c r="C2421" s="8" t="s">
        <v>11161</v>
      </c>
      <c r="F2421" s="47" t="s">
        <v>56523</v>
      </c>
      <c r="G2421" s="8">
        <v>6</v>
      </c>
      <c r="H2421" s="8" t="s">
        <v>11162</v>
      </c>
      <c r="I2421" s="8" t="s">
        <v>557</v>
      </c>
      <c r="J2421" s="8" t="s">
        <v>557</v>
      </c>
      <c r="K2421" s="8" t="s">
        <v>10371</v>
      </c>
      <c r="L2421" s="8" t="s">
        <v>9862</v>
      </c>
      <c r="M2421" s="8" t="s">
        <v>9863</v>
      </c>
      <c r="N2421" s="8" t="s">
        <v>11163</v>
      </c>
      <c r="O2421" s="8">
        <f>7+38/60+23.8/3600</f>
        <v>7.6399444444444438</v>
      </c>
      <c r="P2421" s="8" t="s">
        <v>11164</v>
      </c>
      <c r="Q2421" s="8">
        <f>+(21+34/60+27/3600)</f>
        <v>21.574166666666667</v>
      </c>
      <c r="R2421" s="8">
        <v>8.3000000000000007</v>
      </c>
      <c r="S2421" s="8">
        <v>99</v>
      </c>
      <c r="T2421" s="8">
        <v>99</v>
      </c>
      <c r="U2421" s="8">
        <v>99</v>
      </c>
      <c r="V2421" s="8">
        <v>6</v>
      </c>
      <c r="Y2421" s="8" t="s">
        <v>11165</v>
      </c>
      <c r="Z2421" s="8" t="s">
        <v>11166</v>
      </c>
    </row>
    <row r="2422" spans="1:26" x14ac:dyDescent="0.2">
      <c r="A2422" s="8">
        <v>2421</v>
      </c>
      <c r="B2422" s="8" t="s">
        <v>11167</v>
      </c>
      <c r="C2422" s="8" t="s">
        <v>11167</v>
      </c>
      <c r="F2422" s="47" t="s">
        <v>56524</v>
      </c>
      <c r="G2422" s="8">
        <v>6</v>
      </c>
      <c r="H2422" s="8" t="s">
        <v>21</v>
      </c>
      <c r="I2422" s="8" t="s">
        <v>557</v>
      </c>
      <c r="J2422" s="8" t="s">
        <v>557</v>
      </c>
      <c r="K2422" s="8" t="s">
        <v>11168</v>
      </c>
      <c r="L2422" s="8" t="s">
        <v>10175</v>
      </c>
      <c r="M2422" s="8" t="s">
        <v>10176</v>
      </c>
      <c r="N2422" s="8" t="s">
        <v>11169</v>
      </c>
      <c r="O2422" s="8">
        <f>7+36/60+12/3600</f>
        <v>7.6033333333333326</v>
      </c>
      <c r="P2422" s="8" t="s">
        <v>11170</v>
      </c>
      <c r="Q2422" s="8">
        <f>-(20+36/60+42/3600)</f>
        <v>-20.611666666666668</v>
      </c>
      <c r="R2422" s="8">
        <v>8.3000000000000007</v>
      </c>
      <c r="S2422" s="8">
        <v>99</v>
      </c>
      <c r="T2422" s="8">
        <v>99</v>
      </c>
      <c r="U2422" s="8">
        <v>99</v>
      </c>
      <c r="V2422" s="8">
        <v>8</v>
      </c>
      <c r="Y2422" s="8" t="s">
        <v>11171</v>
      </c>
      <c r="Z2422" s="8" t="s">
        <v>11172</v>
      </c>
    </row>
    <row r="2423" spans="1:26" x14ac:dyDescent="0.2">
      <c r="A2423" s="8">
        <v>2422</v>
      </c>
      <c r="B2423" s="8" t="s">
        <v>11173</v>
      </c>
      <c r="C2423" s="8" t="s">
        <v>55881</v>
      </c>
      <c r="F2423" s="47" t="s">
        <v>56525</v>
      </c>
      <c r="G2423" s="8">
        <v>1</v>
      </c>
      <c r="H2423" s="8" t="s">
        <v>21</v>
      </c>
      <c r="I2423" s="8" t="s">
        <v>557</v>
      </c>
      <c r="J2423" s="8" t="s">
        <v>557</v>
      </c>
      <c r="K2423" s="8" t="s">
        <v>3217</v>
      </c>
      <c r="L2423" s="8" t="s">
        <v>10175</v>
      </c>
      <c r="M2423" s="8" t="s">
        <v>10176</v>
      </c>
      <c r="N2423" s="8" t="s">
        <v>11174</v>
      </c>
      <c r="O2423" s="8">
        <f>7+36/60+35/3600</f>
        <v>7.6097222222222216</v>
      </c>
      <c r="P2423" s="8" t="s">
        <v>11175</v>
      </c>
      <c r="Q2423" s="8">
        <f>-(14+28/60+47/3600)</f>
        <v>-14.479722222222222</v>
      </c>
      <c r="R2423" s="8">
        <v>4.4000000000000004</v>
      </c>
      <c r="S2423" s="8">
        <v>99</v>
      </c>
      <c r="T2423" s="8">
        <v>99</v>
      </c>
      <c r="U2423" s="8">
        <v>99</v>
      </c>
      <c r="V2423" s="8">
        <v>25</v>
      </c>
      <c r="Y2423" s="8" t="s">
        <v>11176</v>
      </c>
      <c r="Z2423" s="8" t="s">
        <v>11177</v>
      </c>
    </row>
    <row r="2424" spans="1:26" x14ac:dyDescent="0.2">
      <c r="A2424" s="8">
        <v>2423</v>
      </c>
      <c r="B2424" s="8" t="s">
        <v>11178</v>
      </c>
      <c r="C2424" s="8" t="s">
        <v>11178</v>
      </c>
      <c r="F2424" s="47" t="s">
        <v>56526</v>
      </c>
      <c r="G2424" s="8">
        <v>5</v>
      </c>
      <c r="H2424" s="8" t="s">
        <v>21</v>
      </c>
      <c r="I2424" s="8" t="s">
        <v>557</v>
      </c>
      <c r="J2424" s="8" t="s">
        <v>557</v>
      </c>
      <c r="K2424" s="8" t="s">
        <v>11179</v>
      </c>
      <c r="L2424" s="8" t="s">
        <v>10175</v>
      </c>
      <c r="M2424" s="8" t="s">
        <v>10176</v>
      </c>
      <c r="N2424" s="8" t="s">
        <v>11180</v>
      </c>
      <c r="O2424" s="8">
        <f>7+37/60+6.7/3600</f>
        <v>7.6185277777777785</v>
      </c>
      <c r="P2424" s="8" t="s">
        <v>11181</v>
      </c>
      <c r="Q2424" s="8">
        <f>-(13+52/60+17/3600)</f>
        <v>-13.871388888888889</v>
      </c>
      <c r="R2424" s="8">
        <v>6.7</v>
      </c>
      <c r="S2424" s="8">
        <v>99</v>
      </c>
      <c r="T2424" s="8">
        <v>99</v>
      </c>
      <c r="U2424" s="8">
        <v>99</v>
      </c>
      <c r="V2424" s="8">
        <v>12</v>
      </c>
      <c r="Y2424" s="8" t="s">
        <v>11182</v>
      </c>
      <c r="Z2424" s="8" t="s">
        <v>11183</v>
      </c>
    </row>
    <row r="2425" spans="1:26" x14ac:dyDescent="0.2">
      <c r="A2425" s="8">
        <v>2424</v>
      </c>
      <c r="B2425" s="8" t="s">
        <v>11184</v>
      </c>
      <c r="C2425" s="8" t="s">
        <v>11184</v>
      </c>
      <c r="F2425" s="47"/>
      <c r="G2425" s="8">
        <v>19</v>
      </c>
      <c r="H2425" s="8" t="s">
        <v>21</v>
      </c>
      <c r="I2425" s="8" t="s">
        <v>22</v>
      </c>
      <c r="J2425" s="8" t="s">
        <v>22</v>
      </c>
      <c r="K2425" s="8" t="s">
        <v>218</v>
      </c>
      <c r="L2425" s="8" t="s">
        <v>10511</v>
      </c>
      <c r="M2425" s="8" t="s">
        <v>10512</v>
      </c>
      <c r="N2425" s="8" t="s">
        <v>11185</v>
      </c>
      <c r="O2425" s="8">
        <f>7+40/60+39.3/3600</f>
        <v>7.6775833333333336</v>
      </c>
      <c r="P2425" s="8" t="s">
        <v>11186</v>
      </c>
      <c r="Q2425" s="8">
        <f>+(39+14/60+0/3600)</f>
        <v>39.233333333333334</v>
      </c>
      <c r="R2425" s="8">
        <v>12.6</v>
      </c>
      <c r="S2425" s="8">
        <v>13.6</v>
      </c>
      <c r="T2425" s="8">
        <v>1</v>
      </c>
      <c r="U2425" s="8">
        <v>13.3</v>
      </c>
      <c r="V2425" s="8">
        <v>3.6</v>
      </c>
      <c r="W2425" s="8">
        <v>0.5</v>
      </c>
      <c r="X2425" s="8">
        <v>81</v>
      </c>
      <c r="Y2425" s="8" t="s">
        <v>11187</v>
      </c>
      <c r="Z2425" s="8" t="s">
        <v>11188</v>
      </c>
    </row>
    <row r="2426" spans="1:26" x14ac:dyDescent="0.2">
      <c r="A2426" s="8">
        <v>2425</v>
      </c>
      <c r="B2426" s="8" t="s">
        <v>11189</v>
      </c>
      <c r="C2426" s="8" t="s">
        <v>11189</v>
      </c>
      <c r="F2426" s="47" t="s">
        <v>56527</v>
      </c>
      <c r="G2426" s="8">
        <v>9</v>
      </c>
      <c r="H2426" s="8" t="s">
        <v>21</v>
      </c>
      <c r="I2426" s="8" t="s">
        <v>557</v>
      </c>
      <c r="J2426" s="8" t="s">
        <v>557</v>
      </c>
      <c r="K2426" s="8" t="s">
        <v>987</v>
      </c>
      <c r="L2426" s="8" t="s">
        <v>10175</v>
      </c>
      <c r="M2426" s="8" t="s">
        <v>10176</v>
      </c>
      <c r="N2426" s="8" t="s">
        <v>11190</v>
      </c>
      <c r="O2426" s="8">
        <f>7+38/60+17.6/3600</f>
        <v>7.6382222222222218</v>
      </c>
      <c r="P2426" s="8" t="s">
        <v>11191</v>
      </c>
      <c r="Q2426" s="8">
        <f>-(14+52/60+40/3600)</f>
        <v>-14.877777777777778</v>
      </c>
      <c r="R2426" s="8">
        <v>99</v>
      </c>
      <c r="S2426" s="8">
        <v>99</v>
      </c>
      <c r="T2426" s="8">
        <v>99</v>
      </c>
      <c r="U2426" s="8">
        <v>99</v>
      </c>
      <c r="V2426" s="8">
        <v>5</v>
      </c>
      <c r="Y2426" s="8" t="s">
        <v>11192</v>
      </c>
      <c r="Z2426" s="8" t="s">
        <v>11193</v>
      </c>
    </row>
    <row r="2427" spans="1:26" x14ac:dyDescent="0.2">
      <c r="A2427" s="8">
        <v>2426</v>
      </c>
      <c r="B2427" s="8" t="s">
        <v>11194</v>
      </c>
      <c r="C2427" s="8" t="s">
        <v>11194</v>
      </c>
      <c r="F2427" s="47" t="s">
        <v>56528</v>
      </c>
      <c r="G2427" s="8">
        <v>15</v>
      </c>
      <c r="H2427" s="8" t="s">
        <v>21</v>
      </c>
      <c r="I2427" s="8" t="s">
        <v>22</v>
      </c>
      <c r="J2427" s="8" t="s">
        <v>22</v>
      </c>
      <c r="K2427" s="8" t="s">
        <v>460</v>
      </c>
      <c r="L2427" s="8" t="s">
        <v>10511</v>
      </c>
      <c r="M2427" s="8" t="s">
        <v>10512</v>
      </c>
      <c r="N2427" s="8" t="s">
        <v>11195</v>
      </c>
      <c r="O2427" s="8">
        <f>7+43/60+18.4/3600</f>
        <v>7.7217777777777776</v>
      </c>
      <c r="P2427" s="8" t="s">
        <v>11196</v>
      </c>
      <c r="Q2427" s="8">
        <f>+(52+19/60+5/3600)</f>
        <v>52.31805555555556</v>
      </c>
      <c r="R2427" s="8">
        <v>13.1</v>
      </c>
      <c r="S2427" s="8">
        <v>14.1</v>
      </c>
      <c r="T2427" s="8">
        <v>1</v>
      </c>
      <c r="U2427" s="8">
        <v>13.3</v>
      </c>
      <c r="V2427" s="8">
        <v>1.1000000000000001</v>
      </c>
      <c r="W2427" s="8">
        <v>1.1000000000000001</v>
      </c>
      <c r="Y2427" s="8" t="s">
        <v>11197</v>
      </c>
      <c r="Z2427" s="8" t="s">
        <v>11198</v>
      </c>
    </row>
    <row r="2428" spans="1:26" x14ac:dyDescent="0.2">
      <c r="A2428" s="8">
        <v>2427</v>
      </c>
      <c r="B2428" s="8" t="s">
        <v>11199</v>
      </c>
      <c r="C2428" s="8" t="s">
        <v>11199</v>
      </c>
      <c r="F2428" s="47"/>
      <c r="G2428" s="8">
        <v>16</v>
      </c>
      <c r="H2428" s="8" t="s">
        <v>21</v>
      </c>
      <c r="I2428" s="8" t="s">
        <v>22</v>
      </c>
      <c r="J2428" s="8" t="s">
        <v>22</v>
      </c>
      <c r="K2428" s="8" t="s">
        <v>773</v>
      </c>
      <c r="L2428" s="8" t="s">
        <v>10175</v>
      </c>
      <c r="M2428" s="8" t="s">
        <v>10176</v>
      </c>
      <c r="N2428" s="8" t="s">
        <v>11200</v>
      </c>
      <c r="O2428" s="8">
        <f>7+36/60+27.9/3600</f>
        <v>7.6077499999999993</v>
      </c>
      <c r="P2428" s="8" t="s">
        <v>11201</v>
      </c>
      <c r="Q2428" s="8">
        <f>-(47+38/60+9/3600)</f>
        <v>-47.635833333333331</v>
      </c>
      <c r="R2428" s="8">
        <v>11.5</v>
      </c>
      <c r="S2428" s="8">
        <v>12.3</v>
      </c>
      <c r="T2428" s="8">
        <v>0.8</v>
      </c>
      <c r="U2428" s="8">
        <v>14</v>
      </c>
      <c r="V2428" s="8">
        <v>4.9000000000000004</v>
      </c>
      <c r="W2428" s="8">
        <v>2</v>
      </c>
      <c r="X2428" s="8">
        <v>122</v>
      </c>
      <c r="Y2428" s="8" t="s">
        <v>11202</v>
      </c>
      <c r="Z2428" s="8" t="s">
        <v>11203</v>
      </c>
    </row>
    <row r="2429" spans="1:26" x14ac:dyDescent="0.2">
      <c r="A2429" s="8">
        <v>2428</v>
      </c>
      <c r="B2429" s="8" t="s">
        <v>11204</v>
      </c>
      <c r="C2429" s="8" t="s">
        <v>11204</v>
      </c>
      <c r="F2429" s="47" t="s">
        <v>56529</v>
      </c>
      <c r="G2429" s="8">
        <v>15</v>
      </c>
      <c r="H2429" s="8" t="s">
        <v>21</v>
      </c>
      <c r="I2429" s="8" t="s">
        <v>557</v>
      </c>
      <c r="J2429" s="8" t="s">
        <v>557</v>
      </c>
      <c r="K2429" s="8" t="s">
        <v>557</v>
      </c>
      <c r="L2429" s="8" t="s">
        <v>10175</v>
      </c>
      <c r="M2429" s="8" t="s">
        <v>10176</v>
      </c>
      <c r="N2429" s="8" t="s">
        <v>11205</v>
      </c>
      <c r="O2429" s="8">
        <f>7+39/60+22/3600</f>
        <v>7.6561111111111115</v>
      </c>
      <c r="P2429" s="8" t="s">
        <v>11206</v>
      </c>
      <c r="Q2429" s="8">
        <f>-(16+31/60+42/3600)</f>
        <v>-16.528333333333332</v>
      </c>
      <c r="R2429" s="8">
        <v>99</v>
      </c>
      <c r="S2429" s="8">
        <v>99</v>
      </c>
      <c r="T2429" s="8">
        <v>99</v>
      </c>
      <c r="U2429" s="8">
        <v>99</v>
      </c>
      <c r="V2429" s="8">
        <v>13</v>
      </c>
      <c r="Y2429" s="8" t="s">
        <v>11207</v>
      </c>
      <c r="Z2429" s="8" t="s">
        <v>11056</v>
      </c>
    </row>
    <row r="2430" spans="1:26" x14ac:dyDescent="0.2">
      <c r="A2430" s="8">
        <v>2429</v>
      </c>
      <c r="B2430" s="8" t="s">
        <v>11208</v>
      </c>
      <c r="C2430" s="8" t="s">
        <v>11208</v>
      </c>
      <c r="F2430" s="47"/>
      <c r="G2430" s="8">
        <v>18</v>
      </c>
      <c r="H2430" s="8" t="s">
        <v>21</v>
      </c>
      <c r="I2430" s="8" t="s">
        <v>22</v>
      </c>
      <c r="J2430" s="8" t="s">
        <v>22</v>
      </c>
      <c r="K2430" s="8" t="s">
        <v>396</v>
      </c>
      <c r="L2430" s="8" t="s">
        <v>10511</v>
      </c>
      <c r="M2430" s="8" t="s">
        <v>10512</v>
      </c>
      <c r="N2430" s="8" t="s">
        <v>11209</v>
      </c>
      <c r="O2430" s="8">
        <f>7+43/60+47.5/3600</f>
        <v>7.7298611111111111</v>
      </c>
      <c r="P2430" s="8" t="s">
        <v>11210</v>
      </c>
      <c r="Q2430" s="8">
        <f>+(52+21/60+27/3600)</f>
        <v>52.357500000000002</v>
      </c>
      <c r="R2430" s="8">
        <v>13.7</v>
      </c>
      <c r="S2430" s="8">
        <v>14.5</v>
      </c>
      <c r="T2430" s="8">
        <v>0.8</v>
      </c>
      <c r="U2430" s="8">
        <v>13</v>
      </c>
      <c r="V2430" s="8">
        <v>1.5</v>
      </c>
      <c r="W2430" s="8">
        <v>0.4</v>
      </c>
      <c r="X2430" s="8">
        <v>145</v>
      </c>
      <c r="Y2430" s="8" t="s">
        <v>11211</v>
      </c>
      <c r="Z2430" s="8" t="s">
        <v>11212</v>
      </c>
    </row>
    <row r="2431" spans="1:26" x14ac:dyDescent="0.2">
      <c r="A2431" s="8">
        <v>2430</v>
      </c>
      <c r="B2431" s="8" t="s">
        <v>11213</v>
      </c>
      <c r="C2431" s="8" t="s">
        <v>11213</v>
      </c>
      <c r="F2431" s="47" t="s">
        <v>56530</v>
      </c>
      <c r="G2431" s="8">
        <v>12</v>
      </c>
      <c r="H2431" s="8" t="s">
        <v>21</v>
      </c>
      <c r="I2431" s="8" t="s">
        <v>72</v>
      </c>
      <c r="J2431" s="8" t="s">
        <v>72</v>
      </c>
      <c r="K2431" s="8" t="s">
        <v>1405</v>
      </c>
      <c r="L2431" s="8" t="s">
        <v>10175</v>
      </c>
      <c r="M2431" s="8" t="s">
        <v>10176</v>
      </c>
      <c r="N2431" s="8" t="s">
        <v>11214</v>
      </c>
      <c r="O2431" s="8">
        <f>7+39/60+41/3600</f>
        <v>7.6613888888888892</v>
      </c>
      <c r="P2431" s="8" t="s">
        <v>11215</v>
      </c>
      <c r="Q2431" s="8">
        <f>-(16+17/60+46/3600)</f>
        <v>-16.296111111111113</v>
      </c>
      <c r="R2431" s="8">
        <v>99</v>
      </c>
      <c r="S2431" s="8">
        <v>99</v>
      </c>
      <c r="T2431" s="8">
        <v>99</v>
      </c>
      <c r="U2431" s="8">
        <v>99</v>
      </c>
      <c r="V2431" s="8">
        <v>7.5</v>
      </c>
      <c r="Y2431" s="8" t="s">
        <v>11207</v>
      </c>
      <c r="Z2431" s="8" t="s">
        <v>11056</v>
      </c>
    </row>
    <row r="2432" spans="1:26" x14ac:dyDescent="0.2">
      <c r="A2432" s="8">
        <v>2431</v>
      </c>
      <c r="B2432" s="8" t="s">
        <v>11216</v>
      </c>
      <c r="C2432" s="8" t="s">
        <v>11216</v>
      </c>
      <c r="F2432" s="47" t="s">
        <v>56531</v>
      </c>
      <c r="G2432" s="8">
        <v>15</v>
      </c>
      <c r="H2432" s="8" t="s">
        <v>21</v>
      </c>
      <c r="I2432" s="8" t="s">
        <v>22</v>
      </c>
      <c r="J2432" s="8" t="s">
        <v>22</v>
      </c>
      <c r="K2432" s="8" t="s">
        <v>154</v>
      </c>
      <c r="L2432" s="8" t="s">
        <v>10511</v>
      </c>
      <c r="M2432" s="8" t="s">
        <v>10512</v>
      </c>
      <c r="N2432" s="8" t="s">
        <v>11217</v>
      </c>
      <c r="O2432" s="8">
        <f>7+45/60+13.3/3600</f>
        <v>7.7536944444444442</v>
      </c>
      <c r="P2432" s="8" t="s">
        <v>11218</v>
      </c>
      <c r="Q2432" s="8">
        <f>+(53+4/60+32/3600)</f>
        <v>53.07555555555556</v>
      </c>
      <c r="R2432" s="8">
        <v>13.4</v>
      </c>
      <c r="S2432" s="8">
        <v>14.3</v>
      </c>
      <c r="T2432" s="8">
        <v>0.9</v>
      </c>
      <c r="U2432" s="8">
        <v>13</v>
      </c>
      <c r="V2432" s="8">
        <v>0.9</v>
      </c>
      <c r="W2432" s="8">
        <v>0.9</v>
      </c>
      <c r="Y2432" s="8" t="s">
        <v>11219</v>
      </c>
      <c r="Z2432" s="8" t="s">
        <v>4166</v>
      </c>
    </row>
    <row r="2433" spans="1:26" x14ac:dyDescent="0.2">
      <c r="A2433" s="8">
        <v>2432</v>
      </c>
      <c r="B2433" s="8" t="s">
        <v>11220</v>
      </c>
      <c r="C2433" s="8" t="s">
        <v>11220</v>
      </c>
      <c r="F2433" s="47" t="s">
        <v>56532</v>
      </c>
      <c r="G2433" s="8">
        <v>6.5</v>
      </c>
      <c r="H2433" s="8" t="s">
        <v>21</v>
      </c>
      <c r="I2433" s="8" t="s">
        <v>557</v>
      </c>
      <c r="J2433" s="8" t="s">
        <v>557</v>
      </c>
      <c r="K2433" s="8" t="s">
        <v>3602</v>
      </c>
      <c r="L2433" s="8" t="s">
        <v>10175</v>
      </c>
      <c r="M2433" s="8" t="s">
        <v>10176</v>
      </c>
      <c r="N2433" s="8" t="s">
        <v>11221</v>
      </c>
      <c r="O2433" s="8">
        <f>7+40/60+53/3600</f>
        <v>7.6813888888888888</v>
      </c>
      <c r="P2433" s="8" t="s">
        <v>11222</v>
      </c>
      <c r="Q2433" s="8">
        <f>-(19+4/60+36/3600)</f>
        <v>-19.076666666666668</v>
      </c>
      <c r="R2433" s="8">
        <v>10.199999999999999</v>
      </c>
      <c r="S2433" s="8">
        <v>99</v>
      </c>
      <c r="T2433" s="8">
        <v>99</v>
      </c>
      <c r="U2433" s="8">
        <v>99</v>
      </c>
      <c r="V2433" s="8">
        <v>7</v>
      </c>
      <c r="Y2433" s="8" t="s">
        <v>11223</v>
      </c>
      <c r="Z2433" s="8" t="s">
        <v>11224</v>
      </c>
    </row>
    <row r="2434" spans="1:26" x14ac:dyDescent="0.2">
      <c r="A2434" s="8">
        <v>2433</v>
      </c>
      <c r="B2434" s="8" t="s">
        <v>11225</v>
      </c>
      <c r="C2434" s="8" t="s">
        <v>11225</v>
      </c>
      <c r="F2434" s="47"/>
      <c r="G2434" s="8">
        <v>16</v>
      </c>
      <c r="H2434" s="8" t="s">
        <v>21</v>
      </c>
      <c r="I2434" s="8" t="s">
        <v>72</v>
      </c>
      <c r="J2434" s="8" t="s">
        <v>72</v>
      </c>
      <c r="K2434" s="8" t="s">
        <v>1802</v>
      </c>
      <c r="L2434" s="8" t="s">
        <v>10848</v>
      </c>
      <c r="M2434" s="8" t="s">
        <v>10849</v>
      </c>
      <c r="N2434" s="8" t="s">
        <v>11226</v>
      </c>
      <c r="O2434" s="8">
        <f>7+42/60+43.6/3600</f>
        <v>7.7121111111111116</v>
      </c>
      <c r="P2434" s="8" t="s">
        <v>11227</v>
      </c>
      <c r="Q2434" s="8">
        <f>+(9+15/60+33/3600)</f>
        <v>9.2591666666666672</v>
      </c>
      <c r="R2434" s="8">
        <v>99</v>
      </c>
      <c r="S2434" s="8">
        <v>99</v>
      </c>
      <c r="T2434" s="8">
        <v>99</v>
      </c>
      <c r="U2434" s="8">
        <v>99</v>
      </c>
      <c r="Y2434" s="8" t="s">
        <v>11228</v>
      </c>
      <c r="Z2434" s="8" t="s">
        <v>11229</v>
      </c>
    </row>
    <row r="2435" spans="1:26" x14ac:dyDescent="0.2">
      <c r="A2435" s="8">
        <v>2434</v>
      </c>
      <c r="B2435" s="8" t="s">
        <v>11230</v>
      </c>
      <c r="C2435" s="8" t="s">
        <v>11230</v>
      </c>
      <c r="F2435" s="47"/>
      <c r="G2435" s="8">
        <v>13</v>
      </c>
      <c r="H2435" s="8" t="s">
        <v>21</v>
      </c>
      <c r="I2435" s="8" t="s">
        <v>22</v>
      </c>
      <c r="J2435" s="8" t="s">
        <v>22</v>
      </c>
      <c r="K2435" s="8" t="s">
        <v>183</v>
      </c>
      <c r="L2435" s="8" t="s">
        <v>10656</v>
      </c>
      <c r="M2435" s="8" t="s">
        <v>10657</v>
      </c>
      <c r="N2435" s="8" t="s">
        <v>11231</v>
      </c>
      <c r="O2435" s="8">
        <f>7+34/60+51.5/3600</f>
        <v>7.580972222222222</v>
      </c>
      <c r="P2435" s="8" t="s">
        <v>11232</v>
      </c>
      <c r="Q2435" s="8">
        <f>-(69+17/60+4/3600)</f>
        <v>-69.284444444444446</v>
      </c>
      <c r="R2435" s="8">
        <v>11.2</v>
      </c>
      <c r="S2435" s="8">
        <v>12.3</v>
      </c>
      <c r="T2435" s="8">
        <v>1.1000000000000001</v>
      </c>
      <c r="U2435" s="8">
        <v>13.1</v>
      </c>
      <c r="V2435" s="8">
        <v>2.4</v>
      </c>
      <c r="W2435" s="8">
        <v>2.2000000000000002</v>
      </c>
      <c r="X2435" s="8">
        <v>133</v>
      </c>
      <c r="Y2435" s="8" t="s">
        <v>11233</v>
      </c>
      <c r="Z2435" s="8" t="s">
        <v>11234</v>
      </c>
    </row>
    <row r="2436" spans="1:26" x14ac:dyDescent="0.2">
      <c r="A2436" s="8">
        <v>2435</v>
      </c>
      <c r="B2436" s="8" t="s">
        <v>11235</v>
      </c>
      <c r="C2436" s="8" t="s">
        <v>11235</v>
      </c>
      <c r="F2436" s="47" t="s">
        <v>56533</v>
      </c>
      <c r="G2436" s="8">
        <v>15</v>
      </c>
      <c r="H2436" s="8" t="s">
        <v>21</v>
      </c>
      <c r="I2436" s="8" t="s">
        <v>22</v>
      </c>
      <c r="J2436" s="8" t="s">
        <v>22</v>
      </c>
      <c r="K2436" s="8" t="s">
        <v>91</v>
      </c>
      <c r="L2436" s="8" t="s">
        <v>9862</v>
      </c>
      <c r="M2436" s="8" t="s">
        <v>9863</v>
      </c>
      <c r="N2436" s="8" t="s">
        <v>11236</v>
      </c>
      <c r="O2436" s="8">
        <f>7+44/60+13.4/3600</f>
        <v>7.737055555555556</v>
      </c>
      <c r="P2436" s="8" t="s">
        <v>11237</v>
      </c>
      <c r="Q2436" s="8">
        <f>+(31+39/60+2/3600)</f>
        <v>31.650555555555552</v>
      </c>
      <c r="R2436" s="8">
        <v>12.8</v>
      </c>
      <c r="S2436" s="8">
        <v>13.7</v>
      </c>
      <c r="T2436" s="8">
        <v>0.9</v>
      </c>
      <c r="U2436" s="8">
        <v>12.7</v>
      </c>
      <c r="V2436" s="8">
        <v>2.2000000000000002</v>
      </c>
      <c r="W2436" s="8">
        <v>0.5</v>
      </c>
      <c r="X2436" s="8">
        <v>36</v>
      </c>
      <c r="Y2436" s="8" t="s">
        <v>11238</v>
      </c>
      <c r="Z2436" s="8" t="s">
        <v>11239</v>
      </c>
    </row>
    <row r="2437" spans="1:26" x14ac:dyDescent="0.2">
      <c r="A2437" s="8">
        <v>2436</v>
      </c>
      <c r="B2437" s="8" t="s">
        <v>11240</v>
      </c>
      <c r="C2437" s="8" t="s">
        <v>11240</v>
      </c>
      <c r="F2437" s="47"/>
      <c r="G2437" s="8">
        <v>16</v>
      </c>
      <c r="H2437" s="8" t="s">
        <v>21</v>
      </c>
      <c r="I2437" s="8" t="s">
        <v>22</v>
      </c>
      <c r="J2437" s="8" t="s">
        <v>57</v>
      </c>
      <c r="K2437" s="8" t="s">
        <v>154</v>
      </c>
      <c r="L2437" s="8" t="s">
        <v>10511</v>
      </c>
      <c r="M2437" s="8" t="s">
        <v>10512</v>
      </c>
      <c r="N2437" s="8" t="s">
        <v>11217</v>
      </c>
      <c r="O2437" s="8">
        <f>7+45/60+13.3/3600</f>
        <v>7.7536944444444442</v>
      </c>
      <c r="P2437" s="8" t="s">
        <v>11218</v>
      </c>
      <c r="Q2437" s="8">
        <f>+(53+4/60+32/3600)</f>
        <v>53.07555555555556</v>
      </c>
      <c r="R2437" s="8">
        <v>13.4</v>
      </c>
      <c r="S2437" s="8">
        <v>14.3</v>
      </c>
      <c r="T2437" s="8">
        <v>0.9</v>
      </c>
      <c r="U2437" s="8">
        <v>13</v>
      </c>
      <c r="V2437" s="8">
        <v>0.9</v>
      </c>
      <c r="W2437" s="8">
        <v>0.9</v>
      </c>
      <c r="Y2437" s="8" t="s">
        <v>115</v>
      </c>
      <c r="Z2437" s="8" t="s">
        <v>116</v>
      </c>
    </row>
    <row r="2438" spans="1:26" x14ac:dyDescent="0.2">
      <c r="A2438" s="8">
        <v>2437</v>
      </c>
      <c r="B2438" s="8" t="s">
        <v>11241</v>
      </c>
      <c r="C2438" s="8" t="s">
        <v>55882</v>
      </c>
      <c r="F2438" s="47"/>
      <c r="G2438" s="8">
        <v>1</v>
      </c>
      <c r="H2438" s="8" t="s">
        <v>21</v>
      </c>
      <c r="I2438" s="8" t="s">
        <v>557</v>
      </c>
      <c r="J2438" s="8" t="s">
        <v>557</v>
      </c>
      <c r="K2438" s="8" t="s">
        <v>3217</v>
      </c>
      <c r="L2438" s="8" t="s">
        <v>10175</v>
      </c>
      <c r="M2438" s="8" t="s">
        <v>10176</v>
      </c>
      <c r="N2438" s="8" t="s">
        <v>11242</v>
      </c>
      <c r="O2438" s="8">
        <f>7+41/60+46.8/3600</f>
        <v>7.6963333333333335</v>
      </c>
      <c r="P2438" s="8" t="s">
        <v>11243</v>
      </c>
      <c r="Q2438" s="8">
        <f>-(14+48/60+36/3600)</f>
        <v>-14.81</v>
      </c>
      <c r="R2438" s="8">
        <v>6.1</v>
      </c>
      <c r="S2438" s="8">
        <v>99</v>
      </c>
      <c r="T2438" s="8">
        <v>99</v>
      </c>
      <c r="U2438" s="8">
        <v>99</v>
      </c>
      <c r="V2438" s="8">
        <v>20</v>
      </c>
      <c r="Y2438" s="8" t="s">
        <v>11244</v>
      </c>
      <c r="Z2438" s="8" t="s">
        <v>11245</v>
      </c>
    </row>
    <row r="2439" spans="1:26" x14ac:dyDescent="0.2">
      <c r="A2439" s="8">
        <v>2438</v>
      </c>
      <c r="B2439" s="8" t="s">
        <v>11246</v>
      </c>
      <c r="C2439" s="8" t="s">
        <v>11246</v>
      </c>
      <c r="F2439" s="47" t="s">
        <v>56534</v>
      </c>
      <c r="G2439" s="8">
        <v>5</v>
      </c>
      <c r="H2439" s="8" t="s">
        <v>21</v>
      </c>
      <c r="I2439" s="8" t="s">
        <v>241</v>
      </c>
      <c r="J2439" s="8" t="s">
        <v>241</v>
      </c>
      <c r="K2439" s="8" t="s">
        <v>241</v>
      </c>
      <c r="L2439" s="8" t="s">
        <v>10175</v>
      </c>
      <c r="M2439" s="8" t="s">
        <v>10176</v>
      </c>
      <c r="N2439" s="8" t="s">
        <v>11247</v>
      </c>
      <c r="O2439" s="8">
        <f>7+41/60+50.6/3600</f>
        <v>7.6973888888888888</v>
      </c>
      <c r="P2439" s="8" t="s">
        <v>11248</v>
      </c>
      <c r="Q2439" s="8">
        <f>-(14+44/60+5/3600)</f>
        <v>-14.734722222222221</v>
      </c>
      <c r="R2439" s="8">
        <v>10.8</v>
      </c>
      <c r="S2439" s="8">
        <v>10.1</v>
      </c>
      <c r="T2439" s="8">
        <v>99</v>
      </c>
      <c r="U2439" s="8">
        <v>99</v>
      </c>
      <c r="V2439" s="8">
        <v>1.27</v>
      </c>
      <c r="Y2439" s="8" t="s">
        <v>11219</v>
      </c>
      <c r="Z2439" s="8" t="s">
        <v>11249</v>
      </c>
    </row>
    <row r="2440" spans="1:26" x14ac:dyDescent="0.2">
      <c r="A2440" s="8">
        <v>2439</v>
      </c>
      <c r="B2440" s="8" t="s">
        <v>11250</v>
      </c>
      <c r="C2440" s="8" t="s">
        <v>11250</v>
      </c>
      <c r="F2440" s="47"/>
      <c r="G2440" s="8">
        <v>5</v>
      </c>
      <c r="H2440" s="8" t="s">
        <v>11251</v>
      </c>
      <c r="I2440" s="8" t="s">
        <v>557</v>
      </c>
      <c r="J2440" s="8" t="s">
        <v>557</v>
      </c>
      <c r="K2440" s="8" t="s">
        <v>3170</v>
      </c>
      <c r="L2440" s="8" t="s">
        <v>10175</v>
      </c>
      <c r="M2440" s="8" t="s">
        <v>10176</v>
      </c>
      <c r="N2440" s="8" t="s">
        <v>11252</v>
      </c>
      <c r="O2440" s="8">
        <f>7+40/60+45.4/3600</f>
        <v>7.6792777777777781</v>
      </c>
      <c r="P2440" s="8" t="s">
        <v>11253</v>
      </c>
      <c r="Q2440" s="8">
        <f>-(31+41/60+33/3600)</f>
        <v>-31.692499999999999</v>
      </c>
      <c r="R2440" s="8">
        <v>6.9</v>
      </c>
      <c r="S2440" s="8">
        <v>99</v>
      </c>
      <c r="T2440" s="8">
        <v>99</v>
      </c>
      <c r="U2440" s="8">
        <v>99</v>
      </c>
      <c r="V2440" s="8">
        <v>9</v>
      </c>
      <c r="Y2440" s="8" t="s">
        <v>11254</v>
      </c>
      <c r="Z2440" s="8" t="s">
        <v>11255</v>
      </c>
    </row>
    <row r="2441" spans="1:26" x14ac:dyDescent="0.2">
      <c r="A2441" s="8">
        <v>2440</v>
      </c>
      <c r="B2441" s="8" t="s">
        <v>11256</v>
      </c>
      <c r="C2441" s="8" t="s">
        <v>11256</v>
      </c>
      <c r="F2441" s="47" t="s">
        <v>56535</v>
      </c>
      <c r="G2441" s="8">
        <v>5</v>
      </c>
      <c r="H2441" s="8" t="s">
        <v>11257</v>
      </c>
      <c r="I2441" s="8" t="s">
        <v>241</v>
      </c>
      <c r="J2441" s="8" t="s">
        <v>241</v>
      </c>
      <c r="K2441" s="8" t="s">
        <v>241</v>
      </c>
      <c r="L2441" s="8" t="s">
        <v>10175</v>
      </c>
      <c r="M2441" s="8" t="s">
        <v>10176</v>
      </c>
      <c r="N2441" s="8" t="s">
        <v>11258</v>
      </c>
      <c r="O2441" s="8">
        <f>7+41/60+55.4/3600</f>
        <v>7.698722222222222</v>
      </c>
      <c r="P2441" s="8" t="s">
        <v>11259</v>
      </c>
      <c r="Q2441" s="8">
        <f>-(18+12/60+29/3600)</f>
        <v>-18.208055555555553</v>
      </c>
      <c r="R2441" s="8">
        <v>9.4</v>
      </c>
      <c r="S2441" s="8">
        <v>10.8</v>
      </c>
      <c r="T2441" s="8">
        <v>99</v>
      </c>
      <c r="U2441" s="8">
        <v>99</v>
      </c>
      <c r="V2441" s="8">
        <v>1.32</v>
      </c>
      <c r="Y2441" s="8" t="s">
        <v>11260</v>
      </c>
      <c r="Z2441" s="8" t="s">
        <v>11261</v>
      </c>
    </row>
    <row r="2442" spans="1:26" x14ac:dyDescent="0.2">
      <c r="A2442" s="8">
        <v>2441</v>
      </c>
      <c r="B2442" s="8" t="s">
        <v>11262</v>
      </c>
      <c r="C2442" s="8" t="s">
        <v>11262</v>
      </c>
      <c r="F2442" s="47"/>
      <c r="G2442" s="8">
        <v>13</v>
      </c>
      <c r="H2442" s="8" t="s">
        <v>21</v>
      </c>
      <c r="I2442" s="8" t="s">
        <v>22</v>
      </c>
      <c r="J2442" s="8" t="s">
        <v>22</v>
      </c>
      <c r="K2442" s="8" t="s">
        <v>218</v>
      </c>
      <c r="L2442" s="8" t="s">
        <v>6823</v>
      </c>
      <c r="M2442" s="8" t="s">
        <v>6824</v>
      </c>
      <c r="N2442" s="8" t="s">
        <v>11263</v>
      </c>
      <c r="O2442" s="8">
        <f>7+51/60+54.5/3600</f>
        <v>7.8651388888888887</v>
      </c>
      <c r="P2442" s="8" t="s">
        <v>11264</v>
      </c>
      <c r="Q2442" s="8">
        <f>+(73+0/60+55/3600)</f>
        <v>73.015277777777783</v>
      </c>
      <c r="R2442" s="8">
        <v>12.2</v>
      </c>
      <c r="S2442" s="8">
        <v>13</v>
      </c>
      <c r="T2442" s="8">
        <v>0.8</v>
      </c>
      <c r="U2442" s="8">
        <v>13.4</v>
      </c>
      <c r="V2442" s="8">
        <v>2</v>
      </c>
      <c r="W2442" s="8">
        <v>1.8</v>
      </c>
      <c r="X2442" s="8">
        <v>45</v>
      </c>
      <c r="Y2442" s="8" t="s">
        <v>4007</v>
      </c>
      <c r="Z2442" s="8" t="s">
        <v>4008</v>
      </c>
    </row>
    <row r="2443" spans="1:26" x14ac:dyDescent="0.2">
      <c r="A2443" s="8">
        <v>2442</v>
      </c>
      <c r="B2443" s="8" t="s">
        <v>11265</v>
      </c>
      <c r="C2443" s="8" t="s">
        <v>11265</v>
      </c>
      <c r="F2443" s="47"/>
      <c r="G2443" s="8">
        <v>10</v>
      </c>
      <c r="H2443" s="8" t="s">
        <v>11266</v>
      </c>
      <c r="I2443" s="8" t="s">
        <v>22</v>
      </c>
      <c r="J2443" s="8" t="s">
        <v>22</v>
      </c>
      <c r="K2443" s="8" t="s">
        <v>85</v>
      </c>
      <c r="L2443" s="8" t="s">
        <v>10656</v>
      </c>
      <c r="M2443" s="8" t="s">
        <v>10657</v>
      </c>
      <c r="N2443" s="8" t="s">
        <v>11267</v>
      </c>
      <c r="O2443" s="8">
        <f>7+36/60+23.8/3600</f>
        <v>7.6066111111111105</v>
      </c>
      <c r="P2443" s="8" t="s">
        <v>11268</v>
      </c>
      <c r="Q2443" s="8">
        <f>-(69+31/60+51/3600)</f>
        <v>-69.530833333333334</v>
      </c>
      <c r="R2443" s="8">
        <v>10.4</v>
      </c>
      <c r="S2443" s="8">
        <v>11.2</v>
      </c>
      <c r="T2443" s="8">
        <v>0.8</v>
      </c>
      <c r="U2443" s="8">
        <v>13.9</v>
      </c>
      <c r="V2443" s="8">
        <v>6</v>
      </c>
      <c r="W2443" s="8">
        <v>5</v>
      </c>
      <c r="X2443" s="8">
        <v>27</v>
      </c>
      <c r="Y2443" s="8" t="s">
        <v>11269</v>
      </c>
      <c r="Z2443" s="8" t="s">
        <v>11270</v>
      </c>
    </row>
    <row r="2444" spans="1:26" x14ac:dyDescent="0.2">
      <c r="A2444" s="8">
        <v>2443</v>
      </c>
      <c r="B2444" s="8" t="s">
        <v>11271</v>
      </c>
      <c r="C2444" s="8" t="s">
        <v>11271</v>
      </c>
      <c r="F2444" s="47"/>
      <c r="G2444" s="8">
        <v>18</v>
      </c>
      <c r="H2444" s="8" t="s">
        <v>21</v>
      </c>
      <c r="I2444" s="8" t="s">
        <v>22</v>
      </c>
      <c r="J2444" s="8" t="s">
        <v>57</v>
      </c>
      <c r="K2444" s="8" t="s">
        <v>85</v>
      </c>
      <c r="L2444" s="8" t="s">
        <v>10656</v>
      </c>
      <c r="M2444" s="8" t="s">
        <v>10657</v>
      </c>
      <c r="N2444" s="8" t="s">
        <v>11267</v>
      </c>
      <c r="O2444" s="8">
        <f>7+36/60+23.8/3600</f>
        <v>7.6066111111111105</v>
      </c>
      <c r="P2444" s="8" t="s">
        <v>11268</v>
      </c>
      <c r="Q2444" s="8">
        <f>-(69+31/60+51/3600)</f>
        <v>-69.530833333333334</v>
      </c>
      <c r="R2444" s="8">
        <v>10.4</v>
      </c>
      <c r="S2444" s="8">
        <v>11.2</v>
      </c>
      <c r="T2444" s="8">
        <v>0.8</v>
      </c>
      <c r="U2444" s="8">
        <v>13.9</v>
      </c>
      <c r="V2444" s="8">
        <v>6</v>
      </c>
      <c r="W2444" s="8">
        <v>5</v>
      </c>
      <c r="X2444" s="8">
        <v>27</v>
      </c>
      <c r="Y2444" s="8" t="s">
        <v>21</v>
      </c>
      <c r="Z2444" s="8" t="s">
        <v>11272</v>
      </c>
    </row>
    <row r="2445" spans="1:26" x14ac:dyDescent="0.2">
      <c r="A2445" s="8">
        <v>2444</v>
      </c>
      <c r="B2445" s="8" t="s">
        <v>11273</v>
      </c>
      <c r="C2445" s="8" t="s">
        <v>11273</v>
      </c>
      <c r="F2445" s="47"/>
      <c r="G2445" s="8">
        <v>18</v>
      </c>
      <c r="H2445" s="8" t="s">
        <v>21</v>
      </c>
      <c r="I2445" s="8" t="s">
        <v>22</v>
      </c>
      <c r="J2445" s="8" t="s">
        <v>22</v>
      </c>
      <c r="K2445" s="8" t="s">
        <v>37</v>
      </c>
      <c r="L2445" s="8" t="s">
        <v>10511</v>
      </c>
      <c r="M2445" s="8" t="s">
        <v>10512</v>
      </c>
      <c r="N2445" s="8" t="s">
        <v>11274</v>
      </c>
      <c r="O2445" s="8">
        <f>7+46/60+53/3600</f>
        <v>7.7813888888888885</v>
      </c>
      <c r="P2445" s="8" t="s">
        <v>11275</v>
      </c>
      <c r="Q2445" s="8">
        <f>+(39+1/60+57/3600)</f>
        <v>39.032499999999999</v>
      </c>
      <c r="R2445" s="8">
        <v>13.2</v>
      </c>
      <c r="S2445" s="8">
        <v>14.2</v>
      </c>
      <c r="T2445" s="8">
        <v>1</v>
      </c>
      <c r="U2445" s="8">
        <v>13</v>
      </c>
      <c r="V2445" s="8">
        <v>1.6</v>
      </c>
      <c r="W2445" s="8">
        <v>0.9</v>
      </c>
      <c r="X2445" s="8">
        <v>27</v>
      </c>
      <c r="Y2445" s="8" t="s">
        <v>11276</v>
      </c>
      <c r="Z2445" s="8" t="s">
        <v>11277</v>
      </c>
    </row>
    <row r="2446" spans="1:26" x14ac:dyDescent="0.2">
      <c r="A2446" s="8">
        <v>2445</v>
      </c>
      <c r="B2446" s="8" t="s">
        <v>11278</v>
      </c>
      <c r="C2446" s="8" t="s">
        <v>11278</v>
      </c>
      <c r="F2446" s="47"/>
      <c r="G2446" s="8">
        <v>18</v>
      </c>
      <c r="H2446" s="8" t="s">
        <v>21</v>
      </c>
      <c r="I2446" s="8" t="s">
        <v>22</v>
      </c>
      <c r="J2446" s="8" t="s">
        <v>22</v>
      </c>
      <c r="K2446" s="8" t="s">
        <v>5364</v>
      </c>
      <c r="L2446" s="8" t="s">
        <v>10511</v>
      </c>
      <c r="M2446" s="8" t="s">
        <v>10512</v>
      </c>
      <c r="N2446" s="8" t="s">
        <v>11279</v>
      </c>
      <c r="O2446" s="8">
        <f>7+46/60+55/3600</f>
        <v>7.7819444444444441</v>
      </c>
      <c r="P2446" s="8" t="s">
        <v>11280</v>
      </c>
      <c r="Q2446" s="8">
        <f>+(39+0/60+56/3600)</f>
        <v>39.015555555555558</v>
      </c>
      <c r="R2446" s="8">
        <v>13.3</v>
      </c>
      <c r="S2446" s="8">
        <v>13.9</v>
      </c>
      <c r="T2446" s="8">
        <v>0.6</v>
      </c>
      <c r="U2446" s="8">
        <v>13.6</v>
      </c>
      <c r="V2446" s="8">
        <v>1.7</v>
      </c>
      <c r="W2446" s="8">
        <v>1.3</v>
      </c>
      <c r="X2446" s="8">
        <v>18</v>
      </c>
      <c r="Y2446" s="8" t="s">
        <v>11281</v>
      </c>
      <c r="Z2446" s="8" t="s">
        <v>11282</v>
      </c>
    </row>
    <row r="2447" spans="1:26" x14ac:dyDescent="0.2">
      <c r="A2447" s="8">
        <v>2446</v>
      </c>
      <c r="B2447" s="8" t="s">
        <v>11283</v>
      </c>
      <c r="C2447" s="8" t="s">
        <v>11283</v>
      </c>
      <c r="F2447" s="47"/>
      <c r="G2447" s="8">
        <v>16</v>
      </c>
      <c r="H2447" s="8" t="s">
        <v>21</v>
      </c>
      <c r="I2447" s="8" t="s">
        <v>22</v>
      </c>
      <c r="J2447" s="8" t="s">
        <v>22</v>
      </c>
      <c r="K2447" s="8" t="s">
        <v>23</v>
      </c>
      <c r="L2447" s="8" t="s">
        <v>10511</v>
      </c>
      <c r="M2447" s="8" t="s">
        <v>10512</v>
      </c>
      <c r="N2447" s="8" t="s">
        <v>11284</v>
      </c>
      <c r="O2447" s="8">
        <f>7+48/60+39.2/3600</f>
        <v>7.810888888888889</v>
      </c>
      <c r="P2447" s="8" t="s">
        <v>11285</v>
      </c>
      <c r="Q2447" s="8">
        <f>+(54+36/60+42/3600)</f>
        <v>54.611666666666665</v>
      </c>
      <c r="R2447" s="8">
        <v>12.9</v>
      </c>
      <c r="S2447" s="8">
        <v>13.7</v>
      </c>
      <c r="T2447" s="8">
        <v>0.8</v>
      </c>
      <c r="U2447" s="8">
        <v>13.4</v>
      </c>
      <c r="V2447" s="8">
        <v>1.9</v>
      </c>
      <c r="W2447" s="8">
        <v>1</v>
      </c>
      <c r="X2447" s="8">
        <v>124</v>
      </c>
      <c r="Y2447" s="8" t="s">
        <v>11286</v>
      </c>
      <c r="Z2447" s="8" t="s">
        <v>11287</v>
      </c>
    </row>
    <row r="2448" spans="1:26" x14ac:dyDescent="0.2">
      <c r="A2448" s="8">
        <v>2447</v>
      </c>
      <c r="B2448" s="8" t="s">
        <v>11288</v>
      </c>
      <c r="C2448" s="8" t="s">
        <v>55883</v>
      </c>
      <c r="F2448" s="47"/>
      <c r="G2448" s="8">
        <v>1</v>
      </c>
      <c r="H2448" s="8" t="s">
        <v>11289</v>
      </c>
      <c r="I2448" s="8" t="s">
        <v>557</v>
      </c>
      <c r="J2448" s="8" t="s">
        <v>557</v>
      </c>
      <c r="K2448" s="8" t="s">
        <v>600</v>
      </c>
      <c r="L2448" s="8" t="s">
        <v>10175</v>
      </c>
      <c r="M2448" s="8" t="s">
        <v>10176</v>
      </c>
      <c r="N2448" s="8" t="s">
        <v>11290</v>
      </c>
      <c r="O2448" s="8">
        <f>7+44/60+30/3600</f>
        <v>7.7416666666666671</v>
      </c>
      <c r="P2448" s="8" t="s">
        <v>11291</v>
      </c>
      <c r="Q2448" s="8">
        <f>-(23+51/60+24/3600)</f>
        <v>-23.856666666666669</v>
      </c>
      <c r="R2448" s="8">
        <v>6.2</v>
      </c>
      <c r="S2448" s="8">
        <v>99</v>
      </c>
      <c r="T2448" s="8">
        <v>99</v>
      </c>
      <c r="U2448" s="8">
        <v>99</v>
      </c>
      <c r="V2448" s="8">
        <v>10</v>
      </c>
      <c r="Y2448" s="8" t="s">
        <v>11292</v>
      </c>
      <c r="Z2448" s="8" t="s">
        <v>11293</v>
      </c>
    </row>
    <row r="2449" spans="1:26" x14ac:dyDescent="0.2">
      <c r="A2449" s="8">
        <v>2448</v>
      </c>
      <c r="B2449" s="8" t="s">
        <v>11294</v>
      </c>
      <c r="C2449" s="8" t="s">
        <v>11294</v>
      </c>
      <c r="F2449" s="47"/>
      <c r="G2449" s="8">
        <v>16</v>
      </c>
      <c r="H2449" s="8" t="s">
        <v>21</v>
      </c>
      <c r="I2449" s="8" t="s">
        <v>72</v>
      </c>
      <c r="J2449" s="8" t="s">
        <v>72</v>
      </c>
      <c r="K2449" s="8" t="s">
        <v>1405</v>
      </c>
      <c r="L2449" s="8" t="s">
        <v>10175</v>
      </c>
      <c r="M2449" s="8" t="s">
        <v>10176</v>
      </c>
      <c r="N2449" s="8" t="s">
        <v>11295</v>
      </c>
      <c r="O2449" s="8">
        <f>7+44/60+34.5/3600</f>
        <v>7.7429166666666669</v>
      </c>
      <c r="P2449" s="8" t="s">
        <v>11296</v>
      </c>
      <c r="Q2449" s="8">
        <f>-(24+40/60+51/3600)</f>
        <v>-24.680833333333336</v>
      </c>
      <c r="R2449" s="8">
        <v>99</v>
      </c>
      <c r="S2449" s="8">
        <v>99</v>
      </c>
      <c r="T2449" s="8">
        <v>99</v>
      </c>
      <c r="U2449" s="8">
        <v>99</v>
      </c>
      <c r="V2449" s="8">
        <v>5</v>
      </c>
      <c r="Y2449" s="8" t="s">
        <v>11297</v>
      </c>
      <c r="Z2449" s="8" t="s">
        <v>11298</v>
      </c>
    </row>
    <row r="2450" spans="1:26" x14ac:dyDescent="0.2">
      <c r="A2450" s="8">
        <v>2449</v>
      </c>
      <c r="B2450" s="8" t="s">
        <v>11299</v>
      </c>
      <c r="C2450" s="8" t="s">
        <v>11299</v>
      </c>
      <c r="F2450" s="47"/>
      <c r="G2450" s="8">
        <v>18</v>
      </c>
      <c r="H2450" s="8" t="s">
        <v>21</v>
      </c>
      <c r="I2450" s="8" t="s">
        <v>22</v>
      </c>
      <c r="J2450" s="8" t="s">
        <v>22</v>
      </c>
      <c r="K2450" s="8" t="s">
        <v>31</v>
      </c>
      <c r="L2450" s="8" t="s">
        <v>9862</v>
      </c>
      <c r="M2450" s="8" t="s">
        <v>9863</v>
      </c>
      <c r="N2450" s="8" t="s">
        <v>11300</v>
      </c>
      <c r="O2450" s="8">
        <f>7+47/60+20.4/3600</f>
        <v>7.7889999999999997</v>
      </c>
      <c r="P2450" s="8" t="s">
        <v>11301</v>
      </c>
      <c r="Q2450" s="8">
        <f>+(26+55/60+50/3600)</f>
        <v>26.930555555555557</v>
      </c>
      <c r="R2450" s="8">
        <v>13.4</v>
      </c>
      <c r="S2450" s="8">
        <v>14.2</v>
      </c>
      <c r="T2450" s="8">
        <v>0.8</v>
      </c>
      <c r="U2450" s="8">
        <v>12.9</v>
      </c>
      <c r="V2450" s="8">
        <v>1.3</v>
      </c>
      <c r="W2450" s="8">
        <v>0.6</v>
      </c>
      <c r="X2450" s="8">
        <v>137</v>
      </c>
      <c r="Y2450" s="8" t="s">
        <v>11302</v>
      </c>
      <c r="Z2450" s="8" t="s">
        <v>11303</v>
      </c>
    </row>
    <row r="2451" spans="1:26" x14ac:dyDescent="0.2">
      <c r="A2451" s="8">
        <v>2450</v>
      </c>
      <c r="B2451" s="8" t="s">
        <v>11304</v>
      </c>
      <c r="C2451" s="8" t="s">
        <v>11304</v>
      </c>
      <c r="F2451" s="47"/>
      <c r="G2451" s="8">
        <v>19</v>
      </c>
      <c r="H2451" s="8" t="s">
        <v>21</v>
      </c>
      <c r="I2451" s="8" t="s">
        <v>22</v>
      </c>
      <c r="J2451" s="8" t="s">
        <v>22</v>
      </c>
      <c r="K2451" s="8" t="s">
        <v>396</v>
      </c>
      <c r="L2451" s="8" t="s">
        <v>9862</v>
      </c>
      <c r="M2451" s="8" t="s">
        <v>9863</v>
      </c>
      <c r="N2451" s="8" t="s">
        <v>11305</v>
      </c>
      <c r="O2451" s="8">
        <f>7+47/60+32.2/3600</f>
        <v>7.7922777777777776</v>
      </c>
      <c r="P2451" s="8" t="s">
        <v>11306</v>
      </c>
      <c r="Q2451" s="8">
        <f>+(27+1/60+10/3600)</f>
        <v>27.019444444444442</v>
      </c>
      <c r="R2451" s="8">
        <v>14.7</v>
      </c>
      <c r="S2451" s="8">
        <v>15.5</v>
      </c>
      <c r="T2451" s="8">
        <v>0.8</v>
      </c>
      <c r="U2451" s="8">
        <v>12.7</v>
      </c>
      <c r="V2451" s="8">
        <v>0.9</v>
      </c>
      <c r="W2451" s="8">
        <v>0.2</v>
      </c>
      <c r="X2451" s="8">
        <v>156</v>
      </c>
      <c r="Y2451" s="8" t="s">
        <v>11307</v>
      </c>
      <c r="Z2451" s="8" t="s">
        <v>11308</v>
      </c>
    </row>
    <row r="2452" spans="1:26" x14ac:dyDescent="0.2">
      <c r="A2452" s="8">
        <v>2451</v>
      </c>
      <c r="B2452" s="8" t="s">
        <v>11309</v>
      </c>
      <c r="C2452" s="8" t="s">
        <v>11309</v>
      </c>
      <c r="F2452" s="47"/>
      <c r="G2452" s="8">
        <v>5</v>
      </c>
      <c r="H2452" s="8" t="s">
        <v>11310</v>
      </c>
      <c r="I2452" s="8" t="s">
        <v>557</v>
      </c>
      <c r="J2452" s="8" t="s">
        <v>557</v>
      </c>
      <c r="K2452" s="8" t="s">
        <v>558</v>
      </c>
      <c r="L2452" s="8" t="s">
        <v>10175</v>
      </c>
      <c r="M2452" s="8" t="s">
        <v>10176</v>
      </c>
      <c r="N2452" s="8" t="s">
        <v>11311</v>
      </c>
      <c r="O2452" s="8">
        <f>7+45/60+24/3600</f>
        <v>7.7566666666666668</v>
      </c>
      <c r="P2452" s="8" t="s">
        <v>11312</v>
      </c>
      <c r="Q2452" s="8">
        <f>-(37+57/60+0/3600)</f>
        <v>-37.950000000000003</v>
      </c>
      <c r="R2452" s="8">
        <v>2.8</v>
      </c>
      <c r="S2452" s="8">
        <v>99</v>
      </c>
      <c r="T2452" s="8">
        <v>99</v>
      </c>
      <c r="U2452" s="8">
        <v>99</v>
      </c>
      <c r="V2452" s="8">
        <v>50</v>
      </c>
      <c r="Y2452" s="8" t="s">
        <v>11313</v>
      </c>
      <c r="Z2452" s="8" t="s">
        <v>11314</v>
      </c>
    </row>
    <row r="2453" spans="1:26" x14ac:dyDescent="0.2">
      <c r="A2453" s="8">
        <v>2452</v>
      </c>
      <c r="B2453" s="8" t="s">
        <v>11315</v>
      </c>
      <c r="C2453" s="8" t="s">
        <v>11315</v>
      </c>
      <c r="F2453" s="47"/>
      <c r="G2453" s="8">
        <v>9</v>
      </c>
      <c r="H2453" s="8" t="s">
        <v>21</v>
      </c>
      <c r="I2453" s="8" t="s">
        <v>241</v>
      </c>
      <c r="J2453" s="8" t="s">
        <v>241</v>
      </c>
      <c r="K2453" s="8" t="s">
        <v>241</v>
      </c>
      <c r="L2453" s="8" t="s">
        <v>10175</v>
      </c>
      <c r="M2453" s="8" t="s">
        <v>10176</v>
      </c>
      <c r="N2453" s="8" t="s">
        <v>11316</v>
      </c>
      <c r="O2453" s="8">
        <f>7+47/60+26.2/3600</f>
        <v>7.7906111111111107</v>
      </c>
      <c r="P2453" s="8" t="s">
        <v>11317</v>
      </c>
      <c r="Q2453" s="8">
        <f>-(27+20/60+6/3600)</f>
        <v>-27.334999999999997</v>
      </c>
      <c r="R2453" s="8">
        <v>12</v>
      </c>
      <c r="S2453" s="8">
        <v>12.6</v>
      </c>
      <c r="T2453" s="8">
        <v>99</v>
      </c>
      <c r="U2453" s="8">
        <v>99</v>
      </c>
      <c r="V2453" s="8">
        <v>0.48</v>
      </c>
      <c r="Y2453" s="8" t="s">
        <v>11318</v>
      </c>
      <c r="Z2453" s="8" t="s">
        <v>11319</v>
      </c>
    </row>
    <row r="2454" spans="1:26" x14ac:dyDescent="0.2">
      <c r="A2454" s="8">
        <v>2453</v>
      </c>
      <c r="B2454" s="8" t="s">
        <v>11320</v>
      </c>
      <c r="C2454" s="8" t="s">
        <v>11320</v>
      </c>
      <c r="F2454" s="47"/>
      <c r="G2454" s="8">
        <v>9</v>
      </c>
      <c r="H2454" s="8" t="s">
        <v>21</v>
      </c>
      <c r="I2454" s="8" t="s">
        <v>557</v>
      </c>
      <c r="J2454" s="8" t="s">
        <v>557</v>
      </c>
      <c r="K2454" s="8" t="s">
        <v>7705</v>
      </c>
      <c r="L2454" s="8" t="s">
        <v>10175</v>
      </c>
      <c r="M2454" s="8" t="s">
        <v>10176</v>
      </c>
      <c r="N2454" s="8" t="s">
        <v>11321</v>
      </c>
      <c r="O2454" s="8">
        <f>7+47/60+34.1/3600</f>
        <v>7.7928055555555558</v>
      </c>
      <c r="P2454" s="8" t="s">
        <v>11322</v>
      </c>
      <c r="Q2454" s="8">
        <f>-(27+11/60+41/3600)</f>
        <v>-27.194722222222222</v>
      </c>
      <c r="R2454" s="8">
        <v>8.3000000000000007</v>
      </c>
      <c r="S2454" s="8">
        <v>99</v>
      </c>
      <c r="T2454" s="8">
        <v>99</v>
      </c>
      <c r="U2454" s="8">
        <v>99</v>
      </c>
      <c r="V2454" s="8">
        <v>4</v>
      </c>
      <c r="Y2454" s="8" t="s">
        <v>11323</v>
      </c>
      <c r="Z2454" s="8" t="s">
        <v>11324</v>
      </c>
    </row>
    <row r="2455" spans="1:26" x14ac:dyDescent="0.2">
      <c r="A2455" s="8">
        <v>2454</v>
      </c>
      <c r="B2455" s="8" t="s">
        <v>11325</v>
      </c>
      <c r="C2455" s="8" t="s">
        <v>11325</v>
      </c>
      <c r="F2455" s="47"/>
      <c r="G2455" s="8">
        <v>18</v>
      </c>
      <c r="H2455" s="8" t="s">
        <v>21</v>
      </c>
      <c r="I2455" s="8" t="s">
        <v>22</v>
      </c>
      <c r="J2455" s="8" t="s">
        <v>22</v>
      </c>
      <c r="K2455" s="8" t="s">
        <v>449</v>
      </c>
      <c r="L2455" s="8" t="s">
        <v>9862</v>
      </c>
      <c r="M2455" s="8" t="s">
        <v>9863</v>
      </c>
      <c r="N2455" s="8" t="s">
        <v>11326</v>
      </c>
      <c r="O2455" s="8">
        <f>7+50/60+34.9/3600</f>
        <v>7.8430277777777775</v>
      </c>
      <c r="P2455" s="8" t="s">
        <v>11327</v>
      </c>
      <c r="Q2455" s="8">
        <f>+(16+22/60+9/3600)</f>
        <v>16.369166666666668</v>
      </c>
      <c r="R2455" s="8">
        <v>13.8</v>
      </c>
      <c r="S2455" s="8">
        <v>14.6</v>
      </c>
      <c r="T2455" s="8">
        <v>0.8</v>
      </c>
      <c r="U2455" s="8">
        <v>12.6</v>
      </c>
      <c r="V2455" s="8">
        <v>0.8</v>
      </c>
      <c r="W2455" s="8">
        <v>0.3</v>
      </c>
      <c r="X2455" s="8">
        <v>100</v>
      </c>
      <c r="Y2455" s="8" t="s">
        <v>4692</v>
      </c>
      <c r="Z2455" s="8" t="s">
        <v>4693</v>
      </c>
    </row>
    <row r="2456" spans="1:26" x14ac:dyDescent="0.2">
      <c r="A2456" s="8">
        <v>2455</v>
      </c>
      <c r="B2456" s="8" t="s">
        <v>11328</v>
      </c>
      <c r="C2456" s="8" t="s">
        <v>11328</v>
      </c>
      <c r="F2456" s="47"/>
      <c r="G2456" s="8">
        <v>13</v>
      </c>
      <c r="H2456" s="8" t="s">
        <v>21</v>
      </c>
      <c r="I2456" s="8" t="s">
        <v>557</v>
      </c>
      <c r="J2456" s="8" t="s">
        <v>557</v>
      </c>
      <c r="K2456" s="8" t="s">
        <v>987</v>
      </c>
      <c r="L2456" s="8" t="s">
        <v>10175</v>
      </c>
      <c r="M2456" s="8" t="s">
        <v>10176</v>
      </c>
      <c r="N2456" s="8" t="s">
        <v>11329</v>
      </c>
      <c r="O2456" s="8">
        <f>7+49/60+0/3600</f>
        <v>7.8166666666666664</v>
      </c>
      <c r="P2456" s="8" t="s">
        <v>11330</v>
      </c>
      <c r="Q2456" s="8">
        <f>-(21+18/60+6/3600)</f>
        <v>-21.301666666666666</v>
      </c>
      <c r="R2456" s="8">
        <v>10.199999999999999</v>
      </c>
      <c r="S2456" s="8">
        <v>99</v>
      </c>
      <c r="T2456" s="8">
        <v>99</v>
      </c>
      <c r="U2456" s="8">
        <v>99</v>
      </c>
      <c r="V2456" s="8">
        <v>15</v>
      </c>
      <c r="Y2456" s="8" t="s">
        <v>11331</v>
      </c>
      <c r="Z2456" s="8" t="s">
        <v>11332</v>
      </c>
    </row>
    <row r="2457" spans="1:26" x14ac:dyDescent="0.2">
      <c r="A2457" s="8">
        <v>2456</v>
      </c>
      <c r="B2457" s="8" t="s">
        <v>11333</v>
      </c>
      <c r="C2457" s="8" t="s">
        <v>11333</v>
      </c>
      <c r="F2457" s="47"/>
      <c r="G2457" s="8">
        <v>16</v>
      </c>
      <c r="H2457" s="8" t="s">
        <v>21</v>
      </c>
      <c r="I2457" s="8" t="s">
        <v>22</v>
      </c>
      <c r="J2457" s="8" t="s">
        <v>22</v>
      </c>
      <c r="K2457" s="8" t="s">
        <v>382</v>
      </c>
      <c r="L2457" s="8" t="s">
        <v>10511</v>
      </c>
      <c r="M2457" s="8" t="s">
        <v>10512</v>
      </c>
      <c r="N2457" s="8" t="s">
        <v>11334</v>
      </c>
      <c r="O2457" s="8">
        <f>7+54/60+10.7/3600</f>
        <v>7.902972222222223</v>
      </c>
      <c r="P2457" s="8" t="s">
        <v>11335</v>
      </c>
      <c r="Q2457" s="8">
        <f>+(55+29/60+43/3600)</f>
        <v>55.49527777777778</v>
      </c>
      <c r="R2457" s="8">
        <v>13.1</v>
      </c>
      <c r="S2457" s="8">
        <v>14.1</v>
      </c>
      <c r="T2457" s="8">
        <v>1</v>
      </c>
      <c r="U2457" s="8">
        <v>13</v>
      </c>
      <c r="V2457" s="8">
        <v>1.1000000000000001</v>
      </c>
      <c r="W2457" s="8">
        <v>0.8</v>
      </c>
      <c r="X2457" s="8">
        <v>30</v>
      </c>
      <c r="Y2457" s="8" t="s">
        <v>11336</v>
      </c>
      <c r="Z2457" s="8" t="s">
        <v>11337</v>
      </c>
    </row>
    <row r="2458" spans="1:26" x14ac:dyDescent="0.2">
      <c r="A2458" s="8">
        <v>2457</v>
      </c>
      <c r="B2458" s="8" t="s">
        <v>11338</v>
      </c>
      <c r="C2458" s="8" t="s">
        <v>11338</v>
      </c>
      <c r="F2458" s="47"/>
      <c r="G2458" s="8">
        <v>18</v>
      </c>
      <c r="H2458" s="8" t="s">
        <v>21</v>
      </c>
      <c r="I2458" s="8" t="s">
        <v>22</v>
      </c>
      <c r="J2458" s="8" t="s">
        <v>22</v>
      </c>
      <c r="K2458" s="8" t="s">
        <v>396</v>
      </c>
      <c r="L2458" s="8" t="s">
        <v>10511</v>
      </c>
      <c r="M2458" s="8" t="s">
        <v>10512</v>
      </c>
      <c r="N2458" s="8" t="s">
        <v>11339</v>
      </c>
      <c r="O2458" s="8">
        <f>7+54/60+45.7/3600</f>
        <v>7.9126944444444449</v>
      </c>
      <c r="P2458" s="8" t="s">
        <v>11340</v>
      </c>
      <c r="Q2458" s="8">
        <f>+(55+32/60+50/3600)</f>
        <v>55.547222222222217</v>
      </c>
      <c r="R2458" s="8">
        <v>15.4</v>
      </c>
      <c r="S2458" s="8">
        <v>16.2</v>
      </c>
      <c r="T2458" s="8">
        <v>0.8</v>
      </c>
      <c r="U2458" s="8">
        <v>12.8</v>
      </c>
      <c r="V2458" s="8">
        <v>0.5</v>
      </c>
      <c r="W2458" s="8">
        <v>0.2</v>
      </c>
      <c r="X2458" s="8">
        <v>84</v>
      </c>
      <c r="Y2458" s="8" t="s">
        <v>11341</v>
      </c>
      <c r="Z2458" s="8" t="s">
        <v>11342</v>
      </c>
    </row>
    <row r="2459" spans="1:26" x14ac:dyDescent="0.2">
      <c r="A2459" s="8">
        <v>2458</v>
      </c>
      <c r="B2459" s="8" t="s">
        <v>11343</v>
      </c>
      <c r="C2459" s="8" t="s">
        <v>11343</v>
      </c>
      <c r="F2459" s="47"/>
      <c r="G2459" s="8">
        <v>18</v>
      </c>
      <c r="H2459" s="8" t="s">
        <v>21</v>
      </c>
      <c r="I2459" s="8" t="s">
        <v>22</v>
      </c>
      <c r="J2459" s="8" t="s">
        <v>22</v>
      </c>
      <c r="K2459" s="8" t="s">
        <v>58</v>
      </c>
      <c r="L2459" s="8" t="s">
        <v>10511</v>
      </c>
      <c r="M2459" s="8" t="s">
        <v>10512</v>
      </c>
      <c r="N2459" s="8" t="s">
        <v>11344</v>
      </c>
      <c r="O2459" s="8">
        <f>7+55/60+51.6/3600</f>
        <v>7.931</v>
      </c>
      <c r="P2459" s="8" t="s">
        <v>11345</v>
      </c>
      <c r="Q2459" s="8">
        <f>+(56+42/60+39/3600)</f>
        <v>56.710833333333333</v>
      </c>
      <c r="R2459" s="8">
        <v>14.5</v>
      </c>
      <c r="S2459" s="8">
        <v>15.5</v>
      </c>
      <c r="T2459" s="8">
        <v>1</v>
      </c>
      <c r="U2459" s="8">
        <v>12.3</v>
      </c>
      <c r="V2459" s="8">
        <v>0.4</v>
      </c>
      <c r="W2459" s="8">
        <v>0.3</v>
      </c>
      <c r="X2459" s="8">
        <v>170</v>
      </c>
      <c r="Y2459" s="8" t="s">
        <v>11346</v>
      </c>
      <c r="Z2459" s="8" t="s">
        <v>11347</v>
      </c>
    </row>
    <row r="2460" spans="1:26" x14ac:dyDescent="0.2">
      <c r="A2460" s="8">
        <v>2459</v>
      </c>
      <c r="B2460" s="8" t="s">
        <v>11348</v>
      </c>
      <c r="C2460" s="8" t="s">
        <v>11348</v>
      </c>
      <c r="F2460" s="47" t="s">
        <v>56536</v>
      </c>
      <c r="G2460" s="8">
        <v>15</v>
      </c>
      <c r="H2460" s="8" t="s">
        <v>21</v>
      </c>
      <c r="I2460" s="8" t="s">
        <v>557</v>
      </c>
      <c r="J2460" s="8" t="s">
        <v>557</v>
      </c>
      <c r="K2460" s="8" t="s">
        <v>557</v>
      </c>
      <c r="L2460" s="8" t="s">
        <v>10848</v>
      </c>
      <c r="M2460" s="8" t="s">
        <v>10849</v>
      </c>
      <c r="N2460" s="8" t="s">
        <v>11349</v>
      </c>
      <c r="O2460" s="8">
        <f>7+52/60+1.7/3600</f>
        <v>7.8671388888888893</v>
      </c>
      <c r="P2460" s="8" t="s">
        <v>11350</v>
      </c>
      <c r="Q2460" s="8">
        <f>+(9+33/60+29/3600)</f>
        <v>9.5580555555555566</v>
      </c>
      <c r="R2460" s="8">
        <v>99</v>
      </c>
      <c r="S2460" s="8">
        <v>99</v>
      </c>
      <c r="T2460" s="8">
        <v>99</v>
      </c>
      <c r="U2460" s="8">
        <v>99</v>
      </c>
      <c r="V2460" s="8">
        <v>1.5</v>
      </c>
      <c r="Y2460" s="8" t="s">
        <v>11351</v>
      </c>
      <c r="Z2460" s="8" t="s">
        <v>11352</v>
      </c>
    </row>
    <row r="2461" spans="1:26" x14ac:dyDescent="0.2">
      <c r="A2461" s="8">
        <v>2460</v>
      </c>
      <c r="B2461" s="8" t="s">
        <v>11353</v>
      </c>
      <c r="C2461" s="8" t="s">
        <v>11353</v>
      </c>
      <c r="F2461" s="47"/>
      <c r="G2461" s="8">
        <v>13</v>
      </c>
      <c r="H2461" s="8" t="s">
        <v>21</v>
      </c>
      <c r="I2461" s="8" t="s">
        <v>22</v>
      </c>
      <c r="J2461" s="8" t="s">
        <v>22</v>
      </c>
      <c r="K2461" s="8" t="s">
        <v>31</v>
      </c>
      <c r="L2461" s="8" t="s">
        <v>6823</v>
      </c>
      <c r="M2461" s="8" t="s">
        <v>6824</v>
      </c>
      <c r="N2461" s="8" t="s">
        <v>11354</v>
      </c>
      <c r="O2461" s="8">
        <f>7+56/60+52.8/3600</f>
        <v>7.9480000000000004</v>
      </c>
      <c r="P2461" s="8" t="s">
        <v>11355</v>
      </c>
      <c r="Q2461" s="8">
        <f>+(60+20/60+58/3600)</f>
        <v>60.349444444444444</v>
      </c>
      <c r="R2461" s="8">
        <v>11.8</v>
      </c>
      <c r="S2461" s="8">
        <v>12.7</v>
      </c>
      <c r="T2461" s="8">
        <v>0.9</v>
      </c>
      <c r="U2461" s="8">
        <v>13.3</v>
      </c>
      <c r="V2461" s="8">
        <v>2.5</v>
      </c>
      <c r="W2461" s="8">
        <v>1.9</v>
      </c>
      <c r="X2461" s="8">
        <v>40</v>
      </c>
      <c r="Y2461" s="8" t="s">
        <v>11356</v>
      </c>
      <c r="Z2461" s="8" t="s">
        <v>11357</v>
      </c>
    </row>
    <row r="2462" spans="1:26" x14ac:dyDescent="0.2">
      <c r="A2462" s="8">
        <v>2461</v>
      </c>
      <c r="B2462" s="8" t="s">
        <v>11358</v>
      </c>
      <c r="C2462" s="8" t="s">
        <v>11358</v>
      </c>
      <c r="F2462" s="47"/>
      <c r="G2462" s="8">
        <v>18</v>
      </c>
      <c r="H2462" s="8" t="s">
        <v>21</v>
      </c>
      <c r="I2462" s="8" t="s">
        <v>72</v>
      </c>
      <c r="J2462" s="8" t="s">
        <v>72</v>
      </c>
      <c r="K2462" s="8" t="s">
        <v>20</v>
      </c>
      <c r="L2462" s="8" t="s">
        <v>10511</v>
      </c>
      <c r="M2462" s="8" t="s">
        <v>10512</v>
      </c>
      <c r="N2462" s="8" t="s">
        <v>11359</v>
      </c>
      <c r="O2462" s="8">
        <f>7+56/60+26.2/3600</f>
        <v>7.9406111111111111</v>
      </c>
      <c r="P2462" s="8" t="s">
        <v>11360</v>
      </c>
      <c r="Q2462" s="8">
        <f>+(56+40/60+26/3600)</f>
        <v>56.673888888888889</v>
      </c>
      <c r="R2462" s="8">
        <v>99</v>
      </c>
      <c r="S2462" s="8">
        <v>99</v>
      </c>
      <c r="T2462" s="8">
        <v>99</v>
      </c>
      <c r="U2462" s="8">
        <v>99</v>
      </c>
      <c r="Y2462" s="8" t="s">
        <v>11361</v>
      </c>
      <c r="Z2462" s="8" t="s">
        <v>11362</v>
      </c>
    </row>
    <row r="2463" spans="1:26" x14ac:dyDescent="0.2">
      <c r="A2463" s="8">
        <v>2462</v>
      </c>
      <c r="B2463" s="8" t="s">
        <v>11363</v>
      </c>
      <c r="C2463" s="8" t="s">
        <v>11363</v>
      </c>
      <c r="F2463" s="47"/>
      <c r="G2463" s="8">
        <v>18</v>
      </c>
      <c r="H2463" s="8" t="s">
        <v>21</v>
      </c>
      <c r="I2463" s="8" t="s">
        <v>22</v>
      </c>
      <c r="J2463" s="8" t="s">
        <v>22</v>
      </c>
      <c r="K2463" s="8" t="s">
        <v>449</v>
      </c>
      <c r="L2463" s="8" t="s">
        <v>10511</v>
      </c>
      <c r="M2463" s="8" t="s">
        <v>10512</v>
      </c>
      <c r="N2463" s="8" t="s">
        <v>11364</v>
      </c>
      <c r="O2463" s="8">
        <f>7+56/60+31.9/3600</f>
        <v>7.9421944444444446</v>
      </c>
      <c r="P2463" s="8" t="s">
        <v>11365</v>
      </c>
      <c r="Q2463" s="8">
        <f>+(56+41/60+12/3600)</f>
        <v>56.68666666666666</v>
      </c>
      <c r="R2463" s="8">
        <v>13.2</v>
      </c>
      <c r="S2463" s="8">
        <v>14</v>
      </c>
      <c r="T2463" s="8">
        <v>0.8</v>
      </c>
      <c r="U2463" s="8">
        <v>11.5</v>
      </c>
      <c r="V2463" s="8">
        <v>0.4</v>
      </c>
      <c r="W2463" s="8">
        <v>0.3</v>
      </c>
      <c r="X2463" s="8">
        <v>162</v>
      </c>
      <c r="Y2463" s="8" t="s">
        <v>11366</v>
      </c>
      <c r="Z2463" s="8" t="s">
        <v>11367</v>
      </c>
    </row>
    <row r="2464" spans="1:26" x14ac:dyDescent="0.2">
      <c r="A2464" s="8">
        <v>2463</v>
      </c>
      <c r="B2464" s="8" t="s">
        <v>11368</v>
      </c>
      <c r="C2464" s="8" t="s">
        <v>11368</v>
      </c>
      <c r="F2464" s="47"/>
      <c r="G2464" s="8">
        <v>16</v>
      </c>
      <c r="H2464" s="8" t="s">
        <v>21</v>
      </c>
      <c r="I2464" s="8" t="s">
        <v>22</v>
      </c>
      <c r="J2464" s="8" t="s">
        <v>22</v>
      </c>
      <c r="K2464" s="8" t="s">
        <v>460</v>
      </c>
      <c r="L2464" s="8" t="s">
        <v>10511</v>
      </c>
      <c r="M2464" s="8" t="s">
        <v>10512</v>
      </c>
      <c r="N2464" s="8" t="s">
        <v>11369</v>
      </c>
      <c r="O2464" s="8">
        <f>7+57/60+12.2/3600</f>
        <v>7.9533888888888891</v>
      </c>
      <c r="P2464" s="8" t="s">
        <v>11370</v>
      </c>
      <c r="Q2464" s="8">
        <f>+(56+40/60+37/3600)</f>
        <v>56.676944444444445</v>
      </c>
      <c r="R2464" s="8">
        <v>14.2</v>
      </c>
      <c r="S2464" s="8">
        <v>15.2</v>
      </c>
      <c r="T2464" s="8">
        <v>1</v>
      </c>
      <c r="U2464" s="8">
        <v>13.2</v>
      </c>
      <c r="V2464" s="8">
        <v>0.6</v>
      </c>
      <c r="W2464" s="8">
        <v>0.6</v>
      </c>
      <c r="Y2464" s="8" t="s">
        <v>11371</v>
      </c>
      <c r="Z2464" s="8" t="s">
        <v>11372</v>
      </c>
    </row>
    <row r="2465" spans="1:26" x14ac:dyDescent="0.2">
      <c r="A2465" s="8">
        <v>2464</v>
      </c>
      <c r="B2465" s="8" t="s">
        <v>11373</v>
      </c>
      <c r="C2465" s="8" t="s">
        <v>11373</v>
      </c>
      <c r="F2465" s="47"/>
      <c r="G2465" s="8">
        <v>18</v>
      </c>
      <c r="H2465" s="8" t="s">
        <v>21</v>
      </c>
      <c r="I2465" s="8" t="s">
        <v>72</v>
      </c>
      <c r="J2465" s="8" t="s">
        <v>72</v>
      </c>
      <c r="K2465" s="8" t="s">
        <v>1802</v>
      </c>
      <c r="L2465" s="8" t="s">
        <v>10511</v>
      </c>
      <c r="M2465" s="8" t="s">
        <v>10512</v>
      </c>
      <c r="N2465" s="8" t="s">
        <v>11374</v>
      </c>
      <c r="O2465" s="8">
        <f>7+57/60+32.3/3600</f>
        <v>7.9589722222222221</v>
      </c>
      <c r="P2465" s="8" t="s">
        <v>11375</v>
      </c>
      <c r="Q2465" s="8">
        <f>+(56+41/60+27/3600)</f>
        <v>56.69083333333333</v>
      </c>
      <c r="R2465" s="8">
        <v>99</v>
      </c>
      <c r="S2465" s="8">
        <v>99</v>
      </c>
      <c r="T2465" s="8">
        <v>99</v>
      </c>
      <c r="U2465" s="8">
        <v>99</v>
      </c>
      <c r="Y2465" s="8" t="s">
        <v>11376</v>
      </c>
      <c r="Z2465" s="8" t="s">
        <v>11377</v>
      </c>
    </row>
    <row r="2466" spans="1:26" x14ac:dyDescent="0.2">
      <c r="A2466" s="8">
        <v>2465</v>
      </c>
      <c r="B2466" s="8" t="s">
        <v>11378</v>
      </c>
      <c r="C2466" s="8" t="s">
        <v>11378</v>
      </c>
      <c r="F2466" s="47"/>
      <c r="G2466" s="8">
        <v>18</v>
      </c>
      <c r="H2466" s="8" t="s">
        <v>21</v>
      </c>
      <c r="I2466" s="8" t="s">
        <v>72</v>
      </c>
      <c r="J2466" s="8" t="s">
        <v>72</v>
      </c>
      <c r="K2466" s="8" t="s">
        <v>20</v>
      </c>
      <c r="L2466" s="8" t="s">
        <v>10511</v>
      </c>
      <c r="M2466" s="8" t="s">
        <v>10512</v>
      </c>
      <c r="N2466" s="8" t="s">
        <v>11379</v>
      </c>
      <c r="O2466" s="8">
        <f>7+57/60+25/3600</f>
        <v>7.9569444444444448</v>
      </c>
      <c r="P2466" s="8" t="s">
        <v>11380</v>
      </c>
      <c r="Q2466" s="8">
        <f>+(56+49/60+17/3600)</f>
        <v>56.82138888888889</v>
      </c>
      <c r="R2466" s="8">
        <v>99</v>
      </c>
      <c r="S2466" s="8">
        <v>99</v>
      </c>
      <c r="T2466" s="8">
        <v>99</v>
      </c>
      <c r="U2466" s="8">
        <v>99</v>
      </c>
      <c r="Y2466" s="8" t="s">
        <v>11381</v>
      </c>
      <c r="Z2466" s="8" t="s">
        <v>11382</v>
      </c>
    </row>
    <row r="2467" spans="1:26" x14ac:dyDescent="0.2">
      <c r="A2467" s="8">
        <v>2466</v>
      </c>
      <c r="B2467" s="8" t="s">
        <v>11383</v>
      </c>
      <c r="C2467" s="8" t="s">
        <v>11383</v>
      </c>
      <c r="F2467" s="47"/>
      <c r="G2467" s="8">
        <v>16</v>
      </c>
      <c r="H2467" s="8" t="s">
        <v>21</v>
      </c>
      <c r="I2467" s="8" t="s">
        <v>22</v>
      </c>
      <c r="J2467" s="8" t="s">
        <v>22</v>
      </c>
      <c r="K2467" s="8" t="s">
        <v>160</v>
      </c>
      <c r="L2467" s="8" t="s">
        <v>10656</v>
      </c>
      <c r="M2467" s="8" t="s">
        <v>10657</v>
      </c>
      <c r="N2467" s="8" t="s">
        <v>11384</v>
      </c>
      <c r="O2467" s="8">
        <f>7+45/60+15.6/3600</f>
        <v>7.7543333333333333</v>
      </c>
      <c r="P2467" s="8" t="s">
        <v>11385</v>
      </c>
      <c r="Q2467" s="8">
        <f>-(71+24/60+39/3600)</f>
        <v>-71.410833333333343</v>
      </c>
      <c r="R2467" s="8">
        <v>13</v>
      </c>
      <c r="S2467" s="8">
        <v>13.5</v>
      </c>
      <c r="T2467" s="8">
        <v>0.5</v>
      </c>
      <c r="U2467" s="8">
        <v>13.7</v>
      </c>
      <c r="V2467" s="8">
        <v>1.6</v>
      </c>
      <c r="W2467" s="8">
        <v>1.4</v>
      </c>
      <c r="X2467" s="8">
        <v>7</v>
      </c>
      <c r="Y2467" s="8" t="s">
        <v>10836</v>
      </c>
      <c r="Z2467" s="8" t="s">
        <v>10837</v>
      </c>
    </row>
    <row r="2468" spans="1:26" x14ac:dyDescent="0.2">
      <c r="A2468" s="8">
        <v>2467</v>
      </c>
      <c r="B2468" s="8" t="s">
        <v>11386</v>
      </c>
      <c r="C2468" s="8" t="s">
        <v>11386</v>
      </c>
      <c r="F2468" s="47" t="s">
        <v>56537</v>
      </c>
      <c r="G2468" s="8">
        <v>3</v>
      </c>
      <c r="H2468" s="8" t="s">
        <v>11387</v>
      </c>
      <c r="I2468" s="8" t="s">
        <v>1283</v>
      </c>
      <c r="J2468" s="8" t="s">
        <v>1283</v>
      </c>
      <c r="K2468" s="8" t="s">
        <v>1751</v>
      </c>
      <c r="L2468" s="8" t="s">
        <v>10175</v>
      </c>
      <c r="M2468" s="8" t="s">
        <v>10176</v>
      </c>
      <c r="N2468" s="8" t="s">
        <v>11388</v>
      </c>
      <c r="O2468" s="8">
        <f>7+52/60+26/3600</f>
        <v>7.8738888888888896</v>
      </c>
      <c r="P2468" s="8" t="s">
        <v>11389</v>
      </c>
      <c r="Q2468" s="8">
        <f>-(26+26/60+12/3600)</f>
        <v>-26.436666666666667</v>
      </c>
      <c r="R2468" s="8">
        <v>99</v>
      </c>
      <c r="S2468" s="8">
        <v>99</v>
      </c>
      <c r="T2468" s="8">
        <v>99</v>
      </c>
      <c r="U2468" s="8">
        <v>99</v>
      </c>
      <c r="Y2468" s="8" t="s">
        <v>11390</v>
      </c>
      <c r="Z2468" s="8" t="s">
        <v>11391</v>
      </c>
    </row>
    <row r="2469" spans="1:26" x14ac:dyDescent="0.2">
      <c r="A2469" s="8">
        <v>2468</v>
      </c>
      <c r="B2469" s="8" t="s">
        <v>11392</v>
      </c>
      <c r="C2469" s="8" t="s">
        <v>11392</v>
      </c>
      <c r="F2469" s="47"/>
      <c r="G2469" s="8">
        <v>18</v>
      </c>
      <c r="H2469" s="8" t="s">
        <v>21</v>
      </c>
      <c r="I2469" s="8" t="s">
        <v>22</v>
      </c>
      <c r="J2469" s="8" t="s">
        <v>22</v>
      </c>
      <c r="K2469" s="8" t="s">
        <v>37</v>
      </c>
      <c r="L2469" s="8" t="s">
        <v>10511</v>
      </c>
      <c r="M2469" s="8" t="s">
        <v>10512</v>
      </c>
      <c r="N2469" s="8" t="s">
        <v>11393</v>
      </c>
      <c r="O2469" s="8">
        <f>7+58/60+2.2/3600</f>
        <v>7.9672777777777775</v>
      </c>
      <c r="P2469" s="8" t="s">
        <v>11394</v>
      </c>
      <c r="Q2469" s="8">
        <f>+(56+21/60+33/3600)</f>
        <v>56.359166666666667</v>
      </c>
      <c r="R2469" s="8">
        <v>13.9</v>
      </c>
      <c r="S2469" s="8">
        <v>14.9</v>
      </c>
      <c r="T2469" s="8">
        <v>1</v>
      </c>
      <c r="U2469" s="8">
        <v>13.5</v>
      </c>
      <c r="V2469" s="8">
        <v>1.3</v>
      </c>
      <c r="W2469" s="8">
        <v>0.6</v>
      </c>
      <c r="X2469" s="8">
        <v>45</v>
      </c>
      <c r="Y2469" s="8" t="s">
        <v>11395</v>
      </c>
      <c r="Z2469" s="8" t="s">
        <v>11396</v>
      </c>
    </row>
    <row r="2470" spans="1:26" x14ac:dyDescent="0.2">
      <c r="A2470" s="8">
        <v>2469</v>
      </c>
      <c r="B2470" s="8" t="s">
        <v>11397</v>
      </c>
      <c r="C2470" s="8" t="s">
        <v>11397</v>
      </c>
      <c r="F2470" s="47" t="s">
        <v>56538</v>
      </c>
      <c r="G2470" s="8">
        <v>12</v>
      </c>
      <c r="H2470" s="8" t="s">
        <v>21</v>
      </c>
      <c r="I2470" s="8" t="s">
        <v>22</v>
      </c>
      <c r="J2470" s="8" t="s">
        <v>22</v>
      </c>
      <c r="K2470" s="8" t="s">
        <v>79</v>
      </c>
      <c r="L2470" s="8" t="s">
        <v>10511</v>
      </c>
      <c r="M2470" s="8" t="s">
        <v>10512</v>
      </c>
      <c r="N2470" s="8" t="s">
        <v>11398</v>
      </c>
      <c r="O2470" s="8">
        <f>7+58/60+3.2/3600</f>
        <v>7.9675555555555553</v>
      </c>
      <c r="P2470" s="8" t="s">
        <v>11399</v>
      </c>
      <c r="Q2470" s="8">
        <f>+(56+40/60+48/3600)</f>
        <v>56.68</v>
      </c>
      <c r="R2470" s="8">
        <v>12.7</v>
      </c>
      <c r="S2470" s="8">
        <v>13.5</v>
      </c>
      <c r="T2470" s="8">
        <v>0.8</v>
      </c>
      <c r="U2470" s="8">
        <v>12.4</v>
      </c>
      <c r="V2470" s="8">
        <v>1</v>
      </c>
      <c r="W2470" s="8">
        <v>0.7</v>
      </c>
      <c r="X2470" s="8">
        <v>160</v>
      </c>
      <c r="Y2470" s="8" t="s">
        <v>11400</v>
      </c>
      <c r="Z2470" s="8" t="s">
        <v>11401</v>
      </c>
    </row>
    <row r="2471" spans="1:26" x14ac:dyDescent="0.2">
      <c r="A2471" s="8">
        <v>2470</v>
      </c>
      <c r="B2471" s="8" t="s">
        <v>11402</v>
      </c>
      <c r="C2471" s="8" t="s">
        <v>11402</v>
      </c>
      <c r="F2471" s="47"/>
      <c r="G2471" s="8">
        <v>19</v>
      </c>
      <c r="H2471" s="8" t="s">
        <v>21</v>
      </c>
      <c r="I2471" s="8" t="s">
        <v>22</v>
      </c>
      <c r="J2471" s="8" t="s">
        <v>22</v>
      </c>
      <c r="K2471" s="8" t="s">
        <v>31</v>
      </c>
      <c r="L2471" s="8" t="s">
        <v>10848</v>
      </c>
      <c r="M2471" s="8" t="s">
        <v>10849</v>
      </c>
      <c r="N2471" s="8" t="s">
        <v>11403</v>
      </c>
      <c r="O2471" s="8">
        <f>7+54/60+20.4/3600</f>
        <v>7.9056666666666668</v>
      </c>
      <c r="P2471" s="8" t="s">
        <v>11404</v>
      </c>
      <c r="Q2471" s="8">
        <f>+(4+27/60+36/3600)</f>
        <v>4.46</v>
      </c>
      <c r="R2471" s="8">
        <v>12.7</v>
      </c>
      <c r="S2471" s="8">
        <v>13.6</v>
      </c>
      <c r="T2471" s="8">
        <v>0.9</v>
      </c>
      <c r="U2471" s="8">
        <v>12.7</v>
      </c>
      <c r="V2471" s="8">
        <v>2</v>
      </c>
      <c r="W2471" s="8">
        <v>0.6</v>
      </c>
      <c r="X2471" s="8">
        <v>128</v>
      </c>
      <c r="Y2471" s="8" t="s">
        <v>11405</v>
      </c>
      <c r="Z2471" s="8" t="s">
        <v>11406</v>
      </c>
    </row>
    <row r="2472" spans="1:26" x14ac:dyDescent="0.2">
      <c r="A2472" s="8">
        <v>2471</v>
      </c>
      <c r="B2472" s="8" t="s">
        <v>11407</v>
      </c>
      <c r="C2472" s="8" t="s">
        <v>11407</v>
      </c>
      <c r="F2472" s="47"/>
      <c r="G2472" s="8">
        <v>18</v>
      </c>
      <c r="H2472" s="8" t="s">
        <v>21</v>
      </c>
      <c r="I2472" s="8" t="s">
        <v>72</v>
      </c>
      <c r="J2472" s="8" t="s">
        <v>72</v>
      </c>
      <c r="K2472" s="8" t="s">
        <v>73</v>
      </c>
      <c r="L2472" s="8" t="s">
        <v>10511</v>
      </c>
      <c r="M2472" s="8" t="s">
        <v>10512</v>
      </c>
      <c r="N2472" s="8" t="s">
        <v>11408</v>
      </c>
      <c r="O2472" s="8">
        <f>7+58/60+33.2/3600</f>
        <v>7.975888888888889</v>
      </c>
      <c r="P2472" s="8" t="s">
        <v>11409</v>
      </c>
      <c r="Q2472" s="8">
        <f>+(56+46/60+32/3600)</f>
        <v>56.775555555555556</v>
      </c>
      <c r="R2472" s="8">
        <v>99</v>
      </c>
      <c r="S2472" s="8">
        <v>99</v>
      </c>
      <c r="T2472" s="8">
        <v>99</v>
      </c>
      <c r="U2472" s="8">
        <v>99</v>
      </c>
      <c r="Y2472" s="8" t="s">
        <v>11361</v>
      </c>
      <c r="Z2472" s="8" t="s">
        <v>11410</v>
      </c>
    </row>
    <row r="2473" spans="1:26" x14ac:dyDescent="0.2">
      <c r="A2473" s="8">
        <v>2472</v>
      </c>
      <c r="B2473" s="8" t="s">
        <v>11411</v>
      </c>
      <c r="C2473" s="8" t="s">
        <v>11411</v>
      </c>
      <c r="F2473" s="47"/>
      <c r="G2473" s="8">
        <v>18</v>
      </c>
      <c r="H2473" s="8" t="s">
        <v>21</v>
      </c>
      <c r="I2473" s="8" t="s">
        <v>22</v>
      </c>
      <c r="J2473" s="8" t="s">
        <v>22</v>
      </c>
      <c r="K2473" s="8" t="s">
        <v>476</v>
      </c>
      <c r="L2473" s="8" t="s">
        <v>10511</v>
      </c>
      <c r="M2473" s="8" t="s">
        <v>10512</v>
      </c>
      <c r="N2473" s="8" t="s">
        <v>11412</v>
      </c>
      <c r="O2473" s="8">
        <f>7+58/60+41.7/3600</f>
        <v>7.9782500000000001</v>
      </c>
      <c r="P2473" s="8" t="s">
        <v>11413</v>
      </c>
      <c r="Q2473" s="8">
        <f>+(56+42/60+4/3600)</f>
        <v>56.701111111111111</v>
      </c>
      <c r="R2473" s="8">
        <v>15.3</v>
      </c>
      <c r="S2473" s="8">
        <v>16.2</v>
      </c>
      <c r="T2473" s="8">
        <v>0.9</v>
      </c>
      <c r="U2473" s="8">
        <v>13.6</v>
      </c>
      <c r="V2473" s="8">
        <v>0.5</v>
      </c>
      <c r="W2473" s="8">
        <v>0.5</v>
      </c>
      <c r="Y2473" s="8" t="s">
        <v>11414</v>
      </c>
      <c r="Z2473" s="8" t="s">
        <v>11415</v>
      </c>
    </row>
    <row r="2474" spans="1:26" x14ac:dyDescent="0.2">
      <c r="A2474" s="8">
        <v>2473</v>
      </c>
      <c r="B2474" s="8" t="s">
        <v>11416</v>
      </c>
      <c r="C2474" s="8" t="s">
        <v>11416</v>
      </c>
      <c r="F2474" s="47"/>
      <c r="G2474" s="8">
        <v>18</v>
      </c>
      <c r="H2474" s="8" t="s">
        <v>21</v>
      </c>
      <c r="I2474" s="8" t="s">
        <v>22</v>
      </c>
      <c r="J2474" s="8" t="s">
        <v>22</v>
      </c>
      <c r="K2474" s="8" t="s">
        <v>449</v>
      </c>
      <c r="L2474" s="8" t="s">
        <v>10511</v>
      </c>
      <c r="M2474" s="8" t="s">
        <v>10512</v>
      </c>
      <c r="N2474" s="8" t="s">
        <v>11417</v>
      </c>
      <c r="O2474" s="8">
        <f>7+55/60+35/3600</f>
        <v>7.9263888888888889</v>
      </c>
      <c r="P2474" s="8" t="s">
        <v>11418</v>
      </c>
      <c r="Q2474" s="8">
        <f>+(56+44/60+11/3600)</f>
        <v>56.736388888888889</v>
      </c>
      <c r="R2474" s="8">
        <v>15.1</v>
      </c>
      <c r="S2474" s="8">
        <v>15.9</v>
      </c>
      <c r="T2474" s="8">
        <v>0.8</v>
      </c>
      <c r="U2474" s="8">
        <v>12.6</v>
      </c>
      <c r="V2474" s="8">
        <v>0.5</v>
      </c>
      <c r="W2474" s="8">
        <v>0.3</v>
      </c>
      <c r="X2474" s="8">
        <v>85</v>
      </c>
      <c r="Y2474" s="8" t="s">
        <v>11414</v>
      </c>
      <c r="Z2474" s="8" t="s">
        <v>11415</v>
      </c>
    </row>
    <row r="2475" spans="1:26" x14ac:dyDescent="0.2">
      <c r="A2475" s="8">
        <v>2474</v>
      </c>
      <c r="B2475" s="8" t="s">
        <v>11419</v>
      </c>
      <c r="C2475" s="8" t="s">
        <v>11419</v>
      </c>
      <c r="F2475" s="47" t="s">
        <v>56539</v>
      </c>
      <c r="G2475" s="8">
        <v>12</v>
      </c>
      <c r="H2475" s="8" t="s">
        <v>21</v>
      </c>
      <c r="I2475" s="8" t="s">
        <v>22</v>
      </c>
      <c r="J2475" s="8" t="s">
        <v>22</v>
      </c>
      <c r="K2475" s="8" t="s">
        <v>460</v>
      </c>
      <c r="L2475" s="8" t="s">
        <v>10511</v>
      </c>
      <c r="M2475" s="8" t="s">
        <v>10512</v>
      </c>
      <c r="N2475" s="8" t="s">
        <v>11420</v>
      </c>
      <c r="O2475" s="8">
        <f>7+58/60+0.3/3600</f>
        <v>7.9667500000000002</v>
      </c>
      <c r="P2475" s="8" t="s">
        <v>11421</v>
      </c>
      <c r="Q2475" s="8">
        <f>+(52+51/60+44/3600)</f>
        <v>52.862222222222222</v>
      </c>
      <c r="R2475" s="8">
        <v>13.1</v>
      </c>
      <c r="S2475" s="8">
        <v>14</v>
      </c>
      <c r="T2475" s="8">
        <v>0.9</v>
      </c>
      <c r="U2475" s="8">
        <v>12.5</v>
      </c>
      <c r="V2475" s="8">
        <v>0.8</v>
      </c>
      <c r="W2475" s="8">
        <v>0.8</v>
      </c>
      <c r="Y2475" s="8" t="s">
        <v>11422</v>
      </c>
      <c r="Z2475" s="8" t="s">
        <v>11423</v>
      </c>
    </row>
    <row r="2476" spans="1:26" x14ac:dyDescent="0.2">
      <c r="A2476" s="8">
        <v>2475</v>
      </c>
      <c r="B2476" s="8" t="s">
        <v>11424</v>
      </c>
      <c r="C2476" s="8" t="s">
        <v>11424</v>
      </c>
      <c r="F2476" s="47"/>
      <c r="G2476" s="8">
        <v>18</v>
      </c>
      <c r="H2476" s="8" t="s">
        <v>21</v>
      </c>
      <c r="I2476" s="8" t="s">
        <v>22</v>
      </c>
      <c r="J2476" s="8" t="s">
        <v>22</v>
      </c>
      <c r="K2476" s="8" t="s">
        <v>460</v>
      </c>
      <c r="L2476" s="8" t="s">
        <v>10511</v>
      </c>
      <c r="M2476" s="8" t="s">
        <v>10512</v>
      </c>
      <c r="N2476" s="8" t="s">
        <v>11425</v>
      </c>
      <c r="O2476" s="8">
        <f>7+57/60+58.8/3600</f>
        <v>7.9663333333333339</v>
      </c>
      <c r="P2476" s="8" t="s">
        <v>11426</v>
      </c>
      <c r="Q2476" s="8">
        <f>+(52+51/60+26/3600)</f>
        <v>52.857222222222227</v>
      </c>
      <c r="R2476" s="8">
        <v>13.2</v>
      </c>
      <c r="S2476" s="8">
        <v>14.2</v>
      </c>
      <c r="T2476" s="8">
        <v>1</v>
      </c>
      <c r="U2476" s="8">
        <v>11.8</v>
      </c>
      <c r="V2476" s="8">
        <v>0.6</v>
      </c>
      <c r="W2476" s="8">
        <v>0.6</v>
      </c>
      <c r="Y2476" s="8" t="s">
        <v>11427</v>
      </c>
      <c r="Z2476" s="8" t="s">
        <v>11428</v>
      </c>
    </row>
    <row r="2477" spans="1:26" x14ac:dyDescent="0.2">
      <c r="A2477" s="8">
        <v>2476</v>
      </c>
      <c r="B2477" s="8" t="s">
        <v>11429</v>
      </c>
      <c r="C2477" s="8" t="s">
        <v>11429</v>
      </c>
      <c r="F2477" s="47"/>
      <c r="G2477" s="8">
        <v>19</v>
      </c>
      <c r="H2477" s="8" t="s">
        <v>21</v>
      </c>
      <c r="I2477" s="8" t="s">
        <v>22</v>
      </c>
      <c r="J2477" s="8" t="s">
        <v>22</v>
      </c>
      <c r="K2477" s="8" t="s">
        <v>50</v>
      </c>
      <c r="L2477" s="8" t="s">
        <v>10511</v>
      </c>
      <c r="M2477" s="8" t="s">
        <v>10512</v>
      </c>
      <c r="N2477" s="8" t="s">
        <v>11430</v>
      </c>
      <c r="O2477" s="8">
        <f>7+56/60+45.2/3600</f>
        <v>7.9458888888888888</v>
      </c>
      <c r="P2477" s="8" t="s">
        <v>11431</v>
      </c>
      <c r="Q2477" s="8">
        <f>+(39+55/60+40/3600)</f>
        <v>39.927777777777777</v>
      </c>
      <c r="R2477" s="8">
        <v>12.6</v>
      </c>
      <c r="S2477" s="8">
        <v>13.6</v>
      </c>
      <c r="T2477" s="8">
        <v>1</v>
      </c>
      <c r="U2477" s="8">
        <v>12.8</v>
      </c>
      <c r="V2477" s="8">
        <v>1.4</v>
      </c>
      <c r="W2477" s="8">
        <v>0.8</v>
      </c>
      <c r="X2477" s="8">
        <v>153</v>
      </c>
      <c r="Y2477" s="8" t="s">
        <v>11432</v>
      </c>
      <c r="Z2477" s="8" t="s">
        <v>11433</v>
      </c>
    </row>
    <row r="2478" spans="1:26" x14ac:dyDescent="0.2">
      <c r="A2478" s="8">
        <v>2477</v>
      </c>
      <c r="B2478" s="8" t="s">
        <v>11434</v>
      </c>
      <c r="C2478" s="8" t="s">
        <v>11434</v>
      </c>
      <c r="F2478" s="47"/>
      <c r="G2478" s="8">
        <v>2</v>
      </c>
      <c r="H2478" s="8" t="s">
        <v>11435</v>
      </c>
      <c r="I2478" s="8" t="s">
        <v>557</v>
      </c>
      <c r="J2478" s="8" t="s">
        <v>557</v>
      </c>
      <c r="K2478" s="8" t="s">
        <v>2262</v>
      </c>
      <c r="L2478" s="8" t="s">
        <v>10175</v>
      </c>
      <c r="M2478" s="8" t="s">
        <v>10176</v>
      </c>
      <c r="N2478" s="8" t="s">
        <v>11436</v>
      </c>
      <c r="O2478" s="8">
        <f>7+52/60+10/3600</f>
        <v>7.8694444444444454</v>
      </c>
      <c r="P2478" s="8" t="s">
        <v>11437</v>
      </c>
      <c r="Q2478" s="8">
        <f>-(38+31/60+48/3600)</f>
        <v>-38.53</v>
      </c>
      <c r="R2478" s="8">
        <v>5.8</v>
      </c>
      <c r="S2478" s="8">
        <v>99</v>
      </c>
      <c r="T2478" s="8">
        <v>99</v>
      </c>
      <c r="U2478" s="8">
        <v>99</v>
      </c>
      <c r="V2478" s="8">
        <v>20</v>
      </c>
      <c r="Y2478" s="8" t="s">
        <v>11438</v>
      </c>
      <c r="Z2478" s="8" t="s">
        <v>11439</v>
      </c>
    </row>
    <row r="2479" spans="1:26" x14ac:dyDescent="0.2">
      <c r="A2479" s="8">
        <v>2478</v>
      </c>
      <c r="B2479" s="8" t="s">
        <v>11440</v>
      </c>
      <c r="C2479" s="8" t="s">
        <v>11440</v>
      </c>
      <c r="F2479" s="47"/>
      <c r="G2479" s="8">
        <v>18</v>
      </c>
      <c r="H2479" s="8" t="s">
        <v>21</v>
      </c>
      <c r="I2479" s="8" t="s">
        <v>557</v>
      </c>
      <c r="J2479" s="8" t="s">
        <v>57</v>
      </c>
      <c r="K2479" s="8" t="s">
        <v>3217</v>
      </c>
      <c r="L2479" s="8" t="s">
        <v>10175</v>
      </c>
      <c r="M2479" s="8" t="s">
        <v>10176</v>
      </c>
      <c r="N2479" s="8" t="s">
        <v>11174</v>
      </c>
      <c r="O2479" s="8">
        <f>7+36/60+35/3600</f>
        <v>7.6097222222222216</v>
      </c>
      <c r="P2479" s="8" t="s">
        <v>11175</v>
      </c>
      <c r="Q2479" s="8">
        <f>-(14+28/60+47/3600)</f>
        <v>-14.479722222222222</v>
      </c>
      <c r="R2479" s="8">
        <v>4.4000000000000004</v>
      </c>
      <c r="S2479" s="8">
        <v>99</v>
      </c>
      <c r="T2479" s="8">
        <v>99</v>
      </c>
      <c r="U2479" s="8">
        <v>99</v>
      </c>
      <c r="V2479" s="8">
        <v>25</v>
      </c>
      <c r="Y2479" s="8" t="s">
        <v>11441</v>
      </c>
      <c r="Z2479" s="8" t="s">
        <v>11442</v>
      </c>
    </row>
    <row r="2480" spans="1:26" x14ac:dyDescent="0.2">
      <c r="A2480" s="8">
        <v>2479</v>
      </c>
      <c r="B2480" s="8" t="s">
        <v>11443</v>
      </c>
      <c r="C2480" s="8" t="s">
        <v>11443</v>
      </c>
      <c r="F2480" s="47" t="s">
        <v>56540</v>
      </c>
      <c r="G2480" s="8">
        <v>6</v>
      </c>
      <c r="H2480" s="8" t="s">
        <v>21</v>
      </c>
      <c r="I2480" s="8" t="s">
        <v>557</v>
      </c>
      <c r="J2480" s="8" t="s">
        <v>557</v>
      </c>
      <c r="K2480" s="8" t="s">
        <v>3647</v>
      </c>
      <c r="L2480" s="8" t="s">
        <v>10175</v>
      </c>
      <c r="M2480" s="8" t="s">
        <v>10176</v>
      </c>
      <c r="N2480" s="8" t="s">
        <v>11444</v>
      </c>
      <c r="O2480" s="8">
        <f>7+55/60+6/3600</f>
        <v>7.9183333333333339</v>
      </c>
      <c r="P2480" s="8" t="s">
        <v>11445</v>
      </c>
      <c r="Q2480" s="8">
        <f>-(17+42/60+28/3600)</f>
        <v>-17.707777777777778</v>
      </c>
      <c r="R2480" s="8">
        <v>9.6</v>
      </c>
      <c r="S2480" s="8">
        <v>99</v>
      </c>
      <c r="T2480" s="8">
        <v>99</v>
      </c>
      <c r="U2480" s="8">
        <v>99</v>
      </c>
      <c r="V2480" s="8">
        <v>11</v>
      </c>
      <c r="Y2480" s="8" t="s">
        <v>11446</v>
      </c>
      <c r="Z2480" s="8" t="s">
        <v>11447</v>
      </c>
    </row>
    <row r="2481" spans="1:26" x14ac:dyDescent="0.2">
      <c r="A2481" s="8">
        <v>2480</v>
      </c>
      <c r="B2481" s="8" t="s">
        <v>11448</v>
      </c>
      <c r="C2481" s="8" t="s">
        <v>11448</v>
      </c>
      <c r="F2481" s="47"/>
      <c r="G2481" s="8">
        <v>18</v>
      </c>
      <c r="H2481" s="8" t="s">
        <v>21</v>
      </c>
      <c r="I2481" s="8" t="s">
        <v>22</v>
      </c>
      <c r="J2481" s="8" t="s">
        <v>22</v>
      </c>
      <c r="K2481" s="8" t="s">
        <v>1277</v>
      </c>
      <c r="L2481" s="8" t="s">
        <v>9862</v>
      </c>
      <c r="M2481" s="8" t="s">
        <v>9863</v>
      </c>
      <c r="N2481" s="8" t="s">
        <v>11449</v>
      </c>
      <c r="O2481" s="8">
        <f>7+57/60+10.6/3600</f>
        <v>7.9529444444444444</v>
      </c>
      <c r="P2481" s="8" t="s">
        <v>11450</v>
      </c>
      <c r="Q2481" s="8">
        <f>+(23+46/60+47/3600)</f>
        <v>23.779722222222222</v>
      </c>
      <c r="R2481" s="8">
        <v>13.8</v>
      </c>
      <c r="S2481" s="8">
        <v>14.5</v>
      </c>
      <c r="T2481" s="8">
        <v>0.7</v>
      </c>
      <c r="U2481" s="8">
        <v>13.5</v>
      </c>
      <c r="V2481" s="8">
        <v>1.3</v>
      </c>
      <c r="W2481" s="8">
        <v>0.7</v>
      </c>
      <c r="X2481" s="8">
        <v>160</v>
      </c>
      <c r="Y2481" s="8" t="s">
        <v>11451</v>
      </c>
      <c r="Z2481" s="8" t="s">
        <v>11452</v>
      </c>
    </row>
    <row r="2482" spans="1:26" x14ac:dyDescent="0.2">
      <c r="A2482" s="8">
        <v>2481</v>
      </c>
      <c r="B2482" s="8" t="s">
        <v>11453</v>
      </c>
      <c r="C2482" s="8" t="s">
        <v>11453</v>
      </c>
      <c r="F2482" s="47" t="s">
        <v>56541</v>
      </c>
      <c r="G2482" s="8">
        <v>15</v>
      </c>
      <c r="H2482" s="8" t="s">
        <v>21</v>
      </c>
      <c r="I2482" s="8" t="s">
        <v>22</v>
      </c>
      <c r="J2482" s="8" t="s">
        <v>22</v>
      </c>
      <c r="K2482" s="8" t="s">
        <v>632</v>
      </c>
      <c r="L2482" s="8" t="s">
        <v>9862</v>
      </c>
      <c r="M2482" s="8" t="s">
        <v>9863</v>
      </c>
      <c r="N2482" s="8" t="s">
        <v>11454</v>
      </c>
      <c r="O2482" s="8">
        <f>7+57/60+13.7/3600</f>
        <v>7.9538055555555554</v>
      </c>
      <c r="P2482" s="8" t="s">
        <v>11455</v>
      </c>
      <c r="Q2482" s="8">
        <f>+(23+46/60+3/3600)</f>
        <v>23.767499999999998</v>
      </c>
      <c r="R2482" s="8">
        <v>13</v>
      </c>
      <c r="S2482" s="8">
        <v>13.9</v>
      </c>
      <c r="T2482" s="8">
        <v>0.9</v>
      </c>
      <c r="U2482" s="8">
        <v>12.5</v>
      </c>
      <c r="V2482" s="8">
        <v>1.4</v>
      </c>
      <c r="W2482" s="8">
        <v>0.5</v>
      </c>
      <c r="X2482" s="8">
        <v>18</v>
      </c>
      <c r="Y2482" s="8" t="s">
        <v>11456</v>
      </c>
      <c r="Z2482" s="8" t="s">
        <v>11457</v>
      </c>
    </row>
    <row r="2483" spans="1:26" x14ac:dyDescent="0.2">
      <c r="A2483" s="8">
        <v>2482</v>
      </c>
      <c r="B2483" s="8" t="s">
        <v>11458</v>
      </c>
      <c r="C2483" s="8" t="s">
        <v>11458</v>
      </c>
      <c r="F2483" s="47" t="s">
        <v>56542</v>
      </c>
      <c r="G2483" s="8">
        <v>6</v>
      </c>
      <c r="H2483" s="8" t="s">
        <v>21</v>
      </c>
      <c r="I2483" s="8" t="s">
        <v>557</v>
      </c>
      <c r="J2483" s="8" t="s">
        <v>557</v>
      </c>
      <c r="K2483" s="8" t="s">
        <v>3647</v>
      </c>
      <c r="L2483" s="8" t="s">
        <v>10175</v>
      </c>
      <c r="M2483" s="8" t="s">
        <v>10176</v>
      </c>
      <c r="N2483" s="8" t="s">
        <v>11459</v>
      </c>
      <c r="O2483" s="8">
        <f>7+55/60+12/3600</f>
        <v>7.92</v>
      </c>
      <c r="P2483" s="8" t="s">
        <v>11460</v>
      </c>
      <c r="Q2483" s="8">
        <f>-(24+15/60+30/3600)</f>
        <v>-24.258333333333333</v>
      </c>
      <c r="R2483" s="8">
        <v>7.3</v>
      </c>
      <c r="S2483" s="8">
        <v>99</v>
      </c>
      <c r="T2483" s="8">
        <v>99</v>
      </c>
      <c r="U2483" s="8">
        <v>99</v>
      </c>
      <c r="V2483" s="8">
        <v>10</v>
      </c>
      <c r="Y2483" s="8" t="s">
        <v>11461</v>
      </c>
      <c r="Z2483" s="8" t="s">
        <v>11462</v>
      </c>
    </row>
    <row r="2484" spans="1:26" x14ac:dyDescent="0.2">
      <c r="A2484" s="8">
        <v>2483</v>
      </c>
      <c r="B2484" s="8" t="s">
        <v>11463</v>
      </c>
      <c r="C2484" s="8" t="s">
        <v>11463</v>
      </c>
      <c r="F2484" s="47"/>
      <c r="G2484" s="8">
        <v>16</v>
      </c>
      <c r="H2484" s="8" t="s">
        <v>21</v>
      </c>
      <c r="I2484" s="8" t="s">
        <v>557</v>
      </c>
      <c r="J2484" s="8" t="s">
        <v>557</v>
      </c>
      <c r="K2484" s="8" t="s">
        <v>557</v>
      </c>
      <c r="L2484" s="8" t="s">
        <v>10175</v>
      </c>
      <c r="M2484" s="8" t="s">
        <v>10176</v>
      </c>
      <c r="N2484" s="8" t="s">
        <v>11464</v>
      </c>
      <c r="O2484" s="8">
        <f>7+55/60+39/3600</f>
        <v>7.9275000000000002</v>
      </c>
      <c r="P2484" s="8" t="s">
        <v>11465</v>
      </c>
      <c r="Q2484" s="8">
        <f>-(27+53/60+42/3600)</f>
        <v>-27.895</v>
      </c>
      <c r="R2484" s="8">
        <v>7.6</v>
      </c>
      <c r="S2484" s="8">
        <v>99</v>
      </c>
      <c r="T2484" s="8">
        <v>99</v>
      </c>
      <c r="U2484" s="8">
        <v>99</v>
      </c>
      <c r="V2484" s="8">
        <v>9</v>
      </c>
      <c r="Y2484" s="8" t="s">
        <v>1408</v>
      </c>
      <c r="Z2484" s="8" t="s">
        <v>1409</v>
      </c>
    </row>
    <row r="2485" spans="1:26" x14ac:dyDescent="0.2">
      <c r="A2485" s="8">
        <v>2484</v>
      </c>
      <c r="B2485" s="8" t="s">
        <v>11466</v>
      </c>
      <c r="C2485" s="8" t="s">
        <v>11466</v>
      </c>
      <c r="F2485" s="47"/>
      <c r="G2485" s="8">
        <v>19</v>
      </c>
      <c r="H2485" s="8" t="s">
        <v>21</v>
      </c>
      <c r="I2485" s="8" t="s">
        <v>22</v>
      </c>
      <c r="J2485" s="8" t="s">
        <v>22</v>
      </c>
      <c r="K2485" s="8" t="s">
        <v>37</v>
      </c>
      <c r="L2485" s="8" t="s">
        <v>10511</v>
      </c>
      <c r="M2485" s="8" t="s">
        <v>10512</v>
      </c>
      <c r="N2485" s="8" t="s">
        <v>11467</v>
      </c>
      <c r="O2485" s="8">
        <f>7+58/60+28.1/3600</f>
        <v>7.9744722222222224</v>
      </c>
      <c r="P2485" s="8" t="s">
        <v>11468</v>
      </c>
      <c r="Q2485" s="8">
        <f>+(37+47/60+12/3600)</f>
        <v>37.786666666666662</v>
      </c>
      <c r="R2485" s="8">
        <v>13</v>
      </c>
      <c r="S2485" s="8">
        <v>14.1</v>
      </c>
      <c r="T2485" s="8">
        <v>1.1000000000000001</v>
      </c>
      <c r="U2485" s="8">
        <v>12.5</v>
      </c>
      <c r="V2485" s="8">
        <v>0.9</v>
      </c>
      <c r="W2485" s="8">
        <v>0.8</v>
      </c>
      <c r="X2485" s="8">
        <v>145</v>
      </c>
      <c r="Y2485" s="8" t="s">
        <v>11469</v>
      </c>
      <c r="Z2485" s="8" t="s">
        <v>11470</v>
      </c>
    </row>
    <row r="2486" spans="1:26" x14ac:dyDescent="0.2">
      <c r="A2486" s="8">
        <v>2485</v>
      </c>
      <c r="B2486" s="8" t="s">
        <v>11471</v>
      </c>
      <c r="C2486" s="8" t="s">
        <v>11471</v>
      </c>
      <c r="F2486" s="47"/>
      <c r="G2486" s="8">
        <v>18</v>
      </c>
      <c r="H2486" s="8" t="s">
        <v>21</v>
      </c>
      <c r="I2486" s="8" t="s">
        <v>22</v>
      </c>
      <c r="J2486" s="8" t="s">
        <v>22</v>
      </c>
      <c r="K2486" s="8" t="s">
        <v>91</v>
      </c>
      <c r="L2486" s="8" t="s">
        <v>10848</v>
      </c>
      <c r="M2486" s="8" t="s">
        <v>10849</v>
      </c>
      <c r="N2486" s="8" t="s">
        <v>11472</v>
      </c>
      <c r="O2486" s="8">
        <f>7+56/60+48.7/3600</f>
        <v>7.9468611111111116</v>
      </c>
      <c r="P2486" s="8" t="s">
        <v>11473</v>
      </c>
      <c r="Q2486" s="8">
        <f>+(7+28/60+39/3600)</f>
        <v>7.4775</v>
      </c>
      <c r="R2486" s="8">
        <v>12.2</v>
      </c>
      <c r="S2486" s="8">
        <v>13.1</v>
      </c>
      <c r="T2486" s="8">
        <v>0.9</v>
      </c>
      <c r="U2486" s="8">
        <v>12.9</v>
      </c>
      <c r="V2486" s="8">
        <v>1.6</v>
      </c>
      <c r="W2486" s="8">
        <v>1.4</v>
      </c>
      <c r="X2486" s="8">
        <v>153</v>
      </c>
      <c r="Y2486" s="8" t="s">
        <v>11474</v>
      </c>
      <c r="Z2486" s="8" t="s">
        <v>2325</v>
      </c>
    </row>
    <row r="2487" spans="1:26" x14ac:dyDescent="0.2">
      <c r="A2487" s="8">
        <v>2486</v>
      </c>
      <c r="B2487" s="8" t="s">
        <v>11475</v>
      </c>
      <c r="C2487" s="8" t="s">
        <v>11475</v>
      </c>
      <c r="F2487" s="47"/>
      <c r="G2487" s="8">
        <v>18</v>
      </c>
      <c r="H2487" s="8" t="s">
        <v>21</v>
      </c>
      <c r="I2487" s="8" t="s">
        <v>22</v>
      </c>
      <c r="J2487" s="8" t="s">
        <v>22</v>
      </c>
      <c r="K2487" s="8" t="s">
        <v>91</v>
      </c>
      <c r="L2487" s="8" t="s">
        <v>9862</v>
      </c>
      <c r="M2487" s="8" t="s">
        <v>9863</v>
      </c>
      <c r="N2487" s="8" t="s">
        <v>11476</v>
      </c>
      <c r="O2487" s="8">
        <f>7+57/60+56.5/3600</f>
        <v>7.9656944444444449</v>
      </c>
      <c r="P2487" s="8" t="s">
        <v>11477</v>
      </c>
      <c r="Q2487" s="8">
        <f>+(25+9/60+40/3600)</f>
        <v>25.161111111111111</v>
      </c>
      <c r="R2487" s="8">
        <v>13.3</v>
      </c>
      <c r="S2487" s="8">
        <v>14.2</v>
      </c>
      <c r="T2487" s="8">
        <v>0.9</v>
      </c>
      <c r="U2487" s="8">
        <v>13.6</v>
      </c>
      <c r="V2487" s="8">
        <v>1.7</v>
      </c>
      <c r="W2487" s="8">
        <v>0.9</v>
      </c>
      <c r="X2487" s="8">
        <v>97</v>
      </c>
      <c r="Y2487" s="8" t="s">
        <v>11478</v>
      </c>
      <c r="Z2487" s="8" t="s">
        <v>11479</v>
      </c>
    </row>
    <row r="2488" spans="1:26" x14ac:dyDescent="0.2">
      <c r="A2488" s="8">
        <v>2487</v>
      </c>
      <c r="B2488" s="8" t="s">
        <v>11480</v>
      </c>
      <c r="C2488" s="8" t="s">
        <v>11480</v>
      </c>
      <c r="F2488" s="47"/>
      <c r="G2488" s="8">
        <v>18</v>
      </c>
      <c r="H2488" s="8" t="s">
        <v>21</v>
      </c>
      <c r="I2488" s="8" t="s">
        <v>22</v>
      </c>
      <c r="J2488" s="8" t="s">
        <v>22</v>
      </c>
      <c r="K2488" s="8" t="s">
        <v>218</v>
      </c>
      <c r="L2488" s="8" t="s">
        <v>9862</v>
      </c>
      <c r="M2488" s="8" t="s">
        <v>9863</v>
      </c>
      <c r="N2488" s="8" t="s">
        <v>11481</v>
      </c>
      <c r="O2488" s="8">
        <f>7+58/60+20.3/3600</f>
        <v>7.9723055555555558</v>
      </c>
      <c r="P2488" s="8" t="s">
        <v>11482</v>
      </c>
      <c r="Q2488" s="8">
        <f>+(25+8/60+57/3600)</f>
        <v>25.149166666666666</v>
      </c>
      <c r="R2488" s="8">
        <v>12.5</v>
      </c>
      <c r="S2488" s="8">
        <v>13.2</v>
      </c>
      <c r="T2488" s="8">
        <v>0.7</v>
      </c>
      <c r="U2488" s="8">
        <v>14.2</v>
      </c>
      <c r="V2488" s="8">
        <v>2.7</v>
      </c>
      <c r="W2488" s="8">
        <v>2.1</v>
      </c>
      <c r="X2488" s="8">
        <v>115</v>
      </c>
      <c r="Y2488" s="8" t="s">
        <v>3056</v>
      </c>
      <c r="Z2488" s="8" t="s">
        <v>3057</v>
      </c>
    </row>
    <row r="2489" spans="1:26" x14ac:dyDescent="0.2">
      <c r="A2489" s="8">
        <v>2488</v>
      </c>
      <c r="B2489" s="8" t="s">
        <v>11483</v>
      </c>
      <c r="C2489" s="8" t="s">
        <v>11483</v>
      </c>
      <c r="F2489" s="47" t="s">
        <v>56543</v>
      </c>
      <c r="G2489" s="8">
        <v>15</v>
      </c>
      <c r="H2489" s="8" t="s">
        <v>21</v>
      </c>
      <c r="I2489" s="8" t="s">
        <v>22</v>
      </c>
      <c r="J2489" s="8" t="s">
        <v>22</v>
      </c>
      <c r="K2489" s="8" t="s">
        <v>58</v>
      </c>
      <c r="L2489" s="8" t="s">
        <v>10511</v>
      </c>
      <c r="M2489" s="8" t="s">
        <v>10512</v>
      </c>
      <c r="N2489" s="8" t="s">
        <v>11484</v>
      </c>
      <c r="O2489" s="8">
        <f>8+1/60+45.6/3600</f>
        <v>8.0293333333333337</v>
      </c>
      <c r="P2489" s="8" t="s">
        <v>11485</v>
      </c>
      <c r="Q2489" s="8">
        <f>+(56+33/60+10/3600)</f>
        <v>56.552777777777777</v>
      </c>
      <c r="R2489" s="8">
        <v>12.4</v>
      </c>
      <c r="S2489" s="8">
        <v>13.4</v>
      </c>
      <c r="T2489" s="8">
        <v>1</v>
      </c>
      <c r="U2489" s="8">
        <v>12.4</v>
      </c>
      <c r="V2489" s="8">
        <v>1.4</v>
      </c>
      <c r="W2489" s="8">
        <v>0.8</v>
      </c>
      <c r="X2489" s="8">
        <v>100</v>
      </c>
      <c r="Y2489" s="8" t="s">
        <v>6395</v>
      </c>
      <c r="Z2489" s="8" t="s">
        <v>6396</v>
      </c>
    </row>
    <row r="2490" spans="1:26" x14ac:dyDescent="0.2">
      <c r="A2490" s="8">
        <v>2489</v>
      </c>
      <c r="B2490" s="8" t="s">
        <v>11486</v>
      </c>
      <c r="C2490" s="8" t="s">
        <v>11486</v>
      </c>
      <c r="F2490" s="47" t="s">
        <v>56544</v>
      </c>
      <c r="G2490" s="8">
        <v>3</v>
      </c>
      <c r="H2490" s="8" t="s">
        <v>21</v>
      </c>
      <c r="I2490" s="8" t="s">
        <v>557</v>
      </c>
      <c r="J2490" s="8" t="s">
        <v>557</v>
      </c>
      <c r="K2490" s="8" t="s">
        <v>2722</v>
      </c>
      <c r="L2490" s="8" t="s">
        <v>10175</v>
      </c>
      <c r="M2490" s="8" t="s">
        <v>10176</v>
      </c>
      <c r="N2490" s="8" t="s">
        <v>11487</v>
      </c>
      <c r="O2490" s="8">
        <f>7+56/60+15.9/3600</f>
        <v>7.9377500000000003</v>
      </c>
      <c r="P2490" s="8" t="s">
        <v>11488</v>
      </c>
      <c r="Q2490" s="8">
        <f>-(30+3/60+51/3600)</f>
        <v>-30.064166666666669</v>
      </c>
      <c r="R2490" s="8">
        <v>7.9</v>
      </c>
      <c r="S2490" s="8">
        <v>99</v>
      </c>
      <c r="T2490" s="8">
        <v>99</v>
      </c>
      <c r="U2490" s="8">
        <v>99</v>
      </c>
      <c r="V2490" s="8">
        <v>5</v>
      </c>
      <c r="Y2490" s="8" t="s">
        <v>11489</v>
      </c>
      <c r="Z2490" s="8" t="s">
        <v>11490</v>
      </c>
    </row>
    <row r="2491" spans="1:26" x14ac:dyDescent="0.2">
      <c r="A2491" s="8">
        <v>2490</v>
      </c>
      <c r="B2491" s="8" t="s">
        <v>11491</v>
      </c>
      <c r="C2491" s="8" t="s">
        <v>11491</v>
      </c>
      <c r="F2491" s="47"/>
      <c r="G2491" s="8">
        <v>18</v>
      </c>
      <c r="H2491" s="8" t="s">
        <v>21</v>
      </c>
      <c r="I2491" s="8" t="s">
        <v>22</v>
      </c>
      <c r="J2491" s="8" t="s">
        <v>22</v>
      </c>
      <c r="K2491" s="8" t="s">
        <v>424</v>
      </c>
      <c r="L2491" s="8" t="s">
        <v>9862</v>
      </c>
      <c r="M2491" s="8" t="s">
        <v>9863</v>
      </c>
      <c r="N2491" s="8" t="s">
        <v>11492</v>
      </c>
      <c r="O2491" s="8">
        <f>7+59/60+17.9/3600</f>
        <v>7.9883055555555558</v>
      </c>
      <c r="P2491" s="8" t="s">
        <v>11493</v>
      </c>
      <c r="Q2491" s="8">
        <f>+(27+4/60+40/3600)</f>
        <v>27.077777777777779</v>
      </c>
      <c r="R2491" s="8">
        <v>14.6</v>
      </c>
      <c r="S2491" s="8">
        <v>15.6</v>
      </c>
      <c r="T2491" s="8">
        <v>1</v>
      </c>
      <c r="U2491" s="8">
        <v>12.9</v>
      </c>
      <c r="V2491" s="8">
        <v>0.6</v>
      </c>
      <c r="W2491" s="8">
        <v>0.4</v>
      </c>
      <c r="X2491" s="8">
        <v>45</v>
      </c>
      <c r="Y2491" s="8" t="s">
        <v>11494</v>
      </c>
      <c r="Z2491" s="8" t="s">
        <v>11495</v>
      </c>
    </row>
    <row r="2492" spans="1:26" x14ac:dyDescent="0.2">
      <c r="A2492" s="8">
        <v>2491</v>
      </c>
      <c r="B2492" s="8" t="s">
        <v>11496</v>
      </c>
      <c r="C2492" s="8" t="s">
        <v>11496</v>
      </c>
      <c r="F2492" s="47"/>
      <c r="G2492" s="8">
        <v>19</v>
      </c>
      <c r="H2492" s="8" t="s">
        <v>21</v>
      </c>
      <c r="I2492" s="8" t="s">
        <v>22</v>
      </c>
      <c r="J2492" s="8" t="s">
        <v>22</v>
      </c>
      <c r="K2492" s="8" t="s">
        <v>449</v>
      </c>
      <c r="L2492" s="8" t="s">
        <v>10848</v>
      </c>
      <c r="M2492" s="8" t="s">
        <v>10849</v>
      </c>
      <c r="N2492" s="8" t="s">
        <v>11497</v>
      </c>
      <c r="O2492" s="8">
        <f>7+58/60+27.3/3600</f>
        <v>7.9742500000000005</v>
      </c>
      <c r="P2492" s="8" t="s">
        <v>11498</v>
      </c>
      <c r="Q2492" s="8">
        <f>+(7+59/60+4/3600)</f>
        <v>7.9844444444444447</v>
      </c>
      <c r="R2492" s="8">
        <v>14.8</v>
      </c>
      <c r="S2492" s="8">
        <v>15.6</v>
      </c>
      <c r="T2492" s="8">
        <v>0.8</v>
      </c>
      <c r="U2492" s="8">
        <v>11.6</v>
      </c>
      <c r="V2492" s="8">
        <v>0.3</v>
      </c>
      <c r="W2492" s="8">
        <v>0.2</v>
      </c>
      <c r="X2492" s="8">
        <v>93</v>
      </c>
      <c r="Y2492" s="8" t="s">
        <v>11499</v>
      </c>
      <c r="Z2492" s="8" t="s">
        <v>11500</v>
      </c>
    </row>
    <row r="2493" spans="1:26" x14ac:dyDescent="0.2">
      <c r="A2493" s="8">
        <v>2492</v>
      </c>
      <c r="B2493" s="8" t="s">
        <v>11501</v>
      </c>
      <c r="C2493" s="8" t="s">
        <v>11501</v>
      </c>
      <c r="F2493" s="47"/>
      <c r="G2493" s="8">
        <v>16</v>
      </c>
      <c r="H2493" s="8" t="s">
        <v>21</v>
      </c>
      <c r="I2493" s="8" t="s">
        <v>22</v>
      </c>
      <c r="J2493" s="8" t="s">
        <v>22</v>
      </c>
      <c r="K2493" s="8" t="s">
        <v>58</v>
      </c>
      <c r="L2493" s="8" t="s">
        <v>9862</v>
      </c>
      <c r="M2493" s="8" t="s">
        <v>9863</v>
      </c>
      <c r="N2493" s="8" t="s">
        <v>11502</v>
      </c>
      <c r="O2493" s="8">
        <f>7+59/60+29.7/3600</f>
        <v>7.9915833333333337</v>
      </c>
      <c r="P2493" s="8" t="s">
        <v>11503</v>
      </c>
      <c r="Q2493" s="8">
        <f>+(27+1/60+35/3600)</f>
        <v>27.026388888888889</v>
      </c>
      <c r="R2493" s="8">
        <v>12.7</v>
      </c>
      <c r="S2493" s="8">
        <v>13.7</v>
      </c>
      <c r="T2493" s="8">
        <v>1</v>
      </c>
      <c r="U2493" s="8">
        <v>12.6</v>
      </c>
      <c r="V2493" s="8">
        <v>1</v>
      </c>
      <c r="W2493" s="8">
        <v>1</v>
      </c>
      <c r="Y2493" s="8" t="s">
        <v>11504</v>
      </c>
      <c r="Z2493" s="8" t="s">
        <v>11505</v>
      </c>
    </row>
    <row r="2494" spans="1:26" x14ac:dyDescent="0.2">
      <c r="A2494" s="8">
        <v>2493</v>
      </c>
      <c r="B2494" s="8" t="s">
        <v>11506</v>
      </c>
      <c r="C2494" s="8" t="s">
        <v>11506</v>
      </c>
      <c r="F2494" s="47" t="s">
        <v>56545</v>
      </c>
      <c r="G2494" s="8">
        <v>6.5</v>
      </c>
      <c r="H2494" s="8" t="s">
        <v>21</v>
      </c>
      <c r="I2494" s="8" t="s">
        <v>22</v>
      </c>
      <c r="J2494" s="8" t="s">
        <v>22</v>
      </c>
      <c r="K2494" s="8" t="s">
        <v>224</v>
      </c>
      <c r="L2494" s="8" t="s">
        <v>10511</v>
      </c>
      <c r="M2494" s="8" t="s">
        <v>10512</v>
      </c>
      <c r="N2494" s="8" t="s">
        <v>11507</v>
      </c>
      <c r="O2494" s="8">
        <f>8+0/60+23.8/3600</f>
        <v>8.0066111111111109</v>
      </c>
      <c r="P2494" s="8" t="s">
        <v>11508</v>
      </c>
      <c r="Q2494" s="8">
        <f>+(39+49/60+51/3600)</f>
        <v>39.830833333333338</v>
      </c>
      <c r="R2494" s="8">
        <v>12</v>
      </c>
      <c r="S2494" s="8">
        <v>13</v>
      </c>
      <c r="T2494" s="8">
        <v>1</v>
      </c>
      <c r="U2494" s="8">
        <v>13.3</v>
      </c>
      <c r="V2494" s="8">
        <v>1.9</v>
      </c>
      <c r="W2494" s="8">
        <v>1.9</v>
      </c>
      <c r="Y2494" s="8" t="s">
        <v>11509</v>
      </c>
      <c r="Z2494" s="8" t="s">
        <v>11510</v>
      </c>
    </row>
    <row r="2495" spans="1:26" x14ac:dyDescent="0.2">
      <c r="A2495" s="8">
        <v>2494</v>
      </c>
      <c r="B2495" s="8" t="s">
        <v>11511</v>
      </c>
      <c r="C2495" s="8" t="s">
        <v>11511</v>
      </c>
      <c r="F2495" s="47"/>
      <c r="G2495" s="8">
        <v>18</v>
      </c>
      <c r="H2495" s="8" t="s">
        <v>21</v>
      </c>
      <c r="I2495" s="8" t="s">
        <v>22</v>
      </c>
      <c r="J2495" s="8" t="s">
        <v>22</v>
      </c>
      <c r="K2495" s="8" t="s">
        <v>435</v>
      </c>
      <c r="L2495" s="8" t="s">
        <v>9917</v>
      </c>
      <c r="M2495" s="8" t="s">
        <v>9918</v>
      </c>
      <c r="N2495" s="8" t="s">
        <v>11512</v>
      </c>
      <c r="O2495" s="8">
        <f>7+59/60+7.2/3600</f>
        <v>7.9853333333333332</v>
      </c>
      <c r="P2495" s="8" t="s">
        <v>11513</v>
      </c>
      <c r="Q2495" s="8">
        <f>-(0+38/60+15/3600)</f>
        <v>-0.63749999999999996</v>
      </c>
      <c r="R2495" s="8">
        <v>13.1</v>
      </c>
      <c r="S2495" s="8">
        <v>14</v>
      </c>
      <c r="T2495" s="8">
        <v>0.9</v>
      </c>
      <c r="U2495" s="8">
        <v>12.4</v>
      </c>
      <c r="V2495" s="8">
        <v>0.9</v>
      </c>
      <c r="W2495" s="8">
        <v>0.7</v>
      </c>
      <c r="X2495" s="8">
        <v>95</v>
      </c>
      <c r="Y2495" s="8" t="s">
        <v>3253</v>
      </c>
      <c r="Z2495" s="8" t="s">
        <v>3254</v>
      </c>
    </row>
    <row r="2496" spans="1:26" x14ac:dyDescent="0.2">
      <c r="A2496" s="8">
        <v>2495</v>
      </c>
      <c r="B2496" s="8" t="s">
        <v>11514</v>
      </c>
      <c r="C2496" s="8" t="s">
        <v>11514</v>
      </c>
      <c r="F2496" s="47"/>
      <c r="G2496" s="8">
        <v>18</v>
      </c>
      <c r="H2496" s="8" t="s">
        <v>21</v>
      </c>
      <c r="I2496" s="8" t="s">
        <v>22</v>
      </c>
      <c r="J2496" s="8" t="s">
        <v>22</v>
      </c>
      <c r="K2496" s="8" t="s">
        <v>3523</v>
      </c>
      <c r="L2496" s="8" t="s">
        <v>10511</v>
      </c>
      <c r="M2496" s="8" t="s">
        <v>10512</v>
      </c>
      <c r="N2496" s="8" t="s">
        <v>11515</v>
      </c>
      <c r="O2496" s="8">
        <f>8+0/60+33.2/3600</f>
        <v>8.0092222222222222</v>
      </c>
      <c r="P2496" s="8" t="s">
        <v>11516</v>
      </c>
      <c r="Q2496" s="8">
        <f>+(39+50/60+26/3600)</f>
        <v>39.840555555555561</v>
      </c>
      <c r="R2496" s="8">
        <v>15.2</v>
      </c>
      <c r="S2496" s="8">
        <v>15.7</v>
      </c>
      <c r="T2496" s="8">
        <v>0.5</v>
      </c>
      <c r="U2496" s="8">
        <v>12.4</v>
      </c>
      <c r="V2496" s="8">
        <v>0.4</v>
      </c>
      <c r="W2496" s="8">
        <v>0.2</v>
      </c>
      <c r="X2496" s="8">
        <v>15</v>
      </c>
      <c r="Y2496" s="8" t="s">
        <v>11517</v>
      </c>
      <c r="Z2496" s="8" t="s">
        <v>11518</v>
      </c>
    </row>
    <row r="2497" spans="1:26" x14ac:dyDescent="0.2">
      <c r="A2497" s="8">
        <v>2496</v>
      </c>
      <c r="B2497" s="8" t="s">
        <v>11519</v>
      </c>
      <c r="C2497" s="8" t="s">
        <v>11519</v>
      </c>
      <c r="F2497" s="47"/>
      <c r="G2497" s="8">
        <v>19</v>
      </c>
      <c r="H2497" s="8" t="s">
        <v>21</v>
      </c>
      <c r="I2497" s="8" t="s">
        <v>22</v>
      </c>
      <c r="J2497" s="8" t="s">
        <v>22</v>
      </c>
      <c r="K2497" s="8" t="s">
        <v>1136</v>
      </c>
      <c r="L2497" s="8" t="s">
        <v>10848</v>
      </c>
      <c r="M2497" s="8" t="s">
        <v>10849</v>
      </c>
      <c r="N2497" s="8" t="s">
        <v>11520</v>
      </c>
      <c r="O2497" s="8">
        <f>7+58/60+37.4/3600</f>
        <v>7.9770555555555553</v>
      </c>
      <c r="P2497" s="8" t="s">
        <v>11521</v>
      </c>
      <c r="Q2497" s="8">
        <f>+(8+1/60+41/3600)</f>
        <v>8.0280555555555555</v>
      </c>
      <c r="R2497" s="8">
        <v>12.9</v>
      </c>
      <c r="S2497" s="8">
        <v>13.9</v>
      </c>
      <c r="T2497" s="8">
        <v>1</v>
      </c>
      <c r="U2497" s="8">
        <v>13</v>
      </c>
      <c r="V2497" s="8">
        <v>1.1000000000000001</v>
      </c>
      <c r="W2497" s="8">
        <v>0.9</v>
      </c>
      <c r="X2497" s="8">
        <v>167</v>
      </c>
      <c r="Y2497" s="8" t="s">
        <v>11522</v>
      </c>
      <c r="Z2497" s="8" t="s">
        <v>11523</v>
      </c>
    </row>
    <row r="2498" spans="1:26" x14ac:dyDescent="0.2">
      <c r="A2498" s="8">
        <v>2497</v>
      </c>
      <c r="B2498" s="8" t="s">
        <v>11524</v>
      </c>
      <c r="C2498" s="8" t="s">
        <v>11524</v>
      </c>
      <c r="F2498" s="47" t="s">
        <v>56546</v>
      </c>
      <c r="G2498" s="8">
        <v>15</v>
      </c>
      <c r="H2498" s="8" t="s">
        <v>21</v>
      </c>
      <c r="I2498" s="8" t="s">
        <v>22</v>
      </c>
      <c r="J2498" s="8" t="s">
        <v>22</v>
      </c>
      <c r="K2498" s="8" t="s">
        <v>58</v>
      </c>
      <c r="L2498" s="8" t="s">
        <v>10511</v>
      </c>
      <c r="M2498" s="8" t="s">
        <v>10512</v>
      </c>
      <c r="N2498" s="8" t="s">
        <v>11525</v>
      </c>
      <c r="O2498" s="8">
        <f>8+2/60+11.1/3600</f>
        <v>8.0364166666666659</v>
      </c>
      <c r="P2498" s="8" t="s">
        <v>11526</v>
      </c>
      <c r="Q2498" s="8">
        <f>+(56+56/60+32/3600)</f>
        <v>56.94222222222222</v>
      </c>
      <c r="R2498" s="8">
        <v>13.2</v>
      </c>
      <c r="S2498" s="8">
        <v>14.2</v>
      </c>
      <c r="T2498" s="8">
        <v>1</v>
      </c>
      <c r="U2498" s="8">
        <v>13.8</v>
      </c>
      <c r="V2498" s="8">
        <v>1.4</v>
      </c>
      <c r="W2498" s="8">
        <v>1.2</v>
      </c>
      <c r="X2498" s="8">
        <v>24</v>
      </c>
      <c r="Y2498" s="8" t="s">
        <v>266</v>
      </c>
      <c r="Z2498" s="8" t="s">
        <v>267</v>
      </c>
    </row>
    <row r="2499" spans="1:26" x14ac:dyDescent="0.2">
      <c r="A2499" s="8">
        <v>2498</v>
      </c>
      <c r="B2499" s="8" t="s">
        <v>11527</v>
      </c>
      <c r="C2499" s="8" t="s">
        <v>11527</v>
      </c>
      <c r="F2499" s="47"/>
      <c r="G2499" s="8">
        <v>19</v>
      </c>
      <c r="H2499" s="8" t="s">
        <v>21</v>
      </c>
      <c r="I2499" s="8" t="s">
        <v>22</v>
      </c>
      <c r="J2499" s="8" t="s">
        <v>22</v>
      </c>
      <c r="K2499" s="8" t="s">
        <v>154</v>
      </c>
      <c r="L2499" s="8" t="s">
        <v>9862</v>
      </c>
      <c r="M2499" s="8" t="s">
        <v>9863</v>
      </c>
      <c r="N2499" s="8" t="s">
        <v>11528</v>
      </c>
      <c r="O2499" s="8">
        <f>7+59/60+38.7/3600</f>
        <v>7.9940833333333332</v>
      </c>
      <c r="P2499" s="8" t="s">
        <v>11529</v>
      </c>
      <c r="Q2499" s="8">
        <f>+(24+59/60+0/3600)</f>
        <v>24.983333333333334</v>
      </c>
      <c r="R2499" s="8">
        <v>13.4</v>
      </c>
      <c r="S2499" s="8">
        <v>14.3</v>
      </c>
      <c r="T2499" s="8">
        <v>0.9</v>
      </c>
      <c r="U2499" s="8">
        <v>13.1</v>
      </c>
      <c r="V2499" s="8">
        <v>1.1000000000000001</v>
      </c>
      <c r="W2499" s="8">
        <v>0.8</v>
      </c>
      <c r="X2499" s="8">
        <v>113</v>
      </c>
      <c r="Y2499" s="8" t="s">
        <v>4698</v>
      </c>
      <c r="Z2499" s="8" t="s">
        <v>4699</v>
      </c>
    </row>
    <row r="2500" spans="1:26" x14ac:dyDescent="0.2">
      <c r="A2500" s="8">
        <v>2499</v>
      </c>
      <c r="B2500" s="8" t="s">
        <v>11530</v>
      </c>
      <c r="C2500" s="8" t="s">
        <v>11530</v>
      </c>
      <c r="F2500" s="47"/>
      <c r="G2500" s="8">
        <v>18</v>
      </c>
      <c r="H2500" s="8" t="s">
        <v>21</v>
      </c>
      <c r="I2500" s="8" t="s">
        <v>22</v>
      </c>
      <c r="J2500" s="8" t="s">
        <v>22</v>
      </c>
      <c r="K2500" s="8" t="s">
        <v>1445</v>
      </c>
      <c r="L2500" s="8" t="s">
        <v>10848</v>
      </c>
      <c r="M2500" s="8" t="s">
        <v>10849</v>
      </c>
      <c r="N2500" s="8" t="s">
        <v>11531</v>
      </c>
      <c r="O2500" s="8">
        <f>7+58/60+51.7/3600</f>
        <v>7.9810277777777783</v>
      </c>
      <c r="P2500" s="8" t="s">
        <v>11532</v>
      </c>
      <c r="Q2500" s="8">
        <f>+(7+29/60+34/3600)</f>
        <v>7.4927777777777775</v>
      </c>
      <c r="R2500" s="8">
        <v>14</v>
      </c>
      <c r="S2500" s="8">
        <v>14.8</v>
      </c>
      <c r="T2500" s="8">
        <v>0.8</v>
      </c>
      <c r="U2500" s="8">
        <v>12.9</v>
      </c>
      <c r="V2500" s="8">
        <v>0.8</v>
      </c>
      <c r="W2500" s="8">
        <v>0.5</v>
      </c>
      <c r="X2500" s="8">
        <v>18</v>
      </c>
      <c r="Y2500" s="8" t="s">
        <v>11533</v>
      </c>
      <c r="Z2500" s="8" t="s">
        <v>11534</v>
      </c>
    </row>
    <row r="2501" spans="1:26" x14ac:dyDescent="0.2">
      <c r="A2501" s="8">
        <v>2500</v>
      </c>
      <c r="B2501" s="8" t="s">
        <v>11535</v>
      </c>
      <c r="C2501" s="8" t="s">
        <v>11535</v>
      </c>
      <c r="F2501" s="47" t="s">
        <v>56547</v>
      </c>
      <c r="G2501" s="8">
        <v>6.5</v>
      </c>
      <c r="H2501" s="8" t="s">
        <v>21</v>
      </c>
      <c r="I2501" s="8" t="s">
        <v>22</v>
      </c>
      <c r="J2501" s="8" t="s">
        <v>22</v>
      </c>
      <c r="K2501" s="8" t="s">
        <v>1277</v>
      </c>
      <c r="L2501" s="8" t="s">
        <v>10511</v>
      </c>
      <c r="M2501" s="8" t="s">
        <v>10512</v>
      </c>
      <c r="N2501" s="8" t="s">
        <v>11536</v>
      </c>
      <c r="O2501" s="8">
        <f>8+1/60+53/3600</f>
        <v>8.0313888888888894</v>
      </c>
      <c r="P2501" s="8" t="s">
        <v>11537</v>
      </c>
      <c r="Q2501" s="8">
        <f>+(50+44/60+12/3600)</f>
        <v>50.736666666666665</v>
      </c>
      <c r="R2501" s="8">
        <v>11.6</v>
      </c>
      <c r="S2501" s="8">
        <v>12.2</v>
      </c>
      <c r="T2501" s="8">
        <v>0.6</v>
      </c>
      <c r="U2501" s="8">
        <v>13.7</v>
      </c>
      <c r="V2501" s="8">
        <v>2.9</v>
      </c>
      <c r="W2501" s="8">
        <v>2.7</v>
      </c>
      <c r="X2501" s="8">
        <v>48</v>
      </c>
      <c r="Y2501" s="8" t="s">
        <v>11538</v>
      </c>
      <c r="Z2501" s="8" t="s">
        <v>11539</v>
      </c>
    </row>
    <row r="2502" spans="1:26" x14ac:dyDescent="0.2">
      <c r="A2502" s="8">
        <v>2501</v>
      </c>
      <c r="B2502" s="8" t="s">
        <v>11540</v>
      </c>
      <c r="C2502" s="8" t="s">
        <v>11540</v>
      </c>
      <c r="F2502" s="47"/>
      <c r="G2502" s="8">
        <v>16</v>
      </c>
      <c r="H2502" s="8" t="s">
        <v>21</v>
      </c>
      <c r="I2502" s="8" t="s">
        <v>22</v>
      </c>
      <c r="J2502" s="8" t="s">
        <v>22</v>
      </c>
      <c r="K2502" s="8" t="s">
        <v>37</v>
      </c>
      <c r="L2502" s="8" t="s">
        <v>10175</v>
      </c>
      <c r="M2502" s="8" t="s">
        <v>10176</v>
      </c>
      <c r="N2502" s="8" t="s">
        <v>11541</v>
      </c>
      <c r="O2502" s="8">
        <f>7+58/60+30/3600</f>
        <v>7.9750000000000005</v>
      </c>
      <c r="P2502" s="8" t="s">
        <v>11542</v>
      </c>
      <c r="Q2502" s="8">
        <f>-(14+21/60+15/3600)</f>
        <v>-14.354166666666666</v>
      </c>
      <c r="R2502" s="8">
        <v>13.4</v>
      </c>
      <c r="S2502" s="8">
        <v>14.4</v>
      </c>
      <c r="T2502" s="8">
        <v>1</v>
      </c>
      <c r="U2502" s="8">
        <v>13.4</v>
      </c>
      <c r="V2502" s="8">
        <v>1.4</v>
      </c>
      <c r="W2502" s="8">
        <v>1</v>
      </c>
      <c r="X2502" s="8">
        <v>120</v>
      </c>
      <c r="Y2502" s="8" t="s">
        <v>11543</v>
      </c>
      <c r="Z2502" s="8" t="s">
        <v>11544</v>
      </c>
    </row>
    <row r="2503" spans="1:26" x14ac:dyDescent="0.2">
      <c r="A2503" s="8">
        <v>2502</v>
      </c>
      <c r="B2503" s="8" t="s">
        <v>11545</v>
      </c>
      <c r="C2503" s="8" t="s">
        <v>11545</v>
      </c>
      <c r="F2503" s="47"/>
      <c r="G2503" s="8">
        <v>16</v>
      </c>
      <c r="H2503" s="8" t="s">
        <v>21</v>
      </c>
      <c r="I2503" s="8" t="s">
        <v>22</v>
      </c>
      <c r="J2503" s="8" t="s">
        <v>22</v>
      </c>
      <c r="K2503" s="8" t="s">
        <v>224</v>
      </c>
      <c r="L2503" s="8" t="s">
        <v>10135</v>
      </c>
      <c r="M2503" s="8" t="s">
        <v>10136</v>
      </c>
      <c r="N2503" s="8" t="s">
        <v>11546</v>
      </c>
      <c r="O2503" s="8">
        <f>7+55/60+51.5/3600</f>
        <v>7.9309722222222225</v>
      </c>
      <c r="P2503" s="8" t="s">
        <v>11547</v>
      </c>
      <c r="Q2503" s="8">
        <f>-(52+18/60+25/3600)</f>
        <v>-52.30694444444444</v>
      </c>
      <c r="R2503" s="8">
        <v>12</v>
      </c>
      <c r="S2503" s="8">
        <v>13.2</v>
      </c>
      <c r="T2503" s="8">
        <v>1.2</v>
      </c>
      <c r="U2503" s="8">
        <v>12.9</v>
      </c>
      <c r="V2503" s="8">
        <v>2.1</v>
      </c>
      <c r="W2503" s="8">
        <v>1.3</v>
      </c>
      <c r="X2503" s="8">
        <v>126</v>
      </c>
      <c r="Y2503" s="8" t="s">
        <v>11548</v>
      </c>
      <c r="Z2503" s="8" t="s">
        <v>11549</v>
      </c>
    </row>
    <row r="2504" spans="1:26" x14ac:dyDescent="0.2">
      <c r="A2504" s="8">
        <v>2503</v>
      </c>
      <c r="B2504" s="8" t="s">
        <v>11550</v>
      </c>
      <c r="C2504" s="8" t="s">
        <v>11550</v>
      </c>
      <c r="F2504" s="47"/>
      <c r="G2504" s="8">
        <v>18</v>
      </c>
      <c r="H2504" s="8" t="s">
        <v>21</v>
      </c>
      <c r="I2504" s="8" t="s">
        <v>22</v>
      </c>
      <c r="J2504" s="8" t="s">
        <v>22</v>
      </c>
      <c r="K2504" s="8" t="s">
        <v>85</v>
      </c>
      <c r="L2504" s="8" t="s">
        <v>11551</v>
      </c>
      <c r="M2504" s="8" t="s">
        <v>11552</v>
      </c>
      <c r="N2504" s="8" t="s">
        <v>11553</v>
      </c>
      <c r="O2504" s="8">
        <f>8+0/60+36.8/3600</f>
        <v>8.0102222222222217</v>
      </c>
      <c r="P2504" s="8" t="s">
        <v>11554</v>
      </c>
      <c r="Q2504" s="8">
        <f>+(22+24/60+0/3600)</f>
        <v>22.4</v>
      </c>
      <c r="R2504" s="8">
        <v>13.7</v>
      </c>
      <c r="S2504" s="8">
        <v>14.5</v>
      </c>
      <c r="T2504" s="8">
        <v>0.8</v>
      </c>
      <c r="U2504" s="8">
        <v>13.5</v>
      </c>
      <c r="V2504" s="8">
        <v>1</v>
      </c>
      <c r="W2504" s="8">
        <v>1</v>
      </c>
      <c r="Y2504" s="8" t="s">
        <v>11555</v>
      </c>
      <c r="Z2504" s="8" t="s">
        <v>11556</v>
      </c>
    </row>
    <row r="2505" spans="1:26" x14ac:dyDescent="0.2">
      <c r="A2505" s="8">
        <v>2504</v>
      </c>
      <c r="B2505" s="8" t="s">
        <v>11557</v>
      </c>
      <c r="C2505" s="8" t="s">
        <v>11557</v>
      </c>
      <c r="F2505" s="47"/>
      <c r="G2505" s="8">
        <v>18</v>
      </c>
      <c r="H2505" s="8" t="s">
        <v>21</v>
      </c>
      <c r="I2505" s="8" t="s">
        <v>22</v>
      </c>
      <c r="J2505" s="8" t="s">
        <v>22</v>
      </c>
      <c r="K2505" s="8" t="s">
        <v>1174</v>
      </c>
      <c r="L2505" s="8" t="s">
        <v>10848</v>
      </c>
      <c r="M2505" s="8" t="s">
        <v>10849</v>
      </c>
      <c r="N2505" s="8" t="s">
        <v>11558</v>
      </c>
      <c r="O2505" s="8">
        <f>7+59/60+52.2/3600</f>
        <v>7.9978333333333333</v>
      </c>
      <c r="P2505" s="8" t="s">
        <v>11559</v>
      </c>
      <c r="Q2505" s="8">
        <f>+(5+36/60+28/3600)</f>
        <v>5.6077777777777778</v>
      </c>
      <c r="R2505" s="8">
        <v>13.3</v>
      </c>
      <c r="S2505" s="8">
        <v>14.3</v>
      </c>
      <c r="T2505" s="8">
        <v>1</v>
      </c>
      <c r="U2505" s="8">
        <v>11.4</v>
      </c>
      <c r="V2505" s="8">
        <v>0.5</v>
      </c>
      <c r="W2505" s="8">
        <v>0.4</v>
      </c>
      <c r="X2505" s="8">
        <v>96</v>
      </c>
      <c r="Y2505" s="8" t="s">
        <v>170</v>
      </c>
      <c r="Z2505" s="8" t="s">
        <v>171</v>
      </c>
    </row>
    <row r="2506" spans="1:26" x14ac:dyDescent="0.2">
      <c r="A2506" s="8">
        <v>2505</v>
      </c>
      <c r="B2506" s="8" t="s">
        <v>11560</v>
      </c>
      <c r="C2506" s="8" t="s">
        <v>11560</v>
      </c>
      <c r="F2506" s="47" t="s">
        <v>56548</v>
      </c>
      <c r="G2506" s="8">
        <v>15</v>
      </c>
      <c r="H2506" s="8" t="s">
        <v>21</v>
      </c>
      <c r="I2506" s="8" t="s">
        <v>22</v>
      </c>
      <c r="J2506" s="8" t="s">
        <v>22</v>
      </c>
      <c r="K2506" s="8" t="s">
        <v>154</v>
      </c>
      <c r="L2506" s="8" t="s">
        <v>10511</v>
      </c>
      <c r="M2506" s="8" t="s">
        <v>10512</v>
      </c>
      <c r="N2506" s="8" t="s">
        <v>11561</v>
      </c>
      <c r="O2506" s="8">
        <f>8+4/60+6.7/3600</f>
        <v>8.0685277777777777</v>
      </c>
      <c r="P2506" s="8" t="s">
        <v>11562</v>
      </c>
      <c r="Q2506" s="8">
        <f>+(53+32/60+59/3600)</f>
        <v>53.549722222222222</v>
      </c>
      <c r="R2506" s="8">
        <v>13.2</v>
      </c>
      <c r="S2506" s="8">
        <v>14.1</v>
      </c>
      <c r="T2506" s="8">
        <v>0.9</v>
      </c>
      <c r="U2506" s="8">
        <v>12.7</v>
      </c>
      <c r="V2506" s="8">
        <v>1.2</v>
      </c>
      <c r="W2506" s="8">
        <v>0.6</v>
      </c>
      <c r="X2506" s="8">
        <v>0</v>
      </c>
      <c r="Y2506" s="8" t="s">
        <v>266</v>
      </c>
      <c r="Z2506" s="8" t="s">
        <v>267</v>
      </c>
    </row>
    <row r="2507" spans="1:26" x14ac:dyDescent="0.2">
      <c r="A2507" s="8">
        <v>2506</v>
      </c>
      <c r="B2507" s="8" t="s">
        <v>11563</v>
      </c>
      <c r="C2507" s="8" t="s">
        <v>11563</v>
      </c>
      <c r="F2507" s="47" t="s">
        <v>56549</v>
      </c>
      <c r="G2507" s="8">
        <v>2</v>
      </c>
      <c r="H2507" s="8" t="s">
        <v>21</v>
      </c>
      <c r="I2507" s="8" t="s">
        <v>557</v>
      </c>
      <c r="J2507" s="8" t="s">
        <v>557</v>
      </c>
      <c r="K2507" s="8" t="s">
        <v>10371</v>
      </c>
      <c r="L2507" s="8" t="s">
        <v>9917</v>
      </c>
      <c r="M2507" s="8" t="s">
        <v>9918</v>
      </c>
      <c r="N2507" s="8" t="s">
        <v>11564</v>
      </c>
      <c r="O2507" s="8">
        <f>8+0/60+1.7/3600</f>
        <v>8.0004722222222231</v>
      </c>
      <c r="P2507" s="8" t="s">
        <v>11565</v>
      </c>
      <c r="Q2507" s="8">
        <f>-(10+46/60+11/3600)</f>
        <v>-10.769722222222223</v>
      </c>
      <c r="R2507" s="8">
        <v>7.6</v>
      </c>
      <c r="S2507" s="8">
        <v>99</v>
      </c>
      <c r="T2507" s="8">
        <v>99</v>
      </c>
      <c r="U2507" s="8">
        <v>99</v>
      </c>
      <c r="V2507" s="8">
        <v>12</v>
      </c>
      <c r="Y2507" s="8" t="s">
        <v>11566</v>
      </c>
      <c r="Z2507" s="8" t="s">
        <v>11567</v>
      </c>
    </row>
    <row r="2508" spans="1:26" x14ac:dyDescent="0.2">
      <c r="A2508" s="8">
        <v>2507</v>
      </c>
      <c r="B2508" s="8" t="s">
        <v>11568</v>
      </c>
      <c r="C2508" s="8" t="s">
        <v>11568</v>
      </c>
      <c r="F2508" s="47" t="s">
        <v>56550</v>
      </c>
      <c r="G2508" s="8">
        <v>15</v>
      </c>
      <c r="H2508" s="8" t="s">
        <v>21</v>
      </c>
      <c r="I2508" s="8" t="s">
        <v>22</v>
      </c>
      <c r="J2508" s="8" t="s">
        <v>22</v>
      </c>
      <c r="K2508" s="8" t="s">
        <v>632</v>
      </c>
      <c r="L2508" s="8" t="s">
        <v>11551</v>
      </c>
      <c r="M2508" s="8" t="s">
        <v>11552</v>
      </c>
      <c r="N2508" s="8" t="s">
        <v>11569</v>
      </c>
      <c r="O2508" s="8">
        <f>8+1/60+37.1/3600</f>
        <v>8.0269722222222235</v>
      </c>
      <c r="P2508" s="8" t="s">
        <v>11570</v>
      </c>
      <c r="Q2508" s="8">
        <f>+(15+42/60+37/3600)</f>
        <v>15.710277777777778</v>
      </c>
      <c r="R2508" s="8">
        <v>12.2</v>
      </c>
      <c r="S2508" s="8">
        <v>13.1</v>
      </c>
      <c r="T2508" s="8">
        <v>0.9</v>
      </c>
      <c r="U2508" s="8">
        <v>13.7</v>
      </c>
      <c r="V2508" s="8">
        <v>2.5</v>
      </c>
      <c r="W2508" s="8">
        <v>1.8</v>
      </c>
      <c r="X2508" s="8">
        <v>126</v>
      </c>
      <c r="Y2508" s="8" t="s">
        <v>11571</v>
      </c>
      <c r="Z2508" s="8" t="s">
        <v>11572</v>
      </c>
    </row>
    <row r="2509" spans="1:26" x14ac:dyDescent="0.2">
      <c r="A2509" s="8">
        <v>2508</v>
      </c>
      <c r="B2509" s="8" t="s">
        <v>11573</v>
      </c>
      <c r="C2509" s="8" t="s">
        <v>11573</v>
      </c>
      <c r="F2509" s="47" t="s">
        <v>56551</v>
      </c>
      <c r="G2509" s="8">
        <v>15</v>
      </c>
      <c r="H2509" s="8" t="s">
        <v>21</v>
      </c>
      <c r="I2509" s="8" t="s">
        <v>22</v>
      </c>
      <c r="J2509" s="8" t="s">
        <v>22</v>
      </c>
      <c r="K2509" s="8" t="s">
        <v>1136</v>
      </c>
      <c r="L2509" s="8" t="s">
        <v>10848</v>
      </c>
      <c r="M2509" s="8" t="s">
        <v>10849</v>
      </c>
      <c r="N2509" s="8" t="s">
        <v>11574</v>
      </c>
      <c r="O2509" s="8">
        <f>8+1/60+57.1/3600</f>
        <v>8.0325277777777782</v>
      </c>
      <c r="P2509" s="8" t="s">
        <v>11575</v>
      </c>
      <c r="Q2509" s="8">
        <f>+(8+33/60+7/3600)</f>
        <v>8.5519444444444446</v>
      </c>
      <c r="R2509" s="8">
        <v>12.7</v>
      </c>
      <c r="S2509" s="8">
        <v>13.7</v>
      </c>
      <c r="T2509" s="8">
        <v>1</v>
      </c>
      <c r="U2509" s="8">
        <v>13.2</v>
      </c>
      <c r="V2509" s="8">
        <v>1.4</v>
      </c>
      <c r="W2509" s="8">
        <v>1.1000000000000001</v>
      </c>
      <c r="X2509" s="8">
        <v>130</v>
      </c>
      <c r="Y2509" s="8" t="s">
        <v>11576</v>
      </c>
      <c r="Z2509" s="8" t="s">
        <v>11577</v>
      </c>
    </row>
    <row r="2510" spans="1:26" x14ac:dyDescent="0.2">
      <c r="A2510" s="8">
        <v>2509</v>
      </c>
      <c r="B2510" s="8" t="s">
        <v>11578</v>
      </c>
      <c r="C2510" s="8" t="s">
        <v>11578</v>
      </c>
      <c r="F2510" s="47" t="s">
        <v>56552</v>
      </c>
      <c r="G2510" s="8">
        <v>6</v>
      </c>
      <c r="H2510" s="8" t="s">
        <v>21</v>
      </c>
      <c r="I2510" s="8" t="s">
        <v>557</v>
      </c>
      <c r="J2510" s="8" t="s">
        <v>557</v>
      </c>
      <c r="K2510" s="8" t="s">
        <v>3602</v>
      </c>
      <c r="L2510" s="8" t="s">
        <v>10175</v>
      </c>
      <c r="M2510" s="8" t="s">
        <v>10176</v>
      </c>
      <c r="N2510" s="8" t="s">
        <v>11579</v>
      </c>
      <c r="O2510" s="8">
        <f>8+0/60+47.8/3600</f>
        <v>8.0132777777777786</v>
      </c>
      <c r="P2510" s="8" t="s">
        <v>11580</v>
      </c>
      <c r="Q2510" s="8">
        <f>-(19+3/60+2/3600)</f>
        <v>-19.050555555555555</v>
      </c>
      <c r="R2510" s="8">
        <v>9.3000000000000007</v>
      </c>
      <c r="S2510" s="8">
        <v>99</v>
      </c>
      <c r="T2510" s="8">
        <v>99</v>
      </c>
      <c r="U2510" s="8">
        <v>99</v>
      </c>
      <c r="V2510" s="8">
        <v>12</v>
      </c>
      <c r="Y2510" s="8" t="s">
        <v>11581</v>
      </c>
      <c r="Z2510" s="8" t="s">
        <v>11582</v>
      </c>
    </row>
    <row r="2511" spans="1:26" x14ac:dyDescent="0.2">
      <c r="A2511" s="8">
        <v>2510</v>
      </c>
      <c r="B2511" s="8" t="s">
        <v>11583</v>
      </c>
      <c r="C2511" s="8" t="s">
        <v>11583</v>
      </c>
      <c r="F2511" s="47"/>
      <c r="G2511" s="8">
        <v>18</v>
      </c>
      <c r="H2511" s="8" t="s">
        <v>21</v>
      </c>
      <c r="I2511" s="8" t="s">
        <v>22</v>
      </c>
      <c r="J2511" s="8" t="s">
        <v>22</v>
      </c>
      <c r="K2511" s="8" t="s">
        <v>37</v>
      </c>
      <c r="L2511" s="8" t="s">
        <v>10848</v>
      </c>
      <c r="M2511" s="8" t="s">
        <v>10849</v>
      </c>
      <c r="N2511" s="8" t="s">
        <v>11584</v>
      </c>
      <c r="O2511" s="8">
        <f>8+2/60+10.5/3600</f>
        <v>8.036249999999999</v>
      </c>
      <c r="P2511" s="8" t="s">
        <v>11585</v>
      </c>
      <c r="Q2511" s="8">
        <f>+(9+29/60+10/3600)</f>
        <v>9.4861111111111107</v>
      </c>
      <c r="R2511" s="8">
        <v>13.4</v>
      </c>
      <c r="S2511" s="8">
        <v>14.4</v>
      </c>
      <c r="T2511" s="8">
        <v>1</v>
      </c>
      <c r="U2511" s="8">
        <v>12.9</v>
      </c>
      <c r="V2511" s="8">
        <v>1</v>
      </c>
      <c r="W2511" s="8">
        <v>0.7</v>
      </c>
      <c r="X2511" s="8">
        <v>111</v>
      </c>
      <c r="Y2511" s="8" t="s">
        <v>11586</v>
      </c>
      <c r="Z2511" s="8" t="s">
        <v>11586</v>
      </c>
    </row>
    <row r="2512" spans="1:26" x14ac:dyDescent="0.2">
      <c r="A2512" s="8">
        <v>2511</v>
      </c>
      <c r="B2512" s="8" t="s">
        <v>11587</v>
      </c>
      <c r="C2512" s="8" t="s">
        <v>11587</v>
      </c>
      <c r="F2512" s="47"/>
      <c r="G2512" s="8">
        <v>18</v>
      </c>
      <c r="H2512" s="8" t="s">
        <v>21</v>
      </c>
      <c r="I2512" s="8" t="s">
        <v>22</v>
      </c>
      <c r="J2512" s="8" t="s">
        <v>22</v>
      </c>
      <c r="K2512" s="8" t="s">
        <v>449</v>
      </c>
      <c r="L2512" s="8" t="s">
        <v>10848</v>
      </c>
      <c r="M2512" s="8" t="s">
        <v>10849</v>
      </c>
      <c r="N2512" s="8" t="s">
        <v>11588</v>
      </c>
      <c r="O2512" s="8">
        <f>8+2/60+15/3600</f>
        <v>8.0374999999999996</v>
      </c>
      <c r="P2512" s="8" t="s">
        <v>11589</v>
      </c>
      <c r="Q2512" s="8">
        <f>+(9+23/60+43/3600)</f>
        <v>9.3952777777777765</v>
      </c>
      <c r="R2512" s="8">
        <v>14.2</v>
      </c>
      <c r="S2512" s="8">
        <v>15</v>
      </c>
      <c r="T2512" s="8">
        <v>0.8</v>
      </c>
      <c r="U2512" s="8">
        <v>12.9</v>
      </c>
      <c r="V2512" s="8">
        <v>0.9</v>
      </c>
      <c r="W2512" s="8">
        <v>0.3</v>
      </c>
      <c r="X2512" s="8">
        <v>120</v>
      </c>
      <c r="Y2512" s="8" t="s">
        <v>11590</v>
      </c>
      <c r="Z2512" s="8" t="s">
        <v>11591</v>
      </c>
    </row>
    <row r="2513" spans="1:26" x14ac:dyDescent="0.2">
      <c r="A2513" s="8">
        <v>2512</v>
      </c>
      <c r="B2513" s="8" t="s">
        <v>11592</v>
      </c>
      <c r="C2513" s="8" t="s">
        <v>11592</v>
      </c>
      <c r="F2513" s="47" t="s">
        <v>56553</v>
      </c>
      <c r="G2513" s="8">
        <v>15</v>
      </c>
      <c r="H2513" s="8" t="s">
        <v>21</v>
      </c>
      <c r="I2513" s="8" t="s">
        <v>22</v>
      </c>
      <c r="J2513" s="8" t="s">
        <v>22</v>
      </c>
      <c r="K2513" s="8" t="s">
        <v>218</v>
      </c>
      <c r="L2513" s="8" t="s">
        <v>11551</v>
      </c>
      <c r="M2513" s="8" t="s">
        <v>11552</v>
      </c>
      <c r="N2513" s="8" t="s">
        <v>11593</v>
      </c>
      <c r="O2513" s="8">
        <f>8+3/60+7.6/3600</f>
        <v>8.0521111111111114</v>
      </c>
      <c r="P2513" s="8" t="s">
        <v>11594</v>
      </c>
      <c r="Q2513" s="8">
        <f>+(23+23/60+30/3600)</f>
        <v>23.391666666666666</v>
      </c>
      <c r="R2513" s="8">
        <v>13.1</v>
      </c>
      <c r="S2513" s="8">
        <v>13.9</v>
      </c>
      <c r="T2513" s="8">
        <v>0.8</v>
      </c>
      <c r="U2513" s="8">
        <v>13.2</v>
      </c>
      <c r="V2513" s="8">
        <v>1.4</v>
      </c>
      <c r="W2513" s="8">
        <v>0.9</v>
      </c>
      <c r="X2513" s="8">
        <v>113</v>
      </c>
      <c r="Y2513" s="8" t="s">
        <v>1794</v>
      </c>
      <c r="Z2513" s="8" t="s">
        <v>1795</v>
      </c>
    </row>
    <row r="2514" spans="1:26" x14ac:dyDescent="0.2">
      <c r="A2514" s="8">
        <v>2513</v>
      </c>
      <c r="B2514" s="8" t="s">
        <v>11595</v>
      </c>
      <c r="C2514" s="8" t="s">
        <v>11595</v>
      </c>
      <c r="F2514" s="47" t="s">
        <v>56554</v>
      </c>
      <c r="G2514" s="8">
        <v>15</v>
      </c>
      <c r="H2514" s="8" t="s">
        <v>21</v>
      </c>
      <c r="I2514" s="8" t="s">
        <v>22</v>
      </c>
      <c r="J2514" s="8" t="s">
        <v>22</v>
      </c>
      <c r="K2514" s="8" t="s">
        <v>1136</v>
      </c>
      <c r="L2514" s="8" t="s">
        <v>11551</v>
      </c>
      <c r="M2514" s="8" t="s">
        <v>11552</v>
      </c>
      <c r="N2514" s="8" t="s">
        <v>11596</v>
      </c>
      <c r="O2514" s="8">
        <f>8+2/60+24.7/3600</f>
        <v>8.0401944444444435</v>
      </c>
      <c r="P2514" s="8" t="s">
        <v>11597</v>
      </c>
      <c r="Q2514" s="8">
        <f>+(9+24/60+50/3600)</f>
        <v>9.4138888888888896</v>
      </c>
      <c r="R2514" s="8">
        <v>11.6</v>
      </c>
      <c r="S2514" s="8">
        <v>12.6</v>
      </c>
      <c r="T2514" s="8">
        <v>1</v>
      </c>
      <c r="U2514" s="8">
        <v>13.4</v>
      </c>
      <c r="V2514" s="8">
        <v>2.5</v>
      </c>
      <c r="W2514" s="8">
        <v>2</v>
      </c>
      <c r="X2514" s="8">
        <v>170</v>
      </c>
      <c r="Y2514" s="8" t="s">
        <v>11598</v>
      </c>
      <c r="Z2514" s="8" t="s">
        <v>11599</v>
      </c>
    </row>
    <row r="2515" spans="1:26" x14ac:dyDescent="0.2">
      <c r="A2515" s="8">
        <v>2514</v>
      </c>
      <c r="B2515" s="8" t="s">
        <v>11600</v>
      </c>
      <c r="C2515" s="8" t="s">
        <v>11600</v>
      </c>
      <c r="F2515" s="47"/>
      <c r="G2515" s="8">
        <v>19</v>
      </c>
      <c r="H2515" s="8" t="s">
        <v>21</v>
      </c>
      <c r="I2515" s="8" t="s">
        <v>22</v>
      </c>
      <c r="J2515" s="8" t="s">
        <v>22</v>
      </c>
      <c r="K2515" s="8" t="s">
        <v>85</v>
      </c>
      <c r="L2515" s="8" t="s">
        <v>11551</v>
      </c>
      <c r="M2515" s="8" t="s">
        <v>11552</v>
      </c>
      <c r="N2515" s="8" t="s">
        <v>11601</v>
      </c>
      <c r="O2515" s="8">
        <f>8+2/60+49.7/3600</f>
        <v>8.0471388888888882</v>
      </c>
      <c r="P2515" s="8" t="s">
        <v>11602</v>
      </c>
      <c r="Q2515" s="8">
        <f>+(15+48/60+28/3600)</f>
        <v>15.807777777777778</v>
      </c>
      <c r="R2515" s="8">
        <v>13.4</v>
      </c>
      <c r="S2515" s="8">
        <v>14</v>
      </c>
      <c r="T2515" s="8">
        <v>0.6</v>
      </c>
      <c r="U2515" s="8">
        <v>13.8</v>
      </c>
      <c r="V2515" s="8">
        <v>1.3</v>
      </c>
      <c r="W2515" s="8">
        <v>1.2</v>
      </c>
      <c r="X2515" s="8">
        <v>21</v>
      </c>
      <c r="Y2515" s="8" t="s">
        <v>11603</v>
      </c>
      <c r="Z2515" s="8" t="s">
        <v>11604</v>
      </c>
    </row>
    <row r="2516" spans="1:26" x14ac:dyDescent="0.2">
      <c r="A2516" s="8">
        <v>2515</v>
      </c>
      <c r="B2516" s="8" t="s">
        <v>11605</v>
      </c>
      <c r="C2516" s="8" t="s">
        <v>11605</v>
      </c>
      <c r="F2516" s="47"/>
      <c r="G2516" s="8">
        <v>18</v>
      </c>
      <c r="H2516" s="8" t="s">
        <v>21</v>
      </c>
      <c r="I2516" s="8" t="s">
        <v>72</v>
      </c>
      <c r="J2516" s="8" t="s">
        <v>72</v>
      </c>
      <c r="K2516" s="8" t="s">
        <v>73</v>
      </c>
      <c r="L2516" s="8" t="s">
        <v>11551</v>
      </c>
      <c r="M2516" s="8" t="s">
        <v>11552</v>
      </c>
      <c r="N2516" s="8" t="s">
        <v>11606</v>
      </c>
      <c r="O2516" s="8">
        <f>8+3/60+21.3/3600</f>
        <v>8.0559166666666666</v>
      </c>
      <c r="P2516" s="8" t="s">
        <v>11607</v>
      </c>
      <c r="Q2516" s="8">
        <f>+(20+11/60+17/3600)</f>
        <v>20.188055555555557</v>
      </c>
      <c r="R2516" s="8">
        <v>99</v>
      </c>
      <c r="S2516" s="8">
        <v>99</v>
      </c>
      <c r="T2516" s="8">
        <v>99</v>
      </c>
      <c r="U2516" s="8">
        <v>99</v>
      </c>
      <c r="Y2516" s="8" t="s">
        <v>11608</v>
      </c>
      <c r="Z2516" s="8" t="s">
        <v>11609</v>
      </c>
    </row>
    <row r="2517" spans="1:26" x14ac:dyDescent="0.2">
      <c r="A2517" s="8">
        <v>2516</v>
      </c>
      <c r="B2517" s="8" t="s">
        <v>11610</v>
      </c>
      <c r="C2517" s="8" t="s">
        <v>11610</v>
      </c>
      <c r="F2517" s="47"/>
      <c r="G2517" s="8">
        <v>2</v>
      </c>
      <c r="H2517" s="8" t="s">
        <v>11611</v>
      </c>
      <c r="I2517" s="8" t="s">
        <v>557</v>
      </c>
      <c r="J2517" s="8" t="s">
        <v>557</v>
      </c>
      <c r="K2517" s="8" t="s">
        <v>2262</v>
      </c>
      <c r="L2517" s="8" t="s">
        <v>10135</v>
      </c>
      <c r="M2517" s="8" t="s">
        <v>10136</v>
      </c>
      <c r="N2517" s="8" t="s">
        <v>11612</v>
      </c>
      <c r="O2517" s="8">
        <f>7+58/60+4/3600</f>
        <v>7.9677777777777781</v>
      </c>
      <c r="P2517" s="8" t="s">
        <v>11613</v>
      </c>
      <c r="Q2517" s="8">
        <f>-(60+45/60+12/3600)</f>
        <v>-60.75333333333333</v>
      </c>
      <c r="R2517" s="8">
        <v>3.8</v>
      </c>
      <c r="S2517" s="8">
        <v>3.8</v>
      </c>
      <c r="T2517" s="8">
        <v>99</v>
      </c>
      <c r="U2517" s="8">
        <v>99</v>
      </c>
      <c r="V2517" s="8">
        <v>22</v>
      </c>
      <c r="Y2517" s="8" t="s">
        <v>11614</v>
      </c>
      <c r="Z2517" s="8" t="s">
        <v>11615</v>
      </c>
    </row>
    <row r="2518" spans="1:26" x14ac:dyDescent="0.2">
      <c r="A2518" s="8">
        <v>2517</v>
      </c>
      <c r="B2518" s="8" t="s">
        <v>11616</v>
      </c>
      <c r="C2518" s="8" t="s">
        <v>11616</v>
      </c>
      <c r="F2518" s="47"/>
      <c r="G2518" s="8">
        <v>16</v>
      </c>
      <c r="H2518" s="8" t="s">
        <v>21</v>
      </c>
      <c r="I2518" s="8" t="s">
        <v>22</v>
      </c>
      <c r="J2518" s="8" t="s">
        <v>22</v>
      </c>
      <c r="K2518" s="8" t="s">
        <v>224</v>
      </c>
      <c r="L2518" s="8" t="s">
        <v>10175</v>
      </c>
      <c r="M2518" s="8" t="s">
        <v>10176</v>
      </c>
      <c r="N2518" s="8" t="s">
        <v>11617</v>
      </c>
      <c r="O2518" s="8">
        <f>8+2/60+47/3600</f>
        <v>8.0463888888888881</v>
      </c>
      <c r="P2518" s="8" t="s">
        <v>11618</v>
      </c>
      <c r="Q2518" s="8">
        <f>-(12+19/60+2/3600)</f>
        <v>-12.317222222222222</v>
      </c>
      <c r="R2518" s="8">
        <v>11.8</v>
      </c>
      <c r="S2518" s="8">
        <v>12.7</v>
      </c>
      <c r="T2518" s="8">
        <v>0.9</v>
      </c>
      <c r="U2518" s="8">
        <v>12.1</v>
      </c>
      <c r="V2518" s="8">
        <v>1.4</v>
      </c>
      <c r="W2518" s="8">
        <v>1</v>
      </c>
      <c r="X2518" s="8">
        <v>67</v>
      </c>
      <c r="Y2518" s="8" t="s">
        <v>11619</v>
      </c>
      <c r="Z2518" s="8" t="s">
        <v>11620</v>
      </c>
    </row>
    <row r="2519" spans="1:26" x14ac:dyDescent="0.2">
      <c r="A2519" s="8">
        <v>2518</v>
      </c>
      <c r="B2519" s="8" t="s">
        <v>11621</v>
      </c>
      <c r="C2519" s="8" t="s">
        <v>11621</v>
      </c>
      <c r="F2519" s="47"/>
      <c r="G2519" s="8">
        <v>19</v>
      </c>
      <c r="H2519" s="8" t="s">
        <v>21</v>
      </c>
      <c r="I2519" s="8" t="s">
        <v>22</v>
      </c>
      <c r="J2519" s="8" t="s">
        <v>22</v>
      </c>
      <c r="K2519" s="8" t="s">
        <v>58</v>
      </c>
      <c r="L2519" s="8" t="s">
        <v>10511</v>
      </c>
      <c r="M2519" s="8" t="s">
        <v>10512</v>
      </c>
      <c r="N2519" s="8" t="s">
        <v>11622</v>
      </c>
      <c r="O2519" s="8">
        <f>8+7/60+20.2/3600</f>
        <v>8.1222777777777786</v>
      </c>
      <c r="P2519" s="8" t="s">
        <v>11623</v>
      </c>
      <c r="Q2519" s="8">
        <f>+(51+7/60+56/3600)</f>
        <v>51.132222222222225</v>
      </c>
      <c r="R2519" s="8">
        <v>13</v>
      </c>
      <c r="S2519" s="8">
        <v>14</v>
      </c>
      <c r="T2519" s="8">
        <v>1</v>
      </c>
      <c r="U2519" s="8">
        <v>13.1</v>
      </c>
      <c r="V2519" s="8">
        <v>1.2</v>
      </c>
      <c r="W2519" s="8">
        <v>1</v>
      </c>
      <c r="X2519" s="8">
        <v>35</v>
      </c>
      <c r="Y2519" s="8" t="s">
        <v>11624</v>
      </c>
      <c r="Z2519" s="8" t="s">
        <v>11625</v>
      </c>
    </row>
    <row r="2520" spans="1:26" x14ac:dyDescent="0.2">
      <c r="A2520" s="8">
        <v>2519</v>
      </c>
      <c r="B2520" s="8" t="s">
        <v>11626</v>
      </c>
      <c r="C2520" s="8" t="s">
        <v>11626</v>
      </c>
      <c r="F2520" s="47"/>
      <c r="G2520" s="8">
        <v>19</v>
      </c>
      <c r="H2520" s="8" t="s">
        <v>21</v>
      </c>
      <c r="I2520" s="8" t="s">
        <v>72</v>
      </c>
      <c r="J2520" s="8" t="s">
        <v>72</v>
      </c>
      <c r="K2520" s="8" t="s">
        <v>20</v>
      </c>
      <c r="L2520" s="8" t="s">
        <v>10511</v>
      </c>
      <c r="M2520" s="8" t="s">
        <v>10512</v>
      </c>
      <c r="N2520" s="8" t="s">
        <v>11627</v>
      </c>
      <c r="O2520" s="8">
        <f>8+7/60+58.8/3600</f>
        <v>8.1330000000000009</v>
      </c>
      <c r="P2520" s="8" t="s">
        <v>11628</v>
      </c>
      <c r="Q2520" s="8">
        <f>+(51+7/60+44/3600)</f>
        <v>51.128888888888888</v>
      </c>
      <c r="R2520" s="8">
        <v>99</v>
      </c>
      <c r="S2520" s="8">
        <v>14.3</v>
      </c>
      <c r="T2520" s="8">
        <v>99</v>
      </c>
      <c r="U2520" s="8">
        <v>99</v>
      </c>
      <c r="Y2520" s="8" t="s">
        <v>11629</v>
      </c>
      <c r="Z2520" s="8" t="s">
        <v>11625</v>
      </c>
    </row>
    <row r="2521" spans="1:26" x14ac:dyDescent="0.2">
      <c r="A2521" s="8">
        <v>2520</v>
      </c>
      <c r="B2521" s="8" t="s">
        <v>11630</v>
      </c>
      <c r="C2521" s="8" t="s">
        <v>11630</v>
      </c>
      <c r="F2521" s="47"/>
      <c r="G2521" s="8">
        <v>16</v>
      </c>
      <c r="H2521" s="8" t="s">
        <v>21</v>
      </c>
      <c r="I2521" s="8" t="s">
        <v>557</v>
      </c>
      <c r="J2521" s="8" t="s">
        <v>57</v>
      </c>
      <c r="K2521" s="8" t="s">
        <v>1168</v>
      </c>
      <c r="L2521" s="8" t="s">
        <v>10175</v>
      </c>
      <c r="M2521" s="8" t="s">
        <v>10176</v>
      </c>
      <c r="N2521" s="8" t="s">
        <v>11631</v>
      </c>
      <c r="O2521" s="8">
        <f>8+4/60+58.1/3600</f>
        <v>8.0828055555555558</v>
      </c>
      <c r="P2521" s="8" t="s">
        <v>11632</v>
      </c>
      <c r="Q2521" s="8">
        <f>-(28+8/60+46/3600)</f>
        <v>-28.146111111111111</v>
      </c>
      <c r="R2521" s="8">
        <v>6.5</v>
      </c>
      <c r="S2521" s="8">
        <v>99</v>
      </c>
      <c r="T2521" s="8">
        <v>99</v>
      </c>
      <c r="U2521" s="8">
        <v>99</v>
      </c>
      <c r="V2521" s="8">
        <v>10</v>
      </c>
      <c r="Y2521" s="8" t="s">
        <v>11633</v>
      </c>
      <c r="Z2521" s="8" t="s">
        <v>11634</v>
      </c>
    </row>
    <row r="2522" spans="1:26" x14ac:dyDescent="0.2">
      <c r="A2522" s="8">
        <v>2521</v>
      </c>
      <c r="B2522" s="8" t="s">
        <v>11635</v>
      </c>
      <c r="C2522" s="8" t="s">
        <v>11635</v>
      </c>
      <c r="F2522" s="47"/>
      <c r="G2522" s="8">
        <v>16</v>
      </c>
      <c r="H2522" s="8" t="s">
        <v>21</v>
      </c>
      <c r="I2522" s="8" t="s">
        <v>22</v>
      </c>
      <c r="J2522" s="8" t="s">
        <v>22</v>
      </c>
      <c r="K2522" s="8" t="s">
        <v>58</v>
      </c>
      <c r="L2522" s="8" t="s">
        <v>10511</v>
      </c>
      <c r="M2522" s="8" t="s">
        <v>10512</v>
      </c>
      <c r="N2522" s="8" t="s">
        <v>11636</v>
      </c>
      <c r="O2522" s="8">
        <f>8+8/60+49.4/3600</f>
        <v>8.1470555555555553</v>
      </c>
      <c r="P2522" s="8" t="s">
        <v>11637</v>
      </c>
      <c r="Q2522" s="8">
        <f>+(57+46/60+11/3600)</f>
        <v>57.769722222222221</v>
      </c>
      <c r="R2522" s="8">
        <v>12.8</v>
      </c>
      <c r="S2522" s="8">
        <v>13.8</v>
      </c>
      <c r="T2522" s="8">
        <v>1</v>
      </c>
      <c r="U2522" s="8">
        <v>12.6</v>
      </c>
      <c r="V2522" s="8">
        <v>1.2</v>
      </c>
      <c r="W2522" s="8">
        <v>0.7</v>
      </c>
      <c r="X2522" s="8">
        <v>45</v>
      </c>
      <c r="Y2522" s="8" t="s">
        <v>11638</v>
      </c>
      <c r="Z2522" s="8" t="s">
        <v>11639</v>
      </c>
    </row>
    <row r="2523" spans="1:26" x14ac:dyDescent="0.2">
      <c r="A2523" s="8">
        <v>2522</v>
      </c>
      <c r="B2523" s="8" t="s">
        <v>11640</v>
      </c>
      <c r="C2523" s="8" t="s">
        <v>11640</v>
      </c>
      <c r="F2523" s="47"/>
      <c r="G2523" s="8">
        <v>18</v>
      </c>
      <c r="H2523" s="8" t="s">
        <v>21</v>
      </c>
      <c r="I2523" s="8" t="s">
        <v>22</v>
      </c>
      <c r="J2523" s="8" t="s">
        <v>22</v>
      </c>
      <c r="K2523" s="8" t="s">
        <v>632</v>
      </c>
      <c r="L2523" s="8" t="s">
        <v>11551</v>
      </c>
      <c r="M2523" s="8" t="s">
        <v>11552</v>
      </c>
      <c r="N2523" s="8" t="s">
        <v>11641</v>
      </c>
      <c r="O2523" s="8">
        <f>8+6/60+13.5/3600</f>
        <v>8.1037499999999998</v>
      </c>
      <c r="P2523" s="8" t="s">
        <v>11642</v>
      </c>
      <c r="Q2523" s="8">
        <f>+(17+42/60+24/3600)</f>
        <v>17.706666666666667</v>
      </c>
      <c r="R2523" s="8">
        <v>13.8</v>
      </c>
      <c r="S2523" s="8">
        <v>14.7</v>
      </c>
      <c r="T2523" s="8">
        <v>0.9</v>
      </c>
      <c r="U2523" s="8">
        <v>12.8</v>
      </c>
      <c r="V2523" s="8">
        <v>1</v>
      </c>
      <c r="W2523" s="8">
        <v>0.3</v>
      </c>
      <c r="X2523" s="8">
        <v>32</v>
      </c>
      <c r="Y2523" s="8" t="s">
        <v>11643</v>
      </c>
      <c r="Z2523" s="8" t="s">
        <v>11644</v>
      </c>
    </row>
    <row r="2524" spans="1:26" x14ac:dyDescent="0.2">
      <c r="A2524" s="8">
        <v>2523</v>
      </c>
      <c r="B2524" s="8" t="s">
        <v>11645</v>
      </c>
      <c r="C2524" s="8" t="s">
        <v>11645</v>
      </c>
      <c r="F2524" s="47"/>
      <c r="G2524" s="8">
        <v>11</v>
      </c>
      <c r="H2524" s="8" t="s">
        <v>21</v>
      </c>
      <c r="I2524" s="8" t="s">
        <v>22</v>
      </c>
      <c r="J2524" s="8" t="s">
        <v>22</v>
      </c>
      <c r="K2524" s="8" t="s">
        <v>85</v>
      </c>
      <c r="L2524" s="8" t="s">
        <v>6823</v>
      </c>
      <c r="M2524" s="8" t="s">
        <v>6824</v>
      </c>
      <c r="N2524" s="8" t="s">
        <v>11646</v>
      </c>
      <c r="O2524" s="8">
        <f>8+15/60+0/3600</f>
        <v>8.25</v>
      </c>
      <c r="P2524" s="8" t="s">
        <v>11647</v>
      </c>
      <c r="Q2524" s="8">
        <f>+(73+34/60+44/3600)</f>
        <v>73.578888888888883</v>
      </c>
      <c r="R2524" s="8">
        <v>11.9</v>
      </c>
      <c r="S2524" s="8">
        <v>12.6</v>
      </c>
      <c r="T2524" s="8">
        <v>0.7</v>
      </c>
      <c r="U2524" s="8">
        <v>13.6</v>
      </c>
      <c r="V2524" s="8">
        <v>2.9</v>
      </c>
      <c r="W2524" s="8">
        <v>1.8</v>
      </c>
      <c r="X2524" s="8">
        <v>57</v>
      </c>
      <c r="Y2524" s="8" t="s">
        <v>11648</v>
      </c>
      <c r="Z2524" s="8" t="s">
        <v>11649</v>
      </c>
    </row>
    <row r="2525" spans="1:26" x14ac:dyDescent="0.2">
      <c r="A2525" s="8">
        <v>2524</v>
      </c>
      <c r="B2525" s="8" t="s">
        <v>11650</v>
      </c>
      <c r="C2525" s="8" t="s">
        <v>11650</v>
      </c>
      <c r="F2525" s="47"/>
      <c r="G2525" s="8">
        <v>18</v>
      </c>
      <c r="H2525" s="8" t="s">
        <v>21</v>
      </c>
      <c r="I2525" s="8" t="s">
        <v>22</v>
      </c>
      <c r="J2525" s="8" t="s">
        <v>22</v>
      </c>
      <c r="K2525" s="8" t="s">
        <v>632</v>
      </c>
      <c r="L2525" s="8" t="s">
        <v>10511</v>
      </c>
      <c r="M2525" s="8" t="s">
        <v>10512</v>
      </c>
      <c r="N2525" s="8" t="s">
        <v>11651</v>
      </c>
      <c r="O2525" s="8">
        <f>8+8/60+9.6/3600</f>
        <v>8.1359999999999992</v>
      </c>
      <c r="P2525" s="8" t="s">
        <v>11652</v>
      </c>
      <c r="Q2525" s="8">
        <f>+(39+9/60+28/3600)</f>
        <v>39.157777777777774</v>
      </c>
      <c r="R2525" s="8">
        <v>12.7</v>
      </c>
      <c r="S2525" s="8">
        <v>13.6</v>
      </c>
      <c r="T2525" s="8">
        <v>0.9</v>
      </c>
      <c r="U2525" s="8">
        <v>12.9</v>
      </c>
      <c r="V2525" s="8">
        <v>1.4</v>
      </c>
      <c r="W2525" s="8">
        <v>1</v>
      </c>
      <c r="X2525" s="8">
        <v>125</v>
      </c>
      <c r="Y2525" s="8" t="s">
        <v>1511</v>
      </c>
      <c r="Z2525" s="8" t="s">
        <v>1512</v>
      </c>
    </row>
    <row r="2526" spans="1:26" x14ac:dyDescent="0.2">
      <c r="A2526" s="8">
        <v>2525</v>
      </c>
      <c r="B2526" s="8" t="s">
        <v>11653</v>
      </c>
      <c r="C2526" s="8" t="s">
        <v>11653</v>
      </c>
      <c r="F2526" s="47" t="s">
        <v>56555</v>
      </c>
      <c r="G2526" s="8">
        <v>6.5</v>
      </c>
      <c r="H2526" s="8" t="s">
        <v>21</v>
      </c>
      <c r="I2526" s="8" t="s">
        <v>22</v>
      </c>
      <c r="J2526" s="8" t="s">
        <v>22</v>
      </c>
      <c r="K2526" s="8" t="s">
        <v>520</v>
      </c>
      <c r="L2526" s="8" t="s">
        <v>10175</v>
      </c>
      <c r="M2526" s="8" t="s">
        <v>10176</v>
      </c>
      <c r="N2526" s="8" t="s">
        <v>11654</v>
      </c>
      <c r="O2526" s="8">
        <f>8+5/60+38/3600</f>
        <v>8.0938888888888894</v>
      </c>
      <c r="P2526" s="8" t="s">
        <v>11655</v>
      </c>
      <c r="Q2526" s="8">
        <f>-(11+25/60+39/3600)</f>
        <v>-11.4275</v>
      </c>
      <c r="R2526" s="8">
        <v>11.6</v>
      </c>
      <c r="S2526" s="8">
        <v>12.3</v>
      </c>
      <c r="T2526" s="8">
        <v>0.7</v>
      </c>
      <c r="U2526" s="8">
        <v>13.4</v>
      </c>
      <c r="V2526" s="8">
        <v>3</v>
      </c>
      <c r="W2526" s="8">
        <v>2</v>
      </c>
      <c r="X2526" s="8">
        <v>75</v>
      </c>
      <c r="Y2526" s="8" t="s">
        <v>11656</v>
      </c>
      <c r="Z2526" s="8" t="s">
        <v>11657</v>
      </c>
    </row>
    <row r="2527" spans="1:26" x14ac:dyDescent="0.2">
      <c r="A2527" s="8">
        <v>2526</v>
      </c>
      <c r="B2527" s="8" t="s">
        <v>11658</v>
      </c>
      <c r="C2527" s="8" t="s">
        <v>11658</v>
      </c>
      <c r="F2527" s="47"/>
      <c r="G2527" s="8">
        <v>18</v>
      </c>
      <c r="H2527" s="8" t="s">
        <v>21</v>
      </c>
      <c r="I2527" s="8" t="s">
        <v>22</v>
      </c>
      <c r="J2527" s="8" t="s">
        <v>22</v>
      </c>
      <c r="K2527" s="8" t="s">
        <v>31</v>
      </c>
      <c r="L2527" s="8" t="s">
        <v>11551</v>
      </c>
      <c r="M2527" s="8" t="s">
        <v>11552</v>
      </c>
      <c r="N2527" s="8" t="s">
        <v>11659</v>
      </c>
      <c r="O2527" s="8">
        <f>8+6/60+58.4/3600</f>
        <v>8.1162222222222216</v>
      </c>
      <c r="P2527" s="8" t="s">
        <v>11660</v>
      </c>
      <c r="Q2527" s="8">
        <f>+(8+0/60+15/3600)</f>
        <v>8.0041666666666664</v>
      </c>
      <c r="R2527" s="8">
        <v>13.8</v>
      </c>
      <c r="S2527" s="8">
        <v>14.6</v>
      </c>
      <c r="T2527" s="8">
        <v>0.8</v>
      </c>
      <c r="U2527" s="8">
        <v>13.5</v>
      </c>
      <c r="V2527" s="8">
        <v>1.2</v>
      </c>
      <c r="W2527" s="8">
        <v>0.7</v>
      </c>
      <c r="X2527" s="8">
        <v>131</v>
      </c>
      <c r="Y2527" s="8" t="s">
        <v>11661</v>
      </c>
      <c r="Z2527" s="8" t="s">
        <v>11662</v>
      </c>
    </row>
    <row r="2528" spans="1:26" x14ac:dyDescent="0.2">
      <c r="A2528" s="8">
        <v>2527</v>
      </c>
      <c r="B2528" s="8" t="s">
        <v>11663</v>
      </c>
      <c r="C2528" s="8" t="s">
        <v>11663</v>
      </c>
      <c r="F2528" s="47" t="s">
        <v>56556</v>
      </c>
      <c r="G2528" s="8">
        <v>5</v>
      </c>
      <c r="H2528" s="8" t="s">
        <v>21</v>
      </c>
      <c r="I2528" s="8" t="s">
        <v>557</v>
      </c>
      <c r="J2528" s="8" t="s">
        <v>557</v>
      </c>
      <c r="K2528" s="8" t="s">
        <v>1168</v>
      </c>
      <c r="L2528" s="8" t="s">
        <v>10175</v>
      </c>
      <c r="M2528" s="8" t="s">
        <v>10176</v>
      </c>
      <c r="N2528" s="8" t="s">
        <v>11631</v>
      </c>
      <c r="O2528" s="8">
        <f>8+4/60+58.1/3600</f>
        <v>8.0828055555555558</v>
      </c>
      <c r="P2528" s="8" t="s">
        <v>11632</v>
      </c>
      <c r="Q2528" s="8">
        <f>-(28+8/60+46/3600)</f>
        <v>-28.146111111111111</v>
      </c>
      <c r="R2528" s="8">
        <v>6.5</v>
      </c>
      <c r="S2528" s="8">
        <v>99</v>
      </c>
      <c r="T2528" s="8">
        <v>99</v>
      </c>
      <c r="U2528" s="8">
        <v>99</v>
      </c>
      <c r="V2528" s="8">
        <v>10</v>
      </c>
      <c r="Y2528" s="8" t="s">
        <v>11633</v>
      </c>
      <c r="Z2528" s="8" t="s">
        <v>11664</v>
      </c>
    </row>
    <row r="2529" spans="1:26" x14ac:dyDescent="0.2">
      <c r="A2529" s="8">
        <v>2528</v>
      </c>
      <c r="B2529" s="8" t="s">
        <v>11665</v>
      </c>
      <c r="C2529" s="8" t="s">
        <v>11665</v>
      </c>
      <c r="F2529" s="47"/>
      <c r="G2529" s="8">
        <v>18</v>
      </c>
      <c r="H2529" s="8" t="s">
        <v>21</v>
      </c>
      <c r="I2529" s="8" t="s">
        <v>22</v>
      </c>
      <c r="J2529" s="8" t="s">
        <v>22</v>
      </c>
      <c r="K2529" s="8" t="s">
        <v>23</v>
      </c>
      <c r="L2529" s="8" t="s">
        <v>10511</v>
      </c>
      <c r="M2529" s="8" t="s">
        <v>10512</v>
      </c>
      <c r="N2529" s="8" t="s">
        <v>11666</v>
      </c>
      <c r="O2529" s="8">
        <f>8+7/60+25/3600</f>
        <v>8.1236111111111118</v>
      </c>
      <c r="P2529" s="8" t="s">
        <v>11667</v>
      </c>
      <c r="Q2529" s="8">
        <f>+(39+11/60+41/3600)</f>
        <v>39.194722222222218</v>
      </c>
      <c r="R2529" s="8">
        <v>12.6</v>
      </c>
      <c r="S2529" s="8">
        <v>13.4</v>
      </c>
      <c r="T2529" s="8">
        <v>0.8</v>
      </c>
      <c r="U2529" s="8">
        <v>13.3</v>
      </c>
      <c r="V2529" s="8">
        <v>1.5</v>
      </c>
      <c r="W2529" s="8">
        <v>1.5</v>
      </c>
      <c r="Y2529" s="8" t="s">
        <v>2641</v>
      </c>
      <c r="Z2529" s="8" t="s">
        <v>2642</v>
      </c>
    </row>
    <row r="2530" spans="1:26" x14ac:dyDescent="0.2">
      <c r="A2530" s="8">
        <v>2529</v>
      </c>
      <c r="B2530" s="8" t="s">
        <v>11668</v>
      </c>
      <c r="C2530" s="8" t="s">
        <v>11668</v>
      </c>
      <c r="F2530" s="47"/>
      <c r="G2530" s="8">
        <v>19</v>
      </c>
      <c r="H2530" s="8" t="s">
        <v>21</v>
      </c>
      <c r="I2530" s="8" t="s">
        <v>329</v>
      </c>
      <c r="J2530" s="8" t="s">
        <v>329</v>
      </c>
      <c r="K2530" s="8" t="s">
        <v>329</v>
      </c>
      <c r="L2530" s="8" t="s">
        <v>11551</v>
      </c>
      <c r="M2530" s="8" t="s">
        <v>11552</v>
      </c>
      <c r="N2530" s="8" t="s">
        <v>11669</v>
      </c>
      <c r="O2530" s="8">
        <f>8+6/60+57.3/3600</f>
        <v>8.1159166666666671</v>
      </c>
      <c r="P2530" s="8" t="s">
        <v>11670</v>
      </c>
      <c r="Q2530" s="8">
        <f>+(17+49/60+43/3600)</f>
        <v>17.828611111111112</v>
      </c>
      <c r="R2530" s="8">
        <v>99</v>
      </c>
      <c r="S2530" s="8">
        <v>99</v>
      </c>
      <c r="T2530" s="8">
        <v>99</v>
      </c>
      <c r="U2530" s="8">
        <v>99</v>
      </c>
      <c r="Y2530" s="8" t="s">
        <v>11671</v>
      </c>
      <c r="Z2530" s="8" t="s">
        <v>11672</v>
      </c>
    </row>
    <row r="2531" spans="1:26" x14ac:dyDescent="0.2">
      <c r="A2531" s="8">
        <v>2530</v>
      </c>
      <c r="B2531" s="8" t="s">
        <v>11673</v>
      </c>
      <c r="C2531" s="8" t="s">
        <v>11673</v>
      </c>
      <c r="F2531" s="47" t="s">
        <v>56557</v>
      </c>
      <c r="G2531" s="8">
        <v>15</v>
      </c>
      <c r="H2531" s="8" t="s">
        <v>21</v>
      </c>
      <c r="I2531" s="8" t="s">
        <v>22</v>
      </c>
      <c r="J2531" s="8" t="s">
        <v>22</v>
      </c>
      <c r="K2531" s="8" t="s">
        <v>1277</v>
      </c>
      <c r="L2531" s="8" t="s">
        <v>11551</v>
      </c>
      <c r="M2531" s="8" t="s">
        <v>11552</v>
      </c>
      <c r="N2531" s="8" t="s">
        <v>11674</v>
      </c>
      <c r="O2531" s="8">
        <f>8+7/60+55.7/3600</f>
        <v>8.132138888888889</v>
      </c>
      <c r="P2531" s="8" t="s">
        <v>11675</v>
      </c>
      <c r="Q2531" s="8">
        <f>+(17+49/60+6/3600)</f>
        <v>17.818333333333332</v>
      </c>
      <c r="R2531" s="8">
        <v>13.6</v>
      </c>
      <c r="S2531" s="8">
        <v>14.3</v>
      </c>
      <c r="T2531" s="8">
        <v>0.7</v>
      </c>
      <c r="U2531" s="8">
        <v>13.9</v>
      </c>
      <c r="V2531" s="8">
        <v>1.4</v>
      </c>
      <c r="W2531" s="8">
        <v>0.9</v>
      </c>
      <c r="X2531" s="8">
        <v>170</v>
      </c>
      <c r="Y2531" s="8" t="s">
        <v>11676</v>
      </c>
      <c r="Z2531" s="8" t="s">
        <v>11677</v>
      </c>
    </row>
    <row r="2532" spans="1:26" x14ac:dyDescent="0.2">
      <c r="A2532" s="8">
        <v>2531</v>
      </c>
      <c r="B2532" s="8" t="s">
        <v>11678</v>
      </c>
      <c r="C2532" s="8" t="s">
        <v>11678</v>
      </c>
      <c r="F2532" s="47"/>
      <c r="G2532" s="8">
        <v>19</v>
      </c>
      <c r="H2532" s="8" t="s">
        <v>21</v>
      </c>
      <c r="I2532" s="8" t="s">
        <v>329</v>
      </c>
      <c r="J2532" s="8" t="s">
        <v>329</v>
      </c>
      <c r="K2532" s="8" t="s">
        <v>329</v>
      </c>
      <c r="L2532" s="8" t="s">
        <v>11551</v>
      </c>
      <c r="M2532" s="8" t="s">
        <v>11552</v>
      </c>
      <c r="N2532" s="8" t="s">
        <v>11679</v>
      </c>
      <c r="O2532" s="8">
        <f>8+7/60+56/3600</f>
        <v>8.1322222222222234</v>
      </c>
      <c r="P2532" s="8" t="s">
        <v>11680</v>
      </c>
      <c r="Q2532" s="8">
        <f>+(17+50/60+6/3600)</f>
        <v>17.834999999999997</v>
      </c>
      <c r="R2532" s="8">
        <v>99</v>
      </c>
      <c r="S2532" s="8">
        <v>99</v>
      </c>
      <c r="T2532" s="8">
        <v>99</v>
      </c>
      <c r="U2532" s="8">
        <v>99</v>
      </c>
      <c r="Y2532" s="8" t="s">
        <v>297</v>
      </c>
      <c r="Z2532" s="8" t="s">
        <v>298</v>
      </c>
    </row>
    <row r="2533" spans="1:26" x14ac:dyDescent="0.2">
      <c r="A2533" s="8">
        <v>2532</v>
      </c>
      <c r="B2533" s="8" t="s">
        <v>11681</v>
      </c>
      <c r="C2533" s="8" t="s">
        <v>11681</v>
      </c>
      <c r="F2533" s="47" t="s">
        <v>56558</v>
      </c>
      <c r="G2533" s="8">
        <v>15</v>
      </c>
      <c r="H2533" s="8" t="s">
        <v>21</v>
      </c>
      <c r="I2533" s="8" t="s">
        <v>22</v>
      </c>
      <c r="J2533" s="8" t="s">
        <v>22</v>
      </c>
      <c r="K2533" s="8" t="s">
        <v>64</v>
      </c>
      <c r="L2533" s="8" t="s">
        <v>10511</v>
      </c>
      <c r="M2533" s="8" t="s">
        <v>10512</v>
      </c>
      <c r="N2533" s="8" t="s">
        <v>11682</v>
      </c>
      <c r="O2533" s="8">
        <f>8+10/60+15.2/3600</f>
        <v>8.1708888888888875</v>
      </c>
      <c r="P2533" s="8" t="s">
        <v>11683</v>
      </c>
      <c r="Q2533" s="8">
        <f>+(33+57/60+22/3600)</f>
        <v>33.956111111111113</v>
      </c>
      <c r="R2533" s="8">
        <v>12.4</v>
      </c>
      <c r="S2533" s="8">
        <v>13</v>
      </c>
      <c r="T2533" s="8">
        <v>0.6</v>
      </c>
      <c r="U2533" s="8">
        <v>13.8</v>
      </c>
      <c r="V2533" s="8">
        <v>1.9</v>
      </c>
      <c r="W2533" s="8">
        <v>1.4</v>
      </c>
      <c r="X2533" s="8">
        <v>10</v>
      </c>
      <c r="Y2533" s="8" t="s">
        <v>11684</v>
      </c>
      <c r="Z2533" s="8" t="s">
        <v>11685</v>
      </c>
    </row>
    <row r="2534" spans="1:26" x14ac:dyDescent="0.2">
      <c r="A2534" s="8">
        <v>2533</v>
      </c>
      <c r="B2534" s="8" t="s">
        <v>11686</v>
      </c>
      <c r="C2534" s="8" t="s">
        <v>11686</v>
      </c>
      <c r="F2534" s="47"/>
      <c r="G2534" s="8">
        <v>9</v>
      </c>
      <c r="H2534" s="8" t="s">
        <v>21</v>
      </c>
      <c r="I2534" s="8" t="s">
        <v>557</v>
      </c>
      <c r="J2534" s="8" t="s">
        <v>557</v>
      </c>
      <c r="K2534" s="8" t="s">
        <v>1168</v>
      </c>
      <c r="L2534" s="8" t="s">
        <v>10175</v>
      </c>
      <c r="M2534" s="8" t="s">
        <v>10176</v>
      </c>
      <c r="N2534" s="8" t="s">
        <v>11687</v>
      </c>
      <c r="O2534" s="8">
        <f>8+7/60+4/3600</f>
        <v>8.1177777777777784</v>
      </c>
      <c r="P2534" s="8" t="s">
        <v>11688</v>
      </c>
      <c r="Q2534" s="8">
        <f>-(29+52/60+0/3600)</f>
        <v>-29.866666666666667</v>
      </c>
      <c r="R2534" s="8">
        <v>7.6</v>
      </c>
      <c r="S2534" s="8">
        <v>99</v>
      </c>
      <c r="T2534" s="8">
        <v>99</v>
      </c>
      <c r="U2534" s="8">
        <v>99</v>
      </c>
      <c r="V2534" s="8">
        <v>6</v>
      </c>
      <c r="Y2534" s="8" t="s">
        <v>11689</v>
      </c>
      <c r="Z2534" s="8" t="s">
        <v>11690</v>
      </c>
    </row>
    <row r="2535" spans="1:26" x14ac:dyDescent="0.2">
      <c r="A2535" s="8">
        <v>2534</v>
      </c>
      <c r="B2535" s="8" t="s">
        <v>11691</v>
      </c>
      <c r="C2535" s="8" t="s">
        <v>11691</v>
      </c>
      <c r="F2535" s="47" t="s">
        <v>56559</v>
      </c>
      <c r="G2535" s="8">
        <v>15</v>
      </c>
      <c r="H2535" s="8" t="s">
        <v>21</v>
      </c>
      <c r="I2535" s="8" t="s">
        <v>22</v>
      </c>
      <c r="J2535" s="8" t="s">
        <v>22</v>
      </c>
      <c r="K2535" s="8" t="s">
        <v>4262</v>
      </c>
      <c r="L2535" s="8" t="s">
        <v>10511</v>
      </c>
      <c r="M2535" s="8" t="s">
        <v>10512</v>
      </c>
      <c r="N2535" s="8" t="s">
        <v>11692</v>
      </c>
      <c r="O2535" s="8">
        <f>8+12/60+54.1/3600</f>
        <v>8.2150277777777774</v>
      </c>
      <c r="P2535" s="8" t="s">
        <v>11693</v>
      </c>
      <c r="Q2535" s="8">
        <f>+(55+40/60+19/3600)</f>
        <v>55.671944444444442</v>
      </c>
      <c r="R2535" s="8">
        <v>12.9</v>
      </c>
      <c r="S2535" s="8">
        <v>13.7</v>
      </c>
      <c r="T2535" s="8">
        <v>0.8</v>
      </c>
      <c r="U2535" s="8">
        <v>13.5</v>
      </c>
      <c r="V2535" s="8">
        <v>1</v>
      </c>
      <c r="W2535" s="8">
        <v>1</v>
      </c>
      <c r="Y2535" s="8" t="s">
        <v>11694</v>
      </c>
      <c r="Z2535" s="8" t="s">
        <v>11695</v>
      </c>
    </row>
    <row r="2536" spans="1:26" x14ac:dyDescent="0.2">
      <c r="A2536" s="8">
        <v>2535</v>
      </c>
      <c r="B2536" s="8" t="s">
        <v>11696</v>
      </c>
      <c r="C2536" s="8" t="s">
        <v>11696</v>
      </c>
      <c r="F2536" s="47"/>
      <c r="G2536" s="8">
        <v>18</v>
      </c>
      <c r="H2536" s="8" t="s">
        <v>21</v>
      </c>
      <c r="I2536" s="8" t="s">
        <v>22</v>
      </c>
      <c r="J2536" s="8" t="s">
        <v>22</v>
      </c>
      <c r="K2536" s="8" t="s">
        <v>538</v>
      </c>
      <c r="L2536" s="8" t="s">
        <v>11551</v>
      </c>
      <c r="M2536" s="8" t="s">
        <v>11552</v>
      </c>
      <c r="N2536" s="8" t="s">
        <v>11697</v>
      </c>
      <c r="O2536" s="8">
        <f>8+11/60+13.6/3600</f>
        <v>8.1871111111111112</v>
      </c>
      <c r="P2536" s="8" t="s">
        <v>11698</v>
      </c>
      <c r="Q2536" s="8">
        <f>+(25+12/60+26/3600)</f>
        <v>25.207222222222221</v>
      </c>
      <c r="R2536" s="8">
        <v>12.8</v>
      </c>
      <c r="S2536" s="8">
        <v>13.3</v>
      </c>
      <c r="T2536" s="8">
        <v>0.5</v>
      </c>
      <c r="U2536" s="8">
        <v>13.8</v>
      </c>
      <c r="V2536" s="8">
        <v>2.5</v>
      </c>
      <c r="W2536" s="8">
        <v>1.2</v>
      </c>
      <c r="X2536" s="8">
        <v>12</v>
      </c>
      <c r="Y2536" s="8" t="s">
        <v>385</v>
      </c>
      <c r="Z2536" s="8" t="s">
        <v>386</v>
      </c>
    </row>
    <row r="2537" spans="1:26" x14ac:dyDescent="0.2">
      <c r="A2537" s="8">
        <v>2536</v>
      </c>
      <c r="B2537" s="8" t="s">
        <v>11699</v>
      </c>
      <c r="C2537" s="8" t="s">
        <v>11699</v>
      </c>
      <c r="F2537" s="47"/>
      <c r="G2537" s="8">
        <v>18</v>
      </c>
      <c r="H2537" s="8" t="s">
        <v>21</v>
      </c>
      <c r="I2537" s="8" t="s">
        <v>22</v>
      </c>
      <c r="J2537" s="8" t="s">
        <v>22</v>
      </c>
      <c r="K2537" s="8" t="s">
        <v>520</v>
      </c>
      <c r="L2537" s="8" t="s">
        <v>11551</v>
      </c>
      <c r="M2537" s="8" t="s">
        <v>11552</v>
      </c>
      <c r="N2537" s="8" t="s">
        <v>11700</v>
      </c>
      <c r="O2537" s="8">
        <f>8+11/60+16.1/3600</f>
        <v>8.1878055555555562</v>
      </c>
      <c r="P2537" s="8" t="s">
        <v>11701</v>
      </c>
      <c r="Q2537" s="8">
        <f>+(25+10/60+47/3600)</f>
        <v>25.179722222222225</v>
      </c>
      <c r="R2537" s="8">
        <v>14.2</v>
      </c>
      <c r="S2537" s="8">
        <v>14.7</v>
      </c>
      <c r="T2537" s="8">
        <v>0.5</v>
      </c>
      <c r="U2537" s="8">
        <v>13.4</v>
      </c>
      <c r="V2537" s="8">
        <v>0.8</v>
      </c>
      <c r="W2537" s="8">
        <v>0.4</v>
      </c>
      <c r="X2537" s="8">
        <v>49</v>
      </c>
      <c r="Y2537" s="8" t="s">
        <v>385</v>
      </c>
      <c r="Z2537" s="8" t="s">
        <v>422</v>
      </c>
    </row>
    <row r="2538" spans="1:26" x14ac:dyDescent="0.2">
      <c r="A2538" s="8">
        <v>2537</v>
      </c>
      <c r="B2538" s="8" t="s">
        <v>11702</v>
      </c>
      <c r="C2538" s="8" t="s">
        <v>11702</v>
      </c>
      <c r="F2538" s="47" t="s">
        <v>56560</v>
      </c>
      <c r="G2538" s="8">
        <v>9</v>
      </c>
      <c r="H2538" s="8" t="s">
        <v>11703</v>
      </c>
      <c r="I2538" s="8" t="s">
        <v>22</v>
      </c>
      <c r="J2538" s="8" t="s">
        <v>22</v>
      </c>
      <c r="K2538" s="8" t="s">
        <v>323</v>
      </c>
      <c r="L2538" s="8" t="s">
        <v>10511</v>
      </c>
      <c r="M2538" s="8" t="s">
        <v>10512</v>
      </c>
      <c r="N2538" s="8" t="s">
        <v>11704</v>
      </c>
      <c r="O2538" s="8">
        <f>8+13/60+14.4/3600</f>
        <v>8.2206666666666663</v>
      </c>
      <c r="P2538" s="8" t="s">
        <v>11705</v>
      </c>
      <c r="Q2538" s="8">
        <f>+(45+59/60+29/3600)</f>
        <v>45.991388888888892</v>
      </c>
      <c r="R2538" s="8">
        <v>11.7</v>
      </c>
      <c r="S2538" s="8">
        <v>12.3</v>
      </c>
      <c r="T2538" s="8">
        <v>0.6</v>
      </c>
      <c r="U2538" s="8">
        <v>12.6</v>
      </c>
      <c r="V2538" s="8">
        <v>1.7</v>
      </c>
      <c r="W2538" s="8">
        <v>1.5</v>
      </c>
      <c r="X2538" s="8">
        <v>162</v>
      </c>
      <c r="Y2538" s="8" t="s">
        <v>11706</v>
      </c>
      <c r="Z2538" s="8" t="s">
        <v>11707</v>
      </c>
    </row>
    <row r="2539" spans="1:26" x14ac:dyDescent="0.2">
      <c r="A2539" s="8">
        <v>2538</v>
      </c>
      <c r="B2539" s="8" t="s">
        <v>11708</v>
      </c>
      <c r="C2539" s="8" t="s">
        <v>11708</v>
      </c>
      <c r="F2539" s="47"/>
      <c r="G2539" s="8">
        <v>18</v>
      </c>
      <c r="H2539" s="8" t="s">
        <v>21</v>
      </c>
      <c r="I2539" s="8" t="s">
        <v>22</v>
      </c>
      <c r="J2539" s="8" t="s">
        <v>22</v>
      </c>
      <c r="K2539" s="8" t="s">
        <v>154</v>
      </c>
      <c r="L2539" s="8" t="s">
        <v>10848</v>
      </c>
      <c r="M2539" s="8" t="s">
        <v>10849</v>
      </c>
      <c r="N2539" s="8" t="s">
        <v>11709</v>
      </c>
      <c r="O2539" s="8">
        <f>8+11/60+23/3600</f>
        <v>8.1897222222222226</v>
      </c>
      <c r="P2539" s="8" t="s">
        <v>11710</v>
      </c>
      <c r="Q2539" s="8">
        <f>+(3+37/60+59/3600)</f>
        <v>3.6330555555555555</v>
      </c>
      <c r="R2539" s="8">
        <v>12.6</v>
      </c>
      <c r="S2539" s="8">
        <v>13.5</v>
      </c>
      <c r="T2539" s="8">
        <v>0.9</v>
      </c>
      <c r="U2539" s="8">
        <v>13</v>
      </c>
      <c r="V2539" s="8">
        <v>1.5</v>
      </c>
      <c r="W2539" s="8">
        <v>1.2</v>
      </c>
      <c r="X2539" s="8">
        <v>25</v>
      </c>
      <c r="Y2539" s="8" t="s">
        <v>11711</v>
      </c>
      <c r="Z2539" s="8" t="s">
        <v>11712</v>
      </c>
    </row>
    <row r="2540" spans="1:26" x14ac:dyDescent="0.2">
      <c r="A2540" s="8">
        <v>2539</v>
      </c>
      <c r="B2540" s="8" t="s">
        <v>11713</v>
      </c>
      <c r="C2540" s="8" t="s">
        <v>11713</v>
      </c>
      <c r="F2540" s="47" t="s">
        <v>56561</v>
      </c>
      <c r="G2540" s="8">
        <v>5</v>
      </c>
      <c r="H2540" s="8" t="s">
        <v>11714</v>
      </c>
      <c r="I2540" s="8" t="s">
        <v>557</v>
      </c>
      <c r="J2540" s="8" t="s">
        <v>557</v>
      </c>
      <c r="K2540" s="8" t="s">
        <v>7034</v>
      </c>
      <c r="L2540" s="8" t="s">
        <v>10175</v>
      </c>
      <c r="M2540" s="8" t="s">
        <v>10176</v>
      </c>
      <c r="N2540" s="8" t="s">
        <v>11715</v>
      </c>
      <c r="O2540" s="8">
        <f>8+10/60+36.9/3600</f>
        <v>8.1769166666666653</v>
      </c>
      <c r="P2540" s="8" t="s">
        <v>11716</v>
      </c>
      <c r="Q2540" s="8">
        <f>-(12+49/60+14/3600)</f>
        <v>-12.820555555555556</v>
      </c>
      <c r="R2540" s="8">
        <v>6.5</v>
      </c>
      <c r="S2540" s="8">
        <v>99</v>
      </c>
      <c r="T2540" s="8">
        <v>99</v>
      </c>
      <c r="U2540" s="8">
        <v>99</v>
      </c>
      <c r="V2540" s="8">
        <v>15</v>
      </c>
      <c r="Y2540" s="8" t="s">
        <v>11717</v>
      </c>
      <c r="Z2540" s="8" t="s">
        <v>11718</v>
      </c>
    </row>
    <row r="2541" spans="1:26" x14ac:dyDescent="0.2">
      <c r="A2541" s="8">
        <v>2540</v>
      </c>
      <c r="B2541" s="8" t="s">
        <v>11719</v>
      </c>
      <c r="C2541" s="8" t="s">
        <v>11719</v>
      </c>
      <c r="F2541" s="47"/>
      <c r="G2541" s="8">
        <v>19</v>
      </c>
      <c r="H2541" s="8" t="s">
        <v>21</v>
      </c>
      <c r="I2541" s="8" t="s">
        <v>22</v>
      </c>
      <c r="J2541" s="8" t="s">
        <v>22</v>
      </c>
      <c r="K2541" s="8" t="s">
        <v>64</v>
      </c>
      <c r="L2541" s="8" t="s">
        <v>11551</v>
      </c>
      <c r="M2541" s="8" t="s">
        <v>11552</v>
      </c>
      <c r="N2541" s="8" t="s">
        <v>11720</v>
      </c>
      <c r="O2541" s="8">
        <f>8+12/60+46.5/3600</f>
        <v>8.2129166666666666</v>
      </c>
      <c r="P2541" s="8" t="s">
        <v>11721</v>
      </c>
      <c r="Q2541" s="8">
        <f>+(26+21/60+41/3600)</f>
        <v>26.361388888888889</v>
      </c>
      <c r="R2541" s="8">
        <v>13.5</v>
      </c>
      <c r="S2541" s="8">
        <v>14.2</v>
      </c>
      <c r="T2541" s="8">
        <v>0.7</v>
      </c>
      <c r="U2541" s="8">
        <v>13.5</v>
      </c>
      <c r="V2541" s="8">
        <v>1.3</v>
      </c>
      <c r="W2541" s="8">
        <v>0.9</v>
      </c>
      <c r="X2541" s="8">
        <v>125</v>
      </c>
      <c r="Y2541" s="8" t="s">
        <v>11722</v>
      </c>
      <c r="Z2541" s="8" t="s">
        <v>11723</v>
      </c>
    </row>
    <row r="2542" spans="1:26" x14ac:dyDescent="0.2">
      <c r="A2542" s="8">
        <v>2541</v>
      </c>
      <c r="B2542" s="8" t="s">
        <v>11724</v>
      </c>
      <c r="C2542" s="8" t="s">
        <v>11724</v>
      </c>
      <c r="F2542" s="47" t="s">
        <v>56562</v>
      </c>
      <c r="G2542" s="8">
        <v>6.5</v>
      </c>
      <c r="H2542" s="8" t="s">
        <v>21</v>
      </c>
      <c r="I2542" s="8" t="s">
        <v>22</v>
      </c>
      <c r="J2542" s="8" t="s">
        <v>22</v>
      </c>
      <c r="K2542" s="8" t="s">
        <v>64</v>
      </c>
      <c r="L2542" s="8" t="s">
        <v>10511</v>
      </c>
      <c r="M2542" s="8" t="s">
        <v>10512</v>
      </c>
      <c r="N2542" s="8" t="s">
        <v>11725</v>
      </c>
      <c r="O2542" s="8">
        <f>8+14/60+40/3600</f>
        <v>8.2444444444444436</v>
      </c>
      <c r="P2542" s="8" t="s">
        <v>11726</v>
      </c>
      <c r="Q2542" s="8">
        <f>+(49+3/60+43/3600)</f>
        <v>49.061944444444443</v>
      </c>
      <c r="R2542" s="8">
        <v>11.8</v>
      </c>
      <c r="S2542" s="8">
        <v>12.3</v>
      </c>
      <c r="T2542" s="8">
        <v>0.5</v>
      </c>
      <c r="U2542" s="8">
        <v>14.9</v>
      </c>
      <c r="V2542" s="8">
        <v>6.3</v>
      </c>
      <c r="W2542" s="8">
        <v>3.2</v>
      </c>
      <c r="X2542" s="8">
        <v>165</v>
      </c>
      <c r="Y2542" s="8" t="s">
        <v>11727</v>
      </c>
      <c r="Z2542" s="8" t="s">
        <v>11728</v>
      </c>
    </row>
    <row r="2543" spans="1:26" x14ac:dyDescent="0.2">
      <c r="A2543" s="8">
        <v>2542</v>
      </c>
      <c r="B2543" s="8" t="s">
        <v>11729</v>
      </c>
      <c r="C2543" s="8" t="s">
        <v>11729</v>
      </c>
      <c r="F2543" s="47"/>
      <c r="G2543" s="8">
        <v>16</v>
      </c>
      <c r="H2543" s="8" t="s">
        <v>21</v>
      </c>
      <c r="I2543" s="8" t="s">
        <v>72</v>
      </c>
      <c r="J2543" s="8" t="s">
        <v>72</v>
      </c>
      <c r="K2543" s="8" t="s">
        <v>20</v>
      </c>
      <c r="L2543" s="8" t="s">
        <v>10175</v>
      </c>
      <c r="M2543" s="8" t="s">
        <v>10176</v>
      </c>
      <c r="N2543" s="8" t="s">
        <v>11730</v>
      </c>
      <c r="O2543" s="8">
        <f>8+11/60+16.2/3600</f>
        <v>8.1878333333333337</v>
      </c>
      <c r="P2543" s="8" t="s">
        <v>11731</v>
      </c>
      <c r="Q2543" s="8">
        <f>-(12+55/60+35/3600)</f>
        <v>-12.926388888888889</v>
      </c>
      <c r="R2543" s="8">
        <v>99</v>
      </c>
      <c r="S2543" s="8">
        <v>4.7</v>
      </c>
      <c r="T2543" s="8">
        <v>99</v>
      </c>
      <c r="U2543" s="8">
        <v>99</v>
      </c>
      <c r="Y2543" s="8" t="s">
        <v>11732</v>
      </c>
      <c r="Z2543" s="8" t="s">
        <v>11733</v>
      </c>
    </row>
    <row r="2544" spans="1:26" x14ac:dyDescent="0.2">
      <c r="A2544" s="8">
        <v>2543</v>
      </c>
      <c r="B2544" s="8" t="s">
        <v>11734</v>
      </c>
      <c r="C2544" s="8" t="s">
        <v>11734</v>
      </c>
      <c r="F2544" s="47" t="s">
        <v>56563</v>
      </c>
      <c r="G2544" s="8">
        <v>15</v>
      </c>
      <c r="H2544" s="8" t="s">
        <v>21</v>
      </c>
      <c r="I2544" s="8" t="s">
        <v>22</v>
      </c>
      <c r="J2544" s="8" t="s">
        <v>22</v>
      </c>
      <c r="K2544" s="8" t="s">
        <v>218</v>
      </c>
      <c r="L2544" s="8" t="s">
        <v>10511</v>
      </c>
      <c r="M2544" s="8" t="s">
        <v>10512</v>
      </c>
      <c r="N2544" s="8" t="s">
        <v>11735</v>
      </c>
      <c r="O2544" s="8">
        <f>8+12/60+57.8/3600</f>
        <v>8.2160555555555543</v>
      </c>
      <c r="P2544" s="8" t="s">
        <v>11736</v>
      </c>
      <c r="Q2544" s="8">
        <f>+(36+15/60+13/3600)</f>
        <v>36.253611111111113</v>
      </c>
      <c r="R2544" s="8">
        <v>11.9</v>
      </c>
      <c r="S2544" s="8">
        <v>12.7</v>
      </c>
      <c r="T2544" s="8">
        <v>0.8</v>
      </c>
      <c r="U2544" s="8">
        <v>12.9</v>
      </c>
      <c r="V2544" s="8">
        <v>2.2999999999999998</v>
      </c>
      <c r="W2544" s="8">
        <v>1.2</v>
      </c>
      <c r="X2544" s="8">
        <v>45</v>
      </c>
      <c r="Y2544" s="8" t="s">
        <v>11737</v>
      </c>
      <c r="Z2544" s="8" t="s">
        <v>11738</v>
      </c>
    </row>
    <row r="2545" spans="1:26" x14ac:dyDescent="0.2">
      <c r="A2545" s="8">
        <v>2544</v>
      </c>
      <c r="B2545" s="8" t="s">
        <v>11739</v>
      </c>
      <c r="C2545" s="8" t="s">
        <v>11739</v>
      </c>
      <c r="F2545" s="47"/>
      <c r="G2545" s="8">
        <v>19</v>
      </c>
      <c r="H2545" s="8" t="s">
        <v>21</v>
      </c>
      <c r="I2545" s="8" t="s">
        <v>22</v>
      </c>
      <c r="J2545" s="8" t="s">
        <v>22</v>
      </c>
      <c r="K2545" s="8" t="s">
        <v>154</v>
      </c>
      <c r="L2545" s="8" t="s">
        <v>6823</v>
      </c>
      <c r="M2545" s="8" t="s">
        <v>6824</v>
      </c>
      <c r="N2545" s="8" t="s">
        <v>11740</v>
      </c>
      <c r="O2545" s="8">
        <f>8+21/60+40.3/3600</f>
        <v>8.3611944444444433</v>
      </c>
      <c r="P2545" s="8" t="s">
        <v>11741</v>
      </c>
      <c r="Q2545" s="8">
        <f>+(73+59/60+18/3600)</f>
        <v>73.98833333333333</v>
      </c>
      <c r="R2545" s="8">
        <v>12.9</v>
      </c>
      <c r="S2545" s="8">
        <v>13.8</v>
      </c>
      <c r="T2545" s="8">
        <v>0.9</v>
      </c>
      <c r="U2545" s="8">
        <v>12.6</v>
      </c>
      <c r="V2545" s="8">
        <v>1.1000000000000001</v>
      </c>
      <c r="W2545" s="8">
        <v>0.8</v>
      </c>
      <c r="X2545" s="8">
        <v>70</v>
      </c>
      <c r="Y2545" s="8" t="s">
        <v>11742</v>
      </c>
      <c r="Z2545" s="8" t="s">
        <v>11743</v>
      </c>
    </row>
    <row r="2546" spans="1:26" x14ac:dyDescent="0.2">
      <c r="A2546" s="8">
        <v>2545</v>
      </c>
      <c r="B2546" s="8" t="s">
        <v>11744</v>
      </c>
      <c r="C2546" s="8" t="s">
        <v>11744</v>
      </c>
      <c r="F2546" s="47" t="s">
        <v>56564</v>
      </c>
      <c r="G2546" s="8">
        <v>13</v>
      </c>
      <c r="H2546" s="8" t="s">
        <v>21</v>
      </c>
      <c r="I2546" s="8" t="s">
        <v>22</v>
      </c>
      <c r="J2546" s="8" t="s">
        <v>22</v>
      </c>
      <c r="K2546" s="8" t="s">
        <v>406</v>
      </c>
      <c r="L2546" s="8" t="s">
        <v>11551</v>
      </c>
      <c r="M2546" s="8" t="s">
        <v>11552</v>
      </c>
      <c r="N2546" s="8" t="s">
        <v>11745</v>
      </c>
      <c r="O2546" s="8">
        <f>8+14/60+14.1/3600</f>
        <v>8.2372499999999995</v>
      </c>
      <c r="P2546" s="8" t="s">
        <v>11746</v>
      </c>
      <c r="Q2546" s="8">
        <f>+(21+21/60+22/3600)</f>
        <v>21.356111111111112</v>
      </c>
      <c r="R2546" s="8">
        <v>12.4</v>
      </c>
      <c r="S2546" s="8">
        <v>13.2</v>
      </c>
      <c r="T2546" s="8">
        <v>0.8</v>
      </c>
      <c r="U2546" s="8">
        <v>13.2</v>
      </c>
      <c r="V2546" s="8">
        <v>2.2000000000000002</v>
      </c>
      <c r="W2546" s="8">
        <v>1.2</v>
      </c>
      <c r="X2546" s="8">
        <v>170</v>
      </c>
      <c r="Y2546" s="8" t="s">
        <v>11747</v>
      </c>
      <c r="Z2546" s="8" t="s">
        <v>11748</v>
      </c>
    </row>
    <row r="2547" spans="1:26" x14ac:dyDescent="0.2">
      <c r="A2547" s="8">
        <v>2546</v>
      </c>
      <c r="B2547" s="8" t="s">
        <v>11749</v>
      </c>
      <c r="C2547" s="8" t="s">
        <v>11749</v>
      </c>
      <c r="F2547" s="47"/>
      <c r="G2547" s="8">
        <v>4</v>
      </c>
      <c r="H2547" s="8" t="s">
        <v>11750</v>
      </c>
      <c r="I2547" s="8" t="s">
        <v>557</v>
      </c>
      <c r="J2547" s="8" t="s">
        <v>557</v>
      </c>
      <c r="K2547" s="8" t="s">
        <v>3217</v>
      </c>
      <c r="L2547" s="8" t="s">
        <v>10175</v>
      </c>
      <c r="M2547" s="8" t="s">
        <v>10176</v>
      </c>
      <c r="N2547" s="8" t="s">
        <v>11751</v>
      </c>
      <c r="O2547" s="8">
        <f>8+12/60+24/3600</f>
        <v>8.2066666666666652</v>
      </c>
      <c r="P2547" s="8" t="s">
        <v>11752</v>
      </c>
      <c r="Q2547" s="8">
        <f>-(37+37/60+0/3600)</f>
        <v>-37.616666666666667</v>
      </c>
      <c r="R2547" s="8">
        <v>6.3</v>
      </c>
      <c r="S2547" s="8">
        <v>99</v>
      </c>
      <c r="T2547" s="8">
        <v>99</v>
      </c>
      <c r="U2547" s="8">
        <v>99</v>
      </c>
      <c r="V2547" s="8">
        <v>70</v>
      </c>
      <c r="Y2547" s="8" t="s">
        <v>11753</v>
      </c>
      <c r="Z2547" s="8" t="s">
        <v>11754</v>
      </c>
    </row>
    <row r="2548" spans="1:26" x14ac:dyDescent="0.2">
      <c r="A2548" s="8">
        <v>2547</v>
      </c>
      <c r="B2548" s="8" t="s">
        <v>11755</v>
      </c>
      <c r="C2548" s="8" t="s">
        <v>11755</v>
      </c>
      <c r="F2548" s="47"/>
      <c r="G2548" s="8">
        <v>4</v>
      </c>
      <c r="H2548" s="8" t="s">
        <v>11756</v>
      </c>
      <c r="I2548" s="8" t="s">
        <v>557</v>
      </c>
      <c r="J2548" s="8" t="s">
        <v>557</v>
      </c>
      <c r="K2548" s="8" t="s">
        <v>558</v>
      </c>
      <c r="L2548" s="8" t="s">
        <v>11757</v>
      </c>
      <c r="M2548" s="8" t="s">
        <v>11758</v>
      </c>
      <c r="N2548" s="8" t="s">
        <v>11759</v>
      </c>
      <c r="O2548" s="8">
        <f>8+10/60+9/3600</f>
        <v>8.1691666666666656</v>
      </c>
      <c r="P2548" s="8" t="s">
        <v>11760</v>
      </c>
      <c r="Q2548" s="8">
        <f>-(49+13/60+30/3600)</f>
        <v>-49.225000000000001</v>
      </c>
      <c r="R2548" s="8">
        <v>4.7</v>
      </c>
      <c r="S2548" s="8">
        <v>99</v>
      </c>
      <c r="T2548" s="8">
        <v>99</v>
      </c>
      <c r="U2548" s="8">
        <v>99</v>
      </c>
      <c r="V2548" s="8">
        <v>25</v>
      </c>
      <c r="Y2548" s="8" t="s">
        <v>11761</v>
      </c>
      <c r="Z2548" s="8" t="s">
        <v>11762</v>
      </c>
    </row>
    <row r="2549" spans="1:26" x14ac:dyDescent="0.2">
      <c r="A2549" s="8">
        <v>2548</v>
      </c>
      <c r="B2549" s="8" t="s">
        <v>11763</v>
      </c>
      <c r="C2549" s="8" t="s">
        <v>55884</v>
      </c>
      <c r="F2549" s="47" t="s">
        <v>56565</v>
      </c>
      <c r="G2549" s="8">
        <v>1</v>
      </c>
      <c r="H2549" s="8" t="s">
        <v>11764</v>
      </c>
      <c r="I2549" s="8" t="s">
        <v>557</v>
      </c>
      <c r="J2549" s="8" t="s">
        <v>557</v>
      </c>
      <c r="K2549" s="8" t="s">
        <v>11168</v>
      </c>
      <c r="L2549" s="8" t="s">
        <v>11765</v>
      </c>
      <c r="M2549" s="8" t="s">
        <v>11766</v>
      </c>
      <c r="N2549" s="8" t="s">
        <v>11767</v>
      </c>
      <c r="O2549" s="8">
        <f>8+13/60+43.1/3600</f>
        <v>8.2286388888888897</v>
      </c>
      <c r="P2549" s="8" t="s">
        <v>11768</v>
      </c>
      <c r="Q2549" s="8">
        <f>-(5+45/60+2/3600)</f>
        <v>-5.7505555555555556</v>
      </c>
      <c r="R2549" s="8">
        <v>5.8</v>
      </c>
      <c r="S2549" s="8">
        <v>99</v>
      </c>
      <c r="T2549" s="8">
        <v>99</v>
      </c>
      <c r="U2549" s="8">
        <v>99</v>
      </c>
      <c r="V2549" s="8">
        <v>30</v>
      </c>
      <c r="Y2549" s="8" t="s">
        <v>11769</v>
      </c>
      <c r="Z2549" s="8" t="s">
        <v>11770</v>
      </c>
    </row>
    <row r="2550" spans="1:26" x14ac:dyDescent="0.2">
      <c r="A2550" s="8">
        <v>2549</v>
      </c>
      <c r="B2550" s="8" t="s">
        <v>11771</v>
      </c>
      <c r="C2550" s="8" t="s">
        <v>11771</v>
      </c>
      <c r="F2550" s="47"/>
      <c r="G2550" s="8">
        <v>13</v>
      </c>
      <c r="H2550" s="8" t="s">
        <v>21</v>
      </c>
      <c r="I2550" s="8" t="s">
        <v>22</v>
      </c>
      <c r="J2550" s="8" t="s">
        <v>22</v>
      </c>
      <c r="K2550" s="8" t="s">
        <v>37</v>
      </c>
      <c r="L2550" s="8" t="s">
        <v>10511</v>
      </c>
      <c r="M2550" s="8" t="s">
        <v>10512</v>
      </c>
      <c r="N2550" s="8" t="s">
        <v>11772</v>
      </c>
      <c r="O2550" s="8">
        <f>8+18/60+58.3/3600</f>
        <v>8.3161944444444451</v>
      </c>
      <c r="P2550" s="8" t="s">
        <v>11773</v>
      </c>
      <c r="Q2550" s="8">
        <f>+(57+48/60+11/3600)</f>
        <v>57.803055555555552</v>
      </c>
      <c r="R2550" s="8">
        <v>11.2</v>
      </c>
      <c r="S2550" s="8">
        <v>12.2</v>
      </c>
      <c r="T2550" s="8">
        <v>1</v>
      </c>
      <c r="U2550" s="8">
        <v>12.9</v>
      </c>
      <c r="V2550" s="8">
        <v>3.8</v>
      </c>
      <c r="W2550" s="8">
        <v>1.2</v>
      </c>
      <c r="X2550" s="8">
        <v>177</v>
      </c>
      <c r="Y2550" s="8" t="s">
        <v>11774</v>
      </c>
      <c r="Z2550" s="8" t="s">
        <v>11775</v>
      </c>
    </row>
    <row r="2551" spans="1:26" x14ac:dyDescent="0.2">
      <c r="A2551" s="8">
        <v>2550</v>
      </c>
      <c r="B2551" s="8" t="s">
        <v>11776</v>
      </c>
      <c r="C2551" s="8" t="s">
        <v>11776</v>
      </c>
      <c r="F2551" s="47"/>
      <c r="G2551" s="8">
        <v>19</v>
      </c>
      <c r="H2551" s="8" t="s">
        <v>21</v>
      </c>
      <c r="I2551" s="8" t="s">
        <v>22</v>
      </c>
      <c r="J2551" s="8" t="s">
        <v>22</v>
      </c>
      <c r="K2551" s="8" t="s">
        <v>79</v>
      </c>
      <c r="L2551" s="8" t="s">
        <v>6823</v>
      </c>
      <c r="M2551" s="8" t="s">
        <v>6824</v>
      </c>
      <c r="N2551" s="8" t="s">
        <v>11777</v>
      </c>
      <c r="O2551" s="8">
        <f>8+24/60+33.7/3600</f>
        <v>8.409361111111112</v>
      </c>
      <c r="P2551" s="8" t="s">
        <v>11778</v>
      </c>
      <c r="Q2551" s="8">
        <f>+(74+0/60+43/3600)</f>
        <v>74.011944444444438</v>
      </c>
      <c r="R2551" s="8">
        <v>12.8</v>
      </c>
      <c r="S2551" s="8">
        <v>13.6</v>
      </c>
      <c r="T2551" s="8">
        <v>0.8</v>
      </c>
      <c r="U2551" s="8">
        <v>11.7</v>
      </c>
      <c r="V2551" s="8">
        <v>1</v>
      </c>
      <c r="W2551" s="8">
        <v>0.4</v>
      </c>
      <c r="X2551" s="8">
        <v>103</v>
      </c>
      <c r="Y2551" s="8" t="s">
        <v>11779</v>
      </c>
      <c r="Z2551" s="8" t="s">
        <v>11780</v>
      </c>
    </row>
    <row r="2552" spans="1:26" x14ac:dyDescent="0.2">
      <c r="A2552" s="8">
        <v>2551</v>
      </c>
      <c r="B2552" s="8" t="s">
        <v>11781</v>
      </c>
      <c r="C2552" s="8" t="s">
        <v>11781</v>
      </c>
      <c r="F2552" s="47"/>
      <c r="G2552" s="8">
        <v>13</v>
      </c>
      <c r="H2552" s="8" t="s">
        <v>21</v>
      </c>
      <c r="I2552" s="8" t="s">
        <v>22</v>
      </c>
      <c r="J2552" s="8" t="s">
        <v>22</v>
      </c>
      <c r="K2552" s="8" t="s">
        <v>91</v>
      </c>
      <c r="L2552" s="8" t="s">
        <v>6823</v>
      </c>
      <c r="M2552" s="8" t="s">
        <v>6824</v>
      </c>
      <c r="N2552" s="8" t="s">
        <v>11782</v>
      </c>
      <c r="O2552" s="8">
        <f>8+24/60+50.2/3600</f>
        <v>8.4139444444444447</v>
      </c>
      <c r="P2552" s="8" t="s">
        <v>11783</v>
      </c>
      <c r="Q2552" s="8">
        <f>+(73+24/60+45/3600)</f>
        <v>73.412500000000009</v>
      </c>
      <c r="R2552" s="8">
        <v>12.1</v>
      </c>
      <c r="S2552" s="8">
        <v>13.1</v>
      </c>
      <c r="T2552" s="8">
        <v>1</v>
      </c>
      <c r="U2552" s="8">
        <v>12.7</v>
      </c>
      <c r="V2552" s="8">
        <v>1.6</v>
      </c>
      <c r="W2552" s="8">
        <v>1</v>
      </c>
      <c r="X2552" s="8">
        <v>55</v>
      </c>
      <c r="Y2552" s="8" t="s">
        <v>11784</v>
      </c>
      <c r="Z2552" s="8" t="s">
        <v>11785</v>
      </c>
    </row>
    <row r="2553" spans="1:26" x14ac:dyDescent="0.2">
      <c r="A2553" s="8">
        <v>2552</v>
      </c>
      <c r="B2553" s="8" t="s">
        <v>11786</v>
      </c>
      <c r="C2553" s="8" t="s">
        <v>11786</v>
      </c>
      <c r="F2553" s="47" t="s">
        <v>56566</v>
      </c>
      <c r="G2553" s="8">
        <v>13</v>
      </c>
      <c r="H2553" s="8" t="s">
        <v>21</v>
      </c>
      <c r="I2553" s="8" t="s">
        <v>22</v>
      </c>
      <c r="J2553" s="8" t="s">
        <v>22</v>
      </c>
      <c r="K2553" s="8" t="s">
        <v>323</v>
      </c>
      <c r="L2553" s="8" t="s">
        <v>10511</v>
      </c>
      <c r="M2553" s="8" t="s">
        <v>10512</v>
      </c>
      <c r="N2553" s="8" t="s">
        <v>11787</v>
      </c>
      <c r="O2553" s="8">
        <f>8+19/60+19.6/3600</f>
        <v>8.322111111111111</v>
      </c>
      <c r="P2553" s="8" t="s">
        <v>11788</v>
      </c>
      <c r="Q2553" s="8">
        <f>+(50+0/60+25/3600)</f>
        <v>50.006944444444443</v>
      </c>
      <c r="R2553" s="8">
        <v>12.1</v>
      </c>
      <c r="S2553" s="8">
        <v>12.6</v>
      </c>
      <c r="T2553" s="8">
        <v>0.5</v>
      </c>
      <c r="U2553" s="8">
        <v>14.2</v>
      </c>
      <c r="V2553" s="8">
        <v>3.6</v>
      </c>
      <c r="W2553" s="8">
        <v>2.1</v>
      </c>
      <c r="X2553" s="8">
        <v>57</v>
      </c>
      <c r="Y2553" s="8" t="s">
        <v>11789</v>
      </c>
      <c r="Z2553" s="8" t="s">
        <v>11790</v>
      </c>
    </row>
    <row r="2554" spans="1:26" x14ac:dyDescent="0.2">
      <c r="A2554" s="8">
        <v>2553</v>
      </c>
      <c r="B2554" s="8" t="s">
        <v>11791</v>
      </c>
      <c r="C2554" s="8" t="s">
        <v>11791</v>
      </c>
      <c r="F2554" s="47"/>
      <c r="G2554" s="8">
        <v>18</v>
      </c>
      <c r="H2554" s="8" t="s">
        <v>21</v>
      </c>
      <c r="I2554" s="8" t="s">
        <v>22</v>
      </c>
      <c r="J2554" s="8" t="s">
        <v>22</v>
      </c>
      <c r="K2554" s="8" t="s">
        <v>449</v>
      </c>
      <c r="L2554" s="8" t="s">
        <v>11551</v>
      </c>
      <c r="M2554" s="8" t="s">
        <v>11552</v>
      </c>
      <c r="N2554" s="8" t="s">
        <v>11792</v>
      </c>
      <c r="O2554" s="8">
        <f>8+17/60+35.1/3600</f>
        <v>8.2930833333333336</v>
      </c>
      <c r="P2554" s="8" t="s">
        <v>11793</v>
      </c>
      <c r="Q2554" s="8">
        <f>+(20+54/60+12/3600)</f>
        <v>20.903333333333332</v>
      </c>
      <c r="R2554" s="8">
        <v>13.9</v>
      </c>
      <c r="S2554" s="8">
        <v>14.7</v>
      </c>
      <c r="T2554" s="8">
        <v>0.8</v>
      </c>
      <c r="U2554" s="8">
        <v>14.1</v>
      </c>
      <c r="V2554" s="8">
        <v>1.7</v>
      </c>
      <c r="W2554" s="8">
        <v>0.8</v>
      </c>
      <c r="X2554" s="8">
        <v>72</v>
      </c>
      <c r="Y2554" s="8" t="s">
        <v>11794</v>
      </c>
      <c r="Z2554" s="8" t="s">
        <v>11795</v>
      </c>
    </row>
    <row r="2555" spans="1:26" x14ac:dyDescent="0.2">
      <c r="A2555" s="8">
        <v>2554</v>
      </c>
      <c r="B2555" s="8" t="s">
        <v>11796</v>
      </c>
      <c r="C2555" s="8" t="s">
        <v>11796</v>
      </c>
      <c r="F2555" s="47" t="s">
        <v>56567</v>
      </c>
      <c r="G2555" s="8">
        <v>15</v>
      </c>
      <c r="H2555" s="8" t="s">
        <v>21</v>
      </c>
      <c r="I2555" s="8" t="s">
        <v>22</v>
      </c>
      <c r="J2555" s="8" t="s">
        <v>22</v>
      </c>
      <c r="K2555" s="8" t="s">
        <v>632</v>
      </c>
      <c r="L2555" s="8" t="s">
        <v>11551</v>
      </c>
      <c r="M2555" s="8" t="s">
        <v>11552</v>
      </c>
      <c r="N2555" s="8" t="s">
        <v>11797</v>
      </c>
      <c r="O2555" s="8">
        <f>8+17/60+53.4/3600</f>
        <v>8.2981666666666669</v>
      </c>
      <c r="P2555" s="8" t="s">
        <v>11798</v>
      </c>
      <c r="Q2555" s="8">
        <f>+(23+28/60+20/3600)</f>
        <v>23.472222222222221</v>
      </c>
      <c r="R2555" s="8">
        <v>12</v>
      </c>
      <c r="S2555" s="8">
        <v>12.9</v>
      </c>
      <c r="T2555" s="8">
        <v>0.9</v>
      </c>
      <c r="U2555" s="8">
        <v>14</v>
      </c>
      <c r="V2555" s="8">
        <v>3.2</v>
      </c>
      <c r="W2555" s="8">
        <v>2.4</v>
      </c>
      <c r="X2555" s="8">
        <v>147</v>
      </c>
      <c r="Y2555" s="8" t="s">
        <v>11799</v>
      </c>
      <c r="Z2555" s="8" t="s">
        <v>11800</v>
      </c>
    </row>
    <row r="2556" spans="1:26" x14ac:dyDescent="0.2">
      <c r="A2556" s="8">
        <v>2555</v>
      </c>
      <c r="B2556" s="8" t="s">
        <v>11801</v>
      </c>
      <c r="C2556" s="8" t="s">
        <v>11801</v>
      </c>
      <c r="F2556" s="47" t="s">
        <v>56568</v>
      </c>
      <c r="G2556" s="8">
        <v>15</v>
      </c>
      <c r="H2556" s="8" t="s">
        <v>21</v>
      </c>
      <c r="I2556" s="8" t="s">
        <v>22</v>
      </c>
      <c r="J2556" s="8" t="s">
        <v>22</v>
      </c>
      <c r="K2556" s="8" t="s">
        <v>406</v>
      </c>
      <c r="L2556" s="8" t="s">
        <v>11765</v>
      </c>
      <c r="M2556" s="8" t="s">
        <v>11766</v>
      </c>
      <c r="N2556" s="8" t="s">
        <v>11802</v>
      </c>
      <c r="O2556" s="8">
        <f>8+17/60+56.3/3600</f>
        <v>8.298972222222222</v>
      </c>
      <c r="P2556" s="8" t="s">
        <v>11803</v>
      </c>
      <c r="Q2556" s="8">
        <f>+(0+44/60+42/3600)</f>
        <v>0.745</v>
      </c>
      <c r="R2556" s="8">
        <v>12.2</v>
      </c>
      <c r="S2556" s="8">
        <v>13</v>
      </c>
      <c r="T2556" s="8">
        <v>0.8</v>
      </c>
      <c r="U2556" s="8">
        <v>13.2</v>
      </c>
      <c r="V2556" s="8">
        <v>1.9</v>
      </c>
      <c r="W2556" s="8">
        <v>1.4</v>
      </c>
      <c r="X2556" s="8">
        <v>115</v>
      </c>
      <c r="Y2556" s="8" t="s">
        <v>11804</v>
      </c>
      <c r="Z2556" s="8" t="s">
        <v>11805</v>
      </c>
    </row>
    <row r="2557" spans="1:26" x14ac:dyDescent="0.2">
      <c r="A2557" s="8">
        <v>2556</v>
      </c>
      <c r="B2557" s="8" t="s">
        <v>11806</v>
      </c>
      <c r="C2557" s="8" t="s">
        <v>11806</v>
      </c>
      <c r="F2557" s="47"/>
      <c r="G2557" s="8">
        <v>18</v>
      </c>
      <c r="H2557" s="8" t="s">
        <v>21</v>
      </c>
      <c r="I2557" s="8" t="s">
        <v>22</v>
      </c>
      <c r="J2557" s="8" t="s">
        <v>22</v>
      </c>
      <c r="K2557" s="8" t="s">
        <v>37</v>
      </c>
      <c r="L2557" s="8" t="s">
        <v>11551</v>
      </c>
      <c r="M2557" s="8" t="s">
        <v>11552</v>
      </c>
      <c r="N2557" s="8" t="s">
        <v>11807</v>
      </c>
      <c r="O2557" s="8">
        <f>8+19/60+0.8/3600</f>
        <v>8.3168888888888883</v>
      </c>
      <c r="P2557" s="8" t="s">
        <v>11808</v>
      </c>
      <c r="Q2557" s="8">
        <f>+(20+56/60+15/3600)</f>
        <v>20.9375</v>
      </c>
      <c r="R2557" s="8">
        <v>14.5</v>
      </c>
      <c r="S2557" s="8">
        <v>15.5</v>
      </c>
      <c r="T2557" s="8">
        <v>1</v>
      </c>
      <c r="U2557" s="8">
        <v>12.5</v>
      </c>
      <c r="V2557" s="8">
        <v>0.4</v>
      </c>
      <c r="W2557" s="8">
        <v>0.2</v>
      </c>
      <c r="X2557" s="8">
        <v>138</v>
      </c>
      <c r="Y2557" s="8" t="s">
        <v>282</v>
      </c>
      <c r="Z2557" s="8" t="s">
        <v>283</v>
      </c>
    </row>
    <row r="2558" spans="1:26" x14ac:dyDescent="0.2">
      <c r="A2558" s="8">
        <v>2557</v>
      </c>
      <c r="B2558" s="8" t="s">
        <v>11809</v>
      </c>
      <c r="C2558" s="8" t="s">
        <v>11809</v>
      </c>
      <c r="F2558" s="47"/>
      <c r="G2558" s="8">
        <v>14</v>
      </c>
      <c r="H2558" s="8" t="s">
        <v>11810</v>
      </c>
      <c r="I2558" s="8" t="s">
        <v>22</v>
      </c>
      <c r="J2558" s="8" t="s">
        <v>22</v>
      </c>
      <c r="K2558" s="8" t="s">
        <v>224</v>
      </c>
      <c r="L2558" s="8" t="s">
        <v>11551</v>
      </c>
      <c r="M2558" s="8" t="s">
        <v>11552</v>
      </c>
      <c r="N2558" s="8" t="s">
        <v>11811</v>
      </c>
      <c r="O2558" s="8">
        <f>8+19/60+10.9/3600</f>
        <v>8.3196944444444441</v>
      </c>
      <c r="P2558" s="8" t="s">
        <v>11812</v>
      </c>
      <c r="Q2558" s="8">
        <f>+(21+26/60+10/3600)</f>
        <v>21.43611111111111</v>
      </c>
      <c r="R2558" s="8">
        <v>13.2</v>
      </c>
      <c r="S2558" s="8">
        <v>14.2</v>
      </c>
      <c r="T2558" s="8">
        <v>1</v>
      </c>
      <c r="U2558" s="8">
        <v>13.3</v>
      </c>
      <c r="V2558" s="8">
        <v>1.2</v>
      </c>
      <c r="W2558" s="8">
        <v>1</v>
      </c>
      <c r="X2558" s="8">
        <v>55</v>
      </c>
      <c r="Y2558" s="8" t="s">
        <v>11813</v>
      </c>
      <c r="Z2558" s="8" t="s">
        <v>11814</v>
      </c>
    </row>
    <row r="2559" spans="1:26" x14ac:dyDescent="0.2">
      <c r="A2559" s="8">
        <v>2558</v>
      </c>
      <c r="B2559" s="8" t="s">
        <v>11815</v>
      </c>
      <c r="C2559" s="8" t="s">
        <v>11815</v>
      </c>
      <c r="F2559" s="47" t="s">
        <v>56569</v>
      </c>
      <c r="G2559" s="8">
        <v>15</v>
      </c>
      <c r="H2559" s="8" t="s">
        <v>21</v>
      </c>
      <c r="I2559" s="8" t="s">
        <v>22</v>
      </c>
      <c r="J2559" s="8" t="s">
        <v>22</v>
      </c>
      <c r="K2559" s="8" t="s">
        <v>31</v>
      </c>
      <c r="L2559" s="8" t="s">
        <v>11551</v>
      </c>
      <c r="M2559" s="8" t="s">
        <v>11552</v>
      </c>
      <c r="N2559" s="8" t="s">
        <v>11816</v>
      </c>
      <c r="O2559" s="8">
        <f>8+19/60+12.7/3600</f>
        <v>8.3201944444444447</v>
      </c>
      <c r="P2559" s="8" t="s">
        <v>11817</v>
      </c>
      <c r="Q2559" s="8">
        <f>+(20+30/60+41/3600)</f>
        <v>20.511388888888888</v>
      </c>
      <c r="R2559" s="8">
        <v>13</v>
      </c>
      <c r="S2559" s="8">
        <v>13.8</v>
      </c>
      <c r="T2559" s="8">
        <v>0.8</v>
      </c>
      <c r="U2559" s="8">
        <v>13.7</v>
      </c>
      <c r="V2559" s="8">
        <v>1.8</v>
      </c>
      <c r="W2559" s="8">
        <v>1.3</v>
      </c>
      <c r="X2559" s="8">
        <v>160</v>
      </c>
      <c r="Y2559" s="8" t="s">
        <v>11818</v>
      </c>
      <c r="Z2559" s="8" t="s">
        <v>11819</v>
      </c>
    </row>
    <row r="2560" spans="1:26" x14ac:dyDescent="0.2">
      <c r="A2560" s="8">
        <v>2559</v>
      </c>
      <c r="B2560" s="8" t="s">
        <v>11820</v>
      </c>
      <c r="C2560" s="8" t="s">
        <v>11820</v>
      </c>
      <c r="F2560" s="47"/>
      <c r="G2560" s="8">
        <v>16</v>
      </c>
      <c r="H2560" s="8" t="s">
        <v>21</v>
      </c>
      <c r="I2560" s="8" t="s">
        <v>22</v>
      </c>
      <c r="J2560" s="8" t="s">
        <v>22</v>
      </c>
      <c r="K2560" s="8" t="s">
        <v>85</v>
      </c>
      <c r="L2560" s="8" t="s">
        <v>10175</v>
      </c>
      <c r="M2560" s="8" t="s">
        <v>10176</v>
      </c>
      <c r="N2560" s="8" t="s">
        <v>11821</v>
      </c>
      <c r="O2560" s="8">
        <f>8+17/60+6.1/3600</f>
        <v>8.2850277777777777</v>
      </c>
      <c r="P2560" s="8" t="s">
        <v>11822</v>
      </c>
      <c r="Q2560" s="8">
        <f>-(27+27/60+25/3600)</f>
        <v>-27.456944444444442</v>
      </c>
      <c r="R2560" s="8">
        <v>10.9</v>
      </c>
      <c r="S2560" s="8">
        <v>11.7</v>
      </c>
      <c r="T2560" s="8">
        <v>0.8</v>
      </c>
      <c r="U2560" s="8">
        <v>12.3</v>
      </c>
      <c r="V2560" s="8">
        <v>3</v>
      </c>
      <c r="W2560" s="8">
        <v>1.4</v>
      </c>
      <c r="X2560" s="8">
        <v>6</v>
      </c>
      <c r="Y2560" s="8" t="s">
        <v>11823</v>
      </c>
      <c r="Z2560" s="8" t="s">
        <v>11824</v>
      </c>
    </row>
    <row r="2561" spans="1:26" x14ac:dyDescent="0.2">
      <c r="A2561" s="8">
        <v>2560</v>
      </c>
      <c r="B2561" s="8" t="s">
        <v>11825</v>
      </c>
      <c r="C2561" s="8" t="s">
        <v>11825</v>
      </c>
      <c r="F2561" s="47"/>
      <c r="G2561" s="8">
        <v>18</v>
      </c>
      <c r="H2561" s="8" t="s">
        <v>21</v>
      </c>
      <c r="I2561" s="8" t="s">
        <v>22</v>
      </c>
      <c r="J2561" s="8" t="s">
        <v>22</v>
      </c>
      <c r="K2561" s="8" t="s">
        <v>632</v>
      </c>
      <c r="L2561" s="8" t="s">
        <v>11551</v>
      </c>
      <c r="M2561" s="8" t="s">
        <v>11552</v>
      </c>
      <c r="N2561" s="8" t="s">
        <v>11826</v>
      </c>
      <c r="O2561" s="8">
        <f>8+19/60+51.9/3600</f>
        <v>8.3310833333333338</v>
      </c>
      <c r="P2561" s="8" t="s">
        <v>11827</v>
      </c>
      <c r="Q2561" s="8">
        <f>+(20+59/60+5/3600)</f>
        <v>20.984722222222224</v>
      </c>
      <c r="R2561" s="8">
        <v>13.3</v>
      </c>
      <c r="S2561" s="8">
        <v>14.3</v>
      </c>
      <c r="T2561" s="8">
        <v>1</v>
      </c>
      <c r="U2561" s="8">
        <v>12.4</v>
      </c>
      <c r="V2561" s="8">
        <v>1.4</v>
      </c>
      <c r="W2561" s="8">
        <v>0.3</v>
      </c>
      <c r="X2561" s="8">
        <v>93</v>
      </c>
      <c r="Y2561" s="8" t="s">
        <v>3753</v>
      </c>
      <c r="Z2561" s="8" t="s">
        <v>3754</v>
      </c>
    </row>
    <row r="2562" spans="1:26" x14ac:dyDescent="0.2">
      <c r="A2562" s="8">
        <v>2561</v>
      </c>
      <c r="B2562" s="8" t="s">
        <v>11828</v>
      </c>
      <c r="C2562" s="8" t="s">
        <v>11828</v>
      </c>
      <c r="F2562" s="47"/>
      <c r="G2562" s="8">
        <v>19</v>
      </c>
      <c r="H2562" s="8" t="s">
        <v>21</v>
      </c>
      <c r="I2562" s="8" t="s">
        <v>22</v>
      </c>
      <c r="J2562" s="8" t="s">
        <v>22</v>
      </c>
      <c r="K2562" s="8" t="s">
        <v>64</v>
      </c>
      <c r="L2562" s="8" t="s">
        <v>11765</v>
      </c>
      <c r="M2562" s="8" t="s">
        <v>11766</v>
      </c>
      <c r="N2562" s="8" t="s">
        <v>11829</v>
      </c>
      <c r="O2562" s="8">
        <f>8+19/60+36.7/3600</f>
        <v>8.3268611111111106</v>
      </c>
      <c r="P2562" s="8" t="s">
        <v>11830</v>
      </c>
      <c r="Q2562" s="8">
        <f>+(4+39/60+24/3600)</f>
        <v>4.6566666666666672</v>
      </c>
      <c r="R2562" s="8">
        <v>13.2</v>
      </c>
      <c r="S2562" s="8">
        <v>13.9</v>
      </c>
      <c r="T2562" s="8">
        <v>0.7</v>
      </c>
      <c r="U2562" s="8">
        <v>12.6</v>
      </c>
      <c r="V2562" s="8">
        <v>1.1000000000000001</v>
      </c>
      <c r="W2562" s="8">
        <v>0.6</v>
      </c>
      <c r="X2562" s="8">
        <v>138</v>
      </c>
      <c r="Y2562" s="8" t="s">
        <v>11831</v>
      </c>
      <c r="Z2562" s="8" t="s">
        <v>11832</v>
      </c>
    </row>
    <row r="2563" spans="1:26" x14ac:dyDescent="0.2">
      <c r="A2563" s="8">
        <v>2562</v>
      </c>
      <c r="B2563" s="8" t="s">
        <v>11833</v>
      </c>
      <c r="C2563" s="8" t="s">
        <v>11833</v>
      </c>
      <c r="F2563" s="47" t="s">
        <v>56570</v>
      </c>
      <c r="G2563" s="8">
        <v>15</v>
      </c>
      <c r="H2563" s="8" t="s">
        <v>21</v>
      </c>
      <c r="I2563" s="8" t="s">
        <v>22</v>
      </c>
      <c r="J2563" s="8" t="s">
        <v>22</v>
      </c>
      <c r="K2563" s="8" t="s">
        <v>632</v>
      </c>
      <c r="L2563" s="8" t="s">
        <v>11551</v>
      </c>
      <c r="M2563" s="8" t="s">
        <v>11552</v>
      </c>
      <c r="N2563" s="8" t="s">
        <v>11834</v>
      </c>
      <c r="O2563" s="8">
        <f>8+20/60+23.5/3600</f>
        <v>8.3398611111111123</v>
      </c>
      <c r="P2563" s="8" t="s">
        <v>11835</v>
      </c>
      <c r="Q2563" s="8">
        <f>+(21+7/60+54/3600)</f>
        <v>21.131666666666668</v>
      </c>
      <c r="R2563" s="8">
        <v>12.9</v>
      </c>
      <c r="S2563" s="8">
        <v>13.9</v>
      </c>
      <c r="T2563" s="8">
        <v>1</v>
      </c>
      <c r="U2563" s="8">
        <v>12.3</v>
      </c>
      <c r="V2563" s="8">
        <v>1</v>
      </c>
      <c r="W2563" s="8">
        <v>0.7</v>
      </c>
      <c r="X2563" s="8">
        <v>3</v>
      </c>
      <c r="Y2563" s="8" t="s">
        <v>11836</v>
      </c>
      <c r="Z2563" s="8" t="s">
        <v>11837</v>
      </c>
    </row>
    <row r="2564" spans="1:26" x14ac:dyDescent="0.2">
      <c r="A2564" s="8">
        <v>2563</v>
      </c>
      <c r="B2564" s="8" t="s">
        <v>11838</v>
      </c>
      <c r="C2564" s="8" t="s">
        <v>11838</v>
      </c>
      <c r="F2564" s="47" t="s">
        <v>56571</v>
      </c>
      <c r="G2564" s="8">
        <v>15</v>
      </c>
      <c r="H2564" s="8" t="s">
        <v>21</v>
      </c>
      <c r="I2564" s="8" t="s">
        <v>22</v>
      </c>
      <c r="J2564" s="8" t="s">
        <v>22</v>
      </c>
      <c r="K2564" s="8" t="s">
        <v>37</v>
      </c>
      <c r="L2564" s="8" t="s">
        <v>11551</v>
      </c>
      <c r="M2564" s="8" t="s">
        <v>11552</v>
      </c>
      <c r="N2564" s="8" t="s">
        <v>11839</v>
      </c>
      <c r="O2564" s="8">
        <f>8+20/60+35.7/3600</f>
        <v>8.3432500000000012</v>
      </c>
      <c r="P2564" s="8" t="s">
        <v>11840</v>
      </c>
      <c r="Q2564" s="8">
        <f>+(21+4/60+5/3600)</f>
        <v>21.068055555555556</v>
      </c>
      <c r="R2564" s="8">
        <v>12.2</v>
      </c>
      <c r="S2564" s="8">
        <v>13.2</v>
      </c>
      <c r="T2564" s="8">
        <v>1</v>
      </c>
      <c r="U2564" s="8">
        <v>13.4</v>
      </c>
      <c r="V2564" s="8">
        <v>2</v>
      </c>
      <c r="W2564" s="8">
        <v>1.7</v>
      </c>
      <c r="X2564" s="8">
        <v>80</v>
      </c>
      <c r="Y2564" s="8" t="s">
        <v>11841</v>
      </c>
      <c r="Z2564" s="8" t="s">
        <v>11842</v>
      </c>
    </row>
    <row r="2565" spans="1:26" x14ac:dyDescent="0.2">
      <c r="A2565" s="8">
        <v>2564</v>
      </c>
      <c r="B2565" s="8" t="s">
        <v>11843</v>
      </c>
      <c r="C2565" s="8" t="s">
        <v>11843</v>
      </c>
      <c r="F2565" s="47"/>
      <c r="G2565" s="8">
        <v>16</v>
      </c>
      <c r="H2565" s="8" t="s">
        <v>21</v>
      </c>
      <c r="I2565" s="8" t="s">
        <v>22</v>
      </c>
      <c r="J2565" s="8" t="s">
        <v>22</v>
      </c>
      <c r="K2565" s="8" t="s">
        <v>58</v>
      </c>
      <c r="L2565" s="8" t="s">
        <v>10175</v>
      </c>
      <c r="M2565" s="8" t="s">
        <v>10176</v>
      </c>
      <c r="N2565" s="8" t="s">
        <v>11844</v>
      </c>
      <c r="O2565" s="8">
        <f>8+18/60+30/3600</f>
        <v>8.3083333333333336</v>
      </c>
      <c r="P2565" s="8" t="s">
        <v>11845</v>
      </c>
      <c r="Q2565" s="8">
        <f>-(21+48/60+58/3600)</f>
        <v>-21.816111111111113</v>
      </c>
      <c r="R2565" s="8">
        <v>12.4</v>
      </c>
      <c r="S2565" s="8">
        <v>13.4</v>
      </c>
      <c r="T2565" s="8">
        <v>1</v>
      </c>
      <c r="U2565" s="8">
        <v>11.8</v>
      </c>
      <c r="V2565" s="8">
        <v>1.2</v>
      </c>
      <c r="W2565" s="8">
        <v>0.8</v>
      </c>
      <c r="X2565" s="8">
        <v>81</v>
      </c>
      <c r="Y2565" s="8" t="s">
        <v>11846</v>
      </c>
      <c r="Z2565" s="8" t="s">
        <v>11847</v>
      </c>
    </row>
    <row r="2566" spans="1:26" x14ac:dyDescent="0.2">
      <c r="A2566" s="8">
        <v>2565</v>
      </c>
      <c r="B2566" s="8" t="s">
        <v>11848</v>
      </c>
      <c r="C2566" s="8" t="s">
        <v>11848</v>
      </c>
      <c r="F2566" s="47"/>
      <c r="G2566" s="8">
        <v>19</v>
      </c>
      <c r="H2566" s="8" t="s">
        <v>21</v>
      </c>
      <c r="I2566" s="8" t="s">
        <v>22</v>
      </c>
      <c r="J2566" s="8" t="s">
        <v>22</v>
      </c>
      <c r="K2566" s="8" t="s">
        <v>85</v>
      </c>
      <c r="L2566" s="8" t="s">
        <v>11551</v>
      </c>
      <c r="M2566" s="8" t="s">
        <v>11552</v>
      </c>
      <c r="N2566" s="8" t="s">
        <v>11849</v>
      </c>
      <c r="O2566" s="8">
        <f>8+19/60+48.2/3600</f>
        <v>8.3300555555555551</v>
      </c>
      <c r="P2566" s="8" t="s">
        <v>11850</v>
      </c>
      <c r="Q2566" s="8">
        <f>+(22+1/60+53/3600)</f>
        <v>22.031388888888888</v>
      </c>
      <c r="R2566" s="8">
        <v>12.6</v>
      </c>
      <c r="S2566" s="8">
        <v>13.4</v>
      </c>
      <c r="T2566" s="8">
        <v>0.8</v>
      </c>
      <c r="U2566" s="8">
        <v>13</v>
      </c>
      <c r="V2566" s="8">
        <v>1.9</v>
      </c>
      <c r="W2566" s="8">
        <v>0.9</v>
      </c>
      <c r="X2566" s="8">
        <v>167</v>
      </c>
      <c r="Y2566" s="8" t="s">
        <v>11851</v>
      </c>
      <c r="Z2566" s="8" t="s">
        <v>11852</v>
      </c>
    </row>
    <row r="2567" spans="1:26" x14ac:dyDescent="0.2">
      <c r="A2567" s="8">
        <v>2566</v>
      </c>
      <c r="B2567" s="8" t="s">
        <v>11853</v>
      </c>
      <c r="C2567" s="8" t="s">
        <v>11853</v>
      </c>
      <c r="F2567" s="47" t="s">
        <v>56572</v>
      </c>
      <c r="G2567" s="8">
        <v>15</v>
      </c>
      <c r="H2567" s="8" t="s">
        <v>21</v>
      </c>
      <c r="I2567" s="8" t="s">
        <v>22</v>
      </c>
      <c r="J2567" s="8" t="s">
        <v>22</v>
      </c>
      <c r="K2567" s="8" t="s">
        <v>406</v>
      </c>
      <c r="L2567" s="8" t="s">
        <v>10175</v>
      </c>
      <c r="M2567" s="8" t="s">
        <v>10176</v>
      </c>
      <c r="N2567" s="8" t="s">
        <v>11854</v>
      </c>
      <c r="O2567" s="8">
        <f>8+18/60+45.5/3600</f>
        <v>8.3126388888888894</v>
      </c>
      <c r="P2567" s="8" t="s">
        <v>11855</v>
      </c>
      <c r="Q2567" s="8">
        <f>-(25+30/60+2/3600)</f>
        <v>-25.500555555555554</v>
      </c>
      <c r="R2567" s="8">
        <v>11</v>
      </c>
      <c r="S2567" s="8">
        <v>11.8</v>
      </c>
      <c r="T2567" s="8">
        <v>0.8</v>
      </c>
      <c r="U2567" s="8">
        <v>13.1</v>
      </c>
      <c r="V2567" s="8">
        <v>2.9</v>
      </c>
      <c r="W2567" s="8">
        <v>1.7</v>
      </c>
      <c r="X2567" s="8">
        <v>62</v>
      </c>
      <c r="Y2567" s="8" t="s">
        <v>11856</v>
      </c>
      <c r="Z2567" s="8" t="s">
        <v>11857</v>
      </c>
    </row>
    <row r="2568" spans="1:26" x14ac:dyDescent="0.2">
      <c r="A2568" s="8">
        <v>2567</v>
      </c>
      <c r="B2568" s="8" t="s">
        <v>11858</v>
      </c>
      <c r="C2568" s="8" t="s">
        <v>11858</v>
      </c>
      <c r="F2568" s="47" t="s">
        <v>56573</v>
      </c>
      <c r="G2568" s="8">
        <v>6</v>
      </c>
      <c r="H2568" s="8" t="s">
        <v>21</v>
      </c>
      <c r="I2568" s="8" t="s">
        <v>557</v>
      </c>
      <c r="J2568" s="8" t="s">
        <v>557</v>
      </c>
      <c r="K2568" s="8" t="s">
        <v>3217</v>
      </c>
      <c r="L2568" s="8" t="s">
        <v>10175</v>
      </c>
      <c r="M2568" s="8" t="s">
        <v>10176</v>
      </c>
      <c r="N2568" s="8" t="s">
        <v>11859</v>
      </c>
      <c r="O2568" s="8">
        <f>8+18/60+32/3600</f>
        <v>8.3088888888888892</v>
      </c>
      <c r="P2568" s="8" t="s">
        <v>11860</v>
      </c>
      <c r="Q2568" s="8">
        <f>-(30+38/60+24/3600)</f>
        <v>-30.64</v>
      </c>
      <c r="R2568" s="8">
        <v>7.4</v>
      </c>
      <c r="S2568" s="8">
        <v>99</v>
      </c>
      <c r="T2568" s="8">
        <v>99</v>
      </c>
      <c r="U2568" s="8">
        <v>99</v>
      </c>
      <c r="V2568" s="8">
        <v>11</v>
      </c>
      <c r="Y2568" s="8" t="s">
        <v>11861</v>
      </c>
      <c r="Z2568" s="8" t="s">
        <v>11862</v>
      </c>
    </row>
    <row r="2569" spans="1:26" x14ac:dyDescent="0.2">
      <c r="A2569" s="8">
        <v>2568</v>
      </c>
      <c r="B2569" s="8" t="s">
        <v>11863</v>
      </c>
      <c r="C2569" s="8" t="s">
        <v>11863</v>
      </c>
      <c r="F2569" s="47"/>
      <c r="G2569" s="8">
        <v>13</v>
      </c>
      <c r="H2569" s="8" t="s">
        <v>21</v>
      </c>
      <c r="I2569" s="8" t="s">
        <v>557</v>
      </c>
      <c r="J2569" s="8" t="s">
        <v>557</v>
      </c>
      <c r="K2569" s="8" t="s">
        <v>3082</v>
      </c>
      <c r="L2569" s="8" t="s">
        <v>10175</v>
      </c>
      <c r="M2569" s="8" t="s">
        <v>10176</v>
      </c>
      <c r="N2569" s="8" t="s">
        <v>11864</v>
      </c>
      <c r="O2569" s="8">
        <f>8+18/60+18.1/3600</f>
        <v>8.305027777777779</v>
      </c>
      <c r="P2569" s="8" t="s">
        <v>11865</v>
      </c>
      <c r="Q2569" s="8">
        <f>-(37+6/60+19/3600)</f>
        <v>-37.105277777777779</v>
      </c>
      <c r="R2569" s="8">
        <v>10.7</v>
      </c>
      <c r="S2569" s="8">
        <v>99</v>
      </c>
      <c r="T2569" s="8">
        <v>99</v>
      </c>
      <c r="U2569" s="8">
        <v>99</v>
      </c>
      <c r="V2569" s="8">
        <v>3</v>
      </c>
      <c r="Y2569" s="8" t="s">
        <v>11866</v>
      </c>
      <c r="Z2569" s="8" t="s">
        <v>11867</v>
      </c>
    </row>
    <row r="2570" spans="1:26" x14ac:dyDescent="0.2">
      <c r="A2570" s="8">
        <v>2569</v>
      </c>
      <c r="B2570" s="8" t="s">
        <v>11868</v>
      </c>
      <c r="C2570" s="8" t="s">
        <v>11868</v>
      </c>
      <c r="F2570" s="47"/>
      <c r="G2570" s="8">
        <v>18</v>
      </c>
      <c r="H2570" s="8" t="s">
        <v>21</v>
      </c>
      <c r="I2570" s="8" t="s">
        <v>22</v>
      </c>
      <c r="J2570" s="8" t="s">
        <v>22</v>
      </c>
      <c r="K2570" s="8" t="s">
        <v>58</v>
      </c>
      <c r="L2570" s="8" t="s">
        <v>11551</v>
      </c>
      <c r="M2570" s="8" t="s">
        <v>11552</v>
      </c>
      <c r="N2570" s="8" t="s">
        <v>11869</v>
      </c>
      <c r="O2570" s="8">
        <f>8+21/60+21.1/3600</f>
        <v>8.3558611111111105</v>
      </c>
      <c r="P2570" s="8" t="s">
        <v>11870</v>
      </c>
      <c r="Q2570" s="8">
        <f>+(20+52/60+5/3600)</f>
        <v>20.868055555555557</v>
      </c>
      <c r="R2570" s="8">
        <v>14.3</v>
      </c>
      <c r="S2570" s="8">
        <v>15.3</v>
      </c>
      <c r="T2570" s="8">
        <v>1</v>
      </c>
      <c r="U2570" s="8">
        <v>13.1</v>
      </c>
      <c r="V2570" s="8">
        <v>0.6</v>
      </c>
      <c r="W2570" s="8">
        <v>0.5</v>
      </c>
      <c r="X2570" s="8">
        <v>117</v>
      </c>
      <c r="Y2570" s="8" t="s">
        <v>11871</v>
      </c>
      <c r="Z2570" s="8" t="s">
        <v>11872</v>
      </c>
    </row>
    <row r="2571" spans="1:26" x14ac:dyDescent="0.2">
      <c r="A2571" s="8">
        <v>2570</v>
      </c>
      <c r="B2571" s="8" t="s">
        <v>11873</v>
      </c>
      <c r="C2571" s="8" t="s">
        <v>11873</v>
      </c>
      <c r="F2571" s="47"/>
      <c r="G2571" s="8">
        <v>18</v>
      </c>
      <c r="H2571" s="8" t="s">
        <v>21</v>
      </c>
      <c r="I2571" s="8" t="s">
        <v>22</v>
      </c>
      <c r="J2571" s="8" t="s">
        <v>22</v>
      </c>
      <c r="K2571" s="8" t="s">
        <v>31</v>
      </c>
      <c r="L2571" s="8" t="s">
        <v>11551</v>
      </c>
      <c r="M2571" s="8" t="s">
        <v>11552</v>
      </c>
      <c r="N2571" s="8" t="s">
        <v>11874</v>
      </c>
      <c r="O2571" s="8">
        <f>8+21/60+22.6/3600</f>
        <v>8.3562777777777768</v>
      </c>
      <c r="P2571" s="8" t="s">
        <v>11875</v>
      </c>
      <c r="Q2571" s="8">
        <f>+(20+54/60+38/3600)</f>
        <v>20.910555555555554</v>
      </c>
      <c r="R2571" s="8">
        <v>14.5</v>
      </c>
      <c r="S2571" s="8">
        <v>15.1</v>
      </c>
      <c r="T2571" s="8">
        <v>0.6</v>
      </c>
      <c r="U2571" s="8">
        <v>14</v>
      </c>
      <c r="V2571" s="8">
        <v>1.1000000000000001</v>
      </c>
      <c r="W2571" s="8">
        <v>0.6</v>
      </c>
      <c r="X2571" s="8">
        <v>75</v>
      </c>
      <c r="Y2571" s="8" t="s">
        <v>11876</v>
      </c>
      <c r="Z2571" s="8" t="s">
        <v>11877</v>
      </c>
    </row>
    <row r="2572" spans="1:26" x14ac:dyDescent="0.2">
      <c r="A2572" s="8">
        <v>2571</v>
      </c>
      <c r="B2572" s="8" t="s">
        <v>11878</v>
      </c>
      <c r="C2572" s="8" t="s">
        <v>11878</v>
      </c>
      <c r="F2572" s="47" t="s">
        <v>56574</v>
      </c>
      <c r="G2572" s="8">
        <v>6</v>
      </c>
      <c r="H2572" s="8" t="s">
        <v>21</v>
      </c>
      <c r="I2572" s="8" t="s">
        <v>557</v>
      </c>
      <c r="J2572" s="8" t="s">
        <v>557</v>
      </c>
      <c r="K2572" s="8" t="s">
        <v>600</v>
      </c>
      <c r="L2572" s="8" t="s">
        <v>10175</v>
      </c>
      <c r="M2572" s="8" t="s">
        <v>10176</v>
      </c>
      <c r="N2572" s="8" t="s">
        <v>11879</v>
      </c>
      <c r="O2572" s="8">
        <f>8+18/60+56.3/3600</f>
        <v>8.3156388888888895</v>
      </c>
      <c r="P2572" s="8" t="s">
        <v>11880</v>
      </c>
      <c r="Q2572" s="8">
        <f>-(29+44/60+57/3600)</f>
        <v>-29.749166666666667</v>
      </c>
      <c r="R2572" s="8">
        <v>7</v>
      </c>
      <c r="S2572" s="8">
        <v>99</v>
      </c>
      <c r="T2572" s="8">
        <v>99</v>
      </c>
      <c r="U2572" s="8">
        <v>99</v>
      </c>
      <c r="V2572" s="8">
        <v>7</v>
      </c>
      <c r="Y2572" s="8" t="s">
        <v>11881</v>
      </c>
      <c r="Z2572" s="8" t="s">
        <v>11882</v>
      </c>
    </row>
    <row r="2573" spans="1:26" x14ac:dyDescent="0.2">
      <c r="A2573" s="8">
        <v>2572</v>
      </c>
      <c r="B2573" s="8" t="s">
        <v>11883</v>
      </c>
      <c r="C2573" s="8" t="s">
        <v>11883</v>
      </c>
      <c r="F2573" s="47"/>
      <c r="G2573" s="8">
        <v>18</v>
      </c>
      <c r="H2573" s="8" t="s">
        <v>21</v>
      </c>
      <c r="I2573" s="8" t="s">
        <v>22</v>
      </c>
      <c r="J2573" s="8" t="s">
        <v>22</v>
      </c>
      <c r="K2573" s="8" t="s">
        <v>91</v>
      </c>
      <c r="L2573" s="8" t="s">
        <v>11551</v>
      </c>
      <c r="M2573" s="8" t="s">
        <v>11552</v>
      </c>
      <c r="N2573" s="8" t="s">
        <v>11884</v>
      </c>
      <c r="O2573" s="8">
        <f>8+21/60+24.7/3600</f>
        <v>8.35686111111111</v>
      </c>
      <c r="P2573" s="8" t="s">
        <v>11885</v>
      </c>
      <c r="Q2573" s="8">
        <f>+(19+8/60+52/3600)</f>
        <v>19.147777777777776</v>
      </c>
      <c r="R2573" s="8">
        <v>13.8</v>
      </c>
      <c r="S2573" s="8">
        <v>14.7</v>
      </c>
      <c r="T2573" s="8">
        <v>0.9</v>
      </c>
      <c r="U2573" s="8">
        <v>13.2</v>
      </c>
      <c r="V2573" s="8">
        <v>1.3</v>
      </c>
      <c r="W2573" s="8">
        <v>0.5</v>
      </c>
      <c r="X2573" s="8">
        <v>133</v>
      </c>
      <c r="Y2573" s="8" t="s">
        <v>11886</v>
      </c>
      <c r="Z2573" s="8" t="s">
        <v>11887</v>
      </c>
    </row>
    <row r="2574" spans="1:26" x14ac:dyDescent="0.2">
      <c r="A2574" s="8">
        <v>2573</v>
      </c>
      <c r="B2574" s="8" t="s">
        <v>11888</v>
      </c>
      <c r="C2574" s="8" t="s">
        <v>11888</v>
      </c>
      <c r="F2574" s="47"/>
      <c r="G2574" s="8">
        <v>10</v>
      </c>
      <c r="H2574" s="8" t="s">
        <v>11889</v>
      </c>
      <c r="I2574" s="8" t="s">
        <v>22</v>
      </c>
      <c r="J2574" s="8" t="s">
        <v>22</v>
      </c>
      <c r="K2574" s="8" t="s">
        <v>64</v>
      </c>
      <c r="L2574" s="8" t="s">
        <v>11890</v>
      </c>
      <c r="M2574" s="8" t="s">
        <v>11891</v>
      </c>
      <c r="N2574" s="8" t="s">
        <v>11892</v>
      </c>
      <c r="O2574" s="8">
        <f>1+41/60+53.2/3600</f>
        <v>1.6981111111111111</v>
      </c>
      <c r="P2574" s="8" t="s">
        <v>11893</v>
      </c>
      <c r="Q2574" s="8">
        <f>-(89+20/60+3/3600)</f>
        <v>-89.334166666666661</v>
      </c>
      <c r="R2574" s="8">
        <v>13.5</v>
      </c>
      <c r="S2574" s="8">
        <v>14.1</v>
      </c>
      <c r="T2574" s="8">
        <v>0.6</v>
      </c>
      <c r="U2574" s="8">
        <v>13.8</v>
      </c>
      <c r="V2574" s="8">
        <v>1.9</v>
      </c>
      <c r="W2574" s="8">
        <v>0.7</v>
      </c>
      <c r="X2574" s="8">
        <v>85</v>
      </c>
      <c r="Y2574" s="8" t="s">
        <v>11894</v>
      </c>
      <c r="Z2574" s="8" t="s">
        <v>11895</v>
      </c>
    </row>
    <row r="2575" spans="1:26" x14ac:dyDescent="0.2">
      <c r="A2575" s="8">
        <v>2574</v>
      </c>
      <c r="B2575" s="8" t="s">
        <v>11896</v>
      </c>
      <c r="C2575" s="8" t="s">
        <v>11896</v>
      </c>
      <c r="F2575" s="47"/>
      <c r="G2575" s="8">
        <v>19</v>
      </c>
      <c r="H2575" s="8" t="s">
        <v>21</v>
      </c>
      <c r="I2575" s="8" t="s">
        <v>22</v>
      </c>
      <c r="J2575" s="8" t="s">
        <v>22</v>
      </c>
      <c r="K2575" s="8" t="s">
        <v>31</v>
      </c>
      <c r="L2575" s="8" t="s">
        <v>11765</v>
      </c>
      <c r="M2575" s="8" t="s">
        <v>11766</v>
      </c>
      <c r="N2575" s="8" t="s">
        <v>11897</v>
      </c>
      <c r="O2575" s="8">
        <f>8+20/60+48.1/3600</f>
        <v>8.3466944444444451</v>
      </c>
      <c r="P2575" s="8" t="s">
        <v>11898</v>
      </c>
      <c r="Q2575" s="8">
        <f>-(8+55/60+6/3600)</f>
        <v>-8.918333333333333</v>
      </c>
      <c r="R2575" s="8">
        <v>12.3</v>
      </c>
      <c r="S2575" s="8">
        <v>13.1</v>
      </c>
      <c r="T2575" s="8">
        <v>0.8</v>
      </c>
      <c r="U2575" s="8">
        <v>13.2</v>
      </c>
      <c r="V2575" s="8">
        <v>2.2999999999999998</v>
      </c>
      <c r="W2575" s="8">
        <v>1.2</v>
      </c>
      <c r="X2575" s="8">
        <v>153</v>
      </c>
      <c r="Y2575" s="8" t="s">
        <v>11899</v>
      </c>
      <c r="Z2575" s="8" t="s">
        <v>11900</v>
      </c>
    </row>
    <row r="2576" spans="1:26" x14ac:dyDescent="0.2">
      <c r="A2576" s="8">
        <v>2575</v>
      </c>
      <c r="B2576" s="8" t="s">
        <v>11901</v>
      </c>
      <c r="C2576" s="8" t="s">
        <v>11901</v>
      </c>
      <c r="F2576" s="47"/>
      <c r="G2576" s="8">
        <v>19</v>
      </c>
      <c r="H2576" s="8" t="s">
        <v>21</v>
      </c>
      <c r="I2576" s="8" t="s">
        <v>22</v>
      </c>
      <c r="J2576" s="8" t="s">
        <v>22</v>
      </c>
      <c r="K2576" s="8" t="s">
        <v>160</v>
      </c>
      <c r="L2576" s="8" t="s">
        <v>11551</v>
      </c>
      <c r="M2576" s="8" t="s">
        <v>11552</v>
      </c>
      <c r="N2576" s="8" t="s">
        <v>11902</v>
      </c>
      <c r="O2576" s="8">
        <f>8+22/60+45/3600</f>
        <v>8.3791666666666664</v>
      </c>
      <c r="P2576" s="8" t="s">
        <v>11903</v>
      </c>
      <c r="Q2576" s="8">
        <f>+(24+17/60+49/3600)</f>
        <v>24.296944444444446</v>
      </c>
      <c r="R2576" s="8">
        <v>12.7</v>
      </c>
      <c r="S2576" s="8">
        <v>13.4</v>
      </c>
      <c r="T2576" s="8">
        <v>0.7</v>
      </c>
      <c r="U2576" s="8">
        <v>13.4</v>
      </c>
      <c r="V2576" s="8">
        <v>1.7</v>
      </c>
      <c r="W2576" s="8">
        <v>1.3</v>
      </c>
      <c r="X2576" s="8">
        <v>145</v>
      </c>
      <c r="Y2576" s="8" t="s">
        <v>11904</v>
      </c>
      <c r="Z2576" s="8" t="s">
        <v>11905</v>
      </c>
    </row>
    <row r="2577" spans="1:26" x14ac:dyDescent="0.2">
      <c r="A2577" s="8">
        <v>2576</v>
      </c>
      <c r="B2577" s="8" t="s">
        <v>11906</v>
      </c>
      <c r="C2577" s="8" t="s">
        <v>11906</v>
      </c>
      <c r="F2577" s="47"/>
      <c r="G2577" s="8">
        <v>18</v>
      </c>
      <c r="H2577" s="8" t="s">
        <v>21</v>
      </c>
      <c r="I2577" s="8" t="s">
        <v>22</v>
      </c>
      <c r="J2577" s="8" t="s">
        <v>22</v>
      </c>
      <c r="K2577" s="8" t="s">
        <v>23</v>
      </c>
      <c r="L2577" s="8" t="s">
        <v>11551</v>
      </c>
      <c r="M2577" s="8" t="s">
        <v>11552</v>
      </c>
      <c r="N2577" s="8" t="s">
        <v>11907</v>
      </c>
      <c r="O2577" s="8">
        <f>8+22/60+57.8/3600</f>
        <v>8.3827222222222222</v>
      </c>
      <c r="P2577" s="8" t="s">
        <v>11908</v>
      </c>
      <c r="Q2577" s="8">
        <f>+(25+44/60+22/3600)</f>
        <v>25.739444444444445</v>
      </c>
      <c r="R2577" s="8">
        <v>14.3</v>
      </c>
      <c r="S2577" s="8">
        <v>15.1</v>
      </c>
      <c r="T2577" s="8">
        <v>0.8</v>
      </c>
      <c r="U2577" s="8">
        <v>13.4</v>
      </c>
      <c r="V2577" s="8">
        <v>1.7</v>
      </c>
      <c r="W2577" s="8">
        <v>0.3</v>
      </c>
      <c r="X2577" s="8">
        <v>41</v>
      </c>
      <c r="Y2577" s="8" t="s">
        <v>11909</v>
      </c>
      <c r="Z2577" s="8" t="s">
        <v>11910</v>
      </c>
    </row>
    <row r="2578" spans="1:26" x14ac:dyDescent="0.2">
      <c r="A2578" s="8">
        <v>2577</v>
      </c>
      <c r="B2578" s="8" t="s">
        <v>11911</v>
      </c>
      <c r="C2578" s="8" t="s">
        <v>11911</v>
      </c>
      <c r="F2578" s="47" t="s">
        <v>56575</v>
      </c>
      <c r="G2578" s="8">
        <v>15</v>
      </c>
      <c r="H2578" s="8" t="s">
        <v>21</v>
      </c>
      <c r="I2578" s="8" t="s">
        <v>22</v>
      </c>
      <c r="J2578" s="8" t="s">
        <v>22</v>
      </c>
      <c r="K2578" s="8" t="s">
        <v>58</v>
      </c>
      <c r="L2578" s="8" t="s">
        <v>11551</v>
      </c>
      <c r="M2578" s="8" t="s">
        <v>11552</v>
      </c>
      <c r="N2578" s="8" t="s">
        <v>11912</v>
      </c>
      <c r="O2578" s="8">
        <f>8+22/60+43.4/3600</f>
        <v>8.3787222222222226</v>
      </c>
      <c r="P2578" s="8" t="s">
        <v>11913</v>
      </c>
      <c r="Q2578" s="8">
        <f>+(22+33/60+13/3600)</f>
        <v>22.553611111111113</v>
      </c>
      <c r="R2578" s="8">
        <v>12.4</v>
      </c>
      <c r="S2578" s="8">
        <v>13.4</v>
      </c>
      <c r="T2578" s="8">
        <v>1</v>
      </c>
      <c r="U2578" s="8">
        <v>13.1</v>
      </c>
      <c r="V2578" s="8">
        <v>1.8</v>
      </c>
      <c r="W2578" s="8">
        <v>1.1000000000000001</v>
      </c>
      <c r="X2578" s="8">
        <v>105</v>
      </c>
      <c r="Y2578" s="8" t="s">
        <v>11914</v>
      </c>
      <c r="Z2578" s="8" t="s">
        <v>11915</v>
      </c>
    </row>
    <row r="2579" spans="1:26" x14ac:dyDescent="0.2">
      <c r="A2579" s="8">
        <v>2578</v>
      </c>
      <c r="B2579" s="8" t="s">
        <v>11916</v>
      </c>
      <c r="C2579" s="8" t="s">
        <v>11916</v>
      </c>
      <c r="F2579" s="47" t="s">
        <v>56576</v>
      </c>
      <c r="G2579" s="8">
        <v>15</v>
      </c>
      <c r="H2579" s="8" t="s">
        <v>21</v>
      </c>
      <c r="I2579" s="8" t="s">
        <v>22</v>
      </c>
      <c r="J2579" s="8" t="s">
        <v>22</v>
      </c>
      <c r="K2579" s="8" t="s">
        <v>435</v>
      </c>
      <c r="L2579" s="8" t="s">
        <v>10175</v>
      </c>
      <c r="M2579" s="8" t="s">
        <v>10176</v>
      </c>
      <c r="N2579" s="8" t="s">
        <v>11917</v>
      </c>
      <c r="O2579" s="8">
        <f>8+21/60+24.2/3600</f>
        <v>8.3567222222222224</v>
      </c>
      <c r="P2579" s="8" t="s">
        <v>11918</v>
      </c>
      <c r="Q2579" s="8">
        <f>-(13+19/60+5/3600)</f>
        <v>-13.318055555555555</v>
      </c>
      <c r="R2579" s="8">
        <v>12.6</v>
      </c>
      <c r="S2579" s="8">
        <v>13.5</v>
      </c>
      <c r="T2579" s="8">
        <v>0.9</v>
      </c>
      <c r="U2579" s="8">
        <v>13.5</v>
      </c>
      <c r="V2579" s="8">
        <v>2.2000000000000002</v>
      </c>
      <c r="W2579" s="8">
        <v>1.3</v>
      </c>
      <c r="X2579" s="8">
        <v>80</v>
      </c>
      <c r="Y2579" s="8" t="s">
        <v>11919</v>
      </c>
      <c r="Z2579" s="8" t="s">
        <v>11920</v>
      </c>
    </row>
    <row r="2580" spans="1:26" x14ac:dyDescent="0.2">
      <c r="A2580" s="8">
        <v>2579</v>
      </c>
      <c r="B2580" s="8" t="s">
        <v>11921</v>
      </c>
      <c r="C2580" s="8" t="s">
        <v>11921</v>
      </c>
      <c r="F2580" s="47"/>
      <c r="G2580" s="8">
        <v>5</v>
      </c>
      <c r="H2580" s="8" t="s">
        <v>21</v>
      </c>
      <c r="I2580" s="8" t="s">
        <v>557</v>
      </c>
      <c r="J2580" s="8" t="s">
        <v>557</v>
      </c>
      <c r="K2580" s="8" t="s">
        <v>600</v>
      </c>
      <c r="L2580" s="8" t="s">
        <v>10175</v>
      </c>
      <c r="M2580" s="8" t="s">
        <v>10176</v>
      </c>
      <c r="N2580" s="8" t="s">
        <v>11922</v>
      </c>
      <c r="O2580" s="8">
        <f>8+20/60+52.7/3600</f>
        <v>8.3479722222222232</v>
      </c>
      <c r="P2580" s="8" t="s">
        <v>11923</v>
      </c>
      <c r="Q2580" s="8">
        <f>-(36+12/60+58/3600)</f>
        <v>-36.216111111111111</v>
      </c>
      <c r="R2580" s="8">
        <v>7.5</v>
      </c>
      <c r="S2580" s="8">
        <v>99</v>
      </c>
      <c r="T2580" s="8">
        <v>99</v>
      </c>
      <c r="U2580" s="8">
        <v>99</v>
      </c>
      <c r="V2580" s="8">
        <v>19</v>
      </c>
      <c r="Y2580" s="8" t="s">
        <v>11924</v>
      </c>
      <c r="Z2580" s="8" t="s">
        <v>11925</v>
      </c>
    </row>
    <row r="2581" spans="1:26" x14ac:dyDescent="0.2">
      <c r="A2581" s="8">
        <v>2580</v>
      </c>
      <c r="B2581" s="8" t="s">
        <v>11926</v>
      </c>
      <c r="C2581" s="8" t="s">
        <v>11926</v>
      </c>
      <c r="F2581" s="47"/>
      <c r="G2581" s="8">
        <v>13</v>
      </c>
      <c r="H2581" s="8" t="s">
        <v>21</v>
      </c>
      <c r="I2581" s="8" t="s">
        <v>557</v>
      </c>
      <c r="J2581" s="8" t="s">
        <v>557</v>
      </c>
      <c r="K2581" s="8" t="s">
        <v>2722</v>
      </c>
      <c r="L2581" s="8" t="s">
        <v>10175</v>
      </c>
      <c r="M2581" s="8" t="s">
        <v>10176</v>
      </c>
      <c r="N2581" s="8" t="s">
        <v>11927</v>
      </c>
      <c r="O2581" s="8">
        <f>8+21/60+28/3600</f>
        <v>8.3577777777777769</v>
      </c>
      <c r="P2581" s="8" t="s">
        <v>11928</v>
      </c>
      <c r="Q2581" s="8">
        <f>-(30+17/60+30/3600)</f>
        <v>-30.291666666666668</v>
      </c>
      <c r="R2581" s="8">
        <v>9.6999999999999993</v>
      </c>
      <c r="S2581" s="8">
        <v>99</v>
      </c>
      <c r="T2581" s="8">
        <v>99</v>
      </c>
      <c r="U2581" s="8">
        <v>99</v>
      </c>
      <c r="V2581" s="8">
        <v>8</v>
      </c>
      <c r="Y2581" s="8" t="s">
        <v>11929</v>
      </c>
      <c r="Z2581" s="8" t="s">
        <v>11930</v>
      </c>
    </row>
    <row r="2582" spans="1:26" x14ac:dyDescent="0.2">
      <c r="A2582" s="8">
        <v>2581</v>
      </c>
      <c r="B2582" s="8" t="s">
        <v>11931</v>
      </c>
      <c r="C2582" s="8" t="s">
        <v>11931</v>
      </c>
      <c r="F2582" s="47"/>
      <c r="G2582" s="8">
        <v>19</v>
      </c>
      <c r="H2582" s="8" t="s">
        <v>21</v>
      </c>
      <c r="I2582" s="8" t="s">
        <v>22</v>
      </c>
      <c r="J2582" s="8" t="s">
        <v>22</v>
      </c>
      <c r="K2582" s="8" t="s">
        <v>1445</v>
      </c>
      <c r="L2582" s="8" t="s">
        <v>11551</v>
      </c>
      <c r="M2582" s="8" t="s">
        <v>11552</v>
      </c>
      <c r="N2582" s="8" t="s">
        <v>11932</v>
      </c>
      <c r="O2582" s="8">
        <f>8+24/60+30.9/3600</f>
        <v>8.4085833333333344</v>
      </c>
      <c r="P2582" s="8" t="s">
        <v>11933</v>
      </c>
      <c r="Q2582" s="8">
        <f>+(18+35/60+49/3600)</f>
        <v>18.596944444444443</v>
      </c>
      <c r="R2582" s="8">
        <v>13.4</v>
      </c>
      <c r="S2582" s="8">
        <v>14.2</v>
      </c>
      <c r="T2582" s="8">
        <v>0.8</v>
      </c>
      <c r="U2582" s="8">
        <v>13.1</v>
      </c>
      <c r="V2582" s="8">
        <v>1.1000000000000001</v>
      </c>
      <c r="W2582" s="8">
        <v>0.8</v>
      </c>
      <c r="X2582" s="8">
        <v>10</v>
      </c>
      <c r="Y2582" s="8" t="s">
        <v>11934</v>
      </c>
      <c r="Z2582" s="8" t="s">
        <v>11935</v>
      </c>
    </row>
    <row r="2583" spans="1:26" x14ac:dyDescent="0.2">
      <c r="A2583" s="8">
        <v>2582</v>
      </c>
      <c r="B2583" s="8" t="s">
        <v>11936</v>
      </c>
      <c r="C2583" s="8" t="s">
        <v>11936</v>
      </c>
      <c r="F2583" s="47" t="s">
        <v>56577</v>
      </c>
      <c r="G2583" s="8">
        <v>15</v>
      </c>
      <c r="H2583" s="8" t="s">
        <v>21</v>
      </c>
      <c r="I2583" s="8" t="s">
        <v>22</v>
      </c>
      <c r="J2583" s="8" t="s">
        <v>22</v>
      </c>
      <c r="K2583" s="8" t="s">
        <v>406</v>
      </c>
      <c r="L2583" s="8" t="s">
        <v>11551</v>
      </c>
      <c r="M2583" s="8" t="s">
        <v>11552</v>
      </c>
      <c r="N2583" s="8" t="s">
        <v>11937</v>
      </c>
      <c r="O2583" s="8">
        <f>8+25/60+12.1/3600</f>
        <v>8.4200277777777774</v>
      </c>
      <c r="P2583" s="8" t="s">
        <v>11938</v>
      </c>
      <c r="Q2583" s="8">
        <f>+(20+20/60+3/3600)</f>
        <v>20.334166666666665</v>
      </c>
      <c r="R2583" s="8">
        <v>13</v>
      </c>
      <c r="S2583" s="8">
        <v>13.9</v>
      </c>
      <c r="T2583" s="8">
        <v>0.9</v>
      </c>
      <c r="U2583" s="8">
        <v>13.3</v>
      </c>
      <c r="V2583" s="8">
        <v>1.2</v>
      </c>
      <c r="W2583" s="8">
        <v>1.2</v>
      </c>
      <c r="Y2583" s="8" t="s">
        <v>11939</v>
      </c>
      <c r="Z2583" s="8" t="s">
        <v>11940</v>
      </c>
    </row>
    <row r="2584" spans="1:26" x14ac:dyDescent="0.2">
      <c r="A2584" s="8">
        <v>2583</v>
      </c>
      <c r="B2584" s="8" t="s">
        <v>11941</v>
      </c>
      <c r="C2584" s="8" t="s">
        <v>11941</v>
      </c>
      <c r="F2584" s="47"/>
      <c r="G2584" s="8">
        <v>19</v>
      </c>
      <c r="H2584" s="8" t="s">
        <v>21</v>
      </c>
      <c r="I2584" s="8" t="s">
        <v>22</v>
      </c>
      <c r="J2584" s="8" t="s">
        <v>22</v>
      </c>
      <c r="K2584" s="8" t="s">
        <v>460</v>
      </c>
      <c r="L2584" s="8" t="s">
        <v>11765</v>
      </c>
      <c r="M2584" s="8" t="s">
        <v>11766</v>
      </c>
      <c r="N2584" s="8" t="s">
        <v>11942</v>
      </c>
      <c r="O2584" s="8">
        <f>8+23/60+7.9/3600</f>
        <v>8.3855277777777779</v>
      </c>
      <c r="P2584" s="8" t="s">
        <v>11943</v>
      </c>
      <c r="Q2584" s="8">
        <f>-(5+0/60+9/3600)</f>
        <v>-5.0025000000000004</v>
      </c>
      <c r="R2584" s="8">
        <v>13.4</v>
      </c>
      <c r="S2584" s="8">
        <v>14.4</v>
      </c>
      <c r="T2584" s="8">
        <v>1</v>
      </c>
      <c r="U2584" s="8">
        <v>12.9</v>
      </c>
      <c r="V2584" s="8">
        <v>0.9</v>
      </c>
      <c r="W2584" s="8">
        <v>0.9</v>
      </c>
      <c r="Y2584" s="8" t="s">
        <v>11944</v>
      </c>
      <c r="Z2584" s="8" t="s">
        <v>11945</v>
      </c>
    </row>
    <row r="2585" spans="1:26" x14ac:dyDescent="0.2">
      <c r="A2585" s="8">
        <v>2584</v>
      </c>
      <c r="B2585" s="8" t="s">
        <v>11946</v>
      </c>
      <c r="C2585" s="8" t="s">
        <v>11946</v>
      </c>
      <c r="F2585" s="47"/>
      <c r="G2585" s="8">
        <v>19</v>
      </c>
      <c r="H2585" s="8" t="s">
        <v>21</v>
      </c>
      <c r="I2585" s="8" t="s">
        <v>22</v>
      </c>
      <c r="J2585" s="8" t="s">
        <v>22</v>
      </c>
      <c r="K2585" s="8" t="s">
        <v>396</v>
      </c>
      <c r="L2585" s="8" t="s">
        <v>11765</v>
      </c>
      <c r="M2585" s="8" t="s">
        <v>11766</v>
      </c>
      <c r="N2585" s="8" t="s">
        <v>11947</v>
      </c>
      <c r="O2585" s="8">
        <f>8+23/60+15.5/3600</f>
        <v>8.3876388888888886</v>
      </c>
      <c r="P2585" s="8" t="s">
        <v>11948</v>
      </c>
      <c r="Q2585" s="8">
        <f>-(4+58/60+15/3600)</f>
        <v>-4.9708333333333332</v>
      </c>
      <c r="R2585" s="8">
        <v>13.8</v>
      </c>
      <c r="S2585" s="8">
        <v>14.6</v>
      </c>
      <c r="T2585" s="8">
        <v>0.8</v>
      </c>
      <c r="U2585" s="8">
        <v>13.3</v>
      </c>
      <c r="V2585" s="8">
        <v>1.2</v>
      </c>
      <c r="W2585" s="8">
        <v>0.6</v>
      </c>
      <c r="X2585" s="8">
        <v>2</v>
      </c>
      <c r="Y2585" s="8" t="s">
        <v>11949</v>
      </c>
      <c r="Z2585" s="8" t="s">
        <v>11950</v>
      </c>
    </row>
    <row r="2586" spans="1:26" x14ac:dyDescent="0.2">
      <c r="A2586" s="8">
        <v>2585</v>
      </c>
      <c r="B2586" s="8" t="s">
        <v>11951</v>
      </c>
      <c r="C2586" s="8" t="s">
        <v>11951</v>
      </c>
      <c r="F2586" s="47"/>
      <c r="G2586" s="8">
        <v>19</v>
      </c>
      <c r="H2586" s="8" t="s">
        <v>21</v>
      </c>
      <c r="I2586" s="8" t="s">
        <v>22</v>
      </c>
      <c r="J2586" s="8" t="s">
        <v>22</v>
      </c>
      <c r="K2586" s="8" t="s">
        <v>23</v>
      </c>
      <c r="L2586" s="8" t="s">
        <v>11765</v>
      </c>
      <c r="M2586" s="8" t="s">
        <v>11766</v>
      </c>
      <c r="N2586" s="8" t="s">
        <v>11952</v>
      </c>
      <c r="O2586" s="8">
        <f>8+23/60+26.2/3600</f>
        <v>8.3906111111111112</v>
      </c>
      <c r="P2586" s="8" t="s">
        <v>11953</v>
      </c>
      <c r="Q2586" s="8">
        <f>-(4+54/60+55/3600)</f>
        <v>-4.9152777777777779</v>
      </c>
      <c r="R2586" s="8">
        <v>13.6</v>
      </c>
      <c r="S2586" s="8">
        <v>14.4</v>
      </c>
      <c r="T2586" s="8">
        <v>0.8</v>
      </c>
      <c r="U2586" s="8">
        <v>13.8</v>
      </c>
      <c r="V2586" s="8">
        <v>1.8</v>
      </c>
      <c r="W2586" s="8">
        <v>0.8</v>
      </c>
      <c r="X2586" s="8">
        <v>95</v>
      </c>
      <c r="Y2586" s="8" t="s">
        <v>11954</v>
      </c>
      <c r="Z2586" s="8" t="s">
        <v>11955</v>
      </c>
    </row>
    <row r="2587" spans="1:26" x14ac:dyDescent="0.2">
      <c r="A2587" s="8">
        <v>2586</v>
      </c>
      <c r="B2587" s="8" t="s">
        <v>11956</v>
      </c>
      <c r="C2587" s="8" t="s">
        <v>11956</v>
      </c>
      <c r="F2587" s="47"/>
      <c r="G2587" s="8">
        <v>19</v>
      </c>
      <c r="H2587" s="8" t="s">
        <v>21</v>
      </c>
      <c r="I2587" s="8" t="s">
        <v>72</v>
      </c>
      <c r="J2587" s="8" t="s">
        <v>72</v>
      </c>
      <c r="K2587" s="8" t="s">
        <v>1802</v>
      </c>
      <c r="L2587" s="8" t="s">
        <v>11765</v>
      </c>
      <c r="M2587" s="8" t="s">
        <v>11766</v>
      </c>
      <c r="N2587" s="8" t="s">
        <v>11957</v>
      </c>
      <c r="O2587" s="8">
        <f>8+23/60+31.4/3600</f>
        <v>8.3920555555555545</v>
      </c>
      <c r="P2587" s="8" t="s">
        <v>11958</v>
      </c>
      <c r="Q2587" s="8">
        <f>-(4+57/60+5/3600)</f>
        <v>-4.9513888888888893</v>
      </c>
      <c r="R2587" s="8">
        <v>99</v>
      </c>
      <c r="S2587" s="8">
        <v>99</v>
      </c>
      <c r="T2587" s="8">
        <v>99</v>
      </c>
      <c r="U2587" s="8">
        <v>99</v>
      </c>
      <c r="Y2587" s="8" t="s">
        <v>11959</v>
      </c>
      <c r="Z2587" s="8" t="s">
        <v>11960</v>
      </c>
    </row>
    <row r="2588" spans="1:26" x14ac:dyDescent="0.2">
      <c r="A2588" s="8">
        <v>2587</v>
      </c>
      <c r="B2588" s="8" t="s">
        <v>11961</v>
      </c>
      <c r="C2588" s="8" t="s">
        <v>11961</v>
      </c>
      <c r="F2588" s="47"/>
      <c r="G2588" s="8">
        <v>13</v>
      </c>
      <c r="H2588" s="8" t="s">
        <v>21</v>
      </c>
      <c r="I2588" s="8" t="s">
        <v>557</v>
      </c>
      <c r="J2588" s="8" t="s">
        <v>557</v>
      </c>
      <c r="K2588" s="8" t="s">
        <v>3602</v>
      </c>
      <c r="L2588" s="8" t="s">
        <v>10175</v>
      </c>
      <c r="M2588" s="8" t="s">
        <v>10176</v>
      </c>
      <c r="N2588" s="8" t="s">
        <v>11962</v>
      </c>
      <c r="O2588" s="8">
        <f>8+23/60+24/3600</f>
        <v>8.3899999999999988</v>
      </c>
      <c r="P2588" s="8" t="s">
        <v>11963</v>
      </c>
      <c r="Q2588" s="8">
        <f>-(29+30/60+31/3600)</f>
        <v>-29.508611111111112</v>
      </c>
      <c r="R2588" s="8">
        <v>9.1999999999999993</v>
      </c>
      <c r="S2588" s="8">
        <v>99</v>
      </c>
      <c r="T2588" s="8">
        <v>99</v>
      </c>
      <c r="U2588" s="8">
        <v>99</v>
      </c>
      <c r="V2588" s="8">
        <v>10</v>
      </c>
      <c r="Y2588" s="8" t="s">
        <v>11964</v>
      </c>
      <c r="Z2588" s="8" t="s">
        <v>11965</v>
      </c>
    </row>
    <row r="2589" spans="1:26" x14ac:dyDescent="0.2">
      <c r="A2589" s="8">
        <v>2588</v>
      </c>
      <c r="B2589" s="8" t="s">
        <v>11966</v>
      </c>
      <c r="C2589" s="8" t="s">
        <v>11966</v>
      </c>
      <c r="F2589" s="47"/>
      <c r="G2589" s="8">
        <v>9</v>
      </c>
      <c r="H2589" s="8" t="s">
        <v>21</v>
      </c>
      <c r="I2589" s="8" t="s">
        <v>557</v>
      </c>
      <c r="J2589" s="8" t="s">
        <v>557</v>
      </c>
      <c r="K2589" s="8" t="s">
        <v>3602</v>
      </c>
      <c r="L2589" s="8" t="s">
        <v>10175</v>
      </c>
      <c r="M2589" s="8" t="s">
        <v>10176</v>
      </c>
      <c r="N2589" s="8" t="s">
        <v>11967</v>
      </c>
      <c r="O2589" s="8">
        <f>8+23/60+9.5/3600</f>
        <v>8.3859722222222217</v>
      </c>
      <c r="P2589" s="8" t="s">
        <v>11968</v>
      </c>
      <c r="Q2589" s="8">
        <f>-(32+58/60+30/3600)</f>
        <v>-32.975000000000001</v>
      </c>
      <c r="R2589" s="8">
        <v>11.8</v>
      </c>
      <c r="S2589" s="8">
        <v>99</v>
      </c>
      <c r="T2589" s="8">
        <v>99</v>
      </c>
      <c r="U2589" s="8">
        <v>99</v>
      </c>
      <c r="V2589" s="8">
        <v>2</v>
      </c>
      <c r="Y2589" s="8" t="s">
        <v>11969</v>
      </c>
      <c r="Z2589" s="8" t="s">
        <v>11970</v>
      </c>
    </row>
    <row r="2590" spans="1:26" x14ac:dyDescent="0.2">
      <c r="A2590" s="8">
        <v>2589</v>
      </c>
      <c r="B2590" s="8" t="s">
        <v>11971</v>
      </c>
      <c r="C2590" s="8" t="s">
        <v>11971</v>
      </c>
      <c r="F2590" s="47"/>
      <c r="G2590" s="8">
        <v>19</v>
      </c>
      <c r="H2590" s="8" t="s">
        <v>21</v>
      </c>
      <c r="I2590" s="8" t="s">
        <v>329</v>
      </c>
      <c r="J2590" s="8" t="s">
        <v>329</v>
      </c>
      <c r="K2590" s="8" t="s">
        <v>329</v>
      </c>
      <c r="L2590" s="8" t="s">
        <v>11765</v>
      </c>
      <c r="M2590" s="8" t="s">
        <v>11766</v>
      </c>
      <c r="N2590" s="8" t="s">
        <v>11972</v>
      </c>
      <c r="O2590" s="8">
        <f>8+24/60+29.4/3600</f>
        <v>8.4081666666666663</v>
      </c>
      <c r="P2590" s="8" t="s">
        <v>11973</v>
      </c>
      <c r="Q2590" s="8">
        <f>-(8+46/60+4/3600)</f>
        <v>-8.7677777777777788</v>
      </c>
      <c r="R2590" s="8">
        <v>99</v>
      </c>
      <c r="S2590" s="8">
        <v>99</v>
      </c>
      <c r="T2590" s="8">
        <v>99</v>
      </c>
      <c r="U2590" s="8">
        <v>99</v>
      </c>
      <c r="Y2590" s="8" t="s">
        <v>10215</v>
      </c>
      <c r="Z2590" s="8" t="s">
        <v>10216</v>
      </c>
    </row>
    <row r="2591" spans="1:26" x14ac:dyDescent="0.2">
      <c r="A2591" s="8">
        <v>2590</v>
      </c>
      <c r="B2591" s="8" t="s">
        <v>11974</v>
      </c>
      <c r="C2591" s="8" t="s">
        <v>11974</v>
      </c>
      <c r="F2591" s="47"/>
      <c r="G2591" s="8">
        <v>19</v>
      </c>
      <c r="H2591" s="8" t="s">
        <v>21</v>
      </c>
      <c r="I2591" s="8" t="s">
        <v>22</v>
      </c>
      <c r="J2591" s="8" t="s">
        <v>22</v>
      </c>
      <c r="K2591" s="8" t="s">
        <v>396</v>
      </c>
      <c r="L2591" s="8" t="s">
        <v>11765</v>
      </c>
      <c r="M2591" s="8" t="s">
        <v>11766</v>
      </c>
      <c r="N2591" s="8" t="s">
        <v>11975</v>
      </c>
      <c r="O2591" s="8">
        <f>8+25/60+2/3600</f>
        <v>8.4172222222222217</v>
      </c>
      <c r="P2591" s="8" t="s">
        <v>11976</v>
      </c>
      <c r="Q2591" s="8">
        <f>-(0+35/60+28/3600)</f>
        <v>-0.59111111111111114</v>
      </c>
      <c r="R2591" s="8">
        <v>13.1</v>
      </c>
      <c r="S2591" s="8">
        <v>13.9</v>
      </c>
      <c r="T2591" s="8">
        <v>0.8</v>
      </c>
      <c r="U2591" s="8">
        <v>13.4</v>
      </c>
      <c r="V2591" s="8">
        <v>2.2000000000000002</v>
      </c>
      <c r="W2591" s="8">
        <v>0.7</v>
      </c>
      <c r="X2591" s="8">
        <v>77</v>
      </c>
      <c r="Y2591" s="8" t="s">
        <v>11977</v>
      </c>
      <c r="Z2591" s="8" t="s">
        <v>11978</v>
      </c>
    </row>
    <row r="2592" spans="1:26" x14ac:dyDescent="0.2">
      <c r="A2592" s="8">
        <v>2591</v>
      </c>
      <c r="B2592" s="8" t="s">
        <v>11979</v>
      </c>
      <c r="C2592" s="8" t="s">
        <v>11979</v>
      </c>
      <c r="F2592" s="47"/>
      <c r="G2592" s="8">
        <v>18</v>
      </c>
      <c r="H2592" s="8" t="s">
        <v>21</v>
      </c>
      <c r="I2592" s="8" t="s">
        <v>22</v>
      </c>
      <c r="J2592" s="8" t="s">
        <v>22</v>
      </c>
      <c r="K2592" s="8" t="s">
        <v>160</v>
      </c>
      <c r="L2592" s="8" t="s">
        <v>6823</v>
      </c>
      <c r="M2592" s="8" t="s">
        <v>6824</v>
      </c>
      <c r="N2592" s="8" t="s">
        <v>11980</v>
      </c>
      <c r="O2592" s="8">
        <f>8+37/60+25.5/3600</f>
        <v>8.6237500000000011</v>
      </c>
      <c r="P2592" s="8" t="s">
        <v>11981</v>
      </c>
      <c r="Q2592" s="8">
        <f>+(78+1/60+32/3600)</f>
        <v>78.025555555555556</v>
      </c>
      <c r="R2592" s="8">
        <v>12.2</v>
      </c>
      <c r="S2592" s="8">
        <v>12.9</v>
      </c>
      <c r="T2592" s="8">
        <v>0.7</v>
      </c>
      <c r="U2592" s="8">
        <v>12.7</v>
      </c>
      <c r="V2592" s="8">
        <v>3</v>
      </c>
      <c r="W2592" s="8">
        <v>0.6</v>
      </c>
      <c r="X2592" s="8">
        <v>32</v>
      </c>
      <c r="Y2592" s="8" t="s">
        <v>11982</v>
      </c>
      <c r="Z2592" s="8" t="s">
        <v>11983</v>
      </c>
    </row>
    <row r="2593" spans="1:26" x14ac:dyDescent="0.2">
      <c r="A2593" s="8">
        <v>2592</v>
      </c>
      <c r="B2593" s="8" t="s">
        <v>11984</v>
      </c>
      <c r="C2593" s="8" t="s">
        <v>11984</v>
      </c>
      <c r="F2593" s="47" t="s">
        <v>56578</v>
      </c>
      <c r="G2593" s="8">
        <v>15</v>
      </c>
      <c r="H2593" s="8" t="s">
        <v>21</v>
      </c>
      <c r="I2593" s="8" t="s">
        <v>22</v>
      </c>
      <c r="J2593" s="8" t="s">
        <v>22</v>
      </c>
      <c r="K2593" s="8" t="s">
        <v>1136</v>
      </c>
      <c r="L2593" s="8" t="s">
        <v>11551</v>
      </c>
      <c r="M2593" s="8" t="s">
        <v>11552</v>
      </c>
      <c r="N2593" s="8" t="s">
        <v>11985</v>
      </c>
      <c r="O2593" s="8">
        <f>8+27/60+8.1/3600</f>
        <v>8.4522499999999994</v>
      </c>
      <c r="P2593" s="8" t="s">
        <v>11986</v>
      </c>
      <c r="Q2593" s="8">
        <f>+(25+58/60+15/3600)</f>
        <v>25.970833333333331</v>
      </c>
      <c r="R2593" s="8">
        <v>12.3</v>
      </c>
      <c r="S2593" s="8">
        <v>13.3</v>
      </c>
      <c r="T2593" s="8">
        <v>1</v>
      </c>
      <c r="U2593" s="8">
        <v>13.2</v>
      </c>
      <c r="V2593" s="8">
        <v>1.7</v>
      </c>
      <c r="W2593" s="8">
        <v>1.4</v>
      </c>
      <c r="X2593" s="8">
        <v>45</v>
      </c>
      <c r="Y2593" s="8" t="s">
        <v>11987</v>
      </c>
      <c r="Z2593" s="8" t="s">
        <v>11988</v>
      </c>
    </row>
    <row r="2594" spans="1:26" x14ac:dyDescent="0.2">
      <c r="A2594" s="8">
        <v>2593</v>
      </c>
      <c r="B2594" s="8" t="s">
        <v>11989</v>
      </c>
      <c r="C2594" s="8" t="s">
        <v>11989</v>
      </c>
      <c r="F2594" s="47"/>
      <c r="G2594" s="8">
        <v>18</v>
      </c>
      <c r="H2594" s="8" t="s">
        <v>21</v>
      </c>
      <c r="I2594" s="8" t="s">
        <v>22</v>
      </c>
      <c r="J2594" s="8" t="s">
        <v>22</v>
      </c>
      <c r="K2594" s="8" t="s">
        <v>632</v>
      </c>
      <c r="L2594" s="8" t="s">
        <v>11551</v>
      </c>
      <c r="M2594" s="8" t="s">
        <v>11552</v>
      </c>
      <c r="N2594" s="8" t="s">
        <v>11990</v>
      </c>
      <c r="O2594" s="8">
        <f>8+26/60+47.8/3600</f>
        <v>8.4466111111111122</v>
      </c>
      <c r="P2594" s="8" t="s">
        <v>11991</v>
      </c>
      <c r="Q2594" s="8">
        <f>+(17+22/60+28/3600)</f>
        <v>17.374444444444446</v>
      </c>
      <c r="R2594" s="8">
        <v>13.9</v>
      </c>
      <c r="S2594" s="8">
        <v>14.8</v>
      </c>
      <c r="T2594" s="8">
        <v>0.9</v>
      </c>
      <c r="U2594" s="8">
        <v>13</v>
      </c>
      <c r="V2594" s="8">
        <v>0.9</v>
      </c>
      <c r="W2594" s="8">
        <v>0.5</v>
      </c>
      <c r="X2594" s="8">
        <v>172</v>
      </c>
      <c r="Y2594" s="8" t="s">
        <v>266</v>
      </c>
      <c r="Z2594" s="8" t="s">
        <v>267</v>
      </c>
    </row>
    <row r="2595" spans="1:26" x14ac:dyDescent="0.2">
      <c r="A2595" s="8">
        <v>2594</v>
      </c>
      <c r="B2595" s="8" t="s">
        <v>11992</v>
      </c>
      <c r="C2595" s="8" t="s">
        <v>11992</v>
      </c>
      <c r="F2595" s="47"/>
      <c r="G2595" s="8">
        <v>18</v>
      </c>
      <c r="H2595" s="8" t="s">
        <v>21</v>
      </c>
      <c r="I2595" s="8" t="s">
        <v>22</v>
      </c>
      <c r="J2595" s="8" t="s">
        <v>22</v>
      </c>
      <c r="K2595" s="8" t="s">
        <v>37</v>
      </c>
      <c r="L2595" s="8" t="s">
        <v>11551</v>
      </c>
      <c r="M2595" s="8" t="s">
        <v>11552</v>
      </c>
      <c r="N2595" s="8" t="s">
        <v>11993</v>
      </c>
      <c r="O2595" s="8">
        <f>8+27/60+17.1/3600</f>
        <v>8.4547499999999989</v>
      </c>
      <c r="P2595" s="8" t="s">
        <v>11994</v>
      </c>
      <c r="Q2595" s="8">
        <f>+(25+52/60+43/3600)</f>
        <v>25.878611111111113</v>
      </c>
      <c r="R2595" s="8">
        <v>14.1</v>
      </c>
      <c r="S2595" s="8">
        <v>15.1</v>
      </c>
      <c r="T2595" s="8">
        <v>1</v>
      </c>
      <c r="U2595" s="8">
        <v>13</v>
      </c>
      <c r="V2595" s="8">
        <v>0.8</v>
      </c>
      <c r="W2595" s="8">
        <v>0.5</v>
      </c>
      <c r="X2595" s="8">
        <v>27</v>
      </c>
      <c r="Y2595" s="8" t="s">
        <v>47</v>
      </c>
      <c r="Z2595" s="8" t="s">
        <v>48</v>
      </c>
    </row>
    <row r="2596" spans="1:26" x14ac:dyDescent="0.2">
      <c r="A2596" s="8">
        <v>2595</v>
      </c>
      <c r="B2596" s="8" t="s">
        <v>11995</v>
      </c>
      <c r="C2596" s="8" t="s">
        <v>11995</v>
      </c>
      <c r="F2596" s="47" t="s">
        <v>56579</v>
      </c>
      <c r="G2596" s="8">
        <v>15</v>
      </c>
      <c r="H2596" s="8" t="s">
        <v>21</v>
      </c>
      <c r="I2596" s="8" t="s">
        <v>22</v>
      </c>
      <c r="J2596" s="8" t="s">
        <v>22</v>
      </c>
      <c r="K2596" s="8" t="s">
        <v>64</v>
      </c>
      <c r="L2596" s="8" t="s">
        <v>11551</v>
      </c>
      <c r="M2596" s="8" t="s">
        <v>11552</v>
      </c>
      <c r="N2596" s="8" t="s">
        <v>11996</v>
      </c>
      <c r="O2596" s="8">
        <f>8+27/60+41.9/3600</f>
        <v>8.4616388888888885</v>
      </c>
      <c r="P2596" s="8" t="s">
        <v>11997</v>
      </c>
      <c r="Q2596" s="8">
        <f>+(21+28/60+46/3600)</f>
        <v>21.479444444444443</v>
      </c>
      <c r="R2596" s="8">
        <v>12.3</v>
      </c>
      <c r="S2596" s="8">
        <v>12.9</v>
      </c>
      <c r="T2596" s="8">
        <v>0.6</v>
      </c>
      <c r="U2596" s="8">
        <v>14.3</v>
      </c>
      <c r="V2596" s="8">
        <v>3.2</v>
      </c>
      <c r="W2596" s="8">
        <v>2.4</v>
      </c>
      <c r="X2596" s="8">
        <v>45</v>
      </c>
      <c r="Y2596" s="8" t="s">
        <v>11998</v>
      </c>
      <c r="Z2596" s="8" t="s">
        <v>11999</v>
      </c>
    </row>
    <row r="2597" spans="1:26" x14ac:dyDescent="0.2">
      <c r="A2597" s="8">
        <v>2596</v>
      </c>
      <c r="B2597" s="8" t="s">
        <v>12000</v>
      </c>
      <c r="C2597" s="8" t="s">
        <v>12000</v>
      </c>
      <c r="F2597" s="47"/>
      <c r="G2597" s="8">
        <v>18</v>
      </c>
      <c r="H2597" s="8" t="s">
        <v>21</v>
      </c>
      <c r="I2597" s="8" t="s">
        <v>22</v>
      </c>
      <c r="J2597" s="8" t="s">
        <v>22</v>
      </c>
      <c r="K2597" s="8" t="s">
        <v>23</v>
      </c>
      <c r="L2597" s="8" t="s">
        <v>11551</v>
      </c>
      <c r="M2597" s="8" t="s">
        <v>11552</v>
      </c>
      <c r="N2597" s="8" t="s">
        <v>12001</v>
      </c>
      <c r="O2597" s="8">
        <f>8+27/60+26.6/3600</f>
        <v>8.4573888888888877</v>
      </c>
      <c r="P2597" s="8" t="s">
        <v>12002</v>
      </c>
      <c r="Q2597" s="8">
        <f>+(17+17/60+4/3600)</f>
        <v>17.284444444444446</v>
      </c>
      <c r="R2597" s="8">
        <v>13.5</v>
      </c>
      <c r="S2597" s="8">
        <v>14.2</v>
      </c>
      <c r="T2597" s="8">
        <v>0.7</v>
      </c>
      <c r="U2597" s="8">
        <v>13.1</v>
      </c>
      <c r="V2597" s="8">
        <v>1.5</v>
      </c>
      <c r="W2597" s="8">
        <v>0.6</v>
      </c>
      <c r="X2597" s="8">
        <v>65</v>
      </c>
      <c r="Y2597" s="8" t="s">
        <v>679</v>
      </c>
      <c r="Z2597" s="8" t="s">
        <v>680</v>
      </c>
    </row>
    <row r="2598" spans="1:26" x14ac:dyDescent="0.2">
      <c r="A2598" s="8">
        <v>2597</v>
      </c>
      <c r="B2598" s="8" t="s">
        <v>12003</v>
      </c>
      <c r="C2598" s="8" t="s">
        <v>12003</v>
      </c>
      <c r="F2598" s="47"/>
      <c r="G2598" s="8">
        <v>18</v>
      </c>
      <c r="H2598" s="8" t="s">
        <v>21</v>
      </c>
      <c r="I2598" s="8" t="s">
        <v>72</v>
      </c>
      <c r="J2598" s="8" t="s">
        <v>72</v>
      </c>
      <c r="K2598" s="8" t="s">
        <v>73</v>
      </c>
      <c r="L2598" s="8" t="s">
        <v>11551</v>
      </c>
      <c r="M2598" s="8" t="s">
        <v>11552</v>
      </c>
      <c r="N2598" s="8" t="s">
        <v>12004</v>
      </c>
      <c r="O2598" s="8">
        <f>8+29/60+57.4/3600</f>
        <v>8.4992777777777775</v>
      </c>
      <c r="P2598" s="8" t="s">
        <v>12005</v>
      </c>
      <c r="Q2598" s="8">
        <f>+(21+30/60+9/3600)</f>
        <v>21.502500000000001</v>
      </c>
      <c r="R2598" s="8">
        <v>99</v>
      </c>
      <c r="S2598" s="8">
        <v>99</v>
      </c>
      <c r="T2598" s="8">
        <v>99</v>
      </c>
      <c r="U2598" s="8">
        <v>99</v>
      </c>
      <c r="Y2598" s="8" t="s">
        <v>266</v>
      </c>
      <c r="Z2598" s="8" t="s">
        <v>267</v>
      </c>
    </row>
    <row r="2599" spans="1:26" x14ac:dyDescent="0.2">
      <c r="A2599" s="8">
        <v>2598</v>
      </c>
      <c r="B2599" s="8" t="s">
        <v>12006</v>
      </c>
      <c r="C2599" s="8" t="s">
        <v>12006</v>
      </c>
      <c r="F2599" s="47"/>
      <c r="G2599" s="8">
        <v>18</v>
      </c>
      <c r="H2599" s="8" t="s">
        <v>21</v>
      </c>
      <c r="I2599" s="8" t="s">
        <v>22</v>
      </c>
      <c r="J2599" s="8" t="s">
        <v>22</v>
      </c>
      <c r="K2599" s="8" t="s">
        <v>154</v>
      </c>
      <c r="L2599" s="8" t="s">
        <v>11551</v>
      </c>
      <c r="M2599" s="8" t="s">
        <v>11552</v>
      </c>
      <c r="N2599" s="8" t="s">
        <v>12007</v>
      </c>
      <c r="O2599" s="8">
        <f>8+30/60+2.5/3600</f>
        <v>8.500694444444445</v>
      </c>
      <c r="P2599" s="8" t="s">
        <v>12008</v>
      </c>
      <c r="Q2599" s="8">
        <f>+(21+29/60+18/3600)</f>
        <v>21.488333333333333</v>
      </c>
      <c r="R2599" s="8">
        <v>13.6</v>
      </c>
      <c r="S2599" s="8">
        <v>14.6</v>
      </c>
      <c r="T2599" s="8">
        <v>1</v>
      </c>
      <c r="U2599" s="8">
        <v>12.7</v>
      </c>
      <c r="V2599" s="8">
        <v>1.3</v>
      </c>
      <c r="W2599" s="8">
        <v>0.6</v>
      </c>
      <c r="X2599" s="8">
        <v>3</v>
      </c>
      <c r="Y2599" s="8" t="s">
        <v>4065</v>
      </c>
      <c r="Z2599" s="8" t="s">
        <v>4066</v>
      </c>
    </row>
    <row r="2600" spans="1:26" x14ac:dyDescent="0.2">
      <c r="A2600" s="8">
        <v>2599</v>
      </c>
      <c r="B2600" s="8" t="s">
        <v>12009</v>
      </c>
      <c r="C2600" s="8" t="s">
        <v>12009</v>
      </c>
      <c r="F2600" s="47" t="s">
        <v>56580</v>
      </c>
      <c r="G2600" s="8">
        <v>15</v>
      </c>
      <c r="H2600" s="8" t="s">
        <v>21</v>
      </c>
      <c r="I2600" s="8" t="s">
        <v>22</v>
      </c>
      <c r="J2600" s="8" t="s">
        <v>22</v>
      </c>
      <c r="K2600" s="8" t="s">
        <v>91</v>
      </c>
      <c r="L2600" s="8" t="s">
        <v>11551</v>
      </c>
      <c r="M2600" s="8" t="s">
        <v>11552</v>
      </c>
      <c r="N2600" s="8" t="s">
        <v>12010</v>
      </c>
      <c r="O2600" s="8">
        <f>8+32/60+11.2/3600</f>
        <v>8.5364444444444452</v>
      </c>
      <c r="P2600" s="8" t="s">
        <v>12011</v>
      </c>
      <c r="Q2600" s="8">
        <f>+(22+33/60+39/3600)</f>
        <v>22.560833333333335</v>
      </c>
      <c r="R2600" s="8">
        <v>12.2</v>
      </c>
      <c r="S2600" s="8">
        <v>13.1</v>
      </c>
      <c r="T2600" s="8">
        <v>0.9</v>
      </c>
      <c r="U2600" s="8">
        <v>13.3</v>
      </c>
      <c r="V2600" s="8">
        <v>1.9</v>
      </c>
      <c r="W2600" s="8">
        <v>1.7</v>
      </c>
      <c r="X2600" s="8">
        <v>105</v>
      </c>
      <c r="Y2600" s="8" t="s">
        <v>12012</v>
      </c>
      <c r="Z2600" s="8" t="s">
        <v>12013</v>
      </c>
    </row>
    <row r="2601" spans="1:26" x14ac:dyDescent="0.2">
      <c r="A2601" s="8">
        <v>2600</v>
      </c>
      <c r="B2601" s="8" t="s">
        <v>12014</v>
      </c>
      <c r="C2601" s="8" t="s">
        <v>12014</v>
      </c>
      <c r="F2601" s="47"/>
      <c r="G2601" s="8">
        <v>19</v>
      </c>
      <c r="H2601" s="8" t="s">
        <v>21</v>
      </c>
      <c r="I2601" s="8" t="s">
        <v>22</v>
      </c>
      <c r="J2601" s="8" t="s">
        <v>22</v>
      </c>
      <c r="K2601" s="8" t="s">
        <v>23</v>
      </c>
      <c r="L2601" s="8" t="s">
        <v>12015</v>
      </c>
      <c r="M2601" s="8" t="s">
        <v>12016</v>
      </c>
      <c r="N2601" s="8" t="s">
        <v>12017</v>
      </c>
      <c r="O2601" s="8">
        <f>8+34/60+44.8/3600</f>
        <v>8.5791111111111107</v>
      </c>
      <c r="P2601" s="8" t="s">
        <v>12018</v>
      </c>
      <c r="Q2601" s="8">
        <f>+(52+42/60+55/3600)</f>
        <v>52.715277777777779</v>
      </c>
      <c r="R2601" s="8">
        <v>14.2</v>
      </c>
      <c r="S2601" s="8">
        <v>15</v>
      </c>
      <c r="T2601" s="8">
        <v>0.8</v>
      </c>
      <c r="U2601" s="8">
        <v>13.3</v>
      </c>
      <c r="V2601" s="8">
        <v>1.2</v>
      </c>
      <c r="W2601" s="8">
        <v>0.4</v>
      </c>
      <c r="X2601" s="8">
        <v>78</v>
      </c>
      <c r="Y2601" s="8" t="s">
        <v>1694</v>
      </c>
      <c r="Z2601" s="8" t="s">
        <v>1695</v>
      </c>
    </row>
    <row r="2602" spans="1:26" x14ac:dyDescent="0.2">
      <c r="A2602" s="8">
        <v>2601</v>
      </c>
      <c r="B2602" s="8" t="s">
        <v>12019</v>
      </c>
      <c r="C2602" s="8" t="s">
        <v>12019</v>
      </c>
      <c r="F2602" s="47"/>
      <c r="G2602" s="8">
        <v>16</v>
      </c>
      <c r="H2602" s="8" t="s">
        <v>21</v>
      </c>
      <c r="I2602" s="8" t="s">
        <v>22</v>
      </c>
      <c r="J2602" s="8" t="s">
        <v>22</v>
      </c>
      <c r="K2602" s="8" t="s">
        <v>154</v>
      </c>
      <c r="L2602" s="8" t="s">
        <v>10656</v>
      </c>
      <c r="M2602" s="8" t="s">
        <v>10657</v>
      </c>
      <c r="N2602" s="8" t="s">
        <v>12020</v>
      </c>
      <c r="O2602" s="8">
        <f>8+25/60+30.4/3600</f>
        <v>8.4251111111111108</v>
      </c>
      <c r="P2602" s="8" t="s">
        <v>12021</v>
      </c>
      <c r="Q2602" s="8">
        <f>-(68+7/60+4/3600)</f>
        <v>-68.117777777777775</v>
      </c>
      <c r="R2602" s="8">
        <v>12.5</v>
      </c>
      <c r="S2602" s="8">
        <v>13.4</v>
      </c>
      <c r="T2602" s="8">
        <v>0.9</v>
      </c>
      <c r="U2602" s="8">
        <v>13</v>
      </c>
      <c r="V2602" s="8">
        <v>1.6</v>
      </c>
      <c r="W2602" s="8">
        <v>1.1000000000000001</v>
      </c>
      <c r="X2602" s="8">
        <v>120</v>
      </c>
      <c r="Y2602" s="8" t="s">
        <v>1323</v>
      </c>
      <c r="Z2602" s="8" t="s">
        <v>1324</v>
      </c>
    </row>
    <row r="2603" spans="1:26" x14ac:dyDescent="0.2">
      <c r="A2603" s="8">
        <v>2602</v>
      </c>
      <c r="B2603" s="8" t="s">
        <v>12022</v>
      </c>
      <c r="C2603" s="8" t="s">
        <v>12022</v>
      </c>
      <c r="F2603" s="47"/>
      <c r="G2603" s="8">
        <v>16</v>
      </c>
      <c r="H2603" s="8" t="s">
        <v>21</v>
      </c>
      <c r="I2603" s="8" t="s">
        <v>22</v>
      </c>
      <c r="J2603" s="8" t="s">
        <v>22</v>
      </c>
      <c r="K2603" s="8" t="s">
        <v>449</v>
      </c>
      <c r="L2603" s="8" t="s">
        <v>12015</v>
      </c>
      <c r="M2603" s="8" t="s">
        <v>12016</v>
      </c>
      <c r="N2603" s="8" t="s">
        <v>12023</v>
      </c>
      <c r="O2603" s="8">
        <f>8+35/60+4.3/3600</f>
        <v>8.5845277777777778</v>
      </c>
      <c r="P2603" s="8" t="s">
        <v>12024</v>
      </c>
      <c r="Q2603" s="8">
        <f>+(52+49/60+53/3600)</f>
        <v>52.831388888888895</v>
      </c>
      <c r="R2603" s="8">
        <v>14.7</v>
      </c>
      <c r="S2603" s="8">
        <v>15.5</v>
      </c>
      <c r="T2603" s="8">
        <v>0.8</v>
      </c>
      <c r="U2603" s="8">
        <v>11.8</v>
      </c>
      <c r="V2603" s="8">
        <v>0.3</v>
      </c>
      <c r="W2603" s="8">
        <v>0.2</v>
      </c>
      <c r="X2603" s="8">
        <v>30</v>
      </c>
      <c r="Y2603" s="8" t="s">
        <v>12025</v>
      </c>
      <c r="Z2603" s="8" t="s">
        <v>12026</v>
      </c>
    </row>
    <row r="2604" spans="1:26" x14ac:dyDescent="0.2">
      <c r="A2604" s="8">
        <v>2603</v>
      </c>
      <c r="B2604" s="8" t="s">
        <v>12027</v>
      </c>
      <c r="C2604" s="8" t="s">
        <v>12027</v>
      </c>
      <c r="F2604" s="47"/>
      <c r="G2604" s="8">
        <v>18</v>
      </c>
      <c r="H2604" s="8" t="s">
        <v>21</v>
      </c>
      <c r="I2604" s="8" t="s">
        <v>22</v>
      </c>
      <c r="J2604" s="8" t="s">
        <v>22</v>
      </c>
      <c r="K2604" s="8" t="s">
        <v>424</v>
      </c>
      <c r="L2604" s="8" t="s">
        <v>12015</v>
      </c>
      <c r="M2604" s="8" t="s">
        <v>12016</v>
      </c>
      <c r="N2604" s="8" t="s">
        <v>12028</v>
      </c>
      <c r="O2604" s="8">
        <f>8+34/60+31.2/3600</f>
        <v>8.575333333333333</v>
      </c>
      <c r="P2604" s="8" t="s">
        <v>12029</v>
      </c>
      <c r="Q2604" s="8">
        <f>+(52+50/60+25/3600)</f>
        <v>52.840277777777779</v>
      </c>
      <c r="R2604" s="8">
        <v>15.5</v>
      </c>
      <c r="S2604" s="8">
        <v>16.5</v>
      </c>
      <c r="T2604" s="8">
        <v>1</v>
      </c>
      <c r="U2604" s="8">
        <v>12.7</v>
      </c>
      <c r="V2604" s="8">
        <v>0.3</v>
      </c>
      <c r="W2604" s="8">
        <v>0.3</v>
      </c>
      <c r="Y2604" s="8" t="s">
        <v>266</v>
      </c>
      <c r="Z2604" s="8" t="s">
        <v>267</v>
      </c>
    </row>
    <row r="2605" spans="1:26" x14ac:dyDescent="0.2">
      <c r="A2605" s="8">
        <v>2604</v>
      </c>
      <c r="B2605" s="8" t="s">
        <v>12030</v>
      </c>
      <c r="C2605" s="8" t="s">
        <v>12030</v>
      </c>
      <c r="F2605" s="47" t="s">
        <v>56581</v>
      </c>
      <c r="G2605" s="8">
        <v>15</v>
      </c>
      <c r="H2605" s="8" t="s">
        <v>21</v>
      </c>
      <c r="I2605" s="8" t="s">
        <v>22</v>
      </c>
      <c r="J2605" s="8" t="s">
        <v>22</v>
      </c>
      <c r="K2605" s="8" t="s">
        <v>64</v>
      </c>
      <c r="L2605" s="8" t="s">
        <v>11551</v>
      </c>
      <c r="M2605" s="8" t="s">
        <v>11552</v>
      </c>
      <c r="N2605" s="8" t="s">
        <v>12031</v>
      </c>
      <c r="O2605" s="8">
        <f>8+33/60+22.9/3600</f>
        <v>8.5563611111111122</v>
      </c>
      <c r="P2605" s="8" t="s">
        <v>12032</v>
      </c>
      <c r="Q2605" s="8">
        <f>+(29+32/60+19/3600)</f>
        <v>29.538611111111113</v>
      </c>
      <c r="R2605" s="8">
        <v>12.6</v>
      </c>
      <c r="S2605" s="8">
        <v>13.3</v>
      </c>
      <c r="T2605" s="8">
        <v>0.7</v>
      </c>
      <c r="U2605" s="8">
        <v>13.6</v>
      </c>
      <c r="V2605" s="8">
        <v>1.7</v>
      </c>
      <c r="W2605" s="8">
        <v>1.7</v>
      </c>
      <c r="Y2605" s="8" t="s">
        <v>12033</v>
      </c>
      <c r="Z2605" s="8" t="s">
        <v>12034</v>
      </c>
    </row>
    <row r="2606" spans="1:26" x14ac:dyDescent="0.2">
      <c r="A2606" s="8">
        <v>2605</v>
      </c>
      <c r="B2606" s="8" t="s">
        <v>12035</v>
      </c>
      <c r="C2606" s="8" t="s">
        <v>12035</v>
      </c>
      <c r="F2606" s="47"/>
      <c r="G2606" s="8">
        <v>18</v>
      </c>
      <c r="H2606" s="8" t="s">
        <v>21</v>
      </c>
      <c r="I2606" s="8" t="s">
        <v>22</v>
      </c>
      <c r="J2606" s="8" t="s">
        <v>22</v>
      </c>
      <c r="K2606" s="8" t="s">
        <v>12036</v>
      </c>
      <c r="L2606" s="8" t="s">
        <v>12015</v>
      </c>
      <c r="M2606" s="8" t="s">
        <v>12016</v>
      </c>
      <c r="N2606" s="8" t="s">
        <v>12037</v>
      </c>
      <c r="O2606" s="8">
        <f>8+34/60+53.3/3600</f>
        <v>8.5814722222222226</v>
      </c>
      <c r="P2606" s="8" t="s">
        <v>12038</v>
      </c>
      <c r="Q2606" s="8">
        <f>+(52+48/60+16/3600)</f>
        <v>52.804444444444442</v>
      </c>
      <c r="R2606" s="8">
        <v>15.5</v>
      </c>
      <c r="S2606" s="8">
        <v>16.399999999999999</v>
      </c>
      <c r="T2606" s="8">
        <v>0.9</v>
      </c>
      <c r="U2606" s="8">
        <v>13</v>
      </c>
      <c r="V2606" s="8">
        <v>0.4</v>
      </c>
      <c r="W2606" s="8">
        <v>0.3</v>
      </c>
      <c r="X2606" s="8">
        <v>20</v>
      </c>
      <c r="Y2606" s="8" t="s">
        <v>12039</v>
      </c>
      <c r="Z2606" s="8" t="s">
        <v>11239</v>
      </c>
    </row>
    <row r="2607" spans="1:26" x14ac:dyDescent="0.2">
      <c r="A2607" s="8">
        <v>2606</v>
      </c>
      <c r="B2607" s="8" t="s">
        <v>12040</v>
      </c>
      <c r="C2607" s="8" t="s">
        <v>12040</v>
      </c>
      <c r="F2607" s="47"/>
      <c r="G2607" s="8">
        <v>16</v>
      </c>
      <c r="H2607" s="8" t="s">
        <v>21</v>
      </c>
      <c r="I2607" s="8" t="s">
        <v>22</v>
      </c>
      <c r="J2607" s="8" t="s">
        <v>22</v>
      </c>
      <c r="K2607" s="8" t="s">
        <v>396</v>
      </c>
      <c r="L2607" s="8" t="s">
        <v>12015</v>
      </c>
      <c r="M2607" s="8" t="s">
        <v>12016</v>
      </c>
      <c r="N2607" s="8" t="s">
        <v>12041</v>
      </c>
      <c r="O2607" s="8">
        <f>8+35/60+34.4/3600</f>
        <v>8.5928888888888899</v>
      </c>
      <c r="P2607" s="8" t="s">
        <v>12042</v>
      </c>
      <c r="Q2607" s="8">
        <f>+(52+47/60+19/3600)</f>
        <v>52.788611111111109</v>
      </c>
      <c r="R2607" s="8">
        <v>14.3</v>
      </c>
      <c r="S2607" s="8">
        <v>15.1</v>
      </c>
      <c r="T2607" s="8">
        <v>0.8</v>
      </c>
      <c r="U2607" s="8">
        <v>12.5</v>
      </c>
      <c r="V2607" s="8">
        <v>0.7</v>
      </c>
      <c r="W2607" s="8">
        <v>0.3</v>
      </c>
      <c r="X2607" s="8">
        <v>45</v>
      </c>
      <c r="Y2607" s="8" t="s">
        <v>12043</v>
      </c>
      <c r="Z2607" s="8" t="s">
        <v>12044</v>
      </c>
    </row>
    <row r="2608" spans="1:26" x14ac:dyDescent="0.2">
      <c r="A2608" s="8">
        <v>2607</v>
      </c>
      <c r="B2608" s="8" t="s">
        <v>12045</v>
      </c>
      <c r="C2608" s="8" t="s">
        <v>12045</v>
      </c>
      <c r="F2608" s="47"/>
      <c r="G2608" s="8">
        <v>16</v>
      </c>
      <c r="H2608" s="8" t="s">
        <v>21</v>
      </c>
      <c r="I2608" s="8" t="s">
        <v>22</v>
      </c>
      <c r="J2608" s="8" t="s">
        <v>22</v>
      </c>
      <c r="K2608" s="8" t="s">
        <v>160</v>
      </c>
      <c r="L2608" s="8" t="s">
        <v>11551</v>
      </c>
      <c r="M2608" s="8" t="s">
        <v>11552</v>
      </c>
      <c r="N2608" s="8" t="s">
        <v>12046</v>
      </c>
      <c r="O2608" s="8">
        <f>8+33/60+56.6/3600</f>
        <v>8.5657222222222238</v>
      </c>
      <c r="P2608" s="8" t="s">
        <v>12047</v>
      </c>
      <c r="Q2608" s="8">
        <f>+(26+58/60+23/3600)</f>
        <v>26.973055555555554</v>
      </c>
      <c r="R2608" s="8">
        <v>13.7</v>
      </c>
      <c r="S2608" s="8">
        <v>14.4</v>
      </c>
      <c r="T2608" s="8">
        <v>0.7</v>
      </c>
      <c r="U2608" s="8">
        <v>13.7</v>
      </c>
      <c r="V2608" s="8">
        <v>0.9</v>
      </c>
      <c r="W2608" s="8">
        <v>0.8</v>
      </c>
      <c r="X2608" s="8">
        <v>57</v>
      </c>
      <c r="Y2608" s="8" t="s">
        <v>47</v>
      </c>
      <c r="Z2608" s="8" t="s">
        <v>48</v>
      </c>
    </row>
    <row r="2609" spans="1:26" x14ac:dyDescent="0.2">
      <c r="A2609" s="8">
        <v>2608</v>
      </c>
      <c r="B2609" s="8" t="s">
        <v>12048</v>
      </c>
      <c r="C2609" s="8" t="s">
        <v>12048</v>
      </c>
      <c r="F2609" s="47" t="s">
        <v>56582</v>
      </c>
      <c r="G2609" s="8">
        <v>13</v>
      </c>
      <c r="H2609" s="8" t="s">
        <v>21</v>
      </c>
      <c r="I2609" s="8" t="s">
        <v>22</v>
      </c>
      <c r="J2609" s="8" t="s">
        <v>22</v>
      </c>
      <c r="K2609" s="8" t="s">
        <v>218</v>
      </c>
      <c r="L2609" s="8" t="s">
        <v>11551</v>
      </c>
      <c r="M2609" s="8" t="s">
        <v>11552</v>
      </c>
      <c r="N2609" s="8" t="s">
        <v>12049</v>
      </c>
      <c r="O2609" s="8">
        <f>8+35/60+17.2/3600</f>
        <v>8.588111111111111</v>
      </c>
      <c r="P2609" s="8" t="s">
        <v>12050</v>
      </c>
      <c r="Q2609" s="8">
        <f>+(28+28/60+24/3600)</f>
        <v>28.473333333333333</v>
      </c>
      <c r="R2609" s="8">
        <v>12.3</v>
      </c>
      <c r="S2609" s="8">
        <v>13</v>
      </c>
      <c r="T2609" s="8">
        <v>0.7</v>
      </c>
      <c r="U2609" s="8">
        <v>13.4</v>
      </c>
      <c r="V2609" s="8">
        <v>1.9</v>
      </c>
      <c r="W2609" s="8">
        <v>1.2</v>
      </c>
      <c r="X2609" s="8">
        <v>60</v>
      </c>
      <c r="Y2609" s="8" t="s">
        <v>12051</v>
      </c>
      <c r="Z2609" s="8" t="s">
        <v>12052</v>
      </c>
    </row>
    <row r="2610" spans="1:26" x14ac:dyDescent="0.2">
      <c r="A2610" s="8">
        <v>2609</v>
      </c>
      <c r="B2610" s="8" t="s">
        <v>12053</v>
      </c>
      <c r="C2610" s="8" t="s">
        <v>12053</v>
      </c>
      <c r="F2610" s="47"/>
      <c r="G2610" s="8">
        <v>16</v>
      </c>
      <c r="H2610" s="8" t="s">
        <v>21</v>
      </c>
      <c r="I2610" s="8" t="s">
        <v>557</v>
      </c>
      <c r="J2610" s="8" t="s">
        <v>557</v>
      </c>
      <c r="K2610" s="8" t="s">
        <v>557</v>
      </c>
      <c r="L2610" s="8" t="s">
        <v>10135</v>
      </c>
      <c r="M2610" s="8" t="s">
        <v>10136</v>
      </c>
      <c r="N2610" s="8" t="s">
        <v>12054</v>
      </c>
      <c r="O2610" s="8">
        <f>8+29/60+30/3600</f>
        <v>8.4916666666666654</v>
      </c>
      <c r="P2610" s="8" t="s">
        <v>12055</v>
      </c>
      <c r="Q2610" s="8">
        <f>-(61+6/60+36/3600)</f>
        <v>-61.11</v>
      </c>
      <c r="R2610" s="8">
        <v>99</v>
      </c>
      <c r="S2610" s="8">
        <v>99</v>
      </c>
      <c r="T2610" s="8">
        <v>99</v>
      </c>
      <c r="U2610" s="8">
        <v>99</v>
      </c>
      <c r="V2610" s="8">
        <v>6</v>
      </c>
      <c r="Y2610" s="8" t="s">
        <v>12056</v>
      </c>
      <c r="Z2610" s="8" t="s">
        <v>12057</v>
      </c>
    </row>
    <row r="2611" spans="1:26" x14ac:dyDescent="0.2">
      <c r="A2611" s="8">
        <v>2610</v>
      </c>
      <c r="B2611" s="8" t="s">
        <v>12058</v>
      </c>
      <c r="C2611" s="8" t="s">
        <v>12058</v>
      </c>
      <c r="F2611" s="47" t="s">
        <v>56583</v>
      </c>
      <c r="G2611" s="8">
        <v>6.5</v>
      </c>
      <c r="H2611" s="8" t="s">
        <v>21</v>
      </c>
      <c r="I2611" s="8" t="s">
        <v>241</v>
      </c>
      <c r="J2611" s="8" t="s">
        <v>241</v>
      </c>
      <c r="K2611" s="8" t="s">
        <v>241</v>
      </c>
      <c r="L2611" s="8" t="s">
        <v>11765</v>
      </c>
      <c r="M2611" s="8" t="s">
        <v>11766</v>
      </c>
      <c r="N2611" s="8" t="s">
        <v>12059</v>
      </c>
      <c r="O2611" s="8">
        <f>8+33/60+23.4/3600</f>
        <v>8.5565000000000015</v>
      </c>
      <c r="P2611" s="8" t="s">
        <v>12060</v>
      </c>
      <c r="Q2611" s="8">
        <f>-(16+8/60+55/3600)</f>
        <v>-16.148611111111112</v>
      </c>
      <c r="R2611" s="8">
        <v>12.7</v>
      </c>
      <c r="S2611" s="8">
        <v>13.6</v>
      </c>
      <c r="T2611" s="8">
        <v>99</v>
      </c>
      <c r="U2611" s="8">
        <v>99</v>
      </c>
      <c r="V2611" s="8">
        <v>0.7</v>
      </c>
      <c r="Y2611" s="8" t="s">
        <v>12061</v>
      </c>
      <c r="Z2611" s="8" t="s">
        <v>12062</v>
      </c>
    </row>
    <row r="2612" spans="1:26" x14ac:dyDescent="0.2">
      <c r="A2612" s="8">
        <v>2611</v>
      </c>
      <c r="B2612" s="8" t="s">
        <v>12063</v>
      </c>
      <c r="C2612" s="8" t="s">
        <v>12063</v>
      </c>
      <c r="F2612" s="47"/>
      <c r="G2612" s="8">
        <v>18</v>
      </c>
      <c r="H2612" s="8" t="s">
        <v>21</v>
      </c>
      <c r="I2612" s="8" t="s">
        <v>22</v>
      </c>
      <c r="J2612" s="8" t="s">
        <v>22</v>
      </c>
      <c r="K2612" s="8" t="s">
        <v>449</v>
      </c>
      <c r="L2612" s="8" t="s">
        <v>11551</v>
      </c>
      <c r="M2612" s="8" t="s">
        <v>11552</v>
      </c>
      <c r="N2612" s="8" t="s">
        <v>12064</v>
      </c>
      <c r="O2612" s="8">
        <f>8+35/60+29.1/3600</f>
        <v>8.5914166666666674</v>
      </c>
      <c r="P2612" s="8" t="s">
        <v>12065</v>
      </c>
      <c r="Q2612" s="8">
        <f>+(25+1/60+40/3600)</f>
        <v>25.027777777777779</v>
      </c>
      <c r="R2612" s="8">
        <v>14.4</v>
      </c>
      <c r="S2612" s="8">
        <v>15.2</v>
      </c>
      <c r="T2612" s="8">
        <v>0.8</v>
      </c>
      <c r="U2612" s="8">
        <v>12.9</v>
      </c>
      <c r="V2612" s="8">
        <v>0.7</v>
      </c>
      <c r="W2612" s="8">
        <v>0.2</v>
      </c>
      <c r="X2612" s="8">
        <v>42</v>
      </c>
      <c r="Y2612" s="8" t="s">
        <v>12066</v>
      </c>
      <c r="Z2612" s="8" t="s">
        <v>12067</v>
      </c>
    </row>
    <row r="2613" spans="1:26" x14ac:dyDescent="0.2">
      <c r="A2613" s="8">
        <v>2612</v>
      </c>
      <c r="B2613" s="8" t="s">
        <v>12068</v>
      </c>
      <c r="C2613" s="8" t="s">
        <v>12068</v>
      </c>
      <c r="F2613" s="47"/>
      <c r="G2613" s="8">
        <v>16</v>
      </c>
      <c r="H2613" s="8" t="s">
        <v>21</v>
      </c>
      <c r="I2613" s="8" t="s">
        <v>22</v>
      </c>
      <c r="J2613" s="8" t="s">
        <v>22</v>
      </c>
      <c r="K2613" s="8" t="s">
        <v>58</v>
      </c>
      <c r="L2613" s="8" t="s">
        <v>11765</v>
      </c>
      <c r="M2613" s="8" t="s">
        <v>11766</v>
      </c>
      <c r="N2613" s="8" t="s">
        <v>12069</v>
      </c>
      <c r="O2613" s="8">
        <f>8+33/60+50.1/3600</f>
        <v>8.5639166666666675</v>
      </c>
      <c r="P2613" s="8" t="s">
        <v>12070</v>
      </c>
      <c r="Q2613" s="8">
        <f>-(13+10/60+27/3600)</f>
        <v>-13.174166666666666</v>
      </c>
      <c r="R2613" s="8">
        <v>12.7</v>
      </c>
      <c r="S2613" s="8">
        <v>13.7</v>
      </c>
      <c r="T2613" s="8">
        <v>1</v>
      </c>
      <c r="U2613" s="8">
        <v>13.3</v>
      </c>
      <c r="V2613" s="8">
        <v>2.8</v>
      </c>
      <c r="W2613" s="8">
        <v>0.6</v>
      </c>
      <c r="X2613" s="8">
        <v>120</v>
      </c>
      <c r="Y2613" s="8" t="s">
        <v>12071</v>
      </c>
      <c r="Z2613" s="8" t="s">
        <v>12072</v>
      </c>
    </row>
    <row r="2614" spans="1:26" x14ac:dyDescent="0.2">
      <c r="A2614" s="8">
        <v>2613</v>
      </c>
      <c r="B2614" s="8" t="s">
        <v>12073</v>
      </c>
      <c r="C2614" s="8" t="s">
        <v>12073</v>
      </c>
      <c r="F2614" s="47" t="s">
        <v>56584</v>
      </c>
      <c r="G2614" s="8">
        <v>6</v>
      </c>
      <c r="H2614" s="8" t="s">
        <v>21</v>
      </c>
      <c r="I2614" s="8" t="s">
        <v>22</v>
      </c>
      <c r="J2614" s="8" t="s">
        <v>22</v>
      </c>
      <c r="K2614" s="8" t="s">
        <v>23</v>
      </c>
      <c r="L2614" s="8" t="s">
        <v>12074</v>
      </c>
      <c r="M2614" s="8" t="s">
        <v>12075</v>
      </c>
      <c r="N2614" s="8" t="s">
        <v>12076</v>
      </c>
      <c r="O2614" s="8">
        <f>8+33/60+22.8/3600</f>
        <v>8.5563333333333347</v>
      </c>
      <c r="P2614" s="8" t="s">
        <v>12077</v>
      </c>
      <c r="Q2614" s="8">
        <f>-(22+58/60+22/3600)</f>
        <v>-22.972777777777775</v>
      </c>
      <c r="R2614" s="8">
        <v>10.3</v>
      </c>
      <c r="S2614" s="8">
        <v>11.2</v>
      </c>
      <c r="T2614" s="8">
        <v>0.9</v>
      </c>
      <c r="U2614" s="8">
        <v>12.9</v>
      </c>
      <c r="V2614" s="8">
        <v>6.5</v>
      </c>
      <c r="W2614" s="8">
        <v>1.4</v>
      </c>
      <c r="X2614" s="8">
        <v>113</v>
      </c>
      <c r="Y2614" s="8" t="s">
        <v>12078</v>
      </c>
      <c r="Z2614" s="8" t="s">
        <v>12079</v>
      </c>
    </row>
    <row r="2615" spans="1:26" x14ac:dyDescent="0.2">
      <c r="A2615" s="8">
        <v>2614</v>
      </c>
      <c r="B2615" s="8" t="s">
        <v>12080</v>
      </c>
      <c r="C2615" s="8" t="s">
        <v>12080</v>
      </c>
      <c r="F2615" s="47"/>
      <c r="G2615" s="8">
        <v>18</v>
      </c>
      <c r="H2615" s="8" t="s">
        <v>21</v>
      </c>
      <c r="I2615" s="8" t="s">
        <v>22</v>
      </c>
      <c r="J2615" s="8" t="s">
        <v>22</v>
      </c>
      <c r="K2615" s="8" t="s">
        <v>160</v>
      </c>
      <c r="L2615" s="8" t="s">
        <v>12015</v>
      </c>
      <c r="M2615" s="8" t="s">
        <v>12016</v>
      </c>
      <c r="N2615" s="8" t="s">
        <v>12081</v>
      </c>
      <c r="O2615" s="8">
        <f>8+42/60+47.6/3600</f>
        <v>8.7132222222222211</v>
      </c>
      <c r="P2615" s="8" t="s">
        <v>12082</v>
      </c>
      <c r="Q2615" s="8">
        <f>+(72+58/60+36/3600)</f>
        <v>72.976666666666674</v>
      </c>
      <c r="R2615" s="8">
        <v>12.9</v>
      </c>
      <c r="S2615" s="8">
        <v>13.6</v>
      </c>
      <c r="T2615" s="8">
        <v>0.7</v>
      </c>
      <c r="U2615" s="8">
        <v>14</v>
      </c>
      <c r="V2615" s="8">
        <v>2</v>
      </c>
      <c r="W2615" s="8">
        <v>1.6</v>
      </c>
      <c r="X2615" s="8">
        <v>150</v>
      </c>
      <c r="Y2615" s="8" t="s">
        <v>4170</v>
      </c>
      <c r="Z2615" s="8" t="s">
        <v>4171</v>
      </c>
    </row>
    <row r="2616" spans="1:26" x14ac:dyDescent="0.2">
      <c r="A2616" s="8">
        <v>2615</v>
      </c>
      <c r="B2616" s="8" t="s">
        <v>12083</v>
      </c>
      <c r="C2616" s="8" t="s">
        <v>12083</v>
      </c>
      <c r="F2616" s="47"/>
      <c r="G2616" s="8">
        <v>19</v>
      </c>
      <c r="H2616" s="8" t="s">
        <v>21</v>
      </c>
      <c r="I2616" s="8" t="s">
        <v>22</v>
      </c>
      <c r="J2616" s="8" t="s">
        <v>22</v>
      </c>
      <c r="K2616" s="8" t="s">
        <v>218</v>
      </c>
      <c r="L2616" s="8" t="s">
        <v>11765</v>
      </c>
      <c r="M2616" s="8" t="s">
        <v>11766</v>
      </c>
      <c r="N2616" s="8" t="s">
        <v>12084</v>
      </c>
      <c r="O2616" s="8">
        <f>8+34/60+33.1/3600</f>
        <v>8.5758611111111112</v>
      </c>
      <c r="P2616" s="8" t="s">
        <v>12085</v>
      </c>
      <c r="Q2616" s="8">
        <f>-(2+32/60+50/3600)</f>
        <v>-2.5472222222222221</v>
      </c>
      <c r="R2616" s="8">
        <v>12.5</v>
      </c>
      <c r="S2616" s="8">
        <v>13.3</v>
      </c>
      <c r="T2616" s="8">
        <v>0.8</v>
      </c>
      <c r="U2616" s="8">
        <v>13</v>
      </c>
      <c r="V2616" s="8">
        <v>1.9</v>
      </c>
      <c r="W2616" s="8">
        <v>1.1000000000000001</v>
      </c>
      <c r="X2616" s="8">
        <v>40</v>
      </c>
      <c r="Y2616" s="8" t="s">
        <v>12086</v>
      </c>
      <c r="Z2616" s="8" t="s">
        <v>12087</v>
      </c>
    </row>
    <row r="2617" spans="1:26" x14ac:dyDescent="0.2">
      <c r="A2617" s="8">
        <v>2616</v>
      </c>
      <c r="B2617" s="8" t="s">
        <v>12088</v>
      </c>
      <c r="C2617" s="8" t="s">
        <v>12088</v>
      </c>
      <c r="F2617" s="47"/>
      <c r="G2617" s="8">
        <v>19</v>
      </c>
      <c r="H2617" s="8" t="s">
        <v>21</v>
      </c>
      <c r="I2617" s="8" t="s">
        <v>22</v>
      </c>
      <c r="J2617" s="8" t="s">
        <v>22</v>
      </c>
      <c r="K2617" s="8" t="s">
        <v>37</v>
      </c>
      <c r="L2617" s="8" t="s">
        <v>11765</v>
      </c>
      <c r="M2617" s="8" t="s">
        <v>11766</v>
      </c>
      <c r="N2617" s="8" t="s">
        <v>12089</v>
      </c>
      <c r="O2617" s="8">
        <f>8+35/60+34/3600</f>
        <v>8.5927777777777781</v>
      </c>
      <c r="P2617" s="8" t="s">
        <v>12090</v>
      </c>
      <c r="Q2617" s="8">
        <f>-(1+51/60+3/3600)</f>
        <v>-1.8508333333333333</v>
      </c>
      <c r="R2617" s="8">
        <v>12.5</v>
      </c>
      <c r="S2617" s="8">
        <v>13.5</v>
      </c>
      <c r="T2617" s="8">
        <v>1</v>
      </c>
      <c r="U2617" s="8">
        <v>13.2</v>
      </c>
      <c r="V2617" s="8">
        <v>1.1000000000000001</v>
      </c>
      <c r="W2617" s="8">
        <v>0.9</v>
      </c>
      <c r="X2617" s="8">
        <v>163</v>
      </c>
      <c r="Y2617" s="8" t="s">
        <v>12091</v>
      </c>
      <c r="Z2617" s="8" t="s">
        <v>12092</v>
      </c>
    </row>
    <row r="2618" spans="1:26" x14ac:dyDescent="0.2">
      <c r="A2618" s="8">
        <v>2617</v>
      </c>
      <c r="B2618" s="8" t="s">
        <v>12093</v>
      </c>
      <c r="C2618" s="8" t="s">
        <v>12093</v>
      </c>
      <c r="F2618" s="47"/>
      <c r="G2618" s="8">
        <v>19</v>
      </c>
      <c r="H2618" s="8" t="s">
        <v>21</v>
      </c>
      <c r="I2618" s="8" t="s">
        <v>22</v>
      </c>
      <c r="J2618" s="8" t="s">
        <v>22</v>
      </c>
      <c r="K2618" s="8" t="s">
        <v>632</v>
      </c>
      <c r="L2618" s="8" t="s">
        <v>11765</v>
      </c>
      <c r="M2618" s="8" t="s">
        <v>11766</v>
      </c>
      <c r="N2618" s="8" t="s">
        <v>12094</v>
      </c>
      <c r="O2618" s="8">
        <f>8+35/60+38.9/3600</f>
        <v>8.5941388888888888</v>
      </c>
      <c r="P2618" s="8" t="s">
        <v>12095</v>
      </c>
      <c r="Q2618" s="8">
        <f>-(4+5/60+16/3600)</f>
        <v>-4.0877777777777773</v>
      </c>
      <c r="R2618" s="8">
        <v>13.8</v>
      </c>
      <c r="S2618" s="8">
        <v>14.7</v>
      </c>
      <c r="T2618" s="8">
        <v>0.9</v>
      </c>
      <c r="U2618" s="8">
        <v>13.5</v>
      </c>
      <c r="V2618" s="8">
        <v>1.1000000000000001</v>
      </c>
      <c r="W2618" s="8">
        <v>0.8</v>
      </c>
      <c r="X2618" s="8">
        <v>117</v>
      </c>
      <c r="Y2618" s="8" t="s">
        <v>12096</v>
      </c>
      <c r="Z2618" s="8" t="s">
        <v>12097</v>
      </c>
    </row>
    <row r="2619" spans="1:26" x14ac:dyDescent="0.2">
      <c r="A2619" s="8">
        <v>2618</v>
      </c>
      <c r="B2619" s="8" t="s">
        <v>12098</v>
      </c>
      <c r="C2619" s="8" t="s">
        <v>12098</v>
      </c>
      <c r="F2619" s="47" t="s">
        <v>56585</v>
      </c>
      <c r="G2619" s="8">
        <v>15</v>
      </c>
      <c r="H2619" s="8" t="s">
        <v>21</v>
      </c>
      <c r="I2619" s="8" t="s">
        <v>22</v>
      </c>
      <c r="J2619" s="8" t="s">
        <v>22</v>
      </c>
      <c r="K2619" s="8" t="s">
        <v>31</v>
      </c>
      <c r="L2619" s="8" t="s">
        <v>11765</v>
      </c>
      <c r="M2619" s="8" t="s">
        <v>11766</v>
      </c>
      <c r="N2619" s="8" t="s">
        <v>12099</v>
      </c>
      <c r="O2619" s="8">
        <f>8+35/60+53.5/3600</f>
        <v>8.5981944444444451</v>
      </c>
      <c r="P2619" s="8" t="s">
        <v>12100</v>
      </c>
      <c r="Q2619" s="8">
        <f>+(0+42/60+28/3600)</f>
        <v>0.70777777777777773</v>
      </c>
      <c r="R2619" s="8">
        <v>12.1</v>
      </c>
      <c r="S2619" s="8">
        <v>12.9</v>
      </c>
      <c r="T2619" s="8">
        <v>0.8</v>
      </c>
      <c r="U2619" s="8">
        <v>13.6</v>
      </c>
      <c r="V2619" s="8">
        <v>2.5</v>
      </c>
      <c r="W2619" s="8">
        <v>2</v>
      </c>
      <c r="X2619" s="8">
        <v>140</v>
      </c>
      <c r="Y2619" s="8" t="s">
        <v>4306</v>
      </c>
      <c r="Z2619" s="8" t="s">
        <v>4307</v>
      </c>
    </row>
    <row r="2620" spans="1:26" x14ac:dyDescent="0.2">
      <c r="A2620" s="8">
        <v>2619</v>
      </c>
      <c r="B2620" s="8" t="s">
        <v>12101</v>
      </c>
      <c r="C2620" s="8" t="s">
        <v>12101</v>
      </c>
      <c r="F2620" s="47" t="s">
        <v>56586</v>
      </c>
      <c r="G2620" s="8">
        <v>15</v>
      </c>
      <c r="H2620" s="8" t="s">
        <v>21</v>
      </c>
      <c r="I2620" s="8" t="s">
        <v>22</v>
      </c>
      <c r="J2620" s="8" t="s">
        <v>22</v>
      </c>
      <c r="K2620" s="8" t="s">
        <v>85</v>
      </c>
      <c r="L2620" s="8" t="s">
        <v>11551</v>
      </c>
      <c r="M2620" s="8" t="s">
        <v>11552</v>
      </c>
      <c r="N2620" s="8" t="s">
        <v>12102</v>
      </c>
      <c r="O2620" s="8">
        <f>8+37/60+32.6/3600</f>
        <v>8.6257222222222225</v>
      </c>
      <c r="P2620" s="8" t="s">
        <v>12103</v>
      </c>
      <c r="Q2620" s="8">
        <f>+(28+42/60+18/3600)</f>
        <v>28.704999999999998</v>
      </c>
      <c r="R2620" s="8">
        <v>12.4</v>
      </c>
      <c r="S2620" s="8">
        <v>13.2</v>
      </c>
      <c r="T2620" s="8">
        <v>0.8</v>
      </c>
      <c r="U2620" s="8">
        <v>13</v>
      </c>
      <c r="V2620" s="8">
        <v>1.8</v>
      </c>
      <c r="W2620" s="8">
        <v>1.1000000000000001</v>
      </c>
      <c r="X2620" s="8">
        <v>35</v>
      </c>
      <c r="Y2620" s="8" t="s">
        <v>12104</v>
      </c>
      <c r="Z2620" s="8" t="s">
        <v>12105</v>
      </c>
    </row>
    <row r="2621" spans="1:26" x14ac:dyDescent="0.2">
      <c r="A2621" s="8">
        <v>2620</v>
      </c>
      <c r="B2621" s="8" t="s">
        <v>12106</v>
      </c>
      <c r="C2621" s="8" t="s">
        <v>12106</v>
      </c>
      <c r="F2621" s="47"/>
      <c r="G2621" s="8">
        <v>18</v>
      </c>
      <c r="H2621" s="8" t="s">
        <v>21</v>
      </c>
      <c r="I2621" s="8" t="s">
        <v>22</v>
      </c>
      <c r="J2621" s="8" t="s">
        <v>22</v>
      </c>
      <c r="K2621" s="8" t="s">
        <v>476</v>
      </c>
      <c r="L2621" s="8" t="s">
        <v>11551</v>
      </c>
      <c r="M2621" s="8" t="s">
        <v>11552</v>
      </c>
      <c r="N2621" s="8" t="s">
        <v>12107</v>
      </c>
      <c r="O2621" s="8">
        <f>8+37/60+28.3/3600</f>
        <v>8.6245277777777787</v>
      </c>
      <c r="P2621" s="8" t="s">
        <v>12108</v>
      </c>
      <c r="Q2621" s="8">
        <f>+(24+56/60+49/3600)</f>
        <v>24.946944444444444</v>
      </c>
      <c r="R2621" s="8">
        <v>13.5</v>
      </c>
      <c r="S2621" s="8">
        <v>14.4</v>
      </c>
      <c r="T2621" s="8">
        <v>0.9</v>
      </c>
      <c r="U2621" s="8">
        <v>13.4</v>
      </c>
      <c r="V2621" s="8">
        <v>2</v>
      </c>
      <c r="W2621" s="8">
        <v>0.5</v>
      </c>
      <c r="X2621" s="8">
        <v>93</v>
      </c>
      <c r="Y2621" s="8" t="s">
        <v>1664</v>
      </c>
      <c r="Z2621" s="8" t="s">
        <v>1665</v>
      </c>
    </row>
    <row r="2622" spans="1:26" x14ac:dyDescent="0.2">
      <c r="A2622" s="8">
        <v>2621</v>
      </c>
      <c r="B2622" s="8" t="s">
        <v>12109</v>
      </c>
      <c r="C2622" s="8" t="s">
        <v>12109</v>
      </c>
      <c r="F2622" s="47"/>
      <c r="G2622" s="8">
        <v>18</v>
      </c>
      <c r="H2622" s="8" t="s">
        <v>21</v>
      </c>
      <c r="I2622" s="8" t="s">
        <v>22</v>
      </c>
      <c r="J2622" s="8" t="s">
        <v>22</v>
      </c>
      <c r="K2622" s="8" t="s">
        <v>449</v>
      </c>
      <c r="L2622" s="8" t="s">
        <v>11551</v>
      </c>
      <c r="M2622" s="8" t="s">
        <v>11552</v>
      </c>
      <c r="N2622" s="8" t="s">
        <v>12110</v>
      </c>
      <c r="O2622" s="8">
        <f>8+37/60+36.9/3600</f>
        <v>8.6269166666666663</v>
      </c>
      <c r="P2622" s="8" t="s">
        <v>12111</v>
      </c>
      <c r="Q2622" s="8">
        <f>+(25+0/60+1/3600)</f>
        <v>25.000277777777779</v>
      </c>
      <c r="R2622" s="8">
        <v>14.8</v>
      </c>
      <c r="S2622" s="8">
        <v>15.6</v>
      </c>
      <c r="T2622" s="8">
        <v>0.8</v>
      </c>
      <c r="U2622" s="8">
        <v>13.4</v>
      </c>
      <c r="V2622" s="8">
        <v>0.8</v>
      </c>
      <c r="W2622" s="8">
        <v>0.4</v>
      </c>
      <c r="X2622" s="8">
        <v>171</v>
      </c>
      <c r="Y2622" s="8" t="s">
        <v>170</v>
      </c>
      <c r="Z2622" s="8" t="s">
        <v>171</v>
      </c>
    </row>
    <row r="2623" spans="1:26" x14ac:dyDescent="0.2">
      <c r="A2623" s="8">
        <v>2622</v>
      </c>
      <c r="B2623" s="8" t="s">
        <v>12112</v>
      </c>
      <c r="C2623" s="8" t="s">
        <v>12112</v>
      </c>
      <c r="F2623" s="47"/>
      <c r="G2623" s="8">
        <v>18</v>
      </c>
      <c r="H2623" s="8" t="s">
        <v>21</v>
      </c>
      <c r="I2623" s="8" t="s">
        <v>22</v>
      </c>
      <c r="J2623" s="8" t="s">
        <v>22</v>
      </c>
      <c r="K2623" s="8" t="s">
        <v>23</v>
      </c>
      <c r="L2623" s="8" t="s">
        <v>11551</v>
      </c>
      <c r="M2623" s="8" t="s">
        <v>11552</v>
      </c>
      <c r="N2623" s="8" t="s">
        <v>12113</v>
      </c>
      <c r="O2623" s="8">
        <f>8+38/60+10.9/3600</f>
        <v>8.6363611111111105</v>
      </c>
      <c r="P2623" s="8" t="s">
        <v>12114</v>
      </c>
      <c r="Q2623" s="8">
        <f>+(24+53/60+43/3600)</f>
        <v>24.895277777777778</v>
      </c>
      <c r="R2623" s="8">
        <v>14.1</v>
      </c>
      <c r="S2623" s="8">
        <v>14.9</v>
      </c>
      <c r="T2623" s="8">
        <v>0.8</v>
      </c>
      <c r="U2623" s="8">
        <v>12.7</v>
      </c>
      <c r="V2623" s="8">
        <v>0.8</v>
      </c>
      <c r="W2623" s="8">
        <v>0.4</v>
      </c>
      <c r="X2623" s="8">
        <v>45</v>
      </c>
      <c r="Y2623" s="8" t="s">
        <v>895</v>
      </c>
      <c r="Z2623" s="8" t="s">
        <v>896</v>
      </c>
    </row>
    <row r="2624" spans="1:26" x14ac:dyDescent="0.2">
      <c r="A2624" s="8">
        <v>2623</v>
      </c>
      <c r="B2624" s="8" t="s">
        <v>12115</v>
      </c>
      <c r="C2624" s="8" t="s">
        <v>12115</v>
      </c>
      <c r="F2624" s="47"/>
      <c r="G2624" s="8">
        <v>11</v>
      </c>
      <c r="H2624" s="8" t="s">
        <v>21</v>
      </c>
      <c r="I2624" s="8" t="s">
        <v>22</v>
      </c>
      <c r="J2624" s="8" t="s">
        <v>22</v>
      </c>
      <c r="K2624" s="8" t="s">
        <v>79</v>
      </c>
      <c r="L2624" s="8" t="s">
        <v>11551</v>
      </c>
      <c r="M2624" s="8" t="s">
        <v>11552</v>
      </c>
      <c r="N2624" s="8" t="s">
        <v>12116</v>
      </c>
      <c r="O2624" s="8">
        <f>8+38/60+24.1/3600</f>
        <v>8.6400277777777781</v>
      </c>
      <c r="P2624" s="8" t="s">
        <v>12117</v>
      </c>
      <c r="Q2624" s="8">
        <f>+(25+45/60+17/3600)</f>
        <v>25.754722222222224</v>
      </c>
      <c r="R2624" s="8">
        <v>13.4</v>
      </c>
      <c r="S2624" s="8">
        <v>14</v>
      </c>
      <c r="T2624" s="8">
        <v>0.6</v>
      </c>
      <c r="U2624" s="8">
        <v>13.8</v>
      </c>
      <c r="V2624" s="8">
        <v>2.4</v>
      </c>
      <c r="W2624" s="8">
        <v>0.7</v>
      </c>
      <c r="X2624" s="8">
        <v>60</v>
      </c>
      <c r="Y2624" s="8" t="s">
        <v>7011</v>
      </c>
      <c r="Z2624" s="8" t="s">
        <v>7012</v>
      </c>
    </row>
    <row r="2625" spans="1:26" x14ac:dyDescent="0.2">
      <c r="A2625" s="8">
        <v>2624</v>
      </c>
      <c r="B2625" s="8" t="s">
        <v>12118</v>
      </c>
      <c r="C2625" s="8" t="s">
        <v>12118</v>
      </c>
      <c r="F2625" s="47"/>
      <c r="G2625" s="8">
        <v>18</v>
      </c>
      <c r="H2625" s="8" t="s">
        <v>21</v>
      </c>
      <c r="I2625" s="8" t="s">
        <v>22</v>
      </c>
      <c r="J2625" s="8" t="s">
        <v>22</v>
      </c>
      <c r="K2625" s="8" t="s">
        <v>449</v>
      </c>
      <c r="L2625" s="8" t="s">
        <v>11551</v>
      </c>
      <c r="M2625" s="8" t="s">
        <v>11552</v>
      </c>
      <c r="N2625" s="8" t="s">
        <v>12119</v>
      </c>
      <c r="O2625" s="8">
        <f>8+38/60+9.6/3600</f>
        <v>8.6359999999999992</v>
      </c>
      <c r="P2625" s="8" t="s">
        <v>12120</v>
      </c>
      <c r="Q2625" s="8">
        <f>+(19+43/60+34/3600)</f>
        <v>19.726111111111109</v>
      </c>
      <c r="R2625" s="8">
        <v>14.1</v>
      </c>
      <c r="S2625" s="8">
        <v>14.9</v>
      </c>
      <c r="T2625" s="8">
        <v>0.8</v>
      </c>
      <c r="U2625" s="8">
        <v>12.6</v>
      </c>
      <c r="V2625" s="8">
        <v>0.6</v>
      </c>
      <c r="W2625" s="8">
        <v>0.5</v>
      </c>
      <c r="X2625" s="8">
        <v>15</v>
      </c>
      <c r="Y2625" s="8" t="s">
        <v>47</v>
      </c>
      <c r="Z2625" s="8" t="s">
        <v>48</v>
      </c>
    </row>
    <row r="2626" spans="1:26" x14ac:dyDescent="0.2">
      <c r="A2626" s="8">
        <v>2625</v>
      </c>
      <c r="B2626" s="8" t="s">
        <v>12121</v>
      </c>
      <c r="C2626" s="8" t="s">
        <v>12121</v>
      </c>
      <c r="F2626" s="47"/>
      <c r="G2626" s="8">
        <v>18</v>
      </c>
      <c r="H2626" s="8" t="s">
        <v>21</v>
      </c>
      <c r="I2626" s="8" t="s">
        <v>22</v>
      </c>
      <c r="J2626" s="8" t="s">
        <v>22</v>
      </c>
      <c r="K2626" s="8" t="s">
        <v>183</v>
      </c>
      <c r="L2626" s="8" t="s">
        <v>11551</v>
      </c>
      <c r="M2626" s="8" t="s">
        <v>11552</v>
      </c>
      <c r="N2626" s="8" t="s">
        <v>12122</v>
      </c>
      <c r="O2626" s="8">
        <f>8+38/60+23.1/3600</f>
        <v>8.6397499999999994</v>
      </c>
      <c r="P2626" s="8" t="s">
        <v>12123</v>
      </c>
      <c r="Q2626" s="8">
        <f>+(19+42/60+58/3600)</f>
        <v>19.716111111111111</v>
      </c>
      <c r="R2626" s="8">
        <v>13.9</v>
      </c>
      <c r="S2626" s="8">
        <v>14.9</v>
      </c>
      <c r="T2626" s="8">
        <v>1</v>
      </c>
      <c r="U2626" s="8">
        <v>13</v>
      </c>
      <c r="V2626" s="8">
        <v>0.7</v>
      </c>
      <c r="W2626" s="8">
        <v>0.6</v>
      </c>
      <c r="X2626" s="8">
        <v>45</v>
      </c>
      <c r="Y2626" s="8" t="s">
        <v>266</v>
      </c>
      <c r="Z2626" s="8" t="s">
        <v>267</v>
      </c>
    </row>
    <row r="2627" spans="1:26" x14ac:dyDescent="0.2">
      <c r="A2627" s="8">
        <v>2626</v>
      </c>
      <c r="B2627" s="8" t="s">
        <v>12124</v>
      </c>
      <c r="C2627" s="8" t="s">
        <v>12124</v>
      </c>
      <c r="F2627" s="47"/>
      <c r="G2627" s="8">
        <v>13</v>
      </c>
      <c r="H2627" s="8" t="s">
        <v>21</v>
      </c>
      <c r="I2627" s="8" t="s">
        <v>1283</v>
      </c>
      <c r="J2627" s="8" t="s">
        <v>1283</v>
      </c>
      <c r="K2627" s="8" t="s">
        <v>9155</v>
      </c>
      <c r="L2627" s="8" t="s">
        <v>11757</v>
      </c>
      <c r="M2627" s="8" t="s">
        <v>11758</v>
      </c>
      <c r="N2627" s="8" t="s">
        <v>12125</v>
      </c>
      <c r="O2627" s="8">
        <f>8+35/60+31/3600</f>
        <v>8.5919444444444455</v>
      </c>
      <c r="P2627" s="8" t="s">
        <v>12126</v>
      </c>
      <c r="Q2627" s="8">
        <f>-(40+40/60+20/3600)</f>
        <v>-40.672222222222217</v>
      </c>
      <c r="R2627" s="8">
        <v>99</v>
      </c>
      <c r="S2627" s="8">
        <v>99</v>
      </c>
      <c r="T2627" s="8">
        <v>99</v>
      </c>
      <c r="U2627" s="8">
        <v>99</v>
      </c>
      <c r="V2627" s="8">
        <v>5</v>
      </c>
      <c r="W2627" s="8">
        <v>5</v>
      </c>
      <c r="Y2627" s="8" t="s">
        <v>12127</v>
      </c>
      <c r="Z2627" s="8" t="s">
        <v>12128</v>
      </c>
    </row>
    <row r="2628" spans="1:26" x14ac:dyDescent="0.2">
      <c r="A2628" s="8">
        <v>2627</v>
      </c>
      <c r="B2628" s="8" t="s">
        <v>12129</v>
      </c>
      <c r="C2628" s="8" t="s">
        <v>12129</v>
      </c>
      <c r="F2628" s="47" t="s">
        <v>56587</v>
      </c>
      <c r="G2628" s="8">
        <v>3</v>
      </c>
      <c r="H2628" s="8" t="s">
        <v>21</v>
      </c>
      <c r="I2628" s="8" t="s">
        <v>557</v>
      </c>
      <c r="J2628" s="8" t="s">
        <v>557</v>
      </c>
      <c r="K2628" s="8" t="s">
        <v>3217</v>
      </c>
      <c r="L2628" s="8" t="s">
        <v>12074</v>
      </c>
      <c r="M2628" s="8" t="s">
        <v>12075</v>
      </c>
      <c r="N2628" s="8" t="s">
        <v>12130</v>
      </c>
      <c r="O2628" s="8">
        <f>8+37/60+15/3600</f>
        <v>8.6208333333333336</v>
      </c>
      <c r="P2628" s="8" t="s">
        <v>12131</v>
      </c>
      <c r="Q2628" s="8">
        <f>-(29+57/60+18/3600)</f>
        <v>-29.954999999999998</v>
      </c>
      <c r="R2628" s="8">
        <v>8.4</v>
      </c>
      <c r="S2628" s="8">
        <v>99</v>
      </c>
      <c r="T2628" s="8">
        <v>99</v>
      </c>
      <c r="U2628" s="8">
        <v>99</v>
      </c>
      <c r="V2628" s="8">
        <v>9</v>
      </c>
      <c r="Y2628" s="8" t="s">
        <v>12132</v>
      </c>
      <c r="Z2628" s="8" t="s">
        <v>12133</v>
      </c>
    </row>
    <row r="2629" spans="1:26" x14ac:dyDescent="0.2">
      <c r="A2629" s="8">
        <v>2628</v>
      </c>
      <c r="B2629" s="8" t="s">
        <v>12134</v>
      </c>
      <c r="C2629" s="8" t="s">
        <v>12134</v>
      </c>
      <c r="F2629" s="47" t="s">
        <v>56588</v>
      </c>
      <c r="G2629" s="8">
        <v>15</v>
      </c>
      <c r="H2629" s="8" t="s">
        <v>21</v>
      </c>
      <c r="I2629" s="8" t="s">
        <v>22</v>
      </c>
      <c r="J2629" s="8" t="s">
        <v>22</v>
      </c>
      <c r="K2629" s="8" t="s">
        <v>160</v>
      </c>
      <c r="L2629" s="8" t="s">
        <v>11551</v>
      </c>
      <c r="M2629" s="8" t="s">
        <v>11552</v>
      </c>
      <c r="N2629" s="8" t="s">
        <v>12135</v>
      </c>
      <c r="O2629" s="8">
        <f>8+40/60+22.6/3600</f>
        <v>8.6729444444444432</v>
      </c>
      <c r="P2629" s="8" t="s">
        <v>12136</v>
      </c>
      <c r="Q2629" s="8">
        <f>+(23+32/60+23/3600)</f>
        <v>23.539722222222224</v>
      </c>
      <c r="R2629" s="8">
        <v>13.3</v>
      </c>
      <c r="S2629" s="8">
        <v>14</v>
      </c>
      <c r="T2629" s="8">
        <v>0.7</v>
      </c>
      <c r="U2629" s="8">
        <v>13.4</v>
      </c>
      <c r="V2629" s="8">
        <v>1.1000000000000001</v>
      </c>
      <c r="W2629" s="8">
        <v>1.1000000000000001</v>
      </c>
      <c r="Y2629" s="8" t="s">
        <v>745</v>
      </c>
      <c r="Z2629" s="8" t="s">
        <v>746</v>
      </c>
    </row>
    <row r="2630" spans="1:26" x14ac:dyDescent="0.2">
      <c r="A2630" s="8">
        <v>2629</v>
      </c>
      <c r="B2630" s="8" t="s">
        <v>12137</v>
      </c>
      <c r="C2630" s="8" t="s">
        <v>12137</v>
      </c>
      <c r="F2630" s="47" t="s">
        <v>56589</v>
      </c>
      <c r="G2630" s="8">
        <v>18</v>
      </c>
      <c r="H2630" s="8" t="s">
        <v>21</v>
      </c>
      <c r="I2630" s="8" t="s">
        <v>22</v>
      </c>
      <c r="J2630" s="8" t="s">
        <v>22</v>
      </c>
      <c r="K2630" s="8" t="s">
        <v>58</v>
      </c>
      <c r="L2630" s="8" t="s">
        <v>12015</v>
      </c>
      <c r="M2630" s="8" t="s">
        <v>12016</v>
      </c>
      <c r="N2630" s="8" t="s">
        <v>12138</v>
      </c>
      <c r="O2630" s="8">
        <f>8+47/60+15.2/3600</f>
        <v>8.7875555555555547</v>
      </c>
      <c r="P2630" s="8" t="s">
        <v>12139</v>
      </c>
      <c r="Q2630" s="8">
        <f>+(72+59/60+8/3600)</f>
        <v>72.98555555555555</v>
      </c>
      <c r="R2630" s="8">
        <v>12.2</v>
      </c>
      <c r="S2630" s="8">
        <v>13.3</v>
      </c>
      <c r="T2630" s="8">
        <v>1.1000000000000001</v>
      </c>
      <c r="U2630" s="8">
        <v>13.2</v>
      </c>
      <c r="V2630" s="8">
        <v>1.5</v>
      </c>
      <c r="W2630" s="8">
        <v>1.3</v>
      </c>
      <c r="X2630" s="8">
        <v>105</v>
      </c>
      <c r="Y2630" s="8" t="s">
        <v>12012</v>
      </c>
      <c r="Z2630" s="8" t="s">
        <v>12013</v>
      </c>
    </row>
    <row r="2631" spans="1:26" x14ac:dyDescent="0.2">
      <c r="A2631" s="8">
        <v>2630</v>
      </c>
      <c r="B2631" s="8" t="s">
        <v>12140</v>
      </c>
      <c r="C2631" s="8" t="s">
        <v>12140</v>
      </c>
      <c r="F2631" s="47"/>
      <c r="G2631" s="8">
        <v>19</v>
      </c>
      <c r="H2631" s="8" t="s">
        <v>21</v>
      </c>
      <c r="I2631" s="8" t="s">
        <v>329</v>
      </c>
      <c r="J2631" s="8" t="s">
        <v>329</v>
      </c>
      <c r="K2631" s="8" t="s">
        <v>329</v>
      </c>
      <c r="L2631" s="8" t="s">
        <v>12015</v>
      </c>
      <c r="M2631" s="8" t="s">
        <v>12016</v>
      </c>
      <c r="N2631" s="8" t="s">
        <v>12141</v>
      </c>
      <c r="O2631" s="8">
        <f>8+47/60+6/3600</f>
        <v>8.7850000000000001</v>
      </c>
      <c r="P2631" s="8" t="s">
        <v>12142</v>
      </c>
      <c r="Q2631" s="8">
        <f>+(73+0/60+0/3600)</f>
        <v>73</v>
      </c>
      <c r="R2631" s="8">
        <v>99</v>
      </c>
      <c r="S2631" s="8">
        <v>99</v>
      </c>
      <c r="T2631" s="8">
        <v>99</v>
      </c>
      <c r="U2631" s="8">
        <v>99</v>
      </c>
      <c r="Y2631" s="8" t="s">
        <v>3253</v>
      </c>
      <c r="Z2631" s="8" t="s">
        <v>12143</v>
      </c>
    </row>
    <row r="2632" spans="1:26" x14ac:dyDescent="0.2">
      <c r="A2632" s="8">
        <v>2631</v>
      </c>
      <c r="B2632" s="8" t="s">
        <v>12144</v>
      </c>
      <c r="C2632" s="8" t="s">
        <v>12144</v>
      </c>
      <c r="F2632" s="47"/>
      <c r="G2632" s="8">
        <v>19</v>
      </c>
      <c r="H2632" s="8" t="s">
        <v>21</v>
      </c>
      <c r="I2632" s="8" t="s">
        <v>329</v>
      </c>
      <c r="J2632" s="8" t="s">
        <v>329</v>
      </c>
      <c r="K2632" s="8" t="s">
        <v>329</v>
      </c>
      <c r="L2632" s="8" t="s">
        <v>12015</v>
      </c>
      <c r="M2632" s="8" t="s">
        <v>12016</v>
      </c>
      <c r="N2632" s="8" t="s">
        <v>12141</v>
      </c>
      <c r="O2632" s="8">
        <f>8+47/60+6/3600</f>
        <v>8.7850000000000001</v>
      </c>
      <c r="P2632" s="8" t="s">
        <v>12142</v>
      </c>
      <c r="Q2632" s="8">
        <f>+(73+0/60+0/3600)</f>
        <v>73</v>
      </c>
      <c r="R2632" s="8">
        <v>99</v>
      </c>
      <c r="S2632" s="8">
        <v>99</v>
      </c>
      <c r="T2632" s="8">
        <v>99</v>
      </c>
      <c r="U2632" s="8">
        <v>99</v>
      </c>
      <c r="Y2632" s="8" t="s">
        <v>12145</v>
      </c>
      <c r="Z2632" s="8" t="s">
        <v>12143</v>
      </c>
    </row>
    <row r="2633" spans="1:26" x14ac:dyDescent="0.2">
      <c r="A2633" s="8">
        <v>2632</v>
      </c>
      <c r="B2633" s="8" t="s">
        <v>12146</v>
      </c>
      <c r="C2633" s="8" t="s">
        <v>55885</v>
      </c>
      <c r="F2633" s="47"/>
      <c r="G2633" s="8">
        <v>1</v>
      </c>
      <c r="H2633" s="8" t="s">
        <v>11764</v>
      </c>
      <c r="I2633" s="8" t="s">
        <v>557</v>
      </c>
      <c r="J2633" s="8" t="s">
        <v>557</v>
      </c>
      <c r="K2633" s="8" t="s">
        <v>2722</v>
      </c>
      <c r="L2633" s="8" t="s">
        <v>11551</v>
      </c>
      <c r="M2633" s="8" t="s">
        <v>11552</v>
      </c>
      <c r="N2633" s="8" t="s">
        <v>12147</v>
      </c>
      <c r="O2633" s="8">
        <f>8+40/60+24/3600</f>
        <v>8.673333333333332</v>
      </c>
      <c r="P2633" s="8" t="s">
        <v>12148</v>
      </c>
      <c r="Q2633" s="8">
        <f>+(19+40/60+12/3600)</f>
        <v>19.670000000000002</v>
      </c>
      <c r="R2633" s="8">
        <v>3.1</v>
      </c>
      <c r="S2633" s="8">
        <v>3.5</v>
      </c>
      <c r="T2633" s="8">
        <v>99</v>
      </c>
      <c r="U2633" s="8">
        <v>99</v>
      </c>
      <c r="V2633" s="8">
        <v>70</v>
      </c>
      <c r="Y2633" s="8" t="s">
        <v>12149</v>
      </c>
      <c r="Z2633" s="8" t="s">
        <v>12150</v>
      </c>
    </row>
    <row r="2634" spans="1:26" x14ac:dyDescent="0.2">
      <c r="A2634" s="8">
        <v>2633</v>
      </c>
      <c r="B2634" s="8" t="s">
        <v>12151</v>
      </c>
      <c r="C2634" s="8" t="s">
        <v>12151</v>
      </c>
      <c r="F2634" s="47"/>
      <c r="G2634" s="8">
        <v>13</v>
      </c>
      <c r="H2634" s="8" t="s">
        <v>21</v>
      </c>
      <c r="I2634" s="8" t="s">
        <v>22</v>
      </c>
      <c r="J2634" s="8" t="s">
        <v>22</v>
      </c>
      <c r="K2634" s="8" t="s">
        <v>5751</v>
      </c>
      <c r="L2634" s="8" t="s">
        <v>6823</v>
      </c>
      <c r="M2634" s="8" t="s">
        <v>6824</v>
      </c>
      <c r="N2634" s="8" t="s">
        <v>12152</v>
      </c>
      <c r="O2634" s="8">
        <f>8+48/60+4.6/3600</f>
        <v>8.8012777777777789</v>
      </c>
      <c r="P2634" s="8" t="s">
        <v>12153</v>
      </c>
      <c r="Q2634" s="8">
        <f>+(74+5/60+57/3600)</f>
        <v>74.099166666666662</v>
      </c>
      <c r="R2634" s="8">
        <v>12.2</v>
      </c>
      <c r="S2634" s="8">
        <v>12.9</v>
      </c>
      <c r="T2634" s="8">
        <v>0.7</v>
      </c>
      <c r="U2634" s="8">
        <v>13.6</v>
      </c>
      <c r="V2634" s="8">
        <v>2.2999999999999998</v>
      </c>
      <c r="W2634" s="8">
        <v>1.5</v>
      </c>
      <c r="X2634" s="8">
        <v>175</v>
      </c>
      <c r="Y2634" s="8" t="s">
        <v>3253</v>
      </c>
      <c r="Z2634" s="8" t="s">
        <v>3254</v>
      </c>
    </row>
    <row r="2635" spans="1:26" x14ac:dyDescent="0.2">
      <c r="A2635" s="8">
        <v>2634</v>
      </c>
      <c r="B2635" s="8" t="s">
        <v>12154</v>
      </c>
      <c r="C2635" s="8" t="s">
        <v>12154</v>
      </c>
      <c r="F2635" s="47"/>
      <c r="G2635" s="8">
        <v>19</v>
      </c>
      <c r="H2635" s="8" t="s">
        <v>21</v>
      </c>
      <c r="I2635" s="8" t="s">
        <v>22</v>
      </c>
      <c r="J2635" s="8" t="s">
        <v>22</v>
      </c>
      <c r="K2635" s="8" t="s">
        <v>183</v>
      </c>
      <c r="L2635" s="8" t="s">
        <v>6823</v>
      </c>
      <c r="M2635" s="8" t="s">
        <v>6824</v>
      </c>
      <c r="N2635" s="8" t="s">
        <v>12155</v>
      </c>
      <c r="O2635" s="8">
        <f>8+48/60+25.5/3600</f>
        <v>8.8070833333333347</v>
      </c>
      <c r="P2635" s="8" t="s">
        <v>12156</v>
      </c>
      <c r="Q2635" s="8">
        <f>+(73+58/60+2/3600)</f>
        <v>73.967222222222219</v>
      </c>
      <c r="R2635" s="8">
        <v>12</v>
      </c>
      <c r="S2635" s="8">
        <v>12.9</v>
      </c>
      <c r="T2635" s="8">
        <v>0.9</v>
      </c>
      <c r="U2635" s="8">
        <v>13.1</v>
      </c>
      <c r="V2635" s="8">
        <v>1.7</v>
      </c>
      <c r="W2635" s="8">
        <v>1.6</v>
      </c>
      <c r="X2635" s="8">
        <v>51</v>
      </c>
      <c r="Y2635" s="8" t="s">
        <v>12145</v>
      </c>
      <c r="Z2635" s="8" t="s">
        <v>3254</v>
      </c>
    </row>
    <row r="2636" spans="1:26" x14ac:dyDescent="0.2">
      <c r="A2636" s="8">
        <v>2635</v>
      </c>
      <c r="B2636" s="8" t="s">
        <v>12157</v>
      </c>
      <c r="C2636" s="8" t="s">
        <v>12157</v>
      </c>
      <c r="F2636" s="47"/>
      <c r="G2636" s="8">
        <v>13</v>
      </c>
      <c r="H2636" s="8" t="s">
        <v>21</v>
      </c>
      <c r="I2636" s="8" t="s">
        <v>557</v>
      </c>
      <c r="J2636" s="8" t="s">
        <v>557</v>
      </c>
      <c r="K2636" s="8" t="s">
        <v>3082</v>
      </c>
      <c r="L2636" s="8" t="s">
        <v>12074</v>
      </c>
      <c r="M2636" s="8" t="s">
        <v>12075</v>
      </c>
      <c r="N2636" s="8" t="s">
        <v>12158</v>
      </c>
      <c r="O2636" s="8">
        <f>8+38/60+25.9/3600</f>
        <v>8.6405277777777769</v>
      </c>
      <c r="P2636" s="8" t="s">
        <v>12159</v>
      </c>
      <c r="Q2636" s="8">
        <f>-(34+46/60+18/3600)</f>
        <v>-34.771666666666668</v>
      </c>
      <c r="R2636" s="8">
        <v>11.2</v>
      </c>
      <c r="S2636" s="8">
        <v>99</v>
      </c>
      <c r="T2636" s="8">
        <v>99</v>
      </c>
      <c r="U2636" s="8">
        <v>99</v>
      </c>
      <c r="V2636" s="8">
        <v>3</v>
      </c>
      <c r="Y2636" s="8" t="s">
        <v>12160</v>
      </c>
      <c r="Z2636" s="8" t="s">
        <v>12161</v>
      </c>
    </row>
    <row r="2637" spans="1:26" x14ac:dyDescent="0.2">
      <c r="A2637" s="8">
        <v>2636</v>
      </c>
      <c r="B2637" s="8" t="s">
        <v>12162</v>
      </c>
      <c r="C2637" s="8" t="s">
        <v>12162</v>
      </c>
      <c r="F2637" s="47"/>
      <c r="G2637" s="8">
        <v>19</v>
      </c>
      <c r="H2637" s="8" t="s">
        <v>21</v>
      </c>
      <c r="I2637" s="8" t="s">
        <v>22</v>
      </c>
      <c r="J2637" s="8" t="s">
        <v>22</v>
      </c>
      <c r="K2637" s="8" t="s">
        <v>460</v>
      </c>
      <c r="L2637" s="8" t="s">
        <v>6823</v>
      </c>
      <c r="M2637" s="8" t="s">
        <v>6824</v>
      </c>
      <c r="N2637" s="8" t="s">
        <v>12163</v>
      </c>
      <c r="O2637" s="8">
        <f>8+48/60+24.4/3600</f>
        <v>8.8067777777777785</v>
      </c>
      <c r="P2637" s="8" t="s">
        <v>12164</v>
      </c>
      <c r="Q2637" s="8">
        <f>+(73+40/60+18/3600)</f>
        <v>73.671666666666667</v>
      </c>
      <c r="R2637" s="8">
        <v>13.8</v>
      </c>
      <c r="S2637" s="8">
        <v>14.7</v>
      </c>
      <c r="T2637" s="8">
        <v>0.9</v>
      </c>
      <c r="U2637" s="8">
        <v>12.8</v>
      </c>
      <c r="V2637" s="8">
        <v>0.4</v>
      </c>
      <c r="W2637" s="8">
        <v>0.4</v>
      </c>
      <c r="Y2637" s="8" t="s">
        <v>12165</v>
      </c>
      <c r="Z2637" s="8" t="s">
        <v>12166</v>
      </c>
    </row>
    <row r="2638" spans="1:26" x14ac:dyDescent="0.2">
      <c r="A2638" s="8">
        <v>2637</v>
      </c>
      <c r="B2638" s="8" t="s">
        <v>12167</v>
      </c>
      <c r="C2638" s="8" t="s">
        <v>12167</v>
      </c>
      <c r="F2638" s="47"/>
      <c r="G2638" s="8">
        <v>18</v>
      </c>
      <c r="H2638" s="8" t="s">
        <v>21</v>
      </c>
      <c r="I2638" s="8" t="s">
        <v>22</v>
      </c>
      <c r="J2638" s="8" t="s">
        <v>22</v>
      </c>
      <c r="K2638" s="8" t="s">
        <v>476</v>
      </c>
      <c r="L2638" s="8" t="s">
        <v>11551</v>
      </c>
      <c r="M2638" s="8" t="s">
        <v>11552</v>
      </c>
      <c r="N2638" s="8" t="s">
        <v>12168</v>
      </c>
      <c r="O2638" s="8">
        <f>8+41/60+13.4/3600</f>
        <v>8.6870555555555562</v>
      </c>
      <c r="P2638" s="8" t="s">
        <v>12169</v>
      </c>
      <c r="Q2638" s="8">
        <f>+(19+41/60+25/3600)</f>
        <v>19.690277777777776</v>
      </c>
      <c r="R2638" s="8">
        <v>14.7</v>
      </c>
      <c r="S2638" s="8">
        <v>15.5</v>
      </c>
      <c r="T2638" s="8">
        <v>0.8</v>
      </c>
      <c r="U2638" s="8">
        <v>13</v>
      </c>
      <c r="V2638" s="8">
        <v>0.6</v>
      </c>
      <c r="W2638" s="8">
        <v>0.4</v>
      </c>
      <c r="X2638" s="8">
        <v>30</v>
      </c>
      <c r="Y2638" s="8" t="s">
        <v>9230</v>
      </c>
      <c r="Z2638" s="8" t="s">
        <v>9231</v>
      </c>
    </row>
    <row r="2639" spans="1:26" x14ac:dyDescent="0.2">
      <c r="A2639" s="8">
        <v>2638</v>
      </c>
      <c r="B2639" s="8" t="s">
        <v>12170</v>
      </c>
      <c r="C2639" s="8" t="s">
        <v>12170</v>
      </c>
      <c r="F2639" s="47"/>
      <c r="G2639" s="8">
        <v>13</v>
      </c>
      <c r="H2639" s="8" t="s">
        <v>21</v>
      </c>
      <c r="I2639" s="8" t="s">
        <v>22</v>
      </c>
      <c r="J2639" s="8" t="s">
        <v>22</v>
      </c>
      <c r="K2639" s="8" t="s">
        <v>632</v>
      </c>
      <c r="L2639" s="8" t="s">
        <v>10511</v>
      </c>
      <c r="M2639" s="8" t="s">
        <v>10512</v>
      </c>
      <c r="N2639" s="8" t="s">
        <v>12171</v>
      </c>
      <c r="O2639" s="8">
        <f>8+42/60+25.8/3600</f>
        <v>8.7071666666666658</v>
      </c>
      <c r="P2639" s="8" t="s">
        <v>12172</v>
      </c>
      <c r="Q2639" s="8">
        <f>+(37+13/60+15/3600)</f>
        <v>37.220833333333339</v>
      </c>
      <c r="R2639" s="8">
        <v>12.8</v>
      </c>
      <c r="S2639" s="8">
        <v>13.7</v>
      </c>
      <c r="T2639" s="8">
        <v>0.9</v>
      </c>
      <c r="U2639" s="8">
        <v>12.7</v>
      </c>
      <c r="V2639" s="8">
        <v>1.7</v>
      </c>
      <c r="W2639" s="8">
        <v>0.6</v>
      </c>
      <c r="X2639" s="8">
        <v>72</v>
      </c>
      <c r="Y2639" s="8" t="s">
        <v>3932</v>
      </c>
      <c r="Z2639" s="8" t="s">
        <v>3933</v>
      </c>
    </row>
    <row r="2640" spans="1:26" x14ac:dyDescent="0.2">
      <c r="A2640" s="8">
        <v>2639</v>
      </c>
      <c r="B2640" s="8" t="s">
        <v>12173</v>
      </c>
      <c r="C2640" s="8" t="s">
        <v>12173</v>
      </c>
      <c r="F2640" s="47" t="s">
        <v>56590</v>
      </c>
      <c r="G2640" s="8">
        <v>6.5</v>
      </c>
      <c r="H2640" s="8" t="s">
        <v>21</v>
      </c>
      <c r="I2640" s="8" t="s">
        <v>22</v>
      </c>
      <c r="J2640" s="8" t="s">
        <v>22</v>
      </c>
      <c r="K2640" s="8" t="s">
        <v>91</v>
      </c>
      <c r="L2640" s="8" t="s">
        <v>12015</v>
      </c>
      <c r="M2640" s="8" t="s">
        <v>12016</v>
      </c>
      <c r="N2640" s="8" t="s">
        <v>12174</v>
      </c>
      <c r="O2640" s="8">
        <f>8+43/60+37.8/3600</f>
        <v>8.7271666666666672</v>
      </c>
      <c r="P2640" s="8" t="s">
        <v>12175</v>
      </c>
      <c r="Q2640" s="8">
        <f>+(50+12/60+22/3600)</f>
        <v>50.206111111111113</v>
      </c>
      <c r="R2640" s="8">
        <v>11.7</v>
      </c>
      <c r="S2640" s="8">
        <v>12.6</v>
      </c>
      <c r="T2640" s="8">
        <v>0.9</v>
      </c>
      <c r="U2640" s="8">
        <v>12.3</v>
      </c>
      <c r="V2640" s="8">
        <v>1.8</v>
      </c>
      <c r="W2640" s="8">
        <v>1.1000000000000001</v>
      </c>
      <c r="X2640" s="8">
        <v>140</v>
      </c>
      <c r="Y2640" s="8" t="s">
        <v>12176</v>
      </c>
      <c r="Z2640" s="8" t="s">
        <v>12177</v>
      </c>
    </row>
    <row r="2641" spans="1:26" x14ac:dyDescent="0.2">
      <c r="A2641" s="8">
        <v>2640</v>
      </c>
      <c r="B2641" s="8" t="s">
        <v>12178</v>
      </c>
      <c r="C2641" s="8" t="s">
        <v>12178</v>
      </c>
      <c r="F2641" s="47"/>
      <c r="G2641" s="8">
        <v>16</v>
      </c>
      <c r="H2641" s="8" t="s">
        <v>21</v>
      </c>
      <c r="I2641" s="8" t="s">
        <v>22</v>
      </c>
      <c r="J2641" s="8" t="s">
        <v>22</v>
      </c>
      <c r="K2641" s="8" t="s">
        <v>118</v>
      </c>
      <c r="L2641" s="8" t="s">
        <v>10135</v>
      </c>
      <c r="M2641" s="8" t="s">
        <v>10136</v>
      </c>
      <c r="N2641" s="8" t="s">
        <v>12179</v>
      </c>
      <c r="O2641" s="8">
        <f>8+37/60+24.7/3600</f>
        <v>8.6235277777777775</v>
      </c>
      <c r="P2641" s="8" t="s">
        <v>12180</v>
      </c>
      <c r="Q2641" s="8">
        <f>-(55+7/60+25/3600)</f>
        <v>-55.12361111111111</v>
      </c>
      <c r="R2641" s="8">
        <v>11.1</v>
      </c>
      <c r="S2641" s="8">
        <v>12.1</v>
      </c>
      <c r="T2641" s="8">
        <v>1</v>
      </c>
      <c r="U2641" s="8">
        <v>12.6</v>
      </c>
      <c r="V2641" s="8">
        <v>2.2000000000000002</v>
      </c>
      <c r="W2641" s="8">
        <v>1.9</v>
      </c>
      <c r="X2641" s="8">
        <v>104</v>
      </c>
      <c r="Y2641" s="8" t="s">
        <v>12181</v>
      </c>
      <c r="Z2641" s="8" t="s">
        <v>12182</v>
      </c>
    </row>
    <row r="2642" spans="1:26" x14ac:dyDescent="0.2">
      <c r="A2642" s="8">
        <v>2641</v>
      </c>
      <c r="B2642" s="8" t="s">
        <v>12183</v>
      </c>
      <c r="C2642" s="8" t="s">
        <v>12183</v>
      </c>
      <c r="F2642" s="47" t="s">
        <v>56591</v>
      </c>
      <c r="G2642" s="8">
        <v>18</v>
      </c>
      <c r="H2642" s="8" t="s">
        <v>21</v>
      </c>
      <c r="I2642" s="8" t="s">
        <v>22</v>
      </c>
      <c r="J2642" s="8" t="s">
        <v>22</v>
      </c>
      <c r="K2642" s="8" t="s">
        <v>37</v>
      </c>
      <c r="L2642" s="8" t="s">
        <v>12015</v>
      </c>
      <c r="M2642" s="8" t="s">
        <v>12016</v>
      </c>
      <c r="N2642" s="8" t="s">
        <v>12184</v>
      </c>
      <c r="O2642" s="8">
        <f>8+47/60+57.4/3600</f>
        <v>8.7992777777777782</v>
      </c>
      <c r="P2642" s="8" t="s">
        <v>12185</v>
      </c>
      <c r="Q2642" s="8">
        <f>+(72+53/60+47/3600)</f>
        <v>72.896388888888893</v>
      </c>
      <c r="R2642" s="8">
        <v>13.6</v>
      </c>
      <c r="S2642" s="8">
        <v>14.6</v>
      </c>
      <c r="T2642" s="8">
        <v>1</v>
      </c>
      <c r="U2642" s="8">
        <v>13.9</v>
      </c>
      <c r="V2642" s="8">
        <v>1.3</v>
      </c>
      <c r="W2642" s="8">
        <v>1.1000000000000001</v>
      </c>
      <c r="X2642" s="8">
        <v>5</v>
      </c>
      <c r="Y2642" s="8" t="s">
        <v>12012</v>
      </c>
      <c r="Z2642" s="8" t="s">
        <v>12013</v>
      </c>
    </row>
    <row r="2643" spans="1:26" x14ac:dyDescent="0.2">
      <c r="A2643" s="8">
        <v>2642</v>
      </c>
      <c r="B2643" s="8" t="s">
        <v>12186</v>
      </c>
      <c r="C2643" s="8" t="s">
        <v>12186</v>
      </c>
      <c r="F2643" s="47"/>
      <c r="G2643" s="8">
        <v>12</v>
      </c>
      <c r="H2643" s="8" t="s">
        <v>21</v>
      </c>
      <c r="I2643" s="8" t="s">
        <v>22</v>
      </c>
      <c r="J2643" s="8" t="s">
        <v>22</v>
      </c>
      <c r="K2643" s="8" t="s">
        <v>85</v>
      </c>
      <c r="L2643" s="8" t="s">
        <v>11765</v>
      </c>
      <c r="M2643" s="8" t="s">
        <v>11766</v>
      </c>
      <c r="N2643" s="8" t="s">
        <v>12187</v>
      </c>
      <c r="O2643" s="8">
        <f>8+40/60+44.4/3600</f>
        <v>8.6790000000000003</v>
      </c>
      <c r="P2643" s="8" t="s">
        <v>12188</v>
      </c>
      <c r="Q2643" s="8">
        <f>-(4+7/60+20/3600)</f>
        <v>-4.1222222222222218</v>
      </c>
      <c r="R2643" s="8">
        <v>12.6</v>
      </c>
      <c r="S2643" s="8">
        <v>13.4</v>
      </c>
      <c r="T2643" s="8">
        <v>0.8</v>
      </c>
      <c r="U2643" s="8">
        <v>13.9</v>
      </c>
      <c r="V2643" s="8">
        <v>2</v>
      </c>
      <c r="W2643" s="8">
        <v>1.8</v>
      </c>
      <c r="X2643" s="8">
        <v>90</v>
      </c>
      <c r="Y2643" s="8" t="s">
        <v>12189</v>
      </c>
      <c r="Z2643" s="8" t="s">
        <v>12190</v>
      </c>
    </row>
    <row r="2644" spans="1:26" x14ac:dyDescent="0.2">
      <c r="A2644" s="8">
        <v>2643</v>
      </c>
      <c r="B2644" s="8" t="s">
        <v>12191</v>
      </c>
      <c r="C2644" s="8" t="s">
        <v>12191</v>
      </c>
      <c r="F2644" s="47"/>
      <c r="G2644" s="8">
        <v>18</v>
      </c>
      <c r="H2644" s="8" t="s">
        <v>21</v>
      </c>
      <c r="I2644" s="8" t="s">
        <v>329</v>
      </c>
      <c r="J2644" s="8" t="s">
        <v>329</v>
      </c>
      <c r="K2644" s="8" t="s">
        <v>329</v>
      </c>
      <c r="L2644" s="8" t="s">
        <v>11551</v>
      </c>
      <c r="M2644" s="8" t="s">
        <v>11552</v>
      </c>
      <c r="N2644" s="8" t="s">
        <v>12192</v>
      </c>
      <c r="O2644" s="8">
        <f>8+42/60+9/3600</f>
        <v>8.7024999999999988</v>
      </c>
      <c r="P2644" s="8" t="s">
        <v>12193</v>
      </c>
      <c r="Q2644" s="8">
        <f>+(19+31/60+20/3600)</f>
        <v>19.522222222222222</v>
      </c>
      <c r="R2644" s="8">
        <v>99</v>
      </c>
      <c r="S2644" s="8">
        <v>99</v>
      </c>
      <c r="T2644" s="8">
        <v>99</v>
      </c>
      <c r="U2644" s="8">
        <v>99</v>
      </c>
      <c r="Y2644" s="8" t="s">
        <v>12194</v>
      </c>
      <c r="Z2644" s="8" t="s">
        <v>12195</v>
      </c>
    </row>
    <row r="2645" spans="1:26" x14ac:dyDescent="0.2">
      <c r="A2645" s="8">
        <v>2644</v>
      </c>
      <c r="B2645" s="8" t="s">
        <v>12196</v>
      </c>
      <c r="C2645" s="8" t="s">
        <v>12196</v>
      </c>
      <c r="F2645" s="47"/>
      <c r="G2645" s="8">
        <v>19</v>
      </c>
      <c r="H2645" s="8" t="s">
        <v>21</v>
      </c>
      <c r="I2645" s="8" t="s">
        <v>22</v>
      </c>
      <c r="J2645" s="8" t="s">
        <v>22</v>
      </c>
      <c r="K2645" s="8" t="s">
        <v>160</v>
      </c>
      <c r="L2645" s="8" t="s">
        <v>11765</v>
      </c>
      <c r="M2645" s="8" t="s">
        <v>11766</v>
      </c>
      <c r="N2645" s="8" t="s">
        <v>12197</v>
      </c>
      <c r="O2645" s="8">
        <f>8+41/60+32/3600</f>
        <v>8.6922222222222221</v>
      </c>
      <c r="P2645" s="8" t="s">
        <v>12198</v>
      </c>
      <c r="Q2645" s="8">
        <f>+(4+58/60+51/3600)</f>
        <v>4.9808333333333339</v>
      </c>
      <c r="R2645" s="8">
        <v>12.4</v>
      </c>
      <c r="S2645" s="8">
        <v>13.1</v>
      </c>
      <c r="T2645" s="8">
        <v>0.7</v>
      </c>
      <c r="U2645" s="8">
        <v>12.8</v>
      </c>
      <c r="V2645" s="8">
        <v>2.1</v>
      </c>
      <c r="W2645" s="8">
        <v>0.8</v>
      </c>
      <c r="X2645" s="8">
        <v>14</v>
      </c>
      <c r="Y2645" s="8" t="s">
        <v>12199</v>
      </c>
      <c r="Z2645" s="8" t="s">
        <v>12200</v>
      </c>
    </row>
    <row r="2646" spans="1:26" x14ac:dyDescent="0.2">
      <c r="A2646" s="8">
        <v>2645</v>
      </c>
      <c r="B2646" s="8" t="s">
        <v>12201</v>
      </c>
      <c r="C2646" s="8" t="s">
        <v>12201</v>
      </c>
      <c r="F2646" s="47"/>
      <c r="G2646" s="8">
        <v>16</v>
      </c>
      <c r="H2646" s="8" t="s">
        <v>21</v>
      </c>
      <c r="I2646" s="8" t="s">
        <v>557</v>
      </c>
      <c r="J2646" s="8" t="s">
        <v>557</v>
      </c>
      <c r="K2646" s="8" t="s">
        <v>558</v>
      </c>
      <c r="L2646" s="8" t="s">
        <v>11757</v>
      </c>
      <c r="M2646" s="8" t="s">
        <v>11758</v>
      </c>
      <c r="N2646" s="8" t="s">
        <v>12202</v>
      </c>
      <c r="O2646" s="8">
        <f>8+39/60+3.1/3600</f>
        <v>8.6508611111111122</v>
      </c>
      <c r="P2646" s="8" t="s">
        <v>12203</v>
      </c>
      <c r="Q2646" s="8">
        <f>-(46+13/60+38/3600)</f>
        <v>-46.227222222222224</v>
      </c>
      <c r="R2646" s="8">
        <v>7</v>
      </c>
      <c r="S2646" s="8">
        <v>99</v>
      </c>
      <c r="T2646" s="8">
        <v>99</v>
      </c>
      <c r="U2646" s="8">
        <v>99</v>
      </c>
      <c r="V2646" s="8">
        <v>3</v>
      </c>
      <c r="Y2646" s="8" t="s">
        <v>12204</v>
      </c>
      <c r="Z2646" s="8" t="s">
        <v>12205</v>
      </c>
    </row>
    <row r="2647" spans="1:26" x14ac:dyDescent="0.2">
      <c r="A2647" s="8">
        <v>2646</v>
      </c>
      <c r="B2647" s="8" t="s">
        <v>12206</v>
      </c>
      <c r="C2647" s="8" t="s">
        <v>12206</v>
      </c>
      <c r="F2647" s="47"/>
      <c r="G2647" s="8">
        <v>13</v>
      </c>
      <c r="H2647" s="8" t="s">
        <v>21</v>
      </c>
      <c r="I2647" s="8" t="s">
        <v>22</v>
      </c>
      <c r="J2647" s="8" t="s">
        <v>22</v>
      </c>
      <c r="K2647" s="8" t="s">
        <v>224</v>
      </c>
      <c r="L2647" s="8" t="s">
        <v>6823</v>
      </c>
      <c r="M2647" s="8" t="s">
        <v>6824</v>
      </c>
      <c r="N2647" s="8" t="s">
        <v>12207</v>
      </c>
      <c r="O2647" s="8">
        <f>8+50/60+21.8/3600</f>
        <v>8.8393888888888892</v>
      </c>
      <c r="P2647" s="8" t="s">
        <v>12208</v>
      </c>
      <c r="Q2647" s="8">
        <f>+(73+27/60+46/3600)</f>
        <v>73.462777777777774</v>
      </c>
      <c r="R2647" s="8">
        <v>12.1</v>
      </c>
      <c r="S2647" s="8">
        <v>13.1</v>
      </c>
      <c r="T2647" s="8">
        <v>1</v>
      </c>
      <c r="U2647" s="8">
        <v>12.5</v>
      </c>
      <c r="V2647" s="8">
        <v>1.3</v>
      </c>
      <c r="W2647" s="8">
        <v>1.3</v>
      </c>
      <c r="Y2647" s="8" t="s">
        <v>12209</v>
      </c>
      <c r="Z2647" s="8" t="s">
        <v>12210</v>
      </c>
    </row>
    <row r="2648" spans="1:26" x14ac:dyDescent="0.2">
      <c r="A2648" s="8">
        <v>2647</v>
      </c>
      <c r="B2648" s="8" t="s">
        <v>12211</v>
      </c>
      <c r="C2648" s="8" t="s">
        <v>12211</v>
      </c>
      <c r="F2648" s="47"/>
      <c r="G2648" s="8">
        <v>18</v>
      </c>
      <c r="H2648" s="8" t="s">
        <v>21</v>
      </c>
      <c r="I2648" s="8" t="s">
        <v>22</v>
      </c>
      <c r="J2648" s="8" t="s">
        <v>22</v>
      </c>
      <c r="K2648" s="8" t="s">
        <v>424</v>
      </c>
      <c r="L2648" s="8" t="s">
        <v>11551</v>
      </c>
      <c r="M2648" s="8" t="s">
        <v>11552</v>
      </c>
      <c r="N2648" s="8" t="s">
        <v>12212</v>
      </c>
      <c r="O2648" s="8">
        <f>8+42/60+43/3600</f>
        <v>8.7119444444444429</v>
      </c>
      <c r="P2648" s="8" t="s">
        <v>12213</v>
      </c>
      <c r="Q2648" s="8">
        <f>+(19+39/60+4/3600)</f>
        <v>19.65111111111111</v>
      </c>
      <c r="R2648" s="8">
        <v>14.3</v>
      </c>
      <c r="S2648" s="8">
        <v>15.3</v>
      </c>
      <c r="T2648" s="8">
        <v>1</v>
      </c>
      <c r="U2648" s="8">
        <v>13.2</v>
      </c>
      <c r="V2648" s="8">
        <v>0.8</v>
      </c>
      <c r="W2648" s="8">
        <v>0.5</v>
      </c>
      <c r="X2648" s="8">
        <v>18</v>
      </c>
      <c r="Y2648" s="8" t="s">
        <v>651</v>
      </c>
      <c r="Z2648" s="8" t="s">
        <v>12214</v>
      </c>
    </row>
    <row r="2649" spans="1:26" x14ac:dyDescent="0.2">
      <c r="A2649" s="8">
        <v>2648</v>
      </c>
      <c r="B2649" s="8" t="s">
        <v>12215</v>
      </c>
      <c r="C2649" s="8" t="s">
        <v>12215</v>
      </c>
      <c r="F2649" s="47" t="s">
        <v>56592</v>
      </c>
      <c r="G2649" s="8">
        <v>15</v>
      </c>
      <c r="H2649" s="8" t="s">
        <v>21</v>
      </c>
      <c r="I2649" s="8" t="s">
        <v>22</v>
      </c>
      <c r="J2649" s="8" t="s">
        <v>22</v>
      </c>
      <c r="K2649" s="8" t="s">
        <v>91</v>
      </c>
      <c r="L2649" s="8" t="s">
        <v>11551</v>
      </c>
      <c r="M2649" s="8" t="s">
        <v>11552</v>
      </c>
      <c r="N2649" s="8" t="s">
        <v>12216</v>
      </c>
      <c r="O2649" s="8">
        <f>8+42/60+39.8/3600</f>
        <v>8.7110555555555553</v>
      </c>
      <c r="P2649" s="8" t="s">
        <v>12217</v>
      </c>
      <c r="Q2649" s="8">
        <f>+(14+17/60+6/3600)</f>
        <v>14.285</v>
      </c>
      <c r="R2649" s="8">
        <v>11.8</v>
      </c>
      <c r="S2649" s="8">
        <v>12.7</v>
      </c>
      <c r="T2649" s="8">
        <v>0.9</v>
      </c>
      <c r="U2649" s="8">
        <v>13</v>
      </c>
      <c r="V2649" s="8">
        <v>3.2</v>
      </c>
      <c r="W2649" s="8">
        <v>1.1000000000000001</v>
      </c>
      <c r="X2649" s="8">
        <v>148</v>
      </c>
      <c r="Y2649" s="8" t="s">
        <v>12218</v>
      </c>
      <c r="Z2649" s="8" t="s">
        <v>12219</v>
      </c>
    </row>
    <row r="2650" spans="1:26" x14ac:dyDescent="0.2">
      <c r="A2650" s="8">
        <v>2649</v>
      </c>
      <c r="B2650" s="8" t="s">
        <v>12220</v>
      </c>
      <c r="C2650" s="8" t="s">
        <v>12220</v>
      </c>
      <c r="F2650" s="47" t="s">
        <v>56593</v>
      </c>
      <c r="G2650" s="8">
        <v>15</v>
      </c>
      <c r="H2650" s="8" t="s">
        <v>21</v>
      </c>
      <c r="I2650" s="8" t="s">
        <v>22</v>
      </c>
      <c r="J2650" s="8" t="s">
        <v>22</v>
      </c>
      <c r="K2650" s="8" t="s">
        <v>85</v>
      </c>
      <c r="L2650" s="8" t="s">
        <v>10511</v>
      </c>
      <c r="M2650" s="8" t="s">
        <v>10512</v>
      </c>
      <c r="N2650" s="8" t="s">
        <v>12221</v>
      </c>
      <c r="O2650" s="8">
        <f>8+44/60+8.1/3600</f>
        <v>8.7355833333333326</v>
      </c>
      <c r="P2650" s="8" t="s">
        <v>12222</v>
      </c>
      <c r="Q2650" s="8">
        <f>+(34+43/60+3/3600)</f>
        <v>34.717500000000001</v>
      </c>
      <c r="R2650" s="8">
        <v>12.3</v>
      </c>
      <c r="S2650" s="8">
        <v>13.1</v>
      </c>
      <c r="T2650" s="8">
        <v>0.8</v>
      </c>
      <c r="U2650" s="8">
        <v>13</v>
      </c>
      <c r="V2650" s="8">
        <v>1.5</v>
      </c>
      <c r="W2650" s="8">
        <v>1.4</v>
      </c>
      <c r="X2650" s="8">
        <v>90</v>
      </c>
      <c r="Y2650" s="8" t="s">
        <v>12223</v>
      </c>
      <c r="Z2650" s="8" t="s">
        <v>12224</v>
      </c>
    </row>
    <row r="2651" spans="1:26" x14ac:dyDescent="0.2">
      <c r="A2651" s="8">
        <v>2650</v>
      </c>
      <c r="B2651" s="8" t="s">
        <v>12225</v>
      </c>
      <c r="C2651" s="8" t="s">
        <v>12225</v>
      </c>
      <c r="F2651" s="47" t="s">
        <v>56594</v>
      </c>
      <c r="G2651" s="8">
        <v>18</v>
      </c>
      <c r="H2651" s="8" t="s">
        <v>21</v>
      </c>
      <c r="I2651" s="8" t="s">
        <v>22</v>
      </c>
      <c r="J2651" s="8" t="s">
        <v>22</v>
      </c>
      <c r="K2651" s="8" t="s">
        <v>218</v>
      </c>
      <c r="L2651" s="8" t="s">
        <v>12015</v>
      </c>
      <c r="M2651" s="8" t="s">
        <v>12016</v>
      </c>
      <c r="N2651" s="8" t="s">
        <v>12226</v>
      </c>
      <c r="O2651" s="8">
        <f>8+49/60+58.3/3600</f>
        <v>8.8328611111111108</v>
      </c>
      <c r="P2651" s="8" t="s">
        <v>12227</v>
      </c>
      <c r="Q2651" s="8">
        <f>+(70+17/60+58/3600)</f>
        <v>70.299444444444447</v>
      </c>
      <c r="R2651" s="8">
        <v>13.3</v>
      </c>
      <c r="S2651" s="8">
        <v>14.1</v>
      </c>
      <c r="T2651" s="8">
        <v>0.8</v>
      </c>
      <c r="U2651" s="8">
        <v>13.9</v>
      </c>
      <c r="V2651" s="8">
        <v>1.6</v>
      </c>
      <c r="W2651" s="8">
        <v>1.2</v>
      </c>
      <c r="X2651" s="8">
        <v>55</v>
      </c>
      <c r="Y2651" s="8" t="s">
        <v>12228</v>
      </c>
      <c r="Z2651" s="8" t="s">
        <v>12229</v>
      </c>
    </row>
    <row r="2652" spans="1:26" x14ac:dyDescent="0.2">
      <c r="A2652" s="8">
        <v>2651</v>
      </c>
      <c r="B2652" s="8" t="s">
        <v>12230</v>
      </c>
      <c r="C2652" s="8" t="s">
        <v>12230</v>
      </c>
      <c r="F2652" s="47"/>
      <c r="G2652" s="8">
        <v>18</v>
      </c>
      <c r="H2652" s="8" t="s">
        <v>21</v>
      </c>
      <c r="I2652" s="8" t="s">
        <v>22</v>
      </c>
      <c r="J2652" s="8" t="s">
        <v>22</v>
      </c>
      <c r="K2652" s="8" t="s">
        <v>476</v>
      </c>
      <c r="L2652" s="8" t="s">
        <v>11551</v>
      </c>
      <c r="M2652" s="8" t="s">
        <v>11552</v>
      </c>
      <c r="N2652" s="8" t="s">
        <v>12231</v>
      </c>
      <c r="O2652" s="8">
        <f>8+43/60+55.1/3600</f>
        <v>8.7319722222222218</v>
      </c>
      <c r="P2652" s="8" t="s">
        <v>12232</v>
      </c>
      <c r="Q2652" s="8">
        <f>+(11+46/60+16/3600)</f>
        <v>11.771111111111113</v>
      </c>
      <c r="R2652" s="8">
        <v>14.5</v>
      </c>
      <c r="S2652" s="8">
        <v>15.4</v>
      </c>
      <c r="T2652" s="8">
        <v>0.9</v>
      </c>
      <c r="U2652" s="8">
        <v>13</v>
      </c>
      <c r="V2652" s="8">
        <v>0.6</v>
      </c>
      <c r="W2652" s="8">
        <v>0.5</v>
      </c>
      <c r="X2652" s="8">
        <v>114</v>
      </c>
      <c r="Y2652" s="8" t="s">
        <v>905</v>
      </c>
      <c r="Z2652" s="8" t="s">
        <v>906</v>
      </c>
    </row>
    <row r="2653" spans="1:26" x14ac:dyDescent="0.2">
      <c r="A2653" s="8">
        <v>2652</v>
      </c>
      <c r="B2653" s="8" t="s">
        <v>12233</v>
      </c>
      <c r="C2653" s="8" t="s">
        <v>12233</v>
      </c>
      <c r="F2653" s="47"/>
      <c r="G2653" s="8">
        <v>19</v>
      </c>
      <c r="H2653" s="8" t="s">
        <v>21</v>
      </c>
      <c r="I2653" s="8" t="s">
        <v>22</v>
      </c>
      <c r="J2653" s="8" t="s">
        <v>57</v>
      </c>
      <c r="K2653" s="8" t="s">
        <v>50</v>
      </c>
      <c r="L2653" s="8" t="s">
        <v>12234</v>
      </c>
      <c r="M2653" s="8" t="s">
        <v>12235</v>
      </c>
      <c r="N2653" s="8" t="s">
        <v>12236</v>
      </c>
      <c r="O2653" s="8">
        <f>9+42/60+33.2/3600</f>
        <v>9.7092222222222215</v>
      </c>
      <c r="P2653" s="8" t="s">
        <v>12237</v>
      </c>
      <c r="Q2653" s="8">
        <f>-(3+41/60+57/3600)</f>
        <v>-3.6991666666666667</v>
      </c>
      <c r="R2653" s="8">
        <v>10.9</v>
      </c>
      <c r="S2653" s="8">
        <v>11.9</v>
      </c>
      <c r="T2653" s="8">
        <v>1</v>
      </c>
      <c r="U2653" s="8">
        <v>13</v>
      </c>
      <c r="V2653" s="8">
        <v>3.4</v>
      </c>
      <c r="W2653" s="8">
        <v>2.1</v>
      </c>
      <c r="X2653" s="8">
        <v>40</v>
      </c>
      <c r="Y2653" s="8" t="s">
        <v>12238</v>
      </c>
      <c r="Z2653" s="8" t="s">
        <v>12239</v>
      </c>
    </row>
    <row r="2654" spans="1:26" x14ac:dyDescent="0.2">
      <c r="A2654" s="8">
        <v>2653</v>
      </c>
      <c r="B2654" s="8" t="s">
        <v>12240</v>
      </c>
      <c r="C2654" s="8" t="s">
        <v>12240</v>
      </c>
      <c r="F2654" s="47"/>
      <c r="G2654" s="8">
        <v>19</v>
      </c>
      <c r="H2654" s="8" t="s">
        <v>21</v>
      </c>
      <c r="I2654" s="8" t="s">
        <v>72</v>
      </c>
      <c r="J2654" s="8" t="s">
        <v>72</v>
      </c>
      <c r="K2654" s="8" t="s">
        <v>73</v>
      </c>
      <c r="L2654" s="8" t="s">
        <v>6823</v>
      </c>
      <c r="M2654" s="8" t="s">
        <v>6824</v>
      </c>
      <c r="N2654" s="8" t="s">
        <v>12241</v>
      </c>
      <c r="O2654" s="8">
        <f>8+54/60+55.5/3600</f>
        <v>8.9154166666666672</v>
      </c>
      <c r="P2654" s="8" t="s">
        <v>12242</v>
      </c>
      <c r="Q2654" s="8">
        <f>+(78+23/60+39/3600)</f>
        <v>78.394166666666678</v>
      </c>
      <c r="R2654" s="8">
        <v>99</v>
      </c>
      <c r="S2654" s="8">
        <v>99</v>
      </c>
      <c r="T2654" s="8">
        <v>99</v>
      </c>
      <c r="U2654" s="8">
        <v>99</v>
      </c>
      <c r="Y2654" s="8" t="s">
        <v>12243</v>
      </c>
      <c r="Z2654" s="8" t="s">
        <v>12244</v>
      </c>
    </row>
    <row r="2655" spans="1:26" x14ac:dyDescent="0.2">
      <c r="A2655" s="8">
        <v>2654</v>
      </c>
      <c r="B2655" s="8" t="s">
        <v>12245</v>
      </c>
      <c r="C2655" s="8" t="s">
        <v>12245</v>
      </c>
      <c r="F2655" s="47"/>
      <c r="G2655" s="8">
        <v>13</v>
      </c>
      <c r="H2655" s="8" t="s">
        <v>21</v>
      </c>
      <c r="I2655" s="8" t="s">
        <v>22</v>
      </c>
      <c r="J2655" s="8" t="s">
        <v>22</v>
      </c>
      <c r="K2655" s="8" t="s">
        <v>406</v>
      </c>
      <c r="L2655" s="8" t="s">
        <v>12015</v>
      </c>
      <c r="M2655" s="8" t="s">
        <v>12016</v>
      </c>
      <c r="N2655" s="8" t="s">
        <v>12246</v>
      </c>
      <c r="O2655" s="8">
        <f>8+49/60+12/3600</f>
        <v>8.82</v>
      </c>
      <c r="P2655" s="8" t="s">
        <v>12247</v>
      </c>
      <c r="Q2655" s="8">
        <f>+(60+13/60+15/3600)</f>
        <v>60.220833333333339</v>
      </c>
      <c r="R2655" s="8">
        <v>11.8</v>
      </c>
      <c r="S2655" s="8">
        <v>12.7</v>
      </c>
      <c r="T2655" s="8">
        <v>0.9</v>
      </c>
      <c r="U2655" s="8">
        <v>12.9</v>
      </c>
      <c r="V2655" s="8">
        <v>4.2</v>
      </c>
      <c r="W2655" s="8">
        <v>0.8</v>
      </c>
      <c r="X2655" s="8">
        <v>63</v>
      </c>
      <c r="Y2655" s="8" t="s">
        <v>12248</v>
      </c>
      <c r="Z2655" s="8" t="s">
        <v>12249</v>
      </c>
    </row>
    <row r="2656" spans="1:26" x14ac:dyDescent="0.2">
      <c r="A2656" s="8">
        <v>2655</v>
      </c>
      <c r="B2656" s="8" t="s">
        <v>12250</v>
      </c>
      <c r="C2656" s="8" t="s">
        <v>12250</v>
      </c>
      <c r="F2656" s="47" t="s">
        <v>56595</v>
      </c>
      <c r="G2656" s="8">
        <v>6</v>
      </c>
      <c r="H2656" s="8" t="s">
        <v>21</v>
      </c>
      <c r="I2656" s="8" t="s">
        <v>22</v>
      </c>
      <c r="J2656" s="8" t="s">
        <v>22</v>
      </c>
      <c r="K2656" s="8" t="s">
        <v>435</v>
      </c>
      <c r="L2656" s="8" t="s">
        <v>6823</v>
      </c>
      <c r="M2656" s="8" t="s">
        <v>6824</v>
      </c>
      <c r="N2656" s="8" t="s">
        <v>12251</v>
      </c>
      <c r="O2656" s="8">
        <f>8+55/60+37.7/3600</f>
        <v>8.927138888888889</v>
      </c>
      <c r="P2656" s="8" t="s">
        <v>12252</v>
      </c>
      <c r="Q2656" s="8">
        <f>+(78+13/60+25/3600)</f>
        <v>78.223611111111111</v>
      </c>
      <c r="R2656" s="8">
        <v>10.1</v>
      </c>
      <c r="S2656" s="8">
        <v>11</v>
      </c>
      <c r="T2656" s="8">
        <v>0.9</v>
      </c>
      <c r="U2656" s="8">
        <v>13.2</v>
      </c>
      <c r="V2656" s="8">
        <v>4.9000000000000004</v>
      </c>
      <c r="W2656" s="8">
        <v>4.0999999999999996</v>
      </c>
      <c r="X2656" s="8">
        <v>85</v>
      </c>
      <c r="Y2656" s="8" t="s">
        <v>12253</v>
      </c>
      <c r="Z2656" s="8" t="s">
        <v>12254</v>
      </c>
    </row>
    <row r="2657" spans="1:26" x14ac:dyDescent="0.2">
      <c r="A2657" s="8">
        <v>2656</v>
      </c>
      <c r="B2657" s="8" t="s">
        <v>12255</v>
      </c>
      <c r="C2657" s="8" t="s">
        <v>12255</v>
      </c>
      <c r="F2657" s="47"/>
      <c r="G2657" s="8">
        <v>16</v>
      </c>
      <c r="H2657" s="8" t="s">
        <v>21</v>
      </c>
      <c r="I2657" s="8" t="s">
        <v>22</v>
      </c>
      <c r="J2657" s="8" t="s">
        <v>22</v>
      </c>
      <c r="K2657" s="8" t="s">
        <v>58</v>
      </c>
      <c r="L2657" s="8" t="s">
        <v>12015</v>
      </c>
      <c r="M2657" s="8" t="s">
        <v>12016</v>
      </c>
      <c r="N2657" s="8" t="s">
        <v>12256</v>
      </c>
      <c r="O2657" s="8">
        <f>8+47/60+53.1/3600</f>
        <v>8.7980833333333326</v>
      </c>
      <c r="P2657" s="8" t="s">
        <v>12257</v>
      </c>
      <c r="Q2657" s="8">
        <f>+(53+52/60+34/3600)</f>
        <v>53.876111111111115</v>
      </c>
      <c r="R2657" s="8">
        <v>13.8</v>
      </c>
      <c r="S2657" s="8">
        <v>14.9</v>
      </c>
      <c r="T2657" s="8">
        <v>1.1000000000000001</v>
      </c>
      <c r="U2657" s="8">
        <v>14.3</v>
      </c>
      <c r="V2657" s="8">
        <v>1</v>
      </c>
      <c r="W2657" s="8">
        <v>1</v>
      </c>
      <c r="Y2657" s="8" t="s">
        <v>12258</v>
      </c>
      <c r="Z2657" s="8" t="s">
        <v>12259</v>
      </c>
    </row>
    <row r="2658" spans="1:26" x14ac:dyDescent="0.2">
      <c r="A2658" s="8">
        <v>2657</v>
      </c>
      <c r="B2658" s="8" t="s">
        <v>12260</v>
      </c>
      <c r="C2658" s="8" t="s">
        <v>12260</v>
      </c>
      <c r="F2658" s="47"/>
      <c r="G2658" s="8">
        <v>19</v>
      </c>
      <c r="H2658" s="8" t="s">
        <v>21</v>
      </c>
      <c r="I2658" s="8" t="s">
        <v>22</v>
      </c>
      <c r="J2658" s="8" t="s">
        <v>22</v>
      </c>
      <c r="K2658" s="8" t="s">
        <v>3523</v>
      </c>
      <c r="L2658" s="8" t="s">
        <v>11551</v>
      </c>
      <c r="M2658" s="8" t="s">
        <v>11552</v>
      </c>
      <c r="N2658" s="8" t="s">
        <v>12261</v>
      </c>
      <c r="O2658" s="8">
        <f>8+45/60+15.8/3600</f>
        <v>8.7543888888888883</v>
      </c>
      <c r="P2658" s="8" t="s">
        <v>12262</v>
      </c>
      <c r="Q2658" s="8">
        <f>+(9+38/60+45/3600)</f>
        <v>9.6458333333333321</v>
      </c>
      <c r="R2658" s="8">
        <v>13</v>
      </c>
      <c r="S2658" s="8">
        <v>13.6</v>
      </c>
      <c r="T2658" s="8">
        <v>0.6</v>
      </c>
      <c r="U2658" s="8">
        <v>12.7</v>
      </c>
      <c r="V2658" s="8">
        <v>1</v>
      </c>
      <c r="W2658" s="8">
        <v>0.9</v>
      </c>
      <c r="X2658" s="8">
        <v>153</v>
      </c>
      <c r="Y2658" s="8" t="s">
        <v>12263</v>
      </c>
      <c r="Z2658" s="8" t="s">
        <v>12264</v>
      </c>
    </row>
    <row r="2659" spans="1:26" x14ac:dyDescent="0.2">
      <c r="A2659" s="8">
        <v>2658</v>
      </c>
      <c r="B2659" s="8" t="s">
        <v>12265</v>
      </c>
      <c r="C2659" s="8" t="s">
        <v>12265</v>
      </c>
      <c r="F2659" s="47"/>
      <c r="G2659" s="8">
        <v>13</v>
      </c>
      <c r="H2659" s="8" t="s">
        <v>21</v>
      </c>
      <c r="I2659" s="8" t="s">
        <v>557</v>
      </c>
      <c r="J2659" s="8" t="s">
        <v>557</v>
      </c>
      <c r="K2659" s="8" t="s">
        <v>2722</v>
      </c>
      <c r="L2659" s="8" t="s">
        <v>12074</v>
      </c>
      <c r="M2659" s="8" t="s">
        <v>12075</v>
      </c>
      <c r="N2659" s="8" t="s">
        <v>12266</v>
      </c>
      <c r="O2659" s="8">
        <f>8+43/60+27.3/3600</f>
        <v>8.7242499999999996</v>
      </c>
      <c r="P2659" s="8" t="s">
        <v>12267</v>
      </c>
      <c r="Q2659" s="8">
        <f>-(32+39/60+22/3600)</f>
        <v>-32.656111111111109</v>
      </c>
      <c r="R2659" s="8">
        <v>9.1999999999999993</v>
      </c>
      <c r="S2659" s="8">
        <v>99</v>
      </c>
      <c r="T2659" s="8">
        <v>99</v>
      </c>
      <c r="U2659" s="8">
        <v>99</v>
      </c>
      <c r="V2659" s="8">
        <v>10</v>
      </c>
      <c r="Y2659" s="8" t="s">
        <v>12268</v>
      </c>
      <c r="Z2659" s="8" t="s">
        <v>12269</v>
      </c>
    </row>
    <row r="2660" spans="1:26" x14ac:dyDescent="0.2">
      <c r="A2660" s="8">
        <v>2659</v>
      </c>
      <c r="B2660" s="8" t="s">
        <v>12270</v>
      </c>
      <c r="C2660" s="8" t="s">
        <v>12270</v>
      </c>
      <c r="F2660" s="47"/>
      <c r="G2660" s="8">
        <v>8</v>
      </c>
      <c r="H2660" s="8" t="s">
        <v>21</v>
      </c>
      <c r="I2660" s="8" t="s">
        <v>557</v>
      </c>
      <c r="J2660" s="8" t="s">
        <v>557</v>
      </c>
      <c r="K2660" s="8" t="s">
        <v>8805</v>
      </c>
      <c r="L2660" s="8" t="s">
        <v>11757</v>
      </c>
      <c r="M2660" s="8" t="s">
        <v>11758</v>
      </c>
      <c r="N2660" s="8" t="s">
        <v>12271</v>
      </c>
      <c r="O2660" s="8">
        <f>8+42/60+36/3600</f>
        <v>8.7099999999999991</v>
      </c>
      <c r="P2660" s="8" t="s">
        <v>12272</v>
      </c>
      <c r="Q2660" s="8">
        <f>-(45+0/60+0/3600)</f>
        <v>-45</v>
      </c>
      <c r="R2660" s="8">
        <v>8.6</v>
      </c>
      <c r="S2660" s="8">
        <v>99</v>
      </c>
      <c r="T2660" s="8">
        <v>99</v>
      </c>
      <c r="U2660" s="8">
        <v>99</v>
      </c>
      <c r="V2660" s="8">
        <v>15</v>
      </c>
      <c r="Y2660" s="8" t="s">
        <v>12273</v>
      </c>
      <c r="Z2660" s="8" t="s">
        <v>12274</v>
      </c>
    </row>
    <row r="2661" spans="1:26" x14ac:dyDescent="0.2">
      <c r="A2661" s="8">
        <v>2660</v>
      </c>
      <c r="B2661" s="8" t="s">
        <v>12275</v>
      </c>
      <c r="C2661" s="8" t="s">
        <v>12275</v>
      </c>
      <c r="F2661" s="47"/>
      <c r="G2661" s="8">
        <v>13</v>
      </c>
      <c r="H2661" s="8" t="s">
        <v>21</v>
      </c>
      <c r="I2661" s="8" t="s">
        <v>557</v>
      </c>
      <c r="J2661" s="8" t="s">
        <v>557</v>
      </c>
      <c r="K2661" s="8" t="s">
        <v>2158</v>
      </c>
      <c r="L2661" s="8" t="s">
        <v>11757</v>
      </c>
      <c r="M2661" s="8" t="s">
        <v>11758</v>
      </c>
      <c r="N2661" s="8" t="s">
        <v>12276</v>
      </c>
      <c r="O2661" s="8">
        <f>8+42/60+38/3600</f>
        <v>8.7105555555555547</v>
      </c>
      <c r="P2661" s="8" t="s">
        <v>12277</v>
      </c>
      <c r="Q2661" s="8">
        <f>-(47+12/60+2/3600)</f>
        <v>-47.20055555555556</v>
      </c>
      <c r="R2661" s="8">
        <v>8.8000000000000007</v>
      </c>
      <c r="S2661" s="8">
        <v>99</v>
      </c>
      <c r="T2661" s="8">
        <v>99</v>
      </c>
      <c r="U2661" s="8">
        <v>99</v>
      </c>
      <c r="V2661" s="8">
        <v>3</v>
      </c>
      <c r="Y2661" s="8" t="s">
        <v>12278</v>
      </c>
      <c r="Z2661" s="8" t="s">
        <v>12279</v>
      </c>
    </row>
    <row r="2662" spans="1:26" x14ac:dyDescent="0.2">
      <c r="A2662" s="8">
        <v>2661</v>
      </c>
      <c r="B2662" s="8" t="s">
        <v>12280</v>
      </c>
      <c r="C2662" s="8" t="s">
        <v>12280</v>
      </c>
      <c r="F2662" s="47" t="s">
        <v>56596</v>
      </c>
      <c r="G2662" s="8">
        <v>15</v>
      </c>
      <c r="H2662" s="8" t="s">
        <v>21</v>
      </c>
      <c r="I2662" s="8" t="s">
        <v>22</v>
      </c>
      <c r="J2662" s="8" t="s">
        <v>22</v>
      </c>
      <c r="K2662" s="8" t="s">
        <v>160</v>
      </c>
      <c r="L2662" s="8" t="s">
        <v>11551</v>
      </c>
      <c r="M2662" s="8" t="s">
        <v>11552</v>
      </c>
      <c r="N2662" s="8" t="s">
        <v>12281</v>
      </c>
      <c r="O2662" s="8">
        <f>8+45/60+59.5/3600</f>
        <v>8.7665277777777781</v>
      </c>
      <c r="P2662" s="8" t="s">
        <v>12282</v>
      </c>
      <c r="Q2662" s="8">
        <f>+(12+37/60+11/3600)</f>
        <v>12.619722222222222</v>
      </c>
      <c r="R2662" s="8">
        <v>12.8</v>
      </c>
      <c r="S2662" s="8">
        <v>13.5</v>
      </c>
      <c r="T2662" s="8">
        <v>0.7</v>
      </c>
      <c r="U2662" s="8">
        <v>13.3</v>
      </c>
      <c r="V2662" s="8">
        <v>1.4</v>
      </c>
      <c r="W2662" s="8">
        <v>1.3</v>
      </c>
      <c r="X2662" s="8">
        <v>60</v>
      </c>
      <c r="Y2662" s="8" t="s">
        <v>12283</v>
      </c>
      <c r="Z2662" s="8" t="s">
        <v>12284</v>
      </c>
    </row>
    <row r="2663" spans="1:26" x14ac:dyDescent="0.2">
      <c r="A2663" s="8">
        <v>2662</v>
      </c>
      <c r="B2663" s="8" t="s">
        <v>12285</v>
      </c>
      <c r="C2663" s="8" t="s">
        <v>12285</v>
      </c>
      <c r="F2663" s="47"/>
      <c r="G2663" s="8">
        <v>16</v>
      </c>
      <c r="H2663" s="8" t="s">
        <v>21</v>
      </c>
      <c r="I2663" s="8" t="s">
        <v>22</v>
      </c>
      <c r="J2663" s="8" t="s">
        <v>22</v>
      </c>
      <c r="K2663" s="8" t="s">
        <v>183</v>
      </c>
      <c r="L2663" s="8" t="s">
        <v>11765</v>
      </c>
      <c r="M2663" s="8" t="s">
        <v>11766</v>
      </c>
      <c r="N2663" s="8" t="s">
        <v>12286</v>
      </c>
      <c r="O2663" s="8">
        <f>8+45/60+32/3600</f>
        <v>8.7588888888888885</v>
      </c>
      <c r="P2663" s="8" t="s">
        <v>12287</v>
      </c>
      <c r="Q2663" s="8">
        <f>-(15+7/60+16/3600)</f>
        <v>-15.121111111111112</v>
      </c>
      <c r="R2663" s="8">
        <v>12.8</v>
      </c>
      <c r="S2663" s="8">
        <v>13.8</v>
      </c>
      <c r="T2663" s="8">
        <v>1</v>
      </c>
      <c r="U2663" s="8">
        <v>13.2</v>
      </c>
      <c r="V2663" s="8">
        <v>1.2</v>
      </c>
      <c r="W2663" s="8">
        <v>1.1000000000000001</v>
      </c>
      <c r="X2663" s="8">
        <v>0</v>
      </c>
      <c r="Y2663" s="8" t="s">
        <v>12288</v>
      </c>
      <c r="Z2663" s="8" t="s">
        <v>12289</v>
      </c>
    </row>
    <row r="2664" spans="1:26" x14ac:dyDescent="0.2">
      <c r="A2664" s="8">
        <v>2663</v>
      </c>
      <c r="B2664" s="8" t="s">
        <v>12290</v>
      </c>
      <c r="C2664" s="8" t="s">
        <v>12290</v>
      </c>
      <c r="F2664" s="47"/>
      <c r="G2664" s="8">
        <v>19</v>
      </c>
      <c r="H2664" s="8" t="s">
        <v>21</v>
      </c>
      <c r="I2664" s="8" t="s">
        <v>22</v>
      </c>
      <c r="J2664" s="8" t="s">
        <v>22</v>
      </c>
      <c r="K2664" s="8" t="s">
        <v>382</v>
      </c>
      <c r="L2664" s="8" t="s">
        <v>12074</v>
      </c>
      <c r="M2664" s="8" t="s">
        <v>12075</v>
      </c>
      <c r="N2664" s="8" t="s">
        <v>12291</v>
      </c>
      <c r="O2664" s="8">
        <f>8+45/60+8.3/3600</f>
        <v>8.7523055555555551</v>
      </c>
      <c r="P2664" s="8" t="s">
        <v>12292</v>
      </c>
      <c r="Q2664" s="8">
        <f>-(33+47/60+42/3600)</f>
        <v>-33.794999999999995</v>
      </c>
      <c r="R2664" s="8">
        <v>10.6</v>
      </c>
      <c r="S2664" s="8">
        <v>11.6</v>
      </c>
      <c r="T2664" s="8">
        <v>1</v>
      </c>
      <c r="U2664" s="8">
        <v>12.9</v>
      </c>
      <c r="V2664" s="8">
        <v>3.5</v>
      </c>
      <c r="W2664" s="8">
        <v>2.4</v>
      </c>
      <c r="X2664" s="8">
        <v>110</v>
      </c>
      <c r="Y2664" s="8" t="s">
        <v>10215</v>
      </c>
      <c r="Z2664" s="8" t="s">
        <v>10216</v>
      </c>
    </row>
    <row r="2665" spans="1:26" x14ac:dyDescent="0.2">
      <c r="A2665" s="8">
        <v>2664</v>
      </c>
      <c r="B2665" s="8" t="s">
        <v>12293</v>
      </c>
      <c r="C2665" s="8" t="s">
        <v>12293</v>
      </c>
      <c r="F2665" s="47"/>
      <c r="G2665" s="8">
        <v>16</v>
      </c>
      <c r="H2665" s="8" t="s">
        <v>21</v>
      </c>
      <c r="I2665" s="8" t="s">
        <v>557</v>
      </c>
      <c r="J2665" s="8" t="s">
        <v>557</v>
      </c>
      <c r="K2665" s="8" t="s">
        <v>557</v>
      </c>
      <c r="L2665" s="8" t="s">
        <v>11551</v>
      </c>
      <c r="M2665" s="8" t="s">
        <v>11552</v>
      </c>
      <c r="N2665" s="8" t="s">
        <v>12294</v>
      </c>
      <c r="O2665" s="8">
        <f>8+47/60+10.4/3600</f>
        <v>8.7862222222222215</v>
      </c>
      <c r="P2665" s="8" t="s">
        <v>12295</v>
      </c>
      <c r="Q2665" s="8">
        <f>+(12+36/60+13/3600)</f>
        <v>12.60361111111111</v>
      </c>
      <c r="R2665" s="8">
        <v>99</v>
      </c>
      <c r="S2665" s="8">
        <v>99</v>
      </c>
      <c r="T2665" s="8">
        <v>99</v>
      </c>
      <c r="U2665" s="8">
        <v>99</v>
      </c>
      <c r="V2665" s="8">
        <v>5</v>
      </c>
      <c r="Y2665" s="8" t="s">
        <v>12296</v>
      </c>
      <c r="Z2665" s="8" t="s">
        <v>12297</v>
      </c>
    </row>
    <row r="2666" spans="1:26" x14ac:dyDescent="0.2">
      <c r="A2666" s="8">
        <v>2665</v>
      </c>
      <c r="B2666" s="8" t="s">
        <v>12298</v>
      </c>
      <c r="C2666" s="8" t="s">
        <v>12298</v>
      </c>
      <c r="F2666" s="47"/>
      <c r="G2666" s="8">
        <v>19</v>
      </c>
      <c r="H2666" s="8" t="s">
        <v>21</v>
      </c>
      <c r="I2666" s="8" t="s">
        <v>22</v>
      </c>
      <c r="J2666" s="8" t="s">
        <v>22</v>
      </c>
      <c r="K2666" s="8" t="s">
        <v>154</v>
      </c>
      <c r="L2666" s="8" t="s">
        <v>11765</v>
      </c>
      <c r="M2666" s="8" t="s">
        <v>11766</v>
      </c>
      <c r="N2666" s="8" t="s">
        <v>12299</v>
      </c>
      <c r="O2666" s="8">
        <f>8+46/60+0.8/3600</f>
        <v>8.7668888888888894</v>
      </c>
      <c r="P2666" s="8" t="s">
        <v>12300</v>
      </c>
      <c r="Q2666" s="8">
        <f>-(19+18/60+12/3600)</f>
        <v>-19.303333333333335</v>
      </c>
      <c r="R2666" s="8">
        <v>12.2</v>
      </c>
      <c r="S2666" s="8">
        <v>12.9</v>
      </c>
      <c r="T2666" s="8">
        <v>0.7</v>
      </c>
      <c r="U2666" s="8">
        <v>13.3</v>
      </c>
      <c r="V2666" s="8">
        <v>2</v>
      </c>
      <c r="W2666" s="8">
        <v>1.5</v>
      </c>
      <c r="X2666" s="8">
        <v>144</v>
      </c>
      <c r="Y2666" s="8" t="s">
        <v>12301</v>
      </c>
      <c r="Z2666" s="8" t="s">
        <v>12302</v>
      </c>
    </row>
    <row r="2667" spans="1:26" x14ac:dyDescent="0.2">
      <c r="A2667" s="8">
        <v>2666</v>
      </c>
      <c r="B2667" s="8" t="s">
        <v>12303</v>
      </c>
      <c r="C2667" s="8" t="s">
        <v>12303</v>
      </c>
      <c r="F2667" s="47"/>
      <c r="G2667" s="8">
        <v>16</v>
      </c>
      <c r="H2667" s="8" t="s">
        <v>21</v>
      </c>
      <c r="I2667" s="8" t="s">
        <v>557</v>
      </c>
      <c r="J2667" s="8" t="s">
        <v>557</v>
      </c>
      <c r="K2667" s="8" t="s">
        <v>557</v>
      </c>
      <c r="L2667" s="8" t="s">
        <v>10511</v>
      </c>
      <c r="M2667" s="8" t="s">
        <v>10512</v>
      </c>
      <c r="N2667" s="8" t="s">
        <v>12304</v>
      </c>
      <c r="O2667" s="8">
        <f>8+49/60+47.3/3600</f>
        <v>8.8298055555555557</v>
      </c>
      <c r="P2667" s="8" t="s">
        <v>12305</v>
      </c>
      <c r="Q2667" s="8">
        <f>+(44+42/60+16/3600)</f>
        <v>44.704444444444448</v>
      </c>
      <c r="R2667" s="8">
        <v>99</v>
      </c>
      <c r="S2667" s="8">
        <v>99</v>
      </c>
      <c r="T2667" s="8">
        <v>99</v>
      </c>
      <c r="U2667" s="8">
        <v>99</v>
      </c>
      <c r="Y2667" s="8" t="s">
        <v>10878</v>
      </c>
      <c r="Z2667" s="8" t="s">
        <v>10879</v>
      </c>
    </row>
    <row r="2668" spans="1:26" x14ac:dyDescent="0.2">
      <c r="A2668" s="8">
        <v>2667</v>
      </c>
      <c r="B2668" s="8" t="s">
        <v>12306</v>
      </c>
      <c r="C2668" s="8" t="s">
        <v>12306</v>
      </c>
      <c r="F2668" s="47"/>
      <c r="G2668" s="8">
        <v>18</v>
      </c>
      <c r="H2668" s="8" t="s">
        <v>21</v>
      </c>
      <c r="I2668" s="8" t="s">
        <v>22</v>
      </c>
      <c r="J2668" s="8" t="s">
        <v>22</v>
      </c>
      <c r="K2668" s="8" t="s">
        <v>476</v>
      </c>
      <c r="L2668" s="8" t="s">
        <v>11551</v>
      </c>
      <c r="M2668" s="8" t="s">
        <v>11552</v>
      </c>
      <c r="N2668" s="8" t="s">
        <v>12307</v>
      </c>
      <c r="O2668" s="8">
        <f>8+48/60+27.2/3600</f>
        <v>8.807555555555556</v>
      </c>
      <c r="P2668" s="8" t="s">
        <v>12308</v>
      </c>
      <c r="Q2668" s="8">
        <f>+(19+1/60+11/3600)</f>
        <v>19.019722222222221</v>
      </c>
      <c r="R2668" s="8">
        <v>14</v>
      </c>
      <c r="S2668" s="8">
        <v>14.9</v>
      </c>
      <c r="T2668" s="8">
        <v>0.9</v>
      </c>
      <c r="U2668" s="8">
        <v>12.3</v>
      </c>
      <c r="V2668" s="8">
        <v>0.8</v>
      </c>
      <c r="W2668" s="8">
        <v>0.3</v>
      </c>
      <c r="X2668" s="8">
        <v>78</v>
      </c>
      <c r="Y2668" s="8" t="s">
        <v>47</v>
      </c>
      <c r="Z2668" s="8" t="s">
        <v>48</v>
      </c>
    </row>
    <row r="2669" spans="1:26" x14ac:dyDescent="0.2">
      <c r="A2669" s="8">
        <v>2668</v>
      </c>
      <c r="B2669" s="8" t="s">
        <v>12309</v>
      </c>
      <c r="C2669" s="8" t="s">
        <v>12309</v>
      </c>
      <c r="F2669" s="47"/>
      <c r="G2669" s="8">
        <v>19</v>
      </c>
      <c r="H2669" s="8" t="s">
        <v>21</v>
      </c>
      <c r="I2669" s="8" t="s">
        <v>22</v>
      </c>
      <c r="J2669" s="8" t="s">
        <v>22</v>
      </c>
      <c r="K2669" s="8" t="s">
        <v>406</v>
      </c>
      <c r="L2669" s="8" t="s">
        <v>10511</v>
      </c>
      <c r="M2669" s="8" t="s">
        <v>10512</v>
      </c>
      <c r="N2669" s="8" t="s">
        <v>12310</v>
      </c>
      <c r="O2669" s="8">
        <f>8+49/60+22.5/3600</f>
        <v>8.8229166666666661</v>
      </c>
      <c r="P2669" s="8" t="s">
        <v>12311</v>
      </c>
      <c r="Q2669" s="8">
        <f>+(36+42/60+39/3600)</f>
        <v>36.710833333333333</v>
      </c>
      <c r="R2669" s="8">
        <v>13.8</v>
      </c>
      <c r="S2669" s="8">
        <v>14.6</v>
      </c>
      <c r="T2669" s="8">
        <v>0.8</v>
      </c>
      <c r="U2669" s="8">
        <v>14</v>
      </c>
      <c r="V2669" s="8">
        <v>1.5</v>
      </c>
      <c r="W2669" s="8">
        <v>0.9</v>
      </c>
      <c r="X2669" s="8">
        <v>155</v>
      </c>
      <c r="Y2669" s="8" t="s">
        <v>7343</v>
      </c>
      <c r="Z2669" s="8" t="s">
        <v>7344</v>
      </c>
    </row>
    <row r="2670" spans="1:26" x14ac:dyDescent="0.2">
      <c r="A2670" s="8">
        <v>2669</v>
      </c>
      <c r="B2670" s="8" t="s">
        <v>12312</v>
      </c>
      <c r="C2670" s="8" t="s">
        <v>12312</v>
      </c>
      <c r="F2670" s="47"/>
      <c r="G2670" s="8">
        <v>5</v>
      </c>
      <c r="H2670" s="8" t="s">
        <v>21</v>
      </c>
      <c r="I2670" s="8" t="s">
        <v>557</v>
      </c>
      <c r="J2670" s="8" t="s">
        <v>557</v>
      </c>
      <c r="K2670" s="8" t="s">
        <v>1840</v>
      </c>
      <c r="L2670" s="8" t="s">
        <v>11757</v>
      </c>
      <c r="M2670" s="8" t="s">
        <v>11758</v>
      </c>
      <c r="N2670" s="8" t="s">
        <v>12313</v>
      </c>
      <c r="O2670" s="8">
        <f>8+46/60+19/3600</f>
        <v>8.7719444444444452</v>
      </c>
      <c r="P2670" s="8" t="s">
        <v>12314</v>
      </c>
      <c r="Q2670" s="8">
        <f>-(52+56/60+6/3600)</f>
        <v>-52.934999999999995</v>
      </c>
      <c r="R2670" s="8">
        <v>6.1</v>
      </c>
      <c r="S2670" s="8">
        <v>99</v>
      </c>
      <c r="T2670" s="8">
        <v>99</v>
      </c>
      <c r="U2670" s="8">
        <v>99</v>
      </c>
      <c r="V2670" s="8">
        <v>14</v>
      </c>
      <c r="Y2670" s="8" t="s">
        <v>12315</v>
      </c>
      <c r="Z2670" s="8" t="s">
        <v>12316</v>
      </c>
    </row>
    <row r="2671" spans="1:26" x14ac:dyDescent="0.2">
      <c r="A2671" s="8">
        <v>2670</v>
      </c>
      <c r="B2671" s="8" t="s">
        <v>12317</v>
      </c>
      <c r="C2671" s="8" t="s">
        <v>12317</v>
      </c>
      <c r="F2671" s="47"/>
      <c r="G2671" s="8">
        <v>8</v>
      </c>
      <c r="H2671" s="8" t="s">
        <v>21</v>
      </c>
      <c r="I2671" s="8" t="s">
        <v>557</v>
      </c>
      <c r="J2671" s="8" t="s">
        <v>557</v>
      </c>
      <c r="K2671" s="8" t="s">
        <v>558</v>
      </c>
      <c r="L2671" s="8" t="s">
        <v>11757</v>
      </c>
      <c r="M2671" s="8" t="s">
        <v>11758</v>
      </c>
      <c r="N2671" s="8" t="s">
        <v>12318</v>
      </c>
      <c r="O2671" s="8">
        <f>8+45/60+30/3600</f>
        <v>8.7583333333333329</v>
      </c>
      <c r="P2671" s="8" t="s">
        <v>12319</v>
      </c>
      <c r="Q2671" s="8">
        <f>-(48+47/60+30/3600)</f>
        <v>-48.791666666666664</v>
      </c>
      <c r="R2671" s="8">
        <v>7.8</v>
      </c>
      <c r="S2671" s="8">
        <v>99</v>
      </c>
      <c r="T2671" s="8">
        <v>99</v>
      </c>
      <c r="U2671" s="8">
        <v>99</v>
      </c>
      <c r="V2671" s="8">
        <v>7</v>
      </c>
      <c r="Y2671" s="8" t="s">
        <v>12320</v>
      </c>
      <c r="Z2671" s="8" t="s">
        <v>12321</v>
      </c>
    </row>
    <row r="2672" spans="1:26" x14ac:dyDescent="0.2">
      <c r="A2672" s="8">
        <v>2671</v>
      </c>
      <c r="B2672" s="8" t="s">
        <v>12322</v>
      </c>
      <c r="C2672" s="8" t="s">
        <v>12322</v>
      </c>
      <c r="F2672" s="47"/>
      <c r="G2672" s="8">
        <v>3</v>
      </c>
      <c r="H2672" s="8" t="s">
        <v>21</v>
      </c>
      <c r="I2672" s="8" t="s">
        <v>557</v>
      </c>
      <c r="J2672" s="8" t="s">
        <v>557</v>
      </c>
      <c r="K2672" s="8" t="s">
        <v>3082</v>
      </c>
      <c r="L2672" s="8" t="s">
        <v>11757</v>
      </c>
      <c r="M2672" s="8" t="s">
        <v>11758</v>
      </c>
      <c r="N2672" s="8" t="s">
        <v>12323</v>
      </c>
      <c r="O2672" s="8">
        <f>8+46/60+12/3600</f>
        <v>8.7700000000000014</v>
      </c>
      <c r="P2672" s="8" t="s">
        <v>12324</v>
      </c>
      <c r="Q2672" s="8">
        <f>-(41+52/60+38/3600)</f>
        <v>-41.877222222222223</v>
      </c>
      <c r="R2672" s="8">
        <v>11.6</v>
      </c>
      <c r="S2672" s="8">
        <v>99</v>
      </c>
      <c r="T2672" s="8">
        <v>99</v>
      </c>
      <c r="U2672" s="8">
        <v>99</v>
      </c>
      <c r="V2672" s="8">
        <v>5</v>
      </c>
      <c r="Y2672" s="8" t="s">
        <v>12325</v>
      </c>
      <c r="Z2672" s="8" t="s">
        <v>12326</v>
      </c>
    </row>
    <row r="2673" spans="1:26" x14ac:dyDescent="0.2">
      <c r="A2673" s="8">
        <v>2672</v>
      </c>
      <c r="B2673" s="8" t="s">
        <v>12327</v>
      </c>
      <c r="C2673" s="8" t="s">
        <v>12327</v>
      </c>
      <c r="F2673" s="47" t="s">
        <v>56597</v>
      </c>
      <c r="G2673" s="8">
        <v>12</v>
      </c>
      <c r="H2673" s="8" t="s">
        <v>21</v>
      </c>
      <c r="I2673" s="8" t="s">
        <v>22</v>
      </c>
      <c r="J2673" s="8" t="s">
        <v>22</v>
      </c>
      <c r="K2673" s="8" t="s">
        <v>183</v>
      </c>
      <c r="L2673" s="8" t="s">
        <v>11551</v>
      </c>
      <c r="M2673" s="8" t="s">
        <v>11552</v>
      </c>
      <c r="N2673" s="8" t="s">
        <v>12328</v>
      </c>
      <c r="O2673" s="8">
        <f>8+49/60+21.8/3600</f>
        <v>8.8227222222222217</v>
      </c>
      <c r="P2673" s="8" t="s">
        <v>12329</v>
      </c>
      <c r="Q2673" s="8">
        <f>+(19+4/60+28/3600)</f>
        <v>19.074444444444445</v>
      </c>
      <c r="R2673" s="8">
        <v>11.7</v>
      </c>
      <c r="S2673" s="8">
        <v>12.7</v>
      </c>
      <c r="T2673" s="8">
        <v>1</v>
      </c>
      <c r="U2673" s="8">
        <v>14</v>
      </c>
      <c r="V2673" s="8">
        <v>3</v>
      </c>
      <c r="W2673" s="8">
        <v>2.8</v>
      </c>
      <c r="X2673" s="8">
        <v>117</v>
      </c>
      <c r="Y2673" s="8" t="s">
        <v>12330</v>
      </c>
      <c r="Z2673" s="8" t="s">
        <v>12331</v>
      </c>
    </row>
    <row r="2674" spans="1:26" x14ac:dyDescent="0.2">
      <c r="A2674" s="8">
        <v>2673</v>
      </c>
      <c r="B2674" s="8" t="s">
        <v>12332</v>
      </c>
      <c r="C2674" s="8" t="s">
        <v>12332</v>
      </c>
      <c r="F2674" s="47" t="s">
        <v>56597</v>
      </c>
      <c r="G2674" s="8">
        <v>12</v>
      </c>
      <c r="H2674" s="8" t="s">
        <v>21</v>
      </c>
      <c r="I2674" s="8" t="s">
        <v>22</v>
      </c>
      <c r="J2674" s="8" t="s">
        <v>22</v>
      </c>
      <c r="K2674" s="8" t="s">
        <v>460</v>
      </c>
      <c r="L2674" s="8" t="s">
        <v>11551</v>
      </c>
      <c r="M2674" s="8" t="s">
        <v>11552</v>
      </c>
      <c r="N2674" s="8" t="s">
        <v>12333</v>
      </c>
      <c r="O2674" s="8">
        <f>8+49/60+24.1/3600</f>
        <v>8.8233611111111117</v>
      </c>
      <c r="P2674" s="8" t="s">
        <v>12334</v>
      </c>
      <c r="Q2674" s="8">
        <f>+(19+4/60+29/3600)</f>
        <v>19.074722222222221</v>
      </c>
      <c r="R2674" s="8">
        <v>13.5</v>
      </c>
      <c r="S2674" s="8">
        <v>14.5</v>
      </c>
      <c r="T2674" s="8">
        <v>1</v>
      </c>
      <c r="U2674" s="8">
        <v>13.9</v>
      </c>
      <c r="V2674" s="8">
        <v>1.2</v>
      </c>
      <c r="W2674" s="8">
        <v>1.2</v>
      </c>
      <c r="Y2674" s="8" t="s">
        <v>12330</v>
      </c>
      <c r="Z2674" s="8" t="s">
        <v>12335</v>
      </c>
    </row>
    <row r="2675" spans="1:26" x14ac:dyDescent="0.2">
      <c r="A2675" s="8">
        <v>2674</v>
      </c>
      <c r="B2675" s="8" t="s">
        <v>12336</v>
      </c>
      <c r="C2675" s="8" t="s">
        <v>12336</v>
      </c>
      <c r="F2675" s="47"/>
      <c r="G2675" s="8">
        <v>19</v>
      </c>
      <c r="H2675" s="8" t="s">
        <v>21</v>
      </c>
      <c r="I2675" s="8" t="s">
        <v>22</v>
      </c>
      <c r="J2675" s="8" t="s">
        <v>22</v>
      </c>
      <c r="K2675" s="8" t="s">
        <v>91</v>
      </c>
      <c r="L2675" s="8" t="s">
        <v>11765</v>
      </c>
      <c r="M2675" s="8" t="s">
        <v>11766</v>
      </c>
      <c r="N2675" s="8" t="s">
        <v>12337</v>
      </c>
      <c r="O2675" s="8">
        <f>8+49/60+13.2/3600</f>
        <v>8.8203333333333322</v>
      </c>
      <c r="P2675" s="8" t="s">
        <v>12338</v>
      </c>
      <c r="Q2675" s="8">
        <f>-(14+17/60+37/3600)</f>
        <v>-14.293611111111112</v>
      </c>
      <c r="R2675" s="8">
        <v>14.9</v>
      </c>
      <c r="S2675" s="8">
        <v>15.8</v>
      </c>
      <c r="T2675" s="8">
        <v>0.9</v>
      </c>
      <c r="U2675" s="8">
        <v>12.9</v>
      </c>
      <c r="V2675" s="8">
        <v>0.6</v>
      </c>
      <c r="W2675" s="8">
        <v>0.3</v>
      </c>
      <c r="X2675" s="8">
        <v>65</v>
      </c>
      <c r="Y2675" s="8" t="s">
        <v>12339</v>
      </c>
      <c r="Z2675" s="8" t="s">
        <v>12340</v>
      </c>
    </row>
    <row r="2676" spans="1:26" x14ac:dyDescent="0.2">
      <c r="A2676" s="8">
        <v>2675</v>
      </c>
      <c r="B2676" s="8" t="s">
        <v>12341</v>
      </c>
      <c r="C2676" s="8" t="s">
        <v>12341</v>
      </c>
      <c r="F2676" s="47"/>
      <c r="G2676" s="8">
        <v>18</v>
      </c>
      <c r="H2676" s="8" t="s">
        <v>21</v>
      </c>
      <c r="I2676" s="8" t="s">
        <v>22</v>
      </c>
      <c r="J2676" s="8" t="s">
        <v>22</v>
      </c>
      <c r="K2676" s="8" t="s">
        <v>382</v>
      </c>
      <c r="L2676" s="8" t="s">
        <v>12015</v>
      </c>
      <c r="M2676" s="8" t="s">
        <v>12016</v>
      </c>
      <c r="N2676" s="8" t="s">
        <v>12342</v>
      </c>
      <c r="O2676" s="8">
        <f>8+52/60+5/3600</f>
        <v>8.8680555555555554</v>
      </c>
      <c r="P2676" s="8" t="s">
        <v>12343</v>
      </c>
      <c r="Q2676" s="8">
        <f>+(53+37/60+2/3600)</f>
        <v>53.617222222222225</v>
      </c>
      <c r="R2676" s="8">
        <v>13.3</v>
      </c>
      <c r="S2676" s="8">
        <v>14.3</v>
      </c>
      <c r="T2676" s="8">
        <v>1</v>
      </c>
      <c r="U2676" s="8">
        <v>13.8</v>
      </c>
      <c r="V2676" s="8">
        <v>1.5</v>
      </c>
      <c r="W2676" s="8">
        <v>1.1000000000000001</v>
      </c>
      <c r="X2676" s="8">
        <v>80</v>
      </c>
      <c r="Y2676" s="8" t="s">
        <v>12344</v>
      </c>
      <c r="Z2676" s="8" t="s">
        <v>12345</v>
      </c>
    </row>
    <row r="2677" spans="1:26" x14ac:dyDescent="0.2">
      <c r="A2677" s="8">
        <v>2676</v>
      </c>
      <c r="B2677" s="8" t="s">
        <v>12346</v>
      </c>
      <c r="C2677" s="8" t="s">
        <v>12346</v>
      </c>
      <c r="F2677" s="47"/>
      <c r="G2677" s="8">
        <v>19</v>
      </c>
      <c r="H2677" s="8" t="s">
        <v>21</v>
      </c>
      <c r="I2677" s="8" t="s">
        <v>22</v>
      </c>
      <c r="J2677" s="8" t="s">
        <v>22</v>
      </c>
      <c r="K2677" s="8" t="s">
        <v>37</v>
      </c>
      <c r="L2677" s="8" t="s">
        <v>12015</v>
      </c>
      <c r="M2677" s="8" t="s">
        <v>12016</v>
      </c>
      <c r="N2677" s="8" t="s">
        <v>12347</v>
      </c>
      <c r="O2677" s="8">
        <f>8+51/60+35.6/3600</f>
        <v>8.8598888888888894</v>
      </c>
      <c r="P2677" s="8" t="s">
        <v>12348</v>
      </c>
      <c r="Q2677" s="8">
        <f>+(47+33/60+30/3600)</f>
        <v>47.55833333333333</v>
      </c>
      <c r="R2677" s="8">
        <v>13.4</v>
      </c>
      <c r="S2677" s="8">
        <v>14.4</v>
      </c>
      <c r="T2677" s="8">
        <v>1</v>
      </c>
      <c r="U2677" s="8">
        <v>13.7</v>
      </c>
      <c r="V2677" s="8">
        <v>1.2</v>
      </c>
      <c r="W2677" s="8">
        <v>1.2</v>
      </c>
      <c r="Y2677" s="8" t="s">
        <v>12349</v>
      </c>
      <c r="Z2677" s="8" t="s">
        <v>12350</v>
      </c>
    </row>
    <row r="2678" spans="1:26" x14ac:dyDescent="0.2">
      <c r="A2678" s="8">
        <v>2677</v>
      </c>
      <c r="B2678" s="8" t="s">
        <v>12351</v>
      </c>
      <c r="C2678" s="8" t="s">
        <v>12351</v>
      </c>
      <c r="F2678" s="47"/>
      <c r="G2678" s="8">
        <v>16</v>
      </c>
      <c r="H2678" s="8" t="s">
        <v>21</v>
      </c>
      <c r="I2678" s="8" t="s">
        <v>22</v>
      </c>
      <c r="J2678" s="8" t="s">
        <v>22</v>
      </c>
      <c r="K2678" s="8" t="s">
        <v>476</v>
      </c>
      <c r="L2678" s="8" t="s">
        <v>11551</v>
      </c>
      <c r="M2678" s="8" t="s">
        <v>11552</v>
      </c>
      <c r="N2678" s="8" t="s">
        <v>12352</v>
      </c>
      <c r="O2678" s="8">
        <f>8+50/60+1.3/3600</f>
        <v>8.8336944444444452</v>
      </c>
      <c r="P2678" s="8" t="s">
        <v>12353</v>
      </c>
      <c r="Q2678" s="8">
        <f>+(19+0/60+37/3600)</f>
        <v>19.010277777777777</v>
      </c>
      <c r="R2678" s="8">
        <v>14.6</v>
      </c>
      <c r="S2678" s="8">
        <v>15.5</v>
      </c>
      <c r="T2678" s="8">
        <v>0.9</v>
      </c>
      <c r="U2678" s="8">
        <v>12.6</v>
      </c>
      <c r="V2678" s="8">
        <v>0.6</v>
      </c>
      <c r="W2678" s="8">
        <v>0.3</v>
      </c>
      <c r="X2678" s="8">
        <v>171</v>
      </c>
      <c r="Y2678" s="8" t="s">
        <v>12354</v>
      </c>
      <c r="Z2678" s="8" t="s">
        <v>12355</v>
      </c>
    </row>
    <row r="2679" spans="1:26" x14ac:dyDescent="0.2">
      <c r="A2679" s="8">
        <v>2678</v>
      </c>
      <c r="B2679" s="8" t="s">
        <v>12356</v>
      </c>
      <c r="C2679" s="8" t="s">
        <v>12356</v>
      </c>
      <c r="F2679" s="47" t="s">
        <v>56598</v>
      </c>
      <c r="G2679" s="8">
        <v>15</v>
      </c>
      <c r="H2679" s="8" t="s">
        <v>21</v>
      </c>
      <c r="I2679" s="8" t="s">
        <v>557</v>
      </c>
      <c r="J2679" s="8" t="s">
        <v>557</v>
      </c>
      <c r="K2679" s="8" t="s">
        <v>557</v>
      </c>
      <c r="L2679" s="8" t="s">
        <v>11551</v>
      </c>
      <c r="M2679" s="8" t="s">
        <v>11552</v>
      </c>
      <c r="N2679" s="8" t="s">
        <v>12357</v>
      </c>
      <c r="O2679" s="8">
        <f>8+50/60+2.7/3600</f>
        <v>8.834083333333334</v>
      </c>
      <c r="P2679" s="8" t="s">
        <v>12358</v>
      </c>
      <c r="Q2679" s="8">
        <f>+(11+20/60+19/3600)</f>
        <v>11.338611111111112</v>
      </c>
      <c r="R2679" s="8">
        <v>99</v>
      </c>
      <c r="S2679" s="8">
        <v>99</v>
      </c>
      <c r="T2679" s="8">
        <v>99</v>
      </c>
      <c r="U2679" s="8">
        <v>99</v>
      </c>
      <c r="V2679" s="8">
        <v>10</v>
      </c>
      <c r="W2679" s="8">
        <v>2.5</v>
      </c>
      <c r="Y2679" s="8" t="s">
        <v>12359</v>
      </c>
      <c r="Z2679" s="8" t="s">
        <v>12360</v>
      </c>
    </row>
    <row r="2680" spans="1:26" x14ac:dyDescent="0.2">
      <c r="A2680" s="8">
        <v>2679</v>
      </c>
      <c r="B2680" s="8" t="s">
        <v>12361</v>
      </c>
      <c r="C2680" s="8" t="s">
        <v>12361</v>
      </c>
      <c r="F2680" s="47" t="s">
        <v>56599</v>
      </c>
      <c r="G2680" s="8">
        <v>15</v>
      </c>
      <c r="H2680" s="8" t="s">
        <v>21</v>
      </c>
      <c r="I2680" s="8" t="s">
        <v>22</v>
      </c>
      <c r="J2680" s="8" t="s">
        <v>22</v>
      </c>
      <c r="K2680" s="8" t="s">
        <v>224</v>
      </c>
      <c r="L2680" s="8" t="s">
        <v>11551</v>
      </c>
      <c r="M2680" s="8" t="s">
        <v>11552</v>
      </c>
      <c r="N2680" s="8" t="s">
        <v>12362</v>
      </c>
      <c r="O2680" s="8">
        <f>8+51/60+32.9/3600</f>
        <v>8.8591388888888893</v>
      </c>
      <c r="P2680" s="8" t="s">
        <v>12363</v>
      </c>
      <c r="Q2680" s="8">
        <f>+(30+51/60+54/3600)</f>
        <v>30.865000000000002</v>
      </c>
      <c r="R2680" s="8">
        <v>12.6</v>
      </c>
      <c r="S2680" s="8">
        <v>13.6</v>
      </c>
      <c r="T2680" s="8">
        <v>1</v>
      </c>
      <c r="U2680" s="8">
        <v>13.3</v>
      </c>
      <c r="V2680" s="8">
        <v>1.6</v>
      </c>
      <c r="W2680" s="8">
        <v>1.3</v>
      </c>
      <c r="X2680" s="8">
        <v>3</v>
      </c>
      <c r="Y2680" s="8" t="s">
        <v>12364</v>
      </c>
      <c r="Z2680" s="8" t="s">
        <v>12365</v>
      </c>
    </row>
    <row r="2681" spans="1:26" x14ac:dyDescent="0.2">
      <c r="A2681" s="8">
        <v>2680</v>
      </c>
      <c r="B2681" s="8" t="s">
        <v>12366</v>
      </c>
      <c r="C2681" s="8" t="s">
        <v>12366</v>
      </c>
      <c r="F2681" s="47"/>
      <c r="G2681" s="8">
        <v>18</v>
      </c>
      <c r="H2681" s="8" t="s">
        <v>21</v>
      </c>
      <c r="I2681" s="8" t="s">
        <v>72</v>
      </c>
      <c r="J2681" s="8" t="s">
        <v>72</v>
      </c>
      <c r="K2681" s="8" t="s">
        <v>73</v>
      </c>
      <c r="L2681" s="8" t="s">
        <v>11551</v>
      </c>
      <c r="M2681" s="8" t="s">
        <v>11552</v>
      </c>
      <c r="N2681" s="8" t="s">
        <v>12367</v>
      </c>
      <c r="O2681" s="8">
        <f>8+51/60+33.6/3600</f>
        <v>8.8593333333333337</v>
      </c>
      <c r="P2681" s="8" t="s">
        <v>12368</v>
      </c>
      <c r="Q2681" s="8">
        <f>+(30+51/60+57/3600)</f>
        <v>30.865833333333335</v>
      </c>
      <c r="R2681" s="8">
        <v>14.5</v>
      </c>
      <c r="S2681" s="8">
        <v>15.5</v>
      </c>
      <c r="T2681" s="8">
        <v>1</v>
      </c>
      <c r="U2681" s="8">
        <v>10.9</v>
      </c>
      <c r="Y2681" s="8" t="s">
        <v>12369</v>
      </c>
      <c r="Z2681" s="8" t="s">
        <v>12370</v>
      </c>
    </row>
    <row r="2682" spans="1:26" x14ac:dyDescent="0.2">
      <c r="A2682" s="8">
        <v>2681</v>
      </c>
      <c r="B2682" s="8" t="s">
        <v>12371</v>
      </c>
      <c r="C2682" s="8" t="s">
        <v>12371</v>
      </c>
      <c r="F2682" s="47" t="s">
        <v>56600</v>
      </c>
      <c r="G2682" s="8">
        <v>6</v>
      </c>
      <c r="H2682" s="8" t="s">
        <v>21</v>
      </c>
      <c r="I2682" s="8" t="s">
        <v>22</v>
      </c>
      <c r="J2682" s="8" t="s">
        <v>22</v>
      </c>
      <c r="K2682" s="8" t="s">
        <v>435</v>
      </c>
      <c r="L2682" s="8" t="s">
        <v>12015</v>
      </c>
      <c r="M2682" s="8" t="s">
        <v>12016</v>
      </c>
      <c r="N2682" s="8" t="s">
        <v>12372</v>
      </c>
      <c r="O2682" s="8">
        <f>8+53/60+32.5/3600</f>
        <v>8.8923611111111107</v>
      </c>
      <c r="P2682" s="8" t="s">
        <v>12373</v>
      </c>
      <c r="Q2682" s="8">
        <f>+(51+18/60+47/3600)</f>
        <v>51.31305555555555</v>
      </c>
      <c r="R2682" s="8">
        <v>10.3</v>
      </c>
      <c r="S2682" s="8">
        <v>11.1</v>
      </c>
      <c r="T2682" s="8">
        <v>0.8</v>
      </c>
      <c r="U2682" s="8">
        <v>12.9</v>
      </c>
      <c r="V2682" s="8">
        <v>3.6</v>
      </c>
      <c r="W2682" s="8">
        <v>3.3</v>
      </c>
      <c r="X2682" s="8">
        <v>36</v>
      </c>
      <c r="Y2682" s="8" t="s">
        <v>12374</v>
      </c>
      <c r="Z2682" s="8" t="s">
        <v>12375</v>
      </c>
    </row>
    <row r="2683" spans="1:26" x14ac:dyDescent="0.2">
      <c r="A2683" s="8">
        <v>2682</v>
      </c>
      <c r="B2683" s="8" t="s">
        <v>12376</v>
      </c>
      <c r="C2683" s="8" t="s">
        <v>55886</v>
      </c>
      <c r="F2683" s="47"/>
      <c r="G2683" s="8">
        <v>1</v>
      </c>
      <c r="H2683" s="8" t="s">
        <v>12377</v>
      </c>
      <c r="I2683" s="8" t="s">
        <v>557</v>
      </c>
      <c r="J2683" s="8" t="s">
        <v>557</v>
      </c>
      <c r="K2683" s="8" t="s">
        <v>2722</v>
      </c>
      <c r="L2683" s="8" t="s">
        <v>11551</v>
      </c>
      <c r="M2683" s="8" t="s">
        <v>11552</v>
      </c>
      <c r="N2683" s="8" t="s">
        <v>12378</v>
      </c>
      <c r="O2683" s="8">
        <f>8+51/60+18/3600</f>
        <v>8.8550000000000004</v>
      </c>
      <c r="P2683" s="8" t="s">
        <v>12379</v>
      </c>
      <c r="Q2683" s="8">
        <f>+(11+49/60+0/3600)</f>
        <v>11.816666666666666</v>
      </c>
      <c r="R2683" s="8">
        <v>6.9</v>
      </c>
      <c r="S2683" s="8">
        <v>99</v>
      </c>
      <c r="T2683" s="8">
        <v>99</v>
      </c>
      <c r="U2683" s="8">
        <v>99</v>
      </c>
      <c r="V2683" s="8">
        <v>25</v>
      </c>
      <c r="Y2683" s="8" t="s">
        <v>12380</v>
      </c>
      <c r="Z2683" s="8" t="s">
        <v>12381</v>
      </c>
    </row>
    <row r="2684" spans="1:26" x14ac:dyDescent="0.2">
      <c r="A2684" s="8">
        <v>2683</v>
      </c>
      <c r="B2684" s="8" t="s">
        <v>12382</v>
      </c>
      <c r="C2684" s="8" t="s">
        <v>12382</v>
      </c>
      <c r="F2684" s="47" t="s">
        <v>56601</v>
      </c>
      <c r="G2684" s="8">
        <v>5</v>
      </c>
      <c r="H2684" s="8" t="s">
        <v>12383</v>
      </c>
      <c r="I2684" s="8" t="s">
        <v>22</v>
      </c>
      <c r="J2684" s="8" t="s">
        <v>22</v>
      </c>
      <c r="K2684" s="8" t="s">
        <v>23</v>
      </c>
      <c r="L2684" s="8" t="s">
        <v>10511</v>
      </c>
      <c r="M2684" s="8" t="s">
        <v>10512</v>
      </c>
      <c r="N2684" s="8" t="s">
        <v>12384</v>
      </c>
      <c r="O2684" s="8">
        <f>8+52/60+41.3/3600</f>
        <v>8.8781388888888895</v>
      </c>
      <c r="P2684" s="8" t="s">
        <v>12385</v>
      </c>
      <c r="Q2684" s="8">
        <f>+(33+25/60+12/3600)</f>
        <v>33.419999999999995</v>
      </c>
      <c r="R2684" s="8">
        <v>9.8000000000000007</v>
      </c>
      <c r="S2684" s="8">
        <v>10.6</v>
      </c>
      <c r="T2684" s="8">
        <v>0.8</v>
      </c>
      <c r="U2684" s="8">
        <v>12.9</v>
      </c>
      <c r="V2684" s="8">
        <v>9.3000000000000007</v>
      </c>
      <c r="W2684" s="8">
        <v>2.1</v>
      </c>
      <c r="X2684" s="8">
        <v>44</v>
      </c>
      <c r="Y2684" s="8" t="s">
        <v>12386</v>
      </c>
      <c r="Z2684" s="8" t="s">
        <v>12387</v>
      </c>
    </row>
    <row r="2685" spans="1:26" x14ac:dyDescent="0.2">
      <c r="A2685" s="8">
        <v>2684</v>
      </c>
      <c r="B2685" s="8" t="s">
        <v>12388</v>
      </c>
      <c r="C2685" s="8" t="s">
        <v>12388</v>
      </c>
      <c r="F2685" s="47" t="s">
        <v>56602</v>
      </c>
      <c r="G2685" s="8">
        <v>15</v>
      </c>
      <c r="H2685" s="8" t="s">
        <v>21</v>
      </c>
      <c r="I2685" s="8" t="s">
        <v>22</v>
      </c>
      <c r="J2685" s="8" t="s">
        <v>22</v>
      </c>
      <c r="K2685" s="8" t="s">
        <v>160</v>
      </c>
      <c r="L2685" s="8" t="s">
        <v>12015</v>
      </c>
      <c r="M2685" s="8" t="s">
        <v>12016</v>
      </c>
      <c r="N2685" s="8" t="s">
        <v>12389</v>
      </c>
      <c r="O2685" s="8">
        <f>8+54/60+53.8/3600</f>
        <v>8.9149444444444441</v>
      </c>
      <c r="P2685" s="8" t="s">
        <v>12390</v>
      </c>
      <c r="Q2685" s="8">
        <f>+(49+9/60+37/3600)</f>
        <v>49.160277777777779</v>
      </c>
      <c r="R2685" s="8">
        <v>12.9</v>
      </c>
      <c r="S2685" s="8">
        <v>13.6</v>
      </c>
      <c r="T2685" s="8">
        <v>0.7</v>
      </c>
      <c r="U2685" s="8">
        <v>12.4</v>
      </c>
      <c r="V2685" s="8">
        <v>0.9</v>
      </c>
      <c r="W2685" s="8">
        <v>0.7</v>
      </c>
      <c r="X2685" s="8">
        <v>27</v>
      </c>
      <c r="Y2685" s="8" t="s">
        <v>12391</v>
      </c>
      <c r="Z2685" s="8" t="s">
        <v>12392</v>
      </c>
    </row>
    <row r="2686" spans="1:26" x14ac:dyDescent="0.2">
      <c r="A2686" s="8">
        <v>2685</v>
      </c>
      <c r="B2686" s="8" t="s">
        <v>12393</v>
      </c>
      <c r="C2686" s="8" t="s">
        <v>12393</v>
      </c>
      <c r="F2686" s="47"/>
      <c r="G2686" s="8">
        <v>12</v>
      </c>
      <c r="H2686" s="8" t="s">
        <v>12394</v>
      </c>
      <c r="I2686" s="8" t="s">
        <v>22</v>
      </c>
      <c r="J2686" s="8" t="s">
        <v>22</v>
      </c>
      <c r="K2686" s="8" t="s">
        <v>435</v>
      </c>
      <c r="L2686" s="8" t="s">
        <v>12015</v>
      </c>
      <c r="M2686" s="8" t="s">
        <v>12016</v>
      </c>
      <c r="N2686" s="8" t="s">
        <v>12395</v>
      </c>
      <c r="O2686" s="8">
        <f>8+55/60+34.9/3600</f>
        <v>8.9263611111111096</v>
      </c>
      <c r="P2686" s="8" t="s">
        <v>12396</v>
      </c>
      <c r="Q2686" s="8">
        <f>+(58+44/60+5/3600)</f>
        <v>58.734722222222224</v>
      </c>
      <c r="R2686" s="8">
        <v>11.3</v>
      </c>
      <c r="S2686" s="8">
        <v>12.1</v>
      </c>
      <c r="T2686" s="8">
        <v>0.8</v>
      </c>
      <c r="U2686" s="8">
        <v>13.7</v>
      </c>
      <c r="V2686" s="8">
        <v>4.5999999999999996</v>
      </c>
      <c r="W2686" s="8">
        <v>2.5</v>
      </c>
      <c r="X2686" s="8">
        <v>38</v>
      </c>
      <c r="Y2686" s="8" t="s">
        <v>12397</v>
      </c>
      <c r="Z2686" s="8" t="s">
        <v>12398</v>
      </c>
    </row>
    <row r="2687" spans="1:26" x14ac:dyDescent="0.2">
      <c r="A2687" s="8">
        <v>2686</v>
      </c>
      <c r="B2687" s="8" t="s">
        <v>12399</v>
      </c>
      <c r="C2687" s="8" t="s">
        <v>12399</v>
      </c>
      <c r="D2687" s="8" t="s">
        <v>351</v>
      </c>
      <c r="F2687" s="47"/>
      <c r="G2687" s="8">
        <v>14</v>
      </c>
      <c r="H2687" s="8" t="s">
        <v>12400</v>
      </c>
      <c r="I2687" s="8" t="s">
        <v>22</v>
      </c>
      <c r="J2687" s="8" t="s">
        <v>22</v>
      </c>
      <c r="K2687" s="8" t="s">
        <v>424</v>
      </c>
      <c r="L2687" s="8" t="s">
        <v>12015</v>
      </c>
      <c r="M2687" s="8" t="s">
        <v>12016</v>
      </c>
      <c r="N2687" s="8" t="s">
        <v>12401</v>
      </c>
      <c r="O2687" s="8">
        <f>8+54/60+58.8/3600</f>
        <v>8.9163333333333341</v>
      </c>
      <c r="P2687" s="8" t="s">
        <v>12402</v>
      </c>
      <c r="Q2687" s="8">
        <f>+(49+8/60+33/3600)</f>
        <v>49.142499999999998</v>
      </c>
      <c r="R2687" s="8">
        <v>14.8</v>
      </c>
      <c r="S2687" s="8">
        <v>15.8</v>
      </c>
      <c r="T2687" s="8">
        <v>1</v>
      </c>
      <c r="U2687" s="8">
        <v>12.6</v>
      </c>
      <c r="V2687" s="8">
        <v>0.5</v>
      </c>
      <c r="W2687" s="8">
        <v>0.3</v>
      </c>
      <c r="X2687" s="8">
        <v>54</v>
      </c>
      <c r="Y2687" s="8" t="s">
        <v>12403</v>
      </c>
      <c r="Z2687" s="8" t="s">
        <v>12404</v>
      </c>
    </row>
    <row r="2688" spans="1:26" x14ac:dyDescent="0.2">
      <c r="A2688" s="8">
        <v>2687</v>
      </c>
      <c r="B2688" s="8" t="s">
        <v>12405</v>
      </c>
      <c r="C2688" s="8" t="s">
        <v>12405</v>
      </c>
      <c r="D2688" s="8" t="s">
        <v>1619</v>
      </c>
      <c r="F2688" s="47"/>
      <c r="G2688" s="8">
        <v>18</v>
      </c>
      <c r="H2688" s="8" t="s">
        <v>21</v>
      </c>
      <c r="I2688" s="8" t="s">
        <v>22</v>
      </c>
      <c r="J2688" s="8" t="s">
        <v>22</v>
      </c>
      <c r="K2688" s="8" t="s">
        <v>449</v>
      </c>
      <c r="L2688" s="8" t="s">
        <v>12015</v>
      </c>
      <c r="M2688" s="8" t="s">
        <v>12016</v>
      </c>
      <c r="N2688" s="8" t="s">
        <v>12406</v>
      </c>
      <c r="O2688" s="8">
        <f>8+55/60+5.8/3600</f>
        <v>8.918277777777778</v>
      </c>
      <c r="P2688" s="8" t="s">
        <v>12407</v>
      </c>
      <c r="Q2688" s="8">
        <f>+(49+9/60+22/3600)</f>
        <v>49.156111111111109</v>
      </c>
      <c r="R2688" s="8">
        <v>15.7</v>
      </c>
      <c r="S2688" s="8">
        <v>16.5</v>
      </c>
      <c r="T2688" s="8">
        <v>0.8</v>
      </c>
      <c r="U2688" s="8">
        <v>12.5</v>
      </c>
      <c r="V2688" s="8">
        <v>0.3</v>
      </c>
      <c r="W2688" s="8">
        <v>0.2</v>
      </c>
      <c r="X2688" s="8">
        <v>27</v>
      </c>
      <c r="Y2688" s="8" t="s">
        <v>12408</v>
      </c>
      <c r="Z2688" s="8" t="s">
        <v>12409</v>
      </c>
    </row>
    <row r="2689" spans="1:26" x14ac:dyDescent="0.2">
      <c r="A2689" s="8">
        <v>2688</v>
      </c>
      <c r="B2689" s="8" t="s">
        <v>12410</v>
      </c>
      <c r="C2689" s="8" t="s">
        <v>12410</v>
      </c>
      <c r="F2689" s="47"/>
      <c r="G2689" s="8">
        <v>18</v>
      </c>
      <c r="H2689" s="8" t="s">
        <v>21</v>
      </c>
      <c r="I2689" s="8" t="s">
        <v>22</v>
      </c>
      <c r="J2689" s="8" t="s">
        <v>22</v>
      </c>
      <c r="K2689" s="8" t="s">
        <v>37</v>
      </c>
      <c r="L2689" s="8" t="s">
        <v>12015</v>
      </c>
      <c r="M2689" s="8" t="s">
        <v>12016</v>
      </c>
      <c r="N2689" s="8" t="s">
        <v>12411</v>
      </c>
      <c r="O2689" s="8">
        <f>8+55/60+11.4/3600</f>
        <v>8.9198333333333331</v>
      </c>
      <c r="P2689" s="8" t="s">
        <v>12412</v>
      </c>
      <c r="Q2689" s="8">
        <f>+(49+7/60+21/3600)</f>
        <v>49.122500000000002</v>
      </c>
      <c r="R2689" s="8">
        <v>15.8</v>
      </c>
      <c r="S2689" s="8">
        <v>16.8</v>
      </c>
      <c r="T2689" s="8">
        <v>1</v>
      </c>
      <c r="U2689" s="8">
        <v>12.6</v>
      </c>
      <c r="V2689" s="8">
        <v>0.3</v>
      </c>
      <c r="W2689" s="8">
        <v>0.2</v>
      </c>
      <c r="X2689" s="8">
        <v>96</v>
      </c>
      <c r="Y2689" s="8" t="s">
        <v>12413</v>
      </c>
      <c r="Z2689" s="8" t="s">
        <v>12414</v>
      </c>
    </row>
    <row r="2690" spans="1:26" x14ac:dyDescent="0.2">
      <c r="A2690" s="8">
        <v>2689</v>
      </c>
      <c r="B2690" s="8" t="s">
        <v>12415</v>
      </c>
      <c r="C2690" s="8" t="s">
        <v>12415</v>
      </c>
      <c r="F2690" s="47"/>
      <c r="G2690" s="8">
        <v>19</v>
      </c>
      <c r="H2690" s="8" t="s">
        <v>21</v>
      </c>
      <c r="I2690" s="8" t="s">
        <v>22</v>
      </c>
      <c r="J2690" s="8" t="s">
        <v>22</v>
      </c>
      <c r="K2690" s="8" t="s">
        <v>37</v>
      </c>
      <c r="L2690" s="8" t="s">
        <v>12015</v>
      </c>
      <c r="M2690" s="8" t="s">
        <v>12016</v>
      </c>
      <c r="N2690" s="8" t="s">
        <v>12416</v>
      </c>
      <c r="O2690" s="8">
        <f>8+55/60+25.3/3600</f>
        <v>8.9236944444444433</v>
      </c>
      <c r="P2690" s="8" t="s">
        <v>12417</v>
      </c>
      <c r="Q2690" s="8">
        <f>+(49+6/60+55/3600)</f>
        <v>49.115277777777777</v>
      </c>
      <c r="R2690" s="8">
        <v>16.3</v>
      </c>
      <c r="S2690" s="8">
        <v>17.3</v>
      </c>
      <c r="T2690" s="8">
        <v>1</v>
      </c>
      <c r="U2690" s="8">
        <v>13.1</v>
      </c>
      <c r="V2690" s="8">
        <v>0.3</v>
      </c>
      <c r="W2690" s="8">
        <v>0.2</v>
      </c>
      <c r="X2690" s="8">
        <v>102</v>
      </c>
      <c r="Y2690" s="8" t="s">
        <v>12413</v>
      </c>
      <c r="Z2690" s="8" t="s">
        <v>12414</v>
      </c>
    </row>
    <row r="2691" spans="1:26" x14ac:dyDescent="0.2">
      <c r="A2691" s="8">
        <v>2690</v>
      </c>
      <c r="B2691" s="8" t="s">
        <v>12418</v>
      </c>
      <c r="C2691" s="8" t="s">
        <v>12418</v>
      </c>
      <c r="F2691" s="47"/>
      <c r="G2691" s="8">
        <v>19</v>
      </c>
      <c r="H2691" s="8" t="s">
        <v>21</v>
      </c>
      <c r="I2691" s="8" t="s">
        <v>22</v>
      </c>
      <c r="J2691" s="8" t="s">
        <v>22</v>
      </c>
      <c r="K2691" s="8" t="s">
        <v>31</v>
      </c>
      <c r="L2691" s="8" t="s">
        <v>11765</v>
      </c>
      <c r="M2691" s="8" t="s">
        <v>11766</v>
      </c>
      <c r="N2691" s="8" t="s">
        <v>12419</v>
      </c>
      <c r="O2691" s="8">
        <f>8+52/60+38/3600</f>
        <v>8.8772222222222226</v>
      </c>
      <c r="P2691" s="8" t="s">
        <v>12420</v>
      </c>
      <c r="Q2691" s="8">
        <f>-(2+36/60+13/3600)</f>
        <v>-2.6036111111111113</v>
      </c>
      <c r="R2691" s="8">
        <v>13.1</v>
      </c>
      <c r="S2691" s="8">
        <v>13.9</v>
      </c>
      <c r="T2691" s="8">
        <v>0.8</v>
      </c>
      <c r="U2691" s="8">
        <v>12.9</v>
      </c>
      <c r="V2691" s="8">
        <v>1.9</v>
      </c>
      <c r="W2691" s="8">
        <v>0.5</v>
      </c>
      <c r="X2691" s="8">
        <v>19</v>
      </c>
      <c r="Y2691" s="8" t="s">
        <v>1573</v>
      </c>
      <c r="Z2691" s="8" t="s">
        <v>1574</v>
      </c>
    </row>
    <row r="2692" spans="1:26" x14ac:dyDescent="0.2">
      <c r="A2692" s="8">
        <v>2691</v>
      </c>
      <c r="B2692" s="8" t="s">
        <v>12421</v>
      </c>
      <c r="C2692" s="8" t="s">
        <v>12421</v>
      </c>
      <c r="F2692" s="47" t="s">
        <v>56603</v>
      </c>
      <c r="G2692" s="8">
        <v>15</v>
      </c>
      <c r="H2692" s="8" t="s">
        <v>21</v>
      </c>
      <c r="I2692" s="8" t="s">
        <v>22</v>
      </c>
      <c r="J2692" s="8" t="s">
        <v>22</v>
      </c>
      <c r="K2692" s="8" t="s">
        <v>91</v>
      </c>
      <c r="L2692" s="8" t="s">
        <v>10511</v>
      </c>
      <c r="M2692" s="8" t="s">
        <v>10512</v>
      </c>
      <c r="N2692" s="8" t="s">
        <v>12422</v>
      </c>
      <c r="O2692" s="8">
        <f>8+54/60+46.3/3600</f>
        <v>8.9128611111111109</v>
      </c>
      <c r="P2692" s="8" t="s">
        <v>12423</v>
      </c>
      <c r="Q2692" s="8">
        <f>+(39+32/60+21/3600)</f>
        <v>39.539166666666667</v>
      </c>
      <c r="R2692" s="8">
        <v>13.1</v>
      </c>
      <c r="S2692" s="8">
        <v>13.9</v>
      </c>
      <c r="T2692" s="8">
        <v>0.8</v>
      </c>
      <c r="U2692" s="8">
        <v>13</v>
      </c>
      <c r="V2692" s="8">
        <v>0.9</v>
      </c>
      <c r="W2692" s="8">
        <v>0.5</v>
      </c>
      <c r="X2692" s="8">
        <v>165</v>
      </c>
      <c r="Y2692" s="8" t="s">
        <v>12424</v>
      </c>
      <c r="Z2692" s="8" t="s">
        <v>12425</v>
      </c>
    </row>
    <row r="2693" spans="1:26" x14ac:dyDescent="0.2">
      <c r="A2693" s="8">
        <v>2692</v>
      </c>
      <c r="B2693" s="8" t="s">
        <v>12426</v>
      </c>
      <c r="C2693" s="8" t="s">
        <v>12426</v>
      </c>
      <c r="F2693" s="47" t="s">
        <v>56604</v>
      </c>
      <c r="G2693" s="8">
        <v>15</v>
      </c>
      <c r="H2693" s="8" t="s">
        <v>21</v>
      </c>
      <c r="I2693" s="8" t="s">
        <v>22</v>
      </c>
      <c r="J2693" s="8" t="s">
        <v>22</v>
      </c>
      <c r="K2693" s="8" t="s">
        <v>406</v>
      </c>
      <c r="L2693" s="8" t="s">
        <v>12015</v>
      </c>
      <c r="M2693" s="8" t="s">
        <v>12016</v>
      </c>
      <c r="N2693" s="8" t="s">
        <v>12427</v>
      </c>
      <c r="O2693" s="8">
        <f>8+56/60+57.8/3600</f>
        <v>8.9493888888888886</v>
      </c>
      <c r="P2693" s="8" t="s">
        <v>12428</v>
      </c>
      <c r="Q2693" s="8">
        <f>+(52+3/60+57/3600)</f>
        <v>52.06583333333333</v>
      </c>
      <c r="R2693" s="8">
        <v>13.3</v>
      </c>
      <c r="S2693" s="8">
        <v>14.1</v>
      </c>
      <c r="T2693" s="8">
        <v>0.8</v>
      </c>
      <c r="U2693" s="8">
        <v>12.7</v>
      </c>
      <c r="V2693" s="8">
        <v>1.3</v>
      </c>
      <c r="W2693" s="8">
        <v>0.5</v>
      </c>
      <c r="X2693" s="8">
        <v>165</v>
      </c>
      <c r="Y2693" s="8" t="s">
        <v>11023</v>
      </c>
      <c r="Z2693" s="8" t="s">
        <v>11024</v>
      </c>
    </row>
    <row r="2694" spans="1:26" x14ac:dyDescent="0.2">
      <c r="A2694" s="8">
        <v>2693</v>
      </c>
      <c r="B2694" s="8" t="s">
        <v>12429</v>
      </c>
      <c r="C2694" s="8" t="s">
        <v>12429</v>
      </c>
      <c r="F2694" s="47" t="s">
        <v>56605</v>
      </c>
      <c r="G2694" s="8">
        <v>13</v>
      </c>
      <c r="H2694" s="8" t="s">
        <v>21</v>
      </c>
      <c r="I2694" s="8" t="s">
        <v>22</v>
      </c>
      <c r="J2694" s="8" t="s">
        <v>22</v>
      </c>
      <c r="K2694" s="8" t="s">
        <v>183</v>
      </c>
      <c r="L2694" s="8" t="s">
        <v>12015</v>
      </c>
      <c r="M2694" s="8" t="s">
        <v>12016</v>
      </c>
      <c r="N2694" s="8" t="s">
        <v>12430</v>
      </c>
      <c r="O2694" s="8">
        <f>8+56/60+59.4/3600</f>
        <v>8.9498333333333342</v>
      </c>
      <c r="P2694" s="8" t="s">
        <v>12431</v>
      </c>
      <c r="Q2694" s="8">
        <f>+(51+20/60+52/3600)</f>
        <v>51.347777777777779</v>
      </c>
      <c r="R2694" s="8">
        <v>11.9</v>
      </c>
      <c r="S2694" s="8">
        <v>12.8</v>
      </c>
      <c r="T2694" s="8">
        <v>0.9</v>
      </c>
      <c r="U2694" s="8">
        <v>13.6</v>
      </c>
      <c r="V2694" s="8">
        <v>2.6</v>
      </c>
      <c r="W2694" s="8">
        <v>1.8</v>
      </c>
      <c r="X2694" s="8">
        <v>160</v>
      </c>
      <c r="Y2694" s="8" t="s">
        <v>12432</v>
      </c>
      <c r="Z2694" s="8" t="s">
        <v>12433</v>
      </c>
    </row>
    <row r="2695" spans="1:26" x14ac:dyDescent="0.2">
      <c r="A2695" s="8">
        <v>2694</v>
      </c>
      <c r="B2695" s="8" t="s">
        <v>12434</v>
      </c>
      <c r="C2695" s="8" t="s">
        <v>12434</v>
      </c>
      <c r="F2695" s="47"/>
      <c r="G2695" s="8">
        <v>18</v>
      </c>
      <c r="H2695" s="8" t="s">
        <v>21</v>
      </c>
      <c r="I2695" s="8" t="s">
        <v>22</v>
      </c>
      <c r="J2695" s="8" t="s">
        <v>22</v>
      </c>
      <c r="K2695" s="8" t="s">
        <v>183</v>
      </c>
      <c r="L2695" s="8" t="s">
        <v>12015</v>
      </c>
      <c r="M2695" s="8" t="s">
        <v>12016</v>
      </c>
      <c r="N2695" s="8" t="s">
        <v>12435</v>
      </c>
      <c r="O2695" s="8">
        <f>8+56/60+59.2/3600</f>
        <v>8.9497777777777774</v>
      </c>
      <c r="P2695" s="8" t="s">
        <v>12436</v>
      </c>
      <c r="Q2695" s="8">
        <f>+(51+19/60+57/3600)</f>
        <v>51.332500000000003</v>
      </c>
      <c r="R2695" s="8">
        <v>14.4</v>
      </c>
      <c r="S2695" s="8">
        <v>15.4</v>
      </c>
      <c r="T2695" s="8">
        <v>1</v>
      </c>
      <c r="U2695" s="8">
        <v>14.7</v>
      </c>
      <c r="V2695" s="8">
        <v>1.2</v>
      </c>
      <c r="W2695" s="8">
        <v>1.2</v>
      </c>
      <c r="Y2695" s="8" t="s">
        <v>12437</v>
      </c>
      <c r="Z2695" s="8" t="s">
        <v>12438</v>
      </c>
    </row>
    <row r="2696" spans="1:26" x14ac:dyDescent="0.2">
      <c r="A2696" s="8">
        <v>2695</v>
      </c>
      <c r="B2696" s="8" t="s">
        <v>12439</v>
      </c>
      <c r="C2696" s="8" t="s">
        <v>12439</v>
      </c>
      <c r="F2696" s="47" t="s">
        <v>56606</v>
      </c>
      <c r="G2696" s="8">
        <v>15</v>
      </c>
      <c r="H2696" s="8" t="s">
        <v>21</v>
      </c>
      <c r="I2696" s="8" t="s">
        <v>22</v>
      </c>
      <c r="J2696" s="8" t="s">
        <v>22</v>
      </c>
      <c r="K2696" s="8" t="s">
        <v>37</v>
      </c>
      <c r="L2696" s="8" t="s">
        <v>11765</v>
      </c>
      <c r="M2696" s="8" t="s">
        <v>11766</v>
      </c>
      <c r="N2696" s="8" t="s">
        <v>12440</v>
      </c>
      <c r="O2696" s="8">
        <f>8+54/60+27/3600</f>
        <v>8.9075000000000006</v>
      </c>
      <c r="P2696" s="8" t="s">
        <v>12441</v>
      </c>
      <c r="Q2696" s="8">
        <f>-(3+4/60+1/3600)</f>
        <v>-3.0669444444444447</v>
      </c>
      <c r="R2696" s="8">
        <v>11.9</v>
      </c>
      <c r="S2696" s="8">
        <v>12.8</v>
      </c>
      <c r="T2696" s="8">
        <v>0.9</v>
      </c>
      <c r="U2696" s="8">
        <v>12.5</v>
      </c>
      <c r="V2696" s="8">
        <v>1.7</v>
      </c>
      <c r="W2696" s="8">
        <v>1.2</v>
      </c>
      <c r="X2696" s="8">
        <v>175</v>
      </c>
      <c r="Y2696" s="8" t="s">
        <v>12442</v>
      </c>
      <c r="Z2696" s="8" t="s">
        <v>12443</v>
      </c>
    </row>
    <row r="2697" spans="1:26" x14ac:dyDescent="0.2">
      <c r="A2697" s="8">
        <v>2696</v>
      </c>
      <c r="B2697" s="8" t="s">
        <v>12444</v>
      </c>
      <c r="C2697" s="8" t="s">
        <v>12444</v>
      </c>
      <c r="F2697" s="47"/>
      <c r="G2697" s="8">
        <v>19</v>
      </c>
      <c r="H2697" s="8" t="s">
        <v>21</v>
      </c>
      <c r="I2697" s="8" t="s">
        <v>22</v>
      </c>
      <c r="J2697" s="8" t="s">
        <v>22</v>
      </c>
      <c r="K2697" s="8" t="s">
        <v>460</v>
      </c>
      <c r="L2697" s="8" t="s">
        <v>11765</v>
      </c>
      <c r="M2697" s="8" t="s">
        <v>11766</v>
      </c>
      <c r="N2697" s="8" t="s">
        <v>12445</v>
      </c>
      <c r="O2697" s="8">
        <f>8+50/60+42/3600</f>
        <v>8.8450000000000006</v>
      </c>
      <c r="P2697" s="8" t="s">
        <v>12446</v>
      </c>
      <c r="Q2697" s="8">
        <f>-(5+0/60+34/3600)</f>
        <v>-5.0094444444444441</v>
      </c>
      <c r="R2697" s="8">
        <v>13.3</v>
      </c>
      <c r="S2697" s="8">
        <v>14.3</v>
      </c>
      <c r="T2697" s="8">
        <v>1</v>
      </c>
      <c r="U2697" s="8">
        <v>13.9</v>
      </c>
      <c r="V2697" s="8">
        <v>1.3</v>
      </c>
      <c r="W2697" s="8">
        <v>1.3</v>
      </c>
      <c r="Y2697" s="8" t="s">
        <v>2287</v>
      </c>
      <c r="Z2697" s="8" t="s">
        <v>2288</v>
      </c>
    </row>
    <row r="2698" spans="1:26" x14ac:dyDescent="0.2">
      <c r="A2698" s="8">
        <v>2697</v>
      </c>
      <c r="B2698" s="8" t="s">
        <v>12447</v>
      </c>
      <c r="C2698" s="8" t="s">
        <v>12447</v>
      </c>
      <c r="F2698" s="47"/>
      <c r="G2698" s="8">
        <v>18</v>
      </c>
      <c r="H2698" s="8" t="s">
        <v>21</v>
      </c>
      <c r="I2698" s="8" t="s">
        <v>22</v>
      </c>
      <c r="J2698" s="8" t="s">
        <v>22</v>
      </c>
      <c r="K2698" s="8" t="s">
        <v>632</v>
      </c>
      <c r="L2698" s="8" t="s">
        <v>11765</v>
      </c>
      <c r="M2698" s="8" t="s">
        <v>11766</v>
      </c>
      <c r="N2698" s="8" t="s">
        <v>12448</v>
      </c>
      <c r="O2698" s="8">
        <f>8+54/60+59.3/3600</f>
        <v>8.9164722222222217</v>
      </c>
      <c r="P2698" s="8" t="s">
        <v>12449</v>
      </c>
      <c r="Q2698" s="8">
        <f>-(2+59/60+16/3600)</f>
        <v>-2.9877777777777776</v>
      </c>
      <c r="R2698" s="8">
        <v>12.3</v>
      </c>
      <c r="S2698" s="8">
        <v>13.2</v>
      </c>
      <c r="T2698" s="8">
        <v>0.9</v>
      </c>
      <c r="U2698" s="8">
        <v>12.8</v>
      </c>
      <c r="V2698" s="8">
        <v>1.8</v>
      </c>
      <c r="W2698" s="8">
        <v>1.1000000000000001</v>
      </c>
      <c r="X2698" s="8">
        <v>129</v>
      </c>
      <c r="Y2698" s="8" t="s">
        <v>421</v>
      </c>
      <c r="Z2698" s="8" t="s">
        <v>422</v>
      </c>
    </row>
    <row r="2699" spans="1:26" x14ac:dyDescent="0.2">
      <c r="A2699" s="8">
        <v>2698</v>
      </c>
      <c r="B2699" s="8" t="s">
        <v>12450</v>
      </c>
      <c r="C2699" s="8" t="s">
        <v>12450</v>
      </c>
      <c r="F2699" s="47"/>
      <c r="G2699" s="8">
        <v>16</v>
      </c>
      <c r="H2699" s="8" t="s">
        <v>21</v>
      </c>
      <c r="I2699" s="8" t="s">
        <v>22</v>
      </c>
      <c r="J2699" s="8" t="s">
        <v>22</v>
      </c>
      <c r="K2699" s="8" t="s">
        <v>632</v>
      </c>
      <c r="L2699" s="8" t="s">
        <v>11765</v>
      </c>
      <c r="M2699" s="8" t="s">
        <v>11766</v>
      </c>
      <c r="N2699" s="8" t="s">
        <v>12451</v>
      </c>
      <c r="O2699" s="8">
        <f>8+55/60+36.4/3600</f>
        <v>8.9267777777777777</v>
      </c>
      <c r="P2699" s="8" t="s">
        <v>12452</v>
      </c>
      <c r="Q2699" s="8">
        <f>-(3+11/60+3/3600)</f>
        <v>-3.1841666666666666</v>
      </c>
      <c r="R2699" s="8">
        <v>12.6</v>
      </c>
      <c r="S2699" s="8">
        <v>13.5</v>
      </c>
      <c r="T2699" s="8">
        <v>0.9</v>
      </c>
      <c r="U2699" s="8">
        <v>12.2</v>
      </c>
      <c r="V2699" s="8">
        <v>1.5</v>
      </c>
      <c r="W2699" s="8">
        <v>0.5</v>
      </c>
      <c r="X2699" s="8">
        <v>96</v>
      </c>
      <c r="Y2699" s="8" t="s">
        <v>12453</v>
      </c>
      <c r="Z2699" s="8" t="s">
        <v>12454</v>
      </c>
    </row>
    <row r="2700" spans="1:26" x14ac:dyDescent="0.2">
      <c r="A2700" s="8">
        <v>2699</v>
      </c>
      <c r="B2700" s="8" t="s">
        <v>12455</v>
      </c>
      <c r="C2700" s="8" t="s">
        <v>12455</v>
      </c>
      <c r="F2700" s="47"/>
      <c r="G2700" s="8">
        <v>18</v>
      </c>
      <c r="H2700" s="8" t="s">
        <v>21</v>
      </c>
      <c r="I2700" s="8" t="s">
        <v>22</v>
      </c>
      <c r="J2700" s="8" t="s">
        <v>22</v>
      </c>
      <c r="K2700" s="8" t="s">
        <v>183</v>
      </c>
      <c r="L2700" s="8" t="s">
        <v>11765</v>
      </c>
      <c r="M2700" s="8" t="s">
        <v>11766</v>
      </c>
      <c r="N2700" s="8" t="s">
        <v>12456</v>
      </c>
      <c r="O2700" s="8">
        <f>8+55/60+48.8/3600</f>
        <v>8.9302222222222216</v>
      </c>
      <c r="P2700" s="8" t="s">
        <v>12457</v>
      </c>
      <c r="Q2700" s="8">
        <f>-(3+7/60+38/3600)</f>
        <v>-3.1272222222222221</v>
      </c>
      <c r="R2700" s="8">
        <v>12.6</v>
      </c>
      <c r="S2700" s="8">
        <v>13.6</v>
      </c>
      <c r="T2700" s="8">
        <v>1</v>
      </c>
      <c r="U2700" s="8">
        <v>12.8</v>
      </c>
      <c r="V2700" s="8">
        <v>1.1000000000000001</v>
      </c>
      <c r="W2700" s="8">
        <v>1</v>
      </c>
      <c r="X2700" s="8">
        <v>45</v>
      </c>
      <c r="Y2700" s="8" t="s">
        <v>12458</v>
      </c>
      <c r="Z2700" s="8" t="s">
        <v>12459</v>
      </c>
    </row>
    <row r="2701" spans="1:26" x14ac:dyDescent="0.2">
      <c r="A2701" s="8">
        <v>2700</v>
      </c>
      <c r="B2701" s="8" t="s">
        <v>12460</v>
      </c>
      <c r="C2701" s="8" t="s">
        <v>12460</v>
      </c>
      <c r="F2701" s="47"/>
      <c r="G2701" s="8">
        <v>18</v>
      </c>
      <c r="H2701" s="8" t="s">
        <v>21</v>
      </c>
      <c r="I2701" s="8" t="s">
        <v>72</v>
      </c>
      <c r="J2701" s="8" t="s">
        <v>72</v>
      </c>
      <c r="K2701" s="8" t="s">
        <v>20</v>
      </c>
      <c r="L2701" s="8" t="s">
        <v>11765</v>
      </c>
      <c r="M2701" s="8" t="s">
        <v>11766</v>
      </c>
      <c r="N2701" s="8" t="s">
        <v>12461</v>
      </c>
      <c r="O2701" s="8">
        <f>8+55/60+50.6/3600</f>
        <v>8.9307222222222222</v>
      </c>
      <c r="P2701" s="8" t="s">
        <v>12462</v>
      </c>
      <c r="Q2701" s="8">
        <f>-(3+6/60+58/3600)</f>
        <v>-3.1161111111111111</v>
      </c>
      <c r="R2701" s="8">
        <v>99</v>
      </c>
      <c r="S2701" s="8">
        <v>15.2</v>
      </c>
      <c r="T2701" s="8">
        <v>99</v>
      </c>
      <c r="U2701" s="8">
        <v>99</v>
      </c>
      <c r="Y2701" s="8" t="s">
        <v>12463</v>
      </c>
      <c r="Z2701" s="8" t="s">
        <v>12464</v>
      </c>
    </row>
    <row r="2702" spans="1:26" x14ac:dyDescent="0.2">
      <c r="A2702" s="8">
        <v>2701</v>
      </c>
      <c r="B2702" s="8" t="s">
        <v>12465</v>
      </c>
      <c r="C2702" s="8" t="s">
        <v>12465</v>
      </c>
      <c r="F2702" s="47" t="s">
        <v>56607</v>
      </c>
      <c r="G2702" s="8">
        <v>13</v>
      </c>
      <c r="H2702" s="8" t="s">
        <v>21</v>
      </c>
      <c r="I2702" s="8" t="s">
        <v>22</v>
      </c>
      <c r="J2702" s="8" t="s">
        <v>22</v>
      </c>
      <c r="K2702" s="8" t="s">
        <v>64</v>
      </c>
      <c r="L2702" s="8" t="s">
        <v>12015</v>
      </c>
      <c r="M2702" s="8" t="s">
        <v>12016</v>
      </c>
      <c r="N2702" s="8" t="s">
        <v>12466</v>
      </c>
      <c r="O2702" s="8">
        <f>8+59/60+5.5/3600</f>
        <v>8.9848611111111101</v>
      </c>
      <c r="P2702" s="8" t="s">
        <v>12467</v>
      </c>
      <c r="Q2702" s="8">
        <f>+(53+46/60+14/3600)</f>
        <v>53.770555555555553</v>
      </c>
      <c r="R2702" s="8">
        <v>12.3</v>
      </c>
      <c r="S2702" s="8">
        <v>12.7</v>
      </c>
      <c r="T2702" s="8">
        <v>0.4</v>
      </c>
      <c r="U2702" s="8">
        <v>13.5</v>
      </c>
      <c r="V2702" s="8">
        <v>2.2000000000000002</v>
      </c>
      <c r="W2702" s="8">
        <v>1.6</v>
      </c>
      <c r="X2702" s="8">
        <v>23</v>
      </c>
      <c r="Y2702" s="8" t="s">
        <v>12468</v>
      </c>
      <c r="Z2702" s="8" t="s">
        <v>12469</v>
      </c>
    </row>
    <row r="2703" spans="1:26" x14ac:dyDescent="0.2">
      <c r="A2703" s="8">
        <v>2702</v>
      </c>
      <c r="B2703" s="8" t="s">
        <v>12470</v>
      </c>
      <c r="C2703" s="8" t="s">
        <v>12470</v>
      </c>
      <c r="F2703" s="47"/>
      <c r="G2703" s="8">
        <v>18</v>
      </c>
      <c r="H2703" s="8" t="s">
        <v>21</v>
      </c>
      <c r="I2703" s="8" t="s">
        <v>72</v>
      </c>
      <c r="J2703" s="8" t="s">
        <v>72</v>
      </c>
      <c r="K2703" s="8" t="s">
        <v>20</v>
      </c>
      <c r="L2703" s="8" t="s">
        <v>11765</v>
      </c>
      <c r="M2703" s="8" t="s">
        <v>11766</v>
      </c>
      <c r="N2703" s="8" t="s">
        <v>12471</v>
      </c>
      <c r="O2703" s="8">
        <f>8+55/60+54.6/3600</f>
        <v>8.9318333333333335</v>
      </c>
      <c r="P2703" s="8" t="s">
        <v>12472</v>
      </c>
      <c r="Q2703" s="8">
        <f>-(3+3/60+53/3600)</f>
        <v>-3.0647222222222221</v>
      </c>
      <c r="R2703" s="8">
        <v>99</v>
      </c>
      <c r="S2703" s="8">
        <v>99</v>
      </c>
      <c r="T2703" s="8">
        <v>99</v>
      </c>
      <c r="U2703" s="8">
        <v>99</v>
      </c>
      <c r="Y2703" s="8" t="s">
        <v>12473</v>
      </c>
      <c r="Z2703" s="8" t="s">
        <v>12474</v>
      </c>
    </row>
    <row r="2704" spans="1:26" x14ac:dyDescent="0.2">
      <c r="A2704" s="8">
        <v>2703</v>
      </c>
      <c r="B2704" s="8" t="s">
        <v>12475</v>
      </c>
      <c r="C2704" s="8" t="s">
        <v>12475</v>
      </c>
      <c r="F2704" s="47"/>
      <c r="G2704" s="8">
        <v>18</v>
      </c>
      <c r="H2704" s="8" t="s">
        <v>21</v>
      </c>
      <c r="I2704" s="8" t="s">
        <v>72</v>
      </c>
      <c r="J2704" s="8" t="s">
        <v>72</v>
      </c>
      <c r="K2704" s="8" t="s">
        <v>73</v>
      </c>
      <c r="L2704" s="8" t="s">
        <v>11765</v>
      </c>
      <c r="M2704" s="8" t="s">
        <v>11766</v>
      </c>
      <c r="N2704" s="8" t="s">
        <v>12476</v>
      </c>
      <c r="O2704" s="8">
        <f>8+55/60+47.1/3600</f>
        <v>8.9297499999999985</v>
      </c>
      <c r="P2704" s="8" t="s">
        <v>12477</v>
      </c>
      <c r="Q2704" s="8">
        <f>-(3+18/60+23/3600)</f>
        <v>-3.3063888888888888</v>
      </c>
      <c r="R2704" s="8">
        <v>99</v>
      </c>
      <c r="S2704" s="8">
        <v>99</v>
      </c>
      <c r="T2704" s="8">
        <v>99</v>
      </c>
      <c r="U2704" s="8">
        <v>99</v>
      </c>
      <c r="Y2704" s="8" t="s">
        <v>12478</v>
      </c>
      <c r="Z2704" s="8" t="s">
        <v>12479</v>
      </c>
    </row>
    <row r="2705" spans="1:26" x14ac:dyDescent="0.2">
      <c r="A2705" s="8">
        <v>2704</v>
      </c>
      <c r="B2705" s="8" t="s">
        <v>12480</v>
      </c>
      <c r="C2705" s="8" t="s">
        <v>12480</v>
      </c>
      <c r="F2705" s="47" t="s">
        <v>56608</v>
      </c>
      <c r="G2705" s="8">
        <v>15</v>
      </c>
      <c r="H2705" s="8" t="s">
        <v>21</v>
      </c>
      <c r="I2705" s="8" t="s">
        <v>22</v>
      </c>
      <c r="J2705" s="8" t="s">
        <v>22</v>
      </c>
      <c r="K2705" s="8" t="s">
        <v>406</v>
      </c>
      <c r="L2705" s="8" t="s">
        <v>10511</v>
      </c>
      <c r="M2705" s="8" t="s">
        <v>10512</v>
      </c>
      <c r="N2705" s="8" t="s">
        <v>12481</v>
      </c>
      <c r="O2705" s="8">
        <f>8+56/60+47.7/3600</f>
        <v>8.9465833333333329</v>
      </c>
      <c r="P2705" s="8" t="s">
        <v>12482</v>
      </c>
      <c r="Q2705" s="8">
        <f>+(39+22/60+57/3600)</f>
        <v>39.3825</v>
      </c>
      <c r="R2705" s="8">
        <v>13.5</v>
      </c>
      <c r="S2705" s="8">
        <v>14.3</v>
      </c>
      <c r="T2705" s="8">
        <v>0.8</v>
      </c>
      <c r="U2705" s="8">
        <v>13.4</v>
      </c>
      <c r="V2705" s="8">
        <v>1</v>
      </c>
      <c r="W2705" s="8">
        <v>1</v>
      </c>
      <c r="Y2705" s="8" t="s">
        <v>282</v>
      </c>
      <c r="Z2705" s="8" t="s">
        <v>283</v>
      </c>
    </row>
    <row r="2706" spans="1:26" x14ac:dyDescent="0.2">
      <c r="A2706" s="8">
        <v>2705</v>
      </c>
      <c r="B2706" s="8" t="s">
        <v>12483</v>
      </c>
      <c r="C2706" s="8" t="s">
        <v>12483</v>
      </c>
      <c r="F2706" s="47"/>
      <c r="G2706" s="8">
        <v>18</v>
      </c>
      <c r="H2706" s="8" t="s">
        <v>21</v>
      </c>
      <c r="I2706" s="8" t="s">
        <v>72</v>
      </c>
      <c r="J2706" s="8" t="s">
        <v>72</v>
      </c>
      <c r="K2706" s="8" t="s">
        <v>20</v>
      </c>
      <c r="L2706" s="8" t="s">
        <v>11765</v>
      </c>
      <c r="M2706" s="8" t="s">
        <v>11766</v>
      </c>
      <c r="N2706" s="8" t="s">
        <v>12484</v>
      </c>
      <c r="O2706" s="8">
        <f>8+56/60+0/3600</f>
        <v>8.9333333333333336</v>
      </c>
      <c r="P2706" s="8" t="s">
        <v>12485</v>
      </c>
      <c r="Q2706" s="8">
        <f>-(3+0/60+51/3600)</f>
        <v>-3.0141666666666667</v>
      </c>
      <c r="R2706" s="8">
        <v>99</v>
      </c>
      <c r="S2706" s="8">
        <v>99</v>
      </c>
      <c r="T2706" s="8">
        <v>99</v>
      </c>
      <c r="U2706" s="8">
        <v>99</v>
      </c>
      <c r="Y2706" s="8" t="s">
        <v>12486</v>
      </c>
      <c r="Z2706" s="8" t="s">
        <v>12487</v>
      </c>
    </row>
    <row r="2707" spans="1:26" x14ac:dyDescent="0.2">
      <c r="A2707" s="8">
        <v>2706</v>
      </c>
      <c r="B2707" s="8" t="s">
        <v>12488</v>
      </c>
      <c r="C2707" s="8" t="s">
        <v>12488</v>
      </c>
      <c r="F2707" s="47"/>
      <c r="G2707" s="8">
        <v>19</v>
      </c>
      <c r="H2707" s="8" t="s">
        <v>21</v>
      </c>
      <c r="I2707" s="8" t="s">
        <v>22</v>
      </c>
      <c r="J2707" s="8" t="s">
        <v>22</v>
      </c>
      <c r="K2707" s="8" t="s">
        <v>396</v>
      </c>
      <c r="L2707" s="8" t="s">
        <v>11765</v>
      </c>
      <c r="M2707" s="8" t="s">
        <v>11766</v>
      </c>
      <c r="N2707" s="8" t="s">
        <v>12489</v>
      </c>
      <c r="O2707" s="8">
        <f>8+56/60+12.3/3600</f>
        <v>8.93675</v>
      </c>
      <c r="P2707" s="8" t="s">
        <v>12490</v>
      </c>
      <c r="Q2707" s="8">
        <f>-(2+33/60+48/3600)</f>
        <v>-2.563333333333333</v>
      </c>
      <c r="R2707" s="8">
        <v>13</v>
      </c>
      <c r="S2707" s="8">
        <v>13.8</v>
      </c>
      <c r="T2707" s="8">
        <v>0.8</v>
      </c>
      <c r="U2707" s="8">
        <v>12.9</v>
      </c>
      <c r="V2707" s="8">
        <v>1.8</v>
      </c>
      <c r="W2707" s="8">
        <v>0.6</v>
      </c>
      <c r="X2707" s="8">
        <v>167</v>
      </c>
      <c r="Y2707" s="8" t="s">
        <v>12491</v>
      </c>
      <c r="Z2707" s="8" t="s">
        <v>12492</v>
      </c>
    </row>
    <row r="2708" spans="1:26" x14ac:dyDescent="0.2">
      <c r="A2708" s="8">
        <v>2707</v>
      </c>
      <c r="B2708" s="8" t="s">
        <v>12493</v>
      </c>
      <c r="C2708" s="8" t="s">
        <v>12493</v>
      </c>
      <c r="F2708" s="47"/>
      <c r="G2708" s="8">
        <v>18</v>
      </c>
      <c r="H2708" s="8" t="s">
        <v>21</v>
      </c>
      <c r="I2708" s="8" t="s">
        <v>72</v>
      </c>
      <c r="J2708" s="8" t="s">
        <v>72</v>
      </c>
      <c r="K2708" s="8" t="s">
        <v>20</v>
      </c>
      <c r="L2708" s="8" t="s">
        <v>11765</v>
      </c>
      <c r="M2708" s="8" t="s">
        <v>11766</v>
      </c>
      <c r="N2708" s="8" t="s">
        <v>12494</v>
      </c>
      <c r="O2708" s="8">
        <f>8+56/60+5.6/3600</f>
        <v>8.9348888888888887</v>
      </c>
      <c r="P2708" s="8" t="s">
        <v>12495</v>
      </c>
      <c r="Q2708" s="8">
        <f>-(3+3/60+57/3600)</f>
        <v>-3.065833333333333</v>
      </c>
      <c r="R2708" s="8">
        <v>99</v>
      </c>
      <c r="S2708" s="8">
        <v>14.9</v>
      </c>
      <c r="T2708" s="8">
        <v>99</v>
      </c>
      <c r="U2708" s="8">
        <v>99</v>
      </c>
      <c r="Y2708" s="8" t="s">
        <v>745</v>
      </c>
      <c r="Z2708" s="8" t="s">
        <v>746</v>
      </c>
    </row>
    <row r="2709" spans="1:26" x14ac:dyDescent="0.2">
      <c r="A2709" s="8">
        <v>2708</v>
      </c>
      <c r="B2709" s="8" t="s">
        <v>12496</v>
      </c>
      <c r="C2709" s="8" t="s">
        <v>12496</v>
      </c>
      <c r="F2709" s="47" t="s">
        <v>56609</v>
      </c>
      <c r="G2709" s="8">
        <v>15</v>
      </c>
      <c r="H2709" s="8" t="s">
        <v>21</v>
      </c>
      <c r="I2709" s="8" t="s">
        <v>22</v>
      </c>
      <c r="J2709" s="8" t="s">
        <v>22</v>
      </c>
      <c r="K2709" s="8" t="s">
        <v>23</v>
      </c>
      <c r="L2709" s="8" t="s">
        <v>11765</v>
      </c>
      <c r="M2709" s="8" t="s">
        <v>11766</v>
      </c>
      <c r="N2709" s="8" t="s">
        <v>12497</v>
      </c>
      <c r="O2709" s="8">
        <f>8+56/60+7.9/3600</f>
        <v>8.9355277777777786</v>
      </c>
      <c r="P2709" s="8" t="s">
        <v>12498</v>
      </c>
      <c r="Q2709" s="8">
        <f>-(3+21/60+38/3600)</f>
        <v>-3.3605555555555555</v>
      </c>
      <c r="R2709" s="8">
        <v>12</v>
      </c>
      <c r="S2709" s="8">
        <v>12.8</v>
      </c>
      <c r="T2709" s="8">
        <v>0.8</v>
      </c>
      <c r="U2709" s="8">
        <v>13.2</v>
      </c>
      <c r="V2709" s="8">
        <v>2.7</v>
      </c>
      <c r="W2709" s="8">
        <v>1.4</v>
      </c>
      <c r="X2709" s="8">
        <v>25</v>
      </c>
      <c r="Y2709" s="8" t="s">
        <v>12499</v>
      </c>
      <c r="Z2709" s="8" t="s">
        <v>12500</v>
      </c>
    </row>
    <row r="2710" spans="1:26" x14ac:dyDescent="0.2">
      <c r="A2710" s="8">
        <v>2709</v>
      </c>
      <c r="B2710" s="8" t="s">
        <v>12501</v>
      </c>
      <c r="C2710" s="8" t="s">
        <v>12501</v>
      </c>
      <c r="F2710" s="47"/>
      <c r="G2710" s="8">
        <v>18</v>
      </c>
      <c r="H2710" s="8" t="s">
        <v>21</v>
      </c>
      <c r="I2710" s="8" t="s">
        <v>22</v>
      </c>
      <c r="J2710" s="8" t="s">
        <v>22</v>
      </c>
      <c r="K2710" s="8" t="s">
        <v>37</v>
      </c>
      <c r="L2710" s="8" t="s">
        <v>11765</v>
      </c>
      <c r="M2710" s="8" t="s">
        <v>11766</v>
      </c>
      <c r="N2710" s="8" t="s">
        <v>12502</v>
      </c>
      <c r="O2710" s="8">
        <f>8+56/60+12.8/3600</f>
        <v>8.9368888888888893</v>
      </c>
      <c r="P2710" s="8" t="s">
        <v>12503</v>
      </c>
      <c r="Q2710" s="8">
        <f>-(3+14/60+33/3600)</f>
        <v>-3.2425000000000002</v>
      </c>
      <c r="R2710" s="8">
        <v>13.7</v>
      </c>
      <c r="S2710" s="8">
        <v>14.7</v>
      </c>
      <c r="T2710" s="8">
        <v>1</v>
      </c>
      <c r="U2710" s="8">
        <v>12.8</v>
      </c>
      <c r="V2710" s="8">
        <v>0.8</v>
      </c>
      <c r="W2710" s="8">
        <v>0.6</v>
      </c>
      <c r="X2710" s="8">
        <v>81</v>
      </c>
      <c r="Y2710" s="8" t="s">
        <v>12504</v>
      </c>
      <c r="Z2710" s="8" t="s">
        <v>12505</v>
      </c>
    </row>
    <row r="2711" spans="1:26" x14ac:dyDescent="0.2">
      <c r="A2711" s="8">
        <v>2710</v>
      </c>
      <c r="B2711" s="8" t="s">
        <v>12506</v>
      </c>
      <c r="C2711" s="8" t="s">
        <v>12506</v>
      </c>
      <c r="F2711" s="47" t="s">
        <v>56610</v>
      </c>
      <c r="G2711" s="8">
        <v>15</v>
      </c>
      <c r="H2711" s="8" t="s">
        <v>21</v>
      </c>
      <c r="I2711" s="8" t="s">
        <v>22</v>
      </c>
      <c r="J2711" s="8" t="s">
        <v>22</v>
      </c>
      <c r="K2711" s="8" t="s">
        <v>218</v>
      </c>
      <c r="L2711" s="8" t="s">
        <v>12015</v>
      </c>
      <c r="M2711" s="8" t="s">
        <v>12016</v>
      </c>
      <c r="N2711" s="8" t="s">
        <v>12507</v>
      </c>
      <c r="O2711" s="8">
        <f>8+59/60+48.4/3600</f>
        <v>8.9967777777777762</v>
      </c>
      <c r="P2711" s="8" t="s">
        <v>12508</v>
      </c>
      <c r="Q2711" s="8">
        <f>+(55+42/60+21/3600)</f>
        <v>55.705833333333338</v>
      </c>
      <c r="R2711" s="8">
        <v>12.9</v>
      </c>
      <c r="S2711" s="8">
        <v>13.7</v>
      </c>
      <c r="T2711" s="8">
        <v>0.8</v>
      </c>
      <c r="U2711" s="8">
        <v>13.5</v>
      </c>
      <c r="V2711" s="8">
        <v>2</v>
      </c>
      <c r="W2711" s="8">
        <v>1</v>
      </c>
      <c r="X2711" s="8">
        <v>125</v>
      </c>
      <c r="Y2711" s="8" t="s">
        <v>1511</v>
      </c>
      <c r="Z2711" s="8" t="s">
        <v>1512</v>
      </c>
    </row>
    <row r="2712" spans="1:26" x14ac:dyDescent="0.2">
      <c r="A2712" s="8">
        <v>2711</v>
      </c>
      <c r="B2712" s="8" t="s">
        <v>12509</v>
      </c>
      <c r="C2712" s="8" t="s">
        <v>12509</v>
      </c>
      <c r="F2712" s="47"/>
      <c r="G2712" s="8">
        <v>18</v>
      </c>
      <c r="H2712" s="8" t="s">
        <v>21</v>
      </c>
      <c r="I2712" s="8" t="s">
        <v>22</v>
      </c>
      <c r="J2712" s="8" t="s">
        <v>22</v>
      </c>
      <c r="K2712" s="8" t="s">
        <v>85</v>
      </c>
      <c r="L2712" s="8" t="s">
        <v>11551</v>
      </c>
      <c r="M2712" s="8" t="s">
        <v>11552</v>
      </c>
      <c r="N2712" s="8" t="s">
        <v>12510</v>
      </c>
      <c r="O2712" s="8">
        <f>8+57/60+23.5/3600</f>
        <v>8.9565277777777776</v>
      </c>
      <c r="P2712" s="8" t="s">
        <v>12511</v>
      </c>
      <c r="Q2712" s="8">
        <f>+(17+17/60+17/3600)</f>
        <v>17.288055555555559</v>
      </c>
      <c r="R2712" s="8">
        <v>13.7</v>
      </c>
      <c r="S2712" s="8">
        <v>14.5</v>
      </c>
      <c r="T2712" s="8">
        <v>0.8</v>
      </c>
      <c r="U2712" s="8">
        <v>12.9</v>
      </c>
      <c r="V2712" s="8">
        <v>0.9</v>
      </c>
      <c r="W2712" s="8">
        <v>0.6</v>
      </c>
      <c r="X2712" s="8">
        <v>170</v>
      </c>
      <c r="Y2712" s="8" t="s">
        <v>170</v>
      </c>
      <c r="Z2712" s="8" t="s">
        <v>171</v>
      </c>
    </row>
    <row r="2713" spans="1:26" x14ac:dyDescent="0.2">
      <c r="A2713" s="8">
        <v>2712</v>
      </c>
      <c r="B2713" s="8" t="s">
        <v>12512</v>
      </c>
      <c r="C2713" s="8" t="s">
        <v>12512</v>
      </c>
      <c r="F2713" s="47"/>
      <c r="G2713" s="8">
        <v>13</v>
      </c>
      <c r="H2713" s="8" t="s">
        <v>21</v>
      </c>
      <c r="I2713" s="8" t="s">
        <v>22</v>
      </c>
      <c r="J2713" s="8" t="s">
        <v>22</v>
      </c>
      <c r="K2713" s="8" t="s">
        <v>218</v>
      </c>
      <c r="L2713" s="8" t="s">
        <v>10511</v>
      </c>
      <c r="M2713" s="8" t="s">
        <v>10512</v>
      </c>
      <c r="N2713" s="8" t="s">
        <v>12513</v>
      </c>
      <c r="O2713" s="8">
        <f>8+59/60+30.6/3600</f>
        <v>8.9918333333333322</v>
      </c>
      <c r="P2713" s="8" t="s">
        <v>12514</v>
      </c>
      <c r="Q2713" s="8">
        <f>+(44+54/60+50/3600)</f>
        <v>44.913888888888884</v>
      </c>
      <c r="R2713" s="8">
        <v>12.1</v>
      </c>
      <c r="S2713" s="8">
        <v>12.8</v>
      </c>
      <c r="T2713" s="8">
        <v>0.7</v>
      </c>
      <c r="U2713" s="8">
        <v>13.6</v>
      </c>
      <c r="V2713" s="8">
        <v>2.8</v>
      </c>
      <c r="W2713" s="8">
        <v>1.5</v>
      </c>
      <c r="X2713" s="8">
        <v>178</v>
      </c>
      <c r="Y2713" s="8" t="s">
        <v>12515</v>
      </c>
      <c r="Z2713" s="8" t="s">
        <v>12516</v>
      </c>
    </row>
    <row r="2714" spans="1:26" x14ac:dyDescent="0.2">
      <c r="A2714" s="8">
        <v>2713</v>
      </c>
      <c r="B2714" s="8" t="s">
        <v>12517</v>
      </c>
      <c r="C2714" s="8" t="s">
        <v>12517</v>
      </c>
      <c r="F2714" s="47"/>
      <c r="G2714" s="8">
        <v>12</v>
      </c>
      <c r="H2714" s="8" t="s">
        <v>21</v>
      </c>
      <c r="I2714" s="8" t="s">
        <v>22</v>
      </c>
      <c r="J2714" s="8" t="s">
        <v>22</v>
      </c>
      <c r="K2714" s="8" t="s">
        <v>406</v>
      </c>
      <c r="L2714" s="8" t="s">
        <v>11765</v>
      </c>
      <c r="M2714" s="8" t="s">
        <v>11766</v>
      </c>
      <c r="N2714" s="8" t="s">
        <v>12518</v>
      </c>
      <c r="O2714" s="8">
        <f>8+57/60+20.6/3600</f>
        <v>8.9557222222222208</v>
      </c>
      <c r="P2714" s="8" t="s">
        <v>12519</v>
      </c>
      <c r="Q2714" s="8">
        <f>+(2+55/60+17/3600)</f>
        <v>2.9213888888888886</v>
      </c>
      <c r="R2714" s="8">
        <v>11.8</v>
      </c>
      <c r="S2714" s="8">
        <v>12.7</v>
      </c>
      <c r="T2714" s="8">
        <v>0.9</v>
      </c>
      <c r="U2714" s="8">
        <v>13.5</v>
      </c>
      <c r="V2714" s="8">
        <v>3.6</v>
      </c>
      <c r="W2714" s="8">
        <v>1.5</v>
      </c>
      <c r="X2714" s="8">
        <v>107</v>
      </c>
      <c r="Y2714" s="8" t="s">
        <v>12520</v>
      </c>
      <c r="Z2714" s="8" t="s">
        <v>12521</v>
      </c>
    </row>
    <row r="2715" spans="1:26" x14ac:dyDescent="0.2">
      <c r="A2715" s="8">
        <v>2714</v>
      </c>
      <c r="B2715" s="8" t="s">
        <v>12522</v>
      </c>
      <c r="C2715" s="8" t="s">
        <v>12522</v>
      </c>
      <c r="F2715" s="47"/>
      <c r="G2715" s="8">
        <v>16</v>
      </c>
      <c r="H2715" s="8" t="s">
        <v>21</v>
      </c>
      <c r="I2715" s="8" t="s">
        <v>22</v>
      </c>
      <c r="J2715" s="8" t="s">
        <v>22</v>
      </c>
      <c r="K2715" s="8" t="s">
        <v>460</v>
      </c>
      <c r="L2715" s="8" t="s">
        <v>10135</v>
      </c>
      <c r="M2715" s="8" t="s">
        <v>10136</v>
      </c>
      <c r="N2715" s="8" t="s">
        <v>12523</v>
      </c>
      <c r="O2715" s="8">
        <f>8+53/60+29.8/3600</f>
        <v>8.8916111111111107</v>
      </c>
      <c r="P2715" s="8" t="s">
        <v>12524</v>
      </c>
      <c r="Q2715" s="8">
        <f>-(59+13/60+3/3600)</f>
        <v>-59.217500000000001</v>
      </c>
      <c r="R2715" s="8">
        <v>12.9</v>
      </c>
      <c r="S2715" s="8">
        <v>13.9</v>
      </c>
      <c r="T2715" s="8">
        <v>1</v>
      </c>
      <c r="U2715" s="8">
        <v>13.2</v>
      </c>
      <c r="V2715" s="8">
        <v>1.1000000000000001</v>
      </c>
      <c r="W2715" s="8">
        <v>1.1000000000000001</v>
      </c>
      <c r="Y2715" s="8" t="s">
        <v>12525</v>
      </c>
      <c r="Z2715" s="8" t="s">
        <v>12526</v>
      </c>
    </row>
    <row r="2716" spans="1:26" x14ac:dyDescent="0.2">
      <c r="A2716" s="8">
        <v>2715</v>
      </c>
      <c r="B2716" s="8" t="s">
        <v>12527</v>
      </c>
      <c r="C2716" s="8" t="s">
        <v>12527</v>
      </c>
      <c r="F2716" s="47"/>
      <c r="G2716" s="8">
        <v>7</v>
      </c>
      <c r="H2716" s="8" t="s">
        <v>21</v>
      </c>
      <c r="I2716" s="8" t="s">
        <v>22</v>
      </c>
      <c r="J2716" s="8" t="s">
        <v>22</v>
      </c>
      <c r="K2716" s="8" t="s">
        <v>64</v>
      </c>
      <c r="L2716" s="8" t="s">
        <v>6823</v>
      </c>
      <c r="M2716" s="8" t="s">
        <v>6824</v>
      </c>
      <c r="N2716" s="8" t="s">
        <v>12528</v>
      </c>
      <c r="O2716" s="8">
        <f>9+8/60+5.9/3600</f>
        <v>9.1349722222222223</v>
      </c>
      <c r="P2716" s="8" t="s">
        <v>12529</v>
      </c>
      <c r="Q2716" s="8">
        <f>+(78+5/60+9/3600)</f>
        <v>78.085833333333326</v>
      </c>
      <c r="R2716" s="8">
        <v>11.2</v>
      </c>
      <c r="S2716" s="8">
        <v>11.8</v>
      </c>
      <c r="T2716" s="8">
        <v>0.6</v>
      </c>
      <c r="U2716" s="8">
        <v>13.4</v>
      </c>
      <c r="V2716" s="8">
        <v>4.8</v>
      </c>
      <c r="W2716" s="8">
        <v>1.6</v>
      </c>
      <c r="X2716" s="8">
        <v>22</v>
      </c>
      <c r="Y2716" s="8" t="s">
        <v>12530</v>
      </c>
      <c r="Z2716" s="8" t="s">
        <v>12531</v>
      </c>
    </row>
    <row r="2717" spans="1:26" x14ac:dyDescent="0.2">
      <c r="A2717" s="8">
        <v>2716</v>
      </c>
      <c r="B2717" s="8" t="s">
        <v>12532</v>
      </c>
      <c r="C2717" s="8" t="s">
        <v>12532</v>
      </c>
      <c r="F2717" s="47"/>
      <c r="G2717" s="8">
        <v>18</v>
      </c>
      <c r="H2717" s="8" t="s">
        <v>21</v>
      </c>
      <c r="I2717" s="8" t="s">
        <v>22</v>
      </c>
      <c r="J2717" s="8" t="s">
        <v>22</v>
      </c>
      <c r="K2717" s="8" t="s">
        <v>435</v>
      </c>
      <c r="L2717" s="8" t="s">
        <v>11765</v>
      </c>
      <c r="M2717" s="8" t="s">
        <v>11766</v>
      </c>
      <c r="N2717" s="8" t="s">
        <v>12533</v>
      </c>
      <c r="O2717" s="8">
        <f>8+57/60+35.8/3600</f>
        <v>8.959944444444444</v>
      </c>
      <c r="P2717" s="8" t="s">
        <v>12534</v>
      </c>
      <c r="Q2717" s="8">
        <f>+(3+5/60+25/3600)</f>
        <v>3.0902777777777781</v>
      </c>
      <c r="R2717" s="8">
        <v>11.8</v>
      </c>
      <c r="S2717" s="8">
        <v>12.7</v>
      </c>
      <c r="T2717" s="8">
        <v>0.9</v>
      </c>
      <c r="U2717" s="8">
        <v>12</v>
      </c>
      <c r="V2717" s="8">
        <v>1.3</v>
      </c>
      <c r="W2717" s="8">
        <v>1</v>
      </c>
      <c r="X2717" s="8">
        <v>30</v>
      </c>
      <c r="Y2717" s="8" t="s">
        <v>232</v>
      </c>
      <c r="Z2717" s="8" t="s">
        <v>233</v>
      </c>
    </row>
    <row r="2718" spans="1:26" x14ac:dyDescent="0.2">
      <c r="A2718" s="8">
        <v>2717</v>
      </c>
      <c r="B2718" s="8" t="s">
        <v>12535</v>
      </c>
      <c r="C2718" s="8" t="s">
        <v>12535</v>
      </c>
      <c r="F2718" s="47"/>
      <c r="G2718" s="8">
        <v>16</v>
      </c>
      <c r="H2718" s="8" t="s">
        <v>21</v>
      </c>
      <c r="I2718" s="8" t="s">
        <v>22</v>
      </c>
      <c r="J2718" s="8" t="s">
        <v>22</v>
      </c>
      <c r="K2718" s="8" t="s">
        <v>118</v>
      </c>
      <c r="L2718" s="8" t="s">
        <v>12074</v>
      </c>
      <c r="M2718" s="8" t="s">
        <v>12075</v>
      </c>
      <c r="N2718" s="8" t="s">
        <v>12536</v>
      </c>
      <c r="O2718" s="8">
        <f>8+57/60+1.1/3600</f>
        <v>8.9503055555555555</v>
      </c>
      <c r="P2718" s="8" t="s">
        <v>12537</v>
      </c>
      <c r="Q2718" s="8">
        <f>-(24+40/60+26/3600)</f>
        <v>-24.673888888888889</v>
      </c>
      <c r="R2718" s="8">
        <v>12.3</v>
      </c>
      <c r="S2718" s="8">
        <v>13.4</v>
      </c>
      <c r="T2718" s="8">
        <v>1.1000000000000001</v>
      </c>
      <c r="U2718" s="8">
        <v>13.5</v>
      </c>
      <c r="V2718" s="8">
        <v>2.1</v>
      </c>
      <c r="W2718" s="8">
        <v>1.5</v>
      </c>
      <c r="X2718" s="8">
        <v>11</v>
      </c>
      <c r="Y2718" s="8" t="s">
        <v>12538</v>
      </c>
      <c r="Z2718" s="8" t="s">
        <v>11549</v>
      </c>
    </row>
    <row r="2719" spans="1:26" x14ac:dyDescent="0.2">
      <c r="A2719" s="8">
        <v>2718</v>
      </c>
      <c r="B2719" s="8" t="s">
        <v>12539</v>
      </c>
      <c r="C2719" s="8" t="s">
        <v>12539</v>
      </c>
      <c r="F2719" s="47" t="s">
        <v>56611</v>
      </c>
      <c r="G2719" s="8">
        <v>15</v>
      </c>
      <c r="H2719" s="8" t="s">
        <v>21</v>
      </c>
      <c r="I2719" s="8" t="s">
        <v>22</v>
      </c>
      <c r="J2719" s="8" t="s">
        <v>22</v>
      </c>
      <c r="K2719" s="8" t="s">
        <v>406</v>
      </c>
      <c r="L2719" s="8" t="s">
        <v>11765</v>
      </c>
      <c r="M2719" s="8" t="s">
        <v>11766</v>
      </c>
      <c r="N2719" s="8" t="s">
        <v>12540</v>
      </c>
      <c r="O2719" s="8">
        <f>8+58/60+50.3/3600</f>
        <v>8.9806388888888886</v>
      </c>
      <c r="P2719" s="8" t="s">
        <v>12541</v>
      </c>
      <c r="Q2719" s="8">
        <f>+(6+17/60+38/3600)</f>
        <v>6.2938888888888886</v>
      </c>
      <c r="R2719" s="8">
        <v>11.8</v>
      </c>
      <c r="S2719" s="8">
        <v>12.6</v>
      </c>
      <c r="T2719" s="8">
        <v>0.8</v>
      </c>
      <c r="U2719" s="8">
        <v>13.3</v>
      </c>
      <c r="V2719" s="8">
        <v>2.1</v>
      </c>
      <c r="W2719" s="8">
        <v>2.1</v>
      </c>
      <c r="Y2719" s="8" t="s">
        <v>12542</v>
      </c>
      <c r="Z2719" s="8" t="s">
        <v>12543</v>
      </c>
    </row>
    <row r="2720" spans="1:26" x14ac:dyDescent="0.2">
      <c r="A2720" s="8">
        <v>2719</v>
      </c>
      <c r="B2720" s="8" t="s">
        <v>12544</v>
      </c>
      <c r="C2720" s="8" t="s">
        <v>12544</v>
      </c>
      <c r="F2720" s="47" t="s">
        <v>56612</v>
      </c>
      <c r="G2720" s="8">
        <v>15</v>
      </c>
      <c r="H2720" s="8" t="s">
        <v>21</v>
      </c>
      <c r="I2720" s="8" t="s">
        <v>22</v>
      </c>
      <c r="J2720" s="8" t="s">
        <v>22</v>
      </c>
      <c r="K2720" s="8" t="s">
        <v>3616</v>
      </c>
      <c r="L2720" s="8" t="s">
        <v>10511</v>
      </c>
      <c r="M2720" s="8" t="s">
        <v>10512</v>
      </c>
      <c r="N2720" s="8" t="s">
        <v>12545</v>
      </c>
      <c r="O2720" s="8">
        <f>9+0/60+15.6/3600</f>
        <v>9.0043333333333333</v>
      </c>
      <c r="P2720" s="8" t="s">
        <v>12546</v>
      </c>
      <c r="Q2720" s="8">
        <f>+(35+43/60+40/3600)</f>
        <v>35.727777777777781</v>
      </c>
      <c r="R2720" s="8">
        <v>13.1</v>
      </c>
      <c r="S2720" s="8">
        <v>13.7</v>
      </c>
      <c r="T2720" s="8">
        <v>0.6</v>
      </c>
      <c r="U2720" s="8">
        <v>11.9</v>
      </c>
      <c r="V2720" s="8">
        <v>1.1000000000000001</v>
      </c>
      <c r="W2720" s="8">
        <v>0.3</v>
      </c>
      <c r="X2720" s="8">
        <v>133</v>
      </c>
      <c r="Y2720" s="8" t="s">
        <v>12547</v>
      </c>
      <c r="Z2720" s="8" t="s">
        <v>12548</v>
      </c>
    </row>
    <row r="2721" spans="1:26" x14ac:dyDescent="0.2">
      <c r="A2721" s="8">
        <v>2720</v>
      </c>
      <c r="B2721" s="8" t="s">
        <v>12549</v>
      </c>
      <c r="C2721" s="8" t="s">
        <v>12549</v>
      </c>
      <c r="F2721" s="47"/>
      <c r="G2721" s="8">
        <v>18</v>
      </c>
      <c r="H2721" s="8" t="s">
        <v>21</v>
      </c>
      <c r="I2721" s="8" t="s">
        <v>22</v>
      </c>
      <c r="J2721" s="8" t="s">
        <v>22</v>
      </c>
      <c r="K2721" s="8" t="s">
        <v>58</v>
      </c>
      <c r="L2721" s="8" t="s">
        <v>11551</v>
      </c>
      <c r="M2721" s="8" t="s">
        <v>11552</v>
      </c>
      <c r="N2721" s="8" t="s">
        <v>12550</v>
      </c>
      <c r="O2721" s="8">
        <f>8+59/60+8/3600</f>
        <v>8.9855555555555551</v>
      </c>
      <c r="P2721" s="8" t="s">
        <v>12551</v>
      </c>
      <c r="Q2721" s="8">
        <f>+(11+8/60+59/3600)</f>
        <v>11.149722222222222</v>
      </c>
      <c r="R2721" s="8">
        <v>12.8</v>
      </c>
      <c r="S2721" s="8">
        <v>13.8</v>
      </c>
      <c r="T2721" s="8">
        <v>1</v>
      </c>
      <c r="U2721" s="8">
        <v>12.9</v>
      </c>
      <c r="V2721" s="8">
        <v>1.1000000000000001</v>
      </c>
      <c r="W2721" s="8">
        <v>1.1000000000000001</v>
      </c>
      <c r="Y2721" s="8" t="s">
        <v>2641</v>
      </c>
      <c r="Z2721" s="8" t="s">
        <v>2642</v>
      </c>
    </row>
    <row r="2722" spans="1:26" x14ac:dyDescent="0.2">
      <c r="A2722" s="8">
        <v>2721</v>
      </c>
      <c r="B2722" s="8" t="s">
        <v>12552</v>
      </c>
      <c r="C2722" s="8" t="s">
        <v>12552</v>
      </c>
      <c r="F2722" s="47" t="s">
        <v>56613</v>
      </c>
      <c r="G2722" s="8">
        <v>15</v>
      </c>
      <c r="H2722" s="8" t="s">
        <v>21</v>
      </c>
      <c r="I2722" s="8" t="s">
        <v>22</v>
      </c>
      <c r="J2722" s="8" t="s">
        <v>22</v>
      </c>
      <c r="K2722" s="8" t="s">
        <v>396</v>
      </c>
      <c r="L2722" s="8" t="s">
        <v>11765</v>
      </c>
      <c r="M2722" s="8" t="s">
        <v>11766</v>
      </c>
      <c r="N2722" s="8" t="s">
        <v>12553</v>
      </c>
      <c r="O2722" s="8">
        <f>8+58/60+56.5/3600</f>
        <v>8.9823611111111106</v>
      </c>
      <c r="P2722" s="8" t="s">
        <v>12554</v>
      </c>
      <c r="Q2722" s="8">
        <f>-(4+54/60+5/3600)</f>
        <v>-4.9013888888888895</v>
      </c>
      <c r="R2722" s="8">
        <v>12.2</v>
      </c>
      <c r="S2722" s="8">
        <v>13</v>
      </c>
      <c r="T2722" s="8">
        <v>0.8</v>
      </c>
      <c r="U2722" s="8">
        <v>13.5</v>
      </c>
      <c r="V2722" s="8">
        <v>2.4</v>
      </c>
      <c r="W2722" s="8">
        <v>1.6</v>
      </c>
      <c r="X2722" s="8">
        <v>153</v>
      </c>
      <c r="Y2722" s="8" t="s">
        <v>12555</v>
      </c>
      <c r="Z2722" s="8" t="s">
        <v>12556</v>
      </c>
    </row>
    <row r="2723" spans="1:26" x14ac:dyDescent="0.2">
      <c r="A2723" s="8">
        <v>2722</v>
      </c>
      <c r="B2723" s="8" t="s">
        <v>12557</v>
      </c>
      <c r="C2723" s="8" t="s">
        <v>12557</v>
      </c>
      <c r="F2723" s="47" t="s">
        <v>56614</v>
      </c>
      <c r="G2723" s="8">
        <v>15</v>
      </c>
      <c r="H2723" s="8" t="s">
        <v>21</v>
      </c>
      <c r="I2723" s="8" t="s">
        <v>22</v>
      </c>
      <c r="J2723" s="8" t="s">
        <v>22</v>
      </c>
      <c r="K2723" s="8" t="s">
        <v>396</v>
      </c>
      <c r="L2723" s="8" t="s">
        <v>11765</v>
      </c>
      <c r="M2723" s="8" t="s">
        <v>11766</v>
      </c>
      <c r="N2723" s="8" t="s">
        <v>12558</v>
      </c>
      <c r="O2723" s="8">
        <f>8+58/60+46.1/3600</f>
        <v>8.9794722222222223</v>
      </c>
      <c r="P2723" s="8" t="s">
        <v>12559</v>
      </c>
      <c r="Q2723" s="8">
        <f>-(3+42/60+35/3600)</f>
        <v>-3.7097222222222226</v>
      </c>
      <c r="R2723" s="8">
        <v>12.7</v>
      </c>
      <c r="S2723" s="8">
        <v>13.5</v>
      </c>
      <c r="T2723" s="8">
        <v>0.8</v>
      </c>
      <c r="U2723" s="8">
        <v>13.6</v>
      </c>
      <c r="V2723" s="8">
        <v>2</v>
      </c>
      <c r="W2723" s="8">
        <v>1.3</v>
      </c>
      <c r="X2723" s="8">
        <v>64</v>
      </c>
      <c r="Y2723" s="8" t="s">
        <v>1948</v>
      </c>
      <c r="Z2723" s="8" t="s">
        <v>1949</v>
      </c>
    </row>
    <row r="2724" spans="1:26" x14ac:dyDescent="0.2">
      <c r="A2724" s="8">
        <v>2723</v>
      </c>
      <c r="B2724" s="8" t="s">
        <v>12560</v>
      </c>
      <c r="C2724" s="8" t="s">
        <v>12560</v>
      </c>
      <c r="F2724" s="47"/>
      <c r="G2724" s="8">
        <v>18</v>
      </c>
      <c r="H2724" s="8" t="s">
        <v>21</v>
      </c>
      <c r="I2724" s="8" t="s">
        <v>22</v>
      </c>
      <c r="J2724" s="8" t="s">
        <v>22</v>
      </c>
      <c r="K2724" s="8" t="s">
        <v>37</v>
      </c>
      <c r="L2724" s="8" t="s">
        <v>11765</v>
      </c>
      <c r="M2724" s="8" t="s">
        <v>11766</v>
      </c>
      <c r="N2724" s="8" t="s">
        <v>12561</v>
      </c>
      <c r="O2724" s="8">
        <f>9+0/60+14.3/3600</f>
        <v>9.003972222222222</v>
      </c>
      <c r="P2724" s="8" t="s">
        <v>12562</v>
      </c>
      <c r="Q2724" s="8">
        <f>+(3+10/60+42/3600)</f>
        <v>3.1783333333333332</v>
      </c>
      <c r="R2724" s="8">
        <v>13.2</v>
      </c>
      <c r="S2724" s="8">
        <v>14.2</v>
      </c>
      <c r="T2724" s="8">
        <v>1</v>
      </c>
      <c r="U2724" s="8">
        <v>12.6</v>
      </c>
      <c r="V2724" s="8">
        <v>0.8</v>
      </c>
      <c r="W2724" s="8">
        <v>0.8</v>
      </c>
      <c r="Y2724" s="8" t="s">
        <v>895</v>
      </c>
      <c r="Z2724" s="8" t="s">
        <v>896</v>
      </c>
    </row>
    <row r="2725" spans="1:26" x14ac:dyDescent="0.2">
      <c r="A2725" s="8">
        <v>2724</v>
      </c>
      <c r="B2725" s="8" t="s">
        <v>12563</v>
      </c>
      <c r="C2725" s="8" t="s">
        <v>12563</v>
      </c>
      <c r="F2725" s="47"/>
      <c r="G2725" s="8">
        <v>16</v>
      </c>
      <c r="H2725" s="8" t="s">
        <v>21</v>
      </c>
      <c r="I2725" s="8" t="s">
        <v>22</v>
      </c>
      <c r="J2725" s="8" t="s">
        <v>22</v>
      </c>
      <c r="K2725" s="8" t="s">
        <v>64</v>
      </c>
      <c r="L2725" s="8" t="s">
        <v>10511</v>
      </c>
      <c r="M2725" s="8" t="s">
        <v>10512</v>
      </c>
      <c r="N2725" s="8" t="s">
        <v>12564</v>
      </c>
      <c r="O2725" s="8">
        <f>9+1/60+1.8/3600</f>
        <v>9.0171666666666681</v>
      </c>
      <c r="P2725" s="8" t="s">
        <v>12565</v>
      </c>
      <c r="Q2725" s="8">
        <f>+(35+45/60+45/3600)</f>
        <v>35.762500000000003</v>
      </c>
      <c r="R2725" s="8">
        <v>13.6</v>
      </c>
      <c r="S2725" s="8">
        <v>14.3</v>
      </c>
      <c r="T2725" s="8">
        <v>0.7</v>
      </c>
      <c r="U2725" s="8">
        <v>14.5</v>
      </c>
      <c r="V2725" s="8">
        <v>1.8</v>
      </c>
      <c r="W2725" s="8">
        <v>1.6</v>
      </c>
      <c r="X2725" s="8">
        <v>2</v>
      </c>
      <c r="Y2725" s="8" t="s">
        <v>12566</v>
      </c>
      <c r="Z2725" s="8" t="s">
        <v>12567</v>
      </c>
    </row>
    <row r="2726" spans="1:26" x14ac:dyDescent="0.2">
      <c r="A2726" s="8">
        <v>2725</v>
      </c>
      <c r="B2726" s="8" t="s">
        <v>12568</v>
      </c>
      <c r="C2726" s="8" t="s">
        <v>12568</v>
      </c>
      <c r="F2726" s="47"/>
      <c r="G2726" s="8">
        <v>18</v>
      </c>
      <c r="H2726" s="8" t="s">
        <v>21</v>
      </c>
      <c r="I2726" s="8" t="s">
        <v>22</v>
      </c>
      <c r="J2726" s="8" t="s">
        <v>22</v>
      </c>
      <c r="K2726" s="8" t="s">
        <v>1174</v>
      </c>
      <c r="L2726" s="8" t="s">
        <v>11551</v>
      </c>
      <c r="M2726" s="8" t="s">
        <v>11552</v>
      </c>
      <c r="N2726" s="8" t="s">
        <v>12569</v>
      </c>
      <c r="O2726" s="8">
        <f>9+1/60+3.2/3600</f>
        <v>9.0175555555555569</v>
      </c>
      <c r="P2726" s="8" t="s">
        <v>12570</v>
      </c>
      <c r="Q2726" s="8">
        <f>+(11+5/60+51/3600)</f>
        <v>11.0975</v>
      </c>
      <c r="R2726" s="8">
        <v>13.5</v>
      </c>
      <c r="S2726" s="8">
        <v>14.5</v>
      </c>
      <c r="T2726" s="8">
        <v>1</v>
      </c>
      <c r="U2726" s="8">
        <v>12.4</v>
      </c>
      <c r="V2726" s="8">
        <v>0.7</v>
      </c>
      <c r="W2726" s="8">
        <v>0.6</v>
      </c>
      <c r="X2726" s="8">
        <v>54</v>
      </c>
      <c r="Y2726" s="8" t="s">
        <v>12571</v>
      </c>
      <c r="Z2726" s="8" t="s">
        <v>12572</v>
      </c>
    </row>
    <row r="2727" spans="1:26" x14ac:dyDescent="0.2">
      <c r="A2727" s="8">
        <v>2726</v>
      </c>
      <c r="B2727" s="8" t="s">
        <v>12573</v>
      </c>
      <c r="C2727" s="8" t="s">
        <v>12573</v>
      </c>
      <c r="F2727" s="47" t="s">
        <v>56615</v>
      </c>
      <c r="G2727" s="8">
        <v>15</v>
      </c>
      <c r="H2727" s="8" t="s">
        <v>21</v>
      </c>
      <c r="I2727" s="8" t="s">
        <v>22</v>
      </c>
      <c r="J2727" s="8" t="s">
        <v>22</v>
      </c>
      <c r="K2727" s="8" t="s">
        <v>91</v>
      </c>
      <c r="L2727" s="8" t="s">
        <v>12015</v>
      </c>
      <c r="M2727" s="8" t="s">
        <v>12016</v>
      </c>
      <c r="N2727" s="8" t="s">
        <v>12574</v>
      </c>
      <c r="O2727" s="8">
        <f>9+4/60+56.8/3600</f>
        <v>9.0824444444444445</v>
      </c>
      <c r="P2727" s="8" t="s">
        <v>12575</v>
      </c>
      <c r="Q2727" s="8">
        <f>+(59+56/60+0/3600)</f>
        <v>59.93333333333333</v>
      </c>
      <c r="R2727" s="8">
        <v>12.5</v>
      </c>
      <c r="S2727" s="8">
        <v>13.4</v>
      </c>
      <c r="T2727" s="8">
        <v>0.9</v>
      </c>
      <c r="U2727" s="8">
        <v>12.1</v>
      </c>
      <c r="V2727" s="8">
        <v>1.6</v>
      </c>
      <c r="W2727" s="8">
        <v>0.5</v>
      </c>
      <c r="X2727" s="8">
        <v>87</v>
      </c>
      <c r="Y2727" s="8" t="s">
        <v>12576</v>
      </c>
      <c r="Z2727" s="8" t="s">
        <v>12577</v>
      </c>
    </row>
    <row r="2728" spans="1:26" x14ac:dyDescent="0.2">
      <c r="A2728" s="8">
        <v>2727</v>
      </c>
      <c r="B2728" s="8" t="s">
        <v>12578</v>
      </c>
      <c r="C2728" s="8" t="s">
        <v>12578</v>
      </c>
      <c r="F2728" s="47"/>
      <c r="G2728" s="8">
        <v>16</v>
      </c>
      <c r="H2728" s="8" t="s">
        <v>21</v>
      </c>
      <c r="I2728" s="8" t="s">
        <v>22</v>
      </c>
      <c r="J2728" s="8" t="s">
        <v>57</v>
      </c>
      <c r="K2728" s="8" t="s">
        <v>23</v>
      </c>
      <c r="L2728" s="8" t="s">
        <v>11765</v>
      </c>
      <c r="M2728" s="8" t="s">
        <v>11766</v>
      </c>
      <c r="N2728" s="8" t="s">
        <v>12497</v>
      </c>
      <c r="O2728" s="8">
        <f>8+56/60+7.9/3600</f>
        <v>8.9355277777777786</v>
      </c>
      <c r="P2728" s="8" t="s">
        <v>12498</v>
      </c>
      <c r="Q2728" s="8">
        <f>-(3+21/60+38/3600)</f>
        <v>-3.3605555555555555</v>
      </c>
      <c r="R2728" s="8">
        <v>12</v>
      </c>
      <c r="S2728" s="8">
        <v>12.8</v>
      </c>
      <c r="T2728" s="8">
        <v>0.8</v>
      </c>
      <c r="U2728" s="8">
        <v>13.2</v>
      </c>
      <c r="V2728" s="8">
        <v>2.7</v>
      </c>
      <c r="W2728" s="8">
        <v>1.4</v>
      </c>
      <c r="X2728" s="8">
        <v>25</v>
      </c>
      <c r="Y2728" s="8" t="s">
        <v>12499</v>
      </c>
      <c r="Z2728" s="8" t="s">
        <v>12579</v>
      </c>
    </row>
    <row r="2729" spans="1:26" x14ac:dyDescent="0.2">
      <c r="A2729" s="8">
        <v>2728</v>
      </c>
      <c r="B2729" s="8" t="s">
        <v>12580</v>
      </c>
      <c r="C2729" s="8" t="s">
        <v>12580</v>
      </c>
      <c r="F2729" s="47"/>
      <c r="G2729" s="8">
        <v>18</v>
      </c>
      <c r="H2729" s="8" t="s">
        <v>21</v>
      </c>
      <c r="I2729" s="8" t="s">
        <v>22</v>
      </c>
      <c r="J2729" s="8" t="s">
        <v>22</v>
      </c>
      <c r="K2729" s="8" t="s">
        <v>23</v>
      </c>
      <c r="L2729" s="8" t="s">
        <v>11551</v>
      </c>
      <c r="M2729" s="8" t="s">
        <v>11552</v>
      </c>
      <c r="N2729" s="8" t="s">
        <v>12581</v>
      </c>
      <c r="O2729" s="8">
        <f>9+1/60+40.9/3600</f>
        <v>9.028027777777778</v>
      </c>
      <c r="P2729" s="8" t="s">
        <v>12582</v>
      </c>
      <c r="Q2729" s="8">
        <f>+(11+5/60+1/3600)</f>
        <v>11.083611111111111</v>
      </c>
      <c r="R2729" s="8">
        <v>13.6</v>
      </c>
      <c r="S2729" s="8">
        <v>14.4</v>
      </c>
      <c r="T2729" s="8">
        <v>0.8</v>
      </c>
      <c r="U2729" s="8">
        <v>13.4</v>
      </c>
      <c r="V2729" s="8">
        <v>1.1000000000000001</v>
      </c>
      <c r="W2729" s="8">
        <v>0.8</v>
      </c>
      <c r="X2729" s="8">
        <v>60</v>
      </c>
      <c r="Y2729" s="8" t="s">
        <v>12583</v>
      </c>
      <c r="Z2729" s="8" t="s">
        <v>12584</v>
      </c>
    </row>
    <row r="2730" spans="1:26" x14ac:dyDescent="0.2">
      <c r="A2730" s="8">
        <v>2729</v>
      </c>
      <c r="B2730" s="8" t="s">
        <v>12585</v>
      </c>
      <c r="C2730" s="8" t="s">
        <v>12585</v>
      </c>
      <c r="F2730" s="47"/>
      <c r="G2730" s="8">
        <v>18</v>
      </c>
      <c r="H2730" s="8" t="s">
        <v>21</v>
      </c>
      <c r="I2730" s="8" t="s">
        <v>22</v>
      </c>
      <c r="J2730" s="8" t="s">
        <v>22</v>
      </c>
      <c r="K2730" s="8" t="s">
        <v>37</v>
      </c>
      <c r="L2730" s="8" t="s">
        <v>11765</v>
      </c>
      <c r="M2730" s="8" t="s">
        <v>11766</v>
      </c>
      <c r="N2730" s="8" t="s">
        <v>12586</v>
      </c>
      <c r="O2730" s="8">
        <f>9+1/60+28.6/3600</f>
        <v>9.0246111111111116</v>
      </c>
      <c r="P2730" s="8" t="s">
        <v>12587</v>
      </c>
      <c r="Q2730" s="8">
        <f>+(3+43/60+16/3600)</f>
        <v>3.721111111111111</v>
      </c>
      <c r="R2730" s="8">
        <v>13.4</v>
      </c>
      <c r="S2730" s="8">
        <v>14.3</v>
      </c>
      <c r="T2730" s="8">
        <v>0.9</v>
      </c>
      <c r="U2730" s="8">
        <v>12.3</v>
      </c>
      <c r="V2730" s="8">
        <v>0.8</v>
      </c>
      <c r="W2730" s="8">
        <v>0.5</v>
      </c>
      <c r="X2730" s="8">
        <v>6</v>
      </c>
      <c r="Y2730" s="8" t="s">
        <v>421</v>
      </c>
      <c r="Z2730" s="8" t="s">
        <v>422</v>
      </c>
    </row>
    <row r="2731" spans="1:26" x14ac:dyDescent="0.2">
      <c r="A2731" s="8">
        <v>2730</v>
      </c>
      <c r="B2731" s="8" t="s">
        <v>12588</v>
      </c>
      <c r="C2731" s="8" t="s">
        <v>12588</v>
      </c>
      <c r="F2731" s="47"/>
      <c r="G2731" s="8">
        <v>18</v>
      </c>
      <c r="H2731" s="8" t="s">
        <v>21</v>
      </c>
      <c r="I2731" s="8" t="s">
        <v>22</v>
      </c>
      <c r="J2731" s="8" t="s">
        <v>22</v>
      </c>
      <c r="K2731" s="8" t="s">
        <v>773</v>
      </c>
      <c r="L2731" s="8" t="s">
        <v>11551</v>
      </c>
      <c r="M2731" s="8" t="s">
        <v>11552</v>
      </c>
      <c r="N2731" s="8" t="s">
        <v>12589</v>
      </c>
      <c r="O2731" s="8">
        <f>9+2/60+15.8/3600</f>
        <v>9.0377222222222215</v>
      </c>
      <c r="P2731" s="8" t="s">
        <v>12590</v>
      </c>
      <c r="Q2731" s="8">
        <f>+(16+50/60+18/3600)</f>
        <v>16.838333333333331</v>
      </c>
      <c r="R2731" s="8">
        <v>13</v>
      </c>
      <c r="S2731" s="8">
        <v>13.6</v>
      </c>
      <c r="T2731" s="8">
        <v>0.6</v>
      </c>
      <c r="U2731" s="8">
        <v>13.7</v>
      </c>
      <c r="V2731" s="8">
        <v>1.7</v>
      </c>
      <c r="W2731" s="8">
        <v>1.3</v>
      </c>
      <c r="X2731" s="8">
        <v>80</v>
      </c>
      <c r="Y2731" s="8" t="s">
        <v>12591</v>
      </c>
      <c r="Z2731" s="8" t="s">
        <v>12592</v>
      </c>
    </row>
    <row r="2732" spans="1:26" x14ac:dyDescent="0.2">
      <c r="A2732" s="8">
        <v>2731</v>
      </c>
      <c r="B2732" s="8" t="s">
        <v>12593</v>
      </c>
      <c r="C2732" s="8" t="s">
        <v>12593</v>
      </c>
      <c r="F2732" s="47"/>
      <c r="G2732" s="8">
        <v>18</v>
      </c>
      <c r="H2732" s="8" t="s">
        <v>21</v>
      </c>
      <c r="I2732" s="8" t="s">
        <v>22</v>
      </c>
      <c r="J2732" s="8" t="s">
        <v>22</v>
      </c>
      <c r="K2732" s="8" t="s">
        <v>160</v>
      </c>
      <c r="L2732" s="8" t="s">
        <v>11551</v>
      </c>
      <c r="M2732" s="8" t="s">
        <v>11552</v>
      </c>
      <c r="N2732" s="8" t="s">
        <v>12594</v>
      </c>
      <c r="O2732" s="8">
        <f>9+2/60+8.2/3600</f>
        <v>9.0356111111111108</v>
      </c>
      <c r="P2732" s="8" t="s">
        <v>12595</v>
      </c>
      <c r="Q2732" s="8">
        <f>+(8+18/60+2/3600)</f>
        <v>8.3005555555555564</v>
      </c>
      <c r="R2732" s="8">
        <v>13.7</v>
      </c>
      <c r="S2732" s="8">
        <v>14.4</v>
      </c>
      <c r="T2732" s="8">
        <v>0.7</v>
      </c>
      <c r="U2732" s="8">
        <v>12.6</v>
      </c>
      <c r="V2732" s="8">
        <v>0.8</v>
      </c>
      <c r="W2732" s="8">
        <v>0.5</v>
      </c>
      <c r="X2732" s="8">
        <v>70</v>
      </c>
      <c r="Y2732" s="8" t="s">
        <v>2181</v>
      </c>
      <c r="Z2732" s="8" t="s">
        <v>2182</v>
      </c>
    </row>
    <row r="2733" spans="1:26" x14ac:dyDescent="0.2">
      <c r="A2733" s="8">
        <v>2732</v>
      </c>
      <c r="B2733" s="8" t="s">
        <v>12596</v>
      </c>
      <c r="C2733" s="8" t="s">
        <v>12596</v>
      </c>
      <c r="F2733" s="47"/>
      <c r="G2733" s="8">
        <v>13</v>
      </c>
      <c r="H2733" s="8" t="s">
        <v>21</v>
      </c>
      <c r="I2733" s="8" t="s">
        <v>22</v>
      </c>
      <c r="J2733" s="8" t="s">
        <v>22</v>
      </c>
      <c r="K2733" s="8" t="s">
        <v>37</v>
      </c>
      <c r="L2733" s="8" t="s">
        <v>6823</v>
      </c>
      <c r="M2733" s="8" t="s">
        <v>6824</v>
      </c>
      <c r="N2733" s="8" t="s">
        <v>12597</v>
      </c>
      <c r="O2733" s="8">
        <f>9+13/60+25/3600</f>
        <v>9.2236111111111114</v>
      </c>
      <c r="P2733" s="8" t="s">
        <v>12598</v>
      </c>
      <c r="Q2733" s="8">
        <f>+(79+11/60+16/3600)</f>
        <v>79.187777777777782</v>
      </c>
      <c r="R2733" s="8">
        <v>11.9</v>
      </c>
      <c r="S2733" s="8">
        <v>12.9</v>
      </c>
      <c r="T2733" s="8">
        <v>1</v>
      </c>
      <c r="U2733" s="8">
        <v>12.3</v>
      </c>
      <c r="V2733" s="8">
        <v>2.1</v>
      </c>
      <c r="W2733" s="8">
        <v>0.9</v>
      </c>
      <c r="X2733" s="8">
        <v>67</v>
      </c>
      <c r="Y2733" s="8" t="s">
        <v>12599</v>
      </c>
      <c r="Z2733" s="8" t="s">
        <v>12600</v>
      </c>
    </row>
    <row r="2734" spans="1:26" x14ac:dyDescent="0.2">
      <c r="A2734" s="8">
        <v>2733</v>
      </c>
      <c r="B2734" s="8" t="s">
        <v>12601</v>
      </c>
      <c r="C2734" s="8" t="s">
        <v>12601</v>
      </c>
      <c r="F2734" s="47"/>
      <c r="G2734" s="8">
        <v>16</v>
      </c>
      <c r="H2734" s="8" t="s">
        <v>21</v>
      </c>
      <c r="I2734" s="8" t="s">
        <v>22</v>
      </c>
      <c r="J2734" s="8" t="s">
        <v>57</v>
      </c>
      <c r="K2734" s="8" t="s">
        <v>396</v>
      </c>
      <c r="L2734" s="8" t="s">
        <v>11765</v>
      </c>
      <c r="M2734" s="8" t="s">
        <v>11766</v>
      </c>
      <c r="N2734" s="8" t="s">
        <v>12558</v>
      </c>
      <c r="O2734" s="8">
        <f>8+58/60+46.1/3600</f>
        <v>8.9794722222222223</v>
      </c>
      <c r="P2734" s="8" t="s">
        <v>12559</v>
      </c>
      <c r="Q2734" s="8">
        <f>-(3+42/60+35/3600)</f>
        <v>-3.7097222222222226</v>
      </c>
      <c r="R2734" s="8">
        <v>12.7</v>
      </c>
      <c r="S2734" s="8">
        <v>13.5</v>
      </c>
      <c r="T2734" s="8">
        <v>0.8</v>
      </c>
      <c r="U2734" s="8">
        <v>13.6</v>
      </c>
      <c r="V2734" s="8">
        <v>2</v>
      </c>
      <c r="W2734" s="8">
        <v>1.3</v>
      </c>
      <c r="X2734" s="8">
        <v>64</v>
      </c>
      <c r="Y2734" s="8" t="s">
        <v>1948</v>
      </c>
      <c r="Z2734" s="8" t="s">
        <v>11372</v>
      </c>
    </row>
    <row r="2735" spans="1:26" x14ac:dyDescent="0.2">
      <c r="A2735" s="8">
        <v>2734</v>
      </c>
      <c r="B2735" s="8" t="s">
        <v>12602</v>
      </c>
      <c r="C2735" s="8" t="s">
        <v>12602</v>
      </c>
      <c r="F2735" s="47"/>
      <c r="G2735" s="8">
        <v>18</v>
      </c>
      <c r="H2735" s="8" t="s">
        <v>21</v>
      </c>
      <c r="I2735" s="8" t="s">
        <v>22</v>
      </c>
      <c r="J2735" s="8" t="s">
        <v>22</v>
      </c>
      <c r="K2735" s="8" t="s">
        <v>1136</v>
      </c>
      <c r="L2735" s="8" t="s">
        <v>11551</v>
      </c>
      <c r="M2735" s="8" t="s">
        <v>11552</v>
      </c>
      <c r="N2735" s="8" t="s">
        <v>12603</v>
      </c>
      <c r="O2735" s="8">
        <f>9+3/60+1.5/3600</f>
        <v>9.050416666666667</v>
      </c>
      <c r="P2735" s="8" t="s">
        <v>12604</v>
      </c>
      <c r="Q2735" s="8">
        <f>+(16+51/60+51/3600)</f>
        <v>16.864166666666669</v>
      </c>
      <c r="R2735" s="8">
        <v>15.5</v>
      </c>
      <c r="S2735" s="8">
        <v>16.5</v>
      </c>
      <c r="T2735" s="8">
        <v>1</v>
      </c>
      <c r="U2735" s="8">
        <v>14.3</v>
      </c>
      <c r="V2735" s="8">
        <v>0.6</v>
      </c>
      <c r="W2735" s="8">
        <v>0.5</v>
      </c>
      <c r="X2735" s="8">
        <v>84</v>
      </c>
      <c r="Y2735" s="8" t="s">
        <v>385</v>
      </c>
      <c r="Z2735" s="8" t="s">
        <v>386</v>
      </c>
    </row>
    <row r="2736" spans="1:26" x14ac:dyDescent="0.2">
      <c r="A2736" s="8">
        <v>2735</v>
      </c>
      <c r="B2736" s="8" t="s">
        <v>12605</v>
      </c>
      <c r="C2736" s="8" t="s">
        <v>12605</v>
      </c>
      <c r="F2736" s="47"/>
      <c r="G2736" s="8">
        <v>19</v>
      </c>
      <c r="H2736" s="8" t="s">
        <v>21</v>
      </c>
      <c r="I2736" s="8" t="s">
        <v>22</v>
      </c>
      <c r="J2736" s="8" t="s">
        <v>22</v>
      </c>
      <c r="K2736" s="8" t="s">
        <v>5751</v>
      </c>
      <c r="L2736" s="8" t="s">
        <v>11551</v>
      </c>
      <c r="M2736" s="8" t="s">
        <v>11552</v>
      </c>
      <c r="N2736" s="8" t="s">
        <v>12606</v>
      </c>
      <c r="O2736" s="8">
        <f>9+2/60+38.5/3600</f>
        <v>9.044027777777778</v>
      </c>
      <c r="P2736" s="8" t="s">
        <v>12607</v>
      </c>
      <c r="Q2736" s="8">
        <f>+(25+56/60+5/3600)</f>
        <v>25.934722222222224</v>
      </c>
      <c r="R2736" s="8">
        <v>13.3</v>
      </c>
      <c r="S2736" s="8">
        <v>14.1</v>
      </c>
      <c r="T2736" s="8">
        <v>0.8</v>
      </c>
      <c r="U2736" s="8">
        <v>12.5</v>
      </c>
      <c r="V2736" s="8">
        <v>1.2</v>
      </c>
      <c r="W2736" s="8">
        <v>0.4</v>
      </c>
      <c r="X2736" s="8">
        <v>94</v>
      </c>
      <c r="Y2736" s="8" t="s">
        <v>12608</v>
      </c>
      <c r="Z2736" s="8" t="s">
        <v>12609</v>
      </c>
    </row>
    <row r="2737" spans="1:26" x14ac:dyDescent="0.2">
      <c r="A2737" s="8">
        <v>2736</v>
      </c>
      <c r="B2737" s="8" t="s">
        <v>12610</v>
      </c>
      <c r="C2737" s="8" t="s">
        <v>12610</v>
      </c>
      <c r="F2737" s="47"/>
      <c r="G2737" s="8">
        <v>10</v>
      </c>
      <c r="H2737" s="8" t="s">
        <v>12611</v>
      </c>
      <c r="I2737" s="8" t="s">
        <v>1283</v>
      </c>
      <c r="J2737" s="8" t="s">
        <v>1283</v>
      </c>
      <c r="K2737" s="8" t="s">
        <v>8889</v>
      </c>
      <c r="L2737" s="8" t="s">
        <v>11757</v>
      </c>
      <c r="M2737" s="8" t="s">
        <v>11758</v>
      </c>
      <c r="N2737" s="8" t="s">
        <v>12612</v>
      </c>
      <c r="O2737" s="8">
        <f>9+0/60+17/3600</f>
        <v>9.0047222222222221</v>
      </c>
      <c r="P2737" s="8" t="s">
        <v>12613</v>
      </c>
      <c r="Q2737" s="8">
        <f>-(45+56/60+53/3600)</f>
        <v>-45.948055555555555</v>
      </c>
      <c r="R2737" s="8">
        <v>99</v>
      </c>
      <c r="S2737" s="8">
        <v>99</v>
      </c>
      <c r="T2737" s="8">
        <v>99</v>
      </c>
      <c r="U2737" s="8">
        <v>99</v>
      </c>
      <c r="V2737" s="8">
        <v>20</v>
      </c>
      <c r="W2737" s="8">
        <v>2</v>
      </c>
      <c r="Y2737" s="8" t="s">
        <v>12614</v>
      </c>
      <c r="Z2737" s="8" t="s">
        <v>12615</v>
      </c>
    </row>
    <row r="2738" spans="1:26" x14ac:dyDescent="0.2">
      <c r="A2738" s="8">
        <v>2737</v>
      </c>
      <c r="B2738" s="8" t="s">
        <v>12616</v>
      </c>
      <c r="C2738" s="8" t="s">
        <v>12616</v>
      </c>
      <c r="F2738" s="47"/>
      <c r="G2738" s="8">
        <v>18</v>
      </c>
      <c r="H2738" s="8" t="s">
        <v>21</v>
      </c>
      <c r="I2738" s="8" t="s">
        <v>22</v>
      </c>
      <c r="J2738" s="8" t="s">
        <v>22</v>
      </c>
      <c r="K2738" s="8" t="s">
        <v>31</v>
      </c>
      <c r="L2738" s="8" t="s">
        <v>11551</v>
      </c>
      <c r="M2738" s="8" t="s">
        <v>11552</v>
      </c>
      <c r="N2738" s="8" t="s">
        <v>12617</v>
      </c>
      <c r="O2738" s="8">
        <f>9+3/60+59.6/3600</f>
        <v>9.0665555555555564</v>
      </c>
      <c r="P2738" s="8" t="s">
        <v>12618</v>
      </c>
      <c r="Q2738" s="8">
        <f>+(21+54/60+23/3600)</f>
        <v>21.906388888888888</v>
      </c>
      <c r="R2738" s="8">
        <v>14.1</v>
      </c>
      <c r="S2738" s="8">
        <v>14.9</v>
      </c>
      <c r="T2738" s="8">
        <v>0.8</v>
      </c>
      <c r="U2738" s="8">
        <v>12.8</v>
      </c>
      <c r="V2738" s="8">
        <v>0.9</v>
      </c>
      <c r="W2738" s="8">
        <v>0.4</v>
      </c>
      <c r="X2738" s="8">
        <v>61</v>
      </c>
      <c r="Y2738" s="8" t="s">
        <v>12619</v>
      </c>
      <c r="Z2738" s="8" t="s">
        <v>12620</v>
      </c>
    </row>
    <row r="2739" spans="1:26" x14ac:dyDescent="0.2">
      <c r="A2739" s="8">
        <v>2738</v>
      </c>
      <c r="B2739" s="8" t="s">
        <v>12621</v>
      </c>
      <c r="C2739" s="8" t="s">
        <v>12621</v>
      </c>
      <c r="F2739" s="47"/>
      <c r="G2739" s="8">
        <v>18</v>
      </c>
      <c r="H2739" s="8" t="s">
        <v>21</v>
      </c>
      <c r="I2739" s="8" t="s">
        <v>22</v>
      </c>
      <c r="J2739" s="8" t="s">
        <v>22</v>
      </c>
      <c r="K2739" s="8" t="s">
        <v>160</v>
      </c>
      <c r="L2739" s="8" t="s">
        <v>11551</v>
      </c>
      <c r="M2739" s="8" t="s">
        <v>11552</v>
      </c>
      <c r="N2739" s="8" t="s">
        <v>12622</v>
      </c>
      <c r="O2739" s="8">
        <f>9+4/60+0.5/3600</f>
        <v>9.0668055555555558</v>
      </c>
      <c r="P2739" s="8" t="s">
        <v>12623</v>
      </c>
      <c r="Q2739" s="8">
        <f>+(21+58/60+6/3600)</f>
        <v>21.96833333333333</v>
      </c>
      <c r="R2739" s="8">
        <v>13.1</v>
      </c>
      <c r="S2739" s="8">
        <v>13.8</v>
      </c>
      <c r="T2739" s="8">
        <v>0.7</v>
      </c>
      <c r="U2739" s="8">
        <v>12.8</v>
      </c>
      <c r="V2739" s="8">
        <v>1.4</v>
      </c>
      <c r="W2739" s="8">
        <v>0.6</v>
      </c>
      <c r="X2739" s="8">
        <v>55</v>
      </c>
      <c r="Y2739" s="8" t="s">
        <v>12624</v>
      </c>
      <c r="Z2739" s="8" t="s">
        <v>12625</v>
      </c>
    </row>
    <row r="2740" spans="1:26" x14ac:dyDescent="0.2">
      <c r="A2740" s="8">
        <v>2739</v>
      </c>
      <c r="B2740" s="8" t="s">
        <v>12626</v>
      </c>
      <c r="C2740" s="8" t="s">
        <v>12626</v>
      </c>
      <c r="F2740" s="47"/>
      <c r="G2740" s="8">
        <v>18</v>
      </c>
      <c r="H2740" s="8" t="s">
        <v>21</v>
      </c>
      <c r="I2740" s="8" t="s">
        <v>22</v>
      </c>
      <c r="J2740" s="8" t="s">
        <v>22</v>
      </c>
      <c r="K2740" s="8" t="s">
        <v>31</v>
      </c>
      <c r="L2740" s="8" t="s">
        <v>12015</v>
      </c>
      <c r="M2740" s="8" t="s">
        <v>12016</v>
      </c>
      <c r="N2740" s="8" t="s">
        <v>12627</v>
      </c>
      <c r="O2740" s="8">
        <f>9+6/60+2.7/3600</f>
        <v>9.1007499999999997</v>
      </c>
      <c r="P2740" s="8" t="s">
        <v>12628</v>
      </c>
      <c r="Q2740" s="8">
        <f>+(51+44/60+40/3600)</f>
        <v>51.744444444444447</v>
      </c>
      <c r="R2740" s="8">
        <v>14.7</v>
      </c>
      <c r="S2740" s="8">
        <v>15.5</v>
      </c>
      <c r="T2740" s="8">
        <v>0.8</v>
      </c>
      <c r="U2740" s="8">
        <v>12.7</v>
      </c>
      <c r="V2740" s="8">
        <v>0.9</v>
      </c>
      <c r="W2740" s="8">
        <v>0.2</v>
      </c>
      <c r="X2740" s="8">
        <v>96</v>
      </c>
      <c r="Y2740" s="8" t="s">
        <v>12629</v>
      </c>
      <c r="Z2740" s="8" t="s">
        <v>12630</v>
      </c>
    </row>
    <row r="2741" spans="1:26" x14ac:dyDescent="0.2">
      <c r="A2741" s="8">
        <v>2740</v>
      </c>
      <c r="B2741" s="8" t="s">
        <v>12631</v>
      </c>
      <c r="C2741" s="8" t="s">
        <v>12631</v>
      </c>
      <c r="F2741" s="47"/>
      <c r="G2741" s="8">
        <v>16</v>
      </c>
      <c r="H2741" s="8" t="s">
        <v>21</v>
      </c>
      <c r="I2741" s="8" t="s">
        <v>22</v>
      </c>
      <c r="J2741" s="8" t="s">
        <v>22</v>
      </c>
      <c r="K2741" s="8" t="s">
        <v>31</v>
      </c>
      <c r="L2741" s="8" t="s">
        <v>12015</v>
      </c>
      <c r="M2741" s="8" t="s">
        <v>12016</v>
      </c>
      <c r="N2741" s="8" t="s">
        <v>12632</v>
      </c>
      <c r="O2741" s="8">
        <f>9+6/60+5/3600</f>
        <v>9.1013888888888879</v>
      </c>
      <c r="P2741" s="8" t="s">
        <v>12633</v>
      </c>
      <c r="Q2741" s="8">
        <f>+(51+44/60+8/3600)</f>
        <v>51.735555555555557</v>
      </c>
      <c r="R2741" s="8">
        <v>14</v>
      </c>
      <c r="S2741" s="8">
        <v>14.8</v>
      </c>
      <c r="T2741" s="8">
        <v>0.8</v>
      </c>
      <c r="U2741" s="8">
        <v>13.4</v>
      </c>
      <c r="V2741" s="8">
        <v>1</v>
      </c>
      <c r="W2741" s="8">
        <v>0.9</v>
      </c>
      <c r="X2741" s="8">
        <v>45</v>
      </c>
      <c r="Y2741" s="8" t="s">
        <v>237</v>
      </c>
      <c r="Z2741" s="8" t="s">
        <v>238</v>
      </c>
    </row>
    <row r="2742" spans="1:26" x14ac:dyDescent="0.2">
      <c r="A2742" s="8">
        <v>2741</v>
      </c>
      <c r="B2742" s="8" t="s">
        <v>12634</v>
      </c>
      <c r="C2742" s="8" t="s">
        <v>12634</v>
      </c>
      <c r="F2742" s="47"/>
      <c r="G2742" s="8">
        <v>18</v>
      </c>
      <c r="H2742" s="8" t="s">
        <v>21</v>
      </c>
      <c r="I2742" s="8" t="s">
        <v>22</v>
      </c>
      <c r="J2742" s="8" t="s">
        <v>22</v>
      </c>
      <c r="K2742" s="8" t="s">
        <v>37</v>
      </c>
      <c r="L2742" s="8" t="s">
        <v>11551</v>
      </c>
      <c r="M2742" s="8" t="s">
        <v>11552</v>
      </c>
      <c r="N2742" s="8" t="s">
        <v>12635</v>
      </c>
      <c r="O2742" s="8">
        <f>9+3/60+16.5/3600</f>
        <v>9.0545833333333334</v>
      </c>
      <c r="P2742" s="8" t="s">
        <v>12636</v>
      </c>
      <c r="Q2742" s="8">
        <f>+(18+15/60+38/3600)</f>
        <v>18.260555555555555</v>
      </c>
      <c r="R2742" s="8">
        <v>15</v>
      </c>
      <c r="S2742" s="8">
        <v>16</v>
      </c>
      <c r="T2742" s="8">
        <v>1</v>
      </c>
      <c r="U2742" s="8">
        <v>12.1</v>
      </c>
      <c r="V2742" s="8">
        <v>0.4</v>
      </c>
      <c r="W2742" s="8">
        <v>0.2</v>
      </c>
      <c r="X2742" s="8">
        <v>80</v>
      </c>
      <c r="Y2742" s="8" t="s">
        <v>12637</v>
      </c>
      <c r="Z2742" s="8" t="s">
        <v>12638</v>
      </c>
    </row>
    <row r="2743" spans="1:26" x14ac:dyDescent="0.2">
      <c r="A2743" s="8">
        <v>2742</v>
      </c>
      <c r="B2743" s="8" t="s">
        <v>12639</v>
      </c>
      <c r="C2743" s="8" t="s">
        <v>12639</v>
      </c>
      <c r="F2743" s="47" t="s">
        <v>56616</v>
      </c>
      <c r="G2743" s="8">
        <v>6</v>
      </c>
      <c r="H2743" s="8" t="s">
        <v>21</v>
      </c>
      <c r="I2743" s="8" t="s">
        <v>22</v>
      </c>
      <c r="J2743" s="8" t="s">
        <v>22</v>
      </c>
      <c r="K2743" s="8" t="s">
        <v>160</v>
      </c>
      <c r="L2743" s="8" t="s">
        <v>12015</v>
      </c>
      <c r="M2743" s="8" t="s">
        <v>12016</v>
      </c>
      <c r="N2743" s="8" t="s">
        <v>12640</v>
      </c>
      <c r="O2743" s="8">
        <f>9+7/60+33.2/3600</f>
        <v>9.1258888888888894</v>
      </c>
      <c r="P2743" s="8" t="s">
        <v>12641</v>
      </c>
      <c r="Q2743" s="8">
        <f>+(60+28/60+46/3600)</f>
        <v>60.479444444444447</v>
      </c>
      <c r="R2743" s="8">
        <v>11.4</v>
      </c>
      <c r="S2743" s="8">
        <v>12</v>
      </c>
      <c r="T2743" s="8">
        <v>0.6</v>
      </c>
      <c r="U2743" s="8">
        <v>13</v>
      </c>
      <c r="V2743" s="8">
        <v>3</v>
      </c>
      <c r="W2743" s="8">
        <v>1.5</v>
      </c>
      <c r="X2743" s="8">
        <v>87</v>
      </c>
      <c r="Y2743" s="8" t="s">
        <v>12642</v>
      </c>
      <c r="Z2743" s="8" t="s">
        <v>12643</v>
      </c>
    </row>
    <row r="2744" spans="1:26" x14ac:dyDescent="0.2">
      <c r="A2744" s="8">
        <v>2743</v>
      </c>
      <c r="B2744" s="8" t="s">
        <v>12644</v>
      </c>
      <c r="C2744" s="8" t="s">
        <v>12644</v>
      </c>
      <c r="F2744" s="47" t="s">
        <v>56617</v>
      </c>
      <c r="G2744" s="8">
        <v>15</v>
      </c>
      <c r="H2744" s="8" t="s">
        <v>21</v>
      </c>
      <c r="I2744" s="8" t="s">
        <v>22</v>
      </c>
      <c r="J2744" s="8" t="s">
        <v>22</v>
      </c>
      <c r="K2744" s="8" t="s">
        <v>3523</v>
      </c>
      <c r="L2744" s="8" t="s">
        <v>11551</v>
      </c>
      <c r="M2744" s="8" t="s">
        <v>11552</v>
      </c>
      <c r="N2744" s="8" t="s">
        <v>12645</v>
      </c>
      <c r="O2744" s="8">
        <f>9+4/60+54/3600</f>
        <v>9.081666666666667</v>
      </c>
      <c r="P2744" s="8" t="s">
        <v>12646</v>
      </c>
      <c r="Q2744" s="8">
        <f>+(25+0/60+15/3600)</f>
        <v>25.004166666666666</v>
      </c>
      <c r="R2744" s="8">
        <v>13.6</v>
      </c>
      <c r="S2744" s="8">
        <v>14.2</v>
      </c>
      <c r="T2744" s="8">
        <v>0.6</v>
      </c>
      <c r="U2744" s="8">
        <v>13.4</v>
      </c>
      <c r="V2744" s="8">
        <v>1.1000000000000001</v>
      </c>
      <c r="W2744" s="8">
        <v>0.8</v>
      </c>
      <c r="X2744" s="8">
        <v>105</v>
      </c>
      <c r="Y2744" s="8" t="s">
        <v>12647</v>
      </c>
      <c r="Z2744" s="8" t="s">
        <v>12648</v>
      </c>
    </row>
    <row r="2745" spans="1:26" x14ac:dyDescent="0.2">
      <c r="A2745" s="8">
        <v>2744</v>
      </c>
      <c r="B2745" s="8" t="s">
        <v>12649</v>
      </c>
      <c r="C2745" s="8" t="s">
        <v>12649</v>
      </c>
      <c r="F2745" s="47" t="s">
        <v>56618</v>
      </c>
      <c r="G2745" s="8">
        <v>15</v>
      </c>
      <c r="H2745" s="8" t="s">
        <v>21</v>
      </c>
      <c r="I2745" s="8" t="s">
        <v>22</v>
      </c>
      <c r="J2745" s="8" t="s">
        <v>22</v>
      </c>
      <c r="K2745" s="8" t="s">
        <v>5751</v>
      </c>
      <c r="L2745" s="8" t="s">
        <v>11551</v>
      </c>
      <c r="M2745" s="8" t="s">
        <v>11552</v>
      </c>
      <c r="N2745" s="8" t="s">
        <v>12650</v>
      </c>
      <c r="O2745" s="8">
        <f>9+4/60+39.1/3600</f>
        <v>9.0775277777777781</v>
      </c>
      <c r="P2745" s="8" t="s">
        <v>12651</v>
      </c>
      <c r="Q2745" s="8">
        <f>+(18+27/60+51/3600)</f>
        <v>18.464166666666667</v>
      </c>
      <c r="R2745" s="8">
        <v>13.5</v>
      </c>
      <c r="S2745" s="8">
        <v>13.9</v>
      </c>
      <c r="T2745" s="8">
        <v>0.4</v>
      </c>
      <c r="U2745" s="8">
        <v>13.9</v>
      </c>
      <c r="V2745" s="8">
        <v>1.6</v>
      </c>
      <c r="W2745" s="8">
        <v>1.2</v>
      </c>
      <c r="X2745" s="8">
        <v>120</v>
      </c>
      <c r="Y2745" s="8" t="s">
        <v>12652</v>
      </c>
      <c r="Z2745" s="8" t="s">
        <v>12653</v>
      </c>
    </row>
    <row r="2746" spans="1:26" x14ac:dyDescent="0.2">
      <c r="A2746" s="8">
        <v>2745</v>
      </c>
      <c r="B2746" s="8" t="s">
        <v>12654</v>
      </c>
      <c r="C2746" s="8" t="s">
        <v>12654</v>
      </c>
      <c r="F2746" s="47"/>
      <c r="G2746" s="8">
        <v>18</v>
      </c>
      <c r="H2746" s="8" t="s">
        <v>21</v>
      </c>
      <c r="I2746" s="8" t="s">
        <v>22</v>
      </c>
      <c r="J2746" s="8" t="s">
        <v>22</v>
      </c>
      <c r="K2746" s="8" t="s">
        <v>37</v>
      </c>
      <c r="L2746" s="8" t="s">
        <v>11551</v>
      </c>
      <c r="M2746" s="8" t="s">
        <v>11552</v>
      </c>
      <c r="N2746" s="8" t="s">
        <v>12655</v>
      </c>
      <c r="O2746" s="8">
        <f>9+4/60+39.3/3600</f>
        <v>9.0775833333333331</v>
      </c>
      <c r="P2746" s="8" t="s">
        <v>12656</v>
      </c>
      <c r="Q2746" s="8">
        <f>+(18+15/60+28/3600)</f>
        <v>18.257777777777779</v>
      </c>
      <c r="R2746" s="8">
        <v>14.6</v>
      </c>
      <c r="S2746" s="8">
        <v>15.6</v>
      </c>
      <c r="T2746" s="8">
        <v>1</v>
      </c>
      <c r="U2746" s="8">
        <v>12.1</v>
      </c>
      <c r="V2746" s="8">
        <v>0.4</v>
      </c>
      <c r="W2746" s="8">
        <v>0.2</v>
      </c>
      <c r="X2746" s="8">
        <v>0</v>
      </c>
      <c r="Y2746" s="8" t="s">
        <v>12657</v>
      </c>
      <c r="Z2746" s="8" t="s">
        <v>12658</v>
      </c>
    </row>
    <row r="2747" spans="1:26" x14ac:dyDescent="0.2">
      <c r="A2747" s="8">
        <v>2746</v>
      </c>
      <c r="B2747" s="8" t="s">
        <v>12659</v>
      </c>
      <c r="C2747" s="8" t="s">
        <v>12659</v>
      </c>
      <c r="F2747" s="47" t="s">
        <v>56619</v>
      </c>
      <c r="G2747" s="8">
        <v>15</v>
      </c>
      <c r="H2747" s="8" t="s">
        <v>21</v>
      </c>
      <c r="I2747" s="8" t="s">
        <v>22</v>
      </c>
      <c r="J2747" s="8" t="s">
        <v>22</v>
      </c>
      <c r="K2747" s="8" t="s">
        <v>154</v>
      </c>
      <c r="L2747" s="8" t="s">
        <v>10511</v>
      </c>
      <c r="M2747" s="8" t="s">
        <v>10512</v>
      </c>
      <c r="N2747" s="8" t="s">
        <v>12660</v>
      </c>
      <c r="O2747" s="8">
        <f>9+5/60+59.5/3600</f>
        <v>9.0998611111111121</v>
      </c>
      <c r="P2747" s="8" t="s">
        <v>12661</v>
      </c>
      <c r="Q2747" s="8">
        <f>+(35+22/60+38/3600)</f>
        <v>35.377222222222223</v>
      </c>
      <c r="R2747" s="8">
        <v>13.1</v>
      </c>
      <c r="S2747" s="8">
        <v>14</v>
      </c>
      <c r="T2747" s="8">
        <v>0.9</v>
      </c>
      <c r="U2747" s="8">
        <v>13.9</v>
      </c>
      <c r="V2747" s="8">
        <v>1.6</v>
      </c>
      <c r="W2747" s="8">
        <v>1.5</v>
      </c>
      <c r="X2747" s="8">
        <v>123</v>
      </c>
      <c r="Y2747" s="8" t="s">
        <v>12662</v>
      </c>
      <c r="Z2747" s="8" t="s">
        <v>12663</v>
      </c>
    </row>
    <row r="2748" spans="1:26" x14ac:dyDescent="0.2">
      <c r="A2748" s="8">
        <v>2747</v>
      </c>
      <c r="B2748" s="8" t="s">
        <v>12664</v>
      </c>
      <c r="C2748" s="8" t="s">
        <v>12664</v>
      </c>
      <c r="F2748" s="47"/>
      <c r="G2748" s="8">
        <v>18</v>
      </c>
      <c r="H2748" s="8" t="s">
        <v>21</v>
      </c>
      <c r="I2748" s="8" t="s">
        <v>22</v>
      </c>
      <c r="J2748" s="8" t="s">
        <v>22</v>
      </c>
      <c r="K2748" s="8" t="s">
        <v>449</v>
      </c>
      <c r="L2748" s="8" t="s">
        <v>11551</v>
      </c>
      <c r="M2748" s="8" t="s">
        <v>11552</v>
      </c>
      <c r="N2748" s="8" t="s">
        <v>12665</v>
      </c>
      <c r="O2748" s="8">
        <f>9+5/60+18.3/3600</f>
        <v>9.0884166666666673</v>
      </c>
      <c r="P2748" s="8" t="s">
        <v>12666</v>
      </c>
      <c r="Q2748" s="8">
        <f>+(18+26/60+34/3600)</f>
        <v>18.442777777777778</v>
      </c>
      <c r="R2748" s="8">
        <v>14.5</v>
      </c>
      <c r="S2748" s="8">
        <v>15.3</v>
      </c>
      <c r="T2748" s="8">
        <v>0.8</v>
      </c>
      <c r="U2748" s="8">
        <v>11.6</v>
      </c>
      <c r="V2748" s="8">
        <v>0.4</v>
      </c>
      <c r="W2748" s="8">
        <v>0.2</v>
      </c>
      <c r="X2748" s="8">
        <v>170</v>
      </c>
      <c r="Y2748" s="8" t="s">
        <v>1948</v>
      </c>
      <c r="Z2748" s="8" t="s">
        <v>1949</v>
      </c>
    </row>
    <row r="2749" spans="1:26" x14ac:dyDescent="0.2">
      <c r="A2749" s="8">
        <v>2748</v>
      </c>
      <c r="B2749" s="8" t="s">
        <v>12667</v>
      </c>
      <c r="C2749" s="8" t="s">
        <v>12667</v>
      </c>
      <c r="F2749" s="47"/>
      <c r="G2749" s="8">
        <v>13</v>
      </c>
      <c r="H2749" s="8" t="s">
        <v>21</v>
      </c>
      <c r="I2749" s="8" t="s">
        <v>22</v>
      </c>
      <c r="J2749" s="8" t="s">
        <v>22</v>
      </c>
      <c r="K2749" s="8" t="s">
        <v>396</v>
      </c>
      <c r="L2749" s="8" t="s">
        <v>6823</v>
      </c>
      <c r="M2749" s="8" t="s">
        <v>6824</v>
      </c>
      <c r="N2749" s="8" t="s">
        <v>12668</v>
      </c>
      <c r="O2749" s="8">
        <f>9+13/60+43/3600</f>
        <v>9.2286111111111104</v>
      </c>
      <c r="P2749" s="8" t="s">
        <v>12669</v>
      </c>
      <c r="Q2749" s="8">
        <f>+(76+28/60+33/3600)</f>
        <v>76.475833333333341</v>
      </c>
      <c r="R2749" s="8">
        <v>11.7</v>
      </c>
      <c r="S2749" s="8">
        <v>12.4</v>
      </c>
      <c r="T2749" s="8">
        <v>0.7</v>
      </c>
      <c r="U2749" s="8">
        <v>12.9</v>
      </c>
      <c r="V2749" s="8">
        <v>3.1</v>
      </c>
      <c r="W2749" s="8">
        <v>1.1000000000000001</v>
      </c>
      <c r="X2749" s="8">
        <v>38</v>
      </c>
      <c r="Y2749" s="8" t="s">
        <v>12670</v>
      </c>
      <c r="Z2749" s="8" t="s">
        <v>12671</v>
      </c>
    </row>
    <row r="2750" spans="1:26" x14ac:dyDescent="0.2">
      <c r="A2750" s="8">
        <v>2749</v>
      </c>
      <c r="B2750" s="8" t="s">
        <v>12672</v>
      </c>
      <c r="C2750" s="8" t="s">
        <v>12672</v>
      </c>
      <c r="F2750" s="47"/>
      <c r="G2750" s="8">
        <v>13</v>
      </c>
      <c r="H2750" s="8" t="s">
        <v>21</v>
      </c>
      <c r="I2750" s="8" t="s">
        <v>22</v>
      </c>
      <c r="J2750" s="8" t="s">
        <v>22</v>
      </c>
      <c r="K2750" s="8" t="s">
        <v>382</v>
      </c>
      <c r="L2750" s="8" t="s">
        <v>11551</v>
      </c>
      <c r="M2750" s="8" t="s">
        <v>11552</v>
      </c>
      <c r="N2750" s="8" t="s">
        <v>12673</v>
      </c>
      <c r="O2750" s="8">
        <f>9+5/60+21.3/3600</f>
        <v>9.0892499999999998</v>
      </c>
      <c r="P2750" s="8" t="s">
        <v>12674</v>
      </c>
      <c r="Q2750" s="8">
        <f>+(18+18/60+49/3600)</f>
        <v>18.313611111111111</v>
      </c>
      <c r="R2750" s="8">
        <v>11.8</v>
      </c>
      <c r="S2750" s="8">
        <v>12.7</v>
      </c>
      <c r="T2750" s="8">
        <v>0.9</v>
      </c>
      <c r="U2750" s="8">
        <v>12.8</v>
      </c>
      <c r="V2750" s="8">
        <v>1.7</v>
      </c>
      <c r="W2750" s="8">
        <v>1.4</v>
      </c>
      <c r="X2750" s="8">
        <v>69</v>
      </c>
      <c r="Y2750" s="8" t="s">
        <v>12675</v>
      </c>
      <c r="Z2750" s="8" t="s">
        <v>12676</v>
      </c>
    </row>
    <row r="2751" spans="1:26" x14ac:dyDescent="0.2">
      <c r="A2751" s="8">
        <v>2750</v>
      </c>
      <c r="B2751" s="8" t="s">
        <v>12677</v>
      </c>
      <c r="C2751" s="8" t="s">
        <v>12677</v>
      </c>
      <c r="F2751" s="47" t="s">
        <v>56620</v>
      </c>
      <c r="G2751" s="8">
        <v>15</v>
      </c>
      <c r="H2751" s="8" t="s">
        <v>21</v>
      </c>
      <c r="I2751" s="8" t="s">
        <v>22</v>
      </c>
      <c r="J2751" s="8" t="s">
        <v>22</v>
      </c>
      <c r="K2751" s="8" t="s">
        <v>160</v>
      </c>
      <c r="L2751" s="8" t="s">
        <v>11551</v>
      </c>
      <c r="M2751" s="8" t="s">
        <v>11552</v>
      </c>
      <c r="N2751" s="8" t="s">
        <v>12678</v>
      </c>
      <c r="O2751" s="8">
        <f>9+5/60+48/3600</f>
        <v>9.0966666666666676</v>
      </c>
      <c r="P2751" s="8" t="s">
        <v>12679</v>
      </c>
      <c r="Q2751" s="8">
        <f>+(25+26/60+15/3600)</f>
        <v>25.4375</v>
      </c>
      <c r="R2751" s="8">
        <v>11.9</v>
      </c>
      <c r="S2751" s="8">
        <v>12.6</v>
      </c>
      <c r="T2751" s="8">
        <v>0.7</v>
      </c>
      <c r="U2751" s="8">
        <v>13.3</v>
      </c>
      <c r="V2751" s="8">
        <v>2.2000000000000002</v>
      </c>
      <c r="W2751" s="8">
        <v>1.9</v>
      </c>
      <c r="X2751" s="8">
        <v>81</v>
      </c>
      <c r="Y2751" s="8" t="s">
        <v>12680</v>
      </c>
      <c r="Z2751" s="8" t="s">
        <v>12681</v>
      </c>
    </row>
    <row r="2752" spans="1:26" x14ac:dyDescent="0.2">
      <c r="A2752" s="8">
        <v>2751</v>
      </c>
      <c r="B2752" s="8" t="s">
        <v>12682</v>
      </c>
      <c r="C2752" s="8" t="s">
        <v>12682</v>
      </c>
      <c r="F2752" s="47"/>
      <c r="G2752" s="8">
        <v>18</v>
      </c>
      <c r="H2752" s="8" t="s">
        <v>21</v>
      </c>
      <c r="I2752" s="8" t="s">
        <v>22</v>
      </c>
      <c r="J2752" s="8" t="s">
        <v>22</v>
      </c>
      <c r="K2752" s="8" t="s">
        <v>396</v>
      </c>
      <c r="L2752" s="8" t="s">
        <v>11551</v>
      </c>
      <c r="M2752" s="8" t="s">
        <v>11552</v>
      </c>
      <c r="N2752" s="8" t="s">
        <v>12683</v>
      </c>
      <c r="O2752" s="8">
        <f>9+5/60+32.4/3600</f>
        <v>9.0923333333333343</v>
      </c>
      <c r="P2752" s="8" t="s">
        <v>12684</v>
      </c>
      <c r="Q2752" s="8">
        <f>+(18+15/60+43/3600)</f>
        <v>18.261944444444445</v>
      </c>
      <c r="R2752" s="8">
        <v>14.3</v>
      </c>
      <c r="S2752" s="8">
        <v>15.1</v>
      </c>
      <c r="T2752" s="8">
        <v>0.8</v>
      </c>
      <c r="U2752" s="8">
        <v>13.5</v>
      </c>
      <c r="V2752" s="8">
        <v>0.8</v>
      </c>
      <c r="W2752" s="8">
        <v>0.7</v>
      </c>
      <c r="X2752" s="8">
        <v>141</v>
      </c>
      <c r="Y2752" s="8" t="s">
        <v>11909</v>
      </c>
      <c r="Z2752" s="8" t="s">
        <v>11910</v>
      </c>
    </row>
    <row r="2753" spans="1:26" x14ac:dyDescent="0.2">
      <c r="A2753" s="8">
        <v>2752</v>
      </c>
      <c r="B2753" s="8" t="s">
        <v>12685</v>
      </c>
      <c r="C2753" s="8" t="s">
        <v>12685</v>
      </c>
      <c r="F2753" s="47"/>
      <c r="G2753" s="8">
        <v>18</v>
      </c>
      <c r="H2753" s="8" t="s">
        <v>21</v>
      </c>
      <c r="I2753" s="8" t="s">
        <v>22</v>
      </c>
      <c r="J2753" s="8" t="s">
        <v>22</v>
      </c>
      <c r="K2753" s="8" t="s">
        <v>218</v>
      </c>
      <c r="L2753" s="8" t="s">
        <v>11551</v>
      </c>
      <c r="M2753" s="8" t="s">
        <v>11552</v>
      </c>
      <c r="N2753" s="8" t="s">
        <v>12686</v>
      </c>
      <c r="O2753" s="8">
        <f>9+5/60+42.9/3600</f>
        <v>9.0952500000000001</v>
      </c>
      <c r="P2753" s="8" t="s">
        <v>12687</v>
      </c>
      <c r="Q2753" s="8">
        <f>+(18+20/60+23/3600)</f>
        <v>18.339722222222221</v>
      </c>
      <c r="R2753" s="8">
        <v>13.7</v>
      </c>
      <c r="S2753" s="8">
        <v>14.5</v>
      </c>
      <c r="T2753" s="8">
        <v>0.8</v>
      </c>
      <c r="U2753" s="8">
        <v>13.3</v>
      </c>
      <c r="V2753" s="8">
        <v>1.8</v>
      </c>
      <c r="W2753" s="8">
        <v>0.4</v>
      </c>
      <c r="X2753" s="8">
        <v>58</v>
      </c>
      <c r="Y2753" s="8" t="s">
        <v>12688</v>
      </c>
      <c r="Z2753" s="8" t="s">
        <v>12689</v>
      </c>
    </row>
    <row r="2754" spans="1:26" x14ac:dyDescent="0.2">
      <c r="A2754" s="8">
        <v>2753</v>
      </c>
      <c r="B2754" s="8" t="s">
        <v>12690</v>
      </c>
      <c r="C2754" s="8" t="s">
        <v>12690</v>
      </c>
      <c r="E2754" s="8">
        <v>2</v>
      </c>
      <c r="F2754" s="47"/>
      <c r="G2754" s="8">
        <v>18</v>
      </c>
      <c r="H2754" s="8" t="s">
        <v>21</v>
      </c>
      <c r="I2754" s="8" t="s">
        <v>22</v>
      </c>
      <c r="J2754" s="8" t="s">
        <v>22</v>
      </c>
      <c r="K2754" s="8" t="s">
        <v>460</v>
      </c>
      <c r="L2754" s="8" t="s">
        <v>11551</v>
      </c>
      <c r="M2754" s="8" t="s">
        <v>11552</v>
      </c>
      <c r="N2754" s="8" t="s">
        <v>12691</v>
      </c>
      <c r="O2754" s="8">
        <f>9+7/60+8.5/3600</f>
        <v>9.1190277777777791</v>
      </c>
      <c r="P2754" s="8" t="s">
        <v>12692</v>
      </c>
      <c r="Q2754" s="8">
        <f>+(25+20/60+39/3600)</f>
        <v>25.344166666666666</v>
      </c>
      <c r="R2754" s="8">
        <v>14</v>
      </c>
      <c r="S2754" s="8">
        <v>15</v>
      </c>
      <c r="T2754" s="8">
        <v>1</v>
      </c>
      <c r="U2754" s="8">
        <v>11.5</v>
      </c>
      <c r="V2754" s="8">
        <v>0.3</v>
      </c>
      <c r="W2754" s="8">
        <v>0.3</v>
      </c>
      <c r="Y2754" s="8" t="s">
        <v>12693</v>
      </c>
      <c r="Z2754" s="8" t="s">
        <v>12694</v>
      </c>
    </row>
    <row r="2755" spans="1:26" x14ac:dyDescent="0.2">
      <c r="A2755" s="8">
        <v>2754</v>
      </c>
      <c r="B2755" s="8" t="s">
        <v>12695</v>
      </c>
      <c r="C2755" s="8" t="s">
        <v>12695</v>
      </c>
      <c r="F2755" s="47"/>
      <c r="G2755" s="8">
        <v>19</v>
      </c>
      <c r="H2755" s="8" t="s">
        <v>21</v>
      </c>
      <c r="I2755" s="8" t="s">
        <v>22</v>
      </c>
      <c r="J2755" s="8" t="s">
        <v>22</v>
      </c>
      <c r="K2755" s="8" t="s">
        <v>643</v>
      </c>
      <c r="L2755" s="8" t="s">
        <v>11765</v>
      </c>
      <c r="M2755" s="8" t="s">
        <v>11766</v>
      </c>
      <c r="N2755" s="8" t="s">
        <v>12696</v>
      </c>
      <c r="O2755" s="8">
        <f>9+5/60+11.2/3600</f>
        <v>9.0864444444444459</v>
      </c>
      <c r="P2755" s="8" t="s">
        <v>12697</v>
      </c>
      <c r="Q2755" s="8">
        <f>-(19+5/60+5/3600)</f>
        <v>-19.084722222222222</v>
      </c>
      <c r="R2755" s="8">
        <v>14.1</v>
      </c>
      <c r="S2755" s="8">
        <v>15.1</v>
      </c>
      <c r="T2755" s="8">
        <v>1</v>
      </c>
      <c r="U2755" s="8">
        <v>12.7</v>
      </c>
      <c r="V2755" s="8">
        <v>0.8</v>
      </c>
      <c r="W2755" s="8">
        <v>0.5</v>
      </c>
      <c r="X2755" s="8">
        <v>163</v>
      </c>
      <c r="Y2755" s="8" t="s">
        <v>12698</v>
      </c>
      <c r="Z2755" s="8" t="s">
        <v>12699</v>
      </c>
    </row>
    <row r="2756" spans="1:26" x14ac:dyDescent="0.2">
      <c r="A2756" s="8">
        <v>2755</v>
      </c>
      <c r="B2756" s="8" t="s">
        <v>12700</v>
      </c>
      <c r="C2756" s="8" t="s">
        <v>12700</v>
      </c>
      <c r="F2756" s="47" t="s">
        <v>56621</v>
      </c>
      <c r="G2756" s="8">
        <v>15</v>
      </c>
      <c r="H2756" s="8" t="s">
        <v>21</v>
      </c>
      <c r="I2756" s="8" t="s">
        <v>22</v>
      </c>
      <c r="J2756" s="8" t="s">
        <v>22</v>
      </c>
      <c r="K2756" s="8" t="s">
        <v>23</v>
      </c>
      <c r="L2756" s="8" t="s">
        <v>10511</v>
      </c>
      <c r="M2756" s="8" t="s">
        <v>10512</v>
      </c>
      <c r="N2756" s="8" t="s">
        <v>12701</v>
      </c>
      <c r="O2756" s="8">
        <f>9+7/60+58.3/3600</f>
        <v>9.1328611111111115</v>
      </c>
      <c r="P2756" s="8" t="s">
        <v>12702</v>
      </c>
      <c r="Q2756" s="8">
        <f>+(41+42/60+31/3600)</f>
        <v>41.708611111111111</v>
      </c>
      <c r="R2756" s="8">
        <v>13.3</v>
      </c>
      <c r="S2756" s="8">
        <v>14.1</v>
      </c>
      <c r="T2756" s="8">
        <v>0.8</v>
      </c>
      <c r="U2756" s="8">
        <v>13.1</v>
      </c>
      <c r="V2756" s="8">
        <v>1.2</v>
      </c>
      <c r="W2756" s="8">
        <v>0.8</v>
      </c>
      <c r="X2756" s="8">
        <v>130</v>
      </c>
      <c r="Y2756" s="8" t="s">
        <v>12703</v>
      </c>
      <c r="Z2756" s="8" t="s">
        <v>12704</v>
      </c>
    </row>
    <row r="2757" spans="1:26" x14ac:dyDescent="0.2">
      <c r="A2757" s="8">
        <v>2756</v>
      </c>
      <c r="B2757" s="8" t="s">
        <v>12705</v>
      </c>
      <c r="C2757" s="8" t="s">
        <v>12705</v>
      </c>
      <c r="F2757" s="47" t="s">
        <v>56622</v>
      </c>
      <c r="G2757" s="8">
        <v>6.5</v>
      </c>
      <c r="H2757" s="8" t="s">
        <v>21</v>
      </c>
      <c r="I2757" s="8" t="s">
        <v>22</v>
      </c>
      <c r="J2757" s="8" t="s">
        <v>22</v>
      </c>
      <c r="K2757" s="8" t="s">
        <v>23</v>
      </c>
      <c r="L2757" s="8" t="s">
        <v>12015</v>
      </c>
      <c r="M2757" s="8" t="s">
        <v>12016</v>
      </c>
      <c r="N2757" s="8" t="s">
        <v>12706</v>
      </c>
      <c r="O2757" s="8">
        <f>9+9/60+0.9/3600</f>
        <v>9.1502499999999998</v>
      </c>
      <c r="P2757" s="8" t="s">
        <v>12707</v>
      </c>
      <c r="Q2757" s="8">
        <f>+(53+50/60+55/3600)</f>
        <v>53.848611111111111</v>
      </c>
      <c r="R2757" s="8">
        <v>12.4</v>
      </c>
      <c r="S2757" s="8">
        <v>13.2</v>
      </c>
      <c r="T2757" s="8">
        <v>0.8</v>
      </c>
      <c r="U2757" s="8">
        <v>13</v>
      </c>
      <c r="V2757" s="8">
        <v>1.7</v>
      </c>
      <c r="W2757" s="8">
        <v>1.2</v>
      </c>
      <c r="X2757" s="8">
        <v>0</v>
      </c>
      <c r="Y2757" s="8" t="s">
        <v>12708</v>
      </c>
      <c r="Z2757" s="8" t="s">
        <v>12709</v>
      </c>
    </row>
    <row r="2758" spans="1:26" x14ac:dyDescent="0.2">
      <c r="A2758" s="8">
        <v>2757</v>
      </c>
      <c r="B2758" s="8" t="s">
        <v>12710</v>
      </c>
      <c r="C2758" s="8" t="s">
        <v>12710</v>
      </c>
      <c r="F2758" s="47"/>
      <c r="G2758" s="8">
        <v>19</v>
      </c>
      <c r="H2758" s="8" t="s">
        <v>21</v>
      </c>
      <c r="I2758" s="8" t="s">
        <v>72</v>
      </c>
      <c r="J2758" s="8" t="s">
        <v>72</v>
      </c>
      <c r="K2758" s="8" t="s">
        <v>73</v>
      </c>
      <c r="L2758" s="8" t="s">
        <v>11765</v>
      </c>
      <c r="M2758" s="8" t="s">
        <v>11766</v>
      </c>
      <c r="N2758" s="8" t="s">
        <v>12711</v>
      </c>
      <c r="O2758" s="8">
        <f>9+5/60+23.4/3600</f>
        <v>9.0898333333333348</v>
      </c>
      <c r="P2758" s="8" t="s">
        <v>12712</v>
      </c>
      <c r="Q2758" s="8">
        <f>-(19+2/60+5/3600)</f>
        <v>-19.034722222222225</v>
      </c>
      <c r="R2758" s="8">
        <v>99</v>
      </c>
      <c r="S2758" s="8">
        <v>99</v>
      </c>
      <c r="T2758" s="8">
        <v>99</v>
      </c>
      <c r="U2758" s="8">
        <v>99</v>
      </c>
      <c r="Y2758" s="8" t="s">
        <v>12713</v>
      </c>
      <c r="Z2758" s="8" t="s">
        <v>12714</v>
      </c>
    </row>
    <row r="2759" spans="1:26" x14ac:dyDescent="0.2">
      <c r="A2759" s="8">
        <v>2758</v>
      </c>
      <c r="B2759" s="8" t="s">
        <v>12715</v>
      </c>
      <c r="C2759" s="8" t="s">
        <v>12715</v>
      </c>
      <c r="F2759" s="47"/>
      <c r="G2759" s="8">
        <v>19</v>
      </c>
      <c r="H2759" s="8" t="s">
        <v>21</v>
      </c>
      <c r="I2759" s="8" t="s">
        <v>22</v>
      </c>
      <c r="J2759" s="8" t="s">
        <v>22</v>
      </c>
      <c r="K2759" s="8" t="s">
        <v>160</v>
      </c>
      <c r="L2759" s="8" t="s">
        <v>11765</v>
      </c>
      <c r="M2759" s="8" t="s">
        <v>11766</v>
      </c>
      <c r="N2759" s="8" t="s">
        <v>12716</v>
      </c>
      <c r="O2759" s="8">
        <f>9+5/60+31.1/3600</f>
        <v>9.091972222222223</v>
      </c>
      <c r="P2759" s="8" t="s">
        <v>12717</v>
      </c>
      <c r="Q2759" s="8">
        <f>-(19+2/60+34/3600)</f>
        <v>-19.042777777777779</v>
      </c>
      <c r="R2759" s="8">
        <v>13.4</v>
      </c>
      <c r="S2759" s="8">
        <v>14.1</v>
      </c>
      <c r="T2759" s="8">
        <v>0.7</v>
      </c>
      <c r="U2759" s="8">
        <v>13.2</v>
      </c>
      <c r="V2759" s="8">
        <v>1.9</v>
      </c>
      <c r="W2759" s="8">
        <v>0.5</v>
      </c>
      <c r="X2759" s="8">
        <v>19</v>
      </c>
      <c r="Y2759" s="8" t="s">
        <v>12718</v>
      </c>
      <c r="Z2759" s="8" t="s">
        <v>12719</v>
      </c>
    </row>
    <row r="2760" spans="1:26" x14ac:dyDescent="0.2">
      <c r="A2760" s="8">
        <v>2759</v>
      </c>
      <c r="B2760" s="8" t="s">
        <v>12720</v>
      </c>
      <c r="C2760" s="8" t="s">
        <v>12720</v>
      </c>
      <c r="F2760" s="47" t="s">
        <v>56623</v>
      </c>
      <c r="G2760" s="8">
        <v>15</v>
      </c>
      <c r="H2760" s="8" t="s">
        <v>21</v>
      </c>
      <c r="I2760" s="8" t="s">
        <v>22</v>
      </c>
      <c r="J2760" s="8" t="s">
        <v>22</v>
      </c>
      <c r="K2760" s="8" t="s">
        <v>58</v>
      </c>
      <c r="L2760" s="8" t="s">
        <v>10511</v>
      </c>
      <c r="M2760" s="8" t="s">
        <v>10512</v>
      </c>
      <c r="N2760" s="8" t="s">
        <v>12721</v>
      </c>
      <c r="O2760" s="8">
        <f>9+8/60+37.2/3600</f>
        <v>9.1436666666666664</v>
      </c>
      <c r="P2760" s="8" t="s">
        <v>12722</v>
      </c>
      <c r="Q2760" s="8">
        <f>+(37+37/60+17/3600)</f>
        <v>37.621388888888887</v>
      </c>
      <c r="R2760" s="8">
        <v>13</v>
      </c>
      <c r="S2760" s="8">
        <v>14</v>
      </c>
      <c r="T2760" s="8">
        <v>1</v>
      </c>
      <c r="U2760" s="8">
        <v>12.6</v>
      </c>
      <c r="V2760" s="8">
        <v>1</v>
      </c>
      <c r="W2760" s="8">
        <v>0.7</v>
      </c>
      <c r="X2760" s="8">
        <v>50</v>
      </c>
      <c r="Y2760" s="8" t="s">
        <v>11836</v>
      </c>
      <c r="Z2760" s="8" t="s">
        <v>11837</v>
      </c>
    </row>
    <row r="2761" spans="1:26" x14ac:dyDescent="0.2">
      <c r="A2761" s="8">
        <v>2760</v>
      </c>
      <c r="B2761" s="8" t="s">
        <v>12723</v>
      </c>
      <c r="C2761" s="8" t="s">
        <v>12723</v>
      </c>
      <c r="F2761" s="47"/>
      <c r="G2761" s="8">
        <v>19</v>
      </c>
      <c r="H2761" s="8" t="s">
        <v>21</v>
      </c>
      <c r="I2761" s="8" t="s">
        <v>329</v>
      </c>
      <c r="J2761" s="8" t="s">
        <v>329</v>
      </c>
      <c r="K2761" s="8" t="s">
        <v>329</v>
      </c>
      <c r="L2761" s="8" t="s">
        <v>6823</v>
      </c>
      <c r="M2761" s="8" t="s">
        <v>6824</v>
      </c>
      <c r="N2761" s="8" t="s">
        <v>12724</v>
      </c>
      <c r="O2761" s="8">
        <f>9+15/60+41.9/3600</f>
        <v>9.2616388888888892</v>
      </c>
      <c r="P2761" s="8" t="s">
        <v>12725</v>
      </c>
      <c r="Q2761" s="8">
        <f>+(76+22/60+57/3600)</f>
        <v>76.382499999999993</v>
      </c>
      <c r="R2761" s="8">
        <v>99</v>
      </c>
      <c r="S2761" s="8">
        <v>99</v>
      </c>
      <c r="T2761" s="8">
        <v>99</v>
      </c>
      <c r="U2761" s="8">
        <v>99</v>
      </c>
      <c r="Y2761" s="8" t="s">
        <v>12726</v>
      </c>
      <c r="Z2761" s="8" t="s">
        <v>12727</v>
      </c>
    </row>
    <row r="2762" spans="1:26" x14ac:dyDescent="0.2">
      <c r="A2762" s="8">
        <v>2761</v>
      </c>
      <c r="B2762" s="8" t="s">
        <v>12728</v>
      </c>
      <c r="C2762" s="8" t="s">
        <v>12728</v>
      </c>
      <c r="F2762" s="47"/>
      <c r="G2762" s="8">
        <v>18</v>
      </c>
      <c r="H2762" s="8" t="s">
        <v>21</v>
      </c>
      <c r="I2762" s="8" t="s">
        <v>22</v>
      </c>
      <c r="J2762" s="8" t="s">
        <v>22</v>
      </c>
      <c r="K2762" s="8" t="s">
        <v>476</v>
      </c>
      <c r="L2762" s="8" t="s">
        <v>11551</v>
      </c>
      <c r="M2762" s="8" t="s">
        <v>11552</v>
      </c>
      <c r="N2762" s="8" t="s">
        <v>12729</v>
      </c>
      <c r="O2762" s="8">
        <f>9+7/60+30.7/3600</f>
        <v>9.1251944444444444</v>
      </c>
      <c r="P2762" s="8" t="s">
        <v>12730</v>
      </c>
      <c r="Q2762" s="8">
        <f>+(18+26/60+6/3600)</f>
        <v>18.434999999999999</v>
      </c>
      <c r="R2762" s="8">
        <v>14.3</v>
      </c>
      <c r="S2762" s="8">
        <v>15.2</v>
      </c>
      <c r="T2762" s="8">
        <v>0.9</v>
      </c>
      <c r="U2762" s="8">
        <v>12.6</v>
      </c>
      <c r="V2762" s="8">
        <v>0.6</v>
      </c>
      <c r="W2762" s="8">
        <v>0.4</v>
      </c>
      <c r="X2762" s="8">
        <v>165</v>
      </c>
      <c r="Y2762" s="8" t="s">
        <v>1511</v>
      </c>
      <c r="Z2762" s="8" t="s">
        <v>1512</v>
      </c>
    </row>
    <row r="2763" spans="1:26" x14ac:dyDescent="0.2">
      <c r="A2763" s="8">
        <v>2762</v>
      </c>
      <c r="B2763" s="8" t="s">
        <v>12731</v>
      </c>
      <c r="C2763" s="8" t="s">
        <v>12731</v>
      </c>
      <c r="F2763" s="47"/>
      <c r="G2763" s="8">
        <v>18</v>
      </c>
      <c r="H2763" s="8" t="s">
        <v>21</v>
      </c>
      <c r="I2763" s="8" t="s">
        <v>22</v>
      </c>
      <c r="J2763" s="8" t="s">
        <v>22</v>
      </c>
      <c r="K2763" s="8" t="s">
        <v>449</v>
      </c>
      <c r="L2763" s="8" t="s">
        <v>12015</v>
      </c>
      <c r="M2763" s="8" t="s">
        <v>12016</v>
      </c>
      <c r="N2763" s="8" t="s">
        <v>12732</v>
      </c>
      <c r="O2763" s="8">
        <f>9+9/60+54.4/3600</f>
        <v>9.165111111111111</v>
      </c>
      <c r="P2763" s="8" t="s">
        <v>12733</v>
      </c>
      <c r="Q2763" s="8">
        <f>+(50+25/60+6/3600)</f>
        <v>50.418333333333329</v>
      </c>
      <c r="R2763" s="8">
        <v>15</v>
      </c>
      <c r="S2763" s="8">
        <v>15.8</v>
      </c>
      <c r="T2763" s="8">
        <v>0.8</v>
      </c>
      <c r="U2763" s="8">
        <v>12.1</v>
      </c>
      <c r="V2763" s="8">
        <v>0.3</v>
      </c>
      <c r="W2763" s="8">
        <v>0.2</v>
      </c>
      <c r="X2763" s="8">
        <v>10</v>
      </c>
      <c r="Y2763" s="8" t="s">
        <v>12734</v>
      </c>
      <c r="Z2763" s="8" t="s">
        <v>12735</v>
      </c>
    </row>
    <row r="2764" spans="1:26" x14ac:dyDescent="0.2">
      <c r="A2764" s="8">
        <v>2763</v>
      </c>
      <c r="B2764" s="8" t="s">
        <v>12736</v>
      </c>
      <c r="C2764" s="8" t="s">
        <v>12736</v>
      </c>
      <c r="F2764" s="47" t="s">
        <v>56624</v>
      </c>
      <c r="G2764" s="8">
        <v>12</v>
      </c>
      <c r="H2764" s="8" t="s">
        <v>21</v>
      </c>
      <c r="I2764" s="8" t="s">
        <v>22</v>
      </c>
      <c r="J2764" s="8" t="s">
        <v>22</v>
      </c>
      <c r="K2764" s="8" t="s">
        <v>64</v>
      </c>
      <c r="L2764" s="8" t="s">
        <v>11765</v>
      </c>
      <c r="M2764" s="8" t="s">
        <v>11766</v>
      </c>
      <c r="N2764" s="8" t="s">
        <v>12737</v>
      </c>
      <c r="O2764" s="8">
        <f>9+6/60+49/3600</f>
        <v>9.1136111111111102</v>
      </c>
      <c r="P2764" s="8" t="s">
        <v>12738</v>
      </c>
      <c r="Q2764" s="8">
        <f>-(15+29/60+57/3600)</f>
        <v>-15.499166666666666</v>
      </c>
      <c r="R2764" s="8">
        <v>12</v>
      </c>
      <c r="S2764" s="8">
        <v>12.6</v>
      </c>
      <c r="T2764" s="8">
        <v>0.6</v>
      </c>
      <c r="U2764" s="8">
        <v>13.5</v>
      </c>
      <c r="V2764" s="8">
        <v>2.2999999999999998</v>
      </c>
      <c r="W2764" s="8">
        <v>2</v>
      </c>
      <c r="X2764" s="8">
        <v>120</v>
      </c>
      <c r="Y2764" s="8" t="s">
        <v>12739</v>
      </c>
      <c r="Z2764" s="8" t="s">
        <v>12740</v>
      </c>
    </row>
    <row r="2765" spans="1:26" x14ac:dyDescent="0.2">
      <c r="A2765" s="8">
        <v>2764</v>
      </c>
      <c r="B2765" s="8" t="s">
        <v>12741</v>
      </c>
      <c r="C2765" s="8" t="s">
        <v>12741</v>
      </c>
      <c r="F2765" s="47" t="s">
        <v>56625</v>
      </c>
      <c r="G2765" s="8">
        <v>13</v>
      </c>
      <c r="H2765" s="8" t="s">
        <v>21</v>
      </c>
      <c r="I2765" s="8" t="s">
        <v>22</v>
      </c>
      <c r="J2765" s="8" t="s">
        <v>22</v>
      </c>
      <c r="K2765" s="8" t="s">
        <v>37</v>
      </c>
      <c r="L2765" s="8" t="s">
        <v>11551</v>
      </c>
      <c r="M2765" s="8" t="s">
        <v>11552</v>
      </c>
      <c r="N2765" s="8" t="s">
        <v>12742</v>
      </c>
      <c r="O2765" s="8">
        <f>9+8/60+17.4/3600</f>
        <v>9.1381666666666668</v>
      </c>
      <c r="P2765" s="8" t="s">
        <v>12743</v>
      </c>
      <c r="Q2765" s="8">
        <f>+(21+26/60+35/3600)</f>
        <v>21.443055555555556</v>
      </c>
      <c r="R2765" s="8">
        <v>12.9</v>
      </c>
      <c r="S2765" s="8">
        <v>13.6</v>
      </c>
      <c r="T2765" s="8">
        <v>0.7</v>
      </c>
      <c r="U2765" s="8">
        <v>13.1</v>
      </c>
      <c r="V2765" s="8">
        <v>1.5</v>
      </c>
      <c r="W2765" s="8">
        <v>1</v>
      </c>
      <c r="X2765" s="8">
        <v>15</v>
      </c>
      <c r="Y2765" s="8" t="s">
        <v>12744</v>
      </c>
      <c r="Z2765" s="8" t="s">
        <v>12745</v>
      </c>
    </row>
    <row r="2766" spans="1:26" x14ac:dyDescent="0.2">
      <c r="A2766" s="8">
        <v>2765</v>
      </c>
      <c r="B2766" s="8" t="s">
        <v>12746</v>
      </c>
      <c r="C2766" s="8" t="s">
        <v>12746</v>
      </c>
      <c r="F2766" s="47" t="s">
        <v>56626</v>
      </c>
      <c r="G2766" s="8">
        <v>6.5</v>
      </c>
      <c r="H2766" s="8" t="s">
        <v>21</v>
      </c>
      <c r="I2766" s="8" t="s">
        <v>22</v>
      </c>
      <c r="J2766" s="8" t="s">
        <v>22</v>
      </c>
      <c r="K2766" s="8" t="s">
        <v>37</v>
      </c>
      <c r="L2766" s="8" t="s">
        <v>11765</v>
      </c>
      <c r="M2766" s="8" t="s">
        <v>11766</v>
      </c>
      <c r="N2766" s="8" t="s">
        <v>12747</v>
      </c>
      <c r="O2766" s="8">
        <f>9+7/60+36.5/3600</f>
        <v>9.1268055555555563</v>
      </c>
      <c r="P2766" s="8" t="s">
        <v>12748</v>
      </c>
      <c r="Q2766" s="8">
        <f>+(3+23/60+34/3600)</f>
        <v>3.3927777777777779</v>
      </c>
      <c r="R2766" s="8">
        <v>12.1</v>
      </c>
      <c r="S2766" s="8">
        <v>13.1</v>
      </c>
      <c r="T2766" s="8">
        <v>1</v>
      </c>
      <c r="U2766" s="8">
        <v>12.8</v>
      </c>
      <c r="V2766" s="8">
        <v>2.1</v>
      </c>
      <c r="W2766" s="8">
        <v>1.1000000000000001</v>
      </c>
      <c r="X2766" s="8">
        <v>107</v>
      </c>
      <c r="Y2766" s="8" t="s">
        <v>12749</v>
      </c>
      <c r="Z2766" s="8" t="s">
        <v>12750</v>
      </c>
    </row>
    <row r="2767" spans="1:26" x14ac:dyDescent="0.2">
      <c r="A2767" s="8">
        <v>2766</v>
      </c>
      <c r="B2767" s="8" t="s">
        <v>12751</v>
      </c>
      <c r="C2767" s="8" t="s">
        <v>12751</v>
      </c>
      <c r="F2767" s="47"/>
      <c r="G2767" s="8">
        <v>19</v>
      </c>
      <c r="H2767" s="8" t="s">
        <v>21</v>
      </c>
      <c r="I2767" s="8" t="s">
        <v>22</v>
      </c>
      <c r="J2767" s="8" t="s">
        <v>22</v>
      </c>
      <c r="K2767" s="8" t="s">
        <v>31</v>
      </c>
      <c r="L2767" s="8" t="s">
        <v>11551</v>
      </c>
      <c r="M2767" s="8" t="s">
        <v>11552</v>
      </c>
      <c r="N2767" s="8" t="s">
        <v>12752</v>
      </c>
      <c r="O2767" s="8">
        <f>9+8/60+47.4/3600</f>
        <v>9.1464999999999996</v>
      </c>
      <c r="P2767" s="8" t="s">
        <v>12753</v>
      </c>
      <c r="Q2767" s="8">
        <f>+(29+51/60+55/3600)</f>
        <v>29.865277777777781</v>
      </c>
      <c r="R2767" s="8">
        <v>13.6</v>
      </c>
      <c r="S2767" s="8">
        <v>14.4</v>
      </c>
      <c r="T2767" s="8">
        <v>0.8</v>
      </c>
      <c r="U2767" s="8">
        <v>13</v>
      </c>
      <c r="V2767" s="8">
        <v>1.4</v>
      </c>
      <c r="W2767" s="8">
        <v>0.5</v>
      </c>
      <c r="X2767" s="8">
        <v>132</v>
      </c>
      <c r="Y2767" s="8" t="s">
        <v>1719</v>
      </c>
      <c r="Z2767" s="8" t="s">
        <v>1720</v>
      </c>
    </row>
    <row r="2768" spans="1:26" x14ac:dyDescent="0.2">
      <c r="A2768" s="8">
        <v>2767</v>
      </c>
      <c r="B2768" s="8" t="s">
        <v>12754</v>
      </c>
      <c r="C2768" s="8" t="s">
        <v>12754</v>
      </c>
      <c r="F2768" s="47"/>
      <c r="G2768" s="8">
        <v>16</v>
      </c>
      <c r="H2768" s="8" t="s">
        <v>21</v>
      </c>
      <c r="I2768" s="8" t="s">
        <v>22</v>
      </c>
      <c r="J2768" s="8" t="s">
        <v>22</v>
      </c>
      <c r="K2768" s="8" t="s">
        <v>449</v>
      </c>
      <c r="L2768" s="8" t="s">
        <v>12015</v>
      </c>
      <c r="M2768" s="8" t="s">
        <v>12016</v>
      </c>
      <c r="N2768" s="8" t="s">
        <v>12755</v>
      </c>
      <c r="O2768" s="8">
        <f>9+10/60+11.8/3600</f>
        <v>9.1699444444444431</v>
      </c>
      <c r="P2768" s="8" t="s">
        <v>12756</v>
      </c>
      <c r="Q2768" s="8">
        <f>+(50+24/60+7/3600)</f>
        <v>50.401944444444446</v>
      </c>
      <c r="R2768" s="8">
        <v>13.8</v>
      </c>
      <c r="S2768" s="8">
        <v>14.6</v>
      </c>
      <c r="T2768" s="8">
        <v>0.8</v>
      </c>
      <c r="U2768" s="8">
        <v>13.1</v>
      </c>
      <c r="V2768" s="8">
        <v>0.9</v>
      </c>
      <c r="W2768" s="8">
        <v>0.7</v>
      </c>
      <c r="X2768" s="8">
        <v>170</v>
      </c>
      <c r="Y2768" s="8" t="s">
        <v>12757</v>
      </c>
      <c r="Z2768" s="8" t="s">
        <v>12758</v>
      </c>
    </row>
    <row r="2769" spans="1:26" x14ac:dyDescent="0.2">
      <c r="A2769" s="8">
        <v>2768</v>
      </c>
      <c r="B2769" s="8" t="s">
        <v>12759</v>
      </c>
      <c r="C2769" s="8" t="s">
        <v>12759</v>
      </c>
      <c r="F2769" s="47" t="s">
        <v>56627</v>
      </c>
      <c r="G2769" s="8">
        <v>6</v>
      </c>
      <c r="H2769" s="8" t="s">
        <v>21</v>
      </c>
      <c r="I2769" s="8" t="s">
        <v>22</v>
      </c>
      <c r="J2769" s="8" t="s">
        <v>22</v>
      </c>
      <c r="K2769" s="8" t="s">
        <v>3850</v>
      </c>
      <c r="L2769" s="8" t="s">
        <v>12015</v>
      </c>
      <c r="M2769" s="8" t="s">
        <v>12016</v>
      </c>
      <c r="N2769" s="8" t="s">
        <v>12760</v>
      </c>
      <c r="O2769" s="8">
        <f>9+11/60+37.4/3600</f>
        <v>9.1937222222222221</v>
      </c>
      <c r="P2769" s="8" t="s">
        <v>12761</v>
      </c>
      <c r="Q2769" s="8">
        <f>+(60+2/60+11/3600)</f>
        <v>60.036388888888887</v>
      </c>
      <c r="R2769" s="8">
        <v>9.9</v>
      </c>
      <c r="S2769" s="8">
        <v>10.8</v>
      </c>
      <c r="T2769" s="8">
        <v>0.9</v>
      </c>
      <c r="U2769" s="8">
        <v>13.7</v>
      </c>
      <c r="V2769" s="8">
        <v>6.4</v>
      </c>
      <c r="W2769" s="8">
        <v>3</v>
      </c>
      <c r="X2769" s="8">
        <v>95</v>
      </c>
      <c r="Y2769" s="8" t="s">
        <v>12762</v>
      </c>
      <c r="Z2769" s="8" t="s">
        <v>12763</v>
      </c>
    </row>
    <row r="2770" spans="1:26" x14ac:dyDescent="0.2">
      <c r="A2770" s="8">
        <v>2769</v>
      </c>
      <c r="B2770" s="8" t="s">
        <v>12764</v>
      </c>
      <c r="C2770" s="8" t="s">
        <v>12764</v>
      </c>
      <c r="F2770" s="47"/>
      <c r="G2770" s="8">
        <v>14</v>
      </c>
      <c r="H2770" s="8" t="s">
        <v>12765</v>
      </c>
      <c r="I2770" s="8" t="s">
        <v>22</v>
      </c>
      <c r="J2770" s="8" t="s">
        <v>22</v>
      </c>
      <c r="K2770" s="8" t="s">
        <v>91</v>
      </c>
      <c r="L2770" s="8" t="s">
        <v>12015</v>
      </c>
      <c r="M2770" s="8" t="s">
        <v>12016</v>
      </c>
      <c r="N2770" s="8" t="s">
        <v>12766</v>
      </c>
      <c r="O2770" s="8">
        <f>9+10/60+32.3/3600</f>
        <v>9.1756388888888889</v>
      </c>
      <c r="P2770" s="8" t="s">
        <v>12767</v>
      </c>
      <c r="Q2770" s="8">
        <f>+(50+26/60+1/3600)</f>
        <v>50.433611111111105</v>
      </c>
      <c r="R2770" s="8">
        <v>13</v>
      </c>
      <c r="S2770" s="8">
        <v>13.9</v>
      </c>
      <c r="T2770" s="8">
        <v>0.9</v>
      </c>
      <c r="U2770" s="8">
        <v>12.5</v>
      </c>
      <c r="V2770" s="8">
        <v>1.8</v>
      </c>
      <c r="W2770" s="8">
        <v>0.4</v>
      </c>
      <c r="X2770" s="8">
        <v>146</v>
      </c>
      <c r="Y2770" s="8" t="s">
        <v>12768</v>
      </c>
      <c r="Z2770" s="8" t="s">
        <v>12769</v>
      </c>
    </row>
    <row r="2771" spans="1:26" x14ac:dyDescent="0.2">
      <c r="A2771" s="8">
        <v>2770</v>
      </c>
      <c r="B2771" s="8" t="s">
        <v>12770</v>
      </c>
      <c r="C2771" s="8" t="s">
        <v>12770</v>
      </c>
      <c r="F2771" s="47" t="s">
        <v>56628</v>
      </c>
      <c r="G2771" s="8">
        <v>14</v>
      </c>
      <c r="H2771" s="8" t="s">
        <v>12771</v>
      </c>
      <c r="I2771" s="8" t="s">
        <v>22</v>
      </c>
      <c r="J2771" s="8" t="s">
        <v>22</v>
      </c>
      <c r="K2771" s="8" t="s">
        <v>160</v>
      </c>
      <c r="L2771" s="8" t="s">
        <v>10511</v>
      </c>
      <c r="M2771" s="8" t="s">
        <v>10512</v>
      </c>
      <c r="N2771" s="8" t="s">
        <v>12772</v>
      </c>
      <c r="O2771" s="8">
        <f>9+9/60+33.5/3600</f>
        <v>9.1593055555555551</v>
      </c>
      <c r="P2771" s="8" t="s">
        <v>12773</v>
      </c>
      <c r="Q2771" s="8">
        <f>+(33+7/60+27/3600)</f>
        <v>33.124166666666667</v>
      </c>
      <c r="R2771" s="8">
        <v>12.2</v>
      </c>
      <c r="S2771" s="8">
        <v>12.8</v>
      </c>
      <c r="T2771" s="8">
        <v>0.6</v>
      </c>
      <c r="U2771" s="8">
        <v>13.7</v>
      </c>
      <c r="V2771" s="8">
        <v>3.7</v>
      </c>
      <c r="W2771" s="8">
        <v>1.1000000000000001</v>
      </c>
      <c r="X2771" s="8">
        <v>148</v>
      </c>
      <c r="Y2771" s="8" t="s">
        <v>12774</v>
      </c>
      <c r="Z2771" s="8" t="s">
        <v>12775</v>
      </c>
    </row>
    <row r="2772" spans="1:26" x14ac:dyDescent="0.2">
      <c r="A2772" s="8">
        <v>2771</v>
      </c>
      <c r="B2772" s="8" t="s">
        <v>12776</v>
      </c>
      <c r="C2772" s="8" t="s">
        <v>12776</v>
      </c>
      <c r="F2772" s="47"/>
      <c r="G2772" s="8">
        <v>16</v>
      </c>
      <c r="H2772" s="8" t="s">
        <v>21</v>
      </c>
      <c r="I2772" s="8" t="s">
        <v>22</v>
      </c>
      <c r="J2772" s="8" t="s">
        <v>22</v>
      </c>
      <c r="K2772" s="8" t="s">
        <v>406</v>
      </c>
      <c r="L2772" s="8" t="s">
        <v>12015</v>
      </c>
      <c r="M2772" s="8" t="s">
        <v>12016</v>
      </c>
      <c r="N2772" s="8" t="s">
        <v>12777</v>
      </c>
      <c r="O2772" s="8">
        <f>9+10/60+39.7/3600</f>
        <v>9.1776944444444446</v>
      </c>
      <c r="P2772" s="8" t="s">
        <v>12778</v>
      </c>
      <c r="Q2772" s="8">
        <f>+(50+22/60+45/3600)</f>
        <v>50.37916666666667</v>
      </c>
      <c r="R2772" s="8">
        <v>12.7</v>
      </c>
      <c r="S2772" s="8">
        <v>13.5</v>
      </c>
      <c r="T2772" s="8">
        <v>0.8</v>
      </c>
      <c r="U2772" s="8">
        <v>14.1</v>
      </c>
      <c r="V2772" s="8">
        <v>2.2999999999999998</v>
      </c>
      <c r="W2772" s="8">
        <v>1.9</v>
      </c>
      <c r="X2772" s="8">
        <v>137</v>
      </c>
      <c r="Y2772" s="8" t="s">
        <v>12779</v>
      </c>
      <c r="Z2772" s="8" t="s">
        <v>12780</v>
      </c>
    </row>
    <row r="2773" spans="1:26" x14ac:dyDescent="0.2">
      <c r="A2773" s="8">
        <v>2772</v>
      </c>
      <c r="B2773" s="8" t="s">
        <v>12781</v>
      </c>
      <c r="C2773" s="8" t="s">
        <v>12781</v>
      </c>
      <c r="F2773" s="47"/>
      <c r="G2773" s="8">
        <v>16</v>
      </c>
      <c r="H2773" s="8" t="s">
        <v>21</v>
      </c>
      <c r="I2773" s="8" t="s">
        <v>22</v>
      </c>
      <c r="J2773" s="8" t="s">
        <v>22</v>
      </c>
      <c r="K2773" s="8" t="s">
        <v>23</v>
      </c>
      <c r="L2773" s="8" t="s">
        <v>12074</v>
      </c>
      <c r="M2773" s="8" t="s">
        <v>12075</v>
      </c>
      <c r="N2773" s="8" t="s">
        <v>12782</v>
      </c>
      <c r="O2773" s="8">
        <f>9+7/60+41.8/3600</f>
        <v>9.1282777777777788</v>
      </c>
      <c r="P2773" s="8" t="s">
        <v>12783</v>
      </c>
      <c r="Q2773" s="8">
        <f>-(23+37/60+10/3600)</f>
        <v>-23.619444444444444</v>
      </c>
      <c r="R2773" s="8">
        <v>13</v>
      </c>
      <c r="S2773" s="8">
        <v>13.8</v>
      </c>
      <c r="T2773" s="8">
        <v>0.8</v>
      </c>
      <c r="U2773" s="8">
        <v>12.3</v>
      </c>
      <c r="V2773" s="8">
        <v>1.5</v>
      </c>
      <c r="W2773" s="8">
        <v>0.5</v>
      </c>
      <c r="X2773" s="8">
        <v>170</v>
      </c>
      <c r="Y2773" s="8" t="s">
        <v>12784</v>
      </c>
      <c r="Z2773" s="8" t="s">
        <v>12785</v>
      </c>
    </row>
    <row r="2774" spans="1:26" x14ac:dyDescent="0.2">
      <c r="A2774" s="8">
        <v>2773</v>
      </c>
      <c r="B2774" s="8" t="s">
        <v>12786</v>
      </c>
      <c r="C2774" s="8" t="s">
        <v>12786</v>
      </c>
      <c r="F2774" s="47"/>
      <c r="G2774" s="8">
        <v>18</v>
      </c>
      <c r="H2774" s="8" t="s">
        <v>21</v>
      </c>
      <c r="I2774" s="8" t="s">
        <v>22</v>
      </c>
      <c r="J2774" s="8" t="s">
        <v>22</v>
      </c>
      <c r="K2774" s="8" t="s">
        <v>476</v>
      </c>
      <c r="L2774" s="8" t="s">
        <v>11551</v>
      </c>
      <c r="M2774" s="8" t="s">
        <v>11552</v>
      </c>
      <c r="N2774" s="8" t="s">
        <v>12787</v>
      </c>
      <c r="O2774" s="8">
        <f>9+9/60+44.1/3600</f>
        <v>9.1622500000000002</v>
      </c>
      <c r="P2774" s="8" t="s">
        <v>12788</v>
      </c>
      <c r="Q2774" s="8">
        <f>+(7+10/60+27/3600)</f>
        <v>7.1741666666666672</v>
      </c>
      <c r="R2774" s="8">
        <v>14.1</v>
      </c>
      <c r="S2774" s="8">
        <v>15</v>
      </c>
      <c r="T2774" s="8">
        <v>0.9</v>
      </c>
      <c r="U2774" s="8">
        <v>12.3</v>
      </c>
      <c r="V2774" s="8">
        <v>0.7</v>
      </c>
      <c r="W2774" s="8">
        <v>0.3</v>
      </c>
      <c r="X2774" s="8">
        <v>83</v>
      </c>
      <c r="Y2774" s="8" t="s">
        <v>679</v>
      </c>
      <c r="Z2774" s="8" t="s">
        <v>680</v>
      </c>
    </row>
    <row r="2775" spans="1:26" x14ac:dyDescent="0.2">
      <c r="A2775" s="8">
        <v>2774</v>
      </c>
      <c r="B2775" s="8" t="s">
        <v>12789</v>
      </c>
      <c r="C2775" s="8" t="s">
        <v>12789</v>
      </c>
      <c r="F2775" s="47"/>
      <c r="G2775" s="8">
        <v>19</v>
      </c>
      <c r="H2775" s="8" t="s">
        <v>21</v>
      </c>
      <c r="I2775" s="8" t="s">
        <v>22</v>
      </c>
      <c r="J2775" s="8" t="s">
        <v>22</v>
      </c>
      <c r="K2775" s="8" t="s">
        <v>449</v>
      </c>
      <c r="L2775" s="8" t="s">
        <v>11551</v>
      </c>
      <c r="M2775" s="8" t="s">
        <v>11552</v>
      </c>
      <c r="N2775" s="8" t="s">
        <v>12790</v>
      </c>
      <c r="O2775" s="8">
        <f>9+10/60+39.9/3600</f>
        <v>9.1777499999999996</v>
      </c>
      <c r="P2775" s="8" t="s">
        <v>12791</v>
      </c>
      <c r="Q2775" s="8">
        <f>+(18+41/60+48/3600)</f>
        <v>18.696666666666665</v>
      </c>
      <c r="R2775" s="8">
        <v>13.7</v>
      </c>
      <c r="S2775" s="8">
        <v>14.5</v>
      </c>
      <c r="T2775" s="8">
        <v>0.8</v>
      </c>
      <c r="U2775" s="8">
        <v>13.4</v>
      </c>
      <c r="V2775" s="8">
        <v>0.9</v>
      </c>
      <c r="W2775" s="8">
        <v>0.9</v>
      </c>
      <c r="Y2775" s="8" t="s">
        <v>12792</v>
      </c>
      <c r="Z2775" s="8" t="s">
        <v>12793</v>
      </c>
    </row>
    <row r="2776" spans="1:26" x14ac:dyDescent="0.2">
      <c r="A2776" s="8">
        <v>2775</v>
      </c>
      <c r="B2776" s="8" t="s">
        <v>12794</v>
      </c>
      <c r="C2776" s="8" t="s">
        <v>12794</v>
      </c>
      <c r="F2776" s="47" t="s">
        <v>56629</v>
      </c>
      <c r="G2776" s="8">
        <v>2</v>
      </c>
      <c r="H2776" s="8" t="s">
        <v>21</v>
      </c>
      <c r="I2776" s="8" t="s">
        <v>22</v>
      </c>
      <c r="J2776" s="8" t="s">
        <v>22</v>
      </c>
      <c r="K2776" s="8" t="s">
        <v>31</v>
      </c>
      <c r="L2776" s="8" t="s">
        <v>11551</v>
      </c>
      <c r="M2776" s="8" t="s">
        <v>11552</v>
      </c>
      <c r="N2776" s="8" t="s">
        <v>12795</v>
      </c>
      <c r="O2776" s="8">
        <f>9+10/60+20.1/3600</f>
        <v>9.17225</v>
      </c>
      <c r="P2776" s="8" t="s">
        <v>12796</v>
      </c>
      <c r="Q2776" s="8">
        <f>+(7+2/60+14/3600)</f>
        <v>7.0372222222222218</v>
      </c>
      <c r="R2776" s="8">
        <v>10.1</v>
      </c>
      <c r="S2776" s="8">
        <v>11</v>
      </c>
      <c r="T2776" s="8">
        <v>0.9</v>
      </c>
      <c r="U2776" s="8">
        <v>12.9</v>
      </c>
      <c r="V2776" s="8">
        <v>4.3</v>
      </c>
      <c r="W2776" s="8">
        <v>3.3</v>
      </c>
      <c r="X2776" s="8">
        <v>155</v>
      </c>
      <c r="Y2776" s="8" t="s">
        <v>12797</v>
      </c>
      <c r="Z2776" s="8" t="s">
        <v>12798</v>
      </c>
    </row>
    <row r="2777" spans="1:26" x14ac:dyDescent="0.2">
      <c r="A2777" s="8">
        <v>2776</v>
      </c>
      <c r="B2777" s="8" t="s">
        <v>12799</v>
      </c>
      <c r="C2777" s="8" t="s">
        <v>12799</v>
      </c>
      <c r="F2777" s="47"/>
      <c r="G2777" s="8">
        <v>13</v>
      </c>
      <c r="H2777" s="8" t="s">
        <v>21</v>
      </c>
      <c r="I2777" s="8" t="s">
        <v>22</v>
      </c>
      <c r="J2777" s="8" t="s">
        <v>22</v>
      </c>
      <c r="K2777" s="8" t="s">
        <v>64</v>
      </c>
      <c r="L2777" s="8" t="s">
        <v>10511</v>
      </c>
      <c r="M2777" s="8" t="s">
        <v>10512</v>
      </c>
      <c r="N2777" s="8" t="s">
        <v>12800</v>
      </c>
      <c r="O2777" s="8">
        <f>9+12/60+14.5/3600</f>
        <v>9.2040277777777764</v>
      </c>
      <c r="P2777" s="8" t="s">
        <v>12801</v>
      </c>
      <c r="Q2777" s="8">
        <f>+(44+57/60+17/3600)</f>
        <v>44.954722222222223</v>
      </c>
      <c r="R2777" s="8">
        <v>11.6</v>
      </c>
      <c r="S2777" s="8">
        <v>12.1</v>
      </c>
      <c r="T2777" s="8">
        <v>0.5</v>
      </c>
      <c r="U2777" s="8">
        <v>13.7</v>
      </c>
      <c r="V2777" s="8">
        <v>2.8</v>
      </c>
      <c r="W2777" s="8">
        <v>2.5</v>
      </c>
      <c r="X2777" s="8">
        <v>0</v>
      </c>
      <c r="Y2777" s="8" t="s">
        <v>12802</v>
      </c>
      <c r="Z2777" s="8" t="s">
        <v>12803</v>
      </c>
    </row>
    <row r="2778" spans="1:26" x14ac:dyDescent="0.2">
      <c r="A2778" s="8">
        <v>2777</v>
      </c>
      <c r="B2778" s="8" t="s">
        <v>12804</v>
      </c>
      <c r="C2778" s="8" t="s">
        <v>12804</v>
      </c>
      <c r="F2778" s="47"/>
      <c r="G2778" s="8">
        <v>18</v>
      </c>
      <c r="H2778" s="8" t="s">
        <v>21</v>
      </c>
      <c r="I2778" s="8" t="s">
        <v>22</v>
      </c>
      <c r="J2778" s="8" t="s">
        <v>22</v>
      </c>
      <c r="K2778" s="8" t="s">
        <v>31</v>
      </c>
      <c r="L2778" s="8" t="s">
        <v>11551</v>
      </c>
      <c r="M2778" s="8" t="s">
        <v>11552</v>
      </c>
      <c r="N2778" s="8" t="s">
        <v>12805</v>
      </c>
      <c r="O2778" s="8">
        <f>9+10/60+41.8/3600</f>
        <v>9.1782777777777778</v>
      </c>
      <c r="P2778" s="8" t="s">
        <v>12806</v>
      </c>
      <c r="Q2778" s="8">
        <f>+(7+12/60+26/3600)</f>
        <v>7.2072222222222226</v>
      </c>
      <c r="R2778" s="8">
        <v>13.3</v>
      </c>
      <c r="S2778" s="8">
        <v>14.1</v>
      </c>
      <c r="T2778" s="8">
        <v>0.8</v>
      </c>
      <c r="U2778" s="8">
        <v>12.5</v>
      </c>
      <c r="V2778" s="8">
        <v>0.7</v>
      </c>
      <c r="W2778" s="8">
        <v>0.6</v>
      </c>
      <c r="X2778" s="8">
        <v>165</v>
      </c>
      <c r="Y2778" s="8" t="s">
        <v>4065</v>
      </c>
      <c r="Z2778" s="8" t="s">
        <v>4066</v>
      </c>
    </row>
    <row r="2779" spans="1:26" x14ac:dyDescent="0.2">
      <c r="A2779" s="8">
        <v>2778</v>
      </c>
      <c r="B2779" s="8" t="s">
        <v>12807</v>
      </c>
      <c r="C2779" s="8" t="s">
        <v>12807</v>
      </c>
      <c r="F2779" s="47" t="s">
        <v>56630</v>
      </c>
      <c r="G2779" s="8">
        <v>15</v>
      </c>
      <c r="H2779" s="8" t="s">
        <v>21</v>
      </c>
      <c r="I2779" s="8" t="s">
        <v>22</v>
      </c>
      <c r="J2779" s="8" t="s">
        <v>22</v>
      </c>
      <c r="K2779" s="8" t="s">
        <v>382</v>
      </c>
      <c r="L2779" s="8" t="s">
        <v>10511</v>
      </c>
      <c r="M2779" s="8" t="s">
        <v>10512</v>
      </c>
      <c r="N2779" s="8" t="s">
        <v>12808</v>
      </c>
      <c r="O2779" s="8">
        <f>9+12/60+24.5/3600</f>
        <v>9.2068055555555546</v>
      </c>
      <c r="P2779" s="8" t="s">
        <v>12809</v>
      </c>
      <c r="Q2779" s="8">
        <f>+(35+1/60+40/3600)</f>
        <v>35.027777777777779</v>
      </c>
      <c r="R2779" s="8">
        <v>12.4</v>
      </c>
      <c r="S2779" s="8">
        <v>13.4</v>
      </c>
      <c r="T2779" s="8">
        <v>1</v>
      </c>
      <c r="U2779" s="8">
        <v>12.8</v>
      </c>
      <c r="V2779" s="8">
        <v>1.4</v>
      </c>
      <c r="W2779" s="8">
        <v>1</v>
      </c>
      <c r="X2779" s="8">
        <v>40</v>
      </c>
      <c r="Y2779" s="8" t="s">
        <v>12810</v>
      </c>
      <c r="Z2779" s="8" t="s">
        <v>12811</v>
      </c>
    </row>
    <row r="2780" spans="1:26" x14ac:dyDescent="0.2">
      <c r="A2780" s="8">
        <v>2779</v>
      </c>
      <c r="B2780" s="8" t="s">
        <v>12812</v>
      </c>
      <c r="C2780" s="8" t="s">
        <v>12812</v>
      </c>
      <c r="F2780" s="47"/>
      <c r="G2780" s="8">
        <v>18</v>
      </c>
      <c r="H2780" s="8" t="s">
        <v>21</v>
      </c>
      <c r="I2780" s="8" t="s">
        <v>22</v>
      </c>
      <c r="J2780" s="8" t="s">
        <v>22</v>
      </c>
      <c r="K2780" s="8" t="s">
        <v>435</v>
      </c>
      <c r="L2780" s="8" t="s">
        <v>10511</v>
      </c>
      <c r="M2780" s="8" t="s">
        <v>10512</v>
      </c>
      <c r="N2780" s="8" t="s">
        <v>12813</v>
      </c>
      <c r="O2780" s="8">
        <f>9+12/60+28.3/3600</f>
        <v>9.2078611111111108</v>
      </c>
      <c r="P2780" s="8" t="s">
        <v>12814</v>
      </c>
      <c r="Q2780" s="8">
        <f>+(35+3/60+14/3600)</f>
        <v>35.053888888888885</v>
      </c>
      <c r="R2780" s="8">
        <v>15</v>
      </c>
      <c r="S2780" s="8">
        <v>15.9</v>
      </c>
      <c r="T2780" s="8">
        <v>0.9</v>
      </c>
      <c r="U2780" s="8">
        <v>13.9</v>
      </c>
      <c r="V2780" s="8">
        <v>0.7</v>
      </c>
      <c r="W2780" s="8">
        <v>0.6</v>
      </c>
      <c r="X2780" s="8">
        <v>161</v>
      </c>
      <c r="Y2780" s="8" t="s">
        <v>12815</v>
      </c>
      <c r="Z2780" s="8" t="s">
        <v>12816</v>
      </c>
    </row>
    <row r="2781" spans="1:26" x14ac:dyDescent="0.2">
      <c r="A2781" s="8">
        <v>2780</v>
      </c>
      <c r="B2781" s="8" t="s">
        <v>12817</v>
      </c>
      <c r="C2781" s="8" t="s">
        <v>12817</v>
      </c>
      <c r="F2781" s="47" t="s">
        <v>56631</v>
      </c>
      <c r="G2781" s="8">
        <v>15</v>
      </c>
      <c r="H2781" s="8" t="s">
        <v>21</v>
      </c>
      <c r="I2781" s="8" t="s">
        <v>22</v>
      </c>
      <c r="J2781" s="8" t="s">
        <v>22</v>
      </c>
      <c r="K2781" s="8" t="s">
        <v>12818</v>
      </c>
      <c r="L2781" s="8" t="s">
        <v>10511</v>
      </c>
      <c r="M2781" s="8" t="s">
        <v>10512</v>
      </c>
      <c r="N2781" s="8" t="s">
        <v>12819</v>
      </c>
      <c r="O2781" s="8">
        <f>9+12/60+44.3/3600</f>
        <v>9.2123055555555542</v>
      </c>
      <c r="P2781" s="8" t="s">
        <v>12820</v>
      </c>
      <c r="Q2781" s="8">
        <f>+(34+55/60+32/3600)</f>
        <v>34.925555555555555</v>
      </c>
      <c r="R2781" s="8">
        <v>13.4</v>
      </c>
      <c r="S2781" s="8">
        <v>14.3</v>
      </c>
      <c r="T2781" s="8">
        <v>0.9</v>
      </c>
      <c r="U2781" s="8">
        <v>12.7</v>
      </c>
      <c r="V2781" s="8">
        <v>0.9</v>
      </c>
      <c r="W2781" s="8">
        <v>0.7</v>
      </c>
      <c r="X2781" s="8">
        <v>150</v>
      </c>
      <c r="Y2781" s="8" t="s">
        <v>12821</v>
      </c>
      <c r="Z2781" s="8" t="s">
        <v>12822</v>
      </c>
    </row>
    <row r="2782" spans="1:26" x14ac:dyDescent="0.2">
      <c r="A2782" s="8">
        <v>2781</v>
      </c>
      <c r="B2782" s="8" t="s">
        <v>12823</v>
      </c>
      <c r="C2782" s="8" t="s">
        <v>12823</v>
      </c>
      <c r="F2782" s="47" t="s">
        <v>56632</v>
      </c>
      <c r="G2782" s="8">
        <v>6.5</v>
      </c>
      <c r="H2782" s="8" t="s">
        <v>21</v>
      </c>
      <c r="I2782" s="8" t="s">
        <v>22</v>
      </c>
      <c r="J2782" s="8" t="s">
        <v>22</v>
      </c>
      <c r="K2782" s="8" t="s">
        <v>435</v>
      </c>
      <c r="L2782" s="8" t="s">
        <v>11765</v>
      </c>
      <c r="M2782" s="8" t="s">
        <v>11766</v>
      </c>
      <c r="N2782" s="8" t="s">
        <v>12824</v>
      </c>
      <c r="O2782" s="8">
        <f>9+11/60+27.5/3600</f>
        <v>9.1909722222222232</v>
      </c>
      <c r="P2782" s="8" t="s">
        <v>12825</v>
      </c>
      <c r="Q2782" s="8">
        <f>-(14+49/60+2/3600)</f>
        <v>-14.817222222222222</v>
      </c>
      <c r="R2782" s="8">
        <v>11.6</v>
      </c>
      <c r="S2782" s="8">
        <v>12.5</v>
      </c>
      <c r="T2782" s="8">
        <v>0.9</v>
      </c>
      <c r="U2782" s="8">
        <v>13.2</v>
      </c>
      <c r="V2782" s="8">
        <v>3</v>
      </c>
      <c r="W2782" s="8">
        <v>1.5</v>
      </c>
      <c r="X2782" s="8">
        <v>79</v>
      </c>
      <c r="Y2782" s="8" t="s">
        <v>12826</v>
      </c>
      <c r="Z2782" s="8" t="s">
        <v>12827</v>
      </c>
    </row>
    <row r="2783" spans="1:26" x14ac:dyDescent="0.2">
      <c r="A2783" s="8">
        <v>2782</v>
      </c>
      <c r="B2783" s="8" t="s">
        <v>12828</v>
      </c>
      <c r="C2783" s="8" t="s">
        <v>12828</v>
      </c>
      <c r="F2783" s="47" t="s">
        <v>56633</v>
      </c>
      <c r="G2783" s="8">
        <v>6</v>
      </c>
      <c r="H2783" s="8" t="s">
        <v>21</v>
      </c>
      <c r="I2783" s="8" t="s">
        <v>22</v>
      </c>
      <c r="J2783" s="8" t="s">
        <v>22</v>
      </c>
      <c r="K2783" s="8" t="s">
        <v>154</v>
      </c>
      <c r="L2783" s="8" t="s">
        <v>10511</v>
      </c>
      <c r="M2783" s="8" t="s">
        <v>10512</v>
      </c>
      <c r="N2783" s="8" t="s">
        <v>12829</v>
      </c>
      <c r="O2783" s="8">
        <f>9+14/60+5/3600</f>
        <v>9.2347222222222207</v>
      </c>
      <c r="P2783" s="8" t="s">
        <v>12830</v>
      </c>
      <c r="Q2783" s="8">
        <f>+(40+6/60+49/3600)</f>
        <v>40.113611111111112</v>
      </c>
      <c r="R2783" s="8">
        <v>11.6</v>
      </c>
      <c r="S2783" s="8">
        <v>12.3</v>
      </c>
      <c r="T2783" s="8">
        <v>0.7</v>
      </c>
      <c r="U2783" s="8">
        <v>13.9</v>
      </c>
      <c r="V2783" s="8">
        <v>3.7</v>
      </c>
      <c r="W2783" s="8">
        <v>2.4</v>
      </c>
      <c r="X2783" s="8">
        <v>74</v>
      </c>
      <c r="Y2783" s="8" t="s">
        <v>12831</v>
      </c>
      <c r="Z2783" s="8" t="s">
        <v>12832</v>
      </c>
    </row>
    <row r="2784" spans="1:26" x14ac:dyDescent="0.2">
      <c r="A2784" s="8">
        <v>2783</v>
      </c>
      <c r="B2784" s="8" t="s">
        <v>12833</v>
      </c>
      <c r="C2784" s="8" t="s">
        <v>12833</v>
      </c>
      <c r="F2784" s="47" t="s">
        <v>56634</v>
      </c>
      <c r="G2784" s="8">
        <v>15</v>
      </c>
      <c r="H2784" s="8" t="s">
        <v>21</v>
      </c>
      <c r="I2784" s="8" t="s">
        <v>22</v>
      </c>
      <c r="J2784" s="8" t="s">
        <v>22</v>
      </c>
      <c r="K2784" s="8" t="s">
        <v>382</v>
      </c>
      <c r="L2784" s="8" t="s">
        <v>11551</v>
      </c>
      <c r="M2784" s="8" t="s">
        <v>11552</v>
      </c>
      <c r="N2784" s="8" t="s">
        <v>12834</v>
      </c>
      <c r="O2784" s="8">
        <f>9+13/60+39.4/3600</f>
        <v>9.227611111111111</v>
      </c>
      <c r="P2784" s="8" t="s">
        <v>12835</v>
      </c>
      <c r="Q2784" s="8">
        <f>+(29+59/60+35/3600)</f>
        <v>29.993055555555557</v>
      </c>
      <c r="R2784" s="8">
        <v>12.6</v>
      </c>
      <c r="S2784" s="8">
        <v>13.6</v>
      </c>
      <c r="T2784" s="8">
        <v>1</v>
      </c>
      <c r="U2784" s="8">
        <v>13.8</v>
      </c>
      <c r="V2784" s="8">
        <v>2.2000000000000002</v>
      </c>
      <c r="W2784" s="8">
        <v>1.5</v>
      </c>
      <c r="X2784" s="8">
        <v>168</v>
      </c>
      <c r="Y2784" s="8" t="s">
        <v>12836</v>
      </c>
      <c r="Z2784" s="8" t="s">
        <v>12837</v>
      </c>
    </row>
    <row r="2785" spans="1:26" x14ac:dyDescent="0.2">
      <c r="A2785" s="8">
        <v>2784</v>
      </c>
      <c r="B2785" s="8" t="s">
        <v>12838</v>
      </c>
      <c r="C2785" s="8" t="s">
        <v>12838</v>
      </c>
      <c r="F2785" s="47" t="s">
        <v>56635</v>
      </c>
      <c r="G2785" s="8">
        <v>6.5</v>
      </c>
      <c r="H2785" s="8" t="s">
        <v>21</v>
      </c>
      <c r="I2785" s="8" t="s">
        <v>22</v>
      </c>
      <c r="J2785" s="8" t="s">
        <v>22</v>
      </c>
      <c r="K2785" s="8" t="s">
        <v>37</v>
      </c>
      <c r="L2785" s="8" t="s">
        <v>11765</v>
      </c>
      <c r="M2785" s="8" t="s">
        <v>11766</v>
      </c>
      <c r="N2785" s="8" t="s">
        <v>12839</v>
      </c>
      <c r="O2785" s="8">
        <f>9+12/60+19.4/3600</f>
        <v>9.2053888888888888</v>
      </c>
      <c r="P2785" s="8" t="s">
        <v>12840</v>
      </c>
      <c r="Q2785" s="8">
        <f>-(24+10/60+21/3600)</f>
        <v>-24.172499999999999</v>
      </c>
      <c r="R2785" s="8">
        <v>10.199999999999999</v>
      </c>
      <c r="S2785" s="8">
        <v>11.3</v>
      </c>
      <c r="T2785" s="8">
        <v>1.1000000000000001</v>
      </c>
      <c r="U2785" s="8">
        <v>12.8</v>
      </c>
      <c r="V2785" s="8">
        <v>5.5</v>
      </c>
      <c r="W2785" s="8">
        <v>2.2000000000000002</v>
      </c>
      <c r="X2785" s="8">
        <v>73</v>
      </c>
      <c r="Y2785" s="8" t="s">
        <v>12841</v>
      </c>
      <c r="Z2785" s="8" t="s">
        <v>12842</v>
      </c>
    </row>
    <row r="2786" spans="1:26" x14ac:dyDescent="0.2">
      <c r="A2786" s="8">
        <v>2785</v>
      </c>
      <c r="B2786" s="8" t="s">
        <v>12843</v>
      </c>
      <c r="C2786" s="8" t="s">
        <v>12843</v>
      </c>
      <c r="F2786" s="47"/>
      <c r="G2786" s="8">
        <v>19</v>
      </c>
      <c r="H2786" s="8" t="s">
        <v>21</v>
      </c>
      <c r="I2786" s="8" t="s">
        <v>22</v>
      </c>
      <c r="J2786" s="8" t="s">
        <v>22</v>
      </c>
      <c r="K2786" s="8" t="s">
        <v>3616</v>
      </c>
      <c r="L2786" s="8" t="s">
        <v>10511</v>
      </c>
      <c r="M2786" s="8" t="s">
        <v>10512</v>
      </c>
      <c r="N2786" s="8" t="s">
        <v>12844</v>
      </c>
      <c r="O2786" s="8">
        <f>9+15/60+15.2/3600</f>
        <v>9.2542222222222215</v>
      </c>
      <c r="P2786" s="8" t="s">
        <v>12845</v>
      </c>
      <c r="Q2786" s="8">
        <f>+(40+55/60+5/3600)</f>
        <v>40.918055555555554</v>
      </c>
      <c r="R2786" s="8">
        <v>14.1</v>
      </c>
      <c r="S2786" s="8">
        <v>14.7</v>
      </c>
      <c r="T2786" s="8">
        <v>0.6</v>
      </c>
      <c r="U2786" s="8">
        <v>13.7</v>
      </c>
      <c r="V2786" s="8">
        <v>1.5</v>
      </c>
      <c r="W2786" s="8">
        <v>0.5</v>
      </c>
      <c r="X2786" s="8">
        <v>120</v>
      </c>
      <c r="Y2786" s="8" t="s">
        <v>12846</v>
      </c>
      <c r="Z2786" s="8" t="s">
        <v>12847</v>
      </c>
    </row>
    <row r="2787" spans="1:26" x14ac:dyDescent="0.2">
      <c r="A2787" s="8">
        <v>2786</v>
      </c>
      <c r="B2787" s="8" t="s">
        <v>12848</v>
      </c>
      <c r="C2787" s="8" t="s">
        <v>12848</v>
      </c>
      <c r="F2787" s="47"/>
      <c r="G2787" s="8">
        <v>18</v>
      </c>
      <c r="H2787" s="8" t="s">
        <v>21</v>
      </c>
      <c r="I2787" s="8" t="s">
        <v>22</v>
      </c>
      <c r="J2787" s="8" t="s">
        <v>22</v>
      </c>
      <c r="K2787" s="8" t="s">
        <v>12849</v>
      </c>
      <c r="L2787" s="8" t="s">
        <v>11551</v>
      </c>
      <c r="M2787" s="8" t="s">
        <v>11552</v>
      </c>
      <c r="N2787" s="8" t="s">
        <v>12850</v>
      </c>
      <c r="O2787" s="8">
        <f>9+13/60+35.5/3600</f>
        <v>9.2265277777777772</v>
      </c>
      <c r="P2787" s="8" t="s">
        <v>12851</v>
      </c>
      <c r="Q2787" s="8">
        <f>+(12+26/60+26/3600)</f>
        <v>12.440555555555555</v>
      </c>
      <c r="R2787" s="8">
        <v>13.3</v>
      </c>
      <c r="S2787" s="8">
        <v>14.2</v>
      </c>
      <c r="T2787" s="8">
        <v>0.9</v>
      </c>
      <c r="U2787" s="8">
        <v>12.3</v>
      </c>
      <c r="V2787" s="8">
        <v>0.9</v>
      </c>
      <c r="W2787" s="8">
        <v>0.6</v>
      </c>
      <c r="X2787" s="8">
        <v>77</v>
      </c>
      <c r="Y2787" s="8" t="s">
        <v>5916</v>
      </c>
      <c r="Z2787" s="8" t="s">
        <v>5917</v>
      </c>
    </row>
    <row r="2788" spans="1:26" x14ac:dyDescent="0.2">
      <c r="A2788" s="8">
        <v>2787</v>
      </c>
      <c r="B2788" s="8" t="s">
        <v>12852</v>
      </c>
      <c r="C2788" s="8" t="s">
        <v>12852</v>
      </c>
      <c r="F2788" s="47" t="s">
        <v>56636</v>
      </c>
      <c r="G2788" s="8">
        <v>6</v>
      </c>
      <c r="H2788" s="8" t="s">
        <v>21</v>
      </c>
      <c r="I2788" s="8" t="s">
        <v>22</v>
      </c>
      <c r="J2788" s="8" t="s">
        <v>22</v>
      </c>
      <c r="K2788" s="8" t="s">
        <v>435</v>
      </c>
      <c r="L2788" s="8" t="s">
        <v>12015</v>
      </c>
      <c r="M2788" s="8" t="s">
        <v>12016</v>
      </c>
      <c r="N2788" s="8" t="s">
        <v>12853</v>
      </c>
      <c r="O2788" s="8">
        <f>9+19/60+18.4/3600</f>
        <v>9.3217777777777773</v>
      </c>
      <c r="P2788" s="8" t="s">
        <v>12854</v>
      </c>
      <c r="Q2788" s="8">
        <f>+(69+12/60+13/3600)</f>
        <v>69.203611111111115</v>
      </c>
      <c r="R2788" s="8">
        <v>10.7</v>
      </c>
      <c r="S2788" s="8">
        <v>11.8</v>
      </c>
      <c r="T2788" s="8">
        <v>1.1000000000000001</v>
      </c>
      <c r="U2788" s="8">
        <v>12.5</v>
      </c>
      <c r="V2788" s="8">
        <v>3.1</v>
      </c>
      <c r="W2788" s="8">
        <v>1.8</v>
      </c>
      <c r="X2788" s="8">
        <v>111</v>
      </c>
      <c r="Y2788" s="8" t="s">
        <v>12855</v>
      </c>
      <c r="Z2788" s="8" t="s">
        <v>12856</v>
      </c>
    </row>
    <row r="2789" spans="1:26" x14ac:dyDescent="0.2">
      <c r="A2789" s="8">
        <v>2788</v>
      </c>
      <c r="B2789" s="8" t="s">
        <v>12857</v>
      </c>
      <c r="C2789" s="8" t="s">
        <v>12857</v>
      </c>
      <c r="F2789" s="47"/>
      <c r="G2789" s="8">
        <v>16</v>
      </c>
      <c r="H2789" s="8" t="s">
        <v>21</v>
      </c>
      <c r="I2789" s="8" t="s">
        <v>22</v>
      </c>
      <c r="J2789" s="8" t="s">
        <v>22</v>
      </c>
      <c r="K2789" s="8" t="s">
        <v>31</v>
      </c>
      <c r="L2789" s="8" t="s">
        <v>10135</v>
      </c>
      <c r="M2789" s="8" t="s">
        <v>10136</v>
      </c>
      <c r="N2789" s="8" t="s">
        <v>12858</v>
      </c>
      <c r="O2789" s="8">
        <f>9+9/60+3.3/3600</f>
        <v>9.1509166666666673</v>
      </c>
      <c r="P2789" s="8" t="s">
        <v>12859</v>
      </c>
      <c r="Q2789" s="8">
        <f>-(67+55/60+57/3600)</f>
        <v>-67.932500000000005</v>
      </c>
      <c r="R2789" s="8">
        <v>12.3</v>
      </c>
      <c r="S2789" s="8">
        <v>13.1</v>
      </c>
      <c r="T2789" s="8">
        <v>0.8</v>
      </c>
      <c r="U2789" s="8">
        <v>12.2</v>
      </c>
      <c r="V2789" s="8">
        <v>1.8</v>
      </c>
      <c r="W2789" s="8">
        <v>0.4</v>
      </c>
      <c r="X2789" s="8">
        <v>114</v>
      </c>
      <c r="Y2789" s="8" t="s">
        <v>12860</v>
      </c>
      <c r="Z2789" s="8" t="s">
        <v>12861</v>
      </c>
    </row>
    <row r="2790" spans="1:26" x14ac:dyDescent="0.2">
      <c r="A2790" s="8">
        <v>2789</v>
      </c>
      <c r="B2790" s="8" t="s">
        <v>12862</v>
      </c>
      <c r="C2790" s="8" t="s">
        <v>12862</v>
      </c>
      <c r="F2790" s="47"/>
      <c r="G2790" s="8">
        <v>19</v>
      </c>
      <c r="H2790" s="8" t="s">
        <v>21</v>
      </c>
      <c r="I2790" s="8" t="s">
        <v>22</v>
      </c>
      <c r="J2790" s="8" t="s">
        <v>57</v>
      </c>
      <c r="K2790" s="8" t="s">
        <v>435</v>
      </c>
      <c r="L2790" s="8" t="s">
        <v>11551</v>
      </c>
      <c r="M2790" s="8" t="s">
        <v>11552</v>
      </c>
      <c r="N2790" s="8" t="s">
        <v>12863</v>
      </c>
      <c r="O2790" s="8">
        <f>9+14/60+59.7/3600</f>
        <v>9.2499166666666657</v>
      </c>
      <c r="P2790" s="8" t="s">
        <v>12864</v>
      </c>
      <c r="Q2790" s="8">
        <f>+(29+43/60+49/3600)</f>
        <v>29.730277777777776</v>
      </c>
      <c r="R2790" s="8">
        <v>12.2</v>
      </c>
      <c r="S2790" s="8">
        <v>13.1</v>
      </c>
      <c r="T2790" s="8">
        <v>0.9</v>
      </c>
      <c r="U2790" s="8">
        <v>12.8</v>
      </c>
      <c r="V2790" s="8">
        <v>1.5</v>
      </c>
      <c r="W2790" s="8">
        <v>1.3</v>
      </c>
      <c r="X2790" s="8">
        <v>20</v>
      </c>
      <c r="Y2790" s="8" t="s">
        <v>2186</v>
      </c>
      <c r="Z2790" s="8" t="s">
        <v>2187</v>
      </c>
    </row>
    <row r="2791" spans="1:26" x14ac:dyDescent="0.2">
      <c r="A2791" s="8">
        <v>2790</v>
      </c>
      <c r="B2791" s="8" t="s">
        <v>12865</v>
      </c>
      <c r="C2791" s="8" t="s">
        <v>12865</v>
      </c>
      <c r="F2791" s="47"/>
      <c r="G2791" s="8">
        <v>18</v>
      </c>
      <c r="H2791" s="8" t="s">
        <v>21</v>
      </c>
      <c r="I2791" s="8" t="s">
        <v>22</v>
      </c>
      <c r="J2791" s="8" t="s">
        <v>22</v>
      </c>
      <c r="K2791" s="8" t="s">
        <v>160</v>
      </c>
      <c r="L2791" s="8" t="s">
        <v>11551</v>
      </c>
      <c r="M2791" s="8" t="s">
        <v>11552</v>
      </c>
      <c r="N2791" s="8" t="s">
        <v>12866</v>
      </c>
      <c r="O2791" s="8">
        <f>9+15/60+2.7/3600</f>
        <v>9.25075</v>
      </c>
      <c r="P2791" s="8" t="s">
        <v>12867</v>
      </c>
      <c r="Q2791" s="8">
        <f>+(19+41/60+51/3600)</f>
        <v>19.697500000000002</v>
      </c>
      <c r="R2791" s="8">
        <v>14.5</v>
      </c>
      <c r="S2791" s="8">
        <v>15.2</v>
      </c>
      <c r="T2791" s="8">
        <v>0.7</v>
      </c>
      <c r="U2791" s="8">
        <v>12.8</v>
      </c>
      <c r="V2791" s="8">
        <v>0.6</v>
      </c>
      <c r="W2791" s="8">
        <v>0.4</v>
      </c>
      <c r="X2791" s="8">
        <v>51</v>
      </c>
      <c r="Y2791" s="8" t="s">
        <v>10836</v>
      </c>
      <c r="Z2791" s="8" t="s">
        <v>10837</v>
      </c>
    </row>
    <row r="2792" spans="1:26" x14ac:dyDescent="0.2">
      <c r="A2792" s="8">
        <v>2791</v>
      </c>
      <c r="B2792" s="8" t="s">
        <v>12868</v>
      </c>
      <c r="C2792" s="8" t="s">
        <v>12868</v>
      </c>
      <c r="F2792" s="47"/>
      <c r="G2792" s="8">
        <v>18</v>
      </c>
      <c r="H2792" s="8" t="s">
        <v>21</v>
      </c>
      <c r="I2792" s="8" t="s">
        <v>22</v>
      </c>
      <c r="J2792" s="8" t="s">
        <v>22</v>
      </c>
      <c r="K2792" s="8" t="s">
        <v>449</v>
      </c>
      <c r="L2792" s="8" t="s">
        <v>11551</v>
      </c>
      <c r="M2792" s="8" t="s">
        <v>11552</v>
      </c>
      <c r="N2792" s="8" t="s">
        <v>12869</v>
      </c>
      <c r="O2792" s="8">
        <f>9+15/60+1.9/3600</f>
        <v>9.2505277777777781</v>
      </c>
      <c r="P2792" s="8" t="s">
        <v>12870</v>
      </c>
      <c r="Q2792" s="8">
        <f>+(17+35/60+34/3600)</f>
        <v>17.592777777777776</v>
      </c>
      <c r="R2792" s="8">
        <v>14.6</v>
      </c>
      <c r="S2792" s="8">
        <v>15.4</v>
      </c>
      <c r="T2792" s="8">
        <v>0.8</v>
      </c>
      <c r="U2792" s="8">
        <v>12.9</v>
      </c>
      <c r="V2792" s="8">
        <v>0.8</v>
      </c>
      <c r="W2792" s="8">
        <v>0.3</v>
      </c>
      <c r="X2792" s="8">
        <v>156</v>
      </c>
      <c r="Y2792" s="8" t="s">
        <v>12871</v>
      </c>
      <c r="Z2792" s="8" t="s">
        <v>12872</v>
      </c>
    </row>
    <row r="2793" spans="1:26" x14ac:dyDescent="0.2">
      <c r="A2793" s="8">
        <v>2792</v>
      </c>
      <c r="B2793" s="8" t="s">
        <v>12873</v>
      </c>
      <c r="C2793" s="8" t="s">
        <v>12873</v>
      </c>
      <c r="F2793" s="47"/>
      <c r="G2793" s="8">
        <v>13</v>
      </c>
      <c r="H2793" s="8" t="s">
        <v>21</v>
      </c>
      <c r="I2793" s="8" t="s">
        <v>241</v>
      </c>
      <c r="J2793" s="8" t="s">
        <v>241</v>
      </c>
      <c r="K2793" s="8" t="s">
        <v>241</v>
      </c>
      <c r="L2793" s="8" t="s">
        <v>11757</v>
      </c>
      <c r="M2793" s="8" t="s">
        <v>11758</v>
      </c>
      <c r="N2793" s="8" t="s">
        <v>12874</v>
      </c>
      <c r="O2793" s="8">
        <f>9+12/60+26.5/3600</f>
        <v>9.2073611111111102</v>
      </c>
      <c r="P2793" s="8" t="s">
        <v>12875</v>
      </c>
      <c r="Q2793" s="8">
        <f>-(42+25/60+39/3600)</f>
        <v>-42.427499999999995</v>
      </c>
      <c r="R2793" s="8">
        <v>11.6</v>
      </c>
      <c r="S2793" s="8">
        <v>13.5</v>
      </c>
      <c r="T2793" s="8">
        <v>99</v>
      </c>
      <c r="U2793" s="8">
        <v>99</v>
      </c>
      <c r="V2793" s="8">
        <v>0.35</v>
      </c>
      <c r="Y2793" s="8" t="s">
        <v>12876</v>
      </c>
      <c r="Z2793" s="8" t="s">
        <v>12877</v>
      </c>
    </row>
    <row r="2794" spans="1:26" x14ac:dyDescent="0.2">
      <c r="A2794" s="8">
        <v>2793</v>
      </c>
      <c r="B2794" s="8" t="s">
        <v>12878</v>
      </c>
      <c r="C2794" s="8" t="s">
        <v>12878</v>
      </c>
      <c r="F2794" s="47"/>
      <c r="G2794" s="8">
        <v>13</v>
      </c>
      <c r="H2794" s="8" t="s">
        <v>21</v>
      </c>
      <c r="I2794" s="8" t="s">
        <v>22</v>
      </c>
      <c r="J2794" s="8" t="s">
        <v>22</v>
      </c>
      <c r="K2794" s="8" t="s">
        <v>323</v>
      </c>
      <c r="L2794" s="8" t="s">
        <v>10511</v>
      </c>
      <c r="M2794" s="8" t="s">
        <v>10512</v>
      </c>
      <c r="N2794" s="8" t="s">
        <v>12879</v>
      </c>
      <c r="O2794" s="8">
        <f>9+16/60+46.6/3600</f>
        <v>9.2796111111111124</v>
      </c>
      <c r="P2794" s="8" t="s">
        <v>12880</v>
      </c>
      <c r="Q2794" s="8">
        <f>+(34+25/60+56/3600)</f>
        <v>34.432222222222222</v>
      </c>
      <c r="R2794" s="8">
        <v>13</v>
      </c>
      <c r="S2794" s="8">
        <v>13.6</v>
      </c>
      <c r="T2794" s="8">
        <v>0.6</v>
      </c>
      <c r="U2794" s="8">
        <v>13</v>
      </c>
      <c r="V2794" s="8">
        <v>1.2</v>
      </c>
      <c r="W2794" s="8">
        <v>1</v>
      </c>
      <c r="X2794" s="8">
        <v>63</v>
      </c>
      <c r="Y2794" s="8" t="s">
        <v>12881</v>
      </c>
      <c r="Z2794" s="8" t="s">
        <v>12882</v>
      </c>
    </row>
    <row r="2795" spans="1:26" x14ac:dyDescent="0.2">
      <c r="A2795" s="8">
        <v>2794</v>
      </c>
      <c r="B2795" s="8" t="s">
        <v>12883</v>
      </c>
      <c r="C2795" s="8" t="s">
        <v>12883</v>
      </c>
      <c r="F2795" s="47"/>
      <c r="G2795" s="8">
        <v>18</v>
      </c>
      <c r="H2795" s="8" t="s">
        <v>21</v>
      </c>
      <c r="I2795" s="8" t="s">
        <v>22</v>
      </c>
      <c r="J2795" s="8" t="s">
        <v>22</v>
      </c>
      <c r="K2795" s="8" t="s">
        <v>1445</v>
      </c>
      <c r="L2795" s="8" t="s">
        <v>11551</v>
      </c>
      <c r="M2795" s="8" t="s">
        <v>11552</v>
      </c>
      <c r="N2795" s="8" t="s">
        <v>12884</v>
      </c>
      <c r="O2795" s="8">
        <f>9+16/60+1.7/3600</f>
        <v>9.2671388888888906</v>
      </c>
      <c r="P2795" s="8" t="s">
        <v>12885</v>
      </c>
      <c r="Q2795" s="8">
        <f>+(17+35/60+22/3600)</f>
        <v>17.589444444444442</v>
      </c>
      <c r="R2795" s="8">
        <v>13.2</v>
      </c>
      <c r="S2795" s="8">
        <v>14</v>
      </c>
      <c r="T2795" s="8">
        <v>0.8</v>
      </c>
      <c r="U2795" s="8">
        <v>13.4</v>
      </c>
      <c r="V2795" s="8">
        <v>1.2</v>
      </c>
      <c r="W2795" s="8">
        <v>1.2</v>
      </c>
      <c r="Y2795" s="8" t="s">
        <v>12886</v>
      </c>
      <c r="Z2795" s="8" t="s">
        <v>12887</v>
      </c>
    </row>
    <row r="2796" spans="1:26" x14ac:dyDescent="0.2">
      <c r="A2796" s="8">
        <v>2795</v>
      </c>
      <c r="B2796" s="8" t="s">
        <v>12888</v>
      </c>
      <c r="C2796" s="8" t="s">
        <v>12888</v>
      </c>
      <c r="F2796" s="47"/>
      <c r="G2796" s="8">
        <v>18</v>
      </c>
      <c r="H2796" s="8" t="s">
        <v>21</v>
      </c>
      <c r="I2796" s="8" t="s">
        <v>22</v>
      </c>
      <c r="J2796" s="8" t="s">
        <v>22</v>
      </c>
      <c r="K2796" s="8" t="s">
        <v>382</v>
      </c>
      <c r="L2796" s="8" t="s">
        <v>11551</v>
      </c>
      <c r="M2796" s="8" t="s">
        <v>11552</v>
      </c>
      <c r="N2796" s="8" t="s">
        <v>12889</v>
      </c>
      <c r="O2796" s="8">
        <f>9+16/60+3.7/3600</f>
        <v>9.2676944444444445</v>
      </c>
      <c r="P2796" s="8" t="s">
        <v>12890</v>
      </c>
      <c r="Q2796" s="8">
        <f>+(17+37/60+42/3600)</f>
        <v>17.628333333333334</v>
      </c>
      <c r="R2796" s="8">
        <v>12.8</v>
      </c>
      <c r="S2796" s="8">
        <v>13.8</v>
      </c>
      <c r="T2796" s="8">
        <v>1</v>
      </c>
      <c r="U2796" s="8">
        <v>13.2</v>
      </c>
      <c r="V2796" s="8">
        <v>1.4</v>
      </c>
      <c r="W2796" s="8">
        <v>1</v>
      </c>
      <c r="X2796" s="8">
        <v>170</v>
      </c>
      <c r="Y2796" s="8" t="s">
        <v>12891</v>
      </c>
      <c r="Z2796" s="8" t="s">
        <v>12892</v>
      </c>
    </row>
    <row r="2797" spans="1:26" x14ac:dyDescent="0.2">
      <c r="A2797" s="8">
        <v>2796</v>
      </c>
      <c r="B2797" s="8" t="s">
        <v>12893</v>
      </c>
      <c r="C2797" s="8" t="s">
        <v>12893</v>
      </c>
      <c r="F2797" s="47" t="s">
        <v>56637</v>
      </c>
      <c r="G2797" s="8">
        <v>15</v>
      </c>
      <c r="H2797" s="8" t="s">
        <v>21</v>
      </c>
      <c r="I2797" s="8" t="s">
        <v>22</v>
      </c>
      <c r="J2797" s="8" t="s">
        <v>22</v>
      </c>
      <c r="K2797" s="8" t="s">
        <v>91</v>
      </c>
      <c r="L2797" s="8" t="s">
        <v>11551</v>
      </c>
      <c r="M2797" s="8" t="s">
        <v>11552</v>
      </c>
      <c r="N2797" s="8" t="s">
        <v>12894</v>
      </c>
      <c r="O2797" s="8">
        <f>9+16/60+41.8/3600</f>
        <v>9.2782777777777792</v>
      </c>
      <c r="P2797" s="8" t="s">
        <v>12895</v>
      </c>
      <c r="Q2797" s="8">
        <f>+(30+54/60+58/3600)</f>
        <v>30.91611111111111</v>
      </c>
      <c r="R2797" s="8">
        <v>13.5</v>
      </c>
      <c r="S2797" s="8">
        <v>14.4</v>
      </c>
      <c r="T2797" s="8">
        <v>0.9</v>
      </c>
      <c r="U2797" s="8">
        <v>13.1</v>
      </c>
      <c r="V2797" s="8">
        <v>1.1000000000000001</v>
      </c>
      <c r="W2797" s="8">
        <v>0.7</v>
      </c>
      <c r="X2797" s="8">
        <v>80</v>
      </c>
      <c r="Y2797" s="8" t="s">
        <v>3982</v>
      </c>
      <c r="Z2797" s="8" t="s">
        <v>3983</v>
      </c>
    </row>
    <row r="2798" spans="1:26" x14ac:dyDescent="0.2">
      <c r="A2798" s="8">
        <v>2797</v>
      </c>
      <c r="B2798" s="8" t="s">
        <v>12896</v>
      </c>
      <c r="C2798" s="8" t="s">
        <v>12896</v>
      </c>
      <c r="F2798" s="47"/>
      <c r="G2798" s="8">
        <v>18</v>
      </c>
      <c r="H2798" s="8" t="s">
        <v>21</v>
      </c>
      <c r="I2798" s="8" t="s">
        <v>22</v>
      </c>
      <c r="J2798" s="8" t="s">
        <v>22</v>
      </c>
      <c r="K2798" s="8" t="s">
        <v>1174</v>
      </c>
      <c r="L2798" s="8" t="s">
        <v>11551</v>
      </c>
      <c r="M2798" s="8" t="s">
        <v>11552</v>
      </c>
      <c r="N2798" s="8" t="s">
        <v>12897</v>
      </c>
      <c r="O2798" s="8">
        <f>9+16/60+21.7/3600</f>
        <v>9.2726944444444452</v>
      </c>
      <c r="P2798" s="8" t="s">
        <v>12898</v>
      </c>
      <c r="Q2798" s="8">
        <f>+(17+43/60+38/3600)</f>
        <v>17.72722222222222</v>
      </c>
      <c r="R2798" s="8">
        <v>13.5</v>
      </c>
      <c r="S2798" s="8">
        <v>14.5</v>
      </c>
      <c r="T2798" s="8">
        <v>1</v>
      </c>
      <c r="U2798" s="8">
        <v>12</v>
      </c>
      <c r="V2798" s="8">
        <v>0.6</v>
      </c>
      <c r="W2798" s="8">
        <v>0.5</v>
      </c>
      <c r="X2798" s="8">
        <v>21</v>
      </c>
      <c r="Y2798" s="8" t="s">
        <v>12899</v>
      </c>
      <c r="Z2798" s="8" t="s">
        <v>12900</v>
      </c>
    </row>
    <row r="2799" spans="1:26" x14ac:dyDescent="0.2">
      <c r="A2799" s="8">
        <v>2798</v>
      </c>
      <c r="B2799" s="8" t="s">
        <v>12901</v>
      </c>
      <c r="C2799" s="8" t="s">
        <v>12901</v>
      </c>
      <c r="F2799" s="47" t="s">
        <v>56638</v>
      </c>
      <c r="G2799" s="8">
        <v>13</v>
      </c>
      <c r="H2799" s="8" t="s">
        <v>21</v>
      </c>
      <c r="I2799" s="8" t="s">
        <v>22</v>
      </c>
      <c r="J2799" s="8" t="s">
        <v>22</v>
      </c>
      <c r="K2799" s="8" t="s">
        <v>7975</v>
      </c>
      <c r="L2799" s="8" t="s">
        <v>10511</v>
      </c>
      <c r="M2799" s="8" t="s">
        <v>10512</v>
      </c>
      <c r="N2799" s="8" t="s">
        <v>12902</v>
      </c>
      <c r="O2799" s="8">
        <f>9+17/60+22.9/3600</f>
        <v>9.2896944444444447</v>
      </c>
      <c r="P2799" s="8" t="s">
        <v>12903</v>
      </c>
      <c r="Q2799" s="8">
        <f>+(42+0/60+0/3600)</f>
        <v>42</v>
      </c>
      <c r="R2799" s="8">
        <v>12.3</v>
      </c>
      <c r="S2799" s="8">
        <v>13</v>
      </c>
      <c r="T2799" s="8">
        <v>0.7</v>
      </c>
      <c r="U2799" s="8">
        <v>13.2</v>
      </c>
      <c r="V2799" s="8">
        <v>2.8</v>
      </c>
      <c r="W2799" s="8">
        <v>0.9</v>
      </c>
      <c r="X2799" s="8">
        <v>160</v>
      </c>
      <c r="Y2799" s="8" t="s">
        <v>11015</v>
      </c>
      <c r="Z2799" s="8" t="s">
        <v>11016</v>
      </c>
    </row>
    <row r="2800" spans="1:26" x14ac:dyDescent="0.2">
      <c r="A2800" s="8">
        <v>2799</v>
      </c>
      <c r="B2800" s="8" t="s">
        <v>12904</v>
      </c>
      <c r="C2800" s="8" t="s">
        <v>12904</v>
      </c>
      <c r="F2800" s="47"/>
      <c r="G2800" s="8">
        <v>18</v>
      </c>
      <c r="H2800" s="8" t="s">
        <v>21</v>
      </c>
      <c r="I2800" s="8" t="s">
        <v>22</v>
      </c>
      <c r="J2800" s="8" t="s">
        <v>22</v>
      </c>
      <c r="K2800" s="8" t="s">
        <v>323</v>
      </c>
      <c r="L2800" s="8" t="s">
        <v>10511</v>
      </c>
      <c r="M2800" s="8" t="s">
        <v>10512</v>
      </c>
      <c r="N2800" s="8" t="s">
        <v>12905</v>
      </c>
      <c r="O2800" s="8">
        <f>9+17/60+31/3600</f>
        <v>9.2919444444444448</v>
      </c>
      <c r="P2800" s="8" t="s">
        <v>12906</v>
      </c>
      <c r="Q2800" s="8">
        <f>+(41+59/60+38/3600)</f>
        <v>41.99388888888889</v>
      </c>
      <c r="R2800" s="8">
        <v>13.7</v>
      </c>
      <c r="S2800" s="8">
        <v>14.3</v>
      </c>
      <c r="T2800" s="8">
        <v>0.6</v>
      </c>
      <c r="U2800" s="8">
        <v>13.5</v>
      </c>
      <c r="V2800" s="8">
        <v>1.9</v>
      </c>
      <c r="W2800" s="8">
        <v>0.5</v>
      </c>
      <c r="X2800" s="8">
        <v>125</v>
      </c>
      <c r="Y2800" s="8" t="s">
        <v>11015</v>
      </c>
      <c r="Z2800" s="8" t="s">
        <v>12907</v>
      </c>
    </row>
    <row r="2801" spans="1:26" x14ac:dyDescent="0.2">
      <c r="A2801" s="8">
        <v>2800</v>
      </c>
      <c r="B2801" s="8" t="s">
        <v>12908</v>
      </c>
      <c r="C2801" s="8" t="s">
        <v>12908</v>
      </c>
      <c r="F2801" s="47" t="s">
        <v>56639</v>
      </c>
      <c r="G2801" s="8">
        <v>15</v>
      </c>
      <c r="H2801" s="8" t="s">
        <v>21</v>
      </c>
      <c r="I2801" s="8" t="s">
        <v>22</v>
      </c>
      <c r="J2801" s="8" t="s">
        <v>22</v>
      </c>
      <c r="K2801" s="8" t="s">
        <v>50</v>
      </c>
      <c r="L2801" s="8" t="s">
        <v>12015</v>
      </c>
      <c r="M2801" s="8" t="s">
        <v>12016</v>
      </c>
      <c r="N2801" s="8" t="s">
        <v>12909</v>
      </c>
      <c r="O2801" s="8">
        <f>9+18/60+35.1/3600</f>
        <v>9.3097500000000011</v>
      </c>
      <c r="P2801" s="8" t="s">
        <v>12910</v>
      </c>
      <c r="Q2801" s="8">
        <f>+(52+30/60+53/3600)</f>
        <v>52.514722222222225</v>
      </c>
      <c r="R2801" s="8">
        <v>12.8</v>
      </c>
      <c r="S2801" s="8">
        <v>13.8</v>
      </c>
      <c r="T2801" s="8">
        <v>1</v>
      </c>
      <c r="U2801" s="8">
        <v>13.1</v>
      </c>
      <c r="V2801" s="8">
        <v>1.4</v>
      </c>
      <c r="W2801" s="8">
        <v>0.9</v>
      </c>
      <c r="X2801" s="8">
        <v>15</v>
      </c>
      <c r="Y2801" s="8" t="s">
        <v>12911</v>
      </c>
      <c r="Z2801" s="8" t="s">
        <v>12912</v>
      </c>
    </row>
    <row r="2802" spans="1:26" x14ac:dyDescent="0.2">
      <c r="A2802" s="8">
        <v>2801</v>
      </c>
      <c r="B2802" s="8" t="s">
        <v>12913</v>
      </c>
      <c r="C2802" s="8" t="s">
        <v>12913</v>
      </c>
      <c r="F2802" s="47"/>
      <c r="G2802" s="8">
        <v>18</v>
      </c>
      <c r="H2802" s="8" t="s">
        <v>21</v>
      </c>
      <c r="I2802" s="8" t="s">
        <v>22</v>
      </c>
      <c r="J2802" s="8" t="s">
        <v>22</v>
      </c>
      <c r="K2802" s="8" t="s">
        <v>160</v>
      </c>
      <c r="L2802" s="8" t="s">
        <v>11551</v>
      </c>
      <c r="M2802" s="8" t="s">
        <v>11552</v>
      </c>
      <c r="N2802" s="8" t="s">
        <v>12914</v>
      </c>
      <c r="O2802" s="8">
        <f>9+16/60+44.2/3600</f>
        <v>9.2789444444444449</v>
      </c>
      <c r="P2802" s="8" t="s">
        <v>12915</v>
      </c>
      <c r="Q2802" s="8">
        <f>+(19+56/60+7/3600)</f>
        <v>19.935277777777777</v>
      </c>
      <c r="R2802" s="8">
        <v>14</v>
      </c>
      <c r="S2802" s="8">
        <v>14.7</v>
      </c>
      <c r="T2802" s="8">
        <v>0.7</v>
      </c>
      <c r="U2802" s="8">
        <v>14</v>
      </c>
      <c r="V2802" s="8">
        <v>1.1000000000000001</v>
      </c>
      <c r="W2802" s="8">
        <v>1</v>
      </c>
      <c r="X2802" s="8">
        <v>62</v>
      </c>
      <c r="Y2802" s="8" t="s">
        <v>3505</v>
      </c>
      <c r="Z2802" s="8" t="s">
        <v>3506</v>
      </c>
    </row>
    <row r="2803" spans="1:26" x14ac:dyDescent="0.2">
      <c r="A2803" s="8">
        <v>2802</v>
      </c>
      <c r="B2803" s="8" t="s">
        <v>12916</v>
      </c>
      <c r="C2803" s="8" t="s">
        <v>12916</v>
      </c>
      <c r="F2803" s="47" t="s">
        <v>56640</v>
      </c>
      <c r="G2803" s="8">
        <v>15</v>
      </c>
      <c r="H2803" s="8" t="s">
        <v>21</v>
      </c>
      <c r="I2803" s="8" t="s">
        <v>22</v>
      </c>
      <c r="J2803" s="8" t="s">
        <v>22</v>
      </c>
      <c r="K2803" s="8" t="s">
        <v>58</v>
      </c>
      <c r="L2803" s="8" t="s">
        <v>11551</v>
      </c>
      <c r="M2803" s="8" t="s">
        <v>11552</v>
      </c>
      <c r="N2803" s="8" t="s">
        <v>12917</v>
      </c>
      <c r="O2803" s="8">
        <f>9+16/60+41.4/3600</f>
        <v>9.2781666666666673</v>
      </c>
      <c r="P2803" s="8" t="s">
        <v>12918</v>
      </c>
      <c r="Q2803" s="8">
        <f>+(18+57/60+50/3600)</f>
        <v>18.963888888888889</v>
      </c>
      <c r="R2803" s="8">
        <v>14.3</v>
      </c>
      <c r="S2803" s="8">
        <v>15.3</v>
      </c>
      <c r="T2803" s="8">
        <v>1</v>
      </c>
      <c r="U2803" s="8">
        <v>13.5</v>
      </c>
      <c r="V2803" s="8">
        <v>1.1000000000000001</v>
      </c>
      <c r="W2803" s="8">
        <v>0.6</v>
      </c>
      <c r="X2803" s="8">
        <v>132</v>
      </c>
      <c r="Y2803" s="8" t="s">
        <v>12919</v>
      </c>
      <c r="Z2803" s="8" t="s">
        <v>12920</v>
      </c>
    </row>
    <row r="2804" spans="1:26" x14ac:dyDescent="0.2">
      <c r="A2804" s="8">
        <v>2803</v>
      </c>
      <c r="B2804" s="8" t="s">
        <v>12921</v>
      </c>
      <c r="C2804" s="8" t="s">
        <v>12921</v>
      </c>
      <c r="F2804" s="47" t="s">
        <v>56641</v>
      </c>
      <c r="G2804" s="8">
        <v>15</v>
      </c>
      <c r="H2804" s="8" t="s">
        <v>21</v>
      </c>
      <c r="I2804" s="8" t="s">
        <v>22</v>
      </c>
      <c r="J2804" s="8" t="s">
        <v>22</v>
      </c>
      <c r="K2804" s="8" t="s">
        <v>58</v>
      </c>
      <c r="L2804" s="8" t="s">
        <v>11551</v>
      </c>
      <c r="M2804" s="8" t="s">
        <v>11552</v>
      </c>
      <c r="N2804" s="8" t="s">
        <v>12922</v>
      </c>
      <c r="O2804" s="8">
        <f>9+16/60+43.8/3600</f>
        <v>9.2788333333333348</v>
      </c>
      <c r="P2804" s="8" t="s">
        <v>12923</v>
      </c>
      <c r="Q2804" s="8">
        <f>+(18+57/60+16/3600)</f>
        <v>18.954444444444444</v>
      </c>
      <c r="R2804" s="8">
        <v>14</v>
      </c>
      <c r="S2804" s="8">
        <v>15</v>
      </c>
      <c r="T2804" s="8">
        <v>1</v>
      </c>
      <c r="U2804" s="8">
        <v>13.8</v>
      </c>
      <c r="V2804" s="8">
        <v>1.1000000000000001</v>
      </c>
      <c r="W2804" s="8">
        <v>0.9</v>
      </c>
      <c r="X2804" s="8">
        <v>45</v>
      </c>
      <c r="Y2804" s="8" t="s">
        <v>12924</v>
      </c>
      <c r="Z2804" s="8" t="s">
        <v>12925</v>
      </c>
    </row>
    <row r="2805" spans="1:26" x14ac:dyDescent="0.2">
      <c r="A2805" s="8">
        <v>2804</v>
      </c>
      <c r="B2805" s="8" t="s">
        <v>12926</v>
      </c>
      <c r="C2805" s="8" t="s">
        <v>12926</v>
      </c>
      <c r="F2805" s="47"/>
      <c r="G2805" s="8">
        <v>16</v>
      </c>
      <c r="H2805" s="8" t="s">
        <v>21</v>
      </c>
      <c r="I2805" s="8" t="s">
        <v>22</v>
      </c>
      <c r="J2805" s="8" t="s">
        <v>22</v>
      </c>
      <c r="K2805" s="8" t="s">
        <v>37</v>
      </c>
      <c r="L2805" s="8" t="s">
        <v>11551</v>
      </c>
      <c r="M2805" s="8" t="s">
        <v>11552</v>
      </c>
      <c r="N2805" s="8" t="s">
        <v>12927</v>
      </c>
      <c r="O2805" s="8">
        <f>9+16/60+49.9/3600</f>
        <v>9.2805277777777793</v>
      </c>
      <c r="P2805" s="8" t="s">
        <v>12928</v>
      </c>
      <c r="Q2805" s="8">
        <f>+(20+11/60+54/3600)</f>
        <v>20.198333333333334</v>
      </c>
      <c r="R2805" s="8">
        <v>12.8</v>
      </c>
      <c r="S2805" s="8">
        <v>13.9</v>
      </c>
      <c r="T2805" s="8">
        <v>1.1000000000000001</v>
      </c>
      <c r="U2805" s="8">
        <v>14.3</v>
      </c>
      <c r="V2805" s="8">
        <v>1.4</v>
      </c>
      <c r="W2805" s="8">
        <v>1.2</v>
      </c>
      <c r="X2805" s="8">
        <v>60</v>
      </c>
      <c r="Y2805" s="8" t="s">
        <v>170</v>
      </c>
      <c r="Z2805" s="8" t="s">
        <v>171</v>
      </c>
    </row>
    <row r="2806" spans="1:26" x14ac:dyDescent="0.2">
      <c r="A2806" s="8">
        <v>2805</v>
      </c>
      <c r="B2806" s="8" t="s">
        <v>12929</v>
      </c>
      <c r="C2806" s="8" t="s">
        <v>12929</v>
      </c>
      <c r="F2806" s="47" t="s">
        <v>56642</v>
      </c>
      <c r="G2806" s="8">
        <v>6.5</v>
      </c>
      <c r="H2806" s="8" t="s">
        <v>21</v>
      </c>
      <c r="I2806" s="8" t="s">
        <v>22</v>
      </c>
      <c r="J2806" s="8" t="s">
        <v>22</v>
      </c>
      <c r="K2806" s="8" t="s">
        <v>269</v>
      </c>
      <c r="L2806" s="8" t="s">
        <v>12015</v>
      </c>
      <c r="M2806" s="8" t="s">
        <v>12016</v>
      </c>
      <c r="N2806" s="8" t="s">
        <v>12930</v>
      </c>
      <c r="O2806" s="8">
        <f>9+20/60+20.4/3600</f>
        <v>9.3390000000000004</v>
      </c>
      <c r="P2806" s="8" t="s">
        <v>12931</v>
      </c>
      <c r="Q2806" s="8">
        <f>+(64+6/60+10/3600)</f>
        <v>64.102777777777774</v>
      </c>
      <c r="R2806" s="8">
        <v>11</v>
      </c>
      <c r="S2806" s="8">
        <v>11.5</v>
      </c>
      <c r="T2806" s="8">
        <v>0.5</v>
      </c>
      <c r="U2806" s="8">
        <v>14.6</v>
      </c>
      <c r="V2806" s="8">
        <v>6.3</v>
      </c>
      <c r="W2806" s="8">
        <v>4.8</v>
      </c>
      <c r="X2806" s="8">
        <v>140</v>
      </c>
      <c r="Y2806" s="8" t="s">
        <v>12932</v>
      </c>
      <c r="Z2806" s="8" t="s">
        <v>12933</v>
      </c>
    </row>
    <row r="2807" spans="1:26" x14ac:dyDescent="0.2">
      <c r="A2807" s="8">
        <v>2806</v>
      </c>
      <c r="B2807" s="8" t="s">
        <v>12934</v>
      </c>
      <c r="C2807" s="8" t="s">
        <v>12934</v>
      </c>
      <c r="F2807" s="47"/>
      <c r="G2807" s="8">
        <v>18</v>
      </c>
      <c r="H2807" s="8" t="s">
        <v>21</v>
      </c>
      <c r="I2807" s="8" t="s">
        <v>72</v>
      </c>
      <c r="J2807" s="8" t="s">
        <v>72</v>
      </c>
      <c r="K2807" s="8" t="s">
        <v>20</v>
      </c>
      <c r="L2807" s="8" t="s">
        <v>11551</v>
      </c>
      <c r="M2807" s="8" t="s">
        <v>11552</v>
      </c>
      <c r="N2807" s="8" t="s">
        <v>12935</v>
      </c>
      <c r="O2807" s="8">
        <f>9+16/60+56.7/3600</f>
        <v>9.2824166666666681</v>
      </c>
      <c r="P2807" s="8" t="s">
        <v>12936</v>
      </c>
      <c r="Q2807" s="8">
        <f>+(20+4/60+16/3600)</f>
        <v>20.071111111111112</v>
      </c>
      <c r="R2807" s="8">
        <v>99</v>
      </c>
      <c r="S2807" s="8">
        <v>14.8</v>
      </c>
      <c r="T2807" s="8">
        <v>99</v>
      </c>
      <c r="U2807" s="8">
        <v>99</v>
      </c>
      <c r="Y2807" s="8" t="s">
        <v>12937</v>
      </c>
      <c r="Z2807" s="8" t="s">
        <v>12938</v>
      </c>
    </row>
    <row r="2808" spans="1:26" x14ac:dyDescent="0.2">
      <c r="A2808" s="8">
        <v>2807</v>
      </c>
      <c r="B2808" s="8" t="s">
        <v>12939</v>
      </c>
      <c r="C2808" s="8" t="s">
        <v>12939</v>
      </c>
      <c r="F2808" s="47"/>
      <c r="G2808" s="8">
        <v>18</v>
      </c>
      <c r="H2808" s="8" t="s">
        <v>21</v>
      </c>
      <c r="I2808" s="8" t="s">
        <v>22</v>
      </c>
      <c r="J2808" s="8" t="s">
        <v>22</v>
      </c>
      <c r="K2808" s="8" t="s">
        <v>449</v>
      </c>
      <c r="L2808" s="8" t="s">
        <v>11551</v>
      </c>
      <c r="M2808" s="8" t="s">
        <v>11552</v>
      </c>
      <c r="N2808" s="8" t="s">
        <v>12940</v>
      </c>
      <c r="O2808" s="8">
        <f>9+17/60+0.7/3600</f>
        <v>9.2835277777777776</v>
      </c>
      <c r="P2808" s="8" t="s">
        <v>12941</v>
      </c>
      <c r="Q2808" s="8">
        <f>+(20+2/60+10/3600)</f>
        <v>20.036111111111111</v>
      </c>
      <c r="R2808" s="8">
        <v>15</v>
      </c>
      <c r="S2808" s="8">
        <v>15.8</v>
      </c>
      <c r="T2808" s="8">
        <v>0.8</v>
      </c>
      <c r="U2808" s="8">
        <v>13.3</v>
      </c>
      <c r="V2808" s="8">
        <v>0.6</v>
      </c>
      <c r="W2808" s="8">
        <v>0.4</v>
      </c>
      <c r="X2808" s="8">
        <v>150</v>
      </c>
      <c r="Y2808" s="8" t="s">
        <v>12942</v>
      </c>
      <c r="Z2808" s="8" t="s">
        <v>12943</v>
      </c>
    </row>
    <row r="2809" spans="1:26" x14ac:dyDescent="0.2">
      <c r="A2809" s="8">
        <v>2808</v>
      </c>
      <c r="B2809" s="8" t="s">
        <v>12944</v>
      </c>
      <c r="C2809" s="8" t="s">
        <v>12944</v>
      </c>
      <c r="F2809" s="47"/>
      <c r="G2809" s="8">
        <v>3</v>
      </c>
      <c r="H2809" s="8" t="s">
        <v>21</v>
      </c>
      <c r="I2809" s="8" t="s">
        <v>567</v>
      </c>
      <c r="J2809" s="8" t="s">
        <v>567</v>
      </c>
      <c r="K2809" s="8" t="s">
        <v>12945</v>
      </c>
      <c r="L2809" s="8" t="s">
        <v>10135</v>
      </c>
      <c r="M2809" s="8" t="s">
        <v>10136</v>
      </c>
      <c r="N2809" s="8" t="s">
        <v>12946</v>
      </c>
      <c r="O2809" s="8">
        <f>9+12/60+2.6/3600</f>
        <v>9.2007222222222218</v>
      </c>
      <c r="P2809" s="8" t="s">
        <v>12947</v>
      </c>
      <c r="Q2809" s="8">
        <f>-(64+51/60+45/3600)</f>
        <v>-64.862499999999997</v>
      </c>
      <c r="R2809" s="8">
        <v>6.2</v>
      </c>
      <c r="S2809" s="8">
        <v>99</v>
      </c>
      <c r="T2809" s="8">
        <v>99</v>
      </c>
      <c r="U2809" s="8">
        <v>99</v>
      </c>
      <c r="V2809" s="8">
        <v>14</v>
      </c>
      <c r="Y2809" s="8" t="s">
        <v>12948</v>
      </c>
      <c r="Z2809" s="8" t="s">
        <v>12949</v>
      </c>
    </row>
    <row r="2810" spans="1:26" x14ac:dyDescent="0.2">
      <c r="A2810" s="8">
        <v>2809</v>
      </c>
      <c r="B2810" s="8" t="s">
        <v>12950</v>
      </c>
      <c r="C2810" s="8" t="s">
        <v>12950</v>
      </c>
      <c r="F2810" s="47"/>
      <c r="G2810" s="8">
        <v>16</v>
      </c>
      <c r="H2810" s="8" t="s">
        <v>21</v>
      </c>
      <c r="I2810" s="8" t="s">
        <v>22</v>
      </c>
      <c r="J2810" s="8" t="s">
        <v>22</v>
      </c>
      <c r="K2810" s="8" t="s">
        <v>37</v>
      </c>
      <c r="L2810" s="8" t="s">
        <v>11551</v>
      </c>
      <c r="M2810" s="8" t="s">
        <v>11552</v>
      </c>
      <c r="N2810" s="8" t="s">
        <v>12951</v>
      </c>
      <c r="O2810" s="8">
        <f>9+17/60+6.9/3600</f>
        <v>9.2852499999999996</v>
      </c>
      <c r="P2810" s="8" t="s">
        <v>12952</v>
      </c>
      <c r="Q2810" s="8">
        <f>+(20+4/60+9/3600)</f>
        <v>20.069166666666668</v>
      </c>
      <c r="R2810" s="8">
        <v>13</v>
      </c>
      <c r="S2810" s="8">
        <v>14</v>
      </c>
      <c r="T2810" s="8">
        <v>1</v>
      </c>
      <c r="U2810" s="8">
        <v>13.4</v>
      </c>
      <c r="V2810" s="8">
        <v>1.3</v>
      </c>
      <c r="W2810" s="8">
        <v>1.2</v>
      </c>
      <c r="X2810" s="8">
        <v>171</v>
      </c>
      <c r="Y2810" s="8" t="s">
        <v>170</v>
      </c>
      <c r="Z2810" s="8" t="s">
        <v>171</v>
      </c>
    </row>
    <row r="2811" spans="1:26" x14ac:dyDescent="0.2">
      <c r="A2811" s="8">
        <v>2810</v>
      </c>
      <c r="B2811" s="8" t="s">
        <v>12953</v>
      </c>
      <c r="C2811" s="8" t="s">
        <v>12953</v>
      </c>
      <c r="F2811" s="47" t="s">
        <v>56643</v>
      </c>
      <c r="G2811" s="8">
        <v>15</v>
      </c>
      <c r="H2811" s="8" t="s">
        <v>21</v>
      </c>
      <c r="I2811" s="8" t="s">
        <v>22</v>
      </c>
      <c r="J2811" s="8" t="s">
        <v>22</v>
      </c>
      <c r="K2811" s="8" t="s">
        <v>460</v>
      </c>
      <c r="L2811" s="8" t="s">
        <v>12015</v>
      </c>
      <c r="M2811" s="8" t="s">
        <v>12016</v>
      </c>
      <c r="N2811" s="8" t="s">
        <v>12954</v>
      </c>
      <c r="O2811" s="8">
        <f>9+22/60+4.5/3600</f>
        <v>9.3679166666666678</v>
      </c>
      <c r="P2811" s="8" t="s">
        <v>12955</v>
      </c>
      <c r="Q2811" s="8">
        <f>+(71+50/60+38/3600)</f>
        <v>71.843888888888884</v>
      </c>
      <c r="R2811" s="8">
        <v>12.2</v>
      </c>
      <c r="S2811" s="8">
        <v>13.2</v>
      </c>
      <c r="T2811" s="8">
        <v>1</v>
      </c>
      <c r="U2811" s="8">
        <v>13.4</v>
      </c>
      <c r="V2811" s="8">
        <v>1.7</v>
      </c>
      <c r="W2811" s="8">
        <v>1.7</v>
      </c>
      <c r="Y2811" s="8" t="s">
        <v>12956</v>
      </c>
      <c r="Z2811" s="8" t="s">
        <v>12957</v>
      </c>
    </row>
    <row r="2812" spans="1:26" x14ac:dyDescent="0.2">
      <c r="A2812" s="8">
        <v>2811</v>
      </c>
      <c r="B2812" s="8" t="s">
        <v>12958</v>
      </c>
      <c r="C2812" s="8" t="s">
        <v>12958</v>
      </c>
      <c r="F2812" s="47" t="s">
        <v>56644</v>
      </c>
      <c r="G2812" s="8">
        <v>6</v>
      </c>
      <c r="H2812" s="8" t="s">
        <v>21</v>
      </c>
      <c r="I2812" s="8" t="s">
        <v>22</v>
      </c>
      <c r="J2812" s="8" t="s">
        <v>22</v>
      </c>
      <c r="K2812" s="8" t="s">
        <v>154</v>
      </c>
      <c r="L2812" s="8" t="s">
        <v>11765</v>
      </c>
      <c r="M2812" s="8" t="s">
        <v>11766</v>
      </c>
      <c r="N2812" s="8" t="s">
        <v>12959</v>
      </c>
      <c r="O2812" s="8">
        <f>9+16/60+11.2/3600</f>
        <v>9.2697777777777794</v>
      </c>
      <c r="P2812" s="8" t="s">
        <v>12960</v>
      </c>
      <c r="Q2812" s="8">
        <f>-(16+18/60+45/3600)</f>
        <v>-16.3125</v>
      </c>
      <c r="R2812" s="8">
        <v>11.3</v>
      </c>
      <c r="S2812" s="8">
        <v>12.2</v>
      </c>
      <c r="T2812" s="8">
        <v>0.9</v>
      </c>
      <c r="U2812" s="8">
        <v>12</v>
      </c>
      <c r="V2812" s="8">
        <v>2.5</v>
      </c>
      <c r="W2812" s="8">
        <v>0.9</v>
      </c>
      <c r="X2812" s="8">
        <v>22</v>
      </c>
      <c r="Y2812" s="8" t="s">
        <v>12961</v>
      </c>
      <c r="Z2812" s="8" t="s">
        <v>12962</v>
      </c>
    </row>
    <row r="2813" spans="1:26" x14ac:dyDescent="0.2">
      <c r="A2813" s="8">
        <v>2812</v>
      </c>
      <c r="B2813" s="8" t="s">
        <v>12963</v>
      </c>
      <c r="C2813" s="8" t="s">
        <v>12963</v>
      </c>
      <c r="F2813" s="47"/>
      <c r="G2813" s="8">
        <v>18</v>
      </c>
      <c r="H2813" s="8" t="s">
        <v>21</v>
      </c>
      <c r="I2813" s="8" t="s">
        <v>22</v>
      </c>
      <c r="J2813" s="8" t="s">
        <v>22</v>
      </c>
      <c r="K2813" s="8" t="s">
        <v>37</v>
      </c>
      <c r="L2813" s="8" t="s">
        <v>11551</v>
      </c>
      <c r="M2813" s="8" t="s">
        <v>11552</v>
      </c>
      <c r="N2813" s="8" t="s">
        <v>12964</v>
      </c>
      <c r="O2813" s="8">
        <f>9+17/60+40.8/3600</f>
        <v>9.2946666666666662</v>
      </c>
      <c r="P2813" s="8" t="s">
        <v>12965</v>
      </c>
      <c r="Q2813" s="8">
        <f>+(19+55/60+9/3600)</f>
        <v>19.919166666666669</v>
      </c>
      <c r="R2813" s="8">
        <v>15.2</v>
      </c>
      <c r="S2813" s="8">
        <v>16.2</v>
      </c>
      <c r="T2813" s="8">
        <v>1</v>
      </c>
      <c r="U2813" s="8">
        <v>11.8</v>
      </c>
      <c r="V2813" s="8">
        <v>0.5</v>
      </c>
      <c r="W2813" s="8">
        <v>0.1</v>
      </c>
      <c r="X2813" s="8">
        <v>150</v>
      </c>
      <c r="Y2813" s="8" t="s">
        <v>47</v>
      </c>
      <c r="Z2813" s="8" t="s">
        <v>48</v>
      </c>
    </row>
    <row r="2814" spans="1:26" x14ac:dyDescent="0.2">
      <c r="A2814" s="8">
        <v>2813</v>
      </c>
      <c r="B2814" s="8" t="s">
        <v>12966</v>
      </c>
      <c r="C2814" s="8" t="s">
        <v>12966</v>
      </c>
      <c r="F2814" s="47"/>
      <c r="G2814" s="8">
        <v>18</v>
      </c>
      <c r="H2814" s="8" t="s">
        <v>21</v>
      </c>
      <c r="I2814" s="8" t="s">
        <v>22</v>
      </c>
      <c r="J2814" s="8" t="s">
        <v>22</v>
      </c>
      <c r="K2814" s="8" t="s">
        <v>37</v>
      </c>
      <c r="L2814" s="8" t="s">
        <v>11551</v>
      </c>
      <c r="M2814" s="8" t="s">
        <v>11552</v>
      </c>
      <c r="N2814" s="8" t="s">
        <v>12967</v>
      </c>
      <c r="O2814" s="8">
        <f>9+17/60+45.4/3600</f>
        <v>9.2959444444444443</v>
      </c>
      <c r="P2814" s="8" t="s">
        <v>12968</v>
      </c>
      <c r="Q2814" s="8">
        <f>+(19+54/60+25/3600)</f>
        <v>19.906944444444441</v>
      </c>
      <c r="R2814" s="8">
        <v>14.3</v>
      </c>
      <c r="S2814" s="8">
        <v>15.3</v>
      </c>
      <c r="T2814" s="8">
        <v>1</v>
      </c>
      <c r="U2814" s="8">
        <v>14.6</v>
      </c>
      <c r="V2814" s="8">
        <v>1.3</v>
      </c>
      <c r="W2814" s="8">
        <v>1.1000000000000001</v>
      </c>
      <c r="X2814" s="8">
        <v>145</v>
      </c>
      <c r="Y2814" s="8" t="s">
        <v>2802</v>
      </c>
      <c r="Z2814" s="8" t="s">
        <v>1021</v>
      </c>
    </row>
    <row r="2815" spans="1:26" x14ac:dyDescent="0.2">
      <c r="A2815" s="8">
        <v>2814</v>
      </c>
      <c r="B2815" s="8" t="s">
        <v>12969</v>
      </c>
      <c r="C2815" s="8" t="s">
        <v>12969</v>
      </c>
      <c r="F2815" s="47" t="s">
        <v>56645</v>
      </c>
      <c r="G2815" s="8">
        <v>15</v>
      </c>
      <c r="H2815" s="8" t="s">
        <v>21</v>
      </c>
      <c r="I2815" s="8" t="s">
        <v>22</v>
      </c>
      <c r="J2815" s="8" t="s">
        <v>22</v>
      </c>
      <c r="K2815" s="8" t="s">
        <v>23</v>
      </c>
      <c r="L2815" s="8" t="s">
        <v>12015</v>
      </c>
      <c r="M2815" s="8" t="s">
        <v>12016</v>
      </c>
      <c r="N2815" s="8" t="s">
        <v>12970</v>
      </c>
      <c r="O2815" s="8">
        <f>9+21/60+11.5/3600</f>
        <v>9.3531944444444441</v>
      </c>
      <c r="P2815" s="8" t="s">
        <v>12971</v>
      </c>
      <c r="Q2815" s="8">
        <f>+(64+15/60+7/3600)</f>
        <v>64.251944444444447</v>
      </c>
      <c r="R2815" s="8">
        <v>13.7</v>
      </c>
      <c r="S2815" s="8">
        <v>14.3</v>
      </c>
      <c r="T2815" s="8">
        <v>0.6</v>
      </c>
      <c r="U2815" s="8">
        <v>12.5</v>
      </c>
      <c r="V2815" s="8">
        <v>1.1000000000000001</v>
      </c>
      <c r="W2815" s="8">
        <v>0.3</v>
      </c>
      <c r="X2815" s="8">
        <v>179</v>
      </c>
      <c r="Y2815" s="8" t="s">
        <v>12972</v>
      </c>
      <c r="Z2815" s="8" t="s">
        <v>12973</v>
      </c>
    </row>
    <row r="2816" spans="1:26" x14ac:dyDescent="0.2">
      <c r="A2816" s="8">
        <v>2815</v>
      </c>
      <c r="B2816" s="8" t="s">
        <v>12974</v>
      </c>
      <c r="C2816" s="8" t="s">
        <v>12974</v>
      </c>
      <c r="F2816" s="47" t="s">
        <v>56646</v>
      </c>
      <c r="G2816" s="8">
        <v>9</v>
      </c>
      <c r="H2816" s="8" t="s">
        <v>21</v>
      </c>
      <c r="I2816" s="8" t="s">
        <v>22</v>
      </c>
      <c r="J2816" s="8" t="s">
        <v>22</v>
      </c>
      <c r="K2816" s="8" t="s">
        <v>218</v>
      </c>
      <c r="L2816" s="8" t="s">
        <v>11765</v>
      </c>
      <c r="M2816" s="8" t="s">
        <v>11766</v>
      </c>
      <c r="N2816" s="8" t="s">
        <v>12975</v>
      </c>
      <c r="O2816" s="8">
        <f>9+16/60+19.5/3600</f>
        <v>9.2720833333333346</v>
      </c>
      <c r="P2816" s="8" t="s">
        <v>12976</v>
      </c>
      <c r="Q2816" s="8">
        <f>-(23+38/60+2/3600)</f>
        <v>-23.633888888888887</v>
      </c>
      <c r="R2816" s="8">
        <v>11.9</v>
      </c>
      <c r="S2816" s="8">
        <v>12.8</v>
      </c>
      <c r="T2816" s="8">
        <v>0.9</v>
      </c>
      <c r="U2816" s="8">
        <v>13.2</v>
      </c>
      <c r="V2816" s="8">
        <v>3.5</v>
      </c>
      <c r="W2816" s="8">
        <v>1.1000000000000001</v>
      </c>
      <c r="X2816" s="8">
        <v>10</v>
      </c>
      <c r="Y2816" s="8" t="s">
        <v>12977</v>
      </c>
      <c r="Z2816" s="8" t="s">
        <v>12978</v>
      </c>
    </row>
    <row r="2817" spans="1:26" x14ac:dyDescent="0.2">
      <c r="A2817" s="8">
        <v>2816</v>
      </c>
      <c r="B2817" s="8" t="s">
        <v>12979</v>
      </c>
      <c r="C2817" s="8" t="s">
        <v>12979</v>
      </c>
      <c r="F2817" s="47"/>
      <c r="G2817" s="8">
        <v>18</v>
      </c>
      <c r="H2817" s="8" t="s">
        <v>21</v>
      </c>
      <c r="I2817" s="8" t="s">
        <v>22</v>
      </c>
      <c r="J2817" s="8" t="s">
        <v>57</v>
      </c>
      <c r="K2817" s="8" t="s">
        <v>520</v>
      </c>
      <c r="L2817" s="8" t="s">
        <v>12015</v>
      </c>
      <c r="M2817" s="8" t="s">
        <v>12016</v>
      </c>
      <c r="N2817" s="8" t="s">
        <v>12980</v>
      </c>
      <c r="O2817" s="8">
        <f>9+21/60+46/3600</f>
        <v>9.3627777777777776</v>
      </c>
      <c r="P2817" s="8" t="s">
        <v>12981</v>
      </c>
      <c r="Q2817" s="8">
        <f>+(64+15/60+31/3600)</f>
        <v>64.258611111111108</v>
      </c>
      <c r="R2817" s="8">
        <v>12.8</v>
      </c>
      <c r="S2817" s="8">
        <v>13.3</v>
      </c>
      <c r="T2817" s="8">
        <v>0.5</v>
      </c>
      <c r="U2817" s="8">
        <v>13.4</v>
      </c>
      <c r="V2817" s="8">
        <v>4.0999999999999996</v>
      </c>
      <c r="W2817" s="8">
        <v>0.4</v>
      </c>
      <c r="X2817" s="8">
        <v>62</v>
      </c>
      <c r="Y2817" s="8" t="s">
        <v>12982</v>
      </c>
      <c r="Z2817" s="8" t="s">
        <v>12983</v>
      </c>
    </row>
    <row r="2818" spans="1:26" x14ac:dyDescent="0.2">
      <c r="A2818" s="8">
        <v>2817</v>
      </c>
      <c r="B2818" s="8" t="s">
        <v>12984</v>
      </c>
      <c r="C2818" s="8" t="s">
        <v>12984</v>
      </c>
      <c r="F2818" s="47"/>
      <c r="G2818" s="8">
        <v>19</v>
      </c>
      <c r="H2818" s="8" t="s">
        <v>21</v>
      </c>
      <c r="I2818" s="8" t="s">
        <v>22</v>
      </c>
      <c r="J2818" s="8" t="s">
        <v>22</v>
      </c>
      <c r="K2818" s="8" t="s">
        <v>64</v>
      </c>
      <c r="L2818" s="8" t="s">
        <v>11765</v>
      </c>
      <c r="M2818" s="8" t="s">
        <v>11766</v>
      </c>
      <c r="N2818" s="8" t="s">
        <v>12985</v>
      </c>
      <c r="O2818" s="8">
        <f>9+17/60+10.6/3600</f>
        <v>9.2862777777777783</v>
      </c>
      <c r="P2818" s="8" t="s">
        <v>12986</v>
      </c>
      <c r="Q2818" s="8">
        <f>-(4+45/60+10/3600)</f>
        <v>-4.7527777777777782</v>
      </c>
      <c r="R2818" s="8">
        <v>13</v>
      </c>
      <c r="S2818" s="8">
        <v>13.7</v>
      </c>
      <c r="T2818" s="8">
        <v>0.7</v>
      </c>
      <c r="U2818" s="8">
        <v>14.2</v>
      </c>
      <c r="V2818" s="8">
        <v>2</v>
      </c>
      <c r="W2818" s="8">
        <v>1.7</v>
      </c>
      <c r="X2818" s="8">
        <v>5</v>
      </c>
      <c r="Y2818" s="8" t="s">
        <v>237</v>
      </c>
      <c r="Z2818" s="8" t="s">
        <v>238</v>
      </c>
    </row>
    <row r="2819" spans="1:26" x14ac:dyDescent="0.2">
      <c r="A2819" s="8">
        <v>2818</v>
      </c>
      <c r="B2819" s="8" t="s">
        <v>12987</v>
      </c>
      <c r="C2819" s="8" t="s">
        <v>12987</v>
      </c>
      <c r="F2819" s="47"/>
      <c r="G2819" s="8">
        <v>10</v>
      </c>
      <c r="H2819" s="8" t="s">
        <v>21</v>
      </c>
      <c r="I2819" s="8" t="s">
        <v>241</v>
      </c>
      <c r="J2819" s="8" t="s">
        <v>241</v>
      </c>
      <c r="K2819" s="8" t="s">
        <v>12988</v>
      </c>
      <c r="L2819" s="8" t="s">
        <v>12074</v>
      </c>
      <c r="M2819" s="8" t="s">
        <v>12075</v>
      </c>
      <c r="N2819" s="8" t="s">
        <v>12989</v>
      </c>
      <c r="O2819" s="8">
        <f>9+16/60+10/3600</f>
        <v>9.2694444444444457</v>
      </c>
      <c r="P2819" s="8" t="s">
        <v>12990</v>
      </c>
      <c r="Q2819" s="8">
        <f>-(36+37/60+34/3600)</f>
        <v>-36.626111111111115</v>
      </c>
      <c r="R2819" s="8">
        <v>11.2</v>
      </c>
      <c r="S2819" s="8">
        <v>99</v>
      </c>
      <c r="T2819" s="8">
        <v>99</v>
      </c>
      <c r="U2819" s="8">
        <v>99</v>
      </c>
      <c r="V2819" s="8">
        <v>1.4</v>
      </c>
      <c r="Y2819" s="8" t="s">
        <v>12991</v>
      </c>
      <c r="Z2819" s="8" t="s">
        <v>12992</v>
      </c>
    </row>
    <row r="2820" spans="1:26" x14ac:dyDescent="0.2">
      <c r="A2820" s="8">
        <v>2819</v>
      </c>
      <c r="B2820" s="8" t="s">
        <v>12993</v>
      </c>
      <c r="C2820" s="8" t="s">
        <v>12993</v>
      </c>
      <c r="F2820" s="47"/>
      <c r="G2820" s="8">
        <v>18</v>
      </c>
      <c r="H2820" s="8" t="s">
        <v>21</v>
      </c>
      <c r="I2820" s="8" t="s">
        <v>22</v>
      </c>
      <c r="J2820" s="8" t="s">
        <v>22</v>
      </c>
      <c r="K2820" s="8" t="s">
        <v>183</v>
      </c>
      <c r="L2820" s="8" t="s">
        <v>11551</v>
      </c>
      <c r="M2820" s="8" t="s">
        <v>11552</v>
      </c>
      <c r="N2820" s="8" t="s">
        <v>12994</v>
      </c>
      <c r="O2820" s="8">
        <f>9+18/60+9.4/3600</f>
        <v>9.3026111111111121</v>
      </c>
      <c r="P2820" s="8" t="s">
        <v>12995</v>
      </c>
      <c r="Q2820" s="8">
        <f>+(16+11/60+53/3600)</f>
        <v>16.198055555555555</v>
      </c>
      <c r="R2820" s="8">
        <v>12.8</v>
      </c>
      <c r="S2820" s="8">
        <v>13.8</v>
      </c>
      <c r="T2820" s="8">
        <v>1</v>
      </c>
      <c r="U2820" s="8">
        <v>13.3</v>
      </c>
      <c r="V2820" s="8">
        <v>1.4</v>
      </c>
      <c r="W2820" s="8">
        <v>1.3</v>
      </c>
      <c r="X2820" s="8">
        <v>60</v>
      </c>
      <c r="Y2820" s="8" t="s">
        <v>12996</v>
      </c>
      <c r="Z2820" s="8" t="s">
        <v>12997</v>
      </c>
    </row>
    <row r="2821" spans="1:26" x14ac:dyDescent="0.2">
      <c r="A2821" s="8">
        <v>2820</v>
      </c>
      <c r="B2821" s="8" t="s">
        <v>12998</v>
      </c>
      <c r="C2821" s="8" t="s">
        <v>12998</v>
      </c>
      <c r="F2821" s="47" t="s">
        <v>56647</v>
      </c>
      <c r="G2821" s="8">
        <v>15</v>
      </c>
      <c r="H2821" s="8" t="s">
        <v>21</v>
      </c>
      <c r="I2821" s="8" t="s">
        <v>22</v>
      </c>
      <c r="J2821" s="8" t="s">
        <v>22</v>
      </c>
      <c r="K2821" s="8" t="s">
        <v>520</v>
      </c>
      <c r="L2821" s="8" t="s">
        <v>12015</v>
      </c>
      <c r="M2821" s="8" t="s">
        <v>12016</v>
      </c>
      <c r="N2821" s="8" t="s">
        <v>12980</v>
      </c>
      <c r="O2821" s="8">
        <f>9+21/60+46/3600</f>
        <v>9.3627777777777776</v>
      </c>
      <c r="P2821" s="8" t="s">
        <v>12981</v>
      </c>
      <c r="Q2821" s="8">
        <f>+(64+15/60+31/3600)</f>
        <v>64.258611111111108</v>
      </c>
      <c r="R2821" s="8">
        <v>12.8</v>
      </c>
      <c r="S2821" s="8">
        <v>13.3</v>
      </c>
      <c r="T2821" s="8">
        <v>0.5</v>
      </c>
      <c r="U2821" s="8">
        <v>13.4</v>
      </c>
      <c r="V2821" s="8">
        <v>4.0999999999999996</v>
      </c>
      <c r="W2821" s="8">
        <v>0.4</v>
      </c>
      <c r="X2821" s="8">
        <v>62</v>
      </c>
      <c r="Y2821" s="8" t="s">
        <v>12982</v>
      </c>
      <c r="Z2821" s="8" t="s">
        <v>12999</v>
      </c>
    </row>
    <row r="2822" spans="1:26" x14ac:dyDescent="0.2">
      <c r="A2822" s="8">
        <v>2821</v>
      </c>
      <c r="B2822" s="8" t="s">
        <v>13000</v>
      </c>
      <c r="C2822" s="8" t="s">
        <v>13000</v>
      </c>
      <c r="F2822" s="47"/>
      <c r="G2822" s="8">
        <v>16</v>
      </c>
      <c r="H2822" s="8" t="s">
        <v>21</v>
      </c>
      <c r="I2822" s="8" t="s">
        <v>22</v>
      </c>
      <c r="J2822" s="8" t="s">
        <v>22</v>
      </c>
      <c r="K2822" s="8" t="s">
        <v>396</v>
      </c>
      <c r="L2822" s="8" t="s">
        <v>12074</v>
      </c>
      <c r="M2822" s="8" t="s">
        <v>12075</v>
      </c>
      <c r="N2822" s="8" t="s">
        <v>13001</v>
      </c>
      <c r="O2822" s="8">
        <f>9+16/60+47.8/3600</f>
        <v>9.2799444444444461</v>
      </c>
      <c r="P2822" s="8" t="s">
        <v>13002</v>
      </c>
      <c r="Q2822" s="8">
        <f>-(26+49/60+0/3600)</f>
        <v>-26.816666666666666</v>
      </c>
      <c r="R2822" s="8">
        <v>13.1</v>
      </c>
      <c r="S2822" s="8">
        <v>13.9</v>
      </c>
      <c r="T2822" s="8">
        <v>0.8</v>
      </c>
      <c r="U2822" s="8">
        <v>13</v>
      </c>
      <c r="V2822" s="8">
        <v>2</v>
      </c>
      <c r="W2822" s="8">
        <v>0.5</v>
      </c>
      <c r="X2822" s="8">
        <v>100</v>
      </c>
      <c r="Y2822" s="8" t="s">
        <v>13003</v>
      </c>
      <c r="Z2822" s="8" t="s">
        <v>13004</v>
      </c>
    </row>
    <row r="2823" spans="1:26" x14ac:dyDescent="0.2">
      <c r="A2823" s="8">
        <v>2822</v>
      </c>
      <c r="B2823" s="8" t="s">
        <v>13005</v>
      </c>
      <c r="C2823" s="8" t="s">
        <v>13005</v>
      </c>
      <c r="F2823" s="47"/>
      <c r="G2823" s="8">
        <v>16</v>
      </c>
      <c r="H2823" s="8" t="s">
        <v>21</v>
      </c>
      <c r="I2823" s="8" t="s">
        <v>22</v>
      </c>
      <c r="J2823" s="8" t="s">
        <v>22</v>
      </c>
      <c r="K2823" s="8" t="s">
        <v>382</v>
      </c>
      <c r="L2823" s="8" t="s">
        <v>10135</v>
      </c>
      <c r="M2823" s="8" t="s">
        <v>10136</v>
      </c>
      <c r="N2823" s="8" t="s">
        <v>13006</v>
      </c>
      <c r="O2823" s="8">
        <f>9+13/60+49.8/3600</f>
        <v>9.2304999999999993</v>
      </c>
      <c r="P2823" s="8" t="s">
        <v>13007</v>
      </c>
      <c r="Q2823" s="8">
        <f>-(69+38/60+39/3600)</f>
        <v>-69.644166666666678</v>
      </c>
      <c r="R2823" s="8">
        <v>10.9</v>
      </c>
      <c r="S2823" s="8">
        <v>11.9</v>
      </c>
      <c r="T2823" s="8">
        <v>1</v>
      </c>
      <c r="U2823" s="8">
        <v>13.1</v>
      </c>
      <c r="V2823" s="8">
        <v>3.3</v>
      </c>
      <c r="W2823" s="8">
        <v>2.2000000000000002</v>
      </c>
      <c r="X2823" s="8">
        <v>90</v>
      </c>
      <c r="Y2823" s="8" t="s">
        <v>13008</v>
      </c>
      <c r="Z2823" s="8" t="s">
        <v>13009</v>
      </c>
    </row>
    <row r="2824" spans="1:26" x14ac:dyDescent="0.2">
      <c r="A2824" s="8">
        <v>2823</v>
      </c>
      <c r="B2824" s="8" t="s">
        <v>13010</v>
      </c>
      <c r="C2824" s="8" t="s">
        <v>13010</v>
      </c>
      <c r="F2824" s="47"/>
      <c r="G2824" s="8">
        <v>18</v>
      </c>
      <c r="H2824" s="8" t="s">
        <v>21</v>
      </c>
      <c r="I2824" s="8" t="s">
        <v>22</v>
      </c>
      <c r="J2824" s="8" t="s">
        <v>22</v>
      </c>
      <c r="K2824" s="8" t="s">
        <v>154</v>
      </c>
      <c r="L2824" s="8" t="s">
        <v>10511</v>
      </c>
      <c r="M2824" s="8" t="s">
        <v>10512</v>
      </c>
      <c r="N2824" s="8" t="s">
        <v>13011</v>
      </c>
      <c r="O2824" s="8">
        <f>9+19/60+17.4/3600</f>
        <v>9.3215000000000003</v>
      </c>
      <c r="P2824" s="8" t="s">
        <v>13012</v>
      </c>
      <c r="Q2824" s="8">
        <f>+(34+0/60+30/3600)</f>
        <v>34.008333333333333</v>
      </c>
      <c r="R2824" s="8">
        <v>14.6</v>
      </c>
      <c r="S2824" s="8">
        <v>15.5</v>
      </c>
      <c r="T2824" s="8">
        <v>0.9</v>
      </c>
      <c r="U2824" s="8">
        <v>13.6</v>
      </c>
      <c r="V2824" s="8">
        <v>0.9</v>
      </c>
      <c r="W2824" s="8">
        <v>0.5</v>
      </c>
      <c r="X2824" s="8">
        <v>30</v>
      </c>
      <c r="Y2824" s="8" t="s">
        <v>170</v>
      </c>
      <c r="Z2824" s="8" t="s">
        <v>171</v>
      </c>
    </row>
    <row r="2825" spans="1:26" x14ac:dyDescent="0.2">
      <c r="A2825" s="8">
        <v>2824</v>
      </c>
      <c r="B2825" s="8" t="s">
        <v>13013</v>
      </c>
      <c r="C2825" s="8" t="s">
        <v>13013</v>
      </c>
      <c r="F2825" s="47"/>
      <c r="G2825" s="8">
        <v>18</v>
      </c>
      <c r="H2825" s="8" t="s">
        <v>21</v>
      </c>
      <c r="I2825" s="8" t="s">
        <v>22</v>
      </c>
      <c r="J2825" s="8" t="s">
        <v>22</v>
      </c>
      <c r="K2825" s="8" t="s">
        <v>37</v>
      </c>
      <c r="L2825" s="8" t="s">
        <v>11551</v>
      </c>
      <c r="M2825" s="8" t="s">
        <v>11552</v>
      </c>
      <c r="N2825" s="8" t="s">
        <v>13014</v>
      </c>
      <c r="O2825" s="8">
        <f>9+19/60+2.3/3600</f>
        <v>9.3173055555555546</v>
      </c>
      <c r="P2825" s="8" t="s">
        <v>13015</v>
      </c>
      <c r="Q2825" s="8">
        <f>+(26+16/60+13/3600)</f>
        <v>26.270277777777778</v>
      </c>
      <c r="R2825" s="8">
        <v>13.3</v>
      </c>
      <c r="S2825" s="8">
        <v>14.2</v>
      </c>
      <c r="T2825" s="8">
        <v>0.9</v>
      </c>
      <c r="U2825" s="8">
        <v>12.6</v>
      </c>
      <c r="V2825" s="8">
        <v>0.9</v>
      </c>
      <c r="W2825" s="8">
        <v>0.6</v>
      </c>
      <c r="X2825" s="8">
        <v>160</v>
      </c>
      <c r="Y2825" s="8" t="s">
        <v>13016</v>
      </c>
      <c r="Z2825" s="8" t="s">
        <v>13017</v>
      </c>
    </row>
    <row r="2826" spans="1:26" x14ac:dyDescent="0.2">
      <c r="A2826" s="8">
        <v>2825</v>
      </c>
      <c r="B2826" s="8" t="s">
        <v>13018</v>
      </c>
      <c r="C2826" s="8" t="s">
        <v>13018</v>
      </c>
      <c r="F2826" s="47"/>
      <c r="G2826" s="8">
        <v>16</v>
      </c>
      <c r="H2826" s="8" t="s">
        <v>21</v>
      </c>
      <c r="I2826" s="8" t="s">
        <v>22</v>
      </c>
      <c r="J2826" s="8" t="s">
        <v>22</v>
      </c>
      <c r="K2826" s="8" t="s">
        <v>91</v>
      </c>
      <c r="L2826" s="8" t="s">
        <v>10511</v>
      </c>
      <c r="M2826" s="8" t="s">
        <v>10512</v>
      </c>
      <c r="N2826" s="8" t="s">
        <v>13019</v>
      </c>
      <c r="O2826" s="8">
        <f>9+19/60+22.4/3600</f>
        <v>9.3228888888888886</v>
      </c>
      <c r="P2826" s="8" t="s">
        <v>13020</v>
      </c>
      <c r="Q2826" s="8">
        <f>+(33+44/60+35/3600)</f>
        <v>33.743055555555557</v>
      </c>
      <c r="R2826" s="8">
        <v>14.4</v>
      </c>
      <c r="S2826" s="8">
        <v>15.3</v>
      </c>
      <c r="T2826" s="8">
        <v>0.9</v>
      </c>
      <c r="U2826" s="8">
        <v>13.1</v>
      </c>
      <c r="V2826" s="8">
        <v>0.9</v>
      </c>
      <c r="W2826" s="8">
        <v>0.4</v>
      </c>
      <c r="X2826" s="8">
        <v>88</v>
      </c>
      <c r="Y2826" s="8" t="s">
        <v>13021</v>
      </c>
      <c r="Z2826" s="8" t="s">
        <v>13022</v>
      </c>
    </row>
    <row r="2827" spans="1:26" x14ac:dyDescent="0.2">
      <c r="A2827" s="8">
        <v>2826</v>
      </c>
      <c r="B2827" s="8" t="s">
        <v>13023</v>
      </c>
      <c r="C2827" s="8" t="s">
        <v>13023</v>
      </c>
      <c r="F2827" s="47"/>
      <c r="G2827" s="8">
        <v>18</v>
      </c>
      <c r="H2827" s="8" t="s">
        <v>21</v>
      </c>
      <c r="I2827" s="8" t="s">
        <v>22</v>
      </c>
      <c r="J2827" s="8" t="s">
        <v>22</v>
      </c>
      <c r="K2827" s="8" t="s">
        <v>632</v>
      </c>
      <c r="L2827" s="8" t="s">
        <v>10511</v>
      </c>
      <c r="M2827" s="8" t="s">
        <v>10512</v>
      </c>
      <c r="N2827" s="8" t="s">
        <v>13024</v>
      </c>
      <c r="O2827" s="8">
        <f>9+19/60+24.1/3600</f>
        <v>9.3233611111111117</v>
      </c>
      <c r="P2827" s="8" t="s">
        <v>13025</v>
      </c>
      <c r="Q2827" s="8">
        <f>+(33+37/60+25/3600)</f>
        <v>33.62361111111111</v>
      </c>
      <c r="R2827" s="8">
        <v>13.7</v>
      </c>
      <c r="S2827" s="8">
        <v>14.6</v>
      </c>
      <c r="T2827" s="8">
        <v>0.9</v>
      </c>
      <c r="U2827" s="8">
        <v>12.8</v>
      </c>
      <c r="V2827" s="8">
        <v>1.6</v>
      </c>
      <c r="W2827" s="8">
        <v>0.3</v>
      </c>
      <c r="X2827" s="8">
        <v>143</v>
      </c>
      <c r="Y2827" s="8" t="s">
        <v>13026</v>
      </c>
      <c r="Z2827" s="8" t="s">
        <v>13027</v>
      </c>
    </row>
    <row r="2828" spans="1:26" x14ac:dyDescent="0.2">
      <c r="A2828" s="8">
        <v>2827</v>
      </c>
      <c r="B2828" s="8" t="s">
        <v>13028</v>
      </c>
      <c r="C2828" s="8" t="s">
        <v>13028</v>
      </c>
      <c r="F2828" s="47"/>
      <c r="G2828" s="8">
        <v>18</v>
      </c>
      <c r="H2828" s="8" t="s">
        <v>21</v>
      </c>
      <c r="I2828" s="8" t="s">
        <v>22</v>
      </c>
      <c r="J2828" s="8" t="s">
        <v>22</v>
      </c>
      <c r="K2828" s="8" t="s">
        <v>23</v>
      </c>
      <c r="L2828" s="8" t="s">
        <v>10511</v>
      </c>
      <c r="M2828" s="8" t="s">
        <v>10512</v>
      </c>
      <c r="N2828" s="8" t="s">
        <v>13029</v>
      </c>
      <c r="O2828" s="8">
        <f>9+19/60+18.9/3600</f>
        <v>9.3219166666666666</v>
      </c>
      <c r="P2828" s="8" t="s">
        <v>13030</v>
      </c>
      <c r="Q2828" s="8">
        <f>+(33+52/60+51/3600)</f>
        <v>33.880833333333335</v>
      </c>
      <c r="R2828" s="8">
        <v>14.8</v>
      </c>
      <c r="S2828" s="8">
        <v>15.6</v>
      </c>
      <c r="T2828" s="8">
        <v>0.8</v>
      </c>
      <c r="U2828" s="8">
        <v>13.1</v>
      </c>
      <c r="V2828" s="8">
        <v>0.8</v>
      </c>
      <c r="W2828" s="8">
        <v>0.3</v>
      </c>
      <c r="X2828" s="8">
        <v>6</v>
      </c>
      <c r="Y2828" s="8" t="s">
        <v>13031</v>
      </c>
      <c r="Z2828" s="8" t="s">
        <v>13032</v>
      </c>
    </row>
    <row r="2829" spans="1:26" x14ac:dyDescent="0.2">
      <c r="A2829" s="8">
        <v>2828</v>
      </c>
      <c r="B2829" s="8" t="s">
        <v>13033</v>
      </c>
      <c r="C2829" s="8" t="s">
        <v>13033</v>
      </c>
      <c r="F2829" s="47"/>
      <c r="G2829" s="8">
        <v>18</v>
      </c>
      <c r="H2829" s="8" t="s">
        <v>21</v>
      </c>
      <c r="I2829" s="8" t="s">
        <v>22</v>
      </c>
      <c r="J2829" s="8" t="s">
        <v>22</v>
      </c>
      <c r="K2829" s="8" t="s">
        <v>449</v>
      </c>
      <c r="L2829" s="8" t="s">
        <v>10511</v>
      </c>
      <c r="M2829" s="8" t="s">
        <v>10512</v>
      </c>
      <c r="N2829" s="8" t="s">
        <v>13034</v>
      </c>
      <c r="O2829" s="8">
        <f>9+19/60+34.8/3600</f>
        <v>9.3263333333333325</v>
      </c>
      <c r="P2829" s="8" t="s">
        <v>13035</v>
      </c>
      <c r="Q2829" s="8">
        <f>+(33+53/60+19/3600)</f>
        <v>33.888611111111111</v>
      </c>
      <c r="R2829" s="8">
        <v>15</v>
      </c>
      <c r="S2829" s="8">
        <v>15.8</v>
      </c>
      <c r="T2829" s="8">
        <v>0.8</v>
      </c>
      <c r="U2829" s="8">
        <v>12.8</v>
      </c>
      <c r="V2829" s="8">
        <v>0.4</v>
      </c>
      <c r="W2829" s="8">
        <v>0.2</v>
      </c>
      <c r="X2829" s="8">
        <v>48</v>
      </c>
      <c r="Y2829" s="8" t="s">
        <v>13036</v>
      </c>
      <c r="Z2829" s="8" t="s">
        <v>13037</v>
      </c>
    </row>
    <row r="2830" spans="1:26" x14ac:dyDescent="0.2">
      <c r="A2830" s="8">
        <v>2829</v>
      </c>
      <c r="B2830" s="8" t="s">
        <v>13038</v>
      </c>
      <c r="C2830" s="8" t="s">
        <v>13038</v>
      </c>
      <c r="F2830" s="47"/>
      <c r="G2830" s="8">
        <v>18</v>
      </c>
      <c r="H2830" s="8" t="s">
        <v>21</v>
      </c>
      <c r="I2830" s="8" t="s">
        <v>22</v>
      </c>
      <c r="J2830" s="8" t="s">
        <v>22</v>
      </c>
      <c r="K2830" s="8" t="s">
        <v>37</v>
      </c>
      <c r="L2830" s="8" t="s">
        <v>10511</v>
      </c>
      <c r="M2830" s="8" t="s">
        <v>10512</v>
      </c>
      <c r="N2830" s="8" t="s">
        <v>13039</v>
      </c>
      <c r="O2830" s="8">
        <f>9+19/60+52.3/3600</f>
        <v>9.3311944444444439</v>
      </c>
      <c r="P2830" s="8" t="s">
        <v>13040</v>
      </c>
      <c r="Q2830" s="8">
        <f>+(33+38/60+58/3600)</f>
        <v>33.649444444444441</v>
      </c>
      <c r="R2830" s="8">
        <v>14.9</v>
      </c>
      <c r="S2830" s="8">
        <v>15.7</v>
      </c>
      <c r="T2830" s="8">
        <v>0.8</v>
      </c>
      <c r="U2830" s="8">
        <v>12.1</v>
      </c>
      <c r="V2830" s="8">
        <v>0.3</v>
      </c>
      <c r="W2830" s="8">
        <v>0.3</v>
      </c>
      <c r="Y2830" s="8" t="s">
        <v>13041</v>
      </c>
      <c r="Z2830" s="8" t="s">
        <v>13042</v>
      </c>
    </row>
    <row r="2831" spans="1:26" x14ac:dyDescent="0.2">
      <c r="A2831" s="8">
        <v>2830</v>
      </c>
      <c r="B2831" s="8" t="s">
        <v>13043</v>
      </c>
      <c r="C2831" s="8" t="s">
        <v>13043</v>
      </c>
      <c r="G2831" s="8">
        <v>12</v>
      </c>
      <c r="H2831" s="8" t="s">
        <v>21</v>
      </c>
      <c r="I2831" s="8" t="s">
        <v>22</v>
      </c>
      <c r="J2831" s="8" t="s">
        <v>22</v>
      </c>
      <c r="K2831" s="8" t="s">
        <v>435</v>
      </c>
      <c r="L2831" s="8" t="s">
        <v>10511</v>
      </c>
      <c r="M2831" s="8" t="s">
        <v>10512</v>
      </c>
      <c r="N2831" s="8" t="s">
        <v>13044</v>
      </c>
      <c r="O2831" s="8">
        <f>9+19/60+41.2/3600</f>
        <v>9.3281111111111112</v>
      </c>
      <c r="P2831" s="8" t="s">
        <v>13045</v>
      </c>
      <c r="Q2831" s="8">
        <f>+(33+44/60+17/3600)</f>
        <v>33.738055555555555</v>
      </c>
      <c r="R2831" s="8">
        <v>13.9</v>
      </c>
      <c r="S2831" s="8">
        <v>14.8</v>
      </c>
      <c r="T2831" s="8">
        <v>0.9</v>
      </c>
      <c r="U2831" s="8">
        <v>12.6</v>
      </c>
      <c r="V2831" s="8">
        <v>1.2</v>
      </c>
      <c r="W2831" s="8">
        <v>0.3</v>
      </c>
      <c r="X2831" s="8">
        <v>112</v>
      </c>
      <c r="Y2831" s="8" t="s">
        <v>13046</v>
      </c>
      <c r="Z2831" s="8" t="s">
        <v>13047</v>
      </c>
    </row>
    <row r="2832" spans="1:26" x14ac:dyDescent="0.2">
      <c r="A2832" s="8">
        <v>2831</v>
      </c>
      <c r="B2832" s="8" t="s">
        <v>13048</v>
      </c>
      <c r="C2832" s="8" t="s">
        <v>13048</v>
      </c>
      <c r="F2832" s="47"/>
      <c r="G2832" s="8">
        <v>13</v>
      </c>
      <c r="H2832" s="8" t="s">
        <v>21</v>
      </c>
      <c r="I2832" s="8" t="s">
        <v>22</v>
      </c>
      <c r="J2832" s="8" t="s">
        <v>22</v>
      </c>
      <c r="K2832" s="8" t="s">
        <v>460</v>
      </c>
      <c r="L2832" s="8" t="s">
        <v>10511</v>
      </c>
      <c r="M2832" s="8" t="s">
        <v>10512</v>
      </c>
      <c r="N2832" s="8" t="s">
        <v>13049</v>
      </c>
      <c r="O2832" s="8">
        <f>9+19/60+45.6/3600</f>
        <v>9.3293333333333326</v>
      </c>
      <c r="P2832" s="8" t="s">
        <v>13050</v>
      </c>
      <c r="Q2832" s="8">
        <f>+(33+44/60+41/3600)</f>
        <v>33.744722222222222</v>
      </c>
      <c r="R2832" s="8">
        <v>13.3</v>
      </c>
      <c r="S2832" s="8">
        <v>14.3</v>
      </c>
      <c r="T2832" s="8">
        <v>1</v>
      </c>
      <c r="U2832" s="8">
        <v>11.9</v>
      </c>
      <c r="V2832" s="8">
        <v>0.5</v>
      </c>
      <c r="W2832" s="8">
        <v>0.5</v>
      </c>
      <c r="Y2832" s="8" t="s">
        <v>13046</v>
      </c>
      <c r="Z2832" s="8" t="s">
        <v>13051</v>
      </c>
    </row>
    <row r="2833" spans="1:26" x14ac:dyDescent="0.2">
      <c r="A2833" s="8">
        <v>2832</v>
      </c>
      <c r="B2833" s="8" t="s">
        <v>13052</v>
      </c>
      <c r="C2833" s="8" t="s">
        <v>13052</v>
      </c>
      <c r="F2833" s="47" t="s">
        <v>56648</v>
      </c>
      <c r="G2833" s="8">
        <v>13</v>
      </c>
      <c r="H2833" s="8" t="s">
        <v>21</v>
      </c>
      <c r="I2833" s="8" t="s">
        <v>22</v>
      </c>
      <c r="J2833" s="8" t="s">
        <v>22</v>
      </c>
      <c r="K2833" s="8" t="s">
        <v>1136</v>
      </c>
      <c r="L2833" s="8" t="s">
        <v>10511</v>
      </c>
      <c r="M2833" s="8" t="s">
        <v>10512</v>
      </c>
      <c r="N2833" s="8" t="s">
        <v>13053</v>
      </c>
      <c r="O2833" s="8">
        <f>9+19/60+46.8/3600</f>
        <v>9.3296666666666663</v>
      </c>
      <c r="P2833" s="8" t="s">
        <v>13054</v>
      </c>
      <c r="Q2833" s="8">
        <f>+(33+44/60+59/3600)</f>
        <v>33.749722222222225</v>
      </c>
      <c r="R2833" s="8">
        <v>11.9</v>
      </c>
      <c r="S2833" s="8">
        <v>12.9</v>
      </c>
      <c r="T2833" s="8">
        <v>1</v>
      </c>
      <c r="U2833" s="8">
        <v>13.5</v>
      </c>
      <c r="V2833" s="8">
        <v>3</v>
      </c>
      <c r="W2833" s="8">
        <v>2</v>
      </c>
      <c r="X2833" s="8">
        <v>160</v>
      </c>
      <c r="Y2833" s="8" t="s">
        <v>13055</v>
      </c>
      <c r="Z2833" s="8" t="s">
        <v>13056</v>
      </c>
    </row>
    <row r="2834" spans="1:26" x14ac:dyDescent="0.2">
      <c r="A2834" s="8">
        <v>2833</v>
      </c>
      <c r="B2834" s="8" t="s">
        <v>13057</v>
      </c>
      <c r="C2834" s="8" t="s">
        <v>13057</v>
      </c>
      <c r="F2834" s="47"/>
      <c r="G2834" s="8">
        <v>18</v>
      </c>
      <c r="H2834" s="8" t="s">
        <v>21</v>
      </c>
      <c r="I2834" s="8" t="s">
        <v>22</v>
      </c>
      <c r="J2834" s="8" t="s">
        <v>22</v>
      </c>
      <c r="K2834" s="8" t="s">
        <v>449</v>
      </c>
      <c r="L2834" s="8" t="s">
        <v>10511</v>
      </c>
      <c r="M2834" s="8" t="s">
        <v>10512</v>
      </c>
      <c r="N2834" s="8" t="s">
        <v>13058</v>
      </c>
      <c r="O2834" s="8">
        <f>9+19/60+57.8/3600</f>
        <v>9.3327222222222215</v>
      </c>
      <c r="P2834" s="8" t="s">
        <v>13059</v>
      </c>
      <c r="Q2834" s="8">
        <f>+(33+55/60+39/3600)</f>
        <v>33.927499999999995</v>
      </c>
      <c r="R2834" s="8">
        <v>14.8</v>
      </c>
      <c r="S2834" s="8">
        <v>15.6</v>
      </c>
      <c r="T2834" s="8">
        <v>0.8</v>
      </c>
      <c r="U2834" s="8">
        <v>13.2</v>
      </c>
      <c r="V2834" s="8">
        <v>0.9</v>
      </c>
      <c r="W2834" s="8">
        <v>0.3</v>
      </c>
      <c r="X2834" s="8">
        <v>168</v>
      </c>
      <c r="Y2834" s="8" t="s">
        <v>13060</v>
      </c>
      <c r="Z2834" s="8" t="s">
        <v>13061</v>
      </c>
    </row>
    <row r="2835" spans="1:26" x14ac:dyDescent="0.2">
      <c r="A2835" s="8">
        <v>2834</v>
      </c>
      <c r="B2835" s="8" t="s">
        <v>13062</v>
      </c>
      <c r="C2835" s="8" t="s">
        <v>13062</v>
      </c>
      <c r="F2835" s="47"/>
      <c r="G2835" s="8">
        <v>18</v>
      </c>
      <c r="H2835" s="8" t="s">
        <v>21</v>
      </c>
      <c r="I2835" s="8" t="s">
        <v>22</v>
      </c>
      <c r="J2835" s="8" t="s">
        <v>22</v>
      </c>
      <c r="K2835" s="8" t="s">
        <v>818</v>
      </c>
      <c r="L2835" s="8" t="s">
        <v>10511</v>
      </c>
      <c r="M2835" s="8" t="s">
        <v>10512</v>
      </c>
      <c r="N2835" s="8" t="s">
        <v>13063</v>
      </c>
      <c r="O2835" s="8">
        <f>9+20/60+2.5/3600</f>
        <v>9.3340277777777789</v>
      </c>
      <c r="P2835" s="8" t="s">
        <v>13064</v>
      </c>
      <c r="Q2835" s="8">
        <f>+(33+42/60+38/3600)</f>
        <v>33.710555555555558</v>
      </c>
      <c r="R2835" s="8">
        <v>14.5</v>
      </c>
      <c r="S2835" s="8">
        <v>15.5</v>
      </c>
      <c r="T2835" s="8">
        <v>1</v>
      </c>
      <c r="U2835" s="8">
        <v>13.3</v>
      </c>
      <c r="V2835" s="8">
        <v>0.6</v>
      </c>
      <c r="W2835" s="8">
        <v>0.5</v>
      </c>
      <c r="X2835" s="8">
        <v>65</v>
      </c>
      <c r="Y2835" s="8" t="s">
        <v>2248</v>
      </c>
      <c r="Z2835" s="8" t="s">
        <v>2249</v>
      </c>
    </row>
    <row r="2836" spans="1:26" x14ac:dyDescent="0.2">
      <c r="A2836" s="8">
        <v>2835</v>
      </c>
      <c r="B2836" s="8" t="s">
        <v>13065</v>
      </c>
      <c r="C2836" s="8" t="s">
        <v>13065</v>
      </c>
      <c r="F2836" s="47"/>
      <c r="G2836" s="8">
        <v>13</v>
      </c>
      <c r="H2836" s="8" t="s">
        <v>21</v>
      </c>
      <c r="I2836" s="8" t="s">
        <v>22</v>
      </c>
      <c r="J2836" s="8" t="s">
        <v>22</v>
      </c>
      <c r="K2836" s="8" t="s">
        <v>64</v>
      </c>
      <c r="L2836" s="8" t="s">
        <v>11765</v>
      </c>
      <c r="M2836" s="8" t="s">
        <v>11766</v>
      </c>
      <c r="N2836" s="8" t="s">
        <v>13066</v>
      </c>
      <c r="O2836" s="8">
        <f>9+17/60+52.6/3600</f>
        <v>9.297944444444445</v>
      </c>
      <c r="P2836" s="8" t="s">
        <v>13067</v>
      </c>
      <c r="Q2836" s="8">
        <f>-(22+21/60+19/3600)</f>
        <v>-22.355277777777779</v>
      </c>
      <c r="R2836" s="8">
        <v>10.5</v>
      </c>
      <c r="S2836" s="8">
        <v>11</v>
      </c>
      <c r="T2836" s="8">
        <v>0.5</v>
      </c>
      <c r="U2836" s="8">
        <v>14</v>
      </c>
      <c r="V2836" s="8">
        <v>6.6</v>
      </c>
      <c r="W2836" s="8">
        <v>4.4000000000000004</v>
      </c>
      <c r="X2836" s="8">
        <v>8</v>
      </c>
      <c r="Y2836" s="8" t="s">
        <v>13068</v>
      </c>
      <c r="Z2836" s="8" t="s">
        <v>13069</v>
      </c>
    </row>
    <row r="2837" spans="1:26" x14ac:dyDescent="0.2">
      <c r="A2837" s="8">
        <v>2836</v>
      </c>
      <c r="B2837" s="8" t="s">
        <v>13070</v>
      </c>
      <c r="C2837" s="8" t="s">
        <v>13070</v>
      </c>
      <c r="F2837" s="47"/>
      <c r="G2837" s="8">
        <v>16</v>
      </c>
      <c r="H2837" s="8" t="s">
        <v>21</v>
      </c>
      <c r="I2837" s="8" t="s">
        <v>22</v>
      </c>
      <c r="J2837" s="8" t="s">
        <v>22</v>
      </c>
      <c r="K2837" s="8" t="s">
        <v>396</v>
      </c>
      <c r="L2837" s="8" t="s">
        <v>10135</v>
      </c>
      <c r="M2837" s="8" t="s">
        <v>10136</v>
      </c>
      <c r="N2837" s="8" t="s">
        <v>13071</v>
      </c>
      <c r="O2837" s="8">
        <f>9+13/60+45.3/3600</f>
        <v>9.2292500000000004</v>
      </c>
      <c r="P2837" s="8" t="s">
        <v>13072</v>
      </c>
      <c r="Q2837" s="8">
        <f>-(69+19/60+59/3600)</f>
        <v>-69.333055555555546</v>
      </c>
      <c r="R2837" s="8">
        <v>11.8</v>
      </c>
      <c r="S2837" s="8">
        <v>12.6</v>
      </c>
      <c r="T2837" s="8">
        <v>0.8</v>
      </c>
      <c r="U2837" s="8">
        <v>13.5</v>
      </c>
      <c r="V2837" s="8">
        <v>2.7</v>
      </c>
      <c r="W2837" s="8">
        <v>2</v>
      </c>
      <c r="X2837" s="8">
        <v>112</v>
      </c>
      <c r="Y2837" s="8" t="s">
        <v>5172</v>
      </c>
      <c r="Z2837" s="8" t="s">
        <v>5173</v>
      </c>
    </row>
    <row r="2838" spans="1:26" x14ac:dyDescent="0.2">
      <c r="A2838" s="8">
        <v>2837</v>
      </c>
      <c r="B2838" s="8" t="s">
        <v>13073</v>
      </c>
      <c r="C2838" s="8" t="s">
        <v>13073</v>
      </c>
      <c r="F2838" s="47"/>
      <c r="G2838" s="8">
        <v>16</v>
      </c>
      <c r="H2838" s="8" t="s">
        <v>21</v>
      </c>
      <c r="I2838" s="8" t="s">
        <v>72</v>
      </c>
      <c r="J2838" s="8" t="s">
        <v>72</v>
      </c>
      <c r="K2838" s="8" t="s">
        <v>73</v>
      </c>
      <c r="L2838" s="8" t="s">
        <v>11765</v>
      </c>
      <c r="M2838" s="8" t="s">
        <v>11766</v>
      </c>
      <c r="N2838" s="8" t="s">
        <v>13074</v>
      </c>
      <c r="O2838" s="8">
        <f>9+18/60+23.4/3600</f>
        <v>9.3065000000000015</v>
      </c>
      <c r="P2838" s="8" t="s">
        <v>13075</v>
      </c>
      <c r="Q2838" s="8">
        <f>-(16+28/60+53/3600)</f>
        <v>-16.481388888888887</v>
      </c>
      <c r="R2838" s="8">
        <v>99</v>
      </c>
      <c r="S2838" s="8">
        <v>99</v>
      </c>
      <c r="T2838" s="8">
        <v>99</v>
      </c>
      <c r="U2838" s="8">
        <v>99</v>
      </c>
      <c r="Y2838" s="8" t="s">
        <v>13076</v>
      </c>
      <c r="Z2838" s="8" t="s">
        <v>13077</v>
      </c>
    </row>
    <row r="2839" spans="1:26" x14ac:dyDescent="0.2">
      <c r="A2839" s="8">
        <v>2838</v>
      </c>
      <c r="B2839" s="8" t="s">
        <v>13078</v>
      </c>
      <c r="C2839" s="8" t="s">
        <v>13078</v>
      </c>
      <c r="F2839" s="47" t="s">
        <v>56649</v>
      </c>
      <c r="G2839" s="8">
        <v>15</v>
      </c>
      <c r="H2839" s="8" t="s">
        <v>21</v>
      </c>
      <c r="I2839" s="8" t="s">
        <v>22</v>
      </c>
      <c r="J2839" s="8" t="s">
        <v>22</v>
      </c>
      <c r="K2839" s="8" t="s">
        <v>818</v>
      </c>
      <c r="L2839" s="8" t="s">
        <v>10511</v>
      </c>
      <c r="M2839" s="8" t="s">
        <v>10512</v>
      </c>
      <c r="N2839" s="8" t="s">
        <v>13079</v>
      </c>
      <c r="O2839" s="8">
        <f>9+20/60+43/3600</f>
        <v>9.3452777777777776</v>
      </c>
      <c r="P2839" s="8" t="s">
        <v>13080</v>
      </c>
      <c r="Q2839" s="8">
        <f>+(39+18/60+59/3600)</f>
        <v>39.316388888888888</v>
      </c>
      <c r="R2839" s="8">
        <v>13.7</v>
      </c>
      <c r="S2839" s="8">
        <v>14.7</v>
      </c>
      <c r="T2839" s="8">
        <v>1</v>
      </c>
      <c r="U2839" s="8">
        <v>13.6</v>
      </c>
      <c r="V2839" s="8">
        <v>0.9</v>
      </c>
      <c r="W2839" s="8">
        <v>0.9</v>
      </c>
      <c r="Y2839" s="8" t="s">
        <v>421</v>
      </c>
      <c r="Z2839" s="8" t="s">
        <v>422</v>
      </c>
    </row>
    <row r="2840" spans="1:26" x14ac:dyDescent="0.2">
      <c r="A2840" s="8">
        <v>2839</v>
      </c>
      <c r="B2840" s="8" t="s">
        <v>13081</v>
      </c>
      <c r="C2840" s="8" t="s">
        <v>13081</v>
      </c>
      <c r="F2840" s="47"/>
      <c r="G2840" s="8">
        <v>18</v>
      </c>
      <c r="H2840" s="8" t="s">
        <v>21</v>
      </c>
      <c r="I2840" s="8" t="s">
        <v>22</v>
      </c>
      <c r="J2840" s="8" t="s">
        <v>22</v>
      </c>
      <c r="K2840" s="8" t="s">
        <v>58</v>
      </c>
      <c r="L2840" s="8" t="s">
        <v>10511</v>
      </c>
      <c r="M2840" s="8" t="s">
        <v>10512</v>
      </c>
      <c r="N2840" s="8" t="s">
        <v>13082</v>
      </c>
      <c r="O2840" s="8">
        <f>9+20/60+36.3/3600</f>
        <v>9.343416666666668</v>
      </c>
      <c r="P2840" s="8" t="s">
        <v>13083</v>
      </c>
      <c r="Q2840" s="8">
        <f>+(33+39/60+4/3600)</f>
        <v>33.651111111111106</v>
      </c>
      <c r="R2840" s="8">
        <v>14.2</v>
      </c>
      <c r="S2840" s="8">
        <v>15.2</v>
      </c>
      <c r="T2840" s="8">
        <v>1</v>
      </c>
      <c r="U2840" s="8">
        <v>14</v>
      </c>
      <c r="V2840" s="8">
        <v>0.9</v>
      </c>
      <c r="W2840" s="8">
        <v>0.9</v>
      </c>
      <c r="Y2840" s="8" t="s">
        <v>170</v>
      </c>
      <c r="Z2840" s="8" t="s">
        <v>171</v>
      </c>
    </row>
    <row r="2841" spans="1:26" x14ac:dyDescent="0.2">
      <c r="A2841" s="8">
        <v>2840</v>
      </c>
      <c r="B2841" s="8" t="s">
        <v>13084</v>
      </c>
      <c r="C2841" s="8" t="s">
        <v>13084</v>
      </c>
      <c r="F2841" s="47" t="s">
        <v>56650</v>
      </c>
      <c r="G2841" s="8">
        <v>15</v>
      </c>
      <c r="H2841" s="8" t="s">
        <v>21</v>
      </c>
      <c r="I2841" s="8" t="s">
        <v>22</v>
      </c>
      <c r="J2841" s="8" t="s">
        <v>22</v>
      </c>
      <c r="K2841" s="8" t="s">
        <v>85</v>
      </c>
      <c r="L2841" s="8" t="s">
        <v>10511</v>
      </c>
      <c r="M2841" s="8" t="s">
        <v>10512</v>
      </c>
      <c r="N2841" s="8" t="s">
        <v>13085</v>
      </c>
      <c r="O2841" s="8">
        <f>9+20/60+52.7/3600</f>
        <v>9.3479722222222232</v>
      </c>
      <c r="P2841" s="8" t="s">
        <v>13086</v>
      </c>
      <c r="Q2841" s="8">
        <f>+(35+22/60+6/3600)</f>
        <v>35.368333333333332</v>
      </c>
      <c r="R2841" s="8">
        <v>13.8</v>
      </c>
      <c r="S2841" s="8">
        <v>14.6</v>
      </c>
      <c r="T2841" s="8">
        <v>0.8</v>
      </c>
      <c r="U2841" s="8">
        <v>13.5</v>
      </c>
      <c r="V2841" s="8">
        <v>1</v>
      </c>
      <c r="W2841" s="8">
        <v>0.9</v>
      </c>
      <c r="X2841" s="8">
        <v>110</v>
      </c>
      <c r="Y2841" s="8" t="s">
        <v>13087</v>
      </c>
      <c r="Z2841" s="8" t="s">
        <v>13088</v>
      </c>
    </row>
    <row r="2842" spans="1:26" x14ac:dyDescent="0.2">
      <c r="A2842" s="8">
        <v>2841</v>
      </c>
      <c r="B2842" s="8" t="s">
        <v>13089</v>
      </c>
      <c r="C2842" s="8" t="s">
        <v>13089</v>
      </c>
      <c r="F2842" s="47" t="s">
        <v>56651</v>
      </c>
      <c r="G2842" s="8">
        <v>5</v>
      </c>
      <c r="H2842" s="8" t="s">
        <v>13090</v>
      </c>
      <c r="I2842" s="8" t="s">
        <v>22</v>
      </c>
      <c r="J2842" s="8" t="s">
        <v>22</v>
      </c>
      <c r="K2842" s="8" t="s">
        <v>23</v>
      </c>
      <c r="L2842" s="8" t="s">
        <v>12015</v>
      </c>
      <c r="M2842" s="8" t="s">
        <v>12016</v>
      </c>
      <c r="N2842" s="8" t="s">
        <v>13091</v>
      </c>
      <c r="O2842" s="8">
        <f>9+22/60+2.3/3600</f>
        <v>9.3673055555555553</v>
      </c>
      <c r="P2842" s="8" t="s">
        <v>13092</v>
      </c>
      <c r="Q2842" s="8">
        <f>+(50+58/60+35/3600)</f>
        <v>50.976388888888891</v>
      </c>
      <c r="R2842" s="8">
        <v>9.1999999999999993</v>
      </c>
      <c r="S2842" s="8">
        <v>10.1</v>
      </c>
      <c r="T2842" s="8">
        <v>0.9</v>
      </c>
      <c r="U2842" s="8">
        <v>12.7</v>
      </c>
      <c r="V2842" s="8">
        <v>8.1</v>
      </c>
      <c r="W2842" s="8">
        <v>3.5</v>
      </c>
      <c r="X2842" s="8">
        <v>147</v>
      </c>
      <c r="Y2842" s="8" t="s">
        <v>13093</v>
      </c>
      <c r="Z2842" s="8" t="s">
        <v>13094</v>
      </c>
    </row>
    <row r="2843" spans="1:26" x14ac:dyDescent="0.2">
      <c r="A2843" s="8">
        <v>2842</v>
      </c>
      <c r="B2843" s="8" t="s">
        <v>13095</v>
      </c>
      <c r="C2843" s="8" t="s">
        <v>13095</v>
      </c>
      <c r="F2843" s="47"/>
      <c r="G2843" s="8">
        <v>16</v>
      </c>
      <c r="H2843" s="8" t="s">
        <v>21</v>
      </c>
      <c r="I2843" s="8" t="s">
        <v>22</v>
      </c>
      <c r="J2843" s="8" t="s">
        <v>22</v>
      </c>
      <c r="K2843" s="8" t="s">
        <v>435</v>
      </c>
      <c r="L2843" s="8" t="s">
        <v>10135</v>
      </c>
      <c r="M2843" s="8" t="s">
        <v>10136</v>
      </c>
      <c r="N2843" s="8" t="s">
        <v>13096</v>
      </c>
      <c r="O2843" s="8">
        <f>9+15/60+36.4/3600</f>
        <v>9.2601111111111116</v>
      </c>
      <c r="P2843" s="8" t="s">
        <v>13097</v>
      </c>
      <c r="Q2843" s="8">
        <f>-(63+4/60+10/3600)</f>
        <v>-63.06944444444445</v>
      </c>
      <c r="R2843" s="8">
        <v>12.5</v>
      </c>
      <c r="S2843" s="8">
        <v>13.4</v>
      </c>
      <c r="T2843" s="8">
        <v>0.9</v>
      </c>
      <c r="U2843" s="8">
        <v>13.1</v>
      </c>
      <c r="V2843" s="8">
        <v>1.6</v>
      </c>
      <c r="W2843" s="8">
        <v>1.3</v>
      </c>
      <c r="X2843" s="8">
        <v>120</v>
      </c>
      <c r="Y2843" s="8" t="s">
        <v>13098</v>
      </c>
      <c r="Z2843" s="8" t="s">
        <v>13099</v>
      </c>
    </row>
    <row r="2844" spans="1:26" x14ac:dyDescent="0.2">
      <c r="A2844" s="8">
        <v>2843</v>
      </c>
      <c r="B2844" s="8" t="s">
        <v>13100</v>
      </c>
      <c r="C2844" s="8" t="s">
        <v>13100</v>
      </c>
      <c r="F2844" s="47" t="s">
        <v>56652</v>
      </c>
      <c r="G2844" s="8">
        <v>15</v>
      </c>
      <c r="H2844" s="8" t="s">
        <v>21</v>
      </c>
      <c r="I2844" s="8" t="s">
        <v>22</v>
      </c>
      <c r="J2844" s="8" t="s">
        <v>22</v>
      </c>
      <c r="K2844" s="8" t="s">
        <v>37</v>
      </c>
      <c r="L2844" s="8" t="s">
        <v>11551</v>
      </c>
      <c r="M2844" s="8" t="s">
        <v>11552</v>
      </c>
      <c r="N2844" s="8" t="s">
        <v>13101</v>
      </c>
      <c r="O2844" s="8">
        <f>9+20/60+28.7/3600</f>
        <v>9.3413055555555555</v>
      </c>
      <c r="P2844" s="8" t="s">
        <v>13102</v>
      </c>
      <c r="Q2844" s="8">
        <f>+(18+55/60+34/3600)</f>
        <v>18.926111111111112</v>
      </c>
      <c r="R2844" s="8">
        <v>15.5</v>
      </c>
      <c r="S2844" s="8">
        <v>16.5</v>
      </c>
      <c r="T2844" s="8">
        <v>1</v>
      </c>
      <c r="U2844" s="8">
        <v>12.6</v>
      </c>
      <c r="V2844" s="8">
        <v>0.4</v>
      </c>
      <c r="W2844" s="8">
        <v>0.2</v>
      </c>
      <c r="X2844" s="8">
        <v>57</v>
      </c>
      <c r="Y2844" s="8" t="s">
        <v>13103</v>
      </c>
      <c r="Z2844" s="8" t="s">
        <v>13104</v>
      </c>
    </row>
    <row r="2845" spans="1:26" x14ac:dyDescent="0.2">
      <c r="A2845" s="8">
        <v>2844</v>
      </c>
      <c r="B2845" s="8" t="s">
        <v>13105</v>
      </c>
      <c r="C2845" s="8" t="s">
        <v>13105</v>
      </c>
      <c r="F2845" s="47" t="s">
        <v>56653</v>
      </c>
      <c r="G2845" s="8">
        <v>13</v>
      </c>
      <c r="H2845" s="8" t="s">
        <v>21</v>
      </c>
      <c r="I2845" s="8" t="s">
        <v>22</v>
      </c>
      <c r="J2845" s="8" t="s">
        <v>22</v>
      </c>
      <c r="K2845" s="8" t="s">
        <v>91</v>
      </c>
      <c r="L2845" s="8" t="s">
        <v>10511</v>
      </c>
      <c r="M2845" s="8" t="s">
        <v>10512</v>
      </c>
      <c r="N2845" s="8" t="s">
        <v>13106</v>
      </c>
      <c r="O2845" s="8">
        <f>9+21/60+48/3600</f>
        <v>9.3633333333333333</v>
      </c>
      <c r="P2845" s="8" t="s">
        <v>13107</v>
      </c>
      <c r="Q2845" s="8">
        <f>+(40+9/60+7/3600)</f>
        <v>40.151944444444446</v>
      </c>
      <c r="R2845" s="8">
        <v>13</v>
      </c>
      <c r="S2845" s="8">
        <v>13.8</v>
      </c>
      <c r="T2845" s="8">
        <v>0.8</v>
      </c>
      <c r="U2845" s="8">
        <v>12.9</v>
      </c>
      <c r="V2845" s="8">
        <v>1.7</v>
      </c>
      <c r="W2845" s="8">
        <v>0.8</v>
      </c>
      <c r="X2845" s="8">
        <v>13</v>
      </c>
      <c r="Y2845" s="8" t="s">
        <v>13108</v>
      </c>
      <c r="Z2845" s="8" t="s">
        <v>13109</v>
      </c>
    </row>
    <row r="2846" spans="1:26" x14ac:dyDescent="0.2">
      <c r="A2846" s="8">
        <v>2845</v>
      </c>
      <c r="B2846" s="8" t="s">
        <v>13110</v>
      </c>
      <c r="C2846" s="8" t="s">
        <v>13110</v>
      </c>
      <c r="F2846" s="47"/>
      <c r="G2846" s="8">
        <v>16</v>
      </c>
      <c r="H2846" s="8" t="s">
        <v>21</v>
      </c>
      <c r="I2846" s="8" t="s">
        <v>22</v>
      </c>
      <c r="J2846" s="8" t="s">
        <v>22</v>
      </c>
      <c r="K2846" s="8" t="s">
        <v>632</v>
      </c>
      <c r="L2846" s="8" t="s">
        <v>11757</v>
      </c>
      <c r="M2846" s="8" t="s">
        <v>11758</v>
      </c>
      <c r="N2846" s="8" t="s">
        <v>13111</v>
      </c>
      <c r="O2846" s="8">
        <f>9+18/60+36.9/3600</f>
        <v>9.3102499999999999</v>
      </c>
      <c r="P2846" s="8" t="s">
        <v>13112</v>
      </c>
      <c r="Q2846" s="8">
        <f>-(38+0/60+35/3600)</f>
        <v>-38.009722222222223</v>
      </c>
      <c r="R2846" s="8">
        <v>11.7</v>
      </c>
      <c r="S2846" s="8">
        <v>12.9</v>
      </c>
      <c r="T2846" s="8">
        <v>1.2</v>
      </c>
      <c r="U2846" s="8">
        <v>12.3</v>
      </c>
      <c r="V2846" s="8">
        <v>2.2999999999999998</v>
      </c>
      <c r="W2846" s="8">
        <v>1.2</v>
      </c>
      <c r="X2846" s="8">
        <v>70</v>
      </c>
      <c r="Y2846" s="8" t="s">
        <v>13113</v>
      </c>
      <c r="Z2846" s="8" t="s">
        <v>13114</v>
      </c>
    </row>
    <row r="2847" spans="1:26" x14ac:dyDescent="0.2">
      <c r="A2847" s="8">
        <v>2846</v>
      </c>
      <c r="B2847" s="8" t="s">
        <v>13115</v>
      </c>
      <c r="C2847" s="8" t="s">
        <v>13115</v>
      </c>
      <c r="F2847" s="47"/>
      <c r="G2847" s="8">
        <v>19</v>
      </c>
      <c r="H2847" s="8" t="s">
        <v>21</v>
      </c>
      <c r="I2847" s="8" t="s">
        <v>72</v>
      </c>
      <c r="J2847" s="8" t="s">
        <v>72</v>
      </c>
      <c r="K2847" s="8" t="s">
        <v>73</v>
      </c>
      <c r="L2847" s="8" t="s">
        <v>11765</v>
      </c>
      <c r="M2847" s="8" t="s">
        <v>11766</v>
      </c>
      <c r="N2847" s="8" t="s">
        <v>13116</v>
      </c>
      <c r="O2847" s="8">
        <f>9+19/60+40.4/3600</f>
        <v>9.3278888888888893</v>
      </c>
      <c r="P2847" s="8" t="s">
        <v>13117</v>
      </c>
      <c r="Q2847" s="8">
        <f>-(14+40/60+32/3600)</f>
        <v>-14.675555555555555</v>
      </c>
      <c r="R2847" s="8">
        <v>99</v>
      </c>
      <c r="S2847" s="8">
        <v>99</v>
      </c>
      <c r="T2847" s="8">
        <v>99</v>
      </c>
      <c r="U2847" s="8">
        <v>99</v>
      </c>
      <c r="Y2847" s="8" t="s">
        <v>13118</v>
      </c>
      <c r="Z2847" s="8" t="s">
        <v>13119</v>
      </c>
    </row>
    <row r="2848" spans="1:26" x14ac:dyDescent="0.2">
      <c r="A2848" s="8">
        <v>2847</v>
      </c>
      <c r="B2848" s="8" t="s">
        <v>13120</v>
      </c>
      <c r="C2848" s="8" t="s">
        <v>13120</v>
      </c>
      <c r="F2848" s="47"/>
      <c r="G2848" s="8">
        <v>18</v>
      </c>
      <c r="H2848" s="8" t="s">
        <v>21</v>
      </c>
      <c r="I2848" s="8" t="s">
        <v>1075</v>
      </c>
      <c r="J2848" s="8" t="s">
        <v>1075</v>
      </c>
      <c r="K2848" s="8" t="s">
        <v>1075</v>
      </c>
      <c r="L2848" s="8" t="s">
        <v>11765</v>
      </c>
      <c r="M2848" s="8" t="s">
        <v>11766</v>
      </c>
      <c r="N2848" s="8" t="s">
        <v>13121</v>
      </c>
      <c r="O2848" s="8">
        <f>9+20/60+8.6/3600</f>
        <v>9.3357222222222234</v>
      </c>
      <c r="P2848" s="8" t="s">
        <v>13122</v>
      </c>
      <c r="Q2848" s="8">
        <f>-(16+31/60+2/3600)</f>
        <v>-16.51722222222222</v>
      </c>
      <c r="R2848" s="8">
        <v>99</v>
      </c>
      <c r="S2848" s="8">
        <v>99</v>
      </c>
      <c r="T2848" s="8">
        <v>99</v>
      </c>
      <c r="U2848" s="8">
        <v>99</v>
      </c>
      <c r="Y2848" s="8" t="s">
        <v>13123</v>
      </c>
      <c r="Z2848" s="8" t="s">
        <v>13124</v>
      </c>
    </row>
    <row r="2849" spans="1:26" x14ac:dyDescent="0.2">
      <c r="A2849" s="8">
        <v>2848</v>
      </c>
      <c r="B2849" s="8" t="s">
        <v>13125</v>
      </c>
      <c r="C2849" s="8" t="s">
        <v>13125</v>
      </c>
      <c r="F2849" s="47" t="s">
        <v>56654</v>
      </c>
      <c r="G2849" s="8">
        <v>12</v>
      </c>
      <c r="H2849" s="8" t="s">
        <v>21</v>
      </c>
      <c r="I2849" s="8" t="s">
        <v>22</v>
      </c>
      <c r="J2849" s="8" t="s">
        <v>22</v>
      </c>
      <c r="K2849" s="8" t="s">
        <v>64</v>
      </c>
      <c r="L2849" s="8" t="s">
        <v>11765</v>
      </c>
      <c r="M2849" s="8" t="s">
        <v>11766</v>
      </c>
      <c r="N2849" s="8" t="s">
        <v>13126</v>
      </c>
      <c r="O2849" s="8">
        <f>9+20/60+9.8/3600</f>
        <v>9.3360555555555553</v>
      </c>
      <c r="P2849" s="8" t="s">
        <v>13127</v>
      </c>
      <c r="Q2849" s="8">
        <f>-(16+31/60+32/3600)</f>
        <v>-16.525555555555556</v>
      </c>
      <c r="R2849" s="8">
        <v>11.8</v>
      </c>
      <c r="S2849" s="8">
        <v>12.4</v>
      </c>
      <c r="T2849" s="8">
        <v>0.6</v>
      </c>
      <c r="U2849" s="8">
        <v>13.3</v>
      </c>
      <c r="V2849" s="8">
        <v>2.5</v>
      </c>
      <c r="W2849" s="8">
        <v>1.5</v>
      </c>
      <c r="X2849" s="8">
        <v>40</v>
      </c>
      <c r="Y2849" s="8" t="s">
        <v>13128</v>
      </c>
      <c r="Z2849" s="8" t="s">
        <v>13129</v>
      </c>
    </row>
    <row r="2850" spans="1:26" x14ac:dyDescent="0.2">
      <c r="A2850" s="8">
        <v>2849</v>
      </c>
      <c r="B2850" s="8" t="s">
        <v>13130</v>
      </c>
      <c r="C2850" s="8" t="s">
        <v>13130</v>
      </c>
      <c r="F2850" s="47"/>
      <c r="G2850" s="8">
        <v>14</v>
      </c>
      <c r="H2850" s="8" t="s">
        <v>21</v>
      </c>
      <c r="I2850" s="8" t="s">
        <v>557</v>
      </c>
      <c r="J2850" s="8" t="s">
        <v>557</v>
      </c>
      <c r="K2850" s="8" t="s">
        <v>2722</v>
      </c>
      <c r="L2850" s="8" t="s">
        <v>11757</v>
      </c>
      <c r="M2850" s="8" t="s">
        <v>11758</v>
      </c>
      <c r="N2850" s="8" t="s">
        <v>13131</v>
      </c>
      <c r="O2850" s="8">
        <f>9+19/60+22.8/3600</f>
        <v>9.3230000000000004</v>
      </c>
      <c r="P2850" s="8" t="s">
        <v>13132</v>
      </c>
      <c r="Q2850" s="8">
        <f>-(40+31/60+13/3600)</f>
        <v>-40.520277777777778</v>
      </c>
      <c r="R2850" s="8">
        <v>12.5</v>
      </c>
      <c r="S2850" s="8">
        <v>99</v>
      </c>
      <c r="T2850" s="8">
        <v>99</v>
      </c>
      <c r="U2850" s="8">
        <v>99</v>
      </c>
      <c r="V2850" s="8">
        <v>3</v>
      </c>
      <c r="Y2850" s="8" t="s">
        <v>13133</v>
      </c>
      <c r="Z2850" s="8" t="s">
        <v>13134</v>
      </c>
    </row>
    <row r="2851" spans="1:26" x14ac:dyDescent="0.2">
      <c r="A2851" s="8">
        <v>2850</v>
      </c>
      <c r="B2851" s="8" t="s">
        <v>13135</v>
      </c>
      <c r="C2851" s="8" t="s">
        <v>13135</v>
      </c>
      <c r="F2851" s="47"/>
      <c r="G2851" s="8">
        <v>19</v>
      </c>
      <c r="H2851" s="8" t="s">
        <v>21</v>
      </c>
      <c r="I2851" s="8" t="s">
        <v>22</v>
      </c>
      <c r="J2851" s="8" t="s">
        <v>22</v>
      </c>
      <c r="K2851" s="8" t="s">
        <v>37</v>
      </c>
      <c r="L2851" s="8" t="s">
        <v>11765</v>
      </c>
      <c r="M2851" s="8" t="s">
        <v>11766</v>
      </c>
      <c r="N2851" s="8" t="s">
        <v>13136</v>
      </c>
      <c r="O2851" s="8">
        <f>9+20/60+56.9/3600</f>
        <v>9.3491388888888896</v>
      </c>
      <c r="P2851" s="8" t="s">
        <v>13137</v>
      </c>
      <c r="Q2851" s="8">
        <f>-(4+56/60+22/3600)</f>
        <v>-4.9394444444444447</v>
      </c>
      <c r="R2851" s="8">
        <v>14.2</v>
      </c>
      <c r="S2851" s="8">
        <v>15.2</v>
      </c>
      <c r="T2851" s="8">
        <v>1</v>
      </c>
      <c r="U2851" s="8">
        <v>13.6</v>
      </c>
      <c r="V2851" s="8">
        <v>0.9</v>
      </c>
      <c r="W2851" s="8">
        <v>0.7</v>
      </c>
      <c r="X2851" s="8">
        <v>30</v>
      </c>
      <c r="Y2851" s="8" t="s">
        <v>11711</v>
      </c>
      <c r="Z2851" s="8" t="s">
        <v>11712</v>
      </c>
    </row>
    <row r="2852" spans="1:26" x14ac:dyDescent="0.2">
      <c r="A2852" s="8">
        <v>2851</v>
      </c>
      <c r="B2852" s="8" t="s">
        <v>13138</v>
      </c>
      <c r="C2852" s="8" t="s">
        <v>13138</v>
      </c>
      <c r="F2852" s="47"/>
      <c r="G2852" s="8">
        <v>12</v>
      </c>
      <c r="H2852" s="8" t="s">
        <v>21</v>
      </c>
      <c r="I2852" s="8" t="s">
        <v>22</v>
      </c>
      <c r="J2852" s="8" t="s">
        <v>22</v>
      </c>
      <c r="K2852" s="8" t="s">
        <v>37</v>
      </c>
      <c r="L2852" s="8" t="s">
        <v>11765</v>
      </c>
      <c r="M2852" s="8" t="s">
        <v>11766</v>
      </c>
      <c r="N2852" s="8" t="s">
        <v>13139</v>
      </c>
      <c r="O2852" s="8">
        <f>9+20/60+30.3/3600</f>
        <v>9.3417500000000011</v>
      </c>
      <c r="P2852" s="8" t="s">
        <v>13140</v>
      </c>
      <c r="Q2852" s="8">
        <f>-(16+29/60+43/3600)</f>
        <v>-16.49527777777778</v>
      </c>
      <c r="R2852" s="8">
        <v>13.3</v>
      </c>
      <c r="S2852" s="8">
        <v>14.3</v>
      </c>
      <c r="T2852" s="8">
        <v>1</v>
      </c>
      <c r="U2852" s="8">
        <v>13</v>
      </c>
      <c r="V2852" s="8">
        <v>1.3</v>
      </c>
      <c r="W2852" s="8">
        <v>0.5</v>
      </c>
      <c r="X2852" s="8">
        <v>5</v>
      </c>
      <c r="Y2852" s="8" t="s">
        <v>13141</v>
      </c>
      <c r="Z2852" s="8" t="s">
        <v>13142</v>
      </c>
    </row>
    <row r="2853" spans="1:26" x14ac:dyDescent="0.2">
      <c r="A2853" s="8">
        <v>2852</v>
      </c>
      <c r="B2853" s="8" t="s">
        <v>13143</v>
      </c>
      <c r="C2853" s="8" t="s">
        <v>13143</v>
      </c>
      <c r="F2853" s="47" t="s">
        <v>56655</v>
      </c>
      <c r="G2853" s="8">
        <v>15</v>
      </c>
      <c r="H2853" s="8" t="s">
        <v>21</v>
      </c>
      <c r="I2853" s="8" t="s">
        <v>22</v>
      </c>
      <c r="J2853" s="8" t="s">
        <v>22</v>
      </c>
      <c r="K2853" s="8" t="s">
        <v>154</v>
      </c>
      <c r="L2853" s="8" t="s">
        <v>10511</v>
      </c>
      <c r="M2853" s="8" t="s">
        <v>10512</v>
      </c>
      <c r="N2853" s="8" t="s">
        <v>13144</v>
      </c>
      <c r="O2853" s="8">
        <f>9+23/60+14.5/3600</f>
        <v>9.3873611111111099</v>
      </c>
      <c r="P2853" s="8" t="s">
        <v>13145</v>
      </c>
      <c r="Q2853" s="8">
        <f>+(40+9/60+52/3600)</f>
        <v>40.164444444444442</v>
      </c>
      <c r="R2853" s="8">
        <v>13.2</v>
      </c>
      <c r="S2853" s="8">
        <v>14.1</v>
      </c>
      <c r="T2853" s="8">
        <v>0.9</v>
      </c>
      <c r="U2853" s="8">
        <v>12.5</v>
      </c>
      <c r="V2853" s="8">
        <v>1</v>
      </c>
      <c r="W2853" s="8">
        <v>0.6</v>
      </c>
      <c r="X2853" s="8">
        <v>165</v>
      </c>
      <c r="Y2853" s="8" t="s">
        <v>13146</v>
      </c>
      <c r="Z2853" s="8" t="s">
        <v>13147</v>
      </c>
    </row>
    <row r="2854" spans="1:26" x14ac:dyDescent="0.2">
      <c r="A2854" s="8">
        <v>2853</v>
      </c>
      <c r="B2854" s="8" t="s">
        <v>13148</v>
      </c>
      <c r="C2854" s="8" t="s">
        <v>13148</v>
      </c>
      <c r="F2854" s="47" t="s">
        <v>56656</v>
      </c>
      <c r="G2854" s="8">
        <v>15</v>
      </c>
      <c r="H2854" s="8" t="s">
        <v>21</v>
      </c>
      <c r="I2854" s="8" t="s">
        <v>22</v>
      </c>
      <c r="J2854" s="8" t="s">
        <v>22</v>
      </c>
      <c r="K2854" s="8" t="s">
        <v>435</v>
      </c>
      <c r="L2854" s="8" t="s">
        <v>10511</v>
      </c>
      <c r="M2854" s="8" t="s">
        <v>10512</v>
      </c>
      <c r="N2854" s="8" t="s">
        <v>13149</v>
      </c>
      <c r="O2854" s="8">
        <f>9+23/60+17.4/3600</f>
        <v>9.3881666666666668</v>
      </c>
      <c r="P2854" s="8" t="s">
        <v>13150</v>
      </c>
      <c r="Q2854" s="8">
        <f>+(40+12/60+1/3600)</f>
        <v>40.200277777777778</v>
      </c>
      <c r="R2854" s="8">
        <v>13.3</v>
      </c>
      <c r="S2854" s="8">
        <v>14.2</v>
      </c>
      <c r="T2854" s="8">
        <v>0.9</v>
      </c>
      <c r="U2854" s="8">
        <v>12.6</v>
      </c>
      <c r="V2854" s="8">
        <v>1</v>
      </c>
      <c r="W2854" s="8">
        <v>0.6</v>
      </c>
      <c r="X2854" s="8">
        <v>25</v>
      </c>
      <c r="Y2854" s="8" t="s">
        <v>13151</v>
      </c>
      <c r="Z2854" s="8" t="s">
        <v>13152</v>
      </c>
    </row>
    <row r="2855" spans="1:26" x14ac:dyDescent="0.2">
      <c r="A2855" s="8">
        <v>2854</v>
      </c>
      <c r="B2855" s="8" t="s">
        <v>13153</v>
      </c>
      <c r="C2855" s="8" t="s">
        <v>13153</v>
      </c>
      <c r="F2855" s="47" t="s">
        <v>56657</v>
      </c>
      <c r="G2855" s="8">
        <v>15</v>
      </c>
      <c r="H2855" s="8" t="s">
        <v>21</v>
      </c>
      <c r="I2855" s="8" t="s">
        <v>22</v>
      </c>
      <c r="J2855" s="8" t="s">
        <v>22</v>
      </c>
      <c r="K2855" s="8" t="s">
        <v>218</v>
      </c>
      <c r="L2855" s="8" t="s">
        <v>12015</v>
      </c>
      <c r="M2855" s="8" t="s">
        <v>12016</v>
      </c>
      <c r="N2855" s="8" t="s">
        <v>13154</v>
      </c>
      <c r="O2855" s="8">
        <f>9+24/60+2.9/3600</f>
        <v>9.4008055555555554</v>
      </c>
      <c r="P2855" s="8" t="s">
        <v>13155</v>
      </c>
      <c r="Q2855" s="8">
        <f>+(49+12/60+14/3600)</f>
        <v>49.203888888888891</v>
      </c>
      <c r="R2855" s="8">
        <v>13</v>
      </c>
      <c r="S2855" s="8">
        <v>13.8</v>
      </c>
      <c r="T2855" s="8">
        <v>0.8</v>
      </c>
      <c r="U2855" s="8">
        <v>12.8</v>
      </c>
      <c r="V2855" s="8">
        <v>1.6</v>
      </c>
      <c r="W2855" s="8">
        <v>0.6</v>
      </c>
      <c r="X2855" s="8">
        <v>50</v>
      </c>
      <c r="Y2855" s="8" t="s">
        <v>13156</v>
      </c>
      <c r="Z2855" s="8" t="s">
        <v>13157</v>
      </c>
    </row>
    <row r="2856" spans="1:26" x14ac:dyDescent="0.2">
      <c r="A2856" s="8">
        <v>2855</v>
      </c>
      <c r="B2856" s="8" t="s">
        <v>13158</v>
      </c>
      <c r="C2856" s="8" t="s">
        <v>13158</v>
      </c>
      <c r="F2856" s="47" t="s">
        <v>56658</v>
      </c>
      <c r="G2856" s="8">
        <v>6.5</v>
      </c>
      <c r="H2856" s="8" t="s">
        <v>21</v>
      </c>
      <c r="I2856" s="8" t="s">
        <v>22</v>
      </c>
      <c r="J2856" s="8" t="s">
        <v>22</v>
      </c>
      <c r="K2856" s="8" t="s">
        <v>632</v>
      </c>
      <c r="L2856" s="8" t="s">
        <v>11765</v>
      </c>
      <c r="M2856" s="8" t="s">
        <v>11766</v>
      </c>
      <c r="N2856" s="8" t="s">
        <v>13159</v>
      </c>
      <c r="O2856" s="8">
        <f>9+21/60+27.5/3600</f>
        <v>9.3576388888888893</v>
      </c>
      <c r="P2856" s="8" t="s">
        <v>13160</v>
      </c>
      <c r="Q2856" s="8">
        <f>-(11+54/60+37/3600)</f>
        <v>-11.910277777777779</v>
      </c>
      <c r="R2856" s="8">
        <v>11.7</v>
      </c>
      <c r="S2856" s="8">
        <v>12.6</v>
      </c>
      <c r="T2856" s="8">
        <v>0.9</v>
      </c>
      <c r="U2856" s="8">
        <v>13.3</v>
      </c>
      <c r="V2856" s="8">
        <v>2.5</v>
      </c>
      <c r="W2856" s="8">
        <v>2.2000000000000002</v>
      </c>
      <c r="X2856" s="8">
        <v>132</v>
      </c>
      <c r="Y2856" s="8" t="s">
        <v>13161</v>
      </c>
      <c r="Z2856" s="8" t="s">
        <v>13162</v>
      </c>
    </row>
    <row r="2857" spans="1:26" x14ac:dyDescent="0.2">
      <c r="A2857" s="8">
        <v>2856</v>
      </c>
      <c r="B2857" s="8" t="s">
        <v>13163</v>
      </c>
      <c r="C2857" s="8" t="s">
        <v>13163</v>
      </c>
      <c r="F2857" s="47" t="s">
        <v>56659</v>
      </c>
      <c r="G2857" s="8">
        <v>15</v>
      </c>
      <c r="H2857" s="8" t="s">
        <v>21</v>
      </c>
      <c r="I2857" s="8" t="s">
        <v>22</v>
      </c>
      <c r="J2857" s="8" t="s">
        <v>22</v>
      </c>
      <c r="K2857" s="8" t="s">
        <v>396</v>
      </c>
      <c r="L2857" s="8" t="s">
        <v>12015</v>
      </c>
      <c r="M2857" s="8" t="s">
        <v>12016</v>
      </c>
      <c r="N2857" s="8" t="s">
        <v>13164</v>
      </c>
      <c r="O2857" s="8">
        <f>9+24/60+16.2/3600</f>
        <v>9.4045000000000005</v>
      </c>
      <c r="P2857" s="8" t="s">
        <v>13165</v>
      </c>
      <c r="Q2857" s="8">
        <f>+(49+14/60+57/3600)</f>
        <v>49.249166666666667</v>
      </c>
      <c r="R2857" s="8">
        <v>13.2</v>
      </c>
      <c r="S2857" s="8">
        <v>14</v>
      </c>
      <c r="T2857" s="8">
        <v>0.8</v>
      </c>
      <c r="U2857" s="8">
        <v>12.4</v>
      </c>
      <c r="V2857" s="8">
        <v>1.1000000000000001</v>
      </c>
      <c r="W2857" s="8">
        <v>0.5</v>
      </c>
      <c r="X2857" s="8">
        <v>134</v>
      </c>
      <c r="Y2857" s="8" t="s">
        <v>13166</v>
      </c>
      <c r="Z2857" s="8" t="s">
        <v>13167</v>
      </c>
    </row>
    <row r="2858" spans="1:26" x14ac:dyDescent="0.2">
      <c r="A2858" s="8">
        <v>2857</v>
      </c>
      <c r="B2858" s="8" t="s">
        <v>13168</v>
      </c>
      <c r="C2858" s="8" t="s">
        <v>13168</v>
      </c>
      <c r="F2858" s="47"/>
      <c r="G2858" s="8">
        <v>18</v>
      </c>
      <c r="H2858" s="8" t="s">
        <v>21</v>
      </c>
      <c r="I2858" s="8" t="s">
        <v>22</v>
      </c>
      <c r="J2858" s="8" t="s">
        <v>22</v>
      </c>
      <c r="K2858" s="8" t="s">
        <v>160</v>
      </c>
      <c r="L2858" s="8" t="s">
        <v>12015</v>
      </c>
      <c r="M2858" s="8" t="s">
        <v>12016</v>
      </c>
      <c r="N2858" s="8" t="s">
        <v>13169</v>
      </c>
      <c r="O2858" s="8">
        <f>9+24/60+37.7/3600</f>
        <v>9.4104722222222232</v>
      </c>
      <c r="P2858" s="8" t="s">
        <v>13170</v>
      </c>
      <c r="Q2858" s="8">
        <f>+(49+21/60+26/3600)</f>
        <v>49.357222222222227</v>
      </c>
      <c r="R2858" s="8">
        <v>12.3</v>
      </c>
      <c r="S2858" s="8">
        <v>12.9</v>
      </c>
      <c r="T2858" s="8">
        <v>0.6</v>
      </c>
      <c r="U2858" s="8">
        <v>13.7</v>
      </c>
      <c r="V2858" s="8">
        <v>2.2000000000000002</v>
      </c>
      <c r="W2858" s="8">
        <v>2</v>
      </c>
      <c r="X2858" s="8">
        <v>138</v>
      </c>
      <c r="Y2858" s="8" t="s">
        <v>13171</v>
      </c>
      <c r="Z2858" s="8" t="s">
        <v>13172</v>
      </c>
    </row>
    <row r="2859" spans="1:26" x14ac:dyDescent="0.2">
      <c r="A2859" s="8">
        <v>2858</v>
      </c>
      <c r="B2859" s="8" t="s">
        <v>13173</v>
      </c>
      <c r="C2859" s="8" t="s">
        <v>13173</v>
      </c>
      <c r="F2859" s="47"/>
      <c r="G2859" s="8">
        <v>18</v>
      </c>
      <c r="H2859" s="8" t="s">
        <v>21</v>
      </c>
      <c r="I2859" s="8" t="s">
        <v>22</v>
      </c>
      <c r="J2859" s="8" t="s">
        <v>22</v>
      </c>
      <c r="K2859" s="8" t="s">
        <v>632</v>
      </c>
      <c r="L2859" s="8" t="s">
        <v>11765</v>
      </c>
      <c r="M2859" s="8" t="s">
        <v>11766</v>
      </c>
      <c r="N2859" s="8" t="s">
        <v>13174</v>
      </c>
      <c r="O2859" s="8">
        <f>9+22/60+54.9/3600</f>
        <v>9.3819166666666671</v>
      </c>
      <c r="P2859" s="8" t="s">
        <v>13175</v>
      </c>
      <c r="Q2859" s="8">
        <f>+(3+9/60+27/3600)</f>
        <v>3.1574999999999998</v>
      </c>
      <c r="R2859" s="8">
        <v>12.6</v>
      </c>
      <c r="S2859" s="8">
        <v>13.5</v>
      </c>
      <c r="T2859" s="8">
        <v>0.9</v>
      </c>
      <c r="U2859" s="8">
        <v>12.9</v>
      </c>
      <c r="V2859" s="8">
        <v>1.7</v>
      </c>
      <c r="W2859" s="8">
        <v>0.9</v>
      </c>
      <c r="X2859" s="8">
        <v>117</v>
      </c>
      <c r="Y2859" s="8" t="s">
        <v>13176</v>
      </c>
      <c r="Z2859" s="8" t="s">
        <v>13177</v>
      </c>
    </row>
    <row r="2860" spans="1:26" x14ac:dyDescent="0.2">
      <c r="A2860" s="8">
        <v>2859</v>
      </c>
      <c r="B2860" s="8" t="s">
        <v>13178</v>
      </c>
      <c r="C2860" s="8" t="s">
        <v>13178</v>
      </c>
      <c r="F2860" s="47" t="s">
        <v>56660</v>
      </c>
      <c r="G2860" s="8">
        <v>6</v>
      </c>
      <c r="H2860" s="8" t="s">
        <v>21</v>
      </c>
      <c r="I2860" s="8" t="s">
        <v>22</v>
      </c>
      <c r="J2860" s="8" t="s">
        <v>22</v>
      </c>
      <c r="K2860" s="8" t="s">
        <v>435</v>
      </c>
      <c r="L2860" s="8" t="s">
        <v>13179</v>
      </c>
      <c r="M2860" s="8" t="s">
        <v>13180</v>
      </c>
      <c r="N2860" s="8" t="s">
        <v>13181</v>
      </c>
      <c r="O2860" s="8">
        <f>9+24/60+18.6/3600</f>
        <v>9.4051666666666662</v>
      </c>
      <c r="P2860" s="8" t="s">
        <v>13182</v>
      </c>
      <c r="Q2860" s="8">
        <f>+(34+30/60+48/3600)</f>
        <v>34.513333333333335</v>
      </c>
      <c r="R2860" s="8">
        <v>10.9</v>
      </c>
      <c r="S2860" s="8">
        <v>11.8</v>
      </c>
      <c r="T2860" s="8">
        <v>0.9</v>
      </c>
      <c r="U2860" s="8">
        <v>13.8</v>
      </c>
      <c r="V2860" s="8">
        <v>4.5999999999999996</v>
      </c>
      <c r="W2860" s="8">
        <v>4.0999999999999996</v>
      </c>
      <c r="X2860" s="8">
        <v>85</v>
      </c>
      <c r="Y2860" s="8" t="s">
        <v>13183</v>
      </c>
      <c r="Z2860" s="8" t="s">
        <v>13184</v>
      </c>
    </row>
    <row r="2861" spans="1:26" x14ac:dyDescent="0.2">
      <c r="A2861" s="8">
        <v>2860</v>
      </c>
      <c r="B2861" s="8" t="s">
        <v>13185</v>
      </c>
      <c r="C2861" s="8" t="s">
        <v>13185</v>
      </c>
      <c r="F2861" s="47"/>
      <c r="G2861" s="8">
        <v>19</v>
      </c>
      <c r="H2861" s="8" t="s">
        <v>21</v>
      </c>
      <c r="I2861" s="8" t="s">
        <v>22</v>
      </c>
      <c r="J2861" s="8" t="s">
        <v>22</v>
      </c>
      <c r="K2861" s="8" t="s">
        <v>154</v>
      </c>
      <c r="L2861" s="8" t="s">
        <v>10511</v>
      </c>
      <c r="M2861" s="8" t="s">
        <v>10512</v>
      </c>
      <c r="N2861" s="8" t="s">
        <v>13186</v>
      </c>
      <c r="O2861" s="8">
        <f>9+24/60+53.2/3600</f>
        <v>9.414777777777779</v>
      </c>
      <c r="P2861" s="8" t="s">
        <v>13187</v>
      </c>
      <c r="Q2861" s="8">
        <f>+(41+3/60+36/3600)</f>
        <v>41.059999999999995</v>
      </c>
      <c r="R2861" s="8">
        <v>13.7</v>
      </c>
      <c r="S2861" s="8">
        <v>14.6</v>
      </c>
      <c r="T2861" s="8">
        <v>0.9</v>
      </c>
      <c r="U2861" s="8">
        <v>13.4</v>
      </c>
      <c r="V2861" s="8">
        <v>1.5</v>
      </c>
      <c r="W2861" s="8">
        <v>0.6</v>
      </c>
      <c r="X2861" s="8">
        <v>108</v>
      </c>
      <c r="Y2861" s="8" t="s">
        <v>1858</v>
      </c>
      <c r="Z2861" s="8" t="s">
        <v>1859</v>
      </c>
    </row>
    <row r="2862" spans="1:26" x14ac:dyDescent="0.2">
      <c r="A2862" s="8">
        <v>2861</v>
      </c>
      <c r="B2862" s="8" t="s">
        <v>13188</v>
      </c>
      <c r="C2862" s="8" t="s">
        <v>13188</v>
      </c>
      <c r="F2862" s="47"/>
      <c r="G2862" s="8">
        <v>18</v>
      </c>
      <c r="H2862" s="8" t="s">
        <v>21</v>
      </c>
      <c r="I2862" s="8" t="s">
        <v>22</v>
      </c>
      <c r="J2862" s="8" t="s">
        <v>22</v>
      </c>
      <c r="K2862" s="8" t="s">
        <v>85</v>
      </c>
      <c r="L2862" s="8" t="s">
        <v>11765</v>
      </c>
      <c r="M2862" s="8" t="s">
        <v>11766</v>
      </c>
      <c r="N2862" s="8" t="s">
        <v>13189</v>
      </c>
      <c r="O2862" s="8">
        <f>9+23/60+36.5/3600</f>
        <v>9.393472222222222</v>
      </c>
      <c r="P2862" s="8" t="s">
        <v>13190</v>
      </c>
      <c r="Q2862" s="8">
        <f>+(2+8/60+10/3600)</f>
        <v>2.1361111111111111</v>
      </c>
      <c r="R2862" s="8">
        <v>13</v>
      </c>
      <c r="S2862" s="8">
        <v>13.8</v>
      </c>
      <c r="T2862" s="8">
        <v>0.8</v>
      </c>
      <c r="U2862" s="8">
        <v>13.7</v>
      </c>
      <c r="V2862" s="8">
        <v>1.5</v>
      </c>
      <c r="W2862" s="8">
        <v>1.4</v>
      </c>
      <c r="X2862" s="8">
        <v>6</v>
      </c>
      <c r="Y2862" s="8" t="s">
        <v>13191</v>
      </c>
      <c r="Z2862" s="8" t="s">
        <v>13192</v>
      </c>
    </row>
    <row r="2863" spans="1:26" x14ac:dyDescent="0.2">
      <c r="A2863" s="8">
        <v>2862</v>
      </c>
      <c r="B2863" s="8" t="s">
        <v>13193</v>
      </c>
      <c r="C2863" s="8" t="s">
        <v>13193</v>
      </c>
      <c r="F2863" s="47"/>
      <c r="G2863" s="8">
        <v>18</v>
      </c>
      <c r="H2863" s="8" t="s">
        <v>21</v>
      </c>
      <c r="I2863" s="8" t="s">
        <v>22</v>
      </c>
      <c r="J2863" s="8" t="s">
        <v>22</v>
      </c>
      <c r="K2863" s="8" t="s">
        <v>85</v>
      </c>
      <c r="L2863" s="8" t="s">
        <v>13194</v>
      </c>
      <c r="M2863" s="8" t="s">
        <v>13195</v>
      </c>
      <c r="N2863" s="8" t="s">
        <v>13196</v>
      </c>
      <c r="O2863" s="8">
        <f>9+24/60+55/3600</f>
        <v>9.4152777777777779</v>
      </c>
      <c r="P2863" s="8" t="s">
        <v>13197</v>
      </c>
      <c r="Q2863" s="8">
        <f>+(26+46/60+31/3600)</f>
        <v>26.775277777777777</v>
      </c>
      <c r="R2863" s="8">
        <v>12.9</v>
      </c>
      <c r="S2863" s="8">
        <v>13.7</v>
      </c>
      <c r="T2863" s="8">
        <v>0.8</v>
      </c>
      <c r="U2863" s="8">
        <v>13</v>
      </c>
      <c r="V2863" s="8">
        <v>2.5</v>
      </c>
      <c r="W2863" s="8">
        <v>0.5</v>
      </c>
      <c r="X2863" s="8">
        <v>114</v>
      </c>
      <c r="Y2863" s="8" t="s">
        <v>13198</v>
      </c>
      <c r="Z2863" s="8" t="s">
        <v>13199</v>
      </c>
    </row>
    <row r="2864" spans="1:26" x14ac:dyDescent="0.2">
      <c r="A2864" s="8">
        <v>2863</v>
      </c>
      <c r="B2864" s="8" t="s">
        <v>13200</v>
      </c>
      <c r="C2864" s="8" t="s">
        <v>13200</v>
      </c>
      <c r="F2864" s="47" t="s">
        <v>56661</v>
      </c>
      <c r="G2864" s="8">
        <v>15</v>
      </c>
      <c r="H2864" s="8" t="s">
        <v>21</v>
      </c>
      <c r="I2864" s="8" t="s">
        <v>22</v>
      </c>
      <c r="J2864" s="8" t="s">
        <v>22</v>
      </c>
      <c r="K2864" s="8" t="s">
        <v>4103</v>
      </c>
      <c r="L2864" s="8" t="s">
        <v>11765</v>
      </c>
      <c r="M2864" s="8" t="s">
        <v>11766</v>
      </c>
      <c r="N2864" s="8" t="s">
        <v>13189</v>
      </c>
      <c r="O2864" s="8">
        <f>9+23/60+36.5/3600</f>
        <v>9.393472222222222</v>
      </c>
      <c r="P2864" s="8" t="s">
        <v>13201</v>
      </c>
      <c r="Q2864" s="8">
        <f>-(10+25/60+59/3600)</f>
        <v>-10.433055555555555</v>
      </c>
      <c r="R2864" s="8">
        <v>12.9</v>
      </c>
      <c r="S2864" s="8">
        <v>13.5</v>
      </c>
      <c r="T2864" s="8">
        <v>0.6</v>
      </c>
      <c r="U2864" s="8">
        <v>12.6</v>
      </c>
      <c r="V2864" s="8">
        <v>1</v>
      </c>
      <c r="W2864" s="8">
        <v>0.9</v>
      </c>
      <c r="X2864" s="8">
        <v>120</v>
      </c>
      <c r="Y2864" s="8" t="s">
        <v>13202</v>
      </c>
      <c r="Z2864" s="8" t="s">
        <v>13203</v>
      </c>
    </row>
    <row r="2865" spans="1:26" x14ac:dyDescent="0.2">
      <c r="A2865" s="8">
        <v>2864</v>
      </c>
      <c r="B2865" s="8" t="s">
        <v>13204</v>
      </c>
      <c r="C2865" s="8" t="s">
        <v>13204</v>
      </c>
      <c r="F2865" s="47"/>
      <c r="G2865" s="8">
        <v>18</v>
      </c>
      <c r="H2865" s="8" t="s">
        <v>21</v>
      </c>
      <c r="I2865" s="8" t="s">
        <v>22</v>
      </c>
      <c r="J2865" s="8" t="s">
        <v>22</v>
      </c>
      <c r="K2865" s="8" t="s">
        <v>476</v>
      </c>
      <c r="L2865" s="8" t="s">
        <v>11765</v>
      </c>
      <c r="M2865" s="8" t="s">
        <v>11766</v>
      </c>
      <c r="N2865" s="8" t="s">
        <v>13205</v>
      </c>
      <c r="O2865" s="8">
        <f>9+24/60+15.4/3600</f>
        <v>9.4042777777777786</v>
      </c>
      <c r="P2865" s="8" t="s">
        <v>13206</v>
      </c>
      <c r="Q2865" s="8">
        <f>+(5+56/60+24/3600)</f>
        <v>5.94</v>
      </c>
      <c r="R2865" s="8">
        <v>14.6</v>
      </c>
      <c r="S2865" s="8">
        <v>15.5</v>
      </c>
      <c r="T2865" s="8">
        <v>0.9</v>
      </c>
      <c r="U2865" s="8">
        <v>14.1</v>
      </c>
      <c r="V2865" s="8">
        <v>1</v>
      </c>
      <c r="W2865" s="8">
        <v>0.7</v>
      </c>
      <c r="X2865" s="8">
        <v>12</v>
      </c>
      <c r="Y2865" s="8" t="s">
        <v>13207</v>
      </c>
      <c r="Z2865" s="8" t="s">
        <v>13208</v>
      </c>
    </row>
    <row r="2866" spans="1:26" x14ac:dyDescent="0.2">
      <c r="A2866" s="8">
        <v>2865</v>
      </c>
      <c r="B2866" s="8" t="s">
        <v>13209</v>
      </c>
      <c r="C2866" s="8" t="s">
        <v>13209</v>
      </c>
      <c r="F2866" s="47"/>
      <c r="G2866" s="8">
        <v>13</v>
      </c>
      <c r="H2866" s="8" t="s">
        <v>21</v>
      </c>
      <c r="I2866" s="8" t="s">
        <v>22</v>
      </c>
      <c r="J2866" s="8" t="s">
        <v>22</v>
      </c>
      <c r="K2866" s="8" t="s">
        <v>382</v>
      </c>
      <c r="L2866" s="8" t="s">
        <v>11765</v>
      </c>
      <c r="M2866" s="8" t="s">
        <v>11766</v>
      </c>
      <c r="N2866" s="8" t="s">
        <v>13210</v>
      </c>
      <c r="O2866" s="8">
        <f>9+23/60+30.2/3600</f>
        <v>9.3917222222222225</v>
      </c>
      <c r="P2866" s="8" t="s">
        <v>13211</v>
      </c>
      <c r="Q2866" s="8">
        <f>-(23+9/60+41/3600)</f>
        <v>-23.161388888888887</v>
      </c>
      <c r="R2866" s="8">
        <v>11.7</v>
      </c>
      <c r="S2866" s="8">
        <v>12.6</v>
      </c>
      <c r="T2866" s="8">
        <v>0.9</v>
      </c>
      <c r="U2866" s="8">
        <v>13.3</v>
      </c>
      <c r="V2866" s="8">
        <v>2.5</v>
      </c>
      <c r="W2866" s="8">
        <v>1.8</v>
      </c>
      <c r="X2866" s="8">
        <v>162</v>
      </c>
      <c r="Y2866" s="8" t="s">
        <v>3367</v>
      </c>
      <c r="Z2866" s="8" t="s">
        <v>3368</v>
      </c>
    </row>
    <row r="2867" spans="1:26" x14ac:dyDescent="0.2">
      <c r="A2867" s="8">
        <v>2866</v>
      </c>
      <c r="B2867" s="8" t="s">
        <v>13212</v>
      </c>
      <c r="C2867" s="8" t="s">
        <v>13212</v>
      </c>
      <c r="F2867" s="47"/>
      <c r="G2867" s="8">
        <v>16</v>
      </c>
      <c r="H2867" s="8" t="s">
        <v>21</v>
      </c>
      <c r="I2867" s="8" t="s">
        <v>557</v>
      </c>
      <c r="J2867" s="8" t="s">
        <v>557</v>
      </c>
      <c r="K2867" s="8" t="s">
        <v>558</v>
      </c>
      <c r="L2867" s="8" t="s">
        <v>11757</v>
      </c>
      <c r="M2867" s="8" t="s">
        <v>11758</v>
      </c>
      <c r="N2867" s="8" t="s">
        <v>13213</v>
      </c>
      <c r="O2867" s="8">
        <f>9+22/60+6.5/3600</f>
        <v>9.3684722222222234</v>
      </c>
      <c r="P2867" s="8" t="s">
        <v>13214</v>
      </c>
      <c r="Q2867" s="8">
        <f>-(51+6/60+8/3600)</f>
        <v>-51.102222222222224</v>
      </c>
      <c r="R2867" s="8">
        <v>99</v>
      </c>
      <c r="S2867" s="8">
        <v>99</v>
      </c>
      <c r="T2867" s="8">
        <v>99</v>
      </c>
      <c r="U2867" s="8">
        <v>99</v>
      </c>
      <c r="V2867" s="8">
        <v>20</v>
      </c>
      <c r="Y2867" s="8" t="s">
        <v>10878</v>
      </c>
      <c r="Z2867" s="8" t="s">
        <v>10879</v>
      </c>
    </row>
    <row r="2868" spans="1:26" x14ac:dyDescent="0.2">
      <c r="A2868" s="8">
        <v>2867</v>
      </c>
      <c r="B2868" s="8" t="s">
        <v>13215</v>
      </c>
      <c r="C2868" s="8" t="s">
        <v>13215</v>
      </c>
      <c r="F2868" s="47"/>
      <c r="G2868" s="8">
        <v>2</v>
      </c>
      <c r="H2868" s="8" t="s">
        <v>21</v>
      </c>
      <c r="I2868" s="8" t="s">
        <v>241</v>
      </c>
      <c r="J2868" s="8" t="s">
        <v>241</v>
      </c>
      <c r="K2868" s="8" t="s">
        <v>241</v>
      </c>
      <c r="L2868" s="8" t="s">
        <v>10135</v>
      </c>
      <c r="M2868" s="8" t="s">
        <v>10136</v>
      </c>
      <c r="N2868" s="8" t="s">
        <v>13216</v>
      </c>
      <c r="O2868" s="8">
        <f>9+21/60+25.4/3600</f>
        <v>9.3570555555555543</v>
      </c>
      <c r="P2868" s="8" t="s">
        <v>13217</v>
      </c>
      <c r="Q2868" s="8">
        <f>-(58+18/60+40/3600)</f>
        <v>-58.31111111111111</v>
      </c>
      <c r="R2868" s="8">
        <v>9.6999999999999993</v>
      </c>
      <c r="S2868" s="8">
        <v>9.6999999999999993</v>
      </c>
      <c r="T2868" s="8">
        <v>99</v>
      </c>
      <c r="U2868" s="8">
        <v>99</v>
      </c>
      <c r="V2868" s="8">
        <v>0.4</v>
      </c>
      <c r="Y2868" s="8" t="s">
        <v>13218</v>
      </c>
      <c r="Z2868" s="8" t="s">
        <v>13219</v>
      </c>
    </row>
    <row r="2869" spans="1:26" x14ac:dyDescent="0.2">
      <c r="A2869" s="8">
        <v>2868</v>
      </c>
      <c r="B2869" s="8" t="s">
        <v>13220</v>
      </c>
      <c r="C2869" s="8" t="s">
        <v>13220</v>
      </c>
      <c r="F2869" s="47"/>
      <c r="G2869" s="8">
        <v>19</v>
      </c>
      <c r="H2869" s="8" t="s">
        <v>21</v>
      </c>
      <c r="I2869" s="8" t="s">
        <v>22</v>
      </c>
      <c r="J2869" s="8" t="s">
        <v>22</v>
      </c>
      <c r="K2869" s="8" t="s">
        <v>58</v>
      </c>
      <c r="L2869" s="8" t="s">
        <v>11765</v>
      </c>
      <c r="M2869" s="8" t="s">
        <v>11766</v>
      </c>
      <c r="N2869" s="8" t="s">
        <v>13221</v>
      </c>
      <c r="O2869" s="8">
        <f>9+23/60+27.2/3600</f>
        <v>9.3908888888888882</v>
      </c>
      <c r="P2869" s="8" t="s">
        <v>13222</v>
      </c>
      <c r="Q2869" s="8">
        <f>-(10+25/60+44/3600)</f>
        <v>-10.428888888888888</v>
      </c>
      <c r="R2869" s="8">
        <v>14.3</v>
      </c>
      <c r="S2869" s="8">
        <v>15.3</v>
      </c>
      <c r="T2869" s="8">
        <v>1</v>
      </c>
      <c r="U2869" s="8">
        <v>13.1</v>
      </c>
      <c r="V2869" s="8">
        <v>0.6</v>
      </c>
      <c r="W2869" s="8">
        <v>0.5</v>
      </c>
      <c r="X2869" s="8">
        <v>65</v>
      </c>
      <c r="Y2869" s="8" t="s">
        <v>13223</v>
      </c>
      <c r="Z2869" s="8" t="s">
        <v>13224</v>
      </c>
    </row>
    <row r="2870" spans="1:26" x14ac:dyDescent="0.2">
      <c r="A2870" s="8">
        <v>2869</v>
      </c>
      <c r="B2870" s="8" t="s">
        <v>13225</v>
      </c>
      <c r="C2870" s="8" t="s">
        <v>13225</v>
      </c>
      <c r="F2870" s="47"/>
      <c r="G2870" s="8">
        <v>19</v>
      </c>
      <c r="H2870" s="8" t="s">
        <v>21</v>
      </c>
      <c r="I2870" s="8" t="s">
        <v>22</v>
      </c>
      <c r="J2870" s="8" t="s">
        <v>57</v>
      </c>
      <c r="K2870" s="8" t="s">
        <v>4103</v>
      </c>
      <c r="L2870" s="8" t="s">
        <v>11765</v>
      </c>
      <c r="M2870" s="8" t="s">
        <v>11766</v>
      </c>
      <c r="N2870" s="8" t="s">
        <v>13189</v>
      </c>
      <c r="O2870" s="8">
        <f>9+23/60+36.5/3600</f>
        <v>9.393472222222222</v>
      </c>
      <c r="P2870" s="8" t="s">
        <v>13201</v>
      </c>
      <c r="Q2870" s="8">
        <f>-(10+25/60+59/3600)</f>
        <v>-10.433055555555555</v>
      </c>
      <c r="R2870" s="8">
        <v>12.9</v>
      </c>
      <c r="S2870" s="8">
        <v>13.5</v>
      </c>
      <c r="T2870" s="8">
        <v>0.6</v>
      </c>
      <c r="U2870" s="8">
        <v>12.6</v>
      </c>
      <c r="V2870" s="8">
        <v>1</v>
      </c>
      <c r="W2870" s="8">
        <v>0.9</v>
      </c>
      <c r="X2870" s="8">
        <v>120</v>
      </c>
      <c r="Y2870" s="8" t="s">
        <v>13202</v>
      </c>
      <c r="Z2870" s="8" t="s">
        <v>13226</v>
      </c>
    </row>
    <row r="2871" spans="1:26" x14ac:dyDescent="0.2">
      <c r="A2871" s="8">
        <v>2870</v>
      </c>
      <c r="B2871" s="8" t="s">
        <v>13227</v>
      </c>
      <c r="C2871" s="8" t="s">
        <v>13227</v>
      </c>
      <c r="F2871" s="47" t="s">
        <v>56662</v>
      </c>
      <c r="G2871" s="8">
        <v>15</v>
      </c>
      <c r="H2871" s="8" t="s">
        <v>21</v>
      </c>
      <c r="I2871" s="8" t="s">
        <v>22</v>
      </c>
      <c r="J2871" s="8" t="s">
        <v>22</v>
      </c>
      <c r="K2871" s="8" t="s">
        <v>85</v>
      </c>
      <c r="L2871" s="8" t="s">
        <v>12015</v>
      </c>
      <c r="M2871" s="8" t="s">
        <v>12016</v>
      </c>
      <c r="N2871" s="8" t="s">
        <v>13228</v>
      </c>
      <c r="O2871" s="8">
        <f>9+27/60+53.7/3600</f>
        <v>9.4649166666666655</v>
      </c>
      <c r="P2871" s="8" t="s">
        <v>13229</v>
      </c>
      <c r="Q2871" s="8">
        <f>+(57+22/60+33/3600)</f>
        <v>57.375833333333333</v>
      </c>
      <c r="R2871" s="8">
        <v>13</v>
      </c>
      <c r="S2871" s="8">
        <v>13.8</v>
      </c>
      <c r="T2871" s="8">
        <v>0.8</v>
      </c>
      <c r="U2871" s="8">
        <v>13.3</v>
      </c>
      <c r="V2871" s="8">
        <v>2.5</v>
      </c>
      <c r="W2871" s="8">
        <v>0.6</v>
      </c>
      <c r="X2871" s="8">
        <v>123</v>
      </c>
      <c r="Y2871" s="8" t="s">
        <v>13230</v>
      </c>
      <c r="Z2871" s="8" t="s">
        <v>13231</v>
      </c>
    </row>
    <row r="2872" spans="1:26" x14ac:dyDescent="0.2">
      <c r="A2872" s="8">
        <v>2871</v>
      </c>
      <c r="B2872" s="8" t="s">
        <v>13232</v>
      </c>
      <c r="C2872" s="8" t="s">
        <v>13232</v>
      </c>
      <c r="F2872" s="47"/>
      <c r="G2872" s="8">
        <v>18</v>
      </c>
      <c r="H2872" s="8" t="s">
        <v>21</v>
      </c>
      <c r="I2872" s="8" t="s">
        <v>72</v>
      </c>
      <c r="J2872" s="8" t="s">
        <v>72</v>
      </c>
      <c r="K2872" s="8" t="s">
        <v>20</v>
      </c>
      <c r="L2872" s="8" t="s">
        <v>13194</v>
      </c>
      <c r="M2872" s="8" t="s">
        <v>13195</v>
      </c>
      <c r="N2872" s="8" t="s">
        <v>13233</v>
      </c>
      <c r="O2872" s="8">
        <f>9+25/60+39.4/3600</f>
        <v>9.4276111111111103</v>
      </c>
      <c r="P2872" s="8" t="s">
        <v>13234</v>
      </c>
      <c r="Q2872" s="8">
        <f>+(11+26/60+38/3600)</f>
        <v>11.443888888888889</v>
      </c>
      <c r="R2872" s="8">
        <v>99</v>
      </c>
      <c r="S2872" s="8">
        <v>99</v>
      </c>
      <c r="T2872" s="8">
        <v>99</v>
      </c>
      <c r="U2872" s="8">
        <v>99</v>
      </c>
      <c r="Y2872" s="8" t="s">
        <v>13235</v>
      </c>
      <c r="Z2872" s="8" t="s">
        <v>13236</v>
      </c>
    </row>
    <row r="2873" spans="1:26" x14ac:dyDescent="0.2">
      <c r="A2873" s="8">
        <v>2872</v>
      </c>
      <c r="B2873" s="8" t="s">
        <v>13237</v>
      </c>
      <c r="C2873" s="8" t="s">
        <v>13237</v>
      </c>
      <c r="F2873" s="47" t="s">
        <v>56663</v>
      </c>
      <c r="G2873" s="8">
        <v>15</v>
      </c>
      <c r="H2873" s="8" t="s">
        <v>21</v>
      </c>
      <c r="I2873" s="8" t="s">
        <v>22</v>
      </c>
      <c r="J2873" s="8" t="s">
        <v>22</v>
      </c>
      <c r="K2873" s="8" t="s">
        <v>1136</v>
      </c>
      <c r="L2873" s="8" t="s">
        <v>13194</v>
      </c>
      <c r="M2873" s="8" t="s">
        <v>13195</v>
      </c>
      <c r="N2873" s="8" t="s">
        <v>13238</v>
      </c>
      <c r="O2873" s="8">
        <f>9+25/60+42.9/3600</f>
        <v>9.4285833333333322</v>
      </c>
      <c r="P2873" s="8" t="s">
        <v>13239</v>
      </c>
      <c r="Q2873" s="8">
        <f>+(11+25/60+58/3600)</f>
        <v>11.432777777777778</v>
      </c>
      <c r="R2873" s="8">
        <v>11.9</v>
      </c>
      <c r="S2873" s="8">
        <v>12.9</v>
      </c>
      <c r="T2873" s="8">
        <v>1</v>
      </c>
      <c r="U2873" s="8">
        <v>13.3</v>
      </c>
      <c r="V2873" s="8">
        <v>2.1</v>
      </c>
      <c r="W2873" s="8">
        <v>1.8</v>
      </c>
      <c r="X2873" s="8">
        <v>171</v>
      </c>
      <c r="Y2873" s="8" t="s">
        <v>302</v>
      </c>
      <c r="Z2873" s="8" t="s">
        <v>303</v>
      </c>
    </row>
    <row r="2874" spans="1:26" x14ac:dyDescent="0.2">
      <c r="A2874" s="8">
        <v>2873</v>
      </c>
      <c r="B2874" s="8" t="s">
        <v>13240</v>
      </c>
      <c r="C2874" s="8" t="s">
        <v>13240</v>
      </c>
      <c r="F2874" s="47"/>
      <c r="G2874" s="8">
        <v>18</v>
      </c>
      <c r="H2874" s="8" t="s">
        <v>21</v>
      </c>
      <c r="I2874" s="8" t="s">
        <v>22</v>
      </c>
      <c r="J2874" s="8" t="s">
        <v>22</v>
      </c>
      <c r="K2874" s="8" t="s">
        <v>23</v>
      </c>
      <c r="L2874" s="8" t="s">
        <v>13194</v>
      </c>
      <c r="M2874" s="8" t="s">
        <v>13195</v>
      </c>
      <c r="N2874" s="8" t="s">
        <v>13241</v>
      </c>
      <c r="O2874" s="8">
        <f>9+25/60+48.5/3600</f>
        <v>9.4301388888888891</v>
      </c>
      <c r="P2874" s="8" t="s">
        <v>13242</v>
      </c>
      <c r="Q2874" s="8">
        <f>+(11+27/60+17/3600)</f>
        <v>11.454722222222221</v>
      </c>
      <c r="R2874" s="8">
        <v>15.4</v>
      </c>
      <c r="S2874" s="8">
        <v>16.2</v>
      </c>
      <c r="T2874" s="8">
        <v>0.8</v>
      </c>
      <c r="U2874" s="8">
        <v>13.1</v>
      </c>
      <c r="V2874" s="8">
        <v>0.7</v>
      </c>
      <c r="W2874" s="8">
        <v>0.2</v>
      </c>
      <c r="X2874" s="8">
        <v>117</v>
      </c>
      <c r="Y2874" s="8" t="s">
        <v>13243</v>
      </c>
      <c r="Z2874" s="8" t="s">
        <v>13244</v>
      </c>
    </row>
    <row r="2875" spans="1:26" x14ac:dyDescent="0.2">
      <c r="A2875" s="8">
        <v>2874</v>
      </c>
      <c r="B2875" s="8" t="s">
        <v>13245</v>
      </c>
      <c r="C2875" s="8" t="s">
        <v>13245</v>
      </c>
      <c r="F2875" s="47" t="s">
        <v>56664</v>
      </c>
      <c r="G2875" s="8">
        <v>15</v>
      </c>
      <c r="H2875" s="8" t="s">
        <v>21</v>
      </c>
      <c r="I2875" s="8" t="s">
        <v>22</v>
      </c>
      <c r="J2875" s="8" t="s">
        <v>22</v>
      </c>
      <c r="K2875" s="8" t="s">
        <v>85</v>
      </c>
      <c r="L2875" s="8" t="s">
        <v>13194</v>
      </c>
      <c r="M2875" s="8" t="s">
        <v>13195</v>
      </c>
      <c r="N2875" s="8" t="s">
        <v>13246</v>
      </c>
      <c r="O2875" s="8">
        <f>9+25/60+47.8/3600</f>
        <v>9.4299444444444447</v>
      </c>
      <c r="P2875" s="8" t="s">
        <v>13247</v>
      </c>
      <c r="Q2875" s="8">
        <f>+(11+25/60+33/3600)</f>
        <v>11.425833333333333</v>
      </c>
      <c r="R2875" s="8">
        <v>12.5</v>
      </c>
      <c r="S2875" s="8">
        <v>13.4</v>
      </c>
      <c r="T2875" s="8">
        <v>0.9</v>
      </c>
      <c r="U2875" s="8">
        <v>13</v>
      </c>
      <c r="V2875" s="8">
        <v>2.2000000000000002</v>
      </c>
      <c r="W2875" s="8">
        <v>0.7</v>
      </c>
      <c r="X2875" s="8">
        <v>43</v>
      </c>
      <c r="Y2875" s="8" t="s">
        <v>302</v>
      </c>
      <c r="Z2875" s="8" t="s">
        <v>13248</v>
      </c>
    </row>
    <row r="2876" spans="1:26" x14ac:dyDescent="0.2">
      <c r="A2876" s="8">
        <v>2875</v>
      </c>
      <c r="B2876" s="8" t="s">
        <v>13249</v>
      </c>
      <c r="C2876" s="8" t="s">
        <v>13249</v>
      </c>
      <c r="F2876" s="47"/>
      <c r="G2876" s="8">
        <v>18</v>
      </c>
      <c r="H2876" s="8" t="s">
        <v>21</v>
      </c>
      <c r="I2876" s="8" t="s">
        <v>1075</v>
      </c>
      <c r="J2876" s="8" t="s">
        <v>1075</v>
      </c>
      <c r="K2876" s="8" t="s">
        <v>1075</v>
      </c>
      <c r="L2876" s="8" t="s">
        <v>13194</v>
      </c>
      <c r="M2876" s="8" t="s">
        <v>13195</v>
      </c>
      <c r="N2876" s="8" t="s">
        <v>13250</v>
      </c>
      <c r="O2876" s="8">
        <f>9+25/60+48.7/3600</f>
        <v>9.4301944444444441</v>
      </c>
      <c r="P2876" s="8" t="s">
        <v>13251</v>
      </c>
      <c r="Q2876" s="8">
        <f>+(11+25/60+56/3600)</f>
        <v>11.432222222222222</v>
      </c>
      <c r="R2876" s="8">
        <v>99</v>
      </c>
      <c r="S2876" s="8">
        <v>99</v>
      </c>
      <c r="T2876" s="8">
        <v>99</v>
      </c>
      <c r="U2876" s="8">
        <v>99</v>
      </c>
      <c r="Y2876" s="8" t="s">
        <v>13252</v>
      </c>
      <c r="Z2876" s="8" t="s">
        <v>13253</v>
      </c>
    </row>
    <row r="2877" spans="1:26" x14ac:dyDescent="0.2">
      <c r="A2877" s="8">
        <v>2876</v>
      </c>
      <c r="B2877" s="8" t="s">
        <v>13254</v>
      </c>
      <c r="C2877" s="8" t="s">
        <v>13254</v>
      </c>
      <c r="F2877" s="47"/>
      <c r="G2877" s="8">
        <v>19</v>
      </c>
      <c r="H2877" s="8" t="s">
        <v>21</v>
      </c>
      <c r="I2877" s="8" t="s">
        <v>22</v>
      </c>
      <c r="J2877" s="8" t="s">
        <v>22</v>
      </c>
      <c r="K2877" s="8" t="s">
        <v>37</v>
      </c>
      <c r="L2877" s="8" t="s">
        <v>11765</v>
      </c>
      <c r="M2877" s="8" t="s">
        <v>11766</v>
      </c>
      <c r="N2877" s="8" t="s">
        <v>13255</v>
      </c>
      <c r="O2877" s="8">
        <f>9+25/60+13.8/3600</f>
        <v>9.4204999999999988</v>
      </c>
      <c r="P2877" s="8" t="s">
        <v>13256</v>
      </c>
      <c r="Q2877" s="8">
        <f>-(6+43/60+0/3600)</f>
        <v>-6.7166666666666668</v>
      </c>
      <c r="R2877" s="8">
        <v>13.1</v>
      </c>
      <c r="S2877" s="8">
        <v>14.1</v>
      </c>
      <c r="T2877" s="8">
        <v>1</v>
      </c>
      <c r="U2877" s="8">
        <v>13.7</v>
      </c>
      <c r="V2877" s="8">
        <v>1.7</v>
      </c>
      <c r="W2877" s="8">
        <v>1.1000000000000001</v>
      </c>
      <c r="X2877" s="8">
        <v>95</v>
      </c>
      <c r="Y2877" s="8" t="s">
        <v>13257</v>
      </c>
      <c r="Z2877" s="8" t="s">
        <v>13258</v>
      </c>
    </row>
    <row r="2878" spans="1:26" x14ac:dyDescent="0.2">
      <c r="A2878" s="8">
        <v>2877</v>
      </c>
      <c r="B2878" s="8" t="s">
        <v>13259</v>
      </c>
      <c r="C2878" s="8" t="s">
        <v>13259</v>
      </c>
      <c r="F2878" s="47"/>
      <c r="G2878" s="8">
        <v>18</v>
      </c>
      <c r="H2878" s="8" t="s">
        <v>21</v>
      </c>
      <c r="I2878" s="8" t="s">
        <v>22</v>
      </c>
      <c r="J2878" s="8" t="s">
        <v>22</v>
      </c>
      <c r="K2878" s="8" t="s">
        <v>1174</v>
      </c>
      <c r="L2878" s="8" t="s">
        <v>11765</v>
      </c>
      <c r="M2878" s="8" t="s">
        <v>11766</v>
      </c>
      <c r="N2878" s="8" t="s">
        <v>13260</v>
      </c>
      <c r="O2878" s="8">
        <f>9+25/60+47.1/3600</f>
        <v>9.4297499999999985</v>
      </c>
      <c r="P2878" s="8" t="s">
        <v>13261</v>
      </c>
      <c r="Q2878" s="8">
        <f>+(2+13/60+43/3600)</f>
        <v>2.2286111111111113</v>
      </c>
      <c r="R2878" s="8">
        <v>14.3</v>
      </c>
      <c r="S2878" s="8">
        <v>15.3</v>
      </c>
      <c r="T2878" s="8">
        <v>1</v>
      </c>
      <c r="U2878" s="8">
        <v>13</v>
      </c>
      <c r="V2878" s="8">
        <v>0.7</v>
      </c>
      <c r="W2878" s="8">
        <v>0.5</v>
      </c>
      <c r="X2878" s="8">
        <v>141</v>
      </c>
      <c r="Y2878" s="8" t="s">
        <v>6793</v>
      </c>
      <c r="Z2878" s="8" t="s">
        <v>6794</v>
      </c>
    </row>
    <row r="2879" spans="1:26" x14ac:dyDescent="0.2">
      <c r="A2879" s="8">
        <v>2878</v>
      </c>
      <c r="B2879" s="8" t="s">
        <v>13262</v>
      </c>
      <c r="C2879" s="8" t="s">
        <v>13262</v>
      </c>
      <c r="F2879" s="47"/>
      <c r="G2879" s="8">
        <v>18</v>
      </c>
      <c r="H2879" s="8" t="s">
        <v>21</v>
      </c>
      <c r="I2879" s="8" t="s">
        <v>22</v>
      </c>
      <c r="J2879" s="8" t="s">
        <v>22</v>
      </c>
      <c r="K2879" s="8" t="s">
        <v>91</v>
      </c>
      <c r="L2879" s="8" t="s">
        <v>11765</v>
      </c>
      <c r="M2879" s="8" t="s">
        <v>11766</v>
      </c>
      <c r="N2879" s="8" t="s">
        <v>13263</v>
      </c>
      <c r="O2879" s="8">
        <f>9+25/60+47.4/3600</f>
        <v>9.4298333333333328</v>
      </c>
      <c r="P2879" s="8" t="s">
        <v>13264</v>
      </c>
      <c r="Q2879" s="8">
        <f>+(2+5/60+24/3600)</f>
        <v>2.0900000000000003</v>
      </c>
      <c r="R2879" s="8">
        <v>14</v>
      </c>
      <c r="S2879" s="8">
        <v>14.7</v>
      </c>
      <c r="T2879" s="8">
        <v>0.7</v>
      </c>
      <c r="U2879" s="8">
        <v>12.7</v>
      </c>
      <c r="V2879" s="8">
        <v>0.8</v>
      </c>
      <c r="W2879" s="8">
        <v>0.3</v>
      </c>
      <c r="X2879" s="8">
        <v>174</v>
      </c>
      <c r="Y2879" s="8" t="s">
        <v>6793</v>
      </c>
      <c r="Z2879" s="8" t="s">
        <v>6794</v>
      </c>
    </row>
    <row r="2880" spans="1:26" x14ac:dyDescent="0.2">
      <c r="A2880" s="8">
        <v>2879</v>
      </c>
      <c r="B2880" s="8" t="s">
        <v>13265</v>
      </c>
      <c r="C2880" s="8" t="s">
        <v>13265</v>
      </c>
      <c r="F2880" s="47"/>
      <c r="G2880" s="8">
        <v>18</v>
      </c>
      <c r="H2880" s="8" t="s">
        <v>21</v>
      </c>
      <c r="I2880" s="8" t="s">
        <v>72</v>
      </c>
      <c r="J2880" s="8" t="s">
        <v>72</v>
      </c>
      <c r="K2880" s="8" t="s">
        <v>5802</v>
      </c>
      <c r="L2880" s="8" t="s">
        <v>11765</v>
      </c>
      <c r="M2880" s="8" t="s">
        <v>11766</v>
      </c>
      <c r="N2880" s="8" t="s">
        <v>13266</v>
      </c>
      <c r="O2880" s="8">
        <f>9+25/60+22.6/3600</f>
        <v>9.4229444444444432</v>
      </c>
      <c r="P2880" s="8" t="s">
        <v>13267</v>
      </c>
      <c r="Q2880" s="8">
        <f>-(11+39/60+8/3600)</f>
        <v>-11.652222222222223</v>
      </c>
      <c r="R2880" s="8">
        <v>99</v>
      </c>
      <c r="S2880" s="8">
        <v>99</v>
      </c>
      <c r="T2880" s="8">
        <v>99</v>
      </c>
      <c r="U2880" s="8">
        <v>99</v>
      </c>
      <c r="Y2880" s="8" t="s">
        <v>3357</v>
      </c>
      <c r="Z2880" s="8" t="s">
        <v>3358</v>
      </c>
    </row>
    <row r="2881" spans="1:26" x14ac:dyDescent="0.2">
      <c r="A2881" s="8">
        <v>2880</v>
      </c>
      <c r="B2881" s="8" t="s">
        <v>13268</v>
      </c>
      <c r="C2881" s="8" t="s">
        <v>13268</v>
      </c>
      <c r="F2881" s="47" t="s">
        <v>56665</v>
      </c>
      <c r="G2881" s="8">
        <v>6.5</v>
      </c>
      <c r="H2881" s="8" t="s">
        <v>21</v>
      </c>
      <c r="I2881" s="8" t="s">
        <v>22</v>
      </c>
      <c r="J2881" s="8" t="s">
        <v>22</v>
      </c>
      <c r="K2881" s="8" t="s">
        <v>118</v>
      </c>
      <c r="L2881" s="8" t="s">
        <v>12015</v>
      </c>
      <c r="M2881" s="8" t="s">
        <v>12016</v>
      </c>
      <c r="N2881" s="8" t="s">
        <v>13269</v>
      </c>
      <c r="O2881" s="8">
        <f>9+29/60+34.6/3600</f>
        <v>9.4929444444444435</v>
      </c>
      <c r="P2881" s="8" t="s">
        <v>13270</v>
      </c>
      <c r="Q2881" s="8">
        <f>+(62+29/60+28/3600)</f>
        <v>62.49111111111111</v>
      </c>
      <c r="R2881" s="8">
        <v>11.5</v>
      </c>
      <c r="S2881" s="8">
        <v>12.5</v>
      </c>
      <c r="T2881" s="8">
        <v>1</v>
      </c>
      <c r="U2881" s="8">
        <v>12.4</v>
      </c>
      <c r="V2881" s="8">
        <v>2</v>
      </c>
      <c r="W2881" s="8">
        <v>1.2</v>
      </c>
      <c r="X2881" s="8">
        <v>140</v>
      </c>
      <c r="Y2881" s="8" t="s">
        <v>13271</v>
      </c>
      <c r="Z2881" s="8" t="s">
        <v>13272</v>
      </c>
    </row>
    <row r="2882" spans="1:26" x14ac:dyDescent="0.2">
      <c r="A2882" s="8">
        <v>2881</v>
      </c>
      <c r="B2882" s="8" t="s">
        <v>13273</v>
      </c>
      <c r="C2882" s="8" t="s">
        <v>13273</v>
      </c>
      <c r="E2882" s="8">
        <v>1</v>
      </c>
      <c r="F2882" s="47"/>
      <c r="G2882" s="8">
        <v>19</v>
      </c>
      <c r="H2882" s="8" t="s">
        <v>21</v>
      </c>
      <c r="I2882" s="8" t="s">
        <v>22</v>
      </c>
      <c r="J2882" s="8" t="s">
        <v>22</v>
      </c>
      <c r="K2882" s="8" t="s">
        <v>449</v>
      </c>
      <c r="L2882" s="8" t="s">
        <v>11765</v>
      </c>
      <c r="M2882" s="8" t="s">
        <v>11766</v>
      </c>
      <c r="N2882" s="8" t="s">
        <v>13274</v>
      </c>
      <c r="O2882" s="8">
        <f>9+25/60+54.7/3600</f>
        <v>9.431861111111111</v>
      </c>
      <c r="P2882" s="8" t="s">
        <v>13275</v>
      </c>
      <c r="Q2882" s="8">
        <f>-(11+59/60+44/3600)</f>
        <v>-11.995555555555555</v>
      </c>
      <c r="R2882" s="8">
        <v>13.2</v>
      </c>
      <c r="S2882" s="8">
        <v>14</v>
      </c>
      <c r="T2882" s="8">
        <v>0.8</v>
      </c>
      <c r="U2882" s="8">
        <v>12.9</v>
      </c>
      <c r="V2882" s="8">
        <v>1.1000000000000001</v>
      </c>
      <c r="W2882" s="8">
        <v>0.9</v>
      </c>
      <c r="X2882" s="8">
        <v>135</v>
      </c>
      <c r="Y2882" s="8" t="s">
        <v>13276</v>
      </c>
      <c r="Z2882" s="8" t="s">
        <v>13277</v>
      </c>
    </row>
    <row r="2883" spans="1:26" x14ac:dyDescent="0.2">
      <c r="A2883" s="8">
        <v>2882</v>
      </c>
      <c r="B2883" s="8" t="s">
        <v>13278</v>
      </c>
      <c r="C2883" s="8" t="s">
        <v>13278</v>
      </c>
      <c r="F2883" s="47"/>
      <c r="G2883" s="8">
        <v>18</v>
      </c>
      <c r="H2883" s="8" t="s">
        <v>21</v>
      </c>
      <c r="I2883" s="8" t="s">
        <v>22</v>
      </c>
      <c r="J2883" s="8" t="s">
        <v>22</v>
      </c>
      <c r="K2883" s="8" t="s">
        <v>476</v>
      </c>
      <c r="L2883" s="8" t="s">
        <v>13194</v>
      </c>
      <c r="M2883" s="8" t="s">
        <v>13195</v>
      </c>
      <c r="N2883" s="8" t="s">
        <v>13279</v>
      </c>
      <c r="O2883" s="8">
        <f>9+26/60+35.9/3600</f>
        <v>9.4433055555555558</v>
      </c>
      <c r="P2883" s="8" t="s">
        <v>13280</v>
      </c>
      <c r="Q2883" s="8">
        <f>+(7+57/60+15/3600)</f>
        <v>7.9541666666666666</v>
      </c>
      <c r="R2883" s="8">
        <v>12.6</v>
      </c>
      <c r="S2883" s="8">
        <v>13.5</v>
      </c>
      <c r="T2883" s="8">
        <v>0.9</v>
      </c>
      <c r="U2883" s="8">
        <v>12.6</v>
      </c>
      <c r="V2883" s="8">
        <v>1.5</v>
      </c>
      <c r="W2883" s="8">
        <v>0.8</v>
      </c>
      <c r="X2883" s="8">
        <v>80</v>
      </c>
      <c r="Y2883" s="8" t="s">
        <v>13281</v>
      </c>
      <c r="Z2883" s="8" t="s">
        <v>13282</v>
      </c>
    </row>
    <row r="2884" spans="1:26" x14ac:dyDescent="0.2">
      <c r="A2884" s="8">
        <v>2883</v>
      </c>
      <c r="B2884" s="8" t="s">
        <v>13283</v>
      </c>
      <c r="C2884" s="8" t="s">
        <v>13283</v>
      </c>
      <c r="F2884" s="47"/>
      <c r="G2884" s="8">
        <v>16</v>
      </c>
      <c r="H2884" s="8" t="s">
        <v>21</v>
      </c>
      <c r="I2884" s="8" t="s">
        <v>22</v>
      </c>
      <c r="J2884" s="8" t="s">
        <v>22</v>
      </c>
      <c r="K2884" s="8" t="s">
        <v>107</v>
      </c>
      <c r="L2884" s="8" t="s">
        <v>12074</v>
      </c>
      <c r="M2884" s="8" t="s">
        <v>12075</v>
      </c>
      <c r="N2884" s="8" t="s">
        <v>13284</v>
      </c>
      <c r="O2884" s="8">
        <f>9+25/60+18.4/3600</f>
        <v>9.4217777777777769</v>
      </c>
      <c r="P2884" s="8" t="s">
        <v>13285</v>
      </c>
      <c r="Q2884" s="8">
        <f>-(34+6/60+8/3600)</f>
        <v>-34.102222222222224</v>
      </c>
      <c r="R2884" s="8">
        <v>14.4</v>
      </c>
      <c r="S2884" s="8">
        <v>15</v>
      </c>
      <c r="T2884" s="8">
        <v>0.6</v>
      </c>
      <c r="U2884" s="8">
        <v>14.9</v>
      </c>
      <c r="V2884" s="8">
        <v>2.2000000000000002</v>
      </c>
      <c r="W2884" s="8">
        <v>0.8</v>
      </c>
      <c r="X2884" s="8">
        <v>176</v>
      </c>
      <c r="Y2884" s="8" t="s">
        <v>13286</v>
      </c>
      <c r="Z2884" s="8" t="s">
        <v>13287</v>
      </c>
    </row>
    <row r="2885" spans="1:26" x14ac:dyDescent="0.2">
      <c r="A2885" s="8">
        <v>2884</v>
      </c>
      <c r="B2885" s="8" t="s">
        <v>13288</v>
      </c>
      <c r="C2885" s="8" t="s">
        <v>13288</v>
      </c>
      <c r="F2885" s="47"/>
      <c r="G2885" s="8">
        <v>18</v>
      </c>
      <c r="H2885" s="8" t="s">
        <v>21</v>
      </c>
      <c r="I2885" s="8" t="s">
        <v>22</v>
      </c>
      <c r="J2885" s="8" t="s">
        <v>22</v>
      </c>
      <c r="K2885" s="8" t="s">
        <v>632</v>
      </c>
      <c r="L2885" s="8" t="s">
        <v>11765</v>
      </c>
      <c r="M2885" s="8" t="s">
        <v>11766</v>
      </c>
      <c r="N2885" s="8" t="s">
        <v>13289</v>
      </c>
      <c r="O2885" s="8">
        <f>9+26/60+24.5/3600</f>
        <v>9.4401388888888889</v>
      </c>
      <c r="P2885" s="8" t="s">
        <v>13290</v>
      </c>
      <c r="Q2885" s="8">
        <f>-(11+33/60+20/3600)</f>
        <v>-11.555555555555557</v>
      </c>
      <c r="R2885" s="8">
        <v>12.6</v>
      </c>
      <c r="S2885" s="8">
        <v>13.5</v>
      </c>
      <c r="T2885" s="8">
        <v>0.9</v>
      </c>
      <c r="U2885" s="8">
        <v>13.3</v>
      </c>
      <c r="V2885" s="8">
        <v>2.1</v>
      </c>
      <c r="W2885" s="8">
        <v>1</v>
      </c>
      <c r="X2885" s="8">
        <v>174</v>
      </c>
      <c r="Y2885" s="8" t="s">
        <v>13291</v>
      </c>
      <c r="Z2885" s="8" t="s">
        <v>13292</v>
      </c>
    </row>
    <row r="2886" spans="1:26" x14ac:dyDescent="0.2">
      <c r="A2886" s="8">
        <v>2885</v>
      </c>
      <c r="B2886" s="8" t="s">
        <v>13293</v>
      </c>
      <c r="C2886" s="8" t="s">
        <v>13293</v>
      </c>
      <c r="F2886" s="47"/>
      <c r="G2886" s="8">
        <v>16</v>
      </c>
      <c r="H2886" s="8" t="s">
        <v>21</v>
      </c>
      <c r="I2886" s="8" t="s">
        <v>22</v>
      </c>
      <c r="J2886" s="8" t="s">
        <v>22</v>
      </c>
      <c r="K2886" s="8" t="s">
        <v>632</v>
      </c>
      <c r="L2886" s="8" t="s">
        <v>13194</v>
      </c>
      <c r="M2886" s="8" t="s">
        <v>13195</v>
      </c>
      <c r="N2886" s="8" t="s">
        <v>13294</v>
      </c>
      <c r="O2886" s="8">
        <f>9+27/60+18.4/3600</f>
        <v>9.4551111111111101</v>
      </c>
      <c r="P2886" s="8" t="s">
        <v>13295</v>
      </c>
      <c r="Q2886" s="8">
        <f>+(23+1/60+12/3600)</f>
        <v>23.02</v>
      </c>
      <c r="R2886" s="8">
        <v>13.9</v>
      </c>
      <c r="S2886" s="8">
        <v>14.8</v>
      </c>
      <c r="T2886" s="8">
        <v>0.9</v>
      </c>
      <c r="U2886" s="8">
        <v>12.4</v>
      </c>
      <c r="V2886" s="8">
        <v>0.7</v>
      </c>
      <c r="W2886" s="8">
        <v>0.4</v>
      </c>
      <c r="X2886" s="8">
        <v>70</v>
      </c>
      <c r="Y2886" s="8" t="s">
        <v>13296</v>
      </c>
      <c r="Z2886" s="8" t="s">
        <v>13297</v>
      </c>
    </row>
    <row r="2887" spans="1:26" x14ac:dyDescent="0.2">
      <c r="A2887" s="8">
        <v>2886</v>
      </c>
      <c r="B2887" s="8" t="s">
        <v>13298</v>
      </c>
      <c r="C2887" s="8" t="s">
        <v>13298</v>
      </c>
      <c r="F2887" s="47"/>
      <c r="G2887" s="8">
        <v>16</v>
      </c>
      <c r="H2887" s="8" t="s">
        <v>21</v>
      </c>
      <c r="I2887" s="8" t="s">
        <v>72</v>
      </c>
      <c r="J2887" s="8" t="s">
        <v>72</v>
      </c>
      <c r="K2887" s="8" t="s">
        <v>5802</v>
      </c>
      <c r="L2887" s="8" t="s">
        <v>11765</v>
      </c>
      <c r="M2887" s="8" t="s">
        <v>11766</v>
      </c>
      <c r="N2887" s="8" t="s">
        <v>13299</v>
      </c>
      <c r="O2887" s="8">
        <f>9+26/60+38.7/3600</f>
        <v>9.4440833333333334</v>
      </c>
      <c r="P2887" s="8" t="s">
        <v>13300</v>
      </c>
      <c r="Q2887" s="8">
        <f>-(21+44/60+18/3600)</f>
        <v>-21.738333333333333</v>
      </c>
      <c r="R2887" s="8">
        <v>99</v>
      </c>
      <c r="S2887" s="8">
        <v>99</v>
      </c>
      <c r="T2887" s="8">
        <v>99</v>
      </c>
      <c r="U2887" s="8">
        <v>99</v>
      </c>
      <c r="Y2887" s="8" t="s">
        <v>13301</v>
      </c>
      <c r="Z2887" s="8" t="s">
        <v>13302</v>
      </c>
    </row>
    <row r="2888" spans="1:26" x14ac:dyDescent="0.2">
      <c r="A2888" s="8">
        <v>2887</v>
      </c>
      <c r="B2888" s="8" t="s">
        <v>13303</v>
      </c>
      <c r="C2888" s="8" t="s">
        <v>13303</v>
      </c>
      <c r="F2888" s="47"/>
      <c r="G2888" s="8">
        <v>16</v>
      </c>
      <c r="H2888" s="8" t="s">
        <v>21</v>
      </c>
      <c r="I2888" s="8" t="s">
        <v>22</v>
      </c>
      <c r="J2888" s="8" t="s">
        <v>22</v>
      </c>
      <c r="K2888" s="8" t="s">
        <v>58</v>
      </c>
      <c r="L2888" s="8" t="s">
        <v>10135</v>
      </c>
      <c r="M2888" s="8" t="s">
        <v>10136</v>
      </c>
      <c r="N2888" s="8" t="s">
        <v>13304</v>
      </c>
      <c r="O2888" s="8">
        <f>9+23/60+24.3/3600</f>
        <v>9.3900833333333331</v>
      </c>
      <c r="P2888" s="8" t="s">
        <v>13305</v>
      </c>
      <c r="Q2888" s="8">
        <f>-(63+48/60+44/3600)</f>
        <v>-63.812222222222218</v>
      </c>
      <c r="R2888" s="8">
        <v>11.7</v>
      </c>
      <c r="S2888" s="8">
        <v>12.8</v>
      </c>
      <c r="T2888" s="8">
        <v>1.1000000000000001</v>
      </c>
      <c r="U2888" s="8">
        <v>12.8</v>
      </c>
      <c r="V2888" s="8">
        <v>2.1</v>
      </c>
      <c r="W2888" s="8">
        <v>1.6</v>
      </c>
      <c r="X2888" s="8">
        <v>78</v>
      </c>
      <c r="Y2888" s="8" t="s">
        <v>13306</v>
      </c>
      <c r="Z2888" s="8" t="s">
        <v>13307</v>
      </c>
    </row>
    <row r="2889" spans="1:26" x14ac:dyDescent="0.2">
      <c r="A2889" s="8">
        <v>2888</v>
      </c>
      <c r="B2889" s="8" t="s">
        <v>13308</v>
      </c>
      <c r="C2889" s="8" t="s">
        <v>13308</v>
      </c>
      <c r="F2889" s="47"/>
      <c r="G2889" s="8">
        <v>13</v>
      </c>
      <c r="H2889" s="8" t="s">
        <v>21</v>
      </c>
      <c r="I2889" s="8" t="s">
        <v>22</v>
      </c>
      <c r="J2889" s="8" t="s">
        <v>22</v>
      </c>
      <c r="K2889" s="8" t="s">
        <v>382</v>
      </c>
      <c r="L2889" s="8" t="s">
        <v>12074</v>
      </c>
      <c r="M2889" s="8" t="s">
        <v>12075</v>
      </c>
      <c r="N2889" s="8" t="s">
        <v>13309</v>
      </c>
      <c r="O2889" s="8">
        <f>9+26/60+19.6/3600</f>
        <v>9.4387777777777782</v>
      </c>
      <c r="P2889" s="8" t="s">
        <v>13310</v>
      </c>
      <c r="Q2889" s="8">
        <f>-(28+2/60+10/3600)</f>
        <v>-28.036111111111111</v>
      </c>
      <c r="R2889" s="8">
        <v>12.6</v>
      </c>
      <c r="S2889" s="8">
        <v>13.6</v>
      </c>
      <c r="T2889" s="8">
        <v>1</v>
      </c>
      <c r="U2889" s="8">
        <v>13</v>
      </c>
      <c r="V2889" s="8">
        <v>1.5</v>
      </c>
      <c r="W2889" s="8">
        <v>1.1000000000000001</v>
      </c>
      <c r="X2889" s="8">
        <v>158</v>
      </c>
      <c r="Y2889" s="8" t="s">
        <v>13311</v>
      </c>
      <c r="Z2889" s="8" t="s">
        <v>13312</v>
      </c>
    </row>
    <row r="2890" spans="1:26" x14ac:dyDescent="0.2">
      <c r="A2890" s="8">
        <v>2889</v>
      </c>
      <c r="B2890" s="8" t="s">
        <v>13313</v>
      </c>
      <c r="C2890" s="8" t="s">
        <v>13313</v>
      </c>
      <c r="F2890" s="47" t="s">
        <v>56666</v>
      </c>
      <c r="G2890" s="8">
        <v>6.5</v>
      </c>
      <c r="H2890" s="8" t="s">
        <v>21</v>
      </c>
      <c r="I2890" s="8" t="s">
        <v>22</v>
      </c>
      <c r="J2890" s="8" t="s">
        <v>22</v>
      </c>
      <c r="K2890" s="8" t="s">
        <v>64</v>
      </c>
      <c r="L2890" s="8" t="s">
        <v>11765</v>
      </c>
      <c r="M2890" s="8" t="s">
        <v>11766</v>
      </c>
      <c r="N2890" s="8" t="s">
        <v>13314</v>
      </c>
      <c r="O2890" s="8">
        <f>9+27/60+12.5/3600</f>
        <v>9.4534722222222207</v>
      </c>
      <c r="P2890" s="8" t="s">
        <v>13315</v>
      </c>
      <c r="Q2890" s="8">
        <f>-(11+38/60+36/3600)</f>
        <v>-11.643333333333333</v>
      </c>
      <c r="R2890" s="8">
        <v>11.7</v>
      </c>
      <c r="S2890" s="8">
        <v>12.4</v>
      </c>
      <c r="T2890" s="8">
        <v>0.7</v>
      </c>
      <c r="U2890" s="8">
        <v>13.1</v>
      </c>
      <c r="V2890" s="8">
        <v>2.2999999999999998</v>
      </c>
      <c r="W2890" s="8">
        <v>1.9</v>
      </c>
      <c r="X2890" s="8">
        <v>6</v>
      </c>
      <c r="Y2890" s="8" t="s">
        <v>13316</v>
      </c>
      <c r="Z2890" s="8" t="s">
        <v>13317</v>
      </c>
    </row>
    <row r="2891" spans="1:26" x14ac:dyDescent="0.2">
      <c r="A2891" s="8">
        <v>2890</v>
      </c>
      <c r="B2891" s="8" t="s">
        <v>13318</v>
      </c>
      <c r="C2891" s="8" t="s">
        <v>13318</v>
      </c>
      <c r="F2891" s="47"/>
      <c r="G2891" s="8">
        <v>19</v>
      </c>
      <c r="H2891" s="8" t="s">
        <v>21</v>
      </c>
      <c r="I2891" s="8" t="s">
        <v>22</v>
      </c>
      <c r="J2891" s="8" t="s">
        <v>22</v>
      </c>
      <c r="K2891" s="8" t="s">
        <v>58</v>
      </c>
      <c r="L2891" s="8" t="s">
        <v>11765</v>
      </c>
      <c r="M2891" s="8" t="s">
        <v>11766</v>
      </c>
      <c r="N2891" s="8" t="s">
        <v>13319</v>
      </c>
      <c r="O2891" s="8">
        <f>9+26/60+29.8/3600</f>
        <v>9.4416111111111114</v>
      </c>
      <c r="P2891" s="8" t="s">
        <v>5351</v>
      </c>
      <c r="Q2891" s="8">
        <f>-(14+31/60+44/3600)</f>
        <v>-14.52888888888889</v>
      </c>
      <c r="R2891" s="8">
        <v>14.5</v>
      </c>
      <c r="S2891" s="8">
        <v>15.5</v>
      </c>
      <c r="T2891" s="8">
        <v>1</v>
      </c>
      <c r="U2891" s="8">
        <v>13.6</v>
      </c>
      <c r="V2891" s="8">
        <v>0.8</v>
      </c>
      <c r="W2891" s="8">
        <v>0.5</v>
      </c>
      <c r="X2891" s="8">
        <v>67</v>
      </c>
      <c r="Y2891" s="8" t="s">
        <v>1207</v>
      </c>
      <c r="Z2891" s="8" t="s">
        <v>1208</v>
      </c>
    </row>
    <row r="2892" spans="1:26" x14ac:dyDescent="0.2">
      <c r="A2892" s="8">
        <v>2891</v>
      </c>
      <c r="B2892" s="8" t="s">
        <v>13320</v>
      </c>
      <c r="C2892" s="8" t="s">
        <v>13320</v>
      </c>
      <c r="F2892" s="47"/>
      <c r="G2892" s="8">
        <v>16</v>
      </c>
      <c r="H2892" s="8" t="s">
        <v>21</v>
      </c>
      <c r="I2892" s="8" t="s">
        <v>22</v>
      </c>
      <c r="J2892" s="8" t="s">
        <v>22</v>
      </c>
      <c r="K2892" s="8" t="s">
        <v>58</v>
      </c>
      <c r="L2892" s="8" t="s">
        <v>12074</v>
      </c>
      <c r="M2892" s="8" t="s">
        <v>12075</v>
      </c>
      <c r="N2892" s="8" t="s">
        <v>13321</v>
      </c>
      <c r="O2892" s="8">
        <f>9+26/60+56.6/3600</f>
        <v>9.4490555555555567</v>
      </c>
      <c r="P2892" s="8" t="s">
        <v>13322</v>
      </c>
      <c r="Q2892" s="8">
        <f>-(24+46/60+58/3600)</f>
        <v>-24.782777777777778</v>
      </c>
      <c r="R2892" s="8">
        <v>12.6</v>
      </c>
      <c r="S2892" s="8">
        <v>13.5</v>
      </c>
      <c r="T2892" s="8">
        <v>0.9</v>
      </c>
      <c r="U2892" s="8">
        <v>13.3</v>
      </c>
      <c r="V2892" s="8">
        <v>1.5</v>
      </c>
      <c r="W2892" s="8">
        <v>1.4</v>
      </c>
      <c r="X2892" s="8">
        <v>145</v>
      </c>
      <c r="Y2892" s="8" t="s">
        <v>2641</v>
      </c>
      <c r="Z2892" s="8" t="s">
        <v>2642</v>
      </c>
    </row>
    <row r="2893" spans="1:26" x14ac:dyDescent="0.2">
      <c r="A2893" s="8">
        <v>2892</v>
      </c>
      <c r="B2893" s="8" t="s">
        <v>13323</v>
      </c>
      <c r="C2893" s="8" t="s">
        <v>13323</v>
      </c>
      <c r="F2893" s="47"/>
      <c r="G2893" s="8">
        <v>19</v>
      </c>
      <c r="H2893" s="8" t="s">
        <v>21</v>
      </c>
      <c r="I2893" s="8" t="s">
        <v>22</v>
      </c>
      <c r="J2893" s="8" t="s">
        <v>22</v>
      </c>
      <c r="K2893" s="8" t="s">
        <v>460</v>
      </c>
      <c r="L2893" s="8" t="s">
        <v>12015</v>
      </c>
      <c r="M2893" s="8" t="s">
        <v>12016</v>
      </c>
      <c r="N2893" s="8" t="s">
        <v>13324</v>
      </c>
      <c r="O2893" s="8">
        <f>9+32/60+52.8/3600</f>
        <v>9.548</v>
      </c>
      <c r="P2893" s="8" t="s">
        <v>13325</v>
      </c>
      <c r="Q2893" s="8">
        <f>+(67+37/60+3/3600)</f>
        <v>67.617499999999993</v>
      </c>
      <c r="R2893" s="8">
        <v>13.1</v>
      </c>
      <c r="S2893" s="8">
        <v>14.1</v>
      </c>
      <c r="T2893" s="8">
        <v>1</v>
      </c>
      <c r="U2893" s="8">
        <v>13.9</v>
      </c>
      <c r="V2893" s="8">
        <v>1.4</v>
      </c>
      <c r="W2893" s="8">
        <v>1.4</v>
      </c>
      <c r="Y2893" s="8" t="s">
        <v>13326</v>
      </c>
      <c r="Z2893" s="8" t="s">
        <v>4130</v>
      </c>
    </row>
    <row r="2894" spans="1:26" x14ac:dyDescent="0.2">
      <c r="A2894" s="8">
        <v>2893</v>
      </c>
      <c r="B2894" s="8" t="s">
        <v>13327</v>
      </c>
      <c r="C2894" s="8" t="s">
        <v>13327</v>
      </c>
      <c r="F2894" s="47" t="s">
        <v>56667</v>
      </c>
      <c r="G2894" s="8">
        <v>15</v>
      </c>
      <c r="H2894" s="8" t="s">
        <v>21</v>
      </c>
      <c r="I2894" s="8" t="s">
        <v>22</v>
      </c>
      <c r="J2894" s="8" t="s">
        <v>22</v>
      </c>
      <c r="K2894" s="8" t="s">
        <v>435</v>
      </c>
      <c r="L2894" s="8" t="s">
        <v>13194</v>
      </c>
      <c r="M2894" s="8" t="s">
        <v>13195</v>
      </c>
      <c r="N2894" s="8" t="s">
        <v>13328</v>
      </c>
      <c r="O2894" s="8">
        <f>9+30/60+16.9/3600</f>
        <v>9.5046944444444446</v>
      </c>
      <c r="P2894" s="8" t="s">
        <v>13329</v>
      </c>
      <c r="Q2894" s="8">
        <f>+(29+32/60+25/3600)</f>
        <v>29.540277777777778</v>
      </c>
      <c r="R2894" s="8">
        <v>13.2</v>
      </c>
      <c r="S2894" s="8">
        <v>13.9</v>
      </c>
      <c r="T2894" s="8">
        <v>0.7</v>
      </c>
      <c r="U2894" s="8">
        <v>13.2</v>
      </c>
      <c r="V2894" s="8">
        <v>1.1000000000000001</v>
      </c>
      <c r="W2894" s="8">
        <v>1</v>
      </c>
      <c r="X2894" s="8">
        <v>79</v>
      </c>
      <c r="Y2894" s="8" t="s">
        <v>13330</v>
      </c>
      <c r="Z2894" s="8" t="s">
        <v>13331</v>
      </c>
    </row>
    <row r="2895" spans="1:26" x14ac:dyDescent="0.2">
      <c r="A2895" s="8">
        <v>2894</v>
      </c>
      <c r="B2895" s="8" t="s">
        <v>13332</v>
      </c>
      <c r="C2895" s="8" t="s">
        <v>13332</v>
      </c>
      <c r="F2895" s="47" t="s">
        <v>56668</v>
      </c>
      <c r="G2895" s="8">
        <v>15</v>
      </c>
      <c r="H2895" s="8" t="s">
        <v>21</v>
      </c>
      <c r="I2895" s="8" t="s">
        <v>22</v>
      </c>
      <c r="J2895" s="8" t="s">
        <v>22</v>
      </c>
      <c r="K2895" s="8" t="s">
        <v>91</v>
      </c>
      <c r="L2895" s="8" t="s">
        <v>13194</v>
      </c>
      <c r="M2895" s="8" t="s">
        <v>13195</v>
      </c>
      <c r="N2895" s="8" t="s">
        <v>13333</v>
      </c>
      <c r="O2895" s="8">
        <f>9+29/60+30.2/3600</f>
        <v>9.4917222222222222</v>
      </c>
      <c r="P2895" s="8" t="s">
        <v>13334</v>
      </c>
      <c r="Q2895" s="8">
        <f>+(7+43/60+6/3600)</f>
        <v>7.7183333333333337</v>
      </c>
      <c r="R2895" s="8">
        <v>12.4</v>
      </c>
      <c r="S2895" s="8">
        <v>13.3</v>
      </c>
      <c r="T2895" s="8">
        <v>0.9</v>
      </c>
      <c r="U2895" s="8">
        <v>12.9</v>
      </c>
      <c r="V2895" s="8">
        <v>1.9</v>
      </c>
      <c r="W2895" s="8">
        <v>1</v>
      </c>
      <c r="X2895" s="8">
        <v>27</v>
      </c>
      <c r="Y2895" s="8" t="s">
        <v>13335</v>
      </c>
      <c r="Z2895" s="8" t="s">
        <v>13336</v>
      </c>
    </row>
    <row r="2896" spans="1:26" x14ac:dyDescent="0.2">
      <c r="A2896" s="8">
        <v>2895</v>
      </c>
      <c r="B2896" s="8" t="s">
        <v>13337</v>
      </c>
      <c r="C2896" s="8" t="s">
        <v>13337</v>
      </c>
      <c r="F2896" s="47"/>
      <c r="G2896" s="8">
        <v>16</v>
      </c>
      <c r="H2896" s="8" t="s">
        <v>21</v>
      </c>
      <c r="I2896" s="8" t="s">
        <v>22</v>
      </c>
      <c r="J2896" s="8" t="s">
        <v>22</v>
      </c>
      <c r="K2896" s="8" t="s">
        <v>64</v>
      </c>
      <c r="L2896" s="8" t="s">
        <v>12015</v>
      </c>
      <c r="M2896" s="8" t="s">
        <v>12016</v>
      </c>
      <c r="N2896" s="8" t="s">
        <v>13338</v>
      </c>
      <c r="O2896" s="8">
        <f>9+32/60+24.8/3600</f>
        <v>9.5402222222222228</v>
      </c>
      <c r="P2896" s="8" t="s">
        <v>13339</v>
      </c>
      <c r="Q2896" s="8">
        <f>+(57+28/60+59/3600)</f>
        <v>57.483055555555559</v>
      </c>
      <c r="R2896" s="8">
        <v>13.8</v>
      </c>
      <c r="S2896" s="8">
        <v>14.5</v>
      </c>
      <c r="T2896" s="8">
        <v>0.7</v>
      </c>
      <c r="U2896" s="8">
        <v>13.3</v>
      </c>
      <c r="V2896" s="8">
        <v>0.8</v>
      </c>
      <c r="W2896" s="8">
        <v>0.7</v>
      </c>
      <c r="X2896" s="8">
        <v>57</v>
      </c>
      <c r="Y2896" s="8" t="s">
        <v>13340</v>
      </c>
      <c r="Z2896" s="8" t="s">
        <v>13341</v>
      </c>
    </row>
    <row r="2897" spans="1:26" x14ac:dyDescent="0.2">
      <c r="A2897" s="8">
        <v>2896</v>
      </c>
      <c r="B2897" s="8" t="s">
        <v>13342</v>
      </c>
      <c r="C2897" s="8" t="s">
        <v>13342</v>
      </c>
      <c r="F2897" s="47"/>
      <c r="G2897" s="8">
        <v>18</v>
      </c>
      <c r="H2897" s="8" t="s">
        <v>21</v>
      </c>
      <c r="I2897" s="8" t="s">
        <v>22</v>
      </c>
      <c r="J2897" s="8" t="s">
        <v>22</v>
      </c>
      <c r="K2897" s="8" t="s">
        <v>449</v>
      </c>
      <c r="L2897" s="8" t="s">
        <v>13194</v>
      </c>
      <c r="M2897" s="8" t="s">
        <v>13195</v>
      </c>
      <c r="N2897" s="8" t="s">
        <v>13328</v>
      </c>
      <c r="O2897" s="8">
        <f>9+30/60+16.9/3600</f>
        <v>9.5046944444444446</v>
      </c>
      <c r="P2897" s="8" t="s">
        <v>13343</v>
      </c>
      <c r="Q2897" s="8">
        <f>+(23+39/60+49/3600)</f>
        <v>23.663611111111109</v>
      </c>
      <c r="R2897" s="8">
        <v>14</v>
      </c>
      <c r="S2897" s="8">
        <v>14.8</v>
      </c>
      <c r="T2897" s="8">
        <v>0.8</v>
      </c>
      <c r="U2897" s="8">
        <v>13.6</v>
      </c>
      <c r="V2897" s="8">
        <v>0.9</v>
      </c>
      <c r="W2897" s="8">
        <v>0.9</v>
      </c>
      <c r="Y2897" s="8" t="s">
        <v>13344</v>
      </c>
      <c r="Z2897" s="8" t="s">
        <v>13345</v>
      </c>
    </row>
    <row r="2898" spans="1:26" x14ac:dyDescent="0.2">
      <c r="A2898" s="8">
        <v>2897</v>
      </c>
      <c r="B2898" s="8" t="s">
        <v>13346</v>
      </c>
      <c r="C2898" s="8" t="s">
        <v>13346</v>
      </c>
      <c r="F2898" s="47"/>
      <c r="G2898" s="8">
        <v>18</v>
      </c>
      <c r="H2898" s="8" t="s">
        <v>21</v>
      </c>
      <c r="I2898" s="8" t="s">
        <v>22</v>
      </c>
      <c r="J2898" s="8" t="s">
        <v>22</v>
      </c>
      <c r="K2898" s="8" t="s">
        <v>37</v>
      </c>
      <c r="L2898" s="8" t="s">
        <v>11765</v>
      </c>
      <c r="M2898" s="8" t="s">
        <v>11766</v>
      </c>
      <c r="N2898" s="8" t="s">
        <v>13347</v>
      </c>
      <c r="O2898" s="8">
        <f>9+29/60+45.7/3600</f>
        <v>9.4960277777777762</v>
      </c>
      <c r="P2898" s="8" t="s">
        <v>13348</v>
      </c>
      <c r="Q2898" s="8">
        <f>+(2+12/60+27/3600)</f>
        <v>2.2075</v>
      </c>
      <c r="R2898" s="8">
        <v>14.5</v>
      </c>
      <c r="S2898" s="8">
        <v>15.5</v>
      </c>
      <c r="T2898" s="8">
        <v>1</v>
      </c>
      <c r="U2898" s="8">
        <v>13</v>
      </c>
      <c r="V2898" s="8">
        <v>0.7</v>
      </c>
      <c r="W2898" s="8">
        <v>0.4</v>
      </c>
      <c r="X2898" s="8">
        <v>170</v>
      </c>
      <c r="Y2898" s="8" t="s">
        <v>745</v>
      </c>
      <c r="Z2898" s="8" t="s">
        <v>746</v>
      </c>
    </row>
    <row r="2899" spans="1:26" x14ac:dyDescent="0.2">
      <c r="A2899" s="8">
        <v>2898</v>
      </c>
      <c r="B2899" s="8" t="s">
        <v>13349</v>
      </c>
      <c r="C2899" s="8" t="s">
        <v>13349</v>
      </c>
      <c r="F2899" s="47"/>
      <c r="G2899" s="8">
        <v>18</v>
      </c>
      <c r="H2899" s="8" t="s">
        <v>21</v>
      </c>
      <c r="I2899" s="8" t="s">
        <v>22</v>
      </c>
      <c r="J2899" s="8" t="s">
        <v>22</v>
      </c>
      <c r="K2899" s="8" t="s">
        <v>632</v>
      </c>
      <c r="L2899" s="8" t="s">
        <v>11765</v>
      </c>
      <c r="M2899" s="8" t="s">
        <v>11766</v>
      </c>
      <c r="N2899" s="8" t="s">
        <v>13350</v>
      </c>
      <c r="O2899" s="8">
        <f>9+29/60+46.3/3600</f>
        <v>9.4961944444444431</v>
      </c>
      <c r="P2899" s="8" t="s">
        <v>13351</v>
      </c>
      <c r="Q2899" s="8">
        <f>+(2+3/60+54/3600)</f>
        <v>2.0649999999999999</v>
      </c>
      <c r="R2899" s="8">
        <v>13.4</v>
      </c>
      <c r="S2899" s="8">
        <v>14.3</v>
      </c>
      <c r="T2899" s="8">
        <v>0.9</v>
      </c>
      <c r="U2899" s="8">
        <v>12.9</v>
      </c>
      <c r="V2899" s="8">
        <v>1</v>
      </c>
      <c r="W2899" s="8">
        <v>0.8</v>
      </c>
      <c r="X2899" s="8">
        <v>125</v>
      </c>
      <c r="Y2899" s="8" t="s">
        <v>2500</v>
      </c>
      <c r="Z2899" s="8" t="s">
        <v>2501</v>
      </c>
    </row>
    <row r="2900" spans="1:26" x14ac:dyDescent="0.2">
      <c r="A2900" s="8">
        <v>2899</v>
      </c>
      <c r="B2900" s="8" t="s">
        <v>13352</v>
      </c>
      <c r="C2900" s="8" t="s">
        <v>13352</v>
      </c>
      <c r="F2900" s="47"/>
      <c r="G2900" s="8">
        <v>10</v>
      </c>
      <c r="H2900" s="8" t="s">
        <v>21</v>
      </c>
      <c r="I2900" s="8" t="s">
        <v>241</v>
      </c>
      <c r="J2900" s="8" t="s">
        <v>241</v>
      </c>
      <c r="K2900" s="8" t="s">
        <v>241</v>
      </c>
      <c r="L2900" s="8" t="s">
        <v>11757</v>
      </c>
      <c r="M2900" s="8" t="s">
        <v>11758</v>
      </c>
      <c r="N2900" s="8" t="s">
        <v>13353</v>
      </c>
      <c r="O2900" s="8">
        <f>9+27/60+3/3600</f>
        <v>9.4508333333333319</v>
      </c>
      <c r="P2900" s="8" t="s">
        <v>13354</v>
      </c>
      <c r="Q2900" s="8">
        <f>-(56+6/60+20/3600)</f>
        <v>-56.105555555555554</v>
      </c>
      <c r="R2900" s="8">
        <v>11.8</v>
      </c>
      <c r="S2900" s="8">
        <v>12.2</v>
      </c>
      <c r="T2900" s="8">
        <v>99</v>
      </c>
      <c r="U2900" s="8">
        <v>99</v>
      </c>
      <c r="V2900" s="8">
        <v>1.95</v>
      </c>
      <c r="W2900" s="8">
        <v>1</v>
      </c>
      <c r="Y2900" s="8" t="s">
        <v>13355</v>
      </c>
      <c r="Z2900" s="8" t="s">
        <v>13356</v>
      </c>
    </row>
    <row r="2901" spans="1:26" x14ac:dyDescent="0.2">
      <c r="A2901" s="8">
        <v>2900</v>
      </c>
      <c r="B2901" s="8" t="s">
        <v>13357</v>
      </c>
      <c r="C2901" s="8" t="s">
        <v>13357</v>
      </c>
      <c r="F2901" s="47"/>
      <c r="G2901" s="8">
        <v>19</v>
      </c>
      <c r="H2901" s="8" t="s">
        <v>21</v>
      </c>
      <c r="I2901" s="8" t="s">
        <v>22</v>
      </c>
      <c r="J2901" s="8" t="s">
        <v>22</v>
      </c>
      <c r="K2901" s="8" t="s">
        <v>64</v>
      </c>
      <c r="L2901" s="8" t="s">
        <v>11765</v>
      </c>
      <c r="M2901" s="8" t="s">
        <v>11766</v>
      </c>
      <c r="N2901" s="8" t="s">
        <v>13358</v>
      </c>
      <c r="O2901" s="8">
        <f>9+30/60+15/3600</f>
        <v>9.5041666666666664</v>
      </c>
      <c r="P2901" s="8" t="s">
        <v>13359</v>
      </c>
      <c r="Q2901" s="8">
        <f>+(4+8/60+37/3600)</f>
        <v>4.1436111111111114</v>
      </c>
      <c r="R2901" s="8">
        <v>13</v>
      </c>
      <c r="S2901" s="8">
        <v>13.7</v>
      </c>
      <c r="T2901" s="8">
        <v>0.7</v>
      </c>
      <c r="U2901" s="8">
        <v>13.2</v>
      </c>
      <c r="V2901" s="8">
        <v>1.3</v>
      </c>
      <c r="W2901" s="8">
        <v>1.1000000000000001</v>
      </c>
      <c r="X2901" s="8">
        <v>150</v>
      </c>
      <c r="Y2901" s="8" t="s">
        <v>13360</v>
      </c>
      <c r="Z2901" s="8" t="s">
        <v>13361</v>
      </c>
    </row>
    <row r="2902" spans="1:26" x14ac:dyDescent="0.2">
      <c r="A2902" s="8">
        <v>2901</v>
      </c>
      <c r="B2902" s="8" t="s">
        <v>13362</v>
      </c>
      <c r="C2902" s="8" t="s">
        <v>13362</v>
      </c>
      <c r="F2902" s="47"/>
      <c r="G2902" s="8">
        <v>19</v>
      </c>
      <c r="H2902" s="8" t="s">
        <v>21</v>
      </c>
      <c r="I2902" s="8" t="s">
        <v>329</v>
      </c>
      <c r="J2902" s="8" t="s">
        <v>329</v>
      </c>
      <c r="K2902" s="8" t="s">
        <v>329</v>
      </c>
      <c r="L2902" s="8" t="s">
        <v>13194</v>
      </c>
      <c r="M2902" s="8" t="s">
        <v>13195</v>
      </c>
      <c r="N2902" s="8" t="s">
        <v>13363</v>
      </c>
      <c r="O2902" s="8">
        <f>9+32/60+36/3600</f>
        <v>9.543333333333333</v>
      </c>
      <c r="P2902" s="8" t="s">
        <v>13364</v>
      </c>
      <c r="Q2902" s="8">
        <f>+(31+6/60+0/3600)</f>
        <v>31.1</v>
      </c>
      <c r="R2902" s="8">
        <v>99</v>
      </c>
      <c r="S2902" s="8">
        <v>99</v>
      </c>
      <c r="T2902" s="8">
        <v>99</v>
      </c>
      <c r="U2902" s="8">
        <v>99</v>
      </c>
      <c r="Y2902" s="8" t="s">
        <v>1694</v>
      </c>
      <c r="Z2902" s="8" t="s">
        <v>1695</v>
      </c>
    </row>
    <row r="2903" spans="1:26" x14ac:dyDescent="0.2">
      <c r="A2903" s="8">
        <v>2902</v>
      </c>
      <c r="B2903" s="8" t="s">
        <v>13365</v>
      </c>
      <c r="C2903" s="8" t="s">
        <v>13365</v>
      </c>
      <c r="F2903" s="47" t="s">
        <v>56669</v>
      </c>
      <c r="G2903" s="8">
        <v>13</v>
      </c>
      <c r="H2903" s="8" t="s">
        <v>21</v>
      </c>
      <c r="I2903" s="8" t="s">
        <v>22</v>
      </c>
      <c r="J2903" s="8" t="s">
        <v>22</v>
      </c>
      <c r="K2903" s="8" t="s">
        <v>37</v>
      </c>
      <c r="L2903" s="8" t="s">
        <v>11765</v>
      </c>
      <c r="M2903" s="8" t="s">
        <v>11766</v>
      </c>
      <c r="N2903" s="8" t="s">
        <v>13366</v>
      </c>
      <c r="O2903" s="8">
        <f>9+30/60+53.1/3600</f>
        <v>9.5147499999999994</v>
      </c>
      <c r="P2903" s="8" t="s">
        <v>13367</v>
      </c>
      <c r="Q2903" s="8">
        <f>-(14+44/60+8/3600)</f>
        <v>-14.735555555555555</v>
      </c>
      <c r="R2903" s="8">
        <v>12.2</v>
      </c>
      <c r="S2903" s="8">
        <v>13.2</v>
      </c>
      <c r="T2903" s="8">
        <v>1</v>
      </c>
      <c r="U2903" s="8">
        <v>12.6</v>
      </c>
      <c r="V2903" s="8">
        <v>1.6</v>
      </c>
      <c r="W2903" s="8">
        <v>1.3</v>
      </c>
      <c r="X2903" s="8">
        <v>8</v>
      </c>
      <c r="Y2903" s="8" t="s">
        <v>1948</v>
      </c>
      <c r="Z2903" s="8" t="s">
        <v>1949</v>
      </c>
    </row>
    <row r="2904" spans="1:26" x14ac:dyDescent="0.2">
      <c r="A2904" s="8">
        <v>2903</v>
      </c>
      <c r="B2904" s="8" t="s">
        <v>13368</v>
      </c>
      <c r="C2904" s="8" t="s">
        <v>13368</v>
      </c>
      <c r="F2904" s="47" t="s">
        <v>56670</v>
      </c>
      <c r="G2904" s="8">
        <v>5</v>
      </c>
      <c r="H2904" s="8" t="s">
        <v>21</v>
      </c>
      <c r="I2904" s="8" t="s">
        <v>22</v>
      </c>
      <c r="J2904" s="8" t="s">
        <v>22</v>
      </c>
      <c r="K2904" s="8" t="s">
        <v>85</v>
      </c>
      <c r="L2904" s="8" t="s">
        <v>13194</v>
      </c>
      <c r="M2904" s="8" t="s">
        <v>13195</v>
      </c>
      <c r="N2904" s="8" t="s">
        <v>13369</v>
      </c>
      <c r="O2904" s="8">
        <f>9+32/60+9.7/3600</f>
        <v>9.5360277777777771</v>
      </c>
      <c r="P2904" s="8" t="s">
        <v>13370</v>
      </c>
      <c r="Q2904" s="8">
        <f>+(21+29/60+57/3600)</f>
        <v>21.499166666666667</v>
      </c>
      <c r="R2904" s="8">
        <v>9</v>
      </c>
      <c r="S2904" s="8">
        <v>9.6999999999999993</v>
      </c>
      <c r="T2904" s="8">
        <v>0.7</v>
      </c>
      <c r="U2904" s="8">
        <v>13.5</v>
      </c>
      <c r="V2904" s="8">
        <v>12.6</v>
      </c>
      <c r="W2904" s="8">
        <v>6</v>
      </c>
      <c r="X2904" s="8">
        <v>17</v>
      </c>
      <c r="Y2904" s="8" t="s">
        <v>13371</v>
      </c>
      <c r="Z2904" s="8" t="s">
        <v>13372</v>
      </c>
    </row>
    <row r="2905" spans="1:26" x14ac:dyDescent="0.2">
      <c r="A2905" s="8">
        <v>2904</v>
      </c>
      <c r="B2905" s="8" t="s">
        <v>13373</v>
      </c>
      <c r="C2905" s="8" t="s">
        <v>13373</v>
      </c>
      <c r="F2905" s="47"/>
      <c r="G2905" s="8">
        <v>16</v>
      </c>
      <c r="H2905" s="8" t="s">
        <v>21</v>
      </c>
      <c r="I2905" s="8" t="s">
        <v>22</v>
      </c>
      <c r="J2905" s="8" t="s">
        <v>22</v>
      </c>
      <c r="K2905" s="8" t="s">
        <v>118</v>
      </c>
      <c r="L2905" s="8" t="s">
        <v>13374</v>
      </c>
      <c r="M2905" s="8" t="s">
        <v>13375</v>
      </c>
      <c r="N2905" s="8" t="s">
        <v>13328</v>
      </c>
      <c r="O2905" s="8">
        <f>9+30/60+16.9/3600</f>
        <v>9.5046944444444446</v>
      </c>
      <c r="P2905" s="8" t="s">
        <v>13376</v>
      </c>
      <c r="Q2905" s="8">
        <f>-(30+23/60+6/3600)</f>
        <v>-30.384999999999998</v>
      </c>
      <c r="R2905" s="8">
        <v>12.3</v>
      </c>
      <c r="S2905" s="8">
        <v>13.4</v>
      </c>
      <c r="T2905" s="8">
        <v>1.1000000000000001</v>
      </c>
      <c r="U2905" s="8">
        <v>12.5</v>
      </c>
      <c r="V2905" s="8">
        <v>1.2</v>
      </c>
      <c r="W2905" s="8">
        <v>0.8</v>
      </c>
      <c r="X2905" s="8">
        <v>84</v>
      </c>
      <c r="Y2905" s="8" t="s">
        <v>13377</v>
      </c>
      <c r="Z2905" s="8" t="s">
        <v>13378</v>
      </c>
    </row>
    <row r="2906" spans="1:26" x14ac:dyDescent="0.2">
      <c r="A2906" s="8">
        <v>2905</v>
      </c>
      <c r="B2906" s="8" t="s">
        <v>13379</v>
      </c>
      <c r="C2906" s="8" t="s">
        <v>13379</v>
      </c>
      <c r="F2906" s="47" t="s">
        <v>56671</v>
      </c>
      <c r="G2906" s="8">
        <v>8.5</v>
      </c>
      <c r="H2906" s="8" t="s">
        <v>21</v>
      </c>
      <c r="I2906" s="8" t="s">
        <v>1075</v>
      </c>
      <c r="J2906" s="8" t="s">
        <v>1075</v>
      </c>
      <c r="K2906" s="8" t="s">
        <v>1075</v>
      </c>
      <c r="L2906" s="8" t="s">
        <v>13194</v>
      </c>
      <c r="M2906" s="8" t="s">
        <v>13195</v>
      </c>
      <c r="N2906" s="8" t="s">
        <v>13380</v>
      </c>
      <c r="O2906" s="8">
        <f>9+32/60+11.8/3600</f>
        <v>9.5366111111111103</v>
      </c>
      <c r="P2906" s="8" t="s">
        <v>13381</v>
      </c>
      <c r="Q2906" s="8">
        <f>+(21+31/60+7/3600)</f>
        <v>21.51861111111111</v>
      </c>
      <c r="R2906" s="8">
        <v>15</v>
      </c>
      <c r="S2906" s="8">
        <v>99</v>
      </c>
      <c r="T2906" s="8">
        <v>99</v>
      </c>
      <c r="U2906" s="8">
        <v>99</v>
      </c>
      <c r="V2906" s="8">
        <v>0.1</v>
      </c>
      <c r="Y2906" s="8" t="s">
        <v>13382</v>
      </c>
      <c r="Z2906" s="8" t="s">
        <v>13383</v>
      </c>
    </row>
    <row r="2907" spans="1:26" x14ac:dyDescent="0.2">
      <c r="A2907" s="8">
        <v>2906</v>
      </c>
      <c r="B2907" s="8" t="s">
        <v>13384</v>
      </c>
      <c r="C2907" s="8" t="s">
        <v>13384</v>
      </c>
      <c r="F2907" s="47" t="s">
        <v>56672</v>
      </c>
      <c r="G2907" s="8">
        <v>15</v>
      </c>
      <c r="H2907" s="8" t="s">
        <v>21</v>
      </c>
      <c r="I2907" s="8" t="s">
        <v>22</v>
      </c>
      <c r="J2907" s="8" t="s">
        <v>22</v>
      </c>
      <c r="K2907" s="8" t="s">
        <v>160</v>
      </c>
      <c r="L2907" s="8" t="s">
        <v>13194</v>
      </c>
      <c r="M2907" s="8" t="s">
        <v>13195</v>
      </c>
      <c r="N2907" s="8" t="s">
        <v>13385</v>
      </c>
      <c r="O2907" s="8">
        <f>9+32/60+6.2/3600</f>
        <v>9.5350555555555552</v>
      </c>
      <c r="P2907" s="8" t="s">
        <v>13386</v>
      </c>
      <c r="Q2907" s="8">
        <f>+(8+26/60+32/3600)</f>
        <v>8.4422222222222221</v>
      </c>
      <c r="R2907" s="8">
        <v>12.7</v>
      </c>
      <c r="S2907" s="8">
        <v>13.4</v>
      </c>
      <c r="T2907" s="8">
        <v>0.7</v>
      </c>
      <c r="U2907" s="8">
        <v>12.8</v>
      </c>
      <c r="V2907" s="8">
        <v>1.4</v>
      </c>
      <c r="W2907" s="8">
        <v>0.9</v>
      </c>
      <c r="X2907" s="8">
        <v>75</v>
      </c>
      <c r="Y2907" s="8" t="s">
        <v>13387</v>
      </c>
      <c r="Z2907" s="8" t="s">
        <v>13388</v>
      </c>
    </row>
    <row r="2908" spans="1:26" x14ac:dyDescent="0.2">
      <c r="A2908" s="8">
        <v>2907</v>
      </c>
      <c r="B2908" s="8" t="s">
        <v>13389</v>
      </c>
      <c r="C2908" s="8" t="s">
        <v>13389</v>
      </c>
      <c r="F2908" s="47" t="s">
        <v>56673</v>
      </c>
      <c r="G2908" s="8">
        <v>13</v>
      </c>
      <c r="H2908" s="8" t="s">
        <v>21</v>
      </c>
      <c r="I2908" s="8" t="s">
        <v>22</v>
      </c>
      <c r="J2908" s="8" t="s">
        <v>22</v>
      </c>
      <c r="K2908" s="8" t="s">
        <v>91</v>
      </c>
      <c r="L2908" s="8" t="s">
        <v>11765</v>
      </c>
      <c r="M2908" s="8" t="s">
        <v>11766</v>
      </c>
      <c r="N2908" s="8" t="s">
        <v>13390</v>
      </c>
      <c r="O2908" s="8">
        <f>9+31/60+36.6/3600</f>
        <v>9.5268333333333342</v>
      </c>
      <c r="P2908" s="8" t="s">
        <v>13391</v>
      </c>
      <c r="Q2908" s="8">
        <f>-(16+44/60+1/3600)</f>
        <v>-16.733611111111113</v>
      </c>
      <c r="R2908" s="8">
        <v>11.6</v>
      </c>
      <c r="S2908" s="8">
        <v>12.7</v>
      </c>
      <c r="T2908" s="8">
        <v>1.1000000000000001</v>
      </c>
      <c r="U2908" s="8">
        <v>12.2</v>
      </c>
      <c r="V2908" s="8">
        <v>2</v>
      </c>
      <c r="W2908" s="8">
        <v>1.2</v>
      </c>
      <c r="X2908" s="8">
        <v>115</v>
      </c>
      <c r="Y2908" s="8" t="s">
        <v>13392</v>
      </c>
      <c r="Z2908" s="8" t="s">
        <v>13393</v>
      </c>
    </row>
    <row r="2909" spans="1:26" x14ac:dyDescent="0.2">
      <c r="A2909" s="8">
        <v>2908</v>
      </c>
      <c r="B2909" s="8" t="s">
        <v>13394</v>
      </c>
      <c r="C2909" s="8" t="s">
        <v>13394</v>
      </c>
      <c r="F2909" s="47" t="s">
        <v>56674</v>
      </c>
      <c r="G2909" s="8">
        <v>15</v>
      </c>
      <c r="H2909" s="8" t="s">
        <v>21</v>
      </c>
      <c r="I2909" s="8" t="s">
        <v>22</v>
      </c>
      <c r="J2909" s="8" t="s">
        <v>22</v>
      </c>
      <c r="K2909" s="8" t="s">
        <v>449</v>
      </c>
      <c r="L2909" s="8" t="s">
        <v>13395</v>
      </c>
      <c r="M2909" s="8" t="s">
        <v>13396</v>
      </c>
      <c r="N2909" s="8" t="s">
        <v>13397</v>
      </c>
      <c r="O2909" s="8">
        <f>9+43/60+31.2/3600</f>
        <v>9.7253333333333334</v>
      </c>
      <c r="P2909" s="8" t="s">
        <v>13398</v>
      </c>
      <c r="Q2909" s="8">
        <f>+(79+42/60+5/3600)</f>
        <v>79.701388888888886</v>
      </c>
      <c r="R2909" s="8">
        <v>13.3</v>
      </c>
      <c r="S2909" s="8">
        <v>14.2</v>
      </c>
      <c r="T2909" s="8">
        <v>0.9</v>
      </c>
      <c r="U2909" s="8">
        <v>12.7</v>
      </c>
      <c r="V2909" s="8">
        <v>0.8</v>
      </c>
      <c r="W2909" s="8">
        <v>0.8</v>
      </c>
      <c r="Y2909" s="8" t="s">
        <v>266</v>
      </c>
      <c r="Z2909" s="8" t="s">
        <v>267</v>
      </c>
    </row>
    <row r="2910" spans="1:26" x14ac:dyDescent="0.2">
      <c r="A2910" s="8">
        <v>2909</v>
      </c>
      <c r="B2910" s="8" t="s">
        <v>13399</v>
      </c>
      <c r="C2910" s="8" t="s">
        <v>13399</v>
      </c>
      <c r="F2910" s="47"/>
      <c r="G2910" s="8">
        <v>16</v>
      </c>
      <c r="H2910" s="8" t="s">
        <v>21</v>
      </c>
      <c r="I2910" s="8" t="s">
        <v>72</v>
      </c>
      <c r="J2910" s="8" t="s">
        <v>72</v>
      </c>
      <c r="K2910" s="8" t="s">
        <v>73</v>
      </c>
      <c r="L2910" s="8" t="s">
        <v>12015</v>
      </c>
      <c r="M2910" s="8" t="s">
        <v>12016</v>
      </c>
      <c r="N2910" s="8" t="s">
        <v>13400</v>
      </c>
      <c r="O2910" s="8">
        <f>9+36/60+59.8/3600</f>
        <v>9.6166111111111103</v>
      </c>
      <c r="P2910" s="8" t="s">
        <v>13401</v>
      </c>
      <c r="Q2910" s="8">
        <f>+(65+56/60+28/3600)</f>
        <v>65.941111111111113</v>
      </c>
      <c r="R2910" s="8">
        <v>99</v>
      </c>
      <c r="S2910" s="8">
        <v>99</v>
      </c>
      <c r="T2910" s="8">
        <v>99</v>
      </c>
      <c r="U2910" s="8">
        <v>99</v>
      </c>
      <c r="Y2910" s="8" t="s">
        <v>13402</v>
      </c>
      <c r="Z2910" s="8" t="s">
        <v>13403</v>
      </c>
    </row>
    <row r="2911" spans="1:26" x14ac:dyDescent="0.2">
      <c r="A2911" s="8">
        <v>2910</v>
      </c>
      <c r="B2911" s="8" t="s">
        <v>13404</v>
      </c>
      <c r="C2911" s="8" t="s">
        <v>13404</v>
      </c>
      <c r="F2911" s="47"/>
      <c r="G2911" s="8">
        <v>8</v>
      </c>
      <c r="H2911" s="8" t="s">
        <v>21</v>
      </c>
      <c r="I2911" s="8" t="s">
        <v>557</v>
      </c>
      <c r="J2911" s="8" t="s">
        <v>557</v>
      </c>
      <c r="K2911" s="8" t="s">
        <v>7705</v>
      </c>
      <c r="L2911" s="8" t="s">
        <v>11757</v>
      </c>
      <c r="M2911" s="8" t="s">
        <v>11758</v>
      </c>
      <c r="N2911" s="8" t="s">
        <v>13405</v>
      </c>
      <c r="O2911" s="8">
        <f>9+30/60+29/3600</f>
        <v>9.5080555555555559</v>
      </c>
      <c r="P2911" s="8" t="s">
        <v>13406</v>
      </c>
      <c r="Q2911" s="8">
        <f>-(52+54/60+50/3600)</f>
        <v>-52.913888888888884</v>
      </c>
      <c r="R2911" s="8">
        <v>7.2</v>
      </c>
      <c r="S2911" s="8">
        <v>99</v>
      </c>
      <c r="T2911" s="8">
        <v>99</v>
      </c>
      <c r="U2911" s="8">
        <v>99</v>
      </c>
      <c r="V2911" s="8">
        <v>6</v>
      </c>
      <c r="Y2911" s="8" t="s">
        <v>13407</v>
      </c>
      <c r="Z2911" s="8" t="s">
        <v>13408</v>
      </c>
    </row>
    <row r="2912" spans="1:26" x14ac:dyDescent="0.2">
      <c r="A2912" s="8">
        <v>2911</v>
      </c>
      <c r="B2912" s="8" t="s">
        <v>13409</v>
      </c>
      <c r="C2912" s="8" t="s">
        <v>13409</v>
      </c>
      <c r="F2912" s="47" t="s">
        <v>56675</v>
      </c>
      <c r="G2912" s="8">
        <v>13</v>
      </c>
      <c r="H2912" s="8" t="s">
        <v>21</v>
      </c>
      <c r="I2912" s="8" t="s">
        <v>22</v>
      </c>
      <c r="J2912" s="8" t="s">
        <v>22</v>
      </c>
      <c r="K2912" s="8" t="s">
        <v>37</v>
      </c>
      <c r="L2912" s="8" t="s">
        <v>13194</v>
      </c>
      <c r="M2912" s="8" t="s">
        <v>13195</v>
      </c>
      <c r="N2912" s="8" t="s">
        <v>13410</v>
      </c>
      <c r="O2912" s="8">
        <f>9+33/60+46.5/3600</f>
        <v>9.5629166666666681</v>
      </c>
      <c r="P2912" s="8" t="s">
        <v>13411</v>
      </c>
      <c r="Q2912" s="8">
        <f>+(10+9/60+10/3600)</f>
        <v>10.152777777777779</v>
      </c>
      <c r="R2912" s="8">
        <v>11.5</v>
      </c>
      <c r="S2912" s="8">
        <v>12.5</v>
      </c>
      <c r="T2912" s="8">
        <v>1</v>
      </c>
      <c r="U2912" s="8">
        <v>12.6</v>
      </c>
      <c r="V2912" s="8">
        <v>4</v>
      </c>
      <c r="W2912" s="8">
        <v>3.1</v>
      </c>
      <c r="X2912" s="8">
        <v>140</v>
      </c>
      <c r="Y2912" s="8" t="s">
        <v>13412</v>
      </c>
      <c r="Z2912" s="8" t="s">
        <v>13413</v>
      </c>
    </row>
    <row r="2913" spans="1:26" x14ac:dyDescent="0.2">
      <c r="A2913" s="8">
        <v>2912</v>
      </c>
      <c r="B2913" s="8" t="s">
        <v>13414</v>
      </c>
      <c r="C2913" s="8" t="s">
        <v>13414</v>
      </c>
      <c r="F2913" s="47"/>
      <c r="G2913" s="8">
        <v>18</v>
      </c>
      <c r="H2913" s="8" t="s">
        <v>21</v>
      </c>
      <c r="I2913" s="8" t="s">
        <v>72</v>
      </c>
      <c r="J2913" s="8" t="s">
        <v>72</v>
      </c>
      <c r="K2913" s="8" t="s">
        <v>20</v>
      </c>
      <c r="L2913" s="8" t="s">
        <v>13194</v>
      </c>
      <c r="M2913" s="8" t="s">
        <v>13195</v>
      </c>
      <c r="N2913" s="8" t="s">
        <v>13415</v>
      </c>
      <c r="O2913" s="8">
        <f>9+33/60+56.9/3600</f>
        <v>9.5658055555555563</v>
      </c>
      <c r="P2913" s="8" t="s">
        <v>13416</v>
      </c>
      <c r="Q2913" s="8">
        <f>+(10+11/60+33/3600)</f>
        <v>10.192500000000001</v>
      </c>
      <c r="R2913" s="8">
        <v>99</v>
      </c>
      <c r="S2913" s="8">
        <v>99</v>
      </c>
      <c r="T2913" s="8">
        <v>99</v>
      </c>
      <c r="U2913" s="8">
        <v>99</v>
      </c>
      <c r="Y2913" s="8" t="s">
        <v>13417</v>
      </c>
      <c r="Z2913" s="8" t="s">
        <v>13418</v>
      </c>
    </row>
    <row r="2914" spans="1:26" x14ac:dyDescent="0.2">
      <c r="A2914" s="8">
        <v>2913</v>
      </c>
      <c r="B2914" s="8" t="s">
        <v>13419</v>
      </c>
      <c r="C2914" s="8" t="s">
        <v>13419</v>
      </c>
      <c r="F2914" s="47"/>
      <c r="G2914" s="8">
        <v>18</v>
      </c>
      <c r="H2914" s="8" t="s">
        <v>21</v>
      </c>
      <c r="I2914" s="8" t="s">
        <v>22</v>
      </c>
      <c r="J2914" s="8" t="s">
        <v>22</v>
      </c>
      <c r="K2914" s="8" t="s">
        <v>160</v>
      </c>
      <c r="L2914" s="8" t="s">
        <v>13194</v>
      </c>
      <c r="M2914" s="8" t="s">
        <v>13195</v>
      </c>
      <c r="N2914" s="8" t="s">
        <v>13420</v>
      </c>
      <c r="O2914" s="8">
        <f>9+34/60+2.7/3600</f>
        <v>9.5674166666666665</v>
      </c>
      <c r="P2914" s="8" t="s">
        <v>13421</v>
      </c>
      <c r="Q2914" s="8">
        <f>+(9+28/60+42/3600)</f>
        <v>9.4783333333333335</v>
      </c>
      <c r="R2914" s="8">
        <v>13.4</v>
      </c>
      <c r="S2914" s="8">
        <v>14.1</v>
      </c>
      <c r="T2914" s="8">
        <v>0.7</v>
      </c>
      <c r="U2914" s="8">
        <v>13</v>
      </c>
      <c r="V2914" s="8">
        <v>1.1000000000000001</v>
      </c>
      <c r="W2914" s="8">
        <v>0.7</v>
      </c>
      <c r="X2914" s="8">
        <v>140</v>
      </c>
      <c r="Y2914" s="8" t="s">
        <v>13422</v>
      </c>
      <c r="Z2914" s="8" t="s">
        <v>13423</v>
      </c>
    </row>
    <row r="2915" spans="1:26" x14ac:dyDescent="0.2">
      <c r="A2915" s="8">
        <v>2914</v>
      </c>
      <c r="B2915" s="8" t="s">
        <v>13424</v>
      </c>
      <c r="C2915" s="8" t="s">
        <v>13424</v>
      </c>
      <c r="F2915" s="47" t="s">
        <v>56676</v>
      </c>
      <c r="G2915" s="8">
        <v>15</v>
      </c>
      <c r="H2915" s="8" t="s">
        <v>21</v>
      </c>
      <c r="I2915" s="8" t="s">
        <v>22</v>
      </c>
      <c r="J2915" s="8" t="s">
        <v>22</v>
      </c>
      <c r="K2915" s="8" t="s">
        <v>406</v>
      </c>
      <c r="L2915" s="8" t="s">
        <v>13194</v>
      </c>
      <c r="M2915" s="8" t="s">
        <v>13195</v>
      </c>
      <c r="N2915" s="8" t="s">
        <v>13420</v>
      </c>
      <c r="O2915" s="8">
        <f>9+34/60+2.7/3600</f>
        <v>9.5674166666666665</v>
      </c>
      <c r="P2915" s="8" t="s">
        <v>13425</v>
      </c>
      <c r="Q2915" s="8">
        <f>+(10+6/60+33/3600)</f>
        <v>10.109166666666667</v>
      </c>
      <c r="R2915" s="8">
        <v>13.2</v>
      </c>
      <c r="S2915" s="8">
        <v>14.1</v>
      </c>
      <c r="T2915" s="8">
        <v>0.9</v>
      </c>
      <c r="U2915" s="8">
        <v>12.6</v>
      </c>
      <c r="V2915" s="8">
        <v>0.9</v>
      </c>
      <c r="W2915" s="8">
        <v>0.6</v>
      </c>
      <c r="X2915" s="8">
        <v>12</v>
      </c>
      <c r="Y2915" s="8" t="s">
        <v>13426</v>
      </c>
      <c r="Z2915" s="8" t="s">
        <v>13427</v>
      </c>
    </row>
    <row r="2916" spans="1:26" x14ac:dyDescent="0.2">
      <c r="A2916" s="8">
        <v>2915</v>
      </c>
      <c r="B2916" s="8" t="s">
        <v>13428</v>
      </c>
      <c r="C2916" s="8" t="s">
        <v>13428</v>
      </c>
      <c r="F2916" s="47"/>
      <c r="G2916" s="8">
        <v>16</v>
      </c>
      <c r="H2916" s="8" t="s">
        <v>21</v>
      </c>
      <c r="I2916" s="8" t="s">
        <v>22</v>
      </c>
      <c r="J2916" s="8" t="s">
        <v>22</v>
      </c>
      <c r="K2916" s="8" t="s">
        <v>154</v>
      </c>
      <c r="L2916" s="8" t="s">
        <v>13429</v>
      </c>
      <c r="M2916" s="8" t="s">
        <v>13430</v>
      </c>
      <c r="N2916" s="8" t="s">
        <v>13431</v>
      </c>
      <c r="O2916" s="8">
        <f>9+26/60+13.6/3600</f>
        <v>9.4371111111111112</v>
      </c>
      <c r="P2916" s="8" t="s">
        <v>13432</v>
      </c>
      <c r="Q2916" s="8">
        <f>-(76+37/60+36/3600)</f>
        <v>-76.626666666666665</v>
      </c>
      <c r="R2916" s="8">
        <v>12.7</v>
      </c>
      <c r="S2916" s="8">
        <v>13.3</v>
      </c>
      <c r="T2916" s="8">
        <v>0.6</v>
      </c>
      <c r="U2916" s="8">
        <v>13.2</v>
      </c>
      <c r="V2916" s="8">
        <v>1.9</v>
      </c>
      <c r="W2916" s="8">
        <v>0.9</v>
      </c>
      <c r="X2916" s="8">
        <v>129</v>
      </c>
      <c r="Y2916" s="8" t="s">
        <v>8933</v>
      </c>
      <c r="Z2916" s="8" t="s">
        <v>8934</v>
      </c>
    </row>
    <row r="2917" spans="1:26" x14ac:dyDescent="0.2">
      <c r="A2917" s="8">
        <v>2916</v>
      </c>
      <c r="B2917" s="8" t="s">
        <v>13433</v>
      </c>
      <c r="C2917" s="8" t="s">
        <v>13433</v>
      </c>
      <c r="F2917" s="47" t="s">
        <v>56677</v>
      </c>
      <c r="G2917" s="8">
        <v>15</v>
      </c>
      <c r="H2917" s="8" t="s">
        <v>21</v>
      </c>
      <c r="I2917" s="8" t="s">
        <v>22</v>
      </c>
      <c r="J2917" s="8" t="s">
        <v>22</v>
      </c>
      <c r="K2917" s="8" t="s">
        <v>23</v>
      </c>
      <c r="L2917" s="8" t="s">
        <v>13194</v>
      </c>
      <c r="M2917" s="8" t="s">
        <v>13195</v>
      </c>
      <c r="N2917" s="8" t="s">
        <v>13434</v>
      </c>
      <c r="O2917" s="8">
        <f>9+34/60+57.5/3600</f>
        <v>9.5826388888888889</v>
      </c>
      <c r="P2917" s="8" t="s">
        <v>13435</v>
      </c>
      <c r="Q2917" s="8">
        <f>+(21+42/60+16/3600)</f>
        <v>21.704444444444444</v>
      </c>
      <c r="R2917" s="8">
        <v>12.1</v>
      </c>
      <c r="S2917" s="8">
        <v>12.7</v>
      </c>
      <c r="T2917" s="8">
        <v>0.6</v>
      </c>
      <c r="U2917" s="8">
        <v>13.4</v>
      </c>
      <c r="V2917" s="8">
        <v>2.5</v>
      </c>
      <c r="W2917" s="8">
        <v>1.7</v>
      </c>
      <c r="X2917" s="8">
        <v>20</v>
      </c>
      <c r="Y2917" s="8" t="s">
        <v>13436</v>
      </c>
      <c r="Z2917" s="8" t="s">
        <v>13437</v>
      </c>
    </row>
    <row r="2918" spans="1:26" x14ac:dyDescent="0.2">
      <c r="A2918" s="8">
        <v>2917</v>
      </c>
      <c r="B2918" s="8" t="s">
        <v>13438</v>
      </c>
      <c r="C2918" s="8" t="s">
        <v>13438</v>
      </c>
      <c r="F2918" s="47"/>
      <c r="G2918" s="8">
        <v>18</v>
      </c>
      <c r="H2918" s="8" t="s">
        <v>21</v>
      </c>
      <c r="I2918" s="8" t="s">
        <v>22</v>
      </c>
      <c r="J2918" s="8" t="s">
        <v>22</v>
      </c>
      <c r="K2918" s="8" t="s">
        <v>632</v>
      </c>
      <c r="L2918" s="8" t="s">
        <v>11765</v>
      </c>
      <c r="M2918" s="8" t="s">
        <v>11766</v>
      </c>
      <c r="N2918" s="8" t="s">
        <v>13439</v>
      </c>
      <c r="O2918" s="8">
        <f>9+34/60+27/3600</f>
        <v>9.5741666666666667</v>
      </c>
      <c r="P2918" s="8" t="s">
        <v>13440</v>
      </c>
      <c r="Q2918" s="8">
        <f>-(2+30/60+14/3600)</f>
        <v>-2.5038888888888891</v>
      </c>
      <c r="R2918" s="8">
        <v>13.6</v>
      </c>
      <c r="S2918" s="8">
        <v>14.5</v>
      </c>
      <c r="T2918" s="8">
        <v>0.9</v>
      </c>
      <c r="U2918" s="8">
        <v>12.8</v>
      </c>
      <c r="V2918" s="8">
        <v>1.3</v>
      </c>
      <c r="W2918" s="8">
        <v>0.4</v>
      </c>
      <c r="X2918" s="8">
        <v>169</v>
      </c>
      <c r="Y2918" s="8" t="s">
        <v>13441</v>
      </c>
      <c r="Z2918" s="8" t="s">
        <v>13442</v>
      </c>
    </row>
    <row r="2919" spans="1:26" x14ac:dyDescent="0.2">
      <c r="A2919" s="8">
        <v>2918</v>
      </c>
      <c r="B2919" s="8" t="s">
        <v>13443</v>
      </c>
      <c r="C2919" s="8" t="s">
        <v>13443</v>
      </c>
      <c r="F2919" s="47" t="s">
        <v>56678</v>
      </c>
      <c r="G2919" s="8">
        <v>15</v>
      </c>
      <c r="H2919" s="8" t="s">
        <v>21</v>
      </c>
      <c r="I2919" s="8" t="s">
        <v>22</v>
      </c>
      <c r="J2919" s="8" t="s">
        <v>22</v>
      </c>
      <c r="K2919" s="8" t="s">
        <v>382</v>
      </c>
      <c r="L2919" s="8" t="s">
        <v>13194</v>
      </c>
      <c r="M2919" s="8" t="s">
        <v>13195</v>
      </c>
      <c r="N2919" s="8" t="s">
        <v>13444</v>
      </c>
      <c r="O2919" s="8">
        <f>9+35/60+44/3600</f>
        <v>9.5955555555555563</v>
      </c>
      <c r="P2919" s="8" t="s">
        <v>13445</v>
      </c>
      <c r="Q2919" s="8">
        <f>+(31+42/60+19/3600)</f>
        <v>31.705277777777777</v>
      </c>
      <c r="R2919" s="8">
        <v>12.6</v>
      </c>
      <c r="S2919" s="8">
        <v>13.6</v>
      </c>
      <c r="T2919" s="8">
        <v>1</v>
      </c>
      <c r="U2919" s="8">
        <v>12.9</v>
      </c>
      <c r="V2919" s="8">
        <v>1.4</v>
      </c>
      <c r="W2919" s="8">
        <v>1</v>
      </c>
      <c r="X2919" s="8">
        <v>65</v>
      </c>
      <c r="Y2919" s="8" t="s">
        <v>13446</v>
      </c>
      <c r="Z2919" s="8" t="s">
        <v>13447</v>
      </c>
    </row>
    <row r="2920" spans="1:26" x14ac:dyDescent="0.2">
      <c r="A2920" s="8">
        <v>2919</v>
      </c>
      <c r="B2920" s="8" t="s">
        <v>13448</v>
      </c>
      <c r="C2920" s="8" t="s">
        <v>13448</v>
      </c>
      <c r="F2920" s="47"/>
      <c r="G2920" s="8">
        <v>18</v>
      </c>
      <c r="H2920" s="8" t="s">
        <v>21</v>
      </c>
      <c r="I2920" s="8" t="s">
        <v>22</v>
      </c>
      <c r="J2920" s="8" t="s">
        <v>22</v>
      </c>
      <c r="K2920" s="8" t="s">
        <v>85</v>
      </c>
      <c r="L2920" s="8" t="s">
        <v>13194</v>
      </c>
      <c r="M2920" s="8" t="s">
        <v>13195</v>
      </c>
      <c r="N2920" s="8" t="s">
        <v>13449</v>
      </c>
      <c r="O2920" s="8">
        <f>9+34/60+47.6/3600</f>
        <v>9.5798888888888882</v>
      </c>
      <c r="P2920" s="8" t="s">
        <v>13450</v>
      </c>
      <c r="Q2920" s="8">
        <f>+(10+17/60+2/3600)</f>
        <v>10.283888888888889</v>
      </c>
      <c r="R2920" s="8">
        <v>12.9</v>
      </c>
      <c r="S2920" s="8">
        <v>13.7</v>
      </c>
      <c r="T2920" s="8">
        <v>0.8</v>
      </c>
      <c r="U2920" s="8">
        <v>12.5</v>
      </c>
      <c r="V2920" s="8">
        <v>1.6</v>
      </c>
      <c r="W2920" s="8">
        <v>0.5</v>
      </c>
      <c r="X2920" s="8">
        <v>159</v>
      </c>
      <c r="Y2920" s="8" t="s">
        <v>5240</v>
      </c>
      <c r="Z2920" s="8" t="s">
        <v>5241</v>
      </c>
    </row>
    <row r="2921" spans="1:26" x14ac:dyDescent="0.2">
      <c r="A2921" s="8">
        <v>2920</v>
      </c>
      <c r="B2921" s="8" t="s">
        <v>13451</v>
      </c>
      <c r="C2921" s="8" t="s">
        <v>13451</v>
      </c>
      <c r="F2921" s="47"/>
      <c r="G2921" s="8">
        <v>16</v>
      </c>
      <c r="H2921" s="8" t="s">
        <v>21</v>
      </c>
      <c r="I2921" s="8" t="s">
        <v>22</v>
      </c>
      <c r="J2921" s="8" t="s">
        <v>22</v>
      </c>
      <c r="K2921" s="8" t="s">
        <v>91</v>
      </c>
      <c r="L2921" s="8" t="s">
        <v>11765</v>
      </c>
      <c r="M2921" s="8" t="s">
        <v>11766</v>
      </c>
      <c r="N2921" s="8" t="s">
        <v>13452</v>
      </c>
      <c r="O2921" s="8">
        <f>9+34/60+12/3600</f>
        <v>9.57</v>
      </c>
      <c r="P2921" s="8" t="s">
        <v>13453</v>
      </c>
      <c r="Q2921" s="8">
        <f>-(20+51/60+33/3600)</f>
        <v>-20.859166666666667</v>
      </c>
      <c r="R2921" s="8">
        <v>13.1</v>
      </c>
      <c r="S2921" s="8">
        <v>14</v>
      </c>
      <c r="T2921" s="8">
        <v>0.9</v>
      </c>
      <c r="U2921" s="8">
        <v>12.3</v>
      </c>
      <c r="V2921" s="8">
        <v>0.9</v>
      </c>
      <c r="W2921" s="8">
        <v>0.6</v>
      </c>
      <c r="X2921" s="8">
        <v>129</v>
      </c>
      <c r="Y2921" s="8" t="s">
        <v>13454</v>
      </c>
      <c r="Z2921" s="8" t="s">
        <v>4855</v>
      </c>
    </row>
    <row r="2922" spans="1:26" x14ac:dyDescent="0.2">
      <c r="A2922" s="8">
        <v>2921</v>
      </c>
      <c r="B2922" s="8" t="s">
        <v>13455</v>
      </c>
      <c r="C2922" s="8" t="s">
        <v>13455</v>
      </c>
      <c r="F2922" s="47" t="s">
        <v>56679</v>
      </c>
      <c r="G2922" s="8">
        <v>15</v>
      </c>
      <c r="H2922" s="8" t="s">
        <v>21</v>
      </c>
      <c r="I2922" s="8" t="s">
        <v>22</v>
      </c>
      <c r="J2922" s="8" t="s">
        <v>22</v>
      </c>
      <c r="K2922" s="8" t="s">
        <v>7975</v>
      </c>
      <c r="L2922" s="8" t="s">
        <v>11765</v>
      </c>
      <c r="M2922" s="8" t="s">
        <v>11766</v>
      </c>
      <c r="N2922" s="8" t="s">
        <v>13456</v>
      </c>
      <c r="O2922" s="8">
        <f>9+34/60+31.1/3600</f>
        <v>9.5753055555555555</v>
      </c>
      <c r="P2922" s="8" t="s">
        <v>13457</v>
      </c>
      <c r="Q2922" s="8">
        <f>-(20+55/60+11/3600)</f>
        <v>-20.919722222222223</v>
      </c>
      <c r="R2922" s="8">
        <v>12</v>
      </c>
      <c r="S2922" s="8">
        <v>13</v>
      </c>
      <c r="T2922" s="8">
        <v>1</v>
      </c>
      <c r="U2922" s="8">
        <v>13</v>
      </c>
      <c r="V2922" s="8">
        <v>2.9</v>
      </c>
      <c r="W2922" s="8">
        <v>1.1000000000000001</v>
      </c>
      <c r="X2922" s="8">
        <v>83</v>
      </c>
      <c r="Y2922" s="8" t="s">
        <v>13458</v>
      </c>
      <c r="Z2922" s="8" t="s">
        <v>13459</v>
      </c>
    </row>
    <row r="2923" spans="1:26" x14ac:dyDescent="0.2">
      <c r="A2923" s="8">
        <v>2922</v>
      </c>
      <c r="B2923" s="8" t="s">
        <v>13460</v>
      </c>
      <c r="C2923" s="8" t="s">
        <v>13460</v>
      </c>
      <c r="F2923" s="47"/>
      <c r="G2923" s="8">
        <v>19</v>
      </c>
      <c r="H2923" s="8" t="s">
        <v>21</v>
      </c>
      <c r="I2923" s="8" t="s">
        <v>22</v>
      </c>
      <c r="J2923" s="8" t="s">
        <v>22</v>
      </c>
      <c r="K2923" s="8" t="s">
        <v>3616</v>
      </c>
      <c r="L2923" s="8" t="s">
        <v>13179</v>
      </c>
      <c r="M2923" s="8" t="s">
        <v>13180</v>
      </c>
      <c r="N2923" s="8" t="s">
        <v>13461</v>
      </c>
      <c r="O2923" s="8">
        <f>9+36/60+52.6/3600</f>
        <v>9.6146111111111114</v>
      </c>
      <c r="P2923" s="8" t="s">
        <v>13462</v>
      </c>
      <c r="Q2923" s="8">
        <f>+(37+41/60+41/3600)</f>
        <v>37.694722222222218</v>
      </c>
      <c r="R2923" s="8">
        <v>14</v>
      </c>
      <c r="S2923" s="8">
        <v>14.6</v>
      </c>
      <c r="T2923" s="8">
        <v>0.6</v>
      </c>
      <c r="U2923" s="8">
        <v>13.3</v>
      </c>
      <c r="V2923" s="8">
        <v>1.2</v>
      </c>
      <c r="W2923" s="8">
        <v>0.5</v>
      </c>
      <c r="X2923" s="8">
        <v>103</v>
      </c>
      <c r="Y2923" s="8" t="s">
        <v>6236</v>
      </c>
      <c r="Z2923" s="8" t="s">
        <v>6237</v>
      </c>
    </row>
    <row r="2924" spans="1:26" x14ac:dyDescent="0.2">
      <c r="A2924" s="8">
        <v>2923</v>
      </c>
      <c r="B2924" s="8" t="s">
        <v>13463</v>
      </c>
      <c r="C2924" s="8" t="s">
        <v>13463</v>
      </c>
      <c r="F2924" s="47"/>
      <c r="G2924" s="8">
        <v>18</v>
      </c>
      <c r="H2924" s="8" t="s">
        <v>21</v>
      </c>
      <c r="I2924" s="8" t="s">
        <v>22</v>
      </c>
      <c r="J2924" s="8" t="s">
        <v>22</v>
      </c>
      <c r="K2924" s="8" t="s">
        <v>424</v>
      </c>
      <c r="L2924" s="8" t="s">
        <v>13194</v>
      </c>
      <c r="M2924" s="8" t="s">
        <v>13195</v>
      </c>
      <c r="N2924" s="8" t="s">
        <v>13464</v>
      </c>
      <c r="O2924" s="8">
        <f>9+36/60+3.8/3600</f>
        <v>9.6010555555555559</v>
      </c>
      <c r="P2924" s="8" t="s">
        <v>13465</v>
      </c>
      <c r="Q2924" s="8">
        <f>+(16+45/60+39/3600)</f>
        <v>16.760833333333334</v>
      </c>
      <c r="R2924" s="8">
        <v>14.2</v>
      </c>
      <c r="S2924" s="8">
        <v>15.2</v>
      </c>
      <c r="T2924" s="8">
        <v>1</v>
      </c>
      <c r="U2924" s="8">
        <v>12.3</v>
      </c>
      <c r="V2924" s="8">
        <v>0.5</v>
      </c>
      <c r="W2924" s="8">
        <v>0.4</v>
      </c>
      <c r="X2924" s="8">
        <v>15</v>
      </c>
      <c r="Y2924" s="8" t="s">
        <v>297</v>
      </c>
      <c r="Z2924" s="8" t="s">
        <v>298</v>
      </c>
    </row>
    <row r="2925" spans="1:26" x14ac:dyDescent="0.2">
      <c r="A2925" s="8">
        <v>2924</v>
      </c>
      <c r="B2925" s="8" t="s">
        <v>13466</v>
      </c>
      <c r="C2925" s="8" t="s">
        <v>13466</v>
      </c>
      <c r="F2925" s="47"/>
      <c r="G2925" s="8">
        <v>13</v>
      </c>
      <c r="H2925" s="8" t="s">
        <v>21</v>
      </c>
      <c r="I2925" s="8" t="s">
        <v>22</v>
      </c>
      <c r="J2925" s="8" t="s">
        <v>22</v>
      </c>
      <c r="K2925" s="8" t="s">
        <v>183</v>
      </c>
      <c r="L2925" s="8" t="s">
        <v>11765</v>
      </c>
      <c r="M2925" s="8" t="s">
        <v>11766</v>
      </c>
      <c r="N2925" s="8" t="s">
        <v>13467</v>
      </c>
      <c r="O2925" s="8">
        <f>9+35/60+10.9/3600</f>
        <v>9.5863611111111116</v>
      </c>
      <c r="P2925" s="8" t="s">
        <v>13468</v>
      </c>
      <c r="Q2925" s="8">
        <f>-(16+23/60+53/3600)</f>
        <v>-16.398055555555555</v>
      </c>
      <c r="R2925" s="8">
        <v>12</v>
      </c>
      <c r="S2925" s="8">
        <v>13</v>
      </c>
      <c r="T2925" s="8">
        <v>1</v>
      </c>
      <c r="U2925" s="8">
        <v>12.6</v>
      </c>
      <c r="V2925" s="8">
        <v>1.3</v>
      </c>
      <c r="W2925" s="8">
        <v>1.2</v>
      </c>
      <c r="X2925" s="8">
        <v>150</v>
      </c>
      <c r="Y2925" s="8" t="s">
        <v>13469</v>
      </c>
      <c r="Z2925" s="8" t="s">
        <v>13470</v>
      </c>
    </row>
    <row r="2926" spans="1:26" x14ac:dyDescent="0.2">
      <c r="A2926" s="8">
        <v>2925</v>
      </c>
      <c r="B2926" s="8" t="s">
        <v>13471</v>
      </c>
      <c r="C2926" s="8" t="s">
        <v>13471</v>
      </c>
      <c r="F2926" s="47"/>
      <c r="G2926" s="8">
        <v>8</v>
      </c>
      <c r="H2926" s="8" t="s">
        <v>21</v>
      </c>
      <c r="I2926" s="8" t="s">
        <v>557</v>
      </c>
      <c r="J2926" s="8" t="s">
        <v>557</v>
      </c>
      <c r="K2926" s="8" t="s">
        <v>1168</v>
      </c>
      <c r="L2926" s="8" t="s">
        <v>11757</v>
      </c>
      <c r="M2926" s="8" t="s">
        <v>11758</v>
      </c>
      <c r="N2926" s="8" t="s">
        <v>13472</v>
      </c>
      <c r="O2926" s="8">
        <f>9+33/60+10.9/3600</f>
        <v>9.5530277777777783</v>
      </c>
      <c r="P2926" s="8" t="s">
        <v>13473</v>
      </c>
      <c r="Q2926" s="8">
        <f>-(53+23/60+45/3600)</f>
        <v>-53.395833333333336</v>
      </c>
      <c r="R2926" s="8">
        <v>8.3000000000000007</v>
      </c>
      <c r="S2926" s="8">
        <v>99</v>
      </c>
      <c r="T2926" s="8">
        <v>99</v>
      </c>
      <c r="U2926" s="8">
        <v>99</v>
      </c>
      <c r="V2926" s="8">
        <v>15</v>
      </c>
      <c r="Y2926" s="8" t="s">
        <v>13474</v>
      </c>
      <c r="Z2926" s="8" t="s">
        <v>13475</v>
      </c>
    </row>
    <row r="2927" spans="1:26" x14ac:dyDescent="0.2">
      <c r="A2927" s="8">
        <v>2926</v>
      </c>
      <c r="B2927" s="8" t="s">
        <v>13476</v>
      </c>
      <c r="C2927" s="8" t="s">
        <v>13476</v>
      </c>
      <c r="F2927" s="47"/>
      <c r="G2927" s="8">
        <v>19</v>
      </c>
      <c r="H2927" s="8" t="s">
        <v>21</v>
      </c>
      <c r="I2927" s="8" t="s">
        <v>22</v>
      </c>
      <c r="J2927" s="8" t="s">
        <v>22</v>
      </c>
      <c r="K2927" s="8" t="s">
        <v>218</v>
      </c>
      <c r="L2927" s="8" t="s">
        <v>13194</v>
      </c>
      <c r="M2927" s="8" t="s">
        <v>13195</v>
      </c>
      <c r="N2927" s="8" t="s">
        <v>13477</v>
      </c>
      <c r="O2927" s="8">
        <f>9+37/60+31/3600</f>
        <v>9.6252777777777787</v>
      </c>
      <c r="P2927" s="8" t="s">
        <v>13478</v>
      </c>
      <c r="Q2927" s="8">
        <f>+(32+50/60+30/3600)</f>
        <v>32.841666666666669</v>
      </c>
      <c r="R2927" s="8">
        <v>13.6</v>
      </c>
      <c r="S2927" s="8">
        <v>14.4</v>
      </c>
      <c r="T2927" s="8">
        <v>0.8</v>
      </c>
      <c r="U2927" s="8">
        <v>13.2</v>
      </c>
      <c r="V2927" s="8">
        <v>1</v>
      </c>
      <c r="W2927" s="8">
        <v>0.8</v>
      </c>
      <c r="X2927" s="8">
        <v>120</v>
      </c>
      <c r="Y2927" s="8" t="s">
        <v>297</v>
      </c>
      <c r="Z2927" s="8" t="s">
        <v>298</v>
      </c>
    </row>
    <row r="2928" spans="1:26" x14ac:dyDescent="0.2">
      <c r="A2928" s="8">
        <v>2927</v>
      </c>
      <c r="B2928" s="8" t="s">
        <v>13479</v>
      </c>
      <c r="C2928" s="8" t="s">
        <v>13479</v>
      </c>
      <c r="F2928" s="47"/>
      <c r="G2928" s="8">
        <v>18</v>
      </c>
      <c r="H2928" s="8" t="s">
        <v>21</v>
      </c>
      <c r="I2928" s="8" t="s">
        <v>22</v>
      </c>
      <c r="J2928" s="8" t="s">
        <v>22</v>
      </c>
      <c r="K2928" s="8" t="s">
        <v>218</v>
      </c>
      <c r="L2928" s="8" t="s">
        <v>13194</v>
      </c>
      <c r="M2928" s="8" t="s">
        <v>13195</v>
      </c>
      <c r="N2928" s="8" t="s">
        <v>13480</v>
      </c>
      <c r="O2928" s="8">
        <f>9+37/60+15.1/3600</f>
        <v>9.6208611111111111</v>
      </c>
      <c r="P2928" s="8" t="s">
        <v>13481</v>
      </c>
      <c r="Q2928" s="8">
        <f>+(23+35/60+25/3600)</f>
        <v>23.590277777777775</v>
      </c>
      <c r="R2928" s="8">
        <v>12.9</v>
      </c>
      <c r="S2928" s="8">
        <v>13.7</v>
      </c>
      <c r="T2928" s="8">
        <v>0.8</v>
      </c>
      <c r="U2928" s="8">
        <v>13</v>
      </c>
      <c r="V2928" s="8">
        <v>1.3</v>
      </c>
      <c r="W2928" s="8">
        <v>1</v>
      </c>
      <c r="X2928" s="8">
        <v>155</v>
      </c>
      <c r="Y2928" s="8" t="s">
        <v>2585</v>
      </c>
      <c r="Z2928" s="8" t="s">
        <v>2586</v>
      </c>
    </row>
    <row r="2929" spans="1:26" x14ac:dyDescent="0.2">
      <c r="A2929" s="8">
        <v>2928</v>
      </c>
      <c r="B2929" s="8" t="s">
        <v>13482</v>
      </c>
      <c r="C2929" s="8" t="s">
        <v>13482</v>
      </c>
      <c r="F2929" s="47"/>
      <c r="G2929" s="8">
        <v>18</v>
      </c>
      <c r="H2929" s="8" t="s">
        <v>21</v>
      </c>
      <c r="I2929" s="8" t="s">
        <v>22</v>
      </c>
      <c r="J2929" s="8" t="s">
        <v>22</v>
      </c>
      <c r="K2929" s="8" t="s">
        <v>449</v>
      </c>
      <c r="L2929" s="8" t="s">
        <v>13194</v>
      </c>
      <c r="M2929" s="8" t="s">
        <v>13195</v>
      </c>
      <c r="N2929" s="8" t="s">
        <v>13483</v>
      </c>
      <c r="O2929" s="8">
        <f>9+37/60+10.1/3600</f>
        <v>9.6194722222222229</v>
      </c>
      <c r="P2929" s="8" t="s">
        <v>13484</v>
      </c>
      <c r="Q2929" s="8">
        <f>+(16+58/60+39/3600)</f>
        <v>16.977499999999999</v>
      </c>
      <c r="R2929" s="8">
        <v>14.7</v>
      </c>
      <c r="S2929" s="8">
        <v>15.5</v>
      </c>
      <c r="T2929" s="8">
        <v>0.8</v>
      </c>
      <c r="U2929" s="8">
        <v>14.1</v>
      </c>
      <c r="V2929" s="8">
        <v>1.1000000000000001</v>
      </c>
      <c r="W2929" s="8">
        <v>0.6</v>
      </c>
      <c r="X2929" s="8">
        <v>42</v>
      </c>
      <c r="Y2929" s="8" t="s">
        <v>2248</v>
      </c>
      <c r="Z2929" s="8" t="s">
        <v>2249</v>
      </c>
    </row>
    <row r="2930" spans="1:26" x14ac:dyDescent="0.2">
      <c r="A2930" s="8">
        <v>2929</v>
      </c>
      <c r="B2930" s="8" t="s">
        <v>13485</v>
      </c>
      <c r="C2930" s="8" t="s">
        <v>13485</v>
      </c>
      <c r="F2930" s="47"/>
      <c r="G2930" s="8">
        <v>18</v>
      </c>
      <c r="H2930" s="8" t="s">
        <v>21</v>
      </c>
      <c r="I2930" s="8" t="s">
        <v>22</v>
      </c>
      <c r="J2930" s="8" t="s">
        <v>22</v>
      </c>
      <c r="K2930" s="8" t="s">
        <v>160</v>
      </c>
      <c r="L2930" s="8" t="s">
        <v>13194</v>
      </c>
      <c r="M2930" s="8" t="s">
        <v>13195</v>
      </c>
      <c r="N2930" s="8" t="s">
        <v>13486</v>
      </c>
      <c r="O2930" s="8">
        <f>9+37/60+29.7/3600</f>
        <v>9.6249166666666675</v>
      </c>
      <c r="P2930" s="8" t="s">
        <v>13487</v>
      </c>
      <c r="Q2930" s="8">
        <f>+(23+9/60+40/3600)</f>
        <v>23.161111111111111</v>
      </c>
      <c r="R2930" s="8">
        <v>13.8</v>
      </c>
      <c r="S2930" s="8">
        <v>14.5</v>
      </c>
      <c r="T2930" s="8">
        <v>0.7</v>
      </c>
      <c r="U2930" s="8">
        <v>12.5</v>
      </c>
      <c r="V2930" s="8">
        <v>1.2</v>
      </c>
      <c r="W2930" s="8">
        <v>0.3</v>
      </c>
      <c r="X2930" s="8">
        <v>144</v>
      </c>
      <c r="Y2930" s="8" t="s">
        <v>13488</v>
      </c>
      <c r="Z2930" s="8" t="s">
        <v>13489</v>
      </c>
    </row>
    <row r="2931" spans="1:26" x14ac:dyDescent="0.2">
      <c r="A2931" s="8">
        <v>2930</v>
      </c>
      <c r="B2931" s="8" t="s">
        <v>13490</v>
      </c>
      <c r="C2931" s="8" t="s">
        <v>13490</v>
      </c>
      <c r="F2931" s="47"/>
      <c r="G2931" s="8">
        <v>18</v>
      </c>
      <c r="H2931" s="8" t="s">
        <v>21</v>
      </c>
      <c r="I2931" s="8" t="s">
        <v>22</v>
      </c>
      <c r="J2931" s="8" t="s">
        <v>22</v>
      </c>
      <c r="K2931" s="8" t="s">
        <v>476</v>
      </c>
      <c r="L2931" s="8" t="s">
        <v>13194</v>
      </c>
      <c r="M2931" s="8" t="s">
        <v>13195</v>
      </c>
      <c r="N2931" s="8" t="s">
        <v>13491</v>
      </c>
      <c r="O2931" s="8">
        <f>9+37/60+32.6/3600</f>
        <v>9.6257222222222225</v>
      </c>
      <c r="P2931" s="8" t="s">
        <v>13492</v>
      </c>
      <c r="Q2931" s="8">
        <f>+(23+12/60+13/3600)</f>
        <v>23.203611111111112</v>
      </c>
      <c r="R2931" s="8">
        <v>14.2</v>
      </c>
      <c r="S2931" s="8">
        <v>15.1</v>
      </c>
      <c r="T2931" s="8">
        <v>0.9</v>
      </c>
      <c r="U2931" s="8">
        <v>12.7</v>
      </c>
      <c r="V2931" s="8">
        <v>0.7</v>
      </c>
      <c r="W2931" s="8">
        <v>0.4</v>
      </c>
      <c r="X2931" s="8">
        <v>135</v>
      </c>
      <c r="Y2931" s="8" t="s">
        <v>13493</v>
      </c>
      <c r="Z2931" s="8" t="s">
        <v>13494</v>
      </c>
    </row>
    <row r="2932" spans="1:26" x14ac:dyDescent="0.2">
      <c r="A2932" s="8">
        <v>2931</v>
      </c>
      <c r="B2932" s="8" t="s">
        <v>13495</v>
      </c>
      <c r="C2932" s="8" t="s">
        <v>13495</v>
      </c>
      <c r="F2932" s="47"/>
      <c r="G2932" s="8">
        <v>18</v>
      </c>
      <c r="H2932" s="8" t="s">
        <v>21</v>
      </c>
      <c r="I2932" s="8" t="s">
        <v>22</v>
      </c>
      <c r="J2932" s="8" t="s">
        <v>22</v>
      </c>
      <c r="K2932" s="8" t="s">
        <v>476</v>
      </c>
      <c r="L2932" s="8" t="s">
        <v>13194</v>
      </c>
      <c r="M2932" s="8" t="s">
        <v>13195</v>
      </c>
      <c r="N2932" s="8" t="s">
        <v>13496</v>
      </c>
      <c r="O2932" s="8">
        <f>9+37/60+37.6/3600</f>
        <v>9.6271111111111107</v>
      </c>
      <c r="P2932" s="8" t="s">
        <v>13497</v>
      </c>
      <c r="Q2932" s="8">
        <f>+(23+14/60+26/3600)</f>
        <v>23.240555555555556</v>
      </c>
      <c r="R2932" s="8">
        <v>14.2</v>
      </c>
      <c r="S2932" s="8">
        <v>15.1</v>
      </c>
      <c r="T2932" s="8">
        <v>0.9</v>
      </c>
      <c r="U2932" s="8">
        <v>13.3</v>
      </c>
      <c r="V2932" s="8">
        <v>0.8</v>
      </c>
      <c r="W2932" s="8">
        <v>0.6</v>
      </c>
      <c r="X2932" s="8">
        <v>69</v>
      </c>
      <c r="Y2932" s="8" t="s">
        <v>13498</v>
      </c>
      <c r="Z2932" s="8" t="s">
        <v>6868</v>
      </c>
    </row>
    <row r="2933" spans="1:26" x14ac:dyDescent="0.2">
      <c r="A2933" s="8">
        <v>2932</v>
      </c>
      <c r="B2933" s="8" t="s">
        <v>13499</v>
      </c>
      <c r="C2933" s="8" t="s">
        <v>13499</v>
      </c>
      <c r="F2933" s="47"/>
      <c r="G2933" s="8">
        <v>16</v>
      </c>
      <c r="H2933" s="8" t="s">
        <v>21</v>
      </c>
      <c r="I2933" s="8" t="s">
        <v>72</v>
      </c>
      <c r="J2933" s="8" t="s">
        <v>72</v>
      </c>
      <c r="K2933" s="8" t="s">
        <v>1405</v>
      </c>
      <c r="L2933" s="8" t="s">
        <v>11757</v>
      </c>
      <c r="M2933" s="8" t="s">
        <v>11758</v>
      </c>
      <c r="N2933" s="8" t="s">
        <v>13500</v>
      </c>
      <c r="O2933" s="8">
        <f>9+35/60+54/3600</f>
        <v>9.5983333333333345</v>
      </c>
      <c r="P2933" s="8" t="s">
        <v>13501</v>
      </c>
      <c r="Q2933" s="8">
        <f>-(46+55/60+0/3600)</f>
        <v>-46.916666666666664</v>
      </c>
      <c r="R2933" s="8">
        <v>99</v>
      </c>
      <c r="S2933" s="8">
        <v>99</v>
      </c>
      <c r="T2933" s="8">
        <v>99</v>
      </c>
      <c r="U2933" s="8">
        <v>99</v>
      </c>
      <c r="Y2933" s="8" t="s">
        <v>13502</v>
      </c>
      <c r="Z2933" s="8" t="s">
        <v>13503</v>
      </c>
    </row>
    <row r="2934" spans="1:26" x14ac:dyDescent="0.2">
      <c r="A2934" s="8">
        <v>2933</v>
      </c>
      <c r="B2934" s="8" t="s">
        <v>13504</v>
      </c>
      <c r="C2934" s="8" t="s">
        <v>13504</v>
      </c>
      <c r="F2934" s="47"/>
      <c r="G2934" s="8">
        <v>18</v>
      </c>
      <c r="H2934" s="8" t="s">
        <v>21</v>
      </c>
      <c r="I2934" s="8" t="s">
        <v>22</v>
      </c>
      <c r="J2934" s="8" t="s">
        <v>22</v>
      </c>
      <c r="K2934" s="8" t="s">
        <v>449</v>
      </c>
      <c r="L2934" s="8" t="s">
        <v>13194</v>
      </c>
      <c r="M2934" s="8" t="s">
        <v>13195</v>
      </c>
      <c r="N2934" s="8" t="s">
        <v>13505</v>
      </c>
      <c r="O2934" s="8">
        <f>9+37/60+55/3600</f>
        <v>9.6319444444444446</v>
      </c>
      <c r="P2934" s="8" t="s">
        <v>13506</v>
      </c>
      <c r="Q2934" s="8">
        <f>+(17+0/60+53/3600)</f>
        <v>17.014722222222222</v>
      </c>
      <c r="R2934" s="8">
        <v>14.6</v>
      </c>
      <c r="S2934" s="8">
        <v>15.5</v>
      </c>
      <c r="T2934" s="8">
        <v>0.9</v>
      </c>
      <c r="U2934" s="8">
        <v>13.5</v>
      </c>
      <c r="V2934" s="8">
        <v>1</v>
      </c>
      <c r="W2934" s="8">
        <v>0.4</v>
      </c>
      <c r="X2934" s="8">
        <v>30</v>
      </c>
      <c r="Y2934" s="8" t="s">
        <v>13507</v>
      </c>
      <c r="Z2934" s="8" t="s">
        <v>13508</v>
      </c>
    </row>
    <row r="2935" spans="1:26" x14ac:dyDescent="0.2">
      <c r="A2935" s="8">
        <v>2934</v>
      </c>
      <c r="B2935" s="8" t="s">
        <v>13509</v>
      </c>
      <c r="C2935" s="8" t="s">
        <v>13509</v>
      </c>
      <c r="F2935" s="47"/>
      <c r="G2935" s="8">
        <v>18</v>
      </c>
      <c r="H2935" s="8" t="s">
        <v>21</v>
      </c>
      <c r="I2935" s="8" t="s">
        <v>22</v>
      </c>
      <c r="J2935" s="8" t="s">
        <v>22</v>
      </c>
      <c r="K2935" s="8" t="s">
        <v>424</v>
      </c>
      <c r="L2935" s="8" t="s">
        <v>13194</v>
      </c>
      <c r="M2935" s="8" t="s">
        <v>13195</v>
      </c>
      <c r="N2935" s="8" t="s">
        <v>13510</v>
      </c>
      <c r="O2935" s="8">
        <f>9+37/60+55.1/3600</f>
        <v>9.6319722222222222</v>
      </c>
      <c r="P2935" s="8" t="s">
        <v>13511</v>
      </c>
      <c r="Q2935" s="8">
        <f>+(17+3/60+18/3600)</f>
        <v>17.055</v>
      </c>
      <c r="R2935" s="8">
        <v>16</v>
      </c>
      <c r="S2935" s="8">
        <v>17</v>
      </c>
      <c r="T2935" s="8">
        <v>1</v>
      </c>
      <c r="U2935" s="8">
        <v>12.4</v>
      </c>
      <c r="V2935" s="8">
        <v>0.2</v>
      </c>
      <c r="W2935" s="8">
        <v>0.2</v>
      </c>
      <c r="Y2935" s="8" t="s">
        <v>13512</v>
      </c>
      <c r="Z2935" s="8" t="s">
        <v>13513</v>
      </c>
    </row>
    <row r="2936" spans="1:26" x14ac:dyDescent="0.2">
      <c r="A2936" s="8">
        <v>2935</v>
      </c>
      <c r="B2936" s="8" t="s">
        <v>13514</v>
      </c>
      <c r="C2936" s="8" t="s">
        <v>13514</v>
      </c>
      <c r="F2936" s="47" t="s">
        <v>56680</v>
      </c>
      <c r="G2936" s="8">
        <v>13</v>
      </c>
      <c r="H2936" s="8" t="s">
        <v>21</v>
      </c>
      <c r="I2936" s="8" t="s">
        <v>22</v>
      </c>
      <c r="J2936" s="8" t="s">
        <v>22</v>
      </c>
      <c r="K2936" s="8" t="s">
        <v>218</v>
      </c>
      <c r="L2936" s="8" t="s">
        <v>11765</v>
      </c>
      <c r="M2936" s="8" t="s">
        <v>11766</v>
      </c>
      <c r="N2936" s="8" t="s">
        <v>13515</v>
      </c>
      <c r="O2936" s="8">
        <f>9+36/60+44.6/3600</f>
        <v>9.6123888888888889</v>
      </c>
      <c r="P2936" s="8" t="s">
        <v>13516</v>
      </c>
      <c r="Q2936" s="8">
        <f>-(21+7/60+40/3600)</f>
        <v>-21.12777777777778</v>
      </c>
      <c r="R2936" s="8">
        <v>11.3</v>
      </c>
      <c r="S2936" s="8">
        <v>12.1</v>
      </c>
      <c r="T2936" s="8">
        <v>0.8</v>
      </c>
      <c r="U2936" s="8">
        <v>14.1</v>
      </c>
      <c r="V2936" s="8">
        <v>3.7</v>
      </c>
      <c r="W2936" s="8">
        <v>2.8</v>
      </c>
      <c r="X2936" s="8">
        <v>0</v>
      </c>
      <c r="Y2936" s="8" t="s">
        <v>13517</v>
      </c>
      <c r="Z2936" s="8" t="s">
        <v>13518</v>
      </c>
    </row>
    <row r="2937" spans="1:26" x14ac:dyDescent="0.2">
      <c r="A2937" s="8">
        <v>2936</v>
      </c>
      <c r="B2937" s="8" t="s">
        <v>13519</v>
      </c>
      <c r="C2937" s="8" t="s">
        <v>13519</v>
      </c>
      <c r="F2937" s="47"/>
      <c r="G2937" s="8">
        <v>14</v>
      </c>
      <c r="H2937" s="8" t="s">
        <v>13520</v>
      </c>
      <c r="I2937" s="8" t="s">
        <v>22</v>
      </c>
      <c r="J2937" s="8" t="s">
        <v>22</v>
      </c>
      <c r="K2937" s="8" t="s">
        <v>3850</v>
      </c>
      <c r="L2937" s="8" t="s">
        <v>11765</v>
      </c>
      <c r="M2937" s="8" t="s">
        <v>11766</v>
      </c>
      <c r="N2937" s="8" t="s">
        <v>13521</v>
      </c>
      <c r="O2937" s="8">
        <f>9+37/60+44.4/3600</f>
        <v>9.6290000000000013</v>
      </c>
      <c r="P2937" s="8" t="s">
        <v>13522</v>
      </c>
      <c r="Q2937" s="8">
        <f>+(2+45/60+38/3600)</f>
        <v>2.7605555555555554</v>
      </c>
      <c r="R2937" s="8">
        <v>13.1</v>
      </c>
      <c r="S2937" s="8">
        <v>13.9</v>
      </c>
      <c r="T2937" s="8">
        <v>0.8</v>
      </c>
      <c r="U2937" s="8">
        <v>13.3</v>
      </c>
      <c r="V2937" s="8">
        <v>1.3</v>
      </c>
      <c r="W2937" s="8">
        <v>0.5</v>
      </c>
      <c r="X2937" s="8">
        <v>35</v>
      </c>
      <c r="Y2937" s="8" t="s">
        <v>13523</v>
      </c>
      <c r="Z2937" s="8" t="s">
        <v>13524</v>
      </c>
    </row>
    <row r="2938" spans="1:26" x14ac:dyDescent="0.2">
      <c r="A2938" s="8">
        <v>2937</v>
      </c>
      <c r="B2938" s="8" t="s">
        <v>13525</v>
      </c>
      <c r="C2938" s="8" t="s">
        <v>13525</v>
      </c>
      <c r="F2938" s="47"/>
      <c r="G2938" s="8">
        <v>14</v>
      </c>
      <c r="H2938" s="8" t="s">
        <v>13526</v>
      </c>
      <c r="I2938" s="8" t="s">
        <v>22</v>
      </c>
      <c r="J2938" s="8" t="s">
        <v>22</v>
      </c>
      <c r="K2938" s="8" t="s">
        <v>382</v>
      </c>
      <c r="L2938" s="8" t="s">
        <v>11765</v>
      </c>
      <c r="M2938" s="8" t="s">
        <v>11766</v>
      </c>
      <c r="N2938" s="8" t="s">
        <v>13527</v>
      </c>
      <c r="O2938" s="8">
        <f>9+37/60+45.1/3600</f>
        <v>9.6291944444444457</v>
      </c>
      <c r="P2938" s="8" t="s">
        <v>13528</v>
      </c>
      <c r="Q2938" s="8">
        <f>+(2+44/60+53/3600)</f>
        <v>2.7480555555555557</v>
      </c>
      <c r="R2938" s="8">
        <v>13.7</v>
      </c>
      <c r="S2938" s="8">
        <v>14.6</v>
      </c>
      <c r="T2938" s="8">
        <v>0.9</v>
      </c>
      <c r="U2938" s="8">
        <v>14.1</v>
      </c>
      <c r="V2938" s="8">
        <v>0.8</v>
      </c>
      <c r="W2938" s="8">
        <v>0.6</v>
      </c>
      <c r="X2938" s="8">
        <v>0</v>
      </c>
      <c r="Y2938" s="8" t="s">
        <v>13523</v>
      </c>
      <c r="Z2938" s="8" t="s">
        <v>13529</v>
      </c>
    </row>
    <row r="2939" spans="1:26" x14ac:dyDescent="0.2">
      <c r="A2939" s="8">
        <v>2938</v>
      </c>
      <c r="B2939" s="8" t="s">
        <v>13530</v>
      </c>
      <c r="C2939" s="8" t="s">
        <v>13530</v>
      </c>
      <c r="F2939" s="47" t="s">
        <v>56681</v>
      </c>
      <c r="G2939" s="8">
        <v>15</v>
      </c>
      <c r="H2939" s="8" t="s">
        <v>21</v>
      </c>
      <c r="I2939" s="8" t="s">
        <v>22</v>
      </c>
      <c r="J2939" s="8" t="s">
        <v>22</v>
      </c>
      <c r="K2939" s="8" t="s">
        <v>64</v>
      </c>
      <c r="L2939" s="8" t="s">
        <v>13395</v>
      </c>
      <c r="M2939" s="8" t="s">
        <v>13396</v>
      </c>
      <c r="N2939" s="8" t="s">
        <v>13531</v>
      </c>
      <c r="O2939" s="8">
        <f>9+38/60+24.7/3600</f>
        <v>9.6401944444444432</v>
      </c>
      <c r="P2939" s="8" t="s">
        <v>13532</v>
      </c>
      <c r="Q2939" s="8">
        <f>+(76+19/60+9/3600)</f>
        <v>76.319166666666661</v>
      </c>
      <c r="R2939" s="8">
        <v>13.5</v>
      </c>
      <c r="S2939" s="8">
        <v>14.2</v>
      </c>
      <c r="T2939" s="8">
        <v>0.7</v>
      </c>
      <c r="U2939" s="8">
        <v>14</v>
      </c>
      <c r="V2939" s="8">
        <v>1.8</v>
      </c>
      <c r="W2939" s="8">
        <v>1</v>
      </c>
      <c r="X2939" s="8">
        <v>105</v>
      </c>
      <c r="Y2939" s="8" t="s">
        <v>13533</v>
      </c>
      <c r="Z2939" s="8" t="s">
        <v>13534</v>
      </c>
    </row>
    <row r="2940" spans="1:26" x14ac:dyDescent="0.2">
      <c r="A2940" s="8">
        <v>2939</v>
      </c>
      <c r="B2940" s="8" t="s">
        <v>13535</v>
      </c>
      <c r="C2940" s="8" t="s">
        <v>13535</v>
      </c>
      <c r="F2940" s="47" t="s">
        <v>56682</v>
      </c>
      <c r="G2940" s="8">
        <v>15</v>
      </c>
      <c r="H2940" s="8" t="s">
        <v>21</v>
      </c>
      <c r="I2940" s="8" t="s">
        <v>22</v>
      </c>
      <c r="J2940" s="8" t="s">
        <v>22</v>
      </c>
      <c r="K2940" s="8" t="s">
        <v>396</v>
      </c>
      <c r="L2940" s="8" t="s">
        <v>13194</v>
      </c>
      <c r="M2940" s="8" t="s">
        <v>13195</v>
      </c>
      <c r="N2940" s="8" t="s">
        <v>13536</v>
      </c>
      <c r="O2940" s="8">
        <f>9+38/60+7.9/3600</f>
        <v>9.6355277777777779</v>
      </c>
      <c r="P2940" s="8" t="s">
        <v>13537</v>
      </c>
      <c r="Q2940" s="8">
        <f>+(9+31/60+25/3600)</f>
        <v>9.5236111111111121</v>
      </c>
      <c r="R2940" s="8">
        <v>12.4</v>
      </c>
      <c r="S2940" s="8">
        <v>13.2</v>
      </c>
      <c r="T2940" s="8">
        <v>0.8</v>
      </c>
      <c r="U2940" s="8">
        <v>12.7</v>
      </c>
      <c r="V2940" s="8">
        <v>2.4</v>
      </c>
      <c r="W2940" s="8">
        <v>0.6</v>
      </c>
      <c r="X2940" s="8">
        <v>157</v>
      </c>
      <c r="Y2940" s="8" t="s">
        <v>13538</v>
      </c>
      <c r="Z2940" s="8" t="s">
        <v>13539</v>
      </c>
    </row>
    <row r="2941" spans="1:26" x14ac:dyDescent="0.2">
      <c r="A2941" s="8">
        <v>2940</v>
      </c>
      <c r="B2941" s="8" t="s">
        <v>13540</v>
      </c>
      <c r="C2941" s="8" t="s">
        <v>13540</v>
      </c>
      <c r="F2941" s="47"/>
      <c r="G2941" s="8">
        <v>19</v>
      </c>
      <c r="H2941" s="8" t="s">
        <v>21</v>
      </c>
      <c r="I2941" s="8" t="s">
        <v>22</v>
      </c>
      <c r="J2941" s="8" t="s">
        <v>22</v>
      </c>
      <c r="K2941" s="8" t="s">
        <v>58</v>
      </c>
      <c r="L2941" s="8" t="s">
        <v>13194</v>
      </c>
      <c r="M2941" s="8" t="s">
        <v>13195</v>
      </c>
      <c r="N2941" s="8" t="s">
        <v>13541</v>
      </c>
      <c r="O2941" s="8">
        <f>9+38/60+5.1/3600</f>
        <v>9.6347500000000004</v>
      </c>
      <c r="P2941" s="8" t="s">
        <v>13542</v>
      </c>
      <c r="Q2941" s="8">
        <f>+(9+37/60+2/3600)</f>
        <v>9.6172222222222228</v>
      </c>
      <c r="R2941" s="8">
        <v>13.6</v>
      </c>
      <c r="S2941" s="8">
        <v>14.6</v>
      </c>
      <c r="T2941" s="8">
        <v>1</v>
      </c>
      <c r="U2941" s="8">
        <v>13.2</v>
      </c>
      <c r="V2941" s="8">
        <v>0.9</v>
      </c>
      <c r="W2941" s="8">
        <v>0.7</v>
      </c>
      <c r="X2941" s="8">
        <v>90</v>
      </c>
      <c r="Y2941" s="8" t="s">
        <v>13543</v>
      </c>
      <c r="Z2941" s="8" t="s">
        <v>13544</v>
      </c>
    </row>
    <row r="2942" spans="1:26" x14ac:dyDescent="0.2">
      <c r="A2942" s="8">
        <v>2941</v>
      </c>
      <c r="B2942" s="8" t="s">
        <v>13545</v>
      </c>
      <c r="C2942" s="8" t="s">
        <v>13545</v>
      </c>
      <c r="F2942" s="47"/>
      <c r="G2942" s="8">
        <v>18</v>
      </c>
      <c r="H2942" s="8" t="s">
        <v>21</v>
      </c>
      <c r="I2942" s="8" t="s">
        <v>22</v>
      </c>
      <c r="J2942" s="8" t="s">
        <v>22</v>
      </c>
      <c r="K2942" s="8" t="s">
        <v>449</v>
      </c>
      <c r="L2942" s="8" t="s">
        <v>13194</v>
      </c>
      <c r="M2942" s="8" t="s">
        <v>13195</v>
      </c>
      <c r="N2942" s="8" t="s">
        <v>13546</v>
      </c>
      <c r="O2942" s="8">
        <f>9+38/60+24.3/3600</f>
        <v>9.6400833333333331</v>
      </c>
      <c r="P2942" s="8" t="s">
        <v>13547</v>
      </c>
      <c r="Q2942" s="8">
        <f>+(17+2/60+40/3600)</f>
        <v>17.044444444444448</v>
      </c>
      <c r="R2942" s="8">
        <v>15</v>
      </c>
      <c r="S2942" s="8">
        <v>15.8</v>
      </c>
      <c r="T2942" s="8">
        <v>0.8</v>
      </c>
      <c r="U2942" s="8">
        <v>13.9</v>
      </c>
      <c r="V2942" s="8">
        <v>0.8</v>
      </c>
      <c r="W2942" s="8">
        <v>0.5</v>
      </c>
      <c r="X2942" s="8">
        <v>163</v>
      </c>
      <c r="Y2942" s="8" t="s">
        <v>13548</v>
      </c>
      <c r="Z2942" s="8" t="s">
        <v>13549</v>
      </c>
    </row>
    <row r="2943" spans="1:26" x14ac:dyDescent="0.2">
      <c r="A2943" s="8">
        <v>2942</v>
      </c>
      <c r="B2943" s="8" t="s">
        <v>13550</v>
      </c>
      <c r="C2943" s="8" t="s">
        <v>13550</v>
      </c>
      <c r="F2943" s="47"/>
      <c r="G2943" s="8">
        <v>13</v>
      </c>
      <c r="H2943" s="8" t="s">
        <v>21</v>
      </c>
      <c r="I2943" s="8" t="s">
        <v>22</v>
      </c>
      <c r="J2943" s="8" t="s">
        <v>22</v>
      </c>
      <c r="K2943" s="8" t="s">
        <v>160</v>
      </c>
      <c r="L2943" s="8" t="s">
        <v>13179</v>
      </c>
      <c r="M2943" s="8" t="s">
        <v>13180</v>
      </c>
      <c r="N2943" s="8" t="s">
        <v>13551</v>
      </c>
      <c r="O2943" s="8">
        <f>9+39/60+8/3600</f>
        <v>9.6522222222222229</v>
      </c>
      <c r="P2943" s="8" t="s">
        <v>13552</v>
      </c>
      <c r="Q2943" s="8">
        <f>+(34+0/60+22/3600)</f>
        <v>34.00611111111111</v>
      </c>
      <c r="R2943" s="8">
        <v>12.6</v>
      </c>
      <c r="S2943" s="8">
        <v>13.2</v>
      </c>
      <c r="T2943" s="8">
        <v>0.6</v>
      </c>
      <c r="U2943" s="8">
        <v>14</v>
      </c>
      <c r="V2943" s="8">
        <v>1.9</v>
      </c>
      <c r="W2943" s="8">
        <v>1.5</v>
      </c>
      <c r="X2943" s="8">
        <v>165</v>
      </c>
      <c r="Y2943" s="8" t="s">
        <v>13553</v>
      </c>
      <c r="Z2943" s="8" t="s">
        <v>13554</v>
      </c>
    </row>
    <row r="2944" spans="1:26" x14ac:dyDescent="0.2">
      <c r="A2944" s="8">
        <v>2943</v>
      </c>
      <c r="B2944" s="8" t="s">
        <v>13555</v>
      </c>
      <c r="C2944" s="8" t="s">
        <v>13555</v>
      </c>
      <c r="F2944" s="47"/>
      <c r="G2944" s="8">
        <v>18</v>
      </c>
      <c r="H2944" s="8" t="s">
        <v>21</v>
      </c>
      <c r="I2944" s="8" t="s">
        <v>22</v>
      </c>
      <c r="J2944" s="8" t="s">
        <v>22</v>
      </c>
      <c r="K2944" s="8" t="s">
        <v>1068</v>
      </c>
      <c r="L2944" s="8" t="s">
        <v>13194</v>
      </c>
      <c r="M2944" s="8" t="s">
        <v>13195</v>
      </c>
      <c r="N2944" s="8" t="s">
        <v>13556</v>
      </c>
      <c r="O2944" s="8">
        <f>9+38/60+32.9/3600</f>
        <v>9.6424722222222226</v>
      </c>
      <c r="P2944" s="8" t="s">
        <v>13557</v>
      </c>
      <c r="Q2944" s="8">
        <f>+(17+1/60+52/3600)</f>
        <v>17.031111111111109</v>
      </c>
      <c r="R2944" s="8">
        <v>12.4</v>
      </c>
      <c r="S2944" s="8">
        <v>13.4</v>
      </c>
      <c r="T2944" s="8">
        <v>1</v>
      </c>
      <c r="U2944" s="8">
        <v>13.5</v>
      </c>
      <c r="V2944" s="8">
        <v>2.2000000000000002</v>
      </c>
      <c r="W2944" s="8">
        <v>1.2</v>
      </c>
      <c r="X2944" s="8">
        <v>130</v>
      </c>
      <c r="Y2944" s="8" t="s">
        <v>13558</v>
      </c>
      <c r="Z2944" s="8" t="s">
        <v>13559</v>
      </c>
    </row>
    <row r="2945" spans="1:26" x14ac:dyDescent="0.2">
      <c r="A2945" s="8">
        <v>2944</v>
      </c>
      <c r="B2945" s="8" t="s">
        <v>13560</v>
      </c>
      <c r="C2945" s="8" t="s">
        <v>13560</v>
      </c>
      <c r="E2945" s="8">
        <v>1</v>
      </c>
      <c r="F2945" s="47"/>
      <c r="G2945" s="8">
        <v>19</v>
      </c>
      <c r="H2945" s="8" t="s">
        <v>21</v>
      </c>
      <c r="I2945" s="8" t="s">
        <v>22</v>
      </c>
      <c r="J2945" s="8" t="s">
        <v>22</v>
      </c>
      <c r="K2945" s="8" t="s">
        <v>160</v>
      </c>
      <c r="L2945" s="8" t="s">
        <v>13194</v>
      </c>
      <c r="M2945" s="8" t="s">
        <v>13195</v>
      </c>
      <c r="N2945" s="8" t="s">
        <v>13561</v>
      </c>
      <c r="O2945" s="8">
        <f>9+39/60+18/3600</f>
        <v>9.6550000000000011</v>
      </c>
      <c r="P2945" s="8" t="s">
        <v>1939</v>
      </c>
      <c r="Q2945" s="8">
        <f>+(32+18/60+38/3600)</f>
        <v>32.310555555555553</v>
      </c>
      <c r="R2945" s="8">
        <v>14</v>
      </c>
      <c r="S2945" s="8">
        <v>14.7</v>
      </c>
      <c r="T2945" s="8">
        <v>0.7</v>
      </c>
      <c r="U2945" s="8">
        <v>12.9</v>
      </c>
      <c r="V2945" s="8">
        <v>1</v>
      </c>
      <c r="W2945" s="8">
        <v>0.4</v>
      </c>
      <c r="X2945" s="8">
        <v>95</v>
      </c>
      <c r="Y2945" s="8" t="s">
        <v>13562</v>
      </c>
      <c r="Z2945" s="8" t="s">
        <v>13563</v>
      </c>
    </row>
    <row r="2946" spans="1:26" x14ac:dyDescent="0.2">
      <c r="A2946" s="8">
        <v>2945</v>
      </c>
      <c r="B2946" s="8" t="s">
        <v>13564</v>
      </c>
      <c r="C2946" s="8" t="s">
        <v>13564</v>
      </c>
      <c r="F2946" s="47"/>
      <c r="G2946" s="8">
        <v>16</v>
      </c>
      <c r="H2946" s="8" t="s">
        <v>21</v>
      </c>
      <c r="I2946" s="8" t="s">
        <v>22</v>
      </c>
      <c r="J2946" s="8" t="s">
        <v>22</v>
      </c>
      <c r="K2946" s="8" t="s">
        <v>58</v>
      </c>
      <c r="L2946" s="8" t="s">
        <v>11765</v>
      </c>
      <c r="M2946" s="8" t="s">
        <v>11766</v>
      </c>
      <c r="N2946" s="8" t="s">
        <v>13565</v>
      </c>
      <c r="O2946" s="8">
        <f>9+37/60+41/3600</f>
        <v>9.6280555555555551</v>
      </c>
      <c r="P2946" s="8" t="s">
        <v>13566</v>
      </c>
      <c r="Q2946" s="8">
        <f>-(22+2/60+4/3600)</f>
        <v>-22.034444444444446</v>
      </c>
      <c r="R2946" s="8">
        <v>12.1</v>
      </c>
      <c r="S2946" s="8">
        <v>13.1</v>
      </c>
      <c r="T2946" s="8">
        <v>1</v>
      </c>
      <c r="U2946" s="8">
        <v>12.7</v>
      </c>
      <c r="V2946" s="8">
        <v>1.6</v>
      </c>
      <c r="W2946" s="8">
        <v>1.2</v>
      </c>
      <c r="X2946" s="8">
        <v>168</v>
      </c>
      <c r="Y2946" s="8" t="s">
        <v>13567</v>
      </c>
      <c r="Z2946" s="8" t="s">
        <v>13568</v>
      </c>
    </row>
    <row r="2947" spans="1:26" x14ac:dyDescent="0.2">
      <c r="A2947" s="8">
        <v>2946</v>
      </c>
      <c r="B2947" s="8" t="s">
        <v>13569</v>
      </c>
      <c r="C2947" s="8" t="s">
        <v>13569</v>
      </c>
      <c r="F2947" s="47"/>
      <c r="G2947" s="8">
        <v>18</v>
      </c>
      <c r="H2947" s="8" t="s">
        <v>21</v>
      </c>
      <c r="I2947" s="8" t="s">
        <v>22</v>
      </c>
      <c r="J2947" s="8" t="s">
        <v>22</v>
      </c>
      <c r="K2947" s="8" t="s">
        <v>1445</v>
      </c>
      <c r="L2947" s="8" t="s">
        <v>13194</v>
      </c>
      <c r="M2947" s="8" t="s">
        <v>13195</v>
      </c>
      <c r="N2947" s="8" t="s">
        <v>13570</v>
      </c>
      <c r="O2947" s="8">
        <f>9+39/60+1.6/3600</f>
        <v>9.6504444444444442</v>
      </c>
      <c r="P2947" s="8" t="s">
        <v>13571</v>
      </c>
      <c r="Q2947" s="8">
        <f>+(17+1/60+32/3600)</f>
        <v>17.025555555555556</v>
      </c>
      <c r="R2947" s="8">
        <v>14</v>
      </c>
      <c r="S2947" s="8">
        <v>14.8</v>
      </c>
      <c r="T2947" s="8">
        <v>0.8</v>
      </c>
      <c r="U2947" s="8">
        <v>13.1</v>
      </c>
      <c r="V2947" s="8">
        <v>1.2</v>
      </c>
      <c r="W2947" s="8">
        <v>0.4</v>
      </c>
      <c r="X2947" s="8">
        <v>13</v>
      </c>
      <c r="Y2947" s="8" t="s">
        <v>307</v>
      </c>
      <c r="Z2947" s="8" t="s">
        <v>308</v>
      </c>
    </row>
    <row r="2948" spans="1:26" x14ac:dyDescent="0.2">
      <c r="A2948" s="8">
        <v>2947</v>
      </c>
      <c r="B2948" s="8" t="s">
        <v>13572</v>
      </c>
      <c r="C2948" s="8" t="s">
        <v>13572</v>
      </c>
      <c r="F2948" s="47"/>
      <c r="G2948" s="8">
        <v>19</v>
      </c>
      <c r="H2948" s="8" t="s">
        <v>21</v>
      </c>
      <c r="I2948" s="8" t="s">
        <v>22</v>
      </c>
      <c r="J2948" s="8" t="s">
        <v>22</v>
      </c>
      <c r="K2948" s="8" t="s">
        <v>85</v>
      </c>
      <c r="L2948" s="8" t="s">
        <v>11765</v>
      </c>
      <c r="M2948" s="8" t="s">
        <v>11766</v>
      </c>
      <c r="N2948" s="8" t="s">
        <v>13573</v>
      </c>
      <c r="O2948" s="8">
        <f>9+36/60+5.8/3600</f>
        <v>9.6016111111111115</v>
      </c>
      <c r="P2948" s="8" t="s">
        <v>13574</v>
      </c>
      <c r="Q2948" s="8">
        <f>-(12+26/60+12/3600)</f>
        <v>-12.436666666666667</v>
      </c>
      <c r="R2948" s="8">
        <v>12.1</v>
      </c>
      <c r="S2948" s="8">
        <v>12.9</v>
      </c>
      <c r="T2948" s="8">
        <v>0.8</v>
      </c>
      <c r="U2948" s="8">
        <v>12.7</v>
      </c>
      <c r="V2948" s="8">
        <v>1.5</v>
      </c>
      <c r="W2948" s="8">
        <v>1.4</v>
      </c>
      <c r="X2948" s="8">
        <v>25</v>
      </c>
      <c r="Y2948" s="8" t="s">
        <v>13575</v>
      </c>
      <c r="Z2948" s="8" t="s">
        <v>13576</v>
      </c>
    </row>
    <row r="2949" spans="1:26" x14ac:dyDescent="0.2">
      <c r="A2949" s="8">
        <v>2948</v>
      </c>
      <c r="B2949" s="8" t="s">
        <v>13577</v>
      </c>
      <c r="C2949" s="8" t="s">
        <v>13577</v>
      </c>
      <c r="F2949" s="47" t="s">
        <v>56683</v>
      </c>
      <c r="G2949" s="8">
        <v>15</v>
      </c>
      <c r="H2949" s="8" t="s">
        <v>21</v>
      </c>
      <c r="I2949" s="8" t="s">
        <v>22</v>
      </c>
      <c r="J2949" s="8" t="s">
        <v>22</v>
      </c>
      <c r="K2949" s="8" t="s">
        <v>85</v>
      </c>
      <c r="L2949" s="8" t="s">
        <v>13194</v>
      </c>
      <c r="M2949" s="8" t="s">
        <v>13195</v>
      </c>
      <c r="N2949" s="8" t="s">
        <v>13578</v>
      </c>
      <c r="O2949" s="8">
        <f>9+38/60+59.2/3600</f>
        <v>9.6497777777777767</v>
      </c>
      <c r="P2949" s="8" t="s">
        <v>13579</v>
      </c>
      <c r="Q2949" s="8">
        <f>+(6+57/60+21/3600)</f>
        <v>6.9558333333333335</v>
      </c>
      <c r="R2949" s="8">
        <v>12.9</v>
      </c>
      <c r="S2949" s="8">
        <v>13.7</v>
      </c>
      <c r="T2949" s="8">
        <v>0.8</v>
      </c>
      <c r="U2949" s="8">
        <v>13</v>
      </c>
      <c r="V2949" s="8">
        <v>1.4</v>
      </c>
      <c r="W2949" s="8">
        <v>0.9</v>
      </c>
      <c r="X2949" s="8">
        <v>7</v>
      </c>
      <c r="Y2949" s="8" t="s">
        <v>13580</v>
      </c>
      <c r="Z2949" s="8" t="s">
        <v>13581</v>
      </c>
    </row>
    <row r="2950" spans="1:26" x14ac:dyDescent="0.2">
      <c r="A2950" s="8">
        <v>2949</v>
      </c>
      <c r="B2950" s="8" t="s">
        <v>13582</v>
      </c>
      <c r="C2950" s="8" t="s">
        <v>13582</v>
      </c>
      <c r="E2950" s="8">
        <v>1</v>
      </c>
      <c r="F2950" s="47"/>
      <c r="G2950" s="8">
        <v>18</v>
      </c>
      <c r="H2950" s="8" t="s">
        <v>21</v>
      </c>
      <c r="I2950" s="8" t="s">
        <v>22</v>
      </c>
      <c r="J2950" s="8" t="s">
        <v>22</v>
      </c>
      <c r="K2950" s="8" t="s">
        <v>37</v>
      </c>
      <c r="L2950" s="8" t="s">
        <v>13194</v>
      </c>
      <c r="M2950" s="8" t="s">
        <v>13195</v>
      </c>
      <c r="N2950" s="8" t="s">
        <v>13583</v>
      </c>
      <c r="O2950" s="8">
        <f>9+39/60+55.1/3600</f>
        <v>9.6653055555555554</v>
      </c>
      <c r="P2950" s="8" t="s">
        <v>13584</v>
      </c>
      <c r="Q2950" s="8">
        <f>+(16+47/60+4/3600)</f>
        <v>16.784444444444446</v>
      </c>
      <c r="R2950" s="8">
        <v>14.4</v>
      </c>
      <c r="S2950" s="8">
        <v>15.4</v>
      </c>
      <c r="T2950" s="8">
        <v>1</v>
      </c>
      <c r="U2950" s="8">
        <v>12.4</v>
      </c>
      <c r="V2950" s="8">
        <v>0.6</v>
      </c>
      <c r="W2950" s="8">
        <v>0.3</v>
      </c>
      <c r="X2950" s="8">
        <v>75</v>
      </c>
      <c r="Y2950" s="8" t="s">
        <v>13585</v>
      </c>
      <c r="Z2950" s="8" t="s">
        <v>13586</v>
      </c>
    </row>
    <row r="2951" spans="1:26" x14ac:dyDescent="0.2">
      <c r="A2951" s="8">
        <v>2950</v>
      </c>
      <c r="B2951" s="8" t="s">
        <v>13587</v>
      </c>
      <c r="C2951" s="8" t="s">
        <v>13587</v>
      </c>
      <c r="F2951" s="47" t="s">
        <v>56684</v>
      </c>
      <c r="G2951" s="8">
        <v>6</v>
      </c>
      <c r="H2951" s="8" t="s">
        <v>21</v>
      </c>
      <c r="I2951" s="8" t="s">
        <v>22</v>
      </c>
      <c r="J2951" s="8" t="s">
        <v>22</v>
      </c>
      <c r="K2951" s="8" t="s">
        <v>224</v>
      </c>
      <c r="L2951" s="8" t="s">
        <v>12015</v>
      </c>
      <c r="M2951" s="8" t="s">
        <v>12016</v>
      </c>
      <c r="N2951" s="8" t="s">
        <v>13588</v>
      </c>
      <c r="O2951" s="8">
        <f>9+42/60+34.8/3600</f>
        <v>9.7096666666666653</v>
      </c>
      <c r="P2951" s="8" t="s">
        <v>13589</v>
      </c>
      <c r="Q2951" s="8">
        <f>+(58+51/60+5/3600)</f>
        <v>58.851388888888891</v>
      </c>
      <c r="R2951" s="8">
        <v>10.9</v>
      </c>
      <c r="S2951" s="8">
        <v>11.8</v>
      </c>
      <c r="T2951" s="8">
        <v>0.9</v>
      </c>
      <c r="U2951" s="8">
        <v>12.5</v>
      </c>
      <c r="V2951" s="8">
        <v>2.7</v>
      </c>
      <c r="W2951" s="8">
        <v>1.8</v>
      </c>
      <c r="X2951" s="8">
        <v>145</v>
      </c>
      <c r="Y2951" s="8" t="s">
        <v>13590</v>
      </c>
      <c r="Z2951" s="8" t="s">
        <v>13591</v>
      </c>
    </row>
    <row r="2952" spans="1:26" x14ac:dyDescent="0.2">
      <c r="A2952" s="8">
        <v>2951</v>
      </c>
      <c r="B2952" s="8" t="s">
        <v>13592</v>
      </c>
      <c r="C2952" s="8" t="s">
        <v>13592</v>
      </c>
      <c r="E2952" s="8">
        <v>2</v>
      </c>
      <c r="F2952" s="47"/>
      <c r="G2952" s="8">
        <v>18</v>
      </c>
      <c r="H2952" s="8" t="s">
        <v>21</v>
      </c>
      <c r="I2952" s="8" t="s">
        <v>22</v>
      </c>
      <c r="J2952" s="8" t="s">
        <v>22</v>
      </c>
      <c r="K2952" s="8" t="s">
        <v>460</v>
      </c>
      <c r="L2952" s="8" t="s">
        <v>11765</v>
      </c>
      <c r="M2952" s="8" t="s">
        <v>11766</v>
      </c>
      <c r="N2952" s="8" t="s">
        <v>13593</v>
      </c>
      <c r="O2952" s="8">
        <f>9+39/60+40.8/3600</f>
        <v>9.6613333333333333</v>
      </c>
      <c r="P2952" s="8" t="s">
        <v>13594</v>
      </c>
      <c r="Q2952" s="8">
        <f>-(0+14/60+4/3600)</f>
        <v>-0.23444444444444446</v>
      </c>
      <c r="R2952" s="8">
        <v>14.4</v>
      </c>
      <c r="S2952" s="8">
        <v>15.4</v>
      </c>
      <c r="T2952" s="8">
        <v>1</v>
      </c>
      <c r="U2952" s="8">
        <v>13</v>
      </c>
      <c r="V2952" s="8">
        <v>0.5</v>
      </c>
      <c r="W2952" s="8">
        <v>0.5</v>
      </c>
      <c r="Y2952" s="8" t="s">
        <v>1573</v>
      </c>
      <c r="Z2952" s="8" t="s">
        <v>1574</v>
      </c>
    </row>
    <row r="2953" spans="1:26" x14ac:dyDescent="0.2">
      <c r="A2953" s="8">
        <v>2952</v>
      </c>
      <c r="B2953" s="8" t="s">
        <v>13595</v>
      </c>
      <c r="C2953" s="8" t="s">
        <v>13595</v>
      </c>
      <c r="F2953" s="47"/>
      <c r="G2953" s="8">
        <v>19</v>
      </c>
      <c r="H2953" s="8" t="s">
        <v>21</v>
      </c>
      <c r="I2953" s="8" t="s">
        <v>22</v>
      </c>
      <c r="J2953" s="8" t="s">
        <v>22</v>
      </c>
      <c r="K2953" s="8" t="s">
        <v>3523</v>
      </c>
      <c r="L2953" s="8" t="s">
        <v>11765</v>
      </c>
      <c r="M2953" s="8" t="s">
        <v>11766</v>
      </c>
      <c r="N2953" s="8" t="s">
        <v>13596</v>
      </c>
      <c r="O2953" s="8">
        <f>9+37/60+37.1/3600</f>
        <v>9.6269722222222232</v>
      </c>
      <c r="P2953" s="8" t="s">
        <v>13597</v>
      </c>
      <c r="Q2953" s="8">
        <f>-(10+11/60+4/3600)</f>
        <v>-10.184444444444445</v>
      </c>
      <c r="R2953" s="8">
        <v>14.5</v>
      </c>
      <c r="S2953" s="8">
        <v>15.1</v>
      </c>
      <c r="T2953" s="8">
        <v>0.6</v>
      </c>
      <c r="U2953" s="8">
        <v>13.1</v>
      </c>
      <c r="V2953" s="8">
        <v>0.8</v>
      </c>
      <c r="W2953" s="8">
        <v>0.4</v>
      </c>
      <c r="X2953" s="8">
        <v>9</v>
      </c>
      <c r="Y2953" s="8" t="s">
        <v>13598</v>
      </c>
      <c r="Z2953" s="8" t="s">
        <v>13599</v>
      </c>
    </row>
    <row r="2954" spans="1:26" x14ac:dyDescent="0.2">
      <c r="A2954" s="8">
        <v>2953</v>
      </c>
      <c r="B2954" s="8" t="s">
        <v>13600</v>
      </c>
      <c r="C2954" s="8" t="s">
        <v>13600</v>
      </c>
      <c r="F2954" s="47"/>
      <c r="G2954" s="8">
        <v>16</v>
      </c>
      <c r="H2954" s="8" t="s">
        <v>21</v>
      </c>
      <c r="I2954" s="8" t="s">
        <v>72</v>
      </c>
      <c r="J2954" s="8" t="s">
        <v>72</v>
      </c>
      <c r="K2954" s="8" t="s">
        <v>20</v>
      </c>
      <c r="L2954" s="8" t="s">
        <v>13194</v>
      </c>
      <c r="M2954" s="8" t="s">
        <v>13195</v>
      </c>
      <c r="N2954" s="8" t="s">
        <v>13601</v>
      </c>
      <c r="O2954" s="8">
        <f>9+40/60+27.7/3600</f>
        <v>9.6743611111111107</v>
      </c>
      <c r="P2954" s="8" t="s">
        <v>13602</v>
      </c>
      <c r="Q2954" s="8">
        <f>+(14+50/60+37/3600)</f>
        <v>14.843611111111112</v>
      </c>
      <c r="R2954" s="8">
        <v>99</v>
      </c>
      <c r="S2954" s="8">
        <v>99</v>
      </c>
      <c r="T2954" s="8">
        <v>99</v>
      </c>
      <c r="U2954" s="8">
        <v>99</v>
      </c>
      <c r="Y2954" s="8" t="s">
        <v>13603</v>
      </c>
      <c r="Z2954" s="8" t="s">
        <v>13604</v>
      </c>
    </row>
    <row r="2955" spans="1:26" x14ac:dyDescent="0.2">
      <c r="A2955" s="8">
        <v>2954</v>
      </c>
      <c r="B2955" s="8" t="s">
        <v>13605</v>
      </c>
      <c r="C2955" s="8" t="s">
        <v>13605</v>
      </c>
      <c r="F2955" s="47"/>
      <c r="G2955" s="8">
        <v>16</v>
      </c>
      <c r="H2955" s="8" t="s">
        <v>21</v>
      </c>
      <c r="I2955" s="8" t="s">
        <v>22</v>
      </c>
      <c r="J2955" s="8" t="s">
        <v>22</v>
      </c>
      <c r="K2955" s="8" t="s">
        <v>382</v>
      </c>
      <c r="L2955" s="8" t="s">
        <v>13194</v>
      </c>
      <c r="M2955" s="8" t="s">
        <v>13195</v>
      </c>
      <c r="N2955" s="8" t="s">
        <v>13606</v>
      </c>
      <c r="O2955" s="8">
        <f>9+40/60+24/3600</f>
        <v>9.673333333333332</v>
      </c>
      <c r="P2955" s="8" t="s">
        <v>13607</v>
      </c>
      <c r="Q2955" s="8">
        <f>+(14+55/60+21/3600)</f>
        <v>14.922499999999999</v>
      </c>
      <c r="R2955" s="8">
        <v>12.4</v>
      </c>
      <c r="S2955" s="8">
        <v>13.3</v>
      </c>
      <c r="T2955" s="8">
        <v>0.9</v>
      </c>
      <c r="U2955" s="8">
        <v>13.1</v>
      </c>
      <c r="V2955" s="8">
        <v>1.2</v>
      </c>
      <c r="W2955" s="8">
        <v>0.9</v>
      </c>
      <c r="X2955" s="8">
        <v>160</v>
      </c>
      <c r="Y2955" s="8" t="s">
        <v>13608</v>
      </c>
      <c r="Z2955" s="8" t="s">
        <v>13609</v>
      </c>
    </row>
    <row r="2956" spans="1:26" x14ac:dyDescent="0.2">
      <c r="A2956" s="8">
        <v>2955</v>
      </c>
      <c r="B2956" s="8" t="s">
        <v>13610</v>
      </c>
      <c r="C2956" s="8" t="s">
        <v>13610</v>
      </c>
      <c r="F2956" s="47" t="s">
        <v>56685</v>
      </c>
      <c r="G2956" s="8">
        <v>13</v>
      </c>
      <c r="H2956" s="8" t="s">
        <v>21</v>
      </c>
      <c r="I2956" s="8" t="s">
        <v>22</v>
      </c>
      <c r="J2956" s="8" t="s">
        <v>22</v>
      </c>
      <c r="K2956" s="8" t="s">
        <v>23</v>
      </c>
      <c r="L2956" s="8" t="s">
        <v>13179</v>
      </c>
      <c r="M2956" s="8" t="s">
        <v>13180</v>
      </c>
      <c r="N2956" s="8" t="s">
        <v>13611</v>
      </c>
      <c r="O2956" s="8">
        <f>9+41/60+16.4/3600</f>
        <v>9.6878888888888888</v>
      </c>
      <c r="P2956" s="8" t="s">
        <v>13612</v>
      </c>
      <c r="Q2956" s="8">
        <f>+(35+52/60+58/3600)</f>
        <v>35.882777777777775</v>
      </c>
      <c r="R2956" s="8">
        <v>12.9</v>
      </c>
      <c r="S2956" s="8">
        <v>13.6</v>
      </c>
      <c r="T2956" s="8">
        <v>0.7</v>
      </c>
      <c r="U2956" s="8">
        <v>13.2</v>
      </c>
      <c r="V2956" s="8">
        <v>1.5</v>
      </c>
      <c r="W2956" s="8">
        <v>0.7</v>
      </c>
      <c r="X2956" s="8">
        <v>162</v>
      </c>
      <c r="Y2956" s="8" t="s">
        <v>13613</v>
      </c>
      <c r="Z2956" s="8" t="s">
        <v>13614</v>
      </c>
    </row>
    <row r="2957" spans="1:26" x14ac:dyDescent="0.2">
      <c r="A2957" s="8">
        <v>2956</v>
      </c>
      <c r="B2957" s="8" t="s">
        <v>13615</v>
      </c>
      <c r="C2957" s="8" t="s">
        <v>13615</v>
      </c>
      <c r="F2957" s="47"/>
      <c r="G2957" s="8">
        <v>19</v>
      </c>
      <c r="H2957" s="8" t="s">
        <v>21</v>
      </c>
      <c r="I2957" s="8" t="s">
        <v>22</v>
      </c>
      <c r="J2957" s="8" t="s">
        <v>22</v>
      </c>
      <c r="K2957" s="8" t="s">
        <v>23</v>
      </c>
      <c r="L2957" s="8" t="s">
        <v>11765</v>
      </c>
      <c r="M2957" s="8" t="s">
        <v>11766</v>
      </c>
      <c r="N2957" s="8" t="s">
        <v>13616</v>
      </c>
      <c r="O2957" s="8">
        <f>9+39/60+16.9/3600</f>
        <v>9.6546944444444449</v>
      </c>
      <c r="P2957" s="8" t="s">
        <v>13617</v>
      </c>
      <c r="Q2957" s="8">
        <f>-(19+6/60+4/3600)</f>
        <v>-19.101111111111113</v>
      </c>
      <c r="R2957" s="8">
        <v>14.2</v>
      </c>
      <c r="S2957" s="8">
        <v>15</v>
      </c>
      <c r="T2957" s="8">
        <v>0.8</v>
      </c>
      <c r="U2957" s="8">
        <v>12.6</v>
      </c>
      <c r="V2957" s="8">
        <v>0.9</v>
      </c>
      <c r="W2957" s="8">
        <v>0.3</v>
      </c>
      <c r="X2957" s="8">
        <v>55</v>
      </c>
      <c r="Y2957" s="8" t="s">
        <v>13618</v>
      </c>
      <c r="Z2957" s="8" t="s">
        <v>13619</v>
      </c>
    </row>
    <row r="2958" spans="1:26" x14ac:dyDescent="0.2">
      <c r="A2958" s="8">
        <v>2957</v>
      </c>
      <c r="B2958" s="8" t="s">
        <v>13620</v>
      </c>
      <c r="C2958" s="8" t="s">
        <v>13620</v>
      </c>
      <c r="D2958" s="8" t="s">
        <v>1619</v>
      </c>
      <c r="F2958" s="47"/>
      <c r="G2958" s="8">
        <v>16</v>
      </c>
      <c r="H2958" s="8" t="s">
        <v>21</v>
      </c>
      <c r="I2958" s="8" t="s">
        <v>22</v>
      </c>
      <c r="J2958" s="8" t="s">
        <v>22</v>
      </c>
      <c r="K2958" s="8" t="s">
        <v>3850</v>
      </c>
      <c r="L2958" s="8" t="s">
        <v>13395</v>
      </c>
      <c r="M2958" s="8" t="s">
        <v>13396</v>
      </c>
      <c r="N2958" s="8" t="s">
        <v>13621</v>
      </c>
      <c r="O2958" s="8">
        <f>9+47/60+17.9/3600</f>
        <v>9.7883055555555547</v>
      </c>
      <c r="P2958" s="8" t="s">
        <v>13622</v>
      </c>
      <c r="Q2958" s="8">
        <f>+(72+59/60+2/3600)</f>
        <v>72.983888888888885</v>
      </c>
      <c r="R2958" s="8">
        <v>14.7</v>
      </c>
      <c r="S2958" s="8">
        <v>15.7</v>
      </c>
      <c r="T2958" s="8">
        <v>1</v>
      </c>
      <c r="U2958" s="8">
        <v>13.1</v>
      </c>
      <c r="V2958" s="8">
        <v>0.7</v>
      </c>
      <c r="W2958" s="8">
        <v>0.3</v>
      </c>
      <c r="X2958" s="8">
        <v>42</v>
      </c>
      <c r="Y2958" s="8" t="s">
        <v>13623</v>
      </c>
      <c r="Z2958" s="8" t="s">
        <v>13624</v>
      </c>
    </row>
    <row r="2959" spans="1:26" x14ac:dyDescent="0.2">
      <c r="A2959" s="8">
        <v>2958</v>
      </c>
      <c r="B2959" s="8" t="s">
        <v>13625</v>
      </c>
      <c r="C2959" s="8" t="s">
        <v>13625</v>
      </c>
      <c r="F2959" s="47"/>
      <c r="G2959" s="8">
        <v>19</v>
      </c>
      <c r="H2959" s="8" t="s">
        <v>21</v>
      </c>
      <c r="I2959" s="8" t="s">
        <v>22</v>
      </c>
      <c r="J2959" s="8" t="s">
        <v>22</v>
      </c>
      <c r="K2959" s="8" t="s">
        <v>396</v>
      </c>
      <c r="L2959" s="8" t="s">
        <v>13194</v>
      </c>
      <c r="M2959" s="8" t="s">
        <v>13195</v>
      </c>
      <c r="N2959" s="8" t="s">
        <v>13626</v>
      </c>
      <c r="O2959" s="8">
        <f>9+40/60+41.6/3600</f>
        <v>9.6782222222222209</v>
      </c>
      <c r="P2959" s="8" t="s">
        <v>13627</v>
      </c>
      <c r="Q2959" s="8">
        <f>+(11+53/60+19/3600)</f>
        <v>11.888611111111111</v>
      </c>
      <c r="R2959" s="8">
        <v>13.2</v>
      </c>
      <c r="S2959" s="8">
        <v>14</v>
      </c>
      <c r="T2959" s="8">
        <v>0.8</v>
      </c>
      <c r="U2959" s="8">
        <v>12.8</v>
      </c>
      <c r="V2959" s="8">
        <v>1</v>
      </c>
      <c r="W2959" s="8">
        <v>0.8</v>
      </c>
      <c r="X2959" s="8">
        <v>10</v>
      </c>
      <c r="Y2959" s="8" t="s">
        <v>13628</v>
      </c>
      <c r="Z2959" s="8" t="s">
        <v>13629</v>
      </c>
    </row>
    <row r="2960" spans="1:26" x14ac:dyDescent="0.2">
      <c r="A2960" s="8">
        <v>2959</v>
      </c>
      <c r="B2960" s="8" t="s">
        <v>13630</v>
      </c>
      <c r="C2960" s="8" t="s">
        <v>13630</v>
      </c>
      <c r="F2960" s="47"/>
      <c r="G2960" s="8">
        <v>16</v>
      </c>
      <c r="H2960" s="8" t="s">
        <v>21</v>
      </c>
      <c r="I2960" s="8" t="s">
        <v>22</v>
      </c>
      <c r="J2960" s="8" t="s">
        <v>22</v>
      </c>
      <c r="K2960" s="8" t="s">
        <v>5751</v>
      </c>
      <c r="L2960" s="8" t="s">
        <v>12015</v>
      </c>
      <c r="M2960" s="8" t="s">
        <v>12016</v>
      </c>
      <c r="N2960" s="8" t="s">
        <v>13631</v>
      </c>
      <c r="O2960" s="8">
        <f>9+45/60+8.9/3600</f>
        <v>9.752472222222222</v>
      </c>
      <c r="P2960" s="8" t="s">
        <v>13632</v>
      </c>
      <c r="Q2960" s="8">
        <f>+(68+35/60+42/3600)</f>
        <v>68.594999999999999</v>
      </c>
      <c r="R2960" s="8">
        <v>12.8</v>
      </c>
      <c r="S2960" s="8">
        <v>13.6</v>
      </c>
      <c r="T2960" s="8">
        <v>0.8</v>
      </c>
      <c r="U2960" s="8">
        <v>13.2</v>
      </c>
      <c r="V2960" s="8">
        <v>1.3</v>
      </c>
      <c r="W2960" s="8">
        <v>1.3</v>
      </c>
      <c r="Y2960" s="8" t="s">
        <v>13633</v>
      </c>
      <c r="Z2960" s="8" t="s">
        <v>13634</v>
      </c>
    </row>
    <row r="2961" spans="1:26" x14ac:dyDescent="0.2">
      <c r="A2961" s="8">
        <v>2960</v>
      </c>
      <c r="B2961" s="8" t="s">
        <v>13635</v>
      </c>
      <c r="C2961" s="8" t="s">
        <v>13635</v>
      </c>
      <c r="F2961" s="47"/>
      <c r="G2961" s="8">
        <v>16</v>
      </c>
      <c r="H2961" s="8" t="s">
        <v>21</v>
      </c>
      <c r="I2961" s="8" t="s">
        <v>22</v>
      </c>
      <c r="J2961" s="8" t="s">
        <v>22</v>
      </c>
      <c r="K2961" s="8" t="s">
        <v>91</v>
      </c>
      <c r="L2961" s="8" t="s">
        <v>11765</v>
      </c>
      <c r="M2961" s="8" t="s">
        <v>11766</v>
      </c>
      <c r="N2961" s="8" t="s">
        <v>13636</v>
      </c>
      <c r="O2961" s="8">
        <f>9+40/60+36.5/3600</f>
        <v>9.6768055555555552</v>
      </c>
      <c r="P2961" s="8" t="s">
        <v>13637</v>
      </c>
      <c r="Q2961" s="8">
        <f>+(3+34/60+38/3600)</f>
        <v>3.5772222222222219</v>
      </c>
      <c r="R2961" s="8">
        <v>12.4</v>
      </c>
      <c r="S2961" s="8">
        <v>13.3</v>
      </c>
      <c r="T2961" s="8">
        <v>0.9</v>
      </c>
      <c r="U2961" s="8">
        <v>12.6</v>
      </c>
      <c r="V2961" s="8">
        <v>1.4</v>
      </c>
      <c r="W2961" s="8">
        <v>1</v>
      </c>
      <c r="X2961" s="8">
        <v>40</v>
      </c>
      <c r="Y2961" s="8" t="s">
        <v>13638</v>
      </c>
      <c r="Z2961" s="8" t="s">
        <v>13639</v>
      </c>
    </row>
    <row r="2962" spans="1:26" x14ac:dyDescent="0.2">
      <c r="A2962" s="8">
        <v>2961</v>
      </c>
      <c r="B2962" s="8" t="s">
        <v>13640</v>
      </c>
      <c r="C2962" s="8" t="s">
        <v>13640</v>
      </c>
      <c r="F2962" s="47"/>
      <c r="G2962" s="8">
        <v>19</v>
      </c>
      <c r="H2962" s="8" t="s">
        <v>21</v>
      </c>
      <c r="I2962" s="8" t="s">
        <v>22</v>
      </c>
      <c r="J2962" s="8" t="s">
        <v>22</v>
      </c>
      <c r="K2962" s="8" t="s">
        <v>23</v>
      </c>
      <c r="L2962" s="8" t="s">
        <v>12015</v>
      </c>
      <c r="M2962" s="8" t="s">
        <v>12016</v>
      </c>
      <c r="N2962" s="8" t="s">
        <v>13641</v>
      </c>
      <c r="O2962" s="8">
        <f>9+45/60+22.3/3600</f>
        <v>9.7561944444444446</v>
      </c>
      <c r="P2962" s="8" t="s">
        <v>13642</v>
      </c>
      <c r="Q2962" s="8">
        <f>+(68+36/60+33/3600)</f>
        <v>68.609166666666667</v>
      </c>
      <c r="R2962" s="8">
        <v>14.7</v>
      </c>
      <c r="S2962" s="8">
        <v>15.5</v>
      </c>
      <c r="T2962" s="8">
        <v>0.8</v>
      </c>
      <c r="U2962" s="8">
        <v>12.4</v>
      </c>
      <c r="V2962" s="8">
        <v>0.8</v>
      </c>
      <c r="W2962" s="8">
        <v>0.2</v>
      </c>
      <c r="X2962" s="8">
        <v>137</v>
      </c>
      <c r="Y2962" s="8" t="s">
        <v>13643</v>
      </c>
      <c r="Z2962" s="8" t="s">
        <v>13644</v>
      </c>
    </row>
    <row r="2963" spans="1:26" x14ac:dyDescent="0.2">
      <c r="A2963" s="8">
        <v>2962</v>
      </c>
      <c r="B2963" s="8" t="s">
        <v>13645</v>
      </c>
      <c r="C2963" s="8" t="s">
        <v>13645</v>
      </c>
      <c r="F2963" s="47"/>
      <c r="G2963" s="8">
        <v>12</v>
      </c>
      <c r="H2963" s="8" t="s">
        <v>21</v>
      </c>
      <c r="I2963" s="8" t="s">
        <v>22</v>
      </c>
      <c r="J2963" s="8" t="s">
        <v>22</v>
      </c>
      <c r="K2963" s="8" t="s">
        <v>224</v>
      </c>
      <c r="L2963" s="8" t="s">
        <v>11765</v>
      </c>
      <c r="M2963" s="8" t="s">
        <v>11766</v>
      </c>
      <c r="N2963" s="8" t="s">
        <v>13646</v>
      </c>
      <c r="O2963" s="8">
        <f>9+40/60+54/3600</f>
        <v>9.6816666666666666</v>
      </c>
      <c r="P2963" s="8" t="s">
        <v>13647</v>
      </c>
      <c r="Q2963" s="8">
        <f>+(5+9/60+57/3600)</f>
        <v>5.1658333333333335</v>
      </c>
      <c r="R2963" s="8">
        <v>11.9</v>
      </c>
      <c r="S2963" s="8">
        <v>13</v>
      </c>
      <c r="T2963" s="8">
        <v>1.1000000000000001</v>
      </c>
      <c r="U2963" s="8">
        <v>13.5</v>
      </c>
      <c r="V2963" s="8">
        <v>2.6</v>
      </c>
      <c r="W2963" s="8">
        <v>2</v>
      </c>
      <c r="X2963" s="8">
        <v>3</v>
      </c>
      <c r="Y2963" s="8" t="s">
        <v>13648</v>
      </c>
      <c r="Z2963" s="8" t="s">
        <v>13649</v>
      </c>
    </row>
    <row r="2964" spans="1:26" x14ac:dyDescent="0.2">
      <c r="A2964" s="8">
        <v>2963</v>
      </c>
      <c r="B2964" s="8" t="s">
        <v>13650</v>
      </c>
      <c r="C2964" s="8" t="s">
        <v>13650</v>
      </c>
      <c r="F2964" s="47" t="s">
        <v>56686</v>
      </c>
      <c r="G2964" s="8">
        <v>15</v>
      </c>
      <c r="H2964" s="8" t="s">
        <v>21</v>
      </c>
      <c r="I2964" s="8" t="s">
        <v>22</v>
      </c>
      <c r="J2964" s="8" t="s">
        <v>22</v>
      </c>
      <c r="K2964" s="8" t="s">
        <v>406</v>
      </c>
      <c r="L2964" s="8" t="s">
        <v>13395</v>
      </c>
      <c r="M2964" s="8" t="s">
        <v>13396</v>
      </c>
      <c r="N2964" s="8" t="s">
        <v>13651</v>
      </c>
      <c r="O2964" s="8">
        <f>9+47/60+49.8/3600</f>
        <v>9.7971666666666657</v>
      </c>
      <c r="P2964" s="8" t="s">
        <v>13652</v>
      </c>
      <c r="Q2964" s="8">
        <f>+(72+57/60+52/3600)</f>
        <v>72.964444444444453</v>
      </c>
      <c r="R2964" s="8">
        <v>13.5</v>
      </c>
      <c r="S2964" s="8">
        <v>14.3</v>
      </c>
      <c r="T2964" s="8">
        <v>0.8</v>
      </c>
      <c r="U2964" s="8">
        <v>13</v>
      </c>
      <c r="V2964" s="8">
        <v>1.2</v>
      </c>
      <c r="W2964" s="8">
        <v>0.6</v>
      </c>
      <c r="X2964" s="8">
        <v>165</v>
      </c>
      <c r="Y2964" s="8" t="s">
        <v>115</v>
      </c>
      <c r="Z2964" s="8" t="s">
        <v>116</v>
      </c>
    </row>
    <row r="2965" spans="1:26" x14ac:dyDescent="0.2">
      <c r="A2965" s="8">
        <v>2964</v>
      </c>
      <c r="B2965" s="8" t="s">
        <v>13653</v>
      </c>
      <c r="C2965" s="8" t="s">
        <v>13653</v>
      </c>
      <c r="F2965" s="47" t="s">
        <v>56687</v>
      </c>
      <c r="G2965" s="8">
        <v>6</v>
      </c>
      <c r="H2965" s="8" t="s">
        <v>21</v>
      </c>
      <c r="I2965" s="8" t="s">
        <v>22</v>
      </c>
      <c r="J2965" s="8" t="s">
        <v>22</v>
      </c>
      <c r="K2965" s="8" t="s">
        <v>85</v>
      </c>
      <c r="L2965" s="8" t="s">
        <v>13194</v>
      </c>
      <c r="M2965" s="8" t="s">
        <v>13195</v>
      </c>
      <c r="N2965" s="8" t="s">
        <v>13654</v>
      </c>
      <c r="O2965" s="8">
        <f>9+42/60+54.1/3600</f>
        <v>9.7150277777777774</v>
      </c>
      <c r="P2965" s="8" t="s">
        <v>13655</v>
      </c>
      <c r="Q2965" s="8">
        <f>+(31+50/60+49/3600)</f>
        <v>31.846944444444443</v>
      </c>
      <c r="R2965" s="8">
        <v>11.3</v>
      </c>
      <c r="S2965" s="8">
        <v>12</v>
      </c>
      <c r="T2965" s="8">
        <v>0.7</v>
      </c>
      <c r="U2965" s="8">
        <v>12.8</v>
      </c>
      <c r="V2965" s="8">
        <v>3</v>
      </c>
      <c r="W2965" s="8">
        <v>1.7</v>
      </c>
      <c r="X2965" s="8">
        <v>97</v>
      </c>
      <c r="Y2965" s="8" t="s">
        <v>13656</v>
      </c>
      <c r="Z2965" s="8" t="s">
        <v>13657</v>
      </c>
    </row>
    <row r="2966" spans="1:26" x14ac:dyDescent="0.2">
      <c r="A2966" s="8">
        <v>2965</v>
      </c>
      <c r="B2966" s="8" t="s">
        <v>13658</v>
      </c>
      <c r="C2966" s="8" t="s">
        <v>13658</v>
      </c>
      <c r="F2966" s="47" t="s">
        <v>56688</v>
      </c>
      <c r="G2966" s="8">
        <v>15</v>
      </c>
      <c r="H2966" s="8" t="s">
        <v>21</v>
      </c>
      <c r="I2966" s="8" t="s">
        <v>22</v>
      </c>
      <c r="J2966" s="8" t="s">
        <v>22</v>
      </c>
      <c r="K2966" s="8" t="s">
        <v>37</v>
      </c>
      <c r="L2966" s="8" t="s">
        <v>13179</v>
      </c>
      <c r="M2966" s="8" t="s">
        <v>13180</v>
      </c>
      <c r="N2966" s="8" t="s">
        <v>13659</v>
      </c>
      <c r="O2966" s="8">
        <f>9+43/60+19.1/3600</f>
        <v>9.721972222222222</v>
      </c>
      <c r="P2966" s="8" t="s">
        <v>13660</v>
      </c>
      <c r="Q2966" s="8">
        <f>+(36+14/60+54/3600)</f>
        <v>36.248333333333335</v>
      </c>
      <c r="R2966" s="8">
        <v>13.4</v>
      </c>
      <c r="S2966" s="8">
        <v>14.4</v>
      </c>
      <c r="T2966" s="8">
        <v>1</v>
      </c>
      <c r="U2966" s="8">
        <v>13.4</v>
      </c>
      <c r="V2966" s="8">
        <v>1.2</v>
      </c>
      <c r="W2966" s="8">
        <v>0.9</v>
      </c>
      <c r="X2966" s="8">
        <v>64</v>
      </c>
      <c r="Y2966" s="8" t="s">
        <v>13661</v>
      </c>
      <c r="Z2966" s="8" t="s">
        <v>13662</v>
      </c>
    </row>
    <row r="2967" spans="1:26" x14ac:dyDescent="0.2">
      <c r="A2967" s="8">
        <v>2966</v>
      </c>
      <c r="B2967" s="8" t="s">
        <v>13663</v>
      </c>
      <c r="C2967" s="8" t="s">
        <v>13663</v>
      </c>
      <c r="F2967" s="47"/>
      <c r="G2967" s="8">
        <v>19</v>
      </c>
      <c r="H2967" s="8" t="s">
        <v>21</v>
      </c>
      <c r="I2967" s="8" t="s">
        <v>22</v>
      </c>
      <c r="J2967" s="8" t="s">
        <v>22</v>
      </c>
      <c r="K2967" s="8" t="s">
        <v>85</v>
      </c>
      <c r="L2967" s="8" t="s">
        <v>12234</v>
      </c>
      <c r="M2967" s="8" t="s">
        <v>12235</v>
      </c>
      <c r="N2967" s="8" t="s">
        <v>13664</v>
      </c>
      <c r="O2967" s="8">
        <f>9+42/60+11.4/3600</f>
        <v>9.7031666666666663</v>
      </c>
      <c r="P2967" s="8" t="s">
        <v>13665</v>
      </c>
      <c r="Q2967" s="8">
        <f>+(4+40/60+25/3600)</f>
        <v>4.6736111111111116</v>
      </c>
      <c r="R2967" s="8">
        <v>12.7</v>
      </c>
      <c r="S2967" s="8">
        <v>13.5</v>
      </c>
      <c r="T2967" s="8">
        <v>0.8</v>
      </c>
      <c r="U2967" s="8">
        <v>13.3</v>
      </c>
      <c r="V2967" s="8">
        <v>2.2000000000000002</v>
      </c>
      <c r="W2967" s="8">
        <v>0.9</v>
      </c>
      <c r="X2967" s="8">
        <v>72</v>
      </c>
      <c r="Y2967" s="8" t="s">
        <v>13666</v>
      </c>
      <c r="Z2967" s="8" t="s">
        <v>13667</v>
      </c>
    </row>
    <row r="2968" spans="1:26" x14ac:dyDescent="0.2">
      <c r="A2968" s="8">
        <v>2967</v>
      </c>
      <c r="B2968" s="8" t="s">
        <v>13668</v>
      </c>
      <c r="C2968" s="8" t="s">
        <v>13668</v>
      </c>
      <c r="F2968" s="47" t="s">
        <v>56689</v>
      </c>
      <c r="G2968" s="8">
        <v>13</v>
      </c>
      <c r="H2968" s="8" t="s">
        <v>21</v>
      </c>
      <c r="I2968" s="8" t="s">
        <v>22</v>
      </c>
      <c r="J2968" s="8" t="s">
        <v>22</v>
      </c>
      <c r="K2968" s="8" t="s">
        <v>160</v>
      </c>
      <c r="L2968" s="8" t="s">
        <v>12234</v>
      </c>
      <c r="M2968" s="8" t="s">
        <v>12235</v>
      </c>
      <c r="N2968" s="8" t="s">
        <v>13669</v>
      </c>
      <c r="O2968" s="8">
        <f>9+42/60+3.3/3600</f>
        <v>9.7009166666666662</v>
      </c>
      <c r="P2968" s="8" t="s">
        <v>13670</v>
      </c>
      <c r="Q2968" s="8">
        <f>+(0+20/60+10/3600)</f>
        <v>0.33611111111111108</v>
      </c>
      <c r="R2968" s="8">
        <v>11.6</v>
      </c>
      <c r="S2968" s="8">
        <v>12.3</v>
      </c>
      <c r="T2968" s="8">
        <v>0.7</v>
      </c>
      <c r="U2968" s="8">
        <v>13.8</v>
      </c>
      <c r="V2968" s="8">
        <v>3</v>
      </c>
      <c r="W2968" s="8">
        <v>2.8</v>
      </c>
      <c r="X2968" s="8">
        <v>65</v>
      </c>
      <c r="Y2968" s="8" t="s">
        <v>13671</v>
      </c>
      <c r="Z2968" s="8" t="s">
        <v>13672</v>
      </c>
    </row>
    <row r="2969" spans="1:26" x14ac:dyDescent="0.2">
      <c r="A2969" s="8">
        <v>2968</v>
      </c>
      <c r="B2969" s="8" t="s">
        <v>13673</v>
      </c>
      <c r="C2969" s="8" t="s">
        <v>13673</v>
      </c>
      <c r="F2969" s="47" t="s">
        <v>56690</v>
      </c>
      <c r="G2969" s="8">
        <v>13</v>
      </c>
      <c r="H2969" s="8" t="s">
        <v>21</v>
      </c>
      <c r="I2969" s="8" t="s">
        <v>22</v>
      </c>
      <c r="J2969" s="8" t="s">
        <v>22</v>
      </c>
      <c r="K2969" s="8" t="s">
        <v>91</v>
      </c>
      <c r="L2969" s="8" t="s">
        <v>13194</v>
      </c>
      <c r="M2969" s="8" t="s">
        <v>13195</v>
      </c>
      <c r="N2969" s="8" t="s">
        <v>13674</v>
      </c>
      <c r="O2969" s="8">
        <f>9+43/60+11.9/3600</f>
        <v>9.7199722222222231</v>
      </c>
      <c r="P2969" s="8" t="s">
        <v>13675</v>
      </c>
      <c r="Q2969" s="8">
        <f>+(31+55/60+43/3600)</f>
        <v>31.928611111111113</v>
      </c>
      <c r="R2969" s="8">
        <v>11.9</v>
      </c>
      <c r="S2969" s="8">
        <v>12.8</v>
      </c>
      <c r="T2969" s="8">
        <v>0.9</v>
      </c>
      <c r="U2969" s="8">
        <v>13.1</v>
      </c>
      <c r="V2969" s="8">
        <v>2.1</v>
      </c>
      <c r="W2969" s="8">
        <v>1.6</v>
      </c>
      <c r="X2969" s="8">
        <v>45</v>
      </c>
      <c r="Y2969" s="8" t="s">
        <v>13676</v>
      </c>
      <c r="Z2969" s="8" t="s">
        <v>13677</v>
      </c>
    </row>
    <row r="2970" spans="1:26" x14ac:dyDescent="0.2">
      <c r="A2970" s="8">
        <v>2969</v>
      </c>
      <c r="B2970" s="8" t="s">
        <v>13678</v>
      </c>
      <c r="C2970" s="8" t="s">
        <v>13678</v>
      </c>
      <c r="F2970" s="47" t="s">
        <v>56691</v>
      </c>
      <c r="G2970" s="8">
        <v>15</v>
      </c>
      <c r="H2970" s="8" t="s">
        <v>21</v>
      </c>
      <c r="I2970" s="8" t="s">
        <v>22</v>
      </c>
      <c r="J2970" s="8" t="s">
        <v>22</v>
      </c>
      <c r="K2970" s="8" t="s">
        <v>160</v>
      </c>
      <c r="L2970" s="8" t="s">
        <v>12234</v>
      </c>
      <c r="M2970" s="8" t="s">
        <v>12235</v>
      </c>
      <c r="N2970" s="8" t="s">
        <v>13679</v>
      </c>
      <c r="O2970" s="8">
        <f>9+41/60+54.5/3600</f>
        <v>9.6984722222222217</v>
      </c>
      <c r="P2970" s="8" t="s">
        <v>13680</v>
      </c>
      <c r="Q2970" s="8">
        <f>-(8+36/60+12/3600)</f>
        <v>-8.6033333333333335</v>
      </c>
      <c r="R2970" s="8">
        <v>13.1</v>
      </c>
      <c r="S2970" s="8">
        <v>13.8</v>
      </c>
      <c r="T2970" s="8">
        <v>0.7</v>
      </c>
      <c r="U2970" s="8">
        <v>13.5</v>
      </c>
      <c r="V2970" s="8">
        <v>1.4</v>
      </c>
      <c r="W2970" s="8">
        <v>1.2</v>
      </c>
      <c r="X2970" s="8">
        <v>145</v>
      </c>
      <c r="Y2970" s="8" t="s">
        <v>13681</v>
      </c>
      <c r="Z2970" s="8" t="s">
        <v>13682</v>
      </c>
    </row>
    <row r="2971" spans="1:26" x14ac:dyDescent="0.2">
      <c r="A2971" s="8">
        <v>2970</v>
      </c>
      <c r="B2971" s="8" t="s">
        <v>13683</v>
      </c>
      <c r="C2971" s="8" t="s">
        <v>13683</v>
      </c>
      <c r="F2971" s="47"/>
      <c r="G2971" s="8">
        <v>16</v>
      </c>
      <c r="H2971" s="8" t="s">
        <v>21</v>
      </c>
      <c r="I2971" s="8" t="s">
        <v>22</v>
      </c>
      <c r="J2971" s="8" t="s">
        <v>22</v>
      </c>
      <c r="K2971" s="8" t="s">
        <v>183</v>
      </c>
      <c r="L2971" s="8" t="s">
        <v>13194</v>
      </c>
      <c r="M2971" s="8" t="s">
        <v>13195</v>
      </c>
      <c r="N2971" s="8" t="s">
        <v>13684</v>
      </c>
      <c r="O2971" s="8">
        <f>9+43/60+31/3600</f>
        <v>9.7252777777777784</v>
      </c>
      <c r="P2971" s="8" t="s">
        <v>13685</v>
      </c>
      <c r="Q2971" s="8">
        <f>+(31+58/60+39/3600)</f>
        <v>31.977499999999999</v>
      </c>
      <c r="R2971" s="8">
        <v>13.6</v>
      </c>
      <c r="S2971" s="8">
        <v>14.4</v>
      </c>
      <c r="T2971" s="8">
        <v>0.8</v>
      </c>
      <c r="U2971" s="8">
        <v>12.4</v>
      </c>
      <c r="V2971" s="8">
        <v>0.4</v>
      </c>
      <c r="W2971" s="8">
        <v>0.3</v>
      </c>
      <c r="X2971" s="8">
        <v>54</v>
      </c>
      <c r="Y2971" s="8" t="s">
        <v>13686</v>
      </c>
      <c r="Z2971" s="8" t="s">
        <v>13687</v>
      </c>
    </row>
    <row r="2972" spans="1:26" x14ac:dyDescent="0.2">
      <c r="A2972" s="8">
        <v>2971</v>
      </c>
      <c r="B2972" s="8" t="s">
        <v>13688</v>
      </c>
      <c r="C2972" s="8" t="s">
        <v>13688</v>
      </c>
      <c r="F2972" s="47"/>
      <c r="G2972" s="8">
        <v>19</v>
      </c>
      <c r="H2972" s="8" t="s">
        <v>21</v>
      </c>
      <c r="I2972" s="8" t="s">
        <v>22</v>
      </c>
      <c r="J2972" s="8" t="s">
        <v>22</v>
      </c>
      <c r="K2972" s="8" t="s">
        <v>218</v>
      </c>
      <c r="L2972" s="8" t="s">
        <v>13179</v>
      </c>
      <c r="M2972" s="8" t="s">
        <v>13180</v>
      </c>
      <c r="N2972" s="8" t="s">
        <v>13689</v>
      </c>
      <c r="O2972" s="8">
        <f>9+43/60+46.1/3600</f>
        <v>9.7294722222222223</v>
      </c>
      <c r="P2972" s="8" t="s">
        <v>13690</v>
      </c>
      <c r="Q2972" s="8">
        <f>+(36+10/60+47/3600)</f>
        <v>36.179722222222217</v>
      </c>
      <c r="R2972" s="8">
        <v>14</v>
      </c>
      <c r="S2972" s="8">
        <v>14.8</v>
      </c>
      <c r="T2972" s="8">
        <v>0.8</v>
      </c>
      <c r="U2972" s="8">
        <v>13.7</v>
      </c>
      <c r="V2972" s="8">
        <v>1.1000000000000001</v>
      </c>
      <c r="W2972" s="8">
        <v>0.8</v>
      </c>
      <c r="X2972" s="8">
        <v>135</v>
      </c>
      <c r="Y2972" s="8" t="s">
        <v>13691</v>
      </c>
      <c r="Z2972" s="8" t="s">
        <v>13692</v>
      </c>
    </row>
    <row r="2973" spans="1:26" x14ac:dyDescent="0.2">
      <c r="A2973" s="8">
        <v>2972</v>
      </c>
      <c r="B2973" s="8" t="s">
        <v>13693</v>
      </c>
      <c r="C2973" s="8" t="s">
        <v>13693</v>
      </c>
      <c r="F2973" s="47"/>
      <c r="G2973" s="8">
        <v>3</v>
      </c>
      <c r="H2973" s="8" t="s">
        <v>21</v>
      </c>
      <c r="I2973" s="8" t="s">
        <v>557</v>
      </c>
      <c r="J2973" s="8" t="s">
        <v>557</v>
      </c>
      <c r="K2973" s="8" t="s">
        <v>13694</v>
      </c>
      <c r="L2973" s="8" t="s">
        <v>11757</v>
      </c>
      <c r="M2973" s="8" t="s">
        <v>11758</v>
      </c>
      <c r="N2973" s="8" t="s">
        <v>13695</v>
      </c>
      <c r="O2973" s="8">
        <f>9+40/60+11.5/3600</f>
        <v>9.6698611111111106</v>
      </c>
      <c r="P2973" s="8" t="s">
        <v>13696</v>
      </c>
      <c r="Q2973" s="8">
        <f>-(50+19/60+13/3600)</f>
        <v>-50.320277777777783</v>
      </c>
      <c r="R2973" s="8">
        <v>9.9</v>
      </c>
      <c r="S2973" s="8">
        <v>99</v>
      </c>
      <c r="T2973" s="8">
        <v>99</v>
      </c>
      <c r="U2973" s="8">
        <v>99</v>
      </c>
      <c r="V2973" s="8">
        <v>5</v>
      </c>
      <c r="Y2973" s="8" t="s">
        <v>13697</v>
      </c>
      <c r="Z2973" s="8" t="s">
        <v>13698</v>
      </c>
    </row>
    <row r="2974" spans="1:26" x14ac:dyDescent="0.2">
      <c r="A2974" s="8">
        <v>2973</v>
      </c>
      <c r="B2974" s="8" t="s">
        <v>13699</v>
      </c>
      <c r="C2974" s="8" t="s">
        <v>13699</v>
      </c>
      <c r="F2974" s="47"/>
      <c r="G2974" s="8">
        <v>16</v>
      </c>
      <c r="H2974" s="8" t="s">
        <v>21</v>
      </c>
      <c r="I2974" s="8" t="s">
        <v>72</v>
      </c>
      <c r="J2974" s="8" t="s">
        <v>72</v>
      </c>
      <c r="K2974" s="8" t="s">
        <v>1802</v>
      </c>
      <c r="L2974" s="8" t="s">
        <v>13374</v>
      </c>
      <c r="M2974" s="8" t="s">
        <v>13375</v>
      </c>
      <c r="N2974" s="8" t="s">
        <v>13700</v>
      </c>
      <c r="O2974" s="8">
        <f>9+41/60+34.7/3600</f>
        <v>9.6929722222222221</v>
      </c>
      <c r="P2974" s="8" t="s">
        <v>13701</v>
      </c>
      <c r="Q2974" s="8">
        <f>-(30+2/60+53/3600)</f>
        <v>-30.048055555555557</v>
      </c>
      <c r="R2974" s="8">
        <v>99</v>
      </c>
      <c r="S2974" s="8">
        <v>99</v>
      </c>
      <c r="T2974" s="8">
        <v>99</v>
      </c>
      <c r="U2974" s="8">
        <v>99</v>
      </c>
      <c r="Y2974" s="8" t="s">
        <v>13702</v>
      </c>
      <c r="Z2974" s="8" t="s">
        <v>13703</v>
      </c>
    </row>
    <row r="2975" spans="1:26" x14ac:dyDescent="0.2">
      <c r="A2975" s="8">
        <v>2974</v>
      </c>
      <c r="B2975" s="8" t="s">
        <v>13704</v>
      </c>
      <c r="C2975" s="8" t="s">
        <v>13704</v>
      </c>
      <c r="F2975" s="47" t="s">
        <v>56692</v>
      </c>
      <c r="G2975" s="8">
        <v>6</v>
      </c>
      <c r="H2975" s="8" t="s">
        <v>21</v>
      </c>
      <c r="I2975" s="8" t="s">
        <v>22</v>
      </c>
      <c r="J2975" s="8" t="s">
        <v>22</v>
      </c>
      <c r="K2975" s="8" t="s">
        <v>50</v>
      </c>
      <c r="L2975" s="8" t="s">
        <v>12234</v>
      </c>
      <c r="M2975" s="8" t="s">
        <v>12235</v>
      </c>
      <c r="N2975" s="8" t="s">
        <v>12236</v>
      </c>
      <c r="O2975" s="8">
        <f>9+42/60+33.2/3600</f>
        <v>9.7092222222222215</v>
      </c>
      <c r="P2975" s="8" t="s">
        <v>12237</v>
      </c>
      <c r="Q2975" s="8">
        <f>-(3+41/60+57/3600)</f>
        <v>-3.6991666666666667</v>
      </c>
      <c r="R2975" s="8">
        <v>10.9</v>
      </c>
      <c r="S2975" s="8">
        <v>11.9</v>
      </c>
      <c r="T2975" s="8">
        <v>1</v>
      </c>
      <c r="U2975" s="8">
        <v>13</v>
      </c>
      <c r="V2975" s="8">
        <v>3.4</v>
      </c>
      <c r="W2975" s="8">
        <v>2.1</v>
      </c>
      <c r="X2975" s="8">
        <v>40</v>
      </c>
      <c r="Y2975" s="8" t="s">
        <v>13705</v>
      </c>
      <c r="Z2975" s="8" t="s">
        <v>13706</v>
      </c>
    </row>
    <row r="2976" spans="1:26" x14ac:dyDescent="0.2">
      <c r="A2976" s="8">
        <v>2975</v>
      </c>
      <c r="B2976" s="8" t="s">
        <v>13707</v>
      </c>
      <c r="C2976" s="8" t="s">
        <v>13707</v>
      </c>
      <c r="F2976" s="47"/>
      <c r="G2976" s="8">
        <v>19</v>
      </c>
      <c r="H2976" s="8" t="s">
        <v>21</v>
      </c>
      <c r="I2976" s="8" t="s">
        <v>22</v>
      </c>
      <c r="J2976" s="8" t="s">
        <v>22</v>
      </c>
      <c r="K2976" s="8" t="s">
        <v>58</v>
      </c>
      <c r="L2976" s="8" t="s">
        <v>11765</v>
      </c>
      <c r="M2976" s="8" t="s">
        <v>11766</v>
      </c>
      <c r="N2976" s="8" t="s">
        <v>13708</v>
      </c>
      <c r="O2976" s="8">
        <f>9+41/60+16/3600</f>
        <v>9.6877777777777787</v>
      </c>
      <c r="P2976" s="8" t="s">
        <v>13709</v>
      </c>
      <c r="Q2976" s="8">
        <f>-(16+40/60+26/3600)</f>
        <v>-16.673888888888889</v>
      </c>
      <c r="R2976" s="8">
        <v>14.8</v>
      </c>
      <c r="S2976" s="8">
        <v>15.8</v>
      </c>
      <c r="T2976" s="8">
        <v>1</v>
      </c>
      <c r="U2976" s="8">
        <v>14.2</v>
      </c>
      <c r="V2976" s="8">
        <v>0.8</v>
      </c>
      <c r="W2976" s="8">
        <v>0.7</v>
      </c>
      <c r="Y2976" s="8" t="s">
        <v>13710</v>
      </c>
      <c r="Z2976" s="8" t="s">
        <v>13711</v>
      </c>
    </row>
    <row r="2977" spans="1:26" x14ac:dyDescent="0.2">
      <c r="A2977" s="8">
        <v>2976</v>
      </c>
      <c r="B2977" s="8" t="s">
        <v>13712</v>
      </c>
      <c r="C2977" s="8" t="s">
        <v>13712</v>
      </c>
      <c r="F2977" s="47" t="s">
        <v>56693</v>
      </c>
      <c r="G2977" s="8">
        <v>6</v>
      </c>
      <c r="H2977" s="8" t="s">
        <v>21</v>
      </c>
      <c r="I2977" s="8" t="s">
        <v>22</v>
      </c>
      <c r="J2977" s="8" t="s">
        <v>22</v>
      </c>
      <c r="K2977" s="8" t="s">
        <v>538</v>
      </c>
      <c r="L2977" s="8" t="s">
        <v>12015</v>
      </c>
      <c r="M2977" s="8" t="s">
        <v>12016</v>
      </c>
      <c r="N2977" s="8" t="s">
        <v>13713</v>
      </c>
      <c r="O2977" s="8">
        <f>9+47/60+14.7/3600</f>
        <v>9.7874166666666671</v>
      </c>
      <c r="P2977" s="8" t="s">
        <v>13714</v>
      </c>
      <c r="Q2977" s="8">
        <f>+(67+55/60+3/3600)</f>
        <v>67.917500000000004</v>
      </c>
      <c r="R2977" s="8">
        <v>10.199999999999999</v>
      </c>
      <c r="S2977" s="8">
        <v>10.8</v>
      </c>
      <c r="T2977" s="8">
        <v>0.6</v>
      </c>
      <c r="U2977" s="8">
        <v>13</v>
      </c>
      <c r="V2977" s="8">
        <v>5.9</v>
      </c>
      <c r="W2977" s="8">
        <v>2.7</v>
      </c>
      <c r="X2977" s="8">
        <v>143</v>
      </c>
      <c r="Y2977" s="8" t="s">
        <v>13715</v>
      </c>
      <c r="Z2977" s="8" t="s">
        <v>13716</v>
      </c>
    </row>
    <row r="2978" spans="1:26" x14ac:dyDescent="0.2">
      <c r="A2978" s="8">
        <v>2977</v>
      </c>
      <c r="B2978" s="8" t="s">
        <v>13717</v>
      </c>
      <c r="C2978" s="8" t="s">
        <v>13717</v>
      </c>
      <c r="F2978" s="47" t="s">
        <v>56694</v>
      </c>
      <c r="G2978" s="8">
        <v>15</v>
      </c>
      <c r="H2978" s="8" t="s">
        <v>21</v>
      </c>
      <c r="I2978" s="8" t="s">
        <v>22</v>
      </c>
      <c r="J2978" s="8" t="s">
        <v>22</v>
      </c>
      <c r="K2978" s="8" t="s">
        <v>23</v>
      </c>
      <c r="L2978" s="8" t="s">
        <v>13395</v>
      </c>
      <c r="M2978" s="8" t="s">
        <v>13396</v>
      </c>
      <c r="N2978" s="8" t="s">
        <v>13718</v>
      </c>
      <c r="O2978" s="8">
        <f>9+43/60+46.5/3600</f>
        <v>9.7295833333333341</v>
      </c>
      <c r="P2978" s="8" t="s">
        <v>13719</v>
      </c>
      <c r="Q2978" s="8">
        <f>+(74+51/60+38/3600)</f>
        <v>74.86055555555555</v>
      </c>
      <c r="R2978" s="8">
        <v>12.5</v>
      </c>
      <c r="S2978" s="8">
        <v>13.3</v>
      </c>
      <c r="T2978" s="8">
        <v>0.8</v>
      </c>
      <c r="U2978" s="8">
        <v>12.7</v>
      </c>
      <c r="V2978" s="8">
        <v>1.8</v>
      </c>
      <c r="W2978" s="8">
        <v>0.8</v>
      </c>
      <c r="X2978" s="8">
        <v>145</v>
      </c>
      <c r="Y2978" s="8" t="s">
        <v>13720</v>
      </c>
      <c r="Z2978" s="8" t="s">
        <v>13721</v>
      </c>
    </row>
    <row r="2979" spans="1:26" x14ac:dyDescent="0.2">
      <c r="A2979" s="8">
        <v>2978</v>
      </c>
      <c r="B2979" s="8" t="s">
        <v>13722</v>
      </c>
      <c r="C2979" s="8" t="s">
        <v>13722</v>
      </c>
      <c r="F2979" s="47"/>
      <c r="G2979" s="8">
        <v>19</v>
      </c>
      <c r="H2979" s="8" t="s">
        <v>21</v>
      </c>
      <c r="I2979" s="8" t="s">
        <v>22</v>
      </c>
      <c r="J2979" s="8" t="s">
        <v>22</v>
      </c>
      <c r="K2979" s="8" t="s">
        <v>396</v>
      </c>
      <c r="L2979" s="8" t="s">
        <v>12234</v>
      </c>
      <c r="M2979" s="8" t="s">
        <v>12235</v>
      </c>
      <c r="N2979" s="8" t="s">
        <v>13723</v>
      </c>
      <c r="O2979" s="8">
        <f>9+43/60+16.7/3600</f>
        <v>9.7213055555555563</v>
      </c>
      <c r="P2979" s="8" t="s">
        <v>13724</v>
      </c>
      <c r="Q2979" s="8">
        <f>-(9+44/60+46/3600)</f>
        <v>-9.7461111111111105</v>
      </c>
      <c r="R2979" s="8">
        <v>12.8</v>
      </c>
      <c r="S2979" s="8">
        <v>13.6</v>
      </c>
      <c r="T2979" s="8">
        <v>0.8</v>
      </c>
      <c r="U2979" s="8">
        <v>12.6</v>
      </c>
      <c r="V2979" s="8">
        <v>1.1000000000000001</v>
      </c>
      <c r="W2979" s="8">
        <v>0.9</v>
      </c>
      <c r="X2979" s="8">
        <v>85</v>
      </c>
      <c r="Y2979" s="8" t="s">
        <v>13725</v>
      </c>
      <c r="Z2979" s="8" t="s">
        <v>13726</v>
      </c>
    </row>
    <row r="2980" spans="1:26" x14ac:dyDescent="0.2">
      <c r="A2980" s="8">
        <v>2979</v>
      </c>
      <c r="B2980" s="8" t="s">
        <v>13727</v>
      </c>
      <c r="C2980" s="8" t="s">
        <v>13727</v>
      </c>
      <c r="F2980" s="47" t="s">
        <v>56695</v>
      </c>
      <c r="G2980" s="8">
        <v>15</v>
      </c>
      <c r="H2980" s="8" t="s">
        <v>21</v>
      </c>
      <c r="I2980" s="8" t="s">
        <v>22</v>
      </c>
      <c r="J2980" s="8" t="s">
        <v>22</v>
      </c>
      <c r="K2980" s="8" t="s">
        <v>91</v>
      </c>
      <c r="L2980" s="8" t="s">
        <v>12234</v>
      </c>
      <c r="M2980" s="8" t="s">
        <v>12235</v>
      </c>
      <c r="N2980" s="8" t="s">
        <v>13728</v>
      </c>
      <c r="O2980" s="8">
        <f>9+43/60+8.6/3600</f>
        <v>9.7190555555555562</v>
      </c>
      <c r="P2980" s="8" t="s">
        <v>13729</v>
      </c>
      <c r="Q2980" s="8">
        <f>-(10+22/60+59/3600)</f>
        <v>-10.383055555555556</v>
      </c>
      <c r="R2980" s="8">
        <v>12.3</v>
      </c>
      <c r="S2980" s="8">
        <v>13.2</v>
      </c>
      <c r="T2980" s="8">
        <v>0.9</v>
      </c>
      <c r="U2980" s="8">
        <v>12.5</v>
      </c>
      <c r="V2980" s="8">
        <v>1.5</v>
      </c>
      <c r="W2980" s="8">
        <v>1</v>
      </c>
      <c r="X2980" s="8">
        <v>30</v>
      </c>
      <c r="Y2980" s="8" t="s">
        <v>13730</v>
      </c>
      <c r="Z2980" s="8" t="s">
        <v>13731</v>
      </c>
    </row>
    <row r="2981" spans="1:26" x14ac:dyDescent="0.2">
      <c r="A2981" s="8">
        <v>2980</v>
      </c>
      <c r="B2981" s="8" t="s">
        <v>13732</v>
      </c>
      <c r="C2981" s="8" t="s">
        <v>13732</v>
      </c>
      <c r="F2981" s="47" t="s">
        <v>56696</v>
      </c>
      <c r="G2981" s="8">
        <v>15</v>
      </c>
      <c r="H2981" s="8" t="s">
        <v>21</v>
      </c>
      <c r="I2981" s="8" t="s">
        <v>22</v>
      </c>
      <c r="J2981" s="8" t="s">
        <v>22</v>
      </c>
      <c r="K2981" s="8" t="s">
        <v>64</v>
      </c>
      <c r="L2981" s="8" t="s">
        <v>12234</v>
      </c>
      <c r="M2981" s="8" t="s">
        <v>12235</v>
      </c>
      <c r="N2981" s="8" t="s">
        <v>13674</v>
      </c>
      <c r="O2981" s="8">
        <f>9+43/60+11.9/3600</f>
        <v>9.7199722222222231</v>
      </c>
      <c r="P2981" s="8" t="s">
        <v>5699</v>
      </c>
      <c r="Q2981" s="8">
        <f>-(9+36/60+45/3600)</f>
        <v>-9.6124999999999989</v>
      </c>
      <c r="R2981" s="8">
        <v>13</v>
      </c>
      <c r="S2981" s="8">
        <v>13.6</v>
      </c>
      <c r="T2981" s="8">
        <v>0.6</v>
      </c>
      <c r="U2981" s="8">
        <v>13.2</v>
      </c>
      <c r="V2981" s="8">
        <v>1.6</v>
      </c>
      <c r="W2981" s="8">
        <v>0.8</v>
      </c>
      <c r="X2981" s="8">
        <v>164</v>
      </c>
      <c r="Y2981" s="8" t="s">
        <v>13733</v>
      </c>
      <c r="Z2981" s="8" t="s">
        <v>13734</v>
      </c>
    </row>
    <row r="2982" spans="1:26" x14ac:dyDescent="0.2">
      <c r="A2982" s="8">
        <v>2981</v>
      </c>
      <c r="B2982" s="8" t="s">
        <v>13735</v>
      </c>
      <c r="C2982" s="8" t="s">
        <v>13735</v>
      </c>
      <c r="F2982" s="47"/>
      <c r="G2982" s="8">
        <v>19</v>
      </c>
      <c r="H2982" s="8" t="s">
        <v>21</v>
      </c>
      <c r="I2982" s="8" t="s">
        <v>22</v>
      </c>
      <c r="J2982" s="8" t="s">
        <v>22</v>
      </c>
      <c r="K2982" s="8" t="s">
        <v>85</v>
      </c>
      <c r="L2982" s="8" t="s">
        <v>13194</v>
      </c>
      <c r="M2982" s="8" t="s">
        <v>13195</v>
      </c>
      <c r="N2982" s="8" t="s">
        <v>13736</v>
      </c>
      <c r="O2982" s="8">
        <f>9+44/60+56.6/3600</f>
        <v>9.7490555555555556</v>
      </c>
      <c r="P2982" s="8" t="s">
        <v>13737</v>
      </c>
      <c r="Q2982" s="8">
        <f>+(31+5/60+53/3600)</f>
        <v>31.098055555555554</v>
      </c>
      <c r="R2982" s="8">
        <v>13.6</v>
      </c>
      <c r="S2982" s="8">
        <v>14.4</v>
      </c>
      <c r="T2982" s="8">
        <v>0.8</v>
      </c>
      <c r="U2982" s="8">
        <v>13.6</v>
      </c>
      <c r="V2982" s="8">
        <v>1.2</v>
      </c>
      <c r="W2982" s="8">
        <v>1</v>
      </c>
      <c r="X2982" s="8">
        <v>77</v>
      </c>
      <c r="Y2982" s="8" t="s">
        <v>297</v>
      </c>
      <c r="Z2982" s="8" t="s">
        <v>298</v>
      </c>
    </row>
    <row r="2983" spans="1:26" x14ac:dyDescent="0.2">
      <c r="A2983" s="8">
        <v>2982</v>
      </c>
      <c r="B2983" s="8" t="s">
        <v>13738</v>
      </c>
      <c r="C2983" s="8" t="s">
        <v>13738</v>
      </c>
      <c r="F2983" s="47"/>
      <c r="G2983" s="8">
        <v>16</v>
      </c>
      <c r="H2983" s="8" t="s">
        <v>21</v>
      </c>
      <c r="I2983" s="8" t="s">
        <v>557</v>
      </c>
      <c r="J2983" s="8" t="s">
        <v>557</v>
      </c>
      <c r="K2983" s="8" t="s">
        <v>1168</v>
      </c>
      <c r="L2983" s="8" t="s">
        <v>11757</v>
      </c>
      <c r="M2983" s="8" t="s">
        <v>11758</v>
      </c>
      <c r="N2983" s="8" t="s">
        <v>13739</v>
      </c>
      <c r="O2983" s="8">
        <f>9+42/60+0/3600</f>
        <v>9.6999999999999993</v>
      </c>
      <c r="P2983" s="8" t="s">
        <v>13740</v>
      </c>
      <c r="Q2983" s="8">
        <f>-(44+1/60+36/3600)</f>
        <v>-44.026666666666664</v>
      </c>
      <c r="R2983" s="8">
        <v>99</v>
      </c>
      <c r="S2983" s="8">
        <v>99</v>
      </c>
      <c r="T2983" s="8">
        <v>99</v>
      </c>
      <c r="U2983" s="8">
        <v>99</v>
      </c>
      <c r="V2983" s="8">
        <v>12</v>
      </c>
      <c r="Y2983" s="8" t="s">
        <v>13741</v>
      </c>
      <c r="Z2983" s="8" t="s">
        <v>13742</v>
      </c>
    </row>
    <row r="2984" spans="1:26" x14ac:dyDescent="0.2">
      <c r="A2984" s="8">
        <v>2983</v>
      </c>
      <c r="B2984" s="8" t="s">
        <v>13743</v>
      </c>
      <c r="C2984" s="8" t="s">
        <v>13743</v>
      </c>
      <c r="F2984" s="47" t="s">
        <v>56697</v>
      </c>
      <c r="G2984" s="8">
        <v>13</v>
      </c>
      <c r="H2984" s="8" t="s">
        <v>21</v>
      </c>
      <c r="I2984" s="8" t="s">
        <v>22</v>
      </c>
      <c r="J2984" s="8" t="s">
        <v>22</v>
      </c>
      <c r="K2984" s="8" t="s">
        <v>435</v>
      </c>
      <c r="L2984" s="8" t="s">
        <v>11765</v>
      </c>
      <c r="M2984" s="8" t="s">
        <v>11766</v>
      </c>
      <c r="N2984" s="8" t="s">
        <v>13744</v>
      </c>
      <c r="O2984" s="8">
        <f>9+43/60+41.1/3600</f>
        <v>9.7280833333333341</v>
      </c>
      <c r="P2984" s="8" t="s">
        <v>13745</v>
      </c>
      <c r="Q2984" s="8">
        <f>-(20+28/60+39/3600)</f>
        <v>-20.477499999999999</v>
      </c>
      <c r="R2984" s="8">
        <v>11.8</v>
      </c>
      <c r="S2984" s="8">
        <v>12.8</v>
      </c>
      <c r="T2984" s="8">
        <v>1</v>
      </c>
      <c r="U2984" s="8">
        <v>13.1</v>
      </c>
      <c r="V2984" s="8">
        <v>2.5</v>
      </c>
      <c r="W2984" s="8">
        <v>1.4</v>
      </c>
      <c r="X2984" s="8">
        <v>95</v>
      </c>
      <c r="Y2984" s="8" t="s">
        <v>13746</v>
      </c>
      <c r="Z2984" s="8" t="s">
        <v>13747</v>
      </c>
    </row>
    <row r="2985" spans="1:26" x14ac:dyDescent="0.2">
      <c r="A2985" s="8">
        <v>2984</v>
      </c>
      <c r="B2985" s="8" t="s">
        <v>13748</v>
      </c>
      <c r="C2985" s="8" t="s">
        <v>13748</v>
      </c>
      <c r="F2985" s="47" t="s">
        <v>56698</v>
      </c>
      <c r="G2985" s="8">
        <v>15</v>
      </c>
      <c r="H2985" s="8" t="s">
        <v>21</v>
      </c>
      <c r="I2985" s="8" t="s">
        <v>22</v>
      </c>
      <c r="J2985" s="8" t="s">
        <v>22</v>
      </c>
      <c r="K2985" s="8" t="s">
        <v>37</v>
      </c>
      <c r="L2985" s="8" t="s">
        <v>13194</v>
      </c>
      <c r="M2985" s="8" t="s">
        <v>13195</v>
      </c>
      <c r="N2985" s="8" t="s">
        <v>13749</v>
      </c>
      <c r="O2985" s="8">
        <f>9+43/60+40.3/3600</f>
        <v>9.7278611111111104</v>
      </c>
      <c r="P2985" s="8" t="s">
        <v>13750</v>
      </c>
      <c r="Q2985" s="8">
        <f>+(11+3/60+41/3600)</f>
        <v>11.061388888888889</v>
      </c>
      <c r="R2985" s="8">
        <v>13.4</v>
      </c>
      <c r="S2985" s="8">
        <v>14.4</v>
      </c>
      <c r="T2985" s="8">
        <v>1</v>
      </c>
      <c r="U2985" s="8">
        <v>12.5</v>
      </c>
      <c r="V2985" s="8">
        <v>0.7</v>
      </c>
      <c r="W2985" s="8">
        <v>0.7</v>
      </c>
      <c r="Y2985" s="8" t="s">
        <v>13751</v>
      </c>
      <c r="Z2985" s="8" t="s">
        <v>13752</v>
      </c>
    </row>
    <row r="2986" spans="1:26" x14ac:dyDescent="0.2">
      <c r="A2986" s="8">
        <v>2985</v>
      </c>
      <c r="B2986" s="8" t="s">
        <v>13753</v>
      </c>
      <c r="C2986" s="8" t="s">
        <v>13753</v>
      </c>
      <c r="F2986" s="47" t="s">
        <v>56699</v>
      </c>
      <c r="G2986" s="8">
        <v>6</v>
      </c>
      <c r="H2986" s="8" t="s">
        <v>21</v>
      </c>
      <c r="I2986" s="8" t="s">
        <v>22</v>
      </c>
      <c r="J2986" s="8" t="s">
        <v>22</v>
      </c>
      <c r="K2986" s="8" t="s">
        <v>23</v>
      </c>
      <c r="L2986" s="8" t="s">
        <v>12015</v>
      </c>
      <c r="M2986" s="8" t="s">
        <v>12016</v>
      </c>
      <c r="N2986" s="8" t="s">
        <v>13754</v>
      </c>
      <c r="O2986" s="8">
        <f>9+50/60+21.4/3600</f>
        <v>9.8392777777777791</v>
      </c>
      <c r="P2986" s="8" t="s">
        <v>13755</v>
      </c>
      <c r="Q2986" s="8">
        <f>+(72+16/60+43/3600)</f>
        <v>72.278611111111104</v>
      </c>
      <c r="R2986" s="8">
        <v>10.4</v>
      </c>
      <c r="S2986" s="8">
        <v>11.2</v>
      </c>
      <c r="T2986" s="8">
        <v>0.8</v>
      </c>
      <c r="U2986" s="8">
        <v>13.3</v>
      </c>
      <c r="V2986" s="8">
        <v>4.5999999999999996</v>
      </c>
      <c r="W2986" s="8">
        <v>3.4</v>
      </c>
      <c r="X2986" s="8">
        <v>0</v>
      </c>
      <c r="Y2986" s="8" t="s">
        <v>13756</v>
      </c>
      <c r="Z2986" s="8" t="s">
        <v>13757</v>
      </c>
    </row>
    <row r="2987" spans="1:26" x14ac:dyDescent="0.2">
      <c r="A2987" s="8">
        <v>2986</v>
      </c>
      <c r="B2987" s="8" t="s">
        <v>13758</v>
      </c>
      <c r="C2987" s="8" t="s">
        <v>13758</v>
      </c>
      <c r="F2987" s="47" t="s">
        <v>56700</v>
      </c>
      <c r="G2987" s="8">
        <v>6.5</v>
      </c>
      <c r="H2987" s="8" t="s">
        <v>21</v>
      </c>
      <c r="I2987" s="8" t="s">
        <v>22</v>
      </c>
      <c r="J2987" s="8" t="s">
        <v>22</v>
      </c>
      <c r="K2987" s="8" t="s">
        <v>1136</v>
      </c>
      <c r="L2987" s="8" t="s">
        <v>11765</v>
      </c>
      <c r="M2987" s="8" t="s">
        <v>11766</v>
      </c>
      <c r="N2987" s="8" t="s">
        <v>13759</v>
      </c>
      <c r="O2987" s="8">
        <f>9+44/60+15.9/3600</f>
        <v>9.7377499999999984</v>
      </c>
      <c r="P2987" s="8" t="s">
        <v>13760</v>
      </c>
      <c r="Q2987" s="8">
        <f>-(21+16/60+41/3600)</f>
        <v>-21.278055555555554</v>
      </c>
      <c r="R2987" s="8">
        <v>10.8</v>
      </c>
      <c r="S2987" s="8">
        <v>11.7</v>
      </c>
      <c r="T2987" s="8">
        <v>0.9</v>
      </c>
      <c r="U2987" s="8">
        <v>13.1</v>
      </c>
      <c r="V2987" s="8">
        <v>3.2</v>
      </c>
      <c r="W2987" s="8">
        <v>2.6</v>
      </c>
      <c r="X2987" s="8">
        <v>105</v>
      </c>
      <c r="Y2987" s="8" t="s">
        <v>13761</v>
      </c>
      <c r="Z2987" s="8" t="s">
        <v>13762</v>
      </c>
    </row>
    <row r="2988" spans="1:26" x14ac:dyDescent="0.2">
      <c r="A2988" s="8">
        <v>2987</v>
      </c>
      <c r="B2988" s="8" t="s">
        <v>13763</v>
      </c>
      <c r="C2988" s="8" t="s">
        <v>13763</v>
      </c>
      <c r="F2988" s="47"/>
      <c r="G2988" s="8">
        <v>19</v>
      </c>
      <c r="H2988" s="8" t="s">
        <v>21</v>
      </c>
      <c r="I2988" s="8" t="s">
        <v>22</v>
      </c>
      <c r="J2988" s="8" t="s">
        <v>22</v>
      </c>
      <c r="K2988" s="8" t="s">
        <v>31</v>
      </c>
      <c r="L2988" s="8" t="s">
        <v>12234</v>
      </c>
      <c r="M2988" s="8" t="s">
        <v>12235</v>
      </c>
      <c r="N2988" s="8" t="s">
        <v>13764</v>
      </c>
      <c r="O2988" s="8">
        <f>9+45/60+41.4/3600</f>
        <v>9.7614999999999998</v>
      </c>
      <c r="P2988" s="8" t="s">
        <v>13765</v>
      </c>
      <c r="Q2988" s="8">
        <f>+(4+56/60+29/3600)</f>
        <v>4.9413888888888895</v>
      </c>
      <c r="R2988" s="8">
        <v>12.9</v>
      </c>
      <c r="S2988" s="8">
        <v>13.7</v>
      </c>
      <c r="T2988" s="8">
        <v>0.8</v>
      </c>
      <c r="U2988" s="8">
        <v>12.9</v>
      </c>
      <c r="V2988" s="8">
        <v>1.5</v>
      </c>
      <c r="W2988" s="8">
        <v>0.7</v>
      </c>
      <c r="X2988" s="8">
        <v>160</v>
      </c>
      <c r="Y2988" s="8" t="s">
        <v>13766</v>
      </c>
      <c r="Z2988" s="8" t="s">
        <v>13767</v>
      </c>
    </row>
    <row r="2989" spans="1:26" x14ac:dyDescent="0.2">
      <c r="A2989" s="8">
        <v>2988</v>
      </c>
      <c r="B2989" s="8" t="s">
        <v>13768</v>
      </c>
      <c r="C2989" s="8" t="s">
        <v>13768</v>
      </c>
      <c r="F2989" s="47"/>
      <c r="G2989" s="8">
        <v>18</v>
      </c>
      <c r="H2989" s="8" t="s">
        <v>21</v>
      </c>
      <c r="I2989" s="8" t="s">
        <v>22</v>
      </c>
      <c r="J2989" s="8" t="s">
        <v>22</v>
      </c>
      <c r="K2989" s="8" t="s">
        <v>396</v>
      </c>
      <c r="L2989" s="8" t="s">
        <v>13194</v>
      </c>
      <c r="M2989" s="8" t="s">
        <v>13195</v>
      </c>
      <c r="N2989" s="8" t="s">
        <v>13769</v>
      </c>
      <c r="O2989" s="8">
        <f>9+46/60+47.8/3600</f>
        <v>9.7799444444444461</v>
      </c>
      <c r="P2989" s="8" t="s">
        <v>13770</v>
      </c>
      <c r="Q2989" s="8">
        <f>+(22+0/60+44/3600)</f>
        <v>22.012222222222221</v>
      </c>
      <c r="R2989" s="8">
        <v>14.6</v>
      </c>
      <c r="S2989" s="8">
        <v>15.4</v>
      </c>
      <c r="T2989" s="8">
        <v>0.8</v>
      </c>
      <c r="U2989" s="8">
        <v>12.9</v>
      </c>
      <c r="V2989" s="8">
        <v>0.9</v>
      </c>
      <c r="W2989" s="8">
        <v>0.2</v>
      </c>
      <c r="X2989" s="8">
        <v>30</v>
      </c>
      <c r="Y2989" s="8" t="s">
        <v>13771</v>
      </c>
      <c r="Z2989" s="8" t="s">
        <v>13772</v>
      </c>
    </row>
    <row r="2990" spans="1:26" x14ac:dyDescent="0.2">
      <c r="A2990" s="8">
        <v>2989</v>
      </c>
      <c r="B2990" s="8" t="s">
        <v>13773</v>
      </c>
      <c r="C2990" s="8" t="s">
        <v>13773</v>
      </c>
      <c r="F2990" s="47"/>
      <c r="G2990" s="8">
        <v>13</v>
      </c>
      <c r="H2990" s="8" t="s">
        <v>21</v>
      </c>
      <c r="I2990" s="8" t="s">
        <v>22</v>
      </c>
      <c r="J2990" s="8" t="s">
        <v>22</v>
      </c>
      <c r="K2990" s="8" t="s">
        <v>396</v>
      </c>
      <c r="L2990" s="8" t="s">
        <v>11765</v>
      </c>
      <c r="M2990" s="8" t="s">
        <v>11766</v>
      </c>
      <c r="N2990" s="8" t="s">
        <v>13774</v>
      </c>
      <c r="O2990" s="8">
        <f>9+45/60+25.2/3600</f>
        <v>9.7569999999999997</v>
      </c>
      <c r="P2990" s="8" t="s">
        <v>13775</v>
      </c>
      <c r="Q2990" s="8">
        <f>-(18+22/60+28/3600)</f>
        <v>-18.374444444444446</v>
      </c>
      <c r="R2990" s="8">
        <v>13</v>
      </c>
      <c r="S2990" s="8">
        <v>13.6</v>
      </c>
      <c r="T2990" s="8">
        <v>0.6</v>
      </c>
      <c r="U2990" s="8">
        <v>13.4</v>
      </c>
      <c r="V2990" s="8">
        <v>1.7</v>
      </c>
      <c r="W2990" s="8">
        <v>0.9</v>
      </c>
      <c r="X2990" s="8">
        <v>38</v>
      </c>
      <c r="Y2990" s="8" t="s">
        <v>13776</v>
      </c>
      <c r="Z2990" s="8" t="s">
        <v>13777</v>
      </c>
    </row>
    <row r="2991" spans="1:26" x14ac:dyDescent="0.2">
      <c r="A2991" s="8">
        <v>2990</v>
      </c>
      <c r="B2991" s="8" t="s">
        <v>13778</v>
      </c>
      <c r="C2991" s="8" t="s">
        <v>13778</v>
      </c>
      <c r="F2991" s="47" t="s">
        <v>56701</v>
      </c>
      <c r="G2991" s="8">
        <v>13</v>
      </c>
      <c r="H2991" s="8" t="s">
        <v>21</v>
      </c>
      <c r="I2991" s="8" t="s">
        <v>22</v>
      </c>
      <c r="J2991" s="8" t="s">
        <v>22</v>
      </c>
      <c r="K2991" s="8" t="s">
        <v>160</v>
      </c>
      <c r="L2991" s="8" t="s">
        <v>12234</v>
      </c>
      <c r="M2991" s="8" t="s">
        <v>12235</v>
      </c>
      <c r="N2991" s="8" t="s">
        <v>13779</v>
      </c>
      <c r="O2991" s="8">
        <f>9+46/60+17.3/3600</f>
        <v>9.7714722222222239</v>
      </c>
      <c r="P2991" s="8" t="s">
        <v>13780</v>
      </c>
      <c r="Q2991" s="8">
        <f>+(5+42/60+32/3600)</f>
        <v>5.7088888888888887</v>
      </c>
      <c r="R2991" s="8">
        <v>12.7</v>
      </c>
      <c r="S2991" s="8">
        <v>13.1</v>
      </c>
      <c r="T2991" s="8">
        <v>0.4</v>
      </c>
      <c r="U2991" s="8">
        <v>12.4</v>
      </c>
      <c r="V2991" s="8">
        <v>1.1000000000000001</v>
      </c>
      <c r="W2991" s="8">
        <v>0.6</v>
      </c>
      <c r="X2991" s="8">
        <v>85</v>
      </c>
      <c r="Y2991" s="8" t="s">
        <v>13781</v>
      </c>
      <c r="Z2991" s="8" t="s">
        <v>13782</v>
      </c>
    </row>
    <row r="2992" spans="1:26" x14ac:dyDescent="0.2">
      <c r="A2992" s="8">
        <v>2991</v>
      </c>
      <c r="B2992" s="8" t="s">
        <v>13783</v>
      </c>
      <c r="C2992" s="8" t="s">
        <v>13783</v>
      </c>
      <c r="F2992" s="47"/>
      <c r="G2992" s="8">
        <v>16</v>
      </c>
      <c r="H2992" s="8" t="s">
        <v>21</v>
      </c>
      <c r="I2992" s="8" t="s">
        <v>22</v>
      </c>
      <c r="J2992" s="8" t="s">
        <v>22</v>
      </c>
      <c r="K2992" s="8" t="s">
        <v>37</v>
      </c>
      <c r="L2992" s="8" t="s">
        <v>13194</v>
      </c>
      <c r="M2992" s="8" t="s">
        <v>13195</v>
      </c>
      <c r="N2992" s="8" t="s">
        <v>13784</v>
      </c>
      <c r="O2992" s="8">
        <f>9+46/60+49.9/3600</f>
        <v>9.7805277777777793</v>
      </c>
      <c r="P2992" s="8" t="s">
        <v>13785</v>
      </c>
      <c r="Q2992" s="8">
        <f>+(22+0/60+48/3600)</f>
        <v>22.013333333333332</v>
      </c>
      <c r="R2992" s="8">
        <v>12.6</v>
      </c>
      <c r="S2992" s="8">
        <v>13.5</v>
      </c>
      <c r="T2992" s="8">
        <v>0.9</v>
      </c>
      <c r="U2992" s="8">
        <v>13</v>
      </c>
      <c r="V2992" s="8">
        <v>1.4</v>
      </c>
      <c r="W2992" s="8">
        <v>1.1000000000000001</v>
      </c>
      <c r="X2992" s="8">
        <v>138</v>
      </c>
      <c r="Y2992" s="8" t="s">
        <v>13786</v>
      </c>
      <c r="Z2992" s="8" t="s">
        <v>13787</v>
      </c>
    </row>
    <row r="2993" spans="1:26" x14ac:dyDescent="0.2">
      <c r="A2993" s="8">
        <v>2992</v>
      </c>
      <c r="B2993" s="8" t="s">
        <v>13788</v>
      </c>
      <c r="C2993" s="8" t="s">
        <v>13788</v>
      </c>
      <c r="F2993" s="47" t="s">
        <v>56702</v>
      </c>
      <c r="G2993" s="8">
        <v>12</v>
      </c>
      <c r="H2993" s="8" t="s">
        <v>21</v>
      </c>
      <c r="I2993" s="8" t="s">
        <v>22</v>
      </c>
      <c r="J2993" s="8" t="s">
        <v>22</v>
      </c>
      <c r="K2993" s="8" t="s">
        <v>91</v>
      </c>
      <c r="L2993" s="8" t="s">
        <v>11765</v>
      </c>
      <c r="M2993" s="8" t="s">
        <v>11766</v>
      </c>
      <c r="N2993" s="8" t="s">
        <v>13789</v>
      </c>
      <c r="O2993" s="8">
        <f>9+45/60+41.9/3600</f>
        <v>9.7616388888888892</v>
      </c>
      <c r="P2993" s="8" t="s">
        <v>13790</v>
      </c>
      <c r="Q2993" s="8">
        <f>-(14+19/60+37/3600)</f>
        <v>-14.326944444444445</v>
      </c>
      <c r="R2993" s="8">
        <v>12.2</v>
      </c>
      <c r="S2993" s="8">
        <v>13.1</v>
      </c>
      <c r="T2993" s="8">
        <v>0.9</v>
      </c>
      <c r="U2993" s="8">
        <v>13.5</v>
      </c>
      <c r="V2993" s="8">
        <v>3.7</v>
      </c>
      <c r="W2993" s="8">
        <v>0.9</v>
      </c>
      <c r="X2993" s="8">
        <v>15</v>
      </c>
      <c r="Y2993" s="8" t="s">
        <v>13791</v>
      </c>
      <c r="Z2993" s="8" t="s">
        <v>13792</v>
      </c>
    </row>
    <row r="2994" spans="1:26" x14ac:dyDescent="0.2">
      <c r="A2994" s="8">
        <v>2993</v>
      </c>
      <c r="B2994" s="8" t="s">
        <v>13793</v>
      </c>
      <c r="C2994" s="8" t="s">
        <v>13793</v>
      </c>
      <c r="F2994" s="47" t="s">
        <v>56703</v>
      </c>
      <c r="G2994" s="8">
        <v>12</v>
      </c>
      <c r="H2994" s="8" t="s">
        <v>21</v>
      </c>
      <c r="I2994" s="8" t="s">
        <v>22</v>
      </c>
      <c r="J2994" s="8" t="s">
        <v>22</v>
      </c>
      <c r="K2994" s="8" t="s">
        <v>91</v>
      </c>
      <c r="L2994" s="8" t="s">
        <v>11765</v>
      </c>
      <c r="M2994" s="8" t="s">
        <v>11766</v>
      </c>
      <c r="N2994" s="8" t="s">
        <v>13794</v>
      </c>
      <c r="O2994" s="8">
        <f>9+45/60+48.3/3600</f>
        <v>9.7634166666666662</v>
      </c>
      <c r="P2994" s="8" t="s">
        <v>13795</v>
      </c>
      <c r="Q2994" s="8">
        <f>-(14+22/60+8/3600)</f>
        <v>-14.36888888888889</v>
      </c>
      <c r="R2994" s="8">
        <v>12.6</v>
      </c>
      <c r="S2994" s="8">
        <v>13.1</v>
      </c>
      <c r="T2994" s="8">
        <v>0.5</v>
      </c>
      <c r="U2994" s="8">
        <v>12.7</v>
      </c>
      <c r="V2994" s="8">
        <v>1.3</v>
      </c>
      <c r="W2994" s="8">
        <v>0.9</v>
      </c>
      <c r="X2994" s="8">
        <v>95</v>
      </c>
      <c r="Y2994" s="8" t="s">
        <v>13791</v>
      </c>
      <c r="Z2994" s="8" t="s">
        <v>13796</v>
      </c>
    </row>
    <row r="2995" spans="1:26" x14ac:dyDescent="0.2">
      <c r="A2995" s="8">
        <v>2994</v>
      </c>
      <c r="B2995" s="8" t="s">
        <v>13797</v>
      </c>
      <c r="C2995" s="8" t="s">
        <v>13797</v>
      </c>
      <c r="F2995" s="47"/>
      <c r="G2995" s="8">
        <v>16</v>
      </c>
      <c r="H2995" s="8" t="s">
        <v>21</v>
      </c>
      <c r="I2995" s="8" t="s">
        <v>22</v>
      </c>
      <c r="J2995" s="8" t="s">
        <v>22</v>
      </c>
      <c r="K2995" s="8" t="s">
        <v>37</v>
      </c>
      <c r="L2995" s="8" t="s">
        <v>13194</v>
      </c>
      <c r="M2995" s="8" t="s">
        <v>13195</v>
      </c>
      <c r="N2995" s="8" t="s">
        <v>13798</v>
      </c>
      <c r="O2995" s="8">
        <f>9+47/60+16.1/3600</f>
        <v>9.7878055555555559</v>
      </c>
      <c r="P2995" s="8" t="s">
        <v>13799</v>
      </c>
      <c r="Q2995" s="8">
        <f>+(22+5/60+21/3600)</f>
        <v>22.089166666666664</v>
      </c>
      <c r="R2995" s="8">
        <v>13.1</v>
      </c>
      <c r="S2995" s="8">
        <v>14</v>
      </c>
      <c r="T2995" s="8">
        <v>0.9</v>
      </c>
      <c r="U2995" s="8">
        <v>13.2</v>
      </c>
      <c r="V2995" s="8">
        <v>1.3</v>
      </c>
      <c r="W2995" s="8">
        <v>1</v>
      </c>
      <c r="X2995" s="8">
        <v>125</v>
      </c>
      <c r="Y2995" s="8" t="s">
        <v>13800</v>
      </c>
      <c r="Z2995" s="8" t="s">
        <v>13801</v>
      </c>
    </row>
    <row r="2996" spans="1:26" x14ac:dyDescent="0.2">
      <c r="A2996" s="8">
        <v>2995</v>
      </c>
      <c r="B2996" s="8" t="s">
        <v>13802</v>
      </c>
      <c r="C2996" s="8" t="s">
        <v>13802</v>
      </c>
      <c r="F2996" s="47"/>
      <c r="G2996" s="8">
        <v>16</v>
      </c>
      <c r="H2996" s="8" t="s">
        <v>21</v>
      </c>
      <c r="I2996" s="8" t="s">
        <v>72</v>
      </c>
      <c r="J2996" s="8" t="s">
        <v>72</v>
      </c>
      <c r="K2996" s="8" t="s">
        <v>1405</v>
      </c>
      <c r="L2996" s="8" t="s">
        <v>11757</v>
      </c>
      <c r="M2996" s="8" t="s">
        <v>11758</v>
      </c>
      <c r="N2996" s="8" t="s">
        <v>13803</v>
      </c>
      <c r="O2996" s="8">
        <f>9+44/60+0/3600</f>
        <v>9.7333333333333325</v>
      </c>
      <c r="P2996" s="8" t="s">
        <v>13804</v>
      </c>
      <c r="Q2996" s="8">
        <f>-(54+35/60+0/3600)</f>
        <v>-54.583333333333336</v>
      </c>
      <c r="R2996" s="8">
        <v>99</v>
      </c>
      <c r="S2996" s="8">
        <v>99</v>
      </c>
      <c r="T2996" s="8">
        <v>99</v>
      </c>
      <c r="U2996" s="8">
        <v>99</v>
      </c>
      <c r="V2996" s="8">
        <v>20</v>
      </c>
      <c r="Y2996" s="8" t="s">
        <v>13805</v>
      </c>
      <c r="Z2996" s="8" t="s">
        <v>10889</v>
      </c>
    </row>
    <row r="2997" spans="1:26" x14ac:dyDescent="0.2">
      <c r="A2997" s="8">
        <v>2996</v>
      </c>
      <c r="B2997" s="8" t="s">
        <v>13806</v>
      </c>
      <c r="C2997" s="8" t="s">
        <v>13806</v>
      </c>
      <c r="F2997" s="47"/>
      <c r="G2997" s="8">
        <v>16</v>
      </c>
      <c r="H2997" s="8" t="s">
        <v>21</v>
      </c>
      <c r="I2997" s="8" t="s">
        <v>22</v>
      </c>
      <c r="J2997" s="8" t="s">
        <v>22</v>
      </c>
      <c r="K2997" s="8" t="s">
        <v>632</v>
      </c>
      <c r="L2997" s="8" t="s">
        <v>11765</v>
      </c>
      <c r="M2997" s="8" t="s">
        <v>11766</v>
      </c>
      <c r="N2997" s="8" t="s">
        <v>13807</v>
      </c>
      <c r="O2997" s="8">
        <f>9+46/60+30.2/3600</f>
        <v>9.7750555555555572</v>
      </c>
      <c r="P2997" s="8" t="s">
        <v>13808</v>
      </c>
      <c r="Q2997" s="8">
        <f>-(21+34/60+16/3600)</f>
        <v>-21.571111111111112</v>
      </c>
      <c r="R2997" s="8">
        <v>12.7</v>
      </c>
      <c r="S2997" s="8">
        <v>13.6</v>
      </c>
      <c r="T2997" s="8">
        <v>0.9</v>
      </c>
      <c r="U2997" s="8">
        <v>13.3</v>
      </c>
      <c r="V2997" s="8">
        <v>1.5</v>
      </c>
      <c r="W2997" s="8">
        <v>1.3</v>
      </c>
      <c r="X2997" s="8">
        <v>115</v>
      </c>
      <c r="Y2997" s="8" t="s">
        <v>13809</v>
      </c>
      <c r="Z2997" s="8" t="s">
        <v>13810</v>
      </c>
    </row>
    <row r="2998" spans="1:26" x14ac:dyDescent="0.2">
      <c r="A2998" s="8">
        <v>2997</v>
      </c>
      <c r="B2998" s="8" t="s">
        <v>13811</v>
      </c>
      <c r="C2998" s="8" t="s">
        <v>13811</v>
      </c>
      <c r="F2998" s="47" t="s">
        <v>56704</v>
      </c>
      <c r="G2998" s="8">
        <v>3</v>
      </c>
      <c r="H2998" s="8" t="s">
        <v>21</v>
      </c>
      <c r="I2998" s="8" t="s">
        <v>22</v>
      </c>
      <c r="J2998" s="8" t="s">
        <v>22</v>
      </c>
      <c r="K2998" s="8" t="s">
        <v>64</v>
      </c>
      <c r="L2998" s="8" t="s">
        <v>13374</v>
      </c>
      <c r="M2998" s="8" t="s">
        <v>13375</v>
      </c>
      <c r="N2998" s="8" t="s">
        <v>13812</v>
      </c>
      <c r="O2998" s="8">
        <f>9+45/60+38.6/3600</f>
        <v>9.7607222222222223</v>
      </c>
      <c r="P2998" s="8" t="s">
        <v>13813</v>
      </c>
      <c r="Q2998" s="8">
        <f>-(31+11/60+26/3600)</f>
        <v>-31.190555555555555</v>
      </c>
      <c r="R2998" s="8">
        <v>9.5</v>
      </c>
      <c r="S2998" s="8">
        <v>10.1</v>
      </c>
      <c r="T2998" s="8">
        <v>0.6</v>
      </c>
      <c r="U2998" s="8">
        <v>13.8</v>
      </c>
      <c r="V2998" s="8">
        <v>8.9</v>
      </c>
      <c r="W2998" s="8">
        <v>6.8</v>
      </c>
      <c r="X2998" s="8">
        <v>110</v>
      </c>
      <c r="Y2998" s="8" t="s">
        <v>13814</v>
      </c>
      <c r="Z2998" s="8" t="s">
        <v>13815</v>
      </c>
    </row>
    <row r="2999" spans="1:26" x14ac:dyDescent="0.2">
      <c r="A2999" s="8">
        <v>2998</v>
      </c>
      <c r="B2999" s="8" t="s">
        <v>13816</v>
      </c>
      <c r="C2999" s="8" t="s">
        <v>13816</v>
      </c>
      <c r="F2999" s="47" t="s">
        <v>56705</v>
      </c>
      <c r="G2999" s="8">
        <v>13</v>
      </c>
      <c r="H2999" s="8" t="s">
        <v>21</v>
      </c>
      <c r="I2999" s="8" t="s">
        <v>22</v>
      </c>
      <c r="J2999" s="8" t="s">
        <v>22</v>
      </c>
      <c r="K2999" s="8" t="s">
        <v>64</v>
      </c>
      <c r="L2999" s="8" t="s">
        <v>12015</v>
      </c>
      <c r="M2999" s="8" t="s">
        <v>12016</v>
      </c>
      <c r="N2999" s="8" t="s">
        <v>13817</v>
      </c>
      <c r="O2999" s="8">
        <f>9+48/60+43.6/3600</f>
        <v>9.8121111111111112</v>
      </c>
      <c r="P2999" s="8" t="s">
        <v>13818</v>
      </c>
      <c r="Q2999" s="8">
        <f>+(44+4/60+54/3600)</f>
        <v>44.081666666666671</v>
      </c>
      <c r="R2999" s="8">
        <v>12.5</v>
      </c>
      <c r="S2999" s="8">
        <v>13.1</v>
      </c>
      <c r="T2999" s="8">
        <v>0.6</v>
      </c>
      <c r="U2999" s="8">
        <v>13.9</v>
      </c>
      <c r="V2999" s="8">
        <v>2.7</v>
      </c>
      <c r="W2999" s="8">
        <v>1.2</v>
      </c>
      <c r="X2999" s="8">
        <v>53</v>
      </c>
      <c r="Y2999" s="8" t="s">
        <v>13819</v>
      </c>
      <c r="Z2999" s="8" t="s">
        <v>13820</v>
      </c>
    </row>
    <row r="3000" spans="1:26" x14ac:dyDescent="0.2">
      <c r="A3000" s="8">
        <v>2999</v>
      </c>
      <c r="B3000" s="8" t="s">
        <v>13821</v>
      </c>
      <c r="C3000" s="8" t="s">
        <v>13821</v>
      </c>
      <c r="F3000" s="47"/>
      <c r="G3000" s="8">
        <v>16</v>
      </c>
      <c r="H3000" s="8" t="s">
        <v>21</v>
      </c>
      <c r="I3000" s="8" t="s">
        <v>557</v>
      </c>
      <c r="J3000" s="8" t="s">
        <v>57</v>
      </c>
      <c r="K3000" s="8" t="s">
        <v>13694</v>
      </c>
      <c r="L3000" s="8" t="s">
        <v>11757</v>
      </c>
      <c r="M3000" s="8" t="s">
        <v>11758</v>
      </c>
      <c r="N3000" s="8" t="s">
        <v>13695</v>
      </c>
      <c r="O3000" s="8">
        <f>9+40/60+11.5/3600</f>
        <v>9.6698611111111106</v>
      </c>
      <c r="P3000" s="8" t="s">
        <v>13696</v>
      </c>
      <c r="Q3000" s="8">
        <f>-(50+19/60+13/3600)</f>
        <v>-50.320277777777783</v>
      </c>
      <c r="R3000" s="8">
        <v>9.9</v>
      </c>
      <c r="S3000" s="8">
        <v>99</v>
      </c>
      <c r="T3000" s="8">
        <v>99</v>
      </c>
      <c r="U3000" s="8">
        <v>99</v>
      </c>
      <c r="V3000" s="8">
        <v>5</v>
      </c>
      <c r="Y3000" s="8" t="s">
        <v>13697</v>
      </c>
      <c r="Z3000" s="8" t="s">
        <v>13822</v>
      </c>
    </row>
    <row r="3001" spans="1:26" x14ac:dyDescent="0.2">
      <c r="A3001" s="8">
        <v>3000</v>
      </c>
      <c r="B3001" s="8" t="s">
        <v>13823</v>
      </c>
      <c r="C3001" s="8" t="s">
        <v>13823</v>
      </c>
      <c r="F3001" s="47"/>
      <c r="G3001" s="8">
        <v>18</v>
      </c>
      <c r="H3001" s="8" t="s">
        <v>21</v>
      </c>
      <c r="I3001" s="8" t="s">
        <v>72</v>
      </c>
      <c r="J3001" s="8" t="s">
        <v>72</v>
      </c>
      <c r="K3001" s="8" t="s">
        <v>73</v>
      </c>
      <c r="L3001" s="8" t="s">
        <v>12015</v>
      </c>
      <c r="M3001" s="8" t="s">
        <v>12016</v>
      </c>
      <c r="N3001" s="8" t="s">
        <v>13824</v>
      </c>
      <c r="O3001" s="8">
        <f>9+48/60+51.2/3600</f>
        <v>9.8142222222222237</v>
      </c>
      <c r="P3001" s="8" t="s">
        <v>13825</v>
      </c>
      <c r="Q3001" s="8">
        <f>+(44+7/60+54/3600)</f>
        <v>44.131666666666668</v>
      </c>
      <c r="R3001" s="8">
        <v>99</v>
      </c>
      <c r="S3001" s="8">
        <v>99</v>
      </c>
      <c r="T3001" s="8">
        <v>99</v>
      </c>
      <c r="U3001" s="8">
        <v>99</v>
      </c>
      <c r="Y3001" s="8" t="s">
        <v>13826</v>
      </c>
      <c r="Z3001" s="8" t="s">
        <v>13827</v>
      </c>
    </row>
    <row r="3002" spans="1:26" x14ac:dyDescent="0.2">
      <c r="A3002" s="8">
        <v>3001</v>
      </c>
      <c r="B3002" s="8" t="s">
        <v>13828</v>
      </c>
      <c r="C3002" s="8" t="s">
        <v>13828</v>
      </c>
      <c r="F3002" s="47"/>
      <c r="G3002" s="8">
        <v>13</v>
      </c>
      <c r="H3002" s="8" t="s">
        <v>21</v>
      </c>
      <c r="I3002" s="8" t="s">
        <v>22</v>
      </c>
      <c r="J3002" s="8" t="s">
        <v>22</v>
      </c>
      <c r="K3002" s="8" t="s">
        <v>85</v>
      </c>
      <c r="L3002" s="8" t="s">
        <v>13374</v>
      </c>
      <c r="M3002" s="8" t="s">
        <v>13375</v>
      </c>
      <c r="N3002" s="8" t="s">
        <v>13829</v>
      </c>
      <c r="O3002" s="8">
        <f>9+46/60+18.5/3600</f>
        <v>9.7718055555555559</v>
      </c>
      <c r="P3002" s="8" t="s">
        <v>13830</v>
      </c>
      <c r="Q3002" s="8">
        <f>-(30+26/60+13/3600)</f>
        <v>-30.436944444444446</v>
      </c>
      <c r="R3002" s="8">
        <v>11.9</v>
      </c>
      <c r="S3002" s="8">
        <v>12.7</v>
      </c>
      <c r="T3002" s="8">
        <v>0.8</v>
      </c>
      <c r="U3002" s="8">
        <v>13.7</v>
      </c>
      <c r="V3002" s="8">
        <v>2.9</v>
      </c>
      <c r="W3002" s="8">
        <v>2</v>
      </c>
      <c r="X3002" s="8">
        <v>6</v>
      </c>
      <c r="Y3002" s="8" t="s">
        <v>13831</v>
      </c>
      <c r="Z3002" s="8" t="s">
        <v>13832</v>
      </c>
    </row>
    <row r="3003" spans="1:26" x14ac:dyDescent="0.2">
      <c r="A3003" s="8">
        <v>3002</v>
      </c>
      <c r="B3003" s="8" t="s">
        <v>13833</v>
      </c>
      <c r="C3003" s="8" t="s">
        <v>13833</v>
      </c>
      <c r="F3003" s="47"/>
      <c r="G3003" s="8">
        <v>18</v>
      </c>
      <c r="H3003" s="8" t="s">
        <v>21</v>
      </c>
      <c r="I3003" s="8" t="s">
        <v>72</v>
      </c>
      <c r="J3003" s="8" t="s">
        <v>72</v>
      </c>
      <c r="K3003" s="8" t="s">
        <v>20</v>
      </c>
      <c r="L3003" s="8" t="s">
        <v>12015</v>
      </c>
      <c r="M3003" s="8" t="s">
        <v>12016</v>
      </c>
      <c r="N3003" s="8" t="s">
        <v>13834</v>
      </c>
      <c r="O3003" s="8">
        <f>9+48/60+57.1/3600</f>
        <v>9.8158611111111114</v>
      </c>
      <c r="P3003" s="8" t="s">
        <v>13835</v>
      </c>
      <c r="Q3003" s="8">
        <f>+(44+3/60+24/3600)</f>
        <v>44.056666666666665</v>
      </c>
      <c r="R3003" s="8">
        <v>99</v>
      </c>
      <c r="S3003" s="8">
        <v>99</v>
      </c>
      <c r="T3003" s="8">
        <v>99</v>
      </c>
      <c r="U3003" s="8">
        <v>99</v>
      </c>
      <c r="Y3003" s="8" t="s">
        <v>9230</v>
      </c>
      <c r="Z3003" s="8" t="s">
        <v>9231</v>
      </c>
    </row>
    <row r="3004" spans="1:26" x14ac:dyDescent="0.2">
      <c r="A3004" s="8">
        <v>3003</v>
      </c>
      <c r="B3004" s="8" t="s">
        <v>13836</v>
      </c>
      <c r="C3004" s="8" t="s">
        <v>13836</v>
      </c>
      <c r="F3004" s="47" t="s">
        <v>56706</v>
      </c>
      <c r="G3004" s="8">
        <v>7</v>
      </c>
      <c r="H3004" s="8" t="s">
        <v>21</v>
      </c>
      <c r="I3004" s="8" t="s">
        <v>22</v>
      </c>
      <c r="J3004" s="8" t="s">
        <v>22</v>
      </c>
      <c r="K3004" s="8" t="s">
        <v>85</v>
      </c>
      <c r="L3004" s="8" t="s">
        <v>13179</v>
      </c>
      <c r="M3004" s="8" t="s">
        <v>13180</v>
      </c>
      <c r="N3004" s="8" t="s">
        <v>13837</v>
      </c>
      <c r="O3004" s="8">
        <f>9+48/60+35.9/3600</f>
        <v>9.809972222222223</v>
      </c>
      <c r="P3004" s="8" t="s">
        <v>13838</v>
      </c>
      <c r="Q3004" s="8">
        <f>+(33+25/60+19/3600)</f>
        <v>33.421944444444442</v>
      </c>
      <c r="R3004" s="8">
        <v>11.9</v>
      </c>
      <c r="S3004" s="8">
        <v>12.3</v>
      </c>
      <c r="T3004" s="8">
        <v>0.4</v>
      </c>
      <c r="U3004" s="8">
        <v>14</v>
      </c>
      <c r="V3004" s="8">
        <v>5.7</v>
      </c>
      <c r="W3004" s="8">
        <v>1.4</v>
      </c>
      <c r="X3004" s="8">
        <v>79</v>
      </c>
      <c r="Y3004" s="8" t="s">
        <v>13839</v>
      </c>
      <c r="Z3004" s="8" t="s">
        <v>13840</v>
      </c>
    </row>
    <row r="3005" spans="1:26" x14ac:dyDescent="0.2">
      <c r="A3005" s="8">
        <v>3004</v>
      </c>
      <c r="B3005" s="8" t="s">
        <v>13841</v>
      </c>
      <c r="C3005" s="8" t="s">
        <v>13841</v>
      </c>
      <c r="F3005" s="47"/>
      <c r="G3005" s="8">
        <v>18</v>
      </c>
      <c r="H3005" s="8" t="s">
        <v>21</v>
      </c>
      <c r="I3005" s="8" t="s">
        <v>72</v>
      </c>
      <c r="J3005" s="8" t="s">
        <v>72</v>
      </c>
      <c r="K3005" s="8" t="s">
        <v>20</v>
      </c>
      <c r="L3005" s="8" t="s">
        <v>12015</v>
      </c>
      <c r="M3005" s="8" t="s">
        <v>12016</v>
      </c>
      <c r="N3005" s="8" t="s">
        <v>13842</v>
      </c>
      <c r="O3005" s="8">
        <f>9+49/60+2.1/3600</f>
        <v>9.8172499999999996</v>
      </c>
      <c r="P3005" s="8" t="s">
        <v>13843</v>
      </c>
      <c r="Q3005" s="8">
        <f>+(44+6/60+42/3600)</f>
        <v>44.111666666666665</v>
      </c>
      <c r="R3005" s="8">
        <v>99</v>
      </c>
      <c r="S3005" s="8">
        <v>99</v>
      </c>
      <c r="T3005" s="8">
        <v>99</v>
      </c>
      <c r="U3005" s="8">
        <v>99</v>
      </c>
      <c r="Y3005" s="8" t="s">
        <v>13844</v>
      </c>
      <c r="Z3005" s="8" t="s">
        <v>13845</v>
      </c>
    </row>
    <row r="3006" spans="1:26" x14ac:dyDescent="0.2">
      <c r="A3006" s="8">
        <v>3005</v>
      </c>
      <c r="B3006" s="8" t="s">
        <v>13846</v>
      </c>
      <c r="C3006" s="8" t="s">
        <v>13846</v>
      </c>
      <c r="F3006" s="47"/>
      <c r="G3006" s="8">
        <v>18</v>
      </c>
      <c r="H3006" s="8" t="s">
        <v>21</v>
      </c>
      <c r="I3006" s="8" t="s">
        <v>22</v>
      </c>
      <c r="J3006" s="8" t="s">
        <v>22</v>
      </c>
      <c r="K3006" s="8" t="s">
        <v>476</v>
      </c>
      <c r="L3006" s="8" t="s">
        <v>12015</v>
      </c>
      <c r="M3006" s="8" t="s">
        <v>12016</v>
      </c>
      <c r="N3006" s="8" t="s">
        <v>13847</v>
      </c>
      <c r="O3006" s="8">
        <f>9+49/60+14.9/3600</f>
        <v>9.8208055555555553</v>
      </c>
      <c r="P3006" s="8" t="s">
        <v>13848</v>
      </c>
      <c r="Q3006" s="8">
        <f>+(44+7/60+50/3600)</f>
        <v>44.130555555555553</v>
      </c>
      <c r="R3006" s="8">
        <v>14.9</v>
      </c>
      <c r="S3006" s="8">
        <v>15.5</v>
      </c>
      <c r="T3006" s="8">
        <v>0.6</v>
      </c>
      <c r="U3006" s="8">
        <v>13.1</v>
      </c>
      <c r="V3006" s="8">
        <v>1.1000000000000001</v>
      </c>
      <c r="W3006" s="8">
        <v>0.2</v>
      </c>
      <c r="X3006" s="8">
        <v>150</v>
      </c>
      <c r="Y3006" s="8" t="s">
        <v>13849</v>
      </c>
      <c r="Z3006" s="8" t="s">
        <v>13850</v>
      </c>
    </row>
    <row r="3007" spans="1:26" x14ac:dyDescent="0.2">
      <c r="A3007" s="8">
        <v>3006</v>
      </c>
      <c r="B3007" s="8" t="s">
        <v>13851</v>
      </c>
      <c r="C3007" s="8" t="s">
        <v>13851</v>
      </c>
      <c r="F3007" s="47"/>
      <c r="G3007" s="8">
        <v>18</v>
      </c>
      <c r="H3007" s="8" t="s">
        <v>21</v>
      </c>
      <c r="I3007" s="8" t="s">
        <v>22</v>
      </c>
      <c r="J3007" s="8" t="s">
        <v>22</v>
      </c>
      <c r="K3007" s="8" t="s">
        <v>37</v>
      </c>
      <c r="L3007" s="8" t="s">
        <v>12015</v>
      </c>
      <c r="M3007" s="8" t="s">
        <v>12016</v>
      </c>
      <c r="N3007" s="8" t="s">
        <v>13852</v>
      </c>
      <c r="O3007" s="8">
        <f>9+49/60+17.2/3600</f>
        <v>9.8214444444444435</v>
      </c>
      <c r="P3007" s="8" t="s">
        <v>13853</v>
      </c>
      <c r="Q3007" s="8">
        <f>+(44+1/60+32/3600)</f>
        <v>44.025555555555556</v>
      </c>
      <c r="R3007" s="8">
        <v>14.9</v>
      </c>
      <c r="S3007" s="8">
        <v>15.9</v>
      </c>
      <c r="T3007" s="8">
        <v>1</v>
      </c>
      <c r="U3007" s="8">
        <v>12.7</v>
      </c>
      <c r="V3007" s="8">
        <v>0.7</v>
      </c>
      <c r="W3007" s="8">
        <v>0.2</v>
      </c>
      <c r="X3007" s="8">
        <v>81</v>
      </c>
      <c r="Y3007" s="8" t="s">
        <v>12012</v>
      </c>
      <c r="Z3007" s="8" t="s">
        <v>12013</v>
      </c>
    </row>
    <row r="3008" spans="1:26" x14ac:dyDescent="0.2">
      <c r="A3008" s="8">
        <v>3007</v>
      </c>
      <c r="B3008" s="8" t="s">
        <v>13854</v>
      </c>
      <c r="C3008" s="8" t="s">
        <v>13854</v>
      </c>
      <c r="F3008" s="47"/>
      <c r="G3008" s="8">
        <v>19</v>
      </c>
      <c r="H3008" s="8" t="s">
        <v>21</v>
      </c>
      <c r="I3008" s="8" t="s">
        <v>22</v>
      </c>
      <c r="J3008" s="8" t="s">
        <v>22</v>
      </c>
      <c r="K3008" s="8" t="s">
        <v>632</v>
      </c>
      <c r="L3008" s="8" t="s">
        <v>12234</v>
      </c>
      <c r="M3008" s="8" t="s">
        <v>12235</v>
      </c>
      <c r="N3008" s="8" t="s">
        <v>13855</v>
      </c>
      <c r="O3008" s="8">
        <f>9+47/60+45.5/3600</f>
        <v>9.7959722222222219</v>
      </c>
      <c r="P3008" s="8" t="s">
        <v>13856</v>
      </c>
      <c r="Q3008" s="8">
        <f>-(6+26/60+16/3600)</f>
        <v>-6.4377777777777778</v>
      </c>
      <c r="R3008" s="8">
        <v>13.4</v>
      </c>
      <c r="S3008" s="8">
        <v>14.3</v>
      </c>
      <c r="T3008" s="8">
        <v>0.9</v>
      </c>
      <c r="U3008" s="8">
        <v>13</v>
      </c>
      <c r="V3008" s="8">
        <v>1.3</v>
      </c>
      <c r="W3008" s="8">
        <v>0.5</v>
      </c>
      <c r="X3008" s="8">
        <v>90</v>
      </c>
      <c r="Y3008" s="8" t="s">
        <v>13857</v>
      </c>
      <c r="Z3008" s="8" t="s">
        <v>13858</v>
      </c>
    </row>
    <row r="3009" spans="1:26" x14ac:dyDescent="0.2">
      <c r="A3009" s="8">
        <v>3008</v>
      </c>
      <c r="B3009" s="8" t="s">
        <v>13859</v>
      </c>
      <c r="C3009" s="8" t="s">
        <v>13859</v>
      </c>
      <c r="F3009" s="47"/>
      <c r="G3009" s="8">
        <v>18</v>
      </c>
      <c r="H3009" s="8" t="s">
        <v>21</v>
      </c>
      <c r="I3009" s="8" t="s">
        <v>22</v>
      </c>
      <c r="J3009" s="8" t="s">
        <v>22</v>
      </c>
      <c r="K3009" s="8" t="s">
        <v>476</v>
      </c>
      <c r="L3009" s="8" t="s">
        <v>12015</v>
      </c>
      <c r="M3009" s="8" t="s">
        <v>12016</v>
      </c>
      <c r="N3009" s="8" t="s">
        <v>13860</v>
      </c>
      <c r="O3009" s="8">
        <f>9+49/60+34.1/3600</f>
        <v>9.8261388888888881</v>
      </c>
      <c r="P3009" s="8" t="s">
        <v>13861</v>
      </c>
      <c r="Q3009" s="8">
        <f>+(44+6/60+10/3600)</f>
        <v>44.102777777777781</v>
      </c>
      <c r="R3009" s="8">
        <v>14.5</v>
      </c>
      <c r="S3009" s="8">
        <v>15.4</v>
      </c>
      <c r="T3009" s="8">
        <v>0.9</v>
      </c>
      <c r="U3009" s="8">
        <v>13</v>
      </c>
      <c r="V3009" s="8">
        <v>0.5</v>
      </c>
      <c r="W3009" s="8">
        <v>0.3</v>
      </c>
      <c r="X3009" s="8">
        <v>135</v>
      </c>
      <c r="Y3009" s="8" t="s">
        <v>13862</v>
      </c>
      <c r="Z3009" s="8" t="s">
        <v>13863</v>
      </c>
    </row>
    <row r="3010" spans="1:26" x14ac:dyDescent="0.2">
      <c r="A3010" s="8">
        <v>3009</v>
      </c>
      <c r="B3010" s="8" t="s">
        <v>13864</v>
      </c>
      <c r="C3010" s="8" t="s">
        <v>13864</v>
      </c>
      <c r="F3010" s="47"/>
      <c r="G3010" s="8">
        <v>16</v>
      </c>
      <c r="H3010" s="8" t="s">
        <v>21</v>
      </c>
      <c r="I3010" s="8" t="s">
        <v>22</v>
      </c>
      <c r="J3010" s="8" t="s">
        <v>22</v>
      </c>
      <c r="K3010" s="8" t="s">
        <v>160</v>
      </c>
      <c r="L3010" s="8" t="s">
        <v>12015</v>
      </c>
      <c r="M3010" s="8" t="s">
        <v>12016</v>
      </c>
      <c r="N3010" s="8" t="s">
        <v>13865</v>
      </c>
      <c r="O3010" s="8">
        <f>9+50/60+11.2/3600</f>
        <v>9.8364444444444459</v>
      </c>
      <c r="P3010" s="8" t="s">
        <v>13866</v>
      </c>
      <c r="Q3010" s="8">
        <f>+(44+17/60+43/3600)</f>
        <v>44.295277777777777</v>
      </c>
      <c r="R3010" s="8">
        <v>13.6</v>
      </c>
      <c r="S3010" s="8">
        <v>14.3</v>
      </c>
      <c r="T3010" s="8">
        <v>0.7</v>
      </c>
      <c r="U3010" s="8">
        <v>13.2</v>
      </c>
      <c r="V3010" s="8">
        <v>0.8</v>
      </c>
      <c r="W3010" s="8">
        <v>0.7</v>
      </c>
      <c r="X3010" s="8">
        <v>161</v>
      </c>
      <c r="Y3010" s="8" t="s">
        <v>13867</v>
      </c>
      <c r="Z3010" s="8" t="s">
        <v>13868</v>
      </c>
    </row>
    <row r="3011" spans="1:26" x14ac:dyDescent="0.2">
      <c r="A3011" s="8">
        <v>3010</v>
      </c>
      <c r="B3011" s="8" t="s">
        <v>13869</v>
      </c>
      <c r="C3011" s="8" t="s">
        <v>13869</v>
      </c>
      <c r="D3011" s="8" t="s">
        <v>1619</v>
      </c>
      <c r="F3011" s="47"/>
      <c r="G3011" s="8">
        <v>16</v>
      </c>
      <c r="H3011" s="8" t="s">
        <v>21</v>
      </c>
      <c r="I3011" s="8" t="s">
        <v>22</v>
      </c>
      <c r="J3011" s="8" t="s">
        <v>22</v>
      </c>
      <c r="K3011" s="8" t="s">
        <v>449</v>
      </c>
      <c r="L3011" s="8" t="s">
        <v>12015</v>
      </c>
      <c r="M3011" s="8" t="s">
        <v>12016</v>
      </c>
      <c r="N3011" s="8" t="s">
        <v>13870</v>
      </c>
      <c r="O3011" s="8">
        <f>9+50/60+33.2/3600</f>
        <v>9.8425555555555562</v>
      </c>
      <c r="P3011" s="8" t="s">
        <v>13871</v>
      </c>
      <c r="Q3011" s="8">
        <f>+(44+18/60+53/3600)</f>
        <v>44.314722222222223</v>
      </c>
      <c r="R3011" s="8">
        <v>14.5</v>
      </c>
      <c r="S3011" s="8">
        <v>15.3</v>
      </c>
      <c r="T3011" s="8">
        <v>0.8</v>
      </c>
      <c r="U3011" s="8">
        <v>13</v>
      </c>
      <c r="V3011" s="8">
        <v>0.7</v>
      </c>
      <c r="W3011" s="8">
        <v>0.4</v>
      </c>
      <c r="X3011" s="8">
        <v>70</v>
      </c>
      <c r="Y3011" s="8" t="s">
        <v>13872</v>
      </c>
      <c r="Z3011" s="8" t="s">
        <v>13873</v>
      </c>
    </row>
    <row r="3012" spans="1:26" x14ac:dyDescent="0.2">
      <c r="A3012" s="8">
        <v>3011</v>
      </c>
      <c r="B3012" s="8" t="s">
        <v>13874</v>
      </c>
      <c r="C3012" s="8" t="s">
        <v>13874</v>
      </c>
      <c r="F3012" s="47"/>
      <c r="G3012" s="8">
        <v>19</v>
      </c>
      <c r="H3012" s="8" t="s">
        <v>21</v>
      </c>
      <c r="I3012" s="8" t="s">
        <v>22</v>
      </c>
      <c r="J3012" s="8" t="s">
        <v>22</v>
      </c>
      <c r="K3012" s="8" t="s">
        <v>37</v>
      </c>
      <c r="L3012" s="8" t="s">
        <v>13194</v>
      </c>
      <c r="M3012" s="8" t="s">
        <v>13195</v>
      </c>
      <c r="N3012" s="8" t="s">
        <v>13875</v>
      </c>
      <c r="O3012" s="8">
        <f>9+49/60+41.1/3600</f>
        <v>9.8280833333333337</v>
      </c>
      <c r="P3012" s="8" t="s">
        <v>13876</v>
      </c>
      <c r="Q3012" s="8">
        <f>+(32+13/60+18/3600)</f>
        <v>32.221666666666671</v>
      </c>
      <c r="R3012" s="8">
        <v>13.3</v>
      </c>
      <c r="S3012" s="8">
        <v>14.3</v>
      </c>
      <c r="T3012" s="8">
        <v>1</v>
      </c>
      <c r="U3012" s="8">
        <v>12.8</v>
      </c>
      <c r="V3012" s="8">
        <v>0.9</v>
      </c>
      <c r="W3012" s="8">
        <v>0.8</v>
      </c>
      <c r="X3012" s="8">
        <v>69</v>
      </c>
      <c r="Y3012" s="8" t="s">
        <v>13877</v>
      </c>
      <c r="Z3012" s="8" t="s">
        <v>13878</v>
      </c>
    </row>
    <row r="3013" spans="1:26" x14ac:dyDescent="0.2">
      <c r="A3013" s="8">
        <v>3012</v>
      </c>
      <c r="B3013" s="8" t="s">
        <v>13879</v>
      </c>
      <c r="C3013" s="8" t="s">
        <v>13879</v>
      </c>
      <c r="F3013" s="47"/>
      <c r="G3013" s="8">
        <v>18</v>
      </c>
      <c r="H3013" s="8" t="s">
        <v>21</v>
      </c>
      <c r="I3013" s="8" t="s">
        <v>22</v>
      </c>
      <c r="J3013" s="8" t="s">
        <v>22</v>
      </c>
      <c r="K3013" s="8" t="s">
        <v>460</v>
      </c>
      <c r="L3013" s="8" t="s">
        <v>13179</v>
      </c>
      <c r="M3013" s="8" t="s">
        <v>13180</v>
      </c>
      <c r="N3013" s="8" t="s">
        <v>13880</v>
      </c>
      <c r="O3013" s="8">
        <f>9+49/60+52/3600</f>
        <v>9.8311111111111114</v>
      </c>
      <c r="P3013" s="8" t="s">
        <v>13881</v>
      </c>
      <c r="Q3013" s="8">
        <f>+(34+42/60+53/3600)</f>
        <v>34.714722222222228</v>
      </c>
      <c r="R3013" s="8">
        <v>13.5</v>
      </c>
      <c r="S3013" s="8">
        <v>14.5</v>
      </c>
      <c r="T3013" s="8">
        <v>1</v>
      </c>
      <c r="U3013" s="8">
        <v>13.6</v>
      </c>
      <c r="V3013" s="8">
        <v>1</v>
      </c>
      <c r="W3013" s="8">
        <v>1</v>
      </c>
      <c r="Y3013" s="8" t="s">
        <v>13882</v>
      </c>
      <c r="Z3013" s="8" t="s">
        <v>13883</v>
      </c>
    </row>
    <row r="3014" spans="1:26" x14ac:dyDescent="0.2">
      <c r="A3014" s="8">
        <v>3013</v>
      </c>
      <c r="B3014" s="8" t="s">
        <v>13884</v>
      </c>
      <c r="C3014" s="8" t="s">
        <v>13884</v>
      </c>
      <c r="F3014" s="47"/>
      <c r="G3014" s="8">
        <v>18</v>
      </c>
      <c r="H3014" s="8" t="s">
        <v>21</v>
      </c>
      <c r="I3014" s="8" t="s">
        <v>22</v>
      </c>
      <c r="J3014" s="8" t="s">
        <v>22</v>
      </c>
      <c r="K3014" s="8" t="s">
        <v>449</v>
      </c>
      <c r="L3014" s="8" t="s">
        <v>13179</v>
      </c>
      <c r="M3014" s="8" t="s">
        <v>13180</v>
      </c>
      <c r="N3014" s="8" t="s">
        <v>13885</v>
      </c>
      <c r="O3014" s="8">
        <f>9+50/60+9.3/3600</f>
        <v>9.8359166666666678</v>
      </c>
      <c r="P3014" s="8" t="s">
        <v>13886</v>
      </c>
      <c r="Q3014" s="8">
        <f>+(33+34/60+11/3600)</f>
        <v>33.569722222222225</v>
      </c>
      <c r="R3014" s="8">
        <v>14.9</v>
      </c>
      <c r="S3014" s="8">
        <v>15.7</v>
      </c>
      <c r="T3014" s="8">
        <v>0.8</v>
      </c>
      <c r="U3014" s="8">
        <v>13.7</v>
      </c>
      <c r="V3014" s="8">
        <v>0.8</v>
      </c>
      <c r="W3014" s="8">
        <v>0.5</v>
      </c>
      <c r="X3014" s="8">
        <v>91</v>
      </c>
      <c r="Y3014" s="8" t="s">
        <v>13887</v>
      </c>
      <c r="Z3014" s="8" t="s">
        <v>13888</v>
      </c>
    </row>
    <row r="3015" spans="1:26" x14ac:dyDescent="0.2">
      <c r="A3015" s="8">
        <v>3014</v>
      </c>
      <c r="B3015" s="8" t="s">
        <v>13889</v>
      </c>
      <c r="C3015" s="8" t="s">
        <v>13889</v>
      </c>
      <c r="F3015" s="47"/>
      <c r="G3015" s="8">
        <v>16</v>
      </c>
      <c r="H3015" s="8" t="s">
        <v>21</v>
      </c>
      <c r="I3015" s="8" t="s">
        <v>22</v>
      </c>
      <c r="J3015" s="8" t="s">
        <v>22</v>
      </c>
      <c r="K3015" s="8" t="s">
        <v>396</v>
      </c>
      <c r="L3015" s="8" t="s">
        <v>12234</v>
      </c>
      <c r="M3015" s="8" t="s">
        <v>12235</v>
      </c>
      <c r="N3015" s="8" t="s">
        <v>13890</v>
      </c>
      <c r="O3015" s="8">
        <f>9+49/60+7.8/3600</f>
        <v>9.818833333333334</v>
      </c>
      <c r="P3015" s="8" t="s">
        <v>13891</v>
      </c>
      <c r="Q3015" s="8">
        <f>-(4+44/60+34/3600)</f>
        <v>-4.7427777777777775</v>
      </c>
      <c r="R3015" s="8">
        <v>13.9</v>
      </c>
      <c r="S3015" s="8">
        <v>14.7</v>
      </c>
      <c r="T3015" s="8">
        <v>0.8</v>
      </c>
      <c r="U3015" s="8">
        <v>13.7</v>
      </c>
      <c r="V3015" s="8">
        <v>1</v>
      </c>
      <c r="W3015" s="8">
        <v>0.9</v>
      </c>
      <c r="X3015" s="8">
        <v>156</v>
      </c>
      <c r="Y3015" s="8" t="s">
        <v>13892</v>
      </c>
      <c r="Z3015" s="8" t="s">
        <v>13893</v>
      </c>
    </row>
    <row r="3016" spans="1:26" x14ac:dyDescent="0.2">
      <c r="A3016" s="8">
        <v>3015</v>
      </c>
      <c r="B3016" s="8" t="s">
        <v>13894</v>
      </c>
      <c r="C3016" s="8" t="s">
        <v>13894</v>
      </c>
      <c r="F3016" s="47"/>
      <c r="G3016" s="8">
        <v>18</v>
      </c>
      <c r="H3016" s="8" t="s">
        <v>21</v>
      </c>
      <c r="I3016" s="8" t="s">
        <v>22</v>
      </c>
      <c r="J3016" s="8" t="s">
        <v>22</v>
      </c>
      <c r="K3016" s="8" t="s">
        <v>37</v>
      </c>
      <c r="L3016" s="8" t="s">
        <v>12234</v>
      </c>
      <c r="M3016" s="8" t="s">
        <v>12235</v>
      </c>
      <c r="N3016" s="8" t="s">
        <v>13895</v>
      </c>
      <c r="O3016" s="8">
        <f>9+49/60+22.9/3600</f>
        <v>9.8230277777777779</v>
      </c>
      <c r="P3016" s="8" t="s">
        <v>13896</v>
      </c>
      <c r="Q3016" s="8">
        <f>+(1+8/60+43/3600)</f>
        <v>1.1452777777777778</v>
      </c>
      <c r="R3016" s="8">
        <v>13.5</v>
      </c>
      <c r="S3016" s="8">
        <v>14.5</v>
      </c>
      <c r="T3016" s="8">
        <v>1</v>
      </c>
      <c r="U3016" s="8">
        <v>11.6</v>
      </c>
      <c r="V3016" s="8">
        <v>0.5</v>
      </c>
      <c r="W3016" s="8">
        <v>0.4</v>
      </c>
      <c r="X3016" s="8">
        <v>95</v>
      </c>
      <c r="Y3016" s="8" t="s">
        <v>2253</v>
      </c>
      <c r="Z3016" s="8" t="s">
        <v>13897</v>
      </c>
    </row>
    <row r="3017" spans="1:26" x14ac:dyDescent="0.2">
      <c r="A3017" s="8">
        <v>3016</v>
      </c>
      <c r="B3017" s="8" t="s">
        <v>13898</v>
      </c>
      <c r="C3017" s="8" t="s">
        <v>13898</v>
      </c>
      <c r="F3017" s="47"/>
      <c r="G3017" s="8">
        <v>18</v>
      </c>
      <c r="H3017" s="8" t="s">
        <v>21</v>
      </c>
      <c r="I3017" s="8" t="s">
        <v>22</v>
      </c>
      <c r="J3017" s="8" t="s">
        <v>22</v>
      </c>
      <c r="K3017" s="8" t="s">
        <v>23</v>
      </c>
      <c r="L3017" s="8" t="s">
        <v>13194</v>
      </c>
      <c r="M3017" s="8" t="s">
        <v>13195</v>
      </c>
      <c r="N3017" s="8" t="s">
        <v>13899</v>
      </c>
      <c r="O3017" s="8">
        <f>9+49/60+50.6/3600</f>
        <v>9.8307222222222226</v>
      </c>
      <c r="P3017" s="8" t="s">
        <v>13900</v>
      </c>
      <c r="Q3017" s="8">
        <f>+(12+41/60+43/3600)</f>
        <v>12.695277777777777</v>
      </c>
      <c r="R3017" s="8">
        <v>12.9</v>
      </c>
      <c r="S3017" s="8">
        <v>13.7</v>
      </c>
      <c r="T3017" s="8">
        <v>0.8</v>
      </c>
      <c r="U3017" s="8">
        <v>12.8</v>
      </c>
      <c r="V3017" s="8">
        <v>1.2</v>
      </c>
      <c r="W3017" s="8">
        <v>0.9</v>
      </c>
      <c r="X3017" s="8">
        <v>70</v>
      </c>
      <c r="Y3017" s="8" t="s">
        <v>13901</v>
      </c>
      <c r="Z3017" s="8" t="s">
        <v>1104</v>
      </c>
    </row>
    <row r="3018" spans="1:26" x14ac:dyDescent="0.2">
      <c r="A3018" s="8">
        <v>3017</v>
      </c>
      <c r="B3018" s="8" t="s">
        <v>13902</v>
      </c>
      <c r="C3018" s="8" t="s">
        <v>13902</v>
      </c>
      <c r="F3018" s="47"/>
      <c r="G3018" s="8">
        <v>19</v>
      </c>
      <c r="H3018" s="8" t="s">
        <v>21</v>
      </c>
      <c r="I3018" s="8" t="s">
        <v>22</v>
      </c>
      <c r="J3018" s="8" t="s">
        <v>22</v>
      </c>
      <c r="K3018" s="8" t="s">
        <v>460</v>
      </c>
      <c r="L3018" s="8" t="s">
        <v>12234</v>
      </c>
      <c r="M3018" s="8" t="s">
        <v>12235</v>
      </c>
      <c r="N3018" s="8" t="s">
        <v>13903</v>
      </c>
      <c r="O3018" s="8">
        <f>9+49/60+3/3600</f>
        <v>9.817499999999999</v>
      </c>
      <c r="P3018" s="8" t="s">
        <v>13904</v>
      </c>
      <c r="Q3018" s="8">
        <f>-(2+49/60+17/3600)</f>
        <v>-2.8213888888888885</v>
      </c>
      <c r="R3018" s="8">
        <v>13.1</v>
      </c>
      <c r="S3018" s="8">
        <v>14.1</v>
      </c>
      <c r="T3018" s="8">
        <v>1</v>
      </c>
      <c r="U3018" s="8">
        <v>13</v>
      </c>
      <c r="V3018" s="8">
        <v>1</v>
      </c>
      <c r="W3018" s="8">
        <v>1</v>
      </c>
      <c r="Y3018" s="8" t="s">
        <v>13905</v>
      </c>
      <c r="Z3018" s="8" t="s">
        <v>13906</v>
      </c>
    </row>
    <row r="3019" spans="1:26" x14ac:dyDescent="0.2">
      <c r="A3019" s="8">
        <v>3018</v>
      </c>
      <c r="B3019" s="8" t="s">
        <v>13907</v>
      </c>
      <c r="C3019" s="8" t="s">
        <v>13907</v>
      </c>
      <c r="F3019" s="47"/>
      <c r="G3019" s="8">
        <v>19</v>
      </c>
      <c r="H3019" s="8" t="s">
        <v>21</v>
      </c>
      <c r="I3019" s="8" t="s">
        <v>22</v>
      </c>
      <c r="J3019" s="8" t="s">
        <v>22</v>
      </c>
      <c r="K3019" s="8" t="s">
        <v>23</v>
      </c>
      <c r="L3019" s="8" t="s">
        <v>12234</v>
      </c>
      <c r="M3019" s="8" t="s">
        <v>12235</v>
      </c>
      <c r="N3019" s="8" t="s">
        <v>13908</v>
      </c>
      <c r="O3019" s="8">
        <f>9+49/60+41.6/3600</f>
        <v>9.8282222222222213</v>
      </c>
      <c r="P3019" s="8" t="s">
        <v>13909</v>
      </c>
      <c r="Q3019" s="8">
        <f>+(0+37/60+22/3600)</f>
        <v>0.62277777777777776</v>
      </c>
      <c r="R3019" s="8">
        <v>13.3</v>
      </c>
      <c r="S3019" s="8">
        <v>14.1</v>
      </c>
      <c r="T3019" s="8">
        <v>0.8</v>
      </c>
      <c r="U3019" s="8">
        <v>13</v>
      </c>
      <c r="V3019" s="8">
        <v>1.2</v>
      </c>
      <c r="W3019" s="8">
        <v>0.7</v>
      </c>
      <c r="X3019" s="8">
        <v>27</v>
      </c>
      <c r="Y3019" s="8" t="s">
        <v>7702</v>
      </c>
      <c r="Z3019" s="8" t="s">
        <v>7703</v>
      </c>
    </row>
    <row r="3020" spans="1:26" x14ac:dyDescent="0.2">
      <c r="A3020" s="8">
        <v>3019</v>
      </c>
      <c r="B3020" s="8" t="s">
        <v>13910</v>
      </c>
      <c r="C3020" s="8" t="s">
        <v>13910</v>
      </c>
      <c r="F3020" s="47"/>
      <c r="G3020" s="8">
        <v>18</v>
      </c>
      <c r="H3020" s="8" t="s">
        <v>21</v>
      </c>
      <c r="I3020" s="8" t="s">
        <v>22</v>
      </c>
      <c r="J3020" s="8" t="s">
        <v>22</v>
      </c>
      <c r="K3020" s="8" t="s">
        <v>396</v>
      </c>
      <c r="L3020" s="8" t="s">
        <v>13194</v>
      </c>
      <c r="M3020" s="8" t="s">
        <v>13195</v>
      </c>
      <c r="N3020" s="8" t="s">
        <v>13911</v>
      </c>
      <c r="O3020" s="8">
        <f>9+50/60+7.2/3600</f>
        <v>9.8353333333333346</v>
      </c>
      <c r="P3020" s="8" t="s">
        <v>13912</v>
      </c>
      <c r="Q3020" s="8">
        <f>+(12+44/60+46/3600)</f>
        <v>12.746111111111111</v>
      </c>
      <c r="R3020" s="8">
        <v>15.2</v>
      </c>
      <c r="S3020" s="8">
        <v>16</v>
      </c>
      <c r="T3020" s="8">
        <v>0.8</v>
      </c>
      <c r="U3020" s="8">
        <v>13.8</v>
      </c>
      <c r="V3020" s="8">
        <v>0.8</v>
      </c>
      <c r="W3020" s="8">
        <v>0.4</v>
      </c>
      <c r="X3020" s="8">
        <v>45</v>
      </c>
      <c r="Y3020" s="8" t="s">
        <v>13913</v>
      </c>
      <c r="Z3020" s="8" t="s">
        <v>13914</v>
      </c>
    </row>
    <row r="3021" spans="1:26" x14ac:dyDescent="0.2">
      <c r="A3021" s="8">
        <v>3020</v>
      </c>
      <c r="B3021" s="8" t="s">
        <v>13915</v>
      </c>
      <c r="C3021" s="8" t="s">
        <v>13915</v>
      </c>
      <c r="F3021" s="47" t="s">
        <v>56707</v>
      </c>
      <c r="G3021" s="8">
        <v>15</v>
      </c>
      <c r="H3021" s="8" t="s">
        <v>21</v>
      </c>
      <c r="I3021" s="8" t="s">
        <v>22</v>
      </c>
      <c r="J3021" s="8" t="s">
        <v>22</v>
      </c>
      <c r="K3021" s="8" t="s">
        <v>64</v>
      </c>
      <c r="L3021" s="8" t="s">
        <v>13194</v>
      </c>
      <c r="M3021" s="8" t="s">
        <v>13195</v>
      </c>
      <c r="N3021" s="8" t="s">
        <v>13916</v>
      </c>
      <c r="O3021" s="8">
        <f>9+50/60+6.5/3600</f>
        <v>9.8351388888888902</v>
      </c>
      <c r="P3021" s="8" t="s">
        <v>13917</v>
      </c>
      <c r="Q3021" s="8">
        <f>+(12+48/60+49/3600)</f>
        <v>12.813611111111111</v>
      </c>
      <c r="R3021" s="8">
        <v>11.9</v>
      </c>
      <c r="S3021" s="8">
        <v>12.6</v>
      </c>
      <c r="T3021" s="8">
        <v>0.7</v>
      </c>
      <c r="U3021" s="8">
        <v>13.5</v>
      </c>
      <c r="V3021" s="8">
        <v>3</v>
      </c>
      <c r="W3021" s="8">
        <v>1.6</v>
      </c>
      <c r="X3021" s="8">
        <v>105</v>
      </c>
      <c r="Y3021" s="8" t="s">
        <v>13918</v>
      </c>
      <c r="Z3021" s="8" t="s">
        <v>13919</v>
      </c>
    </row>
    <row r="3022" spans="1:26" x14ac:dyDescent="0.2">
      <c r="A3022" s="8">
        <v>3021</v>
      </c>
      <c r="B3022" s="8" t="s">
        <v>13920</v>
      </c>
      <c r="C3022" s="8" t="s">
        <v>13920</v>
      </c>
      <c r="F3022" s="47" t="s">
        <v>56708</v>
      </c>
      <c r="G3022" s="8">
        <v>12</v>
      </c>
      <c r="H3022" s="8" t="s">
        <v>21</v>
      </c>
      <c r="I3022" s="8" t="s">
        <v>22</v>
      </c>
      <c r="J3022" s="8" t="s">
        <v>22</v>
      </c>
      <c r="K3022" s="8" t="s">
        <v>396</v>
      </c>
      <c r="L3022" s="8" t="s">
        <v>13179</v>
      </c>
      <c r="M3022" s="8" t="s">
        <v>13180</v>
      </c>
      <c r="N3022" s="8" t="s">
        <v>13921</v>
      </c>
      <c r="O3022" s="8">
        <f>9+50/60+57.2/3600</f>
        <v>9.8492222222222221</v>
      </c>
      <c r="P3022" s="8" t="s">
        <v>13922</v>
      </c>
      <c r="Q3022" s="8">
        <f>+(33+33/60+15/3600)</f>
        <v>33.554166666666667</v>
      </c>
      <c r="R3022" s="8">
        <v>12.1</v>
      </c>
      <c r="S3022" s="8">
        <v>12.9</v>
      </c>
      <c r="T3022" s="8">
        <v>0.8</v>
      </c>
      <c r="U3022" s="8">
        <v>12.4</v>
      </c>
      <c r="V3022" s="8">
        <v>1.5</v>
      </c>
      <c r="W3022" s="8">
        <v>0.9</v>
      </c>
      <c r="X3022" s="8">
        <v>110</v>
      </c>
      <c r="Y3022" s="8" t="s">
        <v>13923</v>
      </c>
      <c r="Z3022" s="8" t="s">
        <v>13924</v>
      </c>
    </row>
    <row r="3023" spans="1:26" x14ac:dyDescent="0.2">
      <c r="A3023" s="8">
        <v>3022</v>
      </c>
      <c r="B3023" s="8" t="s">
        <v>13925</v>
      </c>
      <c r="C3023" s="8" t="s">
        <v>13925</v>
      </c>
      <c r="F3023" s="47"/>
      <c r="G3023" s="8">
        <v>16</v>
      </c>
      <c r="H3023" s="8" t="s">
        <v>21</v>
      </c>
      <c r="I3023" s="8" t="s">
        <v>22</v>
      </c>
      <c r="J3023" s="8" t="s">
        <v>22</v>
      </c>
      <c r="K3023" s="8" t="s">
        <v>37</v>
      </c>
      <c r="L3023" s="8" t="s">
        <v>12234</v>
      </c>
      <c r="M3023" s="8" t="s">
        <v>12235</v>
      </c>
      <c r="N3023" s="8" t="s">
        <v>13926</v>
      </c>
      <c r="O3023" s="8">
        <f>9+49/60+39.2/3600</f>
        <v>9.8275555555555556</v>
      </c>
      <c r="P3023" s="8" t="s">
        <v>13927</v>
      </c>
      <c r="Q3023" s="8">
        <f>-(5+9/60+59/3600)</f>
        <v>-5.1663888888888891</v>
      </c>
      <c r="R3023" s="8">
        <v>13.2</v>
      </c>
      <c r="S3023" s="8">
        <v>14.2</v>
      </c>
      <c r="T3023" s="8">
        <v>1</v>
      </c>
      <c r="U3023" s="8">
        <v>14.1</v>
      </c>
      <c r="V3023" s="8">
        <v>1.6</v>
      </c>
      <c r="W3023" s="8">
        <v>1.6</v>
      </c>
      <c r="Y3023" s="8" t="s">
        <v>13928</v>
      </c>
      <c r="Z3023" s="8" t="s">
        <v>13929</v>
      </c>
    </row>
    <row r="3024" spans="1:26" x14ac:dyDescent="0.2">
      <c r="A3024" s="8">
        <v>3023</v>
      </c>
      <c r="B3024" s="8" t="s">
        <v>13930</v>
      </c>
      <c r="C3024" s="8" t="s">
        <v>13930</v>
      </c>
      <c r="E3024" s="8">
        <v>1</v>
      </c>
      <c r="F3024" s="47"/>
      <c r="G3024" s="8">
        <v>19</v>
      </c>
      <c r="H3024" s="8" t="s">
        <v>21</v>
      </c>
      <c r="I3024" s="8" t="s">
        <v>22</v>
      </c>
      <c r="J3024" s="8" t="s">
        <v>22</v>
      </c>
      <c r="K3024" s="8" t="s">
        <v>520</v>
      </c>
      <c r="L3024" s="8" t="s">
        <v>12234</v>
      </c>
      <c r="M3024" s="8" t="s">
        <v>12235</v>
      </c>
      <c r="N3024" s="8" t="s">
        <v>13931</v>
      </c>
      <c r="O3024" s="8">
        <f>9+49/60+52.6/3600</f>
        <v>9.8312777777777782</v>
      </c>
      <c r="P3024" s="8" t="s">
        <v>7613</v>
      </c>
      <c r="Q3024" s="8">
        <f>+(0+37/60+8/3600)</f>
        <v>0.61888888888888893</v>
      </c>
      <c r="R3024" s="8">
        <v>12.3</v>
      </c>
      <c r="S3024" s="8">
        <v>13</v>
      </c>
      <c r="T3024" s="8">
        <v>0.7</v>
      </c>
      <c r="U3024" s="8">
        <v>13.7</v>
      </c>
      <c r="V3024" s="8">
        <v>3</v>
      </c>
      <c r="W3024" s="8">
        <v>1.4</v>
      </c>
      <c r="X3024" s="8">
        <v>70</v>
      </c>
      <c r="Y3024" s="8" t="s">
        <v>13932</v>
      </c>
      <c r="Z3024" s="8" t="s">
        <v>13933</v>
      </c>
    </row>
    <row r="3025" spans="1:26" x14ac:dyDescent="0.2">
      <c r="A3025" s="8">
        <v>3024</v>
      </c>
      <c r="B3025" s="8" t="s">
        <v>13934</v>
      </c>
      <c r="C3025" s="8" t="s">
        <v>13934</v>
      </c>
      <c r="F3025" s="47" t="s">
        <v>56709</v>
      </c>
      <c r="G3025" s="8">
        <v>15</v>
      </c>
      <c r="H3025" s="8" t="s">
        <v>21</v>
      </c>
      <c r="I3025" s="8" t="s">
        <v>22</v>
      </c>
      <c r="J3025" s="8" t="s">
        <v>22</v>
      </c>
      <c r="K3025" s="8" t="s">
        <v>160</v>
      </c>
      <c r="L3025" s="8" t="s">
        <v>13194</v>
      </c>
      <c r="M3025" s="8" t="s">
        <v>13195</v>
      </c>
      <c r="N3025" s="8" t="s">
        <v>13935</v>
      </c>
      <c r="O3025" s="8">
        <f>9+50/60+27.3/3600</f>
        <v>9.8409166666666668</v>
      </c>
      <c r="P3025" s="8" t="s">
        <v>13936</v>
      </c>
      <c r="Q3025" s="8">
        <f>+(12+45/60+56/3600)</f>
        <v>12.765555555555556</v>
      </c>
      <c r="R3025" s="8">
        <v>13.1</v>
      </c>
      <c r="S3025" s="8">
        <v>13.8</v>
      </c>
      <c r="T3025" s="8">
        <v>0.7</v>
      </c>
      <c r="U3025" s="8">
        <v>12.7</v>
      </c>
      <c r="V3025" s="8">
        <v>2</v>
      </c>
      <c r="W3025" s="8">
        <v>0.4</v>
      </c>
      <c r="X3025" s="8">
        <v>125</v>
      </c>
      <c r="Y3025" s="8" t="s">
        <v>13937</v>
      </c>
      <c r="Z3025" s="8" t="s">
        <v>13938</v>
      </c>
    </row>
    <row r="3026" spans="1:26" x14ac:dyDescent="0.2">
      <c r="A3026" s="8">
        <v>3025</v>
      </c>
      <c r="B3026" s="8" t="s">
        <v>13939</v>
      </c>
      <c r="C3026" s="8" t="s">
        <v>13939</v>
      </c>
      <c r="F3026" s="47"/>
      <c r="G3026" s="8">
        <v>16</v>
      </c>
      <c r="H3026" s="8" t="s">
        <v>21</v>
      </c>
      <c r="I3026" s="8" t="s">
        <v>22</v>
      </c>
      <c r="J3026" s="8" t="s">
        <v>22</v>
      </c>
      <c r="K3026" s="8" t="s">
        <v>37</v>
      </c>
      <c r="L3026" s="8" t="s">
        <v>11765</v>
      </c>
      <c r="M3026" s="8" t="s">
        <v>11766</v>
      </c>
      <c r="N3026" s="8" t="s">
        <v>13940</v>
      </c>
      <c r="O3026" s="8">
        <f>9+49/60+29/3600</f>
        <v>9.8247222222222224</v>
      </c>
      <c r="P3026" s="8" t="s">
        <v>13941</v>
      </c>
      <c r="Q3026" s="8">
        <f>-(21+44/60+29/3600)</f>
        <v>-21.741388888888888</v>
      </c>
      <c r="R3026" s="8">
        <v>12.9</v>
      </c>
      <c r="S3026" s="8">
        <v>13.9</v>
      </c>
      <c r="T3026" s="8">
        <v>1</v>
      </c>
      <c r="U3026" s="8">
        <v>13.4</v>
      </c>
      <c r="V3026" s="8">
        <v>1.5</v>
      </c>
      <c r="W3026" s="8">
        <v>1.2</v>
      </c>
      <c r="X3026" s="8">
        <v>110</v>
      </c>
      <c r="Y3026" s="8" t="s">
        <v>13942</v>
      </c>
      <c r="Z3026" s="8" t="s">
        <v>13943</v>
      </c>
    </row>
    <row r="3027" spans="1:26" x14ac:dyDescent="0.2">
      <c r="A3027" s="8">
        <v>3026</v>
      </c>
      <c r="B3027" s="8" t="s">
        <v>13944</v>
      </c>
      <c r="C3027" s="8" t="s">
        <v>13944</v>
      </c>
      <c r="F3027" s="47"/>
      <c r="G3027" s="8">
        <v>19</v>
      </c>
      <c r="H3027" s="8" t="s">
        <v>21</v>
      </c>
      <c r="I3027" s="8" t="s">
        <v>22</v>
      </c>
      <c r="J3027" s="8" t="s">
        <v>22</v>
      </c>
      <c r="K3027" s="8" t="s">
        <v>3616</v>
      </c>
      <c r="L3027" s="8" t="s">
        <v>13194</v>
      </c>
      <c r="M3027" s="8" t="s">
        <v>13195</v>
      </c>
      <c r="N3027" s="8" t="s">
        <v>13945</v>
      </c>
      <c r="O3027" s="8">
        <f>9+50/60+54.8/3600</f>
        <v>9.8485555555555564</v>
      </c>
      <c r="P3027" s="8" t="s">
        <v>13946</v>
      </c>
      <c r="Q3027" s="8">
        <f>+(28+33/60+5/3600)</f>
        <v>28.551388888888891</v>
      </c>
      <c r="R3027" s="8">
        <v>12.9</v>
      </c>
      <c r="S3027" s="8">
        <v>13.5</v>
      </c>
      <c r="T3027" s="8">
        <v>0.6</v>
      </c>
      <c r="U3027" s="8">
        <v>13.6</v>
      </c>
      <c r="V3027" s="8">
        <v>2.7</v>
      </c>
      <c r="W3027" s="8">
        <v>0.8</v>
      </c>
      <c r="X3027" s="8">
        <v>82</v>
      </c>
      <c r="Y3027" s="8" t="s">
        <v>13947</v>
      </c>
      <c r="Z3027" s="8" t="s">
        <v>13948</v>
      </c>
    </row>
    <row r="3028" spans="1:26" x14ac:dyDescent="0.2">
      <c r="A3028" s="8">
        <v>3027</v>
      </c>
      <c r="B3028" s="8" t="s">
        <v>13949</v>
      </c>
      <c r="C3028" s="8" t="s">
        <v>13949</v>
      </c>
      <c r="F3028" s="47" t="s">
        <v>56710</v>
      </c>
      <c r="G3028" s="8">
        <v>7</v>
      </c>
      <c r="H3028" s="8" t="s">
        <v>21</v>
      </c>
      <c r="I3028" s="8" t="s">
        <v>22</v>
      </c>
      <c r="J3028" s="8" t="s">
        <v>22</v>
      </c>
      <c r="K3028" s="8" t="s">
        <v>1277</v>
      </c>
      <c r="L3028" s="8" t="s">
        <v>12015</v>
      </c>
      <c r="M3028" s="8" t="s">
        <v>12016</v>
      </c>
      <c r="N3028" s="8" t="s">
        <v>13950</v>
      </c>
      <c r="O3028" s="8">
        <f>9+55/60+40.3/3600</f>
        <v>9.9278611111111097</v>
      </c>
      <c r="P3028" s="8" t="s">
        <v>13951</v>
      </c>
      <c r="Q3028" s="8">
        <f>+(72+12/60+15/3600)</f>
        <v>72.204166666666666</v>
      </c>
      <c r="R3028" s="8">
        <v>11.8</v>
      </c>
      <c r="S3028" s="8">
        <v>12.2</v>
      </c>
      <c r="T3028" s="8">
        <v>0.4</v>
      </c>
      <c r="U3028" s="8">
        <v>14</v>
      </c>
      <c r="V3028" s="8">
        <v>3.9</v>
      </c>
      <c r="W3028" s="8">
        <v>1.4</v>
      </c>
      <c r="X3028" s="8">
        <v>130</v>
      </c>
      <c r="Y3028" s="8" t="s">
        <v>13952</v>
      </c>
      <c r="Z3028" s="8" t="s">
        <v>13953</v>
      </c>
    </row>
    <row r="3029" spans="1:26" x14ac:dyDescent="0.2">
      <c r="A3029" s="8">
        <v>3028</v>
      </c>
      <c r="B3029" s="8" t="s">
        <v>13954</v>
      </c>
      <c r="C3029" s="8" t="s">
        <v>13954</v>
      </c>
      <c r="F3029" s="47"/>
      <c r="G3029" s="8">
        <v>16</v>
      </c>
      <c r="H3029" s="8" t="s">
        <v>21</v>
      </c>
      <c r="I3029" s="8" t="s">
        <v>22</v>
      </c>
      <c r="J3029" s="8" t="s">
        <v>22</v>
      </c>
      <c r="K3029" s="8" t="s">
        <v>23</v>
      </c>
      <c r="L3029" s="8" t="s">
        <v>11765</v>
      </c>
      <c r="M3029" s="8" t="s">
        <v>11766</v>
      </c>
      <c r="N3029" s="8" t="s">
        <v>13955</v>
      </c>
      <c r="O3029" s="8">
        <f>9+49/60+54.2/3600</f>
        <v>9.831722222222222</v>
      </c>
      <c r="P3029" s="8" t="s">
        <v>13956</v>
      </c>
      <c r="Q3029" s="8">
        <f>-(19+11/60+4/3600)</f>
        <v>-19.184444444444445</v>
      </c>
      <c r="R3029" s="8">
        <v>12.9</v>
      </c>
      <c r="S3029" s="8">
        <v>13.7</v>
      </c>
      <c r="T3029" s="8">
        <v>0.8</v>
      </c>
      <c r="U3029" s="8">
        <v>12.4</v>
      </c>
      <c r="V3029" s="8">
        <v>0.9</v>
      </c>
      <c r="W3029" s="8">
        <v>0.8</v>
      </c>
      <c r="X3029" s="8">
        <v>108</v>
      </c>
      <c r="Y3029" s="8" t="s">
        <v>972</v>
      </c>
      <c r="Z3029" s="8" t="s">
        <v>973</v>
      </c>
    </row>
    <row r="3030" spans="1:26" x14ac:dyDescent="0.2">
      <c r="A3030" s="8">
        <v>3029</v>
      </c>
      <c r="B3030" s="8" t="s">
        <v>13957</v>
      </c>
      <c r="C3030" s="8" t="s">
        <v>13957</v>
      </c>
      <c r="F3030" s="47"/>
      <c r="G3030" s="8">
        <v>19</v>
      </c>
      <c r="H3030" s="8" t="s">
        <v>21</v>
      </c>
      <c r="I3030" s="8" t="s">
        <v>22</v>
      </c>
      <c r="J3030" s="8" t="s">
        <v>22</v>
      </c>
      <c r="K3030" s="8" t="s">
        <v>160</v>
      </c>
      <c r="L3030" s="8" t="s">
        <v>12234</v>
      </c>
      <c r="M3030" s="8" t="s">
        <v>12235</v>
      </c>
      <c r="N3030" s="8" t="s">
        <v>13958</v>
      </c>
      <c r="O3030" s="8">
        <f>9+48/60+53.8/3600</f>
        <v>9.8149444444444445</v>
      </c>
      <c r="P3030" s="8" t="s">
        <v>13959</v>
      </c>
      <c r="Q3030" s="8">
        <f>-(8+3/60+4/3600)</f>
        <v>-8.051111111111112</v>
      </c>
      <c r="R3030" s="8">
        <v>14</v>
      </c>
      <c r="S3030" s="8">
        <v>14.5</v>
      </c>
      <c r="T3030" s="8">
        <v>0.5</v>
      </c>
      <c r="U3030" s="8">
        <v>14.2</v>
      </c>
      <c r="V3030" s="8">
        <v>1.4</v>
      </c>
      <c r="W3030" s="8">
        <v>1</v>
      </c>
      <c r="X3030" s="8">
        <v>46</v>
      </c>
      <c r="Y3030" s="8" t="s">
        <v>803</v>
      </c>
      <c r="Z3030" s="8" t="s">
        <v>804</v>
      </c>
    </row>
    <row r="3031" spans="1:26" x14ac:dyDescent="0.2">
      <c r="A3031" s="8">
        <v>3030</v>
      </c>
      <c r="B3031" s="8" t="s">
        <v>13960</v>
      </c>
      <c r="C3031" s="8" t="s">
        <v>13960</v>
      </c>
      <c r="F3031" s="47"/>
      <c r="G3031" s="8">
        <v>19</v>
      </c>
      <c r="H3031" s="8" t="s">
        <v>21</v>
      </c>
      <c r="I3031" s="8" t="s">
        <v>22</v>
      </c>
      <c r="J3031" s="8" t="s">
        <v>22</v>
      </c>
      <c r="K3031" s="8" t="s">
        <v>58</v>
      </c>
      <c r="L3031" s="8" t="s">
        <v>11765</v>
      </c>
      <c r="M3031" s="8" t="s">
        <v>11766</v>
      </c>
      <c r="N3031" s="8" t="s">
        <v>13961</v>
      </c>
      <c r="O3031" s="8">
        <f>9+50/60+10.5/3600</f>
        <v>9.8362499999999997</v>
      </c>
      <c r="P3031" s="8" t="s">
        <v>13962</v>
      </c>
      <c r="Q3031" s="8">
        <f>-(12+13/60+33/3600)</f>
        <v>-12.225833333333334</v>
      </c>
      <c r="R3031" s="8">
        <v>13.3</v>
      </c>
      <c r="S3031" s="8">
        <v>14.3</v>
      </c>
      <c r="T3031" s="8">
        <v>1</v>
      </c>
      <c r="U3031" s="8">
        <v>13.3</v>
      </c>
      <c r="V3031" s="8">
        <v>1</v>
      </c>
      <c r="W3031" s="8">
        <v>0.9</v>
      </c>
      <c r="X3031" s="8">
        <v>120</v>
      </c>
      <c r="Y3031" s="8" t="s">
        <v>4165</v>
      </c>
      <c r="Z3031" s="8" t="s">
        <v>4166</v>
      </c>
    </row>
    <row r="3032" spans="1:26" x14ac:dyDescent="0.2">
      <c r="A3032" s="8">
        <v>3031</v>
      </c>
      <c r="B3032" s="8" t="s">
        <v>13963</v>
      </c>
      <c r="C3032" s="8" t="s">
        <v>55887</v>
      </c>
      <c r="F3032" s="47"/>
      <c r="G3032" s="8">
        <v>1</v>
      </c>
      <c r="H3032" s="8" t="s">
        <v>13964</v>
      </c>
      <c r="I3032" s="8" t="s">
        <v>22</v>
      </c>
      <c r="J3032" s="8" t="s">
        <v>22</v>
      </c>
      <c r="K3032" s="8" t="s">
        <v>23</v>
      </c>
      <c r="L3032" s="8" t="s">
        <v>12015</v>
      </c>
      <c r="M3032" s="8" t="s">
        <v>12016</v>
      </c>
      <c r="N3032" s="8" t="s">
        <v>13965</v>
      </c>
      <c r="O3032" s="8">
        <f>9+55/60+33.5/3600</f>
        <v>9.9259722222222209</v>
      </c>
      <c r="P3032" s="8" t="s">
        <v>13966</v>
      </c>
      <c r="Q3032" s="8">
        <f>+(69+4/60+2/3600)</f>
        <v>69.067222222222213</v>
      </c>
      <c r="R3032" s="8">
        <v>6.9</v>
      </c>
      <c r="S3032" s="8">
        <v>7.9</v>
      </c>
      <c r="T3032" s="8">
        <v>1</v>
      </c>
      <c r="U3032" s="8">
        <v>13.2</v>
      </c>
      <c r="V3032" s="8">
        <v>24.9</v>
      </c>
      <c r="W3032" s="8">
        <v>11.5</v>
      </c>
      <c r="X3032" s="8">
        <v>157</v>
      </c>
      <c r="Y3032" s="8" t="s">
        <v>13967</v>
      </c>
      <c r="Z3032" s="8" t="s">
        <v>13968</v>
      </c>
    </row>
    <row r="3033" spans="1:26" x14ac:dyDescent="0.2">
      <c r="A3033" s="8">
        <v>3032</v>
      </c>
      <c r="B3033" s="8" t="s">
        <v>13969</v>
      </c>
      <c r="C3033" s="8" t="s">
        <v>13969</v>
      </c>
      <c r="F3033" s="47"/>
      <c r="G3033" s="8">
        <v>13</v>
      </c>
      <c r="H3033" s="8" t="s">
        <v>21</v>
      </c>
      <c r="I3033" s="8" t="s">
        <v>22</v>
      </c>
      <c r="J3033" s="8" t="s">
        <v>22</v>
      </c>
      <c r="K3033" s="8" t="s">
        <v>224</v>
      </c>
      <c r="L3033" s="8" t="s">
        <v>13194</v>
      </c>
      <c r="M3033" s="8" t="s">
        <v>13195</v>
      </c>
      <c r="N3033" s="8" t="s">
        <v>13970</v>
      </c>
      <c r="O3033" s="8">
        <f>9+52/60+8.1/3600</f>
        <v>9.8689166666666672</v>
      </c>
      <c r="P3033" s="8" t="s">
        <v>13971</v>
      </c>
      <c r="Q3033" s="8">
        <f>+(29+14/60+12/3600)</f>
        <v>29.236666666666668</v>
      </c>
      <c r="R3033" s="8">
        <v>12.5</v>
      </c>
      <c r="S3033" s="8">
        <v>13.2</v>
      </c>
      <c r="T3033" s="8">
        <v>0.7</v>
      </c>
      <c r="U3033" s="8">
        <v>13.8</v>
      </c>
      <c r="V3033" s="8">
        <v>1.7</v>
      </c>
      <c r="W3033" s="8">
        <v>1.3</v>
      </c>
      <c r="X3033" s="8">
        <v>95</v>
      </c>
      <c r="Y3033" s="8" t="s">
        <v>13972</v>
      </c>
      <c r="Z3033" s="8" t="s">
        <v>13973</v>
      </c>
    </row>
    <row r="3034" spans="1:26" x14ac:dyDescent="0.2">
      <c r="A3034" s="8">
        <v>3033</v>
      </c>
      <c r="B3034" s="8" t="s">
        <v>13974</v>
      </c>
      <c r="C3034" s="8" t="s">
        <v>13974</v>
      </c>
      <c r="F3034" s="47"/>
      <c r="G3034" s="8">
        <v>14</v>
      </c>
      <c r="H3034" s="8" t="s">
        <v>21</v>
      </c>
      <c r="I3034" s="8" t="s">
        <v>557</v>
      </c>
      <c r="J3034" s="8" t="s">
        <v>557</v>
      </c>
      <c r="K3034" s="8" t="s">
        <v>1840</v>
      </c>
      <c r="L3034" s="8" t="s">
        <v>11757</v>
      </c>
      <c r="M3034" s="8" t="s">
        <v>11758</v>
      </c>
      <c r="N3034" s="8" t="s">
        <v>13975</v>
      </c>
      <c r="O3034" s="8">
        <f>9+48/60+40/3600</f>
        <v>9.8111111111111118</v>
      </c>
      <c r="P3034" s="8" t="s">
        <v>13976</v>
      </c>
      <c r="Q3034" s="8">
        <f>-(56+24/60+42/3600)</f>
        <v>-56.411666666666662</v>
      </c>
      <c r="R3034" s="8">
        <v>8.8000000000000007</v>
      </c>
      <c r="S3034" s="8">
        <v>99</v>
      </c>
      <c r="T3034" s="8">
        <v>99</v>
      </c>
      <c r="U3034" s="8">
        <v>99</v>
      </c>
      <c r="V3034" s="8">
        <v>12</v>
      </c>
      <c r="Y3034" s="8" t="s">
        <v>13977</v>
      </c>
      <c r="Z3034" s="8" t="s">
        <v>13978</v>
      </c>
    </row>
    <row r="3035" spans="1:26" x14ac:dyDescent="0.2">
      <c r="A3035" s="8">
        <v>3034</v>
      </c>
      <c r="B3035" s="8" t="s">
        <v>13979</v>
      </c>
      <c r="C3035" s="8" t="s">
        <v>55888</v>
      </c>
      <c r="F3035" s="47" t="s">
        <v>56711</v>
      </c>
      <c r="G3035" s="8">
        <v>1</v>
      </c>
      <c r="H3035" s="8" t="s">
        <v>13980</v>
      </c>
      <c r="I3035" s="8" t="s">
        <v>22</v>
      </c>
      <c r="J3035" s="8" t="s">
        <v>22</v>
      </c>
      <c r="K3035" s="8" t="s">
        <v>3523</v>
      </c>
      <c r="L3035" s="8" t="s">
        <v>12015</v>
      </c>
      <c r="M3035" s="8" t="s">
        <v>12016</v>
      </c>
      <c r="N3035" s="8" t="s">
        <v>13981</v>
      </c>
      <c r="O3035" s="8">
        <f>9+55/60+54/3600</f>
        <v>9.9316666666666666</v>
      </c>
      <c r="P3035" s="8" t="s">
        <v>13982</v>
      </c>
      <c r="Q3035" s="8">
        <f>+(69+40/60+59/3600)</f>
        <v>69.683055555555555</v>
      </c>
      <c r="R3035" s="8">
        <v>8.4</v>
      </c>
      <c r="S3035" s="8">
        <v>9.3000000000000007</v>
      </c>
      <c r="T3035" s="8">
        <v>0.9</v>
      </c>
      <c r="U3035" s="8">
        <v>12.5</v>
      </c>
      <c r="V3035" s="8">
        <v>11.2</v>
      </c>
      <c r="W3035" s="8">
        <v>4.3</v>
      </c>
      <c r="X3035" s="8">
        <v>65</v>
      </c>
      <c r="Y3035" s="8" t="s">
        <v>13967</v>
      </c>
      <c r="Z3035" s="8" t="s">
        <v>13983</v>
      </c>
    </row>
    <row r="3036" spans="1:26" x14ac:dyDescent="0.2">
      <c r="A3036" s="8">
        <v>3035</v>
      </c>
      <c r="B3036" s="8" t="s">
        <v>13984</v>
      </c>
      <c r="C3036" s="8" t="s">
        <v>13984</v>
      </c>
      <c r="F3036" s="47"/>
      <c r="G3036" s="8">
        <v>19</v>
      </c>
      <c r="H3036" s="8" t="s">
        <v>21</v>
      </c>
      <c r="I3036" s="8" t="s">
        <v>22</v>
      </c>
      <c r="J3036" s="8" t="s">
        <v>22</v>
      </c>
      <c r="K3036" s="8" t="s">
        <v>85</v>
      </c>
      <c r="L3036" s="8" t="s">
        <v>12234</v>
      </c>
      <c r="M3036" s="8" t="s">
        <v>12235</v>
      </c>
      <c r="N3036" s="8" t="s">
        <v>13985</v>
      </c>
      <c r="O3036" s="8">
        <f>9+51/60+54.9/3600</f>
        <v>9.8652499999999996</v>
      </c>
      <c r="P3036" s="8" t="s">
        <v>13986</v>
      </c>
      <c r="Q3036" s="8">
        <f>-(6+49/60+22/3600)</f>
        <v>-6.8227777777777776</v>
      </c>
      <c r="R3036" s="8">
        <v>12.4</v>
      </c>
      <c r="S3036" s="8">
        <v>13.2</v>
      </c>
      <c r="T3036" s="8">
        <v>0.8</v>
      </c>
      <c r="U3036" s="8">
        <v>13.1</v>
      </c>
      <c r="V3036" s="8">
        <v>1.7</v>
      </c>
      <c r="W3036" s="8">
        <v>1.4</v>
      </c>
      <c r="X3036" s="8">
        <v>153</v>
      </c>
      <c r="Y3036" s="8" t="s">
        <v>13987</v>
      </c>
      <c r="Z3036" s="8" t="s">
        <v>13988</v>
      </c>
    </row>
    <row r="3037" spans="1:26" x14ac:dyDescent="0.2">
      <c r="A3037" s="8">
        <v>3036</v>
      </c>
      <c r="B3037" s="8" t="s">
        <v>13989</v>
      </c>
      <c r="C3037" s="8" t="s">
        <v>13989</v>
      </c>
      <c r="F3037" s="47"/>
      <c r="G3037" s="8">
        <v>16</v>
      </c>
      <c r="H3037" s="8" t="s">
        <v>21</v>
      </c>
      <c r="I3037" s="8" t="s">
        <v>557</v>
      </c>
      <c r="J3037" s="8" t="s">
        <v>557</v>
      </c>
      <c r="K3037" s="8" t="s">
        <v>557</v>
      </c>
      <c r="L3037" s="8" t="s">
        <v>10135</v>
      </c>
      <c r="M3037" s="8" t="s">
        <v>10136</v>
      </c>
      <c r="N3037" s="8" t="s">
        <v>13990</v>
      </c>
      <c r="O3037" s="8">
        <f>9+49/60+15.9/3600</f>
        <v>9.8210833333333323</v>
      </c>
      <c r="P3037" s="8" t="s">
        <v>13991</v>
      </c>
      <c r="Q3037" s="8">
        <f>-(62+40/60+32/3600)</f>
        <v>-62.675555555555555</v>
      </c>
      <c r="R3037" s="8">
        <v>99</v>
      </c>
      <c r="S3037" s="8">
        <v>99</v>
      </c>
      <c r="T3037" s="8">
        <v>99</v>
      </c>
      <c r="U3037" s="8">
        <v>99</v>
      </c>
      <c r="Y3037" s="8" t="s">
        <v>13992</v>
      </c>
      <c r="Z3037" s="8" t="s">
        <v>13993</v>
      </c>
    </row>
    <row r="3038" spans="1:26" x14ac:dyDescent="0.2">
      <c r="A3038" s="8">
        <v>3037</v>
      </c>
      <c r="B3038" s="8" t="s">
        <v>13994</v>
      </c>
      <c r="C3038" s="8" t="s">
        <v>13994</v>
      </c>
      <c r="F3038" s="47"/>
      <c r="G3038" s="8">
        <v>16</v>
      </c>
      <c r="H3038" s="8" t="s">
        <v>21</v>
      </c>
      <c r="I3038" s="8" t="s">
        <v>22</v>
      </c>
      <c r="J3038" s="8" t="s">
        <v>22</v>
      </c>
      <c r="K3038" s="8" t="s">
        <v>323</v>
      </c>
      <c r="L3038" s="8" t="s">
        <v>11765</v>
      </c>
      <c r="M3038" s="8" t="s">
        <v>11766</v>
      </c>
      <c r="N3038" s="8" t="s">
        <v>13995</v>
      </c>
      <c r="O3038" s="8">
        <f>9+51/60+24.2/3600</f>
        <v>9.8567222222222224</v>
      </c>
      <c r="P3038" s="8" t="s">
        <v>13996</v>
      </c>
      <c r="Q3038" s="8">
        <f>-(27+0/60+39/3600)</f>
        <v>-27.010833333333334</v>
      </c>
      <c r="R3038" s="8">
        <v>13</v>
      </c>
      <c r="S3038" s="8">
        <v>13.6</v>
      </c>
      <c r="T3038" s="8">
        <v>0.6</v>
      </c>
      <c r="U3038" s="8">
        <v>13.2</v>
      </c>
      <c r="V3038" s="8">
        <v>1.3</v>
      </c>
      <c r="W3038" s="8">
        <v>1.1000000000000001</v>
      </c>
      <c r="X3038" s="8">
        <v>43</v>
      </c>
      <c r="Y3038" s="8" t="s">
        <v>13997</v>
      </c>
      <c r="Z3038" s="8" t="s">
        <v>13998</v>
      </c>
    </row>
    <row r="3039" spans="1:26" x14ac:dyDescent="0.2">
      <c r="A3039" s="8">
        <v>3038</v>
      </c>
      <c r="B3039" s="8" t="s">
        <v>13999</v>
      </c>
      <c r="C3039" s="8" t="s">
        <v>13999</v>
      </c>
      <c r="F3039" s="47"/>
      <c r="G3039" s="8">
        <v>13</v>
      </c>
      <c r="H3039" s="8" t="s">
        <v>21</v>
      </c>
      <c r="I3039" s="8" t="s">
        <v>22</v>
      </c>
      <c r="J3039" s="8" t="s">
        <v>22</v>
      </c>
      <c r="K3039" s="8" t="s">
        <v>23</v>
      </c>
      <c r="L3039" s="8" t="s">
        <v>13374</v>
      </c>
      <c r="M3039" s="8" t="s">
        <v>13375</v>
      </c>
      <c r="N3039" s="8" t="s">
        <v>14000</v>
      </c>
      <c r="O3039" s="8">
        <f>9+51/60+15.3/3600</f>
        <v>9.8542500000000004</v>
      </c>
      <c r="P3039" s="8" t="s">
        <v>14001</v>
      </c>
      <c r="Q3039" s="8">
        <f>-(32+45/60+13/3600)</f>
        <v>-32.753611111111113</v>
      </c>
      <c r="R3039" s="8">
        <v>11.6</v>
      </c>
      <c r="S3039" s="8">
        <v>12.4</v>
      </c>
      <c r="T3039" s="8">
        <v>0.8</v>
      </c>
      <c r="U3039" s="8">
        <v>12.7</v>
      </c>
      <c r="V3039" s="8">
        <v>2.5</v>
      </c>
      <c r="W3039" s="8">
        <v>1.4</v>
      </c>
      <c r="X3039" s="8">
        <v>130</v>
      </c>
      <c r="Y3039" s="8" t="s">
        <v>14002</v>
      </c>
      <c r="Z3039" s="8" t="s">
        <v>14003</v>
      </c>
    </row>
    <row r="3040" spans="1:26" x14ac:dyDescent="0.2">
      <c r="A3040" s="8">
        <v>3039</v>
      </c>
      <c r="B3040" s="8" t="s">
        <v>14004</v>
      </c>
      <c r="C3040" s="8" t="s">
        <v>14004</v>
      </c>
      <c r="F3040" s="47"/>
      <c r="G3040" s="8">
        <v>18</v>
      </c>
      <c r="H3040" s="8" t="s">
        <v>21</v>
      </c>
      <c r="I3040" s="8" t="s">
        <v>22</v>
      </c>
      <c r="J3040" s="8" t="s">
        <v>22</v>
      </c>
      <c r="K3040" s="8" t="s">
        <v>218</v>
      </c>
      <c r="L3040" s="8" t="s">
        <v>12234</v>
      </c>
      <c r="M3040" s="8" t="s">
        <v>12235</v>
      </c>
      <c r="N3040" s="8" t="s">
        <v>14005</v>
      </c>
      <c r="O3040" s="8">
        <f>9+52/60+29.5/3600</f>
        <v>9.8748611111111124</v>
      </c>
      <c r="P3040" s="8" t="s">
        <v>14006</v>
      </c>
      <c r="Q3040" s="8">
        <f>+(2+9/60+13/3600)</f>
        <v>2.1536111111111111</v>
      </c>
      <c r="R3040" s="8">
        <v>13.4</v>
      </c>
      <c r="S3040" s="8">
        <v>14.2</v>
      </c>
      <c r="T3040" s="8">
        <v>0.8</v>
      </c>
      <c r="U3040" s="8">
        <v>12.9</v>
      </c>
      <c r="V3040" s="8">
        <v>1.2</v>
      </c>
      <c r="W3040" s="8">
        <v>0.6</v>
      </c>
      <c r="X3040" s="8">
        <v>12</v>
      </c>
      <c r="Y3040" s="8" t="s">
        <v>1794</v>
      </c>
      <c r="Z3040" s="8" t="s">
        <v>1795</v>
      </c>
    </row>
    <row r="3041" spans="1:26" x14ac:dyDescent="0.2">
      <c r="A3041" s="8">
        <v>3040</v>
      </c>
      <c r="B3041" s="8" t="s">
        <v>14007</v>
      </c>
      <c r="C3041" s="8" t="s">
        <v>14007</v>
      </c>
      <c r="D3041" s="8" t="s">
        <v>351</v>
      </c>
      <c r="F3041" s="47"/>
      <c r="G3041" s="8">
        <v>19</v>
      </c>
      <c r="H3041" s="8" t="s">
        <v>21</v>
      </c>
      <c r="I3041" s="8" t="s">
        <v>22</v>
      </c>
      <c r="J3041" s="8" t="s">
        <v>22</v>
      </c>
      <c r="K3041" s="8" t="s">
        <v>23</v>
      </c>
      <c r="L3041" s="8" t="s">
        <v>13194</v>
      </c>
      <c r="M3041" s="8" t="s">
        <v>13195</v>
      </c>
      <c r="N3041" s="8" t="s">
        <v>14008</v>
      </c>
      <c r="O3041" s="8">
        <f>9+53/60+5/3600</f>
        <v>9.8847222222222211</v>
      </c>
      <c r="P3041" s="8" t="s">
        <v>14009</v>
      </c>
      <c r="Q3041" s="8">
        <f>+(19+25/60+58/3600)</f>
        <v>19.43277777777778</v>
      </c>
      <c r="R3041" s="8">
        <v>13.4</v>
      </c>
      <c r="S3041" s="8">
        <v>14.2</v>
      </c>
      <c r="T3041" s="8">
        <v>0.8</v>
      </c>
      <c r="U3041" s="8">
        <v>12.1</v>
      </c>
      <c r="V3041" s="8">
        <v>0.7</v>
      </c>
      <c r="W3041" s="8">
        <v>0.5</v>
      </c>
      <c r="X3041" s="8">
        <v>171</v>
      </c>
      <c r="Y3041" s="8" t="s">
        <v>14010</v>
      </c>
      <c r="Z3041" s="8" t="s">
        <v>14011</v>
      </c>
    </row>
    <row r="3042" spans="1:26" x14ac:dyDescent="0.2">
      <c r="A3042" s="8">
        <v>3041</v>
      </c>
      <c r="B3042" s="8" t="s">
        <v>14012</v>
      </c>
      <c r="C3042" s="8" t="s">
        <v>14012</v>
      </c>
      <c r="F3042" s="47" t="s">
        <v>56712</v>
      </c>
      <c r="G3042" s="8">
        <v>13</v>
      </c>
      <c r="H3042" s="8" t="s">
        <v>21</v>
      </c>
      <c r="I3042" s="8" t="s">
        <v>22</v>
      </c>
      <c r="J3042" s="8" t="s">
        <v>22</v>
      </c>
      <c r="K3042" s="8" t="s">
        <v>64</v>
      </c>
      <c r="L3042" s="8" t="s">
        <v>13194</v>
      </c>
      <c r="M3042" s="8" t="s">
        <v>13195</v>
      </c>
      <c r="N3042" s="8" t="s">
        <v>14013</v>
      </c>
      <c r="O3042" s="8">
        <f>9+53/60+7.1/3600</f>
        <v>9.8853055555555542</v>
      </c>
      <c r="P3042" s="8" t="s">
        <v>14014</v>
      </c>
      <c r="Q3042" s="8">
        <f>+(16+40/60+39/3600)</f>
        <v>16.677500000000002</v>
      </c>
      <c r="R3042" s="8">
        <v>11.5</v>
      </c>
      <c r="S3042" s="8">
        <v>12.3</v>
      </c>
      <c r="T3042" s="8">
        <v>0.8</v>
      </c>
      <c r="U3042" s="8">
        <v>13.7</v>
      </c>
      <c r="V3042" s="8">
        <v>3.7</v>
      </c>
      <c r="W3042" s="8">
        <v>2.4</v>
      </c>
      <c r="X3042" s="8">
        <v>95</v>
      </c>
      <c r="Y3042" s="8" t="s">
        <v>14015</v>
      </c>
      <c r="Z3042" s="8" t="s">
        <v>14016</v>
      </c>
    </row>
    <row r="3043" spans="1:26" x14ac:dyDescent="0.2">
      <c r="A3043" s="8">
        <v>3042</v>
      </c>
      <c r="B3043" s="8" t="s">
        <v>14017</v>
      </c>
      <c r="C3043" s="8" t="s">
        <v>14017</v>
      </c>
      <c r="F3043" s="47"/>
      <c r="G3043" s="8">
        <v>18</v>
      </c>
      <c r="H3043" s="8" t="s">
        <v>21</v>
      </c>
      <c r="I3043" s="8" t="s">
        <v>22</v>
      </c>
      <c r="J3043" s="8" t="s">
        <v>22</v>
      </c>
      <c r="K3043" s="8" t="s">
        <v>37</v>
      </c>
      <c r="L3043" s="8" t="s">
        <v>12234</v>
      </c>
      <c r="M3043" s="8" t="s">
        <v>12235</v>
      </c>
      <c r="N3043" s="8" t="s">
        <v>14018</v>
      </c>
      <c r="O3043" s="8">
        <f>9+53/60+20.2/3600</f>
        <v>9.8889444444444443</v>
      </c>
      <c r="P3043" s="8" t="s">
        <v>14019</v>
      </c>
      <c r="Q3043" s="8">
        <f>+(0+41/60+52/3600)</f>
        <v>0.69777777777777783</v>
      </c>
      <c r="R3043" s="8">
        <v>12.9</v>
      </c>
      <c r="S3043" s="8">
        <v>13.9</v>
      </c>
      <c r="T3043" s="8">
        <v>1</v>
      </c>
      <c r="U3043" s="8">
        <v>12.7</v>
      </c>
      <c r="V3043" s="8">
        <v>1.2</v>
      </c>
      <c r="W3043" s="8">
        <v>0.7</v>
      </c>
      <c r="X3043" s="8">
        <v>111</v>
      </c>
      <c r="Y3043" s="8" t="s">
        <v>14020</v>
      </c>
      <c r="Z3043" s="8" t="s">
        <v>14021</v>
      </c>
    </row>
    <row r="3044" spans="1:26" x14ac:dyDescent="0.2">
      <c r="A3044" s="8">
        <v>3043</v>
      </c>
      <c r="B3044" s="8" t="s">
        <v>14022</v>
      </c>
      <c r="C3044" s="8" t="s">
        <v>14022</v>
      </c>
      <c r="F3044" s="47" t="s">
        <v>56713</v>
      </c>
      <c r="G3044" s="8">
        <v>13</v>
      </c>
      <c r="H3044" s="8" t="s">
        <v>21</v>
      </c>
      <c r="I3044" s="8" t="s">
        <v>22</v>
      </c>
      <c r="J3044" s="8" t="s">
        <v>22</v>
      </c>
      <c r="K3044" s="8" t="s">
        <v>23</v>
      </c>
      <c r="L3044" s="8" t="s">
        <v>12015</v>
      </c>
      <c r="M3044" s="8" t="s">
        <v>12016</v>
      </c>
      <c r="N3044" s="8" t="s">
        <v>14023</v>
      </c>
      <c r="O3044" s="8">
        <f>9+56/60+14.4/3600</f>
        <v>9.9373333333333331</v>
      </c>
      <c r="P3044" s="8" t="s">
        <v>14024</v>
      </c>
      <c r="Q3044" s="8">
        <f>+(59+18/60+26/3600)</f>
        <v>59.307222222222222</v>
      </c>
      <c r="R3044" s="8">
        <v>12.6</v>
      </c>
      <c r="S3044" s="8">
        <v>13.4</v>
      </c>
      <c r="T3044" s="8">
        <v>0.8</v>
      </c>
      <c r="U3044" s="8">
        <v>12.5</v>
      </c>
      <c r="V3044" s="8">
        <v>1.7</v>
      </c>
      <c r="W3044" s="8">
        <v>0.6</v>
      </c>
      <c r="X3044" s="8">
        <v>84</v>
      </c>
      <c r="Y3044" s="8" t="s">
        <v>14025</v>
      </c>
      <c r="Z3044" s="8" t="s">
        <v>14026</v>
      </c>
    </row>
    <row r="3045" spans="1:26" x14ac:dyDescent="0.2">
      <c r="A3045" s="8">
        <v>3044</v>
      </c>
      <c r="B3045" s="8" t="s">
        <v>14027</v>
      </c>
      <c r="C3045" s="8" t="s">
        <v>14027</v>
      </c>
      <c r="F3045" s="47" t="s">
        <v>56714</v>
      </c>
      <c r="G3045" s="8">
        <v>13</v>
      </c>
      <c r="H3045" s="8" t="s">
        <v>21</v>
      </c>
      <c r="I3045" s="8" t="s">
        <v>22</v>
      </c>
      <c r="J3045" s="8" t="s">
        <v>22</v>
      </c>
      <c r="K3045" s="8" t="s">
        <v>64</v>
      </c>
      <c r="L3045" s="8" t="s">
        <v>12234</v>
      </c>
      <c r="M3045" s="8" t="s">
        <v>12235</v>
      </c>
      <c r="N3045" s="8" t="s">
        <v>14028</v>
      </c>
      <c r="O3045" s="8">
        <f>9+53/60+40.8/3600</f>
        <v>9.8946666666666658</v>
      </c>
      <c r="P3045" s="8" t="s">
        <v>14029</v>
      </c>
      <c r="Q3045" s="8">
        <f>+(1+34/60+46/3600)</f>
        <v>1.5794444444444444</v>
      </c>
      <c r="R3045" s="8">
        <v>11.9</v>
      </c>
      <c r="S3045" s="8">
        <v>12.5</v>
      </c>
      <c r="T3045" s="8">
        <v>0.6</v>
      </c>
      <c r="U3045" s="8">
        <v>13.2</v>
      </c>
      <c r="V3045" s="8">
        <v>4.7</v>
      </c>
      <c r="W3045" s="8">
        <v>0.7</v>
      </c>
      <c r="X3045" s="8">
        <v>115</v>
      </c>
      <c r="Y3045" s="8" t="s">
        <v>14030</v>
      </c>
      <c r="Z3045" s="8" t="s">
        <v>14031</v>
      </c>
    </row>
    <row r="3046" spans="1:26" x14ac:dyDescent="0.2">
      <c r="A3046" s="8">
        <v>3045</v>
      </c>
      <c r="B3046" s="8" t="s">
        <v>14032</v>
      </c>
      <c r="C3046" s="8" t="s">
        <v>14032</v>
      </c>
      <c r="F3046" s="47"/>
      <c r="G3046" s="8">
        <v>16</v>
      </c>
      <c r="H3046" s="8" t="s">
        <v>21</v>
      </c>
      <c r="I3046" s="8" t="s">
        <v>22</v>
      </c>
      <c r="J3046" s="8" t="s">
        <v>22</v>
      </c>
      <c r="K3046" s="8" t="s">
        <v>23</v>
      </c>
      <c r="L3046" s="8" t="s">
        <v>11765</v>
      </c>
      <c r="M3046" s="8" t="s">
        <v>11766</v>
      </c>
      <c r="N3046" s="8" t="s">
        <v>14033</v>
      </c>
      <c r="O3046" s="8">
        <f>9+53/60+17.7/3600</f>
        <v>9.8882499999999993</v>
      </c>
      <c r="P3046" s="8" t="s">
        <v>14034</v>
      </c>
      <c r="Q3046" s="8">
        <f>-(18+38/60+38/3600)</f>
        <v>-18.643888888888888</v>
      </c>
      <c r="R3046" s="8">
        <v>13</v>
      </c>
      <c r="S3046" s="8">
        <v>13.8</v>
      </c>
      <c r="T3046" s="8">
        <v>0.8</v>
      </c>
      <c r="U3046" s="8">
        <v>12.7</v>
      </c>
      <c r="V3046" s="8">
        <v>1.4</v>
      </c>
      <c r="W3046" s="8">
        <v>0.6</v>
      </c>
      <c r="X3046" s="8">
        <v>20</v>
      </c>
      <c r="Y3046" s="8" t="s">
        <v>14035</v>
      </c>
      <c r="Z3046" s="8" t="s">
        <v>14036</v>
      </c>
    </row>
    <row r="3047" spans="1:26" x14ac:dyDescent="0.2">
      <c r="A3047" s="8">
        <v>3046</v>
      </c>
      <c r="B3047" s="8" t="s">
        <v>14037</v>
      </c>
      <c r="C3047" s="8" t="s">
        <v>14037</v>
      </c>
      <c r="F3047" s="47"/>
      <c r="G3047" s="8">
        <v>16</v>
      </c>
      <c r="H3047" s="8" t="s">
        <v>21</v>
      </c>
      <c r="I3047" s="8" t="s">
        <v>329</v>
      </c>
      <c r="J3047" s="8" t="s">
        <v>329</v>
      </c>
      <c r="K3047" s="8" t="s">
        <v>329</v>
      </c>
      <c r="L3047" s="8" t="s">
        <v>13374</v>
      </c>
      <c r="M3047" s="8" t="s">
        <v>13375</v>
      </c>
      <c r="N3047" s="8" t="s">
        <v>14038</v>
      </c>
      <c r="O3047" s="8">
        <f>9+53/60+20/3600</f>
        <v>9.8888888888888893</v>
      </c>
      <c r="P3047" s="8" t="s">
        <v>14039</v>
      </c>
      <c r="Q3047" s="8">
        <f>-(27+19/60+54/3600)</f>
        <v>-27.331666666666667</v>
      </c>
      <c r="R3047" s="8">
        <v>99</v>
      </c>
      <c r="S3047" s="8">
        <v>99</v>
      </c>
      <c r="T3047" s="8">
        <v>99</v>
      </c>
      <c r="U3047" s="8">
        <v>99</v>
      </c>
      <c r="Y3047" s="8" t="s">
        <v>14040</v>
      </c>
      <c r="Z3047" s="8" t="s">
        <v>14041</v>
      </c>
    </row>
    <row r="3048" spans="1:26" x14ac:dyDescent="0.2">
      <c r="A3048" s="8">
        <v>3047</v>
      </c>
      <c r="B3048" s="8" t="s">
        <v>14042</v>
      </c>
      <c r="C3048" s="8" t="s">
        <v>14042</v>
      </c>
      <c r="F3048" s="47"/>
      <c r="G3048" s="8">
        <v>19</v>
      </c>
      <c r="H3048" s="8" t="s">
        <v>21</v>
      </c>
      <c r="I3048" s="8" t="s">
        <v>22</v>
      </c>
      <c r="J3048" s="8" t="s">
        <v>22</v>
      </c>
      <c r="K3048" s="8" t="s">
        <v>476</v>
      </c>
      <c r="L3048" s="8" t="s">
        <v>12234</v>
      </c>
      <c r="M3048" s="8" t="s">
        <v>12235</v>
      </c>
      <c r="N3048" s="8" t="s">
        <v>14043</v>
      </c>
      <c r="O3048" s="8">
        <f>9+54/60+32/3600</f>
        <v>9.9088888888888889</v>
      </c>
      <c r="P3048" s="8" t="s">
        <v>14044</v>
      </c>
      <c r="Q3048" s="8">
        <f>-(1+17/60+28/3600)</f>
        <v>-1.2911111111111111</v>
      </c>
      <c r="R3048" s="8">
        <v>14.1</v>
      </c>
      <c r="S3048" s="8">
        <v>15</v>
      </c>
      <c r="T3048" s="8">
        <v>0.9</v>
      </c>
      <c r="U3048" s="8">
        <v>12</v>
      </c>
      <c r="V3048" s="8">
        <v>0.4</v>
      </c>
      <c r="W3048" s="8">
        <v>0.4</v>
      </c>
      <c r="Y3048" s="8" t="s">
        <v>170</v>
      </c>
      <c r="Z3048" s="8" t="s">
        <v>171</v>
      </c>
    </row>
    <row r="3049" spans="1:26" x14ac:dyDescent="0.2">
      <c r="A3049" s="8">
        <v>3048</v>
      </c>
      <c r="B3049" s="8" t="s">
        <v>14045</v>
      </c>
      <c r="C3049" s="8" t="s">
        <v>14045</v>
      </c>
      <c r="E3049" s="8">
        <v>1</v>
      </c>
      <c r="F3049" s="47"/>
      <c r="G3049" s="8">
        <v>18</v>
      </c>
      <c r="H3049" s="8" t="s">
        <v>21</v>
      </c>
      <c r="I3049" s="8" t="s">
        <v>22</v>
      </c>
      <c r="J3049" s="8" t="s">
        <v>22</v>
      </c>
      <c r="K3049" s="8" t="s">
        <v>449</v>
      </c>
      <c r="L3049" s="8" t="s">
        <v>13194</v>
      </c>
      <c r="M3049" s="8" t="s">
        <v>13195</v>
      </c>
      <c r="N3049" s="8" t="s">
        <v>14046</v>
      </c>
      <c r="O3049" s="8">
        <f>9+54/60+56.5/3600</f>
        <v>9.9156944444444441</v>
      </c>
      <c r="P3049" s="8" t="s">
        <v>14047</v>
      </c>
      <c r="Q3049" s="8">
        <f>+(16+27/60+22/3600)</f>
        <v>16.45611111111111</v>
      </c>
      <c r="R3049" s="8">
        <v>14.4</v>
      </c>
      <c r="S3049" s="8">
        <v>15.2</v>
      </c>
      <c r="T3049" s="8">
        <v>0.8</v>
      </c>
      <c r="U3049" s="8">
        <v>12.4</v>
      </c>
      <c r="V3049" s="8">
        <v>0.6</v>
      </c>
      <c r="W3049" s="8">
        <v>0.3</v>
      </c>
      <c r="X3049" s="8">
        <v>123</v>
      </c>
      <c r="Y3049" s="8" t="s">
        <v>47</v>
      </c>
      <c r="Z3049" s="8" t="s">
        <v>48</v>
      </c>
    </row>
    <row r="3050" spans="1:26" x14ac:dyDescent="0.2">
      <c r="A3050" s="8">
        <v>3049</v>
      </c>
      <c r="B3050" s="8" t="s">
        <v>14048</v>
      </c>
      <c r="C3050" s="8" t="s">
        <v>14048</v>
      </c>
      <c r="F3050" s="47"/>
      <c r="G3050" s="8">
        <v>19</v>
      </c>
      <c r="H3050" s="8" t="s">
        <v>21</v>
      </c>
      <c r="I3050" s="8" t="s">
        <v>22</v>
      </c>
      <c r="J3050" s="8" t="s">
        <v>22</v>
      </c>
      <c r="K3050" s="8" t="s">
        <v>406</v>
      </c>
      <c r="L3050" s="8" t="s">
        <v>13194</v>
      </c>
      <c r="M3050" s="8" t="s">
        <v>13195</v>
      </c>
      <c r="N3050" s="8" t="s">
        <v>14049</v>
      </c>
      <c r="O3050" s="8">
        <f>9+54/60+49.5/3600</f>
        <v>9.9137500000000003</v>
      </c>
      <c r="P3050" s="8" t="s">
        <v>14050</v>
      </c>
      <c r="Q3050" s="8">
        <f>+(9+16/60+19/3600)</f>
        <v>9.2719444444444452</v>
      </c>
      <c r="R3050" s="8">
        <v>12.1</v>
      </c>
      <c r="S3050" s="8">
        <v>12.9</v>
      </c>
      <c r="T3050" s="8">
        <v>0.8</v>
      </c>
      <c r="U3050" s="8">
        <v>13.2</v>
      </c>
      <c r="V3050" s="8">
        <v>2.2000000000000002</v>
      </c>
      <c r="W3050" s="8">
        <v>1.5</v>
      </c>
      <c r="X3050" s="8">
        <v>25</v>
      </c>
      <c r="Y3050" s="8" t="s">
        <v>14051</v>
      </c>
      <c r="Z3050" s="8" t="s">
        <v>14052</v>
      </c>
    </row>
    <row r="3051" spans="1:26" x14ac:dyDescent="0.2">
      <c r="A3051" s="8">
        <v>3050</v>
      </c>
      <c r="B3051" s="8" t="s">
        <v>14053</v>
      </c>
      <c r="C3051" s="8" t="s">
        <v>14053</v>
      </c>
      <c r="F3051" s="47"/>
      <c r="G3051" s="8">
        <v>19</v>
      </c>
      <c r="H3051" s="8" t="s">
        <v>21</v>
      </c>
      <c r="I3051" s="8" t="s">
        <v>22</v>
      </c>
      <c r="J3051" s="8" t="s">
        <v>57</v>
      </c>
      <c r="K3051" s="8" t="s">
        <v>91</v>
      </c>
      <c r="L3051" s="8" t="s">
        <v>12234</v>
      </c>
      <c r="M3051" s="8" t="s">
        <v>12235</v>
      </c>
      <c r="N3051" s="8" t="s">
        <v>13728</v>
      </c>
      <c r="O3051" s="8">
        <f>9+43/60+8.6/3600</f>
        <v>9.7190555555555562</v>
      </c>
      <c r="P3051" s="8" t="s">
        <v>13729</v>
      </c>
      <c r="Q3051" s="8">
        <f>-(10+22/60+59/3600)</f>
        <v>-10.383055555555556</v>
      </c>
      <c r="R3051" s="8">
        <v>12.3</v>
      </c>
      <c r="S3051" s="8">
        <v>13.2</v>
      </c>
      <c r="T3051" s="8">
        <v>0.9</v>
      </c>
      <c r="U3051" s="8">
        <v>12.5</v>
      </c>
      <c r="V3051" s="8">
        <v>1.5</v>
      </c>
      <c r="W3051" s="8">
        <v>1</v>
      </c>
      <c r="X3051" s="8">
        <v>30</v>
      </c>
      <c r="Y3051" s="8" t="s">
        <v>14054</v>
      </c>
      <c r="Z3051" s="8" t="s">
        <v>14055</v>
      </c>
    </row>
    <row r="3052" spans="1:26" x14ac:dyDescent="0.2">
      <c r="A3052" s="8">
        <v>3051</v>
      </c>
      <c r="B3052" s="8" t="s">
        <v>14056</v>
      </c>
      <c r="C3052" s="8" t="s">
        <v>14056</v>
      </c>
      <c r="F3052" s="47"/>
      <c r="G3052" s="8">
        <v>16</v>
      </c>
      <c r="H3052" s="8" t="s">
        <v>21</v>
      </c>
      <c r="I3052" s="8" t="s">
        <v>22</v>
      </c>
      <c r="J3052" s="8" t="s">
        <v>22</v>
      </c>
      <c r="K3052" s="8" t="s">
        <v>118</v>
      </c>
      <c r="L3052" s="8" t="s">
        <v>13374</v>
      </c>
      <c r="M3052" s="8" t="s">
        <v>13375</v>
      </c>
      <c r="N3052" s="8" t="s">
        <v>14057</v>
      </c>
      <c r="O3052" s="8">
        <f>9+53/60+58.4/3600</f>
        <v>9.8995555555555548</v>
      </c>
      <c r="P3052" s="8" t="s">
        <v>14058</v>
      </c>
      <c r="Q3052" s="8">
        <f>-(27+17/60+10/3600)</f>
        <v>-27.286111111111111</v>
      </c>
      <c r="R3052" s="8">
        <v>11.8</v>
      </c>
      <c r="S3052" s="8">
        <v>12.8</v>
      </c>
      <c r="T3052" s="8">
        <v>1</v>
      </c>
      <c r="U3052" s="8">
        <v>13.4</v>
      </c>
      <c r="V3052" s="8">
        <v>2.1</v>
      </c>
      <c r="W3052" s="8">
        <v>1.9</v>
      </c>
      <c r="X3052" s="8">
        <v>20</v>
      </c>
      <c r="Y3052" s="8" t="s">
        <v>14059</v>
      </c>
      <c r="Z3052" s="8" t="s">
        <v>14060</v>
      </c>
    </row>
    <row r="3053" spans="1:26" x14ac:dyDescent="0.2">
      <c r="A3053" s="8">
        <v>3052</v>
      </c>
      <c r="B3053" s="8" t="s">
        <v>14061</v>
      </c>
      <c r="C3053" s="8" t="s">
        <v>14061</v>
      </c>
      <c r="F3053" s="47" t="s">
        <v>56715</v>
      </c>
      <c r="G3053" s="8">
        <v>13</v>
      </c>
      <c r="H3053" s="8" t="s">
        <v>21</v>
      </c>
      <c r="I3053" s="8" t="s">
        <v>22</v>
      </c>
      <c r="J3053" s="8" t="s">
        <v>22</v>
      </c>
      <c r="K3053" s="8" t="s">
        <v>64</v>
      </c>
      <c r="L3053" s="8" t="s">
        <v>11765</v>
      </c>
      <c r="M3053" s="8" t="s">
        <v>11766</v>
      </c>
      <c r="N3053" s="8" t="s">
        <v>14062</v>
      </c>
      <c r="O3053" s="8">
        <f>9+54/60+28/3600</f>
        <v>9.9077777777777776</v>
      </c>
      <c r="P3053" s="8" t="s">
        <v>14063</v>
      </c>
      <c r="Q3053" s="8">
        <f>-(18+38/60+20/3600)</f>
        <v>-18.638888888888889</v>
      </c>
      <c r="R3053" s="8">
        <v>12.2</v>
      </c>
      <c r="S3053" s="8">
        <v>12.8</v>
      </c>
      <c r="T3053" s="8">
        <v>0.6</v>
      </c>
      <c r="U3053" s="8">
        <v>13.1</v>
      </c>
      <c r="V3053" s="8">
        <v>2.1</v>
      </c>
      <c r="W3053" s="8">
        <v>1.3</v>
      </c>
      <c r="X3053" s="8">
        <v>102</v>
      </c>
      <c r="Y3053" s="8" t="s">
        <v>14064</v>
      </c>
      <c r="Z3053" s="8" t="s">
        <v>14065</v>
      </c>
    </row>
    <row r="3054" spans="1:26" x14ac:dyDescent="0.2">
      <c r="A3054" s="8">
        <v>3053</v>
      </c>
      <c r="B3054" s="8" t="s">
        <v>14066</v>
      </c>
      <c r="C3054" s="8" t="s">
        <v>14066</v>
      </c>
      <c r="F3054" s="47" t="s">
        <v>56716</v>
      </c>
      <c r="G3054" s="8">
        <v>15</v>
      </c>
      <c r="H3054" s="8" t="s">
        <v>21</v>
      </c>
      <c r="I3054" s="8" t="s">
        <v>22</v>
      </c>
      <c r="J3054" s="8" t="s">
        <v>22</v>
      </c>
      <c r="K3054" s="8" t="s">
        <v>154</v>
      </c>
      <c r="L3054" s="8" t="s">
        <v>13194</v>
      </c>
      <c r="M3054" s="8" t="s">
        <v>13195</v>
      </c>
      <c r="N3054" s="8" t="s">
        <v>14067</v>
      </c>
      <c r="O3054" s="8">
        <f>9+55/60+33.6/3600</f>
        <v>9.9260000000000002</v>
      </c>
      <c r="P3054" s="8" t="s">
        <v>14068</v>
      </c>
      <c r="Q3054" s="8">
        <f>+(16+26/60+0/3600)</f>
        <v>16.433333333333334</v>
      </c>
      <c r="R3054" s="8">
        <v>12.8</v>
      </c>
      <c r="S3054" s="8">
        <v>13.7</v>
      </c>
      <c r="T3054" s="8">
        <v>0.9</v>
      </c>
      <c r="U3054" s="8">
        <v>13.2</v>
      </c>
      <c r="V3054" s="8">
        <v>1.8</v>
      </c>
      <c r="W3054" s="8">
        <v>0.9</v>
      </c>
      <c r="X3054" s="8">
        <v>134</v>
      </c>
      <c r="Y3054" s="8" t="s">
        <v>6226</v>
      </c>
      <c r="Z3054" s="8" t="s">
        <v>6227</v>
      </c>
    </row>
    <row r="3055" spans="1:26" x14ac:dyDescent="0.2">
      <c r="A3055" s="8">
        <v>3054</v>
      </c>
      <c r="B3055" s="8" t="s">
        <v>14069</v>
      </c>
      <c r="C3055" s="8" t="s">
        <v>14069</v>
      </c>
      <c r="F3055" s="47"/>
      <c r="G3055" s="8">
        <v>13</v>
      </c>
      <c r="H3055" s="8" t="s">
        <v>21</v>
      </c>
      <c r="I3055" s="8" t="s">
        <v>22</v>
      </c>
      <c r="J3055" s="8" t="s">
        <v>22</v>
      </c>
      <c r="K3055" s="8" t="s">
        <v>218</v>
      </c>
      <c r="L3055" s="8" t="s">
        <v>11765</v>
      </c>
      <c r="M3055" s="8" t="s">
        <v>11766</v>
      </c>
      <c r="N3055" s="8" t="s">
        <v>14070</v>
      </c>
      <c r="O3055" s="8">
        <f>9+54/60+28.7/3600</f>
        <v>9.907972222222222</v>
      </c>
      <c r="P3055" s="8" t="s">
        <v>14071</v>
      </c>
      <c r="Q3055" s="8">
        <f>-(25+42/60+13/3600)</f>
        <v>-25.703611111111112</v>
      </c>
      <c r="R3055" s="8">
        <v>11.8</v>
      </c>
      <c r="S3055" s="8">
        <v>12.6</v>
      </c>
      <c r="T3055" s="8">
        <v>0.8</v>
      </c>
      <c r="U3055" s="8">
        <v>14</v>
      </c>
      <c r="V3055" s="8">
        <v>3.8</v>
      </c>
      <c r="W3055" s="8">
        <v>2.4</v>
      </c>
      <c r="X3055" s="8">
        <v>118</v>
      </c>
      <c r="Y3055" s="8" t="s">
        <v>14072</v>
      </c>
      <c r="Z3055" s="8" t="s">
        <v>14073</v>
      </c>
    </row>
    <row r="3056" spans="1:26" x14ac:dyDescent="0.2">
      <c r="A3056" s="8">
        <v>3055</v>
      </c>
      <c r="B3056" s="8" t="s">
        <v>14074</v>
      </c>
      <c r="C3056" s="8" t="s">
        <v>14074</v>
      </c>
      <c r="F3056" s="47" t="s">
        <v>56717</v>
      </c>
      <c r="G3056" s="8">
        <v>13</v>
      </c>
      <c r="H3056" s="8" t="s">
        <v>21</v>
      </c>
      <c r="I3056" s="8" t="s">
        <v>22</v>
      </c>
      <c r="J3056" s="8" t="s">
        <v>22</v>
      </c>
      <c r="K3056" s="8" t="s">
        <v>64</v>
      </c>
      <c r="L3056" s="8" t="s">
        <v>12234</v>
      </c>
      <c r="M3056" s="8" t="s">
        <v>12235</v>
      </c>
      <c r="N3056" s="8" t="s">
        <v>14075</v>
      </c>
      <c r="O3056" s="8">
        <f>9+55/60+17.8/3600</f>
        <v>9.92161111111111</v>
      </c>
      <c r="P3056" s="8" t="s">
        <v>14076</v>
      </c>
      <c r="Q3056" s="8">
        <f>+(4+16/60+10/3600)</f>
        <v>4.2694444444444448</v>
      </c>
      <c r="R3056" s="8">
        <v>12.1</v>
      </c>
      <c r="S3056" s="8">
        <v>12.7</v>
      </c>
      <c r="T3056" s="8">
        <v>0.6</v>
      </c>
      <c r="U3056" s="8">
        <v>13</v>
      </c>
      <c r="V3056" s="8">
        <v>2.1</v>
      </c>
      <c r="W3056" s="8">
        <v>1.3</v>
      </c>
      <c r="X3056" s="8">
        <v>63</v>
      </c>
      <c r="Y3056" s="8" t="s">
        <v>14077</v>
      </c>
      <c r="Z3056" s="8" t="s">
        <v>14078</v>
      </c>
    </row>
    <row r="3057" spans="1:26" x14ac:dyDescent="0.2">
      <c r="A3057" s="8">
        <v>3056</v>
      </c>
      <c r="B3057" s="8" t="s">
        <v>14079</v>
      </c>
      <c r="C3057" s="8" t="s">
        <v>14079</v>
      </c>
      <c r="F3057" s="47"/>
      <c r="G3057" s="8">
        <v>16</v>
      </c>
      <c r="H3057" s="8" t="s">
        <v>21</v>
      </c>
      <c r="I3057" s="8" t="s">
        <v>22</v>
      </c>
      <c r="J3057" s="8" t="s">
        <v>22</v>
      </c>
      <c r="K3057" s="8" t="s">
        <v>435</v>
      </c>
      <c r="L3057" s="8" t="s">
        <v>13374</v>
      </c>
      <c r="M3057" s="8" t="s">
        <v>13375</v>
      </c>
      <c r="N3057" s="8" t="s">
        <v>14080</v>
      </c>
      <c r="O3057" s="8">
        <f>9+54/60+32.7/3600</f>
        <v>9.9090833333333332</v>
      </c>
      <c r="P3057" s="8" t="s">
        <v>14081</v>
      </c>
      <c r="Q3057" s="8">
        <f>-(28+17/60+54/3600)</f>
        <v>-28.298333333333336</v>
      </c>
      <c r="R3057" s="8">
        <v>11.7</v>
      </c>
      <c r="S3057" s="8">
        <v>12.6</v>
      </c>
      <c r="T3057" s="8">
        <v>0.9</v>
      </c>
      <c r="U3057" s="8">
        <v>12.4</v>
      </c>
      <c r="V3057" s="8">
        <v>1.8</v>
      </c>
      <c r="W3057" s="8">
        <v>1.1000000000000001</v>
      </c>
      <c r="X3057" s="8">
        <v>16</v>
      </c>
      <c r="Y3057" s="8" t="s">
        <v>14082</v>
      </c>
      <c r="Z3057" s="8" t="s">
        <v>14083</v>
      </c>
    </row>
    <row r="3058" spans="1:26" x14ac:dyDescent="0.2">
      <c r="A3058" s="8">
        <v>3057</v>
      </c>
      <c r="B3058" s="8" t="s">
        <v>14084</v>
      </c>
      <c r="C3058" s="8" t="s">
        <v>14084</v>
      </c>
      <c r="F3058" s="47" t="s">
        <v>56718</v>
      </c>
      <c r="G3058" s="8">
        <v>15</v>
      </c>
      <c r="H3058" s="8" t="s">
        <v>21</v>
      </c>
      <c r="I3058" s="8" t="s">
        <v>22</v>
      </c>
      <c r="J3058" s="8" t="s">
        <v>22</v>
      </c>
      <c r="K3058" s="8" t="s">
        <v>773</v>
      </c>
      <c r="L3058" s="8" t="s">
        <v>13395</v>
      </c>
      <c r="M3058" s="8" t="s">
        <v>13396</v>
      </c>
      <c r="N3058" s="8" t="s">
        <v>14085</v>
      </c>
      <c r="O3058" s="8">
        <f>10+5/60+39.5/3600</f>
        <v>10.094305555555556</v>
      </c>
      <c r="P3058" s="8" t="s">
        <v>14086</v>
      </c>
      <c r="Q3058" s="8">
        <f>+(80+17/60+7/3600)</f>
        <v>80.285277777777779</v>
      </c>
      <c r="R3058" s="8">
        <v>13</v>
      </c>
      <c r="S3058" s="8">
        <v>13.5</v>
      </c>
      <c r="T3058" s="8">
        <v>0.5</v>
      </c>
      <c r="U3058" s="8">
        <v>14</v>
      </c>
      <c r="V3058" s="8">
        <v>2.2000000000000002</v>
      </c>
      <c r="W3058" s="8">
        <v>1.3</v>
      </c>
      <c r="X3058" s="8">
        <v>5</v>
      </c>
      <c r="Y3058" s="8" t="s">
        <v>14087</v>
      </c>
      <c r="Z3058" s="8" t="s">
        <v>14088</v>
      </c>
    </row>
    <row r="3059" spans="1:26" x14ac:dyDescent="0.2">
      <c r="A3059" s="8">
        <v>3058</v>
      </c>
      <c r="B3059" s="8" t="s">
        <v>14089</v>
      </c>
      <c r="C3059" s="8" t="s">
        <v>14089</v>
      </c>
      <c r="F3059" s="47"/>
      <c r="G3059" s="8">
        <v>19</v>
      </c>
      <c r="H3059" s="8" t="s">
        <v>21</v>
      </c>
      <c r="I3059" s="8" t="s">
        <v>22</v>
      </c>
      <c r="J3059" s="8" t="s">
        <v>22</v>
      </c>
      <c r="K3059" s="8" t="s">
        <v>160</v>
      </c>
      <c r="L3059" s="8" t="s">
        <v>11765</v>
      </c>
      <c r="M3059" s="8" t="s">
        <v>11766</v>
      </c>
      <c r="N3059" s="8" t="s">
        <v>14090</v>
      </c>
      <c r="O3059" s="8">
        <f>9+53/60+36.1/3600</f>
        <v>9.8933611111111102</v>
      </c>
      <c r="P3059" s="8" t="s">
        <v>14091</v>
      </c>
      <c r="Q3059" s="8">
        <f>-(12+28/60+56/3600)</f>
        <v>-12.482222222222223</v>
      </c>
      <c r="R3059" s="8">
        <v>13.5</v>
      </c>
      <c r="S3059" s="8">
        <v>14.2</v>
      </c>
      <c r="T3059" s="8">
        <v>0.7</v>
      </c>
      <c r="U3059" s="8">
        <v>13.2</v>
      </c>
      <c r="V3059" s="8">
        <v>1.3</v>
      </c>
      <c r="W3059" s="8">
        <v>0.7</v>
      </c>
      <c r="X3059" s="8">
        <v>30</v>
      </c>
      <c r="Y3059" s="8" t="s">
        <v>14092</v>
      </c>
      <c r="Z3059" s="8" t="s">
        <v>14093</v>
      </c>
    </row>
    <row r="3060" spans="1:26" x14ac:dyDescent="0.2">
      <c r="A3060" s="8">
        <v>3059</v>
      </c>
      <c r="B3060" s="8" t="s">
        <v>14094</v>
      </c>
      <c r="C3060" s="8" t="s">
        <v>14094</v>
      </c>
      <c r="F3060" s="47"/>
      <c r="G3060" s="8">
        <v>13</v>
      </c>
      <c r="H3060" s="8" t="s">
        <v>21</v>
      </c>
      <c r="I3060" s="8" t="s">
        <v>22</v>
      </c>
      <c r="J3060" s="8" t="s">
        <v>22</v>
      </c>
      <c r="K3060" s="8" t="s">
        <v>85</v>
      </c>
      <c r="L3060" s="8" t="s">
        <v>10135</v>
      </c>
      <c r="M3060" s="8" t="s">
        <v>10136</v>
      </c>
      <c r="N3060" s="8" t="s">
        <v>14095</v>
      </c>
      <c r="O3060" s="8">
        <f>9+50/60+8/3600</f>
        <v>9.8355555555555565</v>
      </c>
      <c r="P3060" s="8" t="s">
        <v>14096</v>
      </c>
      <c r="Q3060" s="8">
        <f>-(73+55/60+17/3600)</f>
        <v>-73.921388888888899</v>
      </c>
      <c r="R3060" s="8">
        <v>11</v>
      </c>
      <c r="S3060" s="8">
        <v>11.7</v>
      </c>
      <c r="T3060" s="8">
        <v>0.7</v>
      </c>
      <c r="U3060" s="8">
        <v>13.6</v>
      </c>
      <c r="V3060" s="8">
        <v>3.6</v>
      </c>
      <c r="W3060" s="8">
        <v>3.2</v>
      </c>
      <c r="X3060" s="8">
        <v>70</v>
      </c>
      <c r="Y3060" s="8" t="s">
        <v>14097</v>
      </c>
      <c r="Z3060" s="8" t="s">
        <v>14098</v>
      </c>
    </row>
    <row r="3061" spans="1:26" x14ac:dyDescent="0.2">
      <c r="A3061" s="8">
        <v>3060</v>
      </c>
      <c r="B3061" s="8" t="s">
        <v>14099</v>
      </c>
      <c r="C3061" s="8" t="s">
        <v>14099</v>
      </c>
      <c r="F3061" s="47" t="s">
        <v>56719</v>
      </c>
      <c r="G3061" s="8">
        <v>15</v>
      </c>
      <c r="H3061" s="8" t="s">
        <v>21</v>
      </c>
      <c r="I3061" s="8" t="s">
        <v>22</v>
      </c>
      <c r="J3061" s="8" t="s">
        <v>22</v>
      </c>
      <c r="K3061" s="8" t="s">
        <v>23</v>
      </c>
      <c r="L3061" s="8" t="s">
        <v>13194</v>
      </c>
      <c r="M3061" s="8" t="s">
        <v>13195</v>
      </c>
      <c r="N3061" s="8" t="s">
        <v>14100</v>
      </c>
      <c r="O3061" s="8">
        <f>9+56/60+19.2/3600</f>
        <v>9.9386666666666663</v>
      </c>
      <c r="P3061" s="8" t="s">
        <v>14101</v>
      </c>
      <c r="Q3061" s="8">
        <f>+(16+49/60+53/3600)</f>
        <v>16.831388888888888</v>
      </c>
      <c r="R3061" s="8">
        <v>13</v>
      </c>
      <c r="S3061" s="8">
        <v>13.8</v>
      </c>
      <c r="T3061" s="8">
        <v>0.8</v>
      </c>
      <c r="U3061" s="8">
        <v>13.2</v>
      </c>
      <c r="V3061" s="8">
        <v>2.2000000000000002</v>
      </c>
      <c r="W3061" s="8">
        <v>0.6</v>
      </c>
      <c r="X3061" s="8">
        <v>78</v>
      </c>
      <c r="Y3061" s="8" t="s">
        <v>14102</v>
      </c>
      <c r="Z3061" s="8" t="s">
        <v>14103</v>
      </c>
    </row>
    <row r="3062" spans="1:26" x14ac:dyDescent="0.2">
      <c r="A3062" s="8">
        <v>3061</v>
      </c>
      <c r="B3062" s="8" t="s">
        <v>14104</v>
      </c>
      <c r="C3062" s="8" t="s">
        <v>14104</v>
      </c>
      <c r="F3062" s="47" t="s">
        <v>56720</v>
      </c>
      <c r="G3062" s="8">
        <v>15</v>
      </c>
      <c r="H3062" s="8" t="s">
        <v>21</v>
      </c>
      <c r="I3062" s="8" t="s">
        <v>22</v>
      </c>
      <c r="J3062" s="8" t="s">
        <v>22</v>
      </c>
      <c r="K3062" s="8" t="s">
        <v>64</v>
      </c>
      <c r="L3062" s="8" t="s">
        <v>13395</v>
      </c>
      <c r="M3062" s="8" t="s">
        <v>13396</v>
      </c>
      <c r="N3062" s="8" t="s">
        <v>14105</v>
      </c>
      <c r="O3062" s="8">
        <f>9+56/60+11.9/3600</f>
        <v>9.9366388888888899</v>
      </c>
      <c r="P3062" s="8" t="s">
        <v>14106</v>
      </c>
      <c r="Q3062" s="8">
        <f>+(75+51/60+59/3600)</f>
        <v>75.866388888888878</v>
      </c>
      <c r="R3062" s="8">
        <v>12.8</v>
      </c>
      <c r="S3062" s="8">
        <v>13.7</v>
      </c>
      <c r="T3062" s="8">
        <v>0.9</v>
      </c>
      <c r="U3062" s="8">
        <v>13.6</v>
      </c>
      <c r="V3062" s="8">
        <v>1.7</v>
      </c>
      <c r="W3062" s="8">
        <v>1.5</v>
      </c>
      <c r="X3062" s="8">
        <v>6</v>
      </c>
      <c r="Y3062" s="8" t="s">
        <v>14107</v>
      </c>
      <c r="Z3062" s="8" t="s">
        <v>14108</v>
      </c>
    </row>
    <row r="3063" spans="1:26" x14ac:dyDescent="0.2">
      <c r="A3063" s="8">
        <v>3062</v>
      </c>
      <c r="B3063" s="8" t="s">
        <v>14109</v>
      </c>
      <c r="C3063" s="8" t="s">
        <v>14109</v>
      </c>
      <c r="F3063" s="47"/>
      <c r="G3063" s="8">
        <v>18</v>
      </c>
      <c r="H3063" s="8" t="s">
        <v>21</v>
      </c>
      <c r="I3063" s="8" t="s">
        <v>22</v>
      </c>
      <c r="J3063" s="8" t="s">
        <v>22</v>
      </c>
      <c r="K3063" s="8" t="s">
        <v>23</v>
      </c>
      <c r="L3063" s="8" t="s">
        <v>12234</v>
      </c>
      <c r="M3063" s="8" t="s">
        <v>12235</v>
      </c>
      <c r="N3063" s="8" t="s">
        <v>14110</v>
      </c>
      <c r="O3063" s="8">
        <f>9+56/60+35.7/3600</f>
        <v>9.9432500000000008</v>
      </c>
      <c r="P3063" s="8" t="s">
        <v>14111</v>
      </c>
      <c r="Q3063" s="8">
        <f>+(1+25/60+45/3600)</f>
        <v>1.4291666666666667</v>
      </c>
      <c r="R3063" s="8">
        <v>14.4</v>
      </c>
      <c r="S3063" s="8">
        <v>15.2</v>
      </c>
      <c r="T3063" s="8">
        <v>0.8</v>
      </c>
      <c r="U3063" s="8">
        <v>12.4</v>
      </c>
      <c r="V3063" s="8">
        <v>0.6</v>
      </c>
      <c r="W3063" s="8">
        <v>0.3</v>
      </c>
      <c r="X3063" s="8">
        <v>65</v>
      </c>
      <c r="Y3063" s="8" t="s">
        <v>14112</v>
      </c>
      <c r="Z3063" s="8" t="s">
        <v>14113</v>
      </c>
    </row>
    <row r="3064" spans="1:26" x14ac:dyDescent="0.2">
      <c r="A3064" s="8">
        <v>3063</v>
      </c>
      <c r="B3064" s="8" t="s">
        <v>14114</v>
      </c>
      <c r="C3064" s="8" t="s">
        <v>14114</v>
      </c>
      <c r="F3064" s="47" t="s">
        <v>56721</v>
      </c>
      <c r="G3064" s="8">
        <v>18</v>
      </c>
      <c r="H3064" s="8" t="s">
        <v>21</v>
      </c>
      <c r="I3064" s="8" t="s">
        <v>72</v>
      </c>
      <c r="J3064" s="8" t="s">
        <v>72</v>
      </c>
      <c r="K3064" s="8" t="s">
        <v>73</v>
      </c>
      <c r="L3064" s="8" t="s">
        <v>12015</v>
      </c>
      <c r="M3064" s="8" t="s">
        <v>12016</v>
      </c>
      <c r="N3064" s="8" t="s">
        <v>14115</v>
      </c>
      <c r="O3064" s="8">
        <f>10+1/60+41.6/3600</f>
        <v>10.028222222222222</v>
      </c>
      <c r="P3064" s="8" t="s">
        <v>14116</v>
      </c>
      <c r="Q3064" s="8">
        <f>+(72+7/60+4/3600)</f>
        <v>72.117777777777775</v>
      </c>
      <c r="R3064" s="8">
        <v>99</v>
      </c>
      <c r="S3064" s="8">
        <v>99</v>
      </c>
      <c r="T3064" s="8">
        <v>99</v>
      </c>
      <c r="U3064" s="8">
        <v>99</v>
      </c>
      <c r="Y3064" s="8" t="s">
        <v>1374</v>
      </c>
      <c r="Z3064" s="8" t="s">
        <v>1375</v>
      </c>
    </row>
    <row r="3065" spans="1:26" x14ac:dyDescent="0.2">
      <c r="A3065" s="8">
        <v>3064</v>
      </c>
      <c r="B3065" s="8" t="s">
        <v>14117</v>
      </c>
      <c r="C3065" s="8" t="s">
        <v>14117</v>
      </c>
      <c r="F3065" s="47"/>
      <c r="G3065" s="8">
        <v>19</v>
      </c>
      <c r="H3065" s="8" t="s">
        <v>21</v>
      </c>
      <c r="I3065" s="8" t="s">
        <v>22</v>
      </c>
      <c r="J3065" s="8" t="s">
        <v>22</v>
      </c>
      <c r="K3065" s="8" t="s">
        <v>396</v>
      </c>
      <c r="L3065" s="8" t="s">
        <v>12234</v>
      </c>
      <c r="M3065" s="8" t="s">
        <v>12235</v>
      </c>
      <c r="N3065" s="8" t="s">
        <v>14118</v>
      </c>
      <c r="O3065" s="8">
        <f>9+55/60+41.4/3600</f>
        <v>9.9281666666666659</v>
      </c>
      <c r="P3065" s="8" t="s">
        <v>14119</v>
      </c>
      <c r="Q3065" s="8">
        <f>-(6+21/60+51/3600)</f>
        <v>-6.3641666666666667</v>
      </c>
      <c r="R3065" s="8">
        <v>14.1</v>
      </c>
      <c r="S3065" s="8">
        <v>14.9</v>
      </c>
      <c r="T3065" s="8">
        <v>0.8</v>
      </c>
      <c r="U3065" s="8">
        <v>12.8</v>
      </c>
      <c r="V3065" s="8">
        <v>1.2</v>
      </c>
      <c r="W3065" s="8">
        <v>0.3</v>
      </c>
      <c r="X3065" s="8">
        <v>28</v>
      </c>
      <c r="Y3065" s="8" t="s">
        <v>14120</v>
      </c>
      <c r="Z3065" s="8" t="s">
        <v>14121</v>
      </c>
    </row>
    <row r="3066" spans="1:26" x14ac:dyDescent="0.2">
      <c r="A3066" s="8">
        <v>3065</v>
      </c>
      <c r="B3066" s="8" t="s">
        <v>14122</v>
      </c>
      <c r="C3066" s="8" t="s">
        <v>14122</v>
      </c>
      <c r="F3066" s="47" t="s">
        <v>56722</v>
      </c>
      <c r="G3066" s="8">
        <v>6.5</v>
      </c>
      <c r="H3066" s="8" t="s">
        <v>21</v>
      </c>
      <c r="I3066" s="8" t="s">
        <v>22</v>
      </c>
      <c r="J3066" s="8" t="s">
        <v>22</v>
      </c>
      <c r="K3066" s="8" t="s">
        <v>37</v>
      </c>
      <c r="L3066" s="8" t="s">
        <v>12015</v>
      </c>
      <c r="M3066" s="8" t="s">
        <v>12016</v>
      </c>
      <c r="N3066" s="8" t="s">
        <v>14123</v>
      </c>
      <c r="O3066" s="8">
        <f>10+1/60+55.1/3600</f>
        <v>10.031972222222223</v>
      </c>
      <c r="P3066" s="8" t="s">
        <v>14124</v>
      </c>
      <c r="Q3066" s="8">
        <f>+(72+10/60+12/3600)</f>
        <v>72.17</v>
      </c>
      <c r="R3066" s="8">
        <v>12.5</v>
      </c>
      <c r="S3066" s="8">
        <v>13.5</v>
      </c>
      <c r="T3066" s="8">
        <v>1</v>
      </c>
      <c r="U3066" s="8">
        <v>13.5</v>
      </c>
      <c r="V3066" s="8">
        <v>1.7</v>
      </c>
      <c r="W3066" s="8">
        <v>1.5</v>
      </c>
      <c r="X3066" s="8">
        <v>21</v>
      </c>
      <c r="Y3066" s="8" t="s">
        <v>14125</v>
      </c>
      <c r="Z3066" s="8" t="s">
        <v>14126</v>
      </c>
    </row>
    <row r="3067" spans="1:26" x14ac:dyDescent="0.2">
      <c r="A3067" s="8">
        <v>3066</v>
      </c>
      <c r="B3067" s="8" t="s">
        <v>14127</v>
      </c>
      <c r="C3067" s="8" t="s">
        <v>14127</v>
      </c>
      <c r="F3067" s="47" t="s">
        <v>56723</v>
      </c>
      <c r="G3067" s="8">
        <v>15</v>
      </c>
      <c r="H3067" s="8" t="s">
        <v>21</v>
      </c>
      <c r="I3067" s="8" t="s">
        <v>22</v>
      </c>
      <c r="J3067" s="8" t="s">
        <v>22</v>
      </c>
      <c r="K3067" s="8" t="s">
        <v>5751</v>
      </c>
      <c r="L3067" s="8" t="s">
        <v>12015</v>
      </c>
      <c r="M3067" s="8" t="s">
        <v>12016</v>
      </c>
      <c r="N3067" s="8" t="s">
        <v>14128</v>
      </c>
      <c r="O3067" s="8">
        <f>10+2/60+10/3600</f>
        <v>10.036111111111111</v>
      </c>
      <c r="P3067" s="8" t="s">
        <v>14129</v>
      </c>
      <c r="Q3067" s="8">
        <f>+(72+7/60+32/3600)</f>
        <v>72.12555555555555</v>
      </c>
      <c r="R3067" s="8">
        <v>12.9</v>
      </c>
      <c r="S3067" s="8">
        <v>13.6</v>
      </c>
      <c r="T3067" s="8">
        <v>0.7</v>
      </c>
      <c r="U3067" s="8">
        <v>12.9</v>
      </c>
      <c r="V3067" s="8">
        <v>1.1000000000000001</v>
      </c>
      <c r="W3067" s="8">
        <v>1</v>
      </c>
      <c r="X3067" s="8">
        <v>159</v>
      </c>
      <c r="Y3067" s="8" t="s">
        <v>14130</v>
      </c>
      <c r="Z3067" s="8" t="s">
        <v>14131</v>
      </c>
    </row>
    <row r="3068" spans="1:26" x14ac:dyDescent="0.2">
      <c r="A3068" s="8">
        <v>3067</v>
      </c>
      <c r="B3068" s="8" t="s">
        <v>14132</v>
      </c>
      <c r="C3068" s="8" t="s">
        <v>14132</v>
      </c>
      <c r="F3068" s="47" t="s">
        <v>56724</v>
      </c>
      <c r="G3068" s="8">
        <v>6.5</v>
      </c>
      <c r="H3068" s="8" t="s">
        <v>21</v>
      </c>
      <c r="I3068" s="8" t="s">
        <v>22</v>
      </c>
      <c r="J3068" s="8" t="s">
        <v>22</v>
      </c>
      <c r="K3068" s="8" t="s">
        <v>406</v>
      </c>
      <c r="L3068" s="8" t="s">
        <v>13194</v>
      </c>
      <c r="M3068" s="8" t="s">
        <v>13195</v>
      </c>
      <c r="N3068" s="8" t="s">
        <v>14133</v>
      </c>
      <c r="O3068" s="8">
        <f>9+58/60+21.5/3600</f>
        <v>9.9726388888888895</v>
      </c>
      <c r="P3068" s="8" t="s">
        <v>14134</v>
      </c>
      <c r="Q3068" s="8">
        <f>+(32+22/60+12/3600)</f>
        <v>32.369999999999997</v>
      </c>
      <c r="R3068" s="8">
        <v>12.1</v>
      </c>
      <c r="S3068" s="8">
        <v>12.8</v>
      </c>
      <c r="T3068" s="8">
        <v>0.7</v>
      </c>
      <c r="U3068" s="8">
        <v>12.8</v>
      </c>
      <c r="V3068" s="8">
        <v>2.4</v>
      </c>
      <c r="W3068" s="8">
        <v>0.9</v>
      </c>
      <c r="X3068" s="8">
        <v>105</v>
      </c>
      <c r="Y3068" s="8" t="s">
        <v>14135</v>
      </c>
      <c r="Z3068" s="8" t="s">
        <v>14136</v>
      </c>
    </row>
    <row r="3069" spans="1:26" x14ac:dyDescent="0.2">
      <c r="A3069" s="8">
        <v>3068</v>
      </c>
      <c r="B3069" s="8" t="s">
        <v>14137</v>
      </c>
      <c r="C3069" s="8" t="s">
        <v>14137</v>
      </c>
      <c r="F3069" s="47" t="s">
        <v>56725</v>
      </c>
      <c r="G3069" s="8">
        <v>15</v>
      </c>
      <c r="H3069" s="8" t="s">
        <v>21</v>
      </c>
      <c r="I3069" s="8" t="s">
        <v>22</v>
      </c>
      <c r="J3069" s="8" t="s">
        <v>22</v>
      </c>
      <c r="K3069" s="8" t="s">
        <v>58</v>
      </c>
      <c r="L3069" s="8" t="s">
        <v>13194</v>
      </c>
      <c r="M3069" s="8" t="s">
        <v>13195</v>
      </c>
      <c r="N3069" s="8" t="s">
        <v>14138</v>
      </c>
      <c r="O3069" s="8">
        <f>9+58/60+40.1/3600</f>
        <v>9.9778055555555554</v>
      </c>
      <c r="P3069" s="8" t="s">
        <v>14139</v>
      </c>
      <c r="Q3069" s="8">
        <f>+(28+52/60+41/3600)</f>
        <v>28.878055555555555</v>
      </c>
      <c r="R3069" s="8">
        <v>14.3</v>
      </c>
      <c r="S3069" s="8">
        <v>15.3</v>
      </c>
      <c r="T3069" s="8">
        <v>1</v>
      </c>
      <c r="U3069" s="8">
        <v>14.2</v>
      </c>
      <c r="V3069" s="8">
        <v>1.1000000000000001</v>
      </c>
      <c r="W3069" s="8">
        <v>0.9</v>
      </c>
      <c r="X3069" s="8">
        <v>53</v>
      </c>
      <c r="Y3069" s="8" t="s">
        <v>14140</v>
      </c>
      <c r="Z3069" s="8" t="s">
        <v>14141</v>
      </c>
    </row>
    <row r="3070" spans="1:26" x14ac:dyDescent="0.2">
      <c r="A3070" s="8">
        <v>3069</v>
      </c>
      <c r="B3070" s="8" t="s">
        <v>14142</v>
      </c>
      <c r="C3070" s="8" t="s">
        <v>14142</v>
      </c>
      <c r="F3070" s="47"/>
      <c r="G3070" s="8">
        <v>18</v>
      </c>
      <c r="H3070" s="8" t="s">
        <v>21</v>
      </c>
      <c r="I3070" s="8" t="s">
        <v>22</v>
      </c>
      <c r="J3070" s="8" t="s">
        <v>22</v>
      </c>
      <c r="K3070" s="8" t="s">
        <v>12036</v>
      </c>
      <c r="L3070" s="8" t="s">
        <v>13194</v>
      </c>
      <c r="M3070" s="8" t="s">
        <v>13195</v>
      </c>
      <c r="N3070" s="8" t="s">
        <v>14143</v>
      </c>
      <c r="O3070" s="8">
        <f>9+57/60+56.7/3600</f>
        <v>9.9657499999999999</v>
      </c>
      <c r="P3070" s="8" t="s">
        <v>14144</v>
      </c>
      <c r="Q3070" s="8">
        <f>+(10+25/60+58/3600)</f>
        <v>10.432777777777778</v>
      </c>
      <c r="R3070" s="8">
        <v>14.2</v>
      </c>
      <c r="S3070" s="8">
        <v>15.1</v>
      </c>
      <c r="T3070" s="8">
        <v>0.9</v>
      </c>
      <c r="U3070" s="8">
        <v>12.8</v>
      </c>
      <c r="V3070" s="8">
        <v>0.8</v>
      </c>
      <c r="W3070" s="8">
        <v>0.4</v>
      </c>
      <c r="X3070" s="8">
        <v>165</v>
      </c>
      <c r="Y3070" s="8" t="s">
        <v>282</v>
      </c>
      <c r="Z3070" s="8" t="s">
        <v>283</v>
      </c>
    </row>
    <row r="3071" spans="1:26" x14ac:dyDescent="0.2">
      <c r="A3071" s="8">
        <v>3070</v>
      </c>
      <c r="B3071" s="8" t="s">
        <v>14145</v>
      </c>
      <c r="C3071" s="8" t="s">
        <v>14145</v>
      </c>
      <c r="F3071" s="47" t="s">
        <v>56726</v>
      </c>
      <c r="G3071" s="8">
        <v>15</v>
      </c>
      <c r="H3071" s="8" t="s">
        <v>21</v>
      </c>
      <c r="I3071" s="8" t="s">
        <v>22</v>
      </c>
      <c r="J3071" s="8" t="s">
        <v>22</v>
      </c>
      <c r="K3071" s="8" t="s">
        <v>460</v>
      </c>
      <c r="L3071" s="8" t="s">
        <v>13194</v>
      </c>
      <c r="M3071" s="8" t="s">
        <v>13195</v>
      </c>
      <c r="N3071" s="8" t="s">
        <v>14146</v>
      </c>
      <c r="O3071" s="8">
        <f>9+58/60+6.9/3600</f>
        <v>9.9685833333333331</v>
      </c>
      <c r="P3071" s="8" t="s">
        <v>14147</v>
      </c>
      <c r="Q3071" s="8">
        <f>+(10+21/60+37/3600)</f>
        <v>10.360277777777778</v>
      </c>
      <c r="R3071" s="8">
        <v>12.3</v>
      </c>
      <c r="S3071" s="8">
        <v>13.3</v>
      </c>
      <c r="T3071" s="8">
        <v>1</v>
      </c>
      <c r="U3071" s="8">
        <v>13.1</v>
      </c>
      <c r="V3071" s="8">
        <v>1.4</v>
      </c>
      <c r="W3071" s="8">
        <v>1.4</v>
      </c>
      <c r="Y3071" s="8" t="s">
        <v>14148</v>
      </c>
      <c r="Z3071" s="8" t="s">
        <v>14149</v>
      </c>
    </row>
    <row r="3072" spans="1:26" x14ac:dyDescent="0.2">
      <c r="A3072" s="8">
        <v>3071</v>
      </c>
      <c r="B3072" s="8" t="s">
        <v>14150</v>
      </c>
      <c r="C3072" s="8" t="s">
        <v>14150</v>
      </c>
      <c r="F3072" s="47"/>
      <c r="G3072" s="8">
        <v>19</v>
      </c>
      <c r="H3072" s="8" t="s">
        <v>21</v>
      </c>
      <c r="I3072" s="8" t="s">
        <v>22</v>
      </c>
      <c r="J3072" s="8" t="s">
        <v>22</v>
      </c>
      <c r="K3072" s="8" t="s">
        <v>37</v>
      </c>
      <c r="L3072" s="8" t="s">
        <v>13194</v>
      </c>
      <c r="M3072" s="8" t="s">
        <v>13195</v>
      </c>
      <c r="N3072" s="8" t="s">
        <v>14151</v>
      </c>
      <c r="O3072" s="8">
        <f>9+58/60+52.9/3600</f>
        <v>9.9813611111111111</v>
      </c>
      <c r="P3072" s="8" t="s">
        <v>14152</v>
      </c>
      <c r="Q3072" s="8">
        <f>+(31+37/60+15/3600)</f>
        <v>31.620833333333334</v>
      </c>
      <c r="R3072" s="8">
        <v>14.5</v>
      </c>
      <c r="S3072" s="8">
        <v>15.5</v>
      </c>
      <c r="T3072" s="8">
        <v>1</v>
      </c>
      <c r="U3072" s="8">
        <v>12.3</v>
      </c>
      <c r="V3072" s="8">
        <v>0.5</v>
      </c>
      <c r="W3072" s="8">
        <v>0.3</v>
      </c>
      <c r="X3072" s="8">
        <v>177</v>
      </c>
      <c r="Y3072" s="8" t="s">
        <v>6448</v>
      </c>
      <c r="Z3072" s="8" t="s">
        <v>14153</v>
      </c>
    </row>
    <row r="3073" spans="1:26" x14ac:dyDescent="0.2">
      <c r="A3073" s="8">
        <v>3072</v>
      </c>
      <c r="B3073" s="8" t="s">
        <v>14154</v>
      </c>
      <c r="C3073" s="8" t="s">
        <v>14154</v>
      </c>
      <c r="F3073" s="47" t="s">
        <v>56727</v>
      </c>
      <c r="G3073" s="8">
        <v>15</v>
      </c>
      <c r="H3073" s="8" t="s">
        <v>21</v>
      </c>
      <c r="I3073" s="8" t="s">
        <v>22</v>
      </c>
      <c r="J3073" s="8" t="s">
        <v>22</v>
      </c>
      <c r="K3073" s="8" t="s">
        <v>632</v>
      </c>
      <c r="L3073" s="8" t="s">
        <v>11765</v>
      </c>
      <c r="M3073" s="8" t="s">
        <v>11766</v>
      </c>
      <c r="N3073" s="8" t="s">
        <v>14155</v>
      </c>
      <c r="O3073" s="8">
        <f>9+57/60+23.9/3600</f>
        <v>9.9566388888888877</v>
      </c>
      <c r="P3073" s="8" t="s">
        <v>14156</v>
      </c>
      <c r="Q3073" s="8">
        <f>-(19+21/60+17/3600)</f>
        <v>-19.354722222222225</v>
      </c>
      <c r="R3073" s="8">
        <v>12.8</v>
      </c>
      <c r="S3073" s="8">
        <v>13.7</v>
      </c>
      <c r="T3073" s="8">
        <v>0.9</v>
      </c>
      <c r="U3073" s="8">
        <v>12.8</v>
      </c>
      <c r="V3073" s="8">
        <v>1.9</v>
      </c>
      <c r="W3073" s="8">
        <v>0.6</v>
      </c>
      <c r="X3073" s="8">
        <v>71</v>
      </c>
      <c r="Y3073" s="8" t="s">
        <v>14157</v>
      </c>
      <c r="Z3073" s="8" t="s">
        <v>14158</v>
      </c>
    </row>
    <row r="3074" spans="1:26" x14ac:dyDescent="0.2">
      <c r="A3074" s="8">
        <v>3073</v>
      </c>
      <c r="B3074" s="8" t="s">
        <v>14159</v>
      </c>
      <c r="C3074" s="8" t="s">
        <v>14159</v>
      </c>
      <c r="F3074" s="47" t="s">
        <v>56728</v>
      </c>
      <c r="G3074" s="8">
        <v>6.5</v>
      </c>
      <c r="H3074" s="8" t="s">
        <v>21</v>
      </c>
      <c r="I3074" s="8" t="s">
        <v>22</v>
      </c>
      <c r="J3074" s="8" t="s">
        <v>22</v>
      </c>
      <c r="K3074" s="8" t="s">
        <v>118</v>
      </c>
      <c r="L3074" s="8" t="s">
        <v>12015</v>
      </c>
      <c r="M3074" s="8" t="s">
        <v>12016</v>
      </c>
      <c r="N3074" s="8" t="s">
        <v>14160</v>
      </c>
      <c r="O3074" s="8">
        <f>10+0/60+52.2/3600</f>
        <v>10.0145</v>
      </c>
      <c r="P3074" s="8" t="s">
        <v>14161</v>
      </c>
      <c r="Q3074" s="8">
        <f>+(55+37/60+6/3600)</f>
        <v>55.618333333333332</v>
      </c>
      <c r="R3074" s="8">
        <v>13.4</v>
      </c>
      <c r="S3074" s="8">
        <v>14.1</v>
      </c>
      <c r="T3074" s="8">
        <v>0.7</v>
      </c>
      <c r="U3074" s="8">
        <v>13.7</v>
      </c>
      <c r="V3074" s="8">
        <v>1.2</v>
      </c>
      <c r="W3074" s="8">
        <v>1.1000000000000001</v>
      </c>
      <c r="X3074" s="8">
        <v>156</v>
      </c>
      <c r="Y3074" s="8" t="s">
        <v>14162</v>
      </c>
      <c r="Z3074" s="8" t="s">
        <v>14163</v>
      </c>
    </row>
    <row r="3075" spans="1:26" x14ac:dyDescent="0.2">
      <c r="A3075" s="8">
        <v>3074</v>
      </c>
      <c r="B3075" s="8" t="s">
        <v>14164</v>
      </c>
      <c r="C3075" s="8" t="s">
        <v>14164</v>
      </c>
      <c r="F3075" s="47" t="s">
        <v>56729</v>
      </c>
      <c r="G3075" s="8">
        <v>15</v>
      </c>
      <c r="H3075" s="8" t="s">
        <v>21</v>
      </c>
      <c r="I3075" s="8" t="s">
        <v>22</v>
      </c>
      <c r="J3075" s="8" t="s">
        <v>22</v>
      </c>
      <c r="K3075" s="8" t="s">
        <v>160</v>
      </c>
      <c r="L3075" s="8" t="s">
        <v>13179</v>
      </c>
      <c r="M3075" s="8" t="s">
        <v>13180</v>
      </c>
      <c r="N3075" s="8" t="s">
        <v>14165</v>
      </c>
      <c r="O3075" s="8">
        <f>9+59/60+41.2/3600</f>
        <v>9.9947777777777773</v>
      </c>
      <c r="P3075" s="8" t="s">
        <v>14166</v>
      </c>
      <c r="Q3075" s="8">
        <f>+(35+23/60+36/3600)</f>
        <v>35.393333333333331</v>
      </c>
      <c r="R3075" s="8">
        <v>12.7</v>
      </c>
      <c r="S3075" s="8">
        <v>13.3</v>
      </c>
      <c r="T3075" s="8">
        <v>0.6</v>
      </c>
      <c r="U3075" s="8">
        <v>14.2</v>
      </c>
      <c r="V3075" s="8">
        <v>2.2999999999999998</v>
      </c>
      <c r="W3075" s="8">
        <v>2.1</v>
      </c>
      <c r="X3075" s="8">
        <v>166</v>
      </c>
      <c r="Y3075" s="8" t="s">
        <v>14167</v>
      </c>
      <c r="Z3075" s="8" t="s">
        <v>14168</v>
      </c>
    </row>
    <row r="3076" spans="1:26" x14ac:dyDescent="0.2">
      <c r="A3076" s="8">
        <v>3075</v>
      </c>
      <c r="B3076" s="8" t="s">
        <v>14169</v>
      </c>
      <c r="C3076" s="8" t="s">
        <v>14169</v>
      </c>
      <c r="F3076" s="47"/>
      <c r="G3076" s="8">
        <v>16</v>
      </c>
      <c r="H3076" s="8" t="s">
        <v>21</v>
      </c>
      <c r="I3076" s="8" t="s">
        <v>22</v>
      </c>
      <c r="J3076" s="8" t="s">
        <v>22</v>
      </c>
      <c r="K3076" s="8" t="s">
        <v>160</v>
      </c>
      <c r="L3076" s="8" t="s">
        <v>13194</v>
      </c>
      <c r="M3076" s="8" t="s">
        <v>13195</v>
      </c>
      <c r="N3076" s="8" t="s">
        <v>14170</v>
      </c>
      <c r="O3076" s="8">
        <f>9+58/60+56.3/3600</f>
        <v>9.9823055555555555</v>
      </c>
      <c r="P3076" s="8" t="s">
        <v>14171</v>
      </c>
      <c r="Q3076" s="8">
        <f>+(14+25/60+10/3600)</f>
        <v>14.419444444444444</v>
      </c>
      <c r="R3076" s="8">
        <v>13.6</v>
      </c>
      <c r="S3076" s="8">
        <v>14.3</v>
      </c>
      <c r="T3076" s="8">
        <v>0.7</v>
      </c>
      <c r="U3076" s="8">
        <v>13.4</v>
      </c>
      <c r="V3076" s="8">
        <v>1.2</v>
      </c>
      <c r="W3076" s="8">
        <v>0.8</v>
      </c>
      <c r="X3076" s="8">
        <v>135</v>
      </c>
      <c r="Y3076" s="8" t="s">
        <v>14172</v>
      </c>
      <c r="Z3076" s="8" t="s">
        <v>14173</v>
      </c>
    </row>
    <row r="3077" spans="1:26" x14ac:dyDescent="0.2">
      <c r="A3077" s="8">
        <v>3076</v>
      </c>
      <c r="B3077" s="8" t="s">
        <v>14174</v>
      </c>
      <c r="C3077" s="8" t="s">
        <v>14174</v>
      </c>
      <c r="F3077" s="47"/>
      <c r="G3077" s="8">
        <v>16</v>
      </c>
      <c r="H3077" s="8" t="s">
        <v>21</v>
      </c>
      <c r="I3077" s="8" t="s">
        <v>22</v>
      </c>
      <c r="J3077" s="8" t="s">
        <v>22</v>
      </c>
      <c r="K3077" s="8" t="s">
        <v>31</v>
      </c>
      <c r="L3077" s="8" t="s">
        <v>11765</v>
      </c>
      <c r="M3077" s="8" t="s">
        <v>11766</v>
      </c>
      <c r="N3077" s="8" t="s">
        <v>14175</v>
      </c>
      <c r="O3077" s="8">
        <f>9+57/60+37.7/3600</f>
        <v>9.9604722222222222</v>
      </c>
      <c r="P3077" s="8" t="s">
        <v>14176</v>
      </c>
      <c r="Q3077" s="8">
        <f>-(18+10/60+42/3600)</f>
        <v>-18.178333333333335</v>
      </c>
      <c r="R3077" s="8">
        <v>13.3</v>
      </c>
      <c r="S3077" s="8">
        <v>14.1</v>
      </c>
      <c r="T3077" s="8">
        <v>0.8</v>
      </c>
      <c r="U3077" s="8">
        <v>13.1</v>
      </c>
      <c r="V3077" s="8">
        <v>1</v>
      </c>
      <c r="W3077" s="8">
        <v>0.9</v>
      </c>
      <c r="Y3077" s="8" t="s">
        <v>227</v>
      </c>
      <c r="Z3077" s="8" t="s">
        <v>228</v>
      </c>
    </row>
    <row r="3078" spans="1:26" x14ac:dyDescent="0.2">
      <c r="A3078" s="8">
        <v>3077</v>
      </c>
      <c r="B3078" s="8" t="s">
        <v>14177</v>
      </c>
      <c r="C3078" s="8" t="s">
        <v>14177</v>
      </c>
      <c r="F3078" s="47" t="s">
        <v>56730</v>
      </c>
      <c r="G3078" s="8">
        <v>5</v>
      </c>
      <c r="H3078" s="8" t="s">
        <v>14178</v>
      </c>
      <c r="I3078" s="8" t="s">
        <v>22</v>
      </c>
      <c r="J3078" s="8" t="s">
        <v>22</v>
      </c>
      <c r="K3078" s="8" t="s">
        <v>3523</v>
      </c>
      <c r="L3078" s="8" t="s">
        <v>12015</v>
      </c>
      <c r="M3078" s="8" t="s">
        <v>12016</v>
      </c>
      <c r="N3078" s="8" t="s">
        <v>14179</v>
      </c>
      <c r="O3078" s="8">
        <f>10+3/60+20.3/3600</f>
        <v>10.05563888888889</v>
      </c>
      <c r="P3078" s="8" t="s">
        <v>14180</v>
      </c>
      <c r="Q3078" s="8">
        <f>+(68+44/60+6/3600)</f>
        <v>68.734999999999999</v>
      </c>
      <c r="R3078" s="8">
        <v>9.9</v>
      </c>
      <c r="S3078" s="8">
        <v>10.6</v>
      </c>
      <c r="T3078" s="8">
        <v>0.7</v>
      </c>
      <c r="U3078" s="8">
        <v>13.2</v>
      </c>
      <c r="V3078" s="8">
        <v>5.2</v>
      </c>
      <c r="W3078" s="8">
        <v>4.7</v>
      </c>
      <c r="X3078" s="8">
        <v>45</v>
      </c>
      <c r="Y3078" s="8" t="s">
        <v>14181</v>
      </c>
      <c r="Z3078" s="8" t="s">
        <v>14182</v>
      </c>
    </row>
    <row r="3079" spans="1:26" x14ac:dyDescent="0.2">
      <c r="A3079" s="8">
        <v>3078</v>
      </c>
      <c r="B3079" s="8" t="s">
        <v>14183</v>
      </c>
      <c r="C3079" s="8" t="s">
        <v>14183</v>
      </c>
      <c r="F3079" s="47" t="s">
        <v>56731</v>
      </c>
      <c r="G3079" s="8">
        <v>6.5</v>
      </c>
      <c r="H3079" s="8" t="s">
        <v>21</v>
      </c>
      <c r="I3079" s="8" t="s">
        <v>22</v>
      </c>
      <c r="J3079" s="8" t="s">
        <v>22</v>
      </c>
      <c r="K3079" s="8" t="s">
        <v>382</v>
      </c>
      <c r="L3079" s="8" t="s">
        <v>11765</v>
      </c>
      <c r="M3079" s="8" t="s">
        <v>11766</v>
      </c>
      <c r="N3079" s="8" t="s">
        <v>14184</v>
      </c>
      <c r="O3079" s="8">
        <f>9+58/60+24.5/3600</f>
        <v>9.9734722222222221</v>
      </c>
      <c r="P3079" s="8" t="s">
        <v>14185</v>
      </c>
      <c r="Q3079" s="8">
        <f>-(26+55/60+34/3600)</f>
        <v>-26.926111111111112</v>
      </c>
      <c r="R3079" s="8">
        <v>11.1</v>
      </c>
      <c r="S3079" s="8">
        <v>12.1</v>
      </c>
      <c r="T3079" s="8">
        <v>1</v>
      </c>
      <c r="U3079" s="8">
        <v>12.9</v>
      </c>
      <c r="V3079" s="8">
        <v>2.7</v>
      </c>
      <c r="W3079" s="8">
        <v>2.2999999999999998</v>
      </c>
      <c r="X3079" s="8">
        <v>177</v>
      </c>
      <c r="Y3079" s="8" t="s">
        <v>646</v>
      </c>
      <c r="Z3079" s="8" t="s">
        <v>647</v>
      </c>
    </row>
    <row r="3080" spans="1:26" x14ac:dyDescent="0.2">
      <c r="A3080" s="8">
        <v>3079</v>
      </c>
      <c r="B3080" s="8" t="s">
        <v>14186</v>
      </c>
      <c r="C3080" s="8" t="s">
        <v>14186</v>
      </c>
      <c r="F3080" s="47" t="s">
        <v>56732</v>
      </c>
      <c r="G3080" s="8">
        <v>6</v>
      </c>
      <c r="H3080" s="8" t="s">
        <v>14187</v>
      </c>
      <c r="I3080" s="8" t="s">
        <v>22</v>
      </c>
      <c r="J3080" s="8" t="s">
        <v>22</v>
      </c>
      <c r="K3080" s="8" t="s">
        <v>64</v>
      </c>
      <c r="L3080" s="8" t="s">
        <v>12015</v>
      </c>
      <c r="M3080" s="8" t="s">
        <v>12016</v>
      </c>
      <c r="N3080" s="8" t="s">
        <v>14188</v>
      </c>
      <c r="O3080" s="8">
        <f>10+1/60+57.7/3600</f>
        <v>10.032694444444445</v>
      </c>
      <c r="P3080" s="8" t="s">
        <v>14189</v>
      </c>
      <c r="Q3080" s="8">
        <f>+(55+40/60+53/3600)</f>
        <v>55.68138888888889</v>
      </c>
      <c r="R3080" s="8">
        <v>10.9</v>
      </c>
      <c r="S3080" s="8">
        <v>11.5</v>
      </c>
      <c r="T3080" s="8">
        <v>0.6</v>
      </c>
      <c r="U3080" s="8">
        <v>13.4</v>
      </c>
      <c r="V3080" s="8">
        <v>8.1</v>
      </c>
      <c r="W3080" s="8">
        <v>1.3</v>
      </c>
      <c r="X3080" s="8">
        <v>165</v>
      </c>
      <c r="Y3080" s="8" t="s">
        <v>14190</v>
      </c>
      <c r="Z3080" s="8" t="s">
        <v>14191</v>
      </c>
    </row>
    <row r="3081" spans="1:26" x14ac:dyDescent="0.2">
      <c r="A3081" s="8">
        <v>3080</v>
      </c>
      <c r="B3081" s="8" t="s">
        <v>14192</v>
      </c>
      <c r="C3081" s="8" t="s">
        <v>14192</v>
      </c>
      <c r="F3081" s="47" t="s">
        <v>56733</v>
      </c>
      <c r="G3081" s="8">
        <v>15</v>
      </c>
      <c r="H3081" s="8" t="s">
        <v>21</v>
      </c>
      <c r="I3081" s="8" t="s">
        <v>22</v>
      </c>
      <c r="J3081" s="8" t="s">
        <v>22</v>
      </c>
      <c r="K3081" s="8" t="s">
        <v>91</v>
      </c>
      <c r="L3081" s="8" t="s">
        <v>13194</v>
      </c>
      <c r="M3081" s="8" t="s">
        <v>13195</v>
      </c>
      <c r="N3081" s="8" t="s">
        <v>14193</v>
      </c>
      <c r="O3081" s="8">
        <f>9+59/60+55.9/3600</f>
        <v>9.9988611111111094</v>
      </c>
      <c r="P3081" s="8" t="s">
        <v>14194</v>
      </c>
      <c r="Q3081" s="8">
        <f>+(13+2/60+39/3600)</f>
        <v>13.044166666666667</v>
      </c>
      <c r="R3081" s="8">
        <v>13.6</v>
      </c>
      <c r="S3081" s="8">
        <v>14.5</v>
      </c>
      <c r="T3081" s="8">
        <v>0.9</v>
      </c>
      <c r="U3081" s="8">
        <v>13.1</v>
      </c>
      <c r="V3081" s="8">
        <v>0.9</v>
      </c>
      <c r="W3081" s="8">
        <v>0.8</v>
      </c>
      <c r="X3081" s="8">
        <v>69</v>
      </c>
      <c r="Y3081" s="8" t="s">
        <v>297</v>
      </c>
      <c r="Z3081" s="8" t="s">
        <v>298</v>
      </c>
    </row>
    <row r="3082" spans="1:26" x14ac:dyDescent="0.2">
      <c r="A3082" s="8">
        <v>3081</v>
      </c>
      <c r="B3082" s="8" t="s">
        <v>14195</v>
      </c>
      <c r="C3082" s="8" t="s">
        <v>14195</v>
      </c>
      <c r="F3082" s="47" t="s">
        <v>56734</v>
      </c>
      <c r="G3082" s="8">
        <v>13</v>
      </c>
      <c r="H3082" s="8" t="s">
        <v>21</v>
      </c>
      <c r="I3082" s="8" t="s">
        <v>22</v>
      </c>
      <c r="J3082" s="8" t="s">
        <v>22</v>
      </c>
      <c r="K3082" s="8" t="s">
        <v>435</v>
      </c>
      <c r="L3082" s="8" t="s">
        <v>11765</v>
      </c>
      <c r="M3082" s="8" t="s">
        <v>11766</v>
      </c>
      <c r="N3082" s="8" t="s">
        <v>14196</v>
      </c>
      <c r="O3082" s="8">
        <f>9+59/60+29.5/3600</f>
        <v>9.9915277777777778</v>
      </c>
      <c r="P3082" s="8" t="s">
        <v>14197</v>
      </c>
      <c r="Q3082" s="8">
        <f>-(22+49/60+34/3600)</f>
        <v>-22.826111111111111</v>
      </c>
      <c r="R3082" s="8">
        <v>12</v>
      </c>
      <c r="S3082" s="8">
        <v>12.9</v>
      </c>
      <c r="T3082" s="8">
        <v>0.9</v>
      </c>
      <c r="U3082" s="8">
        <v>13.2</v>
      </c>
      <c r="V3082" s="8">
        <v>2.2000000000000002</v>
      </c>
      <c r="W3082" s="8">
        <v>1.8</v>
      </c>
      <c r="X3082" s="8">
        <v>74</v>
      </c>
      <c r="Y3082" s="8" t="s">
        <v>14198</v>
      </c>
      <c r="Z3082" s="8" t="s">
        <v>14199</v>
      </c>
    </row>
    <row r="3083" spans="1:26" x14ac:dyDescent="0.2">
      <c r="A3083" s="8">
        <v>3082</v>
      </c>
      <c r="B3083" s="8" t="s">
        <v>14200</v>
      </c>
      <c r="C3083" s="8" t="s">
        <v>14200</v>
      </c>
      <c r="F3083" s="47"/>
      <c r="G3083" s="8">
        <v>16</v>
      </c>
      <c r="H3083" s="8" t="s">
        <v>21</v>
      </c>
      <c r="I3083" s="8" t="s">
        <v>22</v>
      </c>
      <c r="J3083" s="8" t="s">
        <v>22</v>
      </c>
      <c r="K3083" s="8" t="s">
        <v>58</v>
      </c>
      <c r="L3083" s="8" t="s">
        <v>13374</v>
      </c>
      <c r="M3083" s="8" t="s">
        <v>13375</v>
      </c>
      <c r="N3083" s="8" t="s">
        <v>14151</v>
      </c>
      <c r="O3083" s="8">
        <f>9+58/60+52.9/3600</f>
        <v>9.9813611111111111</v>
      </c>
      <c r="P3083" s="8" t="s">
        <v>14201</v>
      </c>
      <c r="Q3083" s="8">
        <f>-(30+21/60+27/3600)</f>
        <v>-30.357500000000002</v>
      </c>
      <c r="R3083" s="8">
        <v>12.5</v>
      </c>
      <c r="S3083" s="8">
        <v>13.5</v>
      </c>
      <c r="T3083" s="8">
        <v>1</v>
      </c>
      <c r="U3083" s="8">
        <v>12.8</v>
      </c>
      <c r="V3083" s="8">
        <v>1.8</v>
      </c>
      <c r="W3083" s="8">
        <v>0.7</v>
      </c>
      <c r="X3083" s="8">
        <v>26</v>
      </c>
      <c r="Y3083" s="8" t="s">
        <v>14202</v>
      </c>
      <c r="Z3083" s="8" t="s">
        <v>14203</v>
      </c>
    </row>
    <row r="3084" spans="1:26" x14ac:dyDescent="0.2">
      <c r="A3084" s="8">
        <v>3083</v>
      </c>
      <c r="B3084" s="8" t="s">
        <v>14204</v>
      </c>
      <c r="C3084" s="8" t="s">
        <v>14204</v>
      </c>
      <c r="F3084" s="47"/>
      <c r="G3084" s="8">
        <v>18</v>
      </c>
      <c r="H3084" s="8" t="s">
        <v>21</v>
      </c>
      <c r="I3084" s="8" t="s">
        <v>22</v>
      </c>
      <c r="J3084" s="8" t="s">
        <v>22</v>
      </c>
      <c r="K3084" s="8" t="s">
        <v>91</v>
      </c>
      <c r="L3084" s="8" t="s">
        <v>12234</v>
      </c>
      <c r="M3084" s="8" t="s">
        <v>12235</v>
      </c>
      <c r="N3084" s="8" t="s">
        <v>14205</v>
      </c>
      <c r="O3084" s="8">
        <f>9+59/60+49.6/3600</f>
        <v>9.9971111111111099</v>
      </c>
      <c r="P3084" s="8" t="s">
        <v>14206</v>
      </c>
      <c r="Q3084" s="8">
        <f>-(2+52/60+39/3600)</f>
        <v>-2.8774999999999999</v>
      </c>
      <c r="R3084" s="8">
        <v>13.7</v>
      </c>
      <c r="S3084" s="8">
        <v>14.6</v>
      </c>
      <c r="T3084" s="8">
        <v>0.9</v>
      </c>
      <c r="U3084" s="8">
        <v>12.7</v>
      </c>
      <c r="V3084" s="8">
        <v>1.1000000000000001</v>
      </c>
      <c r="W3084" s="8">
        <v>0.4</v>
      </c>
      <c r="X3084" s="8">
        <v>50</v>
      </c>
      <c r="Y3084" s="8" t="s">
        <v>905</v>
      </c>
      <c r="Z3084" s="8" t="s">
        <v>906</v>
      </c>
    </row>
    <row r="3085" spans="1:26" x14ac:dyDescent="0.2">
      <c r="A3085" s="8">
        <v>3084</v>
      </c>
      <c r="B3085" s="8" t="s">
        <v>14207</v>
      </c>
      <c r="C3085" s="8" t="s">
        <v>14207</v>
      </c>
      <c r="F3085" s="47"/>
      <c r="G3085" s="8">
        <v>16</v>
      </c>
      <c r="H3085" s="8" t="s">
        <v>21</v>
      </c>
      <c r="I3085" s="8" t="s">
        <v>22</v>
      </c>
      <c r="J3085" s="8" t="s">
        <v>22</v>
      </c>
      <c r="K3085" s="8" t="s">
        <v>4023</v>
      </c>
      <c r="L3085" s="8" t="s">
        <v>13374</v>
      </c>
      <c r="M3085" s="8" t="s">
        <v>13375</v>
      </c>
      <c r="N3085" s="8" t="s">
        <v>14208</v>
      </c>
      <c r="O3085" s="8">
        <f>9+59/60+6.1/3600</f>
        <v>9.9850277777777769</v>
      </c>
      <c r="P3085" s="8" t="s">
        <v>14209</v>
      </c>
      <c r="Q3085" s="8">
        <f>-(27+7/60+42/3600)</f>
        <v>-27.128333333333334</v>
      </c>
      <c r="R3085" s="8">
        <v>12.3</v>
      </c>
      <c r="S3085" s="8">
        <v>13.1</v>
      </c>
      <c r="T3085" s="8">
        <v>0.8</v>
      </c>
      <c r="U3085" s="8">
        <v>13.3</v>
      </c>
      <c r="V3085" s="8">
        <v>1.8</v>
      </c>
      <c r="W3085" s="8">
        <v>1.6</v>
      </c>
      <c r="X3085" s="8">
        <v>2</v>
      </c>
      <c r="Y3085" s="8" t="s">
        <v>14210</v>
      </c>
      <c r="Z3085" s="8" t="s">
        <v>14211</v>
      </c>
    </row>
    <row r="3086" spans="1:26" x14ac:dyDescent="0.2">
      <c r="A3086" s="8">
        <v>3085</v>
      </c>
      <c r="B3086" s="8" t="s">
        <v>14212</v>
      </c>
      <c r="C3086" s="8" t="s">
        <v>14212</v>
      </c>
      <c r="F3086" s="47"/>
      <c r="G3086" s="8">
        <v>16</v>
      </c>
      <c r="H3086" s="8" t="s">
        <v>21</v>
      </c>
      <c r="I3086" s="8" t="s">
        <v>22</v>
      </c>
      <c r="J3086" s="8" t="s">
        <v>22</v>
      </c>
      <c r="K3086" s="8" t="s">
        <v>37</v>
      </c>
      <c r="L3086" s="8" t="s">
        <v>11765</v>
      </c>
      <c r="M3086" s="8" t="s">
        <v>11766</v>
      </c>
      <c r="N3086" s="8" t="s">
        <v>14213</v>
      </c>
      <c r="O3086" s="8">
        <f>9+59/60+29.1/3600</f>
        <v>9.9914166666666659</v>
      </c>
      <c r="P3086" s="8" t="s">
        <v>14214</v>
      </c>
      <c r="Q3086" s="8">
        <f>-(19+29/60+34/3600)</f>
        <v>-19.492777777777778</v>
      </c>
      <c r="R3086" s="8">
        <v>13.2</v>
      </c>
      <c r="S3086" s="8">
        <v>14.2</v>
      </c>
      <c r="T3086" s="8">
        <v>1</v>
      </c>
      <c r="U3086" s="8">
        <v>12.3</v>
      </c>
      <c r="V3086" s="8">
        <v>1.2</v>
      </c>
      <c r="W3086" s="8">
        <v>0.4</v>
      </c>
      <c r="X3086" s="8">
        <v>119</v>
      </c>
      <c r="Y3086" s="8" t="s">
        <v>170</v>
      </c>
      <c r="Z3086" s="8" t="s">
        <v>171</v>
      </c>
    </row>
    <row r="3087" spans="1:26" x14ac:dyDescent="0.2">
      <c r="A3087" s="8">
        <v>3086</v>
      </c>
      <c r="B3087" s="8" t="s">
        <v>14215</v>
      </c>
      <c r="C3087" s="8" t="s">
        <v>14215</v>
      </c>
      <c r="F3087" s="47"/>
      <c r="G3087" s="8">
        <v>18</v>
      </c>
      <c r="H3087" s="8" t="s">
        <v>21</v>
      </c>
      <c r="I3087" s="8" t="s">
        <v>22</v>
      </c>
      <c r="J3087" s="8" t="s">
        <v>22</v>
      </c>
      <c r="K3087" s="8" t="s">
        <v>23</v>
      </c>
      <c r="L3087" s="8" t="s">
        <v>12234</v>
      </c>
      <c r="M3087" s="8" t="s">
        <v>12235</v>
      </c>
      <c r="N3087" s="8" t="s">
        <v>14216</v>
      </c>
      <c r="O3087" s="8">
        <f>10+0/60+10.9/3600</f>
        <v>10.003027777777778</v>
      </c>
      <c r="P3087" s="8" t="s">
        <v>14217</v>
      </c>
      <c r="Q3087" s="8">
        <f>-(2+58/60+33/3600)</f>
        <v>-2.9758333333333336</v>
      </c>
      <c r="R3087" s="8">
        <v>13.9</v>
      </c>
      <c r="S3087" s="8">
        <v>14.7</v>
      </c>
      <c r="T3087" s="8">
        <v>0.8</v>
      </c>
      <c r="U3087" s="8">
        <v>13</v>
      </c>
      <c r="V3087" s="8">
        <v>1.2</v>
      </c>
      <c r="W3087" s="8">
        <v>0.4</v>
      </c>
      <c r="X3087" s="8">
        <v>145</v>
      </c>
      <c r="Y3087" s="8" t="s">
        <v>14218</v>
      </c>
      <c r="Z3087" s="8" t="s">
        <v>14219</v>
      </c>
    </row>
    <row r="3088" spans="1:26" x14ac:dyDescent="0.2">
      <c r="A3088" s="8">
        <v>3087</v>
      </c>
      <c r="B3088" s="8" t="s">
        <v>14220</v>
      </c>
      <c r="C3088" s="8" t="s">
        <v>14220</v>
      </c>
      <c r="F3088" s="47"/>
      <c r="G3088" s="8">
        <v>16</v>
      </c>
      <c r="H3088" s="8" t="s">
        <v>21</v>
      </c>
      <c r="I3088" s="8" t="s">
        <v>22</v>
      </c>
      <c r="J3088" s="8" t="s">
        <v>22</v>
      </c>
      <c r="K3088" s="8" t="s">
        <v>460</v>
      </c>
      <c r="L3088" s="8" t="s">
        <v>13374</v>
      </c>
      <c r="M3088" s="8" t="s">
        <v>13375</v>
      </c>
      <c r="N3088" s="8" t="s">
        <v>14221</v>
      </c>
      <c r="O3088" s="8">
        <f>9+59/60+8.6/3600</f>
        <v>9.9857222222222219</v>
      </c>
      <c r="P3088" s="8" t="s">
        <v>14222</v>
      </c>
      <c r="Q3088" s="8">
        <f>-(34+13/60+32/3600)</f>
        <v>-34.225555555555559</v>
      </c>
      <c r="R3088" s="8">
        <v>10.5</v>
      </c>
      <c r="S3088" s="8">
        <v>11.6</v>
      </c>
      <c r="T3088" s="8">
        <v>1.1000000000000001</v>
      </c>
      <c r="U3088" s="8">
        <v>13.3</v>
      </c>
      <c r="V3088" s="8">
        <v>2</v>
      </c>
      <c r="W3088" s="8">
        <v>2</v>
      </c>
      <c r="Y3088" s="8" t="s">
        <v>14223</v>
      </c>
      <c r="Z3088" s="8" t="s">
        <v>14224</v>
      </c>
    </row>
    <row r="3089" spans="1:26" x14ac:dyDescent="0.2">
      <c r="A3089" s="8">
        <v>3088</v>
      </c>
      <c r="B3089" s="8" t="s">
        <v>14225</v>
      </c>
      <c r="C3089" s="8" t="s">
        <v>14225</v>
      </c>
      <c r="F3089" s="47" t="s">
        <v>56735</v>
      </c>
      <c r="G3089" s="8">
        <v>15</v>
      </c>
      <c r="H3089" s="8" t="s">
        <v>21</v>
      </c>
      <c r="I3089" s="8" t="s">
        <v>22</v>
      </c>
      <c r="J3089" s="8" t="s">
        <v>22</v>
      </c>
      <c r="K3089" s="8" t="s">
        <v>37</v>
      </c>
      <c r="L3089" s="8" t="s">
        <v>13194</v>
      </c>
      <c r="M3089" s="8" t="s">
        <v>13195</v>
      </c>
      <c r="N3089" s="8" t="s">
        <v>14226</v>
      </c>
      <c r="O3089" s="8">
        <f>10+1/60+8.3/3600</f>
        <v>10.018972222222223</v>
      </c>
      <c r="P3089" s="8" t="s">
        <v>14227</v>
      </c>
      <c r="Q3089" s="8">
        <f>+(22+24/60+22/3600)</f>
        <v>22.406111111111109</v>
      </c>
      <c r="R3089" s="8">
        <v>13.8</v>
      </c>
      <c r="S3089" s="8">
        <v>14.8</v>
      </c>
      <c r="T3089" s="8">
        <v>1</v>
      </c>
      <c r="U3089" s="8">
        <v>11.6</v>
      </c>
      <c r="V3089" s="8">
        <v>0.5</v>
      </c>
      <c r="W3089" s="8">
        <v>0.3</v>
      </c>
      <c r="X3089" s="8">
        <v>69</v>
      </c>
      <c r="Y3089" s="8" t="s">
        <v>1511</v>
      </c>
      <c r="Z3089" s="8" t="s">
        <v>1512</v>
      </c>
    </row>
    <row r="3090" spans="1:26" x14ac:dyDescent="0.2">
      <c r="A3090" s="8">
        <v>3089</v>
      </c>
      <c r="B3090" s="8" t="s">
        <v>14228</v>
      </c>
      <c r="C3090" s="8" t="s">
        <v>14228</v>
      </c>
      <c r="F3090" s="47"/>
      <c r="G3090" s="8">
        <v>16</v>
      </c>
      <c r="H3090" s="8" t="s">
        <v>21</v>
      </c>
      <c r="I3090" s="8" t="s">
        <v>22</v>
      </c>
      <c r="J3090" s="8" t="s">
        <v>22</v>
      </c>
      <c r="K3090" s="8" t="s">
        <v>218</v>
      </c>
      <c r="L3090" s="8" t="s">
        <v>13374</v>
      </c>
      <c r="M3090" s="8" t="s">
        <v>13375</v>
      </c>
      <c r="N3090" s="8" t="s">
        <v>14229</v>
      </c>
      <c r="O3090" s="8">
        <f>9+59/60+36.6/3600</f>
        <v>9.9934999999999992</v>
      </c>
      <c r="P3090" s="8" t="s">
        <v>14230</v>
      </c>
      <c r="Q3090" s="8">
        <f>-(28+19/60+52/3600)</f>
        <v>-28.33111111111111</v>
      </c>
      <c r="R3090" s="8">
        <v>12.2</v>
      </c>
      <c r="S3090" s="8">
        <v>13</v>
      </c>
      <c r="T3090" s="8">
        <v>0.8</v>
      </c>
      <c r="U3090" s="8">
        <v>12.7</v>
      </c>
      <c r="V3090" s="8">
        <v>1.8</v>
      </c>
      <c r="W3090" s="8">
        <v>1</v>
      </c>
      <c r="X3090" s="8">
        <v>139</v>
      </c>
      <c r="Y3090" s="8" t="s">
        <v>14231</v>
      </c>
      <c r="Z3090" s="8" t="s">
        <v>14232</v>
      </c>
    </row>
    <row r="3091" spans="1:26" x14ac:dyDescent="0.2">
      <c r="A3091" s="8">
        <v>3090</v>
      </c>
      <c r="B3091" s="8" t="s">
        <v>14233</v>
      </c>
      <c r="C3091" s="8" t="s">
        <v>14233</v>
      </c>
      <c r="F3091" s="47"/>
      <c r="G3091" s="8">
        <v>18</v>
      </c>
      <c r="H3091" s="8" t="s">
        <v>21</v>
      </c>
      <c r="I3091" s="8" t="s">
        <v>22</v>
      </c>
      <c r="J3091" s="8" t="s">
        <v>22</v>
      </c>
      <c r="K3091" s="8" t="s">
        <v>1136</v>
      </c>
      <c r="L3091" s="8" t="s">
        <v>12234</v>
      </c>
      <c r="M3091" s="8" t="s">
        <v>12235</v>
      </c>
      <c r="N3091" s="8" t="s">
        <v>14234</v>
      </c>
      <c r="O3091" s="8">
        <f>10+0/60+30.2/3600</f>
        <v>10.00838888888889</v>
      </c>
      <c r="P3091" s="8" t="s">
        <v>14235</v>
      </c>
      <c r="Q3091" s="8">
        <f>-(2+58/60+7/3600)</f>
        <v>-2.9686111111111111</v>
      </c>
      <c r="R3091" s="8">
        <v>12.6</v>
      </c>
      <c r="S3091" s="8">
        <v>13.6</v>
      </c>
      <c r="T3091" s="8">
        <v>1</v>
      </c>
      <c r="U3091" s="8">
        <v>13.5</v>
      </c>
      <c r="V3091" s="8">
        <v>1.7</v>
      </c>
      <c r="W3091" s="8">
        <v>1.4</v>
      </c>
      <c r="X3091" s="8">
        <v>90</v>
      </c>
      <c r="Y3091" s="8" t="s">
        <v>282</v>
      </c>
      <c r="Z3091" s="8" t="s">
        <v>283</v>
      </c>
    </row>
    <row r="3092" spans="1:26" x14ac:dyDescent="0.2">
      <c r="A3092" s="8">
        <v>3091</v>
      </c>
      <c r="B3092" s="8" t="s">
        <v>14236</v>
      </c>
      <c r="C3092" s="8" t="s">
        <v>14236</v>
      </c>
      <c r="F3092" s="47" t="s">
        <v>56736</v>
      </c>
      <c r="G3092" s="8">
        <v>9</v>
      </c>
      <c r="H3092" s="8" t="s">
        <v>21</v>
      </c>
      <c r="I3092" s="8" t="s">
        <v>22</v>
      </c>
      <c r="J3092" s="8" t="s">
        <v>22</v>
      </c>
      <c r="K3092" s="8" t="s">
        <v>183</v>
      </c>
      <c r="L3092" s="8" t="s">
        <v>11765</v>
      </c>
      <c r="M3092" s="8" t="s">
        <v>11766</v>
      </c>
      <c r="N3092" s="8" t="s">
        <v>14237</v>
      </c>
      <c r="O3092" s="8">
        <f>10+0/60+14.1/3600</f>
        <v>10.003916666666667</v>
      </c>
      <c r="P3092" s="8" t="s">
        <v>14238</v>
      </c>
      <c r="Q3092" s="8">
        <f>-(19+38/60+12/3600)</f>
        <v>-19.636666666666667</v>
      </c>
      <c r="R3092" s="8">
        <v>11.1</v>
      </c>
      <c r="S3092" s="8">
        <v>12.1</v>
      </c>
      <c r="T3092" s="8">
        <v>1</v>
      </c>
      <c r="U3092" s="8">
        <v>13</v>
      </c>
      <c r="V3092" s="8">
        <v>3</v>
      </c>
      <c r="W3092" s="8">
        <v>1.9</v>
      </c>
      <c r="X3092" s="8">
        <v>149</v>
      </c>
      <c r="Y3092" s="8" t="s">
        <v>14239</v>
      </c>
      <c r="Z3092" s="8" t="s">
        <v>14240</v>
      </c>
    </row>
    <row r="3093" spans="1:26" x14ac:dyDescent="0.2">
      <c r="A3093" s="8">
        <v>3092</v>
      </c>
      <c r="B3093" s="8" t="s">
        <v>14241</v>
      </c>
      <c r="C3093" s="8" t="s">
        <v>14241</v>
      </c>
      <c r="F3093" s="47"/>
      <c r="G3093" s="8">
        <v>18</v>
      </c>
      <c r="H3093" s="8" t="s">
        <v>21</v>
      </c>
      <c r="I3093" s="8" t="s">
        <v>22</v>
      </c>
      <c r="J3093" s="8" t="s">
        <v>22</v>
      </c>
      <c r="K3093" s="8" t="s">
        <v>632</v>
      </c>
      <c r="L3093" s="8" t="s">
        <v>12234</v>
      </c>
      <c r="M3093" s="8" t="s">
        <v>12235</v>
      </c>
      <c r="N3093" s="8" t="s">
        <v>14242</v>
      </c>
      <c r="O3093" s="8">
        <f>10+0/60+47.4/3600</f>
        <v>10.013166666666667</v>
      </c>
      <c r="P3093" s="8" t="s">
        <v>14243</v>
      </c>
      <c r="Q3093" s="8">
        <f>-(3+0/60+44/3600)</f>
        <v>-3.0122222222222224</v>
      </c>
      <c r="R3093" s="8">
        <v>13.3</v>
      </c>
      <c r="S3093" s="8">
        <v>14.2</v>
      </c>
      <c r="T3093" s="8">
        <v>0.9</v>
      </c>
      <c r="U3093" s="8">
        <v>13.1</v>
      </c>
      <c r="V3093" s="8">
        <v>1.3</v>
      </c>
      <c r="W3093" s="8">
        <v>0.6</v>
      </c>
      <c r="X3093" s="8">
        <v>30</v>
      </c>
      <c r="Y3093" s="8" t="s">
        <v>745</v>
      </c>
      <c r="Z3093" s="8" t="s">
        <v>746</v>
      </c>
    </row>
    <row r="3094" spans="1:26" x14ac:dyDescent="0.2">
      <c r="A3094" s="8">
        <v>3093</v>
      </c>
      <c r="B3094" s="8" t="s">
        <v>14244</v>
      </c>
      <c r="C3094" s="8" t="s">
        <v>14244</v>
      </c>
      <c r="F3094" s="47"/>
      <c r="G3094" s="8">
        <v>18</v>
      </c>
      <c r="H3094" s="8" t="s">
        <v>21</v>
      </c>
      <c r="I3094" s="8" t="s">
        <v>22</v>
      </c>
      <c r="J3094" s="8" t="s">
        <v>22</v>
      </c>
      <c r="K3094" s="8" t="s">
        <v>3850</v>
      </c>
      <c r="L3094" s="8" t="s">
        <v>12234</v>
      </c>
      <c r="M3094" s="8" t="s">
        <v>12235</v>
      </c>
      <c r="N3094" s="8" t="s">
        <v>14245</v>
      </c>
      <c r="O3094" s="8">
        <f>10+0/60+53.5/3600</f>
        <v>10.014861111111111</v>
      </c>
      <c r="P3094" s="8" t="s">
        <v>14246</v>
      </c>
      <c r="Q3094" s="8">
        <f>-(2+58/60+17/3600)</f>
        <v>-2.9713888888888889</v>
      </c>
      <c r="R3094" s="8">
        <v>14.2</v>
      </c>
      <c r="S3094" s="8">
        <v>15.2</v>
      </c>
      <c r="T3094" s="8">
        <v>1</v>
      </c>
      <c r="U3094" s="8">
        <v>12.6</v>
      </c>
      <c r="V3094" s="8">
        <v>0.7</v>
      </c>
      <c r="W3094" s="8">
        <v>0.3</v>
      </c>
      <c r="X3094" s="8">
        <v>50</v>
      </c>
      <c r="Y3094" s="8" t="s">
        <v>266</v>
      </c>
      <c r="Z3094" s="8" t="s">
        <v>267</v>
      </c>
    </row>
    <row r="3095" spans="1:26" x14ac:dyDescent="0.2">
      <c r="A3095" s="8">
        <v>3094</v>
      </c>
      <c r="B3095" s="8" t="s">
        <v>14247</v>
      </c>
      <c r="C3095" s="8" t="s">
        <v>14247</v>
      </c>
      <c r="F3095" s="47"/>
      <c r="G3095" s="8">
        <v>19</v>
      </c>
      <c r="H3095" s="8" t="s">
        <v>21</v>
      </c>
      <c r="I3095" s="8" t="s">
        <v>22</v>
      </c>
      <c r="J3095" s="8" t="s">
        <v>22</v>
      </c>
      <c r="K3095" s="8" t="s">
        <v>154</v>
      </c>
      <c r="L3095" s="8" t="s">
        <v>13194</v>
      </c>
      <c r="M3095" s="8" t="s">
        <v>13195</v>
      </c>
      <c r="N3095" s="8" t="s">
        <v>14248</v>
      </c>
      <c r="O3095" s="8">
        <f>10+1/60+25.9/3600</f>
        <v>10.023861111111112</v>
      </c>
      <c r="P3095" s="8" t="s">
        <v>540</v>
      </c>
      <c r="Q3095" s="8">
        <f>+(15+46/60+12/3600)</f>
        <v>15.770000000000001</v>
      </c>
      <c r="R3095" s="8">
        <v>12.3</v>
      </c>
      <c r="S3095" s="8">
        <v>13.2</v>
      </c>
      <c r="T3095" s="8">
        <v>0.9</v>
      </c>
      <c r="U3095" s="8">
        <v>12.9</v>
      </c>
      <c r="V3095" s="8">
        <v>1.6</v>
      </c>
      <c r="W3095" s="8">
        <v>1.2</v>
      </c>
      <c r="X3095" s="8">
        <v>75</v>
      </c>
      <c r="Y3095" s="8" t="s">
        <v>14249</v>
      </c>
      <c r="Z3095" s="8" t="s">
        <v>14250</v>
      </c>
    </row>
    <row r="3096" spans="1:26" x14ac:dyDescent="0.2">
      <c r="A3096" s="8">
        <v>3095</v>
      </c>
      <c r="B3096" s="8" t="s">
        <v>14251</v>
      </c>
      <c r="C3096" s="8" t="s">
        <v>14251</v>
      </c>
      <c r="F3096" s="47"/>
      <c r="G3096" s="8">
        <v>16</v>
      </c>
      <c r="H3096" s="8" t="s">
        <v>21</v>
      </c>
      <c r="I3096" s="8" t="s">
        <v>22</v>
      </c>
      <c r="J3096" s="8" t="s">
        <v>22</v>
      </c>
      <c r="K3096" s="8" t="s">
        <v>64</v>
      </c>
      <c r="L3096" s="8" t="s">
        <v>13374</v>
      </c>
      <c r="M3096" s="8" t="s">
        <v>13375</v>
      </c>
      <c r="N3096" s="8" t="s">
        <v>14252</v>
      </c>
      <c r="O3096" s="8">
        <f>10+0/60+5.7/3600</f>
        <v>10.001583333333333</v>
      </c>
      <c r="P3096" s="8" t="s">
        <v>14253</v>
      </c>
      <c r="Q3096" s="8">
        <f>-(31+33/60+12/3600)</f>
        <v>-31.553333333333335</v>
      </c>
      <c r="R3096" s="8">
        <v>11.7</v>
      </c>
      <c r="S3096" s="8">
        <v>12.4</v>
      </c>
      <c r="T3096" s="8">
        <v>0.7</v>
      </c>
      <c r="U3096" s="8">
        <v>13.7</v>
      </c>
      <c r="V3096" s="8">
        <v>3.6</v>
      </c>
      <c r="W3096" s="8">
        <v>2</v>
      </c>
      <c r="X3096" s="8">
        <v>126</v>
      </c>
      <c r="Y3096" s="8" t="s">
        <v>14254</v>
      </c>
      <c r="Z3096" s="8" t="s">
        <v>14255</v>
      </c>
    </row>
    <row r="3097" spans="1:26" x14ac:dyDescent="0.2">
      <c r="A3097" s="8">
        <v>3096</v>
      </c>
      <c r="B3097" s="8" t="s">
        <v>14256</v>
      </c>
      <c r="C3097" s="8" t="s">
        <v>14256</v>
      </c>
      <c r="F3097" s="47"/>
      <c r="G3097" s="8">
        <v>16</v>
      </c>
      <c r="H3097" s="8" t="s">
        <v>21</v>
      </c>
      <c r="I3097" s="8" t="s">
        <v>22</v>
      </c>
      <c r="J3097" s="8" t="s">
        <v>22</v>
      </c>
      <c r="K3097" s="8" t="s">
        <v>224</v>
      </c>
      <c r="L3097" s="8" t="s">
        <v>11765</v>
      </c>
      <c r="M3097" s="8" t="s">
        <v>11766</v>
      </c>
      <c r="N3097" s="8" t="s">
        <v>14257</v>
      </c>
      <c r="O3097" s="8">
        <f>10+0/60+33.1/3600</f>
        <v>10.009194444444445</v>
      </c>
      <c r="P3097" s="8" t="s">
        <v>14258</v>
      </c>
      <c r="Q3097" s="8">
        <f>-(19+39/60+44/3600)</f>
        <v>-19.662222222222219</v>
      </c>
      <c r="R3097" s="8">
        <v>13.8</v>
      </c>
      <c r="S3097" s="8">
        <v>14.8</v>
      </c>
      <c r="T3097" s="8">
        <v>1</v>
      </c>
      <c r="U3097" s="8">
        <v>13.4</v>
      </c>
      <c r="V3097" s="8">
        <v>1</v>
      </c>
      <c r="W3097" s="8">
        <v>0.8</v>
      </c>
      <c r="X3097" s="8">
        <v>170</v>
      </c>
      <c r="Y3097" s="8" t="s">
        <v>14259</v>
      </c>
      <c r="Z3097" s="8" t="s">
        <v>14260</v>
      </c>
    </row>
    <row r="3098" spans="1:26" x14ac:dyDescent="0.2">
      <c r="A3098" s="8">
        <v>3097</v>
      </c>
      <c r="B3098" s="8" t="s">
        <v>14261</v>
      </c>
      <c r="C3098" s="8" t="s">
        <v>14261</v>
      </c>
      <c r="F3098" s="47"/>
      <c r="G3098" s="8">
        <v>19</v>
      </c>
      <c r="H3098" s="8" t="s">
        <v>21</v>
      </c>
      <c r="I3098" s="8" t="s">
        <v>72</v>
      </c>
      <c r="J3098" s="8" t="s">
        <v>72</v>
      </c>
      <c r="K3098" s="8" t="s">
        <v>20</v>
      </c>
      <c r="L3098" s="8" t="s">
        <v>12015</v>
      </c>
      <c r="M3098" s="8" t="s">
        <v>12016</v>
      </c>
      <c r="N3098" s="8" t="s">
        <v>14262</v>
      </c>
      <c r="O3098" s="8">
        <f>10+3/60+58.4/3600</f>
        <v>10.066222222222223</v>
      </c>
      <c r="P3098" s="8" t="s">
        <v>14263</v>
      </c>
      <c r="Q3098" s="8">
        <f>+(60+4/60+59/3600)</f>
        <v>60.083055555555561</v>
      </c>
      <c r="R3098" s="8">
        <v>99</v>
      </c>
      <c r="S3098" s="8">
        <v>14.1</v>
      </c>
      <c r="T3098" s="8">
        <v>99</v>
      </c>
      <c r="U3098" s="8">
        <v>99</v>
      </c>
      <c r="Y3098" s="8" t="s">
        <v>14264</v>
      </c>
      <c r="Z3098" s="8" t="s">
        <v>14265</v>
      </c>
    </row>
    <row r="3099" spans="1:26" x14ac:dyDescent="0.2">
      <c r="A3099" s="8">
        <v>3098</v>
      </c>
      <c r="B3099" s="8" t="s">
        <v>14266</v>
      </c>
      <c r="C3099" s="8" t="s">
        <v>14266</v>
      </c>
      <c r="F3099" s="47"/>
      <c r="G3099" s="8">
        <v>13</v>
      </c>
      <c r="H3099" s="8" t="s">
        <v>21</v>
      </c>
      <c r="I3099" s="8" t="s">
        <v>22</v>
      </c>
      <c r="J3099" s="8" t="s">
        <v>22</v>
      </c>
      <c r="K3099" s="8" t="s">
        <v>632</v>
      </c>
      <c r="L3099" s="8" t="s">
        <v>13194</v>
      </c>
      <c r="M3099" s="8" t="s">
        <v>13195</v>
      </c>
      <c r="N3099" s="8" t="s">
        <v>14267</v>
      </c>
      <c r="O3099" s="8">
        <f>10+2/60+16.7/3600</f>
        <v>10.037972222222223</v>
      </c>
      <c r="P3099" s="8" t="s">
        <v>14268</v>
      </c>
      <c r="Q3099" s="8">
        <f>+(24+42/60+41/3600)</f>
        <v>24.711388888888887</v>
      </c>
      <c r="R3099" s="8">
        <v>12</v>
      </c>
      <c r="S3099" s="8">
        <v>12.9</v>
      </c>
      <c r="T3099" s="8">
        <v>0.9</v>
      </c>
      <c r="U3099" s="8">
        <v>12.2</v>
      </c>
      <c r="V3099" s="8">
        <v>2.2000000000000002</v>
      </c>
      <c r="W3099" s="8">
        <v>0.6</v>
      </c>
      <c r="X3099" s="8">
        <v>90</v>
      </c>
      <c r="Y3099" s="8" t="s">
        <v>14269</v>
      </c>
      <c r="Z3099" s="8" t="s">
        <v>14270</v>
      </c>
    </row>
    <row r="3100" spans="1:26" x14ac:dyDescent="0.2">
      <c r="A3100" s="8">
        <v>3099</v>
      </c>
      <c r="B3100" s="8" t="s">
        <v>14271</v>
      </c>
      <c r="C3100" s="8" t="s">
        <v>14271</v>
      </c>
      <c r="D3100" s="8" t="s">
        <v>351</v>
      </c>
      <c r="F3100" s="47" t="s">
        <v>56737</v>
      </c>
      <c r="G3100" s="8">
        <v>15</v>
      </c>
      <c r="H3100" s="8" t="s">
        <v>21</v>
      </c>
      <c r="I3100" s="8" t="s">
        <v>22</v>
      </c>
      <c r="J3100" s="8" t="s">
        <v>22</v>
      </c>
      <c r="K3100" s="8" t="s">
        <v>4743</v>
      </c>
      <c r="L3100" s="8" t="s">
        <v>13179</v>
      </c>
      <c r="M3100" s="8" t="s">
        <v>13180</v>
      </c>
      <c r="N3100" s="8" t="s">
        <v>14272</v>
      </c>
      <c r="O3100" s="8">
        <f>10+2/60+36.5/3600</f>
        <v>10.043472222222222</v>
      </c>
      <c r="P3100" s="8" t="s">
        <v>14273</v>
      </c>
      <c r="Q3100" s="8">
        <f>+(32+42/60+26/3600)</f>
        <v>32.707222222222228</v>
      </c>
      <c r="R3100" s="8">
        <v>13.5</v>
      </c>
      <c r="S3100" s="8">
        <v>14.5</v>
      </c>
      <c r="T3100" s="8">
        <v>1</v>
      </c>
      <c r="U3100" s="8">
        <v>12.3</v>
      </c>
      <c r="V3100" s="8">
        <v>0.6</v>
      </c>
      <c r="W3100" s="8">
        <v>0.5</v>
      </c>
      <c r="Y3100" s="8" t="s">
        <v>745</v>
      </c>
      <c r="Z3100" s="8" t="s">
        <v>746</v>
      </c>
    </row>
    <row r="3101" spans="1:26" x14ac:dyDescent="0.2">
      <c r="A3101" s="8">
        <v>3100</v>
      </c>
      <c r="B3101" s="8" t="s">
        <v>14274</v>
      </c>
      <c r="C3101" s="8" t="s">
        <v>14274</v>
      </c>
      <c r="F3101" s="47"/>
      <c r="G3101" s="8">
        <v>16</v>
      </c>
      <c r="H3101" s="8" t="s">
        <v>21</v>
      </c>
      <c r="I3101" s="8" t="s">
        <v>22</v>
      </c>
      <c r="J3101" s="8" t="s">
        <v>22</v>
      </c>
      <c r="K3101" s="8" t="s">
        <v>224</v>
      </c>
      <c r="L3101" s="8" t="s">
        <v>13374</v>
      </c>
      <c r="M3101" s="8" t="s">
        <v>13375</v>
      </c>
      <c r="N3101" s="8" t="s">
        <v>14275</v>
      </c>
      <c r="O3101" s="8">
        <f>10+0/60+40.8/3600</f>
        <v>10.011333333333333</v>
      </c>
      <c r="P3101" s="8" t="s">
        <v>14276</v>
      </c>
      <c r="Q3101" s="8">
        <f>-(31+39/60+51/3600)</f>
        <v>-31.664166666666667</v>
      </c>
      <c r="R3101" s="8">
        <v>11.1</v>
      </c>
      <c r="S3101" s="8">
        <v>12</v>
      </c>
      <c r="T3101" s="8">
        <v>0.9</v>
      </c>
      <c r="U3101" s="8">
        <v>12.7</v>
      </c>
      <c r="V3101" s="8">
        <v>3.2</v>
      </c>
      <c r="W3101" s="8">
        <v>1.7</v>
      </c>
      <c r="X3101" s="8">
        <v>154</v>
      </c>
      <c r="Y3101" s="8" t="s">
        <v>6452</v>
      </c>
      <c r="Z3101" s="8" t="s">
        <v>6453</v>
      </c>
    </row>
    <row r="3102" spans="1:26" x14ac:dyDescent="0.2">
      <c r="A3102" s="8">
        <v>3101</v>
      </c>
      <c r="B3102" s="8" t="s">
        <v>14277</v>
      </c>
      <c r="C3102" s="8" t="s">
        <v>14277</v>
      </c>
      <c r="F3102" s="47"/>
      <c r="G3102" s="8">
        <v>18</v>
      </c>
      <c r="H3102" s="8" t="s">
        <v>21</v>
      </c>
      <c r="I3102" s="8" t="s">
        <v>22</v>
      </c>
      <c r="J3102" s="8" t="s">
        <v>22</v>
      </c>
      <c r="K3102" s="8" t="s">
        <v>91</v>
      </c>
      <c r="L3102" s="8" t="s">
        <v>12234</v>
      </c>
      <c r="M3102" s="8" t="s">
        <v>12235</v>
      </c>
      <c r="N3102" s="8" t="s">
        <v>14278</v>
      </c>
      <c r="O3102" s="8">
        <f>10+1/60+35.5/3600</f>
        <v>10.026527777777778</v>
      </c>
      <c r="P3102" s="8" t="s">
        <v>14279</v>
      </c>
      <c r="Q3102" s="8">
        <f>-(2+59/60+41/3600)</f>
        <v>-2.9947222222222223</v>
      </c>
      <c r="R3102" s="8">
        <v>14.4</v>
      </c>
      <c r="S3102" s="8">
        <v>15.3</v>
      </c>
      <c r="T3102" s="8">
        <v>0.9</v>
      </c>
      <c r="U3102" s="8">
        <v>12.9</v>
      </c>
      <c r="V3102" s="8">
        <v>1.2</v>
      </c>
      <c r="W3102" s="8">
        <v>0.3</v>
      </c>
      <c r="X3102" s="8">
        <v>150</v>
      </c>
      <c r="Y3102" s="8" t="s">
        <v>47</v>
      </c>
      <c r="Z3102" s="8" t="s">
        <v>48</v>
      </c>
    </row>
    <row r="3103" spans="1:26" x14ac:dyDescent="0.2">
      <c r="A3103" s="8">
        <v>3102</v>
      </c>
      <c r="B3103" s="8" t="s">
        <v>14280</v>
      </c>
      <c r="C3103" s="8" t="s">
        <v>14280</v>
      </c>
      <c r="F3103" s="47" t="s">
        <v>56738</v>
      </c>
      <c r="G3103" s="8">
        <v>15</v>
      </c>
      <c r="H3103" s="8" t="s">
        <v>21</v>
      </c>
      <c r="I3103" s="8" t="s">
        <v>22</v>
      </c>
      <c r="J3103" s="8" t="s">
        <v>22</v>
      </c>
      <c r="K3103" s="8" t="s">
        <v>58</v>
      </c>
      <c r="L3103" s="8" t="s">
        <v>12015</v>
      </c>
      <c r="M3103" s="8" t="s">
        <v>12016</v>
      </c>
      <c r="N3103" s="8" t="s">
        <v>14281</v>
      </c>
      <c r="O3103" s="8">
        <f>10+4/60+31.7/3600</f>
        <v>10.075472222222222</v>
      </c>
      <c r="P3103" s="8" t="s">
        <v>14282</v>
      </c>
      <c r="Q3103" s="8">
        <f>+(60+6/60+28/3600)</f>
        <v>60.107777777777777</v>
      </c>
      <c r="R3103" s="8">
        <v>13.3</v>
      </c>
      <c r="S3103" s="8">
        <v>14.3</v>
      </c>
      <c r="T3103" s="8">
        <v>1</v>
      </c>
      <c r="U3103" s="8">
        <v>13.1</v>
      </c>
      <c r="V3103" s="8">
        <v>0.9</v>
      </c>
      <c r="W3103" s="8">
        <v>0.9</v>
      </c>
      <c r="Y3103" s="8" t="s">
        <v>14283</v>
      </c>
      <c r="Z3103" s="8" t="s">
        <v>14284</v>
      </c>
    </row>
    <row r="3104" spans="1:26" x14ac:dyDescent="0.2">
      <c r="A3104" s="8">
        <v>3103</v>
      </c>
      <c r="B3104" s="8" t="s">
        <v>14285</v>
      </c>
      <c r="C3104" s="8" t="s">
        <v>14285</v>
      </c>
      <c r="F3104" s="47"/>
      <c r="G3104" s="8">
        <v>19</v>
      </c>
      <c r="H3104" s="8" t="s">
        <v>21</v>
      </c>
      <c r="I3104" s="8" t="s">
        <v>22</v>
      </c>
      <c r="J3104" s="8" t="s">
        <v>57</v>
      </c>
      <c r="K3104" s="8" t="s">
        <v>224</v>
      </c>
      <c r="L3104" s="8" t="s">
        <v>13374</v>
      </c>
      <c r="M3104" s="8" t="s">
        <v>13375</v>
      </c>
      <c r="N3104" s="8" t="s">
        <v>14275</v>
      </c>
      <c r="O3104" s="8">
        <f>10+0/60+40.8/3600</f>
        <v>10.011333333333333</v>
      </c>
      <c r="P3104" s="8" t="s">
        <v>14276</v>
      </c>
      <c r="Q3104" s="8">
        <f>-(31+39/60+51/3600)</f>
        <v>-31.664166666666667</v>
      </c>
      <c r="R3104" s="8">
        <v>11.1</v>
      </c>
      <c r="S3104" s="8">
        <v>12</v>
      </c>
      <c r="T3104" s="8">
        <v>0.9</v>
      </c>
      <c r="U3104" s="8">
        <v>12.7</v>
      </c>
      <c r="V3104" s="8">
        <v>3.2</v>
      </c>
      <c r="W3104" s="8">
        <v>1.7</v>
      </c>
      <c r="X3104" s="8">
        <v>154</v>
      </c>
      <c r="Y3104" s="8" t="s">
        <v>6452</v>
      </c>
      <c r="Z3104" s="8" t="s">
        <v>2735</v>
      </c>
    </row>
    <row r="3105" spans="1:26" x14ac:dyDescent="0.2">
      <c r="A3105" s="8">
        <v>3104</v>
      </c>
      <c r="B3105" s="8" t="s">
        <v>14286</v>
      </c>
      <c r="C3105" s="8" t="s">
        <v>14286</v>
      </c>
      <c r="F3105" s="47" t="s">
        <v>56739</v>
      </c>
      <c r="G3105" s="8">
        <v>15</v>
      </c>
      <c r="H3105" s="8" t="s">
        <v>21</v>
      </c>
      <c r="I3105" s="8" t="s">
        <v>22</v>
      </c>
      <c r="J3105" s="8" t="s">
        <v>22</v>
      </c>
      <c r="K3105" s="8" t="s">
        <v>107</v>
      </c>
      <c r="L3105" s="8" t="s">
        <v>13179</v>
      </c>
      <c r="M3105" s="8" t="s">
        <v>13180</v>
      </c>
      <c r="N3105" s="8" t="s">
        <v>14287</v>
      </c>
      <c r="O3105" s="8">
        <f>10+3/60+57.1/3600</f>
        <v>10.065861111111111</v>
      </c>
      <c r="P3105" s="8" t="s">
        <v>14288</v>
      </c>
      <c r="Q3105" s="8">
        <f>+(40+45/60+26/3600)</f>
        <v>40.757222222222225</v>
      </c>
      <c r="R3105" s="8">
        <v>13.2</v>
      </c>
      <c r="S3105" s="8">
        <v>13.8</v>
      </c>
      <c r="T3105" s="8">
        <v>0.6</v>
      </c>
      <c r="U3105" s="8">
        <v>15.2</v>
      </c>
      <c r="V3105" s="8">
        <v>3.3</v>
      </c>
      <c r="W3105" s="8">
        <v>2.2000000000000002</v>
      </c>
      <c r="X3105" s="8">
        <v>35</v>
      </c>
      <c r="Y3105" s="8" t="s">
        <v>14289</v>
      </c>
      <c r="Z3105" s="8" t="s">
        <v>14290</v>
      </c>
    </row>
    <row r="3106" spans="1:26" x14ac:dyDescent="0.2">
      <c r="A3106" s="8">
        <v>3105</v>
      </c>
      <c r="B3106" s="8" t="s">
        <v>14291</v>
      </c>
      <c r="C3106" s="8" t="s">
        <v>14291</v>
      </c>
      <c r="F3106" s="47"/>
      <c r="G3106" s="8">
        <v>13</v>
      </c>
      <c r="H3106" s="8" t="s">
        <v>21</v>
      </c>
      <c r="I3106" s="8" t="s">
        <v>557</v>
      </c>
      <c r="J3106" s="8" t="s">
        <v>557</v>
      </c>
      <c r="K3106" s="8" t="s">
        <v>3082</v>
      </c>
      <c r="L3106" s="8" t="s">
        <v>11757</v>
      </c>
      <c r="M3106" s="8" t="s">
        <v>11758</v>
      </c>
      <c r="N3106" s="8" t="s">
        <v>14292</v>
      </c>
      <c r="O3106" s="8">
        <f>10+0/60+39.5/3600</f>
        <v>10.010972222222222</v>
      </c>
      <c r="P3106" s="8" t="s">
        <v>14293</v>
      </c>
      <c r="Q3106" s="8">
        <f>-(54+47/60+15/3600)</f>
        <v>-54.787500000000001</v>
      </c>
      <c r="R3106" s="8">
        <v>9.6999999999999993</v>
      </c>
      <c r="S3106" s="8">
        <v>99</v>
      </c>
      <c r="T3106" s="8">
        <v>99</v>
      </c>
      <c r="U3106" s="8">
        <v>99</v>
      </c>
      <c r="V3106" s="8">
        <v>2</v>
      </c>
      <c r="Y3106" s="8" t="s">
        <v>14294</v>
      </c>
      <c r="Z3106" s="8" t="s">
        <v>14295</v>
      </c>
    </row>
    <row r="3107" spans="1:26" x14ac:dyDescent="0.2">
      <c r="A3107" s="8">
        <v>3106</v>
      </c>
      <c r="B3107" s="8" t="s">
        <v>14296</v>
      </c>
      <c r="C3107" s="8" t="s">
        <v>14296</v>
      </c>
      <c r="F3107" s="47" t="s">
        <v>56740</v>
      </c>
      <c r="G3107" s="8">
        <v>15</v>
      </c>
      <c r="H3107" s="8" t="s">
        <v>21</v>
      </c>
      <c r="I3107" s="8" t="s">
        <v>22</v>
      </c>
      <c r="J3107" s="8" t="s">
        <v>22</v>
      </c>
      <c r="K3107" s="8" t="s">
        <v>37</v>
      </c>
      <c r="L3107" s="8" t="s">
        <v>13179</v>
      </c>
      <c r="M3107" s="8" t="s">
        <v>13180</v>
      </c>
      <c r="N3107" s="8" t="s">
        <v>14297</v>
      </c>
      <c r="O3107" s="8">
        <f>10+4/60+5.2/3600</f>
        <v>10.068111111111111</v>
      </c>
      <c r="P3107" s="8" t="s">
        <v>14298</v>
      </c>
      <c r="Q3107" s="8">
        <f>+(31+11/60+9/3600)</f>
        <v>31.185833333333335</v>
      </c>
      <c r="R3107" s="8">
        <v>12.4</v>
      </c>
      <c r="S3107" s="8">
        <v>13.3</v>
      </c>
      <c r="T3107" s="8">
        <v>0.9</v>
      </c>
      <c r="U3107" s="8">
        <v>13.5</v>
      </c>
      <c r="V3107" s="8">
        <v>1.8</v>
      </c>
      <c r="W3107" s="8">
        <v>1.8</v>
      </c>
      <c r="Y3107" s="8" t="s">
        <v>337</v>
      </c>
      <c r="Z3107" s="8" t="s">
        <v>338</v>
      </c>
    </row>
    <row r="3108" spans="1:26" x14ac:dyDescent="0.2">
      <c r="A3108" s="8">
        <v>3107</v>
      </c>
      <c r="B3108" s="8" t="s">
        <v>14299</v>
      </c>
      <c r="C3108" s="8" t="s">
        <v>14299</v>
      </c>
      <c r="F3108" s="47" t="s">
        <v>56741</v>
      </c>
      <c r="G3108" s="8">
        <v>6.5</v>
      </c>
      <c r="H3108" s="8" t="s">
        <v>21</v>
      </c>
      <c r="I3108" s="8" t="s">
        <v>22</v>
      </c>
      <c r="J3108" s="8" t="s">
        <v>22</v>
      </c>
      <c r="K3108" s="8" t="s">
        <v>396</v>
      </c>
      <c r="L3108" s="8" t="s">
        <v>13194</v>
      </c>
      <c r="M3108" s="8" t="s">
        <v>13195</v>
      </c>
      <c r="N3108" s="8" t="s">
        <v>14300</v>
      </c>
      <c r="O3108" s="8">
        <f>10+4/60+22.4/3600</f>
        <v>10.072888888888889</v>
      </c>
      <c r="P3108" s="8" t="s">
        <v>14301</v>
      </c>
      <c r="Q3108" s="8">
        <f>+(13+37/60+19/3600)</f>
        <v>13.621944444444445</v>
      </c>
      <c r="R3108" s="8">
        <v>13.4</v>
      </c>
      <c r="S3108" s="8">
        <v>14.2</v>
      </c>
      <c r="T3108" s="8">
        <v>0.8</v>
      </c>
      <c r="U3108" s="8">
        <v>12.3</v>
      </c>
      <c r="V3108" s="8">
        <v>0.7</v>
      </c>
      <c r="W3108" s="8">
        <v>0.6</v>
      </c>
      <c r="X3108" s="8">
        <v>140</v>
      </c>
      <c r="Y3108" s="8" t="s">
        <v>14302</v>
      </c>
      <c r="Z3108" s="8" t="s">
        <v>14303</v>
      </c>
    </row>
    <row r="3109" spans="1:26" x14ac:dyDescent="0.2">
      <c r="A3109" s="8">
        <v>3108</v>
      </c>
      <c r="B3109" s="8" t="s">
        <v>14304</v>
      </c>
      <c r="C3109" s="8" t="s">
        <v>14304</v>
      </c>
      <c r="F3109" s="47"/>
      <c r="G3109" s="8">
        <v>16</v>
      </c>
      <c r="H3109" s="8" t="s">
        <v>21</v>
      </c>
      <c r="I3109" s="8" t="s">
        <v>22</v>
      </c>
      <c r="J3109" s="8" t="s">
        <v>22</v>
      </c>
      <c r="K3109" s="8" t="s">
        <v>632</v>
      </c>
      <c r="L3109" s="8" t="s">
        <v>13374</v>
      </c>
      <c r="M3109" s="8" t="s">
        <v>13375</v>
      </c>
      <c r="N3109" s="8" t="s">
        <v>14305</v>
      </c>
      <c r="O3109" s="8">
        <f>10+2/60+29.1/3600</f>
        <v>10.041416666666667</v>
      </c>
      <c r="P3109" s="8" t="s">
        <v>14306</v>
      </c>
      <c r="Q3109" s="8">
        <f>-(31+40/60+33/3600)</f>
        <v>-31.675833333333333</v>
      </c>
      <c r="R3109" s="8">
        <v>11.8</v>
      </c>
      <c r="S3109" s="8">
        <v>12.8</v>
      </c>
      <c r="T3109" s="8">
        <v>1</v>
      </c>
      <c r="U3109" s="8">
        <v>13.3</v>
      </c>
      <c r="V3109" s="8">
        <v>2.5</v>
      </c>
      <c r="W3109" s="8">
        <v>1.8</v>
      </c>
      <c r="X3109" s="8">
        <v>110</v>
      </c>
      <c r="Y3109" s="8" t="s">
        <v>1837</v>
      </c>
      <c r="Z3109" s="8" t="s">
        <v>1838</v>
      </c>
    </row>
    <row r="3110" spans="1:26" x14ac:dyDescent="0.2">
      <c r="A3110" s="8">
        <v>3109</v>
      </c>
      <c r="B3110" s="8" t="s">
        <v>14307</v>
      </c>
      <c r="C3110" s="8" t="s">
        <v>14307</v>
      </c>
      <c r="F3110" s="47"/>
      <c r="G3110" s="8">
        <v>7</v>
      </c>
      <c r="H3110" s="8" t="s">
        <v>21</v>
      </c>
      <c r="I3110" s="8" t="s">
        <v>22</v>
      </c>
      <c r="J3110" s="8" t="s">
        <v>22</v>
      </c>
      <c r="K3110" s="8" t="s">
        <v>323</v>
      </c>
      <c r="L3110" s="8" t="s">
        <v>11765</v>
      </c>
      <c r="M3110" s="8" t="s">
        <v>11766</v>
      </c>
      <c r="N3110" s="8" t="s">
        <v>14308</v>
      </c>
      <c r="O3110" s="8">
        <f>10+3/60+6.6/3600</f>
        <v>10.051833333333335</v>
      </c>
      <c r="P3110" s="8" t="s">
        <v>14309</v>
      </c>
      <c r="Q3110" s="8">
        <f>-(26+9/60+30/3600)</f>
        <v>-26.158333333333331</v>
      </c>
      <c r="R3110" s="8">
        <v>9.9</v>
      </c>
      <c r="S3110" s="8">
        <v>10.4</v>
      </c>
      <c r="T3110" s="8">
        <v>0.5</v>
      </c>
      <c r="U3110" s="8">
        <v>14.3</v>
      </c>
      <c r="V3110" s="8">
        <v>19.100000000000001</v>
      </c>
      <c r="W3110" s="8">
        <v>3.7</v>
      </c>
      <c r="X3110" s="8">
        <v>93</v>
      </c>
      <c r="Y3110" s="8" t="s">
        <v>14310</v>
      </c>
      <c r="Z3110" s="8" t="s">
        <v>14311</v>
      </c>
    </row>
    <row r="3111" spans="1:26" x14ac:dyDescent="0.2">
      <c r="A3111" s="8">
        <v>3110</v>
      </c>
      <c r="B3111" s="8" t="s">
        <v>14312</v>
      </c>
      <c r="C3111" s="8" t="s">
        <v>14312</v>
      </c>
      <c r="F3111" s="47"/>
      <c r="G3111" s="8">
        <v>12</v>
      </c>
      <c r="H3111" s="8" t="s">
        <v>21</v>
      </c>
      <c r="I3111" s="8" t="s">
        <v>22</v>
      </c>
      <c r="J3111" s="8" t="s">
        <v>57</v>
      </c>
      <c r="K3111" s="8" t="s">
        <v>23</v>
      </c>
      <c r="L3111" s="8" t="s">
        <v>12234</v>
      </c>
      <c r="M3111" s="8" t="s">
        <v>12235</v>
      </c>
      <c r="N3111" s="8" t="s">
        <v>14313</v>
      </c>
      <c r="O3111" s="8">
        <f>10+4/60+1.9/3600</f>
        <v>10.067194444444445</v>
      </c>
      <c r="P3111" s="8" t="s">
        <v>14314</v>
      </c>
      <c r="Q3111" s="8">
        <f>-(6+28/60+29/3600)</f>
        <v>-6.4747222222222227</v>
      </c>
      <c r="R3111" s="8">
        <v>12.2</v>
      </c>
      <c r="S3111" s="8">
        <v>13</v>
      </c>
      <c r="T3111" s="8">
        <v>0.8</v>
      </c>
      <c r="U3111" s="8">
        <v>12.1</v>
      </c>
      <c r="V3111" s="8">
        <v>1.6</v>
      </c>
      <c r="W3111" s="8">
        <v>0.8</v>
      </c>
      <c r="X3111" s="8">
        <v>162</v>
      </c>
      <c r="Y3111" s="8" t="s">
        <v>14315</v>
      </c>
      <c r="Z3111" s="8" t="s">
        <v>14316</v>
      </c>
    </row>
    <row r="3112" spans="1:26" x14ac:dyDescent="0.2">
      <c r="A3112" s="8">
        <v>3111</v>
      </c>
      <c r="B3112" s="8" t="s">
        <v>14317</v>
      </c>
      <c r="C3112" s="8" t="s">
        <v>14317</v>
      </c>
      <c r="F3112" s="47"/>
      <c r="G3112" s="8">
        <v>16</v>
      </c>
      <c r="H3112" s="8" t="s">
        <v>21</v>
      </c>
      <c r="I3112" s="8" t="s">
        <v>22</v>
      </c>
      <c r="J3112" s="8" t="s">
        <v>22</v>
      </c>
      <c r="K3112" s="8" t="s">
        <v>58</v>
      </c>
      <c r="L3112" s="8" t="s">
        <v>12015</v>
      </c>
      <c r="M3112" s="8" t="s">
        <v>12016</v>
      </c>
      <c r="N3112" s="8" t="s">
        <v>14318</v>
      </c>
      <c r="O3112" s="8">
        <f>10+6/60+7.4/3600</f>
        <v>10.102055555555555</v>
      </c>
      <c r="P3112" s="8" t="s">
        <v>14319</v>
      </c>
      <c r="Q3112" s="8">
        <f>+(47+15/60+47/3600)</f>
        <v>47.263055555555553</v>
      </c>
      <c r="R3112" s="8">
        <v>13</v>
      </c>
      <c r="S3112" s="8">
        <v>14</v>
      </c>
      <c r="T3112" s="8">
        <v>1</v>
      </c>
      <c r="U3112" s="8">
        <v>12.5</v>
      </c>
      <c r="V3112" s="8">
        <v>0.9</v>
      </c>
      <c r="W3112" s="8">
        <v>0.8</v>
      </c>
      <c r="X3112" s="8">
        <v>144</v>
      </c>
      <c r="Y3112" s="8" t="s">
        <v>14320</v>
      </c>
      <c r="Z3112" s="8" t="s">
        <v>14321</v>
      </c>
    </row>
    <row r="3113" spans="1:26" x14ac:dyDescent="0.2">
      <c r="A3113" s="8">
        <v>3112</v>
      </c>
      <c r="B3113" s="8" t="s">
        <v>14322</v>
      </c>
      <c r="C3113" s="8" t="s">
        <v>14322</v>
      </c>
      <c r="F3113" s="47"/>
      <c r="G3113" s="8">
        <v>19</v>
      </c>
      <c r="H3113" s="8" t="s">
        <v>21</v>
      </c>
      <c r="I3113" s="8" t="s">
        <v>22</v>
      </c>
      <c r="J3113" s="8" t="s">
        <v>22</v>
      </c>
      <c r="K3113" s="8" t="s">
        <v>396</v>
      </c>
      <c r="L3113" s="8" t="s">
        <v>11765</v>
      </c>
      <c r="M3113" s="8" t="s">
        <v>11766</v>
      </c>
      <c r="N3113" s="8" t="s">
        <v>14323</v>
      </c>
      <c r="O3113" s="8">
        <f>10+3/60+59/3600</f>
        <v>10.066388888888889</v>
      </c>
      <c r="P3113" s="8" t="s">
        <v>14324</v>
      </c>
      <c r="Q3113" s="8">
        <f>-(20+46/60+56/3600)</f>
        <v>-20.78222222222222</v>
      </c>
      <c r="R3113" s="8">
        <v>15.2</v>
      </c>
      <c r="S3113" s="8">
        <v>16</v>
      </c>
      <c r="T3113" s="8">
        <v>0.8</v>
      </c>
      <c r="U3113" s="8">
        <v>13.3</v>
      </c>
      <c r="V3113" s="8">
        <v>1</v>
      </c>
      <c r="W3113" s="8">
        <v>0.2</v>
      </c>
      <c r="X3113" s="8">
        <v>47</v>
      </c>
      <c r="Y3113" s="8" t="s">
        <v>14325</v>
      </c>
      <c r="Z3113" s="8" t="s">
        <v>14326</v>
      </c>
    </row>
    <row r="3114" spans="1:26" x14ac:dyDescent="0.2">
      <c r="A3114" s="8">
        <v>3113</v>
      </c>
      <c r="B3114" s="8" t="s">
        <v>14327</v>
      </c>
      <c r="C3114" s="8" t="s">
        <v>14327</v>
      </c>
      <c r="F3114" s="47"/>
      <c r="G3114" s="8">
        <v>16</v>
      </c>
      <c r="H3114" s="8" t="s">
        <v>21</v>
      </c>
      <c r="I3114" s="8" t="s">
        <v>22</v>
      </c>
      <c r="J3114" s="8" t="s">
        <v>22</v>
      </c>
      <c r="K3114" s="8" t="s">
        <v>1277</v>
      </c>
      <c r="L3114" s="8" t="s">
        <v>13374</v>
      </c>
      <c r="M3114" s="8" t="s">
        <v>13375</v>
      </c>
      <c r="N3114" s="8" t="s">
        <v>14328</v>
      </c>
      <c r="O3114" s="8">
        <f>10+4/60+26/3600</f>
        <v>10.073888888888888</v>
      </c>
      <c r="P3114" s="8" t="s">
        <v>14329</v>
      </c>
      <c r="Q3114" s="8">
        <f>-(28+26/60+41/3600)</f>
        <v>-28.444722222222222</v>
      </c>
      <c r="R3114" s="8">
        <v>12.5</v>
      </c>
      <c r="S3114" s="8">
        <v>13.2</v>
      </c>
      <c r="T3114" s="8">
        <v>0.7</v>
      </c>
      <c r="U3114" s="8">
        <v>13.9</v>
      </c>
      <c r="V3114" s="8">
        <v>3.3</v>
      </c>
      <c r="W3114" s="8">
        <v>1.1000000000000001</v>
      </c>
      <c r="X3114" s="8">
        <v>87</v>
      </c>
      <c r="Y3114" s="8" t="s">
        <v>14330</v>
      </c>
      <c r="Z3114" s="8" t="s">
        <v>14331</v>
      </c>
    </row>
    <row r="3115" spans="1:26" x14ac:dyDescent="0.2">
      <c r="A3115" s="8">
        <v>3114</v>
      </c>
      <c r="B3115" s="8" t="s">
        <v>14332</v>
      </c>
      <c r="C3115" s="8" t="s">
        <v>14332</v>
      </c>
      <c r="F3115" s="47"/>
      <c r="G3115" s="8">
        <v>5</v>
      </c>
      <c r="H3115" s="8" t="s">
        <v>14333</v>
      </c>
      <c r="I3115" s="8" t="s">
        <v>557</v>
      </c>
      <c r="J3115" s="8" t="s">
        <v>557</v>
      </c>
      <c r="K3115" s="8" t="s">
        <v>2951</v>
      </c>
      <c r="L3115" s="8" t="s">
        <v>10135</v>
      </c>
      <c r="M3115" s="8" t="s">
        <v>10136</v>
      </c>
      <c r="N3115" s="8" t="s">
        <v>14334</v>
      </c>
      <c r="O3115" s="8">
        <f>10+2/60+36/3600</f>
        <v>10.043333333333333</v>
      </c>
      <c r="P3115" s="8" t="s">
        <v>14335</v>
      </c>
      <c r="Q3115" s="8">
        <f>-(60+6/60+0/3600)</f>
        <v>-60.1</v>
      </c>
      <c r="R3115" s="8">
        <v>4.2</v>
      </c>
      <c r="S3115" s="8">
        <v>99</v>
      </c>
      <c r="T3115" s="8">
        <v>99</v>
      </c>
      <c r="U3115" s="8">
        <v>99</v>
      </c>
      <c r="V3115" s="8">
        <v>35</v>
      </c>
      <c r="Y3115" s="8" t="s">
        <v>14336</v>
      </c>
      <c r="Z3115" s="8" t="s">
        <v>14337</v>
      </c>
    </row>
    <row r="3116" spans="1:26" x14ac:dyDescent="0.2">
      <c r="A3116" s="8">
        <v>3115</v>
      </c>
      <c r="B3116" s="8" t="s">
        <v>14338</v>
      </c>
      <c r="C3116" s="8" t="s">
        <v>14338</v>
      </c>
      <c r="F3116" s="47" t="s">
        <v>56742</v>
      </c>
      <c r="G3116" s="8">
        <v>2</v>
      </c>
      <c r="H3116" s="8" t="s">
        <v>12400</v>
      </c>
      <c r="I3116" s="8" t="s">
        <v>22</v>
      </c>
      <c r="J3116" s="8" t="s">
        <v>22</v>
      </c>
      <c r="K3116" s="8" t="s">
        <v>58</v>
      </c>
      <c r="L3116" s="8" t="s">
        <v>12234</v>
      </c>
      <c r="M3116" s="8" t="s">
        <v>12235</v>
      </c>
      <c r="N3116" s="8" t="s">
        <v>14339</v>
      </c>
      <c r="O3116" s="8">
        <f>10+5/60+14.1/3600</f>
        <v>10.087250000000001</v>
      </c>
      <c r="P3116" s="8" t="s">
        <v>14340</v>
      </c>
      <c r="Q3116" s="8">
        <f>-(7+43/60+5/3600)</f>
        <v>-7.7180555555555559</v>
      </c>
      <c r="R3116" s="8">
        <v>8.9</v>
      </c>
      <c r="S3116" s="8">
        <v>9.9</v>
      </c>
      <c r="T3116" s="8">
        <v>1</v>
      </c>
      <c r="U3116" s="8">
        <v>11.9</v>
      </c>
      <c r="V3116" s="8">
        <v>7.2</v>
      </c>
      <c r="W3116" s="8">
        <v>2.4</v>
      </c>
      <c r="X3116" s="8">
        <v>40</v>
      </c>
      <c r="Y3116" s="8" t="s">
        <v>14341</v>
      </c>
      <c r="Z3116" s="8" t="s">
        <v>14342</v>
      </c>
    </row>
    <row r="3117" spans="1:26" x14ac:dyDescent="0.2">
      <c r="A3117" s="8">
        <v>3116</v>
      </c>
      <c r="B3117" s="8" t="s">
        <v>14343</v>
      </c>
      <c r="C3117" s="8" t="s">
        <v>14343</v>
      </c>
      <c r="F3117" s="47"/>
      <c r="G3117" s="8">
        <v>19</v>
      </c>
      <c r="H3117" s="8" t="s">
        <v>21</v>
      </c>
      <c r="I3117" s="8" t="s">
        <v>22</v>
      </c>
      <c r="J3117" s="8" t="s">
        <v>22</v>
      </c>
      <c r="K3117" s="8" t="s">
        <v>460</v>
      </c>
      <c r="L3117" s="8" t="s">
        <v>13179</v>
      </c>
      <c r="M3117" s="8" t="s">
        <v>13180</v>
      </c>
      <c r="N3117" s="8" t="s">
        <v>14344</v>
      </c>
      <c r="O3117" s="8">
        <f>10+6/60+45/3600</f>
        <v>10.112499999999999</v>
      </c>
      <c r="P3117" s="8" t="s">
        <v>14345</v>
      </c>
      <c r="Q3117" s="8">
        <f>+(31+5/60+54/3600)</f>
        <v>31.098333333333333</v>
      </c>
      <c r="R3117" s="8">
        <v>14.5</v>
      </c>
      <c r="S3117" s="8">
        <v>15.5</v>
      </c>
      <c r="T3117" s="8">
        <v>1</v>
      </c>
      <c r="U3117" s="8">
        <v>12.6</v>
      </c>
      <c r="V3117" s="8">
        <v>0.4</v>
      </c>
      <c r="W3117" s="8">
        <v>0.4</v>
      </c>
      <c r="Y3117" s="8" t="s">
        <v>14346</v>
      </c>
      <c r="Z3117" s="8" t="s">
        <v>14347</v>
      </c>
    </row>
    <row r="3118" spans="1:26" x14ac:dyDescent="0.2">
      <c r="A3118" s="8">
        <v>3117</v>
      </c>
      <c r="B3118" s="8" t="s">
        <v>14348</v>
      </c>
      <c r="C3118" s="8" t="s">
        <v>14348</v>
      </c>
      <c r="F3118" s="47"/>
      <c r="G3118" s="8">
        <v>19</v>
      </c>
      <c r="H3118" s="8" t="s">
        <v>21</v>
      </c>
      <c r="I3118" s="8" t="s">
        <v>22</v>
      </c>
      <c r="J3118" s="8" t="s">
        <v>22</v>
      </c>
      <c r="K3118" s="8" t="s">
        <v>460</v>
      </c>
      <c r="L3118" s="8" t="s">
        <v>12234</v>
      </c>
      <c r="M3118" s="8" t="s">
        <v>12235</v>
      </c>
      <c r="N3118" s="8" t="s">
        <v>14349</v>
      </c>
      <c r="O3118" s="8">
        <f>10+6/60+10.4/3600</f>
        <v>10.102888888888888</v>
      </c>
      <c r="P3118" s="8" t="s">
        <v>14350</v>
      </c>
      <c r="Q3118" s="8">
        <f>+(2+54/60+48/3600)</f>
        <v>2.9133333333333331</v>
      </c>
      <c r="R3118" s="8">
        <v>13.3</v>
      </c>
      <c r="S3118" s="8">
        <v>14.3</v>
      </c>
      <c r="T3118" s="8">
        <v>1</v>
      </c>
      <c r="U3118" s="8">
        <v>13.4</v>
      </c>
      <c r="V3118" s="8">
        <v>1</v>
      </c>
      <c r="W3118" s="8">
        <v>1</v>
      </c>
      <c r="Y3118" s="8" t="s">
        <v>14351</v>
      </c>
      <c r="Z3118" s="8" t="s">
        <v>14352</v>
      </c>
    </row>
    <row r="3119" spans="1:26" x14ac:dyDescent="0.2">
      <c r="A3119" s="8">
        <v>3118</v>
      </c>
      <c r="B3119" s="8" t="s">
        <v>14353</v>
      </c>
      <c r="C3119" s="8" t="s">
        <v>14353</v>
      </c>
      <c r="F3119" s="47"/>
      <c r="G3119" s="8">
        <v>19</v>
      </c>
      <c r="H3119" s="8" t="s">
        <v>21</v>
      </c>
      <c r="I3119" s="8" t="s">
        <v>22</v>
      </c>
      <c r="J3119" s="8" t="s">
        <v>22</v>
      </c>
      <c r="K3119" s="8" t="s">
        <v>396</v>
      </c>
      <c r="L3119" s="8" t="s">
        <v>13179</v>
      </c>
      <c r="M3119" s="8" t="s">
        <v>13180</v>
      </c>
      <c r="N3119" s="8" t="s">
        <v>14354</v>
      </c>
      <c r="O3119" s="8">
        <f>10+7/60+11.4/3600</f>
        <v>10.119833333333334</v>
      </c>
      <c r="P3119" s="8" t="s">
        <v>14355</v>
      </c>
      <c r="Q3119" s="8">
        <f>+(33+1/60+38/3600)</f>
        <v>33.027222222222221</v>
      </c>
      <c r="R3119" s="8">
        <v>13.5</v>
      </c>
      <c r="S3119" s="8">
        <v>14.3</v>
      </c>
      <c r="T3119" s="8">
        <v>0.8</v>
      </c>
      <c r="U3119" s="8">
        <v>13.4</v>
      </c>
      <c r="V3119" s="8">
        <v>2.5</v>
      </c>
      <c r="W3119" s="8">
        <v>0.4</v>
      </c>
      <c r="X3119" s="8">
        <v>41</v>
      </c>
      <c r="Y3119" s="8" t="s">
        <v>14356</v>
      </c>
      <c r="Z3119" s="8" t="s">
        <v>14357</v>
      </c>
    </row>
    <row r="3120" spans="1:26" x14ac:dyDescent="0.2">
      <c r="A3120" s="8">
        <v>3119</v>
      </c>
      <c r="B3120" s="8" t="s">
        <v>14358</v>
      </c>
      <c r="C3120" s="8" t="s">
        <v>14358</v>
      </c>
      <c r="F3120" s="47"/>
      <c r="G3120" s="8">
        <v>18</v>
      </c>
      <c r="H3120" s="8" t="s">
        <v>21</v>
      </c>
      <c r="I3120" s="8" t="s">
        <v>22</v>
      </c>
      <c r="J3120" s="8" t="s">
        <v>22</v>
      </c>
      <c r="K3120" s="8" t="s">
        <v>424</v>
      </c>
      <c r="L3120" s="8" t="s">
        <v>13194</v>
      </c>
      <c r="M3120" s="8" t="s">
        <v>13195</v>
      </c>
      <c r="N3120" s="8" t="s">
        <v>14359</v>
      </c>
      <c r="O3120" s="8">
        <f>10+6/60+47.8/3600</f>
        <v>10.113277777777778</v>
      </c>
      <c r="P3120" s="8" t="s">
        <v>14360</v>
      </c>
      <c r="Q3120" s="8">
        <f>+(14+18/60+20/3600)</f>
        <v>14.305555555555557</v>
      </c>
      <c r="R3120" s="8">
        <v>14.4</v>
      </c>
      <c r="S3120" s="8">
        <v>15.4</v>
      </c>
      <c r="T3120" s="8">
        <v>1</v>
      </c>
      <c r="U3120" s="8">
        <v>12.7</v>
      </c>
      <c r="V3120" s="8">
        <v>0.5</v>
      </c>
      <c r="W3120" s="8">
        <v>0.5</v>
      </c>
      <c r="Y3120" s="8" t="s">
        <v>297</v>
      </c>
      <c r="Z3120" s="8" t="s">
        <v>298</v>
      </c>
    </row>
    <row r="3121" spans="1:26" x14ac:dyDescent="0.2">
      <c r="A3121" s="8">
        <v>3120</v>
      </c>
      <c r="B3121" s="8" t="s">
        <v>14361</v>
      </c>
      <c r="C3121" s="8" t="s">
        <v>14361</v>
      </c>
      <c r="F3121" s="47"/>
      <c r="G3121" s="8">
        <v>16</v>
      </c>
      <c r="H3121" s="8" t="s">
        <v>21</v>
      </c>
      <c r="I3121" s="8" t="s">
        <v>22</v>
      </c>
      <c r="J3121" s="8" t="s">
        <v>22</v>
      </c>
      <c r="K3121" s="8" t="s">
        <v>85</v>
      </c>
      <c r="L3121" s="8" t="s">
        <v>13374</v>
      </c>
      <c r="M3121" s="8" t="s">
        <v>13375</v>
      </c>
      <c r="N3121" s="8" t="s">
        <v>14362</v>
      </c>
      <c r="O3121" s="8">
        <f>10+5/60+22.8/3600</f>
        <v>10.089666666666668</v>
      </c>
      <c r="P3121" s="8" t="s">
        <v>14363</v>
      </c>
      <c r="Q3121" s="8">
        <f>-(34+13/60+15/3600)</f>
        <v>-34.220833333333339</v>
      </c>
      <c r="R3121" s="8">
        <v>12.8</v>
      </c>
      <c r="S3121" s="8">
        <v>13.5</v>
      </c>
      <c r="T3121" s="8">
        <v>0.7</v>
      </c>
      <c r="U3121" s="8">
        <v>13.5</v>
      </c>
      <c r="V3121" s="8">
        <v>1.8</v>
      </c>
      <c r="W3121" s="8">
        <v>1.2</v>
      </c>
      <c r="X3121" s="8">
        <v>1</v>
      </c>
      <c r="Y3121" s="8" t="s">
        <v>1323</v>
      </c>
      <c r="Z3121" s="8" t="s">
        <v>1324</v>
      </c>
    </row>
    <row r="3122" spans="1:26" x14ac:dyDescent="0.2">
      <c r="A3122" s="8">
        <v>3121</v>
      </c>
      <c r="B3122" s="8" t="s">
        <v>14364</v>
      </c>
      <c r="C3122" s="8" t="s">
        <v>14364</v>
      </c>
      <c r="F3122" s="47"/>
      <c r="G3122" s="8">
        <v>17</v>
      </c>
      <c r="H3122" s="8" t="s">
        <v>21</v>
      </c>
      <c r="I3122" s="8" t="s">
        <v>22</v>
      </c>
      <c r="J3122" s="8" t="s">
        <v>22</v>
      </c>
      <c r="K3122" s="8" t="s">
        <v>1136</v>
      </c>
      <c r="L3122" s="8" t="s">
        <v>13194</v>
      </c>
      <c r="M3122" s="8" t="s">
        <v>13195</v>
      </c>
      <c r="N3122" s="8" t="s">
        <v>14365</v>
      </c>
      <c r="O3122" s="8">
        <f>10+6/60+51.8/3600</f>
        <v>10.114388888888888</v>
      </c>
      <c r="P3122" s="8" t="s">
        <v>14366</v>
      </c>
      <c r="Q3122" s="8">
        <f>+(14+22/60+26/3600)</f>
        <v>14.373888888888889</v>
      </c>
      <c r="R3122" s="8">
        <v>12.6</v>
      </c>
      <c r="S3122" s="8">
        <v>13.6</v>
      </c>
      <c r="T3122" s="8">
        <v>1</v>
      </c>
      <c r="U3122" s="8">
        <v>13.5</v>
      </c>
      <c r="V3122" s="8">
        <v>1.7</v>
      </c>
      <c r="W3122" s="8">
        <v>1.4</v>
      </c>
      <c r="X3122" s="8">
        <v>20</v>
      </c>
      <c r="Y3122" s="8" t="s">
        <v>297</v>
      </c>
      <c r="Z3122" s="8" t="s">
        <v>14367</v>
      </c>
    </row>
    <row r="3123" spans="1:26" x14ac:dyDescent="0.2">
      <c r="A3123" s="8">
        <v>3122</v>
      </c>
      <c r="B3123" s="8" t="s">
        <v>14368</v>
      </c>
      <c r="C3123" s="8" t="s">
        <v>14368</v>
      </c>
      <c r="F3123" s="47" t="s">
        <v>56743</v>
      </c>
      <c r="G3123" s="8">
        <v>15</v>
      </c>
      <c r="H3123" s="8" t="s">
        <v>21</v>
      </c>
      <c r="I3123" s="8" t="s">
        <v>22</v>
      </c>
      <c r="J3123" s="8" t="s">
        <v>22</v>
      </c>
      <c r="K3123" s="8" t="s">
        <v>23</v>
      </c>
      <c r="L3123" s="8" t="s">
        <v>12234</v>
      </c>
      <c r="M3123" s="8" t="s">
        <v>12235</v>
      </c>
      <c r="N3123" s="8" t="s">
        <v>14313</v>
      </c>
      <c r="O3123" s="8">
        <f>10+4/60+1.9/3600</f>
        <v>10.067194444444445</v>
      </c>
      <c r="P3123" s="8" t="s">
        <v>14314</v>
      </c>
      <c r="Q3123" s="8">
        <f>-(6+28/60+29/3600)</f>
        <v>-6.4747222222222227</v>
      </c>
      <c r="R3123" s="8">
        <v>12.2</v>
      </c>
      <c r="S3123" s="8">
        <v>13</v>
      </c>
      <c r="T3123" s="8">
        <v>0.8</v>
      </c>
      <c r="U3123" s="8">
        <v>12.1</v>
      </c>
      <c r="V3123" s="8">
        <v>1.6</v>
      </c>
      <c r="W3123" s="8">
        <v>0.8</v>
      </c>
      <c r="X3123" s="8">
        <v>162</v>
      </c>
      <c r="Y3123" s="8" t="s">
        <v>14315</v>
      </c>
      <c r="Z3123" s="8" t="s">
        <v>14369</v>
      </c>
    </row>
    <row r="3124" spans="1:26" x14ac:dyDescent="0.2">
      <c r="A3124" s="8">
        <v>3123</v>
      </c>
      <c r="B3124" s="8" t="s">
        <v>14370</v>
      </c>
      <c r="C3124" s="8" t="s">
        <v>14370</v>
      </c>
      <c r="F3124" s="47"/>
      <c r="G3124" s="8">
        <v>18</v>
      </c>
      <c r="H3124" s="8" t="s">
        <v>21</v>
      </c>
      <c r="I3124" s="8" t="s">
        <v>72</v>
      </c>
      <c r="J3124" s="8" t="s">
        <v>72</v>
      </c>
      <c r="K3124" s="8" t="s">
        <v>20</v>
      </c>
      <c r="L3124" s="8" t="s">
        <v>12234</v>
      </c>
      <c r="M3124" s="8" t="s">
        <v>12235</v>
      </c>
      <c r="N3124" s="8" t="s">
        <v>14371</v>
      </c>
      <c r="O3124" s="8">
        <f>10+18/60+11.9/3600</f>
        <v>10.303305555555557</v>
      </c>
      <c r="P3124" s="8" t="s">
        <v>14372</v>
      </c>
      <c r="Q3124" s="8">
        <f>+(0+2/60+25/3600)</f>
        <v>4.0277777777777773E-2</v>
      </c>
      <c r="R3124" s="8">
        <v>11</v>
      </c>
      <c r="S3124" s="8">
        <v>99</v>
      </c>
      <c r="T3124" s="8">
        <v>99</v>
      </c>
      <c r="U3124" s="8">
        <v>99</v>
      </c>
      <c r="Y3124" s="8" t="s">
        <v>14373</v>
      </c>
      <c r="Z3124" s="8" t="s">
        <v>14374</v>
      </c>
    </row>
    <row r="3125" spans="1:26" x14ac:dyDescent="0.2">
      <c r="A3125" s="8">
        <v>3124</v>
      </c>
      <c r="B3125" s="8" t="s">
        <v>14375</v>
      </c>
      <c r="C3125" s="8" t="s">
        <v>14375</v>
      </c>
      <c r="F3125" s="47"/>
      <c r="G3125" s="8">
        <v>13</v>
      </c>
      <c r="H3125" s="8" t="s">
        <v>21</v>
      </c>
      <c r="I3125" s="8" t="s">
        <v>22</v>
      </c>
      <c r="J3125" s="8" t="s">
        <v>22</v>
      </c>
      <c r="K3125" s="8" t="s">
        <v>85</v>
      </c>
      <c r="L3125" s="8" t="s">
        <v>11765</v>
      </c>
      <c r="M3125" s="8" t="s">
        <v>11766</v>
      </c>
      <c r="N3125" s="8" t="s">
        <v>14376</v>
      </c>
      <c r="O3125" s="8">
        <f>10+6/60+40/3600</f>
        <v>10.111111111111111</v>
      </c>
      <c r="P3125" s="8" t="s">
        <v>14377</v>
      </c>
      <c r="Q3125" s="8">
        <f>-(19+13/60+18/3600)</f>
        <v>-19.221666666666664</v>
      </c>
      <c r="R3125" s="8">
        <v>12.2</v>
      </c>
      <c r="S3125" s="8">
        <v>12.9</v>
      </c>
      <c r="T3125" s="8">
        <v>0.7</v>
      </c>
      <c r="U3125" s="8">
        <v>14.2</v>
      </c>
      <c r="V3125" s="8">
        <v>2.9</v>
      </c>
      <c r="W3125" s="8">
        <v>2.5</v>
      </c>
      <c r="X3125" s="8">
        <v>9</v>
      </c>
      <c r="Y3125" s="8" t="s">
        <v>14378</v>
      </c>
      <c r="Z3125" s="8" t="s">
        <v>14379</v>
      </c>
    </row>
    <row r="3126" spans="1:26" x14ac:dyDescent="0.2">
      <c r="A3126" s="8">
        <v>3125</v>
      </c>
      <c r="B3126" s="8" t="s">
        <v>14380</v>
      </c>
      <c r="C3126" s="8" t="s">
        <v>14380</v>
      </c>
      <c r="F3126" s="47"/>
      <c r="G3126" s="8">
        <v>16</v>
      </c>
      <c r="H3126" s="8" t="s">
        <v>21</v>
      </c>
      <c r="I3126" s="8" t="s">
        <v>22</v>
      </c>
      <c r="J3126" s="8" t="s">
        <v>22</v>
      </c>
      <c r="K3126" s="8" t="s">
        <v>50</v>
      </c>
      <c r="L3126" s="8" t="s">
        <v>13374</v>
      </c>
      <c r="M3126" s="8" t="s">
        <v>13375</v>
      </c>
      <c r="N3126" s="8" t="s">
        <v>14381</v>
      </c>
      <c r="O3126" s="8">
        <f>10+6/60+33.2/3600</f>
        <v>10.109222222222222</v>
      </c>
      <c r="P3126" s="8" t="s">
        <v>14382</v>
      </c>
      <c r="Q3126" s="8">
        <f>-(29+56/60+8/3600)</f>
        <v>-29.935555555555556</v>
      </c>
      <c r="R3126" s="8">
        <v>13</v>
      </c>
      <c r="S3126" s="8">
        <v>13.5</v>
      </c>
      <c r="T3126" s="8">
        <v>0.5</v>
      </c>
      <c r="U3126" s="8">
        <v>12.8</v>
      </c>
      <c r="V3126" s="8">
        <v>1.1000000000000001</v>
      </c>
      <c r="W3126" s="8">
        <v>0.7</v>
      </c>
      <c r="X3126" s="8">
        <v>114</v>
      </c>
      <c r="Y3126" s="8" t="s">
        <v>14383</v>
      </c>
      <c r="Z3126" s="8" t="s">
        <v>14384</v>
      </c>
    </row>
    <row r="3127" spans="1:26" x14ac:dyDescent="0.2">
      <c r="A3127" s="8">
        <v>3126</v>
      </c>
      <c r="B3127" s="8" t="s">
        <v>14385</v>
      </c>
      <c r="C3127" s="8" t="s">
        <v>14385</v>
      </c>
      <c r="F3127" s="47"/>
      <c r="G3127" s="8">
        <v>18</v>
      </c>
      <c r="H3127" s="8" t="s">
        <v>21</v>
      </c>
      <c r="I3127" s="8" t="s">
        <v>22</v>
      </c>
      <c r="J3127" s="8" t="s">
        <v>22</v>
      </c>
      <c r="K3127" s="8" t="s">
        <v>23</v>
      </c>
      <c r="L3127" s="8" t="s">
        <v>13179</v>
      </c>
      <c r="M3127" s="8" t="s">
        <v>13180</v>
      </c>
      <c r="N3127" s="8" t="s">
        <v>14386</v>
      </c>
      <c r="O3127" s="8">
        <f>10+8/60+20.6/3600</f>
        <v>10.139055555555554</v>
      </c>
      <c r="P3127" s="8" t="s">
        <v>14387</v>
      </c>
      <c r="Q3127" s="8">
        <f>+(31+51/60+49/3600)</f>
        <v>31.863611111111112</v>
      </c>
      <c r="R3127" s="8">
        <v>12.8</v>
      </c>
      <c r="S3127" s="8">
        <v>13.6</v>
      </c>
      <c r="T3127" s="8">
        <v>0.8</v>
      </c>
      <c r="U3127" s="8">
        <v>13</v>
      </c>
      <c r="V3127" s="8">
        <v>2.8</v>
      </c>
      <c r="W3127" s="8">
        <v>0.6</v>
      </c>
      <c r="X3127" s="8">
        <v>123</v>
      </c>
      <c r="Y3127" s="8" t="s">
        <v>14388</v>
      </c>
      <c r="Z3127" s="8" t="s">
        <v>14389</v>
      </c>
    </row>
    <row r="3128" spans="1:26" x14ac:dyDescent="0.2">
      <c r="A3128" s="8">
        <v>3127</v>
      </c>
      <c r="B3128" s="8" t="s">
        <v>14390</v>
      </c>
      <c r="C3128" s="8" t="s">
        <v>14390</v>
      </c>
      <c r="F3128" s="47"/>
      <c r="G3128" s="8">
        <v>19</v>
      </c>
      <c r="H3128" s="8" t="s">
        <v>21</v>
      </c>
      <c r="I3128" s="8" t="s">
        <v>22</v>
      </c>
      <c r="J3128" s="8" t="s">
        <v>22</v>
      </c>
      <c r="K3128" s="8" t="s">
        <v>23</v>
      </c>
      <c r="L3128" s="8" t="s">
        <v>11765</v>
      </c>
      <c r="M3128" s="8" t="s">
        <v>11766</v>
      </c>
      <c r="N3128" s="8" t="s">
        <v>14391</v>
      </c>
      <c r="O3128" s="8">
        <f>10+6/60+24.7/3600</f>
        <v>10.10686111111111</v>
      </c>
      <c r="P3128" s="8" t="s">
        <v>14392</v>
      </c>
      <c r="Q3128" s="8">
        <f>-(16+7/60+34/3600)</f>
        <v>-16.126111111111111</v>
      </c>
      <c r="R3128" s="8">
        <v>13.8</v>
      </c>
      <c r="S3128" s="8">
        <v>14.6</v>
      </c>
      <c r="T3128" s="8">
        <v>0.8</v>
      </c>
      <c r="U3128" s="8">
        <v>12.1</v>
      </c>
      <c r="V3128" s="8">
        <v>1.2</v>
      </c>
      <c r="W3128" s="8">
        <v>0.2</v>
      </c>
      <c r="X3128" s="8">
        <v>55</v>
      </c>
      <c r="Y3128" s="8" t="s">
        <v>14393</v>
      </c>
      <c r="Z3128" s="8" t="s">
        <v>14394</v>
      </c>
    </row>
    <row r="3129" spans="1:26" x14ac:dyDescent="0.2">
      <c r="A3129" s="8">
        <v>3128</v>
      </c>
      <c r="B3129" s="8" t="s">
        <v>14395</v>
      </c>
      <c r="C3129" s="8" t="s">
        <v>14395</v>
      </c>
      <c r="F3129" s="47"/>
      <c r="G3129" s="8">
        <v>19</v>
      </c>
      <c r="H3129" s="8" t="s">
        <v>21</v>
      </c>
      <c r="I3129" s="8" t="s">
        <v>22</v>
      </c>
      <c r="J3129" s="8" t="s">
        <v>22</v>
      </c>
      <c r="K3129" s="8" t="s">
        <v>23</v>
      </c>
      <c r="L3129" s="8" t="s">
        <v>11765</v>
      </c>
      <c r="M3129" s="8" t="s">
        <v>11766</v>
      </c>
      <c r="N3129" s="8" t="s">
        <v>14396</v>
      </c>
      <c r="O3129" s="8">
        <f>10+6/60+1.4/3600</f>
        <v>10.100388888888888</v>
      </c>
      <c r="P3129" s="8" t="s">
        <v>14397</v>
      </c>
      <c r="Q3129" s="8">
        <f>-(16+7/60+22/3600)</f>
        <v>-16.122777777777777</v>
      </c>
      <c r="R3129" s="8">
        <v>13.5</v>
      </c>
      <c r="S3129" s="8">
        <v>14.3</v>
      </c>
      <c r="T3129" s="8">
        <v>0.8</v>
      </c>
      <c r="U3129" s="8">
        <v>13.5</v>
      </c>
      <c r="V3129" s="8">
        <v>1.6</v>
      </c>
      <c r="W3129" s="8">
        <v>0.7</v>
      </c>
      <c r="X3129" s="8">
        <v>175</v>
      </c>
      <c r="Y3129" s="8" t="s">
        <v>14398</v>
      </c>
      <c r="Z3129" s="8" t="s">
        <v>14399</v>
      </c>
    </row>
    <row r="3130" spans="1:26" x14ac:dyDescent="0.2">
      <c r="A3130" s="8">
        <v>3129</v>
      </c>
      <c r="B3130" s="8" t="s">
        <v>14400</v>
      </c>
      <c r="C3130" s="8" t="s">
        <v>14400</v>
      </c>
      <c r="F3130" s="47" t="s">
        <v>56744</v>
      </c>
      <c r="G3130" s="8">
        <v>15</v>
      </c>
      <c r="H3130" s="8" t="s">
        <v>21</v>
      </c>
      <c r="I3130" s="8" t="s">
        <v>72</v>
      </c>
      <c r="J3130" s="8" t="s">
        <v>72</v>
      </c>
      <c r="K3130" s="8" t="s">
        <v>73</v>
      </c>
      <c r="L3130" s="8" t="s">
        <v>13194</v>
      </c>
      <c r="M3130" s="8" t="s">
        <v>13195</v>
      </c>
      <c r="N3130" s="8" t="s">
        <v>14401</v>
      </c>
      <c r="O3130" s="8">
        <f>10+8/60+22/3600</f>
        <v>10.139444444444443</v>
      </c>
      <c r="P3130" s="8" t="s">
        <v>14402</v>
      </c>
      <c r="Q3130" s="8">
        <f>+(18+25/60+37/3600)</f>
        <v>18.426944444444445</v>
      </c>
      <c r="R3130" s="8">
        <v>99</v>
      </c>
      <c r="S3130" s="8">
        <v>99</v>
      </c>
      <c r="T3130" s="8">
        <v>99</v>
      </c>
      <c r="U3130" s="8">
        <v>99</v>
      </c>
      <c r="Y3130" s="8" t="s">
        <v>14403</v>
      </c>
      <c r="Z3130" s="8" t="s">
        <v>14404</v>
      </c>
    </row>
    <row r="3131" spans="1:26" x14ac:dyDescent="0.2">
      <c r="A3131" s="8">
        <v>3130</v>
      </c>
      <c r="B3131" s="8" t="s">
        <v>14405</v>
      </c>
      <c r="C3131" s="8" t="s">
        <v>14405</v>
      </c>
      <c r="F3131" s="47"/>
      <c r="G3131" s="8">
        <v>16</v>
      </c>
      <c r="H3131" s="8" t="s">
        <v>21</v>
      </c>
      <c r="I3131" s="8" t="s">
        <v>22</v>
      </c>
      <c r="J3131" s="8" t="s">
        <v>22</v>
      </c>
      <c r="K3131" s="8" t="s">
        <v>632</v>
      </c>
      <c r="L3131" s="8" t="s">
        <v>13194</v>
      </c>
      <c r="M3131" s="8" t="s">
        <v>13195</v>
      </c>
      <c r="N3131" s="8" t="s">
        <v>14406</v>
      </c>
      <c r="O3131" s="8">
        <f>10+8/60+12.3/3600</f>
        <v>10.136749999999999</v>
      </c>
      <c r="P3131" s="8" t="s">
        <v>14407</v>
      </c>
      <c r="Q3131" s="8">
        <f>+(9+58/60+36/3600)</f>
        <v>9.9766666666666666</v>
      </c>
      <c r="R3131" s="8">
        <v>13.4</v>
      </c>
      <c r="S3131" s="8">
        <v>14.3</v>
      </c>
      <c r="T3131" s="8">
        <v>0.9</v>
      </c>
      <c r="U3131" s="8">
        <v>12.7</v>
      </c>
      <c r="V3131" s="8">
        <v>1</v>
      </c>
      <c r="W3131" s="8">
        <v>0.6</v>
      </c>
      <c r="X3131" s="8">
        <v>30</v>
      </c>
      <c r="Y3131" s="8" t="s">
        <v>14408</v>
      </c>
      <c r="Z3131" s="8" t="s">
        <v>14409</v>
      </c>
    </row>
    <row r="3132" spans="1:26" x14ac:dyDescent="0.2">
      <c r="A3132" s="8">
        <v>3131</v>
      </c>
      <c r="B3132" s="8" t="s">
        <v>14410</v>
      </c>
      <c r="C3132" s="8" t="s">
        <v>14410</v>
      </c>
      <c r="G3132" s="8">
        <v>16</v>
      </c>
      <c r="H3132" s="8" t="s">
        <v>21</v>
      </c>
      <c r="I3132" s="8" t="s">
        <v>22</v>
      </c>
      <c r="J3132" s="8" t="s">
        <v>22</v>
      </c>
      <c r="K3132" s="8" t="s">
        <v>218</v>
      </c>
      <c r="L3132" s="8" t="s">
        <v>13194</v>
      </c>
      <c r="M3132" s="8" t="s">
        <v>13195</v>
      </c>
      <c r="N3132" s="8" t="s">
        <v>14411</v>
      </c>
      <c r="O3132" s="8">
        <f>10+8/60+36.2/3600</f>
        <v>10.143388888888888</v>
      </c>
      <c r="P3132" s="8" t="s">
        <v>14412</v>
      </c>
      <c r="Q3132" s="8">
        <f>+(18+13/60+52/3600)</f>
        <v>18.231111111111108</v>
      </c>
      <c r="R3132" s="8">
        <v>13</v>
      </c>
      <c r="S3132" s="8">
        <v>13.8</v>
      </c>
      <c r="T3132" s="8">
        <v>0.8</v>
      </c>
      <c r="U3132" s="8">
        <v>13.4</v>
      </c>
      <c r="V3132" s="8">
        <v>2.4</v>
      </c>
      <c r="W3132" s="8">
        <v>0.7</v>
      </c>
      <c r="X3132" s="8">
        <v>54</v>
      </c>
      <c r="Y3132" s="8" t="s">
        <v>14413</v>
      </c>
      <c r="Z3132" s="8" t="s">
        <v>14414</v>
      </c>
    </row>
    <row r="3133" spans="1:26" x14ac:dyDescent="0.2">
      <c r="A3133" s="8">
        <v>3132</v>
      </c>
      <c r="B3133" s="8" t="s">
        <v>14415</v>
      </c>
      <c r="C3133" s="8" t="s">
        <v>14415</v>
      </c>
      <c r="F3133" s="47"/>
      <c r="G3133" s="8">
        <v>2</v>
      </c>
      <c r="H3133" s="8" t="s">
        <v>14416</v>
      </c>
      <c r="I3133" s="8" t="s">
        <v>241</v>
      </c>
      <c r="J3133" s="8" t="s">
        <v>241</v>
      </c>
      <c r="K3133" s="8" t="s">
        <v>241</v>
      </c>
      <c r="L3133" s="8" t="s">
        <v>11757</v>
      </c>
      <c r="M3133" s="8" t="s">
        <v>11758</v>
      </c>
      <c r="N3133" s="8" t="s">
        <v>14417</v>
      </c>
      <c r="O3133" s="8">
        <f>10+7/60+1.8/3600</f>
        <v>10.117166666666668</v>
      </c>
      <c r="P3133" s="8" t="s">
        <v>14418</v>
      </c>
      <c r="Q3133" s="8">
        <f>-(40+26/60+10/3600)</f>
        <v>-40.43611111111111</v>
      </c>
      <c r="R3133" s="8">
        <v>9.1999999999999993</v>
      </c>
      <c r="S3133" s="8">
        <v>8.1999999999999993</v>
      </c>
      <c r="T3133" s="8">
        <v>99</v>
      </c>
      <c r="U3133" s="8">
        <v>99</v>
      </c>
      <c r="V3133" s="8">
        <v>1.47</v>
      </c>
      <c r="Y3133" s="8" t="s">
        <v>14419</v>
      </c>
      <c r="Z3133" s="8" t="s">
        <v>14420</v>
      </c>
    </row>
    <row r="3134" spans="1:26" x14ac:dyDescent="0.2">
      <c r="A3134" s="8">
        <v>3133</v>
      </c>
      <c r="B3134" s="8" t="s">
        <v>14421</v>
      </c>
      <c r="C3134" s="8" t="s">
        <v>14421</v>
      </c>
      <c r="F3134" s="47"/>
      <c r="G3134" s="8">
        <v>19</v>
      </c>
      <c r="H3134" s="8" t="s">
        <v>21</v>
      </c>
      <c r="I3134" s="8" t="s">
        <v>22</v>
      </c>
      <c r="J3134" s="8" t="s">
        <v>22</v>
      </c>
      <c r="K3134" s="8" t="s">
        <v>23</v>
      </c>
      <c r="L3134" s="8" t="s">
        <v>11765</v>
      </c>
      <c r="M3134" s="8" t="s">
        <v>11766</v>
      </c>
      <c r="N3134" s="8" t="s">
        <v>14422</v>
      </c>
      <c r="O3134" s="8">
        <f>10+7/60+12.7/3600</f>
        <v>10.120194444444445</v>
      </c>
      <c r="P3134" s="8" t="s">
        <v>14423</v>
      </c>
      <c r="Q3134" s="8">
        <f>-(11+57/60+55/3600)</f>
        <v>-11.965277777777777</v>
      </c>
      <c r="R3134" s="8">
        <v>14.5</v>
      </c>
      <c r="S3134" s="8">
        <v>15.3</v>
      </c>
      <c r="T3134" s="8">
        <v>0.8</v>
      </c>
      <c r="U3134" s="8">
        <v>13</v>
      </c>
      <c r="V3134" s="8">
        <v>0.7</v>
      </c>
      <c r="W3134" s="8">
        <v>0.4</v>
      </c>
      <c r="X3134" s="8">
        <v>25</v>
      </c>
      <c r="Y3134" s="8" t="s">
        <v>385</v>
      </c>
      <c r="Z3134" s="8" t="s">
        <v>386</v>
      </c>
    </row>
    <row r="3135" spans="1:26" x14ac:dyDescent="0.2">
      <c r="A3135" s="8">
        <v>3134</v>
      </c>
      <c r="B3135" s="8" t="s">
        <v>14424</v>
      </c>
      <c r="C3135" s="8" t="s">
        <v>14424</v>
      </c>
      <c r="F3135" s="47"/>
      <c r="G3135" s="8">
        <v>19</v>
      </c>
      <c r="H3135" s="8" t="s">
        <v>21</v>
      </c>
      <c r="I3135" s="8" t="s">
        <v>22</v>
      </c>
      <c r="J3135" s="8" t="s">
        <v>22</v>
      </c>
      <c r="K3135" s="8" t="s">
        <v>37</v>
      </c>
      <c r="L3135" s="8" t="s">
        <v>13194</v>
      </c>
      <c r="M3135" s="8" t="s">
        <v>13195</v>
      </c>
      <c r="N3135" s="8" t="s">
        <v>14425</v>
      </c>
      <c r="O3135" s="8">
        <f>10+12/60+29.1/3600</f>
        <v>10.208083333333333</v>
      </c>
      <c r="P3135" s="8" t="s">
        <v>14426</v>
      </c>
      <c r="Q3135" s="8">
        <f>+(12+22/60+37/3600)</f>
        <v>12.376944444444446</v>
      </c>
      <c r="R3135" s="8">
        <v>13.7</v>
      </c>
      <c r="S3135" s="8">
        <v>14.7</v>
      </c>
      <c r="T3135" s="8">
        <v>1</v>
      </c>
      <c r="U3135" s="8">
        <v>11.6</v>
      </c>
      <c r="V3135" s="8">
        <v>0.8</v>
      </c>
      <c r="W3135" s="8">
        <v>0.2</v>
      </c>
      <c r="X3135" s="8">
        <v>51</v>
      </c>
      <c r="Y3135" s="8" t="s">
        <v>14427</v>
      </c>
      <c r="Z3135" s="8" t="s">
        <v>14428</v>
      </c>
    </row>
    <row r="3136" spans="1:26" x14ac:dyDescent="0.2">
      <c r="A3136" s="8">
        <v>3135</v>
      </c>
      <c r="B3136" s="8" t="s">
        <v>14429</v>
      </c>
      <c r="C3136" s="8" t="s">
        <v>14429</v>
      </c>
      <c r="F3136" s="47"/>
      <c r="G3136" s="8">
        <v>16</v>
      </c>
      <c r="H3136" s="8" t="s">
        <v>21</v>
      </c>
      <c r="I3136" s="8" t="s">
        <v>22</v>
      </c>
      <c r="J3136" s="8" t="s">
        <v>22</v>
      </c>
      <c r="K3136" s="8" t="s">
        <v>396</v>
      </c>
      <c r="L3136" s="8" t="s">
        <v>12015</v>
      </c>
      <c r="M3136" s="8" t="s">
        <v>12016</v>
      </c>
      <c r="N3136" s="8" t="s">
        <v>14430</v>
      </c>
      <c r="O3136" s="8">
        <f>10+10/60+54.4/3600</f>
        <v>10.181777777777777</v>
      </c>
      <c r="P3136" s="8" t="s">
        <v>14431</v>
      </c>
      <c r="Q3136" s="8">
        <f>+(45+57/60+2/3600)</f>
        <v>45.95055555555556</v>
      </c>
      <c r="R3136" s="8">
        <v>13.5</v>
      </c>
      <c r="S3136" s="8">
        <v>14.3</v>
      </c>
      <c r="T3136" s="8">
        <v>0.8</v>
      </c>
      <c r="U3136" s="8">
        <v>12.8</v>
      </c>
      <c r="V3136" s="8">
        <v>0.9</v>
      </c>
      <c r="W3136" s="8">
        <v>0.6</v>
      </c>
      <c r="X3136" s="8">
        <v>90</v>
      </c>
      <c r="Y3136" s="8" t="s">
        <v>6420</v>
      </c>
      <c r="Z3136" s="8" t="s">
        <v>6421</v>
      </c>
    </row>
    <row r="3137" spans="1:26" x14ac:dyDescent="0.2">
      <c r="A3137" s="8">
        <v>3136</v>
      </c>
      <c r="B3137" s="8" t="s">
        <v>14432</v>
      </c>
      <c r="C3137" s="8" t="s">
        <v>14432</v>
      </c>
      <c r="F3137" s="47"/>
      <c r="G3137" s="8">
        <v>13</v>
      </c>
      <c r="H3137" s="8" t="s">
        <v>21</v>
      </c>
      <c r="I3137" s="8" t="s">
        <v>22</v>
      </c>
      <c r="J3137" s="8" t="s">
        <v>22</v>
      </c>
      <c r="K3137" s="8" t="s">
        <v>382</v>
      </c>
      <c r="L3137" s="8" t="s">
        <v>10135</v>
      </c>
      <c r="M3137" s="8" t="s">
        <v>10136</v>
      </c>
      <c r="N3137" s="8" t="s">
        <v>14433</v>
      </c>
      <c r="O3137" s="8">
        <f>10+5/60+48.2/3600</f>
        <v>10.096722222222223</v>
      </c>
      <c r="P3137" s="8" t="s">
        <v>14434</v>
      </c>
      <c r="Q3137" s="8">
        <f>-(67+22/60+39/3600)</f>
        <v>-67.377499999999998</v>
      </c>
      <c r="R3137" s="8">
        <v>10.7</v>
      </c>
      <c r="S3137" s="8">
        <v>11.7</v>
      </c>
      <c r="T3137" s="8">
        <v>1</v>
      </c>
      <c r="U3137" s="8">
        <v>12.7</v>
      </c>
      <c r="V3137" s="8">
        <v>3.1</v>
      </c>
      <c r="W3137" s="8">
        <v>2.1</v>
      </c>
      <c r="X3137" s="8">
        <v>30</v>
      </c>
      <c r="Y3137" s="8" t="s">
        <v>14435</v>
      </c>
      <c r="Z3137" s="8" t="s">
        <v>14436</v>
      </c>
    </row>
    <row r="3138" spans="1:26" x14ac:dyDescent="0.2">
      <c r="A3138" s="8">
        <v>3137</v>
      </c>
      <c r="B3138" s="8" t="s">
        <v>14437</v>
      </c>
      <c r="C3138" s="8" t="s">
        <v>14437</v>
      </c>
      <c r="F3138" s="47"/>
      <c r="G3138" s="8">
        <v>16</v>
      </c>
      <c r="H3138" s="8" t="s">
        <v>21</v>
      </c>
      <c r="I3138" s="8" t="s">
        <v>22</v>
      </c>
      <c r="J3138" s="8" t="s">
        <v>22</v>
      </c>
      <c r="K3138" s="8" t="s">
        <v>64</v>
      </c>
      <c r="L3138" s="8" t="s">
        <v>13374</v>
      </c>
      <c r="M3138" s="8" t="s">
        <v>13375</v>
      </c>
      <c r="N3138" s="8" t="s">
        <v>14438</v>
      </c>
      <c r="O3138" s="8">
        <f>10+9/60+7.4/3600</f>
        <v>10.152055555555556</v>
      </c>
      <c r="P3138" s="8" t="s">
        <v>14439</v>
      </c>
      <c r="Q3138" s="8">
        <f>-(29+3/60+49/3600)</f>
        <v>-29.063611111111111</v>
      </c>
      <c r="R3138" s="8">
        <v>11.5</v>
      </c>
      <c r="S3138" s="8">
        <v>12.1</v>
      </c>
      <c r="T3138" s="8">
        <v>0.6</v>
      </c>
      <c r="U3138" s="8">
        <v>14.2</v>
      </c>
      <c r="V3138" s="8">
        <v>6.2</v>
      </c>
      <c r="W3138" s="8">
        <v>2.2000000000000002</v>
      </c>
      <c r="X3138" s="8">
        <v>1</v>
      </c>
      <c r="Y3138" s="8" t="s">
        <v>679</v>
      </c>
      <c r="Z3138" s="8" t="s">
        <v>680</v>
      </c>
    </row>
    <row r="3139" spans="1:26" x14ac:dyDescent="0.2">
      <c r="A3139" s="8">
        <v>3138</v>
      </c>
      <c r="B3139" s="8" t="s">
        <v>14440</v>
      </c>
      <c r="C3139" s="8" t="s">
        <v>14440</v>
      </c>
      <c r="F3139" s="47"/>
      <c r="G3139" s="8">
        <v>19</v>
      </c>
      <c r="H3139" s="8" t="s">
        <v>21</v>
      </c>
      <c r="I3139" s="8" t="s">
        <v>22</v>
      </c>
      <c r="J3139" s="8" t="s">
        <v>22</v>
      </c>
      <c r="K3139" s="8" t="s">
        <v>396</v>
      </c>
      <c r="L3139" s="8" t="s">
        <v>11765</v>
      </c>
      <c r="M3139" s="8" t="s">
        <v>11766</v>
      </c>
      <c r="N3139" s="8" t="s">
        <v>14441</v>
      </c>
      <c r="O3139" s="8">
        <f>10+9/60+16.6/3600</f>
        <v>10.154611111111111</v>
      </c>
      <c r="P3139" s="8" t="s">
        <v>14442</v>
      </c>
      <c r="Q3139" s="8">
        <f>-(11+57/60+26/3600)</f>
        <v>-11.957222222222221</v>
      </c>
      <c r="R3139" s="8">
        <v>14.8</v>
      </c>
      <c r="S3139" s="8">
        <v>15.6</v>
      </c>
      <c r="T3139" s="8">
        <v>0.8</v>
      </c>
      <c r="U3139" s="8">
        <v>13.9</v>
      </c>
      <c r="V3139" s="8">
        <v>1.2</v>
      </c>
      <c r="W3139" s="8">
        <v>0.4</v>
      </c>
      <c r="X3139" s="8">
        <v>80</v>
      </c>
      <c r="Y3139" s="8" t="s">
        <v>14443</v>
      </c>
      <c r="Z3139" s="8" t="s">
        <v>14444</v>
      </c>
    </row>
    <row r="3140" spans="1:26" x14ac:dyDescent="0.2">
      <c r="A3140" s="8">
        <v>3139</v>
      </c>
      <c r="B3140" s="8" t="s">
        <v>14445</v>
      </c>
      <c r="C3140" s="8" t="s">
        <v>14445</v>
      </c>
      <c r="F3140" s="47"/>
      <c r="G3140" s="8">
        <v>19</v>
      </c>
      <c r="H3140" s="8" t="s">
        <v>21</v>
      </c>
      <c r="I3140" s="8" t="s">
        <v>22</v>
      </c>
      <c r="J3140" s="8" t="s">
        <v>22</v>
      </c>
      <c r="K3140" s="8" t="s">
        <v>37</v>
      </c>
      <c r="L3140" s="8" t="s">
        <v>11765</v>
      </c>
      <c r="M3140" s="8" t="s">
        <v>11766</v>
      </c>
      <c r="N3140" s="8" t="s">
        <v>14446</v>
      </c>
      <c r="O3140" s="8">
        <f>10+10/60+5.1/3600</f>
        <v>10.168083333333334</v>
      </c>
      <c r="P3140" s="8" t="s">
        <v>14447</v>
      </c>
      <c r="Q3140" s="8">
        <f>-(11+46/60+40/3600)</f>
        <v>-11.777777777777779</v>
      </c>
      <c r="R3140" s="8">
        <v>13.5</v>
      </c>
      <c r="S3140" s="8">
        <v>14.5</v>
      </c>
      <c r="T3140" s="8">
        <v>1</v>
      </c>
      <c r="U3140" s="8">
        <v>14.1</v>
      </c>
      <c r="V3140" s="8">
        <v>1.5</v>
      </c>
      <c r="W3140" s="8">
        <v>1.3</v>
      </c>
      <c r="X3140" s="8">
        <v>75</v>
      </c>
      <c r="Y3140" s="8" t="s">
        <v>14448</v>
      </c>
      <c r="Z3140" s="8" t="s">
        <v>14449</v>
      </c>
    </row>
    <row r="3141" spans="1:26" x14ac:dyDescent="0.2">
      <c r="A3141" s="8">
        <v>3140</v>
      </c>
      <c r="B3141" s="8" t="s">
        <v>14450</v>
      </c>
      <c r="C3141" s="8" t="s">
        <v>14450</v>
      </c>
      <c r="F3141" s="47"/>
      <c r="G3141" s="8">
        <v>19</v>
      </c>
      <c r="H3141" s="8" t="s">
        <v>21</v>
      </c>
      <c r="I3141" s="8" t="s">
        <v>22</v>
      </c>
      <c r="J3141" s="8" t="s">
        <v>22</v>
      </c>
      <c r="K3141" s="8" t="s">
        <v>160</v>
      </c>
      <c r="L3141" s="8" t="s">
        <v>11765</v>
      </c>
      <c r="M3141" s="8" t="s">
        <v>11766</v>
      </c>
      <c r="N3141" s="8" t="s">
        <v>14451</v>
      </c>
      <c r="O3141" s="8">
        <f>10+9/60+27.8/3600</f>
        <v>10.157722222222223</v>
      </c>
      <c r="P3141" s="8" t="s">
        <v>14452</v>
      </c>
      <c r="Q3141" s="8">
        <f>-(16+37/60+40/3600)</f>
        <v>-16.62777777777778</v>
      </c>
      <c r="R3141" s="8">
        <v>14</v>
      </c>
      <c r="S3141" s="8">
        <v>14.8</v>
      </c>
      <c r="T3141" s="8">
        <v>0.8</v>
      </c>
      <c r="U3141" s="8">
        <v>13</v>
      </c>
      <c r="V3141" s="8">
        <v>0.9</v>
      </c>
      <c r="W3141" s="8">
        <v>0.8</v>
      </c>
      <c r="X3141" s="8">
        <v>41</v>
      </c>
      <c r="Y3141" s="8" t="s">
        <v>14453</v>
      </c>
      <c r="Z3141" s="8" t="s">
        <v>14454</v>
      </c>
    </row>
    <row r="3142" spans="1:26" x14ac:dyDescent="0.2">
      <c r="A3142" s="8">
        <v>3141</v>
      </c>
      <c r="B3142" s="8" t="s">
        <v>14455</v>
      </c>
      <c r="C3142" s="8" t="s">
        <v>14455</v>
      </c>
      <c r="F3142" s="47"/>
      <c r="G3142" s="8">
        <v>19</v>
      </c>
      <c r="H3142" s="8" t="s">
        <v>21</v>
      </c>
      <c r="I3142" s="8" t="s">
        <v>22</v>
      </c>
      <c r="J3142" s="8" t="s">
        <v>22</v>
      </c>
      <c r="K3142" s="8" t="s">
        <v>160</v>
      </c>
      <c r="L3142" s="8" t="s">
        <v>11765</v>
      </c>
      <c r="M3142" s="8" t="s">
        <v>11766</v>
      </c>
      <c r="N3142" s="8" t="s">
        <v>14456</v>
      </c>
      <c r="O3142" s="8">
        <f>10+9/60+19.8/3600</f>
        <v>10.1555</v>
      </c>
      <c r="P3142" s="8" t="s">
        <v>14457</v>
      </c>
      <c r="Q3142" s="8">
        <f>-(16+39/60+11/3600)</f>
        <v>-16.653055555555554</v>
      </c>
      <c r="R3142" s="8">
        <v>15.4</v>
      </c>
      <c r="S3142" s="8">
        <v>16.100000000000001</v>
      </c>
      <c r="T3142" s="8">
        <v>0.7</v>
      </c>
      <c r="U3142" s="8">
        <v>12.5</v>
      </c>
      <c r="V3142" s="8">
        <v>0.4</v>
      </c>
      <c r="W3142" s="8">
        <v>0.2</v>
      </c>
      <c r="X3142" s="8">
        <v>26</v>
      </c>
      <c r="Y3142" s="8" t="s">
        <v>14458</v>
      </c>
      <c r="Z3142" s="8" t="s">
        <v>14459</v>
      </c>
    </row>
    <row r="3143" spans="1:26" x14ac:dyDescent="0.2">
      <c r="A3143" s="8">
        <v>3142</v>
      </c>
      <c r="B3143" s="8" t="s">
        <v>14460</v>
      </c>
      <c r="C3143" s="8" t="s">
        <v>14460</v>
      </c>
      <c r="F3143" s="47"/>
      <c r="G3143" s="8">
        <v>16</v>
      </c>
      <c r="H3143" s="8" t="s">
        <v>21</v>
      </c>
      <c r="I3143" s="8" t="s">
        <v>22</v>
      </c>
      <c r="J3143" s="8" t="s">
        <v>22</v>
      </c>
      <c r="K3143" s="8" t="s">
        <v>37</v>
      </c>
      <c r="L3143" s="8" t="s">
        <v>12234</v>
      </c>
      <c r="M3143" s="8" t="s">
        <v>12235</v>
      </c>
      <c r="N3143" s="8" t="s">
        <v>14461</v>
      </c>
      <c r="O3143" s="8">
        <f>10+10/60+6.4/3600</f>
        <v>10.168444444444443</v>
      </c>
      <c r="P3143" s="8" t="s">
        <v>14462</v>
      </c>
      <c r="Q3143" s="8">
        <f>-(8+28/60+46/3600)</f>
        <v>-8.4794444444444448</v>
      </c>
      <c r="R3143" s="8">
        <v>13.8</v>
      </c>
      <c r="S3143" s="8">
        <v>14.8</v>
      </c>
      <c r="T3143" s="8">
        <v>1</v>
      </c>
      <c r="U3143" s="8">
        <v>13.6</v>
      </c>
      <c r="V3143" s="8">
        <v>1</v>
      </c>
      <c r="W3143" s="8">
        <v>0.9</v>
      </c>
      <c r="X3143" s="8">
        <v>3</v>
      </c>
      <c r="Y3143" s="8" t="s">
        <v>14463</v>
      </c>
      <c r="Z3143" s="8" t="s">
        <v>14464</v>
      </c>
    </row>
    <row r="3144" spans="1:26" x14ac:dyDescent="0.2">
      <c r="A3144" s="8">
        <v>3143</v>
      </c>
      <c r="B3144" s="8" t="s">
        <v>14465</v>
      </c>
      <c r="C3144" s="8" t="s">
        <v>14465</v>
      </c>
      <c r="F3144" s="47"/>
      <c r="G3144" s="8">
        <v>19</v>
      </c>
      <c r="H3144" s="8" t="s">
        <v>21</v>
      </c>
      <c r="I3144" s="8" t="s">
        <v>22</v>
      </c>
      <c r="J3144" s="8" t="s">
        <v>22</v>
      </c>
      <c r="K3144" s="8" t="s">
        <v>218</v>
      </c>
      <c r="L3144" s="8" t="s">
        <v>11765</v>
      </c>
      <c r="M3144" s="8" t="s">
        <v>11766</v>
      </c>
      <c r="N3144" s="8" t="s">
        <v>14466</v>
      </c>
      <c r="O3144" s="8">
        <f>10+10/60+3.9/3600</f>
        <v>10.16775</v>
      </c>
      <c r="P3144" s="8" t="s">
        <v>14467</v>
      </c>
      <c r="Q3144" s="8">
        <f>-(12+34/60+55/3600)</f>
        <v>-12.581944444444444</v>
      </c>
      <c r="R3144" s="8">
        <v>14.3</v>
      </c>
      <c r="S3144" s="8">
        <v>14.9</v>
      </c>
      <c r="T3144" s="8">
        <v>0.6</v>
      </c>
      <c r="U3144" s="8">
        <v>13.4</v>
      </c>
      <c r="V3144" s="8">
        <v>0.9</v>
      </c>
      <c r="W3144" s="8">
        <v>0.7</v>
      </c>
      <c r="X3144" s="8">
        <v>105</v>
      </c>
      <c r="Y3144" s="8" t="s">
        <v>4065</v>
      </c>
      <c r="Z3144" s="8" t="s">
        <v>4066</v>
      </c>
    </row>
    <row r="3145" spans="1:26" x14ac:dyDescent="0.2">
      <c r="A3145" s="8">
        <v>3144</v>
      </c>
      <c r="B3145" s="8" t="s">
        <v>14468</v>
      </c>
      <c r="C3145" s="8" t="s">
        <v>14468</v>
      </c>
      <c r="F3145" s="47"/>
      <c r="G3145" s="8">
        <v>18</v>
      </c>
      <c r="H3145" s="8" t="s">
        <v>21</v>
      </c>
      <c r="I3145" s="8" t="s">
        <v>22</v>
      </c>
      <c r="J3145" s="8" t="s">
        <v>57</v>
      </c>
      <c r="K3145" s="8" t="s">
        <v>7975</v>
      </c>
      <c r="L3145" s="8" t="s">
        <v>13395</v>
      </c>
      <c r="M3145" s="8" t="s">
        <v>13396</v>
      </c>
      <c r="N3145" s="8" t="s">
        <v>14469</v>
      </c>
      <c r="O3145" s="8">
        <f>10+15/60+32.1/3600</f>
        <v>10.258916666666666</v>
      </c>
      <c r="P3145" s="8" t="s">
        <v>14470</v>
      </c>
      <c r="Q3145" s="8">
        <f>+(74+13/60+14/3600)</f>
        <v>74.220555555555563</v>
      </c>
      <c r="R3145" s="8">
        <v>13.4</v>
      </c>
      <c r="S3145" s="8">
        <v>14.4</v>
      </c>
      <c r="T3145" s="8">
        <v>1</v>
      </c>
      <c r="U3145" s="8">
        <v>13.1</v>
      </c>
      <c r="V3145" s="8">
        <v>1.2</v>
      </c>
      <c r="W3145" s="8">
        <v>0.7</v>
      </c>
      <c r="X3145" s="8">
        <v>5</v>
      </c>
      <c r="Y3145" s="8" t="s">
        <v>14471</v>
      </c>
      <c r="Z3145" s="8" t="s">
        <v>14472</v>
      </c>
    </row>
    <row r="3146" spans="1:26" x14ac:dyDescent="0.2">
      <c r="A3146" s="8">
        <v>3145</v>
      </c>
      <c r="B3146" s="8" t="s">
        <v>14473</v>
      </c>
      <c r="C3146" s="8" t="s">
        <v>14473</v>
      </c>
      <c r="F3146" s="47" t="s">
        <v>56745</v>
      </c>
      <c r="G3146" s="8">
        <v>6.5</v>
      </c>
      <c r="H3146" s="8" t="s">
        <v>21</v>
      </c>
      <c r="I3146" s="8" t="s">
        <v>22</v>
      </c>
      <c r="J3146" s="8" t="s">
        <v>22</v>
      </c>
      <c r="K3146" s="8" t="s">
        <v>85</v>
      </c>
      <c r="L3146" s="8" t="s">
        <v>11765</v>
      </c>
      <c r="M3146" s="8" t="s">
        <v>11766</v>
      </c>
      <c r="N3146" s="8" t="s">
        <v>14474</v>
      </c>
      <c r="O3146" s="8">
        <f>10+10/60+9.9/3600</f>
        <v>10.169416666666667</v>
      </c>
      <c r="P3146" s="8" t="s">
        <v>14475</v>
      </c>
      <c r="Q3146" s="8">
        <f>-(12+26/60+4/3600)</f>
        <v>-12.434444444444445</v>
      </c>
      <c r="R3146" s="8">
        <v>11.7</v>
      </c>
      <c r="S3146" s="8">
        <v>12.5</v>
      </c>
      <c r="T3146" s="8">
        <v>0.8</v>
      </c>
      <c r="U3146" s="8">
        <v>13.3</v>
      </c>
      <c r="V3146" s="8">
        <v>3</v>
      </c>
      <c r="W3146" s="8">
        <v>1.6</v>
      </c>
      <c r="X3146" s="8">
        <v>18</v>
      </c>
      <c r="Y3146" s="8" t="s">
        <v>14476</v>
      </c>
      <c r="Z3146" s="8" t="s">
        <v>14477</v>
      </c>
    </row>
    <row r="3147" spans="1:26" x14ac:dyDescent="0.2">
      <c r="A3147" s="8">
        <v>3146</v>
      </c>
      <c r="B3147" s="8" t="s">
        <v>14478</v>
      </c>
      <c r="C3147" s="8" t="s">
        <v>14478</v>
      </c>
      <c r="F3147" s="47"/>
      <c r="G3147" s="8">
        <v>19</v>
      </c>
      <c r="H3147" s="8" t="s">
        <v>21</v>
      </c>
      <c r="I3147" s="8" t="s">
        <v>22</v>
      </c>
      <c r="J3147" s="8" t="s">
        <v>22</v>
      </c>
      <c r="K3147" s="8" t="s">
        <v>218</v>
      </c>
      <c r="L3147" s="8" t="s">
        <v>11765</v>
      </c>
      <c r="M3147" s="8" t="s">
        <v>11766</v>
      </c>
      <c r="N3147" s="8" t="s">
        <v>14479</v>
      </c>
      <c r="O3147" s="8">
        <f>10+11/60+9.8/3600</f>
        <v>10.186055555555555</v>
      </c>
      <c r="P3147" s="8" t="s">
        <v>14480</v>
      </c>
      <c r="Q3147" s="8">
        <f>-(20+52/60+15/3600)</f>
        <v>-20.870833333333334</v>
      </c>
      <c r="R3147" s="8">
        <v>13</v>
      </c>
      <c r="S3147" s="8">
        <v>13.8</v>
      </c>
      <c r="T3147" s="8">
        <v>0.8</v>
      </c>
      <c r="U3147" s="8">
        <v>12.8</v>
      </c>
      <c r="V3147" s="8">
        <v>1</v>
      </c>
      <c r="W3147" s="8">
        <v>0.9</v>
      </c>
      <c r="X3147" s="8">
        <v>100</v>
      </c>
      <c r="Y3147" s="8" t="s">
        <v>3923</v>
      </c>
      <c r="Z3147" s="8" t="s">
        <v>3924</v>
      </c>
    </row>
    <row r="3148" spans="1:26" x14ac:dyDescent="0.2">
      <c r="A3148" s="8">
        <v>3147</v>
      </c>
      <c r="B3148" s="8" t="s">
        <v>14481</v>
      </c>
      <c r="C3148" s="8" t="s">
        <v>14481</v>
      </c>
      <c r="F3148" s="47" t="s">
        <v>56746</v>
      </c>
      <c r="G3148" s="8">
        <v>6</v>
      </c>
      <c r="H3148" s="8" t="s">
        <v>21</v>
      </c>
      <c r="I3148" s="8" t="s">
        <v>22</v>
      </c>
      <c r="J3148" s="8" t="s">
        <v>22</v>
      </c>
      <c r="K3148" s="8" t="s">
        <v>396</v>
      </c>
      <c r="L3148" s="8" t="s">
        <v>13395</v>
      </c>
      <c r="M3148" s="8" t="s">
        <v>13396</v>
      </c>
      <c r="N3148" s="8" t="s">
        <v>14482</v>
      </c>
      <c r="O3148" s="8">
        <f>10+16/60+53.2/3600</f>
        <v>10.281444444444446</v>
      </c>
      <c r="P3148" s="8" t="s">
        <v>14483</v>
      </c>
      <c r="Q3148" s="8">
        <f>+(73+24/60+1/3600)</f>
        <v>73.400277777777788</v>
      </c>
      <c r="R3148" s="8">
        <v>10.6</v>
      </c>
      <c r="S3148" s="8">
        <v>11.4</v>
      </c>
      <c r="T3148" s="8">
        <v>0.8</v>
      </c>
      <c r="U3148" s="8">
        <v>13.3</v>
      </c>
      <c r="V3148" s="8">
        <v>3.9</v>
      </c>
      <c r="W3148" s="8">
        <v>3.5</v>
      </c>
      <c r="X3148" s="8">
        <v>155</v>
      </c>
      <c r="Y3148" s="8" t="s">
        <v>14484</v>
      </c>
      <c r="Z3148" s="8" t="s">
        <v>14485</v>
      </c>
    </row>
    <row r="3149" spans="1:26" x14ac:dyDescent="0.2">
      <c r="A3149" s="8">
        <v>3148</v>
      </c>
      <c r="B3149" s="8" t="s">
        <v>14486</v>
      </c>
      <c r="C3149" s="8" t="s">
        <v>14486</v>
      </c>
      <c r="F3149" s="47"/>
      <c r="G3149" s="8">
        <v>16</v>
      </c>
      <c r="H3149" s="8" t="s">
        <v>21</v>
      </c>
      <c r="I3149" s="8" t="s">
        <v>72</v>
      </c>
      <c r="J3149" s="8" t="s">
        <v>72</v>
      </c>
      <c r="K3149" s="8" t="s">
        <v>20</v>
      </c>
      <c r="L3149" s="8" t="s">
        <v>12015</v>
      </c>
      <c r="M3149" s="8" t="s">
        <v>12016</v>
      </c>
      <c r="N3149" s="8" t="s">
        <v>14487</v>
      </c>
      <c r="O3149" s="8">
        <f>10+13/60+43.8/3600</f>
        <v>10.228833333333334</v>
      </c>
      <c r="P3149" s="8" t="s">
        <v>14488</v>
      </c>
      <c r="Q3149" s="8">
        <f>+(50+29/60+49/3600)</f>
        <v>50.496944444444445</v>
      </c>
      <c r="R3149" s="8">
        <v>99</v>
      </c>
      <c r="S3149" s="8">
        <v>6.6</v>
      </c>
      <c r="T3149" s="8">
        <v>99</v>
      </c>
      <c r="U3149" s="8">
        <v>99</v>
      </c>
      <c r="Y3149" s="8" t="s">
        <v>14489</v>
      </c>
      <c r="Z3149" s="8" t="s">
        <v>14490</v>
      </c>
    </row>
    <row r="3150" spans="1:26" x14ac:dyDescent="0.2">
      <c r="A3150" s="8">
        <v>3149</v>
      </c>
      <c r="B3150" s="8" t="s">
        <v>14491</v>
      </c>
      <c r="C3150" s="8" t="s">
        <v>14491</v>
      </c>
      <c r="F3150" s="47"/>
      <c r="G3150" s="8">
        <v>16</v>
      </c>
      <c r="H3150" s="8" t="s">
        <v>21</v>
      </c>
      <c r="I3150" s="8" t="s">
        <v>22</v>
      </c>
      <c r="J3150" s="8" t="s">
        <v>22</v>
      </c>
      <c r="K3150" s="8" t="s">
        <v>23</v>
      </c>
      <c r="L3150" s="8" t="s">
        <v>13429</v>
      </c>
      <c r="M3150" s="8" t="s">
        <v>13430</v>
      </c>
      <c r="N3150" s="8" t="s">
        <v>14492</v>
      </c>
      <c r="O3150" s="8">
        <f>10+3/60+43.4/3600</f>
        <v>10.062055555555556</v>
      </c>
      <c r="P3150" s="8" t="s">
        <v>14493</v>
      </c>
      <c r="Q3150" s="8">
        <f>-(80+25/60+20/3600)</f>
        <v>-80.422222222222231</v>
      </c>
      <c r="R3150" s="8">
        <v>12.6</v>
      </c>
      <c r="S3150" s="8">
        <v>13.4</v>
      </c>
      <c r="T3150" s="8">
        <v>0.8</v>
      </c>
      <c r="U3150" s="8">
        <v>13.9</v>
      </c>
      <c r="V3150" s="8">
        <v>2</v>
      </c>
      <c r="W3150" s="8">
        <v>1.9</v>
      </c>
      <c r="Y3150" s="8" t="s">
        <v>14494</v>
      </c>
      <c r="Z3150" s="8" t="s">
        <v>14495</v>
      </c>
    </row>
    <row r="3151" spans="1:26" x14ac:dyDescent="0.2">
      <c r="A3151" s="8">
        <v>3150</v>
      </c>
      <c r="B3151" s="8" t="s">
        <v>14496</v>
      </c>
      <c r="C3151" s="8" t="s">
        <v>14496</v>
      </c>
      <c r="F3151" s="47"/>
      <c r="G3151" s="8">
        <v>19</v>
      </c>
      <c r="H3151" s="8" t="s">
        <v>21</v>
      </c>
      <c r="I3151" s="8" t="s">
        <v>22</v>
      </c>
      <c r="J3151" s="8" t="s">
        <v>22</v>
      </c>
      <c r="K3151" s="8" t="s">
        <v>476</v>
      </c>
      <c r="L3151" s="8" t="s">
        <v>13179</v>
      </c>
      <c r="M3151" s="8" t="s">
        <v>13180</v>
      </c>
      <c r="N3151" s="8" t="s">
        <v>14497</v>
      </c>
      <c r="O3151" s="8">
        <f>10+13/60+26.2/3600</f>
        <v>10.223944444444445</v>
      </c>
      <c r="P3151" s="8" t="s">
        <v>14498</v>
      </c>
      <c r="Q3151" s="8">
        <f>+(38+39/60+29/3600)</f>
        <v>38.658055555555556</v>
      </c>
      <c r="R3151" s="8">
        <v>14.6</v>
      </c>
      <c r="S3151" s="8">
        <v>15.5</v>
      </c>
      <c r="T3151" s="8">
        <v>0.9</v>
      </c>
      <c r="U3151" s="8">
        <v>13.8</v>
      </c>
      <c r="V3151" s="8">
        <v>0.8</v>
      </c>
      <c r="W3151" s="8">
        <v>0.7</v>
      </c>
      <c r="X3151" s="8">
        <v>173</v>
      </c>
      <c r="Y3151" s="8" t="s">
        <v>1511</v>
      </c>
      <c r="Z3151" s="8" t="s">
        <v>1512</v>
      </c>
    </row>
    <row r="3152" spans="1:26" x14ac:dyDescent="0.2">
      <c r="A3152" s="8">
        <v>3151</v>
      </c>
      <c r="B3152" s="8" t="s">
        <v>14499</v>
      </c>
      <c r="C3152" s="8" t="s">
        <v>14499</v>
      </c>
      <c r="F3152" s="47"/>
      <c r="G3152" s="8">
        <v>19</v>
      </c>
      <c r="H3152" s="8" t="s">
        <v>21</v>
      </c>
      <c r="I3152" s="8" t="s">
        <v>22</v>
      </c>
      <c r="J3152" s="8" t="s">
        <v>22</v>
      </c>
      <c r="K3152" s="8" t="s">
        <v>37</v>
      </c>
      <c r="L3152" s="8" t="s">
        <v>13179</v>
      </c>
      <c r="M3152" s="8" t="s">
        <v>13180</v>
      </c>
      <c r="N3152" s="8" t="s">
        <v>14500</v>
      </c>
      <c r="O3152" s="8">
        <f>10+13/60+29/3600</f>
        <v>10.224722222222223</v>
      </c>
      <c r="P3152" s="8" t="s">
        <v>14501</v>
      </c>
      <c r="Q3152" s="8">
        <f>+(38+37/60+13/3600)</f>
        <v>38.62027777777778</v>
      </c>
      <c r="R3152" s="8">
        <v>13.8</v>
      </c>
      <c r="S3152" s="8">
        <v>14.8</v>
      </c>
      <c r="T3152" s="8">
        <v>1</v>
      </c>
      <c r="U3152" s="8">
        <v>12.7</v>
      </c>
      <c r="V3152" s="8">
        <v>0.8</v>
      </c>
      <c r="W3152" s="8">
        <v>0.4</v>
      </c>
      <c r="X3152" s="8">
        <v>168</v>
      </c>
      <c r="Y3152" s="8" t="s">
        <v>282</v>
      </c>
      <c r="Z3152" s="8" t="s">
        <v>283</v>
      </c>
    </row>
    <row r="3153" spans="1:26" x14ac:dyDescent="0.2">
      <c r="A3153" s="8">
        <v>3152</v>
      </c>
      <c r="B3153" s="8" t="s">
        <v>14502</v>
      </c>
      <c r="C3153" s="8" t="s">
        <v>14502</v>
      </c>
      <c r="F3153" s="47"/>
      <c r="G3153" s="8">
        <v>18</v>
      </c>
      <c r="H3153" s="8" t="s">
        <v>21</v>
      </c>
      <c r="I3153" s="8" t="s">
        <v>22</v>
      </c>
      <c r="J3153" s="8" t="s">
        <v>22</v>
      </c>
      <c r="K3153" s="8" t="s">
        <v>224</v>
      </c>
      <c r="L3153" s="8" t="s">
        <v>13179</v>
      </c>
      <c r="M3153" s="8" t="s">
        <v>13180</v>
      </c>
      <c r="N3153" s="8" t="s">
        <v>14503</v>
      </c>
      <c r="O3153" s="8">
        <f>10+13/60+34.1/3600</f>
        <v>10.226138888888888</v>
      </c>
      <c r="P3153" s="8" t="s">
        <v>14504</v>
      </c>
      <c r="Q3153" s="8">
        <f>+(38+50/60+37/3600)</f>
        <v>38.843611111111116</v>
      </c>
      <c r="R3153" s="8">
        <v>14.2</v>
      </c>
      <c r="S3153" s="8">
        <v>15.2</v>
      </c>
      <c r="T3153" s="8">
        <v>1</v>
      </c>
      <c r="U3153" s="8">
        <v>13.5</v>
      </c>
      <c r="V3153" s="8">
        <v>0.8</v>
      </c>
      <c r="W3153" s="8">
        <v>0.7</v>
      </c>
      <c r="X3153" s="8">
        <v>75</v>
      </c>
      <c r="Y3153" s="8" t="s">
        <v>14505</v>
      </c>
      <c r="Z3153" s="8" t="s">
        <v>14506</v>
      </c>
    </row>
    <row r="3154" spans="1:26" x14ac:dyDescent="0.2">
      <c r="A3154" s="8">
        <v>3153</v>
      </c>
      <c r="B3154" s="8" t="s">
        <v>14507</v>
      </c>
      <c r="C3154" s="8" t="s">
        <v>14507</v>
      </c>
      <c r="F3154" s="47" t="s">
        <v>56747</v>
      </c>
      <c r="G3154" s="8">
        <v>15</v>
      </c>
      <c r="H3154" s="8" t="s">
        <v>21</v>
      </c>
      <c r="I3154" s="8" t="s">
        <v>22</v>
      </c>
      <c r="J3154" s="8" t="s">
        <v>22</v>
      </c>
      <c r="K3154" s="8" t="s">
        <v>160</v>
      </c>
      <c r="L3154" s="8" t="s">
        <v>13194</v>
      </c>
      <c r="M3154" s="8" t="s">
        <v>13195</v>
      </c>
      <c r="N3154" s="8" t="s">
        <v>14508</v>
      </c>
      <c r="O3154" s="8">
        <f>10+12/60+50.5/3600</f>
        <v>10.214027777777778</v>
      </c>
      <c r="P3154" s="8" t="s">
        <v>14509</v>
      </c>
      <c r="Q3154" s="8">
        <f>+(12+40/60+0/3600)</f>
        <v>12.666666666666666</v>
      </c>
      <c r="R3154" s="8">
        <v>12.7</v>
      </c>
      <c r="S3154" s="8">
        <v>13.4</v>
      </c>
      <c r="T3154" s="8">
        <v>0.7</v>
      </c>
      <c r="U3154" s="8">
        <v>13.2</v>
      </c>
      <c r="V3154" s="8">
        <v>2.1</v>
      </c>
      <c r="W3154" s="8">
        <v>0.9</v>
      </c>
      <c r="X3154" s="8">
        <v>170</v>
      </c>
      <c r="Y3154" s="8" t="s">
        <v>14510</v>
      </c>
      <c r="Z3154" s="8" t="s">
        <v>14511</v>
      </c>
    </row>
    <row r="3155" spans="1:26" x14ac:dyDescent="0.2">
      <c r="A3155" s="8">
        <v>3154</v>
      </c>
      <c r="B3155" s="8" t="s">
        <v>14512</v>
      </c>
      <c r="C3155" s="8" t="s">
        <v>14512</v>
      </c>
      <c r="F3155" s="47"/>
      <c r="G3155" s="8">
        <v>19</v>
      </c>
      <c r="H3155" s="8" t="s">
        <v>21</v>
      </c>
      <c r="I3155" s="8" t="s">
        <v>22</v>
      </c>
      <c r="J3155" s="8" t="s">
        <v>22</v>
      </c>
      <c r="K3155" s="8" t="s">
        <v>23</v>
      </c>
      <c r="L3155" s="8" t="s">
        <v>13194</v>
      </c>
      <c r="M3155" s="8" t="s">
        <v>13195</v>
      </c>
      <c r="N3155" s="8" t="s">
        <v>14513</v>
      </c>
      <c r="O3155" s="8">
        <f>10+13/60+1.1/3600</f>
        <v>10.216972222222223</v>
      </c>
      <c r="P3155" s="8" t="s">
        <v>14514</v>
      </c>
      <c r="Q3155" s="8">
        <f>+(17+2/60+4/3600)</f>
        <v>17.034444444444446</v>
      </c>
      <c r="R3155" s="8">
        <v>13.5</v>
      </c>
      <c r="S3155" s="8">
        <v>14.3</v>
      </c>
      <c r="T3155" s="8">
        <v>0.8</v>
      </c>
      <c r="U3155" s="8">
        <v>12.2</v>
      </c>
      <c r="V3155" s="8">
        <v>0.9</v>
      </c>
      <c r="W3155" s="8">
        <v>0.4</v>
      </c>
      <c r="X3155" s="8">
        <v>124</v>
      </c>
      <c r="Y3155" s="8" t="s">
        <v>972</v>
      </c>
      <c r="Z3155" s="8" t="s">
        <v>973</v>
      </c>
    </row>
    <row r="3156" spans="1:26" x14ac:dyDescent="0.2">
      <c r="A3156" s="8">
        <v>3155</v>
      </c>
      <c r="B3156" s="8" t="s">
        <v>14515</v>
      </c>
      <c r="C3156" s="8" t="s">
        <v>14515</v>
      </c>
      <c r="F3156" s="47"/>
      <c r="G3156" s="8">
        <v>16</v>
      </c>
      <c r="H3156" s="8" t="s">
        <v>21</v>
      </c>
      <c r="I3156" s="8" t="s">
        <v>22</v>
      </c>
      <c r="J3156" s="8" t="s">
        <v>57</v>
      </c>
      <c r="K3156" s="8" t="s">
        <v>476</v>
      </c>
      <c r="L3156" s="8" t="s">
        <v>13395</v>
      </c>
      <c r="M3156" s="8" t="s">
        <v>13396</v>
      </c>
      <c r="N3156" s="8" t="s">
        <v>14516</v>
      </c>
      <c r="O3156" s="8">
        <f>10+17/60+39.7/3600</f>
        <v>10.294361111111112</v>
      </c>
      <c r="P3156" s="8" t="s">
        <v>14517</v>
      </c>
      <c r="Q3156" s="8">
        <f>+(74+20/60+52/3600)</f>
        <v>74.347777777777779</v>
      </c>
      <c r="R3156" s="8">
        <v>12.9</v>
      </c>
      <c r="S3156" s="8">
        <v>13.8</v>
      </c>
      <c r="T3156" s="8">
        <v>0.9</v>
      </c>
      <c r="U3156" s="8">
        <v>12</v>
      </c>
      <c r="V3156" s="8">
        <v>1</v>
      </c>
      <c r="W3156" s="8">
        <v>0.5</v>
      </c>
      <c r="X3156" s="8">
        <v>41</v>
      </c>
      <c r="Y3156" s="8" t="s">
        <v>170</v>
      </c>
      <c r="Z3156" s="8" t="s">
        <v>171</v>
      </c>
    </row>
    <row r="3157" spans="1:26" x14ac:dyDescent="0.2">
      <c r="A3157" s="8">
        <v>3156</v>
      </c>
      <c r="B3157" s="8" t="s">
        <v>14518</v>
      </c>
      <c r="C3157" s="8" t="s">
        <v>14518</v>
      </c>
      <c r="F3157" s="47" t="s">
        <v>56748</v>
      </c>
      <c r="G3157" s="8">
        <v>6.5</v>
      </c>
      <c r="H3157" s="8" t="s">
        <v>21</v>
      </c>
      <c r="I3157" s="8" t="s">
        <v>22</v>
      </c>
      <c r="J3157" s="8" t="s">
        <v>22</v>
      </c>
      <c r="K3157" s="8" t="s">
        <v>37</v>
      </c>
      <c r="L3157" s="8" t="s">
        <v>12234</v>
      </c>
      <c r="M3157" s="8" t="s">
        <v>12235</v>
      </c>
      <c r="N3157" s="8" t="s">
        <v>14519</v>
      </c>
      <c r="O3157" s="8">
        <f>10+12/60+41.1/3600</f>
        <v>10.211416666666667</v>
      </c>
      <c r="P3157" s="8" t="s">
        <v>14520</v>
      </c>
      <c r="Q3157" s="8">
        <f>+(3+7/60+47/3600)</f>
        <v>3.1297222222222221</v>
      </c>
      <c r="R3157" s="8">
        <v>12.3</v>
      </c>
      <c r="S3157" s="8">
        <v>13.1</v>
      </c>
      <c r="T3157" s="8">
        <v>0.8</v>
      </c>
      <c r="U3157" s="8">
        <v>13</v>
      </c>
      <c r="V3157" s="8">
        <v>1.9</v>
      </c>
      <c r="W3157" s="8">
        <v>0.9</v>
      </c>
      <c r="X3157" s="8">
        <v>47</v>
      </c>
      <c r="Y3157" s="8" t="s">
        <v>14521</v>
      </c>
      <c r="Z3157" s="8" t="s">
        <v>14522</v>
      </c>
    </row>
    <row r="3158" spans="1:26" x14ac:dyDescent="0.2">
      <c r="A3158" s="8">
        <v>3157</v>
      </c>
      <c r="B3158" s="8" t="s">
        <v>14523</v>
      </c>
      <c r="C3158" s="8" t="s">
        <v>14523</v>
      </c>
      <c r="F3158" s="47"/>
      <c r="G3158" s="8">
        <v>16</v>
      </c>
      <c r="H3158" s="8" t="s">
        <v>21</v>
      </c>
      <c r="I3158" s="8" t="s">
        <v>22</v>
      </c>
      <c r="J3158" s="8" t="s">
        <v>22</v>
      </c>
      <c r="K3158" s="8" t="s">
        <v>64</v>
      </c>
      <c r="L3158" s="8" t="s">
        <v>13374</v>
      </c>
      <c r="M3158" s="8" t="s">
        <v>13375</v>
      </c>
      <c r="N3158" s="8" t="s">
        <v>14524</v>
      </c>
      <c r="O3158" s="8">
        <f>10+11/60+42.4/3600</f>
        <v>10.195111111111112</v>
      </c>
      <c r="P3158" s="8" t="s">
        <v>14525</v>
      </c>
      <c r="Q3158" s="8">
        <f>-(31+38/60+34/3600)</f>
        <v>-31.642777777777777</v>
      </c>
      <c r="R3158" s="8">
        <v>13.2</v>
      </c>
      <c r="S3158" s="8">
        <v>13.9</v>
      </c>
      <c r="T3158" s="8">
        <v>0.7</v>
      </c>
      <c r="U3158" s="8">
        <v>13.3</v>
      </c>
      <c r="V3158" s="8">
        <v>2.5</v>
      </c>
      <c r="W3158" s="8">
        <v>0.5</v>
      </c>
      <c r="X3158" s="8">
        <v>38</v>
      </c>
      <c r="Y3158" s="8" t="s">
        <v>14526</v>
      </c>
      <c r="Z3158" s="8" t="s">
        <v>14527</v>
      </c>
    </row>
    <row r="3159" spans="1:26" x14ac:dyDescent="0.2">
      <c r="A3159" s="8">
        <v>3158</v>
      </c>
      <c r="B3159" s="8" t="s">
        <v>14528</v>
      </c>
      <c r="C3159" s="8" t="s">
        <v>14528</v>
      </c>
      <c r="F3159" s="47" t="s">
        <v>56749</v>
      </c>
      <c r="G3159" s="8">
        <v>6.5</v>
      </c>
      <c r="H3159" s="8" t="s">
        <v>21</v>
      </c>
      <c r="I3159" s="8" t="s">
        <v>22</v>
      </c>
      <c r="J3159" s="8" t="s">
        <v>22</v>
      </c>
      <c r="K3159" s="8" t="s">
        <v>382</v>
      </c>
      <c r="L3159" s="8" t="s">
        <v>13179</v>
      </c>
      <c r="M3159" s="8" t="s">
        <v>13180</v>
      </c>
      <c r="N3159" s="8" t="s">
        <v>14529</v>
      </c>
      <c r="O3159" s="8">
        <f>10+13/60+50.5/3600</f>
        <v>10.230694444444445</v>
      </c>
      <c r="P3159" s="8" t="s">
        <v>14530</v>
      </c>
      <c r="Q3159" s="8">
        <f>+(38+45/60+56/3600)</f>
        <v>38.765555555555558</v>
      </c>
      <c r="R3159" s="8">
        <v>11.9</v>
      </c>
      <c r="S3159" s="8">
        <v>12.9</v>
      </c>
      <c r="T3159" s="8">
        <v>1</v>
      </c>
      <c r="U3159" s="8">
        <v>13.3</v>
      </c>
      <c r="V3159" s="8">
        <v>2</v>
      </c>
      <c r="W3159" s="8">
        <v>1.8</v>
      </c>
      <c r="X3159" s="8">
        <v>0</v>
      </c>
      <c r="Y3159" s="8" t="s">
        <v>14531</v>
      </c>
      <c r="Z3159" s="8" t="s">
        <v>14532</v>
      </c>
    </row>
    <row r="3160" spans="1:26" x14ac:dyDescent="0.2">
      <c r="A3160" s="8">
        <v>3159</v>
      </c>
      <c r="B3160" s="8" t="s">
        <v>14533</v>
      </c>
      <c r="C3160" s="8" t="s">
        <v>14533</v>
      </c>
      <c r="F3160" s="47"/>
      <c r="G3160" s="8">
        <v>19</v>
      </c>
      <c r="H3160" s="8" t="s">
        <v>21</v>
      </c>
      <c r="I3160" s="8" t="s">
        <v>22</v>
      </c>
      <c r="J3160" s="8" t="s">
        <v>22</v>
      </c>
      <c r="K3160" s="8" t="s">
        <v>1136</v>
      </c>
      <c r="L3160" s="8" t="s">
        <v>13179</v>
      </c>
      <c r="M3160" s="8" t="s">
        <v>13180</v>
      </c>
      <c r="N3160" s="8" t="s">
        <v>14534</v>
      </c>
      <c r="O3160" s="8">
        <f>10+13/60+52.8/3600</f>
        <v>10.231333333333334</v>
      </c>
      <c r="P3160" s="8" t="s">
        <v>14535</v>
      </c>
      <c r="Q3160" s="8">
        <f>+(38+39/60+18/3600)</f>
        <v>38.655000000000001</v>
      </c>
      <c r="R3160" s="8">
        <v>13.6</v>
      </c>
      <c r="S3160" s="8">
        <v>14.6</v>
      </c>
      <c r="T3160" s="8">
        <v>1</v>
      </c>
      <c r="U3160" s="8">
        <v>15.2</v>
      </c>
      <c r="V3160" s="8">
        <v>1.2</v>
      </c>
      <c r="W3160" s="8">
        <v>0.9</v>
      </c>
      <c r="X3160" s="8">
        <v>156</v>
      </c>
      <c r="Y3160" s="8" t="s">
        <v>1948</v>
      </c>
      <c r="Z3160" s="8" t="s">
        <v>1949</v>
      </c>
    </row>
    <row r="3161" spans="1:26" x14ac:dyDescent="0.2">
      <c r="A3161" s="8">
        <v>3160</v>
      </c>
      <c r="B3161" s="8" t="s">
        <v>14536</v>
      </c>
      <c r="C3161" s="8" t="s">
        <v>14536</v>
      </c>
      <c r="F3161" s="47"/>
      <c r="G3161" s="8">
        <v>18</v>
      </c>
      <c r="H3161" s="8" t="s">
        <v>21</v>
      </c>
      <c r="I3161" s="8" t="s">
        <v>22</v>
      </c>
      <c r="J3161" s="8" t="s">
        <v>22</v>
      </c>
      <c r="K3161" s="8" t="s">
        <v>449</v>
      </c>
      <c r="L3161" s="8" t="s">
        <v>13179</v>
      </c>
      <c r="M3161" s="8" t="s">
        <v>13180</v>
      </c>
      <c r="N3161" s="8" t="s">
        <v>14537</v>
      </c>
      <c r="O3161" s="8">
        <f>10+13/60+55.2/3600</f>
        <v>10.231999999999999</v>
      </c>
      <c r="P3161" s="8" t="s">
        <v>14538</v>
      </c>
      <c r="Q3161" s="8">
        <f>+(38+50/60+34/3600)</f>
        <v>38.842777777777783</v>
      </c>
      <c r="R3161" s="8">
        <v>14.1</v>
      </c>
      <c r="S3161" s="8">
        <v>15</v>
      </c>
      <c r="T3161" s="8">
        <v>0.9</v>
      </c>
      <c r="U3161" s="8">
        <v>13</v>
      </c>
      <c r="V3161" s="8">
        <v>1.3</v>
      </c>
      <c r="W3161" s="8">
        <v>0.3</v>
      </c>
      <c r="X3161" s="8">
        <v>140</v>
      </c>
      <c r="Y3161" s="8" t="s">
        <v>2500</v>
      </c>
      <c r="Z3161" s="8" t="s">
        <v>2501</v>
      </c>
    </row>
    <row r="3162" spans="1:26" x14ac:dyDescent="0.2">
      <c r="A3162" s="8">
        <v>3161</v>
      </c>
      <c r="B3162" s="8" t="s">
        <v>14539</v>
      </c>
      <c r="C3162" s="8" t="s">
        <v>14539</v>
      </c>
      <c r="F3162" s="47"/>
      <c r="G3162" s="8">
        <v>19</v>
      </c>
      <c r="H3162" s="8" t="s">
        <v>21</v>
      </c>
      <c r="I3162" s="8" t="s">
        <v>22</v>
      </c>
      <c r="J3162" s="8" t="s">
        <v>22</v>
      </c>
      <c r="K3162" s="8" t="s">
        <v>1136</v>
      </c>
      <c r="L3162" s="8" t="s">
        <v>13179</v>
      </c>
      <c r="M3162" s="8" t="s">
        <v>13180</v>
      </c>
      <c r="N3162" s="8" t="s">
        <v>14540</v>
      </c>
      <c r="O3162" s="8">
        <f>10+13/60+59.1/3600</f>
        <v>10.233083333333333</v>
      </c>
      <c r="P3162" s="8" t="s">
        <v>14541</v>
      </c>
      <c r="Q3162" s="8">
        <f>+(38+39/60+28/3600)</f>
        <v>38.657777777777774</v>
      </c>
      <c r="R3162" s="8">
        <v>13.7</v>
      </c>
      <c r="S3162" s="8">
        <v>14.8</v>
      </c>
      <c r="T3162" s="8">
        <v>1.1000000000000001</v>
      </c>
      <c r="U3162" s="8">
        <v>12.8</v>
      </c>
      <c r="V3162" s="8">
        <v>0.8</v>
      </c>
      <c r="W3162" s="8">
        <v>0.6</v>
      </c>
      <c r="X3162" s="8">
        <v>2</v>
      </c>
      <c r="Y3162" s="8" t="s">
        <v>282</v>
      </c>
      <c r="Z3162" s="8" t="s">
        <v>283</v>
      </c>
    </row>
    <row r="3163" spans="1:26" x14ac:dyDescent="0.2">
      <c r="A3163" s="8">
        <v>3162</v>
      </c>
      <c r="B3163" s="8" t="s">
        <v>14542</v>
      </c>
      <c r="C3163" s="8" t="s">
        <v>14542</v>
      </c>
      <c r="F3163" s="47" t="s">
        <v>56750</v>
      </c>
      <c r="G3163" s="8">
        <v>6.5</v>
      </c>
      <c r="H3163" s="8" t="s">
        <v>21</v>
      </c>
      <c r="I3163" s="8" t="s">
        <v>22</v>
      </c>
      <c r="J3163" s="8" t="s">
        <v>22</v>
      </c>
      <c r="K3163" s="8" t="s">
        <v>85</v>
      </c>
      <c r="L3163" s="8" t="s">
        <v>13194</v>
      </c>
      <c r="M3163" s="8" t="s">
        <v>13195</v>
      </c>
      <c r="N3163" s="8" t="s">
        <v>14543</v>
      </c>
      <c r="O3163" s="8">
        <f>10+13/60+31.5/3600</f>
        <v>10.225416666666666</v>
      </c>
      <c r="P3163" s="8" t="s">
        <v>14544</v>
      </c>
      <c r="Q3163" s="8">
        <f>+(22+44/60+14/3600)</f>
        <v>22.737222222222222</v>
      </c>
      <c r="R3163" s="8">
        <v>11.6</v>
      </c>
      <c r="S3163" s="8">
        <v>12.2</v>
      </c>
      <c r="T3163" s="8">
        <v>0.6</v>
      </c>
      <c r="U3163" s="8">
        <v>13.7</v>
      </c>
      <c r="V3163" s="8">
        <v>3.1</v>
      </c>
      <c r="W3163" s="8">
        <v>2.7</v>
      </c>
      <c r="X3163" s="8">
        <v>33</v>
      </c>
      <c r="Y3163" s="8" t="s">
        <v>14545</v>
      </c>
      <c r="Z3163" s="8" t="s">
        <v>14546</v>
      </c>
    </row>
    <row r="3164" spans="1:26" x14ac:dyDescent="0.2">
      <c r="A3164" s="8">
        <v>3163</v>
      </c>
      <c r="B3164" s="8" t="s">
        <v>14547</v>
      </c>
      <c r="C3164" s="8" t="s">
        <v>14547</v>
      </c>
      <c r="F3164" s="47" t="s">
        <v>56751</v>
      </c>
      <c r="G3164" s="8">
        <v>15</v>
      </c>
      <c r="H3164" s="8" t="s">
        <v>21</v>
      </c>
      <c r="I3164" s="8" t="s">
        <v>22</v>
      </c>
      <c r="J3164" s="8" t="s">
        <v>22</v>
      </c>
      <c r="K3164" s="8" t="s">
        <v>58</v>
      </c>
      <c r="L3164" s="8" t="s">
        <v>13179</v>
      </c>
      <c r="M3164" s="8" t="s">
        <v>13180</v>
      </c>
      <c r="N3164" s="8" t="s">
        <v>14548</v>
      </c>
      <c r="O3164" s="8">
        <f>10+14/60+7.1/3600</f>
        <v>10.235305555555554</v>
      </c>
      <c r="P3164" s="8" t="s">
        <v>14549</v>
      </c>
      <c r="Q3164" s="8">
        <f>+(38+39/60+10/3600)</f>
        <v>38.652777777777779</v>
      </c>
      <c r="R3164" s="8">
        <v>13.3</v>
      </c>
      <c r="S3164" s="8">
        <v>14.3</v>
      </c>
      <c r="T3164" s="8">
        <v>1</v>
      </c>
      <c r="U3164" s="8">
        <v>14</v>
      </c>
      <c r="V3164" s="8">
        <v>1.2</v>
      </c>
      <c r="W3164" s="8">
        <v>1.1000000000000001</v>
      </c>
      <c r="X3164" s="8">
        <v>30</v>
      </c>
      <c r="Y3164" s="8" t="s">
        <v>6420</v>
      </c>
      <c r="Z3164" s="8" t="s">
        <v>6421</v>
      </c>
    </row>
    <row r="3165" spans="1:26" x14ac:dyDescent="0.2">
      <c r="A3165" s="8">
        <v>3164</v>
      </c>
      <c r="B3165" s="8" t="s">
        <v>14550</v>
      </c>
      <c r="C3165" s="8" t="s">
        <v>14550</v>
      </c>
      <c r="F3165" s="47"/>
      <c r="G3165" s="8">
        <v>16</v>
      </c>
      <c r="H3165" s="8" t="s">
        <v>21</v>
      </c>
      <c r="I3165" s="8" t="s">
        <v>22</v>
      </c>
      <c r="J3165" s="8" t="s">
        <v>22</v>
      </c>
      <c r="K3165" s="8" t="s">
        <v>476</v>
      </c>
      <c r="L3165" s="8" t="s">
        <v>12015</v>
      </c>
      <c r="M3165" s="8" t="s">
        <v>12016</v>
      </c>
      <c r="N3165" s="8" t="s">
        <v>14551</v>
      </c>
      <c r="O3165" s="8">
        <f>10+15/60+11.5/3600</f>
        <v>10.253194444444444</v>
      </c>
      <c r="P3165" s="8" t="s">
        <v>14552</v>
      </c>
      <c r="Q3165" s="8">
        <f>+(56+40/60+20/3600)</f>
        <v>56.672222222222217</v>
      </c>
      <c r="R3165" s="8">
        <v>13.7</v>
      </c>
      <c r="S3165" s="8">
        <v>14.6</v>
      </c>
      <c r="T3165" s="8">
        <v>0.9</v>
      </c>
      <c r="U3165" s="8">
        <v>13</v>
      </c>
      <c r="V3165" s="8">
        <v>0.9</v>
      </c>
      <c r="W3165" s="8">
        <v>0.7</v>
      </c>
      <c r="X3165" s="8">
        <v>0</v>
      </c>
      <c r="Y3165" s="8" t="s">
        <v>14553</v>
      </c>
      <c r="Z3165" s="8" t="s">
        <v>14554</v>
      </c>
    </row>
    <row r="3166" spans="1:26" x14ac:dyDescent="0.2">
      <c r="A3166" s="8">
        <v>3165</v>
      </c>
      <c r="B3166" s="8" t="s">
        <v>14555</v>
      </c>
      <c r="C3166" s="8" t="s">
        <v>14555</v>
      </c>
      <c r="F3166" s="47"/>
      <c r="G3166" s="8">
        <v>18</v>
      </c>
      <c r="H3166" s="8" t="s">
        <v>21</v>
      </c>
      <c r="I3166" s="8" t="s">
        <v>22</v>
      </c>
      <c r="J3166" s="8" t="s">
        <v>22</v>
      </c>
      <c r="K3166" s="8" t="s">
        <v>8062</v>
      </c>
      <c r="L3166" s="8" t="s">
        <v>12234</v>
      </c>
      <c r="M3166" s="8" t="s">
        <v>12235</v>
      </c>
      <c r="N3166" s="8" t="s">
        <v>14556</v>
      </c>
      <c r="O3166" s="8">
        <f>10+13/60+31.4/3600</f>
        <v>10.225388888888888</v>
      </c>
      <c r="P3166" s="8" t="s">
        <v>14557</v>
      </c>
      <c r="Q3166" s="8">
        <f>+(3+22/60+30/3600)</f>
        <v>3.375</v>
      </c>
      <c r="R3166" s="8">
        <v>13.9</v>
      </c>
      <c r="S3166" s="8">
        <v>14.5</v>
      </c>
      <c r="T3166" s="8">
        <v>0.6</v>
      </c>
      <c r="U3166" s="8">
        <v>14</v>
      </c>
      <c r="V3166" s="8">
        <v>1.3</v>
      </c>
      <c r="W3166" s="8">
        <v>0.7</v>
      </c>
      <c r="X3166" s="8">
        <v>177</v>
      </c>
      <c r="Y3166" s="8" t="s">
        <v>14558</v>
      </c>
      <c r="Z3166" s="8" t="s">
        <v>14559</v>
      </c>
    </row>
    <row r="3167" spans="1:26" x14ac:dyDescent="0.2">
      <c r="A3167" s="8">
        <v>3166</v>
      </c>
      <c r="B3167" s="8" t="s">
        <v>14560</v>
      </c>
      <c r="C3167" s="8" t="s">
        <v>14560</v>
      </c>
      <c r="F3167" s="47" t="s">
        <v>56752</v>
      </c>
      <c r="G3167" s="8">
        <v>6</v>
      </c>
      <c r="H3167" s="8" t="s">
        <v>21</v>
      </c>
      <c r="I3167" s="8" t="s">
        <v>22</v>
      </c>
      <c r="J3167" s="8" t="s">
        <v>22</v>
      </c>
      <c r="K3167" s="8" t="s">
        <v>435</v>
      </c>
      <c r="L3167" s="8" t="s">
        <v>12234</v>
      </c>
      <c r="M3167" s="8" t="s">
        <v>12235</v>
      </c>
      <c r="N3167" s="8" t="s">
        <v>14561</v>
      </c>
      <c r="O3167" s="8">
        <f>10+13/60+45.5/3600</f>
        <v>10.229305555555555</v>
      </c>
      <c r="P3167" s="8" t="s">
        <v>14562</v>
      </c>
      <c r="Q3167" s="8">
        <f>+(3+25/60+33/3600)</f>
        <v>3.4258333333333333</v>
      </c>
      <c r="R3167" s="8">
        <v>10.4</v>
      </c>
      <c r="S3167" s="8">
        <v>11.3</v>
      </c>
      <c r="T3167" s="8">
        <v>0.9</v>
      </c>
      <c r="U3167" s="8">
        <v>12.9</v>
      </c>
      <c r="V3167" s="8">
        <v>4.8</v>
      </c>
      <c r="W3167" s="8">
        <v>2.2999999999999998</v>
      </c>
      <c r="X3167" s="8">
        <v>87</v>
      </c>
      <c r="Y3167" s="8" t="s">
        <v>14563</v>
      </c>
      <c r="Z3167" s="8" t="s">
        <v>14564</v>
      </c>
    </row>
    <row r="3168" spans="1:26" x14ac:dyDescent="0.2">
      <c r="A3168" s="8">
        <v>3167</v>
      </c>
      <c r="B3168" s="8" t="s">
        <v>14565</v>
      </c>
      <c r="C3168" s="8" t="s">
        <v>14565</v>
      </c>
      <c r="F3168" s="47"/>
      <c r="G3168" s="8">
        <v>18</v>
      </c>
      <c r="H3168" s="8" t="s">
        <v>21</v>
      </c>
      <c r="I3168" s="8" t="s">
        <v>22</v>
      </c>
      <c r="J3168" s="8" t="s">
        <v>22</v>
      </c>
      <c r="K3168" s="8" t="s">
        <v>435</v>
      </c>
      <c r="L3168" s="8" t="s">
        <v>11551</v>
      </c>
      <c r="M3168" s="8" t="s">
        <v>11552</v>
      </c>
      <c r="N3168" s="8" t="s">
        <v>12863</v>
      </c>
      <c r="O3168" s="8">
        <f>9+14/60+59.7/3600</f>
        <v>9.2499166666666657</v>
      </c>
      <c r="P3168" s="8" t="s">
        <v>12864</v>
      </c>
      <c r="Q3168" s="8">
        <f>+(29+43/60+49/3600)</f>
        <v>29.730277777777776</v>
      </c>
      <c r="R3168" s="8">
        <v>12.2</v>
      </c>
      <c r="S3168" s="8">
        <v>13.1</v>
      </c>
      <c r="T3168" s="8">
        <v>0.9</v>
      </c>
      <c r="U3168" s="8">
        <v>12.8</v>
      </c>
      <c r="V3168" s="8">
        <v>1.5</v>
      </c>
      <c r="W3168" s="8">
        <v>1.3</v>
      </c>
      <c r="X3168" s="8">
        <v>20</v>
      </c>
      <c r="Y3168" s="8" t="s">
        <v>14566</v>
      </c>
      <c r="Z3168" s="8" t="s">
        <v>14567</v>
      </c>
    </row>
    <row r="3169" spans="1:26" x14ac:dyDescent="0.2">
      <c r="A3169" s="8">
        <v>3168</v>
      </c>
      <c r="B3169" s="8" t="s">
        <v>14568</v>
      </c>
      <c r="C3169" s="8" t="s">
        <v>14568</v>
      </c>
      <c r="F3169" s="47"/>
      <c r="G3169" s="8">
        <v>16</v>
      </c>
      <c r="H3169" s="8" t="s">
        <v>21</v>
      </c>
      <c r="I3169" s="8" t="s">
        <v>22</v>
      </c>
      <c r="J3169" s="8" t="s">
        <v>22</v>
      </c>
      <c r="K3169" s="8" t="s">
        <v>183</v>
      </c>
      <c r="L3169" s="8" t="s">
        <v>12015</v>
      </c>
      <c r="M3169" s="8" t="s">
        <v>12016</v>
      </c>
      <c r="N3169" s="8" t="s">
        <v>14569</v>
      </c>
      <c r="O3169" s="8">
        <f>10+16/60+23/3600</f>
        <v>10.273055555555556</v>
      </c>
      <c r="P3169" s="8" t="s">
        <v>14570</v>
      </c>
      <c r="Q3169" s="8">
        <f>+(60+14/60+6/3600)</f>
        <v>60.234999999999999</v>
      </c>
      <c r="R3169" s="8">
        <v>13.4</v>
      </c>
      <c r="S3169" s="8">
        <v>14.4</v>
      </c>
      <c r="T3169" s="8">
        <v>1</v>
      </c>
      <c r="U3169" s="8">
        <v>13.4</v>
      </c>
      <c r="V3169" s="8">
        <v>1</v>
      </c>
      <c r="W3169" s="8">
        <v>0.9</v>
      </c>
      <c r="X3169" s="8">
        <v>45</v>
      </c>
      <c r="Y3169" s="8" t="s">
        <v>14571</v>
      </c>
      <c r="Z3169" s="8" t="s">
        <v>14572</v>
      </c>
    </row>
    <row r="3170" spans="1:26" x14ac:dyDescent="0.2">
      <c r="A3170" s="8">
        <v>3169</v>
      </c>
      <c r="B3170" s="8" t="s">
        <v>14573</v>
      </c>
      <c r="C3170" s="8" t="s">
        <v>14573</v>
      </c>
      <c r="F3170" s="47" t="s">
        <v>56753</v>
      </c>
      <c r="G3170" s="8">
        <v>6</v>
      </c>
      <c r="H3170" s="8" t="s">
        <v>21</v>
      </c>
      <c r="I3170" s="8" t="s">
        <v>22</v>
      </c>
      <c r="J3170" s="8" t="s">
        <v>22</v>
      </c>
      <c r="K3170" s="8" t="s">
        <v>91</v>
      </c>
      <c r="L3170" s="8" t="s">
        <v>12234</v>
      </c>
      <c r="M3170" s="8" t="s">
        <v>12235</v>
      </c>
      <c r="N3170" s="8" t="s">
        <v>14574</v>
      </c>
      <c r="O3170" s="8">
        <f>10+14/60+14.7/3600</f>
        <v>10.237416666666666</v>
      </c>
      <c r="P3170" s="8" t="s">
        <v>14575</v>
      </c>
      <c r="Q3170" s="8">
        <f>+(3+28/60+1/3600)</f>
        <v>3.4669444444444446</v>
      </c>
      <c r="R3170" s="8">
        <v>10.199999999999999</v>
      </c>
      <c r="S3170" s="8">
        <v>11.1</v>
      </c>
      <c r="T3170" s="8">
        <v>0.9</v>
      </c>
      <c r="U3170" s="8">
        <v>12.8</v>
      </c>
      <c r="V3170" s="8">
        <v>4.2</v>
      </c>
      <c r="W3170" s="8">
        <v>2.9</v>
      </c>
      <c r="X3170" s="8">
        <v>45</v>
      </c>
      <c r="Y3170" s="8" t="s">
        <v>14576</v>
      </c>
      <c r="Z3170" s="8" t="s">
        <v>14577</v>
      </c>
    </row>
    <row r="3171" spans="1:26" x14ac:dyDescent="0.2">
      <c r="A3171" s="8">
        <v>3170</v>
      </c>
      <c r="B3171" s="8" t="s">
        <v>14578</v>
      </c>
      <c r="C3171" s="8" t="s">
        <v>14578</v>
      </c>
      <c r="F3171" s="47"/>
      <c r="G3171" s="8">
        <v>16</v>
      </c>
      <c r="H3171" s="8" t="s">
        <v>21</v>
      </c>
      <c r="I3171" s="8" t="s">
        <v>72</v>
      </c>
      <c r="J3171" s="8" t="s">
        <v>72</v>
      </c>
      <c r="K3171" s="8" t="s">
        <v>73</v>
      </c>
      <c r="L3171" s="8" t="s">
        <v>12015</v>
      </c>
      <c r="M3171" s="8" t="s">
        <v>12016</v>
      </c>
      <c r="N3171" s="8" t="s">
        <v>14579</v>
      </c>
      <c r="O3171" s="8">
        <f>10+16/60+14.4/3600</f>
        <v>10.270666666666667</v>
      </c>
      <c r="P3171" s="8" t="s">
        <v>14580</v>
      </c>
      <c r="Q3171" s="8">
        <f>+(46+36/60+45/3600)</f>
        <v>46.612500000000004</v>
      </c>
      <c r="R3171" s="8">
        <v>99</v>
      </c>
      <c r="S3171" s="8">
        <v>99</v>
      </c>
      <c r="T3171" s="8">
        <v>99</v>
      </c>
      <c r="U3171" s="8">
        <v>99</v>
      </c>
      <c r="Y3171" s="8" t="s">
        <v>895</v>
      </c>
      <c r="Z3171" s="8" t="s">
        <v>896</v>
      </c>
    </row>
    <row r="3172" spans="1:26" x14ac:dyDescent="0.2">
      <c r="A3172" s="8">
        <v>3171</v>
      </c>
      <c r="B3172" s="8" t="s">
        <v>14581</v>
      </c>
      <c r="C3172" s="8" t="s">
        <v>14581</v>
      </c>
      <c r="F3172" s="47"/>
      <c r="G3172" s="8">
        <v>19</v>
      </c>
      <c r="H3172" s="8" t="s">
        <v>21</v>
      </c>
      <c r="I3172" s="8" t="s">
        <v>22</v>
      </c>
      <c r="J3172" s="8" t="s">
        <v>22</v>
      </c>
      <c r="K3172" s="8" t="s">
        <v>58</v>
      </c>
      <c r="L3172" s="8" t="s">
        <v>11765</v>
      </c>
      <c r="M3172" s="8" t="s">
        <v>11766</v>
      </c>
      <c r="N3172" s="8" t="s">
        <v>14582</v>
      </c>
      <c r="O3172" s="8">
        <f>10+15/60+36.8/3600</f>
        <v>10.260222222222222</v>
      </c>
      <c r="P3172" s="8" t="s">
        <v>14583</v>
      </c>
      <c r="Q3172" s="8">
        <f>-(20+38/60+51/3600)</f>
        <v>-20.647500000000001</v>
      </c>
      <c r="R3172" s="8">
        <v>12.8</v>
      </c>
      <c r="S3172" s="8">
        <v>13.8</v>
      </c>
      <c r="T3172" s="8">
        <v>1</v>
      </c>
      <c r="U3172" s="8">
        <v>13.5</v>
      </c>
      <c r="V3172" s="8">
        <v>1.6</v>
      </c>
      <c r="W3172" s="8">
        <v>1.1000000000000001</v>
      </c>
      <c r="X3172" s="8">
        <v>176</v>
      </c>
      <c r="Y3172" s="8" t="s">
        <v>3923</v>
      </c>
      <c r="Z3172" s="8" t="s">
        <v>3924</v>
      </c>
    </row>
    <row r="3173" spans="1:26" x14ac:dyDescent="0.2">
      <c r="A3173" s="8">
        <v>3172</v>
      </c>
      <c r="B3173" s="8" t="s">
        <v>14584</v>
      </c>
      <c r="C3173" s="8" t="s">
        <v>14584</v>
      </c>
      <c r="F3173" s="47"/>
      <c r="G3173" s="8">
        <v>12</v>
      </c>
      <c r="H3173" s="8" t="s">
        <v>14585</v>
      </c>
      <c r="I3173" s="8" t="s">
        <v>22</v>
      </c>
      <c r="J3173" s="8" t="s">
        <v>22</v>
      </c>
      <c r="K3173" s="8" t="s">
        <v>476</v>
      </c>
      <c r="L3173" s="8" t="s">
        <v>14586</v>
      </c>
      <c r="M3173" s="8" t="s">
        <v>14587</v>
      </c>
      <c r="N3173" s="8" t="s">
        <v>14588</v>
      </c>
      <c r="O3173" s="8">
        <f>11+47/60+14.5/3600</f>
        <v>11.78736111111111</v>
      </c>
      <c r="P3173" s="8" t="s">
        <v>14589</v>
      </c>
      <c r="Q3173" s="8">
        <f>+(89+5/60+37/3600)</f>
        <v>89.093611111111102</v>
      </c>
      <c r="R3173" s="8">
        <v>14.1</v>
      </c>
      <c r="S3173" s="8">
        <v>15</v>
      </c>
      <c r="T3173" s="8">
        <v>0.9</v>
      </c>
      <c r="U3173" s="8">
        <v>13.7</v>
      </c>
      <c r="V3173" s="8">
        <v>1</v>
      </c>
      <c r="W3173" s="8">
        <v>0.7</v>
      </c>
      <c r="X3173" s="8">
        <v>39</v>
      </c>
      <c r="Y3173" s="8" t="s">
        <v>14590</v>
      </c>
      <c r="Z3173" s="8" t="s">
        <v>14591</v>
      </c>
    </row>
    <row r="3174" spans="1:26" x14ac:dyDescent="0.2">
      <c r="A3174" s="8">
        <v>3173</v>
      </c>
      <c r="B3174" s="8" t="s">
        <v>14592</v>
      </c>
      <c r="C3174" s="8" t="s">
        <v>14592</v>
      </c>
      <c r="F3174" s="47"/>
      <c r="G3174" s="8">
        <v>16</v>
      </c>
      <c r="H3174" s="8" t="s">
        <v>21</v>
      </c>
      <c r="I3174" s="8" t="s">
        <v>22</v>
      </c>
      <c r="J3174" s="8" t="s">
        <v>22</v>
      </c>
      <c r="K3174" s="8" t="s">
        <v>160</v>
      </c>
      <c r="L3174" s="8" t="s">
        <v>13374</v>
      </c>
      <c r="M3174" s="8" t="s">
        <v>13375</v>
      </c>
      <c r="N3174" s="8" t="s">
        <v>14593</v>
      </c>
      <c r="O3174" s="8">
        <f>10+14/60+35/3600</f>
        <v>10.243055555555555</v>
      </c>
      <c r="P3174" s="8" t="s">
        <v>14594</v>
      </c>
      <c r="Q3174" s="8">
        <f>-(27+41/60+36/3600)</f>
        <v>-27.693333333333335</v>
      </c>
      <c r="R3174" s="8">
        <v>12.8</v>
      </c>
      <c r="S3174" s="8">
        <v>13.5</v>
      </c>
      <c r="T3174" s="8">
        <v>0.7</v>
      </c>
      <c r="U3174" s="8">
        <v>14</v>
      </c>
      <c r="V3174" s="8">
        <v>2.1</v>
      </c>
      <c r="W3174" s="8">
        <v>1.7</v>
      </c>
      <c r="X3174" s="8">
        <v>7</v>
      </c>
      <c r="Y3174" s="8" t="s">
        <v>14595</v>
      </c>
      <c r="Z3174" s="8" t="s">
        <v>14596</v>
      </c>
    </row>
    <row r="3175" spans="1:26" x14ac:dyDescent="0.2">
      <c r="A3175" s="8">
        <v>3174</v>
      </c>
      <c r="B3175" s="8" t="s">
        <v>14597</v>
      </c>
      <c r="C3175" s="8" t="s">
        <v>14597</v>
      </c>
      <c r="F3175" s="47" t="s">
        <v>56754</v>
      </c>
      <c r="G3175" s="8">
        <v>15</v>
      </c>
      <c r="H3175" s="8" t="s">
        <v>21</v>
      </c>
      <c r="I3175" s="8" t="s">
        <v>22</v>
      </c>
      <c r="J3175" s="8" t="s">
        <v>22</v>
      </c>
      <c r="K3175" s="8" t="s">
        <v>7975</v>
      </c>
      <c r="L3175" s="8" t="s">
        <v>13395</v>
      </c>
      <c r="M3175" s="8" t="s">
        <v>13396</v>
      </c>
      <c r="N3175" s="8" t="s">
        <v>14469</v>
      </c>
      <c r="O3175" s="8">
        <f>10+15/60+32.1/3600</f>
        <v>10.258916666666666</v>
      </c>
      <c r="P3175" s="8" t="s">
        <v>14470</v>
      </c>
      <c r="Q3175" s="8">
        <f>+(74+13/60+14/3600)</f>
        <v>74.220555555555563</v>
      </c>
      <c r="R3175" s="8">
        <v>13.4</v>
      </c>
      <c r="S3175" s="8">
        <v>14.4</v>
      </c>
      <c r="T3175" s="8">
        <v>1</v>
      </c>
      <c r="U3175" s="8">
        <v>13.1</v>
      </c>
      <c r="V3175" s="8">
        <v>1.2</v>
      </c>
      <c r="W3175" s="8">
        <v>0.7</v>
      </c>
      <c r="X3175" s="8">
        <v>5</v>
      </c>
      <c r="Y3175" s="8" t="s">
        <v>14598</v>
      </c>
      <c r="Z3175" s="8" t="s">
        <v>14599</v>
      </c>
    </row>
    <row r="3176" spans="1:26" x14ac:dyDescent="0.2">
      <c r="A3176" s="8">
        <v>3175</v>
      </c>
      <c r="B3176" s="8" t="s">
        <v>14600</v>
      </c>
      <c r="C3176" s="8" t="s">
        <v>14600</v>
      </c>
      <c r="F3176" s="47"/>
      <c r="G3176" s="8">
        <v>16</v>
      </c>
      <c r="H3176" s="8" t="s">
        <v>21</v>
      </c>
      <c r="I3176" s="8" t="s">
        <v>22</v>
      </c>
      <c r="J3176" s="8" t="s">
        <v>22</v>
      </c>
      <c r="K3176" s="8" t="s">
        <v>406</v>
      </c>
      <c r="L3176" s="8" t="s">
        <v>13374</v>
      </c>
      <c r="M3176" s="8" t="s">
        <v>13375</v>
      </c>
      <c r="N3176" s="8" t="s">
        <v>14601</v>
      </c>
      <c r="O3176" s="8">
        <f>10+14/60+42.3/3600</f>
        <v>10.245083333333332</v>
      </c>
      <c r="P3176" s="8" t="s">
        <v>14602</v>
      </c>
      <c r="Q3176" s="8">
        <f>-(28+52/60+16/3600)</f>
        <v>-28.871111111111112</v>
      </c>
      <c r="R3176" s="8">
        <v>11.2</v>
      </c>
      <c r="S3176" s="8">
        <v>12.1</v>
      </c>
      <c r="T3176" s="8">
        <v>0.9</v>
      </c>
      <c r="U3176" s="8">
        <v>13.1</v>
      </c>
      <c r="V3176" s="8">
        <v>5.0999999999999996</v>
      </c>
      <c r="W3176" s="8">
        <v>1.3</v>
      </c>
      <c r="X3176" s="8">
        <v>56</v>
      </c>
      <c r="Y3176" s="8" t="s">
        <v>14603</v>
      </c>
      <c r="Z3176" s="8" t="s">
        <v>14604</v>
      </c>
    </row>
    <row r="3177" spans="1:26" x14ac:dyDescent="0.2">
      <c r="A3177" s="8">
        <v>3176</v>
      </c>
      <c r="B3177" s="8" t="s">
        <v>14605</v>
      </c>
      <c r="C3177" s="8" t="s">
        <v>14605</v>
      </c>
      <c r="F3177" s="47"/>
      <c r="G3177" s="8">
        <v>19</v>
      </c>
      <c r="H3177" s="8" t="s">
        <v>21</v>
      </c>
      <c r="I3177" s="8" t="s">
        <v>22</v>
      </c>
      <c r="J3177" s="8" t="s">
        <v>22</v>
      </c>
      <c r="K3177" s="8" t="s">
        <v>396</v>
      </c>
      <c r="L3177" s="8" t="s">
        <v>11765</v>
      </c>
      <c r="M3177" s="8" t="s">
        <v>11766</v>
      </c>
      <c r="N3177" s="8" t="s">
        <v>14606</v>
      </c>
      <c r="O3177" s="8">
        <f>10+14/60+52.1/3600</f>
        <v>10.247805555555555</v>
      </c>
      <c r="P3177" s="8" t="s">
        <v>14607</v>
      </c>
      <c r="Q3177" s="8">
        <f>-(20+0/60+45/3600)</f>
        <v>-20.012499999999999</v>
      </c>
      <c r="R3177" s="8">
        <v>14.2</v>
      </c>
      <c r="S3177" s="8">
        <v>14.8</v>
      </c>
      <c r="T3177" s="8">
        <v>0.6</v>
      </c>
      <c r="U3177" s="8">
        <v>12.5</v>
      </c>
      <c r="V3177" s="8">
        <v>0.6</v>
      </c>
      <c r="W3177" s="8">
        <v>0.5</v>
      </c>
      <c r="X3177" s="8">
        <v>15</v>
      </c>
      <c r="Y3177" s="8" t="s">
        <v>14608</v>
      </c>
      <c r="Z3177" s="8" t="s">
        <v>14609</v>
      </c>
    </row>
    <row r="3178" spans="1:26" x14ac:dyDescent="0.2">
      <c r="A3178" s="8">
        <v>3177</v>
      </c>
      <c r="B3178" s="8" t="s">
        <v>14610</v>
      </c>
      <c r="C3178" s="8" t="s">
        <v>14610</v>
      </c>
      <c r="F3178" s="47" t="s">
        <v>56755</v>
      </c>
      <c r="G3178" s="8">
        <v>6.5</v>
      </c>
      <c r="H3178" s="8" t="s">
        <v>21</v>
      </c>
      <c r="I3178" s="8" t="s">
        <v>22</v>
      </c>
      <c r="J3178" s="8" t="s">
        <v>22</v>
      </c>
      <c r="K3178" s="8" t="s">
        <v>396</v>
      </c>
      <c r="L3178" s="8" t="s">
        <v>13194</v>
      </c>
      <c r="M3178" s="8" t="s">
        <v>13195</v>
      </c>
      <c r="N3178" s="8" t="s">
        <v>14611</v>
      </c>
      <c r="O3178" s="8">
        <f>10+16/60+34.1/3600</f>
        <v>10.276138888888889</v>
      </c>
      <c r="P3178" s="8" t="s">
        <v>14612</v>
      </c>
      <c r="Q3178" s="8">
        <f>+(21+7/60+23/3600)</f>
        <v>21.123055555555556</v>
      </c>
      <c r="R3178" s="8">
        <v>12.4</v>
      </c>
      <c r="S3178" s="8">
        <v>13</v>
      </c>
      <c r="T3178" s="8">
        <v>0.6</v>
      </c>
      <c r="U3178" s="8">
        <v>12.8</v>
      </c>
      <c r="V3178" s="8">
        <v>1.5</v>
      </c>
      <c r="W3178" s="8">
        <v>1.2</v>
      </c>
      <c r="X3178" s="8">
        <v>135</v>
      </c>
      <c r="Y3178" s="8" t="s">
        <v>9199</v>
      </c>
      <c r="Z3178" s="8" t="s">
        <v>9200</v>
      </c>
    </row>
    <row r="3179" spans="1:26" x14ac:dyDescent="0.2">
      <c r="A3179" s="8">
        <v>3178</v>
      </c>
      <c r="B3179" s="8" t="s">
        <v>14613</v>
      </c>
      <c r="C3179" s="8" t="s">
        <v>14613</v>
      </c>
      <c r="F3179" s="47"/>
      <c r="G3179" s="8">
        <v>16</v>
      </c>
      <c r="H3179" s="8" t="s">
        <v>21</v>
      </c>
      <c r="I3179" s="8" t="s">
        <v>22</v>
      </c>
      <c r="J3179" s="8" t="s">
        <v>22</v>
      </c>
      <c r="K3179" s="8" t="s">
        <v>160</v>
      </c>
      <c r="L3179" s="8" t="s">
        <v>11765</v>
      </c>
      <c r="M3179" s="8" t="s">
        <v>11766</v>
      </c>
      <c r="N3179" s="8" t="s">
        <v>14614</v>
      </c>
      <c r="O3179" s="8">
        <f>10+16/60+9.4/3600</f>
        <v>10.269277777777779</v>
      </c>
      <c r="P3179" s="8" t="s">
        <v>14615</v>
      </c>
      <c r="Q3179" s="8">
        <f>-(15+47/60+28/3600)</f>
        <v>-15.79111111111111</v>
      </c>
      <c r="R3179" s="8">
        <v>12.7</v>
      </c>
      <c r="S3179" s="8">
        <v>13.4</v>
      </c>
      <c r="T3179" s="8">
        <v>0.7</v>
      </c>
      <c r="U3179" s="8">
        <v>12.5</v>
      </c>
      <c r="V3179" s="8">
        <v>1.4</v>
      </c>
      <c r="W3179" s="8">
        <v>0.7</v>
      </c>
      <c r="X3179" s="8">
        <v>70</v>
      </c>
      <c r="Y3179" s="8" t="s">
        <v>14616</v>
      </c>
      <c r="Z3179" s="8" t="s">
        <v>14617</v>
      </c>
    </row>
    <row r="3180" spans="1:26" x14ac:dyDescent="0.2">
      <c r="A3180" s="8">
        <v>3179</v>
      </c>
      <c r="B3180" s="8" t="s">
        <v>14618</v>
      </c>
      <c r="C3180" s="8" t="s">
        <v>14618</v>
      </c>
      <c r="F3180" s="47"/>
      <c r="G3180" s="8">
        <v>19</v>
      </c>
      <c r="H3180" s="8" t="s">
        <v>21</v>
      </c>
      <c r="I3180" s="8" t="s">
        <v>22</v>
      </c>
      <c r="J3180" s="8" t="s">
        <v>22</v>
      </c>
      <c r="K3180" s="8" t="s">
        <v>37</v>
      </c>
      <c r="L3180" s="8" t="s">
        <v>12015</v>
      </c>
      <c r="M3180" s="8" t="s">
        <v>12016</v>
      </c>
      <c r="N3180" s="8" t="s">
        <v>14619</v>
      </c>
      <c r="O3180" s="8">
        <f>10+17/60+57.2/3600</f>
        <v>10.299222222222221</v>
      </c>
      <c r="P3180" s="8" t="s">
        <v>14620</v>
      </c>
      <c r="Q3180" s="8">
        <f>+(41+6/60+53/3600)</f>
        <v>41.114722222222227</v>
      </c>
      <c r="R3180" s="8">
        <v>13.1</v>
      </c>
      <c r="S3180" s="8">
        <v>14.1</v>
      </c>
      <c r="T3180" s="8">
        <v>1</v>
      </c>
      <c r="U3180" s="8">
        <v>12.9</v>
      </c>
      <c r="V3180" s="8">
        <v>1.8</v>
      </c>
      <c r="W3180" s="8">
        <v>0.5</v>
      </c>
      <c r="X3180" s="8">
        <v>48</v>
      </c>
      <c r="Y3180" s="8" t="s">
        <v>14621</v>
      </c>
      <c r="Z3180" s="8" t="s">
        <v>14622</v>
      </c>
    </row>
    <row r="3181" spans="1:26" x14ac:dyDescent="0.2">
      <c r="A3181" s="8">
        <v>3180</v>
      </c>
      <c r="B3181" s="8" t="s">
        <v>14623</v>
      </c>
      <c r="C3181" s="8" t="s">
        <v>14623</v>
      </c>
      <c r="F3181" s="47"/>
      <c r="G3181" s="8">
        <v>14</v>
      </c>
      <c r="H3181" s="8" t="s">
        <v>14624</v>
      </c>
      <c r="I3181" s="8" t="s">
        <v>1075</v>
      </c>
      <c r="J3181" s="8" t="s">
        <v>1075</v>
      </c>
      <c r="K3181" s="8" t="s">
        <v>1075</v>
      </c>
      <c r="L3181" s="8" t="s">
        <v>12015</v>
      </c>
      <c r="M3181" s="8" t="s">
        <v>12016</v>
      </c>
      <c r="N3181" s="8" t="s">
        <v>14625</v>
      </c>
      <c r="O3181" s="8">
        <f>10+18/60+10.7/3600</f>
        <v>10.302972222222223</v>
      </c>
      <c r="P3181" s="8" t="s">
        <v>14626</v>
      </c>
      <c r="Q3181" s="8">
        <f>+(41+26/60+57/3600)</f>
        <v>41.449166666666663</v>
      </c>
      <c r="R3181" s="8">
        <v>15</v>
      </c>
      <c r="S3181" s="8">
        <v>99</v>
      </c>
      <c r="T3181" s="8">
        <v>99</v>
      </c>
      <c r="U3181" s="8">
        <v>99</v>
      </c>
      <c r="V3181" s="8">
        <v>0.2</v>
      </c>
      <c r="Y3181" s="8" t="s">
        <v>14627</v>
      </c>
      <c r="Z3181" s="8" t="s">
        <v>14628</v>
      </c>
    </row>
    <row r="3182" spans="1:26" x14ac:dyDescent="0.2">
      <c r="A3182" s="8">
        <v>3181</v>
      </c>
      <c r="B3182" s="8" t="s">
        <v>14629</v>
      </c>
      <c r="C3182" s="8" t="s">
        <v>14629</v>
      </c>
      <c r="F3182" s="47"/>
      <c r="G3182" s="8">
        <v>18</v>
      </c>
      <c r="H3182" s="8" t="s">
        <v>21</v>
      </c>
      <c r="I3182" s="8" t="s">
        <v>1075</v>
      </c>
      <c r="J3182" s="8" t="s">
        <v>1075</v>
      </c>
      <c r="K3182" s="8" t="s">
        <v>1075</v>
      </c>
      <c r="L3182" s="8" t="s">
        <v>12015</v>
      </c>
      <c r="M3182" s="8" t="s">
        <v>12016</v>
      </c>
      <c r="N3182" s="8" t="s">
        <v>14630</v>
      </c>
      <c r="O3182" s="8">
        <f>10+18/60+11.5/3600</f>
        <v>10.303194444444445</v>
      </c>
      <c r="P3182" s="8" t="s">
        <v>14631</v>
      </c>
      <c r="Q3182" s="8">
        <f>+(41+24/60+48/3600)</f>
        <v>41.413333333333334</v>
      </c>
      <c r="R3182" s="8">
        <v>14.8</v>
      </c>
      <c r="S3182" s="8">
        <v>99</v>
      </c>
      <c r="T3182" s="8">
        <v>99</v>
      </c>
      <c r="U3182" s="8">
        <v>99</v>
      </c>
      <c r="V3182" s="8">
        <v>0.3</v>
      </c>
      <c r="Y3182" s="8" t="s">
        <v>14632</v>
      </c>
      <c r="Z3182" s="8" t="s">
        <v>14628</v>
      </c>
    </row>
    <row r="3183" spans="1:26" x14ac:dyDescent="0.2">
      <c r="A3183" s="8">
        <v>3182</v>
      </c>
      <c r="B3183" s="8" t="s">
        <v>14633</v>
      </c>
      <c r="C3183" s="8" t="s">
        <v>14633</v>
      </c>
      <c r="F3183" s="47" t="s">
        <v>56756</v>
      </c>
      <c r="G3183" s="8">
        <v>15</v>
      </c>
      <c r="H3183" s="8" t="s">
        <v>21</v>
      </c>
      <c r="I3183" s="8" t="s">
        <v>22</v>
      </c>
      <c r="J3183" s="8" t="s">
        <v>22</v>
      </c>
      <c r="K3183" s="8" t="s">
        <v>91</v>
      </c>
      <c r="L3183" s="8" t="s">
        <v>12015</v>
      </c>
      <c r="M3183" s="8" t="s">
        <v>12016</v>
      </c>
      <c r="N3183" s="8" t="s">
        <v>14634</v>
      </c>
      <c r="O3183" s="8">
        <f>10+19/60+33/3600</f>
        <v>10.325833333333334</v>
      </c>
      <c r="P3183" s="8" t="s">
        <v>14635</v>
      </c>
      <c r="Q3183" s="8">
        <f>+(58+12/60+22/3600)</f>
        <v>58.206111111111113</v>
      </c>
      <c r="R3183" s="8">
        <v>12.1</v>
      </c>
      <c r="S3183" s="8">
        <v>13</v>
      </c>
      <c r="T3183" s="8">
        <v>0.9</v>
      </c>
      <c r="U3183" s="8">
        <v>13</v>
      </c>
      <c r="V3183" s="8">
        <v>1.8</v>
      </c>
      <c r="W3183" s="8">
        <v>1.5</v>
      </c>
      <c r="X3183" s="8">
        <v>155</v>
      </c>
      <c r="Y3183" s="8" t="s">
        <v>14636</v>
      </c>
      <c r="Z3183" s="8" t="s">
        <v>14637</v>
      </c>
    </row>
    <row r="3184" spans="1:26" x14ac:dyDescent="0.2">
      <c r="A3184" s="8">
        <v>3183</v>
      </c>
      <c r="B3184" s="8" t="s">
        <v>14638</v>
      </c>
      <c r="C3184" s="8" t="s">
        <v>14638</v>
      </c>
      <c r="F3184" s="47"/>
      <c r="G3184" s="8">
        <v>18</v>
      </c>
      <c r="H3184" s="8" t="s">
        <v>21</v>
      </c>
      <c r="I3184" s="8" t="s">
        <v>22</v>
      </c>
      <c r="J3184" s="8" t="s">
        <v>57</v>
      </c>
      <c r="K3184" s="8" t="s">
        <v>85</v>
      </c>
      <c r="L3184" s="8" t="s">
        <v>13395</v>
      </c>
      <c r="M3184" s="8" t="s">
        <v>13396</v>
      </c>
      <c r="N3184" s="8" t="s">
        <v>14639</v>
      </c>
      <c r="O3184" s="8">
        <f>10+21/60+48.6/3600</f>
        <v>10.3635</v>
      </c>
      <c r="P3184" s="8" t="s">
        <v>14640</v>
      </c>
      <c r="Q3184" s="8">
        <f>+(74+10/60+38/3600)</f>
        <v>74.177222222222227</v>
      </c>
      <c r="R3184" s="8">
        <v>11.9</v>
      </c>
      <c r="S3184" s="8">
        <v>12.6</v>
      </c>
      <c r="T3184" s="8">
        <v>0.7</v>
      </c>
      <c r="U3184" s="8">
        <v>13</v>
      </c>
      <c r="V3184" s="8">
        <v>2.2999999999999998</v>
      </c>
      <c r="W3184" s="8">
        <v>1.4</v>
      </c>
      <c r="X3184" s="8">
        <v>161</v>
      </c>
      <c r="Y3184" s="8" t="s">
        <v>14641</v>
      </c>
      <c r="Z3184" s="8" t="s">
        <v>14642</v>
      </c>
    </row>
    <row r="3185" spans="1:26" x14ac:dyDescent="0.2">
      <c r="A3185" s="8">
        <v>3184</v>
      </c>
      <c r="B3185" s="8" t="s">
        <v>14643</v>
      </c>
      <c r="C3185" s="8" t="s">
        <v>14643</v>
      </c>
      <c r="F3185" s="47" t="s">
        <v>56757</v>
      </c>
      <c r="G3185" s="8">
        <v>5</v>
      </c>
      <c r="H3185" s="8" t="s">
        <v>21</v>
      </c>
      <c r="I3185" s="8" t="s">
        <v>22</v>
      </c>
      <c r="J3185" s="8" t="s">
        <v>22</v>
      </c>
      <c r="K3185" s="8" t="s">
        <v>64</v>
      </c>
      <c r="L3185" s="8" t="s">
        <v>12015</v>
      </c>
      <c r="M3185" s="8" t="s">
        <v>12016</v>
      </c>
      <c r="N3185" s="8" t="s">
        <v>14644</v>
      </c>
      <c r="O3185" s="8">
        <f>10+18/60+17/3600</f>
        <v>10.304722222222223</v>
      </c>
      <c r="P3185" s="8" t="s">
        <v>14645</v>
      </c>
      <c r="Q3185" s="8">
        <f>+(41+25/60+24/3600)</f>
        <v>41.423333333333332</v>
      </c>
      <c r="R3185" s="8">
        <v>9.8000000000000007</v>
      </c>
      <c r="S3185" s="8">
        <v>10.4</v>
      </c>
      <c r="T3185" s="8">
        <v>0.6</v>
      </c>
      <c r="U3185" s="8">
        <v>13.9</v>
      </c>
      <c r="V3185" s="8">
        <v>7.4</v>
      </c>
      <c r="W3185" s="8">
        <v>6.9</v>
      </c>
      <c r="X3185" s="8">
        <v>135</v>
      </c>
      <c r="Y3185" s="8" t="s">
        <v>14627</v>
      </c>
      <c r="Z3185" s="8" t="s">
        <v>14646</v>
      </c>
    </row>
    <row r="3186" spans="1:26" x14ac:dyDescent="0.2">
      <c r="A3186" s="8">
        <v>3185</v>
      </c>
      <c r="B3186" s="8" t="s">
        <v>14647</v>
      </c>
      <c r="C3186" s="8" t="s">
        <v>14647</v>
      </c>
      <c r="F3186" s="47"/>
      <c r="G3186" s="8">
        <v>11</v>
      </c>
      <c r="H3186" s="8" t="s">
        <v>14648</v>
      </c>
      <c r="I3186" s="8" t="s">
        <v>22</v>
      </c>
      <c r="J3186" s="8" t="s">
        <v>22</v>
      </c>
      <c r="K3186" s="8" t="s">
        <v>154</v>
      </c>
      <c r="L3186" s="8" t="s">
        <v>13194</v>
      </c>
      <c r="M3186" s="8" t="s">
        <v>13195</v>
      </c>
      <c r="N3186" s="8" t="s">
        <v>14649</v>
      </c>
      <c r="O3186" s="8">
        <f>10+17/60+38.4/3600</f>
        <v>10.294</v>
      </c>
      <c r="P3186" s="8" t="s">
        <v>14650</v>
      </c>
      <c r="Q3186" s="8">
        <f>+(21+41/60+19/3600)</f>
        <v>21.688611111111111</v>
      </c>
      <c r="R3186" s="8">
        <v>12.2</v>
      </c>
      <c r="S3186" s="8">
        <v>13</v>
      </c>
      <c r="T3186" s="8">
        <v>0.8</v>
      </c>
      <c r="U3186" s="8">
        <v>13.4</v>
      </c>
      <c r="V3186" s="8">
        <v>2.1</v>
      </c>
      <c r="W3186" s="8">
        <v>1.4</v>
      </c>
      <c r="X3186" s="8">
        <v>130</v>
      </c>
      <c r="Y3186" s="8" t="s">
        <v>14651</v>
      </c>
      <c r="Z3186" s="8" t="s">
        <v>14652</v>
      </c>
    </row>
    <row r="3187" spans="1:26" x14ac:dyDescent="0.2">
      <c r="A3187" s="8">
        <v>3186</v>
      </c>
      <c r="B3187" s="8" t="s">
        <v>14653</v>
      </c>
      <c r="C3187" s="8" t="s">
        <v>14653</v>
      </c>
      <c r="E3187" s="8">
        <v>1</v>
      </c>
      <c r="F3187" s="47"/>
      <c r="G3187" s="8">
        <v>18</v>
      </c>
      <c r="H3187" s="8" t="s">
        <v>21</v>
      </c>
      <c r="I3187" s="8" t="s">
        <v>22</v>
      </c>
      <c r="J3187" s="8" t="s">
        <v>22</v>
      </c>
      <c r="K3187" s="8" t="s">
        <v>424</v>
      </c>
      <c r="L3187" s="8" t="s">
        <v>13194</v>
      </c>
      <c r="M3187" s="8" t="s">
        <v>13195</v>
      </c>
      <c r="N3187" s="8" t="s">
        <v>14654</v>
      </c>
      <c r="O3187" s="8">
        <f>10+15/60+53.4/3600</f>
        <v>10.264833333333334</v>
      </c>
      <c r="P3187" s="8" t="s">
        <v>14655</v>
      </c>
      <c r="Q3187" s="8">
        <f>+(6+57/60+52/3600)</f>
        <v>6.9644444444444442</v>
      </c>
      <c r="R3187" s="8">
        <v>14.1</v>
      </c>
      <c r="S3187" s="8">
        <v>15.1</v>
      </c>
      <c r="T3187" s="8">
        <v>1</v>
      </c>
      <c r="U3187" s="8">
        <v>12.4</v>
      </c>
      <c r="V3187" s="8">
        <v>0.4</v>
      </c>
      <c r="W3187" s="8">
        <v>0.4</v>
      </c>
      <c r="Y3187" s="8" t="s">
        <v>14656</v>
      </c>
      <c r="Z3187" s="8" t="s">
        <v>14657</v>
      </c>
    </row>
    <row r="3188" spans="1:26" x14ac:dyDescent="0.2">
      <c r="A3188" s="8">
        <v>3187</v>
      </c>
      <c r="B3188" s="8" t="s">
        <v>14658</v>
      </c>
      <c r="C3188" s="8" t="s">
        <v>14658</v>
      </c>
      <c r="F3188" s="47"/>
      <c r="G3188" s="8">
        <v>10</v>
      </c>
      <c r="H3188" s="8" t="s">
        <v>14648</v>
      </c>
      <c r="I3188" s="8" t="s">
        <v>22</v>
      </c>
      <c r="J3188" s="8" t="s">
        <v>22</v>
      </c>
      <c r="K3188" s="8" t="s">
        <v>520</v>
      </c>
      <c r="L3188" s="8" t="s">
        <v>13194</v>
      </c>
      <c r="M3188" s="8" t="s">
        <v>13195</v>
      </c>
      <c r="N3188" s="8" t="s">
        <v>14659</v>
      </c>
      <c r="O3188" s="8">
        <f>10+17/60+47.7/3600</f>
        <v>10.296583333333333</v>
      </c>
      <c r="P3188" s="8" t="s">
        <v>14660</v>
      </c>
      <c r="Q3188" s="8">
        <f>+(21+52/60+26/3600)</f>
        <v>21.873888888888889</v>
      </c>
      <c r="R3188" s="8">
        <v>13.4</v>
      </c>
      <c r="S3188" s="8">
        <v>13.9</v>
      </c>
      <c r="T3188" s="8">
        <v>0.5</v>
      </c>
      <c r="U3188" s="8">
        <v>14.7</v>
      </c>
      <c r="V3188" s="8">
        <v>3.6</v>
      </c>
      <c r="W3188" s="8">
        <v>1.6</v>
      </c>
      <c r="X3188" s="8">
        <v>57</v>
      </c>
      <c r="Y3188" s="8" t="s">
        <v>14661</v>
      </c>
      <c r="Z3188" s="8" t="s">
        <v>14662</v>
      </c>
    </row>
    <row r="3189" spans="1:26" x14ac:dyDescent="0.2">
      <c r="A3189" s="8">
        <v>3188</v>
      </c>
      <c r="B3189" s="8" t="s">
        <v>14663</v>
      </c>
      <c r="C3189" s="8" t="s">
        <v>14663</v>
      </c>
      <c r="F3189" s="47" t="s">
        <v>56758</v>
      </c>
      <c r="G3189" s="8">
        <v>15</v>
      </c>
      <c r="H3189" s="8" t="s">
        <v>21</v>
      </c>
      <c r="I3189" s="8" t="s">
        <v>22</v>
      </c>
      <c r="J3189" s="8" t="s">
        <v>22</v>
      </c>
      <c r="K3189" s="8" t="s">
        <v>406</v>
      </c>
      <c r="L3189" s="8" t="s">
        <v>12015</v>
      </c>
      <c r="M3189" s="8" t="s">
        <v>12016</v>
      </c>
      <c r="N3189" s="8" t="s">
        <v>14664</v>
      </c>
      <c r="O3189" s="8">
        <f>10+19/60+42.9/3600</f>
        <v>10.328583333333333</v>
      </c>
      <c r="P3189" s="8" t="s">
        <v>14665</v>
      </c>
      <c r="Q3189" s="8">
        <f>+(57+25/60+23/3600)</f>
        <v>57.42305555555555</v>
      </c>
      <c r="R3189" s="8">
        <v>13.7</v>
      </c>
      <c r="S3189" s="8">
        <v>14.5</v>
      </c>
      <c r="T3189" s="8">
        <v>0.8</v>
      </c>
      <c r="U3189" s="8">
        <v>12.8</v>
      </c>
      <c r="V3189" s="8">
        <v>0.8</v>
      </c>
      <c r="W3189" s="8">
        <v>0.6</v>
      </c>
      <c r="X3189" s="8">
        <v>168</v>
      </c>
      <c r="Y3189" s="8" t="s">
        <v>14107</v>
      </c>
      <c r="Z3189" s="8" t="s">
        <v>14108</v>
      </c>
    </row>
    <row r="3190" spans="1:26" x14ac:dyDescent="0.2">
      <c r="A3190" s="8">
        <v>3189</v>
      </c>
      <c r="B3190" s="8" t="s">
        <v>14666</v>
      </c>
      <c r="C3190" s="8" t="s">
        <v>14666</v>
      </c>
      <c r="F3190" s="47"/>
      <c r="G3190" s="8">
        <v>14</v>
      </c>
      <c r="H3190" s="8" t="s">
        <v>14667</v>
      </c>
      <c r="I3190" s="8" t="s">
        <v>1075</v>
      </c>
      <c r="J3190" s="8" t="s">
        <v>1075</v>
      </c>
      <c r="K3190" s="8" t="s">
        <v>1075</v>
      </c>
      <c r="L3190" s="8" t="s">
        <v>13194</v>
      </c>
      <c r="M3190" s="8" t="s">
        <v>13195</v>
      </c>
      <c r="N3190" s="8" t="s">
        <v>14668</v>
      </c>
      <c r="O3190" s="8">
        <f>10+18/60+4.2/3600</f>
        <v>10.301166666666667</v>
      </c>
      <c r="P3190" s="8" t="s">
        <v>14669</v>
      </c>
      <c r="Q3190" s="8">
        <f>+(21+49/60+56/3600)</f>
        <v>21.832222222222221</v>
      </c>
      <c r="R3190" s="8">
        <v>99</v>
      </c>
      <c r="S3190" s="8">
        <v>99</v>
      </c>
      <c r="T3190" s="8">
        <v>99</v>
      </c>
      <c r="U3190" s="8">
        <v>99</v>
      </c>
      <c r="Y3190" s="8" t="s">
        <v>14670</v>
      </c>
      <c r="Z3190" s="8" t="s">
        <v>14671</v>
      </c>
    </row>
    <row r="3191" spans="1:26" x14ac:dyDescent="0.2">
      <c r="A3191" s="8">
        <v>3190</v>
      </c>
      <c r="B3191" s="8" t="s">
        <v>14672</v>
      </c>
      <c r="C3191" s="8" t="s">
        <v>14672</v>
      </c>
      <c r="F3191" s="47" t="s">
        <v>56759</v>
      </c>
      <c r="G3191" s="8">
        <v>6</v>
      </c>
      <c r="H3191" s="8" t="s">
        <v>21</v>
      </c>
      <c r="I3191" s="8" t="s">
        <v>22</v>
      </c>
      <c r="J3191" s="8" t="s">
        <v>22</v>
      </c>
      <c r="K3191" s="8" t="s">
        <v>91</v>
      </c>
      <c r="L3191" s="8" t="s">
        <v>13194</v>
      </c>
      <c r="M3191" s="8" t="s">
        <v>13195</v>
      </c>
      <c r="N3191" s="8" t="s">
        <v>14673</v>
      </c>
      <c r="O3191" s="8">
        <f>10+18/60+5.6/3600</f>
        <v>10.301555555555556</v>
      </c>
      <c r="P3191" s="8" t="s">
        <v>14674</v>
      </c>
      <c r="Q3191" s="8">
        <f>+(21+49/60+58/3600)</f>
        <v>21.832777777777778</v>
      </c>
      <c r="R3191" s="8">
        <v>11.2</v>
      </c>
      <c r="S3191" s="8">
        <v>12.1</v>
      </c>
      <c r="T3191" s="8">
        <v>0.9</v>
      </c>
      <c r="U3191" s="8">
        <v>13.1</v>
      </c>
      <c r="V3191" s="8">
        <v>4.4000000000000004</v>
      </c>
      <c r="W3191" s="8">
        <v>1.5</v>
      </c>
      <c r="X3191" s="8">
        <v>125</v>
      </c>
      <c r="Y3191" s="8" t="s">
        <v>14661</v>
      </c>
      <c r="Z3191" s="8" t="s">
        <v>14675</v>
      </c>
    </row>
    <row r="3192" spans="1:26" x14ac:dyDescent="0.2">
      <c r="A3192" s="8">
        <v>3191</v>
      </c>
      <c r="B3192" s="8" t="s">
        <v>14676</v>
      </c>
      <c r="C3192" s="8" t="s">
        <v>14676</v>
      </c>
      <c r="F3192" s="47"/>
      <c r="G3192" s="8">
        <v>16</v>
      </c>
      <c r="H3192" s="8" t="s">
        <v>21</v>
      </c>
      <c r="I3192" s="8" t="s">
        <v>22</v>
      </c>
      <c r="J3192" s="8" t="s">
        <v>57</v>
      </c>
      <c r="K3192" s="8" t="s">
        <v>3407</v>
      </c>
      <c r="L3192" s="8" t="s">
        <v>12015</v>
      </c>
      <c r="M3192" s="8" t="s">
        <v>12016</v>
      </c>
      <c r="N3192" s="8" t="s">
        <v>14677</v>
      </c>
      <c r="O3192" s="8">
        <f>10+19/60+5.1/3600</f>
        <v>10.318083333333334</v>
      </c>
      <c r="P3192" s="8" t="s">
        <v>14678</v>
      </c>
      <c r="Q3192" s="8">
        <f>+(46+27/60+18/3600)</f>
        <v>46.455000000000005</v>
      </c>
      <c r="R3192" s="8">
        <v>13.3</v>
      </c>
      <c r="S3192" s="8">
        <v>14.1</v>
      </c>
      <c r="T3192" s="8">
        <v>0.8</v>
      </c>
      <c r="U3192" s="8">
        <v>12.4</v>
      </c>
      <c r="V3192" s="8">
        <v>0.8</v>
      </c>
      <c r="W3192" s="8">
        <v>0.6</v>
      </c>
      <c r="X3192" s="8">
        <v>5</v>
      </c>
      <c r="Y3192" s="8" t="s">
        <v>2641</v>
      </c>
      <c r="Z3192" s="8" t="s">
        <v>2642</v>
      </c>
    </row>
    <row r="3193" spans="1:26" x14ac:dyDescent="0.2">
      <c r="A3193" s="8">
        <v>3192</v>
      </c>
      <c r="B3193" s="8" t="s">
        <v>14679</v>
      </c>
      <c r="C3193" s="8" t="s">
        <v>14679</v>
      </c>
      <c r="F3193" s="47" t="s">
        <v>56760</v>
      </c>
      <c r="G3193" s="8">
        <v>15</v>
      </c>
      <c r="H3193" s="8" t="s">
        <v>21</v>
      </c>
      <c r="I3193" s="8" t="s">
        <v>22</v>
      </c>
      <c r="J3193" s="8" t="s">
        <v>22</v>
      </c>
      <c r="K3193" s="8" t="s">
        <v>3407</v>
      </c>
      <c r="L3193" s="8" t="s">
        <v>12015</v>
      </c>
      <c r="M3193" s="8" t="s">
        <v>12016</v>
      </c>
      <c r="N3193" s="8" t="s">
        <v>14677</v>
      </c>
      <c r="O3193" s="8">
        <f>10+19/60+5.1/3600</f>
        <v>10.318083333333334</v>
      </c>
      <c r="P3193" s="8" t="s">
        <v>14678</v>
      </c>
      <c r="Q3193" s="8">
        <f>+(46+27/60+18/3600)</f>
        <v>46.455000000000005</v>
      </c>
      <c r="R3193" s="8">
        <v>13.3</v>
      </c>
      <c r="S3193" s="8">
        <v>14.1</v>
      </c>
      <c r="T3193" s="8">
        <v>0.8</v>
      </c>
      <c r="U3193" s="8">
        <v>12.4</v>
      </c>
      <c r="V3193" s="8">
        <v>0.8</v>
      </c>
      <c r="W3193" s="8">
        <v>0.6</v>
      </c>
      <c r="X3193" s="8">
        <v>5</v>
      </c>
      <c r="Y3193" s="8" t="s">
        <v>2641</v>
      </c>
      <c r="Z3193" s="8" t="s">
        <v>14680</v>
      </c>
    </row>
    <row r="3194" spans="1:26" x14ac:dyDescent="0.2">
      <c r="A3194" s="8">
        <v>3193</v>
      </c>
      <c r="B3194" s="8" t="s">
        <v>14681</v>
      </c>
      <c r="C3194" s="8" t="s">
        <v>14681</v>
      </c>
      <c r="F3194" s="47" t="s">
        <v>56761</v>
      </c>
      <c r="G3194" s="8">
        <v>6</v>
      </c>
      <c r="H3194" s="8" t="s">
        <v>14648</v>
      </c>
      <c r="I3194" s="8" t="s">
        <v>22</v>
      </c>
      <c r="J3194" s="8" t="s">
        <v>22</v>
      </c>
      <c r="K3194" s="8" t="s">
        <v>1136</v>
      </c>
      <c r="L3194" s="8" t="s">
        <v>13194</v>
      </c>
      <c r="M3194" s="8" t="s">
        <v>13195</v>
      </c>
      <c r="N3194" s="8" t="s">
        <v>14682</v>
      </c>
      <c r="O3194" s="8">
        <f>10+18/60+24.8/3600</f>
        <v>10.30688888888889</v>
      </c>
      <c r="P3194" s="8" t="s">
        <v>14683</v>
      </c>
      <c r="Q3194" s="8">
        <f>+(21+53/60+38/3600)</f>
        <v>21.893888888888888</v>
      </c>
      <c r="R3194" s="8">
        <v>10.9</v>
      </c>
      <c r="S3194" s="8">
        <v>11.8</v>
      </c>
      <c r="T3194" s="8">
        <v>0.9</v>
      </c>
      <c r="U3194" s="8">
        <v>13.2</v>
      </c>
      <c r="V3194" s="8">
        <v>2</v>
      </c>
      <c r="W3194" s="8">
        <v>2</v>
      </c>
      <c r="Y3194" s="8" t="s">
        <v>14661</v>
      </c>
      <c r="Z3194" s="8" t="s">
        <v>14684</v>
      </c>
    </row>
    <row r="3195" spans="1:26" x14ac:dyDescent="0.2">
      <c r="A3195" s="8">
        <v>3194</v>
      </c>
      <c r="B3195" s="8" t="s">
        <v>14685</v>
      </c>
      <c r="C3195" s="8" t="s">
        <v>14685</v>
      </c>
      <c r="F3195" s="47" t="s">
        <v>56762</v>
      </c>
      <c r="G3195" s="8">
        <v>15</v>
      </c>
      <c r="H3195" s="8" t="s">
        <v>21</v>
      </c>
      <c r="I3195" s="8" t="s">
        <v>22</v>
      </c>
      <c r="J3195" s="8" t="s">
        <v>22</v>
      </c>
      <c r="K3195" s="8" t="s">
        <v>476</v>
      </c>
      <c r="L3195" s="8" t="s">
        <v>13395</v>
      </c>
      <c r="M3195" s="8" t="s">
        <v>13396</v>
      </c>
      <c r="N3195" s="8" t="s">
        <v>14516</v>
      </c>
      <c r="O3195" s="8">
        <f>10+17/60+39.7/3600</f>
        <v>10.294361111111112</v>
      </c>
      <c r="P3195" s="8" t="s">
        <v>14517</v>
      </c>
      <c r="Q3195" s="8">
        <f>+(74+20/60+52/3600)</f>
        <v>74.347777777777779</v>
      </c>
      <c r="R3195" s="8">
        <v>12.9</v>
      </c>
      <c r="S3195" s="8">
        <v>13.8</v>
      </c>
      <c r="T3195" s="8">
        <v>0.9</v>
      </c>
      <c r="U3195" s="8">
        <v>12</v>
      </c>
      <c r="V3195" s="8">
        <v>1</v>
      </c>
      <c r="W3195" s="8">
        <v>0.5</v>
      </c>
      <c r="X3195" s="8">
        <v>41</v>
      </c>
      <c r="Y3195" s="8" t="s">
        <v>170</v>
      </c>
      <c r="Z3195" s="8" t="s">
        <v>14686</v>
      </c>
    </row>
    <row r="3196" spans="1:26" x14ac:dyDescent="0.2">
      <c r="A3196" s="8">
        <v>3195</v>
      </c>
      <c r="B3196" s="8" t="s">
        <v>14687</v>
      </c>
      <c r="C3196" s="8" t="s">
        <v>14687</v>
      </c>
      <c r="F3196" s="47"/>
      <c r="G3196" s="8">
        <v>2</v>
      </c>
      <c r="H3196" s="8" t="s">
        <v>21</v>
      </c>
      <c r="I3196" s="8" t="s">
        <v>241</v>
      </c>
      <c r="J3196" s="8" t="s">
        <v>241</v>
      </c>
      <c r="K3196" s="8" t="s">
        <v>241</v>
      </c>
      <c r="L3196" s="8" t="s">
        <v>13429</v>
      </c>
      <c r="M3196" s="8" t="s">
        <v>13430</v>
      </c>
      <c r="N3196" s="8" t="s">
        <v>14688</v>
      </c>
      <c r="O3196" s="8">
        <f>10+9/60+21.1/3600</f>
        <v>10.155861111111111</v>
      </c>
      <c r="P3196" s="8" t="s">
        <v>14689</v>
      </c>
      <c r="Q3196" s="8">
        <f>-(80+51/60+29/3600)</f>
        <v>-80.858055555555552</v>
      </c>
      <c r="R3196" s="8">
        <v>11.6</v>
      </c>
      <c r="S3196" s="8">
        <v>11.5</v>
      </c>
      <c r="T3196" s="8">
        <v>99</v>
      </c>
      <c r="U3196" s="8">
        <v>99</v>
      </c>
      <c r="V3196" s="8">
        <v>0.7</v>
      </c>
      <c r="W3196" s="8">
        <v>0.5</v>
      </c>
      <c r="Y3196" s="8" t="s">
        <v>14690</v>
      </c>
      <c r="Z3196" s="8" t="s">
        <v>14691</v>
      </c>
    </row>
    <row r="3197" spans="1:26" x14ac:dyDescent="0.2">
      <c r="A3197" s="8">
        <v>3196</v>
      </c>
      <c r="B3197" s="8" t="s">
        <v>14692</v>
      </c>
      <c r="C3197" s="8" t="s">
        <v>14692</v>
      </c>
      <c r="F3197" s="47" t="s">
        <v>56763</v>
      </c>
      <c r="G3197" s="8">
        <v>15</v>
      </c>
      <c r="H3197" s="8" t="s">
        <v>21</v>
      </c>
      <c r="I3197" s="8" t="s">
        <v>22</v>
      </c>
      <c r="J3197" s="8" t="s">
        <v>22</v>
      </c>
      <c r="K3197" s="8" t="s">
        <v>37</v>
      </c>
      <c r="L3197" s="8" t="s">
        <v>13194</v>
      </c>
      <c r="M3197" s="8" t="s">
        <v>13195</v>
      </c>
      <c r="N3197" s="8" t="s">
        <v>14693</v>
      </c>
      <c r="O3197" s="8">
        <f>10+18/60+49/3600</f>
        <v>10.313611111111111</v>
      </c>
      <c r="P3197" s="8" t="s">
        <v>14694</v>
      </c>
      <c r="Q3197" s="8">
        <f>+(27+40/60+10/3600)</f>
        <v>27.669444444444444</v>
      </c>
      <c r="R3197" s="8">
        <v>14.9</v>
      </c>
      <c r="S3197" s="8">
        <v>15.9</v>
      </c>
      <c r="T3197" s="8">
        <v>1</v>
      </c>
      <c r="U3197" s="8">
        <v>11.7</v>
      </c>
      <c r="V3197" s="8">
        <v>0.3</v>
      </c>
      <c r="W3197" s="8">
        <v>0.2</v>
      </c>
      <c r="X3197" s="8">
        <v>115</v>
      </c>
      <c r="Y3197" s="8" t="s">
        <v>5112</v>
      </c>
      <c r="Z3197" s="8" t="s">
        <v>5113</v>
      </c>
    </row>
    <row r="3198" spans="1:26" x14ac:dyDescent="0.2">
      <c r="A3198" s="8">
        <v>3197</v>
      </c>
      <c r="B3198" s="8" t="s">
        <v>14695</v>
      </c>
      <c r="C3198" s="8" t="s">
        <v>14695</v>
      </c>
      <c r="F3198" s="47" t="s">
        <v>56764</v>
      </c>
      <c r="G3198" s="8">
        <v>15</v>
      </c>
      <c r="H3198" s="8" t="s">
        <v>21</v>
      </c>
      <c r="I3198" s="8" t="s">
        <v>22</v>
      </c>
      <c r="J3198" s="8" t="s">
        <v>22</v>
      </c>
      <c r="K3198" s="8" t="s">
        <v>396</v>
      </c>
      <c r="L3198" s="8" t="s">
        <v>13395</v>
      </c>
      <c r="M3198" s="8" t="s">
        <v>13396</v>
      </c>
      <c r="N3198" s="8" t="s">
        <v>14696</v>
      </c>
      <c r="O3198" s="8">
        <f>10+14/60+27.3/3600</f>
        <v>10.240916666666665</v>
      </c>
      <c r="P3198" s="8" t="s">
        <v>14697</v>
      </c>
      <c r="Q3198" s="8">
        <f>+(77+49/60+13/3600)</f>
        <v>77.820277777777775</v>
      </c>
      <c r="R3198" s="8">
        <v>13.5</v>
      </c>
      <c r="S3198" s="8">
        <v>14.3</v>
      </c>
      <c r="T3198" s="8">
        <v>0.8</v>
      </c>
      <c r="U3198" s="8">
        <v>13.6</v>
      </c>
      <c r="V3198" s="8">
        <v>1.3</v>
      </c>
      <c r="W3198" s="8">
        <v>1</v>
      </c>
      <c r="X3198" s="8">
        <v>155</v>
      </c>
      <c r="Y3198" s="8" t="s">
        <v>14698</v>
      </c>
      <c r="Z3198" s="8" t="s">
        <v>14686</v>
      </c>
    </row>
    <row r="3199" spans="1:26" x14ac:dyDescent="0.2">
      <c r="A3199" s="8">
        <v>3198</v>
      </c>
      <c r="B3199" s="8" t="s">
        <v>14699</v>
      </c>
      <c r="C3199" s="8" t="s">
        <v>14699</v>
      </c>
      <c r="F3199" s="47" t="s">
        <v>56765</v>
      </c>
      <c r="G3199" s="8">
        <v>6</v>
      </c>
      <c r="H3199" s="8" t="s">
        <v>21</v>
      </c>
      <c r="I3199" s="8" t="s">
        <v>22</v>
      </c>
      <c r="J3199" s="8" t="s">
        <v>22</v>
      </c>
      <c r="K3199" s="8" t="s">
        <v>64</v>
      </c>
      <c r="L3199" s="8" t="s">
        <v>12015</v>
      </c>
      <c r="M3199" s="8" t="s">
        <v>12016</v>
      </c>
      <c r="N3199" s="8" t="s">
        <v>14700</v>
      </c>
      <c r="O3199" s="8">
        <f>10+19/60+54.9/3600</f>
        <v>10.331916666666666</v>
      </c>
      <c r="P3199" s="8" t="s">
        <v>14701</v>
      </c>
      <c r="Q3199" s="8">
        <f>+(45+33/60+0/3600)</f>
        <v>45.55</v>
      </c>
      <c r="R3199" s="8">
        <v>10.3</v>
      </c>
      <c r="S3199" s="8">
        <v>10.9</v>
      </c>
      <c r="T3199" s="8">
        <v>0.6</v>
      </c>
      <c r="U3199" s="8">
        <v>13.8</v>
      </c>
      <c r="V3199" s="8">
        <v>8.5</v>
      </c>
      <c r="W3199" s="8">
        <v>3.3</v>
      </c>
      <c r="X3199" s="8">
        <v>35</v>
      </c>
      <c r="Y3199" s="8" t="s">
        <v>14702</v>
      </c>
      <c r="Z3199" s="8" t="s">
        <v>14703</v>
      </c>
    </row>
    <row r="3200" spans="1:26" x14ac:dyDescent="0.2">
      <c r="A3200" s="8">
        <v>3199</v>
      </c>
      <c r="B3200" s="8" t="s">
        <v>14704</v>
      </c>
      <c r="C3200" s="8" t="s">
        <v>14704</v>
      </c>
      <c r="F3200" s="47"/>
      <c r="G3200" s="8">
        <v>5</v>
      </c>
      <c r="H3200" s="8" t="s">
        <v>21</v>
      </c>
      <c r="I3200" s="8" t="s">
        <v>1283</v>
      </c>
      <c r="J3200" s="8" t="s">
        <v>1283</v>
      </c>
      <c r="K3200" s="8" t="s">
        <v>1284</v>
      </c>
      <c r="L3200" s="8" t="s">
        <v>10135</v>
      </c>
      <c r="M3200" s="8" t="s">
        <v>10136</v>
      </c>
      <c r="N3200" s="8" t="s">
        <v>14705</v>
      </c>
      <c r="O3200" s="8">
        <f>10+17/60+24/3600</f>
        <v>10.29</v>
      </c>
      <c r="P3200" s="8" t="s">
        <v>14706</v>
      </c>
      <c r="Q3200" s="8">
        <f>-(57+55/60+18/3600)</f>
        <v>-57.921666666666667</v>
      </c>
      <c r="R3200" s="8">
        <v>99</v>
      </c>
      <c r="S3200" s="8">
        <v>99</v>
      </c>
      <c r="T3200" s="8">
        <v>99</v>
      </c>
      <c r="U3200" s="8">
        <v>99</v>
      </c>
      <c r="V3200" s="8">
        <v>20</v>
      </c>
      <c r="W3200" s="8">
        <v>15</v>
      </c>
      <c r="Y3200" s="8" t="s">
        <v>14707</v>
      </c>
      <c r="Z3200" s="8" t="s">
        <v>14708</v>
      </c>
    </row>
    <row r="3201" spans="1:26" x14ac:dyDescent="0.2">
      <c r="A3201" s="8">
        <v>3200</v>
      </c>
      <c r="B3201" s="8" t="s">
        <v>14709</v>
      </c>
      <c r="C3201" s="8" t="s">
        <v>14709</v>
      </c>
      <c r="F3201" s="47"/>
      <c r="G3201" s="8">
        <v>12</v>
      </c>
      <c r="H3201" s="8" t="s">
        <v>21</v>
      </c>
      <c r="I3201" s="8" t="s">
        <v>22</v>
      </c>
      <c r="J3201" s="8" t="s">
        <v>22</v>
      </c>
      <c r="K3201" s="8" t="s">
        <v>85</v>
      </c>
      <c r="L3201" s="8" t="s">
        <v>11765</v>
      </c>
      <c r="M3201" s="8" t="s">
        <v>11766</v>
      </c>
      <c r="N3201" s="8" t="s">
        <v>14710</v>
      </c>
      <c r="O3201" s="8">
        <f>10+18/60+36.4/3600</f>
        <v>10.310111111111112</v>
      </c>
      <c r="P3201" s="8" t="s">
        <v>14711</v>
      </c>
      <c r="Q3201" s="8">
        <f>-(17+58/60+56/3600)</f>
        <v>-17.982222222222219</v>
      </c>
      <c r="R3201" s="8">
        <v>12</v>
      </c>
      <c r="S3201" s="8">
        <v>12.8</v>
      </c>
      <c r="T3201" s="8">
        <v>0.8</v>
      </c>
      <c r="U3201" s="8">
        <v>13.7</v>
      </c>
      <c r="V3201" s="8">
        <v>4.2</v>
      </c>
      <c r="W3201" s="8">
        <v>1.3</v>
      </c>
      <c r="X3201" s="8">
        <v>169</v>
      </c>
      <c r="Y3201" s="8" t="s">
        <v>14712</v>
      </c>
      <c r="Z3201" s="8" t="s">
        <v>14713</v>
      </c>
    </row>
    <row r="3202" spans="1:26" x14ac:dyDescent="0.2">
      <c r="A3202" s="8">
        <v>3201</v>
      </c>
      <c r="B3202" s="8" t="s">
        <v>14714</v>
      </c>
      <c r="C3202" s="8" t="s">
        <v>14714</v>
      </c>
      <c r="F3202" s="47"/>
      <c r="G3202" s="8">
        <v>2</v>
      </c>
      <c r="H3202" s="8" t="s">
        <v>21</v>
      </c>
      <c r="I3202" s="8" t="s">
        <v>567</v>
      </c>
      <c r="J3202" s="8" t="s">
        <v>567</v>
      </c>
      <c r="K3202" s="8" t="s">
        <v>1485</v>
      </c>
      <c r="L3202" s="8" t="s">
        <v>11757</v>
      </c>
      <c r="M3202" s="8" t="s">
        <v>11758</v>
      </c>
      <c r="N3202" s="8" t="s">
        <v>14715</v>
      </c>
      <c r="O3202" s="8">
        <f>10+17/60+36.8/3600</f>
        <v>10.293555555555555</v>
      </c>
      <c r="P3202" s="8" t="s">
        <v>14716</v>
      </c>
      <c r="Q3202" s="8">
        <f>-(46+24/60+38/3600)</f>
        <v>-46.410555555555554</v>
      </c>
      <c r="R3202" s="8">
        <v>6.9</v>
      </c>
      <c r="S3202" s="8">
        <v>99</v>
      </c>
      <c r="T3202" s="8">
        <v>99</v>
      </c>
      <c r="U3202" s="8">
        <v>99</v>
      </c>
      <c r="V3202" s="8">
        <v>20</v>
      </c>
      <c r="Y3202" s="8" t="s">
        <v>14717</v>
      </c>
      <c r="Z3202" s="8" t="s">
        <v>14718</v>
      </c>
    </row>
    <row r="3203" spans="1:26" x14ac:dyDescent="0.2">
      <c r="A3203" s="8">
        <v>3202</v>
      </c>
      <c r="B3203" s="8" t="s">
        <v>14719</v>
      </c>
      <c r="C3203" s="8" t="s">
        <v>14719</v>
      </c>
      <c r="F3203" s="47" t="s">
        <v>56766</v>
      </c>
      <c r="G3203" s="8">
        <v>15</v>
      </c>
      <c r="H3203" s="8" t="s">
        <v>21</v>
      </c>
      <c r="I3203" s="8" t="s">
        <v>22</v>
      </c>
      <c r="J3203" s="8" t="s">
        <v>22</v>
      </c>
      <c r="K3203" s="8" t="s">
        <v>154</v>
      </c>
      <c r="L3203" s="8" t="s">
        <v>12015</v>
      </c>
      <c r="M3203" s="8" t="s">
        <v>12016</v>
      </c>
      <c r="N3203" s="8" t="s">
        <v>14720</v>
      </c>
      <c r="O3203" s="8">
        <f>10+20/60+31.6/3600</f>
        <v>10.342111111111112</v>
      </c>
      <c r="P3203" s="8" t="s">
        <v>14721</v>
      </c>
      <c r="Q3203" s="8">
        <f>+(43+1/60+17/3600)</f>
        <v>43.021388888888886</v>
      </c>
      <c r="R3203" s="8">
        <v>13.2</v>
      </c>
      <c r="S3203" s="8">
        <v>14.1</v>
      </c>
      <c r="T3203" s="8">
        <v>0.9</v>
      </c>
      <c r="U3203" s="8">
        <v>13</v>
      </c>
      <c r="V3203" s="8">
        <v>1.2</v>
      </c>
      <c r="W3203" s="8">
        <v>0.8</v>
      </c>
      <c r="X3203" s="8">
        <v>20</v>
      </c>
      <c r="Y3203" s="8" t="s">
        <v>14722</v>
      </c>
      <c r="Z3203" s="8" t="s">
        <v>14723</v>
      </c>
    </row>
    <row r="3204" spans="1:26" x14ac:dyDescent="0.2">
      <c r="A3204" s="8">
        <v>3203</v>
      </c>
      <c r="B3204" s="8" t="s">
        <v>14724</v>
      </c>
      <c r="C3204" s="8" t="s">
        <v>14724</v>
      </c>
      <c r="F3204" s="47"/>
      <c r="G3204" s="8">
        <v>13</v>
      </c>
      <c r="H3204" s="8" t="s">
        <v>21</v>
      </c>
      <c r="I3204" s="8" t="s">
        <v>22</v>
      </c>
      <c r="J3204" s="8" t="s">
        <v>22</v>
      </c>
      <c r="K3204" s="8" t="s">
        <v>632</v>
      </c>
      <c r="L3204" s="8" t="s">
        <v>11765</v>
      </c>
      <c r="M3204" s="8" t="s">
        <v>11766</v>
      </c>
      <c r="N3204" s="8" t="s">
        <v>14725</v>
      </c>
      <c r="O3204" s="8">
        <f>10+19/60+33.6/3600</f>
        <v>10.326000000000001</v>
      </c>
      <c r="P3204" s="8" t="s">
        <v>14726</v>
      </c>
      <c r="Q3204" s="8">
        <f>-(26+41/60+56/3600)</f>
        <v>-26.698888888888888</v>
      </c>
      <c r="R3204" s="8">
        <v>12.1</v>
      </c>
      <c r="S3204" s="8">
        <v>13.1</v>
      </c>
      <c r="T3204" s="8">
        <v>1</v>
      </c>
      <c r="U3204" s="8">
        <v>12.6</v>
      </c>
      <c r="V3204" s="8">
        <v>2.8</v>
      </c>
      <c r="W3204" s="8">
        <v>0.6</v>
      </c>
      <c r="X3204" s="8">
        <v>58</v>
      </c>
      <c r="Y3204" s="8" t="s">
        <v>14727</v>
      </c>
      <c r="Z3204" s="8" t="s">
        <v>14728</v>
      </c>
    </row>
    <row r="3205" spans="1:26" x14ac:dyDescent="0.2">
      <c r="A3205" s="8">
        <v>3204</v>
      </c>
      <c r="B3205" s="8" t="s">
        <v>14729</v>
      </c>
      <c r="C3205" s="8" t="s">
        <v>14729</v>
      </c>
      <c r="F3205" s="47"/>
      <c r="G3205" s="8">
        <v>16</v>
      </c>
      <c r="H3205" s="8" t="s">
        <v>21</v>
      </c>
      <c r="I3205" s="8" t="s">
        <v>22</v>
      </c>
      <c r="J3205" s="8" t="s">
        <v>22</v>
      </c>
      <c r="K3205" s="8" t="s">
        <v>218</v>
      </c>
      <c r="L3205" s="8" t="s">
        <v>13194</v>
      </c>
      <c r="M3205" s="8" t="s">
        <v>13195</v>
      </c>
      <c r="N3205" s="8" t="s">
        <v>14730</v>
      </c>
      <c r="O3205" s="8">
        <f>10+20/60+11.2/3600</f>
        <v>10.336444444444446</v>
      </c>
      <c r="P3205" s="8" t="s">
        <v>14731</v>
      </c>
      <c r="Q3205" s="8">
        <f>+(27+49/60+2/3600)</f>
        <v>27.81722222222222</v>
      </c>
      <c r="R3205" s="8">
        <v>13.5</v>
      </c>
      <c r="S3205" s="8">
        <v>14.3</v>
      </c>
      <c r="T3205" s="8">
        <v>0.8</v>
      </c>
      <c r="U3205" s="8">
        <v>13.6</v>
      </c>
      <c r="V3205" s="8">
        <v>1.3</v>
      </c>
      <c r="W3205" s="8">
        <v>0.9</v>
      </c>
      <c r="X3205" s="8">
        <v>110</v>
      </c>
      <c r="Y3205" s="8" t="s">
        <v>14732</v>
      </c>
      <c r="Z3205" s="8" t="s">
        <v>14733</v>
      </c>
    </row>
    <row r="3206" spans="1:26" x14ac:dyDescent="0.2">
      <c r="A3206" s="8">
        <v>3205</v>
      </c>
      <c r="B3206" s="8" t="s">
        <v>14734</v>
      </c>
      <c r="C3206" s="8" t="s">
        <v>14734</v>
      </c>
      <c r="F3206" s="47" t="s">
        <v>56767</v>
      </c>
      <c r="G3206" s="8">
        <v>15</v>
      </c>
      <c r="H3206" s="8" t="s">
        <v>21</v>
      </c>
      <c r="I3206" s="8" t="s">
        <v>22</v>
      </c>
      <c r="J3206" s="8" t="s">
        <v>22</v>
      </c>
      <c r="K3206" s="8" t="s">
        <v>1174</v>
      </c>
      <c r="L3206" s="8" t="s">
        <v>12015</v>
      </c>
      <c r="M3206" s="8" t="s">
        <v>12016</v>
      </c>
      <c r="N3206" s="8" t="s">
        <v>14735</v>
      </c>
      <c r="O3206" s="8">
        <f>10+20/60+50/3600</f>
        <v>10.347222222222223</v>
      </c>
      <c r="P3206" s="8" t="s">
        <v>14736</v>
      </c>
      <c r="Q3206" s="8">
        <f>+(42+58/60+18/3600)</f>
        <v>42.971666666666671</v>
      </c>
      <c r="R3206" s="8">
        <v>13.3</v>
      </c>
      <c r="S3206" s="8">
        <v>14.3</v>
      </c>
      <c r="T3206" s="8">
        <v>1</v>
      </c>
      <c r="U3206" s="8">
        <v>13.6</v>
      </c>
      <c r="V3206" s="8">
        <v>1.4</v>
      </c>
      <c r="W3206" s="8">
        <v>1.1000000000000001</v>
      </c>
      <c r="X3206" s="8">
        <v>166</v>
      </c>
      <c r="Y3206" s="8" t="s">
        <v>14737</v>
      </c>
      <c r="Z3206" s="8" t="s">
        <v>14738</v>
      </c>
    </row>
    <row r="3207" spans="1:26" x14ac:dyDescent="0.2">
      <c r="A3207" s="8">
        <v>3206</v>
      </c>
      <c r="B3207" s="8" t="s">
        <v>14739</v>
      </c>
      <c r="C3207" s="8" t="s">
        <v>14739</v>
      </c>
      <c r="F3207" s="47" t="s">
        <v>56768</v>
      </c>
      <c r="G3207" s="8">
        <v>12</v>
      </c>
      <c r="H3207" s="8" t="s">
        <v>21</v>
      </c>
      <c r="I3207" s="8" t="s">
        <v>22</v>
      </c>
      <c r="J3207" s="8" t="s">
        <v>22</v>
      </c>
      <c r="K3207" s="8" t="s">
        <v>64</v>
      </c>
      <c r="L3207" s="8" t="s">
        <v>12015</v>
      </c>
      <c r="M3207" s="8" t="s">
        <v>12016</v>
      </c>
      <c r="N3207" s="8" t="s">
        <v>14740</v>
      </c>
      <c r="O3207" s="8">
        <f>10+21/60+47.6/3600</f>
        <v>10.363222222222221</v>
      </c>
      <c r="P3207" s="8" t="s">
        <v>14741</v>
      </c>
      <c r="Q3207" s="8">
        <f>+(56+55/60+51/3600)</f>
        <v>56.930833333333332</v>
      </c>
      <c r="R3207" s="8">
        <v>11.9</v>
      </c>
      <c r="S3207" s="8">
        <v>12.6</v>
      </c>
      <c r="T3207" s="8">
        <v>0.7</v>
      </c>
      <c r="U3207" s="8">
        <v>13.6</v>
      </c>
      <c r="V3207" s="8">
        <v>2.9</v>
      </c>
      <c r="W3207" s="8">
        <v>1.9</v>
      </c>
      <c r="X3207" s="8">
        <v>0</v>
      </c>
      <c r="Y3207" s="8" t="s">
        <v>14742</v>
      </c>
      <c r="Z3207" s="8" t="s">
        <v>14743</v>
      </c>
    </row>
    <row r="3208" spans="1:26" x14ac:dyDescent="0.2">
      <c r="A3208" s="8">
        <v>3207</v>
      </c>
      <c r="B3208" s="8" t="s">
        <v>14744</v>
      </c>
      <c r="C3208" s="8" t="s">
        <v>14744</v>
      </c>
      <c r="F3208" s="47" t="s">
        <v>56769</v>
      </c>
      <c r="G3208" s="8">
        <v>15</v>
      </c>
      <c r="H3208" s="8" t="s">
        <v>21</v>
      </c>
      <c r="I3208" s="8" t="s">
        <v>22</v>
      </c>
      <c r="J3208" s="8" t="s">
        <v>22</v>
      </c>
      <c r="K3208" s="8" t="s">
        <v>1174</v>
      </c>
      <c r="L3208" s="8" t="s">
        <v>12015</v>
      </c>
      <c r="M3208" s="8" t="s">
        <v>12016</v>
      </c>
      <c r="N3208" s="8" t="s">
        <v>14745</v>
      </c>
      <c r="O3208" s="8">
        <f>10+21/60+0.5/3600</f>
        <v>10.350138888888889</v>
      </c>
      <c r="P3208" s="8" t="s">
        <v>14746</v>
      </c>
      <c r="Q3208" s="8">
        <f>+(42+59/60+9/3600)</f>
        <v>42.985833333333332</v>
      </c>
      <c r="R3208" s="8">
        <v>13.3</v>
      </c>
      <c r="S3208" s="8">
        <v>14.3</v>
      </c>
      <c r="T3208" s="8">
        <v>1</v>
      </c>
      <c r="U3208" s="8">
        <v>13.2</v>
      </c>
      <c r="V3208" s="8">
        <v>1.3</v>
      </c>
      <c r="W3208" s="8">
        <v>0.8</v>
      </c>
      <c r="X3208" s="8">
        <v>97</v>
      </c>
      <c r="Y3208" s="8" t="s">
        <v>14747</v>
      </c>
      <c r="Z3208" s="8" t="s">
        <v>14748</v>
      </c>
    </row>
    <row r="3209" spans="1:26" x14ac:dyDescent="0.2">
      <c r="A3209" s="8">
        <v>3208</v>
      </c>
      <c r="B3209" s="8" t="s">
        <v>14749</v>
      </c>
      <c r="C3209" s="8" t="s">
        <v>14749</v>
      </c>
      <c r="F3209" s="47"/>
      <c r="G3209" s="8">
        <v>19</v>
      </c>
      <c r="H3209" s="8" t="s">
        <v>21</v>
      </c>
      <c r="I3209" s="8" t="s">
        <v>22</v>
      </c>
      <c r="J3209" s="8" t="s">
        <v>22</v>
      </c>
      <c r="K3209" s="8" t="s">
        <v>64</v>
      </c>
      <c r="L3209" s="8" t="s">
        <v>11765</v>
      </c>
      <c r="M3209" s="8" t="s">
        <v>11766</v>
      </c>
      <c r="N3209" s="8" t="s">
        <v>14750</v>
      </c>
      <c r="O3209" s="8">
        <f>10+19/60+41.4/3600</f>
        <v>10.328166666666666</v>
      </c>
      <c r="P3209" s="8" t="s">
        <v>14751</v>
      </c>
      <c r="Q3209" s="8">
        <f>-(25+48/60+52/3600)</f>
        <v>-25.814444444444444</v>
      </c>
      <c r="R3209" s="8">
        <v>12.7</v>
      </c>
      <c r="S3209" s="8">
        <v>13.4</v>
      </c>
      <c r="T3209" s="8">
        <v>0.7</v>
      </c>
      <c r="U3209" s="8">
        <v>13.7</v>
      </c>
      <c r="V3209" s="8">
        <v>1.8</v>
      </c>
      <c r="W3209" s="8">
        <v>1.6</v>
      </c>
      <c r="X3209" s="8">
        <v>20</v>
      </c>
      <c r="Y3209" s="8" t="s">
        <v>13575</v>
      </c>
      <c r="Z3209" s="8" t="s">
        <v>13576</v>
      </c>
    </row>
    <row r="3210" spans="1:26" x14ac:dyDescent="0.2">
      <c r="A3210" s="8">
        <v>3209</v>
      </c>
      <c r="B3210" s="8" t="s">
        <v>14752</v>
      </c>
      <c r="C3210" s="8" t="s">
        <v>14752</v>
      </c>
      <c r="F3210" s="47"/>
      <c r="G3210" s="8">
        <v>16</v>
      </c>
      <c r="H3210" s="8" t="s">
        <v>21</v>
      </c>
      <c r="I3210" s="8" t="s">
        <v>22</v>
      </c>
      <c r="J3210" s="8" t="s">
        <v>22</v>
      </c>
      <c r="K3210" s="8" t="s">
        <v>1136</v>
      </c>
      <c r="L3210" s="8" t="s">
        <v>13194</v>
      </c>
      <c r="M3210" s="8" t="s">
        <v>13195</v>
      </c>
      <c r="N3210" s="8" t="s">
        <v>14753</v>
      </c>
      <c r="O3210" s="8">
        <f>10+20/60+38.5/3600</f>
        <v>10.344027777777779</v>
      </c>
      <c r="P3210" s="8" t="s">
        <v>14754</v>
      </c>
      <c r="Q3210" s="8">
        <f>+(25+30/60+17/3600)</f>
        <v>25.504722222222224</v>
      </c>
      <c r="R3210" s="8">
        <v>12.7</v>
      </c>
      <c r="S3210" s="8">
        <v>13.7</v>
      </c>
      <c r="T3210" s="8">
        <v>1</v>
      </c>
      <c r="U3210" s="8">
        <v>13.2</v>
      </c>
      <c r="V3210" s="8">
        <v>1.3</v>
      </c>
      <c r="W3210" s="8">
        <v>1.1000000000000001</v>
      </c>
      <c r="X3210" s="8">
        <v>80</v>
      </c>
      <c r="Y3210" s="8" t="s">
        <v>14755</v>
      </c>
      <c r="Z3210" s="8" t="s">
        <v>14756</v>
      </c>
    </row>
    <row r="3211" spans="1:26" x14ac:dyDescent="0.2">
      <c r="A3211" s="8">
        <v>3210</v>
      </c>
      <c r="B3211" s="8" t="s">
        <v>14757</v>
      </c>
      <c r="C3211" s="8" t="s">
        <v>14757</v>
      </c>
      <c r="F3211" s="47" t="s">
        <v>56770</v>
      </c>
      <c r="G3211" s="8">
        <v>18</v>
      </c>
      <c r="H3211" s="8" t="s">
        <v>21</v>
      </c>
      <c r="I3211" s="8" t="s">
        <v>72</v>
      </c>
      <c r="J3211" s="8" t="s">
        <v>72</v>
      </c>
      <c r="K3211" s="8" t="s">
        <v>73</v>
      </c>
      <c r="L3211" s="8" t="s">
        <v>13395</v>
      </c>
      <c r="M3211" s="8" t="s">
        <v>13396</v>
      </c>
      <c r="N3211" s="8" t="s">
        <v>14758</v>
      </c>
      <c r="O3211" s="8">
        <f>10+27/60+59.2/3600</f>
        <v>10.466444444444443</v>
      </c>
      <c r="P3211" s="8" t="s">
        <v>14759</v>
      </c>
      <c r="Q3211" s="8">
        <f>+(79+49/60+59/3600)</f>
        <v>79.833055555555546</v>
      </c>
      <c r="R3211" s="8">
        <v>99</v>
      </c>
      <c r="S3211" s="8">
        <v>99</v>
      </c>
      <c r="T3211" s="8">
        <v>99</v>
      </c>
      <c r="U3211" s="8">
        <v>99</v>
      </c>
      <c r="Y3211" s="8" t="s">
        <v>14760</v>
      </c>
      <c r="Z3211" s="8" t="s">
        <v>14761</v>
      </c>
    </row>
    <row r="3212" spans="1:26" x14ac:dyDescent="0.2">
      <c r="A3212" s="8">
        <v>3211</v>
      </c>
      <c r="B3212" s="8" t="s">
        <v>14762</v>
      </c>
      <c r="C3212" s="8" t="s">
        <v>14762</v>
      </c>
      <c r="F3212" s="47"/>
      <c r="G3212" s="8">
        <v>13</v>
      </c>
      <c r="H3212" s="8" t="s">
        <v>21</v>
      </c>
      <c r="I3212" s="8" t="s">
        <v>241</v>
      </c>
      <c r="J3212" s="8" t="s">
        <v>241</v>
      </c>
      <c r="K3212" s="8" t="s">
        <v>241</v>
      </c>
      <c r="L3212" s="8" t="s">
        <v>10135</v>
      </c>
      <c r="M3212" s="8" t="s">
        <v>10136</v>
      </c>
      <c r="N3212" s="8" t="s">
        <v>14763</v>
      </c>
      <c r="O3212" s="8">
        <f>10+17/60+50.4/3600</f>
        <v>10.297333333333333</v>
      </c>
      <c r="P3212" s="8" t="s">
        <v>14764</v>
      </c>
      <c r="Q3212" s="8">
        <f>-(62+40/60+12/3600)</f>
        <v>-62.669999999999995</v>
      </c>
      <c r="R3212" s="8">
        <v>10.7</v>
      </c>
      <c r="S3212" s="8">
        <v>11.8</v>
      </c>
      <c r="T3212" s="8">
        <v>99</v>
      </c>
      <c r="U3212" s="8">
        <v>99</v>
      </c>
      <c r="V3212" s="8">
        <v>0.32</v>
      </c>
      <c r="Y3212" s="8" t="s">
        <v>14765</v>
      </c>
      <c r="Z3212" s="8" t="s">
        <v>14766</v>
      </c>
    </row>
    <row r="3213" spans="1:26" x14ac:dyDescent="0.2">
      <c r="A3213" s="8">
        <v>3212</v>
      </c>
      <c r="B3213" s="8" t="s">
        <v>14767</v>
      </c>
      <c r="C3213" s="8" t="s">
        <v>14767</v>
      </c>
      <c r="F3213" s="47" t="s">
        <v>56771</v>
      </c>
      <c r="G3213" s="8">
        <v>18</v>
      </c>
      <c r="H3213" s="8" t="s">
        <v>21</v>
      </c>
      <c r="I3213" s="8" t="s">
        <v>22</v>
      </c>
      <c r="J3213" s="8" t="s">
        <v>22</v>
      </c>
      <c r="K3213" s="8" t="s">
        <v>218</v>
      </c>
      <c r="L3213" s="8" t="s">
        <v>13395</v>
      </c>
      <c r="M3213" s="8" t="s">
        <v>13396</v>
      </c>
      <c r="N3213" s="8" t="s">
        <v>14768</v>
      </c>
      <c r="O3213" s="8">
        <f>10+28/60+16.4/3600</f>
        <v>10.471222222222222</v>
      </c>
      <c r="P3213" s="8" t="s">
        <v>14769</v>
      </c>
      <c r="Q3213" s="8">
        <f>+(79+49/60+26/3600)</f>
        <v>79.823888888888888</v>
      </c>
      <c r="R3213" s="8">
        <v>13.2</v>
      </c>
      <c r="S3213" s="8">
        <v>14</v>
      </c>
      <c r="T3213" s="8">
        <v>0.8</v>
      </c>
      <c r="U3213" s="8">
        <v>13.4</v>
      </c>
      <c r="V3213" s="8">
        <v>1.5</v>
      </c>
      <c r="W3213" s="8">
        <v>1.1000000000000001</v>
      </c>
      <c r="X3213" s="8">
        <v>92</v>
      </c>
      <c r="Y3213" s="8" t="s">
        <v>14770</v>
      </c>
      <c r="Z3213" s="8" t="s">
        <v>14771</v>
      </c>
    </row>
    <row r="3214" spans="1:26" x14ac:dyDescent="0.2">
      <c r="A3214" s="8">
        <v>3213</v>
      </c>
      <c r="B3214" s="8" t="s">
        <v>14772</v>
      </c>
      <c r="C3214" s="8" t="s">
        <v>14772</v>
      </c>
      <c r="F3214" s="47"/>
      <c r="G3214" s="8">
        <v>19</v>
      </c>
      <c r="H3214" s="8" t="s">
        <v>21</v>
      </c>
      <c r="I3214" s="8" t="s">
        <v>22</v>
      </c>
      <c r="J3214" s="8" t="s">
        <v>22</v>
      </c>
      <c r="K3214" s="8" t="s">
        <v>396</v>
      </c>
      <c r="L3214" s="8" t="s">
        <v>13194</v>
      </c>
      <c r="M3214" s="8" t="s">
        <v>13195</v>
      </c>
      <c r="N3214" s="8" t="s">
        <v>14773</v>
      </c>
      <c r="O3214" s="8">
        <f>10+21/60+17.4/3600</f>
        <v>10.354833333333334</v>
      </c>
      <c r="P3214" s="8" t="s">
        <v>14774</v>
      </c>
      <c r="Q3214" s="8">
        <f>+(19+39/60+6/3600)</f>
        <v>19.651666666666664</v>
      </c>
      <c r="R3214" s="8">
        <v>13.5</v>
      </c>
      <c r="S3214" s="8">
        <v>14.3</v>
      </c>
      <c r="T3214" s="8">
        <v>0.8</v>
      </c>
      <c r="U3214" s="8">
        <v>13.1</v>
      </c>
      <c r="V3214" s="8">
        <v>1</v>
      </c>
      <c r="W3214" s="8">
        <v>0.8</v>
      </c>
      <c r="X3214" s="8">
        <v>133</v>
      </c>
      <c r="Y3214" s="8" t="s">
        <v>7343</v>
      </c>
      <c r="Z3214" s="8" t="s">
        <v>7344</v>
      </c>
    </row>
    <row r="3215" spans="1:26" x14ac:dyDescent="0.2">
      <c r="A3215" s="8">
        <v>3214</v>
      </c>
      <c r="B3215" s="8" t="s">
        <v>14775</v>
      </c>
      <c r="C3215" s="8" t="s">
        <v>14775</v>
      </c>
      <c r="F3215" s="47"/>
      <c r="G3215" s="8">
        <v>18</v>
      </c>
      <c r="H3215" s="8" t="s">
        <v>21</v>
      </c>
      <c r="I3215" s="8" t="s">
        <v>22</v>
      </c>
      <c r="J3215" s="8" t="s">
        <v>22</v>
      </c>
      <c r="K3215" s="8" t="s">
        <v>632</v>
      </c>
      <c r="L3215" s="8" t="s">
        <v>12015</v>
      </c>
      <c r="M3215" s="8" t="s">
        <v>12016</v>
      </c>
      <c r="N3215" s="8" t="s">
        <v>14776</v>
      </c>
      <c r="O3215" s="8">
        <f>10+23/60+8.7/3600</f>
        <v>10.38575</v>
      </c>
      <c r="P3215" s="8" t="s">
        <v>14777</v>
      </c>
      <c r="Q3215" s="8">
        <f>+(57+2/60+20/3600)</f>
        <v>57.038888888888884</v>
      </c>
      <c r="R3215" s="8">
        <v>13.9</v>
      </c>
      <c r="S3215" s="8">
        <v>14.8</v>
      </c>
      <c r="T3215" s="8">
        <v>0.9</v>
      </c>
      <c r="U3215" s="8">
        <v>12.8</v>
      </c>
      <c r="V3215" s="8">
        <v>0.7</v>
      </c>
      <c r="W3215" s="8">
        <v>0.3</v>
      </c>
      <c r="X3215" s="8">
        <v>39</v>
      </c>
      <c r="Y3215" s="8" t="s">
        <v>14778</v>
      </c>
      <c r="Z3215" s="8" t="s">
        <v>14779</v>
      </c>
    </row>
    <row r="3216" spans="1:26" x14ac:dyDescent="0.2">
      <c r="A3216" s="8">
        <v>3215</v>
      </c>
      <c r="B3216" s="8" t="s">
        <v>14780</v>
      </c>
      <c r="C3216" s="8" t="s">
        <v>14780</v>
      </c>
      <c r="F3216" s="47" t="s">
        <v>56772</v>
      </c>
      <c r="G3216" s="8">
        <v>18</v>
      </c>
      <c r="H3216" s="8" t="s">
        <v>21</v>
      </c>
      <c r="I3216" s="8" t="s">
        <v>22</v>
      </c>
      <c r="J3216" s="8" t="s">
        <v>22</v>
      </c>
      <c r="K3216" s="8" t="s">
        <v>396</v>
      </c>
      <c r="L3216" s="8" t="s">
        <v>13395</v>
      </c>
      <c r="M3216" s="8" t="s">
        <v>13396</v>
      </c>
      <c r="N3216" s="8" t="s">
        <v>14781</v>
      </c>
      <c r="O3216" s="8">
        <f>10+28/60+40.8/3600</f>
        <v>10.478</v>
      </c>
      <c r="P3216" s="8" t="s">
        <v>14782</v>
      </c>
      <c r="Q3216" s="8">
        <f>+(79+48/60+45/3600)</f>
        <v>79.8125</v>
      </c>
      <c r="R3216" s="8">
        <v>13.1</v>
      </c>
      <c r="S3216" s="8">
        <v>13.9</v>
      </c>
      <c r="T3216" s="8">
        <v>0.8</v>
      </c>
      <c r="U3216" s="8">
        <v>13.1</v>
      </c>
      <c r="V3216" s="8">
        <v>1.1000000000000001</v>
      </c>
      <c r="W3216" s="8">
        <v>1</v>
      </c>
      <c r="X3216" s="8">
        <v>52</v>
      </c>
      <c r="Y3216" s="8" t="s">
        <v>14770</v>
      </c>
      <c r="Z3216" s="8" t="s">
        <v>14783</v>
      </c>
    </row>
    <row r="3217" spans="1:26" x14ac:dyDescent="0.2">
      <c r="A3217" s="8">
        <v>3216</v>
      </c>
      <c r="B3217" s="8" t="s">
        <v>14784</v>
      </c>
      <c r="C3217" s="8" t="s">
        <v>14784</v>
      </c>
      <c r="F3217" s="47" t="s">
        <v>56773</v>
      </c>
      <c r="G3217" s="8">
        <v>15</v>
      </c>
      <c r="H3217" s="8" t="s">
        <v>21</v>
      </c>
      <c r="I3217" s="8" t="s">
        <v>22</v>
      </c>
      <c r="J3217" s="8" t="s">
        <v>22</v>
      </c>
      <c r="K3217" s="8" t="s">
        <v>1136</v>
      </c>
      <c r="L3217" s="8" t="s">
        <v>13194</v>
      </c>
      <c r="M3217" s="8" t="s">
        <v>13195</v>
      </c>
      <c r="N3217" s="8" t="s">
        <v>14785</v>
      </c>
      <c r="O3217" s="8">
        <f>10+21/60+41.2/3600</f>
        <v>10.361444444444444</v>
      </c>
      <c r="P3217" s="8" t="s">
        <v>14786</v>
      </c>
      <c r="Q3217" s="8">
        <f>+(23+55/60+24/3600)</f>
        <v>23.923333333333336</v>
      </c>
      <c r="R3217" s="8">
        <v>13.4</v>
      </c>
      <c r="S3217" s="8">
        <v>14.4</v>
      </c>
      <c r="T3217" s="8">
        <v>1</v>
      </c>
      <c r="U3217" s="8">
        <v>13.6</v>
      </c>
      <c r="V3217" s="8">
        <v>1.3</v>
      </c>
      <c r="W3217" s="8">
        <v>1</v>
      </c>
      <c r="X3217" s="8">
        <v>0</v>
      </c>
      <c r="Y3217" s="8" t="s">
        <v>14787</v>
      </c>
      <c r="Z3217" s="8" t="s">
        <v>14788</v>
      </c>
    </row>
    <row r="3218" spans="1:26" x14ac:dyDescent="0.2">
      <c r="A3218" s="8">
        <v>3217</v>
      </c>
      <c r="B3218" s="8" t="s">
        <v>14789</v>
      </c>
      <c r="C3218" s="8" t="s">
        <v>14789</v>
      </c>
      <c r="F3218" s="47"/>
      <c r="G3218" s="8">
        <v>19</v>
      </c>
      <c r="H3218" s="8" t="s">
        <v>21</v>
      </c>
      <c r="I3218" s="8" t="s">
        <v>22</v>
      </c>
      <c r="J3218" s="8" t="s">
        <v>22</v>
      </c>
      <c r="K3218" s="8" t="s">
        <v>160</v>
      </c>
      <c r="L3218" s="8" t="s">
        <v>13194</v>
      </c>
      <c r="M3218" s="8" t="s">
        <v>13195</v>
      </c>
      <c r="N3218" s="8" t="s">
        <v>14790</v>
      </c>
      <c r="O3218" s="8">
        <f>10+23/60+32.6/3600</f>
        <v>10.392388888888888</v>
      </c>
      <c r="P3218" s="8" t="s">
        <v>14791</v>
      </c>
      <c r="Q3218" s="8">
        <f>+(10+57/60+35/3600)</f>
        <v>10.959722222222222</v>
      </c>
      <c r="R3218" s="8">
        <v>14.5</v>
      </c>
      <c r="S3218" s="8">
        <v>15.2</v>
      </c>
      <c r="T3218" s="8">
        <v>0.7</v>
      </c>
      <c r="U3218" s="8">
        <v>12.3</v>
      </c>
      <c r="V3218" s="8">
        <v>0.5</v>
      </c>
      <c r="W3218" s="8">
        <v>0.3</v>
      </c>
      <c r="X3218" s="8">
        <v>30</v>
      </c>
      <c r="Y3218" s="8" t="s">
        <v>14792</v>
      </c>
      <c r="Z3218" s="8" t="s">
        <v>14793</v>
      </c>
    </row>
    <row r="3219" spans="1:26" x14ac:dyDescent="0.2">
      <c r="A3219" s="8">
        <v>3218</v>
      </c>
      <c r="B3219" s="8" t="s">
        <v>14794</v>
      </c>
      <c r="C3219" s="8" t="s">
        <v>14794</v>
      </c>
      <c r="F3219" s="47" t="s">
        <v>56774</v>
      </c>
      <c r="G3219" s="8">
        <v>15</v>
      </c>
      <c r="H3219" s="8" t="s">
        <v>21</v>
      </c>
      <c r="I3219" s="8" t="s">
        <v>22</v>
      </c>
      <c r="J3219" s="8" t="s">
        <v>22</v>
      </c>
      <c r="K3219" s="8" t="s">
        <v>85</v>
      </c>
      <c r="L3219" s="8" t="s">
        <v>13395</v>
      </c>
      <c r="M3219" s="8" t="s">
        <v>13396</v>
      </c>
      <c r="N3219" s="8" t="s">
        <v>14639</v>
      </c>
      <c r="O3219" s="8">
        <f>10+21/60+48.6/3600</f>
        <v>10.3635</v>
      </c>
      <c r="P3219" s="8" t="s">
        <v>14640</v>
      </c>
      <c r="Q3219" s="8">
        <f>+(74+10/60+38/3600)</f>
        <v>74.177222222222227</v>
      </c>
      <c r="R3219" s="8">
        <v>11.9</v>
      </c>
      <c r="S3219" s="8">
        <v>12.6</v>
      </c>
      <c r="T3219" s="8">
        <v>0.7</v>
      </c>
      <c r="U3219" s="8">
        <v>13</v>
      </c>
      <c r="V3219" s="8">
        <v>2.2999999999999998</v>
      </c>
      <c r="W3219" s="8">
        <v>1.4</v>
      </c>
      <c r="X3219" s="8">
        <v>161</v>
      </c>
      <c r="Y3219" s="8" t="s">
        <v>14795</v>
      </c>
      <c r="Z3219" s="8" t="s">
        <v>14796</v>
      </c>
    </row>
    <row r="3220" spans="1:26" x14ac:dyDescent="0.2">
      <c r="A3220" s="8">
        <v>3219</v>
      </c>
      <c r="B3220" s="8" t="s">
        <v>14797</v>
      </c>
      <c r="C3220" s="8" t="s">
        <v>14797</v>
      </c>
      <c r="F3220" s="47"/>
      <c r="G3220" s="8">
        <v>19</v>
      </c>
      <c r="H3220" s="8" t="s">
        <v>21</v>
      </c>
      <c r="I3220" s="8" t="s">
        <v>22</v>
      </c>
      <c r="J3220" s="8" t="s">
        <v>22</v>
      </c>
      <c r="K3220" s="8" t="s">
        <v>58</v>
      </c>
      <c r="L3220" s="8" t="s">
        <v>13179</v>
      </c>
      <c r="M3220" s="8" t="s">
        <v>13180</v>
      </c>
      <c r="N3220" s="8" t="s">
        <v>14798</v>
      </c>
      <c r="O3220" s="8">
        <f>10+22/60+37.4/3600</f>
        <v>10.377055555555556</v>
      </c>
      <c r="P3220" s="8" t="s">
        <v>14799</v>
      </c>
      <c r="Q3220" s="8">
        <f>+(38+34/60+47/3600)</f>
        <v>38.579722222222223</v>
      </c>
      <c r="R3220" s="8">
        <v>13.2</v>
      </c>
      <c r="S3220" s="8">
        <v>14.2</v>
      </c>
      <c r="T3220" s="8">
        <v>1</v>
      </c>
      <c r="U3220" s="8">
        <v>12.3</v>
      </c>
      <c r="V3220" s="8">
        <v>0.8</v>
      </c>
      <c r="W3220" s="8">
        <v>0.5</v>
      </c>
      <c r="X3220" s="8">
        <v>60</v>
      </c>
      <c r="Y3220" s="8" t="s">
        <v>3982</v>
      </c>
      <c r="Z3220" s="8" t="s">
        <v>3983</v>
      </c>
    </row>
    <row r="3221" spans="1:26" x14ac:dyDescent="0.2">
      <c r="A3221" s="8">
        <v>3220</v>
      </c>
      <c r="B3221" s="8" t="s">
        <v>14800</v>
      </c>
      <c r="C3221" s="8" t="s">
        <v>14800</v>
      </c>
      <c r="F3221" s="47" t="s">
        <v>56775</v>
      </c>
      <c r="G3221" s="8">
        <v>15</v>
      </c>
      <c r="H3221" s="8" t="s">
        <v>21</v>
      </c>
      <c r="I3221" s="8" t="s">
        <v>22</v>
      </c>
      <c r="J3221" s="8" t="s">
        <v>22</v>
      </c>
      <c r="K3221" s="8" t="s">
        <v>23</v>
      </c>
      <c r="L3221" s="8" t="s">
        <v>12015</v>
      </c>
      <c r="M3221" s="8" t="s">
        <v>12016</v>
      </c>
      <c r="N3221" s="8" t="s">
        <v>14801</v>
      </c>
      <c r="O3221" s="8">
        <f>10+23/60+44.7/3600</f>
        <v>10.39575</v>
      </c>
      <c r="P3221" s="8" t="s">
        <v>14802</v>
      </c>
      <c r="Q3221" s="8">
        <f>+(57+1/60+36/3600)</f>
        <v>57.026666666666664</v>
      </c>
      <c r="R3221" s="8">
        <v>13.1</v>
      </c>
      <c r="S3221" s="8">
        <v>13.9</v>
      </c>
      <c r="T3221" s="8">
        <v>0.8</v>
      </c>
      <c r="U3221" s="8">
        <v>12.5</v>
      </c>
      <c r="V3221" s="8">
        <v>1.3</v>
      </c>
      <c r="W3221" s="8">
        <v>0.5</v>
      </c>
      <c r="X3221" s="8">
        <v>97</v>
      </c>
      <c r="Y3221" s="8" t="s">
        <v>14803</v>
      </c>
      <c r="Z3221" s="8" t="s">
        <v>14804</v>
      </c>
    </row>
    <row r="3222" spans="1:26" x14ac:dyDescent="0.2">
      <c r="A3222" s="8">
        <v>3221</v>
      </c>
      <c r="B3222" s="8" t="s">
        <v>14805</v>
      </c>
      <c r="C3222" s="8" t="s">
        <v>14805</v>
      </c>
      <c r="F3222" s="47"/>
      <c r="G3222" s="8">
        <v>18</v>
      </c>
      <c r="H3222" s="8" t="s">
        <v>21</v>
      </c>
      <c r="I3222" s="8" t="s">
        <v>22</v>
      </c>
      <c r="J3222" s="8" t="s">
        <v>22</v>
      </c>
      <c r="K3222" s="8" t="s">
        <v>64</v>
      </c>
      <c r="L3222" s="8" t="s">
        <v>13194</v>
      </c>
      <c r="M3222" s="8" t="s">
        <v>13195</v>
      </c>
      <c r="N3222" s="8" t="s">
        <v>14806</v>
      </c>
      <c r="O3222" s="8">
        <f>10+22/60+20.2/3600</f>
        <v>10.372277777777779</v>
      </c>
      <c r="P3222" s="8" t="s">
        <v>14807</v>
      </c>
      <c r="Q3222" s="8">
        <f>+(21+34/60+8/3600)</f>
        <v>21.568888888888889</v>
      </c>
      <c r="R3222" s="8">
        <v>13.1</v>
      </c>
      <c r="S3222" s="8">
        <v>13.8</v>
      </c>
      <c r="T3222" s="8">
        <v>0.7</v>
      </c>
      <c r="U3222" s="8">
        <v>13.8</v>
      </c>
      <c r="V3222" s="8">
        <v>3.1</v>
      </c>
      <c r="W3222" s="8">
        <v>0.7</v>
      </c>
      <c r="X3222" s="8">
        <v>167</v>
      </c>
      <c r="Y3222" s="8" t="s">
        <v>14808</v>
      </c>
      <c r="Z3222" s="8" t="s">
        <v>14809</v>
      </c>
    </row>
    <row r="3223" spans="1:26" x14ac:dyDescent="0.2">
      <c r="A3223" s="8">
        <v>3222</v>
      </c>
      <c r="B3223" s="8" t="s">
        <v>14810</v>
      </c>
      <c r="C3223" s="8" t="s">
        <v>14810</v>
      </c>
      <c r="F3223" s="47"/>
      <c r="G3223" s="8">
        <v>17</v>
      </c>
      <c r="H3223" s="8" t="s">
        <v>21</v>
      </c>
      <c r="I3223" s="8" t="s">
        <v>22</v>
      </c>
      <c r="J3223" s="8" t="s">
        <v>22</v>
      </c>
      <c r="K3223" s="8" t="s">
        <v>224</v>
      </c>
      <c r="L3223" s="8" t="s">
        <v>13194</v>
      </c>
      <c r="M3223" s="8" t="s">
        <v>13195</v>
      </c>
      <c r="N3223" s="8" t="s">
        <v>14811</v>
      </c>
      <c r="O3223" s="8">
        <f>10+22/60+34.4/3600</f>
        <v>10.376222222222223</v>
      </c>
      <c r="P3223" s="8" t="s">
        <v>14812</v>
      </c>
      <c r="Q3223" s="8">
        <f>+(19+53/60+12/3600)</f>
        <v>19.886666666666667</v>
      </c>
      <c r="R3223" s="8">
        <v>12.8</v>
      </c>
      <c r="S3223" s="8">
        <v>13.7</v>
      </c>
      <c r="T3223" s="8">
        <v>0.9</v>
      </c>
      <c r="U3223" s="8">
        <v>13</v>
      </c>
      <c r="V3223" s="8">
        <v>1.2</v>
      </c>
      <c r="W3223" s="8">
        <v>1</v>
      </c>
      <c r="X3223" s="8">
        <v>51</v>
      </c>
      <c r="Y3223" s="8" t="s">
        <v>14813</v>
      </c>
      <c r="Z3223" s="8" t="s">
        <v>14814</v>
      </c>
    </row>
    <row r="3224" spans="1:26" x14ac:dyDescent="0.2">
      <c r="A3224" s="8">
        <v>3223</v>
      </c>
      <c r="B3224" s="8" t="s">
        <v>14815</v>
      </c>
      <c r="C3224" s="8" t="s">
        <v>14815</v>
      </c>
      <c r="F3224" s="47"/>
      <c r="G3224" s="8">
        <v>16</v>
      </c>
      <c r="H3224" s="8" t="s">
        <v>21</v>
      </c>
      <c r="I3224" s="8" t="s">
        <v>22</v>
      </c>
      <c r="J3224" s="8" t="s">
        <v>22</v>
      </c>
      <c r="K3224" s="8" t="s">
        <v>23</v>
      </c>
      <c r="L3224" s="8" t="s">
        <v>13374</v>
      </c>
      <c r="M3224" s="8" t="s">
        <v>13375</v>
      </c>
      <c r="N3224" s="8" t="s">
        <v>14816</v>
      </c>
      <c r="O3224" s="8">
        <f>10+21/60+34.8/3600</f>
        <v>10.359666666666666</v>
      </c>
      <c r="P3224" s="8" t="s">
        <v>14817</v>
      </c>
      <c r="Q3224" s="8">
        <f>-(34+16/60+1/3600)</f>
        <v>-34.266944444444441</v>
      </c>
      <c r="R3224" s="8">
        <v>11</v>
      </c>
      <c r="S3224" s="8">
        <v>11.8</v>
      </c>
      <c r="T3224" s="8">
        <v>0.8</v>
      </c>
      <c r="U3224" s="8">
        <v>13.3</v>
      </c>
      <c r="V3224" s="8">
        <v>4.0999999999999996</v>
      </c>
      <c r="W3224" s="8">
        <v>2.7</v>
      </c>
      <c r="X3224" s="8">
        <v>135</v>
      </c>
      <c r="Y3224" s="8" t="s">
        <v>14818</v>
      </c>
      <c r="Z3224" s="8" t="s">
        <v>14819</v>
      </c>
    </row>
    <row r="3225" spans="1:26" x14ac:dyDescent="0.2">
      <c r="A3225" s="8">
        <v>3224</v>
      </c>
      <c r="B3225" s="8" t="s">
        <v>14820</v>
      </c>
      <c r="C3225" s="8" t="s">
        <v>14820</v>
      </c>
      <c r="F3225" s="47"/>
      <c r="G3225" s="8">
        <v>16</v>
      </c>
      <c r="H3225" s="8" t="s">
        <v>21</v>
      </c>
      <c r="I3225" s="8" t="s">
        <v>22</v>
      </c>
      <c r="J3225" s="8" t="s">
        <v>22</v>
      </c>
      <c r="K3225" s="8" t="s">
        <v>1136</v>
      </c>
      <c r="L3225" s="8" t="s">
        <v>13374</v>
      </c>
      <c r="M3225" s="8" t="s">
        <v>13375</v>
      </c>
      <c r="N3225" s="8" t="s">
        <v>14821</v>
      </c>
      <c r="O3225" s="8">
        <f>10+21/60+41.1/3600</f>
        <v>10.361416666666667</v>
      </c>
      <c r="P3225" s="8" t="s">
        <v>14822</v>
      </c>
      <c r="Q3225" s="8">
        <f>-(34+41/60+46/3600)</f>
        <v>-34.696111111111108</v>
      </c>
      <c r="R3225" s="8">
        <v>11</v>
      </c>
      <c r="S3225" s="8">
        <v>12</v>
      </c>
      <c r="T3225" s="8">
        <v>1</v>
      </c>
      <c r="U3225" s="8">
        <v>13.2</v>
      </c>
      <c r="V3225" s="8">
        <v>1.9</v>
      </c>
      <c r="W3225" s="8">
        <v>1.5</v>
      </c>
      <c r="X3225" s="8">
        <v>133</v>
      </c>
      <c r="Y3225" s="8" t="s">
        <v>14823</v>
      </c>
      <c r="Z3225" s="8" t="s">
        <v>14824</v>
      </c>
    </row>
    <row r="3226" spans="1:26" x14ac:dyDescent="0.2">
      <c r="A3226" s="8">
        <v>3225</v>
      </c>
      <c r="B3226" s="8" t="s">
        <v>14825</v>
      </c>
      <c r="C3226" s="8" t="s">
        <v>14825</v>
      </c>
      <c r="F3226" s="47" t="s">
        <v>56776</v>
      </c>
      <c r="G3226" s="8">
        <v>6.5</v>
      </c>
      <c r="H3226" s="8" t="s">
        <v>21</v>
      </c>
      <c r="I3226" s="8" t="s">
        <v>22</v>
      </c>
      <c r="J3226" s="8" t="s">
        <v>22</v>
      </c>
      <c r="K3226" s="8" t="s">
        <v>160</v>
      </c>
      <c r="L3226" s="8" t="s">
        <v>12015</v>
      </c>
      <c r="M3226" s="8" t="s">
        <v>12016</v>
      </c>
      <c r="N3226" s="8" t="s">
        <v>14826</v>
      </c>
      <c r="O3226" s="8">
        <f>10+25/60+9.9/3600</f>
        <v>10.419416666666667</v>
      </c>
      <c r="P3226" s="8" t="s">
        <v>14827</v>
      </c>
      <c r="Q3226" s="8">
        <f>+(58+8/60+59/3600)</f>
        <v>58.149722222222223</v>
      </c>
      <c r="R3226" s="8">
        <v>12.6</v>
      </c>
      <c r="S3226" s="8">
        <v>13.3</v>
      </c>
      <c r="T3226" s="8">
        <v>0.7</v>
      </c>
      <c r="U3226" s="8">
        <v>13.2</v>
      </c>
      <c r="V3226" s="8">
        <v>2</v>
      </c>
      <c r="W3226" s="8">
        <v>1</v>
      </c>
      <c r="X3226" s="8">
        <v>155</v>
      </c>
      <c r="Y3226" s="8" t="s">
        <v>14828</v>
      </c>
      <c r="Z3226" s="8" t="s">
        <v>14829</v>
      </c>
    </row>
    <row r="3227" spans="1:26" x14ac:dyDescent="0.2">
      <c r="A3227" s="8">
        <v>3226</v>
      </c>
      <c r="B3227" s="8" t="s">
        <v>14830</v>
      </c>
      <c r="C3227" s="8" t="s">
        <v>14830</v>
      </c>
      <c r="F3227" s="47" t="s">
        <v>56777</v>
      </c>
      <c r="G3227" s="8">
        <v>6</v>
      </c>
      <c r="H3227" s="8" t="s">
        <v>21</v>
      </c>
      <c r="I3227" s="8" t="s">
        <v>22</v>
      </c>
      <c r="J3227" s="8" t="s">
        <v>22</v>
      </c>
      <c r="K3227" s="8" t="s">
        <v>1136</v>
      </c>
      <c r="L3227" s="8" t="s">
        <v>13194</v>
      </c>
      <c r="M3227" s="8" t="s">
        <v>13195</v>
      </c>
      <c r="N3227" s="8" t="s">
        <v>14831</v>
      </c>
      <c r="O3227" s="8">
        <f>10+23/60+26.9/3600</f>
        <v>10.390805555555556</v>
      </c>
      <c r="P3227" s="8" t="s">
        <v>14832</v>
      </c>
      <c r="Q3227" s="8">
        <f>+(19+53/60+51/3600)</f>
        <v>19.897500000000001</v>
      </c>
      <c r="R3227" s="8">
        <v>11.4</v>
      </c>
      <c r="S3227" s="8">
        <v>12.3</v>
      </c>
      <c r="T3227" s="8">
        <v>0.9</v>
      </c>
      <c r="U3227" s="8">
        <v>13.7</v>
      </c>
      <c r="V3227" s="8">
        <v>2.8</v>
      </c>
      <c r="W3227" s="8">
        <v>2</v>
      </c>
      <c r="X3227" s="8">
        <v>29</v>
      </c>
      <c r="Y3227" s="8" t="s">
        <v>14833</v>
      </c>
      <c r="Z3227" s="8" t="s">
        <v>14834</v>
      </c>
    </row>
    <row r="3228" spans="1:26" x14ac:dyDescent="0.2">
      <c r="A3228" s="8">
        <v>3227</v>
      </c>
      <c r="B3228" s="8" t="s">
        <v>14835</v>
      </c>
      <c r="C3228" s="8" t="s">
        <v>14835</v>
      </c>
      <c r="F3228" s="47" t="s">
        <v>56778</v>
      </c>
      <c r="G3228" s="8">
        <v>6</v>
      </c>
      <c r="H3228" s="8" t="s">
        <v>21</v>
      </c>
      <c r="I3228" s="8" t="s">
        <v>22</v>
      </c>
      <c r="J3228" s="8" t="s">
        <v>22</v>
      </c>
      <c r="K3228" s="8" t="s">
        <v>154</v>
      </c>
      <c r="L3228" s="8" t="s">
        <v>13194</v>
      </c>
      <c r="M3228" s="8" t="s">
        <v>13195</v>
      </c>
      <c r="N3228" s="8" t="s">
        <v>14836</v>
      </c>
      <c r="O3228" s="8">
        <f>10+23/60+30.4/3600</f>
        <v>10.391777777777778</v>
      </c>
      <c r="P3228" s="8" t="s">
        <v>14837</v>
      </c>
      <c r="Q3228" s="8">
        <f>+(19+51/60+55/3600)</f>
        <v>19.865277777777781</v>
      </c>
      <c r="R3228" s="8">
        <v>10.3</v>
      </c>
      <c r="S3228" s="8">
        <v>11.1</v>
      </c>
      <c r="T3228" s="8">
        <v>0.8</v>
      </c>
      <c r="U3228" s="8">
        <v>13.4</v>
      </c>
      <c r="V3228" s="8">
        <v>4.0999999999999996</v>
      </c>
      <c r="W3228" s="8">
        <v>3.9</v>
      </c>
      <c r="X3228" s="8">
        <v>150</v>
      </c>
      <c r="Y3228" s="8" t="s">
        <v>14833</v>
      </c>
      <c r="Z3228" s="8" t="s">
        <v>14834</v>
      </c>
    </row>
    <row r="3229" spans="1:26" x14ac:dyDescent="0.2">
      <c r="A3229" s="8">
        <v>3228</v>
      </c>
      <c r="B3229" s="8" t="s">
        <v>14838</v>
      </c>
      <c r="C3229" s="8" t="s">
        <v>14838</v>
      </c>
      <c r="F3229" s="47"/>
      <c r="G3229" s="8">
        <v>4</v>
      </c>
      <c r="H3229" s="8" t="s">
        <v>14839</v>
      </c>
      <c r="I3229" s="8" t="s">
        <v>557</v>
      </c>
      <c r="J3229" s="8" t="s">
        <v>557</v>
      </c>
      <c r="K3229" s="8" t="s">
        <v>13694</v>
      </c>
      <c r="L3229" s="8" t="s">
        <v>11757</v>
      </c>
      <c r="M3229" s="8" t="s">
        <v>11758</v>
      </c>
      <c r="N3229" s="8" t="s">
        <v>14840</v>
      </c>
      <c r="O3229" s="8">
        <f>10+21/60+22/3600</f>
        <v>10.35611111111111</v>
      </c>
      <c r="P3229" s="8" t="s">
        <v>14841</v>
      </c>
      <c r="Q3229" s="8">
        <f>-(51+43/60+42/3600)</f>
        <v>-51.728333333333332</v>
      </c>
      <c r="R3229" s="8">
        <v>6</v>
      </c>
      <c r="S3229" s="8">
        <v>99</v>
      </c>
      <c r="T3229" s="8">
        <v>99</v>
      </c>
      <c r="U3229" s="8">
        <v>99</v>
      </c>
      <c r="V3229" s="8">
        <v>5</v>
      </c>
      <c r="Y3229" s="8" t="s">
        <v>14842</v>
      </c>
      <c r="Z3229" s="8" t="s">
        <v>14843</v>
      </c>
    </row>
    <row r="3230" spans="1:26" x14ac:dyDescent="0.2">
      <c r="A3230" s="8">
        <v>3229</v>
      </c>
      <c r="B3230" s="8" t="s">
        <v>14844</v>
      </c>
      <c r="C3230" s="8" t="s">
        <v>14844</v>
      </c>
      <c r="F3230" s="47"/>
      <c r="G3230" s="8">
        <v>18</v>
      </c>
      <c r="H3230" s="8" t="s">
        <v>21</v>
      </c>
      <c r="I3230" s="8" t="s">
        <v>72</v>
      </c>
      <c r="J3230" s="8" t="s">
        <v>72</v>
      </c>
      <c r="K3230" s="8" t="s">
        <v>1802</v>
      </c>
      <c r="L3230" s="8" t="s">
        <v>12234</v>
      </c>
      <c r="M3230" s="8" t="s">
        <v>12235</v>
      </c>
      <c r="N3230" s="8" t="s">
        <v>14845</v>
      </c>
      <c r="O3230" s="8">
        <f>10+23/60+24.6/3600</f>
        <v>10.390166666666666</v>
      </c>
      <c r="P3230" s="8" t="s">
        <v>14846</v>
      </c>
      <c r="Q3230" s="8">
        <f>+(0+3/60+56/3600)</f>
        <v>6.5555555555555561E-2</v>
      </c>
      <c r="R3230" s="8">
        <v>99</v>
      </c>
      <c r="S3230" s="8">
        <v>99</v>
      </c>
      <c r="T3230" s="8">
        <v>99</v>
      </c>
      <c r="U3230" s="8">
        <v>99</v>
      </c>
      <c r="Y3230" s="8" t="s">
        <v>2802</v>
      </c>
      <c r="Z3230" s="8" t="s">
        <v>1021</v>
      </c>
    </row>
    <row r="3231" spans="1:26" x14ac:dyDescent="0.2">
      <c r="A3231" s="8">
        <v>3230</v>
      </c>
      <c r="B3231" s="8" t="s">
        <v>14847</v>
      </c>
      <c r="C3231" s="8" t="s">
        <v>14847</v>
      </c>
      <c r="F3231" s="47"/>
      <c r="G3231" s="8">
        <v>16</v>
      </c>
      <c r="H3231" s="8" t="s">
        <v>21</v>
      </c>
      <c r="I3231" s="8" t="s">
        <v>22</v>
      </c>
      <c r="J3231" s="8" t="s">
        <v>22</v>
      </c>
      <c r="K3231" s="8" t="s">
        <v>37</v>
      </c>
      <c r="L3231" s="8" t="s">
        <v>13194</v>
      </c>
      <c r="M3231" s="8" t="s">
        <v>13195</v>
      </c>
      <c r="N3231" s="8" t="s">
        <v>14848</v>
      </c>
      <c r="O3231" s="8">
        <f>10+23/60+44/3600</f>
        <v>10.395555555555555</v>
      </c>
      <c r="P3231" s="8" t="s">
        <v>14849</v>
      </c>
      <c r="Q3231" s="8">
        <f>+(12+34/60+3/3600)</f>
        <v>12.567499999999999</v>
      </c>
      <c r="R3231" s="8">
        <v>12.8</v>
      </c>
      <c r="S3231" s="8">
        <v>13.8</v>
      </c>
      <c r="T3231" s="8">
        <v>1</v>
      </c>
      <c r="U3231" s="8">
        <v>13.7</v>
      </c>
      <c r="V3231" s="8">
        <v>2.2999999999999998</v>
      </c>
      <c r="W3231" s="8">
        <v>1.1000000000000001</v>
      </c>
      <c r="X3231" s="8">
        <v>115</v>
      </c>
      <c r="Y3231" s="8" t="s">
        <v>14850</v>
      </c>
      <c r="Z3231" s="8" t="s">
        <v>14851</v>
      </c>
    </row>
    <row r="3232" spans="1:26" x14ac:dyDescent="0.2">
      <c r="A3232" s="8">
        <v>3231</v>
      </c>
      <c r="B3232" s="8" t="s">
        <v>14852</v>
      </c>
      <c r="C3232" s="8" t="s">
        <v>14852</v>
      </c>
      <c r="F3232" s="47"/>
      <c r="G3232" s="8">
        <v>16</v>
      </c>
      <c r="H3232" s="8" t="s">
        <v>21</v>
      </c>
      <c r="I3232" s="8" t="s">
        <v>557</v>
      </c>
      <c r="J3232" s="8" t="s">
        <v>557</v>
      </c>
      <c r="K3232" s="8" t="s">
        <v>557</v>
      </c>
      <c r="L3232" s="8" t="s">
        <v>12015</v>
      </c>
      <c r="M3232" s="8" t="s">
        <v>12016</v>
      </c>
      <c r="N3232" s="8" t="s">
        <v>14853</v>
      </c>
      <c r="O3232" s="8">
        <f>10+26/60+57.8/3600</f>
        <v>10.449388888888889</v>
      </c>
      <c r="P3232" s="8" t="s">
        <v>14854</v>
      </c>
      <c r="Q3232" s="8">
        <f>+(66+48/60+45/3600)</f>
        <v>66.8125</v>
      </c>
      <c r="R3232" s="8">
        <v>99</v>
      </c>
      <c r="S3232" s="8">
        <v>99</v>
      </c>
      <c r="T3232" s="8">
        <v>99</v>
      </c>
      <c r="U3232" s="8">
        <v>99</v>
      </c>
      <c r="V3232" s="8">
        <v>4</v>
      </c>
      <c r="Y3232" s="8" t="s">
        <v>14855</v>
      </c>
      <c r="Z3232" s="8" t="s">
        <v>14856</v>
      </c>
    </row>
    <row r="3233" spans="1:26" x14ac:dyDescent="0.2">
      <c r="A3233" s="8">
        <v>3232</v>
      </c>
      <c r="B3233" s="8" t="s">
        <v>14857</v>
      </c>
      <c r="C3233" s="8" t="s">
        <v>14857</v>
      </c>
      <c r="F3233" s="47"/>
      <c r="G3233" s="8">
        <v>18</v>
      </c>
      <c r="H3233" s="8" t="s">
        <v>21</v>
      </c>
      <c r="I3233" s="8" t="s">
        <v>22</v>
      </c>
      <c r="J3233" s="8" t="s">
        <v>22</v>
      </c>
      <c r="K3233" s="8" t="s">
        <v>435</v>
      </c>
      <c r="L3233" s="8" t="s">
        <v>13179</v>
      </c>
      <c r="M3233" s="8" t="s">
        <v>13180</v>
      </c>
      <c r="N3233" s="8" t="s">
        <v>14858</v>
      </c>
      <c r="O3233" s="8">
        <f>10+24/60+24.4/3600</f>
        <v>10.406777777777778</v>
      </c>
      <c r="P3233" s="8" t="s">
        <v>14859</v>
      </c>
      <c r="Q3233" s="8">
        <f>+(28+1/60+42/3600)</f>
        <v>28.028333333333332</v>
      </c>
      <c r="R3233" s="8">
        <v>14.3</v>
      </c>
      <c r="S3233" s="8">
        <v>15.2</v>
      </c>
      <c r="T3233" s="8">
        <v>0.9</v>
      </c>
      <c r="U3233" s="8">
        <v>13.7</v>
      </c>
      <c r="V3233" s="8">
        <v>0.8</v>
      </c>
      <c r="W3233" s="8">
        <v>0.8</v>
      </c>
      <c r="Y3233" s="8" t="s">
        <v>14860</v>
      </c>
      <c r="Z3233" s="8" t="s">
        <v>14861</v>
      </c>
    </row>
    <row r="3234" spans="1:26" x14ac:dyDescent="0.2">
      <c r="A3234" s="8">
        <v>3233</v>
      </c>
      <c r="B3234" s="8" t="s">
        <v>14862</v>
      </c>
      <c r="C3234" s="8" t="s">
        <v>14862</v>
      </c>
      <c r="F3234" s="47"/>
      <c r="G3234" s="8">
        <v>19</v>
      </c>
      <c r="H3234" s="8" t="s">
        <v>21</v>
      </c>
      <c r="I3234" s="8" t="s">
        <v>22</v>
      </c>
      <c r="J3234" s="8" t="s">
        <v>22</v>
      </c>
      <c r="K3234" s="8" t="s">
        <v>435</v>
      </c>
      <c r="L3234" s="8" t="s">
        <v>11765</v>
      </c>
      <c r="M3234" s="8" t="s">
        <v>11766</v>
      </c>
      <c r="N3234" s="8" t="s">
        <v>14863</v>
      </c>
      <c r="O3234" s="8">
        <f>10+21/60+57.5/3600</f>
        <v>10.365972222222222</v>
      </c>
      <c r="P3234" s="8" t="s">
        <v>14864</v>
      </c>
      <c r="Q3234" s="8">
        <f>-(22+16/60+4/3600)</f>
        <v>-22.267777777777777</v>
      </c>
      <c r="R3234" s="8">
        <v>12.5</v>
      </c>
      <c r="S3234" s="8">
        <v>13.4</v>
      </c>
      <c r="T3234" s="8">
        <v>0.9</v>
      </c>
      <c r="U3234" s="8">
        <v>12.8</v>
      </c>
      <c r="V3234" s="8">
        <v>1.8</v>
      </c>
      <c r="W3234" s="8">
        <v>0.9</v>
      </c>
      <c r="X3234" s="8">
        <v>140</v>
      </c>
      <c r="Y3234" s="8" t="s">
        <v>14865</v>
      </c>
      <c r="Z3234" s="8" t="s">
        <v>14866</v>
      </c>
    </row>
    <row r="3235" spans="1:26" x14ac:dyDescent="0.2">
      <c r="A3235" s="8">
        <v>3234</v>
      </c>
      <c r="B3235" s="8" t="s">
        <v>14867</v>
      </c>
      <c r="C3235" s="8" t="s">
        <v>14867</v>
      </c>
      <c r="F3235" s="47"/>
      <c r="G3235" s="8">
        <v>16</v>
      </c>
      <c r="H3235" s="8" t="s">
        <v>21</v>
      </c>
      <c r="I3235" s="8" t="s">
        <v>22</v>
      </c>
      <c r="J3235" s="8" t="s">
        <v>22</v>
      </c>
      <c r="K3235" s="8" t="s">
        <v>58</v>
      </c>
      <c r="L3235" s="8" t="s">
        <v>13179</v>
      </c>
      <c r="M3235" s="8" t="s">
        <v>13180</v>
      </c>
      <c r="N3235" s="8" t="s">
        <v>14868</v>
      </c>
      <c r="O3235" s="8">
        <f>10+24/60+59.3/3600</f>
        <v>10.416472222222222</v>
      </c>
      <c r="P3235" s="8" t="s">
        <v>14869</v>
      </c>
      <c r="Q3235" s="8">
        <f>+(28+1/60+27/3600)</f>
        <v>28.024166666666666</v>
      </c>
      <c r="R3235" s="8">
        <v>13.3</v>
      </c>
      <c r="S3235" s="8">
        <v>14.3</v>
      </c>
      <c r="T3235" s="8">
        <v>1</v>
      </c>
      <c r="U3235" s="8">
        <v>13.2</v>
      </c>
      <c r="V3235" s="8">
        <v>1.2</v>
      </c>
      <c r="W3235" s="8">
        <v>0.9</v>
      </c>
      <c r="X3235" s="8">
        <v>85</v>
      </c>
      <c r="Y3235" s="8" t="s">
        <v>14870</v>
      </c>
      <c r="Z3235" s="8" t="s">
        <v>14871</v>
      </c>
    </row>
    <row r="3236" spans="1:26" x14ac:dyDescent="0.2">
      <c r="A3236" s="8">
        <v>3235</v>
      </c>
      <c r="B3236" s="8" t="s">
        <v>14872</v>
      </c>
      <c r="C3236" s="8" t="s">
        <v>14872</v>
      </c>
      <c r="F3236" s="47"/>
      <c r="G3236" s="8">
        <v>18</v>
      </c>
      <c r="H3236" s="8" t="s">
        <v>21</v>
      </c>
      <c r="I3236" s="8" t="s">
        <v>22</v>
      </c>
      <c r="J3236" s="8" t="s">
        <v>57</v>
      </c>
      <c r="K3236" s="8" t="s">
        <v>58</v>
      </c>
      <c r="L3236" s="8" t="s">
        <v>13179</v>
      </c>
      <c r="M3236" s="8" t="s">
        <v>13180</v>
      </c>
      <c r="N3236" s="8" t="s">
        <v>14868</v>
      </c>
      <c r="O3236" s="8">
        <f>10+24/60+59.3/3600</f>
        <v>10.416472222222222</v>
      </c>
      <c r="P3236" s="8" t="s">
        <v>14869</v>
      </c>
      <c r="Q3236" s="8">
        <f>+(28+1/60+27/3600)</f>
        <v>28.024166666666666</v>
      </c>
      <c r="R3236" s="8">
        <v>13.3</v>
      </c>
      <c r="S3236" s="8">
        <v>14.3</v>
      </c>
      <c r="T3236" s="8">
        <v>1</v>
      </c>
      <c r="U3236" s="8">
        <v>13.2</v>
      </c>
      <c r="V3236" s="8">
        <v>1.2</v>
      </c>
      <c r="W3236" s="8">
        <v>0.9</v>
      </c>
      <c r="X3236" s="8">
        <v>85</v>
      </c>
      <c r="Y3236" s="8" t="s">
        <v>14870</v>
      </c>
      <c r="Z3236" s="8" t="s">
        <v>14873</v>
      </c>
    </row>
    <row r="3237" spans="1:26" x14ac:dyDescent="0.2">
      <c r="A3237" s="8">
        <v>3236</v>
      </c>
      <c r="B3237" s="8" t="s">
        <v>14874</v>
      </c>
      <c r="C3237" s="8" t="s">
        <v>14874</v>
      </c>
      <c r="F3237" s="47"/>
      <c r="G3237" s="8">
        <v>16</v>
      </c>
      <c r="H3237" s="8" t="s">
        <v>21</v>
      </c>
      <c r="I3237" s="8" t="s">
        <v>22</v>
      </c>
      <c r="J3237" s="8" t="s">
        <v>22</v>
      </c>
      <c r="K3237" s="8" t="s">
        <v>818</v>
      </c>
      <c r="L3237" s="8" t="s">
        <v>12015</v>
      </c>
      <c r="M3237" s="8" t="s">
        <v>12016</v>
      </c>
      <c r="N3237" s="8" t="s">
        <v>14875</v>
      </c>
      <c r="O3237" s="8">
        <f>10+26/60+48.4/3600</f>
        <v>10.446777777777777</v>
      </c>
      <c r="P3237" s="8" t="s">
        <v>14876</v>
      </c>
      <c r="Q3237" s="8">
        <f>+(61+16/60+24/3600)</f>
        <v>61.273333333333333</v>
      </c>
      <c r="R3237" s="8">
        <v>14.3</v>
      </c>
      <c r="S3237" s="8">
        <v>15.3</v>
      </c>
      <c r="T3237" s="8">
        <v>1</v>
      </c>
      <c r="U3237" s="8">
        <v>12.3</v>
      </c>
      <c r="V3237" s="8">
        <v>0.6</v>
      </c>
      <c r="W3237" s="8">
        <v>0.4</v>
      </c>
      <c r="X3237" s="8">
        <v>48</v>
      </c>
      <c r="Y3237" s="8" t="s">
        <v>14877</v>
      </c>
      <c r="Z3237" s="8" t="s">
        <v>14878</v>
      </c>
    </row>
    <row r="3238" spans="1:26" x14ac:dyDescent="0.2">
      <c r="A3238" s="8">
        <v>3237</v>
      </c>
      <c r="B3238" s="8" t="s">
        <v>14879</v>
      </c>
      <c r="C3238" s="8" t="s">
        <v>14879</v>
      </c>
      <c r="F3238" s="47" t="s">
        <v>56779</v>
      </c>
      <c r="G3238" s="8">
        <v>15</v>
      </c>
      <c r="H3238" s="8" t="s">
        <v>21</v>
      </c>
      <c r="I3238" s="8" t="s">
        <v>22</v>
      </c>
      <c r="J3238" s="8" t="s">
        <v>22</v>
      </c>
      <c r="K3238" s="8" t="s">
        <v>224</v>
      </c>
      <c r="L3238" s="8" t="s">
        <v>12015</v>
      </c>
      <c r="M3238" s="8" t="s">
        <v>12016</v>
      </c>
      <c r="N3238" s="8" t="s">
        <v>14880</v>
      </c>
      <c r="O3238" s="8">
        <f>10+25/60+43.4/3600</f>
        <v>10.428722222222222</v>
      </c>
      <c r="P3238" s="8" t="s">
        <v>14881</v>
      </c>
      <c r="Q3238" s="8">
        <f>+(39+38/60+50/3600)</f>
        <v>39.647222222222219</v>
      </c>
      <c r="R3238" s="8">
        <v>13</v>
      </c>
      <c r="S3238" s="8">
        <v>14</v>
      </c>
      <c r="T3238" s="8">
        <v>1</v>
      </c>
      <c r="U3238" s="8">
        <v>13.5</v>
      </c>
      <c r="V3238" s="8">
        <v>1.3</v>
      </c>
      <c r="W3238" s="8">
        <v>1.3</v>
      </c>
      <c r="Y3238" s="8" t="s">
        <v>14882</v>
      </c>
      <c r="Z3238" s="8" t="s">
        <v>14883</v>
      </c>
    </row>
    <row r="3239" spans="1:26" x14ac:dyDescent="0.2">
      <c r="A3239" s="8">
        <v>3238</v>
      </c>
      <c r="B3239" s="8" t="s">
        <v>14884</v>
      </c>
      <c r="C3239" s="8" t="s">
        <v>14884</v>
      </c>
      <c r="F3239" s="47" t="s">
        <v>56780</v>
      </c>
      <c r="G3239" s="8">
        <v>15</v>
      </c>
      <c r="H3239" s="8" t="s">
        <v>21</v>
      </c>
      <c r="I3239" s="8" t="s">
        <v>22</v>
      </c>
      <c r="J3239" s="8" t="s">
        <v>22</v>
      </c>
      <c r="K3239" s="8" t="s">
        <v>37</v>
      </c>
      <c r="L3239" s="8" t="s">
        <v>12015</v>
      </c>
      <c r="M3239" s="8" t="s">
        <v>12016</v>
      </c>
      <c r="N3239" s="8" t="s">
        <v>14885</v>
      </c>
      <c r="O3239" s="8">
        <f>10+26/60+42.9/3600</f>
        <v>10.44525</v>
      </c>
      <c r="P3239" s="8" t="s">
        <v>14886</v>
      </c>
      <c r="Q3239" s="8">
        <f>+(57+13/60+34/3600)</f>
        <v>57.226111111111116</v>
      </c>
      <c r="R3239" s="8">
        <v>12.9</v>
      </c>
      <c r="S3239" s="8">
        <v>13.9</v>
      </c>
      <c r="T3239" s="8">
        <v>1</v>
      </c>
      <c r="U3239" s="8">
        <v>13.4</v>
      </c>
      <c r="V3239" s="8">
        <v>1.4</v>
      </c>
      <c r="W3239" s="8">
        <v>1.3</v>
      </c>
      <c r="X3239" s="8">
        <v>132</v>
      </c>
      <c r="Y3239" s="8" t="s">
        <v>14887</v>
      </c>
      <c r="Z3239" s="8" t="s">
        <v>14888</v>
      </c>
    </row>
    <row r="3240" spans="1:26" x14ac:dyDescent="0.2">
      <c r="A3240" s="8">
        <v>3239</v>
      </c>
      <c r="B3240" s="8" t="s">
        <v>14889</v>
      </c>
      <c r="C3240" s="8" t="s">
        <v>14889</v>
      </c>
      <c r="F3240" s="47" t="s">
        <v>56781</v>
      </c>
      <c r="G3240" s="8">
        <v>15</v>
      </c>
      <c r="H3240" s="8" t="s">
        <v>21</v>
      </c>
      <c r="I3240" s="8" t="s">
        <v>22</v>
      </c>
      <c r="J3240" s="8" t="s">
        <v>22</v>
      </c>
      <c r="K3240" s="8" t="s">
        <v>483</v>
      </c>
      <c r="L3240" s="8" t="s">
        <v>13194</v>
      </c>
      <c r="M3240" s="8" t="s">
        <v>13195</v>
      </c>
      <c r="N3240" s="8" t="s">
        <v>14890</v>
      </c>
      <c r="O3240" s="8">
        <f>10+25/60+5.5/3600</f>
        <v>10.418194444444444</v>
      </c>
      <c r="P3240" s="8" t="s">
        <v>14891</v>
      </c>
      <c r="Q3240" s="8">
        <f>+(17+9/60+37/3600)</f>
        <v>17.160277777777775</v>
      </c>
      <c r="R3240" s="8">
        <v>11.3</v>
      </c>
      <c r="S3240" s="8">
        <v>11.7</v>
      </c>
      <c r="T3240" s="8">
        <v>0.4</v>
      </c>
      <c r="U3240" s="8">
        <v>14.2</v>
      </c>
      <c r="V3240" s="8">
        <v>4.5</v>
      </c>
      <c r="W3240" s="8">
        <v>2.4</v>
      </c>
      <c r="X3240" s="8">
        <v>81</v>
      </c>
      <c r="Y3240" s="8" t="s">
        <v>14892</v>
      </c>
      <c r="Z3240" s="8" t="s">
        <v>14893</v>
      </c>
    </row>
    <row r="3241" spans="1:26" x14ac:dyDescent="0.2">
      <c r="A3241" s="8">
        <v>3240</v>
      </c>
      <c r="B3241" s="8" t="s">
        <v>14894</v>
      </c>
      <c r="C3241" s="8" t="s">
        <v>14894</v>
      </c>
      <c r="F3241" s="47"/>
      <c r="G3241" s="8">
        <v>16</v>
      </c>
      <c r="H3241" s="8" t="s">
        <v>21</v>
      </c>
      <c r="I3241" s="8" t="s">
        <v>22</v>
      </c>
      <c r="J3241" s="8" t="s">
        <v>22</v>
      </c>
      <c r="K3241" s="8" t="s">
        <v>160</v>
      </c>
      <c r="L3241" s="8" t="s">
        <v>11765</v>
      </c>
      <c r="M3241" s="8" t="s">
        <v>11766</v>
      </c>
      <c r="N3241" s="8" t="s">
        <v>14895</v>
      </c>
      <c r="O3241" s="8">
        <f>10+24/60+30.9/3600</f>
        <v>10.408583333333334</v>
      </c>
      <c r="P3241" s="8" t="s">
        <v>14896</v>
      </c>
      <c r="Q3241" s="8">
        <f>-(21+47/60+29/3600)</f>
        <v>-21.791388888888889</v>
      </c>
      <c r="R3241" s="8">
        <v>13.1</v>
      </c>
      <c r="S3241" s="8">
        <v>13.8</v>
      </c>
      <c r="T3241" s="8">
        <v>0.7</v>
      </c>
      <c r="U3241" s="8">
        <v>12.9</v>
      </c>
      <c r="V3241" s="8">
        <v>1.1000000000000001</v>
      </c>
      <c r="W3241" s="8">
        <v>1</v>
      </c>
      <c r="X3241" s="8">
        <v>78</v>
      </c>
      <c r="Y3241" s="8" t="s">
        <v>14897</v>
      </c>
      <c r="Z3241" s="8" t="s">
        <v>14898</v>
      </c>
    </row>
    <row r="3242" spans="1:26" x14ac:dyDescent="0.2">
      <c r="A3242" s="8">
        <v>3241</v>
      </c>
      <c r="B3242" s="8" t="s">
        <v>14899</v>
      </c>
      <c r="C3242" s="8" t="s">
        <v>14899</v>
      </c>
      <c r="F3242" s="47"/>
      <c r="G3242" s="8">
        <v>16</v>
      </c>
      <c r="H3242" s="8" t="s">
        <v>21</v>
      </c>
      <c r="I3242" s="8" t="s">
        <v>22</v>
      </c>
      <c r="J3242" s="8" t="s">
        <v>22</v>
      </c>
      <c r="K3242" s="8" t="s">
        <v>406</v>
      </c>
      <c r="L3242" s="8" t="s">
        <v>13374</v>
      </c>
      <c r="M3242" s="8" t="s">
        <v>13375</v>
      </c>
      <c r="N3242" s="8" t="s">
        <v>14900</v>
      </c>
      <c r="O3242" s="8">
        <f>10+24/60+17/3600</f>
        <v>10.404722222222222</v>
      </c>
      <c r="P3242" s="8" t="s">
        <v>14901</v>
      </c>
      <c r="Q3242" s="8">
        <f>-(32+29/60+0/3600)</f>
        <v>-32.483333333333334</v>
      </c>
      <c r="R3242" s="8">
        <v>12.2</v>
      </c>
      <c r="S3242" s="8">
        <v>13</v>
      </c>
      <c r="T3242" s="8">
        <v>0.8</v>
      </c>
      <c r="U3242" s="8">
        <v>13.3</v>
      </c>
      <c r="V3242" s="8">
        <v>2.4</v>
      </c>
      <c r="W3242" s="8">
        <v>1.6</v>
      </c>
      <c r="X3242" s="8">
        <v>123</v>
      </c>
      <c r="Y3242" s="8" t="s">
        <v>14902</v>
      </c>
      <c r="Z3242" s="8" t="s">
        <v>14903</v>
      </c>
    </row>
    <row r="3243" spans="1:26" x14ac:dyDescent="0.2">
      <c r="A3243" s="8">
        <v>3242</v>
      </c>
      <c r="B3243" s="8" t="s">
        <v>14904</v>
      </c>
      <c r="C3243" s="8" t="s">
        <v>14904</v>
      </c>
      <c r="F3243" s="47" t="s">
        <v>56782</v>
      </c>
      <c r="G3243" s="8">
        <v>2</v>
      </c>
      <c r="H3243" s="8" t="s">
        <v>14905</v>
      </c>
      <c r="I3243" s="8" t="s">
        <v>241</v>
      </c>
      <c r="J3243" s="8" t="s">
        <v>241</v>
      </c>
      <c r="K3243" s="8" t="s">
        <v>241</v>
      </c>
      <c r="L3243" s="8" t="s">
        <v>11765</v>
      </c>
      <c r="M3243" s="8" t="s">
        <v>11766</v>
      </c>
      <c r="N3243" s="8" t="s">
        <v>14906</v>
      </c>
      <c r="O3243" s="8">
        <f>10+24/60+46.1/3600</f>
        <v>10.412805555555556</v>
      </c>
      <c r="P3243" s="8" t="s">
        <v>14907</v>
      </c>
      <c r="Q3243" s="8">
        <f>-(18+38/60+31/3600)</f>
        <v>-18.641944444444444</v>
      </c>
      <c r="R3243" s="8">
        <v>7.7</v>
      </c>
      <c r="S3243" s="8">
        <v>8.6</v>
      </c>
      <c r="T3243" s="8">
        <v>99</v>
      </c>
      <c r="U3243" s="8">
        <v>99</v>
      </c>
      <c r="V3243" s="8">
        <v>1.07</v>
      </c>
      <c r="Y3243" s="8" t="s">
        <v>14908</v>
      </c>
      <c r="Z3243" s="8" t="s">
        <v>14909</v>
      </c>
    </row>
    <row r="3244" spans="1:26" x14ac:dyDescent="0.2">
      <c r="A3244" s="8">
        <v>3243</v>
      </c>
      <c r="B3244" s="8" t="s">
        <v>14910</v>
      </c>
      <c r="C3244" s="8" t="s">
        <v>14910</v>
      </c>
      <c r="F3244" s="47"/>
      <c r="G3244" s="8">
        <v>19</v>
      </c>
      <c r="H3244" s="8" t="s">
        <v>21</v>
      </c>
      <c r="I3244" s="8" t="s">
        <v>22</v>
      </c>
      <c r="J3244" s="8" t="s">
        <v>22</v>
      </c>
      <c r="K3244" s="8" t="s">
        <v>37</v>
      </c>
      <c r="L3244" s="8" t="s">
        <v>12234</v>
      </c>
      <c r="M3244" s="8" t="s">
        <v>12235</v>
      </c>
      <c r="N3244" s="8" t="s">
        <v>14911</v>
      </c>
      <c r="O3244" s="8">
        <f>10+26/60+21.3/3600</f>
        <v>10.439249999999999</v>
      </c>
      <c r="P3244" s="8" t="s">
        <v>14912</v>
      </c>
      <c r="Q3244" s="8">
        <f>-(2+37/60+20/3600)</f>
        <v>-2.6222222222222222</v>
      </c>
      <c r="R3244" s="8">
        <v>12.7</v>
      </c>
      <c r="S3244" s="8">
        <v>13.7</v>
      </c>
      <c r="T3244" s="8">
        <v>1</v>
      </c>
      <c r="U3244" s="8">
        <v>13</v>
      </c>
      <c r="V3244" s="8">
        <v>1.4</v>
      </c>
      <c r="W3244" s="8">
        <v>1.1000000000000001</v>
      </c>
      <c r="X3244" s="8">
        <v>125</v>
      </c>
      <c r="Y3244" s="8" t="s">
        <v>14913</v>
      </c>
      <c r="Z3244" s="8" t="s">
        <v>14914</v>
      </c>
    </row>
    <row r="3245" spans="1:26" x14ac:dyDescent="0.2">
      <c r="A3245" s="8">
        <v>3244</v>
      </c>
      <c r="B3245" s="8" t="s">
        <v>14915</v>
      </c>
      <c r="C3245" s="8" t="s">
        <v>14915</v>
      </c>
      <c r="F3245" s="47"/>
      <c r="G3245" s="8">
        <v>16</v>
      </c>
      <c r="H3245" s="8" t="s">
        <v>21</v>
      </c>
      <c r="I3245" s="8" t="s">
        <v>22</v>
      </c>
      <c r="J3245" s="8" t="s">
        <v>22</v>
      </c>
      <c r="K3245" s="8" t="s">
        <v>160</v>
      </c>
      <c r="L3245" s="8" t="s">
        <v>13374</v>
      </c>
      <c r="M3245" s="8" t="s">
        <v>13375</v>
      </c>
      <c r="N3245" s="8" t="s">
        <v>14916</v>
      </c>
      <c r="O3245" s="8">
        <f>10+25/60+28.8/3600</f>
        <v>10.424666666666665</v>
      </c>
      <c r="P3245" s="8" t="s">
        <v>14917</v>
      </c>
      <c r="Q3245" s="8">
        <f>-(39+49/60+40/3600)</f>
        <v>-39.827777777777783</v>
      </c>
      <c r="R3245" s="8">
        <v>12.3</v>
      </c>
      <c r="S3245" s="8">
        <v>12.9</v>
      </c>
      <c r="T3245" s="8">
        <v>0.6</v>
      </c>
      <c r="U3245" s="8">
        <v>13.4</v>
      </c>
      <c r="V3245" s="8">
        <v>2.1</v>
      </c>
      <c r="W3245" s="8">
        <v>1.8</v>
      </c>
      <c r="X3245" s="8">
        <v>170</v>
      </c>
      <c r="Y3245" s="8" t="s">
        <v>14918</v>
      </c>
      <c r="Z3245" s="8" t="s">
        <v>14919</v>
      </c>
    </row>
    <row r="3246" spans="1:26" x14ac:dyDescent="0.2">
      <c r="A3246" s="8">
        <v>3245</v>
      </c>
      <c r="B3246" s="8" t="s">
        <v>14920</v>
      </c>
      <c r="C3246" s="8" t="s">
        <v>14920</v>
      </c>
      <c r="F3246" s="47" t="s">
        <v>56783</v>
      </c>
      <c r="G3246" s="8">
        <v>6</v>
      </c>
      <c r="H3246" s="8" t="s">
        <v>21</v>
      </c>
      <c r="I3246" s="8" t="s">
        <v>22</v>
      </c>
      <c r="J3246" s="8" t="s">
        <v>22</v>
      </c>
      <c r="K3246" s="8" t="s">
        <v>37</v>
      </c>
      <c r="L3246" s="8" t="s">
        <v>13179</v>
      </c>
      <c r="M3246" s="8" t="s">
        <v>13180</v>
      </c>
      <c r="N3246" s="8" t="s">
        <v>14921</v>
      </c>
      <c r="O3246" s="8">
        <f>10+27/60+18.2/3600</f>
        <v>10.455055555555555</v>
      </c>
      <c r="P3246" s="8" t="s">
        <v>14922</v>
      </c>
      <c r="Q3246" s="8">
        <f>+(28+30/60+28/3600)</f>
        <v>28.507777777777779</v>
      </c>
      <c r="R3246" s="8">
        <v>10.8</v>
      </c>
      <c r="S3246" s="8">
        <v>11.7</v>
      </c>
      <c r="T3246" s="8">
        <v>0.9</v>
      </c>
      <c r="U3246" s="8">
        <v>12.6</v>
      </c>
      <c r="V3246" s="8">
        <v>3.2</v>
      </c>
      <c r="W3246" s="8">
        <v>1.8</v>
      </c>
      <c r="X3246" s="8">
        <v>177</v>
      </c>
      <c r="Y3246" s="8" t="s">
        <v>14923</v>
      </c>
      <c r="Z3246" s="8" t="s">
        <v>14924</v>
      </c>
    </row>
    <row r="3247" spans="1:26" x14ac:dyDescent="0.2">
      <c r="A3247" s="8">
        <v>3246</v>
      </c>
      <c r="B3247" s="8" t="s">
        <v>14925</v>
      </c>
      <c r="C3247" s="8" t="s">
        <v>14925</v>
      </c>
      <c r="F3247" s="47"/>
      <c r="G3247" s="8">
        <v>16</v>
      </c>
      <c r="H3247" s="8" t="s">
        <v>21</v>
      </c>
      <c r="I3247" s="8" t="s">
        <v>22</v>
      </c>
      <c r="J3247" s="8" t="s">
        <v>22</v>
      </c>
      <c r="K3247" s="8" t="s">
        <v>773</v>
      </c>
      <c r="L3247" s="8" t="s">
        <v>12234</v>
      </c>
      <c r="M3247" s="8" t="s">
        <v>12235</v>
      </c>
      <c r="N3247" s="8" t="s">
        <v>14926</v>
      </c>
      <c r="O3247" s="8">
        <f>10+26/60+41.9/3600</f>
        <v>10.444972222222223</v>
      </c>
      <c r="P3247" s="8" t="s">
        <v>14927</v>
      </c>
      <c r="Q3247" s="8">
        <f>+(3+51/60+45/3600)</f>
        <v>3.8625000000000003</v>
      </c>
      <c r="R3247" s="8">
        <v>12.6</v>
      </c>
      <c r="S3247" s="8">
        <v>13.2</v>
      </c>
      <c r="T3247" s="8">
        <v>0.6</v>
      </c>
      <c r="U3247" s="8">
        <v>13.7</v>
      </c>
      <c r="V3247" s="8">
        <v>2.4</v>
      </c>
      <c r="W3247" s="8">
        <v>1.4</v>
      </c>
      <c r="X3247" s="8">
        <v>100</v>
      </c>
      <c r="Y3247" s="8" t="s">
        <v>14928</v>
      </c>
      <c r="Z3247" s="8" t="s">
        <v>14929</v>
      </c>
    </row>
    <row r="3248" spans="1:26" x14ac:dyDescent="0.2">
      <c r="A3248" s="8">
        <v>3247</v>
      </c>
      <c r="B3248" s="8" t="s">
        <v>14930</v>
      </c>
      <c r="C3248" s="8" t="s">
        <v>14930</v>
      </c>
      <c r="F3248" s="47"/>
      <c r="G3248" s="8">
        <v>5</v>
      </c>
      <c r="H3248" s="8" t="s">
        <v>21</v>
      </c>
      <c r="I3248" s="8" t="s">
        <v>557</v>
      </c>
      <c r="J3248" s="8" t="s">
        <v>557</v>
      </c>
      <c r="K3248" s="8" t="s">
        <v>558</v>
      </c>
      <c r="L3248" s="8" t="s">
        <v>10135</v>
      </c>
      <c r="M3248" s="8" t="s">
        <v>10136</v>
      </c>
      <c r="N3248" s="8" t="s">
        <v>14931</v>
      </c>
      <c r="O3248" s="8">
        <f>10+24/60+12/3600</f>
        <v>10.403333333333334</v>
      </c>
      <c r="P3248" s="8" t="s">
        <v>14932</v>
      </c>
      <c r="Q3248" s="8">
        <f>-(57+45/60+48/3600)</f>
        <v>-57.763333333333335</v>
      </c>
      <c r="R3248" s="8">
        <v>7.6</v>
      </c>
      <c r="S3248" s="8">
        <v>8</v>
      </c>
      <c r="T3248" s="8">
        <v>99</v>
      </c>
      <c r="U3248" s="8">
        <v>99</v>
      </c>
      <c r="V3248" s="8">
        <v>5</v>
      </c>
      <c r="Y3248" s="8" t="s">
        <v>14933</v>
      </c>
      <c r="Z3248" s="8" t="s">
        <v>14934</v>
      </c>
    </row>
    <row r="3249" spans="1:26" x14ac:dyDescent="0.2">
      <c r="A3249" s="8">
        <v>3248</v>
      </c>
      <c r="B3249" s="8" t="s">
        <v>14935</v>
      </c>
      <c r="C3249" s="8" t="s">
        <v>14935</v>
      </c>
      <c r="F3249" s="47" t="s">
        <v>56784</v>
      </c>
      <c r="G3249" s="8">
        <v>15</v>
      </c>
      <c r="H3249" s="8" t="s">
        <v>21</v>
      </c>
      <c r="I3249" s="8" t="s">
        <v>22</v>
      </c>
      <c r="J3249" s="8" t="s">
        <v>22</v>
      </c>
      <c r="K3249" s="8" t="s">
        <v>37</v>
      </c>
      <c r="L3249" s="8" t="s">
        <v>13194</v>
      </c>
      <c r="M3249" s="8" t="s">
        <v>13195</v>
      </c>
      <c r="N3249" s="8" t="s">
        <v>14936</v>
      </c>
      <c r="O3249" s="8">
        <f>10+27/60+45.3/3600</f>
        <v>10.462583333333333</v>
      </c>
      <c r="P3249" s="8" t="s">
        <v>14937</v>
      </c>
      <c r="Q3249" s="8">
        <f>+(22+50/60+51/3600)</f>
        <v>22.8475</v>
      </c>
      <c r="R3249" s="8">
        <v>12.4</v>
      </c>
      <c r="S3249" s="8">
        <v>13.4</v>
      </c>
      <c r="T3249" s="8">
        <v>1</v>
      </c>
      <c r="U3249" s="8">
        <v>13.3</v>
      </c>
      <c r="V3249" s="8">
        <v>2.5</v>
      </c>
      <c r="W3249" s="8">
        <v>1.1000000000000001</v>
      </c>
      <c r="X3249" s="8">
        <v>135</v>
      </c>
      <c r="Y3249" s="8" t="s">
        <v>14938</v>
      </c>
      <c r="Z3249" s="8" t="s">
        <v>3062</v>
      </c>
    </row>
    <row r="3250" spans="1:26" x14ac:dyDescent="0.2">
      <c r="A3250" s="8">
        <v>3249</v>
      </c>
      <c r="B3250" s="8" t="s">
        <v>14939</v>
      </c>
      <c r="C3250" s="8" t="s">
        <v>14939</v>
      </c>
      <c r="F3250" s="47"/>
      <c r="G3250" s="8">
        <v>16</v>
      </c>
      <c r="H3250" s="8" t="s">
        <v>21</v>
      </c>
      <c r="I3250" s="8" t="s">
        <v>22</v>
      </c>
      <c r="J3250" s="8" t="s">
        <v>22</v>
      </c>
      <c r="K3250" s="8" t="s">
        <v>64</v>
      </c>
      <c r="L3250" s="8" t="s">
        <v>13374</v>
      </c>
      <c r="M3250" s="8" t="s">
        <v>13375</v>
      </c>
      <c r="N3250" s="8" t="s">
        <v>14940</v>
      </c>
      <c r="O3250" s="8">
        <f>10+26/60+22/3600</f>
        <v>10.439444444444444</v>
      </c>
      <c r="P3250" s="8" t="s">
        <v>14941</v>
      </c>
      <c r="Q3250" s="8">
        <f>-(34+57/60+50/3600)</f>
        <v>-34.963888888888889</v>
      </c>
      <c r="R3250" s="8">
        <v>12.9</v>
      </c>
      <c r="S3250" s="8">
        <v>13.6</v>
      </c>
      <c r="T3250" s="8">
        <v>0.7</v>
      </c>
      <c r="U3250" s="8">
        <v>13.6</v>
      </c>
      <c r="V3250" s="8">
        <v>1.6</v>
      </c>
      <c r="W3250" s="8">
        <v>1.3</v>
      </c>
      <c r="X3250" s="8">
        <v>139</v>
      </c>
      <c r="Y3250" s="8" t="s">
        <v>14942</v>
      </c>
      <c r="Z3250" s="8" t="s">
        <v>14943</v>
      </c>
    </row>
    <row r="3251" spans="1:26" x14ac:dyDescent="0.2">
      <c r="A3251" s="8">
        <v>3250</v>
      </c>
      <c r="B3251" s="8" t="s">
        <v>14944</v>
      </c>
      <c r="C3251" s="8" t="s">
        <v>14944</v>
      </c>
      <c r="F3251" s="47"/>
      <c r="G3251" s="8">
        <v>16</v>
      </c>
      <c r="H3251" s="8" t="s">
        <v>21</v>
      </c>
      <c r="I3251" s="8" t="s">
        <v>22</v>
      </c>
      <c r="J3251" s="8" t="s">
        <v>22</v>
      </c>
      <c r="K3251" s="8" t="s">
        <v>50</v>
      </c>
      <c r="L3251" s="8" t="s">
        <v>13374</v>
      </c>
      <c r="M3251" s="8" t="s">
        <v>13375</v>
      </c>
      <c r="N3251" s="8" t="s">
        <v>14945</v>
      </c>
      <c r="O3251" s="8">
        <f>10+26/60+32.1/3600</f>
        <v>10.44225</v>
      </c>
      <c r="P3251" s="8" t="s">
        <v>14946</v>
      </c>
      <c r="Q3251" s="8">
        <f>-(39+56/60+37/3600)</f>
        <v>-39.94361111111111</v>
      </c>
      <c r="R3251" s="8">
        <v>11.1</v>
      </c>
      <c r="S3251" s="8">
        <v>12.2</v>
      </c>
      <c r="T3251" s="8">
        <v>1.1000000000000001</v>
      </c>
      <c r="U3251" s="8">
        <v>13</v>
      </c>
      <c r="V3251" s="8">
        <v>2.7</v>
      </c>
      <c r="W3251" s="8">
        <v>2</v>
      </c>
      <c r="X3251" s="8">
        <v>148</v>
      </c>
      <c r="Y3251" s="8" t="s">
        <v>14947</v>
      </c>
      <c r="Z3251" s="8" t="s">
        <v>14948</v>
      </c>
    </row>
    <row r="3252" spans="1:26" x14ac:dyDescent="0.2">
      <c r="A3252" s="8">
        <v>3251</v>
      </c>
      <c r="B3252" s="8" t="s">
        <v>14949</v>
      </c>
      <c r="C3252" s="8" t="s">
        <v>14949</v>
      </c>
      <c r="F3252" s="47"/>
      <c r="G3252" s="8">
        <v>18</v>
      </c>
      <c r="H3252" s="8" t="s">
        <v>21</v>
      </c>
      <c r="I3252" s="8" t="s">
        <v>22</v>
      </c>
      <c r="J3252" s="8" t="s">
        <v>22</v>
      </c>
      <c r="K3252" s="8" t="s">
        <v>64</v>
      </c>
      <c r="L3252" s="8" t="s">
        <v>13194</v>
      </c>
      <c r="M3252" s="8" t="s">
        <v>13195</v>
      </c>
      <c r="N3252" s="8" t="s">
        <v>14950</v>
      </c>
      <c r="O3252" s="8">
        <f>10+29/60+16.5/3600</f>
        <v>10.487916666666665</v>
      </c>
      <c r="P3252" s="8" t="s">
        <v>14951</v>
      </c>
      <c r="Q3252" s="8">
        <f>+(26+5/60+56/3600)</f>
        <v>26.098888888888887</v>
      </c>
      <c r="R3252" s="8">
        <v>13.4</v>
      </c>
      <c r="S3252" s="8">
        <v>14.1</v>
      </c>
      <c r="T3252" s="8">
        <v>0.7</v>
      </c>
      <c r="U3252" s="8">
        <v>13</v>
      </c>
      <c r="V3252" s="8">
        <v>2</v>
      </c>
      <c r="W3252" s="8">
        <v>0.4</v>
      </c>
      <c r="X3252" s="8">
        <v>55</v>
      </c>
      <c r="Y3252" s="8" t="s">
        <v>14952</v>
      </c>
      <c r="Z3252" s="8" t="s">
        <v>14953</v>
      </c>
    </row>
    <row r="3253" spans="1:26" x14ac:dyDescent="0.2">
      <c r="A3253" s="8">
        <v>3252</v>
      </c>
      <c r="B3253" s="8" t="s">
        <v>14954</v>
      </c>
      <c r="C3253" s="8" t="s">
        <v>14954</v>
      </c>
      <c r="F3253" s="47" t="s">
        <v>56785</v>
      </c>
      <c r="G3253" s="8">
        <v>15</v>
      </c>
      <c r="H3253" s="8" t="s">
        <v>21</v>
      </c>
      <c r="I3253" s="8" t="s">
        <v>22</v>
      </c>
      <c r="J3253" s="8" t="s">
        <v>22</v>
      </c>
      <c r="K3253" s="8" t="s">
        <v>269</v>
      </c>
      <c r="L3253" s="8" t="s">
        <v>13395</v>
      </c>
      <c r="M3253" s="8" t="s">
        <v>13396</v>
      </c>
      <c r="N3253" s="8" t="s">
        <v>14955</v>
      </c>
      <c r="O3253" s="8">
        <f>10+34/60+22.3/3600</f>
        <v>10.572861111111111</v>
      </c>
      <c r="P3253" s="8" t="s">
        <v>14956</v>
      </c>
      <c r="Q3253" s="8">
        <f>+(73+45/60+50/3600)</f>
        <v>73.763888888888886</v>
      </c>
      <c r="R3253" s="8">
        <v>13.5</v>
      </c>
      <c r="S3253" s="8">
        <v>14.1</v>
      </c>
      <c r="T3253" s="8">
        <v>0.6</v>
      </c>
      <c r="U3253" s="8">
        <v>13.5</v>
      </c>
      <c r="V3253" s="8">
        <v>1.9</v>
      </c>
      <c r="W3253" s="8">
        <v>0.6</v>
      </c>
      <c r="X3253" s="8">
        <v>35</v>
      </c>
      <c r="Y3253" s="8" t="s">
        <v>14957</v>
      </c>
      <c r="Z3253" s="8" t="s">
        <v>14958</v>
      </c>
    </row>
    <row r="3254" spans="1:26" x14ac:dyDescent="0.2">
      <c r="A3254" s="8">
        <v>3253</v>
      </c>
      <c r="B3254" s="8" t="s">
        <v>14959</v>
      </c>
      <c r="C3254" s="8" t="s">
        <v>14959</v>
      </c>
      <c r="F3254" s="47"/>
      <c r="G3254" s="8">
        <v>19</v>
      </c>
      <c r="H3254" s="8" t="s">
        <v>21</v>
      </c>
      <c r="I3254" s="8" t="s">
        <v>22</v>
      </c>
      <c r="J3254" s="8" t="s">
        <v>22</v>
      </c>
      <c r="K3254" s="8" t="s">
        <v>85</v>
      </c>
      <c r="L3254" s="8" t="s">
        <v>13194</v>
      </c>
      <c r="M3254" s="8" t="s">
        <v>13195</v>
      </c>
      <c r="N3254" s="8" t="s">
        <v>14960</v>
      </c>
      <c r="O3254" s="8">
        <f>10+28/60+27.3/3600</f>
        <v>10.47425</v>
      </c>
      <c r="P3254" s="8" t="s">
        <v>14961</v>
      </c>
      <c r="Q3254" s="8">
        <f>+(12+42/60+14/3600)</f>
        <v>12.703888888888889</v>
      </c>
      <c r="R3254" s="8">
        <v>13.6</v>
      </c>
      <c r="S3254" s="8">
        <v>14.3</v>
      </c>
      <c r="T3254" s="8">
        <v>0.7</v>
      </c>
      <c r="U3254" s="8">
        <v>13.8</v>
      </c>
      <c r="V3254" s="8">
        <v>1.2</v>
      </c>
      <c r="W3254" s="8">
        <v>1.1000000000000001</v>
      </c>
      <c r="X3254" s="8">
        <v>45</v>
      </c>
      <c r="Y3254" s="8" t="s">
        <v>237</v>
      </c>
      <c r="Z3254" s="8" t="s">
        <v>238</v>
      </c>
    </row>
    <row r="3255" spans="1:26" x14ac:dyDescent="0.2">
      <c r="A3255" s="8">
        <v>3254</v>
      </c>
      <c r="B3255" s="8" t="s">
        <v>14962</v>
      </c>
      <c r="C3255" s="8" t="s">
        <v>14962</v>
      </c>
      <c r="F3255" s="47" t="s">
        <v>56786</v>
      </c>
      <c r="G3255" s="8">
        <v>6.5</v>
      </c>
      <c r="H3255" s="8" t="s">
        <v>21</v>
      </c>
      <c r="I3255" s="8" t="s">
        <v>22</v>
      </c>
      <c r="J3255" s="8" t="s">
        <v>22</v>
      </c>
      <c r="K3255" s="8" t="s">
        <v>396</v>
      </c>
      <c r="L3255" s="8" t="s">
        <v>13179</v>
      </c>
      <c r="M3255" s="8" t="s">
        <v>13180</v>
      </c>
      <c r="N3255" s="8" t="s">
        <v>14963</v>
      </c>
      <c r="O3255" s="8">
        <f>10+29/60+19.9/3600</f>
        <v>10.48886111111111</v>
      </c>
      <c r="P3255" s="8" t="s">
        <v>14964</v>
      </c>
      <c r="Q3255" s="8">
        <f>+(29+29/60+32/3600)</f>
        <v>29.492222222222225</v>
      </c>
      <c r="R3255" s="8">
        <v>11.7</v>
      </c>
      <c r="S3255" s="8">
        <v>12.4</v>
      </c>
      <c r="T3255" s="8">
        <v>0.7</v>
      </c>
      <c r="U3255" s="8">
        <v>13.8</v>
      </c>
      <c r="V3255" s="8">
        <v>4.5</v>
      </c>
      <c r="W3255" s="8">
        <v>1.4</v>
      </c>
      <c r="X3255" s="8">
        <v>46</v>
      </c>
      <c r="Y3255" s="8" t="s">
        <v>14965</v>
      </c>
      <c r="Z3255" s="8" t="s">
        <v>14966</v>
      </c>
    </row>
    <row r="3256" spans="1:26" x14ac:dyDescent="0.2">
      <c r="A3256" s="8">
        <v>3255</v>
      </c>
      <c r="B3256" s="8" t="s">
        <v>14967</v>
      </c>
      <c r="C3256" s="8" t="s">
        <v>14967</v>
      </c>
      <c r="F3256" s="47"/>
      <c r="G3256" s="8">
        <v>14</v>
      </c>
      <c r="H3256" s="8" t="s">
        <v>21</v>
      </c>
      <c r="I3256" s="8" t="s">
        <v>557</v>
      </c>
      <c r="J3256" s="8" t="s">
        <v>557</v>
      </c>
      <c r="K3256" s="8" t="s">
        <v>2158</v>
      </c>
      <c r="L3256" s="8" t="s">
        <v>10135</v>
      </c>
      <c r="M3256" s="8" t="s">
        <v>10136</v>
      </c>
      <c r="N3256" s="8" t="s">
        <v>14968</v>
      </c>
      <c r="O3256" s="8">
        <f>10+26/60+31.3/3600</f>
        <v>10.442027777777778</v>
      </c>
      <c r="P3256" s="8" t="s">
        <v>14969</v>
      </c>
      <c r="Q3256" s="8">
        <f>-(60+40/60+42/3600)</f>
        <v>-60.678333333333327</v>
      </c>
      <c r="R3256" s="8">
        <v>11</v>
      </c>
      <c r="S3256" s="8">
        <v>99</v>
      </c>
      <c r="T3256" s="8">
        <v>99</v>
      </c>
      <c r="U3256" s="8">
        <v>99</v>
      </c>
      <c r="V3256" s="8">
        <v>2</v>
      </c>
      <c r="Y3256" s="8" t="s">
        <v>14970</v>
      </c>
      <c r="Z3256" s="8" t="s">
        <v>14971</v>
      </c>
    </row>
    <row r="3257" spans="1:26" x14ac:dyDescent="0.2">
      <c r="A3257" s="8">
        <v>3256</v>
      </c>
      <c r="B3257" s="8" t="s">
        <v>14972</v>
      </c>
      <c r="C3257" s="8" t="s">
        <v>14972</v>
      </c>
      <c r="F3257" s="47"/>
      <c r="G3257" s="8">
        <v>11</v>
      </c>
      <c r="H3257" s="8" t="s">
        <v>21</v>
      </c>
      <c r="I3257" s="8" t="s">
        <v>22</v>
      </c>
      <c r="J3257" s="8" t="s">
        <v>22</v>
      </c>
      <c r="K3257" s="8" t="s">
        <v>79</v>
      </c>
      <c r="L3257" s="8" t="s">
        <v>11757</v>
      </c>
      <c r="M3257" s="8" t="s">
        <v>11758</v>
      </c>
      <c r="N3257" s="8" t="s">
        <v>14973</v>
      </c>
      <c r="O3257" s="8">
        <f>10+27/60+51.4/3600</f>
        <v>10.464277777777777</v>
      </c>
      <c r="P3257" s="8" t="s">
        <v>14974</v>
      </c>
      <c r="Q3257" s="8">
        <f>-(43+54/60+19/3600)</f>
        <v>-43.905277777777776</v>
      </c>
      <c r="R3257" s="8">
        <v>11.5</v>
      </c>
      <c r="S3257" s="8">
        <v>12.2</v>
      </c>
      <c r="T3257" s="8">
        <v>0.7</v>
      </c>
      <c r="U3257" s="8">
        <v>13.6</v>
      </c>
      <c r="V3257" s="8">
        <v>3.8</v>
      </c>
      <c r="W3257" s="8">
        <v>2.1</v>
      </c>
      <c r="X3257" s="8">
        <v>85</v>
      </c>
      <c r="Y3257" s="8" t="s">
        <v>14975</v>
      </c>
      <c r="Z3257" s="8" t="s">
        <v>14976</v>
      </c>
    </row>
    <row r="3258" spans="1:26" x14ac:dyDescent="0.2">
      <c r="A3258" s="8">
        <v>3257</v>
      </c>
      <c r="B3258" s="8" t="s">
        <v>14977</v>
      </c>
      <c r="C3258" s="8" t="s">
        <v>14977</v>
      </c>
      <c r="F3258" s="47"/>
      <c r="G3258" s="8">
        <v>16</v>
      </c>
      <c r="H3258" s="8" t="s">
        <v>21</v>
      </c>
      <c r="I3258" s="8" t="s">
        <v>22</v>
      </c>
      <c r="J3258" s="8" t="s">
        <v>22</v>
      </c>
      <c r="K3258" s="8" t="s">
        <v>118</v>
      </c>
      <c r="L3258" s="8" t="s">
        <v>13374</v>
      </c>
      <c r="M3258" s="8" t="s">
        <v>13375</v>
      </c>
      <c r="N3258" s="8" t="s">
        <v>14978</v>
      </c>
      <c r="O3258" s="8">
        <f>10+28/60+47/3600</f>
        <v>10.479722222222222</v>
      </c>
      <c r="P3258" s="8" t="s">
        <v>14979</v>
      </c>
      <c r="Q3258" s="8">
        <f>-(35+39/60+29/3600)</f>
        <v>-35.658055555555556</v>
      </c>
      <c r="R3258" s="8">
        <v>13.1</v>
      </c>
      <c r="S3258" s="8">
        <v>14.1</v>
      </c>
      <c r="T3258" s="8">
        <v>1</v>
      </c>
      <c r="U3258" s="8">
        <v>12.9</v>
      </c>
      <c r="V3258" s="8">
        <v>1</v>
      </c>
      <c r="W3258" s="8">
        <v>0.9</v>
      </c>
      <c r="X3258" s="8">
        <v>0</v>
      </c>
      <c r="Y3258" s="8" t="s">
        <v>14980</v>
      </c>
      <c r="Z3258" s="8" t="s">
        <v>14981</v>
      </c>
    </row>
    <row r="3259" spans="1:26" x14ac:dyDescent="0.2">
      <c r="A3259" s="8">
        <v>3258</v>
      </c>
      <c r="B3259" s="8" t="s">
        <v>14982</v>
      </c>
      <c r="C3259" s="8" t="s">
        <v>14982</v>
      </c>
      <c r="F3259" s="47"/>
      <c r="G3259" s="8">
        <v>16</v>
      </c>
      <c r="H3259" s="8" t="s">
        <v>21</v>
      </c>
      <c r="I3259" s="8" t="s">
        <v>22</v>
      </c>
      <c r="J3259" s="8" t="s">
        <v>22</v>
      </c>
      <c r="K3259" s="8" t="s">
        <v>183</v>
      </c>
      <c r="L3259" s="8" t="s">
        <v>13374</v>
      </c>
      <c r="M3259" s="8" t="s">
        <v>13375</v>
      </c>
      <c r="N3259" s="8" t="s">
        <v>14983</v>
      </c>
      <c r="O3259" s="8">
        <f>10+28/60+53.4/3600</f>
        <v>10.4815</v>
      </c>
      <c r="P3259" s="8" t="s">
        <v>14984</v>
      </c>
      <c r="Q3259" s="8">
        <f>-(35+36/60+18/3600)</f>
        <v>-35.605000000000004</v>
      </c>
      <c r="R3259" s="8">
        <v>11.5</v>
      </c>
      <c r="S3259" s="8">
        <v>12.5</v>
      </c>
      <c r="T3259" s="8">
        <v>1</v>
      </c>
      <c r="U3259" s="8">
        <v>13.6</v>
      </c>
      <c r="V3259" s="8">
        <v>2.9</v>
      </c>
      <c r="W3259" s="8">
        <v>2.5</v>
      </c>
      <c r="X3259" s="8">
        <v>75</v>
      </c>
      <c r="Y3259" s="8" t="s">
        <v>14985</v>
      </c>
      <c r="Z3259" s="8" t="s">
        <v>14986</v>
      </c>
    </row>
    <row r="3260" spans="1:26" x14ac:dyDescent="0.2">
      <c r="A3260" s="8">
        <v>3259</v>
      </c>
      <c r="B3260" s="8" t="s">
        <v>14987</v>
      </c>
      <c r="C3260" s="8" t="s">
        <v>14987</v>
      </c>
      <c r="F3260" s="47" t="s">
        <v>56787</v>
      </c>
      <c r="G3260" s="8">
        <v>13</v>
      </c>
      <c r="H3260" s="8" t="s">
        <v>21</v>
      </c>
      <c r="I3260" s="8" t="s">
        <v>22</v>
      </c>
      <c r="J3260" s="8" t="s">
        <v>22</v>
      </c>
      <c r="K3260" s="8" t="s">
        <v>85</v>
      </c>
      <c r="L3260" s="8" t="s">
        <v>12015</v>
      </c>
      <c r="M3260" s="8" t="s">
        <v>12016</v>
      </c>
      <c r="N3260" s="8" t="s">
        <v>14988</v>
      </c>
      <c r="O3260" s="8">
        <f>10+32/60+34.5/3600</f>
        <v>10.542916666666667</v>
      </c>
      <c r="P3260" s="8" t="s">
        <v>14989</v>
      </c>
      <c r="Q3260" s="8">
        <f>+(65+2/60+28/3600)</f>
        <v>65.041111111111107</v>
      </c>
      <c r="R3260" s="8">
        <v>12.1</v>
      </c>
      <c r="S3260" s="8">
        <v>12.9</v>
      </c>
      <c r="T3260" s="8">
        <v>0.8</v>
      </c>
      <c r="U3260" s="8">
        <v>12.4</v>
      </c>
      <c r="V3260" s="8">
        <v>1.7</v>
      </c>
      <c r="W3260" s="8">
        <v>0.9</v>
      </c>
      <c r="X3260" s="8">
        <v>20</v>
      </c>
      <c r="Y3260" s="8" t="s">
        <v>6420</v>
      </c>
      <c r="Z3260" s="8" t="s">
        <v>6421</v>
      </c>
    </row>
    <row r="3261" spans="1:26" x14ac:dyDescent="0.2">
      <c r="A3261" s="8">
        <v>3260</v>
      </c>
      <c r="B3261" s="8" t="s">
        <v>14990</v>
      </c>
      <c r="C3261" s="8" t="s">
        <v>14990</v>
      </c>
      <c r="F3261" s="47"/>
      <c r="G3261" s="8">
        <v>16</v>
      </c>
      <c r="H3261" s="8" t="s">
        <v>21</v>
      </c>
      <c r="I3261" s="8" t="s">
        <v>22</v>
      </c>
      <c r="J3261" s="8" t="s">
        <v>22</v>
      </c>
      <c r="K3261" s="8" t="s">
        <v>382</v>
      </c>
      <c r="L3261" s="8" t="s">
        <v>13374</v>
      </c>
      <c r="M3261" s="8" t="s">
        <v>13375</v>
      </c>
      <c r="N3261" s="8" t="s">
        <v>14991</v>
      </c>
      <c r="O3261" s="8">
        <f>10+29/60+6.1/3600</f>
        <v>10.485027777777777</v>
      </c>
      <c r="P3261" s="8" t="s">
        <v>14992</v>
      </c>
      <c r="Q3261" s="8">
        <f>-(35+35/60+45/3600)</f>
        <v>-35.595833333333339</v>
      </c>
      <c r="R3261" s="8">
        <v>12.6</v>
      </c>
      <c r="S3261" s="8">
        <v>13.7</v>
      </c>
      <c r="T3261" s="8">
        <v>1.1000000000000001</v>
      </c>
      <c r="U3261" s="8">
        <v>12.8</v>
      </c>
      <c r="V3261" s="8">
        <v>1.2</v>
      </c>
      <c r="W3261" s="8">
        <v>0.9</v>
      </c>
      <c r="X3261" s="8">
        <v>2</v>
      </c>
      <c r="Y3261" s="8" t="s">
        <v>14993</v>
      </c>
      <c r="Z3261" s="8" t="s">
        <v>14994</v>
      </c>
    </row>
    <row r="3262" spans="1:26" x14ac:dyDescent="0.2">
      <c r="A3262" s="8">
        <v>3261</v>
      </c>
      <c r="B3262" s="8" t="s">
        <v>14995</v>
      </c>
      <c r="C3262" s="8" t="s">
        <v>14995</v>
      </c>
      <c r="F3262" s="47"/>
      <c r="G3262" s="8">
        <v>13</v>
      </c>
      <c r="H3262" s="8" t="s">
        <v>21</v>
      </c>
      <c r="I3262" s="8" t="s">
        <v>22</v>
      </c>
      <c r="J3262" s="8" t="s">
        <v>22</v>
      </c>
      <c r="K3262" s="8" t="s">
        <v>85</v>
      </c>
      <c r="L3262" s="8" t="s">
        <v>11757</v>
      </c>
      <c r="M3262" s="8" t="s">
        <v>11758</v>
      </c>
      <c r="N3262" s="8" t="s">
        <v>14996</v>
      </c>
      <c r="O3262" s="8">
        <f>10+29/60+1.4/3600</f>
        <v>10.483722222222221</v>
      </c>
      <c r="P3262" s="8" t="s">
        <v>14997</v>
      </c>
      <c r="Q3262" s="8">
        <f>-(44+39/60+27/3600)</f>
        <v>-44.657499999999999</v>
      </c>
      <c r="R3262" s="8">
        <v>11.2</v>
      </c>
      <c r="S3262" s="8">
        <v>12</v>
      </c>
      <c r="T3262" s="8">
        <v>0.8</v>
      </c>
      <c r="U3262" s="8">
        <v>13.5</v>
      </c>
      <c r="V3262" s="8">
        <v>3.5</v>
      </c>
      <c r="W3262" s="8">
        <v>2.8</v>
      </c>
      <c r="X3262" s="8">
        <v>85</v>
      </c>
      <c r="Y3262" s="8" t="s">
        <v>14998</v>
      </c>
      <c r="Z3262" s="8" t="s">
        <v>14999</v>
      </c>
    </row>
    <row r="3263" spans="1:26" x14ac:dyDescent="0.2">
      <c r="A3263" s="8">
        <v>3262</v>
      </c>
      <c r="B3263" s="8" t="s">
        <v>15000</v>
      </c>
      <c r="C3263" s="8" t="s">
        <v>15000</v>
      </c>
      <c r="F3263" s="47"/>
      <c r="G3263" s="8">
        <v>16</v>
      </c>
      <c r="H3263" s="8" t="s">
        <v>21</v>
      </c>
      <c r="I3263" s="8" t="s">
        <v>22</v>
      </c>
      <c r="J3263" s="8" t="s">
        <v>22</v>
      </c>
      <c r="K3263" s="8" t="s">
        <v>224</v>
      </c>
      <c r="L3263" s="8" t="s">
        <v>11757</v>
      </c>
      <c r="M3263" s="8" t="s">
        <v>11758</v>
      </c>
      <c r="N3263" s="8" t="s">
        <v>14991</v>
      </c>
      <c r="O3263" s="8">
        <f>10+29/60+6.1/3600</f>
        <v>10.485027777777777</v>
      </c>
      <c r="P3263" s="8" t="s">
        <v>15001</v>
      </c>
      <c r="Q3263" s="8">
        <f>-(44+9/60+36/3600)</f>
        <v>-44.16</v>
      </c>
      <c r="R3263" s="8">
        <v>13.2</v>
      </c>
      <c r="S3263" s="8">
        <v>14.2</v>
      </c>
      <c r="T3263" s="8">
        <v>1</v>
      </c>
      <c r="U3263" s="8">
        <v>12.8</v>
      </c>
      <c r="V3263" s="8">
        <v>1.1000000000000001</v>
      </c>
      <c r="W3263" s="8">
        <v>0.7</v>
      </c>
      <c r="X3263" s="8">
        <v>108</v>
      </c>
      <c r="Y3263" s="8" t="s">
        <v>227</v>
      </c>
      <c r="Z3263" s="8" t="s">
        <v>228</v>
      </c>
    </row>
    <row r="3264" spans="1:26" x14ac:dyDescent="0.2">
      <c r="A3264" s="8">
        <v>3263</v>
      </c>
      <c r="B3264" s="8" t="s">
        <v>15002</v>
      </c>
      <c r="C3264" s="8" t="s">
        <v>15002</v>
      </c>
      <c r="F3264" s="47"/>
      <c r="G3264" s="8">
        <v>16</v>
      </c>
      <c r="H3264" s="8" t="s">
        <v>21</v>
      </c>
      <c r="I3264" s="8" t="s">
        <v>22</v>
      </c>
      <c r="J3264" s="8" t="s">
        <v>22</v>
      </c>
      <c r="K3264" s="8" t="s">
        <v>64</v>
      </c>
      <c r="L3264" s="8" t="s">
        <v>11757</v>
      </c>
      <c r="M3264" s="8" t="s">
        <v>11758</v>
      </c>
      <c r="N3264" s="8" t="s">
        <v>15003</v>
      </c>
      <c r="O3264" s="8">
        <f>10+29/60+13.3/3600</f>
        <v>10.487027777777778</v>
      </c>
      <c r="P3264" s="8" t="s">
        <v>15004</v>
      </c>
      <c r="Q3264" s="8">
        <f>-(44+7/60+22/3600)</f>
        <v>-44.122777777777777</v>
      </c>
      <c r="R3264" s="8">
        <v>11.9</v>
      </c>
      <c r="S3264" s="8">
        <v>12.5</v>
      </c>
      <c r="T3264" s="8">
        <v>0.6</v>
      </c>
      <c r="U3264" s="8">
        <v>13.9</v>
      </c>
      <c r="V3264" s="8">
        <v>5.0999999999999996</v>
      </c>
      <c r="W3264" s="8">
        <v>1.4</v>
      </c>
      <c r="X3264" s="8">
        <v>103</v>
      </c>
      <c r="Y3264" s="8" t="s">
        <v>15005</v>
      </c>
      <c r="Z3264" s="8" t="s">
        <v>15006</v>
      </c>
    </row>
    <row r="3265" spans="1:26" x14ac:dyDescent="0.2">
      <c r="A3265" s="8">
        <v>3264</v>
      </c>
      <c r="B3265" s="8" t="s">
        <v>15007</v>
      </c>
      <c r="C3265" s="8" t="s">
        <v>15007</v>
      </c>
      <c r="F3265" s="47"/>
      <c r="G3265" s="8">
        <v>16</v>
      </c>
      <c r="H3265" s="8" t="s">
        <v>21</v>
      </c>
      <c r="I3265" s="8" t="s">
        <v>22</v>
      </c>
      <c r="J3265" s="8" t="s">
        <v>22</v>
      </c>
      <c r="K3265" s="8" t="s">
        <v>323</v>
      </c>
      <c r="L3265" s="8" t="s">
        <v>12015</v>
      </c>
      <c r="M3265" s="8" t="s">
        <v>12016</v>
      </c>
      <c r="N3265" s="8" t="s">
        <v>15008</v>
      </c>
      <c r="O3265" s="8">
        <f>10+32/60+19.9/3600</f>
        <v>10.53886111111111</v>
      </c>
      <c r="P3265" s="8" t="s">
        <v>15009</v>
      </c>
      <c r="Q3265" s="8">
        <f>+(56+5/60+2/3600)</f>
        <v>56.083888888888893</v>
      </c>
      <c r="R3265" s="8">
        <v>12</v>
      </c>
      <c r="S3265" s="8">
        <v>12.5</v>
      </c>
      <c r="T3265" s="8">
        <v>0.5</v>
      </c>
      <c r="U3265" s="8">
        <v>13.2</v>
      </c>
      <c r="V3265" s="8">
        <v>2.9</v>
      </c>
      <c r="W3265" s="8">
        <v>1.2</v>
      </c>
      <c r="X3265" s="8">
        <v>177</v>
      </c>
      <c r="Y3265" s="8" t="s">
        <v>15010</v>
      </c>
      <c r="Z3265" s="8" t="s">
        <v>15011</v>
      </c>
    </row>
    <row r="3266" spans="1:26" x14ac:dyDescent="0.2">
      <c r="A3266" s="8">
        <v>3265</v>
      </c>
      <c r="B3266" s="8" t="s">
        <v>15012</v>
      </c>
      <c r="C3266" s="8" t="s">
        <v>15012</v>
      </c>
      <c r="F3266" s="47" t="s">
        <v>56788</v>
      </c>
      <c r="G3266" s="8">
        <v>15</v>
      </c>
      <c r="H3266" s="8" t="s">
        <v>21</v>
      </c>
      <c r="I3266" s="8" t="s">
        <v>22</v>
      </c>
      <c r="J3266" s="8" t="s">
        <v>22</v>
      </c>
      <c r="K3266" s="8" t="s">
        <v>1136</v>
      </c>
      <c r="L3266" s="8" t="s">
        <v>13179</v>
      </c>
      <c r="M3266" s="8" t="s">
        <v>13180</v>
      </c>
      <c r="N3266" s="8" t="s">
        <v>15013</v>
      </c>
      <c r="O3266" s="8">
        <f>10+31/60+6.8/3600</f>
        <v>10.518555555555556</v>
      </c>
      <c r="P3266" s="8" t="s">
        <v>15014</v>
      </c>
      <c r="Q3266" s="8">
        <f>+(28+47/60+49/3600)</f>
        <v>28.796944444444446</v>
      </c>
      <c r="R3266" s="8">
        <v>12.9</v>
      </c>
      <c r="S3266" s="8">
        <v>13.9</v>
      </c>
      <c r="T3266" s="8">
        <v>1</v>
      </c>
      <c r="U3266" s="8">
        <v>12.4</v>
      </c>
      <c r="V3266" s="8">
        <v>0.9</v>
      </c>
      <c r="W3266" s="8">
        <v>0.7</v>
      </c>
      <c r="X3266" s="8">
        <v>73</v>
      </c>
      <c r="Y3266" s="8" t="s">
        <v>15015</v>
      </c>
      <c r="Z3266" s="8" t="s">
        <v>15016</v>
      </c>
    </row>
    <row r="3267" spans="1:26" x14ac:dyDescent="0.2">
      <c r="A3267" s="8">
        <v>3266</v>
      </c>
      <c r="B3267" s="8" t="s">
        <v>15017</v>
      </c>
      <c r="C3267" s="8" t="s">
        <v>15017</v>
      </c>
      <c r="F3267" s="47" t="s">
        <v>56789</v>
      </c>
      <c r="G3267" s="8">
        <v>15</v>
      </c>
      <c r="H3267" s="8" t="s">
        <v>21</v>
      </c>
      <c r="I3267" s="8" t="s">
        <v>22</v>
      </c>
      <c r="J3267" s="8" t="s">
        <v>22</v>
      </c>
      <c r="K3267" s="8" t="s">
        <v>224</v>
      </c>
      <c r="L3267" s="8" t="s">
        <v>12015</v>
      </c>
      <c r="M3267" s="8" t="s">
        <v>12016</v>
      </c>
      <c r="N3267" s="8" t="s">
        <v>15018</v>
      </c>
      <c r="O3267" s="8">
        <f>10+33/60+17.6/3600</f>
        <v>10.55488888888889</v>
      </c>
      <c r="P3267" s="8" t="s">
        <v>15019</v>
      </c>
      <c r="Q3267" s="8">
        <f>+(64+44/60+59/3600)</f>
        <v>64.749722222222218</v>
      </c>
      <c r="R3267" s="8">
        <v>12.4</v>
      </c>
      <c r="S3267" s="8">
        <v>13.4</v>
      </c>
      <c r="T3267" s="8">
        <v>1</v>
      </c>
      <c r="U3267" s="8">
        <v>13</v>
      </c>
      <c r="V3267" s="8">
        <v>1.4</v>
      </c>
      <c r="W3267" s="8">
        <v>1.2</v>
      </c>
      <c r="X3267" s="8">
        <v>105</v>
      </c>
      <c r="Y3267" s="8" t="s">
        <v>15020</v>
      </c>
      <c r="Z3267" s="8" t="s">
        <v>15021</v>
      </c>
    </row>
    <row r="3268" spans="1:26" x14ac:dyDescent="0.2">
      <c r="A3268" s="8">
        <v>3267</v>
      </c>
      <c r="B3268" s="8" t="s">
        <v>15022</v>
      </c>
      <c r="C3268" s="8" t="s">
        <v>15022</v>
      </c>
      <c r="F3268" s="47"/>
      <c r="G3268" s="8">
        <v>16</v>
      </c>
      <c r="H3268" s="8" t="s">
        <v>21</v>
      </c>
      <c r="I3268" s="8" t="s">
        <v>22</v>
      </c>
      <c r="J3268" s="8" t="s">
        <v>22</v>
      </c>
      <c r="K3268" s="8" t="s">
        <v>224</v>
      </c>
      <c r="L3268" s="8" t="s">
        <v>13374</v>
      </c>
      <c r="M3268" s="8" t="s">
        <v>13375</v>
      </c>
      <c r="N3268" s="8" t="s">
        <v>15023</v>
      </c>
      <c r="O3268" s="8">
        <f>10+29/60+48.5/3600</f>
        <v>10.496805555555556</v>
      </c>
      <c r="P3268" s="8" t="s">
        <v>15024</v>
      </c>
      <c r="Q3268" s="8">
        <f>-(35+19/60+22/3600)</f>
        <v>-35.32277777777778</v>
      </c>
      <c r="R3268" s="8">
        <v>12.4</v>
      </c>
      <c r="S3268" s="8">
        <v>13.4</v>
      </c>
      <c r="T3268" s="8">
        <v>1</v>
      </c>
      <c r="U3268" s="8">
        <v>12.7</v>
      </c>
      <c r="V3268" s="8">
        <v>1.7</v>
      </c>
      <c r="W3268" s="8">
        <v>1</v>
      </c>
      <c r="X3268" s="8">
        <v>148</v>
      </c>
      <c r="Y3268" s="8" t="s">
        <v>15025</v>
      </c>
      <c r="Z3268" s="8" t="s">
        <v>15026</v>
      </c>
    </row>
    <row r="3269" spans="1:26" x14ac:dyDescent="0.2">
      <c r="A3269" s="8">
        <v>3268</v>
      </c>
      <c r="B3269" s="8" t="s">
        <v>15027</v>
      </c>
      <c r="C3269" s="8" t="s">
        <v>15027</v>
      </c>
      <c r="F3269" s="47"/>
      <c r="G3269" s="8">
        <v>16</v>
      </c>
      <c r="H3269" s="8" t="s">
        <v>21</v>
      </c>
      <c r="I3269" s="8" t="s">
        <v>22</v>
      </c>
      <c r="J3269" s="8" t="s">
        <v>22</v>
      </c>
      <c r="K3269" s="8" t="s">
        <v>1136</v>
      </c>
      <c r="L3269" s="8" t="s">
        <v>13374</v>
      </c>
      <c r="M3269" s="8" t="s">
        <v>13375</v>
      </c>
      <c r="N3269" s="8" t="s">
        <v>15028</v>
      </c>
      <c r="O3269" s="8">
        <f>10+30/60+0.3/3600</f>
        <v>10.500083333333333</v>
      </c>
      <c r="P3269" s="8" t="s">
        <v>15029</v>
      </c>
      <c r="Q3269" s="8">
        <f>-(35+19/60+32/3600)</f>
        <v>-35.32555555555556</v>
      </c>
      <c r="R3269" s="8">
        <v>11.5</v>
      </c>
      <c r="S3269" s="8">
        <v>12.5</v>
      </c>
      <c r="T3269" s="8">
        <v>1</v>
      </c>
      <c r="U3269" s="8">
        <v>13.8</v>
      </c>
      <c r="V3269" s="8">
        <v>3</v>
      </c>
      <c r="W3269" s="8">
        <v>2.5</v>
      </c>
      <c r="X3269" s="8">
        <v>46</v>
      </c>
      <c r="Y3269" s="8" t="s">
        <v>15030</v>
      </c>
      <c r="Z3269" s="8" t="s">
        <v>4026</v>
      </c>
    </row>
    <row r="3270" spans="1:26" x14ac:dyDescent="0.2">
      <c r="A3270" s="8">
        <v>3269</v>
      </c>
      <c r="B3270" s="8" t="s">
        <v>15031</v>
      </c>
      <c r="C3270" s="8" t="s">
        <v>15031</v>
      </c>
      <c r="F3270" s="47"/>
      <c r="G3270" s="8">
        <v>16</v>
      </c>
      <c r="H3270" s="8" t="s">
        <v>21</v>
      </c>
      <c r="I3270" s="8" t="s">
        <v>22</v>
      </c>
      <c r="J3270" s="8" t="s">
        <v>22</v>
      </c>
      <c r="K3270" s="8" t="s">
        <v>435</v>
      </c>
      <c r="L3270" s="8" t="s">
        <v>13374</v>
      </c>
      <c r="M3270" s="8" t="s">
        <v>13375</v>
      </c>
      <c r="N3270" s="8" t="s">
        <v>15032</v>
      </c>
      <c r="O3270" s="8">
        <f>10+29/60+57/3600</f>
        <v>10.499166666666666</v>
      </c>
      <c r="P3270" s="8" t="s">
        <v>15033</v>
      </c>
      <c r="Q3270" s="8">
        <f>-(35+13/60+26/3600)</f>
        <v>-35.223888888888894</v>
      </c>
      <c r="R3270" s="8">
        <v>12.2</v>
      </c>
      <c r="S3270" s="8">
        <v>13.1</v>
      </c>
      <c r="T3270" s="8">
        <v>0.9</v>
      </c>
      <c r="U3270" s="8">
        <v>13.2</v>
      </c>
      <c r="V3270" s="8">
        <v>2.4</v>
      </c>
      <c r="W3270" s="8">
        <v>1.1000000000000001</v>
      </c>
      <c r="X3270" s="8">
        <v>8</v>
      </c>
      <c r="Y3270" s="8" t="s">
        <v>15034</v>
      </c>
      <c r="Z3270" s="8" t="s">
        <v>15035</v>
      </c>
    </row>
    <row r="3271" spans="1:26" x14ac:dyDescent="0.2">
      <c r="A3271" s="8">
        <v>3270</v>
      </c>
      <c r="B3271" s="8" t="s">
        <v>15036</v>
      </c>
      <c r="C3271" s="8" t="s">
        <v>15036</v>
      </c>
      <c r="F3271" s="47" t="s">
        <v>56790</v>
      </c>
      <c r="G3271" s="8">
        <v>15</v>
      </c>
      <c r="H3271" s="8" t="s">
        <v>21</v>
      </c>
      <c r="I3271" s="8" t="s">
        <v>22</v>
      </c>
      <c r="J3271" s="8" t="s">
        <v>22</v>
      </c>
      <c r="K3271" s="8" t="s">
        <v>218</v>
      </c>
      <c r="L3271" s="8" t="s">
        <v>13194</v>
      </c>
      <c r="M3271" s="8" t="s">
        <v>13195</v>
      </c>
      <c r="N3271" s="8" t="s">
        <v>15037</v>
      </c>
      <c r="O3271" s="8">
        <f>10+31/60+30/3600</f>
        <v>10.525</v>
      </c>
      <c r="P3271" s="8" t="s">
        <v>15038</v>
      </c>
      <c r="Q3271" s="8">
        <f>+(24+52/60+10/3600)</f>
        <v>24.869444444444444</v>
      </c>
      <c r="R3271" s="8">
        <v>13.1</v>
      </c>
      <c r="S3271" s="8">
        <v>13.9</v>
      </c>
      <c r="T3271" s="8">
        <v>0.8</v>
      </c>
      <c r="U3271" s="8">
        <v>14</v>
      </c>
      <c r="V3271" s="8">
        <v>3.1</v>
      </c>
      <c r="W3271" s="8">
        <v>0.8</v>
      </c>
      <c r="X3271" s="8">
        <v>10</v>
      </c>
      <c r="Y3271" s="8" t="s">
        <v>15039</v>
      </c>
      <c r="Z3271" s="8" t="s">
        <v>15040</v>
      </c>
    </row>
    <row r="3272" spans="1:26" x14ac:dyDescent="0.2">
      <c r="A3272" s="8">
        <v>3271</v>
      </c>
      <c r="B3272" s="8" t="s">
        <v>15041</v>
      </c>
      <c r="C3272" s="8" t="s">
        <v>15041</v>
      </c>
      <c r="F3272" s="47"/>
      <c r="G3272" s="8">
        <v>16</v>
      </c>
      <c r="H3272" s="8" t="s">
        <v>21</v>
      </c>
      <c r="I3272" s="8" t="s">
        <v>22</v>
      </c>
      <c r="J3272" s="8" t="s">
        <v>22</v>
      </c>
      <c r="K3272" s="8" t="s">
        <v>224</v>
      </c>
      <c r="L3272" s="8" t="s">
        <v>13374</v>
      </c>
      <c r="M3272" s="8" t="s">
        <v>13375</v>
      </c>
      <c r="N3272" s="8" t="s">
        <v>15042</v>
      </c>
      <c r="O3272" s="8">
        <f>10+30/60+26.5/3600</f>
        <v>10.507361111111111</v>
      </c>
      <c r="P3272" s="8" t="s">
        <v>15043</v>
      </c>
      <c r="Q3272" s="8">
        <f>-(35+21/60+36/3600)</f>
        <v>-35.36</v>
      </c>
      <c r="R3272" s="8">
        <v>11.8</v>
      </c>
      <c r="S3272" s="8">
        <v>12.9</v>
      </c>
      <c r="T3272" s="8">
        <v>1.1000000000000001</v>
      </c>
      <c r="U3272" s="8">
        <v>13.5</v>
      </c>
      <c r="V3272" s="8">
        <v>3.3</v>
      </c>
      <c r="W3272" s="8">
        <v>1.8</v>
      </c>
      <c r="X3272" s="8">
        <v>106</v>
      </c>
      <c r="Y3272" s="8" t="s">
        <v>15044</v>
      </c>
      <c r="Z3272" s="8" t="s">
        <v>15045</v>
      </c>
    </row>
    <row r="3273" spans="1:26" x14ac:dyDescent="0.2">
      <c r="A3273" s="8">
        <v>3272</v>
      </c>
      <c r="B3273" s="8" t="s">
        <v>15046</v>
      </c>
      <c r="C3273" s="8" t="s">
        <v>15046</v>
      </c>
      <c r="F3273" s="47"/>
      <c r="G3273" s="8">
        <v>18</v>
      </c>
      <c r="H3273" s="8" t="s">
        <v>21</v>
      </c>
      <c r="I3273" s="8" t="s">
        <v>72</v>
      </c>
      <c r="J3273" s="8" t="s">
        <v>72</v>
      </c>
      <c r="K3273" s="8" t="s">
        <v>73</v>
      </c>
      <c r="L3273" s="8" t="s">
        <v>13179</v>
      </c>
      <c r="M3273" s="8" t="s">
        <v>13180</v>
      </c>
      <c r="N3273" s="8" t="s">
        <v>15047</v>
      </c>
      <c r="O3273" s="8">
        <f>10+31/60+48.1/3600</f>
        <v>10.530027777777779</v>
      </c>
      <c r="P3273" s="8" t="s">
        <v>15048</v>
      </c>
      <c r="Q3273" s="8">
        <f>+(28+28/60+10/3600)</f>
        <v>28.469444444444441</v>
      </c>
      <c r="R3273" s="8">
        <v>99</v>
      </c>
      <c r="S3273" s="8">
        <v>99</v>
      </c>
      <c r="T3273" s="8">
        <v>99</v>
      </c>
      <c r="U3273" s="8">
        <v>99</v>
      </c>
      <c r="Y3273" s="8" t="s">
        <v>15049</v>
      </c>
      <c r="Z3273" s="8" t="s">
        <v>15050</v>
      </c>
    </row>
    <row r="3274" spans="1:26" x14ac:dyDescent="0.2">
      <c r="A3274" s="8">
        <v>3273</v>
      </c>
      <c r="B3274" s="8" t="s">
        <v>15051</v>
      </c>
      <c r="C3274" s="8" t="s">
        <v>15051</v>
      </c>
      <c r="F3274" s="47"/>
      <c r="G3274" s="8">
        <v>16</v>
      </c>
      <c r="H3274" s="8" t="s">
        <v>21</v>
      </c>
      <c r="I3274" s="8" t="s">
        <v>22</v>
      </c>
      <c r="J3274" s="8" t="s">
        <v>22</v>
      </c>
      <c r="K3274" s="8" t="s">
        <v>224</v>
      </c>
      <c r="L3274" s="8" t="s">
        <v>13374</v>
      </c>
      <c r="M3274" s="8" t="s">
        <v>13375</v>
      </c>
      <c r="N3274" s="8" t="s">
        <v>15052</v>
      </c>
      <c r="O3274" s="8">
        <f>10+30/60+29/3600</f>
        <v>10.508055555555556</v>
      </c>
      <c r="P3274" s="8" t="s">
        <v>15053</v>
      </c>
      <c r="Q3274" s="8">
        <f>-(35+36/60+40/3600)</f>
        <v>-35.611111111111114</v>
      </c>
      <c r="R3274" s="8">
        <v>12.5</v>
      </c>
      <c r="S3274" s="8">
        <v>13.6</v>
      </c>
      <c r="T3274" s="8">
        <v>1.1000000000000001</v>
      </c>
      <c r="U3274" s="8">
        <v>12.6</v>
      </c>
      <c r="V3274" s="8">
        <v>1.6</v>
      </c>
      <c r="W3274" s="8">
        <v>0.7</v>
      </c>
      <c r="X3274" s="8">
        <v>97</v>
      </c>
      <c r="Y3274" s="8" t="s">
        <v>15054</v>
      </c>
      <c r="Z3274" s="8" t="s">
        <v>15055</v>
      </c>
    </row>
    <row r="3275" spans="1:26" x14ac:dyDescent="0.2">
      <c r="A3275" s="8">
        <v>3274</v>
      </c>
      <c r="B3275" s="8" t="s">
        <v>15056</v>
      </c>
      <c r="C3275" s="8" t="s">
        <v>15056</v>
      </c>
      <c r="F3275" s="47" t="s">
        <v>56791</v>
      </c>
      <c r="G3275" s="8">
        <v>6.5</v>
      </c>
      <c r="H3275" s="8" t="s">
        <v>21</v>
      </c>
      <c r="I3275" s="8" t="s">
        <v>22</v>
      </c>
      <c r="J3275" s="8" t="s">
        <v>22</v>
      </c>
      <c r="K3275" s="8" t="s">
        <v>1277</v>
      </c>
      <c r="L3275" s="8" t="s">
        <v>13194</v>
      </c>
      <c r="M3275" s="8" t="s">
        <v>13195</v>
      </c>
      <c r="N3275" s="8" t="s">
        <v>15057</v>
      </c>
      <c r="O3275" s="8">
        <f>10+32/60+17.1/3600</f>
        <v>10.538083333333333</v>
      </c>
      <c r="P3275" s="8" t="s">
        <v>15058</v>
      </c>
      <c r="Q3275" s="8">
        <f>+(27+40/60+8/3600)</f>
        <v>27.66888888888889</v>
      </c>
      <c r="R3275" s="8">
        <v>12.8</v>
      </c>
      <c r="S3275" s="8">
        <v>13.2</v>
      </c>
      <c r="T3275" s="8">
        <v>0.4</v>
      </c>
      <c r="U3275" s="8">
        <v>13.5</v>
      </c>
      <c r="V3275" s="8">
        <v>2</v>
      </c>
      <c r="W3275" s="8">
        <v>1.1000000000000001</v>
      </c>
      <c r="X3275" s="8">
        <v>100</v>
      </c>
      <c r="Y3275" s="8" t="s">
        <v>15059</v>
      </c>
      <c r="Z3275" s="8" t="s">
        <v>15060</v>
      </c>
    </row>
    <row r="3276" spans="1:26" x14ac:dyDescent="0.2">
      <c r="A3276" s="8">
        <v>3275</v>
      </c>
      <c r="B3276" s="8" t="s">
        <v>15061</v>
      </c>
      <c r="C3276" s="8" t="s">
        <v>15061</v>
      </c>
      <c r="F3276" s="47"/>
      <c r="G3276" s="8">
        <v>16</v>
      </c>
      <c r="H3276" s="8" t="s">
        <v>21</v>
      </c>
      <c r="I3276" s="8" t="s">
        <v>22</v>
      </c>
      <c r="J3276" s="8" t="s">
        <v>22</v>
      </c>
      <c r="K3276" s="8" t="s">
        <v>406</v>
      </c>
      <c r="L3276" s="8" t="s">
        <v>13374</v>
      </c>
      <c r="M3276" s="8" t="s">
        <v>13375</v>
      </c>
      <c r="N3276" s="8" t="s">
        <v>15062</v>
      </c>
      <c r="O3276" s="8">
        <f>10+30/60+51.7/3600</f>
        <v>10.514361111111111</v>
      </c>
      <c r="P3276" s="8" t="s">
        <v>15063</v>
      </c>
      <c r="Q3276" s="8">
        <f>-(36+44/60+13/3600)</f>
        <v>-36.736944444444447</v>
      </c>
      <c r="R3276" s="8">
        <v>11.8</v>
      </c>
      <c r="S3276" s="8">
        <v>12.2</v>
      </c>
      <c r="T3276" s="8">
        <v>0.4</v>
      </c>
      <c r="U3276" s="8">
        <v>13.6</v>
      </c>
      <c r="V3276" s="8">
        <v>2.8</v>
      </c>
      <c r="W3276" s="8">
        <v>2.1</v>
      </c>
      <c r="X3276" s="8">
        <v>121</v>
      </c>
      <c r="Y3276" s="8" t="s">
        <v>15064</v>
      </c>
      <c r="Z3276" s="8" t="s">
        <v>15065</v>
      </c>
    </row>
    <row r="3277" spans="1:26" x14ac:dyDescent="0.2">
      <c r="A3277" s="8">
        <v>3276</v>
      </c>
      <c r="B3277" s="8" t="s">
        <v>15066</v>
      </c>
      <c r="C3277" s="8" t="s">
        <v>15066</v>
      </c>
      <c r="F3277" s="47"/>
      <c r="G3277" s="8">
        <v>16</v>
      </c>
      <c r="H3277" s="8" t="s">
        <v>21</v>
      </c>
      <c r="I3277" s="8" t="s">
        <v>22</v>
      </c>
      <c r="J3277" s="8" t="s">
        <v>22</v>
      </c>
      <c r="K3277" s="8" t="s">
        <v>37</v>
      </c>
      <c r="L3277" s="8" t="s">
        <v>13374</v>
      </c>
      <c r="M3277" s="8" t="s">
        <v>13375</v>
      </c>
      <c r="N3277" s="8" t="s">
        <v>15067</v>
      </c>
      <c r="O3277" s="8">
        <f>10+31/60+9.1/3600</f>
        <v>10.519194444444445</v>
      </c>
      <c r="P3277" s="8" t="s">
        <v>15068</v>
      </c>
      <c r="Q3277" s="8">
        <f>-(39+56/60+42/3600)</f>
        <v>-39.944999999999993</v>
      </c>
      <c r="R3277" s="8">
        <v>13.4</v>
      </c>
      <c r="S3277" s="8">
        <v>14.4</v>
      </c>
      <c r="T3277" s="8">
        <v>1</v>
      </c>
      <c r="U3277" s="8">
        <v>12.7</v>
      </c>
      <c r="V3277" s="8">
        <v>1</v>
      </c>
      <c r="W3277" s="8">
        <v>0.6</v>
      </c>
      <c r="X3277" s="8">
        <v>74</v>
      </c>
      <c r="Y3277" s="8" t="s">
        <v>15069</v>
      </c>
      <c r="Z3277" s="8" t="s">
        <v>15070</v>
      </c>
    </row>
    <row r="3278" spans="1:26" x14ac:dyDescent="0.2">
      <c r="A3278" s="8">
        <v>3277</v>
      </c>
      <c r="B3278" s="8" t="s">
        <v>15071</v>
      </c>
      <c r="C3278" s="8" t="s">
        <v>15071</v>
      </c>
      <c r="F3278" s="47" t="s">
        <v>56792</v>
      </c>
      <c r="G3278" s="8">
        <v>6</v>
      </c>
      <c r="H3278" s="8" t="s">
        <v>21</v>
      </c>
      <c r="I3278" s="8" t="s">
        <v>22</v>
      </c>
      <c r="J3278" s="8" t="s">
        <v>22</v>
      </c>
      <c r="K3278" s="8" t="s">
        <v>31</v>
      </c>
      <c r="L3278" s="8" t="s">
        <v>13179</v>
      </c>
      <c r="M3278" s="8" t="s">
        <v>13180</v>
      </c>
      <c r="N3278" s="8" t="s">
        <v>15072</v>
      </c>
      <c r="O3278" s="8">
        <f>10+32/60+55.4/3600</f>
        <v>10.548722222222223</v>
      </c>
      <c r="P3278" s="8" t="s">
        <v>15073</v>
      </c>
      <c r="Q3278" s="8">
        <f>+(28+30/60+44/3600)</f>
        <v>28.512222222222221</v>
      </c>
      <c r="R3278" s="8">
        <v>11.7</v>
      </c>
      <c r="S3278" s="8">
        <v>12.5</v>
      </c>
      <c r="T3278" s="8">
        <v>0.8</v>
      </c>
      <c r="U3278" s="8">
        <v>12.9</v>
      </c>
      <c r="V3278" s="8">
        <v>2.1</v>
      </c>
      <c r="W3278" s="8">
        <v>1.8</v>
      </c>
      <c r="X3278" s="8">
        <v>170</v>
      </c>
      <c r="Y3278" s="8" t="s">
        <v>15074</v>
      </c>
      <c r="Z3278" s="8" t="s">
        <v>15075</v>
      </c>
    </row>
    <row r="3279" spans="1:26" x14ac:dyDescent="0.2">
      <c r="A3279" s="8">
        <v>3278</v>
      </c>
      <c r="B3279" s="8" t="s">
        <v>15076</v>
      </c>
      <c r="C3279" s="8" t="s">
        <v>15076</v>
      </c>
      <c r="F3279" s="47"/>
      <c r="G3279" s="8">
        <v>16</v>
      </c>
      <c r="H3279" s="8" t="s">
        <v>21</v>
      </c>
      <c r="I3279" s="8" t="s">
        <v>22</v>
      </c>
      <c r="J3279" s="8" t="s">
        <v>22</v>
      </c>
      <c r="K3279" s="8" t="s">
        <v>160</v>
      </c>
      <c r="L3279" s="8" t="s">
        <v>13374</v>
      </c>
      <c r="M3279" s="8" t="s">
        <v>13375</v>
      </c>
      <c r="N3279" s="8" t="s">
        <v>15077</v>
      </c>
      <c r="O3279" s="8">
        <f>10+31/60+35.5/3600</f>
        <v>10.526527777777778</v>
      </c>
      <c r="P3279" s="8" t="s">
        <v>15078</v>
      </c>
      <c r="Q3279" s="8">
        <f>-(39+57/60+21/3600)</f>
        <v>-39.955833333333338</v>
      </c>
      <c r="R3279" s="8">
        <v>12.2</v>
      </c>
      <c r="S3279" s="8">
        <v>12.9</v>
      </c>
      <c r="T3279" s="8">
        <v>0.7</v>
      </c>
      <c r="U3279" s="8">
        <v>12.2</v>
      </c>
      <c r="V3279" s="8">
        <v>1.3</v>
      </c>
      <c r="W3279" s="8">
        <v>0.9</v>
      </c>
      <c r="X3279" s="8">
        <v>62</v>
      </c>
      <c r="Y3279" s="8" t="s">
        <v>15079</v>
      </c>
      <c r="Z3279" s="8" t="s">
        <v>15080</v>
      </c>
    </row>
    <row r="3280" spans="1:26" x14ac:dyDescent="0.2">
      <c r="A3280" s="8">
        <v>3279</v>
      </c>
      <c r="B3280" s="8" t="s">
        <v>15081</v>
      </c>
      <c r="C3280" s="8" t="s">
        <v>15081</v>
      </c>
      <c r="F3280" s="47"/>
      <c r="G3280" s="8">
        <v>19</v>
      </c>
      <c r="H3280" s="8" t="s">
        <v>21</v>
      </c>
      <c r="I3280" s="8" t="s">
        <v>22</v>
      </c>
      <c r="J3280" s="8" t="s">
        <v>22</v>
      </c>
      <c r="K3280" s="8" t="s">
        <v>579</v>
      </c>
      <c r="L3280" s="8" t="s">
        <v>13194</v>
      </c>
      <c r="M3280" s="8" t="s">
        <v>13195</v>
      </c>
      <c r="N3280" s="8" t="s">
        <v>15082</v>
      </c>
      <c r="O3280" s="8">
        <f>10+34/60+42.6/3600</f>
        <v>10.5785</v>
      </c>
      <c r="P3280" s="8" t="s">
        <v>15083</v>
      </c>
      <c r="Q3280" s="8">
        <f>+(11+11/60+49/3600)</f>
        <v>11.196944444444444</v>
      </c>
      <c r="R3280" s="8">
        <v>13.4</v>
      </c>
      <c r="S3280" s="8">
        <v>14.1</v>
      </c>
      <c r="T3280" s="8">
        <v>0.7</v>
      </c>
      <c r="U3280" s="8">
        <v>13</v>
      </c>
      <c r="V3280" s="8">
        <v>2.9</v>
      </c>
      <c r="W3280" s="8">
        <v>0.4</v>
      </c>
      <c r="X3280" s="8">
        <v>152</v>
      </c>
      <c r="Y3280" s="8" t="s">
        <v>5275</v>
      </c>
      <c r="Z3280" s="8" t="s">
        <v>5276</v>
      </c>
    </row>
    <row r="3281" spans="1:26" x14ac:dyDescent="0.2">
      <c r="A3281" s="8">
        <v>3280</v>
      </c>
      <c r="B3281" s="8" t="s">
        <v>15084</v>
      </c>
      <c r="C3281" s="8" t="s">
        <v>15084</v>
      </c>
      <c r="D3281" s="8" t="s">
        <v>351</v>
      </c>
      <c r="F3281" s="47"/>
      <c r="G3281" s="8">
        <v>19</v>
      </c>
      <c r="H3281" s="8" t="s">
        <v>21</v>
      </c>
      <c r="I3281" s="8" t="s">
        <v>22</v>
      </c>
      <c r="J3281" s="8" t="s">
        <v>22</v>
      </c>
      <c r="K3281" s="8" t="s">
        <v>58</v>
      </c>
      <c r="L3281" s="8" t="s">
        <v>11765</v>
      </c>
      <c r="M3281" s="8" t="s">
        <v>11766</v>
      </c>
      <c r="N3281" s="8" t="s">
        <v>15085</v>
      </c>
      <c r="O3281" s="8">
        <f>10+32/60+43.8/3600</f>
        <v>10.545500000000001</v>
      </c>
      <c r="P3281" s="8" t="s">
        <v>15086</v>
      </c>
      <c r="Q3281" s="8">
        <f>-(12+38/60+12/3600)</f>
        <v>-12.636666666666667</v>
      </c>
      <c r="R3281" s="8">
        <v>14.7</v>
      </c>
      <c r="S3281" s="8">
        <v>15.7</v>
      </c>
      <c r="T3281" s="8">
        <v>1</v>
      </c>
      <c r="U3281" s="8">
        <v>13.6</v>
      </c>
      <c r="V3281" s="8">
        <v>0.7</v>
      </c>
      <c r="W3281" s="8">
        <v>0.5</v>
      </c>
      <c r="X3281" s="8">
        <v>130</v>
      </c>
      <c r="Y3281" s="8" t="s">
        <v>11851</v>
      </c>
      <c r="Z3281" s="8" t="s">
        <v>11852</v>
      </c>
    </row>
    <row r="3282" spans="1:26" x14ac:dyDescent="0.2">
      <c r="A3282" s="8">
        <v>3281</v>
      </c>
      <c r="B3282" s="8" t="s">
        <v>15087</v>
      </c>
      <c r="C3282" s="8" t="s">
        <v>15087</v>
      </c>
      <c r="F3282" s="47"/>
      <c r="G3282" s="8">
        <v>16</v>
      </c>
      <c r="H3282" s="8" t="s">
        <v>21</v>
      </c>
      <c r="I3282" s="8" t="s">
        <v>22</v>
      </c>
      <c r="J3282" s="8" t="s">
        <v>22</v>
      </c>
      <c r="K3282" s="8" t="s">
        <v>31</v>
      </c>
      <c r="L3282" s="8" t="s">
        <v>13374</v>
      </c>
      <c r="M3282" s="8" t="s">
        <v>13375</v>
      </c>
      <c r="N3282" s="8" t="s">
        <v>15088</v>
      </c>
      <c r="O3282" s="8">
        <f>10+31/60+52.2/3600</f>
        <v>10.531166666666667</v>
      </c>
      <c r="P3282" s="8" t="s">
        <v>15089</v>
      </c>
      <c r="Q3282" s="8">
        <f>-(34+51/60+16/3600)</f>
        <v>-34.854444444444447</v>
      </c>
      <c r="R3282" s="8">
        <v>11.7</v>
      </c>
      <c r="S3282" s="8">
        <v>12.7</v>
      </c>
      <c r="T3282" s="8">
        <v>1</v>
      </c>
      <c r="U3282" s="8">
        <v>13.4</v>
      </c>
      <c r="V3282" s="8">
        <v>3.2</v>
      </c>
      <c r="W3282" s="8">
        <v>1.6</v>
      </c>
      <c r="X3282" s="8">
        <v>140</v>
      </c>
      <c r="Y3282" s="8" t="s">
        <v>15090</v>
      </c>
      <c r="Z3282" s="8" t="s">
        <v>15091</v>
      </c>
    </row>
    <row r="3283" spans="1:26" x14ac:dyDescent="0.2">
      <c r="A3283" s="8">
        <v>3282</v>
      </c>
      <c r="B3283" s="8" t="s">
        <v>15092</v>
      </c>
      <c r="C3283" s="8" t="s">
        <v>15092</v>
      </c>
      <c r="F3283" s="47"/>
      <c r="G3283" s="8">
        <v>19</v>
      </c>
      <c r="H3283" s="8" t="s">
        <v>21</v>
      </c>
      <c r="I3283" s="8" t="s">
        <v>22</v>
      </c>
      <c r="J3283" s="8" t="s">
        <v>22</v>
      </c>
      <c r="K3283" s="8" t="s">
        <v>224</v>
      </c>
      <c r="L3283" s="8" t="s">
        <v>11765</v>
      </c>
      <c r="M3283" s="8" t="s">
        <v>11766</v>
      </c>
      <c r="N3283" s="8" t="s">
        <v>15093</v>
      </c>
      <c r="O3283" s="8">
        <f>10+32/60+21.8/3600</f>
        <v>10.539388888888888</v>
      </c>
      <c r="P3283" s="8" t="s">
        <v>15094</v>
      </c>
      <c r="Q3283" s="8">
        <f>-(22+18/60+7/3600)</f>
        <v>-22.301944444444445</v>
      </c>
      <c r="R3283" s="8">
        <v>12.9</v>
      </c>
      <c r="S3283" s="8">
        <v>13.9</v>
      </c>
      <c r="T3283" s="8">
        <v>1</v>
      </c>
      <c r="U3283" s="8">
        <v>12.9</v>
      </c>
      <c r="V3283" s="8">
        <v>1.9</v>
      </c>
      <c r="W3283" s="8">
        <v>0.6</v>
      </c>
      <c r="X3283" s="8">
        <v>82</v>
      </c>
      <c r="Y3283" s="8" t="s">
        <v>15095</v>
      </c>
      <c r="Z3283" s="8" t="s">
        <v>15096</v>
      </c>
    </row>
    <row r="3284" spans="1:26" x14ac:dyDescent="0.2">
      <c r="A3284" s="8">
        <v>3283</v>
      </c>
      <c r="B3284" s="8" t="s">
        <v>15097</v>
      </c>
      <c r="C3284" s="8" t="s">
        <v>15097</v>
      </c>
      <c r="F3284" s="47"/>
      <c r="G3284" s="8">
        <v>16</v>
      </c>
      <c r="H3284" s="8" t="s">
        <v>21</v>
      </c>
      <c r="I3284" s="8" t="s">
        <v>22</v>
      </c>
      <c r="J3284" s="8" t="s">
        <v>22</v>
      </c>
      <c r="K3284" s="8" t="s">
        <v>37</v>
      </c>
      <c r="L3284" s="8" t="s">
        <v>11757</v>
      </c>
      <c r="M3284" s="8" t="s">
        <v>11758</v>
      </c>
      <c r="N3284" s="8" t="s">
        <v>15098</v>
      </c>
      <c r="O3284" s="8">
        <f>10+31/60+11.2/3600</f>
        <v>10.519777777777779</v>
      </c>
      <c r="P3284" s="8" t="s">
        <v>15099</v>
      </c>
      <c r="Q3284" s="8">
        <f>-(46+15/60+2/3600)</f>
        <v>-46.250555555555557</v>
      </c>
      <c r="R3284" s="8">
        <v>11.5</v>
      </c>
      <c r="S3284" s="8">
        <v>12.5</v>
      </c>
      <c r="T3284" s="8">
        <v>1</v>
      </c>
      <c r="U3284" s="8">
        <v>12.9</v>
      </c>
      <c r="V3284" s="8">
        <v>3.2</v>
      </c>
      <c r="W3284" s="8">
        <v>1.5</v>
      </c>
      <c r="X3284" s="8">
        <v>168</v>
      </c>
      <c r="Y3284" s="8" t="s">
        <v>2186</v>
      </c>
      <c r="Z3284" s="8" t="s">
        <v>2187</v>
      </c>
    </row>
    <row r="3285" spans="1:26" x14ac:dyDescent="0.2">
      <c r="A3285" s="8">
        <v>3284</v>
      </c>
      <c r="B3285" s="8" t="s">
        <v>15100</v>
      </c>
      <c r="C3285" s="8" t="s">
        <v>15100</v>
      </c>
      <c r="F3285" s="47" t="s">
        <v>56793</v>
      </c>
      <c r="G3285" s="8">
        <v>15</v>
      </c>
      <c r="H3285" s="8" t="s">
        <v>21</v>
      </c>
      <c r="I3285" s="8" t="s">
        <v>22</v>
      </c>
      <c r="J3285" s="8" t="s">
        <v>22</v>
      </c>
      <c r="K3285" s="8" t="s">
        <v>382</v>
      </c>
      <c r="L3285" s="8" t="s">
        <v>12015</v>
      </c>
      <c r="M3285" s="8" t="s">
        <v>12016</v>
      </c>
      <c r="N3285" s="8" t="s">
        <v>15101</v>
      </c>
      <c r="O3285" s="8">
        <f>10+36/60+21.3/3600</f>
        <v>10.605916666666666</v>
      </c>
      <c r="P3285" s="8" t="s">
        <v>15102</v>
      </c>
      <c r="Q3285" s="8">
        <f>+(58+37/60+13/3600)</f>
        <v>58.62027777777778</v>
      </c>
      <c r="R3285" s="8">
        <v>13.6</v>
      </c>
      <c r="S3285" s="8">
        <v>14.6</v>
      </c>
      <c r="T3285" s="8">
        <v>1</v>
      </c>
      <c r="U3285" s="8">
        <v>13</v>
      </c>
      <c r="V3285" s="8">
        <v>0.9</v>
      </c>
      <c r="W3285" s="8">
        <v>0.6</v>
      </c>
      <c r="X3285" s="8">
        <v>88</v>
      </c>
      <c r="Y3285" s="8" t="s">
        <v>266</v>
      </c>
      <c r="Z3285" s="8" t="s">
        <v>267</v>
      </c>
    </row>
    <row r="3286" spans="1:26" x14ac:dyDescent="0.2">
      <c r="A3286" s="8">
        <v>3285</v>
      </c>
      <c r="B3286" s="8" t="s">
        <v>15103</v>
      </c>
      <c r="C3286" s="8" t="s">
        <v>15103</v>
      </c>
      <c r="F3286" s="47"/>
      <c r="G3286" s="8">
        <v>13</v>
      </c>
      <c r="H3286" s="8" t="s">
        <v>21</v>
      </c>
      <c r="I3286" s="8" t="s">
        <v>22</v>
      </c>
      <c r="J3286" s="8" t="s">
        <v>22</v>
      </c>
      <c r="K3286" s="8" t="s">
        <v>154</v>
      </c>
      <c r="L3286" s="8" t="s">
        <v>11765</v>
      </c>
      <c r="M3286" s="8" t="s">
        <v>11766</v>
      </c>
      <c r="N3286" s="8" t="s">
        <v>15104</v>
      </c>
      <c r="O3286" s="8">
        <f>10+33/60+35.8/3600</f>
        <v>10.559944444444445</v>
      </c>
      <c r="P3286" s="8" t="s">
        <v>15105</v>
      </c>
      <c r="Q3286" s="8">
        <f>-(27+27/60+16/3600)</f>
        <v>-27.454444444444444</v>
      </c>
      <c r="R3286" s="8">
        <v>12.1</v>
      </c>
      <c r="S3286" s="8">
        <v>13.1</v>
      </c>
      <c r="T3286" s="8">
        <v>1</v>
      </c>
      <c r="U3286" s="8">
        <v>13.4</v>
      </c>
      <c r="V3286" s="8">
        <v>2.7</v>
      </c>
      <c r="W3286" s="8">
        <v>1.5</v>
      </c>
      <c r="X3286" s="8">
        <v>108</v>
      </c>
      <c r="Y3286" s="8" t="s">
        <v>15106</v>
      </c>
      <c r="Z3286" s="8" t="s">
        <v>15107</v>
      </c>
    </row>
    <row r="3287" spans="1:26" x14ac:dyDescent="0.2">
      <c r="A3287" s="8">
        <v>3286</v>
      </c>
      <c r="B3287" s="8" t="s">
        <v>15108</v>
      </c>
      <c r="C3287" s="8" t="s">
        <v>15108</v>
      </c>
      <c r="F3287" s="47" t="s">
        <v>56794</v>
      </c>
      <c r="G3287" s="8">
        <v>15</v>
      </c>
      <c r="H3287" s="8" t="s">
        <v>21</v>
      </c>
      <c r="I3287" s="8" t="s">
        <v>22</v>
      </c>
      <c r="J3287" s="8" t="s">
        <v>57</v>
      </c>
      <c r="K3287" s="8" t="s">
        <v>382</v>
      </c>
      <c r="L3287" s="8" t="s">
        <v>12015</v>
      </c>
      <c r="M3287" s="8" t="s">
        <v>12016</v>
      </c>
      <c r="N3287" s="8" t="s">
        <v>15101</v>
      </c>
      <c r="O3287" s="8">
        <f>10+36/60+21.3/3600</f>
        <v>10.605916666666666</v>
      </c>
      <c r="P3287" s="8" t="s">
        <v>15102</v>
      </c>
      <c r="Q3287" s="8">
        <f>+(58+37/60+13/3600)</f>
        <v>58.62027777777778</v>
      </c>
      <c r="R3287" s="8">
        <v>13.6</v>
      </c>
      <c r="S3287" s="8">
        <v>14.6</v>
      </c>
      <c r="T3287" s="8">
        <v>1</v>
      </c>
      <c r="U3287" s="8">
        <v>13</v>
      </c>
      <c r="V3287" s="8">
        <v>0.9</v>
      </c>
      <c r="W3287" s="8">
        <v>0.6</v>
      </c>
      <c r="X3287" s="8">
        <v>88</v>
      </c>
      <c r="Y3287" s="8" t="s">
        <v>266</v>
      </c>
      <c r="Z3287" s="8" t="s">
        <v>15109</v>
      </c>
    </row>
    <row r="3288" spans="1:26" x14ac:dyDescent="0.2">
      <c r="A3288" s="8">
        <v>3287</v>
      </c>
      <c r="B3288" s="8" t="s">
        <v>15110</v>
      </c>
      <c r="C3288" s="8" t="s">
        <v>15110</v>
      </c>
      <c r="F3288" s="47"/>
      <c r="G3288" s="8">
        <v>13</v>
      </c>
      <c r="H3288" s="8" t="s">
        <v>21</v>
      </c>
      <c r="I3288" s="8" t="s">
        <v>22</v>
      </c>
      <c r="J3288" s="8" t="s">
        <v>22</v>
      </c>
      <c r="K3288" s="8" t="s">
        <v>1277</v>
      </c>
      <c r="L3288" s="8" t="s">
        <v>13194</v>
      </c>
      <c r="M3288" s="8" t="s">
        <v>13195</v>
      </c>
      <c r="N3288" s="8" t="s">
        <v>15111</v>
      </c>
      <c r="O3288" s="8">
        <f>10+34/60+47.3/3600</f>
        <v>10.579805555555556</v>
      </c>
      <c r="P3288" s="8" t="s">
        <v>15112</v>
      </c>
      <c r="Q3288" s="8">
        <f>+(21+38/60+52/3600)</f>
        <v>21.647777777777776</v>
      </c>
      <c r="R3288" s="8">
        <v>12.3</v>
      </c>
      <c r="S3288" s="8">
        <v>13</v>
      </c>
      <c r="T3288" s="8">
        <v>0.7</v>
      </c>
      <c r="U3288" s="8">
        <v>12.8</v>
      </c>
      <c r="V3288" s="8">
        <v>2</v>
      </c>
      <c r="W3288" s="8">
        <v>0.9</v>
      </c>
      <c r="X3288" s="8">
        <v>20</v>
      </c>
      <c r="Y3288" s="8" t="s">
        <v>15113</v>
      </c>
      <c r="Z3288" s="8" t="s">
        <v>15114</v>
      </c>
    </row>
    <row r="3289" spans="1:26" x14ac:dyDescent="0.2">
      <c r="A3289" s="8">
        <v>3288</v>
      </c>
      <c r="B3289" s="8" t="s">
        <v>15115</v>
      </c>
      <c r="C3289" s="8" t="s">
        <v>15115</v>
      </c>
      <c r="F3289" s="47" t="s">
        <v>56795</v>
      </c>
      <c r="G3289" s="8">
        <v>15</v>
      </c>
      <c r="H3289" s="8" t="s">
        <v>21</v>
      </c>
      <c r="I3289" s="8" t="s">
        <v>22</v>
      </c>
      <c r="J3289" s="8" t="s">
        <v>22</v>
      </c>
      <c r="K3289" s="8" t="s">
        <v>85</v>
      </c>
      <c r="L3289" s="8" t="s">
        <v>12015</v>
      </c>
      <c r="M3289" s="8" t="s">
        <v>12016</v>
      </c>
      <c r="N3289" s="8" t="s">
        <v>15116</v>
      </c>
      <c r="O3289" s="8">
        <f>10+36/60+25.5/3600</f>
        <v>10.607083333333334</v>
      </c>
      <c r="P3289" s="8" t="s">
        <v>15117</v>
      </c>
      <c r="Q3289" s="8">
        <f>+(58+33/60+22/3600)</f>
        <v>58.556111111111107</v>
      </c>
      <c r="R3289" s="8">
        <v>14</v>
      </c>
      <c r="S3289" s="8">
        <v>14.8</v>
      </c>
      <c r="T3289" s="8">
        <v>0.8</v>
      </c>
      <c r="U3289" s="8">
        <v>13.6</v>
      </c>
      <c r="V3289" s="8">
        <v>0.9</v>
      </c>
      <c r="W3289" s="8">
        <v>0.7</v>
      </c>
      <c r="X3289" s="8">
        <v>175</v>
      </c>
      <c r="Y3289" s="8" t="s">
        <v>15118</v>
      </c>
      <c r="Z3289" s="8" t="s">
        <v>15119</v>
      </c>
    </row>
    <row r="3290" spans="1:26" x14ac:dyDescent="0.2">
      <c r="A3290" s="8">
        <v>3289</v>
      </c>
      <c r="B3290" s="8" t="s">
        <v>15120</v>
      </c>
      <c r="C3290" s="8" t="s">
        <v>15120</v>
      </c>
      <c r="F3290" s="47"/>
      <c r="G3290" s="8">
        <v>16</v>
      </c>
      <c r="H3290" s="8" t="s">
        <v>21</v>
      </c>
      <c r="I3290" s="8" t="s">
        <v>22</v>
      </c>
      <c r="J3290" s="8" t="s">
        <v>22</v>
      </c>
      <c r="K3290" s="8" t="s">
        <v>435</v>
      </c>
      <c r="L3290" s="8" t="s">
        <v>13374</v>
      </c>
      <c r="M3290" s="8" t="s">
        <v>13375</v>
      </c>
      <c r="N3290" s="8" t="s">
        <v>15121</v>
      </c>
      <c r="O3290" s="8">
        <f>10+34/60+7.3/3600</f>
        <v>10.568694444444445</v>
      </c>
      <c r="P3290" s="8" t="s">
        <v>15122</v>
      </c>
      <c r="Q3290" s="8">
        <f>-(35+19/60+23/3600)</f>
        <v>-35.323055555555555</v>
      </c>
      <c r="R3290" s="8">
        <v>12.5</v>
      </c>
      <c r="S3290" s="8">
        <v>13.4</v>
      </c>
      <c r="T3290" s="8">
        <v>0.9</v>
      </c>
      <c r="U3290" s="8">
        <v>12.6</v>
      </c>
      <c r="V3290" s="8">
        <v>2.2000000000000002</v>
      </c>
      <c r="W3290" s="8">
        <v>0.6</v>
      </c>
      <c r="X3290" s="8">
        <v>153</v>
      </c>
      <c r="Y3290" s="8" t="s">
        <v>385</v>
      </c>
      <c r="Z3290" s="8" t="s">
        <v>386</v>
      </c>
    </row>
    <row r="3291" spans="1:26" x14ac:dyDescent="0.2">
      <c r="A3291" s="8">
        <v>3290</v>
      </c>
      <c r="B3291" s="8" t="s">
        <v>15123</v>
      </c>
      <c r="C3291" s="8" t="s">
        <v>15123</v>
      </c>
      <c r="F3291" s="47"/>
      <c r="G3291" s="8">
        <v>19</v>
      </c>
      <c r="H3291" s="8" t="s">
        <v>21</v>
      </c>
      <c r="I3291" s="8" t="s">
        <v>22</v>
      </c>
      <c r="J3291" s="8" t="s">
        <v>22</v>
      </c>
      <c r="K3291" s="8" t="s">
        <v>3407</v>
      </c>
      <c r="L3291" s="8" t="s">
        <v>11765</v>
      </c>
      <c r="M3291" s="8" t="s">
        <v>11766</v>
      </c>
      <c r="N3291" s="8" t="s">
        <v>15124</v>
      </c>
      <c r="O3291" s="8">
        <f>10+35/60+17.5/3600</f>
        <v>10.588194444444445</v>
      </c>
      <c r="P3291" s="8" t="s">
        <v>15125</v>
      </c>
      <c r="Q3291" s="8">
        <f>-(17+16/60+36/3600)</f>
        <v>-17.276666666666667</v>
      </c>
      <c r="R3291" s="8">
        <v>13.5</v>
      </c>
      <c r="S3291" s="8">
        <v>14.3</v>
      </c>
      <c r="T3291" s="8">
        <v>0.8</v>
      </c>
      <c r="U3291" s="8">
        <v>12.6</v>
      </c>
      <c r="V3291" s="8">
        <v>1</v>
      </c>
      <c r="W3291" s="8">
        <v>0.5</v>
      </c>
      <c r="X3291" s="8">
        <v>60</v>
      </c>
      <c r="Y3291" s="8" t="s">
        <v>15126</v>
      </c>
      <c r="Z3291" s="8" t="s">
        <v>15127</v>
      </c>
    </row>
    <row r="3292" spans="1:26" x14ac:dyDescent="0.2">
      <c r="A3292" s="8">
        <v>3291</v>
      </c>
      <c r="B3292" s="8" t="s">
        <v>15128</v>
      </c>
      <c r="C3292" s="8" t="s">
        <v>15128</v>
      </c>
      <c r="F3292" s="47"/>
      <c r="G3292" s="8">
        <v>19</v>
      </c>
      <c r="H3292" s="8" t="s">
        <v>21</v>
      </c>
      <c r="I3292" s="8" t="s">
        <v>72</v>
      </c>
      <c r="J3292" s="8" t="s">
        <v>72</v>
      </c>
      <c r="K3292" s="8" t="s">
        <v>20</v>
      </c>
      <c r="L3292" s="8" t="s">
        <v>13179</v>
      </c>
      <c r="M3292" s="8" t="s">
        <v>13180</v>
      </c>
      <c r="N3292" s="8" t="s">
        <v>15129</v>
      </c>
      <c r="O3292" s="8">
        <f>10+36/60+6.2/3600</f>
        <v>10.601722222222222</v>
      </c>
      <c r="P3292" s="8" t="s">
        <v>15130</v>
      </c>
      <c r="Q3292" s="8">
        <f>+(37+16/60+30/3600)</f>
        <v>37.274999999999999</v>
      </c>
      <c r="R3292" s="8">
        <v>99</v>
      </c>
      <c r="S3292" s="8">
        <v>14.9</v>
      </c>
      <c r="T3292" s="8">
        <v>99</v>
      </c>
      <c r="U3292" s="8">
        <v>99</v>
      </c>
      <c r="Y3292" s="8" t="s">
        <v>15131</v>
      </c>
      <c r="Z3292" s="8" t="s">
        <v>15132</v>
      </c>
    </row>
    <row r="3293" spans="1:26" x14ac:dyDescent="0.2">
      <c r="A3293" s="8">
        <v>3292</v>
      </c>
      <c r="B3293" s="8" t="s">
        <v>15133</v>
      </c>
      <c r="C3293" s="8" t="s">
        <v>15133</v>
      </c>
      <c r="E3293" s="8">
        <v>1</v>
      </c>
      <c r="F3293" s="47"/>
      <c r="G3293" s="8">
        <v>19</v>
      </c>
      <c r="H3293" s="8" t="s">
        <v>21</v>
      </c>
      <c r="I3293" s="8" t="s">
        <v>22</v>
      </c>
      <c r="J3293" s="8" t="s">
        <v>22</v>
      </c>
      <c r="K3293" s="8" t="s">
        <v>37</v>
      </c>
      <c r="L3293" s="8" t="s">
        <v>12234</v>
      </c>
      <c r="M3293" s="8" t="s">
        <v>12235</v>
      </c>
      <c r="N3293" s="8" t="s">
        <v>15134</v>
      </c>
      <c r="O3293" s="8">
        <f>10+35/60+34.4/3600</f>
        <v>10.59288888888889</v>
      </c>
      <c r="P3293" s="8" t="s">
        <v>15135</v>
      </c>
      <c r="Q3293" s="8">
        <f>-(6+10/60+46/3600)</f>
        <v>-6.179444444444445</v>
      </c>
      <c r="R3293" s="8">
        <v>14.1</v>
      </c>
      <c r="S3293" s="8">
        <v>15.1</v>
      </c>
      <c r="T3293" s="8">
        <v>1</v>
      </c>
      <c r="U3293" s="8">
        <v>14</v>
      </c>
      <c r="V3293" s="8">
        <v>1.1000000000000001</v>
      </c>
      <c r="W3293" s="8">
        <v>0.9</v>
      </c>
      <c r="X3293" s="8">
        <v>175</v>
      </c>
      <c r="Y3293" s="8" t="s">
        <v>2500</v>
      </c>
      <c r="Z3293" s="8" t="s">
        <v>2501</v>
      </c>
    </row>
    <row r="3294" spans="1:26" x14ac:dyDescent="0.2">
      <c r="A3294" s="8">
        <v>3293</v>
      </c>
      <c r="B3294" s="8" t="s">
        <v>15136</v>
      </c>
      <c r="C3294" s="8" t="s">
        <v>15136</v>
      </c>
      <c r="F3294" s="47"/>
      <c r="G3294" s="8">
        <v>4</v>
      </c>
      <c r="H3294" s="8" t="s">
        <v>15137</v>
      </c>
      <c r="I3294" s="8" t="s">
        <v>557</v>
      </c>
      <c r="J3294" s="8" t="s">
        <v>557</v>
      </c>
      <c r="K3294" s="8" t="s">
        <v>2262</v>
      </c>
      <c r="L3294" s="8" t="s">
        <v>10135</v>
      </c>
      <c r="M3294" s="8" t="s">
        <v>10136</v>
      </c>
      <c r="N3294" s="8" t="s">
        <v>15138</v>
      </c>
      <c r="O3294" s="8">
        <f>10+35/60+51/3600</f>
        <v>10.5975</v>
      </c>
      <c r="P3294" s="8" t="s">
        <v>15139</v>
      </c>
      <c r="Q3294" s="8">
        <f>-(58+13/60+48/3600)</f>
        <v>-58.230000000000004</v>
      </c>
      <c r="R3294" s="8">
        <v>4.7</v>
      </c>
      <c r="S3294" s="8">
        <v>99</v>
      </c>
      <c r="T3294" s="8">
        <v>99</v>
      </c>
      <c r="U3294" s="8">
        <v>99</v>
      </c>
      <c r="V3294" s="8">
        <v>5</v>
      </c>
      <c r="Y3294" s="8" t="s">
        <v>15140</v>
      </c>
      <c r="Z3294" s="8" t="s">
        <v>15141</v>
      </c>
    </row>
    <row r="3295" spans="1:26" x14ac:dyDescent="0.2">
      <c r="A3295" s="8">
        <v>3294</v>
      </c>
      <c r="B3295" s="8" t="s">
        <v>15142</v>
      </c>
      <c r="C3295" s="8" t="s">
        <v>15142</v>
      </c>
      <c r="F3295" s="47" t="s">
        <v>56796</v>
      </c>
      <c r="G3295" s="8">
        <v>6</v>
      </c>
      <c r="H3295" s="8" t="s">
        <v>21</v>
      </c>
      <c r="I3295" s="8" t="s">
        <v>22</v>
      </c>
      <c r="J3295" s="8" t="s">
        <v>22</v>
      </c>
      <c r="K3295" s="8" t="s">
        <v>160</v>
      </c>
      <c r="L3295" s="8" t="s">
        <v>13179</v>
      </c>
      <c r="M3295" s="8" t="s">
        <v>13180</v>
      </c>
      <c r="N3295" s="8" t="s">
        <v>15143</v>
      </c>
      <c r="O3295" s="8">
        <f>10+36/60+16/3600</f>
        <v>10.604444444444445</v>
      </c>
      <c r="P3295" s="8" t="s">
        <v>15144</v>
      </c>
      <c r="Q3295" s="8">
        <f>+(37+19/60+29/3600)</f>
        <v>37.324722222222228</v>
      </c>
      <c r="R3295" s="8">
        <v>11.8</v>
      </c>
      <c r="S3295" s="8">
        <v>12.2</v>
      </c>
      <c r="T3295" s="8">
        <v>0.4</v>
      </c>
      <c r="U3295" s="8">
        <v>13.6</v>
      </c>
      <c r="V3295" s="8">
        <v>3.4</v>
      </c>
      <c r="W3295" s="8">
        <v>1.8</v>
      </c>
      <c r="X3295" s="8">
        <v>122</v>
      </c>
      <c r="Y3295" s="8" t="s">
        <v>15145</v>
      </c>
      <c r="Z3295" s="8" t="s">
        <v>15146</v>
      </c>
    </row>
    <row r="3296" spans="1:26" x14ac:dyDescent="0.2">
      <c r="A3296" s="8">
        <v>3295</v>
      </c>
      <c r="B3296" s="8" t="s">
        <v>15147</v>
      </c>
      <c r="C3296" s="8" t="s">
        <v>15147</v>
      </c>
      <c r="D3296" s="8" t="s">
        <v>351</v>
      </c>
      <c r="F3296" s="47"/>
      <c r="G3296" s="8">
        <v>19</v>
      </c>
      <c r="H3296" s="8" t="s">
        <v>21</v>
      </c>
      <c r="I3296" s="8" t="s">
        <v>22</v>
      </c>
      <c r="J3296" s="8" t="s">
        <v>57</v>
      </c>
      <c r="K3296" s="8" t="s">
        <v>58</v>
      </c>
      <c r="L3296" s="8" t="s">
        <v>11765</v>
      </c>
      <c r="M3296" s="8" t="s">
        <v>11766</v>
      </c>
      <c r="N3296" s="8" t="s">
        <v>15085</v>
      </c>
      <c r="O3296" s="8">
        <f>10+32/60+43.8/3600</f>
        <v>10.545500000000001</v>
      </c>
      <c r="P3296" s="8" t="s">
        <v>15086</v>
      </c>
      <c r="Q3296" s="8">
        <f>-(12+38/60+12/3600)</f>
        <v>-12.636666666666667</v>
      </c>
      <c r="R3296" s="8">
        <v>14.7</v>
      </c>
      <c r="S3296" s="8">
        <v>15.7</v>
      </c>
      <c r="T3296" s="8">
        <v>1</v>
      </c>
      <c r="U3296" s="8">
        <v>13.6</v>
      </c>
      <c r="V3296" s="8">
        <v>0.7</v>
      </c>
      <c r="W3296" s="8">
        <v>0.5</v>
      </c>
      <c r="X3296" s="8">
        <v>130</v>
      </c>
      <c r="Y3296" s="8" t="s">
        <v>11851</v>
      </c>
      <c r="Z3296" s="8" t="s">
        <v>15148</v>
      </c>
    </row>
    <row r="3297" spans="1:26" x14ac:dyDescent="0.2">
      <c r="A3297" s="8">
        <v>3296</v>
      </c>
      <c r="B3297" s="8" t="s">
        <v>15149</v>
      </c>
      <c r="C3297" s="8" t="s">
        <v>15149</v>
      </c>
      <c r="F3297" s="47"/>
      <c r="G3297" s="8">
        <v>19</v>
      </c>
      <c r="H3297" s="8" t="s">
        <v>21</v>
      </c>
      <c r="I3297" s="8" t="s">
        <v>22</v>
      </c>
      <c r="J3297" s="8" t="s">
        <v>22</v>
      </c>
      <c r="K3297" s="8" t="s">
        <v>460</v>
      </c>
      <c r="L3297" s="8" t="s">
        <v>11765</v>
      </c>
      <c r="M3297" s="8" t="s">
        <v>11766</v>
      </c>
      <c r="N3297" s="8" t="s">
        <v>15150</v>
      </c>
      <c r="O3297" s="8">
        <f>10+32/60+45.3/3600</f>
        <v>10.545916666666667</v>
      </c>
      <c r="P3297" s="8" t="s">
        <v>15151</v>
      </c>
      <c r="Q3297" s="8">
        <f>-(12+43/60+0/3600)</f>
        <v>-12.716666666666667</v>
      </c>
      <c r="R3297" s="8">
        <v>13.9</v>
      </c>
      <c r="S3297" s="8">
        <v>14.9</v>
      </c>
      <c r="T3297" s="8">
        <v>1</v>
      </c>
      <c r="U3297" s="8">
        <v>13.2</v>
      </c>
      <c r="V3297" s="8">
        <v>0.7</v>
      </c>
      <c r="W3297" s="8">
        <v>0.7</v>
      </c>
      <c r="Y3297" s="8" t="s">
        <v>15152</v>
      </c>
      <c r="Z3297" s="8" t="s">
        <v>15153</v>
      </c>
    </row>
    <row r="3298" spans="1:26" x14ac:dyDescent="0.2">
      <c r="A3298" s="8">
        <v>3297</v>
      </c>
      <c r="B3298" s="8" t="s">
        <v>15154</v>
      </c>
      <c r="C3298" s="8" t="s">
        <v>15154</v>
      </c>
      <c r="F3298" s="47"/>
      <c r="G3298" s="8">
        <v>19</v>
      </c>
      <c r="H3298" s="8" t="s">
        <v>21</v>
      </c>
      <c r="I3298" s="8" t="s">
        <v>22</v>
      </c>
      <c r="J3298" s="8" t="s">
        <v>22</v>
      </c>
      <c r="K3298" s="8" t="s">
        <v>37</v>
      </c>
      <c r="L3298" s="8" t="s">
        <v>11765</v>
      </c>
      <c r="M3298" s="8" t="s">
        <v>11766</v>
      </c>
      <c r="N3298" s="8" t="s">
        <v>15155</v>
      </c>
      <c r="O3298" s="8">
        <f>10+33/60+11.7/3600</f>
        <v>10.55325</v>
      </c>
      <c r="P3298" s="8" t="s">
        <v>15156</v>
      </c>
      <c r="Q3298" s="8">
        <f>-(12+40/60+16/3600)</f>
        <v>-12.671111111111111</v>
      </c>
      <c r="R3298" s="8">
        <v>14.5</v>
      </c>
      <c r="S3298" s="8">
        <v>15.5</v>
      </c>
      <c r="T3298" s="8">
        <v>1</v>
      </c>
      <c r="U3298" s="8">
        <v>13.4</v>
      </c>
      <c r="V3298" s="8">
        <v>0.8</v>
      </c>
      <c r="W3298" s="8">
        <v>0.5</v>
      </c>
      <c r="X3298" s="8">
        <v>160</v>
      </c>
      <c r="Y3298" s="8" t="s">
        <v>14218</v>
      </c>
      <c r="Z3298" s="8" t="s">
        <v>14219</v>
      </c>
    </row>
    <row r="3299" spans="1:26" x14ac:dyDescent="0.2">
      <c r="A3299" s="8">
        <v>3298</v>
      </c>
      <c r="B3299" s="8" t="s">
        <v>15157</v>
      </c>
      <c r="C3299" s="8" t="s">
        <v>15157</v>
      </c>
      <c r="F3299" s="47" t="s">
        <v>56797</v>
      </c>
      <c r="G3299" s="8">
        <v>15</v>
      </c>
      <c r="H3299" s="8" t="s">
        <v>21</v>
      </c>
      <c r="I3299" s="8" t="s">
        <v>22</v>
      </c>
      <c r="J3299" s="8" t="s">
        <v>22</v>
      </c>
      <c r="K3299" s="8" t="s">
        <v>58</v>
      </c>
      <c r="L3299" s="8" t="s">
        <v>12015</v>
      </c>
      <c r="M3299" s="8" t="s">
        <v>12016</v>
      </c>
      <c r="N3299" s="8" t="s">
        <v>15158</v>
      </c>
      <c r="O3299" s="8">
        <f>10+37/60+12.2/3600</f>
        <v>10.620055555555556</v>
      </c>
      <c r="P3299" s="8" t="s">
        <v>15159</v>
      </c>
      <c r="Q3299" s="8">
        <f>+(50+7/60+13/3600)</f>
        <v>50.12027777777778</v>
      </c>
      <c r="R3299" s="8">
        <v>13.9</v>
      </c>
      <c r="S3299" s="8">
        <v>14.9</v>
      </c>
      <c r="T3299" s="8">
        <v>1</v>
      </c>
      <c r="U3299" s="8">
        <v>13.3</v>
      </c>
      <c r="V3299" s="8">
        <v>0.9</v>
      </c>
      <c r="W3299" s="8">
        <v>0.6</v>
      </c>
      <c r="X3299" s="8">
        <v>138</v>
      </c>
      <c r="Y3299" s="8" t="s">
        <v>15160</v>
      </c>
      <c r="Z3299" s="8" t="s">
        <v>15161</v>
      </c>
    </row>
    <row r="3300" spans="1:26" x14ac:dyDescent="0.2">
      <c r="A3300" s="8">
        <v>3299</v>
      </c>
      <c r="B3300" s="8" t="s">
        <v>15162</v>
      </c>
      <c r="C3300" s="8" t="s">
        <v>15162</v>
      </c>
      <c r="F3300" s="47" t="s">
        <v>56798</v>
      </c>
      <c r="G3300" s="8">
        <v>15</v>
      </c>
      <c r="H3300" s="8" t="s">
        <v>21</v>
      </c>
      <c r="I3300" s="8" t="s">
        <v>22</v>
      </c>
      <c r="J3300" s="8" t="s">
        <v>22</v>
      </c>
      <c r="K3300" s="8" t="s">
        <v>773</v>
      </c>
      <c r="L3300" s="8" t="s">
        <v>13194</v>
      </c>
      <c r="M3300" s="8" t="s">
        <v>13195</v>
      </c>
      <c r="N3300" s="8" t="s">
        <v>15163</v>
      </c>
      <c r="O3300" s="8">
        <f>10+36/60+23.9/3600</f>
        <v>10.606638888888888</v>
      </c>
      <c r="P3300" s="8" t="s">
        <v>15164</v>
      </c>
      <c r="Q3300" s="8">
        <f>+(12+42/60+26/3600)</f>
        <v>12.707222222222221</v>
      </c>
      <c r="R3300" s="8">
        <v>12.7</v>
      </c>
      <c r="S3300" s="8">
        <v>13.3</v>
      </c>
      <c r="T3300" s="8">
        <v>0.6</v>
      </c>
      <c r="U3300" s="8">
        <v>14</v>
      </c>
      <c r="V3300" s="8">
        <v>2.2000000000000002</v>
      </c>
      <c r="W3300" s="8">
        <v>1.7</v>
      </c>
      <c r="X3300" s="8">
        <v>3</v>
      </c>
      <c r="Y3300" s="8" t="s">
        <v>15165</v>
      </c>
      <c r="Z3300" s="8" t="s">
        <v>15166</v>
      </c>
    </row>
    <row r="3301" spans="1:26" x14ac:dyDescent="0.2">
      <c r="A3301" s="8">
        <v>3300</v>
      </c>
      <c r="B3301" s="8" t="s">
        <v>15167</v>
      </c>
      <c r="C3301" s="8" t="s">
        <v>15167</v>
      </c>
      <c r="F3301" s="47" t="s">
        <v>56799</v>
      </c>
      <c r="G3301" s="8">
        <v>13</v>
      </c>
      <c r="H3301" s="8" t="s">
        <v>21</v>
      </c>
      <c r="I3301" s="8" t="s">
        <v>22</v>
      </c>
      <c r="J3301" s="8" t="s">
        <v>22</v>
      </c>
      <c r="K3301" s="8" t="s">
        <v>224</v>
      </c>
      <c r="L3301" s="8" t="s">
        <v>13194</v>
      </c>
      <c r="M3301" s="8" t="s">
        <v>13195</v>
      </c>
      <c r="N3301" s="8" t="s">
        <v>15168</v>
      </c>
      <c r="O3301" s="8">
        <f>10+36/60+38.5/3600</f>
        <v>10.610694444444444</v>
      </c>
      <c r="P3301" s="8" t="s">
        <v>15169</v>
      </c>
      <c r="Q3301" s="8">
        <f>+(14+10/60+16/3600)</f>
        <v>14.171111111111111</v>
      </c>
      <c r="R3301" s="8">
        <v>12.1</v>
      </c>
      <c r="S3301" s="8">
        <v>13.1</v>
      </c>
      <c r="T3301" s="8">
        <v>1</v>
      </c>
      <c r="U3301" s="8">
        <v>12.7</v>
      </c>
      <c r="V3301" s="8">
        <v>1.7</v>
      </c>
      <c r="W3301" s="8">
        <v>0.9</v>
      </c>
      <c r="X3301" s="8">
        <v>173</v>
      </c>
      <c r="Y3301" s="8" t="s">
        <v>15170</v>
      </c>
      <c r="Z3301" s="8" t="s">
        <v>15171</v>
      </c>
    </row>
    <row r="3302" spans="1:26" x14ac:dyDescent="0.2">
      <c r="A3302" s="8">
        <v>3301</v>
      </c>
      <c r="B3302" s="8" t="s">
        <v>15172</v>
      </c>
      <c r="C3302" s="8" t="s">
        <v>15172</v>
      </c>
      <c r="F3302" s="47" t="s">
        <v>56800</v>
      </c>
      <c r="G3302" s="8">
        <v>6.5</v>
      </c>
      <c r="H3302" s="8" t="s">
        <v>21</v>
      </c>
      <c r="I3302" s="8" t="s">
        <v>22</v>
      </c>
      <c r="J3302" s="8" t="s">
        <v>22</v>
      </c>
      <c r="K3302" s="8" t="s">
        <v>435</v>
      </c>
      <c r="L3302" s="8" t="s">
        <v>13194</v>
      </c>
      <c r="M3302" s="8" t="s">
        <v>13195</v>
      </c>
      <c r="N3302" s="8" t="s">
        <v>15173</v>
      </c>
      <c r="O3302" s="8">
        <f>10+36/60+55.8/3600</f>
        <v>10.615499999999999</v>
      </c>
      <c r="P3302" s="8" t="s">
        <v>15174</v>
      </c>
      <c r="Q3302" s="8">
        <f>+(21+52/60+54/3600)</f>
        <v>21.881666666666668</v>
      </c>
      <c r="R3302" s="8">
        <v>11.4</v>
      </c>
      <c r="S3302" s="8">
        <v>12.3</v>
      </c>
      <c r="T3302" s="8">
        <v>0.9</v>
      </c>
      <c r="U3302" s="8">
        <v>12.7</v>
      </c>
      <c r="V3302" s="8">
        <v>3.3</v>
      </c>
      <c r="W3302" s="8">
        <v>1</v>
      </c>
      <c r="X3302" s="8">
        <v>52</v>
      </c>
      <c r="Y3302" s="8" t="s">
        <v>21</v>
      </c>
      <c r="Z3302" s="8" t="s">
        <v>15175</v>
      </c>
    </row>
    <row r="3303" spans="1:26" x14ac:dyDescent="0.2">
      <c r="A3303" s="8">
        <v>3302</v>
      </c>
      <c r="B3303" s="8" t="s">
        <v>15176</v>
      </c>
      <c r="C3303" s="8" t="s">
        <v>15176</v>
      </c>
      <c r="F3303" s="47"/>
      <c r="G3303" s="8">
        <v>16</v>
      </c>
      <c r="H3303" s="8" t="s">
        <v>21</v>
      </c>
      <c r="I3303" s="8" t="s">
        <v>22</v>
      </c>
      <c r="J3303" s="8" t="s">
        <v>22</v>
      </c>
      <c r="K3303" s="8" t="s">
        <v>37</v>
      </c>
      <c r="L3303" s="8" t="s">
        <v>13374</v>
      </c>
      <c r="M3303" s="8" t="s">
        <v>13375</v>
      </c>
      <c r="N3303" s="8" t="s">
        <v>15177</v>
      </c>
      <c r="O3303" s="8">
        <f>10+35/60+47.4/3600</f>
        <v>10.596500000000001</v>
      </c>
      <c r="P3303" s="8" t="s">
        <v>15178</v>
      </c>
      <c r="Q3303" s="8">
        <f>-(32+21/60+30/3600)</f>
        <v>-32.358333333333334</v>
      </c>
      <c r="R3303" s="8">
        <v>12.3</v>
      </c>
      <c r="S3303" s="8">
        <v>13.3</v>
      </c>
      <c r="T3303" s="8">
        <v>1</v>
      </c>
      <c r="U3303" s="8">
        <v>12.9</v>
      </c>
      <c r="V3303" s="8">
        <v>1.6</v>
      </c>
      <c r="W3303" s="8">
        <v>1.2</v>
      </c>
      <c r="X3303" s="8">
        <v>118</v>
      </c>
      <c r="Y3303" s="8" t="s">
        <v>227</v>
      </c>
      <c r="Z3303" s="8" t="s">
        <v>228</v>
      </c>
    </row>
    <row r="3304" spans="1:26" x14ac:dyDescent="0.2">
      <c r="A3304" s="8">
        <v>3303</v>
      </c>
      <c r="B3304" s="8" t="s">
        <v>15179</v>
      </c>
      <c r="C3304" s="8" t="s">
        <v>15179</v>
      </c>
      <c r="F3304" s="47" t="s">
        <v>56801</v>
      </c>
      <c r="G3304" s="8">
        <v>15</v>
      </c>
      <c r="H3304" s="8" t="s">
        <v>21</v>
      </c>
      <c r="I3304" s="8" t="s">
        <v>22</v>
      </c>
      <c r="J3304" s="8" t="s">
        <v>22</v>
      </c>
      <c r="K3304" s="8" t="s">
        <v>2556</v>
      </c>
      <c r="L3304" s="8" t="s">
        <v>13194</v>
      </c>
      <c r="M3304" s="8" t="s">
        <v>13195</v>
      </c>
      <c r="N3304" s="8" t="s">
        <v>15180</v>
      </c>
      <c r="O3304" s="8">
        <f>10+36/60+59.9/3600</f>
        <v>10.616638888888888</v>
      </c>
      <c r="P3304" s="8" t="s">
        <v>15181</v>
      </c>
      <c r="Q3304" s="8">
        <f>+(18+8/60+13/3600)</f>
        <v>18.136944444444445</v>
      </c>
      <c r="R3304" s="8">
        <v>13.7</v>
      </c>
      <c r="S3304" s="8">
        <v>14.5</v>
      </c>
      <c r="T3304" s="8">
        <v>0.8</v>
      </c>
      <c r="U3304" s="8">
        <v>15</v>
      </c>
      <c r="V3304" s="8">
        <v>1.7</v>
      </c>
      <c r="W3304" s="8">
        <v>1.3</v>
      </c>
      <c r="X3304" s="8">
        <v>165</v>
      </c>
      <c r="Y3304" s="8" t="s">
        <v>15182</v>
      </c>
      <c r="Z3304" s="8" t="s">
        <v>15183</v>
      </c>
    </row>
    <row r="3305" spans="1:26" x14ac:dyDescent="0.2">
      <c r="A3305" s="8">
        <v>3304</v>
      </c>
      <c r="B3305" s="8" t="s">
        <v>15184</v>
      </c>
      <c r="C3305" s="8" t="s">
        <v>15184</v>
      </c>
      <c r="F3305" s="47" t="s">
        <v>56802</v>
      </c>
      <c r="G3305" s="8">
        <v>15</v>
      </c>
      <c r="H3305" s="8" t="s">
        <v>21</v>
      </c>
      <c r="I3305" s="8" t="s">
        <v>22</v>
      </c>
      <c r="J3305" s="8" t="s">
        <v>22</v>
      </c>
      <c r="K3305" s="8" t="s">
        <v>154</v>
      </c>
      <c r="L3305" s="8" t="s">
        <v>13179</v>
      </c>
      <c r="M3305" s="8" t="s">
        <v>13180</v>
      </c>
      <c r="N3305" s="8" t="s">
        <v>15185</v>
      </c>
      <c r="O3305" s="8">
        <f>10+37/60+37.9/3600</f>
        <v>10.627194444444445</v>
      </c>
      <c r="P3305" s="8" t="s">
        <v>15186</v>
      </c>
      <c r="Q3305" s="8">
        <f>+(37+27/60+23/3600)</f>
        <v>37.456388888888888</v>
      </c>
      <c r="R3305" s="8">
        <v>13.4</v>
      </c>
      <c r="S3305" s="8">
        <v>14.3</v>
      </c>
      <c r="T3305" s="8">
        <v>0.9</v>
      </c>
      <c r="U3305" s="8">
        <v>13.3</v>
      </c>
      <c r="V3305" s="8">
        <v>1.7</v>
      </c>
      <c r="W3305" s="8">
        <v>0.6</v>
      </c>
      <c r="X3305" s="8">
        <v>158</v>
      </c>
      <c r="Y3305" s="8" t="s">
        <v>15187</v>
      </c>
      <c r="Z3305" s="8" t="s">
        <v>15188</v>
      </c>
    </row>
    <row r="3306" spans="1:26" x14ac:dyDescent="0.2">
      <c r="A3306" s="8">
        <v>3305</v>
      </c>
      <c r="B3306" s="8" t="s">
        <v>15189</v>
      </c>
      <c r="C3306" s="8" t="s">
        <v>15189</v>
      </c>
      <c r="F3306" s="47"/>
      <c r="G3306" s="8">
        <v>16</v>
      </c>
      <c r="H3306" s="8" t="s">
        <v>21</v>
      </c>
      <c r="I3306" s="8" t="s">
        <v>22</v>
      </c>
      <c r="J3306" s="8" t="s">
        <v>22</v>
      </c>
      <c r="K3306" s="8" t="s">
        <v>460</v>
      </c>
      <c r="L3306" s="8" t="s">
        <v>11765</v>
      </c>
      <c r="M3306" s="8" t="s">
        <v>11766</v>
      </c>
      <c r="N3306" s="8" t="s">
        <v>15190</v>
      </c>
      <c r="O3306" s="8">
        <f>10+36/60+11.7/3600</f>
        <v>10.603249999999999</v>
      </c>
      <c r="P3306" s="8" t="s">
        <v>15191</v>
      </c>
      <c r="Q3306" s="8">
        <f>-(27+9/60+44/3600)</f>
        <v>-27.162222222222219</v>
      </c>
      <c r="R3306" s="8">
        <v>12.7</v>
      </c>
      <c r="S3306" s="8">
        <v>13.8</v>
      </c>
      <c r="T3306" s="8">
        <v>1.1000000000000001</v>
      </c>
      <c r="U3306" s="8">
        <v>12.9</v>
      </c>
      <c r="V3306" s="8">
        <v>1.1000000000000001</v>
      </c>
      <c r="W3306" s="8">
        <v>1.1000000000000001</v>
      </c>
      <c r="Y3306" s="8" t="s">
        <v>21</v>
      </c>
      <c r="Z3306" s="8" t="s">
        <v>15192</v>
      </c>
    </row>
    <row r="3307" spans="1:26" x14ac:dyDescent="0.2">
      <c r="A3307" s="8">
        <v>3306</v>
      </c>
      <c r="B3307" s="8" t="s">
        <v>15193</v>
      </c>
      <c r="C3307" s="8" t="s">
        <v>15193</v>
      </c>
      <c r="F3307" s="47"/>
      <c r="G3307" s="8">
        <v>19</v>
      </c>
      <c r="H3307" s="8" t="s">
        <v>21</v>
      </c>
      <c r="I3307" s="8" t="s">
        <v>22</v>
      </c>
      <c r="J3307" s="8" t="s">
        <v>22</v>
      </c>
      <c r="K3307" s="8" t="s">
        <v>323</v>
      </c>
      <c r="L3307" s="8" t="s">
        <v>13194</v>
      </c>
      <c r="M3307" s="8" t="s">
        <v>13195</v>
      </c>
      <c r="N3307" s="8" t="s">
        <v>15194</v>
      </c>
      <c r="O3307" s="8">
        <f>10+37/60+10.1/3600</f>
        <v>10.619472222222223</v>
      </c>
      <c r="P3307" s="8" t="s">
        <v>15195</v>
      </c>
      <c r="Q3307" s="8">
        <f>+(12+39/60+9/3600)</f>
        <v>12.6525</v>
      </c>
      <c r="R3307" s="8">
        <v>13.4</v>
      </c>
      <c r="S3307" s="8">
        <v>14</v>
      </c>
      <c r="T3307" s="8">
        <v>0.6</v>
      </c>
      <c r="U3307" s="8">
        <v>12.8</v>
      </c>
      <c r="V3307" s="8">
        <v>1.4</v>
      </c>
      <c r="W3307" s="8">
        <v>0.5</v>
      </c>
      <c r="X3307" s="8">
        <v>141</v>
      </c>
      <c r="Y3307" s="8" t="s">
        <v>895</v>
      </c>
      <c r="Z3307" s="8" t="s">
        <v>896</v>
      </c>
    </row>
    <row r="3308" spans="1:26" x14ac:dyDescent="0.2">
      <c r="A3308" s="8">
        <v>3307</v>
      </c>
      <c r="B3308" s="8" t="s">
        <v>15196</v>
      </c>
      <c r="C3308" s="8" t="s">
        <v>15196</v>
      </c>
      <c r="F3308" s="47"/>
      <c r="G3308" s="8">
        <v>16</v>
      </c>
      <c r="H3308" s="8" t="s">
        <v>21</v>
      </c>
      <c r="I3308" s="8" t="s">
        <v>22</v>
      </c>
      <c r="J3308" s="8" t="s">
        <v>22</v>
      </c>
      <c r="K3308" s="8" t="s">
        <v>435</v>
      </c>
      <c r="L3308" s="8" t="s">
        <v>11765</v>
      </c>
      <c r="M3308" s="8" t="s">
        <v>11766</v>
      </c>
      <c r="N3308" s="8" t="s">
        <v>15197</v>
      </c>
      <c r="O3308" s="8">
        <f>10+36/60+17.2/3600</f>
        <v>10.604777777777777</v>
      </c>
      <c r="P3308" s="8" t="s">
        <v>15198</v>
      </c>
      <c r="Q3308" s="8">
        <f>-(27+31/60+44/3600)</f>
        <v>-27.528888888888886</v>
      </c>
      <c r="R3308" s="8">
        <v>13.5</v>
      </c>
      <c r="S3308" s="8">
        <v>14.5</v>
      </c>
      <c r="T3308" s="8">
        <v>1</v>
      </c>
      <c r="U3308" s="8">
        <v>13.1</v>
      </c>
      <c r="V3308" s="8">
        <v>0.9</v>
      </c>
      <c r="W3308" s="8">
        <v>0.3</v>
      </c>
      <c r="X3308" s="8">
        <v>28</v>
      </c>
      <c r="Y3308" s="8" t="s">
        <v>21</v>
      </c>
      <c r="Z3308" s="8" t="s">
        <v>15199</v>
      </c>
    </row>
    <row r="3309" spans="1:26" x14ac:dyDescent="0.2">
      <c r="A3309" s="8">
        <v>3308</v>
      </c>
      <c r="B3309" s="8" t="s">
        <v>15200</v>
      </c>
      <c r="C3309" s="8" t="s">
        <v>15200</v>
      </c>
      <c r="F3309" s="47"/>
      <c r="G3309" s="8">
        <v>16</v>
      </c>
      <c r="H3309" s="8" t="s">
        <v>21</v>
      </c>
      <c r="I3309" s="8" t="s">
        <v>22</v>
      </c>
      <c r="J3309" s="8" t="s">
        <v>22</v>
      </c>
      <c r="K3309" s="8" t="s">
        <v>118</v>
      </c>
      <c r="L3309" s="8" t="s">
        <v>11765</v>
      </c>
      <c r="M3309" s="8" t="s">
        <v>11766</v>
      </c>
      <c r="N3309" s="8" t="s">
        <v>15201</v>
      </c>
      <c r="O3309" s="8">
        <f>10+36/60+22.3/3600</f>
        <v>10.606194444444444</v>
      </c>
      <c r="P3309" s="8" t="s">
        <v>15202</v>
      </c>
      <c r="Q3309" s="8">
        <f>-(27+26/60+14/3600)</f>
        <v>-27.437222222222221</v>
      </c>
      <c r="R3309" s="8">
        <v>11.9</v>
      </c>
      <c r="S3309" s="8">
        <v>12.9</v>
      </c>
      <c r="T3309" s="8">
        <v>1</v>
      </c>
      <c r="U3309" s="8">
        <v>12.7</v>
      </c>
      <c r="V3309" s="8">
        <v>1.7</v>
      </c>
      <c r="W3309" s="8">
        <v>1.3</v>
      </c>
      <c r="X3309" s="8">
        <v>32</v>
      </c>
      <c r="Y3309" s="8" t="s">
        <v>21</v>
      </c>
      <c r="Z3309" s="8" t="s">
        <v>15203</v>
      </c>
    </row>
    <row r="3310" spans="1:26" x14ac:dyDescent="0.2">
      <c r="A3310" s="8">
        <v>3309</v>
      </c>
      <c r="B3310" s="8" t="s">
        <v>15204</v>
      </c>
      <c r="C3310" s="8" t="s">
        <v>15204</v>
      </c>
      <c r="F3310" s="47"/>
      <c r="G3310" s="8">
        <v>13</v>
      </c>
      <c r="H3310" s="8" t="s">
        <v>21</v>
      </c>
      <c r="I3310" s="8" t="s">
        <v>22</v>
      </c>
      <c r="J3310" s="8" t="s">
        <v>22</v>
      </c>
      <c r="K3310" s="8" t="s">
        <v>382</v>
      </c>
      <c r="L3310" s="8" t="s">
        <v>11765</v>
      </c>
      <c r="M3310" s="8" t="s">
        <v>11766</v>
      </c>
      <c r="N3310" s="8" t="s">
        <v>15205</v>
      </c>
      <c r="O3310" s="8">
        <f>10+36/60+35.7/3600</f>
        <v>10.609916666666667</v>
      </c>
      <c r="P3310" s="8" t="s">
        <v>15206</v>
      </c>
      <c r="Q3310" s="8">
        <f>-(27+31/60+3/3600)</f>
        <v>-27.517499999999998</v>
      </c>
      <c r="R3310" s="8">
        <v>11.6</v>
      </c>
      <c r="S3310" s="8">
        <v>12.6</v>
      </c>
      <c r="T3310" s="8">
        <v>1</v>
      </c>
      <c r="U3310" s="8">
        <v>12.8</v>
      </c>
      <c r="V3310" s="8">
        <v>1.9</v>
      </c>
      <c r="W3310" s="8">
        <v>1.6</v>
      </c>
      <c r="X3310" s="8">
        <v>31</v>
      </c>
      <c r="Y3310" s="8" t="s">
        <v>21</v>
      </c>
      <c r="Z3310" s="8" t="s">
        <v>15207</v>
      </c>
    </row>
    <row r="3311" spans="1:26" x14ac:dyDescent="0.2">
      <c r="A3311" s="8">
        <v>3310</v>
      </c>
      <c r="B3311" s="8" t="s">
        <v>15208</v>
      </c>
      <c r="C3311" s="8" t="s">
        <v>15208</v>
      </c>
      <c r="F3311" s="47" t="s">
        <v>56803</v>
      </c>
      <c r="G3311" s="8">
        <v>6</v>
      </c>
      <c r="H3311" s="8" t="s">
        <v>21</v>
      </c>
      <c r="I3311" s="8" t="s">
        <v>22</v>
      </c>
      <c r="J3311" s="8" t="s">
        <v>22</v>
      </c>
      <c r="K3311" s="8" t="s">
        <v>3407</v>
      </c>
      <c r="L3311" s="8" t="s">
        <v>12015</v>
      </c>
      <c r="M3311" s="8" t="s">
        <v>12016</v>
      </c>
      <c r="N3311" s="8" t="s">
        <v>15209</v>
      </c>
      <c r="O3311" s="8">
        <f>10+38/60+45.6/3600</f>
        <v>10.645999999999999</v>
      </c>
      <c r="P3311" s="8" t="s">
        <v>15210</v>
      </c>
      <c r="Q3311" s="8">
        <f>+(53+30/60+12/3600)</f>
        <v>53.50333333333333</v>
      </c>
      <c r="R3311" s="8">
        <v>10.8</v>
      </c>
      <c r="S3311" s="8">
        <v>11.2</v>
      </c>
      <c r="T3311" s="8">
        <v>0.4</v>
      </c>
      <c r="U3311" s="8">
        <v>12.8</v>
      </c>
      <c r="V3311" s="8">
        <v>3.1</v>
      </c>
      <c r="W3311" s="8">
        <v>2.4</v>
      </c>
      <c r="X3311" s="8">
        <v>156</v>
      </c>
      <c r="Y3311" s="8" t="s">
        <v>21</v>
      </c>
      <c r="Z3311" s="8" t="s">
        <v>15211</v>
      </c>
    </row>
    <row r="3312" spans="1:26" x14ac:dyDescent="0.2">
      <c r="A3312" s="8">
        <v>3311</v>
      </c>
      <c r="B3312" s="8" t="s">
        <v>15212</v>
      </c>
      <c r="C3312" s="8" t="s">
        <v>15212</v>
      </c>
      <c r="F3312" s="47"/>
      <c r="G3312" s="8">
        <v>13</v>
      </c>
      <c r="H3312" s="8" t="s">
        <v>21</v>
      </c>
      <c r="I3312" s="8" t="s">
        <v>22</v>
      </c>
      <c r="J3312" s="8" t="s">
        <v>22</v>
      </c>
      <c r="K3312" s="8" t="s">
        <v>58</v>
      </c>
      <c r="L3312" s="8" t="s">
        <v>11765</v>
      </c>
      <c r="M3312" s="8" t="s">
        <v>11766</v>
      </c>
      <c r="N3312" s="8" t="s">
        <v>15213</v>
      </c>
      <c r="O3312" s="8">
        <f>10+36/60+42.7/3600</f>
        <v>10.611861111111111</v>
      </c>
      <c r="P3312" s="8" t="s">
        <v>10988</v>
      </c>
      <c r="Q3312" s="8">
        <f>-(27+31/60+43/3600)</f>
        <v>-27.528611111111111</v>
      </c>
      <c r="R3312" s="8">
        <v>11.7</v>
      </c>
      <c r="S3312" s="8">
        <v>12.7</v>
      </c>
      <c r="T3312" s="8">
        <v>1</v>
      </c>
      <c r="U3312" s="8">
        <v>14.1</v>
      </c>
      <c r="V3312" s="8">
        <v>2.2999999999999998</v>
      </c>
      <c r="W3312" s="8">
        <v>2.1</v>
      </c>
      <c r="X3312" s="8">
        <v>19</v>
      </c>
      <c r="Y3312" s="8" t="s">
        <v>21</v>
      </c>
      <c r="Z3312" s="8" t="s">
        <v>15214</v>
      </c>
    </row>
    <row r="3313" spans="1:26" x14ac:dyDescent="0.2">
      <c r="A3313" s="8">
        <v>3312</v>
      </c>
      <c r="B3313" s="8" t="s">
        <v>15215</v>
      </c>
      <c r="C3313" s="8" t="s">
        <v>15215</v>
      </c>
      <c r="F3313" s="47"/>
      <c r="G3313" s="8">
        <v>13</v>
      </c>
      <c r="H3313" s="8" t="s">
        <v>21</v>
      </c>
      <c r="I3313" s="8" t="s">
        <v>22</v>
      </c>
      <c r="J3313" s="8" t="s">
        <v>22</v>
      </c>
      <c r="K3313" s="8" t="s">
        <v>23</v>
      </c>
      <c r="L3313" s="8" t="s">
        <v>11765</v>
      </c>
      <c r="M3313" s="8" t="s">
        <v>11766</v>
      </c>
      <c r="N3313" s="8" t="s">
        <v>15216</v>
      </c>
      <c r="O3313" s="8">
        <f>10+37/60+2.3/3600</f>
        <v>10.617305555555555</v>
      </c>
      <c r="P3313" s="8" t="s">
        <v>15217</v>
      </c>
      <c r="Q3313" s="8">
        <f>-(27+33/60+56/3600)</f>
        <v>-27.565555555555555</v>
      </c>
      <c r="R3313" s="8">
        <v>11.9</v>
      </c>
      <c r="S3313" s="8">
        <v>12.7</v>
      </c>
      <c r="T3313" s="8">
        <v>0.8</v>
      </c>
      <c r="U3313" s="8">
        <v>13.2</v>
      </c>
      <c r="V3313" s="8">
        <v>3.3</v>
      </c>
      <c r="W3313" s="8">
        <v>1.2</v>
      </c>
      <c r="X3313" s="8">
        <v>175</v>
      </c>
      <c r="Y3313" s="8" t="s">
        <v>21</v>
      </c>
      <c r="Z3313" s="8" t="s">
        <v>15218</v>
      </c>
    </row>
    <row r="3314" spans="1:26" x14ac:dyDescent="0.2">
      <c r="A3314" s="8">
        <v>3313</v>
      </c>
      <c r="B3314" s="8" t="s">
        <v>15219</v>
      </c>
      <c r="C3314" s="8" t="s">
        <v>15219</v>
      </c>
      <c r="F3314" s="47"/>
      <c r="G3314" s="8">
        <v>19</v>
      </c>
      <c r="H3314" s="8" t="s">
        <v>21</v>
      </c>
      <c r="I3314" s="8" t="s">
        <v>22</v>
      </c>
      <c r="J3314" s="8" t="s">
        <v>22</v>
      </c>
      <c r="K3314" s="8" t="s">
        <v>406</v>
      </c>
      <c r="L3314" s="8" t="s">
        <v>11765</v>
      </c>
      <c r="M3314" s="8" t="s">
        <v>11766</v>
      </c>
      <c r="N3314" s="8" t="s">
        <v>15220</v>
      </c>
      <c r="O3314" s="8">
        <f>10+37/60+25.5/3600</f>
        <v>10.623750000000001</v>
      </c>
      <c r="P3314" s="8" t="s">
        <v>15221</v>
      </c>
      <c r="Q3314" s="8">
        <f>-(25+19/60+8/3600)</f>
        <v>-25.318888888888889</v>
      </c>
      <c r="R3314" s="8">
        <v>11.4</v>
      </c>
      <c r="S3314" s="8">
        <v>12.2</v>
      </c>
      <c r="T3314" s="8">
        <v>0.8</v>
      </c>
      <c r="U3314" s="8">
        <v>14</v>
      </c>
      <c r="V3314" s="8">
        <v>3.9</v>
      </c>
      <c r="W3314" s="8">
        <v>3.2</v>
      </c>
      <c r="X3314" s="8">
        <v>55</v>
      </c>
      <c r="Y3314" s="8" t="s">
        <v>21</v>
      </c>
      <c r="Z3314" s="8" t="s">
        <v>15222</v>
      </c>
    </row>
    <row r="3315" spans="1:26" x14ac:dyDescent="0.2">
      <c r="A3315" s="8">
        <v>3314</v>
      </c>
      <c r="B3315" s="8" t="s">
        <v>15223</v>
      </c>
      <c r="C3315" s="8" t="s">
        <v>15223</v>
      </c>
      <c r="D3315" s="8" t="s">
        <v>351</v>
      </c>
      <c r="F3315" s="47"/>
      <c r="G3315" s="8">
        <v>16</v>
      </c>
      <c r="H3315" s="8" t="s">
        <v>21</v>
      </c>
      <c r="I3315" s="8" t="s">
        <v>22</v>
      </c>
      <c r="J3315" s="8" t="s">
        <v>22</v>
      </c>
      <c r="K3315" s="8" t="s">
        <v>7975</v>
      </c>
      <c r="L3315" s="8" t="s">
        <v>11765</v>
      </c>
      <c r="M3315" s="8" t="s">
        <v>11766</v>
      </c>
      <c r="N3315" s="8" t="s">
        <v>15224</v>
      </c>
      <c r="O3315" s="8">
        <f>10+37/60+12.7/3600</f>
        <v>10.620194444444445</v>
      </c>
      <c r="P3315" s="8" t="s">
        <v>15225</v>
      </c>
      <c r="Q3315" s="8">
        <f>-(27+41/60+0/3600)</f>
        <v>-27.683333333333334</v>
      </c>
      <c r="R3315" s="8">
        <v>13.1</v>
      </c>
      <c r="S3315" s="8">
        <v>14.1</v>
      </c>
      <c r="T3315" s="8">
        <v>1</v>
      </c>
      <c r="U3315" s="8">
        <v>12.6</v>
      </c>
      <c r="V3315" s="8">
        <v>1.5</v>
      </c>
      <c r="W3315" s="8">
        <v>0.5</v>
      </c>
      <c r="X3315" s="8">
        <v>143</v>
      </c>
      <c r="Y3315" s="8" t="s">
        <v>15226</v>
      </c>
      <c r="Z3315" s="8" t="s">
        <v>15227</v>
      </c>
    </row>
    <row r="3316" spans="1:26" x14ac:dyDescent="0.2">
      <c r="A3316" s="8">
        <v>3315</v>
      </c>
      <c r="B3316" s="8" t="s">
        <v>15228</v>
      </c>
      <c r="C3316" s="8" t="s">
        <v>15228</v>
      </c>
      <c r="F3316" s="47"/>
      <c r="G3316" s="8">
        <v>19</v>
      </c>
      <c r="H3316" s="8" t="s">
        <v>21</v>
      </c>
      <c r="I3316" s="8" t="s">
        <v>22</v>
      </c>
      <c r="J3316" s="8" t="s">
        <v>22</v>
      </c>
      <c r="K3316" s="8" t="s">
        <v>58</v>
      </c>
      <c r="L3316" s="8" t="s">
        <v>11765</v>
      </c>
      <c r="M3316" s="8" t="s">
        <v>11766</v>
      </c>
      <c r="N3316" s="8" t="s">
        <v>15229</v>
      </c>
      <c r="O3316" s="8">
        <f>10+37/60+19.2/3600</f>
        <v>10.622</v>
      </c>
      <c r="P3316" s="8" t="s">
        <v>15230</v>
      </c>
      <c r="Q3316" s="8">
        <f>-(27+11/60+30/3600)</f>
        <v>-27.191666666666666</v>
      </c>
      <c r="R3316" s="8">
        <v>13.3</v>
      </c>
      <c r="S3316" s="8">
        <v>14.4</v>
      </c>
      <c r="T3316" s="8">
        <v>1.1000000000000001</v>
      </c>
      <c r="U3316" s="8">
        <v>13.3</v>
      </c>
      <c r="V3316" s="8">
        <v>1.1000000000000001</v>
      </c>
      <c r="W3316" s="8">
        <v>1</v>
      </c>
      <c r="X3316" s="8">
        <v>80</v>
      </c>
      <c r="Y3316" s="8" t="s">
        <v>21</v>
      </c>
      <c r="Z3316" s="8" t="s">
        <v>15231</v>
      </c>
    </row>
    <row r="3317" spans="1:26" x14ac:dyDescent="0.2">
      <c r="A3317" s="8">
        <v>3316</v>
      </c>
      <c r="B3317" s="8" t="s">
        <v>15232</v>
      </c>
      <c r="C3317" s="8" t="s">
        <v>15232</v>
      </c>
      <c r="E3317" s="8">
        <v>1</v>
      </c>
      <c r="F3317" s="47"/>
      <c r="G3317" s="8">
        <v>16</v>
      </c>
      <c r="H3317" s="8" t="s">
        <v>21</v>
      </c>
      <c r="I3317" s="8" t="s">
        <v>22</v>
      </c>
      <c r="J3317" s="8" t="s">
        <v>22</v>
      </c>
      <c r="K3317" s="8" t="s">
        <v>224</v>
      </c>
      <c r="L3317" s="8" t="s">
        <v>11765</v>
      </c>
      <c r="M3317" s="8" t="s">
        <v>11766</v>
      </c>
      <c r="N3317" s="8" t="s">
        <v>15233</v>
      </c>
      <c r="O3317" s="8">
        <f>10+37/60+37.2/3600</f>
        <v>10.627000000000001</v>
      </c>
      <c r="P3317" s="8" t="s">
        <v>15234</v>
      </c>
      <c r="Q3317" s="8">
        <f>-(27+35/60+39/3600)</f>
        <v>-27.594166666666666</v>
      </c>
      <c r="R3317" s="8">
        <v>12.7</v>
      </c>
      <c r="S3317" s="8">
        <v>13.7</v>
      </c>
      <c r="T3317" s="8">
        <v>1</v>
      </c>
      <c r="U3317" s="8">
        <v>13.1</v>
      </c>
      <c r="V3317" s="8">
        <v>1.4</v>
      </c>
      <c r="W3317" s="8">
        <v>1.2</v>
      </c>
      <c r="X3317" s="8">
        <v>36</v>
      </c>
      <c r="Y3317" s="8" t="s">
        <v>21</v>
      </c>
      <c r="Z3317" s="8" t="s">
        <v>15235</v>
      </c>
    </row>
    <row r="3318" spans="1:26" x14ac:dyDescent="0.2">
      <c r="A3318" s="8">
        <v>3317</v>
      </c>
      <c r="B3318" s="8" t="s">
        <v>15236</v>
      </c>
      <c r="C3318" s="8" t="s">
        <v>15236</v>
      </c>
      <c r="F3318" s="47"/>
      <c r="G3318" s="8">
        <v>19</v>
      </c>
      <c r="H3318" s="8" t="s">
        <v>21</v>
      </c>
      <c r="I3318" s="8" t="s">
        <v>72</v>
      </c>
      <c r="J3318" s="8" t="s">
        <v>72</v>
      </c>
      <c r="K3318" s="8" t="s">
        <v>1802</v>
      </c>
      <c r="L3318" s="8" t="s">
        <v>11765</v>
      </c>
      <c r="M3318" s="8" t="s">
        <v>11766</v>
      </c>
      <c r="N3318" s="8" t="s">
        <v>15237</v>
      </c>
      <c r="O3318" s="8">
        <f>10+37/60+43.1/3600</f>
        <v>10.62863888888889</v>
      </c>
      <c r="P3318" s="8" t="s">
        <v>15238</v>
      </c>
      <c r="Q3318" s="8">
        <f>-(27+31/60+9/3600)</f>
        <v>-27.519166666666667</v>
      </c>
      <c r="R3318" s="8">
        <v>99</v>
      </c>
      <c r="S3318" s="8">
        <v>99</v>
      </c>
      <c r="T3318" s="8">
        <v>99</v>
      </c>
      <c r="U3318" s="8">
        <v>99</v>
      </c>
      <c r="Y3318" s="8" t="s">
        <v>21</v>
      </c>
      <c r="Z3318" s="8" t="s">
        <v>15239</v>
      </c>
    </row>
    <row r="3319" spans="1:26" x14ac:dyDescent="0.2">
      <c r="A3319" s="8">
        <v>3318</v>
      </c>
      <c r="B3319" s="8" t="s">
        <v>15240</v>
      </c>
      <c r="C3319" s="8" t="s">
        <v>15240</v>
      </c>
      <c r="F3319" s="47"/>
      <c r="G3319" s="8">
        <v>13</v>
      </c>
      <c r="H3319" s="8" t="s">
        <v>21</v>
      </c>
      <c r="I3319" s="8" t="s">
        <v>22</v>
      </c>
      <c r="J3319" s="8" t="s">
        <v>22</v>
      </c>
      <c r="K3319" s="8" t="s">
        <v>85</v>
      </c>
      <c r="L3319" s="8" t="s">
        <v>11757</v>
      </c>
      <c r="M3319" s="8" t="s">
        <v>11758</v>
      </c>
      <c r="N3319" s="8" t="s">
        <v>15241</v>
      </c>
      <c r="O3319" s="8">
        <f>10+37/60+15/3600</f>
        <v>10.620833333333334</v>
      </c>
      <c r="P3319" s="8" t="s">
        <v>15242</v>
      </c>
      <c r="Q3319" s="8">
        <f>-(41+37/60+38/3600)</f>
        <v>-41.627222222222223</v>
      </c>
      <c r="R3319" s="8">
        <v>11.6</v>
      </c>
      <c r="S3319" s="8">
        <v>12.2</v>
      </c>
      <c r="T3319" s="8">
        <v>0.6</v>
      </c>
      <c r="U3319" s="8">
        <v>12.6</v>
      </c>
      <c r="V3319" s="8">
        <v>2.2999999999999998</v>
      </c>
      <c r="W3319" s="8">
        <v>1.2</v>
      </c>
      <c r="X3319" s="8">
        <v>78</v>
      </c>
      <c r="Y3319" s="8" t="s">
        <v>15243</v>
      </c>
      <c r="Z3319" s="8" t="s">
        <v>15244</v>
      </c>
    </row>
    <row r="3320" spans="1:26" x14ac:dyDescent="0.2">
      <c r="A3320" s="8">
        <v>3319</v>
      </c>
      <c r="B3320" s="8" t="s">
        <v>15245</v>
      </c>
      <c r="C3320" s="8" t="s">
        <v>15245</v>
      </c>
      <c r="F3320" s="47" t="s">
        <v>56804</v>
      </c>
      <c r="G3320" s="8">
        <v>6.5</v>
      </c>
      <c r="H3320" s="8" t="s">
        <v>21</v>
      </c>
      <c r="I3320" s="8" t="s">
        <v>22</v>
      </c>
      <c r="J3320" s="8" t="s">
        <v>22</v>
      </c>
      <c r="K3320" s="8" t="s">
        <v>64</v>
      </c>
      <c r="L3320" s="8" t="s">
        <v>12015</v>
      </c>
      <c r="M3320" s="8" t="s">
        <v>12016</v>
      </c>
      <c r="N3320" s="8" t="s">
        <v>15246</v>
      </c>
      <c r="O3320" s="8">
        <f>10+39/60+9.6/3600</f>
        <v>10.652666666666667</v>
      </c>
      <c r="P3320" s="8" t="s">
        <v>15247</v>
      </c>
      <c r="Q3320" s="8">
        <f>+(41+41/60+14/3600)</f>
        <v>41.687222222222218</v>
      </c>
      <c r="R3320" s="8">
        <v>11.1</v>
      </c>
      <c r="S3320" s="8">
        <v>11.5</v>
      </c>
      <c r="T3320" s="8">
        <v>0.4</v>
      </c>
      <c r="U3320" s="8">
        <v>14.2</v>
      </c>
      <c r="V3320" s="8">
        <v>6.1</v>
      </c>
      <c r="W3320" s="8">
        <v>3.4</v>
      </c>
      <c r="X3320" s="8">
        <v>37</v>
      </c>
      <c r="Y3320" s="8" t="s">
        <v>21</v>
      </c>
      <c r="Z3320" s="8" t="s">
        <v>15248</v>
      </c>
    </row>
    <row r="3321" spans="1:26" x14ac:dyDescent="0.2">
      <c r="A3321" s="8">
        <v>3320</v>
      </c>
      <c r="B3321" s="8" t="s">
        <v>15249</v>
      </c>
      <c r="C3321" s="8" t="s">
        <v>15249</v>
      </c>
      <c r="F3321" s="47" t="s">
        <v>56805</v>
      </c>
      <c r="G3321" s="8">
        <v>13</v>
      </c>
      <c r="H3321" s="8" t="s">
        <v>21</v>
      </c>
      <c r="I3321" s="8" t="s">
        <v>22</v>
      </c>
      <c r="J3321" s="8" t="s">
        <v>22</v>
      </c>
      <c r="K3321" s="8" t="s">
        <v>64</v>
      </c>
      <c r="L3321" s="8" t="s">
        <v>12015</v>
      </c>
      <c r="M3321" s="8" t="s">
        <v>12016</v>
      </c>
      <c r="N3321" s="8" t="s">
        <v>15250</v>
      </c>
      <c r="O3321" s="8">
        <f>10+39/60+36.5/3600</f>
        <v>10.660138888888889</v>
      </c>
      <c r="P3321" s="8" t="s">
        <v>15251</v>
      </c>
      <c r="Q3321" s="8">
        <f>+(47+23/60+50/3600)</f>
        <v>47.397222222222219</v>
      </c>
      <c r="R3321" s="8">
        <v>12.3</v>
      </c>
      <c r="S3321" s="8">
        <v>13</v>
      </c>
      <c r="T3321" s="8">
        <v>0.7</v>
      </c>
      <c r="U3321" s="8">
        <v>13</v>
      </c>
      <c r="V3321" s="8">
        <v>2.2000000000000002</v>
      </c>
      <c r="W3321" s="8">
        <v>1</v>
      </c>
      <c r="X3321" s="8">
        <v>20</v>
      </c>
      <c r="Y3321" s="8" t="s">
        <v>15252</v>
      </c>
      <c r="Z3321" s="8" t="s">
        <v>15253</v>
      </c>
    </row>
    <row r="3322" spans="1:26" x14ac:dyDescent="0.2">
      <c r="A3322" s="8">
        <v>3321</v>
      </c>
      <c r="B3322" s="8" t="s">
        <v>15254</v>
      </c>
      <c r="C3322" s="8" t="s">
        <v>15254</v>
      </c>
      <c r="F3322" s="47"/>
      <c r="G3322" s="8">
        <v>19</v>
      </c>
      <c r="H3322" s="8" t="s">
        <v>21</v>
      </c>
      <c r="I3322" s="8" t="s">
        <v>22</v>
      </c>
      <c r="J3322" s="8" t="s">
        <v>57</v>
      </c>
      <c r="K3322" s="8" t="s">
        <v>160</v>
      </c>
      <c r="L3322" s="8" t="s">
        <v>11765</v>
      </c>
      <c r="M3322" s="8" t="s">
        <v>11766</v>
      </c>
      <c r="N3322" s="8" t="s">
        <v>15255</v>
      </c>
      <c r="O3322" s="8">
        <f>10+38/60+50.5/3600</f>
        <v>10.647361111111111</v>
      </c>
      <c r="P3322" s="8" t="s">
        <v>15256</v>
      </c>
      <c r="Q3322" s="8">
        <f>-(11+38/60+56/3600)</f>
        <v>-11.648888888888889</v>
      </c>
      <c r="R3322" s="8">
        <v>13</v>
      </c>
      <c r="S3322" s="8">
        <v>13.7</v>
      </c>
      <c r="T3322" s="8">
        <v>0.7</v>
      </c>
      <c r="U3322" s="8">
        <v>14</v>
      </c>
      <c r="V3322" s="8">
        <v>2.5</v>
      </c>
      <c r="W3322" s="8">
        <v>1.2</v>
      </c>
      <c r="X3322" s="8">
        <v>36</v>
      </c>
      <c r="Y3322" s="8" t="s">
        <v>21</v>
      </c>
      <c r="Z3322" s="8" t="s">
        <v>15257</v>
      </c>
    </row>
    <row r="3323" spans="1:26" x14ac:dyDescent="0.2">
      <c r="A3323" s="8">
        <v>3322</v>
      </c>
      <c r="B3323" s="8" t="s">
        <v>15258</v>
      </c>
      <c r="C3323" s="8" t="s">
        <v>15258</v>
      </c>
      <c r="F3323" s="47"/>
      <c r="G3323" s="8">
        <v>19</v>
      </c>
      <c r="H3323" s="8" t="s">
        <v>21</v>
      </c>
      <c r="I3323" s="8" t="s">
        <v>22</v>
      </c>
      <c r="J3323" s="8" t="s">
        <v>22</v>
      </c>
      <c r="K3323" s="8" t="s">
        <v>160</v>
      </c>
      <c r="L3323" s="8" t="s">
        <v>11765</v>
      </c>
      <c r="M3323" s="8" t="s">
        <v>11766</v>
      </c>
      <c r="N3323" s="8" t="s">
        <v>15255</v>
      </c>
      <c r="O3323" s="8">
        <f>10+38/60+50.5/3600</f>
        <v>10.647361111111111</v>
      </c>
      <c r="P3323" s="8" t="s">
        <v>15256</v>
      </c>
      <c r="Q3323" s="8">
        <f>-(11+38/60+56/3600)</f>
        <v>-11.648888888888889</v>
      </c>
      <c r="R3323" s="8">
        <v>13</v>
      </c>
      <c r="S3323" s="8">
        <v>13.7</v>
      </c>
      <c r="T3323" s="8">
        <v>0.7</v>
      </c>
      <c r="U3323" s="8">
        <v>14</v>
      </c>
      <c r="V3323" s="8">
        <v>2.5</v>
      </c>
      <c r="W3323" s="8">
        <v>1.2</v>
      </c>
      <c r="X3323" s="8">
        <v>36</v>
      </c>
      <c r="Y3323" s="8" t="s">
        <v>15259</v>
      </c>
      <c r="Z3323" s="8" t="s">
        <v>15260</v>
      </c>
    </row>
    <row r="3324" spans="1:26" x14ac:dyDescent="0.2">
      <c r="A3324" s="8">
        <v>3323</v>
      </c>
      <c r="B3324" s="8" t="s">
        <v>15261</v>
      </c>
      <c r="C3324" s="8" t="s">
        <v>15261</v>
      </c>
      <c r="F3324" s="47"/>
      <c r="G3324" s="8">
        <v>19</v>
      </c>
      <c r="H3324" s="8" t="s">
        <v>21</v>
      </c>
      <c r="I3324" s="8" t="s">
        <v>22</v>
      </c>
      <c r="J3324" s="8" t="s">
        <v>22</v>
      </c>
      <c r="K3324" s="8" t="s">
        <v>12818</v>
      </c>
      <c r="L3324" s="8" t="s">
        <v>13179</v>
      </c>
      <c r="M3324" s="8" t="s">
        <v>13180</v>
      </c>
      <c r="N3324" s="8" t="s">
        <v>15262</v>
      </c>
      <c r="O3324" s="8">
        <f>10+39/60+39.1/3600</f>
        <v>10.660861111111112</v>
      </c>
      <c r="P3324" s="8" t="s">
        <v>15263</v>
      </c>
      <c r="Q3324" s="8">
        <f>+(25+19/60+21/3600)</f>
        <v>25.322499999999998</v>
      </c>
      <c r="R3324" s="8">
        <v>13.4</v>
      </c>
      <c r="S3324" s="8">
        <v>14.3</v>
      </c>
      <c r="T3324" s="8">
        <v>0.9</v>
      </c>
      <c r="U3324" s="8">
        <v>12.7</v>
      </c>
      <c r="V3324" s="8">
        <v>1</v>
      </c>
      <c r="W3324" s="8">
        <v>0.6</v>
      </c>
      <c r="X3324" s="8">
        <v>174</v>
      </c>
      <c r="Y3324" s="8" t="s">
        <v>3357</v>
      </c>
      <c r="Z3324" s="8" t="s">
        <v>3358</v>
      </c>
    </row>
    <row r="3325" spans="1:26" x14ac:dyDescent="0.2">
      <c r="A3325" s="8">
        <v>3324</v>
      </c>
      <c r="B3325" s="8" t="s">
        <v>15264</v>
      </c>
      <c r="C3325" s="8" t="s">
        <v>15264</v>
      </c>
      <c r="F3325" s="47"/>
      <c r="G3325" s="8">
        <v>5</v>
      </c>
      <c r="H3325" s="8" t="s">
        <v>15265</v>
      </c>
      <c r="I3325" s="8" t="s">
        <v>1283</v>
      </c>
      <c r="J3325" s="8" t="s">
        <v>1283</v>
      </c>
      <c r="K3325" s="8" t="s">
        <v>1284</v>
      </c>
      <c r="L3325" s="8" t="s">
        <v>10135</v>
      </c>
      <c r="M3325" s="8" t="s">
        <v>10136</v>
      </c>
      <c r="N3325" s="8" t="s">
        <v>15266</v>
      </c>
      <c r="O3325" s="8">
        <f>10+37/60+19.3/3600</f>
        <v>10.622027777777777</v>
      </c>
      <c r="P3325" s="8" t="s">
        <v>15267</v>
      </c>
      <c r="Q3325" s="8">
        <f>-(58+38/60+3/3600)</f>
        <v>-58.634166666666665</v>
      </c>
      <c r="R3325" s="8">
        <v>99</v>
      </c>
      <c r="S3325" s="8">
        <v>99</v>
      </c>
      <c r="T3325" s="8">
        <v>99</v>
      </c>
      <c r="U3325" s="8">
        <v>99</v>
      </c>
      <c r="V3325" s="8">
        <v>16</v>
      </c>
      <c r="W3325" s="8">
        <v>14</v>
      </c>
      <c r="Y3325" s="8" t="s">
        <v>15268</v>
      </c>
      <c r="Z3325" s="8" t="s">
        <v>15269</v>
      </c>
    </row>
    <row r="3326" spans="1:26" x14ac:dyDescent="0.2">
      <c r="A3326" s="8">
        <v>3325</v>
      </c>
      <c r="B3326" s="8" t="s">
        <v>15270</v>
      </c>
      <c r="C3326" s="8" t="s">
        <v>15270</v>
      </c>
      <c r="F3326" s="47"/>
      <c r="G3326" s="8">
        <v>19</v>
      </c>
      <c r="H3326" s="8" t="s">
        <v>21</v>
      </c>
      <c r="I3326" s="8" t="s">
        <v>22</v>
      </c>
      <c r="J3326" s="8" t="s">
        <v>22</v>
      </c>
      <c r="K3326" s="8" t="s">
        <v>183</v>
      </c>
      <c r="L3326" s="8" t="s">
        <v>12234</v>
      </c>
      <c r="M3326" s="8" t="s">
        <v>12235</v>
      </c>
      <c r="N3326" s="8" t="s">
        <v>15271</v>
      </c>
      <c r="O3326" s="8">
        <f>10+39/60+20.4/3600</f>
        <v>10.655666666666667</v>
      </c>
      <c r="P3326" s="8" t="s">
        <v>15272</v>
      </c>
      <c r="Q3326" s="8">
        <f>-(0+11/60+59/3600)</f>
        <v>-0.19972222222222222</v>
      </c>
      <c r="R3326" s="8">
        <v>12.7</v>
      </c>
      <c r="S3326" s="8">
        <v>13.7</v>
      </c>
      <c r="T3326" s="8">
        <v>1</v>
      </c>
      <c r="U3326" s="8">
        <v>13</v>
      </c>
      <c r="V3326" s="8">
        <v>1.2</v>
      </c>
      <c r="W3326" s="8">
        <v>1.1000000000000001</v>
      </c>
      <c r="X3326" s="8">
        <v>55</v>
      </c>
      <c r="Y3326" s="8" t="s">
        <v>15273</v>
      </c>
      <c r="Z3326" s="8" t="s">
        <v>15274</v>
      </c>
    </row>
    <row r="3327" spans="1:26" x14ac:dyDescent="0.2">
      <c r="A3327" s="8">
        <v>3326</v>
      </c>
      <c r="B3327" s="8" t="s">
        <v>15275</v>
      </c>
      <c r="C3327" s="8" t="s">
        <v>15275</v>
      </c>
      <c r="F3327" s="47"/>
      <c r="G3327" s="8">
        <v>18</v>
      </c>
      <c r="H3327" s="8" t="s">
        <v>21</v>
      </c>
      <c r="I3327" s="8" t="s">
        <v>22</v>
      </c>
      <c r="J3327" s="8" t="s">
        <v>22</v>
      </c>
      <c r="K3327" s="8" t="s">
        <v>91</v>
      </c>
      <c r="L3327" s="8" t="s">
        <v>12234</v>
      </c>
      <c r="M3327" s="8" t="s">
        <v>12235</v>
      </c>
      <c r="N3327" s="8" t="s">
        <v>15276</v>
      </c>
      <c r="O3327" s="8">
        <f>10+39/60+31.8/3600</f>
        <v>10.658833333333334</v>
      </c>
      <c r="P3327" s="8" t="s">
        <v>15277</v>
      </c>
      <c r="Q3327" s="8">
        <f>+(5+6/60+26/3600)</f>
        <v>5.1072222222222221</v>
      </c>
      <c r="R3327" s="8">
        <v>13.7</v>
      </c>
      <c r="S3327" s="8">
        <v>14.6</v>
      </c>
      <c r="T3327" s="8">
        <v>0.9</v>
      </c>
      <c r="U3327" s="8">
        <v>12.4</v>
      </c>
      <c r="V3327" s="8">
        <v>0.6</v>
      </c>
      <c r="W3327" s="8">
        <v>0.6</v>
      </c>
      <c r="Y3327" s="8" t="s">
        <v>4787</v>
      </c>
      <c r="Z3327" s="8" t="s">
        <v>2313</v>
      </c>
    </row>
    <row r="3328" spans="1:26" x14ac:dyDescent="0.2">
      <c r="A3328" s="8">
        <v>3327</v>
      </c>
      <c r="B3328" s="8" t="s">
        <v>15278</v>
      </c>
      <c r="C3328" s="8" t="s">
        <v>15278</v>
      </c>
      <c r="F3328" s="47" t="s">
        <v>56806</v>
      </c>
      <c r="G3328" s="8">
        <v>15</v>
      </c>
      <c r="H3328" s="8" t="s">
        <v>21</v>
      </c>
      <c r="I3328" s="8" t="s">
        <v>22</v>
      </c>
      <c r="J3328" s="8" t="s">
        <v>22</v>
      </c>
      <c r="K3328" s="8" t="s">
        <v>23</v>
      </c>
      <c r="L3328" s="8" t="s">
        <v>13179</v>
      </c>
      <c r="M3328" s="8" t="s">
        <v>13180</v>
      </c>
      <c r="N3328" s="8" t="s">
        <v>15279</v>
      </c>
      <c r="O3328" s="8">
        <f>10+39/60+57.8/3600</f>
        <v>10.666055555555555</v>
      </c>
      <c r="P3328" s="8" t="s">
        <v>15280</v>
      </c>
      <c r="Q3328" s="8">
        <f>+(24+5/60+30/3600)</f>
        <v>24.091666666666665</v>
      </c>
      <c r="R3328" s="8">
        <v>13.4</v>
      </c>
      <c r="S3328" s="8">
        <v>14.2</v>
      </c>
      <c r="T3328" s="8">
        <v>0.8</v>
      </c>
      <c r="U3328" s="8">
        <v>13.1</v>
      </c>
      <c r="V3328" s="8">
        <v>1.1000000000000001</v>
      </c>
      <c r="W3328" s="8">
        <v>0.8</v>
      </c>
      <c r="X3328" s="8">
        <v>85</v>
      </c>
      <c r="Y3328" s="8" t="s">
        <v>15281</v>
      </c>
      <c r="Z3328" s="8" t="s">
        <v>15282</v>
      </c>
    </row>
    <row r="3329" spans="1:26" x14ac:dyDescent="0.2">
      <c r="A3329" s="8">
        <v>3328</v>
      </c>
      <c r="B3329" s="8" t="s">
        <v>15283</v>
      </c>
      <c r="C3329" s="8" t="s">
        <v>15283</v>
      </c>
      <c r="F3329" s="47"/>
      <c r="G3329" s="8">
        <v>19</v>
      </c>
      <c r="H3329" s="8" t="s">
        <v>21</v>
      </c>
      <c r="I3329" s="8" t="s">
        <v>72</v>
      </c>
      <c r="J3329" s="8" t="s">
        <v>72</v>
      </c>
      <c r="K3329" s="8" t="s">
        <v>73</v>
      </c>
      <c r="L3329" s="8" t="s">
        <v>13194</v>
      </c>
      <c r="M3329" s="8" t="s">
        <v>13195</v>
      </c>
      <c r="N3329" s="8" t="s">
        <v>15284</v>
      </c>
      <c r="O3329" s="8">
        <f>10+39/60+54.2/3600</f>
        <v>10.665055555555556</v>
      </c>
      <c r="P3329" s="8" t="s">
        <v>15285</v>
      </c>
      <c r="Q3329" s="8">
        <f>+(9+18/60+2/3600)</f>
        <v>9.3005555555555564</v>
      </c>
      <c r="R3329" s="8">
        <v>99</v>
      </c>
      <c r="S3329" s="8">
        <v>99</v>
      </c>
      <c r="T3329" s="8">
        <v>99</v>
      </c>
      <c r="U3329" s="8">
        <v>99</v>
      </c>
      <c r="Y3329" s="8" t="s">
        <v>15286</v>
      </c>
      <c r="Z3329" s="8" t="s">
        <v>15287</v>
      </c>
    </row>
    <row r="3330" spans="1:26" x14ac:dyDescent="0.2">
      <c r="A3330" s="8">
        <v>3329</v>
      </c>
      <c r="B3330" s="8" t="s">
        <v>15288</v>
      </c>
      <c r="C3330" s="8" t="s">
        <v>15288</v>
      </c>
      <c r="F3330" s="47"/>
      <c r="G3330" s="8">
        <v>13</v>
      </c>
      <c r="H3330" s="8" t="s">
        <v>21</v>
      </c>
      <c r="I3330" s="8" t="s">
        <v>22</v>
      </c>
      <c r="J3330" s="8" t="s">
        <v>57</v>
      </c>
      <c r="K3330" s="8" t="s">
        <v>23</v>
      </c>
      <c r="L3330" s="8" t="s">
        <v>13395</v>
      </c>
      <c r="M3330" s="8" t="s">
        <v>13396</v>
      </c>
      <c r="N3330" s="8" t="s">
        <v>15289</v>
      </c>
      <c r="O3330" s="8">
        <f>10+44/60+39/3600</f>
        <v>10.744166666666667</v>
      </c>
      <c r="P3330" s="8" t="s">
        <v>15290</v>
      </c>
      <c r="Q3330" s="8">
        <f>+(76+48/60+35/3600)</f>
        <v>76.80972222222222</v>
      </c>
      <c r="R3330" s="8">
        <v>12.2</v>
      </c>
      <c r="S3330" s="8">
        <v>13</v>
      </c>
      <c r="T3330" s="8">
        <v>0.8</v>
      </c>
      <c r="U3330" s="8">
        <v>12.9</v>
      </c>
      <c r="V3330" s="8">
        <v>1.9</v>
      </c>
      <c r="W3330" s="8">
        <v>1.1000000000000001</v>
      </c>
      <c r="X3330" s="8">
        <v>140</v>
      </c>
      <c r="Y3330" s="8" t="s">
        <v>15291</v>
      </c>
      <c r="Z3330" s="8" t="s">
        <v>15292</v>
      </c>
    </row>
    <row r="3331" spans="1:26" x14ac:dyDescent="0.2">
      <c r="A3331" s="8">
        <v>3330</v>
      </c>
      <c r="B3331" s="8" t="s">
        <v>15293</v>
      </c>
      <c r="C3331" s="8" t="s">
        <v>15293</v>
      </c>
      <c r="F3331" s="47"/>
      <c r="G3331" s="8">
        <v>14</v>
      </c>
      <c r="H3331" s="8" t="s">
        <v>21</v>
      </c>
      <c r="I3331" s="8" t="s">
        <v>557</v>
      </c>
      <c r="J3331" s="8" t="s">
        <v>557</v>
      </c>
      <c r="K3331" s="8" t="s">
        <v>558</v>
      </c>
      <c r="L3331" s="8" t="s">
        <v>11757</v>
      </c>
      <c r="M3331" s="8" t="s">
        <v>11758</v>
      </c>
      <c r="N3331" s="8" t="s">
        <v>15294</v>
      </c>
      <c r="O3331" s="8">
        <f>10+38/60+46/3600</f>
        <v>10.646111111111111</v>
      </c>
      <c r="P3331" s="8" t="s">
        <v>15295</v>
      </c>
      <c r="Q3331" s="8">
        <f>-(54+6/60+54/3600)</f>
        <v>-54.115000000000002</v>
      </c>
      <c r="R3331" s="8">
        <v>7.4</v>
      </c>
      <c r="S3331" s="8">
        <v>99</v>
      </c>
      <c r="T3331" s="8">
        <v>99</v>
      </c>
      <c r="U3331" s="8">
        <v>99</v>
      </c>
      <c r="V3331" s="8">
        <v>6</v>
      </c>
      <c r="Y3331" s="8" t="s">
        <v>15296</v>
      </c>
      <c r="Z3331" s="8" t="s">
        <v>15297</v>
      </c>
    </row>
    <row r="3332" spans="1:26" x14ac:dyDescent="0.2">
      <c r="A3332" s="8">
        <v>3331</v>
      </c>
      <c r="B3332" s="8" t="s">
        <v>15298</v>
      </c>
      <c r="C3332" s="8" t="s">
        <v>15298</v>
      </c>
      <c r="F3332" s="47"/>
      <c r="G3332" s="8">
        <v>19</v>
      </c>
      <c r="H3332" s="8" t="s">
        <v>21</v>
      </c>
      <c r="I3332" s="8" t="s">
        <v>22</v>
      </c>
      <c r="J3332" s="8" t="s">
        <v>22</v>
      </c>
      <c r="K3332" s="8" t="s">
        <v>64</v>
      </c>
      <c r="L3332" s="8" t="s">
        <v>11765</v>
      </c>
      <c r="M3332" s="8" t="s">
        <v>11766</v>
      </c>
      <c r="N3332" s="8" t="s">
        <v>15299</v>
      </c>
      <c r="O3332" s="8">
        <f>10+40/60+9/3600</f>
        <v>10.669166666666666</v>
      </c>
      <c r="P3332" s="8" t="s">
        <v>15300</v>
      </c>
      <c r="Q3332" s="8">
        <f>-(23+49/60+14/3600)</f>
        <v>-23.820555555555554</v>
      </c>
      <c r="R3332" s="8">
        <v>13.2</v>
      </c>
      <c r="S3332" s="8">
        <v>13.9</v>
      </c>
      <c r="T3332" s="8">
        <v>0.7</v>
      </c>
      <c r="U3332" s="8">
        <v>13.1</v>
      </c>
      <c r="V3332" s="8">
        <v>1.2</v>
      </c>
      <c r="W3332" s="8">
        <v>0.9</v>
      </c>
      <c r="X3332" s="8">
        <v>27</v>
      </c>
      <c r="Y3332" s="8" t="s">
        <v>15301</v>
      </c>
      <c r="Z3332" s="8" t="s">
        <v>15302</v>
      </c>
    </row>
    <row r="3333" spans="1:26" x14ac:dyDescent="0.2">
      <c r="A3333" s="8">
        <v>3332</v>
      </c>
      <c r="B3333" s="8" t="s">
        <v>15303</v>
      </c>
      <c r="C3333" s="8" t="s">
        <v>15303</v>
      </c>
      <c r="F3333" s="47" t="s">
        <v>56807</v>
      </c>
      <c r="G3333" s="8">
        <v>15</v>
      </c>
      <c r="H3333" s="8" t="s">
        <v>21</v>
      </c>
      <c r="I3333" s="8" t="s">
        <v>22</v>
      </c>
      <c r="J3333" s="8" t="s">
        <v>57</v>
      </c>
      <c r="K3333" s="8" t="s">
        <v>58</v>
      </c>
      <c r="L3333" s="8" t="s">
        <v>13194</v>
      </c>
      <c r="M3333" s="8" t="s">
        <v>13195</v>
      </c>
      <c r="N3333" s="8" t="s">
        <v>15304</v>
      </c>
      <c r="O3333" s="8">
        <f>10+40/60+28.2/3600</f>
        <v>10.6745</v>
      </c>
      <c r="P3333" s="8" t="s">
        <v>15305</v>
      </c>
      <c r="Q3333" s="8">
        <f>+(9+10/60+57/3600)</f>
        <v>9.1824999999999992</v>
      </c>
      <c r="R3333" s="8">
        <v>12.3</v>
      </c>
      <c r="S3333" s="8">
        <v>13.3</v>
      </c>
      <c r="T3333" s="8">
        <v>1</v>
      </c>
      <c r="U3333" s="8">
        <v>12.9</v>
      </c>
      <c r="V3333" s="8">
        <v>1.4</v>
      </c>
      <c r="W3333" s="8">
        <v>1.4</v>
      </c>
      <c r="Y3333" s="8" t="s">
        <v>15306</v>
      </c>
      <c r="Z3333" s="8" t="s">
        <v>15307</v>
      </c>
    </row>
    <row r="3334" spans="1:26" x14ac:dyDescent="0.2">
      <c r="A3334" s="8">
        <v>3333</v>
      </c>
      <c r="B3334" s="8" t="s">
        <v>15308</v>
      </c>
      <c r="C3334" s="8" t="s">
        <v>15308</v>
      </c>
      <c r="F3334" s="47"/>
      <c r="G3334" s="8">
        <v>16</v>
      </c>
      <c r="H3334" s="8" t="s">
        <v>21</v>
      </c>
      <c r="I3334" s="8" t="s">
        <v>22</v>
      </c>
      <c r="J3334" s="8" t="s">
        <v>22</v>
      </c>
      <c r="K3334" s="8" t="s">
        <v>85</v>
      </c>
      <c r="L3334" s="8" t="s">
        <v>13374</v>
      </c>
      <c r="M3334" s="8" t="s">
        <v>13375</v>
      </c>
      <c r="N3334" s="8" t="s">
        <v>15309</v>
      </c>
      <c r="O3334" s="8">
        <f>10+39/60+49.7/3600</f>
        <v>10.663805555555555</v>
      </c>
      <c r="P3334" s="8" t="s">
        <v>15310</v>
      </c>
      <c r="Q3334" s="8">
        <f>-(36+2/60+10/3600)</f>
        <v>-36.036111111111111</v>
      </c>
      <c r="R3334" s="8">
        <v>13.2</v>
      </c>
      <c r="S3334" s="8">
        <v>13.9</v>
      </c>
      <c r="T3334" s="8">
        <v>0.7</v>
      </c>
      <c r="U3334" s="8">
        <v>12.7</v>
      </c>
      <c r="V3334" s="8">
        <v>2.1</v>
      </c>
      <c r="W3334" s="8">
        <v>0.4</v>
      </c>
      <c r="X3334" s="8">
        <v>160</v>
      </c>
      <c r="Y3334" s="8" t="s">
        <v>15311</v>
      </c>
      <c r="Z3334" s="8" t="s">
        <v>15312</v>
      </c>
    </row>
    <row r="3335" spans="1:26" x14ac:dyDescent="0.2">
      <c r="A3335" s="8">
        <v>3334</v>
      </c>
      <c r="B3335" s="8" t="s">
        <v>15313</v>
      </c>
      <c r="C3335" s="8" t="s">
        <v>15313</v>
      </c>
      <c r="F3335" s="47" t="s">
        <v>56808</v>
      </c>
      <c r="G3335" s="8">
        <v>15</v>
      </c>
      <c r="H3335" s="8" t="s">
        <v>21</v>
      </c>
      <c r="I3335" s="8" t="s">
        <v>22</v>
      </c>
      <c r="J3335" s="8" t="s">
        <v>22</v>
      </c>
      <c r="K3335" s="8" t="s">
        <v>37</v>
      </c>
      <c r="L3335" s="8" t="s">
        <v>13179</v>
      </c>
      <c r="M3335" s="8" t="s">
        <v>13180</v>
      </c>
      <c r="N3335" s="8" t="s">
        <v>15314</v>
      </c>
      <c r="O3335" s="8">
        <f>10+41/60+31.1/3600</f>
        <v>10.691972222222223</v>
      </c>
      <c r="P3335" s="8" t="s">
        <v>15315</v>
      </c>
      <c r="Q3335" s="8">
        <f>+(37+18/60+45/3600)</f>
        <v>37.3125</v>
      </c>
      <c r="R3335" s="8">
        <v>12.9</v>
      </c>
      <c r="S3335" s="8">
        <v>13.9</v>
      </c>
      <c r="T3335" s="8">
        <v>1</v>
      </c>
      <c r="U3335" s="8">
        <v>12.8</v>
      </c>
      <c r="V3335" s="8">
        <v>1.1000000000000001</v>
      </c>
      <c r="W3335" s="8">
        <v>1</v>
      </c>
      <c r="X3335" s="8">
        <v>0</v>
      </c>
      <c r="Y3335" s="8" t="s">
        <v>15316</v>
      </c>
      <c r="Z3335" s="8" t="s">
        <v>15317</v>
      </c>
    </row>
    <row r="3336" spans="1:26" x14ac:dyDescent="0.2">
      <c r="A3336" s="8">
        <v>3335</v>
      </c>
      <c r="B3336" s="8" t="s">
        <v>15318</v>
      </c>
      <c r="C3336" s="8" t="s">
        <v>15318</v>
      </c>
      <c r="F3336" s="47"/>
      <c r="G3336" s="8">
        <v>19</v>
      </c>
      <c r="H3336" s="8" t="s">
        <v>21</v>
      </c>
      <c r="I3336" s="8" t="s">
        <v>22</v>
      </c>
      <c r="J3336" s="8" t="s">
        <v>22</v>
      </c>
      <c r="K3336" s="8" t="s">
        <v>435</v>
      </c>
      <c r="L3336" s="8" t="s">
        <v>11765</v>
      </c>
      <c r="M3336" s="8" t="s">
        <v>11766</v>
      </c>
      <c r="N3336" s="8" t="s">
        <v>15319</v>
      </c>
      <c r="O3336" s="8">
        <f>10+39/60+34.1/3600</f>
        <v>10.659472222222222</v>
      </c>
      <c r="P3336" s="8" t="s">
        <v>15320</v>
      </c>
      <c r="Q3336" s="8">
        <f>-(23+55/60+19/3600)</f>
        <v>-23.921944444444446</v>
      </c>
      <c r="R3336" s="8">
        <v>13.1</v>
      </c>
      <c r="S3336" s="8">
        <v>14</v>
      </c>
      <c r="T3336" s="8">
        <v>0.9</v>
      </c>
      <c r="U3336" s="8">
        <v>12.9</v>
      </c>
      <c r="V3336" s="8">
        <v>1.1000000000000001</v>
      </c>
      <c r="W3336" s="8">
        <v>0.9</v>
      </c>
      <c r="X3336" s="8">
        <v>130</v>
      </c>
      <c r="Y3336" s="8" t="s">
        <v>15321</v>
      </c>
      <c r="Z3336" s="8" t="s">
        <v>15322</v>
      </c>
    </row>
    <row r="3337" spans="1:26" x14ac:dyDescent="0.2">
      <c r="A3337" s="8">
        <v>3336</v>
      </c>
      <c r="B3337" s="8" t="s">
        <v>15323</v>
      </c>
      <c r="C3337" s="8" t="s">
        <v>15323</v>
      </c>
      <c r="F3337" s="47"/>
      <c r="G3337" s="8">
        <v>16</v>
      </c>
      <c r="H3337" s="8" t="s">
        <v>21</v>
      </c>
      <c r="I3337" s="8" t="s">
        <v>22</v>
      </c>
      <c r="J3337" s="8" t="s">
        <v>22</v>
      </c>
      <c r="K3337" s="8" t="s">
        <v>64</v>
      </c>
      <c r="L3337" s="8" t="s">
        <v>11765</v>
      </c>
      <c r="M3337" s="8" t="s">
        <v>11766</v>
      </c>
      <c r="N3337" s="8" t="s">
        <v>15324</v>
      </c>
      <c r="O3337" s="8">
        <f>10+40/60+16.8/3600</f>
        <v>10.671333333333333</v>
      </c>
      <c r="P3337" s="8" t="s">
        <v>15325</v>
      </c>
      <c r="Q3337" s="8">
        <f>-(27+46/60+38/3600)</f>
        <v>-27.777222222222221</v>
      </c>
      <c r="R3337" s="8">
        <v>12.2</v>
      </c>
      <c r="S3337" s="8">
        <v>12.9</v>
      </c>
      <c r="T3337" s="8">
        <v>0.7</v>
      </c>
      <c r="U3337" s="8">
        <v>13.2</v>
      </c>
      <c r="V3337" s="8">
        <v>2</v>
      </c>
      <c r="W3337" s="8">
        <v>1.6</v>
      </c>
      <c r="X3337" s="8">
        <v>123</v>
      </c>
      <c r="Y3337" s="8" t="s">
        <v>15326</v>
      </c>
      <c r="Z3337" s="8" t="s">
        <v>15327</v>
      </c>
    </row>
    <row r="3338" spans="1:26" x14ac:dyDescent="0.2">
      <c r="A3338" s="8">
        <v>3337</v>
      </c>
      <c r="B3338" s="8" t="s">
        <v>15328</v>
      </c>
      <c r="C3338" s="8" t="s">
        <v>15328</v>
      </c>
      <c r="F3338" s="47"/>
      <c r="G3338" s="8">
        <v>18</v>
      </c>
      <c r="H3338" s="8" t="s">
        <v>21</v>
      </c>
      <c r="I3338" s="8" t="s">
        <v>22</v>
      </c>
      <c r="J3338" s="8" t="s">
        <v>22</v>
      </c>
      <c r="K3338" s="8" t="s">
        <v>449</v>
      </c>
      <c r="L3338" s="8" t="s">
        <v>12234</v>
      </c>
      <c r="M3338" s="8" t="s">
        <v>12235</v>
      </c>
      <c r="N3338" s="8" t="s">
        <v>15329</v>
      </c>
      <c r="O3338" s="8">
        <f>10+41/60+47.5/3600</f>
        <v>10.696527777777778</v>
      </c>
      <c r="P3338" s="8" t="s">
        <v>15330</v>
      </c>
      <c r="Q3338" s="8">
        <f>+(4+59/60+20/3600)</f>
        <v>4.9888888888888889</v>
      </c>
      <c r="R3338" s="8">
        <v>14.3</v>
      </c>
      <c r="S3338" s="8">
        <v>15.1</v>
      </c>
      <c r="T3338" s="8">
        <v>0.8</v>
      </c>
      <c r="U3338" s="8">
        <v>13.1</v>
      </c>
      <c r="V3338" s="8">
        <v>0.6</v>
      </c>
      <c r="W3338" s="8">
        <v>0.3</v>
      </c>
      <c r="X3338" s="8">
        <v>45</v>
      </c>
      <c r="Y3338" s="8" t="s">
        <v>15331</v>
      </c>
      <c r="Z3338" s="8" t="s">
        <v>15332</v>
      </c>
    </row>
    <row r="3339" spans="1:26" x14ac:dyDescent="0.2">
      <c r="A3339" s="8">
        <v>3338</v>
      </c>
      <c r="B3339" s="8" t="s">
        <v>15333</v>
      </c>
      <c r="C3339" s="8" t="s">
        <v>15333</v>
      </c>
      <c r="F3339" s="47" t="s">
        <v>56809</v>
      </c>
      <c r="G3339" s="8">
        <v>6.5</v>
      </c>
      <c r="H3339" s="8" t="s">
        <v>21</v>
      </c>
      <c r="I3339" s="8" t="s">
        <v>22</v>
      </c>
      <c r="J3339" s="8" t="s">
        <v>22</v>
      </c>
      <c r="K3339" s="8" t="s">
        <v>160</v>
      </c>
      <c r="L3339" s="8" t="s">
        <v>13194</v>
      </c>
      <c r="M3339" s="8" t="s">
        <v>13195</v>
      </c>
      <c r="N3339" s="8" t="s">
        <v>15334</v>
      </c>
      <c r="O3339" s="8">
        <f>10+42/60+7.6/3600</f>
        <v>10.70211111111111</v>
      </c>
      <c r="P3339" s="8" t="s">
        <v>15335</v>
      </c>
      <c r="Q3339" s="8">
        <f>+(13+44/60+48/3600)</f>
        <v>13.746666666666666</v>
      </c>
      <c r="R3339" s="8">
        <v>11.1</v>
      </c>
      <c r="S3339" s="8">
        <v>11.6</v>
      </c>
      <c r="T3339" s="8">
        <v>0.5</v>
      </c>
      <c r="U3339" s="8">
        <v>14.2</v>
      </c>
      <c r="V3339" s="8">
        <v>5.7</v>
      </c>
      <c r="W3339" s="8">
        <v>3.4</v>
      </c>
      <c r="X3339" s="8">
        <v>100</v>
      </c>
      <c r="Y3339" s="8" t="s">
        <v>21</v>
      </c>
      <c r="Z3339" s="8" t="s">
        <v>15336</v>
      </c>
    </row>
    <row r="3340" spans="1:26" x14ac:dyDescent="0.2">
      <c r="A3340" s="8">
        <v>3339</v>
      </c>
      <c r="B3340" s="8" t="s">
        <v>15337</v>
      </c>
      <c r="C3340" s="8" t="s">
        <v>15337</v>
      </c>
      <c r="F3340" s="47"/>
      <c r="G3340" s="8">
        <v>18</v>
      </c>
      <c r="H3340" s="8" t="s">
        <v>21</v>
      </c>
      <c r="I3340" s="8" t="s">
        <v>72</v>
      </c>
      <c r="J3340" s="8" t="s">
        <v>72</v>
      </c>
      <c r="K3340" s="8" t="s">
        <v>20</v>
      </c>
      <c r="L3340" s="8" t="s">
        <v>12234</v>
      </c>
      <c r="M3340" s="8" t="s">
        <v>12235</v>
      </c>
      <c r="N3340" s="8" t="s">
        <v>15338</v>
      </c>
      <c r="O3340" s="8">
        <f>10+42/60+10/3600</f>
        <v>10.702777777777778</v>
      </c>
      <c r="P3340" s="8" t="s">
        <v>15339</v>
      </c>
      <c r="Q3340" s="8">
        <f>-(0+22/60+6/3600)</f>
        <v>-0.36833333333333329</v>
      </c>
      <c r="R3340" s="8">
        <v>99</v>
      </c>
      <c r="S3340" s="8">
        <v>99</v>
      </c>
      <c r="T3340" s="8">
        <v>99</v>
      </c>
      <c r="U3340" s="8">
        <v>99</v>
      </c>
      <c r="Y3340" s="8" t="s">
        <v>457</v>
      </c>
      <c r="Z3340" s="8" t="s">
        <v>458</v>
      </c>
    </row>
    <row r="3341" spans="1:26" x14ac:dyDescent="0.2">
      <c r="A3341" s="8">
        <v>3340</v>
      </c>
      <c r="B3341" s="8" t="s">
        <v>15340</v>
      </c>
      <c r="C3341" s="8" t="s">
        <v>15340</v>
      </c>
      <c r="F3341" s="47"/>
      <c r="G3341" s="8">
        <v>18</v>
      </c>
      <c r="H3341" s="8" t="s">
        <v>21</v>
      </c>
      <c r="I3341" s="8" t="s">
        <v>22</v>
      </c>
      <c r="J3341" s="8" t="s">
        <v>22</v>
      </c>
      <c r="K3341" s="8" t="s">
        <v>396</v>
      </c>
      <c r="L3341" s="8" t="s">
        <v>12234</v>
      </c>
      <c r="M3341" s="8" t="s">
        <v>12235</v>
      </c>
      <c r="N3341" s="8" t="s">
        <v>15341</v>
      </c>
      <c r="O3341" s="8">
        <f>10+42/60+17.9/3600</f>
        <v>10.704972222222221</v>
      </c>
      <c r="P3341" s="8" t="s">
        <v>15342</v>
      </c>
      <c r="Q3341" s="8">
        <f>-(0+22/60+37/3600)</f>
        <v>-0.37694444444444442</v>
      </c>
      <c r="R3341" s="8">
        <v>13</v>
      </c>
      <c r="S3341" s="8">
        <v>13.8</v>
      </c>
      <c r="T3341" s="8">
        <v>0.8</v>
      </c>
      <c r="U3341" s="8">
        <v>12.7</v>
      </c>
      <c r="V3341" s="8">
        <v>1</v>
      </c>
      <c r="W3341" s="8">
        <v>0.9</v>
      </c>
      <c r="X3341" s="8">
        <v>145</v>
      </c>
      <c r="Y3341" s="8" t="s">
        <v>895</v>
      </c>
      <c r="Z3341" s="8" t="s">
        <v>896</v>
      </c>
    </row>
    <row r="3342" spans="1:26" x14ac:dyDescent="0.2">
      <c r="A3342" s="8">
        <v>3341</v>
      </c>
      <c r="B3342" s="8" t="s">
        <v>15343</v>
      </c>
      <c r="C3342" s="8" t="s">
        <v>15343</v>
      </c>
      <c r="F3342" s="47"/>
      <c r="G3342" s="8">
        <v>18</v>
      </c>
      <c r="H3342" s="8" t="s">
        <v>21</v>
      </c>
      <c r="I3342" s="8" t="s">
        <v>22</v>
      </c>
      <c r="J3342" s="8" t="s">
        <v>22</v>
      </c>
      <c r="K3342" s="8" t="s">
        <v>1174</v>
      </c>
      <c r="L3342" s="8" t="s">
        <v>12234</v>
      </c>
      <c r="M3342" s="8" t="s">
        <v>12235</v>
      </c>
      <c r="N3342" s="8" t="s">
        <v>15344</v>
      </c>
      <c r="O3342" s="8">
        <f>10+42/60+31.5/3600</f>
        <v>10.708749999999998</v>
      </c>
      <c r="P3342" s="8" t="s">
        <v>15345</v>
      </c>
      <c r="Q3342" s="8">
        <f>+(5+2/60+39/3600)</f>
        <v>5.0441666666666665</v>
      </c>
      <c r="R3342" s="8">
        <v>14</v>
      </c>
      <c r="S3342" s="8">
        <v>15</v>
      </c>
      <c r="T3342" s="8">
        <v>1</v>
      </c>
      <c r="U3342" s="8">
        <v>13.1</v>
      </c>
      <c r="V3342" s="8">
        <v>1.2</v>
      </c>
      <c r="W3342" s="8">
        <v>0.4</v>
      </c>
      <c r="X3342" s="8">
        <v>24</v>
      </c>
      <c r="Y3342" s="8" t="s">
        <v>282</v>
      </c>
      <c r="Z3342" s="8" t="s">
        <v>283</v>
      </c>
    </row>
    <row r="3343" spans="1:26" x14ac:dyDescent="0.2">
      <c r="A3343" s="8">
        <v>3342</v>
      </c>
      <c r="B3343" s="8" t="s">
        <v>15346</v>
      </c>
      <c r="C3343" s="8" t="s">
        <v>15346</v>
      </c>
      <c r="F3343" s="47" t="s">
        <v>56810</v>
      </c>
      <c r="G3343" s="8">
        <v>15</v>
      </c>
      <c r="H3343" s="8" t="s">
        <v>21</v>
      </c>
      <c r="I3343" s="8" t="s">
        <v>22</v>
      </c>
      <c r="J3343" s="8" t="s">
        <v>22</v>
      </c>
      <c r="K3343" s="8" t="s">
        <v>58</v>
      </c>
      <c r="L3343" s="8" t="s">
        <v>13194</v>
      </c>
      <c r="M3343" s="8" t="s">
        <v>13195</v>
      </c>
      <c r="N3343" s="8" t="s">
        <v>15304</v>
      </c>
      <c r="O3343" s="8">
        <f>10+40/60+28.2/3600</f>
        <v>10.6745</v>
      </c>
      <c r="P3343" s="8" t="s">
        <v>15305</v>
      </c>
      <c r="Q3343" s="8">
        <f>+(9+10/60+57/3600)</f>
        <v>9.1824999999999992</v>
      </c>
      <c r="R3343" s="8">
        <v>12.3</v>
      </c>
      <c r="S3343" s="8">
        <v>13.3</v>
      </c>
      <c r="T3343" s="8">
        <v>1</v>
      </c>
      <c r="U3343" s="8">
        <v>12.9</v>
      </c>
      <c r="V3343" s="8">
        <v>1.4</v>
      </c>
      <c r="W3343" s="8">
        <v>1.4</v>
      </c>
      <c r="Y3343" s="8" t="s">
        <v>962</v>
      </c>
      <c r="Z3343" s="8" t="s">
        <v>963</v>
      </c>
    </row>
    <row r="3344" spans="1:26" x14ac:dyDescent="0.2">
      <c r="A3344" s="8">
        <v>3343</v>
      </c>
      <c r="B3344" s="8" t="s">
        <v>15347</v>
      </c>
      <c r="C3344" s="8" t="s">
        <v>15347</v>
      </c>
      <c r="F3344" s="47" t="s">
        <v>56811</v>
      </c>
      <c r="G3344" s="8">
        <v>15</v>
      </c>
      <c r="H3344" s="8" t="s">
        <v>21</v>
      </c>
      <c r="I3344" s="8" t="s">
        <v>22</v>
      </c>
      <c r="J3344" s="8" t="s">
        <v>22</v>
      </c>
      <c r="K3344" s="8" t="s">
        <v>382</v>
      </c>
      <c r="L3344" s="8" t="s">
        <v>13395</v>
      </c>
      <c r="M3344" s="8" t="s">
        <v>13396</v>
      </c>
      <c r="N3344" s="8" t="s">
        <v>15348</v>
      </c>
      <c r="O3344" s="8">
        <f>10+46/60+10.3/3600</f>
        <v>10.769527777777778</v>
      </c>
      <c r="P3344" s="8" t="s">
        <v>15349</v>
      </c>
      <c r="Q3344" s="8">
        <f>+(73+21/60+12/3600)</f>
        <v>73.353333333333325</v>
      </c>
      <c r="R3344" s="8">
        <v>13.4</v>
      </c>
      <c r="S3344" s="8">
        <v>14.4</v>
      </c>
      <c r="T3344" s="8">
        <v>1</v>
      </c>
      <c r="U3344" s="8">
        <v>13.6</v>
      </c>
      <c r="V3344" s="8">
        <v>1.3</v>
      </c>
      <c r="W3344" s="8">
        <v>0.9</v>
      </c>
      <c r="X3344" s="8">
        <v>55</v>
      </c>
      <c r="Y3344" s="8" t="s">
        <v>2186</v>
      </c>
      <c r="Z3344" s="8" t="s">
        <v>2187</v>
      </c>
    </row>
    <row r="3345" spans="1:26" x14ac:dyDescent="0.2">
      <c r="A3345" s="8">
        <v>3344</v>
      </c>
      <c r="B3345" s="8" t="s">
        <v>15350</v>
      </c>
      <c r="C3345" s="8" t="s">
        <v>15350</v>
      </c>
      <c r="F3345" s="47" t="s">
        <v>56812</v>
      </c>
      <c r="G3345" s="8">
        <v>6</v>
      </c>
      <c r="H3345" s="8" t="s">
        <v>15351</v>
      </c>
      <c r="I3345" s="8" t="s">
        <v>22</v>
      </c>
      <c r="J3345" s="8" t="s">
        <v>22</v>
      </c>
      <c r="K3345" s="8" t="s">
        <v>85</v>
      </c>
      <c r="L3345" s="8" t="s">
        <v>13179</v>
      </c>
      <c r="M3345" s="8" t="s">
        <v>13180</v>
      </c>
      <c r="N3345" s="8" t="s">
        <v>15352</v>
      </c>
      <c r="O3345" s="8">
        <f>10+43/60+30.9/3600</f>
        <v>10.725250000000001</v>
      </c>
      <c r="P3345" s="8" t="s">
        <v>15353</v>
      </c>
      <c r="Q3345" s="8">
        <f>+(24+55/60+22/3600)</f>
        <v>24.922777777777778</v>
      </c>
      <c r="R3345" s="8">
        <v>9.9</v>
      </c>
      <c r="S3345" s="8">
        <v>10.5</v>
      </c>
      <c r="T3345" s="8">
        <v>0.6</v>
      </c>
      <c r="U3345" s="8">
        <v>13.9</v>
      </c>
      <c r="V3345" s="8">
        <v>7.1</v>
      </c>
      <c r="W3345" s="8">
        <v>6.5</v>
      </c>
      <c r="X3345" s="8">
        <v>18</v>
      </c>
      <c r="Y3345" s="8" t="s">
        <v>15354</v>
      </c>
      <c r="Z3345" s="8" t="s">
        <v>15355</v>
      </c>
    </row>
    <row r="3346" spans="1:26" x14ac:dyDescent="0.2">
      <c r="A3346" s="8">
        <v>3345</v>
      </c>
      <c r="B3346" s="8" t="s">
        <v>15356</v>
      </c>
      <c r="C3346" s="8" t="s">
        <v>15356</v>
      </c>
      <c r="G3346" s="8">
        <v>15</v>
      </c>
      <c r="H3346" s="8" t="s">
        <v>21</v>
      </c>
      <c r="I3346" s="8" t="s">
        <v>72</v>
      </c>
      <c r="J3346" s="8" t="s">
        <v>72</v>
      </c>
      <c r="K3346" s="8" t="s">
        <v>73</v>
      </c>
      <c r="L3346" s="8" t="s">
        <v>13194</v>
      </c>
      <c r="M3346" s="8" t="s">
        <v>13195</v>
      </c>
      <c r="N3346" s="8" t="s">
        <v>15357</v>
      </c>
      <c r="O3346" s="8">
        <f>10+43/60+32/3600</f>
        <v>10.725555555555555</v>
      </c>
      <c r="P3346" s="8" t="s">
        <v>15358</v>
      </c>
      <c r="Q3346" s="8">
        <f>+(11+59/60+6/3600)</f>
        <v>11.984999999999999</v>
      </c>
      <c r="R3346" s="8">
        <v>99</v>
      </c>
      <c r="S3346" s="8">
        <v>99</v>
      </c>
      <c r="T3346" s="8">
        <v>99</v>
      </c>
      <c r="U3346" s="8">
        <v>99</v>
      </c>
      <c r="Y3346" s="8" t="s">
        <v>21</v>
      </c>
      <c r="Z3346" s="8" t="s">
        <v>15359</v>
      </c>
    </row>
    <row r="3347" spans="1:26" x14ac:dyDescent="0.2">
      <c r="A3347" s="8">
        <v>3346</v>
      </c>
      <c r="B3347" s="8" t="s">
        <v>15360</v>
      </c>
      <c r="C3347" s="8" t="s">
        <v>15360</v>
      </c>
      <c r="F3347" s="47" t="s">
        <v>56813</v>
      </c>
      <c r="G3347" s="8">
        <v>13</v>
      </c>
      <c r="H3347" s="8" t="s">
        <v>21</v>
      </c>
      <c r="I3347" s="8" t="s">
        <v>22</v>
      </c>
      <c r="J3347" s="8" t="s">
        <v>22</v>
      </c>
      <c r="K3347" s="8" t="s">
        <v>64</v>
      </c>
      <c r="L3347" s="8" t="s">
        <v>13194</v>
      </c>
      <c r="M3347" s="8" t="s">
        <v>13195</v>
      </c>
      <c r="N3347" s="8" t="s">
        <v>15361</v>
      </c>
      <c r="O3347" s="8">
        <f>10+43/60+38.7/3600</f>
        <v>10.727416666666667</v>
      </c>
      <c r="P3347" s="8" t="s">
        <v>15362</v>
      </c>
      <c r="Q3347" s="8">
        <f>+(14+52/60+20/3600)</f>
        <v>14.872222222222224</v>
      </c>
      <c r="R3347" s="8">
        <v>11.7</v>
      </c>
      <c r="S3347" s="8">
        <v>12.4</v>
      </c>
      <c r="T3347" s="8">
        <v>0.7</v>
      </c>
      <c r="U3347" s="8">
        <v>13.7</v>
      </c>
      <c r="V3347" s="8">
        <v>2.7</v>
      </c>
      <c r="W3347" s="8">
        <v>2.6</v>
      </c>
      <c r="X3347" s="8">
        <v>90</v>
      </c>
      <c r="Y3347" s="8" t="s">
        <v>15363</v>
      </c>
      <c r="Z3347" s="8" t="s">
        <v>15364</v>
      </c>
    </row>
    <row r="3348" spans="1:26" x14ac:dyDescent="0.2">
      <c r="A3348" s="8">
        <v>3347</v>
      </c>
      <c r="B3348" s="8" t="s">
        <v>15365</v>
      </c>
      <c r="C3348" s="8" t="s">
        <v>15365</v>
      </c>
      <c r="F3348" s="47"/>
      <c r="G3348" s="8">
        <v>16</v>
      </c>
      <c r="H3348" s="8" t="s">
        <v>21</v>
      </c>
      <c r="I3348" s="8" t="s">
        <v>22</v>
      </c>
      <c r="J3348" s="8" t="s">
        <v>22</v>
      </c>
      <c r="K3348" s="8" t="s">
        <v>218</v>
      </c>
      <c r="L3348" s="8" t="s">
        <v>13374</v>
      </c>
      <c r="M3348" s="8" t="s">
        <v>13375</v>
      </c>
      <c r="N3348" s="8" t="s">
        <v>15366</v>
      </c>
      <c r="O3348" s="8">
        <f>10+42/60+46.6/3600</f>
        <v>10.712944444444444</v>
      </c>
      <c r="P3348" s="8" t="s">
        <v>15367</v>
      </c>
      <c r="Q3348" s="8">
        <f>-(36+21/60+12/3600)</f>
        <v>-36.353333333333332</v>
      </c>
      <c r="R3348" s="8">
        <v>11.3</v>
      </c>
      <c r="S3348" s="8">
        <v>12.2</v>
      </c>
      <c r="T3348" s="8">
        <v>0.9</v>
      </c>
      <c r="U3348" s="8">
        <v>13.4</v>
      </c>
      <c r="V3348" s="8">
        <v>3.4</v>
      </c>
      <c r="W3348" s="8">
        <v>2.1</v>
      </c>
      <c r="X3348" s="8">
        <v>173</v>
      </c>
      <c r="Y3348" s="8" t="s">
        <v>15368</v>
      </c>
      <c r="Z3348" s="8" t="s">
        <v>15369</v>
      </c>
    </row>
    <row r="3349" spans="1:26" x14ac:dyDescent="0.2">
      <c r="A3349" s="8">
        <v>3348</v>
      </c>
      <c r="B3349" s="8" t="s">
        <v>15370</v>
      </c>
      <c r="C3349" s="8" t="s">
        <v>15370</v>
      </c>
      <c r="F3349" s="47" t="s">
        <v>56814</v>
      </c>
      <c r="G3349" s="8">
        <v>12</v>
      </c>
      <c r="H3349" s="8" t="s">
        <v>21</v>
      </c>
      <c r="I3349" s="8" t="s">
        <v>22</v>
      </c>
      <c r="J3349" s="8" t="s">
        <v>22</v>
      </c>
      <c r="K3349" s="8" t="s">
        <v>460</v>
      </c>
      <c r="L3349" s="8" t="s">
        <v>12015</v>
      </c>
      <c r="M3349" s="8" t="s">
        <v>12016</v>
      </c>
      <c r="N3349" s="8" t="s">
        <v>15371</v>
      </c>
      <c r="O3349" s="8">
        <f>10+47/60+10/3600</f>
        <v>10.786111111111111</v>
      </c>
      <c r="P3349" s="8" t="s">
        <v>15372</v>
      </c>
      <c r="Q3349" s="8">
        <f>+(72+50/60+20/3600)</f>
        <v>72.838888888888889</v>
      </c>
      <c r="R3349" s="8">
        <v>11.1</v>
      </c>
      <c r="S3349" s="8">
        <v>12.2</v>
      </c>
      <c r="T3349" s="8">
        <v>1.1000000000000001</v>
      </c>
      <c r="U3349" s="8">
        <v>12.6</v>
      </c>
      <c r="V3349" s="8">
        <v>2</v>
      </c>
      <c r="W3349" s="8">
        <v>2</v>
      </c>
      <c r="Y3349" s="8" t="s">
        <v>21</v>
      </c>
      <c r="Z3349" s="8" t="s">
        <v>15373</v>
      </c>
    </row>
    <row r="3350" spans="1:26" x14ac:dyDescent="0.2">
      <c r="A3350" s="8">
        <v>3349</v>
      </c>
      <c r="B3350" s="8" t="s">
        <v>15374</v>
      </c>
      <c r="C3350" s="8" t="s">
        <v>15374</v>
      </c>
      <c r="E3350" s="8">
        <v>2</v>
      </c>
      <c r="F3350" s="47"/>
      <c r="G3350" s="8">
        <v>18</v>
      </c>
      <c r="H3350" s="8" t="s">
        <v>21</v>
      </c>
      <c r="I3350" s="8" t="s">
        <v>22</v>
      </c>
      <c r="J3350" s="8" t="s">
        <v>22</v>
      </c>
      <c r="K3350" s="8" t="s">
        <v>1174</v>
      </c>
      <c r="L3350" s="8" t="s">
        <v>13194</v>
      </c>
      <c r="M3350" s="8" t="s">
        <v>13195</v>
      </c>
      <c r="N3350" s="8" t="s">
        <v>15375</v>
      </c>
      <c r="O3350" s="8">
        <f>10+43/60+52.7/3600</f>
        <v>10.731305555555556</v>
      </c>
      <c r="P3350" s="8" t="s">
        <v>15376</v>
      </c>
      <c r="Q3350" s="8">
        <f>+(6+45/60+26/3600)</f>
        <v>6.7572222222222225</v>
      </c>
      <c r="R3350" s="8">
        <v>14.4</v>
      </c>
      <c r="S3350" s="8">
        <v>15.2</v>
      </c>
      <c r="T3350" s="8">
        <v>0.8</v>
      </c>
      <c r="U3350" s="8">
        <v>12.2</v>
      </c>
      <c r="V3350" s="8">
        <v>0.5</v>
      </c>
      <c r="W3350" s="8">
        <v>0.3</v>
      </c>
      <c r="X3350" s="8">
        <v>15</v>
      </c>
      <c r="Y3350" s="8" t="s">
        <v>266</v>
      </c>
      <c r="Z3350" s="8" t="s">
        <v>267</v>
      </c>
    </row>
    <row r="3351" spans="1:26" x14ac:dyDescent="0.2">
      <c r="A3351" s="8">
        <v>3350</v>
      </c>
      <c r="B3351" s="8" t="s">
        <v>15377</v>
      </c>
      <c r="C3351" s="8" t="s">
        <v>15377</v>
      </c>
      <c r="F3351" s="47"/>
      <c r="G3351" s="8">
        <v>16</v>
      </c>
      <c r="H3351" s="8" t="s">
        <v>21</v>
      </c>
      <c r="I3351" s="8" t="s">
        <v>22</v>
      </c>
      <c r="J3351" s="8" t="s">
        <v>22</v>
      </c>
      <c r="K3351" s="8" t="s">
        <v>37</v>
      </c>
      <c r="L3351" s="8" t="s">
        <v>13179</v>
      </c>
      <c r="M3351" s="8" t="s">
        <v>13180</v>
      </c>
      <c r="N3351" s="8" t="s">
        <v>15378</v>
      </c>
      <c r="O3351" s="8">
        <f>10+44/60+22.9/3600</f>
        <v>10.739694444444444</v>
      </c>
      <c r="P3351" s="8" t="s">
        <v>15379</v>
      </c>
      <c r="Q3351" s="8">
        <f>+(30+43/60+31/3600)</f>
        <v>30.725277777777777</v>
      </c>
      <c r="R3351" s="8">
        <v>14.3</v>
      </c>
      <c r="S3351" s="8">
        <v>15.3</v>
      </c>
      <c r="T3351" s="8">
        <v>1</v>
      </c>
      <c r="U3351" s="8">
        <v>13.1</v>
      </c>
      <c r="V3351" s="8">
        <v>0.6</v>
      </c>
      <c r="W3351" s="8">
        <v>0.6</v>
      </c>
      <c r="Y3351" s="8" t="s">
        <v>15380</v>
      </c>
      <c r="Z3351" s="8" t="s">
        <v>15381</v>
      </c>
    </row>
    <row r="3352" spans="1:26" x14ac:dyDescent="0.2">
      <c r="A3352" s="8">
        <v>3351</v>
      </c>
      <c r="B3352" s="8" t="s">
        <v>15382</v>
      </c>
      <c r="C3352" s="8" t="s">
        <v>55889</v>
      </c>
      <c r="F3352" s="47" t="s">
        <v>56815</v>
      </c>
      <c r="G3352" s="8">
        <v>1</v>
      </c>
      <c r="H3352" s="8" t="s">
        <v>21</v>
      </c>
      <c r="I3352" s="8" t="s">
        <v>22</v>
      </c>
      <c r="J3352" s="8" t="s">
        <v>22</v>
      </c>
      <c r="K3352" s="8" t="s">
        <v>218</v>
      </c>
      <c r="L3352" s="8" t="s">
        <v>13194</v>
      </c>
      <c r="M3352" s="8" t="s">
        <v>13195</v>
      </c>
      <c r="N3352" s="8" t="s">
        <v>15383</v>
      </c>
      <c r="O3352" s="8">
        <f>10+43/60+57.8/3600</f>
        <v>10.732722222222222</v>
      </c>
      <c r="P3352" s="8" t="s">
        <v>15384</v>
      </c>
      <c r="Q3352" s="8">
        <f>+(11+42/60+12/3600)</f>
        <v>11.703333333333333</v>
      </c>
      <c r="R3352" s="8">
        <v>9.6999999999999993</v>
      </c>
      <c r="S3352" s="8">
        <v>10.5</v>
      </c>
      <c r="T3352" s="8">
        <v>0.8</v>
      </c>
      <c r="U3352" s="8">
        <v>13.5</v>
      </c>
      <c r="V3352" s="8">
        <v>7.4</v>
      </c>
      <c r="W3352" s="8">
        <v>5</v>
      </c>
      <c r="X3352" s="8">
        <v>13</v>
      </c>
      <c r="Y3352" s="8" t="s">
        <v>15385</v>
      </c>
      <c r="Z3352" s="8" t="s">
        <v>15386</v>
      </c>
    </row>
    <row r="3353" spans="1:26" x14ac:dyDescent="0.2">
      <c r="A3353" s="8">
        <v>3352</v>
      </c>
      <c r="B3353" s="8" t="s">
        <v>15387</v>
      </c>
      <c r="C3353" s="8" t="s">
        <v>15387</v>
      </c>
      <c r="F3353" s="47"/>
      <c r="G3353" s="8">
        <v>19</v>
      </c>
      <c r="H3353" s="8" t="s">
        <v>21</v>
      </c>
      <c r="I3353" s="8" t="s">
        <v>22</v>
      </c>
      <c r="J3353" s="8" t="s">
        <v>22</v>
      </c>
      <c r="K3353" s="8" t="s">
        <v>37</v>
      </c>
      <c r="L3353" s="8" t="s">
        <v>13194</v>
      </c>
      <c r="M3353" s="8" t="s">
        <v>13195</v>
      </c>
      <c r="N3353" s="8" t="s">
        <v>15388</v>
      </c>
      <c r="O3353" s="8">
        <f>10+44/60+14.8/3600</f>
        <v>10.737444444444444</v>
      </c>
      <c r="P3353" s="8" t="s">
        <v>15389</v>
      </c>
      <c r="Q3353" s="8">
        <f>+(22+22/60+17/3600)</f>
        <v>22.371388888888891</v>
      </c>
      <c r="R3353" s="8">
        <v>12.6</v>
      </c>
      <c r="S3353" s="8">
        <v>13.5</v>
      </c>
      <c r="T3353" s="8">
        <v>0.9</v>
      </c>
      <c r="U3353" s="8">
        <v>13.1</v>
      </c>
      <c r="V3353" s="8">
        <v>1.6</v>
      </c>
      <c r="W3353" s="8">
        <v>1.2</v>
      </c>
      <c r="X3353" s="8">
        <v>0</v>
      </c>
      <c r="Y3353" s="8" t="s">
        <v>15390</v>
      </c>
      <c r="Z3353" s="8" t="s">
        <v>15391</v>
      </c>
    </row>
    <row r="3354" spans="1:26" x14ac:dyDescent="0.2">
      <c r="A3354" s="8">
        <v>3353</v>
      </c>
      <c r="B3354" s="8" t="s">
        <v>15392</v>
      </c>
      <c r="C3354" s="8" t="s">
        <v>15392</v>
      </c>
      <c r="F3354" s="47" t="s">
        <v>56816</v>
      </c>
      <c r="G3354" s="8">
        <v>13</v>
      </c>
      <c r="H3354" s="8" t="s">
        <v>21</v>
      </c>
      <c r="I3354" s="8" t="s">
        <v>22</v>
      </c>
      <c r="J3354" s="8" t="s">
        <v>22</v>
      </c>
      <c r="K3354" s="8" t="s">
        <v>23</v>
      </c>
      <c r="L3354" s="8" t="s">
        <v>12015</v>
      </c>
      <c r="M3354" s="8" t="s">
        <v>12016</v>
      </c>
      <c r="N3354" s="8" t="s">
        <v>15393</v>
      </c>
      <c r="O3354" s="8">
        <f>10+45/60+22.2/3600</f>
        <v>10.756166666666667</v>
      </c>
      <c r="P3354" s="8" t="s">
        <v>15394</v>
      </c>
      <c r="Q3354" s="8">
        <f>+(55+57/60+35/3600)</f>
        <v>55.959722222222226</v>
      </c>
      <c r="R3354" s="8">
        <v>12.8</v>
      </c>
      <c r="S3354" s="8">
        <v>13.3</v>
      </c>
      <c r="T3354" s="8">
        <v>0.5</v>
      </c>
      <c r="U3354" s="8">
        <v>12.9</v>
      </c>
      <c r="V3354" s="8">
        <v>1.4</v>
      </c>
      <c r="W3354" s="8">
        <v>1</v>
      </c>
      <c r="X3354" s="8">
        <v>60</v>
      </c>
      <c r="Y3354" s="8" t="s">
        <v>15395</v>
      </c>
      <c r="Z3354" s="8" t="s">
        <v>15396</v>
      </c>
    </row>
    <row r="3355" spans="1:26" x14ac:dyDescent="0.2">
      <c r="A3355" s="8">
        <v>3354</v>
      </c>
      <c r="B3355" s="8" t="s">
        <v>15397</v>
      </c>
      <c r="C3355" s="8" t="s">
        <v>15397</v>
      </c>
      <c r="F3355" s="47"/>
      <c r="G3355" s="8">
        <v>16</v>
      </c>
      <c r="H3355" s="8" t="s">
        <v>21</v>
      </c>
      <c r="I3355" s="8" t="s">
        <v>22</v>
      </c>
      <c r="J3355" s="8" t="s">
        <v>22</v>
      </c>
      <c r="K3355" s="8" t="s">
        <v>476</v>
      </c>
      <c r="L3355" s="8" t="s">
        <v>13374</v>
      </c>
      <c r="M3355" s="8" t="s">
        <v>13375</v>
      </c>
      <c r="N3355" s="8" t="s">
        <v>15398</v>
      </c>
      <c r="O3355" s="8">
        <f>10+43/60+2.8/3600</f>
        <v>10.717444444444444</v>
      </c>
      <c r="P3355" s="8" t="s">
        <v>15399</v>
      </c>
      <c r="Q3355" s="8">
        <f>-(36+21/60+46/3600)</f>
        <v>-36.362777777777779</v>
      </c>
      <c r="R3355" s="8">
        <v>13.2</v>
      </c>
      <c r="S3355" s="8">
        <v>13.7</v>
      </c>
      <c r="T3355" s="8">
        <v>0.5</v>
      </c>
      <c r="U3355" s="8">
        <v>12.4</v>
      </c>
      <c r="V3355" s="8">
        <v>0.7</v>
      </c>
      <c r="W3355" s="8">
        <v>0.7</v>
      </c>
      <c r="Y3355" s="8" t="s">
        <v>15400</v>
      </c>
      <c r="Z3355" s="8" t="s">
        <v>15401</v>
      </c>
    </row>
    <row r="3356" spans="1:26" x14ac:dyDescent="0.2">
      <c r="A3356" s="8">
        <v>3355</v>
      </c>
      <c r="B3356" s="8" t="s">
        <v>15402</v>
      </c>
      <c r="C3356" s="8" t="s">
        <v>15402</v>
      </c>
      <c r="F3356" s="47"/>
      <c r="G3356" s="8">
        <v>19</v>
      </c>
      <c r="H3356" s="8" t="s">
        <v>21</v>
      </c>
      <c r="I3356" s="8" t="s">
        <v>329</v>
      </c>
      <c r="J3356" s="8" t="s">
        <v>329</v>
      </c>
      <c r="K3356" s="8" t="s">
        <v>329</v>
      </c>
      <c r="L3356" s="8" t="s">
        <v>11765</v>
      </c>
      <c r="M3356" s="8" t="s">
        <v>11766</v>
      </c>
      <c r="N3356" s="8" t="s">
        <v>15403</v>
      </c>
      <c r="O3356" s="8">
        <f>10+43/60+32.6/3600</f>
        <v>10.725722222222222</v>
      </c>
      <c r="P3356" s="8" t="s">
        <v>15404</v>
      </c>
      <c r="Q3356" s="8">
        <f>-(23+11/60+36/3600)</f>
        <v>-23.193333333333335</v>
      </c>
      <c r="R3356" s="8">
        <v>99</v>
      </c>
      <c r="S3356" s="8">
        <v>99</v>
      </c>
      <c r="T3356" s="8">
        <v>99</v>
      </c>
      <c r="U3356" s="8">
        <v>99</v>
      </c>
      <c r="Y3356" s="8" t="s">
        <v>14373</v>
      </c>
      <c r="Z3356" s="8" t="s">
        <v>14374</v>
      </c>
    </row>
    <row r="3357" spans="1:26" x14ac:dyDescent="0.2">
      <c r="A3357" s="8">
        <v>3356</v>
      </c>
      <c r="B3357" s="8" t="s">
        <v>15405</v>
      </c>
      <c r="C3357" s="8" t="s">
        <v>15405</v>
      </c>
      <c r="F3357" s="47" t="s">
        <v>56817</v>
      </c>
      <c r="G3357" s="8">
        <v>15</v>
      </c>
      <c r="H3357" s="8" t="s">
        <v>21</v>
      </c>
      <c r="I3357" s="8" t="s">
        <v>22</v>
      </c>
      <c r="J3357" s="8" t="s">
        <v>22</v>
      </c>
      <c r="K3357" s="8" t="s">
        <v>396</v>
      </c>
      <c r="L3357" s="8" t="s">
        <v>13194</v>
      </c>
      <c r="M3357" s="8" t="s">
        <v>13195</v>
      </c>
      <c r="N3357" s="8" t="s">
        <v>15406</v>
      </c>
      <c r="O3357" s="8">
        <f>10+44/60+12.4/3600</f>
        <v>10.736777777777776</v>
      </c>
      <c r="P3357" s="8" t="s">
        <v>15407</v>
      </c>
      <c r="Q3357" s="8">
        <f>+(6+45/60+32/3600)</f>
        <v>6.7588888888888885</v>
      </c>
      <c r="R3357" s="8">
        <v>13.3</v>
      </c>
      <c r="S3357" s="8">
        <v>13.8</v>
      </c>
      <c r="T3357" s="8">
        <v>0.5</v>
      </c>
      <c r="U3357" s="8">
        <v>13.5</v>
      </c>
      <c r="V3357" s="8">
        <v>1.7</v>
      </c>
      <c r="W3357" s="8">
        <v>0.8</v>
      </c>
      <c r="X3357" s="8">
        <v>102</v>
      </c>
      <c r="Y3357" s="8" t="s">
        <v>15408</v>
      </c>
      <c r="Z3357" s="8" t="s">
        <v>15409</v>
      </c>
    </row>
    <row r="3358" spans="1:26" x14ac:dyDescent="0.2">
      <c r="A3358" s="8">
        <v>3357</v>
      </c>
      <c r="B3358" s="8" t="s">
        <v>15410</v>
      </c>
      <c r="C3358" s="8" t="s">
        <v>15410</v>
      </c>
      <c r="F3358" s="47"/>
      <c r="G3358" s="8">
        <v>18</v>
      </c>
      <c r="H3358" s="8" t="s">
        <v>21</v>
      </c>
      <c r="I3358" s="8" t="s">
        <v>22</v>
      </c>
      <c r="J3358" s="8" t="s">
        <v>22</v>
      </c>
      <c r="K3358" s="8" t="s">
        <v>183</v>
      </c>
      <c r="L3358" s="8" t="s">
        <v>13194</v>
      </c>
      <c r="M3358" s="8" t="s">
        <v>13195</v>
      </c>
      <c r="N3358" s="8" t="s">
        <v>15411</v>
      </c>
      <c r="O3358" s="8">
        <f>10+44/60+20.9/3600</f>
        <v>10.739138888888888</v>
      </c>
      <c r="P3358" s="8" t="s">
        <v>15412</v>
      </c>
      <c r="Q3358" s="8">
        <f>+(14+5/60+4/3600)</f>
        <v>14.084444444444445</v>
      </c>
      <c r="R3358" s="8">
        <v>12.7</v>
      </c>
      <c r="S3358" s="8">
        <v>13.7</v>
      </c>
      <c r="T3358" s="8">
        <v>1</v>
      </c>
      <c r="U3358" s="8">
        <v>13.3</v>
      </c>
      <c r="V3358" s="8">
        <v>1.3</v>
      </c>
      <c r="W3358" s="8">
        <v>1.2</v>
      </c>
      <c r="X3358" s="8">
        <v>90</v>
      </c>
      <c r="Y3358" s="8" t="s">
        <v>15413</v>
      </c>
      <c r="Z3358" s="8" t="s">
        <v>15414</v>
      </c>
    </row>
    <row r="3359" spans="1:26" x14ac:dyDescent="0.2">
      <c r="A3359" s="8">
        <v>3358</v>
      </c>
      <c r="B3359" s="8" t="s">
        <v>15415</v>
      </c>
      <c r="C3359" s="8" t="s">
        <v>15415</v>
      </c>
      <c r="F3359" s="47"/>
      <c r="G3359" s="8">
        <v>16</v>
      </c>
      <c r="H3359" s="8" t="s">
        <v>21</v>
      </c>
      <c r="I3359" s="8" t="s">
        <v>22</v>
      </c>
      <c r="J3359" s="8" t="s">
        <v>22</v>
      </c>
      <c r="K3359" s="8" t="s">
        <v>435</v>
      </c>
      <c r="L3359" s="8" t="s">
        <v>13374</v>
      </c>
      <c r="M3359" s="8" t="s">
        <v>13375</v>
      </c>
      <c r="N3359" s="8" t="s">
        <v>15416</v>
      </c>
      <c r="O3359" s="8">
        <f>10+43/60+33/3600</f>
        <v>10.725833333333334</v>
      </c>
      <c r="P3359" s="8" t="s">
        <v>15417</v>
      </c>
      <c r="Q3359" s="8">
        <f>-(36+24/60+39/3600)</f>
        <v>-36.410833333333329</v>
      </c>
      <c r="R3359" s="8">
        <v>11.4</v>
      </c>
      <c r="S3359" s="8">
        <v>12.3</v>
      </c>
      <c r="T3359" s="8">
        <v>0.9</v>
      </c>
      <c r="U3359" s="8">
        <v>13.3</v>
      </c>
      <c r="V3359" s="8">
        <v>3.2</v>
      </c>
      <c r="W3359" s="8">
        <v>1.8</v>
      </c>
      <c r="X3359" s="8">
        <v>141</v>
      </c>
      <c r="Y3359" s="8" t="s">
        <v>15418</v>
      </c>
      <c r="Z3359" s="8" t="s">
        <v>15419</v>
      </c>
    </row>
    <row r="3360" spans="1:26" x14ac:dyDescent="0.2">
      <c r="A3360" s="8">
        <v>3359</v>
      </c>
      <c r="B3360" s="8" t="s">
        <v>15420</v>
      </c>
      <c r="C3360" s="8" t="s">
        <v>15420</v>
      </c>
      <c r="F3360" s="47" t="s">
        <v>56818</v>
      </c>
      <c r="G3360" s="8">
        <v>6.5</v>
      </c>
      <c r="H3360" s="8" t="s">
        <v>21</v>
      </c>
      <c r="I3360" s="8" t="s">
        <v>22</v>
      </c>
      <c r="J3360" s="8" t="s">
        <v>22</v>
      </c>
      <c r="K3360" s="8" t="s">
        <v>64</v>
      </c>
      <c r="L3360" s="8" t="s">
        <v>12015</v>
      </c>
      <c r="M3360" s="8" t="s">
        <v>12016</v>
      </c>
      <c r="N3360" s="8" t="s">
        <v>15421</v>
      </c>
      <c r="O3360" s="8">
        <f>10+46/60+36.3/3600</f>
        <v>10.776750000000002</v>
      </c>
      <c r="P3360" s="8" t="s">
        <v>15422</v>
      </c>
      <c r="Q3360" s="8">
        <f>+(63+13/60+24/3600)</f>
        <v>63.223333333333336</v>
      </c>
      <c r="R3360" s="8">
        <v>10.6</v>
      </c>
      <c r="S3360" s="8">
        <v>11</v>
      </c>
      <c r="T3360" s="8">
        <v>0.4</v>
      </c>
      <c r="U3360" s="8">
        <v>14.2</v>
      </c>
      <c r="V3360" s="8">
        <v>7.2</v>
      </c>
      <c r="W3360" s="8">
        <v>4.4000000000000004</v>
      </c>
      <c r="X3360" s="8">
        <v>170</v>
      </c>
      <c r="Y3360" s="8" t="s">
        <v>15423</v>
      </c>
      <c r="Z3360" s="8" t="s">
        <v>15424</v>
      </c>
    </row>
    <row r="3361" spans="1:26" x14ac:dyDescent="0.2">
      <c r="A3361" s="8">
        <v>3360</v>
      </c>
      <c r="B3361" s="8" t="s">
        <v>15425</v>
      </c>
      <c r="C3361" s="8" t="s">
        <v>15425</v>
      </c>
      <c r="F3361" s="47"/>
      <c r="G3361" s="8">
        <v>19</v>
      </c>
      <c r="H3361" s="8" t="s">
        <v>21</v>
      </c>
      <c r="I3361" s="8" t="s">
        <v>22</v>
      </c>
      <c r="J3361" s="8" t="s">
        <v>22</v>
      </c>
      <c r="K3361" s="8" t="s">
        <v>160</v>
      </c>
      <c r="L3361" s="8" t="s">
        <v>12234</v>
      </c>
      <c r="M3361" s="8" t="s">
        <v>12235</v>
      </c>
      <c r="N3361" s="8" t="s">
        <v>15426</v>
      </c>
      <c r="O3361" s="8">
        <f>10+44/60+16.2/3600</f>
        <v>10.737833333333333</v>
      </c>
      <c r="P3361" s="8" t="s">
        <v>15427</v>
      </c>
      <c r="Q3361" s="8">
        <f>-(11+14/60+33/3600)</f>
        <v>-11.2425</v>
      </c>
      <c r="R3361" s="8">
        <v>13.7</v>
      </c>
      <c r="S3361" s="8">
        <v>14.4</v>
      </c>
      <c r="T3361" s="8">
        <v>0.7</v>
      </c>
      <c r="U3361" s="8">
        <v>13.6</v>
      </c>
      <c r="V3361" s="8">
        <v>1.2</v>
      </c>
      <c r="W3361" s="8">
        <v>0.9</v>
      </c>
      <c r="X3361" s="8">
        <v>55</v>
      </c>
      <c r="Y3361" s="8" t="s">
        <v>15428</v>
      </c>
      <c r="Z3361" s="8" t="s">
        <v>15429</v>
      </c>
    </row>
    <row r="3362" spans="1:26" x14ac:dyDescent="0.2">
      <c r="A3362" s="8">
        <v>3361</v>
      </c>
      <c r="B3362" s="8" t="s">
        <v>15430</v>
      </c>
      <c r="C3362" s="8" t="s">
        <v>15430</v>
      </c>
      <c r="F3362" s="47"/>
      <c r="G3362" s="8">
        <v>19</v>
      </c>
      <c r="H3362" s="8" t="s">
        <v>21</v>
      </c>
      <c r="I3362" s="8" t="s">
        <v>22</v>
      </c>
      <c r="J3362" s="8" t="s">
        <v>22</v>
      </c>
      <c r="K3362" s="8" t="s">
        <v>64</v>
      </c>
      <c r="L3362" s="8" t="s">
        <v>12234</v>
      </c>
      <c r="M3362" s="8" t="s">
        <v>12235</v>
      </c>
      <c r="N3362" s="8" t="s">
        <v>15431</v>
      </c>
      <c r="O3362" s="8">
        <f>10+44/60+29.1/3600</f>
        <v>10.741416666666666</v>
      </c>
      <c r="P3362" s="8" t="s">
        <v>15432</v>
      </c>
      <c r="Q3362" s="8">
        <f>-(11+12/60+29/3600)</f>
        <v>-11.208055555555555</v>
      </c>
      <c r="R3362" s="8">
        <v>12.8</v>
      </c>
      <c r="S3362" s="8">
        <v>13.4</v>
      </c>
      <c r="T3362" s="8">
        <v>0.6</v>
      </c>
      <c r="U3362" s="8">
        <v>13.6</v>
      </c>
      <c r="V3362" s="8">
        <v>2.1</v>
      </c>
      <c r="W3362" s="8">
        <v>0.8</v>
      </c>
      <c r="X3362" s="8">
        <v>155</v>
      </c>
      <c r="Y3362" s="8" t="s">
        <v>15428</v>
      </c>
      <c r="Z3362" s="8" t="s">
        <v>15429</v>
      </c>
    </row>
    <row r="3363" spans="1:26" x14ac:dyDescent="0.2">
      <c r="A3363" s="8">
        <v>3362</v>
      </c>
      <c r="B3363" s="8" t="s">
        <v>15433</v>
      </c>
      <c r="C3363" s="8" t="s">
        <v>15433</v>
      </c>
      <c r="F3363" s="47"/>
      <c r="G3363" s="8">
        <v>18</v>
      </c>
      <c r="H3363" s="8" t="s">
        <v>21</v>
      </c>
      <c r="I3363" s="8" t="s">
        <v>22</v>
      </c>
      <c r="J3363" s="8" t="s">
        <v>22</v>
      </c>
      <c r="K3363" s="8" t="s">
        <v>160</v>
      </c>
      <c r="L3363" s="8" t="s">
        <v>13194</v>
      </c>
      <c r="M3363" s="8" t="s">
        <v>13195</v>
      </c>
      <c r="N3363" s="8" t="s">
        <v>15434</v>
      </c>
      <c r="O3363" s="8">
        <f>10+44/60+51.7/3600</f>
        <v>10.747694444444443</v>
      </c>
      <c r="P3363" s="8" t="s">
        <v>15435</v>
      </c>
      <c r="Q3363" s="8">
        <f>+(6+35/60+50/3600)</f>
        <v>6.5972222222222223</v>
      </c>
      <c r="R3363" s="8">
        <v>12.8</v>
      </c>
      <c r="S3363" s="8">
        <v>13.5</v>
      </c>
      <c r="T3363" s="8">
        <v>0.7</v>
      </c>
      <c r="U3363" s="8">
        <v>13.1</v>
      </c>
      <c r="V3363" s="8">
        <v>1.4</v>
      </c>
      <c r="W3363" s="8">
        <v>1.1000000000000001</v>
      </c>
      <c r="X3363" s="8">
        <v>54</v>
      </c>
      <c r="Y3363" s="8" t="s">
        <v>151</v>
      </c>
      <c r="Z3363" s="8" t="s">
        <v>152</v>
      </c>
    </row>
    <row r="3364" spans="1:26" x14ac:dyDescent="0.2">
      <c r="A3364" s="8">
        <v>3363</v>
      </c>
      <c r="B3364" s="8" t="s">
        <v>15436</v>
      </c>
      <c r="C3364" s="8" t="s">
        <v>15436</v>
      </c>
      <c r="F3364" s="47"/>
      <c r="G3364" s="8">
        <v>19</v>
      </c>
      <c r="H3364" s="8" t="s">
        <v>21</v>
      </c>
      <c r="I3364" s="8" t="s">
        <v>22</v>
      </c>
      <c r="J3364" s="8" t="s">
        <v>22</v>
      </c>
      <c r="K3364" s="8" t="s">
        <v>160</v>
      </c>
      <c r="L3364" s="8" t="s">
        <v>13194</v>
      </c>
      <c r="M3364" s="8" t="s">
        <v>13195</v>
      </c>
      <c r="N3364" s="8" t="s">
        <v>15437</v>
      </c>
      <c r="O3364" s="8">
        <f>10+45/60+9.5/3600</f>
        <v>10.752638888888889</v>
      </c>
      <c r="P3364" s="8" t="s">
        <v>15438</v>
      </c>
      <c r="Q3364" s="8">
        <f>+(22+4/60+43/3600)</f>
        <v>22.078611111111112</v>
      </c>
      <c r="R3364" s="8">
        <v>13.4</v>
      </c>
      <c r="S3364" s="8">
        <v>14.1</v>
      </c>
      <c r="T3364" s="8">
        <v>0.7</v>
      </c>
      <c r="U3364" s="8">
        <v>13.3</v>
      </c>
      <c r="V3364" s="8">
        <v>1.3</v>
      </c>
      <c r="W3364" s="8">
        <v>0.8</v>
      </c>
      <c r="X3364" s="8">
        <v>0</v>
      </c>
      <c r="Y3364" s="8" t="s">
        <v>15439</v>
      </c>
      <c r="Z3364" s="8" t="s">
        <v>15440</v>
      </c>
    </row>
    <row r="3365" spans="1:26" x14ac:dyDescent="0.2">
      <c r="A3365" s="8">
        <v>3364</v>
      </c>
      <c r="B3365" s="8" t="s">
        <v>15441</v>
      </c>
      <c r="C3365" s="8" t="s">
        <v>15441</v>
      </c>
      <c r="F3365" s="47" t="s">
        <v>56819</v>
      </c>
      <c r="G3365" s="8">
        <v>15</v>
      </c>
      <c r="H3365" s="8" t="s">
        <v>21</v>
      </c>
      <c r="I3365" s="8" t="s">
        <v>22</v>
      </c>
      <c r="J3365" s="8" t="s">
        <v>22</v>
      </c>
      <c r="K3365" s="8" t="s">
        <v>85</v>
      </c>
      <c r="L3365" s="8" t="s">
        <v>12015</v>
      </c>
      <c r="M3365" s="8" t="s">
        <v>12016</v>
      </c>
      <c r="N3365" s="8" t="s">
        <v>15442</v>
      </c>
      <c r="O3365" s="8">
        <f>10+48/60+29.5/3600</f>
        <v>10.808194444444446</v>
      </c>
      <c r="P3365" s="8" t="s">
        <v>15443</v>
      </c>
      <c r="Q3365" s="8">
        <f>+(72+25/60+30/3600)</f>
        <v>72.425000000000011</v>
      </c>
      <c r="R3365" s="8">
        <v>12.8</v>
      </c>
      <c r="S3365" s="8">
        <v>13.7</v>
      </c>
      <c r="T3365" s="8">
        <v>0.9</v>
      </c>
      <c r="U3365" s="8">
        <v>13.5</v>
      </c>
      <c r="V3365" s="8">
        <v>1.5</v>
      </c>
      <c r="W3365" s="8">
        <v>1.5</v>
      </c>
      <c r="Y3365" s="8" t="s">
        <v>15444</v>
      </c>
      <c r="Z3365" s="8" t="s">
        <v>15445</v>
      </c>
    </row>
    <row r="3366" spans="1:26" x14ac:dyDescent="0.2">
      <c r="A3366" s="8">
        <v>3365</v>
      </c>
      <c r="B3366" s="8" t="s">
        <v>15446</v>
      </c>
      <c r="C3366" s="8" t="s">
        <v>15446</v>
      </c>
      <c r="F3366" s="47"/>
      <c r="G3366" s="8">
        <v>16</v>
      </c>
      <c r="H3366" s="8" t="s">
        <v>21</v>
      </c>
      <c r="I3366" s="8" t="s">
        <v>22</v>
      </c>
      <c r="J3366" s="8" t="s">
        <v>22</v>
      </c>
      <c r="K3366" s="8" t="s">
        <v>160</v>
      </c>
      <c r="L3366" s="8" t="s">
        <v>12234</v>
      </c>
      <c r="M3366" s="8" t="s">
        <v>12235</v>
      </c>
      <c r="N3366" s="8" t="s">
        <v>15447</v>
      </c>
      <c r="O3366" s="8">
        <f>10+46/60+12.7/3600</f>
        <v>10.770194444444446</v>
      </c>
      <c r="P3366" s="8" t="s">
        <v>15448</v>
      </c>
      <c r="Q3366" s="8">
        <f>+(1+48/60+46/3600)</f>
        <v>1.8127777777777778</v>
      </c>
      <c r="R3366" s="8">
        <v>12.6</v>
      </c>
      <c r="S3366" s="8">
        <v>13.2</v>
      </c>
      <c r="T3366" s="8">
        <v>0.6</v>
      </c>
      <c r="U3366" s="8">
        <v>13.8</v>
      </c>
      <c r="V3366" s="8">
        <v>4.5</v>
      </c>
      <c r="W3366" s="8">
        <v>0.8</v>
      </c>
      <c r="X3366" s="8">
        <v>159</v>
      </c>
      <c r="Y3366" s="8" t="s">
        <v>15449</v>
      </c>
      <c r="Z3366" s="8" t="s">
        <v>15450</v>
      </c>
    </row>
    <row r="3367" spans="1:26" x14ac:dyDescent="0.2">
      <c r="A3367" s="8">
        <v>3366</v>
      </c>
      <c r="B3367" s="8" t="s">
        <v>15451</v>
      </c>
      <c r="C3367" s="8" t="s">
        <v>15451</v>
      </c>
      <c r="F3367" s="47"/>
      <c r="G3367" s="8">
        <v>16</v>
      </c>
      <c r="H3367" s="8" t="s">
        <v>21</v>
      </c>
      <c r="I3367" s="8" t="s">
        <v>22</v>
      </c>
      <c r="J3367" s="8" t="s">
        <v>22</v>
      </c>
      <c r="K3367" s="8" t="s">
        <v>218</v>
      </c>
      <c r="L3367" s="8" t="s">
        <v>11757</v>
      </c>
      <c r="M3367" s="8" t="s">
        <v>11758</v>
      </c>
      <c r="N3367" s="8" t="s">
        <v>15452</v>
      </c>
      <c r="O3367" s="8">
        <f>10+35/60+8.1/3600</f>
        <v>10.585583333333334</v>
      </c>
      <c r="P3367" s="8" t="s">
        <v>15453</v>
      </c>
      <c r="Q3367" s="8">
        <f>-(43+41/60+37/3600)</f>
        <v>-43.69361111111111</v>
      </c>
      <c r="R3367" s="8">
        <v>11.3</v>
      </c>
      <c r="S3367" s="8">
        <v>12</v>
      </c>
      <c r="T3367" s="8">
        <v>0.7</v>
      </c>
      <c r="U3367" s="8">
        <v>12.1</v>
      </c>
      <c r="V3367" s="8">
        <v>1.8</v>
      </c>
      <c r="W3367" s="8">
        <v>0.8</v>
      </c>
      <c r="X3367" s="8">
        <v>37</v>
      </c>
      <c r="Y3367" s="8" t="s">
        <v>15454</v>
      </c>
      <c r="Z3367" s="8" t="s">
        <v>15455</v>
      </c>
    </row>
    <row r="3368" spans="1:26" x14ac:dyDescent="0.2">
      <c r="A3368" s="8">
        <v>3367</v>
      </c>
      <c r="B3368" s="8" t="s">
        <v>15456</v>
      </c>
      <c r="C3368" s="8" t="s">
        <v>15456</v>
      </c>
      <c r="F3368" s="47" t="s">
        <v>56820</v>
      </c>
      <c r="G3368" s="8">
        <v>7</v>
      </c>
      <c r="H3368" s="8" t="s">
        <v>21</v>
      </c>
      <c r="I3368" s="8" t="s">
        <v>22</v>
      </c>
      <c r="J3368" s="8" t="s">
        <v>22</v>
      </c>
      <c r="K3368" s="8" t="s">
        <v>64</v>
      </c>
      <c r="L3368" s="8" t="s">
        <v>13194</v>
      </c>
      <c r="M3368" s="8" t="s">
        <v>13195</v>
      </c>
      <c r="N3368" s="8" t="s">
        <v>15457</v>
      </c>
      <c r="O3368" s="8">
        <f>10+46/60+34.9/3600</f>
        <v>10.776361111111111</v>
      </c>
      <c r="P3368" s="8" t="s">
        <v>15458</v>
      </c>
      <c r="Q3368" s="8">
        <f>+(13+45/60+1/3600)</f>
        <v>13.750277777777777</v>
      </c>
      <c r="R3368" s="8">
        <v>11.5</v>
      </c>
      <c r="S3368" s="8">
        <v>12.1</v>
      </c>
      <c r="T3368" s="8">
        <v>0.6</v>
      </c>
      <c r="U3368" s="8">
        <v>13.2</v>
      </c>
      <c r="V3368" s="8">
        <v>2.5</v>
      </c>
      <c r="W3368" s="8">
        <v>2.4</v>
      </c>
      <c r="X3368" s="8">
        <v>57</v>
      </c>
      <c r="Y3368" s="8" t="s">
        <v>15459</v>
      </c>
      <c r="Z3368" s="8" t="s">
        <v>15460</v>
      </c>
    </row>
    <row r="3369" spans="1:26" x14ac:dyDescent="0.2">
      <c r="A3369" s="8">
        <v>3368</v>
      </c>
      <c r="B3369" s="8" t="s">
        <v>15461</v>
      </c>
      <c r="C3369" s="8" t="s">
        <v>55890</v>
      </c>
      <c r="F3369" s="47"/>
      <c r="G3369" s="8">
        <v>1</v>
      </c>
      <c r="H3369" s="8" t="s">
        <v>21</v>
      </c>
      <c r="I3369" s="8" t="s">
        <v>22</v>
      </c>
      <c r="J3369" s="8" t="s">
        <v>22</v>
      </c>
      <c r="K3369" s="8" t="s">
        <v>406</v>
      </c>
      <c r="L3369" s="8" t="s">
        <v>13194</v>
      </c>
      <c r="M3369" s="8" t="s">
        <v>13195</v>
      </c>
      <c r="N3369" s="8" t="s">
        <v>15462</v>
      </c>
      <c r="O3369" s="8">
        <f>10+46/60+45.8/3600</f>
        <v>10.77938888888889</v>
      </c>
      <c r="P3369" s="8" t="s">
        <v>15463</v>
      </c>
      <c r="Q3369" s="8">
        <f>+(11+49/60+12/3600)</f>
        <v>11.82</v>
      </c>
      <c r="R3369" s="8">
        <v>9.3000000000000007</v>
      </c>
      <c r="S3369" s="8">
        <v>10.1</v>
      </c>
      <c r="T3369" s="8">
        <v>0.8</v>
      </c>
      <c r="U3369" s="8">
        <v>13.1</v>
      </c>
      <c r="V3369" s="8">
        <v>7.8</v>
      </c>
      <c r="W3369" s="8">
        <v>5.2</v>
      </c>
      <c r="X3369" s="8">
        <v>176</v>
      </c>
      <c r="Y3369" s="8" t="s">
        <v>15464</v>
      </c>
      <c r="Z3369" s="8" t="s">
        <v>15465</v>
      </c>
    </row>
    <row r="3370" spans="1:26" x14ac:dyDescent="0.2">
      <c r="A3370" s="8">
        <v>3369</v>
      </c>
      <c r="B3370" s="8" t="s">
        <v>15466</v>
      </c>
      <c r="C3370" s="8" t="s">
        <v>15466</v>
      </c>
      <c r="F3370" s="47"/>
      <c r="G3370" s="8">
        <v>19</v>
      </c>
      <c r="H3370" s="8" t="s">
        <v>21</v>
      </c>
      <c r="I3370" s="8" t="s">
        <v>22</v>
      </c>
      <c r="J3370" s="8" t="s">
        <v>22</v>
      </c>
      <c r="K3370" s="8" t="s">
        <v>58</v>
      </c>
      <c r="L3370" s="8" t="s">
        <v>11765</v>
      </c>
      <c r="M3370" s="8" t="s">
        <v>11766</v>
      </c>
      <c r="N3370" s="8" t="s">
        <v>15467</v>
      </c>
      <c r="O3370" s="8">
        <f>10+46/60+44.7/3600</f>
        <v>10.779083333333334</v>
      </c>
      <c r="P3370" s="8" t="s">
        <v>15468</v>
      </c>
      <c r="Q3370" s="8">
        <f>-(25+14/60+39/3600)</f>
        <v>-25.244166666666668</v>
      </c>
      <c r="R3370" s="8">
        <v>13.6</v>
      </c>
      <c r="S3370" s="8">
        <v>14.6</v>
      </c>
      <c r="T3370" s="8">
        <v>1</v>
      </c>
      <c r="U3370" s="8">
        <v>13.8</v>
      </c>
      <c r="V3370" s="8">
        <v>1.4</v>
      </c>
      <c r="W3370" s="8">
        <v>0.8</v>
      </c>
      <c r="X3370" s="8">
        <v>114</v>
      </c>
      <c r="Y3370" s="8" t="s">
        <v>385</v>
      </c>
      <c r="Z3370" s="8" t="s">
        <v>386</v>
      </c>
    </row>
    <row r="3371" spans="1:26" x14ac:dyDescent="0.2">
      <c r="A3371" s="8">
        <v>3370</v>
      </c>
      <c r="B3371" s="8" t="s">
        <v>15469</v>
      </c>
      <c r="C3371" s="8" t="s">
        <v>15469</v>
      </c>
      <c r="F3371" s="47" t="s">
        <v>56821</v>
      </c>
      <c r="G3371" s="8">
        <v>13</v>
      </c>
      <c r="H3371" s="8" t="s">
        <v>21</v>
      </c>
      <c r="I3371" s="8" t="s">
        <v>22</v>
      </c>
      <c r="J3371" s="8" t="s">
        <v>22</v>
      </c>
      <c r="K3371" s="8" t="s">
        <v>160</v>
      </c>
      <c r="L3371" s="8" t="s">
        <v>13194</v>
      </c>
      <c r="M3371" s="8" t="s">
        <v>13195</v>
      </c>
      <c r="N3371" s="8" t="s">
        <v>15470</v>
      </c>
      <c r="O3371" s="8">
        <f>10+47/60+4/3600</f>
        <v>10.784444444444444</v>
      </c>
      <c r="P3371" s="8" t="s">
        <v>15471</v>
      </c>
      <c r="Q3371" s="8">
        <f>+(17+16/60+26/3600)</f>
        <v>17.273888888888887</v>
      </c>
      <c r="R3371" s="8">
        <v>11.6</v>
      </c>
      <c r="S3371" s="8">
        <v>12.3</v>
      </c>
      <c r="T3371" s="8">
        <v>0.7</v>
      </c>
      <c r="U3371" s="8">
        <v>12.9</v>
      </c>
      <c r="V3371" s="8">
        <v>2.6</v>
      </c>
      <c r="W3371" s="8">
        <v>1.5</v>
      </c>
      <c r="X3371" s="8">
        <v>148</v>
      </c>
      <c r="Y3371" s="8" t="s">
        <v>15472</v>
      </c>
      <c r="Z3371" s="8" t="s">
        <v>15473</v>
      </c>
    </row>
    <row r="3372" spans="1:26" x14ac:dyDescent="0.2">
      <c r="A3372" s="8">
        <v>3371</v>
      </c>
      <c r="B3372" s="8" t="s">
        <v>15474</v>
      </c>
      <c r="C3372" s="8" t="s">
        <v>15474</v>
      </c>
      <c r="F3372" s="47"/>
      <c r="G3372" s="8">
        <v>16</v>
      </c>
      <c r="H3372" s="8" t="s">
        <v>21</v>
      </c>
      <c r="I3372" s="8" t="s">
        <v>22</v>
      </c>
      <c r="J3372" s="8" t="s">
        <v>57</v>
      </c>
      <c r="K3372" s="8" t="s">
        <v>118</v>
      </c>
      <c r="L3372" s="8" t="s">
        <v>13194</v>
      </c>
      <c r="M3372" s="8" t="s">
        <v>13195</v>
      </c>
      <c r="N3372" s="8" t="s">
        <v>15475</v>
      </c>
      <c r="O3372" s="8">
        <f>10+48/60+16.7/3600</f>
        <v>10.80463888888889</v>
      </c>
      <c r="P3372" s="8" t="s">
        <v>15476</v>
      </c>
      <c r="Q3372" s="8">
        <f>+(12+37/60+43/3600)</f>
        <v>12.628611111111111</v>
      </c>
      <c r="R3372" s="8">
        <v>9.9</v>
      </c>
      <c r="S3372" s="8">
        <v>10.9</v>
      </c>
      <c r="T3372" s="8">
        <v>1</v>
      </c>
      <c r="U3372" s="8">
        <v>12.7</v>
      </c>
      <c r="V3372" s="8">
        <v>5.4</v>
      </c>
      <c r="W3372" s="8">
        <v>2.7</v>
      </c>
      <c r="X3372" s="8">
        <v>53</v>
      </c>
      <c r="Y3372" s="8" t="s">
        <v>15477</v>
      </c>
      <c r="Z3372" s="8" t="s">
        <v>15478</v>
      </c>
    </row>
    <row r="3373" spans="1:26" x14ac:dyDescent="0.2">
      <c r="A3373" s="8">
        <v>3372</v>
      </c>
      <c r="B3373" s="8" t="s">
        <v>15479</v>
      </c>
      <c r="C3373" s="8" t="s">
        <v>15479</v>
      </c>
      <c r="F3373" s="47"/>
      <c r="G3373" s="8">
        <v>2</v>
      </c>
      <c r="H3373" s="8" t="s">
        <v>15480</v>
      </c>
      <c r="I3373" s="8" t="s">
        <v>1283</v>
      </c>
      <c r="J3373" s="8" t="s">
        <v>1283</v>
      </c>
      <c r="K3373" s="8" t="s">
        <v>1284</v>
      </c>
      <c r="L3373" s="8" t="s">
        <v>10135</v>
      </c>
      <c r="M3373" s="8" t="s">
        <v>10136</v>
      </c>
      <c r="N3373" s="8" t="s">
        <v>15481</v>
      </c>
      <c r="O3373" s="8">
        <f>10+45/60+6/3600</f>
        <v>10.751666666666667</v>
      </c>
      <c r="P3373" s="8" t="s">
        <v>15482</v>
      </c>
      <c r="Q3373" s="8">
        <f>-(59+52/60+0/3600)</f>
        <v>-59.866666666666667</v>
      </c>
      <c r="R3373" s="8">
        <v>99</v>
      </c>
      <c r="S3373" s="8">
        <v>3</v>
      </c>
      <c r="T3373" s="8">
        <v>99</v>
      </c>
      <c r="U3373" s="8">
        <v>99</v>
      </c>
      <c r="V3373" s="8">
        <v>120</v>
      </c>
      <c r="W3373" s="8">
        <v>120</v>
      </c>
      <c r="Y3373" s="8" t="s">
        <v>15483</v>
      </c>
      <c r="Z3373" s="8" t="s">
        <v>15484</v>
      </c>
    </row>
    <row r="3374" spans="1:26" x14ac:dyDescent="0.2">
      <c r="A3374" s="8">
        <v>3373</v>
      </c>
      <c r="B3374" s="8" t="s">
        <v>15485</v>
      </c>
      <c r="C3374" s="8" t="s">
        <v>15485</v>
      </c>
      <c r="F3374" s="47"/>
      <c r="G3374" s="8">
        <v>9</v>
      </c>
      <c r="H3374" s="8" t="s">
        <v>21</v>
      </c>
      <c r="I3374" s="8" t="s">
        <v>22</v>
      </c>
      <c r="J3374" s="8" t="s">
        <v>57</v>
      </c>
      <c r="K3374" s="8" t="s">
        <v>160</v>
      </c>
      <c r="L3374" s="8" t="s">
        <v>13194</v>
      </c>
      <c r="M3374" s="8" t="s">
        <v>13195</v>
      </c>
      <c r="N3374" s="8" t="s">
        <v>15486</v>
      </c>
      <c r="O3374" s="8">
        <f>10+48/60+28/3600</f>
        <v>10.807777777777778</v>
      </c>
      <c r="P3374" s="8" t="s">
        <v>15487</v>
      </c>
      <c r="Q3374" s="8">
        <f>+(12+31/60+59/3600)</f>
        <v>12.533055555555556</v>
      </c>
      <c r="R3374" s="8">
        <v>11.9</v>
      </c>
      <c r="S3374" s="8">
        <v>12.4</v>
      </c>
      <c r="T3374" s="8">
        <v>0.5</v>
      </c>
      <c r="U3374" s="8">
        <v>13.2</v>
      </c>
      <c r="V3374" s="8">
        <v>2.9</v>
      </c>
      <c r="W3374" s="8">
        <v>1.3</v>
      </c>
      <c r="X3374" s="8">
        <v>112</v>
      </c>
      <c r="Y3374" s="8" t="s">
        <v>15488</v>
      </c>
      <c r="Z3374" s="8" t="s">
        <v>15489</v>
      </c>
    </row>
    <row r="3375" spans="1:26" x14ac:dyDescent="0.2">
      <c r="A3375" s="8">
        <v>3374</v>
      </c>
      <c r="B3375" s="8" t="s">
        <v>15490</v>
      </c>
      <c r="C3375" s="8" t="s">
        <v>15490</v>
      </c>
      <c r="F3375" s="47" t="s">
        <v>56822</v>
      </c>
      <c r="G3375" s="8">
        <v>15</v>
      </c>
      <c r="H3375" s="8" t="s">
        <v>21</v>
      </c>
      <c r="I3375" s="8" t="s">
        <v>22</v>
      </c>
      <c r="J3375" s="8" t="s">
        <v>22</v>
      </c>
      <c r="K3375" s="8" t="s">
        <v>64</v>
      </c>
      <c r="L3375" s="8" t="s">
        <v>12015</v>
      </c>
      <c r="M3375" s="8" t="s">
        <v>12016</v>
      </c>
      <c r="N3375" s="8" t="s">
        <v>15491</v>
      </c>
      <c r="O3375" s="8">
        <f>10+48/60+1/3600</f>
        <v>10.800277777777778</v>
      </c>
      <c r="P3375" s="8" t="s">
        <v>15492</v>
      </c>
      <c r="Q3375" s="8">
        <f>+(43+11/60+10/3600)</f>
        <v>43.18611111111111</v>
      </c>
      <c r="R3375" s="8">
        <v>13.7</v>
      </c>
      <c r="S3375" s="8">
        <v>14.4</v>
      </c>
      <c r="T3375" s="8">
        <v>0.7</v>
      </c>
      <c r="U3375" s="8">
        <v>13.7</v>
      </c>
      <c r="V3375" s="8">
        <v>1.3</v>
      </c>
      <c r="W3375" s="8">
        <v>0.9</v>
      </c>
      <c r="X3375" s="8">
        <v>142</v>
      </c>
      <c r="Y3375" s="8" t="s">
        <v>15493</v>
      </c>
      <c r="Z3375" s="8" t="s">
        <v>15494</v>
      </c>
    </row>
    <row r="3376" spans="1:26" x14ac:dyDescent="0.2">
      <c r="A3376" s="8">
        <v>3375</v>
      </c>
      <c r="B3376" s="8" t="s">
        <v>15495</v>
      </c>
      <c r="C3376" s="8" t="s">
        <v>15495</v>
      </c>
      <c r="F3376" s="47"/>
      <c r="G3376" s="8">
        <v>19</v>
      </c>
      <c r="H3376" s="8" t="s">
        <v>21</v>
      </c>
      <c r="I3376" s="8" t="s">
        <v>22</v>
      </c>
      <c r="J3376" s="8" t="s">
        <v>22</v>
      </c>
      <c r="K3376" s="8" t="s">
        <v>37</v>
      </c>
      <c r="L3376" s="8" t="s">
        <v>12234</v>
      </c>
      <c r="M3376" s="8" t="s">
        <v>12235</v>
      </c>
      <c r="N3376" s="8" t="s">
        <v>15496</v>
      </c>
      <c r="O3376" s="8">
        <f>10+47/60+0.7/3600</f>
        <v>10.783527777777778</v>
      </c>
      <c r="P3376" s="8" t="s">
        <v>15497</v>
      </c>
      <c r="Q3376" s="8">
        <f>-(9+56/60+31/3600)</f>
        <v>-9.9419444444444451</v>
      </c>
      <c r="R3376" s="8">
        <v>12.6</v>
      </c>
      <c r="S3376" s="8">
        <v>13.4</v>
      </c>
      <c r="T3376" s="8">
        <v>0.8</v>
      </c>
      <c r="U3376" s="8">
        <v>13.1</v>
      </c>
      <c r="V3376" s="8">
        <v>1.6</v>
      </c>
      <c r="W3376" s="8">
        <v>1.2</v>
      </c>
      <c r="X3376" s="8">
        <v>153</v>
      </c>
      <c r="Y3376" s="8" t="s">
        <v>15498</v>
      </c>
      <c r="Z3376" s="8" t="s">
        <v>15499</v>
      </c>
    </row>
    <row r="3377" spans="1:26" x14ac:dyDescent="0.2">
      <c r="A3377" s="8">
        <v>3376</v>
      </c>
      <c r="B3377" s="8" t="s">
        <v>15500</v>
      </c>
      <c r="C3377" s="8" t="s">
        <v>15500</v>
      </c>
      <c r="F3377" s="47"/>
      <c r="G3377" s="8">
        <v>18</v>
      </c>
      <c r="H3377" s="8" t="s">
        <v>21</v>
      </c>
      <c r="I3377" s="8" t="s">
        <v>22</v>
      </c>
      <c r="J3377" s="8" t="s">
        <v>22</v>
      </c>
      <c r="K3377" s="8" t="s">
        <v>476</v>
      </c>
      <c r="L3377" s="8" t="s">
        <v>12234</v>
      </c>
      <c r="M3377" s="8" t="s">
        <v>12235</v>
      </c>
      <c r="N3377" s="8" t="s">
        <v>15501</v>
      </c>
      <c r="O3377" s="8">
        <f>10+47/60+26.5/3600</f>
        <v>10.790694444444444</v>
      </c>
      <c r="P3377" s="8" t="s">
        <v>15502</v>
      </c>
      <c r="Q3377" s="8">
        <f>+(6+2/60+55/3600)</f>
        <v>6.0486111111111107</v>
      </c>
      <c r="R3377" s="8">
        <v>13.4</v>
      </c>
      <c r="S3377" s="8">
        <v>14.3</v>
      </c>
      <c r="T3377" s="8">
        <v>0.9</v>
      </c>
      <c r="U3377" s="8">
        <v>12</v>
      </c>
      <c r="V3377" s="8">
        <v>0.8</v>
      </c>
      <c r="W3377" s="8">
        <v>0.4</v>
      </c>
      <c r="X3377" s="8">
        <v>167</v>
      </c>
      <c r="Y3377" s="8" t="s">
        <v>1511</v>
      </c>
      <c r="Z3377" s="8" t="s">
        <v>1512</v>
      </c>
    </row>
    <row r="3378" spans="1:26" x14ac:dyDescent="0.2">
      <c r="A3378" s="8">
        <v>3377</v>
      </c>
      <c r="B3378" s="8" t="s">
        <v>15503</v>
      </c>
      <c r="C3378" s="8" t="s">
        <v>15503</v>
      </c>
      <c r="F3378" s="47" t="s">
        <v>56823</v>
      </c>
      <c r="G3378" s="8">
        <v>6</v>
      </c>
      <c r="H3378" s="8" t="s">
        <v>21</v>
      </c>
      <c r="I3378" s="8" t="s">
        <v>22</v>
      </c>
      <c r="J3378" s="8" t="s">
        <v>22</v>
      </c>
      <c r="K3378" s="8" t="s">
        <v>1068</v>
      </c>
      <c r="L3378" s="8" t="s">
        <v>13194</v>
      </c>
      <c r="M3378" s="8" t="s">
        <v>13195</v>
      </c>
      <c r="N3378" s="8" t="s">
        <v>15504</v>
      </c>
      <c r="O3378" s="8">
        <f>10+47/60+42.3/3600</f>
        <v>10.795083333333332</v>
      </c>
      <c r="P3378" s="8" t="s">
        <v>15505</v>
      </c>
      <c r="Q3378" s="8">
        <f>+(13+59/60+9/3600)</f>
        <v>13.985833333333332</v>
      </c>
      <c r="R3378" s="8">
        <v>10.4</v>
      </c>
      <c r="S3378" s="8">
        <v>11.2</v>
      </c>
      <c r="T3378" s="8">
        <v>0.8</v>
      </c>
      <c r="U3378" s="8">
        <v>13.4</v>
      </c>
      <c r="V3378" s="8">
        <v>5</v>
      </c>
      <c r="W3378" s="8">
        <v>3</v>
      </c>
      <c r="X3378" s="8">
        <v>35</v>
      </c>
      <c r="Y3378" s="8" t="s">
        <v>15506</v>
      </c>
      <c r="Z3378" s="8" t="s">
        <v>15507</v>
      </c>
    </row>
    <row r="3379" spans="1:26" x14ac:dyDescent="0.2">
      <c r="A3379" s="8">
        <v>3378</v>
      </c>
      <c r="B3379" s="8" t="s">
        <v>15508</v>
      </c>
      <c r="C3379" s="8" t="s">
        <v>15508</v>
      </c>
      <c r="F3379" s="47"/>
      <c r="G3379" s="8">
        <v>16</v>
      </c>
      <c r="H3379" s="8" t="s">
        <v>21</v>
      </c>
      <c r="I3379" s="8" t="s">
        <v>22</v>
      </c>
      <c r="J3379" s="8" t="s">
        <v>22</v>
      </c>
      <c r="K3379" s="8" t="s">
        <v>85</v>
      </c>
      <c r="L3379" s="8" t="s">
        <v>13374</v>
      </c>
      <c r="M3379" s="8" t="s">
        <v>13375</v>
      </c>
      <c r="N3379" s="8" t="s">
        <v>15509</v>
      </c>
      <c r="O3379" s="8">
        <f>10+46/60+43.3/3600</f>
        <v>10.778694444444445</v>
      </c>
      <c r="P3379" s="8" t="s">
        <v>15510</v>
      </c>
      <c r="Q3379" s="8">
        <f>-(40+0/60+56/3600)</f>
        <v>-40.015555555555558</v>
      </c>
      <c r="R3379" s="8">
        <v>12.5</v>
      </c>
      <c r="S3379" s="8">
        <v>13.3</v>
      </c>
      <c r="T3379" s="8">
        <v>0.8</v>
      </c>
      <c r="U3379" s="8">
        <v>13.1</v>
      </c>
      <c r="V3379" s="8">
        <v>1.5</v>
      </c>
      <c r="W3379" s="8">
        <v>1.4</v>
      </c>
      <c r="X3379" s="8">
        <v>11</v>
      </c>
      <c r="Y3379" s="8" t="s">
        <v>8177</v>
      </c>
      <c r="Z3379" s="8" t="s">
        <v>8178</v>
      </c>
    </row>
    <row r="3380" spans="1:26" x14ac:dyDescent="0.2">
      <c r="A3380" s="8">
        <v>3379</v>
      </c>
      <c r="B3380" s="8" t="s">
        <v>15511</v>
      </c>
      <c r="C3380" s="8" t="s">
        <v>55891</v>
      </c>
      <c r="F3380" s="47" t="s">
        <v>56824</v>
      </c>
      <c r="G3380" s="8">
        <v>1</v>
      </c>
      <c r="H3380" s="8" t="s">
        <v>21</v>
      </c>
      <c r="I3380" s="8" t="s">
        <v>22</v>
      </c>
      <c r="J3380" s="8" t="s">
        <v>22</v>
      </c>
      <c r="K3380" s="8" t="s">
        <v>183</v>
      </c>
      <c r="L3380" s="8" t="s">
        <v>13194</v>
      </c>
      <c r="M3380" s="8" t="s">
        <v>13195</v>
      </c>
      <c r="N3380" s="8" t="s">
        <v>15512</v>
      </c>
      <c r="O3380" s="8">
        <f>10+47/60+49.5/3600</f>
        <v>10.797083333333333</v>
      </c>
      <c r="P3380" s="8" t="s">
        <v>15513</v>
      </c>
      <c r="Q3380" s="8">
        <f>+(12+34/60+52/3600)</f>
        <v>12.581111111111111</v>
      </c>
      <c r="R3380" s="8">
        <v>9.3000000000000007</v>
      </c>
      <c r="S3380" s="8">
        <v>10.199999999999999</v>
      </c>
      <c r="T3380" s="8">
        <v>0.9</v>
      </c>
      <c r="U3380" s="8">
        <v>12.8</v>
      </c>
      <c r="V3380" s="8">
        <v>5.3</v>
      </c>
      <c r="W3380" s="8">
        <v>4.8</v>
      </c>
      <c r="X3380" s="8">
        <v>71</v>
      </c>
      <c r="Y3380" s="8" t="s">
        <v>15514</v>
      </c>
      <c r="Z3380" s="8" t="s">
        <v>15515</v>
      </c>
    </row>
    <row r="3381" spans="1:26" x14ac:dyDescent="0.2">
      <c r="A3381" s="8">
        <v>3380</v>
      </c>
      <c r="B3381" s="8" t="s">
        <v>15516</v>
      </c>
      <c r="C3381" s="8" t="s">
        <v>15516</v>
      </c>
      <c r="F3381" s="47" t="s">
        <v>56825</v>
      </c>
      <c r="G3381" s="8">
        <v>15</v>
      </c>
      <c r="H3381" s="8" t="s">
        <v>21</v>
      </c>
      <c r="I3381" s="8" t="s">
        <v>22</v>
      </c>
      <c r="J3381" s="8" t="s">
        <v>22</v>
      </c>
      <c r="K3381" s="8" t="s">
        <v>154</v>
      </c>
      <c r="L3381" s="8" t="s">
        <v>13179</v>
      </c>
      <c r="M3381" s="8" t="s">
        <v>13180</v>
      </c>
      <c r="N3381" s="8" t="s">
        <v>15517</v>
      </c>
      <c r="O3381" s="8">
        <f>10+48/60+12.1/3600</f>
        <v>10.803361111111112</v>
      </c>
      <c r="P3381" s="8" t="s">
        <v>15518</v>
      </c>
      <c r="Q3381" s="8">
        <f>+(28+36/60+7/3600)</f>
        <v>28.601944444444445</v>
      </c>
      <c r="R3381" s="8">
        <v>12.5</v>
      </c>
      <c r="S3381" s="8">
        <v>13.4</v>
      </c>
      <c r="T3381" s="8">
        <v>0.9</v>
      </c>
      <c r="U3381" s="8">
        <v>13.2</v>
      </c>
      <c r="V3381" s="8">
        <v>1.6</v>
      </c>
      <c r="W3381" s="8">
        <v>1.4</v>
      </c>
      <c r="X3381" s="8">
        <v>12</v>
      </c>
      <c r="Y3381" s="8" t="s">
        <v>15519</v>
      </c>
      <c r="Z3381" s="8" t="s">
        <v>15520</v>
      </c>
    </row>
    <row r="3382" spans="1:26" x14ac:dyDescent="0.2">
      <c r="A3382" s="8">
        <v>3381</v>
      </c>
      <c r="B3382" s="8" t="s">
        <v>15521</v>
      </c>
      <c r="C3382" s="8" t="s">
        <v>15521</v>
      </c>
      <c r="F3382" s="47" t="s">
        <v>56826</v>
      </c>
      <c r="G3382" s="8">
        <v>15</v>
      </c>
      <c r="H3382" s="8" t="s">
        <v>21</v>
      </c>
      <c r="I3382" s="8" t="s">
        <v>22</v>
      </c>
      <c r="J3382" s="8" t="s">
        <v>22</v>
      </c>
      <c r="K3382" s="8" t="s">
        <v>12818</v>
      </c>
      <c r="L3382" s="8" t="s">
        <v>13179</v>
      </c>
      <c r="M3382" s="8" t="s">
        <v>13180</v>
      </c>
      <c r="N3382" s="8" t="s">
        <v>15522</v>
      </c>
      <c r="O3382" s="8">
        <f>10+48/60+24.7/3600</f>
        <v>10.806861111111111</v>
      </c>
      <c r="P3382" s="8" t="s">
        <v>15523</v>
      </c>
      <c r="Q3382" s="8">
        <f>+(34+42/60+41/3600)</f>
        <v>34.711388888888891</v>
      </c>
      <c r="R3382" s="8">
        <v>11.8</v>
      </c>
      <c r="S3382" s="8">
        <v>12.7</v>
      </c>
      <c r="T3382" s="8">
        <v>0.9</v>
      </c>
      <c r="U3382" s="8">
        <v>13</v>
      </c>
      <c r="V3382" s="8">
        <v>2</v>
      </c>
      <c r="W3382" s="8">
        <v>1.8</v>
      </c>
      <c r="X3382" s="8">
        <v>60</v>
      </c>
      <c r="Y3382" s="8" t="s">
        <v>15524</v>
      </c>
      <c r="Z3382" s="8" t="s">
        <v>15525</v>
      </c>
    </row>
    <row r="3383" spans="1:26" x14ac:dyDescent="0.2">
      <c r="A3383" s="8">
        <v>3382</v>
      </c>
      <c r="B3383" s="8" t="s">
        <v>15526</v>
      </c>
      <c r="C3383" s="8" t="s">
        <v>15526</v>
      </c>
      <c r="F3383" s="47"/>
      <c r="G3383" s="8">
        <v>19</v>
      </c>
      <c r="H3383" s="8" t="s">
        <v>21</v>
      </c>
      <c r="I3383" s="8" t="s">
        <v>72</v>
      </c>
      <c r="J3383" s="8" t="s">
        <v>72</v>
      </c>
      <c r="K3383" s="8" t="s">
        <v>73</v>
      </c>
      <c r="L3383" s="8" t="s">
        <v>13179</v>
      </c>
      <c r="M3383" s="8" t="s">
        <v>13180</v>
      </c>
      <c r="N3383" s="8" t="s">
        <v>15527</v>
      </c>
      <c r="O3383" s="8">
        <f>10+48/60+25.5/3600</f>
        <v>10.807083333333335</v>
      </c>
      <c r="P3383" s="8" t="s">
        <v>15528</v>
      </c>
      <c r="Q3383" s="8">
        <f>+(36+43/60+32/3600)</f>
        <v>36.725555555555559</v>
      </c>
      <c r="R3383" s="8">
        <v>99</v>
      </c>
      <c r="S3383" s="8">
        <v>99</v>
      </c>
      <c r="T3383" s="8">
        <v>99</v>
      </c>
      <c r="U3383" s="8">
        <v>99</v>
      </c>
      <c r="Y3383" s="8" t="s">
        <v>15529</v>
      </c>
      <c r="Z3383" s="8" t="s">
        <v>15530</v>
      </c>
    </row>
    <row r="3384" spans="1:26" x14ac:dyDescent="0.2">
      <c r="A3384" s="8">
        <v>3383</v>
      </c>
      <c r="B3384" s="8" t="s">
        <v>15531</v>
      </c>
      <c r="C3384" s="8" t="s">
        <v>15531</v>
      </c>
      <c r="F3384" s="47"/>
      <c r="G3384" s="8">
        <v>16</v>
      </c>
      <c r="H3384" s="8" t="s">
        <v>21</v>
      </c>
      <c r="I3384" s="8" t="s">
        <v>22</v>
      </c>
      <c r="J3384" s="8" t="s">
        <v>22</v>
      </c>
      <c r="K3384" s="8" t="s">
        <v>85</v>
      </c>
      <c r="L3384" s="8" t="s">
        <v>11765</v>
      </c>
      <c r="M3384" s="8" t="s">
        <v>11766</v>
      </c>
      <c r="N3384" s="8" t="s">
        <v>15532</v>
      </c>
      <c r="O3384" s="8">
        <f>10+47/60+19.2/3600</f>
        <v>10.788666666666666</v>
      </c>
      <c r="P3384" s="8" t="s">
        <v>15533</v>
      </c>
      <c r="Q3384" s="8">
        <f>-(24+26/60+16/3600)</f>
        <v>-24.437777777777779</v>
      </c>
      <c r="R3384" s="8">
        <v>12.8</v>
      </c>
      <c r="S3384" s="8">
        <v>13.6</v>
      </c>
      <c r="T3384" s="8">
        <v>0.8</v>
      </c>
      <c r="U3384" s="8">
        <v>13.2</v>
      </c>
      <c r="V3384" s="8">
        <v>1.4</v>
      </c>
      <c r="W3384" s="8">
        <v>1.1000000000000001</v>
      </c>
      <c r="X3384" s="8">
        <v>24</v>
      </c>
      <c r="Y3384" s="8" t="s">
        <v>15534</v>
      </c>
      <c r="Z3384" s="8" t="s">
        <v>15535</v>
      </c>
    </row>
    <row r="3385" spans="1:26" x14ac:dyDescent="0.2">
      <c r="A3385" s="8">
        <v>3384</v>
      </c>
      <c r="B3385" s="8" t="s">
        <v>15536</v>
      </c>
      <c r="C3385" s="8" t="s">
        <v>15536</v>
      </c>
      <c r="F3385" s="47" t="s">
        <v>56827</v>
      </c>
      <c r="G3385" s="8">
        <v>5</v>
      </c>
      <c r="H3385" s="8" t="s">
        <v>21</v>
      </c>
      <c r="I3385" s="8" t="s">
        <v>22</v>
      </c>
      <c r="J3385" s="8" t="s">
        <v>22</v>
      </c>
      <c r="K3385" s="8" t="s">
        <v>118</v>
      </c>
      <c r="L3385" s="8" t="s">
        <v>13194</v>
      </c>
      <c r="M3385" s="8" t="s">
        <v>13195</v>
      </c>
      <c r="N3385" s="8" t="s">
        <v>15475</v>
      </c>
      <c r="O3385" s="8">
        <f>10+48/60+16.7/3600</f>
        <v>10.80463888888889</v>
      </c>
      <c r="P3385" s="8" t="s">
        <v>15476</v>
      </c>
      <c r="Q3385" s="8">
        <f>+(12+37/60+43/3600)</f>
        <v>12.628611111111111</v>
      </c>
      <c r="R3385" s="8">
        <v>9.9</v>
      </c>
      <c r="S3385" s="8">
        <v>10.9</v>
      </c>
      <c r="T3385" s="8">
        <v>1</v>
      </c>
      <c r="U3385" s="8">
        <v>12.7</v>
      </c>
      <c r="V3385" s="8">
        <v>5.4</v>
      </c>
      <c r="W3385" s="8">
        <v>2.7</v>
      </c>
      <c r="X3385" s="8">
        <v>53</v>
      </c>
      <c r="Y3385" s="8" t="s">
        <v>15477</v>
      </c>
      <c r="Z3385" s="8" t="s">
        <v>15537</v>
      </c>
    </row>
    <row r="3386" spans="1:26" x14ac:dyDescent="0.2">
      <c r="A3386" s="8">
        <v>3385</v>
      </c>
      <c r="B3386" s="8" t="s">
        <v>15538</v>
      </c>
      <c r="C3386" s="8" t="s">
        <v>15538</v>
      </c>
      <c r="F3386" s="47"/>
      <c r="G3386" s="8">
        <v>16</v>
      </c>
      <c r="H3386" s="8" t="s">
        <v>21</v>
      </c>
      <c r="I3386" s="8" t="s">
        <v>22</v>
      </c>
      <c r="J3386" s="8" t="s">
        <v>22</v>
      </c>
      <c r="K3386" s="8" t="s">
        <v>37</v>
      </c>
      <c r="L3386" s="8" t="s">
        <v>12234</v>
      </c>
      <c r="M3386" s="8" t="s">
        <v>12235</v>
      </c>
      <c r="N3386" s="8" t="s">
        <v>15539</v>
      </c>
      <c r="O3386" s="8">
        <f>10+48/60+11.6/3600</f>
        <v>10.803222222222223</v>
      </c>
      <c r="P3386" s="8" t="s">
        <v>15540</v>
      </c>
      <c r="Q3386" s="8">
        <f>+(4+55/60+42/3600)</f>
        <v>4.9283333333333337</v>
      </c>
      <c r="R3386" s="8">
        <v>12.6</v>
      </c>
      <c r="S3386" s="8">
        <v>13.6</v>
      </c>
      <c r="T3386" s="8">
        <v>1</v>
      </c>
      <c r="U3386" s="8">
        <v>12.8</v>
      </c>
      <c r="V3386" s="8">
        <v>1.5</v>
      </c>
      <c r="W3386" s="8">
        <v>0.9</v>
      </c>
      <c r="X3386" s="8">
        <v>97</v>
      </c>
      <c r="Y3386" s="8" t="s">
        <v>15541</v>
      </c>
      <c r="Z3386" s="8" t="s">
        <v>15542</v>
      </c>
    </row>
    <row r="3387" spans="1:26" x14ac:dyDescent="0.2">
      <c r="A3387" s="8">
        <v>3386</v>
      </c>
      <c r="B3387" s="8" t="s">
        <v>15543</v>
      </c>
      <c r="C3387" s="8" t="s">
        <v>15543</v>
      </c>
      <c r="F3387" s="47"/>
      <c r="G3387" s="8">
        <v>16</v>
      </c>
      <c r="H3387" s="8" t="s">
        <v>21</v>
      </c>
      <c r="I3387" s="8" t="s">
        <v>22</v>
      </c>
      <c r="J3387" s="8" t="s">
        <v>22</v>
      </c>
      <c r="K3387" s="8" t="s">
        <v>460</v>
      </c>
      <c r="L3387" s="8" t="s">
        <v>12234</v>
      </c>
      <c r="M3387" s="8" t="s">
        <v>12235</v>
      </c>
      <c r="N3387" s="8" t="s">
        <v>15544</v>
      </c>
      <c r="O3387" s="8">
        <f>10+48/60+11.8/3600</f>
        <v>10.803277777777778</v>
      </c>
      <c r="P3387" s="8" t="s">
        <v>15545</v>
      </c>
      <c r="Q3387" s="8">
        <f>+(4+59/60+57/3600)</f>
        <v>4.9991666666666665</v>
      </c>
      <c r="R3387" s="8">
        <v>13.8</v>
      </c>
      <c r="S3387" s="8">
        <v>14.8</v>
      </c>
      <c r="T3387" s="8">
        <v>1</v>
      </c>
      <c r="U3387" s="8">
        <v>12.4</v>
      </c>
      <c r="V3387" s="8">
        <v>0.5</v>
      </c>
      <c r="W3387" s="8">
        <v>0.5</v>
      </c>
      <c r="Y3387" s="8" t="s">
        <v>15546</v>
      </c>
      <c r="Z3387" s="8" t="s">
        <v>15547</v>
      </c>
    </row>
    <row r="3388" spans="1:26" x14ac:dyDescent="0.2">
      <c r="A3388" s="8">
        <v>3387</v>
      </c>
      <c r="B3388" s="8" t="s">
        <v>15548</v>
      </c>
      <c r="C3388" s="8" t="s">
        <v>15548</v>
      </c>
      <c r="F3388" s="47"/>
      <c r="G3388" s="8">
        <v>16</v>
      </c>
      <c r="H3388" s="8" t="s">
        <v>21</v>
      </c>
      <c r="I3388" s="8" t="s">
        <v>72</v>
      </c>
      <c r="J3388" s="8" t="s">
        <v>72</v>
      </c>
      <c r="K3388" s="8" t="s">
        <v>1802</v>
      </c>
      <c r="L3388" s="8" t="s">
        <v>12234</v>
      </c>
      <c r="M3388" s="8" t="s">
        <v>12235</v>
      </c>
      <c r="N3388" s="8" t="s">
        <v>15549</v>
      </c>
      <c r="O3388" s="8">
        <f>10+48/60+16.9/3600</f>
        <v>10.804694444444445</v>
      </c>
      <c r="P3388" s="8" t="s">
        <v>15550</v>
      </c>
      <c r="Q3388" s="8">
        <f>+(4+58/60+1/3600)</f>
        <v>4.9669444444444446</v>
      </c>
      <c r="R3388" s="8">
        <v>99</v>
      </c>
      <c r="S3388" s="8">
        <v>14.5</v>
      </c>
      <c r="T3388" s="8">
        <v>99</v>
      </c>
      <c r="U3388" s="8">
        <v>99</v>
      </c>
      <c r="Y3388" s="8" t="s">
        <v>962</v>
      </c>
      <c r="Z3388" s="8" t="s">
        <v>963</v>
      </c>
    </row>
    <row r="3389" spans="1:26" x14ac:dyDescent="0.2">
      <c r="A3389" s="8">
        <v>3388</v>
      </c>
      <c r="B3389" s="8" t="s">
        <v>15551</v>
      </c>
      <c r="C3389" s="8" t="s">
        <v>15551</v>
      </c>
      <c r="F3389" s="47"/>
      <c r="G3389" s="8">
        <v>19</v>
      </c>
      <c r="H3389" s="8" t="s">
        <v>21</v>
      </c>
      <c r="I3389" s="8" t="s">
        <v>22</v>
      </c>
      <c r="J3389" s="8" t="s">
        <v>57</v>
      </c>
      <c r="K3389" s="8" t="s">
        <v>37</v>
      </c>
      <c r="L3389" s="8" t="s">
        <v>13194</v>
      </c>
      <c r="M3389" s="8" t="s">
        <v>13195</v>
      </c>
      <c r="N3389" s="8" t="s">
        <v>15552</v>
      </c>
      <c r="O3389" s="8">
        <f>10+51/60+25.5/3600</f>
        <v>10.857083333333334</v>
      </c>
      <c r="P3389" s="8" t="s">
        <v>15553</v>
      </c>
      <c r="Q3389" s="8">
        <f>+(8+34/60+3/3600)</f>
        <v>8.567499999999999</v>
      </c>
      <c r="R3389" s="8">
        <v>13.1</v>
      </c>
      <c r="S3389" s="8">
        <v>14.1</v>
      </c>
      <c r="T3389" s="8">
        <v>1</v>
      </c>
      <c r="U3389" s="8">
        <v>13</v>
      </c>
      <c r="V3389" s="8">
        <v>1</v>
      </c>
      <c r="W3389" s="8">
        <v>1</v>
      </c>
      <c r="Y3389" s="8" t="s">
        <v>12871</v>
      </c>
      <c r="Z3389" s="8" t="s">
        <v>12872</v>
      </c>
    </row>
    <row r="3390" spans="1:26" x14ac:dyDescent="0.2">
      <c r="A3390" s="8">
        <v>3389</v>
      </c>
      <c r="B3390" s="8" t="s">
        <v>15554</v>
      </c>
      <c r="C3390" s="8" t="s">
        <v>15554</v>
      </c>
      <c r="F3390" s="47" t="s">
        <v>56828</v>
      </c>
      <c r="G3390" s="8">
        <v>11</v>
      </c>
      <c r="H3390" s="8" t="s">
        <v>21</v>
      </c>
      <c r="I3390" s="8" t="s">
        <v>22</v>
      </c>
      <c r="J3390" s="8" t="s">
        <v>22</v>
      </c>
      <c r="K3390" s="8" t="s">
        <v>160</v>
      </c>
      <c r="L3390" s="8" t="s">
        <v>13194</v>
      </c>
      <c r="M3390" s="8" t="s">
        <v>13195</v>
      </c>
      <c r="N3390" s="8" t="s">
        <v>15486</v>
      </c>
      <c r="O3390" s="8">
        <f>10+48/60+28/3600</f>
        <v>10.807777777777778</v>
      </c>
      <c r="P3390" s="8" t="s">
        <v>15487</v>
      </c>
      <c r="Q3390" s="8">
        <f>+(12+31/60+59/3600)</f>
        <v>12.533055555555556</v>
      </c>
      <c r="R3390" s="8">
        <v>11.9</v>
      </c>
      <c r="S3390" s="8">
        <v>12.4</v>
      </c>
      <c r="T3390" s="8">
        <v>0.5</v>
      </c>
      <c r="U3390" s="8">
        <v>13.2</v>
      </c>
      <c r="V3390" s="8">
        <v>2.9</v>
      </c>
      <c r="W3390" s="8">
        <v>1.3</v>
      </c>
      <c r="X3390" s="8">
        <v>112</v>
      </c>
      <c r="Y3390" s="8" t="s">
        <v>15488</v>
      </c>
      <c r="Z3390" s="8" t="s">
        <v>15555</v>
      </c>
    </row>
    <row r="3391" spans="1:26" x14ac:dyDescent="0.2">
      <c r="A3391" s="8">
        <v>3390</v>
      </c>
      <c r="B3391" s="8" t="s">
        <v>15556</v>
      </c>
      <c r="C3391" s="8" t="s">
        <v>15556</v>
      </c>
      <c r="F3391" s="47"/>
      <c r="G3391" s="8">
        <v>12</v>
      </c>
      <c r="H3391" s="8" t="s">
        <v>21</v>
      </c>
      <c r="I3391" s="8" t="s">
        <v>22</v>
      </c>
      <c r="J3391" s="8" t="s">
        <v>22</v>
      </c>
      <c r="K3391" s="8" t="s">
        <v>23</v>
      </c>
      <c r="L3391" s="8" t="s">
        <v>11765</v>
      </c>
      <c r="M3391" s="8" t="s">
        <v>11766</v>
      </c>
      <c r="N3391" s="8" t="s">
        <v>15557</v>
      </c>
      <c r="O3391" s="8">
        <f>10+48/60+4.3/3600</f>
        <v>10.801194444444445</v>
      </c>
      <c r="P3391" s="8" t="s">
        <v>15558</v>
      </c>
      <c r="Q3391" s="8">
        <f>-(31+32/60+0/3600)</f>
        <v>-31.533333333333335</v>
      </c>
      <c r="R3391" s="8">
        <v>11.9</v>
      </c>
      <c r="S3391" s="8">
        <v>12.9</v>
      </c>
      <c r="T3391" s="8">
        <v>1</v>
      </c>
      <c r="U3391" s="8">
        <v>12.5</v>
      </c>
      <c r="V3391" s="8">
        <v>3.5</v>
      </c>
      <c r="W3391" s="8">
        <v>0.6</v>
      </c>
      <c r="X3391" s="8">
        <v>177</v>
      </c>
      <c r="Y3391" s="8" t="s">
        <v>15559</v>
      </c>
      <c r="Z3391" s="8" t="s">
        <v>15560</v>
      </c>
    </row>
    <row r="3392" spans="1:26" x14ac:dyDescent="0.2">
      <c r="A3392" s="8">
        <v>3391</v>
      </c>
      <c r="B3392" s="8" t="s">
        <v>15561</v>
      </c>
      <c r="C3392" s="8" t="s">
        <v>15561</v>
      </c>
      <c r="F3392" s="47"/>
      <c r="G3392" s="8">
        <v>18</v>
      </c>
      <c r="H3392" s="8" t="s">
        <v>21</v>
      </c>
      <c r="I3392" s="8" t="s">
        <v>22</v>
      </c>
      <c r="J3392" s="8" t="s">
        <v>22</v>
      </c>
      <c r="K3392" s="8" t="s">
        <v>160</v>
      </c>
      <c r="L3392" s="8" t="s">
        <v>13194</v>
      </c>
      <c r="M3392" s="8" t="s">
        <v>13195</v>
      </c>
      <c r="N3392" s="8" t="s">
        <v>15562</v>
      </c>
      <c r="O3392" s="8">
        <f>10+48/60+56.4/3600</f>
        <v>10.815666666666667</v>
      </c>
      <c r="P3392" s="8" t="s">
        <v>15563</v>
      </c>
      <c r="Q3392" s="8">
        <f>+(14+13/60+10/3600)</f>
        <v>14.219444444444445</v>
      </c>
      <c r="R3392" s="8">
        <v>13</v>
      </c>
      <c r="S3392" s="8">
        <v>13.7</v>
      </c>
      <c r="T3392" s="8">
        <v>0.7</v>
      </c>
      <c r="U3392" s="8">
        <v>12.5</v>
      </c>
      <c r="V3392" s="8">
        <v>1</v>
      </c>
      <c r="W3392" s="8">
        <v>0.7</v>
      </c>
      <c r="X3392" s="8">
        <v>35</v>
      </c>
      <c r="Y3392" s="8" t="s">
        <v>15564</v>
      </c>
      <c r="Z3392" s="8" t="s">
        <v>15565</v>
      </c>
    </row>
    <row r="3393" spans="1:26" x14ac:dyDescent="0.2">
      <c r="A3393" s="8">
        <v>3392</v>
      </c>
      <c r="B3393" s="8" t="s">
        <v>15566</v>
      </c>
      <c r="C3393" s="8" t="s">
        <v>15566</v>
      </c>
      <c r="F3393" s="47" t="s">
        <v>56829</v>
      </c>
      <c r="G3393" s="8">
        <v>15</v>
      </c>
      <c r="H3393" s="8" t="s">
        <v>21</v>
      </c>
      <c r="I3393" s="8" t="s">
        <v>22</v>
      </c>
      <c r="J3393" s="8" t="s">
        <v>22</v>
      </c>
      <c r="K3393" s="8" t="s">
        <v>382</v>
      </c>
      <c r="L3393" s="8" t="s">
        <v>12015</v>
      </c>
      <c r="M3393" s="8" t="s">
        <v>12016</v>
      </c>
      <c r="N3393" s="8" t="s">
        <v>15567</v>
      </c>
      <c r="O3393" s="8">
        <f>10+51/60+2.9/3600</f>
        <v>10.850805555555555</v>
      </c>
      <c r="P3393" s="8" t="s">
        <v>15568</v>
      </c>
      <c r="Q3393" s="8">
        <f>+(65+46/60+53/3600)</f>
        <v>65.781388888888884</v>
      </c>
      <c r="R3393" s="8">
        <v>13.7</v>
      </c>
      <c r="S3393" s="8">
        <v>14.7</v>
      </c>
      <c r="T3393" s="8">
        <v>1</v>
      </c>
      <c r="U3393" s="8">
        <v>12.9</v>
      </c>
      <c r="V3393" s="8">
        <v>0.8</v>
      </c>
      <c r="W3393" s="8">
        <v>0.6</v>
      </c>
      <c r="X3393" s="8">
        <v>120</v>
      </c>
      <c r="Y3393" s="8" t="s">
        <v>15569</v>
      </c>
      <c r="Z3393" s="8" t="s">
        <v>15570</v>
      </c>
    </row>
    <row r="3394" spans="1:26" x14ac:dyDescent="0.2">
      <c r="A3394" s="8">
        <v>3393</v>
      </c>
      <c r="B3394" s="8" t="s">
        <v>15571</v>
      </c>
      <c r="C3394" s="8" t="s">
        <v>15571</v>
      </c>
      <c r="F3394" s="47"/>
      <c r="G3394" s="8">
        <v>16</v>
      </c>
      <c r="H3394" s="8" t="s">
        <v>21</v>
      </c>
      <c r="I3394" s="8" t="s">
        <v>22</v>
      </c>
      <c r="J3394" s="8" t="s">
        <v>22</v>
      </c>
      <c r="K3394" s="8" t="s">
        <v>154</v>
      </c>
      <c r="L3394" s="8" t="s">
        <v>11765</v>
      </c>
      <c r="M3394" s="8" t="s">
        <v>11766</v>
      </c>
      <c r="N3394" s="8" t="s">
        <v>15572</v>
      </c>
      <c r="O3394" s="8">
        <f>10+48/60+23.4/3600</f>
        <v>10.806500000000002</v>
      </c>
      <c r="P3394" s="8" t="s">
        <v>15573</v>
      </c>
      <c r="Q3394" s="8">
        <f>-(25+9/60+42/3600)</f>
        <v>-25.161666666666665</v>
      </c>
      <c r="R3394" s="8">
        <v>12.2</v>
      </c>
      <c r="S3394" s="8">
        <v>13.1</v>
      </c>
      <c r="T3394" s="8">
        <v>0.9</v>
      </c>
      <c r="U3394" s="8">
        <v>13.1</v>
      </c>
      <c r="V3394" s="8">
        <v>1.8</v>
      </c>
      <c r="W3394" s="8">
        <v>1.5</v>
      </c>
      <c r="X3394" s="8">
        <v>48</v>
      </c>
      <c r="Y3394" s="8" t="s">
        <v>15574</v>
      </c>
      <c r="Z3394" s="8" t="s">
        <v>15575</v>
      </c>
    </row>
    <row r="3395" spans="1:26" x14ac:dyDescent="0.2">
      <c r="A3395" s="8">
        <v>3394</v>
      </c>
      <c r="B3395" s="8" t="s">
        <v>15576</v>
      </c>
      <c r="C3395" s="8" t="s">
        <v>15576</v>
      </c>
      <c r="F3395" s="47" t="s">
        <v>56830</v>
      </c>
      <c r="G3395" s="8">
        <v>15</v>
      </c>
      <c r="H3395" s="8" t="s">
        <v>21</v>
      </c>
      <c r="I3395" s="8" t="s">
        <v>22</v>
      </c>
      <c r="J3395" s="8" t="s">
        <v>22</v>
      </c>
      <c r="K3395" s="8" t="s">
        <v>160</v>
      </c>
      <c r="L3395" s="8" t="s">
        <v>12015</v>
      </c>
      <c r="M3395" s="8" t="s">
        <v>12016</v>
      </c>
      <c r="N3395" s="8" t="s">
        <v>15577</v>
      </c>
      <c r="O3395" s="8">
        <f>10+50/60+39.8/3600</f>
        <v>10.84438888888889</v>
      </c>
      <c r="P3395" s="8" t="s">
        <v>15578</v>
      </c>
      <c r="Q3395" s="8">
        <f>+(65+43/60+40/3600)</f>
        <v>65.727777777777774</v>
      </c>
      <c r="R3395" s="8">
        <v>12.4</v>
      </c>
      <c r="S3395" s="8">
        <v>13.1</v>
      </c>
      <c r="T3395" s="8">
        <v>0.7</v>
      </c>
      <c r="U3395" s="8">
        <v>13.3</v>
      </c>
      <c r="V3395" s="8">
        <v>1.9</v>
      </c>
      <c r="W3395" s="8">
        <v>1.4</v>
      </c>
      <c r="X3395" s="8">
        <v>35</v>
      </c>
      <c r="Y3395" s="8" t="s">
        <v>15579</v>
      </c>
      <c r="Z3395" s="8" t="s">
        <v>15580</v>
      </c>
    </row>
    <row r="3396" spans="1:26" x14ac:dyDescent="0.2">
      <c r="A3396" s="8">
        <v>3395</v>
      </c>
      <c r="B3396" s="8" t="s">
        <v>15581</v>
      </c>
      <c r="C3396" s="8" t="s">
        <v>15581</v>
      </c>
      <c r="F3396" s="47" t="s">
        <v>56831</v>
      </c>
      <c r="G3396" s="8">
        <v>6</v>
      </c>
      <c r="H3396" s="8" t="s">
        <v>21</v>
      </c>
      <c r="I3396" s="8" t="s">
        <v>22</v>
      </c>
      <c r="J3396" s="8" t="s">
        <v>22</v>
      </c>
      <c r="K3396" s="8" t="s">
        <v>64</v>
      </c>
      <c r="L3396" s="8" t="s">
        <v>13179</v>
      </c>
      <c r="M3396" s="8" t="s">
        <v>13180</v>
      </c>
      <c r="N3396" s="8" t="s">
        <v>15582</v>
      </c>
      <c r="O3396" s="8">
        <f>10+49/60+49.9/3600</f>
        <v>10.830527777777778</v>
      </c>
      <c r="P3396" s="8" t="s">
        <v>15583</v>
      </c>
      <c r="Q3396" s="8">
        <f>+(32+58/60+53/3600)</f>
        <v>32.981388888888894</v>
      </c>
      <c r="R3396" s="8">
        <v>12.1</v>
      </c>
      <c r="S3396" s="8">
        <v>12.4</v>
      </c>
      <c r="T3396" s="8">
        <v>0.3</v>
      </c>
      <c r="U3396" s="8">
        <v>12.9</v>
      </c>
      <c r="V3396" s="8">
        <v>2.1</v>
      </c>
      <c r="W3396" s="8">
        <v>1.1000000000000001</v>
      </c>
      <c r="X3396" s="8">
        <v>50</v>
      </c>
      <c r="Y3396" s="8" t="s">
        <v>15584</v>
      </c>
      <c r="Z3396" s="8" t="s">
        <v>15585</v>
      </c>
    </row>
    <row r="3397" spans="1:26" x14ac:dyDescent="0.2">
      <c r="A3397" s="8">
        <v>3396</v>
      </c>
      <c r="B3397" s="8" t="s">
        <v>15586</v>
      </c>
      <c r="C3397" s="8" t="s">
        <v>15586</v>
      </c>
      <c r="F3397" s="47" t="s">
        <v>56832</v>
      </c>
      <c r="G3397" s="8">
        <v>11</v>
      </c>
      <c r="H3397" s="8" t="s">
        <v>21</v>
      </c>
      <c r="I3397" s="8" t="s">
        <v>22</v>
      </c>
      <c r="J3397" s="8" t="s">
        <v>22</v>
      </c>
      <c r="K3397" s="8" t="s">
        <v>6337</v>
      </c>
      <c r="L3397" s="8" t="s">
        <v>13179</v>
      </c>
      <c r="M3397" s="8" t="s">
        <v>13180</v>
      </c>
      <c r="N3397" s="8" t="s">
        <v>15587</v>
      </c>
      <c r="O3397" s="8">
        <f>10+49/60+55.6/3600</f>
        <v>10.832111111111111</v>
      </c>
      <c r="P3397" s="8" t="s">
        <v>15588</v>
      </c>
      <c r="Q3397" s="8">
        <f>+(32+59/60+26/3600)</f>
        <v>32.990555555555559</v>
      </c>
      <c r="R3397" s="8">
        <v>12</v>
      </c>
      <c r="S3397" s="8">
        <v>12.6</v>
      </c>
      <c r="T3397" s="8">
        <v>0.6</v>
      </c>
      <c r="U3397" s="8">
        <v>13.2</v>
      </c>
      <c r="V3397" s="8">
        <v>2.9</v>
      </c>
      <c r="W3397" s="8">
        <v>1.2</v>
      </c>
      <c r="X3397" s="8">
        <v>100</v>
      </c>
      <c r="Y3397" s="8" t="s">
        <v>15584</v>
      </c>
      <c r="Z3397" s="8" t="s">
        <v>15589</v>
      </c>
    </row>
    <row r="3398" spans="1:26" x14ac:dyDescent="0.2">
      <c r="A3398" s="8">
        <v>3397</v>
      </c>
      <c r="B3398" s="8" t="s">
        <v>15590</v>
      </c>
      <c r="C3398" s="8" t="s">
        <v>15590</v>
      </c>
      <c r="F3398" s="47" t="s">
        <v>56833</v>
      </c>
      <c r="G3398" s="8">
        <v>15</v>
      </c>
      <c r="H3398" s="8" t="s">
        <v>21</v>
      </c>
      <c r="I3398" s="8" t="s">
        <v>22</v>
      </c>
      <c r="J3398" s="8" t="s">
        <v>22</v>
      </c>
      <c r="K3398" s="8" t="s">
        <v>23</v>
      </c>
      <c r="L3398" s="8" t="s">
        <v>13395</v>
      </c>
      <c r="M3398" s="8" t="s">
        <v>13396</v>
      </c>
      <c r="N3398" s="8" t="s">
        <v>15289</v>
      </c>
      <c r="O3398" s="8">
        <f>10+44/60+39/3600</f>
        <v>10.744166666666667</v>
      </c>
      <c r="P3398" s="8" t="s">
        <v>15290</v>
      </c>
      <c r="Q3398" s="8">
        <f>+(76+48/60+35/3600)</f>
        <v>76.80972222222222</v>
      </c>
      <c r="R3398" s="8">
        <v>12.2</v>
      </c>
      <c r="S3398" s="8">
        <v>13</v>
      </c>
      <c r="T3398" s="8">
        <v>0.8</v>
      </c>
      <c r="U3398" s="8">
        <v>12.9</v>
      </c>
      <c r="V3398" s="8">
        <v>1.9</v>
      </c>
      <c r="W3398" s="8">
        <v>1.1000000000000001</v>
      </c>
      <c r="X3398" s="8">
        <v>140</v>
      </c>
      <c r="Y3398" s="8" t="s">
        <v>15591</v>
      </c>
      <c r="Z3398" s="8" t="s">
        <v>15592</v>
      </c>
    </row>
    <row r="3399" spans="1:26" x14ac:dyDescent="0.2">
      <c r="A3399" s="8">
        <v>3398</v>
      </c>
      <c r="B3399" s="8" t="s">
        <v>15593</v>
      </c>
      <c r="C3399" s="8" t="s">
        <v>15593</v>
      </c>
      <c r="F3399" s="47" t="s">
        <v>56834</v>
      </c>
      <c r="G3399" s="8">
        <v>15</v>
      </c>
      <c r="H3399" s="8" t="s">
        <v>21</v>
      </c>
      <c r="I3399" s="8" t="s">
        <v>22</v>
      </c>
      <c r="J3399" s="8" t="s">
        <v>22</v>
      </c>
      <c r="K3399" s="8" t="s">
        <v>91</v>
      </c>
      <c r="L3399" s="8" t="s">
        <v>12015</v>
      </c>
      <c r="M3399" s="8" t="s">
        <v>12016</v>
      </c>
      <c r="N3399" s="8" t="s">
        <v>15594</v>
      </c>
      <c r="O3399" s="8">
        <f>10+51/60+31.2/3600</f>
        <v>10.858666666666666</v>
      </c>
      <c r="P3399" s="8" t="s">
        <v>15595</v>
      </c>
      <c r="Q3399" s="8">
        <f>+(55+23/60+28/3600)</f>
        <v>55.391111111111108</v>
      </c>
      <c r="R3399" s="8">
        <v>13.6</v>
      </c>
      <c r="S3399" s="8">
        <v>14.5</v>
      </c>
      <c r="T3399" s="8">
        <v>0.9</v>
      </c>
      <c r="U3399" s="8">
        <v>12.1</v>
      </c>
      <c r="V3399" s="8">
        <v>1</v>
      </c>
      <c r="W3399" s="8">
        <v>0.3</v>
      </c>
      <c r="X3399" s="8">
        <v>78</v>
      </c>
      <c r="Y3399" s="8" t="s">
        <v>15596</v>
      </c>
      <c r="Z3399" s="8" t="s">
        <v>15597</v>
      </c>
    </row>
    <row r="3400" spans="1:26" x14ac:dyDescent="0.2">
      <c r="A3400" s="8">
        <v>3399</v>
      </c>
      <c r="B3400" s="8" t="s">
        <v>15598</v>
      </c>
      <c r="C3400" s="8" t="s">
        <v>15598</v>
      </c>
      <c r="F3400" s="47"/>
      <c r="G3400" s="8">
        <v>18</v>
      </c>
      <c r="H3400" s="8" t="s">
        <v>21</v>
      </c>
      <c r="I3400" s="8" t="s">
        <v>22</v>
      </c>
      <c r="J3400" s="8" t="s">
        <v>22</v>
      </c>
      <c r="K3400" s="8" t="s">
        <v>37</v>
      </c>
      <c r="L3400" s="8" t="s">
        <v>13194</v>
      </c>
      <c r="M3400" s="8" t="s">
        <v>13195</v>
      </c>
      <c r="N3400" s="8" t="s">
        <v>15599</v>
      </c>
      <c r="O3400" s="8">
        <f>10+49/60+27.6/3600</f>
        <v>10.824333333333334</v>
      </c>
      <c r="P3400" s="8" t="s">
        <v>15600</v>
      </c>
      <c r="Q3400" s="8">
        <f>+(16+13/60+8/3600)</f>
        <v>16.218888888888888</v>
      </c>
      <c r="R3400" s="8">
        <v>12.9</v>
      </c>
      <c r="S3400" s="8">
        <v>13.9</v>
      </c>
      <c r="T3400" s="8">
        <v>1</v>
      </c>
      <c r="U3400" s="8">
        <v>12.3</v>
      </c>
      <c r="V3400" s="8">
        <v>0.8</v>
      </c>
      <c r="W3400" s="8">
        <v>0.8</v>
      </c>
      <c r="Y3400" s="8" t="s">
        <v>635</v>
      </c>
      <c r="Z3400" s="8" t="s">
        <v>636</v>
      </c>
    </row>
    <row r="3401" spans="1:26" x14ac:dyDescent="0.2">
      <c r="A3401" s="8">
        <v>3400</v>
      </c>
      <c r="B3401" s="8" t="s">
        <v>15601</v>
      </c>
      <c r="C3401" s="8" t="s">
        <v>15601</v>
      </c>
      <c r="F3401" s="47" t="s">
        <v>56835</v>
      </c>
      <c r="G3401" s="8">
        <v>15</v>
      </c>
      <c r="H3401" s="8" t="s">
        <v>21</v>
      </c>
      <c r="I3401" s="8" t="s">
        <v>22</v>
      </c>
      <c r="J3401" s="8" t="s">
        <v>22</v>
      </c>
      <c r="K3401" s="8" t="s">
        <v>154</v>
      </c>
      <c r="L3401" s="8" t="s">
        <v>13179</v>
      </c>
      <c r="M3401" s="8" t="s">
        <v>13180</v>
      </c>
      <c r="N3401" s="8" t="s">
        <v>15602</v>
      </c>
      <c r="O3401" s="8">
        <f>10+50/60+45.5/3600</f>
        <v>10.845972222222223</v>
      </c>
      <c r="P3401" s="8" t="s">
        <v>15603</v>
      </c>
      <c r="Q3401" s="8">
        <f>+(28+28/60+8/3600)</f>
        <v>28.468888888888888</v>
      </c>
      <c r="R3401" s="8">
        <v>13.2</v>
      </c>
      <c r="S3401" s="8">
        <v>14.1</v>
      </c>
      <c r="T3401" s="8">
        <v>0.9</v>
      </c>
      <c r="U3401" s="8">
        <v>13.1</v>
      </c>
      <c r="V3401" s="8">
        <v>1.1000000000000001</v>
      </c>
      <c r="W3401" s="8">
        <v>0.7</v>
      </c>
      <c r="X3401" s="8">
        <v>100</v>
      </c>
      <c r="Y3401" s="8" t="s">
        <v>3034</v>
      </c>
      <c r="Z3401" s="8" t="s">
        <v>1899</v>
      </c>
    </row>
    <row r="3402" spans="1:26" x14ac:dyDescent="0.2">
      <c r="A3402" s="8">
        <v>3401</v>
      </c>
      <c r="B3402" s="8" t="s">
        <v>15604</v>
      </c>
      <c r="C3402" s="8" t="s">
        <v>15604</v>
      </c>
      <c r="F3402" s="47" t="s">
        <v>56836</v>
      </c>
      <c r="G3402" s="8">
        <v>15</v>
      </c>
      <c r="H3402" s="8" t="s">
        <v>21</v>
      </c>
      <c r="I3402" s="8" t="s">
        <v>329</v>
      </c>
      <c r="J3402" s="8" t="s">
        <v>329</v>
      </c>
      <c r="K3402" s="8" t="s">
        <v>329</v>
      </c>
      <c r="L3402" s="8" t="s">
        <v>12234</v>
      </c>
      <c r="M3402" s="8" t="s">
        <v>12235</v>
      </c>
      <c r="N3402" s="8" t="s">
        <v>15605</v>
      </c>
      <c r="O3402" s="8">
        <f>10+49/60+12/3600</f>
        <v>10.82</v>
      </c>
      <c r="P3402" s="8" t="s">
        <v>15606</v>
      </c>
      <c r="Q3402" s="8">
        <f>+(5+48/60+8/3600)</f>
        <v>5.8022222222222224</v>
      </c>
      <c r="R3402" s="8">
        <v>99</v>
      </c>
      <c r="S3402" s="8">
        <v>99</v>
      </c>
      <c r="T3402" s="8">
        <v>99</v>
      </c>
      <c r="U3402" s="8">
        <v>99</v>
      </c>
      <c r="Y3402" s="8" t="s">
        <v>15607</v>
      </c>
      <c r="Z3402" s="8" t="s">
        <v>15608</v>
      </c>
    </row>
    <row r="3403" spans="1:26" x14ac:dyDescent="0.2">
      <c r="A3403" s="8">
        <v>3402</v>
      </c>
      <c r="B3403" s="8" t="s">
        <v>15609</v>
      </c>
      <c r="C3403" s="8" t="s">
        <v>15609</v>
      </c>
      <c r="F3403" s="47"/>
      <c r="G3403" s="8">
        <v>19</v>
      </c>
      <c r="H3403" s="8" t="s">
        <v>21</v>
      </c>
      <c r="I3403" s="8" t="s">
        <v>22</v>
      </c>
      <c r="J3403" s="8" t="s">
        <v>57</v>
      </c>
      <c r="K3403" s="8" t="s">
        <v>460</v>
      </c>
      <c r="L3403" s="8" t="s">
        <v>11765</v>
      </c>
      <c r="M3403" s="8" t="s">
        <v>11766</v>
      </c>
      <c r="N3403" s="8" t="s">
        <v>15610</v>
      </c>
      <c r="O3403" s="8">
        <f>10+50/60+26.1/3600</f>
        <v>10.840583333333335</v>
      </c>
      <c r="P3403" s="8" t="s">
        <v>15611</v>
      </c>
      <c r="Q3403" s="8">
        <f>-(12+50/60+42/3600)</f>
        <v>-12.845000000000001</v>
      </c>
      <c r="R3403" s="8">
        <v>11.9</v>
      </c>
      <c r="S3403" s="8">
        <v>12.9</v>
      </c>
      <c r="T3403" s="8">
        <v>1</v>
      </c>
      <c r="U3403" s="8">
        <v>13.4</v>
      </c>
      <c r="V3403" s="8">
        <v>2.1</v>
      </c>
      <c r="W3403" s="8">
        <v>2.1</v>
      </c>
      <c r="Y3403" s="8" t="s">
        <v>12871</v>
      </c>
      <c r="Z3403" s="8" t="s">
        <v>12872</v>
      </c>
    </row>
    <row r="3404" spans="1:26" x14ac:dyDescent="0.2">
      <c r="A3404" s="8">
        <v>3403</v>
      </c>
      <c r="B3404" s="8" t="s">
        <v>15612</v>
      </c>
      <c r="C3404" s="8" t="s">
        <v>15612</v>
      </c>
      <c r="F3404" s="47" t="s">
        <v>56837</v>
      </c>
      <c r="G3404" s="8">
        <v>13</v>
      </c>
      <c r="H3404" s="8" t="s">
        <v>21</v>
      </c>
      <c r="I3404" s="8" t="s">
        <v>22</v>
      </c>
      <c r="J3404" s="8" t="s">
        <v>22</v>
      </c>
      <c r="K3404" s="8" t="s">
        <v>396</v>
      </c>
      <c r="L3404" s="8" t="s">
        <v>13395</v>
      </c>
      <c r="M3404" s="8" t="s">
        <v>13396</v>
      </c>
      <c r="N3404" s="8" t="s">
        <v>15613</v>
      </c>
      <c r="O3404" s="8">
        <f>10+53/60+54.3/3600</f>
        <v>10.898416666666666</v>
      </c>
      <c r="P3404" s="8" t="s">
        <v>15614</v>
      </c>
      <c r="Q3404" s="8">
        <f>+(73+41/60+24/3600)</f>
        <v>73.69</v>
      </c>
      <c r="R3404" s="8">
        <v>12.2</v>
      </c>
      <c r="S3404" s="8">
        <v>13</v>
      </c>
      <c r="T3404" s="8">
        <v>0.8</v>
      </c>
      <c r="U3404" s="8">
        <v>13.5</v>
      </c>
      <c r="V3404" s="8">
        <v>3</v>
      </c>
      <c r="W3404" s="8">
        <v>1.3</v>
      </c>
      <c r="X3404" s="8">
        <v>73</v>
      </c>
      <c r="Y3404" s="8" t="s">
        <v>15615</v>
      </c>
      <c r="Z3404" s="8" t="s">
        <v>15616</v>
      </c>
    </row>
    <row r="3405" spans="1:26" x14ac:dyDescent="0.2">
      <c r="A3405" s="8">
        <v>3404</v>
      </c>
      <c r="B3405" s="8" t="s">
        <v>15617</v>
      </c>
      <c r="C3405" s="8" t="s">
        <v>15617</v>
      </c>
      <c r="F3405" s="47"/>
      <c r="G3405" s="8">
        <v>19</v>
      </c>
      <c r="H3405" s="8" t="s">
        <v>21</v>
      </c>
      <c r="I3405" s="8" t="s">
        <v>22</v>
      </c>
      <c r="J3405" s="8" t="s">
        <v>22</v>
      </c>
      <c r="K3405" s="8" t="s">
        <v>406</v>
      </c>
      <c r="L3405" s="8" t="s">
        <v>11765</v>
      </c>
      <c r="M3405" s="8" t="s">
        <v>11766</v>
      </c>
      <c r="N3405" s="8" t="s">
        <v>15618</v>
      </c>
      <c r="O3405" s="8">
        <f>10+50/60+17.8/3600</f>
        <v>10.838277777777778</v>
      </c>
      <c r="P3405" s="8" t="s">
        <v>15619</v>
      </c>
      <c r="Q3405" s="8">
        <f>-(12+6/60+29/3600)</f>
        <v>-12.108055555555556</v>
      </c>
      <c r="R3405" s="8">
        <v>13.2</v>
      </c>
      <c r="S3405" s="8">
        <v>14</v>
      </c>
      <c r="T3405" s="8">
        <v>0.8</v>
      </c>
      <c r="U3405" s="8">
        <v>13.1</v>
      </c>
      <c r="V3405" s="8">
        <v>2.1</v>
      </c>
      <c r="W3405" s="8">
        <v>0.5</v>
      </c>
      <c r="X3405" s="8">
        <v>84</v>
      </c>
      <c r="Y3405" s="8" t="s">
        <v>15620</v>
      </c>
      <c r="Z3405" s="8" t="s">
        <v>15621</v>
      </c>
    </row>
    <row r="3406" spans="1:26" x14ac:dyDescent="0.2">
      <c r="A3406" s="8">
        <v>3405</v>
      </c>
      <c r="B3406" s="8" t="s">
        <v>15622</v>
      </c>
      <c r="C3406" s="8" t="s">
        <v>15622</v>
      </c>
      <c r="E3406" s="8">
        <v>2</v>
      </c>
      <c r="F3406" s="47"/>
      <c r="G3406" s="8">
        <v>18</v>
      </c>
      <c r="H3406" s="8" t="s">
        <v>21</v>
      </c>
      <c r="I3406" s="8" t="s">
        <v>22</v>
      </c>
      <c r="J3406" s="8" t="s">
        <v>22</v>
      </c>
      <c r="K3406" s="8" t="s">
        <v>58</v>
      </c>
      <c r="L3406" s="8" t="s">
        <v>13194</v>
      </c>
      <c r="M3406" s="8" t="s">
        <v>13195</v>
      </c>
      <c r="N3406" s="8" t="s">
        <v>15623</v>
      </c>
      <c r="O3406" s="8">
        <f>10+49/60+44.3/3600</f>
        <v>10.828972222222221</v>
      </c>
      <c r="P3406" s="8" t="s">
        <v>15624</v>
      </c>
      <c r="Q3406" s="8">
        <f>+(16+14/60+33/3600)</f>
        <v>16.2425</v>
      </c>
      <c r="R3406" s="8">
        <v>13.3</v>
      </c>
      <c r="S3406" s="8">
        <v>14.3</v>
      </c>
      <c r="T3406" s="8">
        <v>1</v>
      </c>
      <c r="U3406" s="8">
        <v>12.9</v>
      </c>
      <c r="V3406" s="8">
        <v>0.8</v>
      </c>
      <c r="W3406" s="8">
        <v>0.8</v>
      </c>
      <c r="Y3406" s="8" t="s">
        <v>15625</v>
      </c>
      <c r="Z3406" s="8" t="s">
        <v>15626</v>
      </c>
    </row>
    <row r="3407" spans="1:26" x14ac:dyDescent="0.2">
      <c r="A3407" s="8">
        <v>3406</v>
      </c>
      <c r="B3407" s="8" t="s">
        <v>15627</v>
      </c>
      <c r="C3407" s="8" t="s">
        <v>15627</v>
      </c>
      <c r="E3407" s="8">
        <v>1</v>
      </c>
      <c r="F3407" s="47"/>
      <c r="G3407" s="8">
        <v>16</v>
      </c>
      <c r="H3407" s="8" t="s">
        <v>21</v>
      </c>
      <c r="I3407" s="8" t="s">
        <v>22</v>
      </c>
      <c r="J3407" s="8" t="s">
        <v>22</v>
      </c>
      <c r="K3407" s="8" t="s">
        <v>58</v>
      </c>
      <c r="L3407" s="8" t="s">
        <v>12015</v>
      </c>
      <c r="M3407" s="8" t="s">
        <v>12016</v>
      </c>
      <c r="N3407" s="8" t="s">
        <v>15628</v>
      </c>
      <c r="O3407" s="8">
        <f>10+51/60+43.7/3600</f>
        <v>10.862138888888888</v>
      </c>
      <c r="P3407" s="8" t="s">
        <v>15629</v>
      </c>
      <c r="Q3407" s="8">
        <f>+(51+1/60+22/3600)</f>
        <v>51.022777777777776</v>
      </c>
      <c r="R3407" s="8">
        <v>12.7</v>
      </c>
      <c r="S3407" s="8">
        <v>13.7</v>
      </c>
      <c r="T3407" s="8">
        <v>1</v>
      </c>
      <c r="U3407" s="8">
        <v>12.1</v>
      </c>
      <c r="V3407" s="8">
        <v>0.9</v>
      </c>
      <c r="W3407" s="8">
        <v>0.6</v>
      </c>
      <c r="X3407" s="8">
        <v>42</v>
      </c>
      <c r="Y3407" s="8" t="s">
        <v>15630</v>
      </c>
      <c r="Z3407" s="8" t="s">
        <v>15631</v>
      </c>
    </row>
    <row r="3408" spans="1:26" x14ac:dyDescent="0.2">
      <c r="A3408" s="8">
        <v>3407</v>
      </c>
      <c r="B3408" s="8" t="s">
        <v>15632</v>
      </c>
      <c r="C3408" s="8" t="s">
        <v>15632</v>
      </c>
      <c r="F3408" s="47" t="s">
        <v>56838</v>
      </c>
      <c r="G3408" s="8">
        <v>15</v>
      </c>
      <c r="H3408" s="8" t="s">
        <v>21</v>
      </c>
      <c r="I3408" s="8" t="s">
        <v>22</v>
      </c>
      <c r="J3408" s="8" t="s">
        <v>22</v>
      </c>
      <c r="K3408" s="8" t="s">
        <v>58</v>
      </c>
      <c r="L3408" s="8" t="s">
        <v>12015</v>
      </c>
      <c r="M3408" s="8" t="s">
        <v>12016</v>
      </c>
      <c r="N3408" s="8" t="s">
        <v>15633</v>
      </c>
      <c r="O3408" s="8">
        <f>10+52/60+17.8/3600</f>
        <v>10.871611111111111</v>
      </c>
      <c r="P3408" s="8" t="s">
        <v>15634</v>
      </c>
      <c r="Q3408" s="8">
        <f>+(61+22/60+46/3600)</f>
        <v>61.379444444444445</v>
      </c>
      <c r="R3408" s="8">
        <v>13.6</v>
      </c>
      <c r="S3408" s="8">
        <v>14.6</v>
      </c>
      <c r="T3408" s="8">
        <v>1</v>
      </c>
      <c r="U3408" s="8">
        <v>13.6</v>
      </c>
      <c r="V3408" s="8">
        <v>1.4</v>
      </c>
      <c r="W3408" s="8">
        <v>0.7</v>
      </c>
      <c r="X3408" s="8">
        <v>15</v>
      </c>
      <c r="Y3408" s="8" t="s">
        <v>15635</v>
      </c>
      <c r="Z3408" s="8" t="s">
        <v>15636</v>
      </c>
    </row>
    <row r="3409" spans="1:26" x14ac:dyDescent="0.2">
      <c r="A3409" s="8">
        <v>3408</v>
      </c>
      <c r="B3409" s="8" t="s">
        <v>15637</v>
      </c>
      <c r="C3409" s="8" t="s">
        <v>15637</v>
      </c>
      <c r="F3409" s="47" t="s">
        <v>56839</v>
      </c>
      <c r="G3409" s="8">
        <v>15</v>
      </c>
      <c r="H3409" s="8" t="s">
        <v>21</v>
      </c>
      <c r="I3409" s="8" t="s">
        <v>22</v>
      </c>
      <c r="J3409" s="8" t="s">
        <v>22</v>
      </c>
      <c r="K3409" s="8" t="s">
        <v>160</v>
      </c>
      <c r="L3409" s="8" t="s">
        <v>12015</v>
      </c>
      <c r="M3409" s="8" t="s">
        <v>12016</v>
      </c>
      <c r="N3409" s="8" t="s">
        <v>15638</v>
      </c>
      <c r="O3409" s="8">
        <f>10+52/60+11.5/3600</f>
        <v>10.869861111111112</v>
      </c>
      <c r="P3409" s="8" t="s">
        <v>15639</v>
      </c>
      <c r="Q3409" s="8">
        <f>+(58+26/60+19/3600)</f>
        <v>58.438611111111108</v>
      </c>
      <c r="R3409" s="8">
        <v>13.5</v>
      </c>
      <c r="S3409" s="8">
        <v>14.2</v>
      </c>
      <c r="T3409" s="8">
        <v>0.7</v>
      </c>
      <c r="U3409" s="8">
        <v>12.7</v>
      </c>
      <c r="V3409" s="8">
        <v>0.8</v>
      </c>
      <c r="W3409" s="8">
        <v>0.7</v>
      </c>
      <c r="X3409" s="8">
        <v>127</v>
      </c>
      <c r="Y3409" s="8" t="s">
        <v>15640</v>
      </c>
      <c r="Z3409" s="8" t="s">
        <v>15641</v>
      </c>
    </row>
    <row r="3410" spans="1:26" x14ac:dyDescent="0.2">
      <c r="A3410" s="8">
        <v>3409</v>
      </c>
      <c r="B3410" s="8" t="s">
        <v>15642</v>
      </c>
      <c r="C3410" s="8" t="s">
        <v>15642</v>
      </c>
      <c r="F3410" s="47"/>
      <c r="G3410" s="8">
        <v>19</v>
      </c>
      <c r="H3410" s="8" t="s">
        <v>21</v>
      </c>
      <c r="I3410" s="8" t="s">
        <v>22</v>
      </c>
      <c r="J3410" s="8" t="s">
        <v>22</v>
      </c>
      <c r="K3410" s="8" t="s">
        <v>160</v>
      </c>
      <c r="L3410" s="8" t="s">
        <v>11765</v>
      </c>
      <c r="M3410" s="8" t="s">
        <v>11766</v>
      </c>
      <c r="N3410" s="8" t="s">
        <v>15643</v>
      </c>
      <c r="O3410" s="8">
        <f>10+50/60+20.2/3600</f>
        <v>10.838944444444445</v>
      </c>
      <c r="P3410" s="8" t="s">
        <v>15644</v>
      </c>
      <c r="Q3410" s="8">
        <f>-(17+2/60+41/3600)</f>
        <v>-17.044722222222223</v>
      </c>
      <c r="R3410" s="8">
        <v>14.1</v>
      </c>
      <c r="S3410" s="8">
        <v>14.8</v>
      </c>
      <c r="T3410" s="8">
        <v>0.7</v>
      </c>
      <c r="U3410" s="8">
        <v>12.4</v>
      </c>
      <c r="V3410" s="8">
        <v>1.2</v>
      </c>
      <c r="W3410" s="8">
        <v>0.2</v>
      </c>
      <c r="X3410" s="8">
        <v>10</v>
      </c>
      <c r="Y3410" s="8" t="s">
        <v>15645</v>
      </c>
      <c r="Z3410" s="8" t="s">
        <v>15646</v>
      </c>
    </row>
    <row r="3411" spans="1:26" x14ac:dyDescent="0.2">
      <c r="A3411" s="8">
        <v>3410</v>
      </c>
      <c r="B3411" s="8" t="s">
        <v>15647</v>
      </c>
      <c r="C3411" s="8" t="s">
        <v>15647</v>
      </c>
      <c r="F3411" s="47"/>
      <c r="G3411" s="8">
        <v>19</v>
      </c>
      <c r="H3411" s="8" t="s">
        <v>21</v>
      </c>
      <c r="I3411" s="8" t="s">
        <v>22</v>
      </c>
      <c r="J3411" s="8" t="s">
        <v>22</v>
      </c>
      <c r="K3411" s="8" t="s">
        <v>449</v>
      </c>
      <c r="L3411" s="8" t="s">
        <v>12015</v>
      </c>
      <c r="M3411" s="8" t="s">
        <v>12016</v>
      </c>
      <c r="N3411" s="8" t="s">
        <v>15648</v>
      </c>
      <c r="O3411" s="8">
        <f>10+51/60+53.6/3600</f>
        <v>10.864888888888888</v>
      </c>
      <c r="P3411" s="8" t="s">
        <v>15649</v>
      </c>
      <c r="Q3411" s="8">
        <f>+(51+0/60+23/3600)</f>
        <v>51.006388888888885</v>
      </c>
      <c r="R3411" s="8">
        <v>14.2</v>
      </c>
      <c r="S3411" s="8">
        <v>15</v>
      </c>
      <c r="T3411" s="8">
        <v>0.8</v>
      </c>
      <c r="U3411" s="8">
        <v>13.1</v>
      </c>
      <c r="V3411" s="8">
        <v>0.8</v>
      </c>
      <c r="W3411" s="8">
        <v>0.5</v>
      </c>
      <c r="X3411" s="8">
        <v>24</v>
      </c>
      <c r="Y3411" s="8" t="s">
        <v>15650</v>
      </c>
      <c r="Z3411" s="8" t="s">
        <v>15651</v>
      </c>
    </row>
    <row r="3412" spans="1:26" x14ac:dyDescent="0.2">
      <c r="A3412" s="8">
        <v>3411</v>
      </c>
      <c r="B3412" s="8" t="s">
        <v>15652</v>
      </c>
      <c r="C3412" s="8" t="s">
        <v>15652</v>
      </c>
      <c r="F3412" s="47" t="s">
        <v>56840</v>
      </c>
      <c r="G3412" s="8">
        <v>15</v>
      </c>
      <c r="H3412" s="8" t="s">
        <v>21</v>
      </c>
      <c r="I3412" s="8" t="s">
        <v>22</v>
      </c>
      <c r="J3412" s="8" t="s">
        <v>22</v>
      </c>
      <c r="K3412" s="8" t="s">
        <v>460</v>
      </c>
      <c r="L3412" s="8" t="s">
        <v>11765</v>
      </c>
      <c r="M3412" s="8" t="s">
        <v>11766</v>
      </c>
      <c r="N3412" s="8" t="s">
        <v>15610</v>
      </c>
      <c r="O3412" s="8">
        <f>10+50/60+26.1/3600</f>
        <v>10.840583333333335</v>
      </c>
      <c r="P3412" s="8" t="s">
        <v>15611</v>
      </c>
      <c r="Q3412" s="8">
        <f>-(12+50/60+42/3600)</f>
        <v>-12.845000000000001</v>
      </c>
      <c r="R3412" s="8">
        <v>11.9</v>
      </c>
      <c r="S3412" s="8">
        <v>12.9</v>
      </c>
      <c r="T3412" s="8">
        <v>1</v>
      </c>
      <c r="U3412" s="8">
        <v>13.4</v>
      </c>
      <c r="V3412" s="8">
        <v>2.1</v>
      </c>
      <c r="W3412" s="8">
        <v>2.1</v>
      </c>
      <c r="Y3412" s="8" t="s">
        <v>12871</v>
      </c>
      <c r="Z3412" s="8" t="s">
        <v>973</v>
      </c>
    </row>
    <row r="3413" spans="1:26" x14ac:dyDescent="0.2">
      <c r="A3413" s="8">
        <v>3412</v>
      </c>
      <c r="B3413" s="8" t="s">
        <v>15653</v>
      </c>
      <c r="C3413" s="8" t="s">
        <v>15653</v>
      </c>
      <c r="F3413" s="47" t="s">
        <v>56841</v>
      </c>
      <c r="G3413" s="8">
        <v>6</v>
      </c>
      <c r="H3413" s="8" t="s">
        <v>21</v>
      </c>
      <c r="I3413" s="8" t="s">
        <v>22</v>
      </c>
      <c r="J3413" s="8" t="s">
        <v>22</v>
      </c>
      <c r="K3413" s="8" t="s">
        <v>224</v>
      </c>
      <c r="L3413" s="8" t="s">
        <v>13194</v>
      </c>
      <c r="M3413" s="8" t="s">
        <v>13195</v>
      </c>
      <c r="N3413" s="8" t="s">
        <v>15654</v>
      </c>
      <c r="O3413" s="8">
        <f>10+50/60+53.3/3600</f>
        <v>10.84813888888889</v>
      </c>
      <c r="P3413" s="8" t="s">
        <v>15655</v>
      </c>
      <c r="Q3413" s="8">
        <f>+(13+24/60+46/3600)</f>
        <v>13.412777777777778</v>
      </c>
      <c r="R3413" s="8">
        <v>10.5</v>
      </c>
      <c r="S3413" s="8">
        <v>11.5</v>
      </c>
      <c r="T3413" s="8">
        <v>1</v>
      </c>
      <c r="U3413" s="8">
        <v>12.6</v>
      </c>
      <c r="V3413" s="8">
        <v>3.7</v>
      </c>
      <c r="W3413" s="8">
        <v>2.2000000000000002</v>
      </c>
      <c r="X3413" s="8">
        <v>155</v>
      </c>
      <c r="Y3413" s="8" t="s">
        <v>15656</v>
      </c>
      <c r="Z3413" s="8" t="s">
        <v>15657</v>
      </c>
    </row>
    <row r="3414" spans="1:26" x14ac:dyDescent="0.2">
      <c r="A3414" s="8">
        <v>3413</v>
      </c>
      <c r="B3414" s="8" t="s">
        <v>15658</v>
      </c>
      <c r="C3414" s="8" t="s">
        <v>15658</v>
      </c>
      <c r="F3414" s="47" t="s">
        <v>56842</v>
      </c>
      <c r="G3414" s="8">
        <v>15</v>
      </c>
      <c r="H3414" s="8" t="s">
        <v>21</v>
      </c>
      <c r="I3414" s="8" t="s">
        <v>22</v>
      </c>
      <c r="J3414" s="8" t="s">
        <v>22</v>
      </c>
      <c r="K3414" s="8" t="s">
        <v>37</v>
      </c>
      <c r="L3414" s="8" t="s">
        <v>13179</v>
      </c>
      <c r="M3414" s="8" t="s">
        <v>13180</v>
      </c>
      <c r="N3414" s="8" t="s">
        <v>15659</v>
      </c>
      <c r="O3414" s="8">
        <f>10+51/60+20.7/3600</f>
        <v>10.85575</v>
      </c>
      <c r="P3414" s="8" t="s">
        <v>15660</v>
      </c>
      <c r="Q3414" s="8">
        <f>+(32+45/60+58/3600)</f>
        <v>32.766111111111108</v>
      </c>
      <c r="R3414" s="8">
        <v>12.2</v>
      </c>
      <c r="S3414" s="8">
        <v>13.2</v>
      </c>
      <c r="T3414" s="8">
        <v>1</v>
      </c>
      <c r="U3414" s="8">
        <v>12.4</v>
      </c>
      <c r="V3414" s="8">
        <v>1.8</v>
      </c>
      <c r="W3414" s="8">
        <v>0.8</v>
      </c>
      <c r="X3414" s="8">
        <v>178</v>
      </c>
      <c r="Y3414" s="8" t="s">
        <v>4065</v>
      </c>
      <c r="Z3414" s="8" t="s">
        <v>4066</v>
      </c>
    </row>
    <row r="3415" spans="1:26" x14ac:dyDescent="0.2">
      <c r="A3415" s="8">
        <v>3414</v>
      </c>
      <c r="B3415" s="8" t="s">
        <v>15661</v>
      </c>
      <c r="C3415" s="8" t="s">
        <v>15661</v>
      </c>
      <c r="F3415" s="47" t="s">
        <v>56843</v>
      </c>
      <c r="G3415" s="8">
        <v>6</v>
      </c>
      <c r="H3415" s="8" t="s">
        <v>21</v>
      </c>
      <c r="I3415" s="8" t="s">
        <v>22</v>
      </c>
      <c r="J3415" s="8" t="s">
        <v>22</v>
      </c>
      <c r="K3415" s="8" t="s">
        <v>224</v>
      </c>
      <c r="L3415" s="8" t="s">
        <v>13179</v>
      </c>
      <c r="M3415" s="8" t="s">
        <v>13180</v>
      </c>
      <c r="N3415" s="8" t="s">
        <v>15662</v>
      </c>
      <c r="O3415" s="8">
        <f>10+51/60+16.1/3600</f>
        <v>10.854472222222222</v>
      </c>
      <c r="P3415" s="8" t="s">
        <v>15663</v>
      </c>
      <c r="Q3415" s="8">
        <f>+(27+58/60+30/3600)</f>
        <v>27.974999999999998</v>
      </c>
      <c r="R3415" s="8">
        <v>11</v>
      </c>
      <c r="S3415" s="8">
        <v>12</v>
      </c>
      <c r="T3415" s="8">
        <v>1</v>
      </c>
      <c r="U3415" s="8">
        <v>13.3</v>
      </c>
      <c r="V3415" s="8">
        <v>3.5</v>
      </c>
      <c r="W3415" s="8">
        <v>2.6</v>
      </c>
      <c r="X3415" s="8">
        <v>25</v>
      </c>
      <c r="Y3415" s="8" t="s">
        <v>15664</v>
      </c>
      <c r="Z3415" s="8" t="s">
        <v>15665</v>
      </c>
    </row>
    <row r="3416" spans="1:26" x14ac:dyDescent="0.2">
      <c r="A3416" s="8">
        <v>3415</v>
      </c>
      <c r="B3416" s="8" t="s">
        <v>15666</v>
      </c>
      <c r="C3416" s="8" t="s">
        <v>15666</v>
      </c>
      <c r="F3416" s="47" t="s">
        <v>56844</v>
      </c>
      <c r="G3416" s="8">
        <v>13</v>
      </c>
      <c r="H3416" s="8" t="s">
        <v>21</v>
      </c>
      <c r="I3416" s="8" t="s">
        <v>22</v>
      </c>
      <c r="J3416" s="8" t="s">
        <v>22</v>
      </c>
      <c r="K3416" s="8" t="s">
        <v>632</v>
      </c>
      <c r="L3416" s="8" t="s">
        <v>12015</v>
      </c>
      <c r="M3416" s="8" t="s">
        <v>12016</v>
      </c>
      <c r="N3416" s="8" t="s">
        <v>15667</v>
      </c>
      <c r="O3416" s="8">
        <f>10+51/60+42.4/3600</f>
        <v>10.861777777777778</v>
      </c>
      <c r="P3416" s="8" t="s">
        <v>15668</v>
      </c>
      <c r="Q3416" s="8">
        <f>+(43+42/60+46/3600)</f>
        <v>43.712777777777781</v>
      </c>
      <c r="R3416" s="8">
        <v>12.7</v>
      </c>
      <c r="S3416" s="8">
        <v>13.5</v>
      </c>
      <c r="T3416" s="8">
        <v>0.8</v>
      </c>
      <c r="U3416" s="8">
        <v>13.6</v>
      </c>
      <c r="V3416" s="8">
        <v>2.1</v>
      </c>
      <c r="W3416" s="8">
        <v>1.3</v>
      </c>
      <c r="X3416" s="8">
        <v>10</v>
      </c>
      <c r="Y3416" s="8" t="s">
        <v>15669</v>
      </c>
      <c r="Z3416" s="8" t="s">
        <v>15670</v>
      </c>
    </row>
    <row r="3417" spans="1:26" x14ac:dyDescent="0.2">
      <c r="A3417" s="8">
        <v>3416</v>
      </c>
      <c r="B3417" s="8" t="s">
        <v>15671</v>
      </c>
      <c r="C3417" s="8" t="s">
        <v>15671</v>
      </c>
      <c r="F3417" s="47"/>
      <c r="G3417" s="8">
        <v>18</v>
      </c>
      <c r="H3417" s="8" t="s">
        <v>21</v>
      </c>
      <c r="I3417" s="8" t="s">
        <v>22</v>
      </c>
      <c r="J3417" s="8" t="s">
        <v>22</v>
      </c>
      <c r="K3417" s="8" t="s">
        <v>476</v>
      </c>
      <c r="L3417" s="8" t="s">
        <v>12015</v>
      </c>
      <c r="M3417" s="8" t="s">
        <v>12016</v>
      </c>
      <c r="N3417" s="8" t="s">
        <v>15672</v>
      </c>
      <c r="O3417" s="8">
        <f>10+51/60+48.3/3600</f>
        <v>10.863416666666666</v>
      </c>
      <c r="P3417" s="8" t="s">
        <v>15673</v>
      </c>
      <c r="Q3417" s="8">
        <f>+(43+45/60+53/3600)</f>
        <v>43.764722222222225</v>
      </c>
      <c r="R3417" s="8">
        <v>14.5</v>
      </c>
      <c r="S3417" s="8">
        <v>15.4</v>
      </c>
      <c r="T3417" s="8">
        <v>0.9</v>
      </c>
      <c r="U3417" s="8">
        <v>12</v>
      </c>
      <c r="V3417" s="8">
        <v>0.6</v>
      </c>
      <c r="W3417" s="8">
        <v>0.2</v>
      </c>
      <c r="X3417" s="8">
        <v>27</v>
      </c>
      <c r="Y3417" s="8" t="s">
        <v>15674</v>
      </c>
      <c r="Z3417" s="8" t="s">
        <v>15675</v>
      </c>
    </row>
    <row r="3418" spans="1:26" x14ac:dyDescent="0.2">
      <c r="A3418" s="8">
        <v>3417</v>
      </c>
      <c r="B3418" s="8" t="s">
        <v>15676</v>
      </c>
      <c r="C3418" s="8" t="s">
        <v>15676</v>
      </c>
      <c r="F3418" s="47"/>
      <c r="G3418" s="8">
        <v>18</v>
      </c>
      <c r="H3418" s="8" t="s">
        <v>21</v>
      </c>
      <c r="I3418" s="8" t="s">
        <v>22</v>
      </c>
      <c r="J3418" s="8" t="s">
        <v>22</v>
      </c>
      <c r="K3418" s="8" t="s">
        <v>449</v>
      </c>
      <c r="L3418" s="8" t="s">
        <v>13194</v>
      </c>
      <c r="M3418" s="8" t="s">
        <v>13195</v>
      </c>
      <c r="N3418" s="8" t="s">
        <v>15677</v>
      </c>
      <c r="O3418" s="8">
        <f>10+51/60+1.7/3600</f>
        <v>10.850472222222223</v>
      </c>
      <c r="P3418" s="8" t="s">
        <v>15678</v>
      </c>
      <c r="Q3418" s="8">
        <f>+(8+28/60+25/3600)</f>
        <v>8.4736111111111114</v>
      </c>
      <c r="R3418" s="8">
        <v>14.6</v>
      </c>
      <c r="S3418" s="8">
        <v>15.4</v>
      </c>
      <c r="T3418" s="8">
        <v>0.8</v>
      </c>
      <c r="U3418" s="8">
        <v>13.1</v>
      </c>
      <c r="V3418" s="8">
        <v>0.6</v>
      </c>
      <c r="W3418" s="8">
        <v>0.3</v>
      </c>
      <c r="X3418" s="8">
        <v>81</v>
      </c>
      <c r="Y3418" s="8" t="s">
        <v>15331</v>
      </c>
      <c r="Z3418" s="8" t="s">
        <v>15679</v>
      </c>
    </row>
    <row r="3419" spans="1:26" x14ac:dyDescent="0.2">
      <c r="A3419" s="8">
        <v>3418</v>
      </c>
      <c r="B3419" s="8" t="s">
        <v>15680</v>
      </c>
      <c r="C3419" s="8" t="s">
        <v>15680</v>
      </c>
      <c r="F3419" s="47" t="s">
        <v>56845</v>
      </c>
      <c r="G3419" s="8">
        <v>15</v>
      </c>
      <c r="H3419" s="8" t="s">
        <v>21</v>
      </c>
      <c r="I3419" s="8" t="s">
        <v>22</v>
      </c>
      <c r="J3419" s="8" t="s">
        <v>22</v>
      </c>
      <c r="K3419" s="8" t="s">
        <v>435</v>
      </c>
      <c r="L3419" s="8" t="s">
        <v>13179</v>
      </c>
      <c r="M3419" s="8" t="s">
        <v>13180</v>
      </c>
      <c r="N3419" s="8" t="s">
        <v>15681</v>
      </c>
      <c r="O3419" s="8">
        <f>10+51/60+23.9/3600</f>
        <v>10.856638888888888</v>
      </c>
      <c r="P3419" s="8" t="s">
        <v>15682</v>
      </c>
      <c r="Q3419" s="8">
        <f>+(28+6/60+44/3600)</f>
        <v>28.112222222222222</v>
      </c>
      <c r="R3419" s="8">
        <v>13.2</v>
      </c>
      <c r="S3419" s="8">
        <v>14.1</v>
      </c>
      <c r="T3419" s="8">
        <v>0.9</v>
      </c>
      <c r="U3419" s="8">
        <v>13.5</v>
      </c>
      <c r="V3419" s="8">
        <v>1.4</v>
      </c>
      <c r="W3419" s="8">
        <v>1.1000000000000001</v>
      </c>
      <c r="X3419" s="8">
        <v>75</v>
      </c>
      <c r="Y3419" s="8" t="s">
        <v>11841</v>
      </c>
      <c r="Z3419" s="8" t="s">
        <v>11842</v>
      </c>
    </row>
    <row r="3420" spans="1:26" x14ac:dyDescent="0.2">
      <c r="A3420" s="8">
        <v>3419</v>
      </c>
      <c r="B3420" s="8" t="s">
        <v>15683</v>
      </c>
      <c r="C3420" s="8" t="s">
        <v>15683</v>
      </c>
      <c r="F3420" s="47"/>
      <c r="G3420" s="8">
        <v>18</v>
      </c>
      <c r="H3420" s="8" t="s">
        <v>21</v>
      </c>
      <c r="I3420" s="8" t="s">
        <v>22</v>
      </c>
      <c r="J3420" s="8" t="s">
        <v>22</v>
      </c>
      <c r="K3420" s="8" t="s">
        <v>435</v>
      </c>
      <c r="L3420" s="8" t="s">
        <v>13194</v>
      </c>
      <c r="M3420" s="8" t="s">
        <v>13195</v>
      </c>
      <c r="N3420" s="8" t="s">
        <v>15684</v>
      </c>
      <c r="O3420" s="8">
        <f>10+51/60+17.8/3600</f>
        <v>10.854944444444444</v>
      </c>
      <c r="P3420" s="8" t="s">
        <v>15685</v>
      </c>
      <c r="Q3420" s="8">
        <f>+(13+56/60+44/3600)</f>
        <v>13.945555555555556</v>
      </c>
      <c r="R3420" s="8">
        <v>12.5</v>
      </c>
      <c r="S3420" s="8">
        <v>13.4</v>
      </c>
      <c r="T3420" s="8">
        <v>0.9</v>
      </c>
      <c r="U3420" s="8">
        <v>12.5</v>
      </c>
      <c r="V3420" s="8">
        <v>1.2</v>
      </c>
      <c r="W3420" s="8">
        <v>1</v>
      </c>
      <c r="X3420" s="8">
        <v>115</v>
      </c>
      <c r="Y3420" s="8" t="s">
        <v>15686</v>
      </c>
      <c r="Z3420" s="8" t="s">
        <v>15687</v>
      </c>
    </row>
    <row r="3421" spans="1:26" x14ac:dyDescent="0.2">
      <c r="A3421" s="8">
        <v>3420</v>
      </c>
      <c r="B3421" s="8" t="s">
        <v>15688</v>
      </c>
      <c r="C3421" s="8" t="s">
        <v>15688</v>
      </c>
      <c r="F3421" s="47"/>
      <c r="G3421" s="8">
        <v>19</v>
      </c>
      <c r="H3421" s="8" t="s">
        <v>21</v>
      </c>
      <c r="I3421" s="8" t="s">
        <v>22</v>
      </c>
      <c r="J3421" s="8" t="s">
        <v>22</v>
      </c>
      <c r="K3421" s="8" t="s">
        <v>154</v>
      </c>
      <c r="L3421" s="8" t="s">
        <v>11765</v>
      </c>
      <c r="M3421" s="8" t="s">
        <v>11766</v>
      </c>
      <c r="N3421" s="8" t="s">
        <v>15689</v>
      </c>
      <c r="O3421" s="8">
        <f>10+50/60+9.6/3600</f>
        <v>10.836</v>
      </c>
      <c r="P3421" s="8" t="s">
        <v>15690</v>
      </c>
      <c r="Q3421" s="8">
        <f>-(17+14/60+35/3600)</f>
        <v>-17.243055555555557</v>
      </c>
      <c r="R3421" s="8">
        <v>13.8</v>
      </c>
      <c r="S3421" s="8">
        <v>14.7</v>
      </c>
      <c r="T3421" s="8">
        <v>0.9</v>
      </c>
      <c r="U3421" s="8">
        <v>14</v>
      </c>
      <c r="V3421" s="8">
        <v>1.3</v>
      </c>
      <c r="W3421" s="8">
        <v>1.1000000000000001</v>
      </c>
      <c r="X3421" s="8">
        <v>30</v>
      </c>
      <c r="Y3421" s="8" t="s">
        <v>15691</v>
      </c>
      <c r="Z3421" s="8" t="s">
        <v>15692</v>
      </c>
    </row>
    <row r="3422" spans="1:26" x14ac:dyDescent="0.2">
      <c r="A3422" s="8">
        <v>3421</v>
      </c>
      <c r="B3422" s="8" t="s">
        <v>15693</v>
      </c>
      <c r="C3422" s="8" t="s">
        <v>15693</v>
      </c>
      <c r="F3422" s="47"/>
      <c r="G3422" s="8">
        <v>19</v>
      </c>
      <c r="H3422" s="8" t="s">
        <v>21</v>
      </c>
      <c r="I3422" s="8" t="s">
        <v>22</v>
      </c>
      <c r="J3422" s="8" t="s">
        <v>22</v>
      </c>
      <c r="K3422" s="8" t="s">
        <v>2542</v>
      </c>
      <c r="L3422" s="8" t="s">
        <v>11765</v>
      </c>
      <c r="M3422" s="8" t="s">
        <v>11766</v>
      </c>
      <c r="N3422" s="8" t="s">
        <v>15694</v>
      </c>
      <c r="O3422" s="8">
        <f>10+50/60+57.6/3600</f>
        <v>10.849333333333334</v>
      </c>
      <c r="P3422" s="8" t="s">
        <v>15695</v>
      </c>
      <c r="Q3422" s="8">
        <f>-(12+26/60+52/3600)</f>
        <v>-12.447777777777778</v>
      </c>
      <c r="R3422" s="8">
        <v>13.7</v>
      </c>
      <c r="S3422" s="8">
        <v>14.6</v>
      </c>
      <c r="T3422" s="8">
        <v>0.9</v>
      </c>
      <c r="U3422" s="8">
        <v>14.6</v>
      </c>
      <c r="V3422" s="8">
        <v>1.8</v>
      </c>
      <c r="W3422" s="8">
        <v>1.5</v>
      </c>
      <c r="X3422" s="8">
        <v>175</v>
      </c>
      <c r="Y3422" s="8" t="s">
        <v>15696</v>
      </c>
      <c r="Z3422" s="8" t="s">
        <v>15697</v>
      </c>
    </row>
    <row r="3423" spans="1:26" x14ac:dyDescent="0.2">
      <c r="A3423" s="8">
        <v>3422</v>
      </c>
      <c r="B3423" s="8" t="s">
        <v>15698</v>
      </c>
      <c r="C3423" s="8" t="s">
        <v>15698</v>
      </c>
      <c r="F3423" s="47"/>
      <c r="G3423" s="8">
        <v>19</v>
      </c>
      <c r="H3423" s="8" t="s">
        <v>21</v>
      </c>
      <c r="I3423" s="8" t="s">
        <v>22</v>
      </c>
      <c r="J3423" s="8" t="s">
        <v>22</v>
      </c>
      <c r="K3423" s="8" t="s">
        <v>632</v>
      </c>
      <c r="L3423" s="8" t="s">
        <v>15699</v>
      </c>
      <c r="M3423" s="8" t="s">
        <v>15700</v>
      </c>
      <c r="N3423" s="8" t="s">
        <v>15701</v>
      </c>
      <c r="O3423" s="8">
        <f>10+51/60+17.4/3600</f>
        <v>10.854833333333334</v>
      </c>
      <c r="P3423" s="8" t="s">
        <v>15702</v>
      </c>
      <c r="Q3423" s="8">
        <f>-(12+24/60+7/3600)</f>
        <v>-12.401944444444444</v>
      </c>
      <c r="R3423" s="8">
        <v>14.1</v>
      </c>
      <c r="S3423" s="8">
        <v>15</v>
      </c>
      <c r="T3423" s="8">
        <v>0.9</v>
      </c>
      <c r="U3423" s="8">
        <v>13</v>
      </c>
      <c r="V3423" s="8">
        <v>1.3</v>
      </c>
      <c r="W3423" s="8">
        <v>0.3</v>
      </c>
      <c r="X3423" s="8">
        <v>54</v>
      </c>
      <c r="Y3423" s="8" t="s">
        <v>15696</v>
      </c>
      <c r="Z3423" s="8" t="s">
        <v>15697</v>
      </c>
    </row>
    <row r="3424" spans="1:26" x14ac:dyDescent="0.2">
      <c r="A3424" s="8">
        <v>3423</v>
      </c>
      <c r="B3424" s="8" t="s">
        <v>15703</v>
      </c>
      <c r="C3424" s="8" t="s">
        <v>15703</v>
      </c>
      <c r="F3424" s="47" t="s">
        <v>56846</v>
      </c>
      <c r="G3424" s="8">
        <v>7</v>
      </c>
      <c r="H3424" s="8" t="s">
        <v>21</v>
      </c>
      <c r="I3424" s="8" t="s">
        <v>22</v>
      </c>
      <c r="J3424" s="8" t="s">
        <v>22</v>
      </c>
      <c r="K3424" s="8" t="s">
        <v>160</v>
      </c>
      <c r="L3424" s="8" t="s">
        <v>12234</v>
      </c>
      <c r="M3424" s="8" t="s">
        <v>12235</v>
      </c>
      <c r="N3424" s="8" t="s">
        <v>15704</v>
      </c>
      <c r="O3424" s="8">
        <f>10+51/60+14.4/3600</f>
        <v>10.853999999999999</v>
      </c>
      <c r="P3424" s="8" t="s">
        <v>15705</v>
      </c>
      <c r="Q3424" s="8">
        <f>+(5+50/60+24/3600)</f>
        <v>5.84</v>
      </c>
      <c r="R3424" s="8">
        <v>11.1</v>
      </c>
      <c r="S3424" s="8">
        <v>11.6</v>
      </c>
      <c r="T3424" s="8">
        <v>0.5</v>
      </c>
      <c r="U3424" s="8">
        <v>13.7</v>
      </c>
      <c r="V3424" s="8">
        <v>3.9</v>
      </c>
      <c r="W3424" s="8">
        <v>3.3</v>
      </c>
      <c r="X3424" s="8">
        <v>10</v>
      </c>
      <c r="Y3424" s="8" t="s">
        <v>15706</v>
      </c>
      <c r="Z3424" s="8" t="s">
        <v>15707</v>
      </c>
    </row>
    <row r="3425" spans="1:26" x14ac:dyDescent="0.2">
      <c r="A3425" s="8">
        <v>3424</v>
      </c>
      <c r="B3425" s="8" t="s">
        <v>15708</v>
      </c>
      <c r="C3425" s="8" t="s">
        <v>15708</v>
      </c>
      <c r="F3425" s="47" t="s">
        <v>56847</v>
      </c>
      <c r="G3425" s="8">
        <v>6.5</v>
      </c>
      <c r="H3425" s="8" t="s">
        <v>21</v>
      </c>
      <c r="I3425" s="8" t="s">
        <v>22</v>
      </c>
      <c r="J3425" s="8" t="s">
        <v>22</v>
      </c>
      <c r="K3425" s="8" t="s">
        <v>218</v>
      </c>
      <c r="L3425" s="8" t="s">
        <v>13179</v>
      </c>
      <c r="M3425" s="8" t="s">
        <v>13180</v>
      </c>
      <c r="N3425" s="8" t="s">
        <v>15709</v>
      </c>
      <c r="O3425" s="8">
        <f>10+51/60+46.2/3600</f>
        <v>10.862833333333333</v>
      </c>
      <c r="P3425" s="8" t="s">
        <v>15710</v>
      </c>
      <c r="Q3425" s="8">
        <f>+(32+54/60+1/3600)</f>
        <v>32.900277777777774</v>
      </c>
      <c r="R3425" s="8">
        <v>12.4</v>
      </c>
      <c r="S3425" s="8">
        <v>13.2</v>
      </c>
      <c r="T3425" s="8">
        <v>0.8</v>
      </c>
      <c r="U3425" s="8">
        <v>13.1</v>
      </c>
      <c r="V3425" s="8">
        <v>2.7</v>
      </c>
      <c r="W3425" s="8">
        <v>0.8</v>
      </c>
      <c r="X3425" s="8">
        <v>112</v>
      </c>
      <c r="Y3425" s="8" t="s">
        <v>15711</v>
      </c>
      <c r="Z3425" s="8" t="s">
        <v>15712</v>
      </c>
    </row>
    <row r="3426" spans="1:26" x14ac:dyDescent="0.2">
      <c r="A3426" s="8">
        <v>3425</v>
      </c>
      <c r="B3426" s="8" t="s">
        <v>15713</v>
      </c>
      <c r="C3426" s="8" t="s">
        <v>15713</v>
      </c>
      <c r="F3426" s="47" t="s">
        <v>56848</v>
      </c>
      <c r="G3426" s="8">
        <v>15</v>
      </c>
      <c r="H3426" s="8" t="s">
        <v>21</v>
      </c>
      <c r="I3426" s="8" t="s">
        <v>22</v>
      </c>
      <c r="J3426" s="8" t="s">
        <v>22</v>
      </c>
      <c r="K3426" s="8" t="s">
        <v>37</v>
      </c>
      <c r="L3426" s="8" t="s">
        <v>13194</v>
      </c>
      <c r="M3426" s="8" t="s">
        <v>13195</v>
      </c>
      <c r="N3426" s="8" t="s">
        <v>15552</v>
      </c>
      <c r="O3426" s="8">
        <f>10+51/60+25.5/3600</f>
        <v>10.857083333333334</v>
      </c>
      <c r="P3426" s="8" t="s">
        <v>15553</v>
      </c>
      <c r="Q3426" s="8">
        <f>+(8+34/60+3/3600)</f>
        <v>8.567499999999999</v>
      </c>
      <c r="R3426" s="8">
        <v>13.1</v>
      </c>
      <c r="S3426" s="8">
        <v>14.1</v>
      </c>
      <c r="T3426" s="8">
        <v>1</v>
      </c>
      <c r="U3426" s="8">
        <v>13</v>
      </c>
      <c r="V3426" s="8">
        <v>1</v>
      </c>
      <c r="W3426" s="8">
        <v>1</v>
      </c>
      <c r="Y3426" s="8" t="s">
        <v>1829</v>
      </c>
      <c r="Z3426" s="8" t="s">
        <v>1830</v>
      </c>
    </row>
    <row r="3427" spans="1:26" x14ac:dyDescent="0.2">
      <c r="A3427" s="8">
        <v>3426</v>
      </c>
      <c r="B3427" s="8" t="s">
        <v>15714</v>
      </c>
      <c r="C3427" s="8" t="s">
        <v>15714</v>
      </c>
      <c r="F3427" s="47"/>
      <c r="G3427" s="8">
        <v>19</v>
      </c>
      <c r="H3427" s="8" t="s">
        <v>21</v>
      </c>
      <c r="I3427" s="8" t="s">
        <v>22</v>
      </c>
      <c r="J3427" s="8" t="s">
        <v>22</v>
      </c>
      <c r="K3427" s="8" t="s">
        <v>449</v>
      </c>
      <c r="L3427" s="8" t="s">
        <v>13194</v>
      </c>
      <c r="M3427" s="8" t="s">
        <v>13195</v>
      </c>
      <c r="N3427" s="8" t="s">
        <v>15715</v>
      </c>
      <c r="O3427" s="8">
        <f>10+51/60+41.7/3600</f>
        <v>10.861583333333334</v>
      </c>
      <c r="P3427" s="8" t="s">
        <v>15716</v>
      </c>
      <c r="Q3427" s="8">
        <f>+(18+28/60+52/3600)</f>
        <v>18.481111111111108</v>
      </c>
      <c r="R3427" s="8">
        <v>13.2</v>
      </c>
      <c r="S3427" s="8">
        <v>14</v>
      </c>
      <c r="T3427" s="8">
        <v>0.8</v>
      </c>
      <c r="U3427" s="8">
        <v>12.9</v>
      </c>
      <c r="V3427" s="8">
        <v>1.1000000000000001</v>
      </c>
      <c r="W3427" s="8">
        <v>0.8</v>
      </c>
      <c r="X3427" s="8">
        <v>114</v>
      </c>
      <c r="Y3427" s="8" t="s">
        <v>15717</v>
      </c>
      <c r="Z3427" s="8" t="s">
        <v>15718</v>
      </c>
    </row>
    <row r="3428" spans="1:26" x14ac:dyDescent="0.2">
      <c r="A3428" s="8">
        <v>3427</v>
      </c>
      <c r="B3428" s="8" t="s">
        <v>15719</v>
      </c>
      <c r="C3428" s="8" t="s">
        <v>15719</v>
      </c>
      <c r="F3428" s="47"/>
      <c r="G3428" s="8">
        <v>19</v>
      </c>
      <c r="H3428" s="8" t="s">
        <v>21</v>
      </c>
      <c r="I3428" s="8" t="s">
        <v>22</v>
      </c>
      <c r="J3428" s="8" t="s">
        <v>22</v>
      </c>
      <c r="K3428" s="8" t="s">
        <v>632</v>
      </c>
      <c r="L3428" s="8" t="s">
        <v>13194</v>
      </c>
      <c r="M3428" s="8" t="s">
        <v>13195</v>
      </c>
      <c r="N3428" s="8" t="s">
        <v>15720</v>
      </c>
      <c r="O3428" s="8">
        <f>10+51/60+26.2/3600</f>
        <v>10.857277777777778</v>
      </c>
      <c r="P3428" s="8" t="s">
        <v>15721</v>
      </c>
      <c r="Q3428" s="8">
        <f>+(8+17/60+54/3600)</f>
        <v>8.2983333333333338</v>
      </c>
      <c r="R3428" s="8">
        <v>13.2</v>
      </c>
      <c r="S3428" s="8">
        <v>14.1</v>
      </c>
      <c r="T3428" s="8">
        <v>0.9</v>
      </c>
      <c r="U3428" s="8">
        <v>12.4</v>
      </c>
      <c r="V3428" s="8">
        <v>1.1000000000000001</v>
      </c>
      <c r="W3428" s="8">
        <v>0.5</v>
      </c>
      <c r="X3428" s="8">
        <v>77</v>
      </c>
      <c r="Y3428" s="8" t="s">
        <v>14373</v>
      </c>
      <c r="Z3428" s="8" t="s">
        <v>15722</v>
      </c>
    </row>
    <row r="3429" spans="1:26" x14ac:dyDescent="0.2">
      <c r="A3429" s="8">
        <v>3428</v>
      </c>
      <c r="B3429" s="8" t="s">
        <v>15723</v>
      </c>
      <c r="C3429" s="8" t="s">
        <v>15723</v>
      </c>
      <c r="F3429" s="47"/>
      <c r="G3429" s="8">
        <v>18</v>
      </c>
      <c r="H3429" s="8" t="s">
        <v>21</v>
      </c>
      <c r="I3429" s="8" t="s">
        <v>22</v>
      </c>
      <c r="J3429" s="8" t="s">
        <v>22</v>
      </c>
      <c r="K3429" s="8" t="s">
        <v>218</v>
      </c>
      <c r="L3429" s="8" t="s">
        <v>13194</v>
      </c>
      <c r="M3429" s="8" t="s">
        <v>13195</v>
      </c>
      <c r="N3429" s="8" t="s">
        <v>15724</v>
      </c>
      <c r="O3429" s="8">
        <f>10+51/60+29.5/3600</f>
        <v>10.858194444444445</v>
      </c>
      <c r="P3429" s="8" t="s">
        <v>15725</v>
      </c>
      <c r="Q3429" s="8">
        <f>+(9+16/60+45/3600)</f>
        <v>9.2791666666666668</v>
      </c>
      <c r="R3429" s="8">
        <v>13.1</v>
      </c>
      <c r="S3429" s="8">
        <v>13.9</v>
      </c>
      <c r="T3429" s="8">
        <v>0.8</v>
      </c>
      <c r="U3429" s="8">
        <v>13.1</v>
      </c>
      <c r="V3429" s="8">
        <v>1.5</v>
      </c>
      <c r="W3429" s="8">
        <v>0.7</v>
      </c>
      <c r="X3429" s="8">
        <v>170</v>
      </c>
      <c r="Y3429" s="8" t="s">
        <v>6316</v>
      </c>
      <c r="Z3429" s="8" t="s">
        <v>6317</v>
      </c>
    </row>
    <row r="3430" spans="1:26" x14ac:dyDescent="0.2">
      <c r="A3430" s="8">
        <v>3429</v>
      </c>
      <c r="B3430" s="8" t="s">
        <v>15726</v>
      </c>
      <c r="C3430" s="8" t="s">
        <v>15726</v>
      </c>
      <c r="F3430" s="47"/>
      <c r="G3430" s="8">
        <v>19</v>
      </c>
      <c r="H3430" s="8" t="s">
        <v>21</v>
      </c>
      <c r="I3430" s="8" t="s">
        <v>22</v>
      </c>
      <c r="J3430" s="8" t="s">
        <v>57</v>
      </c>
      <c r="K3430" s="8" t="s">
        <v>218</v>
      </c>
      <c r="L3430" s="8" t="s">
        <v>13194</v>
      </c>
      <c r="M3430" s="8" t="s">
        <v>13195</v>
      </c>
      <c r="N3430" s="8" t="s">
        <v>15724</v>
      </c>
      <c r="O3430" s="8">
        <f>10+51/60+29.5/3600</f>
        <v>10.858194444444445</v>
      </c>
      <c r="P3430" s="8" t="s">
        <v>15725</v>
      </c>
      <c r="Q3430" s="8">
        <f>+(9+16/60+45/3600)</f>
        <v>9.2791666666666668</v>
      </c>
      <c r="R3430" s="8">
        <v>13.1</v>
      </c>
      <c r="S3430" s="8">
        <v>13.9</v>
      </c>
      <c r="T3430" s="8">
        <v>0.8</v>
      </c>
      <c r="U3430" s="8">
        <v>13.1</v>
      </c>
      <c r="V3430" s="8">
        <v>1.5</v>
      </c>
      <c r="W3430" s="8">
        <v>0.7</v>
      </c>
      <c r="X3430" s="8">
        <v>170</v>
      </c>
      <c r="Y3430" s="8" t="s">
        <v>6316</v>
      </c>
      <c r="Z3430" s="8" t="s">
        <v>15727</v>
      </c>
    </row>
    <row r="3431" spans="1:26" x14ac:dyDescent="0.2">
      <c r="A3431" s="8">
        <v>3430</v>
      </c>
      <c r="B3431" s="8" t="s">
        <v>15728</v>
      </c>
      <c r="C3431" s="8" t="s">
        <v>15728</v>
      </c>
      <c r="F3431" s="47" t="s">
        <v>56849</v>
      </c>
      <c r="G3431" s="8">
        <v>6.5</v>
      </c>
      <c r="H3431" s="8" t="s">
        <v>21</v>
      </c>
      <c r="I3431" s="8" t="s">
        <v>22</v>
      </c>
      <c r="J3431" s="8" t="s">
        <v>22</v>
      </c>
      <c r="K3431" s="8" t="s">
        <v>64</v>
      </c>
      <c r="L3431" s="8" t="s">
        <v>13179</v>
      </c>
      <c r="M3431" s="8" t="s">
        <v>13180</v>
      </c>
      <c r="N3431" s="8" t="s">
        <v>15638</v>
      </c>
      <c r="O3431" s="8">
        <f>10+52/60+11.5/3600</f>
        <v>10.869861111111112</v>
      </c>
      <c r="P3431" s="8" t="s">
        <v>15729</v>
      </c>
      <c r="Q3431" s="8">
        <f>+(32+57/60+3/3600)</f>
        <v>32.950833333333335</v>
      </c>
      <c r="R3431" s="8">
        <v>11.6</v>
      </c>
      <c r="S3431" s="8">
        <v>12.2</v>
      </c>
      <c r="T3431" s="8">
        <v>0.6</v>
      </c>
      <c r="U3431" s="8">
        <v>13.8</v>
      </c>
      <c r="V3431" s="8">
        <v>4.0999999999999996</v>
      </c>
      <c r="W3431" s="8">
        <v>2.2000000000000002</v>
      </c>
      <c r="X3431" s="8">
        <v>30</v>
      </c>
      <c r="Y3431" s="8" t="s">
        <v>15730</v>
      </c>
      <c r="Z3431" s="8" t="s">
        <v>15731</v>
      </c>
    </row>
    <row r="3432" spans="1:26" x14ac:dyDescent="0.2">
      <c r="A3432" s="8">
        <v>3431</v>
      </c>
      <c r="B3432" s="8" t="s">
        <v>15732</v>
      </c>
      <c r="C3432" s="8" t="s">
        <v>15732</v>
      </c>
      <c r="F3432" s="47"/>
      <c r="G3432" s="8">
        <v>19</v>
      </c>
      <c r="H3432" s="8" t="s">
        <v>21</v>
      </c>
      <c r="I3432" s="8" t="s">
        <v>22</v>
      </c>
      <c r="J3432" s="8" t="s">
        <v>22</v>
      </c>
      <c r="K3432" s="8" t="s">
        <v>23</v>
      </c>
      <c r="L3432" s="8" t="s">
        <v>15699</v>
      </c>
      <c r="M3432" s="8" t="s">
        <v>15700</v>
      </c>
      <c r="N3432" s="8" t="s">
        <v>15733</v>
      </c>
      <c r="O3432" s="8">
        <f>10+51/60+15/3600</f>
        <v>10.854166666666666</v>
      </c>
      <c r="P3432" s="8" t="s">
        <v>15734</v>
      </c>
      <c r="Q3432" s="8">
        <f>-(17+0/60+30/3600)</f>
        <v>-17.008333333333333</v>
      </c>
      <c r="R3432" s="8">
        <v>13.6</v>
      </c>
      <c r="S3432" s="8">
        <v>14.4</v>
      </c>
      <c r="T3432" s="8">
        <v>0.8</v>
      </c>
      <c r="U3432" s="8">
        <v>12.4</v>
      </c>
      <c r="V3432" s="8">
        <v>1.3</v>
      </c>
      <c r="W3432" s="8">
        <v>0.3</v>
      </c>
      <c r="X3432" s="8">
        <v>135</v>
      </c>
      <c r="Y3432" s="8" t="s">
        <v>15735</v>
      </c>
      <c r="Z3432" s="8" t="s">
        <v>15736</v>
      </c>
    </row>
    <row r="3433" spans="1:26" x14ac:dyDescent="0.2">
      <c r="A3433" s="8">
        <v>3432</v>
      </c>
      <c r="B3433" s="8" t="s">
        <v>15737</v>
      </c>
      <c r="C3433" s="8" t="s">
        <v>15737</v>
      </c>
      <c r="F3433" s="47" t="s">
        <v>56850</v>
      </c>
      <c r="G3433" s="8">
        <v>6</v>
      </c>
      <c r="H3433" s="8" t="s">
        <v>15738</v>
      </c>
      <c r="I3433" s="8" t="s">
        <v>22</v>
      </c>
      <c r="J3433" s="8" t="s">
        <v>22</v>
      </c>
      <c r="K3433" s="8" t="s">
        <v>323</v>
      </c>
      <c r="L3433" s="8" t="s">
        <v>13179</v>
      </c>
      <c r="M3433" s="8" t="s">
        <v>13180</v>
      </c>
      <c r="N3433" s="8" t="s">
        <v>15739</v>
      </c>
      <c r="O3433" s="8">
        <f>10+52/60+31/3600</f>
        <v>10.875277777777779</v>
      </c>
      <c r="P3433" s="8" t="s">
        <v>15740</v>
      </c>
      <c r="Q3433" s="8">
        <f>+(36+37/60+8/3600)</f>
        <v>36.61888888888889</v>
      </c>
      <c r="R3433" s="8">
        <v>11.3</v>
      </c>
      <c r="S3433" s="8">
        <v>11.7</v>
      </c>
      <c r="T3433" s="8">
        <v>0.4</v>
      </c>
      <c r="U3433" s="8">
        <v>13.6</v>
      </c>
      <c r="V3433" s="8">
        <v>6.6</v>
      </c>
      <c r="W3433" s="8">
        <v>1.6</v>
      </c>
      <c r="X3433" s="8">
        <v>38</v>
      </c>
      <c r="Y3433" s="8" t="s">
        <v>15741</v>
      </c>
      <c r="Z3433" s="8" t="s">
        <v>15742</v>
      </c>
    </row>
    <row r="3434" spans="1:26" x14ac:dyDescent="0.2">
      <c r="A3434" s="8">
        <v>3433</v>
      </c>
      <c r="B3434" s="8" t="s">
        <v>15743</v>
      </c>
      <c r="C3434" s="8" t="s">
        <v>15743</v>
      </c>
      <c r="F3434" s="47" t="s">
        <v>56851</v>
      </c>
      <c r="G3434" s="8">
        <v>13</v>
      </c>
      <c r="H3434" s="8" t="s">
        <v>21</v>
      </c>
      <c r="I3434" s="8" t="s">
        <v>22</v>
      </c>
      <c r="J3434" s="8" t="s">
        <v>22</v>
      </c>
      <c r="K3434" s="8" t="s">
        <v>160</v>
      </c>
      <c r="L3434" s="8" t="s">
        <v>13194</v>
      </c>
      <c r="M3434" s="8" t="s">
        <v>13195</v>
      </c>
      <c r="N3434" s="8" t="s">
        <v>15744</v>
      </c>
      <c r="O3434" s="8">
        <f>10+52/60+4/3600</f>
        <v>10.867777777777778</v>
      </c>
      <c r="P3434" s="8" t="s">
        <v>15745</v>
      </c>
      <c r="Q3434" s="8">
        <f>+(10+8/60+52/3600)</f>
        <v>10.147777777777778</v>
      </c>
      <c r="R3434" s="8">
        <v>11.6</v>
      </c>
      <c r="S3434" s="8">
        <v>12.3</v>
      </c>
      <c r="T3434" s="8">
        <v>0.7</v>
      </c>
      <c r="U3434" s="8">
        <v>14</v>
      </c>
      <c r="V3434" s="8">
        <v>3.5</v>
      </c>
      <c r="W3434" s="8">
        <v>3</v>
      </c>
      <c r="X3434" s="8">
        <v>50</v>
      </c>
      <c r="Y3434" s="8" t="s">
        <v>15746</v>
      </c>
      <c r="Z3434" s="8" t="s">
        <v>15747</v>
      </c>
    </row>
    <row r="3435" spans="1:26" x14ac:dyDescent="0.2">
      <c r="A3435" s="8">
        <v>3434</v>
      </c>
      <c r="B3435" s="8" t="s">
        <v>15748</v>
      </c>
      <c r="C3435" s="8" t="s">
        <v>15748</v>
      </c>
      <c r="F3435" s="47" t="s">
        <v>56852</v>
      </c>
      <c r="G3435" s="8">
        <v>15</v>
      </c>
      <c r="H3435" s="8" t="s">
        <v>21</v>
      </c>
      <c r="I3435" s="8" t="s">
        <v>22</v>
      </c>
      <c r="J3435" s="8" t="s">
        <v>22</v>
      </c>
      <c r="K3435" s="8" t="s">
        <v>23</v>
      </c>
      <c r="L3435" s="8" t="s">
        <v>13194</v>
      </c>
      <c r="M3435" s="8" t="s">
        <v>13195</v>
      </c>
      <c r="N3435" s="8" t="s">
        <v>15749</v>
      </c>
      <c r="O3435" s="8">
        <f>10+51/60+58/3600</f>
        <v>10.866111111111111</v>
      </c>
      <c r="P3435" s="8" t="s">
        <v>15750</v>
      </c>
      <c r="Q3435" s="8">
        <f>+(3+47/60+31/3600)</f>
        <v>3.7919444444444443</v>
      </c>
      <c r="R3435" s="8">
        <v>12</v>
      </c>
      <c r="S3435" s="8">
        <v>12.8</v>
      </c>
      <c r="T3435" s="8">
        <v>0.8</v>
      </c>
      <c r="U3435" s="8">
        <v>13.4</v>
      </c>
      <c r="V3435" s="8">
        <v>2.1</v>
      </c>
      <c r="W3435" s="8">
        <v>1.9</v>
      </c>
      <c r="X3435" s="8">
        <v>41</v>
      </c>
      <c r="Y3435" s="8" t="s">
        <v>7897</v>
      </c>
      <c r="Z3435" s="8" t="s">
        <v>7898</v>
      </c>
    </row>
    <row r="3436" spans="1:26" x14ac:dyDescent="0.2">
      <c r="A3436" s="8">
        <v>3435</v>
      </c>
      <c r="B3436" s="8" t="s">
        <v>15751</v>
      </c>
      <c r="C3436" s="8" t="s">
        <v>15751</v>
      </c>
      <c r="F3436" s="47" t="s">
        <v>56853</v>
      </c>
      <c r="G3436" s="8">
        <v>15</v>
      </c>
      <c r="H3436" s="8" t="s">
        <v>21</v>
      </c>
      <c r="I3436" s="8" t="s">
        <v>22</v>
      </c>
      <c r="J3436" s="8" t="s">
        <v>22</v>
      </c>
      <c r="K3436" s="8" t="s">
        <v>23</v>
      </c>
      <c r="L3436" s="8" t="s">
        <v>12015</v>
      </c>
      <c r="M3436" s="8" t="s">
        <v>12016</v>
      </c>
      <c r="N3436" s="8" t="s">
        <v>15752</v>
      </c>
      <c r="O3436" s="8">
        <f>10+54/60+48.2/3600</f>
        <v>10.913388888888889</v>
      </c>
      <c r="P3436" s="8" t="s">
        <v>15753</v>
      </c>
      <c r="Q3436" s="8">
        <f>+(61+17/60+20/3600)</f>
        <v>61.288888888888884</v>
      </c>
      <c r="R3436" s="8">
        <v>13.2</v>
      </c>
      <c r="S3436" s="8">
        <v>14</v>
      </c>
      <c r="T3436" s="8">
        <v>0.8</v>
      </c>
      <c r="U3436" s="8">
        <v>13.9</v>
      </c>
      <c r="V3436" s="8">
        <v>1.8</v>
      </c>
      <c r="W3436" s="8">
        <v>1.2</v>
      </c>
      <c r="X3436" s="8">
        <v>35</v>
      </c>
      <c r="Y3436" s="8" t="s">
        <v>15754</v>
      </c>
      <c r="Z3436" s="8" t="s">
        <v>15755</v>
      </c>
    </row>
    <row r="3437" spans="1:26" x14ac:dyDescent="0.2">
      <c r="A3437" s="8">
        <v>3436</v>
      </c>
      <c r="B3437" s="8" t="s">
        <v>15756</v>
      </c>
      <c r="C3437" s="8" t="s">
        <v>15756</v>
      </c>
      <c r="F3437" s="47"/>
      <c r="G3437" s="8">
        <v>19</v>
      </c>
      <c r="H3437" s="8" t="s">
        <v>21</v>
      </c>
      <c r="I3437" s="8" t="s">
        <v>22</v>
      </c>
      <c r="J3437" s="8" t="s">
        <v>22</v>
      </c>
      <c r="K3437" s="8" t="s">
        <v>37</v>
      </c>
      <c r="L3437" s="8" t="s">
        <v>13194</v>
      </c>
      <c r="M3437" s="8" t="s">
        <v>13195</v>
      </c>
      <c r="N3437" s="8" t="s">
        <v>15757</v>
      </c>
      <c r="O3437" s="8">
        <f>10+52/60+27.4/3600</f>
        <v>10.874277777777777</v>
      </c>
      <c r="P3437" s="8" t="s">
        <v>15758</v>
      </c>
      <c r="Q3437" s="8">
        <f>+(8+5/60+39/3600)</f>
        <v>8.0941666666666681</v>
      </c>
      <c r="R3437" s="8">
        <v>14.1</v>
      </c>
      <c r="S3437" s="8">
        <v>15.1</v>
      </c>
      <c r="T3437" s="8">
        <v>1</v>
      </c>
      <c r="U3437" s="8">
        <v>13.6</v>
      </c>
      <c r="V3437" s="8">
        <v>0.7</v>
      </c>
      <c r="W3437" s="8">
        <v>0.5</v>
      </c>
      <c r="X3437" s="8">
        <v>90</v>
      </c>
      <c r="Y3437" s="8" t="s">
        <v>15759</v>
      </c>
      <c r="Z3437" s="8" t="s">
        <v>15760</v>
      </c>
    </row>
    <row r="3438" spans="1:26" x14ac:dyDescent="0.2">
      <c r="A3438" s="8">
        <v>3437</v>
      </c>
      <c r="B3438" s="8" t="s">
        <v>15761</v>
      </c>
      <c r="C3438" s="8" t="s">
        <v>15761</v>
      </c>
      <c r="F3438" s="47" t="s">
        <v>56854</v>
      </c>
      <c r="G3438" s="8">
        <v>13</v>
      </c>
      <c r="H3438" s="8" t="s">
        <v>21</v>
      </c>
      <c r="I3438" s="8" t="s">
        <v>22</v>
      </c>
      <c r="J3438" s="8" t="s">
        <v>22</v>
      </c>
      <c r="K3438" s="8" t="s">
        <v>64</v>
      </c>
      <c r="L3438" s="8" t="s">
        <v>13194</v>
      </c>
      <c r="M3438" s="8" t="s">
        <v>13195</v>
      </c>
      <c r="N3438" s="8" t="s">
        <v>15762</v>
      </c>
      <c r="O3438" s="8">
        <f>10+52/60+35.3/3600</f>
        <v>10.876472222222223</v>
      </c>
      <c r="P3438" s="8" t="s">
        <v>15763</v>
      </c>
      <c r="Q3438" s="8">
        <f>+(22+56/60+6/3600)</f>
        <v>22.934999999999999</v>
      </c>
      <c r="R3438" s="8">
        <v>12.1</v>
      </c>
      <c r="S3438" s="8">
        <v>12.8</v>
      </c>
      <c r="T3438" s="8">
        <v>0.7</v>
      </c>
      <c r="U3438" s="8">
        <v>12.7</v>
      </c>
      <c r="V3438" s="8">
        <v>2.6</v>
      </c>
      <c r="W3438" s="8">
        <v>0.8</v>
      </c>
      <c r="X3438" s="8">
        <v>122</v>
      </c>
      <c r="Y3438" s="8" t="s">
        <v>15764</v>
      </c>
      <c r="Z3438" s="8" t="s">
        <v>15765</v>
      </c>
    </row>
    <row r="3439" spans="1:26" x14ac:dyDescent="0.2">
      <c r="A3439" s="8">
        <v>3438</v>
      </c>
      <c r="B3439" s="8" t="s">
        <v>15766</v>
      </c>
      <c r="C3439" s="8" t="s">
        <v>15766</v>
      </c>
      <c r="F3439" s="47"/>
      <c r="G3439" s="8">
        <v>18</v>
      </c>
      <c r="H3439" s="8" t="s">
        <v>21</v>
      </c>
      <c r="I3439" s="8" t="s">
        <v>22</v>
      </c>
      <c r="J3439" s="8" t="s">
        <v>22</v>
      </c>
      <c r="K3439" s="8" t="s">
        <v>476</v>
      </c>
      <c r="L3439" s="8" t="s">
        <v>13194</v>
      </c>
      <c r="M3439" s="8" t="s">
        <v>13195</v>
      </c>
      <c r="N3439" s="8" t="s">
        <v>15767</v>
      </c>
      <c r="O3439" s="8">
        <f>10+52/60+25.9/3600</f>
        <v>10.873861111111111</v>
      </c>
      <c r="P3439" s="8" t="s">
        <v>15768</v>
      </c>
      <c r="Q3439" s="8">
        <f>+(10+32/60+51/3600)</f>
        <v>10.547499999999999</v>
      </c>
      <c r="R3439" s="8">
        <v>13.4</v>
      </c>
      <c r="S3439" s="8">
        <v>14.3</v>
      </c>
      <c r="T3439" s="8">
        <v>0.9</v>
      </c>
      <c r="U3439" s="8">
        <v>12.8</v>
      </c>
      <c r="V3439" s="8">
        <v>0.8</v>
      </c>
      <c r="W3439" s="8">
        <v>0.8</v>
      </c>
      <c r="Y3439" s="8" t="s">
        <v>15769</v>
      </c>
      <c r="Z3439" s="8" t="s">
        <v>15770</v>
      </c>
    </row>
    <row r="3440" spans="1:26" x14ac:dyDescent="0.2">
      <c r="A3440" s="8">
        <v>3439</v>
      </c>
      <c r="B3440" s="8" t="s">
        <v>15771</v>
      </c>
      <c r="C3440" s="8" t="s">
        <v>15771</v>
      </c>
      <c r="F3440" s="47"/>
      <c r="G3440" s="8">
        <v>18</v>
      </c>
      <c r="H3440" s="8" t="s">
        <v>21</v>
      </c>
      <c r="I3440" s="8" t="s">
        <v>22</v>
      </c>
      <c r="J3440" s="8" t="s">
        <v>22</v>
      </c>
      <c r="K3440" s="8" t="s">
        <v>382</v>
      </c>
      <c r="L3440" s="8" t="s">
        <v>13194</v>
      </c>
      <c r="M3440" s="8" t="s">
        <v>13195</v>
      </c>
      <c r="N3440" s="8" t="s">
        <v>15772</v>
      </c>
      <c r="O3440" s="8">
        <f>10+52/60+25.7/3600</f>
        <v>10.873805555555556</v>
      </c>
      <c r="P3440" s="8" t="s">
        <v>15773</v>
      </c>
      <c r="Q3440" s="8">
        <f>+(8+33/60+28/3600)</f>
        <v>8.5577777777777779</v>
      </c>
      <c r="R3440" s="8">
        <v>13.9</v>
      </c>
      <c r="S3440" s="8">
        <v>14.9</v>
      </c>
      <c r="T3440" s="8">
        <v>1</v>
      </c>
      <c r="U3440" s="8">
        <v>11.7</v>
      </c>
      <c r="V3440" s="8">
        <v>0.4</v>
      </c>
      <c r="W3440" s="8">
        <v>0.3</v>
      </c>
      <c r="X3440" s="8">
        <v>150</v>
      </c>
      <c r="Y3440" s="8" t="s">
        <v>15774</v>
      </c>
      <c r="Z3440" s="8" t="s">
        <v>15775</v>
      </c>
    </row>
    <row r="3441" spans="1:26" x14ac:dyDescent="0.2">
      <c r="A3441" s="8">
        <v>3440</v>
      </c>
      <c r="B3441" s="8" t="s">
        <v>15776</v>
      </c>
      <c r="C3441" s="8" t="s">
        <v>15776</v>
      </c>
      <c r="F3441" s="47" t="s">
        <v>56855</v>
      </c>
      <c r="G3441" s="8">
        <v>15</v>
      </c>
      <c r="H3441" s="8" t="s">
        <v>21</v>
      </c>
      <c r="I3441" s="8" t="s">
        <v>22</v>
      </c>
      <c r="J3441" s="8" t="s">
        <v>22</v>
      </c>
      <c r="K3441" s="8" t="s">
        <v>218</v>
      </c>
      <c r="L3441" s="8" t="s">
        <v>12015</v>
      </c>
      <c r="M3441" s="8" t="s">
        <v>12016</v>
      </c>
      <c r="N3441" s="8" t="s">
        <v>15777</v>
      </c>
      <c r="O3441" s="8">
        <f>10+53/60+49.5/3600</f>
        <v>10.897083333333333</v>
      </c>
      <c r="P3441" s="8" t="s">
        <v>15778</v>
      </c>
      <c r="Q3441" s="8">
        <f>+(57+7/60+8/3600)</f>
        <v>57.11888888888889</v>
      </c>
      <c r="R3441" s="8">
        <v>13.2</v>
      </c>
      <c r="S3441" s="8">
        <v>14</v>
      </c>
      <c r="T3441" s="8">
        <v>0.8</v>
      </c>
      <c r="U3441" s="8">
        <v>13.1</v>
      </c>
      <c r="V3441" s="8">
        <v>2.1</v>
      </c>
      <c r="W3441" s="8">
        <v>0.5</v>
      </c>
      <c r="X3441" s="8">
        <v>48</v>
      </c>
      <c r="Y3441" s="8" t="s">
        <v>679</v>
      </c>
      <c r="Z3441" s="8" t="s">
        <v>680</v>
      </c>
    </row>
    <row r="3442" spans="1:26" x14ac:dyDescent="0.2">
      <c r="A3442" s="8">
        <v>3441</v>
      </c>
      <c r="B3442" s="8" t="s">
        <v>15779</v>
      </c>
      <c r="C3442" s="8" t="s">
        <v>15779</v>
      </c>
      <c r="F3442" s="47"/>
      <c r="G3442" s="8">
        <v>19</v>
      </c>
      <c r="H3442" s="8" t="s">
        <v>21</v>
      </c>
      <c r="I3442" s="8" t="s">
        <v>22</v>
      </c>
      <c r="J3442" s="8" t="s">
        <v>22</v>
      </c>
      <c r="K3442" s="8" t="s">
        <v>160</v>
      </c>
      <c r="L3442" s="8" t="s">
        <v>13194</v>
      </c>
      <c r="M3442" s="8" t="s">
        <v>13195</v>
      </c>
      <c r="N3442" s="8" t="s">
        <v>15739</v>
      </c>
      <c r="O3442" s="8">
        <f>10+52/60+31/3600</f>
        <v>10.875277777777779</v>
      </c>
      <c r="P3442" s="8" t="s">
        <v>15780</v>
      </c>
      <c r="Q3442" s="8">
        <f>+(7+13/60+30/3600)</f>
        <v>7.2250000000000005</v>
      </c>
      <c r="R3442" s="8">
        <v>13.6</v>
      </c>
      <c r="S3442" s="8">
        <v>14.3</v>
      </c>
      <c r="T3442" s="8">
        <v>0.7</v>
      </c>
      <c r="U3442" s="8">
        <v>12.1</v>
      </c>
      <c r="V3442" s="8">
        <v>0.7</v>
      </c>
      <c r="W3442" s="8">
        <v>0.4</v>
      </c>
      <c r="X3442" s="8">
        <v>5</v>
      </c>
      <c r="Y3442" s="8" t="s">
        <v>15781</v>
      </c>
      <c r="Z3442" s="8" t="s">
        <v>15782</v>
      </c>
    </row>
    <row r="3443" spans="1:26" x14ac:dyDescent="0.2">
      <c r="A3443" s="8">
        <v>3442</v>
      </c>
      <c r="B3443" s="8" t="s">
        <v>15783</v>
      </c>
      <c r="C3443" s="8" t="s">
        <v>15783</v>
      </c>
      <c r="F3443" s="47"/>
      <c r="G3443" s="8">
        <v>19</v>
      </c>
      <c r="H3443" s="8" t="s">
        <v>21</v>
      </c>
      <c r="I3443" s="8" t="s">
        <v>22</v>
      </c>
      <c r="J3443" s="8" t="s">
        <v>22</v>
      </c>
      <c r="K3443" s="8" t="s">
        <v>91</v>
      </c>
      <c r="L3443" s="8" t="s">
        <v>13179</v>
      </c>
      <c r="M3443" s="8" t="s">
        <v>13180</v>
      </c>
      <c r="N3443" s="8" t="s">
        <v>15784</v>
      </c>
      <c r="O3443" s="8">
        <f>10+53/60+8/3600</f>
        <v>10.885555555555555</v>
      </c>
      <c r="P3443" s="8" t="s">
        <v>15785</v>
      </c>
      <c r="Q3443" s="8">
        <f>+(33+54/60+36/3600)</f>
        <v>33.909999999999997</v>
      </c>
      <c r="R3443" s="8">
        <v>13.4</v>
      </c>
      <c r="S3443" s="8">
        <v>13.8</v>
      </c>
      <c r="T3443" s="8">
        <v>0.4</v>
      </c>
      <c r="U3443" s="8">
        <v>11.9</v>
      </c>
      <c r="V3443" s="8">
        <v>0.6</v>
      </c>
      <c r="W3443" s="8">
        <v>0.5</v>
      </c>
      <c r="X3443" s="8">
        <v>30</v>
      </c>
      <c r="Y3443" s="8" t="s">
        <v>15786</v>
      </c>
      <c r="Z3443" s="8" t="s">
        <v>15787</v>
      </c>
    </row>
    <row r="3444" spans="1:26" x14ac:dyDescent="0.2">
      <c r="A3444" s="8">
        <v>3443</v>
      </c>
      <c r="B3444" s="8" t="s">
        <v>15788</v>
      </c>
      <c r="C3444" s="8" t="s">
        <v>15788</v>
      </c>
      <c r="F3444" s="47"/>
      <c r="G3444" s="8">
        <v>19</v>
      </c>
      <c r="H3444" s="8" t="s">
        <v>21</v>
      </c>
      <c r="I3444" s="8" t="s">
        <v>22</v>
      </c>
      <c r="J3444" s="8" t="s">
        <v>22</v>
      </c>
      <c r="K3444" s="8" t="s">
        <v>579</v>
      </c>
      <c r="L3444" s="8" t="s">
        <v>13194</v>
      </c>
      <c r="M3444" s="8" t="s">
        <v>13195</v>
      </c>
      <c r="N3444" s="8" t="s">
        <v>15789</v>
      </c>
      <c r="O3444" s="8">
        <f>10+53/60+0.1/3600</f>
        <v>10.88336111111111</v>
      </c>
      <c r="P3444" s="8" t="s">
        <v>15790</v>
      </c>
      <c r="Q3444" s="8">
        <f>+(17+34/60+26/3600)</f>
        <v>17.573888888888888</v>
      </c>
      <c r="R3444" s="8">
        <v>13.1</v>
      </c>
      <c r="S3444" s="8">
        <v>13.8</v>
      </c>
      <c r="T3444" s="8">
        <v>0.7</v>
      </c>
      <c r="U3444" s="8">
        <v>14.4</v>
      </c>
      <c r="V3444" s="8">
        <v>2.8</v>
      </c>
      <c r="W3444" s="8">
        <v>1.4</v>
      </c>
      <c r="X3444" s="8">
        <v>145</v>
      </c>
      <c r="Y3444" s="8" t="s">
        <v>15791</v>
      </c>
      <c r="Z3444" s="8" t="s">
        <v>15792</v>
      </c>
    </row>
    <row r="3445" spans="1:26" x14ac:dyDescent="0.2">
      <c r="A3445" s="8">
        <v>3444</v>
      </c>
      <c r="B3445" s="8" t="s">
        <v>15793</v>
      </c>
      <c r="C3445" s="8" t="s">
        <v>15793</v>
      </c>
      <c r="F3445" s="47"/>
      <c r="G3445" s="8">
        <v>18</v>
      </c>
      <c r="H3445" s="8" t="s">
        <v>21</v>
      </c>
      <c r="I3445" s="8" t="s">
        <v>22</v>
      </c>
      <c r="J3445" s="8" t="s">
        <v>22</v>
      </c>
      <c r="K3445" s="8" t="s">
        <v>396</v>
      </c>
      <c r="L3445" s="8" t="s">
        <v>13194</v>
      </c>
      <c r="M3445" s="8" t="s">
        <v>13195</v>
      </c>
      <c r="N3445" s="8" t="s">
        <v>15794</v>
      </c>
      <c r="O3445" s="8">
        <f>10+52/60+59.4/3600</f>
        <v>10.883166666666668</v>
      </c>
      <c r="P3445" s="8" t="s">
        <v>15795</v>
      </c>
      <c r="Q3445" s="8">
        <f>+(10+12/60+38/3600)</f>
        <v>10.210555555555555</v>
      </c>
      <c r="R3445" s="8">
        <v>14.7</v>
      </c>
      <c r="S3445" s="8">
        <v>15.5</v>
      </c>
      <c r="T3445" s="8">
        <v>0.8</v>
      </c>
      <c r="U3445" s="8">
        <v>12.1</v>
      </c>
      <c r="V3445" s="8">
        <v>1</v>
      </c>
      <c r="W3445" s="8">
        <v>0.1</v>
      </c>
      <c r="X3445" s="8">
        <v>19</v>
      </c>
      <c r="Y3445" s="8" t="s">
        <v>15796</v>
      </c>
      <c r="Z3445" s="8" t="s">
        <v>15797</v>
      </c>
    </row>
    <row r="3446" spans="1:26" x14ac:dyDescent="0.2">
      <c r="A3446" s="8">
        <v>3445</v>
      </c>
      <c r="B3446" s="8" t="s">
        <v>15798</v>
      </c>
      <c r="C3446" s="8" t="s">
        <v>15798</v>
      </c>
      <c r="F3446" s="47" t="s">
        <v>56856</v>
      </c>
      <c r="G3446" s="8">
        <v>12</v>
      </c>
      <c r="H3446" s="8" t="s">
        <v>21</v>
      </c>
      <c r="I3446" s="8" t="s">
        <v>22</v>
      </c>
      <c r="J3446" s="8" t="s">
        <v>22</v>
      </c>
      <c r="K3446" s="8" t="s">
        <v>323</v>
      </c>
      <c r="L3446" s="8" t="s">
        <v>12015</v>
      </c>
      <c r="M3446" s="8" t="s">
        <v>12016</v>
      </c>
      <c r="N3446" s="8" t="s">
        <v>15799</v>
      </c>
      <c r="O3446" s="8">
        <f>10+54/60+35.8/3600</f>
        <v>10.909944444444445</v>
      </c>
      <c r="P3446" s="8" t="s">
        <v>15800</v>
      </c>
      <c r="Q3446" s="8">
        <f>+(56+59/60+24/3600)</f>
        <v>56.99</v>
      </c>
      <c r="R3446" s="8">
        <v>12.6</v>
      </c>
      <c r="S3446" s="8">
        <v>12.9</v>
      </c>
      <c r="T3446" s="8">
        <v>0.3</v>
      </c>
      <c r="U3446" s="8">
        <v>13.3</v>
      </c>
      <c r="V3446" s="8">
        <v>1.6</v>
      </c>
      <c r="W3446" s="8">
        <v>1.4</v>
      </c>
      <c r="X3446" s="8">
        <v>105</v>
      </c>
      <c r="Y3446" s="8" t="s">
        <v>15801</v>
      </c>
      <c r="Z3446" s="8" t="s">
        <v>15802</v>
      </c>
    </row>
    <row r="3447" spans="1:26" x14ac:dyDescent="0.2">
      <c r="A3447" s="8">
        <v>3446</v>
      </c>
      <c r="B3447" s="8" t="s">
        <v>15803</v>
      </c>
      <c r="C3447" s="8" t="s">
        <v>15803</v>
      </c>
      <c r="F3447" s="47"/>
      <c r="G3447" s="8">
        <v>16</v>
      </c>
      <c r="H3447" s="8" t="s">
        <v>21</v>
      </c>
      <c r="I3447" s="8" t="s">
        <v>557</v>
      </c>
      <c r="J3447" s="8" t="s">
        <v>557</v>
      </c>
      <c r="K3447" s="8" t="s">
        <v>557</v>
      </c>
      <c r="L3447" s="8" t="s">
        <v>11757</v>
      </c>
      <c r="M3447" s="8" t="s">
        <v>11758</v>
      </c>
      <c r="N3447" s="8" t="s">
        <v>15804</v>
      </c>
      <c r="O3447" s="8">
        <f>10+52/60+12/3600</f>
        <v>10.870000000000001</v>
      </c>
      <c r="P3447" s="8" t="s">
        <v>15805</v>
      </c>
      <c r="Q3447" s="8">
        <f>-(45+9/60+36/3600)</f>
        <v>-45.16</v>
      </c>
      <c r="R3447" s="8">
        <v>99</v>
      </c>
      <c r="S3447" s="8">
        <v>99</v>
      </c>
      <c r="T3447" s="8">
        <v>99</v>
      </c>
      <c r="U3447" s="8">
        <v>99</v>
      </c>
      <c r="V3447" s="8">
        <v>6.5</v>
      </c>
      <c r="Y3447" s="8" t="s">
        <v>15806</v>
      </c>
      <c r="Z3447" s="8" t="s">
        <v>15807</v>
      </c>
    </row>
    <row r="3448" spans="1:26" x14ac:dyDescent="0.2">
      <c r="A3448" s="8">
        <v>3447</v>
      </c>
      <c r="B3448" s="8" t="s">
        <v>15808</v>
      </c>
      <c r="C3448" s="8" t="s">
        <v>15808</v>
      </c>
      <c r="F3448" s="47"/>
      <c r="G3448" s="8">
        <v>16</v>
      </c>
      <c r="H3448" s="8" t="s">
        <v>21</v>
      </c>
      <c r="I3448" s="8" t="s">
        <v>22</v>
      </c>
      <c r="J3448" s="8" t="s">
        <v>22</v>
      </c>
      <c r="K3448" s="8" t="s">
        <v>15809</v>
      </c>
      <c r="L3448" s="8" t="s">
        <v>13194</v>
      </c>
      <c r="M3448" s="8" t="s">
        <v>13195</v>
      </c>
      <c r="N3448" s="8" t="s">
        <v>15810</v>
      </c>
      <c r="O3448" s="8">
        <f>10+53/60+24/3600</f>
        <v>10.889999999999999</v>
      </c>
      <c r="P3448" s="8" t="s">
        <v>15811</v>
      </c>
      <c r="Q3448" s="8">
        <f>+(16+46/60+19/3600)</f>
        <v>16.771944444444443</v>
      </c>
      <c r="R3448" s="8">
        <v>13.3</v>
      </c>
      <c r="S3448" s="8">
        <v>13.9</v>
      </c>
      <c r="T3448" s="8">
        <v>0.6</v>
      </c>
      <c r="U3448" s="8">
        <v>15.5</v>
      </c>
      <c r="V3448" s="8">
        <v>3.8</v>
      </c>
      <c r="W3448" s="8">
        <v>2.2000000000000002</v>
      </c>
      <c r="X3448" s="8">
        <v>0</v>
      </c>
      <c r="Y3448" s="8" t="s">
        <v>15812</v>
      </c>
      <c r="Z3448" s="8" t="s">
        <v>15813</v>
      </c>
    </row>
    <row r="3449" spans="1:26" x14ac:dyDescent="0.2">
      <c r="A3449" s="8">
        <v>3448</v>
      </c>
      <c r="B3449" s="8" t="s">
        <v>15814</v>
      </c>
      <c r="C3449" s="8" t="s">
        <v>15814</v>
      </c>
      <c r="F3449" s="47" t="s">
        <v>56857</v>
      </c>
      <c r="G3449" s="8">
        <v>7</v>
      </c>
      <c r="H3449" s="8" t="s">
        <v>21</v>
      </c>
      <c r="I3449" s="8" t="s">
        <v>22</v>
      </c>
      <c r="J3449" s="8" t="s">
        <v>22</v>
      </c>
      <c r="K3449" s="8" t="s">
        <v>632</v>
      </c>
      <c r="L3449" s="8" t="s">
        <v>12015</v>
      </c>
      <c r="M3449" s="8" t="s">
        <v>12016</v>
      </c>
      <c r="N3449" s="8" t="s">
        <v>15815</v>
      </c>
      <c r="O3449" s="8">
        <f>10+54/60+38.8/3600</f>
        <v>10.910777777777778</v>
      </c>
      <c r="P3449" s="8" t="s">
        <v>15816</v>
      </c>
      <c r="Q3449" s="8">
        <f>+(54+18/60+19/3600)</f>
        <v>54.305277777777775</v>
      </c>
      <c r="R3449" s="8">
        <v>11.6</v>
      </c>
      <c r="S3449" s="8">
        <v>12.5</v>
      </c>
      <c r="T3449" s="8">
        <v>0.9</v>
      </c>
      <c r="U3449" s="8">
        <v>13.9</v>
      </c>
      <c r="V3449" s="8">
        <v>5.6</v>
      </c>
      <c r="W3449" s="8">
        <v>1.7</v>
      </c>
      <c r="X3449" s="8">
        <v>65</v>
      </c>
      <c r="Y3449" s="8" t="s">
        <v>15817</v>
      </c>
      <c r="Z3449" s="8" t="s">
        <v>15818</v>
      </c>
    </row>
    <row r="3450" spans="1:26" x14ac:dyDescent="0.2">
      <c r="A3450" s="8">
        <v>3449</v>
      </c>
      <c r="B3450" s="8" t="s">
        <v>15819</v>
      </c>
      <c r="C3450" s="8" t="s">
        <v>15819</v>
      </c>
      <c r="F3450" s="47"/>
      <c r="G3450" s="8">
        <v>16</v>
      </c>
      <c r="H3450" s="8" t="s">
        <v>21</v>
      </c>
      <c r="I3450" s="8" t="s">
        <v>22</v>
      </c>
      <c r="J3450" s="8" t="s">
        <v>22</v>
      </c>
      <c r="K3450" s="8" t="s">
        <v>406</v>
      </c>
      <c r="L3450" s="8" t="s">
        <v>13374</v>
      </c>
      <c r="M3450" s="8" t="s">
        <v>13375</v>
      </c>
      <c r="N3450" s="8" t="s">
        <v>15820</v>
      </c>
      <c r="O3450" s="8">
        <f>10+52/60+53.8/3600</f>
        <v>10.881611111111111</v>
      </c>
      <c r="P3450" s="8" t="s">
        <v>15821</v>
      </c>
      <c r="Q3450" s="8">
        <f>-(32+55/60+40/3600)</f>
        <v>-32.927777777777777</v>
      </c>
      <c r="R3450" s="8">
        <v>11.7</v>
      </c>
      <c r="S3450" s="8">
        <v>12.5</v>
      </c>
      <c r="T3450" s="8">
        <v>0.8</v>
      </c>
      <c r="U3450" s="8">
        <v>12.8</v>
      </c>
      <c r="V3450" s="8">
        <v>3.3</v>
      </c>
      <c r="W3450" s="8">
        <v>1</v>
      </c>
      <c r="X3450" s="8">
        <v>148</v>
      </c>
      <c r="Y3450" s="8" t="s">
        <v>15822</v>
      </c>
      <c r="Z3450" s="8" t="s">
        <v>15823</v>
      </c>
    </row>
    <row r="3451" spans="1:26" x14ac:dyDescent="0.2">
      <c r="A3451" s="8">
        <v>3450</v>
      </c>
      <c r="B3451" s="8" t="s">
        <v>15824</v>
      </c>
      <c r="C3451" s="8" t="s">
        <v>15824</v>
      </c>
      <c r="F3451" s="47"/>
      <c r="G3451" s="8">
        <v>16</v>
      </c>
      <c r="H3451" s="8" t="s">
        <v>21</v>
      </c>
      <c r="I3451" s="8" t="s">
        <v>22</v>
      </c>
      <c r="J3451" s="8" t="s">
        <v>22</v>
      </c>
      <c r="K3451" s="8" t="s">
        <v>218</v>
      </c>
      <c r="L3451" s="8" t="s">
        <v>11765</v>
      </c>
      <c r="M3451" s="8" t="s">
        <v>11766</v>
      </c>
      <c r="N3451" s="8" t="s">
        <v>15825</v>
      </c>
      <c r="O3451" s="8">
        <f>10+48/60+3.5/3600</f>
        <v>10.800972222222223</v>
      </c>
      <c r="P3451" s="8" t="s">
        <v>15826</v>
      </c>
      <c r="Q3451" s="8">
        <f>-(20+50/60+56/3600)</f>
        <v>-20.848888888888887</v>
      </c>
      <c r="R3451" s="8">
        <v>11.8</v>
      </c>
      <c r="S3451" s="8">
        <v>12.6</v>
      </c>
      <c r="T3451" s="8">
        <v>0.8</v>
      </c>
      <c r="U3451" s="8">
        <v>13.5</v>
      </c>
      <c r="V3451" s="8">
        <v>2.6</v>
      </c>
      <c r="W3451" s="8">
        <v>2.2999999999999998</v>
      </c>
      <c r="X3451" s="8">
        <v>128</v>
      </c>
      <c r="Y3451" s="8" t="s">
        <v>15827</v>
      </c>
      <c r="Z3451" s="8" t="s">
        <v>15828</v>
      </c>
    </row>
    <row r="3452" spans="1:26" x14ac:dyDescent="0.2">
      <c r="A3452" s="8">
        <v>3451</v>
      </c>
      <c r="B3452" s="8" t="s">
        <v>15829</v>
      </c>
      <c r="C3452" s="8" t="s">
        <v>15829</v>
      </c>
      <c r="F3452" s="47" t="s">
        <v>56858</v>
      </c>
      <c r="G3452" s="8">
        <v>15</v>
      </c>
      <c r="H3452" s="8" t="s">
        <v>21</v>
      </c>
      <c r="I3452" s="8" t="s">
        <v>22</v>
      </c>
      <c r="J3452" s="8" t="s">
        <v>22</v>
      </c>
      <c r="K3452" s="8" t="s">
        <v>1277</v>
      </c>
      <c r="L3452" s="8" t="s">
        <v>13179</v>
      </c>
      <c r="M3452" s="8" t="s">
        <v>13180</v>
      </c>
      <c r="N3452" s="8" t="s">
        <v>15830</v>
      </c>
      <c r="O3452" s="8">
        <f>10+54/60+21.1/3600</f>
        <v>10.905861111111111</v>
      </c>
      <c r="P3452" s="8" t="s">
        <v>15831</v>
      </c>
      <c r="Q3452" s="8">
        <f>+(27+14/60+23/3600)</f>
        <v>27.239722222222223</v>
      </c>
      <c r="R3452" s="8">
        <v>13</v>
      </c>
      <c r="S3452" s="8">
        <v>13.7</v>
      </c>
      <c r="T3452" s="8">
        <v>0.7</v>
      </c>
      <c r="U3452" s="8">
        <v>13.2</v>
      </c>
      <c r="V3452" s="8">
        <v>1.7</v>
      </c>
      <c r="W3452" s="8">
        <v>0.8</v>
      </c>
      <c r="X3452" s="8">
        <v>50</v>
      </c>
      <c r="Y3452" s="8" t="s">
        <v>15832</v>
      </c>
      <c r="Z3452" s="8" t="s">
        <v>15833</v>
      </c>
    </row>
    <row r="3453" spans="1:26" x14ac:dyDescent="0.2">
      <c r="A3453" s="8">
        <v>3452</v>
      </c>
      <c r="B3453" s="8" t="s">
        <v>15834</v>
      </c>
      <c r="C3453" s="8" t="s">
        <v>15834</v>
      </c>
      <c r="F3453" s="47"/>
      <c r="G3453" s="8">
        <v>19</v>
      </c>
      <c r="H3453" s="8" t="s">
        <v>21</v>
      </c>
      <c r="I3453" s="8" t="s">
        <v>22</v>
      </c>
      <c r="J3453" s="8" t="s">
        <v>22</v>
      </c>
      <c r="K3453" s="8" t="s">
        <v>91</v>
      </c>
      <c r="L3453" s="8" t="s">
        <v>15699</v>
      </c>
      <c r="M3453" s="8" t="s">
        <v>15700</v>
      </c>
      <c r="N3453" s="8" t="s">
        <v>15835</v>
      </c>
      <c r="O3453" s="8">
        <f>10+54/60+14.1/3600</f>
        <v>10.903916666666667</v>
      </c>
      <c r="P3453" s="8" t="s">
        <v>15836</v>
      </c>
      <c r="Q3453" s="8">
        <f>-(11+24/60+18/3600)</f>
        <v>-11.405000000000001</v>
      </c>
      <c r="R3453" s="8">
        <v>14</v>
      </c>
      <c r="S3453" s="8">
        <v>14.9</v>
      </c>
      <c r="T3453" s="8">
        <v>0.9</v>
      </c>
      <c r="U3453" s="8">
        <v>12.6</v>
      </c>
      <c r="V3453" s="8">
        <v>1.1000000000000001</v>
      </c>
      <c r="W3453" s="8">
        <v>0.3</v>
      </c>
      <c r="X3453" s="8">
        <v>65</v>
      </c>
      <c r="Y3453" s="8" t="s">
        <v>15837</v>
      </c>
      <c r="Z3453" s="8" t="s">
        <v>15838</v>
      </c>
    </row>
    <row r="3454" spans="1:26" x14ac:dyDescent="0.2">
      <c r="A3454" s="8">
        <v>3453</v>
      </c>
      <c r="B3454" s="8" t="s">
        <v>15839</v>
      </c>
      <c r="C3454" s="8" t="s">
        <v>15839</v>
      </c>
      <c r="F3454" s="47"/>
      <c r="G3454" s="8">
        <v>16</v>
      </c>
      <c r="H3454" s="8" t="s">
        <v>21</v>
      </c>
      <c r="I3454" s="8" t="s">
        <v>22</v>
      </c>
      <c r="J3454" s="8" t="s">
        <v>22</v>
      </c>
      <c r="K3454" s="8" t="s">
        <v>218</v>
      </c>
      <c r="L3454" s="8" t="s">
        <v>11765</v>
      </c>
      <c r="M3454" s="8" t="s">
        <v>11766</v>
      </c>
      <c r="N3454" s="8" t="s">
        <v>15840</v>
      </c>
      <c r="O3454" s="8">
        <f>10+53/60+40.4/3600</f>
        <v>10.894555555555556</v>
      </c>
      <c r="P3454" s="8" t="s">
        <v>15841</v>
      </c>
      <c r="Q3454" s="8">
        <f>-(21+47/60+36/3600)</f>
        <v>-21.793333333333337</v>
      </c>
      <c r="R3454" s="8">
        <v>12.9</v>
      </c>
      <c r="S3454" s="8">
        <v>13.7</v>
      </c>
      <c r="T3454" s="8">
        <v>0.8</v>
      </c>
      <c r="U3454" s="8">
        <v>12.3</v>
      </c>
      <c r="V3454" s="8">
        <v>1.1000000000000001</v>
      </c>
      <c r="W3454" s="8">
        <v>0.6</v>
      </c>
      <c r="X3454" s="8">
        <v>4</v>
      </c>
      <c r="Y3454" s="8" t="s">
        <v>2641</v>
      </c>
      <c r="Z3454" s="8" t="s">
        <v>2642</v>
      </c>
    </row>
    <row r="3455" spans="1:26" x14ac:dyDescent="0.2">
      <c r="A3455" s="8">
        <v>3454</v>
      </c>
      <c r="B3455" s="8" t="s">
        <v>15842</v>
      </c>
      <c r="C3455" s="8" t="s">
        <v>15842</v>
      </c>
      <c r="F3455" s="47"/>
      <c r="G3455" s="8">
        <v>16</v>
      </c>
      <c r="H3455" s="8" t="s">
        <v>21</v>
      </c>
      <c r="I3455" s="8" t="s">
        <v>22</v>
      </c>
      <c r="J3455" s="8" t="s">
        <v>22</v>
      </c>
      <c r="K3455" s="8" t="s">
        <v>64</v>
      </c>
      <c r="L3455" s="8" t="s">
        <v>13194</v>
      </c>
      <c r="M3455" s="8" t="s">
        <v>13195</v>
      </c>
      <c r="N3455" s="8" t="s">
        <v>15843</v>
      </c>
      <c r="O3455" s="8">
        <f>10+54/60+29.4/3600</f>
        <v>10.908166666666666</v>
      </c>
      <c r="P3455" s="8" t="s">
        <v>15844</v>
      </c>
      <c r="Q3455" s="8">
        <f>+(17+20/60+37/3600)</f>
        <v>17.343611111111109</v>
      </c>
      <c r="R3455" s="8">
        <v>13.3</v>
      </c>
      <c r="S3455" s="8">
        <v>14</v>
      </c>
      <c r="T3455" s="8">
        <v>0.7</v>
      </c>
      <c r="U3455" s="8">
        <v>13</v>
      </c>
      <c r="V3455" s="8">
        <v>2.1</v>
      </c>
      <c r="W3455" s="8">
        <v>0.4</v>
      </c>
      <c r="X3455" s="8">
        <v>116</v>
      </c>
      <c r="Y3455" s="8" t="s">
        <v>15845</v>
      </c>
      <c r="Z3455" s="8" t="s">
        <v>15846</v>
      </c>
    </row>
    <row r="3456" spans="1:26" x14ac:dyDescent="0.2">
      <c r="A3456" s="8">
        <v>3455</v>
      </c>
      <c r="B3456" s="8" t="s">
        <v>15847</v>
      </c>
      <c r="C3456" s="8" t="s">
        <v>15847</v>
      </c>
      <c r="F3456" s="47" t="s">
        <v>56859</v>
      </c>
      <c r="G3456" s="8">
        <v>13</v>
      </c>
      <c r="H3456" s="8" t="s">
        <v>21</v>
      </c>
      <c r="I3456" s="8" t="s">
        <v>22</v>
      </c>
      <c r="J3456" s="8" t="s">
        <v>22</v>
      </c>
      <c r="K3456" s="8" t="s">
        <v>218</v>
      </c>
      <c r="L3456" s="8" t="s">
        <v>13194</v>
      </c>
      <c r="M3456" s="8" t="s">
        <v>13195</v>
      </c>
      <c r="N3456" s="8" t="s">
        <v>15848</v>
      </c>
      <c r="O3456" s="8">
        <f>10+54/60+30.9/3600</f>
        <v>10.908583333333334</v>
      </c>
      <c r="P3456" s="8" t="s">
        <v>12002</v>
      </c>
      <c r="Q3456" s="8">
        <f>+(17+17/60+4/3600)</f>
        <v>17.284444444444446</v>
      </c>
      <c r="R3456" s="8">
        <v>12</v>
      </c>
      <c r="S3456" s="8">
        <v>12.8</v>
      </c>
      <c r="T3456" s="8">
        <v>0.8</v>
      </c>
      <c r="U3456" s="8">
        <v>13.7</v>
      </c>
      <c r="V3456" s="8">
        <v>2.6</v>
      </c>
      <c r="W3456" s="8">
        <v>2</v>
      </c>
      <c r="X3456" s="8">
        <v>62</v>
      </c>
      <c r="Y3456" s="8" t="s">
        <v>15849</v>
      </c>
      <c r="Z3456" s="8" t="s">
        <v>15850</v>
      </c>
    </row>
    <row r="3457" spans="1:26" x14ac:dyDescent="0.2">
      <c r="A3457" s="8">
        <v>3456</v>
      </c>
      <c r="B3457" s="8" t="s">
        <v>15851</v>
      </c>
      <c r="C3457" s="8" t="s">
        <v>15851</v>
      </c>
      <c r="F3457" s="47" t="s">
        <v>56860</v>
      </c>
      <c r="G3457" s="8">
        <v>15</v>
      </c>
      <c r="H3457" s="8" t="s">
        <v>21</v>
      </c>
      <c r="I3457" s="8" t="s">
        <v>22</v>
      </c>
      <c r="J3457" s="8" t="s">
        <v>22</v>
      </c>
      <c r="K3457" s="8" t="s">
        <v>64</v>
      </c>
      <c r="L3457" s="8" t="s">
        <v>15699</v>
      </c>
      <c r="M3457" s="8" t="s">
        <v>15700</v>
      </c>
      <c r="N3457" s="8" t="s">
        <v>15852</v>
      </c>
      <c r="O3457" s="8">
        <f>10+54/60+3.3/3600</f>
        <v>10.900916666666667</v>
      </c>
      <c r="P3457" s="8" t="s">
        <v>15853</v>
      </c>
      <c r="Q3457" s="8">
        <f>-(16+1/60+39/3600)</f>
        <v>-16.0275</v>
      </c>
      <c r="R3457" s="8">
        <v>12.6</v>
      </c>
      <c r="S3457" s="8">
        <v>13.3</v>
      </c>
      <c r="T3457" s="8">
        <v>0.7</v>
      </c>
      <c r="U3457" s="8">
        <v>13.2</v>
      </c>
      <c r="V3457" s="8">
        <v>1.7</v>
      </c>
      <c r="W3457" s="8">
        <v>1.2</v>
      </c>
      <c r="X3457" s="8">
        <v>102</v>
      </c>
      <c r="Y3457" s="8" t="s">
        <v>15854</v>
      </c>
      <c r="Z3457" s="8" t="s">
        <v>15855</v>
      </c>
    </row>
    <row r="3458" spans="1:26" x14ac:dyDescent="0.2">
      <c r="A3458" s="8">
        <v>3457</v>
      </c>
      <c r="B3458" s="8" t="s">
        <v>15856</v>
      </c>
      <c r="C3458" s="8" t="s">
        <v>15856</v>
      </c>
      <c r="F3458" s="47"/>
      <c r="G3458" s="8">
        <v>16</v>
      </c>
      <c r="H3458" s="8" t="s">
        <v>21</v>
      </c>
      <c r="I3458" s="8" t="s">
        <v>22</v>
      </c>
      <c r="J3458" s="8" t="s">
        <v>22</v>
      </c>
      <c r="K3458" s="8" t="s">
        <v>476</v>
      </c>
      <c r="L3458" s="8" t="s">
        <v>13194</v>
      </c>
      <c r="M3458" s="8" t="s">
        <v>13195</v>
      </c>
      <c r="N3458" s="8" t="s">
        <v>15857</v>
      </c>
      <c r="O3458" s="8">
        <f>10+54/60+48.6/3600</f>
        <v>10.913500000000001</v>
      </c>
      <c r="P3458" s="8" t="s">
        <v>15858</v>
      </c>
      <c r="Q3458" s="8">
        <f>+(17+37/60+17/3600)</f>
        <v>17.621388888888891</v>
      </c>
      <c r="R3458" s="8">
        <v>12.7</v>
      </c>
      <c r="S3458" s="8">
        <v>13.6</v>
      </c>
      <c r="T3458" s="8">
        <v>0.9</v>
      </c>
      <c r="U3458" s="8">
        <v>12.3</v>
      </c>
      <c r="V3458" s="8">
        <v>0.9</v>
      </c>
      <c r="W3458" s="8">
        <v>0.9</v>
      </c>
      <c r="Y3458" s="8" t="s">
        <v>15859</v>
      </c>
      <c r="Z3458" s="8" t="s">
        <v>15860</v>
      </c>
    </row>
    <row r="3459" spans="1:26" x14ac:dyDescent="0.2">
      <c r="A3459" s="8">
        <v>3458</v>
      </c>
      <c r="B3459" s="8" t="s">
        <v>15861</v>
      </c>
      <c r="C3459" s="8" t="s">
        <v>15861</v>
      </c>
      <c r="F3459" s="47" t="s">
        <v>56861</v>
      </c>
      <c r="G3459" s="8">
        <v>12</v>
      </c>
      <c r="H3459" s="8" t="s">
        <v>21</v>
      </c>
      <c r="I3459" s="8" t="s">
        <v>22</v>
      </c>
      <c r="J3459" s="8" t="s">
        <v>22</v>
      </c>
      <c r="K3459" s="8" t="s">
        <v>224</v>
      </c>
      <c r="L3459" s="8" t="s">
        <v>12015</v>
      </c>
      <c r="M3459" s="8" t="s">
        <v>12016</v>
      </c>
      <c r="N3459" s="8" t="s">
        <v>15862</v>
      </c>
      <c r="O3459" s="8">
        <f>10+56/60+1.4/3600</f>
        <v>10.933722222222222</v>
      </c>
      <c r="P3459" s="8" t="s">
        <v>15863</v>
      </c>
      <c r="Q3459" s="8">
        <f>+(57+7/60+2/3600)</f>
        <v>57.117222222222225</v>
      </c>
      <c r="R3459" s="8">
        <v>12.3</v>
      </c>
      <c r="S3459" s="8">
        <v>13.3</v>
      </c>
      <c r="T3459" s="8">
        <v>1</v>
      </c>
      <c r="U3459" s="8">
        <v>12.3</v>
      </c>
      <c r="V3459" s="8">
        <v>1.4</v>
      </c>
      <c r="W3459" s="8">
        <v>0.8</v>
      </c>
      <c r="X3459" s="8">
        <v>5</v>
      </c>
      <c r="Y3459" s="8" t="s">
        <v>15864</v>
      </c>
      <c r="Z3459" s="8" t="s">
        <v>15865</v>
      </c>
    </row>
    <row r="3460" spans="1:26" x14ac:dyDescent="0.2">
      <c r="A3460" s="8">
        <v>3459</v>
      </c>
      <c r="B3460" s="8" t="s">
        <v>15866</v>
      </c>
      <c r="C3460" s="8" t="s">
        <v>15866</v>
      </c>
      <c r="F3460" s="47"/>
      <c r="G3460" s="8">
        <v>19</v>
      </c>
      <c r="H3460" s="8" t="s">
        <v>21</v>
      </c>
      <c r="I3460" s="8" t="s">
        <v>22</v>
      </c>
      <c r="J3460" s="8" t="s">
        <v>22</v>
      </c>
      <c r="K3460" s="8" t="s">
        <v>31</v>
      </c>
      <c r="L3460" s="8" t="s">
        <v>15699</v>
      </c>
      <c r="M3460" s="8" t="s">
        <v>15700</v>
      </c>
      <c r="N3460" s="8" t="s">
        <v>15867</v>
      </c>
      <c r="O3460" s="8">
        <f>10+54/60+44.4/3600</f>
        <v>10.912333333333335</v>
      </c>
      <c r="P3460" s="8" t="s">
        <v>15868</v>
      </c>
      <c r="Q3460" s="8">
        <f>-(17+2/60+30/3600)</f>
        <v>-17.041666666666668</v>
      </c>
      <c r="R3460" s="8">
        <v>13.4</v>
      </c>
      <c r="S3460" s="8">
        <v>14.2</v>
      </c>
      <c r="T3460" s="8">
        <v>0.8</v>
      </c>
      <c r="U3460" s="8">
        <v>13</v>
      </c>
      <c r="V3460" s="8">
        <v>1.6</v>
      </c>
      <c r="W3460" s="8">
        <v>0.5</v>
      </c>
      <c r="X3460" s="8">
        <v>155</v>
      </c>
      <c r="Y3460" s="8" t="s">
        <v>15869</v>
      </c>
      <c r="Z3460" s="8" t="s">
        <v>15870</v>
      </c>
    </row>
    <row r="3461" spans="1:26" x14ac:dyDescent="0.2">
      <c r="A3461" s="8">
        <v>3460</v>
      </c>
      <c r="B3461" s="8" t="s">
        <v>15871</v>
      </c>
      <c r="C3461" s="8" t="s">
        <v>15871</v>
      </c>
      <c r="F3461" s="47"/>
      <c r="G3461" s="8">
        <v>19</v>
      </c>
      <c r="H3461" s="8" t="s">
        <v>21</v>
      </c>
      <c r="I3461" s="8" t="s">
        <v>22</v>
      </c>
      <c r="J3461" s="8" t="s">
        <v>57</v>
      </c>
      <c r="K3461" s="8" t="s">
        <v>476</v>
      </c>
      <c r="L3461" s="8" t="s">
        <v>13194</v>
      </c>
      <c r="M3461" s="8" t="s">
        <v>13195</v>
      </c>
      <c r="N3461" s="8" t="s">
        <v>15857</v>
      </c>
      <c r="O3461" s="8">
        <f>10+54/60+48.6/3600</f>
        <v>10.913500000000001</v>
      </c>
      <c r="P3461" s="8" t="s">
        <v>15858</v>
      </c>
      <c r="Q3461" s="8">
        <f>+(17+37/60+17/3600)</f>
        <v>17.621388888888891</v>
      </c>
      <c r="R3461" s="8">
        <v>12.7</v>
      </c>
      <c r="S3461" s="8">
        <v>13.6</v>
      </c>
      <c r="T3461" s="8">
        <v>0.9</v>
      </c>
      <c r="U3461" s="8">
        <v>12.3</v>
      </c>
      <c r="V3461" s="8">
        <v>0.9</v>
      </c>
      <c r="W3461" s="8">
        <v>0.9</v>
      </c>
      <c r="Y3461" s="8" t="s">
        <v>15859</v>
      </c>
      <c r="Z3461" s="8" t="s">
        <v>15872</v>
      </c>
    </row>
    <row r="3462" spans="1:26" x14ac:dyDescent="0.2">
      <c r="A3462" s="8">
        <v>3461</v>
      </c>
      <c r="B3462" s="8" t="s">
        <v>15873</v>
      </c>
      <c r="C3462" s="8" t="s">
        <v>15873</v>
      </c>
      <c r="F3462" s="47"/>
      <c r="G3462" s="8">
        <v>19</v>
      </c>
      <c r="H3462" s="8" t="s">
        <v>21</v>
      </c>
      <c r="I3462" s="8" t="s">
        <v>22</v>
      </c>
      <c r="J3462" s="8" t="s">
        <v>22</v>
      </c>
      <c r="K3462" s="8" t="s">
        <v>449</v>
      </c>
      <c r="L3462" s="8" t="s">
        <v>13194</v>
      </c>
      <c r="M3462" s="8" t="s">
        <v>13195</v>
      </c>
      <c r="N3462" s="8" t="s">
        <v>15874</v>
      </c>
      <c r="O3462" s="8">
        <f>10+54/60+55.2/3600</f>
        <v>10.915333333333333</v>
      </c>
      <c r="P3462" s="8" t="s">
        <v>15875</v>
      </c>
      <c r="Q3462" s="8">
        <f>+(17+42/60+30/3600)</f>
        <v>17.708333333333332</v>
      </c>
      <c r="R3462" s="8">
        <v>14.5</v>
      </c>
      <c r="S3462" s="8">
        <v>15.5</v>
      </c>
      <c r="T3462" s="8">
        <v>1</v>
      </c>
      <c r="U3462" s="8">
        <v>12.8</v>
      </c>
      <c r="V3462" s="8">
        <v>0.5</v>
      </c>
      <c r="W3462" s="8">
        <v>0.4</v>
      </c>
      <c r="Y3462" s="8" t="s">
        <v>15876</v>
      </c>
      <c r="Z3462" s="8" t="s">
        <v>15877</v>
      </c>
    </row>
    <row r="3463" spans="1:26" x14ac:dyDescent="0.2">
      <c r="A3463" s="8">
        <v>3462</v>
      </c>
      <c r="B3463" s="8" t="s">
        <v>15878</v>
      </c>
      <c r="C3463" s="8" t="s">
        <v>15878</v>
      </c>
      <c r="F3463" s="47" t="s">
        <v>56862</v>
      </c>
      <c r="G3463" s="8">
        <v>15</v>
      </c>
      <c r="H3463" s="8" t="s">
        <v>21</v>
      </c>
      <c r="I3463" s="8" t="s">
        <v>22</v>
      </c>
      <c r="J3463" s="8" t="s">
        <v>22</v>
      </c>
      <c r="K3463" s="8" t="s">
        <v>37</v>
      </c>
      <c r="L3463" s="8" t="s">
        <v>13194</v>
      </c>
      <c r="M3463" s="8" t="s">
        <v>13195</v>
      </c>
      <c r="N3463" s="8" t="s">
        <v>15879</v>
      </c>
      <c r="O3463" s="8">
        <f>10+55/60+21/3600</f>
        <v>10.922499999999999</v>
      </c>
      <c r="P3463" s="8" t="s">
        <v>15880</v>
      </c>
      <c r="Q3463" s="8">
        <f>+(7+41/60+49/3600)</f>
        <v>7.696944444444445</v>
      </c>
      <c r="R3463" s="8">
        <v>12.2</v>
      </c>
      <c r="S3463" s="8">
        <v>13.2</v>
      </c>
      <c r="T3463" s="8">
        <v>1</v>
      </c>
      <c r="U3463" s="8">
        <v>12.8</v>
      </c>
      <c r="V3463" s="8">
        <v>1.7</v>
      </c>
      <c r="W3463" s="8">
        <v>1.2</v>
      </c>
      <c r="X3463" s="8">
        <v>60</v>
      </c>
      <c r="Y3463" s="8" t="s">
        <v>15881</v>
      </c>
      <c r="Z3463" s="8" t="s">
        <v>15882</v>
      </c>
    </row>
    <row r="3464" spans="1:26" x14ac:dyDescent="0.2">
      <c r="A3464" s="8">
        <v>3463</v>
      </c>
      <c r="B3464" s="8" t="s">
        <v>15883</v>
      </c>
      <c r="C3464" s="8" t="s">
        <v>15883</v>
      </c>
      <c r="F3464" s="47"/>
      <c r="G3464" s="8">
        <v>16</v>
      </c>
      <c r="H3464" s="8" t="s">
        <v>21</v>
      </c>
      <c r="I3464" s="8" t="s">
        <v>22</v>
      </c>
      <c r="J3464" s="8" t="s">
        <v>22</v>
      </c>
      <c r="K3464" s="8" t="s">
        <v>23</v>
      </c>
      <c r="L3464" s="8" t="s">
        <v>11765</v>
      </c>
      <c r="M3464" s="8" t="s">
        <v>11766</v>
      </c>
      <c r="N3464" s="8" t="s">
        <v>15884</v>
      </c>
      <c r="O3464" s="8">
        <f>10+55/60+13.3/3600</f>
        <v>10.920361111111111</v>
      </c>
      <c r="P3464" s="8" t="s">
        <v>15885</v>
      </c>
      <c r="Q3464" s="8">
        <f>-(26+8/60+25/3600)</f>
        <v>-26.140277777777776</v>
      </c>
      <c r="R3464" s="8">
        <v>12.8</v>
      </c>
      <c r="S3464" s="8">
        <v>13.6</v>
      </c>
      <c r="T3464" s="8">
        <v>0.8</v>
      </c>
      <c r="U3464" s="8">
        <v>12.7</v>
      </c>
      <c r="V3464" s="8">
        <v>1.5</v>
      </c>
      <c r="W3464" s="8">
        <v>0.7</v>
      </c>
      <c r="X3464" s="8">
        <v>77</v>
      </c>
      <c r="Y3464" s="8" t="s">
        <v>1837</v>
      </c>
      <c r="Z3464" s="8" t="s">
        <v>1838</v>
      </c>
    </row>
    <row r="3465" spans="1:26" x14ac:dyDescent="0.2">
      <c r="A3465" s="8">
        <v>3464</v>
      </c>
      <c r="B3465" s="8" t="s">
        <v>15886</v>
      </c>
      <c r="C3465" s="8" t="s">
        <v>15886</v>
      </c>
      <c r="F3465" s="47"/>
      <c r="G3465" s="8">
        <v>13</v>
      </c>
      <c r="H3465" s="8" t="s">
        <v>21</v>
      </c>
      <c r="I3465" s="8" t="s">
        <v>22</v>
      </c>
      <c r="J3465" s="8" t="s">
        <v>22</v>
      </c>
      <c r="K3465" s="8" t="s">
        <v>64</v>
      </c>
      <c r="L3465" s="8" t="s">
        <v>11765</v>
      </c>
      <c r="M3465" s="8" t="s">
        <v>11766</v>
      </c>
      <c r="N3465" s="8" t="s">
        <v>15887</v>
      </c>
      <c r="O3465" s="8">
        <f>10+54/60+39.8/3600</f>
        <v>10.911055555555556</v>
      </c>
      <c r="P3465" s="8" t="s">
        <v>15888</v>
      </c>
      <c r="Q3465" s="8">
        <f>-(21+3/60+59/3600)</f>
        <v>-21.066388888888891</v>
      </c>
      <c r="R3465" s="8">
        <v>12.6</v>
      </c>
      <c r="S3465" s="8">
        <v>13</v>
      </c>
      <c r="T3465" s="8">
        <v>0.4</v>
      </c>
      <c r="U3465" s="8">
        <v>14</v>
      </c>
      <c r="V3465" s="8">
        <v>2.5</v>
      </c>
      <c r="W3465" s="8">
        <v>1.7</v>
      </c>
      <c r="X3465" s="8">
        <v>112</v>
      </c>
      <c r="Y3465" s="8" t="s">
        <v>15889</v>
      </c>
      <c r="Z3465" s="8" t="s">
        <v>15890</v>
      </c>
    </row>
    <row r="3466" spans="1:26" x14ac:dyDescent="0.2">
      <c r="A3466" s="8">
        <v>3465</v>
      </c>
      <c r="B3466" s="8" t="s">
        <v>15891</v>
      </c>
      <c r="C3466" s="8" t="s">
        <v>15891</v>
      </c>
      <c r="F3466" s="47" t="s">
        <v>56863</v>
      </c>
      <c r="G3466" s="8">
        <v>15</v>
      </c>
      <c r="H3466" s="8" t="s">
        <v>21</v>
      </c>
      <c r="I3466" s="8" t="s">
        <v>22</v>
      </c>
      <c r="J3466" s="8" t="s">
        <v>22</v>
      </c>
      <c r="K3466" s="8" t="s">
        <v>31</v>
      </c>
      <c r="L3466" s="8" t="s">
        <v>13395</v>
      </c>
      <c r="M3466" s="8" t="s">
        <v>13396</v>
      </c>
      <c r="N3466" s="8" t="s">
        <v>15892</v>
      </c>
      <c r="O3466" s="8">
        <f>10+59/60+31.3/3600</f>
        <v>10.992027777777777</v>
      </c>
      <c r="P3466" s="8" t="s">
        <v>15893</v>
      </c>
      <c r="Q3466" s="8">
        <f>+(75+11/60+30/3600)</f>
        <v>75.191666666666677</v>
      </c>
      <c r="R3466" s="8">
        <v>13.5</v>
      </c>
      <c r="S3466" s="8">
        <v>14.3</v>
      </c>
      <c r="T3466" s="8">
        <v>0.8</v>
      </c>
      <c r="U3466" s="8">
        <v>13.8</v>
      </c>
      <c r="V3466" s="8">
        <v>1.2</v>
      </c>
      <c r="W3466" s="8">
        <v>1</v>
      </c>
      <c r="X3466" s="8">
        <v>171</v>
      </c>
      <c r="Y3466" s="8" t="s">
        <v>15894</v>
      </c>
      <c r="Z3466" s="8" t="s">
        <v>15895</v>
      </c>
    </row>
    <row r="3467" spans="1:26" x14ac:dyDescent="0.2">
      <c r="A3467" s="8">
        <v>3466</v>
      </c>
      <c r="B3467" s="8" t="s">
        <v>15896</v>
      </c>
      <c r="C3467" s="8" t="s">
        <v>15896</v>
      </c>
      <c r="F3467" s="47"/>
      <c r="G3467" s="8">
        <v>16</v>
      </c>
      <c r="H3467" s="8" t="s">
        <v>21</v>
      </c>
      <c r="I3467" s="8" t="s">
        <v>22</v>
      </c>
      <c r="J3467" s="8" t="s">
        <v>22</v>
      </c>
      <c r="K3467" s="8" t="s">
        <v>406</v>
      </c>
      <c r="L3467" s="8" t="s">
        <v>13194</v>
      </c>
      <c r="M3467" s="8" t="s">
        <v>13195</v>
      </c>
      <c r="N3467" s="8" t="s">
        <v>15897</v>
      </c>
      <c r="O3467" s="8">
        <f>10+56/60+15.4/3600</f>
        <v>10.937611111111112</v>
      </c>
      <c r="P3467" s="8" t="s">
        <v>15898</v>
      </c>
      <c r="Q3467" s="8">
        <f>+(9+45/60+15/3600)</f>
        <v>9.7541666666666664</v>
      </c>
      <c r="R3467" s="8">
        <v>13.8</v>
      </c>
      <c r="S3467" s="8">
        <v>14.6</v>
      </c>
      <c r="T3467" s="8">
        <v>0.8</v>
      </c>
      <c r="U3467" s="8">
        <v>13.1</v>
      </c>
      <c r="V3467" s="8">
        <v>1</v>
      </c>
      <c r="W3467" s="8">
        <v>0.6</v>
      </c>
      <c r="X3467" s="8">
        <v>55</v>
      </c>
      <c r="Y3467" s="8" t="s">
        <v>15899</v>
      </c>
      <c r="Z3467" s="8" t="s">
        <v>15900</v>
      </c>
    </row>
    <row r="3468" spans="1:26" x14ac:dyDescent="0.2">
      <c r="A3468" s="8">
        <v>3467</v>
      </c>
      <c r="B3468" s="8" t="s">
        <v>15901</v>
      </c>
      <c r="C3468" s="8" t="s">
        <v>15901</v>
      </c>
      <c r="F3468" s="47"/>
      <c r="G3468" s="8">
        <v>16</v>
      </c>
      <c r="H3468" s="8" t="s">
        <v>21</v>
      </c>
      <c r="I3468" s="8" t="s">
        <v>22</v>
      </c>
      <c r="J3468" s="8" t="s">
        <v>22</v>
      </c>
      <c r="K3468" s="8" t="s">
        <v>37</v>
      </c>
      <c r="L3468" s="8" t="s">
        <v>13194</v>
      </c>
      <c r="M3468" s="8" t="s">
        <v>13195</v>
      </c>
      <c r="N3468" s="8" t="s">
        <v>15902</v>
      </c>
      <c r="O3468" s="8">
        <f>10+56/60+44.1/3600</f>
        <v>10.945583333333333</v>
      </c>
      <c r="P3468" s="8" t="s">
        <v>15903</v>
      </c>
      <c r="Q3468" s="8">
        <f>+(9+45/60+32/3600)</f>
        <v>9.7588888888888885</v>
      </c>
      <c r="R3468" s="8">
        <v>13.4</v>
      </c>
      <c r="S3468" s="8">
        <v>14.4</v>
      </c>
      <c r="T3468" s="8">
        <v>1</v>
      </c>
      <c r="U3468" s="8">
        <v>13.1</v>
      </c>
      <c r="V3468" s="8">
        <v>0.8</v>
      </c>
      <c r="W3468" s="8">
        <v>0.8</v>
      </c>
      <c r="Y3468" s="8" t="s">
        <v>15904</v>
      </c>
      <c r="Z3468" s="8" t="s">
        <v>15905</v>
      </c>
    </row>
    <row r="3469" spans="1:26" x14ac:dyDescent="0.2">
      <c r="A3469" s="8">
        <v>3468</v>
      </c>
      <c r="B3469" s="8" t="s">
        <v>15906</v>
      </c>
      <c r="C3469" s="8" t="s">
        <v>15906</v>
      </c>
      <c r="F3469" s="47" t="s">
        <v>56864</v>
      </c>
      <c r="G3469" s="8">
        <v>15</v>
      </c>
      <c r="H3469" s="8" t="s">
        <v>21</v>
      </c>
      <c r="I3469" s="8" t="s">
        <v>22</v>
      </c>
      <c r="J3469" s="8" t="s">
        <v>22</v>
      </c>
      <c r="K3469" s="8" t="s">
        <v>37</v>
      </c>
      <c r="L3469" s="8" t="s">
        <v>12015</v>
      </c>
      <c r="M3469" s="8" t="s">
        <v>12016</v>
      </c>
      <c r="N3469" s="8" t="s">
        <v>15907</v>
      </c>
      <c r="O3469" s="8">
        <f>10+57/60+31.2/3600</f>
        <v>10.958666666666666</v>
      </c>
      <c r="P3469" s="8" t="s">
        <v>15908</v>
      </c>
      <c r="Q3469" s="8">
        <f>+(40+56/60+47/3600)</f>
        <v>40.946388888888883</v>
      </c>
      <c r="R3469" s="8">
        <v>13</v>
      </c>
      <c r="S3469" s="8">
        <v>14</v>
      </c>
      <c r="T3469" s="8">
        <v>1</v>
      </c>
      <c r="U3469" s="8">
        <v>12.8</v>
      </c>
      <c r="V3469" s="8">
        <v>1.3</v>
      </c>
      <c r="W3469" s="8">
        <v>0.7</v>
      </c>
      <c r="X3469" s="8">
        <v>8</v>
      </c>
      <c r="Y3469" s="8" t="s">
        <v>15909</v>
      </c>
      <c r="Z3469" s="8" t="s">
        <v>15910</v>
      </c>
    </row>
    <row r="3470" spans="1:26" x14ac:dyDescent="0.2">
      <c r="A3470" s="8">
        <v>3469</v>
      </c>
      <c r="B3470" s="8" t="s">
        <v>15911</v>
      </c>
      <c r="C3470" s="8" t="s">
        <v>15911</v>
      </c>
      <c r="F3470" s="47"/>
      <c r="G3470" s="8">
        <v>16</v>
      </c>
      <c r="H3470" s="8" t="s">
        <v>21</v>
      </c>
      <c r="I3470" s="8" t="s">
        <v>22</v>
      </c>
      <c r="J3470" s="8" t="s">
        <v>22</v>
      </c>
      <c r="K3470" s="8" t="s">
        <v>406</v>
      </c>
      <c r="L3470" s="8" t="s">
        <v>15699</v>
      </c>
      <c r="M3470" s="8" t="s">
        <v>15700</v>
      </c>
      <c r="N3470" s="8" t="s">
        <v>15912</v>
      </c>
      <c r="O3470" s="8">
        <f>10+56/60+57.6/3600</f>
        <v>10.949333333333334</v>
      </c>
      <c r="P3470" s="8" t="s">
        <v>15913</v>
      </c>
      <c r="Q3470" s="8">
        <f>-(14+18/60+1/3600)</f>
        <v>-14.300277777777778</v>
      </c>
      <c r="R3470" s="8">
        <v>13.1</v>
      </c>
      <c r="S3470" s="8">
        <v>13.9</v>
      </c>
      <c r="T3470" s="8">
        <v>0.8</v>
      </c>
      <c r="U3470" s="8">
        <v>13.7</v>
      </c>
      <c r="V3470" s="8">
        <v>1.7</v>
      </c>
      <c r="W3470" s="8">
        <v>1.2</v>
      </c>
      <c r="X3470" s="8">
        <v>115</v>
      </c>
      <c r="Y3470" s="8" t="s">
        <v>15914</v>
      </c>
      <c r="Z3470" s="8" t="s">
        <v>15915</v>
      </c>
    </row>
    <row r="3471" spans="1:26" x14ac:dyDescent="0.2">
      <c r="A3471" s="8">
        <v>3470</v>
      </c>
      <c r="B3471" s="8" t="s">
        <v>15916</v>
      </c>
      <c r="C3471" s="8" t="s">
        <v>15916</v>
      </c>
      <c r="F3471" s="47" t="s">
        <v>56865</v>
      </c>
      <c r="G3471" s="8">
        <v>15</v>
      </c>
      <c r="H3471" s="8" t="s">
        <v>21</v>
      </c>
      <c r="I3471" s="8" t="s">
        <v>22</v>
      </c>
      <c r="J3471" s="8" t="s">
        <v>22</v>
      </c>
      <c r="K3471" s="8" t="s">
        <v>31</v>
      </c>
      <c r="L3471" s="8" t="s">
        <v>12015</v>
      </c>
      <c r="M3471" s="8" t="s">
        <v>12016</v>
      </c>
      <c r="N3471" s="8" t="s">
        <v>15917</v>
      </c>
      <c r="O3471" s="8">
        <f>10+58/60+44.8/3600</f>
        <v>10.979111111111111</v>
      </c>
      <c r="P3471" s="8" t="s">
        <v>15918</v>
      </c>
      <c r="Q3471" s="8">
        <f>+(59+30/60+38/3600)</f>
        <v>59.510555555555555</v>
      </c>
      <c r="R3471" s="8">
        <v>13.2</v>
      </c>
      <c r="S3471" s="8">
        <v>14</v>
      </c>
      <c r="T3471" s="8">
        <v>0.8</v>
      </c>
      <c r="U3471" s="8">
        <v>13.6</v>
      </c>
      <c r="V3471" s="8">
        <v>1.5</v>
      </c>
      <c r="W3471" s="8">
        <v>1.2</v>
      </c>
      <c r="X3471" s="8">
        <v>170</v>
      </c>
      <c r="Y3471" s="8" t="s">
        <v>15919</v>
      </c>
      <c r="Z3471" s="8" t="s">
        <v>15920</v>
      </c>
    </row>
    <row r="3472" spans="1:26" x14ac:dyDescent="0.2">
      <c r="A3472" s="8">
        <v>3471</v>
      </c>
      <c r="B3472" s="8" t="s">
        <v>15921</v>
      </c>
      <c r="C3472" s="8" t="s">
        <v>15921</v>
      </c>
      <c r="F3472" s="47" t="s">
        <v>56866</v>
      </c>
      <c r="G3472" s="8">
        <v>15</v>
      </c>
      <c r="H3472" s="8" t="s">
        <v>21</v>
      </c>
      <c r="I3472" s="8" t="s">
        <v>22</v>
      </c>
      <c r="J3472" s="8" t="s">
        <v>22</v>
      </c>
      <c r="K3472" s="8" t="s">
        <v>91</v>
      </c>
      <c r="L3472" s="8" t="s">
        <v>12015</v>
      </c>
      <c r="M3472" s="8" t="s">
        <v>12016</v>
      </c>
      <c r="N3472" s="8" t="s">
        <v>15922</v>
      </c>
      <c r="O3472" s="8">
        <f>10+59/60+8.8/3600</f>
        <v>10.985777777777777</v>
      </c>
      <c r="P3472" s="8" t="s">
        <v>15923</v>
      </c>
      <c r="Q3472" s="8">
        <f>+(61+31/60+49/3600)</f>
        <v>61.530277777777776</v>
      </c>
      <c r="R3472" s="8">
        <v>12.5</v>
      </c>
      <c r="S3472" s="8">
        <v>13.2</v>
      </c>
      <c r="T3472" s="8">
        <v>0.7</v>
      </c>
      <c r="U3472" s="8">
        <v>12.8</v>
      </c>
      <c r="V3472" s="8">
        <v>1.7</v>
      </c>
      <c r="W3472" s="8">
        <v>0.8</v>
      </c>
      <c r="X3472" s="8">
        <v>14</v>
      </c>
      <c r="Y3472" s="8" t="s">
        <v>2248</v>
      </c>
      <c r="Z3472" s="8" t="s">
        <v>2249</v>
      </c>
    </row>
    <row r="3473" spans="1:26" x14ac:dyDescent="0.2">
      <c r="A3473" s="8">
        <v>3472</v>
      </c>
      <c r="B3473" s="8" t="s">
        <v>15924</v>
      </c>
      <c r="C3473" s="8" t="s">
        <v>15924</v>
      </c>
      <c r="F3473" s="47"/>
      <c r="G3473" s="8">
        <v>19</v>
      </c>
      <c r="H3473" s="8" t="s">
        <v>21</v>
      </c>
      <c r="I3473" s="8" t="s">
        <v>22</v>
      </c>
      <c r="J3473" s="8" t="s">
        <v>22</v>
      </c>
      <c r="K3473" s="8" t="s">
        <v>37</v>
      </c>
      <c r="L3473" s="8" t="s">
        <v>15925</v>
      </c>
      <c r="M3473" s="8" t="s">
        <v>15926</v>
      </c>
      <c r="N3473" s="8" t="s">
        <v>15927</v>
      </c>
      <c r="O3473" s="8">
        <f>11+57/60+28.1/3600</f>
        <v>11.957805555555554</v>
      </c>
      <c r="P3473" s="8" t="s">
        <v>15928</v>
      </c>
      <c r="Q3473" s="8">
        <f>-(19+37/60+26/3600)</f>
        <v>-19.623888888888889</v>
      </c>
      <c r="R3473" s="8">
        <v>14.3</v>
      </c>
      <c r="S3473" s="8">
        <v>15.1</v>
      </c>
      <c r="T3473" s="8">
        <v>0.8</v>
      </c>
      <c r="U3473" s="8">
        <v>13.2</v>
      </c>
      <c r="V3473" s="8">
        <v>0.8</v>
      </c>
      <c r="W3473" s="8">
        <v>0.6</v>
      </c>
      <c r="X3473" s="8">
        <v>5</v>
      </c>
      <c r="Y3473" s="8" t="s">
        <v>3923</v>
      </c>
      <c r="Z3473" s="8" t="s">
        <v>3924</v>
      </c>
    </row>
    <row r="3474" spans="1:26" x14ac:dyDescent="0.2">
      <c r="A3474" s="8">
        <v>3473</v>
      </c>
      <c r="B3474" s="8" t="s">
        <v>15929</v>
      </c>
      <c r="C3474" s="8" t="s">
        <v>15929</v>
      </c>
      <c r="F3474" s="47" t="s">
        <v>56867</v>
      </c>
      <c r="G3474" s="8">
        <v>15</v>
      </c>
      <c r="H3474" s="8" t="s">
        <v>21</v>
      </c>
      <c r="I3474" s="8" t="s">
        <v>22</v>
      </c>
      <c r="J3474" s="8" t="s">
        <v>22</v>
      </c>
      <c r="K3474" s="8" t="s">
        <v>218</v>
      </c>
      <c r="L3474" s="8" t="s">
        <v>13194</v>
      </c>
      <c r="M3474" s="8" t="s">
        <v>13195</v>
      </c>
      <c r="N3474" s="8" t="s">
        <v>15930</v>
      </c>
      <c r="O3474" s="8">
        <f>10+58/60+5.2/3600</f>
        <v>10.968111111111112</v>
      </c>
      <c r="P3474" s="8" t="s">
        <v>15931</v>
      </c>
      <c r="Q3474" s="8">
        <f>+(17+7/60+30/3600)</f>
        <v>17.125</v>
      </c>
      <c r="R3474" s="8">
        <v>13.5</v>
      </c>
      <c r="S3474" s="8">
        <v>14.3</v>
      </c>
      <c r="T3474" s="8">
        <v>0.8</v>
      </c>
      <c r="U3474" s="8">
        <v>13.6</v>
      </c>
      <c r="V3474" s="8">
        <v>1.1000000000000001</v>
      </c>
      <c r="W3474" s="8">
        <v>1</v>
      </c>
      <c r="X3474" s="8">
        <v>40</v>
      </c>
      <c r="Y3474" s="8" t="s">
        <v>15932</v>
      </c>
      <c r="Z3474" s="8" t="s">
        <v>15933</v>
      </c>
    </row>
    <row r="3475" spans="1:26" x14ac:dyDescent="0.2">
      <c r="A3475" s="8">
        <v>3474</v>
      </c>
      <c r="B3475" s="8" t="s">
        <v>15934</v>
      </c>
      <c r="C3475" s="8" t="s">
        <v>15934</v>
      </c>
      <c r="F3475" s="47"/>
      <c r="G3475" s="8">
        <v>15</v>
      </c>
      <c r="H3475" s="8" t="s">
        <v>21</v>
      </c>
      <c r="I3475" s="8" t="s">
        <v>22</v>
      </c>
      <c r="J3475" s="8" t="s">
        <v>22</v>
      </c>
      <c r="K3475" s="8" t="s">
        <v>449</v>
      </c>
      <c r="L3475" s="8" t="s">
        <v>13194</v>
      </c>
      <c r="M3475" s="8" t="s">
        <v>13195</v>
      </c>
      <c r="N3475" s="8" t="s">
        <v>15935</v>
      </c>
      <c r="O3475" s="8">
        <f>10+58/60+8.7/3600</f>
        <v>10.969083333333334</v>
      </c>
      <c r="P3475" s="8" t="s">
        <v>15936</v>
      </c>
      <c r="Q3475" s="8">
        <f>+(17+5/60+46/3600)</f>
        <v>17.09611111111111</v>
      </c>
      <c r="R3475" s="8">
        <v>13.9</v>
      </c>
      <c r="S3475" s="8">
        <v>14.7</v>
      </c>
      <c r="T3475" s="8">
        <v>0.8</v>
      </c>
      <c r="U3475" s="8">
        <v>13.2</v>
      </c>
      <c r="V3475" s="8">
        <v>0.8</v>
      </c>
      <c r="W3475" s="8">
        <v>0.7</v>
      </c>
      <c r="X3475" s="8">
        <v>138</v>
      </c>
      <c r="Y3475" s="8" t="s">
        <v>15937</v>
      </c>
      <c r="Z3475" s="8" t="s">
        <v>15938</v>
      </c>
    </row>
    <row r="3476" spans="1:26" x14ac:dyDescent="0.2">
      <c r="A3476" s="8">
        <v>3475</v>
      </c>
      <c r="B3476" s="8" t="s">
        <v>15939</v>
      </c>
      <c r="C3476" s="8" t="s">
        <v>15939</v>
      </c>
      <c r="F3476" s="47" t="s">
        <v>56868</v>
      </c>
      <c r="G3476" s="8">
        <v>15</v>
      </c>
      <c r="H3476" s="8" t="s">
        <v>21</v>
      </c>
      <c r="I3476" s="8" t="s">
        <v>22</v>
      </c>
      <c r="J3476" s="8" t="s">
        <v>22</v>
      </c>
      <c r="K3476" s="8" t="s">
        <v>91</v>
      </c>
      <c r="L3476" s="8" t="s">
        <v>13194</v>
      </c>
      <c r="M3476" s="8" t="s">
        <v>13195</v>
      </c>
      <c r="N3476" s="8" t="s">
        <v>15940</v>
      </c>
      <c r="O3476" s="8">
        <f>10+58/60+25.2/3600</f>
        <v>10.973666666666666</v>
      </c>
      <c r="P3476" s="8" t="s">
        <v>15941</v>
      </c>
      <c r="Q3476" s="8">
        <f>+(24+13/60+37/3600)</f>
        <v>24.226944444444442</v>
      </c>
      <c r="R3476" s="8">
        <v>13.1</v>
      </c>
      <c r="S3476" s="8">
        <v>14</v>
      </c>
      <c r="T3476" s="8">
        <v>0.9</v>
      </c>
      <c r="U3476" s="8">
        <v>13.6</v>
      </c>
      <c r="V3476" s="8">
        <v>1.7</v>
      </c>
      <c r="W3476" s="8">
        <v>1.1000000000000001</v>
      </c>
      <c r="X3476" s="8">
        <v>65</v>
      </c>
      <c r="Y3476" s="8" t="s">
        <v>15942</v>
      </c>
      <c r="Z3476" s="8" t="s">
        <v>15943</v>
      </c>
    </row>
    <row r="3477" spans="1:26" x14ac:dyDescent="0.2">
      <c r="A3477" s="8">
        <v>3476</v>
      </c>
      <c r="B3477" s="8" t="s">
        <v>15944</v>
      </c>
      <c r="C3477" s="8" t="s">
        <v>15944</v>
      </c>
      <c r="F3477" s="47"/>
      <c r="G3477" s="8">
        <v>18</v>
      </c>
      <c r="H3477" s="8" t="s">
        <v>21</v>
      </c>
      <c r="I3477" s="8" t="s">
        <v>22</v>
      </c>
      <c r="J3477" s="8" t="s">
        <v>22</v>
      </c>
      <c r="K3477" s="8" t="s">
        <v>183</v>
      </c>
      <c r="L3477" s="8" t="s">
        <v>13194</v>
      </c>
      <c r="M3477" s="8" t="s">
        <v>13195</v>
      </c>
      <c r="N3477" s="8" t="s">
        <v>15945</v>
      </c>
      <c r="O3477" s="8">
        <f>10+58/60+7.6/3600</f>
        <v>10.968777777777778</v>
      </c>
      <c r="P3477" s="8" t="s">
        <v>15946</v>
      </c>
      <c r="Q3477" s="8">
        <f>+(9+16/60+34/3600)</f>
        <v>9.2761111111111116</v>
      </c>
      <c r="R3477" s="8">
        <v>13.8</v>
      </c>
      <c r="S3477" s="8">
        <v>14.8</v>
      </c>
      <c r="T3477" s="8">
        <v>1</v>
      </c>
      <c r="U3477" s="8">
        <v>13.2</v>
      </c>
      <c r="V3477" s="8">
        <v>0.8</v>
      </c>
      <c r="W3477" s="8">
        <v>0.7</v>
      </c>
      <c r="X3477" s="8">
        <v>117</v>
      </c>
      <c r="Y3477" s="8" t="s">
        <v>15331</v>
      </c>
      <c r="Z3477" s="8" t="s">
        <v>15679</v>
      </c>
    </row>
    <row r="3478" spans="1:26" x14ac:dyDescent="0.2">
      <c r="A3478" s="8">
        <v>3477</v>
      </c>
      <c r="B3478" s="8" t="s">
        <v>15947</v>
      </c>
      <c r="C3478" s="8" t="s">
        <v>15947</v>
      </c>
      <c r="F3478" s="47"/>
      <c r="G3478" s="8">
        <v>18</v>
      </c>
      <c r="H3478" s="8" t="s">
        <v>21</v>
      </c>
      <c r="I3478" s="8" t="s">
        <v>22</v>
      </c>
      <c r="J3478" s="8" t="s">
        <v>22</v>
      </c>
      <c r="K3478" s="8" t="s">
        <v>632</v>
      </c>
      <c r="L3478" s="8" t="s">
        <v>13194</v>
      </c>
      <c r="M3478" s="8" t="s">
        <v>13195</v>
      </c>
      <c r="N3478" s="8" t="s">
        <v>15948</v>
      </c>
      <c r="O3478" s="8">
        <f>10+58/60+12.5/3600</f>
        <v>10.970138888888888</v>
      </c>
      <c r="P3478" s="8" t="s">
        <v>15949</v>
      </c>
      <c r="Q3478" s="8">
        <f>+(9+13/60+4/3600)</f>
        <v>9.2177777777777781</v>
      </c>
      <c r="R3478" s="8">
        <v>14.8</v>
      </c>
      <c r="S3478" s="8">
        <v>15.7</v>
      </c>
      <c r="T3478" s="8">
        <v>0.9</v>
      </c>
      <c r="U3478" s="8">
        <v>13</v>
      </c>
      <c r="V3478" s="8">
        <v>0.7</v>
      </c>
      <c r="W3478" s="8">
        <v>0.3</v>
      </c>
      <c r="X3478" s="8">
        <v>72</v>
      </c>
      <c r="Y3478" s="8" t="s">
        <v>13877</v>
      </c>
      <c r="Z3478" s="8" t="s">
        <v>15950</v>
      </c>
    </row>
    <row r="3479" spans="1:26" x14ac:dyDescent="0.2">
      <c r="A3479" s="8">
        <v>3478</v>
      </c>
      <c r="B3479" s="8" t="s">
        <v>15951</v>
      </c>
      <c r="C3479" s="8" t="s">
        <v>15951</v>
      </c>
      <c r="F3479" s="47" t="s">
        <v>56869</v>
      </c>
      <c r="G3479" s="8">
        <v>13</v>
      </c>
      <c r="H3479" s="8" t="s">
        <v>21</v>
      </c>
      <c r="I3479" s="8" t="s">
        <v>22</v>
      </c>
      <c r="J3479" s="8" t="s">
        <v>22</v>
      </c>
      <c r="K3479" s="8" t="s">
        <v>85</v>
      </c>
      <c r="L3479" s="8" t="s">
        <v>12015</v>
      </c>
      <c r="M3479" s="8" t="s">
        <v>12016</v>
      </c>
      <c r="N3479" s="8" t="s">
        <v>15952</v>
      </c>
      <c r="O3479" s="8">
        <f>10+59/60+27.4/3600</f>
        <v>10.990944444444443</v>
      </c>
      <c r="P3479" s="8" t="s">
        <v>15953</v>
      </c>
      <c r="Q3479" s="8">
        <f>+(46+7/60+23/3600)</f>
        <v>46.123055555555553</v>
      </c>
      <c r="R3479" s="8">
        <v>12.9</v>
      </c>
      <c r="S3479" s="8">
        <v>13.6</v>
      </c>
      <c r="T3479" s="8">
        <v>0.7</v>
      </c>
      <c r="U3479" s="8">
        <v>14</v>
      </c>
      <c r="V3479" s="8">
        <v>2.6</v>
      </c>
      <c r="W3479" s="8">
        <v>1.2</v>
      </c>
      <c r="X3479" s="8">
        <v>132</v>
      </c>
      <c r="Y3479" s="8" t="s">
        <v>227</v>
      </c>
      <c r="Z3479" s="8" t="s">
        <v>228</v>
      </c>
    </row>
    <row r="3480" spans="1:26" x14ac:dyDescent="0.2">
      <c r="A3480" s="8">
        <v>3479</v>
      </c>
      <c r="B3480" s="8" t="s">
        <v>15954</v>
      </c>
      <c r="C3480" s="8" t="s">
        <v>15954</v>
      </c>
      <c r="F3480" s="47"/>
      <c r="G3480" s="8">
        <v>19</v>
      </c>
      <c r="H3480" s="8" t="s">
        <v>21</v>
      </c>
      <c r="I3480" s="8" t="s">
        <v>22</v>
      </c>
      <c r="J3480" s="8" t="s">
        <v>22</v>
      </c>
      <c r="K3480" s="8" t="s">
        <v>85</v>
      </c>
      <c r="L3480" s="8" t="s">
        <v>15699</v>
      </c>
      <c r="M3480" s="8" t="s">
        <v>15700</v>
      </c>
      <c r="N3480" s="8" t="s">
        <v>15955</v>
      </c>
      <c r="O3480" s="8">
        <f>10+58/60+55.4/3600</f>
        <v>10.982055555555556</v>
      </c>
      <c r="P3480" s="8" t="s">
        <v>15956</v>
      </c>
      <c r="Q3480" s="8">
        <f>-(14+57/60+40/3600)</f>
        <v>-14.96111111111111</v>
      </c>
      <c r="R3480" s="8">
        <v>13</v>
      </c>
      <c r="S3480" s="8">
        <v>13.8</v>
      </c>
      <c r="T3480" s="8">
        <v>0.8</v>
      </c>
      <c r="U3480" s="8">
        <v>13.8</v>
      </c>
      <c r="V3480" s="8">
        <v>1.8</v>
      </c>
      <c r="W3480" s="8">
        <v>1.3</v>
      </c>
      <c r="X3480" s="8">
        <v>174</v>
      </c>
      <c r="Y3480" s="8" t="s">
        <v>15957</v>
      </c>
      <c r="Z3480" s="8" t="s">
        <v>15958</v>
      </c>
    </row>
    <row r="3481" spans="1:26" x14ac:dyDescent="0.2">
      <c r="A3481" s="8">
        <v>3480</v>
      </c>
      <c r="B3481" s="8" t="s">
        <v>15959</v>
      </c>
      <c r="C3481" s="8" t="s">
        <v>15959</v>
      </c>
      <c r="F3481" s="47"/>
      <c r="G3481" s="8">
        <v>19</v>
      </c>
      <c r="H3481" s="8" t="s">
        <v>21</v>
      </c>
      <c r="I3481" s="8" t="s">
        <v>22</v>
      </c>
      <c r="J3481" s="8" t="s">
        <v>57</v>
      </c>
      <c r="K3481" s="8" t="s">
        <v>183</v>
      </c>
      <c r="L3481" s="8" t="s">
        <v>13194</v>
      </c>
      <c r="M3481" s="8" t="s">
        <v>13195</v>
      </c>
      <c r="N3481" s="8" t="s">
        <v>15945</v>
      </c>
      <c r="O3481" s="8">
        <f>10+58/60+7.6/3600</f>
        <v>10.968777777777778</v>
      </c>
      <c r="P3481" s="8" t="s">
        <v>15946</v>
      </c>
      <c r="Q3481" s="8">
        <f>+(9+16/60+34/3600)</f>
        <v>9.2761111111111116</v>
      </c>
      <c r="R3481" s="8">
        <v>13.8</v>
      </c>
      <c r="S3481" s="8">
        <v>14.8</v>
      </c>
      <c r="T3481" s="8">
        <v>1</v>
      </c>
      <c r="U3481" s="8">
        <v>13.2</v>
      </c>
      <c r="V3481" s="8">
        <v>0.8</v>
      </c>
      <c r="W3481" s="8">
        <v>0.7</v>
      </c>
      <c r="X3481" s="8">
        <v>117</v>
      </c>
      <c r="Y3481" s="8" t="s">
        <v>15331</v>
      </c>
      <c r="Z3481" s="8" t="s">
        <v>15960</v>
      </c>
    </row>
    <row r="3482" spans="1:26" x14ac:dyDescent="0.2">
      <c r="A3482" s="8">
        <v>3481</v>
      </c>
      <c r="B3482" s="8" t="s">
        <v>15961</v>
      </c>
      <c r="C3482" s="8" t="s">
        <v>15961</v>
      </c>
      <c r="F3482" s="47"/>
      <c r="G3482" s="8">
        <v>19</v>
      </c>
      <c r="H3482" s="8" t="s">
        <v>21</v>
      </c>
      <c r="I3482" s="8" t="s">
        <v>22</v>
      </c>
      <c r="J3482" s="8" t="s">
        <v>22</v>
      </c>
      <c r="K3482" s="8" t="s">
        <v>31</v>
      </c>
      <c r="L3482" s="8" t="s">
        <v>15699</v>
      </c>
      <c r="M3482" s="8" t="s">
        <v>15700</v>
      </c>
      <c r="N3482" s="8" t="s">
        <v>15962</v>
      </c>
      <c r="O3482" s="8">
        <f>10+59/60+26.4/3600</f>
        <v>10.990666666666666</v>
      </c>
      <c r="P3482" s="8" t="s">
        <v>15963</v>
      </c>
      <c r="Q3482" s="8">
        <f>-(7+32/60+39/3600)</f>
        <v>-7.5441666666666665</v>
      </c>
      <c r="R3482" s="8">
        <v>13.8</v>
      </c>
      <c r="S3482" s="8">
        <v>14.6</v>
      </c>
      <c r="T3482" s="8">
        <v>0.8</v>
      </c>
      <c r="U3482" s="8">
        <v>13.1</v>
      </c>
      <c r="V3482" s="8">
        <v>0.9</v>
      </c>
      <c r="W3482" s="8">
        <v>0.7</v>
      </c>
      <c r="X3482" s="8">
        <v>136</v>
      </c>
      <c r="Y3482" s="8" t="s">
        <v>15964</v>
      </c>
      <c r="Z3482" s="8" t="s">
        <v>15965</v>
      </c>
    </row>
    <row r="3483" spans="1:26" x14ac:dyDescent="0.2">
      <c r="A3483" s="8">
        <v>3482</v>
      </c>
      <c r="B3483" s="8" t="s">
        <v>15966</v>
      </c>
      <c r="C3483" s="8" t="s">
        <v>15966</v>
      </c>
      <c r="F3483" s="47"/>
      <c r="G3483" s="8">
        <v>16</v>
      </c>
      <c r="H3483" s="8" t="s">
        <v>21</v>
      </c>
      <c r="I3483" s="8" t="s">
        <v>22</v>
      </c>
      <c r="J3483" s="8" t="s">
        <v>22</v>
      </c>
      <c r="K3483" s="8" t="s">
        <v>154</v>
      </c>
      <c r="L3483" s="8" t="s">
        <v>11757</v>
      </c>
      <c r="M3483" s="8" t="s">
        <v>11758</v>
      </c>
      <c r="N3483" s="8" t="s">
        <v>15967</v>
      </c>
      <c r="O3483" s="8">
        <f>10+58/60+34.2/3600</f>
        <v>10.976166666666666</v>
      </c>
      <c r="P3483" s="8" t="s">
        <v>15968</v>
      </c>
      <c r="Q3483" s="8">
        <f>-(46+35/60+3/3600)</f>
        <v>-46.584166666666668</v>
      </c>
      <c r="R3483" s="8">
        <v>12.4</v>
      </c>
      <c r="S3483" s="8">
        <v>13.2</v>
      </c>
      <c r="T3483" s="8">
        <v>0.8</v>
      </c>
      <c r="U3483" s="8">
        <v>13.3</v>
      </c>
      <c r="V3483" s="8">
        <v>1.9</v>
      </c>
      <c r="W3483" s="8">
        <v>1.4</v>
      </c>
      <c r="X3483" s="8">
        <v>14</v>
      </c>
      <c r="Y3483" s="8" t="s">
        <v>3923</v>
      </c>
      <c r="Z3483" s="8" t="s">
        <v>3924</v>
      </c>
    </row>
    <row r="3484" spans="1:26" x14ac:dyDescent="0.2">
      <c r="A3484" s="8">
        <v>3483</v>
      </c>
      <c r="B3484" s="8" t="s">
        <v>15969</v>
      </c>
      <c r="C3484" s="8" t="s">
        <v>15969</v>
      </c>
      <c r="F3484" s="47"/>
      <c r="G3484" s="8">
        <v>16</v>
      </c>
      <c r="H3484" s="8" t="s">
        <v>21</v>
      </c>
      <c r="I3484" s="8" t="s">
        <v>22</v>
      </c>
      <c r="J3484" s="8" t="s">
        <v>22</v>
      </c>
      <c r="K3484" s="8" t="s">
        <v>632</v>
      </c>
      <c r="L3484" s="8" t="s">
        <v>11765</v>
      </c>
      <c r="M3484" s="8" t="s">
        <v>11766</v>
      </c>
      <c r="N3484" s="8" t="s">
        <v>15970</v>
      </c>
      <c r="O3484" s="8">
        <f>10+59/60+0.1/3600</f>
        <v>10.98336111111111</v>
      </c>
      <c r="P3484" s="8" t="s">
        <v>15971</v>
      </c>
      <c r="Q3484" s="8">
        <f>-(28+28/60+40/3600)</f>
        <v>-28.477777777777778</v>
      </c>
      <c r="R3484" s="8">
        <v>12</v>
      </c>
      <c r="S3484" s="8">
        <v>12.9</v>
      </c>
      <c r="T3484" s="8">
        <v>0.9</v>
      </c>
      <c r="U3484" s="8">
        <v>12.8</v>
      </c>
      <c r="V3484" s="8">
        <v>1.8</v>
      </c>
      <c r="W3484" s="8">
        <v>1.2</v>
      </c>
      <c r="X3484" s="8">
        <v>105</v>
      </c>
      <c r="Y3484" s="8" t="s">
        <v>15972</v>
      </c>
      <c r="Z3484" s="8" t="s">
        <v>15973</v>
      </c>
    </row>
    <row r="3485" spans="1:26" x14ac:dyDescent="0.2">
      <c r="A3485" s="8">
        <v>3484</v>
      </c>
      <c r="B3485" s="8" t="s">
        <v>15974</v>
      </c>
      <c r="C3485" s="8" t="s">
        <v>15974</v>
      </c>
      <c r="F3485" s="47"/>
      <c r="G3485" s="8">
        <v>16</v>
      </c>
      <c r="H3485" s="8" t="s">
        <v>21</v>
      </c>
      <c r="I3485" s="8" t="s">
        <v>329</v>
      </c>
      <c r="J3485" s="8" t="s">
        <v>329</v>
      </c>
      <c r="K3485" s="8" t="s">
        <v>329</v>
      </c>
      <c r="L3485" s="8" t="s">
        <v>13395</v>
      </c>
      <c r="M3485" s="8" t="s">
        <v>13396</v>
      </c>
      <c r="N3485" s="8" t="s">
        <v>15975</v>
      </c>
      <c r="O3485" s="8">
        <f>11+3/60+6/3600</f>
        <v>11.051666666666668</v>
      </c>
      <c r="P3485" s="8" t="s">
        <v>15976</v>
      </c>
      <c r="Q3485" s="8">
        <f>+(75+49/60+6/3600)</f>
        <v>75.818333333333328</v>
      </c>
      <c r="R3485" s="8">
        <v>99</v>
      </c>
      <c r="S3485" s="8">
        <v>99</v>
      </c>
      <c r="T3485" s="8">
        <v>99</v>
      </c>
      <c r="U3485" s="8">
        <v>99</v>
      </c>
      <c r="Y3485" s="8" t="s">
        <v>15977</v>
      </c>
      <c r="Z3485" s="8" t="s">
        <v>15978</v>
      </c>
    </row>
    <row r="3486" spans="1:26" x14ac:dyDescent="0.2">
      <c r="A3486" s="8">
        <v>3485</v>
      </c>
      <c r="B3486" s="8" t="s">
        <v>15979</v>
      </c>
      <c r="C3486" s="8" t="s">
        <v>15979</v>
      </c>
      <c r="F3486" s="47" t="s">
        <v>56870</v>
      </c>
      <c r="G3486" s="8">
        <v>13</v>
      </c>
      <c r="H3486" s="8" t="s">
        <v>21</v>
      </c>
      <c r="I3486" s="8" t="s">
        <v>22</v>
      </c>
      <c r="J3486" s="8" t="s">
        <v>22</v>
      </c>
      <c r="K3486" s="8" t="s">
        <v>218</v>
      </c>
      <c r="L3486" s="8" t="s">
        <v>13194</v>
      </c>
      <c r="M3486" s="8" t="s">
        <v>13195</v>
      </c>
      <c r="N3486" s="8" t="s">
        <v>15980</v>
      </c>
      <c r="O3486" s="8">
        <f>11+0/60+2.4/3600</f>
        <v>11.000666666666667</v>
      </c>
      <c r="P3486" s="8" t="s">
        <v>15981</v>
      </c>
      <c r="Q3486" s="8">
        <f>+(14+50/60+28/3600)</f>
        <v>14.841111111111111</v>
      </c>
      <c r="R3486" s="8">
        <v>11.8</v>
      </c>
      <c r="S3486" s="8">
        <v>12.6</v>
      </c>
      <c r="T3486" s="8">
        <v>0.8</v>
      </c>
      <c r="U3486" s="8">
        <v>13.3</v>
      </c>
      <c r="V3486" s="8">
        <v>2.4</v>
      </c>
      <c r="W3486" s="8">
        <v>2.2000000000000002</v>
      </c>
      <c r="X3486" s="8">
        <v>105</v>
      </c>
      <c r="Y3486" s="8" t="s">
        <v>15982</v>
      </c>
      <c r="Z3486" s="8" t="s">
        <v>15983</v>
      </c>
    </row>
    <row r="3487" spans="1:26" x14ac:dyDescent="0.2">
      <c r="A3487" s="8">
        <v>3486</v>
      </c>
      <c r="B3487" s="8" t="s">
        <v>15984</v>
      </c>
      <c r="C3487" s="8" t="s">
        <v>15984</v>
      </c>
      <c r="F3487" s="47" t="s">
        <v>56871</v>
      </c>
      <c r="G3487" s="8">
        <v>6</v>
      </c>
      <c r="H3487" s="8" t="s">
        <v>21</v>
      </c>
      <c r="I3487" s="8" t="s">
        <v>22</v>
      </c>
      <c r="J3487" s="8" t="s">
        <v>22</v>
      </c>
      <c r="K3487" s="8" t="s">
        <v>64</v>
      </c>
      <c r="L3487" s="8" t="s">
        <v>13179</v>
      </c>
      <c r="M3487" s="8" t="s">
        <v>13180</v>
      </c>
      <c r="N3487" s="8" t="s">
        <v>15985</v>
      </c>
      <c r="O3487" s="8">
        <f>11+0/60+24/3600</f>
        <v>11.006666666666666</v>
      </c>
      <c r="P3487" s="8" t="s">
        <v>15986</v>
      </c>
      <c r="Q3487" s="8">
        <f>+(28+58/60+32/3600)</f>
        <v>28.975555555555555</v>
      </c>
      <c r="R3487" s="8">
        <v>10.5</v>
      </c>
      <c r="S3487" s="8">
        <v>11.1</v>
      </c>
      <c r="T3487" s="8">
        <v>0.6</v>
      </c>
      <c r="U3487" s="8">
        <v>14.3</v>
      </c>
      <c r="V3487" s="8">
        <v>7.1</v>
      </c>
      <c r="W3487" s="8">
        <v>5.2</v>
      </c>
      <c r="X3487" s="8">
        <v>80</v>
      </c>
      <c r="Y3487" s="8" t="s">
        <v>15987</v>
      </c>
      <c r="Z3487" s="8" t="s">
        <v>15988</v>
      </c>
    </row>
    <row r="3488" spans="1:26" x14ac:dyDescent="0.2">
      <c r="A3488" s="8">
        <v>3487</v>
      </c>
      <c r="B3488" s="8" t="s">
        <v>15989</v>
      </c>
      <c r="C3488" s="8" t="s">
        <v>15989</v>
      </c>
      <c r="F3488" s="47"/>
      <c r="G3488" s="8">
        <v>19</v>
      </c>
      <c r="H3488" s="8" t="s">
        <v>21</v>
      </c>
      <c r="I3488" s="8" t="s">
        <v>22</v>
      </c>
      <c r="J3488" s="8" t="s">
        <v>22</v>
      </c>
      <c r="K3488" s="8" t="s">
        <v>160</v>
      </c>
      <c r="L3488" s="8" t="s">
        <v>13194</v>
      </c>
      <c r="M3488" s="8" t="s">
        <v>13195</v>
      </c>
      <c r="N3488" s="8" t="s">
        <v>15990</v>
      </c>
      <c r="O3488" s="8">
        <f>11+0/60+46.6/3600</f>
        <v>11.012944444444445</v>
      </c>
      <c r="P3488" s="8" t="s">
        <v>15991</v>
      </c>
      <c r="Q3488" s="8">
        <f>+(17+35/60+15/3600)</f>
        <v>17.587499999999999</v>
      </c>
      <c r="R3488" s="8">
        <v>13.9</v>
      </c>
      <c r="S3488" s="8">
        <v>14.6</v>
      </c>
      <c r="T3488" s="8">
        <v>0.7</v>
      </c>
      <c r="U3488" s="8">
        <v>12.6</v>
      </c>
      <c r="V3488" s="8">
        <v>0.9</v>
      </c>
      <c r="W3488" s="8">
        <v>0.4</v>
      </c>
      <c r="X3488" s="8">
        <v>153</v>
      </c>
      <c r="Y3488" s="8" t="s">
        <v>3161</v>
      </c>
      <c r="Z3488" s="8" t="s">
        <v>3162</v>
      </c>
    </row>
    <row r="3489" spans="1:26" x14ac:dyDescent="0.2">
      <c r="A3489" s="8">
        <v>3488</v>
      </c>
      <c r="B3489" s="8" t="s">
        <v>15992</v>
      </c>
      <c r="C3489" s="8" t="s">
        <v>15992</v>
      </c>
      <c r="F3489" s="47" t="s">
        <v>56872</v>
      </c>
      <c r="G3489" s="8">
        <v>15</v>
      </c>
      <c r="H3489" s="8" t="s">
        <v>21</v>
      </c>
      <c r="I3489" s="8" t="s">
        <v>22</v>
      </c>
      <c r="J3489" s="8" t="s">
        <v>22</v>
      </c>
      <c r="K3489" s="8" t="s">
        <v>64</v>
      </c>
      <c r="L3489" s="8" t="s">
        <v>12015</v>
      </c>
      <c r="M3489" s="8" t="s">
        <v>12016</v>
      </c>
      <c r="N3489" s="8" t="s">
        <v>15993</v>
      </c>
      <c r="O3489" s="8">
        <f>11+1/60+23.6/3600</f>
        <v>11.023222222222223</v>
      </c>
      <c r="P3489" s="8" t="s">
        <v>15994</v>
      </c>
      <c r="Q3489" s="8">
        <f>+(57+40/60+39/3600)</f>
        <v>57.677499999999995</v>
      </c>
      <c r="R3489" s="8">
        <v>12.9</v>
      </c>
      <c r="S3489" s="8">
        <v>13.6</v>
      </c>
      <c r="T3489" s="8">
        <v>0.7</v>
      </c>
      <c r="U3489" s="8">
        <v>13.6</v>
      </c>
      <c r="V3489" s="8">
        <v>1.8</v>
      </c>
      <c r="W3489" s="8">
        <v>1.2</v>
      </c>
      <c r="X3489" s="8">
        <v>175</v>
      </c>
      <c r="Y3489" s="8" t="s">
        <v>15995</v>
      </c>
      <c r="Z3489" s="8" t="s">
        <v>15996</v>
      </c>
    </row>
    <row r="3490" spans="1:26" x14ac:dyDescent="0.2">
      <c r="A3490" s="8">
        <v>3489</v>
      </c>
      <c r="B3490" s="8" t="s">
        <v>15997</v>
      </c>
      <c r="C3490" s="8" t="s">
        <v>15997</v>
      </c>
      <c r="F3490" s="47" t="s">
        <v>56873</v>
      </c>
      <c r="G3490" s="8">
        <v>6</v>
      </c>
      <c r="H3490" s="8" t="s">
        <v>21</v>
      </c>
      <c r="I3490" s="8" t="s">
        <v>22</v>
      </c>
      <c r="J3490" s="8" t="s">
        <v>22</v>
      </c>
      <c r="K3490" s="8" t="s">
        <v>435</v>
      </c>
      <c r="L3490" s="8" t="s">
        <v>13194</v>
      </c>
      <c r="M3490" s="8" t="s">
        <v>13195</v>
      </c>
      <c r="N3490" s="8" t="s">
        <v>15998</v>
      </c>
      <c r="O3490" s="8">
        <f>11+0/60+18.4/3600</f>
        <v>11.005111111111111</v>
      </c>
      <c r="P3490" s="8" t="s">
        <v>15999</v>
      </c>
      <c r="Q3490" s="8">
        <f>+(13+54/60+3/3600)</f>
        <v>13.900833333333333</v>
      </c>
      <c r="R3490" s="8">
        <v>10.3</v>
      </c>
      <c r="S3490" s="8">
        <v>11.1</v>
      </c>
      <c r="T3490" s="8">
        <v>0.8</v>
      </c>
      <c r="U3490" s="8">
        <v>12.3</v>
      </c>
      <c r="V3490" s="8">
        <v>3.6</v>
      </c>
      <c r="W3490" s="8">
        <v>2.2000000000000002</v>
      </c>
      <c r="X3490" s="8">
        <v>70</v>
      </c>
      <c r="Y3490" s="8" t="s">
        <v>16000</v>
      </c>
      <c r="Z3490" s="8" t="s">
        <v>16001</v>
      </c>
    </row>
    <row r="3491" spans="1:26" x14ac:dyDescent="0.2">
      <c r="A3491" s="8">
        <v>3490</v>
      </c>
      <c r="B3491" s="8" t="s">
        <v>16002</v>
      </c>
      <c r="C3491" s="8" t="s">
        <v>16002</v>
      </c>
      <c r="F3491" s="47"/>
      <c r="G3491" s="8">
        <v>19</v>
      </c>
      <c r="H3491" s="8" t="s">
        <v>21</v>
      </c>
      <c r="I3491" s="8" t="s">
        <v>22</v>
      </c>
      <c r="J3491" s="8" t="s">
        <v>22</v>
      </c>
      <c r="K3491" s="8" t="s">
        <v>460</v>
      </c>
      <c r="L3491" s="8" t="s">
        <v>13194</v>
      </c>
      <c r="M3491" s="8" t="s">
        <v>13195</v>
      </c>
      <c r="N3491" s="8" t="s">
        <v>16003</v>
      </c>
      <c r="O3491" s="8">
        <f>10+59/60+54.3/3600</f>
        <v>10.998416666666666</v>
      </c>
      <c r="P3491" s="8" t="s">
        <v>16004</v>
      </c>
      <c r="Q3491" s="8">
        <f>+(9+21/60+44/3600)</f>
        <v>9.362222222222222</v>
      </c>
      <c r="R3491" s="8">
        <v>13.8</v>
      </c>
      <c r="S3491" s="8">
        <v>14.8</v>
      </c>
      <c r="T3491" s="8">
        <v>1</v>
      </c>
      <c r="U3491" s="8">
        <v>12.4</v>
      </c>
      <c r="V3491" s="8">
        <v>0.5</v>
      </c>
      <c r="W3491" s="8">
        <v>0.5</v>
      </c>
      <c r="Y3491" s="8" t="s">
        <v>1511</v>
      </c>
      <c r="Z3491" s="8" t="s">
        <v>1512</v>
      </c>
    </row>
    <row r="3492" spans="1:26" x14ac:dyDescent="0.2">
      <c r="A3492" s="8">
        <v>3491</v>
      </c>
      <c r="B3492" s="8" t="s">
        <v>16005</v>
      </c>
      <c r="C3492" s="8" t="s">
        <v>16005</v>
      </c>
      <c r="F3492" s="47" t="s">
        <v>56874</v>
      </c>
      <c r="G3492" s="8">
        <v>15</v>
      </c>
      <c r="H3492" s="8" t="s">
        <v>21</v>
      </c>
      <c r="I3492" s="8" t="s">
        <v>22</v>
      </c>
      <c r="J3492" s="8" t="s">
        <v>22</v>
      </c>
      <c r="K3492" s="8" t="s">
        <v>58</v>
      </c>
      <c r="L3492" s="8" t="s">
        <v>13194</v>
      </c>
      <c r="M3492" s="8" t="s">
        <v>13195</v>
      </c>
      <c r="N3492" s="8" t="s">
        <v>16006</v>
      </c>
      <c r="O3492" s="8">
        <f>11+0/60+35.4/3600</f>
        <v>11.009833333333333</v>
      </c>
      <c r="P3492" s="8" t="s">
        <v>16007</v>
      </c>
      <c r="Q3492" s="8">
        <f>+(12+9/60+42/3600)</f>
        <v>12.161666666666667</v>
      </c>
      <c r="R3492" s="8">
        <v>13.2</v>
      </c>
      <c r="S3492" s="8">
        <v>14.2</v>
      </c>
      <c r="T3492" s="8">
        <v>1</v>
      </c>
      <c r="U3492" s="8">
        <v>12.9</v>
      </c>
      <c r="V3492" s="8">
        <v>0.9</v>
      </c>
      <c r="W3492" s="8">
        <v>0.9</v>
      </c>
      <c r="Y3492" s="8" t="s">
        <v>16008</v>
      </c>
      <c r="Z3492" s="8" t="s">
        <v>16009</v>
      </c>
    </row>
    <row r="3493" spans="1:26" x14ac:dyDescent="0.2">
      <c r="A3493" s="8">
        <v>3492</v>
      </c>
      <c r="B3493" s="8" t="s">
        <v>16010</v>
      </c>
      <c r="C3493" s="8" t="s">
        <v>16010</v>
      </c>
      <c r="E3493" s="8">
        <v>1</v>
      </c>
      <c r="F3493" s="47"/>
      <c r="G3493" s="8">
        <v>19</v>
      </c>
      <c r="H3493" s="8" t="s">
        <v>21</v>
      </c>
      <c r="I3493" s="8" t="s">
        <v>22</v>
      </c>
      <c r="J3493" s="8" t="s">
        <v>22</v>
      </c>
      <c r="K3493" s="8" t="s">
        <v>50</v>
      </c>
      <c r="L3493" s="8" t="s">
        <v>13194</v>
      </c>
      <c r="M3493" s="8" t="s">
        <v>13195</v>
      </c>
      <c r="N3493" s="8" t="s">
        <v>16011</v>
      </c>
      <c r="O3493" s="8">
        <f>11+0/60+57.3/3600</f>
        <v>11.015916666666667</v>
      </c>
      <c r="P3493" s="8" t="s">
        <v>16012</v>
      </c>
      <c r="Q3493" s="8">
        <f>+(10+30/60+23/3600)</f>
        <v>10.506388888888889</v>
      </c>
      <c r="R3493" s="8">
        <v>13.1</v>
      </c>
      <c r="S3493" s="8">
        <v>14.2</v>
      </c>
      <c r="T3493" s="8">
        <v>1.1000000000000001</v>
      </c>
      <c r="U3493" s="8">
        <v>12.8</v>
      </c>
      <c r="V3493" s="8">
        <v>1.1000000000000001</v>
      </c>
      <c r="W3493" s="8">
        <v>0.7</v>
      </c>
      <c r="X3493" s="8">
        <v>100</v>
      </c>
      <c r="Y3493" s="8" t="s">
        <v>16013</v>
      </c>
      <c r="Z3493" s="8" t="s">
        <v>16014</v>
      </c>
    </row>
    <row r="3494" spans="1:26" x14ac:dyDescent="0.2">
      <c r="A3494" s="8">
        <v>3493</v>
      </c>
      <c r="B3494" s="8" t="s">
        <v>16015</v>
      </c>
      <c r="C3494" s="8" t="s">
        <v>16015</v>
      </c>
      <c r="F3494" s="47"/>
      <c r="G3494" s="8">
        <v>16</v>
      </c>
      <c r="H3494" s="8" t="s">
        <v>21</v>
      </c>
      <c r="I3494" s="8" t="s">
        <v>22</v>
      </c>
      <c r="J3494" s="8" t="s">
        <v>22</v>
      </c>
      <c r="K3494" s="8" t="s">
        <v>64</v>
      </c>
      <c r="L3494" s="8" t="s">
        <v>13179</v>
      </c>
      <c r="M3494" s="8" t="s">
        <v>13180</v>
      </c>
      <c r="N3494" s="8" t="s">
        <v>16016</v>
      </c>
      <c r="O3494" s="8">
        <f>11+1/60+27.8/3600</f>
        <v>11.02438888888889</v>
      </c>
      <c r="P3494" s="8" t="s">
        <v>16017</v>
      </c>
      <c r="Q3494" s="8">
        <f>+(27+43/60+12/3600)</f>
        <v>27.72</v>
      </c>
      <c r="R3494" s="8">
        <v>14.3</v>
      </c>
      <c r="S3494" s="8">
        <v>15</v>
      </c>
      <c r="T3494" s="8">
        <v>0.7</v>
      </c>
      <c r="U3494" s="8">
        <v>12.9</v>
      </c>
      <c r="V3494" s="8">
        <v>1.1000000000000001</v>
      </c>
      <c r="W3494" s="8">
        <v>0.3</v>
      </c>
      <c r="X3494" s="8">
        <v>84</v>
      </c>
      <c r="Y3494" s="8" t="s">
        <v>16018</v>
      </c>
      <c r="Z3494" s="8" t="s">
        <v>16019</v>
      </c>
    </row>
    <row r="3495" spans="1:26" x14ac:dyDescent="0.2">
      <c r="A3495" s="8">
        <v>3494</v>
      </c>
      <c r="B3495" s="8" t="s">
        <v>16020</v>
      </c>
      <c r="C3495" s="8" t="s">
        <v>16020</v>
      </c>
      <c r="F3495" s="47"/>
      <c r="G3495" s="8">
        <v>19</v>
      </c>
      <c r="H3495" s="8" t="s">
        <v>21</v>
      </c>
      <c r="I3495" s="8" t="s">
        <v>72</v>
      </c>
      <c r="J3495" s="8" t="s">
        <v>72</v>
      </c>
      <c r="K3495" s="8" t="s">
        <v>73</v>
      </c>
      <c r="L3495" s="8" t="s">
        <v>13194</v>
      </c>
      <c r="M3495" s="8" t="s">
        <v>13195</v>
      </c>
      <c r="N3495" s="8" t="s">
        <v>16021</v>
      </c>
      <c r="O3495" s="8">
        <f>11+1/60+10.9/3600</f>
        <v>11.019694444444445</v>
      </c>
      <c r="P3495" s="8" t="s">
        <v>16022</v>
      </c>
      <c r="Q3495" s="8">
        <f>+(3+46/60+28/3600)</f>
        <v>3.7744444444444443</v>
      </c>
      <c r="R3495" s="8">
        <v>99</v>
      </c>
      <c r="S3495" s="8">
        <v>99</v>
      </c>
      <c r="T3495" s="8">
        <v>99</v>
      </c>
      <c r="U3495" s="8">
        <v>99</v>
      </c>
      <c r="Y3495" s="8" t="s">
        <v>16023</v>
      </c>
      <c r="Z3495" s="8" t="s">
        <v>16024</v>
      </c>
    </row>
    <row r="3496" spans="1:26" x14ac:dyDescent="0.2">
      <c r="A3496" s="8">
        <v>3495</v>
      </c>
      <c r="B3496" s="8" t="s">
        <v>16025</v>
      </c>
      <c r="C3496" s="8" t="s">
        <v>16025</v>
      </c>
      <c r="F3496" s="47" t="s">
        <v>56875</v>
      </c>
      <c r="G3496" s="8">
        <v>15</v>
      </c>
      <c r="H3496" s="8" t="s">
        <v>21</v>
      </c>
      <c r="I3496" s="8" t="s">
        <v>22</v>
      </c>
      <c r="J3496" s="8" t="s">
        <v>22</v>
      </c>
      <c r="K3496" s="8" t="s">
        <v>579</v>
      </c>
      <c r="L3496" s="8" t="s">
        <v>13194</v>
      </c>
      <c r="M3496" s="8" t="s">
        <v>13195</v>
      </c>
      <c r="N3496" s="8" t="s">
        <v>16026</v>
      </c>
      <c r="O3496" s="8">
        <f>11+1/60+15.8/3600</f>
        <v>11.021055555555556</v>
      </c>
      <c r="P3496" s="8" t="s">
        <v>16027</v>
      </c>
      <c r="Q3496" s="8">
        <f>+(3+37/60+37/3600)</f>
        <v>3.6269444444444443</v>
      </c>
      <c r="R3496" s="8">
        <v>11.8</v>
      </c>
      <c r="S3496" s="8">
        <v>12.7</v>
      </c>
      <c r="T3496" s="8">
        <v>0.9</v>
      </c>
      <c r="U3496" s="8">
        <v>13.6</v>
      </c>
      <c r="V3496" s="8">
        <v>4.9000000000000004</v>
      </c>
      <c r="W3496" s="8">
        <v>1.1000000000000001</v>
      </c>
      <c r="X3496" s="8">
        <v>20</v>
      </c>
      <c r="Y3496" s="8" t="s">
        <v>16028</v>
      </c>
      <c r="Z3496" s="8" t="s">
        <v>13248</v>
      </c>
    </row>
    <row r="3497" spans="1:26" x14ac:dyDescent="0.2">
      <c r="A3497" s="8">
        <v>3496</v>
      </c>
      <c r="B3497" s="8" t="s">
        <v>16029</v>
      </c>
      <c r="C3497" s="8" t="s">
        <v>16029</v>
      </c>
      <c r="F3497" s="47"/>
      <c r="G3497" s="8">
        <v>14</v>
      </c>
      <c r="H3497" s="8" t="s">
        <v>21</v>
      </c>
      <c r="I3497" s="8" t="s">
        <v>557</v>
      </c>
      <c r="J3497" s="8" t="s">
        <v>557</v>
      </c>
      <c r="K3497" s="8" t="s">
        <v>3647</v>
      </c>
      <c r="L3497" s="8" t="s">
        <v>10135</v>
      </c>
      <c r="M3497" s="8" t="s">
        <v>10136</v>
      </c>
      <c r="N3497" s="8" t="s">
        <v>16030</v>
      </c>
      <c r="O3497" s="8">
        <f>10+59/60+36/3600</f>
        <v>10.993333333333332</v>
      </c>
      <c r="P3497" s="8" t="s">
        <v>16031</v>
      </c>
      <c r="Q3497" s="8">
        <f>-(60+20/60+12/3600)</f>
        <v>-60.336666666666666</v>
      </c>
      <c r="R3497" s="8">
        <v>8.1999999999999993</v>
      </c>
      <c r="S3497" s="8">
        <v>99</v>
      </c>
      <c r="T3497" s="8">
        <v>99</v>
      </c>
      <c r="U3497" s="8">
        <v>99</v>
      </c>
      <c r="V3497" s="8">
        <v>7</v>
      </c>
      <c r="Y3497" s="8" t="s">
        <v>16032</v>
      </c>
      <c r="Z3497" s="8" t="s">
        <v>16033</v>
      </c>
    </row>
    <row r="3498" spans="1:26" x14ac:dyDescent="0.2">
      <c r="A3498" s="8">
        <v>3497</v>
      </c>
      <c r="B3498" s="8" t="s">
        <v>16034</v>
      </c>
      <c r="C3498" s="8" t="s">
        <v>16034</v>
      </c>
      <c r="F3498" s="47" t="s">
        <v>56876</v>
      </c>
      <c r="G3498" s="8">
        <v>15</v>
      </c>
      <c r="H3498" s="8" t="s">
        <v>21</v>
      </c>
      <c r="I3498" s="8" t="s">
        <v>22</v>
      </c>
      <c r="J3498" s="8" t="s">
        <v>22</v>
      </c>
      <c r="K3498" s="8" t="s">
        <v>37</v>
      </c>
      <c r="L3498" s="8" t="s">
        <v>15699</v>
      </c>
      <c r="M3498" s="8" t="s">
        <v>15700</v>
      </c>
      <c r="N3498" s="8" t="s">
        <v>16035</v>
      </c>
      <c r="O3498" s="8">
        <f>11+7/60+18.1/3600</f>
        <v>11.121694444444445</v>
      </c>
      <c r="P3498" s="8" t="s">
        <v>16036</v>
      </c>
      <c r="Q3498" s="8">
        <f>-(19+28/60+17/3600)</f>
        <v>-19.471388888888889</v>
      </c>
      <c r="R3498" s="8">
        <v>11.9</v>
      </c>
      <c r="S3498" s="8">
        <v>12.9</v>
      </c>
      <c r="T3498" s="8">
        <v>1</v>
      </c>
      <c r="U3498" s="8">
        <v>13.2</v>
      </c>
      <c r="V3498" s="8">
        <v>2.6</v>
      </c>
      <c r="W3498" s="8">
        <v>1.5</v>
      </c>
      <c r="X3498" s="8">
        <v>59</v>
      </c>
      <c r="Y3498" s="8" t="s">
        <v>16037</v>
      </c>
      <c r="Z3498" s="8" t="s">
        <v>16038</v>
      </c>
    </row>
    <row r="3499" spans="1:26" x14ac:dyDescent="0.2">
      <c r="A3499" s="8">
        <v>3498</v>
      </c>
      <c r="B3499" s="8" t="s">
        <v>16039</v>
      </c>
      <c r="C3499" s="8" t="s">
        <v>16039</v>
      </c>
      <c r="F3499" s="47" t="s">
        <v>56877</v>
      </c>
      <c r="G3499" s="8">
        <v>15</v>
      </c>
      <c r="H3499" s="8" t="s">
        <v>21</v>
      </c>
      <c r="I3499" s="8" t="s">
        <v>329</v>
      </c>
      <c r="J3499" s="8" t="s">
        <v>329</v>
      </c>
      <c r="K3499" s="8" t="s">
        <v>329</v>
      </c>
      <c r="L3499" s="8" t="s">
        <v>13194</v>
      </c>
      <c r="M3499" s="8" t="s">
        <v>13195</v>
      </c>
      <c r="N3499" s="8" t="s">
        <v>16040</v>
      </c>
      <c r="O3499" s="8">
        <f>11+1/60+55/3600</f>
        <v>11.031944444444445</v>
      </c>
      <c r="P3499" s="8" t="s">
        <v>16041</v>
      </c>
      <c r="Q3499" s="8">
        <f>+(14+22/60+38/3600)</f>
        <v>14.377222222222223</v>
      </c>
      <c r="R3499" s="8">
        <v>99</v>
      </c>
      <c r="S3499" s="8">
        <v>99</v>
      </c>
      <c r="T3499" s="8">
        <v>99</v>
      </c>
      <c r="U3499" s="8">
        <v>99</v>
      </c>
      <c r="Y3499" s="8" t="s">
        <v>16042</v>
      </c>
      <c r="Z3499" s="8" t="s">
        <v>16043</v>
      </c>
    </row>
    <row r="3500" spans="1:26" x14ac:dyDescent="0.2">
      <c r="A3500" s="8">
        <v>3499</v>
      </c>
      <c r="B3500" s="8" t="s">
        <v>16044</v>
      </c>
      <c r="C3500" s="8" t="s">
        <v>16044</v>
      </c>
      <c r="F3500" s="47" t="s">
        <v>56878</v>
      </c>
      <c r="G3500" s="8">
        <v>15</v>
      </c>
      <c r="H3500" s="8" t="s">
        <v>21</v>
      </c>
      <c r="I3500" s="8" t="s">
        <v>22</v>
      </c>
      <c r="J3500" s="8" t="s">
        <v>22</v>
      </c>
      <c r="K3500" s="8" t="s">
        <v>632</v>
      </c>
      <c r="L3500" s="8" t="s">
        <v>12015</v>
      </c>
      <c r="M3500" s="8" t="s">
        <v>12016</v>
      </c>
      <c r="N3500" s="8" t="s">
        <v>16045</v>
      </c>
      <c r="O3500" s="8">
        <f>11+3/60+10.9/3600</f>
        <v>11.053027777777778</v>
      </c>
      <c r="P3500" s="8" t="s">
        <v>16046</v>
      </c>
      <c r="Q3500" s="8">
        <f>+(56+13/60+20/3600)</f>
        <v>56.222222222222221</v>
      </c>
      <c r="R3500" s="8">
        <v>13.6</v>
      </c>
      <c r="S3500" s="8">
        <v>14.5</v>
      </c>
      <c r="T3500" s="8">
        <v>0.9</v>
      </c>
      <c r="U3500" s="8">
        <v>12.9</v>
      </c>
      <c r="V3500" s="8">
        <v>0.9</v>
      </c>
      <c r="W3500" s="8">
        <v>0.7</v>
      </c>
      <c r="X3500" s="8">
        <v>6</v>
      </c>
      <c r="Y3500" s="8" t="s">
        <v>1948</v>
      </c>
      <c r="Z3500" s="8" t="s">
        <v>1949</v>
      </c>
    </row>
    <row r="3501" spans="1:26" x14ac:dyDescent="0.2">
      <c r="A3501" s="8">
        <v>3500</v>
      </c>
      <c r="B3501" s="8" t="s">
        <v>16047</v>
      </c>
      <c r="C3501" s="8" t="s">
        <v>16047</v>
      </c>
      <c r="F3501" s="47" t="s">
        <v>56879</v>
      </c>
      <c r="G3501" s="8">
        <v>15</v>
      </c>
      <c r="H3501" s="8" t="s">
        <v>21</v>
      </c>
      <c r="I3501" s="8" t="s">
        <v>22</v>
      </c>
      <c r="J3501" s="8" t="s">
        <v>22</v>
      </c>
      <c r="K3501" s="8" t="s">
        <v>31</v>
      </c>
      <c r="L3501" s="8" t="s">
        <v>13395</v>
      </c>
      <c r="M3501" s="8" t="s">
        <v>13396</v>
      </c>
      <c r="N3501" s="8" t="s">
        <v>16048</v>
      </c>
      <c r="O3501" s="8">
        <f>11+1/60+51.3/3600</f>
        <v>11.030916666666668</v>
      </c>
      <c r="P3501" s="8" t="s">
        <v>16049</v>
      </c>
      <c r="Q3501" s="8">
        <f>+(75+12/60+4/3600)</f>
        <v>75.201111111111118</v>
      </c>
      <c r="R3501" s="8">
        <v>13.5</v>
      </c>
      <c r="S3501" s="8">
        <v>14.3</v>
      </c>
      <c r="T3501" s="8">
        <v>0.8</v>
      </c>
      <c r="U3501" s="8">
        <v>13.4</v>
      </c>
      <c r="V3501" s="8">
        <v>1.3</v>
      </c>
      <c r="W3501" s="8">
        <v>0.6</v>
      </c>
      <c r="X3501" s="8">
        <v>54</v>
      </c>
      <c r="Y3501" s="8" t="s">
        <v>16050</v>
      </c>
      <c r="Z3501" s="8" t="s">
        <v>16051</v>
      </c>
    </row>
    <row r="3502" spans="1:26" x14ac:dyDescent="0.2">
      <c r="A3502" s="8">
        <v>3501</v>
      </c>
      <c r="B3502" s="8" t="s">
        <v>16052</v>
      </c>
      <c r="C3502" s="8" t="s">
        <v>16052</v>
      </c>
      <c r="F3502" s="47"/>
      <c r="G3502" s="8">
        <v>19</v>
      </c>
      <c r="H3502" s="8" t="s">
        <v>21</v>
      </c>
      <c r="I3502" s="8" t="s">
        <v>22</v>
      </c>
      <c r="J3502" s="8" t="s">
        <v>22</v>
      </c>
      <c r="K3502" s="8" t="s">
        <v>160</v>
      </c>
      <c r="L3502" s="8" t="s">
        <v>13194</v>
      </c>
      <c r="M3502" s="8" t="s">
        <v>13195</v>
      </c>
      <c r="N3502" s="8" t="s">
        <v>16053</v>
      </c>
      <c r="O3502" s="8">
        <f>11+2/60+47.3/3600</f>
        <v>11.046472222222222</v>
      </c>
      <c r="P3502" s="8" t="s">
        <v>16054</v>
      </c>
      <c r="Q3502" s="8">
        <f>+(17+59/60+23/3600)</f>
        <v>17.989722222222223</v>
      </c>
      <c r="R3502" s="8">
        <v>12.9</v>
      </c>
      <c r="S3502" s="8">
        <v>13.6</v>
      </c>
      <c r="T3502" s="8">
        <v>0.7</v>
      </c>
      <c r="U3502" s="8">
        <v>13.4</v>
      </c>
      <c r="V3502" s="8">
        <v>3.9</v>
      </c>
      <c r="W3502" s="8">
        <v>0.5</v>
      </c>
      <c r="X3502" s="8">
        <v>27</v>
      </c>
      <c r="Y3502" s="8" t="s">
        <v>16055</v>
      </c>
      <c r="Z3502" s="8" t="s">
        <v>16056</v>
      </c>
    </row>
    <row r="3503" spans="1:26" x14ac:dyDescent="0.2">
      <c r="A3503" s="8">
        <v>3502</v>
      </c>
      <c r="B3503" s="8" t="s">
        <v>16057</v>
      </c>
      <c r="C3503" s="8" t="s">
        <v>16057</v>
      </c>
      <c r="F3503" s="47"/>
      <c r="G3503" s="8">
        <v>19</v>
      </c>
      <c r="H3503" s="8" t="s">
        <v>21</v>
      </c>
      <c r="I3503" s="8" t="s">
        <v>22</v>
      </c>
      <c r="J3503" s="8" t="s">
        <v>57</v>
      </c>
      <c r="K3503" s="8" t="s">
        <v>85</v>
      </c>
      <c r="L3503" s="8" t="s">
        <v>15699</v>
      </c>
      <c r="M3503" s="8" t="s">
        <v>15700</v>
      </c>
      <c r="N3503" s="8" t="s">
        <v>15955</v>
      </c>
      <c r="O3503" s="8">
        <f>10+58/60+55.4/3600</f>
        <v>10.982055555555556</v>
      </c>
      <c r="P3503" s="8" t="s">
        <v>15956</v>
      </c>
      <c r="Q3503" s="8">
        <f>-(14+57/60+40/3600)</f>
        <v>-14.96111111111111</v>
      </c>
      <c r="R3503" s="8">
        <v>13</v>
      </c>
      <c r="S3503" s="8">
        <v>13.8</v>
      </c>
      <c r="T3503" s="8">
        <v>0.8</v>
      </c>
      <c r="U3503" s="8">
        <v>13.8</v>
      </c>
      <c r="V3503" s="8">
        <v>1.8</v>
      </c>
      <c r="W3503" s="8">
        <v>1.3</v>
      </c>
      <c r="X3503" s="8">
        <v>174</v>
      </c>
      <c r="Y3503" s="8" t="s">
        <v>16058</v>
      </c>
      <c r="Z3503" s="8" t="s">
        <v>16059</v>
      </c>
    </row>
    <row r="3504" spans="1:26" x14ac:dyDescent="0.2">
      <c r="A3504" s="8">
        <v>3503</v>
      </c>
      <c r="B3504" s="8" t="s">
        <v>16060</v>
      </c>
      <c r="C3504" s="8" t="s">
        <v>16060</v>
      </c>
      <c r="F3504" s="47"/>
      <c r="G3504" s="8">
        <v>5</v>
      </c>
      <c r="H3504" s="8" t="s">
        <v>21</v>
      </c>
      <c r="I3504" s="8" t="s">
        <v>1283</v>
      </c>
      <c r="J3504" s="8" t="s">
        <v>1283</v>
      </c>
      <c r="K3504" s="8" t="s">
        <v>1751</v>
      </c>
      <c r="L3504" s="8" t="s">
        <v>10135</v>
      </c>
      <c r="M3504" s="8" t="s">
        <v>10136</v>
      </c>
      <c r="N3504" s="8" t="s">
        <v>16061</v>
      </c>
      <c r="O3504" s="8">
        <f>11+1/60+17.2/3600</f>
        <v>11.021444444444445</v>
      </c>
      <c r="P3504" s="8" t="s">
        <v>16062</v>
      </c>
      <c r="Q3504" s="8">
        <f>-(59+50/60+50/3600)</f>
        <v>-59.847222222222221</v>
      </c>
      <c r="R3504" s="8">
        <v>99</v>
      </c>
      <c r="S3504" s="8">
        <v>99</v>
      </c>
      <c r="T3504" s="8">
        <v>99</v>
      </c>
      <c r="U3504" s="8">
        <v>99</v>
      </c>
      <c r="V3504" s="8">
        <v>3</v>
      </c>
      <c r="W3504" s="8">
        <v>3</v>
      </c>
      <c r="Y3504" s="8" t="s">
        <v>16063</v>
      </c>
      <c r="Z3504" s="8" t="s">
        <v>16064</v>
      </c>
    </row>
    <row r="3505" spans="1:26" x14ac:dyDescent="0.2">
      <c r="A3505" s="8">
        <v>3504</v>
      </c>
      <c r="B3505" s="8" t="s">
        <v>16065</v>
      </c>
      <c r="C3505" s="8" t="s">
        <v>16065</v>
      </c>
      <c r="F3505" s="47" t="s">
        <v>56880</v>
      </c>
      <c r="G3505" s="8">
        <v>6</v>
      </c>
      <c r="H3505" s="8" t="s">
        <v>21</v>
      </c>
      <c r="I3505" s="8" t="s">
        <v>22</v>
      </c>
      <c r="J3505" s="8" t="s">
        <v>22</v>
      </c>
      <c r="K3505" s="8" t="s">
        <v>406</v>
      </c>
      <c r="L3505" s="8" t="s">
        <v>13179</v>
      </c>
      <c r="M3505" s="8" t="s">
        <v>13180</v>
      </c>
      <c r="N3505" s="8" t="s">
        <v>16066</v>
      </c>
      <c r="O3505" s="8">
        <f>11+3/60+11.1/3600</f>
        <v>11.053083333333333</v>
      </c>
      <c r="P3505" s="8" t="s">
        <v>16067</v>
      </c>
      <c r="Q3505" s="8">
        <f>+(27+58/60+23/3600)</f>
        <v>27.973055555555554</v>
      </c>
      <c r="R3505" s="8">
        <v>11.1</v>
      </c>
      <c r="S3505" s="8">
        <v>11.8</v>
      </c>
      <c r="T3505" s="8">
        <v>0.7</v>
      </c>
      <c r="U3505" s="8">
        <v>12.8</v>
      </c>
      <c r="V3505" s="8">
        <v>2.7</v>
      </c>
      <c r="W3505" s="8">
        <v>2.1</v>
      </c>
      <c r="X3505" s="8">
        <v>159</v>
      </c>
      <c r="Y3505" s="8" t="s">
        <v>16068</v>
      </c>
      <c r="Z3505" s="8" t="s">
        <v>16069</v>
      </c>
    </row>
    <row r="3506" spans="1:26" x14ac:dyDescent="0.2">
      <c r="A3506" s="8">
        <v>3505</v>
      </c>
      <c r="B3506" s="8" t="s">
        <v>16070</v>
      </c>
      <c r="C3506" s="8" t="s">
        <v>16070</v>
      </c>
      <c r="F3506" s="47"/>
      <c r="G3506" s="8">
        <v>16</v>
      </c>
      <c r="H3506" s="8" t="s">
        <v>21</v>
      </c>
      <c r="I3506" s="8" t="s">
        <v>22</v>
      </c>
      <c r="J3506" s="8" t="s">
        <v>57</v>
      </c>
      <c r="K3506" s="8" t="s">
        <v>23</v>
      </c>
      <c r="L3506" s="8" t="s">
        <v>15699</v>
      </c>
      <c r="M3506" s="8" t="s">
        <v>15700</v>
      </c>
      <c r="N3506" s="8" t="s">
        <v>16071</v>
      </c>
      <c r="O3506" s="8">
        <f>11+2/60+59.7/3600</f>
        <v>11.049916666666666</v>
      </c>
      <c r="P3506" s="8" t="s">
        <v>16072</v>
      </c>
      <c r="Q3506" s="8">
        <f>-(16+17/60+19/3600)</f>
        <v>-16.288611111111113</v>
      </c>
      <c r="R3506" s="8">
        <v>12.4</v>
      </c>
      <c r="S3506" s="8">
        <v>13.2</v>
      </c>
      <c r="T3506" s="8">
        <v>0.8</v>
      </c>
      <c r="U3506" s="8">
        <v>12.1</v>
      </c>
      <c r="V3506" s="8">
        <v>1.1000000000000001</v>
      </c>
      <c r="W3506" s="8">
        <v>0.9</v>
      </c>
      <c r="X3506" s="8">
        <v>15</v>
      </c>
      <c r="Y3506" s="8" t="s">
        <v>16073</v>
      </c>
      <c r="Z3506" s="8" t="s">
        <v>16074</v>
      </c>
    </row>
    <row r="3507" spans="1:26" x14ac:dyDescent="0.2">
      <c r="A3507" s="8">
        <v>3506</v>
      </c>
      <c r="B3507" s="8" t="s">
        <v>16075</v>
      </c>
      <c r="C3507" s="8" t="s">
        <v>16075</v>
      </c>
      <c r="F3507" s="47" t="s">
        <v>56881</v>
      </c>
      <c r="G3507" s="8">
        <v>13</v>
      </c>
      <c r="H3507" s="8" t="s">
        <v>21</v>
      </c>
      <c r="I3507" s="8" t="s">
        <v>22</v>
      </c>
      <c r="J3507" s="8" t="s">
        <v>22</v>
      </c>
      <c r="K3507" s="8" t="s">
        <v>160</v>
      </c>
      <c r="L3507" s="8" t="s">
        <v>13194</v>
      </c>
      <c r="M3507" s="8" t="s">
        <v>13195</v>
      </c>
      <c r="N3507" s="8" t="s">
        <v>16076</v>
      </c>
      <c r="O3507" s="8">
        <f>11+3/60+12.8/3600</f>
        <v>11.053555555555556</v>
      </c>
      <c r="P3507" s="8" t="s">
        <v>16077</v>
      </c>
      <c r="Q3507" s="8">
        <f>+(11+4/60+37/3600)</f>
        <v>11.076944444444445</v>
      </c>
      <c r="R3507" s="8">
        <v>12.5</v>
      </c>
      <c r="S3507" s="8">
        <v>13.2</v>
      </c>
      <c r="T3507" s="8">
        <v>0.7</v>
      </c>
      <c r="U3507" s="8">
        <v>12.6</v>
      </c>
      <c r="V3507" s="8">
        <v>1.1000000000000001</v>
      </c>
      <c r="W3507" s="8">
        <v>1</v>
      </c>
      <c r="X3507" s="8">
        <v>45</v>
      </c>
      <c r="Y3507" s="8" t="s">
        <v>16078</v>
      </c>
      <c r="Z3507" s="8" t="s">
        <v>16079</v>
      </c>
    </row>
    <row r="3508" spans="1:26" x14ac:dyDescent="0.2">
      <c r="A3508" s="8">
        <v>3507</v>
      </c>
      <c r="B3508" s="8" t="s">
        <v>16080</v>
      </c>
      <c r="C3508" s="8" t="s">
        <v>16080</v>
      </c>
      <c r="F3508" s="47" t="s">
        <v>56882</v>
      </c>
      <c r="G3508" s="8">
        <v>6.5</v>
      </c>
      <c r="H3508" s="8" t="s">
        <v>21</v>
      </c>
      <c r="I3508" s="8" t="s">
        <v>22</v>
      </c>
      <c r="J3508" s="8" t="s">
        <v>22</v>
      </c>
      <c r="K3508" s="8" t="s">
        <v>218</v>
      </c>
      <c r="L3508" s="8" t="s">
        <v>13194</v>
      </c>
      <c r="M3508" s="8" t="s">
        <v>13195</v>
      </c>
      <c r="N3508" s="8" t="s">
        <v>16081</v>
      </c>
      <c r="O3508" s="8">
        <f>11+3/60+25.5/3600</f>
        <v>11.057083333333335</v>
      </c>
      <c r="P3508" s="8" t="s">
        <v>16082</v>
      </c>
      <c r="Q3508" s="8">
        <f>+(18+8/60+5/3600)</f>
        <v>18.134722222222223</v>
      </c>
      <c r="R3508" s="8">
        <v>11.9</v>
      </c>
      <c r="S3508" s="8">
        <v>12.7</v>
      </c>
      <c r="T3508" s="8">
        <v>0.8</v>
      </c>
      <c r="U3508" s="8">
        <v>14.2</v>
      </c>
      <c r="V3508" s="8">
        <v>3.4</v>
      </c>
      <c r="W3508" s="8">
        <v>2.9</v>
      </c>
      <c r="X3508" s="8">
        <v>110</v>
      </c>
      <c r="Y3508" s="8" t="s">
        <v>16083</v>
      </c>
      <c r="Z3508" s="8" t="s">
        <v>16084</v>
      </c>
    </row>
    <row r="3509" spans="1:26" x14ac:dyDescent="0.2">
      <c r="A3509" s="8">
        <v>3508</v>
      </c>
      <c r="B3509" s="8" t="s">
        <v>16085</v>
      </c>
      <c r="C3509" s="8" t="s">
        <v>16085</v>
      </c>
      <c r="F3509" s="47" t="s">
        <v>56883</v>
      </c>
      <c r="G3509" s="8">
        <v>15</v>
      </c>
      <c r="H3509" s="8" t="s">
        <v>21</v>
      </c>
      <c r="I3509" s="8" t="s">
        <v>22</v>
      </c>
      <c r="J3509" s="8" t="s">
        <v>22</v>
      </c>
      <c r="K3509" s="8" t="s">
        <v>23</v>
      </c>
      <c r="L3509" s="8" t="s">
        <v>15699</v>
      </c>
      <c r="M3509" s="8" t="s">
        <v>15700</v>
      </c>
      <c r="N3509" s="8" t="s">
        <v>16071</v>
      </c>
      <c r="O3509" s="8">
        <f>11+2/60+59.7/3600</f>
        <v>11.049916666666666</v>
      </c>
      <c r="P3509" s="8" t="s">
        <v>16072</v>
      </c>
      <c r="Q3509" s="8">
        <f>-(16+17/60+19/3600)</f>
        <v>-16.288611111111113</v>
      </c>
      <c r="R3509" s="8">
        <v>12.4</v>
      </c>
      <c r="S3509" s="8">
        <v>13.2</v>
      </c>
      <c r="T3509" s="8">
        <v>0.8</v>
      </c>
      <c r="U3509" s="8">
        <v>12.1</v>
      </c>
      <c r="V3509" s="8">
        <v>1.1000000000000001</v>
      </c>
      <c r="W3509" s="8">
        <v>0.9</v>
      </c>
      <c r="X3509" s="8">
        <v>15</v>
      </c>
      <c r="Y3509" s="8" t="s">
        <v>16073</v>
      </c>
      <c r="Z3509" s="8" t="s">
        <v>16086</v>
      </c>
    </row>
    <row r="3510" spans="1:26" x14ac:dyDescent="0.2">
      <c r="A3510" s="8">
        <v>3509</v>
      </c>
      <c r="B3510" s="8" t="s">
        <v>16087</v>
      </c>
      <c r="C3510" s="8" t="s">
        <v>16087</v>
      </c>
      <c r="F3510" s="47" t="s">
        <v>56884</v>
      </c>
      <c r="G3510" s="8">
        <v>15</v>
      </c>
      <c r="H3510" s="8" t="s">
        <v>21</v>
      </c>
      <c r="I3510" s="8" t="s">
        <v>22</v>
      </c>
      <c r="J3510" s="8" t="s">
        <v>22</v>
      </c>
      <c r="K3510" s="8" t="s">
        <v>85</v>
      </c>
      <c r="L3510" s="8" t="s">
        <v>13194</v>
      </c>
      <c r="M3510" s="8" t="s">
        <v>13195</v>
      </c>
      <c r="N3510" s="8" t="s">
        <v>16088</v>
      </c>
      <c r="O3510" s="8">
        <f>11+4/60+24.4/3600</f>
        <v>11.073444444444444</v>
      </c>
      <c r="P3510" s="8" t="s">
        <v>16089</v>
      </c>
      <c r="Q3510" s="8">
        <f>+(4+49/60+42/3600)</f>
        <v>4.8283333333333331</v>
      </c>
      <c r="R3510" s="8">
        <v>12.7</v>
      </c>
      <c r="S3510" s="8">
        <v>13.5</v>
      </c>
      <c r="T3510" s="8">
        <v>0.8</v>
      </c>
      <c r="U3510" s="8">
        <v>13.4</v>
      </c>
      <c r="V3510" s="8">
        <v>2.1</v>
      </c>
      <c r="W3510" s="8">
        <v>1</v>
      </c>
      <c r="X3510" s="8">
        <v>40</v>
      </c>
      <c r="Y3510" s="8" t="s">
        <v>16090</v>
      </c>
      <c r="Z3510" s="8" t="s">
        <v>16091</v>
      </c>
    </row>
    <row r="3511" spans="1:26" x14ac:dyDescent="0.2">
      <c r="A3511" s="8">
        <v>3510</v>
      </c>
      <c r="B3511" s="8" t="s">
        <v>16092</v>
      </c>
      <c r="C3511" s="8" t="s">
        <v>16092</v>
      </c>
      <c r="F3511" s="47" t="s">
        <v>56885</v>
      </c>
      <c r="G3511" s="8">
        <v>13</v>
      </c>
      <c r="H3511" s="8" t="s">
        <v>21</v>
      </c>
      <c r="I3511" s="8" t="s">
        <v>22</v>
      </c>
      <c r="J3511" s="8" t="s">
        <v>22</v>
      </c>
      <c r="K3511" s="8" t="s">
        <v>323</v>
      </c>
      <c r="L3511" s="8" t="s">
        <v>13179</v>
      </c>
      <c r="M3511" s="8" t="s">
        <v>13180</v>
      </c>
      <c r="N3511" s="8" t="s">
        <v>16093</v>
      </c>
      <c r="O3511" s="8">
        <f>11+3/60+43.7/3600</f>
        <v>11.062138888888889</v>
      </c>
      <c r="P3511" s="8" t="s">
        <v>16094</v>
      </c>
      <c r="Q3511" s="8">
        <f>+(28+53/60+5/3600)</f>
        <v>28.884722222222223</v>
      </c>
      <c r="R3511" s="8">
        <v>12.1</v>
      </c>
      <c r="S3511" s="8">
        <v>12.7</v>
      </c>
      <c r="T3511" s="8">
        <v>0.6</v>
      </c>
      <c r="U3511" s="8">
        <v>13.2</v>
      </c>
      <c r="V3511" s="8">
        <v>4.0999999999999996</v>
      </c>
      <c r="W3511" s="8">
        <v>0.8</v>
      </c>
      <c r="X3511" s="8">
        <v>163</v>
      </c>
      <c r="Y3511" s="8" t="s">
        <v>16095</v>
      </c>
      <c r="Z3511" s="8" t="s">
        <v>16096</v>
      </c>
    </row>
    <row r="3512" spans="1:26" x14ac:dyDescent="0.2">
      <c r="A3512" s="8">
        <v>3511</v>
      </c>
      <c r="B3512" s="8" t="s">
        <v>16097</v>
      </c>
      <c r="C3512" s="8" t="s">
        <v>16097</v>
      </c>
      <c r="F3512" s="47" t="s">
        <v>56886</v>
      </c>
      <c r="G3512" s="8">
        <v>6.5</v>
      </c>
      <c r="H3512" s="8" t="s">
        <v>21</v>
      </c>
      <c r="I3512" s="8" t="s">
        <v>22</v>
      </c>
      <c r="J3512" s="8" t="s">
        <v>22</v>
      </c>
      <c r="K3512" s="8" t="s">
        <v>64</v>
      </c>
      <c r="L3512" s="8" t="s">
        <v>15699</v>
      </c>
      <c r="M3512" s="8" t="s">
        <v>15700</v>
      </c>
      <c r="N3512" s="8" t="s">
        <v>16098</v>
      </c>
      <c r="O3512" s="8">
        <f>11+3/60+23.7/3600</f>
        <v>11.056583333333334</v>
      </c>
      <c r="P3512" s="8" t="s">
        <v>16099</v>
      </c>
      <c r="Q3512" s="8">
        <f>-(23+5/60+11/3600)</f>
        <v>-23.086388888888887</v>
      </c>
      <c r="R3512" s="8">
        <v>11</v>
      </c>
      <c r="S3512" s="8">
        <v>11.5</v>
      </c>
      <c r="T3512" s="8">
        <v>0.5</v>
      </c>
      <c r="U3512" s="8">
        <v>13.5</v>
      </c>
      <c r="V3512" s="8">
        <v>6</v>
      </c>
      <c r="W3512" s="8">
        <v>2.1</v>
      </c>
      <c r="X3512" s="8">
        <v>76</v>
      </c>
      <c r="Y3512" s="8" t="s">
        <v>16100</v>
      </c>
      <c r="Z3512" s="8" t="s">
        <v>16101</v>
      </c>
    </row>
    <row r="3513" spans="1:26" x14ac:dyDescent="0.2">
      <c r="A3513" s="8">
        <v>3512</v>
      </c>
      <c r="B3513" s="8" t="s">
        <v>16102</v>
      </c>
      <c r="C3513" s="8" t="s">
        <v>16102</v>
      </c>
      <c r="F3513" s="47" t="s">
        <v>56887</v>
      </c>
      <c r="G3513" s="8">
        <v>13</v>
      </c>
      <c r="H3513" s="8" t="s">
        <v>21</v>
      </c>
      <c r="I3513" s="8" t="s">
        <v>22</v>
      </c>
      <c r="J3513" s="8" t="s">
        <v>22</v>
      </c>
      <c r="K3513" s="8" t="s">
        <v>64</v>
      </c>
      <c r="L3513" s="8" t="s">
        <v>13179</v>
      </c>
      <c r="M3513" s="8" t="s">
        <v>13180</v>
      </c>
      <c r="N3513" s="8" t="s">
        <v>16103</v>
      </c>
      <c r="O3513" s="8">
        <f>11+4/60+2.7/3600</f>
        <v>11.067416666666666</v>
      </c>
      <c r="P3513" s="8" t="s">
        <v>16104</v>
      </c>
      <c r="Q3513" s="8">
        <f>+(28+2/60+15/3600)</f>
        <v>28.037500000000001</v>
      </c>
      <c r="R3513" s="8">
        <v>12.3</v>
      </c>
      <c r="S3513" s="8">
        <v>13</v>
      </c>
      <c r="T3513" s="8">
        <v>0.7</v>
      </c>
      <c r="U3513" s="8">
        <v>13.1</v>
      </c>
      <c r="V3513" s="8">
        <v>1.6</v>
      </c>
      <c r="W3513" s="8">
        <v>1.5</v>
      </c>
      <c r="X3513" s="8">
        <v>132</v>
      </c>
      <c r="Y3513" s="8" t="s">
        <v>16105</v>
      </c>
      <c r="Z3513" s="8" t="s">
        <v>16106</v>
      </c>
    </row>
    <row r="3514" spans="1:26" x14ac:dyDescent="0.2">
      <c r="A3514" s="8">
        <v>3513</v>
      </c>
      <c r="B3514" s="8" t="s">
        <v>16107</v>
      </c>
      <c r="C3514" s="8" t="s">
        <v>16107</v>
      </c>
      <c r="F3514" s="47" t="s">
        <v>56888</v>
      </c>
      <c r="G3514" s="8">
        <v>6.5</v>
      </c>
      <c r="H3514" s="8" t="s">
        <v>21</v>
      </c>
      <c r="I3514" s="8" t="s">
        <v>22</v>
      </c>
      <c r="J3514" s="8" t="s">
        <v>22</v>
      </c>
      <c r="K3514" s="8" t="s">
        <v>218</v>
      </c>
      <c r="L3514" s="8" t="s">
        <v>15699</v>
      </c>
      <c r="M3514" s="8" t="s">
        <v>15700</v>
      </c>
      <c r="N3514" s="8" t="s">
        <v>16108</v>
      </c>
      <c r="O3514" s="8">
        <f>11+3/60+45.8/3600</f>
        <v>11.062722222222224</v>
      </c>
      <c r="P3514" s="8" t="s">
        <v>16109</v>
      </c>
      <c r="Q3514" s="8">
        <f>-(23+14/60+39/3600)</f>
        <v>-23.244166666666668</v>
      </c>
      <c r="R3514" s="8">
        <v>11.5</v>
      </c>
      <c r="S3514" s="8">
        <v>11.9</v>
      </c>
      <c r="T3514" s="8">
        <v>0.4</v>
      </c>
      <c r="U3514" s="8">
        <v>13.4</v>
      </c>
      <c r="V3514" s="8">
        <v>2.9</v>
      </c>
      <c r="W3514" s="8">
        <v>2.4</v>
      </c>
      <c r="X3514" s="8">
        <v>75</v>
      </c>
      <c r="Y3514" s="8" t="s">
        <v>16100</v>
      </c>
      <c r="Z3514" s="8" t="s">
        <v>16101</v>
      </c>
    </row>
    <row r="3515" spans="1:26" x14ac:dyDescent="0.2">
      <c r="A3515" s="8">
        <v>3514</v>
      </c>
      <c r="B3515" s="8" t="s">
        <v>16110</v>
      </c>
      <c r="C3515" s="8" t="s">
        <v>16110</v>
      </c>
      <c r="F3515" s="47"/>
      <c r="G3515" s="8">
        <v>16</v>
      </c>
      <c r="H3515" s="8" t="s">
        <v>21</v>
      </c>
      <c r="I3515" s="8" t="s">
        <v>22</v>
      </c>
      <c r="J3515" s="8" t="s">
        <v>22</v>
      </c>
      <c r="K3515" s="8" t="s">
        <v>64</v>
      </c>
      <c r="L3515" s="8" t="s">
        <v>15699</v>
      </c>
      <c r="M3515" s="8" t="s">
        <v>15700</v>
      </c>
      <c r="N3515" s="8" t="s">
        <v>16111</v>
      </c>
      <c r="O3515" s="8">
        <f>11+3/60+59.9/3600</f>
        <v>11.066638888888889</v>
      </c>
      <c r="P3515" s="8" t="s">
        <v>16112</v>
      </c>
      <c r="Q3515" s="8">
        <f>-(18+46/60+50/3600)</f>
        <v>-18.780555555555555</v>
      </c>
      <c r="R3515" s="8">
        <v>12.8</v>
      </c>
      <c r="S3515" s="8">
        <v>13.5</v>
      </c>
      <c r="T3515" s="8">
        <v>0.7</v>
      </c>
      <c r="U3515" s="8">
        <v>12.6</v>
      </c>
      <c r="V3515" s="8">
        <v>1.1000000000000001</v>
      </c>
      <c r="W3515" s="8">
        <v>0.9</v>
      </c>
      <c r="X3515" s="8">
        <v>115</v>
      </c>
      <c r="Y3515" s="8" t="s">
        <v>16113</v>
      </c>
      <c r="Z3515" s="8" t="s">
        <v>16114</v>
      </c>
    </row>
    <row r="3516" spans="1:26" x14ac:dyDescent="0.2">
      <c r="A3516" s="8">
        <v>3515</v>
      </c>
      <c r="B3516" s="8" t="s">
        <v>16115</v>
      </c>
      <c r="C3516" s="8" t="s">
        <v>16115</v>
      </c>
      <c r="F3516" s="47"/>
      <c r="G3516" s="8">
        <v>19</v>
      </c>
      <c r="H3516" s="8" t="s">
        <v>21</v>
      </c>
      <c r="I3516" s="8" t="s">
        <v>22</v>
      </c>
      <c r="J3516" s="8" t="s">
        <v>22</v>
      </c>
      <c r="K3516" s="8" t="s">
        <v>396</v>
      </c>
      <c r="L3516" s="8" t="s">
        <v>13179</v>
      </c>
      <c r="M3516" s="8" t="s">
        <v>13180</v>
      </c>
      <c r="N3516" s="8" t="s">
        <v>16116</v>
      </c>
      <c r="O3516" s="8">
        <f>11+4/60+37.3/3600</f>
        <v>11.077027777777777</v>
      </c>
      <c r="P3516" s="8" t="s">
        <v>16117</v>
      </c>
      <c r="Q3516" s="8">
        <f>+(28+13/60+41/3600)</f>
        <v>28.228055555555553</v>
      </c>
      <c r="R3516" s="8">
        <v>13.9</v>
      </c>
      <c r="S3516" s="8">
        <v>14.7</v>
      </c>
      <c r="T3516" s="8">
        <v>0.8</v>
      </c>
      <c r="U3516" s="8">
        <v>13.2</v>
      </c>
      <c r="V3516" s="8">
        <v>0.9</v>
      </c>
      <c r="W3516" s="8">
        <v>0.7</v>
      </c>
      <c r="X3516" s="8">
        <v>55</v>
      </c>
      <c r="Y3516" s="8" t="s">
        <v>16118</v>
      </c>
      <c r="Z3516" s="8" t="s">
        <v>16119</v>
      </c>
    </row>
    <row r="3517" spans="1:26" x14ac:dyDescent="0.2">
      <c r="A3517" s="8">
        <v>3516</v>
      </c>
      <c r="B3517" s="8" t="s">
        <v>16120</v>
      </c>
      <c r="C3517" s="8" t="s">
        <v>16120</v>
      </c>
      <c r="F3517" s="47" t="s">
        <v>56889</v>
      </c>
      <c r="G3517" s="8">
        <v>6.5</v>
      </c>
      <c r="H3517" s="8" t="s">
        <v>21</v>
      </c>
      <c r="I3517" s="8" t="s">
        <v>22</v>
      </c>
      <c r="J3517" s="8" t="s">
        <v>22</v>
      </c>
      <c r="K3517" s="8" t="s">
        <v>224</v>
      </c>
      <c r="L3517" s="8" t="s">
        <v>12015</v>
      </c>
      <c r="M3517" s="8" t="s">
        <v>12016</v>
      </c>
      <c r="N3517" s="8" t="s">
        <v>16121</v>
      </c>
      <c r="O3517" s="8">
        <f>11+6/60+47.5/3600</f>
        <v>11.113194444444444</v>
      </c>
      <c r="P3517" s="8" t="s">
        <v>16122</v>
      </c>
      <c r="Q3517" s="8">
        <f>+(72+34/60+9/3600)</f>
        <v>72.569166666666661</v>
      </c>
      <c r="R3517" s="8">
        <v>11.7</v>
      </c>
      <c r="S3517" s="8">
        <v>12.5</v>
      </c>
      <c r="T3517" s="8">
        <v>0.8</v>
      </c>
      <c r="U3517" s="8">
        <v>12.5</v>
      </c>
      <c r="V3517" s="8">
        <v>1.9</v>
      </c>
      <c r="W3517" s="8">
        <v>1.4</v>
      </c>
      <c r="X3517" s="8">
        <v>30</v>
      </c>
      <c r="Y3517" s="8" t="s">
        <v>16123</v>
      </c>
      <c r="Z3517" s="8" t="s">
        <v>16124</v>
      </c>
    </row>
    <row r="3518" spans="1:26" x14ac:dyDescent="0.2">
      <c r="A3518" s="8">
        <v>3517</v>
      </c>
      <c r="B3518" s="8" t="s">
        <v>16125</v>
      </c>
      <c r="C3518" s="8" t="s">
        <v>16125</v>
      </c>
      <c r="E3518" s="8">
        <v>1</v>
      </c>
      <c r="F3518" s="47" t="s">
        <v>56890</v>
      </c>
      <c r="G3518" s="8">
        <v>15</v>
      </c>
      <c r="H3518" s="8" t="s">
        <v>21</v>
      </c>
      <c r="I3518" s="8" t="s">
        <v>22</v>
      </c>
      <c r="J3518" s="8" t="s">
        <v>22</v>
      </c>
      <c r="K3518" s="8" t="s">
        <v>23</v>
      </c>
      <c r="L3518" s="8" t="s">
        <v>12015</v>
      </c>
      <c r="M3518" s="8" t="s">
        <v>12016</v>
      </c>
      <c r="N3518" s="8" t="s">
        <v>16126</v>
      </c>
      <c r="O3518" s="8">
        <f>11+5/60+36.9/3600</f>
        <v>11.093583333333333</v>
      </c>
      <c r="P3518" s="8" t="s">
        <v>16127</v>
      </c>
      <c r="Q3518" s="8">
        <f>+(56+31/60+31/3600)</f>
        <v>56.525277777777774</v>
      </c>
      <c r="R3518" s="8">
        <v>13</v>
      </c>
      <c r="S3518" s="8">
        <v>13.8</v>
      </c>
      <c r="T3518" s="8">
        <v>0.8</v>
      </c>
      <c r="U3518" s="8">
        <v>12.6</v>
      </c>
      <c r="V3518" s="8">
        <v>1</v>
      </c>
      <c r="W3518" s="8">
        <v>0.8</v>
      </c>
      <c r="X3518" s="8">
        <v>120</v>
      </c>
      <c r="Y3518" s="8" t="s">
        <v>16128</v>
      </c>
      <c r="Z3518" s="8" t="s">
        <v>16129</v>
      </c>
    </row>
    <row r="3519" spans="1:26" x14ac:dyDescent="0.2">
      <c r="A3519" s="8">
        <v>3518</v>
      </c>
      <c r="B3519" s="8" t="s">
        <v>16130</v>
      </c>
      <c r="C3519" s="8" t="s">
        <v>16130</v>
      </c>
      <c r="F3519" s="47"/>
      <c r="G3519" s="8">
        <v>19</v>
      </c>
      <c r="H3519" s="8" t="s">
        <v>21</v>
      </c>
      <c r="I3519" s="8" t="s">
        <v>22</v>
      </c>
      <c r="J3519" s="8" t="s">
        <v>57</v>
      </c>
      <c r="K3519" s="8" t="s">
        <v>23</v>
      </c>
      <c r="L3519" s="8" t="s">
        <v>12234</v>
      </c>
      <c r="M3519" s="8" t="s">
        <v>12235</v>
      </c>
      <c r="N3519" s="8" t="s">
        <v>14313</v>
      </c>
      <c r="O3519" s="8">
        <f>10+4/60+1.9/3600</f>
        <v>10.067194444444445</v>
      </c>
      <c r="P3519" s="8" t="s">
        <v>14314</v>
      </c>
      <c r="Q3519" s="8">
        <f>-(6+28/60+29/3600)</f>
        <v>-6.4747222222222227</v>
      </c>
      <c r="R3519" s="8">
        <v>12.2</v>
      </c>
      <c r="S3519" s="8">
        <v>13</v>
      </c>
      <c r="T3519" s="8">
        <v>0.8</v>
      </c>
      <c r="U3519" s="8">
        <v>12.1</v>
      </c>
      <c r="V3519" s="8">
        <v>1.6</v>
      </c>
      <c r="W3519" s="8">
        <v>0.8</v>
      </c>
      <c r="X3519" s="8">
        <v>162</v>
      </c>
      <c r="Y3519" s="8" t="s">
        <v>16131</v>
      </c>
      <c r="Z3519" s="8" t="s">
        <v>16132</v>
      </c>
    </row>
    <row r="3520" spans="1:26" x14ac:dyDescent="0.2">
      <c r="A3520" s="8">
        <v>3519</v>
      </c>
      <c r="B3520" s="8" t="s">
        <v>16133</v>
      </c>
      <c r="C3520" s="8" t="s">
        <v>16133</v>
      </c>
      <c r="F3520" s="47"/>
      <c r="G3520" s="8">
        <v>16</v>
      </c>
      <c r="H3520" s="8" t="s">
        <v>21</v>
      </c>
      <c r="I3520" s="8" t="s">
        <v>557</v>
      </c>
      <c r="J3520" s="8" t="s">
        <v>557</v>
      </c>
      <c r="K3520" s="8" t="s">
        <v>987</v>
      </c>
      <c r="L3520" s="8" t="s">
        <v>10135</v>
      </c>
      <c r="M3520" s="8" t="s">
        <v>10136</v>
      </c>
      <c r="N3520" s="8" t="s">
        <v>16103</v>
      </c>
      <c r="O3520" s="8">
        <f>11+4/60+2.7/3600</f>
        <v>11.067416666666666</v>
      </c>
      <c r="P3520" s="8" t="s">
        <v>16134</v>
      </c>
      <c r="Q3520" s="8">
        <f>-(61+22/60+5/3600)</f>
        <v>-61.368055555555557</v>
      </c>
      <c r="R3520" s="8">
        <v>7.7</v>
      </c>
      <c r="S3520" s="8">
        <v>99</v>
      </c>
      <c r="T3520" s="8">
        <v>99</v>
      </c>
      <c r="U3520" s="8">
        <v>99</v>
      </c>
      <c r="V3520" s="8">
        <v>8</v>
      </c>
      <c r="Y3520" s="8" t="s">
        <v>16135</v>
      </c>
      <c r="Z3520" s="8" t="s">
        <v>10861</v>
      </c>
    </row>
    <row r="3521" spans="1:26" x14ac:dyDescent="0.2">
      <c r="A3521" s="8">
        <v>3520</v>
      </c>
      <c r="B3521" s="8" t="s">
        <v>16136</v>
      </c>
      <c r="C3521" s="8" t="s">
        <v>16136</v>
      </c>
      <c r="F3521" s="47"/>
      <c r="G3521" s="8">
        <v>19</v>
      </c>
      <c r="H3521" s="8" t="s">
        <v>21</v>
      </c>
      <c r="I3521" s="8" t="s">
        <v>22</v>
      </c>
      <c r="J3521" s="8" t="s">
        <v>22</v>
      </c>
      <c r="K3521" s="8" t="s">
        <v>4262</v>
      </c>
      <c r="L3521" s="8" t="s">
        <v>15699</v>
      </c>
      <c r="M3521" s="8" t="s">
        <v>15700</v>
      </c>
      <c r="N3521" s="8" t="s">
        <v>16137</v>
      </c>
      <c r="O3521" s="8">
        <f>11+7/60+8.7/3600</f>
        <v>11.119083333333334</v>
      </c>
      <c r="P3521" s="8" t="s">
        <v>16138</v>
      </c>
      <c r="Q3521" s="8">
        <f>-(18+1/60+29/3600)</f>
        <v>-18.02472222222222</v>
      </c>
      <c r="R3521" s="8">
        <v>13.8</v>
      </c>
      <c r="S3521" s="8">
        <v>14.9</v>
      </c>
      <c r="T3521" s="8">
        <v>1.1000000000000001</v>
      </c>
      <c r="U3521" s="8">
        <v>13.8</v>
      </c>
      <c r="V3521" s="8">
        <v>1.3</v>
      </c>
      <c r="W3521" s="8">
        <v>1</v>
      </c>
      <c r="X3521" s="8">
        <v>165</v>
      </c>
      <c r="Y3521" s="8" t="s">
        <v>16139</v>
      </c>
      <c r="Z3521" s="8" t="s">
        <v>16140</v>
      </c>
    </row>
    <row r="3522" spans="1:26" x14ac:dyDescent="0.2">
      <c r="A3522" s="8">
        <v>3521</v>
      </c>
      <c r="B3522" s="8" t="s">
        <v>16141</v>
      </c>
      <c r="C3522" s="8" t="s">
        <v>16141</v>
      </c>
      <c r="F3522" s="47" t="s">
        <v>56891</v>
      </c>
      <c r="G3522" s="8">
        <v>5</v>
      </c>
      <c r="H3522" s="8" t="s">
        <v>21</v>
      </c>
      <c r="I3522" s="8" t="s">
        <v>22</v>
      </c>
      <c r="J3522" s="8" t="s">
        <v>22</v>
      </c>
      <c r="K3522" s="8" t="s">
        <v>85</v>
      </c>
      <c r="L3522" s="8" t="s">
        <v>13194</v>
      </c>
      <c r="M3522" s="8" t="s">
        <v>13195</v>
      </c>
      <c r="N3522" s="8" t="s">
        <v>16142</v>
      </c>
      <c r="O3522" s="8">
        <f>11+5/60+48.8/3600</f>
        <v>11.096888888888889</v>
      </c>
      <c r="P3522" s="8" t="s">
        <v>16143</v>
      </c>
      <c r="Q3522" s="8">
        <f>-(0+2/60+13/3600)</f>
        <v>-3.6944444444444446E-2</v>
      </c>
      <c r="R3522" s="8">
        <v>9</v>
      </c>
      <c r="S3522" s="8">
        <v>9.8000000000000007</v>
      </c>
      <c r="T3522" s="8">
        <v>0.8</v>
      </c>
      <c r="U3522" s="8">
        <v>13.2</v>
      </c>
      <c r="V3522" s="8">
        <v>11.2</v>
      </c>
      <c r="W3522" s="8">
        <v>5.4</v>
      </c>
      <c r="X3522" s="8">
        <v>163</v>
      </c>
      <c r="Y3522" s="8" t="s">
        <v>16144</v>
      </c>
      <c r="Z3522" s="8" t="s">
        <v>16145</v>
      </c>
    </row>
    <row r="3523" spans="1:26" x14ac:dyDescent="0.2">
      <c r="A3523" s="8">
        <v>3522</v>
      </c>
      <c r="B3523" s="8" t="s">
        <v>16146</v>
      </c>
      <c r="C3523" s="8" t="s">
        <v>16146</v>
      </c>
      <c r="F3523" s="47"/>
      <c r="G3523" s="8">
        <v>19</v>
      </c>
      <c r="H3523" s="8" t="s">
        <v>21</v>
      </c>
      <c r="I3523" s="8" t="s">
        <v>22</v>
      </c>
      <c r="J3523" s="8" t="s">
        <v>22</v>
      </c>
      <c r="K3523" s="8" t="s">
        <v>50</v>
      </c>
      <c r="L3523" s="8" t="s">
        <v>13194</v>
      </c>
      <c r="M3523" s="8" t="s">
        <v>13195</v>
      </c>
      <c r="N3523" s="8" t="s">
        <v>16147</v>
      </c>
      <c r="O3523" s="8">
        <f>11+6/60+40.4/3600</f>
        <v>11.111222222222223</v>
      </c>
      <c r="P3523" s="8" t="s">
        <v>16148</v>
      </c>
      <c r="Q3523" s="8">
        <f>+(20+5/60+10/3600)</f>
        <v>20.086111111111109</v>
      </c>
      <c r="R3523" s="8">
        <v>13.1</v>
      </c>
      <c r="S3523" s="8">
        <v>14.1</v>
      </c>
      <c r="T3523" s="8">
        <v>1</v>
      </c>
      <c r="U3523" s="8">
        <v>13</v>
      </c>
      <c r="V3523" s="8">
        <v>1.2</v>
      </c>
      <c r="W3523" s="8">
        <v>0.7</v>
      </c>
      <c r="X3523" s="8">
        <v>117</v>
      </c>
      <c r="Y3523" s="8" t="s">
        <v>16149</v>
      </c>
      <c r="Z3523" s="8" t="s">
        <v>16150</v>
      </c>
    </row>
    <row r="3524" spans="1:26" x14ac:dyDescent="0.2">
      <c r="A3524" s="8">
        <v>3523</v>
      </c>
      <c r="B3524" s="8" t="s">
        <v>16151</v>
      </c>
      <c r="C3524" s="8" t="s">
        <v>16151</v>
      </c>
      <c r="F3524" s="47" t="s">
        <v>56892</v>
      </c>
      <c r="G3524" s="8">
        <v>15</v>
      </c>
      <c r="H3524" s="8" t="s">
        <v>21</v>
      </c>
      <c r="I3524" s="8" t="s">
        <v>22</v>
      </c>
      <c r="J3524" s="8" t="s">
        <v>22</v>
      </c>
      <c r="K3524" s="8" t="s">
        <v>396</v>
      </c>
      <c r="L3524" s="8" t="s">
        <v>13395</v>
      </c>
      <c r="M3524" s="8" t="s">
        <v>13396</v>
      </c>
      <c r="N3524" s="8" t="s">
        <v>16152</v>
      </c>
      <c r="O3524" s="8">
        <f>11+3/60+6.7/3600</f>
        <v>11.051861111111112</v>
      </c>
      <c r="P3524" s="8" t="s">
        <v>16153</v>
      </c>
      <c r="Q3524" s="8">
        <f>+(75+6/60+57/3600)</f>
        <v>75.115833333333327</v>
      </c>
      <c r="R3524" s="8">
        <v>12.9</v>
      </c>
      <c r="S3524" s="8">
        <v>13.7</v>
      </c>
      <c r="T3524" s="8">
        <v>0.8</v>
      </c>
      <c r="U3524" s="8">
        <v>13.3</v>
      </c>
      <c r="V3524" s="8">
        <v>1.3</v>
      </c>
      <c r="W3524" s="8">
        <v>1.3</v>
      </c>
      <c r="Y3524" s="8" t="s">
        <v>16154</v>
      </c>
      <c r="Z3524" s="8" t="s">
        <v>16155</v>
      </c>
    </row>
    <row r="3525" spans="1:26" x14ac:dyDescent="0.2">
      <c r="A3525" s="8">
        <v>3524</v>
      </c>
      <c r="B3525" s="8" t="s">
        <v>16156</v>
      </c>
      <c r="C3525" s="8" t="s">
        <v>16156</v>
      </c>
      <c r="F3525" s="47" t="s">
        <v>56893</v>
      </c>
      <c r="G3525" s="8">
        <v>6.5</v>
      </c>
      <c r="H3525" s="8" t="s">
        <v>21</v>
      </c>
      <c r="I3525" s="8" t="s">
        <v>22</v>
      </c>
      <c r="J3525" s="8" t="s">
        <v>22</v>
      </c>
      <c r="K3525" s="8" t="s">
        <v>632</v>
      </c>
      <c r="L3525" s="8" t="s">
        <v>13194</v>
      </c>
      <c r="M3525" s="8" t="s">
        <v>13195</v>
      </c>
      <c r="N3525" s="8" t="s">
        <v>16157</v>
      </c>
      <c r="O3525" s="8">
        <f>11+6/60+32.1/3600</f>
        <v>11.108916666666666</v>
      </c>
      <c r="P3525" s="8" t="s">
        <v>16158</v>
      </c>
      <c r="Q3525" s="8">
        <f>+(11+23/60+6/3600)</f>
        <v>11.385</v>
      </c>
      <c r="R3525" s="8">
        <v>12.8</v>
      </c>
      <c r="S3525" s="8">
        <v>13.7</v>
      </c>
      <c r="T3525" s="8">
        <v>0.9</v>
      </c>
      <c r="U3525" s="8">
        <v>12.4</v>
      </c>
      <c r="V3525" s="8">
        <v>1.6</v>
      </c>
      <c r="W3525" s="8">
        <v>0.5</v>
      </c>
      <c r="X3525" s="8">
        <v>14</v>
      </c>
      <c r="Y3525" s="8" t="s">
        <v>16159</v>
      </c>
      <c r="Z3525" s="8" t="s">
        <v>16160</v>
      </c>
    </row>
    <row r="3526" spans="1:26" x14ac:dyDescent="0.2">
      <c r="A3526" s="8">
        <v>3525</v>
      </c>
      <c r="B3526" s="8" t="s">
        <v>16161</v>
      </c>
      <c r="C3526" s="8" t="s">
        <v>16161</v>
      </c>
      <c r="F3526" s="47"/>
      <c r="G3526" s="8">
        <v>19</v>
      </c>
      <c r="H3526" s="8" t="s">
        <v>21</v>
      </c>
      <c r="I3526" s="8" t="s">
        <v>22</v>
      </c>
      <c r="J3526" s="8" t="s">
        <v>57</v>
      </c>
      <c r="K3526" s="8" t="s">
        <v>37</v>
      </c>
      <c r="L3526" s="8" t="s">
        <v>15699</v>
      </c>
      <c r="M3526" s="8" t="s">
        <v>15700</v>
      </c>
      <c r="N3526" s="8" t="s">
        <v>16035</v>
      </c>
      <c r="O3526" s="8">
        <f>11+7/60+18.1/3600</f>
        <v>11.121694444444445</v>
      </c>
      <c r="P3526" s="8" t="s">
        <v>16036</v>
      </c>
      <c r="Q3526" s="8">
        <f>-(19+28/60+17/3600)</f>
        <v>-19.471388888888889</v>
      </c>
      <c r="R3526" s="8">
        <v>11.9</v>
      </c>
      <c r="S3526" s="8">
        <v>12.9</v>
      </c>
      <c r="T3526" s="8">
        <v>1</v>
      </c>
      <c r="U3526" s="8">
        <v>13.2</v>
      </c>
      <c r="V3526" s="8">
        <v>2.6</v>
      </c>
      <c r="W3526" s="8">
        <v>1.5</v>
      </c>
      <c r="X3526" s="8">
        <v>59</v>
      </c>
      <c r="Y3526" s="8" t="s">
        <v>16162</v>
      </c>
      <c r="Z3526" s="8" t="s">
        <v>16163</v>
      </c>
    </row>
    <row r="3527" spans="1:26" x14ac:dyDescent="0.2">
      <c r="A3527" s="8">
        <v>3526</v>
      </c>
      <c r="B3527" s="8" t="s">
        <v>16164</v>
      </c>
      <c r="C3527" s="8" t="s">
        <v>16164</v>
      </c>
      <c r="F3527" s="47"/>
      <c r="G3527" s="8">
        <v>18</v>
      </c>
      <c r="H3527" s="8" t="s">
        <v>21</v>
      </c>
      <c r="I3527" s="8" t="s">
        <v>22</v>
      </c>
      <c r="J3527" s="8" t="s">
        <v>22</v>
      </c>
      <c r="K3527" s="8" t="s">
        <v>160</v>
      </c>
      <c r="L3527" s="8" t="s">
        <v>13194</v>
      </c>
      <c r="M3527" s="8" t="s">
        <v>13195</v>
      </c>
      <c r="N3527" s="8" t="s">
        <v>16165</v>
      </c>
      <c r="O3527" s="8">
        <f>11+6/60+56.4/3600</f>
        <v>11.115666666666666</v>
      </c>
      <c r="P3527" s="8" t="s">
        <v>16166</v>
      </c>
      <c r="Q3527" s="8">
        <f>+(7+10/60+24/3600)</f>
        <v>7.1733333333333338</v>
      </c>
      <c r="R3527" s="8">
        <v>13.2</v>
      </c>
      <c r="S3527" s="8">
        <v>13.9</v>
      </c>
      <c r="T3527" s="8">
        <v>0.7</v>
      </c>
      <c r="U3527" s="8">
        <v>12.7</v>
      </c>
      <c r="V3527" s="8">
        <v>1.9</v>
      </c>
      <c r="W3527" s="8">
        <v>0.4</v>
      </c>
      <c r="X3527" s="8">
        <v>55</v>
      </c>
      <c r="Y3527" s="8" t="s">
        <v>16167</v>
      </c>
      <c r="Z3527" s="8" t="s">
        <v>16168</v>
      </c>
    </row>
    <row r="3528" spans="1:26" x14ac:dyDescent="0.2">
      <c r="A3528" s="8">
        <v>3527</v>
      </c>
      <c r="B3528" s="8" t="s">
        <v>16169</v>
      </c>
      <c r="C3528" s="8" t="s">
        <v>16169</v>
      </c>
      <c r="F3528" s="47" t="s">
        <v>56894</v>
      </c>
      <c r="G3528" s="8">
        <v>15</v>
      </c>
      <c r="H3528" s="8" t="s">
        <v>21</v>
      </c>
      <c r="I3528" s="8" t="s">
        <v>22</v>
      </c>
      <c r="J3528" s="8" t="s">
        <v>22</v>
      </c>
      <c r="K3528" s="8" t="s">
        <v>154</v>
      </c>
      <c r="L3528" s="8" t="s">
        <v>12015</v>
      </c>
      <c r="M3528" s="8" t="s">
        <v>12016</v>
      </c>
      <c r="N3528" s="8" t="s">
        <v>16170</v>
      </c>
      <c r="O3528" s="8">
        <f>11+7/60+18.3/3600</f>
        <v>11.12175</v>
      </c>
      <c r="P3528" s="8" t="s">
        <v>16171</v>
      </c>
      <c r="Q3528" s="8">
        <f>+(28+31/60+40/3600)</f>
        <v>28.527777777777779</v>
      </c>
      <c r="R3528" s="8">
        <v>14</v>
      </c>
      <c r="S3528" s="8">
        <v>14.9</v>
      </c>
      <c r="T3528" s="8">
        <v>0.9</v>
      </c>
      <c r="U3528" s="8">
        <v>13.7</v>
      </c>
      <c r="V3528" s="8">
        <v>1</v>
      </c>
      <c r="W3528" s="8">
        <v>0.9</v>
      </c>
      <c r="X3528" s="8">
        <v>159</v>
      </c>
      <c r="Y3528" s="8" t="s">
        <v>16172</v>
      </c>
      <c r="Z3528" s="8" t="s">
        <v>16173</v>
      </c>
    </row>
    <row r="3529" spans="1:26" x14ac:dyDescent="0.2">
      <c r="A3529" s="8">
        <v>3528</v>
      </c>
      <c r="B3529" s="8" t="s">
        <v>16174</v>
      </c>
      <c r="C3529" s="8" t="s">
        <v>16174</v>
      </c>
      <c r="F3529" s="47"/>
      <c r="G3529" s="8">
        <v>16</v>
      </c>
      <c r="H3529" s="8" t="s">
        <v>21</v>
      </c>
      <c r="I3529" s="8" t="s">
        <v>22</v>
      </c>
      <c r="J3529" s="8" t="s">
        <v>22</v>
      </c>
      <c r="K3529" s="8" t="s">
        <v>37</v>
      </c>
      <c r="L3529" s="8" t="s">
        <v>15699</v>
      </c>
      <c r="M3529" s="8" t="s">
        <v>15700</v>
      </c>
      <c r="N3529" s="8" t="s">
        <v>16035</v>
      </c>
      <c r="O3529" s="8">
        <f>11+7/60+18.1/3600</f>
        <v>11.121694444444445</v>
      </c>
      <c r="P3529" s="8" t="s">
        <v>16036</v>
      </c>
      <c r="Q3529" s="8">
        <f>-(19+28/60+17/3600)</f>
        <v>-19.471388888888889</v>
      </c>
      <c r="R3529" s="8">
        <v>11.9</v>
      </c>
      <c r="S3529" s="8">
        <v>12.9</v>
      </c>
      <c r="T3529" s="8">
        <v>1</v>
      </c>
      <c r="U3529" s="8">
        <v>13.2</v>
      </c>
      <c r="V3529" s="8">
        <v>2.6</v>
      </c>
      <c r="W3529" s="8">
        <v>1.5</v>
      </c>
      <c r="X3529" s="8">
        <v>59</v>
      </c>
      <c r="Y3529" s="8" t="s">
        <v>16162</v>
      </c>
      <c r="Z3529" s="8" t="s">
        <v>16175</v>
      </c>
    </row>
    <row r="3530" spans="1:26" x14ac:dyDescent="0.2">
      <c r="A3530" s="8">
        <v>3529</v>
      </c>
      <c r="B3530" s="8" t="s">
        <v>16176</v>
      </c>
      <c r="C3530" s="8" t="s">
        <v>16176</v>
      </c>
      <c r="F3530" s="47"/>
      <c r="G3530" s="8">
        <v>16</v>
      </c>
      <c r="H3530" s="8" t="s">
        <v>21</v>
      </c>
      <c r="I3530" s="8" t="s">
        <v>22</v>
      </c>
      <c r="J3530" s="8" t="s">
        <v>22</v>
      </c>
      <c r="K3530" s="8" t="s">
        <v>218</v>
      </c>
      <c r="L3530" s="8" t="s">
        <v>15699</v>
      </c>
      <c r="M3530" s="8" t="s">
        <v>15700</v>
      </c>
      <c r="N3530" s="8" t="s">
        <v>16177</v>
      </c>
      <c r="O3530" s="8">
        <f>11+7/60+19.2/3600</f>
        <v>11.122</v>
      </c>
      <c r="P3530" s="8" t="s">
        <v>16178</v>
      </c>
      <c r="Q3530" s="8">
        <f>-(19+33/60+22/3600)</f>
        <v>-19.556111111111111</v>
      </c>
      <c r="R3530" s="8">
        <v>13.1</v>
      </c>
      <c r="S3530" s="8">
        <v>13.9</v>
      </c>
      <c r="T3530" s="8">
        <v>0.8</v>
      </c>
      <c r="U3530" s="8">
        <v>12.7</v>
      </c>
      <c r="V3530" s="8">
        <v>1</v>
      </c>
      <c r="W3530" s="8">
        <v>0.8</v>
      </c>
      <c r="X3530" s="8">
        <v>55</v>
      </c>
      <c r="Y3530" s="8" t="s">
        <v>16179</v>
      </c>
      <c r="Z3530" s="8" t="s">
        <v>16180</v>
      </c>
    </row>
    <row r="3531" spans="1:26" x14ac:dyDescent="0.2">
      <c r="A3531" s="8">
        <v>3530</v>
      </c>
      <c r="B3531" s="8" t="s">
        <v>16181</v>
      </c>
      <c r="C3531" s="8" t="s">
        <v>16181</v>
      </c>
      <c r="F3531" s="47" t="s">
        <v>56895</v>
      </c>
      <c r="G3531" s="8">
        <v>15</v>
      </c>
      <c r="H3531" s="8" t="s">
        <v>21</v>
      </c>
      <c r="I3531" s="8" t="s">
        <v>22</v>
      </c>
      <c r="J3531" s="8" t="s">
        <v>22</v>
      </c>
      <c r="K3531" s="8" t="s">
        <v>449</v>
      </c>
      <c r="L3531" s="8" t="s">
        <v>12015</v>
      </c>
      <c r="M3531" s="8" t="s">
        <v>12016</v>
      </c>
      <c r="N3531" s="8" t="s">
        <v>16182</v>
      </c>
      <c r="O3531" s="8">
        <f>11+8/60+40.3/3600</f>
        <v>11.144527777777776</v>
      </c>
      <c r="P3531" s="8" t="s">
        <v>16183</v>
      </c>
      <c r="Q3531" s="8">
        <f>+(57+13/60+49/3600)</f>
        <v>57.230277777777779</v>
      </c>
      <c r="R3531" s="8">
        <v>13.8</v>
      </c>
      <c r="S3531" s="8">
        <v>14.6</v>
      </c>
      <c r="T3531" s="8">
        <v>0.8</v>
      </c>
      <c r="U3531" s="8">
        <v>12</v>
      </c>
      <c r="V3531" s="8">
        <v>0.7</v>
      </c>
      <c r="W3531" s="8">
        <v>0.3</v>
      </c>
      <c r="X3531" s="8">
        <v>99</v>
      </c>
      <c r="Y3531" s="8" t="s">
        <v>16184</v>
      </c>
      <c r="Z3531" s="8" t="s">
        <v>16185</v>
      </c>
    </row>
    <row r="3532" spans="1:26" x14ac:dyDescent="0.2">
      <c r="A3532" s="8">
        <v>3531</v>
      </c>
      <c r="B3532" s="8" t="s">
        <v>16186</v>
      </c>
      <c r="C3532" s="8" t="s">
        <v>16186</v>
      </c>
      <c r="F3532" s="47"/>
      <c r="G3532" s="8">
        <v>19</v>
      </c>
      <c r="H3532" s="8" t="s">
        <v>21</v>
      </c>
      <c r="I3532" s="8" t="s">
        <v>22</v>
      </c>
      <c r="J3532" s="8" t="s">
        <v>57</v>
      </c>
      <c r="K3532" s="8" t="s">
        <v>160</v>
      </c>
      <c r="L3532" s="8" t="s">
        <v>13194</v>
      </c>
      <c r="M3532" s="8" t="s">
        <v>13195</v>
      </c>
      <c r="N3532" s="8" t="s">
        <v>16165</v>
      </c>
      <c r="O3532" s="8">
        <f>11+6/60+56.4/3600</f>
        <v>11.115666666666666</v>
      </c>
      <c r="P3532" s="8" t="s">
        <v>16166</v>
      </c>
      <c r="Q3532" s="8">
        <f>+(7+10/60+24/3600)</f>
        <v>7.1733333333333338</v>
      </c>
      <c r="R3532" s="8">
        <v>13.2</v>
      </c>
      <c r="S3532" s="8">
        <v>13.9</v>
      </c>
      <c r="T3532" s="8">
        <v>0.7</v>
      </c>
      <c r="U3532" s="8">
        <v>12.7</v>
      </c>
      <c r="V3532" s="8">
        <v>1.9</v>
      </c>
      <c r="W3532" s="8">
        <v>0.4</v>
      </c>
      <c r="X3532" s="8">
        <v>55</v>
      </c>
      <c r="Y3532" s="8" t="s">
        <v>16167</v>
      </c>
      <c r="Z3532" s="8" t="s">
        <v>16187</v>
      </c>
    </row>
    <row r="3533" spans="1:26" x14ac:dyDescent="0.2">
      <c r="A3533" s="8">
        <v>3532</v>
      </c>
      <c r="B3533" s="8" t="s">
        <v>16188</v>
      </c>
      <c r="C3533" s="8" t="s">
        <v>16188</v>
      </c>
      <c r="F3533" s="47"/>
      <c r="G3533" s="8">
        <v>2</v>
      </c>
      <c r="H3533" s="8" t="s">
        <v>16189</v>
      </c>
      <c r="I3533" s="8" t="s">
        <v>557</v>
      </c>
      <c r="J3533" s="8" t="s">
        <v>557</v>
      </c>
      <c r="K3533" s="8" t="s">
        <v>7034</v>
      </c>
      <c r="L3533" s="8" t="s">
        <v>10135</v>
      </c>
      <c r="M3533" s="8" t="s">
        <v>10136</v>
      </c>
      <c r="N3533" s="8" t="s">
        <v>16190</v>
      </c>
      <c r="O3533" s="8">
        <f>11+5/60+40/3600</f>
        <v>11.094444444444445</v>
      </c>
      <c r="P3533" s="8" t="s">
        <v>16191</v>
      </c>
      <c r="Q3533" s="8">
        <f>-(58+44/60+0/3600)</f>
        <v>-58.733333333333334</v>
      </c>
      <c r="R3533" s="8">
        <v>3</v>
      </c>
      <c r="S3533" s="8">
        <v>3.2</v>
      </c>
      <c r="T3533" s="8">
        <v>99</v>
      </c>
      <c r="U3533" s="8">
        <v>99</v>
      </c>
      <c r="V3533" s="8">
        <v>50</v>
      </c>
      <c r="Y3533" s="8" t="s">
        <v>16192</v>
      </c>
      <c r="Z3533" s="8" t="s">
        <v>16193</v>
      </c>
    </row>
    <row r="3534" spans="1:26" x14ac:dyDescent="0.2">
      <c r="A3534" s="8">
        <v>3533</v>
      </c>
      <c r="B3534" s="8" t="s">
        <v>16194</v>
      </c>
      <c r="C3534" s="8" t="s">
        <v>16194</v>
      </c>
      <c r="F3534" s="47"/>
      <c r="G3534" s="8">
        <v>16</v>
      </c>
      <c r="H3534" s="8" t="s">
        <v>21</v>
      </c>
      <c r="I3534" s="8" t="s">
        <v>22</v>
      </c>
      <c r="J3534" s="8" t="s">
        <v>22</v>
      </c>
      <c r="K3534" s="8" t="s">
        <v>31</v>
      </c>
      <c r="L3534" s="8" t="s">
        <v>16195</v>
      </c>
      <c r="M3534" s="8" t="s">
        <v>16196</v>
      </c>
      <c r="N3534" s="8" t="s">
        <v>16197</v>
      </c>
      <c r="O3534" s="8">
        <f>11+7/60+7.5/3600</f>
        <v>11.11875</v>
      </c>
      <c r="P3534" s="8" t="s">
        <v>16198</v>
      </c>
      <c r="Q3534" s="8">
        <f>-(37+10/60+23/3600)</f>
        <v>-37.17305555555555</v>
      </c>
      <c r="R3534" s="8">
        <v>12.6</v>
      </c>
      <c r="S3534" s="8">
        <v>13.4</v>
      </c>
      <c r="T3534" s="8">
        <v>0.8</v>
      </c>
      <c r="U3534" s="8">
        <v>13</v>
      </c>
      <c r="V3534" s="8">
        <v>2.8</v>
      </c>
      <c r="W3534" s="8">
        <v>0.6</v>
      </c>
      <c r="X3534" s="8">
        <v>65</v>
      </c>
      <c r="Y3534" s="8" t="s">
        <v>16199</v>
      </c>
      <c r="Z3534" s="8" t="s">
        <v>16200</v>
      </c>
    </row>
    <row r="3535" spans="1:26" x14ac:dyDescent="0.2">
      <c r="A3535" s="8">
        <v>3534</v>
      </c>
      <c r="B3535" s="8" t="s">
        <v>16201</v>
      </c>
      <c r="C3535" s="8" t="s">
        <v>16201</v>
      </c>
      <c r="D3535" s="8" t="s">
        <v>1619</v>
      </c>
      <c r="F3535" s="47"/>
      <c r="G3535" s="8">
        <v>18</v>
      </c>
      <c r="H3535" s="8" t="s">
        <v>21</v>
      </c>
      <c r="I3535" s="8" t="s">
        <v>22</v>
      </c>
      <c r="J3535" s="8" t="s">
        <v>22</v>
      </c>
      <c r="K3535" s="8" t="s">
        <v>23</v>
      </c>
      <c r="L3535" s="8" t="s">
        <v>13194</v>
      </c>
      <c r="M3535" s="8" t="s">
        <v>13195</v>
      </c>
      <c r="N3535" s="8" t="s">
        <v>16202</v>
      </c>
      <c r="O3535" s="8">
        <f>11+8/60+57/3600</f>
        <v>11.149166666666666</v>
      </c>
      <c r="P3535" s="8" t="s">
        <v>16203</v>
      </c>
      <c r="Q3535" s="8">
        <f>+(26+35/60+48/3600)</f>
        <v>26.596666666666664</v>
      </c>
      <c r="R3535" s="8">
        <v>14.7</v>
      </c>
      <c r="S3535" s="8">
        <v>15.5</v>
      </c>
      <c r="T3535" s="8">
        <v>0.8</v>
      </c>
      <c r="U3535" s="8">
        <v>13.4</v>
      </c>
      <c r="V3535" s="8">
        <v>0.9</v>
      </c>
      <c r="W3535" s="8">
        <v>0.4</v>
      </c>
      <c r="X3535" s="8">
        <v>170</v>
      </c>
      <c r="Y3535" s="8" t="s">
        <v>16204</v>
      </c>
      <c r="Z3535" s="8" t="s">
        <v>16205</v>
      </c>
    </row>
    <row r="3536" spans="1:26" x14ac:dyDescent="0.2">
      <c r="A3536" s="8">
        <v>3535</v>
      </c>
      <c r="B3536" s="8" t="s">
        <v>16206</v>
      </c>
      <c r="C3536" s="8" t="s">
        <v>16206</v>
      </c>
      <c r="F3536" s="47" t="s">
        <v>56896</v>
      </c>
      <c r="G3536" s="8">
        <v>15</v>
      </c>
      <c r="H3536" s="8" t="s">
        <v>21</v>
      </c>
      <c r="I3536" s="8" t="s">
        <v>22</v>
      </c>
      <c r="J3536" s="8" t="s">
        <v>22</v>
      </c>
      <c r="K3536" s="8" t="s">
        <v>91</v>
      </c>
      <c r="L3536" s="8" t="s">
        <v>13194</v>
      </c>
      <c r="M3536" s="8" t="s">
        <v>13195</v>
      </c>
      <c r="N3536" s="8" t="s">
        <v>16207</v>
      </c>
      <c r="O3536" s="8">
        <f>11+8/60+33.9/3600</f>
        <v>11.142749999999999</v>
      </c>
      <c r="P3536" s="8" t="s">
        <v>16208</v>
      </c>
      <c r="Q3536" s="8">
        <f>+(4+49/60+57/3600)</f>
        <v>4.8324999999999996</v>
      </c>
      <c r="R3536" s="8">
        <v>13.5</v>
      </c>
      <c r="S3536" s="8">
        <v>14.4</v>
      </c>
      <c r="T3536" s="8">
        <v>0.9</v>
      </c>
      <c r="U3536" s="8">
        <v>13.7</v>
      </c>
      <c r="V3536" s="8">
        <v>1.7</v>
      </c>
      <c r="W3536" s="8">
        <v>0.8</v>
      </c>
      <c r="X3536" s="8">
        <v>178</v>
      </c>
      <c r="Y3536" s="8" t="s">
        <v>16209</v>
      </c>
      <c r="Z3536" s="8" t="s">
        <v>16210</v>
      </c>
    </row>
    <row r="3537" spans="1:26" x14ac:dyDescent="0.2">
      <c r="A3537" s="8">
        <v>3536</v>
      </c>
      <c r="B3537" s="8" t="s">
        <v>16211</v>
      </c>
      <c r="C3537" s="8" t="s">
        <v>16211</v>
      </c>
      <c r="F3537" s="47"/>
      <c r="G3537" s="8">
        <v>16</v>
      </c>
      <c r="H3537" s="8" t="s">
        <v>21</v>
      </c>
      <c r="I3537" s="8" t="s">
        <v>22</v>
      </c>
      <c r="J3537" s="8" t="s">
        <v>22</v>
      </c>
      <c r="K3537" s="8" t="s">
        <v>435</v>
      </c>
      <c r="L3537" s="8" t="s">
        <v>12015</v>
      </c>
      <c r="M3537" s="8" t="s">
        <v>12016</v>
      </c>
      <c r="N3537" s="8" t="s">
        <v>16212</v>
      </c>
      <c r="O3537" s="8">
        <f>11+8/60+51.2/3600</f>
        <v>11.147555555555556</v>
      </c>
      <c r="P3537" s="8" t="s">
        <v>16213</v>
      </c>
      <c r="Q3537" s="8">
        <f>+(28+28/60+34/3600)</f>
        <v>28.476111111111109</v>
      </c>
      <c r="R3537" s="8">
        <v>13.8</v>
      </c>
      <c r="S3537" s="8">
        <v>14.7</v>
      </c>
      <c r="T3537" s="8">
        <v>0.9</v>
      </c>
      <c r="U3537" s="8">
        <v>13.1</v>
      </c>
      <c r="V3537" s="8">
        <v>1.1000000000000001</v>
      </c>
      <c r="W3537" s="8">
        <v>0.8</v>
      </c>
      <c r="X3537" s="8">
        <v>155</v>
      </c>
      <c r="Y3537" s="8" t="s">
        <v>2641</v>
      </c>
      <c r="Z3537" s="8" t="s">
        <v>2642</v>
      </c>
    </row>
    <row r="3538" spans="1:26" x14ac:dyDescent="0.2">
      <c r="A3538" s="8">
        <v>3537</v>
      </c>
      <c r="B3538" s="8" t="s">
        <v>16214</v>
      </c>
      <c r="C3538" s="8" t="s">
        <v>16214</v>
      </c>
      <c r="E3538" s="8">
        <v>1</v>
      </c>
      <c r="F3538" s="47"/>
      <c r="G3538" s="8">
        <v>19</v>
      </c>
      <c r="H3538" s="8" t="s">
        <v>21</v>
      </c>
      <c r="I3538" s="8" t="s">
        <v>22</v>
      </c>
      <c r="J3538" s="8" t="s">
        <v>22</v>
      </c>
      <c r="K3538" s="8" t="s">
        <v>31</v>
      </c>
      <c r="L3538" s="8" t="s">
        <v>15699</v>
      </c>
      <c r="M3538" s="8" t="s">
        <v>15700</v>
      </c>
      <c r="N3538" s="8" t="s">
        <v>16215</v>
      </c>
      <c r="O3538" s="8">
        <f>11+8/60+26.5/3600</f>
        <v>11.140694444444444</v>
      </c>
      <c r="P3538" s="8" t="s">
        <v>16216</v>
      </c>
      <c r="Q3538" s="8">
        <f>-(10+15/60+24/3600)</f>
        <v>-10.256666666666666</v>
      </c>
      <c r="R3538" s="8">
        <v>12.8</v>
      </c>
      <c r="S3538" s="8">
        <v>13.6</v>
      </c>
      <c r="T3538" s="8">
        <v>0.8</v>
      </c>
      <c r="U3538" s="8">
        <v>13.3</v>
      </c>
      <c r="V3538" s="8">
        <v>1.4</v>
      </c>
      <c r="W3538" s="8">
        <v>1.3</v>
      </c>
      <c r="X3538" s="8">
        <v>54</v>
      </c>
      <c r="Y3538" s="8" t="s">
        <v>16217</v>
      </c>
      <c r="Z3538" s="8" t="s">
        <v>16218</v>
      </c>
    </row>
    <row r="3539" spans="1:26" x14ac:dyDescent="0.2">
      <c r="A3539" s="8">
        <v>3538</v>
      </c>
      <c r="B3539" s="8" t="s">
        <v>16219</v>
      </c>
      <c r="C3539" s="8" t="s">
        <v>16219</v>
      </c>
      <c r="F3539" s="47"/>
      <c r="G3539" s="8">
        <v>18</v>
      </c>
      <c r="H3539" s="8" t="s">
        <v>21</v>
      </c>
      <c r="I3539" s="8" t="s">
        <v>72</v>
      </c>
      <c r="J3539" s="8" t="s">
        <v>72</v>
      </c>
      <c r="K3539" s="8" t="s">
        <v>73</v>
      </c>
      <c r="L3539" s="8" t="s">
        <v>13395</v>
      </c>
      <c r="M3539" s="8" t="s">
        <v>13396</v>
      </c>
      <c r="N3539" s="8" t="s">
        <v>16220</v>
      </c>
      <c r="O3539" s="8">
        <f>11+11/60+32.9/3600</f>
        <v>11.192472222222223</v>
      </c>
      <c r="P3539" s="8" t="s">
        <v>16221</v>
      </c>
      <c r="Q3539" s="8">
        <f>+(75+34/60+16/3600)</f>
        <v>75.571111111111108</v>
      </c>
      <c r="R3539" s="8">
        <v>99</v>
      </c>
      <c r="S3539" s="8">
        <v>99</v>
      </c>
      <c r="T3539" s="8">
        <v>99</v>
      </c>
      <c r="U3539" s="8">
        <v>99</v>
      </c>
      <c r="Y3539" s="8" t="s">
        <v>16222</v>
      </c>
      <c r="Z3539" s="8" t="s">
        <v>16223</v>
      </c>
    </row>
    <row r="3540" spans="1:26" x14ac:dyDescent="0.2">
      <c r="A3540" s="8">
        <v>3539</v>
      </c>
      <c r="B3540" s="8" t="s">
        <v>16224</v>
      </c>
      <c r="C3540" s="8" t="s">
        <v>16224</v>
      </c>
      <c r="F3540" s="47"/>
      <c r="G3540" s="8">
        <v>16</v>
      </c>
      <c r="H3540" s="8" t="s">
        <v>21</v>
      </c>
      <c r="I3540" s="8" t="s">
        <v>22</v>
      </c>
      <c r="J3540" s="8" t="s">
        <v>22</v>
      </c>
      <c r="K3540" s="8" t="s">
        <v>37</v>
      </c>
      <c r="L3540" s="8" t="s">
        <v>12015</v>
      </c>
      <c r="M3540" s="8" t="s">
        <v>12016</v>
      </c>
      <c r="N3540" s="8" t="s">
        <v>16225</v>
      </c>
      <c r="O3540" s="8">
        <f>11+9/60+8.8/3600</f>
        <v>11.152444444444445</v>
      </c>
      <c r="P3540" s="8" t="s">
        <v>16226</v>
      </c>
      <c r="Q3540" s="8">
        <f>+(28+40/60+21/3600)</f>
        <v>28.672499999999999</v>
      </c>
      <c r="R3540" s="8">
        <v>14.6</v>
      </c>
      <c r="S3540" s="8">
        <v>15.6</v>
      </c>
      <c r="T3540" s="8">
        <v>1</v>
      </c>
      <c r="U3540" s="8">
        <v>12.8</v>
      </c>
      <c r="V3540" s="8">
        <v>1.1000000000000001</v>
      </c>
      <c r="W3540" s="8">
        <v>0.2</v>
      </c>
      <c r="X3540" s="8">
        <v>0</v>
      </c>
      <c r="Y3540" s="8" t="s">
        <v>47</v>
      </c>
      <c r="Z3540" s="8" t="s">
        <v>48</v>
      </c>
    </row>
    <row r="3541" spans="1:26" x14ac:dyDescent="0.2">
      <c r="A3541" s="8">
        <v>3540</v>
      </c>
      <c r="B3541" s="8" t="s">
        <v>16227</v>
      </c>
      <c r="C3541" s="8" t="s">
        <v>16227</v>
      </c>
      <c r="F3541" s="47"/>
      <c r="G3541" s="8">
        <v>16</v>
      </c>
      <c r="H3541" s="8" t="s">
        <v>21</v>
      </c>
      <c r="I3541" s="8" t="s">
        <v>22</v>
      </c>
      <c r="J3541" s="8" t="s">
        <v>22</v>
      </c>
      <c r="K3541" s="8" t="s">
        <v>224</v>
      </c>
      <c r="L3541" s="8" t="s">
        <v>12015</v>
      </c>
      <c r="M3541" s="8" t="s">
        <v>12016</v>
      </c>
      <c r="N3541" s="8" t="s">
        <v>16228</v>
      </c>
      <c r="O3541" s="8">
        <f>11+9/60+16/3600</f>
        <v>11.154444444444445</v>
      </c>
      <c r="P3541" s="8" t="s">
        <v>16229</v>
      </c>
      <c r="Q3541" s="8">
        <f>+(36+1/60+17/3600)</f>
        <v>36.021388888888886</v>
      </c>
      <c r="R3541" s="8">
        <v>13.3</v>
      </c>
      <c r="S3541" s="8">
        <v>14.3</v>
      </c>
      <c r="T3541" s="8">
        <v>1</v>
      </c>
      <c r="U3541" s="8">
        <v>13.7</v>
      </c>
      <c r="V3541" s="8">
        <v>1.4</v>
      </c>
      <c r="W3541" s="8">
        <v>1.2</v>
      </c>
      <c r="X3541" s="8">
        <v>63</v>
      </c>
      <c r="Y3541" s="8" t="s">
        <v>16230</v>
      </c>
      <c r="Z3541" s="8" t="s">
        <v>16231</v>
      </c>
    </row>
    <row r="3542" spans="1:26" x14ac:dyDescent="0.2">
      <c r="A3542" s="8">
        <v>3541</v>
      </c>
      <c r="B3542" s="8" t="s">
        <v>16232</v>
      </c>
      <c r="C3542" s="8" t="s">
        <v>16232</v>
      </c>
      <c r="F3542" s="47"/>
      <c r="G3542" s="8">
        <v>19</v>
      </c>
      <c r="H3542" s="8" t="s">
        <v>21</v>
      </c>
      <c r="I3542" s="8" t="s">
        <v>22</v>
      </c>
      <c r="J3542" s="8" t="s">
        <v>22</v>
      </c>
      <c r="K3542" s="8" t="s">
        <v>579</v>
      </c>
      <c r="L3542" s="8" t="s">
        <v>15699</v>
      </c>
      <c r="M3542" s="8" t="s">
        <v>15700</v>
      </c>
      <c r="N3542" s="8" t="s">
        <v>16233</v>
      </c>
      <c r="O3542" s="8">
        <f>11+8/60+32.2/3600</f>
        <v>11.142277777777778</v>
      </c>
      <c r="P3542" s="8" t="s">
        <v>16234</v>
      </c>
      <c r="Q3542" s="8">
        <f>-(10+29/60+31/3600)</f>
        <v>-10.491944444444444</v>
      </c>
      <c r="R3542" s="8">
        <v>14.5</v>
      </c>
      <c r="S3542" s="8">
        <v>15.2</v>
      </c>
      <c r="T3542" s="8">
        <v>0.7</v>
      </c>
      <c r="U3542" s="8">
        <v>15</v>
      </c>
      <c r="V3542" s="8">
        <v>1.4</v>
      </c>
      <c r="W3542" s="8">
        <v>1.3</v>
      </c>
      <c r="X3542" s="8">
        <v>138</v>
      </c>
      <c r="Y3542" s="8" t="s">
        <v>16235</v>
      </c>
      <c r="Z3542" s="8" t="s">
        <v>652</v>
      </c>
    </row>
    <row r="3543" spans="1:26" x14ac:dyDescent="0.2">
      <c r="A3543" s="8">
        <v>3542</v>
      </c>
      <c r="B3543" s="8" t="s">
        <v>16236</v>
      </c>
      <c r="C3543" s="8" t="s">
        <v>16236</v>
      </c>
      <c r="F3543" s="47"/>
      <c r="G3543" s="8">
        <v>19</v>
      </c>
      <c r="H3543" s="8" t="s">
        <v>21</v>
      </c>
      <c r="I3543" s="8" t="s">
        <v>22</v>
      </c>
      <c r="J3543" s="8" t="s">
        <v>22</v>
      </c>
      <c r="K3543" s="8" t="s">
        <v>85</v>
      </c>
      <c r="L3543" s="8" t="s">
        <v>12015</v>
      </c>
      <c r="M3543" s="8" t="s">
        <v>12016</v>
      </c>
      <c r="N3543" s="8" t="s">
        <v>16237</v>
      </c>
      <c r="O3543" s="8">
        <f>11+9/60+55.6/3600</f>
        <v>11.165444444444445</v>
      </c>
      <c r="P3543" s="8" t="s">
        <v>16238</v>
      </c>
      <c r="Q3543" s="8">
        <f>+(36+56/60+47/3600)</f>
        <v>36.946388888888883</v>
      </c>
      <c r="R3543" s="8">
        <v>14.2</v>
      </c>
      <c r="S3543" s="8">
        <v>15</v>
      </c>
      <c r="T3543" s="8">
        <v>0.8</v>
      </c>
      <c r="U3543" s="8">
        <v>12.5</v>
      </c>
      <c r="V3543" s="8">
        <v>0.8</v>
      </c>
      <c r="W3543" s="8">
        <v>0.3</v>
      </c>
      <c r="X3543" s="8">
        <v>45</v>
      </c>
      <c r="Y3543" s="8" t="s">
        <v>6236</v>
      </c>
      <c r="Z3543" s="8" t="s">
        <v>16239</v>
      </c>
    </row>
    <row r="3544" spans="1:26" x14ac:dyDescent="0.2">
      <c r="A3544" s="8">
        <v>3543</v>
      </c>
      <c r="B3544" s="8" t="s">
        <v>16240</v>
      </c>
      <c r="C3544" s="8" t="s">
        <v>16240</v>
      </c>
      <c r="F3544" s="47" t="s">
        <v>56897</v>
      </c>
      <c r="G3544" s="8">
        <v>15</v>
      </c>
      <c r="H3544" s="8" t="s">
        <v>21</v>
      </c>
      <c r="I3544" s="8" t="s">
        <v>22</v>
      </c>
      <c r="J3544" s="8" t="s">
        <v>22</v>
      </c>
      <c r="K3544" s="8" t="s">
        <v>160</v>
      </c>
      <c r="L3544" s="8" t="s">
        <v>12015</v>
      </c>
      <c r="M3544" s="8" t="s">
        <v>12016</v>
      </c>
      <c r="N3544" s="8" t="s">
        <v>16241</v>
      </c>
      <c r="O3544" s="8">
        <f>11+10/60+56.5/3600</f>
        <v>11.18236111111111</v>
      </c>
      <c r="P3544" s="8" t="s">
        <v>16242</v>
      </c>
      <c r="Q3544" s="8">
        <f>+(61+20/60+49/3600)</f>
        <v>61.346944444444446</v>
      </c>
      <c r="R3544" s="8">
        <v>14.2</v>
      </c>
      <c r="S3544" s="8">
        <v>14.9</v>
      </c>
      <c r="T3544" s="8">
        <v>0.7</v>
      </c>
      <c r="U3544" s="8">
        <v>13</v>
      </c>
      <c r="V3544" s="8">
        <v>1.3</v>
      </c>
      <c r="W3544" s="8">
        <v>0.3</v>
      </c>
      <c r="X3544" s="8">
        <v>8</v>
      </c>
      <c r="Y3544" s="8" t="s">
        <v>16243</v>
      </c>
      <c r="Z3544" s="8" t="s">
        <v>16244</v>
      </c>
    </row>
    <row r="3545" spans="1:26" x14ac:dyDescent="0.2">
      <c r="A3545" s="8">
        <v>3544</v>
      </c>
      <c r="B3545" s="8" t="s">
        <v>16245</v>
      </c>
      <c r="C3545" s="8" t="s">
        <v>16245</v>
      </c>
      <c r="F3545" s="47"/>
      <c r="G3545" s="8">
        <v>19</v>
      </c>
      <c r="H3545" s="8" t="s">
        <v>21</v>
      </c>
      <c r="I3545" s="8" t="s">
        <v>22</v>
      </c>
      <c r="J3545" s="8" t="s">
        <v>57</v>
      </c>
      <c r="K3545" s="8" t="s">
        <v>154</v>
      </c>
      <c r="L3545" s="8" t="s">
        <v>15699</v>
      </c>
      <c r="M3545" s="8" t="s">
        <v>15700</v>
      </c>
      <c r="N3545" s="8" t="s">
        <v>16246</v>
      </c>
      <c r="O3545" s="8">
        <f>11+11/60+30.4/3600</f>
        <v>11.191777777777778</v>
      </c>
      <c r="P3545" s="8" t="s">
        <v>16247</v>
      </c>
      <c r="Q3545" s="8">
        <f>-(18+17/60+24/3600)</f>
        <v>-18.290000000000003</v>
      </c>
      <c r="R3545" s="8">
        <v>12.1</v>
      </c>
      <c r="S3545" s="8">
        <v>13</v>
      </c>
      <c r="T3545" s="8">
        <v>0.9</v>
      </c>
      <c r="U3545" s="8">
        <v>13.1</v>
      </c>
      <c r="V3545" s="8">
        <v>3</v>
      </c>
      <c r="W3545" s="8">
        <v>0.9</v>
      </c>
      <c r="X3545" s="8">
        <v>94</v>
      </c>
      <c r="Y3545" s="8" t="s">
        <v>16248</v>
      </c>
      <c r="Z3545" s="8" t="s">
        <v>16249</v>
      </c>
    </row>
    <row r="3546" spans="1:26" x14ac:dyDescent="0.2">
      <c r="A3546" s="8">
        <v>3545</v>
      </c>
      <c r="B3546" s="8" t="s">
        <v>16250</v>
      </c>
      <c r="C3546" s="8" t="s">
        <v>16250</v>
      </c>
      <c r="F3546" s="47"/>
      <c r="G3546" s="8">
        <v>19</v>
      </c>
      <c r="H3546" s="8" t="s">
        <v>21</v>
      </c>
      <c r="I3546" s="8" t="s">
        <v>22</v>
      </c>
      <c r="J3546" s="8" t="s">
        <v>22</v>
      </c>
      <c r="K3546" s="8" t="s">
        <v>460</v>
      </c>
      <c r="L3546" s="8" t="s">
        <v>12015</v>
      </c>
      <c r="M3546" s="8" t="s">
        <v>12016</v>
      </c>
      <c r="N3546" s="8" t="s">
        <v>16251</v>
      </c>
      <c r="O3546" s="8">
        <f>11+10/60+13.1/3600</f>
        <v>11.170305555555554</v>
      </c>
      <c r="P3546" s="8" t="s">
        <v>16252</v>
      </c>
      <c r="Q3546" s="8">
        <f>+(36+58/60+1/3600)</f>
        <v>36.966944444444444</v>
      </c>
      <c r="R3546" s="8">
        <v>13.8</v>
      </c>
      <c r="S3546" s="8">
        <v>14.8</v>
      </c>
      <c r="T3546" s="8">
        <v>1</v>
      </c>
      <c r="U3546" s="8">
        <v>12.4</v>
      </c>
      <c r="V3546" s="8">
        <v>0.5</v>
      </c>
      <c r="W3546" s="8">
        <v>0.5</v>
      </c>
      <c r="Y3546" s="8" t="s">
        <v>16253</v>
      </c>
      <c r="Z3546" s="8" t="s">
        <v>16254</v>
      </c>
    </row>
    <row r="3547" spans="1:26" x14ac:dyDescent="0.2">
      <c r="A3547" s="8">
        <v>3546</v>
      </c>
      <c r="B3547" s="8" t="s">
        <v>16255</v>
      </c>
      <c r="C3547" s="8" t="s">
        <v>16255</v>
      </c>
      <c r="F3547" s="47"/>
      <c r="G3547" s="8">
        <v>19</v>
      </c>
      <c r="H3547" s="8" t="s">
        <v>21</v>
      </c>
      <c r="I3547" s="8" t="s">
        <v>22</v>
      </c>
      <c r="J3547" s="8" t="s">
        <v>22</v>
      </c>
      <c r="K3547" s="8" t="s">
        <v>58</v>
      </c>
      <c r="L3547" s="8" t="s">
        <v>15699</v>
      </c>
      <c r="M3547" s="8" t="s">
        <v>15700</v>
      </c>
      <c r="N3547" s="8" t="s">
        <v>16256</v>
      </c>
      <c r="O3547" s="8">
        <f>11+9/60+46.7/3600</f>
        <v>11.162972222222223</v>
      </c>
      <c r="P3547" s="8" t="s">
        <v>16257</v>
      </c>
      <c r="Q3547" s="8">
        <f>-(13+22/60+49/3600)</f>
        <v>-13.380277777777778</v>
      </c>
      <c r="R3547" s="8">
        <v>13.4</v>
      </c>
      <c r="S3547" s="8">
        <v>14.4</v>
      </c>
      <c r="T3547" s="8">
        <v>1</v>
      </c>
      <c r="U3547" s="8">
        <v>13.9</v>
      </c>
      <c r="V3547" s="8">
        <v>1.6</v>
      </c>
      <c r="W3547" s="8">
        <v>0.9</v>
      </c>
      <c r="X3547" s="8">
        <v>100</v>
      </c>
      <c r="Y3547" s="8" t="s">
        <v>16258</v>
      </c>
      <c r="Z3547" s="8" t="s">
        <v>16259</v>
      </c>
    </row>
    <row r="3548" spans="1:26" x14ac:dyDescent="0.2">
      <c r="A3548" s="8">
        <v>3547</v>
      </c>
      <c r="B3548" s="8" t="s">
        <v>16260</v>
      </c>
      <c r="C3548" s="8" t="s">
        <v>16260</v>
      </c>
      <c r="F3548" s="47" t="s">
        <v>56898</v>
      </c>
      <c r="G3548" s="8">
        <v>6.5</v>
      </c>
      <c r="H3548" s="8" t="s">
        <v>21</v>
      </c>
      <c r="I3548" s="8" t="s">
        <v>22</v>
      </c>
      <c r="J3548" s="8" t="s">
        <v>22</v>
      </c>
      <c r="K3548" s="8" t="s">
        <v>23</v>
      </c>
      <c r="L3548" s="8" t="s">
        <v>13194</v>
      </c>
      <c r="M3548" s="8" t="s">
        <v>13195</v>
      </c>
      <c r="N3548" s="8" t="s">
        <v>16261</v>
      </c>
      <c r="O3548" s="8">
        <f>11+9/60+55.9/3600</f>
        <v>11.165527777777777</v>
      </c>
      <c r="P3548" s="8" t="s">
        <v>16262</v>
      </c>
      <c r="Q3548" s="8">
        <f>+(10+43/60+15/3600)</f>
        <v>10.720833333333333</v>
      </c>
      <c r="R3548" s="8">
        <v>12.8</v>
      </c>
      <c r="S3548" s="8">
        <v>13.2</v>
      </c>
      <c r="T3548" s="8">
        <v>0.4</v>
      </c>
      <c r="U3548" s="8">
        <v>13.3</v>
      </c>
      <c r="V3548" s="8">
        <v>2</v>
      </c>
      <c r="W3548" s="8">
        <v>0.9</v>
      </c>
      <c r="X3548" s="8">
        <v>7</v>
      </c>
      <c r="Y3548" s="8" t="s">
        <v>16263</v>
      </c>
      <c r="Z3548" s="8" t="s">
        <v>16264</v>
      </c>
    </row>
    <row r="3549" spans="1:26" x14ac:dyDescent="0.2">
      <c r="A3549" s="8">
        <v>3548</v>
      </c>
      <c r="B3549" s="8" t="s">
        <v>16265</v>
      </c>
      <c r="C3549" s="8" t="s">
        <v>16265</v>
      </c>
      <c r="F3549" s="47"/>
      <c r="G3549" s="8">
        <v>16</v>
      </c>
      <c r="H3549" s="8" t="s">
        <v>21</v>
      </c>
      <c r="I3549" s="8" t="s">
        <v>22</v>
      </c>
      <c r="J3549" s="8" t="s">
        <v>57</v>
      </c>
      <c r="K3549" s="8" t="s">
        <v>224</v>
      </c>
      <c r="L3549" s="8" t="s">
        <v>12015</v>
      </c>
      <c r="M3549" s="8" t="s">
        <v>12016</v>
      </c>
      <c r="N3549" s="8" t="s">
        <v>16228</v>
      </c>
      <c r="O3549" s="8">
        <f>11+9/60+16/3600</f>
        <v>11.154444444444445</v>
      </c>
      <c r="P3549" s="8" t="s">
        <v>16229</v>
      </c>
      <c r="Q3549" s="8">
        <f>+(36+1/60+17/3600)</f>
        <v>36.021388888888886</v>
      </c>
      <c r="R3549" s="8">
        <v>13.3</v>
      </c>
      <c r="S3549" s="8">
        <v>14.3</v>
      </c>
      <c r="T3549" s="8">
        <v>1</v>
      </c>
      <c r="U3549" s="8">
        <v>13.7</v>
      </c>
      <c r="V3549" s="8">
        <v>1.4</v>
      </c>
      <c r="W3549" s="8">
        <v>1.2</v>
      </c>
      <c r="X3549" s="8">
        <v>63</v>
      </c>
      <c r="Y3549" s="8" t="s">
        <v>16230</v>
      </c>
      <c r="Z3549" s="8" t="s">
        <v>16266</v>
      </c>
    </row>
    <row r="3550" spans="1:26" x14ac:dyDescent="0.2">
      <c r="A3550" s="8">
        <v>3549</v>
      </c>
      <c r="B3550" s="8" t="s">
        <v>16267</v>
      </c>
      <c r="C3550" s="8" t="s">
        <v>16267</v>
      </c>
      <c r="F3550" s="47" t="s">
        <v>56899</v>
      </c>
      <c r="G3550" s="8">
        <v>12</v>
      </c>
      <c r="H3550" s="8" t="s">
        <v>21</v>
      </c>
      <c r="I3550" s="8" t="s">
        <v>22</v>
      </c>
      <c r="J3550" s="8" t="s">
        <v>22</v>
      </c>
      <c r="K3550" s="8" t="s">
        <v>160</v>
      </c>
      <c r="L3550" s="8" t="s">
        <v>12015</v>
      </c>
      <c r="M3550" s="8" t="s">
        <v>12016</v>
      </c>
      <c r="N3550" s="8" t="s">
        <v>16268</v>
      </c>
      <c r="O3550" s="8">
        <f>11+10/60+56.8/3600</f>
        <v>11.182444444444444</v>
      </c>
      <c r="P3550" s="8" t="s">
        <v>16269</v>
      </c>
      <c r="Q3550" s="8">
        <f>+(53+23/60+17/3600)</f>
        <v>53.388055555555553</v>
      </c>
      <c r="R3550" s="8">
        <v>12.1</v>
      </c>
      <c r="S3550" s="8">
        <v>12.8</v>
      </c>
      <c r="T3550" s="8">
        <v>0.7</v>
      </c>
      <c r="U3550" s="8">
        <v>13.4</v>
      </c>
      <c r="V3550" s="8">
        <v>3.1</v>
      </c>
      <c r="W3550" s="8">
        <v>1</v>
      </c>
      <c r="X3550" s="8">
        <v>38</v>
      </c>
      <c r="Y3550" s="8" t="s">
        <v>16270</v>
      </c>
      <c r="Z3550" s="8" t="s">
        <v>16271</v>
      </c>
    </row>
    <row r="3551" spans="1:26" x14ac:dyDescent="0.2">
      <c r="A3551" s="8">
        <v>3550</v>
      </c>
      <c r="B3551" s="8" t="s">
        <v>16272</v>
      </c>
      <c r="C3551" s="8" t="s">
        <v>16272</v>
      </c>
      <c r="F3551" s="47" t="s">
        <v>56900</v>
      </c>
      <c r="G3551" s="8">
        <v>15</v>
      </c>
      <c r="H3551" s="8" t="s">
        <v>21</v>
      </c>
      <c r="I3551" s="8" t="s">
        <v>22</v>
      </c>
      <c r="J3551" s="8" t="s">
        <v>22</v>
      </c>
      <c r="K3551" s="8" t="s">
        <v>58</v>
      </c>
      <c r="L3551" s="8" t="s">
        <v>12015</v>
      </c>
      <c r="M3551" s="8" t="s">
        <v>12016</v>
      </c>
      <c r="N3551" s="8" t="s">
        <v>16273</v>
      </c>
      <c r="O3551" s="8">
        <f>11+10/60+38.3/3600</f>
        <v>11.177305555555556</v>
      </c>
      <c r="P3551" s="8" t="s">
        <v>16274</v>
      </c>
      <c r="Q3551" s="8">
        <f>+(28+46/60+4/3600)</f>
        <v>28.767777777777777</v>
      </c>
      <c r="R3551" s="8">
        <v>13.2</v>
      </c>
      <c r="S3551" s="8">
        <v>14.2</v>
      </c>
      <c r="T3551" s="8">
        <v>1</v>
      </c>
      <c r="U3551" s="8">
        <v>13.3</v>
      </c>
      <c r="V3551" s="8">
        <v>1</v>
      </c>
      <c r="W3551" s="8">
        <v>1</v>
      </c>
      <c r="Y3551" s="8" t="s">
        <v>16275</v>
      </c>
      <c r="Z3551" s="8" t="s">
        <v>16276</v>
      </c>
    </row>
    <row r="3552" spans="1:26" x14ac:dyDescent="0.2">
      <c r="A3552" s="8">
        <v>3551</v>
      </c>
      <c r="B3552" s="8" t="s">
        <v>16277</v>
      </c>
      <c r="C3552" s="8" t="s">
        <v>16277</v>
      </c>
      <c r="F3552" s="47"/>
      <c r="G3552" s="8">
        <v>19</v>
      </c>
      <c r="H3552" s="8" t="s">
        <v>21</v>
      </c>
      <c r="I3552" s="8" t="s">
        <v>22</v>
      </c>
      <c r="J3552" s="8" t="s">
        <v>22</v>
      </c>
      <c r="K3552" s="8" t="s">
        <v>183</v>
      </c>
      <c r="L3552" s="8" t="s">
        <v>13194</v>
      </c>
      <c r="M3552" s="8" t="s">
        <v>13195</v>
      </c>
      <c r="N3552" s="8" t="s">
        <v>16278</v>
      </c>
      <c r="O3552" s="8">
        <f>11+9/60+44.3/3600</f>
        <v>11.162305555555555</v>
      </c>
      <c r="P3552" s="8" t="s">
        <v>16279</v>
      </c>
      <c r="Q3552" s="8">
        <f>+(21+45/60+33/3600)</f>
        <v>21.759166666666665</v>
      </c>
      <c r="R3552" s="8">
        <v>13.5</v>
      </c>
      <c r="S3552" s="8">
        <v>14.5</v>
      </c>
      <c r="T3552" s="8">
        <v>1</v>
      </c>
      <c r="U3552" s="8">
        <v>14.8</v>
      </c>
      <c r="V3552" s="8">
        <v>1.8</v>
      </c>
      <c r="W3552" s="8">
        <v>1.7</v>
      </c>
      <c r="X3552" s="8">
        <v>30</v>
      </c>
      <c r="Y3552" s="8" t="s">
        <v>16280</v>
      </c>
      <c r="Z3552" s="8" t="s">
        <v>16281</v>
      </c>
    </row>
    <row r="3553" spans="1:26" x14ac:dyDescent="0.2">
      <c r="A3553" s="8">
        <v>3552</v>
      </c>
      <c r="B3553" s="8" t="s">
        <v>16282</v>
      </c>
      <c r="C3553" s="8" t="s">
        <v>16282</v>
      </c>
      <c r="F3553" s="47" t="s">
        <v>56901</v>
      </c>
      <c r="G3553" s="8">
        <v>15</v>
      </c>
      <c r="H3553" s="8" t="s">
        <v>21</v>
      </c>
      <c r="I3553" s="8" t="s">
        <v>22</v>
      </c>
      <c r="J3553" s="8" t="s">
        <v>22</v>
      </c>
      <c r="K3553" s="8" t="s">
        <v>58</v>
      </c>
      <c r="L3553" s="8" t="s">
        <v>12015</v>
      </c>
      <c r="M3553" s="8" t="s">
        <v>12016</v>
      </c>
      <c r="N3553" s="8" t="s">
        <v>16283</v>
      </c>
      <c r="O3553" s="8">
        <f>11+10/60+42.8/3600</f>
        <v>11.178555555555555</v>
      </c>
      <c r="P3553" s="8" t="s">
        <v>16284</v>
      </c>
      <c r="Q3553" s="8">
        <f>+(28+41/60+35/3600)</f>
        <v>28.693055555555556</v>
      </c>
      <c r="R3553" s="8">
        <v>13.7</v>
      </c>
      <c r="S3553" s="8">
        <v>14.7</v>
      </c>
      <c r="T3553" s="8">
        <v>1</v>
      </c>
      <c r="U3553" s="8">
        <v>13.8</v>
      </c>
      <c r="V3553" s="8">
        <v>0.7</v>
      </c>
      <c r="W3553" s="8">
        <v>0.7</v>
      </c>
      <c r="Y3553" s="8" t="s">
        <v>16285</v>
      </c>
      <c r="Z3553" s="8" t="s">
        <v>16286</v>
      </c>
    </row>
    <row r="3554" spans="1:26" x14ac:dyDescent="0.2">
      <c r="A3554" s="8">
        <v>3553</v>
      </c>
      <c r="B3554" s="8" t="s">
        <v>16287</v>
      </c>
      <c r="C3554" s="8" t="s">
        <v>16287</v>
      </c>
      <c r="F3554" s="47"/>
      <c r="G3554" s="8">
        <v>19</v>
      </c>
      <c r="H3554" s="8" t="s">
        <v>21</v>
      </c>
      <c r="I3554" s="8" t="s">
        <v>22</v>
      </c>
      <c r="J3554" s="8" t="s">
        <v>22</v>
      </c>
      <c r="K3554" s="8" t="s">
        <v>58</v>
      </c>
      <c r="L3554" s="8" t="s">
        <v>12015</v>
      </c>
      <c r="M3554" s="8" t="s">
        <v>12016</v>
      </c>
      <c r="N3554" s="8" t="s">
        <v>16288</v>
      </c>
      <c r="O3554" s="8">
        <f>11+10/60+40.3/3600</f>
        <v>11.17786111111111</v>
      </c>
      <c r="P3554" s="8" t="s">
        <v>16289</v>
      </c>
      <c r="Q3554" s="8">
        <f>+(28+41/60+9/3600)</f>
        <v>28.685833333333335</v>
      </c>
      <c r="R3554" s="8">
        <v>13</v>
      </c>
      <c r="S3554" s="8">
        <v>14</v>
      </c>
      <c r="T3554" s="8">
        <v>1</v>
      </c>
      <c r="U3554" s="8">
        <v>12.3</v>
      </c>
      <c r="V3554" s="8">
        <v>0.4</v>
      </c>
      <c r="W3554" s="8">
        <v>0.3</v>
      </c>
      <c r="X3554" s="8">
        <v>17</v>
      </c>
      <c r="Y3554" s="8" t="s">
        <v>16290</v>
      </c>
      <c r="Z3554" s="8" t="s">
        <v>16291</v>
      </c>
    </row>
    <row r="3555" spans="1:26" x14ac:dyDescent="0.2">
      <c r="A3555" s="8">
        <v>3554</v>
      </c>
      <c r="B3555" s="8" t="s">
        <v>16292</v>
      </c>
      <c r="C3555" s="8" t="s">
        <v>16292</v>
      </c>
      <c r="F3555" s="47"/>
      <c r="G3555" s="8">
        <v>16</v>
      </c>
      <c r="H3555" s="8" t="s">
        <v>21</v>
      </c>
      <c r="I3555" s="8" t="s">
        <v>22</v>
      </c>
      <c r="J3555" s="8" t="s">
        <v>22</v>
      </c>
      <c r="K3555" s="8" t="s">
        <v>460</v>
      </c>
      <c r="L3555" s="8" t="s">
        <v>12015</v>
      </c>
      <c r="M3555" s="8" t="s">
        <v>12016</v>
      </c>
      <c r="N3555" s="8" t="s">
        <v>16293</v>
      </c>
      <c r="O3555" s="8">
        <f>11+10/60+47.8/3600</f>
        <v>11.179944444444445</v>
      </c>
      <c r="P3555" s="8" t="s">
        <v>16294</v>
      </c>
      <c r="Q3555" s="8">
        <f>+(28+39/60+38/3600)</f>
        <v>28.660555555555554</v>
      </c>
      <c r="R3555" s="8">
        <v>14.2</v>
      </c>
      <c r="S3555" s="8">
        <v>15.2</v>
      </c>
      <c r="T3555" s="8">
        <v>1</v>
      </c>
      <c r="U3555" s="8">
        <v>12.8</v>
      </c>
      <c r="V3555" s="8">
        <v>0.5</v>
      </c>
      <c r="W3555" s="8">
        <v>0.5</v>
      </c>
      <c r="Y3555" s="8" t="s">
        <v>16295</v>
      </c>
      <c r="Z3555" s="8" t="s">
        <v>16296</v>
      </c>
    </row>
    <row r="3556" spans="1:26" x14ac:dyDescent="0.2">
      <c r="A3556" s="8">
        <v>3555</v>
      </c>
      <c r="B3556" s="8" t="s">
        <v>16297</v>
      </c>
      <c r="C3556" s="8" t="s">
        <v>16297</v>
      </c>
      <c r="F3556" s="47"/>
      <c r="G3556" s="8">
        <v>19</v>
      </c>
      <c r="H3556" s="8" t="s">
        <v>21</v>
      </c>
      <c r="I3556" s="8" t="s">
        <v>22</v>
      </c>
      <c r="J3556" s="8" t="s">
        <v>22</v>
      </c>
      <c r="K3556" s="8" t="s">
        <v>37</v>
      </c>
      <c r="L3556" s="8" t="s">
        <v>13194</v>
      </c>
      <c r="M3556" s="8" t="s">
        <v>13195</v>
      </c>
      <c r="N3556" s="8" t="s">
        <v>16298</v>
      </c>
      <c r="O3556" s="8">
        <f>11+9/60+50.2/3600</f>
        <v>11.163944444444445</v>
      </c>
      <c r="P3556" s="8" t="s">
        <v>16299</v>
      </c>
      <c r="Q3556" s="8">
        <f>+(21+48/60+38/3600)</f>
        <v>21.810555555555556</v>
      </c>
      <c r="R3556" s="8">
        <v>14.7</v>
      </c>
      <c r="S3556" s="8">
        <v>15.7</v>
      </c>
      <c r="T3556" s="8">
        <v>1</v>
      </c>
      <c r="U3556" s="8">
        <v>12.3</v>
      </c>
      <c r="V3556" s="8">
        <v>0.4</v>
      </c>
      <c r="W3556" s="8">
        <v>0.3</v>
      </c>
      <c r="X3556" s="8">
        <v>15</v>
      </c>
      <c r="Y3556" s="8" t="s">
        <v>16300</v>
      </c>
      <c r="Z3556" s="8" t="s">
        <v>16301</v>
      </c>
    </row>
    <row r="3557" spans="1:26" x14ac:dyDescent="0.2">
      <c r="A3557" s="8">
        <v>3556</v>
      </c>
      <c r="B3557" s="8" t="s">
        <v>16302</v>
      </c>
      <c r="C3557" s="8" t="s">
        <v>55892</v>
      </c>
      <c r="F3557" s="47" t="s">
        <v>56902</v>
      </c>
      <c r="G3557" s="8">
        <v>1</v>
      </c>
      <c r="H3557" s="8" t="s">
        <v>16303</v>
      </c>
      <c r="I3557" s="8" t="s">
        <v>22</v>
      </c>
      <c r="J3557" s="8" t="s">
        <v>22</v>
      </c>
      <c r="K3557" s="8" t="s">
        <v>160</v>
      </c>
      <c r="L3557" s="8" t="s">
        <v>12015</v>
      </c>
      <c r="M3557" s="8" t="s">
        <v>12016</v>
      </c>
      <c r="N3557" s="8" t="s">
        <v>16304</v>
      </c>
      <c r="O3557" s="8">
        <f>11+11/60+29.4/3600</f>
        <v>11.1915</v>
      </c>
      <c r="P3557" s="8" t="s">
        <v>16305</v>
      </c>
      <c r="Q3557" s="8">
        <f>+(55+40/60+22/3600)</f>
        <v>55.672777777777775</v>
      </c>
      <c r="R3557" s="8">
        <v>10</v>
      </c>
      <c r="S3557" s="8">
        <v>10.7</v>
      </c>
      <c r="T3557" s="8">
        <v>0.7</v>
      </c>
      <c r="U3557" s="8">
        <v>13.1</v>
      </c>
      <c r="V3557" s="8">
        <v>8.6</v>
      </c>
      <c r="W3557" s="8">
        <v>2.4</v>
      </c>
      <c r="X3557" s="8">
        <v>80</v>
      </c>
      <c r="Y3557" s="8" t="s">
        <v>16306</v>
      </c>
      <c r="Z3557" s="8" t="s">
        <v>16307</v>
      </c>
    </row>
    <row r="3558" spans="1:26" x14ac:dyDescent="0.2">
      <c r="A3558" s="8">
        <v>3557</v>
      </c>
      <c r="B3558" s="8" t="s">
        <v>16308</v>
      </c>
      <c r="C3558" s="8" t="s">
        <v>16308</v>
      </c>
      <c r="F3558" s="47"/>
      <c r="G3558" s="8">
        <v>13</v>
      </c>
      <c r="H3558" s="8" t="s">
        <v>21</v>
      </c>
      <c r="I3558" s="8" t="s">
        <v>22</v>
      </c>
      <c r="J3558" s="8" t="s">
        <v>22</v>
      </c>
      <c r="K3558" s="8" t="s">
        <v>382</v>
      </c>
      <c r="L3558" s="8" t="s">
        <v>16195</v>
      </c>
      <c r="M3558" s="8" t="s">
        <v>16196</v>
      </c>
      <c r="N3558" s="8" t="s">
        <v>16309</v>
      </c>
      <c r="O3558" s="8">
        <f>11+9/60+57.4/3600</f>
        <v>11.165944444444445</v>
      </c>
      <c r="P3558" s="8" t="s">
        <v>16310</v>
      </c>
      <c r="Q3558" s="8">
        <f>-(37+32/60+22/3600)</f>
        <v>-37.539444444444442</v>
      </c>
      <c r="R3558" s="8">
        <v>10.4</v>
      </c>
      <c r="S3558" s="8">
        <v>11.4</v>
      </c>
      <c r="T3558" s="8">
        <v>1</v>
      </c>
      <c r="U3558" s="8">
        <v>13.1</v>
      </c>
      <c r="V3558" s="8">
        <v>4</v>
      </c>
      <c r="W3558" s="8">
        <v>3</v>
      </c>
      <c r="X3558" s="8">
        <v>21</v>
      </c>
      <c r="Y3558" s="8" t="s">
        <v>16311</v>
      </c>
      <c r="Z3558" s="8" t="s">
        <v>16312</v>
      </c>
    </row>
    <row r="3559" spans="1:26" x14ac:dyDescent="0.2">
      <c r="A3559" s="8">
        <v>3558</v>
      </c>
      <c r="B3559" s="8" t="s">
        <v>16313</v>
      </c>
      <c r="C3559" s="8" t="s">
        <v>16313</v>
      </c>
      <c r="F3559" s="47"/>
      <c r="G3559" s="8">
        <v>18</v>
      </c>
      <c r="H3559" s="8" t="s">
        <v>21</v>
      </c>
      <c r="I3559" s="8" t="s">
        <v>22</v>
      </c>
      <c r="J3559" s="8" t="s">
        <v>22</v>
      </c>
      <c r="K3559" s="8" t="s">
        <v>183</v>
      </c>
      <c r="L3559" s="8" t="s">
        <v>12015</v>
      </c>
      <c r="M3559" s="8" t="s">
        <v>12016</v>
      </c>
      <c r="N3559" s="8" t="s">
        <v>16314</v>
      </c>
      <c r="O3559" s="8">
        <f>11+10/60+55.9/3600</f>
        <v>11.182194444444443</v>
      </c>
      <c r="P3559" s="8" t="s">
        <v>16315</v>
      </c>
      <c r="Q3559" s="8">
        <f>+(28+32/60+37/3600)</f>
        <v>28.543611111111112</v>
      </c>
      <c r="R3559" s="8">
        <v>13.8</v>
      </c>
      <c r="S3559" s="8">
        <v>14.8</v>
      </c>
      <c r="T3559" s="8">
        <v>1</v>
      </c>
      <c r="U3559" s="8">
        <v>13.5</v>
      </c>
      <c r="V3559" s="8">
        <v>0.9</v>
      </c>
      <c r="W3559" s="8">
        <v>0.8</v>
      </c>
      <c r="X3559" s="8">
        <v>138</v>
      </c>
      <c r="Y3559" s="8" t="s">
        <v>6001</v>
      </c>
      <c r="Z3559" s="8" t="s">
        <v>6002</v>
      </c>
    </row>
    <row r="3560" spans="1:26" x14ac:dyDescent="0.2">
      <c r="A3560" s="8">
        <v>3559</v>
      </c>
      <c r="B3560" s="8" t="s">
        <v>16316</v>
      </c>
      <c r="C3560" s="8" t="s">
        <v>16316</v>
      </c>
      <c r="F3560" s="47" t="s">
        <v>56903</v>
      </c>
      <c r="G3560" s="8">
        <v>15</v>
      </c>
      <c r="H3560" s="8" t="s">
        <v>21</v>
      </c>
      <c r="I3560" s="8" t="s">
        <v>22</v>
      </c>
      <c r="J3560" s="8" t="s">
        <v>22</v>
      </c>
      <c r="K3560" s="8" t="s">
        <v>124</v>
      </c>
      <c r="L3560" s="8" t="s">
        <v>13194</v>
      </c>
      <c r="M3560" s="8" t="s">
        <v>13195</v>
      </c>
      <c r="N3560" s="8" t="s">
        <v>16317</v>
      </c>
      <c r="O3560" s="8">
        <f>11+10/60+45.1/3600</f>
        <v>11.179194444444445</v>
      </c>
      <c r="P3560" s="8" t="s">
        <v>16318</v>
      </c>
      <c r="Q3560" s="8">
        <f>+(12+0/60+59/3600)</f>
        <v>12.016388888888889</v>
      </c>
      <c r="R3560" s="8">
        <v>12.8</v>
      </c>
      <c r="S3560" s="8">
        <v>13.7</v>
      </c>
      <c r="T3560" s="8">
        <v>0.9</v>
      </c>
      <c r="U3560" s="8">
        <v>12.8</v>
      </c>
      <c r="V3560" s="8">
        <v>1.3</v>
      </c>
      <c r="W3560" s="8">
        <v>0.9</v>
      </c>
      <c r="X3560" s="8">
        <v>55</v>
      </c>
      <c r="Y3560" s="8" t="s">
        <v>16319</v>
      </c>
      <c r="Z3560" s="8" t="s">
        <v>16320</v>
      </c>
    </row>
    <row r="3561" spans="1:26" x14ac:dyDescent="0.2">
      <c r="A3561" s="8">
        <v>3560</v>
      </c>
      <c r="B3561" s="8" t="s">
        <v>16321</v>
      </c>
      <c r="C3561" s="8" t="s">
        <v>16321</v>
      </c>
      <c r="F3561" s="47"/>
      <c r="G3561" s="8">
        <v>16</v>
      </c>
      <c r="H3561" s="8" t="s">
        <v>21</v>
      </c>
      <c r="I3561" s="8" t="s">
        <v>22</v>
      </c>
      <c r="J3561" s="8" t="s">
        <v>57</v>
      </c>
      <c r="K3561" s="8" t="s">
        <v>124</v>
      </c>
      <c r="L3561" s="8" t="s">
        <v>13194</v>
      </c>
      <c r="M3561" s="8" t="s">
        <v>13195</v>
      </c>
      <c r="N3561" s="8" t="s">
        <v>16317</v>
      </c>
      <c r="O3561" s="8">
        <f>11+10/60+45.1/3600</f>
        <v>11.179194444444445</v>
      </c>
      <c r="P3561" s="8" t="s">
        <v>16318</v>
      </c>
      <c r="Q3561" s="8">
        <f>+(12+0/60+59/3600)</f>
        <v>12.016388888888889</v>
      </c>
      <c r="R3561" s="8">
        <v>12.8</v>
      </c>
      <c r="S3561" s="8">
        <v>13.7</v>
      </c>
      <c r="T3561" s="8">
        <v>0.9</v>
      </c>
      <c r="U3561" s="8">
        <v>12.8</v>
      </c>
      <c r="V3561" s="8">
        <v>1.3</v>
      </c>
      <c r="W3561" s="8">
        <v>0.9</v>
      </c>
      <c r="X3561" s="8">
        <v>55</v>
      </c>
      <c r="Y3561" s="8" t="s">
        <v>16319</v>
      </c>
      <c r="Z3561" s="8" t="s">
        <v>6421</v>
      </c>
    </row>
    <row r="3562" spans="1:26" x14ac:dyDescent="0.2">
      <c r="A3562" s="8">
        <v>3561</v>
      </c>
      <c r="B3562" s="8" t="s">
        <v>16322</v>
      </c>
      <c r="C3562" s="8" t="s">
        <v>16322</v>
      </c>
      <c r="F3562" s="47"/>
      <c r="G3562" s="8">
        <v>14</v>
      </c>
      <c r="H3562" s="8" t="s">
        <v>16323</v>
      </c>
      <c r="I3562" s="8" t="s">
        <v>22</v>
      </c>
      <c r="J3562" s="8" t="s">
        <v>22</v>
      </c>
      <c r="K3562" s="8" t="s">
        <v>435</v>
      </c>
      <c r="L3562" s="8" t="s">
        <v>12015</v>
      </c>
      <c r="M3562" s="8" t="s">
        <v>12016</v>
      </c>
      <c r="N3562" s="8" t="s">
        <v>16324</v>
      </c>
      <c r="O3562" s="8">
        <f>11+11/60+13.2/3600</f>
        <v>11.186999999999999</v>
      </c>
      <c r="P3562" s="8" t="s">
        <v>16325</v>
      </c>
      <c r="Q3562" s="8">
        <f>+(28+41/60+48/3600)</f>
        <v>28.696666666666665</v>
      </c>
      <c r="R3562" s="8">
        <v>13.8</v>
      </c>
      <c r="S3562" s="8">
        <v>14.7</v>
      </c>
      <c r="T3562" s="8">
        <v>0.9</v>
      </c>
      <c r="U3562" s="8">
        <v>13.2</v>
      </c>
      <c r="V3562" s="8">
        <v>0.8</v>
      </c>
      <c r="W3562" s="8">
        <v>0.8</v>
      </c>
      <c r="Y3562" s="8" t="s">
        <v>16326</v>
      </c>
      <c r="Z3562" s="8" t="s">
        <v>16327</v>
      </c>
    </row>
    <row r="3563" spans="1:26" x14ac:dyDescent="0.2">
      <c r="A3563" s="8">
        <v>3562</v>
      </c>
      <c r="B3563" s="8" t="s">
        <v>16328</v>
      </c>
      <c r="C3563" s="8" t="s">
        <v>16328</v>
      </c>
      <c r="F3563" s="47" t="s">
        <v>56904</v>
      </c>
      <c r="G3563" s="8">
        <v>15</v>
      </c>
      <c r="H3563" s="8" t="s">
        <v>21</v>
      </c>
      <c r="I3563" s="8" t="s">
        <v>22</v>
      </c>
      <c r="J3563" s="8" t="s">
        <v>22</v>
      </c>
      <c r="K3563" s="8" t="s">
        <v>1136</v>
      </c>
      <c r="L3563" s="8" t="s">
        <v>13395</v>
      </c>
      <c r="M3563" s="8" t="s">
        <v>13396</v>
      </c>
      <c r="N3563" s="8" t="s">
        <v>16329</v>
      </c>
      <c r="O3563" s="8">
        <f>11+12/60+58.4/3600</f>
        <v>11.216222222222221</v>
      </c>
      <c r="P3563" s="8" t="s">
        <v>16330</v>
      </c>
      <c r="Q3563" s="8">
        <f>+(72+52/60+45/3600)</f>
        <v>72.879166666666663</v>
      </c>
      <c r="R3563" s="8">
        <v>12.2</v>
      </c>
      <c r="S3563" s="8">
        <v>13.2</v>
      </c>
      <c r="T3563" s="8">
        <v>1</v>
      </c>
      <c r="U3563" s="8">
        <v>13.1</v>
      </c>
      <c r="V3563" s="8">
        <v>1.7</v>
      </c>
      <c r="W3563" s="8">
        <v>1.3</v>
      </c>
      <c r="X3563" s="8">
        <v>16</v>
      </c>
      <c r="Y3563" s="8" t="s">
        <v>16331</v>
      </c>
      <c r="Z3563" s="8" t="s">
        <v>16332</v>
      </c>
    </row>
    <row r="3564" spans="1:26" x14ac:dyDescent="0.2">
      <c r="A3564" s="8">
        <v>3563</v>
      </c>
      <c r="B3564" s="8" t="s">
        <v>16333</v>
      </c>
      <c r="C3564" s="8" t="s">
        <v>16333</v>
      </c>
      <c r="F3564" s="47"/>
      <c r="G3564" s="8">
        <v>18</v>
      </c>
      <c r="H3564" s="8" t="s">
        <v>21</v>
      </c>
      <c r="I3564" s="8" t="s">
        <v>22</v>
      </c>
      <c r="J3564" s="8" t="s">
        <v>22</v>
      </c>
      <c r="K3564" s="8" t="s">
        <v>224</v>
      </c>
      <c r="L3564" s="8" t="s">
        <v>13194</v>
      </c>
      <c r="M3564" s="8" t="s">
        <v>13195</v>
      </c>
      <c r="N3564" s="8" t="s">
        <v>16334</v>
      </c>
      <c r="O3564" s="8">
        <f>11+11/60+25.2/3600</f>
        <v>11.190333333333333</v>
      </c>
      <c r="P3564" s="8" t="s">
        <v>16335</v>
      </c>
      <c r="Q3564" s="8">
        <f>+(26+57/60+51/3600)</f>
        <v>26.964166666666667</v>
      </c>
      <c r="R3564" s="8">
        <v>13.7</v>
      </c>
      <c r="S3564" s="8">
        <v>14.7</v>
      </c>
      <c r="T3564" s="8">
        <v>1</v>
      </c>
      <c r="U3564" s="8">
        <v>13.3</v>
      </c>
      <c r="V3564" s="8">
        <v>1.1000000000000001</v>
      </c>
      <c r="W3564" s="8">
        <v>0.8</v>
      </c>
      <c r="X3564" s="8">
        <v>174</v>
      </c>
      <c r="Y3564" s="8" t="s">
        <v>16336</v>
      </c>
      <c r="Z3564" s="8" t="s">
        <v>16337</v>
      </c>
    </row>
    <row r="3565" spans="1:26" x14ac:dyDescent="0.2">
      <c r="A3565" s="8">
        <v>3564</v>
      </c>
      <c r="B3565" s="8" t="s">
        <v>16338</v>
      </c>
      <c r="C3565" s="8" t="s">
        <v>16338</v>
      </c>
      <c r="F3565" s="47"/>
      <c r="G3565" s="8">
        <v>16</v>
      </c>
      <c r="H3565" s="8" t="s">
        <v>21</v>
      </c>
      <c r="I3565" s="8" t="s">
        <v>22</v>
      </c>
      <c r="J3565" s="8" t="s">
        <v>22</v>
      </c>
      <c r="K3565" s="8" t="s">
        <v>37</v>
      </c>
      <c r="L3565" s="8" t="s">
        <v>16195</v>
      </c>
      <c r="M3565" s="8" t="s">
        <v>16196</v>
      </c>
      <c r="N3565" s="8" t="s">
        <v>16339</v>
      </c>
      <c r="O3565" s="8">
        <f>11+10/60+36.2/3600</f>
        <v>11.176722222222221</v>
      </c>
      <c r="P3565" s="8" t="s">
        <v>16340</v>
      </c>
      <c r="Q3565" s="8">
        <f>-(37+32/60+54/3600)</f>
        <v>-37.548333333333332</v>
      </c>
      <c r="R3565" s="8">
        <v>12.1</v>
      </c>
      <c r="S3565" s="8">
        <v>13.1</v>
      </c>
      <c r="T3565" s="8">
        <v>1</v>
      </c>
      <c r="U3565" s="8">
        <v>12.4</v>
      </c>
      <c r="V3565" s="8">
        <v>1.7</v>
      </c>
      <c r="W3565" s="8">
        <v>0.9</v>
      </c>
      <c r="X3565" s="8">
        <v>15</v>
      </c>
      <c r="Y3565" s="8" t="s">
        <v>16341</v>
      </c>
      <c r="Z3565" s="8" t="s">
        <v>16342</v>
      </c>
    </row>
    <row r="3566" spans="1:26" x14ac:dyDescent="0.2">
      <c r="A3566" s="8">
        <v>3565</v>
      </c>
      <c r="B3566" s="8" t="s">
        <v>16343</v>
      </c>
      <c r="C3566" s="8" t="s">
        <v>16343</v>
      </c>
      <c r="F3566" s="47"/>
      <c r="G3566" s="8">
        <v>19</v>
      </c>
      <c r="H3566" s="8" t="s">
        <v>21</v>
      </c>
      <c r="I3566" s="8" t="s">
        <v>22</v>
      </c>
      <c r="J3566" s="8" t="s">
        <v>22</v>
      </c>
      <c r="K3566" s="8" t="s">
        <v>118</v>
      </c>
      <c r="L3566" s="8" t="s">
        <v>15699</v>
      </c>
      <c r="M3566" s="8" t="s">
        <v>15700</v>
      </c>
      <c r="N3566" s="8" t="s">
        <v>16344</v>
      </c>
      <c r="O3566" s="8">
        <f>11+7/60+47.8/3600</f>
        <v>11.129944444444446</v>
      </c>
      <c r="P3566" s="8" t="s">
        <v>16345</v>
      </c>
      <c r="Q3566" s="8">
        <f>-(20+1/60+20/3600)</f>
        <v>-20.022222222222222</v>
      </c>
      <c r="R3566" s="8">
        <v>14.3</v>
      </c>
      <c r="S3566" s="8">
        <v>15.3</v>
      </c>
      <c r="T3566" s="8">
        <v>1</v>
      </c>
      <c r="U3566" s="8">
        <v>12.9</v>
      </c>
      <c r="V3566" s="8">
        <v>0.6</v>
      </c>
      <c r="W3566" s="8">
        <v>0.5</v>
      </c>
      <c r="X3566" s="8">
        <v>129</v>
      </c>
      <c r="Y3566" s="8" t="s">
        <v>16346</v>
      </c>
      <c r="Z3566" s="8" t="s">
        <v>16347</v>
      </c>
    </row>
    <row r="3567" spans="1:26" x14ac:dyDescent="0.2">
      <c r="A3567" s="8">
        <v>3566</v>
      </c>
      <c r="B3567" s="8" t="s">
        <v>16348</v>
      </c>
      <c r="C3567" s="8" t="s">
        <v>16348</v>
      </c>
      <c r="F3567" s="47"/>
      <c r="G3567" s="8">
        <v>19</v>
      </c>
      <c r="H3567" s="8" t="s">
        <v>21</v>
      </c>
      <c r="I3567" s="8" t="s">
        <v>72</v>
      </c>
      <c r="J3567" s="8" t="s">
        <v>72</v>
      </c>
      <c r="K3567" s="8" t="s">
        <v>20</v>
      </c>
      <c r="L3567" s="8" t="s">
        <v>15699</v>
      </c>
      <c r="M3567" s="8" t="s">
        <v>15700</v>
      </c>
      <c r="N3567" s="8" t="s">
        <v>16349</v>
      </c>
      <c r="O3567" s="8">
        <f>11+7/60+52.1/3600</f>
        <v>11.13113888888889</v>
      </c>
      <c r="P3567" s="8" t="s">
        <v>16350</v>
      </c>
      <c r="Q3567" s="8">
        <f>-(20+1/60+44/3600)</f>
        <v>-20.028888888888886</v>
      </c>
      <c r="R3567" s="8">
        <v>15.5</v>
      </c>
      <c r="S3567" s="8">
        <v>99</v>
      </c>
      <c r="T3567" s="8">
        <v>99</v>
      </c>
      <c r="U3567" s="8">
        <v>99</v>
      </c>
      <c r="Y3567" s="8" t="s">
        <v>16351</v>
      </c>
      <c r="Z3567" s="8" t="s">
        <v>16352</v>
      </c>
    </row>
    <row r="3568" spans="1:26" x14ac:dyDescent="0.2">
      <c r="A3568" s="8">
        <v>3567</v>
      </c>
      <c r="B3568" s="8" t="s">
        <v>16353</v>
      </c>
      <c r="C3568" s="8" t="s">
        <v>16353</v>
      </c>
      <c r="E3568" s="8">
        <v>1</v>
      </c>
      <c r="F3568" s="47" t="s">
        <v>56905</v>
      </c>
      <c r="G3568" s="8">
        <v>15</v>
      </c>
      <c r="H3568" s="8" t="s">
        <v>21</v>
      </c>
      <c r="I3568" s="8" t="s">
        <v>22</v>
      </c>
      <c r="J3568" s="8" t="s">
        <v>22</v>
      </c>
      <c r="K3568" s="8" t="s">
        <v>37</v>
      </c>
      <c r="L3568" s="8" t="s">
        <v>13194</v>
      </c>
      <c r="M3568" s="8" t="s">
        <v>13195</v>
      </c>
      <c r="N3568" s="8" t="s">
        <v>16354</v>
      </c>
      <c r="O3568" s="8">
        <f>11+11/60+18.7/3600</f>
        <v>11.188527777777779</v>
      </c>
      <c r="P3568" s="8" t="s">
        <v>16355</v>
      </c>
      <c r="Q3568" s="8">
        <f>+(5+50/60+11/3600)</f>
        <v>5.8363888888888882</v>
      </c>
      <c r="R3568" s="8">
        <v>13.3</v>
      </c>
      <c r="S3568" s="8">
        <v>14.3</v>
      </c>
      <c r="T3568" s="8">
        <v>1</v>
      </c>
      <c r="U3568" s="8">
        <v>12.8</v>
      </c>
      <c r="V3568" s="8">
        <v>0.9</v>
      </c>
      <c r="W3568" s="8">
        <v>0.8</v>
      </c>
      <c r="X3568" s="8">
        <v>132</v>
      </c>
      <c r="Y3568" s="8" t="s">
        <v>16356</v>
      </c>
      <c r="Z3568" s="8" t="s">
        <v>16357</v>
      </c>
    </row>
    <row r="3569" spans="1:26" x14ac:dyDescent="0.2">
      <c r="A3569" s="8">
        <v>3568</v>
      </c>
      <c r="B3569" s="8" t="s">
        <v>16358</v>
      </c>
      <c r="C3569" s="8" t="s">
        <v>16358</v>
      </c>
      <c r="F3569" s="47"/>
      <c r="G3569" s="8">
        <v>16</v>
      </c>
      <c r="H3569" s="8" t="s">
        <v>21</v>
      </c>
      <c r="I3569" s="8" t="s">
        <v>22</v>
      </c>
      <c r="J3569" s="8" t="s">
        <v>22</v>
      </c>
      <c r="K3569" s="8" t="s">
        <v>64</v>
      </c>
      <c r="L3569" s="8" t="s">
        <v>16195</v>
      </c>
      <c r="M3569" s="8" t="s">
        <v>16196</v>
      </c>
      <c r="N3569" s="8" t="s">
        <v>16359</v>
      </c>
      <c r="O3569" s="8">
        <f>11+10/60+48.4/3600</f>
        <v>11.18011111111111</v>
      </c>
      <c r="P3569" s="8" t="s">
        <v>16360</v>
      </c>
      <c r="Q3569" s="8">
        <f>-(37+26/60+56/3600)</f>
        <v>-37.448888888888888</v>
      </c>
      <c r="R3569" s="8">
        <v>12</v>
      </c>
      <c r="S3569" s="8">
        <v>12.7</v>
      </c>
      <c r="T3569" s="8">
        <v>0.7</v>
      </c>
      <c r="U3569" s="8">
        <v>12.6</v>
      </c>
      <c r="V3569" s="8">
        <v>2.5</v>
      </c>
      <c r="W3569" s="8">
        <v>0.9</v>
      </c>
      <c r="X3569" s="8">
        <v>7</v>
      </c>
      <c r="Y3569" s="8" t="s">
        <v>16361</v>
      </c>
      <c r="Z3569" s="8" t="s">
        <v>16362</v>
      </c>
    </row>
    <row r="3570" spans="1:26" x14ac:dyDescent="0.2">
      <c r="A3570" s="8">
        <v>3569</v>
      </c>
      <c r="B3570" s="8" t="s">
        <v>16363</v>
      </c>
      <c r="C3570" s="8" t="s">
        <v>16363</v>
      </c>
      <c r="F3570" s="47"/>
      <c r="G3570" s="8">
        <v>18</v>
      </c>
      <c r="H3570" s="8" t="s">
        <v>21</v>
      </c>
      <c r="I3570" s="8" t="s">
        <v>22</v>
      </c>
      <c r="J3570" s="8" t="s">
        <v>22</v>
      </c>
      <c r="K3570" s="8" t="s">
        <v>37</v>
      </c>
      <c r="L3570" s="8" t="s">
        <v>12015</v>
      </c>
      <c r="M3570" s="8" t="s">
        <v>12016</v>
      </c>
      <c r="N3570" s="8" t="s">
        <v>16364</v>
      </c>
      <c r="O3570" s="8">
        <f>11+12/60+8/3600</f>
        <v>11.202222222222222</v>
      </c>
      <c r="P3570" s="8" t="s">
        <v>16365</v>
      </c>
      <c r="Q3570" s="8">
        <f>+(35+27/60+7/3600)</f>
        <v>35.45194444444445</v>
      </c>
      <c r="R3570" s="8">
        <v>13.3</v>
      </c>
      <c r="S3570" s="8">
        <v>14.3</v>
      </c>
      <c r="T3570" s="8">
        <v>1</v>
      </c>
      <c r="U3570" s="8">
        <v>13.3</v>
      </c>
      <c r="V3570" s="8">
        <v>1.1000000000000001</v>
      </c>
      <c r="W3570" s="8">
        <v>1</v>
      </c>
      <c r="X3570" s="8">
        <v>78</v>
      </c>
      <c r="Y3570" s="8" t="s">
        <v>256</v>
      </c>
      <c r="Z3570" s="8" t="s">
        <v>257</v>
      </c>
    </row>
    <row r="3571" spans="1:26" x14ac:dyDescent="0.2">
      <c r="A3571" s="8">
        <v>3570</v>
      </c>
      <c r="B3571" s="8" t="s">
        <v>16366</v>
      </c>
      <c r="C3571" s="8" t="s">
        <v>16366</v>
      </c>
      <c r="F3571" s="47"/>
      <c r="G3571" s="8">
        <v>19</v>
      </c>
      <c r="H3571" s="8" t="s">
        <v>21</v>
      </c>
      <c r="I3571" s="8" t="s">
        <v>22</v>
      </c>
      <c r="J3571" s="8" t="s">
        <v>22</v>
      </c>
      <c r="K3571" s="8" t="s">
        <v>37</v>
      </c>
      <c r="L3571" s="8" t="s">
        <v>13194</v>
      </c>
      <c r="M3571" s="8" t="s">
        <v>13195</v>
      </c>
      <c r="N3571" s="8" t="s">
        <v>16367</v>
      </c>
      <c r="O3571" s="8">
        <f>11+12/60+3.3/3600</f>
        <v>11.200916666666666</v>
      </c>
      <c r="P3571" s="8" t="s">
        <v>16368</v>
      </c>
      <c r="Q3571" s="8">
        <f>+(27+35/60+25/3600)</f>
        <v>27.590277777777775</v>
      </c>
      <c r="R3571" s="8">
        <v>13.5</v>
      </c>
      <c r="S3571" s="8">
        <v>14.5</v>
      </c>
      <c r="T3571" s="8">
        <v>1</v>
      </c>
      <c r="U3571" s="8">
        <v>13.4</v>
      </c>
      <c r="V3571" s="8">
        <v>1</v>
      </c>
      <c r="W3571" s="8">
        <v>1</v>
      </c>
      <c r="Y3571" s="8" t="s">
        <v>115</v>
      </c>
      <c r="Z3571" s="8" t="s">
        <v>116</v>
      </c>
    </row>
    <row r="3572" spans="1:26" x14ac:dyDescent="0.2">
      <c r="A3572" s="8">
        <v>3571</v>
      </c>
      <c r="B3572" s="8" t="s">
        <v>16369</v>
      </c>
      <c r="C3572" s="8" t="s">
        <v>16369</v>
      </c>
      <c r="F3572" s="47" t="s">
        <v>56906</v>
      </c>
      <c r="G3572" s="8">
        <v>13</v>
      </c>
      <c r="H3572" s="8" t="s">
        <v>21</v>
      </c>
      <c r="I3572" s="8" t="s">
        <v>22</v>
      </c>
      <c r="J3572" s="8" t="s">
        <v>22</v>
      </c>
      <c r="K3572" s="8" t="s">
        <v>154</v>
      </c>
      <c r="L3572" s="8" t="s">
        <v>15699</v>
      </c>
      <c r="M3572" s="8" t="s">
        <v>15700</v>
      </c>
      <c r="N3572" s="8" t="s">
        <v>16246</v>
      </c>
      <c r="O3572" s="8">
        <f>11+11/60+30.4/3600</f>
        <v>11.191777777777778</v>
      </c>
      <c r="P3572" s="8" t="s">
        <v>16247</v>
      </c>
      <c r="Q3572" s="8">
        <f>-(18+17/60+24/3600)</f>
        <v>-18.290000000000003</v>
      </c>
      <c r="R3572" s="8">
        <v>12.1</v>
      </c>
      <c r="S3572" s="8">
        <v>13</v>
      </c>
      <c r="T3572" s="8">
        <v>0.9</v>
      </c>
      <c r="U3572" s="8">
        <v>13.1</v>
      </c>
      <c r="V3572" s="8">
        <v>3</v>
      </c>
      <c r="W3572" s="8">
        <v>0.9</v>
      </c>
      <c r="X3572" s="8">
        <v>94</v>
      </c>
      <c r="Y3572" s="8" t="s">
        <v>16370</v>
      </c>
      <c r="Z3572" s="8" t="s">
        <v>16371</v>
      </c>
    </row>
    <row r="3573" spans="1:26" x14ac:dyDescent="0.2">
      <c r="A3573" s="8">
        <v>3572</v>
      </c>
      <c r="B3573" s="8" t="s">
        <v>16372</v>
      </c>
      <c r="C3573" s="8" t="s">
        <v>16372</v>
      </c>
      <c r="F3573" s="47"/>
      <c r="G3573" s="8">
        <v>5</v>
      </c>
      <c r="H3573" s="8" t="s">
        <v>21</v>
      </c>
      <c r="I3573" s="8" t="s">
        <v>557</v>
      </c>
      <c r="J3573" s="8" t="s">
        <v>557</v>
      </c>
      <c r="K3573" s="8" t="s">
        <v>11168</v>
      </c>
      <c r="L3573" s="8" t="s">
        <v>10135</v>
      </c>
      <c r="M3573" s="8" t="s">
        <v>10136</v>
      </c>
      <c r="N3573" s="8" t="s">
        <v>16373</v>
      </c>
      <c r="O3573" s="8">
        <f>11+10/60+26.6/3600</f>
        <v>11.174055555555555</v>
      </c>
      <c r="P3573" s="8" t="s">
        <v>16374</v>
      </c>
      <c r="Q3573" s="8">
        <f>-(60+14/60+38/3600)</f>
        <v>-60.24388888888889</v>
      </c>
      <c r="R3573" s="8">
        <v>6.6</v>
      </c>
      <c r="S3573" s="8">
        <v>99</v>
      </c>
      <c r="T3573" s="8">
        <v>99</v>
      </c>
      <c r="U3573" s="8">
        <v>99</v>
      </c>
      <c r="V3573" s="8">
        <v>7</v>
      </c>
      <c r="Y3573" s="8" t="s">
        <v>16375</v>
      </c>
      <c r="Z3573" s="8" t="s">
        <v>16376</v>
      </c>
    </row>
    <row r="3574" spans="1:26" x14ac:dyDescent="0.2">
      <c r="A3574" s="8">
        <v>3573</v>
      </c>
      <c r="B3574" s="8" t="s">
        <v>16377</v>
      </c>
      <c r="C3574" s="8" t="s">
        <v>16377</v>
      </c>
      <c r="F3574" s="47"/>
      <c r="G3574" s="8">
        <v>16</v>
      </c>
      <c r="H3574" s="8" t="s">
        <v>21</v>
      </c>
      <c r="I3574" s="8" t="s">
        <v>22</v>
      </c>
      <c r="J3574" s="8" t="s">
        <v>22</v>
      </c>
      <c r="K3574" s="8" t="s">
        <v>632</v>
      </c>
      <c r="L3574" s="8" t="s">
        <v>16195</v>
      </c>
      <c r="M3574" s="8" t="s">
        <v>16196</v>
      </c>
      <c r="N3574" s="8" t="s">
        <v>16378</v>
      </c>
      <c r="O3574" s="8">
        <f>11+11/60+18.1/3600</f>
        <v>11.188361111111112</v>
      </c>
      <c r="P3574" s="8" t="s">
        <v>16379</v>
      </c>
      <c r="Q3574" s="8">
        <f>-(36+52/60+32/3600)</f>
        <v>-36.875555555555557</v>
      </c>
      <c r="R3574" s="8">
        <v>12.3</v>
      </c>
      <c r="S3574" s="8">
        <v>13.3</v>
      </c>
      <c r="T3574" s="8">
        <v>1</v>
      </c>
      <c r="U3574" s="8">
        <v>13.6</v>
      </c>
      <c r="V3574" s="8">
        <v>3.6</v>
      </c>
      <c r="W3574" s="8">
        <v>1</v>
      </c>
      <c r="X3574" s="8">
        <v>4</v>
      </c>
      <c r="Y3574" s="8" t="s">
        <v>16380</v>
      </c>
      <c r="Z3574" s="8" t="s">
        <v>16381</v>
      </c>
    </row>
    <row r="3575" spans="1:26" x14ac:dyDescent="0.2">
      <c r="A3575" s="8">
        <v>3574</v>
      </c>
      <c r="B3575" s="8" t="s">
        <v>16382</v>
      </c>
      <c r="C3575" s="8" t="s">
        <v>16382</v>
      </c>
      <c r="F3575" s="47"/>
      <c r="G3575" s="8">
        <v>19</v>
      </c>
      <c r="H3575" s="8" t="s">
        <v>21</v>
      </c>
      <c r="I3575" s="8" t="s">
        <v>22</v>
      </c>
      <c r="J3575" s="8" t="s">
        <v>22</v>
      </c>
      <c r="K3575" s="8" t="s">
        <v>476</v>
      </c>
      <c r="L3575" s="8" t="s">
        <v>13194</v>
      </c>
      <c r="M3575" s="8" t="s">
        <v>13195</v>
      </c>
      <c r="N3575" s="8" t="s">
        <v>16383</v>
      </c>
      <c r="O3575" s="8">
        <f>11+12/60+12.1/3600</f>
        <v>11.203361111111111</v>
      </c>
      <c r="P3575" s="8" t="s">
        <v>16384</v>
      </c>
      <c r="Q3575" s="8">
        <f>+(27+37/60+31/3600)</f>
        <v>27.625277777777779</v>
      </c>
      <c r="R3575" s="8">
        <v>15.2</v>
      </c>
      <c r="S3575" s="8">
        <v>16.100000000000001</v>
      </c>
      <c r="T3575" s="8">
        <v>0.9</v>
      </c>
      <c r="U3575" s="8">
        <v>13.1</v>
      </c>
      <c r="V3575" s="8">
        <v>0.4</v>
      </c>
      <c r="W3575" s="8">
        <v>0.4</v>
      </c>
      <c r="Y3575" s="8" t="s">
        <v>47</v>
      </c>
      <c r="Z3575" s="8" t="s">
        <v>48</v>
      </c>
    </row>
    <row r="3576" spans="1:26" x14ac:dyDescent="0.2">
      <c r="A3576" s="8">
        <v>3575</v>
      </c>
      <c r="B3576" s="8" t="s">
        <v>16385</v>
      </c>
      <c r="C3576" s="8" t="s">
        <v>16385</v>
      </c>
      <c r="F3576" s="47"/>
      <c r="G3576" s="8">
        <v>18</v>
      </c>
      <c r="H3576" s="8" t="s">
        <v>21</v>
      </c>
      <c r="I3576" s="8" t="s">
        <v>22</v>
      </c>
      <c r="J3576" s="8" t="s">
        <v>57</v>
      </c>
      <c r="K3576" s="8" t="s">
        <v>85</v>
      </c>
      <c r="L3576" s="8" t="s">
        <v>13194</v>
      </c>
      <c r="M3576" s="8" t="s">
        <v>13195</v>
      </c>
      <c r="N3576" s="8" t="s">
        <v>14543</v>
      </c>
      <c r="O3576" s="8">
        <f>10+13/60+31.5/3600</f>
        <v>10.225416666666666</v>
      </c>
      <c r="P3576" s="8" t="s">
        <v>14544</v>
      </c>
      <c r="Q3576" s="8">
        <f>+(22+44/60+14/3600)</f>
        <v>22.737222222222222</v>
      </c>
      <c r="R3576" s="8">
        <v>11.6</v>
      </c>
      <c r="S3576" s="8">
        <v>12.2</v>
      </c>
      <c r="T3576" s="8">
        <v>0.6</v>
      </c>
      <c r="U3576" s="8">
        <v>13.7</v>
      </c>
      <c r="V3576" s="8">
        <v>3.1</v>
      </c>
      <c r="W3576" s="8">
        <v>2.7</v>
      </c>
      <c r="X3576" s="8">
        <v>33</v>
      </c>
      <c r="Y3576" s="8" t="s">
        <v>16386</v>
      </c>
      <c r="Z3576" s="8" t="s">
        <v>16387</v>
      </c>
    </row>
    <row r="3577" spans="1:26" x14ac:dyDescent="0.2">
      <c r="A3577" s="8">
        <v>3576</v>
      </c>
      <c r="B3577" s="8" t="s">
        <v>16388</v>
      </c>
      <c r="C3577" s="8" t="s">
        <v>16388</v>
      </c>
      <c r="F3577" s="47"/>
      <c r="G3577" s="8">
        <v>10</v>
      </c>
      <c r="H3577" s="8" t="s">
        <v>16389</v>
      </c>
      <c r="I3577" s="8" t="s">
        <v>1283</v>
      </c>
      <c r="J3577" s="8" t="s">
        <v>1283</v>
      </c>
      <c r="K3577" s="8" t="s">
        <v>1284</v>
      </c>
      <c r="L3577" s="8" t="s">
        <v>10135</v>
      </c>
      <c r="M3577" s="8" t="s">
        <v>10136</v>
      </c>
      <c r="N3577" s="8" t="s">
        <v>16390</v>
      </c>
      <c r="O3577" s="8">
        <f>11+11/60+32.7/3600</f>
        <v>11.192416666666666</v>
      </c>
      <c r="P3577" s="8" t="s">
        <v>16391</v>
      </c>
      <c r="Q3577" s="8">
        <f>-(61+21/60+44/3600)</f>
        <v>-61.362222222222222</v>
      </c>
      <c r="R3577" s="8">
        <v>99</v>
      </c>
      <c r="S3577" s="8">
        <v>99</v>
      </c>
      <c r="T3577" s="8">
        <v>99</v>
      </c>
      <c r="U3577" s="8">
        <v>99</v>
      </c>
      <c r="V3577" s="8">
        <v>3</v>
      </c>
      <c r="W3577" s="8">
        <v>3</v>
      </c>
      <c r="Y3577" s="8" t="s">
        <v>16392</v>
      </c>
      <c r="Z3577" s="8" t="s">
        <v>16393</v>
      </c>
    </row>
    <row r="3578" spans="1:26" x14ac:dyDescent="0.2">
      <c r="A3578" s="8">
        <v>3577</v>
      </c>
      <c r="B3578" s="8" t="s">
        <v>16394</v>
      </c>
      <c r="C3578" s="8" t="s">
        <v>16394</v>
      </c>
      <c r="F3578" s="47" t="s">
        <v>56907</v>
      </c>
      <c r="G3578" s="8">
        <v>15</v>
      </c>
      <c r="H3578" s="8" t="s">
        <v>21</v>
      </c>
      <c r="I3578" s="8" t="s">
        <v>22</v>
      </c>
      <c r="J3578" s="8" t="s">
        <v>22</v>
      </c>
      <c r="K3578" s="8" t="s">
        <v>154</v>
      </c>
      <c r="L3578" s="8" t="s">
        <v>12015</v>
      </c>
      <c r="M3578" s="8" t="s">
        <v>12016</v>
      </c>
      <c r="N3578" s="8" t="s">
        <v>16395</v>
      </c>
      <c r="O3578" s="8">
        <f>11+13/60+44.8/3600</f>
        <v>11.229111111111111</v>
      </c>
      <c r="P3578" s="8" t="s">
        <v>16396</v>
      </c>
      <c r="Q3578" s="8">
        <f>+(48+16/60+24/3600)</f>
        <v>48.273333333333333</v>
      </c>
      <c r="R3578" s="8">
        <v>13.4</v>
      </c>
      <c r="S3578" s="8">
        <v>14.3</v>
      </c>
      <c r="T3578" s="8">
        <v>0.9</v>
      </c>
      <c r="U3578" s="8">
        <v>13.7</v>
      </c>
      <c r="V3578" s="8">
        <v>1.4</v>
      </c>
      <c r="W3578" s="8">
        <v>1.1000000000000001</v>
      </c>
      <c r="X3578" s="8">
        <v>179</v>
      </c>
      <c r="Y3578" s="8" t="s">
        <v>16397</v>
      </c>
      <c r="Z3578" s="8" t="s">
        <v>16398</v>
      </c>
    </row>
    <row r="3579" spans="1:26" x14ac:dyDescent="0.2">
      <c r="A3579" s="8">
        <v>3578</v>
      </c>
      <c r="B3579" s="8" t="s">
        <v>16399</v>
      </c>
      <c r="C3579" s="8" t="s">
        <v>16399</v>
      </c>
      <c r="F3579" s="47"/>
      <c r="G3579" s="8">
        <v>16</v>
      </c>
      <c r="H3579" s="8" t="s">
        <v>21</v>
      </c>
      <c r="I3579" s="8" t="s">
        <v>72</v>
      </c>
      <c r="J3579" s="8" t="s">
        <v>72</v>
      </c>
      <c r="K3579" s="8" t="s">
        <v>73</v>
      </c>
      <c r="L3579" s="8" t="s">
        <v>15699</v>
      </c>
      <c r="M3579" s="8" t="s">
        <v>15700</v>
      </c>
      <c r="N3579" s="8" t="s">
        <v>16400</v>
      </c>
      <c r="O3579" s="8">
        <f>11+12/60+49.9/3600</f>
        <v>11.213861111111111</v>
      </c>
      <c r="P3579" s="8" t="s">
        <v>16401</v>
      </c>
      <c r="Q3579" s="8">
        <f>-(15+56/60+43/3600)</f>
        <v>-15.945277777777777</v>
      </c>
      <c r="R3579" s="8">
        <v>99</v>
      </c>
      <c r="S3579" s="8">
        <v>99</v>
      </c>
      <c r="T3579" s="8">
        <v>99</v>
      </c>
      <c r="U3579" s="8">
        <v>99</v>
      </c>
      <c r="Y3579" s="8" t="s">
        <v>16402</v>
      </c>
      <c r="Z3579" s="8" t="s">
        <v>16403</v>
      </c>
    </row>
    <row r="3580" spans="1:26" x14ac:dyDescent="0.2">
      <c r="A3580" s="8">
        <v>3579</v>
      </c>
      <c r="B3580" s="8" t="s">
        <v>16404</v>
      </c>
      <c r="C3580" s="8" t="s">
        <v>16404</v>
      </c>
      <c r="F3580" s="47"/>
      <c r="G3580" s="8">
        <v>16</v>
      </c>
      <c r="H3580" s="8" t="s">
        <v>21</v>
      </c>
      <c r="I3580" s="8" t="s">
        <v>1283</v>
      </c>
      <c r="J3580" s="8" t="s">
        <v>1283</v>
      </c>
      <c r="K3580" s="8" t="s">
        <v>1284</v>
      </c>
      <c r="L3580" s="8" t="s">
        <v>10135</v>
      </c>
      <c r="M3580" s="8" t="s">
        <v>10136</v>
      </c>
      <c r="N3580" s="8" t="s">
        <v>16405</v>
      </c>
      <c r="O3580" s="8">
        <f>11+11/60+59.6/3600</f>
        <v>11.199888888888889</v>
      </c>
      <c r="P3580" s="8" t="s">
        <v>16406</v>
      </c>
      <c r="Q3580" s="8">
        <f>-(61+14/60+35/3600)</f>
        <v>-61.243055555555557</v>
      </c>
      <c r="R3580" s="8">
        <v>99</v>
      </c>
      <c r="S3580" s="8">
        <v>99</v>
      </c>
      <c r="T3580" s="8">
        <v>99</v>
      </c>
      <c r="U3580" s="8">
        <v>99</v>
      </c>
      <c r="V3580" s="8">
        <v>20</v>
      </c>
      <c r="W3580" s="8">
        <v>15</v>
      </c>
      <c r="Y3580" s="8" t="s">
        <v>16407</v>
      </c>
      <c r="Z3580" s="8" t="s">
        <v>16408</v>
      </c>
    </row>
    <row r="3581" spans="1:26" x14ac:dyDescent="0.2">
      <c r="A3581" s="8">
        <v>3580</v>
      </c>
      <c r="B3581" s="8" t="s">
        <v>16409</v>
      </c>
      <c r="C3581" s="8" t="s">
        <v>16409</v>
      </c>
      <c r="F3581" s="47"/>
      <c r="G3581" s="8">
        <v>18</v>
      </c>
      <c r="H3581" s="8" t="s">
        <v>21</v>
      </c>
      <c r="I3581" s="8" t="s">
        <v>22</v>
      </c>
      <c r="J3581" s="8" t="s">
        <v>22</v>
      </c>
      <c r="K3581" s="8" t="s">
        <v>37</v>
      </c>
      <c r="L3581" s="8" t="s">
        <v>13194</v>
      </c>
      <c r="M3581" s="8" t="s">
        <v>13195</v>
      </c>
      <c r="N3581" s="8" t="s">
        <v>16410</v>
      </c>
      <c r="O3581" s="8">
        <f>11+13/60+16/3600</f>
        <v>11.221111111111112</v>
      </c>
      <c r="P3581" s="8" t="s">
        <v>16411</v>
      </c>
      <c r="Q3581" s="8">
        <f>+(3+39/60+27/3600)</f>
        <v>3.6574999999999998</v>
      </c>
      <c r="R3581" s="8">
        <v>14</v>
      </c>
      <c r="S3581" s="8">
        <v>15</v>
      </c>
      <c r="T3581" s="8">
        <v>1</v>
      </c>
      <c r="U3581" s="8">
        <v>12.5</v>
      </c>
      <c r="V3581" s="8">
        <v>0.9</v>
      </c>
      <c r="W3581" s="8">
        <v>0.3</v>
      </c>
      <c r="X3581" s="8">
        <v>177</v>
      </c>
      <c r="Y3581" s="8" t="s">
        <v>16412</v>
      </c>
      <c r="Z3581" s="8" t="s">
        <v>16413</v>
      </c>
    </row>
    <row r="3582" spans="1:26" x14ac:dyDescent="0.2">
      <c r="A3582" s="8">
        <v>3581</v>
      </c>
      <c r="B3582" s="8" t="s">
        <v>16414</v>
      </c>
      <c r="C3582" s="8" t="s">
        <v>16414</v>
      </c>
      <c r="F3582" s="47"/>
      <c r="G3582" s="8">
        <v>13</v>
      </c>
      <c r="H3582" s="8" t="s">
        <v>21</v>
      </c>
      <c r="I3582" s="8" t="s">
        <v>1283</v>
      </c>
      <c r="J3582" s="8" t="s">
        <v>1283</v>
      </c>
      <c r="K3582" s="8" t="s">
        <v>1284</v>
      </c>
      <c r="L3582" s="8" t="s">
        <v>10135</v>
      </c>
      <c r="M3582" s="8" t="s">
        <v>10136</v>
      </c>
      <c r="N3582" s="8" t="s">
        <v>16415</v>
      </c>
      <c r="O3582" s="8">
        <f>11+12/60+1.9/3600</f>
        <v>11.200527777777777</v>
      </c>
      <c r="P3582" s="8" t="s">
        <v>16416</v>
      </c>
      <c r="Q3582" s="8">
        <f>-(61+18/60+6/3600)</f>
        <v>-61.301666666666662</v>
      </c>
      <c r="R3582" s="8">
        <v>99</v>
      </c>
      <c r="S3582" s="8">
        <v>99</v>
      </c>
      <c r="T3582" s="8">
        <v>99</v>
      </c>
      <c r="U3582" s="8">
        <v>99</v>
      </c>
      <c r="Y3582" s="8" t="s">
        <v>16417</v>
      </c>
      <c r="Z3582" s="8" t="s">
        <v>16418</v>
      </c>
    </row>
    <row r="3583" spans="1:26" x14ac:dyDescent="0.2">
      <c r="A3583" s="8">
        <v>3582</v>
      </c>
      <c r="B3583" s="8" t="s">
        <v>16419</v>
      </c>
      <c r="C3583" s="8" t="s">
        <v>16419</v>
      </c>
      <c r="F3583" s="47"/>
      <c r="G3583" s="8">
        <v>16</v>
      </c>
      <c r="H3583" s="8" t="s">
        <v>21</v>
      </c>
      <c r="I3583" s="8" t="s">
        <v>1283</v>
      </c>
      <c r="J3583" s="8" t="s">
        <v>1283</v>
      </c>
      <c r="K3583" s="8" t="s">
        <v>1284</v>
      </c>
      <c r="L3583" s="8" t="s">
        <v>10135</v>
      </c>
      <c r="M3583" s="8" t="s">
        <v>10136</v>
      </c>
      <c r="N3583" s="8" t="s">
        <v>16420</v>
      </c>
      <c r="O3583" s="8">
        <f>11+12/60+11.9/3600</f>
        <v>11.203305555555556</v>
      </c>
      <c r="P3583" s="8" t="s">
        <v>16421</v>
      </c>
      <c r="Q3583" s="8">
        <f>-(61+16/60+24/3600)</f>
        <v>-61.273333333333333</v>
      </c>
      <c r="R3583" s="8">
        <v>99</v>
      </c>
      <c r="S3583" s="8">
        <v>99</v>
      </c>
      <c r="T3583" s="8">
        <v>99</v>
      </c>
      <c r="U3583" s="8">
        <v>99</v>
      </c>
      <c r="Y3583" s="8" t="s">
        <v>16422</v>
      </c>
      <c r="Z3583" s="8" t="s">
        <v>16423</v>
      </c>
    </row>
    <row r="3584" spans="1:26" x14ac:dyDescent="0.2">
      <c r="A3584" s="8">
        <v>3583</v>
      </c>
      <c r="B3584" s="8" t="s">
        <v>16424</v>
      </c>
      <c r="C3584" s="8" t="s">
        <v>16424</v>
      </c>
      <c r="F3584" s="47" t="s">
        <v>56908</v>
      </c>
      <c r="G3584" s="8">
        <v>6.5</v>
      </c>
      <c r="H3584" s="8" t="s">
        <v>21</v>
      </c>
      <c r="I3584" s="8" t="s">
        <v>22</v>
      </c>
      <c r="J3584" s="8" t="s">
        <v>22</v>
      </c>
      <c r="K3584" s="8" t="s">
        <v>218</v>
      </c>
      <c r="L3584" s="8" t="s">
        <v>12015</v>
      </c>
      <c r="M3584" s="8" t="s">
        <v>12016</v>
      </c>
      <c r="N3584" s="8" t="s">
        <v>16425</v>
      </c>
      <c r="O3584" s="8">
        <f>11+14/60+11/3600</f>
        <v>11.236388888888888</v>
      </c>
      <c r="P3584" s="8" t="s">
        <v>16426</v>
      </c>
      <c r="Q3584" s="8">
        <f>+(48+19/60+6/3600)</f>
        <v>48.318333333333335</v>
      </c>
      <c r="R3584" s="8">
        <v>11.1</v>
      </c>
      <c r="S3584" s="8">
        <v>11.9</v>
      </c>
      <c r="T3584" s="8">
        <v>0.8</v>
      </c>
      <c r="U3584" s="8">
        <v>12.7</v>
      </c>
      <c r="V3584" s="8">
        <v>2.8</v>
      </c>
      <c r="W3584" s="8">
        <v>1.8</v>
      </c>
      <c r="X3584" s="8">
        <v>125</v>
      </c>
      <c r="Y3584" s="8" t="s">
        <v>16427</v>
      </c>
      <c r="Z3584" s="8" t="s">
        <v>16428</v>
      </c>
    </row>
    <row r="3585" spans="1:26" x14ac:dyDescent="0.2">
      <c r="A3585" s="8">
        <v>3584</v>
      </c>
      <c r="B3585" s="8" t="s">
        <v>16429</v>
      </c>
      <c r="C3585" s="8" t="s">
        <v>16429</v>
      </c>
      <c r="F3585" s="47"/>
      <c r="G3585" s="8">
        <v>16</v>
      </c>
      <c r="H3585" s="8" t="s">
        <v>21</v>
      </c>
      <c r="I3585" s="8" t="s">
        <v>1283</v>
      </c>
      <c r="J3585" s="8" t="s">
        <v>1283</v>
      </c>
      <c r="K3585" s="8" t="s">
        <v>1284</v>
      </c>
      <c r="L3585" s="8" t="s">
        <v>10135</v>
      </c>
      <c r="M3585" s="8" t="s">
        <v>10136</v>
      </c>
      <c r="N3585" s="8" t="s">
        <v>16430</v>
      </c>
      <c r="O3585" s="8">
        <f>11+12/60+19.8/3600</f>
        <v>11.205499999999999</v>
      </c>
      <c r="P3585" s="8" t="s">
        <v>16431</v>
      </c>
      <c r="Q3585" s="8">
        <f>-(61+13/60+42/3600)</f>
        <v>-61.228333333333332</v>
      </c>
      <c r="R3585" s="8">
        <v>99</v>
      </c>
      <c r="S3585" s="8">
        <v>99</v>
      </c>
      <c r="T3585" s="8">
        <v>99</v>
      </c>
      <c r="U3585" s="8">
        <v>99</v>
      </c>
      <c r="Y3585" s="8" t="s">
        <v>16432</v>
      </c>
      <c r="Z3585" s="8" t="s">
        <v>16433</v>
      </c>
    </row>
    <row r="3586" spans="1:26" x14ac:dyDescent="0.2">
      <c r="A3586" s="8">
        <v>3585</v>
      </c>
      <c r="B3586" s="8" t="s">
        <v>16434</v>
      </c>
      <c r="C3586" s="8" t="s">
        <v>16434</v>
      </c>
      <c r="F3586" s="47" t="s">
        <v>56909</v>
      </c>
      <c r="G3586" s="8">
        <v>5</v>
      </c>
      <c r="H3586" s="8" t="s">
        <v>21</v>
      </c>
      <c r="I3586" s="8" t="s">
        <v>22</v>
      </c>
      <c r="J3586" s="8" t="s">
        <v>22</v>
      </c>
      <c r="K3586" s="8" t="s">
        <v>3850</v>
      </c>
      <c r="L3586" s="8" t="s">
        <v>11765</v>
      </c>
      <c r="M3586" s="8" t="s">
        <v>11766</v>
      </c>
      <c r="N3586" s="8" t="s">
        <v>16435</v>
      </c>
      <c r="O3586" s="8">
        <f>11+13/60+17.3/3600</f>
        <v>11.221472222222223</v>
      </c>
      <c r="P3586" s="8" t="s">
        <v>16436</v>
      </c>
      <c r="Q3586" s="8">
        <f>-(26+45/60+18/3600)</f>
        <v>-26.754999999999999</v>
      </c>
      <c r="R3586" s="8">
        <v>9.9</v>
      </c>
      <c r="S3586" s="8">
        <v>10.9</v>
      </c>
      <c r="T3586" s="8">
        <v>1</v>
      </c>
      <c r="U3586" s="8">
        <v>12.6</v>
      </c>
      <c r="V3586" s="8">
        <v>4.5999999999999996</v>
      </c>
      <c r="W3586" s="8">
        <v>2.5</v>
      </c>
      <c r="X3586" s="8">
        <v>107</v>
      </c>
      <c r="Y3586" s="8" t="s">
        <v>16437</v>
      </c>
      <c r="Z3586" s="8" t="s">
        <v>16438</v>
      </c>
    </row>
    <row r="3587" spans="1:26" x14ac:dyDescent="0.2">
      <c r="A3587" s="8">
        <v>3586</v>
      </c>
      <c r="B3587" s="8" t="s">
        <v>16439</v>
      </c>
      <c r="C3587" s="8" t="s">
        <v>16439</v>
      </c>
      <c r="F3587" s="47"/>
      <c r="G3587" s="8">
        <v>16</v>
      </c>
      <c r="H3587" s="8" t="s">
        <v>21</v>
      </c>
      <c r="I3587" s="8" t="s">
        <v>1283</v>
      </c>
      <c r="J3587" s="8" t="s">
        <v>1283</v>
      </c>
      <c r="K3587" s="8" t="s">
        <v>1284</v>
      </c>
      <c r="L3587" s="8" t="s">
        <v>10135</v>
      </c>
      <c r="M3587" s="8" t="s">
        <v>10136</v>
      </c>
      <c r="N3587" s="8" t="s">
        <v>16440</v>
      </c>
      <c r="O3587" s="8">
        <f>11+12/60+29.9/3600</f>
        <v>11.208305555555555</v>
      </c>
      <c r="P3587" s="8" t="s">
        <v>16441</v>
      </c>
      <c r="Q3587" s="8">
        <f>-(61+21/60+8/3600)</f>
        <v>-61.352222222222224</v>
      </c>
      <c r="R3587" s="8">
        <v>99</v>
      </c>
      <c r="S3587" s="8">
        <v>99</v>
      </c>
      <c r="T3587" s="8">
        <v>99</v>
      </c>
      <c r="U3587" s="8">
        <v>99</v>
      </c>
      <c r="Y3587" s="8" t="s">
        <v>16442</v>
      </c>
      <c r="Z3587" s="8" t="s">
        <v>16443</v>
      </c>
    </row>
    <row r="3588" spans="1:26" x14ac:dyDescent="0.2">
      <c r="A3588" s="8">
        <v>3587</v>
      </c>
      <c r="B3588" s="8" t="s">
        <v>16444</v>
      </c>
      <c r="C3588" s="8" t="s">
        <v>55893</v>
      </c>
      <c r="F3588" s="47"/>
      <c r="G3588" s="8">
        <v>1</v>
      </c>
      <c r="H3588" s="8" t="s">
        <v>16445</v>
      </c>
      <c r="I3588" s="8" t="s">
        <v>241</v>
      </c>
      <c r="J3588" s="8" t="s">
        <v>241</v>
      </c>
      <c r="K3588" s="8" t="s">
        <v>241</v>
      </c>
      <c r="L3588" s="8" t="s">
        <v>12015</v>
      </c>
      <c r="M3588" s="8" t="s">
        <v>12016</v>
      </c>
      <c r="N3588" s="8" t="s">
        <v>16446</v>
      </c>
      <c r="O3588" s="8">
        <f>11+14/60+47.7/3600</f>
        <v>11.246583333333332</v>
      </c>
      <c r="P3588" s="8" t="s">
        <v>16447</v>
      </c>
      <c r="Q3588" s="8">
        <f>+(55+1/60+10/3600)</f>
        <v>55.019444444444446</v>
      </c>
      <c r="R3588" s="8">
        <v>9.9</v>
      </c>
      <c r="S3588" s="8">
        <v>12</v>
      </c>
      <c r="T3588" s="8">
        <v>99</v>
      </c>
      <c r="U3588" s="8">
        <v>99</v>
      </c>
      <c r="V3588" s="8">
        <v>2.83</v>
      </c>
      <c r="Y3588" s="8" t="s">
        <v>16448</v>
      </c>
      <c r="Z3588" s="8" t="s">
        <v>16449</v>
      </c>
    </row>
    <row r="3589" spans="1:26" x14ac:dyDescent="0.2">
      <c r="A3589" s="8">
        <v>3588</v>
      </c>
      <c r="B3589" s="8" t="s">
        <v>16450</v>
      </c>
      <c r="C3589" s="8" t="s">
        <v>16450</v>
      </c>
      <c r="E3589" s="8">
        <v>1</v>
      </c>
      <c r="F3589" s="47"/>
      <c r="G3589" s="8">
        <v>19</v>
      </c>
      <c r="H3589" s="8" t="s">
        <v>21</v>
      </c>
      <c r="I3589" s="8" t="s">
        <v>22</v>
      </c>
      <c r="J3589" s="8" t="s">
        <v>22</v>
      </c>
      <c r="K3589" s="8" t="s">
        <v>476</v>
      </c>
      <c r="L3589" s="8" t="s">
        <v>13194</v>
      </c>
      <c r="M3589" s="8" t="s">
        <v>13195</v>
      </c>
      <c r="N3589" s="8" t="s">
        <v>16451</v>
      </c>
      <c r="O3589" s="8">
        <f>11+14/60+2.4/3600</f>
        <v>11.234</v>
      </c>
      <c r="P3589" s="8" t="s">
        <v>16452</v>
      </c>
      <c r="Q3589" s="8">
        <f>+(20+23/60+11/3600)</f>
        <v>20.386388888888888</v>
      </c>
      <c r="R3589" s="8">
        <v>14.5</v>
      </c>
      <c r="S3589" s="8">
        <v>15.4</v>
      </c>
      <c r="T3589" s="8">
        <v>0.9</v>
      </c>
      <c r="U3589" s="8">
        <v>13.2</v>
      </c>
      <c r="V3589" s="8">
        <v>0.5</v>
      </c>
      <c r="W3589" s="8">
        <v>0.3</v>
      </c>
      <c r="X3589" s="8">
        <v>150</v>
      </c>
      <c r="Y3589" s="8" t="s">
        <v>16453</v>
      </c>
      <c r="Z3589" s="8" t="s">
        <v>16454</v>
      </c>
    </row>
    <row r="3590" spans="1:26" x14ac:dyDescent="0.2">
      <c r="A3590" s="8">
        <v>3589</v>
      </c>
      <c r="B3590" s="8" t="s">
        <v>16455</v>
      </c>
      <c r="C3590" s="8" t="s">
        <v>16455</v>
      </c>
      <c r="F3590" s="47" t="s">
        <v>56910</v>
      </c>
      <c r="G3590" s="8">
        <v>15</v>
      </c>
      <c r="H3590" s="8" t="s">
        <v>21</v>
      </c>
      <c r="I3590" s="8" t="s">
        <v>22</v>
      </c>
      <c r="J3590" s="8" t="s">
        <v>22</v>
      </c>
      <c r="K3590" s="8" t="s">
        <v>1277</v>
      </c>
      <c r="L3590" s="8" t="s">
        <v>12015</v>
      </c>
      <c r="M3590" s="8" t="s">
        <v>12016</v>
      </c>
      <c r="N3590" s="8" t="s">
        <v>16456</v>
      </c>
      <c r="O3590" s="8">
        <f>11+15/60+13.3/3600</f>
        <v>11.253694444444445</v>
      </c>
      <c r="P3590" s="8" t="s">
        <v>16457</v>
      </c>
      <c r="Q3590" s="8">
        <f>+(60+42/60+2/3600)</f>
        <v>60.70055555555556</v>
      </c>
      <c r="R3590" s="8">
        <v>13.8</v>
      </c>
      <c r="S3590" s="8">
        <v>14.5</v>
      </c>
      <c r="T3590" s="8">
        <v>0.7</v>
      </c>
      <c r="U3590" s="8">
        <v>13.8</v>
      </c>
      <c r="V3590" s="8">
        <v>1.5</v>
      </c>
      <c r="W3590" s="8">
        <v>0.8</v>
      </c>
      <c r="X3590" s="8">
        <v>48</v>
      </c>
      <c r="Y3590" s="8" t="s">
        <v>16458</v>
      </c>
      <c r="Z3590" s="8" t="s">
        <v>16459</v>
      </c>
    </row>
    <row r="3591" spans="1:26" x14ac:dyDescent="0.2">
      <c r="A3591" s="8">
        <v>3590</v>
      </c>
      <c r="B3591" s="8" t="s">
        <v>16460</v>
      </c>
      <c r="C3591" s="8" t="s">
        <v>16460</v>
      </c>
      <c r="F3591" s="47"/>
      <c r="G3591" s="8">
        <v>13</v>
      </c>
      <c r="H3591" s="8" t="s">
        <v>21</v>
      </c>
      <c r="I3591" s="8" t="s">
        <v>557</v>
      </c>
      <c r="J3591" s="8" t="s">
        <v>557</v>
      </c>
      <c r="K3591" s="8" t="s">
        <v>3602</v>
      </c>
      <c r="L3591" s="8" t="s">
        <v>10135</v>
      </c>
      <c r="M3591" s="8" t="s">
        <v>10136</v>
      </c>
      <c r="N3591" s="8" t="s">
        <v>16461</v>
      </c>
      <c r="O3591" s="8">
        <f>11+12/60+58.9/3600</f>
        <v>11.216361111111111</v>
      </c>
      <c r="P3591" s="8" t="s">
        <v>16462</v>
      </c>
      <c r="Q3591" s="8">
        <f>-(60+47/60+20/3600)</f>
        <v>-60.788888888888884</v>
      </c>
      <c r="R3591" s="8">
        <v>8.1999999999999993</v>
      </c>
      <c r="S3591" s="8">
        <v>99</v>
      </c>
      <c r="T3591" s="8">
        <v>99</v>
      </c>
      <c r="U3591" s="8">
        <v>99</v>
      </c>
      <c r="V3591" s="8">
        <v>2</v>
      </c>
      <c r="Y3591" s="8" t="s">
        <v>16463</v>
      </c>
      <c r="Z3591" s="8" t="s">
        <v>16464</v>
      </c>
    </row>
    <row r="3592" spans="1:26" x14ac:dyDescent="0.2">
      <c r="A3592" s="8">
        <v>3591</v>
      </c>
      <c r="B3592" s="8" t="s">
        <v>16465</v>
      </c>
      <c r="C3592" s="8" t="s">
        <v>16465</v>
      </c>
      <c r="F3592" s="47" t="s">
        <v>56911</v>
      </c>
      <c r="G3592" s="8">
        <v>15</v>
      </c>
      <c r="H3592" s="8" t="s">
        <v>21</v>
      </c>
      <c r="I3592" s="8" t="s">
        <v>22</v>
      </c>
      <c r="J3592" s="8" t="s">
        <v>22</v>
      </c>
      <c r="K3592" s="8" t="s">
        <v>632</v>
      </c>
      <c r="L3592" s="8" t="s">
        <v>15699</v>
      </c>
      <c r="M3592" s="8" t="s">
        <v>15700</v>
      </c>
      <c r="N3592" s="8" t="s">
        <v>16466</v>
      </c>
      <c r="O3592" s="8">
        <f>11+14/60+3.2/3600</f>
        <v>11.234222222222222</v>
      </c>
      <c r="P3592" s="8" t="s">
        <v>16467</v>
      </c>
      <c r="Q3592" s="8">
        <f>-(14+5/60+12/3600)</f>
        <v>-14.086666666666668</v>
      </c>
      <c r="R3592" s="8">
        <v>13.3</v>
      </c>
      <c r="S3592" s="8">
        <v>14.2</v>
      </c>
      <c r="T3592" s="8">
        <v>0.9</v>
      </c>
      <c r="U3592" s="8">
        <v>13.4</v>
      </c>
      <c r="V3592" s="8">
        <v>1.3</v>
      </c>
      <c r="W3592" s="8">
        <v>0.9</v>
      </c>
      <c r="X3592" s="8">
        <v>150</v>
      </c>
      <c r="Y3592" s="8" t="s">
        <v>16468</v>
      </c>
      <c r="Z3592" s="8" t="s">
        <v>16469</v>
      </c>
    </row>
    <row r="3593" spans="1:26" x14ac:dyDescent="0.2">
      <c r="A3593" s="8">
        <v>3592</v>
      </c>
      <c r="B3593" s="8" t="s">
        <v>16470</v>
      </c>
      <c r="C3593" s="8" t="s">
        <v>16470</v>
      </c>
      <c r="F3593" s="47"/>
      <c r="G3593" s="8">
        <v>18</v>
      </c>
      <c r="H3593" s="8" t="s">
        <v>21</v>
      </c>
      <c r="I3593" s="8" t="s">
        <v>22</v>
      </c>
      <c r="J3593" s="8" t="s">
        <v>22</v>
      </c>
      <c r="K3593" s="8" t="s">
        <v>160</v>
      </c>
      <c r="L3593" s="8" t="s">
        <v>13194</v>
      </c>
      <c r="M3593" s="8" t="s">
        <v>13195</v>
      </c>
      <c r="N3593" s="8" t="s">
        <v>16471</v>
      </c>
      <c r="O3593" s="8">
        <f>11+14/60+27.5/3600</f>
        <v>11.240972222222222</v>
      </c>
      <c r="P3593" s="8" t="s">
        <v>16472</v>
      </c>
      <c r="Q3593" s="8">
        <f>+(17+15/60+34/3600)</f>
        <v>17.259444444444444</v>
      </c>
      <c r="R3593" s="8">
        <v>13.7</v>
      </c>
      <c r="S3593" s="8">
        <v>14.4</v>
      </c>
      <c r="T3593" s="8">
        <v>0.7</v>
      </c>
      <c r="U3593" s="8">
        <v>13.6</v>
      </c>
      <c r="V3593" s="8">
        <v>1.8</v>
      </c>
      <c r="W3593" s="8">
        <v>0.6</v>
      </c>
      <c r="X3593" s="8">
        <v>120</v>
      </c>
      <c r="Y3593" s="8" t="s">
        <v>16473</v>
      </c>
      <c r="Z3593" s="8" t="s">
        <v>16474</v>
      </c>
    </row>
    <row r="3594" spans="1:26" x14ac:dyDescent="0.2">
      <c r="A3594" s="8">
        <v>3593</v>
      </c>
      <c r="B3594" s="8" t="s">
        <v>16475</v>
      </c>
      <c r="C3594" s="8" t="s">
        <v>16475</v>
      </c>
      <c r="F3594" s="47" t="s">
        <v>56912</v>
      </c>
      <c r="G3594" s="8">
        <v>6</v>
      </c>
      <c r="H3594" s="8" t="s">
        <v>21</v>
      </c>
      <c r="I3594" s="8" t="s">
        <v>22</v>
      </c>
      <c r="J3594" s="8" t="s">
        <v>22</v>
      </c>
      <c r="K3594" s="8" t="s">
        <v>632</v>
      </c>
      <c r="L3594" s="8" t="s">
        <v>13194</v>
      </c>
      <c r="M3594" s="8" t="s">
        <v>13195</v>
      </c>
      <c r="N3594" s="8" t="s">
        <v>16476</v>
      </c>
      <c r="O3594" s="8">
        <f>11+14/60+37/3600</f>
        <v>11.243611111111111</v>
      </c>
      <c r="P3594" s="8" t="s">
        <v>16477</v>
      </c>
      <c r="Q3594" s="8">
        <f>+(12+49/60+6/3600)</f>
        <v>12.818333333333333</v>
      </c>
      <c r="R3594" s="8">
        <v>10.9</v>
      </c>
      <c r="S3594" s="8">
        <v>11.9</v>
      </c>
      <c r="T3594" s="8">
        <v>1</v>
      </c>
      <c r="U3594" s="8">
        <v>13.3</v>
      </c>
      <c r="V3594" s="8">
        <v>5.2</v>
      </c>
      <c r="W3594" s="8">
        <v>1.9</v>
      </c>
      <c r="X3594" s="8">
        <v>92</v>
      </c>
      <c r="Y3594" s="8" t="s">
        <v>16478</v>
      </c>
      <c r="Z3594" s="8" t="s">
        <v>16479</v>
      </c>
    </row>
    <row r="3595" spans="1:26" x14ac:dyDescent="0.2">
      <c r="A3595" s="8">
        <v>3594</v>
      </c>
      <c r="B3595" s="8" t="s">
        <v>16480</v>
      </c>
      <c r="C3595" s="8" t="s">
        <v>16480</v>
      </c>
      <c r="F3595" s="47" t="s">
        <v>56913</v>
      </c>
      <c r="G3595" s="8">
        <v>15</v>
      </c>
      <c r="H3595" s="8" t="s">
        <v>21</v>
      </c>
      <c r="I3595" s="8" t="s">
        <v>22</v>
      </c>
      <c r="J3595" s="8" t="s">
        <v>22</v>
      </c>
      <c r="K3595" s="8" t="s">
        <v>224</v>
      </c>
      <c r="L3595" s="8" t="s">
        <v>12015</v>
      </c>
      <c r="M3595" s="8" t="s">
        <v>12016</v>
      </c>
      <c r="N3595" s="8" t="s">
        <v>16481</v>
      </c>
      <c r="O3595" s="8">
        <f>11+16/60+13.9/3600</f>
        <v>11.270527777777779</v>
      </c>
      <c r="P3595" s="8" t="s">
        <v>16482</v>
      </c>
      <c r="Q3595" s="8">
        <f>+(55+42/60+17/3600)</f>
        <v>55.704722222222223</v>
      </c>
      <c r="R3595" s="8">
        <v>13.7</v>
      </c>
      <c r="S3595" s="8">
        <v>14.7</v>
      </c>
      <c r="T3595" s="8">
        <v>1</v>
      </c>
      <c r="U3595" s="8">
        <v>14</v>
      </c>
      <c r="V3595" s="8">
        <v>1.3</v>
      </c>
      <c r="W3595" s="8">
        <v>1.2</v>
      </c>
      <c r="X3595" s="8">
        <v>10</v>
      </c>
      <c r="Y3595" s="8" t="s">
        <v>1948</v>
      </c>
      <c r="Z3595" s="8" t="s">
        <v>1949</v>
      </c>
    </row>
    <row r="3596" spans="1:26" x14ac:dyDescent="0.2">
      <c r="A3596" s="8">
        <v>3595</v>
      </c>
      <c r="B3596" s="8" t="s">
        <v>16483</v>
      </c>
      <c r="C3596" s="8" t="s">
        <v>16483</v>
      </c>
      <c r="F3596" s="47" t="s">
        <v>56914</v>
      </c>
      <c r="G3596" s="8">
        <v>15</v>
      </c>
      <c r="H3596" s="8" t="s">
        <v>21</v>
      </c>
      <c r="I3596" s="8" t="s">
        <v>22</v>
      </c>
      <c r="J3596" s="8" t="s">
        <v>22</v>
      </c>
      <c r="K3596" s="8" t="s">
        <v>58</v>
      </c>
      <c r="L3596" s="8" t="s">
        <v>12015</v>
      </c>
      <c r="M3596" s="8" t="s">
        <v>12016</v>
      </c>
      <c r="N3596" s="8" t="s">
        <v>16484</v>
      </c>
      <c r="O3596" s="8">
        <f>11+15/60+25.4/3600</f>
        <v>11.257055555555555</v>
      </c>
      <c r="P3596" s="8" t="s">
        <v>16485</v>
      </c>
      <c r="Q3596" s="8">
        <f>+(47+26/60+49/3600)</f>
        <v>47.446944444444441</v>
      </c>
      <c r="R3596" s="8">
        <v>12.1</v>
      </c>
      <c r="S3596" s="8">
        <v>13.1</v>
      </c>
      <c r="T3596" s="8">
        <v>1</v>
      </c>
      <c r="U3596" s="8">
        <v>12.3</v>
      </c>
      <c r="V3596" s="8">
        <v>1.6</v>
      </c>
      <c r="W3596" s="8">
        <v>0.7</v>
      </c>
      <c r="X3596" s="8">
        <v>176</v>
      </c>
      <c r="Y3596" s="8" t="s">
        <v>16486</v>
      </c>
      <c r="Z3596" s="8" t="s">
        <v>16487</v>
      </c>
    </row>
    <row r="3597" spans="1:26" x14ac:dyDescent="0.2">
      <c r="A3597" s="8">
        <v>3596</v>
      </c>
      <c r="B3597" s="8" t="s">
        <v>16488</v>
      </c>
      <c r="C3597" s="8" t="s">
        <v>16488</v>
      </c>
      <c r="F3597" s="47" t="s">
        <v>56915</v>
      </c>
      <c r="G3597" s="8">
        <v>6.5</v>
      </c>
      <c r="H3597" s="8" t="s">
        <v>21</v>
      </c>
      <c r="I3597" s="8" t="s">
        <v>22</v>
      </c>
      <c r="J3597" s="8" t="s">
        <v>22</v>
      </c>
      <c r="K3597" s="8" t="s">
        <v>64</v>
      </c>
      <c r="L3597" s="8" t="s">
        <v>13194</v>
      </c>
      <c r="M3597" s="8" t="s">
        <v>13195</v>
      </c>
      <c r="N3597" s="8" t="s">
        <v>16489</v>
      </c>
      <c r="O3597" s="8">
        <f>11+15/60+6.1/3600</f>
        <v>11.251694444444444</v>
      </c>
      <c r="P3597" s="8" t="s">
        <v>16490</v>
      </c>
      <c r="Q3597" s="8">
        <f>+(14+47/60+13/3600)</f>
        <v>14.786944444444444</v>
      </c>
      <c r="R3597" s="8">
        <v>11.3</v>
      </c>
      <c r="S3597" s="8">
        <v>11.8</v>
      </c>
      <c r="T3597" s="8">
        <v>0.5</v>
      </c>
      <c r="U3597" s="8">
        <v>14.1</v>
      </c>
      <c r="V3597" s="8">
        <v>4</v>
      </c>
      <c r="W3597" s="8">
        <v>3.8</v>
      </c>
      <c r="X3597" s="8">
        <v>138</v>
      </c>
      <c r="Y3597" s="8" t="s">
        <v>9663</v>
      </c>
      <c r="Z3597" s="8" t="s">
        <v>9664</v>
      </c>
    </row>
    <row r="3598" spans="1:26" x14ac:dyDescent="0.2">
      <c r="A3598" s="8">
        <v>3597</v>
      </c>
      <c r="B3598" s="8" t="s">
        <v>16491</v>
      </c>
      <c r="C3598" s="8" t="s">
        <v>16491</v>
      </c>
      <c r="F3598" s="47"/>
      <c r="G3598" s="8">
        <v>16</v>
      </c>
      <c r="H3598" s="8" t="s">
        <v>21</v>
      </c>
      <c r="I3598" s="8" t="s">
        <v>22</v>
      </c>
      <c r="J3598" s="8" t="s">
        <v>22</v>
      </c>
      <c r="K3598" s="8" t="s">
        <v>632</v>
      </c>
      <c r="L3598" s="8" t="s">
        <v>15699</v>
      </c>
      <c r="M3598" s="8" t="s">
        <v>15700</v>
      </c>
      <c r="N3598" s="8" t="s">
        <v>16492</v>
      </c>
      <c r="O3598" s="8">
        <f>11+14/60+42/3600</f>
        <v>11.244999999999999</v>
      </c>
      <c r="P3598" s="8" t="s">
        <v>16493</v>
      </c>
      <c r="Q3598" s="8">
        <f>-(23+43/60+38/3600)</f>
        <v>-23.72722222222222</v>
      </c>
      <c r="R3598" s="8">
        <v>12.7</v>
      </c>
      <c r="S3598" s="8">
        <v>13.6</v>
      </c>
      <c r="T3598" s="8">
        <v>0.9</v>
      </c>
      <c r="U3598" s="8">
        <v>13.6</v>
      </c>
      <c r="V3598" s="8">
        <v>1.8</v>
      </c>
      <c r="W3598" s="8">
        <v>1.4</v>
      </c>
      <c r="X3598" s="8">
        <v>64</v>
      </c>
      <c r="Y3598" s="8" t="s">
        <v>14787</v>
      </c>
      <c r="Z3598" s="8" t="s">
        <v>14788</v>
      </c>
    </row>
    <row r="3599" spans="1:26" x14ac:dyDescent="0.2">
      <c r="A3599" s="8">
        <v>3598</v>
      </c>
      <c r="B3599" s="8" t="s">
        <v>16494</v>
      </c>
      <c r="C3599" s="8" t="s">
        <v>16494</v>
      </c>
      <c r="F3599" s="47"/>
      <c r="G3599" s="8">
        <v>18</v>
      </c>
      <c r="H3599" s="8" t="s">
        <v>21</v>
      </c>
      <c r="I3599" s="8" t="s">
        <v>22</v>
      </c>
      <c r="J3599" s="8" t="s">
        <v>22</v>
      </c>
      <c r="K3599" s="8" t="s">
        <v>58</v>
      </c>
      <c r="L3599" s="8" t="s">
        <v>13194</v>
      </c>
      <c r="M3599" s="8" t="s">
        <v>13195</v>
      </c>
      <c r="N3599" s="8" t="s">
        <v>16495</v>
      </c>
      <c r="O3599" s="8">
        <f>11+15/60+11.5/3600</f>
        <v>11.253194444444444</v>
      </c>
      <c r="P3599" s="8" t="s">
        <v>16496</v>
      </c>
      <c r="Q3599" s="8">
        <f>+(17+15/60+45/3600)</f>
        <v>17.262499999999999</v>
      </c>
      <c r="R3599" s="8">
        <v>12.3</v>
      </c>
      <c r="S3599" s="8">
        <v>13.3</v>
      </c>
      <c r="T3599" s="8">
        <v>1</v>
      </c>
      <c r="U3599" s="8">
        <v>13.3</v>
      </c>
      <c r="V3599" s="8">
        <v>1.8</v>
      </c>
      <c r="W3599" s="8">
        <v>1.3</v>
      </c>
      <c r="X3599" s="8">
        <v>35</v>
      </c>
      <c r="Y3599" s="8" t="s">
        <v>16497</v>
      </c>
      <c r="Z3599" s="8" t="s">
        <v>16498</v>
      </c>
    </row>
    <row r="3600" spans="1:26" x14ac:dyDescent="0.2">
      <c r="A3600" s="8">
        <v>3599</v>
      </c>
      <c r="B3600" s="8" t="s">
        <v>16499</v>
      </c>
      <c r="C3600" s="8" t="s">
        <v>16499</v>
      </c>
      <c r="F3600" s="47" t="s">
        <v>56916</v>
      </c>
      <c r="G3600" s="8">
        <v>6.5</v>
      </c>
      <c r="H3600" s="8" t="s">
        <v>21</v>
      </c>
      <c r="I3600" s="8" t="s">
        <v>22</v>
      </c>
      <c r="J3600" s="8" t="s">
        <v>22</v>
      </c>
      <c r="K3600" s="8" t="s">
        <v>37</v>
      </c>
      <c r="L3600" s="8" t="s">
        <v>13194</v>
      </c>
      <c r="M3600" s="8" t="s">
        <v>13195</v>
      </c>
      <c r="N3600" s="8" t="s">
        <v>16500</v>
      </c>
      <c r="O3600" s="8">
        <f>11+15/60+26.8/3600</f>
        <v>11.257444444444445</v>
      </c>
      <c r="P3600" s="8" t="s">
        <v>16501</v>
      </c>
      <c r="Q3600" s="8">
        <f>+(18+6/60+37/3600)</f>
        <v>18.110277777777778</v>
      </c>
      <c r="R3600" s="8">
        <v>12</v>
      </c>
      <c r="S3600" s="8">
        <v>12.8</v>
      </c>
      <c r="T3600" s="8">
        <v>0.8</v>
      </c>
      <c r="U3600" s="8">
        <v>13.7</v>
      </c>
      <c r="V3600" s="8">
        <v>2.7</v>
      </c>
      <c r="W3600" s="8">
        <v>2.1</v>
      </c>
      <c r="X3600" s="8">
        <v>99</v>
      </c>
      <c r="Y3600" s="8" t="s">
        <v>16502</v>
      </c>
      <c r="Z3600" s="8" t="s">
        <v>16503</v>
      </c>
    </row>
    <row r="3601" spans="1:26" x14ac:dyDescent="0.2">
      <c r="A3601" s="8">
        <v>3600</v>
      </c>
      <c r="B3601" s="8" t="s">
        <v>16504</v>
      </c>
      <c r="C3601" s="8" t="s">
        <v>16504</v>
      </c>
      <c r="F3601" s="47" t="s">
        <v>56917</v>
      </c>
      <c r="G3601" s="8">
        <v>15</v>
      </c>
      <c r="H3601" s="8" t="s">
        <v>21</v>
      </c>
      <c r="I3601" s="8" t="s">
        <v>22</v>
      </c>
      <c r="J3601" s="8" t="s">
        <v>22</v>
      </c>
      <c r="K3601" s="8" t="s">
        <v>91</v>
      </c>
      <c r="L3601" s="8" t="s">
        <v>12015</v>
      </c>
      <c r="M3601" s="8" t="s">
        <v>12016</v>
      </c>
      <c r="N3601" s="8" t="s">
        <v>16505</v>
      </c>
      <c r="O3601" s="8">
        <f>11+15/60+52/3600</f>
        <v>11.264444444444445</v>
      </c>
      <c r="P3601" s="8" t="s">
        <v>16506</v>
      </c>
      <c r="Q3601" s="8">
        <f>+(41+35/60+28/3600)</f>
        <v>41.591111111111111</v>
      </c>
      <c r="R3601" s="8">
        <v>11.7</v>
      </c>
      <c r="S3601" s="8">
        <v>12.6</v>
      </c>
      <c r="T3601" s="8">
        <v>0.9</v>
      </c>
      <c r="U3601" s="8">
        <v>12.8</v>
      </c>
      <c r="V3601" s="8">
        <v>4.0999999999999996</v>
      </c>
      <c r="W3601" s="8">
        <v>0.8</v>
      </c>
      <c r="X3601" s="8">
        <v>3</v>
      </c>
      <c r="Y3601" s="8" t="s">
        <v>16507</v>
      </c>
      <c r="Z3601" s="8" t="s">
        <v>16508</v>
      </c>
    </row>
    <row r="3602" spans="1:26" x14ac:dyDescent="0.2">
      <c r="A3602" s="8">
        <v>3601</v>
      </c>
      <c r="B3602" s="8" t="s">
        <v>16509</v>
      </c>
      <c r="C3602" s="8" t="s">
        <v>16509</v>
      </c>
      <c r="F3602" s="47"/>
      <c r="G3602" s="8">
        <v>18</v>
      </c>
      <c r="H3602" s="8" t="s">
        <v>21</v>
      </c>
      <c r="I3602" s="8" t="s">
        <v>22</v>
      </c>
      <c r="J3602" s="8" t="s">
        <v>22</v>
      </c>
      <c r="K3602" s="8" t="s">
        <v>31</v>
      </c>
      <c r="L3602" s="8" t="s">
        <v>13194</v>
      </c>
      <c r="M3602" s="8" t="s">
        <v>13195</v>
      </c>
      <c r="N3602" s="8" t="s">
        <v>16510</v>
      </c>
      <c r="O3602" s="8">
        <f>11+15/60+33.2/3600</f>
        <v>11.259222222222222</v>
      </c>
      <c r="P3602" s="8" t="s">
        <v>16511</v>
      </c>
      <c r="Q3602" s="8">
        <f>+(5+6/60+56/3600)</f>
        <v>5.115555555555555</v>
      </c>
      <c r="R3602" s="8">
        <v>13.8</v>
      </c>
      <c r="S3602" s="8">
        <v>14.6</v>
      </c>
      <c r="T3602" s="8">
        <v>0.8</v>
      </c>
      <c r="U3602" s="8">
        <v>12.1</v>
      </c>
      <c r="V3602" s="8">
        <v>0.5</v>
      </c>
      <c r="W3602" s="8">
        <v>0.5</v>
      </c>
      <c r="Y3602" s="8" t="s">
        <v>16512</v>
      </c>
      <c r="Z3602" s="8" t="s">
        <v>16513</v>
      </c>
    </row>
    <row r="3603" spans="1:26" x14ac:dyDescent="0.2">
      <c r="A3603" s="8">
        <v>3602</v>
      </c>
      <c r="B3603" s="8" t="s">
        <v>16514</v>
      </c>
      <c r="C3603" s="8" t="s">
        <v>16514</v>
      </c>
      <c r="F3603" s="47"/>
      <c r="G3603" s="8">
        <v>18</v>
      </c>
      <c r="H3603" s="8" t="s">
        <v>21</v>
      </c>
      <c r="I3603" s="8" t="s">
        <v>22</v>
      </c>
      <c r="J3603" s="8" t="s">
        <v>22</v>
      </c>
      <c r="K3603" s="8" t="s">
        <v>23</v>
      </c>
      <c r="L3603" s="8" t="s">
        <v>13194</v>
      </c>
      <c r="M3603" s="8" t="s">
        <v>13195</v>
      </c>
      <c r="N3603" s="8" t="s">
        <v>16515</v>
      </c>
      <c r="O3603" s="8">
        <f>11+15/60+48.3/3600</f>
        <v>11.263416666666666</v>
      </c>
      <c r="P3603" s="8" t="s">
        <v>16516</v>
      </c>
      <c r="Q3603" s="8">
        <f>+(17+24/60+58/3600)</f>
        <v>17.41611111111111</v>
      </c>
      <c r="R3603" s="8">
        <v>15</v>
      </c>
      <c r="S3603" s="8">
        <v>15.8</v>
      </c>
      <c r="T3603" s="8">
        <v>0.8</v>
      </c>
      <c r="U3603" s="8">
        <v>12.9</v>
      </c>
      <c r="V3603" s="8">
        <v>0.8</v>
      </c>
      <c r="W3603" s="8">
        <v>0.2</v>
      </c>
      <c r="X3603" s="8">
        <v>48</v>
      </c>
      <c r="Y3603" s="8" t="s">
        <v>15774</v>
      </c>
      <c r="Z3603" s="8" t="s">
        <v>15775</v>
      </c>
    </row>
    <row r="3604" spans="1:26" x14ac:dyDescent="0.2">
      <c r="A3604" s="8">
        <v>3603</v>
      </c>
      <c r="B3604" s="8" t="s">
        <v>16517</v>
      </c>
      <c r="C3604" s="8" t="s">
        <v>16517</v>
      </c>
      <c r="F3604" s="47"/>
      <c r="G3604" s="8">
        <v>5</v>
      </c>
      <c r="H3604" s="8" t="s">
        <v>21</v>
      </c>
      <c r="I3604" s="8" t="s">
        <v>557</v>
      </c>
      <c r="J3604" s="8" t="s">
        <v>557</v>
      </c>
      <c r="K3604" s="8" t="s">
        <v>16518</v>
      </c>
      <c r="L3604" s="8" t="s">
        <v>10135</v>
      </c>
      <c r="M3604" s="8" t="s">
        <v>10136</v>
      </c>
      <c r="N3604" s="8" t="s">
        <v>16519</v>
      </c>
      <c r="O3604" s="8">
        <f>11+15/60+6.6/3600</f>
        <v>11.251833333333334</v>
      </c>
      <c r="P3604" s="8" t="s">
        <v>16520</v>
      </c>
      <c r="Q3604" s="8">
        <f>-(61+15/60+40/3600)</f>
        <v>-61.261111111111113</v>
      </c>
      <c r="R3604" s="8">
        <v>9.1</v>
      </c>
      <c r="S3604" s="8">
        <v>99</v>
      </c>
      <c r="T3604" s="8">
        <v>99</v>
      </c>
      <c r="U3604" s="8">
        <v>99</v>
      </c>
      <c r="V3604" s="8">
        <v>4</v>
      </c>
      <c r="Y3604" s="8" t="s">
        <v>16521</v>
      </c>
      <c r="Z3604" s="8" t="s">
        <v>16522</v>
      </c>
    </row>
    <row r="3605" spans="1:26" x14ac:dyDescent="0.2">
      <c r="A3605" s="8">
        <v>3604</v>
      </c>
      <c r="B3605" s="8" t="s">
        <v>16523</v>
      </c>
      <c r="C3605" s="8" t="s">
        <v>16523</v>
      </c>
      <c r="F3605" s="47" t="s">
        <v>56918</v>
      </c>
      <c r="G3605" s="8">
        <v>15</v>
      </c>
      <c r="H3605" s="8" t="s">
        <v>21</v>
      </c>
      <c r="I3605" s="8" t="s">
        <v>22</v>
      </c>
      <c r="J3605" s="8" t="s">
        <v>57</v>
      </c>
      <c r="K3605" s="8" t="s">
        <v>91</v>
      </c>
      <c r="L3605" s="8" t="s">
        <v>13194</v>
      </c>
      <c r="M3605" s="8" t="s">
        <v>13195</v>
      </c>
      <c r="N3605" s="8" t="s">
        <v>16524</v>
      </c>
      <c r="O3605" s="8">
        <f>11+17/60+30.1/3600</f>
        <v>11.291694444444444</v>
      </c>
      <c r="P3605" s="8" t="s">
        <v>16525</v>
      </c>
      <c r="Q3605" s="8">
        <f>+(4+33/60+19/3600)</f>
        <v>4.5552777777777775</v>
      </c>
      <c r="R3605" s="8">
        <v>12.2</v>
      </c>
      <c r="S3605" s="8">
        <v>12.8</v>
      </c>
      <c r="T3605" s="8">
        <v>0.6</v>
      </c>
      <c r="U3605" s="8">
        <v>13.4</v>
      </c>
      <c r="V3605" s="8">
        <v>2</v>
      </c>
      <c r="W3605" s="8">
        <v>1.6</v>
      </c>
      <c r="X3605" s="8">
        <v>24</v>
      </c>
      <c r="Y3605" s="8" t="s">
        <v>16526</v>
      </c>
      <c r="Z3605" s="8" t="s">
        <v>16527</v>
      </c>
    </row>
    <row r="3606" spans="1:26" x14ac:dyDescent="0.2">
      <c r="A3606" s="8">
        <v>3605</v>
      </c>
      <c r="B3606" s="8" t="s">
        <v>16528</v>
      </c>
      <c r="C3606" s="8" t="s">
        <v>16528</v>
      </c>
      <c r="F3606" s="47" t="s">
        <v>56919</v>
      </c>
      <c r="G3606" s="8">
        <v>6.5</v>
      </c>
      <c r="H3606" s="8" t="s">
        <v>21</v>
      </c>
      <c r="I3606" s="8" t="s">
        <v>22</v>
      </c>
      <c r="J3606" s="8" t="s">
        <v>22</v>
      </c>
      <c r="K3606" s="8" t="s">
        <v>50</v>
      </c>
      <c r="L3606" s="8" t="s">
        <v>13194</v>
      </c>
      <c r="M3606" s="8" t="s">
        <v>13195</v>
      </c>
      <c r="N3606" s="8" t="s">
        <v>16529</v>
      </c>
      <c r="O3606" s="8">
        <f>11+16/60+46.6/3600</f>
        <v>11.279611111111112</v>
      </c>
      <c r="P3606" s="8" t="s">
        <v>16530</v>
      </c>
      <c r="Q3606" s="8">
        <f>+(18+1/60+3/3600)</f>
        <v>18.017499999999998</v>
      </c>
      <c r="R3606" s="8">
        <v>12.3</v>
      </c>
      <c r="S3606" s="8">
        <v>13.1</v>
      </c>
      <c r="T3606" s="8">
        <v>0.8</v>
      </c>
      <c r="U3606" s="8">
        <v>12.8</v>
      </c>
      <c r="V3606" s="8">
        <v>1.4</v>
      </c>
      <c r="W3606" s="8">
        <v>0.9</v>
      </c>
      <c r="X3606" s="8">
        <v>12</v>
      </c>
      <c r="Y3606" s="8" t="s">
        <v>16531</v>
      </c>
      <c r="Z3606" s="8" t="s">
        <v>16532</v>
      </c>
    </row>
    <row r="3607" spans="1:26" x14ac:dyDescent="0.2">
      <c r="A3607" s="8">
        <v>3606</v>
      </c>
      <c r="B3607" s="8" t="s">
        <v>16533</v>
      </c>
      <c r="C3607" s="8" t="s">
        <v>16533</v>
      </c>
      <c r="F3607" s="47"/>
      <c r="G3607" s="8">
        <v>16</v>
      </c>
      <c r="H3607" s="8" t="s">
        <v>21</v>
      </c>
      <c r="I3607" s="8" t="s">
        <v>22</v>
      </c>
      <c r="J3607" s="8" t="s">
        <v>22</v>
      </c>
      <c r="K3607" s="8" t="s">
        <v>183</v>
      </c>
      <c r="L3607" s="8" t="s">
        <v>11765</v>
      </c>
      <c r="M3607" s="8" t="s">
        <v>11766</v>
      </c>
      <c r="N3607" s="8" t="s">
        <v>16534</v>
      </c>
      <c r="O3607" s="8">
        <f>11+16/60+15.6/3600</f>
        <v>11.271000000000001</v>
      </c>
      <c r="P3607" s="8" t="s">
        <v>16535</v>
      </c>
      <c r="Q3607" s="8">
        <f>-(33+49/60+39/3600)</f>
        <v>-33.827500000000001</v>
      </c>
      <c r="R3607" s="8">
        <v>12.3</v>
      </c>
      <c r="S3607" s="8">
        <v>13.3</v>
      </c>
      <c r="T3607" s="8">
        <v>1</v>
      </c>
      <c r="U3607" s="8">
        <v>13</v>
      </c>
      <c r="V3607" s="8">
        <v>1.5</v>
      </c>
      <c r="W3607" s="8">
        <v>1.4</v>
      </c>
      <c r="X3607" s="8">
        <v>168</v>
      </c>
      <c r="Y3607" s="8" t="s">
        <v>3923</v>
      </c>
      <c r="Z3607" s="8" t="s">
        <v>3924</v>
      </c>
    </row>
    <row r="3608" spans="1:26" x14ac:dyDescent="0.2">
      <c r="A3608" s="8">
        <v>3607</v>
      </c>
      <c r="B3608" s="8" t="s">
        <v>16536</v>
      </c>
      <c r="C3608" s="8" t="s">
        <v>16536</v>
      </c>
      <c r="F3608" s="47" t="s">
        <v>56920</v>
      </c>
      <c r="G3608" s="8">
        <v>5</v>
      </c>
      <c r="H3608" s="8" t="s">
        <v>21</v>
      </c>
      <c r="I3608" s="8" t="s">
        <v>22</v>
      </c>
      <c r="J3608" s="8" t="s">
        <v>22</v>
      </c>
      <c r="K3608" s="8" t="s">
        <v>58</v>
      </c>
      <c r="L3608" s="8" t="s">
        <v>13194</v>
      </c>
      <c r="M3608" s="8" t="s">
        <v>13195</v>
      </c>
      <c r="N3608" s="8" t="s">
        <v>16537</v>
      </c>
      <c r="O3608" s="8">
        <f>11+16/60+54.5/3600</f>
        <v>11.281805555555556</v>
      </c>
      <c r="P3608" s="8" t="s">
        <v>16538</v>
      </c>
      <c r="Q3608" s="8">
        <f>+(18+3/60+8/3600)</f>
        <v>18.052222222222223</v>
      </c>
      <c r="R3608" s="8">
        <v>9.9</v>
      </c>
      <c r="S3608" s="8">
        <v>10.8</v>
      </c>
      <c r="T3608" s="8">
        <v>0.9</v>
      </c>
      <c r="U3608" s="8">
        <v>12.5</v>
      </c>
      <c r="V3608" s="8">
        <v>4.5999999999999996</v>
      </c>
      <c r="W3608" s="8">
        <v>4</v>
      </c>
      <c r="X3608" s="8">
        <v>120</v>
      </c>
      <c r="Y3608" s="8" t="s">
        <v>16539</v>
      </c>
      <c r="Z3608" s="8" t="s">
        <v>16540</v>
      </c>
    </row>
    <row r="3609" spans="1:26" x14ac:dyDescent="0.2">
      <c r="A3609" s="8">
        <v>3608</v>
      </c>
      <c r="B3609" s="8" t="s">
        <v>16541</v>
      </c>
      <c r="C3609" s="8" t="s">
        <v>16541</v>
      </c>
      <c r="F3609" s="47" t="s">
        <v>56921</v>
      </c>
      <c r="G3609" s="8">
        <v>6</v>
      </c>
      <c r="H3609" s="8" t="s">
        <v>21</v>
      </c>
      <c r="I3609" s="8" t="s">
        <v>22</v>
      </c>
      <c r="J3609" s="8" t="s">
        <v>22</v>
      </c>
      <c r="K3609" s="8" t="s">
        <v>1136</v>
      </c>
      <c r="L3609" s="8" t="s">
        <v>13194</v>
      </c>
      <c r="M3609" s="8" t="s">
        <v>13195</v>
      </c>
      <c r="N3609" s="8" t="s">
        <v>16542</v>
      </c>
      <c r="O3609" s="8">
        <f>11+16/60+59/3600</f>
        <v>11.283055555555556</v>
      </c>
      <c r="P3609" s="8" t="s">
        <v>16543</v>
      </c>
      <c r="Q3609" s="8">
        <f>+(18+8/60+53/3600)</f>
        <v>18.148055555555555</v>
      </c>
      <c r="R3609" s="8">
        <v>10.8</v>
      </c>
      <c r="S3609" s="8">
        <v>11.7</v>
      </c>
      <c r="T3609" s="8">
        <v>0.9</v>
      </c>
      <c r="U3609" s="8">
        <v>13.1</v>
      </c>
      <c r="V3609" s="8">
        <v>3.2</v>
      </c>
      <c r="W3609" s="8">
        <v>2.6</v>
      </c>
      <c r="X3609" s="8">
        <v>75</v>
      </c>
      <c r="Y3609" s="8" t="s">
        <v>16544</v>
      </c>
      <c r="Z3609" s="8" t="s">
        <v>16545</v>
      </c>
    </row>
    <row r="3610" spans="1:26" x14ac:dyDescent="0.2">
      <c r="A3610" s="8">
        <v>3609</v>
      </c>
      <c r="B3610" s="8" t="s">
        <v>16546</v>
      </c>
      <c r="C3610" s="8" t="s">
        <v>16546</v>
      </c>
      <c r="F3610" s="47"/>
      <c r="G3610" s="8">
        <v>18</v>
      </c>
      <c r="H3610" s="8" t="s">
        <v>21</v>
      </c>
      <c r="I3610" s="8" t="s">
        <v>22</v>
      </c>
      <c r="J3610" s="8" t="s">
        <v>57</v>
      </c>
      <c r="K3610" s="8" t="s">
        <v>31</v>
      </c>
      <c r="L3610" s="8" t="s">
        <v>13194</v>
      </c>
      <c r="M3610" s="8" t="s">
        <v>13195</v>
      </c>
      <c r="N3610" s="8" t="s">
        <v>16547</v>
      </c>
      <c r="O3610" s="8">
        <f>11+17/60+50.6/3600</f>
        <v>11.297388888888889</v>
      </c>
      <c r="P3610" s="8" t="s">
        <v>16548</v>
      </c>
      <c r="Q3610" s="8">
        <f>+(26+37/60+31/3600)</f>
        <v>26.625277777777779</v>
      </c>
      <c r="R3610" s="8">
        <v>13.3</v>
      </c>
      <c r="S3610" s="8">
        <v>14.1</v>
      </c>
      <c r="T3610" s="8">
        <v>0.8</v>
      </c>
      <c r="U3610" s="8">
        <v>13.3</v>
      </c>
      <c r="V3610" s="8">
        <v>1.2</v>
      </c>
      <c r="W3610" s="8">
        <v>1</v>
      </c>
      <c r="X3610" s="8">
        <v>50</v>
      </c>
      <c r="Y3610" s="8" t="s">
        <v>16549</v>
      </c>
      <c r="Z3610" s="8" t="s">
        <v>16550</v>
      </c>
    </row>
    <row r="3611" spans="1:26" x14ac:dyDescent="0.2">
      <c r="A3611" s="8">
        <v>3610</v>
      </c>
      <c r="B3611" s="8" t="s">
        <v>16551</v>
      </c>
      <c r="C3611" s="8" t="s">
        <v>16551</v>
      </c>
      <c r="F3611" s="47" t="s">
        <v>56922</v>
      </c>
      <c r="G3611" s="8">
        <v>6</v>
      </c>
      <c r="H3611" s="8" t="s">
        <v>21</v>
      </c>
      <c r="I3611" s="8" t="s">
        <v>22</v>
      </c>
      <c r="J3611" s="8" t="s">
        <v>22</v>
      </c>
      <c r="K3611" s="8" t="s">
        <v>1068</v>
      </c>
      <c r="L3611" s="8" t="s">
        <v>12015</v>
      </c>
      <c r="M3611" s="8" t="s">
        <v>12016</v>
      </c>
      <c r="N3611" s="8" t="s">
        <v>16552</v>
      </c>
      <c r="O3611" s="8">
        <f>11+18/60+24.9/3600</f>
        <v>11.306916666666668</v>
      </c>
      <c r="P3611" s="8" t="s">
        <v>16553</v>
      </c>
      <c r="Q3611" s="8">
        <f>+(58+47/60+12/3600)</f>
        <v>58.786666666666662</v>
      </c>
      <c r="R3611" s="8">
        <v>10.8</v>
      </c>
      <c r="S3611" s="8">
        <v>11.7</v>
      </c>
      <c r="T3611" s="8">
        <v>0.9</v>
      </c>
      <c r="U3611" s="8">
        <v>12.8</v>
      </c>
      <c r="V3611" s="8">
        <v>2.7</v>
      </c>
      <c r="W3611" s="8">
        <v>2.2999999999999998</v>
      </c>
      <c r="X3611" s="8">
        <v>144</v>
      </c>
      <c r="Y3611" s="8" t="s">
        <v>16554</v>
      </c>
      <c r="Z3611" s="8" t="s">
        <v>16555</v>
      </c>
    </row>
    <row r="3612" spans="1:26" x14ac:dyDescent="0.2">
      <c r="A3612" s="8">
        <v>3611</v>
      </c>
      <c r="B3612" s="8" t="s">
        <v>16556</v>
      </c>
      <c r="C3612" s="8" t="s">
        <v>16556</v>
      </c>
      <c r="F3612" s="47" t="s">
        <v>56923</v>
      </c>
      <c r="G3612" s="8">
        <v>6.5</v>
      </c>
      <c r="H3612" s="8" t="s">
        <v>21</v>
      </c>
      <c r="I3612" s="8" t="s">
        <v>22</v>
      </c>
      <c r="J3612" s="8" t="s">
        <v>22</v>
      </c>
      <c r="K3612" s="8" t="s">
        <v>91</v>
      </c>
      <c r="L3612" s="8" t="s">
        <v>13194</v>
      </c>
      <c r="M3612" s="8" t="s">
        <v>13195</v>
      </c>
      <c r="N3612" s="8" t="s">
        <v>16524</v>
      </c>
      <c r="O3612" s="8">
        <f>11+17/60+30.1/3600</f>
        <v>11.291694444444444</v>
      </c>
      <c r="P3612" s="8" t="s">
        <v>16525</v>
      </c>
      <c r="Q3612" s="8">
        <f>+(4+33/60+19/3600)</f>
        <v>4.5552777777777775</v>
      </c>
      <c r="R3612" s="8">
        <v>12.2</v>
      </c>
      <c r="S3612" s="8">
        <v>12.8</v>
      </c>
      <c r="T3612" s="8">
        <v>0.6</v>
      </c>
      <c r="U3612" s="8">
        <v>13.4</v>
      </c>
      <c r="V3612" s="8">
        <v>2</v>
      </c>
      <c r="W3612" s="8">
        <v>1.6</v>
      </c>
      <c r="X3612" s="8">
        <v>24</v>
      </c>
      <c r="Y3612" s="8" t="s">
        <v>16526</v>
      </c>
      <c r="Z3612" s="8" t="s">
        <v>16557</v>
      </c>
    </row>
    <row r="3613" spans="1:26" x14ac:dyDescent="0.2">
      <c r="A3613" s="8">
        <v>3612</v>
      </c>
      <c r="B3613" s="8" t="s">
        <v>16558</v>
      </c>
      <c r="C3613" s="8" t="s">
        <v>16558</v>
      </c>
      <c r="F3613" s="47"/>
      <c r="G3613" s="8">
        <v>18</v>
      </c>
      <c r="H3613" s="8" t="s">
        <v>21</v>
      </c>
      <c r="I3613" s="8" t="s">
        <v>22</v>
      </c>
      <c r="J3613" s="8" t="s">
        <v>22</v>
      </c>
      <c r="K3613" s="8" t="s">
        <v>31</v>
      </c>
      <c r="L3613" s="8" t="s">
        <v>13194</v>
      </c>
      <c r="M3613" s="8" t="s">
        <v>13195</v>
      </c>
      <c r="N3613" s="8" t="s">
        <v>16547</v>
      </c>
      <c r="O3613" s="8">
        <f>11+17/60+50.6/3600</f>
        <v>11.297388888888889</v>
      </c>
      <c r="P3613" s="8" t="s">
        <v>16548</v>
      </c>
      <c r="Q3613" s="8">
        <f>+(26+37/60+31/3600)</f>
        <v>26.625277777777779</v>
      </c>
      <c r="R3613" s="8">
        <v>13.3</v>
      </c>
      <c r="S3613" s="8">
        <v>14.1</v>
      </c>
      <c r="T3613" s="8">
        <v>0.8</v>
      </c>
      <c r="U3613" s="8">
        <v>13.3</v>
      </c>
      <c r="V3613" s="8">
        <v>1.2</v>
      </c>
      <c r="W3613" s="8">
        <v>1</v>
      </c>
      <c r="X3613" s="8">
        <v>50</v>
      </c>
      <c r="Y3613" s="8" t="s">
        <v>16549</v>
      </c>
      <c r="Z3613" s="8" t="s">
        <v>16559</v>
      </c>
    </row>
    <row r="3614" spans="1:26" x14ac:dyDescent="0.2">
      <c r="A3614" s="8">
        <v>3613</v>
      </c>
      <c r="B3614" s="8" t="s">
        <v>16560</v>
      </c>
      <c r="C3614" s="8" t="s">
        <v>16560</v>
      </c>
      <c r="F3614" s="47" t="s">
        <v>56924</v>
      </c>
      <c r="G3614" s="8">
        <v>6</v>
      </c>
      <c r="H3614" s="8" t="s">
        <v>21</v>
      </c>
      <c r="I3614" s="8" t="s">
        <v>22</v>
      </c>
      <c r="J3614" s="8" t="s">
        <v>22</v>
      </c>
      <c r="K3614" s="8" t="s">
        <v>3850</v>
      </c>
      <c r="L3614" s="8" t="s">
        <v>12015</v>
      </c>
      <c r="M3614" s="8" t="s">
        <v>12016</v>
      </c>
      <c r="N3614" s="8" t="s">
        <v>16561</v>
      </c>
      <c r="O3614" s="8">
        <f>11+18/60+35.9/3600</f>
        <v>11.309972222222223</v>
      </c>
      <c r="P3614" s="8" t="s">
        <v>16562</v>
      </c>
      <c r="Q3614" s="8">
        <f>+(58+0/60+2/3600)</f>
        <v>58.000555555555557</v>
      </c>
      <c r="R3614" s="8">
        <v>10.9</v>
      </c>
      <c r="S3614" s="8">
        <v>11.8</v>
      </c>
      <c r="T3614" s="8">
        <v>0.9</v>
      </c>
      <c r="U3614" s="8">
        <v>13</v>
      </c>
      <c r="V3614" s="8">
        <v>3.9</v>
      </c>
      <c r="W3614" s="8">
        <v>1.9</v>
      </c>
      <c r="X3614" s="8">
        <v>102</v>
      </c>
      <c r="Y3614" s="8" t="s">
        <v>16563</v>
      </c>
      <c r="Z3614" s="8" t="s">
        <v>16564</v>
      </c>
    </row>
    <row r="3615" spans="1:26" x14ac:dyDescent="0.2">
      <c r="A3615" s="8">
        <v>3614</v>
      </c>
      <c r="B3615" s="8" t="s">
        <v>16565</v>
      </c>
      <c r="C3615" s="8" t="s">
        <v>16565</v>
      </c>
      <c r="F3615" s="47" t="s">
        <v>56925</v>
      </c>
      <c r="G3615" s="8">
        <v>13</v>
      </c>
      <c r="H3615" s="8" t="s">
        <v>21</v>
      </c>
      <c r="I3615" s="8" t="s">
        <v>22</v>
      </c>
      <c r="J3615" s="8" t="s">
        <v>22</v>
      </c>
      <c r="K3615" s="8" t="s">
        <v>160</v>
      </c>
      <c r="L3615" s="8" t="s">
        <v>12015</v>
      </c>
      <c r="M3615" s="8" t="s">
        <v>12016</v>
      </c>
      <c r="N3615" s="8" t="s">
        <v>16566</v>
      </c>
      <c r="O3615" s="8">
        <f>11+18/60+21.6/3600</f>
        <v>11.306000000000001</v>
      </c>
      <c r="P3615" s="8" t="s">
        <v>16567</v>
      </c>
      <c r="Q3615" s="8">
        <f>+(45+44/60+55/3600)</f>
        <v>45.74861111111111</v>
      </c>
      <c r="R3615" s="8">
        <v>11.6</v>
      </c>
      <c r="S3615" s="8">
        <v>12.3</v>
      </c>
      <c r="T3615" s="8">
        <v>0.7</v>
      </c>
      <c r="U3615" s="8">
        <v>14.1</v>
      </c>
      <c r="V3615" s="8">
        <v>4.5999999999999996</v>
      </c>
      <c r="W3615" s="8">
        <v>2.6</v>
      </c>
      <c r="X3615" s="8">
        <v>104</v>
      </c>
      <c r="Y3615" s="8" t="s">
        <v>16568</v>
      </c>
      <c r="Z3615" s="8" t="s">
        <v>16569</v>
      </c>
    </row>
    <row r="3616" spans="1:26" x14ac:dyDescent="0.2">
      <c r="A3616" s="8">
        <v>3615</v>
      </c>
      <c r="B3616" s="8" t="s">
        <v>16570</v>
      </c>
      <c r="C3616" s="8" t="s">
        <v>16570</v>
      </c>
      <c r="F3616" s="47" t="s">
        <v>56926</v>
      </c>
      <c r="G3616" s="8">
        <v>15</v>
      </c>
      <c r="H3616" s="8" t="s">
        <v>21</v>
      </c>
      <c r="I3616" s="8" t="s">
        <v>22</v>
      </c>
      <c r="J3616" s="8" t="s">
        <v>22</v>
      </c>
      <c r="K3616" s="8" t="s">
        <v>50</v>
      </c>
      <c r="L3616" s="8" t="s">
        <v>13194</v>
      </c>
      <c r="M3616" s="8" t="s">
        <v>13195</v>
      </c>
      <c r="N3616" s="8" t="s">
        <v>16571</v>
      </c>
      <c r="O3616" s="8">
        <f>11+18/60+6.5/3600</f>
        <v>11.301805555555557</v>
      </c>
      <c r="P3616" s="8" t="s">
        <v>16572</v>
      </c>
      <c r="Q3616" s="8">
        <f>+(23+23/60+51/3600)</f>
        <v>23.397500000000001</v>
      </c>
      <c r="R3616" s="8">
        <v>12.8</v>
      </c>
      <c r="S3616" s="8">
        <v>13.8</v>
      </c>
      <c r="T3616" s="8">
        <v>1</v>
      </c>
      <c r="U3616" s="8">
        <v>13.1</v>
      </c>
      <c r="V3616" s="8">
        <v>1.4</v>
      </c>
      <c r="W3616" s="8">
        <v>0.9</v>
      </c>
      <c r="X3616" s="8">
        <v>40</v>
      </c>
      <c r="Y3616" s="8" t="s">
        <v>16573</v>
      </c>
      <c r="Z3616" s="8" t="s">
        <v>16574</v>
      </c>
    </row>
    <row r="3617" spans="1:26" x14ac:dyDescent="0.2">
      <c r="A3617" s="8">
        <v>3616</v>
      </c>
      <c r="B3617" s="8" t="s">
        <v>16575</v>
      </c>
      <c r="C3617" s="8" t="s">
        <v>16575</v>
      </c>
      <c r="F3617" s="47" t="s">
        <v>56927</v>
      </c>
      <c r="G3617" s="8">
        <v>15</v>
      </c>
      <c r="H3617" s="8" t="s">
        <v>21</v>
      </c>
      <c r="I3617" s="8" t="s">
        <v>329</v>
      </c>
      <c r="J3617" s="8" t="s">
        <v>329</v>
      </c>
      <c r="K3617" s="8" t="s">
        <v>329</v>
      </c>
      <c r="L3617" s="8" t="s">
        <v>13194</v>
      </c>
      <c r="M3617" s="8" t="s">
        <v>13195</v>
      </c>
      <c r="N3617" s="8" t="s">
        <v>16576</v>
      </c>
      <c r="O3617" s="8">
        <f>11+18/60+8.6/3600</f>
        <v>11.30238888888889</v>
      </c>
      <c r="P3617" s="8" t="s">
        <v>16577</v>
      </c>
      <c r="Q3617" s="8">
        <f>+(14+45/60+58/3600)</f>
        <v>14.766111111111112</v>
      </c>
      <c r="R3617" s="8">
        <v>99</v>
      </c>
      <c r="S3617" s="8">
        <v>99</v>
      </c>
      <c r="T3617" s="8">
        <v>99</v>
      </c>
      <c r="U3617" s="8">
        <v>99</v>
      </c>
      <c r="Y3617" s="8" t="s">
        <v>3505</v>
      </c>
      <c r="Z3617" s="8" t="s">
        <v>3506</v>
      </c>
    </row>
    <row r="3618" spans="1:26" x14ac:dyDescent="0.2">
      <c r="A3618" s="8">
        <v>3617</v>
      </c>
      <c r="B3618" s="8" t="s">
        <v>16578</v>
      </c>
      <c r="C3618" s="8" t="s">
        <v>16578</v>
      </c>
      <c r="F3618" s="47"/>
      <c r="G3618" s="8">
        <v>16</v>
      </c>
      <c r="H3618" s="8" t="s">
        <v>21</v>
      </c>
      <c r="I3618" s="8" t="s">
        <v>22</v>
      </c>
      <c r="J3618" s="8" t="s">
        <v>22</v>
      </c>
      <c r="K3618" s="8" t="s">
        <v>382</v>
      </c>
      <c r="L3618" s="8" t="s">
        <v>11765</v>
      </c>
      <c r="M3618" s="8" t="s">
        <v>11766</v>
      </c>
      <c r="N3618" s="8" t="s">
        <v>16579</v>
      </c>
      <c r="O3618" s="8">
        <f>11+17/60+50.8/3600</f>
        <v>11.297444444444444</v>
      </c>
      <c r="P3618" s="8" t="s">
        <v>16580</v>
      </c>
      <c r="Q3618" s="8">
        <f>-(26+8/60+2/3600)</f>
        <v>-26.133888888888887</v>
      </c>
      <c r="R3618" s="8">
        <v>12.8</v>
      </c>
      <c r="S3618" s="8">
        <v>13.7</v>
      </c>
      <c r="T3618" s="8">
        <v>0.9</v>
      </c>
      <c r="U3618" s="8">
        <v>13.7</v>
      </c>
      <c r="V3618" s="8">
        <v>1.8</v>
      </c>
      <c r="W3618" s="8">
        <v>1.3</v>
      </c>
      <c r="X3618" s="8">
        <v>147</v>
      </c>
      <c r="Y3618" s="8" t="s">
        <v>6420</v>
      </c>
      <c r="Z3618" s="8" t="s">
        <v>6421</v>
      </c>
    </row>
    <row r="3619" spans="1:26" x14ac:dyDescent="0.2">
      <c r="A3619" s="8">
        <v>3618</v>
      </c>
      <c r="B3619" s="8" t="s">
        <v>16581</v>
      </c>
      <c r="C3619" s="8" t="s">
        <v>16581</v>
      </c>
      <c r="F3619" s="47" t="s">
        <v>56928</v>
      </c>
      <c r="G3619" s="8">
        <v>15</v>
      </c>
      <c r="H3619" s="8" t="s">
        <v>21</v>
      </c>
      <c r="I3619" s="8" t="s">
        <v>22</v>
      </c>
      <c r="J3619" s="8" t="s">
        <v>22</v>
      </c>
      <c r="K3619" s="8" t="s">
        <v>218</v>
      </c>
      <c r="L3619" s="8" t="s">
        <v>13194</v>
      </c>
      <c r="M3619" s="8" t="s">
        <v>13195</v>
      </c>
      <c r="N3619" s="8" t="s">
        <v>16582</v>
      </c>
      <c r="O3619" s="8">
        <f>11+18/60+32.4/3600</f>
        <v>11.309000000000001</v>
      </c>
      <c r="P3619" s="8" t="s">
        <v>16583</v>
      </c>
      <c r="Q3619" s="8">
        <f>+(23+28/60+8/3600)</f>
        <v>23.468888888888888</v>
      </c>
      <c r="R3619" s="8">
        <v>13.6</v>
      </c>
      <c r="S3619" s="8">
        <v>14.4</v>
      </c>
      <c r="T3619" s="8">
        <v>0.8</v>
      </c>
      <c r="U3619" s="8">
        <v>13.1</v>
      </c>
      <c r="V3619" s="8">
        <v>0.9</v>
      </c>
      <c r="W3619" s="8">
        <v>0.8</v>
      </c>
      <c r="X3619" s="8">
        <v>175</v>
      </c>
      <c r="Y3619" s="8" t="s">
        <v>8454</v>
      </c>
      <c r="Z3619" s="8" t="s">
        <v>8455</v>
      </c>
    </row>
    <row r="3620" spans="1:26" x14ac:dyDescent="0.2">
      <c r="A3620" s="8">
        <v>3619</v>
      </c>
      <c r="B3620" s="8" t="s">
        <v>16584</v>
      </c>
      <c r="C3620" s="8" t="s">
        <v>16584</v>
      </c>
      <c r="F3620" s="47" t="s">
        <v>56929</v>
      </c>
      <c r="G3620" s="8">
        <v>6</v>
      </c>
      <c r="H3620" s="8" t="s">
        <v>21</v>
      </c>
      <c r="I3620" s="8" t="s">
        <v>22</v>
      </c>
      <c r="J3620" s="8" t="s">
        <v>22</v>
      </c>
      <c r="K3620" s="8" t="s">
        <v>632</v>
      </c>
      <c r="L3620" s="8" t="s">
        <v>12015</v>
      </c>
      <c r="M3620" s="8" t="s">
        <v>12016</v>
      </c>
      <c r="N3620" s="8" t="s">
        <v>16585</v>
      </c>
      <c r="O3620" s="8">
        <f>11+19/60+21.5/3600</f>
        <v>11.322638888888889</v>
      </c>
      <c r="P3620" s="8" t="s">
        <v>16586</v>
      </c>
      <c r="Q3620" s="8">
        <f>+(57+45/60+30/3600)</f>
        <v>57.758333333333333</v>
      </c>
      <c r="R3620" s="8">
        <v>11.5</v>
      </c>
      <c r="S3620" s="8">
        <v>12.4</v>
      </c>
      <c r="T3620" s="8">
        <v>0.9</v>
      </c>
      <c r="U3620" s="8">
        <v>13.4</v>
      </c>
      <c r="V3620" s="8">
        <v>2.7</v>
      </c>
      <c r="W3620" s="8">
        <v>2.2999999999999998</v>
      </c>
      <c r="X3620" s="8">
        <v>57</v>
      </c>
      <c r="Y3620" s="8" t="s">
        <v>16587</v>
      </c>
      <c r="Z3620" s="8" t="s">
        <v>16588</v>
      </c>
    </row>
    <row r="3621" spans="1:26" x14ac:dyDescent="0.2">
      <c r="A3621" s="8">
        <v>3620</v>
      </c>
      <c r="B3621" s="8" t="s">
        <v>16589</v>
      </c>
      <c r="C3621" s="8" t="s">
        <v>16589</v>
      </c>
      <c r="F3621" s="47"/>
      <c r="G3621" s="8">
        <v>16</v>
      </c>
      <c r="H3621" s="8" t="s">
        <v>21</v>
      </c>
      <c r="I3621" s="8" t="s">
        <v>22</v>
      </c>
      <c r="J3621" s="8" t="s">
        <v>22</v>
      </c>
      <c r="K3621" s="8" t="s">
        <v>406</v>
      </c>
      <c r="L3621" s="8" t="s">
        <v>13429</v>
      </c>
      <c r="M3621" s="8" t="s">
        <v>13430</v>
      </c>
      <c r="N3621" s="8" t="s">
        <v>16590</v>
      </c>
      <c r="O3621" s="8">
        <f>11+16/60+5/3600</f>
        <v>11.268055555555556</v>
      </c>
      <c r="P3621" s="8" t="s">
        <v>16591</v>
      </c>
      <c r="Q3621" s="8">
        <f>-(76+13/60+2/3600)</f>
        <v>-76.217222222222219</v>
      </c>
      <c r="R3621" s="8">
        <v>13.3</v>
      </c>
      <c r="S3621" s="8">
        <v>14.1</v>
      </c>
      <c r="T3621" s="8">
        <v>0.8</v>
      </c>
      <c r="U3621" s="8">
        <v>14.4</v>
      </c>
      <c r="V3621" s="8">
        <v>2.7</v>
      </c>
      <c r="W3621" s="8">
        <v>1.1000000000000001</v>
      </c>
      <c r="X3621" s="8">
        <v>78</v>
      </c>
      <c r="Y3621" s="8" t="s">
        <v>16592</v>
      </c>
      <c r="Z3621" s="8" t="s">
        <v>16593</v>
      </c>
    </row>
    <row r="3622" spans="1:26" x14ac:dyDescent="0.2">
      <c r="A3622" s="8">
        <v>3621</v>
      </c>
      <c r="B3622" s="8" t="s">
        <v>16594</v>
      </c>
      <c r="C3622" s="8" t="s">
        <v>16594</v>
      </c>
      <c r="F3622" s="47" t="s">
        <v>56930</v>
      </c>
      <c r="G3622" s="8">
        <v>3</v>
      </c>
      <c r="H3622" s="8" t="s">
        <v>16595</v>
      </c>
      <c r="I3622" s="8" t="s">
        <v>22</v>
      </c>
      <c r="J3622" s="8" t="s">
        <v>22</v>
      </c>
      <c r="K3622" s="8" t="s">
        <v>1277</v>
      </c>
      <c r="L3622" s="8" t="s">
        <v>11765</v>
      </c>
      <c r="M3622" s="8" t="s">
        <v>11766</v>
      </c>
      <c r="N3622" s="8" t="s">
        <v>16596</v>
      </c>
      <c r="O3622" s="8">
        <f>11+18/60+15.8/3600</f>
        <v>11.304388888888889</v>
      </c>
      <c r="P3622" s="8" t="s">
        <v>16597</v>
      </c>
      <c r="Q3622" s="8">
        <f>-(32+48/60+40/3600)</f>
        <v>-32.81111111111111</v>
      </c>
      <c r="R3622" s="8">
        <v>9.6999999999999993</v>
      </c>
      <c r="S3622" s="8">
        <v>10.3</v>
      </c>
      <c r="T3622" s="8">
        <v>0.6</v>
      </c>
      <c r="U3622" s="8">
        <v>14.3</v>
      </c>
      <c r="V3622" s="8">
        <v>12.3</v>
      </c>
      <c r="W3622" s="8">
        <v>6.8</v>
      </c>
      <c r="X3622" s="8">
        <v>159</v>
      </c>
      <c r="Y3622" s="8" t="s">
        <v>16598</v>
      </c>
      <c r="Z3622" s="8" t="s">
        <v>16599</v>
      </c>
    </row>
    <row r="3623" spans="1:26" x14ac:dyDescent="0.2">
      <c r="A3623" s="8">
        <v>3622</v>
      </c>
      <c r="B3623" s="8" t="s">
        <v>16600</v>
      </c>
      <c r="C3623" s="8" t="s">
        <v>16600</v>
      </c>
      <c r="F3623" s="47" t="s">
        <v>56931</v>
      </c>
      <c r="G3623" s="8">
        <v>6.5</v>
      </c>
      <c r="H3623" s="8" t="s">
        <v>21</v>
      </c>
      <c r="I3623" s="8" t="s">
        <v>22</v>
      </c>
      <c r="J3623" s="8" t="s">
        <v>22</v>
      </c>
      <c r="K3623" s="8" t="s">
        <v>476</v>
      </c>
      <c r="L3623" s="8" t="s">
        <v>12015</v>
      </c>
      <c r="M3623" s="8" t="s">
        <v>12016</v>
      </c>
      <c r="N3623" s="8" t="s">
        <v>16601</v>
      </c>
      <c r="O3623" s="8">
        <f>11+20/60+12.2/3600</f>
        <v>11.336722222222223</v>
      </c>
      <c r="P3623" s="8" t="s">
        <v>16602</v>
      </c>
      <c r="Q3623" s="8">
        <f>+(67+14/60+31/3600)</f>
        <v>67.241944444444442</v>
      </c>
      <c r="R3623" s="8">
        <v>13.2</v>
      </c>
      <c r="S3623" s="8">
        <v>13.7</v>
      </c>
      <c r="T3623" s="8">
        <v>0.5</v>
      </c>
      <c r="U3623" s="8">
        <v>12.4</v>
      </c>
      <c r="V3623" s="8">
        <v>1.2</v>
      </c>
      <c r="W3623" s="8">
        <v>0.5</v>
      </c>
      <c r="X3623" s="8">
        <v>7</v>
      </c>
      <c r="Y3623" s="8" t="s">
        <v>2176</v>
      </c>
      <c r="Z3623" s="8" t="s">
        <v>2177</v>
      </c>
    </row>
    <row r="3624" spans="1:26" x14ac:dyDescent="0.2">
      <c r="A3624" s="8">
        <v>3623</v>
      </c>
      <c r="B3624" s="8" t="s">
        <v>16603</v>
      </c>
      <c r="C3624" s="8" t="s">
        <v>55894</v>
      </c>
      <c r="F3624" s="47"/>
      <c r="G3624" s="8">
        <v>1</v>
      </c>
      <c r="H3624" s="8" t="s">
        <v>16604</v>
      </c>
      <c r="I3624" s="8" t="s">
        <v>22</v>
      </c>
      <c r="J3624" s="8" t="s">
        <v>22</v>
      </c>
      <c r="K3624" s="8" t="s">
        <v>91</v>
      </c>
      <c r="L3624" s="8" t="s">
        <v>13194</v>
      </c>
      <c r="M3624" s="8" t="s">
        <v>13195</v>
      </c>
      <c r="N3624" s="8" t="s">
        <v>16605</v>
      </c>
      <c r="O3624" s="8">
        <f>11+18/60+55.6/3600</f>
        <v>11.315444444444445</v>
      </c>
      <c r="P3624" s="8" t="s">
        <v>16606</v>
      </c>
      <c r="Q3624" s="8">
        <f>+(13+5/60+27/3600)</f>
        <v>13.090833333333334</v>
      </c>
      <c r="R3624" s="8">
        <v>9.3000000000000007</v>
      </c>
      <c r="S3624" s="8">
        <v>10.3</v>
      </c>
      <c r="T3624" s="8">
        <v>1</v>
      </c>
      <c r="U3624" s="8">
        <v>12.8</v>
      </c>
      <c r="V3624" s="8">
        <v>9.8000000000000007</v>
      </c>
      <c r="W3624" s="8">
        <v>2.9</v>
      </c>
      <c r="X3624" s="8">
        <v>174</v>
      </c>
      <c r="Y3624" s="8" t="s">
        <v>16607</v>
      </c>
      <c r="Z3624" s="8" t="s">
        <v>16608</v>
      </c>
    </row>
    <row r="3625" spans="1:26" x14ac:dyDescent="0.2">
      <c r="A3625" s="8">
        <v>3624</v>
      </c>
      <c r="B3625" s="8" t="s">
        <v>16609</v>
      </c>
      <c r="C3625" s="8" t="s">
        <v>16609</v>
      </c>
      <c r="F3625" s="47"/>
      <c r="G3625" s="8">
        <v>16</v>
      </c>
      <c r="H3625" s="8" t="s">
        <v>21</v>
      </c>
      <c r="I3625" s="8" t="s">
        <v>22</v>
      </c>
      <c r="J3625" s="8" t="s">
        <v>22</v>
      </c>
      <c r="K3625" s="8" t="s">
        <v>218</v>
      </c>
      <c r="L3625" s="8" t="s">
        <v>13194</v>
      </c>
      <c r="M3625" s="8" t="s">
        <v>13195</v>
      </c>
      <c r="N3625" s="8" t="s">
        <v>16610</v>
      </c>
      <c r="O3625" s="8">
        <f>11+18/60+50.9/3600</f>
        <v>11.314138888888889</v>
      </c>
      <c r="P3625" s="8" t="s">
        <v>16611</v>
      </c>
      <c r="Q3625" s="8">
        <f>+(7+31/60+15/3600)</f>
        <v>7.520833333333333</v>
      </c>
      <c r="R3625" s="8">
        <v>13.9</v>
      </c>
      <c r="S3625" s="8">
        <v>14.7</v>
      </c>
      <c r="T3625" s="8">
        <v>0.8</v>
      </c>
      <c r="U3625" s="8">
        <v>13.1</v>
      </c>
      <c r="V3625" s="8">
        <v>0.9</v>
      </c>
      <c r="W3625" s="8">
        <v>0.6</v>
      </c>
      <c r="X3625" s="8">
        <v>162</v>
      </c>
      <c r="Y3625" s="8" t="s">
        <v>47</v>
      </c>
      <c r="Z3625" s="8" t="s">
        <v>48</v>
      </c>
    </row>
    <row r="3626" spans="1:26" x14ac:dyDescent="0.2">
      <c r="A3626" s="8">
        <v>3625</v>
      </c>
      <c r="B3626" s="8" t="s">
        <v>16612</v>
      </c>
      <c r="C3626" s="8" t="s">
        <v>16612</v>
      </c>
      <c r="F3626" s="47" t="s">
        <v>56932</v>
      </c>
      <c r="G3626" s="8">
        <v>15</v>
      </c>
      <c r="H3626" s="8" t="s">
        <v>21</v>
      </c>
      <c r="I3626" s="8" t="s">
        <v>22</v>
      </c>
      <c r="J3626" s="8" t="s">
        <v>22</v>
      </c>
      <c r="K3626" s="8" t="s">
        <v>218</v>
      </c>
      <c r="L3626" s="8" t="s">
        <v>12015</v>
      </c>
      <c r="M3626" s="8" t="s">
        <v>12016</v>
      </c>
      <c r="N3626" s="8" t="s">
        <v>16613</v>
      </c>
      <c r="O3626" s="8">
        <f>11+20/60+31.2/3600</f>
        <v>11.342000000000001</v>
      </c>
      <c r="P3626" s="8" t="s">
        <v>16614</v>
      </c>
      <c r="Q3626" s="8">
        <f>+(57+46/60+52/3600)</f>
        <v>57.781111111111109</v>
      </c>
      <c r="R3626" s="8">
        <v>13.1</v>
      </c>
      <c r="S3626" s="8">
        <v>13.9</v>
      </c>
      <c r="T3626" s="8">
        <v>0.8</v>
      </c>
      <c r="U3626" s="8">
        <v>13.1</v>
      </c>
      <c r="V3626" s="8">
        <v>2</v>
      </c>
      <c r="W3626" s="8">
        <v>0.6</v>
      </c>
      <c r="X3626" s="8">
        <v>148</v>
      </c>
      <c r="Y3626" s="8" t="s">
        <v>16615</v>
      </c>
      <c r="Z3626" s="8" t="s">
        <v>16616</v>
      </c>
    </row>
    <row r="3627" spans="1:26" x14ac:dyDescent="0.2">
      <c r="A3627" s="8">
        <v>3626</v>
      </c>
      <c r="B3627" s="8" t="s">
        <v>16617</v>
      </c>
      <c r="C3627" s="8" t="s">
        <v>16617</v>
      </c>
      <c r="F3627" s="47" t="s">
        <v>56933</v>
      </c>
      <c r="G3627" s="8">
        <v>2</v>
      </c>
      <c r="H3627" s="8" t="s">
        <v>21</v>
      </c>
      <c r="I3627" s="8" t="s">
        <v>22</v>
      </c>
      <c r="J3627" s="8" t="s">
        <v>57</v>
      </c>
      <c r="K3627" s="8" t="s">
        <v>632</v>
      </c>
      <c r="L3627" s="8" t="s">
        <v>13194</v>
      </c>
      <c r="M3627" s="8" t="s">
        <v>13195</v>
      </c>
      <c r="N3627" s="8" t="s">
        <v>16618</v>
      </c>
      <c r="O3627" s="8">
        <f>11+20/60+3.6/3600</f>
        <v>11.334333333333333</v>
      </c>
      <c r="P3627" s="8" t="s">
        <v>16619</v>
      </c>
      <c r="Q3627" s="8">
        <f>+(18+21/60+24/3600)</f>
        <v>18.356666666666669</v>
      </c>
      <c r="R3627" s="8">
        <v>11</v>
      </c>
      <c r="S3627" s="8">
        <v>11.8</v>
      </c>
      <c r="T3627" s="8">
        <v>0.8</v>
      </c>
      <c r="U3627" s="8">
        <v>12.6</v>
      </c>
      <c r="V3627" s="8">
        <v>2.7</v>
      </c>
      <c r="W3627" s="8">
        <v>1.9</v>
      </c>
      <c r="X3627" s="8">
        <v>157</v>
      </c>
      <c r="Y3627" s="8" t="s">
        <v>16620</v>
      </c>
      <c r="Z3627" s="8" t="s">
        <v>16621</v>
      </c>
    </row>
    <row r="3628" spans="1:26" x14ac:dyDescent="0.2">
      <c r="A3628" s="8">
        <v>3627</v>
      </c>
      <c r="B3628" s="8" t="s">
        <v>16622</v>
      </c>
      <c r="C3628" s="8" t="s">
        <v>55895</v>
      </c>
      <c r="F3628" s="47"/>
      <c r="G3628" s="8">
        <v>1</v>
      </c>
      <c r="H3628" s="8" t="s">
        <v>16604</v>
      </c>
      <c r="I3628" s="8" t="s">
        <v>22</v>
      </c>
      <c r="J3628" s="8" t="s">
        <v>22</v>
      </c>
      <c r="K3628" s="8" t="s">
        <v>23</v>
      </c>
      <c r="L3628" s="8" t="s">
        <v>13194</v>
      </c>
      <c r="M3628" s="8" t="s">
        <v>13195</v>
      </c>
      <c r="N3628" s="8" t="s">
        <v>16623</v>
      </c>
      <c r="O3628" s="8">
        <f>11+20/60+15.1/3600</f>
        <v>11.337527777777778</v>
      </c>
      <c r="P3628" s="8" t="s">
        <v>16624</v>
      </c>
      <c r="Q3628" s="8">
        <f>+(12+59/60+24/3600)</f>
        <v>12.989999999999998</v>
      </c>
      <c r="R3628" s="8">
        <v>8.9</v>
      </c>
      <c r="S3628" s="8">
        <v>9.6999999999999993</v>
      </c>
      <c r="T3628" s="8">
        <v>0.8</v>
      </c>
      <c r="U3628" s="8">
        <v>12.7</v>
      </c>
      <c r="V3628" s="8">
        <v>9.1</v>
      </c>
      <c r="W3628" s="8">
        <v>4.0999999999999996</v>
      </c>
      <c r="X3628" s="8">
        <v>173</v>
      </c>
      <c r="Y3628" s="8" t="s">
        <v>16625</v>
      </c>
      <c r="Z3628" s="8" t="s">
        <v>16626</v>
      </c>
    </row>
    <row r="3629" spans="1:26" x14ac:dyDescent="0.2">
      <c r="A3629" s="8">
        <v>3628</v>
      </c>
      <c r="B3629" s="8" t="s">
        <v>16627</v>
      </c>
      <c r="C3629" s="8" t="s">
        <v>16627</v>
      </c>
      <c r="F3629" s="47" t="s">
        <v>56934</v>
      </c>
      <c r="G3629" s="8">
        <v>5</v>
      </c>
      <c r="H3629" s="8" t="s">
        <v>16628</v>
      </c>
      <c r="I3629" s="8" t="s">
        <v>22</v>
      </c>
      <c r="J3629" s="8" t="s">
        <v>22</v>
      </c>
      <c r="K3629" s="8" t="s">
        <v>23</v>
      </c>
      <c r="L3629" s="8" t="s">
        <v>13194</v>
      </c>
      <c r="M3629" s="8" t="s">
        <v>13195</v>
      </c>
      <c r="N3629" s="8" t="s">
        <v>16629</v>
      </c>
      <c r="O3629" s="8">
        <f>11+20/60+16.7/3600</f>
        <v>11.337972222222223</v>
      </c>
      <c r="P3629" s="8" t="s">
        <v>16630</v>
      </c>
      <c r="Q3629" s="8">
        <f>+(13+35/60+24/3600)</f>
        <v>13.59</v>
      </c>
      <c r="R3629" s="8">
        <v>9.5</v>
      </c>
      <c r="S3629" s="8">
        <v>10.3</v>
      </c>
      <c r="T3629" s="8">
        <v>0.8</v>
      </c>
      <c r="U3629" s="8">
        <v>13.4</v>
      </c>
      <c r="V3629" s="8">
        <v>13.1</v>
      </c>
      <c r="W3629" s="8">
        <v>3.1</v>
      </c>
      <c r="X3629" s="8">
        <v>104</v>
      </c>
      <c r="Y3629" s="8" t="s">
        <v>16631</v>
      </c>
      <c r="Z3629" s="8" t="s">
        <v>16632</v>
      </c>
    </row>
    <row r="3630" spans="1:26" x14ac:dyDescent="0.2">
      <c r="A3630" s="8">
        <v>3629</v>
      </c>
      <c r="B3630" s="8" t="s">
        <v>16633</v>
      </c>
      <c r="C3630" s="8" t="s">
        <v>16633</v>
      </c>
      <c r="F3630" s="47" t="s">
        <v>56935</v>
      </c>
      <c r="G3630" s="8">
        <v>13</v>
      </c>
      <c r="H3630" s="8" t="s">
        <v>21</v>
      </c>
      <c r="I3630" s="8" t="s">
        <v>22</v>
      </c>
      <c r="J3630" s="8" t="s">
        <v>22</v>
      </c>
      <c r="K3630" s="8" t="s">
        <v>64</v>
      </c>
      <c r="L3630" s="8" t="s">
        <v>13194</v>
      </c>
      <c r="M3630" s="8" t="s">
        <v>13195</v>
      </c>
      <c r="N3630" s="8" t="s">
        <v>16634</v>
      </c>
      <c r="O3630" s="8">
        <f>11+20/60+31.7/3600</f>
        <v>11.34213888888889</v>
      </c>
      <c r="P3630" s="8" t="s">
        <v>16635</v>
      </c>
      <c r="Q3630" s="8">
        <f>+(26+57/60+46/3600)</f>
        <v>26.962777777777777</v>
      </c>
      <c r="R3630" s="8">
        <v>12.1</v>
      </c>
      <c r="S3630" s="8">
        <v>12.8</v>
      </c>
      <c r="T3630" s="8">
        <v>0.7</v>
      </c>
      <c r="U3630" s="8">
        <v>13.3</v>
      </c>
      <c r="V3630" s="8">
        <v>2.2999999999999998</v>
      </c>
      <c r="W3630" s="8">
        <v>1.6</v>
      </c>
      <c r="X3630" s="8">
        <v>30</v>
      </c>
      <c r="Y3630" s="8" t="s">
        <v>16636</v>
      </c>
      <c r="Z3630" s="8" t="s">
        <v>16637</v>
      </c>
    </row>
    <row r="3631" spans="1:26" x14ac:dyDescent="0.2">
      <c r="A3631" s="8">
        <v>3630</v>
      </c>
      <c r="B3631" s="8" t="s">
        <v>16638</v>
      </c>
      <c r="C3631" s="8" t="s">
        <v>16638</v>
      </c>
      <c r="F3631" s="47"/>
      <c r="G3631" s="8">
        <v>13</v>
      </c>
      <c r="H3631" s="8" t="s">
        <v>21</v>
      </c>
      <c r="I3631" s="8" t="s">
        <v>22</v>
      </c>
      <c r="J3631" s="8" t="s">
        <v>57</v>
      </c>
      <c r="K3631" s="8" t="s">
        <v>632</v>
      </c>
      <c r="L3631" s="8" t="s">
        <v>13194</v>
      </c>
      <c r="M3631" s="8" t="s">
        <v>13195</v>
      </c>
      <c r="N3631" s="8" t="s">
        <v>16639</v>
      </c>
      <c r="O3631" s="8">
        <f>11+20/60+16.9/3600</f>
        <v>11.338027777777778</v>
      </c>
      <c r="P3631" s="8" t="s">
        <v>16640</v>
      </c>
      <c r="Q3631" s="8">
        <f>+(2+57/60+52/3600)</f>
        <v>2.9644444444444447</v>
      </c>
      <c r="R3631" s="8">
        <v>12</v>
      </c>
      <c r="S3631" s="8">
        <v>12.9</v>
      </c>
      <c r="T3631" s="8">
        <v>0.9</v>
      </c>
      <c r="U3631" s="8">
        <v>12.6</v>
      </c>
      <c r="V3631" s="8">
        <v>2</v>
      </c>
      <c r="W3631" s="8">
        <v>0.8</v>
      </c>
      <c r="X3631" s="8">
        <v>37</v>
      </c>
      <c r="Y3631" s="8" t="s">
        <v>16641</v>
      </c>
      <c r="Z3631" s="8" t="s">
        <v>16642</v>
      </c>
    </row>
    <row r="3632" spans="1:26" x14ac:dyDescent="0.2">
      <c r="A3632" s="8">
        <v>3631</v>
      </c>
      <c r="B3632" s="8" t="s">
        <v>16643</v>
      </c>
      <c r="C3632" s="8" t="s">
        <v>16643</v>
      </c>
      <c r="F3632" s="47" t="s">
        <v>56936</v>
      </c>
      <c r="G3632" s="8">
        <v>6</v>
      </c>
      <c r="H3632" s="8" t="s">
        <v>21</v>
      </c>
      <c r="I3632" s="8" t="s">
        <v>22</v>
      </c>
      <c r="J3632" s="8" t="s">
        <v>22</v>
      </c>
      <c r="K3632" s="8" t="s">
        <v>160</v>
      </c>
      <c r="L3632" s="8" t="s">
        <v>12015</v>
      </c>
      <c r="M3632" s="8" t="s">
        <v>12016</v>
      </c>
      <c r="N3632" s="8" t="s">
        <v>16644</v>
      </c>
      <c r="O3632" s="8">
        <f>11+21/60+2.7/3600</f>
        <v>11.35075</v>
      </c>
      <c r="P3632" s="8" t="s">
        <v>16645</v>
      </c>
      <c r="Q3632" s="8">
        <f>+(53+10/60+11/3600)</f>
        <v>53.169722222222219</v>
      </c>
      <c r="R3632" s="8">
        <v>10.4</v>
      </c>
      <c r="S3632" s="8">
        <v>11</v>
      </c>
      <c r="T3632" s="8">
        <v>0.6</v>
      </c>
      <c r="U3632" s="8">
        <v>13.7</v>
      </c>
      <c r="V3632" s="8">
        <v>5</v>
      </c>
      <c r="W3632" s="8">
        <v>3.7</v>
      </c>
      <c r="X3632" s="8">
        <v>114</v>
      </c>
      <c r="Y3632" s="8" t="s">
        <v>16646</v>
      </c>
      <c r="Z3632" s="8" t="s">
        <v>16647</v>
      </c>
    </row>
    <row r="3633" spans="1:26" x14ac:dyDescent="0.2">
      <c r="A3633" s="8">
        <v>3632</v>
      </c>
      <c r="B3633" s="8" t="s">
        <v>16648</v>
      </c>
      <c r="C3633" s="8" t="s">
        <v>16648</v>
      </c>
      <c r="F3633" s="50" t="s">
        <v>56937</v>
      </c>
      <c r="G3633" s="8">
        <v>15</v>
      </c>
      <c r="H3633" s="8" t="s">
        <v>21</v>
      </c>
      <c r="I3633" s="8" t="s">
        <v>22</v>
      </c>
      <c r="J3633" s="8" t="s">
        <v>22</v>
      </c>
      <c r="K3633" s="8" t="s">
        <v>632</v>
      </c>
      <c r="L3633" s="8" t="s">
        <v>13194</v>
      </c>
      <c r="M3633" s="8" t="s">
        <v>13195</v>
      </c>
      <c r="N3633" s="8" t="s">
        <v>16618</v>
      </c>
      <c r="O3633" s="8">
        <f>11+20/60+3.6/3600</f>
        <v>11.334333333333333</v>
      </c>
      <c r="P3633" s="8" t="s">
        <v>16619</v>
      </c>
      <c r="Q3633" s="8">
        <f>+(18+21/60+24/3600)</f>
        <v>18.356666666666669</v>
      </c>
      <c r="R3633" s="8">
        <v>11</v>
      </c>
      <c r="S3633" s="8">
        <v>11.8</v>
      </c>
      <c r="T3633" s="8">
        <v>0.8</v>
      </c>
      <c r="U3633" s="8">
        <v>12.6</v>
      </c>
      <c r="V3633" s="8">
        <v>2.7</v>
      </c>
      <c r="W3633" s="8">
        <v>1.9</v>
      </c>
      <c r="X3633" s="8">
        <v>157</v>
      </c>
      <c r="Y3633" s="8" t="s">
        <v>16620</v>
      </c>
      <c r="Z3633" s="8" t="s">
        <v>16649</v>
      </c>
    </row>
    <row r="3634" spans="1:26" x14ac:dyDescent="0.2">
      <c r="A3634" s="8">
        <v>3633</v>
      </c>
      <c r="B3634" s="8" t="s">
        <v>16650</v>
      </c>
      <c r="C3634" s="8" t="s">
        <v>16650</v>
      </c>
      <c r="F3634" s="47"/>
      <c r="G3634" s="8">
        <v>19</v>
      </c>
      <c r="H3634" s="8" t="s">
        <v>21</v>
      </c>
      <c r="I3634" s="8" t="s">
        <v>22</v>
      </c>
      <c r="J3634" s="8" t="s">
        <v>22</v>
      </c>
      <c r="K3634" s="8" t="s">
        <v>91</v>
      </c>
      <c r="L3634" s="8" t="s">
        <v>13194</v>
      </c>
      <c r="M3634" s="8" t="s">
        <v>13195</v>
      </c>
      <c r="N3634" s="8" t="s">
        <v>16651</v>
      </c>
      <c r="O3634" s="8">
        <f>11+20/60+26.2/3600</f>
        <v>11.340611111111112</v>
      </c>
      <c r="P3634" s="8" t="s">
        <v>16652</v>
      </c>
      <c r="Q3634" s="8">
        <f>+(3+35/60+8/3600)</f>
        <v>3.5855555555555556</v>
      </c>
      <c r="R3634" s="8">
        <v>13.5</v>
      </c>
      <c r="S3634" s="8">
        <v>14.4</v>
      </c>
      <c r="T3634" s="8">
        <v>0.9</v>
      </c>
      <c r="U3634" s="8">
        <v>12.5</v>
      </c>
      <c r="V3634" s="8">
        <v>1.1000000000000001</v>
      </c>
      <c r="W3634" s="8">
        <v>0.4</v>
      </c>
      <c r="X3634" s="8">
        <v>72</v>
      </c>
      <c r="Y3634" s="8" t="s">
        <v>16653</v>
      </c>
      <c r="Z3634" s="8" t="s">
        <v>16654</v>
      </c>
    </row>
    <row r="3635" spans="1:26" x14ac:dyDescent="0.2">
      <c r="A3635" s="8">
        <v>3634</v>
      </c>
      <c r="B3635" s="8" t="s">
        <v>16655</v>
      </c>
      <c r="C3635" s="8" t="s">
        <v>16655</v>
      </c>
      <c r="F3635" s="47"/>
      <c r="G3635" s="8">
        <v>19</v>
      </c>
      <c r="H3635" s="8" t="s">
        <v>21</v>
      </c>
      <c r="I3635" s="8" t="s">
        <v>22</v>
      </c>
      <c r="J3635" s="8" t="s">
        <v>22</v>
      </c>
      <c r="K3635" s="8" t="s">
        <v>382</v>
      </c>
      <c r="L3635" s="8" t="s">
        <v>15699</v>
      </c>
      <c r="M3635" s="8" t="s">
        <v>15700</v>
      </c>
      <c r="N3635" s="8" t="s">
        <v>16656</v>
      </c>
      <c r="O3635" s="8">
        <f>11+20/60+30.3/3600</f>
        <v>11.341750000000001</v>
      </c>
      <c r="P3635" s="8" t="s">
        <v>16657</v>
      </c>
      <c r="Q3635" s="8">
        <f>-(9+0/60+49/3600)</f>
        <v>-9.0136111111111106</v>
      </c>
      <c r="R3635" s="8">
        <v>14.2</v>
      </c>
      <c r="S3635" s="8">
        <v>15.2</v>
      </c>
      <c r="T3635" s="8">
        <v>1</v>
      </c>
      <c r="U3635" s="8">
        <v>12.8</v>
      </c>
      <c r="V3635" s="8">
        <v>0.7</v>
      </c>
      <c r="W3635" s="8">
        <v>0.5</v>
      </c>
      <c r="X3635" s="8">
        <v>100</v>
      </c>
      <c r="Y3635" s="8" t="s">
        <v>16658</v>
      </c>
      <c r="Z3635" s="8" t="s">
        <v>16659</v>
      </c>
    </row>
    <row r="3636" spans="1:26" x14ac:dyDescent="0.2">
      <c r="A3636" s="8">
        <v>3635</v>
      </c>
      <c r="B3636" s="8" t="s">
        <v>16660</v>
      </c>
      <c r="C3636" s="8" t="s">
        <v>16660</v>
      </c>
      <c r="F3636" s="47"/>
      <c r="G3636" s="8">
        <v>19</v>
      </c>
      <c r="H3636" s="8" t="s">
        <v>21</v>
      </c>
      <c r="I3636" s="8" t="s">
        <v>22</v>
      </c>
      <c r="J3636" s="8" t="s">
        <v>22</v>
      </c>
      <c r="K3636" s="8" t="s">
        <v>396</v>
      </c>
      <c r="L3636" s="8" t="s">
        <v>15699</v>
      </c>
      <c r="M3636" s="8" t="s">
        <v>15700</v>
      </c>
      <c r="N3636" s="8" t="s">
        <v>16661</v>
      </c>
      <c r="O3636" s="8">
        <f>11+20/60+31.3/3600</f>
        <v>11.342027777777778</v>
      </c>
      <c r="P3636" s="8" t="s">
        <v>16662</v>
      </c>
      <c r="Q3636" s="8">
        <f>-(9+0/60+47/3600)</f>
        <v>-9.0130555555555549</v>
      </c>
      <c r="R3636" s="8">
        <v>14.5</v>
      </c>
      <c r="S3636" s="8">
        <v>15.3</v>
      </c>
      <c r="T3636" s="8">
        <v>0.8</v>
      </c>
      <c r="U3636" s="8">
        <v>14.4</v>
      </c>
      <c r="V3636" s="8">
        <v>1.7</v>
      </c>
      <c r="W3636" s="8">
        <v>0.6</v>
      </c>
      <c r="X3636" s="8">
        <v>18</v>
      </c>
      <c r="Y3636" s="8" t="s">
        <v>16663</v>
      </c>
      <c r="Z3636" s="8" t="s">
        <v>16659</v>
      </c>
    </row>
    <row r="3637" spans="1:26" x14ac:dyDescent="0.2">
      <c r="A3637" s="8">
        <v>3636</v>
      </c>
      <c r="B3637" s="8" t="s">
        <v>16664</v>
      </c>
      <c r="C3637" s="8" t="s">
        <v>16664</v>
      </c>
      <c r="F3637" s="47" t="s">
        <v>56938</v>
      </c>
      <c r="G3637" s="8">
        <v>6.5</v>
      </c>
      <c r="H3637" s="8" t="s">
        <v>21</v>
      </c>
      <c r="I3637" s="8" t="s">
        <v>22</v>
      </c>
      <c r="J3637" s="8" t="s">
        <v>22</v>
      </c>
      <c r="K3637" s="8" t="s">
        <v>460</v>
      </c>
      <c r="L3637" s="8" t="s">
        <v>15699</v>
      </c>
      <c r="M3637" s="8" t="s">
        <v>15700</v>
      </c>
      <c r="N3637" s="8" t="s">
        <v>16665</v>
      </c>
      <c r="O3637" s="8">
        <f>11+20/60+25/3600</f>
        <v>11.340277777777779</v>
      </c>
      <c r="P3637" s="8" t="s">
        <v>16666</v>
      </c>
      <c r="Q3637" s="8">
        <f>-(10+16/60+55/3600)</f>
        <v>-10.281944444444445</v>
      </c>
      <c r="R3637" s="8">
        <v>12.4</v>
      </c>
      <c r="S3637" s="8">
        <v>13.3</v>
      </c>
      <c r="T3637" s="8">
        <v>0.9</v>
      </c>
      <c r="U3637" s="8">
        <v>13.1</v>
      </c>
      <c r="V3637" s="8">
        <v>1.3</v>
      </c>
      <c r="W3637" s="8">
        <v>1.3</v>
      </c>
      <c r="Y3637" s="8" t="s">
        <v>16667</v>
      </c>
      <c r="Z3637" s="8" t="s">
        <v>16668</v>
      </c>
    </row>
    <row r="3638" spans="1:26" x14ac:dyDescent="0.2">
      <c r="A3638" s="8">
        <v>3637</v>
      </c>
      <c r="B3638" s="8" t="s">
        <v>16669</v>
      </c>
      <c r="C3638" s="8" t="s">
        <v>16669</v>
      </c>
      <c r="F3638" s="47" t="s">
        <v>56939</v>
      </c>
      <c r="G3638" s="8">
        <v>6.5</v>
      </c>
      <c r="H3638" s="8" t="s">
        <v>21</v>
      </c>
      <c r="I3638" s="8" t="s">
        <v>22</v>
      </c>
      <c r="J3638" s="8" t="s">
        <v>22</v>
      </c>
      <c r="K3638" s="8" t="s">
        <v>224</v>
      </c>
      <c r="L3638" s="8" t="s">
        <v>15699</v>
      </c>
      <c r="M3638" s="8" t="s">
        <v>15700</v>
      </c>
      <c r="N3638" s="8" t="s">
        <v>16670</v>
      </c>
      <c r="O3638" s="8">
        <f>11+20/60+39.6/3600</f>
        <v>11.344333333333333</v>
      </c>
      <c r="P3638" s="8" t="s">
        <v>16671</v>
      </c>
      <c r="Q3638" s="8">
        <f>-(10+15/60+25/3600)</f>
        <v>-10.256944444444445</v>
      </c>
      <c r="R3638" s="8">
        <v>12.7</v>
      </c>
      <c r="S3638" s="8">
        <v>13.6</v>
      </c>
      <c r="T3638" s="8">
        <v>0.9</v>
      </c>
      <c r="U3638" s="8">
        <v>13.6</v>
      </c>
      <c r="V3638" s="8">
        <v>1.8</v>
      </c>
      <c r="W3638" s="8">
        <v>1.7</v>
      </c>
      <c r="X3638" s="8">
        <v>126</v>
      </c>
      <c r="Y3638" s="8" t="s">
        <v>16672</v>
      </c>
      <c r="Z3638" s="8" t="s">
        <v>16673</v>
      </c>
    </row>
    <row r="3639" spans="1:26" x14ac:dyDescent="0.2">
      <c r="A3639" s="8">
        <v>3638</v>
      </c>
      <c r="B3639" s="8" t="s">
        <v>16674</v>
      </c>
      <c r="C3639" s="8" t="s">
        <v>16674</v>
      </c>
      <c r="F3639" s="47"/>
      <c r="G3639" s="8">
        <v>19</v>
      </c>
      <c r="H3639" s="8" t="s">
        <v>21</v>
      </c>
      <c r="I3639" s="8" t="s">
        <v>22</v>
      </c>
      <c r="J3639" s="8" t="s">
        <v>22</v>
      </c>
      <c r="K3639" s="8" t="s">
        <v>23</v>
      </c>
      <c r="L3639" s="8" t="s">
        <v>15699</v>
      </c>
      <c r="M3639" s="8" t="s">
        <v>15700</v>
      </c>
      <c r="N3639" s="8" t="s">
        <v>16675</v>
      </c>
      <c r="O3639" s="8">
        <f>11+20/60+9.9/3600</f>
        <v>11.336083333333335</v>
      </c>
      <c r="P3639" s="8" t="s">
        <v>16676</v>
      </c>
      <c r="Q3639" s="8">
        <f>-(8+6/60+20/3600)</f>
        <v>-8.1055555555555561</v>
      </c>
      <c r="R3639" s="8">
        <v>13.4</v>
      </c>
      <c r="S3639" s="8">
        <v>14.2</v>
      </c>
      <c r="T3639" s="8">
        <v>0.8</v>
      </c>
      <c r="U3639" s="8">
        <v>13.7</v>
      </c>
      <c r="V3639" s="8">
        <v>2.2999999999999998</v>
      </c>
      <c r="W3639" s="8">
        <v>0.7</v>
      </c>
      <c r="X3639" s="8">
        <v>141</v>
      </c>
      <c r="Y3639" s="8" t="s">
        <v>16677</v>
      </c>
      <c r="Z3639" s="8" t="s">
        <v>16678</v>
      </c>
    </row>
    <row r="3640" spans="1:26" x14ac:dyDescent="0.2">
      <c r="A3640" s="8">
        <v>3639</v>
      </c>
      <c r="B3640" s="8" t="s">
        <v>16679</v>
      </c>
      <c r="C3640" s="8" t="s">
        <v>16679</v>
      </c>
      <c r="F3640" s="47"/>
      <c r="G3640" s="8">
        <v>18</v>
      </c>
      <c r="H3640" s="8" t="s">
        <v>21</v>
      </c>
      <c r="I3640" s="8" t="s">
        <v>22</v>
      </c>
      <c r="J3640" s="8" t="s">
        <v>22</v>
      </c>
      <c r="K3640" s="8" t="s">
        <v>476</v>
      </c>
      <c r="L3640" s="8" t="s">
        <v>13194</v>
      </c>
      <c r="M3640" s="8" t="s">
        <v>13195</v>
      </c>
      <c r="N3640" s="8" t="s">
        <v>16680</v>
      </c>
      <c r="O3640" s="8">
        <f>11+21/60+35.5/3600</f>
        <v>11.35986111111111</v>
      </c>
      <c r="P3640" s="8" t="s">
        <v>16681</v>
      </c>
      <c r="Q3640" s="8">
        <f>+(18+27/60+31/3600)</f>
        <v>18.458611111111111</v>
      </c>
      <c r="R3640" s="8">
        <v>13.7</v>
      </c>
      <c r="S3640" s="8">
        <v>14.6</v>
      </c>
      <c r="T3640" s="8">
        <v>0.9</v>
      </c>
      <c r="U3640" s="8">
        <v>12.6</v>
      </c>
      <c r="V3640" s="8">
        <v>0.6</v>
      </c>
      <c r="W3640" s="8">
        <v>0.5</v>
      </c>
      <c r="X3640" s="8">
        <v>39</v>
      </c>
      <c r="Y3640" s="8" t="s">
        <v>16682</v>
      </c>
      <c r="Z3640" s="8" t="s">
        <v>16683</v>
      </c>
    </row>
    <row r="3641" spans="1:26" x14ac:dyDescent="0.2">
      <c r="A3641" s="8">
        <v>3640</v>
      </c>
      <c r="B3641" s="8" t="s">
        <v>16684</v>
      </c>
      <c r="C3641" s="8" t="s">
        <v>16684</v>
      </c>
      <c r="F3641" s="47" t="s">
        <v>56940</v>
      </c>
      <c r="G3641" s="8">
        <v>6</v>
      </c>
      <c r="H3641" s="8" t="s">
        <v>21</v>
      </c>
      <c r="I3641" s="8" t="s">
        <v>22</v>
      </c>
      <c r="J3641" s="8" t="s">
        <v>22</v>
      </c>
      <c r="K3641" s="8" t="s">
        <v>382</v>
      </c>
      <c r="L3641" s="8" t="s">
        <v>13194</v>
      </c>
      <c r="M3641" s="8" t="s">
        <v>13195</v>
      </c>
      <c r="N3641" s="8" t="s">
        <v>16685</v>
      </c>
      <c r="O3641" s="8">
        <f>11+21/60+6.7/3600</f>
        <v>11.351861111111111</v>
      </c>
      <c r="P3641" s="8" t="s">
        <v>16686</v>
      </c>
      <c r="Q3641" s="8">
        <f>+(3+14/60+5/3600)</f>
        <v>3.2347222222222225</v>
      </c>
      <c r="R3641" s="8">
        <v>10.4</v>
      </c>
      <c r="S3641" s="8">
        <v>11.4</v>
      </c>
      <c r="T3641" s="8">
        <v>1</v>
      </c>
      <c r="U3641" s="8">
        <v>13.2</v>
      </c>
      <c r="V3641" s="8">
        <v>4</v>
      </c>
      <c r="W3641" s="8">
        <v>3.2</v>
      </c>
      <c r="X3641" s="8">
        <v>100</v>
      </c>
      <c r="Y3641" s="8" t="s">
        <v>16687</v>
      </c>
      <c r="Z3641" s="8" t="s">
        <v>16688</v>
      </c>
    </row>
    <row r="3642" spans="1:26" x14ac:dyDescent="0.2">
      <c r="A3642" s="8">
        <v>3641</v>
      </c>
      <c r="B3642" s="8" t="s">
        <v>16689</v>
      </c>
      <c r="C3642" s="8" t="s">
        <v>16689</v>
      </c>
      <c r="F3642" s="47"/>
      <c r="G3642" s="8">
        <v>18</v>
      </c>
      <c r="H3642" s="8" t="s">
        <v>21</v>
      </c>
      <c r="I3642" s="8" t="s">
        <v>22</v>
      </c>
      <c r="J3642" s="8" t="s">
        <v>22</v>
      </c>
      <c r="K3642" s="8" t="s">
        <v>460</v>
      </c>
      <c r="L3642" s="8" t="s">
        <v>13194</v>
      </c>
      <c r="M3642" s="8" t="s">
        <v>13195</v>
      </c>
      <c r="N3642" s="8" t="s">
        <v>16690</v>
      </c>
      <c r="O3642" s="8">
        <f>11+21/60+8.8/3600</f>
        <v>11.352444444444444</v>
      </c>
      <c r="P3642" s="8" t="s">
        <v>16691</v>
      </c>
      <c r="Q3642" s="8">
        <f>+(3+11/60+41/3600)</f>
        <v>3.194722222222222</v>
      </c>
      <c r="R3642" s="8">
        <v>13.2</v>
      </c>
      <c r="S3642" s="8">
        <v>14.1</v>
      </c>
      <c r="T3642" s="8">
        <v>0.9</v>
      </c>
      <c r="U3642" s="8">
        <v>13.4</v>
      </c>
      <c r="V3642" s="8">
        <v>0.9</v>
      </c>
      <c r="W3642" s="8">
        <v>0.9</v>
      </c>
      <c r="Y3642" s="8" t="s">
        <v>16692</v>
      </c>
      <c r="Z3642" s="8" t="s">
        <v>16693</v>
      </c>
    </row>
    <row r="3643" spans="1:26" x14ac:dyDescent="0.2">
      <c r="A3643" s="8">
        <v>3642</v>
      </c>
      <c r="B3643" s="8" t="s">
        <v>16694</v>
      </c>
      <c r="C3643" s="8" t="s">
        <v>16694</v>
      </c>
      <c r="F3643" s="47" t="s">
        <v>56941</v>
      </c>
      <c r="G3643" s="8">
        <v>6.5</v>
      </c>
      <c r="H3643" s="8" t="s">
        <v>21</v>
      </c>
      <c r="I3643" s="8" t="s">
        <v>22</v>
      </c>
      <c r="J3643" s="8" t="s">
        <v>22</v>
      </c>
      <c r="K3643" s="8" t="s">
        <v>396</v>
      </c>
      <c r="L3643" s="8" t="s">
        <v>12015</v>
      </c>
      <c r="M3643" s="8" t="s">
        <v>12016</v>
      </c>
      <c r="N3643" s="8" t="s">
        <v>16695</v>
      </c>
      <c r="O3643" s="8">
        <f>11+22/60+17.5/3600</f>
        <v>11.371527777777779</v>
      </c>
      <c r="P3643" s="8" t="s">
        <v>16696</v>
      </c>
      <c r="Q3643" s="8">
        <f>+(59+4/60+30/3600)</f>
        <v>59.075000000000003</v>
      </c>
      <c r="R3643" s="8">
        <v>11.2</v>
      </c>
      <c r="S3643" s="8">
        <v>11.7</v>
      </c>
      <c r="T3643" s="8">
        <v>0.5</v>
      </c>
      <c r="U3643" s="8">
        <v>14.5</v>
      </c>
      <c r="V3643" s="8">
        <v>5.5</v>
      </c>
      <c r="W3643" s="8">
        <v>4.7</v>
      </c>
      <c r="X3643" s="8">
        <v>105</v>
      </c>
      <c r="Y3643" s="8" t="s">
        <v>16697</v>
      </c>
      <c r="Z3643" s="8" t="s">
        <v>8898</v>
      </c>
    </row>
    <row r="3644" spans="1:26" x14ac:dyDescent="0.2">
      <c r="A3644" s="8">
        <v>3643</v>
      </c>
      <c r="B3644" s="8" t="s">
        <v>16698</v>
      </c>
      <c r="C3644" s="8" t="s">
        <v>16698</v>
      </c>
      <c r="F3644" s="47"/>
      <c r="G3644" s="8">
        <v>18</v>
      </c>
      <c r="H3644" s="8" t="s">
        <v>21</v>
      </c>
      <c r="I3644" s="8" t="s">
        <v>22</v>
      </c>
      <c r="J3644" s="8" t="s">
        <v>22</v>
      </c>
      <c r="K3644" s="8" t="s">
        <v>435</v>
      </c>
      <c r="L3644" s="8" t="s">
        <v>13194</v>
      </c>
      <c r="M3644" s="8" t="s">
        <v>13195</v>
      </c>
      <c r="N3644" s="8" t="s">
        <v>16699</v>
      </c>
      <c r="O3644" s="8">
        <f>11+21/60+24.9/3600</f>
        <v>11.356916666666667</v>
      </c>
      <c r="P3644" s="8" t="s">
        <v>16700</v>
      </c>
      <c r="Q3644" s="8">
        <f>+(3+0/60+51/3600)</f>
        <v>3.0141666666666667</v>
      </c>
      <c r="R3644" s="8">
        <v>14.1</v>
      </c>
      <c r="S3644" s="8">
        <v>15</v>
      </c>
      <c r="T3644" s="8">
        <v>0.9</v>
      </c>
      <c r="U3644" s="8">
        <v>13.9</v>
      </c>
      <c r="V3644" s="8">
        <v>1.2</v>
      </c>
      <c r="W3644" s="8">
        <v>0.8</v>
      </c>
      <c r="X3644" s="8">
        <v>99</v>
      </c>
      <c r="Y3644" s="8" t="s">
        <v>266</v>
      </c>
      <c r="Z3644" s="8" t="s">
        <v>267</v>
      </c>
    </row>
    <row r="3645" spans="1:26" x14ac:dyDescent="0.2">
      <c r="A3645" s="8">
        <v>3644</v>
      </c>
      <c r="B3645" s="8" t="s">
        <v>16701</v>
      </c>
      <c r="C3645" s="8" t="s">
        <v>16701</v>
      </c>
      <c r="F3645" s="47"/>
      <c r="G3645" s="8">
        <v>18</v>
      </c>
      <c r="H3645" s="8" t="s">
        <v>21</v>
      </c>
      <c r="I3645" s="8" t="s">
        <v>22</v>
      </c>
      <c r="J3645" s="8" t="s">
        <v>22</v>
      </c>
      <c r="K3645" s="8" t="s">
        <v>91</v>
      </c>
      <c r="L3645" s="8" t="s">
        <v>13194</v>
      </c>
      <c r="M3645" s="8" t="s">
        <v>13195</v>
      </c>
      <c r="N3645" s="8" t="s">
        <v>16702</v>
      </c>
      <c r="O3645" s="8">
        <f>11+21/60+32.9/3600</f>
        <v>11.359138888888889</v>
      </c>
      <c r="P3645" s="8" t="s">
        <v>16703</v>
      </c>
      <c r="Q3645" s="8">
        <f>+(2+48/60+37/3600)</f>
        <v>2.8102777777777774</v>
      </c>
      <c r="R3645" s="8">
        <v>13.7</v>
      </c>
      <c r="S3645" s="8">
        <v>14.6</v>
      </c>
      <c r="T3645" s="8">
        <v>0.9</v>
      </c>
      <c r="U3645" s="8">
        <v>13.6</v>
      </c>
      <c r="V3645" s="8">
        <v>1.5</v>
      </c>
      <c r="W3645" s="8">
        <v>0.7</v>
      </c>
      <c r="X3645" s="8">
        <v>63</v>
      </c>
      <c r="Y3645" s="8" t="s">
        <v>282</v>
      </c>
      <c r="Z3645" s="8" t="s">
        <v>283</v>
      </c>
    </row>
    <row r="3646" spans="1:26" x14ac:dyDescent="0.2">
      <c r="A3646" s="8">
        <v>3645</v>
      </c>
      <c r="B3646" s="8" t="s">
        <v>16704</v>
      </c>
      <c r="C3646" s="8" t="s">
        <v>16704</v>
      </c>
      <c r="F3646" s="47" t="s">
        <v>56942</v>
      </c>
      <c r="G3646" s="8">
        <v>15</v>
      </c>
      <c r="H3646" s="8" t="s">
        <v>21</v>
      </c>
      <c r="I3646" s="8" t="s">
        <v>22</v>
      </c>
      <c r="J3646" s="8" t="s">
        <v>22</v>
      </c>
      <c r="K3646" s="8" t="s">
        <v>632</v>
      </c>
      <c r="L3646" s="8" t="s">
        <v>13194</v>
      </c>
      <c r="M3646" s="8" t="s">
        <v>13195</v>
      </c>
      <c r="N3646" s="8" t="s">
        <v>16639</v>
      </c>
      <c r="O3646" s="8">
        <f>11+20/60+16.9/3600</f>
        <v>11.338027777777778</v>
      </c>
      <c r="P3646" s="8" t="s">
        <v>16640</v>
      </c>
      <c r="Q3646" s="8">
        <f>+(2+57/60+52/3600)</f>
        <v>2.9644444444444447</v>
      </c>
      <c r="R3646" s="8">
        <v>12</v>
      </c>
      <c r="S3646" s="8">
        <v>12.9</v>
      </c>
      <c r="T3646" s="8">
        <v>0.9</v>
      </c>
      <c r="U3646" s="8">
        <v>12.6</v>
      </c>
      <c r="V3646" s="8">
        <v>2</v>
      </c>
      <c r="W3646" s="8">
        <v>0.8</v>
      </c>
      <c r="X3646" s="8">
        <v>37</v>
      </c>
      <c r="Y3646" s="8" t="s">
        <v>16641</v>
      </c>
      <c r="Z3646" s="8" t="s">
        <v>3635</v>
      </c>
    </row>
    <row r="3647" spans="1:26" x14ac:dyDescent="0.2">
      <c r="A3647" s="8">
        <v>3646</v>
      </c>
      <c r="B3647" s="8" t="s">
        <v>16705</v>
      </c>
      <c r="C3647" s="8" t="s">
        <v>16705</v>
      </c>
      <c r="F3647" s="47" t="s">
        <v>56943</v>
      </c>
      <c r="G3647" s="8">
        <v>6.5</v>
      </c>
      <c r="H3647" s="8" t="s">
        <v>21</v>
      </c>
      <c r="I3647" s="8" t="s">
        <v>22</v>
      </c>
      <c r="J3647" s="8" t="s">
        <v>22</v>
      </c>
      <c r="K3647" s="8" t="s">
        <v>2556</v>
      </c>
      <c r="L3647" s="8" t="s">
        <v>13194</v>
      </c>
      <c r="M3647" s="8" t="s">
        <v>13195</v>
      </c>
      <c r="N3647" s="8" t="s">
        <v>16706</v>
      </c>
      <c r="O3647" s="8">
        <f>11+21/60+43.2/3600</f>
        <v>11.362</v>
      </c>
      <c r="P3647" s="8" t="s">
        <v>16707</v>
      </c>
      <c r="Q3647" s="8">
        <f>+(20+10/60+9/3600)</f>
        <v>20.169166666666669</v>
      </c>
      <c r="R3647" s="8">
        <v>11.1</v>
      </c>
      <c r="S3647" s="8">
        <v>11.8</v>
      </c>
      <c r="T3647" s="8">
        <v>0.7</v>
      </c>
      <c r="U3647" s="8">
        <v>13.4</v>
      </c>
      <c r="V3647" s="8">
        <v>3.9</v>
      </c>
      <c r="W3647" s="8">
        <v>2.2000000000000002</v>
      </c>
      <c r="X3647" s="8">
        <v>50</v>
      </c>
      <c r="Y3647" s="8" t="s">
        <v>16708</v>
      </c>
      <c r="Z3647" s="8" t="s">
        <v>16709</v>
      </c>
    </row>
    <row r="3648" spans="1:26" x14ac:dyDescent="0.2">
      <c r="A3648" s="8">
        <v>3647</v>
      </c>
      <c r="B3648" s="8" t="s">
        <v>16710</v>
      </c>
      <c r="C3648" s="8" t="s">
        <v>16710</v>
      </c>
      <c r="F3648" s="47"/>
      <c r="G3648" s="8">
        <v>18</v>
      </c>
      <c r="H3648" s="8" t="s">
        <v>21</v>
      </c>
      <c r="I3648" s="8" t="s">
        <v>22</v>
      </c>
      <c r="J3648" s="8" t="s">
        <v>22</v>
      </c>
      <c r="K3648" s="8" t="s">
        <v>183</v>
      </c>
      <c r="L3648" s="8" t="s">
        <v>13194</v>
      </c>
      <c r="M3648" s="8" t="s">
        <v>13195</v>
      </c>
      <c r="N3648" s="8" t="s">
        <v>16711</v>
      </c>
      <c r="O3648" s="8">
        <f>11+21/60+32.5/3600</f>
        <v>11.359027777777778</v>
      </c>
      <c r="P3648" s="8" t="s">
        <v>16712</v>
      </c>
      <c r="Q3648" s="8">
        <f>+(2+53/60+14/3600)</f>
        <v>2.8872222222222224</v>
      </c>
      <c r="R3648" s="8">
        <v>14.2</v>
      </c>
      <c r="S3648" s="8">
        <v>15.2</v>
      </c>
      <c r="T3648" s="8">
        <v>1</v>
      </c>
      <c r="U3648" s="8">
        <v>12.6</v>
      </c>
      <c r="V3648" s="8">
        <v>0.6</v>
      </c>
      <c r="W3648" s="8">
        <v>0.5</v>
      </c>
      <c r="Y3648" s="8" t="s">
        <v>16713</v>
      </c>
      <c r="Z3648" s="8" t="s">
        <v>12195</v>
      </c>
    </row>
    <row r="3649" spans="1:26" x14ac:dyDescent="0.2">
      <c r="A3649" s="8">
        <v>3648</v>
      </c>
      <c r="B3649" s="8" t="s">
        <v>16714</v>
      </c>
      <c r="C3649" s="8" t="s">
        <v>16714</v>
      </c>
      <c r="F3649" s="47"/>
      <c r="G3649" s="8">
        <v>16</v>
      </c>
      <c r="H3649" s="8" t="s">
        <v>21</v>
      </c>
      <c r="I3649" s="8" t="s">
        <v>22</v>
      </c>
      <c r="J3649" s="8" t="s">
        <v>22</v>
      </c>
      <c r="K3649" s="8" t="s">
        <v>37</v>
      </c>
      <c r="L3649" s="8" t="s">
        <v>12015</v>
      </c>
      <c r="M3649" s="8" t="s">
        <v>12016</v>
      </c>
      <c r="N3649" s="8" t="s">
        <v>16715</v>
      </c>
      <c r="O3649" s="8">
        <f>11+22/60+31.3/3600</f>
        <v>11.375361111111111</v>
      </c>
      <c r="P3649" s="8" t="s">
        <v>16716</v>
      </c>
      <c r="Q3649" s="8">
        <f>+(39+52/60+37/3600)</f>
        <v>39.876944444444447</v>
      </c>
      <c r="R3649" s="8">
        <v>12.6</v>
      </c>
      <c r="S3649" s="8">
        <v>13.6</v>
      </c>
      <c r="T3649" s="8">
        <v>1</v>
      </c>
      <c r="U3649" s="8">
        <v>12.5</v>
      </c>
      <c r="V3649" s="8">
        <v>1.3</v>
      </c>
      <c r="W3649" s="8">
        <v>0.8</v>
      </c>
      <c r="X3649" s="8">
        <v>75</v>
      </c>
      <c r="Y3649" s="8" t="s">
        <v>16717</v>
      </c>
      <c r="Z3649" s="8" t="s">
        <v>16718</v>
      </c>
    </row>
    <row r="3650" spans="1:26" x14ac:dyDescent="0.2">
      <c r="A3650" s="8">
        <v>3649</v>
      </c>
      <c r="B3650" s="8" t="s">
        <v>16719</v>
      </c>
      <c r="C3650" s="8" t="s">
        <v>16719</v>
      </c>
      <c r="F3650" s="47" t="s">
        <v>56944</v>
      </c>
      <c r="G3650" s="8">
        <v>15</v>
      </c>
      <c r="H3650" s="8" t="s">
        <v>21</v>
      </c>
      <c r="I3650" s="8" t="s">
        <v>22</v>
      </c>
      <c r="J3650" s="8" t="s">
        <v>22</v>
      </c>
      <c r="K3650" s="8" t="s">
        <v>154</v>
      </c>
      <c r="L3650" s="8" t="s">
        <v>13194</v>
      </c>
      <c r="M3650" s="8" t="s">
        <v>13195</v>
      </c>
      <c r="N3650" s="8" t="s">
        <v>16720</v>
      </c>
      <c r="O3650" s="8">
        <f>11+22/60+14.8/3600</f>
        <v>11.370777777777779</v>
      </c>
      <c r="P3650" s="8" t="s">
        <v>16721</v>
      </c>
      <c r="Q3650" s="8">
        <f>+(20+12/60+31/3600)</f>
        <v>20.208611111111111</v>
      </c>
      <c r="R3650" s="8">
        <v>13.7</v>
      </c>
      <c r="S3650" s="8">
        <v>14.6</v>
      </c>
      <c r="T3650" s="8">
        <v>0.9</v>
      </c>
      <c r="U3650" s="8">
        <v>13.4</v>
      </c>
      <c r="V3650" s="8">
        <v>1.4</v>
      </c>
      <c r="W3650" s="8">
        <v>0.6</v>
      </c>
      <c r="X3650" s="8">
        <v>140</v>
      </c>
      <c r="Y3650" s="8" t="s">
        <v>16722</v>
      </c>
      <c r="Z3650" s="8" t="s">
        <v>16723</v>
      </c>
    </row>
    <row r="3651" spans="1:26" x14ac:dyDescent="0.2">
      <c r="A3651" s="8">
        <v>3650</v>
      </c>
      <c r="B3651" s="8" t="s">
        <v>16724</v>
      </c>
      <c r="C3651" s="8" t="s">
        <v>16724</v>
      </c>
      <c r="F3651" s="47"/>
      <c r="G3651" s="8">
        <v>19</v>
      </c>
      <c r="H3651" s="8" t="s">
        <v>21</v>
      </c>
      <c r="I3651" s="8" t="s">
        <v>22</v>
      </c>
      <c r="J3651" s="8" t="s">
        <v>22</v>
      </c>
      <c r="K3651" s="8" t="s">
        <v>23</v>
      </c>
      <c r="L3651" s="8" t="s">
        <v>13194</v>
      </c>
      <c r="M3651" s="8" t="s">
        <v>13195</v>
      </c>
      <c r="N3651" s="8" t="s">
        <v>16725</v>
      </c>
      <c r="O3651" s="8">
        <f>11+22/60+35.4/3600</f>
        <v>11.3765</v>
      </c>
      <c r="P3651" s="8" t="s">
        <v>16726</v>
      </c>
      <c r="Q3651" s="8">
        <f>+(20+42/60+17/3600)</f>
        <v>20.704722222222223</v>
      </c>
      <c r="R3651" s="8">
        <v>13.9</v>
      </c>
      <c r="S3651" s="8">
        <v>14.7</v>
      </c>
      <c r="T3651" s="8">
        <v>0.8</v>
      </c>
      <c r="U3651" s="8">
        <v>13</v>
      </c>
      <c r="V3651" s="8">
        <v>1.6</v>
      </c>
      <c r="W3651" s="8">
        <v>0.3</v>
      </c>
      <c r="X3651" s="8">
        <v>54</v>
      </c>
      <c r="Y3651" s="8" t="s">
        <v>16727</v>
      </c>
      <c r="Z3651" s="8" t="s">
        <v>16728</v>
      </c>
    </row>
    <row r="3652" spans="1:26" x14ac:dyDescent="0.2">
      <c r="A3652" s="8">
        <v>3651</v>
      </c>
      <c r="B3652" s="8" t="s">
        <v>16729</v>
      </c>
      <c r="C3652" s="8" t="s">
        <v>16729</v>
      </c>
      <c r="E3652" s="8">
        <v>1</v>
      </c>
      <c r="F3652" s="47" t="s">
        <v>56945</v>
      </c>
      <c r="G3652" s="8">
        <v>15</v>
      </c>
      <c r="H3652" s="8" t="s">
        <v>21</v>
      </c>
      <c r="I3652" s="8" t="s">
        <v>22</v>
      </c>
      <c r="J3652" s="8" t="s">
        <v>22</v>
      </c>
      <c r="K3652" s="8" t="s">
        <v>460</v>
      </c>
      <c r="L3652" s="8" t="s">
        <v>13194</v>
      </c>
      <c r="M3652" s="8" t="s">
        <v>13195</v>
      </c>
      <c r="N3652" s="8" t="s">
        <v>16730</v>
      </c>
      <c r="O3652" s="8">
        <f>11+22/60+26.3/3600</f>
        <v>11.373972222222223</v>
      </c>
      <c r="P3652" s="8" t="s">
        <v>16731</v>
      </c>
      <c r="Q3652" s="8">
        <f>+(24+17/60+56/3600)</f>
        <v>24.298888888888889</v>
      </c>
      <c r="R3652" s="8">
        <v>13.6</v>
      </c>
      <c r="S3652" s="8">
        <v>14.6</v>
      </c>
      <c r="T3652" s="8">
        <v>1</v>
      </c>
      <c r="U3652" s="8">
        <v>13.9</v>
      </c>
      <c r="V3652" s="8">
        <v>1.1000000000000001</v>
      </c>
      <c r="W3652" s="8">
        <v>1.1000000000000001</v>
      </c>
      <c r="Y3652" s="8" t="s">
        <v>16732</v>
      </c>
      <c r="Z3652" s="8" t="s">
        <v>16733</v>
      </c>
    </row>
    <row r="3653" spans="1:26" x14ac:dyDescent="0.2">
      <c r="A3653" s="8">
        <v>3652</v>
      </c>
      <c r="B3653" s="8" t="s">
        <v>16734</v>
      </c>
      <c r="C3653" s="8" t="s">
        <v>16734</v>
      </c>
      <c r="F3653" s="47" t="s">
        <v>56946</v>
      </c>
      <c r="G3653" s="8">
        <v>6.5</v>
      </c>
      <c r="H3653" s="8" t="s">
        <v>21</v>
      </c>
      <c r="I3653" s="8" t="s">
        <v>22</v>
      </c>
      <c r="J3653" s="8" t="s">
        <v>22</v>
      </c>
      <c r="K3653" s="8" t="s">
        <v>520</v>
      </c>
      <c r="L3653" s="8" t="s">
        <v>12015</v>
      </c>
      <c r="M3653" s="8" t="s">
        <v>12016</v>
      </c>
      <c r="N3653" s="8" t="s">
        <v>16735</v>
      </c>
      <c r="O3653" s="8">
        <f>11+22/60+39/3600</f>
        <v>11.377500000000001</v>
      </c>
      <c r="P3653" s="8" t="s">
        <v>16736</v>
      </c>
      <c r="Q3653" s="8">
        <f>+(37+45/60+54/3600)</f>
        <v>37.765000000000001</v>
      </c>
      <c r="R3653" s="8">
        <v>12.2</v>
      </c>
      <c r="S3653" s="8">
        <v>12.9</v>
      </c>
      <c r="T3653" s="8">
        <v>0.7</v>
      </c>
      <c r="U3653" s="8">
        <v>12.7</v>
      </c>
      <c r="V3653" s="8">
        <v>2.6</v>
      </c>
      <c r="W3653" s="8">
        <v>0.7</v>
      </c>
      <c r="X3653" s="8">
        <v>150</v>
      </c>
      <c r="Y3653" s="8" t="s">
        <v>16737</v>
      </c>
      <c r="Z3653" s="8" t="s">
        <v>16738</v>
      </c>
    </row>
    <row r="3654" spans="1:26" x14ac:dyDescent="0.2">
      <c r="A3654" s="8">
        <v>3653</v>
      </c>
      <c r="B3654" s="8" t="s">
        <v>16739</v>
      </c>
      <c r="C3654" s="8" t="s">
        <v>16739</v>
      </c>
      <c r="F3654" s="47" t="s">
        <v>56947</v>
      </c>
      <c r="G3654" s="8">
        <v>15</v>
      </c>
      <c r="H3654" s="8" t="s">
        <v>21</v>
      </c>
      <c r="I3654" s="8" t="s">
        <v>22</v>
      </c>
      <c r="J3654" s="8" t="s">
        <v>22</v>
      </c>
      <c r="K3654" s="8" t="s">
        <v>58</v>
      </c>
      <c r="L3654" s="8" t="s">
        <v>13194</v>
      </c>
      <c r="M3654" s="8" t="s">
        <v>13195</v>
      </c>
      <c r="N3654" s="8" t="s">
        <v>16740</v>
      </c>
      <c r="O3654" s="8">
        <f>11+22/60+30/3600</f>
        <v>11.375</v>
      </c>
      <c r="P3654" s="8" t="s">
        <v>16741</v>
      </c>
      <c r="Q3654" s="8">
        <f>+(24+16/60+47/3600)</f>
        <v>24.279722222222222</v>
      </c>
      <c r="R3654" s="8">
        <v>13.7</v>
      </c>
      <c r="S3654" s="8">
        <v>14.7</v>
      </c>
      <c r="T3654" s="8">
        <v>1</v>
      </c>
      <c r="U3654" s="8">
        <v>12</v>
      </c>
      <c r="V3654" s="8">
        <v>0.6</v>
      </c>
      <c r="W3654" s="8">
        <v>0.4</v>
      </c>
      <c r="X3654" s="8">
        <v>79</v>
      </c>
      <c r="Y3654" s="8" t="s">
        <v>16742</v>
      </c>
      <c r="Z3654" s="8" t="s">
        <v>16743</v>
      </c>
    </row>
    <row r="3655" spans="1:26" x14ac:dyDescent="0.2">
      <c r="A3655" s="8">
        <v>3654</v>
      </c>
      <c r="B3655" s="8" t="s">
        <v>16744</v>
      </c>
      <c r="C3655" s="8" t="s">
        <v>16744</v>
      </c>
      <c r="F3655" s="47" t="s">
        <v>56948</v>
      </c>
      <c r="G3655" s="8">
        <v>15</v>
      </c>
      <c r="H3655" s="8" t="s">
        <v>21</v>
      </c>
      <c r="I3655" s="8" t="s">
        <v>22</v>
      </c>
      <c r="J3655" s="8" t="s">
        <v>22</v>
      </c>
      <c r="K3655" s="8" t="s">
        <v>476</v>
      </c>
      <c r="L3655" s="8" t="s">
        <v>12015</v>
      </c>
      <c r="M3655" s="8" t="s">
        <v>12016</v>
      </c>
      <c r="N3655" s="8" t="s">
        <v>16745</v>
      </c>
      <c r="O3655" s="8">
        <f>11+24/60+10.9/3600</f>
        <v>11.403027777777778</v>
      </c>
      <c r="P3655" s="8" t="s">
        <v>16746</v>
      </c>
      <c r="Q3655" s="8">
        <f>+(69+24/60+46/3600)</f>
        <v>69.412777777777777</v>
      </c>
      <c r="R3655" s="8">
        <v>12.8</v>
      </c>
      <c r="S3655" s="8">
        <v>13.7</v>
      </c>
      <c r="T3655" s="8">
        <v>0.9</v>
      </c>
      <c r="U3655" s="8">
        <v>12.3</v>
      </c>
      <c r="V3655" s="8">
        <v>1.2</v>
      </c>
      <c r="W3655" s="8">
        <v>0.6</v>
      </c>
      <c r="X3655" s="8">
        <v>21</v>
      </c>
      <c r="Y3655" s="8" t="s">
        <v>16747</v>
      </c>
      <c r="Z3655" s="8" t="s">
        <v>16748</v>
      </c>
    </row>
    <row r="3656" spans="1:26" x14ac:dyDescent="0.2">
      <c r="A3656" s="8">
        <v>3655</v>
      </c>
      <c r="B3656" s="8" t="s">
        <v>16749</v>
      </c>
      <c r="C3656" s="8" t="s">
        <v>16749</v>
      </c>
      <c r="F3656" s="47" t="s">
        <v>56949</v>
      </c>
      <c r="G3656" s="8">
        <v>6</v>
      </c>
      <c r="H3656" s="8" t="s">
        <v>21</v>
      </c>
      <c r="I3656" s="8" t="s">
        <v>22</v>
      </c>
      <c r="J3656" s="8" t="s">
        <v>22</v>
      </c>
      <c r="K3656" s="8" t="s">
        <v>160</v>
      </c>
      <c r="L3656" s="8" t="s">
        <v>13194</v>
      </c>
      <c r="M3656" s="8" t="s">
        <v>13195</v>
      </c>
      <c r="N3656" s="8" t="s">
        <v>16750</v>
      </c>
      <c r="O3656" s="8">
        <f>11+22/60+54.7/3600</f>
        <v>11.381861111111112</v>
      </c>
      <c r="P3656" s="8" t="s">
        <v>16751</v>
      </c>
      <c r="Q3656" s="8">
        <f>+(16+35/60+23/3600)</f>
        <v>16.589722222222221</v>
      </c>
      <c r="R3656" s="8">
        <v>11.7</v>
      </c>
      <c r="S3656" s="8">
        <v>12.3</v>
      </c>
      <c r="T3656" s="8">
        <v>0.6</v>
      </c>
      <c r="U3656" s="8">
        <v>12</v>
      </c>
      <c r="V3656" s="8">
        <v>1.5</v>
      </c>
      <c r="W3656" s="8">
        <v>1</v>
      </c>
      <c r="X3656" s="8">
        <v>30</v>
      </c>
      <c r="Y3656" s="8" t="s">
        <v>16752</v>
      </c>
      <c r="Z3656" s="8" t="s">
        <v>16753</v>
      </c>
    </row>
    <row r="3657" spans="1:26" x14ac:dyDescent="0.2">
      <c r="A3657" s="8">
        <v>3656</v>
      </c>
      <c r="B3657" s="8" t="s">
        <v>16754</v>
      </c>
      <c r="C3657" s="8" t="s">
        <v>16754</v>
      </c>
      <c r="F3657" s="47" t="s">
        <v>56950</v>
      </c>
      <c r="G3657" s="8">
        <v>15</v>
      </c>
      <c r="H3657" s="8" t="s">
        <v>21</v>
      </c>
      <c r="I3657" s="8" t="s">
        <v>22</v>
      </c>
      <c r="J3657" s="8" t="s">
        <v>22</v>
      </c>
      <c r="K3657" s="8" t="s">
        <v>818</v>
      </c>
      <c r="L3657" s="8" t="s">
        <v>12015</v>
      </c>
      <c r="M3657" s="8" t="s">
        <v>12016</v>
      </c>
      <c r="N3657" s="8" t="s">
        <v>16755</v>
      </c>
      <c r="O3657" s="8">
        <f>11+23/60+38.6/3600</f>
        <v>11.394055555555555</v>
      </c>
      <c r="P3657" s="8" t="s">
        <v>16756</v>
      </c>
      <c r="Q3657" s="8">
        <f>+(53+50/60+32/3600)</f>
        <v>53.842222222222226</v>
      </c>
      <c r="R3657" s="8">
        <v>12.3</v>
      </c>
      <c r="S3657" s="8">
        <v>13.3</v>
      </c>
      <c r="T3657" s="8">
        <v>1</v>
      </c>
      <c r="U3657" s="8">
        <v>13.4</v>
      </c>
      <c r="V3657" s="8">
        <v>1.6</v>
      </c>
      <c r="W3657" s="8">
        <v>1.6</v>
      </c>
      <c r="Y3657" s="8" t="s">
        <v>16757</v>
      </c>
      <c r="Z3657" s="8" t="s">
        <v>16758</v>
      </c>
    </row>
    <row r="3658" spans="1:26" x14ac:dyDescent="0.2">
      <c r="A3658" s="8">
        <v>3657</v>
      </c>
      <c r="B3658" s="8" t="s">
        <v>16759</v>
      </c>
      <c r="C3658" s="8" t="s">
        <v>16759</v>
      </c>
      <c r="F3658" s="47" t="s">
        <v>56951</v>
      </c>
      <c r="G3658" s="8">
        <v>15</v>
      </c>
      <c r="H3658" s="8" t="s">
        <v>21</v>
      </c>
      <c r="I3658" s="8" t="s">
        <v>22</v>
      </c>
      <c r="J3658" s="8" t="s">
        <v>22</v>
      </c>
      <c r="K3658" s="8" t="s">
        <v>520</v>
      </c>
      <c r="L3658" s="8" t="s">
        <v>12015</v>
      </c>
      <c r="M3658" s="8" t="s">
        <v>12016</v>
      </c>
      <c r="N3658" s="8" t="s">
        <v>16760</v>
      </c>
      <c r="O3658" s="8">
        <f>11+23/60+55.4/3600</f>
        <v>11.398722222222222</v>
      </c>
      <c r="P3658" s="8" t="s">
        <v>16761</v>
      </c>
      <c r="Q3658" s="8">
        <f>+(52+55/60+16/3600)</f>
        <v>52.921111111111109</v>
      </c>
      <c r="R3658" s="8">
        <v>12.4</v>
      </c>
      <c r="S3658" s="8">
        <v>13.1</v>
      </c>
      <c r="T3658" s="8">
        <v>0.7</v>
      </c>
      <c r="U3658" s="8">
        <v>12</v>
      </c>
      <c r="V3658" s="8">
        <v>1.1000000000000001</v>
      </c>
      <c r="W3658" s="8">
        <v>0.7</v>
      </c>
      <c r="X3658" s="8">
        <v>168</v>
      </c>
      <c r="Y3658" s="8" t="s">
        <v>16762</v>
      </c>
      <c r="Z3658" s="8" t="s">
        <v>16763</v>
      </c>
    </row>
    <row r="3659" spans="1:26" x14ac:dyDescent="0.2">
      <c r="A3659" s="8">
        <v>3658</v>
      </c>
      <c r="B3659" s="8" t="s">
        <v>16764</v>
      </c>
      <c r="C3659" s="8" t="s">
        <v>16764</v>
      </c>
      <c r="F3659" s="47" t="s">
        <v>56952</v>
      </c>
      <c r="G3659" s="8">
        <v>15</v>
      </c>
      <c r="H3659" s="8" t="s">
        <v>21</v>
      </c>
      <c r="I3659" s="8" t="s">
        <v>22</v>
      </c>
      <c r="J3659" s="8" t="s">
        <v>22</v>
      </c>
      <c r="K3659" s="8" t="s">
        <v>37</v>
      </c>
      <c r="L3659" s="8" t="s">
        <v>12015</v>
      </c>
      <c r="M3659" s="8" t="s">
        <v>12016</v>
      </c>
      <c r="N3659" s="8" t="s">
        <v>16765</v>
      </c>
      <c r="O3659" s="8">
        <f>11+23/60+58.5/3600</f>
        <v>11.399583333333332</v>
      </c>
      <c r="P3659" s="8" t="s">
        <v>16766</v>
      </c>
      <c r="Q3659" s="8">
        <f>+(38+33/60+49/3600)</f>
        <v>38.563611111111108</v>
      </c>
      <c r="R3659" s="8">
        <v>12.2</v>
      </c>
      <c r="S3659" s="8">
        <v>13.1</v>
      </c>
      <c r="T3659" s="8">
        <v>0.9</v>
      </c>
      <c r="U3659" s="8">
        <v>13</v>
      </c>
      <c r="V3659" s="8">
        <v>1.8</v>
      </c>
      <c r="W3659" s="8">
        <v>1.7</v>
      </c>
      <c r="X3659" s="8">
        <v>27</v>
      </c>
      <c r="Y3659" s="8" t="s">
        <v>16767</v>
      </c>
      <c r="Z3659" s="8" t="s">
        <v>16768</v>
      </c>
    </row>
    <row r="3660" spans="1:26" x14ac:dyDescent="0.2">
      <c r="A3660" s="8">
        <v>3659</v>
      </c>
      <c r="B3660" s="8" t="s">
        <v>16769</v>
      </c>
      <c r="C3660" s="8" t="s">
        <v>16769</v>
      </c>
      <c r="F3660" s="47" t="s">
        <v>56953</v>
      </c>
      <c r="G3660" s="8">
        <v>6.5</v>
      </c>
      <c r="H3660" s="8" t="s">
        <v>21</v>
      </c>
      <c r="I3660" s="8" t="s">
        <v>22</v>
      </c>
      <c r="J3660" s="8" t="s">
        <v>22</v>
      </c>
      <c r="K3660" s="8" t="s">
        <v>323</v>
      </c>
      <c r="L3660" s="8" t="s">
        <v>13194</v>
      </c>
      <c r="M3660" s="8" t="s">
        <v>13195</v>
      </c>
      <c r="N3660" s="8" t="s">
        <v>16770</v>
      </c>
      <c r="O3660" s="8">
        <f>11+23/60+45.1/3600</f>
        <v>11.395861111111111</v>
      </c>
      <c r="P3660" s="8" t="s">
        <v>16771</v>
      </c>
      <c r="Q3660" s="8">
        <f>+(17+49/60+1/3600)</f>
        <v>17.816944444444445</v>
      </c>
      <c r="R3660" s="8">
        <v>12.2</v>
      </c>
      <c r="S3660" s="8">
        <v>12.8</v>
      </c>
      <c r="T3660" s="8">
        <v>0.6</v>
      </c>
      <c r="U3660" s="8">
        <v>13.2</v>
      </c>
      <c r="V3660" s="8">
        <v>2.2999999999999998</v>
      </c>
      <c r="W3660" s="8">
        <v>1.3</v>
      </c>
      <c r="X3660" s="8">
        <v>60</v>
      </c>
      <c r="Y3660" s="8" t="s">
        <v>16772</v>
      </c>
      <c r="Z3660" s="8" t="s">
        <v>16773</v>
      </c>
    </row>
    <row r="3661" spans="1:26" x14ac:dyDescent="0.2">
      <c r="A3661" s="8">
        <v>3660</v>
      </c>
      <c r="B3661" s="8" t="s">
        <v>16774</v>
      </c>
      <c r="C3661" s="8" t="s">
        <v>16774</v>
      </c>
      <c r="F3661" s="47" t="s">
        <v>56954</v>
      </c>
      <c r="G3661" s="8">
        <v>15</v>
      </c>
      <c r="H3661" s="8" t="s">
        <v>21</v>
      </c>
      <c r="I3661" s="8" t="s">
        <v>22</v>
      </c>
      <c r="J3661" s="8" t="s">
        <v>22</v>
      </c>
      <c r="K3661" s="8" t="s">
        <v>85</v>
      </c>
      <c r="L3661" s="8" t="s">
        <v>15699</v>
      </c>
      <c r="M3661" s="8" t="s">
        <v>15700</v>
      </c>
      <c r="N3661" s="8" t="s">
        <v>16775</v>
      </c>
      <c r="O3661" s="8">
        <f>11+23/60+32.2/3600</f>
        <v>11.392277777777778</v>
      </c>
      <c r="P3661" s="8" t="s">
        <v>16776</v>
      </c>
      <c r="Q3661" s="8">
        <f>-(8+39/60+31/3600)</f>
        <v>-8.6586111111111119</v>
      </c>
      <c r="R3661" s="8">
        <v>11.9</v>
      </c>
      <c r="S3661" s="8">
        <v>12.7</v>
      </c>
      <c r="T3661" s="8">
        <v>0.8</v>
      </c>
      <c r="U3661" s="8">
        <v>13.7</v>
      </c>
      <c r="V3661" s="8">
        <v>2.8</v>
      </c>
      <c r="W3661" s="8">
        <v>2.2999999999999998</v>
      </c>
      <c r="X3661" s="8">
        <v>110</v>
      </c>
      <c r="Y3661" s="8" t="s">
        <v>16777</v>
      </c>
      <c r="Z3661" s="8" t="s">
        <v>16778</v>
      </c>
    </row>
    <row r="3662" spans="1:26" x14ac:dyDescent="0.2">
      <c r="A3662" s="8">
        <v>3661</v>
      </c>
      <c r="B3662" s="8" t="s">
        <v>16779</v>
      </c>
      <c r="C3662" s="8" t="s">
        <v>16779</v>
      </c>
      <c r="F3662" s="47" t="s">
        <v>56955</v>
      </c>
      <c r="G3662" s="8">
        <v>15</v>
      </c>
      <c r="H3662" s="8" t="s">
        <v>21</v>
      </c>
      <c r="I3662" s="8" t="s">
        <v>22</v>
      </c>
      <c r="J3662" s="8" t="s">
        <v>22</v>
      </c>
      <c r="K3662" s="8" t="s">
        <v>632</v>
      </c>
      <c r="L3662" s="8" t="s">
        <v>15699</v>
      </c>
      <c r="M3662" s="8" t="s">
        <v>15700</v>
      </c>
      <c r="N3662" s="8" t="s">
        <v>16780</v>
      </c>
      <c r="O3662" s="8">
        <f>11+23/60+38.3/3600</f>
        <v>11.393972222222223</v>
      </c>
      <c r="P3662" s="8" t="s">
        <v>16781</v>
      </c>
      <c r="Q3662" s="8">
        <f>-(13+49/60+51/3600)</f>
        <v>-13.830833333333333</v>
      </c>
      <c r="R3662" s="8">
        <v>13.1</v>
      </c>
      <c r="S3662" s="8">
        <v>14</v>
      </c>
      <c r="T3662" s="8">
        <v>0.9</v>
      </c>
      <c r="U3662" s="8">
        <v>12.9</v>
      </c>
      <c r="V3662" s="8">
        <v>1.6</v>
      </c>
      <c r="W3662" s="8">
        <v>0.6</v>
      </c>
      <c r="X3662" s="8">
        <v>137</v>
      </c>
      <c r="Y3662" s="8" t="s">
        <v>16782</v>
      </c>
      <c r="Z3662" s="8" t="s">
        <v>16783</v>
      </c>
    </row>
    <row r="3663" spans="1:26" x14ac:dyDescent="0.2">
      <c r="A3663" s="8">
        <v>3662</v>
      </c>
      <c r="B3663" s="8" t="s">
        <v>16784</v>
      </c>
      <c r="C3663" s="8" t="s">
        <v>16784</v>
      </c>
      <c r="F3663" s="47" t="s">
        <v>56956</v>
      </c>
      <c r="G3663" s="8">
        <v>15</v>
      </c>
      <c r="H3663" s="8" t="s">
        <v>21</v>
      </c>
      <c r="I3663" s="8" t="s">
        <v>22</v>
      </c>
      <c r="J3663" s="8" t="s">
        <v>22</v>
      </c>
      <c r="K3663" s="8" t="s">
        <v>5751</v>
      </c>
      <c r="L3663" s="8" t="s">
        <v>13194</v>
      </c>
      <c r="M3663" s="8" t="s">
        <v>13195</v>
      </c>
      <c r="N3663" s="8" t="s">
        <v>16785</v>
      </c>
      <c r="O3663" s="8">
        <f>11+23/60+46.4/3600</f>
        <v>11.396222222222221</v>
      </c>
      <c r="P3663" s="8" t="s">
        <v>16786</v>
      </c>
      <c r="Q3663" s="8">
        <f>-(1+6/60+19/3600)</f>
        <v>-1.1052777777777778</v>
      </c>
      <c r="R3663" s="8">
        <v>12.9</v>
      </c>
      <c r="S3663" s="8">
        <v>13.7</v>
      </c>
      <c r="T3663" s="8">
        <v>0.8</v>
      </c>
      <c r="U3663" s="8">
        <v>13</v>
      </c>
      <c r="V3663" s="8">
        <v>1.3</v>
      </c>
      <c r="W3663" s="8">
        <v>0.8</v>
      </c>
      <c r="X3663" s="8">
        <v>25</v>
      </c>
      <c r="Y3663" s="8" t="s">
        <v>16787</v>
      </c>
      <c r="Z3663" s="8" t="s">
        <v>16788</v>
      </c>
    </row>
    <row r="3664" spans="1:26" x14ac:dyDescent="0.2">
      <c r="A3664" s="8">
        <v>3663</v>
      </c>
      <c r="B3664" s="8" t="s">
        <v>16789</v>
      </c>
      <c r="C3664" s="8" t="s">
        <v>16789</v>
      </c>
      <c r="F3664" s="47"/>
      <c r="G3664" s="8">
        <v>19</v>
      </c>
      <c r="H3664" s="8" t="s">
        <v>21</v>
      </c>
      <c r="I3664" s="8" t="s">
        <v>22</v>
      </c>
      <c r="J3664" s="8" t="s">
        <v>22</v>
      </c>
      <c r="K3664" s="8" t="s">
        <v>396</v>
      </c>
      <c r="L3664" s="8" t="s">
        <v>15699</v>
      </c>
      <c r="M3664" s="8" t="s">
        <v>15700</v>
      </c>
      <c r="N3664" s="8" t="s">
        <v>16790</v>
      </c>
      <c r="O3664" s="8">
        <f>11+23/60+59.9/3600</f>
        <v>11.399972222222221</v>
      </c>
      <c r="P3664" s="8" t="s">
        <v>16791</v>
      </c>
      <c r="Q3664" s="8">
        <f>-(12+17/60+48/3600)</f>
        <v>-12.296666666666667</v>
      </c>
      <c r="R3664" s="8">
        <v>12.3</v>
      </c>
      <c r="S3664" s="8">
        <v>13.1</v>
      </c>
      <c r="T3664" s="8">
        <v>0.8</v>
      </c>
      <c r="U3664" s="8">
        <v>13.1</v>
      </c>
      <c r="V3664" s="8">
        <v>2</v>
      </c>
      <c r="W3664" s="8">
        <v>1.4</v>
      </c>
      <c r="X3664" s="8">
        <v>85</v>
      </c>
      <c r="Y3664" s="8" t="s">
        <v>16792</v>
      </c>
      <c r="Z3664" s="8" t="s">
        <v>16793</v>
      </c>
    </row>
    <row r="3665" spans="1:26" x14ac:dyDescent="0.2">
      <c r="A3665" s="8">
        <v>3664</v>
      </c>
      <c r="B3665" s="8" t="s">
        <v>16794</v>
      </c>
      <c r="C3665" s="8" t="s">
        <v>16794</v>
      </c>
      <c r="F3665" s="47"/>
      <c r="G3665" s="8">
        <v>13</v>
      </c>
      <c r="H3665" s="8" t="s">
        <v>21</v>
      </c>
      <c r="I3665" s="8" t="s">
        <v>22</v>
      </c>
      <c r="J3665" s="8" t="s">
        <v>22</v>
      </c>
      <c r="K3665" s="8" t="s">
        <v>6337</v>
      </c>
      <c r="L3665" s="8" t="s">
        <v>13194</v>
      </c>
      <c r="M3665" s="8" t="s">
        <v>13195</v>
      </c>
      <c r="N3665" s="8" t="s">
        <v>16795</v>
      </c>
      <c r="O3665" s="8">
        <f>11+24/60+24.4/3600</f>
        <v>11.406777777777778</v>
      </c>
      <c r="P3665" s="8" t="s">
        <v>16796</v>
      </c>
      <c r="Q3665" s="8">
        <f>+(3+19/60+35/3600)</f>
        <v>3.3263888888888888</v>
      </c>
      <c r="R3665" s="8">
        <v>12.8</v>
      </c>
      <c r="S3665" s="8">
        <v>13.2</v>
      </c>
      <c r="T3665" s="8">
        <v>0.4</v>
      </c>
      <c r="U3665" s="8">
        <v>14.1</v>
      </c>
      <c r="V3665" s="8">
        <v>2</v>
      </c>
      <c r="W3665" s="8">
        <v>1.9</v>
      </c>
      <c r="X3665" s="8">
        <v>42</v>
      </c>
      <c r="Y3665" s="8" t="s">
        <v>16797</v>
      </c>
      <c r="Z3665" s="8" t="s">
        <v>16798</v>
      </c>
    </row>
    <row r="3666" spans="1:26" x14ac:dyDescent="0.2">
      <c r="A3666" s="8">
        <v>3665</v>
      </c>
      <c r="B3666" s="8" t="s">
        <v>16799</v>
      </c>
      <c r="C3666" s="8" t="s">
        <v>16799</v>
      </c>
      <c r="F3666" s="47" t="s">
        <v>56957</v>
      </c>
      <c r="G3666" s="8">
        <v>6</v>
      </c>
      <c r="H3666" s="8" t="s">
        <v>21</v>
      </c>
      <c r="I3666" s="8" t="s">
        <v>22</v>
      </c>
      <c r="J3666" s="8" t="s">
        <v>22</v>
      </c>
      <c r="K3666" s="8" t="s">
        <v>37</v>
      </c>
      <c r="L3666" s="8" t="s">
        <v>12015</v>
      </c>
      <c r="M3666" s="8" t="s">
        <v>12016</v>
      </c>
      <c r="N3666" s="8" t="s">
        <v>16800</v>
      </c>
      <c r="O3666" s="8">
        <f>11+24/60+43.6/3600</f>
        <v>11.412111111111111</v>
      </c>
      <c r="P3666" s="8" t="s">
        <v>16801</v>
      </c>
      <c r="Q3666" s="8">
        <f>+(38+45/60+47/3600)</f>
        <v>38.763055555555553</v>
      </c>
      <c r="R3666" s="8">
        <v>10.8</v>
      </c>
      <c r="S3666" s="8">
        <v>11.8</v>
      </c>
      <c r="T3666" s="8">
        <v>1</v>
      </c>
      <c r="U3666" s="8">
        <v>12.4</v>
      </c>
      <c r="V3666" s="8">
        <v>4.3</v>
      </c>
      <c r="W3666" s="8">
        <v>3.3</v>
      </c>
      <c r="X3666" s="8">
        <v>18</v>
      </c>
      <c r="Y3666" s="8" t="s">
        <v>16802</v>
      </c>
      <c r="Z3666" s="8" t="s">
        <v>16803</v>
      </c>
    </row>
    <row r="3667" spans="1:26" x14ac:dyDescent="0.2">
      <c r="A3667" s="8">
        <v>3666</v>
      </c>
      <c r="B3667" s="8" t="s">
        <v>16804</v>
      </c>
      <c r="C3667" s="8" t="s">
        <v>16804</v>
      </c>
      <c r="F3667" s="47" t="s">
        <v>56958</v>
      </c>
      <c r="G3667" s="8">
        <v>6.5</v>
      </c>
      <c r="H3667" s="8" t="s">
        <v>21</v>
      </c>
      <c r="I3667" s="8" t="s">
        <v>22</v>
      </c>
      <c r="J3667" s="8" t="s">
        <v>22</v>
      </c>
      <c r="K3667" s="8" t="s">
        <v>64</v>
      </c>
      <c r="L3667" s="8" t="s">
        <v>13194</v>
      </c>
      <c r="M3667" s="8" t="s">
        <v>13195</v>
      </c>
      <c r="N3667" s="8" t="s">
        <v>16805</v>
      </c>
      <c r="O3667" s="8">
        <f>11+24/60+26.2/3600</f>
        <v>11.407277777777779</v>
      </c>
      <c r="P3667" s="8" t="s">
        <v>16806</v>
      </c>
      <c r="Q3667" s="8">
        <f>+(11+20/60+32/3600)</f>
        <v>11.342222222222222</v>
      </c>
      <c r="R3667" s="8">
        <v>12.3</v>
      </c>
      <c r="S3667" s="8">
        <v>12.7</v>
      </c>
      <c r="T3667" s="8">
        <v>0.4</v>
      </c>
      <c r="U3667" s="8">
        <v>14</v>
      </c>
      <c r="V3667" s="8">
        <v>4.4000000000000004</v>
      </c>
      <c r="W3667" s="8">
        <v>1</v>
      </c>
      <c r="X3667" s="8">
        <v>100</v>
      </c>
      <c r="Y3667" s="8" t="s">
        <v>16807</v>
      </c>
      <c r="Z3667" s="8" t="s">
        <v>16808</v>
      </c>
    </row>
    <row r="3668" spans="1:26" x14ac:dyDescent="0.2">
      <c r="A3668" s="8">
        <v>3667</v>
      </c>
      <c r="B3668" s="8" t="s">
        <v>16809</v>
      </c>
      <c r="C3668" s="8" t="s">
        <v>16809</v>
      </c>
      <c r="F3668" s="47" t="s">
        <v>56959</v>
      </c>
      <c r="G3668" s="8">
        <v>15</v>
      </c>
      <c r="H3668" s="8" t="s">
        <v>21</v>
      </c>
      <c r="I3668" s="8" t="s">
        <v>22</v>
      </c>
      <c r="J3668" s="8" t="s">
        <v>22</v>
      </c>
      <c r="K3668" s="8" t="s">
        <v>31</v>
      </c>
      <c r="L3668" s="8" t="s">
        <v>15699</v>
      </c>
      <c r="M3668" s="8" t="s">
        <v>15700</v>
      </c>
      <c r="N3668" s="8" t="s">
        <v>16810</v>
      </c>
      <c r="O3668" s="8">
        <f>11+24/60+16.9/3600</f>
        <v>11.404694444444445</v>
      </c>
      <c r="P3668" s="8" t="s">
        <v>16811</v>
      </c>
      <c r="Q3668" s="8">
        <f>-(13+51/60+24/3600)</f>
        <v>-13.856666666666666</v>
      </c>
      <c r="R3668" s="8">
        <v>13</v>
      </c>
      <c r="S3668" s="8">
        <v>13.8</v>
      </c>
      <c r="T3668" s="8">
        <v>0.8</v>
      </c>
      <c r="U3668" s="8">
        <v>13.4</v>
      </c>
      <c r="V3668" s="8">
        <v>1.5</v>
      </c>
      <c r="W3668" s="8">
        <v>1.1000000000000001</v>
      </c>
      <c r="X3668" s="8">
        <v>85</v>
      </c>
      <c r="Y3668" s="8" t="s">
        <v>16812</v>
      </c>
      <c r="Z3668" s="8" t="s">
        <v>16813</v>
      </c>
    </row>
    <row r="3669" spans="1:26" x14ac:dyDescent="0.2">
      <c r="A3669" s="8">
        <v>3668</v>
      </c>
      <c r="B3669" s="8" t="s">
        <v>16814</v>
      </c>
      <c r="C3669" s="8" t="s">
        <v>16814</v>
      </c>
      <c r="F3669" s="47" t="s">
        <v>56960</v>
      </c>
      <c r="G3669" s="8">
        <v>6.5</v>
      </c>
      <c r="H3669" s="8" t="s">
        <v>21</v>
      </c>
      <c r="I3669" s="8" t="s">
        <v>22</v>
      </c>
      <c r="J3669" s="8" t="s">
        <v>22</v>
      </c>
      <c r="K3669" s="8" t="s">
        <v>396</v>
      </c>
      <c r="L3669" s="8" t="s">
        <v>12015</v>
      </c>
      <c r="M3669" s="8" t="s">
        <v>12016</v>
      </c>
      <c r="N3669" s="8" t="s">
        <v>16815</v>
      </c>
      <c r="O3669" s="8">
        <f>11+25/60+30.3/3600</f>
        <v>11.425083333333333</v>
      </c>
      <c r="P3669" s="8" t="s">
        <v>16816</v>
      </c>
      <c r="Q3669" s="8">
        <f>+(63+26/60+47/3600)</f>
        <v>63.446388888888883</v>
      </c>
      <c r="R3669" s="8">
        <v>12.3</v>
      </c>
      <c r="S3669" s="8">
        <v>13.1</v>
      </c>
      <c r="T3669" s="8">
        <v>0.8</v>
      </c>
      <c r="U3669" s="8">
        <v>13</v>
      </c>
      <c r="V3669" s="8">
        <v>1.7</v>
      </c>
      <c r="W3669" s="8">
        <v>1.3</v>
      </c>
      <c r="X3669" s="8">
        <v>135</v>
      </c>
      <c r="Y3669" s="8" t="s">
        <v>16817</v>
      </c>
      <c r="Z3669" s="8" t="s">
        <v>16818</v>
      </c>
    </row>
    <row r="3670" spans="1:26" x14ac:dyDescent="0.2">
      <c r="A3670" s="8">
        <v>3669</v>
      </c>
      <c r="B3670" s="8" t="s">
        <v>16819</v>
      </c>
      <c r="C3670" s="8" t="s">
        <v>16819</v>
      </c>
      <c r="F3670" s="47" t="s">
        <v>56961</v>
      </c>
      <c r="G3670" s="8">
        <v>6.5</v>
      </c>
      <c r="H3670" s="8" t="s">
        <v>21</v>
      </c>
      <c r="I3670" s="8" t="s">
        <v>22</v>
      </c>
      <c r="J3670" s="8" t="s">
        <v>22</v>
      </c>
      <c r="K3670" s="8" t="s">
        <v>1277</v>
      </c>
      <c r="L3670" s="8" t="s">
        <v>12015</v>
      </c>
      <c r="M3670" s="8" t="s">
        <v>12016</v>
      </c>
      <c r="N3670" s="8" t="s">
        <v>16820</v>
      </c>
      <c r="O3670" s="8">
        <f>11+25/60+26.5/3600</f>
        <v>11.424027777777777</v>
      </c>
      <c r="P3670" s="8" t="s">
        <v>16821</v>
      </c>
      <c r="Q3670" s="8">
        <f>+(57+43/60+17/3600)</f>
        <v>57.721388888888889</v>
      </c>
      <c r="R3670" s="8">
        <v>12.4</v>
      </c>
      <c r="S3670" s="8">
        <v>13.1</v>
      </c>
      <c r="T3670" s="8">
        <v>0.7</v>
      </c>
      <c r="U3670" s="8">
        <v>12.3</v>
      </c>
      <c r="V3670" s="8">
        <v>2</v>
      </c>
      <c r="W3670" s="8">
        <v>0.5</v>
      </c>
      <c r="X3670" s="8">
        <v>153</v>
      </c>
      <c r="Y3670" s="8" t="s">
        <v>16822</v>
      </c>
      <c r="Z3670" s="8" t="s">
        <v>16823</v>
      </c>
    </row>
    <row r="3671" spans="1:26" x14ac:dyDescent="0.2">
      <c r="A3671" s="8">
        <v>3670</v>
      </c>
      <c r="B3671" s="8" t="s">
        <v>16824</v>
      </c>
      <c r="C3671" s="8" t="s">
        <v>16824</v>
      </c>
      <c r="F3671" s="47" t="s">
        <v>56962</v>
      </c>
      <c r="G3671" s="8">
        <v>15</v>
      </c>
      <c r="H3671" s="8" t="s">
        <v>21</v>
      </c>
      <c r="I3671" s="8" t="s">
        <v>22</v>
      </c>
      <c r="J3671" s="8" t="s">
        <v>22</v>
      </c>
      <c r="K3671" s="8" t="s">
        <v>435</v>
      </c>
      <c r="L3671" s="8" t="s">
        <v>13194</v>
      </c>
      <c r="M3671" s="8" t="s">
        <v>13195</v>
      </c>
      <c r="N3671" s="8" t="s">
        <v>16825</v>
      </c>
      <c r="O3671" s="8">
        <f>11+24/60+49.6/3600</f>
        <v>11.413777777777778</v>
      </c>
      <c r="P3671" s="8" t="s">
        <v>16826</v>
      </c>
      <c r="Q3671" s="8">
        <f>+(23+56/60+44/3600)</f>
        <v>23.945555555555554</v>
      </c>
      <c r="R3671" s="8">
        <v>13.5</v>
      </c>
      <c r="S3671" s="8">
        <v>14.4</v>
      </c>
      <c r="T3671" s="8">
        <v>0.9</v>
      </c>
      <c r="U3671" s="8">
        <v>13.2</v>
      </c>
      <c r="V3671" s="8">
        <v>1.1000000000000001</v>
      </c>
      <c r="W3671" s="8">
        <v>0.7</v>
      </c>
      <c r="X3671" s="8">
        <v>35</v>
      </c>
      <c r="Y3671" s="8" t="s">
        <v>421</v>
      </c>
      <c r="Z3671" s="8" t="s">
        <v>422</v>
      </c>
    </row>
    <row r="3672" spans="1:26" x14ac:dyDescent="0.2">
      <c r="A3672" s="8">
        <v>3671</v>
      </c>
      <c r="B3672" s="8" t="s">
        <v>16827</v>
      </c>
      <c r="C3672" s="8" t="s">
        <v>16827</v>
      </c>
      <c r="F3672" s="47" t="s">
        <v>56963</v>
      </c>
      <c r="G3672" s="8">
        <v>15</v>
      </c>
      <c r="H3672" s="8" t="s">
        <v>21</v>
      </c>
      <c r="I3672" s="8" t="s">
        <v>22</v>
      </c>
      <c r="J3672" s="8" t="s">
        <v>22</v>
      </c>
      <c r="K3672" s="8" t="s">
        <v>424</v>
      </c>
      <c r="L3672" s="8" t="s">
        <v>12015</v>
      </c>
      <c r="M3672" s="8" t="s">
        <v>12016</v>
      </c>
      <c r="N3672" s="8" t="s">
        <v>16828</v>
      </c>
      <c r="O3672" s="8">
        <f>11+25/60+52.5/3600</f>
        <v>11.431249999999999</v>
      </c>
      <c r="P3672" s="8" t="s">
        <v>16829</v>
      </c>
      <c r="Q3672" s="8">
        <f>+(60+28/60+48/3600)</f>
        <v>60.480000000000004</v>
      </c>
      <c r="R3672" s="8">
        <v>14.8</v>
      </c>
      <c r="S3672" s="8">
        <v>15.8</v>
      </c>
      <c r="T3672" s="8">
        <v>1</v>
      </c>
      <c r="U3672" s="8">
        <v>12.9</v>
      </c>
      <c r="V3672" s="8">
        <v>0.5</v>
      </c>
      <c r="W3672" s="8">
        <v>0.4</v>
      </c>
      <c r="X3672" s="8">
        <v>10</v>
      </c>
      <c r="Y3672" s="8" t="s">
        <v>16830</v>
      </c>
      <c r="Z3672" s="8" t="s">
        <v>16831</v>
      </c>
    </row>
    <row r="3673" spans="1:26" x14ac:dyDescent="0.2">
      <c r="A3673" s="8">
        <v>3672</v>
      </c>
      <c r="B3673" s="8" t="s">
        <v>16832</v>
      </c>
      <c r="C3673" s="8" t="s">
        <v>16832</v>
      </c>
      <c r="F3673" s="47" t="s">
        <v>56964</v>
      </c>
      <c r="G3673" s="8">
        <v>6.5</v>
      </c>
      <c r="H3673" s="8" t="s">
        <v>21</v>
      </c>
      <c r="I3673" s="8" t="s">
        <v>22</v>
      </c>
      <c r="J3673" s="8" t="s">
        <v>22</v>
      </c>
      <c r="K3673" s="8" t="s">
        <v>160</v>
      </c>
      <c r="L3673" s="8" t="s">
        <v>15699</v>
      </c>
      <c r="M3673" s="8" t="s">
        <v>15700</v>
      </c>
      <c r="N3673" s="8" t="s">
        <v>16833</v>
      </c>
      <c r="O3673" s="8">
        <f>11+25/60+2.3/3600</f>
        <v>11.417305555555554</v>
      </c>
      <c r="P3673" s="8" t="s">
        <v>16834</v>
      </c>
      <c r="Q3673" s="8">
        <f>-(9+47/60+41/3600)</f>
        <v>-9.7947222222222212</v>
      </c>
      <c r="R3673" s="8">
        <v>11.4</v>
      </c>
      <c r="S3673" s="8">
        <v>12.1</v>
      </c>
      <c r="T3673" s="8">
        <v>0.7</v>
      </c>
      <c r="U3673" s="8">
        <v>13.5</v>
      </c>
      <c r="V3673" s="8">
        <v>4</v>
      </c>
      <c r="W3673" s="8">
        <v>1.8</v>
      </c>
      <c r="X3673" s="8">
        <v>12</v>
      </c>
      <c r="Y3673" s="8" t="s">
        <v>16835</v>
      </c>
      <c r="Z3673" s="8" t="s">
        <v>16836</v>
      </c>
    </row>
    <row r="3674" spans="1:26" x14ac:dyDescent="0.2">
      <c r="A3674" s="8">
        <v>3673</v>
      </c>
      <c r="B3674" s="8" t="s">
        <v>16837</v>
      </c>
      <c r="C3674" s="8" t="s">
        <v>16837</v>
      </c>
      <c r="F3674" s="47"/>
      <c r="G3674" s="8">
        <v>12</v>
      </c>
      <c r="H3674" s="8" t="s">
        <v>21</v>
      </c>
      <c r="I3674" s="8" t="s">
        <v>22</v>
      </c>
      <c r="J3674" s="8" t="s">
        <v>22</v>
      </c>
      <c r="K3674" s="8" t="s">
        <v>218</v>
      </c>
      <c r="L3674" s="8" t="s">
        <v>11765</v>
      </c>
      <c r="M3674" s="8" t="s">
        <v>11766</v>
      </c>
      <c r="N3674" s="8" t="s">
        <v>16838</v>
      </c>
      <c r="O3674" s="8">
        <f>11+25/60+12.7/3600</f>
        <v>11.420194444444444</v>
      </c>
      <c r="P3674" s="8" t="s">
        <v>16839</v>
      </c>
      <c r="Q3674" s="8">
        <f>-(26+44/60+12/3600)</f>
        <v>-26.736666666666668</v>
      </c>
      <c r="R3674" s="8">
        <v>11.5</v>
      </c>
      <c r="S3674" s="8">
        <v>12.3</v>
      </c>
      <c r="T3674" s="8">
        <v>0.8</v>
      </c>
      <c r="U3674" s="8">
        <v>13.7</v>
      </c>
      <c r="V3674" s="8">
        <v>3.7</v>
      </c>
      <c r="W3674" s="8">
        <v>2.4</v>
      </c>
      <c r="X3674" s="8">
        <v>73</v>
      </c>
      <c r="Y3674" s="8" t="s">
        <v>16840</v>
      </c>
      <c r="Z3674" s="8" t="s">
        <v>16841</v>
      </c>
    </row>
    <row r="3675" spans="1:26" x14ac:dyDescent="0.2">
      <c r="A3675" s="8">
        <v>3674</v>
      </c>
      <c r="B3675" s="8" t="s">
        <v>16842</v>
      </c>
      <c r="C3675" s="8" t="s">
        <v>16842</v>
      </c>
      <c r="F3675" s="47" t="s">
        <v>56965</v>
      </c>
      <c r="G3675" s="8">
        <v>15</v>
      </c>
      <c r="H3675" s="8" t="s">
        <v>21</v>
      </c>
      <c r="I3675" s="8" t="s">
        <v>22</v>
      </c>
      <c r="J3675" s="8" t="s">
        <v>22</v>
      </c>
      <c r="K3675" s="8" t="s">
        <v>37</v>
      </c>
      <c r="L3675" s="8" t="s">
        <v>12015</v>
      </c>
      <c r="M3675" s="8" t="s">
        <v>12016</v>
      </c>
      <c r="N3675" s="8" t="s">
        <v>16843</v>
      </c>
      <c r="O3675" s="8">
        <f>11+26/60+26.3/3600</f>
        <v>11.440638888888889</v>
      </c>
      <c r="P3675" s="8" t="s">
        <v>16844</v>
      </c>
      <c r="Q3675" s="8">
        <f>+(57+2/60+55/3600)</f>
        <v>57.048611111111107</v>
      </c>
      <c r="R3675" s="8">
        <v>12.3</v>
      </c>
      <c r="S3675" s="8">
        <v>13.3</v>
      </c>
      <c r="T3675" s="8">
        <v>1</v>
      </c>
      <c r="U3675" s="8">
        <v>12.3</v>
      </c>
      <c r="V3675" s="8">
        <v>1.7</v>
      </c>
      <c r="W3675" s="8">
        <v>0.6</v>
      </c>
      <c r="X3675" s="8">
        <v>33</v>
      </c>
      <c r="Y3675" s="8" t="s">
        <v>16845</v>
      </c>
      <c r="Z3675" s="8" t="s">
        <v>16846</v>
      </c>
    </row>
    <row r="3676" spans="1:26" x14ac:dyDescent="0.2">
      <c r="A3676" s="8">
        <v>3675</v>
      </c>
      <c r="B3676" s="8" t="s">
        <v>16847</v>
      </c>
      <c r="C3676" s="8" t="s">
        <v>16847</v>
      </c>
      <c r="F3676" s="47" t="s">
        <v>56966</v>
      </c>
      <c r="G3676" s="8">
        <v>6</v>
      </c>
      <c r="H3676" s="8" t="s">
        <v>21</v>
      </c>
      <c r="I3676" s="8" t="s">
        <v>22</v>
      </c>
      <c r="J3676" s="8" t="s">
        <v>22</v>
      </c>
      <c r="K3676" s="8" t="s">
        <v>23</v>
      </c>
      <c r="L3676" s="8" t="s">
        <v>12015</v>
      </c>
      <c r="M3676" s="8" t="s">
        <v>12016</v>
      </c>
      <c r="N3676" s="8" t="s">
        <v>16848</v>
      </c>
      <c r="O3676" s="8">
        <f>11+26/60+8.1/3600</f>
        <v>11.435583333333334</v>
      </c>
      <c r="P3676" s="8" t="s">
        <v>16849</v>
      </c>
      <c r="Q3676" s="8">
        <f>+(43+35/60+11/3600)</f>
        <v>43.586388888888891</v>
      </c>
      <c r="R3676" s="8">
        <v>10.199999999999999</v>
      </c>
      <c r="S3676" s="8">
        <v>11</v>
      </c>
      <c r="T3676" s="8">
        <v>0.8</v>
      </c>
      <c r="U3676" s="8">
        <v>13.2</v>
      </c>
      <c r="V3676" s="8">
        <v>5.9</v>
      </c>
      <c r="W3676" s="8">
        <v>3.1</v>
      </c>
      <c r="X3676" s="8">
        <v>178</v>
      </c>
      <c r="Y3676" s="8" t="s">
        <v>16850</v>
      </c>
      <c r="Z3676" s="8" t="s">
        <v>16851</v>
      </c>
    </row>
    <row r="3677" spans="1:26" x14ac:dyDescent="0.2">
      <c r="A3677" s="8">
        <v>3676</v>
      </c>
      <c r="B3677" s="8" t="s">
        <v>16852</v>
      </c>
      <c r="C3677" s="8" t="s">
        <v>16852</v>
      </c>
      <c r="F3677" s="47"/>
      <c r="G3677" s="8">
        <v>19</v>
      </c>
      <c r="H3677" s="8" t="s">
        <v>21</v>
      </c>
      <c r="I3677" s="8" t="s">
        <v>22</v>
      </c>
      <c r="J3677" s="8" t="s">
        <v>22</v>
      </c>
      <c r="K3677" s="8" t="s">
        <v>58</v>
      </c>
      <c r="L3677" s="8" t="s">
        <v>15699</v>
      </c>
      <c r="M3677" s="8" t="s">
        <v>15700</v>
      </c>
      <c r="N3677" s="8" t="s">
        <v>16853</v>
      </c>
      <c r="O3677" s="8">
        <f>11+25/60+37.4/3600</f>
        <v>11.427055555555555</v>
      </c>
      <c r="P3677" s="8" t="s">
        <v>16854</v>
      </c>
      <c r="Q3677" s="8">
        <f>-(11+8/60+21/3600)</f>
        <v>-11.139166666666666</v>
      </c>
      <c r="R3677" s="8">
        <v>13.6</v>
      </c>
      <c r="S3677" s="8">
        <v>14.6</v>
      </c>
      <c r="T3677" s="8">
        <v>1</v>
      </c>
      <c r="U3677" s="8">
        <v>13.2</v>
      </c>
      <c r="V3677" s="8">
        <v>0.8</v>
      </c>
      <c r="W3677" s="8">
        <v>0.7</v>
      </c>
      <c r="X3677" s="8">
        <v>140</v>
      </c>
      <c r="Y3677" s="8" t="s">
        <v>16855</v>
      </c>
      <c r="Z3677" s="8" t="s">
        <v>16856</v>
      </c>
    </row>
    <row r="3678" spans="1:26" x14ac:dyDescent="0.2">
      <c r="A3678" s="8">
        <v>3677</v>
      </c>
      <c r="B3678" s="8" t="s">
        <v>16857</v>
      </c>
      <c r="C3678" s="8" t="s">
        <v>16857</v>
      </c>
      <c r="F3678" s="47"/>
      <c r="G3678" s="8">
        <v>16</v>
      </c>
      <c r="H3678" s="8" t="s">
        <v>21</v>
      </c>
      <c r="I3678" s="8" t="s">
        <v>22</v>
      </c>
      <c r="J3678" s="8" t="s">
        <v>22</v>
      </c>
      <c r="K3678" s="8" t="s">
        <v>632</v>
      </c>
      <c r="L3678" s="8" t="s">
        <v>12015</v>
      </c>
      <c r="M3678" s="8" t="s">
        <v>12016</v>
      </c>
      <c r="N3678" s="8" t="s">
        <v>16858</v>
      </c>
      <c r="O3678" s="8">
        <f>11+26/60+17.6/3600</f>
        <v>11.438222222222223</v>
      </c>
      <c r="P3678" s="8" t="s">
        <v>16859</v>
      </c>
      <c r="Q3678" s="8">
        <f>+(46+58/60+28/3600)</f>
        <v>46.974444444444444</v>
      </c>
      <c r="R3678" s="8">
        <v>12.6</v>
      </c>
      <c r="S3678" s="8">
        <v>13.5</v>
      </c>
      <c r="T3678" s="8">
        <v>0.9</v>
      </c>
      <c r="U3678" s="8">
        <v>13.6</v>
      </c>
      <c r="V3678" s="8">
        <v>1.9</v>
      </c>
      <c r="W3678" s="8">
        <v>1.5</v>
      </c>
      <c r="X3678" s="8">
        <v>130</v>
      </c>
      <c r="Y3678" s="8" t="s">
        <v>16860</v>
      </c>
      <c r="Z3678" s="8" t="s">
        <v>16861</v>
      </c>
    </row>
    <row r="3679" spans="1:26" x14ac:dyDescent="0.2">
      <c r="A3679" s="8">
        <v>3678</v>
      </c>
      <c r="B3679" s="8" t="s">
        <v>16862</v>
      </c>
      <c r="C3679" s="8" t="s">
        <v>16862</v>
      </c>
      <c r="F3679" s="47"/>
      <c r="G3679" s="8">
        <v>16</v>
      </c>
      <c r="H3679" s="8" t="s">
        <v>21</v>
      </c>
      <c r="I3679" s="8" t="s">
        <v>22</v>
      </c>
      <c r="J3679" s="8" t="s">
        <v>22</v>
      </c>
      <c r="K3679" s="8" t="s">
        <v>396</v>
      </c>
      <c r="L3679" s="8" t="s">
        <v>13194</v>
      </c>
      <c r="M3679" s="8" t="s">
        <v>13195</v>
      </c>
      <c r="N3679" s="8" t="s">
        <v>16863</v>
      </c>
      <c r="O3679" s="8">
        <f>11+26/60+15.7/3600</f>
        <v>11.437694444444444</v>
      </c>
      <c r="P3679" s="8" t="s">
        <v>16864</v>
      </c>
      <c r="Q3679" s="8">
        <f>+(27+52/60+1/3600)</f>
        <v>27.866944444444446</v>
      </c>
      <c r="R3679" s="8">
        <v>13.6</v>
      </c>
      <c r="S3679" s="8">
        <v>14.4</v>
      </c>
      <c r="T3679" s="8">
        <v>0.8</v>
      </c>
      <c r="U3679" s="8">
        <v>13</v>
      </c>
      <c r="V3679" s="8">
        <v>0.8</v>
      </c>
      <c r="W3679" s="8">
        <v>0.8</v>
      </c>
      <c r="Y3679" s="8" t="s">
        <v>16865</v>
      </c>
      <c r="Z3679" s="8" t="s">
        <v>16866</v>
      </c>
    </row>
    <row r="3680" spans="1:26" x14ac:dyDescent="0.2">
      <c r="A3680" s="8">
        <v>3679</v>
      </c>
      <c r="B3680" s="8" t="s">
        <v>16867</v>
      </c>
      <c r="C3680" s="8" t="s">
        <v>16867</v>
      </c>
      <c r="F3680" s="47" t="s">
        <v>56967</v>
      </c>
      <c r="G3680" s="8">
        <v>15</v>
      </c>
      <c r="H3680" s="8" t="s">
        <v>21</v>
      </c>
      <c r="I3680" s="8" t="s">
        <v>22</v>
      </c>
      <c r="J3680" s="8" t="s">
        <v>22</v>
      </c>
      <c r="K3680" s="8" t="s">
        <v>1136</v>
      </c>
      <c r="L3680" s="8" t="s">
        <v>13194</v>
      </c>
      <c r="M3680" s="8" t="s">
        <v>13195</v>
      </c>
      <c r="N3680" s="8" t="s">
        <v>16868</v>
      </c>
      <c r="O3680" s="8">
        <f>11+21/60+47.9/3600</f>
        <v>11.363305555555556</v>
      </c>
      <c r="P3680" s="8" t="s">
        <v>16869</v>
      </c>
      <c r="Q3680" s="8">
        <f>-(5+45/60+28/3600)</f>
        <v>-5.7577777777777781</v>
      </c>
      <c r="R3680" s="8">
        <v>13.6</v>
      </c>
      <c r="S3680" s="8">
        <v>14.6</v>
      </c>
      <c r="T3680" s="8">
        <v>1</v>
      </c>
      <c r="U3680" s="8">
        <v>13.4</v>
      </c>
      <c r="V3680" s="8">
        <v>1</v>
      </c>
      <c r="W3680" s="8">
        <v>0.8</v>
      </c>
      <c r="X3680" s="8">
        <v>80</v>
      </c>
      <c r="Y3680" s="8" t="s">
        <v>16870</v>
      </c>
      <c r="Z3680" s="8" t="s">
        <v>16871</v>
      </c>
    </row>
    <row r="3681" spans="1:26" x14ac:dyDescent="0.2">
      <c r="A3681" s="8">
        <v>3680</v>
      </c>
      <c r="B3681" s="8" t="s">
        <v>16872</v>
      </c>
      <c r="C3681" s="8" t="s">
        <v>16872</v>
      </c>
      <c r="F3681" s="47"/>
      <c r="G3681" s="8">
        <v>13</v>
      </c>
      <c r="H3681" s="8" t="s">
        <v>21</v>
      </c>
      <c r="I3681" s="8" t="s">
        <v>557</v>
      </c>
      <c r="J3681" s="8" t="s">
        <v>557</v>
      </c>
      <c r="K3681" s="8" t="s">
        <v>7705</v>
      </c>
      <c r="L3681" s="8" t="s">
        <v>16195</v>
      </c>
      <c r="M3681" s="8" t="s">
        <v>16196</v>
      </c>
      <c r="N3681" s="8" t="s">
        <v>16873</v>
      </c>
      <c r="O3681" s="8">
        <f>11+25/60+38/3600</f>
        <v>11.427222222222222</v>
      </c>
      <c r="P3681" s="8" t="s">
        <v>16874</v>
      </c>
      <c r="Q3681" s="8">
        <f>-(43+15/60+0/3600)</f>
        <v>-43.25</v>
      </c>
      <c r="R3681" s="8">
        <v>7.6</v>
      </c>
      <c r="S3681" s="8">
        <v>99</v>
      </c>
      <c r="T3681" s="8">
        <v>99</v>
      </c>
      <c r="U3681" s="8">
        <v>99</v>
      </c>
      <c r="V3681" s="8">
        <v>7</v>
      </c>
      <c r="Y3681" s="8" t="s">
        <v>16875</v>
      </c>
      <c r="Z3681" s="8" t="s">
        <v>16876</v>
      </c>
    </row>
    <row r="3682" spans="1:26" x14ac:dyDescent="0.2">
      <c r="A3682" s="8">
        <v>3681</v>
      </c>
      <c r="B3682" s="8" t="s">
        <v>16877</v>
      </c>
      <c r="C3682" s="8" t="s">
        <v>16877</v>
      </c>
      <c r="F3682" s="47" t="s">
        <v>56968</v>
      </c>
      <c r="G3682" s="8">
        <v>6.5</v>
      </c>
      <c r="H3682" s="8" t="s">
        <v>21</v>
      </c>
      <c r="I3682" s="8" t="s">
        <v>22</v>
      </c>
      <c r="J3682" s="8" t="s">
        <v>22</v>
      </c>
      <c r="K3682" s="8" t="s">
        <v>85</v>
      </c>
      <c r="L3682" s="8" t="s">
        <v>13194</v>
      </c>
      <c r="M3682" s="8" t="s">
        <v>13195</v>
      </c>
      <c r="N3682" s="8" t="s">
        <v>16878</v>
      </c>
      <c r="O3682" s="8">
        <f>11+26/60+29.7/3600</f>
        <v>11.441583333333334</v>
      </c>
      <c r="P3682" s="8" t="s">
        <v>16879</v>
      </c>
      <c r="Q3682" s="8">
        <f>+(16+51/60+50/3600)</f>
        <v>16.863888888888891</v>
      </c>
      <c r="R3682" s="8">
        <v>11.2</v>
      </c>
      <c r="S3682" s="8">
        <v>11.9</v>
      </c>
      <c r="T3682" s="8">
        <v>0.7</v>
      </c>
      <c r="U3682" s="8">
        <v>12.8</v>
      </c>
      <c r="V3682" s="8">
        <v>3</v>
      </c>
      <c r="W3682" s="8">
        <v>2.2000000000000002</v>
      </c>
      <c r="X3682" s="8">
        <v>170</v>
      </c>
      <c r="Y3682" s="8" t="s">
        <v>16880</v>
      </c>
      <c r="Z3682" s="8" t="s">
        <v>16881</v>
      </c>
    </row>
    <row r="3683" spans="1:26" x14ac:dyDescent="0.2">
      <c r="A3683" s="8">
        <v>3682</v>
      </c>
      <c r="B3683" s="8" t="s">
        <v>16882</v>
      </c>
      <c r="C3683" s="8" t="s">
        <v>16882</v>
      </c>
      <c r="F3683" s="47" t="s">
        <v>56969</v>
      </c>
      <c r="G3683" s="8">
        <v>6.5</v>
      </c>
      <c r="H3683" s="8" t="s">
        <v>21</v>
      </c>
      <c r="I3683" s="8" t="s">
        <v>22</v>
      </c>
      <c r="J3683" s="8" t="s">
        <v>22</v>
      </c>
      <c r="K3683" s="8" t="s">
        <v>632</v>
      </c>
      <c r="L3683" s="8" t="s">
        <v>13395</v>
      </c>
      <c r="M3683" s="8" t="s">
        <v>13396</v>
      </c>
      <c r="N3683" s="8" t="s">
        <v>16883</v>
      </c>
      <c r="O3683" s="8">
        <f>11+27/60+41.3/3600</f>
        <v>11.461472222222222</v>
      </c>
      <c r="P3683" s="8" t="s">
        <v>16884</v>
      </c>
      <c r="Q3683" s="8">
        <f>+(66+35/60+27/3600)</f>
        <v>66.590833333333322</v>
      </c>
      <c r="R3683" s="8">
        <v>12.5</v>
      </c>
      <c r="S3683" s="8">
        <v>13.3</v>
      </c>
      <c r="T3683" s="8">
        <v>0.8</v>
      </c>
      <c r="U3683" s="8">
        <v>13</v>
      </c>
      <c r="V3683" s="8">
        <v>1.7</v>
      </c>
      <c r="W3683" s="8">
        <v>1.1000000000000001</v>
      </c>
      <c r="X3683" s="8">
        <v>95</v>
      </c>
      <c r="Y3683" s="8" t="s">
        <v>16885</v>
      </c>
      <c r="Z3683" s="8" t="s">
        <v>16886</v>
      </c>
    </row>
    <row r="3684" spans="1:26" x14ac:dyDescent="0.2">
      <c r="A3684" s="8">
        <v>3683</v>
      </c>
      <c r="B3684" s="8" t="s">
        <v>16887</v>
      </c>
      <c r="C3684" s="8" t="s">
        <v>16887</v>
      </c>
      <c r="F3684" s="47" t="s">
        <v>56970</v>
      </c>
      <c r="G3684" s="8">
        <v>6.5</v>
      </c>
      <c r="H3684" s="8" t="s">
        <v>21</v>
      </c>
      <c r="I3684" s="8" t="s">
        <v>22</v>
      </c>
      <c r="J3684" s="8" t="s">
        <v>22</v>
      </c>
      <c r="K3684" s="8" t="s">
        <v>64</v>
      </c>
      <c r="L3684" s="8" t="s">
        <v>12015</v>
      </c>
      <c r="M3684" s="8" t="s">
        <v>12016</v>
      </c>
      <c r="N3684" s="8" t="s">
        <v>16888</v>
      </c>
      <c r="O3684" s="8">
        <f>11+27/60+31.7/3600</f>
        <v>11.458805555555555</v>
      </c>
      <c r="P3684" s="8" t="s">
        <v>16889</v>
      </c>
      <c r="Q3684" s="8">
        <f>+(56+52/60+40/3600)</f>
        <v>56.87777777777778</v>
      </c>
      <c r="R3684" s="8">
        <v>12.5</v>
      </c>
      <c r="S3684" s="8">
        <v>13.2</v>
      </c>
      <c r="T3684" s="8">
        <v>0.7</v>
      </c>
      <c r="U3684" s="8">
        <v>12.6</v>
      </c>
      <c r="V3684" s="8">
        <v>1.8</v>
      </c>
      <c r="W3684" s="8">
        <v>0.7</v>
      </c>
      <c r="X3684" s="8">
        <v>128</v>
      </c>
      <c r="Y3684" s="8" t="s">
        <v>16890</v>
      </c>
      <c r="Z3684" s="8" t="s">
        <v>16891</v>
      </c>
    </row>
    <row r="3685" spans="1:26" x14ac:dyDescent="0.2">
      <c r="A3685" s="8">
        <v>3684</v>
      </c>
      <c r="B3685" s="8" t="s">
        <v>16892</v>
      </c>
      <c r="C3685" s="8" t="s">
        <v>16892</v>
      </c>
      <c r="F3685" s="47" t="s">
        <v>56971</v>
      </c>
      <c r="G3685" s="8">
        <v>13</v>
      </c>
      <c r="H3685" s="8" t="s">
        <v>21</v>
      </c>
      <c r="I3685" s="8" t="s">
        <v>22</v>
      </c>
      <c r="J3685" s="8" t="s">
        <v>22</v>
      </c>
      <c r="K3685" s="8" t="s">
        <v>396</v>
      </c>
      <c r="L3685" s="8" t="s">
        <v>13194</v>
      </c>
      <c r="M3685" s="8" t="s">
        <v>13195</v>
      </c>
      <c r="N3685" s="8" t="s">
        <v>16893</v>
      </c>
      <c r="O3685" s="8">
        <f>11+27/60+11.1/3600</f>
        <v>11.453083333333332</v>
      </c>
      <c r="P3685" s="8" t="s">
        <v>16894</v>
      </c>
      <c r="Q3685" s="8">
        <f>+(17+1/60+51/3600)</f>
        <v>17.030833333333334</v>
      </c>
      <c r="R3685" s="8">
        <v>11.4</v>
      </c>
      <c r="S3685" s="8">
        <v>12</v>
      </c>
      <c r="T3685" s="8">
        <v>0.6</v>
      </c>
      <c r="U3685" s="8">
        <v>13.3</v>
      </c>
      <c r="V3685" s="8">
        <v>3.1</v>
      </c>
      <c r="W3685" s="8">
        <v>2.1</v>
      </c>
      <c r="X3685" s="8">
        <v>130</v>
      </c>
      <c r="Y3685" s="8" t="s">
        <v>16895</v>
      </c>
      <c r="Z3685" s="8" t="s">
        <v>16896</v>
      </c>
    </row>
    <row r="3686" spans="1:26" x14ac:dyDescent="0.2">
      <c r="A3686" s="8">
        <v>3685</v>
      </c>
      <c r="B3686" s="8" t="s">
        <v>16897</v>
      </c>
      <c r="C3686" s="8" t="s">
        <v>16897</v>
      </c>
      <c r="F3686" s="47"/>
      <c r="G3686" s="8">
        <v>19</v>
      </c>
      <c r="H3686" s="8" t="s">
        <v>21</v>
      </c>
      <c r="I3686" s="8" t="s">
        <v>22</v>
      </c>
      <c r="J3686" s="8" t="s">
        <v>22</v>
      </c>
      <c r="K3686" s="8" t="s">
        <v>58</v>
      </c>
      <c r="L3686" s="8" t="s">
        <v>13194</v>
      </c>
      <c r="M3686" s="8" t="s">
        <v>13195</v>
      </c>
      <c r="N3686" s="8" t="s">
        <v>16898</v>
      </c>
      <c r="O3686" s="8">
        <f>11+28/60+16.2/3600</f>
        <v>11.471166666666667</v>
      </c>
      <c r="P3686" s="8" t="s">
        <v>16899</v>
      </c>
      <c r="Q3686" s="8">
        <f>+(4+19/60+39/3600)</f>
        <v>4.3274999999999997</v>
      </c>
      <c r="R3686" s="8">
        <v>14.1</v>
      </c>
      <c r="S3686" s="8">
        <v>15.1</v>
      </c>
      <c r="T3686" s="8">
        <v>1</v>
      </c>
      <c r="U3686" s="8">
        <v>12.8</v>
      </c>
      <c r="V3686" s="8">
        <v>0.7</v>
      </c>
      <c r="W3686" s="8">
        <v>0.4</v>
      </c>
      <c r="X3686" s="8">
        <v>140</v>
      </c>
      <c r="Y3686" s="8" t="s">
        <v>266</v>
      </c>
      <c r="Z3686" s="8" t="s">
        <v>267</v>
      </c>
    </row>
    <row r="3687" spans="1:26" x14ac:dyDescent="0.2">
      <c r="A3687" s="8">
        <v>3686</v>
      </c>
      <c r="B3687" s="8" t="s">
        <v>16900</v>
      </c>
      <c r="C3687" s="8" t="s">
        <v>16900</v>
      </c>
      <c r="F3687" s="47" t="s">
        <v>56972</v>
      </c>
      <c r="G3687" s="8">
        <v>6</v>
      </c>
      <c r="H3687" s="8" t="s">
        <v>21</v>
      </c>
      <c r="I3687" s="8" t="s">
        <v>22</v>
      </c>
      <c r="J3687" s="8" t="s">
        <v>22</v>
      </c>
      <c r="K3687" s="8" t="s">
        <v>85</v>
      </c>
      <c r="L3687" s="8" t="s">
        <v>13194</v>
      </c>
      <c r="M3687" s="8" t="s">
        <v>13195</v>
      </c>
      <c r="N3687" s="8" t="s">
        <v>16901</v>
      </c>
      <c r="O3687" s="8">
        <f>11+27/60+44.1/3600</f>
        <v>11.462249999999999</v>
      </c>
      <c r="P3687" s="8" t="s">
        <v>16902</v>
      </c>
      <c r="Q3687" s="8">
        <f>+(17+13/60+24/3600)</f>
        <v>17.223333333333333</v>
      </c>
      <c r="R3687" s="8">
        <v>11.3</v>
      </c>
      <c r="S3687" s="8">
        <v>11.9</v>
      </c>
      <c r="T3687" s="8">
        <v>0.6</v>
      </c>
      <c r="U3687" s="8">
        <v>13.4</v>
      </c>
      <c r="V3687" s="8">
        <v>3.1</v>
      </c>
      <c r="W3687" s="8">
        <v>2.4</v>
      </c>
      <c r="X3687" s="8">
        <v>15</v>
      </c>
      <c r="Y3687" s="8" t="s">
        <v>16903</v>
      </c>
      <c r="Z3687" s="8" t="s">
        <v>16904</v>
      </c>
    </row>
    <row r="3688" spans="1:26" x14ac:dyDescent="0.2">
      <c r="A3688" s="8">
        <v>3687</v>
      </c>
      <c r="B3688" s="8" t="s">
        <v>16905</v>
      </c>
      <c r="C3688" s="8" t="s">
        <v>16905</v>
      </c>
      <c r="F3688" s="47" t="s">
        <v>56973</v>
      </c>
      <c r="G3688" s="8">
        <v>13</v>
      </c>
      <c r="H3688" s="8" t="s">
        <v>21</v>
      </c>
      <c r="I3688" s="8" t="s">
        <v>22</v>
      </c>
      <c r="J3688" s="8" t="s">
        <v>22</v>
      </c>
      <c r="K3688" s="8" t="s">
        <v>85</v>
      </c>
      <c r="L3688" s="8" t="s">
        <v>12015</v>
      </c>
      <c r="M3688" s="8" t="s">
        <v>12016</v>
      </c>
      <c r="N3688" s="8" t="s">
        <v>16906</v>
      </c>
      <c r="O3688" s="8">
        <f>11+28/60+0.5/3600</f>
        <v>11.466805555555556</v>
      </c>
      <c r="P3688" s="8" t="s">
        <v>16907</v>
      </c>
      <c r="Q3688" s="8">
        <f>+(29+30/60+40/3600)</f>
        <v>29.511111111111113</v>
      </c>
      <c r="R3688" s="8">
        <v>12</v>
      </c>
      <c r="S3688" s="8">
        <v>12.8</v>
      </c>
      <c r="T3688" s="8">
        <v>0.8</v>
      </c>
      <c r="U3688" s="8">
        <v>13.3</v>
      </c>
      <c r="V3688" s="8">
        <v>1.9</v>
      </c>
      <c r="W3688" s="8">
        <v>1.9</v>
      </c>
      <c r="Y3688" s="8" t="s">
        <v>16908</v>
      </c>
      <c r="Z3688" s="8" t="s">
        <v>16909</v>
      </c>
    </row>
    <row r="3689" spans="1:26" x14ac:dyDescent="0.2">
      <c r="A3689" s="8">
        <v>3688</v>
      </c>
      <c r="B3689" s="8" t="s">
        <v>16910</v>
      </c>
      <c r="C3689" s="8" t="s">
        <v>16910</v>
      </c>
      <c r="F3689" s="47"/>
      <c r="G3689" s="8">
        <v>19</v>
      </c>
      <c r="H3689" s="8" t="s">
        <v>21</v>
      </c>
      <c r="I3689" s="8" t="s">
        <v>22</v>
      </c>
      <c r="J3689" s="8" t="s">
        <v>22</v>
      </c>
      <c r="K3689" s="8" t="s">
        <v>23</v>
      </c>
      <c r="L3689" s="8" t="s">
        <v>15699</v>
      </c>
      <c r="M3689" s="8" t="s">
        <v>15700</v>
      </c>
      <c r="N3689" s="8" t="s">
        <v>16911</v>
      </c>
      <c r="O3689" s="8">
        <f>11+27/60+44.4/3600</f>
        <v>11.462333333333333</v>
      </c>
      <c r="P3689" s="8" t="s">
        <v>16912</v>
      </c>
      <c r="Q3689" s="8">
        <f>-(9+9/60+54/3600)</f>
        <v>-9.1650000000000009</v>
      </c>
      <c r="R3689" s="8">
        <v>14.3</v>
      </c>
      <c r="S3689" s="8">
        <v>15.1</v>
      </c>
      <c r="T3689" s="8">
        <v>0.8</v>
      </c>
      <c r="U3689" s="8">
        <v>14.2</v>
      </c>
      <c r="V3689" s="8">
        <v>1.2</v>
      </c>
      <c r="W3689" s="8">
        <v>0.9</v>
      </c>
      <c r="X3689" s="8">
        <v>20</v>
      </c>
      <c r="Y3689" s="8" t="s">
        <v>16913</v>
      </c>
      <c r="Z3689" s="8" t="s">
        <v>16914</v>
      </c>
    </row>
    <row r="3690" spans="1:26" x14ac:dyDescent="0.2">
      <c r="A3690" s="8">
        <v>3689</v>
      </c>
      <c r="B3690" s="8" t="s">
        <v>16915</v>
      </c>
      <c r="C3690" s="8" t="s">
        <v>16915</v>
      </c>
      <c r="F3690" s="47" t="s">
        <v>56974</v>
      </c>
      <c r="G3690" s="8">
        <v>6.5</v>
      </c>
      <c r="H3690" s="8" t="s">
        <v>21</v>
      </c>
      <c r="I3690" s="8" t="s">
        <v>22</v>
      </c>
      <c r="J3690" s="8" t="s">
        <v>22</v>
      </c>
      <c r="K3690" s="8" t="s">
        <v>64</v>
      </c>
      <c r="L3690" s="8" t="s">
        <v>13194</v>
      </c>
      <c r="M3690" s="8" t="s">
        <v>13195</v>
      </c>
      <c r="N3690" s="8" t="s">
        <v>16916</v>
      </c>
      <c r="O3690" s="8">
        <f>11+28/60+10.8/3600</f>
        <v>11.469666666666667</v>
      </c>
      <c r="P3690" s="8" t="s">
        <v>16917</v>
      </c>
      <c r="Q3690" s="8">
        <f>+(25+39/60+41/3600)</f>
        <v>25.661388888888887</v>
      </c>
      <c r="R3690" s="8">
        <v>12.3</v>
      </c>
      <c r="S3690" s="8">
        <v>13</v>
      </c>
      <c r="T3690" s="8">
        <v>0.7</v>
      </c>
      <c r="U3690" s="8">
        <v>12.8</v>
      </c>
      <c r="V3690" s="8">
        <v>1.7</v>
      </c>
      <c r="W3690" s="8">
        <v>1.1000000000000001</v>
      </c>
      <c r="X3690" s="8">
        <v>97</v>
      </c>
      <c r="Y3690" s="8" t="s">
        <v>10633</v>
      </c>
      <c r="Z3690" s="8" t="s">
        <v>10634</v>
      </c>
    </row>
    <row r="3691" spans="1:26" x14ac:dyDescent="0.2">
      <c r="A3691" s="8">
        <v>3690</v>
      </c>
      <c r="B3691" s="8" t="s">
        <v>16918</v>
      </c>
      <c r="C3691" s="8" t="s">
        <v>16918</v>
      </c>
      <c r="D3691" s="8" t="s">
        <v>1619</v>
      </c>
      <c r="F3691" s="47" t="s">
        <v>56975</v>
      </c>
      <c r="G3691" s="8">
        <v>12</v>
      </c>
      <c r="H3691" s="8" t="s">
        <v>21</v>
      </c>
      <c r="I3691" s="8" t="s">
        <v>22</v>
      </c>
      <c r="J3691" s="8" t="s">
        <v>22</v>
      </c>
      <c r="K3691" s="8" t="s">
        <v>79</v>
      </c>
      <c r="L3691" s="8" t="s">
        <v>12015</v>
      </c>
      <c r="M3691" s="8" t="s">
        <v>12016</v>
      </c>
      <c r="N3691" s="8" t="s">
        <v>16919</v>
      </c>
      <c r="O3691" s="8">
        <f>11+28/60+32.6/3600</f>
        <v>11.475722222222222</v>
      </c>
      <c r="P3691" s="8" t="s">
        <v>16920</v>
      </c>
      <c r="Q3691" s="8">
        <f>+(58+33/60+52/3600)</f>
        <v>58.56444444444444</v>
      </c>
      <c r="R3691" s="8">
        <v>10.9</v>
      </c>
      <c r="S3691" s="8">
        <v>11.7</v>
      </c>
      <c r="T3691" s="8">
        <v>0.8</v>
      </c>
      <c r="U3691" s="8">
        <v>11.9</v>
      </c>
      <c r="V3691" s="8">
        <v>2</v>
      </c>
      <c r="W3691" s="8">
        <v>1.4</v>
      </c>
      <c r="X3691" s="8">
        <v>130</v>
      </c>
      <c r="Y3691" s="8" t="s">
        <v>16921</v>
      </c>
      <c r="Z3691" s="8" t="s">
        <v>16922</v>
      </c>
    </row>
    <row r="3692" spans="1:26" x14ac:dyDescent="0.2">
      <c r="A3692" s="8">
        <v>3691</v>
      </c>
      <c r="B3692" s="8" t="s">
        <v>16923</v>
      </c>
      <c r="C3692" s="8" t="s">
        <v>16923</v>
      </c>
      <c r="F3692" s="47" t="s">
        <v>56976</v>
      </c>
      <c r="G3692" s="8">
        <v>13</v>
      </c>
      <c r="H3692" s="8" t="s">
        <v>21</v>
      </c>
      <c r="I3692" s="8" t="s">
        <v>22</v>
      </c>
      <c r="J3692" s="8" t="s">
        <v>22</v>
      </c>
      <c r="K3692" s="8" t="s">
        <v>12818</v>
      </c>
      <c r="L3692" s="8" t="s">
        <v>13194</v>
      </c>
      <c r="M3692" s="8" t="s">
        <v>13195</v>
      </c>
      <c r="N3692" s="8" t="s">
        <v>16924</v>
      </c>
      <c r="O3692" s="8">
        <f>11+28/60+9.4/3600</f>
        <v>11.469277777777778</v>
      </c>
      <c r="P3692" s="8" t="s">
        <v>16925</v>
      </c>
      <c r="Q3692" s="8">
        <f>+(16+55/60+12/3600)</f>
        <v>16.920000000000002</v>
      </c>
      <c r="R3692" s="8">
        <v>12.4</v>
      </c>
      <c r="S3692" s="8">
        <v>13.3</v>
      </c>
      <c r="T3692" s="8">
        <v>0.9</v>
      </c>
      <c r="U3692" s="8">
        <v>12.6</v>
      </c>
      <c r="V3692" s="8">
        <v>1.4</v>
      </c>
      <c r="W3692" s="8">
        <v>1</v>
      </c>
      <c r="X3692" s="8">
        <v>15</v>
      </c>
      <c r="Y3692" s="8" t="s">
        <v>7888</v>
      </c>
      <c r="Z3692" s="8" t="s">
        <v>7889</v>
      </c>
    </row>
    <row r="3693" spans="1:26" x14ac:dyDescent="0.2">
      <c r="A3693" s="8">
        <v>3692</v>
      </c>
      <c r="B3693" s="8" t="s">
        <v>16926</v>
      </c>
      <c r="C3693" s="8" t="s">
        <v>16926</v>
      </c>
      <c r="F3693" s="47" t="s">
        <v>56977</v>
      </c>
      <c r="G3693" s="8">
        <v>15</v>
      </c>
      <c r="H3693" s="8" t="s">
        <v>21</v>
      </c>
      <c r="I3693" s="8" t="s">
        <v>22</v>
      </c>
      <c r="J3693" s="8" t="s">
        <v>22</v>
      </c>
      <c r="K3693" s="8" t="s">
        <v>23</v>
      </c>
      <c r="L3693" s="8" t="s">
        <v>13194</v>
      </c>
      <c r="M3693" s="8" t="s">
        <v>13195</v>
      </c>
      <c r="N3693" s="8" t="s">
        <v>16927</v>
      </c>
      <c r="O3693" s="8">
        <f>11+28/60+23.8/3600</f>
        <v>11.473277777777778</v>
      </c>
      <c r="P3693" s="8" t="s">
        <v>16928</v>
      </c>
      <c r="Q3693" s="8">
        <f>+(9+24/60+28/3600)</f>
        <v>9.4077777777777776</v>
      </c>
      <c r="R3693" s="8">
        <v>12.1</v>
      </c>
      <c r="S3693" s="8">
        <v>12.9</v>
      </c>
      <c r="T3693" s="8">
        <v>0.8</v>
      </c>
      <c r="U3693" s="8">
        <v>12.8</v>
      </c>
      <c r="V3693" s="8">
        <v>3.1</v>
      </c>
      <c r="W3693" s="8">
        <v>0.7</v>
      </c>
      <c r="X3693" s="8">
        <v>95</v>
      </c>
      <c r="Y3693" s="8" t="s">
        <v>16929</v>
      </c>
      <c r="Z3693" s="8" t="s">
        <v>16930</v>
      </c>
    </row>
    <row r="3694" spans="1:26" x14ac:dyDescent="0.2">
      <c r="A3694" s="8">
        <v>3693</v>
      </c>
      <c r="B3694" s="8" t="s">
        <v>16931</v>
      </c>
      <c r="C3694" s="8" t="s">
        <v>16931</v>
      </c>
      <c r="F3694" s="47" t="s">
        <v>56978</v>
      </c>
      <c r="G3694" s="8">
        <v>6.5</v>
      </c>
      <c r="H3694" s="8" t="s">
        <v>21</v>
      </c>
      <c r="I3694" s="8" t="s">
        <v>22</v>
      </c>
      <c r="J3694" s="8" t="s">
        <v>22</v>
      </c>
      <c r="K3694" s="8" t="s">
        <v>23</v>
      </c>
      <c r="L3694" s="8" t="s">
        <v>15699</v>
      </c>
      <c r="M3694" s="8" t="s">
        <v>15700</v>
      </c>
      <c r="N3694" s="8" t="s">
        <v>16932</v>
      </c>
      <c r="O3694" s="8">
        <f>11+28/60+11.5/3600</f>
        <v>11.469861111111111</v>
      </c>
      <c r="P3694" s="8" t="s">
        <v>16933</v>
      </c>
      <c r="Q3694" s="8">
        <f>-(13+11/60+39/3600)</f>
        <v>-13.194166666666668</v>
      </c>
      <c r="R3694" s="8">
        <v>12.7</v>
      </c>
      <c r="S3694" s="8">
        <v>13.5</v>
      </c>
      <c r="T3694" s="8">
        <v>0.8</v>
      </c>
      <c r="U3694" s="8">
        <v>13.5</v>
      </c>
      <c r="V3694" s="8">
        <v>3.4</v>
      </c>
      <c r="W3694" s="8">
        <v>0.7</v>
      </c>
      <c r="X3694" s="8">
        <v>84</v>
      </c>
      <c r="Y3694" s="8" t="s">
        <v>16934</v>
      </c>
      <c r="Z3694" s="8" t="s">
        <v>16935</v>
      </c>
    </row>
    <row r="3695" spans="1:26" x14ac:dyDescent="0.2">
      <c r="A3695" s="8">
        <v>3694</v>
      </c>
      <c r="B3695" s="8" t="s">
        <v>16936</v>
      </c>
      <c r="C3695" s="8" t="s">
        <v>16936</v>
      </c>
      <c r="F3695" s="47"/>
      <c r="G3695" s="8">
        <v>16</v>
      </c>
      <c r="H3695" s="8" t="s">
        <v>21</v>
      </c>
      <c r="I3695" s="8" t="s">
        <v>22</v>
      </c>
      <c r="J3695" s="8" t="s">
        <v>22</v>
      </c>
      <c r="K3695" s="8" t="s">
        <v>1136</v>
      </c>
      <c r="L3695" s="8" t="s">
        <v>12015</v>
      </c>
      <c r="M3695" s="8" t="s">
        <v>12016</v>
      </c>
      <c r="N3695" s="8" t="s">
        <v>16937</v>
      </c>
      <c r="O3695" s="8">
        <f>11+28/60+54/3600</f>
        <v>11.481666666666667</v>
      </c>
      <c r="P3695" s="8" t="s">
        <v>16938</v>
      </c>
      <c r="Q3695" s="8">
        <f>+(35+24/60+50/3600)</f>
        <v>35.413888888888884</v>
      </c>
      <c r="R3695" s="8">
        <v>12.7</v>
      </c>
      <c r="S3695" s="8">
        <v>13.7</v>
      </c>
      <c r="T3695" s="8">
        <v>1</v>
      </c>
      <c r="U3695" s="8">
        <v>12.5</v>
      </c>
      <c r="V3695" s="8">
        <v>1</v>
      </c>
      <c r="W3695" s="8">
        <v>0.8</v>
      </c>
      <c r="X3695" s="8">
        <v>20</v>
      </c>
      <c r="Y3695" s="8" t="s">
        <v>16939</v>
      </c>
      <c r="Z3695" s="8" t="s">
        <v>16940</v>
      </c>
    </row>
    <row r="3696" spans="1:26" x14ac:dyDescent="0.2">
      <c r="A3696" s="8">
        <v>3695</v>
      </c>
      <c r="B3696" s="8" t="s">
        <v>16941</v>
      </c>
      <c r="C3696" s="8" t="s">
        <v>16941</v>
      </c>
      <c r="F3696" s="47"/>
      <c r="G3696" s="8">
        <v>18</v>
      </c>
      <c r="H3696" s="8" t="s">
        <v>21</v>
      </c>
      <c r="I3696" s="8" t="s">
        <v>22</v>
      </c>
      <c r="J3696" s="8" t="s">
        <v>22</v>
      </c>
      <c r="K3696" s="8" t="s">
        <v>85</v>
      </c>
      <c r="L3696" s="8" t="s">
        <v>12015</v>
      </c>
      <c r="M3696" s="8" t="s">
        <v>12016</v>
      </c>
      <c r="N3696" s="8" t="s">
        <v>16942</v>
      </c>
      <c r="O3696" s="8">
        <f>11+29/60+17.3/3600</f>
        <v>11.488138888888889</v>
      </c>
      <c r="P3696" s="8" t="s">
        <v>16943</v>
      </c>
      <c r="Q3696" s="8">
        <f>+(35+34/60+32/3600)</f>
        <v>35.57555555555556</v>
      </c>
      <c r="R3696" s="8">
        <v>13.9</v>
      </c>
      <c r="S3696" s="8">
        <v>14.7</v>
      </c>
      <c r="T3696" s="8">
        <v>0.8</v>
      </c>
      <c r="U3696" s="8">
        <v>13.2</v>
      </c>
      <c r="V3696" s="8">
        <v>0.9</v>
      </c>
      <c r="W3696" s="8">
        <v>0.7</v>
      </c>
      <c r="X3696" s="8">
        <v>145</v>
      </c>
      <c r="Y3696" s="8" t="s">
        <v>16944</v>
      </c>
      <c r="Z3696" s="8" t="s">
        <v>16945</v>
      </c>
    </row>
    <row r="3697" spans="1:26" x14ac:dyDescent="0.2">
      <c r="A3697" s="8">
        <v>3696</v>
      </c>
      <c r="B3697" s="8" t="s">
        <v>16946</v>
      </c>
      <c r="C3697" s="8" t="s">
        <v>16946</v>
      </c>
      <c r="F3697" s="47"/>
      <c r="G3697" s="8">
        <v>19</v>
      </c>
      <c r="H3697" s="8" t="s">
        <v>21</v>
      </c>
      <c r="I3697" s="8" t="s">
        <v>22</v>
      </c>
      <c r="J3697" s="8" t="s">
        <v>22</v>
      </c>
      <c r="K3697" s="8" t="s">
        <v>160</v>
      </c>
      <c r="L3697" s="8" t="s">
        <v>15699</v>
      </c>
      <c r="M3697" s="8" t="s">
        <v>15700</v>
      </c>
      <c r="N3697" s="8" t="s">
        <v>16947</v>
      </c>
      <c r="O3697" s="8">
        <f>11+28/60+43.9/3600</f>
        <v>11.478861111111112</v>
      </c>
      <c r="P3697" s="8" t="s">
        <v>16948</v>
      </c>
      <c r="Q3697" s="8">
        <f>-(11+16/60+59/3600)</f>
        <v>-11.283055555555556</v>
      </c>
      <c r="R3697" s="8">
        <v>14.1</v>
      </c>
      <c r="S3697" s="8">
        <v>14.8</v>
      </c>
      <c r="T3697" s="8">
        <v>0.7</v>
      </c>
      <c r="U3697" s="8">
        <v>13.7</v>
      </c>
      <c r="V3697" s="8">
        <v>1</v>
      </c>
      <c r="W3697" s="8">
        <v>0.8</v>
      </c>
      <c r="X3697" s="8">
        <v>90</v>
      </c>
      <c r="Y3697" s="8" t="s">
        <v>1197</v>
      </c>
      <c r="Z3697" s="8" t="s">
        <v>1198</v>
      </c>
    </row>
    <row r="3698" spans="1:26" x14ac:dyDescent="0.2">
      <c r="A3698" s="8">
        <v>3697</v>
      </c>
      <c r="B3698" s="8" t="s">
        <v>16949</v>
      </c>
      <c r="C3698" s="8" t="s">
        <v>16949</v>
      </c>
      <c r="F3698" s="47"/>
      <c r="G3698" s="8">
        <v>16</v>
      </c>
      <c r="H3698" s="8" t="s">
        <v>21</v>
      </c>
      <c r="I3698" s="8" t="s">
        <v>22</v>
      </c>
      <c r="J3698" s="8" t="s">
        <v>22</v>
      </c>
      <c r="K3698" s="8" t="s">
        <v>218</v>
      </c>
      <c r="L3698" s="8" t="s">
        <v>13194</v>
      </c>
      <c r="M3698" s="8" t="s">
        <v>13195</v>
      </c>
      <c r="N3698" s="8" t="s">
        <v>16950</v>
      </c>
      <c r="O3698" s="8">
        <f>11+28/60+50.4/3600</f>
        <v>11.480666666666666</v>
      </c>
      <c r="P3698" s="8" t="s">
        <v>16951</v>
      </c>
      <c r="Q3698" s="8">
        <f>+(20+47/60+42/3600)</f>
        <v>20.795000000000002</v>
      </c>
      <c r="R3698" s="8">
        <v>13.1</v>
      </c>
      <c r="S3698" s="8">
        <v>13.8</v>
      </c>
      <c r="T3698" s="8">
        <v>0.7</v>
      </c>
      <c r="U3698" s="8">
        <v>13.5</v>
      </c>
      <c r="V3698" s="8">
        <v>2.4</v>
      </c>
      <c r="W3698" s="8">
        <v>0.7</v>
      </c>
      <c r="X3698" s="8">
        <v>93</v>
      </c>
      <c r="Y3698" s="8" t="s">
        <v>13296</v>
      </c>
      <c r="Z3698" s="8" t="s">
        <v>13297</v>
      </c>
    </row>
    <row r="3699" spans="1:26" x14ac:dyDescent="0.2">
      <c r="A3699" s="8">
        <v>3698</v>
      </c>
      <c r="B3699" s="8" t="s">
        <v>16952</v>
      </c>
      <c r="C3699" s="8" t="s">
        <v>16952</v>
      </c>
      <c r="F3699" s="47"/>
      <c r="G3699" s="8">
        <v>18</v>
      </c>
      <c r="H3699" s="8" t="s">
        <v>21</v>
      </c>
      <c r="I3699" s="8" t="s">
        <v>22</v>
      </c>
      <c r="J3699" s="8" t="s">
        <v>57</v>
      </c>
      <c r="K3699" s="8" t="s">
        <v>85</v>
      </c>
      <c r="L3699" s="8" t="s">
        <v>12015</v>
      </c>
      <c r="M3699" s="8" t="s">
        <v>12016</v>
      </c>
      <c r="N3699" s="8" t="s">
        <v>16942</v>
      </c>
      <c r="O3699" s="8">
        <f>11+29/60+17.3/3600</f>
        <v>11.488138888888889</v>
      </c>
      <c r="P3699" s="8" t="s">
        <v>16943</v>
      </c>
      <c r="Q3699" s="8">
        <f>+(35+34/60+32/3600)</f>
        <v>35.57555555555556</v>
      </c>
      <c r="R3699" s="8">
        <v>13.9</v>
      </c>
      <c r="S3699" s="8">
        <v>14.7</v>
      </c>
      <c r="T3699" s="8">
        <v>0.8</v>
      </c>
      <c r="U3699" s="8">
        <v>13.2</v>
      </c>
      <c r="V3699" s="8">
        <v>0.9</v>
      </c>
      <c r="W3699" s="8">
        <v>0.7</v>
      </c>
      <c r="X3699" s="8">
        <v>145</v>
      </c>
      <c r="Y3699" s="8" t="s">
        <v>16944</v>
      </c>
      <c r="Z3699" s="8" t="s">
        <v>267</v>
      </c>
    </row>
    <row r="3700" spans="1:26" x14ac:dyDescent="0.2">
      <c r="A3700" s="8">
        <v>3699</v>
      </c>
      <c r="B3700" s="8" t="s">
        <v>16953</v>
      </c>
      <c r="C3700" s="8" t="s">
        <v>16953</v>
      </c>
      <c r="F3700" s="47"/>
      <c r="G3700" s="8">
        <v>10</v>
      </c>
      <c r="H3700" s="8" t="s">
        <v>21</v>
      </c>
      <c r="I3700" s="8" t="s">
        <v>241</v>
      </c>
      <c r="J3700" s="8" t="s">
        <v>241</v>
      </c>
      <c r="K3700" s="8" t="s">
        <v>241</v>
      </c>
      <c r="L3700" s="8" t="s">
        <v>16195</v>
      </c>
      <c r="M3700" s="8" t="s">
        <v>16196</v>
      </c>
      <c r="N3700" s="8" t="s">
        <v>16954</v>
      </c>
      <c r="O3700" s="8">
        <f>11+27/60+57.2/3600</f>
        <v>11.465888888888887</v>
      </c>
      <c r="P3700" s="8" t="s">
        <v>16955</v>
      </c>
      <c r="Q3700" s="8">
        <f>-(59+57/60+27/3600)</f>
        <v>-59.957500000000003</v>
      </c>
      <c r="R3700" s="8">
        <v>11.3</v>
      </c>
      <c r="S3700" s="8">
        <v>11</v>
      </c>
      <c r="T3700" s="8">
        <v>99</v>
      </c>
      <c r="U3700" s="8">
        <v>99</v>
      </c>
      <c r="V3700" s="8">
        <v>0.75</v>
      </c>
      <c r="Y3700" s="8" t="s">
        <v>16956</v>
      </c>
      <c r="Z3700" s="8" t="s">
        <v>16957</v>
      </c>
    </row>
    <row r="3701" spans="1:26" x14ac:dyDescent="0.2">
      <c r="A3701" s="8">
        <v>3700</v>
      </c>
      <c r="B3701" s="8" t="s">
        <v>16958</v>
      </c>
      <c r="C3701" s="8" t="s">
        <v>16958</v>
      </c>
      <c r="F3701" s="47"/>
      <c r="G3701" s="8">
        <v>18</v>
      </c>
      <c r="H3701" s="8" t="s">
        <v>21</v>
      </c>
      <c r="I3701" s="8" t="s">
        <v>22</v>
      </c>
      <c r="J3701" s="8" t="s">
        <v>22</v>
      </c>
      <c r="K3701" s="8" t="s">
        <v>406</v>
      </c>
      <c r="L3701" s="8" t="s">
        <v>12015</v>
      </c>
      <c r="M3701" s="8" t="s">
        <v>12016</v>
      </c>
      <c r="N3701" s="8" t="s">
        <v>16959</v>
      </c>
      <c r="O3701" s="8">
        <f>11+29/60+38.5/3600</f>
        <v>11.494027777777777</v>
      </c>
      <c r="P3701" s="8" t="s">
        <v>16960</v>
      </c>
      <c r="Q3701" s="8">
        <f>+(35+30/60+54/3600)</f>
        <v>35.515000000000001</v>
      </c>
      <c r="R3701" s="8">
        <v>14</v>
      </c>
      <c r="S3701" s="8">
        <v>14.8</v>
      </c>
      <c r="T3701" s="8">
        <v>0.8</v>
      </c>
      <c r="U3701" s="8">
        <v>13.4</v>
      </c>
      <c r="V3701" s="8">
        <v>1</v>
      </c>
      <c r="W3701" s="8">
        <v>0.7</v>
      </c>
      <c r="X3701" s="8">
        <v>1</v>
      </c>
      <c r="Y3701" s="8" t="s">
        <v>16961</v>
      </c>
      <c r="Z3701" s="8" t="s">
        <v>16962</v>
      </c>
    </row>
    <row r="3702" spans="1:26" x14ac:dyDescent="0.2">
      <c r="A3702" s="8">
        <v>3701</v>
      </c>
      <c r="B3702" s="8" t="s">
        <v>16963</v>
      </c>
      <c r="C3702" s="8" t="s">
        <v>16963</v>
      </c>
      <c r="F3702" s="47" t="s">
        <v>56979</v>
      </c>
      <c r="G3702" s="8">
        <v>15</v>
      </c>
      <c r="H3702" s="8" t="s">
        <v>21</v>
      </c>
      <c r="I3702" s="8" t="s">
        <v>22</v>
      </c>
      <c r="J3702" s="8" t="s">
        <v>22</v>
      </c>
      <c r="K3702" s="8" t="s">
        <v>396</v>
      </c>
      <c r="L3702" s="8" t="s">
        <v>13194</v>
      </c>
      <c r="M3702" s="8" t="s">
        <v>13195</v>
      </c>
      <c r="N3702" s="8" t="s">
        <v>16964</v>
      </c>
      <c r="O3702" s="8">
        <f>11+29/60+28.8/3600</f>
        <v>11.491333333333332</v>
      </c>
      <c r="P3702" s="8" t="s">
        <v>16965</v>
      </c>
      <c r="Q3702" s="8">
        <f>+(24+5/60+37/3600)</f>
        <v>24.093611111111109</v>
      </c>
      <c r="R3702" s="8">
        <v>13</v>
      </c>
      <c r="S3702" s="8">
        <v>13.5</v>
      </c>
      <c r="T3702" s="8">
        <v>0.5</v>
      </c>
      <c r="U3702" s="8">
        <v>13.4</v>
      </c>
      <c r="V3702" s="8">
        <v>1.9</v>
      </c>
      <c r="W3702" s="8">
        <v>0.9</v>
      </c>
      <c r="X3702" s="8">
        <v>145</v>
      </c>
      <c r="Y3702" s="8" t="s">
        <v>10488</v>
      </c>
      <c r="Z3702" s="8" t="s">
        <v>7772</v>
      </c>
    </row>
    <row r="3703" spans="1:26" x14ac:dyDescent="0.2">
      <c r="A3703" s="8">
        <v>3702</v>
      </c>
      <c r="B3703" s="8" t="s">
        <v>16966</v>
      </c>
      <c r="C3703" s="8" t="s">
        <v>16966</v>
      </c>
      <c r="F3703" s="47"/>
      <c r="G3703" s="8">
        <v>19</v>
      </c>
      <c r="H3703" s="8" t="s">
        <v>21</v>
      </c>
      <c r="I3703" s="8" t="s">
        <v>22</v>
      </c>
      <c r="J3703" s="8" t="s">
        <v>22</v>
      </c>
      <c r="K3703" s="8" t="s">
        <v>91</v>
      </c>
      <c r="L3703" s="8" t="s">
        <v>15699</v>
      </c>
      <c r="M3703" s="8" t="s">
        <v>15700</v>
      </c>
      <c r="N3703" s="8" t="s">
        <v>16967</v>
      </c>
      <c r="O3703" s="8">
        <f>11+30/60+13.4/3600</f>
        <v>11.503722222222223</v>
      </c>
      <c r="P3703" s="8" t="s">
        <v>16968</v>
      </c>
      <c r="Q3703" s="8">
        <f>-(8+51/60+44/3600)</f>
        <v>-8.862222222222222</v>
      </c>
      <c r="R3703" s="8">
        <v>13.1</v>
      </c>
      <c r="S3703" s="8">
        <v>14</v>
      </c>
      <c r="T3703" s="8">
        <v>0.9</v>
      </c>
      <c r="U3703" s="8">
        <v>12.8</v>
      </c>
      <c r="V3703" s="8">
        <v>1.3</v>
      </c>
      <c r="W3703" s="8">
        <v>0.7</v>
      </c>
      <c r="X3703" s="8">
        <v>156</v>
      </c>
      <c r="Y3703" s="8" t="s">
        <v>16969</v>
      </c>
      <c r="Z3703" s="8" t="s">
        <v>16970</v>
      </c>
    </row>
    <row r="3704" spans="1:26" x14ac:dyDescent="0.2">
      <c r="A3704" s="8">
        <v>3703</v>
      </c>
      <c r="B3704" s="8" t="s">
        <v>16971</v>
      </c>
      <c r="C3704" s="8" t="s">
        <v>16971</v>
      </c>
      <c r="F3704" s="47"/>
      <c r="G3704" s="8">
        <v>19</v>
      </c>
      <c r="H3704" s="8" t="s">
        <v>21</v>
      </c>
      <c r="I3704" s="8" t="s">
        <v>22</v>
      </c>
      <c r="J3704" s="8" t="s">
        <v>22</v>
      </c>
      <c r="K3704" s="8" t="s">
        <v>449</v>
      </c>
      <c r="L3704" s="8" t="s">
        <v>15699</v>
      </c>
      <c r="M3704" s="8" t="s">
        <v>15700</v>
      </c>
      <c r="N3704" s="8" t="s">
        <v>16972</v>
      </c>
      <c r="O3704" s="8">
        <f>11+29/60+9/3600</f>
        <v>11.485833333333332</v>
      </c>
      <c r="P3704" s="8" t="s">
        <v>16973</v>
      </c>
      <c r="Q3704" s="8">
        <f>-(8+26/60+47/3600)</f>
        <v>-8.4463888888888885</v>
      </c>
      <c r="R3704" s="8">
        <v>14.7</v>
      </c>
      <c r="S3704" s="8">
        <v>15.5</v>
      </c>
      <c r="T3704" s="8">
        <v>0.8</v>
      </c>
      <c r="U3704" s="8">
        <v>13.3</v>
      </c>
      <c r="V3704" s="8">
        <v>0.8</v>
      </c>
      <c r="W3704" s="8">
        <v>0.4</v>
      </c>
      <c r="X3704" s="8">
        <v>130</v>
      </c>
      <c r="Y3704" s="8" t="s">
        <v>16974</v>
      </c>
      <c r="Z3704" s="8" t="s">
        <v>16975</v>
      </c>
    </row>
    <row r="3705" spans="1:26" x14ac:dyDescent="0.2">
      <c r="A3705" s="8">
        <v>3704</v>
      </c>
      <c r="B3705" s="8" t="s">
        <v>16976</v>
      </c>
      <c r="C3705" s="8" t="s">
        <v>16976</v>
      </c>
      <c r="F3705" s="47"/>
      <c r="G3705" s="8">
        <v>19</v>
      </c>
      <c r="H3705" s="8" t="s">
        <v>21</v>
      </c>
      <c r="I3705" s="8" t="s">
        <v>22</v>
      </c>
      <c r="J3705" s="8" t="s">
        <v>22</v>
      </c>
      <c r="K3705" s="8" t="s">
        <v>183</v>
      </c>
      <c r="L3705" s="8" t="s">
        <v>15699</v>
      </c>
      <c r="M3705" s="8" t="s">
        <v>15700</v>
      </c>
      <c r="N3705" s="8" t="s">
        <v>16977</v>
      </c>
      <c r="O3705" s="8">
        <f>11+30/60+4.6/3600</f>
        <v>11.501277777777778</v>
      </c>
      <c r="P3705" s="8" t="s">
        <v>16978</v>
      </c>
      <c r="Q3705" s="8">
        <f>-(11+32/60+45/3600)</f>
        <v>-11.545833333333333</v>
      </c>
      <c r="R3705" s="8">
        <v>12.9</v>
      </c>
      <c r="S3705" s="8">
        <v>13.9</v>
      </c>
      <c r="T3705" s="8">
        <v>1</v>
      </c>
      <c r="U3705" s="8">
        <v>13.8</v>
      </c>
      <c r="V3705" s="8">
        <v>1.6</v>
      </c>
      <c r="W3705" s="8">
        <v>1.4</v>
      </c>
      <c r="X3705" s="8">
        <v>150</v>
      </c>
      <c r="Y3705" s="8" t="s">
        <v>16979</v>
      </c>
      <c r="Z3705" s="8" t="s">
        <v>16980</v>
      </c>
    </row>
    <row r="3706" spans="1:26" x14ac:dyDescent="0.2">
      <c r="A3706" s="8">
        <v>3705</v>
      </c>
      <c r="B3706" s="8" t="s">
        <v>16981</v>
      </c>
      <c r="C3706" s="8" t="s">
        <v>16981</v>
      </c>
      <c r="F3706" s="47" t="s">
        <v>56980</v>
      </c>
      <c r="G3706" s="8">
        <v>6.5</v>
      </c>
      <c r="H3706" s="8" t="s">
        <v>21</v>
      </c>
      <c r="I3706" s="8" t="s">
        <v>22</v>
      </c>
      <c r="J3706" s="8" t="s">
        <v>22</v>
      </c>
      <c r="K3706" s="8" t="s">
        <v>406</v>
      </c>
      <c r="L3706" s="8" t="s">
        <v>13194</v>
      </c>
      <c r="M3706" s="8" t="s">
        <v>13195</v>
      </c>
      <c r="N3706" s="8" t="s">
        <v>16982</v>
      </c>
      <c r="O3706" s="8">
        <f>11+30/60+7.6/3600</f>
        <v>11.502111111111111</v>
      </c>
      <c r="P3706" s="8" t="s">
        <v>15946</v>
      </c>
      <c r="Q3706" s="8">
        <f>+(9+16/60+34/3600)</f>
        <v>9.2761111111111116</v>
      </c>
      <c r="R3706" s="8">
        <v>11.1</v>
      </c>
      <c r="S3706" s="8">
        <v>11.9</v>
      </c>
      <c r="T3706" s="8">
        <v>0.8</v>
      </c>
      <c r="U3706" s="8">
        <v>13.4</v>
      </c>
      <c r="V3706" s="8">
        <v>4.9000000000000004</v>
      </c>
      <c r="W3706" s="8">
        <v>2</v>
      </c>
      <c r="X3706" s="8">
        <v>122</v>
      </c>
      <c r="Y3706" s="8" t="s">
        <v>16983</v>
      </c>
      <c r="Z3706" s="8" t="s">
        <v>16984</v>
      </c>
    </row>
    <row r="3707" spans="1:26" x14ac:dyDescent="0.2">
      <c r="A3707" s="8">
        <v>3706</v>
      </c>
      <c r="B3707" s="8" t="s">
        <v>16985</v>
      </c>
      <c r="C3707" s="8" t="s">
        <v>16985</v>
      </c>
      <c r="F3707" s="47"/>
      <c r="G3707" s="8">
        <v>13</v>
      </c>
      <c r="H3707" s="8" t="s">
        <v>21</v>
      </c>
      <c r="I3707" s="8" t="s">
        <v>22</v>
      </c>
      <c r="J3707" s="8" t="s">
        <v>22</v>
      </c>
      <c r="K3707" s="8" t="s">
        <v>58</v>
      </c>
      <c r="L3707" s="8" t="s">
        <v>16195</v>
      </c>
      <c r="M3707" s="8" t="s">
        <v>16196</v>
      </c>
      <c r="N3707" s="8" t="s">
        <v>16986</v>
      </c>
      <c r="O3707" s="8">
        <f>11+29/60+44.2/3600</f>
        <v>11.49561111111111</v>
      </c>
      <c r="P3707" s="8" t="s">
        <v>16987</v>
      </c>
      <c r="Q3707" s="8">
        <f>-(36+23/60+29/3600)</f>
        <v>-36.391388888888891</v>
      </c>
      <c r="R3707" s="8">
        <v>11.4</v>
      </c>
      <c r="S3707" s="8">
        <v>12.4</v>
      </c>
      <c r="T3707" s="8">
        <v>1</v>
      </c>
      <c r="U3707" s="8">
        <v>13.1</v>
      </c>
      <c r="V3707" s="8">
        <v>3.1</v>
      </c>
      <c r="W3707" s="8">
        <v>1.8</v>
      </c>
      <c r="X3707" s="8">
        <v>78</v>
      </c>
      <c r="Y3707" s="8" t="s">
        <v>16988</v>
      </c>
      <c r="Z3707" s="8" t="s">
        <v>16989</v>
      </c>
    </row>
    <row r="3708" spans="1:26" x14ac:dyDescent="0.2">
      <c r="A3708" s="8">
        <v>3707</v>
      </c>
      <c r="B3708" s="8" t="s">
        <v>16990</v>
      </c>
      <c r="C3708" s="8" t="s">
        <v>16990</v>
      </c>
      <c r="F3708" s="47"/>
      <c r="G3708" s="8">
        <v>19</v>
      </c>
      <c r="H3708" s="8" t="s">
        <v>21</v>
      </c>
      <c r="I3708" s="8" t="s">
        <v>22</v>
      </c>
      <c r="J3708" s="8" t="s">
        <v>22</v>
      </c>
      <c r="K3708" s="8" t="s">
        <v>382</v>
      </c>
      <c r="L3708" s="8" t="s">
        <v>15699</v>
      </c>
      <c r="M3708" s="8" t="s">
        <v>15700</v>
      </c>
      <c r="N3708" s="8" t="s">
        <v>16991</v>
      </c>
      <c r="O3708" s="8">
        <f>11+30/60+11.5/3600</f>
        <v>11.503194444444444</v>
      </c>
      <c r="P3708" s="8" t="s">
        <v>16992</v>
      </c>
      <c r="Q3708" s="8">
        <f>-(11+32/60+34/3600)</f>
        <v>-11.542777777777777</v>
      </c>
      <c r="R3708" s="8">
        <v>14.7</v>
      </c>
      <c r="S3708" s="8">
        <v>15.7</v>
      </c>
      <c r="T3708" s="8">
        <v>1</v>
      </c>
      <c r="U3708" s="8">
        <v>13.2</v>
      </c>
      <c r="V3708" s="8">
        <v>0.6</v>
      </c>
      <c r="W3708" s="8">
        <v>0.4</v>
      </c>
      <c r="X3708" s="8">
        <v>85</v>
      </c>
      <c r="Y3708" s="8" t="s">
        <v>16993</v>
      </c>
      <c r="Z3708" s="8" t="s">
        <v>16994</v>
      </c>
    </row>
    <row r="3709" spans="1:26" x14ac:dyDescent="0.2">
      <c r="A3709" s="8">
        <v>3708</v>
      </c>
      <c r="B3709" s="8" t="s">
        <v>16995</v>
      </c>
      <c r="C3709" s="8" t="s">
        <v>16995</v>
      </c>
      <c r="F3709" s="47"/>
      <c r="G3709" s="8">
        <v>19</v>
      </c>
      <c r="H3709" s="8" t="s">
        <v>21</v>
      </c>
      <c r="I3709" s="8" t="s">
        <v>329</v>
      </c>
      <c r="J3709" s="8" t="s">
        <v>329</v>
      </c>
      <c r="K3709" s="8" t="s">
        <v>329</v>
      </c>
      <c r="L3709" s="8" t="s">
        <v>13194</v>
      </c>
      <c r="M3709" s="8" t="s">
        <v>13195</v>
      </c>
      <c r="N3709" s="8" t="s">
        <v>16996</v>
      </c>
      <c r="O3709" s="8">
        <f>11+30/60+39.2/3600</f>
        <v>11.510888888888889</v>
      </c>
      <c r="P3709" s="8" t="s">
        <v>16997</v>
      </c>
      <c r="Q3709" s="8">
        <f>-(3+13/60+21/3600)</f>
        <v>-3.2225000000000001</v>
      </c>
      <c r="R3709" s="8">
        <v>99</v>
      </c>
      <c r="S3709" s="8">
        <v>99</v>
      </c>
      <c r="T3709" s="8">
        <v>99</v>
      </c>
      <c r="U3709" s="8">
        <v>99</v>
      </c>
      <c r="Y3709" s="8" t="s">
        <v>750</v>
      </c>
      <c r="Z3709" s="8" t="s">
        <v>751</v>
      </c>
    </row>
    <row r="3710" spans="1:26" x14ac:dyDescent="0.2">
      <c r="A3710" s="8">
        <v>3709</v>
      </c>
      <c r="B3710" s="8" t="s">
        <v>16998</v>
      </c>
      <c r="C3710" s="8" t="s">
        <v>16998</v>
      </c>
      <c r="F3710" s="47"/>
      <c r="G3710" s="8">
        <v>19</v>
      </c>
      <c r="H3710" s="8" t="s">
        <v>21</v>
      </c>
      <c r="I3710" s="8" t="s">
        <v>329</v>
      </c>
      <c r="J3710" s="8" t="s">
        <v>329</v>
      </c>
      <c r="K3710" s="8" t="s">
        <v>329</v>
      </c>
      <c r="L3710" s="8" t="s">
        <v>13194</v>
      </c>
      <c r="M3710" s="8" t="s">
        <v>13195</v>
      </c>
      <c r="N3710" s="8" t="s">
        <v>16996</v>
      </c>
      <c r="O3710" s="8">
        <f>11+30/60+39.2/3600</f>
        <v>11.510888888888889</v>
      </c>
      <c r="P3710" s="8" t="s">
        <v>16999</v>
      </c>
      <c r="Q3710" s="8">
        <f>-(3+15/60+21/3600)</f>
        <v>-3.2558333333333334</v>
      </c>
      <c r="R3710" s="8">
        <v>99</v>
      </c>
      <c r="S3710" s="8">
        <v>99</v>
      </c>
      <c r="T3710" s="8">
        <v>99</v>
      </c>
      <c r="U3710" s="8">
        <v>99</v>
      </c>
      <c r="Y3710" s="8" t="s">
        <v>962</v>
      </c>
      <c r="Z3710" s="8" t="s">
        <v>963</v>
      </c>
    </row>
    <row r="3711" spans="1:26" x14ac:dyDescent="0.2">
      <c r="A3711" s="8">
        <v>3710</v>
      </c>
      <c r="B3711" s="8" t="s">
        <v>17000</v>
      </c>
      <c r="C3711" s="8" t="s">
        <v>17000</v>
      </c>
      <c r="F3711" s="47" t="s">
        <v>56981</v>
      </c>
      <c r="G3711" s="8">
        <v>15</v>
      </c>
      <c r="H3711" s="8" t="s">
        <v>21</v>
      </c>
      <c r="I3711" s="8" t="s">
        <v>22</v>
      </c>
      <c r="J3711" s="8" t="s">
        <v>22</v>
      </c>
      <c r="K3711" s="8" t="s">
        <v>1136</v>
      </c>
      <c r="L3711" s="8" t="s">
        <v>13194</v>
      </c>
      <c r="M3711" s="8" t="s">
        <v>13195</v>
      </c>
      <c r="N3711" s="8" t="s">
        <v>17001</v>
      </c>
      <c r="O3711" s="8">
        <f>11+31/60+6.9/3600</f>
        <v>11.518583333333334</v>
      </c>
      <c r="P3711" s="8" t="s">
        <v>17002</v>
      </c>
      <c r="Q3711" s="8">
        <f>+(22+46/60+7/3600)</f>
        <v>22.76861111111111</v>
      </c>
      <c r="R3711" s="8">
        <v>13.1</v>
      </c>
      <c r="S3711" s="8">
        <v>14.1</v>
      </c>
      <c r="T3711" s="8">
        <v>1</v>
      </c>
      <c r="U3711" s="8">
        <v>12.8</v>
      </c>
      <c r="V3711" s="8">
        <v>1</v>
      </c>
      <c r="W3711" s="8">
        <v>0.8</v>
      </c>
      <c r="X3711" s="8">
        <v>105</v>
      </c>
      <c r="Y3711" s="8" t="s">
        <v>17003</v>
      </c>
      <c r="Z3711" s="8" t="s">
        <v>17004</v>
      </c>
    </row>
    <row r="3712" spans="1:26" x14ac:dyDescent="0.2">
      <c r="A3712" s="8">
        <v>3711</v>
      </c>
      <c r="B3712" s="8" t="s">
        <v>17005</v>
      </c>
      <c r="C3712" s="8" t="s">
        <v>17005</v>
      </c>
      <c r="E3712" s="8">
        <v>1</v>
      </c>
      <c r="F3712" s="47"/>
      <c r="G3712" s="8">
        <v>19</v>
      </c>
      <c r="H3712" s="8" t="s">
        <v>21</v>
      </c>
      <c r="I3712" s="8" t="s">
        <v>22</v>
      </c>
      <c r="J3712" s="8" t="s">
        <v>22</v>
      </c>
      <c r="K3712" s="8" t="s">
        <v>85</v>
      </c>
      <c r="L3712" s="8" t="s">
        <v>15699</v>
      </c>
      <c r="M3712" s="8" t="s">
        <v>15700</v>
      </c>
      <c r="N3712" s="8" t="s">
        <v>17006</v>
      </c>
      <c r="O3712" s="8">
        <f>11+29/60+25.5/3600</f>
        <v>11.490416666666667</v>
      </c>
      <c r="P3712" s="8" t="s">
        <v>17007</v>
      </c>
      <c r="Q3712" s="8">
        <f>-(11+4/60+47/3600)</f>
        <v>-11.079722222222221</v>
      </c>
      <c r="R3712" s="8">
        <v>14</v>
      </c>
      <c r="S3712" s="8">
        <v>14.8</v>
      </c>
      <c r="T3712" s="8">
        <v>0.8</v>
      </c>
      <c r="U3712" s="8">
        <v>12.7</v>
      </c>
      <c r="V3712" s="8">
        <v>0.9</v>
      </c>
      <c r="W3712" s="8">
        <v>0.4</v>
      </c>
      <c r="X3712" s="8">
        <v>175</v>
      </c>
      <c r="Y3712" s="8" t="s">
        <v>17008</v>
      </c>
      <c r="Z3712" s="8" t="s">
        <v>17009</v>
      </c>
    </row>
    <row r="3713" spans="1:26" x14ac:dyDescent="0.2">
      <c r="A3713" s="8">
        <v>3712</v>
      </c>
      <c r="B3713" s="8" t="s">
        <v>17010</v>
      </c>
      <c r="C3713" s="8" t="s">
        <v>17010</v>
      </c>
      <c r="F3713" s="47"/>
      <c r="G3713" s="8">
        <v>16</v>
      </c>
      <c r="H3713" s="8" t="s">
        <v>21</v>
      </c>
      <c r="I3713" s="8" t="s">
        <v>22</v>
      </c>
      <c r="J3713" s="8" t="s">
        <v>57</v>
      </c>
      <c r="K3713" s="8" t="s">
        <v>91</v>
      </c>
      <c r="L3713" s="8" t="s">
        <v>12015</v>
      </c>
      <c r="M3713" s="8" t="s">
        <v>12016</v>
      </c>
      <c r="N3713" s="8" t="s">
        <v>17011</v>
      </c>
      <c r="O3713" s="8">
        <f>11+31/60+53.6/3600</f>
        <v>11.531555555555556</v>
      </c>
      <c r="P3713" s="8" t="s">
        <v>17012</v>
      </c>
      <c r="Q3713" s="8">
        <f>+(28+21/60+31/3600)</f>
        <v>28.358611111111113</v>
      </c>
      <c r="R3713" s="8">
        <v>13.3</v>
      </c>
      <c r="S3713" s="8">
        <v>14.2</v>
      </c>
      <c r="T3713" s="8">
        <v>0.9</v>
      </c>
      <c r="U3713" s="8">
        <v>13.2</v>
      </c>
      <c r="V3713" s="8">
        <v>1.3</v>
      </c>
      <c r="W3713" s="8">
        <v>0.8</v>
      </c>
      <c r="X3713" s="8">
        <v>68</v>
      </c>
      <c r="Y3713" s="8" t="s">
        <v>17013</v>
      </c>
      <c r="Z3713" s="8" t="s">
        <v>17014</v>
      </c>
    </row>
    <row r="3714" spans="1:26" x14ac:dyDescent="0.2">
      <c r="A3714" s="8">
        <v>3713</v>
      </c>
      <c r="B3714" s="8" t="s">
        <v>17015</v>
      </c>
      <c r="C3714" s="8" t="s">
        <v>17015</v>
      </c>
      <c r="F3714" s="47" t="s">
        <v>56982</v>
      </c>
      <c r="G3714" s="8">
        <v>15</v>
      </c>
      <c r="H3714" s="8" t="s">
        <v>21</v>
      </c>
      <c r="I3714" s="8" t="s">
        <v>22</v>
      </c>
      <c r="J3714" s="8" t="s">
        <v>22</v>
      </c>
      <c r="K3714" s="8" t="s">
        <v>58</v>
      </c>
      <c r="L3714" s="8" t="s">
        <v>13194</v>
      </c>
      <c r="M3714" s="8" t="s">
        <v>13195</v>
      </c>
      <c r="N3714" s="8" t="s">
        <v>17016</v>
      </c>
      <c r="O3714" s="8">
        <f>11+31/60+41.9/3600</f>
        <v>11.528305555555557</v>
      </c>
      <c r="P3714" s="8" t="s">
        <v>17017</v>
      </c>
      <c r="Q3714" s="8">
        <f>+(28+9/60+14/3600)</f>
        <v>28.153888888888886</v>
      </c>
      <c r="R3714" s="8">
        <v>13.2</v>
      </c>
      <c r="S3714" s="8">
        <v>14.2</v>
      </c>
      <c r="T3714" s="8">
        <v>1</v>
      </c>
      <c r="U3714" s="8">
        <v>13</v>
      </c>
      <c r="V3714" s="8">
        <v>1.2</v>
      </c>
      <c r="W3714" s="8">
        <v>0.8</v>
      </c>
      <c r="X3714" s="8">
        <v>125</v>
      </c>
      <c r="Y3714" s="8" t="s">
        <v>17018</v>
      </c>
      <c r="Z3714" s="8" t="s">
        <v>17019</v>
      </c>
    </row>
    <row r="3715" spans="1:26" x14ac:dyDescent="0.2">
      <c r="A3715" s="8">
        <v>3714</v>
      </c>
      <c r="B3715" s="8" t="s">
        <v>17020</v>
      </c>
      <c r="C3715" s="8" t="s">
        <v>17020</v>
      </c>
      <c r="F3715" s="47" t="s">
        <v>56983</v>
      </c>
      <c r="G3715" s="8">
        <v>15</v>
      </c>
      <c r="H3715" s="8" t="s">
        <v>21</v>
      </c>
      <c r="I3715" s="8" t="s">
        <v>22</v>
      </c>
      <c r="J3715" s="8" t="s">
        <v>22</v>
      </c>
      <c r="K3715" s="8" t="s">
        <v>91</v>
      </c>
      <c r="L3715" s="8" t="s">
        <v>12015</v>
      </c>
      <c r="M3715" s="8" t="s">
        <v>12016</v>
      </c>
      <c r="N3715" s="8" t="s">
        <v>17011</v>
      </c>
      <c r="O3715" s="8">
        <f>11+31/60+53.6/3600</f>
        <v>11.531555555555556</v>
      </c>
      <c r="P3715" s="8" t="s">
        <v>17012</v>
      </c>
      <c r="Q3715" s="8">
        <f>+(28+21/60+31/3600)</f>
        <v>28.358611111111113</v>
      </c>
      <c r="R3715" s="8">
        <v>13.3</v>
      </c>
      <c r="S3715" s="8">
        <v>14.2</v>
      </c>
      <c r="T3715" s="8">
        <v>0.9</v>
      </c>
      <c r="U3715" s="8">
        <v>13.2</v>
      </c>
      <c r="V3715" s="8">
        <v>1.3</v>
      </c>
      <c r="W3715" s="8">
        <v>0.8</v>
      </c>
      <c r="X3715" s="8">
        <v>68</v>
      </c>
      <c r="Y3715" s="8" t="s">
        <v>17013</v>
      </c>
      <c r="Z3715" s="8" t="s">
        <v>447</v>
      </c>
    </row>
    <row r="3716" spans="1:26" x14ac:dyDescent="0.2">
      <c r="A3716" s="8">
        <v>3715</v>
      </c>
      <c r="B3716" s="8" t="s">
        <v>17021</v>
      </c>
      <c r="C3716" s="8" t="s">
        <v>17021</v>
      </c>
      <c r="F3716" s="47" t="s">
        <v>56984</v>
      </c>
      <c r="G3716" s="8">
        <v>15</v>
      </c>
      <c r="H3716" s="8" t="s">
        <v>21</v>
      </c>
      <c r="I3716" s="8" t="s">
        <v>22</v>
      </c>
      <c r="J3716" s="8" t="s">
        <v>22</v>
      </c>
      <c r="K3716" s="8" t="s">
        <v>396</v>
      </c>
      <c r="L3716" s="8" t="s">
        <v>15699</v>
      </c>
      <c r="M3716" s="8" t="s">
        <v>15700</v>
      </c>
      <c r="N3716" s="8" t="s">
        <v>17022</v>
      </c>
      <c r="O3716" s="8">
        <f>11+31/60+32.2/3600</f>
        <v>11.525611111111113</v>
      </c>
      <c r="P3716" s="8" t="s">
        <v>17023</v>
      </c>
      <c r="Q3716" s="8">
        <f>-(14+13/60+52/3600)</f>
        <v>-14.231111111111112</v>
      </c>
      <c r="R3716" s="8">
        <v>12.5</v>
      </c>
      <c r="S3716" s="8">
        <v>13.3</v>
      </c>
      <c r="T3716" s="8">
        <v>0.8</v>
      </c>
      <c r="U3716" s="8">
        <v>12.6</v>
      </c>
      <c r="V3716" s="8">
        <v>1.4</v>
      </c>
      <c r="W3716" s="8">
        <v>0.9</v>
      </c>
      <c r="X3716" s="8">
        <v>145</v>
      </c>
      <c r="Y3716" s="8" t="s">
        <v>17024</v>
      </c>
      <c r="Z3716" s="8" t="s">
        <v>17025</v>
      </c>
    </row>
    <row r="3717" spans="1:26" x14ac:dyDescent="0.2">
      <c r="A3717" s="8">
        <v>3716</v>
      </c>
      <c r="B3717" s="8" t="s">
        <v>17026</v>
      </c>
      <c r="C3717" s="8" t="s">
        <v>17026</v>
      </c>
      <c r="F3717" s="47"/>
      <c r="G3717" s="8">
        <v>18</v>
      </c>
      <c r="H3717" s="8" t="s">
        <v>21</v>
      </c>
      <c r="I3717" s="8" t="s">
        <v>22</v>
      </c>
      <c r="J3717" s="8" t="s">
        <v>22</v>
      </c>
      <c r="K3717" s="8" t="s">
        <v>37</v>
      </c>
      <c r="L3717" s="8" t="s">
        <v>13194</v>
      </c>
      <c r="M3717" s="8" t="s">
        <v>13195</v>
      </c>
      <c r="N3717" s="8" t="s">
        <v>17027</v>
      </c>
      <c r="O3717" s="8">
        <f>11+31/60+41.2/3600</f>
        <v>11.528111111111112</v>
      </c>
      <c r="P3717" s="8" t="s">
        <v>17028</v>
      </c>
      <c r="Q3717" s="8">
        <f>+(3+29/60+17/3600)</f>
        <v>3.4880555555555555</v>
      </c>
      <c r="R3717" s="8">
        <v>13.5</v>
      </c>
      <c r="S3717" s="8">
        <v>14.5</v>
      </c>
      <c r="T3717" s="8">
        <v>1</v>
      </c>
      <c r="U3717" s="8">
        <v>12.4</v>
      </c>
      <c r="V3717" s="8">
        <v>0.7</v>
      </c>
      <c r="W3717" s="8">
        <v>0.6</v>
      </c>
      <c r="X3717" s="8">
        <v>150</v>
      </c>
      <c r="Y3717" s="8" t="s">
        <v>282</v>
      </c>
      <c r="Z3717" s="8" t="s">
        <v>283</v>
      </c>
    </row>
    <row r="3718" spans="1:26" x14ac:dyDescent="0.2">
      <c r="A3718" s="8">
        <v>3717</v>
      </c>
      <c r="B3718" s="8" t="s">
        <v>17029</v>
      </c>
      <c r="C3718" s="8" t="s">
        <v>17029</v>
      </c>
      <c r="F3718" s="47"/>
      <c r="G3718" s="8">
        <v>12</v>
      </c>
      <c r="H3718" s="8" t="s">
        <v>21</v>
      </c>
      <c r="I3718" s="8" t="s">
        <v>22</v>
      </c>
      <c r="J3718" s="8" t="s">
        <v>22</v>
      </c>
      <c r="K3718" s="8" t="s">
        <v>23</v>
      </c>
      <c r="L3718" s="8" t="s">
        <v>11765</v>
      </c>
      <c r="M3718" s="8" t="s">
        <v>11766</v>
      </c>
      <c r="N3718" s="8" t="s">
        <v>17030</v>
      </c>
      <c r="O3718" s="8">
        <f>11+31/60+32/3600</f>
        <v>11.525555555555556</v>
      </c>
      <c r="P3718" s="8" t="s">
        <v>17031</v>
      </c>
      <c r="Q3718" s="8">
        <f>-(30+18/60+30/3600)</f>
        <v>-30.308333333333334</v>
      </c>
      <c r="R3718" s="8">
        <v>11.2</v>
      </c>
      <c r="S3718" s="8">
        <v>12.2</v>
      </c>
      <c r="T3718" s="8">
        <v>1</v>
      </c>
      <c r="U3718" s="8">
        <v>13.1</v>
      </c>
      <c r="V3718" s="8">
        <v>6.2</v>
      </c>
      <c r="W3718" s="8">
        <v>1</v>
      </c>
      <c r="X3718" s="8">
        <v>33</v>
      </c>
      <c r="Y3718" s="8" t="s">
        <v>17032</v>
      </c>
      <c r="Z3718" s="8" t="s">
        <v>17033</v>
      </c>
    </row>
    <row r="3719" spans="1:26" x14ac:dyDescent="0.2">
      <c r="A3719" s="8">
        <v>3718</v>
      </c>
      <c r="B3719" s="8" t="s">
        <v>17034</v>
      </c>
      <c r="C3719" s="8" t="s">
        <v>17034</v>
      </c>
      <c r="F3719" s="47" t="s">
        <v>56985</v>
      </c>
      <c r="G3719" s="8">
        <v>7</v>
      </c>
      <c r="H3719" s="8" t="s">
        <v>21</v>
      </c>
      <c r="I3719" s="8" t="s">
        <v>22</v>
      </c>
      <c r="J3719" s="8" t="s">
        <v>22</v>
      </c>
      <c r="K3719" s="8" t="s">
        <v>7975</v>
      </c>
      <c r="L3719" s="8" t="s">
        <v>12015</v>
      </c>
      <c r="M3719" s="8" t="s">
        <v>12016</v>
      </c>
      <c r="N3719" s="8" t="s">
        <v>17035</v>
      </c>
      <c r="O3719" s="8">
        <f>11+32/60+34.7/3600</f>
        <v>11.542972222222222</v>
      </c>
      <c r="P3719" s="8" t="s">
        <v>17036</v>
      </c>
      <c r="Q3719" s="8">
        <f>+(53+4/60+2/3600)</f>
        <v>53.067222222222227</v>
      </c>
      <c r="R3719" s="8">
        <v>10.8</v>
      </c>
      <c r="S3719" s="8">
        <v>11.6</v>
      </c>
      <c r="T3719" s="8">
        <v>0.8</v>
      </c>
      <c r="U3719" s="8">
        <v>14.4</v>
      </c>
      <c r="V3719" s="8">
        <v>8.1</v>
      </c>
      <c r="W3719" s="8">
        <v>4</v>
      </c>
      <c r="X3719" s="8">
        <v>15</v>
      </c>
      <c r="Y3719" s="8" t="s">
        <v>17037</v>
      </c>
      <c r="Z3719" s="8" t="s">
        <v>17038</v>
      </c>
    </row>
    <row r="3720" spans="1:26" x14ac:dyDescent="0.2">
      <c r="A3720" s="8">
        <v>3719</v>
      </c>
      <c r="B3720" s="8" t="s">
        <v>17039</v>
      </c>
      <c r="C3720" s="8" t="s">
        <v>17039</v>
      </c>
      <c r="F3720" s="47"/>
      <c r="G3720" s="8">
        <v>18</v>
      </c>
      <c r="H3720" s="8" t="s">
        <v>21</v>
      </c>
      <c r="I3720" s="8" t="s">
        <v>22</v>
      </c>
      <c r="J3720" s="8" t="s">
        <v>22</v>
      </c>
      <c r="K3720" s="8" t="s">
        <v>396</v>
      </c>
      <c r="L3720" s="8" t="s">
        <v>13194</v>
      </c>
      <c r="M3720" s="8" t="s">
        <v>13195</v>
      </c>
      <c r="N3720" s="8" t="s">
        <v>17040</v>
      </c>
      <c r="O3720" s="8">
        <f>11+32/60+13.5/3600</f>
        <v>11.537083333333333</v>
      </c>
      <c r="P3720" s="8" t="s">
        <v>17041</v>
      </c>
      <c r="Q3720" s="8">
        <f>+(0+49/60+9/3600)</f>
        <v>0.8191666666666666</v>
      </c>
      <c r="R3720" s="8">
        <v>13</v>
      </c>
      <c r="S3720" s="8">
        <v>13.6</v>
      </c>
      <c r="T3720" s="8">
        <v>0.6</v>
      </c>
      <c r="U3720" s="8">
        <v>13.8</v>
      </c>
      <c r="V3720" s="8">
        <v>1.7</v>
      </c>
      <c r="W3720" s="8">
        <v>1.3</v>
      </c>
      <c r="X3720" s="8">
        <v>15</v>
      </c>
      <c r="Y3720" s="8" t="s">
        <v>17042</v>
      </c>
      <c r="Z3720" s="8" t="s">
        <v>17043</v>
      </c>
    </row>
    <row r="3721" spans="1:26" x14ac:dyDescent="0.2">
      <c r="A3721" s="8">
        <v>3720</v>
      </c>
      <c r="B3721" s="8" t="s">
        <v>17044</v>
      </c>
      <c r="C3721" s="8" t="s">
        <v>17044</v>
      </c>
      <c r="F3721" s="47"/>
      <c r="G3721" s="8">
        <v>13</v>
      </c>
      <c r="H3721" s="8" t="s">
        <v>21</v>
      </c>
      <c r="I3721" s="8" t="s">
        <v>22</v>
      </c>
      <c r="J3721" s="8" t="s">
        <v>22</v>
      </c>
      <c r="K3721" s="8" t="s">
        <v>91</v>
      </c>
      <c r="L3721" s="8" t="s">
        <v>13194</v>
      </c>
      <c r="M3721" s="8" t="s">
        <v>13195</v>
      </c>
      <c r="N3721" s="8" t="s">
        <v>17045</v>
      </c>
      <c r="O3721" s="8">
        <f>11+32/60+21.6/3600</f>
        <v>11.539333333333333</v>
      </c>
      <c r="P3721" s="8" t="s">
        <v>17046</v>
      </c>
      <c r="Q3721" s="8">
        <f>+(0+48/60+14/3600)</f>
        <v>0.80388888888888899</v>
      </c>
      <c r="R3721" s="8">
        <v>13</v>
      </c>
      <c r="S3721" s="8">
        <v>13.7</v>
      </c>
      <c r="T3721" s="8">
        <v>0.7</v>
      </c>
      <c r="U3721" s="8">
        <v>12.6</v>
      </c>
      <c r="V3721" s="8">
        <v>1</v>
      </c>
      <c r="W3721" s="8">
        <v>0.8</v>
      </c>
      <c r="X3721" s="8">
        <v>85</v>
      </c>
      <c r="Y3721" s="8" t="s">
        <v>17047</v>
      </c>
      <c r="Z3721" s="8" t="s">
        <v>17048</v>
      </c>
    </row>
    <row r="3722" spans="1:26" x14ac:dyDescent="0.2">
      <c r="A3722" s="8">
        <v>3721</v>
      </c>
      <c r="B3722" s="8" t="s">
        <v>17049</v>
      </c>
      <c r="C3722" s="8" t="s">
        <v>17049</v>
      </c>
      <c r="F3722" s="47"/>
      <c r="G3722" s="8">
        <v>19</v>
      </c>
      <c r="H3722" s="8" t="s">
        <v>21</v>
      </c>
      <c r="I3722" s="8" t="s">
        <v>22</v>
      </c>
      <c r="J3722" s="8" t="s">
        <v>22</v>
      </c>
      <c r="K3722" s="8" t="s">
        <v>632</v>
      </c>
      <c r="L3722" s="8" t="s">
        <v>15699</v>
      </c>
      <c r="M3722" s="8" t="s">
        <v>15700</v>
      </c>
      <c r="N3722" s="8" t="s">
        <v>17050</v>
      </c>
      <c r="O3722" s="8">
        <f>11+34/60+7.8/3600</f>
        <v>11.568833333333334</v>
      </c>
      <c r="P3722" s="8" t="s">
        <v>17051</v>
      </c>
      <c r="Q3722" s="8">
        <f>-(9+28/60+0/3600)</f>
        <v>-9.4666666666666668</v>
      </c>
      <c r="R3722" s="8">
        <v>14.5</v>
      </c>
      <c r="S3722" s="8">
        <v>15.4</v>
      </c>
      <c r="T3722" s="8">
        <v>0.9</v>
      </c>
      <c r="U3722" s="8">
        <v>13.6</v>
      </c>
      <c r="V3722" s="8">
        <v>1</v>
      </c>
      <c r="W3722" s="8">
        <v>0.5</v>
      </c>
      <c r="X3722" s="8">
        <v>141</v>
      </c>
      <c r="Y3722" s="8" t="s">
        <v>17052</v>
      </c>
      <c r="Z3722" s="8" t="s">
        <v>17053</v>
      </c>
    </row>
    <row r="3723" spans="1:26" x14ac:dyDescent="0.2">
      <c r="A3723" s="8">
        <v>3722</v>
      </c>
      <c r="B3723" s="8" t="s">
        <v>17054</v>
      </c>
      <c r="C3723" s="8" t="s">
        <v>17054</v>
      </c>
      <c r="F3723" s="47"/>
      <c r="G3723" s="8">
        <v>19</v>
      </c>
      <c r="H3723" s="8" t="s">
        <v>21</v>
      </c>
      <c r="I3723" s="8" t="s">
        <v>22</v>
      </c>
      <c r="J3723" s="8" t="s">
        <v>22</v>
      </c>
      <c r="K3723" s="8" t="s">
        <v>183</v>
      </c>
      <c r="L3723" s="8" t="s">
        <v>15699</v>
      </c>
      <c r="M3723" s="8" t="s">
        <v>15700</v>
      </c>
      <c r="N3723" s="8" t="s">
        <v>17055</v>
      </c>
      <c r="O3723" s="8">
        <f>11+34/60+23.2/3600</f>
        <v>11.57311111111111</v>
      </c>
      <c r="P3723" s="8" t="s">
        <v>17056</v>
      </c>
      <c r="Q3723" s="8">
        <f>-(9+40/60+46/3600)</f>
        <v>-9.6794444444444441</v>
      </c>
      <c r="R3723" s="8">
        <v>14.1</v>
      </c>
      <c r="S3723" s="8">
        <v>15.1</v>
      </c>
      <c r="T3723" s="8">
        <v>1</v>
      </c>
      <c r="U3723" s="8">
        <v>13.8</v>
      </c>
      <c r="V3723" s="8">
        <v>0.9</v>
      </c>
      <c r="W3723" s="8">
        <v>0.8</v>
      </c>
      <c r="X3723" s="8">
        <v>0</v>
      </c>
      <c r="Y3723" s="8" t="s">
        <v>17057</v>
      </c>
      <c r="Z3723" s="8" t="s">
        <v>17058</v>
      </c>
    </row>
    <row r="3724" spans="1:26" x14ac:dyDescent="0.2">
      <c r="A3724" s="8">
        <v>3723</v>
      </c>
      <c r="B3724" s="8" t="s">
        <v>17059</v>
      </c>
      <c r="C3724" s="8" t="s">
        <v>17059</v>
      </c>
      <c r="F3724" s="47"/>
      <c r="G3724" s="8">
        <v>19</v>
      </c>
      <c r="H3724" s="8" t="s">
        <v>21</v>
      </c>
      <c r="I3724" s="8" t="s">
        <v>22</v>
      </c>
      <c r="J3724" s="8" t="s">
        <v>22</v>
      </c>
      <c r="K3724" s="8" t="s">
        <v>58</v>
      </c>
      <c r="L3724" s="8" t="s">
        <v>15699</v>
      </c>
      <c r="M3724" s="8" t="s">
        <v>15700</v>
      </c>
      <c r="N3724" s="8" t="s">
        <v>17060</v>
      </c>
      <c r="O3724" s="8">
        <f>11+32/60+30.5/3600</f>
        <v>11.541805555555555</v>
      </c>
      <c r="P3724" s="8" t="s">
        <v>17061</v>
      </c>
      <c r="Q3724" s="8">
        <f>-(9+58/60+8/3600)</f>
        <v>-9.9688888888888894</v>
      </c>
      <c r="R3724" s="8">
        <v>13.3</v>
      </c>
      <c r="S3724" s="8">
        <v>14.3</v>
      </c>
      <c r="T3724" s="8">
        <v>1</v>
      </c>
      <c r="U3724" s="8">
        <v>13.3</v>
      </c>
      <c r="V3724" s="8">
        <v>1</v>
      </c>
      <c r="W3724" s="8">
        <v>0.9</v>
      </c>
      <c r="X3724" s="8">
        <v>85</v>
      </c>
      <c r="Y3724" s="8" t="s">
        <v>17062</v>
      </c>
      <c r="Z3724" s="8" t="s">
        <v>896</v>
      </c>
    </row>
    <row r="3725" spans="1:26" x14ac:dyDescent="0.2">
      <c r="A3725" s="8">
        <v>3724</v>
      </c>
      <c r="B3725" s="8" t="s">
        <v>17063</v>
      </c>
      <c r="C3725" s="8" t="s">
        <v>17063</v>
      </c>
      <c r="F3725" s="47"/>
      <c r="G3725" s="8">
        <v>19</v>
      </c>
      <c r="H3725" s="8" t="s">
        <v>21</v>
      </c>
      <c r="I3725" s="8" t="s">
        <v>22</v>
      </c>
      <c r="J3725" s="8" t="s">
        <v>22</v>
      </c>
      <c r="K3725" s="8" t="s">
        <v>632</v>
      </c>
      <c r="L3725" s="8" t="s">
        <v>15699</v>
      </c>
      <c r="M3725" s="8" t="s">
        <v>15700</v>
      </c>
      <c r="N3725" s="8" t="s">
        <v>17064</v>
      </c>
      <c r="O3725" s="8">
        <f>11+34/60+28.7/3600</f>
        <v>11.574638888888888</v>
      </c>
      <c r="P3725" s="8" t="s">
        <v>17065</v>
      </c>
      <c r="Q3725" s="8">
        <f>-(9+39/60+34/3600)</f>
        <v>-9.6594444444444445</v>
      </c>
      <c r="R3725" s="8">
        <v>14.1</v>
      </c>
      <c r="S3725" s="8">
        <v>15</v>
      </c>
      <c r="T3725" s="8">
        <v>0.9</v>
      </c>
      <c r="U3725" s="8">
        <v>13.2</v>
      </c>
      <c r="V3725" s="8">
        <v>1.2</v>
      </c>
      <c r="W3725" s="8">
        <v>0.4</v>
      </c>
      <c r="X3725" s="8">
        <v>63</v>
      </c>
      <c r="Y3725" s="8" t="s">
        <v>17066</v>
      </c>
      <c r="Z3725" s="8" t="s">
        <v>17067</v>
      </c>
    </row>
    <row r="3726" spans="1:26" x14ac:dyDescent="0.2">
      <c r="A3726" s="8">
        <v>3725</v>
      </c>
      <c r="B3726" s="8" t="s">
        <v>17068</v>
      </c>
      <c r="C3726" s="8" t="s">
        <v>17068</v>
      </c>
      <c r="F3726" s="47" t="s">
        <v>56986</v>
      </c>
      <c r="G3726" s="8">
        <v>15</v>
      </c>
      <c r="H3726" s="8" t="s">
        <v>21</v>
      </c>
      <c r="I3726" s="8" t="s">
        <v>22</v>
      </c>
      <c r="J3726" s="8" t="s">
        <v>22</v>
      </c>
      <c r="K3726" s="8" t="s">
        <v>64</v>
      </c>
      <c r="L3726" s="8" t="s">
        <v>12015</v>
      </c>
      <c r="M3726" s="8" t="s">
        <v>12016</v>
      </c>
      <c r="N3726" s="8" t="s">
        <v>17069</v>
      </c>
      <c r="O3726" s="8">
        <f>11+33/60+40.7/3600</f>
        <v>11.561305555555556</v>
      </c>
      <c r="P3726" s="8" t="s">
        <v>17070</v>
      </c>
      <c r="Q3726" s="8">
        <f>+(61+53/60+20/3600)</f>
        <v>61.888888888888886</v>
      </c>
      <c r="R3726" s="8">
        <v>13</v>
      </c>
      <c r="S3726" s="8">
        <v>13.7</v>
      </c>
      <c r="T3726" s="8">
        <v>0.7</v>
      </c>
      <c r="U3726" s="8">
        <v>12.9</v>
      </c>
      <c r="V3726" s="8">
        <v>1.2</v>
      </c>
      <c r="W3726" s="8">
        <v>0.9</v>
      </c>
      <c r="X3726" s="8">
        <v>145</v>
      </c>
      <c r="Y3726" s="8" t="s">
        <v>17071</v>
      </c>
      <c r="Z3726" s="8" t="s">
        <v>17072</v>
      </c>
    </row>
    <row r="3727" spans="1:26" x14ac:dyDescent="0.2">
      <c r="A3727" s="8">
        <v>3726</v>
      </c>
      <c r="B3727" s="8" t="s">
        <v>17073</v>
      </c>
      <c r="C3727" s="8" t="s">
        <v>17073</v>
      </c>
      <c r="F3727" s="47" t="s">
        <v>56987</v>
      </c>
      <c r="G3727" s="8">
        <v>6</v>
      </c>
      <c r="H3727" s="8" t="s">
        <v>21</v>
      </c>
      <c r="I3727" s="8" t="s">
        <v>22</v>
      </c>
      <c r="J3727" s="8" t="s">
        <v>22</v>
      </c>
      <c r="K3727" s="8" t="s">
        <v>64</v>
      </c>
      <c r="L3727" s="8" t="s">
        <v>12015</v>
      </c>
      <c r="M3727" s="8" t="s">
        <v>12016</v>
      </c>
      <c r="N3727" s="8" t="s">
        <v>17074</v>
      </c>
      <c r="O3727" s="8">
        <f>11+33/60+20.8/3600</f>
        <v>11.555777777777779</v>
      </c>
      <c r="P3727" s="8" t="s">
        <v>17075</v>
      </c>
      <c r="Q3727" s="8">
        <f>+(47+1/60+40/3600)</f>
        <v>47.027777777777779</v>
      </c>
      <c r="R3727" s="8">
        <v>10.4</v>
      </c>
      <c r="S3727" s="8">
        <v>10.9</v>
      </c>
      <c r="T3727" s="8">
        <v>0.5</v>
      </c>
      <c r="U3727" s="8">
        <v>13.8</v>
      </c>
      <c r="V3727" s="8">
        <v>6</v>
      </c>
      <c r="W3727" s="8">
        <v>4.0999999999999996</v>
      </c>
      <c r="X3727" s="8">
        <v>10</v>
      </c>
      <c r="Y3727" s="8" t="s">
        <v>17076</v>
      </c>
      <c r="Z3727" s="8" t="s">
        <v>17077</v>
      </c>
    </row>
    <row r="3728" spans="1:26" x14ac:dyDescent="0.2">
      <c r="A3728" s="8">
        <v>3727</v>
      </c>
      <c r="B3728" s="8" t="s">
        <v>17078</v>
      </c>
      <c r="C3728" s="8" t="s">
        <v>17078</v>
      </c>
      <c r="F3728" s="47"/>
      <c r="G3728" s="8">
        <v>19</v>
      </c>
      <c r="H3728" s="8" t="s">
        <v>21</v>
      </c>
      <c r="I3728" s="8" t="s">
        <v>22</v>
      </c>
      <c r="J3728" s="8" t="s">
        <v>22</v>
      </c>
      <c r="K3728" s="8" t="s">
        <v>37</v>
      </c>
      <c r="L3728" s="8" t="s">
        <v>15699</v>
      </c>
      <c r="M3728" s="8" t="s">
        <v>15700</v>
      </c>
      <c r="N3728" s="8" t="s">
        <v>17079</v>
      </c>
      <c r="O3728" s="8">
        <f>11+33/60+40.9/3600</f>
        <v>11.561361111111111</v>
      </c>
      <c r="P3728" s="8" t="s">
        <v>17080</v>
      </c>
      <c r="Q3728" s="8">
        <f>-(13+52/60+42/3600)</f>
        <v>-13.878333333333334</v>
      </c>
      <c r="R3728" s="8">
        <v>14.1</v>
      </c>
      <c r="S3728" s="8">
        <v>15.1</v>
      </c>
      <c r="T3728" s="8">
        <v>1</v>
      </c>
      <c r="U3728" s="8">
        <v>13.3</v>
      </c>
      <c r="V3728" s="8">
        <v>0.9</v>
      </c>
      <c r="W3728" s="8">
        <v>0.6</v>
      </c>
      <c r="X3728" s="8">
        <v>78</v>
      </c>
      <c r="Y3728" s="8" t="s">
        <v>17081</v>
      </c>
      <c r="Z3728" s="8" t="s">
        <v>17082</v>
      </c>
    </row>
    <row r="3729" spans="1:26" x14ac:dyDescent="0.2">
      <c r="A3729" s="8">
        <v>3728</v>
      </c>
      <c r="B3729" s="8" t="s">
        <v>17083</v>
      </c>
      <c r="C3729" s="8" t="s">
        <v>17083</v>
      </c>
      <c r="F3729" s="47" t="s">
        <v>56988</v>
      </c>
      <c r="G3729" s="8">
        <v>15</v>
      </c>
      <c r="H3729" s="8" t="s">
        <v>21</v>
      </c>
      <c r="I3729" s="8" t="s">
        <v>22</v>
      </c>
      <c r="J3729" s="8" t="s">
        <v>22</v>
      </c>
      <c r="K3729" s="8" t="s">
        <v>23</v>
      </c>
      <c r="L3729" s="8" t="s">
        <v>13194</v>
      </c>
      <c r="M3729" s="8" t="s">
        <v>13195</v>
      </c>
      <c r="N3729" s="8" t="s">
        <v>17084</v>
      </c>
      <c r="O3729" s="8">
        <f>11+33/60+15.7/3600</f>
        <v>11.554361111111112</v>
      </c>
      <c r="P3729" s="8" t="s">
        <v>17085</v>
      </c>
      <c r="Q3729" s="8">
        <f>+(24+26/60+51/3600)</f>
        <v>24.447500000000002</v>
      </c>
      <c r="R3729" s="8">
        <v>13</v>
      </c>
      <c r="S3729" s="8">
        <v>13.9</v>
      </c>
      <c r="T3729" s="8">
        <v>0.9</v>
      </c>
      <c r="U3729" s="8">
        <v>14</v>
      </c>
      <c r="V3729" s="8">
        <v>2</v>
      </c>
      <c r="W3729" s="8">
        <v>1.5</v>
      </c>
      <c r="X3729" s="8">
        <v>25</v>
      </c>
      <c r="Y3729" s="8" t="s">
        <v>2641</v>
      </c>
      <c r="Z3729" s="8" t="s">
        <v>2642</v>
      </c>
    </row>
    <row r="3730" spans="1:26" x14ac:dyDescent="0.2">
      <c r="A3730" s="8">
        <v>3729</v>
      </c>
      <c r="B3730" s="8" t="s">
        <v>17086</v>
      </c>
      <c r="C3730" s="8" t="s">
        <v>17086</v>
      </c>
      <c r="F3730" s="47" t="s">
        <v>56989</v>
      </c>
      <c r="G3730" s="8">
        <v>6</v>
      </c>
      <c r="H3730" s="8" t="s">
        <v>21</v>
      </c>
      <c r="I3730" s="8" t="s">
        <v>22</v>
      </c>
      <c r="J3730" s="8" t="s">
        <v>22</v>
      </c>
      <c r="K3730" s="8" t="s">
        <v>7975</v>
      </c>
      <c r="L3730" s="8" t="s">
        <v>12015</v>
      </c>
      <c r="M3730" s="8" t="s">
        <v>12016</v>
      </c>
      <c r="N3730" s="8" t="s">
        <v>17087</v>
      </c>
      <c r="O3730" s="8">
        <f>11+33/60+49.2/3600</f>
        <v>11.563666666666668</v>
      </c>
      <c r="P3730" s="8" t="s">
        <v>17088</v>
      </c>
      <c r="Q3730" s="8">
        <f>+(53+7/60+35/3600)</f>
        <v>53.12638888888889</v>
      </c>
      <c r="R3730" s="8">
        <v>11.4</v>
      </c>
      <c r="S3730" s="8">
        <v>12</v>
      </c>
      <c r="T3730" s="8">
        <v>0.6</v>
      </c>
      <c r="U3730" s="8">
        <v>13.1</v>
      </c>
      <c r="V3730" s="8">
        <v>2.9</v>
      </c>
      <c r="W3730" s="8">
        <v>1.9</v>
      </c>
      <c r="X3730" s="8">
        <v>165</v>
      </c>
      <c r="Y3730" s="8" t="s">
        <v>17089</v>
      </c>
      <c r="Z3730" s="8" t="s">
        <v>17090</v>
      </c>
    </row>
    <row r="3731" spans="1:26" x14ac:dyDescent="0.2">
      <c r="A3731" s="8">
        <v>3730</v>
      </c>
      <c r="B3731" s="8" t="s">
        <v>17091</v>
      </c>
      <c r="C3731" s="8" t="s">
        <v>17091</v>
      </c>
      <c r="F3731" s="47"/>
      <c r="G3731" s="8">
        <v>19</v>
      </c>
      <c r="H3731" s="8" t="s">
        <v>21</v>
      </c>
      <c r="I3731" s="8" t="s">
        <v>22</v>
      </c>
      <c r="J3731" s="8" t="s">
        <v>22</v>
      </c>
      <c r="K3731" s="8" t="s">
        <v>183</v>
      </c>
      <c r="L3731" s="8" t="s">
        <v>15699</v>
      </c>
      <c r="M3731" s="8" t="s">
        <v>15700</v>
      </c>
      <c r="N3731" s="8" t="s">
        <v>17092</v>
      </c>
      <c r="O3731" s="8">
        <f>11+34/60+16.9/3600</f>
        <v>11.571361111111111</v>
      </c>
      <c r="P3731" s="8" t="s">
        <v>17093</v>
      </c>
      <c r="Q3731" s="8">
        <f>-(9+34/60+34/3600)</f>
        <v>-9.5761111111111106</v>
      </c>
      <c r="R3731" s="8">
        <v>13</v>
      </c>
      <c r="S3731" s="8">
        <v>14</v>
      </c>
      <c r="T3731" s="8">
        <v>1</v>
      </c>
      <c r="U3731" s="8">
        <v>13</v>
      </c>
      <c r="V3731" s="8">
        <v>1</v>
      </c>
      <c r="W3731" s="8">
        <v>0.9</v>
      </c>
      <c r="Y3731" s="8" t="s">
        <v>17094</v>
      </c>
      <c r="Z3731" s="8" t="s">
        <v>17095</v>
      </c>
    </row>
    <row r="3732" spans="1:26" x14ac:dyDescent="0.2">
      <c r="A3732" s="8">
        <v>3731</v>
      </c>
      <c r="B3732" s="8" t="s">
        <v>17096</v>
      </c>
      <c r="C3732" s="8" t="s">
        <v>17096</v>
      </c>
      <c r="F3732" s="47" t="s">
        <v>56990</v>
      </c>
      <c r="G3732" s="8">
        <v>15</v>
      </c>
      <c r="H3732" s="8" t="s">
        <v>21</v>
      </c>
      <c r="I3732" s="8" t="s">
        <v>22</v>
      </c>
      <c r="J3732" s="8" t="s">
        <v>22</v>
      </c>
      <c r="K3732" s="8" t="s">
        <v>183</v>
      </c>
      <c r="L3732" s="8" t="s">
        <v>13194</v>
      </c>
      <c r="M3732" s="8" t="s">
        <v>13195</v>
      </c>
      <c r="N3732" s="8" t="s">
        <v>17097</v>
      </c>
      <c r="O3732" s="8">
        <f>11+34/60+11.6/3600</f>
        <v>11.569888888888888</v>
      </c>
      <c r="P3732" s="8" t="s">
        <v>17098</v>
      </c>
      <c r="Q3732" s="8">
        <f>+(12+30/60+46/3600)</f>
        <v>12.512777777777778</v>
      </c>
      <c r="R3732" s="8">
        <v>13.1</v>
      </c>
      <c r="S3732" s="8">
        <v>14.1</v>
      </c>
      <c r="T3732" s="8">
        <v>1</v>
      </c>
      <c r="U3732" s="8">
        <v>13.1</v>
      </c>
      <c r="V3732" s="8">
        <v>1</v>
      </c>
      <c r="W3732" s="8">
        <v>0.9</v>
      </c>
      <c r="X3732" s="8">
        <v>50</v>
      </c>
      <c r="Y3732" s="8" t="s">
        <v>421</v>
      </c>
      <c r="Z3732" s="8" t="s">
        <v>422</v>
      </c>
    </row>
    <row r="3733" spans="1:26" x14ac:dyDescent="0.2">
      <c r="A3733" s="8">
        <v>3732</v>
      </c>
      <c r="B3733" s="8" t="s">
        <v>17099</v>
      </c>
      <c r="C3733" s="8" t="s">
        <v>17099</v>
      </c>
      <c r="F3733" s="47" t="s">
        <v>56991</v>
      </c>
      <c r="G3733" s="8">
        <v>6.5</v>
      </c>
      <c r="H3733" s="8" t="s">
        <v>21</v>
      </c>
      <c r="I3733" s="8" t="s">
        <v>22</v>
      </c>
      <c r="J3733" s="8" t="s">
        <v>22</v>
      </c>
      <c r="K3733" s="8" t="s">
        <v>435</v>
      </c>
      <c r="L3733" s="8" t="s">
        <v>15699</v>
      </c>
      <c r="M3733" s="8" t="s">
        <v>15700</v>
      </c>
      <c r="N3733" s="8" t="s">
        <v>17100</v>
      </c>
      <c r="O3733" s="8">
        <f>11+34/60+13.9/3600</f>
        <v>11.570527777777778</v>
      </c>
      <c r="P3733" s="8" t="s">
        <v>17101</v>
      </c>
      <c r="Q3733" s="8">
        <f>-(9+50/60+43/3600)</f>
        <v>-9.8452777777777776</v>
      </c>
      <c r="R3733" s="8">
        <v>12.5</v>
      </c>
      <c r="S3733" s="8">
        <v>13.1</v>
      </c>
      <c r="T3733" s="8">
        <v>0.6</v>
      </c>
      <c r="U3733" s="8">
        <v>12.7</v>
      </c>
      <c r="V3733" s="8">
        <v>1.4</v>
      </c>
      <c r="W3733" s="8">
        <v>1.2</v>
      </c>
      <c r="X3733" s="8">
        <v>85</v>
      </c>
      <c r="Y3733" s="8" t="s">
        <v>17094</v>
      </c>
      <c r="Z3733" s="8" t="s">
        <v>17102</v>
      </c>
    </row>
    <row r="3734" spans="1:26" x14ac:dyDescent="0.2">
      <c r="A3734" s="8">
        <v>3733</v>
      </c>
      <c r="B3734" s="8" t="s">
        <v>17103</v>
      </c>
      <c r="C3734" s="8" t="s">
        <v>17103</v>
      </c>
      <c r="F3734" s="47" t="s">
        <v>56992</v>
      </c>
      <c r="G3734" s="8">
        <v>15</v>
      </c>
      <c r="H3734" s="8" t="s">
        <v>21</v>
      </c>
      <c r="I3734" s="8" t="s">
        <v>22</v>
      </c>
      <c r="J3734" s="8" t="s">
        <v>22</v>
      </c>
      <c r="K3734" s="8" t="s">
        <v>64</v>
      </c>
      <c r="L3734" s="8" t="s">
        <v>12015</v>
      </c>
      <c r="M3734" s="8" t="s">
        <v>12016</v>
      </c>
      <c r="N3734" s="8" t="s">
        <v>17104</v>
      </c>
      <c r="O3734" s="8">
        <f>11+35/60+1.7/3600</f>
        <v>11.583805555555557</v>
      </c>
      <c r="P3734" s="8" t="s">
        <v>17105</v>
      </c>
      <c r="Q3734" s="8">
        <f>+(54+51/60+1/3600)</f>
        <v>54.850277777777777</v>
      </c>
      <c r="R3734" s="8">
        <v>12.4</v>
      </c>
      <c r="S3734" s="8">
        <v>12.9</v>
      </c>
      <c r="T3734" s="8">
        <v>0.5</v>
      </c>
      <c r="U3734" s="8">
        <v>14.8</v>
      </c>
      <c r="V3734" s="8">
        <v>4.9000000000000004</v>
      </c>
      <c r="W3734" s="8">
        <v>2.2000000000000002</v>
      </c>
      <c r="X3734" s="8">
        <v>170</v>
      </c>
      <c r="Y3734" s="8" t="s">
        <v>17106</v>
      </c>
      <c r="Z3734" s="8" t="s">
        <v>17107</v>
      </c>
    </row>
    <row r="3735" spans="1:26" x14ac:dyDescent="0.2">
      <c r="A3735" s="8">
        <v>3734</v>
      </c>
      <c r="B3735" s="8" t="s">
        <v>17108</v>
      </c>
      <c r="C3735" s="8" t="s">
        <v>17108</v>
      </c>
      <c r="F3735" s="47" t="s">
        <v>56993</v>
      </c>
      <c r="G3735" s="8">
        <v>15</v>
      </c>
      <c r="H3735" s="8" t="s">
        <v>21</v>
      </c>
      <c r="I3735" s="8" t="s">
        <v>22</v>
      </c>
      <c r="J3735" s="8" t="s">
        <v>22</v>
      </c>
      <c r="K3735" s="8" t="s">
        <v>396</v>
      </c>
      <c r="L3735" s="8" t="s">
        <v>15699</v>
      </c>
      <c r="M3735" s="8" t="s">
        <v>15700</v>
      </c>
      <c r="N3735" s="8" t="s">
        <v>17109</v>
      </c>
      <c r="O3735" s="8">
        <f>11+34/60+40.6/3600</f>
        <v>11.577944444444444</v>
      </c>
      <c r="P3735" s="8" t="s">
        <v>17110</v>
      </c>
      <c r="Q3735" s="8">
        <f>-(14+4/60+52/3600)</f>
        <v>-14.081111111111111</v>
      </c>
      <c r="R3735" s="8">
        <v>13.9</v>
      </c>
      <c r="S3735" s="8">
        <v>14.7</v>
      </c>
      <c r="T3735" s="8">
        <v>0.8</v>
      </c>
      <c r="U3735" s="8">
        <v>14</v>
      </c>
      <c r="V3735" s="8">
        <v>1.3</v>
      </c>
      <c r="W3735" s="8">
        <v>1</v>
      </c>
      <c r="X3735" s="8">
        <v>19</v>
      </c>
      <c r="Y3735" s="8" t="s">
        <v>3923</v>
      </c>
      <c r="Z3735" s="8" t="s">
        <v>3924</v>
      </c>
    </row>
    <row r="3736" spans="1:26" x14ac:dyDescent="0.2">
      <c r="A3736" s="8">
        <v>3735</v>
      </c>
      <c r="B3736" s="8" t="s">
        <v>17111</v>
      </c>
      <c r="C3736" s="8" t="s">
        <v>17111</v>
      </c>
      <c r="F3736" s="47" t="s">
        <v>56994</v>
      </c>
      <c r="G3736" s="8">
        <v>7</v>
      </c>
      <c r="H3736" s="8" t="s">
        <v>21</v>
      </c>
      <c r="I3736" s="8" t="s">
        <v>22</v>
      </c>
      <c r="J3736" s="8" t="s">
        <v>22</v>
      </c>
      <c r="K3736" s="8" t="s">
        <v>160</v>
      </c>
      <c r="L3736" s="8" t="s">
        <v>13395</v>
      </c>
      <c r="M3736" s="8" t="s">
        <v>13396</v>
      </c>
      <c r="N3736" s="8" t="s">
        <v>17112</v>
      </c>
      <c r="O3736" s="8">
        <f>11+35/60+57.1/3600</f>
        <v>11.599194444444445</v>
      </c>
      <c r="P3736" s="8" t="s">
        <v>17113</v>
      </c>
      <c r="Q3736" s="8">
        <f>+(70+32/60+8/3600)</f>
        <v>70.535555555555547</v>
      </c>
      <c r="R3736" s="8">
        <v>11.9</v>
      </c>
      <c r="S3736" s="8">
        <v>12.6</v>
      </c>
      <c r="T3736" s="8">
        <v>0.7</v>
      </c>
      <c r="U3736" s="8">
        <v>13</v>
      </c>
      <c r="V3736" s="8">
        <v>4</v>
      </c>
      <c r="W3736" s="8">
        <v>0.8</v>
      </c>
      <c r="X3736" s="8">
        <v>131</v>
      </c>
      <c r="Y3736" s="8" t="s">
        <v>17114</v>
      </c>
      <c r="Z3736" s="8" t="s">
        <v>17115</v>
      </c>
    </row>
    <row r="3737" spans="1:26" x14ac:dyDescent="0.2">
      <c r="A3737" s="8">
        <v>3736</v>
      </c>
      <c r="B3737" s="8" t="s">
        <v>17116</v>
      </c>
      <c r="C3737" s="8" t="s">
        <v>17116</v>
      </c>
      <c r="F3737" s="47"/>
      <c r="G3737" s="8">
        <v>19</v>
      </c>
      <c r="H3737" s="8" t="s">
        <v>21</v>
      </c>
      <c r="I3737" s="8" t="s">
        <v>22</v>
      </c>
      <c r="J3737" s="8" t="s">
        <v>22</v>
      </c>
      <c r="K3737" s="8" t="s">
        <v>476</v>
      </c>
      <c r="L3737" s="8" t="s">
        <v>13395</v>
      </c>
      <c r="M3737" s="8" t="s">
        <v>13396</v>
      </c>
      <c r="N3737" s="8" t="s">
        <v>17117</v>
      </c>
      <c r="O3737" s="8">
        <f>11+35/60+41.7/3600</f>
        <v>11.594916666666668</v>
      </c>
      <c r="P3737" s="8" t="s">
        <v>17118</v>
      </c>
      <c r="Q3737" s="8">
        <f>+(73+27/60+9/3600)</f>
        <v>73.452500000000001</v>
      </c>
      <c r="R3737" s="8">
        <v>14.5</v>
      </c>
      <c r="S3737" s="8">
        <v>15.4</v>
      </c>
      <c r="T3737" s="8">
        <v>0.9</v>
      </c>
      <c r="U3737" s="8">
        <v>14.1</v>
      </c>
      <c r="V3737" s="8">
        <v>1.1000000000000001</v>
      </c>
      <c r="W3737" s="8">
        <v>0.7</v>
      </c>
      <c r="X3737" s="8">
        <v>155</v>
      </c>
      <c r="Y3737" s="8" t="s">
        <v>421</v>
      </c>
      <c r="Z3737" s="8" t="s">
        <v>422</v>
      </c>
    </row>
    <row r="3738" spans="1:26" x14ac:dyDescent="0.2">
      <c r="A3738" s="8">
        <v>3737</v>
      </c>
      <c r="B3738" s="8" t="s">
        <v>17119</v>
      </c>
      <c r="C3738" s="8" t="s">
        <v>17119</v>
      </c>
      <c r="F3738" s="47" t="s">
        <v>56995</v>
      </c>
      <c r="G3738" s="8">
        <v>15</v>
      </c>
      <c r="H3738" s="8" t="s">
        <v>21</v>
      </c>
      <c r="I3738" s="8" t="s">
        <v>22</v>
      </c>
      <c r="J3738" s="8" t="s">
        <v>22</v>
      </c>
      <c r="K3738" s="8" t="s">
        <v>224</v>
      </c>
      <c r="L3738" s="8" t="s">
        <v>12015</v>
      </c>
      <c r="M3738" s="8" t="s">
        <v>12016</v>
      </c>
      <c r="N3738" s="8" t="s">
        <v>17120</v>
      </c>
      <c r="O3738" s="8">
        <f>11+35/60+36.2/3600</f>
        <v>11.593388888888889</v>
      </c>
      <c r="P3738" s="8" t="s">
        <v>17121</v>
      </c>
      <c r="Q3738" s="8">
        <f>+(54+56/60+56/3600)</f>
        <v>54.948888888888888</v>
      </c>
      <c r="R3738" s="8">
        <v>12.8</v>
      </c>
      <c r="S3738" s="8">
        <v>13.8</v>
      </c>
      <c r="T3738" s="8">
        <v>1</v>
      </c>
      <c r="U3738" s="8">
        <v>12</v>
      </c>
      <c r="V3738" s="8">
        <v>0.8</v>
      </c>
      <c r="W3738" s="8">
        <v>0.7</v>
      </c>
      <c r="X3738" s="8">
        <v>81</v>
      </c>
      <c r="Y3738" s="8" t="s">
        <v>3344</v>
      </c>
      <c r="Z3738" s="8" t="s">
        <v>3345</v>
      </c>
    </row>
    <row r="3739" spans="1:26" x14ac:dyDescent="0.2">
      <c r="A3739" s="8">
        <v>3738</v>
      </c>
      <c r="B3739" s="8" t="s">
        <v>17122</v>
      </c>
      <c r="C3739" s="8" t="s">
        <v>17122</v>
      </c>
      <c r="F3739" s="47" t="s">
        <v>56996</v>
      </c>
      <c r="G3739" s="8">
        <v>13</v>
      </c>
      <c r="H3739" s="8" t="s">
        <v>21</v>
      </c>
      <c r="I3739" s="8" t="s">
        <v>22</v>
      </c>
      <c r="J3739" s="8" t="s">
        <v>22</v>
      </c>
      <c r="K3739" s="8" t="s">
        <v>3616</v>
      </c>
      <c r="L3739" s="8" t="s">
        <v>12015</v>
      </c>
      <c r="M3739" s="8" t="s">
        <v>12016</v>
      </c>
      <c r="N3739" s="8" t="s">
        <v>17123</v>
      </c>
      <c r="O3739" s="8">
        <f>11+35/60+48.2/3600</f>
        <v>11.596722222222223</v>
      </c>
      <c r="P3739" s="8" t="s">
        <v>17124</v>
      </c>
      <c r="Q3739" s="8">
        <f>+(54+31/60+26/3600)</f>
        <v>54.523888888888891</v>
      </c>
      <c r="R3739" s="8">
        <v>11.7</v>
      </c>
      <c r="S3739" s="8">
        <v>12.1</v>
      </c>
      <c r="T3739" s="8">
        <v>0.4</v>
      </c>
      <c r="U3739" s="8">
        <v>13.3</v>
      </c>
      <c r="V3739" s="8">
        <v>2.5</v>
      </c>
      <c r="W3739" s="8">
        <v>1.9</v>
      </c>
      <c r="X3739" s="8">
        <v>155</v>
      </c>
      <c r="Y3739" s="8" t="s">
        <v>17125</v>
      </c>
      <c r="Z3739" s="8" t="s">
        <v>17126</v>
      </c>
    </row>
    <row r="3740" spans="1:26" x14ac:dyDescent="0.2">
      <c r="A3740" s="8">
        <v>3739</v>
      </c>
      <c r="B3740" s="8" t="s">
        <v>17127</v>
      </c>
      <c r="C3740" s="8" t="s">
        <v>17127</v>
      </c>
      <c r="F3740" s="47"/>
      <c r="G3740" s="8">
        <v>18</v>
      </c>
      <c r="H3740" s="8" t="s">
        <v>21</v>
      </c>
      <c r="I3740" s="8" t="s">
        <v>22</v>
      </c>
      <c r="J3740" s="8" t="s">
        <v>22</v>
      </c>
      <c r="K3740" s="8" t="s">
        <v>396</v>
      </c>
      <c r="L3740" s="8" t="s">
        <v>13194</v>
      </c>
      <c r="M3740" s="8" t="s">
        <v>13195</v>
      </c>
      <c r="N3740" s="8" t="s">
        <v>17128</v>
      </c>
      <c r="O3740" s="8">
        <f>11+35/60+37.5/3600</f>
        <v>11.59375</v>
      </c>
      <c r="P3740" s="8" t="s">
        <v>17129</v>
      </c>
      <c r="Q3740" s="8">
        <f>+(25+5/60+19/3600)</f>
        <v>25.08861111111111</v>
      </c>
      <c r="R3740" s="8">
        <v>14.4</v>
      </c>
      <c r="S3740" s="8">
        <v>15.2</v>
      </c>
      <c r="T3740" s="8">
        <v>0.8</v>
      </c>
      <c r="U3740" s="8">
        <v>13.1</v>
      </c>
      <c r="V3740" s="8">
        <v>1.1000000000000001</v>
      </c>
      <c r="W3740" s="8">
        <v>0.3</v>
      </c>
      <c r="X3740" s="8">
        <v>17</v>
      </c>
      <c r="Y3740" s="8" t="s">
        <v>17130</v>
      </c>
      <c r="Z3740" s="8" t="s">
        <v>17131</v>
      </c>
    </row>
    <row r="3741" spans="1:26" x14ac:dyDescent="0.2">
      <c r="A3741" s="8">
        <v>3740</v>
      </c>
      <c r="B3741" s="8" t="s">
        <v>17132</v>
      </c>
      <c r="C3741" s="8" t="s">
        <v>17132</v>
      </c>
      <c r="F3741" s="47" t="s">
        <v>56997</v>
      </c>
      <c r="G3741" s="8">
        <v>15</v>
      </c>
      <c r="H3741" s="8" t="s">
        <v>21</v>
      </c>
      <c r="I3741" s="8" t="s">
        <v>22</v>
      </c>
      <c r="J3741" s="8" t="s">
        <v>22</v>
      </c>
      <c r="K3741" s="8" t="s">
        <v>449</v>
      </c>
      <c r="L3741" s="8" t="s">
        <v>12015</v>
      </c>
      <c r="M3741" s="8" t="s">
        <v>12016</v>
      </c>
      <c r="N3741" s="8" t="s">
        <v>17133</v>
      </c>
      <c r="O3741" s="8">
        <f>11+36/60+12.1/3600</f>
        <v>11.603361111111111</v>
      </c>
      <c r="P3741" s="8" t="s">
        <v>17134</v>
      </c>
      <c r="Q3741" s="8">
        <f>+(59+58/60+36/3600)</f>
        <v>59.976666666666667</v>
      </c>
      <c r="R3741" s="8">
        <v>14</v>
      </c>
      <c r="S3741" s="8">
        <v>14.9</v>
      </c>
      <c r="T3741" s="8">
        <v>0.9</v>
      </c>
      <c r="U3741" s="8">
        <v>12.7</v>
      </c>
      <c r="V3741" s="8">
        <v>0.9</v>
      </c>
      <c r="W3741" s="8">
        <v>0.4</v>
      </c>
      <c r="X3741" s="8">
        <v>110</v>
      </c>
      <c r="Y3741" s="8" t="s">
        <v>17135</v>
      </c>
      <c r="Z3741" s="8" t="s">
        <v>17136</v>
      </c>
    </row>
    <row r="3742" spans="1:26" x14ac:dyDescent="0.2">
      <c r="A3742" s="8">
        <v>3741</v>
      </c>
      <c r="B3742" s="8" t="s">
        <v>17137</v>
      </c>
      <c r="C3742" s="8" t="s">
        <v>17137</v>
      </c>
      <c r="F3742" s="47"/>
      <c r="G3742" s="8">
        <v>16</v>
      </c>
      <c r="H3742" s="8" t="s">
        <v>21</v>
      </c>
      <c r="I3742" s="8" t="s">
        <v>22</v>
      </c>
      <c r="J3742" s="8" t="s">
        <v>22</v>
      </c>
      <c r="K3742" s="8" t="s">
        <v>3616</v>
      </c>
      <c r="L3742" s="8" t="s">
        <v>12015</v>
      </c>
      <c r="M3742" s="8" t="s">
        <v>12016</v>
      </c>
      <c r="N3742" s="8" t="s">
        <v>17138</v>
      </c>
      <c r="O3742" s="8">
        <f>11+36/60+6/3600</f>
        <v>11.601666666666667</v>
      </c>
      <c r="P3742" s="8" t="s">
        <v>17139</v>
      </c>
      <c r="Q3742" s="8">
        <f>+(45+17/60+3/3600)</f>
        <v>45.284166666666664</v>
      </c>
      <c r="R3742" s="8">
        <v>14</v>
      </c>
      <c r="S3742" s="8">
        <v>14.3</v>
      </c>
      <c r="T3742" s="8">
        <v>0.3</v>
      </c>
      <c r="U3742" s="8">
        <v>14.7</v>
      </c>
      <c r="V3742" s="8">
        <v>1.4</v>
      </c>
      <c r="W3742" s="8">
        <v>0.8</v>
      </c>
      <c r="X3742" s="8">
        <v>5</v>
      </c>
      <c r="Y3742" s="8" t="s">
        <v>15919</v>
      </c>
      <c r="Z3742" s="8" t="s">
        <v>15920</v>
      </c>
    </row>
    <row r="3743" spans="1:26" x14ac:dyDescent="0.2">
      <c r="A3743" s="8">
        <v>3742</v>
      </c>
      <c r="B3743" s="8" t="s">
        <v>17140</v>
      </c>
      <c r="C3743" s="8" t="s">
        <v>17140</v>
      </c>
      <c r="F3743" s="47"/>
      <c r="G3743" s="8">
        <v>16</v>
      </c>
      <c r="H3743" s="8" t="s">
        <v>21</v>
      </c>
      <c r="I3743" s="8" t="s">
        <v>22</v>
      </c>
      <c r="J3743" s="8" t="s">
        <v>22</v>
      </c>
      <c r="K3743" s="8" t="s">
        <v>4023</v>
      </c>
      <c r="L3743" s="8" t="s">
        <v>16195</v>
      </c>
      <c r="M3743" s="8" t="s">
        <v>16196</v>
      </c>
      <c r="N3743" s="8" t="s">
        <v>17141</v>
      </c>
      <c r="O3743" s="8">
        <f>11+35/60+32.1/3600</f>
        <v>11.59225</v>
      </c>
      <c r="P3743" s="8" t="s">
        <v>17142</v>
      </c>
      <c r="Q3743" s="8">
        <f>-(37+57/60+22/3600)</f>
        <v>-37.956111111111113</v>
      </c>
      <c r="R3743" s="8">
        <v>12.1</v>
      </c>
      <c r="S3743" s="8">
        <v>13</v>
      </c>
      <c r="T3743" s="8">
        <v>0.9</v>
      </c>
      <c r="U3743" s="8">
        <v>12.4</v>
      </c>
      <c r="V3743" s="8">
        <v>2.4</v>
      </c>
      <c r="W3743" s="8">
        <v>1.7</v>
      </c>
      <c r="X3743" s="8">
        <v>116</v>
      </c>
      <c r="Y3743" s="8" t="s">
        <v>17143</v>
      </c>
      <c r="Z3743" s="8" t="s">
        <v>17144</v>
      </c>
    </row>
    <row r="3744" spans="1:26" x14ac:dyDescent="0.2">
      <c r="A3744" s="8">
        <v>3743</v>
      </c>
      <c r="B3744" s="8" t="s">
        <v>17145</v>
      </c>
      <c r="C3744" s="8" t="s">
        <v>17145</v>
      </c>
      <c r="F3744" s="47"/>
      <c r="G3744" s="8">
        <v>19</v>
      </c>
      <c r="H3744" s="8" t="s">
        <v>21</v>
      </c>
      <c r="I3744" s="8" t="s">
        <v>22</v>
      </c>
      <c r="J3744" s="8" t="s">
        <v>22</v>
      </c>
      <c r="K3744" s="8" t="s">
        <v>58</v>
      </c>
      <c r="L3744" s="8" t="s">
        <v>13194</v>
      </c>
      <c r="M3744" s="8" t="s">
        <v>13195</v>
      </c>
      <c r="N3744" s="8" t="s">
        <v>17146</v>
      </c>
      <c r="O3744" s="8">
        <f>11+35/60+57.3/3600</f>
        <v>11.599250000000001</v>
      </c>
      <c r="P3744" s="8" t="s">
        <v>17147</v>
      </c>
      <c r="Q3744" s="8">
        <f>+(21+43/60+23/3600)</f>
        <v>21.723055555555554</v>
      </c>
      <c r="R3744" s="8">
        <v>14.4</v>
      </c>
      <c r="S3744" s="8">
        <v>15.2</v>
      </c>
      <c r="T3744" s="8">
        <v>0.8</v>
      </c>
      <c r="U3744" s="8">
        <v>12.8</v>
      </c>
      <c r="V3744" s="8">
        <v>0.5</v>
      </c>
      <c r="W3744" s="8">
        <v>0.5</v>
      </c>
      <c r="Y3744" s="8" t="s">
        <v>17148</v>
      </c>
      <c r="Z3744" s="8" t="s">
        <v>17149</v>
      </c>
    </row>
    <row r="3745" spans="1:26" x14ac:dyDescent="0.2">
      <c r="A3745" s="8">
        <v>3744</v>
      </c>
      <c r="B3745" s="8" t="s">
        <v>17150</v>
      </c>
      <c r="C3745" s="8" t="s">
        <v>17150</v>
      </c>
      <c r="F3745" s="47"/>
      <c r="G3745" s="8">
        <v>19</v>
      </c>
      <c r="H3745" s="8" t="s">
        <v>21</v>
      </c>
      <c r="I3745" s="8" t="s">
        <v>22</v>
      </c>
      <c r="J3745" s="8" t="s">
        <v>22</v>
      </c>
      <c r="K3745" s="8" t="s">
        <v>449</v>
      </c>
      <c r="L3745" s="8" t="s">
        <v>13194</v>
      </c>
      <c r="M3745" s="8" t="s">
        <v>13195</v>
      </c>
      <c r="N3745" s="8" t="s">
        <v>17151</v>
      </c>
      <c r="O3745" s="8">
        <f>11+35/60+57.8/3600</f>
        <v>11.599388888888889</v>
      </c>
      <c r="P3745" s="8" t="s">
        <v>17152</v>
      </c>
      <c r="Q3745" s="8">
        <f>+(23+0/60+44/3600)</f>
        <v>23.012222222222221</v>
      </c>
      <c r="R3745" s="8">
        <v>15</v>
      </c>
      <c r="S3745" s="8">
        <v>16</v>
      </c>
      <c r="T3745" s="8">
        <v>1</v>
      </c>
      <c r="U3745" s="8">
        <v>13</v>
      </c>
      <c r="V3745" s="8">
        <v>0.6</v>
      </c>
      <c r="W3745" s="8">
        <v>0.2</v>
      </c>
      <c r="X3745" s="8">
        <v>9</v>
      </c>
      <c r="Y3745" s="8" t="s">
        <v>3982</v>
      </c>
      <c r="Z3745" s="8" t="s">
        <v>3983</v>
      </c>
    </row>
    <row r="3746" spans="1:26" x14ac:dyDescent="0.2">
      <c r="A3746" s="8">
        <v>3745</v>
      </c>
      <c r="B3746" s="8" t="s">
        <v>17153</v>
      </c>
      <c r="C3746" s="8" t="s">
        <v>17153</v>
      </c>
      <c r="F3746" s="47"/>
      <c r="G3746" s="8">
        <v>14</v>
      </c>
      <c r="H3746" s="8" t="s">
        <v>17154</v>
      </c>
      <c r="I3746" s="8" t="s">
        <v>22</v>
      </c>
      <c r="J3746" s="8" t="s">
        <v>22</v>
      </c>
      <c r="K3746" s="8" t="s">
        <v>58</v>
      </c>
      <c r="L3746" s="8" t="s">
        <v>13194</v>
      </c>
      <c r="M3746" s="8" t="s">
        <v>13195</v>
      </c>
      <c r="N3746" s="8" t="s">
        <v>17155</v>
      </c>
      <c r="O3746" s="8">
        <f>11+37/60+44.5/3600</f>
        <v>11.629027777777779</v>
      </c>
      <c r="P3746" s="8" t="s">
        <v>17156</v>
      </c>
      <c r="Q3746" s="8">
        <f>+(22+1/60+16/3600)</f>
        <v>22.021111111111111</v>
      </c>
      <c r="R3746" s="8">
        <v>15.2</v>
      </c>
      <c r="S3746" s="8">
        <v>16.2</v>
      </c>
      <c r="T3746" s="8">
        <v>1</v>
      </c>
      <c r="U3746" s="8">
        <v>12</v>
      </c>
      <c r="V3746" s="8">
        <v>0.4</v>
      </c>
      <c r="W3746" s="8">
        <v>0.2</v>
      </c>
      <c r="X3746" s="8">
        <v>102</v>
      </c>
      <c r="Y3746" s="8" t="s">
        <v>14002</v>
      </c>
      <c r="Z3746" s="8" t="s">
        <v>14003</v>
      </c>
    </row>
    <row r="3747" spans="1:26" x14ac:dyDescent="0.2">
      <c r="A3747" s="8">
        <v>3746</v>
      </c>
      <c r="B3747" s="8" t="s">
        <v>17157</v>
      </c>
      <c r="C3747" s="8" t="s">
        <v>17157</v>
      </c>
      <c r="F3747" s="47"/>
      <c r="G3747" s="8">
        <v>14</v>
      </c>
      <c r="H3747" s="8" t="s">
        <v>17154</v>
      </c>
      <c r="I3747" s="8" t="s">
        <v>22</v>
      </c>
      <c r="J3747" s="8" t="s">
        <v>22</v>
      </c>
      <c r="K3747" s="8" t="s">
        <v>406</v>
      </c>
      <c r="L3747" s="8" t="s">
        <v>13194</v>
      </c>
      <c r="M3747" s="8" t="s">
        <v>13195</v>
      </c>
      <c r="N3747" s="8" t="s">
        <v>17158</v>
      </c>
      <c r="O3747" s="8">
        <f>11+37/60+43.6/3600</f>
        <v>11.628777777777778</v>
      </c>
      <c r="P3747" s="8" t="s">
        <v>17159</v>
      </c>
      <c r="Q3747" s="8">
        <f>+(22+0/60+35/3600)</f>
        <v>22.009722222222223</v>
      </c>
      <c r="R3747" s="8">
        <v>14.1</v>
      </c>
      <c r="S3747" s="8">
        <v>15</v>
      </c>
      <c r="T3747" s="8">
        <v>0.9</v>
      </c>
      <c r="U3747" s="8">
        <v>13.3</v>
      </c>
      <c r="V3747" s="8">
        <v>1.1000000000000001</v>
      </c>
      <c r="W3747" s="8">
        <v>0.5</v>
      </c>
      <c r="X3747" s="8">
        <v>126</v>
      </c>
      <c r="Y3747" s="8" t="s">
        <v>14002</v>
      </c>
      <c r="Z3747" s="8" t="s">
        <v>14003</v>
      </c>
    </row>
    <row r="3748" spans="1:26" x14ac:dyDescent="0.2">
      <c r="A3748" s="8">
        <v>3747</v>
      </c>
      <c r="B3748" s="8" t="s">
        <v>17160</v>
      </c>
      <c r="C3748" s="8" t="s">
        <v>17160</v>
      </c>
      <c r="F3748" s="47" t="s">
        <v>56998</v>
      </c>
      <c r="G3748" s="8">
        <v>15</v>
      </c>
      <c r="H3748" s="8" t="s">
        <v>21</v>
      </c>
      <c r="I3748" s="8" t="s">
        <v>22</v>
      </c>
      <c r="J3748" s="8" t="s">
        <v>22</v>
      </c>
      <c r="K3748" s="8" t="s">
        <v>476</v>
      </c>
      <c r="L3748" s="8" t="s">
        <v>13395</v>
      </c>
      <c r="M3748" s="8" t="s">
        <v>13396</v>
      </c>
      <c r="N3748" s="8" t="s">
        <v>17161</v>
      </c>
      <c r="O3748" s="8">
        <f>11+32/60+31.2/3600</f>
        <v>11.542</v>
      </c>
      <c r="P3748" s="8" t="s">
        <v>17162</v>
      </c>
      <c r="Q3748" s="8">
        <f>+(74+22/60+44/3600)</f>
        <v>74.378888888888881</v>
      </c>
      <c r="R3748" s="8">
        <v>15</v>
      </c>
      <c r="S3748" s="8">
        <v>15.8</v>
      </c>
      <c r="T3748" s="8">
        <v>0.8</v>
      </c>
      <c r="U3748" s="8">
        <v>13.2</v>
      </c>
      <c r="V3748" s="8">
        <v>0.7</v>
      </c>
      <c r="W3748" s="8">
        <v>0.3</v>
      </c>
      <c r="X3748" s="8">
        <v>100</v>
      </c>
      <c r="Y3748" s="8" t="s">
        <v>17163</v>
      </c>
      <c r="Z3748" s="8" t="s">
        <v>17164</v>
      </c>
    </row>
    <row r="3749" spans="1:26" x14ac:dyDescent="0.2">
      <c r="A3749" s="8">
        <v>3748</v>
      </c>
      <c r="B3749" s="8" t="s">
        <v>17165</v>
      </c>
      <c r="C3749" s="8" t="s">
        <v>17165</v>
      </c>
      <c r="F3749" s="47"/>
      <c r="G3749" s="8">
        <v>14</v>
      </c>
      <c r="H3749" s="8" t="s">
        <v>17154</v>
      </c>
      <c r="I3749" s="8" t="s">
        <v>22</v>
      </c>
      <c r="J3749" s="8" t="s">
        <v>22</v>
      </c>
      <c r="K3749" s="8" t="s">
        <v>224</v>
      </c>
      <c r="L3749" s="8" t="s">
        <v>13194</v>
      </c>
      <c r="M3749" s="8" t="s">
        <v>13195</v>
      </c>
      <c r="N3749" s="8" t="s">
        <v>17166</v>
      </c>
      <c r="O3749" s="8">
        <f>11+37/60+49.1/3600</f>
        <v>11.630305555555555</v>
      </c>
      <c r="P3749" s="8" t="s">
        <v>17167</v>
      </c>
      <c r="Q3749" s="8">
        <f>+(22+1/60+35/3600)</f>
        <v>22.026388888888889</v>
      </c>
      <c r="R3749" s="8">
        <v>14.8</v>
      </c>
      <c r="S3749" s="8">
        <v>15.8</v>
      </c>
      <c r="T3749" s="8">
        <v>1</v>
      </c>
      <c r="U3749" s="8">
        <v>12.6</v>
      </c>
      <c r="V3749" s="8">
        <v>0.7</v>
      </c>
      <c r="W3749" s="8">
        <v>0.4</v>
      </c>
      <c r="X3749" s="8">
        <v>132</v>
      </c>
      <c r="Y3749" s="8" t="s">
        <v>14002</v>
      </c>
      <c r="Z3749" s="8" t="s">
        <v>14003</v>
      </c>
    </row>
    <row r="3750" spans="1:26" x14ac:dyDescent="0.2">
      <c r="A3750" s="8">
        <v>3749</v>
      </c>
      <c r="B3750" s="8" t="s">
        <v>17168</v>
      </c>
      <c r="C3750" s="8" t="s">
        <v>17168</v>
      </c>
      <c r="F3750" s="47"/>
      <c r="G3750" s="8">
        <v>16</v>
      </c>
      <c r="H3750" s="8" t="s">
        <v>21</v>
      </c>
      <c r="I3750" s="8" t="s">
        <v>22</v>
      </c>
      <c r="J3750" s="8" t="s">
        <v>22</v>
      </c>
      <c r="K3750" s="8" t="s">
        <v>91</v>
      </c>
      <c r="L3750" s="8" t="s">
        <v>16195</v>
      </c>
      <c r="M3750" s="8" t="s">
        <v>16196</v>
      </c>
      <c r="N3750" s="8" t="s">
        <v>17169</v>
      </c>
      <c r="O3750" s="8">
        <f>11+35/60+53/3600</f>
        <v>11.598055555555556</v>
      </c>
      <c r="P3750" s="8" t="s">
        <v>17170</v>
      </c>
      <c r="Q3750" s="8">
        <f>-(37+59/60+51/3600)</f>
        <v>-37.997500000000002</v>
      </c>
      <c r="R3750" s="8">
        <v>12.3</v>
      </c>
      <c r="S3750" s="8">
        <v>13.2</v>
      </c>
      <c r="T3750" s="8">
        <v>0.9</v>
      </c>
      <c r="U3750" s="8">
        <v>13.9</v>
      </c>
      <c r="V3750" s="8">
        <v>4.2</v>
      </c>
      <c r="W3750" s="8">
        <v>1.2</v>
      </c>
      <c r="X3750" s="8">
        <v>107</v>
      </c>
      <c r="Y3750" s="8" t="s">
        <v>17171</v>
      </c>
      <c r="Z3750" s="8" t="s">
        <v>17172</v>
      </c>
    </row>
    <row r="3751" spans="1:26" x14ac:dyDescent="0.2">
      <c r="A3751" s="8">
        <v>3750</v>
      </c>
      <c r="B3751" s="8" t="s">
        <v>17173</v>
      </c>
      <c r="C3751" s="8" t="s">
        <v>17173</v>
      </c>
      <c r="F3751" s="47"/>
      <c r="G3751" s="8">
        <v>14</v>
      </c>
      <c r="H3751" s="8" t="s">
        <v>17154</v>
      </c>
      <c r="I3751" s="8" t="s">
        <v>22</v>
      </c>
      <c r="J3751" s="8" t="s">
        <v>22</v>
      </c>
      <c r="K3751" s="8" t="s">
        <v>58</v>
      </c>
      <c r="L3751" s="8" t="s">
        <v>13194</v>
      </c>
      <c r="M3751" s="8" t="s">
        <v>13195</v>
      </c>
      <c r="N3751" s="8" t="s">
        <v>17174</v>
      </c>
      <c r="O3751" s="8">
        <f>11+37/60+51.6/3600</f>
        <v>11.631</v>
      </c>
      <c r="P3751" s="8" t="s">
        <v>17175</v>
      </c>
      <c r="Q3751" s="8">
        <f>+(21+58/60+29/3600)</f>
        <v>21.974722222222219</v>
      </c>
      <c r="R3751" s="8">
        <v>13.9</v>
      </c>
      <c r="S3751" s="8">
        <v>14.9</v>
      </c>
      <c r="T3751" s="8">
        <v>1</v>
      </c>
      <c r="U3751" s="8">
        <v>12.1</v>
      </c>
      <c r="V3751" s="8">
        <v>0.5</v>
      </c>
      <c r="W3751" s="8">
        <v>0.4</v>
      </c>
      <c r="X3751" s="8">
        <v>132</v>
      </c>
      <c r="Y3751" s="8" t="s">
        <v>17176</v>
      </c>
      <c r="Z3751" s="8" t="s">
        <v>17177</v>
      </c>
    </row>
    <row r="3752" spans="1:26" x14ac:dyDescent="0.2">
      <c r="A3752" s="8">
        <v>3751</v>
      </c>
      <c r="B3752" s="8" t="s">
        <v>17178</v>
      </c>
      <c r="C3752" s="8" t="s">
        <v>17178</v>
      </c>
      <c r="F3752" s="47"/>
      <c r="G3752" s="8">
        <v>14</v>
      </c>
      <c r="H3752" s="8" t="s">
        <v>17154</v>
      </c>
      <c r="I3752" s="8" t="s">
        <v>22</v>
      </c>
      <c r="J3752" s="8" t="s">
        <v>22</v>
      </c>
      <c r="K3752" s="8" t="s">
        <v>58</v>
      </c>
      <c r="L3752" s="8" t="s">
        <v>13194</v>
      </c>
      <c r="M3752" s="8" t="s">
        <v>13195</v>
      </c>
      <c r="N3752" s="8" t="s">
        <v>17179</v>
      </c>
      <c r="O3752" s="8">
        <f>11+37/60+53.9/3600</f>
        <v>11.63163888888889</v>
      </c>
      <c r="P3752" s="8" t="s">
        <v>17180</v>
      </c>
      <c r="Q3752" s="8">
        <f>+(21+56/60+13/3600)</f>
        <v>21.936944444444446</v>
      </c>
      <c r="R3752" s="8">
        <v>14.4</v>
      </c>
      <c r="S3752" s="8">
        <v>15.3</v>
      </c>
      <c r="T3752" s="8">
        <v>0.9</v>
      </c>
      <c r="U3752" s="8">
        <v>12</v>
      </c>
      <c r="V3752" s="8">
        <v>0.5</v>
      </c>
      <c r="W3752" s="8">
        <v>0.2</v>
      </c>
      <c r="X3752" s="8">
        <v>9</v>
      </c>
      <c r="Y3752" s="8" t="s">
        <v>17181</v>
      </c>
      <c r="Z3752" s="8" t="s">
        <v>17182</v>
      </c>
    </row>
    <row r="3753" spans="1:26" x14ac:dyDescent="0.2">
      <c r="A3753" s="8">
        <v>3752</v>
      </c>
      <c r="B3753" s="8" t="s">
        <v>17183</v>
      </c>
      <c r="C3753" s="8" t="s">
        <v>17183</v>
      </c>
      <c r="F3753" s="47" t="s">
        <v>56999</v>
      </c>
      <c r="G3753" s="8">
        <v>15</v>
      </c>
      <c r="H3753" s="8" t="s">
        <v>21</v>
      </c>
      <c r="I3753" s="8" t="s">
        <v>22</v>
      </c>
      <c r="J3753" s="8" t="s">
        <v>22</v>
      </c>
      <c r="K3753" s="8" t="s">
        <v>31</v>
      </c>
      <c r="L3753" s="8" t="s">
        <v>13395</v>
      </c>
      <c r="M3753" s="8" t="s">
        <v>13396</v>
      </c>
      <c r="N3753" s="8" t="s">
        <v>17184</v>
      </c>
      <c r="O3753" s="8">
        <f>11+32/60+32.3/3600</f>
        <v>11.542305555555556</v>
      </c>
      <c r="P3753" s="8" t="s">
        <v>17185</v>
      </c>
      <c r="Q3753" s="8">
        <f>+(74+37/60+43/3600)</f>
        <v>74.628611111111098</v>
      </c>
      <c r="R3753" s="8">
        <v>12.9</v>
      </c>
      <c r="S3753" s="8">
        <v>13.7</v>
      </c>
      <c r="T3753" s="8">
        <v>0.8</v>
      </c>
      <c r="U3753" s="8">
        <v>12.9</v>
      </c>
      <c r="V3753" s="8">
        <v>1.7</v>
      </c>
      <c r="W3753" s="8">
        <v>0.7</v>
      </c>
      <c r="X3753" s="8">
        <v>155</v>
      </c>
      <c r="Y3753" s="8" t="s">
        <v>17186</v>
      </c>
      <c r="Z3753" s="8" t="s">
        <v>17187</v>
      </c>
    </row>
    <row r="3754" spans="1:26" x14ac:dyDescent="0.2">
      <c r="A3754" s="8">
        <v>3753</v>
      </c>
      <c r="B3754" s="8" t="s">
        <v>17188</v>
      </c>
      <c r="C3754" s="8" t="s">
        <v>17188</v>
      </c>
      <c r="F3754" s="47"/>
      <c r="G3754" s="8">
        <v>14</v>
      </c>
      <c r="H3754" s="8" t="s">
        <v>17154</v>
      </c>
      <c r="I3754" s="8" t="s">
        <v>22</v>
      </c>
      <c r="J3754" s="8" t="s">
        <v>22</v>
      </c>
      <c r="K3754" s="8" t="s">
        <v>31</v>
      </c>
      <c r="L3754" s="8" t="s">
        <v>13194</v>
      </c>
      <c r="M3754" s="8" t="s">
        <v>13195</v>
      </c>
      <c r="N3754" s="8" t="s">
        <v>17189</v>
      </c>
      <c r="O3754" s="8">
        <f>11+37/60+53.8/3600</f>
        <v>11.631611111111111</v>
      </c>
      <c r="P3754" s="8" t="s">
        <v>17190</v>
      </c>
      <c r="Q3754" s="8">
        <f>+(21+58/60+53/3600)</f>
        <v>21.981388888888887</v>
      </c>
      <c r="R3754" s="8">
        <v>13.7</v>
      </c>
      <c r="S3754" s="8">
        <v>14.5</v>
      </c>
      <c r="T3754" s="8">
        <v>0.8</v>
      </c>
      <c r="U3754" s="8">
        <v>13.4</v>
      </c>
      <c r="V3754" s="8">
        <v>1.7</v>
      </c>
      <c r="W3754" s="8">
        <v>0.5</v>
      </c>
      <c r="X3754" s="8">
        <v>117</v>
      </c>
      <c r="Y3754" s="8" t="s">
        <v>21</v>
      </c>
      <c r="Z3754" s="8" t="s">
        <v>17191</v>
      </c>
    </row>
    <row r="3755" spans="1:26" x14ac:dyDescent="0.2">
      <c r="A3755" s="8">
        <v>3754</v>
      </c>
      <c r="B3755" s="8" t="s">
        <v>17192</v>
      </c>
      <c r="C3755" s="8" t="s">
        <v>17192</v>
      </c>
      <c r="F3755" s="47"/>
      <c r="G3755" s="8">
        <v>14</v>
      </c>
      <c r="H3755" s="8" t="s">
        <v>17154</v>
      </c>
      <c r="I3755" s="8" t="s">
        <v>22</v>
      </c>
      <c r="J3755" s="8" t="s">
        <v>22</v>
      </c>
      <c r="K3755" s="8" t="s">
        <v>23</v>
      </c>
      <c r="L3755" s="8" t="s">
        <v>13194</v>
      </c>
      <c r="M3755" s="8" t="s">
        <v>13195</v>
      </c>
      <c r="N3755" s="8" t="s">
        <v>17193</v>
      </c>
      <c r="O3755" s="8">
        <f>11+37/60+55/3600</f>
        <v>11.631944444444445</v>
      </c>
      <c r="P3755" s="8" t="s">
        <v>17194</v>
      </c>
      <c r="Q3755" s="8">
        <f>+(21+59/60+8/3600)</f>
        <v>21.985555555555557</v>
      </c>
      <c r="R3755" s="8">
        <v>14.3</v>
      </c>
      <c r="S3755" s="8">
        <v>15.1</v>
      </c>
      <c r="T3755" s="8">
        <v>0.8</v>
      </c>
      <c r="U3755" s="8">
        <v>12.4</v>
      </c>
      <c r="V3755" s="8">
        <v>0.4</v>
      </c>
      <c r="W3755" s="8">
        <v>0.3</v>
      </c>
      <c r="X3755" s="8">
        <v>18</v>
      </c>
      <c r="Y3755" s="8" t="s">
        <v>17195</v>
      </c>
      <c r="Z3755" s="8" t="s">
        <v>17196</v>
      </c>
    </row>
    <row r="3756" spans="1:26" x14ac:dyDescent="0.2">
      <c r="A3756" s="8">
        <v>3755</v>
      </c>
      <c r="B3756" s="8" t="s">
        <v>17197</v>
      </c>
      <c r="C3756" s="8" t="s">
        <v>17197</v>
      </c>
      <c r="F3756" s="47"/>
      <c r="G3756" s="8">
        <v>16</v>
      </c>
      <c r="H3756" s="8" t="s">
        <v>21</v>
      </c>
      <c r="I3756" s="8" t="s">
        <v>22</v>
      </c>
      <c r="J3756" s="8" t="s">
        <v>22</v>
      </c>
      <c r="K3756" s="8" t="s">
        <v>520</v>
      </c>
      <c r="L3756" s="8" t="s">
        <v>12015</v>
      </c>
      <c r="M3756" s="8" t="s">
        <v>12016</v>
      </c>
      <c r="N3756" s="8" t="s">
        <v>17198</v>
      </c>
      <c r="O3756" s="8">
        <f>11+36/60+33.2/3600</f>
        <v>11.609222222222222</v>
      </c>
      <c r="P3756" s="8" t="s">
        <v>17199</v>
      </c>
      <c r="Q3756" s="8">
        <f>+(36+24/60+37/3600)</f>
        <v>36.410277777777779</v>
      </c>
      <c r="R3756" s="8">
        <v>12.8</v>
      </c>
      <c r="S3756" s="8">
        <v>13.5</v>
      </c>
      <c r="T3756" s="8">
        <v>0.7</v>
      </c>
      <c r="U3756" s="8">
        <v>14.3</v>
      </c>
      <c r="V3756" s="8">
        <v>3.4</v>
      </c>
      <c r="W3756" s="8">
        <v>1.4</v>
      </c>
      <c r="X3756" s="8">
        <v>133</v>
      </c>
      <c r="Y3756" s="8" t="s">
        <v>17200</v>
      </c>
      <c r="Z3756" s="8" t="s">
        <v>17201</v>
      </c>
    </row>
    <row r="3757" spans="1:26" x14ac:dyDescent="0.2">
      <c r="A3757" s="8">
        <v>3756</v>
      </c>
      <c r="B3757" s="8" t="s">
        <v>17202</v>
      </c>
      <c r="C3757" s="8" t="s">
        <v>17202</v>
      </c>
      <c r="F3757" s="47" t="s">
        <v>57000</v>
      </c>
      <c r="G3757" s="8">
        <v>6.5</v>
      </c>
      <c r="H3757" s="8" t="s">
        <v>21</v>
      </c>
      <c r="I3757" s="8" t="s">
        <v>22</v>
      </c>
      <c r="J3757" s="8" t="s">
        <v>22</v>
      </c>
      <c r="K3757" s="8" t="s">
        <v>85</v>
      </c>
      <c r="L3757" s="8" t="s">
        <v>12015</v>
      </c>
      <c r="M3757" s="8" t="s">
        <v>12016</v>
      </c>
      <c r="N3757" s="8" t="s">
        <v>17203</v>
      </c>
      <c r="O3757" s="8">
        <f>11+36/60+47.8/3600</f>
        <v>11.613277777777778</v>
      </c>
      <c r="P3757" s="8" t="s">
        <v>17204</v>
      </c>
      <c r="Q3757" s="8">
        <f>+(54+17/60+39/3600)</f>
        <v>54.294166666666662</v>
      </c>
      <c r="R3757" s="8">
        <v>11.5</v>
      </c>
      <c r="S3757" s="8">
        <v>12.1</v>
      </c>
      <c r="T3757" s="8">
        <v>0.6</v>
      </c>
      <c r="U3757" s="8">
        <v>13.7</v>
      </c>
      <c r="V3757" s="8">
        <v>4.2</v>
      </c>
      <c r="W3757" s="8">
        <v>2.1</v>
      </c>
      <c r="X3757" s="8">
        <v>177</v>
      </c>
      <c r="Y3757" s="8" t="s">
        <v>17205</v>
      </c>
      <c r="Z3757" s="8" t="s">
        <v>17206</v>
      </c>
    </row>
    <row r="3758" spans="1:26" x14ac:dyDescent="0.2">
      <c r="A3758" s="8">
        <v>3757</v>
      </c>
      <c r="B3758" s="8" t="s">
        <v>17207</v>
      </c>
      <c r="C3758" s="8" t="s">
        <v>17207</v>
      </c>
      <c r="F3758" s="47" t="s">
        <v>57001</v>
      </c>
      <c r="G3758" s="8">
        <v>15</v>
      </c>
      <c r="H3758" s="8" t="s">
        <v>21</v>
      </c>
      <c r="I3758" s="8" t="s">
        <v>22</v>
      </c>
      <c r="J3758" s="8" t="s">
        <v>22</v>
      </c>
      <c r="K3758" s="8" t="s">
        <v>37</v>
      </c>
      <c r="L3758" s="8" t="s">
        <v>12015</v>
      </c>
      <c r="M3758" s="8" t="s">
        <v>12016</v>
      </c>
      <c r="N3758" s="8" t="s">
        <v>17208</v>
      </c>
      <c r="O3758" s="8">
        <f>11+37/60+2.9/3600</f>
        <v>11.617472222222222</v>
      </c>
      <c r="P3758" s="8" t="s">
        <v>17209</v>
      </c>
      <c r="Q3758" s="8">
        <f>+(58+24/60+58/3600)</f>
        <v>58.416111111111107</v>
      </c>
      <c r="R3758" s="8">
        <v>12.6</v>
      </c>
      <c r="S3758" s="8">
        <v>13.6</v>
      </c>
      <c r="T3758" s="8">
        <v>1</v>
      </c>
      <c r="U3758" s="8">
        <v>12.6</v>
      </c>
      <c r="V3758" s="8">
        <v>1.1000000000000001</v>
      </c>
      <c r="W3758" s="8">
        <v>1.1000000000000001</v>
      </c>
      <c r="Y3758" s="8" t="s">
        <v>21</v>
      </c>
      <c r="Z3758" s="8" t="s">
        <v>17210</v>
      </c>
    </row>
    <row r="3759" spans="1:26" x14ac:dyDescent="0.2">
      <c r="A3759" s="8">
        <v>3758</v>
      </c>
      <c r="B3759" s="8" t="s">
        <v>17211</v>
      </c>
      <c r="C3759" s="8" t="s">
        <v>17211</v>
      </c>
      <c r="F3759" s="47"/>
      <c r="G3759" s="8">
        <v>19</v>
      </c>
      <c r="H3759" s="8" t="s">
        <v>21</v>
      </c>
      <c r="I3759" s="8" t="s">
        <v>22</v>
      </c>
      <c r="J3759" s="8" t="s">
        <v>22</v>
      </c>
      <c r="K3759" s="8" t="s">
        <v>476</v>
      </c>
      <c r="L3759" s="8" t="s">
        <v>13194</v>
      </c>
      <c r="M3759" s="8" t="s">
        <v>13195</v>
      </c>
      <c r="N3759" s="8" t="s">
        <v>17212</v>
      </c>
      <c r="O3759" s="8">
        <f>11+36/60+29.1/3600</f>
        <v>11.608083333333333</v>
      </c>
      <c r="P3759" s="8" t="s">
        <v>17213</v>
      </c>
      <c r="Q3759" s="8">
        <f>+(21+35/60+49/3600)</f>
        <v>21.596944444444443</v>
      </c>
      <c r="R3759" s="8">
        <v>14.3</v>
      </c>
      <c r="S3759" s="8">
        <v>15.2</v>
      </c>
      <c r="T3759" s="8">
        <v>0.9</v>
      </c>
      <c r="U3759" s="8">
        <v>12.6</v>
      </c>
      <c r="V3759" s="8">
        <v>0.5</v>
      </c>
      <c r="W3759" s="8">
        <v>0.5</v>
      </c>
      <c r="Y3759" s="8" t="s">
        <v>21</v>
      </c>
      <c r="Z3759" s="8" t="s">
        <v>17214</v>
      </c>
    </row>
    <row r="3760" spans="1:26" x14ac:dyDescent="0.2">
      <c r="A3760" s="8">
        <v>3759</v>
      </c>
      <c r="B3760" s="8" t="s">
        <v>17215</v>
      </c>
      <c r="C3760" s="8" t="s">
        <v>17215</v>
      </c>
      <c r="F3760" s="47"/>
      <c r="G3760" s="8">
        <v>18</v>
      </c>
      <c r="H3760" s="8" t="s">
        <v>21</v>
      </c>
      <c r="I3760" s="8" t="s">
        <v>22</v>
      </c>
      <c r="J3760" s="8" t="s">
        <v>22</v>
      </c>
      <c r="K3760" s="8" t="s">
        <v>224</v>
      </c>
      <c r="L3760" s="8" t="s">
        <v>12015</v>
      </c>
      <c r="M3760" s="8" t="s">
        <v>12016</v>
      </c>
      <c r="N3760" s="8" t="s">
        <v>17216</v>
      </c>
      <c r="O3760" s="8">
        <f>11+36/60+53.8/3600</f>
        <v>11.614944444444443</v>
      </c>
      <c r="P3760" s="8" t="s">
        <v>17217</v>
      </c>
      <c r="Q3760" s="8">
        <f>+(54+49/60+23/3600)</f>
        <v>54.823055555555555</v>
      </c>
      <c r="R3760" s="8">
        <v>13.3</v>
      </c>
      <c r="S3760" s="8">
        <v>14.2</v>
      </c>
      <c r="T3760" s="8">
        <v>0.9</v>
      </c>
      <c r="U3760" s="8">
        <v>13.3</v>
      </c>
      <c r="V3760" s="8">
        <v>1.1000000000000001</v>
      </c>
      <c r="W3760" s="8">
        <v>1.1000000000000001</v>
      </c>
      <c r="Y3760" s="8" t="s">
        <v>17218</v>
      </c>
      <c r="Z3760" s="8" t="s">
        <v>17219</v>
      </c>
    </row>
    <row r="3761" spans="1:26" x14ac:dyDescent="0.2">
      <c r="A3761" s="8">
        <v>3760</v>
      </c>
      <c r="B3761" s="8" t="s">
        <v>17220</v>
      </c>
      <c r="C3761" s="8" t="s">
        <v>17220</v>
      </c>
      <c r="F3761" s="47"/>
      <c r="G3761" s="8">
        <v>18</v>
      </c>
      <c r="H3761" s="8" t="s">
        <v>21</v>
      </c>
      <c r="I3761" s="8" t="s">
        <v>22</v>
      </c>
      <c r="J3761" s="8" t="s">
        <v>57</v>
      </c>
      <c r="K3761" s="8" t="s">
        <v>435</v>
      </c>
      <c r="L3761" s="8" t="s">
        <v>13194</v>
      </c>
      <c r="M3761" s="8" t="s">
        <v>13195</v>
      </c>
      <c r="N3761" s="8" t="s">
        <v>15173</v>
      </c>
      <c r="O3761" s="8">
        <f>10+36/60+55.8/3600</f>
        <v>10.615499999999999</v>
      </c>
      <c r="P3761" s="8" t="s">
        <v>15174</v>
      </c>
      <c r="Q3761" s="8">
        <f>+(21+52/60+54/3600)</f>
        <v>21.881666666666668</v>
      </c>
      <c r="R3761" s="8">
        <v>11.4</v>
      </c>
      <c r="S3761" s="8">
        <v>12.3</v>
      </c>
      <c r="T3761" s="8">
        <v>0.9</v>
      </c>
      <c r="U3761" s="8">
        <v>12.7</v>
      </c>
      <c r="V3761" s="8">
        <v>3.3</v>
      </c>
      <c r="W3761" s="8">
        <v>1</v>
      </c>
      <c r="X3761" s="8">
        <v>52</v>
      </c>
      <c r="Y3761" s="8" t="s">
        <v>21</v>
      </c>
      <c r="Z3761" s="8" t="s">
        <v>17221</v>
      </c>
    </row>
    <row r="3762" spans="1:26" x14ac:dyDescent="0.2">
      <c r="A3762" s="8">
        <v>3761</v>
      </c>
      <c r="B3762" s="8" t="s">
        <v>17222</v>
      </c>
      <c r="C3762" s="8" t="s">
        <v>17222</v>
      </c>
      <c r="F3762" s="47"/>
      <c r="G3762" s="8">
        <v>19</v>
      </c>
      <c r="H3762" s="8" t="s">
        <v>21</v>
      </c>
      <c r="I3762" s="8" t="s">
        <v>22</v>
      </c>
      <c r="J3762" s="8" t="s">
        <v>22</v>
      </c>
      <c r="K3762" s="8" t="s">
        <v>183</v>
      </c>
      <c r="L3762" s="8" t="s">
        <v>13194</v>
      </c>
      <c r="M3762" s="8" t="s">
        <v>13195</v>
      </c>
      <c r="N3762" s="8" t="s">
        <v>17223</v>
      </c>
      <c r="O3762" s="8">
        <f>11+36/60+44.1/3600</f>
        <v>11.61225</v>
      </c>
      <c r="P3762" s="8" t="s">
        <v>17224</v>
      </c>
      <c r="Q3762" s="8">
        <f>+(22+59/60+33/3600)</f>
        <v>22.9925</v>
      </c>
      <c r="R3762" s="8">
        <v>13.9</v>
      </c>
      <c r="S3762" s="8">
        <v>14.9</v>
      </c>
      <c r="T3762" s="8">
        <v>1</v>
      </c>
      <c r="U3762" s="8">
        <v>13.6</v>
      </c>
      <c r="V3762" s="8">
        <v>0.9</v>
      </c>
      <c r="W3762" s="8">
        <v>0.8</v>
      </c>
      <c r="X3762" s="8">
        <v>63</v>
      </c>
      <c r="Y3762" s="8" t="s">
        <v>2248</v>
      </c>
      <c r="Z3762" s="8" t="s">
        <v>2249</v>
      </c>
    </row>
    <row r="3763" spans="1:26" x14ac:dyDescent="0.2">
      <c r="A3763" s="8">
        <v>3762</v>
      </c>
      <c r="B3763" s="8" t="s">
        <v>17225</v>
      </c>
      <c r="C3763" s="8" t="s">
        <v>17225</v>
      </c>
      <c r="F3763" s="47" t="s">
        <v>57002</v>
      </c>
      <c r="G3763" s="8">
        <v>15</v>
      </c>
      <c r="H3763" s="8" t="s">
        <v>21</v>
      </c>
      <c r="I3763" s="8" t="s">
        <v>22</v>
      </c>
      <c r="J3763" s="8" t="s">
        <v>22</v>
      </c>
      <c r="K3763" s="8" t="s">
        <v>91</v>
      </c>
      <c r="L3763" s="8" t="s">
        <v>12015</v>
      </c>
      <c r="M3763" s="8" t="s">
        <v>12016</v>
      </c>
      <c r="N3763" s="8" t="s">
        <v>17226</v>
      </c>
      <c r="O3763" s="8">
        <f>11+37/60+23.8/3600</f>
        <v>11.623277777777778</v>
      </c>
      <c r="P3763" s="8" t="s">
        <v>17227</v>
      </c>
      <c r="Q3763" s="8">
        <f>+(61+45/60+33/3600)</f>
        <v>61.759166666666665</v>
      </c>
      <c r="R3763" s="8">
        <v>12.6</v>
      </c>
      <c r="S3763" s="8">
        <v>13.5</v>
      </c>
      <c r="T3763" s="8">
        <v>0.9</v>
      </c>
      <c r="U3763" s="8">
        <v>12.3</v>
      </c>
      <c r="V3763" s="8">
        <v>1.8</v>
      </c>
      <c r="W3763" s="8">
        <v>0.5</v>
      </c>
      <c r="X3763" s="8">
        <v>167</v>
      </c>
      <c r="Y3763" s="8" t="s">
        <v>17228</v>
      </c>
      <c r="Z3763" s="8" t="s">
        <v>17229</v>
      </c>
    </row>
    <row r="3764" spans="1:26" x14ac:dyDescent="0.2">
      <c r="A3764" s="8">
        <v>3763</v>
      </c>
      <c r="B3764" s="8" t="s">
        <v>17230</v>
      </c>
      <c r="C3764" s="8" t="s">
        <v>17230</v>
      </c>
      <c r="F3764" s="47"/>
      <c r="G3764" s="8">
        <v>19</v>
      </c>
      <c r="H3764" s="8" t="s">
        <v>21</v>
      </c>
      <c r="I3764" s="8" t="s">
        <v>22</v>
      </c>
      <c r="J3764" s="8" t="s">
        <v>22</v>
      </c>
      <c r="K3764" s="8" t="s">
        <v>64</v>
      </c>
      <c r="L3764" s="8" t="s">
        <v>15699</v>
      </c>
      <c r="M3764" s="8" t="s">
        <v>15700</v>
      </c>
      <c r="N3764" s="8" t="s">
        <v>17231</v>
      </c>
      <c r="O3764" s="8">
        <f>11+36/60+30.2/3600</f>
        <v>11.608388888888889</v>
      </c>
      <c r="P3764" s="8" t="s">
        <v>17232</v>
      </c>
      <c r="Q3764" s="8">
        <f>-(9+50/60+50/3600)</f>
        <v>-9.8472222222222232</v>
      </c>
      <c r="R3764" s="8">
        <v>11.8</v>
      </c>
      <c r="S3764" s="8">
        <v>12.4</v>
      </c>
      <c r="T3764" s="8">
        <v>0.6</v>
      </c>
      <c r="U3764" s="8">
        <v>11.9</v>
      </c>
      <c r="V3764" s="8">
        <v>1.1000000000000001</v>
      </c>
      <c r="W3764" s="8">
        <v>1.1000000000000001</v>
      </c>
      <c r="Y3764" s="8" t="s">
        <v>21</v>
      </c>
      <c r="Z3764" s="8" t="s">
        <v>17233</v>
      </c>
    </row>
    <row r="3765" spans="1:26" x14ac:dyDescent="0.2">
      <c r="A3765" s="8">
        <v>3764</v>
      </c>
      <c r="B3765" s="8" t="s">
        <v>17234</v>
      </c>
      <c r="C3765" s="8" t="s">
        <v>17234</v>
      </c>
      <c r="F3765" s="47"/>
      <c r="G3765" s="8">
        <v>18</v>
      </c>
      <c r="H3765" s="8" t="s">
        <v>21</v>
      </c>
      <c r="I3765" s="8" t="s">
        <v>22</v>
      </c>
      <c r="J3765" s="8" t="s">
        <v>22</v>
      </c>
      <c r="K3765" s="8" t="s">
        <v>1174</v>
      </c>
      <c r="L3765" s="8" t="s">
        <v>13194</v>
      </c>
      <c r="M3765" s="8" t="s">
        <v>13195</v>
      </c>
      <c r="N3765" s="8" t="s">
        <v>17235</v>
      </c>
      <c r="O3765" s="8">
        <f>11+36/60+54.5/3600</f>
        <v>11.615138888888888</v>
      </c>
      <c r="P3765" s="8" t="s">
        <v>17236</v>
      </c>
      <c r="Q3765" s="8">
        <f>+(17+53/60+21/3600)</f>
        <v>17.889166666666664</v>
      </c>
      <c r="R3765" s="8">
        <v>14.7</v>
      </c>
      <c r="S3765" s="8">
        <v>15.7</v>
      </c>
      <c r="T3765" s="8">
        <v>1</v>
      </c>
      <c r="U3765" s="8">
        <v>14</v>
      </c>
      <c r="V3765" s="8">
        <v>0.9</v>
      </c>
      <c r="W3765" s="8">
        <v>0.7</v>
      </c>
      <c r="X3765" s="8">
        <v>124</v>
      </c>
      <c r="Y3765" s="8" t="s">
        <v>895</v>
      </c>
      <c r="Z3765" s="8" t="s">
        <v>896</v>
      </c>
    </row>
    <row r="3766" spans="1:26" x14ac:dyDescent="0.2">
      <c r="A3766" s="8">
        <v>3765</v>
      </c>
      <c r="B3766" s="8" t="s">
        <v>17237</v>
      </c>
      <c r="C3766" s="8" t="s">
        <v>17237</v>
      </c>
      <c r="F3766" s="47"/>
      <c r="G3766" s="8">
        <v>16</v>
      </c>
      <c r="H3766" s="8" t="s">
        <v>21</v>
      </c>
      <c r="I3766" s="8" t="s">
        <v>22</v>
      </c>
      <c r="J3766" s="8" t="s">
        <v>22</v>
      </c>
      <c r="K3766" s="8" t="s">
        <v>160</v>
      </c>
      <c r="L3766" s="8" t="s">
        <v>13194</v>
      </c>
      <c r="M3766" s="8" t="s">
        <v>13195</v>
      </c>
      <c r="N3766" s="8" t="s">
        <v>17238</v>
      </c>
      <c r="O3766" s="8">
        <f>11+37/60+4.3/3600</f>
        <v>11.617861111111111</v>
      </c>
      <c r="P3766" s="8" t="s">
        <v>17239</v>
      </c>
      <c r="Q3766" s="8">
        <f>+(24+5/60+47/3600)</f>
        <v>24.096388888888889</v>
      </c>
      <c r="R3766" s="8">
        <v>14.1</v>
      </c>
      <c r="S3766" s="8">
        <v>14.8</v>
      </c>
      <c r="T3766" s="8">
        <v>0.7</v>
      </c>
      <c r="U3766" s="8">
        <v>13.2</v>
      </c>
      <c r="V3766" s="8">
        <v>0.8</v>
      </c>
      <c r="W3766" s="8">
        <v>0.6</v>
      </c>
      <c r="X3766" s="8">
        <v>57</v>
      </c>
      <c r="Y3766" s="8" t="s">
        <v>170</v>
      </c>
      <c r="Z3766" s="8" t="s">
        <v>171</v>
      </c>
    </row>
    <row r="3767" spans="1:26" x14ac:dyDescent="0.2">
      <c r="A3767" s="8">
        <v>3766</v>
      </c>
      <c r="B3767" s="8" t="s">
        <v>17240</v>
      </c>
      <c r="C3767" s="8" t="s">
        <v>17240</v>
      </c>
      <c r="F3767" s="47"/>
      <c r="G3767" s="8">
        <v>2</v>
      </c>
      <c r="H3767" s="8" t="s">
        <v>17241</v>
      </c>
      <c r="I3767" s="8" t="s">
        <v>557</v>
      </c>
      <c r="J3767" s="8" t="s">
        <v>557</v>
      </c>
      <c r="K3767" s="8" t="s">
        <v>13694</v>
      </c>
      <c r="L3767" s="8" t="s">
        <v>16195</v>
      </c>
      <c r="M3767" s="8" t="s">
        <v>16196</v>
      </c>
      <c r="N3767" s="8" t="s">
        <v>17242</v>
      </c>
      <c r="O3767" s="8">
        <f>11+36/60+14.3/3600</f>
        <v>11.603972222222222</v>
      </c>
      <c r="P3767" s="8" t="s">
        <v>17243</v>
      </c>
      <c r="Q3767" s="8">
        <f>-(61+36/60+36/3600)</f>
        <v>-61.61</v>
      </c>
      <c r="R3767" s="8">
        <v>5.3</v>
      </c>
      <c r="S3767" s="8">
        <v>99</v>
      </c>
      <c r="T3767" s="8">
        <v>99</v>
      </c>
      <c r="U3767" s="8">
        <v>99</v>
      </c>
      <c r="V3767" s="8">
        <v>15</v>
      </c>
      <c r="Y3767" s="8" t="s">
        <v>17244</v>
      </c>
      <c r="Z3767" s="8" t="s">
        <v>17245</v>
      </c>
    </row>
    <row r="3768" spans="1:26" x14ac:dyDescent="0.2">
      <c r="A3768" s="8">
        <v>3767</v>
      </c>
      <c r="B3768" s="8" t="s">
        <v>17246</v>
      </c>
      <c r="C3768" s="8" t="s">
        <v>17246</v>
      </c>
      <c r="F3768" s="47"/>
      <c r="G3768" s="8">
        <v>16</v>
      </c>
      <c r="H3768" s="8" t="s">
        <v>21</v>
      </c>
      <c r="I3768" s="8" t="s">
        <v>22</v>
      </c>
      <c r="J3768" s="8" t="s">
        <v>22</v>
      </c>
      <c r="K3768" s="8" t="s">
        <v>224</v>
      </c>
      <c r="L3768" s="8" t="s">
        <v>13194</v>
      </c>
      <c r="M3768" s="8" t="s">
        <v>13195</v>
      </c>
      <c r="N3768" s="8" t="s">
        <v>17247</v>
      </c>
      <c r="O3768" s="8">
        <f>11+37/60+15.5/3600</f>
        <v>11.620972222222223</v>
      </c>
      <c r="P3768" s="8" t="s">
        <v>17248</v>
      </c>
      <c r="Q3768" s="8">
        <f>+(16+52/60+39/3600)</f>
        <v>16.877500000000001</v>
      </c>
      <c r="R3768" s="8">
        <v>13.4</v>
      </c>
      <c r="S3768" s="8">
        <v>14.4</v>
      </c>
      <c r="T3768" s="8">
        <v>1</v>
      </c>
      <c r="U3768" s="8">
        <v>13.1</v>
      </c>
      <c r="V3768" s="8">
        <v>1</v>
      </c>
      <c r="W3768" s="8">
        <v>0.9</v>
      </c>
      <c r="X3768" s="8">
        <v>75</v>
      </c>
      <c r="Y3768" s="8" t="s">
        <v>427</v>
      </c>
      <c r="Z3768" s="8" t="s">
        <v>428</v>
      </c>
    </row>
    <row r="3769" spans="1:26" x14ac:dyDescent="0.2">
      <c r="A3769" s="8">
        <v>3768</v>
      </c>
      <c r="B3769" s="8" t="s">
        <v>17249</v>
      </c>
      <c r="C3769" s="8" t="s">
        <v>17249</v>
      </c>
      <c r="F3769" s="47" t="s">
        <v>57003</v>
      </c>
      <c r="G3769" s="8">
        <v>15</v>
      </c>
      <c r="H3769" s="8" t="s">
        <v>21</v>
      </c>
      <c r="I3769" s="8" t="s">
        <v>22</v>
      </c>
      <c r="J3769" s="8" t="s">
        <v>22</v>
      </c>
      <c r="K3769" s="8" t="s">
        <v>37</v>
      </c>
      <c r="L3769" s="8" t="s">
        <v>13194</v>
      </c>
      <c r="M3769" s="8" t="s">
        <v>13195</v>
      </c>
      <c r="N3769" s="8" t="s">
        <v>17250</v>
      </c>
      <c r="O3769" s="8">
        <f>11+37/60+14.4/3600</f>
        <v>11.620666666666667</v>
      </c>
      <c r="P3769" s="8" t="s">
        <v>17251</v>
      </c>
      <c r="Q3769" s="8">
        <f>+(17+50/60+22/3600)</f>
        <v>17.839444444444442</v>
      </c>
      <c r="R3769" s="8">
        <v>12.4</v>
      </c>
      <c r="S3769" s="8">
        <v>13.4</v>
      </c>
      <c r="T3769" s="8">
        <v>1</v>
      </c>
      <c r="U3769" s="8">
        <v>12.7</v>
      </c>
      <c r="V3769" s="8">
        <v>1.6</v>
      </c>
      <c r="W3769" s="8">
        <v>0.9</v>
      </c>
      <c r="X3769" s="8">
        <v>155</v>
      </c>
      <c r="Y3769" s="8" t="s">
        <v>4787</v>
      </c>
      <c r="Z3769" s="8" t="s">
        <v>2313</v>
      </c>
    </row>
    <row r="3770" spans="1:26" x14ac:dyDescent="0.2">
      <c r="A3770" s="8">
        <v>3769</v>
      </c>
      <c r="B3770" s="8" t="s">
        <v>17252</v>
      </c>
      <c r="C3770" s="8" t="s">
        <v>17252</v>
      </c>
      <c r="F3770" s="47" t="s">
        <v>57004</v>
      </c>
      <c r="G3770" s="8">
        <v>13</v>
      </c>
      <c r="H3770" s="8" t="s">
        <v>21</v>
      </c>
      <c r="I3770" s="8" t="s">
        <v>22</v>
      </c>
      <c r="J3770" s="8" t="s">
        <v>22</v>
      </c>
      <c r="K3770" s="8" t="s">
        <v>218</v>
      </c>
      <c r="L3770" s="8" t="s">
        <v>12015</v>
      </c>
      <c r="M3770" s="8" t="s">
        <v>12016</v>
      </c>
      <c r="N3770" s="8" t="s">
        <v>17253</v>
      </c>
      <c r="O3770" s="8">
        <f>11+37/60+44.1/3600</f>
        <v>11.628916666666667</v>
      </c>
      <c r="P3770" s="8" t="s">
        <v>17254</v>
      </c>
      <c r="Q3770" s="8">
        <f>+(47+53/60+36/3600)</f>
        <v>47.893333333333331</v>
      </c>
      <c r="R3770" s="8">
        <v>11.7</v>
      </c>
      <c r="S3770" s="8">
        <v>12.6</v>
      </c>
      <c r="T3770" s="8">
        <v>0.9</v>
      </c>
      <c r="U3770" s="8">
        <v>12.7</v>
      </c>
      <c r="V3770" s="8">
        <v>2.9</v>
      </c>
      <c r="W3770" s="8">
        <v>1</v>
      </c>
      <c r="X3770" s="8">
        <v>152</v>
      </c>
      <c r="Y3770" s="8" t="s">
        <v>17255</v>
      </c>
      <c r="Z3770" s="8" t="s">
        <v>17256</v>
      </c>
    </row>
    <row r="3771" spans="1:26" x14ac:dyDescent="0.2">
      <c r="A3771" s="8">
        <v>3770</v>
      </c>
      <c r="B3771" s="8" t="s">
        <v>17257</v>
      </c>
      <c r="C3771" s="8" t="s">
        <v>17257</v>
      </c>
      <c r="F3771" s="47" t="s">
        <v>57005</v>
      </c>
      <c r="G3771" s="8">
        <v>15</v>
      </c>
      <c r="H3771" s="8" t="s">
        <v>21</v>
      </c>
      <c r="I3771" s="8" t="s">
        <v>22</v>
      </c>
      <c r="J3771" s="8" t="s">
        <v>22</v>
      </c>
      <c r="K3771" s="8" t="s">
        <v>154</v>
      </c>
      <c r="L3771" s="8" t="s">
        <v>12015</v>
      </c>
      <c r="M3771" s="8" t="s">
        <v>12016</v>
      </c>
      <c r="N3771" s="8" t="s">
        <v>17258</v>
      </c>
      <c r="O3771" s="8">
        <f>11+37/60+58.7/3600</f>
        <v>11.632972222222223</v>
      </c>
      <c r="P3771" s="8" t="s">
        <v>17259</v>
      </c>
      <c r="Q3771" s="8">
        <f>+(59+37/60+2/3600)</f>
        <v>59.617222222222225</v>
      </c>
      <c r="R3771" s="8">
        <v>12.8</v>
      </c>
      <c r="S3771" s="8">
        <v>13.7</v>
      </c>
      <c r="T3771" s="8">
        <v>0.9</v>
      </c>
      <c r="U3771" s="8">
        <v>12.3</v>
      </c>
      <c r="V3771" s="8">
        <v>1</v>
      </c>
      <c r="W3771" s="8">
        <v>0.7</v>
      </c>
      <c r="X3771" s="8">
        <v>107</v>
      </c>
      <c r="Y3771" s="8" t="s">
        <v>17260</v>
      </c>
      <c r="Z3771" s="8" t="s">
        <v>17261</v>
      </c>
    </row>
    <row r="3772" spans="1:26" x14ac:dyDescent="0.2">
      <c r="A3772" s="8">
        <v>3771</v>
      </c>
      <c r="B3772" s="8" t="s">
        <v>17262</v>
      </c>
      <c r="C3772" s="8" t="s">
        <v>17262</v>
      </c>
      <c r="F3772" s="47"/>
      <c r="G3772" s="8">
        <v>19</v>
      </c>
      <c r="H3772" s="8" t="s">
        <v>21</v>
      </c>
      <c r="I3772" s="8" t="s">
        <v>22</v>
      </c>
      <c r="J3772" s="8" t="s">
        <v>22</v>
      </c>
      <c r="K3772" s="8" t="s">
        <v>460</v>
      </c>
      <c r="L3772" s="8" t="s">
        <v>15699</v>
      </c>
      <c r="M3772" s="8" t="s">
        <v>15700</v>
      </c>
      <c r="N3772" s="8" t="s">
        <v>17263</v>
      </c>
      <c r="O3772" s="8">
        <f>11+39/60+5.9/3600</f>
        <v>11.65163888888889</v>
      </c>
      <c r="P3772" s="8" t="s">
        <v>17264</v>
      </c>
      <c r="Q3772" s="8">
        <f>-(9+20/60+52/3600)</f>
        <v>-9.3477777777777789</v>
      </c>
      <c r="R3772" s="8">
        <v>12.6</v>
      </c>
      <c r="S3772" s="8">
        <v>13.6</v>
      </c>
      <c r="T3772" s="8">
        <v>1</v>
      </c>
      <c r="U3772" s="8">
        <v>13.2</v>
      </c>
      <c r="V3772" s="8">
        <v>1.3</v>
      </c>
      <c r="W3772" s="8">
        <v>1.3</v>
      </c>
      <c r="Y3772" s="8" t="s">
        <v>21</v>
      </c>
      <c r="Z3772" s="8" t="s">
        <v>17265</v>
      </c>
    </row>
    <row r="3773" spans="1:26" x14ac:dyDescent="0.2">
      <c r="A3773" s="8">
        <v>3772</v>
      </c>
      <c r="B3773" s="8" t="s">
        <v>17266</v>
      </c>
      <c r="C3773" s="8" t="s">
        <v>17266</v>
      </c>
      <c r="F3773" s="47" t="s">
        <v>57006</v>
      </c>
      <c r="G3773" s="8">
        <v>15</v>
      </c>
      <c r="H3773" s="8" t="s">
        <v>21</v>
      </c>
      <c r="I3773" s="8" t="s">
        <v>22</v>
      </c>
      <c r="J3773" s="8" t="s">
        <v>22</v>
      </c>
      <c r="K3773" s="8" t="s">
        <v>154</v>
      </c>
      <c r="L3773" s="8" t="s">
        <v>13194</v>
      </c>
      <c r="M3773" s="8" t="s">
        <v>13195</v>
      </c>
      <c r="N3773" s="8" t="s">
        <v>17267</v>
      </c>
      <c r="O3773" s="8">
        <f>11+37/60+48.4/3600</f>
        <v>11.630111111111111</v>
      </c>
      <c r="P3773" s="8" t="s">
        <v>17268</v>
      </c>
      <c r="Q3773" s="8">
        <f>+(22+41/60+26/3600)</f>
        <v>22.690555555555555</v>
      </c>
      <c r="R3773" s="8">
        <v>13.5</v>
      </c>
      <c r="S3773" s="8">
        <v>14.4</v>
      </c>
      <c r="T3773" s="8">
        <v>0.9</v>
      </c>
      <c r="U3773" s="8">
        <v>12.9</v>
      </c>
      <c r="V3773" s="8">
        <v>1.1000000000000001</v>
      </c>
      <c r="W3773" s="8">
        <v>0.6</v>
      </c>
      <c r="X3773" s="8">
        <v>16</v>
      </c>
      <c r="Y3773" s="8" t="s">
        <v>17269</v>
      </c>
      <c r="Z3773" s="8" t="s">
        <v>17270</v>
      </c>
    </row>
    <row r="3774" spans="1:26" x14ac:dyDescent="0.2">
      <c r="A3774" s="8">
        <v>3773</v>
      </c>
      <c r="B3774" s="8" t="s">
        <v>17271</v>
      </c>
      <c r="C3774" s="8" t="s">
        <v>17271</v>
      </c>
      <c r="F3774" s="47" t="s">
        <v>57007</v>
      </c>
      <c r="G3774" s="8">
        <v>13</v>
      </c>
      <c r="H3774" s="8" t="s">
        <v>21</v>
      </c>
      <c r="I3774" s="8" t="s">
        <v>22</v>
      </c>
      <c r="J3774" s="8" t="s">
        <v>22</v>
      </c>
      <c r="K3774" s="8" t="s">
        <v>37</v>
      </c>
      <c r="L3774" s="8" t="s">
        <v>13194</v>
      </c>
      <c r="M3774" s="8" t="s">
        <v>13195</v>
      </c>
      <c r="N3774" s="8" t="s">
        <v>17272</v>
      </c>
      <c r="O3774" s="8">
        <f>11+38/60+13/3600</f>
        <v>11.636944444444444</v>
      </c>
      <c r="P3774" s="8" t="s">
        <v>17273</v>
      </c>
      <c r="Q3774" s="8">
        <f>+(12+6/60+45/3600)</f>
        <v>12.112499999999999</v>
      </c>
      <c r="R3774" s="8">
        <v>12</v>
      </c>
      <c r="S3774" s="8">
        <v>13</v>
      </c>
      <c r="T3774" s="8">
        <v>1</v>
      </c>
      <c r="U3774" s="8">
        <v>12.1</v>
      </c>
      <c r="V3774" s="8">
        <v>1.2</v>
      </c>
      <c r="W3774" s="8">
        <v>1</v>
      </c>
      <c r="X3774" s="8">
        <v>165</v>
      </c>
      <c r="Y3774" s="8" t="s">
        <v>17274</v>
      </c>
      <c r="Z3774" s="8" t="s">
        <v>17275</v>
      </c>
    </row>
    <row r="3775" spans="1:26" x14ac:dyDescent="0.2">
      <c r="A3775" s="8">
        <v>3774</v>
      </c>
      <c r="B3775" s="8" t="s">
        <v>17276</v>
      </c>
      <c r="C3775" s="8" t="s">
        <v>17276</v>
      </c>
      <c r="F3775" s="47"/>
      <c r="G3775" s="8">
        <v>19</v>
      </c>
      <c r="H3775" s="8" t="s">
        <v>21</v>
      </c>
      <c r="I3775" s="8" t="s">
        <v>22</v>
      </c>
      <c r="J3775" s="8" t="s">
        <v>22</v>
      </c>
      <c r="K3775" s="8" t="s">
        <v>218</v>
      </c>
      <c r="L3775" s="8" t="s">
        <v>15699</v>
      </c>
      <c r="M3775" s="8" t="s">
        <v>15700</v>
      </c>
      <c r="N3775" s="8" t="s">
        <v>17277</v>
      </c>
      <c r="O3775" s="8">
        <f>11+38/60+30.3/3600</f>
        <v>11.64175</v>
      </c>
      <c r="P3775" s="8" t="s">
        <v>17278</v>
      </c>
      <c r="Q3775" s="8">
        <f>-(8+58/60+35/3600)</f>
        <v>-8.9763888888888896</v>
      </c>
      <c r="R3775" s="8">
        <v>13.8</v>
      </c>
      <c r="S3775" s="8">
        <v>14.6</v>
      </c>
      <c r="T3775" s="8">
        <v>0.8</v>
      </c>
      <c r="U3775" s="8">
        <v>12.9</v>
      </c>
      <c r="V3775" s="8">
        <v>1</v>
      </c>
      <c r="W3775" s="8">
        <v>0.5</v>
      </c>
      <c r="X3775" s="8">
        <v>56</v>
      </c>
      <c r="Y3775" s="8" t="s">
        <v>17279</v>
      </c>
      <c r="Z3775" s="8" t="s">
        <v>17280</v>
      </c>
    </row>
    <row r="3776" spans="1:26" x14ac:dyDescent="0.2">
      <c r="A3776" s="8">
        <v>3775</v>
      </c>
      <c r="B3776" s="8" t="s">
        <v>17281</v>
      </c>
      <c r="C3776" s="8" t="s">
        <v>17281</v>
      </c>
      <c r="F3776" s="47"/>
      <c r="G3776" s="8">
        <v>19</v>
      </c>
      <c r="H3776" s="8" t="s">
        <v>21</v>
      </c>
      <c r="I3776" s="8" t="s">
        <v>22</v>
      </c>
      <c r="J3776" s="8" t="s">
        <v>22</v>
      </c>
      <c r="K3776" s="8" t="s">
        <v>632</v>
      </c>
      <c r="L3776" s="8" t="s">
        <v>15699</v>
      </c>
      <c r="M3776" s="8" t="s">
        <v>15700</v>
      </c>
      <c r="N3776" s="8" t="s">
        <v>17282</v>
      </c>
      <c r="O3776" s="8">
        <f>11+38/60+26.7/3600</f>
        <v>11.640749999999999</v>
      </c>
      <c r="P3776" s="8" t="s">
        <v>17283</v>
      </c>
      <c r="Q3776" s="8">
        <f>-(10+38/60+17/3600)</f>
        <v>-10.638055555555555</v>
      </c>
      <c r="R3776" s="8">
        <v>13.8</v>
      </c>
      <c r="S3776" s="8">
        <v>14.7</v>
      </c>
      <c r="T3776" s="8">
        <v>0.9</v>
      </c>
      <c r="U3776" s="8">
        <v>13</v>
      </c>
      <c r="V3776" s="8">
        <v>1.1000000000000001</v>
      </c>
      <c r="W3776" s="8">
        <v>0.5</v>
      </c>
      <c r="X3776" s="8">
        <v>27</v>
      </c>
      <c r="Y3776" s="8" t="s">
        <v>17284</v>
      </c>
      <c r="Z3776" s="8" t="s">
        <v>17285</v>
      </c>
    </row>
    <row r="3777" spans="1:26" x14ac:dyDescent="0.2">
      <c r="A3777" s="8">
        <v>3776</v>
      </c>
      <c r="B3777" s="8" t="s">
        <v>17286</v>
      </c>
      <c r="C3777" s="8" t="s">
        <v>17286</v>
      </c>
      <c r="F3777" s="47"/>
      <c r="G3777" s="8">
        <v>19</v>
      </c>
      <c r="H3777" s="8" t="s">
        <v>21</v>
      </c>
      <c r="I3777" s="8" t="s">
        <v>22</v>
      </c>
      <c r="J3777" s="8" t="s">
        <v>22</v>
      </c>
      <c r="K3777" s="8" t="s">
        <v>23</v>
      </c>
      <c r="L3777" s="8" t="s">
        <v>17287</v>
      </c>
      <c r="M3777" s="8" t="s">
        <v>17288</v>
      </c>
      <c r="N3777" s="8" t="s">
        <v>17289</v>
      </c>
      <c r="O3777" s="8">
        <f>11+38/60+17.9/3600</f>
        <v>11.638305555555554</v>
      </c>
      <c r="P3777" s="8" t="s">
        <v>17290</v>
      </c>
      <c r="Q3777" s="8">
        <f>-(3+21/60+14/3600)</f>
        <v>-3.3538888888888891</v>
      </c>
      <c r="R3777" s="8">
        <v>14.7</v>
      </c>
      <c r="S3777" s="8">
        <v>15.5</v>
      </c>
      <c r="T3777" s="8">
        <v>0.8</v>
      </c>
      <c r="U3777" s="8">
        <v>11.5</v>
      </c>
      <c r="V3777" s="8">
        <v>0.3</v>
      </c>
      <c r="W3777" s="8">
        <v>0.2</v>
      </c>
      <c r="X3777" s="8">
        <v>155</v>
      </c>
      <c r="Y3777" s="8" t="s">
        <v>266</v>
      </c>
      <c r="Z3777" s="8" t="s">
        <v>267</v>
      </c>
    </row>
    <row r="3778" spans="1:26" x14ac:dyDescent="0.2">
      <c r="A3778" s="8">
        <v>3777</v>
      </c>
      <c r="B3778" s="8" t="s">
        <v>17291</v>
      </c>
      <c r="C3778" s="8" t="s">
        <v>17291</v>
      </c>
      <c r="F3778" s="47"/>
      <c r="G3778" s="8">
        <v>19</v>
      </c>
      <c r="H3778" s="8" t="s">
        <v>21</v>
      </c>
      <c r="I3778" s="8" t="s">
        <v>22</v>
      </c>
      <c r="J3778" s="8" t="s">
        <v>22</v>
      </c>
      <c r="K3778" s="8" t="s">
        <v>31</v>
      </c>
      <c r="L3778" s="8" t="s">
        <v>15699</v>
      </c>
      <c r="M3778" s="8" t="s">
        <v>15700</v>
      </c>
      <c r="N3778" s="8" t="s">
        <v>17292</v>
      </c>
      <c r="O3778" s="8">
        <f>11+36/60+6.8/3600</f>
        <v>11.601888888888888</v>
      </c>
      <c r="P3778" s="8" t="s">
        <v>17293</v>
      </c>
      <c r="Q3778" s="8">
        <f>-(12+34/60+9/3600)</f>
        <v>-12.569166666666666</v>
      </c>
      <c r="R3778" s="8">
        <v>13.4</v>
      </c>
      <c r="S3778" s="8">
        <v>14.2</v>
      </c>
      <c r="T3778" s="8">
        <v>0.8</v>
      </c>
      <c r="U3778" s="8">
        <v>12.8</v>
      </c>
      <c r="V3778" s="8">
        <v>1.1000000000000001</v>
      </c>
      <c r="W3778" s="8">
        <v>0.7</v>
      </c>
      <c r="X3778" s="8">
        <v>35</v>
      </c>
      <c r="Y3778" s="8" t="s">
        <v>21</v>
      </c>
      <c r="Z3778" s="8" t="s">
        <v>17294</v>
      </c>
    </row>
    <row r="3779" spans="1:26" x14ac:dyDescent="0.2">
      <c r="A3779" s="8">
        <v>3778</v>
      </c>
      <c r="B3779" s="8" t="s">
        <v>17295</v>
      </c>
      <c r="C3779" s="8" t="s">
        <v>17295</v>
      </c>
      <c r="F3779" s="47"/>
      <c r="G3779" s="8">
        <v>16</v>
      </c>
      <c r="H3779" s="8" t="s">
        <v>21</v>
      </c>
      <c r="I3779" s="8" t="s">
        <v>22</v>
      </c>
      <c r="J3779" s="8" t="s">
        <v>22</v>
      </c>
      <c r="K3779" s="8" t="s">
        <v>118</v>
      </c>
      <c r="L3779" s="8" t="s">
        <v>16195</v>
      </c>
      <c r="M3779" s="8" t="s">
        <v>16196</v>
      </c>
      <c r="N3779" s="8" t="s">
        <v>17296</v>
      </c>
      <c r="O3779" s="8">
        <f>11+38/60+21.4/3600</f>
        <v>11.639277777777778</v>
      </c>
      <c r="P3779" s="8" t="s">
        <v>17297</v>
      </c>
      <c r="Q3779" s="8">
        <f>-(50+42/60+56/3600)</f>
        <v>-50.715555555555561</v>
      </c>
      <c r="R3779" s="8">
        <v>13.1</v>
      </c>
      <c r="S3779" s="8">
        <v>14.1</v>
      </c>
      <c r="T3779" s="8">
        <v>1</v>
      </c>
      <c r="U3779" s="8">
        <v>13.3</v>
      </c>
      <c r="V3779" s="8">
        <v>1.2</v>
      </c>
      <c r="W3779" s="8">
        <v>0.9</v>
      </c>
      <c r="X3779" s="8">
        <v>24</v>
      </c>
      <c r="Y3779" s="8" t="s">
        <v>21</v>
      </c>
      <c r="Z3779" s="8" t="s">
        <v>17298</v>
      </c>
    </row>
    <row r="3780" spans="1:26" x14ac:dyDescent="0.2">
      <c r="A3780" s="8">
        <v>3779</v>
      </c>
      <c r="B3780" s="8" t="s">
        <v>17299</v>
      </c>
      <c r="C3780" s="8" t="s">
        <v>17299</v>
      </c>
      <c r="F3780" s="47"/>
      <c r="G3780" s="8">
        <v>19</v>
      </c>
      <c r="H3780" s="8" t="s">
        <v>21</v>
      </c>
      <c r="I3780" s="8" t="s">
        <v>22</v>
      </c>
      <c r="J3780" s="8" t="s">
        <v>22</v>
      </c>
      <c r="K3780" s="8" t="s">
        <v>579</v>
      </c>
      <c r="L3780" s="8" t="s">
        <v>15699</v>
      </c>
      <c r="M3780" s="8" t="s">
        <v>15700</v>
      </c>
      <c r="N3780" s="8" t="s">
        <v>17300</v>
      </c>
      <c r="O3780" s="8">
        <f>11+38/60+50.8/3600</f>
        <v>11.647444444444444</v>
      </c>
      <c r="P3780" s="8" t="s">
        <v>17301</v>
      </c>
      <c r="Q3780" s="8">
        <f>-(10+35/60+3/3600)</f>
        <v>-10.584166666666667</v>
      </c>
      <c r="R3780" s="8">
        <v>13.8</v>
      </c>
      <c r="S3780" s="8">
        <v>14.5</v>
      </c>
      <c r="T3780" s="8">
        <v>0.7</v>
      </c>
      <c r="U3780" s="8">
        <v>14.3</v>
      </c>
      <c r="V3780" s="8">
        <v>1.9</v>
      </c>
      <c r="W3780" s="8">
        <v>1</v>
      </c>
      <c r="X3780" s="8">
        <v>85</v>
      </c>
      <c r="Y3780" s="8" t="s">
        <v>2908</v>
      </c>
      <c r="Z3780" s="8" t="s">
        <v>2909</v>
      </c>
    </row>
    <row r="3781" spans="1:26" x14ac:dyDescent="0.2">
      <c r="A3781" s="8">
        <v>3780</v>
      </c>
      <c r="B3781" s="8" t="s">
        <v>17302</v>
      </c>
      <c r="C3781" s="8" t="s">
        <v>17302</v>
      </c>
      <c r="F3781" s="47" t="s">
        <v>57008</v>
      </c>
      <c r="G3781" s="8">
        <v>12</v>
      </c>
      <c r="H3781" s="8" t="s">
        <v>21</v>
      </c>
      <c r="I3781" s="8" t="s">
        <v>22</v>
      </c>
      <c r="J3781" s="8" t="s">
        <v>22</v>
      </c>
      <c r="K3781" s="8" t="s">
        <v>160</v>
      </c>
      <c r="L3781" s="8" t="s">
        <v>12015</v>
      </c>
      <c r="M3781" s="8" t="s">
        <v>12016</v>
      </c>
      <c r="N3781" s="8" t="s">
        <v>17303</v>
      </c>
      <c r="O3781" s="8">
        <f>11+39/60+21.9/3600</f>
        <v>11.656083333333333</v>
      </c>
      <c r="P3781" s="8" t="s">
        <v>17304</v>
      </c>
      <c r="Q3781" s="8">
        <f>+(56+16/60+14/3600)</f>
        <v>56.270555555555553</v>
      </c>
      <c r="R3781" s="8">
        <v>11.5</v>
      </c>
      <c r="S3781" s="8">
        <v>12.2</v>
      </c>
      <c r="T3781" s="8">
        <v>0.7</v>
      </c>
      <c r="U3781" s="8">
        <v>13.5</v>
      </c>
      <c r="V3781" s="8">
        <v>3</v>
      </c>
      <c r="W3781" s="8">
        <v>2.4</v>
      </c>
      <c r="X3781" s="8">
        <v>90</v>
      </c>
      <c r="Y3781" s="8" t="s">
        <v>17305</v>
      </c>
      <c r="Z3781" s="8" t="s">
        <v>17306</v>
      </c>
    </row>
    <row r="3782" spans="1:26" x14ac:dyDescent="0.2">
      <c r="A3782" s="8">
        <v>3781</v>
      </c>
      <c r="B3782" s="8" t="s">
        <v>17307</v>
      </c>
      <c r="C3782" s="8" t="s">
        <v>17307</v>
      </c>
      <c r="F3782" s="47"/>
      <c r="G3782" s="8">
        <v>19</v>
      </c>
      <c r="H3782" s="8" t="s">
        <v>21</v>
      </c>
      <c r="I3782" s="8" t="s">
        <v>22</v>
      </c>
      <c r="J3782" s="8" t="s">
        <v>22</v>
      </c>
      <c r="K3782" s="8" t="s">
        <v>37</v>
      </c>
      <c r="L3782" s="8" t="s">
        <v>13194</v>
      </c>
      <c r="M3782" s="8" t="s">
        <v>13195</v>
      </c>
      <c r="N3782" s="8" t="s">
        <v>17308</v>
      </c>
      <c r="O3782" s="8">
        <f>11+39/60+3.9/3600</f>
        <v>11.651083333333334</v>
      </c>
      <c r="P3782" s="8" t="s">
        <v>17309</v>
      </c>
      <c r="Q3782" s="8">
        <f>+(26+21/60+45/3600)</f>
        <v>26.362500000000001</v>
      </c>
      <c r="R3782" s="8">
        <v>13.8</v>
      </c>
      <c r="S3782" s="8">
        <v>14.8</v>
      </c>
      <c r="T3782" s="8">
        <v>1</v>
      </c>
      <c r="U3782" s="8">
        <v>11.6</v>
      </c>
      <c r="V3782" s="8">
        <v>0.5</v>
      </c>
      <c r="W3782" s="8">
        <v>0.3</v>
      </c>
      <c r="X3782" s="8">
        <v>30</v>
      </c>
      <c r="Y3782" s="8" t="s">
        <v>115</v>
      </c>
      <c r="Z3782" s="8" t="s">
        <v>116</v>
      </c>
    </row>
    <row r="3783" spans="1:26" x14ac:dyDescent="0.2">
      <c r="A3783" s="8">
        <v>3782</v>
      </c>
      <c r="B3783" s="8" t="s">
        <v>17310</v>
      </c>
      <c r="C3783" s="8" t="s">
        <v>17310</v>
      </c>
      <c r="F3783" s="47" t="s">
        <v>57009</v>
      </c>
      <c r="G3783" s="8">
        <v>13</v>
      </c>
      <c r="H3783" s="8" t="s">
        <v>21</v>
      </c>
      <c r="I3783" s="8" t="s">
        <v>22</v>
      </c>
      <c r="J3783" s="8" t="s">
        <v>22</v>
      </c>
      <c r="K3783" s="8" t="s">
        <v>1277</v>
      </c>
      <c r="L3783" s="8" t="s">
        <v>12015</v>
      </c>
      <c r="M3783" s="8" t="s">
        <v>12016</v>
      </c>
      <c r="N3783" s="8" t="s">
        <v>17311</v>
      </c>
      <c r="O3783" s="8">
        <f>11+39/60+20.5/3600</f>
        <v>11.655694444444444</v>
      </c>
      <c r="P3783" s="8" t="s">
        <v>17312</v>
      </c>
      <c r="Q3783" s="8">
        <f>+(46+30/60+47/3600)</f>
        <v>46.513055555555553</v>
      </c>
      <c r="R3783" s="8">
        <v>12.4</v>
      </c>
      <c r="S3783" s="8">
        <v>13.1</v>
      </c>
      <c r="T3783" s="8">
        <v>0.7</v>
      </c>
      <c r="U3783" s="8">
        <v>12.9</v>
      </c>
      <c r="V3783" s="8">
        <v>1.6</v>
      </c>
      <c r="W3783" s="8">
        <v>1.1000000000000001</v>
      </c>
      <c r="X3783" s="8">
        <v>0</v>
      </c>
      <c r="Y3783" s="8" t="s">
        <v>21</v>
      </c>
      <c r="Z3783" s="8" t="s">
        <v>17313</v>
      </c>
    </row>
    <row r="3784" spans="1:26" x14ac:dyDescent="0.2">
      <c r="A3784" s="8">
        <v>3783</v>
      </c>
      <c r="B3784" s="8" t="s">
        <v>17314</v>
      </c>
      <c r="C3784" s="8" t="s">
        <v>17314</v>
      </c>
      <c r="F3784" s="47"/>
      <c r="G3784" s="8">
        <v>13</v>
      </c>
      <c r="H3784" s="8" t="s">
        <v>21</v>
      </c>
      <c r="I3784" s="8" t="s">
        <v>22</v>
      </c>
      <c r="J3784" s="8" t="s">
        <v>22</v>
      </c>
      <c r="K3784" s="8" t="s">
        <v>154</v>
      </c>
      <c r="L3784" s="8" t="s">
        <v>16195</v>
      </c>
      <c r="M3784" s="8" t="s">
        <v>16196</v>
      </c>
      <c r="N3784" s="8" t="s">
        <v>17315</v>
      </c>
      <c r="O3784" s="8">
        <f>11+39/60+1.6/3600</f>
        <v>11.650444444444444</v>
      </c>
      <c r="P3784" s="8" t="s">
        <v>17316</v>
      </c>
      <c r="Q3784" s="8">
        <f>-(37+44/60+18/3600)</f>
        <v>-37.738333333333337</v>
      </c>
      <c r="R3784" s="8">
        <v>11.9</v>
      </c>
      <c r="S3784" s="8">
        <v>12.8</v>
      </c>
      <c r="T3784" s="8">
        <v>0.9</v>
      </c>
      <c r="U3784" s="8">
        <v>13</v>
      </c>
      <c r="V3784" s="8">
        <v>1.9</v>
      </c>
      <c r="W3784" s="8">
        <v>1.7</v>
      </c>
      <c r="X3784" s="8">
        <v>160</v>
      </c>
      <c r="Y3784" s="8" t="s">
        <v>21</v>
      </c>
      <c r="Z3784" s="8" t="s">
        <v>17317</v>
      </c>
    </row>
    <row r="3785" spans="1:26" x14ac:dyDescent="0.2">
      <c r="A3785" s="8">
        <v>3784</v>
      </c>
      <c r="B3785" s="8" t="s">
        <v>17318</v>
      </c>
      <c r="C3785" s="8" t="s">
        <v>17318</v>
      </c>
      <c r="F3785" s="47"/>
      <c r="G3785" s="8">
        <v>19</v>
      </c>
      <c r="H3785" s="8" t="s">
        <v>21</v>
      </c>
      <c r="I3785" s="8" t="s">
        <v>22</v>
      </c>
      <c r="J3785" s="8" t="s">
        <v>22</v>
      </c>
      <c r="K3785" s="8" t="s">
        <v>154</v>
      </c>
      <c r="L3785" s="8" t="s">
        <v>13194</v>
      </c>
      <c r="M3785" s="8" t="s">
        <v>13195</v>
      </c>
      <c r="N3785" s="8" t="s">
        <v>17319</v>
      </c>
      <c r="O3785" s="8">
        <f>11+39/60+29.7/3600</f>
        <v>11.658250000000001</v>
      </c>
      <c r="P3785" s="8" t="s">
        <v>17320</v>
      </c>
      <c r="Q3785" s="8">
        <f>+(26+18/60+35/3600)</f>
        <v>26.309722222222224</v>
      </c>
      <c r="R3785" s="8">
        <v>14.4</v>
      </c>
      <c r="S3785" s="8">
        <v>15.3</v>
      </c>
      <c r="T3785" s="8">
        <v>0.9</v>
      </c>
      <c r="U3785" s="8">
        <v>12.8</v>
      </c>
      <c r="V3785" s="8">
        <v>0.9</v>
      </c>
      <c r="W3785" s="8">
        <v>0.3</v>
      </c>
      <c r="X3785" s="8">
        <v>135</v>
      </c>
      <c r="Y3785" s="8" t="s">
        <v>7474</v>
      </c>
      <c r="Z3785" s="8" t="s">
        <v>7475</v>
      </c>
    </row>
    <row r="3786" spans="1:26" x14ac:dyDescent="0.2">
      <c r="A3786" s="8">
        <v>3785</v>
      </c>
      <c r="B3786" s="8" t="s">
        <v>17321</v>
      </c>
      <c r="C3786" s="8" t="s">
        <v>17321</v>
      </c>
      <c r="F3786" s="47"/>
      <c r="G3786" s="8">
        <v>19</v>
      </c>
      <c r="H3786" s="8" t="s">
        <v>21</v>
      </c>
      <c r="I3786" s="8" t="s">
        <v>22</v>
      </c>
      <c r="J3786" s="8" t="s">
        <v>22</v>
      </c>
      <c r="K3786" s="8" t="s">
        <v>37</v>
      </c>
      <c r="L3786" s="8" t="s">
        <v>13194</v>
      </c>
      <c r="M3786" s="8" t="s">
        <v>13195</v>
      </c>
      <c r="N3786" s="8" t="s">
        <v>17322</v>
      </c>
      <c r="O3786" s="8">
        <f>11+39/60+32.9/3600</f>
        <v>11.65913888888889</v>
      </c>
      <c r="P3786" s="8" t="s">
        <v>17323</v>
      </c>
      <c r="Q3786" s="8">
        <f>+(26+18/60+10/3600)</f>
        <v>26.302777777777777</v>
      </c>
      <c r="R3786" s="8">
        <v>14.2</v>
      </c>
      <c r="S3786" s="8">
        <v>15.2</v>
      </c>
      <c r="T3786" s="8">
        <v>1</v>
      </c>
      <c r="U3786" s="8">
        <v>13.1</v>
      </c>
      <c r="V3786" s="8">
        <v>1</v>
      </c>
      <c r="W3786" s="8">
        <v>0.4</v>
      </c>
      <c r="X3786" s="8">
        <v>25</v>
      </c>
      <c r="Y3786" s="8" t="s">
        <v>4692</v>
      </c>
      <c r="Z3786" s="8" t="s">
        <v>4693</v>
      </c>
    </row>
    <row r="3787" spans="1:26" x14ac:dyDescent="0.2">
      <c r="A3787" s="8">
        <v>3786</v>
      </c>
      <c r="B3787" s="8" t="s">
        <v>17324</v>
      </c>
      <c r="C3787" s="8" t="s">
        <v>17324</v>
      </c>
      <c r="F3787" s="47"/>
      <c r="G3787" s="8">
        <v>16</v>
      </c>
      <c r="H3787" s="8" t="s">
        <v>21</v>
      </c>
      <c r="I3787" s="8" t="s">
        <v>22</v>
      </c>
      <c r="J3787" s="8" t="s">
        <v>22</v>
      </c>
      <c r="K3787" s="8" t="s">
        <v>7975</v>
      </c>
      <c r="L3787" s="8" t="s">
        <v>12015</v>
      </c>
      <c r="M3787" s="8" t="s">
        <v>12016</v>
      </c>
      <c r="N3787" s="8" t="s">
        <v>17325</v>
      </c>
      <c r="O3787" s="8">
        <f>11+39/60+42.5/3600</f>
        <v>11.661805555555556</v>
      </c>
      <c r="P3787" s="8" t="s">
        <v>17326</v>
      </c>
      <c r="Q3787" s="8">
        <f>+(31+54/60+31/3600)</f>
        <v>31.90861111111111</v>
      </c>
      <c r="R3787" s="8">
        <v>12.3</v>
      </c>
      <c r="S3787" s="8">
        <v>13.3</v>
      </c>
      <c r="T3787" s="8">
        <v>1</v>
      </c>
      <c r="U3787" s="8">
        <v>13.3</v>
      </c>
      <c r="V3787" s="8">
        <v>2.1</v>
      </c>
      <c r="W3787" s="8">
        <v>1.1000000000000001</v>
      </c>
      <c r="X3787" s="8">
        <v>77</v>
      </c>
      <c r="Y3787" s="8" t="s">
        <v>21</v>
      </c>
      <c r="Z3787" s="8" t="s">
        <v>17327</v>
      </c>
    </row>
    <row r="3788" spans="1:26" x14ac:dyDescent="0.2">
      <c r="A3788" s="8">
        <v>3787</v>
      </c>
      <c r="B3788" s="8" t="s">
        <v>17328</v>
      </c>
      <c r="C3788" s="8" t="s">
        <v>17328</v>
      </c>
      <c r="F3788" s="47"/>
      <c r="G3788" s="8">
        <v>18</v>
      </c>
      <c r="H3788" s="8" t="s">
        <v>21</v>
      </c>
      <c r="I3788" s="8" t="s">
        <v>22</v>
      </c>
      <c r="J3788" s="8" t="s">
        <v>22</v>
      </c>
      <c r="K3788" s="8" t="s">
        <v>37</v>
      </c>
      <c r="L3788" s="8" t="s">
        <v>13194</v>
      </c>
      <c r="M3788" s="8" t="s">
        <v>13195</v>
      </c>
      <c r="N3788" s="8" t="s">
        <v>17329</v>
      </c>
      <c r="O3788" s="8">
        <f>11+39/60+38.1/3600</f>
        <v>11.660583333333333</v>
      </c>
      <c r="P3788" s="8" t="s">
        <v>17330</v>
      </c>
      <c r="Q3788" s="8">
        <f>+(20+27/60+18/3600)</f>
        <v>20.454999999999998</v>
      </c>
      <c r="R3788" s="8">
        <v>13.7</v>
      </c>
      <c r="S3788" s="8">
        <v>14.7</v>
      </c>
      <c r="T3788" s="8">
        <v>1</v>
      </c>
      <c r="U3788" s="8">
        <v>12.1</v>
      </c>
      <c r="V3788" s="8">
        <v>0.4</v>
      </c>
      <c r="W3788" s="8">
        <v>0.3</v>
      </c>
      <c r="X3788" s="8">
        <v>21</v>
      </c>
      <c r="Y3788" s="8" t="s">
        <v>21</v>
      </c>
      <c r="Z3788" s="8" t="s">
        <v>17331</v>
      </c>
    </row>
    <row r="3789" spans="1:26" x14ac:dyDescent="0.2">
      <c r="A3789" s="8">
        <v>3788</v>
      </c>
      <c r="B3789" s="8" t="s">
        <v>17332</v>
      </c>
      <c r="C3789" s="8" t="s">
        <v>17332</v>
      </c>
      <c r="F3789" s="47"/>
      <c r="G3789" s="8">
        <v>16</v>
      </c>
      <c r="H3789" s="8" t="s">
        <v>21</v>
      </c>
      <c r="I3789" s="8" t="s">
        <v>22</v>
      </c>
      <c r="J3789" s="8" t="s">
        <v>22</v>
      </c>
      <c r="K3789" s="8" t="s">
        <v>4023</v>
      </c>
      <c r="L3789" s="8" t="s">
        <v>12015</v>
      </c>
      <c r="M3789" s="8" t="s">
        <v>12016</v>
      </c>
      <c r="N3789" s="8" t="s">
        <v>17333</v>
      </c>
      <c r="O3789" s="8">
        <f>11+39/60+44.7/3600</f>
        <v>11.662416666666667</v>
      </c>
      <c r="P3789" s="8" t="s">
        <v>17334</v>
      </c>
      <c r="Q3789" s="8">
        <f>+(31+55/60+50/3600)</f>
        <v>31.930555555555557</v>
      </c>
      <c r="R3789" s="8">
        <v>12.6</v>
      </c>
      <c r="S3789" s="8">
        <v>13.4</v>
      </c>
      <c r="T3789" s="8">
        <v>0.8</v>
      </c>
      <c r="U3789" s="8">
        <v>12.9</v>
      </c>
      <c r="V3789" s="8">
        <v>2.1</v>
      </c>
      <c r="W3789" s="8">
        <v>0.7</v>
      </c>
      <c r="X3789" s="8">
        <v>178</v>
      </c>
      <c r="Y3789" s="8" t="s">
        <v>21</v>
      </c>
      <c r="Z3789" s="8" t="s">
        <v>17335</v>
      </c>
    </row>
    <row r="3790" spans="1:26" x14ac:dyDescent="0.2">
      <c r="A3790" s="8">
        <v>3789</v>
      </c>
      <c r="B3790" s="8" t="s">
        <v>17336</v>
      </c>
      <c r="C3790" s="8" t="s">
        <v>17336</v>
      </c>
      <c r="F3790" s="47"/>
      <c r="G3790" s="8">
        <v>19</v>
      </c>
      <c r="H3790" s="8" t="s">
        <v>21</v>
      </c>
      <c r="I3790" s="8" t="s">
        <v>22</v>
      </c>
      <c r="J3790" s="8" t="s">
        <v>22</v>
      </c>
      <c r="K3790" s="8" t="s">
        <v>632</v>
      </c>
      <c r="L3790" s="8" t="s">
        <v>15699</v>
      </c>
      <c r="M3790" s="8" t="s">
        <v>15700</v>
      </c>
      <c r="N3790" s="8" t="s">
        <v>17337</v>
      </c>
      <c r="O3790" s="8">
        <f>11+38/60+9/3600</f>
        <v>11.635833333333332</v>
      </c>
      <c r="P3790" s="8" t="s">
        <v>17338</v>
      </c>
      <c r="Q3790" s="8">
        <f>-(9+36/60+24/3600)</f>
        <v>-9.6066666666666656</v>
      </c>
      <c r="R3790" s="8">
        <v>13.4</v>
      </c>
      <c r="S3790" s="8">
        <v>14.3</v>
      </c>
      <c r="T3790" s="8">
        <v>0.9</v>
      </c>
      <c r="U3790" s="8">
        <v>13.2</v>
      </c>
      <c r="V3790" s="8">
        <v>1.3</v>
      </c>
      <c r="W3790" s="8">
        <v>0.7</v>
      </c>
      <c r="X3790" s="8">
        <v>179</v>
      </c>
      <c r="Y3790" s="8" t="s">
        <v>17339</v>
      </c>
      <c r="Z3790" s="8" t="s">
        <v>17340</v>
      </c>
    </row>
    <row r="3791" spans="1:26" x14ac:dyDescent="0.2">
      <c r="A3791" s="8">
        <v>3790</v>
      </c>
      <c r="B3791" s="8" t="s">
        <v>17341</v>
      </c>
      <c r="C3791" s="8" t="s">
        <v>17341</v>
      </c>
      <c r="F3791" s="47" t="s">
        <v>57010</v>
      </c>
      <c r="G3791" s="8">
        <v>15</v>
      </c>
      <c r="H3791" s="8" t="s">
        <v>21</v>
      </c>
      <c r="I3791" s="8" t="s">
        <v>22</v>
      </c>
      <c r="J3791" s="8" t="s">
        <v>22</v>
      </c>
      <c r="K3791" s="8" t="s">
        <v>632</v>
      </c>
      <c r="L3791" s="8" t="s">
        <v>13194</v>
      </c>
      <c r="M3791" s="8" t="s">
        <v>13195</v>
      </c>
      <c r="N3791" s="8" t="s">
        <v>17342</v>
      </c>
      <c r="O3791" s="8">
        <f>11+39/60+47.2/3600</f>
        <v>11.663111111111112</v>
      </c>
      <c r="P3791" s="8" t="s">
        <v>17343</v>
      </c>
      <c r="Q3791" s="8">
        <f>+(17+42/60+44/3600)</f>
        <v>17.71222222222222</v>
      </c>
      <c r="R3791" s="8">
        <v>13.9</v>
      </c>
      <c r="S3791" s="8">
        <v>14.8</v>
      </c>
      <c r="T3791" s="8">
        <v>0.9</v>
      </c>
      <c r="U3791" s="8">
        <v>12.6</v>
      </c>
      <c r="V3791" s="8">
        <v>1.1000000000000001</v>
      </c>
      <c r="W3791" s="8">
        <v>0.3</v>
      </c>
      <c r="X3791" s="8">
        <v>154</v>
      </c>
      <c r="Y3791" s="8" t="s">
        <v>17344</v>
      </c>
      <c r="Z3791" s="8" t="s">
        <v>17345</v>
      </c>
    </row>
    <row r="3792" spans="1:26" x14ac:dyDescent="0.2">
      <c r="A3792" s="8">
        <v>3791</v>
      </c>
      <c r="B3792" s="8" t="s">
        <v>17346</v>
      </c>
      <c r="C3792" s="8" t="s">
        <v>17346</v>
      </c>
      <c r="F3792" s="47" t="s">
        <v>57011</v>
      </c>
      <c r="G3792" s="8">
        <v>15</v>
      </c>
      <c r="H3792" s="8" t="s">
        <v>21</v>
      </c>
      <c r="I3792" s="8" t="s">
        <v>22</v>
      </c>
      <c r="J3792" s="8" t="s">
        <v>22</v>
      </c>
      <c r="K3792" s="8" t="s">
        <v>37</v>
      </c>
      <c r="L3792" s="8" t="s">
        <v>15699</v>
      </c>
      <c r="M3792" s="8" t="s">
        <v>15700</v>
      </c>
      <c r="N3792" s="8" t="s">
        <v>17347</v>
      </c>
      <c r="O3792" s="8">
        <f>11+39/60+41.6/3600</f>
        <v>11.661555555555555</v>
      </c>
      <c r="P3792" s="8" t="s">
        <v>17348</v>
      </c>
      <c r="Q3792" s="8">
        <f>-(9+22/60+0/3600)</f>
        <v>-9.3666666666666671</v>
      </c>
      <c r="R3792" s="8">
        <v>13.4</v>
      </c>
      <c r="S3792" s="8">
        <v>14.4</v>
      </c>
      <c r="T3792" s="8">
        <v>1</v>
      </c>
      <c r="U3792" s="8">
        <v>13.7</v>
      </c>
      <c r="V3792" s="8">
        <v>1.4</v>
      </c>
      <c r="W3792" s="8">
        <v>1</v>
      </c>
      <c r="X3792" s="8">
        <v>164</v>
      </c>
      <c r="Y3792" s="8" t="s">
        <v>21</v>
      </c>
      <c r="Z3792" s="8" t="s">
        <v>17349</v>
      </c>
    </row>
    <row r="3793" spans="1:26" x14ac:dyDescent="0.2">
      <c r="A3793" s="8">
        <v>3792</v>
      </c>
      <c r="B3793" s="8" t="s">
        <v>17350</v>
      </c>
      <c r="C3793" s="8" t="s">
        <v>17350</v>
      </c>
      <c r="F3793" s="47"/>
      <c r="G3793" s="8">
        <v>19</v>
      </c>
      <c r="H3793" s="8" t="s">
        <v>21</v>
      </c>
      <c r="I3793" s="8" t="s">
        <v>72</v>
      </c>
      <c r="J3793" s="8" t="s">
        <v>72</v>
      </c>
      <c r="K3793" s="8" t="s">
        <v>73</v>
      </c>
      <c r="L3793" s="8" t="s">
        <v>17287</v>
      </c>
      <c r="M3793" s="8" t="s">
        <v>17288</v>
      </c>
      <c r="N3793" s="8" t="s">
        <v>17351</v>
      </c>
      <c r="O3793" s="8">
        <f>11+39/60+38.5/3600</f>
        <v>11.660694444444445</v>
      </c>
      <c r="P3793" s="8" t="s">
        <v>17352</v>
      </c>
      <c r="Q3793" s="8">
        <f>+(5+6/60+0/3600)</f>
        <v>5.0999999999999996</v>
      </c>
      <c r="R3793" s="8">
        <v>99</v>
      </c>
      <c r="S3793" s="8">
        <v>99</v>
      </c>
      <c r="T3793" s="8">
        <v>99</v>
      </c>
      <c r="U3793" s="8">
        <v>99</v>
      </c>
      <c r="Y3793" s="8" t="s">
        <v>17353</v>
      </c>
      <c r="Z3793" s="8" t="s">
        <v>17354</v>
      </c>
    </row>
    <row r="3794" spans="1:26" x14ac:dyDescent="0.2">
      <c r="A3794" s="8">
        <v>3793</v>
      </c>
      <c r="B3794" s="8" t="s">
        <v>17355</v>
      </c>
      <c r="C3794" s="8" t="s">
        <v>17355</v>
      </c>
      <c r="F3794" s="47"/>
      <c r="G3794" s="8">
        <v>19</v>
      </c>
      <c r="H3794" s="8" t="s">
        <v>21</v>
      </c>
      <c r="I3794" s="8" t="s">
        <v>72</v>
      </c>
      <c r="J3794" s="8" t="s">
        <v>72</v>
      </c>
      <c r="K3794" s="8" t="s">
        <v>20</v>
      </c>
      <c r="L3794" s="8" t="s">
        <v>12015</v>
      </c>
      <c r="M3794" s="8" t="s">
        <v>12016</v>
      </c>
      <c r="N3794" s="8" t="s">
        <v>17356</v>
      </c>
      <c r="O3794" s="8">
        <f>11+40/60+2/3600</f>
        <v>11.667222222222222</v>
      </c>
      <c r="P3794" s="8" t="s">
        <v>17357</v>
      </c>
      <c r="Q3794" s="8">
        <f>+(31+52/60+41/3600)</f>
        <v>31.878055555555555</v>
      </c>
      <c r="R3794" s="8">
        <v>99</v>
      </c>
      <c r="S3794" s="8">
        <v>13.7</v>
      </c>
      <c r="T3794" s="8">
        <v>99</v>
      </c>
      <c r="U3794" s="8">
        <v>99</v>
      </c>
      <c r="Y3794" s="8" t="s">
        <v>21</v>
      </c>
      <c r="Z3794" s="8" t="s">
        <v>17358</v>
      </c>
    </row>
    <row r="3795" spans="1:26" x14ac:dyDescent="0.2">
      <c r="A3795" s="8">
        <v>3794</v>
      </c>
      <c r="B3795" s="8" t="s">
        <v>17359</v>
      </c>
      <c r="C3795" s="8" t="s">
        <v>17359</v>
      </c>
      <c r="F3795" s="50" t="s">
        <v>57012</v>
      </c>
      <c r="G3795" s="8">
        <v>15</v>
      </c>
      <c r="H3795" s="8" t="s">
        <v>21</v>
      </c>
      <c r="I3795" s="8" t="s">
        <v>22</v>
      </c>
      <c r="J3795" s="8" t="s">
        <v>22</v>
      </c>
      <c r="K3795" s="8" t="s">
        <v>64</v>
      </c>
      <c r="L3795" s="8" t="s">
        <v>12015</v>
      </c>
      <c r="M3795" s="8" t="s">
        <v>12016</v>
      </c>
      <c r="N3795" s="8" t="s">
        <v>17360</v>
      </c>
      <c r="O3795" s="8">
        <f>11+40/60+54/3600</f>
        <v>11.681666666666667</v>
      </c>
      <c r="P3795" s="8" t="s">
        <v>17361</v>
      </c>
      <c r="Q3795" s="8">
        <f>+(56+12/60+6/3600)</f>
        <v>56.201666666666668</v>
      </c>
      <c r="R3795" s="8">
        <v>12.9</v>
      </c>
      <c r="S3795" s="8">
        <v>13.6</v>
      </c>
      <c r="T3795" s="8">
        <v>0.7</v>
      </c>
      <c r="U3795" s="8">
        <v>14</v>
      </c>
      <c r="V3795" s="8">
        <v>2.2000000000000002</v>
      </c>
      <c r="W3795" s="8">
        <v>1.5</v>
      </c>
      <c r="X3795" s="8">
        <v>120</v>
      </c>
      <c r="Y3795" s="8" t="s">
        <v>21</v>
      </c>
      <c r="Z3795" s="8" t="s">
        <v>17362</v>
      </c>
    </row>
    <row r="3796" spans="1:26" x14ac:dyDescent="0.2">
      <c r="A3796" s="8">
        <v>3795</v>
      </c>
      <c r="B3796" s="8" t="s">
        <v>17363</v>
      </c>
      <c r="C3796" s="8" t="s">
        <v>17363</v>
      </c>
      <c r="F3796" s="47" t="s">
        <v>57013</v>
      </c>
      <c r="G3796" s="8">
        <v>15</v>
      </c>
      <c r="H3796" s="8" t="s">
        <v>21</v>
      </c>
      <c r="I3796" s="8" t="s">
        <v>22</v>
      </c>
      <c r="J3796" s="8" t="s">
        <v>22</v>
      </c>
      <c r="K3796" s="8" t="s">
        <v>396</v>
      </c>
      <c r="L3796" s="8" t="s">
        <v>12015</v>
      </c>
      <c r="M3796" s="8" t="s">
        <v>12016</v>
      </c>
      <c r="N3796" s="8" t="s">
        <v>17364</v>
      </c>
      <c r="O3796" s="8">
        <f>11+40/60+6.7/3600</f>
        <v>11.668527777777777</v>
      </c>
      <c r="P3796" s="8" t="s">
        <v>17365</v>
      </c>
      <c r="Q3796" s="8">
        <f>+(58+36/60+45/3600)</f>
        <v>58.612500000000004</v>
      </c>
      <c r="R3796" s="8">
        <v>13.2</v>
      </c>
      <c r="S3796" s="8">
        <v>14</v>
      </c>
      <c r="T3796" s="8">
        <v>0.8</v>
      </c>
      <c r="U3796" s="8">
        <v>13.1</v>
      </c>
      <c r="V3796" s="8">
        <v>2.1</v>
      </c>
      <c r="W3796" s="8">
        <v>0.5</v>
      </c>
      <c r="X3796" s="8">
        <v>53</v>
      </c>
      <c r="Y3796" s="8" t="s">
        <v>11661</v>
      </c>
      <c r="Z3796" s="8" t="s">
        <v>11662</v>
      </c>
    </row>
    <row r="3797" spans="1:26" x14ac:dyDescent="0.2">
      <c r="A3797" s="8">
        <v>3796</v>
      </c>
      <c r="B3797" s="8" t="s">
        <v>17366</v>
      </c>
      <c r="C3797" s="8" t="s">
        <v>17366</v>
      </c>
      <c r="F3797" s="47" t="s">
        <v>57014</v>
      </c>
      <c r="G3797" s="8">
        <v>15</v>
      </c>
      <c r="H3797" s="8" t="s">
        <v>21</v>
      </c>
      <c r="I3797" s="8" t="s">
        <v>22</v>
      </c>
      <c r="J3797" s="8" t="s">
        <v>22</v>
      </c>
      <c r="K3797" s="8" t="s">
        <v>476</v>
      </c>
      <c r="L3797" s="8" t="s">
        <v>12015</v>
      </c>
      <c r="M3797" s="8" t="s">
        <v>12016</v>
      </c>
      <c r="N3797" s="8" t="s">
        <v>17367</v>
      </c>
      <c r="O3797" s="8">
        <f>11+40/60+31/3600</f>
        <v>11.675277777777778</v>
      </c>
      <c r="P3797" s="8" t="s">
        <v>17368</v>
      </c>
      <c r="Q3797" s="8">
        <f>+(60+17/60+56/3600)</f>
        <v>60.298888888888889</v>
      </c>
      <c r="R3797" s="8">
        <v>12.6</v>
      </c>
      <c r="S3797" s="8">
        <v>13.5</v>
      </c>
      <c r="T3797" s="8">
        <v>0.9</v>
      </c>
      <c r="U3797" s="8">
        <v>12.6</v>
      </c>
      <c r="V3797" s="8">
        <v>1.3</v>
      </c>
      <c r="W3797" s="8">
        <v>0.9</v>
      </c>
      <c r="X3797" s="8">
        <v>127</v>
      </c>
      <c r="Y3797" s="8" t="s">
        <v>17369</v>
      </c>
      <c r="Z3797" s="8" t="s">
        <v>17370</v>
      </c>
    </row>
    <row r="3798" spans="1:26" x14ac:dyDescent="0.2">
      <c r="A3798" s="8">
        <v>3797</v>
      </c>
      <c r="B3798" s="8" t="s">
        <v>17371</v>
      </c>
      <c r="C3798" s="8" t="s">
        <v>17371</v>
      </c>
      <c r="F3798" s="47"/>
      <c r="G3798" s="8">
        <v>19</v>
      </c>
      <c r="H3798" s="8" t="s">
        <v>21</v>
      </c>
      <c r="I3798" s="8" t="s">
        <v>72</v>
      </c>
      <c r="J3798" s="8" t="s">
        <v>72</v>
      </c>
      <c r="K3798" s="8" t="s">
        <v>20</v>
      </c>
      <c r="L3798" s="8" t="s">
        <v>12015</v>
      </c>
      <c r="M3798" s="8" t="s">
        <v>12016</v>
      </c>
      <c r="N3798" s="8" t="s">
        <v>17372</v>
      </c>
      <c r="O3798" s="8">
        <f>11+40/60+13.4/3600</f>
        <v>11.670388888888889</v>
      </c>
      <c r="P3798" s="8" t="s">
        <v>17373</v>
      </c>
      <c r="Q3798" s="8">
        <f>+(31+54/60+23/3600)</f>
        <v>31.906388888888888</v>
      </c>
      <c r="R3798" s="8">
        <v>99</v>
      </c>
      <c r="S3798" s="8">
        <v>14.7</v>
      </c>
      <c r="T3798" s="8">
        <v>99</v>
      </c>
      <c r="U3798" s="8">
        <v>99</v>
      </c>
      <c r="Y3798" s="8" t="s">
        <v>21</v>
      </c>
      <c r="Z3798" s="8" t="s">
        <v>17358</v>
      </c>
    </row>
    <row r="3799" spans="1:26" x14ac:dyDescent="0.2">
      <c r="A3799" s="8">
        <v>3798</v>
      </c>
      <c r="B3799" s="8" t="s">
        <v>17374</v>
      </c>
      <c r="C3799" s="8" t="s">
        <v>17374</v>
      </c>
      <c r="F3799" s="47" t="s">
        <v>57015</v>
      </c>
      <c r="G3799" s="8">
        <v>15</v>
      </c>
      <c r="H3799" s="8" t="s">
        <v>21</v>
      </c>
      <c r="I3799" s="8" t="s">
        <v>22</v>
      </c>
      <c r="J3799" s="8" t="s">
        <v>22</v>
      </c>
      <c r="K3799" s="8" t="s">
        <v>224</v>
      </c>
      <c r="L3799" s="8" t="s">
        <v>13194</v>
      </c>
      <c r="M3799" s="8" t="s">
        <v>13195</v>
      </c>
      <c r="N3799" s="8" t="s">
        <v>17375</v>
      </c>
      <c r="O3799" s="8">
        <f>11+40/60+13.9/3600</f>
        <v>11.670527777777778</v>
      </c>
      <c r="P3799" s="8" t="s">
        <v>17376</v>
      </c>
      <c r="Q3799" s="8">
        <f>+(24+41/60+49/3600)</f>
        <v>24.696944444444444</v>
      </c>
      <c r="R3799" s="8">
        <v>12.1</v>
      </c>
      <c r="S3799" s="8">
        <v>13.1</v>
      </c>
      <c r="T3799" s="8">
        <v>1</v>
      </c>
      <c r="U3799" s="8">
        <v>13.1</v>
      </c>
      <c r="V3799" s="8">
        <v>2.2999999999999998</v>
      </c>
      <c r="W3799" s="8">
        <v>1.2</v>
      </c>
      <c r="X3799" s="8">
        <v>60</v>
      </c>
      <c r="Y3799" s="8" t="s">
        <v>17377</v>
      </c>
      <c r="Z3799" s="8" t="s">
        <v>17378</v>
      </c>
    </row>
    <row r="3800" spans="1:26" x14ac:dyDescent="0.2">
      <c r="A3800" s="8">
        <v>3799</v>
      </c>
      <c r="B3800" s="8" t="s">
        <v>17379</v>
      </c>
      <c r="C3800" s="8" t="s">
        <v>17379</v>
      </c>
      <c r="F3800" s="47"/>
      <c r="G3800" s="8">
        <v>16</v>
      </c>
      <c r="H3800" s="8" t="s">
        <v>21</v>
      </c>
      <c r="I3800" s="8" t="s">
        <v>22</v>
      </c>
      <c r="J3800" s="8" t="s">
        <v>22</v>
      </c>
      <c r="K3800" s="8" t="s">
        <v>5751</v>
      </c>
      <c r="L3800" s="8" t="s">
        <v>13194</v>
      </c>
      <c r="M3800" s="8" t="s">
        <v>13195</v>
      </c>
      <c r="N3800" s="8" t="s">
        <v>17380</v>
      </c>
      <c r="O3800" s="8">
        <f>11+40/60+9.3/3600</f>
        <v>11.66925</v>
      </c>
      <c r="P3800" s="8" t="s">
        <v>17381</v>
      </c>
      <c r="Q3800" s="8">
        <f>+(15+19/60+39/3600)</f>
        <v>15.327500000000001</v>
      </c>
      <c r="R3800" s="8">
        <v>13.9</v>
      </c>
      <c r="S3800" s="8">
        <v>14.7</v>
      </c>
      <c r="T3800" s="8">
        <v>0.8</v>
      </c>
      <c r="U3800" s="8">
        <v>12.4</v>
      </c>
      <c r="V3800" s="8">
        <v>0.7</v>
      </c>
      <c r="W3800" s="8">
        <v>0.5</v>
      </c>
      <c r="X3800" s="8">
        <v>114</v>
      </c>
      <c r="Y3800" s="8" t="s">
        <v>17382</v>
      </c>
      <c r="Z3800" s="8" t="s">
        <v>17383</v>
      </c>
    </row>
    <row r="3801" spans="1:26" x14ac:dyDescent="0.2">
      <c r="A3801" s="8">
        <v>3800</v>
      </c>
      <c r="B3801" s="8" t="s">
        <v>17384</v>
      </c>
      <c r="C3801" s="8" t="s">
        <v>17384</v>
      </c>
      <c r="F3801" s="47" t="s">
        <v>57016</v>
      </c>
      <c r="G3801" s="8">
        <v>15</v>
      </c>
      <c r="H3801" s="8" t="s">
        <v>21</v>
      </c>
      <c r="I3801" s="8" t="s">
        <v>22</v>
      </c>
      <c r="J3801" s="8" t="s">
        <v>22</v>
      </c>
      <c r="K3801" s="8" t="s">
        <v>5751</v>
      </c>
      <c r="L3801" s="8" t="s">
        <v>13194</v>
      </c>
      <c r="M3801" s="8" t="s">
        <v>13195</v>
      </c>
      <c r="N3801" s="8" t="s">
        <v>17385</v>
      </c>
      <c r="O3801" s="8">
        <f>11+40/60+13.3/3600</f>
        <v>11.670361111111111</v>
      </c>
      <c r="P3801" s="8" t="s">
        <v>17386</v>
      </c>
      <c r="Q3801" s="8">
        <f>+(15+20/60+32/3600)</f>
        <v>15.342222222222222</v>
      </c>
      <c r="R3801" s="8">
        <v>12.7</v>
      </c>
      <c r="S3801" s="8">
        <v>13.5</v>
      </c>
      <c r="T3801" s="8">
        <v>0.8</v>
      </c>
      <c r="U3801" s="8">
        <v>12.7</v>
      </c>
      <c r="V3801" s="8">
        <v>2</v>
      </c>
      <c r="W3801" s="8">
        <v>0.6</v>
      </c>
      <c r="X3801" s="8">
        <v>52</v>
      </c>
      <c r="Y3801" s="8" t="s">
        <v>17387</v>
      </c>
      <c r="Z3801" s="8" t="s">
        <v>17388</v>
      </c>
    </row>
    <row r="3802" spans="1:26" x14ac:dyDescent="0.2">
      <c r="A3802" s="8">
        <v>3801</v>
      </c>
      <c r="B3802" s="8" t="s">
        <v>17389</v>
      </c>
      <c r="C3802" s="8" t="s">
        <v>17389</v>
      </c>
      <c r="F3802" s="47" t="s">
        <v>57017</v>
      </c>
      <c r="G3802" s="8">
        <v>15</v>
      </c>
      <c r="H3802" s="8" t="s">
        <v>21</v>
      </c>
      <c r="I3802" s="8" t="s">
        <v>22</v>
      </c>
      <c r="J3802" s="8" t="s">
        <v>22</v>
      </c>
      <c r="K3802" s="8" t="s">
        <v>37</v>
      </c>
      <c r="L3802" s="8" t="s">
        <v>13194</v>
      </c>
      <c r="M3802" s="8" t="s">
        <v>13195</v>
      </c>
      <c r="N3802" s="8" t="s">
        <v>17390</v>
      </c>
      <c r="O3802" s="8">
        <f>11+40/60+16.8/3600</f>
        <v>11.671333333333333</v>
      </c>
      <c r="P3802" s="8" t="s">
        <v>17391</v>
      </c>
      <c r="Q3802" s="8">
        <f>+(17+43/60+39/3600)</f>
        <v>17.727499999999999</v>
      </c>
      <c r="R3802" s="8">
        <v>12</v>
      </c>
      <c r="S3802" s="8">
        <v>13</v>
      </c>
      <c r="T3802" s="8">
        <v>1</v>
      </c>
      <c r="U3802" s="8">
        <v>14.1</v>
      </c>
      <c r="V3802" s="8">
        <v>2.5</v>
      </c>
      <c r="W3802" s="8">
        <v>1.6</v>
      </c>
      <c r="X3802" s="8">
        <v>120</v>
      </c>
      <c r="Y3802" s="8" t="s">
        <v>17392</v>
      </c>
      <c r="Z3802" s="8" t="s">
        <v>17393</v>
      </c>
    </row>
    <row r="3803" spans="1:26" x14ac:dyDescent="0.2">
      <c r="A3803" s="8">
        <v>3802</v>
      </c>
      <c r="B3803" s="8" t="s">
        <v>17394</v>
      </c>
      <c r="C3803" s="8" t="s">
        <v>17394</v>
      </c>
      <c r="F3803" s="47"/>
      <c r="G3803" s="8">
        <v>16</v>
      </c>
      <c r="H3803" s="8" t="s">
        <v>21</v>
      </c>
      <c r="I3803" s="8" t="s">
        <v>22</v>
      </c>
      <c r="J3803" s="8" t="s">
        <v>22</v>
      </c>
      <c r="K3803" s="8" t="s">
        <v>160</v>
      </c>
      <c r="L3803" s="8" t="s">
        <v>13194</v>
      </c>
      <c r="M3803" s="8" t="s">
        <v>13195</v>
      </c>
      <c r="N3803" s="8" t="s">
        <v>17395</v>
      </c>
      <c r="O3803" s="8">
        <f>11+40/60+18.7/3600</f>
        <v>11.671861111111111</v>
      </c>
      <c r="P3803" s="8" t="s">
        <v>17396</v>
      </c>
      <c r="Q3803" s="8">
        <f>+(17+45/60+55/3600)</f>
        <v>17.765277777777779</v>
      </c>
      <c r="R3803" s="8">
        <v>13.3</v>
      </c>
      <c r="S3803" s="8">
        <v>14.3</v>
      </c>
      <c r="T3803" s="8">
        <v>1</v>
      </c>
      <c r="U3803" s="8">
        <v>11.8</v>
      </c>
      <c r="V3803" s="8">
        <v>1.1000000000000001</v>
      </c>
      <c r="W3803" s="8">
        <v>0.3</v>
      </c>
      <c r="X3803" s="8">
        <v>85</v>
      </c>
      <c r="Y3803" s="8" t="s">
        <v>21</v>
      </c>
      <c r="Z3803" s="8" t="s">
        <v>17397</v>
      </c>
    </row>
    <row r="3804" spans="1:26" x14ac:dyDescent="0.2">
      <c r="A3804" s="8">
        <v>3803</v>
      </c>
      <c r="B3804" s="8" t="s">
        <v>17398</v>
      </c>
      <c r="C3804" s="8" t="s">
        <v>17398</v>
      </c>
      <c r="F3804" s="47"/>
      <c r="G3804" s="8">
        <v>18</v>
      </c>
      <c r="H3804" s="8" t="s">
        <v>21</v>
      </c>
      <c r="I3804" s="8" t="s">
        <v>22</v>
      </c>
      <c r="J3804" s="8" t="s">
        <v>22</v>
      </c>
      <c r="K3804" s="8" t="s">
        <v>460</v>
      </c>
      <c r="L3804" s="8" t="s">
        <v>13194</v>
      </c>
      <c r="M3804" s="8" t="s">
        <v>13195</v>
      </c>
      <c r="N3804" s="8" t="s">
        <v>17399</v>
      </c>
      <c r="O3804" s="8">
        <f>11+40/60+17.3/3600</f>
        <v>11.671472222222222</v>
      </c>
      <c r="P3804" s="8" t="s">
        <v>17400</v>
      </c>
      <c r="Q3804" s="8">
        <f>+(17+48/60+6/3600)</f>
        <v>17.801666666666666</v>
      </c>
      <c r="R3804" s="8">
        <v>15.5</v>
      </c>
      <c r="S3804" s="8">
        <v>16.5</v>
      </c>
      <c r="T3804" s="8">
        <v>1</v>
      </c>
      <c r="U3804" s="8">
        <v>13.6</v>
      </c>
      <c r="V3804" s="8">
        <v>0.4</v>
      </c>
      <c r="W3804" s="8">
        <v>0.4</v>
      </c>
      <c r="Y3804" s="8" t="s">
        <v>170</v>
      </c>
      <c r="Z3804" s="8" t="s">
        <v>171</v>
      </c>
    </row>
    <row r="3805" spans="1:26" x14ac:dyDescent="0.2">
      <c r="A3805" s="8">
        <v>3804</v>
      </c>
      <c r="B3805" s="8" t="s">
        <v>17401</v>
      </c>
      <c r="C3805" s="8" t="s">
        <v>17401</v>
      </c>
      <c r="F3805" s="47" t="s">
        <v>57018</v>
      </c>
      <c r="G3805" s="8">
        <v>12</v>
      </c>
      <c r="H3805" s="8" t="s">
        <v>21</v>
      </c>
      <c r="I3805" s="8" t="s">
        <v>22</v>
      </c>
      <c r="J3805" s="8" t="s">
        <v>57</v>
      </c>
      <c r="K3805" s="8" t="s">
        <v>64</v>
      </c>
      <c r="L3805" s="8" t="s">
        <v>12015</v>
      </c>
      <c r="M3805" s="8" t="s">
        <v>12016</v>
      </c>
      <c r="N3805" s="8" t="s">
        <v>17360</v>
      </c>
      <c r="O3805" s="8">
        <f>11+40/60+54/3600</f>
        <v>11.681666666666667</v>
      </c>
      <c r="P3805" s="8" t="s">
        <v>17361</v>
      </c>
      <c r="Q3805" s="8">
        <f>+(56+12/60+6/3600)</f>
        <v>56.201666666666668</v>
      </c>
      <c r="R3805" s="8">
        <v>12.9</v>
      </c>
      <c r="S3805" s="8">
        <v>13.6</v>
      </c>
      <c r="T3805" s="8">
        <v>0.7</v>
      </c>
      <c r="U3805" s="8">
        <v>14</v>
      </c>
      <c r="V3805" s="8">
        <v>2.2000000000000002</v>
      </c>
      <c r="W3805" s="8">
        <v>1.5</v>
      </c>
      <c r="X3805" s="8">
        <v>120</v>
      </c>
      <c r="Y3805" s="8" t="s">
        <v>17402</v>
      </c>
      <c r="Z3805" s="8" t="s">
        <v>17403</v>
      </c>
    </row>
    <row r="3806" spans="1:26" x14ac:dyDescent="0.2">
      <c r="A3806" s="8">
        <v>3805</v>
      </c>
      <c r="B3806" s="8" t="s">
        <v>17404</v>
      </c>
      <c r="C3806" s="8" t="s">
        <v>17404</v>
      </c>
      <c r="F3806" s="47" t="s">
        <v>57019</v>
      </c>
      <c r="G3806" s="8">
        <v>15</v>
      </c>
      <c r="H3806" s="8" t="s">
        <v>21</v>
      </c>
      <c r="I3806" s="8" t="s">
        <v>22</v>
      </c>
      <c r="J3806" s="8" t="s">
        <v>22</v>
      </c>
      <c r="K3806" s="8" t="s">
        <v>58</v>
      </c>
      <c r="L3806" s="8" t="s">
        <v>13194</v>
      </c>
      <c r="M3806" s="8" t="s">
        <v>13195</v>
      </c>
      <c r="N3806" s="8" t="s">
        <v>17405</v>
      </c>
      <c r="O3806" s="8">
        <f>11+40/60+41.6/3600</f>
        <v>11.678222222222221</v>
      </c>
      <c r="P3806" s="8" t="s">
        <v>17406</v>
      </c>
      <c r="Q3806" s="8">
        <f>+(20+20/60+37/3600)</f>
        <v>20.343611111111109</v>
      </c>
      <c r="R3806" s="8">
        <v>12.7</v>
      </c>
      <c r="S3806" s="8">
        <v>13.7</v>
      </c>
      <c r="T3806" s="8">
        <v>1</v>
      </c>
      <c r="U3806" s="8">
        <v>13.2</v>
      </c>
      <c r="V3806" s="8">
        <v>1.4</v>
      </c>
      <c r="W3806" s="8">
        <v>1.1000000000000001</v>
      </c>
      <c r="X3806" s="8">
        <v>60</v>
      </c>
      <c r="Y3806" s="8" t="s">
        <v>17407</v>
      </c>
      <c r="Z3806" s="8" t="s">
        <v>17408</v>
      </c>
    </row>
    <row r="3807" spans="1:26" x14ac:dyDescent="0.2">
      <c r="A3807" s="8">
        <v>3806</v>
      </c>
      <c r="B3807" s="8" t="s">
        <v>17409</v>
      </c>
      <c r="C3807" s="8" t="s">
        <v>17409</v>
      </c>
      <c r="F3807" s="47"/>
      <c r="G3807" s="8">
        <v>18</v>
      </c>
      <c r="H3807" s="8" t="s">
        <v>21</v>
      </c>
      <c r="I3807" s="8" t="s">
        <v>22</v>
      </c>
      <c r="J3807" s="8" t="s">
        <v>22</v>
      </c>
      <c r="K3807" s="8" t="s">
        <v>218</v>
      </c>
      <c r="L3807" s="8" t="s">
        <v>13194</v>
      </c>
      <c r="M3807" s="8" t="s">
        <v>13195</v>
      </c>
      <c r="N3807" s="8" t="s">
        <v>17410</v>
      </c>
      <c r="O3807" s="8">
        <f>11+40/60+46.7/3600</f>
        <v>11.679638888888888</v>
      </c>
      <c r="P3807" s="8" t="s">
        <v>17411</v>
      </c>
      <c r="Q3807" s="8">
        <f>+(17+47/60+44/3600)</f>
        <v>17.795555555555556</v>
      </c>
      <c r="R3807" s="8">
        <v>13.6</v>
      </c>
      <c r="S3807" s="8">
        <v>14.2</v>
      </c>
      <c r="T3807" s="8">
        <v>0.6</v>
      </c>
      <c r="U3807" s="8">
        <v>14.2</v>
      </c>
      <c r="V3807" s="8">
        <v>2.2000000000000002</v>
      </c>
      <c r="W3807" s="8">
        <v>1.8</v>
      </c>
      <c r="X3807" s="8">
        <v>169</v>
      </c>
      <c r="Y3807" s="8" t="s">
        <v>21</v>
      </c>
      <c r="Z3807" s="8" t="s">
        <v>17412</v>
      </c>
    </row>
    <row r="3808" spans="1:26" x14ac:dyDescent="0.2">
      <c r="A3808" s="8">
        <v>3807</v>
      </c>
      <c r="B3808" s="8" t="s">
        <v>17413</v>
      </c>
      <c r="C3808" s="8" t="s">
        <v>17413</v>
      </c>
      <c r="F3808" s="47"/>
      <c r="G3808" s="8">
        <v>18</v>
      </c>
      <c r="H3808" s="8" t="s">
        <v>21</v>
      </c>
      <c r="I3808" s="8" t="s">
        <v>72</v>
      </c>
      <c r="J3808" s="8" t="s">
        <v>72</v>
      </c>
      <c r="K3808" s="8" t="s">
        <v>20</v>
      </c>
      <c r="L3808" s="8" t="s">
        <v>13194</v>
      </c>
      <c r="M3808" s="8" t="s">
        <v>13195</v>
      </c>
      <c r="N3808" s="8" t="s">
        <v>17414</v>
      </c>
      <c r="O3808" s="8">
        <f>11+40/60+54.7/3600</f>
        <v>11.681861111111111</v>
      </c>
      <c r="P3808" s="8" t="s">
        <v>17415</v>
      </c>
      <c r="Q3808" s="8">
        <f>+(17+49/60+7/3600)</f>
        <v>17.81861111111111</v>
      </c>
      <c r="R3808" s="8">
        <v>16</v>
      </c>
      <c r="S3808" s="8">
        <v>17.100000000000001</v>
      </c>
      <c r="T3808" s="8">
        <v>99</v>
      </c>
      <c r="U3808" s="8">
        <v>99</v>
      </c>
      <c r="Y3808" s="8" t="s">
        <v>21</v>
      </c>
      <c r="Z3808" s="8" t="s">
        <v>17416</v>
      </c>
    </row>
    <row r="3809" spans="1:26" x14ac:dyDescent="0.2">
      <c r="A3809" s="8">
        <v>3808</v>
      </c>
      <c r="B3809" s="8" t="s">
        <v>17417</v>
      </c>
      <c r="C3809" s="8" t="s">
        <v>17417</v>
      </c>
      <c r="F3809" s="47" t="s">
        <v>57020</v>
      </c>
      <c r="G3809" s="8">
        <v>15</v>
      </c>
      <c r="H3809" s="8" t="s">
        <v>21</v>
      </c>
      <c r="I3809" s="8" t="s">
        <v>22</v>
      </c>
      <c r="J3809" s="8" t="s">
        <v>22</v>
      </c>
      <c r="K3809" s="8" t="s">
        <v>520</v>
      </c>
      <c r="L3809" s="8" t="s">
        <v>13194</v>
      </c>
      <c r="M3809" s="8" t="s">
        <v>13195</v>
      </c>
      <c r="N3809" s="8" t="s">
        <v>17418</v>
      </c>
      <c r="O3809" s="8">
        <f>11+40/60+44/3600</f>
        <v>11.678888888888888</v>
      </c>
      <c r="P3809" s="8" t="s">
        <v>17419</v>
      </c>
      <c r="Q3809" s="8">
        <f>+(22+25/60+47/3600)</f>
        <v>22.429722222222225</v>
      </c>
      <c r="R3809" s="8">
        <v>13.5</v>
      </c>
      <c r="S3809" s="8">
        <v>14.1</v>
      </c>
      <c r="T3809" s="8">
        <v>0.6</v>
      </c>
      <c r="U3809" s="8">
        <v>13.7</v>
      </c>
      <c r="V3809" s="8">
        <v>1.6</v>
      </c>
      <c r="W3809" s="8">
        <v>0.9</v>
      </c>
      <c r="X3809" s="8">
        <v>0</v>
      </c>
      <c r="Y3809" s="8" t="s">
        <v>282</v>
      </c>
      <c r="Z3809" s="8" t="s">
        <v>283</v>
      </c>
    </row>
    <row r="3810" spans="1:26" x14ac:dyDescent="0.2">
      <c r="A3810" s="8">
        <v>3809</v>
      </c>
      <c r="B3810" s="8" t="s">
        <v>17420</v>
      </c>
      <c r="C3810" s="8" t="s">
        <v>17420</v>
      </c>
      <c r="F3810" s="47"/>
      <c r="G3810" s="8">
        <v>18</v>
      </c>
      <c r="H3810" s="8" t="s">
        <v>21</v>
      </c>
      <c r="I3810" s="8" t="s">
        <v>22</v>
      </c>
      <c r="J3810" s="8" t="s">
        <v>22</v>
      </c>
      <c r="K3810" s="8" t="s">
        <v>37</v>
      </c>
      <c r="L3810" s="8" t="s">
        <v>12015</v>
      </c>
      <c r="M3810" s="8" t="s">
        <v>12016</v>
      </c>
      <c r="N3810" s="8" t="s">
        <v>17421</v>
      </c>
      <c r="O3810" s="8">
        <f>11+41/60+15.9/3600</f>
        <v>11.687749999999999</v>
      </c>
      <c r="P3810" s="8" t="s">
        <v>17422</v>
      </c>
      <c r="Q3810" s="8">
        <f>+(59+53/60+10/3600)</f>
        <v>59.886111111111113</v>
      </c>
      <c r="R3810" s="8">
        <v>12.7</v>
      </c>
      <c r="S3810" s="8">
        <v>13.7</v>
      </c>
      <c r="T3810" s="8">
        <v>1</v>
      </c>
      <c r="U3810" s="8">
        <v>12.3</v>
      </c>
      <c r="V3810" s="8">
        <v>1</v>
      </c>
      <c r="W3810" s="8">
        <v>0.8</v>
      </c>
      <c r="X3810" s="8">
        <v>123</v>
      </c>
      <c r="Y3810" s="8" t="s">
        <v>9055</v>
      </c>
      <c r="Z3810" s="8" t="s">
        <v>9056</v>
      </c>
    </row>
    <row r="3811" spans="1:26" x14ac:dyDescent="0.2">
      <c r="A3811" s="8">
        <v>3810</v>
      </c>
      <c r="B3811" s="8" t="s">
        <v>17423</v>
      </c>
      <c r="C3811" s="8" t="s">
        <v>17423</v>
      </c>
      <c r="F3811" s="47" t="s">
        <v>57021</v>
      </c>
      <c r="G3811" s="8">
        <v>6</v>
      </c>
      <c r="H3811" s="8" t="s">
        <v>21</v>
      </c>
      <c r="I3811" s="8" t="s">
        <v>22</v>
      </c>
      <c r="J3811" s="8" t="s">
        <v>22</v>
      </c>
      <c r="K3811" s="8" t="s">
        <v>160</v>
      </c>
      <c r="L3811" s="8" t="s">
        <v>13194</v>
      </c>
      <c r="M3811" s="8" t="s">
        <v>13195</v>
      </c>
      <c r="N3811" s="8" t="s">
        <v>17424</v>
      </c>
      <c r="O3811" s="8">
        <f>11+40/60+58.6/3600</f>
        <v>11.682944444444443</v>
      </c>
      <c r="P3811" s="8" t="s">
        <v>17425</v>
      </c>
      <c r="Q3811" s="8">
        <f>+(11+28/60+13/3600)</f>
        <v>11.470277777777778</v>
      </c>
      <c r="R3811" s="8">
        <v>10.8</v>
      </c>
      <c r="S3811" s="8">
        <v>11.4</v>
      </c>
      <c r="T3811" s="8">
        <v>0.6</v>
      </c>
      <c r="U3811" s="8">
        <v>13.4</v>
      </c>
      <c r="V3811" s="8">
        <v>4.3</v>
      </c>
      <c r="W3811" s="8">
        <v>3</v>
      </c>
      <c r="X3811" s="8">
        <v>15</v>
      </c>
      <c r="Y3811" s="8" t="s">
        <v>17426</v>
      </c>
      <c r="Z3811" s="8" t="s">
        <v>17427</v>
      </c>
    </row>
    <row r="3812" spans="1:26" x14ac:dyDescent="0.2">
      <c r="A3812" s="8">
        <v>3811</v>
      </c>
      <c r="B3812" s="8" t="s">
        <v>17428</v>
      </c>
      <c r="C3812" s="8" t="s">
        <v>17428</v>
      </c>
      <c r="F3812" s="47" t="s">
        <v>57022</v>
      </c>
      <c r="G3812" s="8">
        <v>15</v>
      </c>
      <c r="H3812" s="8" t="s">
        <v>21</v>
      </c>
      <c r="I3812" s="8" t="s">
        <v>22</v>
      </c>
      <c r="J3812" s="8" t="s">
        <v>22</v>
      </c>
      <c r="K3812" s="8" t="s">
        <v>520</v>
      </c>
      <c r="L3812" s="8" t="s">
        <v>12015</v>
      </c>
      <c r="M3812" s="8" t="s">
        <v>12016</v>
      </c>
      <c r="N3812" s="8" t="s">
        <v>17429</v>
      </c>
      <c r="O3812" s="8">
        <f>11+41/60+16.5/3600</f>
        <v>11.687916666666666</v>
      </c>
      <c r="P3812" s="8" t="s">
        <v>17430</v>
      </c>
      <c r="Q3812" s="8">
        <f>+(47+41/60+28/3600)</f>
        <v>47.691111111111105</v>
      </c>
      <c r="R3812" s="8">
        <v>12.3</v>
      </c>
      <c r="S3812" s="8">
        <v>12.9</v>
      </c>
      <c r="T3812" s="8">
        <v>0.6</v>
      </c>
      <c r="U3812" s="8">
        <v>13.6</v>
      </c>
      <c r="V3812" s="8">
        <v>2.2000000000000002</v>
      </c>
      <c r="W3812" s="8">
        <v>1.7</v>
      </c>
      <c r="X3812" s="8">
        <v>160</v>
      </c>
      <c r="Y3812" s="8" t="s">
        <v>17431</v>
      </c>
      <c r="Z3812" s="8" t="s">
        <v>17432</v>
      </c>
    </row>
    <row r="3813" spans="1:26" x14ac:dyDescent="0.2">
      <c r="A3813" s="8">
        <v>3812</v>
      </c>
      <c r="B3813" s="8" t="s">
        <v>17433</v>
      </c>
      <c r="C3813" s="8" t="s">
        <v>17433</v>
      </c>
      <c r="F3813" s="47" t="s">
        <v>57023</v>
      </c>
      <c r="G3813" s="8">
        <v>15</v>
      </c>
      <c r="H3813" s="8" t="s">
        <v>21</v>
      </c>
      <c r="I3813" s="8" t="s">
        <v>22</v>
      </c>
      <c r="J3813" s="8" t="s">
        <v>22</v>
      </c>
      <c r="K3813" s="8" t="s">
        <v>183</v>
      </c>
      <c r="L3813" s="8" t="s">
        <v>13194</v>
      </c>
      <c r="M3813" s="8" t="s">
        <v>13195</v>
      </c>
      <c r="N3813" s="8" t="s">
        <v>17434</v>
      </c>
      <c r="O3813" s="8">
        <f>11+41/60+7.8/3600</f>
        <v>11.685500000000001</v>
      </c>
      <c r="P3813" s="8" t="s">
        <v>17435</v>
      </c>
      <c r="Q3813" s="8">
        <f>+(24+49/60+21/3600)</f>
        <v>24.822499999999998</v>
      </c>
      <c r="R3813" s="8">
        <v>12.4</v>
      </c>
      <c r="S3813" s="8">
        <v>13.4</v>
      </c>
      <c r="T3813" s="8">
        <v>1</v>
      </c>
      <c r="U3813" s="8">
        <v>13.4</v>
      </c>
      <c r="V3813" s="8">
        <v>1.7</v>
      </c>
      <c r="W3813" s="8">
        <v>1.6</v>
      </c>
      <c r="X3813" s="8">
        <v>63</v>
      </c>
      <c r="Y3813" s="8" t="s">
        <v>21</v>
      </c>
      <c r="Z3813" s="8" t="s">
        <v>17436</v>
      </c>
    </row>
    <row r="3814" spans="1:26" x14ac:dyDescent="0.2">
      <c r="A3814" s="8">
        <v>3813</v>
      </c>
      <c r="B3814" s="8" t="s">
        <v>17437</v>
      </c>
      <c r="C3814" s="8" t="s">
        <v>17437</v>
      </c>
      <c r="F3814" s="47" t="s">
        <v>57024</v>
      </c>
      <c r="G3814" s="8">
        <v>6</v>
      </c>
      <c r="H3814" s="8" t="s">
        <v>21</v>
      </c>
      <c r="I3814" s="8" t="s">
        <v>22</v>
      </c>
      <c r="J3814" s="8" t="s">
        <v>22</v>
      </c>
      <c r="K3814" s="8" t="s">
        <v>23</v>
      </c>
      <c r="L3814" s="8" t="s">
        <v>12015</v>
      </c>
      <c r="M3814" s="8" t="s">
        <v>12016</v>
      </c>
      <c r="N3814" s="8" t="s">
        <v>17438</v>
      </c>
      <c r="O3814" s="8">
        <f>11+41/60+18.5/3600</f>
        <v>11.688472222222222</v>
      </c>
      <c r="P3814" s="8" t="s">
        <v>17439</v>
      </c>
      <c r="Q3814" s="8">
        <f>+(36+32/60+48/3600)</f>
        <v>36.546666666666667</v>
      </c>
      <c r="R3814" s="8">
        <v>11.7</v>
      </c>
      <c r="S3814" s="8">
        <v>12.2</v>
      </c>
      <c r="T3814" s="8">
        <v>0.5</v>
      </c>
      <c r="U3814" s="8">
        <v>12.5</v>
      </c>
      <c r="V3814" s="8">
        <v>2</v>
      </c>
      <c r="W3814" s="8">
        <v>1</v>
      </c>
      <c r="X3814" s="8">
        <v>87</v>
      </c>
      <c r="Y3814" s="8" t="s">
        <v>21</v>
      </c>
      <c r="Z3814" s="8" t="s">
        <v>17440</v>
      </c>
    </row>
    <row r="3815" spans="1:26" x14ac:dyDescent="0.2">
      <c r="A3815" s="8">
        <v>3814</v>
      </c>
      <c r="B3815" s="8" t="s">
        <v>17441</v>
      </c>
      <c r="C3815" s="8" t="s">
        <v>17441</v>
      </c>
      <c r="F3815" s="47"/>
      <c r="G3815" s="8">
        <v>19</v>
      </c>
      <c r="H3815" s="8" t="s">
        <v>21</v>
      </c>
      <c r="I3815" s="8" t="s">
        <v>22</v>
      </c>
      <c r="J3815" s="8" t="s">
        <v>22</v>
      </c>
      <c r="K3815" s="8" t="s">
        <v>37</v>
      </c>
      <c r="L3815" s="8" t="s">
        <v>13194</v>
      </c>
      <c r="M3815" s="8" t="s">
        <v>13195</v>
      </c>
      <c r="N3815" s="8" t="s">
        <v>17442</v>
      </c>
      <c r="O3815" s="8">
        <f>11+41/60+27.7/3600</f>
        <v>11.691027777777778</v>
      </c>
      <c r="P3815" s="8" t="s">
        <v>17443</v>
      </c>
      <c r="Q3815" s="8">
        <f>+(24+48/60+20/3600)</f>
        <v>24.805555555555557</v>
      </c>
      <c r="R3815" s="8">
        <v>14.7</v>
      </c>
      <c r="S3815" s="8">
        <v>15.7</v>
      </c>
      <c r="T3815" s="8">
        <v>1</v>
      </c>
      <c r="U3815" s="8">
        <v>13.2</v>
      </c>
      <c r="V3815" s="8">
        <v>0.9</v>
      </c>
      <c r="W3815" s="8">
        <v>0.3</v>
      </c>
      <c r="X3815" s="8">
        <v>174</v>
      </c>
      <c r="Y3815" s="8" t="s">
        <v>21</v>
      </c>
      <c r="Z3815" s="8" t="s">
        <v>17444</v>
      </c>
    </row>
    <row r="3816" spans="1:26" x14ac:dyDescent="0.2">
      <c r="A3816" s="8">
        <v>3815</v>
      </c>
      <c r="B3816" s="8" t="s">
        <v>17445</v>
      </c>
      <c r="C3816" s="8" t="s">
        <v>17445</v>
      </c>
      <c r="F3816" s="47" t="s">
        <v>57025</v>
      </c>
      <c r="G3816" s="8">
        <v>15</v>
      </c>
      <c r="H3816" s="8" t="s">
        <v>21</v>
      </c>
      <c r="I3816" s="8" t="s">
        <v>22</v>
      </c>
      <c r="J3816" s="8" t="s">
        <v>22</v>
      </c>
      <c r="K3816" s="8" t="s">
        <v>31</v>
      </c>
      <c r="L3816" s="8" t="s">
        <v>13194</v>
      </c>
      <c r="M3816" s="8" t="s">
        <v>13195</v>
      </c>
      <c r="N3816" s="8" t="s">
        <v>17446</v>
      </c>
      <c r="O3816" s="8">
        <f>11+41/60+39.3/3600</f>
        <v>11.69425</v>
      </c>
      <c r="P3816" s="8" t="s">
        <v>17447</v>
      </c>
      <c r="Q3816" s="8">
        <f>+(24+48/60+1/3600)</f>
        <v>24.800277777777779</v>
      </c>
      <c r="R3816" s="8">
        <v>13</v>
      </c>
      <c r="S3816" s="8">
        <v>13.8</v>
      </c>
      <c r="T3816" s="8">
        <v>0.8</v>
      </c>
      <c r="U3816" s="8">
        <v>13.3</v>
      </c>
      <c r="V3816" s="8">
        <v>1.7</v>
      </c>
      <c r="W3816" s="8">
        <v>0.9</v>
      </c>
      <c r="X3816" s="8">
        <v>72</v>
      </c>
      <c r="Y3816" s="8" t="s">
        <v>17448</v>
      </c>
      <c r="Z3816" s="8" t="s">
        <v>17449</v>
      </c>
    </row>
    <row r="3817" spans="1:26" x14ac:dyDescent="0.2">
      <c r="A3817" s="8">
        <v>3816</v>
      </c>
      <c r="B3817" s="8" t="s">
        <v>17450</v>
      </c>
      <c r="C3817" s="8" t="s">
        <v>17450</v>
      </c>
      <c r="F3817" s="47"/>
      <c r="G3817" s="8">
        <v>18</v>
      </c>
      <c r="H3817" s="8" t="s">
        <v>21</v>
      </c>
      <c r="I3817" s="8" t="s">
        <v>22</v>
      </c>
      <c r="J3817" s="8" t="s">
        <v>22</v>
      </c>
      <c r="K3817" s="8" t="s">
        <v>37</v>
      </c>
      <c r="L3817" s="8" t="s">
        <v>13194</v>
      </c>
      <c r="M3817" s="8" t="s">
        <v>13195</v>
      </c>
      <c r="N3817" s="8" t="s">
        <v>17451</v>
      </c>
      <c r="O3817" s="8">
        <f>11+41/60+47.8/3600</f>
        <v>11.696611111111112</v>
      </c>
      <c r="P3817" s="8" t="s">
        <v>17452</v>
      </c>
      <c r="Q3817" s="8">
        <f>+(20+6/60+13/3600)</f>
        <v>20.103611111111114</v>
      </c>
      <c r="R3817" s="8">
        <v>12.5</v>
      </c>
      <c r="S3817" s="8">
        <v>13.5</v>
      </c>
      <c r="T3817" s="8">
        <v>1</v>
      </c>
      <c r="U3817" s="8">
        <v>13.2</v>
      </c>
      <c r="V3817" s="8">
        <v>1.9</v>
      </c>
      <c r="W3817" s="8">
        <v>1.1000000000000001</v>
      </c>
      <c r="X3817" s="8">
        <v>70</v>
      </c>
      <c r="Y3817" s="8" t="s">
        <v>4430</v>
      </c>
      <c r="Z3817" s="8" t="s">
        <v>4431</v>
      </c>
    </row>
    <row r="3818" spans="1:26" x14ac:dyDescent="0.2">
      <c r="A3818" s="8">
        <v>3817</v>
      </c>
      <c r="B3818" s="8" t="s">
        <v>17453</v>
      </c>
      <c r="C3818" s="8" t="s">
        <v>17453</v>
      </c>
      <c r="F3818" s="47"/>
      <c r="G3818" s="8">
        <v>8.5</v>
      </c>
      <c r="H3818" s="8" t="s">
        <v>21</v>
      </c>
      <c r="I3818" s="8" t="s">
        <v>22</v>
      </c>
      <c r="J3818" s="8" t="s">
        <v>22</v>
      </c>
      <c r="K3818" s="8" t="s">
        <v>435</v>
      </c>
      <c r="L3818" s="8" t="s">
        <v>17287</v>
      </c>
      <c r="M3818" s="8" t="s">
        <v>17288</v>
      </c>
      <c r="N3818" s="8" t="s">
        <v>17454</v>
      </c>
      <c r="O3818" s="8">
        <f>11+41/60+52.8/3600</f>
        <v>11.698</v>
      </c>
      <c r="P3818" s="8" t="s">
        <v>17455</v>
      </c>
      <c r="Q3818" s="8">
        <f>+(10+18/60+16/3600)</f>
        <v>10.304444444444446</v>
      </c>
      <c r="R3818" s="8">
        <v>13.3</v>
      </c>
      <c r="S3818" s="8">
        <v>14.3</v>
      </c>
      <c r="T3818" s="8">
        <v>1</v>
      </c>
      <c r="U3818" s="8">
        <v>13.1</v>
      </c>
      <c r="V3818" s="8">
        <v>1</v>
      </c>
      <c r="W3818" s="8">
        <v>0.9</v>
      </c>
      <c r="X3818" s="8">
        <v>140</v>
      </c>
      <c r="Y3818" s="8" t="s">
        <v>17456</v>
      </c>
      <c r="Z3818" s="8" t="s">
        <v>17457</v>
      </c>
    </row>
    <row r="3819" spans="1:26" x14ac:dyDescent="0.2">
      <c r="A3819" s="8">
        <v>3818</v>
      </c>
      <c r="B3819" s="8" t="s">
        <v>17458</v>
      </c>
      <c r="C3819" s="8" t="s">
        <v>17458</v>
      </c>
      <c r="F3819" s="47" t="s">
        <v>57026</v>
      </c>
      <c r="G3819" s="8">
        <v>13</v>
      </c>
      <c r="H3819" s="8" t="s">
        <v>21</v>
      </c>
      <c r="I3819" s="8" t="s">
        <v>22</v>
      </c>
      <c r="J3819" s="8" t="s">
        <v>22</v>
      </c>
      <c r="K3819" s="8" t="s">
        <v>3850</v>
      </c>
      <c r="L3819" s="8" t="s">
        <v>17287</v>
      </c>
      <c r="M3819" s="8" t="s">
        <v>17288</v>
      </c>
      <c r="N3819" s="8" t="s">
        <v>17459</v>
      </c>
      <c r="O3819" s="8">
        <f>11+41/60+57.3/3600</f>
        <v>11.699250000000001</v>
      </c>
      <c r="P3819" s="8" t="s">
        <v>17460</v>
      </c>
      <c r="Q3819" s="8">
        <f>-(6+9/60+20/3600)</f>
        <v>-6.1555555555555559</v>
      </c>
      <c r="R3819" s="8">
        <v>11.7</v>
      </c>
      <c r="S3819" s="8">
        <v>12.7</v>
      </c>
      <c r="T3819" s="8">
        <v>1</v>
      </c>
      <c r="U3819" s="8">
        <v>12.7</v>
      </c>
      <c r="V3819" s="8">
        <v>2</v>
      </c>
      <c r="W3819" s="8">
        <v>1.2</v>
      </c>
      <c r="X3819" s="8">
        <v>103</v>
      </c>
      <c r="Y3819" s="8" t="s">
        <v>17461</v>
      </c>
      <c r="Z3819" s="8" t="s">
        <v>17462</v>
      </c>
    </row>
    <row r="3820" spans="1:26" x14ac:dyDescent="0.2">
      <c r="A3820" s="8">
        <v>3819</v>
      </c>
      <c r="B3820" s="8" t="s">
        <v>17463</v>
      </c>
      <c r="C3820" s="8" t="s">
        <v>17463</v>
      </c>
      <c r="F3820" s="47"/>
      <c r="G3820" s="8">
        <v>16</v>
      </c>
      <c r="H3820" s="8" t="s">
        <v>21</v>
      </c>
      <c r="I3820" s="8" t="s">
        <v>22</v>
      </c>
      <c r="J3820" s="8" t="s">
        <v>22</v>
      </c>
      <c r="K3820" s="8" t="s">
        <v>183</v>
      </c>
      <c r="L3820" s="8" t="s">
        <v>13194</v>
      </c>
      <c r="M3820" s="8" t="s">
        <v>13195</v>
      </c>
      <c r="N3820" s="8" t="s">
        <v>17464</v>
      </c>
      <c r="O3820" s="8">
        <f>11+42/60+5.8/3600</f>
        <v>11.701611111111111</v>
      </c>
      <c r="P3820" s="8" t="s">
        <v>17465</v>
      </c>
      <c r="Q3820" s="8">
        <f>+(10+21/60+6/3600)</f>
        <v>10.351666666666667</v>
      </c>
      <c r="R3820" s="8">
        <v>13.8</v>
      </c>
      <c r="S3820" s="8">
        <v>14.8</v>
      </c>
      <c r="T3820" s="8">
        <v>1</v>
      </c>
      <c r="U3820" s="8">
        <v>12.6</v>
      </c>
      <c r="V3820" s="8">
        <v>0.8</v>
      </c>
      <c r="W3820" s="8">
        <v>0.7</v>
      </c>
      <c r="X3820" s="8">
        <v>136</v>
      </c>
      <c r="Y3820" s="8" t="s">
        <v>17466</v>
      </c>
      <c r="Z3820" s="8" t="s">
        <v>17467</v>
      </c>
    </row>
    <row r="3821" spans="1:26" x14ac:dyDescent="0.2">
      <c r="A3821" s="8">
        <v>3820</v>
      </c>
      <c r="B3821" s="8" t="s">
        <v>17468</v>
      </c>
      <c r="C3821" s="8" t="s">
        <v>17468</v>
      </c>
      <c r="F3821" s="47"/>
      <c r="G3821" s="8">
        <v>18</v>
      </c>
      <c r="H3821" s="8" t="s">
        <v>21</v>
      </c>
      <c r="I3821" s="8" t="s">
        <v>22</v>
      </c>
      <c r="J3821" s="8" t="s">
        <v>22</v>
      </c>
      <c r="K3821" s="8" t="s">
        <v>396</v>
      </c>
      <c r="L3821" s="8" t="s">
        <v>13194</v>
      </c>
      <c r="M3821" s="8" t="s">
        <v>13195</v>
      </c>
      <c r="N3821" s="8" t="s">
        <v>17469</v>
      </c>
      <c r="O3821" s="8">
        <f>11+42/60+4.8/3600</f>
        <v>11.701333333333332</v>
      </c>
      <c r="P3821" s="8" t="s">
        <v>17470</v>
      </c>
      <c r="Q3821" s="8">
        <f>+(10+23/60+4/3600)</f>
        <v>10.384444444444444</v>
      </c>
      <c r="R3821" s="8">
        <v>14.5</v>
      </c>
      <c r="S3821" s="8">
        <v>15.3</v>
      </c>
      <c r="T3821" s="8">
        <v>0.8</v>
      </c>
      <c r="U3821" s="8">
        <v>12.7</v>
      </c>
      <c r="V3821" s="8">
        <v>0.7</v>
      </c>
      <c r="W3821" s="8">
        <v>0.4</v>
      </c>
      <c r="X3821" s="8">
        <v>35</v>
      </c>
      <c r="Y3821" s="8" t="s">
        <v>21</v>
      </c>
      <c r="Z3821" s="8" t="s">
        <v>17471</v>
      </c>
    </row>
    <row r="3822" spans="1:26" x14ac:dyDescent="0.2">
      <c r="A3822" s="8">
        <v>3821</v>
      </c>
      <c r="B3822" s="8" t="s">
        <v>17472</v>
      </c>
      <c r="C3822" s="8" t="s">
        <v>17472</v>
      </c>
      <c r="F3822" s="47" t="s">
        <v>57027</v>
      </c>
      <c r="G3822" s="8">
        <v>15</v>
      </c>
      <c r="H3822" s="8" t="s">
        <v>21</v>
      </c>
      <c r="I3822" s="8" t="s">
        <v>22</v>
      </c>
      <c r="J3822" s="8" t="s">
        <v>22</v>
      </c>
      <c r="K3822" s="8" t="s">
        <v>406</v>
      </c>
      <c r="L3822" s="8" t="s">
        <v>13194</v>
      </c>
      <c r="M3822" s="8" t="s">
        <v>13195</v>
      </c>
      <c r="N3822" s="8" t="s">
        <v>17473</v>
      </c>
      <c r="O3822" s="8">
        <f>11+42/60+9/3600</f>
        <v>11.702499999999999</v>
      </c>
      <c r="P3822" s="8" t="s">
        <v>17474</v>
      </c>
      <c r="Q3822" s="8">
        <f>+(20+18/60+55/3600)</f>
        <v>20.31527777777778</v>
      </c>
      <c r="R3822" s="8">
        <v>12.9</v>
      </c>
      <c r="S3822" s="8">
        <v>13.7</v>
      </c>
      <c r="T3822" s="8">
        <v>0.8</v>
      </c>
      <c r="U3822" s="8">
        <v>13.4</v>
      </c>
      <c r="V3822" s="8">
        <v>1.4</v>
      </c>
      <c r="W3822" s="8">
        <v>1.3</v>
      </c>
      <c r="X3822" s="8">
        <v>165</v>
      </c>
      <c r="Y3822" s="8" t="s">
        <v>17475</v>
      </c>
      <c r="Z3822" s="8" t="s">
        <v>17476</v>
      </c>
    </row>
    <row r="3823" spans="1:26" x14ac:dyDescent="0.2">
      <c r="A3823" s="8">
        <v>3822</v>
      </c>
      <c r="B3823" s="8" t="s">
        <v>17477</v>
      </c>
      <c r="C3823" s="8" t="s">
        <v>17477</v>
      </c>
      <c r="F3823" s="47" t="s">
        <v>57028</v>
      </c>
      <c r="G3823" s="8">
        <v>15</v>
      </c>
      <c r="H3823" s="8" t="s">
        <v>21</v>
      </c>
      <c r="I3823" s="8" t="s">
        <v>22</v>
      </c>
      <c r="J3823" s="8" t="s">
        <v>57</v>
      </c>
      <c r="K3823" s="8" t="s">
        <v>37</v>
      </c>
      <c r="L3823" s="8" t="s">
        <v>17287</v>
      </c>
      <c r="M3823" s="8" t="s">
        <v>17288</v>
      </c>
      <c r="N3823" s="8" t="s">
        <v>17478</v>
      </c>
      <c r="O3823" s="8">
        <f>11+42/60+11.1/3600</f>
        <v>11.703083333333332</v>
      </c>
      <c r="P3823" s="8" t="s">
        <v>17479</v>
      </c>
      <c r="Q3823" s="8">
        <f>+(10+16/60+41/3600)</f>
        <v>10.278055555555556</v>
      </c>
      <c r="R3823" s="8">
        <v>13.1</v>
      </c>
      <c r="S3823" s="8">
        <v>14</v>
      </c>
      <c r="T3823" s="8">
        <v>0.9</v>
      </c>
      <c r="U3823" s="8">
        <v>13.1</v>
      </c>
      <c r="V3823" s="8">
        <v>1.4</v>
      </c>
      <c r="W3823" s="8">
        <v>0.8</v>
      </c>
      <c r="X3823" s="8">
        <v>178</v>
      </c>
      <c r="Y3823" s="8" t="s">
        <v>17480</v>
      </c>
      <c r="Z3823" s="8" t="s">
        <v>17481</v>
      </c>
    </row>
    <row r="3824" spans="1:26" x14ac:dyDescent="0.2">
      <c r="A3824" s="8">
        <v>3823</v>
      </c>
      <c r="B3824" s="8" t="s">
        <v>17482</v>
      </c>
      <c r="C3824" s="8" t="s">
        <v>17482</v>
      </c>
      <c r="E3824" s="8">
        <v>1</v>
      </c>
      <c r="F3824" s="47"/>
      <c r="G3824" s="8">
        <v>16</v>
      </c>
      <c r="H3824" s="8" t="s">
        <v>21</v>
      </c>
      <c r="I3824" s="8" t="s">
        <v>22</v>
      </c>
      <c r="J3824" s="8" t="s">
        <v>22</v>
      </c>
      <c r="K3824" s="8" t="s">
        <v>183</v>
      </c>
      <c r="L3824" s="8" t="s">
        <v>15699</v>
      </c>
      <c r="M3824" s="8" t="s">
        <v>15700</v>
      </c>
      <c r="N3824" s="8" t="s">
        <v>17483</v>
      </c>
      <c r="O3824" s="8">
        <f>11+42/60+15.1/3600</f>
        <v>11.704194444444443</v>
      </c>
      <c r="P3824" s="8" t="s">
        <v>17484</v>
      </c>
      <c r="Q3824" s="8">
        <f>-(13+52/60+0/3600)</f>
        <v>-13.866666666666667</v>
      </c>
      <c r="R3824" s="8">
        <v>12.7</v>
      </c>
      <c r="S3824" s="8">
        <v>13.7</v>
      </c>
      <c r="T3824" s="8">
        <v>1</v>
      </c>
      <c r="U3824" s="8">
        <v>13.5</v>
      </c>
      <c r="V3824" s="8">
        <v>1.5</v>
      </c>
      <c r="W3824" s="8">
        <v>1.3</v>
      </c>
      <c r="X3824" s="8">
        <v>88</v>
      </c>
      <c r="Y3824" s="8" t="s">
        <v>17485</v>
      </c>
      <c r="Z3824" s="8" t="s">
        <v>17486</v>
      </c>
    </row>
    <row r="3825" spans="1:26" x14ac:dyDescent="0.2">
      <c r="A3825" s="8">
        <v>3824</v>
      </c>
      <c r="B3825" s="8" t="s">
        <v>17487</v>
      </c>
      <c r="C3825" s="8" t="s">
        <v>17487</v>
      </c>
      <c r="F3825" s="47" t="s">
        <v>57029</v>
      </c>
      <c r="G3825" s="8">
        <v>15</v>
      </c>
      <c r="H3825" s="8" t="s">
        <v>21</v>
      </c>
      <c r="I3825" s="8" t="s">
        <v>22</v>
      </c>
      <c r="J3825" s="8" t="s">
        <v>22</v>
      </c>
      <c r="K3825" s="8" t="s">
        <v>91</v>
      </c>
      <c r="L3825" s="8" t="s">
        <v>12015</v>
      </c>
      <c r="M3825" s="8" t="s">
        <v>12016</v>
      </c>
      <c r="N3825" s="8" t="s">
        <v>17488</v>
      </c>
      <c r="O3825" s="8">
        <f>11+42/60+44.8/3600</f>
        <v>11.712444444444444</v>
      </c>
      <c r="P3825" s="8" t="s">
        <v>17489</v>
      </c>
      <c r="Q3825" s="8">
        <f>+(52+46/60+48/3600)</f>
        <v>52.78</v>
      </c>
      <c r="R3825" s="8">
        <v>13.6</v>
      </c>
      <c r="S3825" s="8">
        <v>14.5</v>
      </c>
      <c r="T3825" s="8">
        <v>0.9</v>
      </c>
      <c r="U3825" s="8">
        <v>13.3</v>
      </c>
      <c r="V3825" s="8">
        <v>1.3</v>
      </c>
      <c r="W3825" s="8">
        <v>0.7</v>
      </c>
      <c r="X3825" s="8">
        <v>118</v>
      </c>
      <c r="Y3825" s="8" t="s">
        <v>17490</v>
      </c>
      <c r="Z3825" s="8" t="s">
        <v>17491</v>
      </c>
    </row>
    <row r="3826" spans="1:26" x14ac:dyDescent="0.2">
      <c r="A3826" s="8">
        <v>3825</v>
      </c>
      <c r="B3826" s="8" t="s">
        <v>17492</v>
      </c>
      <c r="C3826" s="8" t="s">
        <v>17492</v>
      </c>
      <c r="F3826" s="47" t="s">
        <v>57030</v>
      </c>
      <c r="G3826" s="8">
        <v>15</v>
      </c>
      <c r="H3826" s="8" t="s">
        <v>21</v>
      </c>
      <c r="I3826" s="8" t="s">
        <v>22</v>
      </c>
      <c r="J3826" s="8" t="s">
        <v>57</v>
      </c>
      <c r="K3826" s="8" t="s">
        <v>154</v>
      </c>
      <c r="L3826" s="8" t="s">
        <v>17287</v>
      </c>
      <c r="M3826" s="8" t="s">
        <v>17288</v>
      </c>
      <c r="N3826" s="8" t="s">
        <v>17493</v>
      </c>
      <c r="O3826" s="8">
        <f>11+42/60+23.8/3600</f>
        <v>11.70661111111111</v>
      </c>
      <c r="P3826" s="8" t="s">
        <v>17494</v>
      </c>
      <c r="Q3826" s="8">
        <f>+(10+15/60+53/3600)</f>
        <v>10.264722222222222</v>
      </c>
      <c r="R3826" s="8">
        <v>13</v>
      </c>
      <c r="S3826" s="8">
        <v>14</v>
      </c>
      <c r="T3826" s="8">
        <v>1</v>
      </c>
      <c r="U3826" s="8">
        <v>13.2</v>
      </c>
      <c r="V3826" s="8">
        <v>1.3</v>
      </c>
      <c r="W3826" s="8">
        <v>1</v>
      </c>
      <c r="X3826" s="8">
        <v>160</v>
      </c>
      <c r="Y3826" s="8" t="s">
        <v>17495</v>
      </c>
      <c r="Z3826" s="8" t="s">
        <v>17496</v>
      </c>
    </row>
    <row r="3827" spans="1:26" x14ac:dyDescent="0.2">
      <c r="A3827" s="8">
        <v>3826</v>
      </c>
      <c r="B3827" s="8" t="s">
        <v>17497</v>
      </c>
      <c r="C3827" s="8" t="s">
        <v>17497</v>
      </c>
      <c r="F3827" s="47" t="s">
        <v>57031</v>
      </c>
      <c r="G3827" s="8">
        <v>15</v>
      </c>
      <c r="H3827" s="8" t="s">
        <v>21</v>
      </c>
      <c r="I3827" s="8" t="s">
        <v>22</v>
      </c>
      <c r="J3827" s="8" t="s">
        <v>22</v>
      </c>
      <c r="K3827" s="8" t="s">
        <v>1136</v>
      </c>
      <c r="L3827" s="8" t="s">
        <v>13194</v>
      </c>
      <c r="M3827" s="8" t="s">
        <v>13195</v>
      </c>
      <c r="N3827" s="8" t="s">
        <v>17498</v>
      </c>
      <c r="O3827" s="8">
        <f>11+42/60+32.9/3600</f>
        <v>11.709138888888889</v>
      </c>
      <c r="P3827" s="8" t="s">
        <v>17499</v>
      </c>
      <c r="Q3827" s="8">
        <f>+(26+29/60+21/3600)</f>
        <v>26.489166666666666</v>
      </c>
      <c r="R3827" s="8">
        <v>13.4</v>
      </c>
      <c r="S3827" s="8">
        <v>14.4</v>
      </c>
      <c r="T3827" s="8">
        <v>1</v>
      </c>
      <c r="U3827" s="8">
        <v>12.9</v>
      </c>
      <c r="V3827" s="8">
        <v>0.9</v>
      </c>
      <c r="W3827" s="8">
        <v>0.7</v>
      </c>
      <c r="X3827" s="8">
        <v>65</v>
      </c>
      <c r="Y3827" s="8" t="s">
        <v>17500</v>
      </c>
      <c r="Z3827" s="8" t="s">
        <v>17501</v>
      </c>
    </row>
    <row r="3828" spans="1:26" x14ac:dyDescent="0.2">
      <c r="A3828" s="8">
        <v>3827</v>
      </c>
      <c r="B3828" s="8" t="s">
        <v>17502</v>
      </c>
      <c r="C3828" s="8" t="s">
        <v>17502</v>
      </c>
      <c r="F3828" s="47"/>
      <c r="G3828" s="8">
        <v>18</v>
      </c>
      <c r="H3828" s="8" t="s">
        <v>21</v>
      </c>
      <c r="I3828" s="8" t="s">
        <v>22</v>
      </c>
      <c r="J3828" s="8" t="s">
        <v>22</v>
      </c>
      <c r="K3828" s="8" t="s">
        <v>4103</v>
      </c>
      <c r="L3828" s="8" t="s">
        <v>13194</v>
      </c>
      <c r="M3828" s="8" t="s">
        <v>13195</v>
      </c>
      <c r="N3828" s="8" t="s">
        <v>17503</v>
      </c>
      <c r="O3828" s="8">
        <f>11+42/60+36.2/3600</f>
        <v>11.710055555555554</v>
      </c>
      <c r="P3828" s="8" t="s">
        <v>17504</v>
      </c>
      <c r="Q3828" s="8">
        <f>+(18+50/60+43/3600)</f>
        <v>18.845277777777778</v>
      </c>
      <c r="R3828" s="8">
        <v>13.3</v>
      </c>
      <c r="S3828" s="8">
        <v>13.8</v>
      </c>
      <c r="T3828" s="8">
        <v>0.5</v>
      </c>
      <c r="U3828" s="8">
        <v>12.8</v>
      </c>
      <c r="V3828" s="8">
        <v>0.9</v>
      </c>
      <c r="W3828" s="8">
        <v>0.8</v>
      </c>
      <c r="X3828" s="8">
        <v>65</v>
      </c>
      <c r="Y3828" s="8" t="s">
        <v>12039</v>
      </c>
      <c r="Z3828" s="8" t="s">
        <v>11239</v>
      </c>
    </row>
    <row r="3829" spans="1:26" x14ac:dyDescent="0.2">
      <c r="A3829" s="8">
        <v>3828</v>
      </c>
      <c r="B3829" s="8" t="s">
        <v>17505</v>
      </c>
      <c r="C3829" s="8" t="s">
        <v>17505</v>
      </c>
      <c r="F3829" s="47"/>
      <c r="G3829" s="8">
        <v>19</v>
      </c>
      <c r="H3829" s="8" t="s">
        <v>21</v>
      </c>
      <c r="I3829" s="8" t="s">
        <v>22</v>
      </c>
      <c r="J3829" s="8" t="s">
        <v>22</v>
      </c>
      <c r="K3829" s="8" t="s">
        <v>449</v>
      </c>
      <c r="L3829" s="8" t="s">
        <v>13194</v>
      </c>
      <c r="M3829" s="8" t="s">
        <v>13195</v>
      </c>
      <c r="N3829" s="8" t="s">
        <v>17506</v>
      </c>
      <c r="O3829" s="8">
        <f>11+42/60+58.3/3600</f>
        <v>11.716194444444444</v>
      </c>
      <c r="P3829" s="8" t="s">
        <v>17507</v>
      </c>
      <c r="Q3829" s="8">
        <f>+(16+29/60+16/3600)</f>
        <v>16.487777777777779</v>
      </c>
      <c r="R3829" s="8">
        <v>14.8</v>
      </c>
      <c r="S3829" s="8">
        <v>15.6</v>
      </c>
      <c r="T3829" s="8">
        <v>0.8</v>
      </c>
      <c r="U3829" s="8">
        <v>13.7</v>
      </c>
      <c r="V3829" s="8">
        <v>0.8</v>
      </c>
      <c r="W3829" s="8">
        <v>0.5</v>
      </c>
      <c r="X3829" s="8">
        <v>30</v>
      </c>
      <c r="Y3829" s="8" t="s">
        <v>17508</v>
      </c>
      <c r="Z3829" s="8" t="s">
        <v>17509</v>
      </c>
    </row>
    <row r="3830" spans="1:26" x14ac:dyDescent="0.2">
      <c r="A3830" s="8">
        <v>3829</v>
      </c>
      <c r="B3830" s="8" t="s">
        <v>17510</v>
      </c>
      <c r="C3830" s="8" t="s">
        <v>17510</v>
      </c>
      <c r="F3830" s="47" t="s">
        <v>57032</v>
      </c>
      <c r="G3830" s="8">
        <v>15</v>
      </c>
      <c r="H3830" s="8" t="s">
        <v>21</v>
      </c>
      <c r="I3830" s="8" t="s">
        <v>22</v>
      </c>
      <c r="J3830" s="8" t="s">
        <v>22</v>
      </c>
      <c r="K3830" s="8" t="s">
        <v>218</v>
      </c>
      <c r="L3830" s="8" t="s">
        <v>12015</v>
      </c>
      <c r="M3830" s="8" t="s">
        <v>12016</v>
      </c>
      <c r="N3830" s="8" t="s">
        <v>17511</v>
      </c>
      <c r="O3830" s="8">
        <f>11+43/60+27.3/3600</f>
        <v>11.72425</v>
      </c>
      <c r="P3830" s="8" t="s">
        <v>17512</v>
      </c>
      <c r="Q3830" s="8">
        <f>+(52+42/60+41/3600)</f>
        <v>52.711388888888891</v>
      </c>
      <c r="R3830" s="8">
        <v>14</v>
      </c>
      <c r="S3830" s="8">
        <v>14.8</v>
      </c>
      <c r="T3830" s="8">
        <v>0.8</v>
      </c>
      <c r="U3830" s="8">
        <v>13.3</v>
      </c>
      <c r="V3830" s="8">
        <v>1</v>
      </c>
      <c r="W3830" s="8">
        <v>0.6</v>
      </c>
      <c r="X3830" s="8">
        <v>113</v>
      </c>
      <c r="Y3830" s="8" t="s">
        <v>282</v>
      </c>
      <c r="Z3830" s="8" t="s">
        <v>283</v>
      </c>
    </row>
    <row r="3831" spans="1:26" x14ac:dyDescent="0.2">
      <c r="A3831" s="8">
        <v>3830</v>
      </c>
      <c r="B3831" s="8" t="s">
        <v>17513</v>
      </c>
      <c r="C3831" s="8" t="s">
        <v>17513</v>
      </c>
      <c r="F3831" s="47"/>
      <c r="G3831" s="8">
        <v>16</v>
      </c>
      <c r="H3831" s="8" t="s">
        <v>21</v>
      </c>
      <c r="I3831" s="8" t="s">
        <v>22</v>
      </c>
      <c r="J3831" s="8" t="s">
        <v>57</v>
      </c>
      <c r="K3831" s="8" t="s">
        <v>1136</v>
      </c>
      <c r="L3831" s="8" t="s">
        <v>13194</v>
      </c>
      <c r="M3831" s="8" t="s">
        <v>13195</v>
      </c>
      <c r="N3831" s="8" t="s">
        <v>17498</v>
      </c>
      <c r="O3831" s="8">
        <f>11+42/60+32.9/3600</f>
        <v>11.709138888888889</v>
      </c>
      <c r="P3831" s="8" t="s">
        <v>17499</v>
      </c>
      <c r="Q3831" s="8">
        <f>+(26+29/60+21/3600)</f>
        <v>26.489166666666666</v>
      </c>
      <c r="R3831" s="8">
        <v>13.4</v>
      </c>
      <c r="S3831" s="8">
        <v>14.4</v>
      </c>
      <c r="T3831" s="8">
        <v>1</v>
      </c>
      <c r="U3831" s="8">
        <v>12.9</v>
      </c>
      <c r="V3831" s="8">
        <v>0.9</v>
      </c>
      <c r="W3831" s="8">
        <v>0.7</v>
      </c>
      <c r="X3831" s="8">
        <v>65</v>
      </c>
      <c r="Y3831" s="8" t="s">
        <v>47</v>
      </c>
      <c r="Z3831" s="8" t="s">
        <v>48</v>
      </c>
    </row>
    <row r="3832" spans="1:26" x14ac:dyDescent="0.2">
      <c r="A3832" s="8">
        <v>3831</v>
      </c>
      <c r="B3832" s="8" t="s">
        <v>17514</v>
      </c>
      <c r="C3832" s="8" t="s">
        <v>17514</v>
      </c>
      <c r="F3832" s="47"/>
      <c r="G3832" s="8">
        <v>16</v>
      </c>
      <c r="H3832" s="8" t="s">
        <v>21</v>
      </c>
      <c r="I3832" s="8" t="s">
        <v>22</v>
      </c>
      <c r="J3832" s="8" t="s">
        <v>22</v>
      </c>
      <c r="K3832" s="8" t="s">
        <v>1157</v>
      </c>
      <c r="L3832" s="8" t="s">
        <v>15699</v>
      </c>
      <c r="M3832" s="8" t="s">
        <v>15700</v>
      </c>
      <c r="N3832" s="8" t="s">
        <v>17515</v>
      </c>
      <c r="O3832" s="8">
        <f>11+43/60+18.6/3600</f>
        <v>11.721833333333333</v>
      </c>
      <c r="P3832" s="8" t="s">
        <v>17516</v>
      </c>
      <c r="Q3832" s="8">
        <f>-(12+52/60+41/3600)</f>
        <v>-12.878055555555555</v>
      </c>
      <c r="R3832" s="8">
        <v>12.7</v>
      </c>
      <c r="S3832" s="8">
        <v>13.6</v>
      </c>
      <c r="T3832" s="8">
        <v>0.9</v>
      </c>
      <c r="U3832" s="8">
        <v>13.1</v>
      </c>
      <c r="V3832" s="8">
        <v>2.7</v>
      </c>
      <c r="W3832" s="8">
        <v>0.6</v>
      </c>
      <c r="X3832" s="8">
        <v>23</v>
      </c>
      <c r="Y3832" s="8" t="s">
        <v>3952</v>
      </c>
      <c r="Z3832" s="8" t="s">
        <v>3953</v>
      </c>
    </row>
    <row r="3833" spans="1:26" x14ac:dyDescent="0.2">
      <c r="A3833" s="8">
        <v>3832</v>
      </c>
      <c r="B3833" s="8" t="s">
        <v>17517</v>
      </c>
      <c r="C3833" s="8" t="s">
        <v>17517</v>
      </c>
      <c r="F3833" s="47" t="s">
        <v>57033</v>
      </c>
      <c r="G3833" s="8">
        <v>15</v>
      </c>
      <c r="H3833" s="8" t="s">
        <v>21</v>
      </c>
      <c r="I3833" s="8" t="s">
        <v>22</v>
      </c>
      <c r="J3833" s="8" t="s">
        <v>22</v>
      </c>
      <c r="K3833" s="8" t="s">
        <v>64</v>
      </c>
      <c r="L3833" s="8" t="s">
        <v>13194</v>
      </c>
      <c r="M3833" s="8" t="s">
        <v>13195</v>
      </c>
      <c r="N3833" s="8" t="s">
        <v>17518</v>
      </c>
      <c r="O3833" s="8">
        <f>11+43/60+31.4/3600</f>
        <v>11.725388888888888</v>
      </c>
      <c r="P3833" s="8" t="s">
        <v>17519</v>
      </c>
      <c r="Q3833" s="8">
        <f>+(22+43/60+31/3600)</f>
        <v>22.725277777777777</v>
      </c>
      <c r="R3833" s="8">
        <v>13</v>
      </c>
      <c r="S3833" s="8">
        <v>13.6</v>
      </c>
      <c r="T3833" s="8">
        <v>0.6</v>
      </c>
      <c r="U3833" s="8">
        <v>14.1</v>
      </c>
      <c r="V3833" s="8">
        <v>1.9</v>
      </c>
      <c r="W3833" s="8">
        <v>1.6</v>
      </c>
      <c r="X3833" s="8">
        <v>120</v>
      </c>
      <c r="Y3833" s="8" t="s">
        <v>21</v>
      </c>
      <c r="Z3833" s="8" t="s">
        <v>17520</v>
      </c>
    </row>
    <row r="3834" spans="1:26" x14ac:dyDescent="0.2">
      <c r="A3834" s="8">
        <v>3833</v>
      </c>
      <c r="B3834" s="8" t="s">
        <v>17521</v>
      </c>
      <c r="C3834" s="8" t="s">
        <v>17521</v>
      </c>
      <c r="F3834" s="47" t="s">
        <v>57034</v>
      </c>
      <c r="G3834" s="8">
        <v>15</v>
      </c>
      <c r="H3834" s="8" t="s">
        <v>21</v>
      </c>
      <c r="I3834" s="8" t="s">
        <v>22</v>
      </c>
      <c r="J3834" s="8" t="s">
        <v>22</v>
      </c>
      <c r="K3834" s="8" t="s">
        <v>160</v>
      </c>
      <c r="L3834" s="8" t="s">
        <v>17287</v>
      </c>
      <c r="M3834" s="8" t="s">
        <v>17288</v>
      </c>
      <c r="N3834" s="8" t="s">
        <v>17522</v>
      </c>
      <c r="O3834" s="8">
        <f>11+43/60+28.9/3600</f>
        <v>11.724694444444445</v>
      </c>
      <c r="P3834" s="8" t="s">
        <v>17523</v>
      </c>
      <c r="Q3834" s="8">
        <f>+(10+9/60+41/3600)</f>
        <v>10.161388888888888</v>
      </c>
      <c r="R3834" s="8">
        <v>13.5</v>
      </c>
      <c r="S3834" s="8">
        <v>14.2</v>
      </c>
      <c r="T3834" s="8">
        <v>0.7</v>
      </c>
      <c r="U3834" s="8">
        <v>13.3</v>
      </c>
      <c r="V3834" s="8">
        <v>1.4</v>
      </c>
      <c r="W3834" s="8">
        <v>0.7</v>
      </c>
      <c r="X3834" s="8">
        <v>27</v>
      </c>
      <c r="Y3834" s="8" t="s">
        <v>17524</v>
      </c>
      <c r="Z3834" s="8" t="s">
        <v>17525</v>
      </c>
    </row>
    <row r="3835" spans="1:26" x14ac:dyDescent="0.2">
      <c r="A3835" s="8">
        <v>3834</v>
      </c>
      <c r="B3835" s="8" t="s">
        <v>17526</v>
      </c>
      <c r="C3835" s="8" t="s">
        <v>17526</v>
      </c>
      <c r="F3835" s="47"/>
      <c r="G3835" s="8">
        <v>18</v>
      </c>
      <c r="H3835" s="8" t="s">
        <v>21</v>
      </c>
      <c r="I3835" s="8" t="s">
        <v>22</v>
      </c>
      <c r="J3835" s="8" t="s">
        <v>22</v>
      </c>
      <c r="K3835" s="8" t="s">
        <v>449</v>
      </c>
      <c r="L3835" s="8" t="s">
        <v>13194</v>
      </c>
      <c r="M3835" s="8" t="s">
        <v>13195</v>
      </c>
      <c r="N3835" s="8" t="s">
        <v>17527</v>
      </c>
      <c r="O3835" s="8">
        <f>11+43/60+37.7/3600</f>
        <v>11.72713888888889</v>
      </c>
      <c r="P3835" s="8" t="s">
        <v>17528</v>
      </c>
      <c r="Q3835" s="8">
        <f>+(19+5/60+26/3600)</f>
        <v>19.090555555555554</v>
      </c>
      <c r="R3835" s="8">
        <v>13.5</v>
      </c>
      <c r="S3835" s="8">
        <v>14.3</v>
      </c>
      <c r="T3835" s="8">
        <v>0.8</v>
      </c>
      <c r="U3835" s="8">
        <v>13.7</v>
      </c>
      <c r="V3835" s="8">
        <v>1.4</v>
      </c>
      <c r="W3835" s="8">
        <v>1</v>
      </c>
      <c r="X3835" s="8">
        <v>129</v>
      </c>
      <c r="Y3835" s="8" t="s">
        <v>21</v>
      </c>
      <c r="Z3835" s="8" t="s">
        <v>17529</v>
      </c>
    </row>
    <row r="3836" spans="1:26" x14ac:dyDescent="0.2">
      <c r="A3836" s="8">
        <v>3835</v>
      </c>
      <c r="B3836" s="8" t="s">
        <v>17530</v>
      </c>
      <c r="C3836" s="8" t="s">
        <v>17530</v>
      </c>
      <c r="F3836" s="47"/>
      <c r="G3836" s="8">
        <v>16</v>
      </c>
      <c r="H3836" s="8" t="s">
        <v>21</v>
      </c>
      <c r="I3836" s="8" t="s">
        <v>22</v>
      </c>
      <c r="J3836" s="8" t="s">
        <v>22</v>
      </c>
      <c r="K3836" s="8" t="s">
        <v>31</v>
      </c>
      <c r="L3836" s="8" t="s">
        <v>12015</v>
      </c>
      <c r="M3836" s="8" t="s">
        <v>12016</v>
      </c>
      <c r="N3836" s="8" t="s">
        <v>17531</v>
      </c>
      <c r="O3836" s="8">
        <f>11+44/60+5/3600</f>
        <v>11.734722222222221</v>
      </c>
      <c r="P3836" s="8" t="s">
        <v>17532</v>
      </c>
      <c r="Q3836" s="8">
        <f>+(60+7/60+13/3600)</f>
        <v>60.12027777777778</v>
      </c>
      <c r="R3836" s="8">
        <v>12.4</v>
      </c>
      <c r="S3836" s="8">
        <v>13.2</v>
      </c>
      <c r="T3836" s="8">
        <v>0.8</v>
      </c>
      <c r="U3836" s="8">
        <v>12.7</v>
      </c>
      <c r="V3836" s="8">
        <v>1.8</v>
      </c>
      <c r="W3836" s="8">
        <v>0.7</v>
      </c>
      <c r="X3836" s="8">
        <v>60</v>
      </c>
      <c r="Y3836" s="8" t="s">
        <v>21</v>
      </c>
      <c r="Z3836" s="8" t="s">
        <v>17533</v>
      </c>
    </row>
    <row r="3837" spans="1:26" x14ac:dyDescent="0.2">
      <c r="A3837" s="8">
        <v>3836</v>
      </c>
      <c r="B3837" s="8" t="s">
        <v>17534</v>
      </c>
      <c r="C3837" s="8" t="s">
        <v>17534</v>
      </c>
      <c r="F3837" s="47"/>
      <c r="G3837" s="8">
        <v>19</v>
      </c>
      <c r="H3837" s="8" t="s">
        <v>21</v>
      </c>
      <c r="I3837" s="8" t="s">
        <v>22</v>
      </c>
      <c r="J3837" s="8" t="s">
        <v>22</v>
      </c>
      <c r="K3837" s="8" t="s">
        <v>23</v>
      </c>
      <c r="L3837" s="8" t="s">
        <v>15699</v>
      </c>
      <c r="M3837" s="8" t="s">
        <v>15700</v>
      </c>
      <c r="N3837" s="8" t="s">
        <v>17535</v>
      </c>
      <c r="O3837" s="8">
        <f>11+43/60+29.8/3600</f>
        <v>11.724944444444445</v>
      </c>
      <c r="P3837" s="8" t="s">
        <v>17536</v>
      </c>
      <c r="Q3837" s="8">
        <f>-(16+47/60+51/3600)</f>
        <v>-16.797500000000003</v>
      </c>
      <c r="R3837" s="8">
        <v>12.9</v>
      </c>
      <c r="S3837" s="8">
        <v>13.7</v>
      </c>
      <c r="T3837" s="8">
        <v>0.8</v>
      </c>
      <c r="U3837" s="8">
        <v>13.4</v>
      </c>
      <c r="V3837" s="8">
        <v>1.4</v>
      </c>
      <c r="W3837" s="8">
        <v>1.3</v>
      </c>
      <c r="X3837" s="8">
        <v>33</v>
      </c>
      <c r="Y3837" s="8" t="s">
        <v>17537</v>
      </c>
      <c r="Z3837" s="8" t="s">
        <v>17538</v>
      </c>
    </row>
    <row r="3838" spans="1:26" x14ac:dyDescent="0.2">
      <c r="A3838" s="8">
        <v>3837</v>
      </c>
      <c r="B3838" s="8" t="s">
        <v>17539</v>
      </c>
      <c r="C3838" s="8" t="s">
        <v>17539</v>
      </c>
      <c r="F3838" s="47" t="s">
        <v>57035</v>
      </c>
      <c r="G3838" s="8">
        <v>15</v>
      </c>
      <c r="H3838" s="8" t="s">
        <v>21</v>
      </c>
      <c r="I3838" s="8" t="s">
        <v>22</v>
      </c>
      <c r="J3838" s="8" t="s">
        <v>22</v>
      </c>
      <c r="K3838" s="8" t="s">
        <v>460</v>
      </c>
      <c r="L3838" s="8" t="s">
        <v>13194</v>
      </c>
      <c r="M3838" s="8" t="s">
        <v>13195</v>
      </c>
      <c r="N3838" s="8" t="s">
        <v>17540</v>
      </c>
      <c r="O3838" s="8">
        <f>11+43/60+56.6/3600</f>
        <v>11.73238888888889</v>
      </c>
      <c r="P3838" s="8" t="s">
        <v>17541</v>
      </c>
      <c r="Q3838" s="8">
        <f>+(19+53/60+41/3600)</f>
        <v>19.894722222222221</v>
      </c>
      <c r="R3838" s="8">
        <v>13.3</v>
      </c>
      <c r="S3838" s="8">
        <v>14.3</v>
      </c>
      <c r="T3838" s="8">
        <v>1</v>
      </c>
      <c r="U3838" s="8">
        <v>12.2</v>
      </c>
      <c r="V3838" s="8">
        <v>0.8</v>
      </c>
      <c r="W3838" s="8">
        <v>0.8</v>
      </c>
      <c r="Y3838" s="8" t="s">
        <v>17542</v>
      </c>
      <c r="Z3838" s="8" t="s">
        <v>17543</v>
      </c>
    </row>
    <row r="3839" spans="1:26" x14ac:dyDescent="0.2">
      <c r="A3839" s="8">
        <v>3838</v>
      </c>
      <c r="B3839" s="8" t="s">
        <v>17544</v>
      </c>
      <c r="C3839" s="8" t="s">
        <v>17544</v>
      </c>
      <c r="F3839" s="47" t="s">
        <v>57036</v>
      </c>
      <c r="G3839" s="8">
        <v>15</v>
      </c>
      <c r="H3839" s="8" t="s">
        <v>21</v>
      </c>
      <c r="I3839" s="8" t="s">
        <v>22</v>
      </c>
      <c r="J3839" s="8" t="s">
        <v>22</v>
      </c>
      <c r="K3839" s="8" t="s">
        <v>632</v>
      </c>
      <c r="L3839" s="8" t="s">
        <v>12015</v>
      </c>
      <c r="M3839" s="8" t="s">
        <v>12016</v>
      </c>
      <c r="N3839" s="8" t="s">
        <v>17545</v>
      </c>
      <c r="O3839" s="8">
        <f>11+44/60+13.4/3600</f>
        <v>11.737055555555555</v>
      </c>
      <c r="P3839" s="8" t="s">
        <v>17546</v>
      </c>
      <c r="Q3839" s="8">
        <f>+(57+56/60+55/3600)</f>
        <v>57.948611111111106</v>
      </c>
      <c r="R3839" s="8">
        <v>12.3</v>
      </c>
      <c r="S3839" s="8">
        <v>13.3</v>
      </c>
      <c r="T3839" s="8">
        <v>1</v>
      </c>
      <c r="U3839" s="8">
        <v>12.2</v>
      </c>
      <c r="V3839" s="8">
        <v>1.4</v>
      </c>
      <c r="W3839" s="8">
        <v>0.6</v>
      </c>
      <c r="X3839" s="8">
        <v>141</v>
      </c>
      <c r="Y3839" s="8" t="s">
        <v>21</v>
      </c>
      <c r="Z3839" s="8" t="s">
        <v>17547</v>
      </c>
    </row>
    <row r="3840" spans="1:26" x14ac:dyDescent="0.2">
      <c r="A3840" s="8">
        <v>3839</v>
      </c>
      <c r="B3840" s="8" t="s">
        <v>17548</v>
      </c>
      <c r="C3840" s="8" t="s">
        <v>17548</v>
      </c>
      <c r="F3840" s="47"/>
      <c r="G3840" s="8">
        <v>19</v>
      </c>
      <c r="H3840" s="8" t="s">
        <v>21</v>
      </c>
      <c r="I3840" s="8" t="s">
        <v>22</v>
      </c>
      <c r="J3840" s="8" t="s">
        <v>22</v>
      </c>
      <c r="K3840" s="8" t="s">
        <v>3523</v>
      </c>
      <c r="L3840" s="8" t="s">
        <v>13194</v>
      </c>
      <c r="M3840" s="8" t="s">
        <v>13195</v>
      </c>
      <c r="N3840" s="8" t="s">
        <v>17549</v>
      </c>
      <c r="O3840" s="8">
        <f>11+43/60+54.4/3600</f>
        <v>11.731777777777777</v>
      </c>
      <c r="P3840" s="8" t="s">
        <v>17550</v>
      </c>
      <c r="Q3840" s="8">
        <f>+(10+47/60+4/3600)</f>
        <v>10.784444444444444</v>
      </c>
      <c r="R3840" s="8">
        <v>13.3</v>
      </c>
      <c r="S3840" s="8">
        <v>13.9</v>
      </c>
      <c r="T3840" s="8">
        <v>0.6</v>
      </c>
      <c r="U3840" s="8">
        <v>12.4</v>
      </c>
      <c r="V3840" s="8">
        <v>1</v>
      </c>
      <c r="W3840" s="8">
        <v>0.5</v>
      </c>
      <c r="X3840" s="8">
        <v>87</v>
      </c>
      <c r="Y3840" s="8" t="s">
        <v>10836</v>
      </c>
      <c r="Z3840" s="8" t="s">
        <v>10837</v>
      </c>
    </row>
    <row r="3841" spans="1:26" x14ac:dyDescent="0.2">
      <c r="A3841" s="8">
        <v>3840</v>
      </c>
      <c r="B3841" s="8" t="s">
        <v>17551</v>
      </c>
      <c r="C3841" s="8" t="s">
        <v>17551</v>
      </c>
      <c r="F3841" s="47"/>
      <c r="G3841" s="8">
        <v>18</v>
      </c>
      <c r="H3841" s="8" t="s">
        <v>21</v>
      </c>
      <c r="I3841" s="8" t="s">
        <v>22</v>
      </c>
      <c r="J3841" s="8" t="s">
        <v>22</v>
      </c>
      <c r="K3841" s="8" t="s">
        <v>91</v>
      </c>
      <c r="L3841" s="8" t="s">
        <v>13194</v>
      </c>
      <c r="M3841" s="8" t="s">
        <v>13195</v>
      </c>
      <c r="N3841" s="8" t="s">
        <v>17552</v>
      </c>
      <c r="O3841" s="8">
        <f>11+43/60+59/3600</f>
        <v>11.733055555555556</v>
      </c>
      <c r="P3841" s="8" t="s">
        <v>17553</v>
      </c>
      <c r="Q3841" s="8">
        <f>+(20+4/60+37/3600)</f>
        <v>20.076944444444443</v>
      </c>
      <c r="R3841" s="8">
        <v>13.8</v>
      </c>
      <c r="S3841" s="8">
        <v>14.5</v>
      </c>
      <c r="T3841" s="8">
        <v>0.7</v>
      </c>
      <c r="U3841" s="8">
        <v>13.5</v>
      </c>
      <c r="V3841" s="8">
        <v>1.1000000000000001</v>
      </c>
      <c r="W3841" s="8">
        <v>0.8</v>
      </c>
      <c r="X3841" s="8">
        <v>67</v>
      </c>
      <c r="Y3841" s="8" t="s">
        <v>3253</v>
      </c>
      <c r="Z3841" s="8" t="s">
        <v>3254</v>
      </c>
    </row>
    <row r="3842" spans="1:26" x14ac:dyDescent="0.2">
      <c r="A3842" s="8">
        <v>3841</v>
      </c>
      <c r="B3842" s="8" t="s">
        <v>17554</v>
      </c>
      <c r="C3842" s="8" t="s">
        <v>17554</v>
      </c>
      <c r="F3842" s="47"/>
      <c r="G3842" s="8">
        <v>16</v>
      </c>
      <c r="H3842" s="8" t="s">
        <v>21</v>
      </c>
      <c r="I3842" s="8" t="s">
        <v>22</v>
      </c>
      <c r="J3842" s="8" t="s">
        <v>22</v>
      </c>
      <c r="K3842" s="8" t="s">
        <v>818</v>
      </c>
      <c r="L3842" s="8" t="s">
        <v>13194</v>
      </c>
      <c r="M3842" s="8" t="s">
        <v>13195</v>
      </c>
      <c r="N3842" s="8" t="s">
        <v>17555</v>
      </c>
      <c r="O3842" s="8">
        <f>11+44/60+2.1/3600</f>
        <v>11.733916666666666</v>
      </c>
      <c r="P3842" s="8" t="s">
        <v>17556</v>
      </c>
      <c r="Q3842" s="8">
        <f>+(19+58/60+20/3600)</f>
        <v>19.972222222222221</v>
      </c>
      <c r="R3842" s="8">
        <v>13.6</v>
      </c>
      <c r="S3842" s="8">
        <v>14.6</v>
      </c>
      <c r="T3842" s="8">
        <v>1</v>
      </c>
      <c r="U3842" s="8">
        <v>12.5</v>
      </c>
      <c r="V3842" s="8">
        <v>0.7</v>
      </c>
      <c r="W3842" s="8">
        <v>0.5</v>
      </c>
      <c r="X3842" s="8">
        <v>95</v>
      </c>
      <c r="Y3842" s="8" t="s">
        <v>17557</v>
      </c>
      <c r="Z3842" s="8" t="s">
        <v>17558</v>
      </c>
    </row>
    <row r="3843" spans="1:26" x14ac:dyDescent="0.2">
      <c r="A3843" s="8">
        <v>3842</v>
      </c>
      <c r="B3843" s="8" t="s">
        <v>17559</v>
      </c>
      <c r="C3843" s="8" t="s">
        <v>17559</v>
      </c>
      <c r="F3843" s="47" t="s">
        <v>57037</v>
      </c>
      <c r="G3843" s="8">
        <v>15</v>
      </c>
      <c r="H3843" s="8" t="s">
        <v>21</v>
      </c>
      <c r="I3843" s="8" t="s">
        <v>22</v>
      </c>
      <c r="J3843" s="8" t="s">
        <v>22</v>
      </c>
      <c r="K3843" s="8" t="s">
        <v>382</v>
      </c>
      <c r="L3843" s="8" t="s">
        <v>13194</v>
      </c>
      <c r="M3843" s="8" t="s">
        <v>13195</v>
      </c>
      <c r="N3843" s="8" t="s">
        <v>17560</v>
      </c>
      <c r="O3843" s="8">
        <f>11+44/60+2/3600</f>
        <v>11.733888888888888</v>
      </c>
      <c r="P3843" s="8" t="s">
        <v>17561</v>
      </c>
      <c r="Q3843" s="8">
        <f>+(19+57/60+0/3600)</f>
        <v>19.95</v>
      </c>
      <c r="R3843" s="8">
        <v>11.8</v>
      </c>
      <c r="S3843" s="8">
        <v>12.8</v>
      </c>
      <c r="T3843" s="8">
        <v>1</v>
      </c>
      <c r="U3843" s="8">
        <v>12.2</v>
      </c>
      <c r="V3843" s="8">
        <v>1.4</v>
      </c>
      <c r="W3843" s="8">
        <v>1</v>
      </c>
      <c r="X3843" s="8">
        <v>5</v>
      </c>
      <c r="Y3843" s="8" t="s">
        <v>17562</v>
      </c>
      <c r="Z3843" s="8" t="s">
        <v>17563</v>
      </c>
    </row>
    <row r="3844" spans="1:26" x14ac:dyDescent="0.2">
      <c r="A3844" s="8">
        <v>3843</v>
      </c>
      <c r="B3844" s="8" t="s">
        <v>17564</v>
      </c>
      <c r="C3844" s="8" t="s">
        <v>17564</v>
      </c>
      <c r="F3844" s="47"/>
      <c r="G3844" s="8">
        <v>19</v>
      </c>
      <c r="H3844" s="8" t="s">
        <v>21</v>
      </c>
      <c r="I3844" s="8" t="s">
        <v>22</v>
      </c>
      <c r="J3844" s="8" t="s">
        <v>22</v>
      </c>
      <c r="K3844" s="8" t="s">
        <v>632</v>
      </c>
      <c r="L3844" s="8" t="s">
        <v>17287</v>
      </c>
      <c r="M3844" s="8" t="s">
        <v>17288</v>
      </c>
      <c r="N3844" s="8" t="s">
        <v>17565</v>
      </c>
      <c r="O3844" s="8">
        <f>11+43/60+54.6/3600</f>
        <v>11.731833333333334</v>
      </c>
      <c r="P3844" s="8" t="s">
        <v>17566</v>
      </c>
      <c r="Q3844" s="8">
        <f>+(7+55/60+34/3600)</f>
        <v>7.9261111111111111</v>
      </c>
      <c r="R3844" s="8">
        <v>13.5</v>
      </c>
      <c r="S3844" s="8">
        <v>14.4</v>
      </c>
      <c r="T3844" s="8">
        <v>0.9</v>
      </c>
      <c r="U3844" s="8">
        <v>12.4</v>
      </c>
      <c r="V3844" s="8">
        <v>0.9</v>
      </c>
      <c r="W3844" s="8">
        <v>0.4</v>
      </c>
      <c r="X3844" s="8">
        <v>42</v>
      </c>
      <c r="Y3844" s="8" t="s">
        <v>17567</v>
      </c>
      <c r="Z3844" s="8" t="s">
        <v>17568</v>
      </c>
    </row>
    <row r="3845" spans="1:26" x14ac:dyDescent="0.2">
      <c r="A3845" s="8">
        <v>3844</v>
      </c>
      <c r="B3845" s="8" t="s">
        <v>17569</v>
      </c>
      <c r="C3845" s="8" t="s">
        <v>17569</v>
      </c>
      <c r="F3845" s="47"/>
      <c r="G3845" s="8">
        <v>18</v>
      </c>
      <c r="H3845" s="8" t="s">
        <v>21</v>
      </c>
      <c r="I3845" s="8" t="s">
        <v>22</v>
      </c>
      <c r="J3845" s="8" t="s">
        <v>22</v>
      </c>
      <c r="K3845" s="8" t="s">
        <v>632</v>
      </c>
      <c r="L3845" s="8" t="s">
        <v>13194</v>
      </c>
      <c r="M3845" s="8" t="s">
        <v>13195</v>
      </c>
      <c r="N3845" s="8" t="s">
        <v>17570</v>
      </c>
      <c r="O3845" s="8">
        <f>11+44/60+0.9/3600</f>
        <v>11.733583333333332</v>
      </c>
      <c r="P3845" s="8" t="s">
        <v>17571</v>
      </c>
      <c r="Q3845" s="8">
        <f>+(20+1/60+46/3600)</f>
        <v>20.029444444444444</v>
      </c>
      <c r="R3845" s="8">
        <v>13.9</v>
      </c>
      <c r="S3845" s="8">
        <v>14.9</v>
      </c>
      <c r="T3845" s="8">
        <v>1</v>
      </c>
      <c r="U3845" s="8">
        <v>12.3</v>
      </c>
      <c r="V3845" s="8">
        <v>1.2</v>
      </c>
      <c r="W3845" s="8">
        <v>0.2</v>
      </c>
      <c r="X3845" s="8">
        <v>28</v>
      </c>
      <c r="Y3845" s="8" t="s">
        <v>17572</v>
      </c>
      <c r="Z3845" s="8" t="s">
        <v>17573</v>
      </c>
    </row>
    <row r="3846" spans="1:26" x14ac:dyDescent="0.2">
      <c r="A3846" s="8">
        <v>3845</v>
      </c>
      <c r="B3846" s="8" t="s">
        <v>17574</v>
      </c>
      <c r="C3846" s="8" t="s">
        <v>17574</v>
      </c>
      <c r="F3846" s="47"/>
      <c r="G3846" s="8">
        <v>16</v>
      </c>
      <c r="H3846" s="8" t="s">
        <v>21</v>
      </c>
      <c r="I3846" s="8" t="s">
        <v>22</v>
      </c>
      <c r="J3846" s="8" t="s">
        <v>22</v>
      </c>
      <c r="K3846" s="8" t="s">
        <v>23</v>
      </c>
      <c r="L3846" s="8" t="s">
        <v>13194</v>
      </c>
      <c r="M3846" s="8" t="s">
        <v>13195</v>
      </c>
      <c r="N3846" s="8" t="s">
        <v>17575</v>
      </c>
      <c r="O3846" s="8">
        <f>11+44/60+5.5/3600</f>
        <v>11.73486111111111</v>
      </c>
      <c r="P3846" s="8" t="s">
        <v>17576</v>
      </c>
      <c r="Q3846" s="8">
        <f>+(19+59/60+46/3600)</f>
        <v>19.996111111111112</v>
      </c>
      <c r="R3846" s="8">
        <v>14</v>
      </c>
      <c r="S3846" s="8">
        <v>15</v>
      </c>
      <c r="T3846" s="8">
        <v>1</v>
      </c>
      <c r="U3846" s="8">
        <v>12.4</v>
      </c>
      <c r="V3846" s="8">
        <v>0.8</v>
      </c>
      <c r="W3846" s="8">
        <v>0.3</v>
      </c>
      <c r="X3846" s="8">
        <v>135</v>
      </c>
      <c r="Y3846" s="8" t="s">
        <v>17577</v>
      </c>
      <c r="Z3846" s="8" t="s">
        <v>17578</v>
      </c>
    </row>
    <row r="3847" spans="1:26" x14ac:dyDescent="0.2">
      <c r="A3847" s="8">
        <v>3846</v>
      </c>
      <c r="B3847" s="8" t="s">
        <v>17579</v>
      </c>
      <c r="C3847" s="8" t="s">
        <v>17579</v>
      </c>
      <c r="F3847" s="47"/>
      <c r="G3847" s="8">
        <v>12</v>
      </c>
      <c r="H3847" s="8" t="s">
        <v>21</v>
      </c>
      <c r="I3847" s="8" t="s">
        <v>22</v>
      </c>
      <c r="J3847" s="8" t="s">
        <v>22</v>
      </c>
      <c r="K3847" s="8" t="s">
        <v>396</v>
      </c>
      <c r="L3847" s="8" t="s">
        <v>12015</v>
      </c>
      <c r="M3847" s="8" t="s">
        <v>12016</v>
      </c>
      <c r="N3847" s="8" t="s">
        <v>17580</v>
      </c>
      <c r="O3847" s="8">
        <f>11+44/60+28.9/3600</f>
        <v>11.741361111111111</v>
      </c>
      <c r="P3847" s="8" t="s">
        <v>17581</v>
      </c>
      <c r="Q3847" s="8">
        <f>+(55+39/60+8/3600)</f>
        <v>55.652222222222221</v>
      </c>
      <c r="R3847" s="8">
        <v>13.4</v>
      </c>
      <c r="S3847" s="8">
        <v>14.2</v>
      </c>
      <c r="T3847" s="8">
        <v>0.8</v>
      </c>
      <c r="U3847" s="8">
        <v>12.9</v>
      </c>
      <c r="V3847" s="8">
        <v>1</v>
      </c>
      <c r="W3847" s="8">
        <v>0.7</v>
      </c>
      <c r="X3847" s="8">
        <v>135</v>
      </c>
      <c r="Y3847" s="8" t="s">
        <v>8615</v>
      </c>
      <c r="Z3847" s="8" t="s">
        <v>8616</v>
      </c>
    </row>
    <row r="3848" spans="1:26" x14ac:dyDescent="0.2">
      <c r="A3848" s="8">
        <v>3847</v>
      </c>
      <c r="B3848" s="8" t="s">
        <v>17582</v>
      </c>
      <c r="C3848" s="8" t="s">
        <v>17582</v>
      </c>
      <c r="F3848" s="47"/>
      <c r="G3848" s="8">
        <v>16</v>
      </c>
      <c r="H3848" s="8" t="s">
        <v>21</v>
      </c>
      <c r="I3848" s="8" t="s">
        <v>22</v>
      </c>
      <c r="J3848" s="8" t="s">
        <v>22</v>
      </c>
      <c r="K3848" s="8" t="s">
        <v>460</v>
      </c>
      <c r="L3848" s="8" t="s">
        <v>12015</v>
      </c>
      <c r="M3848" s="8" t="s">
        <v>12016</v>
      </c>
      <c r="N3848" s="8" t="s">
        <v>17583</v>
      </c>
      <c r="O3848" s="8">
        <f>11+44/60+14/3600</f>
        <v>11.737222222222222</v>
      </c>
      <c r="P3848" s="8" t="s">
        <v>17584</v>
      </c>
      <c r="Q3848" s="8">
        <f>+(33+30/60+52/3600)</f>
        <v>33.514444444444443</v>
      </c>
      <c r="R3848" s="8">
        <v>13.3</v>
      </c>
      <c r="S3848" s="8">
        <v>14.3</v>
      </c>
      <c r="T3848" s="8">
        <v>1</v>
      </c>
      <c r="U3848" s="8">
        <v>13.6</v>
      </c>
      <c r="V3848" s="8">
        <v>1.1000000000000001</v>
      </c>
      <c r="W3848" s="8">
        <v>1.1000000000000001</v>
      </c>
      <c r="Y3848" s="8" t="s">
        <v>446</v>
      </c>
      <c r="Z3848" s="8" t="s">
        <v>447</v>
      </c>
    </row>
    <row r="3849" spans="1:26" x14ac:dyDescent="0.2">
      <c r="A3849" s="8">
        <v>3848</v>
      </c>
      <c r="B3849" s="8" t="s">
        <v>17585</v>
      </c>
      <c r="C3849" s="8" t="s">
        <v>17585</v>
      </c>
      <c r="F3849" s="47" t="s">
        <v>57038</v>
      </c>
      <c r="G3849" s="8">
        <v>15</v>
      </c>
      <c r="H3849" s="8" t="s">
        <v>21</v>
      </c>
      <c r="I3849" s="8" t="s">
        <v>22</v>
      </c>
      <c r="J3849" s="8" t="s">
        <v>22</v>
      </c>
      <c r="K3849" s="8" t="s">
        <v>37</v>
      </c>
      <c r="L3849" s="8" t="s">
        <v>17287</v>
      </c>
      <c r="M3849" s="8" t="s">
        <v>17288</v>
      </c>
      <c r="N3849" s="8" t="s">
        <v>17478</v>
      </c>
      <c r="O3849" s="8">
        <f>11+42/60+11.1/3600</f>
        <v>11.703083333333332</v>
      </c>
      <c r="P3849" s="8" t="s">
        <v>17479</v>
      </c>
      <c r="Q3849" s="8">
        <f>+(10+16/60+41/3600)</f>
        <v>10.278055555555556</v>
      </c>
      <c r="R3849" s="8">
        <v>13.1</v>
      </c>
      <c r="S3849" s="8">
        <v>14</v>
      </c>
      <c r="T3849" s="8">
        <v>0.9</v>
      </c>
      <c r="U3849" s="8">
        <v>13.1</v>
      </c>
      <c r="V3849" s="8">
        <v>1.4</v>
      </c>
      <c r="W3849" s="8">
        <v>0.8</v>
      </c>
      <c r="X3849" s="8">
        <v>178</v>
      </c>
      <c r="Y3849" s="8" t="s">
        <v>266</v>
      </c>
      <c r="Z3849" s="8" t="s">
        <v>267</v>
      </c>
    </row>
    <row r="3850" spans="1:26" x14ac:dyDescent="0.2">
      <c r="A3850" s="8">
        <v>3849</v>
      </c>
      <c r="B3850" s="8" t="s">
        <v>17586</v>
      </c>
      <c r="C3850" s="8" t="s">
        <v>17586</v>
      </c>
      <c r="F3850" s="47"/>
      <c r="G3850" s="8">
        <v>19</v>
      </c>
      <c r="H3850" s="8" t="s">
        <v>21</v>
      </c>
      <c r="I3850" s="8" t="s">
        <v>22</v>
      </c>
      <c r="J3850" s="8" t="s">
        <v>22</v>
      </c>
      <c r="K3850" s="8" t="s">
        <v>632</v>
      </c>
      <c r="L3850" s="8" t="s">
        <v>17287</v>
      </c>
      <c r="M3850" s="8" t="s">
        <v>17288</v>
      </c>
      <c r="N3850" s="8" t="s">
        <v>17587</v>
      </c>
      <c r="O3850" s="8">
        <f>11+45/60+35.2/3600</f>
        <v>11.759777777777778</v>
      </c>
      <c r="P3850" s="8" t="s">
        <v>17588</v>
      </c>
      <c r="Q3850" s="8">
        <f>+(3+13/60+56/3600)</f>
        <v>3.2322222222222226</v>
      </c>
      <c r="R3850" s="8">
        <v>13.7</v>
      </c>
      <c r="S3850" s="8">
        <v>14.6</v>
      </c>
      <c r="T3850" s="8">
        <v>0.9</v>
      </c>
      <c r="U3850" s="8">
        <v>12.6</v>
      </c>
      <c r="V3850" s="8">
        <v>0.8</v>
      </c>
      <c r="W3850" s="8">
        <v>0.5</v>
      </c>
      <c r="X3850" s="8">
        <v>36</v>
      </c>
      <c r="Y3850" s="8" t="s">
        <v>21</v>
      </c>
      <c r="Z3850" s="8" t="s">
        <v>17589</v>
      </c>
    </row>
    <row r="3851" spans="1:26" x14ac:dyDescent="0.2">
      <c r="A3851" s="8">
        <v>3850</v>
      </c>
      <c r="B3851" s="8" t="s">
        <v>17590</v>
      </c>
      <c r="C3851" s="8" t="s">
        <v>17590</v>
      </c>
      <c r="F3851" s="47" t="s">
        <v>57039</v>
      </c>
      <c r="G3851" s="8">
        <v>12</v>
      </c>
      <c r="H3851" s="8" t="s">
        <v>21</v>
      </c>
      <c r="I3851" s="8" t="s">
        <v>22</v>
      </c>
      <c r="J3851" s="8" t="s">
        <v>22</v>
      </c>
      <c r="K3851" s="8" t="s">
        <v>64</v>
      </c>
      <c r="L3851" s="8" t="s">
        <v>12015</v>
      </c>
      <c r="M3851" s="8" t="s">
        <v>12016</v>
      </c>
      <c r="N3851" s="8" t="s">
        <v>17591</v>
      </c>
      <c r="O3851" s="8">
        <f>11+45/60+35.5/3600</f>
        <v>11.75986111111111</v>
      </c>
      <c r="P3851" s="8" t="s">
        <v>17592</v>
      </c>
      <c r="Q3851" s="8">
        <f>+(55+53/60+12/3600)</f>
        <v>55.886666666666663</v>
      </c>
      <c r="R3851" s="8">
        <v>13.3</v>
      </c>
      <c r="S3851" s="8">
        <v>14</v>
      </c>
      <c r="T3851" s="8">
        <v>0.7</v>
      </c>
      <c r="U3851" s="8">
        <v>14.1</v>
      </c>
      <c r="V3851" s="8">
        <v>2.1</v>
      </c>
      <c r="W3851" s="8">
        <v>1</v>
      </c>
      <c r="X3851" s="8">
        <v>118</v>
      </c>
      <c r="Y3851" s="8" t="s">
        <v>9777</v>
      </c>
      <c r="Z3851" s="8" t="s">
        <v>9778</v>
      </c>
    </row>
    <row r="3852" spans="1:26" x14ac:dyDescent="0.2">
      <c r="A3852" s="8">
        <v>3851</v>
      </c>
      <c r="B3852" s="8" t="s">
        <v>17593</v>
      </c>
      <c r="C3852" s="8" t="s">
        <v>17593</v>
      </c>
      <c r="F3852" s="47"/>
      <c r="G3852" s="8">
        <v>16</v>
      </c>
      <c r="H3852" s="8" t="s">
        <v>21</v>
      </c>
      <c r="I3852" s="8" t="s">
        <v>22</v>
      </c>
      <c r="J3852" s="8" t="s">
        <v>22</v>
      </c>
      <c r="K3852" s="8" t="s">
        <v>382</v>
      </c>
      <c r="L3852" s="8" t="s">
        <v>13194</v>
      </c>
      <c r="M3852" s="8" t="s">
        <v>13195</v>
      </c>
      <c r="N3852" s="8" t="s">
        <v>17594</v>
      </c>
      <c r="O3852" s="8">
        <f>11+44/60+20.4/3600</f>
        <v>11.738999999999999</v>
      </c>
      <c r="P3852" s="8" t="s">
        <v>17595</v>
      </c>
      <c r="Q3852" s="8">
        <f>+(19+58/60+52/3600)</f>
        <v>19.981111111111108</v>
      </c>
      <c r="R3852" s="8">
        <v>14.7</v>
      </c>
      <c r="S3852" s="8">
        <v>15.7</v>
      </c>
      <c r="T3852" s="8">
        <v>1</v>
      </c>
      <c r="U3852" s="8">
        <v>13.2</v>
      </c>
      <c r="V3852" s="8">
        <v>0.6</v>
      </c>
      <c r="W3852" s="8">
        <v>0.4</v>
      </c>
      <c r="X3852" s="8">
        <v>71</v>
      </c>
      <c r="Y3852" s="8" t="s">
        <v>17596</v>
      </c>
      <c r="Z3852" s="8" t="s">
        <v>17597</v>
      </c>
    </row>
    <row r="3853" spans="1:26" x14ac:dyDescent="0.2">
      <c r="A3853" s="8">
        <v>3852</v>
      </c>
      <c r="B3853" s="8" t="s">
        <v>17598</v>
      </c>
      <c r="C3853" s="8" t="s">
        <v>17598</v>
      </c>
      <c r="F3853" s="47" t="s">
        <v>57040</v>
      </c>
      <c r="G3853" s="8">
        <v>15</v>
      </c>
      <c r="H3853" s="8" t="s">
        <v>21</v>
      </c>
      <c r="I3853" s="8" t="s">
        <v>22</v>
      </c>
      <c r="J3853" s="8" t="s">
        <v>22</v>
      </c>
      <c r="K3853" s="8" t="s">
        <v>154</v>
      </c>
      <c r="L3853" s="8" t="s">
        <v>17287</v>
      </c>
      <c r="M3853" s="8" t="s">
        <v>17288</v>
      </c>
      <c r="N3853" s="8" t="s">
        <v>17493</v>
      </c>
      <c r="O3853" s="8">
        <f>11+42/60+23.8/3600</f>
        <v>11.70661111111111</v>
      </c>
      <c r="P3853" s="8" t="s">
        <v>17494</v>
      </c>
      <c r="Q3853" s="8">
        <f>+(10+15/60+53/3600)</f>
        <v>10.264722222222222</v>
      </c>
      <c r="R3853" s="8">
        <v>13</v>
      </c>
      <c r="S3853" s="8">
        <v>14</v>
      </c>
      <c r="T3853" s="8">
        <v>1</v>
      </c>
      <c r="U3853" s="8">
        <v>13.2</v>
      </c>
      <c r="V3853" s="8">
        <v>1.3</v>
      </c>
      <c r="W3853" s="8">
        <v>1</v>
      </c>
      <c r="X3853" s="8">
        <v>160</v>
      </c>
      <c r="Y3853" s="8" t="s">
        <v>266</v>
      </c>
      <c r="Z3853" s="8" t="s">
        <v>267</v>
      </c>
    </row>
    <row r="3854" spans="1:26" x14ac:dyDescent="0.2">
      <c r="A3854" s="8">
        <v>3853</v>
      </c>
      <c r="B3854" s="8" t="s">
        <v>17599</v>
      </c>
      <c r="C3854" s="8" t="s">
        <v>17599</v>
      </c>
      <c r="F3854" s="47"/>
      <c r="G3854" s="8">
        <v>18</v>
      </c>
      <c r="H3854" s="8" t="s">
        <v>21</v>
      </c>
      <c r="I3854" s="8" t="s">
        <v>22</v>
      </c>
      <c r="J3854" s="8" t="s">
        <v>22</v>
      </c>
      <c r="K3854" s="8" t="s">
        <v>50</v>
      </c>
      <c r="L3854" s="8" t="s">
        <v>13194</v>
      </c>
      <c r="M3854" s="8" t="s">
        <v>13195</v>
      </c>
      <c r="N3854" s="8" t="s">
        <v>17600</v>
      </c>
      <c r="O3854" s="8">
        <f>11+44/60+28.3/3600</f>
        <v>11.741194444444444</v>
      </c>
      <c r="P3854" s="8" t="s">
        <v>17601</v>
      </c>
      <c r="Q3854" s="8">
        <f>+(16+33/60+30/3600)</f>
        <v>16.558333333333334</v>
      </c>
      <c r="R3854" s="8">
        <v>12.4</v>
      </c>
      <c r="S3854" s="8">
        <v>13.4</v>
      </c>
      <c r="T3854" s="8">
        <v>1</v>
      </c>
      <c r="U3854" s="8">
        <v>13</v>
      </c>
      <c r="V3854" s="8">
        <v>1.6</v>
      </c>
      <c r="W3854" s="8">
        <v>1</v>
      </c>
      <c r="X3854" s="8">
        <v>140</v>
      </c>
      <c r="Y3854" s="8" t="s">
        <v>17602</v>
      </c>
      <c r="Z3854" s="8" t="s">
        <v>17603</v>
      </c>
    </row>
    <row r="3855" spans="1:26" x14ac:dyDescent="0.2">
      <c r="A3855" s="8">
        <v>3854</v>
      </c>
      <c r="B3855" s="8" t="s">
        <v>17604</v>
      </c>
      <c r="C3855" s="8" t="s">
        <v>17604</v>
      </c>
      <c r="F3855" s="47"/>
      <c r="G3855" s="8">
        <v>19</v>
      </c>
      <c r="H3855" s="8" t="s">
        <v>21</v>
      </c>
      <c r="I3855" s="8" t="s">
        <v>22</v>
      </c>
      <c r="J3855" s="8" t="s">
        <v>57</v>
      </c>
      <c r="K3855" s="8" t="s">
        <v>218</v>
      </c>
      <c r="L3855" s="8" t="s">
        <v>15699</v>
      </c>
      <c r="M3855" s="8" t="s">
        <v>15700</v>
      </c>
      <c r="N3855" s="8" t="s">
        <v>17605</v>
      </c>
      <c r="O3855" s="8">
        <f>11+44/60+51.9/3600</f>
        <v>11.74775</v>
      </c>
      <c r="P3855" s="8" t="s">
        <v>17606</v>
      </c>
      <c r="Q3855" s="8">
        <f>-(9+13/60+59/3600)</f>
        <v>-9.2330555555555556</v>
      </c>
      <c r="R3855" s="8">
        <v>12</v>
      </c>
      <c r="S3855" s="8">
        <v>12.8</v>
      </c>
      <c r="T3855" s="8">
        <v>0.8</v>
      </c>
      <c r="U3855" s="8">
        <v>13.1</v>
      </c>
      <c r="V3855" s="8">
        <v>1.9</v>
      </c>
      <c r="W3855" s="8">
        <v>1.5</v>
      </c>
      <c r="X3855" s="8">
        <v>49</v>
      </c>
      <c r="Y3855" s="8" t="s">
        <v>21</v>
      </c>
      <c r="Z3855" s="8" t="s">
        <v>17607</v>
      </c>
    </row>
    <row r="3856" spans="1:26" x14ac:dyDescent="0.2">
      <c r="A3856" s="8">
        <v>3855</v>
      </c>
      <c r="B3856" s="8" t="s">
        <v>17608</v>
      </c>
      <c r="C3856" s="8" t="s">
        <v>17608</v>
      </c>
      <c r="F3856" s="47"/>
      <c r="G3856" s="8">
        <v>18</v>
      </c>
      <c r="H3856" s="8" t="s">
        <v>21</v>
      </c>
      <c r="I3856" s="8" t="s">
        <v>22</v>
      </c>
      <c r="J3856" s="8" t="s">
        <v>22</v>
      </c>
      <c r="K3856" s="8" t="s">
        <v>218</v>
      </c>
      <c r="L3856" s="8" t="s">
        <v>12015</v>
      </c>
      <c r="M3856" s="8" t="s">
        <v>12016</v>
      </c>
      <c r="N3856" s="8" t="s">
        <v>17609</v>
      </c>
      <c r="O3856" s="8">
        <f>11+44/60+25.8/3600</f>
        <v>11.740499999999999</v>
      </c>
      <c r="P3856" s="8" t="s">
        <v>17610</v>
      </c>
      <c r="Q3856" s="8">
        <f>+(33+21/60+21/3600)</f>
        <v>33.355833333333337</v>
      </c>
      <c r="R3856" s="8">
        <v>14</v>
      </c>
      <c r="S3856" s="8">
        <v>14.8</v>
      </c>
      <c r="T3856" s="8">
        <v>0.8</v>
      </c>
      <c r="U3856" s="8">
        <v>13.9</v>
      </c>
      <c r="V3856" s="8">
        <v>1.2</v>
      </c>
      <c r="W3856" s="8">
        <v>0.9</v>
      </c>
      <c r="X3856" s="8">
        <v>72</v>
      </c>
      <c r="Y3856" s="8" t="s">
        <v>21</v>
      </c>
      <c r="Z3856" s="8" t="s">
        <v>17611</v>
      </c>
    </row>
    <row r="3857" spans="1:26" x14ac:dyDescent="0.2">
      <c r="A3857" s="8">
        <v>3856</v>
      </c>
      <c r="B3857" s="8" t="s">
        <v>17612</v>
      </c>
      <c r="C3857" s="8" t="s">
        <v>17612</v>
      </c>
      <c r="F3857" s="47"/>
      <c r="G3857" s="8">
        <v>18</v>
      </c>
      <c r="H3857" s="8" t="s">
        <v>21</v>
      </c>
      <c r="I3857" s="8" t="s">
        <v>22</v>
      </c>
      <c r="J3857" s="8" t="s">
        <v>57</v>
      </c>
      <c r="K3857" s="8" t="s">
        <v>460</v>
      </c>
      <c r="L3857" s="8" t="s">
        <v>12015</v>
      </c>
      <c r="M3857" s="8" t="s">
        <v>12016</v>
      </c>
      <c r="N3857" s="8" t="s">
        <v>17583</v>
      </c>
      <c r="O3857" s="8">
        <f>11+44/60+14/3600</f>
        <v>11.737222222222222</v>
      </c>
      <c r="P3857" s="8" t="s">
        <v>17584</v>
      </c>
      <c r="Q3857" s="8">
        <f>+(33+30/60+52/3600)</f>
        <v>33.514444444444443</v>
      </c>
      <c r="R3857" s="8">
        <v>13.3</v>
      </c>
      <c r="S3857" s="8">
        <v>14.3</v>
      </c>
      <c r="T3857" s="8">
        <v>1</v>
      </c>
      <c r="U3857" s="8">
        <v>13.6</v>
      </c>
      <c r="V3857" s="8">
        <v>1.1000000000000001</v>
      </c>
      <c r="W3857" s="8">
        <v>1.1000000000000001</v>
      </c>
      <c r="Y3857" s="8" t="s">
        <v>21</v>
      </c>
      <c r="Z3857" s="8" t="s">
        <v>17613</v>
      </c>
    </row>
    <row r="3858" spans="1:26" x14ac:dyDescent="0.2">
      <c r="A3858" s="8">
        <v>3857</v>
      </c>
      <c r="B3858" s="8" t="s">
        <v>17614</v>
      </c>
      <c r="C3858" s="8" t="s">
        <v>17614</v>
      </c>
      <c r="F3858" s="47"/>
      <c r="G3858" s="8">
        <v>19</v>
      </c>
      <c r="H3858" s="8" t="s">
        <v>21</v>
      </c>
      <c r="I3858" s="8" t="s">
        <v>22</v>
      </c>
      <c r="J3858" s="8" t="s">
        <v>22</v>
      </c>
      <c r="K3858" s="8" t="s">
        <v>37</v>
      </c>
      <c r="L3858" s="8" t="s">
        <v>13194</v>
      </c>
      <c r="M3858" s="8" t="s">
        <v>13195</v>
      </c>
      <c r="N3858" s="8" t="s">
        <v>17615</v>
      </c>
      <c r="O3858" s="8">
        <f>11+44/60+50.1/3600</f>
        <v>11.747249999999999</v>
      </c>
      <c r="P3858" s="8" t="s">
        <v>17616</v>
      </c>
      <c r="Q3858" s="8">
        <f>+(19+31/60+59/3600)</f>
        <v>19.533055555555556</v>
      </c>
      <c r="R3858" s="8">
        <v>14.1</v>
      </c>
      <c r="S3858" s="8">
        <v>15.1</v>
      </c>
      <c r="T3858" s="8">
        <v>1</v>
      </c>
      <c r="U3858" s="8">
        <v>13.4</v>
      </c>
      <c r="V3858" s="8">
        <v>1</v>
      </c>
      <c r="W3858" s="8">
        <v>0.6</v>
      </c>
      <c r="X3858" s="8">
        <v>42</v>
      </c>
      <c r="Y3858" s="8" t="s">
        <v>5916</v>
      </c>
      <c r="Z3858" s="8" t="s">
        <v>5917</v>
      </c>
    </row>
    <row r="3859" spans="1:26" x14ac:dyDescent="0.2">
      <c r="A3859" s="8">
        <v>3858</v>
      </c>
      <c r="B3859" s="8" t="s">
        <v>17617</v>
      </c>
      <c r="C3859" s="8" t="s">
        <v>17617</v>
      </c>
      <c r="F3859" s="47"/>
      <c r="G3859" s="8">
        <v>19</v>
      </c>
      <c r="H3859" s="8" t="s">
        <v>21</v>
      </c>
      <c r="I3859" s="8" t="s">
        <v>22</v>
      </c>
      <c r="J3859" s="8" t="s">
        <v>57</v>
      </c>
      <c r="K3859" s="8" t="s">
        <v>91</v>
      </c>
      <c r="L3859" s="8" t="s">
        <v>15699</v>
      </c>
      <c r="M3859" s="8" t="s">
        <v>15700</v>
      </c>
      <c r="N3859" s="8" t="s">
        <v>17618</v>
      </c>
      <c r="O3859" s="8">
        <f>11+45/60+11.6/3600</f>
        <v>11.753222222222222</v>
      </c>
      <c r="P3859" s="8" t="s">
        <v>17619</v>
      </c>
      <c r="Q3859" s="8">
        <f>-(9+18/60+52/3600)</f>
        <v>-9.3144444444444456</v>
      </c>
      <c r="R3859" s="8">
        <v>13.2</v>
      </c>
      <c r="S3859" s="8">
        <v>14.1</v>
      </c>
      <c r="T3859" s="8">
        <v>0.9</v>
      </c>
      <c r="U3859" s="8">
        <v>13.2</v>
      </c>
      <c r="V3859" s="8">
        <v>1.4</v>
      </c>
      <c r="W3859" s="8">
        <v>0.8</v>
      </c>
      <c r="X3859" s="8">
        <v>56</v>
      </c>
      <c r="Y3859" s="8" t="s">
        <v>21</v>
      </c>
      <c r="Z3859" s="8" t="s">
        <v>17620</v>
      </c>
    </row>
    <row r="3860" spans="1:26" x14ac:dyDescent="0.2">
      <c r="A3860" s="8">
        <v>3859</v>
      </c>
      <c r="B3860" s="8" t="s">
        <v>17621</v>
      </c>
      <c r="C3860" s="8" t="s">
        <v>17621</v>
      </c>
      <c r="F3860" s="47"/>
      <c r="G3860" s="8">
        <v>19</v>
      </c>
      <c r="H3860" s="8" t="s">
        <v>21</v>
      </c>
      <c r="I3860" s="8" t="s">
        <v>22</v>
      </c>
      <c r="J3860" s="8" t="s">
        <v>22</v>
      </c>
      <c r="K3860" s="8" t="s">
        <v>476</v>
      </c>
      <c r="L3860" s="8" t="s">
        <v>13194</v>
      </c>
      <c r="M3860" s="8" t="s">
        <v>13195</v>
      </c>
      <c r="N3860" s="8" t="s">
        <v>17622</v>
      </c>
      <c r="O3860" s="8">
        <f>11+44/60+52.4/3600</f>
        <v>11.747888888888887</v>
      </c>
      <c r="P3860" s="8" t="s">
        <v>17623</v>
      </c>
      <c r="Q3860" s="8">
        <f>+(19+27/60+17/3600)</f>
        <v>19.454722222222223</v>
      </c>
      <c r="R3860" s="8">
        <v>14.1</v>
      </c>
      <c r="S3860" s="8">
        <v>14.8</v>
      </c>
      <c r="T3860" s="8">
        <v>0.7</v>
      </c>
      <c r="U3860" s="8">
        <v>13</v>
      </c>
      <c r="V3860" s="8">
        <v>1.2</v>
      </c>
      <c r="W3860" s="8">
        <v>0.3</v>
      </c>
      <c r="X3860" s="8">
        <v>58</v>
      </c>
      <c r="Y3860" s="8" t="s">
        <v>17624</v>
      </c>
      <c r="Z3860" s="8" t="s">
        <v>17625</v>
      </c>
    </row>
    <row r="3861" spans="1:26" x14ac:dyDescent="0.2">
      <c r="A3861" s="8">
        <v>3860</v>
      </c>
      <c r="B3861" s="8" t="s">
        <v>17626</v>
      </c>
      <c r="C3861" s="8" t="s">
        <v>17626</v>
      </c>
      <c r="D3861" s="8" t="s">
        <v>351</v>
      </c>
      <c r="F3861" s="47" t="s">
        <v>57041</v>
      </c>
      <c r="G3861" s="8">
        <v>15</v>
      </c>
      <c r="H3861" s="8" t="s">
        <v>21</v>
      </c>
      <c r="I3861" s="8" t="s">
        <v>22</v>
      </c>
      <c r="J3861" s="8" t="s">
        <v>22</v>
      </c>
      <c r="K3861" s="8" t="s">
        <v>31</v>
      </c>
      <c r="L3861" s="8" t="s">
        <v>13194</v>
      </c>
      <c r="M3861" s="8" t="s">
        <v>13195</v>
      </c>
      <c r="N3861" s="8" t="s">
        <v>17627</v>
      </c>
      <c r="O3861" s="8">
        <f>11+44/60+49.2/3600</f>
        <v>11.747</v>
      </c>
      <c r="P3861" s="8" t="s">
        <v>17628</v>
      </c>
      <c r="Q3861" s="8">
        <f>+(19+47/60+42/3600)</f>
        <v>19.795000000000002</v>
      </c>
      <c r="R3861" s="8">
        <v>13.4</v>
      </c>
      <c r="S3861" s="8">
        <v>14.2</v>
      </c>
      <c r="T3861" s="8">
        <v>0.8</v>
      </c>
      <c r="U3861" s="8">
        <v>12.7</v>
      </c>
      <c r="V3861" s="8">
        <v>1</v>
      </c>
      <c r="W3861" s="8">
        <v>0.6</v>
      </c>
      <c r="X3861" s="8">
        <v>38</v>
      </c>
      <c r="Y3861" s="8" t="s">
        <v>17629</v>
      </c>
      <c r="Z3861" s="8" t="s">
        <v>17630</v>
      </c>
    </row>
    <row r="3862" spans="1:26" x14ac:dyDescent="0.2">
      <c r="A3862" s="8">
        <v>3861</v>
      </c>
      <c r="B3862" s="8" t="s">
        <v>17631</v>
      </c>
      <c r="C3862" s="8" t="s">
        <v>17631</v>
      </c>
      <c r="D3862" s="8" t="s">
        <v>351</v>
      </c>
      <c r="F3862" s="47"/>
      <c r="G3862" s="8">
        <v>16</v>
      </c>
      <c r="H3862" s="8" t="s">
        <v>21</v>
      </c>
      <c r="I3862" s="8" t="s">
        <v>22</v>
      </c>
      <c r="J3862" s="8" t="s">
        <v>22</v>
      </c>
      <c r="K3862" s="8" t="s">
        <v>23</v>
      </c>
      <c r="L3862" s="8" t="s">
        <v>13194</v>
      </c>
      <c r="M3862" s="8" t="s">
        <v>13195</v>
      </c>
      <c r="N3862" s="8" t="s">
        <v>17632</v>
      </c>
      <c r="O3862" s="8">
        <f>11+45/60+3.8/3600</f>
        <v>11.751055555555556</v>
      </c>
      <c r="P3862" s="8" t="s">
        <v>17633</v>
      </c>
      <c r="Q3862" s="8">
        <f>+(19+58/60+25/3600)</f>
        <v>19.973611111111108</v>
      </c>
      <c r="R3862" s="8">
        <v>12.7</v>
      </c>
      <c r="S3862" s="8">
        <v>13.5</v>
      </c>
      <c r="T3862" s="8">
        <v>0.8</v>
      </c>
      <c r="U3862" s="8">
        <v>13.7</v>
      </c>
      <c r="V3862" s="8">
        <v>2.2999999999999998</v>
      </c>
      <c r="W3862" s="8">
        <v>1.3</v>
      </c>
      <c r="X3862" s="8">
        <v>77</v>
      </c>
      <c r="Y3862" s="8" t="s">
        <v>2641</v>
      </c>
      <c r="Z3862" s="8" t="s">
        <v>2642</v>
      </c>
    </row>
    <row r="3863" spans="1:26" x14ac:dyDescent="0.2">
      <c r="A3863" s="8">
        <v>3862</v>
      </c>
      <c r="B3863" s="8" t="s">
        <v>17634</v>
      </c>
      <c r="C3863" s="8" t="s">
        <v>17634</v>
      </c>
      <c r="F3863" s="47" t="s">
        <v>57042</v>
      </c>
      <c r="G3863" s="8">
        <v>15</v>
      </c>
      <c r="H3863" s="8" t="s">
        <v>21</v>
      </c>
      <c r="I3863" s="8" t="s">
        <v>22</v>
      </c>
      <c r="J3863" s="8" t="s">
        <v>22</v>
      </c>
      <c r="K3863" s="8" t="s">
        <v>460</v>
      </c>
      <c r="L3863" s="8" t="s">
        <v>13194</v>
      </c>
      <c r="M3863" s="8" t="s">
        <v>13195</v>
      </c>
      <c r="N3863" s="8" t="s">
        <v>17635</v>
      </c>
      <c r="O3863" s="8">
        <f>11+45/60+5/3600</f>
        <v>11.751388888888888</v>
      </c>
      <c r="P3863" s="8" t="s">
        <v>17636</v>
      </c>
      <c r="Q3863" s="8">
        <f>+(19+36/60+23/3600)</f>
        <v>19.60638888888889</v>
      </c>
      <c r="R3863" s="8">
        <v>12.7</v>
      </c>
      <c r="S3863" s="8">
        <v>13.7</v>
      </c>
      <c r="T3863" s="8">
        <v>1</v>
      </c>
      <c r="U3863" s="8">
        <v>13.5</v>
      </c>
      <c r="V3863" s="8">
        <v>1.5</v>
      </c>
      <c r="W3863" s="8">
        <v>1.5</v>
      </c>
      <c r="Y3863" s="8" t="s">
        <v>21</v>
      </c>
      <c r="Z3863" s="8" t="s">
        <v>17637</v>
      </c>
    </row>
    <row r="3864" spans="1:26" x14ac:dyDescent="0.2">
      <c r="A3864" s="8">
        <v>3863</v>
      </c>
      <c r="B3864" s="8" t="s">
        <v>17638</v>
      </c>
      <c r="C3864" s="8" t="s">
        <v>17638</v>
      </c>
      <c r="F3864" s="47"/>
      <c r="G3864" s="8">
        <v>18</v>
      </c>
      <c r="H3864" s="8" t="s">
        <v>21</v>
      </c>
      <c r="I3864" s="8" t="s">
        <v>22</v>
      </c>
      <c r="J3864" s="8" t="s">
        <v>22</v>
      </c>
      <c r="K3864" s="8" t="s">
        <v>396</v>
      </c>
      <c r="L3864" s="8" t="s">
        <v>17287</v>
      </c>
      <c r="M3864" s="8" t="s">
        <v>17288</v>
      </c>
      <c r="N3864" s="8" t="s">
        <v>17639</v>
      </c>
      <c r="O3864" s="8">
        <f>11+45/60+5.5/3600</f>
        <v>11.751527777777778</v>
      </c>
      <c r="P3864" s="8" t="s">
        <v>17640</v>
      </c>
      <c r="Q3864" s="8">
        <f>+(8+28/60+12/3600)</f>
        <v>8.4700000000000006</v>
      </c>
      <c r="R3864" s="8">
        <v>12.9</v>
      </c>
      <c r="S3864" s="8">
        <v>13.7</v>
      </c>
      <c r="T3864" s="8">
        <v>0.8</v>
      </c>
      <c r="U3864" s="8">
        <v>13.3</v>
      </c>
      <c r="V3864" s="8">
        <v>2.8</v>
      </c>
      <c r="W3864" s="8">
        <v>0.6</v>
      </c>
      <c r="X3864" s="8">
        <v>75</v>
      </c>
      <c r="Y3864" s="8" t="s">
        <v>17641</v>
      </c>
      <c r="Z3864" s="8" t="s">
        <v>17642</v>
      </c>
    </row>
    <row r="3865" spans="1:26" x14ac:dyDescent="0.2">
      <c r="A3865" s="8">
        <v>3864</v>
      </c>
      <c r="B3865" s="8" t="s">
        <v>17643</v>
      </c>
      <c r="C3865" s="8" t="s">
        <v>17643</v>
      </c>
      <c r="F3865" s="47"/>
      <c r="G3865" s="8">
        <v>19</v>
      </c>
      <c r="H3865" s="8" t="s">
        <v>21</v>
      </c>
      <c r="I3865" s="8" t="s">
        <v>22</v>
      </c>
      <c r="J3865" s="8" t="s">
        <v>22</v>
      </c>
      <c r="K3865" s="8" t="s">
        <v>17644</v>
      </c>
      <c r="L3865" s="8" t="s">
        <v>13194</v>
      </c>
      <c r="M3865" s="8" t="s">
        <v>13195</v>
      </c>
      <c r="N3865" s="8" t="s">
        <v>17645</v>
      </c>
      <c r="O3865" s="8">
        <f>11+45/60+15.6/3600</f>
        <v>11.754333333333333</v>
      </c>
      <c r="P3865" s="8" t="s">
        <v>17646</v>
      </c>
      <c r="Q3865" s="8">
        <f>+(19+23/60+32/3600)</f>
        <v>19.392222222222223</v>
      </c>
      <c r="R3865" s="8">
        <v>14.2</v>
      </c>
      <c r="S3865" s="8">
        <v>14.8</v>
      </c>
      <c r="T3865" s="8">
        <v>0.6</v>
      </c>
      <c r="U3865" s="8">
        <v>12.9</v>
      </c>
      <c r="V3865" s="8">
        <v>0.9</v>
      </c>
      <c r="W3865" s="8">
        <v>0.7</v>
      </c>
      <c r="X3865" s="8">
        <v>66</v>
      </c>
      <c r="Y3865" s="8" t="s">
        <v>385</v>
      </c>
      <c r="Z3865" s="8" t="s">
        <v>386</v>
      </c>
    </row>
    <row r="3866" spans="1:26" x14ac:dyDescent="0.2">
      <c r="A3866" s="8">
        <v>3865</v>
      </c>
      <c r="B3866" s="8" t="s">
        <v>17647</v>
      </c>
      <c r="C3866" s="8" t="s">
        <v>17647</v>
      </c>
      <c r="F3866" s="47"/>
      <c r="G3866" s="8">
        <v>13</v>
      </c>
      <c r="H3866" s="8" t="s">
        <v>21</v>
      </c>
      <c r="I3866" s="8" t="s">
        <v>22</v>
      </c>
      <c r="J3866" s="8" t="s">
        <v>22</v>
      </c>
      <c r="K3866" s="8" t="s">
        <v>218</v>
      </c>
      <c r="L3866" s="8" t="s">
        <v>15699</v>
      </c>
      <c r="M3866" s="8" t="s">
        <v>15700</v>
      </c>
      <c r="N3866" s="8" t="s">
        <v>17605</v>
      </c>
      <c r="O3866" s="8">
        <f>11+44/60+51.9/3600</f>
        <v>11.74775</v>
      </c>
      <c r="P3866" s="8" t="s">
        <v>17606</v>
      </c>
      <c r="Q3866" s="8">
        <f>-(9+13/60+59/3600)</f>
        <v>-9.2330555555555556</v>
      </c>
      <c r="R3866" s="8">
        <v>12</v>
      </c>
      <c r="S3866" s="8">
        <v>12.8</v>
      </c>
      <c r="T3866" s="8">
        <v>0.8</v>
      </c>
      <c r="U3866" s="8">
        <v>13.1</v>
      </c>
      <c r="V3866" s="8">
        <v>1.9</v>
      </c>
      <c r="W3866" s="8">
        <v>1.5</v>
      </c>
      <c r="X3866" s="8">
        <v>49</v>
      </c>
      <c r="Y3866" s="8" t="s">
        <v>17648</v>
      </c>
      <c r="Z3866" s="8" t="s">
        <v>17649</v>
      </c>
    </row>
    <row r="3867" spans="1:26" x14ac:dyDescent="0.2">
      <c r="A3867" s="8">
        <v>3866</v>
      </c>
      <c r="B3867" s="8" t="s">
        <v>17650</v>
      </c>
      <c r="C3867" s="8" t="s">
        <v>17650</v>
      </c>
      <c r="F3867" s="47"/>
      <c r="G3867" s="8">
        <v>19</v>
      </c>
      <c r="H3867" s="8" t="s">
        <v>21</v>
      </c>
      <c r="I3867" s="8" t="s">
        <v>22</v>
      </c>
      <c r="J3867" s="8" t="s">
        <v>22</v>
      </c>
      <c r="K3867" s="8" t="s">
        <v>91</v>
      </c>
      <c r="L3867" s="8" t="s">
        <v>15699</v>
      </c>
      <c r="M3867" s="8" t="s">
        <v>15700</v>
      </c>
      <c r="N3867" s="8" t="s">
        <v>17618</v>
      </c>
      <c r="O3867" s="8">
        <f>11+45/60+11.6/3600</f>
        <v>11.753222222222222</v>
      </c>
      <c r="P3867" s="8" t="s">
        <v>17619</v>
      </c>
      <c r="Q3867" s="8">
        <f>-(9+18/60+52/3600)</f>
        <v>-9.3144444444444456</v>
      </c>
      <c r="R3867" s="8">
        <v>13.2</v>
      </c>
      <c r="S3867" s="8">
        <v>14.1</v>
      </c>
      <c r="T3867" s="8">
        <v>0.9</v>
      </c>
      <c r="U3867" s="8">
        <v>13.2</v>
      </c>
      <c r="V3867" s="8">
        <v>1.4</v>
      </c>
      <c r="W3867" s="8">
        <v>0.8</v>
      </c>
      <c r="X3867" s="8">
        <v>56</v>
      </c>
      <c r="Y3867" s="8" t="s">
        <v>21</v>
      </c>
      <c r="Z3867" s="8" t="s">
        <v>17651</v>
      </c>
    </row>
    <row r="3868" spans="1:26" x14ac:dyDescent="0.2">
      <c r="A3868" s="8">
        <v>3867</v>
      </c>
      <c r="B3868" s="8" t="s">
        <v>17652</v>
      </c>
      <c r="C3868" s="8" t="s">
        <v>17652</v>
      </c>
      <c r="F3868" s="47"/>
      <c r="G3868" s="8">
        <v>19</v>
      </c>
      <c r="H3868" s="8" t="s">
        <v>21</v>
      </c>
      <c r="I3868" s="8" t="s">
        <v>22</v>
      </c>
      <c r="J3868" s="8" t="s">
        <v>22</v>
      </c>
      <c r="K3868" s="8" t="s">
        <v>476</v>
      </c>
      <c r="L3868" s="8" t="s">
        <v>13194</v>
      </c>
      <c r="M3868" s="8" t="s">
        <v>13195</v>
      </c>
      <c r="N3868" s="8" t="s">
        <v>17653</v>
      </c>
      <c r="O3868" s="8">
        <f>11+45/60+29.6/3600</f>
        <v>11.758222222222223</v>
      </c>
      <c r="P3868" s="8" t="s">
        <v>17654</v>
      </c>
      <c r="Q3868" s="8">
        <f>+(19+24/60+1/3600)</f>
        <v>19.400277777777777</v>
      </c>
      <c r="R3868" s="8">
        <v>13.2</v>
      </c>
      <c r="S3868" s="8">
        <v>14.2</v>
      </c>
      <c r="T3868" s="8">
        <v>1</v>
      </c>
      <c r="U3868" s="8">
        <v>12.9</v>
      </c>
      <c r="V3868" s="8">
        <v>1.5</v>
      </c>
      <c r="W3868" s="8">
        <v>0.6</v>
      </c>
      <c r="X3868" s="8">
        <v>173</v>
      </c>
      <c r="Y3868" s="8" t="s">
        <v>17655</v>
      </c>
      <c r="Z3868" s="8" t="s">
        <v>17656</v>
      </c>
    </row>
    <row r="3869" spans="1:26" x14ac:dyDescent="0.2">
      <c r="A3869" s="8">
        <v>3868</v>
      </c>
      <c r="B3869" s="8" t="s">
        <v>17657</v>
      </c>
      <c r="C3869" s="8" t="s">
        <v>17657</v>
      </c>
      <c r="F3869" s="47"/>
      <c r="G3869" s="8">
        <v>19</v>
      </c>
      <c r="H3869" s="8" t="s">
        <v>21</v>
      </c>
      <c r="I3869" s="8" t="s">
        <v>22</v>
      </c>
      <c r="J3869" s="8" t="s">
        <v>22</v>
      </c>
      <c r="K3869" s="8" t="s">
        <v>449</v>
      </c>
      <c r="L3869" s="8" t="s">
        <v>13194</v>
      </c>
      <c r="M3869" s="8" t="s">
        <v>13195</v>
      </c>
      <c r="N3869" s="8" t="s">
        <v>17658</v>
      </c>
      <c r="O3869" s="8">
        <f>11+45/60+30/3600</f>
        <v>11.758333333333333</v>
      </c>
      <c r="P3869" s="8" t="s">
        <v>17659</v>
      </c>
      <c r="Q3869" s="8">
        <f>+(19+26/60+41/3600)</f>
        <v>19.444722222222222</v>
      </c>
      <c r="R3869" s="8">
        <v>14.4</v>
      </c>
      <c r="S3869" s="8">
        <v>15.2</v>
      </c>
      <c r="T3869" s="8">
        <v>0.8</v>
      </c>
      <c r="U3869" s="8">
        <v>12.7</v>
      </c>
      <c r="V3869" s="8">
        <v>0.8</v>
      </c>
      <c r="W3869" s="8">
        <v>0.3</v>
      </c>
      <c r="X3869" s="8">
        <v>85</v>
      </c>
      <c r="Y3869" s="8" t="s">
        <v>17660</v>
      </c>
      <c r="Z3869" s="8" t="s">
        <v>17661</v>
      </c>
    </row>
    <row r="3870" spans="1:26" x14ac:dyDescent="0.2">
      <c r="A3870" s="8">
        <v>3869</v>
      </c>
      <c r="B3870" s="8" t="s">
        <v>17662</v>
      </c>
      <c r="C3870" s="8" t="s">
        <v>17662</v>
      </c>
      <c r="F3870" s="47"/>
      <c r="G3870" s="8">
        <v>16</v>
      </c>
      <c r="H3870" s="8" t="s">
        <v>21</v>
      </c>
      <c r="I3870" s="8" t="s">
        <v>22</v>
      </c>
      <c r="J3870" s="8" t="s">
        <v>22</v>
      </c>
      <c r="K3870" s="8" t="s">
        <v>91</v>
      </c>
      <c r="L3870" s="8" t="s">
        <v>13194</v>
      </c>
      <c r="M3870" s="8" t="s">
        <v>13195</v>
      </c>
      <c r="N3870" s="8" t="s">
        <v>17663</v>
      </c>
      <c r="O3870" s="8">
        <f>11+45/60+45.5/3600</f>
        <v>11.762638888888889</v>
      </c>
      <c r="P3870" s="8" t="s">
        <v>17664</v>
      </c>
      <c r="Q3870" s="8">
        <f>+(10+49/60+29/3600)</f>
        <v>10.824722222222222</v>
      </c>
      <c r="R3870" s="8">
        <v>12.8</v>
      </c>
      <c r="S3870" s="8">
        <v>13.7</v>
      </c>
      <c r="T3870" s="8">
        <v>0.9</v>
      </c>
      <c r="U3870" s="8">
        <v>12.5</v>
      </c>
      <c r="V3870" s="8">
        <v>1.9</v>
      </c>
      <c r="W3870" s="8">
        <v>0.5</v>
      </c>
      <c r="X3870" s="8">
        <v>135</v>
      </c>
      <c r="Y3870" s="8" t="s">
        <v>17665</v>
      </c>
      <c r="Z3870" s="8" t="s">
        <v>17666</v>
      </c>
    </row>
    <row r="3871" spans="1:26" x14ac:dyDescent="0.2">
      <c r="A3871" s="8">
        <v>3870</v>
      </c>
      <c r="B3871" s="8" t="s">
        <v>17667</v>
      </c>
      <c r="C3871" s="8" t="s">
        <v>17667</v>
      </c>
      <c r="F3871" s="47" t="s">
        <v>57043</v>
      </c>
      <c r="G3871" s="8">
        <v>15</v>
      </c>
      <c r="H3871" s="8" t="s">
        <v>21</v>
      </c>
      <c r="I3871" s="8" t="s">
        <v>22</v>
      </c>
      <c r="J3871" s="8" t="s">
        <v>22</v>
      </c>
      <c r="K3871" s="8" t="s">
        <v>37</v>
      </c>
      <c r="L3871" s="8" t="s">
        <v>12015</v>
      </c>
      <c r="M3871" s="8" t="s">
        <v>12016</v>
      </c>
      <c r="N3871" s="8" t="s">
        <v>17668</v>
      </c>
      <c r="O3871" s="8">
        <f>11+45/60+56.6/3600</f>
        <v>11.765722222222223</v>
      </c>
      <c r="P3871" s="8" t="s">
        <v>17669</v>
      </c>
      <c r="Q3871" s="8">
        <f>+(50+12/60+2/3600)</f>
        <v>50.20055555555556</v>
      </c>
      <c r="R3871" s="8">
        <v>13</v>
      </c>
      <c r="S3871" s="8">
        <v>13.5</v>
      </c>
      <c r="T3871" s="8">
        <v>0.5</v>
      </c>
      <c r="U3871" s="8">
        <v>12.8</v>
      </c>
      <c r="V3871" s="8">
        <v>1</v>
      </c>
      <c r="W3871" s="8">
        <v>0.8</v>
      </c>
      <c r="X3871" s="8">
        <v>25</v>
      </c>
      <c r="Y3871" s="8" t="s">
        <v>17274</v>
      </c>
      <c r="Z3871" s="8" t="s">
        <v>17275</v>
      </c>
    </row>
    <row r="3872" spans="1:26" x14ac:dyDescent="0.2">
      <c r="A3872" s="8">
        <v>3871</v>
      </c>
      <c r="B3872" s="8" t="s">
        <v>17670</v>
      </c>
      <c r="C3872" s="8" t="s">
        <v>17670</v>
      </c>
      <c r="F3872" s="47"/>
      <c r="G3872" s="8">
        <v>16</v>
      </c>
      <c r="H3872" s="8" t="s">
        <v>21</v>
      </c>
      <c r="I3872" s="8" t="s">
        <v>22</v>
      </c>
      <c r="J3872" s="8" t="s">
        <v>22</v>
      </c>
      <c r="K3872" s="8" t="s">
        <v>23</v>
      </c>
      <c r="L3872" s="8" t="s">
        <v>12015</v>
      </c>
      <c r="M3872" s="8" t="s">
        <v>12016</v>
      </c>
      <c r="N3872" s="8" t="s">
        <v>17671</v>
      </c>
      <c r="O3872" s="8">
        <f>11+46/60+10.1/3600</f>
        <v>11.769472222222223</v>
      </c>
      <c r="P3872" s="8" t="s">
        <v>17672</v>
      </c>
      <c r="Q3872" s="8">
        <f>+(33+6/60+34/3600)</f>
        <v>33.109444444444449</v>
      </c>
      <c r="R3872" s="8">
        <v>14.8</v>
      </c>
      <c r="S3872" s="8">
        <v>15.6</v>
      </c>
      <c r="T3872" s="8">
        <v>0.8</v>
      </c>
      <c r="U3872" s="8">
        <v>14.2</v>
      </c>
      <c r="V3872" s="8">
        <v>1.4</v>
      </c>
      <c r="W3872" s="8">
        <v>0.5</v>
      </c>
      <c r="X3872" s="8">
        <v>102</v>
      </c>
      <c r="Y3872" s="8" t="s">
        <v>21</v>
      </c>
      <c r="Z3872" s="8" t="s">
        <v>17673</v>
      </c>
    </row>
    <row r="3873" spans="1:26" x14ac:dyDescent="0.2">
      <c r="A3873" s="8">
        <v>3872</v>
      </c>
      <c r="B3873" s="8" t="s">
        <v>17674</v>
      </c>
      <c r="C3873" s="8" t="s">
        <v>17674</v>
      </c>
      <c r="F3873" s="47" t="s">
        <v>57044</v>
      </c>
      <c r="G3873" s="8">
        <v>13</v>
      </c>
      <c r="H3873" s="8" t="s">
        <v>21</v>
      </c>
      <c r="I3873" s="8" t="s">
        <v>22</v>
      </c>
      <c r="J3873" s="8" t="s">
        <v>22</v>
      </c>
      <c r="K3873" s="8" t="s">
        <v>1068</v>
      </c>
      <c r="L3873" s="8" t="s">
        <v>13194</v>
      </c>
      <c r="M3873" s="8" t="s">
        <v>13195</v>
      </c>
      <c r="N3873" s="8" t="s">
        <v>17675</v>
      </c>
      <c r="O3873" s="8">
        <f>11+45/60+48.9/3600</f>
        <v>11.763583333333333</v>
      </c>
      <c r="P3873" s="8" t="s">
        <v>17676</v>
      </c>
      <c r="Q3873" s="8">
        <f>+(13+46/60+0/3600)</f>
        <v>13.766666666666667</v>
      </c>
      <c r="R3873" s="8">
        <v>11.7</v>
      </c>
      <c r="S3873" s="8">
        <v>12.7</v>
      </c>
      <c r="T3873" s="8">
        <v>1</v>
      </c>
      <c r="U3873" s="8">
        <v>12.6</v>
      </c>
      <c r="V3873" s="8">
        <v>1.9</v>
      </c>
      <c r="W3873" s="8">
        <v>1.2</v>
      </c>
      <c r="X3873" s="8">
        <v>25</v>
      </c>
      <c r="Y3873" s="8" t="s">
        <v>21</v>
      </c>
      <c r="Z3873" s="8" t="s">
        <v>17677</v>
      </c>
    </row>
    <row r="3874" spans="1:26" x14ac:dyDescent="0.2">
      <c r="A3874" s="8">
        <v>3873</v>
      </c>
      <c r="B3874" s="8" t="s">
        <v>17678</v>
      </c>
      <c r="C3874" s="8" t="s">
        <v>17678</v>
      </c>
      <c r="F3874" s="47" t="s">
        <v>57045</v>
      </c>
      <c r="G3874" s="8">
        <v>15</v>
      </c>
      <c r="H3874" s="8" t="s">
        <v>21</v>
      </c>
      <c r="I3874" s="8" t="s">
        <v>22</v>
      </c>
      <c r="J3874" s="8" t="s">
        <v>22</v>
      </c>
      <c r="K3874" s="8" t="s">
        <v>183</v>
      </c>
      <c r="L3874" s="8" t="s">
        <v>13194</v>
      </c>
      <c r="M3874" s="8" t="s">
        <v>13195</v>
      </c>
      <c r="N3874" s="8" t="s">
        <v>17679</v>
      </c>
      <c r="O3874" s="8">
        <f>11+45/60+46/3600</f>
        <v>11.762777777777778</v>
      </c>
      <c r="P3874" s="8" t="s">
        <v>17680</v>
      </c>
      <c r="Q3874" s="8">
        <f>+(19+46/60+26/3600)</f>
        <v>19.773888888888887</v>
      </c>
      <c r="R3874" s="8">
        <v>12.9</v>
      </c>
      <c r="S3874" s="8">
        <v>13.9</v>
      </c>
      <c r="T3874" s="8">
        <v>1</v>
      </c>
      <c r="U3874" s="8">
        <v>13.6</v>
      </c>
      <c r="V3874" s="8">
        <v>1.5</v>
      </c>
      <c r="W3874" s="8">
        <v>1.3</v>
      </c>
      <c r="X3874" s="8">
        <v>95</v>
      </c>
      <c r="Y3874" s="8" t="s">
        <v>21</v>
      </c>
      <c r="Z3874" s="8" t="s">
        <v>17681</v>
      </c>
    </row>
    <row r="3875" spans="1:26" x14ac:dyDescent="0.2">
      <c r="A3875" s="8">
        <v>3874</v>
      </c>
      <c r="B3875" s="8" t="s">
        <v>17682</v>
      </c>
      <c r="C3875" s="8" t="s">
        <v>17682</v>
      </c>
      <c r="F3875" s="47" t="s">
        <v>57046</v>
      </c>
      <c r="G3875" s="8">
        <v>15</v>
      </c>
      <c r="H3875" s="8" t="s">
        <v>21</v>
      </c>
      <c r="I3875" s="8" t="s">
        <v>72</v>
      </c>
      <c r="J3875" s="8" t="s">
        <v>72</v>
      </c>
      <c r="K3875" s="8" t="s">
        <v>73</v>
      </c>
      <c r="L3875" s="8" t="s">
        <v>17287</v>
      </c>
      <c r="M3875" s="8" t="s">
        <v>17288</v>
      </c>
      <c r="N3875" s="8" t="s">
        <v>17683</v>
      </c>
      <c r="O3875" s="8">
        <f>11+45/60+37.9/3600</f>
        <v>11.760527777777778</v>
      </c>
      <c r="P3875" s="8" t="s">
        <v>17684</v>
      </c>
      <c r="Q3875" s="8">
        <f>+(8+34/60+27/3600)</f>
        <v>8.5741666666666667</v>
      </c>
      <c r="R3875" s="8">
        <v>99</v>
      </c>
      <c r="S3875" s="8">
        <v>99</v>
      </c>
      <c r="T3875" s="8">
        <v>99</v>
      </c>
      <c r="U3875" s="8">
        <v>99</v>
      </c>
      <c r="Y3875" s="8" t="s">
        <v>17685</v>
      </c>
      <c r="Z3875" s="8" t="s">
        <v>17686</v>
      </c>
    </row>
    <row r="3876" spans="1:26" x14ac:dyDescent="0.2">
      <c r="A3876" s="8">
        <v>3875</v>
      </c>
      <c r="B3876" s="8" t="s">
        <v>17687</v>
      </c>
      <c r="C3876" s="8" t="s">
        <v>17687</v>
      </c>
      <c r="F3876" s="47"/>
      <c r="G3876" s="8">
        <v>18</v>
      </c>
      <c r="H3876" s="8" t="s">
        <v>21</v>
      </c>
      <c r="I3876" s="8" t="s">
        <v>22</v>
      </c>
      <c r="J3876" s="8" t="s">
        <v>22</v>
      </c>
      <c r="K3876" s="8" t="s">
        <v>632</v>
      </c>
      <c r="L3876" s="8" t="s">
        <v>13194</v>
      </c>
      <c r="M3876" s="8" t="s">
        <v>13195</v>
      </c>
      <c r="N3876" s="8" t="s">
        <v>17688</v>
      </c>
      <c r="O3876" s="8">
        <f>11+45/60+49.4/3600</f>
        <v>11.763722222222222</v>
      </c>
      <c r="P3876" s="8" t="s">
        <v>17689</v>
      </c>
      <c r="Q3876" s="8">
        <f>+(19+46/60+3/3600)</f>
        <v>19.767499999999998</v>
      </c>
      <c r="R3876" s="8">
        <v>13.9</v>
      </c>
      <c r="S3876" s="8">
        <v>14.8</v>
      </c>
      <c r="T3876" s="8">
        <v>0.9</v>
      </c>
      <c r="U3876" s="8">
        <v>12.6</v>
      </c>
      <c r="V3876" s="8">
        <v>1</v>
      </c>
      <c r="W3876" s="8">
        <v>0.3</v>
      </c>
      <c r="X3876" s="8">
        <v>87</v>
      </c>
      <c r="Y3876" s="8" t="s">
        <v>17629</v>
      </c>
      <c r="Z3876" s="8" t="s">
        <v>17630</v>
      </c>
    </row>
    <row r="3877" spans="1:26" x14ac:dyDescent="0.2">
      <c r="A3877" s="8">
        <v>3876</v>
      </c>
      <c r="B3877" s="8" t="s">
        <v>17690</v>
      </c>
      <c r="C3877" s="8" t="s">
        <v>17690</v>
      </c>
      <c r="F3877" s="47" t="s">
        <v>57047</v>
      </c>
      <c r="G3877" s="8">
        <v>15</v>
      </c>
      <c r="H3877" s="8" t="s">
        <v>21</v>
      </c>
      <c r="I3877" s="8" t="s">
        <v>22</v>
      </c>
      <c r="J3877" s="8" t="s">
        <v>22</v>
      </c>
      <c r="K3877" s="8" t="s">
        <v>31</v>
      </c>
      <c r="L3877" s="8" t="s">
        <v>17287</v>
      </c>
      <c r="M3877" s="8" t="s">
        <v>17288</v>
      </c>
      <c r="N3877" s="8" t="s">
        <v>17691</v>
      </c>
      <c r="O3877" s="8">
        <f>11+45/60+26.5/3600</f>
        <v>11.757361111111111</v>
      </c>
      <c r="P3877" s="8" t="s">
        <v>17692</v>
      </c>
      <c r="Q3877" s="8">
        <f>+(9+9/60+39/3600)</f>
        <v>9.1608333333333345</v>
      </c>
      <c r="R3877" s="8">
        <v>12.8</v>
      </c>
      <c r="S3877" s="8">
        <v>13.6</v>
      </c>
      <c r="T3877" s="8">
        <v>0.8</v>
      </c>
      <c r="U3877" s="8">
        <v>12.4</v>
      </c>
      <c r="V3877" s="8">
        <v>1.1000000000000001</v>
      </c>
      <c r="W3877" s="8">
        <v>0.7</v>
      </c>
      <c r="X3877" s="8">
        <v>105</v>
      </c>
      <c r="Y3877" s="8" t="s">
        <v>17693</v>
      </c>
      <c r="Z3877" s="8" t="s">
        <v>17694</v>
      </c>
    </row>
    <row r="3878" spans="1:26" x14ac:dyDescent="0.2">
      <c r="A3878" s="8">
        <v>3877</v>
      </c>
      <c r="B3878" s="8" t="s">
        <v>17695</v>
      </c>
      <c r="C3878" s="8" t="s">
        <v>17695</v>
      </c>
      <c r="F3878" s="47" t="s">
        <v>57048</v>
      </c>
      <c r="G3878" s="8">
        <v>6</v>
      </c>
      <c r="H3878" s="8" t="s">
        <v>21</v>
      </c>
      <c r="I3878" s="8" t="s">
        <v>22</v>
      </c>
      <c r="J3878" s="8" t="s">
        <v>22</v>
      </c>
      <c r="K3878" s="8" t="s">
        <v>160</v>
      </c>
      <c r="L3878" s="8" t="s">
        <v>12015</v>
      </c>
      <c r="M3878" s="8" t="s">
        <v>12016</v>
      </c>
      <c r="N3878" s="8" t="s">
        <v>17696</v>
      </c>
      <c r="O3878" s="8">
        <f>11+46/60+7.3/3600</f>
        <v>11.768694444444446</v>
      </c>
      <c r="P3878" s="8" t="s">
        <v>17697</v>
      </c>
      <c r="Q3878" s="8">
        <f>+(47+29/60+40/3600)</f>
        <v>47.494444444444447</v>
      </c>
      <c r="R3878" s="8">
        <v>11</v>
      </c>
      <c r="S3878" s="8">
        <v>11.8</v>
      </c>
      <c r="T3878" s="8">
        <v>0.8</v>
      </c>
      <c r="U3878" s="8">
        <v>13</v>
      </c>
      <c r="V3878" s="8">
        <v>5.3</v>
      </c>
      <c r="W3878" s="8">
        <v>1.2</v>
      </c>
      <c r="X3878" s="8">
        <v>35</v>
      </c>
      <c r="Y3878" s="8" t="s">
        <v>17698</v>
      </c>
      <c r="Z3878" s="8" t="s">
        <v>17699</v>
      </c>
    </row>
    <row r="3879" spans="1:26" x14ac:dyDescent="0.2">
      <c r="A3879" s="8">
        <v>3878</v>
      </c>
      <c r="B3879" s="8" t="s">
        <v>17700</v>
      </c>
      <c r="C3879" s="8" t="s">
        <v>17700</v>
      </c>
      <c r="F3879" s="47"/>
      <c r="G3879" s="8">
        <v>16</v>
      </c>
      <c r="H3879" s="8" t="s">
        <v>21</v>
      </c>
      <c r="I3879" s="8" t="s">
        <v>22</v>
      </c>
      <c r="J3879" s="8" t="s">
        <v>22</v>
      </c>
      <c r="K3879" s="8" t="s">
        <v>460</v>
      </c>
      <c r="L3879" s="8" t="s">
        <v>12015</v>
      </c>
      <c r="M3879" s="8" t="s">
        <v>12016</v>
      </c>
      <c r="N3879" s="8" t="s">
        <v>17701</v>
      </c>
      <c r="O3879" s="8">
        <f>11+46/60+17.7/3600</f>
        <v>11.771583333333334</v>
      </c>
      <c r="P3879" s="8" t="s">
        <v>17702</v>
      </c>
      <c r="Q3879" s="8">
        <f>+(33+12/60+18/3600)</f>
        <v>33.205000000000005</v>
      </c>
      <c r="R3879" s="8">
        <v>12.8</v>
      </c>
      <c r="S3879" s="8">
        <v>13.8</v>
      </c>
      <c r="T3879" s="8">
        <v>1</v>
      </c>
      <c r="U3879" s="8">
        <v>11.4</v>
      </c>
      <c r="V3879" s="8">
        <v>0.5</v>
      </c>
      <c r="W3879" s="8">
        <v>0.5</v>
      </c>
      <c r="Y3879" s="8" t="s">
        <v>17703</v>
      </c>
      <c r="Z3879" s="8" t="s">
        <v>17704</v>
      </c>
    </row>
    <row r="3880" spans="1:26" x14ac:dyDescent="0.2">
      <c r="A3880" s="8">
        <v>3879</v>
      </c>
      <c r="B3880" s="8" t="s">
        <v>17705</v>
      </c>
      <c r="C3880" s="8" t="s">
        <v>17705</v>
      </c>
      <c r="F3880" s="47" t="s">
        <v>57049</v>
      </c>
      <c r="G3880" s="8">
        <v>15</v>
      </c>
      <c r="H3880" s="8" t="s">
        <v>21</v>
      </c>
      <c r="I3880" s="8" t="s">
        <v>22</v>
      </c>
      <c r="J3880" s="8" t="s">
        <v>22</v>
      </c>
      <c r="K3880" s="8" t="s">
        <v>3523</v>
      </c>
      <c r="L3880" s="8" t="s">
        <v>13395</v>
      </c>
      <c r="M3880" s="8" t="s">
        <v>13396</v>
      </c>
      <c r="N3880" s="8" t="s">
        <v>17706</v>
      </c>
      <c r="O3880" s="8">
        <f>11+46/60+49.6/3600</f>
        <v>11.780444444444445</v>
      </c>
      <c r="P3880" s="8" t="s">
        <v>17707</v>
      </c>
      <c r="Q3880" s="8">
        <f>+(69+23/60+0/3600)</f>
        <v>69.38333333333334</v>
      </c>
      <c r="R3880" s="8">
        <v>13</v>
      </c>
      <c r="S3880" s="8">
        <v>13.6</v>
      </c>
      <c r="T3880" s="8">
        <v>0.6</v>
      </c>
      <c r="U3880" s="8">
        <v>13.2</v>
      </c>
      <c r="V3880" s="8">
        <v>2.7</v>
      </c>
      <c r="W3880" s="8">
        <v>0.5</v>
      </c>
      <c r="X3880" s="8">
        <v>130</v>
      </c>
      <c r="Y3880" s="8" t="s">
        <v>21</v>
      </c>
      <c r="Z3880" s="8" t="s">
        <v>17708</v>
      </c>
    </row>
    <row r="3881" spans="1:26" x14ac:dyDescent="0.2">
      <c r="A3881" s="8">
        <v>3880</v>
      </c>
      <c r="B3881" s="8" t="s">
        <v>17709</v>
      </c>
      <c r="C3881" s="8" t="s">
        <v>17709</v>
      </c>
      <c r="F3881" s="47"/>
      <c r="G3881" s="8">
        <v>16</v>
      </c>
      <c r="H3881" s="8" t="s">
        <v>21</v>
      </c>
      <c r="I3881" s="8" t="s">
        <v>22</v>
      </c>
      <c r="J3881" s="8" t="s">
        <v>22</v>
      </c>
      <c r="K3881" s="8" t="s">
        <v>460</v>
      </c>
      <c r="L3881" s="8" t="s">
        <v>12015</v>
      </c>
      <c r="M3881" s="8" t="s">
        <v>12016</v>
      </c>
      <c r="N3881" s="8" t="s">
        <v>17710</v>
      </c>
      <c r="O3881" s="8">
        <f>11+46/60+22.2/3600</f>
        <v>11.772833333333335</v>
      </c>
      <c r="P3881" s="8" t="s">
        <v>17711</v>
      </c>
      <c r="Q3881" s="8">
        <f>+(33+9/60+44/3600)</f>
        <v>33.162222222222219</v>
      </c>
      <c r="R3881" s="8">
        <v>13.9</v>
      </c>
      <c r="S3881" s="8">
        <v>14.9</v>
      </c>
      <c r="T3881" s="8">
        <v>1</v>
      </c>
      <c r="U3881" s="8">
        <v>13.2</v>
      </c>
      <c r="V3881" s="8">
        <v>0.7</v>
      </c>
      <c r="W3881" s="8">
        <v>0.7</v>
      </c>
      <c r="Y3881" s="8" t="s">
        <v>17712</v>
      </c>
      <c r="Z3881" s="8" t="s">
        <v>17713</v>
      </c>
    </row>
    <row r="3882" spans="1:26" x14ac:dyDescent="0.2">
      <c r="A3882" s="8">
        <v>3881</v>
      </c>
      <c r="B3882" s="8" t="s">
        <v>17714</v>
      </c>
      <c r="C3882" s="8" t="s">
        <v>17714</v>
      </c>
      <c r="F3882" s="47"/>
      <c r="G3882" s="8">
        <v>16</v>
      </c>
      <c r="H3882" s="8" t="s">
        <v>21</v>
      </c>
      <c r="I3882" s="8" t="s">
        <v>22</v>
      </c>
      <c r="J3882" s="8" t="s">
        <v>22</v>
      </c>
      <c r="K3882" s="8" t="s">
        <v>632</v>
      </c>
      <c r="L3882" s="8" t="s">
        <v>12015</v>
      </c>
      <c r="M3882" s="8" t="s">
        <v>12016</v>
      </c>
      <c r="N3882" s="8" t="s">
        <v>17715</v>
      </c>
      <c r="O3882" s="8">
        <f>11+46/60+34.4/3600</f>
        <v>11.776222222222223</v>
      </c>
      <c r="P3882" s="8" t="s">
        <v>17716</v>
      </c>
      <c r="Q3882" s="8">
        <f>+(33+6/60+25/3600)</f>
        <v>33.106944444444444</v>
      </c>
      <c r="R3882" s="8">
        <v>13.9</v>
      </c>
      <c r="S3882" s="8">
        <v>14.8</v>
      </c>
      <c r="T3882" s="8">
        <v>0.9</v>
      </c>
      <c r="U3882" s="8">
        <v>13.1</v>
      </c>
      <c r="V3882" s="8">
        <v>0.7</v>
      </c>
      <c r="W3882" s="8">
        <v>0.7</v>
      </c>
      <c r="Y3882" s="8" t="s">
        <v>17717</v>
      </c>
      <c r="Z3882" s="8" t="s">
        <v>17718</v>
      </c>
    </row>
    <row r="3883" spans="1:26" x14ac:dyDescent="0.2">
      <c r="A3883" s="8">
        <v>3882</v>
      </c>
      <c r="B3883" s="8" t="s">
        <v>17719</v>
      </c>
      <c r="C3883" s="8" t="s">
        <v>17719</v>
      </c>
      <c r="F3883" s="47"/>
      <c r="G3883" s="8">
        <v>13</v>
      </c>
      <c r="H3883" s="8" t="s">
        <v>21</v>
      </c>
      <c r="I3883" s="8" t="s">
        <v>22</v>
      </c>
      <c r="J3883" s="8" t="s">
        <v>22</v>
      </c>
      <c r="K3883" s="8" t="s">
        <v>85</v>
      </c>
      <c r="L3883" s="8" t="s">
        <v>16195</v>
      </c>
      <c r="M3883" s="8" t="s">
        <v>16196</v>
      </c>
      <c r="N3883" s="8" t="s">
        <v>17720</v>
      </c>
      <c r="O3883" s="8">
        <f>11+46/60+6.1/3600</f>
        <v>11.768361111111112</v>
      </c>
      <c r="P3883" s="8" t="s">
        <v>17721</v>
      </c>
      <c r="Q3883" s="8">
        <f>-(56+23/60+20/3600)</f>
        <v>-56.388888888888886</v>
      </c>
      <c r="R3883" s="8">
        <v>12</v>
      </c>
      <c r="S3883" s="8">
        <v>12.8</v>
      </c>
      <c r="T3883" s="8">
        <v>0.8</v>
      </c>
      <c r="U3883" s="8">
        <v>13</v>
      </c>
      <c r="V3883" s="8">
        <v>2.2999999999999998</v>
      </c>
      <c r="W3883" s="8">
        <v>1.4</v>
      </c>
      <c r="X3883" s="8">
        <v>126</v>
      </c>
      <c r="Y3883" s="8" t="s">
        <v>17722</v>
      </c>
      <c r="Z3883" s="8" t="s">
        <v>17723</v>
      </c>
    </row>
    <row r="3884" spans="1:26" x14ac:dyDescent="0.2">
      <c r="A3884" s="8">
        <v>3883</v>
      </c>
      <c r="B3884" s="8" t="s">
        <v>17724</v>
      </c>
      <c r="C3884" s="8" t="s">
        <v>17724</v>
      </c>
      <c r="F3884" s="47" t="s">
        <v>57050</v>
      </c>
      <c r="G3884" s="8">
        <v>15</v>
      </c>
      <c r="H3884" s="8" t="s">
        <v>21</v>
      </c>
      <c r="I3884" s="8" t="s">
        <v>22</v>
      </c>
      <c r="J3884" s="8" t="s">
        <v>22</v>
      </c>
      <c r="K3884" s="8" t="s">
        <v>23</v>
      </c>
      <c r="L3884" s="8" t="s">
        <v>13194</v>
      </c>
      <c r="M3884" s="8" t="s">
        <v>13195</v>
      </c>
      <c r="N3884" s="8" t="s">
        <v>17725</v>
      </c>
      <c r="O3884" s="8">
        <f>11+46/60+47.1/3600</f>
        <v>11.77975</v>
      </c>
      <c r="P3884" s="8" t="s">
        <v>17726</v>
      </c>
      <c r="Q3884" s="8">
        <f>+(20+40/60+33/3600)</f>
        <v>20.675833333333333</v>
      </c>
      <c r="R3884" s="8">
        <v>12.7</v>
      </c>
      <c r="S3884" s="8">
        <v>13.4</v>
      </c>
      <c r="T3884" s="8">
        <v>0.7</v>
      </c>
      <c r="U3884" s="8">
        <v>14.6</v>
      </c>
      <c r="V3884" s="8">
        <v>2.8</v>
      </c>
      <c r="W3884" s="8">
        <v>2.2999999999999998</v>
      </c>
      <c r="X3884" s="8">
        <v>159</v>
      </c>
      <c r="Y3884" s="8" t="s">
        <v>17727</v>
      </c>
      <c r="Z3884" s="8" t="s">
        <v>17728</v>
      </c>
    </row>
    <row r="3885" spans="1:26" x14ac:dyDescent="0.2">
      <c r="A3885" s="8">
        <v>3884</v>
      </c>
      <c r="B3885" s="8" t="s">
        <v>17729</v>
      </c>
      <c r="C3885" s="8" t="s">
        <v>17729</v>
      </c>
      <c r="F3885" s="47" t="s">
        <v>57051</v>
      </c>
      <c r="G3885" s="8">
        <v>15</v>
      </c>
      <c r="H3885" s="8" t="s">
        <v>21</v>
      </c>
      <c r="I3885" s="8" t="s">
        <v>22</v>
      </c>
      <c r="J3885" s="8" t="s">
        <v>22</v>
      </c>
      <c r="K3885" s="8" t="s">
        <v>632</v>
      </c>
      <c r="L3885" s="8" t="s">
        <v>13194</v>
      </c>
      <c r="M3885" s="8" t="s">
        <v>13195</v>
      </c>
      <c r="N3885" s="8" t="s">
        <v>17730</v>
      </c>
      <c r="O3885" s="8">
        <f>11+46/60+12.1/3600</f>
        <v>11.770027777777779</v>
      </c>
      <c r="P3885" s="8" t="s">
        <v>17731</v>
      </c>
      <c r="Q3885" s="8">
        <f>+(20+23/60+29/3600)</f>
        <v>20.391388888888887</v>
      </c>
      <c r="R3885" s="8">
        <v>12.6</v>
      </c>
      <c r="S3885" s="8">
        <v>13.5</v>
      </c>
      <c r="T3885" s="8">
        <v>0.9</v>
      </c>
      <c r="U3885" s="8">
        <v>13.6</v>
      </c>
      <c r="V3885" s="8">
        <v>2.1</v>
      </c>
      <c r="W3885" s="8">
        <v>1.4</v>
      </c>
      <c r="X3885" s="8">
        <v>10</v>
      </c>
      <c r="Y3885" s="8" t="s">
        <v>21</v>
      </c>
      <c r="Z3885" s="8" t="s">
        <v>17732</v>
      </c>
    </row>
    <row r="3886" spans="1:26" x14ac:dyDescent="0.2">
      <c r="A3886" s="8">
        <v>3885</v>
      </c>
      <c r="B3886" s="8" t="s">
        <v>17733</v>
      </c>
      <c r="C3886" s="8" t="s">
        <v>17733</v>
      </c>
      <c r="F3886" s="47" t="s">
        <v>57052</v>
      </c>
      <c r="G3886" s="8">
        <v>12</v>
      </c>
      <c r="H3886" s="8" t="s">
        <v>21</v>
      </c>
      <c r="I3886" s="8" t="s">
        <v>22</v>
      </c>
      <c r="J3886" s="8" t="s">
        <v>22</v>
      </c>
      <c r="K3886" s="8" t="s">
        <v>435</v>
      </c>
      <c r="L3886" s="8" t="s">
        <v>11765</v>
      </c>
      <c r="M3886" s="8" t="s">
        <v>11766</v>
      </c>
      <c r="N3886" s="8" t="s">
        <v>17734</v>
      </c>
      <c r="O3886" s="8">
        <f>11+46/60+46.5/3600</f>
        <v>11.779583333333335</v>
      </c>
      <c r="P3886" s="8" t="s">
        <v>17735</v>
      </c>
      <c r="Q3886" s="8">
        <f>-(27+55/60+20/3600)</f>
        <v>-27.922222222222224</v>
      </c>
      <c r="R3886" s="8">
        <v>10.9</v>
      </c>
      <c r="S3886" s="8">
        <v>11.9</v>
      </c>
      <c r="T3886" s="8">
        <v>1</v>
      </c>
      <c r="U3886" s="8">
        <v>12.7</v>
      </c>
      <c r="V3886" s="8">
        <v>2.4</v>
      </c>
      <c r="W3886" s="8">
        <v>1</v>
      </c>
      <c r="X3886" s="8">
        <v>123</v>
      </c>
      <c r="Y3886" s="8" t="s">
        <v>17736</v>
      </c>
      <c r="Z3886" s="8" t="s">
        <v>17737</v>
      </c>
    </row>
    <row r="3887" spans="1:26" x14ac:dyDescent="0.2">
      <c r="A3887" s="8">
        <v>3886</v>
      </c>
      <c r="B3887" s="8" t="s">
        <v>17738</v>
      </c>
      <c r="C3887" s="8" t="s">
        <v>17738</v>
      </c>
      <c r="F3887" s="47"/>
      <c r="G3887" s="8">
        <v>18</v>
      </c>
      <c r="H3887" s="8" t="s">
        <v>21</v>
      </c>
      <c r="I3887" s="8" t="s">
        <v>22</v>
      </c>
      <c r="J3887" s="8" t="s">
        <v>22</v>
      </c>
      <c r="K3887" s="8" t="s">
        <v>58</v>
      </c>
      <c r="L3887" s="8" t="s">
        <v>13194</v>
      </c>
      <c r="M3887" s="8" t="s">
        <v>13195</v>
      </c>
      <c r="N3887" s="8" t="s">
        <v>17739</v>
      </c>
      <c r="O3887" s="8">
        <f>11+47/60+5.5/3600</f>
        <v>11.784861111111111</v>
      </c>
      <c r="P3887" s="8" t="s">
        <v>17740</v>
      </c>
      <c r="Q3887" s="8">
        <f>+(19+50/60+14/3600)</f>
        <v>19.83722222222222</v>
      </c>
      <c r="R3887" s="8">
        <v>13.1</v>
      </c>
      <c r="S3887" s="8">
        <v>14.1</v>
      </c>
      <c r="T3887" s="8">
        <v>1</v>
      </c>
      <c r="U3887" s="8">
        <v>13.1</v>
      </c>
      <c r="V3887" s="8">
        <v>1.2</v>
      </c>
      <c r="W3887" s="8">
        <v>0.9</v>
      </c>
      <c r="X3887" s="8">
        <v>132</v>
      </c>
      <c r="Y3887" s="8" t="s">
        <v>2802</v>
      </c>
      <c r="Z3887" s="8" t="s">
        <v>1021</v>
      </c>
    </row>
    <row r="3888" spans="1:26" x14ac:dyDescent="0.2">
      <c r="A3888" s="8">
        <v>3887</v>
      </c>
      <c r="B3888" s="8" t="s">
        <v>17741</v>
      </c>
      <c r="C3888" s="8" t="s">
        <v>17741</v>
      </c>
      <c r="F3888" s="47" t="s">
        <v>57053</v>
      </c>
      <c r="G3888" s="8">
        <v>6.5</v>
      </c>
      <c r="H3888" s="8" t="s">
        <v>21</v>
      </c>
      <c r="I3888" s="8" t="s">
        <v>22</v>
      </c>
      <c r="J3888" s="8" t="s">
        <v>22</v>
      </c>
      <c r="K3888" s="8" t="s">
        <v>85</v>
      </c>
      <c r="L3888" s="8" t="s">
        <v>15699</v>
      </c>
      <c r="M3888" s="8" t="s">
        <v>15700</v>
      </c>
      <c r="N3888" s="8" t="s">
        <v>17742</v>
      </c>
      <c r="O3888" s="8">
        <f>11+47/60+4.6/3600</f>
        <v>11.784611111111111</v>
      </c>
      <c r="P3888" s="8" t="s">
        <v>17743</v>
      </c>
      <c r="Q3888" s="8">
        <f>-(16+51/60+14/3600)</f>
        <v>-16.853888888888889</v>
      </c>
      <c r="R3888" s="8">
        <v>10.6</v>
      </c>
      <c r="S3888" s="8">
        <v>11.4</v>
      </c>
      <c r="T3888" s="8">
        <v>0.8</v>
      </c>
      <c r="U3888" s="8">
        <v>12.8</v>
      </c>
      <c r="V3888" s="8">
        <v>3.5</v>
      </c>
      <c r="W3888" s="8">
        <v>2.7</v>
      </c>
      <c r="X3888" s="8">
        <v>20</v>
      </c>
      <c r="Y3888" s="8" t="s">
        <v>17744</v>
      </c>
      <c r="Z3888" s="8" t="s">
        <v>17745</v>
      </c>
    </row>
    <row r="3889" spans="1:26" x14ac:dyDescent="0.2">
      <c r="A3889" s="8">
        <v>3888</v>
      </c>
      <c r="B3889" s="8" t="s">
        <v>17746</v>
      </c>
      <c r="C3889" s="8" t="s">
        <v>17746</v>
      </c>
      <c r="F3889" s="47" t="s">
        <v>57054</v>
      </c>
      <c r="G3889" s="8">
        <v>12</v>
      </c>
      <c r="H3889" s="8" t="s">
        <v>21</v>
      </c>
      <c r="I3889" s="8" t="s">
        <v>22</v>
      </c>
      <c r="J3889" s="8" t="s">
        <v>22</v>
      </c>
      <c r="K3889" s="8" t="s">
        <v>64</v>
      </c>
      <c r="L3889" s="8" t="s">
        <v>12015</v>
      </c>
      <c r="M3889" s="8" t="s">
        <v>12016</v>
      </c>
      <c r="N3889" s="8" t="s">
        <v>17747</v>
      </c>
      <c r="O3889" s="8">
        <f>11+47/60+34.9/3600</f>
        <v>11.793027777777777</v>
      </c>
      <c r="P3889" s="8" t="s">
        <v>17748</v>
      </c>
      <c r="Q3889" s="8">
        <f>+(55+57/60+58/3600)</f>
        <v>55.966111111111111</v>
      </c>
      <c r="R3889" s="8">
        <v>12.1</v>
      </c>
      <c r="S3889" s="8">
        <v>12.7</v>
      </c>
      <c r="T3889" s="8">
        <v>0.6</v>
      </c>
      <c r="U3889" s="8">
        <v>12.9</v>
      </c>
      <c r="V3889" s="8">
        <v>1.8</v>
      </c>
      <c r="W3889" s="8">
        <v>1.4</v>
      </c>
      <c r="X3889" s="8">
        <v>120</v>
      </c>
      <c r="Y3889" s="8" t="s">
        <v>17749</v>
      </c>
      <c r="Z3889" s="8" t="s">
        <v>17750</v>
      </c>
    </row>
    <row r="3890" spans="1:26" x14ac:dyDescent="0.2">
      <c r="A3890" s="8">
        <v>3889</v>
      </c>
      <c r="B3890" s="8" t="s">
        <v>17751</v>
      </c>
      <c r="C3890" s="8" t="s">
        <v>17751</v>
      </c>
      <c r="F3890" s="47"/>
      <c r="G3890" s="8">
        <v>19</v>
      </c>
      <c r="H3890" s="8" t="s">
        <v>21</v>
      </c>
      <c r="I3890" s="8" t="s">
        <v>22</v>
      </c>
      <c r="J3890" s="8" t="s">
        <v>22</v>
      </c>
      <c r="K3890" s="8" t="s">
        <v>37</v>
      </c>
      <c r="L3890" s="8" t="s">
        <v>12015</v>
      </c>
      <c r="M3890" s="8" t="s">
        <v>12016</v>
      </c>
      <c r="N3890" s="8" t="s">
        <v>17752</v>
      </c>
      <c r="O3890" s="8">
        <f>11+47/60+48.1/3600</f>
        <v>11.796694444444444</v>
      </c>
      <c r="P3890" s="8" t="s">
        <v>17753</v>
      </c>
      <c r="Q3890" s="8">
        <f>+(56+1/60+7/3600)</f>
        <v>56.018611111111113</v>
      </c>
      <c r="R3890" s="8">
        <v>14.8</v>
      </c>
      <c r="S3890" s="8">
        <v>15.8</v>
      </c>
      <c r="T3890" s="8">
        <v>1</v>
      </c>
      <c r="U3890" s="8">
        <v>13.3</v>
      </c>
      <c r="V3890" s="8">
        <v>0.7</v>
      </c>
      <c r="W3890" s="8">
        <v>0.4</v>
      </c>
      <c r="X3890" s="8">
        <v>126</v>
      </c>
      <c r="Y3890" s="8" t="s">
        <v>21</v>
      </c>
      <c r="Z3890" s="8" t="s">
        <v>17754</v>
      </c>
    </row>
    <row r="3891" spans="1:26" x14ac:dyDescent="0.2">
      <c r="A3891" s="8">
        <v>3890</v>
      </c>
      <c r="B3891" s="8" t="s">
        <v>17755</v>
      </c>
      <c r="C3891" s="8" t="s">
        <v>17755</v>
      </c>
      <c r="F3891" s="47" t="s">
        <v>57055</v>
      </c>
      <c r="G3891" s="8">
        <v>15</v>
      </c>
      <c r="H3891" s="8" t="s">
        <v>21</v>
      </c>
      <c r="I3891" s="8" t="s">
        <v>22</v>
      </c>
      <c r="J3891" s="8" t="s">
        <v>22</v>
      </c>
      <c r="K3891" s="8" t="s">
        <v>160</v>
      </c>
      <c r="L3891" s="8" t="s">
        <v>13395</v>
      </c>
      <c r="M3891" s="8" t="s">
        <v>13396</v>
      </c>
      <c r="N3891" s="8" t="s">
        <v>17756</v>
      </c>
      <c r="O3891" s="8">
        <f>11+49/60+19.5/3600</f>
        <v>11.822083333333333</v>
      </c>
      <c r="P3891" s="8" t="s">
        <v>17757</v>
      </c>
      <c r="Q3891" s="8">
        <f>+(74+18/60+7/3600)</f>
        <v>74.301944444444445</v>
      </c>
      <c r="R3891" s="8">
        <v>13.3</v>
      </c>
      <c r="S3891" s="8">
        <v>14</v>
      </c>
      <c r="T3891" s="8">
        <v>0.7</v>
      </c>
      <c r="U3891" s="8">
        <v>12.9</v>
      </c>
      <c r="V3891" s="8">
        <v>0.9</v>
      </c>
      <c r="W3891" s="8">
        <v>0.9</v>
      </c>
      <c r="Y3891" s="8" t="s">
        <v>2248</v>
      </c>
      <c r="Z3891" s="8" t="s">
        <v>2249</v>
      </c>
    </row>
    <row r="3892" spans="1:26" x14ac:dyDescent="0.2">
      <c r="A3892" s="8">
        <v>3891</v>
      </c>
      <c r="B3892" s="8" t="s">
        <v>17758</v>
      </c>
      <c r="C3892" s="8" t="s">
        <v>17758</v>
      </c>
      <c r="F3892" s="47" t="s">
        <v>57056</v>
      </c>
      <c r="G3892" s="8">
        <v>15</v>
      </c>
      <c r="H3892" s="8" t="s">
        <v>21</v>
      </c>
      <c r="I3892" s="8" t="s">
        <v>22</v>
      </c>
      <c r="J3892" s="8" t="s">
        <v>22</v>
      </c>
      <c r="K3892" s="8" t="s">
        <v>396</v>
      </c>
      <c r="L3892" s="8" t="s">
        <v>12015</v>
      </c>
      <c r="M3892" s="8" t="s">
        <v>12016</v>
      </c>
      <c r="N3892" s="8" t="s">
        <v>17759</v>
      </c>
      <c r="O3892" s="8">
        <f>11+48/60+3.2/3600</f>
        <v>11.80088888888889</v>
      </c>
      <c r="P3892" s="8" t="s">
        <v>17760</v>
      </c>
      <c r="Q3892" s="8">
        <f>+(30+21/60+35/3600)</f>
        <v>30.359722222222224</v>
      </c>
      <c r="R3892" s="8">
        <v>12.4</v>
      </c>
      <c r="S3892" s="8">
        <v>13.2</v>
      </c>
      <c r="T3892" s="8">
        <v>0.8</v>
      </c>
      <c r="U3892" s="8">
        <v>13.6</v>
      </c>
      <c r="V3892" s="8">
        <v>2</v>
      </c>
      <c r="W3892" s="8">
        <v>1.7</v>
      </c>
      <c r="X3892" s="8">
        <v>70</v>
      </c>
      <c r="Y3892" s="8" t="s">
        <v>17761</v>
      </c>
      <c r="Z3892" s="8" t="s">
        <v>17762</v>
      </c>
    </row>
    <row r="3893" spans="1:26" x14ac:dyDescent="0.2">
      <c r="A3893" s="8">
        <v>3892</v>
      </c>
      <c r="B3893" s="8" t="s">
        <v>17763</v>
      </c>
      <c r="C3893" s="8" t="s">
        <v>17763</v>
      </c>
      <c r="F3893" s="47" t="s">
        <v>57057</v>
      </c>
      <c r="G3893" s="8">
        <v>6.5</v>
      </c>
      <c r="H3893" s="8" t="s">
        <v>21</v>
      </c>
      <c r="I3893" s="8" t="s">
        <v>22</v>
      </c>
      <c r="J3893" s="8" t="s">
        <v>22</v>
      </c>
      <c r="K3893" s="8" t="s">
        <v>435</v>
      </c>
      <c r="L3893" s="8" t="s">
        <v>15699</v>
      </c>
      <c r="M3893" s="8" t="s">
        <v>15700</v>
      </c>
      <c r="N3893" s="8" t="s">
        <v>17764</v>
      </c>
      <c r="O3893" s="8">
        <f>11+48/60+1/3600</f>
        <v>11.800277777777778</v>
      </c>
      <c r="P3893" s="8" t="s">
        <v>17765</v>
      </c>
      <c r="Q3893" s="8">
        <f>-(10+57/60+44/3600)</f>
        <v>-10.962222222222222</v>
      </c>
      <c r="R3893" s="8">
        <v>11.5</v>
      </c>
      <c r="S3893" s="8">
        <v>12.4</v>
      </c>
      <c r="T3893" s="8">
        <v>0.9</v>
      </c>
      <c r="U3893" s="8">
        <v>13.5</v>
      </c>
      <c r="V3893" s="8">
        <v>3.1</v>
      </c>
      <c r="W3893" s="8">
        <v>2.2999999999999998</v>
      </c>
      <c r="X3893" s="8">
        <v>95</v>
      </c>
      <c r="Y3893" s="8" t="s">
        <v>17766</v>
      </c>
      <c r="Z3893" s="8" t="s">
        <v>17767</v>
      </c>
    </row>
    <row r="3894" spans="1:26" x14ac:dyDescent="0.2">
      <c r="A3894" s="8">
        <v>3893</v>
      </c>
      <c r="B3894" s="8" t="s">
        <v>17768</v>
      </c>
      <c r="C3894" s="8" t="s">
        <v>17768</v>
      </c>
      <c r="F3894" s="47" t="s">
        <v>57058</v>
      </c>
      <c r="G3894" s="8">
        <v>6</v>
      </c>
      <c r="H3894" s="8" t="s">
        <v>21</v>
      </c>
      <c r="I3894" s="8" t="s">
        <v>22</v>
      </c>
      <c r="J3894" s="8" t="s">
        <v>22</v>
      </c>
      <c r="K3894" s="8" t="s">
        <v>64</v>
      </c>
      <c r="L3894" s="8" t="s">
        <v>12015</v>
      </c>
      <c r="M3894" s="8" t="s">
        <v>12016</v>
      </c>
      <c r="N3894" s="8" t="s">
        <v>17769</v>
      </c>
      <c r="O3894" s="8">
        <f>11+48/60+38.2/3600</f>
        <v>11.810611111111111</v>
      </c>
      <c r="P3894" s="8" t="s">
        <v>17770</v>
      </c>
      <c r="Q3894" s="8">
        <f>+(48+42/60+41/3600)</f>
        <v>48.711388888888891</v>
      </c>
      <c r="R3894" s="8">
        <v>10.5</v>
      </c>
      <c r="S3894" s="8">
        <v>10.9</v>
      </c>
      <c r="T3894" s="8">
        <v>0.4</v>
      </c>
      <c r="U3894" s="8">
        <v>13.1</v>
      </c>
      <c r="V3894" s="8">
        <v>4.5</v>
      </c>
      <c r="W3894" s="8">
        <v>2.8</v>
      </c>
      <c r="X3894" s="8">
        <v>165</v>
      </c>
      <c r="Y3894" s="8" t="s">
        <v>15664</v>
      </c>
      <c r="Z3894" s="8" t="s">
        <v>15665</v>
      </c>
    </row>
    <row r="3895" spans="1:26" x14ac:dyDescent="0.2">
      <c r="A3895" s="8">
        <v>3894</v>
      </c>
      <c r="B3895" s="8" t="s">
        <v>17771</v>
      </c>
      <c r="C3895" s="8" t="s">
        <v>17771</v>
      </c>
      <c r="F3895" s="47" t="s">
        <v>57059</v>
      </c>
      <c r="G3895" s="8">
        <v>12</v>
      </c>
      <c r="H3895" s="8" t="s">
        <v>21</v>
      </c>
      <c r="I3895" s="8" t="s">
        <v>22</v>
      </c>
      <c r="J3895" s="8" t="s">
        <v>22</v>
      </c>
      <c r="K3895" s="8" t="s">
        <v>50</v>
      </c>
      <c r="L3895" s="8" t="s">
        <v>12015</v>
      </c>
      <c r="M3895" s="8" t="s">
        <v>12016</v>
      </c>
      <c r="N3895" s="8" t="s">
        <v>17772</v>
      </c>
      <c r="O3895" s="8">
        <f>11+48/60+50.2/3600</f>
        <v>11.813944444444445</v>
      </c>
      <c r="P3895" s="8" t="s">
        <v>17773</v>
      </c>
      <c r="Q3895" s="8">
        <f>+(59+24/60+59/3600)</f>
        <v>59.416388888888889</v>
      </c>
      <c r="R3895" s="8">
        <v>11.6</v>
      </c>
      <c r="S3895" s="8">
        <v>12.6</v>
      </c>
      <c r="T3895" s="8">
        <v>1</v>
      </c>
      <c r="U3895" s="8">
        <v>13.3</v>
      </c>
      <c r="V3895" s="8">
        <v>2.8</v>
      </c>
      <c r="W3895" s="8">
        <v>1.7</v>
      </c>
      <c r="X3895" s="8">
        <v>20</v>
      </c>
      <c r="Y3895" s="8" t="s">
        <v>17774</v>
      </c>
      <c r="Z3895" s="8" t="s">
        <v>17775</v>
      </c>
    </row>
    <row r="3896" spans="1:26" x14ac:dyDescent="0.2">
      <c r="A3896" s="8">
        <v>3895</v>
      </c>
      <c r="B3896" s="8" t="s">
        <v>17776</v>
      </c>
      <c r="C3896" s="8" t="s">
        <v>17776</v>
      </c>
      <c r="F3896" s="47" t="s">
        <v>57060</v>
      </c>
      <c r="G3896" s="8">
        <v>15</v>
      </c>
      <c r="H3896" s="8" t="s">
        <v>21</v>
      </c>
      <c r="I3896" s="8" t="s">
        <v>22</v>
      </c>
      <c r="J3896" s="8" t="s">
        <v>22</v>
      </c>
      <c r="K3896" s="8" t="s">
        <v>154</v>
      </c>
      <c r="L3896" s="8" t="s">
        <v>12015</v>
      </c>
      <c r="M3896" s="8" t="s">
        <v>12016</v>
      </c>
      <c r="N3896" s="8" t="s">
        <v>17777</v>
      </c>
      <c r="O3896" s="8">
        <f>11+49/60+3.8/3600</f>
        <v>11.817722222222223</v>
      </c>
      <c r="P3896" s="8" t="s">
        <v>17778</v>
      </c>
      <c r="Q3896" s="8">
        <f>+(59+25/60+59/3600)</f>
        <v>59.433055555555555</v>
      </c>
      <c r="R3896" s="8">
        <v>13.1</v>
      </c>
      <c r="S3896" s="8">
        <v>14</v>
      </c>
      <c r="T3896" s="8">
        <v>0.9</v>
      </c>
      <c r="U3896" s="8">
        <v>13.2</v>
      </c>
      <c r="V3896" s="8">
        <v>1.1000000000000001</v>
      </c>
      <c r="W3896" s="8">
        <v>0.8</v>
      </c>
      <c r="X3896" s="8">
        <v>116</v>
      </c>
      <c r="Y3896" s="8" t="s">
        <v>17779</v>
      </c>
      <c r="Z3896" s="8" t="s">
        <v>17780</v>
      </c>
    </row>
    <row r="3897" spans="1:26" x14ac:dyDescent="0.2">
      <c r="A3897" s="8">
        <v>3896</v>
      </c>
      <c r="B3897" s="8" t="s">
        <v>17781</v>
      </c>
      <c r="C3897" s="8" t="s">
        <v>17781</v>
      </c>
      <c r="F3897" s="47" t="s">
        <v>57061</v>
      </c>
      <c r="G3897" s="8">
        <v>9</v>
      </c>
      <c r="H3897" s="8" t="s">
        <v>21</v>
      </c>
      <c r="I3897" s="8" t="s">
        <v>22</v>
      </c>
      <c r="J3897" s="8" t="s">
        <v>22</v>
      </c>
      <c r="K3897" s="8" t="s">
        <v>435</v>
      </c>
      <c r="L3897" s="8" t="s">
        <v>12015</v>
      </c>
      <c r="M3897" s="8" t="s">
        <v>12016</v>
      </c>
      <c r="N3897" s="8" t="s">
        <v>17782</v>
      </c>
      <c r="O3897" s="8">
        <f>11+48/60+56.3/3600</f>
        <v>11.815638888888889</v>
      </c>
      <c r="P3897" s="8" t="s">
        <v>17783</v>
      </c>
      <c r="Q3897" s="8">
        <f>+(48+40/60+29/3600)</f>
        <v>48.674722222222222</v>
      </c>
      <c r="R3897" s="8">
        <v>12.9</v>
      </c>
      <c r="S3897" s="8">
        <v>13.8</v>
      </c>
      <c r="T3897" s="8">
        <v>0.9</v>
      </c>
      <c r="U3897" s="8">
        <v>13.1</v>
      </c>
      <c r="V3897" s="8">
        <v>1.5</v>
      </c>
      <c r="W3897" s="8">
        <v>1</v>
      </c>
      <c r="X3897" s="8">
        <v>126</v>
      </c>
      <c r="Y3897" s="8" t="s">
        <v>635</v>
      </c>
      <c r="Z3897" s="8" t="s">
        <v>636</v>
      </c>
    </row>
    <row r="3898" spans="1:26" x14ac:dyDescent="0.2">
      <c r="A3898" s="8">
        <v>3897</v>
      </c>
      <c r="B3898" s="8" t="s">
        <v>17784</v>
      </c>
      <c r="C3898" s="8" t="s">
        <v>17784</v>
      </c>
      <c r="F3898" s="47" t="s">
        <v>57062</v>
      </c>
      <c r="G3898" s="8">
        <v>15</v>
      </c>
      <c r="H3898" s="8" t="s">
        <v>21</v>
      </c>
      <c r="I3898" s="8" t="s">
        <v>22</v>
      </c>
      <c r="J3898" s="8" t="s">
        <v>22</v>
      </c>
      <c r="K3898" s="8" t="s">
        <v>85</v>
      </c>
      <c r="L3898" s="8" t="s">
        <v>12015</v>
      </c>
      <c r="M3898" s="8" t="s">
        <v>12016</v>
      </c>
      <c r="N3898" s="8" t="s">
        <v>17785</v>
      </c>
      <c r="O3898" s="8">
        <f>11+48/60+59.4/3600</f>
        <v>11.816500000000001</v>
      </c>
      <c r="P3898" s="8" t="s">
        <v>17786</v>
      </c>
      <c r="Q3898" s="8">
        <f>+(35+0/60+57/3600)</f>
        <v>35.015833333333333</v>
      </c>
      <c r="R3898" s="8">
        <v>12.9</v>
      </c>
      <c r="S3898" s="8">
        <v>13.6</v>
      </c>
      <c r="T3898" s="8">
        <v>0.7</v>
      </c>
      <c r="U3898" s="8">
        <v>14.2</v>
      </c>
      <c r="V3898" s="8">
        <v>1.9</v>
      </c>
      <c r="W3898" s="8">
        <v>1.9</v>
      </c>
      <c r="Y3898" s="8" t="s">
        <v>2641</v>
      </c>
      <c r="Z3898" s="8" t="s">
        <v>2642</v>
      </c>
    </row>
    <row r="3899" spans="1:26" x14ac:dyDescent="0.2">
      <c r="A3899" s="8">
        <v>3898</v>
      </c>
      <c r="B3899" s="8" t="s">
        <v>17787</v>
      </c>
      <c r="C3899" s="8" t="s">
        <v>17787</v>
      </c>
      <c r="F3899" s="47" t="s">
        <v>57063</v>
      </c>
      <c r="G3899" s="8">
        <v>6</v>
      </c>
      <c r="H3899" s="8" t="s">
        <v>21</v>
      </c>
      <c r="I3899" s="8" t="s">
        <v>22</v>
      </c>
      <c r="J3899" s="8" t="s">
        <v>22</v>
      </c>
      <c r="K3899" s="8" t="s">
        <v>31</v>
      </c>
      <c r="L3899" s="8" t="s">
        <v>12015</v>
      </c>
      <c r="M3899" s="8" t="s">
        <v>12016</v>
      </c>
      <c r="N3899" s="8" t="s">
        <v>17788</v>
      </c>
      <c r="O3899" s="8">
        <f>11+49/60+15.3/3600</f>
        <v>11.820916666666667</v>
      </c>
      <c r="P3899" s="8" t="s">
        <v>17789</v>
      </c>
      <c r="Q3899" s="8">
        <f>+(56+5/60+5/3600)</f>
        <v>56.084722222222226</v>
      </c>
      <c r="R3899" s="8">
        <v>10.7</v>
      </c>
      <c r="S3899" s="8">
        <v>11.6</v>
      </c>
      <c r="T3899" s="8">
        <v>0.9</v>
      </c>
      <c r="U3899" s="8">
        <v>13.2</v>
      </c>
      <c r="V3899" s="8">
        <v>4.4000000000000004</v>
      </c>
      <c r="W3899" s="8">
        <v>2.6</v>
      </c>
      <c r="X3899" s="8">
        <v>107</v>
      </c>
      <c r="Y3899" s="8" t="s">
        <v>17790</v>
      </c>
      <c r="Z3899" s="8" t="s">
        <v>17791</v>
      </c>
    </row>
    <row r="3900" spans="1:26" x14ac:dyDescent="0.2">
      <c r="A3900" s="8">
        <v>3899</v>
      </c>
      <c r="B3900" s="8" t="s">
        <v>17792</v>
      </c>
      <c r="C3900" s="8" t="s">
        <v>17792</v>
      </c>
      <c r="F3900" s="47"/>
      <c r="G3900" s="8">
        <v>16</v>
      </c>
      <c r="H3900" s="8" t="s">
        <v>21</v>
      </c>
      <c r="I3900" s="8" t="s">
        <v>22</v>
      </c>
      <c r="J3900" s="8" t="s">
        <v>57</v>
      </c>
      <c r="K3900" s="8" t="s">
        <v>218</v>
      </c>
      <c r="L3900" s="8" t="s">
        <v>13194</v>
      </c>
      <c r="M3900" s="8" t="s">
        <v>13195</v>
      </c>
      <c r="N3900" s="8" t="s">
        <v>17793</v>
      </c>
      <c r="O3900" s="8">
        <f>11+50/60+4.5/3600</f>
        <v>11.834583333333335</v>
      </c>
      <c r="P3900" s="8" t="s">
        <v>17794</v>
      </c>
      <c r="Q3900" s="8">
        <f>+(26+28/60+49/3600)</f>
        <v>26.480277777777776</v>
      </c>
      <c r="R3900" s="8">
        <v>12.4</v>
      </c>
      <c r="S3900" s="8">
        <v>13.2</v>
      </c>
      <c r="T3900" s="8">
        <v>0.8</v>
      </c>
      <c r="U3900" s="8">
        <v>12.6</v>
      </c>
      <c r="V3900" s="8">
        <v>1.5</v>
      </c>
      <c r="W3900" s="8">
        <v>0.9</v>
      </c>
      <c r="X3900" s="8">
        <v>5</v>
      </c>
      <c r="Y3900" s="8" t="s">
        <v>17795</v>
      </c>
      <c r="Z3900" s="8" t="s">
        <v>17796</v>
      </c>
    </row>
    <row r="3901" spans="1:26" x14ac:dyDescent="0.2">
      <c r="A3901" s="8">
        <v>3900</v>
      </c>
      <c r="B3901" s="8" t="s">
        <v>17797</v>
      </c>
      <c r="C3901" s="8" t="s">
        <v>17797</v>
      </c>
      <c r="F3901" s="47" t="s">
        <v>57064</v>
      </c>
      <c r="G3901" s="8">
        <v>6</v>
      </c>
      <c r="H3901" s="8" t="s">
        <v>21</v>
      </c>
      <c r="I3901" s="8" t="s">
        <v>22</v>
      </c>
      <c r="J3901" s="8" t="s">
        <v>22</v>
      </c>
      <c r="K3901" s="8" t="s">
        <v>632</v>
      </c>
      <c r="L3901" s="8" t="s">
        <v>13194</v>
      </c>
      <c r="M3901" s="8" t="s">
        <v>13195</v>
      </c>
      <c r="N3901" s="8" t="s">
        <v>17798</v>
      </c>
      <c r="O3901" s="8">
        <f>11+49/60+9.3/3600</f>
        <v>11.81925</v>
      </c>
      <c r="P3901" s="8" t="s">
        <v>17799</v>
      </c>
      <c r="Q3901" s="8">
        <f>+(27+1/60+18/3600)</f>
        <v>27.021666666666665</v>
      </c>
      <c r="R3901" s="8">
        <v>11.4</v>
      </c>
      <c r="S3901" s="8">
        <v>12.2</v>
      </c>
      <c r="T3901" s="8">
        <v>0.8</v>
      </c>
      <c r="U3901" s="8">
        <v>13.1</v>
      </c>
      <c r="V3901" s="8">
        <v>3.2</v>
      </c>
      <c r="W3901" s="8">
        <v>1.7</v>
      </c>
      <c r="X3901" s="8">
        <v>2</v>
      </c>
      <c r="Y3901" s="8" t="s">
        <v>17800</v>
      </c>
      <c r="Z3901" s="8" t="s">
        <v>17801</v>
      </c>
    </row>
    <row r="3902" spans="1:26" x14ac:dyDescent="0.2">
      <c r="A3902" s="8">
        <v>3901</v>
      </c>
      <c r="B3902" s="8" t="s">
        <v>17802</v>
      </c>
      <c r="C3902" s="8" t="s">
        <v>17802</v>
      </c>
      <c r="F3902" s="47" t="s">
        <v>57065</v>
      </c>
      <c r="G3902" s="8">
        <v>15</v>
      </c>
      <c r="H3902" s="8" t="s">
        <v>21</v>
      </c>
      <c r="I3902" s="8" t="s">
        <v>22</v>
      </c>
      <c r="J3902" s="8" t="s">
        <v>22</v>
      </c>
      <c r="K3902" s="8" t="s">
        <v>160</v>
      </c>
      <c r="L3902" s="8" t="s">
        <v>6823</v>
      </c>
      <c r="M3902" s="8" t="s">
        <v>6824</v>
      </c>
      <c r="N3902" s="8" t="s">
        <v>17803</v>
      </c>
      <c r="O3902" s="8">
        <f>11+42/60+49.2/3600</f>
        <v>11.713666666666667</v>
      </c>
      <c r="P3902" s="8" t="s">
        <v>17804</v>
      </c>
      <c r="Q3902" s="8">
        <f>+(77+22/60+22/3600)</f>
        <v>77.37277777777777</v>
      </c>
      <c r="R3902" s="8">
        <v>13.7</v>
      </c>
      <c r="S3902" s="8">
        <v>14.4</v>
      </c>
      <c r="T3902" s="8">
        <v>0.7</v>
      </c>
      <c r="U3902" s="8">
        <v>13.9</v>
      </c>
      <c r="V3902" s="8">
        <v>1.8</v>
      </c>
      <c r="W3902" s="8">
        <v>0.8</v>
      </c>
      <c r="X3902" s="8">
        <v>165</v>
      </c>
      <c r="Y3902" s="8" t="s">
        <v>17805</v>
      </c>
      <c r="Z3902" s="8" t="s">
        <v>17806</v>
      </c>
    </row>
    <row r="3903" spans="1:26" x14ac:dyDescent="0.2">
      <c r="A3903" s="8">
        <v>3902</v>
      </c>
      <c r="B3903" s="8" t="s">
        <v>17807</v>
      </c>
      <c r="C3903" s="8" t="s">
        <v>17807</v>
      </c>
      <c r="F3903" s="47" t="s">
        <v>57066</v>
      </c>
      <c r="G3903" s="8">
        <v>15</v>
      </c>
      <c r="H3903" s="8" t="s">
        <v>21</v>
      </c>
      <c r="I3903" s="8" t="s">
        <v>22</v>
      </c>
      <c r="J3903" s="8" t="s">
        <v>22</v>
      </c>
      <c r="K3903" s="8" t="s">
        <v>85</v>
      </c>
      <c r="L3903" s="8" t="s">
        <v>13194</v>
      </c>
      <c r="M3903" s="8" t="s">
        <v>13195</v>
      </c>
      <c r="N3903" s="8" t="s">
        <v>17808</v>
      </c>
      <c r="O3903" s="8">
        <f>11+49/60+18.7/3600</f>
        <v>11.821861111111112</v>
      </c>
      <c r="P3903" s="8" t="s">
        <v>17809</v>
      </c>
      <c r="Q3903" s="8">
        <f>+(26+7/60+18/3600)</f>
        <v>26.121666666666666</v>
      </c>
      <c r="R3903" s="8">
        <v>12.8</v>
      </c>
      <c r="S3903" s="8">
        <v>13.6</v>
      </c>
      <c r="T3903" s="8">
        <v>0.8</v>
      </c>
      <c r="U3903" s="8">
        <v>13.5</v>
      </c>
      <c r="V3903" s="8">
        <v>1.6</v>
      </c>
      <c r="W3903" s="8">
        <v>1.3</v>
      </c>
      <c r="X3903" s="8">
        <v>85</v>
      </c>
      <c r="Y3903" s="8" t="s">
        <v>17810</v>
      </c>
      <c r="Z3903" s="8" t="s">
        <v>17811</v>
      </c>
    </row>
    <row r="3904" spans="1:26" x14ac:dyDescent="0.2">
      <c r="A3904" s="8">
        <v>3903</v>
      </c>
      <c r="B3904" s="8" t="s">
        <v>17812</v>
      </c>
      <c r="C3904" s="8" t="s">
        <v>17812</v>
      </c>
      <c r="F3904" s="47"/>
      <c r="G3904" s="8">
        <v>16</v>
      </c>
      <c r="H3904" s="8" t="s">
        <v>21</v>
      </c>
      <c r="I3904" s="8" t="s">
        <v>22</v>
      </c>
      <c r="J3904" s="8" t="s">
        <v>22</v>
      </c>
      <c r="K3904" s="8" t="s">
        <v>64</v>
      </c>
      <c r="L3904" s="8" t="s">
        <v>16195</v>
      </c>
      <c r="M3904" s="8" t="s">
        <v>16196</v>
      </c>
      <c r="N3904" s="8" t="s">
        <v>17813</v>
      </c>
      <c r="O3904" s="8">
        <f>11+49/60+3.3/3600</f>
        <v>11.817583333333333</v>
      </c>
      <c r="P3904" s="8" t="s">
        <v>17814</v>
      </c>
      <c r="Q3904" s="8">
        <f>-(37+31/60+2/3600)</f>
        <v>-37.517222222222223</v>
      </c>
      <c r="R3904" s="8">
        <v>12.8</v>
      </c>
      <c r="S3904" s="8">
        <v>13.5</v>
      </c>
      <c r="T3904" s="8">
        <v>0.7</v>
      </c>
      <c r="U3904" s="8">
        <v>12.8</v>
      </c>
      <c r="V3904" s="8">
        <v>1.1000000000000001</v>
      </c>
      <c r="W3904" s="8">
        <v>1</v>
      </c>
      <c r="X3904" s="8">
        <v>116</v>
      </c>
      <c r="Y3904" s="8" t="s">
        <v>17815</v>
      </c>
      <c r="Z3904" s="8" t="s">
        <v>17816</v>
      </c>
    </row>
    <row r="3905" spans="1:26" x14ac:dyDescent="0.2">
      <c r="A3905" s="8">
        <v>3904</v>
      </c>
      <c r="B3905" s="8" t="s">
        <v>17817</v>
      </c>
      <c r="C3905" s="8" t="s">
        <v>17817</v>
      </c>
      <c r="F3905" s="47" t="s">
        <v>57067</v>
      </c>
      <c r="G3905" s="8">
        <v>12</v>
      </c>
      <c r="H3905" s="8" t="s">
        <v>21</v>
      </c>
      <c r="I3905" s="8" t="s">
        <v>22</v>
      </c>
      <c r="J3905" s="8" t="s">
        <v>22</v>
      </c>
      <c r="K3905" s="8" t="s">
        <v>1136</v>
      </c>
      <c r="L3905" s="8" t="s">
        <v>11765</v>
      </c>
      <c r="M3905" s="8" t="s">
        <v>11766</v>
      </c>
      <c r="N3905" s="8" t="s">
        <v>17818</v>
      </c>
      <c r="O3905" s="8">
        <f>11+49/60+13.2/3600</f>
        <v>11.820333333333332</v>
      </c>
      <c r="P3905" s="8" t="s">
        <v>17819</v>
      </c>
      <c r="Q3905" s="8">
        <f>-(29+16/60+37/3600)</f>
        <v>-29.276944444444442</v>
      </c>
      <c r="R3905" s="8">
        <v>10.9</v>
      </c>
      <c r="S3905" s="8">
        <v>11.8</v>
      </c>
      <c r="T3905" s="8">
        <v>0.9</v>
      </c>
      <c r="U3905" s="8">
        <v>12.7</v>
      </c>
      <c r="V3905" s="8">
        <v>2.7</v>
      </c>
      <c r="W3905" s="8">
        <v>2</v>
      </c>
      <c r="X3905" s="8">
        <v>8</v>
      </c>
      <c r="Y3905" s="8" t="s">
        <v>646</v>
      </c>
      <c r="Z3905" s="8" t="s">
        <v>647</v>
      </c>
    </row>
    <row r="3906" spans="1:26" x14ac:dyDescent="0.2">
      <c r="A3906" s="8">
        <v>3905</v>
      </c>
      <c r="B3906" s="8" t="s">
        <v>17820</v>
      </c>
      <c r="C3906" s="8" t="s">
        <v>17820</v>
      </c>
      <c r="F3906" s="47"/>
      <c r="G3906" s="8">
        <v>19</v>
      </c>
      <c r="H3906" s="8" t="s">
        <v>21</v>
      </c>
      <c r="I3906" s="8" t="s">
        <v>22</v>
      </c>
      <c r="J3906" s="8" t="s">
        <v>22</v>
      </c>
      <c r="K3906" s="8" t="s">
        <v>85</v>
      </c>
      <c r="L3906" s="8" t="s">
        <v>15699</v>
      </c>
      <c r="M3906" s="8" t="s">
        <v>15700</v>
      </c>
      <c r="N3906" s="8" t="s">
        <v>17821</v>
      </c>
      <c r="O3906" s="8">
        <f>11+49/60+4.9/3600</f>
        <v>11.818027777777777</v>
      </c>
      <c r="P3906" s="8" t="s">
        <v>17822</v>
      </c>
      <c r="Q3906" s="8">
        <f>-(9+43/60+44/3600)</f>
        <v>-9.7288888888888891</v>
      </c>
      <c r="R3906" s="8">
        <v>12.8</v>
      </c>
      <c r="S3906" s="8">
        <v>13.4</v>
      </c>
      <c r="T3906" s="8">
        <v>0.6</v>
      </c>
      <c r="U3906" s="8">
        <v>13.7</v>
      </c>
      <c r="V3906" s="8">
        <v>1.9</v>
      </c>
      <c r="W3906" s="8">
        <v>1.4</v>
      </c>
      <c r="X3906" s="8">
        <v>106</v>
      </c>
      <c r="Y3906" s="8" t="s">
        <v>17823</v>
      </c>
      <c r="Z3906" s="8" t="s">
        <v>17824</v>
      </c>
    </row>
    <row r="3907" spans="1:26" x14ac:dyDescent="0.2">
      <c r="A3907" s="8">
        <v>3906</v>
      </c>
      <c r="B3907" s="8" t="s">
        <v>17825</v>
      </c>
      <c r="C3907" s="8" t="s">
        <v>17825</v>
      </c>
      <c r="F3907" s="47" t="s">
        <v>57068</v>
      </c>
      <c r="G3907" s="8">
        <v>15</v>
      </c>
      <c r="H3907" s="8" t="s">
        <v>21</v>
      </c>
      <c r="I3907" s="8" t="s">
        <v>22</v>
      </c>
      <c r="J3907" s="8" t="s">
        <v>22</v>
      </c>
      <c r="K3907" s="8" t="s">
        <v>1277</v>
      </c>
      <c r="L3907" s="8" t="s">
        <v>12015</v>
      </c>
      <c r="M3907" s="8" t="s">
        <v>12016</v>
      </c>
      <c r="N3907" s="8" t="s">
        <v>17826</v>
      </c>
      <c r="O3907" s="8">
        <f>11+49/60+40.2/3600</f>
        <v>11.827833333333333</v>
      </c>
      <c r="P3907" s="8" t="s">
        <v>17827</v>
      </c>
      <c r="Q3907" s="8">
        <f>+(48+25/60+32/3600)</f>
        <v>48.425555555555555</v>
      </c>
      <c r="R3907" s="8">
        <v>12.9</v>
      </c>
      <c r="S3907" s="8">
        <v>13.8</v>
      </c>
      <c r="T3907" s="8">
        <v>0.9</v>
      </c>
      <c r="U3907" s="8">
        <v>14</v>
      </c>
      <c r="V3907" s="8">
        <v>1.8</v>
      </c>
      <c r="W3907" s="8">
        <v>1.7</v>
      </c>
      <c r="X3907" s="8">
        <v>0</v>
      </c>
      <c r="Y3907" s="8" t="s">
        <v>3505</v>
      </c>
      <c r="Z3907" s="8" t="s">
        <v>3506</v>
      </c>
    </row>
    <row r="3908" spans="1:26" x14ac:dyDescent="0.2">
      <c r="A3908" s="8">
        <v>3907</v>
      </c>
      <c r="B3908" s="8" t="s">
        <v>17828</v>
      </c>
      <c r="C3908" s="8" t="s">
        <v>17828</v>
      </c>
      <c r="F3908" s="47"/>
      <c r="G3908" s="8">
        <v>16</v>
      </c>
      <c r="H3908" s="8" t="s">
        <v>21</v>
      </c>
      <c r="I3908" s="8" t="s">
        <v>22</v>
      </c>
      <c r="J3908" s="8" t="s">
        <v>22</v>
      </c>
      <c r="K3908" s="8" t="s">
        <v>58</v>
      </c>
      <c r="L3908" s="8" t="s">
        <v>17287</v>
      </c>
      <c r="M3908" s="8" t="s">
        <v>17288</v>
      </c>
      <c r="N3908" s="8" t="s">
        <v>17829</v>
      </c>
      <c r="O3908" s="8">
        <f>11+49/60+30.1/3600</f>
        <v>11.825027777777777</v>
      </c>
      <c r="P3908" s="8" t="s">
        <v>17830</v>
      </c>
      <c r="Q3908" s="8">
        <f>-(1+5/60+10/3600)</f>
        <v>-1.086111111111111</v>
      </c>
      <c r="R3908" s="8">
        <v>13.1</v>
      </c>
      <c r="S3908" s="8">
        <v>14.1</v>
      </c>
      <c r="T3908" s="8">
        <v>1</v>
      </c>
      <c r="U3908" s="8">
        <v>13.1</v>
      </c>
      <c r="V3908" s="8">
        <v>1.2</v>
      </c>
      <c r="W3908" s="8">
        <v>0.8</v>
      </c>
      <c r="X3908" s="8">
        <v>40</v>
      </c>
      <c r="Y3908" s="8" t="s">
        <v>13402</v>
      </c>
      <c r="Z3908" s="8" t="s">
        <v>13403</v>
      </c>
    </row>
    <row r="3909" spans="1:26" x14ac:dyDescent="0.2">
      <c r="A3909" s="8">
        <v>3908</v>
      </c>
      <c r="B3909" s="8" t="s">
        <v>17831</v>
      </c>
      <c r="C3909" s="8" t="s">
        <v>17831</v>
      </c>
      <c r="F3909" s="47"/>
      <c r="G3909" s="8">
        <v>19</v>
      </c>
      <c r="H3909" s="8" t="s">
        <v>21</v>
      </c>
      <c r="I3909" s="8" t="s">
        <v>22</v>
      </c>
      <c r="J3909" s="8" t="s">
        <v>22</v>
      </c>
      <c r="K3909" s="8" t="s">
        <v>460</v>
      </c>
      <c r="L3909" s="8" t="s">
        <v>13194</v>
      </c>
      <c r="M3909" s="8" t="s">
        <v>13195</v>
      </c>
      <c r="N3909" s="8" t="s">
        <v>17832</v>
      </c>
      <c r="O3909" s="8">
        <f>11+49/60+52.6/3600</f>
        <v>11.831277777777778</v>
      </c>
      <c r="P3909" s="8" t="s">
        <v>17833</v>
      </c>
      <c r="Q3909" s="8">
        <f>+(12+11/60+11/3600)</f>
        <v>12.186388888888889</v>
      </c>
      <c r="R3909" s="8">
        <v>15</v>
      </c>
      <c r="S3909" s="8">
        <v>16</v>
      </c>
      <c r="T3909" s="8">
        <v>1</v>
      </c>
      <c r="U3909" s="8">
        <v>12.9</v>
      </c>
      <c r="V3909" s="8">
        <v>0.4</v>
      </c>
      <c r="W3909" s="8">
        <v>0.4</v>
      </c>
      <c r="Y3909" s="8" t="s">
        <v>7479</v>
      </c>
      <c r="Z3909" s="8" t="s">
        <v>7480</v>
      </c>
    </row>
    <row r="3910" spans="1:26" x14ac:dyDescent="0.2">
      <c r="A3910" s="8">
        <v>3909</v>
      </c>
      <c r="B3910" s="8" t="s">
        <v>17834</v>
      </c>
      <c r="C3910" s="8" t="s">
        <v>17834</v>
      </c>
      <c r="F3910" s="47"/>
      <c r="G3910" s="8">
        <v>13</v>
      </c>
      <c r="H3910" s="8" t="s">
        <v>21</v>
      </c>
      <c r="I3910" s="8" t="s">
        <v>557</v>
      </c>
      <c r="J3910" s="8" t="s">
        <v>557</v>
      </c>
      <c r="K3910" s="8" t="s">
        <v>557</v>
      </c>
      <c r="L3910" s="8" t="s">
        <v>16195</v>
      </c>
      <c r="M3910" s="8" t="s">
        <v>16196</v>
      </c>
      <c r="N3910" s="8" t="s">
        <v>17835</v>
      </c>
      <c r="O3910" s="8">
        <f>11+49/60+30/3600</f>
        <v>11.824999999999999</v>
      </c>
      <c r="P3910" s="8" t="s">
        <v>17836</v>
      </c>
      <c r="Q3910" s="8">
        <f>-(48+15/60+54/3600)</f>
        <v>-48.265000000000001</v>
      </c>
      <c r="R3910" s="8">
        <v>99</v>
      </c>
      <c r="S3910" s="8">
        <v>99</v>
      </c>
      <c r="T3910" s="8">
        <v>99</v>
      </c>
      <c r="U3910" s="8">
        <v>99</v>
      </c>
      <c r="V3910" s="8">
        <v>20</v>
      </c>
      <c r="Y3910" s="8" t="s">
        <v>17837</v>
      </c>
      <c r="Z3910" s="8" t="s">
        <v>17838</v>
      </c>
    </row>
    <row r="3911" spans="1:26" x14ac:dyDescent="0.2">
      <c r="A3911" s="8">
        <v>3910</v>
      </c>
      <c r="B3911" s="8" t="s">
        <v>17839</v>
      </c>
      <c r="C3911" s="8" t="s">
        <v>17839</v>
      </c>
      <c r="F3911" s="47"/>
      <c r="G3911" s="8">
        <v>18</v>
      </c>
      <c r="H3911" s="8" t="s">
        <v>21</v>
      </c>
      <c r="I3911" s="8" t="s">
        <v>22</v>
      </c>
      <c r="J3911" s="8" t="s">
        <v>22</v>
      </c>
      <c r="K3911" s="8" t="s">
        <v>58</v>
      </c>
      <c r="L3911" s="8" t="s">
        <v>13194</v>
      </c>
      <c r="M3911" s="8" t="s">
        <v>13195</v>
      </c>
      <c r="N3911" s="8" t="s">
        <v>17840</v>
      </c>
      <c r="O3911" s="8">
        <f>11+49/60+59.3/3600</f>
        <v>11.83313888888889</v>
      </c>
      <c r="P3911" s="8" t="s">
        <v>17841</v>
      </c>
      <c r="Q3911" s="8">
        <f>+(21+20/60+2/3600)</f>
        <v>21.333888888888886</v>
      </c>
      <c r="R3911" s="8">
        <v>12.8</v>
      </c>
      <c r="S3911" s="8">
        <v>13.8</v>
      </c>
      <c r="T3911" s="8">
        <v>1</v>
      </c>
      <c r="U3911" s="8">
        <v>13.4</v>
      </c>
      <c r="V3911" s="8">
        <v>1.6</v>
      </c>
      <c r="W3911" s="8">
        <v>1.2</v>
      </c>
      <c r="X3911" s="8">
        <v>150</v>
      </c>
      <c r="Y3911" s="8" t="s">
        <v>17842</v>
      </c>
      <c r="Z3911" s="8" t="s">
        <v>17843</v>
      </c>
    </row>
    <row r="3912" spans="1:26" x14ac:dyDescent="0.2">
      <c r="A3912" s="8">
        <v>3911</v>
      </c>
      <c r="B3912" s="8" t="s">
        <v>17844</v>
      </c>
      <c r="C3912" s="8" t="s">
        <v>17844</v>
      </c>
      <c r="F3912" s="47" t="s">
        <v>57069</v>
      </c>
      <c r="G3912" s="8">
        <v>16</v>
      </c>
      <c r="H3912" s="8" t="s">
        <v>21</v>
      </c>
      <c r="I3912" s="8" t="s">
        <v>22</v>
      </c>
      <c r="J3912" s="8" t="s">
        <v>22</v>
      </c>
      <c r="K3912" s="8" t="s">
        <v>85</v>
      </c>
      <c r="L3912" s="8" t="s">
        <v>13194</v>
      </c>
      <c r="M3912" s="8" t="s">
        <v>13195</v>
      </c>
      <c r="N3912" s="8" t="s">
        <v>17845</v>
      </c>
      <c r="O3912" s="8">
        <f>11+50/60+5.9/3600</f>
        <v>11.834972222222223</v>
      </c>
      <c r="P3912" s="8" t="s">
        <v>17846</v>
      </c>
      <c r="Q3912" s="8">
        <f>+(24+55/60+13/3600)</f>
        <v>24.92027777777778</v>
      </c>
      <c r="R3912" s="8">
        <v>14.5</v>
      </c>
      <c r="S3912" s="8">
        <v>15.3</v>
      </c>
      <c r="T3912" s="8">
        <v>0.8</v>
      </c>
      <c r="U3912" s="8">
        <v>14.1</v>
      </c>
      <c r="V3912" s="8">
        <v>1</v>
      </c>
      <c r="W3912" s="8">
        <v>0.8</v>
      </c>
      <c r="X3912" s="8">
        <v>110</v>
      </c>
      <c r="Y3912" s="8" t="s">
        <v>17847</v>
      </c>
      <c r="Z3912" s="8" t="s">
        <v>8437</v>
      </c>
    </row>
    <row r="3913" spans="1:26" x14ac:dyDescent="0.2">
      <c r="A3913" s="8">
        <v>3912</v>
      </c>
      <c r="B3913" s="8" t="s">
        <v>17848</v>
      </c>
      <c r="C3913" s="8" t="s">
        <v>17848</v>
      </c>
      <c r="F3913" s="47" t="s">
        <v>57070</v>
      </c>
      <c r="G3913" s="8">
        <v>6</v>
      </c>
      <c r="H3913" s="8" t="s">
        <v>21</v>
      </c>
      <c r="I3913" s="8" t="s">
        <v>22</v>
      </c>
      <c r="J3913" s="8" t="s">
        <v>22</v>
      </c>
      <c r="K3913" s="8" t="s">
        <v>218</v>
      </c>
      <c r="L3913" s="8" t="s">
        <v>13194</v>
      </c>
      <c r="M3913" s="8" t="s">
        <v>13195</v>
      </c>
      <c r="N3913" s="8" t="s">
        <v>17793</v>
      </c>
      <c r="O3913" s="8">
        <f>11+50/60+4.5/3600</f>
        <v>11.834583333333335</v>
      </c>
      <c r="P3913" s="8" t="s">
        <v>17794</v>
      </c>
      <c r="Q3913" s="8">
        <f>+(26+28/60+49/3600)</f>
        <v>26.480277777777776</v>
      </c>
      <c r="R3913" s="8">
        <v>12.4</v>
      </c>
      <c r="S3913" s="8">
        <v>13.2</v>
      </c>
      <c r="T3913" s="8">
        <v>0.8</v>
      </c>
      <c r="U3913" s="8">
        <v>12.6</v>
      </c>
      <c r="V3913" s="8">
        <v>1.5</v>
      </c>
      <c r="W3913" s="8">
        <v>0.9</v>
      </c>
      <c r="X3913" s="8">
        <v>5</v>
      </c>
      <c r="Y3913" s="8" t="s">
        <v>17849</v>
      </c>
      <c r="Z3913" s="8" t="s">
        <v>17850</v>
      </c>
    </row>
    <row r="3914" spans="1:26" x14ac:dyDescent="0.2">
      <c r="A3914" s="8">
        <v>3913</v>
      </c>
      <c r="B3914" s="8" t="s">
        <v>17851</v>
      </c>
      <c r="C3914" s="8" t="s">
        <v>17851</v>
      </c>
      <c r="F3914" s="47" t="s">
        <v>57071</v>
      </c>
      <c r="G3914" s="8">
        <v>12</v>
      </c>
      <c r="H3914" s="8" t="s">
        <v>21</v>
      </c>
      <c r="I3914" s="8" t="s">
        <v>22</v>
      </c>
      <c r="J3914" s="8" t="s">
        <v>22</v>
      </c>
      <c r="K3914" s="8" t="s">
        <v>3523</v>
      </c>
      <c r="L3914" s="8" t="s">
        <v>12015</v>
      </c>
      <c r="M3914" s="8" t="s">
        <v>12016</v>
      </c>
      <c r="N3914" s="8" t="s">
        <v>17852</v>
      </c>
      <c r="O3914" s="8">
        <f>11+50/60+38.4/3600</f>
        <v>11.844000000000001</v>
      </c>
      <c r="P3914" s="8" t="s">
        <v>17853</v>
      </c>
      <c r="Q3914" s="8">
        <f>+(55+21/60+14/3600)</f>
        <v>55.353888888888889</v>
      </c>
      <c r="R3914" s="8">
        <v>12.6</v>
      </c>
      <c r="S3914" s="8">
        <v>13.2</v>
      </c>
      <c r="T3914" s="8">
        <v>0.6</v>
      </c>
      <c r="U3914" s="8">
        <v>14.5</v>
      </c>
      <c r="V3914" s="8">
        <v>2.6</v>
      </c>
      <c r="W3914" s="8">
        <v>2.6</v>
      </c>
      <c r="Y3914" s="8" t="s">
        <v>1674</v>
      </c>
      <c r="Z3914" s="8" t="s">
        <v>1675</v>
      </c>
    </row>
    <row r="3915" spans="1:26" x14ac:dyDescent="0.2">
      <c r="A3915" s="8">
        <v>3914</v>
      </c>
      <c r="B3915" s="8" t="s">
        <v>17854</v>
      </c>
      <c r="C3915" s="8" t="s">
        <v>17854</v>
      </c>
      <c r="F3915" s="47" t="s">
        <v>57072</v>
      </c>
      <c r="G3915" s="8">
        <v>15</v>
      </c>
      <c r="H3915" s="8" t="s">
        <v>21</v>
      </c>
      <c r="I3915" s="8" t="s">
        <v>22</v>
      </c>
      <c r="J3915" s="8" t="s">
        <v>22</v>
      </c>
      <c r="K3915" s="8" t="s">
        <v>218</v>
      </c>
      <c r="L3915" s="8" t="s">
        <v>17287</v>
      </c>
      <c r="M3915" s="8" t="s">
        <v>17288</v>
      </c>
      <c r="N3915" s="8" t="s">
        <v>17855</v>
      </c>
      <c r="O3915" s="8">
        <f>11+50/60+32.6/3600</f>
        <v>11.842388888888889</v>
      </c>
      <c r="P3915" s="8" t="s">
        <v>17856</v>
      </c>
      <c r="Q3915" s="8">
        <f>+(6+34/60+3/3600)</f>
        <v>6.5674999999999999</v>
      </c>
      <c r="R3915" s="8">
        <v>13.2</v>
      </c>
      <c r="S3915" s="8">
        <v>14</v>
      </c>
      <c r="T3915" s="8">
        <v>0.8</v>
      </c>
      <c r="U3915" s="8">
        <v>12.6</v>
      </c>
      <c r="V3915" s="8">
        <v>1.1000000000000001</v>
      </c>
      <c r="W3915" s="8">
        <v>0.6</v>
      </c>
      <c r="X3915" s="8">
        <v>40</v>
      </c>
      <c r="Y3915" s="8" t="s">
        <v>17857</v>
      </c>
      <c r="Z3915" s="8" t="s">
        <v>17858</v>
      </c>
    </row>
    <row r="3916" spans="1:26" x14ac:dyDescent="0.2">
      <c r="A3916" s="8">
        <v>3915</v>
      </c>
      <c r="B3916" s="8" t="s">
        <v>17859</v>
      </c>
      <c r="C3916" s="8" t="s">
        <v>17859</v>
      </c>
      <c r="F3916" s="47" t="s">
        <v>57073</v>
      </c>
      <c r="G3916" s="8">
        <v>15</v>
      </c>
      <c r="H3916" s="8" t="s">
        <v>21</v>
      </c>
      <c r="I3916" s="8" t="s">
        <v>22</v>
      </c>
      <c r="J3916" s="8" t="s">
        <v>22</v>
      </c>
      <c r="K3916" s="8" t="s">
        <v>632</v>
      </c>
      <c r="L3916" s="8" t="s">
        <v>17287</v>
      </c>
      <c r="M3916" s="8" t="s">
        <v>17288</v>
      </c>
      <c r="N3916" s="8" t="s">
        <v>17860</v>
      </c>
      <c r="O3916" s="8">
        <f>11+49/60+24.2/3600</f>
        <v>11.823388888888889</v>
      </c>
      <c r="P3916" s="8" t="s">
        <v>17861</v>
      </c>
      <c r="Q3916" s="8">
        <f>-(5+7/60+5/3600)</f>
        <v>-5.1180555555555554</v>
      </c>
      <c r="R3916" s="8">
        <v>13.9</v>
      </c>
      <c r="S3916" s="8">
        <v>14.8</v>
      </c>
      <c r="T3916" s="8">
        <v>0.9</v>
      </c>
      <c r="U3916" s="8">
        <v>13.2</v>
      </c>
      <c r="V3916" s="8">
        <v>1.5</v>
      </c>
      <c r="W3916" s="8">
        <v>0.4</v>
      </c>
      <c r="X3916" s="8">
        <v>99</v>
      </c>
      <c r="Y3916" s="8" t="s">
        <v>17862</v>
      </c>
      <c r="Z3916" s="8" t="s">
        <v>17863</v>
      </c>
    </row>
    <row r="3917" spans="1:26" x14ac:dyDescent="0.2">
      <c r="A3917" s="8">
        <v>3916</v>
      </c>
      <c r="B3917" s="8" t="s">
        <v>17864</v>
      </c>
      <c r="C3917" s="8" t="s">
        <v>17864</v>
      </c>
      <c r="F3917" s="47" t="s">
        <v>57074</v>
      </c>
      <c r="G3917" s="8">
        <v>12</v>
      </c>
      <c r="H3917" s="8" t="s">
        <v>21</v>
      </c>
      <c r="I3917" s="8" t="s">
        <v>22</v>
      </c>
      <c r="J3917" s="8" t="s">
        <v>22</v>
      </c>
      <c r="K3917" s="8" t="s">
        <v>23</v>
      </c>
      <c r="L3917" s="8" t="s">
        <v>12015</v>
      </c>
      <c r="M3917" s="8" t="s">
        <v>12016</v>
      </c>
      <c r="N3917" s="8" t="s">
        <v>17865</v>
      </c>
      <c r="O3917" s="8">
        <f>11+50/60+51.2/3600</f>
        <v>11.847555555555557</v>
      </c>
      <c r="P3917" s="8" t="s">
        <v>17866</v>
      </c>
      <c r="Q3917" s="8">
        <f>+(55+8/60+37/3600)</f>
        <v>55.143611111111113</v>
      </c>
      <c r="R3917" s="8">
        <v>13.9</v>
      </c>
      <c r="S3917" s="8">
        <v>14.7</v>
      </c>
      <c r="T3917" s="8">
        <v>0.8</v>
      </c>
      <c r="U3917" s="8">
        <v>13.2</v>
      </c>
      <c r="V3917" s="8">
        <v>1.5</v>
      </c>
      <c r="W3917" s="8">
        <v>0.4</v>
      </c>
      <c r="X3917" s="8">
        <v>45</v>
      </c>
      <c r="Y3917" s="8" t="s">
        <v>17867</v>
      </c>
      <c r="Z3917" s="8" t="s">
        <v>17868</v>
      </c>
    </row>
    <row r="3918" spans="1:26" x14ac:dyDescent="0.2">
      <c r="A3918" s="8">
        <v>3917</v>
      </c>
      <c r="B3918" s="8" t="s">
        <v>17869</v>
      </c>
      <c r="C3918" s="8" t="s">
        <v>17869</v>
      </c>
      <c r="F3918" s="47" t="s">
        <v>57075</v>
      </c>
      <c r="G3918" s="8">
        <v>9</v>
      </c>
      <c r="H3918" s="8" t="s">
        <v>21</v>
      </c>
      <c r="I3918" s="8" t="s">
        <v>22</v>
      </c>
      <c r="J3918" s="8" t="s">
        <v>22</v>
      </c>
      <c r="K3918" s="8" t="s">
        <v>160</v>
      </c>
      <c r="L3918" s="8" t="s">
        <v>12015</v>
      </c>
      <c r="M3918" s="8" t="s">
        <v>12016</v>
      </c>
      <c r="N3918" s="8" t="s">
        <v>17870</v>
      </c>
      <c r="O3918" s="8">
        <f>11+50/60+45.6/3600</f>
        <v>11.846</v>
      </c>
      <c r="P3918" s="8" t="s">
        <v>17871</v>
      </c>
      <c r="Q3918" s="8">
        <f>+(51+49/60+29/3600)</f>
        <v>51.824722222222228</v>
      </c>
      <c r="R3918" s="8">
        <v>11.8</v>
      </c>
      <c r="S3918" s="8">
        <v>12.5</v>
      </c>
      <c r="T3918" s="8">
        <v>0.7</v>
      </c>
      <c r="U3918" s="8">
        <v>13.6</v>
      </c>
      <c r="V3918" s="8">
        <v>5</v>
      </c>
      <c r="W3918" s="8">
        <v>1.1000000000000001</v>
      </c>
      <c r="X3918" s="8">
        <v>77</v>
      </c>
      <c r="Y3918" s="8" t="s">
        <v>17872</v>
      </c>
      <c r="Z3918" s="8" t="s">
        <v>17873</v>
      </c>
    </row>
    <row r="3919" spans="1:26" x14ac:dyDescent="0.2">
      <c r="A3919" s="8">
        <v>3918</v>
      </c>
      <c r="B3919" s="8" t="s">
        <v>17874</v>
      </c>
      <c r="C3919" s="8" t="s">
        <v>17874</v>
      </c>
      <c r="F3919" s="47"/>
      <c r="G3919" s="8">
        <v>5</v>
      </c>
      <c r="H3919" s="8" t="s">
        <v>17875</v>
      </c>
      <c r="I3919" s="8" t="s">
        <v>241</v>
      </c>
      <c r="J3919" s="8" t="s">
        <v>241</v>
      </c>
      <c r="K3919" s="8" t="s">
        <v>241</v>
      </c>
      <c r="L3919" s="8" t="s">
        <v>16195</v>
      </c>
      <c r="M3919" s="8" t="s">
        <v>16196</v>
      </c>
      <c r="N3919" s="8" t="s">
        <v>17876</v>
      </c>
      <c r="O3919" s="8">
        <f>11+50/60+17.8/3600</f>
        <v>11.838277777777778</v>
      </c>
      <c r="P3919" s="8" t="s">
        <v>17877</v>
      </c>
      <c r="Q3919" s="8">
        <f>-(57+10/60+55/3600)</f>
        <v>-57.18194444444444</v>
      </c>
      <c r="R3919" s="8">
        <v>8.1</v>
      </c>
      <c r="S3919" s="8">
        <v>8.4</v>
      </c>
      <c r="T3919" s="8">
        <v>99</v>
      </c>
      <c r="U3919" s="8">
        <v>99</v>
      </c>
      <c r="V3919" s="8">
        <v>0.38</v>
      </c>
      <c r="Y3919" s="8" t="s">
        <v>17878</v>
      </c>
      <c r="Z3919" s="8" t="s">
        <v>17879</v>
      </c>
    </row>
    <row r="3920" spans="1:26" x14ac:dyDescent="0.2">
      <c r="A3920" s="8">
        <v>3919</v>
      </c>
      <c r="B3920" s="8" t="s">
        <v>17880</v>
      </c>
      <c r="C3920" s="8" t="s">
        <v>17880</v>
      </c>
      <c r="F3920" s="47"/>
      <c r="G3920" s="8">
        <v>18</v>
      </c>
      <c r="H3920" s="8" t="s">
        <v>21</v>
      </c>
      <c r="I3920" s="8" t="s">
        <v>22</v>
      </c>
      <c r="J3920" s="8" t="s">
        <v>22</v>
      </c>
      <c r="K3920" s="8" t="s">
        <v>460</v>
      </c>
      <c r="L3920" s="8" t="s">
        <v>13194</v>
      </c>
      <c r="M3920" s="8" t="s">
        <v>13195</v>
      </c>
      <c r="N3920" s="8" t="s">
        <v>17881</v>
      </c>
      <c r="O3920" s="8">
        <f>11+50/60+41.5/3600</f>
        <v>11.844861111111111</v>
      </c>
      <c r="P3920" s="8" t="s">
        <v>17882</v>
      </c>
      <c r="Q3920" s="8">
        <f>+(20+0/60+56/3600)</f>
        <v>20.015555555555554</v>
      </c>
      <c r="R3920" s="8">
        <v>13.3</v>
      </c>
      <c r="S3920" s="8">
        <v>14.3</v>
      </c>
      <c r="T3920" s="8">
        <v>1</v>
      </c>
      <c r="U3920" s="8">
        <v>13.1</v>
      </c>
      <c r="V3920" s="8">
        <v>0.9</v>
      </c>
      <c r="W3920" s="8">
        <v>0.9</v>
      </c>
      <c r="Y3920" s="8" t="s">
        <v>895</v>
      </c>
      <c r="Z3920" s="8" t="s">
        <v>896</v>
      </c>
    </row>
    <row r="3921" spans="1:26" x14ac:dyDescent="0.2">
      <c r="A3921" s="8">
        <v>3920</v>
      </c>
      <c r="B3921" s="8" t="s">
        <v>17883</v>
      </c>
      <c r="C3921" s="8" t="s">
        <v>17883</v>
      </c>
      <c r="G3921" s="8">
        <v>15</v>
      </c>
      <c r="H3921" s="8" t="s">
        <v>21</v>
      </c>
      <c r="I3921" s="8" t="s">
        <v>22</v>
      </c>
      <c r="J3921" s="8" t="s">
        <v>22</v>
      </c>
      <c r="K3921" s="8" t="s">
        <v>85</v>
      </c>
      <c r="L3921" s="8" t="s">
        <v>13194</v>
      </c>
      <c r="M3921" s="8" t="s">
        <v>13195</v>
      </c>
      <c r="N3921" s="8" t="s">
        <v>17884</v>
      </c>
      <c r="O3921" s="8">
        <f>11+49/60+22.1/3600</f>
        <v>11.822805555555556</v>
      </c>
      <c r="P3921" s="8" t="s">
        <v>17885</v>
      </c>
      <c r="Q3921" s="8">
        <f>+(24+56/60+19/3600)</f>
        <v>24.938611111111111</v>
      </c>
      <c r="R3921" s="8">
        <v>13.3</v>
      </c>
      <c r="S3921" s="8">
        <v>14.1</v>
      </c>
      <c r="T3921" s="8">
        <v>0.8</v>
      </c>
      <c r="U3921" s="8">
        <v>13.2</v>
      </c>
      <c r="V3921" s="8">
        <v>1</v>
      </c>
      <c r="W3921" s="8">
        <v>1</v>
      </c>
      <c r="Y3921" s="8" t="s">
        <v>17886</v>
      </c>
      <c r="Z3921" s="8" t="s">
        <v>17887</v>
      </c>
    </row>
    <row r="3922" spans="1:26" x14ac:dyDescent="0.2">
      <c r="A3922" s="8">
        <v>3921</v>
      </c>
      <c r="B3922" s="8" t="s">
        <v>17888</v>
      </c>
      <c r="C3922" s="8" t="s">
        <v>17888</v>
      </c>
      <c r="F3922" s="47" t="s">
        <v>57076</v>
      </c>
      <c r="G3922" s="8">
        <v>12</v>
      </c>
      <c r="H3922" s="8" t="s">
        <v>21</v>
      </c>
      <c r="I3922" s="8" t="s">
        <v>22</v>
      </c>
      <c r="J3922" s="8" t="s">
        <v>22</v>
      </c>
      <c r="K3922" s="8" t="s">
        <v>632</v>
      </c>
      <c r="L3922" s="8" t="s">
        <v>12015</v>
      </c>
      <c r="M3922" s="8" t="s">
        <v>12016</v>
      </c>
      <c r="N3922" s="8" t="s">
        <v>17889</v>
      </c>
      <c r="O3922" s="8">
        <f>11+51/60+6.8/3600</f>
        <v>11.851888888888888</v>
      </c>
      <c r="P3922" s="8" t="s">
        <v>17890</v>
      </c>
      <c r="Q3922" s="8">
        <f>+(55+4/60+46/3600)</f>
        <v>55.079444444444448</v>
      </c>
      <c r="R3922" s="8">
        <v>12.4</v>
      </c>
      <c r="S3922" s="8">
        <v>13.1</v>
      </c>
      <c r="T3922" s="8">
        <v>0.7</v>
      </c>
      <c r="U3922" s="8">
        <v>13.4</v>
      </c>
      <c r="V3922" s="8">
        <v>2.1</v>
      </c>
      <c r="W3922" s="8">
        <v>1.3</v>
      </c>
      <c r="X3922" s="8">
        <v>20</v>
      </c>
      <c r="Y3922" s="8" t="s">
        <v>17891</v>
      </c>
      <c r="Z3922" s="8" t="s">
        <v>17892</v>
      </c>
    </row>
    <row r="3923" spans="1:26" x14ac:dyDescent="0.2">
      <c r="A3923" s="8">
        <v>3922</v>
      </c>
      <c r="B3923" s="8" t="s">
        <v>17893</v>
      </c>
      <c r="C3923" s="8" t="s">
        <v>17893</v>
      </c>
      <c r="F3923" s="47" t="s">
        <v>57077</v>
      </c>
      <c r="G3923" s="8">
        <v>15</v>
      </c>
      <c r="H3923" s="8" t="s">
        <v>21</v>
      </c>
      <c r="I3923" s="8" t="s">
        <v>22</v>
      </c>
      <c r="J3923" s="8" t="s">
        <v>22</v>
      </c>
      <c r="K3923" s="8" t="s">
        <v>632</v>
      </c>
      <c r="L3923" s="8" t="s">
        <v>12015</v>
      </c>
      <c r="M3923" s="8" t="s">
        <v>12016</v>
      </c>
      <c r="N3923" s="8" t="s">
        <v>17894</v>
      </c>
      <c r="O3923" s="8">
        <f>11+51/60+13.4/3600</f>
        <v>11.853722222222222</v>
      </c>
      <c r="P3923" s="8" t="s">
        <v>17895</v>
      </c>
      <c r="Q3923" s="8">
        <f>+(50+9/60+24/3600)</f>
        <v>50.156666666666666</v>
      </c>
      <c r="R3923" s="8">
        <v>12.8</v>
      </c>
      <c r="S3923" s="8">
        <v>13.7</v>
      </c>
      <c r="T3923" s="8">
        <v>0.9</v>
      </c>
      <c r="U3923" s="8">
        <v>12.9</v>
      </c>
      <c r="V3923" s="8">
        <v>1.7</v>
      </c>
      <c r="W3923" s="8">
        <v>0.8</v>
      </c>
      <c r="X3923" s="8">
        <v>38</v>
      </c>
      <c r="Y3923" s="8" t="s">
        <v>282</v>
      </c>
      <c r="Z3923" s="8" t="s">
        <v>283</v>
      </c>
    </row>
    <row r="3924" spans="1:26" x14ac:dyDescent="0.2">
      <c r="A3924" s="8">
        <v>3923</v>
      </c>
      <c r="B3924" s="8" t="s">
        <v>17896</v>
      </c>
      <c r="C3924" s="8" t="s">
        <v>17896</v>
      </c>
      <c r="F3924" s="47" t="s">
        <v>57078</v>
      </c>
      <c r="G3924" s="8">
        <v>3</v>
      </c>
      <c r="H3924" s="8" t="s">
        <v>21</v>
      </c>
      <c r="I3924" s="8" t="s">
        <v>22</v>
      </c>
      <c r="J3924" s="8" t="s">
        <v>22</v>
      </c>
      <c r="K3924" s="8" t="s">
        <v>50</v>
      </c>
      <c r="L3924" s="8" t="s">
        <v>11765</v>
      </c>
      <c r="M3924" s="8" t="s">
        <v>11766</v>
      </c>
      <c r="N3924" s="8" t="s">
        <v>17897</v>
      </c>
      <c r="O3924" s="8">
        <f>11+51/60+1.6/3600</f>
        <v>11.850444444444443</v>
      </c>
      <c r="P3924" s="8" t="s">
        <v>17898</v>
      </c>
      <c r="Q3924" s="8">
        <f>-(28+48/60+21/3600)</f>
        <v>-28.805833333333332</v>
      </c>
      <c r="R3924" s="8">
        <v>9.8000000000000007</v>
      </c>
      <c r="S3924" s="8">
        <v>10.8</v>
      </c>
      <c r="T3924" s="8">
        <v>1</v>
      </c>
      <c r="U3924" s="8">
        <v>13.2</v>
      </c>
      <c r="V3924" s="8">
        <v>5.9</v>
      </c>
      <c r="W3924" s="8">
        <v>3.9</v>
      </c>
      <c r="X3924" s="8">
        <v>50</v>
      </c>
      <c r="Y3924" s="8" t="s">
        <v>17899</v>
      </c>
      <c r="Z3924" s="8" t="s">
        <v>17900</v>
      </c>
    </row>
    <row r="3925" spans="1:26" x14ac:dyDescent="0.2">
      <c r="A3925" s="8">
        <v>3924</v>
      </c>
      <c r="B3925" s="8" t="s">
        <v>17901</v>
      </c>
      <c r="C3925" s="8" t="s">
        <v>17901</v>
      </c>
      <c r="F3925" s="50" t="s">
        <v>57079</v>
      </c>
      <c r="G3925" s="8">
        <v>15</v>
      </c>
      <c r="H3925" s="8" t="s">
        <v>21</v>
      </c>
      <c r="I3925" s="8" t="s">
        <v>22</v>
      </c>
      <c r="J3925" s="8" t="s">
        <v>57</v>
      </c>
      <c r="K3925" s="8" t="s">
        <v>632</v>
      </c>
      <c r="L3925" s="8" t="s">
        <v>12015</v>
      </c>
      <c r="M3925" s="8" t="s">
        <v>12016</v>
      </c>
      <c r="N3925" s="8" t="s">
        <v>17894</v>
      </c>
      <c r="O3925" s="8">
        <f>11+51/60+13.4/3600</f>
        <v>11.853722222222222</v>
      </c>
      <c r="P3925" s="8" t="s">
        <v>17895</v>
      </c>
      <c r="Q3925" s="8">
        <f>+(50+9/60+24/3600)</f>
        <v>50.156666666666666</v>
      </c>
      <c r="R3925" s="8">
        <v>12.8</v>
      </c>
      <c r="S3925" s="8">
        <v>13.7</v>
      </c>
      <c r="T3925" s="8">
        <v>0.9</v>
      </c>
      <c r="U3925" s="8">
        <v>12.9</v>
      </c>
      <c r="V3925" s="8">
        <v>1.7</v>
      </c>
      <c r="W3925" s="8">
        <v>0.8</v>
      </c>
      <c r="X3925" s="8">
        <v>38</v>
      </c>
      <c r="Y3925" s="8" t="s">
        <v>282</v>
      </c>
      <c r="Z3925" s="8" t="s">
        <v>17902</v>
      </c>
    </row>
    <row r="3926" spans="1:26" x14ac:dyDescent="0.2">
      <c r="A3926" s="8">
        <v>3925</v>
      </c>
      <c r="B3926" s="8" t="s">
        <v>17903</v>
      </c>
      <c r="C3926" s="8" t="s">
        <v>17903</v>
      </c>
      <c r="F3926" s="47"/>
      <c r="G3926" s="8">
        <v>18</v>
      </c>
      <c r="H3926" s="8" t="s">
        <v>21</v>
      </c>
      <c r="I3926" s="8" t="s">
        <v>22</v>
      </c>
      <c r="J3926" s="8" t="s">
        <v>22</v>
      </c>
      <c r="K3926" s="8" t="s">
        <v>23</v>
      </c>
      <c r="L3926" s="8" t="s">
        <v>13194</v>
      </c>
      <c r="M3926" s="8" t="s">
        <v>13195</v>
      </c>
      <c r="N3926" s="8" t="s">
        <v>17904</v>
      </c>
      <c r="O3926" s="8">
        <f>11+51/60+20.9/3600</f>
        <v>11.855805555555555</v>
      </c>
      <c r="P3926" s="8" t="s">
        <v>17905</v>
      </c>
      <c r="Q3926" s="8">
        <f>+(21+53/60+19/3600)</f>
        <v>21.888611111111111</v>
      </c>
      <c r="R3926" s="8">
        <v>14.5</v>
      </c>
      <c r="S3926" s="8">
        <v>15.3</v>
      </c>
      <c r="T3926" s="8">
        <v>0.8</v>
      </c>
      <c r="U3926" s="8">
        <v>13.2</v>
      </c>
      <c r="V3926" s="8">
        <v>0.7</v>
      </c>
      <c r="W3926" s="8">
        <v>0.5</v>
      </c>
      <c r="X3926" s="8">
        <v>3</v>
      </c>
      <c r="Y3926" s="8" t="s">
        <v>282</v>
      </c>
      <c r="Z3926" s="8" t="s">
        <v>283</v>
      </c>
    </row>
    <row r="3927" spans="1:26" x14ac:dyDescent="0.2">
      <c r="A3927" s="8">
        <v>3926</v>
      </c>
      <c r="B3927" s="8" t="s">
        <v>17906</v>
      </c>
      <c r="C3927" s="8" t="s">
        <v>17906</v>
      </c>
      <c r="D3927" s="8" t="s">
        <v>351</v>
      </c>
      <c r="F3927" s="47" t="s">
        <v>57080</v>
      </c>
      <c r="G3927" s="8">
        <v>15</v>
      </c>
      <c r="H3927" s="8" t="s">
        <v>21</v>
      </c>
      <c r="I3927" s="8" t="s">
        <v>22</v>
      </c>
      <c r="J3927" s="8" t="s">
        <v>22</v>
      </c>
      <c r="K3927" s="8" t="s">
        <v>58</v>
      </c>
      <c r="L3927" s="8" t="s">
        <v>13194</v>
      </c>
      <c r="M3927" s="8" t="s">
        <v>13195</v>
      </c>
      <c r="N3927" s="8" t="s">
        <v>17907</v>
      </c>
      <c r="O3927" s="8">
        <f>11+51/60+26.5/3600</f>
        <v>11.857361111111111</v>
      </c>
      <c r="P3927" s="8" t="s">
        <v>17908</v>
      </c>
      <c r="Q3927" s="8">
        <f>+(22+1/60+42/3600)</f>
        <v>22.028333333333332</v>
      </c>
      <c r="R3927" s="8">
        <v>14.3</v>
      </c>
      <c r="S3927" s="8">
        <v>15.3</v>
      </c>
      <c r="T3927" s="8">
        <v>1</v>
      </c>
      <c r="U3927" s="8">
        <v>12.6</v>
      </c>
      <c r="V3927" s="8">
        <v>0.5</v>
      </c>
      <c r="W3927" s="8">
        <v>0.4</v>
      </c>
      <c r="X3927" s="8">
        <v>117</v>
      </c>
      <c r="Y3927" s="8" t="s">
        <v>17909</v>
      </c>
      <c r="Z3927" s="8" t="s">
        <v>17910</v>
      </c>
    </row>
    <row r="3928" spans="1:26" x14ac:dyDescent="0.2">
      <c r="A3928" s="8">
        <v>3927</v>
      </c>
      <c r="B3928" s="8" t="s">
        <v>17911</v>
      </c>
      <c r="C3928" s="8" t="s">
        <v>17911</v>
      </c>
      <c r="F3928" s="47"/>
      <c r="G3928" s="8">
        <v>18</v>
      </c>
      <c r="H3928" s="8" t="s">
        <v>21</v>
      </c>
      <c r="I3928" s="8" t="s">
        <v>22</v>
      </c>
      <c r="J3928" s="8" t="s">
        <v>57</v>
      </c>
      <c r="K3928" s="8" t="s">
        <v>58</v>
      </c>
      <c r="L3928" s="8" t="s">
        <v>13194</v>
      </c>
      <c r="M3928" s="8" t="s">
        <v>13195</v>
      </c>
      <c r="N3928" s="8" t="s">
        <v>17016</v>
      </c>
      <c r="O3928" s="8">
        <f>11+31/60+41.9/3600</f>
        <v>11.528305555555557</v>
      </c>
      <c r="P3928" s="8" t="s">
        <v>17017</v>
      </c>
      <c r="Q3928" s="8">
        <f>+(28+9/60+14/3600)</f>
        <v>28.153888888888886</v>
      </c>
      <c r="R3928" s="8">
        <v>13.2</v>
      </c>
      <c r="S3928" s="8">
        <v>14.2</v>
      </c>
      <c r="T3928" s="8">
        <v>1</v>
      </c>
      <c r="U3928" s="8">
        <v>13</v>
      </c>
      <c r="V3928" s="8">
        <v>1.2</v>
      </c>
      <c r="W3928" s="8">
        <v>0.8</v>
      </c>
      <c r="X3928" s="8">
        <v>125</v>
      </c>
      <c r="Y3928" s="8" t="s">
        <v>17912</v>
      </c>
      <c r="Z3928" s="8" t="s">
        <v>17913</v>
      </c>
    </row>
    <row r="3929" spans="1:26" x14ac:dyDescent="0.2">
      <c r="A3929" s="8">
        <v>3928</v>
      </c>
      <c r="B3929" s="8" t="s">
        <v>17914</v>
      </c>
      <c r="C3929" s="8" t="s">
        <v>17914</v>
      </c>
      <c r="F3929" s="47" t="s">
        <v>57081</v>
      </c>
      <c r="G3929" s="8">
        <v>14</v>
      </c>
      <c r="H3929" s="8" t="s">
        <v>17915</v>
      </c>
      <c r="I3929" s="8" t="s">
        <v>22</v>
      </c>
      <c r="J3929" s="8" t="s">
        <v>22</v>
      </c>
      <c r="K3929" s="8" t="s">
        <v>460</v>
      </c>
      <c r="L3929" s="8" t="s">
        <v>12015</v>
      </c>
      <c r="M3929" s="8" t="s">
        <v>12016</v>
      </c>
      <c r="N3929" s="8" t="s">
        <v>17916</v>
      </c>
      <c r="O3929" s="8">
        <f>11+51/60+47.6/3600</f>
        <v>11.863222222222221</v>
      </c>
      <c r="P3929" s="8" t="s">
        <v>17917</v>
      </c>
      <c r="Q3929" s="8">
        <f>+(48+40/60+59/3600)</f>
        <v>48.683055555555555</v>
      </c>
      <c r="R3929" s="8">
        <v>12.6</v>
      </c>
      <c r="S3929" s="8">
        <v>13.2</v>
      </c>
      <c r="T3929" s="8">
        <v>0.6</v>
      </c>
      <c r="U3929" s="8">
        <v>13.4</v>
      </c>
      <c r="V3929" s="8">
        <v>1.5</v>
      </c>
      <c r="W3929" s="8">
        <v>1.5</v>
      </c>
      <c r="Y3929" s="8" t="s">
        <v>17891</v>
      </c>
      <c r="Z3929" s="8" t="s">
        <v>17892</v>
      </c>
    </row>
    <row r="3930" spans="1:26" x14ac:dyDescent="0.2">
      <c r="A3930" s="8">
        <v>3929</v>
      </c>
      <c r="B3930" s="8" t="s">
        <v>17918</v>
      </c>
      <c r="C3930" s="8" t="s">
        <v>17918</v>
      </c>
      <c r="F3930" s="47"/>
      <c r="G3930" s="8">
        <v>18</v>
      </c>
      <c r="H3930" s="8" t="s">
        <v>21</v>
      </c>
      <c r="I3930" s="8" t="s">
        <v>22</v>
      </c>
      <c r="J3930" s="8" t="s">
        <v>22</v>
      </c>
      <c r="K3930" s="8" t="s">
        <v>382</v>
      </c>
      <c r="L3930" s="8" t="s">
        <v>13194</v>
      </c>
      <c r="M3930" s="8" t="s">
        <v>13195</v>
      </c>
      <c r="N3930" s="8" t="s">
        <v>17919</v>
      </c>
      <c r="O3930" s="8">
        <f>11+51/60+42.5/3600</f>
        <v>11.861805555555556</v>
      </c>
      <c r="P3930" s="8" t="s">
        <v>17920</v>
      </c>
      <c r="Q3930" s="8">
        <f>+(21+0/60+12/3600)</f>
        <v>21.003333333333334</v>
      </c>
      <c r="R3930" s="8">
        <v>14</v>
      </c>
      <c r="S3930" s="8">
        <v>15</v>
      </c>
      <c r="T3930" s="8">
        <v>1</v>
      </c>
      <c r="U3930" s="8">
        <v>12.4</v>
      </c>
      <c r="V3930" s="8">
        <v>0.6</v>
      </c>
      <c r="W3930" s="8">
        <v>0.4</v>
      </c>
      <c r="X3930" s="8">
        <v>80</v>
      </c>
      <c r="Y3930" s="8" t="s">
        <v>13016</v>
      </c>
      <c r="Z3930" s="8" t="s">
        <v>13017</v>
      </c>
    </row>
    <row r="3931" spans="1:26" x14ac:dyDescent="0.2">
      <c r="A3931" s="8">
        <v>3930</v>
      </c>
      <c r="B3931" s="8" t="s">
        <v>17921</v>
      </c>
      <c r="C3931" s="8" t="s">
        <v>17921</v>
      </c>
      <c r="F3931" s="47" t="s">
        <v>57082</v>
      </c>
      <c r="G3931" s="8">
        <v>15</v>
      </c>
      <c r="H3931" s="8" t="s">
        <v>21</v>
      </c>
      <c r="I3931" s="8" t="s">
        <v>22</v>
      </c>
      <c r="J3931" s="8" t="s">
        <v>22</v>
      </c>
      <c r="K3931" s="8" t="s">
        <v>64</v>
      </c>
      <c r="L3931" s="8" t="s">
        <v>12015</v>
      </c>
      <c r="M3931" s="8" t="s">
        <v>12016</v>
      </c>
      <c r="N3931" s="8" t="s">
        <v>17922</v>
      </c>
      <c r="O3931" s="8">
        <f>11+51/60+45.7/3600</f>
        <v>11.862694444444443</v>
      </c>
      <c r="P3931" s="8" t="s">
        <v>17923</v>
      </c>
      <c r="Q3931" s="8">
        <f>+(38+0/60+52/3600)</f>
        <v>38.014444444444443</v>
      </c>
      <c r="R3931" s="8">
        <v>12.4</v>
      </c>
      <c r="S3931" s="8">
        <v>13.1</v>
      </c>
      <c r="T3931" s="8">
        <v>0.7</v>
      </c>
      <c r="U3931" s="8">
        <v>14.5</v>
      </c>
      <c r="V3931" s="8">
        <v>3</v>
      </c>
      <c r="W3931" s="8">
        <v>2.2999999999999998</v>
      </c>
      <c r="X3931" s="8">
        <v>30</v>
      </c>
      <c r="Y3931" s="8" t="s">
        <v>17924</v>
      </c>
      <c r="Z3931" s="8" t="s">
        <v>17925</v>
      </c>
    </row>
    <row r="3932" spans="1:26" x14ac:dyDescent="0.2">
      <c r="A3932" s="8">
        <v>3931</v>
      </c>
      <c r="B3932" s="8" t="s">
        <v>17926</v>
      </c>
      <c r="C3932" s="8" t="s">
        <v>17926</v>
      </c>
      <c r="F3932" s="47" t="s">
        <v>57083</v>
      </c>
      <c r="G3932" s="8">
        <v>15</v>
      </c>
      <c r="H3932" s="8" t="s">
        <v>21</v>
      </c>
      <c r="I3932" s="8" t="s">
        <v>22</v>
      </c>
      <c r="J3932" s="8" t="s">
        <v>22</v>
      </c>
      <c r="K3932" s="8" t="s">
        <v>58</v>
      </c>
      <c r="L3932" s="8" t="s">
        <v>12015</v>
      </c>
      <c r="M3932" s="8" t="s">
        <v>12016</v>
      </c>
      <c r="N3932" s="8" t="s">
        <v>17894</v>
      </c>
      <c r="O3932" s="8">
        <f>11+51/60+13.4/3600</f>
        <v>11.853722222222222</v>
      </c>
      <c r="P3932" s="8" t="s">
        <v>17927</v>
      </c>
      <c r="Q3932" s="8">
        <f>+(52+0/60+5/3600)</f>
        <v>52.00138888888889</v>
      </c>
      <c r="R3932" s="8">
        <v>13.4</v>
      </c>
      <c r="S3932" s="8">
        <v>14.4</v>
      </c>
      <c r="T3932" s="8">
        <v>1</v>
      </c>
      <c r="U3932" s="8">
        <v>13.2</v>
      </c>
      <c r="V3932" s="8">
        <v>1.1000000000000001</v>
      </c>
      <c r="W3932" s="8">
        <v>0.9</v>
      </c>
      <c r="X3932" s="8">
        <v>160</v>
      </c>
      <c r="Y3932" s="8" t="s">
        <v>17878</v>
      </c>
      <c r="Z3932" s="8" t="s">
        <v>746</v>
      </c>
    </row>
    <row r="3933" spans="1:26" x14ac:dyDescent="0.2">
      <c r="A3933" s="8">
        <v>3932</v>
      </c>
      <c r="B3933" s="8" t="s">
        <v>17928</v>
      </c>
      <c r="C3933" s="8" t="s">
        <v>17928</v>
      </c>
      <c r="F3933" s="47"/>
      <c r="G3933" s="8">
        <v>18</v>
      </c>
      <c r="H3933" s="8" t="s">
        <v>21</v>
      </c>
      <c r="I3933" s="8" t="s">
        <v>72</v>
      </c>
      <c r="J3933" s="8" t="s">
        <v>72</v>
      </c>
      <c r="K3933" s="8" t="s">
        <v>20</v>
      </c>
      <c r="L3933" s="8" t="s">
        <v>12015</v>
      </c>
      <c r="M3933" s="8" t="s">
        <v>12016</v>
      </c>
      <c r="N3933" s="8" t="s">
        <v>17929</v>
      </c>
      <c r="O3933" s="8">
        <f>11+51/60+53/3600</f>
        <v>11.864722222222222</v>
      </c>
      <c r="P3933" s="8" t="s">
        <v>17930</v>
      </c>
      <c r="Q3933" s="8">
        <f>+(48+40/60+3/3600)</f>
        <v>48.667499999999997</v>
      </c>
      <c r="R3933" s="8">
        <v>99</v>
      </c>
      <c r="S3933" s="8">
        <v>13.6</v>
      </c>
      <c r="T3933" s="8">
        <v>99</v>
      </c>
      <c r="U3933" s="8">
        <v>99</v>
      </c>
      <c r="Y3933" s="8" t="s">
        <v>17931</v>
      </c>
      <c r="Z3933" s="8" t="s">
        <v>17932</v>
      </c>
    </row>
    <row r="3934" spans="1:26" x14ac:dyDescent="0.2">
      <c r="A3934" s="8">
        <v>3933</v>
      </c>
      <c r="B3934" s="8" t="s">
        <v>17933</v>
      </c>
      <c r="C3934" s="8" t="s">
        <v>17933</v>
      </c>
      <c r="F3934" s="47"/>
      <c r="G3934" s="8">
        <v>18</v>
      </c>
      <c r="H3934" s="8" t="s">
        <v>21</v>
      </c>
      <c r="I3934" s="8" t="s">
        <v>22</v>
      </c>
      <c r="J3934" s="8" t="s">
        <v>22</v>
      </c>
      <c r="K3934" s="8" t="s">
        <v>476</v>
      </c>
      <c r="L3934" s="8" t="s">
        <v>13194</v>
      </c>
      <c r="M3934" s="8" t="s">
        <v>13195</v>
      </c>
      <c r="N3934" s="8" t="s">
        <v>17934</v>
      </c>
      <c r="O3934" s="8">
        <f>11+52/60+1.9/3600</f>
        <v>11.867194444444445</v>
      </c>
      <c r="P3934" s="8" t="s">
        <v>17935</v>
      </c>
      <c r="Q3934" s="8">
        <f>+(16+48/60+36/3600)</f>
        <v>16.810000000000002</v>
      </c>
      <c r="R3934" s="8">
        <v>13.6</v>
      </c>
      <c r="S3934" s="8">
        <v>14.3</v>
      </c>
      <c r="T3934" s="8">
        <v>0.7</v>
      </c>
      <c r="U3934" s="8">
        <v>13</v>
      </c>
      <c r="V3934" s="8">
        <v>1.1000000000000001</v>
      </c>
      <c r="W3934" s="8">
        <v>0.6</v>
      </c>
      <c r="X3934" s="8">
        <v>83</v>
      </c>
      <c r="Y3934" s="8" t="s">
        <v>17936</v>
      </c>
      <c r="Z3934" s="8" t="s">
        <v>17937</v>
      </c>
    </row>
    <row r="3935" spans="1:26" x14ac:dyDescent="0.2">
      <c r="A3935" s="8">
        <v>3934</v>
      </c>
      <c r="B3935" s="8" t="s">
        <v>17938</v>
      </c>
      <c r="C3935" s="8" t="s">
        <v>17938</v>
      </c>
      <c r="F3935" s="47"/>
      <c r="G3935" s="8">
        <v>18</v>
      </c>
      <c r="H3935" s="8" t="s">
        <v>21</v>
      </c>
      <c r="I3935" s="8" t="s">
        <v>22</v>
      </c>
      <c r="J3935" s="8" t="s">
        <v>22</v>
      </c>
      <c r="K3935" s="8" t="s">
        <v>23</v>
      </c>
      <c r="L3935" s="8" t="s">
        <v>13194</v>
      </c>
      <c r="M3935" s="8" t="s">
        <v>13195</v>
      </c>
      <c r="N3935" s="8" t="s">
        <v>17939</v>
      </c>
      <c r="O3935" s="8">
        <f>11+52/60+12.5/3600</f>
        <v>11.870138888888889</v>
      </c>
      <c r="P3935" s="8" t="s">
        <v>17940</v>
      </c>
      <c r="Q3935" s="8">
        <f>+(16+51/60+6/3600)</f>
        <v>16.851666666666667</v>
      </c>
      <c r="R3935" s="8">
        <v>13.6</v>
      </c>
      <c r="S3935" s="8">
        <v>14.4</v>
      </c>
      <c r="T3935" s="8">
        <v>0.8</v>
      </c>
      <c r="U3935" s="8">
        <v>13.6</v>
      </c>
      <c r="V3935" s="8">
        <v>1.1000000000000001</v>
      </c>
      <c r="W3935" s="8">
        <v>1</v>
      </c>
      <c r="X3935" s="8">
        <v>66</v>
      </c>
      <c r="Y3935" s="8" t="s">
        <v>11371</v>
      </c>
      <c r="Z3935" s="8" t="s">
        <v>11372</v>
      </c>
    </row>
    <row r="3936" spans="1:26" x14ac:dyDescent="0.2">
      <c r="A3936" s="8">
        <v>3935</v>
      </c>
      <c r="B3936" s="8" t="s">
        <v>17941</v>
      </c>
      <c r="C3936" s="8" t="s">
        <v>17941</v>
      </c>
      <c r="F3936" s="47"/>
      <c r="G3936" s="8">
        <v>16</v>
      </c>
      <c r="H3936" s="8" t="s">
        <v>21</v>
      </c>
      <c r="I3936" s="8" t="s">
        <v>22</v>
      </c>
      <c r="J3936" s="8" t="s">
        <v>22</v>
      </c>
      <c r="K3936" s="8" t="s">
        <v>23</v>
      </c>
      <c r="L3936" s="8" t="s">
        <v>12015</v>
      </c>
      <c r="M3936" s="8" t="s">
        <v>12016</v>
      </c>
      <c r="N3936" s="8" t="s">
        <v>17942</v>
      </c>
      <c r="O3936" s="8">
        <f>11+52/60+23.9/3600</f>
        <v>11.873305555555556</v>
      </c>
      <c r="P3936" s="8" t="s">
        <v>17943</v>
      </c>
      <c r="Q3936" s="8">
        <f>+(32+24/60+16/3600)</f>
        <v>32.404444444444444</v>
      </c>
      <c r="R3936" s="8">
        <v>13.3</v>
      </c>
      <c r="S3936" s="8">
        <v>14.1</v>
      </c>
      <c r="T3936" s="8">
        <v>0.8</v>
      </c>
      <c r="U3936" s="8">
        <v>12.5</v>
      </c>
      <c r="V3936" s="8">
        <v>1.1000000000000001</v>
      </c>
      <c r="W3936" s="8">
        <v>0.5</v>
      </c>
      <c r="X3936" s="8">
        <v>114</v>
      </c>
      <c r="Y3936" s="8" t="s">
        <v>17944</v>
      </c>
      <c r="Z3936" s="8" t="s">
        <v>17945</v>
      </c>
    </row>
    <row r="3937" spans="1:26" x14ac:dyDescent="0.2">
      <c r="A3937" s="8">
        <v>3936</v>
      </c>
      <c r="B3937" s="8" t="s">
        <v>17946</v>
      </c>
      <c r="C3937" s="8" t="s">
        <v>17946</v>
      </c>
      <c r="F3937" s="47"/>
      <c r="G3937" s="8">
        <v>12</v>
      </c>
      <c r="H3937" s="8" t="s">
        <v>21</v>
      </c>
      <c r="I3937" s="8" t="s">
        <v>22</v>
      </c>
      <c r="J3937" s="8" t="s">
        <v>22</v>
      </c>
      <c r="K3937" s="8" t="s">
        <v>85</v>
      </c>
      <c r="L3937" s="8" t="s">
        <v>11765</v>
      </c>
      <c r="M3937" s="8" t="s">
        <v>11766</v>
      </c>
      <c r="N3937" s="8" t="s">
        <v>17947</v>
      </c>
      <c r="O3937" s="8">
        <f>11+52/60+20.4/3600</f>
        <v>11.872333333333334</v>
      </c>
      <c r="P3937" s="8" t="s">
        <v>17948</v>
      </c>
      <c r="Q3937" s="8">
        <f>-(26+54/60+21/3600)</f>
        <v>-26.90583333333333</v>
      </c>
      <c r="R3937" s="8">
        <v>12.1</v>
      </c>
      <c r="S3937" s="8">
        <v>12.9</v>
      </c>
      <c r="T3937" s="8">
        <v>0.8</v>
      </c>
      <c r="U3937" s="8">
        <v>12.9</v>
      </c>
      <c r="V3937" s="8">
        <v>3.9</v>
      </c>
      <c r="W3937" s="8">
        <v>0.7</v>
      </c>
      <c r="X3937" s="8">
        <v>63</v>
      </c>
      <c r="Y3937" s="8" t="s">
        <v>17949</v>
      </c>
      <c r="Z3937" s="8" t="s">
        <v>17950</v>
      </c>
    </row>
    <row r="3938" spans="1:26" x14ac:dyDescent="0.2">
      <c r="A3938" s="8">
        <v>3937</v>
      </c>
      <c r="B3938" s="8" t="s">
        <v>17951</v>
      </c>
      <c r="C3938" s="8" t="s">
        <v>17951</v>
      </c>
      <c r="F3938" s="47" t="s">
        <v>57084</v>
      </c>
      <c r="G3938" s="8">
        <v>15</v>
      </c>
      <c r="H3938" s="8" t="s">
        <v>21</v>
      </c>
      <c r="I3938" s="8" t="s">
        <v>22</v>
      </c>
      <c r="J3938" s="8" t="s">
        <v>22</v>
      </c>
      <c r="K3938" s="8" t="s">
        <v>58</v>
      </c>
      <c r="L3938" s="8" t="s">
        <v>13194</v>
      </c>
      <c r="M3938" s="8" t="s">
        <v>13195</v>
      </c>
      <c r="N3938" s="8" t="s">
        <v>17952</v>
      </c>
      <c r="O3938" s="8">
        <f>11+52/60+42.6/3600</f>
        <v>11.878500000000001</v>
      </c>
      <c r="P3938" s="8" t="s">
        <v>17953</v>
      </c>
      <c r="Q3938" s="8">
        <f>+(20+37/60+54/3600)</f>
        <v>20.631666666666668</v>
      </c>
      <c r="R3938" s="8">
        <v>12.5</v>
      </c>
      <c r="S3938" s="8">
        <v>13.4</v>
      </c>
      <c r="T3938" s="8">
        <v>0.9</v>
      </c>
      <c r="U3938" s="8">
        <v>13.5</v>
      </c>
      <c r="V3938" s="8">
        <v>1.8</v>
      </c>
      <c r="W3938" s="8">
        <v>1.6</v>
      </c>
      <c r="X3938" s="8">
        <v>15</v>
      </c>
      <c r="Y3938" s="8" t="s">
        <v>11836</v>
      </c>
      <c r="Z3938" s="8" t="s">
        <v>11837</v>
      </c>
    </row>
    <row r="3939" spans="1:26" x14ac:dyDescent="0.2">
      <c r="A3939" s="8">
        <v>3938</v>
      </c>
      <c r="B3939" s="8" t="s">
        <v>17954</v>
      </c>
      <c r="C3939" s="8" t="s">
        <v>17954</v>
      </c>
      <c r="F3939" s="47" t="s">
        <v>57085</v>
      </c>
      <c r="G3939" s="8">
        <v>6</v>
      </c>
      <c r="H3939" s="8" t="s">
        <v>21</v>
      </c>
      <c r="I3939" s="8" t="s">
        <v>22</v>
      </c>
      <c r="J3939" s="8" t="s">
        <v>22</v>
      </c>
      <c r="K3939" s="8" t="s">
        <v>160</v>
      </c>
      <c r="L3939" s="8" t="s">
        <v>12015</v>
      </c>
      <c r="M3939" s="8" t="s">
        <v>12016</v>
      </c>
      <c r="N3939" s="8" t="s">
        <v>17955</v>
      </c>
      <c r="O3939" s="8">
        <f>11+52/60+49.2/3600</f>
        <v>11.880333333333335</v>
      </c>
      <c r="P3939" s="8" t="s">
        <v>17956</v>
      </c>
      <c r="Q3939" s="8">
        <f>+(44+7/60+17/3600)</f>
        <v>44.121388888888887</v>
      </c>
      <c r="R3939" s="8">
        <v>10.4</v>
      </c>
      <c r="S3939" s="8">
        <v>10.9</v>
      </c>
      <c r="T3939" s="8">
        <v>0.5</v>
      </c>
      <c r="U3939" s="8">
        <v>13.8</v>
      </c>
      <c r="V3939" s="8">
        <v>5.4</v>
      </c>
      <c r="W3939" s="8">
        <v>4.9000000000000004</v>
      </c>
      <c r="X3939" s="8">
        <v>0</v>
      </c>
      <c r="Y3939" s="8" t="s">
        <v>17957</v>
      </c>
      <c r="Z3939" s="8" t="s">
        <v>17958</v>
      </c>
    </row>
    <row r="3940" spans="1:26" x14ac:dyDescent="0.2">
      <c r="A3940" s="8">
        <v>3939</v>
      </c>
      <c r="B3940" s="8" t="s">
        <v>17959</v>
      </c>
      <c r="C3940" s="8" t="s">
        <v>17959</v>
      </c>
      <c r="F3940" s="50" t="s">
        <v>57086</v>
      </c>
      <c r="G3940" s="8">
        <v>15</v>
      </c>
      <c r="H3940" s="8" t="s">
        <v>21</v>
      </c>
      <c r="I3940" s="8" t="s">
        <v>22</v>
      </c>
      <c r="J3940" s="8" t="s">
        <v>57</v>
      </c>
      <c r="K3940" s="8" t="s">
        <v>160</v>
      </c>
      <c r="L3940" s="8" t="s">
        <v>13395</v>
      </c>
      <c r="M3940" s="8" t="s">
        <v>13396</v>
      </c>
      <c r="N3940" s="8" t="s">
        <v>17756</v>
      </c>
      <c r="O3940" s="8">
        <f>11+49/60+19.5/3600</f>
        <v>11.822083333333333</v>
      </c>
      <c r="P3940" s="8" t="s">
        <v>17757</v>
      </c>
      <c r="Q3940" s="8">
        <f>+(74+18/60+7/3600)</f>
        <v>74.301944444444445</v>
      </c>
      <c r="R3940" s="8">
        <v>13.3</v>
      </c>
      <c r="S3940" s="8">
        <v>14</v>
      </c>
      <c r="T3940" s="8">
        <v>0.7</v>
      </c>
      <c r="U3940" s="8">
        <v>12.9</v>
      </c>
      <c r="V3940" s="8">
        <v>0.9</v>
      </c>
      <c r="W3940" s="8">
        <v>0.9</v>
      </c>
      <c r="Y3940" s="8" t="s">
        <v>17960</v>
      </c>
      <c r="Z3940" s="8" t="s">
        <v>17961</v>
      </c>
    </row>
    <row r="3941" spans="1:26" x14ac:dyDescent="0.2">
      <c r="A3941" s="8">
        <v>3940</v>
      </c>
      <c r="B3941" s="8" t="s">
        <v>17962</v>
      </c>
      <c r="C3941" s="8" t="s">
        <v>17962</v>
      </c>
      <c r="F3941" s="47" t="s">
        <v>57087</v>
      </c>
      <c r="G3941" s="8">
        <v>15</v>
      </c>
      <c r="H3941" s="8" t="s">
        <v>21</v>
      </c>
      <c r="I3941" s="8" t="s">
        <v>22</v>
      </c>
      <c r="J3941" s="8" t="s">
        <v>22</v>
      </c>
      <c r="K3941" s="8" t="s">
        <v>183</v>
      </c>
      <c r="L3941" s="8" t="s">
        <v>13194</v>
      </c>
      <c r="M3941" s="8" t="s">
        <v>13195</v>
      </c>
      <c r="N3941" s="8" t="s">
        <v>17963</v>
      </c>
      <c r="O3941" s="8">
        <f>11+52/60+46.5/3600</f>
        <v>11.879583333333334</v>
      </c>
      <c r="P3941" s="8" t="s">
        <v>17964</v>
      </c>
      <c r="Q3941" s="8">
        <f>+(20+59/60+23/3600)</f>
        <v>20.989722222222223</v>
      </c>
      <c r="R3941" s="8">
        <v>12.8</v>
      </c>
      <c r="S3941" s="8">
        <v>13.8</v>
      </c>
      <c r="T3941" s="8">
        <v>1</v>
      </c>
      <c r="U3941" s="8">
        <v>13.9</v>
      </c>
      <c r="V3941" s="8">
        <v>1.7</v>
      </c>
      <c r="W3941" s="8">
        <v>1.6</v>
      </c>
      <c r="X3941" s="8">
        <v>99</v>
      </c>
      <c r="Y3941" s="8" t="s">
        <v>11836</v>
      </c>
      <c r="Z3941" s="8" t="s">
        <v>11837</v>
      </c>
    </row>
    <row r="3942" spans="1:26" x14ac:dyDescent="0.2">
      <c r="A3942" s="8">
        <v>3941</v>
      </c>
      <c r="B3942" s="8" t="s">
        <v>17965</v>
      </c>
      <c r="C3942" s="8" t="s">
        <v>17965</v>
      </c>
      <c r="F3942" s="47" t="s">
        <v>57088</v>
      </c>
      <c r="G3942" s="8">
        <v>6</v>
      </c>
      <c r="H3942" s="8" t="s">
        <v>21</v>
      </c>
      <c r="I3942" s="8" t="s">
        <v>22</v>
      </c>
      <c r="J3942" s="8" t="s">
        <v>22</v>
      </c>
      <c r="K3942" s="8" t="s">
        <v>224</v>
      </c>
      <c r="L3942" s="8" t="s">
        <v>12015</v>
      </c>
      <c r="M3942" s="8" t="s">
        <v>12016</v>
      </c>
      <c r="N3942" s="8" t="s">
        <v>17966</v>
      </c>
      <c r="O3942" s="8">
        <f>11+52/60+55.3/3600</f>
        <v>11.882027777777779</v>
      </c>
      <c r="P3942" s="8" t="s">
        <v>17967</v>
      </c>
      <c r="Q3942" s="8">
        <f>+(36+59/60+13/3600)</f>
        <v>36.986944444444447</v>
      </c>
      <c r="R3942" s="8">
        <v>10.3</v>
      </c>
      <c r="S3942" s="8">
        <v>11.3</v>
      </c>
      <c r="T3942" s="8">
        <v>1</v>
      </c>
      <c r="U3942" s="8">
        <v>12.5</v>
      </c>
      <c r="V3942" s="8">
        <v>3.5</v>
      </c>
      <c r="W3942" s="8">
        <v>2.5</v>
      </c>
      <c r="X3942" s="8">
        <v>10</v>
      </c>
      <c r="Y3942" s="8" t="s">
        <v>17968</v>
      </c>
      <c r="Z3942" s="8" t="s">
        <v>17969</v>
      </c>
    </row>
    <row r="3943" spans="1:26" x14ac:dyDescent="0.2">
      <c r="A3943" s="8">
        <v>3942</v>
      </c>
      <c r="B3943" s="8" t="s">
        <v>17970</v>
      </c>
      <c r="C3943" s="8" t="s">
        <v>17970</v>
      </c>
      <c r="F3943" s="47"/>
      <c r="G3943" s="8">
        <v>19</v>
      </c>
      <c r="H3943" s="8" t="s">
        <v>21</v>
      </c>
      <c r="I3943" s="8" t="s">
        <v>22</v>
      </c>
      <c r="J3943" s="8" t="s">
        <v>22</v>
      </c>
      <c r="K3943" s="8" t="s">
        <v>160</v>
      </c>
      <c r="L3943" s="8" t="s">
        <v>15699</v>
      </c>
      <c r="M3943" s="8" t="s">
        <v>15700</v>
      </c>
      <c r="N3943" s="8" t="s">
        <v>17971</v>
      </c>
      <c r="O3943" s="8">
        <f>11+51/60+30/3600</f>
        <v>11.858333333333333</v>
      </c>
      <c r="P3943" s="8" t="s">
        <v>17972</v>
      </c>
      <c r="Q3943" s="8">
        <f>-(11+25/60+29/3600)</f>
        <v>-11.424722222222222</v>
      </c>
      <c r="R3943" s="8">
        <v>13.2</v>
      </c>
      <c r="S3943" s="8">
        <v>13.9</v>
      </c>
      <c r="T3943" s="8">
        <v>0.7</v>
      </c>
      <c r="U3943" s="8">
        <v>13.1</v>
      </c>
      <c r="V3943" s="8">
        <v>1.5</v>
      </c>
      <c r="W3943" s="8">
        <v>0.9</v>
      </c>
      <c r="X3943" s="8">
        <v>127</v>
      </c>
      <c r="Y3943" s="8" t="s">
        <v>17973</v>
      </c>
      <c r="Z3943" s="8" t="s">
        <v>17974</v>
      </c>
    </row>
    <row r="3944" spans="1:26" x14ac:dyDescent="0.2">
      <c r="A3944" s="8">
        <v>3943</v>
      </c>
      <c r="B3944" s="8" t="s">
        <v>17975</v>
      </c>
      <c r="C3944" s="8" t="s">
        <v>17975</v>
      </c>
      <c r="F3944" s="47"/>
      <c r="G3944" s="8">
        <v>18</v>
      </c>
      <c r="H3944" s="8" t="s">
        <v>21</v>
      </c>
      <c r="I3944" s="8" t="s">
        <v>22</v>
      </c>
      <c r="J3944" s="8" t="s">
        <v>22</v>
      </c>
      <c r="K3944" s="8" t="s">
        <v>449</v>
      </c>
      <c r="L3944" s="8" t="s">
        <v>13194</v>
      </c>
      <c r="M3944" s="8" t="s">
        <v>13195</v>
      </c>
      <c r="N3944" s="8" t="s">
        <v>17976</v>
      </c>
      <c r="O3944" s="8">
        <f>11+52/60+56.6/3600</f>
        <v>11.88238888888889</v>
      </c>
      <c r="P3944" s="8" t="s">
        <v>17977</v>
      </c>
      <c r="Q3944" s="8">
        <f>+(20+28/60+45/3600)</f>
        <v>20.479166666666664</v>
      </c>
      <c r="R3944" s="8">
        <v>13.4</v>
      </c>
      <c r="S3944" s="8">
        <v>14.2</v>
      </c>
      <c r="T3944" s="8">
        <v>0.8</v>
      </c>
      <c r="U3944" s="8">
        <v>13.4</v>
      </c>
      <c r="V3944" s="8">
        <v>1.1000000000000001</v>
      </c>
      <c r="W3944" s="8">
        <v>1.1000000000000001</v>
      </c>
      <c r="Y3944" s="8" t="s">
        <v>17978</v>
      </c>
      <c r="Z3944" s="8" t="s">
        <v>17979</v>
      </c>
    </row>
    <row r="3945" spans="1:26" x14ac:dyDescent="0.2">
      <c r="A3945" s="8">
        <v>3944</v>
      </c>
      <c r="B3945" s="8" t="s">
        <v>17980</v>
      </c>
      <c r="C3945" s="8" t="s">
        <v>17980</v>
      </c>
      <c r="F3945" s="47" t="s">
        <v>57089</v>
      </c>
      <c r="G3945" s="8">
        <v>15</v>
      </c>
      <c r="H3945" s="8" t="s">
        <v>21</v>
      </c>
      <c r="I3945" s="8" t="s">
        <v>22</v>
      </c>
      <c r="J3945" s="8" t="s">
        <v>22</v>
      </c>
      <c r="K3945" s="8" t="s">
        <v>58</v>
      </c>
      <c r="L3945" s="8" t="s">
        <v>13194</v>
      </c>
      <c r="M3945" s="8" t="s">
        <v>13195</v>
      </c>
      <c r="N3945" s="8" t="s">
        <v>17981</v>
      </c>
      <c r="O3945" s="8">
        <f>11+53/60+5/3600</f>
        <v>11.884722222222221</v>
      </c>
      <c r="P3945" s="8" t="s">
        <v>17982</v>
      </c>
      <c r="Q3945" s="8">
        <f>+(26+12/60+27/3600)</f>
        <v>26.2075</v>
      </c>
      <c r="R3945" s="8">
        <v>12.9</v>
      </c>
      <c r="S3945" s="8">
        <v>13.9</v>
      </c>
      <c r="T3945" s="8">
        <v>1</v>
      </c>
      <c r="U3945" s="8">
        <v>13.2</v>
      </c>
      <c r="V3945" s="8">
        <v>1.4</v>
      </c>
      <c r="W3945" s="8">
        <v>1.1000000000000001</v>
      </c>
      <c r="X3945" s="8">
        <v>25</v>
      </c>
      <c r="Y3945" s="8" t="s">
        <v>6599</v>
      </c>
      <c r="Z3945" s="8" t="s">
        <v>6600</v>
      </c>
    </row>
    <row r="3946" spans="1:26" x14ac:dyDescent="0.2">
      <c r="A3946" s="8">
        <v>3945</v>
      </c>
      <c r="B3946" s="8" t="s">
        <v>17983</v>
      </c>
      <c r="C3946" s="8" t="s">
        <v>17983</v>
      </c>
      <c r="F3946" s="47" t="s">
        <v>57090</v>
      </c>
      <c r="G3946" s="8">
        <v>6</v>
      </c>
      <c r="H3946" s="8" t="s">
        <v>21</v>
      </c>
      <c r="I3946" s="8" t="s">
        <v>22</v>
      </c>
      <c r="J3946" s="8" t="s">
        <v>22</v>
      </c>
      <c r="K3946" s="8" t="s">
        <v>224</v>
      </c>
      <c r="L3946" s="8" t="s">
        <v>12015</v>
      </c>
      <c r="M3946" s="8" t="s">
        <v>12016</v>
      </c>
      <c r="N3946" s="8" t="s">
        <v>17984</v>
      </c>
      <c r="O3946" s="8">
        <f>11+53/60+13.4/3600</f>
        <v>11.887055555555555</v>
      </c>
      <c r="P3946" s="8" t="s">
        <v>17985</v>
      </c>
      <c r="Q3946" s="8">
        <f>+(60+40/60+31/3600)</f>
        <v>60.675277777777772</v>
      </c>
      <c r="R3946" s="8">
        <v>10.9</v>
      </c>
      <c r="S3946" s="8">
        <v>11.8</v>
      </c>
      <c r="T3946" s="8">
        <v>0.9</v>
      </c>
      <c r="U3946" s="8">
        <v>13.8</v>
      </c>
      <c r="V3946" s="8">
        <v>5.2</v>
      </c>
      <c r="W3946" s="8">
        <v>3.5</v>
      </c>
      <c r="X3946" s="8">
        <v>160</v>
      </c>
      <c r="Y3946" s="8" t="s">
        <v>17986</v>
      </c>
      <c r="Z3946" s="8" t="s">
        <v>17987</v>
      </c>
    </row>
    <row r="3947" spans="1:26" x14ac:dyDescent="0.2">
      <c r="A3947" s="8">
        <v>3946</v>
      </c>
      <c r="B3947" s="8" t="s">
        <v>17988</v>
      </c>
      <c r="C3947" s="8" t="s">
        <v>17988</v>
      </c>
      <c r="F3947" s="47"/>
      <c r="G3947" s="8">
        <v>19</v>
      </c>
      <c r="H3947" s="8" t="s">
        <v>21</v>
      </c>
      <c r="I3947" s="8" t="s">
        <v>22</v>
      </c>
      <c r="J3947" s="8" t="s">
        <v>22</v>
      </c>
      <c r="K3947" s="8" t="s">
        <v>632</v>
      </c>
      <c r="L3947" s="8" t="s">
        <v>13194</v>
      </c>
      <c r="M3947" s="8" t="s">
        <v>13195</v>
      </c>
      <c r="N3947" s="8" t="s">
        <v>17989</v>
      </c>
      <c r="O3947" s="8">
        <f>11+53/60+20.6/3600</f>
        <v>11.889055555555554</v>
      </c>
      <c r="P3947" s="8" t="s">
        <v>17990</v>
      </c>
      <c r="Q3947" s="8">
        <f>+(21+1/60+17/3600)</f>
        <v>21.02138888888889</v>
      </c>
      <c r="R3947" s="8">
        <v>14.3</v>
      </c>
      <c r="S3947" s="8">
        <v>15.2</v>
      </c>
      <c r="T3947" s="8">
        <v>0.9</v>
      </c>
      <c r="U3947" s="8">
        <v>12.9</v>
      </c>
      <c r="V3947" s="8">
        <v>0.5</v>
      </c>
      <c r="W3947" s="8">
        <v>0.4</v>
      </c>
      <c r="X3947" s="8">
        <v>90</v>
      </c>
      <c r="Y3947" s="8" t="s">
        <v>17991</v>
      </c>
      <c r="Z3947" s="8" t="s">
        <v>17992</v>
      </c>
    </row>
    <row r="3948" spans="1:26" x14ac:dyDescent="0.2">
      <c r="A3948" s="8">
        <v>3947</v>
      </c>
      <c r="B3948" s="8" t="s">
        <v>17993</v>
      </c>
      <c r="C3948" s="8" t="s">
        <v>17993</v>
      </c>
      <c r="F3948" s="47" t="s">
        <v>57091</v>
      </c>
      <c r="G3948" s="8">
        <v>15</v>
      </c>
      <c r="H3948" s="8" t="s">
        <v>21</v>
      </c>
      <c r="I3948" s="8" t="s">
        <v>22</v>
      </c>
      <c r="J3948" s="8" t="s">
        <v>22</v>
      </c>
      <c r="K3948" s="8" t="s">
        <v>218</v>
      </c>
      <c r="L3948" s="8" t="s">
        <v>13194</v>
      </c>
      <c r="M3948" s="8" t="s">
        <v>13195</v>
      </c>
      <c r="N3948" s="8" t="s">
        <v>17994</v>
      </c>
      <c r="O3948" s="8">
        <f>11+53/60+20.3/3600</f>
        <v>11.888972222222222</v>
      </c>
      <c r="P3948" s="8" t="s">
        <v>17995</v>
      </c>
      <c r="Q3948" s="8">
        <f>+(20+45/60+6/3600)</f>
        <v>20.751666666666665</v>
      </c>
      <c r="R3948" s="8">
        <v>13.2</v>
      </c>
      <c r="S3948" s="8">
        <v>13.9</v>
      </c>
      <c r="T3948" s="8">
        <v>0.7</v>
      </c>
      <c r="U3948" s="8">
        <v>13.6</v>
      </c>
      <c r="V3948" s="8">
        <v>1.4</v>
      </c>
      <c r="W3948" s="8">
        <v>1.2</v>
      </c>
      <c r="X3948" s="8">
        <v>90</v>
      </c>
      <c r="Y3948" s="8" t="s">
        <v>17996</v>
      </c>
      <c r="Z3948" s="8" t="s">
        <v>17997</v>
      </c>
    </row>
    <row r="3949" spans="1:26" x14ac:dyDescent="0.2">
      <c r="A3949" s="8">
        <v>3948</v>
      </c>
      <c r="B3949" s="8" t="s">
        <v>17998</v>
      </c>
      <c r="C3949" s="8" t="s">
        <v>17998</v>
      </c>
      <c r="F3949" s="47"/>
      <c r="G3949" s="8">
        <v>19</v>
      </c>
      <c r="H3949" s="8" t="s">
        <v>21</v>
      </c>
      <c r="I3949" s="8" t="s">
        <v>72</v>
      </c>
      <c r="J3949" s="8" t="s">
        <v>72</v>
      </c>
      <c r="K3949" s="8" t="s">
        <v>20</v>
      </c>
      <c r="L3949" s="8" t="s">
        <v>13194</v>
      </c>
      <c r="M3949" s="8" t="s">
        <v>13195</v>
      </c>
      <c r="N3949" s="8" t="s">
        <v>17999</v>
      </c>
      <c r="O3949" s="8">
        <f>11+53/60+36.6/3600</f>
        <v>11.8935</v>
      </c>
      <c r="P3949" s="8" t="s">
        <v>18000</v>
      </c>
      <c r="Q3949" s="8">
        <f>+(20+57/60+4/3600)</f>
        <v>20.951111111111111</v>
      </c>
      <c r="R3949" s="8">
        <v>99</v>
      </c>
      <c r="S3949" s="8">
        <v>13.4</v>
      </c>
      <c r="T3949" s="8">
        <v>99</v>
      </c>
      <c r="U3949" s="8">
        <v>99</v>
      </c>
      <c r="Y3949" s="8" t="s">
        <v>3344</v>
      </c>
      <c r="Z3949" s="8" t="s">
        <v>3345</v>
      </c>
    </row>
    <row r="3950" spans="1:26" x14ac:dyDescent="0.2">
      <c r="A3950" s="8">
        <v>3949</v>
      </c>
      <c r="B3950" s="8" t="s">
        <v>18001</v>
      </c>
      <c r="C3950" s="8" t="s">
        <v>18001</v>
      </c>
      <c r="F3950" s="47" t="s">
        <v>57092</v>
      </c>
      <c r="G3950" s="8">
        <v>6</v>
      </c>
      <c r="H3950" s="8" t="s">
        <v>21</v>
      </c>
      <c r="I3950" s="8" t="s">
        <v>22</v>
      </c>
      <c r="J3950" s="8" t="s">
        <v>22</v>
      </c>
      <c r="K3950" s="8" t="s">
        <v>396</v>
      </c>
      <c r="L3950" s="8" t="s">
        <v>12015</v>
      </c>
      <c r="M3950" s="8" t="s">
        <v>12016</v>
      </c>
      <c r="N3950" s="8" t="s">
        <v>18002</v>
      </c>
      <c r="O3950" s="8">
        <f>11+53/60+41.4/3600</f>
        <v>11.894833333333333</v>
      </c>
      <c r="P3950" s="8" t="s">
        <v>18003</v>
      </c>
      <c r="Q3950" s="8">
        <f>+(47+51/60+36/3600)</f>
        <v>47.86</v>
      </c>
      <c r="R3950" s="8">
        <v>11.1</v>
      </c>
      <c r="S3950" s="8">
        <v>11.5</v>
      </c>
      <c r="T3950" s="8">
        <v>0.4</v>
      </c>
      <c r="U3950" s="8">
        <v>12.6</v>
      </c>
      <c r="V3950" s="8">
        <v>2.9</v>
      </c>
      <c r="W3950" s="8">
        <v>1.7</v>
      </c>
      <c r="X3950" s="8">
        <v>120</v>
      </c>
      <c r="Y3950" s="8" t="s">
        <v>18004</v>
      </c>
      <c r="Z3950" s="8" t="s">
        <v>18005</v>
      </c>
    </row>
    <row r="3951" spans="1:26" x14ac:dyDescent="0.2">
      <c r="A3951" s="8">
        <v>3950</v>
      </c>
      <c r="B3951" s="8" t="s">
        <v>18006</v>
      </c>
      <c r="C3951" s="8" t="s">
        <v>18006</v>
      </c>
      <c r="F3951" s="47"/>
      <c r="G3951" s="8">
        <v>18</v>
      </c>
      <c r="H3951" s="8" t="s">
        <v>21</v>
      </c>
      <c r="I3951" s="8" t="s">
        <v>22</v>
      </c>
      <c r="J3951" s="8" t="s">
        <v>22</v>
      </c>
      <c r="K3951" s="8" t="s">
        <v>818</v>
      </c>
      <c r="L3951" s="8" t="s">
        <v>12015</v>
      </c>
      <c r="M3951" s="8" t="s">
        <v>12016</v>
      </c>
      <c r="N3951" s="8" t="s">
        <v>18007</v>
      </c>
      <c r="O3951" s="8">
        <f>11+53/60+41.1/3600</f>
        <v>11.89475</v>
      </c>
      <c r="P3951" s="8" t="s">
        <v>18008</v>
      </c>
      <c r="Q3951" s="8">
        <f>+(47+53/60+6/3600)</f>
        <v>47.884999999999998</v>
      </c>
      <c r="R3951" s="8">
        <v>15.7</v>
      </c>
      <c r="S3951" s="8">
        <v>16.7</v>
      </c>
      <c r="T3951" s="8">
        <v>1</v>
      </c>
      <c r="U3951" s="8">
        <v>13.2</v>
      </c>
      <c r="V3951" s="8">
        <v>0.3</v>
      </c>
      <c r="W3951" s="8">
        <v>0.3</v>
      </c>
      <c r="Y3951" s="8" t="s">
        <v>18009</v>
      </c>
      <c r="Z3951" s="8" t="s">
        <v>18010</v>
      </c>
    </row>
    <row r="3952" spans="1:26" x14ac:dyDescent="0.2">
      <c r="A3952" s="8">
        <v>3951</v>
      </c>
      <c r="B3952" s="8" t="s">
        <v>18011</v>
      </c>
      <c r="C3952" s="8" t="s">
        <v>18011</v>
      </c>
      <c r="F3952" s="47" t="s">
        <v>57093</v>
      </c>
      <c r="G3952" s="8">
        <v>15</v>
      </c>
      <c r="H3952" s="8" t="s">
        <v>21</v>
      </c>
      <c r="I3952" s="8" t="s">
        <v>22</v>
      </c>
      <c r="J3952" s="8" t="s">
        <v>22</v>
      </c>
      <c r="K3952" s="8" t="s">
        <v>476</v>
      </c>
      <c r="L3952" s="8" t="s">
        <v>13194</v>
      </c>
      <c r="M3952" s="8" t="s">
        <v>13195</v>
      </c>
      <c r="N3952" s="8" t="s">
        <v>18012</v>
      </c>
      <c r="O3952" s="8">
        <f>11+53/60+41.3/3600</f>
        <v>11.894805555555555</v>
      </c>
      <c r="P3952" s="8" t="s">
        <v>18013</v>
      </c>
      <c r="Q3952" s="8">
        <f>+(23+22/60+56/3600)</f>
        <v>23.382222222222222</v>
      </c>
      <c r="R3952" s="8">
        <v>13.6</v>
      </c>
      <c r="S3952" s="8">
        <v>14.3</v>
      </c>
      <c r="T3952" s="8">
        <v>0.7</v>
      </c>
      <c r="U3952" s="8">
        <v>12.9</v>
      </c>
      <c r="V3952" s="8">
        <v>1.1000000000000001</v>
      </c>
      <c r="W3952" s="8">
        <v>0.5</v>
      </c>
      <c r="X3952" s="8">
        <v>172</v>
      </c>
      <c r="Y3952" s="8" t="s">
        <v>18014</v>
      </c>
      <c r="Z3952" s="8" t="s">
        <v>18015</v>
      </c>
    </row>
    <row r="3953" spans="1:26" x14ac:dyDescent="0.2">
      <c r="A3953" s="8">
        <v>3952</v>
      </c>
      <c r="B3953" s="8" t="s">
        <v>18016</v>
      </c>
      <c r="C3953" s="8" t="s">
        <v>18016</v>
      </c>
      <c r="F3953" s="47" t="s">
        <v>57094</v>
      </c>
      <c r="G3953" s="8">
        <v>13</v>
      </c>
      <c r="H3953" s="8" t="s">
        <v>21</v>
      </c>
      <c r="I3953" s="8" t="s">
        <v>22</v>
      </c>
      <c r="J3953" s="8" t="s">
        <v>22</v>
      </c>
      <c r="K3953" s="8" t="s">
        <v>4103</v>
      </c>
      <c r="L3953" s="8" t="s">
        <v>17287</v>
      </c>
      <c r="M3953" s="8" t="s">
        <v>17288</v>
      </c>
      <c r="N3953" s="8" t="s">
        <v>18017</v>
      </c>
      <c r="O3953" s="8">
        <f>11+53/60+40.1/3600</f>
        <v>11.894472222222221</v>
      </c>
      <c r="P3953" s="8" t="s">
        <v>18018</v>
      </c>
      <c r="Q3953" s="8">
        <f>-(3+59/60+50/3600)</f>
        <v>-3.9972222222222222</v>
      </c>
      <c r="R3953" s="8">
        <v>13.1</v>
      </c>
      <c r="S3953" s="8">
        <v>13.5</v>
      </c>
      <c r="T3953" s="8">
        <v>0.4</v>
      </c>
      <c r="U3953" s="8">
        <v>13</v>
      </c>
      <c r="V3953" s="8">
        <v>1.6</v>
      </c>
      <c r="W3953" s="8">
        <v>0.6</v>
      </c>
      <c r="X3953" s="8">
        <v>78</v>
      </c>
      <c r="Y3953" s="8" t="s">
        <v>18019</v>
      </c>
      <c r="Z3953" s="8" t="s">
        <v>18020</v>
      </c>
    </row>
    <row r="3954" spans="1:26" x14ac:dyDescent="0.2">
      <c r="A3954" s="8">
        <v>3953</v>
      </c>
      <c r="B3954" s="8" t="s">
        <v>18021</v>
      </c>
      <c r="C3954" s="8" t="s">
        <v>18021</v>
      </c>
      <c r="F3954" s="47" t="s">
        <v>57095</v>
      </c>
      <c r="G3954" s="8">
        <v>6</v>
      </c>
      <c r="H3954" s="8" t="s">
        <v>21</v>
      </c>
      <c r="I3954" s="8" t="s">
        <v>22</v>
      </c>
      <c r="J3954" s="8" t="s">
        <v>22</v>
      </c>
      <c r="K3954" s="8" t="s">
        <v>85</v>
      </c>
      <c r="L3954" s="8" t="s">
        <v>12015</v>
      </c>
      <c r="M3954" s="8" t="s">
        <v>12016</v>
      </c>
      <c r="N3954" s="8" t="s">
        <v>18022</v>
      </c>
      <c r="O3954" s="8">
        <f>11+53/60+48.4/3600</f>
        <v>11.896777777777777</v>
      </c>
      <c r="P3954" s="8" t="s">
        <v>18023</v>
      </c>
      <c r="Q3954" s="8">
        <f>+(52+19/60+30/3600)</f>
        <v>52.325000000000003</v>
      </c>
      <c r="R3954" s="8">
        <v>10.1</v>
      </c>
      <c r="S3954" s="8">
        <v>10.8</v>
      </c>
      <c r="T3954" s="8">
        <v>0.7</v>
      </c>
      <c r="U3954" s="8">
        <v>13.4</v>
      </c>
      <c r="V3954" s="8">
        <v>6.9</v>
      </c>
      <c r="W3954" s="8">
        <v>3.6</v>
      </c>
      <c r="X3954" s="8">
        <v>13</v>
      </c>
      <c r="Y3954" s="8" t="s">
        <v>18024</v>
      </c>
      <c r="Z3954" s="8" t="s">
        <v>18025</v>
      </c>
    </row>
    <row r="3955" spans="1:26" x14ac:dyDescent="0.2">
      <c r="A3955" s="8">
        <v>3954</v>
      </c>
      <c r="B3955" s="8" t="s">
        <v>18026</v>
      </c>
      <c r="C3955" s="8" t="s">
        <v>18026</v>
      </c>
      <c r="F3955" s="47" t="s">
        <v>57096</v>
      </c>
      <c r="G3955" s="8">
        <v>15</v>
      </c>
      <c r="H3955" s="8" t="s">
        <v>21</v>
      </c>
      <c r="I3955" s="8" t="s">
        <v>22</v>
      </c>
      <c r="J3955" s="8" t="s">
        <v>22</v>
      </c>
      <c r="K3955" s="8" t="s">
        <v>424</v>
      </c>
      <c r="L3955" s="8" t="s">
        <v>13194</v>
      </c>
      <c r="M3955" s="8" t="s">
        <v>13195</v>
      </c>
      <c r="N3955" s="8" t="s">
        <v>18027</v>
      </c>
      <c r="O3955" s="8">
        <f>11+53/60+41.7/3600</f>
        <v>11.894916666666667</v>
      </c>
      <c r="P3955" s="8" t="s">
        <v>18028</v>
      </c>
      <c r="Q3955" s="8">
        <f>+(20+52/60+57/3600)</f>
        <v>20.8825</v>
      </c>
      <c r="R3955" s="8">
        <v>13.7</v>
      </c>
      <c r="S3955" s="8">
        <v>14.7</v>
      </c>
      <c r="T3955" s="8">
        <v>1</v>
      </c>
      <c r="U3955" s="8">
        <v>12.9</v>
      </c>
      <c r="V3955" s="8">
        <v>0.7</v>
      </c>
      <c r="W3955" s="8">
        <v>0.7</v>
      </c>
      <c r="Y3955" s="8" t="s">
        <v>11371</v>
      </c>
      <c r="Z3955" s="8" t="s">
        <v>11372</v>
      </c>
    </row>
    <row r="3956" spans="1:26" x14ac:dyDescent="0.2">
      <c r="A3956" s="8">
        <v>3955</v>
      </c>
      <c r="B3956" s="8" t="s">
        <v>18029</v>
      </c>
      <c r="C3956" s="8" t="s">
        <v>18029</v>
      </c>
      <c r="F3956" s="47" t="s">
        <v>57097</v>
      </c>
      <c r="G3956" s="8">
        <v>9</v>
      </c>
      <c r="H3956" s="8" t="s">
        <v>21</v>
      </c>
      <c r="I3956" s="8" t="s">
        <v>22</v>
      </c>
      <c r="J3956" s="8" t="s">
        <v>22</v>
      </c>
      <c r="K3956" s="8" t="s">
        <v>632</v>
      </c>
      <c r="L3956" s="8" t="s">
        <v>15699</v>
      </c>
      <c r="M3956" s="8" t="s">
        <v>15700</v>
      </c>
      <c r="N3956" s="8" t="s">
        <v>18030</v>
      </c>
      <c r="O3956" s="8">
        <f>11+53/60+57.2/3600</f>
        <v>11.899222222222221</v>
      </c>
      <c r="P3956" s="8" t="s">
        <v>18031</v>
      </c>
      <c r="Q3956" s="8">
        <f>-(23+9/60+52/3600)</f>
        <v>-23.164444444444442</v>
      </c>
      <c r="R3956" s="8">
        <v>12</v>
      </c>
      <c r="S3956" s="8">
        <v>12.6</v>
      </c>
      <c r="T3956" s="8">
        <v>0.6</v>
      </c>
      <c r="U3956" s="8">
        <v>12.9</v>
      </c>
      <c r="V3956" s="8">
        <v>3.1</v>
      </c>
      <c r="W3956" s="8">
        <v>1</v>
      </c>
      <c r="X3956" s="8">
        <v>165</v>
      </c>
      <c r="Y3956" s="8" t="s">
        <v>18032</v>
      </c>
      <c r="Z3956" s="8" t="s">
        <v>18033</v>
      </c>
    </row>
    <row r="3957" spans="1:26" x14ac:dyDescent="0.2">
      <c r="A3957" s="8">
        <v>3956</v>
      </c>
      <c r="B3957" s="8" t="s">
        <v>18034</v>
      </c>
      <c r="C3957" s="8" t="s">
        <v>18034</v>
      </c>
      <c r="F3957" s="47" t="s">
        <v>57098</v>
      </c>
      <c r="G3957" s="8">
        <v>13</v>
      </c>
      <c r="H3957" s="8" t="s">
        <v>21</v>
      </c>
      <c r="I3957" s="8" t="s">
        <v>22</v>
      </c>
      <c r="J3957" s="8" t="s">
        <v>22</v>
      </c>
      <c r="K3957" s="8" t="s">
        <v>64</v>
      </c>
      <c r="L3957" s="8" t="s">
        <v>15699</v>
      </c>
      <c r="M3957" s="8" t="s">
        <v>15700</v>
      </c>
      <c r="N3957" s="8" t="s">
        <v>18035</v>
      </c>
      <c r="O3957" s="8">
        <f>11+54/60+0.9/3600</f>
        <v>11.90025</v>
      </c>
      <c r="P3957" s="8" t="s">
        <v>18036</v>
      </c>
      <c r="Q3957" s="8">
        <f>-(20+34/60+0/3600)</f>
        <v>-20.566666666666666</v>
      </c>
      <c r="R3957" s="8">
        <v>12</v>
      </c>
      <c r="S3957" s="8">
        <v>12.7</v>
      </c>
      <c r="T3957" s="8">
        <v>0.7</v>
      </c>
      <c r="U3957" s="8">
        <v>13.2</v>
      </c>
      <c r="V3957" s="8">
        <v>3.3</v>
      </c>
      <c r="W3957" s="8">
        <v>1</v>
      </c>
      <c r="X3957" s="8">
        <v>58</v>
      </c>
      <c r="Y3957" s="8" t="s">
        <v>18037</v>
      </c>
      <c r="Z3957" s="8" t="s">
        <v>18038</v>
      </c>
    </row>
    <row r="3958" spans="1:26" x14ac:dyDescent="0.2">
      <c r="A3958" s="8">
        <v>3957</v>
      </c>
      <c r="B3958" s="8" t="s">
        <v>18039</v>
      </c>
      <c r="C3958" s="8" t="s">
        <v>18039</v>
      </c>
      <c r="F3958" s="47" t="s">
        <v>57099</v>
      </c>
      <c r="G3958" s="8">
        <v>15</v>
      </c>
      <c r="H3958" s="8" t="s">
        <v>21</v>
      </c>
      <c r="I3958" s="8" t="s">
        <v>22</v>
      </c>
      <c r="J3958" s="8" t="s">
        <v>22</v>
      </c>
      <c r="K3958" s="8" t="s">
        <v>632</v>
      </c>
      <c r="L3958" s="8" t="s">
        <v>15699</v>
      </c>
      <c r="M3958" s="8" t="s">
        <v>15700</v>
      </c>
      <c r="N3958" s="8" t="s">
        <v>18040</v>
      </c>
      <c r="O3958" s="8">
        <f>11+54/60+1.5/3600</f>
        <v>11.900416666666667</v>
      </c>
      <c r="P3958" s="8" t="s">
        <v>18041</v>
      </c>
      <c r="Q3958" s="8">
        <f>-(19+34/60+8/3600)</f>
        <v>-19.568888888888889</v>
      </c>
      <c r="R3958" s="8">
        <v>11.8</v>
      </c>
      <c r="S3958" s="8">
        <v>12.7</v>
      </c>
      <c r="T3958" s="8">
        <v>0.9</v>
      </c>
      <c r="U3958" s="8">
        <v>12.5</v>
      </c>
      <c r="V3958" s="8">
        <v>2.9</v>
      </c>
      <c r="W3958" s="8">
        <v>0.7</v>
      </c>
      <c r="X3958" s="8">
        <v>173</v>
      </c>
      <c r="Y3958" s="8" t="s">
        <v>18042</v>
      </c>
      <c r="Z3958" s="8" t="s">
        <v>18043</v>
      </c>
    </row>
    <row r="3959" spans="1:26" x14ac:dyDescent="0.2">
      <c r="A3959" s="8">
        <v>3958</v>
      </c>
      <c r="B3959" s="8" t="s">
        <v>18044</v>
      </c>
      <c r="C3959" s="8" t="s">
        <v>18044</v>
      </c>
      <c r="F3959" s="47" t="s">
        <v>57100</v>
      </c>
      <c r="G3959" s="8">
        <v>12</v>
      </c>
      <c r="H3959" s="8" t="s">
        <v>21</v>
      </c>
      <c r="I3959" s="8" t="s">
        <v>22</v>
      </c>
      <c r="J3959" s="8" t="s">
        <v>22</v>
      </c>
      <c r="K3959" s="8" t="s">
        <v>154</v>
      </c>
      <c r="L3959" s="8" t="s">
        <v>12015</v>
      </c>
      <c r="M3959" s="8" t="s">
        <v>12016</v>
      </c>
      <c r="N3959" s="8" t="s">
        <v>18045</v>
      </c>
      <c r="O3959" s="8">
        <f>11+54/60+33.5/3600</f>
        <v>11.909305555555555</v>
      </c>
      <c r="P3959" s="8" t="s">
        <v>18046</v>
      </c>
      <c r="Q3959" s="8">
        <f>+(58+22/60+0/3600)</f>
        <v>58.366666666666667</v>
      </c>
      <c r="R3959" s="8">
        <v>13</v>
      </c>
      <c r="S3959" s="8">
        <v>13.8</v>
      </c>
      <c r="T3959" s="8">
        <v>0.8</v>
      </c>
      <c r="U3959" s="8">
        <v>12.8</v>
      </c>
      <c r="V3959" s="8">
        <v>1.3</v>
      </c>
      <c r="W3959" s="8">
        <v>0.5</v>
      </c>
      <c r="X3959" s="8">
        <v>28</v>
      </c>
      <c r="Y3959" s="8" t="s">
        <v>18047</v>
      </c>
      <c r="Z3959" s="8" t="s">
        <v>18048</v>
      </c>
    </row>
    <row r="3960" spans="1:26" x14ac:dyDescent="0.2">
      <c r="A3960" s="8">
        <v>3959</v>
      </c>
      <c r="B3960" s="8" t="s">
        <v>18049</v>
      </c>
      <c r="C3960" s="8" t="s">
        <v>18049</v>
      </c>
      <c r="F3960" s="47"/>
      <c r="G3960" s="8">
        <v>19</v>
      </c>
      <c r="H3960" s="8" t="s">
        <v>21</v>
      </c>
      <c r="I3960" s="8" t="s">
        <v>22</v>
      </c>
      <c r="J3960" s="8" t="s">
        <v>22</v>
      </c>
      <c r="K3960" s="8" t="s">
        <v>154</v>
      </c>
      <c r="L3960" s="8" t="s">
        <v>15699</v>
      </c>
      <c r="M3960" s="8" t="s">
        <v>15700</v>
      </c>
      <c r="N3960" s="8" t="s">
        <v>18050</v>
      </c>
      <c r="O3960" s="8">
        <f>11+54/60+37.6/3600</f>
        <v>11.910444444444444</v>
      </c>
      <c r="P3960" s="8" t="s">
        <v>18051</v>
      </c>
      <c r="Q3960" s="8">
        <f>-(7+45/60+23/3600)</f>
        <v>-7.756388888888889</v>
      </c>
      <c r="R3960" s="8">
        <v>13.7</v>
      </c>
      <c r="S3960" s="8">
        <v>14.6</v>
      </c>
      <c r="T3960" s="8">
        <v>0.9</v>
      </c>
      <c r="U3960" s="8">
        <v>13.5</v>
      </c>
      <c r="V3960" s="8">
        <v>1.1000000000000001</v>
      </c>
      <c r="W3960" s="8">
        <v>0.9</v>
      </c>
      <c r="X3960" s="8">
        <v>35</v>
      </c>
      <c r="Y3960" s="8" t="s">
        <v>18052</v>
      </c>
      <c r="Z3960" s="8" t="s">
        <v>18053</v>
      </c>
    </row>
    <row r="3961" spans="1:26" x14ac:dyDescent="0.2">
      <c r="A3961" s="8">
        <v>3960</v>
      </c>
      <c r="B3961" s="8" t="s">
        <v>18054</v>
      </c>
      <c r="C3961" s="8" t="s">
        <v>18054</v>
      </c>
      <c r="F3961" s="47"/>
      <c r="G3961" s="8">
        <v>3</v>
      </c>
      <c r="H3961" s="8" t="s">
        <v>21</v>
      </c>
      <c r="I3961" s="8" t="s">
        <v>557</v>
      </c>
      <c r="J3961" s="8" t="s">
        <v>557</v>
      </c>
      <c r="K3961" s="8" t="s">
        <v>11168</v>
      </c>
      <c r="L3961" s="8" t="s">
        <v>16195</v>
      </c>
      <c r="M3961" s="8" t="s">
        <v>16196</v>
      </c>
      <c r="N3961" s="8" t="s">
        <v>18055</v>
      </c>
      <c r="O3961" s="8">
        <f>11+50/60+33.1/3600</f>
        <v>11.842527777777779</v>
      </c>
      <c r="P3961" s="8" t="s">
        <v>18056</v>
      </c>
      <c r="Q3961" s="8">
        <f>-(55+40/60+35/3600)</f>
        <v>-55.676388888888887</v>
      </c>
      <c r="R3961" s="8">
        <v>8.3000000000000007</v>
      </c>
      <c r="S3961" s="8">
        <v>99</v>
      </c>
      <c r="T3961" s="8">
        <v>99</v>
      </c>
      <c r="U3961" s="8">
        <v>99</v>
      </c>
      <c r="V3961" s="8">
        <v>7</v>
      </c>
      <c r="Y3961" s="8" t="s">
        <v>18057</v>
      </c>
      <c r="Z3961" s="8" t="s">
        <v>18058</v>
      </c>
    </row>
    <row r="3962" spans="1:26" x14ac:dyDescent="0.2">
      <c r="A3962" s="8">
        <v>3961</v>
      </c>
      <c r="B3962" s="8" t="s">
        <v>18059</v>
      </c>
      <c r="C3962" s="8" t="s">
        <v>18059</v>
      </c>
      <c r="F3962" s="47" t="s">
        <v>57101</v>
      </c>
      <c r="G3962" s="8">
        <v>15</v>
      </c>
      <c r="H3962" s="8" t="s">
        <v>21</v>
      </c>
      <c r="I3962" s="8" t="s">
        <v>22</v>
      </c>
      <c r="J3962" s="8" t="s">
        <v>22</v>
      </c>
      <c r="K3962" s="8" t="s">
        <v>154</v>
      </c>
      <c r="L3962" s="8" t="s">
        <v>13395</v>
      </c>
      <c r="M3962" s="8" t="s">
        <v>13396</v>
      </c>
      <c r="N3962" s="8" t="s">
        <v>18060</v>
      </c>
      <c r="O3962" s="8">
        <f>11+54/60+57.5/3600</f>
        <v>11.915972222222223</v>
      </c>
      <c r="P3962" s="8" t="s">
        <v>18061</v>
      </c>
      <c r="Q3962" s="8">
        <f>+(69+19/60+47/3600)</f>
        <v>69.329722222222216</v>
      </c>
      <c r="R3962" s="8">
        <v>13.5</v>
      </c>
      <c r="S3962" s="8">
        <v>14.4</v>
      </c>
      <c r="T3962" s="8">
        <v>0.9</v>
      </c>
      <c r="U3962" s="8">
        <v>13.9</v>
      </c>
      <c r="V3962" s="8">
        <v>1.3</v>
      </c>
      <c r="W3962" s="8">
        <v>1.3</v>
      </c>
      <c r="Y3962" s="8" t="s">
        <v>266</v>
      </c>
      <c r="Z3962" s="8" t="s">
        <v>267</v>
      </c>
    </row>
    <row r="3963" spans="1:26" x14ac:dyDescent="0.2">
      <c r="A3963" s="8">
        <v>3962</v>
      </c>
      <c r="B3963" s="8" t="s">
        <v>18062</v>
      </c>
      <c r="C3963" s="8" t="s">
        <v>18062</v>
      </c>
      <c r="F3963" s="47" t="s">
        <v>57102</v>
      </c>
      <c r="G3963" s="8">
        <v>6</v>
      </c>
      <c r="H3963" s="8" t="s">
        <v>21</v>
      </c>
      <c r="I3963" s="8" t="s">
        <v>22</v>
      </c>
      <c r="J3963" s="8" t="s">
        <v>22</v>
      </c>
      <c r="K3963" s="8" t="s">
        <v>183</v>
      </c>
      <c r="L3963" s="8" t="s">
        <v>15699</v>
      </c>
      <c r="M3963" s="8" t="s">
        <v>15700</v>
      </c>
      <c r="N3963" s="8" t="s">
        <v>18063</v>
      </c>
      <c r="O3963" s="8">
        <f>11+54/60+39.8/3600</f>
        <v>11.911055555555556</v>
      </c>
      <c r="P3963" s="8" t="s">
        <v>18064</v>
      </c>
      <c r="Q3963" s="8">
        <f>-(13+58/60+29/3600)</f>
        <v>-13.974722222222223</v>
      </c>
      <c r="R3963" s="8">
        <v>10.7</v>
      </c>
      <c r="S3963" s="8">
        <v>11.6</v>
      </c>
      <c r="T3963" s="8">
        <v>0.9</v>
      </c>
      <c r="U3963" s="8">
        <v>12.5</v>
      </c>
      <c r="V3963" s="8">
        <v>2.6</v>
      </c>
      <c r="W3963" s="8">
        <v>2.2000000000000002</v>
      </c>
      <c r="X3963" s="8">
        <v>10</v>
      </c>
      <c r="Y3963" s="8" t="s">
        <v>18065</v>
      </c>
      <c r="Z3963" s="8" t="s">
        <v>18066</v>
      </c>
    </row>
    <row r="3964" spans="1:26" x14ac:dyDescent="0.2">
      <c r="A3964" s="8">
        <v>3963</v>
      </c>
      <c r="B3964" s="8" t="s">
        <v>18067</v>
      </c>
      <c r="C3964" s="8" t="s">
        <v>18067</v>
      </c>
      <c r="F3964" s="47" t="s">
        <v>57103</v>
      </c>
      <c r="G3964" s="8">
        <v>12</v>
      </c>
      <c r="H3964" s="8" t="s">
        <v>21</v>
      </c>
      <c r="I3964" s="8" t="s">
        <v>22</v>
      </c>
      <c r="J3964" s="8" t="s">
        <v>22</v>
      </c>
      <c r="K3964" s="8" t="s">
        <v>85</v>
      </c>
      <c r="L3964" s="8" t="s">
        <v>12015</v>
      </c>
      <c r="M3964" s="8" t="s">
        <v>12016</v>
      </c>
      <c r="N3964" s="8" t="s">
        <v>18068</v>
      </c>
      <c r="O3964" s="8">
        <f>11+54/60+58.8/3600</f>
        <v>11.916333333333334</v>
      </c>
      <c r="P3964" s="8" t="s">
        <v>18069</v>
      </c>
      <c r="Q3964" s="8">
        <f>+(58+29/60+36/3600)</f>
        <v>58.493333333333332</v>
      </c>
      <c r="R3964" s="8">
        <v>11.9</v>
      </c>
      <c r="S3964" s="8">
        <v>12.5</v>
      </c>
      <c r="T3964" s="8">
        <v>0.6</v>
      </c>
      <c r="U3964" s="8">
        <v>13.9</v>
      </c>
      <c r="V3964" s="8">
        <v>2.7</v>
      </c>
      <c r="W3964" s="8">
        <v>2.4</v>
      </c>
      <c r="X3964" s="8">
        <v>36</v>
      </c>
      <c r="Y3964" s="8" t="s">
        <v>18070</v>
      </c>
      <c r="Z3964" s="8" t="s">
        <v>18071</v>
      </c>
    </row>
    <row r="3965" spans="1:26" x14ac:dyDescent="0.2">
      <c r="A3965" s="8">
        <v>3964</v>
      </c>
      <c r="B3965" s="8" t="s">
        <v>18072</v>
      </c>
      <c r="C3965" s="8" t="s">
        <v>18072</v>
      </c>
      <c r="F3965" s="47"/>
      <c r="G3965" s="8">
        <v>16</v>
      </c>
      <c r="H3965" s="8" t="s">
        <v>21</v>
      </c>
      <c r="I3965" s="8" t="s">
        <v>22</v>
      </c>
      <c r="J3965" s="8" t="s">
        <v>22</v>
      </c>
      <c r="K3965" s="8" t="s">
        <v>37</v>
      </c>
      <c r="L3965" s="8" t="s">
        <v>13194</v>
      </c>
      <c r="M3965" s="8" t="s">
        <v>13195</v>
      </c>
      <c r="N3965" s="8" t="s">
        <v>18073</v>
      </c>
      <c r="O3965" s="8">
        <f>11+54/60+53.4/3600</f>
        <v>11.914833333333334</v>
      </c>
      <c r="P3965" s="8" t="s">
        <v>18074</v>
      </c>
      <c r="Q3965" s="8">
        <f>+(28+15/60+46/3600)</f>
        <v>28.262777777777778</v>
      </c>
      <c r="R3965" s="8">
        <v>14</v>
      </c>
      <c r="S3965" s="8">
        <v>15</v>
      </c>
      <c r="T3965" s="8">
        <v>1</v>
      </c>
      <c r="U3965" s="8">
        <v>13.6</v>
      </c>
      <c r="V3965" s="8">
        <v>0.9</v>
      </c>
      <c r="W3965" s="8">
        <v>0.7</v>
      </c>
      <c r="X3965" s="8">
        <v>76</v>
      </c>
      <c r="Y3965" s="8" t="s">
        <v>18075</v>
      </c>
      <c r="Z3965" s="8" t="s">
        <v>18076</v>
      </c>
    </row>
    <row r="3966" spans="1:26" x14ac:dyDescent="0.2">
      <c r="A3966" s="8">
        <v>3965</v>
      </c>
      <c r="B3966" s="8" t="s">
        <v>18077</v>
      </c>
      <c r="C3966" s="8" t="s">
        <v>18077</v>
      </c>
      <c r="F3966" s="47"/>
      <c r="G3966" s="8">
        <v>19</v>
      </c>
      <c r="H3966" s="8" t="s">
        <v>21</v>
      </c>
      <c r="I3966" s="8" t="s">
        <v>22</v>
      </c>
      <c r="J3966" s="8" t="s">
        <v>22</v>
      </c>
      <c r="K3966" s="8" t="s">
        <v>449</v>
      </c>
      <c r="L3966" s="8" t="s">
        <v>15699</v>
      </c>
      <c r="M3966" s="8" t="s">
        <v>15700</v>
      </c>
      <c r="N3966" s="8" t="s">
        <v>18078</v>
      </c>
      <c r="O3966" s="8">
        <f>11+54/60+23.1/3600</f>
        <v>11.906416666666667</v>
      </c>
      <c r="P3966" s="8" t="s">
        <v>18079</v>
      </c>
      <c r="Q3966" s="8">
        <f>-(10+51/60+59/3600)</f>
        <v>-10.866388888888888</v>
      </c>
      <c r="R3966" s="8">
        <v>15.7</v>
      </c>
      <c r="S3966" s="8">
        <v>16.5</v>
      </c>
      <c r="T3966" s="8">
        <v>0.8</v>
      </c>
      <c r="U3966" s="8">
        <v>13.5</v>
      </c>
      <c r="V3966" s="8">
        <v>0.5</v>
      </c>
      <c r="W3966" s="8">
        <v>0.3</v>
      </c>
      <c r="X3966" s="8">
        <v>115</v>
      </c>
      <c r="Y3966" s="8" t="s">
        <v>18080</v>
      </c>
      <c r="Z3966" s="8" t="s">
        <v>18081</v>
      </c>
    </row>
    <row r="3967" spans="1:26" x14ac:dyDescent="0.2">
      <c r="A3967" s="8">
        <v>3966</v>
      </c>
      <c r="B3967" s="8" t="s">
        <v>18082</v>
      </c>
      <c r="C3967" s="8" t="s">
        <v>18082</v>
      </c>
      <c r="F3967" s="47"/>
      <c r="G3967" s="8">
        <v>18</v>
      </c>
      <c r="H3967" s="8" t="s">
        <v>21</v>
      </c>
      <c r="I3967" s="8" t="s">
        <v>22</v>
      </c>
      <c r="J3967" s="8" t="s">
        <v>57</v>
      </c>
      <c r="K3967" s="8" t="s">
        <v>632</v>
      </c>
      <c r="L3967" s="8" t="s">
        <v>12015</v>
      </c>
      <c r="M3967" s="8" t="s">
        <v>12016</v>
      </c>
      <c r="N3967" s="8" t="s">
        <v>18083</v>
      </c>
      <c r="O3967" s="8">
        <f>11+56/60+44.2/3600</f>
        <v>11.945611111111111</v>
      </c>
      <c r="P3967" s="8" t="s">
        <v>18084</v>
      </c>
      <c r="Q3967" s="8">
        <f>+(32+1/60+17/3600)</f>
        <v>32.021388888888886</v>
      </c>
      <c r="R3967" s="8">
        <v>12.7</v>
      </c>
      <c r="S3967" s="8">
        <v>13.6</v>
      </c>
      <c r="T3967" s="8">
        <v>0.9</v>
      </c>
      <c r="U3967" s="8">
        <v>13.4</v>
      </c>
      <c r="V3967" s="8">
        <v>3.1</v>
      </c>
      <c r="W3967" s="8">
        <v>0.7</v>
      </c>
      <c r="X3967" s="8">
        <v>110</v>
      </c>
      <c r="Y3967" s="8" t="s">
        <v>18085</v>
      </c>
      <c r="Z3967" s="8" t="s">
        <v>18086</v>
      </c>
    </row>
    <row r="3968" spans="1:26" x14ac:dyDescent="0.2">
      <c r="A3968" s="8">
        <v>3967</v>
      </c>
      <c r="B3968" s="8" t="s">
        <v>18087</v>
      </c>
      <c r="C3968" s="8" t="s">
        <v>18087</v>
      </c>
      <c r="F3968" s="47"/>
      <c r="G3968" s="8">
        <v>19</v>
      </c>
      <c r="H3968" s="8" t="s">
        <v>21</v>
      </c>
      <c r="I3968" s="8" t="s">
        <v>22</v>
      </c>
      <c r="J3968" s="8" t="s">
        <v>22</v>
      </c>
      <c r="K3968" s="8" t="s">
        <v>58</v>
      </c>
      <c r="L3968" s="8" t="s">
        <v>15699</v>
      </c>
      <c r="M3968" s="8" t="s">
        <v>15700</v>
      </c>
      <c r="N3968" s="8" t="s">
        <v>18088</v>
      </c>
      <c r="O3968" s="8">
        <f>11+55/60+10.3/3600</f>
        <v>11.919527777777777</v>
      </c>
      <c r="P3968" s="8" t="s">
        <v>18089</v>
      </c>
      <c r="Q3968" s="8">
        <f>-(7+50/60+35/3600)</f>
        <v>-7.843055555555555</v>
      </c>
      <c r="R3968" s="8">
        <v>13.4</v>
      </c>
      <c r="S3968" s="8">
        <v>14.4</v>
      </c>
      <c r="T3968" s="8">
        <v>1</v>
      </c>
      <c r="U3968" s="8">
        <v>13.1</v>
      </c>
      <c r="V3968" s="8">
        <v>1</v>
      </c>
      <c r="W3968" s="8">
        <v>0.7</v>
      </c>
      <c r="X3968" s="8">
        <v>120</v>
      </c>
      <c r="Y3968" s="8" t="s">
        <v>18090</v>
      </c>
      <c r="Z3968" s="8" t="s">
        <v>18091</v>
      </c>
    </row>
    <row r="3969" spans="1:26" x14ac:dyDescent="0.2">
      <c r="A3969" s="8">
        <v>3968</v>
      </c>
      <c r="B3969" s="8" t="s">
        <v>18092</v>
      </c>
      <c r="C3969" s="8" t="s">
        <v>18092</v>
      </c>
      <c r="F3969" s="47" t="s">
        <v>57104</v>
      </c>
      <c r="G3969" s="8">
        <v>15</v>
      </c>
      <c r="H3969" s="8" t="s">
        <v>21</v>
      </c>
      <c r="I3969" s="8" t="s">
        <v>22</v>
      </c>
      <c r="J3969" s="8" t="s">
        <v>22</v>
      </c>
      <c r="K3969" s="8" t="s">
        <v>85</v>
      </c>
      <c r="L3969" s="8" t="s">
        <v>13194</v>
      </c>
      <c r="M3969" s="8" t="s">
        <v>13195</v>
      </c>
      <c r="N3969" s="8" t="s">
        <v>18093</v>
      </c>
      <c r="O3969" s="8">
        <f>11+55/60+28.7/3600</f>
        <v>11.924638888888888</v>
      </c>
      <c r="P3969" s="8" t="s">
        <v>18094</v>
      </c>
      <c r="Q3969" s="8">
        <f>+(11+58/60+7/3600)</f>
        <v>11.968611111111111</v>
      </c>
      <c r="R3969" s="8">
        <v>11.8</v>
      </c>
      <c r="S3969" s="8">
        <v>12.6</v>
      </c>
      <c r="T3969" s="8">
        <v>0.8</v>
      </c>
      <c r="U3969" s="8">
        <v>13.4</v>
      </c>
      <c r="V3969" s="8">
        <v>2.7</v>
      </c>
      <c r="W3969" s="8">
        <v>1.9</v>
      </c>
      <c r="X3969" s="8">
        <v>10</v>
      </c>
      <c r="Y3969" s="8" t="s">
        <v>18095</v>
      </c>
      <c r="Z3969" s="8" t="s">
        <v>18096</v>
      </c>
    </row>
    <row r="3970" spans="1:26" x14ac:dyDescent="0.2">
      <c r="A3970" s="8">
        <v>3969</v>
      </c>
      <c r="B3970" s="8" t="s">
        <v>18097</v>
      </c>
      <c r="C3970" s="8" t="s">
        <v>18097</v>
      </c>
      <c r="F3970" s="47"/>
      <c r="G3970" s="8">
        <v>19</v>
      </c>
      <c r="H3970" s="8" t="s">
        <v>21</v>
      </c>
      <c r="I3970" s="8" t="s">
        <v>22</v>
      </c>
      <c r="J3970" s="8" t="s">
        <v>22</v>
      </c>
      <c r="K3970" s="8" t="s">
        <v>435</v>
      </c>
      <c r="L3970" s="8" t="s">
        <v>15699</v>
      </c>
      <c r="M3970" s="8" t="s">
        <v>15700</v>
      </c>
      <c r="N3970" s="8" t="s">
        <v>18098</v>
      </c>
      <c r="O3970" s="8">
        <f>11+55/60+9.1/3600</f>
        <v>11.919194444444443</v>
      </c>
      <c r="P3970" s="8" t="s">
        <v>18099</v>
      </c>
      <c r="Q3970" s="8">
        <f>-(18+55/60+38/3600)</f>
        <v>-18.927222222222223</v>
      </c>
      <c r="R3970" s="8">
        <v>12.9</v>
      </c>
      <c r="S3970" s="8">
        <v>13.8</v>
      </c>
      <c r="T3970" s="8">
        <v>0.9</v>
      </c>
      <c r="U3970" s="8">
        <v>13</v>
      </c>
      <c r="V3970" s="8">
        <v>1.4</v>
      </c>
      <c r="W3970" s="8">
        <v>0.9</v>
      </c>
      <c r="X3970" s="8">
        <v>64</v>
      </c>
      <c r="Y3970" s="8" t="s">
        <v>18100</v>
      </c>
      <c r="Z3970" s="8" t="s">
        <v>18101</v>
      </c>
    </row>
    <row r="3971" spans="1:26" x14ac:dyDescent="0.2">
      <c r="A3971" s="8">
        <v>3970</v>
      </c>
      <c r="B3971" s="8" t="s">
        <v>18102</v>
      </c>
      <c r="C3971" s="8" t="s">
        <v>18102</v>
      </c>
      <c r="F3971" s="47"/>
      <c r="G3971" s="8">
        <v>16</v>
      </c>
      <c r="H3971" s="8" t="s">
        <v>21</v>
      </c>
      <c r="I3971" s="8" t="s">
        <v>22</v>
      </c>
      <c r="J3971" s="8" t="s">
        <v>22</v>
      </c>
      <c r="K3971" s="8" t="s">
        <v>37</v>
      </c>
      <c r="L3971" s="8" t="s">
        <v>15699</v>
      </c>
      <c r="M3971" s="8" t="s">
        <v>15700</v>
      </c>
      <c r="N3971" s="8" t="s">
        <v>18103</v>
      </c>
      <c r="O3971" s="8">
        <f>11+55/60+28.1/3600</f>
        <v>11.924472222222221</v>
      </c>
      <c r="P3971" s="8" t="s">
        <v>18104</v>
      </c>
      <c r="Q3971" s="8">
        <f>-(12+3/60+41/3600)</f>
        <v>-12.061388888888889</v>
      </c>
      <c r="R3971" s="8">
        <v>13.4</v>
      </c>
      <c r="S3971" s="8">
        <v>14.4</v>
      </c>
      <c r="T3971" s="8">
        <v>1</v>
      </c>
      <c r="U3971" s="8">
        <v>13.1</v>
      </c>
      <c r="V3971" s="8">
        <v>1.2</v>
      </c>
      <c r="W3971" s="8">
        <v>0.5</v>
      </c>
      <c r="X3971" s="8">
        <v>98</v>
      </c>
      <c r="Y3971" s="8" t="s">
        <v>18105</v>
      </c>
      <c r="Z3971" s="8" t="s">
        <v>18106</v>
      </c>
    </row>
    <row r="3972" spans="1:26" x14ac:dyDescent="0.2">
      <c r="A3972" s="8">
        <v>3971</v>
      </c>
      <c r="B3972" s="8" t="s">
        <v>18107</v>
      </c>
      <c r="C3972" s="8" t="s">
        <v>18107</v>
      </c>
      <c r="F3972" s="47" t="s">
        <v>57105</v>
      </c>
      <c r="G3972" s="8">
        <v>15</v>
      </c>
      <c r="H3972" s="8" t="s">
        <v>21</v>
      </c>
      <c r="I3972" s="8" t="s">
        <v>22</v>
      </c>
      <c r="J3972" s="8" t="s">
        <v>22</v>
      </c>
      <c r="K3972" s="8" t="s">
        <v>37</v>
      </c>
      <c r="L3972" s="8" t="s">
        <v>12015</v>
      </c>
      <c r="M3972" s="8" t="s">
        <v>12016</v>
      </c>
      <c r="N3972" s="8" t="s">
        <v>18108</v>
      </c>
      <c r="O3972" s="8">
        <f>11+55/60+36.3/3600</f>
        <v>11.92675</v>
      </c>
      <c r="P3972" s="8" t="s">
        <v>18109</v>
      </c>
      <c r="Q3972" s="8">
        <f>+(29+59/60+45/3600)</f>
        <v>29.995833333333334</v>
      </c>
      <c r="R3972" s="8">
        <v>12.7</v>
      </c>
      <c r="S3972" s="8">
        <v>13.7</v>
      </c>
      <c r="T3972" s="8">
        <v>1</v>
      </c>
      <c r="U3972" s="8">
        <v>13.1</v>
      </c>
      <c r="V3972" s="8">
        <v>1.4</v>
      </c>
      <c r="W3972" s="8">
        <v>1.2</v>
      </c>
      <c r="X3972" s="8">
        <v>30</v>
      </c>
      <c r="Y3972" s="8" t="s">
        <v>18110</v>
      </c>
      <c r="Z3972" s="8" t="s">
        <v>18111</v>
      </c>
    </row>
    <row r="3973" spans="1:26" x14ac:dyDescent="0.2">
      <c r="A3973" s="8">
        <v>3972</v>
      </c>
      <c r="B3973" s="8" t="s">
        <v>18112</v>
      </c>
      <c r="C3973" s="8" t="s">
        <v>18112</v>
      </c>
      <c r="F3973" s="47" t="s">
        <v>57106</v>
      </c>
      <c r="G3973" s="8">
        <v>12</v>
      </c>
      <c r="H3973" s="8" t="s">
        <v>21</v>
      </c>
      <c r="I3973" s="8" t="s">
        <v>22</v>
      </c>
      <c r="J3973" s="8" t="s">
        <v>22</v>
      </c>
      <c r="K3973" s="8" t="s">
        <v>85</v>
      </c>
      <c r="L3973" s="8" t="s">
        <v>12015</v>
      </c>
      <c r="M3973" s="8" t="s">
        <v>12016</v>
      </c>
      <c r="N3973" s="8" t="s">
        <v>18113</v>
      </c>
      <c r="O3973" s="8">
        <f>11+55/60+45.3/3600</f>
        <v>11.92925</v>
      </c>
      <c r="P3973" s="8" t="s">
        <v>18114</v>
      </c>
      <c r="Q3973" s="8">
        <f>+(55+19/60+12/3600)</f>
        <v>55.32</v>
      </c>
      <c r="R3973" s="8">
        <v>12.3</v>
      </c>
      <c r="S3973" s="8">
        <v>13</v>
      </c>
      <c r="T3973" s="8">
        <v>0.7</v>
      </c>
      <c r="U3973" s="8">
        <v>13.8</v>
      </c>
      <c r="V3973" s="8">
        <v>3.7</v>
      </c>
      <c r="W3973" s="8">
        <v>1</v>
      </c>
      <c r="X3973" s="8">
        <v>120</v>
      </c>
      <c r="Y3973" s="8" t="s">
        <v>17402</v>
      </c>
      <c r="Z3973" s="8" t="s">
        <v>17403</v>
      </c>
    </row>
    <row r="3974" spans="1:26" x14ac:dyDescent="0.2">
      <c r="A3974" s="8">
        <v>3973</v>
      </c>
      <c r="B3974" s="8" t="s">
        <v>18115</v>
      </c>
      <c r="C3974" s="8" t="s">
        <v>18115</v>
      </c>
      <c r="F3974" s="47"/>
      <c r="G3974" s="8">
        <v>18</v>
      </c>
      <c r="H3974" s="8" t="s">
        <v>21</v>
      </c>
      <c r="I3974" s="8" t="s">
        <v>22</v>
      </c>
      <c r="J3974" s="8" t="s">
        <v>22</v>
      </c>
      <c r="K3974" s="8" t="s">
        <v>449</v>
      </c>
      <c r="L3974" s="8" t="s">
        <v>13194</v>
      </c>
      <c r="M3974" s="8" t="s">
        <v>13195</v>
      </c>
      <c r="N3974" s="8" t="s">
        <v>18116</v>
      </c>
      <c r="O3974" s="8">
        <f>11+55/60+37/3600</f>
        <v>11.926944444444445</v>
      </c>
      <c r="P3974" s="8" t="s">
        <v>18117</v>
      </c>
      <c r="Q3974" s="8">
        <f>+(11+59/60+50/3600)</f>
        <v>11.997222222222222</v>
      </c>
      <c r="R3974" s="8">
        <v>15</v>
      </c>
      <c r="S3974" s="8">
        <v>15.8</v>
      </c>
      <c r="T3974" s="8">
        <v>0.8</v>
      </c>
      <c r="U3974" s="8">
        <v>12.5</v>
      </c>
      <c r="V3974" s="8">
        <v>0.4</v>
      </c>
      <c r="W3974" s="8">
        <v>0.3</v>
      </c>
      <c r="X3974" s="8">
        <v>12</v>
      </c>
      <c r="Y3974" s="8" t="s">
        <v>18118</v>
      </c>
      <c r="Z3974" s="8" t="s">
        <v>18119</v>
      </c>
    </row>
    <row r="3975" spans="1:26" x14ac:dyDescent="0.2">
      <c r="A3975" s="8">
        <v>3974</v>
      </c>
      <c r="B3975" s="8" t="s">
        <v>18120</v>
      </c>
      <c r="C3975" s="8" t="s">
        <v>18120</v>
      </c>
      <c r="F3975" s="47"/>
      <c r="G3975" s="8">
        <v>16</v>
      </c>
      <c r="H3975" s="8" t="s">
        <v>21</v>
      </c>
      <c r="I3975" s="8" t="s">
        <v>22</v>
      </c>
      <c r="J3975" s="8" t="s">
        <v>22</v>
      </c>
      <c r="K3975" s="8" t="s">
        <v>435</v>
      </c>
      <c r="L3975" s="8" t="s">
        <v>15699</v>
      </c>
      <c r="M3975" s="8" t="s">
        <v>15700</v>
      </c>
      <c r="N3975" s="8" t="s">
        <v>18121</v>
      </c>
      <c r="O3975" s="8">
        <f>11+55/60+40.1/3600</f>
        <v>11.927805555555555</v>
      </c>
      <c r="P3975" s="8" t="s">
        <v>18122</v>
      </c>
      <c r="Q3975" s="8">
        <f>-(12+1/60+38/3600)</f>
        <v>-12.027222222222223</v>
      </c>
      <c r="R3975" s="8">
        <v>13.4</v>
      </c>
      <c r="S3975" s="8">
        <v>14.3</v>
      </c>
      <c r="T3975" s="8">
        <v>0.9</v>
      </c>
      <c r="U3975" s="8">
        <v>13.6</v>
      </c>
      <c r="V3975" s="8">
        <v>1.2</v>
      </c>
      <c r="W3975" s="8">
        <v>1.1000000000000001</v>
      </c>
      <c r="X3975" s="8">
        <v>10</v>
      </c>
      <c r="Y3975" s="8" t="s">
        <v>18123</v>
      </c>
      <c r="Z3975" s="8" t="s">
        <v>11505</v>
      </c>
    </row>
    <row r="3976" spans="1:26" x14ac:dyDescent="0.2">
      <c r="A3976" s="8">
        <v>3975</v>
      </c>
      <c r="B3976" s="8" t="s">
        <v>18124</v>
      </c>
      <c r="C3976" s="8" t="s">
        <v>18124</v>
      </c>
      <c r="F3976" s="47"/>
      <c r="G3976" s="8">
        <v>18</v>
      </c>
      <c r="H3976" s="8" t="s">
        <v>21</v>
      </c>
      <c r="I3976" s="8" t="s">
        <v>22</v>
      </c>
      <c r="J3976" s="8" t="s">
        <v>22</v>
      </c>
      <c r="K3976" s="8" t="s">
        <v>23</v>
      </c>
      <c r="L3976" s="8" t="s">
        <v>12015</v>
      </c>
      <c r="M3976" s="8" t="s">
        <v>12016</v>
      </c>
      <c r="N3976" s="8" t="s">
        <v>18125</v>
      </c>
      <c r="O3976" s="8">
        <f>11+55/60+53.7/3600</f>
        <v>11.931583333333332</v>
      </c>
      <c r="P3976" s="8" t="s">
        <v>18126</v>
      </c>
      <c r="Q3976" s="8">
        <f>+(60+31/60+47/3600)</f>
        <v>60.529722222222219</v>
      </c>
      <c r="R3976" s="8">
        <v>15.3</v>
      </c>
      <c r="S3976" s="8">
        <v>16.100000000000001</v>
      </c>
      <c r="T3976" s="8">
        <v>0.8</v>
      </c>
      <c r="U3976" s="8">
        <v>13.5</v>
      </c>
      <c r="V3976" s="8">
        <v>0.7</v>
      </c>
      <c r="W3976" s="8">
        <v>0.3</v>
      </c>
      <c r="X3976" s="8">
        <v>95</v>
      </c>
      <c r="Y3976" s="8" t="s">
        <v>18127</v>
      </c>
      <c r="Z3976" s="8" t="s">
        <v>18128</v>
      </c>
    </row>
    <row r="3977" spans="1:26" x14ac:dyDescent="0.2">
      <c r="A3977" s="8">
        <v>3976</v>
      </c>
      <c r="B3977" s="8" t="s">
        <v>18129</v>
      </c>
      <c r="C3977" s="8" t="s">
        <v>18129</v>
      </c>
      <c r="F3977" s="47" t="s">
        <v>57107</v>
      </c>
      <c r="G3977" s="8">
        <v>13</v>
      </c>
      <c r="H3977" s="8" t="s">
        <v>21</v>
      </c>
      <c r="I3977" s="8" t="s">
        <v>22</v>
      </c>
      <c r="J3977" s="8" t="s">
        <v>22</v>
      </c>
      <c r="K3977" s="8" t="s">
        <v>218</v>
      </c>
      <c r="L3977" s="8" t="s">
        <v>17287</v>
      </c>
      <c r="M3977" s="8" t="s">
        <v>17288</v>
      </c>
      <c r="N3977" s="8" t="s">
        <v>18130</v>
      </c>
      <c r="O3977" s="8">
        <f>11+55/60+57.2/3600</f>
        <v>11.932555555555554</v>
      </c>
      <c r="P3977" s="8" t="s">
        <v>18131</v>
      </c>
      <c r="Q3977" s="8">
        <f>+(6+44/60+54/3600)</f>
        <v>6.7483333333333331</v>
      </c>
      <c r="R3977" s="8">
        <v>11.5</v>
      </c>
      <c r="S3977" s="8">
        <v>12.3</v>
      </c>
      <c r="T3977" s="8">
        <v>0.8</v>
      </c>
      <c r="U3977" s="8">
        <v>13</v>
      </c>
      <c r="V3977" s="8">
        <v>3.8</v>
      </c>
      <c r="W3977" s="8">
        <v>1.2</v>
      </c>
      <c r="X3977" s="8">
        <v>53</v>
      </c>
      <c r="Y3977" s="8" t="s">
        <v>18132</v>
      </c>
      <c r="Z3977" s="8" t="s">
        <v>18133</v>
      </c>
    </row>
    <row r="3978" spans="1:26" x14ac:dyDescent="0.2">
      <c r="A3978" s="8">
        <v>3977</v>
      </c>
      <c r="B3978" s="8" t="s">
        <v>18134</v>
      </c>
      <c r="C3978" s="8" t="s">
        <v>18134</v>
      </c>
      <c r="F3978" s="47" t="s">
        <v>57108</v>
      </c>
      <c r="G3978" s="8">
        <v>12</v>
      </c>
      <c r="H3978" s="8" t="s">
        <v>21</v>
      </c>
      <c r="I3978" s="8" t="s">
        <v>22</v>
      </c>
      <c r="J3978" s="8" t="s">
        <v>22</v>
      </c>
      <c r="K3978" s="8" t="s">
        <v>31</v>
      </c>
      <c r="L3978" s="8" t="s">
        <v>12015</v>
      </c>
      <c r="M3978" s="8" t="s">
        <v>12016</v>
      </c>
      <c r="N3978" s="8" t="s">
        <v>18135</v>
      </c>
      <c r="O3978" s="8">
        <f>11+56/60+7.3/3600</f>
        <v>11.935361111111112</v>
      </c>
      <c r="P3978" s="8" t="s">
        <v>18136</v>
      </c>
      <c r="Q3978" s="8">
        <f>+(55+23/60+27/3600)</f>
        <v>55.390833333333333</v>
      </c>
      <c r="R3978" s="8">
        <v>13.4</v>
      </c>
      <c r="S3978" s="8">
        <v>14.2</v>
      </c>
      <c r="T3978" s="8">
        <v>0.8</v>
      </c>
      <c r="U3978" s="8">
        <v>14.3</v>
      </c>
      <c r="V3978" s="8">
        <v>1.5</v>
      </c>
      <c r="W3978" s="8">
        <v>1.4</v>
      </c>
      <c r="X3978" s="8">
        <v>9</v>
      </c>
      <c r="Y3978" s="8" t="s">
        <v>4065</v>
      </c>
      <c r="Z3978" s="8" t="s">
        <v>4066</v>
      </c>
    </row>
    <row r="3979" spans="1:26" x14ac:dyDescent="0.2">
      <c r="A3979" s="8">
        <v>3978</v>
      </c>
      <c r="B3979" s="8" t="s">
        <v>18137</v>
      </c>
      <c r="C3979" s="8" t="s">
        <v>18137</v>
      </c>
      <c r="F3979" s="47" t="s">
        <v>57109</v>
      </c>
      <c r="G3979" s="8">
        <v>15</v>
      </c>
      <c r="H3979" s="8" t="s">
        <v>21</v>
      </c>
      <c r="I3979" s="8" t="s">
        <v>22</v>
      </c>
      <c r="J3979" s="8" t="s">
        <v>22</v>
      </c>
      <c r="K3979" s="8" t="s">
        <v>85</v>
      </c>
      <c r="L3979" s="8" t="s">
        <v>12015</v>
      </c>
      <c r="M3979" s="8" t="s">
        <v>12016</v>
      </c>
      <c r="N3979" s="8" t="s">
        <v>18138</v>
      </c>
      <c r="O3979" s="8">
        <f>11+56/60+10.6/3600</f>
        <v>11.936277777777779</v>
      </c>
      <c r="P3979" s="8" t="s">
        <v>18139</v>
      </c>
      <c r="Q3979" s="8">
        <f>+(60+31/60+22/3600)</f>
        <v>60.522777777777776</v>
      </c>
      <c r="R3979" s="8">
        <v>12.7</v>
      </c>
      <c r="S3979" s="8">
        <v>13.3</v>
      </c>
      <c r="T3979" s="8">
        <v>0.6</v>
      </c>
      <c r="U3979" s="8">
        <v>13.5</v>
      </c>
      <c r="V3979" s="8">
        <v>1.7</v>
      </c>
      <c r="W3979" s="8">
        <v>1.5</v>
      </c>
      <c r="X3979" s="8">
        <v>27</v>
      </c>
      <c r="Y3979" s="8" t="s">
        <v>18140</v>
      </c>
      <c r="Z3979" s="8" t="s">
        <v>18141</v>
      </c>
    </row>
    <row r="3980" spans="1:26" x14ac:dyDescent="0.2">
      <c r="A3980" s="8">
        <v>3979</v>
      </c>
      <c r="B3980" s="8" t="s">
        <v>18142</v>
      </c>
      <c r="C3980" s="8" t="s">
        <v>18142</v>
      </c>
      <c r="F3980" s="47"/>
      <c r="G3980" s="8">
        <v>19</v>
      </c>
      <c r="H3980" s="8" t="s">
        <v>21</v>
      </c>
      <c r="I3980" s="8" t="s">
        <v>22</v>
      </c>
      <c r="J3980" s="8" t="s">
        <v>22</v>
      </c>
      <c r="K3980" s="8" t="s">
        <v>37</v>
      </c>
      <c r="L3980" s="8" t="s">
        <v>17287</v>
      </c>
      <c r="M3980" s="8" t="s">
        <v>17288</v>
      </c>
      <c r="N3980" s="8" t="s">
        <v>18143</v>
      </c>
      <c r="O3980" s="8">
        <f>11+56/60+1.1/3600</f>
        <v>11.93363888888889</v>
      </c>
      <c r="P3980" s="8" t="s">
        <v>18144</v>
      </c>
      <c r="Q3980" s="8">
        <f>-(2+43/60+14/3600)</f>
        <v>-2.7205555555555558</v>
      </c>
      <c r="R3980" s="8">
        <v>12.9</v>
      </c>
      <c r="S3980" s="8">
        <v>13.9</v>
      </c>
      <c r="T3980" s="8">
        <v>1</v>
      </c>
      <c r="U3980" s="8">
        <v>12.8</v>
      </c>
      <c r="V3980" s="8">
        <v>1.1000000000000001</v>
      </c>
      <c r="W3980" s="8">
        <v>0.9</v>
      </c>
      <c r="X3980" s="8">
        <v>112</v>
      </c>
      <c r="Y3980" s="8" t="s">
        <v>18145</v>
      </c>
      <c r="Z3980" s="8" t="s">
        <v>18146</v>
      </c>
    </row>
    <row r="3981" spans="1:26" x14ac:dyDescent="0.2">
      <c r="A3981" s="8">
        <v>3980</v>
      </c>
      <c r="B3981" s="8" t="s">
        <v>18147</v>
      </c>
      <c r="C3981" s="8" t="s">
        <v>18147</v>
      </c>
      <c r="F3981" s="47"/>
      <c r="G3981" s="8">
        <v>19</v>
      </c>
      <c r="H3981" s="8" t="s">
        <v>21</v>
      </c>
      <c r="I3981" s="8" t="s">
        <v>22</v>
      </c>
      <c r="J3981" s="8" t="s">
        <v>57</v>
      </c>
      <c r="K3981" s="8" t="s">
        <v>31</v>
      </c>
      <c r="L3981" s="8" t="s">
        <v>12015</v>
      </c>
      <c r="M3981" s="8" t="s">
        <v>12016</v>
      </c>
      <c r="N3981" s="8" t="s">
        <v>18135</v>
      </c>
      <c r="O3981" s="8">
        <f>11+56/60+7.3/3600</f>
        <v>11.935361111111112</v>
      </c>
      <c r="P3981" s="8" t="s">
        <v>18136</v>
      </c>
      <c r="Q3981" s="8">
        <f>+(55+23/60+27/3600)</f>
        <v>55.390833333333333</v>
      </c>
      <c r="R3981" s="8">
        <v>13.4</v>
      </c>
      <c r="S3981" s="8">
        <v>14.2</v>
      </c>
      <c r="T3981" s="8">
        <v>0.8</v>
      </c>
      <c r="U3981" s="8">
        <v>14.3</v>
      </c>
      <c r="V3981" s="8">
        <v>1.5</v>
      </c>
      <c r="W3981" s="8">
        <v>1.4</v>
      </c>
      <c r="X3981" s="8">
        <v>9</v>
      </c>
      <c r="Y3981" s="8" t="s">
        <v>4065</v>
      </c>
      <c r="Z3981" s="8" t="s">
        <v>18148</v>
      </c>
    </row>
    <row r="3982" spans="1:26" x14ac:dyDescent="0.2">
      <c r="A3982" s="8">
        <v>3981</v>
      </c>
      <c r="B3982" s="8" t="s">
        <v>18149</v>
      </c>
      <c r="C3982" s="8" t="s">
        <v>18149</v>
      </c>
      <c r="F3982" s="47" t="s">
        <v>57110</v>
      </c>
      <c r="G3982" s="8">
        <v>13</v>
      </c>
      <c r="H3982" s="8" t="s">
        <v>21</v>
      </c>
      <c r="I3982" s="8" t="s">
        <v>22</v>
      </c>
      <c r="J3982" s="8" t="s">
        <v>22</v>
      </c>
      <c r="K3982" s="8" t="s">
        <v>85</v>
      </c>
      <c r="L3982" s="8" t="s">
        <v>15699</v>
      </c>
      <c r="M3982" s="8" t="s">
        <v>15700</v>
      </c>
      <c r="N3982" s="8" t="s">
        <v>18150</v>
      </c>
      <c r="O3982" s="8">
        <f>11+56/60+7/3600</f>
        <v>11.935277777777777</v>
      </c>
      <c r="P3982" s="8" t="s">
        <v>18151</v>
      </c>
      <c r="Q3982" s="8">
        <f>-(19+53/60+50/3600)</f>
        <v>-19.897222222222222</v>
      </c>
      <c r="R3982" s="8">
        <v>11</v>
      </c>
      <c r="S3982" s="8">
        <v>11.8</v>
      </c>
      <c r="T3982" s="8">
        <v>0.8</v>
      </c>
      <c r="U3982" s="8">
        <v>13.7</v>
      </c>
      <c r="V3982" s="8">
        <v>5.3</v>
      </c>
      <c r="W3982" s="8">
        <v>2.5</v>
      </c>
      <c r="X3982" s="8">
        <v>15</v>
      </c>
      <c r="Y3982" s="8" t="s">
        <v>5496</v>
      </c>
      <c r="Z3982" s="8" t="s">
        <v>5497</v>
      </c>
    </row>
    <row r="3983" spans="1:26" x14ac:dyDescent="0.2">
      <c r="A3983" s="8">
        <v>3982</v>
      </c>
      <c r="B3983" s="8" t="s">
        <v>18152</v>
      </c>
      <c r="C3983" s="8" t="s">
        <v>18152</v>
      </c>
      <c r="F3983" s="47" t="s">
        <v>57111</v>
      </c>
      <c r="G3983" s="8">
        <v>6</v>
      </c>
      <c r="H3983" s="8" t="s">
        <v>21</v>
      </c>
      <c r="I3983" s="8" t="s">
        <v>22</v>
      </c>
      <c r="J3983" s="8" t="s">
        <v>22</v>
      </c>
      <c r="K3983" s="8" t="s">
        <v>218</v>
      </c>
      <c r="L3983" s="8" t="s">
        <v>12015</v>
      </c>
      <c r="M3983" s="8" t="s">
        <v>12016</v>
      </c>
      <c r="N3983" s="8" t="s">
        <v>18153</v>
      </c>
      <c r="O3983" s="8">
        <f>11+56/60+28/3600</f>
        <v>11.941111111111111</v>
      </c>
      <c r="P3983" s="8" t="s">
        <v>18154</v>
      </c>
      <c r="Q3983" s="8">
        <f>+(55+7/60+30/3600)</f>
        <v>55.125</v>
      </c>
      <c r="R3983" s="8">
        <v>11</v>
      </c>
      <c r="S3983" s="8">
        <v>11.8</v>
      </c>
      <c r="T3983" s="8">
        <v>0.8</v>
      </c>
      <c r="U3983" s="8">
        <v>12.5</v>
      </c>
      <c r="V3983" s="8">
        <v>2.2999999999999998</v>
      </c>
      <c r="W3983" s="8">
        <v>2</v>
      </c>
      <c r="X3983" s="8">
        <v>48</v>
      </c>
      <c r="Y3983" s="8" t="s">
        <v>18155</v>
      </c>
      <c r="Z3983" s="8" t="s">
        <v>18156</v>
      </c>
    </row>
    <row r="3984" spans="1:26" x14ac:dyDescent="0.2">
      <c r="A3984" s="8">
        <v>3983</v>
      </c>
      <c r="B3984" s="8" t="s">
        <v>18157</v>
      </c>
      <c r="C3984" s="8" t="s">
        <v>18157</v>
      </c>
      <c r="F3984" s="47" t="s">
        <v>57112</v>
      </c>
      <c r="G3984" s="8">
        <v>15</v>
      </c>
      <c r="H3984" s="8" t="s">
        <v>21</v>
      </c>
      <c r="I3984" s="8" t="s">
        <v>22</v>
      </c>
      <c r="J3984" s="8" t="s">
        <v>22</v>
      </c>
      <c r="K3984" s="8" t="s">
        <v>632</v>
      </c>
      <c r="L3984" s="8" t="s">
        <v>13194</v>
      </c>
      <c r="M3984" s="8" t="s">
        <v>13195</v>
      </c>
      <c r="N3984" s="8" t="s">
        <v>18158</v>
      </c>
      <c r="O3984" s="8">
        <f>11+56/60+23.6/3600</f>
        <v>11.939888888888889</v>
      </c>
      <c r="P3984" s="8" t="s">
        <v>18159</v>
      </c>
      <c r="Q3984" s="8">
        <f>+(23+52/60+5/3600)</f>
        <v>23.868055555555557</v>
      </c>
      <c r="R3984" s="8">
        <v>14</v>
      </c>
      <c r="S3984" s="8">
        <v>14.9</v>
      </c>
      <c r="T3984" s="8">
        <v>0.9</v>
      </c>
      <c r="U3984" s="8">
        <v>12.7</v>
      </c>
      <c r="V3984" s="8">
        <v>1.1000000000000001</v>
      </c>
      <c r="W3984" s="8">
        <v>0.3</v>
      </c>
      <c r="X3984" s="8">
        <v>114</v>
      </c>
      <c r="Y3984" s="8" t="s">
        <v>17274</v>
      </c>
      <c r="Z3984" s="8" t="s">
        <v>17275</v>
      </c>
    </row>
    <row r="3985" spans="1:26" x14ac:dyDescent="0.2">
      <c r="A3985" s="8">
        <v>3984</v>
      </c>
      <c r="B3985" s="8" t="s">
        <v>18160</v>
      </c>
      <c r="C3985" s="8" t="s">
        <v>18160</v>
      </c>
      <c r="F3985" s="47"/>
      <c r="G3985" s="8">
        <v>16</v>
      </c>
      <c r="H3985" s="8" t="s">
        <v>21</v>
      </c>
      <c r="I3985" s="8" t="s">
        <v>22</v>
      </c>
      <c r="J3985" s="8" t="s">
        <v>57</v>
      </c>
      <c r="K3985" s="8" t="s">
        <v>37</v>
      </c>
      <c r="L3985" s="8" t="s">
        <v>12015</v>
      </c>
      <c r="M3985" s="8" t="s">
        <v>12016</v>
      </c>
      <c r="N3985" s="8" t="s">
        <v>18108</v>
      </c>
      <c r="O3985" s="8">
        <f>11+55/60+36.3/3600</f>
        <v>11.92675</v>
      </c>
      <c r="P3985" s="8" t="s">
        <v>18109</v>
      </c>
      <c r="Q3985" s="8">
        <f>+(29+59/60+45/3600)</f>
        <v>29.995833333333334</v>
      </c>
      <c r="R3985" s="8">
        <v>12.7</v>
      </c>
      <c r="S3985" s="8">
        <v>13.7</v>
      </c>
      <c r="T3985" s="8">
        <v>1</v>
      </c>
      <c r="U3985" s="8">
        <v>13.1</v>
      </c>
      <c r="V3985" s="8">
        <v>1.4</v>
      </c>
      <c r="W3985" s="8">
        <v>1.2</v>
      </c>
      <c r="X3985" s="8">
        <v>30</v>
      </c>
      <c r="Y3985" s="8" t="s">
        <v>18110</v>
      </c>
      <c r="Z3985" s="8" t="s">
        <v>315</v>
      </c>
    </row>
    <row r="3986" spans="1:26" x14ac:dyDescent="0.2">
      <c r="A3986" s="8">
        <v>3985</v>
      </c>
      <c r="B3986" s="8" t="s">
        <v>18161</v>
      </c>
      <c r="C3986" s="8" t="s">
        <v>18161</v>
      </c>
      <c r="F3986" s="47" t="s">
        <v>57113</v>
      </c>
      <c r="G3986" s="8">
        <v>13</v>
      </c>
      <c r="H3986" s="8" t="s">
        <v>21</v>
      </c>
      <c r="I3986" s="8" t="s">
        <v>22</v>
      </c>
      <c r="J3986" s="8" t="s">
        <v>22</v>
      </c>
      <c r="K3986" s="8" t="s">
        <v>323</v>
      </c>
      <c r="L3986" s="8" t="s">
        <v>12015</v>
      </c>
      <c r="M3986" s="8" t="s">
        <v>12016</v>
      </c>
      <c r="N3986" s="8" t="s">
        <v>18162</v>
      </c>
      <c r="O3986" s="8">
        <f>11+56/60+41.5/3600</f>
        <v>11.944861111111111</v>
      </c>
      <c r="P3986" s="8" t="s">
        <v>18163</v>
      </c>
      <c r="Q3986" s="8">
        <f>+(48+20/60+8/3600)</f>
        <v>48.335555555555558</v>
      </c>
      <c r="R3986" s="8">
        <v>12.5</v>
      </c>
      <c r="S3986" s="8">
        <v>13.2</v>
      </c>
      <c r="T3986" s="8">
        <v>0.7</v>
      </c>
      <c r="U3986" s="8">
        <v>12.4</v>
      </c>
      <c r="V3986" s="8">
        <v>1.3</v>
      </c>
      <c r="W3986" s="8">
        <v>0.8</v>
      </c>
      <c r="X3986" s="8">
        <v>73</v>
      </c>
      <c r="Y3986" s="8" t="s">
        <v>18164</v>
      </c>
      <c r="Z3986" s="8" t="s">
        <v>18165</v>
      </c>
    </row>
    <row r="3987" spans="1:26" x14ac:dyDescent="0.2">
      <c r="A3987" s="8">
        <v>3986</v>
      </c>
      <c r="B3987" s="8" t="s">
        <v>18166</v>
      </c>
      <c r="C3987" s="8" t="s">
        <v>18166</v>
      </c>
      <c r="F3987" s="47"/>
      <c r="G3987" s="8">
        <v>16</v>
      </c>
      <c r="H3987" s="8" t="s">
        <v>21</v>
      </c>
      <c r="I3987" s="8" t="s">
        <v>22</v>
      </c>
      <c r="J3987" s="8" t="s">
        <v>22</v>
      </c>
      <c r="K3987" s="8" t="s">
        <v>632</v>
      </c>
      <c r="L3987" s="8" t="s">
        <v>12015</v>
      </c>
      <c r="M3987" s="8" t="s">
        <v>12016</v>
      </c>
      <c r="N3987" s="8" t="s">
        <v>18083</v>
      </c>
      <c r="O3987" s="8">
        <f>11+56/60+44.2/3600</f>
        <v>11.945611111111111</v>
      </c>
      <c r="P3987" s="8" t="s">
        <v>18084</v>
      </c>
      <c r="Q3987" s="8">
        <f>+(32+1/60+17/3600)</f>
        <v>32.021388888888886</v>
      </c>
      <c r="R3987" s="8">
        <v>12.7</v>
      </c>
      <c r="S3987" s="8">
        <v>13.6</v>
      </c>
      <c r="T3987" s="8">
        <v>0.9</v>
      </c>
      <c r="U3987" s="8">
        <v>13.4</v>
      </c>
      <c r="V3987" s="8">
        <v>3.1</v>
      </c>
      <c r="W3987" s="8">
        <v>0.7</v>
      </c>
      <c r="X3987" s="8">
        <v>110</v>
      </c>
      <c r="Y3987" s="8" t="s">
        <v>18085</v>
      </c>
      <c r="Z3987" s="8" t="s">
        <v>18167</v>
      </c>
    </row>
    <row r="3988" spans="1:26" x14ac:dyDescent="0.2">
      <c r="A3988" s="8">
        <v>3987</v>
      </c>
      <c r="B3988" s="8" t="s">
        <v>18168</v>
      </c>
      <c r="C3988" s="8" t="s">
        <v>18168</v>
      </c>
      <c r="F3988" s="47" t="s">
        <v>57114</v>
      </c>
      <c r="G3988" s="8">
        <v>15</v>
      </c>
      <c r="H3988" s="8" t="s">
        <v>21</v>
      </c>
      <c r="I3988" s="8" t="s">
        <v>22</v>
      </c>
      <c r="J3988" s="8" t="s">
        <v>22</v>
      </c>
      <c r="K3988" s="8" t="s">
        <v>23</v>
      </c>
      <c r="L3988" s="8" t="s">
        <v>13194</v>
      </c>
      <c r="M3988" s="8" t="s">
        <v>13195</v>
      </c>
      <c r="N3988" s="8" t="s">
        <v>18169</v>
      </c>
      <c r="O3988" s="8">
        <f>11+57/60+20.9/3600</f>
        <v>11.955805555555555</v>
      </c>
      <c r="P3988" s="8" t="s">
        <v>18170</v>
      </c>
      <c r="Q3988" s="8">
        <f>+(25+11/60+43/3600)</f>
        <v>25.195277777777779</v>
      </c>
      <c r="R3988" s="8">
        <v>12.9</v>
      </c>
      <c r="S3988" s="8">
        <v>13.9</v>
      </c>
      <c r="T3988" s="8">
        <v>1</v>
      </c>
      <c r="U3988" s="8">
        <v>12.7</v>
      </c>
      <c r="V3988" s="8">
        <v>2.2000000000000002</v>
      </c>
      <c r="W3988" s="8">
        <v>0.4</v>
      </c>
      <c r="X3988" s="8">
        <v>58</v>
      </c>
      <c r="Y3988" s="8" t="s">
        <v>5275</v>
      </c>
      <c r="Z3988" s="8" t="s">
        <v>5276</v>
      </c>
    </row>
    <row r="3989" spans="1:26" x14ac:dyDescent="0.2">
      <c r="A3989" s="8">
        <v>3988</v>
      </c>
      <c r="B3989" s="8" t="s">
        <v>18171</v>
      </c>
      <c r="C3989" s="8" t="s">
        <v>18171</v>
      </c>
      <c r="F3989" s="47"/>
      <c r="G3989" s="8">
        <v>16</v>
      </c>
      <c r="H3989" s="8" t="s">
        <v>21</v>
      </c>
      <c r="I3989" s="8" t="s">
        <v>22</v>
      </c>
      <c r="J3989" s="8" t="s">
        <v>22</v>
      </c>
      <c r="K3989" s="8" t="s">
        <v>183</v>
      </c>
      <c r="L3989" s="8" t="s">
        <v>13194</v>
      </c>
      <c r="M3989" s="8" t="s">
        <v>13195</v>
      </c>
      <c r="N3989" s="8" t="s">
        <v>18172</v>
      </c>
      <c r="O3989" s="8">
        <f>11+57/60+24.2/3600</f>
        <v>11.956722222222222</v>
      </c>
      <c r="P3989" s="8" t="s">
        <v>18173</v>
      </c>
      <c r="Q3989" s="8">
        <f>+(27+52/60+41/3600)</f>
        <v>27.878055555555555</v>
      </c>
      <c r="R3989" s="8">
        <v>13.3</v>
      </c>
      <c r="S3989" s="8">
        <v>14.3</v>
      </c>
      <c r="T3989" s="8">
        <v>1</v>
      </c>
      <c r="U3989" s="8">
        <v>13.1</v>
      </c>
      <c r="V3989" s="8">
        <v>0.9</v>
      </c>
      <c r="W3989" s="8">
        <v>0.8</v>
      </c>
      <c r="X3989" s="8">
        <v>42</v>
      </c>
      <c r="Y3989" s="8" t="s">
        <v>18174</v>
      </c>
      <c r="Z3989" s="8" t="s">
        <v>18175</v>
      </c>
    </row>
    <row r="3990" spans="1:26" x14ac:dyDescent="0.2">
      <c r="A3990" s="8">
        <v>3989</v>
      </c>
      <c r="B3990" s="8" t="s">
        <v>18176</v>
      </c>
      <c r="C3990" s="8" t="s">
        <v>18176</v>
      </c>
      <c r="F3990" s="47"/>
      <c r="G3990" s="8">
        <v>18</v>
      </c>
      <c r="H3990" s="8" t="s">
        <v>21</v>
      </c>
      <c r="I3990" s="8" t="s">
        <v>22</v>
      </c>
      <c r="J3990" s="8" t="s">
        <v>22</v>
      </c>
      <c r="K3990" s="8" t="s">
        <v>23</v>
      </c>
      <c r="L3990" s="8" t="s">
        <v>13194</v>
      </c>
      <c r="M3990" s="8" t="s">
        <v>13195</v>
      </c>
      <c r="N3990" s="8" t="s">
        <v>18177</v>
      </c>
      <c r="O3990" s="8">
        <f>11+57/60+26.6/3600</f>
        <v>11.957388888888888</v>
      </c>
      <c r="P3990" s="8" t="s">
        <v>18178</v>
      </c>
      <c r="Q3990" s="8">
        <f>+(25+13/60+58/3600)</f>
        <v>25.232777777777777</v>
      </c>
      <c r="R3990" s="8">
        <v>14.9</v>
      </c>
      <c r="S3990" s="8">
        <v>15.7</v>
      </c>
      <c r="T3990" s="8">
        <v>0.8</v>
      </c>
      <c r="U3990" s="8">
        <v>12.9</v>
      </c>
      <c r="V3990" s="8">
        <v>0.6</v>
      </c>
      <c r="W3990" s="8">
        <v>0.3</v>
      </c>
      <c r="X3990" s="8">
        <v>135</v>
      </c>
      <c r="Y3990" s="8" t="s">
        <v>385</v>
      </c>
      <c r="Z3990" s="8" t="s">
        <v>386</v>
      </c>
    </row>
    <row r="3991" spans="1:26" x14ac:dyDescent="0.2">
      <c r="A3991" s="8">
        <v>3990</v>
      </c>
      <c r="B3991" s="8" t="s">
        <v>18179</v>
      </c>
      <c r="C3991" s="8" t="s">
        <v>18179</v>
      </c>
      <c r="F3991" s="47" t="s">
        <v>57115</v>
      </c>
      <c r="G3991" s="8">
        <v>12</v>
      </c>
      <c r="H3991" s="8" t="s">
        <v>21</v>
      </c>
      <c r="I3991" s="8" t="s">
        <v>22</v>
      </c>
      <c r="J3991" s="8" t="s">
        <v>22</v>
      </c>
      <c r="K3991" s="8" t="s">
        <v>58</v>
      </c>
      <c r="L3991" s="8" t="s">
        <v>12015</v>
      </c>
      <c r="M3991" s="8" t="s">
        <v>12016</v>
      </c>
      <c r="N3991" s="8" t="s">
        <v>18180</v>
      </c>
      <c r="O3991" s="8">
        <f>11+57/60+35.5/3600</f>
        <v>11.95986111111111</v>
      </c>
      <c r="P3991" s="8" t="s">
        <v>18181</v>
      </c>
      <c r="Q3991" s="8">
        <f>+(55+27/60+31/3600)</f>
        <v>55.458611111111111</v>
      </c>
      <c r="R3991" s="8">
        <v>12.6</v>
      </c>
      <c r="S3991" s="8">
        <v>13.4</v>
      </c>
      <c r="T3991" s="8">
        <v>0.8</v>
      </c>
      <c r="U3991" s="8">
        <v>12.6</v>
      </c>
      <c r="V3991" s="8">
        <v>1.4</v>
      </c>
      <c r="W3991" s="8">
        <v>0.8</v>
      </c>
      <c r="X3991" s="8">
        <v>40</v>
      </c>
      <c r="Y3991" s="8" t="s">
        <v>18182</v>
      </c>
      <c r="Z3991" s="8" t="s">
        <v>18183</v>
      </c>
    </row>
    <row r="3992" spans="1:26" x14ac:dyDescent="0.2">
      <c r="A3992" s="8">
        <v>3991</v>
      </c>
      <c r="B3992" s="8" t="s">
        <v>18184</v>
      </c>
      <c r="C3992" s="8" t="s">
        <v>18184</v>
      </c>
      <c r="F3992" s="47"/>
      <c r="G3992" s="8">
        <v>18</v>
      </c>
      <c r="H3992" s="8" t="s">
        <v>21</v>
      </c>
      <c r="I3992" s="8" t="s">
        <v>22</v>
      </c>
      <c r="J3992" s="8" t="s">
        <v>22</v>
      </c>
      <c r="K3992" s="8" t="s">
        <v>18185</v>
      </c>
      <c r="L3992" s="8" t="s">
        <v>12015</v>
      </c>
      <c r="M3992" s="8" t="s">
        <v>12016</v>
      </c>
      <c r="N3992" s="8" t="s">
        <v>18186</v>
      </c>
      <c r="O3992" s="8">
        <f>11+57/60+30.7/3600</f>
        <v>11.958527777777777</v>
      </c>
      <c r="P3992" s="8" t="s">
        <v>18187</v>
      </c>
      <c r="Q3992" s="8">
        <f>+(32+20/60+8/3600)</f>
        <v>32.335555555555558</v>
      </c>
      <c r="R3992" s="8">
        <v>13.1</v>
      </c>
      <c r="S3992" s="8">
        <v>13.5</v>
      </c>
      <c r="T3992" s="8">
        <v>0.4</v>
      </c>
      <c r="U3992" s="8">
        <v>12.4</v>
      </c>
      <c r="V3992" s="8">
        <v>1.3</v>
      </c>
      <c r="W3992" s="8">
        <v>0.3</v>
      </c>
      <c r="X3992" s="8">
        <v>33</v>
      </c>
      <c r="Y3992" s="8" t="s">
        <v>18188</v>
      </c>
      <c r="Z3992" s="8" t="s">
        <v>18189</v>
      </c>
    </row>
    <row r="3993" spans="1:26" x14ac:dyDescent="0.2">
      <c r="A3993" s="8">
        <v>3992</v>
      </c>
      <c r="B3993" s="8" t="s">
        <v>18190</v>
      </c>
      <c r="C3993" s="8" t="s">
        <v>55896</v>
      </c>
      <c r="F3993" s="47" t="s">
        <v>57116</v>
      </c>
      <c r="G3993" s="8">
        <v>1</v>
      </c>
      <c r="H3993" s="8" t="s">
        <v>18191</v>
      </c>
      <c r="I3993" s="8" t="s">
        <v>22</v>
      </c>
      <c r="J3993" s="8" t="s">
        <v>22</v>
      </c>
      <c r="K3993" s="8" t="s">
        <v>85</v>
      </c>
      <c r="L3993" s="8" t="s">
        <v>12015</v>
      </c>
      <c r="M3993" s="8" t="s">
        <v>12016</v>
      </c>
      <c r="N3993" s="8" t="s">
        <v>18192</v>
      </c>
      <c r="O3993" s="8">
        <f>11+57/60+35.4/3600</f>
        <v>11.959833333333332</v>
      </c>
      <c r="P3993" s="8" t="s">
        <v>18193</v>
      </c>
      <c r="Q3993" s="8">
        <f>+(53+22/60+25/3600)</f>
        <v>53.37361111111111</v>
      </c>
      <c r="R3993" s="8">
        <v>9.8000000000000007</v>
      </c>
      <c r="S3993" s="8">
        <v>10.6</v>
      </c>
      <c r="T3993" s="8">
        <v>0.8</v>
      </c>
      <c r="U3993" s="8">
        <v>13.6</v>
      </c>
      <c r="V3993" s="8">
        <v>7.5</v>
      </c>
      <c r="W3993" s="8">
        <v>4.4000000000000004</v>
      </c>
      <c r="X3993" s="8">
        <v>68</v>
      </c>
      <c r="Y3993" s="8" t="s">
        <v>18194</v>
      </c>
      <c r="Z3993" s="8" t="s">
        <v>18195</v>
      </c>
    </row>
    <row r="3994" spans="1:26" x14ac:dyDescent="0.2">
      <c r="A3994" s="8">
        <v>3993</v>
      </c>
      <c r="B3994" s="8" t="s">
        <v>18196</v>
      </c>
      <c r="C3994" s="8" t="s">
        <v>18196</v>
      </c>
      <c r="F3994" s="47" t="s">
        <v>57117</v>
      </c>
      <c r="G3994" s="8">
        <v>15</v>
      </c>
      <c r="H3994" s="8" t="s">
        <v>21</v>
      </c>
      <c r="I3994" s="8" t="s">
        <v>22</v>
      </c>
      <c r="J3994" s="8" t="s">
        <v>22</v>
      </c>
      <c r="K3994" s="8" t="s">
        <v>23</v>
      </c>
      <c r="L3994" s="8" t="s">
        <v>13194</v>
      </c>
      <c r="M3994" s="8" t="s">
        <v>13195</v>
      </c>
      <c r="N3994" s="8" t="s">
        <v>18197</v>
      </c>
      <c r="O3994" s="8">
        <f>11+57/60+37.6/3600</f>
        <v>11.960444444444443</v>
      </c>
      <c r="P3994" s="8" t="s">
        <v>18198</v>
      </c>
      <c r="Q3994" s="8">
        <f>+(25+14/60+25/3600)</f>
        <v>25.240277777777777</v>
      </c>
      <c r="R3994" s="8">
        <v>13.7</v>
      </c>
      <c r="S3994" s="8">
        <v>14.5</v>
      </c>
      <c r="T3994" s="8">
        <v>0.8</v>
      </c>
      <c r="U3994" s="8">
        <v>13.4</v>
      </c>
      <c r="V3994" s="8">
        <v>1.6</v>
      </c>
      <c r="W3994" s="8">
        <v>0.4</v>
      </c>
      <c r="X3994" s="8">
        <v>141</v>
      </c>
      <c r="Y3994" s="8" t="s">
        <v>18199</v>
      </c>
      <c r="Z3994" s="8" t="s">
        <v>18200</v>
      </c>
    </row>
    <row r="3995" spans="1:26" x14ac:dyDescent="0.2">
      <c r="A3995" s="8">
        <v>3994</v>
      </c>
      <c r="B3995" s="8" t="s">
        <v>18201</v>
      </c>
      <c r="C3995" s="8" t="s">
        <v>18201</v>
      </c>
      <c r="F3995" s="47"/>
      <c r="G3995" s="8">
        <v>18</v>
      </c>
      <c r="H3995" s="8" t="s">
        <v>21</v>
      </c>
      <c r="I3995" s="8" t="s">
        <v>22</v>
      </c>
      <c r="J3995" s="8" t="s">
        <v>22</v>
      </c>
      <c r="K3995" s="8" t="s">
        <v>538</v>
      </c>
      <c r="L3995" s="8" t="s">
        <v>12015</v>
      </c>
      <c r="M3995" s="8" t="s">
        <v>12016</v>
      </c>
      <c r="N3995" s="8" t="s">
        <v>18202</v>
      </c>
      <c r="O3995" s="8">
        <f>11+57/60+36.8/3600</f>
        <v>11.960222222222221</v>
      </c>
      <c r="P3995" s="8" t="s">
        <v>1378</v>
      </c>
      <c r="Q3995" s="8">
        <f>+(32+16/60+39/3600)</f>
        <v>32.277499999999996</v>
      </c>
      <c r="R3995" s="8">
        <v>12.7</v>
      </c>
      <c r="S3995" s="8">
        <v>13.3</v>
      </c>
      <c r="T3995" s="8">
        <v>0.6</v>
      </c>
      <c r="U3995" s="8">
        <v>12</v>
      </c>
      <c r="V3995" s="8">
        <v>0.9</v>
      </c>
      <c r="W3995" s="8">
        <v>0.5</v>
      </c>
      <c r="X3995" s="8">
        <v>10</v>
      </c>
      <c r="Y3995" s="8" t="s">
        <v>18203</v>
      </c>
      <c r="Z3995" s="8" t="s">
        <v>18204</v>
      </c>
    </row>
    <row r="3996" spans="1:26" x14ac:dyDescent="0.2">
      <c r="A3996" s="8">
        <v>3995</v>
      </c>
      <c r="B3996" s="8" t="s">
        <v>18205</v>
      </c>
      <c r="C3996" s="8" t="s">
        <v>18205</v>
      </c>
      <c r="F3996" s="47"/>
      <c r="G3996" s="8">
        <v>13</v>
      </c>
      <c r="H3996" s="8" t="s">
        <v>21</v>
      </c>
      <c r="I3996" s="8" t="s">
        <v>22</v>
      </c>
      <c r="J3996" s="8" t="s">
        <v>22</v>
      </c>
      <c r="K3996" s="8" t="s">
        <v>323</v>
      </c>
      <c r="L3996" s="8" t="s">
        <v>12015</v>
      </c>
      <c r="M3996" s="8" t="s">
        <v>12016</v>
      </c>
      <c r="N3996" s="8" t="s">
        <v>18206</v>
      </c>
      <c r="O3996" s="8">
        <f>11+57/60+44/3600</f>
        <v>11.962222222222222</v>
      </c>
      <c r="P3996" s="8" t="s">
        <v>18207</v>
      </c>
      <c r="Q3996" s="8">
        <f>+(32+17/60+35/3600)</f>
        <v>32.293055555555554</v>
      </c>
      <c r="R3996" s="8">
        <v>12.4</v>
      </c>
      <c r="S3996" s="8">
        <v>12.7</v>
      </c>
      <c r="T3996" s="8">
        <v>0.3</v>
      </c>
      <c r="U3996" s="8">
        <v>13.4</v>
      </c>
      <c r="V3996" s="8">
        <v>2.6</v>
      </c>
      <c r="W3996" s="8">
        <v>0.9</v>
      </c>
      <c r="X3996" s="8">
        <v>33</v>
      </c>
      <c r="Y3996" s="8" t="s">
        <v>18208</v>
      </c>
      <c r="Z3996" s="8" t="s">
        <v>18209</v>
      </c>
    </row>
    <row r="3997" spans="1:26" x14ac:dyDescent="0.2">
      <c r="A3997" s="8">
        <v>3996</v>
      </c>
      <c r="B3997" s="8" t="s">
        <v>18210</v>
      </c>
      <c r="C3997" s="8" t="s">
        <v>18210</v>
      </c>
      <c r="F3997" s="47"/>
      <c r="G3997" s="8">
        <v>16</v>
      </c>
      <c r="H3997" s="8" t="s">
        <v>21</v>
      </c>
      <c r="I3997" s="8" t="s">
        <v>22</v>
      </c>
      <c r="J3997" s="8" t="s">
        <v>22</v>
      </c>
      <c r="K3997" s="8" t="s">
        <v>160</v>
      </c>
      <c r="L3997" s="8" t="s">
        <v>13194</v>
      </c>
      <c r="M3997" s="8" t="s">
        <v>13195</v>
      </c>
      <c r="N3997" s="8" t="s">
        <v>18211</v>
      </c>
      <c r="O3997" s="8">
        <f>11+57/60+46.1/3600</f>
        <v>11.962805555555555</v>
      </c>
      <c r="P3997" s="8" t="s">
        <v>18212</v>
      </c>
      <c r="Q3997" s="8">
        <f>+(14+17/60+51/3600)</f>
        <v>14.297499999999999</v>
      </c>
      <c r="R3997" s="8">
        <v>13.5</v>
      </c>
      <c r="S3997" s="8">
        <v>14.2</v>
      </c>
      <c r="T3997" s="8">
        <v>0.7</v>
      </c>
      <c r="U3997" s="8">
        <v>12.8</v>
      </c>
      <c r="V3997" s="8">
        <v>0.9</v>
      </c>
      <c r="W3997" s="8">
        <v>0.7</v>
      </c>
      <c r="X3997" s="8">
        <v>50</v>
      </c>
      <c r="Y3997" s="8" t="s">
        <v>18213</v>
      </c>
      <c r="Z3997" s="8" t="s">
        <v>18214</v>
      </c>
    </row>
    <row r="3998" spans="1:26" x14ac:dyDescent="0.2">
      <c r="A3998" s="8">
        <v>3997</v>
      </c>
      <c r="B3998" s="8" t="s">
        <v>18215</v>
      </c>
      <c r="C3998" s="8" t="s">
        <v>18215</v>
      </c>
      <c r="F3998" s="47"/>
      <c r="G3998" s="8">
        <v>16</v>
      </c>
      <c r="H3998" s="8" t="s">
        <v>21</v>
      </c>
      <c r="I3998" s="8" t="s">
        <v>22</v>
      </c>
      <c r="J3998" s="8" t="s">
        <v>22</v>
      </c>
      <c r="K3998" s="8" t="s">
        <v>5751</v>
      </c>
      <c r="L3998" s="8" t="s">
        <v>13194</v>
      </c>
      <c r="M3998" s="8" t="s">
        <v>13195</v>
      </c>
      <c r="N3998" s="8" t="s">
        <v>18216</v>
      </c>
      <c r="O3998" s="8">
        <f>11+57/60+48.5/3600</f>
        <v>11.963472222222222</v>
      </c>
      <c r="P3998" s="8" t="s">
        <v>18217</v>
      </c>
      <c r="Q3998" s="8">
        <f>+(25+16/60+15/3600)</f>
        <v>25.270833333333332</v>
      </c>
      <c r="R3998" s="8">
        <v>13.5</v>
      </c>
      <c r="S3998" s="8">
        <v>14</v>
      </c>
      <c r="T3998" s="8">
        <v>0.5</v>
      </c>
      <c r="U3998" s="8">
        <v>13.3</v>
      </c>
      <c r="V3998" s="8">
        <v>1.6</v>
      </c>
      <c r="W3998" s="8">
        <v>0.7</v>
      </c>
      <c r="X3998" s="8">
        <v>141</v>
      </c>
      <c r="Y3998" s="8" t="s">
        <v>18218</v>
      </c>
      <c r="Z3998" s="8" t="s">
        <v>18219</v>
      </c>
    </row>
    <row r="3999" spans="1:26" x14ac:dyDescent="0.2">
      <c r="A3999" s="8">
        <v>3998</v>
      </c>
      <c r="B3999" s="8" t="s">
        <v>18220</v>
      </c>
      <c r="C3999" s="8" t="s">
        <v>18220</v>
      </c>
      <c r="F3999" s="47" t="s">
        <v>57118</v>
      </c>
      <c r="G3999" s="8">
        <v>6</v>
      </c>
      <c r="H3999" s="8" t="s">
        <v>21</v>
      </c>
      <c r="I3999" s="8" t="s">
        <v>22</v>
      </c>
      <c r="J3999" s="8" t="s">
        <v>22</v>
      </c>
      <c r="K3999" s="8" t="s">
        <v>37</v>
      </c>
      <c r="L3999" s="8" t="s">
        <v>12015</v>
      </c>
      <c r="M3999" s="8" t="s">
        <v>12016</v>
      </c>
      <c r="N3999" s="8" t="s">
        <v>18221</v>
      </c>
      <c r="O3999" s="8">
        <f>11+57/60+55.9/3600</f>
        <v>11.965527777777776</v>
      </c>
      <c r="P3999" s="8" t="s">
        <v>18222</v>
      </c>
      <c r="Q3999" s="8">
        <f>+(55+27/60+14/3600)</f>
        <v>55.453888888888891</v>
      </c>
      <c r="R3999" s="8">
        <v>10.7</v>
      </c>
      <c r="S3999" s="8">
        <v>11.6</v>
      </c>
      <c r="T3999" s="8">
        <v>0.9</v>
      </c>
      <c r="U3999" s="8">
        <v>12.5</v>
      </c>
      <c r="V3999" s="8">
        <v>2.7</v>
      </c>
      <c r="W3999" s="8">
        <v>2.2999999999999998</v>
      </c>
      <c r="X3999" s="8">
        <v>140</v>
      </c>
      <c r="Y3999" s="8" t="s">
        <v>18223</v>
      </c>
      <c r="Z3999" s="8" t="s">
        <v>18224</v>
      </c>
    </row>
    <row r="4000" spans="1:26" x14ac:dyDescent="0.2">
      <c r="A4000" s="8">
        <v>3999</v>
      </c>
      <c r="B4000" s="8" t="s">
        <v>18225</v>
      </c>
      <c r="C4000" s="8" t="s">
        <v>18225</v>
      </c>
      <c r="F4000" s="47"/>
      <c r="G4000" s="8">
        <v>19</v>
      </c>
      <c r="H4000" s="8" t="s">
        <v>21</v>
      </c>
      <c r="I4000" s="8" t="s">
        <v>22</v>
      </c>
      <c r="J4000" s="8" t="s">
        <v>22</v>
      </c>
      <c r="K4000" s="8" t="s">
        <v>37</v>
      </c>
      <c r="L4000" s="8" t="s">
        <v>13194</v>
      </c>
      <c r="M4000" s="8" t="s">
        <v>13195</v>
      </c>
      <c r="N4000" s="8" t="s">
        <v>18226</v>
      </c>
      <c r="O4000" s="8">
        <f>11+57/60+56.4/3600</f>
        <v>11.965666666666666</v>
      </c>
      <c r="P4000" s="8" t="s">
        <v>18227</v>
      </c>
      <c r="Q4000" s="8">
        <f>+(25+4/60+6/3600)</f>
        <v>25.068333333333332</v>
      </c>
      <c r="R4000" s="8">
        <v>14.7</v>
      </c>
      <c r="S4000" s="8">
        <v>15.7</v>
      </c>
      <c r="T4000" s="8">
        <v>1</v>
      </c>
      <c r="U4000" s="8">
        <v>11.8</v>
      </c>
      <c r="V4000" s="8">
        <v>0.4</v>
      </c>
      <c r="W4000" s="8">
        <v>0.2</v>
      </c>
      <c r="X4000" s="8">
        <v>81</v>
      </c>
      <c r="Y4000" s="8" t="s">
        <v>1511</v>
      </c>
      <c r="Z4000" s="8" t="s">
        <v>1512</v>
      </c>
    </row>
    <row r="4001" spans="1:26" x14ac:dyDescent="0.2">
      <c r="A4001" s="8">
        <v>4000</v>
      </c>
      <c r="B4001" s="8" t="s">
        <v>18228</v>
      </c>
      <c r="C4001" s="8" t="s">
        <v>18228</v>
      </c>
      <c r="F4001" s="47"/>
      <c r="G4001" s="8">
        <v>19</v>
      </c>
      <c r="H4001" s="8" t="s">
        <v>21</v>
      </c>
      <c r="I4001" s="8" t="s">
        <v>22</v>
      </c>
      <c r="J4001" s="8" t="s">
        <v>22</v>
      </c>
      <c r="K4001" s="8" t="s">
        <v>396</v>
      </c>
      <c r="L4001" s="8" t="s">
        <v>13194</v>
      </c>
      <c r="M4001" s="8" t="s">
        <v>13195</v>
      </c>
      <c r="N4001" s="8" t="s">
        <v>18229</v>
      </c>
      <c r="O4001" s="8">
        <f>11+57/60+57/3600</f>
        <v>11.965833333333332</v>
      </c>
      <c r="P4001" s="8" t="s">
        <v>18230</v>
      </c>
      <c r="Q4001" s="8">
        <f>+(25+8/60+38/3600)</f>
        <v>25.143888888888888</v>
      </c>
      <c r="R4001" s="8">
        <v>14.6</v>
      </c>
      <c r="S4001" s="8">
        <v>15.4</v>
      </c>
      <c r="T4001" s="8">
        <v>0.8</v>
      </c>
      <c r="U4001" s="8">
        <v>12.7</v>
      </c>
      <c r="V4001" s="8">
        <v>1</v>
      </c>
      <c r="W4001" s="8">
        <v>0.2</v>
      </c>
      <c r="X4001" s="8">
        <v>3</v>
      </c>
      <c r="Y4001" s="8" t="s">
        <v>21</v>
      </c>
      <c r="Z4001" s="8" t="s">
        <v>18231</v>
      </c>
    </row>
    <row r="4002" spans="1:26" x14ac:dyDescent="0.2">
      <c r="A4002" s="8">
        <v>4001</v>
      </c>
      <c r="B4002" s="8" t="s">
        <v>18232</v>
      </c>
      <c r="C4002" s="8" t="s">
        <v>18232</v>
      </c>
      <c r="F4002" s="47"/>
      <c r="G4002" s="8">
        <v>18</v>
      </c>
      <c r="H4002" s="8" t="s">
        <v>21</v>
      </c>
      <c r="I4002" s="8" t="s">
        <v>22</v>
      </c>
      <c r="J4002" s="8" t="s">
        <v>22</v>
      </c>
      <c r="K4002" s="8" t="s">
        <v>18233</v>
      </c>
      <c r="L4002" s="8" t="s">
        <v>12015</v>
      </c>
      <c r="M4002" s="8" t="s">
        <v>12016</v>
      </c>
      <c r="N4002" s="8" t="s">
        <v>18234</v>
      </c>
      <c r="O4002" s="8">
        <f>11+58/60+6.7/3600</f>
        <v>11.968527777777778</v>
      </c>
      <c r="P4002" s="8" t="s">
        <v>18235</v>
      </c>
      <c r="Q4002" s="8">
        <f>+(47+20/60+7/3600)</f>
        <v>47.335277777777783</v>
      </c>
      <c r="R4002" s="8">
        <v>15.3</v>
      </c>
      <c r="S4002" s="8">
        <v>15.9</v>
      </c>
      <c r="T4002" s="8">
        <v>0.6</v>
      </c>
      <c r="U4002" s="8">
        <v>13.5</v>
      </c>
      <c r="V4002" s="8">
        <v>0.7</v>
      </c>
      <c r="W4002" s="8">
        <v>0.3</v>
      </c>
      <c r="X4002" s="8">
        <v>162</v>
      </c>
      <c r="Y4002" s="8" t="s">
        <v>21</v>
      </c>
      <c r="Z4002" s="8" t="s">
        <v>18236</v>
      </c>
    </row>
    <row r="4003" spans="1:26" x14ac:dyDescent="0.2">
      <c r="A4003" s="8">
        <v>4002</v>
      </c>
      <c r="B4003" s="8" t="s">
        <v>18237</v>
      </c>
      <c r="C4003" s="8" t="s">
        <v>18237</v>
      </c>
      <c r="F4003" s="47" t="s">
        <v>57119</v>
      </c>
      <c r="G4003" s="8">
        <v>15</v>
      </c>
      <c r="H4003" s="8" t="s">
        <v>21</v>
      </c>
      <c r="I4003" s="8" t="s">
        <v>22</v>
      </c>
      <c r="J4003" s="8" t="s">
        <v>22</v>
      </c>
      <c r="K4003" s="8" t="s">
        <v>31</v>
      </c>
      <c r="L4003" s="8" t="s">
        <v>13194</v>
      </c>
      <c r="M4003" s="8" t="s">
        <v>13195</v>
      </c>
      <c r="N4003" s="8" t="s">
        <v>18238</v>
      </c>
      <c r="O4003" s="8">
        <f>11+57/60+59.3/3600</f>
        <v>11.966472222222222</v>
      </c>
      <c r="P4003" s="8" t="s">
        <v>18239</v>
      </c>
      <c r="Q4003" s="8">
        <f>+(23+12/60+10/3600)</f>
        <v>23.202777777777776</v>
      </c>
      <c r="R4003" s="8">
        <v>14.1</v>
      </c>
      <c r="S4003" s="8">
        <v>14.9</v>
      </c>
      <c r="T4003" s="8">
        <v>0.8</v>
      </c>
      <c r="U4003" s="8">
        <v>13.5</v>
      </c>
      <c r="V4003" s="8">
        <v>1.1000000000000001</v>
      </c>
      <c r="W4003" s="8">
        <v>0.6</v>
      </c>
      <c r="X4003" s="8">
        <v>111</v>
      </c>
      <c r="Y4003" s="8" t="s">
        <v>18240</v>
      </c>
      <c r="Z4003" s="8" t="s">
        <v>18241</v>
      </c>
    </row>
    <row r="4004" spans="1:26" x14ac:dyDescent="0.2">
      <c r="A4004" s="8">
        <v>4003</v>
      </c>
      <c r="B4004" s="8" t="s">
        <v>18242</v>
      </c>
      <c r="C4004" s="8" t="s">
        <v>18242</v>
      </c>
      <c r="F4004" s="47" t="s">
        <v>57120</v>
      </c>
      <c r="G4004" s="8">
        <v>15</v>
      </c>
      <c r="H4004" s="8" t="s">
        <v>21</v>
      </c>
      <c r="I4004" s="8" t="s">
        <v>22</v>
      </c>
      <c r="J4004" s="8" t="s">
        <v>22</v>
      </c>
      <c r="K4004" s="8" t="s">
        <v>224</v>
      </c>
      <c r="L4004" s="8" t="s">
        <v>13194</v>
      </c>
      <c r="M4004" s="8" t="s">
        <v>13195</v>
      </c>
      <c r="N4004" s="8" t="s">
        <v>18243</v>
      </c>
      <c r="O4004" s="8">
        <f>11+57/60+59/3600</f>
        <v>11.966388888888888</v>
      </c>
      <c r="P4004" s="8" t="s">
        <v>18244</v>
      </c>
      <c r="Q4004" s="8">
        <f>+(23+7/60+31/3600)</f>
        <v>23.125277777777779</v>
      </c>
      <c r="R4004" s="8">
        <v>13.3</v>
      </c>
      <c r="S4004" s="8">
        <v>14.3</v>
      </c>
      <c r="T4004" s="8">
        <v>1</v>
      </c>
      <c r="U4004" s="8">
        <v>13.5</v>
      </c>
      <c r="V4004" s="8">
        <v>1.5</v>
      </c>
      <c r="W4004" s="8">
        <v>0.9</v>
      </c>
      <c r="X4004" s="8">
        <v>151</v>
      </c>
      <c r="Y4004" s="8" t="s">
        <v>18245</v>
      </c>
      <c r="Z4004" s="8" t="s">
        <v>18246</v>
      </c>
    </row>
    <row r="4005" spans="1:26" x14ac:dyDescent="0.2">
      <c r="A4005" s="8">
        <v>4004</v>
      </c>
      <c r="B4005" s="8" t="s">
        <v>18247</v>
      </c>
      <c r="C4005" s="8" t="s">
        <v>18247</v>
      </c>
      <c r="F4005" s="47" t="s">
        <v>57121</v>
      </c>
      <c r="G4005" s="8">
        <v>15</v>
      </c>
      <c r="H4005" s="8" t="s">
        <v>21</v>
      </c>
      <c r="I4005" s="8" t="s">
        <v>22</v>
      </c>
      <c r="J4005" s="8" t="s">
        <v>22</v>
      </c>
      <c r="K4005" s="8" t="s">
        <v>1174</v>
      </c>
      <c r="L4005" s="8" t="s">
        <v>13194</v>
      </c>
      <c r="M4005" s="8" t="s">
        <v>13195</v>
      </c>
      <c r="N4005" s="8" t="s">
        <v>18248</v>
      </c>
      <c r="O4005" s="8">
        <f>11+58/60+5.1/3600</f>
        <v>11.968083333333334</v>
      </c>
      <c r="P4005" s="8" t="s">
        <v>18249</v>
      </c>
      <c r="Q4005" s="8">
        <f>+(27+52/60+43/3600)</f>
        <v>27.878611111111113</v>
      </c>
      <c r="R4005" s="8">
        <v>13.7</v>
      </c>
      <c r="S4005" s="8">
        <v>14.1</v>
      </c>
      <c r="T4005" s="8">
        <v>0.4</v>
      </c>
      <c r="U4005" s="8">
        <v>13.9</v>
      </c>
      <c r="V4005" s="8">
        <v>1.8</v>
      </c>
      <c r="W4005" s="8">
        <v>0.6</v>
      </c>
      <c r="X4005" s="8">
        <v>8</v>
      </c>
      <c r="Y4005" s="8" t="s">
        <v>21</v>
      </c>
      <c r="Z4005" s="8" t="s">
        <v>18250</v>
      </c>
    </row>
    <row r="4006" spans="1:26" x14ac:dyDescent="0.2">
      <c r="A4006" s="8">
        <v>4005</v>
      </c>
      <c r="B4006" s="8" t="s">
        <v>18251</v>
      </c>
      <c r="C4006" s="8" t="s">
        <v>18251</v>
      </c>
      <c r="F4006" s="47"/>
      <c r="G4006" s="8">
        <v>14</v>
      </c>
      <c r="H4006" s="8" t="s">
        <v>18252</v>
      </c>
      <c r="I4006" s="8" t="s">
        <v>22</v>
      </c>
      <c r="J4006" s="8" t="s">
        <v>57</v>
      </c>
      <c r="K4006" s="8" t="s">
        <v>476</v>
      </c>
      <c r="L4006" s="8" t="s">
        <v>13194</v>
      </c>
      <c r="M4006" s="8" t="s">
        <v>13195</v>
      </c>
      <c r="N4006" s="8" t="s">
        <v>18253</v>
      </c>
      <c r="O4006" s="8">
        <f>11+58/60+10/3600</f>
        <v>11.969444444444445</v>
      </c>
      <c r="P4006" s="8" t="s">
        <v>18254</v>
      </c>
      <c r="Q4006" s="8">
        <f>+(25+7/60+20/3600)</f>
        <v>25.122222222222224</v>
      </c>
      <c r="R4006" s="8">
        <v>13.1</v>
      </c>
      <c r="S4006" s="8">
        <v>13.9</v>
      </c>
      <c r="T4006" s="8">
        <v>0.8</v>
      </c>
      <c r="U4006" s="8">
        <v>12.8</v>
      </c>
      <c r="V4006" s="8">
        <v>1.2</v>
      </c>
      <c r="W4006" s="8">
        <v>0.7</v>
      </c>
      <c r="X4006" s="8">
        <v>92</v>
      </c>
      <c r="Y4006" s="8" t="s">
        <v>21</v>
      </c>
      <c r="Z4006" s="8" t="s">
        <v>18255</v>
      </c>
    </row>
    <row r="4007" spans="1:26" x14ac:dyDescent="0.2">
      <c r="A4007" s="8">
        <v>4006</v>
      </c>
      <c r="B4007" s="8" t="s">
        <v>18256</v>
      </c>
      <c r="C4007" s="8" t="s">
        <v>18256</v>
      </c>
      <c r="F4007" s="47"/>
      <c r="G4007" s="8">
        <v>16</v>
      </c>
      <c r="H4007" s="8" t="s">
        <v>21</v>
      </c>
      <c r="I4007" s="8" t="s">
        <v>22</v>
      </c>
      <c r="J4007" s="8" t="s">
        <v>22</v>
      </c>
      <c r="K4007" s="8" t="s">
        <v>382</v>
      </c>
      <c r="L4007" s="8" t="s">
        <v>17287</v>
      </c>
      <c r="M4007" s="8" t="s">
        <v>17288</v>
      </c>
      <c r="N4007" s="8" t="s">
        <v>18257</v>
      </c>
      <c r="O4007" s="8">
        <f>11+58/60+5.9/3600</f>
        <v>11.968305555555556</v>
      </c>
      <c r="P4007" s="8" t="s">
        <v>18258</v>
      </c>
      <c r="Q4007" s="8">
        <f>-(2+7/60+13/3600)</f>
        <v>-2.1202777777777779</v>
      </c>
      <c r="R4007" s="8">
        <v>12.6</v>
      </c>
      <c r="S4007" s="8">
        <v>13.6</v>
      </c>
      <c r="T4007" s="8">
        <v>1</v>
      </c>
      <c r="U4007" s="8">
        <v>13.3</v>
      </c>
      <c r="V4007" s="8">
        <v>1.6</v>
      </c>
      <c r="W4007" s="8">
        <v>1.2</v>
      </c>
      <c r="X4007" s="8">
        <v>20</v>
      </c>
      <c r="Y4007" s="8" t="s">
        <v>18259</v>
      </c>
      <c r="Z4007" s="8" t="s">
        <v>18260</v>
      </c>
    </row>
    <row r="4008" spans="1:26" x14ac:dyDescent="0.2">
      <c r="A4008" s="8">
        <v>4007</v>
      </c>
      <c r="B4008" s="8" t="s">
        <v>18261</v>
      </c>
      <c r="C4008" s="8" t="s">
        <v>18261</v>
      </c>
      <c r="F4008" s="47" t="s">
        <v>57122</v>
      </c>
      <c r="G4008" s="8">
        <v>15</v>
      </c>
      <c r="H4008" s="8" t="s">
        <v>21</v>
      </c>
      <c r="I4008" s="8" t="s">
        <v>22</v>
      </c>
      <c r="J4008" s="8" t="s">
        <v>22</v>
      </c>
      <c r="K4008" s="8" t="s">
        <v>476</v>
      </c>
      <c r="L4008" s="8" t="s">
        <v>13194</v>
      </c>
      <c r="M4008" s="8" t="s">
        <v>13195</v>
      </c>
      <c r="N4008" s="8" t="s">
        <v>18253</v>
      </c>
      <c r="O4008" s="8">
        <f>11+58/60+10/3600</f>
        <v>11.969444444444445</v>
      </c>
      <c r="P4008" s="8" t="s">
        <v>18254</v>
      </c>
      <c r="Q4008" s="8">
        <f>+(25+7/60+20/3600)</f>
        <v>25.122222222222224</v>
      </c>
      <c r="R4008" s="8">
        <v>13.1</v>
      </c>
      <c r="S4008" s="8">
        <v>13.9</v>
      </c>
      <c r="T4008" s="8">
        <v>0.8</v>
      </c>
      <c r="U4008" s="8">
        <v>12.8</v>
      </c>
      <c r="V4008" s="8">
        <v>1.2</v>
      </c>
      <c r="W4008" s="8">
        <v>0.7</v>
      </c>
      <c r="X4008" s="8">
        <v>92</v>
      </c>
      <c r="Y4008" s="8" t="s">
        <v>266</v>
      </c>
      <c r="Z4008" s="8" t="s">
        <v>267</v>
      </c>
    </row>
    <row r="4009" spans="1:26" x14ac:dyDescent="0.2">
      <c r="A4009" s="8">
        <v>4008</v>
      </c>
      <c r="B4009" s="8" t="s">
        <v>18262</v>
      </c>
      <c r="C4009" s="8" t="s">
        <v>18262</v>
      </c>
      <c r="F4009" s="47" t="s">
        <v>57123</v>
      </c>
      <c r="G4009" s="8">
        <v>13</v>
      </c>
      <c r="H4009" s="8" t="s">
        <v>21</v>
      </c>
      <c r="I4009" s="8" t="s">
        <v>22</v>
      </c>
      <c r="J4009" s="8" t="s">
        <v>22</v>
      </c>
      <c r="K4009" s="8" t="s">
        <v>1068</v>
      </c>
      <c r="L4009" s="8" t="s">
        <v>13194</v>
      </c>
      <c r="M4009" s="8" t="s">
        <v>13195</v>
      </c>
      <c r="N4009" s="8" t="s">
        <v>18263</v>
      </c>
      <c r="O4009" s="8">
        <f>11+58/60+17.1/3600</f>
        <v>11.971416666666666</v>
      </c>
      <c r="P4009" s="8" t="s">
        <v>18264</v>
      </c>
      <c r="Q4009" s="8">
        <f>+(28+11/60+34/3600)</f>
        <v>28.192777777777778</v>
      </c>
      <c r="R4009" s="8">
        <v>12</v>
      </c>
      <c r="S4009" s="8">
        <v>13</v>
      </c>
      <c r="T4009" s="8">
        <v>1</v>
      </c>
      <c r="U4009" s="8">
        <v>13.3</v>
      </c>
      <c r="V4009" s="8">
        <v>2.4</v>
      </c>
      <c r="W4009" s="8">
        <v>1.3</v>
      </c>
      <c r="X4009" s="8">
        <v>167</v>
      </c>
      <c r="Y4009" s="8" t="s">
        <v>21</v>
      </c>
      <c r="Z4009" s="8" t="s">
        <v>18265</v>
      </c>
    </row>
    <row r="4010" spans="1:26" x14ac:dyDescent="0.2">
      <c r="A4010" s="8">
        <v>4009</v>
      </c>
      <c r="B4010" s="8" t="s">
        <v>18266</v>
      </c>
      <c r="C4010" s="8" t="s">
        <v>18266</v>
      </c>
      <c r="F4010" s="47"/>
      <c r="G4010" s="8">
        <v>19</v>
      </c>
      <c r="H4010" s="8" t="s">
        <v>21</v>
      </c>
      <c r="I4010" s="8" t="s">
        <v>72</v>
      </c>
      <c r="J4010" s="8" t="s">
        <v>72</v>
      </c>
      <c r="K4010" s="8" t="s">
        <v>20</v>
      </c>
      <c r="L4010" s="8" t="s">
        <v>13194</v>
      </c>
      <c r="M4010" s="8" t="s">
        <v>13195</v>
      </c>
      <c r="N4010" s="8" t="s">
        <v>18267</v>
      </c>
      <c r="O4010" s="8">
        <f>11+58/60+15/3600</f>
        <v>11.970833333333333</v>
      </c>
      <c r="P4010" s="8" t="s">
        <v>18268</v>
      </c>
      <c r="Q4010" s="8">
        <f>+(25+11/60+27/3600)</f>
        <v>25.190833333333334</v>
      </c>
      <c r="R4010" s="8">
        <v>99</v>
      </c>
      <c r="S4010" s="8">
        <v>13.4</v>
      </c>
      <c r="T4010" s="8">
        <v>99</v>
      </c>
      <c r="U4010" s="8">
        <v>99</v>
      </c>
      <c r="Y4010" s="8" t="s">
        <v>18269</v>
      </c>
      <c r="Z4010" s="8" t="s">
        <v>18270</v>
      </c>
    </row>
    <row r="4011" spans="1:26" x14ac:dyDescent="0.2">
      <c r="A4011" s="8">
        <v>4010</v>
      </c>
      <c r="B4011" s="8" t="s">
        <v>18271</v>
      </c>
      <c r="C4011" s="8" t="s">
        <v>18271</v>
      </c>
      <c r="F4011" s="47"/>
      <c r="G4011" s="8">
        <v>16</v>
      </c>
      <c r="H4011" s="8" t="s">
        <v>21</v>
      </c>
      <c r="I4011" s="8" t="s">
        <v>22</v>
      </c>
      <c r="J4011" s="8" t="s">
        <v>22</v>
      </c>
      <c r="K4011" s="8" t="s">
        <v>1277</v>
      </c>
      <c r="L4011" s="8" t="s">
        <v>12015</v>
      </c>
      <c r="M4011" s="8" t="s">
        <v>12016</v>
      </c>
      <c r="N4011" s="8" t="s">
        <v>18272</v>
      </c>
      <c r="O4011" s="8">
        <f>11+58/60+37.1/3600</f>
        <v>11.976972222222223</v>
      </c>
      <c r="P4011" s="8" t="s">
        <v>18273</v>
      </c>
      <c r="Q4011" s="8">
        <f>+(47+15/60+37/3600)</f>
        <v>47.26027777777778</v>
      </c>
      <c r="R4011" s="8">
        <v>12.6</v>
      </c>
      <c r="S4011" s="8">
        <v>13</v>
      </c>
      <c r="T4011" s="8">
        <v>0.4</v>
      </c>
      <c r="U4011" s="8">
        <v>13.8</v>
      </c>
      <c r="V4011" s="8">
        <v>4.2</v>
      </c>
      <c r="W4011" s="8">
        <v>0.9</v>
      </c>
      <c r="X4011" s="8">
        <v>66</v>
      </c>
      <c r="Y4011" s="8" t="s">
        <v>18274</v>
      </c>
      <c r="Z4011" s="8" t="s">
        <v>18275</v>
      </c>
    </row>
    <row r="4012" spans="1:26" x14ac:dyDescent="0.2">
      <c r="A4012" s="8">
        <v>4011</v>
      </c>
      <c r="B4012" s="8" t="s">
        <v>18276</v>
      </c>
      <c r="C4012" s="8" t="s">
        <v>18276</v>
      </c>
      <c r="F4012" s="47"/>
      <c r="G4012" s="8">
        <v>19</v>
      </c>
      <c r="H4012" s="8" t="s">
        <v>21</v>
      </c>
      <c r="I4012" s="8" t="s">
        <v>22</v>
      </c>
      <c r="J4012" s="8" t="s">
        <v>22</v>
      </c>
      <c r="K4012" s="8" t="s">
        <v>37</v>
      </c>
      <c r="L4012" s="8" t="s">
        <v>13194</v>
      </c>
      <c r="M4012" s="8" t="s">
        <v>13195</v>
      </c>
      <c r="N4012" s="8" t="s">
        <v>18277</v>
      </c>
      <c r="O4012" s="8">
        <f>11+58/60+25.4/3600</f>
        <v>11.973722222222221</v>
      </c>
      <c r="P4012" s="8" t="s">
        <v>18278</v>
      </c>
      <c r="Q4012" s="8">
        <f>+(25+5/60+52/3600)</f>
        <v>25.097777777777775</v>
      </c>
      <c r="R4012" s="8">
        <v>14.7</v>
      </c>
      <c r="S4012" s="8">
        <v>15.7</v>
      </c>
      <c r="T4012" s="8">
        <v>1</v>
      </c>
      <c r="U4012" s="8">
        <v>11.8</v>
      </c>
      <c r="V4012" s="8">
        <v>0.4</v>
      </c>
      <c r="W4012" s="8">
        <v>0.2</v>
      </c>
      <c r="X4012" s="8">
        <v>39</v>
      </c>
      <c r="Y4012" s="8" t="s">
        <v>18279</v>
      </c>
      <c r="Z4012" s="8" t="s">
        <v>18280</v>
      </c>
    </row>
    <row r="4013" spans="1:26" x14ac:dyDescent="0.2">
      <c r="A4013" s="8">
        <v>4012</v>
      </c>
      <c r="B4013" s="8" t="s">
        <v>18281</v>
      </c>
      <c r="C4013" s="8" t="s">
        <v>18281</v>
      </c>
      <c r="F4013" s="47"/>
      <c r="G4013" s="8">
        <v>18</v>
      </c>
      <c r="H4013" s="8" t="s">
        <v>21</v>
      </c>
      <c r="I4013" s="8" t="s">
        <v>22</v>
      </c>
      <c r="J4013" s="8" t="s">
        <v>22</v>
      </c>
      <c r="K4013" s="8" t="s">
        <v>23</v>
      </c>
      <c r="L4013" s="8" t="s">
        <v>17287</v>
      </c>
      <c r="M4013" s="8" t="s">
        <v>17288</v>
      </c>
      <c r="N4013" s="8" t="s">
        <v>18282</v>
      </c>
      <c r="O4013" s="8">
        <f>11+58/60+27.5/3600</f>
        <v>11.974305555555556</v>
      </c>
      <c r="P4013" s="8" t="s">
        <v>18283</v>
      </c>
      <c r="Q4013" s="8">
        <f>+(10+1/60+18/3600)</f>
        <v>10.021666666666668</v>
      </c>
      <c r="R4013" s="8">
        <v>13.4</v>
      </c>
      <c r="S4013" s="8">
        <v>14.2</v>
      </c>
      <c r="T4013" s="8">
        <v>0.8</v>
      </c>
      <c r="U4013" s="8">
        <v>13.4</v>
      </c>
      <c r="V4013" s="8">
        <v>1.9</v>
      </c>
      <c r="W4013" s="8">
        <v>0.6</v>
      </c>
      <c r="X4013" s="8">
        <v>153</v>
      </c>
      <c r="Y4013" s="8" t="s">
        <v>679</v>
      </c>
      <c r="Z4013" s="8" t="s">
        <v>680</v>
      </c>
    </row>
    <row r="4014" spans="1:26" x14ac:dyDescent="0.2">
      <c r="A4014" s="8">
        <v>4013</v>
      </c>
      <c r="B4014" s="8" t="s">
        <v>18284</v>
      </c>
      <c r="C4014" s="8" t="s">
        <v>18284</v>
      </c>
      <c r="F4014" s="47" t="s">
        <v>57124</v>
      </c>
      <c r="G4014" s="8">
        <v>6.5</v>
      </c>
      <c r="H4014" s="8" t="s">
        <v>21</v>
      </c>
      <c r="I4014" s="8" t="s">
        <v>22</v>
      </c>
      <c r="J4014" s="8" t="s">
        <v>22</v>
      </c>
      <c r="K4014" s="8" t="s">
        <v>23</v>
      </c>
      <c r="L4014" s="8" t="s">
        <v>12015</v>
      </c>
      <c r="M4014" s="8" t="s">
        <v>12016</v>
      </c>
      <c r="N4014" s="8" t="s">
        <v>18285</v>
      </c>
      <c r="O4014" s="8">
        <f>11+58/60+31.3/3600</f>
        <v>11.975361111111111</v>
      </c>
      <c r="P4014" s="8" t="s">
        <v>18286</v>
      </c>
      <c r="Q4014" s="8">
        <f>+(43+56/60+50/3600)</f>
        <v>43.947222222222216</v>
      </c>
      <c r="R4014" s="8">
        <v>11.2</v>
      </c>
      <c r="S4014" s="8">
        <v>12.2</v>
      </c>
      <c r="T4014" s="8">
        <v>1</v>
      </c>
      <c r="U4014" s="8">
        <v>12.9</v>
      </c>
      <c r="V4014" s="8">
        <v>5.2</v>
      </c>
      <c r="W4014" s="8">
        <v>1</v>
      </c>
      <c r="X4014" s="8">
        <v>66</v>
      </c>
      <c r="Y4014" s="8" t="s">
        <v>21</v>
      </c>
      <c r="Z4014" s="8" t="s">
        <v>18287</v>
      </c>
    </row>
    <row r="4015" spans="1:26" x14ac:dyDescent="0.2">
      <c r="A4015" s="8">
        <v>4014</v>
      </c>
      <c r="B4015" s="8" t="s">
        <v>18288</v>
      </c>
      <c r="C4015" s="8" t="s">
        <v>18288</v>
      </c>
      <c r="F4015" s="47"/>
      <c r="G4015" s="8">
        <v>16</v>
      </c>
      <c r="H4015" s="8" t="s">
        <v>21</v>
      </c>
      <c r="I4015" s="8" t="s">
        <v>22</v>
      </c>
      <c r="J4015" s="8" t="s">
        <v>57</v>
      </c>
      <c r="K4015" s="8" t="s">
        <v>632</v>
      </c>
      <c r="L4015" s="8" t="s">
        <v>18289</v>
      </c>
      <c r="M4015" s="8" t="s">
        <v>18290</v>
      </c>
      <c r="N4015" s="8" t="s">
        <v>18291</v>
      </c>
      <c r="O4015" s="8">
        <f>11+58/60+35.8/3600</f>
        <v>11.976611111111112</v>
      </c>
      <c r="P4015" s="8" t="s">
        <v>18292</v>
      </c>
      <c r="Q4015" s="8">
        <f>+(16+10/60+38/3600)</f>
        <v>16.177222222222223</v>
      </c>
      <c r="R4015" s="8">
        <v>12.3</v>
      </c>
      <c r="S4015" s="8">
        <v>13.2</v>
      </c>
      <c r="T4015" s="8">
        <v>0.9</v>
      </c>
      <c r="U4015" s="8">
        <v>12.4</v>
      </c>
      <c r="V4015" s="8">
        <v>1.4</v>
      </c>
      <c r="W4015" s="8">
        <v>0.9</v>
      </c>
      <c r="X4015" s="8">
        <v>120</v>
      </c>
      <c r="Y4015" s="8" t="s">
        <v>6301</v>
      </c>
      <c r="Z4015" s="8" t="s">
        <v>6302</v>
      </c>
    </row>
    <row r="4016" spans="1:26" x14ac:dyDescent="0.2">
      <c r="A4016" s="8">
        <v>4015</v>
      </c>
      <c r="B4016" s="8" t="s">
        <v>18293</v>
      </c>
      <c r="C4016" s="8" t="s">
        <v>18293</v>
      </c>
      <c r="E4016" s="8">
        <v>1</v>
      </c>
      <c r="F4016" s="47"/>
      <c r="G4016" s="8">
        <v>19</v>
      </c>
      <c r="H4016" s="8" t="s">
        <v>21</v>
      </c>
      <c r="I4016" s="8" t="s">
        <v>22</v>
      </c>
      <c r="J4016" s="8" t="s">
        <v>22</v>
      </c>
      <c r="K4016" s="8" t="s">
        <v>160</v>
      </c>
      <c r="L4016" s="8" t="s">
        <v>18289</v>
      </c>
      <c r="M4016" s="8" t="s">
        <v>18290</v>
      </c>
      <c r="N4016" s="8" t="s">
        <v>18294</v>
      </c>
      <c r="O4016" s="8">
        <f>11+58/60+42.5/3600</f>
        <v>11.978472222222223</v>
      </c>
      <c r="P4016" s="8" t="s">
        <v>18295</v>
      </c>
      <c r="Q4016" s="8">
        <f>+(25+2/60+12/3600)</f>
        <v>25.036666666666669</v>
      </c>
      <c r="R4016" s="8">
        <v>12.8</v>
      </c>
      <c r="S4016" s="8">
        <v>13.5</v>
      </c>
      <c r="T4016" s="8">
        <v>0.7</v>
      </c>
      <c r="U4016" s="8">
        <v>13.9</v>
      </c>
      <c r="V4016" s="8">
        <v>2</v>
      </c>
      <c r="W4016" s="8">
        <v>1.5</v>
      </c>
      <c r="X4016" s="8">
        <v>131</v>
      </c>
      <c r="Y4016" s="8" t="s">
        <v>18296</v>
      </c>
      <c r="Z4016" s="8" t="s">
        <v>18297</v>
      </c>
    </row>
    <row r="4017" spans="1:26" x14ac:dyDescent="0.2">
      <c r="A4017" s="8">
        <v>4016</v>
      </c>
      <c r="B4017" s="8" t="s">
        <v>18298</v>
      </c>
      <c r="C4017" s="8" t="s">
        <v>18298</v>
      </c>
      <c r="F4017" s="47"/>
      <c r="G4017" s="8">
        <v>18</v>
      </c>
      <c r="H4017" s="8" t="s">
        <v>21</v>
      </c>
      <c r="I4017" s="8" t="s">
        <v>22</v>
      </c>
      <c r="J4017" s="8" t="s">
        <v>22</v>
      </c>
      <c r="K4017" s="8" t="s">
        <v>269</v>
      </c>
      <c r="L4017" s="8" t="s">
        <v>18289</v>
      </c>
      <c r="M4017" s="8" t="s">
        <v>18290</v>
      </c>
      <c r="N4017" s="8" t="s">
        <v>18299</v>
      </c>
      <c r="O4017" s="8">
        <f>11+58/60+29/3600</f>
        <v>11.974722222222223</v>
      </c>
      <c r="P4017" s="8" t="s">
        <v>18300</v>
      </c>
      <c r="Q4017" s="8">
        <f>+(27+31/60+44/3600)</f>
        <v>27.528888888888886</v>
      </c>
      <c r="R4017" s="8">
        <v>13.8</v>
      </c>
      <c r="S4017" s="8">
        <v>14.4</v>
      </c>
      <c r="T4017" s="8">
        <v>0.6</v>
      </c>
      <c r="U4017" s="8">
        <v>13.8</v>
      </c>
      <c r="V4017" s="8">
        <v>1.5</v>
      </c>
      <c r="W4017" s="8">
        <v>0.8</v>
      </c>
      <c r="X4017" s="8">
        <v>175</v>
      </c>
      <c r="Y4017" s="8" t="s">
        <v>297</v>
      </c>
      <c r="Z4017" s="8" t="s">
        <v>298</v>
      </c>
    </row>
    <row r="4018" spans="1:26" x14ac:dyDescent="0.2">
      <c r="A4018" s="8">
        <v>4017</v>
      </c>
      <c r="B4018" s="8" t="s">
        <v>18301</v>
      </c>
      <c r="C4018" s="8" t="s">
        <v>18301</v>
      </c>
      <c r="F4018" s="47" t="s">
        <v>57125</v>
      </c>
      <c r="G4018" s="8">
        <v>15</v>
      </c>
      <c r="H4018" s="8" t="s">
        <v>21</v>
      </c>
      <c r="I4018" s="8" t="s">
        <v>22</v>
      </c>
      <c r="J4018" s="8" t="s">
        <v>22</v>
      </c>
      <c r="K4018" s="8" t="s">
        <v>85</v>
      </c>
      <c r="L4018" s="8" t="s">
        <v>18289</v>
      </c>
      <c r="M4018" s="8" t="s">
        <v>18290</v>
      </c>
      <c r="N4018" s="8" t="s">
        <v>18302</v>
      </c>
      <c r="O4018" s="8">
        <f>11+58/60+45.7/3600</f>
        <v>11.97936111111111</v>
      </c>
      <c r="P4018" s="8" t="s">
        <v>18303</v>
      </c>
      <c r="Q4018" s="8">
        <f>+(27+27/60+11/3600)</f>
        <v>27.453055555555554</v>
      </c>
      <c r="R4018" s="8">
        <v>12.6</v>
      </c>
      <c r="S4018" s="8">
        <v>13.4</v>
      </c>
      <c r="T4018" s="8">
        <v>0.8</v>
      </c>
      <c r="U4018" s="8">
        <v>13.5</v>
      </c>
      <c r="V4018" s="8">
        <v>1.8</v>
      </c>
      <c r="W4018" s="8">
        <v>1.4</v>
      </c>
      <c r="X4018" s="8">
        <v>72</v>
      </c>
      <c r="Y4018" s="8" t="s">
        <v>21</v>
      </c>
      <c r="Z4018" s="8" t="s">
        <v>18304</v>
      </c>
    </row>
    <row r="4019" spans="1:26" x14ac:dyDescent="0.2">
      <c r="A4019" s="8">
        <v>4018</v>
      </c>
      <c r="B4019" s="8" t="s">
        <v>18305</v>
      </c>
      <c r="C4019" s="8" t="s">
        <v>18305</v>
      </c>
      <c r="F4019" s="47"/>
      <c r="G4019" s="8">
        <v>19</v>
      </c>
      <c r="H4019" s="8" t="s">
        <v>21</v>
      </c>
      <c r="I4019" s="8" t="s">
        <v>22</v>
      </c>
      <c r="J4019" s="8" t="s">
        <v>22</v>
      </c>
      <c r="K4019" s="8" t="s">
        <v>31</v>
      </c>
      <c r="L4019" s="8" t="s">
        <v>18289</v>
      </c>
      <c r="M4019" s="8" t="s">
        <v>18290</v>
      </c>
      <c r="N4019" s="8" t="s">
        <v>18306</v>
      </c>
      <c r="O4019" s="8">
        <f>11+58/60+40.6/3600</f>
        <v>11.977944444444445</v>
      </c>
      <c r="P4019" s="8" t="s">
        <v>18307</v>
      </c>
      <c r="Q4019" s="8">
        <f>+(25+19/60+2/3600)</f>
        <v>25.31722222222222</v>
      </c>
      <c r="R4019" s="8">
        <v>13.8</v>
      </c>
      <c r="S4019" s="8">
        <v>14.7</v>
      </c>
      <c r="T4019" s="8">
        <v>0.9</v>
      </c>
      <c r="U4019" s="8">
        <v>12.9</v>
      </c>
      <c r="V4019" s="8">
        <v>1.7</v>
      </c>
      <c r="W4019" s="8">
        <v>0.3</v>
      </c>
      <c r="X4019" s="8">
        <v>163</v>
      </c>
      <c r="Y4019" s="8" t="s">
        <v>21</v>
      </c>
      <c r="Z4019" s="8" t="s">
        <v>18308</v>
      </c>
    </row>
    <row r="4020" spans="1:26" x14ac:dyDescent="0.2">
      <c r="A4020" s="8">
        <v>4019</v>
      </c>
      <c r="B4020" s="8" t="s">
        <v>18309</v>
      </c>
      <c r="C4020" s="8" t="s">
        <v>18309</v>
      </c>
      <c r="F4020" s="47"/>
      <c r="G4020" s="8">
        <v>16</v>
      </c>
      <c r="H4020" s="8" t="s">
        <v>21</v>
      </c>
      <c r="I4020" s="8" t="s">
        <v>22</v>
      </c>
      <c r="J4020" s="8" t="s">
        <v>22</v>
      </c>
      <c r="K4020" s="8" t="s">
        <v>218</v>
      </c>
      <c r="L4020" s="8" t="s">
        <v>18289</v>
      </c>
      <c r="M4020" s="8" t="s">
        <v>18290</v>
      </c>
      <c r="N4020" s="8" t="s">
        <v>18310</v>
      </c>
      <c r="O4020" s="8">
        <f>12+1/60+10.5/3600</f>
        <v>12.019583333333333</v>
      </c>
      <c r="P4020" s="8" t="s">
        <v>18311</v>
      </c>
      <c r="Q4020" s="8">
        <f>+(14+6/60+15/3600)</f>
        <v>14.104166666666666</v>
      </c>
      <c r="R4020" s="8">
        <v>13.2</v>
      </c>
      <c r="S4020" s="8">
        <v>14</v>
      </c>
      <c r="T4020" s="8">
        <v>0.8</v>
      </c>
      <c r="U4020" s="8">
        <v>12.7</v>
      </c>
      <c r="V4020" s="8">
        <v>2.4</v>
      </c>
      <c r="W4020" s="8">
        <v>0.3</v>
      </c>
      <c r="X4020" s="8">
        <v>145</v>
      </c>
      <c r="Y4020" s="8" t="s">
        <v>21</v>
      </c>
      <c r="Z4020" s="8" t="s">
        <v>18312</v>
      </c>
    </row>
    <row r="4021" spans="1:26" x14ac:dyDescent="0.2">
      <c r="A4021" s="8">
        <v>4020</v>
      </c>
      <c r="B4021" s="8" t="s">
        <v>18313</v>
      </c>
      <c r="C4021" s="8" t="s">
        <v>18313</v>
      </c>
      <c r="F4021" s="47" t="s">
        <v>57126</v>
      </c>
      <c r="G4021" s="8">
        <v>15</v>
      </c>
      <c r="H4021" s="8" t="s">
        <v>21</v>
      </c>
      <c r="I4021" s="8" t="s">
        <v>22</v>
      </c>
      <c r="J4021" s="8" t="s">
        <v>22</v>
      </c>
      <c r="K4021" s="8" t="s">
        <v>1277</v>
      </c>
      <c r="L4021" s="8" t="s">
        <v>12015</v>
      </c>
      <c r="M4021" s="8" t="s">
        <v>12016</v>
      </c>
      <c r="N4021" s="8" t="s">
        <v>18314</v>
      </c>
      <c r="O4021" s="8">
        <f>11+58/60+56.8/3600</f>
        <v>11.982444444444445</v>
      </c>
      <c r="P4021" s="8" t="s">
        <v>18315</v>
      </c>
      <c r="Q4021" s="8">
        <f>+(30+24/60+49/3600)</f>
        <v>30.413611111111109</v>
      </c>
      <c r="R4021" s="8">
        <v>12.7</v>
      </c>
      <c r="S4021" s="8">
        <v>13.4</v>
      </c>
      <c r="T4021" s="8">
        <v>0.7</v>
      </c>
      <c r="U4021" s="8">
        <v>13.2</v>
      </c>
      <c r="V4021" s="8">
        <v>1.9</v>
      </c>
      <c r="W4021" s="8">
        <v>1</v>
      </c>
      <c r="X4021" s="8">
        <v>15</v>
      </c>
      <c r="Y4021" s="8" t="s">
        <v>21</v>
      </c>
      <c r="Z4021" s="8" t="s">
        <v>18316</v>
      </c>
    </row>
    <row r="4022" spans="1:26" x14ac:dyDescent="0.2">
      <c r="A4022" s="8">
        <v>4021</v>
      </c>
      <c r="B4022" s="8" t="s">
        <v>18317</v>
      </c>
      <c r="C4022" s="8" t="s">
        <v>18317</v>
      </c>
      <c r="F4022" s="47"/>
      <c r="G4022" s="8">
        <v>19</v>
      </c>
      <c r="H4022" s="8" t="s">
        <v>21</v>
      </c>
      <c r="I4022" s="8" t="s">
        <v>22</v>
      </c>
      <c r="J4022" s="8" t="s">
        <v>22</v>
      </c>
      <c r="K4022" s="8" t="s">
        <v>382</v>
      </c>
      <c r="L4022" s="8" t="s">
        <v>18289</v>
      </c>
      <c r="M4022" s="8" t="s">
        <v>18290</v>
      </c>
      <c r="N4022" s="8" t="s">
        <v>18318</v>
      </c>
      <c r="O4022" s="8">
        <f>11+59/60+2.5/3600</f>
        <v>11.984027777777778</v>
      </c>
      <c r="P4022" s="8" t="s">
        <v>18319</v>
      </c>
      <c r="Q4022" s="8">
        <f>+(25+5/60+1/3600)</f>
        <v>25.083611111111111</v>
      </c>
      <c r="R4022" s="8">
        <v>14.8</v>
      </c>
      <c r="S4022" s="8">
        <v>15.8</v>
      </c>
      <c r="T4022" s="8">
        <v>1</v>
      </c>
      <c r="U4022" s="8">
        <v>12.6</v>
      </c>
      <c r="V4022" s="8">
        <v>0.4</v>
      </c>
      <c r="W4022" s="8">
        <v>0.3</v>
      </c>
      <c r="X4022" s="8">
        <v>85</v>
      </c>
      <c r="Y4022" s="8" t="s">
        <v>13436</v>
      </c>
      <c r="Z4022" s="8" t="s">
        <v>13437</v>
      </c>
    </row>
    <row r="4023" spans="1:26" x14ac:dyDescent="0.2">
      <c r="A4023" s="8">
        <v>4022</v>
      </c>
      <c r="B4023" s="8" t="s">
        <v>18320</v>
      </c>
      <c r="C4023" s="8" t="s">
        <v>18320</v>
      </c>
      <c r="F4023" s="47"/>
      <c r="G4023" s="8">
        <v>19</v>
      </c>
      <c r="H4023" s="8" t="s">
        <v>21</v>
      </c>
      <c r="I4023" s="8" t="s">
        <v>22</v>
      </c>
      <c r="J4023" s="8" t="s">
        <v>22</v>
      </c>
      <c r="K4023" s="8" t="s">
        <v>37</v>
      </c>
      <c r="L4023" s="8" t="s">
        <v>18289</v>
      </c>
      <c r="M4023" s="8" t="s">
        <v>18290</v>
      </c>
      <c r="N4023" s="8" t="s">
        <v>18321</v>
      </c>
      <c r="O4023" s="8">
        <f>11+59/60+1/3600</f>
        <v>11.983611111111109</v>
      </c>
      <c r="P4023" s="8" t="s">
        <v>18322</v>
      </c>
      <c r="Q4023" s="8">
        <f>+(25+13/60+21/3600)</f>
        <v>25.222499999999997</v>
      </c>
      <c r="R4023" s="8">
        <v>13</v>
      </c>
      <c r="S4023" s="8">
        <v>14</v>
      </c>
      <c r="T4023" s="8">
        <v>1</v>
      </c>
      <c r="U4023" s="8">
        <v>13.3</v>
      </c>
      <c r="V4023" s="8">
        <v>1.2</v>
      </c>
      <c r="W4023" s="8">
        <v>1.2</v>
      </c>
      <c r="Y4023" s="8" t="s">
        <v>18323</v>
      </c>
      <c r="Z4023" s="8" t="s">
        <v>18324</v>
      </c>
    </row>
    <row r="4024" spans="1:26" x14ac:dyDescent="0.2">
      <c r="A4024" s="8">
        <v>4023</v>
      </c>
      <c r="B4024" s="8" t="s">
        <v>18325</v>
      </c>
      <c r="C4024" s="8" t="s">
        <v>18325</v>
      </c>
      <c r="F4024" s="47"/>
      <c r="G4024" s="8">
        <v>19</v>
      </c>
      <c r="H4024" s="8" t="s">
        <v>21</v>
      </c>
      <c r="I4024" s="8" t="s">
        <v>22</v>
      </c>
      <c r="J4024" s="8" t="s">
        <v>22</v>
      </c>
      <c r="K4024" s="8" t="s">
        <v>476</v>
      </c>
      <c r="L4024" s="8" t="s">
        <v>18289</v>
      </c>
      <c r="M4024" s="8" t="s">
        <v>18290</v>
      </c>
      <c r="N4024" s="8" t="s">
        <v>18326</v>
      </c>
      <c r="O4024" s="8">
        <f>11+59/60+5.3/3600</f>
        <v>11.984805555555555</v>
      </c>
      <c r="P4024" s="8" t="s">
        <v>18327</v>
      </c>
      <c r="Q4024" s="8">
        <f>+(24+59/60+21/3600)</f>
        <v>24.989166666666666</v>
      </c>
      <c r="R4024" s="8">
        <v>13.7</v>
      </c>
      <c r="S4024" s="8">
        <v>14.6</v>
      </c>
      <c r="T4024" s="8">
        <v>0.9</v>
      </c>
      <c r="U4024" s="8">
        <v>13</v>
      </c>
      <c r="V4024" s="8">
        <v>0.9</v>
      </c>
      <c r="W4024" s="8">
        <v>0.7</v>
      </c>
      <c r="X4024" s="8">
        <v>25</v>
      </c>
      <c r="Y4024" s="8" t="s">
        <v>18328</v>
      </c>
      <c r="Z4024" s="8" t="s">
        <v>18329</v>
      </c>
    </row>
    <row r="4025" spans="1:26" x14ac:dyDescent="0.2">
      <c r="A4025" s="8">
        <v>4024</v>
      </c>
      <c r="B4025" s="8" t="s">
        <v>18330</v>
      </c>
      <c r="C4025" s="8" t="s">
        <v>18330</v>
      </c>
      <c r="F4025" s="47" t="s">
        <v>57127</v>
      </c>
      <c r="G4025" s="8">
        <v>6.5</v>
      </c>
      <c r="H4025" s="8" t="s">
        <v>21</v>
      </c>
      <c r="I4025" s="8" t="s">
        <v>22</v>
      </c>
      <c r="J4025" s="8" t="s">
        <v>22</v>
      </c>
      <c r="K4025" s="8" t="s">
        <v>118</v>
      </c>
      <c r="L4025" s="8" t="s">
        <v>15925</v>
      </c>
      <c r="M4025" s="8" t="s">
        <v>15926</v>
      </c>
      <c r="N4025" s="8" t="s">
        <v>18331</v>
      </c>
      <c r="O4025" s="8">
        <f>11+58/60+31.5/3600</f>
        <v>11.975416666666666</v>
      </c>
      <c r="P4025" s="8" t="s">
        <v>18332</v>
      </c>
      <c r="Q4025" s="8">
        <f>-(18+20/60+48/3600)</f>
        <v>-18.346666666666664</v>
      </c>
      <c r="R4025" s="8">
        <v>11.7</v>
      </c>
      <c r="S4025" s="8">
        <v>12.7</v>
      </c>
      <c r="T4025" s="8">
        <v>1</v>
      </c>
      <c r="U4025" s="8">
        <v>12.7</v>
      </c>
      <c r="V4025" s="8">
        <v>1.9</v>
      </c>
      <c r="W4025" s="8">
        <v>1.6</v>
      </c>
      <c r="X4025" s="8">
        <v>70</v>
      </c>
      <c r="Y4025" s="8" t="s">
        <v>18333</v>
      </c>
      <c r="Z4025" s="8" t="s">
        <v>18334</v>
      </c>
    </row>
    <row r="4026" spans="1:26" x14ac:dyDescent="0.2">
      <c r="A4026" s="8">
        <v>4025</v>
      </c>
      <c r="B4026" s="8" t="s">
        <v>18335</v>
      </c>
      <c r="C4026" s="8" t="s">
        <v>18335</v>
      </c>
      <c r="F4026" s="47" t="s">
        <v>57128</v>
      </c>
      <c r="G4026" s="8">
        <v>15</v>
      </c>
      <c r="H4026" s="8" t="s">
        <v>21</v>
      </c>
      <c r="I4026" s="8" t="s">
        <v>22</v>
      </c>
      <c r="J4026" s="8" t="s">
        <v>22</v>
      </c>
      <c r="K4026" s="8" t="s">
        <v>64</v>
      </c>
      <c r="L4026" s="8" t="s">
        <v>12015</v>
      </c>
      <c r="M4026" s="8" t="s">
        <v>12016</v>
      </c>
      <c r="N4026" s="8" t="s">
        <v>18336</v>
      </c>
      <c r="O4026" s="8">
        <f>11+59/60+10/3600</f>
        <v>11.986111111111111</v>
      </c>
      <c r="P4026" s="8" t="s">
        <v>18337</v>
      </c>
      <c r="Q4026" s="8">
        <f>+(37+47/60+32/3600)</f>
        <v>37.792222222222222</v>
      </c>
      <c r="R4026" s="8">
        <v>13.6</v>
      </c>
      <c r="S4026" s="8">
        <v>14</v>
      </c>
      <c r="T4026" s="8">
        <v>0.4</v>
      </c>
      <c r="U4026" s="8">
        <v>15</v>
      </c>
      <c r="V4026" s="8">
        <v>2.5</v>
      </c>
      <c r="W4026" s="8">
        <v>1.4</v>
      </c>
      <c r="X4026" s="8">
        <v>31</v>
      </c>
      <c r="Y4026" s="8" t="s">
        <v>2734</v>
      </c>
      <c r="Z4026" s="8" t="s">
        <v>2735</v>
      </c>
    </row>
    <row r="4027" spans="1:26" x14ac:dyDescent="0.2">
      <c r="A4027" s="8">
        <v>4026</v>
      </c>
      <c r="B4027" s="8" t="s">
        <v>18338</v>
      </c>
      <c r="C4027" s="8" t="s">
        <v>18338</v>
      </c>
      <c r="F4027" s="47" t="s">
        <v>57129</v>
      </c>
      <c r="G4027" s="8">
        <v>6</v>
      </c>
      <c r="H4027" s="8" t="s">
        <v>21</v>
      </c>
      <c r="I4027" s="8" t="s">
        <v>22</v>
      </c>
      <c r="J4027" s="8" t="s">
        <v>22</v>
      </c>
      <c r="K4027" s="8" t="s">
        <v>37</v>
      </c>
      <c r="L4027" s="8" t="s">
        <v>12015</v>
      </c>
      <c r="M4027" s="8" t="s">
        <v>12016</v>
      </c>
      <c r="N4027" s="8" t="s">
        <v>18339</v>
      </c>
      <c r="O4027" s="8">
        <f>11+59/60+25/3600</f>
        <v>11.990277777777777</v>
      </c>
      <c r="P4027" s="8" t="s">
        <v>18340</v>
      </c>
      <c r="Q4027" s="8">
        <f>+(50+57/60+43/3600)</f>
        <v>50.961944444444448</v>
      </c>
      <c r="R4027" s="8">
        <v>10.8</v>
      </c>
      <c r="S4027" s="8">
        <v>11.7</v>
      </c>
      <c r="T4027" s="8">
        <v>0.9</v>
      </c>
      <c r="U4027" s="8">
        <v>12.7</v>
      </c>
      <c r="V4027" s="8">
        <v>5.2</v>
      </c>
      <c r="W4027" s="8">
        <v>1.3</v>
      </c>
      <c r="X4027" s="8">
        <v>178</v>
      </c>
      <c r="Y4027" s="8" t="s">
        <v>21</v>
      </c>
      <c r="Z4027" s="8" t="s">
        <v>18341</v>
      </c>
    </row>
    <row r="4028" spans="1:26" x14ac:dyDescent="0.2">
      <c r="A4028" s="8">
        <v>4027</v>
      </c>
      <c r="B4028" s="8" t="s">
        <v>18342</v>
      </c>
      <c r="C4028" s="8" t="s">
        <v>18342</v>
      </c>
      <c r="F4028" s="47" t="s">
        <v>57130</v>
      </c>
      <c r="G4028" s="8">
        <v>6</v>
      </c>
      <c r="H4028" s="8" t="s">
        <v>21</v>
      </c>
      <c r="I4028" s="8" t="s">
        <v>22</v>
      </c>
      <c r="J4028" s="8" t="s">
        <v>22</v>
      </c>
      <c r="K4028" s="8" t="s">
        <v>269</v>
      </c>
      <c r="L4028" s="8" t="s">
        <v>15925</v>
      </c>
      <c r="M4028" s="8" t="s">
        <v>15926</v>
      </c>
      <c r="N4028" s="8" t="s">
        <v>18343</v>
      </c>
      <c r="O4028" s="8">
        <f>11+59/60+30.5/3600</f>
        <v>11.991805555555555</v>
      </c>
      <c r="P4028" s="8" t="s">
        <v>18344</v>
      </c>
      <c r="Q4028" s="8">
        <f>-(19+15/60+57/3600)</f>
        <v>-19.265833333333333</v>
      </c>
      <c r="R4028" s="8">
        <v>11.1</v>
      </c>
      <c r="S4028" s="8">
        <v>11.7</v>
      </c>
      <c r="T4028" s="8">
        <v>0.6</v>
      </c>
      <c r="U4028" s="8">
        <v>13.1</v>
      </c>
      <c r="V4028" s="8">
        <v>3.3</v>
      </c>
      <c r="W4028" s="8">
        <v>2.4</v>
      </c>
      <c r="X4028" s="8">
        <v>167</v>
      </c>
      <c r="Y4028" s="8" t="s">
        <v>18345</v>
      </c>
      <c r="Z4028" s="8" t="s">
        <v>18346</v>
      </c>
    </row>
    <row r="4029" spans="1:26" x14ac:dyDescent="0.2">
      <c r="A4029" s="8">
        <v>4028</v>
      </c>
      <c r="B4029" s="8" t="s">
        <v>18347</v>
      </c>
      <c r="C4029" s="8" t="s">
        <v>18347</v>
      </c>
      <c r="F4029" s="47" t="s">
        <v>57131</v>
      </c>
      <c r="G4029" s="8">
        <v>15</v>
      </c>
      <c r="H4029" s="8" t="s">
        <v>21</v>
      </c>
      <c r="I4029" s="8" t="s">
        <v>22</v>
      </c>
      <c r="J4029" s="8" t="s">
        <v>22</v>
      </c>
      <c r="K4029" s="8" t="s">
        <v>632</v>
      </c>
      <c r="L4029" s="8" t="s">
        <v>18289</v>
      </c>
      <c r="M4029" s="8" t="s">
        <v>18290</v>
      </c>
      <c r="N4029" s="8" t="s">
        <v>18291</v>
      </c>
      <c r="O4029" s="8">
        <f>11+58/60+35.8/3600</f>
        <v>11.976611111111112</v>
      </c>
      <c r="P4029" s="8" t="s">
        <v>18292</v>
      </c>
      <c r="Q4029" s="8">
        <f>+(16+10/60+38/3600)</f>
        <v>16.177222222222223</v>
      </c>
      <c r="R4029" s="8">
        <v>12.3</v>
      </c>
      <c r="S4029" s="8">
        <v>13.2</v>
      </c>
      <c r="T4029" s="8">
        <v>0.9</v>
      </c>
      <c r="U4029" s="8">
        <v>12.4</v>
      </c>
      <c r="V4029" s="8">
        <v>1.4</v>
      </c>
      <c r="W4029" s="8">
        <v>0.9</v>
      </c>
      <c r="X4029" s="8">
        <v>120</v>
      </c>
      <c r="Y4029" s="8" t="s">
        <v>18348</v>
      </c>
      <c r="Z4029" s="8" t="s">
        <v>18349</v>
      </c>
    </row>
    <row r="4030" spans="1:26" x14ac:dyDescent="0.2">
      <c r="A4030" s="8">
        <v>4029</v>
      </c>
      <c r="B4030" s="8" t="s">
        <v>18350</v>
      </c>
      <c r="C4030" s="8" t="s">
        <v>18350</v>
      </c>
      <c r="F4030" s="47"/>
      <c r="G4030" s="8">
        <v>18</v>
      </c>
      <c r="H4030" s="8" t="s">
        <v>21</v>
      </c>
      <c r="I4030" s="8" t="s">
        <v>22</v>
      </c>
      <c r="J4030" s="8" t="s">
        <v>22</v>
      </c>
      <c r="K4030" s="8" t="s">
        <v>218</v>
      </c>
      <c r="L4030" s="8" t="s">
        <v>17287</v>
      </c>
      <c r="M4030" s="8" t="s">
        <v>17288</v>
      </c>
      <c r="N4030" s="8" t="s">
        <v>18351</v>
      </c>
      <c r="O4030" s="8">
        <f>12+0/60+3.2/3600</f>
        <v>12.000888888888889</v>
      </c>
      <c r="P4030" s="8" t="s">
        <v>18352</v>
      </c>
      <c r="Q4030" s="8">
        <f>+(8+10/60+56/3600)</f>
        <v>8.1822222222222223</v>
      </c>
      <c r="R4030" s="8">
        <v>13.5</v>
      </c>
      <c r="S4030" s="8">
        <v>14.3</v>
      </c>
      <c r="T4030" s="8">
        <v>0.8</v>
      </c>
      <c r="U4030" s="8">
        <v>13.2</v>
      </c>
      <c r="V4030" s="8">
        <v>1.2</v>
      </c>
      <c r="W4030" s="8">
        <v>0.7</v>
      </c>
      <c r="X4030" s="8">
        <v>150</v>
      </c>
      <c r="Y4030" s="8" t="s">
        <v>18353</v>
      </c>
      <c r="Z4030" s="8" t="s">
        <v>18354</v>
      </c>
    </row>
    <row r="4031" spans="1:26" x14ac:dyDescent="0.2">
      <c r="A4031" s="8">
        <v>4030</v>
      </c>
      <c r="B4031" s="8" t="s">
        <v>18355</v>
      </c>
      <c r="C4031" s="8" t="s">
        <v>18355</v>
      </c>
      <c r="F4031" s="47" t="s">
        <v>57132</v>
      </c>
      <c r="G4031" s="8">
        <v>6</v>
      </c>
      <c r="H4031" s="8" t="s">
        <v>21</v>
      </c>
      <c r="I4031" s="8" t="s">
        <v>22</v>
      </c>
      <c r="J4031" s="8" t="s">
        <v>22</v>
      </c>
      <c r="K4031" s="8" t="s">
        <v>396</v>
      </c>
      <c r="L4031" s="8" t="s">
        <v>17287</v>
      </c>
      <c r="M4031" s="8" t="s">
        <v>17288</v>
      </c>
      <c r="N4031" s="8" t="s">
        <v>18356</v>
      </c>
      <c r="O4031" s="8">
        <f>12+0/60+23.4/3600</f>
        <v>12.006500000000001</v>
      </c>
      <c r="P4031" s="8" t="s">
        <v>18357</v>
      </c>
      <c r="Q4031" s="8">
        <f>-(1+6/60+2/3600)</f>
        <v>-1.1005555555555557</v>
      </c>
      <c r="R4031" s="8">
        <v>10.6</v>
      </c>
      <c r="S4031" s="8">
        <v>11.4</v>
      </c>
      <c r="T4031" s="8">
        <v>0.8</v>
      </c>
      <c r="U4031" s="8">
        <v>13.3</v>
      </c>
      <c r="V4031" s="8">
        <v>4.2</v>
      </c>
      <c r="W4031" s="8">
        <v>3.2</v>
      </c>
      <c r="X4031" s="8">
        <v>27</v>
      </c>
      <c r="Y4031" s="8" t="s">
        <v>21</v>
      </c>
      <c r="Z4031" s="8" t="s">
        <v>18358</v>
      </c>
    </row>
    <row r="4032" spans="1:26" x14ac:dyDescent="0.2">
      <c r="A4032" s="8">
        <v>4031</v>
      </c>
      <c r="B4032" s="8" t="s">
        <v>18359</v>
      </c>
      <c r="C4032" s="8" t="s">
        <v>18359</v>
      </c>
      <c r="F4032" s="47"/>
      <c r="G4032" s="8">
        <v>18</v>
      </c>
      <c r="H4032" s="8" t="s">
        <v>21</v>
      </c>
      <c r="I4032" s="8" t="s">
        <v>22</v>
      </c>
      <c r="J4032" s="8" t="s">
        <v>22</v>
      </c>
      <c r="K4032" s="8" t="s">
        <v>23</v>
      </c>
      <c r="L4032" s="8" t="s">
        <v>12015</v>
      </c>
      <c r="M4032" s="8" t="s">
        <v>12016</v>
      </c>
      <c r="N4032" s="8" t="s">
        <v>18360</v>
      </c>
      <c r="O4032" s="8">
        <f>12+0/60+31.3/3600</f>
        <v>12.008694444444444</v>
      </c>
      <c r="P4032" s="8" t="s">
        <v>18361</v>
      </c>
      <c r="Q4032" s="8">
        <f>+(31+56/60+48/3600)</f>
        <v>31.946666666666665</v>
      </c>
      <c r="R4032" s="8">
        <v>14.4</v>
      </c>
      <c r="S4032" s="8">
        <v>15.2</v>
      </c>
      <c r="T4032" s="8">
        <v>0.8</v>
      </c>
      <c r="U4032" s="8">
        <v>12.9</v>
      </c>
      <c r="V4032" s="8">
        <v>0.7</v>
      </c>
      <c r="W4032" s="8">
        <v>0.4</v>
      </c>
      <c r="X4032" s="8">
        <v>60</v>
      </c>
      <c r="Y4032" s="8" t="s">
        <v>21</v>
      </c>
      <c r="Z4032" s="8" t="s">
        <v>18362</v>
      </c>
    </row>
    <row r="4033" spans="1:26" x14ac:dyDescent="0.2">
      <c r="A4033" s="8">
        <v>4032</v>
      </c>
      <c r="B4033" s="8" t="s">
        <v>18363</v>
      </c>
      <c r="C4033" s="8" t="s">
        <v>18363</v>
      </c>
      <c r="F4033" s="47" t="s">
        <v>57133</v>
      </c>
      <c r="G4033" s="8">
        <v>13</v>
      </c>
      <c r="H4033" s="8" t="s">
        <v>21</v>
      </c>
      <c r="I4033" s="8" t="s">
        <v>22</v>
      </c>
      <c r="J4033" s="8" t="s">
        <v>22</v>
      </c>
      <c r="K4033" s="8" t="s">
        <v>3616</v>
      </c>
      <c r="L4033" s="8" t="s">
        <v>18289</v>
      </c>
      <c r="M4033" s="8" t="s">
        <v>18290</v>
      </c>
      <c r="N4033" s="8" t="s">
        <v>18364</v>
      </c>
      <c r="O4033" s="8">
        <f>12+0/60+32.9/3600</f>
        <v>12.00913888888889</v>
      </c>
      <c r="P4033" s="8" t="s">
        <v>18365</v>
      </c>
      <c r="Q4033" s="8">
        <f>+(20+4/60+29/3600)</f>
        <v>20.074722222222221</v>
      </c>
      <c r="R4033" s="8">
        <v>12.3</v>
      </c>
      <c r="S4033" s="8">
        <v>12.8</v>
      </c>
      <c r="T4033" s="8">
        <v>0.5</v>
      </c>
      <c r="U4033" s="8">
        <v>13.4</v>
      </c>
      <c r="V4033" s="8">
        <v>1.6</v>
      </c>
      <c r="W4033" s="8">
        <v>1.2</v>
      </c>
      <c r="X4033" s="8">
        <v>171</v>
      </c>
      <c r="Y4033" s="8" t="s">
        <v>18366</v>
      </c>
      <c r="Z4033" s="8" t="s">
        <v>18367</v>
      </c>
    </row>
    <row r="4034" spans="1:26" x14ac:dyDescent="0.2">
      <c r="A4034" s="8">
        <v>4033</v>
      </c>
      <c r="B4034" s="8" t="s">
        <v>18368</v>
      </c>
      <c r="C4034" s="8" t="s">
        <v>18368</v>
      </c>
      <c r="F4034" s="47" t="s">
        <v>57134</v>
      </c>
      <c r="G4034" s="8">
        <v>13</v>
      </c>
      <c r="H4034" s="8" t="s">
        <v>21</v>
      </c>
      <c r="I4034" s="8" t="s">
        <v>22</v>
      </c>
      <c r="J4034" s="8" t="s">
        <v>22</v>
      </c>
      <c r="K4034" s="8" t="s">
        <v>3850</v>
      </c>
      <c r="L4034" s="8" t="s">
        <v>15925</v>
      </c>
      <c r="M4034" s="8" t="s">
        <v>15926</v>
      </c>
      <c r="N4034" s="8" t="s">
        <v>18369</v>
      </c>
      <c r="O4034" s="8">
        <f>12+0/60+34.7/3600</f>
        <v>12.009638888888889</v>
      </c>
      <c r="P4034" s="8" t="s">
        <v>18370</v>
      </c>
      <c r="Q4034" s="8">
        <f>-(17+50/60+36/3600)</f>
        <v>-17.843333333333334</v>
      </c>
      <c r="R4034" s="8">
        <v>11.7</v>
      </c>
      <c r="S4034" s="8">
        <v>12.6</v>
      </c>
      <c r="T4034" s="8">
        <v>0.9</v>
      </c>
      <c r="U4034" s="8">
        <v>12.8</v>
      </c>
      <c r="V4034" s="8">
        <v>2.4</v>
      </c>
      <c r="W4034" s="8">
        <v>1.2</v>
      </c>
      <c r="X4034" s="8">
        <v>47</v>
      </c>
      <c r="Y4034" s="8" t="s">
        <v>18371</v>
      </c>
      <c r="Z4034" s="8" t="s">
        <v>18372</v>
      </c>
    </row>
    <row r="4035" spans="1:26" x14ac:dyDescent="0.2">
      <c r="A4035" s="8">
        <v>4034</v>
      </c>
      <c r="B4035" s="8" t="s">
        <v>18373</v>
      </c>
      <c r="C4035" s="8" t="s">
        <v>18373</v>
      </c>
      <c r="F4035" s="47" t="s">
        <v>57135</v>
      </c>
      <c r="G4035" s="8">
        <v>15</v>
      </c>
      <c r="H4035" s="8" t="s">
        <v>21</v>
      </c>
      <c r="I4035" s="8" t="s">
        <v>22</v>
      </c>
      <c r="J4035" s="8" t="s">
        <v>22</v>
      </c>
      <c r="K4035" s="8" t="s">
        <v>160</v>
      </c>
      <c r="L4035" s="8" t="s">
        <v>13395</v>
      </c>
      <c r="M4035" s="8" t="s">
        <v>13396</v>
      </c>
      <c r="N4035" s="8" t="s">
        <v>18374</v>
      </c>
      <c r="O4035" s="8">
        <f>12+1/60+29.6/3600</f>
        <v>12.02488888888889</v>
      </c>
      <c r="P4035" s="8" t="s">
        <v>18375</v>
      </c>
      <c r="Q4035" s="8">
        <f>+(69+19/60+26/3600)</f>
        <v>69.323888888888888</v>
      </c>
      <c r="R4035" s="8">
        <v>13.5</v>
      </c>
      <c r="S4035" s="8">
        <v>14.2</v>
      </c>
      <c r="T4035" s="8">
        <v>0.7</v>
      </c>
      <c r="U4035" s="8">
        <v>14</v>
      </c>
      <c r="V4035" s="8">
        <v>1.7</v>
      </c>
      <c r="W4035" s="8">
        <v>1.2</v>
      </c>
      <c r="X4035" s="8">
        <v>5</v>
      </c>
      <c r="Y4035" s="8" t="s">
        <v>18376</v>
      </c>
      <c r="Z4035" s="8" t="s">
        <v>18377</v>
      </c>
    </row>
    <row r="4036" spans="1:26" x14ac:dyDescent="0.2">
      <c r="A4036" s="8">
        <v>4035</v>
      </c>
      <c r="B4036" s="8" t="s">
        <v>18378</v>
      </c>
      <c r="C4036" s="8" t="s">
        <v>18378</v>
      </c>
      <c r="F4036" s="47" t="s">
        <v>57136</v>
      </c>
      <c r="G4036" s="8">
        <v>15</v>
      </c>
      <c r="H4036" s="8" t="s">
        <v>21</v>
      </c>
      <c r="I4036" s="8" t="s">
        <v>22</v>
      </c>
      <c r="J4036" s="8" t="s">
        <v>22</v>
      </c>
      <c r="K4036" s="8" t="s">
        <v>85</v>
      </c>
      <c r="L4036" s="8" t="s">
        <v>15925</v>
      </c>
      <c r="M4036" s="8" t="s">
        <v>15926</v>
      </c>
      <c r="N4036" s="8" t="s">
        <v>18379</v>
      </c>
      <c r="O4036" s="8">
        <f>12+0/60+29.2/3600</f>
        <v>12.008111111111111</v>
      </c>
      <c r="P4036" s="8" t="s">
        <v>18380</v>
      </c>
      <c r="Q4036" s="8">
        <f>-(15+56/60+57/3600)</f>
        <v>-15.949166666666667</v>
      </c>
      <c r="R4036" s="8">
        <v>13.4</v>
      </c>
      <c r="S4036" s="8">
        <v>14.2</v>
      </c>
      <c r="T4036" s="8">
        <v>0.8</v>
      </c>
      <c r="U4036" s="8">
        <v>13.4</v>
      </c>
      <c r="V4036" s="8">
        <v>1.1000000000000001</v>
      </c>
      <c r="W4036" s="8">
        <v>1</v>
      </c>
      <c r="X4036" s="8">
        <v>0</v>
      </c>
      <c r="Y4036" s="8" t="s">
        <v>21</v>
      </c>
      <c r="Z4036" s="8" t="s">
        <v>18381</v>
      </c>
    </row>
    <row r="4037" spans="1:26" x14ac:dyDescent="0.2">
      <c r="A4037" s="8">
        <v>4036</v>
      </c>
      <c r="B4037" s="8" t="s">
        <v>18382</v>
      </c>
      <c r="C4037" s="8" t="s">
        <v>18382</v>
      </c>
      <c r="F4037" s="47" t="s">
        <v>57137</v>
      </c>
      <c r="G4037" s="8">
        <v>6</v>
      </c>
      <c r="H4037" s="8" t="s">
        <v>21</v>
      </c>
      <c r="I4037" s="8" t="s">
        <v>22</v>
      </c>
      <c r="J4037" s="8" t="s">
        <v>22</v>
      </c>
      <c r="K4037" s="8" t="s">
        <v>58</v>
      </c>
      <c r="L4037" s="8" t="s">
        <v>12015</v>
      </c>
      <c r="M4037" s="8" t="s">
        <v>12016</v>
      </c>
      <c r="N4037" s="8" t="s">
        <v>18383</v>
      </c>
      <c r="O4037" s="8">
        <f>12+1/60+27/3600</f>
        <v>12.024166666666668</v>
      </c>
      <c r="P4037" s="8" t="s">
        <v>18384</v>
      </c>
      <c r="Q4037" s="8">
        <f>+(61+53/60+46/3600)</f>
        <v>61.896111111111111</v>
      </c>
      <c r="R4037" s="8">
        <v>10.7</v>
      </c>
      <c r="S4037" s="8">
        <v>11.6</v>
      </c>
      <c r="T4037" s="8">
        <v>0.9</v>
      </c>
      <c r="U4037" s="8">
        <v>12.7</v>
      </c>
      <c r="V4037" s="8">
        <v>4.3</v>
      </c>
      <c r="W4037" s="8">
        <v>1.7</v>
      </c>
      <c r="X4037" s="8">
        <v>85</v>
      </c>
      <c r="Y4037" s="8" t="s">
        <v>18385</v>
      </c>
      <c r="Z4037" s="8" t="s">
        <v>18386</v>
      </c>
    </row>
    <row r="4038" spans="1:26" x14ac:dyDescent="0.2">
      <c r="A4038" s="8">
        <v>4037</v>
      </c>
      <c r="B4038" s="8" t="s">
        <v>18387</v>
      </c>
      <c r="C4038" s="8" t="s">
        <v>18387</v>
      </c>
      <c r="F4038" s="47" t="s">
        <v>57138</v>
      </c>
      <c r="G4038" s="8">
        <v>15</v>
      </c>
      <c r="H4038" s="8" t="s">
        <v>21</v>
      </c>
      <c r="I4038" s="8" t="s">
        <v>22</v>
      </c>
      <c r="J4038" s="8" t="s">
        <v>22</v>
      </c>
      <c r="K4038" s="8" t="s">
        <v>218</v>
      </c>
      <c r="L4038" s="8" t="s">
        <v>18289</v>
      </c>
      <c r="M4038" s="8" t="s">
        <v>18290</v>
      </c>
      <c r="N4038" s="8" t="s">
        <v>18388</v>
      </c>
      <c r="O4038" s="8">
        <f>12+1/60+23.8/3600</f>
        <v>12.023277777777778</v>
      </c>
      <c r="P4038" s="8" t="s">
        <v>18389</v>
      </c>
      <c r="Q4038" s="8">
        <f>+(13+24/60+2/3600)</f>
        <v>13.400555555555556</v>
      </c>
      <c r="R4038" s="8">
        <v>11.9</v>
      </c>
      <c r="S4038" s="8">
        <v>12.7</v>
      </c>
      <c r="T4038" s="8">
        <v>0.8</v>
      </c>
      <c r="U4038" s="8">
        <v>13.5</v>
      </c>
      <c r="V4038" s="8">
        <v>2.4</v>
      </c>
      <c r="W4038" s="8">
        <v>2.2000000000000002</v>
      </c>
      <c r="X4038" s="8">
        <v>9</v>
      </c>
      <c r="Y4038" s="8" t="s">
        <v>18390</v>
      </c>
      <c r="Z4038" s="8" t="s">
        <v>18391</v>
      </c>
    </row>
    <row r="4039" spans="1:26" x14ac:dyDescent="0.2">
      <c r="A4039" s="8">
        <v>4038</v>
      </c>
      <c r="B4039" s="8" t="s">
        <v>18392</v>
      </c>
      <c r="C4039" s="8" t="s">
        <v>18392</v>
      </c>
      <c r="F4039" s="47" t="s">
        <v>57139</v>
      </c>
      <c r="G4039" s="8">
        <v>2</v>
      </c>
      <c r="H4039" s="8" t="s">
        <v>18393</v>
      </c>
      <c r="I4039" s="8" t="s">
        <v>22</v>
      </c>
      <c r="J4039" s="8" t="s">
        <v>22</v>
      </c>
      <c r="K4039" s="8" t="s">
        <v>323</v>
      </c>
      <c r="L4039" s="8" t="s">
        <v>15925</v>
      </c>
      <c r="M4039" s="8" t="s">
        <v>15926</v>
      </c>
      <c r="N4039" s="8" t="s">
        <v>18394</v>
      </c>
      <c r="O4039" s="8">
        <f>12+1/60+52.8/3600</f>
        <v>12.031333333333334</v>
      </c>
      <c r="P4039" s="8" t="s">
        <v>18395</v>
      </c>
      <c r="Q4039" s="8">
        <f>-(18+51/60+52/3600)</f>
        <v>-18.864444444444445</v>
      </c>
      <c r="R4039" s="8">
        <v>10.3</v>
      </c>
      <c r="S4039" s="8">
        <v>10.9</v>
      </c>
      <c r="T4039" s="8">
        <v>0.6</v>
      </c>
      <c r="U4039" s="8">
        <v>12.1</v>
      </c>
      <c r="V4039" s="8">
        <v>3.4</v>
      </c>
      <c r="W4039" s="8">
        <v>1.7</v>
      </c>
      <c r="X4039" s="8">
        <v>94</v>
      </c>
      <c r="Y4039" s="8" t="s">
        <v>18396</v>
      </c>
      <c r="Z4039" s="8" t="s">
        <v>18397</v>
      </c>
    </row>
    <row r="4040" spans="1:26" x14ac:dyDescent="0.2">
      <c r="A4040" s="8">
        <v>4039</v>
      </c>
      <c r="B4040" s="8" t="s">
        <v>18398</v>
      </c>
      <c r="C4040" s="8" t="s">
        <v>18398</v>
      </c>
      <c r="F4040" s="47" t="s">
        <v>57140</v>
      </c>
      <c r="G4040" s="8">
        <v>2</v>
      </c>
      <c r="H4040" s="8" t="s">
        <v>18393</v>
      </c>
      <c r="I4040" s="8" t="s">
        <v>22</v>
      </c>
      <c r="J4040" s="8" t="s">
        <v>22</v>
      </c>
      <c r="K4040" s="8" t="s">
        <v>323</v>
      </c>
      <c r="L4040" s="8" t="s">
        <v>15925</v>
      </c>
      <c r="M4040" s="8" t="s">
        <v>15926</v>
      </c>
      <c r="N4040" s="8" t="s">
        <v>18399</v>
      </c>
      <c r="O4040" s="8">
        <f>12+1/60+53.8/3600</f>
        <v>12.031611111111111</v>
      </c>
      <c r="P4040" s="8" t="s">
        <v>18400</v>
      </c>
      <c r="Q4040" s="8">
        <f>-(18+53/60+8/3600)</f>
        <v>-18.885555555555555</v>
      </c>
      <c r="R4040" s="8">
        <v>10.3</v>
      </c>
      <c r="S4040" s="8">
        <v>10.9</v>
      </c>
      <c r="T4040" s="8">
        <v>0.6</v>
      </c>
      <c r="U4040" s="8">
        <v>12.2</v>
      </c>
      <c r="V4040" s="8">
        <v>3.3</v>
      </c>
      <c r="W4040" s="8">
        <v>1.7</v>
      </c>
      <c r="X4040" s="8">
        <v>55</v>
      </c>
      <c r="Y4040" s="8" t="s">
        <v>18401</v>
      </c>
      <c r="Z4040" s="8" t="s">
        <v>18402</v>
      </c>
    </row>
    <row r="4041" spans="1:26" x14ac:dyDescent="0.2">
      <c r="A4041" s="8">
        <v>4040</v>
      </c>
      <c r="B4041" s="8" t="s">
        <v>18403</v>
      </c>
      <c r="C4041" s="8" t="s">
        <v>18403</v>
      </c>
      <c r="F4041" s="47"/>
      <c r="G4041" s="8">
        <v>19</v>
      </c>
      <c r="H4041" s="8" t="s">
        <v>21</v>
      </c>
      <c r="I4041" s="8" t="s">
        <v>22</v>
      </c>
      <c r="J4041" s="8" t="s">
        <v>22</v>
      </c>
      <c r="K4041" s="8" t="s">
        <v>382</v>
      </c>
      <c r="L4041" s="8" t="s">
        <v>18289</v>
      </c>
      <c r="M4041" s="8" t="s">
        <v>18290</v>
      </c>
      <c r="N4041" s="8" t="s">
        <v>18404</v>
      </c>
      <c r="O4041" s="8">
        <f>12+2/60+5.4/3600</f>
        <v>12.034833333333333</v>
      </c>
      <c r="P4041" s="8" t="s">
        <v>18405</v>
      </c>
      <c r="Q4041" s="8">
        <f>+(17+49/60+26/3600)</f>
        <v>17.823888888888888</v>
      </c>
      <c r="R4041" s="8">
        <v>13.3</v>
      </c>
      <c r="S4041" s="8">
        <v>14.3</v>
      </c>
      <c r="T4041" s="8">
        <v>1</v>
      </c>
      <c r="U4041" s="8">
        <v>14.3</v>
      </c>
      <c r="V4041" s="8">
        <v>1.9</v>
      </c>
      <c r="W4041" s="8">
        <v>1.3</v>
      </c>
      <c r="X4041" s="8">
        <v>145</v>
      </c>
      <c r="Y4041" s="8" t="s">
        <v>18406</v>
      </c>
      <c r="Z4041" s="8" t="s">
        <v>18407</v>
      </c>
    </row>
    <row r="4042" spans="1:26" x14ac:dyDescent="0.2">
      <c r="A4042" s="8">
        <v>4041</v>
      </c>
      <c r="B4042" s="8" t="s">
        <v>18408</v>
      </c>
      <c r="C4042" s="8" t="s">
        <v>18408</v>
      </c>
      <c r="F4042" s="47" t="s">
        <v>57141</v>
      </c>
      <c r="G4042" s="8">
        <v>6</v>
      </c>
      <c r="H4042" s="8" t="s">
        <v>21</v>
      </c>
      <c r="I4042" s="8" t="s">
        <v>22</v>
      </c>
      <c r="J4042" s="8" t="s">
        <v>22</v>
      </c>
      <c r="K4042" s="8" t="s">
        <v>396</v>
      </c>
      <c r="L4042" s="8" t="s">
        <v>12015</v>
      </c>
      <c r="M4042" s="8" t="s">
        <v>12016</v>
      </c>
      <c r="N4042" s="8" t="s">
        <v>18409</v>
      </c>
      <c r="O4042" s="8">
        <f>12+2/60+11.9/3600</f>
        <v>12.03663888888889</v>
      </c>
      <c r="P4042" s="8" t="s">
        <v>18410</v>
      </c>
      <c r="Q4042" s="8">
        <f>+(62+8/60+13/3600)</f>
        <v>62.136944444444445</v>
      </c>
      <c r="R4042" s="8">
        <v>11.3</v>
      </c>
      <c r="S4042" s="8">
        <v>11.9</v>
      </c>
      <c r="T4042" s="8">
        <v>0.6</v>
      </c>
      <c r="U4042" s="8">
        <v>13.2</v>
      </c>
      <c r="V4042" s="8">
        <v>2.7</v>
      </c>
      <c r="W4042" s="8">
        <v>2.6</v>
      </c>
      <c r="X4042" s="8">
        <v>72</v>
      </c>
      <c r="Y4042" s="8" t="s">
        <v>21</v>
      </c>
      <c r="Z4042" s="8" t="s">
        <v>18411</v>
      </c>
    </row>
    <row r="4043" spans="1:26" x14ac:dyDescent="0.2">
      <c r="A4043" s="8">
        <v>4042</v>
      </c>
      <c r="B4043" s="8" t="s">
        <v>18412</v>
      </c>
      <c r="C4043" s="8" t="s">
        <v>18412</v>
      </c>
      <c r="F4043" s="47"/>
      <c r="G4043" s="8">
        <v>18</v>
      </c>
      <c r="H4043" s="8" t="s">
        <v>21</v>
      </c>
      <c r="I4043" s="8" t="s">
        <v>22</v>
      </c>
      <c r="J4043" s="8" t="s">
        <v>22</v>
      </c>
      <c r="K4043" s="8" t="s">
        <v>424</v>
      </c>
      <c r="L4043" s="8" t="s">
        <v>18289</v>
      </c>
      <c r="M4043" s="8" t="s">
        <v>18290</v>
      </c>
      <c r="N4043" s="8" t="s">
        <v>18413</v>
      </c>
      <c r="O4043" s="8">
        <f>12+2/60+46.8/3600</f>
        <v>12.046333333333333</v>
      </c>
      <c r="P4043" s="8" t="s">
        <v>18414</v>
      </c>
      <c r="Q4043" s="8">
        <f>+(20+9/60+51/3600)</f>
        <v>20.164166666666667</v>
      </c>
      <c r="R4043" s="8">
        <v>16.399999999999999</v>
      </c>
      <c r="S4043" s="8">
        <v>17.399999999999999</v>
      </c>
      <c r="T4043" s="8">
        <v>1</v>
      </c>
      <c r="U4043" s="8">
        <v>12.8</v>
      </c>
      <c r="V4043" s="8">
        <v>0.2</v>
      </c>
      <c r="W4043" s="8">
        <v>0.2</v>
      </c>
      <c r="Y4043" s="8" t="s">
        <v>282</v>
      </c>
      <c r="Z4043" s="8" t="s">
        <v>283</v>
      </c>
    </row>
    <row r="4044" spans="1:26" x14ac:dyDescent="0.2">
      <c r="A4044" s="8">
        <v>4043</v>
      </c>
      <c r="B4044" s="8" t="s">
        <v>18415</v>
      </c>
      <c r="C4044" s="8" t="s">
        <v>18415</v>
      </c>
      <c r="F4044" s="47"/>
      <c r="G4044" s="8">
        <v>16</v>
      </c>
      <c r="H4044" s="8" t="s">
        <v>21</v>
      </c>
      <c r="I4044" s="8" t="s">
        <v>22</v>
      </c>
      <c r="J4044" s="8" t="s">
        <v>22</v>
      </c>
      <c r="K4044" s="8" t="s">
        <v>224</v>
      </c>
      <c r="L4044" s="8" t="s">
        <v>17287</v>
      </c>
      <c r="M4044" s="8" t="s">
        <v>17288</v>
      </c>
      <c r="N4044" s="8" t="s">
        <v>18416</v>
      </c>
      <c r="O4044" s="8">
        <f>12+2/60+23/3600</f>
        <v>12.039722222222222</v>
      </c>
      <c r="P4044" s="8" t="s">
        <v>18417</v>
      </c>
      <c r="Q4044" s="8">
        <f>+(4+19/60+48/3600)</f>
        <v>4.33</v>
      </c>
      <c r="R4044" s="8">
        <v>13.6</v>
      </c>
      <c r="S4044" s="8">
        <v>14.6</v>
      </c>
      <c r="T4044" s="8">
        <v>1</v>
      </c>
      <c r="U4044" s="8">
        <v>12.2</v>
      </c>
      <c r="V4044" s="8">
        <v>0.6</v>
      </c>
      <c r="W4044" s="8">
        <v>0.5</v>
      </c>
      <c r="X4044" s="8">
        <v>135</v>
      </c>
      <c r="Y4044" s="8" t="s">
        <v>21</v>
      </c>
      <c r="Z4044" s="8" t="s">
        <v>18418</v>
      </c>
    </row>
    <row r="4045" spans="1:26" x14ac:dyDescent="0.2">
      <c r="A4045" s="8">
        <v>4044</v>
      </c>
      <c r="B4045" s="8" t="s">
        <v>18419</v>
      </c>
      <c r="C4045" s="8" t="s">
        <v>18419</v>
      </c>
      <c r="F4045" s="47" t="s">
        <v>57142</v>
      </c>
      <c r="G4045" s="8">
        <v>15</v>
      </c>
      <c r="H4045" s="8" t="s">
        <v>21</v>
      </c>
      <c r="I4045" s="8" t="s">
        <v>22</v>
      </c>
      <c r="J4045" s="8" t="s">
        <v>22</v>
      </c>
      <c r="K4045" s="8" t="s">
        <v>183</v>
      </c>
      <c r="L4045" s="8" t="s">
        <v>17287</v>
      </c>
      <c r="M4045" s="8" t="s">
        <v>17288</v>
      </c>
      <c r="N4045" s="8" t="s">
        <v>18420</v>
      </c>
      <c r="O4045" s="8">
        <f>12+2/60+29.4/3600</f>
        <v>12.041499999999999</v>
      </c>
      <c r="P4045" s="8" t="s">
        <v>18421</v>
      </c>
      <c r="Q4045" s="8">
        <f>-(0+12/60+45/3600)</f>
        <v>-0.21250000000000002</v>
      </c>
      <c r="R4045" s="8">
        <v>13.3</v>
      </c>
      <c r="S4045" s="8">
        <v>14.3</v>
      </c>
      <c r="T4045" s="8">
        <v>1</v>
      </c>
      <c r="U4045" s="8">
        <v>13.7</v>
      </c>
      <c r="V4045" s="8">
        <v>1.2</v>
      </c>
      <c r="W4045" s="8">
        <v>1.1000000000000001</v>
      </c>
      <c r="X4045" s="8">
        <v>51</v>
      </c>
      <c r="Y4045" s="8" t="s">
        <v>3812</v>
      </c>
      <c r="Z4045" s="8" t="s">
        <v>3813</v>
      </c>
    </row>
    <row r="4046" spans="1:26" x14ac:dyDescent="0.2">
      <c r="A4046" s="8">
        <v>4045</v>
      </c>
      <c r="B4046" s="8" t="s">
        <v>18422</v>
      </c>
      <c r="C4046" s="8" t="s">
        <v>18422</v>
      </c>
      <c r="F4046" s="47" t="s">
        <v>57143</v>
      </c>
      <c r="G4046" s="8">
        <v>6.5</v>
      </c>
      <c r="H4046" s="8" t="s">
        <v>21</v>
      </c>
      <c r="I4046" s="8" t="s">
        <v>22</v>
      </c>
      <c r="J4046" s="8" t="s">
        <v>22</v>
      </c>
      <c r="K4046" s="8" t="s">
        <v>154</v>
      </c>
      <c r="L4046" s="8" t="s">
        <v>17287</v>
      </c>
      <c r="M4046" s="8" t="s">
        <v>17288</v>
      </c>
      <c r="N4046" s="8" t="s">
        <v>18423</v>
      </c>
      <c r="O4046" s="8">
        <f>12+2/60+42.2/3600</f>
        <v>12.045055555555555</v>
      </c>
      <c r="P4046" s="8" t="s">
        <v>18424</v>
      </c>
      <c r="Q4046" s="8">
        <f>+(1+58/60+37/3600)</f>
        <v>1.9769444444444446</v>
      </c>
      <c r="R4046" s="8">
        <v>12</v>
      </c>
      <c r="S4046" s="8">
        <v>12.8</v>
      </c>
      <c r="T4046" s="8">
        <v>0.8</v>
      </c>
      <c r="U4046" s="8">
        <v>13.6</v>
      </c>
      <c r="V4046" s="8">
        <v>2.7</v>
      </c>
      <c r="W4046" s="8">
        <v>1.7</v>
      </c>
      <c r="X4046" s="8">
        <v>95</v>
      </c>
      <c r="Y4046" s="8" t="s">
        <v>18425</v>
      </c>
      <c r="Z4046" s="8" t="s">
        <v>18426</v>
      </c>
    </row>
    <row r="4047" spans="1:26" x14ac:dyDescent="0.2">
      <c r="A4047" s="8">
        <v>4046</v>
      </c>
      <c r="B4047" s="8" t="s">
        <v>18427</v>
      </c>
      <c r="C4047" s="8" t="s">
        <v>18427</v>
      </c>
      <c r="F4047" s="47"/>
      <c r="G4047" s="8">
        <v>18</v>
      </c>
      <c r="H4047" s="8" t="s">
        <v>21</v>
      </c>
      <c r="I4047" s="8" t="s">
        <v>22</v>
      </c>
      <c r="J4047" s="8" t="s">
        <v>57</v>
      </c>
      <c r="K4047" s="8" t="s">
        <v>154</v>
      </c>
      <c r="L4047" s="8" t="s">
        <v>17287</v>
      </c>
      <c r="M4047" s="8" t="s">
        <v>17288</v>
      </c>
      <c r="N4047" s="8" t="s">
        <v>18423</v>
      </c>
      <c r="O4047" s="8">
        <f>12+2/60+42.2/3600</f>
        <v>12.045055555555555</v>
      </c>
      <c r="P4047" s="8" t="s">
        <v>18424</v>
      </c>
      <c r="Q4047" s="8">
        <f>+(1+58/60+37/3600)</f>
        <v>1.9769444444444446</v>
      </c>
      <c r="R4047" s="8">
        <v>12</v>
      </c>
      <c r="S4047" s="8">
        <v>12.8</v>
      </c>
      <c r="T4047" s="8">
        <v>0.8</v>
      </c>
      <c r="U4047" s="8">
        <v>13.6</v>
      </c>
      <c r="V4047" s="8">
        <v>2.7</v>
      </c>
      <c r="W4047" s="8">
        <v>1.7</v>
      </c>
      <c r="X4047" s="8">
        <v>95</v>
      </c>
      <c r="Y4047" s="8" t="s">
        <v>21</v>
      </c>
      <c r="Z4047" s="8" t="s">
        <v>18428</v>
      </c>
    </row>
    <row r="4048" spans="1:26" x14ac:dyDescent="0.2">
      <c r="A4048" s="8">
        <v>4047</v>
      </c>
      <c r="B4048" s="8" t="s">
        <v>18429</v>
      </c>
      <c r="C4048" s="8" t="s">
        <v>18429</v>
      </c>
      <c r="F4048" s="47" t="s">
        <v>57144</v>
      </c>
      <c r="G4048" s="8">
        <v>6.5</v>
      </c>
      <c r="H4048" s="8" t="s">
        <v>21</v>
      </c>
      <c r="I4048" s="8" t="s">
        <v>22</v>
      </c>
      <c r="J4048" s="8" t="s">
        <v>22</v>
      </c>
      <c r="K4048" s="8" t="s">
        <v>23</v>
      </c>
      <c r="L4048" s="8" t="s">
        <v>12015</v>
      </c>
      <c r="M4048" s="8" t="s">
        <v>12016</v>
      </c>
      <c r="N4048" s="8" t="s">
        <v>18430</v>
      </c>
      <c r="O4048" s="8">
        <f>12+2/60+50.6/3600</f>
        <v>12.047388888888889</v>
      </c>
      <c r="P4048" s="8" t="s">
        <v>18431</v>
      </c>
      <c r="Q4048" s="8">
        <f>+(48+38/60+12/3600)</f>
        <v>48.636666666666663</v>
      </c>
      <c r="R4048" s="8">
        <v>12.2</v>
      </c>
      <c r="S4048" s="8">
        <v>13</v>
      </c>
      <c r="T4048" s="8">
        <v>0.8</v>
      </c>
      <c r="U4048" s="8">
        <v>12.8</v>
      </c>
      <c r="V4048" s="8">
        <v>1.6</v>
      </c>
      <c r="W4048" s="8">
        <v>1.3</v>
      </c>
      <c r="X4048" s="8">
        <v>105</v>
      </c>
      <c r="Y4048" s="8" t="s">
        <v>14002</v>
      </c>
      <c r="Z4048" s="8" t="s">
        <v>14003</v>
      </c>
    </row>
    <row r="4049" spans="1:26" x14ac:dyDescent="0.2">
      <c r="A4049" s="8">
        <v>4048</v>
      </c>
      <c r="B4049" s="8" t="s">
        <v>18432</v>
      </c>
      <c r="C4049" s="8" t="s">
        <v>18432</v>
      </c>
      <c r="F4049" s="47"/>
      <c r="G4049" s="8">
        <v>16</v>
      </c>
      <c r="H4049" s="8" t="s">
        <v>21</v>
      </c>
      <c r="I4049" s="8" t="s">
        <v>22</v>
      </c>
      <c r="J4049" s="8" t="s">
        <v>22</v>
      </c>
      <c r="K4049" s="8" t="s">
        <v>476</v>
      </c>
      <c r="L4049" s="8" t="s">
        <v>18289</v>
      </c>
      <c r="M4049" s="8" t="s">
        <v>18290</v>
      </c>
      <c r="N4049" s="8" t="s">
        <v>18433</v>
      </c>
      <c r="O4049" s="8">
        <f>12+2/60+50.1/3600</f>
        <v>12.04725</v>
      </c>
      <c r="P4049" s="8" t="s">
        <v>18434</v>
      </c>
      <c r="Q4049" s="8">
        <f>+(18+0/60+56/3600)</f>
        <v>18.015555555555554</v>
      </c>
      <c r="R4049" s="8">
        <v>13.7</v>
      </c>
      <c r="S4049" s="8">
        <v>14.6</v>
      </c>
      <c r="T4049" s="8">
        <v>0.9</v>
      </c>
      <c r="U4049" s="8">
        <v>12.2</v>
      </c>
      <c r="V4049" s="8">
        <v>0.6</v>
      </c>
      <c r="W4049" s="8">
        <v>0.5</v>
      </c>
      <c r="X4049" s="8">
        <v>92</v>
      </c>
      <c r="Y4049" s="8" t="s">
        <v>18435</v>
      </c>
      <c r="Z4049" s="8" t="s">
        <v>18436</v>
      </c>
    </row>
    <row r="4050" spans="1:26" x14ac:dyDescent="0.2">
      <c r="A4050" s="8">
        <v>4049</v>
      </c>
      <c r="B4050" s="8" t="s">
        <v>18437</v>
      </c>
      <c r="C4050" s="8" t="s">
        <v>18437</v>
      </c>
      <c r="F4050" s="47" t="s">
        <v>57145</v>
      </c>
      <c r="G4050" s="8">
        <v>15</v>
      </c>
      <c r="H4050" s="8" t="s">
        <v>21</v>
      </c>
      <c r="I4050" s="8" t="s">
        <v>22</v>
      </c>
      <c r="J4050" s="8" t="s">
        <v>22</v>
      </c>
      <c r="K4050" s="8" t="s">
        <v>3523</v>
      </c>
      <c r="L4050" s="8" t="s">
        <v>18289</v>
      </c>
      <c r="M4050" s="8" t="s">
        <v>18290</v>
      </c>
      <c r="N4050" s="8" t="s">
        <v>18438</v>
      </c>
      <c r="O4050" s="8">
        <f>12+2/60+54.5/3600</f>
        <v>12.048472222222221</v>
      </c>
      <c r="P4050" s="8" t="s">
        <v>18439</v>
      </c>
      <c r="Q4050" s="8">
        <f>+(18+45/60+9/3600)</f>
        <v>18.752500000000001</v>
      </c>
      <c r="R4050" s="8">
        <v>13.9</v>
      </c>
      <c r="S4050" s="8">
        <v>14.5</v>
      </c>
      <c r="T4050" s="8">
        <v>0.6</v>
      </c>
      <c r="U4050" s="8">
        <v>13.1</v>
      </c>
      <c r="V4050" s="8">
        <v>0.9</v>
      </c>
      <c r="W4050" s="8">
        <v>0.6</v>
      </c>
      <c r="X4050" s="8">
        <v>52</v>
      </c>
      <c r="Y4050" s="8" t="s">
        <v>18440</v>
      </c>
      <c r="Z4050" s="8" t="s">
        <v>18441</v>
      </c>
    </row>
    <row r="4051" spans="1:26" x14ac:dyDescent="0.2">
      <c r="A4051" s="8">
        <v>4050</v>
      </c>
      <c r="B4051" s="8" t="s">
        <v>18442</v>
      </c>
      <c r="C4051" s="8" t="s">
        <v>18442</v>
      </c>
      <c r="F4051" s="47" t="s">
        <v>57146</v>
      </c>
      <c r="G4051" s="8">
        <v>13</v>
      </c>
      <c r="H4051" s="8" t="s">
        <v>21</v>
      </c>
      <c r="I4051" s="8" t="s">
        <v>22</v>
      </c>
      <c r="J4051" s="8" t="s">
        <v>22</v>
      </c>
      <c r="K4051" s="8" t="s">
        <v>406</v>
      </c>
      <c r="L4051" s="8" t="s">
        <v>15925</v>
      </c>
      <c r="M4051" s="8" t="s">
        <v>15926</v>
      </c>
      <c r="N4051" s="8" t="s">
        <v>18443</v>
      </c>
      <c r="O4051" s="8">
        <f>12+2/60+53.9/3600</f>
        <v>12.048305555555556</v>
      </c>
      <c r="P4051" s="8" t="s">
        <v>18444</v>
      </c>
      <c r="Q4051" s="8">
        <f>-(16+22/60+27/3600)</f>
        <v>-16.374166666666667</v>
      </c>
      <c r="R4051" s="8">
        <v>12.2</v>
      </c>
      <c r="S4051" s="8">
        <v>13.1</v>
      </c>
      <c r="T4051" s="8">
        <v>0.9</v>
      </c>
      <c r="U4051" s="8">
        <v>14.1</v>
      </c>
      <c r="V4051" s="8">
        <v>3</v>
      </c>
      <c r="W4051" s="8">
        <v>2</v>
      </c>
      <c r="X4051" s="8">
        <v>85</v>
      </c>
      <c r="Y4051" s="8" t="s">
        <v>18445</v>
      </c>
      <c r="Z4051" s="8" t="s">
        <v>18446</v>
      </c>
    </row>
    <row r="4052" spans="1:26" x14ac:dyDescent="0.2">
      <c r="A4052" s="8">
        <v>4051</v>
      </c>
      <c r="B4052" s="8" t="s">
        <v>18447</v>
      </c>
      <c r="C4052" s="8" t="s">
        <v>18447</v>
      </c>
      <c r="F4052" s="47" t="s">
        <v>57147</v>
      </c>
      <c r="G4052" s="8">
        <v>6</v>
      </c>
      <c r="H4052" s="8" t="s">
        <v>21</v>
      </c>
      <c r="I4052" s="8" t="s">
        <v>22</v>
      </c>
      <c r="J4052" s="8" t="s">
        <v>22</v>
      </c>
      <c r="K4052" s="8" t="s">
        <v>85</v>
      </c>
      <c r="L4052" s="8" t="s">
        <v>12015</v>
      </c>
      <c r="M4052" s="8" t="s">
        <v>12016</v>
      </c>
      <c r="N4052" s="8" t="s">
        <v>18448</v>
      </c>
      <c r="O4052" s="8">
        <f>12+3/60+9.6/3600</f>
        <v>12.052666666666667</v>
      </c>
      <c r="P4052" s="8" t="s">
        <v>18449</v>
      </c>
      <c r="Q4052" s="8">
        <f>+(44+31/60+55/3600)</f>
        <v>44.531944444444441</v>
      </c>
      <c r="R4052" s="8">
        <v>10.199999999999999</v>
      </c>
      <c r="S4052" s="8">
        <v>10.8</v>
      </c>
      <c r="T4052" s="8">
        <v>0.6</v>
      </c>
      <c r="U4052" s="8">
        <v>13.3</v>
      </c>
      <c r="V4052" s="8">
        <v>5.2</v>
      </c>
      <c r="W4052" s="8">
        <v>3.9</v>
      </c>
      <c r="X4052" s="8">
        <v>135</v>
      </c>
      <c r="Y4052" s="8" t="s">
        <v>18450</v>
      </c>
      <c r="Z4052" s="8" t="s">
        <v>18451</v>
      </c>
    </row>
    <row r="4053" spans="1:26" x14ac:dyDescent="0.2">
      <c r="A4053" s="8">
        <v>4052</v>
      </c>
      <c r="B4053" s="8" t="s">
        <v>18452</v>
      </c>
      <c r="C4053" s="8" t="s">
        <v>18452</v>
      </c>
      <c r="F4053" s="47"/>
      <c r="G4053" s="8">
        <v>8</v>
      </c>
      <c r="H4053" s="8" t="s">
        <v>21</v>
      </c>
      <c r="I4053" s="8" t="s">
        <v>557</v>
      </c>
      <c r="J4053" s="8" t="s">
        <v>557</v>
      </c>
      <c r="K4053" s="8" t="s">
        <v>3602</v>
      </c>
      <c r="L4053" s="8" t="s">
        <v>18453</v>
      </c>
      <c r="M4053" s="8" t="s">
        <v>18454</v>
      </c>
      <c r="N4053" s="8" t="s">
        <v>18455</v>
      </c>
      <c r="O4053" s="8">
        <f>12+2/60+0/3600</f>
        <v>12.033333333333333</v>
      </c>
      <c r="P4053" s="8" t="s">
        <v>18456</v>
      </c>
      <c r="Q4053" s="8">
        <f>-(63+13/60+18/3600)</f>
        <v>-63.221666666666671</v>
      </c>
      <c r="R4053" s="8">
        <v>8.8000000000000007</v>
      </c>
      <c r="S4053" s="8">
        <v>99</v>
      </c>
      <c r="T4053" s="8">
        <v>99</v>
      </c>
      <c r="U4053" s="8">
        <v>99</v>
      </c>
      <c r="V4053" s="8">
        <v>10</v>
      </c>
      <c r="Y4053" s="8" t="s">
        <v>18457</v>
      </c>
      <c r="Z4053" s="8" t="s">
        <v>16376</v>
      </c>
    </row>
    <row r="4054" spans="1:26" x14ac:dyDescent="0.2">
      <c r="A4054" s="8">
        <v>4053</v>
      </c>
      <c r="B4054" s="8" t="s">
        <v>18458</v>
      </c>
      <c r="C4054" s="8" t="s">
        <v>18458</v>
      </c>
      <c r="F4054" s="47"/>
      <c r="G4054" s="8">
        <v>18</v>
      </c>
      <c r="H4054" s="8" t="s">
        <v>21</v>
      </c>
      <c r="I4054" s="8" t="s">
        <v>22</v>
      </c>
      <c r="J4054" s="8" t="s">
        <v>22</v>
      </c>
      <c r="K4054" s="8" t="s">
        <v>449</v>
      </c>
      <c r="L4054" s="8" t="s">
        <v>18289</v>
      </c>
      <c r="M4054" s="8" t="s">
        <v>18290</v>
      </c>
      <c r="N4054" s="8" t="s">
        <v>18459</v>
      </c>
      <c r="O4054" s="8">
        <f>12+3/60+11.5/3600</f>
        <v>12.053194444444445</v>
      </c>
      <c r="P4054" s="8" t="s">
        <v>18460</v>
      </c>
      <c r="Q4054" s="8">
        <f>+(19+43/60+45/3600)</f>
        <v>19.729166666666664</v>
      </c>
      <c r="R4054" s="8">
        <v>13.6</v>
      </c>
      <c r="S4054" s="8">
        <v>14.5</v>
      </c>
      <c r="T4054" s="8">
        <v>0.9</v>
      </c>
      <c r="U4054" s="8">
        <v>12.9</v>
      </c>
      <c r="V4054" s="8">
        <v>1.2</v>
      </c>
      <c r="W4054" s="8">
        <v>0.5</v>
      </c>
      <c r="X4054" s="8">
        <v>109</v>
      </c>
      <c r="Y4054" s="8" t="s">
        <v>18461</v>
      </c>
      <c r="Z4054" s="8" t="s">
        <v>18462</v>
      </c>
    </row>
    <row r="4055" spans="1:26" x14ac:dyDescent="0.2">
      <c r="A4055" s="8">
        <v>4054</v>
      </c>
      <c r="B4055" s="8" t="s">
        <v>18463</v>
      </c>
      <c r="C4055" s="8" t="s">
        <v>18463</v>
      </c>
      <c r="E4055" s="8">
        <v>1</v>
      </c>
      <c r="F4055" s="47" t="s">
        <v>57148</v>
      </c>
      <c r="G4055" s="8">
        <v>15</v>
      </c>
      <c r="H4055" s="8" t="s">
        <v>21</v>
      </c>
      <c r="I4055" s="8" t="s">
        <v>22</v>
      </c>
      <c r="J4055" s="8" t="s">
        <v>22</v>
      </c>
      <c r="K4055" s="8" t="s">
        <v>449</v>
      </c>
      <c r="L4055" s="8" t="s">
        <v>12015</v>
      </c>
      <c r="M4055" s="8" t="s">
        <v>12016</v>
      </c>
      <c r="N4055" s="8" t="s">
        <v>18464</v>
      </c>
      <c r="O4055" s="8">
        <f>12+3/60+12.3/3600</f>
        <v>12.053416666666667</v>
      </c>
      <c r="P4055" s="8" t="s">
        <v>18465</v>
      </c>
      <c r="Q4055" s="8">
        <f>+(57+53/60+36/3600)</f>
        <v>57.893333333333331</v>
      </c>
      <c r="R4055" s="8">
        <v>14.4</v>
      </c>
      <c r="S4055" s="8">
        <v>15.2</v>
      </c>
      <c r="T4055" s="8">
        <v>0.8</v>
      </c>
      <c r="U4055" s="8">
        <v>12.2</v>
      </c>
      <c r="V4055" s="8">
        <v>0.5</v>
      </c>
      <c r="W4055" s="8">
        <v>0.3</v>
      </c>
      <c r="X4055" s="8">
        <v>85</v>
      </c>
      <c r="Y4055" s="8" t="s">
        <v>745</v>
      </c>
      <c r="Z4055" s="8" t="s">
        <v>746</v>
      </c>
    </row>
    <row r="4056" spans="1:26" x14ac:dyDescent="0.2">
      <c r="A4056" s="8">
        <v>4055</v>
      </c>
      <c r="B4056" s="8" t="s">
        <v>18466</v>
      </c>
      <c r="C4056" s="8" t="s">
        <v>18466</v>
      </c>
      <c r="F4056" s="47"/>
      <c r="G4056" s="8">
        <v>16</v>
      </c>
      <c r="H4056" s="8" t="s">
        <v>21</v>
      </c>
      <c r="I4056" s="8" t="s">
        <v>22</v>
      </c>
      <c r="J4056" s="8" t="s">
        <v>57</v>
      </c>
      <c r="K4056" s="8" t="s">
        <v>382</v>
      </c>
      <c r="L4056" s="8" t="s">
        <v>18289</v>
      </c>
      <c r="M4056" s="8" t="s">
        <v>18290</v>
      </c>
      <c r="N4056" s="8" t="s">
        <v>18467</v>
      </c>
      <c r="O4056" s="8">
        <f>12+4/60+1.5/3600</f>
        <v>12.067083333333333</v>
      </c>
      <c r="P4056" s="8" t="s">
        <v>18468</v>
      </c>
      <c r="Q4056" s="8">
        <f>+(20+13/60+58/3600)</f>
        <v>20.232777777777777</v>
      </c>
      <c r="R4056" s="8">
        <v>13.1</v>
      </c>
      <c r="S4056" s="8">
        <v>14.1</v>
      </c>
      <c r="T4056" s="8">
        <v>1</v>
      </c>
      <c r="U4056" s="8">
        <v>13.2</v>
      </c>
      <c r="V4056" s="8">
        <v>1.2</v>
      </c>
      <c r="W4056" s="8">
        <v>0.9</v>
      </c>
      <c r="X4056" s="8">
        <v>171</v>
      </c>
      <c r="Y4056" s="8" t="s">
        <v>18469</v>
      </c>
      <c r="Z4056" s="8" t="s">
        <v>18470</v>
      </c>
    </row>
    <row r="4057" spans="1:26" x14ac:dyDescent="0.2">
      <c r="A4057" s="8">
        <v>4056</v>
      </c>
      <c r="B4057" s="8" t="s">
        <v>18471</v>
      </c>
      <c r="C4057" s="8" t="s">
        <v>18471</v>
      </c>
      <c r="F4057" s="47"/>
      <c r="G4057" s="8">
        <v>18</v>
      </c>
      <c r="H4057" s="8" t="s">
        <v>21</v>
      </c>
      <c r="I4057" s="8" t="s">
        <v>22</v>
      </c>
      <c r="J4057" s="8" t="s">
        <v>22</v>
      </c>
      <c r="K4057" s="8" t="s">
        <v>424</v>
      </c>
      <c r="L4057" s="8" t="s">
        <v>18289</v>
      </c>
      <c r="M4057" s="8" t="s">
        <v>18290</v>
      </c>
      <c r="N4057" s="8" t="s">
        <v>18472</v>
      </c>
      <c r="O4057" s="8">
        <f>12+3/60+57.8/3600</f>
        <v>12.066055555555556</v>
      </c>
      <c r="P4057" s="8" t="s">
        <v>18473</v>
      </c>
      <c r="Q4057" s="8">
        <f>+(20+18/60+47/3600)</f>
        <v>20.313055555555557</v>
      </c>
      <c r="R4057" s="8">
        <v>15.5</v>
      </c>
      <c r="S4057" s="8">
        <v>16.5</v>
      </c>
      <c r="T4057" s="8">
        <v>1</v>
      </c>
      <c r="U4057" s="8">
        <v>13.8</v>
      </c>
      <c r="V4057" s="8">
        <v>0.5</v>
      </c>
      <c r="W4057" s="8">
        <v>0.5</v>
      </c>
      <c r="Y4057" s="8" t="s">
        <v>266</v>
      </c>
      <c r="Z4057" s="8" t="s">
        <v>267</v>
      </c>
    </row>
    <row r="4058" spans="1:26" x14ac:dyDescent="0.2">
      <c r="A4058" s="8">
        <v>4057</v>
      </c>
      <c r="B4058" s="8" t="s">
        <v>18474</v>
      </c>
      <c r="C4058" s="8" t="s">
        <v>18474</v>
      </c>
      <c r="F4058" s="47"/>
      <c r="G4058" s="8">
        <v>16</v>
      </c>
      <c r="H4058" s="8" t="s">
        <v>21</v>
      </c>
      <c r="I4058" s="8" t="s">
        <v>22</v>
      </c>
      <c r="J4058" s="8" t="s">
        <v>57</v>
      </c>
      <c r="K4058" s="8" t="s">
        <v>183</v>
      </c>
      <c r="L4058" s="8" t="s">
        <v>18289</v>
      </c>
      <c r="M4058" s="8" t="s">
        <v>18290</v>
      </c>
      <c r="N4058" s="8" t="s">
        <v>18475</v>
      </c>
      <c r="O4058" s="8">
        <f>12+4/60+6.3/3600</f>
        <v>12.068416666666666</v>
      </c>
      <c r="P4058" s="8" t="s">
        <v>18476</v>
      </c>
      <c r="Q4058" s="8">
        <f>+(20+14/60+9/3600)</f>
        <v>20.235833333333336</v>
      </c>
      <c r="R4058" s="8">
        <v>12.6</v>
      </c>
      <c r="S4058" s="8">
        <v>13.6</v>
      </c>
      <c r="T4058" s="8">
        <v>1</v>
      </c>
      <c r="U4058" s="8">
        <v>12.7</v>
      </c>
      <c r="V4058" s="8">
        <v>1.1000000000000001</v>
      </c>
      <c r="W4058" s="8">
        <v>1</v>
      </c>
      <c r="X4058" s="8">
        <v>129</v>
      </c>
      <c r="Y4058" s="8" t="s">
        <v>18469</v>
      </c>
      <c r="Z4058" s="8" t="s">
        <v>18470</v>
      </c>
    </row>
    <row r="4059" spans="1:26" x14ac:dyDescent="0.2">
      <c r="A4059" s="8">
        <v>4058</v>
      </c>
      <c r="B4059" s="8" t="s">
        <v>18477</v>
      </c>
      <c r="C4059" s="8" t="s">
        <v>18477</v>
      </c>
      <c r="F4059" s="47"/>
      <c r="G4059" s="8">
        <v>19</v>
      </c>
      <c r="H4059" s="8" t="s">
        <v>21</v>
      </c>
      <c r="I4059" s="8" t="s">
        <v>22</v>
      </c>
      <c r="J4059" s="8" t="s">
        <v>22</v>
      </c>
      <c r="K4059" s="8" t="s">
        <v>632</v>
      </c>
      <c r="L4059" s="8" t="s">
        <v>17287</v>
      </c>
      <c r="M4059" s="8" t="s">
        <v>17288</v>
      </c>
      <c r="N4059" s="8" t="s">
        <v>18478</v>
      </c>
      <c r="O4059" s="8">
        <f>12+3/60+48.9/3600</f>
        <v>12.063583333333334</v>
      </c>
      <c r="P4059" s="8" t="s">
        <v>18479</v>
      </c>
      <c r="Q4059" s="8">
        <f>+(3+32/60+53/3600)</f>
        <v>3.5480555555555555</v>
      </c>
      <c r="R4059" s="8">
        <v>13.1</v>
      </c>
      <c r="S4059" s="8">
        <v>14</v>
      </c>
      <c r="T4059" s="8">
        <v>0.9</v>
      </c>
      <c r="U4059" s="8">
        <v>12.6</v>
      </c>
      <c r="V4059" s="8">
        <v>1.2</v>
      </c>
      <c r="W4059" s="8">
        <v>0.6</v>
      </c>
      <c r="X4059" s="8">
        <v>165</v>
      </c>
      <c r="Y4059" s="8" t="s">
        <v>14787</v>
      </c>
      <c r="Z4059" s="8" t="s">
        <v>14788</v>
      </c>
    </row>
    <row r="4060" spans="1:26" x14ac:dyDescent="0.2">
      <c r="A4060" s="8">
        <v>4059</v>
      </c>
      <c r="B4060" s="8" t="s">
        <v>18480</v>
      </c>
      <c r="C4060" s="8" t="s">
        <v>18480</v>
      </c>
      <c r="F4060" s="47"/>
      <c r="G4060" s="8">
        <v>16</v>
      </c>
      <c r="H4060" s="8" t="s">
        <v>21</v>
      </c>
      <c r="I4060" s="8" t="s">
        <v>22</v>
      </c>
      <c r="J4060" s="8" t="s">
        <v>57</v>
      </c>
      <c r="K4060" s="8" t="s">
        <v>460</v>
      </c>
      <c r="L4060" s="8" t="s">
        <v>18289</v>
      </c>
      <c r="M4060" s="8" t="s">
        <v>18290</v>
      </c>
      <c r="N4060" s="8" t="s">
        <v>18481</v>
      </c>
      <c r="O4060" s="8">
        <f>12+4/60+11.3/3600</f>
        <v>12.069805555555556</v>
      </c>
      <c r="P4060" s="8" t="s">
        <v>18482</v>
      </c>
      <c r="Q4060" s="8">
        <f>+(20+24/60+35/3600)</f>
        <v>20.409722222222221</v>
      </c>
      <c r="R4060" s="8">
        <v>13.1</v>
      </c>
      <c r="S4060" s="8">
        <v>14.1</v>
      </c>
      <c r="T4060" s="8">
        <v>1</v>
      </c>
      <c r="U4060" s="8">
        <v>13.1</v>
      </c>
      <c r="V4060" s="8">
        <v>1</v>
      </c>
      <c r="W4060" s="8">
        <v>1</v>
      </c>
      <c r="Y4060" s="8" t="s">
        <v>18469</v>
      </c>
      <c r="Z4060" s="8" t="s">
        <v>18470</v>
      </c>
    </row>
    <row r="4061" spans="1:26" x14ac:dyDescent="0.2">
      <c r="A4061" s="8">
        <v>4060</v>
      </c>
      <c r="B4061" s="8" t="s">
        <v>18483</v>
      </c>
      <c r="C4061" s="8" t="s">
        <v>18483</v>
      </c>
      <c r="F4061" s="47"/>
      <c r="G4061" s="8">
        <v>18</v>
      </c>
      <c r="H4061" s="8" t="s">
        <v>21</v>
      </c>
      <c r="I4061" s="8" t="s">
        <v>22</v>
      </c>
      <c r="J4061" s="8" t="s">
        <v>22</v>
      </c>
      <c r="K4061" s="8" t="s">
        <v>37</v>
      </c>
      <c r="L4061" s="8" t="s">
        <v>18289</v>
      </c>
      <c r="M4061" s="8" t="s">
        <v>18290</v>
      </c>
      <c r="N4061" s="8" t="s">
        <v>18484</v>
      </c>
      <c r="O4061" s="8">
        <f>12+4/60+1/3600</f>
        <v>12.066944444444443</v>
      </c>
      <c r="P4061" s="8" t="s">
        <v>18485</v>
      </c>
      <c r="Q4061" s="8">
        <f>+(20+20/60+17/3600)</f>
        <v>20.338055555555556</v>
      </c>
      <c r="R4061" s="8">
        <v>14.7</v>
      </c>
      <c r="S4061" s="8">
        <v>15.7</v>
      </c>
      <c r="T4061" s="8">
        <v>1</v>
      </c>
      <c r="U4061" s="8">
        <v>12.8</v>
      </c>
      <c r="V4061" s="8">
        <v>0.5</v>
      </c>
      <c r="W4061" s="8">
        <v>0.3</v>
      </c>
      <c r="X4061" s="8">
        <v>93</v>
      </c>
      <c r="Y4061" s="8" t="s">
        <v>47</v>
      </c>
      <c r="Z4061" s="8" t="s">
        <v>48</v>
      </c>
    </row>
    <row r="4062" spans="1:26" x14ac:dyDescent="0.2">
      <c r="A4062" s="8">
        <v>4061</v>
      </c>
      <c r="B4062" s="8" t="s">
        <v>18486</v>
      </c>
      <c r="C4062" s="8" t="s">
        <v>18486</v>
      </c>
      <c r="F4062" s="47" t="s">
        <v>57149</v>
      </c>
      <c r="G4062" s="8">
        <v>15</v>
      </c>
      <c r="H4062" s="8" t="s">
        <v>21</v>
      </c>
      <c r="I4062" s="8" t="s">
        <v>22</v>
      </c>
      <c r="J4062" s="8" t="s">
        <v>22</v>
      </c>
      <c r="K4062" s="8" t="s">
        <v>382</v>
      </c>
      <c r="L4062" s="8" t="s">
        <v>18289</v>
      </c>
      <c r="M4062" s="8" t="s">
        <v>18290</v>
      </c>
      <c r="N4062" s="8" t="s">
        <v>18467</v>
      </c>
      <c r="O4062" s="8">
        <f>12+4/60+1.5/3600</f>
        <v>12.067083333333333</v>
      </c>
      <c r="P4062" s="8" t="s">
        <v>18468</v>
      </c>
      <c r="Q4062" s="8">
        <f>+(20+13/60+58/3600)</f>
        <v>20.232777777777777</v>
      </c>
      <c r="R4062" s="8">
        <v>13.1</v>
      </c>
      <c r="S4062" s="8">
        <v>14.1</v>
      </c>
      <c r="T4062" s="8">
        <v>1</v>
      </c>
      <c r="U4062" s="8">
        <v>13.2</v>
      </c>
      <c r="V4062" s="8">
        <v>1.2</v>
      </c>
      <c r="W4062" s="8">
        <v>0.9</v>
      </c>
      <c r="X4062" s="8">
        <v>171</v>
      </c>
      <c r="Y4062" s="8" t="s">
        <v>18469</v>
      </c>
      <c r="Z4062" s="8" t="s">
        <v>18487</v>
      </c>
    </row>
    <row r="4063" spans="1:26" x14ac:dyDescent="0.2">
      <c r="A4063" s="8">
        <v>4062</v>
      </c>
      <c r="B4063" s="8" t="s">
        <v>18488</v>
      </c>
      <c r="C4063" s="8" t="s">
        <v>18488</v>
      </c>
      <c r="F4063" s="47" t="s">
        <v>57150</v>
      </c>
      <c r="G4063" s="8">
        <v>6.5</v>
      </c>
      <c r="H4063" s="8" t="s">
        <v>21</v>
      </c>
      <c r="I4063" s="8" t="s">
        <v>22</v>
      </c>
      <c r="J4063" s="8" t="s">
        <v>22</v>
      </c>
      <c r="K4063" s="8" t="s">
        <v>64</v>
      </c>
      <c r="L4063" s="8" t="s">
        <v>12015</v>
      </c>
      <c r="M4063" s="8" t="s">
        <v>12016</v>
      </c>
      <c r="N4063" s="8" t="s">
        <v>18489</v>
      </c>
      <c r="O4063" s="8">
        <f>12+4/60+3.8/3600</f>
        <v>12.067722222222223</v>
      </c>
      <c r="P4063" s="8" t="s">
        <v>18490</v>
      </c>
      <c r="Q4063" s="8">
        <f>+(31+53/60+43/3600)</f>
        <v>31.895277777777778</v>
      </c>
      <c r="R4063" s="8">
        <v>11.1</v>
      </c>
      <c r="S4063" s="8">
        <v>11.9</v>
      </c>
      <c r="T4063" s="8">
        <v>0.8</v>
      </c>
      <c r="U4063" s="8">
        <v>13.1</v>
      </c>
      <c r="V4063" s="8">
        <v>4</v>
      </c>
      <c r="W4063" s="8">
        <v>1.8</v>
      </c>
      <c r="X4063" s="8">
        <v>100</v>
      </c>
      <c r="Y4063" s="8" t="s">
        <v>18491</v>
      </c>
      <c r="Z4063" s="8" t="s">
        <v>18492</v>
      </c>
    </row>
    <row r="4064" spans="1:26" x14ac:dyDescent="0.2">
      <c r="A4064" s="8">
        <v>4063</v>
      </c>
      <c r="B4064" s="8" t="s">
        <v>18493</v>
      </c>
      <c r="C4064" s="8" t="s">
        <v>18493</v>
      </c>
      <c r="F4064" s="47"/>
      <c r="G4064" s="8">
        <v>19</v>
      </c>
      <c r="H4064" s="8" t="s">
        <v>21</v>
      </c>
      <c r="I4064" s="8" t="s">
        <v>22</v>
      </c>
      <c r="J4064" s="8" t="s">
        <v>22</v>
      </c>
      <c r="K4064" s="8" t="s">
        <v>224</v>
      </c>
      <c r="L4064" s="8" t="s">
        <v>17287</v>
      </c>
      <c r="M4064" s="8" t="s">
        <v>17288</v>
      </c>
      <c r="N4064" s="8" t="s">
        <v>18494</v>
      </c>
      <c r="O4064" s="8">
        <f>12+4/60+5.9/3600</f>
        <v>12.068305555555556</v>
      </c>
      <c r="P4064" s="8" t="s">
        <v>18495</v>
      </c>
      <c r="Q4064" s="8">
        <f>+(1+50/60+49/3600)</f>
        <v>1.8469444444444445</v>
      </c>
      <c r="R4064" s="8">
        <v>13.9</v>
      </c>
      <c r="S4064" s="8">
        <v>14.9</v>
      </c>
      <c r="T4064" s="8">
        <v>1</v>
      </c>
      <c r="U4064" s="8">
        <v>12.5</v>
      </c>
      <c r="V4064" s="8">
        <v>1.1000000000000001</v>
      </c>
      <c r="W4064" s="8">
        <v>0.3</v>
      </c>
      <c r="X4064" s="8">
        <v>10</v>
      </c>
      <c r="Y4064" s="8" t="s">
        <v>18496</v>
      </c>
      <c r="Z4064" s="8" t="s">
        <v>18497</v>
      </c>
    </row>
    <row r="4065" spans="1:26" x14ac:dyDescent="0.2">
      <c r="A4065" s="8">
        <v>4064</v>
      </c>
      <c r="B4065" s="8" t="s">
        <v>18498</v>
      </c>
      <c r="C4065" s="8" t="s">
        <v>18498</v>
      </c>
      <c r="F4065" s="47"/>
      <c r="G4065" s="8">
        <v>13</v>
      </c>
      <c r="H4065" s="8" t="s">
        <v>21</v>
      </c>
      <c r="I4065" s="8" t="s">
        <v>22</v>
      </c>
      <c r="J4065" s="8" t="s">
        <v>22</v>
      </c>
      <c r="K4065" s="8" t="s">
        <v>154</v>
      </c>
      <c r="L4065" s="8" t="s">
        <v>18289</v>
      </c>
      <c r="M4065" s="8" t="s">
        <v>18290</v>
      </c>
      <c r="N4065" s="8" t="s">
        <v>18499</v>
      </c>
      <c r="O4065" s="8">
        <f>12+4/60+11/3600</f>
        <v>12.069722222222222</v>
      </c>
      <c r="P4065" s="8" t="s">
        <v>18500</v>
      </c>
      <c r="Q4065" s="8">
        <f>+(18+26/60+36/3600)</f>
        <v>18.443333333333335</v>
      </c>
      <c r="R4065" s="8">
        <v>11.5</v>
      </c>
      <c r="S4065" s="8">
        <v>12.2</v>
      </c>
      <c r="T4065" s="8">
        <v>0.7</v>
      </c>
      <c r="U4065" s="8">
        <v>13.5</v>
      </c>
      <c r="V4065" s="8">
        <v>4.5999999999999996</v>
      </c>
      <c r="W4065" s="8">
        <v>1.7</v>
      </c>
      <c r="X4065" s="8">
        <v>150</v>
      </c>
      <c r="Y4065" s="8" t="s">
        <v>18501</v>
      </c>
      <c r="Z4065" s="8" t="s">
        <v>18502</v>
      </c>
    </row>
    <row r="4066" spans="1:26" x14ac:dyDescent="0.2">
      <c r="A4066" s="8">
        <v>4065</v>
      </c>
      <c r="B4066" s="8" t="s">
        <v>18503</v>
      </c>
      <c r="C4066" s="8" t="s">
        <v>18503</v>
      </c>
      <c r="F4066" s="47" t="s">
        <v>57151</v>
      </c>
      <c r="G4066" s="8">
        <v>15</v>
      </c>
      <c r="H4066" s="8" t="s">
        <v>21</v>
      </c>
      <c r="I4066" s="8" t="s">
        <v>22</v>
      </c>
      <c r="J4066" s="8" t="s">
        <v>22</v>
      </c>
      <c r="K4066" s="8" t="s">
        <v>183</v>
      </c>
      <c r="L4066" s="8" t="s">
        <v>18289</v>
      </c>
      <c r="M4066" s="8" t="s">
        <v>18290</v>
      </c>
      <c r="N4066" s="8" t="s">
        <v>18475</v>
      </c>
      <c r="O4066" s="8">
        <f>12+4/60+6.3/3600</f>
        <v>12.068416666666666</v>
      </c>
      <c r="P4066" s="8" t="s">
        <v>18476</v>
      </c>
      <c r="Q4066" s="8">
        <f>+(20+14/60+9/3600)</f>
        <v>20.235833333333336</v>
      </c>
      <c r="R4066" s="8">
        <v>12.6</v>
      </c>
      <c r="S4066" s="8">
        <v>13.6</v>
      </c>
      <c r="T4066" s="8">
        <v>1</v>
      </c>
      <c r="U4066" s="8">
        <v>12.7</v>
      </c>
      <c r="V4066" s="8">
        <v>1.1000000000000001</v>
      </c>
      <c r="W4066" s="8">
        <v>1</v>
      </c>
      <c r="X4066" s="8">
        <v>129</v>
      </c>
      <c r="Y4066" s="8" t="s">
        <v>18469</v>
      </c>
      <c r="Z4066" s="8" t="s">
        <v>18504</v>
      </c>
    </row>
    <row r="4067" spans="1:26" x14ac:dyDescent="0.2">
      <c r="A4067" s="8">
        <v>4066</v>
      </c>
      <c r="B4067" s="8" t="s">
        <v>18505</v>
      </c>
      <c r="C4067" s="8" t="s">
        <v>18505</v>
      </c>
      <c r="F4067" s="47" t="s">
        <v>57152</v>
      </c>
      <c r="G4067" s="8">
        <v>15</v>
      </c>
      <c r="H4067" s="8" t="s">
        <v>21</v>
      </c>
      <c r="I4067" s="8" t="s">
        <v>22</v>
      </c>
      <c r="J4067" s="8" t="s">
        <v>22</v>
      </c>
      <c r="K4067" s="8" t="s">
        <v>460</v>
      </c>
      <c r="L4067" s="8" t="s">
        <v>18289</v>
      </c>
      <c r="M4067" s="8" t="s">
        <v>18290</v>
      </c>
      <c r="N4067" s="8" t="s">
        <v>18506</v>
      </c>
      <c r="O4067" s="8">
        <f>12+4/60+9.4/3600</f>
        <v>12.069277777777778</v>
      </c>
      <c r="P4067" s="8" t="s">
        <v>18507</v>
      </c>
      <c r="Q4067" s="8">
        <f>+(20+20/60+52/3600)</f>
        <v>20.347777777777775</v>
      </c>
      <c r="R4067" s="8">
        <v>12.9</v>
      </c>
      <c r="S4067" s="8">
        <v>13.9</v>
      </c>
      <c r="T4067" s="8">
        <v>1</v>
      </c>
      <c r="U4067" s="8">
        <v>13.3</v>
      </c>
      <c r="V4067" s="8">
        <v>1.2</v>
      </c>
      <c r="W4067" s="8">
        <v>1.2</v>
      </c>
      <c r="Y4067" s="8" t="s">
        <v>15781</v>
      </c>
      <c r="Z4067" s="8" t="s">
        <v>15782</v>
      </c>
    </row>
    <row r="4068" spans="1:26" x14ac:dyDescent="0.2">
      <c r="A4068" s="8">
        <v>4067</v>
      </c>
      <c r="B4068" s="8" t="s">
        <v>18508</v>
      </c>
      <c r="C4068" s="8" t="s">
        <v>18508</v>
      </c>
      <c r="F4068" s="47" t="s">
        <v>57153</v>
      </c>
      <c r="G4068" s="8">
        <v>15</v>
      </c>
      <c r="H4068" s="8" t="s">
        <v>21</v>
      </c>
      <c r="I4068" s="8" t="s">
        <v>22</v>
      </c>
      <c r="J4068" s="8" t="s">
        <v>22</v>
      </c>
      <c r="K4068" s="8" t="s">
        <v>23</v>
      </c>
      <c r="L4068" s="8" t="s">
        <v>17287</v>
      </c>
      <c r="M4068" s="8" t="s">
        <v>17288</v>
      </c>
      <c r="N4068" s="8" t="s">
        <v>18509</v>
      </c>
      <c r="O4068" s="8">
        <f>12+4/60+11.5/3600</f>
        <v>12.069861111111111</v>
      </c>
      <c r="P4068" s="8" t="s">
        <v>18510</v>
      </c>
      <c r="Q4068" s="8">
        <f>+(10+51/60+16/3600)</f>
        <v>10.854444444444445</v>
      </c>
      <c r="R4068" s="8">
        <v>12.5</v>
      </c>
      <c r="S4068" s="8">
        <v>13.3</v>
      </c>
      <c r="T4068" s="8">
        <v>0.8</v>
      </c>
      <c r="U4068" s="8">
        <v>12.7</v>
      </c>
      <c r="V4068" s="8">
        <v>1.3</v>
      </c>
      <c r="W4068" s="8">
        <v>0.9</v>
      </c>
      <c r="X4068" s="8">
        <v>35</v>
      </c>
      <c r="Y4068" s="8" t="s">
        <v>1323</v>
      </c>
      <c r="Z4068" s="8" t="s">
        <v>1324</v>
      </c>
    </row>
    <row r="4069" spans="1:26" x14ac:dyDescent="0.2">
      <c r="A4069" s="8">
        <v>4068</v>
      </c>
      <c r="B4069" s="8" t="s">
        <v>18511</v>
      </c>
      <c r="C4069" s="8" t="s">
        <v>18511</v>
      </c>
      <c r="F4069" s="47" t="s">
        <v>57154</v>
      </c>
      <c r="G4069" s="8">
        <v>15</v>
      </c>
      <c r="H4069" s="8" t="s">
        <v>21</v>
      </c>
      <c r="I4069" s="8" t="s">
        <v>22</v>
      </c>
      <c r="J4069" s="8" t="s">
        <v>22</v>
      </c>
      <c r="K4069" s="8" t="s">
        <v>3616</v>
      </c>
      <c r="L4069" s="8" t="s">
        <v>12015</v>
      </c>
      <c r="M4069" s="8" t="s">
        <v>12016</v>
      </c>
      <c r="N4069" s="8" t="s">
        <v>18512</v>
      </c>
      <c r="O4069" s="8">
        <f>12+4/60+2.3/3600</f>
        <v>12.067305555555555</v>
      </c>
      <c r="P4069" s="8" t="s">
        <v>18513</v>
      </c>
      <c r="Q4069" s="8">
        <f>+(52+35/60+26/3600)</f>
        <v>52.590555555555561</v>
      </c>
      <c r="R4069" s="8">
        <v>12.4</v>
      </c>
      <c r="S4069" s="8">
        <v>13</v>
      </c>
      <c r="T4069" s="8">
        <v>0.6</v>
      </c>
      <c r="U4069" s="8">
        <v>13.8</v>
      </c>
      <c r="V4069" s="8">
        <v>2.5</v>
      </c>
      <c r="W4069" s="8">
        <v>1.6</v>
      </c>
      <c r="X4069" s="8">
        <v>30</v>
      </c>
      <c r="Y4069" s="8" t="s">
        <v>18514</v>
      </c>
      <c r="Z4069" s="8" t="s">
        <v>18515</v>
      </c>
    </row>
    <row r="4070" spans="1:26" x14ac:dyDescent="0.2">
      <c r="A4070" s="8">
        <v>4069</v>
      </c>
      <c r="B4070" s="8" t="s">
        <v>18516</v>
      </c>
      <c r="C4070" s="8" t="s">
        <v>18516</v>
      </c>
      <c r="G4070" s="8">
        <v>19</v>
      </c>
      <c r="H4070" s="8" t="s">
        <v>21</v>
      </c>
      <c r="I4070" s="8" t="s">
        <v>22</v>
      </c>
      <c r="J4070" s="8" t="s">
        <v>22</v>
      </c>
      <c r="K4070" s="8" t="s">
        <v>449</v>
      </c>
      <c r="L4070" s="8" t="s">
        <v>18289</v>
      </c>
      <c r="M4070" s="8" t="s">
        <v>18290</v>
      </c>
      <c r="N4070" s="8" t="s">
        <v>18517</v>
      </c>
      <c r="O4070" s="8">
        <f>12+4/60+6.1/3600</f>
        <v>12.068361111111111</v>
      </c>
      <c r="P4070" s="8" t="s">
        <v>18518</v>
      </c>
      <c r="Q4070" s="8">
        <f>+(20+19/60+28/3600)</f>
        <v>20.324444444444445</v>
      </c>
      <c r="R4070" s="8">
        <v>15.2</v>
      </c>
      <c r="S4070" s="8">
        <v>16</v>
      </c>
      <c r="T4070" s="8">
        <v>0.8</v>
      </c>
      <c r="U4070" s="8">
        <v>12</v>
      </c>
      <c r="V4070" s="8">
        <v>0.3</v>
      </c>
      <c r="W4070" s="8">
        <v>0.2</v>
      </c>
      <c r="X4070" s="8">
        <v>36</v>
      </c>
      <c r="Y4070" s="8" t="s">
        <v>282</v>
      </c>
      <c r="Z4070" s="8" t="s">
        <v>283</v>
      </c>
    </row>
    <row r="4071" spans="1:26" x14ac:dyDescent="0.2">
      <c r="A4071" s="8">
        <v>4070</v>
      </c>
      <c r="B4071" s="8" t="s">
        <v>18519</v>
      </c>
      <c r="C4071" s="8" t="s">
        <v>18519</v>
      </c>
      <c r="F4071" s="47" t="s">
        <v>57155</v>
      </c>
      <c r="G4071" s="8">
        <v>15</v>
      </c>
      <c r="H4071" s="8" t="s">
        <v>21</v>
      </c>
      <c r="I4071" s="8" t="s">
        <v>22</v>
      </c>
      <c r="J4071" s="8" t="s">
        <v>22</v>
      </c>
      <c r="K4071" s="8" t="s">
        <v>460</v>
      </c>
      <c r="L4071" s="8" t="s">
        <v>18289</v>
      </c>
      <c r="M4071" s="8" t="s">
        <v>18290</v>
      </c>
      <c r="N4071" s="8" t="s">
        <v>18481</v>
      </c>
      <c r="O4071" s="8">
        <f>12+4/60+11.3/3600</f>
        <v>12.069805555555556</v>
      </c>
      <c r="P4071" s="8" t="s">
        <v>18482</v>
      </c>
      <c r="Q4071" s="8">
        <f>+(20+24/60+35/3600)</f>
        <v>20.409722222222221</v>
      </c>
      <c r="R4071" s="8">
        <v>13.1</v>
      </c>
      <c r="S4071" s="8">
        <v>14.1</v>
      </c>
      <c r="T4071" s="8">
        <v>1</v>
      </c>
      <c r="U4071" s="8">
        <v>13.1</v>
      </c>
      <c r="V4071" s="8">
        <v>1</v>
      </c>
      <c r="W4071" s="8">
        <v>1</v>
      </c>
      <c r="Y4071" s="8" t="s">
        <v>18469</v>
      </c>
      <c r="Z4071" s="8" t="s">
        <v>636</v>
      </c>
    </row>
    <row r="4072" spans="1:26" x14ac:dyDescent="0.2">
      <c r="A4072" s="8">
        <v>4071</v>
      </c>
      <c r="B4072" s="8" t="s">
        <v>18520</v>
      </c>
      <c r="C4072" s="8" t="s">
        <v>18520</v>
      </c>
      <c r="F4072" s="47"/>
      <c r="G4072" s="8">
        <v>16</v>
      </c>
      <c r="H4072" s="8" t="s">
        <v>21</v>
      </c>
      <c r="I4072" s="8" t="s">
        <v>241</v>
      </c>
      <c r="J4072" s="8" t="s">
        <v>241</v>
      </c>
      <c r="K4072" s="8" t="s">
        <v>241</v>
      </c>
      <c r="L4072" s="8" t="s">
        <v>18521</v>
      </c>
      <c r="M4072" s="8" t="s">
        <v>18522</v>
      </c>
      <c r="N4072" s="8" t="s">
        <v>18523</v>
      </c>
      <c r="O4072" s="8">
        <f>12+4/60+15.3/3600</f>
        <v>12.070916666666667</v>
      </c>
      <c r="P4072" s="8" t="s">
        <v>18524</v>
      </c>
      <c r="Q4072" s="8">
        <f>-(67+18/60+33/3600)</f>
        <v>-67.30916666666667</v>
      </c>
      <c r="R4072" s="8">
        <v>13</v>
      </c>
      <c r="S4072" s="8">
        <v>12.9</v>
      </c>
      <c r="T4072" s="8">
        <v>99</v>
      </c>
      <c r="U4072" s="8">
        <v>99</v>
      </c>
      <c r="V4072" s="8">
        <v>1.27</v>
      </c>
      <c r="Y4072" s="8" t="s">
        <v>18525</v>
      </c>
      <c r="Z4072" s="8" t="s">
        <v>18526</v>
      </c>
    </row>
    <row r="4073" spans="1:26" x14ac:dyDescent="0.2">
      <c r="A4073" s="8">
        <v>4072</v>
      </c>
      <c r="B4073" s="8" t="s">
        <v>18527</v>
      </c>
      <c r="C4073" s="8" t="s">
        <v>18527</v>
      </c>
      <c r="F4073" s="47"/>
      <c r="G4073" s="8">
        <v>18</v>
      </c>
      <c r="H4073" s="8" t="s">
        <v>21</v>
      </c>
      <c r="I4073" s="8" t="s">
        <v>22</v>
      </c>
      <c r="J4073" s="8" t="s">
        <v>22</v>
      </c>
      <c r="K4073" s="8" t="s">
        <v>37</v>
      </c>
      <c r="L4073" s="8" t="s">
        <v>18289</v>
      </c>
      <c r="M4073" s="8" t="s">
        <v>18290</v>
      </c>
      <c r="N4073" s="8" t="s">
        <v>18528</v>
      </c>
      <c r="O4073" s="8">
        <f>12+4/60+13.9/3600</f>
        <v>12.070527777777778</v>
      </c>
      <c r="P4073" s="8" t="s">
        <v>18529</v>
      </c>
      <c r="Q4073" s="8">
        <f>+(20+12/60+37/3600)</f>
        <v>20.210277777777776</v>
      </c>
      <c r="R4073" s="8">
        <v>14.8</v>
      </c>
      <c r="S4073" s="8">
        <v>15.8</v>
      </c>
      <c r="T4073" s="8">
        <v>1</v>
      </c>
      <c r="U4073" s="8">
        <v>12.2</v>
      </c>
      <c r="V4073" s="8">
        <v>0.5</v>
      </c>
      <c r="W4073" s="8">
        <v>0.2</v>
      </c>
      <c r="X4073" s="8">
        <v>30</v>
      </c>
      <c r="Y4073" s="8" t="s">
        <v>18530</v>
      </c>
      <c r="Z4073" s="8" t="s">
        <v>18531</v>
      </c>
    </row>
    <row r="4074" spans="1:26" x14ac:dyDescent="0.2">
      <c r="A4074" s="8">
        <v>4073</v>
      </c>
      <c r="B4074" s="8" t="s">
        <v>18532</v>
      </c>
      <c r="C4074" s="8" t="s">
        <v>18532</v>
      </c>
      <c r="F4074" s="47" t="s">
        <v>57156</v>
      </c>
      <c r="G4074" s="8">
        <v>6.5</v>
      </c>
      <c r="H4074" s="8" t="s">
        <v>21</v>
      </c>
      <c r="I4074" s="8" t="s">
        <v>22</v>
      </c>
      <c r="J4074" s="8" t="s">
        <v>22</v>
      </c>
      <c r="K4074" s="8" t="s">
        <v>382</v>
      </c>
      <c r="L4074" s="8" t="s">
        <v>17287</v>
      </c>
      <c r="M4074" s="8" t="s">
        <v>17288</v>
      </c>
      <c r="N4074" s="8" t="s">
        <v>18533</v>
      </c>
      <c r="O4074" s="8">
        <f>12+4/60+27.1/3600</f>
        <v>12.074194444444444</v>
      </c>
      <c r="P4074" s="8" t="s">
        <v>18534</v>
      </c>
      <c r="Q4074" s="8">
        <f>+(1+53/60+47/3600)</f>
        <v>1.8963888888888889</v>
      </c>
      <c r="R4074" s="8">
        <v>11.4</v>
      </c>
      <c r="S4074" s="8">
        <v>12.4</v>
      </c>
      <c r="T4074" s="8">
        <v>1</v>
      </c>
      <c r="U4074" s="8">
        <v>13.4</v>
      </c>
      <c r="V4074" s="8">
        <v>3.2</v>
      </c>
      <c r="W4074" s="8">
        <v>2.2999999999999998</v>
      </c>
      <c r="X4074" s="8">
        <v>105</v>
      </c>
      <c r="Y4074" s="8" t="s">
        <v>18535</v>
      </c>
      <c r="Z4074" s="8" t="s">
        <v>18536</v>
      </c>
    </row>
    <row r="4075" spans="1:26" x14ac:dyDescent="0.2">
      <c r="A4075" s="8">
        <v>4074</v>
      </c>
      <c r="B4075" s="8" t="s">
        <v>18537</v>
      </c>
      <c r="C4075" s="8" t="s">
        <v>18537</v>
      </c>
      <c r="F4075" s="47" t="s">
        <v>57157</v>
      </c>
      <c r="G4075" s="8">
        <v>15</v>
      </c>
      <c r="H4075" s="8" t="s">
        <v>21</v>
      </c>
      <c r="I4075" s="8" t="s">
        <v>22</v>
      </c>
      <c r="J4075" s="8" t="s">
        <v>22</v>
      </c>
      <c r="K4075" s="8" t="s">
        <v>37</v>
      </c>
      <c r="L4075" s="8" t="s">
        <v>18289</v>
      </c>
      <c r="M4075" s="8" t="s">
        <v>18290</v>
      </c>
      <c r="N4075" s="8" t="s">
        <v>18538</v>
      </c>
      <c r="O4075" s="8">
        <f>12+4/60+29.7/3600</f>
        <v>12.074916666666667</v>
      </c>
      <c r="P4075" s="8" t="s">
        <v>18539</v>
      </c>
      <c r="Q4075" s="8">
        <f>+(20+19/60+1/3600)</f>
        <v>20.316944444444445</v>
      </c>
      <c r="R4075" s="8">
        <v>14.5</v>
      </c>
      <c r="S4075" s="8">
        <v>15.5</v>
      </c>
      <c r="T4075" s="8">
        <v>1</v>
      </c>
      <c r="U4075" s="8">
        <v>13.8</v>
      </c>
      <c r="V4075" s="8">
        <v>1</v>
      </c>
      <c r="W4075" s="8">
        <v>0.6</v>
      </c>
      <c r="X4075" s="8">
        <v>111</v>
      </c>
      <c r="Y4075" s="8" t="s">
        <v>266</v>
      </c>
      <c r="Z4075" s="8" t="s">
        <v>267</v>
      </c>
    </row>
    <row r="4076" spans="1:26" x14ac:dyDescent="0.2">
      <c r="A4076" s="8">
        <v>4075</v>
      </c>
      <c r="B4076" s="8" t="s">
        <v>18540</v>
      </c>
      <c r="C4076" s="8" t="s">
        <v>18540</v>
      </c>
      <c r="F4076" s="47"/>
      <c r="G4076" s="8">
        <v>16</v>
      </c>
      <c r="H4076" s="8" t="s">
        <v>21</v>
      </c>
      <c r="I4076" s="8" t="s">
        <v>22</v>
      </c>
      <c r="J4076" s="8" t="s">
        <v>22</v>
      </c>
      <c r="K4076" s="8" t="s">
        <v>632</v>
      </c>
      <c r="L4076" s="8" t="s">
        <v>17287</v>
      </c>
      <c r="M4076" s="8" t="s">
        <v>17288</v>
      </c>
      <c r="N4076" s="8" t="s">
        <v>18541</v>
      </c>
      <c r="O4076" s="8">
        <f>12+4/60+37.8/3600</f>
        <v>12.077166666666667</v>
      </c>
      <c r="P4076" s="8" t="s">
        <v>18542</v>
      </c>
      <c r="Q4076" s="8">
        <f>+(2+4/60+22/3600)</f>
        <v>2.0727777777777781</v>
      </c>
      <c r="R4076" s="8">
        <v>13.7</v>
      </c>
      <c r="S4076" s="8">
        <v>14.6</v>
      </c>
      <c r="T4076" s="8">
        <v>0.9</v>
      </c>
      <c r="U4076" s="8">
        <v>13.2</v>
      </c>
      <c r="V4076" s="8">
        <v>1.2</v>
      </c>
      <c r="W4076" s="8">
        <v>0.6</v>
      </c>
      <c r="X4076" s="8">
        <v>129</v>
      </c>
      <c r="Y4076" s="8" t="s">
        <v>895</v>
      </c>
      <c r="Z4076" s="8" t="s">
        <v>896</v>
      </c>
    </row>
    <row r="4077" spans="1:26" x14ac:dyDescent="0.2">
      <c r="A4077" s="8">
        <v>4076</v>
      </c>
      <c r="B4077" s="8" t="s">
        <v>18543</v>
      </c>
      <c r="C4077" s="8" t="s">
        <v>18543</v>
      </c>
      <c r="F4077" s="47" t="s">
        <v>57158</v>
      </c>
      <c r="G4077" s="8">
        <v>15</v>
      </c>
      <c r="H4077" s="8" t="s">
        <v>21</v>
      </c>
      <c r="I4077" s="8" t="s">
        <v>22</v>
      </c>
      <c r="J4077" s="8" t="s">
        <v>22</v>
      </c>
      <c r="K4077" s="8" t="s">
        <v>31</v>
      </c>
      <c r="L4077" s="8" t="s">
        <v>18289</v>
      </c>
      <c r="M4077" s="8" t="s">
        <v>18290</v>
      </c>
      <c r="N4077" s="8" t="s">
        <v>18544</v>
      </c>
      <c r="O4077" s="8">
        <f>12+4/60+32.6/3600</f>
        <v>12.075722222222222</v>
      </c>
      <c r="P4077" s="8" t="s">
        <v>18545</v>
      </c>
      <c r="Q4077" s="8">
        <f>+(20+12/60+16/3600)</f>
        <v>20.204444444444444</v>
      </c>
      <c r="R4077" s="8">
        <v>13.4</v>
      </c>
      <c r="S4077" s="8">
        <v>14.2</v>
      </c>
      <c r="T4077" s="8">
        <v>0.8</v>
      </c>
      <c r="U4077" s="8">
        <v>12.9</v>
      </c>
      <c r="V4077" s="8">
        <v>0.9</v>
      </c>
      <c r="W4077" s="8">
        <v>0.8</v>
      </c>
      <c r="X4077" s="8">
        <v>75</v>
      </c>
      <c r="Y4077" s="8" t="s">
        <v>282</v>
      </c>
      <c r="Z4077" s="8" t="s">
        <v>283</v>
      </c>
    </row>
    <row r="4078" spans="1:26" x14ac:dyDescent="0.2">
      <c r="A4078" s="8">
        <v>4077</v>
      </c>
      <c r="B4078" s="8" t="s">
        <v>18546</v>
      </c>
      <c r="C4078" s="8" t="s">
        <v>18546</v>
      </c>
      <c r="F4078" s="47" t="s">
        <v>57159</v>
      </c>
      <c r="G4078" s="8">
        <v>15</v>
      </c>
      <c r="H4078" s="8" t="s">
        <v>21</v>
      </c>
      <c r="I4078" s="8" t="s">
        <v>22</v>
      </c>
      <c r="J4078" s="8" t="s">
        <v>22</v>
      </c>
      <c r="K4078" s="8" t="s">
        <v>224</v>
      </c>
      <c r="L4078" s="8" t="s">
        <v>17287</v>
      </c>
      <c r="M4078" s="8" t="s">
        <v>17288</v>
      </c>
      <c r="N4078" s="8" t="s">
        <v>18547</v>
      </c>
      <c r="O4078" s="8">
        <f>12+4/60+38/3600</f>
        <v>12.077222222222222</v>
      </c>
      <c r="P4078" s="8" t="s">
        <v>18548</v>
      </c>
      <c r="Q4078" s="8">
        <f>+(1+47/60+18/3600)</f>
        <v>1.7883333333333331</v>
      </c>
      <c r="R4078" s="8">
        <v>13.3</v>
      </c>
      <c r="S4078" s="8">
        <v>14.3</v>
      </c>
      <c r="T4078" s="8">
        <v>1</v>
      </c>
      <c r="U4078" s="8">
        <v>13.3</v>
      </c>
      <c r="V4078" s="8">
        <v>1.2</v>
      </c>
      <c r="W4078" s="8">
        <v>0.9</v>
      </c>
      <c r="X4078" s="8">
        <v>15</v>
      </c>
      <c r="Y4078" s="8" t="s">
        <v>18549</v>
      </c>
      <c r="Z4078" s="8" t="s">
        <v>18550</v>
      </c>
    </row>
    <row r="4079" spans="1:26" x14ac:dyDescent="0.2">
      <c r="A4079" s="8">
        <v>4078</v>
      </c>
      <c r="B4079" s="8" t="s">
        <v>18551</v>
      </c>
      <c r="C4079" s="8" t="s">
        <v>18551</v>
      </c>
      <c r="F4079" s="47"/>
      <c r="G4079" s="8">
        <v>18</v>
      </c>
      <c r="H4079" s="8" t="s">
        <v>21</v>
      </c>
      <c r="I4079" s="8" t="s">
        <v>22</v>
      </c>
      <c r="J4079" s="8" t="s">
        <v>57</v>
      </c>
      <c r="K4079" s="8" t="s">
        <v>37</v>
      </c>
      <c r="L4079" s="8" t="s">
        <v>17287</v>
      </c>
      <c r="M4079" s="8" t="s">
        <v>17288</v>
      </c>
      <c r="N4079" s="8" t="s">
        <v>18552</v>
      </c>
      <c r="O4079" s="8">
        <f>12+4/60+47.7/3600</f>
        <v>12.079916666666666</v>
      </c>
      <c r="P4079" s="8" t="s">
        <v>18553</v>
      </c>
      <c r="Q4079" s="8">
        <f>+(10+35/60+45/3600)</f>
        <v>10.595833333333333</v>
      </c>
      <c r="R4079" s="8">
        <v>13.2</v>
      </c>
      <c r="S4079" s="8">
        <v>14.2</v>
      </c>
      <c r="T4079" s="8">
        <v>1</v>
      </c>
      <c r="U4079" s="8">
        <v>12.6</v>
      </c>
      <c r="V4079" s="8">
        <v>1.3</v>
      </c>
      <c r="W4079" s="8">
        <v>0.5</v>
      </c>
      <c r="X4079" s="8">
        <v>18</v>
      </c>
      <c r="Y4079" s="8" t="s">
        <v>359</v>
      </c>
      <c r="Z4079" s="8" t="s">
        <v>360</v>
      </c>
    </row>
    <row r="4080" spans="1:26" x14ac:dyDescent="0.2">
      <c r="A4080" s="8">
        <v>4079</v>
      </c>
      <c r="B4080" s="8" t="s">
        <v>18554</v>
      </c>
      <c r="C4080" s="8" t="s">
        <v>18554</v>
      </c>
      <c r="F4080" s="47"/>
      <c r="G4080" s="8">
        <v>16</v>
      </c>
      <c r="H4080" s="8" t="s">
        <v>21</v>
      </c>
      <c r="I4080" s="8" t="s">
        <v>22</v>
      </c>
      <c r="J4080" s="8" t="s">
        <v>22</v>
      </c>
      <c r="K4080" s="8" t="s">
        <v>396</v>
      </c>
      <c r="L4080" s="8" t="s">
        <v>17287</v>
      </c>
      <c r="M4080" s="8" t="s">
        <v>17288</v>
      </c>
      <c r="N4080" s="8" t="s">
        <v>18555</v>
      </c>
      <c r="O4080" s="8">
        <f>12+4/60+49.9/3600</f>
        <v>12.080527777777778</v>
      </c>
      <c r="P4080" s="8" t="s">
        <v>18556</v>
      </c>
      <c r="Q4080" s="8">
        <f>-(2+22/60+59/3600)</f>
        <v>-2.3830555555555555</v>
      </c>
      <c r="R4080" s="8">
        <v>12.4</v>
      </c>
      <c r="S4080" s="8">
        <v>13.2</v>
      </c>
      <c r="T4080" s="8">
        <v>0.8</v>
      </c>
      <c r="U4080" s="8">
        <v>13.6</v>
      </c>
      <c r="V4080" s="8">
        <v>2.2999999999999998</v>
      </c>
      <c r="W4080" s="8">
        <v>1.6</v>
      </c>
      <c r="X4080" s="8">
        <v>125</v>
      </c>
      <c r="Y4080" s="8" t="s">
        <v>18557</v>
      </c>
      <c r="Z4080" s="8" t="s">
        <v>18558</v>
      </c>
    </row>
    <row r="4081" spans="1:26" x14ac:dyDescent="0.2">
      <c r="A4081" s="8">
        <v>4080</v>
      </c>
      <c r="B4081" s="8" t="s">
        <v>18559</v>
      </c>
      <c r="C4081" s="8" t="s">
        <v>18559</v>
      </c>
      <c r="F4081" s="47" t="s">
        <v>57160</v>
      </c>
      <c r="G4081" s="8">
        <v>15</v>
      </c>
      <c r="H4081" s="8" t="s">
        <v>21</v>
      </c>
      <c r="I4081" s="8" t="s">
        <v>22</v>
      </c>
      <c r="J4081" s="8" t="s">
        <v>22</v>
      </c>
      <c r="K4081" s="8" t="s">
        <v>323</v>
      </c>
      <c r="L4081" s="8" t="s">
        <v>18289</v>
      </c>
      <c r="M4081" s="8" t="s">
        <v>18290</v>
      </c>
      <c r="N4081" s="8" t="s">
        <v>18560</v>
      </c>
      <c r="O4081" s="8">
        <f>12+4/60+51.9/3600</f>
        <v>12.081083333333334</v>
      </c>
      <c r="P4081" s="8" t="s">
        <v>18561</v>
      </c>
      <c r="Q4081" s="8">
        <f>+(26+59/60+32/3600)</f>
        <v>26.992222222222225</v>
      </c>
      <c r="R4081" s="8">
        <v>13.7</v>
      </c>
      <c r="S4081" s="8">
        <v>14.3</v>
      </c>
      <c r="T4081" s="8">
        <v>0.6</v>
      </c>
      <c r="U4081" s="8">
        <v>13.5</v>
      </c>
      <c r="V4081" s="8">
        <v>1.2</v>
      </c>
      <c r="W4081" s="8">
        <v>0.5</v>
      </c>
      <c r="X4081" s="8">
        <v>122</v>
      </c>
      <c r="Y4081" s="8" t="s">
        <v>18562</v>
      </c>
      <c r="Z4081" s="8" t="s">
        <v>18563</v>
      </c>
    </row>
    <row r="4082" spans="1:26" x14ac:dyDescent="0.2">
      <c r="A4082" s="8">
        <v>4081</v>
      </c>
      <c r="B4082" s="8" t="s">
        <v>18564</v>
      </c>
      <c r="C4082" s="8" t="s">
        <v>18564</v>
      </c>
      <c r="F4082" s="47"/>
      <c r="G4082" s="8">
        <v>19</v>
      </c>
      <c r="H4082" s="8" t="s">
        <v>21</v>
      </c>
      <c r="I4082" s="8" t="s">
        <v>22</v>
      </c>
      <c r="J4082" s="8" t="s">
        <v>22</v>
      </c>
      <c r="K4082" s="8" t="s">
        <v>91</v>
      </c>
      <c r="L4082" s="8" t="s">
        <v>12015</v>
      </c>
      <c r="M4082" s="8" t="s">
        <v>12016</v>
      </c>
      <c r="N4082" s="8" t="s">
        <v>18565</v>
      </c>
      <c r="O4082" s="8">
        <f>12+4/60+33.2/3600</f>
        <v>12.075888888888889</v>
      </c>
      <c r="P4082" s="8" t="s">
        <v>18566</v>
      </c>
      <c r="Q4082" s="8">
        <f>+(64+26/60+14/3600)</f>
        <v>64.437222222222232</v>
      </c>
      <c r="R4082" s="8">
        <v>12.9</v>
      </c>
      <c r="S4082" s="8">
        <v>13.8</v>
      </c>
      <c r="T4082" s="8">
        <v>0.9</v>
      </c>
      <c r="U4082" s="8">
        <v>12.6</v>
      </c>
      <c r="V4082" s="8">
        <v>1.5</v>
      </c>
      <c r="W4082" s="8">
        <v>0.6</v>
      </c>
      <c r="X4082" s="8">
        <v>135</v>
      </c>
      <c r="Y4082" s="8" t="s">
        <v>18567</v>
      </c>
      <c r="Z4082" s="8" t="s">
        <v>18568</v>
      </c>
    </row>
    <row r="4083" spans="1:26" x14ac:dyDescent="0.2">
      <c r="A4083" s="8">
        <v>4082</v>
      </c>
      <c r="B4083" s="8" t="s">
        <v>18569</v>
      </c>
      <c r="C4083" s="8" t="s">
        <v>18569</v>
      </c>
      <c r="F4083" s="47"/>
      <c r="G4083" s="8">
        <v>18</v>
      </c>
      <c r="H4083" s="8" t="s">
        <v>21</v>
      </c>
      <c r="I4083" s="8" t="s">
        <v>22</v>
      </c>
      <c r="J4083" s="8" t="s">
        <v>22</v>
      </c>
      <c r="K4083" s="8" t="s">
        <v>37</v>
      </c>
      <c r="L4083" s="8" t="s">
        <v>17287</v>
      </c>
      <c r="M4083" s="8" t="s">
        <v>17288</v>
      </c>
      <c r="N4083" s="8" t="s">
        <v>18570</v>
      </c>
      <c r="O4083" s="8">
        <f>12+5/60+11.4/3600</f>
        <v>12.086500000000001</v>
      </c>
      <c r="P4083" s="8" t="s">
        <v>18571</v>
      </c>
      <c r="Q4083" s="8">
        <f>+(10+40/60+15/3600)</f>
        <v>10.670833333333333</v>
      </c>
      <c r="R4083" s="8">
        <v>14.8</v>
      </c>
      <c r="S4083" s="8">
        <v>15.8</v>
      </c>
      <c r="T4083" s="8">
        <v>1</v>
      </c>
      <c r="U4083" s="8">
        <v>13.3</v>
      </c>
      <c r="V4083" s="8">
        <v>0.9</v>
      </c>
      <c r="W4083" s="8">
        <v>0.3</v>
      </c>
      <c r="X4083" s="8">
        <v>69</v>
      </c>
      <c r="Y4083" s="8" t="s">
        <v>18572</v>
      </c>
      <c r="Z4083" s="8" t="s">
        <v>18573</v>
      </c>
    </row>
    <row r="4084" spans="1:26" x14ac:dyDescent="0.2">
      <c r="A4084" s="8">
        <v>4083</v>
      </c>
      <c r="B4084" s="8" t="s">
        <v>18574</v>
      </c>
      <c r="C4084" s="8" t="s">
        <v>18574</v>
      </c>
      <c r="F4084" s="47"/>
      <c r="G4084" s="8">
        <v>18</v>
      </c>
      <c r="H4084" s="8" t="s">
        <v>21</v>
      </c>
      <c r="I4084" s="8" t="s">
        <v>22</v>
      </c>
      <c r="J4084" s="8" t="s">
        <v>22</v>
      </c>
      <c r="K4084" s="8" t="s">
        <v>37</v>
      </c>
      <c r="L4084" s="8" t="s">
        <v>17287</v>
      </c>
      <c r="M4084" s="8" t="s">
        <v>17288</v>
      </c>
      <c r="N4084" s="8" t="s">
        <v>18575</v>
      </c>
      <c r="O4084" s="8">
        <f>12+5/60+14/3600</f>
        <v>12.087222222222223</v>
      </c>
      <c r="P4084" s="8" t="s">
        <v>18576</v>
      </c>
      <c r="Q4084" s="8">
        <f>+(10+36/60+49/3600)</f>
        <v>10.61361111111111</v>
      </c>
      <c r="R4084" s="8">
        <v>14.6</v>
      </c>
      <c r="S4084" s="8">
        <v>15.6</v>
      </c>
      <c r="T4084" s="8">
        <v>1</v>
      </c>
      <c r="U4084" s="8">
        <v>13.2</v>
      </c>
      <c r="V4084" s="8">
        <v>0.8</v>
      </c>
      <c r="W4084" s="8">
        <v>0.4</v>
      </c>
      <c r="X4084" s="8">
        <v>33</v>
      </c>
      <c r="Y4084" s="8" t="s">
        <v>266</v>
      </c>
      <c r="Z4084" s="8" t="s">
        <v>267</v>
      </c>
    </row>
    <row r="4085" spans="1:26" x14ac:dyDescent="0.2">
      <c r="A4085" s="8">
        <v>4084</v>
      </c>
      <c r="B4085" s="8" t="s">
        <v>18577</v>
      </c>
      <c r="C4085" s="8" t="s">
        <v>18577</v>
      </c>
      <c r="F4085" s="47"/>
      <c r="G4085" s="8">
        <v>18</v>
      </c>
      <c r="H4085" s="8" t="s">
        <v>21</v>
      </c>
      <c r="I4085" s="8" t="s">
        <v>22</v>
      </c>
      <c r="J4085" s="8" t="s">
        <v>22</v>
      </c>
      <c r="K4085" s="8" t="s">
        <v>424</v>
      </c>
      <c r="L4085" s="8" t="s">
        <v>18289</v>
      </c>
      <c r="M4085" s="8" t="s">
        <v>18290</v>
      </c>
      <c r="N4085" s="8" t="s">
        <v>18578</v>
      </c>
      <c r="O4085" s="8">
        <f>12+5/60+15.3/3600</f>
        <v>12.087583333333335</v>
      </c>
      <c r="P4085" s="8" t="s">
        <v>18579</v>
      </c>
      <c r="Q4085" s="8">
        <f>+(21+12/60+54/3600)</f>
        <v>21.215</v>
      </c>
      <c r="R4085" s="8">
        <v>14.5</v>
      </c>
      <c r="S4085" s="8">
        <v>15.5</v>
      </c>
      <c r="T4085" s="8">
        <v>1</v>
      </c>
      <c r="U4085" s="8">
        <v>13.2</v>
      </c>
      <c r="V4085" s="8">
        <v>0.6</v>
      </c>
      <c r="W4085" s="8">
        <v>0.6</v>
      </c>
      <c r="Y4085" s="8" t="s">
        <v>4065</v>
      </c>
      <c r="Z4085" s="8" t="s">
        <v>4066</v>
      </c>
    </row>
    <row r="4086" spans="1:26" x14ac:dyDescent="0.2">
      <c r="A4086" s="8">
        <v>4085</v>
      </c>
      <c r="B4086" s="8" t="s">
        <v>18580</v>
      </c>
      <c r="C4086" s="8" t="s">
        <v>18580</v>
      </c>
      <c r="F4086" s="47" t="s">
        <v>57161</v>
      </c>
      <c r="G4086" s="8">
        <v>6</v>
      </c>
      <c r="H4086" s="8" t="s">
        <v>21</v>
      </c>
      <c r="I4086" s="8" t="s">
        <v>22</v>
      </c>
      <c r="J4086" s="8" t="s">
        <v>22</v>
      </c>
      <c r="K4086" s="8" t="s">
        <v>64</v>
      </c>
      <c r="L4086" s="8" t="s">
        <v>12015</v>
      </c>
      <c r="M4086" s="8" t="s">
        <v>12016</v>
      </c>
      <c r="N4086" s="8" t="s">
        <v>18581</v>
      </c>
      <c r="O4086" s="8">
        <f>12+5/60+22.4/3600</f>
        <v>12.089555555555556</v>
      </c>
      <c r="P4086" s="8" t="s">
        <v>18582</v>
      </c>
      <c r="Q4086" s="8">
        <f>+(50+21/60+12/3600)</f>
        <v>50.353333333333332</v>
      </c>
      <c r="R4086" s="8">
        <v>12.4</v>
      </c>
      <c r="S4086" s="8">
        <v>13</v>
      </c>
      <c r="T4086" s="8">
        <v>0.6</v>
      </c>
      <c r="U4086" s="8">
        <v>13.1</v>
      </c>
      <c r="V4086" s="8">
        <v>2.8</v>
      </c>
      <c r="W4086" s="8">
        <v>0.8</v>
      </c>
      <c r="X4086" s="8">
        <v>78</v>
      </c>
      <c r="Y4086" s="8" t="s">
        <v>18583</v>
      </c>
      <c r="Z4086" s="8" t="s">
        <v>18584</v>
      </c>
    </row>
    <row r="4087" spans="1:26" x14ac:dyDescent="0.2">
      <c r="A4087" s="8">
        <v>4086</v>
      </c>
      <c r="B4087" s="8" t="s">
        <v>18585</v>
      </c>
      <c r="C4087" s="8" t="s">
        <v>18585</v>
      </c>
      <c r="F4087" s="47"/>
      <c r="G4087" s="8">
        <v>18</v>
      </c>
      <c r="H4087" s="8" t="s">
        <v>21</v>
      </c>
      <c r="I4087" s="8" t="s">
        <v>22</v>
      </c>
      <c r="J4087" s="8" t="s">
        <v>22</v>
      </c>
      <c r="K4087" s="8" t="s">
        <v>37</v>
      </c>
      <c r="L4087" s="8" t="s">
        <v>18289</v>
      </c>
      <c r="M4087" s="8" t="s">
        <v>18290</v>
      </c>
      <c r="N4087" s="8" t="s">
        <v>18586</v>
      </c>
      <c r="O4087" s="8">
        <f>12+5/60+29.3/3600</f>
        <v>12.091472222222222</v>
      </c>
      <c r="P4087" s="8" t="s">
        <v>18587</v>
      </c>
      <c r="Q4087" s="8">
        <f>+(20+14/60+50/3600)</f>
        <v>20.247222222222224</v>
      </c>
      <c r="R4087" s="8">
        <v>13.6</v>
      </c>
      <c r="S4087" s="8">
        <v>14.6</v>
      </c>
      <c r="T4087" s="8">
        <v>1</v>
      </c>
      <c r="U4087" s="8">
        <v>13</v>
      </c>
      <c r="V4087" s="8">
        <v>1</v>
      </c>
      <c r="W4087" s="8">
        <v>0.9</v>
      </c>
      <c r="X4087" s="8">
        <v>73</v>
      </c>
      <c r="Y4087" s="8" t="s">
        <v>1374</v>
      </c>
      <c r="Z4087" s="8" t="s">
        <v>1375</v>
      </c>
    </row>
    <row r="4088" spans="1:26" x14ac:dyDescent="0.2">
      <c r="A4088" s="8">
        <v>4087</v>
      </c>
      <c r="B4088" s="8" t="s">
        <v>18588</v>
      </c>
      <c r="C4088" s="8" t="s">
        <v>18588</v>
      </c>
      <c r="F4088" s="47" t="s">
        <v>57162</v>
      </c>
      <c r="G4088" s="8">
        <v>15</v>
      </c>
      <c r="H4088" s="8" t="s">
        <v>21</v>
      </c>
      <c r="I4088" s="8" t="s">
        <v>22</v>
      </c>
      <c r="J4088" s="8" t="s">
        <v>22</v>
      </c>
      <c r="K4088" s="8" t="s">
        <v>58</v>
      </c>
      <c r="L4088" s="8" t="s">
        <v>11765</v>
      </c>
      <c r="M4088" s="8" t="s">
        <v>11766</v>
      </c>
      <c r="N4088" s="8" t="s">
        <v>18589</v>
      </c>
      <c r="O4088" s="8">
        <f>12+5/60+35.3/3600</f>
        <v>12.093138888888889</v>
      </c>
      <c r="P4088" s="8" t="s">
        <v>18590</v>
      </c>
      <c r="Q4088" s="8">
        <f>-(26+31/60+20/3600)</f>
        <v>-26.522222222222222</v>
      </c>
      <c r="R4088" s="8">
        <v>12.1</v>
      </c>
      <c r="S4088" s="8">
        <v>13.1</v>
      </c>
      <c r="T4088" s="8">
        <v>1</v>
      </c>
      <c r="U4088" s="8">
        <v>13.6</v>
      </c>
      <c r="V4088" s="8">
        <v>2.1</v>
      </c>
      <c r="W4088" s="8">
        <v>1.7</v>
      </c>
      <c r="X4088" s="8">
        <v>39</v>
      </c>
      <c r="Y4088" s="8" t="s">
        <v>121</v>
      </c>
      <c r="Z4088" s="8" t="s">
        <v>122</v>
      </c>
    </row>
    <row r="4089" spans="1:26" x14ac:dyDescent="0.2">
      <c r="A4089" s="8">
        <v>4088</v>
      </c>
      <c r="B4089" s="8" t="s">
        <v>18591</v>
      </c>
      <c r="C4089" s="8" t="s">
        <v>18591</v>
      </c>
      <c r="F4089" s="47" t="s">
        <v>57163</v>
      </c>
      <c r="G4089" s="8">
        <v>6</v>
      </c>
      <c r="H4089" s="8" t="s">
        <v>21</v>
      </c>
      <c r="I4089" s="8" t="s">
        <v>22</v>
      </c>
      <c r="J4089" s="8" t="s">
        <v>22</v>
      </c>
      <c r="K4089" s="8" t="s">
        <v>85</v>
      </c>
      <c r="L4089" s="8" t="s">
        <v>12015</v>
      </c>
      <c r="M4089" s="8" t="s">
        <v>12016</v>
      </c>
      <c r="N4089" s="8" t="s">
        <v>18592</v>
      </c>
      <c r="O4089" s="8">
        <f>12+5/60+34.6/3600</f>
        <v>12.092944444444445</v>
      </c>
      <c r="P4089" s="8" t="s">
        <v>18593</v>
      </c>
      <c r="Q4089" s="8">
        <f>+(50+32/60+26/3600)</f>
        <v>50.540555555555557</v>
      </c>
      <c r="R4089" s="8">
        <v>10.6</v>
      </c>
      <c r="S4089" s="8">
        <v>11.2</v>
      </c>
      <c r="T4089" s="8">
        <v>0.6</v>
      </c>
      <c r="U4089" s="8">
        <v>13.2</v>
      </c>
      <c r="V4089" s="8">
        <v>5.6</v>
      </c>
      <c r="W4089" s="8">
        <v>2.1</v>
      </c>
      <c r="X4089" s="8">
        <v>43</v>
      </c>
      <c r="Y4089" s="8" t="s">
        <v>18594</v>
      </c>
      <c r="Z4089" s="8" t="s">
        <v>18595</v>
      </c>
    </row>
    <row r="4090" spans="1:26" x14ac:dyDescent="0.2">
      <c r="A4090" s="8">
        <v>4089</v>
      </c>
      <c r="B4090" s="8" t="s">
        <v>18596</v>
      </c>
      <c r="C4090" s="8" t="s">
        <v>18596</v>
      </c>
      <c r="F4090" s="47"/>
      <c r="G4090" s="8">
        <v>18</v>
      </c>
      <c r="H4090" s="8" t="s">
        <v>21</v>
      </c>
      <c r="I4090" s="8" t="s">
        <v>22</v>
      </c>
      <c r="J4090" s="8" t="s">
        <v>22</v>
      </c>
      <c r="K4090" s="8" t="s">
        <v>460</v>
      </c>
      <c r="L4090" s="8" t="s">
        <v>18289</v>
      </c>
      <c r="M4090" s="8" t="s">
        <v>18290</v>
      </c>
      <c r="N4090" s="8" t="s">
        <v>18597</v>
      </c>
      <c r="O4090" s="8">
        <f>12+5/60+37.5/3600</f>
        <v>12.09375</v>
      </c>
      <c r="P4090" s="8" t="s">
        <v>18598</v>
      </c>
      <c r="Q4090" s="8">
        <f>+(20+33/60+23/3600)</f>
        <v>20.55638888888889</v>
      </c>
      <c r="R4090" s="8">
        <v>13.7</v>
      </c>
      <c r="S4090" s="8">
        <v>14.7</v>
      </c>
      <c r="T4090" s="8">
        <v>1</v>
      </c>
      <c r="U4090" s="8">
        <v>13.3</v>
      </c>
      <c r="V4090" s="8">
        <v>0.8</v>
      </c>
      <c r="W4090" s="8">
        <v>0.8</v>
      </c>
      <c r="Y4090" s="8" t="s">
        <v>1103</v>
      </c>
      <c r="Z4090" s="8" t="s">
        <v>1104</v>
      </c>
    </row>
    <row r="4091" spans="1:26" x14ac:dyDescent="0.2">
      <c r="A4091" s="8">
        <v>4090</v>
      </c>
      <c r="B4091" s="8" t="s">
        <v>18599</v>
      </c>
      <c r="C4091" s="8" t="s">
        <v>18599</v>
      </c>
      <c r="F4091" s="47"/>
      <c r="G4091" s="8">
        <v>18</v>
      </c>
      <c r="H4091" s="8" t="s">
        <v>21</v>
      </c>
      <c r="I4091" s="8" t="s">
        <v>22</v>
      </c>
      <c r="J4091" s="8" t="s">
        <v>22</v>
      </c>
      <c r="K4091" s="8" t="s">
        <v>31</v>
      </c>
      <c r="L4091" s="8" t="s">
        <v>18289</v>
      </c>
      <c r="M4091" s="8" t="s">
        <v>18290</v>
      </c>
      <c r="N4091" s="8" t="s">
        <v>18600</v>
      </c>
      <c r="O4091" s="8">
        <f>12+5/60+28/3600</f>
        <v>12.091111111111111</v>
      </c>
      <c r="P4091" s="8" t="s">
        <v>18601</v>
      </c>
      <c r="Q4091" s="8">
        <f>+(20+18/60+33/3600)</f>
        <v>20.309166666666666</v>
      </c>
      <c r="R4091" s="8">
        <v>13.9</v>
      </c>
      <c r="S4091" s="8">
        <v>14.7</v>
      </c>
      <c r="T4091" s="8">
        <v>0.8</v>
      </c>
      <c r="U4091" s="8">
        <v>13.2</v>
      </c>
      <c r="V4091" s="8">
        <v>1.2</v>
      </c>
      <c r="W4091" s="8">
        <v>0.5</v>
      </c>
      <c r="X4091" s="8">
        <v>38</v>
      </c>
      <c r="Y4091" s="8" t="s">
        <v>18602</v>
      </c>
      <c r="Z4091" s="8" t="s">
        <v>18603</v>
      </c>
    </row>
    <row r="4092" spans="1:26" x14ac:dyDescent="0.2">
      <c r="A4092" s="8">
        <v>4091</v>
      </c>
      <c r="B4092" s="8" t="s">
        <v>18604</v>
      </c>
      <c r="C4092" s="8" t="s">
        <v>18604</v>
      </c>
      <c r="F4092" s="47"/>
      <c r="G4092" s="8">
        <v>18</v>
      </c>
      <c r="H4092" s="8" t="s">
        <v>21</v>
      </c>
      <c r="I4092" s="8" t="s">
        <v>22</v>
      </c>
      <c r="J4092" s="8" t="s">
        <v>22</v>
      </c>
      <c r="K4092" s="8" t="s">
        <v>396</v>
      </c>
      <c r="L4092" s="8" t="s">
        <v>18289</v>
      </c>
      <c r="M4092" s="8" t="s">
        <v>18290</v>
      </c>
      <c r="N4092" s="8" t="s">
        <v>18605</v>
      </c>
      <c r="O4092" s="8">
        <f>12+5/60+40.2/3600</f>
        <v>12.0945</v>
      </c>
      <c r="P4092" s="8" t="s">
        <v>18598</v>
      </c>
      <c r="Q4092" s="8">
        <f>+(20+33/60+23/3600)</f>
        <v>20.55638888888889</v>
      </c>
      <c r="R4092" s="8">
        <v>14.5</v>
      </c>
      <c r="S4092" s="8">
        <v>15.3</v>
      </c>
      <c r="T4092" s="8">
        <v>0.8</v>
      </c>
      <c r="U4092" s="8">
        <v>13</v>
      </c>
      <c r="V4092" s="8">
        <v>0.9</v>
      </c>
      <c r="W4092" s="8">
        <v>0.3</v>
      </c>
      <c r="X4092" s="8">
        <v>43</v>
      </c>
      <c r="Y4092" s="8" t="s">
        <v>9901</v>
      </c>
      <c r="Z4092" s="8" t="s">
        <v>9902</v>
      </c>
    </row>
    <row r="4093" spans="1:26" x14ac:dyDescent="0.2">
      <c r="A4093" s="8">
        <v>4092</v>
      </c>
      <c r="B4093" s="8" t="s">
        <v>18606</v>
      </c>
      <c r="C4093" s="8" t="s">
        <v>18606</v>
      </c>
      <c r="F4093" s="47" t="s">
        <v>57164</v>
      </c>
      <c r="G4093" s="8">
        <v>15</v>
      </c>
      <c r="H4093" s="8" t="s">
        <v>21</v>
      </c>
      <c r="I4093" s="8" t="s">
        <v>22</v>
      </c>
      <c r="J4093" s="8" t="s">
        <v>22</v>
      </c>
      <c r="K4093" s="8" t="s">
        <v>31</v>
      </c>
      <c r="L4093" s="8" t="s">
        <v>18289</v>
      </c>
      <c r="M4093" s="8" t="s">
        <v>18290</v>
      </c>
      <c r="N4093" s="8" t="s">
        <v>18607</v>
      </c>
      <c r="O4093" s="8">
        <f>12+5/60+50.2/3600</f>
        <v>12.097277777777778</v>
      </c>
      <c r="P4093" s="8" t="s">
        <v>18608</v>
      </c>
      <c r="Q4093" s="8">
        <f>+(20+28/60+39/3600)</f>
        <v>20.477499999999999</v>
      </c>
      <c r="R4093" s="8">
        <v>13.3</v>
      </c>
      <c r="S4093" s="8">
        <v>14.1</v>
      </c>
      <c r="T4093" s="8">
        <v>0.8</v>
      </c>
      <c r="U4093" s="8">
        <v>13.1</v>
      </c>
      <c r="V4093" s="8">
        <v>1</v>
      </c>
      <c r="W4093" s="8">
        <v>1</v>
      </c>
      <c r="Y4093" s="8" t="s">
        <v>18609</v>
      </c>
      <c r="Z4093" s="8" t="s">
        <v>18610</v>
      </c>
    </row>
    <row r="4094" spans="1:26" x14ac:dyDescent="0.2">
      <c r="A4094" s="8">
        <v>4093</v>
      </c>
      <c r="B4094" s="8" t="s">
        <v>18611</v>
      </c>
      <c r="C4094" s="8" t="s">
        <v>18611</v>
      </c>
      <c r="F4094" s="47"/>
      <c r="G4094" s="8">
        <v>18</v>
      </c>
      <c r="H4094" s="8" t="s">
        <v>21</v>
      </c>
      <c r="I4094" s="8" t="s">
        <v>22</v>
      </c>
      <c r="J4094" s="8" t="s">
        <v>22</v>
      </c>
      <c r="K4094" s="8" t="s">
        <v>424</v>
      </c>
      <c r="L4094" s="8" t="s">
        <v>18289</v>
      </c>
      <c r="M4094" s="8" t="s">
        <v>18290</v>
      </c>
      <c r="N4094" s="8" t="s">
        <v>18612</v>
      </c>
      <c r="O4094" s="8">
        <f>12+5/60+51.4/3600</f>
        <v>12.097611111111112</v>
      </c>
      <c r="P4094" s="8" t="s">
        <v>18613</v>
      </c>
      <c r="Q4094" s="8">
        <f>+(20+31/60+20/3600)</f>
        <v>20.522222222222222</v>
      </c>
      <c r="R4094" s="8">
        <v>14.3</v>
      </c>
      <c r="S4094" s="8">
        <v>15.3</v>
      </c>
      <c r="T4094" s="8">
        <v>1</v>
      </c>
      <c r="U4094" s="8">
        <v>13.2</v>
      </c>
      <c r="V4094" s="8">
        <v>0.7</v>
      </c>
      <c r="W4094" s="8">
        <v>0.5</v>
      </c>
      <c r="X4094" s="8">
        <v>45</v>
      </c>
      <c r="Y4094" s="8" t="s">
        <v>266</v>
      </c>
      <c r="Z4094" s="8" t="s">
        <v>267</v>
      </c>
    </row>
    <row r="4095" spans="1:26" x14ac:dyDescent="0.2">
      <c r="A4095" s="8">
        <v>4094</v>
      </c>
      <c r="B4095" s="8" t="s">
        <v>18614</v>
      </c>
      <c r="C4095" s="8" t="s">
        <v>18614</v>
      </c>
      <c r="F4095" s="47"/>
      <c r="G4095" s="8">
        <v>13</v>
      </c>
      <c r="H4095" s="8" t="s">
        <v>21</v>
      </c>
      <c r="I4095" s="8" t="s">
        <v>22</v>
      </c>
      <c r="J4095" s="8" t="s">
        <v>22</v>
      </c>
      <c r="K4095" s="8" t="s">
        <v>64</v>
      </c>
      <c r="L4095" s="8" t="s">
        <v>15925</v>
      </c>
      <c r="M4095" s="8" t="s">
        <v>15926</v>
      </c>
      <c r="N4095" s="8" t="s">
        <v>18615</v>
      </c>
      <c r="O4095" s="8">
        <f>12+5/60+53.9/3600</f>
        <v>12.098305555555557</v>
      </c>
      <c r="P4095" s="8" t="s">
        <v>18616</v>
      </c>
      <c r="Q4095" s="8">
        <f>-(14+31/60+34/3600)</f>
        <v>-14.526111111111112</v>
      </c>
      <c r="R4095" s="8">
        <v>12</v>
      </c>
      <c r="S4095" s="8">
        <v>12.7</v>
      </c>
      <c r="T4095" s="8">
        <v>0.7</v>
      </c>
      <c r="U4095" s="8">
        <v>13.8</v>
      </c>
      <c r="V4095" s="8">
        <v>4.0999999999999996</v>
      </c>
      <c r="W4095" s="8">
        <v>1.5</v>
      </c>
      <c r="X4095" s="8">
        <v>62</v>
      </c>
      <c r="Y4095" s="8" t="s">
        <v>18617</v>
      </c>
      <c r="Z4095" s="8" t="s">
        <v>18618</v>
      </c>
    </row>
    <row r="4096" spans="1:26" x14ac:dyDescent="0.2">
      <c r="A4096" s="8">
        <v>4095</v>
      </c>
      <c r="B4096" s="8" t="s">
        <v>18619</v>
      </c>
      <c r="C4096" s="8" t="s">
        <v>18619</v>
      </c>
      <c r="F4096" s="47" t="s">
        <v>57165</v>
      </c>
      <c r="G4096" s="8">
        <v>15</v>
      </c>
      <c r="H4096" s="8" t="s">
        <v>21</v>
      </c>
      <c r="I4096" s="8" t="s">
        <v>22</v>
      </c>
      <c r="J4096" s="8" t="s">
        <v>22</v>
      </c>
      <c r="K4096" s="8" t="s">
        <v>818</v>
      </c>
      <c r="L4096" s="8" t="s">
        <v>18289</v>
      </c>
      <c r="M4096" s="8" t="s">
        <v>18290</v>
      </c>
      <c r="N4096" s="8" t="s">
        <v>18620</v>
      </c>
      <c r="O4096" s="8">
        <f>12+5/60+54.2/3600</f>
        <v>12.09838888888889</v>
      </c>
      <c r="P4096" s="8" t="s">
        <v>18621</v>
      </c>
      <c r="Q4096" s="8">
        <f>+(20+34/60+25/3600)</f>
        <v>20.573611111111109</v>
      </c>
      <c r="R4096" s="8">
        <v>13.6</v>
      </c>
      <c r="S4096" s="8">
        <v>14.6</v>
      </c>
      <c r="T4096" s="8">
        <v>1</v>
      </c>
      <c r="U4096" s="8">
        <v>14</v>
      </c>
      <c r="V4096" s="8">
        <v>1.3</v>
      </c>
      <c r="W4096" s="8">
        <v>1</v>
      </c>
      <c r="X4096" s="8">
        <v>153</v>
      </c>
      <c r="Y4096" s="8" t="s">
        <v>282</v>
      </c>
      <c r="Z4096" s="8" t="s">
        <v>283</v>
      </c>
    </row>
    <row r="4097" spans="1:26" x14ac:dyDescent="0.2">
      <c r="A4097" s="8">
        <v>4096</v>
      </c>
      <c r="B4097" s="8" t="s">
        <v>18622</v>
      </c>
      <c r="C4097" s="8" t="s">
        <v>18622</v>
      </c>
      <c r="F4097" s="47" t="s">
        <v>57166</v>
      </c>
      <c r="G4097" s="8">
        <v>6.5</v>
      </c>
      <c r="H4097" s="8" t="s">
        <v>21</v>
      </c>
      <c r="I4097" s="8" t="s">
        <v>22</v>
      </c>
      <c r="J4097" s="8" t="s">
        <v>22</v>
      </c>
      <c r="K4097" s="8" t="s">
        <v>64</v>
      </c>
      <c r="L4097" s="8" t="s">
        <v>12015</v>
      </c>
      <c r="M4097" s="8" t="s">
        <v>12016</v>
      </c>
      <c r="N4097" s="8" t="s">
        <v>18623</v>
      </c>
      <c r="O4097" s="8">
        <f>12+6/60+0.9/3600</f>
        <v>12.100249999999999</v>
      </c>
      <c r="P4097" s="8" t="s">
        <v>18624</v>
      </c>
      <c r="Q4097" s="8">
        <f>+(47+28/60+33/3600)</f>
        <v>47.475833333333334</v>
      </c>
      <c r="R4097" s="8">
        <v>10.9</v>
      </c>
      <c r="S4097" s="8">
        <v>11.5</v>
      </c>
      <c r="T4097" s="8">
        <v>0.6</v>
      </c>
      <c r="U4097" s="8">
        <v>13.4</v>
      </c>
      <c r="V4097" s="8">
        <v>6.5</v>
      </c>
      <c r="W4097" s="8">
        <v>1.8</v>
      </c>
      <c r="X4097" s="8">
        <v>20</v>
      </c>
      <c r="Y4097" s="8" t="s">
        <v>18625</v>
      </c>
      <c r="Z4097" s="8" t="s">
        <v>18626</v>
      </c>
    </row>
    <row r="4098" spans="1:26" x14ac:dyDescent="0.2">
      <c r="A4098" s="8">
        <v>4097</v>
      </c>
      <c r="B4098" s="8" t="s">
        <v>18627</v>
      </c>
      <c r="C4098" s="8" t="s">
        <v>18627</v>
      </c>
      <c r="F4098" s="47" t="s">
        <v>57167</v>
      </c>
      <c r="G4098" s="8">
        <v>15</v>
      </c>
      <c r="H4098" s="8" t="s">
        <v>21</v>
      </c>
      <c r="I4098" s="8" t="s">
        <v>22</v>
      </c>
      <c r="J4098" s="8" t="s">
        <v>22</v>
      </c>
      <c r="K4098" s="8" t="s">
        <v>37</v>
      </c>
      <c r="L4098" s="8" t="s">
        <v>12015</v>
      </c>
      <c r="M4098" s="8" t="s">
        <v>12016</v>
      </c>
      <c r="N4098" s="8" t="s">
        <v>18628</v>
      </c>
      <c r="O4098" s="8">
        <f>12+6/60+2.4/3600</f>
        <v>12.100666666666667</v>
      </c>
      <c r="P4098" s="8" t="s">
        <v>18629</v>
      </c>
      <c r="Q4098" s="8">
        <f>+(36+51/60+50/3600)</f>
        <v>36.863888888888887</v>
      </c>
      <c r="R4098" s="8">
        <v>13.4</v>
      </c>
      <c r="S4098" s="8">
        <v>14.4</v>
      </c>
      <c r="T4098" s="8">
        <v>1</v>
      </c>
      <c r="U4098" s="8">
        <v>13.1</v>
      </c>
      <c r="V4098" s="8">
        <v>1.2</v>
      </c>
      <c r="W4098" s="8">
        <v>0.7</v>
      </c>
      <c r="X4098" s="8">
        <v>98</v>
      </c>
      <c r="Y4098" s="8" t="s">
        <v>18630</v>
      </c>
      <c r="Z4098" s="8" t="s">
        <v>18631</v>
      </c>
    </row>
    <row r="4099" spans="1:26" x14ac:dyDescent="0.2">
      <c r="A4099" s="8">
        <v>4098</v>
      </c>
      <c r="B4099" s="8" t="s">
        <v>18632</v>
      </c>
      <c r="C4099" s="8" t="s">
        <v>18632</v>
      </c>
      <c r="E4099" s="8">
        <v>1</v>
      </c>
      <c r="F4099" s="47" t="s">
        <v>57168</v>
      </c>
      <c r="G4099" s="8">
        <v>15</v>
      </c>
      <c r="H4099" s="8" t="s">
        <v>21</v>
      </c>
      <c r="I4099" s="8" t="s">
        <v>22</v>
      </c>
      <c r="J4099" s="8" t="s">
        <v>22</v>
      </c>
      <c r="K4099" s="8" t="s">
        <v>476</v>
      </c>
      <c r="L4099" s="8" t="s">
        <v>18289</v>
      </c>
      <c r="M4099" s="8" t="s">
        <v>18290</v>
      </c>
      <c r="N4099" s="8" t="s">
        <v>18633</v>
      </c>
      <c r="O4099" s="8">
        <f>12+6/60+3.6/3600</f>
        <v>12.100999999999999</v>
      </c>
      <c r="P4099" s="8" t="s">
        <v>18634</v>
      </c>
      <c r="Q4099" s="8">
        <f>+(20+36/60+28/3600)</f>
        <v>20.60777777777778</v>
      </c>
      <c r="R4099" s="8">
        <v>13.1</v>
      </c>
      <c r="S4099" s="8">
        <v>14</v>
      </c>
      <c r="T4099" s="8">
        <v>0.9</v>
      </c>
      <c r="U4099" s="8">
        <v>13.1</v>
      </c>
      <c r="V4099" s="8">
        <v>1.2</v>
      </c>
      <c r="W4099" s="8">
        <v>0.9</v>
      </c>
      <c r="X4099" s="8">
        <v>156</v>
      </c>
      <c r="Y4099" s="8" t="s">
        <v>18635</v>
      </c>
      <c r="Z4099" s="8" t="s">
        <v>18636</v>
      </c>
    </row>
    <row r="4100" spans="1:26" x14ac:dyDescent="0.2">
      <c r="A4100" s="8">
        <v>4099</v>
      </c>
      <c r="B4100" s="8" t="s">
        <v>18637</v>
      </c>
      <c r="C4100" s="8" t="s">
        <v>18637</v>
      </c>
      <c r="E4100" s="8">
        <v>1</v>
      </c>
      <c r="F4100" s="48" t="s">
        <v>57168</v>
      </c>
      <c r="G4100" s="8">
        <v>18</v>
      </c>
      <c r="H4100" s="8" t="s">
        <v>21</v>
      </c>
      <c r="I4100" s="8" t="s">
        <v>22</v>
      </c>
      <c r="J4100" s="8" t="s">
        <v>57</v>
      </c>
      <c r="K4100" s="8" t="s">
        <v>476</v>
      </c>
      <c r="L4100" s="8" t="s">
        <v>18289</v>
      </c>
      <c r="M4100" s="8" t="s">
        <v>18290</v>
      </c>
      <c r="N4100" s="8" t="s">
        <v>18633</v>
      </c>
      <c r="O4100" s="8">
        <f>12+6/60+3.6/3600</f>
        <v>12.100999999999999</v>
      </c>
      <c r="P4100" s="8" t="s">
        <v>18634</v>
      </c>
      <c r="Q4100" s="8">
        <f>+(20+36/60+28/3600)</f>
        <v>20.60777777777778</v>
      </c>
      <c r="R4100" s="8">
        <v>13.1</v>
      </c>
      <c r="S4100" s="8">
        <v>14</v>
      </c>
      <c r="T4100" s="8">
        <v>0.9</v>
      </c>
      <c r="U4100" s="8">
        <v>13.1</v>
      </c>
      <c r="V4100" s="8">
        <v>1.2</v>
      </c>
      <c r="W4100" s="8">
        <v>0.9</v>
      </c>
      <c r="X4100" s="8">
        <v>156</v>
      </c>
      <c r="Y4100" s="8" t="s">
        <v>18635</v>
      </c>
      <c r="Z4100" s="8" t="s">
        <v>963</v>
      </c>
    </row>
    <row r="4101" spans="1:26" x14ac:dyDescent="0.2">
      <c r="A4101" s="8">
        <v>4100</v>
      </c>
      <c r="B4101" s="8" t="s">
        <v>18638</v>
      </c>
      <c r="C4101" s="8" t="s">
        <v>18638</v>
      </c>
      <c r="F4101" s="47" t="s">
        <v>57169</v>
      </c>
      <c r="G4101" s="8">
        <v>6.5</v>
      </c>
      <c r="H4101" s="8" t="s">
        <v>21</v>
      </c>
      <c r="I4101" s="8" t="s">
        <v>22</v>
      </c>
      <c r="J4101" s="8" t="s">
        <v>22</v>
      </c>
      <c r="K4101" s="8" t="s">
        <v>396</v>
      </c>
      <c r="L4101" s="8" t="s">
        <v>12015</v>
      </c>
      <c r="M4101" s="8" t="s">
        <v>12016</v>
      </c>
      <c r="N4101" s="8" t="s">
        <v>18639</v>
      </c>
      <c r="O4101" s="8">
        <f>12+6/60+8.3/3600</f>
        <v>12.102305555555555</v>
      </c>
      <c r="P4101" s="8" t="s">
        <v>18640</v>
      </c>
      <c r="Q4101" s="8">
        <f>+(49+34/60+58/3600)</f>
        <v>49.582777777777778</v>
      </c>
      <c r="R4101" s="8">
        <v>11.2</v>
      </c>
      <c r="S4101" s="8">
        <v>11.9</v>
      </c>
      <c r="T4101" s="8">
        <v>0.7</v>
      </c>
      <c r="U4101" s="8">
        <v>13.5</v>
      </c>
      <c r="V4101" s="8">
        <v>5.4</v>
      </c>
      <c r="W4101" s="8">
        <v>1.7</v>
      </c>
      <c r="X4101" s="8">
        <v>167</v>
      </c>
      <c r="Y4101" s="8" t="s">
        <v>18641</v>
      </c>
      <c r="Z4101" s="8" t="s">
        <v>18642</v>
      </c>
    </row>
    <row r="4102" spans="1:26" x14ac:dyDescent="0.2">
      <c r="A4102" s="8">
        <v>4101</v>
      </c>
      <c r="B4102" s="8" t="s">
        <v>18643</v>
      </c>
      <c r="C4102" s="8" t="s">
        <v>18643</v>
      </c>
      <c r="F4102" s="47" t="s">
        <v>57170</v>
      </c>
      <c r="G4102" s="8">
        <v>15</v>
      </c>
      <c r="H4102" s="8" t="s">
        <v>21</v>
      </c>
      <c r="I4102" s="8" t="s">
        <v>22</v>
      </c>
      <c r="J4102" s="8" t="s">
        <v>22</v>
      </c>
      <c r="K4102" s="8" t="s">
        <v>632</v>
      </c>
      <c r="L4102" s="8" t="s">
        <v>18289</v>
      </c>
      <c r="M4102" s="8" t="s">
        <v>18290</v>
      </c>
      <c r="N4102" s="8" t="s">
        <v>18644</v>
      </c>
      <c r="O4102" s="8">
        <f>12+6/60+10.7/3600</f>
        <v>12.102972222222222</v>
      </c>
      <c r="P4102" s="8" t="s">
        <v>18645</v>
      </c>
      <c r="Q4102" s="8">
        <f>+(25+33/60+25/3600)</f>
        <v>25.556944444444444</v>
      </c>
      <c r="R4102" s="8">
        <v>13.5</v>
      </c>
      <c r="S4102" s="8">
        <v>14.4</v>
      </c>
      <c r="T4102" s="8">
        <v>0.9</v>
      </c>
      <c r="U4102" s="8">
        <v>13.5</v>
      </c>
      <c r="V4102" s="8">
        <v>1</v>
      </c>
      <c r="W4102" s="8">
        <v>0.8</v>
      </c>
      <c r="X4102" s="8">
        <v>60</v>
      </c>
      <c r="Y4102" s="8" t="s">
        <v>18646</v>
      </c>
      <c r="Z4102" s="8" t="s">
        <v>18647</v>
      </c>
    </row>
    <row r="4103" spans="1:26" x14ac:dyDescent="0.2">
      <c r="A4103" s="8">
        <v>4102</v>
      </c>
      <c r="B4103" s="8" t="s">
        <v>18648</v>
      </c>
      <c r="C4103" s="8" t="s">
        <v>18648</v>
      </c>
      <c r="F4103" s="47" t="s">
        <v>57171</v>
      </c>
      <c r="G4103" s="8">
        <v>6</v>
      </c>
      <c r="H4103" s="8" t="s">
        <v>21</v>
      </c>
      <c r="I4103" s="8" t="s">
        <v>22</v>
      </c>
      <c r="J4103" s="8" t="s">
        <v>22</v>
      </c>
      <c r="K4103" s="8" t="s">
        <v>218</v>
      </c>
      <c r="L4103" s="8" t="s">
        <v>12015</v>
      </c>
      <c r="M4103" s="8" t="s">
        <v>12016</v>
      </c>
      <c r="N4103" s="8" t="s">
        <v>18649</v>
      </c>
      <c r="O4103" s="8">
        <f>12+6/60+23.3/3600</f>
        <v>12.106472222222221</v>
      </c>
      <c r="P4103" s="8" t="s">
        <v>18650</v>
      </c>
      <c r="Q4103" s="8">
        <f>+(52+42/60+39/3600)</f>
        <v>52.710833333333333</v>
      </c>
      <c r="R4103" s="8">
        <v>11.2</v>
      </c>
      <c r="S4103" s="8">
        <v>12.1</v>
      </c>
      <c r="T4103" s="8">
        <v>0.9</v>
      </c>
      <c r="U4103" s="8">
        <v>12.8</v>
      </c>
      <c r="V4103" s="8">
        <v>3.1</v>
      </c>
      <c r="W4103" s="8">
        <v>1.7</v>
      </c>
      <c r="X4103" s="8">
        <v>38</v>
      </c>
      <c r="Y4103" s="8" t="s">
        <v>18651</v>
      </c>
      <c r="Z4103" s="8" t="s">
        <v>18652</v>
      </c>
    </row>
    <row r="4104" spans="1:26" x14ac:dyDescent="0.2">
      <c r="A4104" s="8">
        <v>4103</v>
      </c>
      <c r="B4104" s="8" t="s">
        <v>18653</v>
      </c>
      <c r="C4104" s="8" t="s">
        <v>18653</v>
      </c>
      <c r="F4104" s="47"/>
      <c r="G4104" s="8">
        <v>8</v>
      </c>
      <c r="H4104" s="8" t="s">
        <v>18654</v>
      </c>
      <c r="I4104" s="8" t="s">
        <v>557</v>
      </c>
      <c r="J4104" s="8" t="s">
        <v>557</v>
      </c>
      <c r="K4104" s="8" t="s">
        <v>2158</v>
      </c>
      <c r="L4104" s="8" t="s">
        <v>18453</v>
      </c>
      <c r="M4104" s="8" t="s">
        <v>18454</v>
      </c>
      <c r="N4104" s="8" t="s">
        <v>18655</v>
      </c>
      <c r="O4104" s="8">
        <f>12+6/60+39.5/3600</f>
        <v>12.110972222222221</v>
      </c>
      <c r="P4104" s="8" t="s">
        <v>18656</v>
      </c>
      <c r="Q4104" s="8">
        <f>-(61+15/60+0/3600)</f>
        <v>-61.25</v>
      </c>
      <c r="R4104" s="8">
        <v>7.4</v>
      </c>
      <c r="S4104" s="8">
        <v>99</v>
      </c>
      <c r="T4104" s="8">
        <v>99</v>
      </c>
      <c r="U4104" s="8">
        <v>99</v>
      </c>
      <c r="V4104" s="8">
        <v>6</v>
      </c>
      <c r="Y4104" s="8" t="s">
        <v>18657</v>
      </c>
      <c r="Z4104" s="8" t="s">
        <v>18658</v>
      </c>
    </row>
    <row r="4105" spans="1:26" x14ac:dyDescent="0.2">
      <c r="A4105" s="8">
        <v>4104</v>
      </c>
      <c r="B4105" s="8" t="s">
        <v>18659</v>
      </c>
      <c r="C4105" s="8" t="s">
        <v>18659</v>
      </c>
      <c r="F4105" s="47" t="s">
        <v>57172</v>
      </c>
      <c r="G4105" s="8">
        <v>15</v>
      </c>
      <c r="H4105" s="8" t="s">
        <v>21</v>
      </c>
      <c r="I4105" s="8" t="s">
        <v>22</v>
      </c>
      <c r="J4105" s="8" t="s">
        <v>22</v>
      </c>
      <c r="K4105" s="8" t="s">
        <v>224</v>
      </c>
      <c r="L4105" s="8" t="s">
        <v>18289</v>
      </c>
      <c r="M4105" s="8" t="s">
        <v>18290</v>
      </c>
      <c r="N4105" s="8" t="s">
        <v>18660</v>
      </c>
      <c r="O4105" s="8">
        <f>12+6/60+38.7/3600</f>
        <v>12.110749999999999</v>
      </c>
      <c r="P4105" s="8" t="s">
        <v>18661</v>
      </c>
      <c r="Q4105" s="8">
        <f>+(28+10/60+25/3600)</f>
        <v>28.173611111111111</v>
      </c>
      <c r="R4105" s="8">
        <v>12.1</v>
      </c>
      <c r="S4105" s="8">
        <v>13.1</v>
      </c>
      <c r="T4105" s="8">
        <v>1</v>
      </c>
      <c r="U4105" s="8">
        <v>13.4</v>
      </c>
      <c r="V4105" s="8">
        <v>2.6</v>
      </c>
      <c r="W4105" s="8">
        <v>1.6</v>
      </c>
      <c r="X4105" s="8">
        <v>35</v>
      </c>
      <c r="Y4105" s="8" t="s">
        <v>18662</v>
      </c>
      <c r="Z4105" s="8" t="s">
        <v>18663</v>
      </c>
    </row>
    <row r="4106" spans="1:26" x14ac:dyDescent="0.2">
      <c r="A4106" s="8">
        <v>4105</v>
      </c>
      <c r="B4106" s="8" t="s">
        <v>18664</v>
      </c>
      <c r="C4106" s="8" t="s">
        <v>18664</v>
      </c>
      <c r="F4106" s="47" t="s">
        <v>57173</v>
      </c>
      <c r="G4106" s="8">
        <v>6.5</v>
      </c>
      <c r="H4106" s="8" t="s">
        <v>21</v>
      </c>
      <c r="I4106" s="8" t="s">
        <v>22</v>
      </c>
      <c r="J4106" s="8" t="s">
        <v>22</v>
      </c>
      <c r="K4106" s="8" t="s">
        <v>382</v>
      </c>
      <c r="L4106" s="8" t="s">
        <v>11765</v>
      </c>
      <c r="M4106" s="8" t="s">
        <v>11766</v>
      </c>
      <c r="N4106" s="8" t="s">
        <v>18665</v>
      </c>
      <c r="O4106" s="8">
        <f>12+6/60+40.6/3600</f>
        <v>12.111277777777778</v>
      </c>
      <c r="P4106" s="8" t="s">
        <v>18666</v>
      </c>
      <c r="Q4106" s="8">
        <f>-(29+45/60+36/3600)</f>
        <v>-29.76</v>
      </c>
      <c r="R4106" s="8">
        <v>10.7</v>
      </c>
      <c r="S4106" s="8">
        <v>11.6</v>
      </c>
      <c r="T4106" s="8">
        <v>0.9</v>
      </c>
      <c r="U4106" s="8">
        <v>12.5</v>
      </c>
      <c r="V4106" s="8">
        <v>2.8</v>
      </c>
      <c r="W4106" s="8">
        <v>2.1</v>
      </c>
      <c r="X4106" s="8">
        <v>151</v>
      </c>
      <c r="Y4106" s="8" t="s">
        <v>18667</v>
      </c>
      <c r="Z4106" s="8" t="s">
        <v>18668</v>
      </c>
    </row>
    <row r="4107" spans="1:26" x14ac:dyDescent="0.2">
      <c r="A4107" s="8">
        <v>4106</v>
      </c>
      <c r="B4107" s="8" t="s">
        <v>18669</v>
      </c>
      <c r="C4107" s="8" t="s">
        <v>18669</v>
      </c>
      <c r="F4107" s="47" t="s">
        <v>57174</v>
      </c>
      <c r="G4107" s="8">
        <v>11</v>
      </c>
      <c r="H4107" s="8" t="s">
        <v>21</v>
      </c>
      <c r="I4107" s="8" t="s">
        <v>22</v>
      </c>
      <c r="J4107" s="8" t="s">
        <v>22</v>
      </c>
      <c r="K4107" s="8" t="s">
        <v>435</v>
      </c>
      <c r="L4107" s="8" t="s">
        <v>11765</v>
      </c>
      <c r="M4107" s="8" t="s">
        <v>11766</v>
      </c>
      <c r="N4107" s="8" t="s">
        <v>18670</v>
      </c>
      <c r="O4107" s="8">
        <f>12+6/60+45.5/3600</f>
        <v>12.112638888888888</v>
      </c>
      <c r="P4107" s="8" t="s">
        <v>18671</v>
      </c>
      <c r="Q4107" s="8">
        <f>-(29+46/60+6/3600)</f>
        <v>-29.768333333333331</v>
      </c>
      <c r="R4107" s="8">
        <v>11.4</v>
      </c>
      <c r="S4107" s="8">
        <v>12.4</v>
      </c>
      <c r="T4107" s="8">
        <v>1</v>
      </c>
      <c r="U4107" s="8">
        <v>12</v>
      </c>
      <c r="V4107" s="8">
        <v>1.6</v>
      </c>
      <c r="W4107" s="8">
        <v>1.3</v>
      </c>
      <c r="X4107" s="8">
        <v>77</v>
      </c>
      <c r="Y4107" s="8" t="s">
        <v>18672</v>
      </c>
      <c r="Z4107" s="8" t="s">
        <v>18673</v>
      </c>
    </row>
    <row r="4108" spans="1:26" x14ac:dyDescent="0.2">
      <c r="A4108" s="8">
        <v>4107</v>
      </c>
      <c r="B4108" s="8" t="s">
        <v>18674</v>
      </c>
      <c r="C4108" s="8" t="s">
        <v>18674</v>
      </c>
      <c r="F4108" s="47"/>
      <c r="G4108" s="8">
        <v>18</v>
      </c>
      <c r="H4108" s="8" t="s">
        <v>21</v>
      </c>
      <c r="I4108" s="8" t="s">
        <v>22</v>
      </c>
      <c r="J4108" s="8" t="s">
        <v>22</v>
      </c>
      <c r="K4108" s="8" t="s">
        <v>37</v>
      </c>
      <c r="L4108" s="8" t="s">
        <v>17287</v>
      </c>
      <c r="M4108" s="8" t="s">
        <v>17288</v>
      </c>
      <c r="N4108" s="8" t="s">
        <v>18552</v>
      </c>
      <c r="O4108" s="8">
        <f>12+4/60+47.7/3600</f>
        <v>12.079916666666666</v>
      </c>
      <c r="P4108" s="8" t="s">
        <v>18553</v>
      </c>
      <c r="Q4108" s="8">
        <f>+(10+35/60+45/3600)</f>
        <v>10.595833333333333</v>
      </c>
      <c r="R4108" s="8">
        <v>13.2</v>
      </c>
      <c r="S4108" s="8">
        <v>14.2</v>
      </c>
      <c r="T4108" s="8">
        <v>1</v>
      </c>
      <c r="U4108" s="8">
        <v>12.6</v>
      </c>
      <c r="V4108" s="8">
        <v>1.3</v>
      </c>
      <c r="W4108" s="8">
        <v>0.5</v>
      </c>
      <c r="X4108" s="8">
        <v>18</v>
      </c>
      <c r="Y4108" s="8" t="s">
        <v>18675</v>
      </c>
      <c r="Z4108" s="8" t="s">
        <v>18676</v>
      </c>
    </row>
    <row r="4109" spans="1:26" x14ac:dyDescent="0.2">
      <c r="A4109" s="8">
        <v>4108</v>
      </c>
      <c r="B4109" s="8" t="s">
        <v>18677</v>
      </c>
      <c r="C4109" s="8" t="s">
        <v>18677</v>
      </c>
      <c r="F4109" s="47"/>
      <c r="G4109" s="8">
        <v>16</v>
      </c>
      <c r="H4109" s="8" t="s">
        <v>21</v>
      </c>
      <c r="I4109" s="8" t="s">
        <v>22</v>
      </c>
      <c r="J4109" s="8" t="s">
        <v>22</v>
      </c>
      <c r="K4109" s="8" t="s">
        <v>160</v>
      </c>
      <c r="L4109" s="8" t="s">
        <v>13395</v>
      </c>
      <c r="M4109" s="8" t="s">
        <v>13396</v>
      </c>
      <c r="N4109" s="8" t="s">
        <v>18678</v>
      </c>
      <c r="O4109" s="8">
        <f>12+6/60+44.3/3600</f>
        <v>12.112305555555555</v>
      </c>
      <c r="P4109" s="8" t="s">
        <v>18679</v>
      </c>
      <c r="Q4109" s="8">
        <f>+(67+9/60+48/3600)</f>
        <v>67.163333333333341</v>
      </c>
      <c r="R4109" s="8">
        <v>12.3</v>
      </c>
      <c r="S4109" s="8">
        <v>13</v>
      </c>
      <c r="T4109" s="8">
        <v>0.7</v>
      </c>
      <c r="U4109" s="8">
        <v>13.1</v>
      </c>
      <c r="V4109" s="8">
        <v>1.7</v>
      </c>
      <c r="W4109" s="8">
        <v>1.4</v>
      </c>
      <c r="X4109" s="8">
        <v>105</v>
      </c>
      <c r="Y4109" s="8" t="s">
        <v>3367</v>
      </c>
      <c r="Z4109" s="8" t="s">
        <v>3368</v>
      </c>
    </row>
    <row r="4110" spans="1:26" x14ac:dyDescent="0.2">
      <c r="A4110" s="8">
        <v>4109</v>
      </c>
      <c r="B4110" s="8" t="s">
        <v>18680</v>
      </c>
      <c r="C4110" s="8" t="s">
        <v>18680</v>
      </c>
      <c r="F4110" s="47"/>
      <c r="G4110" s="8">
        <v>18</v>
      </c>
      <c r="H4110" s="8" t="s">
        <v>21</v>
      </c>
      <c r="I4110" s="8" t="s">
        <v>22</v>
      </c>
      <c r="J4110" s="8" t="s">
        <v>22</v>
      </c>
      <c r="K4110" s="8" t="s">
        <v>91</v>
      </c>
      <c r="L4110" s="8" t="s">
        <v>18681</v>
      </c>
      <c r="M4110" s="8" t="s">
        <v>18682</v>
      </c>
      <c r="N4110" s="8" t="s">
        <v>18683</v>
      </c>
      <c r="O4110" s="8">
        <f>12+6/60+51.1/3600</f>
        <v>12.114194444444443</v>
      </c>
      <c r="P4110" s="8" t="s">
        <v>18684</v>
      </c>
      <c r="Q4110" s="8">
        <f>+(42+59/60+46/3600)</f>
        <v>42.996111111111112</v>
      </c>
      <c r="R4110" s="8">
        <v>14.1</v>
      </c>
      <c r="S4110" s="8">
        <v>15</v>
      </c>
      <c r="T4110" s="8">
        <v>0.9</v>
      </c>
      <c r="U4110" s="8">
        <v>13</v>
      </c>
      <c r="V4110" s="8">
        <v>0.7</v>
      </c>
      <c r="W4110" s="8">
        <v>0.6</v>
      </c>
      <c r="X4110" s="8">
        <v>156</v>
      </c>
      <c r="Y4110" s="8" t="s">
        <v>18685</v>
      </c>
      <c r="Z4110" s="8" t="s">
        <v>18686</v>
      </c>
    </row>
    <row r="4111" spans="1:26" x14ac:dyDescent="0.2">
      <c r="A4111" s="8">
        <v>4110</v>
      </c>
      <c r="B4111" s="8" t="s">
        <v>18687</v>
      </c>
      <c r="C4111" s="8" t="s">
        <v>18687</v>
      </c>
      <c r="F4111" s="47"/>
      <c r="G4111" s="8">
        <v>18</v>
      </c>
      <c r="H4111" s="8" t="s">
        <v>21</v>
      </c>
      <c r="I4111" s="8" t="s">
        <v>22</v>
      </c>
      <c r="J4111" s="8" t="s">
        <v>22</v>
      </c>
      <c r="K4111" s="8" t="s">
        <v>218</v>
      </c>
      <c r="L4111" s="8" t="s">
        <v>18289</v>
      </c>
      <c r="M4111" s="8" t="s">
        <v>18290</v>
      </c>
      <c r="N4111" s="8" t="s">
        <v>18688</v>
      </c>
      <c r="O4111" s="8">
        <f>12+7/60+3.4/3600</f>
        <v>12.117611111111112</v>
      </c>
      <c r="P4111" s="8" t="s">
        <v>18689</v>
      </c>
      <c r="Q4111" s="8">
        <f>+(18+31/60+55/3600)</f>
        <v>18.531944444444445</v>
      </c>
      <c r="R4111" s="8">
        <v>13.7</v>
      </c>
      <c r="S4111" s="8">
        <v>14.5</v>
      </c>
      <c r="T4111" s="8">
        <v>0.8</v>
      </c>
      <c r="U4111" s="8">
        <v>13.4</v>
      </c>
      <c r="V4111" s="8">
        <v>1.3</v>
      </c>
      <c r="W4111" s="8">
        <v>0.7</v>
      </c>
      <c r="X4111" s="8">
        <v>128</v>
      </c>
      <c r="Y4111" s="8" t="s">
        <v>4065</v>
      </c>
      <c r="Z4111" s="8" t="s">
        <v>4066</v>
      </c>
    </row>
    <row r="4112" spans="1:26" x14ac:dyDescent="0.2">
      <c r="A4112" s="8">
        <v>4111</v>
      </c>
      <c r="B4112" s="8" t="s">
        <v>18690</v>
      </c>
      <c r="C4112" s="8" t="s">
        <v>18690</v>
      </c>
      <c r="F4112" s="47" t="s">
        <v>57175</v>
      </c>
      <c r="G4112" s="8">
        <v>6</v>
      </c>
      <c r="H4112" s="8" t="s">
        <v>21</v>
      </c>
      <c r="I4112" s="8" t="s">
        <v>22</v>
      </c>
      <c r="J4112" s="8" t="s">
        <v>22</v>
      </c>
      <c r="K4112" s="8" t="s">
        <v>632</v>
      </c>
      <c r="L4112" s="8" t="s">
        <v>18681</v>
      </c>
      <c r="M4112" s="8" t="s">
        <v>18682</v>
      </c>
      <c r="N4112" s="8" t="s">
        <v>18691</v>
      </c>
      <c r="O4112" s="8">
        <f>12+7/60+2.9/3600</f>
        <v>12.117472222222222</v>
      </c>
      <c r="P4112" s="8" t="s">
        <v>18692</v>
      </c>
      <c r="Q4112" s="8">
        <f>+(43+4/60+0/3600)</f>
        <v>43.06666666666667</v>
      </c>
      <c r="R4112" s="8">
        <v>10.7</v>
      </c>
      <c r="S4112" s="8">
        <v>11.6</v>
      </c>
      <c r="T4112" s="8">
        <v>0.9</v>
      </c>
      <c r="U4112" s="8">
        <v>12.2</v>
      </c>
      <c r="V4112" s="8">
        <v>4.5999999999999996</v>
      </c>
      <c r="W4112" s="8">
        <v>1</v>
      </c>
      <c r="X4112" s="8">
        <v>150</v>
      </c>
      <c r="Y4112" s="8" t="s">
        <v>18693</v>
      </c>
      <c r="Z4112" s="8" t="s">
        <v>18694</v>
      </c>
    </row>
    <row r="4113" spans="1:26" x14ac:dyDescent="0.2">
      <c r="A4113" s="8">
        <v>4112</v>
      </c>
      <c r="B4113" s="8" t="s">
        <v>18695</v>
      </c>
      <c r="C4113" s="8" t="s">
        <v>18695</v>
      </c>
      <c r="F4113" s="47"/>
      <c r="G4113" s="8">
        <v>16</v>
      </c>
      <c r="H4113" s="8" t="s">
        <v>21</v>
      </c>
      <c r="I4113" s="8" t="s">
        <v>22</v>
      </c>
      <c r="J4113" s="8" t="s">
        <v>22</v>
      </c>
      <c r="K4113" s="8" t="s">
        <v>218</v>
      </c>
      <c r="L4113" s="8" t="s">
        <v>16195</v>
      </c>
      <c r="M4113" s="8" t="s">
        <v>16196</v>
      </c>
      <c r="N4113" s="8" t="s">
        <v>18696</v>
      </c>
      <c r="O4113" s="8">
        <f>12+7/60+9.2/3600</f>
        <v>12.119222222222223</v>
      </c>
      <c r="P4113" s="8" t="s">
        <v>18697</v>
      </c>
      <c r="Q4113" s="8">
        <f>-(40+12/60+28/3600)</f>
        <v>-40.207777777777778</v>
      </c>
      <c r="R4113" s="8">
        <v>12</v>
      </c>
      <c r="S4113" s="8">
        <v>12.8</v>
      </c>
      <c r="T4113" s="8">
        <v>0.8</v>
      </c>
      <c r="U4113" s="8">
        <v>12.2</v>
      </c>
      <c r="V4113" s="8">
        <v>1.6</v>
      </c>
      <c r="W4113" s="8">
        <v>0.9</v>
      </c>
      <c r="X4113" s="8">
        <v>5</v>
      </c>
      <c r="Y4113" s="8" t="s">
        <v>18698</v>
      </c>
      <c r="Z4113" s="8" t="s">
        <v>18699</v>
      </c>
    </row>
    <row r="4114" spans="1:26" x14ac:dyDescent="0.2">
      <c r="A4114" s="8">
        <v>4113</v>
      </c>
      <c r="B4114" s="8" t="s">
        <v>18700</v>
      </c>
      <c r="C4114" s="8" t="s">
        <v>18700</v>
      </c>
      <c r="F4114" s="47"/>
      <c r="G4114" s="8">
        <v>16</v>
      </c>
      <c r="H4114" s="8" t="s">
        <v>21</v>
      </c>
      <c r="I4114" s="8" t="s">
        <v>22</v>
      </c>
      <c r="J4114" s="8" t="s">
        <v>57</v>
      </c>
      <c r="K4114" s="8" t="s">
        <v>406</v>
      </c>
      <c r="L4114" s="8" t="s">
        <v>18289</v>
      </c>
      <c r="M4114" s="8" t="s">
        <v>18290</v>
      </c>
      <c r="N4114" s="8" t="s">
        <v>18701</v>
      </c>
      <c r="O4114" s="8">
        <f>12+7/60+8.5/3600</f>
        <v>12.119027777777779</v>
      </c>
      <c r="P4114" s="8" t="s">
        <v>18702</v>
      </c>
      <c r="Q4114" s="8">
        <f>+(32+59/60+46/3600)</f>
        <v>32.996111111111112</v>
      </c>
      <c r="R4114" s="8">
        <v>14.7</v>
      </c>
      <c r="S4114" s="8">
        <v>15.5</v>
      </c>
      <c r="T4114" s="8">
        <v>0.8</v>
      </c>
      <c r="U4114" s="8">
        <v>13.2</v>
      </c>
      <c r="V4114" s="8">
        <v>0.7</v>
      </c>
      <c r="W4114" s="8">
        <v>0.4</v>
      </c>
      <c r="X4114" s="8">
        <v>68</v>
      </c>
      <c r="Y4114" s="8" t="s">
        <v>47</v>
      </c>
      <c r="Z4114" s="8" t="s">
        <v>48</v>
      </c>
    </row>
    <row r="4115" spans="1:26" x14ac:dyDescent="0.2">
      <c r="A4115" s="8">
        <v>4114</v>
      </c>
      <c r="B4115" s="8" t="s">
        <v>18703</v>
      </c>
      <c r="C4115" s="8" t="s">
        <v>18703</v>
      </c>
      <c r="F4115" s="47" t="s">
        <v>57176</v>
      </c>
      <c r="G4115" s="8">
        <v>15</v>
      </c>
      <c r="H4115" s="8" t="s">
        <v>21</v>
      </c>
      <c r="I4115" s="8" t="s">
        <v>22</v>
      </c>
      <c r="J4115" s="8" t="s">
        <v>22</v>
      </c>
      <c r="K4115" s="8" t="s">
        <v>154</v>
      </c>
      <c r="L4115" s="8" t="s">
        <v>15925</v>
      </c>
      <c r="M4115" s="8" t="s">
        <v>15926</v>
      </c>
      <c r="N4115" s="8" t="s">
        <v>18704</v>
      </c>
      <c r="O4115" s="8">
        <f>12+7/60+12.2/3600</f>
        <v>12.120055555555556</v>
      </c>
      <c r="P4115" s="8" t="s">
        <v>18705</v>
      </c>
      <c r="Q4115" s="8">
        <f>-(14+11/60+5/3600)</f>
        <v>-14.184722222222222</v>
      </c>
      <c r="R4115" s="8">
        <v>13.1</v>
      </c>
      <c r="S4115" s="8">
        <v>14</v>
      </c>
      <c r="T4115" s="8">
        <v>0.9</v>
      </c>
      <c r="U4115" s="8">
        <v>13.3</v>
      </c>
      <c r="V4115" s="8">
        <v>1.8</v>
      </c>
      <c r="W4115" s="8">
        <v>0.8</v>
      </c>
      <c r="X4115" s="8">
        <v>136</v>
      </c>
      <c r="Y4115" s="8" t="s">
        <v>18706</v>
      </c>
      <c r="Z4115" s="8" t="s">
        <v>18707</v>
      </c>
    </row>
    <row r="4116" spans="1:26" x14ac:dyDescent="0.2">
      <c r="A4116" s="8">
        <v>4115</v>
      </c>
      <c r="B4116" s="8" t="s">
        <v>18708</v>
      </c>
      <c r="C4116" s="8" t="s">
        <v>18708</v>
      </c>
      <c r="F4116" s="47"/>
      <c r="G4116" s="8">
        <v>16</v>
      </c>
      <c r="H4116" s="8" t="s">
        <v>21</v>
      </c>
      <c r="I4116" s="8" t="s">
        <v>72</v>
      </c>
      <c r="J4116" s="8" t="s">
        <v>72</v>
      </c>
      <c r="K4116" s="8" t="s">
        <v>20</v>
      </c>
      <c r="L4116" s="8" t="s">
        <v>18289</v>
      </c>
      <c r="M4116" s="8" t="s">
        <v>18290</v>
      </c>
      <c r="N4116" s="8" t="s">
        <v>18709</v>
      </c>
      <c r="O4116" s="8">
        <f>12+7/60+9.4/3600</f>
        <v>12.119277777777778</v>
      </c>
      <c r="P4116" s="8" t="s">
        <v>18710</v>
      </c>
      <c r="Q4116" s="8">
        <f>+(14+24/60+25/3600)</f>
        <v>14.406944444444445</v>
      </c>
      <c r="R4116" s="8">
        <v>99</v>
      </c>
      <c r="S4116" s="8">
        <v>14.8</v>
      </c>
      <c r="T4116" s="8">
        <v>99</v>
      </c>
      <c r="U4116" s="8">
        <v>99</v>
      </c>
      <c r="Y4116" s="8" t="s">
        <v>13844</v>
      </c>
      <c r="Z4116" s="8" t="s">
        <v>13845</v>
      </c>
    </row>
    <row r="4117" spans="1:26" x14ac:dyDescent="0.2">
      <c r="A4117" s="8">
        <v>4116</v>
      </c>
      <c r="B4117" s="8" t="s">
        <v>18711</v>
      </c>
      <c r="C4117" s="8" t="s">
        <v>18711</v>
      </c>
      <c r="F4117" s="47"/>
      <c r="G4117" s="8">
        <v>7</v>
      </c>
      <c r="H4117" s="8" t="s">
        <v>21</v>
      </c>
      <c r="I4117" s="8" t="s">
        <v>22</v>
      </c>
      <c r="J4117" s="8" t="s">
        <v>22</v>
      </c>
      <c r="K4117" s="8" t="s">
        <v>64</v>
      </c>
      <c r="L4117" s="8" t="s">
        <v>17287</v>
      </c>
      <c r="M4117" s="8" t="s">
        <v>17288</v>
      </c>
      <c r="N4117" s="8" t="s">
        <v>18712</v>
      </c>
      <c r="O4117" s="8">
        <f>12+7/60+37/3600</f>
        <v>12.126944444444446</v>
      </c>
      <c r="P4117" s="8" t="s">
        <v>18713</v>
      </c>
      <c r="Q4117" s="8">
        <f>+(2+41/60+28/3600)</f>
        <v>2.6911111111111112</v>
      </c>
      <c r="R4117" s="8">
        <v>12</v>
      </c>
      <c r="S4117" s="8">
        <v>12.4</v>
      </c>
      <c r="T4117" s="8">
        <v>0.4</v>
      </c>
      <c r="U4117" s="8">
        <v>14.2</v>
      </c>
      <c r="V4117" s="8">
        <v>3.8</v>
      </c>
      <c r="W4117" s="8">
        <v>2.2999999999999998</v>
      </c>
      <c r="X4117" s="8">
        <v>155</v>
      </c>
      <c r="Y4117" s="8" t="s">
        <v>18714</v>
      </c>
      <c r="Z4117" s="8" t="s">
        <v>18715</v>
      </c>
    </row>
    <row r="4118" spans="1:26" x14ac:dyDescent="0.2">
      <c r="A4118" s="8">
        <v>4117</v>
      </c>
      <c r="B4118" s="8" t="s">
        <v>18716</v>
      </c>
      <c r="C4118" s="8" t="s">
        <v>18716</v>
      </c>
      <c r="F4118" s="47" t="s">
        <v>57177</v>
      </c>
      <c r="G4118" s="8">
        <v>15</v>
      </c>
      <c r="H4118" s="8" t="s">
        <v>21</v>
      </c>
      <c r="I4118" s="8" t="s">
        <v>22</v>
      </c>
      <c r="J4118" s="8" t="s">
        <v>22</v>
      </c>
      <c r="K4118" s="8" t="s">
        <v>37</v>
      </c>
      <c r="L4118" s="8" t="s">
        <v>18681</v>
      </c>
      <c r="M4118" s="8" t="s">
        <v>18682</v>
      </c>
      <c r="N4118" s="8" t="s">
        <v>18717</v>
      </c>
      <c r="O4118" s="8">
        <f>12+7/60+46.1/3600</f>
        <v>12.129472222222223</v>
      </c>
      <c r="P4118" s="8" t="s">
        <v>18718</v>
      </c>
      <c r="Q4118" s="8">
        <f>+(43+7/60+35/3600)</f>
        <v>43.12638888888889</v>
      </c>
      <c r="R4118" s="8">
        <v>13</v>
      </c>
      <c r="S4118" s="8">
        <v>14</v>
      </c>
      <c r="T4118" s="8">
        <v>1</v>
      </c>
      <c r="U4118" s="8">
        <v>13.4</v>
      </c>
      <c r="V4118" s="8">
        <v>1.8</v>
      </c>
      <c r="W4118" s="8">
        <v>0.9</v>
      </c>
      <c r="X4118" s="8">
        <v>18</v>
      </c>
      <c r="Y4118" s="8" t="s">
        <v>282</v>
      </c>
      <c r="Z4118" s="8" t="s">
        <v>283</v>
      </c>
    </row>
    <row r="4119" spans="1:26" x14ac:dyDescent="0.2">
      <c r="A4119" s="8">
        <v>4118</v>
      </c>
      <c r="B4119" s="8" t="s">
        <v>18719</v>
      </c>
      <c r="C4119" s="8" t="s">
        <v>18719</v>
      </c>
      <c r="F4119" s="47"/>
      <c r="G4119" s="8">
        <v>18</v>
      </c>
      <c r="H4119" s="8" t="s">
        <v>21</v>
      </c>
      <c r="I4119" s="8" t="s">
        <v>22</v>
      </c>
      <c r="J4119" s="8" t="s">
        <v>22</v>
      </c>
      <c r="K4119" s="8" t="s">
        <v>632</v>
      </c>
      <c r="L4119" s="8" t="s">
        <v>18681</v>
      </c>
      <c r="M4119" s="8" t="s">
        <v>18682</v>
      </c>
      <c r="N4119" s="8" t="s">
        <v>18720</v>
      </c>
      <c r="O4119" s="8">
        <f>12+7/60+52.9/3600</f>
        <v>12.131361111111111</v>
      </c>
      <c r="P4119" s="8" t="s">
        <v>18721</v>
      </c>
      <c r="Q4119" s="8">
        <f>+(43+6/60+41/3600)</f>
        <v>43.111388888888889</v>
      </c>
      <c r="R4119" s="8">
        <v>14.6</v>
      </c>
      <c r="S4119" s="8">
        <v>15.5</v>
      </c>
      <c r="T4119" s="8">
        <v>0.9</v>
      </c>
      <c r="U4119" s="8">
        <v>13.1</v>
      </c>
      <c r="V4119" s="8">
        <v>0.7</v>
      </c>
      <c r="W4119" s="8">
        <v>0.4</v>
      </c>
      <c r="X4119" s="8">
        <v>135</v>
      </c>
      <c r="Y4119" s="8" t="s">
        <v>18722</v>
      </c>
      <c r="Z4119" s="8" t="s">
        <v>18723</v>
      </c>
    </row>
    <row r="4120" spans="1:26" x14ac:dyDescent="0.2">
      <c r="A4120" s="8">
        <v>4119</v>
      </c>
      <c r="B4120" s="8" t="s">
        <v>18724</v>
      </c>
      <c r="C4120" s="8" t="s">
        <v>18724</v>
      </c>
      <c r="F4120" s="47" t="s">
        <v>57178</v>
      </c>
      <c r="G4120" s="8">
        <v>15</v>
      </c>
      <c r="H4120" s="8" t="s">
        <v>21</v>
      </c>
      <c r="I4120" s="8" t="s">
        <v>22</v>
      </c>
      <c r="J4120" s="8" t="s">
        <v>22</v>
      </c>
      <c r="K4120" s="8" t="s">
        <v>632</v>
      </c>
      <c r="L4120" s="8" t="s">
        <v>17287</v>
      </c>
      <c r="M4120" s="8" t="s">
        <v>17288</v>
      </c>
      <c r="N4120" s="8" t="s">
        <v>18725</v>
      </c>
      <c r="O4120" s="8">
        <f>12+8/60+9.5/3600</f>
        <v>12.135972222222222</v>
      </c>
      <c r="P4120" s="8" t="s">
        <v>18726</v>
      </c>
      <c r="Q4120" s="8">
        <f>+(10+22/60+44/3600)</f>
        <v>10.378888888888889</v>
      </c>
      <c r="R4120" s="8">
        <v>11.4</v>
      </c>
      <c r="S4120" s="8">
        <v>12.2</v>
      </c>
      <c r="T4120" s="8">
        <v>0.8</v>
      </c>
      <c r="U4120" s="8">
        <v>13.2</v>
      </c>
      <c r="V4120" s="8">
        <v>4.3</v>
      </c>
      <c r="W4120" s="8">
        <v>1.4</v>
      </c>
      <c r="X4120" s="8">
        <v>114</v>
      </c>
      <c r="Y4120" s="8" t="s">
        <v>18727</v>
      </c>
      <c r="Z4120" s="8" t="s">
        <v>18728</v>
      </c>
    </row>
    <row r="4121" spans="1:26" x14ac:dyDescent="0.2">
      <c r="A4121" s="8">
        <v>4120</v>
      </c>
      <c r="B4121" s="8" t="s">
        <v>18729</v>
      </c>
      <c r="C4121" s="8" t="s">
        <v>18729</v>
      </c>
      <c r="F4121" s="47" t="s">
        <v>57179</v>
      </c>
      <c r="G4121" s="8">
        <v>15</v>
      </c>
      <c r="H4121" s="8" t="s">
        <v>21</v>
      </c>
      <c r="I4121" s="8" t="s">
        <v>22</v>
      </c>
      <c r="J4121" s="8" t="s">
        <v>22</v>
      </c>
      <c r="K4121" s="8" t="s">
        <v>579</v>
      </c>
      <c r="L4121" s="8" t="s">
        <v>13395</v>
      </c>
      <c r="M4121" s="8" t="s">
        <v>13396</v>
      </c>
      <c r="N4121" s="8" t="s">
        <v>18730</v>
      </c>
      <c r="O4121" s="8">
        <f>12+8/60+31.4/3600</f>
        <v>12.142055555555554</v>
      </c>
      <c r="P4121" s="8" t="s">
        <v>18731</v>
      </c>
      <c r="Q4121" s="8">
        <f>+(69+32/60+40/3600)</f>
        <v>69.544444444444437</v>
      </c>
      <c r="R4121" s="8">
        <v>13.5</v>
      </c>
      <c r="S4121" s="8">
        <v>14.2</v>
      </c>
      <c r="T4121" s="8">
        <v>0.7</v>
      </c>
      <c r="U4121" s="8">
        <v>12.9</v>
      </c>
      <c r="V4121" s="8">
        <v>1.7</v>
      </c>
      <c r="W4121" s="8">
        <v>0.4</v>
      </c>
      <c r="X4121" s="8">
        <v>166</v>
      </c>
      <c r="Y4121" s="8" t="s">
        <v>10948</v>
      </c>
      <c r="Z4121" s="8" t="s">
        <v>10949</v>
      </c>
    </row>
    <row r="4122" spans="1:26" x14ac:dyDescent="0.2">
      <c r="A4122" s="8">
        <v>4121</v>
      </c>
      <c r="B4122" s="8" t="s">
        <v>18732</v>
      </c>
      <c r="C4122" s="8" t="s">
        <v>18732</v>
      </c>
      <c r="F4122" s="47"/>
      <c r="G4122" s="8">
        <v>18</v>
      </c>
      <c r="H4122" s="8" t="s">
        <v>21</v>
      </c>
      <c r="I4122" s="8" t="s">
        <v>22</v>
      </c>
      <c r="J4122" s="8" t="s">
        <v>22</v>
      </c>
      <c r="K4122" s="8" t="s">
        <v>460</v>
      </c>
      <c r="L4122" s="8" t="s">
        <v>13395</v>
      </c>
      <c r="M4122" s="8" t="s">
        <v>13396</v>
      </c>
      <c r="N4122" s="8" t="s">
        <v>18733</v>
      </c>
      <c r="O4122" s="8">
        <f>12+7/60+56.5/3600</f>
        <v>12.132361111111111</v>
      </c>
      <c r="P4122" s="8" t="s">
        <v>18734</v>
      </c>
      <c r="Q4122" s="8">
        <f>+(65+6/60+52/3600)</f>
        <v>65.114444444444445</v>
      </c>
      <c r="R4122" s="8">
        <v>13.5</v>
      </c>
      <c r="S4122" s="8">
        <v>14.5</v>
      </c>
      <c r="T4122" s="8">
        <v>1</v>
      </c>
      <c r="U4122" s="8">
        <v>13.3</v>
      </c>
      <c r="V4122" s="8">
        <v>0.4</v>
      </c>
      <c r="W4122" s="8">
        <v>0.4</v>
      </c>
      <c r="Y4122" s="8" t="s">
        <v>18735</v>
      </c>
      <c r="Z4122" s="8" t="s">
        <v>18736</v>
      </c>
    </row>
    <row r="4123" spans="1:26" x14ac:dyDescent="0.2">
      <c r="A4123" s="8">
        <v>4122</v>
      </c>
      <c r="B4123" s="8" t="s">
        <v>18737</v>
      </c>
      <c r="C4123" s="8" t="s">
        <v>18737</v>
      </c>
      <c r="F4123" s="47"/>
      <c r="G4123" s="8">
        <v>16</v>
      </c>
      <c r="H4123" s="8" t="s">
        <v>21</v>
      </c>
      <c r="I4123" s="8" t="s">
        <v>22</v>
      </c>
      <c r="J4123" s="8" t="s">
        <v>22</v>
      </c>
      <c r="K4123" s="8" t="s">
        <v>406</v>
      </c>
      <c r="L4123" s="8" t="s">
        <v>18289</v>
      </c>
      <c r="M4123" s="8" t="s">
        <v>18290</v>
      </c>
      <c r="N4123" s="8" t="s">
        <v>18701</v>
      </c>
      <c r="O4123" s="8">
        <f>12+7/60+8.5/3600</f>
        <v>12.119027777777779</v>
      </c>
      <c r="P4123" s="8" t="s">
        <v>18702</v>
      </c>
      <c r="Q4123" s="8">
        <f>+(32+59/60+46/3600)</f>
        <v>32.996111111111112</v>
      </c>
      <c r="R4123" s="8">
        <v>14.7</v>
      </c>
      <c r="S4123" s="8">
        <v>15.5</v>
      </c>
      <c r="T4123" s="8">
        <v>0.8</v>
      </c>
      <c r="U4123" s="8">
        <v>13.2</v>
      </c>
      <c r="V4123" s="8">
        <v>0.7</v>
      </c>
      <c r="W4123" s="8">
        <v>0.4</v>
      </c>
      <c r="X4123" s="8">
        <v>68</v>
      </c>
      <c r="Y4123" s="8" t="s">
        <v>47</v>
      </c>
      <c r="Z4123" s="8" t="s">
        <v>18738</v>
      </c>
    </row>
    <row r="4124" spans="1:26" x14ac:dyDescent="0.2">
      <c r="A4124" s="8">
        <v>4123</v>
      </c>
      <c r="B4124" s="8" t="s">
        <v>18739</v>
      </c>
      <c r="C4124" s="8" t="s">
        <v>18739</v>
      </c>
      <c r="F4124" s="47" t="s">
        <v>57180</v>
      </c>
      <c r="G4124" s="8">
        <v>7</v>
      </c>
      <c r="H4124" s="8" t="s">
        <v>21</v>
      </c>
      <c r="I4124" s="8" t="s">
        <v>22</v>
      </c>
      <c r="J4124" s="8" t="s">
        <v>22</v>
      </c>
      <c r="K4124" s="8" t="s">
        <v>218</v>
      </c>
      <c r="L4124" s="8" t="s">
        <v>17287</v>
      </c>
      <c r="M4124" s="8" t="s">
        <v>17288</v>
      </c>
      <c r="N4124" s="8" t="s">
        <v>18740</v>
      </c>
      <c r="O4124" s="8">
        <f>12+8/60+11.2/3600</f>
        <v>12.136444444444445</v>
      </c>
      <c r="P4124" s="8" t="s">
        <v>18741</v>
      </c>
      <c r="Q4124" s="8">
        <f>+(2+52/60+42/3600)</f>
        <v>2.8783333333333334</v>
      </c>
      <c r="R4124" s="8">
        <v>11.4</v>
      </c>
      <c r="S4124" s="8">
        <v>12</v>
      </c>
      <c r="T4124" s="8">
        <v>0.6</v>
      </c>
      <c r="U4124" s="8">
        <v>14.1</v>
      </c>
      <c r="V4124" s="8">
        <v>4.3</v>
      </c>
      <c r="W4124" s="8">
        <v>3.2</v>
      </c>
      <c r="X4124" s="8">
        <v>135</v>
      </c>
      <c r="Y4124" s="8" t="s">
        <v>18742</v>
      </c>
      <c r="Z4124" s="8" t="s">
        <v>18743</v>
      </c>
    </row>
    <row r="4125" spans="1:26" x14ac:dyDescent="0.2">
      <c r="A4125" s="8">
        <v>4124</v>
      </c>
      <c r="B4125" s="8" t="s">
        <v>18744</v>
      </c>
      <c r="C4125" s="8" t="s">
        <v>18744</v>
      </c>
      <c r="F4125" s="47" t="s">
        <v>57181</v>
      </c>
      <c r="G4125" s="8">
        <v>6.5</v>
      </c>
      <c r="H4125" s="8" t="s">
        <v>21</v>
      </c>
      <c r="I4125" s="8" t="s">
        <v>22</v>
      </c>
      <c r="J4125" s="8" t="s">
        <v>57</v>
      </c>
      <c r="K4125" s="8" t="s">
        <v>632</v>
      </c>
      <c r="L4125" s="8" t="s">
        <v>17287</v>
      </c>
      <c r="M4125" s="8" t="s">
        <v>17288</v>
      </c>
      <c r="N4125" s="8" t="s">
        <v>18725</v>
      </c>
      <c r="O4125" s="8">
        <f>12+8/60+9.5/3600</f>
        <v>12.135972222222222</v>
      </c>
      <c r="P4125" s="8" t="s">
        <v>18726</v>
      </c>
      <c r="Q4125" s="8">
        <f>+(10+22/60+44/3600)</f>
        <v>10.378888888888889</v>
      </c>
      <c r="R4125" s="8">
        <v>11.4</v>
      </c>
      <c r="S4125" s="8">
        <v>12.2</v>
      </c>
      <c r="T4125" s="8">
        <v>0.8</v>
      </c>
      <c r="U4125" s="8">
        <v>13.2</v>
      </c>
      <c r="V4125" s="8">
        <v>4.3</v>
      </c>
      <c r="W4125" s="8">
        <v>1.4</v>
      </c>
      <c r="X4125" s="8">
        <v>114</v>
      </c>
      <c r="Y4125" s="8" t="s">
        <v>18727</v>
      </c>
      <c r="Z4125" s="8" t="s">
        <v>18745</v>
      </c>
    </row>
    <row r="4126" spans="1:26" x14ac:dyDescent="0.2">
      <c r="A4126" s="8">
        <v>4125</v>
      </c>
      <c r="B4126" s="8" t="s">
        <v>18746</v>
      </c>
      <c r="C4126" s="8" t="s">
        <v>18746</v>
      </c>
      <c r="F4126" s="47"/>
      <c r="G4126" s="8">
        <v>5</v>
      </c>
      <c r="H4126" s="8" t="s">
        <v>21</v>
      </c>
      <c r="I4126" s="8" t="s">
        <v>22</v>
      </c>
      <c r="J4126" s="8" t="s">
        <v>22</v>
      </c>
      <c r="K4126" s="8" t="s">
        <v>18747</v>
      </c>
      <c r="L4126" s="8" t="s">
        <v>13395</v>
      </c>
      <c r="M4126" s="8" t="s">
        <v>13396</v>
      </c>
      <c r="N4126" s="8" t="s">
        <v>18748</v>
      </c>
      <c r="O4126" s="8">
        <f>12+8/60+5.5/3600</f>
        <v>12.13486111111111</v>
      </c>
      <c r="P4126" s="8" t="s">
        <v>18749</v>
      </c>
      <c r="Q4126" s="8">
        <f>+(65+10/60+28/3600)</f>
        <v>65.174444444444447</v>
      </c>
      <c r="R4126" s="8">
        <v>9.6999999999999993</v>
      </c>
      <c r="S4126" s="8">
        <v>10.7</v>
      </c>
      <c r="T4126" s="8">
        <v>1</v>
      </c>
      <c r="U4126" s="8">
        <v>12.9</v>
      </c>
      <c r="V4126" s="8">
        <v>5.8</v>
      </c>
      <c r="W4126" s="8">
        <v>3.2</v>
      </c>
      <c r="X4126" s="8">
        <v>81</v>
      </c>
      <c r="Y4126" s="8" t="s">
        <v>18750</v>
      </c>
      <c r="Z4126" s="8" t="s">
        <v>18751</v>
      </c>
    </row>
    <row r="4127" spans="1:26" x14ac:dyDescent="0.2">
      <c r="A4127" s="8">
        <v>4126</v>
      </c>
      <c r="B4127" s="8" t="s">
        <v>18752</v>
      </c>
      <c r="C4127" s="8" t="s">
        <v>18752</v>
      </c>
      <c r="F4127" s="47" t="s">
        <v>57182</v>
      </c>
      <c r="G4127" s="8">
        <v>15</v>
      </c>
      <c r="H4127" s="8" t="s">
        <v>21</v>
      </c>
      <c r="I4127" s="8" t="s">
        <v>22</v>
      </c>
      <c r="J4127" s="8" t="s">
        <v>22</v>
      </c>
      <c r="K4127" s="8" t="s">
        <v>37</v>
      </c>
      <c r="L4127" s="8" t="s">
        <v>18289</v>
      </c>
      <c r="M4127" s="8" t="s">
        <v>18290</v>
      </c>
      <c r="N4127" s="8" t="s">
        <v>18753</v>
      </c>
      <c r="O4127" s="8">
        <f>12+8/60+37.4/3600</f>
        <v>12.143722222222221</v>
      </c>
      <c r="P4127" s="8" t="s">
        <v>18754</v>
      </c>
      <c r="Q4127" s="8">
        <f>+(16+8/60+35/3600)</f>
        <v>16.143055555555556</v>
      </c>
      <c r="R4127" s="8">
        <v>13.4</v>
      </c>
      <c r="S4127" s="8">
        <v>14.4</v>
      </c>
      <c r="T4127" s="8">
        <v>1</v>
      </c>
      <c r="U4127" s="8">
        <v>13</v>
      </c>
      <c r="V4127" s="8">
        <v>1.1000000000000001</v>
      </c>
      <c r="W4127" s="8">
        <v>0.8</v>
      </c>
      <c r="X4127" s="8">
        <v>0</v>
      </c>
      <c r="Y4127" s="8" t="s">
        <v>18755</v>
      </c>
      <c r="Z4127" s="8" t="s">
        <v>18756</v>
      </c>
    </row>
    <row r="4128" spans="1:26" x14ac:dyDescent="0.2">
      <c r="A4128" s="8">
        <v>4127</v>
      </c>
      <c r="B4128" s="8" t="s">
        <v>18757</v>
      </c>
      <c r="C4128" s="8" t="s">
        <v>18757</v>
      </c>
      <c r="F4128" s="47" t="s">
        <v>57183</v>
      </c>
      <c r="G4128" s="8">
        <v>15</v>
      </c>
      <c r="H4128" s="8" t="s">
        <v>21</v>
      </c>
      <c r="I4128" s="8" t="s">
        <v>22</v>
      </c>
      <c r="J4128" s="8" t="s">
        <v>22</v>
      </c>
      <c r="K4128" s="8" t="s">
        <v>160</v>
      </c>
      <c r="L4128" s="8" t="s">
        <v>6823</v>
      </c>
      <c r="M4128" s="8" t="s">
        <v>6824</v>
      </c>
      <c r="N4128" s="8" t="s">
        <v>18758</v>
      </c>
      <c r="O4128" s="8">
        <f>12+8/60+25.8/3600</f>
        <v>12.140499999999999</v>
      </c>
      <c r="P4128" s="8" t="s">
        <v>18759</v>
      </c>
      <c r="Q4128" s="8">
        <f>+(76+48/60+16/3600)</f>
        <v>76.804444444444442</v>
      </c>
      <c r="R4128" s="8">
        <v>12.7</v>
      </c>
      <c r="S4128" s="8">
        <v>13.4</v>
      </c>
      <c r="T4128" s="8">
        <v>0.7</v>
      </c>
      <c r="U4128" s="8">
        <v>13.7</v>
      </c>
      <c r="V4128" s="8">
        <v>2.5</v>
      </c>
      <c r="W4128" s="8">
        <v>1.2</v>
      </c>
      <c r="X4128" s="8">
        <v>140</v>
      </c>
      <c r="Y4128" s="8" t="s">
        <v>18760</v>
      </c>
      <c r="Z4128" s="8" t="s">
        <v>18761</v>
      </c>
    </row>
    <row r="4129" spans="1:26" x14ac:dyDescent="0.2">
      <c r="A4129" s="8">
        <v>4128</v>
      </c>
      <c r="B4129" s="8" t="s">
        <v>18762</v>
      </c>
      <c r="C4129" s="8" t="s">
        <v>18762</v>
      </c>
      <c r="F4129" s="47" t="s">
        <v>57184</v>
      </c>
      <c r="G4129" s="8">
        <v>12</v>
      </c>
      <c r="H4129" s="8" t="s">
        <v>21</v>
      </c>
      <c r="I4129" s="8" t="s">
        <v>22</v>
      </c>
      <c r="J4129" s="8" t="s">
        <v>22</v>
      </c>
      <c r="K4129" s="8" t="s">
        <v>37</v>
      </c>
      <c r="L4129" s="8" t="s">
        <v>13395</v>
      </c>
      <c r="M4129" s="8" t="s">
        <v>13396</v>
      </c>
      <c r="N4129" s="8" t="s">
        <v>18763</v>
      </c>
      <c r="O4129" s="8">
        <f>12+8/60+32.2/3600</f>
        <v>12.142277777777778</v>
      </c>
      <c r="P4129" s="8" t="s">
        <v>18764</v>
      </c>
      <c r="Q4129" s="8">
        <f>+(68+46/60+5/3600)</f>
        <v>68.768055555555549</v>
      </c>
      <c r="R4129" s="8">
        <v>12</v>
      </c>
      <c r="S4129" s="8">
        <v>12.9</v>
      </c>
      <c r="T4129" s="8">
        <v>0.9</v>
      </c>
      <c r="U4129" s="8">
        <v>12.8</v>
      </c>
      <c r="V4129" s="8">
        <v>2.4</v>
      </c>
      <c r="W4129" s="8">
        <v>0.9</v>
      </c>
      <c r="X4129" s="8">
        <v>67</v>
      </c>
      <c r="Y4129" s="8" t="s">
        <v>18765</v>
      </c>
      <c r="Z4129" s="8" t="s">
        <v>18766</v>
      </c>
    </row>
    <row r="4130" spans="1:26" x14ac:dyDescent="0.2">
      <c r="A4130" s="8">
        <v>4129</v>
      </c>
      <c r="B4130" s="8" t="s">
        <v>18767</v>
      </c>
      <c r="C4130" s="8" t="s">
        <v>18767</v>
      </c>
      <c r="F4130" s="47" t="s">
        <v>57185</v>
      </c>
      <c r="G4130" s="8">
        <v>13</v>
      </c>
      <c r="H4130" s="8" t="s">
        <v>21</v>
      </c>
      <c r="I4130" s="8" t="s">
        <v>22</v>
      </c>
      <c r="J4130" s="8" t="s">
        <v>22</v>
      </c>
      <c r="K4130" s="8" t="s">
        <v>406</v>
      </c>
      <c r="L4130" s="8" t="s">
        <v>17287</v>
      </c>
      <c r="M4130" s="8" t="s">
        <v>17288</v>
      </c>
      <c r="N4130" s="8" t="s">
        <v>18768</v>
      </c>
      <c r="O4130" s="8">
        <f>12+8/60+53.2/3600</f>
        <v>12.14811111111111</v>
      </c>
      <c r="P4130" s="8" t="s">
        <v>18769</v>
      </c>
      <c r="Q4130" s="8">
        <f>-(9+2/60+12/3600)</f>
        <v>-9.0366666666666671</v>
      </c>
      <c r="R4130" s="8">
        <v>12.5</v>
      </c>
      <c r="S4130" s="8">
        <v>13.1</v>
      </c>
      <c r="T4130" s="8">
        <v>0.6</v>
      </c>
      <c r="U4130" s="8">
        <v>12.8</v>
      </c>
      <c r="V4130" s="8">
        <v>2.2999999999999998</v>
      </c>
      <c r="W4130" s="8">
        <v>0.6</v>
      </c>
      <c r="X4130" s="8">
        <v>93</v>
      </c>
      <c r="Y4130" s="8" t="s">
        <v>18770</v>
      </c>
      <c r="Z4130" s="8" t="s">
        <v>18771</v>
      </c>
    </row>
    <row r="4131" spans="1:26" x14ac:dyDescent="0.2">
      <c r="A4131" s="8">
        <v>4130</v>
      </c>
      <c r="B4131" s="8" t="s">
        <v>18772</v>
      </c>
      <c r="C4131" s="8" t="s">
        <v>18772</v>
      </c>
      <c r="F4131" s="47"/>
      <c r="G4131" s="8">
        <v>18</v>
      </c>
      <c r="H4131" s="8" t="s">
        <v>21</v>
      </c>
      <c r="I4131" s="8" t="s">
        <v>22</v>
      </c>
      <c r="J4131" s="8" t="s">
        <v>57</v>
      </c>
      <c r="K4131" s="8" t="s">
        <v>406</v>
      </c>
      <c r="L4131" s="8" t="s">
        <v>17287</v>
      </c>
      <c r="M4131" s="8" t="s">
        <v>17288</v>
      </c>
      <c r="N4131" s="8" t="s">
        <v>18768</v>
      </c>
      <c r="O4131" s="8">
        <f>12+8/60+53.2/3600</f>
        <v>12.14811111111111</v>
      </c>
      <c r="P4131" s="8" t="s">
        <v>18769</v>
      </c>
      <c r="Q4131" s="8">
        <f>-(9+2/60+12/3600)</f>
        <v>-9.0366666666666671</v>
      </c>
      <c r="R4131" s="8">
        <v>12.5</v>
      </c>
      <c r="S4131" s="8">
        <v>13.1</v>
      </c>
      <c r="T4131" s="8">
        <v>0.6</v>
      </c>
      <c r="U4131" s="8">
        <v>12.8</v>
      </c>
      <c r="V4131" s="8">
        <v>2.2999999999999998</v>
      </c>
      <c r="W4131" s="8">
        <v>0.6</v>
      </c>
      <c r="X4131" s="8">
        <v>93</v>
      </c>
      <c r="Y4131" s="8" t="s">
        <v>18770</v>
      </c>
      <c r="Z4131" s="8" t="s">
        <v>18773</v>
      </c>
    </row>
    <row r="4132" spans="1:26" x14ac:dyDescent="0.2">
      <c r="A4132" s="8">
        <v>4131</v>
      </c>
      <c r="B4132" s="8" t="s">
        <v>18774</v>
      </c>
      <c r="C4132" s="8" t="s">
        <v>18774</v>
      </c>
      <c r="F4132" s="47" t="s">
        <v>57186</v>
      </c>
      <c r="G4132" s="8">
        <v>15</v>
      </c>
      <c r="H4132" s="8" t="s">
        <v>21</v>
      </c>
      <c r="I4132" s="8" t="s">
        <v>22</v>
      </c>
      <c r="J4132" s="8" t="s">
        <v>22</v>
      </c>
      <c r="K4132" s="8" t="s">
        <v>435</v>
      </c>
      <c r="L4132" s="8" t="s">
        <v>18289</v>
      </c>
      <c r="M4132" s="8" t="s">
        <v>18290</v>
      </c>
      <c r="N4132" s="8" t="s">
        <v>18775</v>
      </c>
      <c r="O4132" s="8">
        <f>12+8/60+47.1/3600</f>
        <v>12.146416666666665</v>
      </c>
      <c r="P4132" s="8" t="s">
        <v>18776</v>
      </c>
      <c r="Q4132" s="8">
        <f>+(29+18/60+17/3600)</f>
        <v>29.304722222222225</v>
      </c>
      <c r="R4132" s="8">
        <v>13.3</v>
      </c>
      <c r="S4132" s="8">
        <v>14.2</v>
      </c>
      <c r="T4132" s="8">
        <v>0.9</v>
      </c>
      <c r="U4132" s="8">
        <v>13</v>
      </c>
      <c r="V4132" s="8">
        <v>1.4</v>
      </c>
      <c r="W4132" s="8">
        <v>0.7</v>
      </c>
      <c r="X4132" s="8">
        <v>73</v>
      </c>
      <c r="Y4132" s="8" t="s">
        <v>18777</v>
      </c>
      <c r="Z4132" s="8" t="s">
        <v>18778</v>
      </c>
    </row>
    <row r="4133" spans="1:26" x14ac:dyDescent="0.2">
      <c r="A4133" s="8">
        <v>4132</v>
      </c>
      <c r="B4133" s="8" t="s">
        <v>18779</v>
      </c>
      <c r="C4133" s="8" t="s">
        <v>18779</v>
      </c>
      <c r="F4133" s="47" t="s">
        <v>57187</v>
      </c>
      <c r="G4133" s="8">
        <v>15</v>
      </c>
      <c r="H4133" s="8" t="s">
        <v>21</v>
      </c>
      <c r="I4133" s="8" t="s">
        <v>22</v>
      </c>
      <c r="J4133" s="8" t="s">
        <v>22</v>
      </c>
      <c r="K4133" s="8" t="s">
        <v>91</v>
      </c>
      <c r="L4133" s="8" t="s">
        <v>18289</v>
      </c>
      <c r="M4133" s="8" t="s">
        <v>18290</v>
      </c>
      <c r="N4133" s="8" t="s">
        <v>18780</v>
      </c>
      <c r="O4133" s="8">
        <f>12+9/60+1.5/3600</f>
        <v>12.150416666666667</v>
      </c>
      <c r="P4133" s="8" t="s">
        <v>18781</v>
      </c>
      <c r="Q4133" s="8">
        <f>+(29+15/60+1/3600)</f>
        <v>29.250277777777779</v>
      </c>
      <c r="R4133" s="8">
        <v>14</v>
      </c>
      <c r="S4133" s="8">
        <v>14.9</v>
      </c>
      <c r="T4133" s="8">
        <v>0.9</v>
      </c>
      <c r="U4133" s="8">
        <v>12.6</v>
      </c>
      <c r="V4133" s="8">
        <v>1.1000000000000001</v>
      </c>
      <c r="W4133" s="8">
        <v>0.3</v>
      </c>
      <c r="X4133" s="8">
        <v>21</v>
      </c>
      <c r="Y4133" s="8" t="s">
        <v>18782</v>
      </c>
      <c r="Z4133" s="8" t="s">
        <v>18783</v>
      </c>
    </row>
    <row r="4134" spans="1:26" x14ac:dyDescent="0.2">
      <c r="A4134" s="8">
        <v>4133</v>
      </c>
      <c r="B4134" s="8" t="s">
        <v>18784</v>
      </c>
      <c r="C4134" s="8" t="s">
        <v>18784</v>
      </c>
      <c r="F4134" s="47" t="s">
        <v>57188</v>
      </c>
      <c r="G4134" s="8">
        <v>6.5</v>
      </c>
      <c r="H4134" s="8" t="s">
        <v>21</v>
      </c>
      <c r="I4134" s="8" t="s">
        <v>22</v>
      </c>
      <c r="J4134" s="8" t="s">
        <v>22</v>
      </c>
      <c r="K4134" s="8" t="s">
        <v>218</v>
      </c>
      <c r="L4134" s="8" t="s">
        <v>13395</v>
      </c>
      <c r="M4134" s="8" t="s">
        <v>13396</v>
      </c>
      <c r="N4134" s="8" t="s">
        <v>18785</v>
      </c>
      <c r="O4134" s="8">
        <f>12+8/60+49.3/3600</f>
        <v>12.147027777777778</v>
      </c>
      <c r="P4134" s="8" t="s">
        <v>18786</v>
      </c>
      <c r="Q4134" s="8">
        <f>+(74+54/60+16/3600)</f>
        <v>74.904444444444451</v>
      </c>
      <c r="R4134" s="8">
        <v>12.3</v>
      </c>
      <c r="S4134" s="8">
        <v>13.1</v>
      </c>
      <c r="T4134" s="8">
        <v>0.8</v>
      </c>
      <c r="U4134" s="8">
        <v>13.1</v>
      </c>
      <c r="V4134" s="8">
        <v>1.8</v>
      </c>
      <c r="W4134" s="8">
        <v>1.3</v>
      </c>
      <c r="X4134" s="8">
        <v>125</v>
      </c>
      <c r="Y4134" s="8" t="s">
        <v>18787</v>
      </c>
      <c r="Z4134" s="8" t="s">
        <v>18788</v>
      </c>
    </row>
    <row r="4135" spans="1:26" x14ac:dyDescent="0.2">
      <c r="A4135" s="8">
        <v>4134</v>
      </c>
      <c r="B4135" s="8" t="s">
        <v>18789</v>
      </c>
      <c r="C4135" s="8" t="s">
        <v>18789</v>
      </c>
      <c r="F4135" s="47" t="s">
        <v>57189</v>
      </c>
      <c r="G4135" s="8">
        <v>15</v>
      </c>
      <c r="H4135" s="8" t="s">
        <v>21</v>
      </c>
      <c r="I4135" s="8" t="s">
        <v>22</v>
      </c>
      <c r="J4135" s="8" t="s">
        <v>22</v>
      </c>
      <c r="K4135" s="8" t="s">
        <v>23</v>
      </c>
      <c r="L4135" s="8" t="s">
        <v>18289</v>
      </c>
      <c r="M4135" s="8" t="s">
        <v>18290</v>
      </c>
      <c r="N4135" s="8" t="s">
        <v>18790</v>
      </c>
      <c r="O4135" s="8">
        <f>12+9/60+9.9/3600</f>
        <v>12.152750000000001</v>
      </c>
      <c r="P4135" s="8" t="s">
        <v>18791</v>
      </c>
      <c r="Q4135" s="8">
        <f>+(29+10/60+37/3600)</f>
        <v>29.176944444444445</v>
      </c>
      <c r="R4135" s="8">
        <v>12.8</v>
      </c>
      <c r="S4135" s="8">
        <v>13.6</v>
      </c>
      <c r="T4135" s="8">
        <v>0.8</v>
      </c>
      <c r="U4135" s="8">
        <v>13.4</v>
      </c>
      <c r="V4135" s="8">
        <v>2.2000000000000002</v>
      </c>
      <c r="W4135" s="8">
        <v>0.9</v>
      </c>
      <c r="X4135" s="8">
        <v>150</v>
      </c>
      <c r="Y4135" s="8" t="s">
        <v>18792</v>
      </c>
      <c r="Z4135" s="8" t="s">
        <v>18793</v>
      </c>
    </row>
    <row r="4136" spans="1:26" x14ac:dyDescent="0.2">
      <c r="A4136" s="8">
        <v>4135</v>
      </c>
      <c r="B4136" s="8" t="s">
        <v>18794</v>
      </c>
      <c r="C4136" s="8" t="s">
        <v>18794</v>
      </c>
      <c r="F4136" s="47"/>
      <c r="G4136" s="8">
        <v>19</v>
      </c>
      <c r="H4136" s="8" t="s">
        <v>21</v>
      </c>
      <c r="I4136" s="8" t="s">
        <v>22</v>
      </c>
      <c r="J4136" s="8" t="s">
        <v>22</v>
      </c>
      <c r="K4136" s="8" t="s">
        <v>85</v>
      </c>
      <c r="L4136" s="8" t="s">
        <v>18681</v>
      </c>
      <c r="M4136" s="8" t="s">
        <v>18682</v>
      </c>
      <c r="N4136" s="8" t="s">
        <v>18795</v>
      </c>
      <c r="O4136" s="8">
        <f>12+9/60+8.8/3600</f>
        <v>12.152444444444445</v>
      </c>
      <c r="P4136" s="8" t="s">
        <v>18796</v>
      </c>
      <c r="Q4136" s="8">
        <f>+(44+0/60+13/3600)</f>
        <v>44.003611111111113</v>
      </c>
      <c r="R4136" s="8">
        <v>13.9</v>
      </c>
      <c r="S4136" s="8">
        <v>14.7</v>
      </c>
      <c r="T4136" s="8">
        <v>0.8</v>
      </c>
      <c r="U4136" s="8">
        <v>13.2</v>
      </c>
      <c r="V4136" s="8">
        <v>1</v>
      </c>
      <c r="W4136" s="8">
        <v>0.6</v>
      </c>
      <c r="X4136" s="8">
        <v>87</v>
      </c>
      <c r="Y4136" s="8" t="s">
        <v>18797</v>
      </c>
      <c r="Z4136" s="8" t="s">
        <v>18798</v>
      </c>
    </row>
    <row r="4137" spans="1:26" x14ac:dyDescent="0.2">
      <c r="A4137" s="8">
        <v>4136</v>
      </c>
      <c r="B4137" s="8" t="s">
        <v>18799</v>
      </c>
      <c r="C4137" s="8" t="s">
        <v>18799</v>
      </c>
      <c r="F4137" s="47" t="s">
        <v>57190</v>
      </c>
      <c r="G4137" s="8">
        <v>6.5</v>
      </c>
      <c r="H4137" s="8" t="s">
        <v>21</v>
      </c>
      <c r="I4137" s="8" t="s">
        <v>22</v>
      </c>
      <c r="J4137" s="8" t="s">
        <v>22</v>
      </c>
      <c r="K4137" s="8" t="s">
        <v>64</v>
      </c>
      <c r="L4137" s="8" t="s">
        <v>18289</v>
      </c>
      <c r="M4137" s="8" t="s">
        <v>18290</v>
      </c>
      <c r="N4137" s="8" t="s">
        <v>18800</v>
      </c>
      <c r="O4137" s="8">
        <f>12+9/60+17.8/3600</f>
        <v>12.154944444444444</v>
      </c>
      <c r="P4137" s="8" t="s">
        <v>18801</v>
      </c>
      <c r="Q4137" s="8">
        <f>+(29+55/60+40/3600)</f>
        <v>29.927777777777781</v>
      </c>
      <c r="R4137" s="8">
        <v>11.1</v>
      </c>
      <c r="S4137" s="8">
        <v>11.8</v>
      </c>
      <c r="T4137" s="8">
        <v>0.7</v>
      </c>
      <c r="U4137" s="8">
        <v>13.8</v>
      </c>
      <c r="V4137" s="8">
        <v>3.9</v>
      </c>
      <c r="W4137" s="8">
        <v>3.6</v>
      </c>
      <c r="X4137" s="8">
        <v>90</v>
      </c>
      <c r="Y4137" s="8" t="s">
        <v>18802</v>
      </c>
      <c r="Z4137" s="8" t="s">
        <v>18803</v>
      </c>
    </row>
    <row r="4138" spans="1:26" x14ac:dyDescent="0.2">
      <c r="A4138" s="8">
        <v>4137</v>
      </c>
      <c r="B4138" s="8" t="s">
        <v>18804</v>
      </c>
      <c r="C4138" s="8" t="s">
        <v>18804</v>
      </c>
      <c r="F4138" s="47"/>
      <c r="G4138" s="8">
        <v>19</v>
      </c>
      <c r="H4138" s="8" t="s">
        <v>21</v>
      </c>
      <c r="I4138" s="8" t="s">
        <v>22</v>
      </c>
      <c r="J4138" s="8" t="s">
        <v>22</v>
      </c>
      <c r="K4138" s="8" t="s">
        <v>64</v>
      </c>
      <c r="L4138" s="8" t="s">
        <v>18681</v>
      </c>
      <c r="M4138" s="8" t="s">
        <v>18682</v>
      </c>
      <c r="N4138" s="8" t="s">
        <v>18805</v>
      </c>
      <c r="O4138" s="8">
        <f>12+9/60+17.4/3600</f>
        <v>12.154833333333334</v>
      </c>
      <c r="P4138" s="8" t="s">
        <v>18806</v>
      </c>
      <c r="Q4138" s="8">
        <f>+(44+5/60+24/3600)</f>
        <v>44.09</v>
      </c>
      <c r="R4138" s="8">
        <v>14.1</v>
      </c>
      <c r="S4138" s="8">
        <v>14.8</v>
      </c>
      <c r="T4138" s="8">
        <v>0.7</v>
      </c>
      <c r="U4138" s="8">
        <v>13.7</v>
      </c>
      <c r="V4138" s="8">
        <v>1.1000000000000001</v>
      </c>
      <c r="W4138" s="8">
        <v>0.7</v>
      </c>
      <c r="X4138" s="8">
        <v>54</v>
      </c>
      <c r="Y4138" s="8" t="s">
        <v>18807</v>
      </c>
      <c r="Z4138" s="8" t="s">
        <v>18808</v>
      </c>
    </row>
    <row r="4139" spans="1:26" x14ac:dyDescent="0.2">
      <c r="A4139" s="8">
        <v>4138</v>
      </c>
      <c r="B4139" s="8" t="s">
        <v>18809</v>
      </c>
      <c r="C4139" s="8" t="s">
        <v>18809</v>
      </c>
      <c r="F4139" s="47" t="s">
        <v>57191</v>
      </c>
      <c r="G4139" s="8">
        <v>6.5</v>
      </c>
      <c r="H4139" s="8" t="s">
        <v>21</v>
      </c>
      <c r="I4139" s="8" t="s">
        <v>22</v>
      </c>
      <c r="J4139" s="8" t="s">
        <v>22</v>
      </c>
      <c r="K4139" s="8" t="s">
        <v>632</v>
      </c>
      <c r="L4139" s="8" t="s">
        <v>18681</v>
      </c>
      <c r="M4139" s="8" t="s">
        <v>18682</v>
      </c>
      <c r="N4139" s="8" t="s">
        <v>18810</v>
      </c>
      <c r="O4139" s="8">
        <f>12+9/60+29.7/3600</f>
        <v>12.158250000000001</v>
      </c>
      <c r="P4139" s="8" t="s">
        <v>18811</v>
      </c>
      <c r="Q4139" s="8">
        <f>+(43+41/60+8/3600)</f>
        <v>43.685555555555553</v>
      </c>
      <c r="R4139" s="8">
        <v>11.3</v>
      </c>
      <c r="S4139" s="8">
        <v>12.2</v>
      </c>
      <c r="T4139" s="8">
        <v>0.9</v>
      </c>
      <c r="U4139" s="8">
        <v>12.8</v>
      </c>
      <c r="V4139" s="8">
        <v>2.6</v>
      </c>
      <c r="W4139" s="8">
        <v>1.7</v>
      </c>
      <c r="X4139" s="8">
        <v>150</v>
      </c>
      <c r="Y4139" s="8" t="s">
        <v>18812</v>
      </c>
      <c r="Z4139" s="8" t="s">
        <v>18813</v>
      </c>
    </row>
    <row r="4140" spans="1:26" x14ac:dyDescent="0.2">
      <c r="A4140" s="8">
        <v>4139</v>
      </c>
      <c r="B4140" s="8" t="s">
        <v>18814</v>
      </c>
      <c r="C4140" s="8" t="s">
        <v>18814</v>
      </c>
      <c r="F4140" s="47"/>
      <c r="G4140" s="8">
        <v>18</v>
      </c>
      <c r="H4140" s="8" t="s">
        <v>21</v>
      </c>
      <c r="I4140" s="8" t="s">
        <v>22</v>
      </c>
      <c r="J4140" s="8" t="s">
        <v>22</v>
      </c>
      <c r="K4140" s="8" t="s">
        <v>224</v>
      </c>
      <c r="L4140" s="8" t="s">
        <v>17287</v>
      </c>
      <c r="M4140" s="8" t="s">
        <v>17288</v>
      </c>
      <c r="N4140" s="8" t="s">
        <v>18815</v>
      </c>
      <c r="O4140" s="8">
        <f>12+4/60+34/3600</f>
        <v>12.076111111111111</v>
      </c>
      <c r="P4140" s="8" t="s">
        <v>18816</v>
      </c>
      <c r="Q4140" s="8">
        <f>+(1+48/60+5/3600)</f>
        <v>1.8013888888888889</v>
      </c>
      <c r="R4140" s="8">
        <v>13.7</v>
      </c>
      <c r="S4140" s="8">
        <v>14.7</v>
      </c>
      <c r="T4140" s="8">
        <v>1</v>
      </c>
      <c r="U4140" s="8">
        <v>12.8</v>
      </c>
      <c r="V4140" s="8">
        <v>1</v>
      </c>
      <c r="W4140" s="8">
        <v>0.5</v>
      </c>
      <c r="X4140" s="8">
        <v>153</v>
      </c>
      <c r="Y4140" s="8" t="s">
        <v>18817</v>
      </c>
      <c r="Z4140" s="8" t="s">
        <v>18818</v>
      </c>
    </row>
    <row r="4141" spans="1:26" x14ac:dyDescent="0.2">
      <c r="A4141" s="8">
        <v>4140</v>
      </c>
      <c r="B4141" s="8" t="s">
        <v>18819</v>
      </c>
      <c r="C4141" s="8" t="s">
        <v>18819</v>
      </c>
      <c r="F4141" s="47"/>
      <c r="G4141" s="8">
        <v>18</v>
      </c>
      <c r="H4141" s="8" t="s">
        <v>21</v>
      </c>
      <c r="I4141" s="8" t="s">
        <v>22</v>
      </c>
      <c r="J4141" s="8" t="s">
        <v>57</v>
      </c>
      <c r="K4141" s="8" t="s">
        <v>224</v>
      </c>
      <c r="L4141" s="8" t="s">
        <v>17287</v>
      </c>
      <c r="M4141" s="8" t="s">
        <v>17288</v>
      </c>
      <c r="N4141" s="8" t="s">
        <v>18547</v>
      </c>
      <c r="O4141" s="8">
        <f>12+4/60+38/3600</f>
        <v>12.077222222222222</v>
      </c>
      <c r="P4141" s="8" t="s">
        <v>18548</v>
      </c>
      <c r="Q4141" s="8">
        <f>+(1+47/60+18/3600)</f>
        <v>1.7883333333333331</v>
      </c>
      <c r="R4141" s="8">
        <v>13.3</v>
      </c>
      <c r="S4141" s="8">
        <v>14.3</v>
      </c>
      <c r="T4141" s="8">
        <v>1</v>
      </c>
      <c r="U4141" s="8">
        <v>13.3</v>
      </c>
      <c r="V4141" s="8">
        <v>1.2</v>
      </c>
      <c r="W4141" s="8">
        <v>0.9</v>
      </c>
      <c r="X4141" s="8">
        <v>15</v>
      </c>
      <c r="Y4141" s="8" t="s">
        <v>18820</v>
      </c>
      <c r="Z4141" s="8" t="s">
        <v>18821</v>
      </c>
    </row>
    <row r="4142" spans="1:26" x14ac:dyDescent="0.2">
      <c r="A4142" s="8">
        <v>4141</v>
      </c>
      <c r="B4142" s="8" t="s">
        <v>18822</v>
      </c>
      <c r="C4142" s="8" t="s">
        <v>18822</v>
      </c>
      <c r="F4142" s="47" t="s">
        <v>57192</v>
      </c>
      <c r="G4142" s="8">
        <v>15</v>
      </c>
      <c r="H4142" s="8" t="s">
        <v>21</v>
      </c>
      <c r="I4142" s="8" t="s">
        <v>22</v>
      </c>
      <c r="J4142" s="8" t="s">
        <v>22</v>
      </c>
      <c r="K4142" s="8" t="s">
        <v>64</v>
      </c>
      <c r="L4142" s="8" t="s">
        <v>12015</v>
      </c>
      <c r="M4142" s="8" t="s">
        <v>12016</v>
      </c>
      <c r="N4142" s="8" t="s">
        <v>18823</v>
      </c>
      <c r="O4142" s="8">
        <f>12+9/60+47.4/3600</f>
        <v>12.163166666666667</v>
      </c>
      <c r="P4142" s="8" t="s">
        <v>18824</v>
      </c>
      <c r="Q4142" s="8">
        <f>+(58+50/60+58/3600)</f>
        <v>58.849444444444444</v>
      </c>
      <c r="R4142" s="8">
        <v>13.7</v>
      </c>
      <c r="S4142" s="8">
        <v>14.4</v>
      </c>
      <c r="T4142" s="8">
        <v>0.7</v>
      </c>
      <c r="U4142" s="8">
        <v>13.7</v>
      </c>
      <c r="V4142" s="8">
        <v>1.3</v>
      </c>
      <c r="W4142" s="8">
        <v>0.9</v>
      </c>
      <c r="X4142" s="8">
        <v>75</v>
      </c>
      <c r="Y4142" s="8" t="s">
        <v>18825</v>
      </c>
      <c r="Z4142" s="8" t="s">
        <v>18826</v>
      </c>
    </row>
    <row r="4143" spans="1:26" x14ac:dyDescent="0.2">
      <c r="A4143" s="8">
        <v>4142</v>
      </c>
      <c r="B4143" s="8" t="s">
        <v>18827</v>
      </c>
      <c r="C4143" s="8" t="s">
        <v>18827</v>
      </c>
      <c r="F4143" s="47" t="s">
        <v>57193</v>
      </c>
      <c r="G4143" s="8">
        <v>15</v>
      </c>
      <c r="H4143" s="8" t="s">
        <v>21</v>
      </c>
      <c r="I4143" s="8" t="s">
        <v>22</v>
      </c>
      <c r="J4143" s="8" t="s">
        <v>22</v>
      </c>
      <c r="K4143" s="8" t="s">
        <v>1277</v>
      </c>
      <c r="L4143" s="8" t="s">
        <v>12015</v>
      </c>
      <c r="M4143" s="8" t="s">
        <v>12016</v>
      </c>
      <c r="N4143" s="8" t="s">
        <v>18828</v>
      </c>
      <c r="O4143" s="8">
        <f>12+9/60+30.2/3600</f>
        <v>12.15838888888889</v>
      </c>
      <c r="P4143" s="8" t="s">
        <v>18829</v>
      </c>
      <c r="Q4143" s="8">
        <f>+(53+6/60+14/3600)</f>
        <v>53.103888888888889</v>
      </c>
      <c r="R4143" s="8">
        <v>13.3</v>
      </c>
      <c r="S4143" s="8">
        <v>14</v>
      </c>
      <c r="T4143" s="8">
        <v>0.7</v>
      </c>
      <c r="U4143" s="8">
        <v>14.2</v>
      </c>
      <c r="V4143" s="8">
        <v>2.2000000000000002</v>
      </c>
      <c r="W4143" s="8">
        <v>1.2</v>
      </c>
      <c r="X4143" s="8">
        <v>175</v>
      </c>
      <c r="Y4143" s="8" t="s">
        <v>18830</v>
      </c>
      <c r="Z4143" s="8" t="s">
        <v>18831</v>
      </c>
    </row>
    <row r="4144" spans="1:26" x14ac:dyDescent="0.2">
      <c r="A4144" s="8">
        <v>4143</v>
      </c>
      <c r="B4144" s="8" t="s">
        <v>18832</v>
      </c>
      <c r="C4144" s="8" t="s">
        <v>18832</v>
      </c>
      <c r="F4144" s="47" t="s">
        <v>57194</v>
      </c>
      <c r="G4144" s="8">
        <v>6</v>
      </c>
      <c r="H4144" s="8" t="s">
        <v>21</v>
      </c>
      <c r="I4144" s="8" t="s">
        <v>22</v>
      </c>
      <c r="J4144" s="8" t="s">
        <v>22</v>
      </c>
      <c r="K4144" s="8" t="s">
        <v>224</v>
      </c>
      <c r="L4144" s="8" t="s">
        <v>18681</v>
      </c>
      <c r="M4144" s="8" t="s">
        <v>18682</v>
      </c>
      <c r="N4144" s="8" t="s">
        <v>18833</v>
      </c>
      <c r="O4144" s="8">
        <f>12+9/60+36.2/3600</f>
        <v>12.160055555555555</v>
      </c>
      <c r="P4144" s="8" t="s">
        <v>18834</v>
      </c>
      <c r="Q4144" s="8">
        <f>+(42+32/60+4/3600)</f>
        <v>42.534444444444439</v>
      </c>
      <c r="R4144" s="8">
        <v>10.9</v>
      </c>
      <c r="S4144" s="8">
        <v>11.8</v>
      </c>
      <c r="T4144" s="8">
        <v>0.9</v>
      </c>
      <c r="U4144" s="8">
        <v>12</v>
      </c>
      <c r="V4144" s="8">
        <v>2.2999999999999998</v>
      </c>
      <c r="W4144" s="8">
        <v>1.4</v>
      </c>
      <c r="X4144" s="8">
        <v>144</v>
      </c>
      <c r="Y4144" s="8" t="s">
        <v>18835</v>
      </c>
      <c r="Z4144" s="8" t="s">
        <v>18836</v>
      </c>
    </row>
    <row r="4145" spans="1:26" x14ac:dyDescent="0.2">
      <c r="A4145" s="8">
        <v>4144</v>
      </c>
      <c r="B4145" s="8" t="s">
        <v>18837</v>
      </c>
      <c r="C4145" s="8" t="s">
        <v>18837</v>
      </c>
      <c r="F4145" s="47" t="s">
        <v>57195</v>
      </c>
      <c r="G4145" s="8">
        <v>6.5</v>
      </c>
      <c r="H4145" s="8" t="s">
        <v>21</v>
      </c>
      <c r="I4145" s="8" t="s">
        <v>22</v>
      </c>
      <c r="J4145" s="8" t="s">
        <v>22</v>
      </c>
      <c r="K4145" s="8" t="s">
        <v>64</v>
      </c>
      <c r="L4145" s="8" t="s">
        <v>12015</v>
      </c>
      <c r="M4145" s="8" t="s">
        <v>12016</v>
      </c>
      <c r="N4145" s="8" t="s">
        <v>18838</v>
      </c>
      <c r="O4145" s="8">
        <f>12+9/60+59.3/3600</f>
        <v>12.166472222222222</v>
      </c>
      <c r="P4145" s="8" t="s">
        <v>18839</v>
      </c>
      <c r="Q4145" s="8">
        <f>+(46+27/60+26/3600)</f>
        <v>46.457222222222228</v>
      </c>
      <c r="R4145" s="8">
        <v>11.6</v>
      </c>
      <c r="S4145" s="8">
        <v>12.1</v>
      </c>
      <c r="T4145" s="8">
        <v>0.5</v>
      </c>
      <c r="U4145" s="8">
        <v>13.7</v>
      </c>
      <c r="V4145" s="8">
        <v>6.1</v>
      </c>
      <c r="W4145" s="8">
        <v>1.5</v>
      </c>
      <c r="X4145" s="8">
        <v>104</v>
      </c>
      <c r="Y4145" s="8" t="s">
        <v>18840</v>
      </c>
      <c r="Z4145" s="8" t="s">
        <v>18841</v>
      </c>
    </row>
    <row r="4146" spans="1:26" x14ac:dyDescent="0.2">
      <c r="A4146" s="8">
        <v>4145</v>
      </c>
      <c r="B4146" s="8" t="s">
        <v>18842</v>
      </c>
      <c r="C4146" s="8" t="s">
        <v>18842</v>
      </c>
      <c r="F4146" s="47" t="s">
        <v>57196</v>
      </c>
      <c r="G4146" s="8">
        <v>7</v>
      </c>
      <c r="H4146" s="8" t="s">
        <v>21</v>
      </c>
      <c r="I4146" s="8" t="s">
        <v>22</v>
      </c>
      <c r="J4146" s="8" t="s">
        <v>22</v>
      </c>
      <c r="K4146" s="8" t="s">
        <v>1277</v>
      </c>
      <c r="L4146" s="8" t="s">
        <v>18681</v>
      </c>
      <c r="M4146" s="8" t="s">
        <v>18682</v>
      </c>
      <c r="N4146" s="8" t="s">
        <v>18843</v>
      </c>
      <c r="O4146" s="8">
        <f>12+10/60+1.7/3600</f>
        <v>12.167138888888889</v>
      </c>
      <c r="P4146" s="8" t="s">
        <v>18844</v>
      </c>
      <c r="Q4146" s="8">
        <f>+(39+52/60+58/3600)</f>
        <v>39.882777777777775</v>
      </c>
      <c r="R4146" s="8">
        <v>11.3</v>
      </c>
      <c r="S4146" s="8">
        <v>11.8</v>
      </c>
      <c r="T4146" s="8">
        <v>0.5</v>
      </c>
      <c r="U4146" s="8">
        <v>14.6</v>
      </c>
      <c r="V4146" s="8">
        <v>5.9</v>
      </c>
      <c r="W4146" s="8">
        <v>4.0999999999999996</v>
      </c>
      <c r="X4146" s="8">
        <v>100</v>
      </c>
      <c r="Y4146" s="8" t="s">
        <v>18845</v>
      </c>
      <c r="Z4146" s="8" t="s">
        <v>18846</v>
      </c>
    </row>
    <row r="4147" spans="1:26" x14ac:dyDescent="0.2">
      <c r="A4147" s="8">
        <v>4146</v>
      </c>
      <c r="B4147" s="8" t="s">
        <v>18847</v>
      </c>
      <c r="C4147" s="8" t="s">
        <v>18847</v>
      </c>
      <c r="F4147" s="47" t="s">
        <v>57197</v>
      </c>
      <c r="G4147" s="8">
        <v>15</v>
      </c>
      <c r="H4147" s="8" t="s">
        <v>21</v>
      </c>
      <c r="I4147" s="8" t="s">
        <v>22</v>
      </c>
      <c r="J4147" s="8" t="s">
        <v>22</v>
      </c>
      <c r="K4147" s="8" t="s">
        <v>406</v>
      </c>
      <c r="L4147" s="8" t="s">
        <v>18289</v>
      </c>
      <c r="M4147" s="8" t="s">
        <v>18290</v>
      </c>
      <c r="N4147" s="8" t="s">
        <v>18848</v>
      </c>
      <c r="O4147" s="8">
        <f>12+10/60+18.2/3600</f>
        <v>12.171722222222222</v>
      </c>
      <c r="P4147" s="8" t="s">
        <v>18849</v>
      </c>
      <c r="Q4147" s="8">
        <f>+(26+25/60+52/3600)</f>
        <v>26.431111111111111</v>
      </c>
      <c r="R4147" s="8">
        <v>12.7</v>
      </c>
      <c r="S4147" s="8">
        <v>13.5</v>
      </c>
      <c r="T4147" s="8">
        <v>0.8</v>
      </c>
      <c r="U4147" s="8">
        <v>13.2</v>
      </c>
      <c r="V4147" s="8">
        <v>1.4</v>
      </c>
      <c r="W4147" s="8">
        <v>1.2</v>
      </c>
      <c r="X4147" s="8">
        <v>66</v>
      </c>
      <c r="Y4147" s="8" t="s">
        <v>4007</v>
      </c>
      <c r="Z4147" s="8" t="s">
        <v>4008</v>
      </c>
    </row>
    <row r="4148" spans="1:26" x14ac:dyDescent="0.2">
      <c r="A4148" s="8">
        <v>4147</v>
      </c>
      <c r="B4148" s="8" t="s">
        <v>18850</v>
      </c>
      <c r="C4148" s="8" t="s">
        <v>18850</v>
      </c>
      <c r="F4148" s="47" t="s">
        <v>57198</v>
      </c>
      <c r="G4148" s="8">
        <v>6</v>
      </c>
      <c r="H4148" s="8" t="s">
        <v>18851</v>
      </c>
      <c r="I4148" s="8" t="s">
        <v>567</v>
      </c>
      <c r="J4148" s="8" t="s">
        <v>57</v>
      </c>
      <c r="K4148" s="8" t="s">
        <v>10621</v>
      </c>
      <c r="L4148" s="8" t="s">
        <v>18289</v>
      </c>
      <c r="M4148" s="8" t="s">
        <v>18290</v>
      </c>
      <c r="N4148" s="8" t="s">
        <v>18852</v>
      </c>
      <c r="O4148" s="8">
        <f>12+10/60+6.2/3600</f>
        <v>12.168388888888888</v>
      </c>
      <c r="P4148" s="8" t="s">
        <v>18853</v>
      </c>
      <c r="Q4148" s="8">
        <f>+(18+32/60+33/3600)</f>
        <v>18.5425</v>
      </c>
      <c r="R4148" s="8">
        <v>10.4</v>
      </c>
      <c r="S4148" s="8">
        <v>99</v>
      </c>
      <c r="T4148" s="8">
        <v>99</v>
      </c>
      <c r="U4148" s="8">
        <v>99</v>
      </c>
      <c r="V4148" s="8">
        <v>4.4000000000000004</v>
      </c>
      <c r="Y4148" s="8" t="s">
        <v>18854</v>
      </c>
      <c r="Z4148" s="8" t="s">
        <v>18855</v>
      </c>
    </row>
    <row r="4149" spans="1:26" x14ac:dyDescent="0.2">
      <c r="A4149" s="8">
        <v>4148</v>
      </c>
      <c r="B4149" s="8" t="s">
        <v>18856</v>
      </c>
      <c r="C4149" s="8" t="s">
        <v>18856</v>
      </c>
      <c r="F4149" s="47"/>
      <c r="G4149" s="8">
        <v>18</v>
      </c>
      <c r="H4149" s="8" t="s">
        <v>21</v>
      </c>
      <c r="I4149" s="8" t="s">
        <v>22</v>
      </c>
      <c r="J4149" s="8" t="s">
        <v>22</v>
      </c>
      <c r="K4149" s="8" t="s">
        <v>632</v>
      </c>
      <c r="L4149" s="8" t="s">
        <v>18681</v>
      </c>
      <c r="M4149" s="8" t="s">
        <v>18682</v>
      </c>
      <c r="N4149" s="8" t="s">
        <v>18857</v>
      </c>
      <c r="O4149" s="8">
        <f>12+10/60+7.9/3600</f>
        <v>12.168861111111111</v>
      </c>
      <c r="P4149" s="8" t="s">
        <v>18858</v>
      </c>
      <c r="Q4149" s="8">
        <f>+(35+52/60+42/3600)</f>
        <v>35.87833333333333</v>
      </c>
      <c r="R4149" s="8">
        <v>13.3</v>
      </c>
      <c r="S4149" s="8">
        <v>14.2</v>
      </c>
      <c r="T4149" s="8">
        <v>0.9</v>
      </c>
      <c r="U4149" s="8">
        <v>13.6</v>
      </c>
      <c r="V4149" s="8">
        <v>1.5</v>
      </c>
      <c r="W4149" s="8">
        <v>1</v>
      </c>
      <c r="X4149" s="8">
        <v>165</v>
      </c>
      <c r="Y4149" s="8" t="s">
        <v>18859</v>
      </c>
      <c r="Z4149" s="8" t="s">
        <v>18860</v>
      </c>
    </row>
    <row r="4150" spans="1:26" x14ac:dyDescent="0.2">
      <c r="A4150" s="8">
        <v>4149</v>
      </c>
      <c r="B4150" s="8" t="s">
        <v>18861</v>
      </c>
      <c r="C4150" s="8" t="s">
        <v>18861</v>
      </c>
      <c r="F4150" s="47" t="s">
        <v>57199</v>
      </c>
      <c r="G4150" s="8">
        <v>15</v>
      </c>
      <c r="H4150" s="8" t="s">
        <v>21</v>
      </c>
      <c r="I4150" s="8" t="s">
        <v>22</v>
      </c>
      <c r="J4150" s="8" t="s">
        <v>22</v>
      </c>
      <c r="K4150" s="8" t="s">
        <v>476</v>
      </c>
      <c r="L4150" s="8" t="s">
        <v>12015</v>
      </c>
      <c r="M4150" s="8" t="s">
        <v>12016</v>
      </c>
      <c r="N4150" s="8" t="s">
        <v>18862</v>
      </c>
      <c r="O4150" s="8">
        <f>12+10/60+32.8/3600</f>
        <v>12.175777777777776</v>
      </c>
      <c r="P4150" s="8" t="s">
        <v>18863</v>
      </c>
      <c r="Q4150" s="8">
        <f>+(58+18/60+14/3600)</f>
        <v>58.303888888888885</v>
      </c>
      <c r="R4150" s="8">
        <v>13.2</v>
      </c>
      <c r="S4150" s="8">
        <v>14.1</v>
      </c>
      <c r="T4150" s="8">
        <v>0.9</v>
      </c>
      <c r="U4150" s="8">
        <v>12</v>
      </c>
      <c r="V4150" s="8">
        <v>1.3</v>
      </c>
      <c r="W4150" s="8">
        <v>0.3</v>
      </c>
      <c r="X4150" s="8">
        <v>87</v>
      </c>
      <c r="Y4150" s="8" t="s">
        <v>1664</v>
      </c>
      <c r="Z4150" s="8" t="s">
        <v>1665</v>
      </c>
    </row>
    <row r="4151" spans="1:26" x14ac:dyDescent="0.2">
      <c r="A4151" s="8">
        <v>4150</v>
      </c>
      <c r="B4151" s="8" t="s">
        <v>18864</v>
      </c>
      <c r="C4151" s="8" t="s">
        <v>18864</v>
      </c>
      <c r="F4151" s="47" t="s">
        <v>57200</v>
      </c>
      <c r="G4151" s="8">
        <v>6</v>
      </c>
      <c r="H4151" s="8" t="s">
        <v>21</v>
      </c>
      <c r="I4151" s="8" t="s">
        <v>22</v>
      </c>
      <c r="J4151" s="8" t="s">
        <v>22</v>
      </c>
      <c r="K4151" s="8" t="s">
        <v>37</v>
      </c>
      <c r="L4151" s="8" t="s">
        <v>18289</v>
      </c>
      <c r="M4151" s="8" t="s">
        <v>18290</v>
      </c>
      <c r="N4151" s="8" t="s">
        <v>18865</v>
      </c>
      <c r="O4151" s="8">
        <f>12+10/60+33.6/3600</f>
        <v>12.176</v>
      </c>
      <c r="P4151" s="8" t="s">
        <v>18866</v>
      </c>
      <c r="Q4151" s="8">
        <f>+(30+24/60+7/3600)</f>
        <v>30.401944444444442</v>
      </c>
      <c r="R4151" s="8">
        <v>11.6</v>
      </c>
      <c r="S4151" s="8">
        <v>12.4</v>
      </c>
      <c r="T4151" s="8">
        <v>0.8</v>
      </c>
      <c r="U4151" s="8">
        <v>13</v>
      </c>
      <c r="V4151" s="8">
        <v>2.2999999999999998</v>
      </c>
      <c r="W4151" s="8">
        <v>1.6</v>
      </c>
      <c r="X4151" s="8">
        <v>147</v>
      </c>
      <c r="Y4151" s="8" t="s">
        <v>18867</v>
      </c>
      <c r="Z4151" s="8" t="s">
        <v>18868</v>
      </c>
    </row>
    <row r="4152" spans="1:26" x14ac:dyDescent="0.2">
      <c r="A4152" s="8">
        <v>4151</v>
      </c>
      <c r="B4152" s="8" t="s">
        <v>18869</v>
      </c>
      <c r="C4152" s="8" t="s">
        <v>18869</v>
      </c>
      <c r="F4152" s="47" t="s">
        <v>57201</v>
      </c>
      <c r="G4152" s="8">
        <v>6</v>
      </c>
      <c r="H4152" s="8" t="s">
        <v>21</v>
      </c>
      <c r="I4152" s="8" t="s">
        <v>22</v>
      </c>
      <c r="J4152" s="8" t="s">
        <v>22</v>
      </c>
      <c r="K4152" s="8" t="s">
        <v>406</v>
      </c>
      <c r="L4152" s="8" t="s">
        <v>18681</v>
      </c>
      <c r="M4152" s="8" t="s">
        <v>18682</v>
      </c>
      <c r="N4152" s="8" t="s">
        <v>18870</v>
      </c>
      <c r="O4152" s="8">
        <f>12+10/60+32.3/3600</f>
        <v>12.175638888888889</v>
      </c>
      <c r="P4152" s="8" t="s">
        <v>18871</v>
      </c>
      <c r="Q4152" s="8">
        <f>+(39+24/60+24/3600)</f>
        <v>39.406666666666666</v>
      </c>
      <c r="R4152" s="8">
        <v>10.8</v>
      </c>
      <c r="S4152" s="8">
        <v>11.5</v>
      </c>
      <c r="T4152" s="8">
        <v>0.7</v>
      </c>
      <c r="U4152" s="8">
        <v>14.2</v>
      </c>
      <c r="V4152" s="8">
        <v>6.3</v>
      </c>
      <c r="W4152" s="8">
        <v>4.5</v>
      </c>
      <c r="X4152" s="8">
        <v>146</v>
      </c>
      <c r="Y4152" s="8" t="s">
        <v>18872</v>
      </c>
      <c r="Z4152" s="8" t="s">
        <v>18873</v>
      </c>
    </row>
    <row r="4153" spans="1:26" x14ac:dyDescent="0.2">
      <c r="A4153" s="8">
        <v>4152</v>
      </c>
      <c r="B4153" s="8" t="s">
        <v>18874</v>
      </c>
      <c r="C4153" s="8" t="s">
        <v>18874</v>
      </c>
      <c r="F4153" s="47" t="s">
        <v>57202</v>
      </c>
      <c r="G4153" s="8">
        <v>6.5</v>
      </c>
      <c r="H4153" s="8" t="s">
        <v>21</v>
      </c>
      <c r="I4153" s="8" t="s">
        <v>22</v>
      </c>
      <c r="J4153" s="8" t="s">
        <v>22</v>
      </c>
      <c r="K4153" s="8" t="s">
        <v>64</v>
      </c>
      <c r="L4153" s="8" t="s">
        <v>18289</v>
      </c>
      <c r="M4153" s="8" t="s">
        <v>18290</v>
      </c>
      <c r="N4153" s="8" t="s">
        <v>18875</v>
      </c>
      <c r="O4153" s="8">
        <f>12+10/60+37.5/3600</f>
        <v>12.177083333333332</v>
      </c>
      <c r="P4153" s="8" t="s">
        <v>18876</v>
      </c>
      <c r="Q4153" s="8">
        <f>+(16+1/60+59/3600)</f>
        <v>16.033055555555556</v>
      </c>
      <c r="R4153" s="8">
        <v>12.2</v>
      </c>
      <c r="S4153" s="8">
        <v>12.7</v>
      </c>
      <c r="T4153" s="8">
        <v>0.5</v>
      </c>
      <c r="U4153" s="8">
        <v>13.5</v>
      </c>
      <c r="V4153" s="8">
        <v>2.2999999999999998</v>
      </c>
      <c r="W4153" s="8">
        <v>1.9</v>
      </c>
      <c r="X4153" s="8">
        <v>115</v>
      </c>
      <c r="Y4153" s="8" t="s">
        <v>18877</v>
      </c>
      <c r="Z4153" s="8" t="s">
        <v>18878</v>
      </c>
    </row>
    <row r="4154" spans="1:26" x14ac:dyDescent="0.2">
      <c r="A4154" s="8">
        <v>4153</v>
      </c>
      <c r="B4154" s="8" t="s">
        <v>18879</v>
      </c>
      <c r="C4154" s="8" t="s">
        <v>18879</v>
      </c>
      <c r="F4154" s="47" t="s">
        <v>57203</v>
      </c>
      <c r="G4154" s="8">
        <v>15</v>
      </c>
      <c r="H4154" s="8" t="s">
        <v>21</v>
      </c>
      <c r="I4154" s="8" t="s">
        <v>567</v>
      </c>
      <c r="J4154" s="8" t="s">
        <v>567</v>
      </c>
      <c r="K4154" s="8" t="s">
        <v>10621</v>
      </c>
      <c r="L4154" s="8" t="s">
        <v>18289</v>
      </c>
      <c r="M4154" s="8" t="s">
        <v>18290</v>
      </c>
      <c r="N4154" s="8" t="s">
        <v>18852</v>
      </c>
      <c r="O4154" s="8">
        <f>12+10/60+6.2/3600</f>
        <v>12.168388888888888</v>
      </c>
      <c r="P4154" s="8" t="s">
        <v>18853</v>
      </c>
      <c r="Q4154" s="8">
        <f>+(18+32/60+33/3600)</f>
        <v>18.5425</v>
      </c>
      <c r="R4154" s="8">
        <v>10.4</v>
      </c>
      <c r="S4154" s="8">
        <v>99</v>
      </c>
      <c r="T4154" s="8">
        <v>99</v>
      </c>
      <c r="U4154" s="8">
        <v>99</v>
      </c>
      <c r="V4154" s="8">
        <v>4.4000000000000004</v>
      </c>
      <c r="Y4154" s="8" t="s">
        <v>18880</v>
      </c>
      <c r="Z4154" s="8" t="s">
        <v>18881</v>
      </c>
    </row>
    <row r="4155" spans="1:26" x14ac:dyDescent="0.2">
      <c r="A4155" s="8">
        <v>4154</v>
      </c>
      <c r="B4155" s="8" t="s">
        <v>18882</v>
      </c>
      <c r="C4155" s="8" t="s">
        <v>18882</v>
      </c>
      <c r="F4155" s="47" t="s">
        <v>57204</v>
      </c>
      <c r="G4155" s="8">
        <v>15</v>
      </c>
      <c r="H4155" s="8" t="s">
        <v>21</v>
      </c>
      <c r="I4155" s="8" t="s">
        <v>22</v>
      </c>
      <c r="J4155" s="8" t="s">
        <v>57</v>
      </c>
      <c r="K4155" s="8" t="s">
        <v>476</v>
      </c>
      <c r="L4155" s="8" t="s">
        <v>12015</v>
      </c>
      <c r="M4155" s="8" t="s">
        <v>12016</v>
      </c>
      <c r="N4155" s="8" t="s">
        <v>18862</v>
      </c>
      <c r="O4155" s="8">
        <f>12+10/60+32.8/3600</f>
        <v>12.175777777777776</v>
      </c>
      <c r="P4155" s="8" t="s">
        <v>18863</v>
      </c>
      <c r="Q4155" s="8">
        <f>+(58+18/60+14/3600)</f>
        <v>58.303888888888885</v>
      </c>
      <c r="R4155" s="8">
        <v>13.2</v>
      </c>
      <c r="S4155" s="8">
        <v>14.1</v>
      </c>
      <c r="T4155" s="8">
        <v>0.9</v>
      </c>
      <c r="U4155" s="8">
        <v>12</v>
      </c>
      <c r="V4155" s="8">
        <v>1.3</v>
      </c>
      <c r="W4155" s="8">
        <v>0.3</v>
      </c>
      <c r="X4155" s="8">
        <v>87</v>
      </c>
      <c r="Y4155" s="8" t="s">
        <v>18883</v>
      </c>
      <c r="Z4155" s="8" t="s">
        <v>18884</v>
      </c>
    </row>
    <row r="4156" spans="1:26" x14ac:dyDescent="0.2">
      <c r="A4156" s="8">
        <v>4155</v>
      </c>
      <c r="B4156" s="8" t="s">
        <v>18885</v>
      </c>
      <c r="C4156" s="8" t="s">
        <v>18885</v>
      </c>
      <c r="F4156" s="47"/>
      <c r="G4156" s="8">
        <v>19</v>
      </c>
      <c r="H4156" s="8" t="s">
        <v>21</v>
      </c>
      <c r="I4156" s="8" t="s">
        <v>22</v>
      </c>
      <c r="J4156" s="8" t="s">
        <v>22</v>
      </c>
      <c r="K4156" s="8" t="s">
        <v>183</v>
      </c>
      <c r="L4156" s="8" t="s">
        <v>18289</v>
      </c>
      <c r="M4156" s="8" t="s">
        <v>18290</v>
      </c>
      <c r="N4156" s="8" t="s">
        <v>18886</v>
      </c>
      <c r="O4156" s="8">
        <f>12+10/60+45.6/3600</f>
        <v>12.179333333333332</v>
      </c>
      <c r="P4156" s="8" t="s">
        <v>18887</v>
      </c>
      <c r="Q4156" s="8">
        <f>+(19+2/60+28/3600)</f>
        <v>19.041111111111114</v>
      </c>
      <c r="R4156" s="8">
        <v>13.3</v>
      </c>
      <c r="S4156" s="8">
        <v>14.3</v>
      </c>
      <c r="T4156" s="8">
        <v>1</v>
      </c>
      <c r="U4156" s="8">
        <v>13.4</v>
      </c>
      <c r="V4156" s="8">
        <v>1.1000000000000001</v>
      </c>
      <c r="W4156" s="8">
        <v>1</v>
      </c>
      <c r="X4156" s="8">
        <v>81</v>
      </c>
      <c r="Y4156" s="8" t="s">
        <v>266</v>
      </c>
      <c r="Z4156" s="8" t="s">
        <v>267</v>
      </c>
    </row>
    <row r="4157" spans="1:26" x14ac:dyDescent="0.2">
      <c r="A4157" s="8">
        <v>4156</v>
      </c>
      <c r="B4157" s="8" t="s">
        <v>18888</v>
      </c>
      <c r="C4157" s="8" t="s">
        <v>18888</v>
      </c>
      <c r="F4157" s="47" t="s">
        <v>57205</v>
      </c>
      <c r="G4157" s="8">
        <v>15</v>
      </c>
      <c r="H4157" s="8" t="s">
        <v>21</v>
      </c>
      <c r="I4157" s="8" t="s">
        <v>22</v>
      </c>
      <c r="J4157" s="8" t="s">
        <v>22</v>
      </c>
      <c r="K4157" s="8" t="s">
        <v>218</v>
      </c>
      <c r="L4157" s="8" t="s">
        <v>18681</v>
      </c>
      <c r="M4157" s="8" t="s">
        <v>18682</v>
      </c>
      <c r="N4157" s="8" t="s">
        <v>18889</v>
      </c>
      <c r="O4157" s="8">
        <f>12+10/60+49.4/3600</f>
        <v>12.180388888888888</v>
      </c>
      <c r="P4157" s="8" t="s">
        <v>18890</v>
      </c>
      <c r="Q4157" s="8">
        <f>+(39+28/60+23/3600)</f>
        <v>39.473055555555554</v>
      </c>
      <c r="R4157" s="8">
        <v>13.2</v>
      </c>
      <c r="S4157" s="8">
        <v>14</v>
      </c>
      <c r="T4157" s="8">
        <v>0.8</v>
      </c>
      <c r="U4157" s="8">
        <v>13.5</v>
      </c>
      <c r="V4157" s="8">
        <v>1.3</v>
      </c>
      <c r="W4157" s="8">
        <v>1.2</v>
      </c>
      <c r="X4157" s="8">
        <v>48</v>
      </c>
      <c r="Y4157" s="8" t="s">
        <v>18891</v>
      </c>
      <c r="Z4157" s="8" t="s">
        <v>18892</v>
      </c>
    </row>
    <row r="4158" spans="1:26" x14ac:dyDescent="0.2">
      <c r="A4158" s="8">
        <v>4157</v>
      </c>
      <c r="B4158" s="8" t="s">
        <v>18893</v>
      </c>
      <c r="C4158" s="8" t="s">
        <v>18893</v>
      </c>
      <c r="F4158" s="47" t="s">
        <v>57206</v>
      </c>
      <c r="G4158" s="8">
        <v>6.5</v>
      </c>
      <c r="H4158" s="8" t="s">
        <v>21</v>
      </c>
      <c r="I4158" s="8" t="s">
        <v>22</v>
      </c>
      <c r="J4158" s="8" t="s">
        <v>22</v>
      </c>
      <c r="K4158" s="8" t="s">
        <v>218</v>
      </c>
      <c r="L4158" s="8" t="s">
        <v>12015</v>
      </c>
      <c r="M4158" s="8" t="s">
        <v>12016</v>
      </c>
      <c r="N4158" s="8" t="s">
        <v>18894</v>
      </c>
      <c r="O4158" s="8">
        <f>12+11/60+4.4/3600</f>
        <v>12.184555555555555</v>
      </c>
      <c r="P4158" s="8" t="s">
        <v>18895</v>
      </c>
      <c r="Q4158" s="8">
        <f>+(50+29/60+5/3600)</f>
        <v>50.484722222222224</v>
      </c>
      <c r="R4158" s="8">
        <v>11.4</v>
      </c>
      <c r="S4158" s="8">
        <v>12.2</v>
      </c>
      <c r="T4158" s="8">
        <v>0.8</v>
      </c>
      <c r="U4158" s="8">
        <v>13.6</v>
      </c>
      <c r="V4158" s="8">
        <v>6.7</v>
      </c>
      <c r="W4158" s="8">
        <v>1.2</v>
      </c>
      <c r="X4158" s="8">
        <v>66</v>
      </c>
      <c r="Y4158" s="8" t="s">
        <v>18896</v>
      </c>
      <c r="Z4158" s="8" t="s">
        <v>18897</v>
      </c>
    </row>
    <row r="4159" spans="1:26" x14ac:dyDescent="0.2">
      <c r="A4159" s="8">
        <v>4158</v>
      </c>
      <c r="B4159" s="8" t="s">
        <v>18898</v>
      </c>
      <c r="C4159" s="8" t="s">
        <v>18898</v>
      </c>
      <c r="F4159" s="47" t="s">
        <v>57207</v>
      </c>
      <c r="G4159" s="8">
        <v>13</v>
      </c>
      <c r="H4159" s="8" t="s">
        <v>21</v>
      </c>
      <c r="I4159" s="8" t="s">
        <v>22</v>
      </c>
      <c r="J4159" s="8" t="s">
        <v>22</v>
      </c>
      <c r="K4159" s="8" t="s">
        <v>23</v>
      </c>
      <c r="L4159" s="8" t="s">
        <v>18289</v>
      </c>
      <c r="M4159" s="8" t="s">
        <v>18290</v>
      </c>
      <c r="N4159" s="8" t="s">
        <v>18899</v>
      </c>
      <c r="O4159" s="8">
        <f>12+11/60+10.2/3600</f>
        <v>12.186166666666667</v>
      </c>
      <c r="P4159" s="8" t="s">
        <v>18900</v>
      </c>
      <c r="Q4159" s="8">
        <f>+(20+10/60+33/3600)</f>
        <v>20.175833333333333</v>
      </c>
      <c r="R4159" s="8">
        <v>12.1</v>
      </c>
      <c r="S4159" s="8">
        <v>12.9</v>
      </c>
      <c r="T4159" s="8">
        <v>0.8</v>
      </c>
      <c r="U4159" s="8">
        <v>13.3</v>
      </c>
      <c r="V4159" s="8">
        <v>2</v>
      </c>
      <c r="W4159" s="8">
        <v>1.8</v>
      </c>
      <c r="X4159" s="8">
        <v>78</v>
      </c>
      <c r="Y4159" s="8" t="s">
        <v>18901</v>
      </c>
      <c r="Z4159" s="8" t="s">
        <v>18902</v>
      </c>
    </row>
    <row r="4160" spans="1:26" x14ac:dyDescent="0.2">
      <c r="A4160" s="8">
        <v>4159</v>
      </c>
      <c r="B4160" s="8" t="s">
        <v>18903</v>
      </c>
      <c r="C4160" s="8" t="s">
        <v>18903</v>
      </c>
      <c r="F4160" s="47" t="s">
        <v>57208</v>
      </c>
      <c r="G4160" s="8">
        <v>15</v>
      </c>
      <c r="H4160" s="8" t="s">
        <v>21</v>
      </c>
      <c r="I4160" s="8" t="s">
        <v>22</v>
      </c>
      <c r="J4160" s="8" t="s">
        <v>22</v>
      </c>
      <c r="K4160" s="8" t="s">
        <v>396</v>
      </c>
      <c r="L4160" s="8" t="s">
        <v>13395</v>
      </c>
      <c r="M4160" s="8" t="s">
        <v>13396</v>
      </c>
      <c r="N4160" s="8" t="s">
        <v>18904</v>
      </c>
      <c r="O4160" s="8">
        <f>12+10/60+53.3/3600</f>
        <v>12.181472222222222</v>
      </c>
      <c r="P4160" s="8" t="s">
        <v>18905</v>
      </c>
      <c r="Q4160" s="8">
        <f>+(76+7/60+35/3600)</f>
        <v>76.126388888888883</v>
      </c>
      <c r="R4160" s="8">
        <v>13.5</v>
      </c>
      <c r="S4160" s="8">
        <v>14.3</v>
      </c>
      <c r="T4160" s="8">
        <v>0.8</v>
      </c>
      <c r="U4160" s="8">
        <v>12.9</v>
      </c>
      <c r="V4160" s="8">
        <v>1.3</v>
      </c>
      <c r="W4160" s="8">
        <v>0.5</v>
      </c>
      <c r="X4160" s="8">
        <v>35</v>
      </c>
      <c r="Y4160" s="8" t="s">
        <v>18906</v>
      </c>
      <c r="Z4160" s="8" t="s">
        <v>18907</v>
      </c>
    </row>
    <row r="4161" spans="1:26" x14ac:dyDescent="0.2">
      <c r="A4161" s="8">
        <v>4160</v>
      </c>
      <c r="B4161" s="8" t="s">
        <v>18908</v>
      </c>
      <c r="C4161" s="8" t="s">
        <v>18908</v>
      </c>
      <c r="F4161" s="47"/>
      <c r="G4161" s="8">
        <v>13</v>
      </c>
      <c r="H4161" s="8" t="s">
        <v>21</v>
      </c>
      <c r="I4161" s="8" t="s">
        <v>329</v>
      </c>
      <c r="J4161" s="8" t="s">
        <v>329</v>
      </c>
      <c r="K4161" s="8" t="s">
        <v>329</v>
      </c>
      <c r="L4161" s="8" t="s">
        <v>18681</v>
      </c>
      <c r="M4161" s="8" t="s">
        <v>18682</v>
      </c>
      <c r="N4161" s="8" t="s">
        <v>18909</v>
      </c>
      <c r="O4161" s="8">
        <f>12+12/60+11.6/3600</f>
        <v>12.203222222222221</v>
      </c>
      <c r="P4161" s="8" t="s">
        <v>18910</v>
      </c>
      <c r="Q4161" s="8">
        <f>+(43+44/60+18/3600)</f>
        <v>43.738333333333337</v>
      </c>
      <c r="R4161" s="8">
        <v>99</v>
      </c>
      <c r="S4161" s="8">
        <v>99</v>
      </c>
      <c r="T4161" s="8">
        <v>99</v>
      </c>
      <c r="U4161" s="8">
        <v>99</v>
      </c>
      <c r="Y4161" s="8" t="s">
        <v>21</v>
      </c>
      <c r="Z4161" s="8" t="s">
        <v>14347</v>
      </c>
    </row>
    <row r="4162" spans="1:26" x14ac:dyDescent="0.2">
      <c r="A4162" s="8">
        <v>4161</v>
      </c>
      <c r="B4162" s="8" t="s">
        <v>18911</v>
      </c>
      <c r="C4162" s="8" t="s">
        <v>18911</v>
      </c>
      <c r="F4162" s="47" t="s">
        <v>57209</v>
      </c>
      <c r="G4162" s="8">
        <v>15</v>
      </c>
      <c r="H4162" s="8" t="s">
        <v>21</v>
      </c>
      <c r="I4162" s="8" t="s">
        <v>22</v>
      </c>
      <c r="J4162" s="8" t="s">
        <v>22</v>
      </c>
      <c r="K4162" s="8" t="s">
        <v>160</v>
      </c>
      <c r="L4162" s="8" t="s">
        <v>12015</v>
      </c>
      <c r="M4162" s="8" t="s">
        <v>12016</v>
      </c>
      <c r="N4162" s="8" t="s">
        <v>18912</v>
      </c>
      <c r="O4162" s="8">
        <f>12+11/60+32.9/3600</f>
        <v>12.192472222222223</v>
      </c>
      <c r="P4162" s="8" t="s">
        <v>18913</v>
      </c>
      <c r="Q4162" s="8">
        <f>+(57+44/60+15/3600)</f>
        <v>57.737500000000004</v>
      </c>
      <c r="R4162" s="8">
        <v>13</v>
      </c>
      <c r="S4162" s="8">
        <v>13.7</v>
      </c>
      <c r="T4162" s="8">
        <v>0.7</v>
      </c>
      <c r="U4162" s="8">
        <v>12.6</v>
      </c>
      <c r="V4162" s="8">
        <v>1.1000000000000001</v>
      </c>
      <c r="W4162" s="8">
        <v>0.7</v>
      </c>
      <c r="X4162" s="8">
        <v>50</v>
      </c>
      <c r="Y4162" s="8" t="s">
        <v>895</v>
      </c>
      <c r="Z4162" s="8" t="s">
        <v>896</v>
      </c>
    </row>
    <row r="4163" spans="1:26" x14ac:dyDescent="0.2">
      <c r="A4163" s="8">
        <v>4162</v>
      </c>
      <c r="B4163" s="8" t="s">
        <v>18914</v>
      </c>
      <c r="C4163" s="8" t="s">
        <v>18914</v>
      </c>
      <c r="F4163" s="47" t="s">
        <v>57210</v>
      </c>
      <c r="G4163" s="8">
        <v>13</v>
      </c>
      <c r="H4163" s="8" t="s">
        <v>21</v>
      </c>
      <c r="I4163" s="8" t="s">
        <v>22</v>
      </c>
      <c r="J4163" s="8" t="s">
        <v>22</v>
      </c>
      <c r="K4163" s="8" t="s">
        <v>396</v>
      </c>
      <c r="L4163" s="8" t="s">
        <v>18289</v>
      </c>
      <c r="M4163" s="8" t="s">
        <v>18290</v>
      </c>
      <c r="N4163" s="8" t="s">
        <v>18915</v>
      </c>
      <c r="O4163" s="8">
        <f>12+11/60+52.5/3600</f>
        <v>12.197916666666666</v>
      </c>
      <c r="P4163" s="8" t="s">
        <v>18916</v>
      </c>
      <c r="Q4163" s="8">
        <f>+(24+7/60+26/3600)</f>
        <v>24.123888888888889</v>
      </c>
      <c r="R4163" s="8">
        <v>12.2</v>
      </c>
      <c r="S4163" s="8">
        <v>12.9</v>
      </c>
      <c r="T4163" s="8">
        <v>0.7</v>
      </c>
      <c r="U4163" s="8">
        <v>13.4</v>
      </c>
      <c r="V4163" s="8">
        <v>2.2999999999999998</v>
      </c>
      <c r="W4163" s="8">
        <v>1.4</v>
      </c>
      <c r="X4163" s="8">
        <v>174</v>
      </c>
      <c r="Y4163" s="8" t="s">
        <v>18917</v>
      </c>
      <c r="Z4163" s="8" t="s">
        <v>18918</v>
      </c>
    </row>
    <row r="4164" spans="1:26" x14ac:dyDescent="0.2">
      <c r="A4164" s="8">
        <v>4163</v>
      </c>
      <c r="B4164" s="8" t="s">
        <v>18919</v>
      </c>
      <c r="C4164" s="8" t="s">
        <v>18919</v>
      </c>
      <c r="F4164" s="47" t="s">
        <v>57211</v>
      </c>
      <c r="G4164" s="8">
        <v>15</v>
      </c>
      <c r="H4164" s="8" t="s">
        <v>21</v>
      </c>
      <c r="I4164" s="8" t="s">
        <v>22</v>
      </c>
      <c r="J4164" s="8" t="s">
        <v>22</v>
      </c>
      <c r="K4164" s="8" t="s">
        <v>3616</v>
      </c>
      <c r="L4164" s="8" t="s">
        <v>18681</v>
      </c>
      <c r="M4164" s="8" t="s">
        <v>18682</v>
      </c>
      <c r="N4164" s="8" t="s">
        <v>18920</v>
      </c>
      <c r="O4164" s="8">
        <f>12+12/60+9/3600</f>
        <v>12.202499999999999</v>
      </c>
      <c r="P4164" s="8" t="s">
        <v>18921</v>
      </c>
      <c r="Q4164" s="8">
        <f>+(36+10/60+7/3600)</f>
        <v>36.168611111111112</v>
      </c>
      <c r="R4164" s="8">
        <v>14</v>
      </c>
      <c r="S4164" s="8">
        <v>14.5</v>
      </c>
      <c r="T4164" s="8">
        <v>0.5</v>
      </c>
      <c r="U4164" s="8">
        <v>15.1</v>
      </c>
      <c r="V4164" s="8">
        <v>1.9</v>
      </c>
      <c r="W4164" s="8">
        <v>1.6</v>
      </c>
      <c r="X4164" s="8">
        <v>0</v>
      </c>
      <c r="Y4164" s="8" t="s">
        <v>18922</v>
      </c>
      <c r="Z4164" s="8" t="s">
        <v>18923</v>
      </c>
    </row>
    <row r="4165" spans="1:26" x14ac:dyDescent="0.2">
      <c r="A4165" s="8">
        <v>4164</v>
      </c>
      <c r="B4165" s="8" t="s">
        <v>18924</v>
      </c>
      <c r="C4165" s="8" t="s">
        <v>18924</v>
      </c>
      <c r="F4165" s="47"/>
      <c r="G4165" s="8">
        <v>19</v>
      </c>
      <c r="H4165" s="8" t="s">
        <v>21</v>
      </c>
      <c r="I4165" s="8" t="s">
        <v>22</v>
      </c>
      <c r="J4165" s="8" t="s">
        <v>22</v>
      </c>
      <c r="K4165" s="8" t="s">
        <v>382</v>
      </c>
      <c r="L4165" s="8" t="s">
        <v>17287</v>
      </c>
      <c r="M4165" s="8" t="s">
        <v>17288</v>
      </c>
      <c r="N4165" s="8" t="s">
        <v>18925</v>
      </c>
      <c r="O4165" s="8">
        <f>12+12/60+5.4/3600</f>
        <v>12.201499999999999</v>
      </c>
      <c r="P4165" s="8" t="s">
        <v>18926</v>
      </c>
      <c r="Q4165" s="8">
        <f>+(13+12/60+21/3600)</f>
        <v>13.205833333333333</v>
      </c>
      <c r="R4165" s="8">
        <v>14.7</v>
      </c>
      <c r="S4165" s="8">
        <v>15.7</v>
      </c>
      <c r="T4165" s="8">
        <v>1</v>
      </c>
      <c r="U4165" s="8">
        <v>12.9</v>
      </c>
      <c r="V4165" s="8">
        <v>0.5</v>
      </c>
      <c r="W4165" s="8">
        <v>0.3</v>
      </c>
      <c r="X4165" s="8">
        <v>111</v>
      </c>
      <c r="Y4165" s="8" t="s">
        <v>21</v>
      </c>
      <c r="Z4165" s="8" t="s">
        <v>18927</v>
      </c>
    </row>
    <row r="4166" spans="1:26" x14ac:dyDescent="0.2">
      <c r="A4166" s="8">
        <v>4165</v>
      </c>
      <c r="B4166" s="8" t="s">
        <v>18928</v>
      </c>
      <c r="C4166" s="8" t="s">
        <v>18928</v>
      </c>
      <c r="F4166" s="47"/>
      <c r="G4166" s="8">
        <v>18</v>
      </c>
      <c r="H4166" s="8" t="s">
        <v>21</v>
      </c>
      <c r="I4166" s="8" t="s">
        <v>22</v>
      </c>
      <c r="J4166" s="8" t="s">
        <v>22</v>
      </c>
      <c r="K4166" s="8" t="s">
        <v>154</v>
      </c>
      <c r="L4166" s="8" t="s">
        <v>17287</v>
      </c>
      <c r="M4166" s="8" t="s">
        <v>17288</v>
      </c>
      <c r="N4166" s="8" t="s">
        <v>18929</v>
      </c>
      <c r="O4166" s="8">
        <f>12+12/60+11.8/3600</f>
        <v>12.203277777777776</v>
      </c>
      <c r="P4166" s="8" t="s">
        <v>18930</v>
      </c>
      <c r="Q4166" s="8">
        <f>+(13+14/60+46/3600)</f>
        <v>13.246111111111111</v>
      </c>
      <c r="R4166" s="8">
        <v>13.5</v>
      </c>
      <c r="S4166" s="8">
        <v>14.4</v>
      </c>
      <c r="T4166" s="8">
        <v>0.9</v>
      </c>
      <c r="U4166" s="8">
        <v>13.6</v>
      </c>
      <c r="V4166" s="8">
        <v>1.2</v>
      </c>
      <c r="W4166" s="8">
        <v>0.8</v>
      </c>
      <c r="X4166" s="8">
        <v>160</v>
      </c>
      <c r="Y4166" s="8" t="s">
        <v>18931</v>
      </c>
      <c r="Z4166" s="8" t="s">
        <v>18932</v>
      </c>
    </row>
    <row r="4167" spans="1:26" x14ac:dyDescent="0.2">
      <c r="A4167" s="8">
        <v>4166</v>
      </c>
      <c r="B4167" s="8" t="s">
        <v>18933</v>
      </c>
      <c r="C4167" s="8" t="s">
        <v>18933</v>
      </c>
      <c r="F4167" s="47"/>
      <c r="G4167" s="8">
        <v>19</v>
      </c>
      <c r="H4167" s="8" t="s">
        <v>21</v>
      </c>
      <c r="I4167" s="8" t="s">
        <v>22</v>
      </c>
      <c r="J4167" s="8" t="s">
        <v>22</v>
      </c>
      <c r="K4167" s="8" t="s">
        <v>224</v>
      </c>
      <c r="L4167" s="8" t="s">
        <v>18289</v>
      </c>
      <c r="M4167" s="8" t="s">
        <v>18290</v>
      </c>
      <c r="N4167" s="8" t="s">
        <v>18934</v>
      </c>
      <c r="O4167" s="8">
        <f>12+12/60+9.7/3600</f>
        <v>12.202694444444443</v>
      </c>
      <c r="P4167" s="8" t="s">
        <v>18935</v>
      </c>
      <c r="Q4167" s="8">
        <f>+(17+45/60+26/3600)</f>
        <v>17.757222222222222</v>
      </c>
      <c r="R4167" s="8">
        <v>13.1</v>
      </c>
      <c r="S4167" s="8">
        <v>14.1</v>
      </c>
      <c r="T4167" s="8">
        <v>1</v>
      </c>
      <c r="U4167" s="8">
        <v>13.1</v>
      </c>
      <c r="V4167" s="8">
        <v>1.2</v>
      </c>
      <c r="W4167" s="8">
        <v>1</v>
      </c>
      <c r="X4167" s="8">
        <v>20</v>
      </c>
      <c r="Y4167" s="8" t="s">
        <v>1511</v>
      </c>
      <c r="Z4167" s="8" t="s">
        <v>1512</v>
      </c>
    </row>
    <row r="4168" spans="1:26" x14ac:dyDescent="0.2">
      <c r="A4168" s="8">
        <v>4167</v>
      </c>
      <c r="B4168" s="8" t="s">
        <v>18936</v>
      </c>
      <c r="C4168" s="8" t="s">
        <v>18936</v>
      </c>
      <c r="F4168" s="47"/>
      <c r="G4168" s="8">
        <v>16</v>
      </c>
      <c r="H4168" s="8" t="s">
        <v>21</v>
      </c>
      <c r="I4168" s="8" t="s">
        <v>22</v>
      </c>
      <c r="J4168" s="8" t="s">
        <v>57</v>
      </c>
      <c r="K4168" s="8" t="s">
        <v>3616</v>
      </c>
      <c r="L4168" s="8" t="s">
        <v>18681</v>
      </c>
      <c r="M4168" s="8" t="s">
        <v>18682</v>
      </c>
      <c r="N4168" s="8" t="s">
        <v>18920</v>
      </c>
      <c r="O4168" s="8">
        <f>12+12/60+9/3600</f>
        <v>12.202499999999999</v>
      </c>
      <c r="P4168" s="8" t="s">
        <v>18921</v>
      </c>
      <c r="Q4168" s="8">
        <f>+(36+10/60+7/3600)</f>
        <v>36.168611111111112</v>
      </c>
      <c r="R4168" s="8">
        <v>14</v>
      </c>
      <c r="S4168" s="8">
        <v>14.5</v>
      </c>
      <c r="T4168" s="8">
        <v>0.5</v>
      </c>
      <c r="U4168" s="8">
        <v>15.1</v>
      </c>
      <c r="V4168" s="8">
        <v>1.9</v>
      </c>
      <c r="W4168" s="8">
        <v>1.6</v>
      </c>
      <c r="X4168" s="8">
        <v>0</v>
      </c>
      <c r="Y4168" s="8" t="s">
        <v>21</v>
      </c>
      <c r="Z4168" s="8" t="s">
        <v>18937</v>
      </c>
    </row>
    <row r="4169" spans="1:26" x14ac:dyDescent="0.2">
      <c r="A4169" s="8">
        <v>4168</v>
      </c>
      <c r="B4169" s="8" t="s">
        <v>18938</v>
      </c>
      <c r="C4169" s="8" t="s">
        <v>18938</v>
      </c>
      <c r="F4169" s="47" t="s">
        <v>57212</v>
      </c>
      <c r="G4169" s="8">
        <v>6.5</v>
      </c>
      <c r="H4169" s="8" t="s">
        <v>21</v>
      </c>
      <c r="I4169" s="8" t="s">
        <v>22</v>
      </c>
      <c r="J4169" s="8" t="s">
        <v>22</v>
      </c>
      <c r="K4169" s="8" t="s">
        <v>1136</v>
      </c>
      <c r="L4169" s="8" t="s">
        <v>17287</v>
      </c>
      <c r="M4169" s="8" t="s">
        <v>17288</v>
      </c>
      <c r="N4169" s="8" t="s">
        <v>18939</v>
      </c>
      <c r="O4169" s="8">
        <f>12+12/60+17.2/3600</f>
        <v>12.204777777777776</v>
      </c>
      <c r="P4169" s="8" t="s">
        <v>18940</v>
      </c>
      <c r="Q4169" s="8">
        <f>+(13+12/60+16/3600)</f>
        <v>13.204444444444444</v>
      </c>
      <c r="R4169" s="8">
        <v>11.2</v>
      </c>
      <c r="S4169" s="8">
        <v>12.1</v>
      </c>
      <c r="T4169" s="8">
        <v>0.9</v>
      </c>
      <c r="U4169" s="8">
        <v>13.1</v>
      </c>
      <c r="V4169" s="8">
        <v>2.8</v>
      </c>
      <c r="W4169" s="8">
        <v>2.2000000000000002</v>
      </c>
      <c r="X4169" s="8">
        <v>120</v>
      </c>
      <c r="Y4169" s="8" t="s">
        <v>18941</v>
      </c>
      <c r="Z4169" s="8" t="s">
        <v>18942</v>
      </c>
    </row>
    <row r="4170" spans="1:26" x14ac:dyDescent="0.2">
      <c r="A4170" s="8">
        <v>4169</v>
      </c>
      <c r="B4170" s="8" t="s">
        <v>18943</v>
      </c>
      <c r="C4170" s="8" t="s">
        <v>18943</v>
      </c>
      <c r="F4170" s="47" t="s">
        <v>57213</v>
      </c>
      <c r="G4170" s="8">
        <v>6.5</v>
      </c>
      <c r="H4170" s="8" t="s">
        <v>18944</v>
      </c>
      <c r="I4170" s="8" t="s">
        <v>22</v>
      </c>
      <c r="J4170" s="8" t="s">
        <v>22</v>
      </c>
      <c r="K4170" s="8" t="s">
        <v>37</v>
      </c>
      <c r="L4170" s="8" t="s">
        <v>18289</v>
      </c>
      <c r="M4170" s="8" t="s">
        <v>18290</v>
      </c>
      <c r="N4170" s="8" t="s">
        <v>18945</v>
      </c>
      <c r="O4170" s="8">
        <f>12+12/60+18.7/3600</f>
        <v>12.205194444444444</v>
      </c>
      <c r="P4170" s="8" t="s">
        <v>18946</v>
      </c>
      <c r="Q4170" s="8">
        <f>+(29+10/60+46/3600)</f>
        <v>29.179444444444446</v>
      </c>
      <c r="R4170" s="8">
        <v>12.2</v>
      </c>
      <c r="S4170" s="8">
        <v>13.2</v>
      </c>
      <c r="T4170" s="8">
        <v>1</v>
      </c>
      <c r="U4170" s="8">
        <v>12.6</v>
      </c>
      <c r="V4170" s="8">
        <v>1.8</v>
      </c>
      <c r="W4170" s="8">
        <v>0.9</v>
      </c>
      <c r="X4170" s="8">
        <v>153</v>
      </c>
      <c r="Y4170" s="8" t="s">
        <v>18947</v>
      </c>
      <c r="Z4170" s="8" t="s">
        <v>18948</v>
      </c>
    </row>
    <row r="4171" spans="1:26" x14ac:dyDescent="0.2">
      <c r="A4171" s="8">
        <v>4170</v>
      </c>
      <c r="B4171" s="8" t="s">
        <v>18949</v>
      </c>
      <c r="C4171" s="8" t="s">
        <v>18949</v>
      </c>
      <c r="F4171" s="47"/>
      <c r="G4171" s="8">
        <v>14</v>
      </c>
      <c r="H4171" s="8" t="s">
        <v>18944</v>
      </c>
      <c r="I4171" s="8" t="s">
        <v>72</v>
      </c>
      <c r="J4171" s="8" t="s">
        <v>72</v>
      </c>
      <c r="K4171" s="8" t="s">
        <v>20</v>
      </c>
      <c r="L4171" s="8" t="s">
        <v>18289</v>
      </c>
      <c r="M4171" s="8" t="s">
        <v>18290</v>
      </c>
      <c r="N4171" s="8" t="s">
        <v>18950</v>
      </c>
      <c r="O4171" s="8">
        <f>12+12/60+12.9/3600</f>
        <v>12.203583333333333</v>
      </c>
      <c r="P4171" s="8" t="s">
        <v>18951</v>
      </c>
      <c r="Q4171" s="8">
        <f>+(29+10/60+2/3600)</f>
        <v>29.167222222222222</v>
      </c>
      <c r="R4171" s="8">
        <v>99</v>
      </c>
      <c r="S4171" s="8">
        <v>99</v>
      </c>
      <c r="T4171" s="8">
        <v>99</v>
      </c>
      <c r="U4171" s="8">
        <v>99</v>
      </c>
      <c r="Y4171" s="8" t="s">
        <v>21</v>
      </c>
      <c r="Z4171" s="8" t="s">
        <v>18952</v>
      </c>
    </row>
    <row r="4172" spans="1:26" x14ac:dyDescent="0.2">
      <c r="A4172" s="8">
        <v>4171</v>
      </c>
      <c r="B4172" s="8" t="s">
        <v>18953</v>
      </c>
      <c r="C4172" s="8" t="s">
        <v>18953</v>
      </c>
      <c r="F4172" s="47"/>
      <c r="G4172" s="8">
        <v>18</v>
      </c>
      <c r="H4172" s="8" t="s">
        <v>21</v>
      </c>
      <c r="I4172" s="8" t="s">
        <v>72</v>
      </c>
      <c r="J4172" s="8" t="s">
        <v>72</v>
      </c>
      <c r="K4172" s="8" t="s">
        <v>20</v>
      </c>
      <c r="L4172" s="8" t="s">
        <v>18289</v>
      </c>
      <c r="M4172" s="8" t="s">
        <v>18290</v>
      </c>
      <c r="N4172" s="8" t="s">
        <v>18954</v>
      </c>
      <c r="O4172" s="8">
        <f>12+12/60+38.3/3600</f>
        <v>12.210638888888889</v>
      </c>
      <c r="P4172" s="8" t="s">
        <v>18955</v>
      </c>
      <c r="Q4172" s="8">
        <f>+(29+13/60+30/3600)</f>
        <v>29.224999999999998</v>
      </c>
      <c r="R4172" s="8">
        <v>99</v>
      </c>
      <c r="S4172" s="8">
        <v>99</v>
      </c>
      <c r="T4172" s="8">
        <v>99</v>
      </c>
      <c r="U4172" s="8">
        <v>99</v>
      </c>
      <c r="Y4172" s="8" t="s">
        <v>21</v>
      </c>
      <c r="Z4172" s="8" t="s">
        <v>18952</v>
      </c>
    </row>
    <row r="4173" spans="1:26" x14ac:dyDescent="0.2">
      <c r="A4173" s="8">
        <v>4172</v>
      </c>
      <c r="B4173" s="8" t="s">
        <v>18956</v>
      </c>
      <c r="C4173" s="8" t="s">
        <v>18956</v>
      </c>
      <c r="F4173" s="47" t="s">
        <v>57214</v>
      </c>
      <c r="G4173" s="8">
        <v>15</v>
      </c>
      <c r="H4173" s="8" t="s">
        <v>21</v>
      </c>
      <c r="I4173" s="8" t="s">
        <v>22</v>
      </c>
      <c r="J4173" s="8" t="s">
        <v>22</v>
      </c>
      <c r="K4173" s="8" t="s">
        <v>476</v>
      </c>
      <c r="L4173" s="8" t="s">
        <v>12015</v>
      </c>
      <c r="M4173" s="8" t="s">
        <v>12016</v>
      </c>
      <c r="N4173" s="8" t="s">
        <v>18957</v>
      </c>
      <c r="O4173" s="8">
        <f>12+12/60+14.7/3600</f>
        <v>12.204083333333333</v>
      </c>
      <c r="P4173" s="8" t="s">
        <v>18958</v>
      </c>
      <c r="Q4173" s="8">
        <f>+(56+10/60+35/3600)</f>
        <v>56.176388888888887</v>
      </c>
      <c r="R4173" s="8">
        <v>13.3</v>
      </c>
      <c r="S4173" s="8">
        <v>14.2</v>
      </c>
      <c r="T4173" s="8">
        <v>0.9</v>
      </c>
      <c r="U4173" s="8">
        <v>13.5</v>
      </c>
      <c r="V4173" s="8">
        <v>1.3</v>
      </c>
      <c r="W4173" s="8">
        <v>1.1000000000000001</v>
      </c>
      <c r="X4173" s="8">
        <v>6</v>
      </c>
      <c r="Y4173" s="8" t="s">
        <v>12977</v>
      </c>
      <c r="Z4173" s="8" t="s">
        <v>12978</v>
      </c>
    </row>
    <row r="4174" spans="1:26" x14ac:dyDescent="0.2">
      <c r="A4174" s="8">
        <v>4173</v>
      </c>
      <c r="B4174" s="8" t="s">
        <v>18959</v>
      </c>
      <c r="C4174" s="8" t="s">
        <v>18959</v>
      </c>
      <c r="F4174" s="47" t="s">
        <v>57215</v>
      </c>
      <c r="G4174" s="8">
        <v>15</v>
      </c>
      <c r="H4174" s="8" t="s">
        <v>21</v>
      </c>
      <c r="I4174" s="8" t="s">
        <v>22</v>
      </c>
      <c r="J4174" s="8" t="s">
        <v>22</v>
      </c>
      <c r="K4174" s="8" t="s">
        <v>579</v>
      </c>
      <c r="L4174" s="8" t="s">
        <v>18289</v>
      </c>
      <c r="M4174" s="8" t="s">
        <v>18290</v>
      </c>
      <c r="N4174" s="8" t="s">
        <v>18960</v>
      </c>
      <c r="O4174" s="8">
        <f>12+12/60+21.5/3600</f>
        <v>12.205972222222222</v>
      </c>
      <c r="P4174" s="8" t="s">
        <v>18961</v>
      </c>
      <c r="Q4174" s="8">
        <f>+(29+12/60+26/3600)</f>
        <v>29.207222222222221</v>
      </c>
      <c r="R4174" s="8">
        <v>13</v>
      </c>
      <c r="S4174" s="8">
        <v>13.6</v>
      </c>
      <c r="T4174" s="8">
        <v>0.6</v>
      </c>
      <c r="U4174" s="8">
        <v>14.2</v>
      </c>
      <c r="V4174" s="8">
        <v>5</v>
      </c>
      <c r="W4174" s="8">
        <v>0.7</v>
      </c>
      <c r="X4174" s="8">
        <v>134</v>
      </c>
      <c r="Y4174" s="8" t="s">
        <v>18962</v>
      </c>
      <c r="Z4174" s="8" t="s">
        <v>18963</v>
      </c>
    </row>
    <row r="4175" spans="1:26" x14ac:dyDescent="0.2">
      <c r="A4175" s="8">
        <v>4174</v>
      </c>
      <c r="B4175" s="8" t="s">
        <v>18964</v>
      </c>
      <c r="C4175" s="8" t="s">
        <v>18964</v>
      </c>
      <c r="F4175" s="47" t="s">
        <v>57216</v>
      </c>
      <c r="G4175" s="8">
        <v>14</v>
      </c>
      <c r="H4175" s="8" t="s">
        <v>18944</v>
      </c>
      <c r="I4175" s="8" t="s">
        <v>22</v>
      </c>
      <c r="J4175" s="8" t="s">
        <v>22</v>
      </c>
      <c r="K4175" s="8" t="s">
        <v>632</v>
      </c>
      <c r="L4175" s="8" t="s">
        <v>18289</v>
      </c>
      <c r="M4175" s="8" t="s">
        <v>18290</v>
      </c>
      <c r="N4175" s="8" t="s">
        <v>18965</v>
      </c>
      <c r="O4175" s="8">
        <f>12+12/60+26.9/3600</f>
        <v>12.207472222222222</v>
      </c>
      <c r="P4175" s="8" t="s">
        <v>18966</v>
      </c>
      <c r="Q4175" s="8">
        <f>+(29+8/60+57/3600)</f>
        <v>29.149166666666666</v>
      </c>
      <c r="R4175" s="8">
        <v>13.4</v>
      </c>
      <c r="S4175" s="8">
        <v>14.4</v>
      </c>
      <c r="T4175" s="8">
        <v>1</v>
      </c>
      <c r="U4175" s="8">
        <v>11.4</v>
      </c>
      <c r="V4175" s="8">
        <v>0.8</v>
      </c>
      <c r="W4175" s="8">
        <v>0.3</v>
      </c>
      <c r="X4175" s="8">
        <v>50</v>
      </c>
      <c r="Y4175" s="8" t="s">
        <v>8085</v>
      </c>
      <c r="Z4175" s="8" t="s">
        <v>8086</v>
      </c>
    </row>
    <row r="4176" spans="1:26" x14ac:dyDescent="0.2">
      <c r="A4176" s="8">
        <v>4175</v>
      </c>
      <c r="B4176" s="8" t="s">
        <v>18967</v>
      </c>
      <c r="C4176" s="8" t="s">
        <v>18967</v>
      </c>
      <c r="F4176" s="47" t="s">
        <v>57217</v>
      </c>
      <c r="G4176" s="8">
        <v>14</v>
      </c>
      <c r="H4176" s="8" t="s">
        <v>18944</v>
      </c>
      <c r="I4176" s="8" t="s">
        <v>22</v>
      </c>
      <c r="J4176" s="8" t="s">
        <v>22</v>
      </c>
      <c r="K4176" s="8" t="s">
        <v>396</v>
      </c>
      <c r="L4176" s="8" t="s">
        <v>18289</v>
      </c>
      <c r="M4176" s="8" t="s">
        <v>18290</v>
      </c>
      <c r="N4176" s="8" t="s">
        <v>18968</v>
      </c>
      <c r="O4176" s="8">
        <f>12+12/60+31/3600</f>
        <v>12.208611111111111</v>
      </c>
      <c r="P4176" s="8" t="s">
        <v>18969</v>
      </c>
      <c r="Q4176" s="8">
        <f>+(29+10/60+7/3600)</f>
        <v>29.168611111111112</v>
      </c>
      <c r="R4176" s="8">
        <v>13.3</v>
      </c>
      <c r="S4176" s="8">
        <v>14.2</v>
      </c>
      <c r="T4176" s="8">
        <v>0.9</v>
      </c>
      <c r="U4176" s="8">
        <v>12.8</v>
      </c>
      <c r="V4176" s="8">
        <v>1.8</v>
      </c>
      <c r="W4176" s="8">
        <v>0.4</v>
      </c>
      <c r="X4176" s="8">
        <v>130</v>
      </c>
      <c r="Y4176" s="8" t="s">
        <v>18970</v>
      </c>
      <c r="Z4176" s="8" t="s">
        <v>18971</v>
      </c>
    </row>
    <row r="4177" spans="1:26" x14ac:dyDescent="0.2">
      <c r="A4177" s="8">
        <v>4176</v>
      </c>
      <c r="B4177" s="8" t="s">
        <v>18972</v>
      </c>
      <c r="C4177" s="8" t="s">
        <v>18972</v>
      </c>
      <c r="F4177" s="47"/>
      <c r="G4177" s="8">
        <v>19</v>
      </c>
      <c r="H4177" s="8" t="s">
        <v>21</v>
      </c>
      <c r="I4177" s="8" t="s">
        <v>22</v>
      </c>
      <c r="J4177" s="8" t="s">
        <v>22</v>
      </c>
      <c r="K4177" s="8" t="s">
        <v>23</v>
      </c>
      <c r="L4177" s="8" t="s">
        <v>17287</v>
      </c>
      <c r="M4177" s="8" t="s">
        <v>17288</v>
      </c>
      <c r="N4177" s="8" t="s">
        <v>18973</v>
      </c>
      <c r="O4177" s="8">
        <f>12+12/60+36.8/3600</f>
        <v>12.210222222222221</v>
      </c>
      <c r="P4177" s="8" t="s">
        <v>18974</v>
      </c>
      <c r="Q4177" s="8">
        <f>-(9+9/60+37/3600)</f>
        <v>-9.1602777777777789</v>
      </c>
      <c r="R4177" s="8">
        <v>14.5</v>
      </c>
      <c r="S4177" s="8">
        <v>15.3</v>
      </c>
      <c r="T4177" s="8">
        <v>0.8</v>
      </c>
      <c r="U4177" s="8">
        <v>13.2</v>
      </c>
      <c r="V4177" s="8">
        <v>0.7</v>
      </c>
      <c r="W4177" s="8">
        <v>0.5</v>
      </c>
      <c r="X4177" s="8">
        <v>55</v>
      </c>
      <c r="Y4177" s="8" t="s">
        <v>21</v>
      </c>
      <c r="Z4177" s="8" t="s">
        <v>18975</v>
      </c>
    </row>
    <row r="4178" spans="1:26" x14ac:dyDescent="0.2">
      <c r="A4178" s="8">
        <v>4177</v>
      </c>
      <c r="B4178" s="8" t="s">
        <v>18976</v>
      </c>
      <c r="C4178" s="8" t="s">
        <v>18976</v>
      </c>
      <c r="F4178" s="47" t="s">
        <v>57218</v>
      </c>
      <c r="G4178" s="8">
        <v>15</v>
      </c>
      <c r="H4178" s="8" t="s">
        <v>21</v>
      </c>
      <c r="I4178" s="8" t="s">
        <v>22</v>
      </c>
      <c r="J4178" s="8" t="s">
        <v>22</v>
      </c>
      <c r="K4178" s="8" t="s">
        <v>160</v>
      </c>
      <c r="L4178" s="8" t="s">
        <v>15925</v>
      </c>
      <c r="M4178" s="8" t="s">
        <v>15926</v>
      </c>
      <c r="N4178" s="8" t="s">
        <v>18977</v>
      </c>
      <c r="O4178" s="8">
        <f>12+12/60+41.2/3600</f>
        <v>12.211444444444444</v>
      </c>
      <c r="P4178" s="8" t="s">
        <v>18978</v>
      </c>
      <c r="Q4178" s="8">
        <f>-(14+0/60+50/3600)</f>
        <v>-14.013888888888889</v>
      </c>
      <c r="R4178" s="8">
        <v>12.5</v>
      </c>
      <c r="S4178" s="8">
        <v>13.2</v>
      </c>
      <c r="T4178" s="8">
        <v>0.7</v>
      </c>
      <c r="U4178" s="8">
        <v>13.1</v>
      </c>
      <c r="V4178" s="8">
        <v>1.7</v>
      </c>
      <c r="W4178" s="8">
        <v>1.2</v>
      </c>
      <c r="X4178" s="8">
        <v>69</v>
      </c>
      <c r="Y4178" s="8" t="s">
        <v>18979</v>
      </c>
      <c r="Z4178" s="8" t="s">
        <v>18980</v>
      </c>
    </row>
    <row r="4179" spans="1:26" x14ac:dyDescent="0.2">
      <c r="A4179" s="8">
        <v>4178</v>
      </c>
      <c r="B4179" s="8" t="s">
        <v>18981</v>
      </c>
      <c r="C4179" s="8" t="s">
        <v>18981</v>
      </c>
      <c r="F4179" s="47"/>
      <c r="G4179" s="8">
        <v>16</v>
      </c>
      <c r="H4179" s="8" t="s">
        <v>21</v>
      </c>
      <c r="I4179" s="8" t="s">
        <v>22</v>
      </c>
      <c r="J4179" s="8" t="s">
        <v>22</v>
      </c>
      <c r="K4179" s="8" t="s">
        <v>1277</v>
      </c>
      <c r="L4179" s="8" t="s">
        <v>17287</v>
      </c>
      <c r="M4179" s="8" t="s">
        <v>17288</v>
      </c>
      <c r="N4179" s="8" t="s">
        <v>18982</v>
      </c>
      <c r="O4179" s="8">
        <f>12+12/60+46.2/3600</f>
        <v>12.212833333333332</v>
      </c>
      <c r="P4179" s="8" t="s">
        <v>18983</v>
      </c>
      <c r="Q4179" s="8">
        <f>+(10+51/60+51/3600)</f>
        <v>10.864166666666666</v>
      </c>
      <c r="R4179" s="8">
        <v>11.4</v>
      </c>
      <c r="S4179" s="8">
        <v>11.9</v>
      </c>
      <c r="T4179" s="8">
        <v>0.5</v>
      </c>
      <c r="U4179" s="8">
        <v>13.7</v>
      </c>
      <c r="V4179" s="8">
        <v>5</v>
      </c>
      <c r="W4179" s="8">
        <v>1.7</v>
      </c>
      <c r="X4179" s="8">
        <v>30</v>
      </c>
      <c r="Y4179" s="8" t="s">
        <v>18984</v>
      </c>
      <c r="Z4179" s="8" t="s">
        <v>18985</v>
      </c>
    </row>
    <row r="4180" spans="1:26" x14ac:dyDescent="0.2">
      <c r="A4180" s="8">
        <v>4179</v>
      </c>
      <c r="B4180" s="8" t="s">
        <v>18986</v>
      </c>
      <c r="C4180" s="8" t="s">
        <v>18986</v>
      </c>
      <c r="F4180" s="47" t="s">
        <v>57219</v>
      </c>
      <c r="G4180" s="8">
        <v>6</v>
      </c>
      <c r="H4180" s="8" t="s">
        <v>21</v>
      </c>
      <c r="I4180" s="8" t="s">
        <v>22</v>
      </c>
      <c r="J4180" s="8" t="s">
        <v>22</v>
      </c>
      <c r="K4180" s="8" t="s">
        <v>37</v>
      </c>
      <c r="L4180" s="8" t="s">
        <v>17287</v>
      </c>
      <c r="M4180" s="8" t="s">
        <v>17288</v>
      </c>
      <c r="N4180" s="8" t="s">
        <v>18987</v>
      </c>
      <c r="O4180" s="8">
        <f>12+12/60+52.1/3600</f>
        <v>12.214472222222222</v>
      </c>
      <c r="P4180" s="8" t="s">
        <v>18988</v>
      </c>
      <c r="Q4180" s="8">
        <f>+(1+17/60+59/3600)</f>
        <v>1.299722222222222</v>
      </c>
      <c r="R4180" s="8">
        <v>11</v>
      </c>
      <c r="S4180" s="8">
        <v>11.9</v>
      </c>
      <c r="T4180" s="8">
        <v>0.9</v>
      </c>
      <c r="U4180" s="8">
        <v>12.5</v>
      </c>
      <c r="V4180" s="8">
        <v>4.2</v>
      </c>
      <c r="W4180" s="8">
        <v>1.3</v>
      </c>
      <c r="X4180" s="8">
        <v>143</v>
      </c>
      <c r="Y4180" s="8" t="s">
        <v>18989</v>
      </c>
      <c r="Z4180" s="8" t="s">
        <v>18990</v>
      </c>
    </row>
    <row r="4181" spans="1:26" x14ac:dyDescent="0.2">
      <c r="A4181" s="8">
        <v>4180</v>
      </c>
      <c r="B4181" s="8" t="s">
        <v>18991</v>
      </c>
      <c r="C4181" s="8" t="s">
        <v>18991</v>
      </c>
      <c r="F4181" s="47" t="s">
        <v>57220</v>
      </c>
      <c r="G4181" s="8">
        <v>15</v>
      </c>
      <c r="H4181" s="8" t="s">
        <v>21</v>
      </c>
      <c r="I4181" s="8" t="s">
        <v>22</v>
      </c>
      <c r="J4181" s="8" t="s">
        <v>22</v>
      </c>
      <c r="K4181" s="8" t="s">
        <v>31</v>
      </c>
      <c r="L4181" s="8" t="s">
        <v>17287</v>
      </c>
      <c r="M4181" s="8" t="s">
        <v>17288</v>
      </c>
      <c r="N4181" s="8" t="s">
        <v>18992</v>
      </c>
      <c r="O4181" s="8">
        <f>12+13/60+3/3600</f>
        <v>12.217499999999999</v>
      </c>
      <c r="P4181" s="8" t="s">
        <v>18993</v>
      </c>
      <c r="Q4181" s="8">
        <f>+(7+2/60+22/3600)</f>
        <v>7.0394444444444444</v>
      </c>
      <c r="R4181" s="8">
        <v>12.6</v>
      </c>
      <c r="S4181" s="8">
        <v>13.4</v>
      </c>
      <c r="T4181" s="8">
        <v>0.8</v>
      </c>
      <c r="U4181" s="8">
        <v>12.4</v>
      </c>
      <c r="V4181" s="8">
        <v>1.5</v>
      </c>
      <c r="W4181" s="8">
        <v>0.5</v>
      </c>
      <c r="X4181" s="8">
        <v>22</v>
      </c>
      <c r="Y4181" s="8" t="s">
        <v>18994</v>
      </c>
      <c r="Z4181" s="8" t="s">
        <v>18995</v>
      </c>
    </row>
    <row r="4182" spans="1:26" x14ac:dyDescent="0.2">
      <c r="A4182" s="8">
        <v>4181</v>
      </c>
      <c r="B4182" s="8" t="s">
        <v>18996</v>
      </c>
      <c r="C4182" s="8" t="s">
        <v>18996</v>
      </c>
      <c r="F4182" s="47" t="s">
        <v>57221</v>
      </c>
      <c r="G4182" s="8">
        <v>15</v>
      </c>
      <c r="H4182" s="8" t="s">
        <v>21</v>
      </c>
      <c r="I4182" s="8" t="s">
        <v>22</v>
      </c>
      <c r="J4182" s="8" t="s">
        <v>22</v>
      </c>
      <c r="K4182" s="8" t="s">
        <v>58</v>
      </c>
      <c r="L4182" s="8" t="s">
        <v>12015</v>
      </c>
      <c r="M4182" s="8" t="s">
        <v>12016</v>
      </c>
      <c r="N4182" s="8" t="s">
        <v>18997</v>
      </c>
      <c r="O4182" s="8">
        <f>12+12/60+48.9/3600</f>
        <v>12.213583333333332</v>
      </c>
      <c r="P4182" s="8" t="s">
        <v>18998</v>
      </c>
      <c r="Q4182" s="8">
        <f>+(52+54/60+14/3600)</f>
        <v>52.903888888888886</v>
      </c>
      <c r="R4182" s="8">
        <v>14</v>
      </c>
      <c r="S4182" s="8">
        <v>15</v>
      </c>
      <c r="T4182" s="8">
        <v>1</v>
      </c>
      <c r="U4182" s="8">
        <v>13.3</v>
      </c>
      <c r="V4182" s="8">
        <v>0.8</v>
      </c>
      <c r="W4182" s="8">
        <v>0.6</v>
      </c>
      <c r="X4182" s="8">
        <v>11</v>
      </c>
      <c r="Y4182" s="8" t="s">
        <v>12566</v>
      </c>
      <c r="Z4182" s="8" t="s">
        <v>12567</v>
      </c>
    </row>
    <row r="4183" spans="1:26" x14ac:dyDescent="0.2">
      <c r="A4183" s="8">
        <v>4182</v>
      </c>
      <c r="B4183" s="8" t="s">
        <v>18999</v>
      </c>
      <c r="C4183" s="8" t="s">
        <v>18999</v>
      </c>
      <c r="F4183" s="47"/>
      <c r="G4183" s="8">
        <v>19</v>
      </c>
      <c r="H4183" s="8" t="s">
        <v>21</v>
      </c>
      <c r="I4183" s="8" t="s">
        <v>72</v>
      </c>
      <c r="J4183" s="8" t="s">
        <v>72</v>
      </c>
      <c r="K4183" s="8" t="s">
        <v>20</v>
      </c>
      <c r="L4183" s="8" t="s">
        <v>17287</v>
      </c>
      <c r="M4183" s="8" t="s">
        <v>17288</v>
      </c>
      <c r="N4183" s="8" t="s">
        <v>19000</v>
      </c>
      <c r="O4183" s="8">
        <f>12+13/60+19.8/3600</f>
        <v>12.222166666666666</v>
      </c>
      <c r="P4183" s="8" t="s">
        <v>19001</v>
      </c>
      <c r="Q4183" s="8">
        <f>+(4+2/60+10/3600)</f>
        <v>4.0361111111111114</v>
      </c>
      <c r="R4183" s="8">
        <v>11.5</v>
      </c>
      <c r="S4183" s="8">
        <v>11.5</v>
      </c>
      <c r="T4183" s="8">
        <v>99</v>
      </c>
      <c r="U4183" s="8">
        <v>99</v>
      </c>
      <c r="Y4183" s="8" t="s">
        <v>21</v>
      </c>
      <c r="Z4183" s="8" t="s">
        <v>19002</v>
      </c>
    </row>
    <row r="4184" spans="1:26" x14ac:dyDescent="0.2">
      <c r="A4184" s="8">
        <v>4183</v>
      </c>
      <c r="B4184" s="8" t="s">
        <v>19003</v>
      </c>
      <c r="C4184" s="8" t="s">
        <v>19003</v>
      </c>
      <c r="F4184" s="47" t="s">
        <v>57222</v>
      </c>
      <c r="G4184" s="8">
        <v>15</v>
      </c>
      <c r="H4184" s="8" t="s">
        <v>21</v>
      </c>
      <c r="I4184" s="8" t="s">
        <v>22</v>
      </c>
      <c r="J4184" s="8" t="s">
        <v>22</v>
      </c>
      <c r="K4184" s="8" t="s">
        <v>160</v>
      </c>
      <c r="L4184" s="8" t="s">
        <v>18681</v>
      </c>
      <c r="M4184" s="8" t="s">
        <v>18682</v>
      </c>
      <c r="N4184" s="8" t="s">
        <v>19004</v>
      </c>
      <c r="O4184" s="8">
        <f>12+13/60+16.8/3600</f>
        <v>12.221333333333334</v>
      </c>
      <c r="P4184" s="8" t="s">
        <v>19005</v>
      </c>
      <c r="Q4184" s="8">
        <f>+(43+41/60+53/3600)</f>
        <v>43.698055555555555</v>
      </c>
      <c r="R4184" s="8">
        <v>12.3</v>
      </c>
      <c r="S4184" s="8">
        <v>12.9</v>
      </c>
      <c r="T4184" s="8">
        <v>0.6</v>
      </c>
      <c r="U4184" s="8">
        <v>13.7</v>
      </c>
      <c r="V4184" s="8">
        <v>5.3</v>
      </c>
      <c r="W4184" s="8">
        <v>0.7</v>
      </c>
      <c r="X4184" s="8">
        <v>166</v>
      </c>
      <c r="Y4184" s="8" t="s">
        <v>21</v>
      </c>
      <c r="Z4184" s="8" t="s">
        <v>19006</v>
      </c>
    </row>
    <row r="4185" spans="1:26" x14ac:dyDescent="0.2">
      <c r="A4185" s="8">
        <v>4184</v>
      </c>
      <c r="B4185" s="8" t="s">
        <v>19007</v>
      </c>
      <c r="C4185" s="8" t="s">
        <v>19007</v>
      </c>
      <c r="F4185" s="47"/>
      <c r="G4185" s="8">
        <v>16</v>
      </c>
      <c r="H4185" s="8" t="s">
        <v>21</v>
      </c>
      <c r="I4185" s="8" t="s">
        <v>557</v>
      </c>
      <c r="J4185" s="8" t="s">
        <v>557</v>
      </c>
      <c r="K4185" s="8" t="s">
        <v>7705</v>
      </c>
      <c r="L4185" s="8" t="s">
        <v>18453</v>
      </c>
      <c r="M4185" s="8" t="s">
        <v>18454</v>
      </c>
      <c r="N4185" s="8" t="s">
        <v>19008</v>
      </c>
      <c r="O4185" s="8">
        <f>12+13/60+32.5/3600</f>
        <v>12.225694444444445</v>
      </c>
      <c r="P4185" s="8" t="s">
        <v>19009</v>
      </c>
      <c r="Q4185" s="8">
        <f>-(62+42/60+47/3600)</f>
        <v>-62.713055555555556</v>
      </c>
      <c r="R4185" s="8">
        <v>99</v>
      </c>
      <c r="S4185" s="8">
        <v>99</v>
      </c>
      <c r="T4185" s="8">
        <v>99</v>
      </c>
      <c r="U4185" s="8">
        <v>99</v>
      </c>
      <c r="V4185" s="8">
        <v>2</v>
      </c>
      <c r="Y4185" s="8" t="s">
        <v>19010</v>
      </c>
      <c r="Z4185" s="8" t="s">
        <v>19011</v>
      </c>
    </row>
    <row r="4186" spans="1:26" x14ac:dyDescent="0.2">
      <c r="A4186" s="8">
        <v>4185</v>
      </c>
      <c r="B4186" s="8" t="s">
        <v>19012</v>
      </c>
      <c r="C4186" s="8" t="s">
        <v>19012</v>
      </c>
      <c r="F4186" s="47" t="s">
        <v>57223</v>
      </c>
      <c r="G4186" s="8">
        <v>6.5</v>
      </c>
      <c r="H4186" s="8" t="s">
        <v>21</v>
      </c>
      <c r="I4186" s="8" t="s">
        <v>22</v>
      </c>
      <c r="J4186" s="8" t="s">
        <v>22</v>
      </c>
      <c r="K4186" s="8" t="s">
        <v>396</v>
      </c>
      <c r="L4186" s="8" t="s">
        <v>18289</v>
      </c>
      <c r="M4186" s="8" t="s">
        <v>18290</v>
      </c>
      <c r="N4186" s="8" t="s">
        <v>19013</v>
      </c>
      <c r="O4186" s="8">
        <f>12+13/60+22.2/3600</f>
        <v>12.222833333333334</v>
      </c>
      <c r="P4186" s="8" t="s">
        <v>19014</v>
      </c>
      <c r="Q4186" s="8">
        <f>+(28+30/60+37/3600)</f>
        <v>28.510277777777777</v>
      </c>
      <c r="R4186" s="8">
        <v>12.1</v>
      </c>
      <c r="S4186" s="8">
        <v>12.9</v>
      </c>
      <c r="T4186" s="8">
        <v>0.8</v>
      </c>
      <c r="U4186" s="8">
        <v>13.7</v>
      </c>
      <c r="V4186" s="8">
        <v>2.6</v>
      </c>
      <c r="W4186" s="8">
        <v>2</v>
      </c>
      <c r="X4186" s="8">
        <v>165</v>
      </c>
      <c r="Y4186" s="8" t="s">
        <v>19015</v>
      </c>
      <c r="Z4186" s="8" t="s">
        <v>19016</v>
      </c>
    </row>
    <row r="4187" spans="1:26" x14ac:dyDescent="0.2">
      <c r="A4187" s="8">
        <v>4186</v>
      </c>
      <c r="B4187" s="8" t="s">
        <v>19017</v>
      </c>
      <c r="C4187" s="8" t="s">
        <v>19017</v>
      </c>
      <c r="F4187" s="47"/>
      <c r="G4187" s="8">
        <v>19</v>
      </c>
      <c r="H4187" s="8" t="s">
        <v>21</v>
      </c>
      <c r="I4187" s="8" t="s">
        <v>22</v>
      </c>
      <c r="J4187" s="8" t="s">
        <v>22</v>
      </c>
      <c r="K4187" s="8" t="s">
        <v>31</v>
      </c>
      <c r="L4187" s="8" t="s">
        <v>18289</v>
      </c>
      <c r="M4187" s="8" t="s">
        <v>18290</v>
      </c>
      <c r="N4187" s="8" t="s">
        <v>19018</v>
      </c>
      <c r="O4187" s="8">
        <f>12+14/60+6.4/3600</f>
        <v>12.235111111111109</v>
      </c>
      <c r="P4187" s="8" t="s">
        <v>19019</v>
      </c>
      <c r="Q4187" s="8">
        <f>+(14+43/60+33/3600)</f>
        <v>14.725833333333334</v>
      </c>
      <c r="R4187" s="8">
        <v>13.8</v>
      </c>
      <c r="S4187" s="8">
        <v>14.6</v>
      </c>
      <c r="T4187" s="8">
        <v>0.8</v>
      </c>
      <c r="U4187" s="8">
        <v>13.4</v>
      </c>
      <c r="V4187" s="8">
        <v>1</v>
      </c>
      <c r="W4187" s="8">
        <v>0.8</v>
      </c>
      <c r="X4187" s="8">
        <v>60</v>
      </c>
      <c r="Y4187" s="8" t="s">
        <v>21</v>
      </c>
      <c r="Z4187" s="8" t="s">
        <v>19020</v>
      </c>
    </row>
    <row r="4188" spans="1:26" x14ac:dyDescent="0.2">
      <c r="A4188" s="8">
        <v>4187</v>
      </c>
      <c r="B4188" s="8" t="s">
        <v>19021</v>
      </c>
      <c r="C4188" s="8" t="s">
        <v>19021</v>
      </c>
      <c r="F4188" s="47" t="s">
        <v>57224</v>
      </c>
      <c r="G4188" s="8">
        <v>15</v>
      </c>
      <c r="H4188" s="8" t="s">
        <v>21</v>
      </c>
      <c r="I4188" s="8" t="s">
        <v>22</v>
      </c>
      <c r="J4188" s="8" t="s">
        <v>22</v>
      </c>
      <c r="K4188" s="8" t="s">
        <v>1136</v>
      </c>
      <c r="L4188" s="8" t="s">
        <v>18681</v>
      </c>
      <c r="M4188" s="8" t="s">
        <v>18682</v>
      </c>
      <c r="N4188" s="8" t="s">
        <v>19022</v>
      </c>
      <c r="O4188" s="8">
        <f>12+13/60+29.3/3600</f>
        <v>12.224805555555555</v>
      </c>
      <c r="P4188" s="8" t="s">
        <v>19023</v>
      </c>
      <c r="Q4188" s="8">
        <f>+(50+44/60+30/3600)</f>
        <v>50.741666666666667</v>
      </c>
      <c r="R4188" s="8">
        <v>13.2</v>
      </c>
      <c r="S4188" s="8">
        <v>14.2</v>
      </c>
      <c r="T4188" s="8">
        <v>1</v>
      </c>
      <c r="U4188" s="8">
        <v>13.6</v>
      </c>
      <c r="V4188" s="8">
        <v>1.3</v>
      </c>
      <c r="W4188" s="8">
        <v>1</v>
      </c>
      <c r="X4188" s="8">
        <v>145</v>
      </c>
      <c r="Y4188" s="8" t="s">
        <v>19024</v>
      </c>
      <c r="Z4188" s="8" t="s">
        <v>19025</v>
      </c>
    </row>
    <row r="4189" spans="1:26" x14ac:dyDescent="0.2">
      <c r="A4189" s="8">
        <v>4188</v>
      </c>
      <c r="B4189" s="8" t="s">
        <v>19026</v>
      </c>
      <c r="C4189" s="8" t="s">
        <v>19026</v>
      </c>
      <c r="F4189" s="47"/>
      <c r="G4189" s="8">
        <v>19</v>
      </c>
      <c r="H4189" s="8" t="s">
        <v>21</v>
      </c>
      <c r="I4189" s="8" t="s">
        <v>22</v>
      </c>
      <c r="J4189" s="8" t="s">
        <v>22</v>
      </c>
      <c r="K4189" s="8" t="s">
        <v>23</v>
      </c>
      <c r="L4189" s="8" t="s">
        <v>15925</v>
      </c>
      <c r="M4189" s="8" t="s">
        <v>15926</v>
      </c>
      <c r="N4189" s="8" t="s">
        <v>19027</v>
      </c>
      <c r="O4189" s="8">
        <f>12+14/60+7.4/3600</f>
        <v>12.235388888888888</v>
      </c>
      <c r="P4189" s="8" t="s">
        <v>19028</v>
      </c>
      <c r="Q4189" s="8">
        <f>-(12+35/60+10/3600)</f>
        <v>-12.586111111111112</v>
      </c>
      <c r="R4189" s="8">
        <v>13.7</v>
      </c>
      <c r="S4189" s="8">
        <v>14.5</v>
      </c>
      <c r="T4189" s="8">
        <v>0.8</v>
      </c>
      <c r="U4189" s="8">
        <v>12.6</v>
      </c>
      <c r="V4189" s="8">
        <v>0.7</v>
      </c>
      <c r="W4189" s="8">
        <v>0.6</v>
      </c>
      <c r="X4189" s="8">
        <v>80</v>
      </c>
      <c r="Y4189" s="8" t="s">
        <v>17524</v>
      </c>
      <c r="Z4189" s="8" t="s">
        <v>17525</v>
      </c>
    </row>
    <row r="4190" spans="1:26" x14ac:dyDescent="0.2">
      <c r="A4190" s="8">
        <v>4189</v>
      </c>
      <c r="B4190" s="8" t="s">
        <v>19029</v>
      </c>
      <c r="C4190" s="8" t="s">
        <v>19029</v>
      </c>
      <c r="F4190" s="47" t="s">
        <v>57225</v>
      </c>
      <c r="G4190" s="8">
        <v>6.5</v>
      </c>
      <c r="H4190" s="8" t="s">
        <v>21</v>
      </c>
      <c r="I4190" s="8" t="s">
        <v>22</v>
      </c>
      <c r="J4190" s="8" t="s">
        <v>22</v>
      </c>
      <c r="K4190" s="8" t="s">
        <v>64</v>
      </c>
      <c r="L4190" s="8" t="s">
        <v>18289</v>
      </c>
      <c r="M4190" s="8" t="s">
        <v>18290</v>
      </c>
      <c r="N4190" s="8" t="s">
        <v>19030</v>
      </c>
      <c r="O4190" s="8">
        <f>12+13/60+47.2/3600</f>
        <v>12.229777777777779</v>
      </c>
      <c r="P4190" s="8" t="s">
        <v>19031</v>
      </c>
      <c r="Q4190" s="8">
        <f>+(13+25/60+29/3600)</f>
        <v>13.424722222222222</v>
      </c>
      <c r="R4190" s="8">
        <v>11.7</v>
      </c>
      <c r="S4190" s="8">
        <v>12.5</v>
      </c>
      <c r="T4190" s="8">
        <v>0.8</v>
      </c>
      <c r="U4190" s="8">
        <v>13.1</v>
      </c>
      <c r="V4190" s="8">
        <v>2.5</v>
      </c>
      <c r="W4190" s="8">
        <v>1.7</v>
      </c>
      <c r="X4190" s="8">
        <v>85</v>
      </c>
      <c r="Y4190" s="8" t="s">
        <v>19032</v>
      </c>
      <c r="Z4190" s="8" t="s">
        <v>19033</v>
      </c>
    </row>
    <row r="4191" spans="1:26" x14ac:dyDescent="0.2">
      <c r="A4191" s="8">
        <v>4190</v>
      </c>
      <c r="B4191" s="8" t="s">
        <v>19034</v>
      </c>
      <c r="C4191" s="8" t="s">
        <v>19034</v>
      </c>
      <c r="F4191" s="47" t="s">
        <v>57226</v>
      </c>
      <c r="G4191" s="8">
        <v>13</v>
      </c>
      <c r="H4191" s="8" t="s">
        <v>21</v>
      </c>
      <c r="I4191" s="8" t="s">
        <v>22</v>
      </c>
      <c r="J4191" s="8" t="s">
        <v>22</v>
      </c>
      <c r="K4191" s="8" t="s">
        <v>18185</v>
      </c>
      <c r="L4191" s="8" t="s">
        <v>18681</v>
      </c>
      <c r="M4191" s="8" t="s">
        <v>18682</v>
      </c>
      <c r="N4191" s="8" t="s">
        <v>19035</v>
      </c>
      <c r="O4191" s="8">
        <f>12+13/60+44.4/3600</f>
        <v>12.229000000000001</v>
      </c>
      <c r="P4191" s="8" t="s">
        <v>19036</v>
      </c>
      <c r="Q4191" s="8">
        <f>+(36+38/60+1/3600)</f>
        <v>36.633611111111108</v>
      </c>
      <c r="R4191" s="8">
        <v>13.3</v>
      </c>
      <c r="S4191" s="8">
        <v>13.9</v>
      </c>
      <c r="T4191" s="8">
        <v>0.6</v>
      </c>
      <c r="U4191" s="8">
        <v>14.2</v>
      </c>
      <c r="V4191" s="8">
        <v>1.7</v>
      </c>
      <c r="W4191" s="8">
        <v>1.6</v>
      </c>
      <c r="X4191" s="8">
        <v>24</v>
      </c>
      <c r="Y4191" s="8" t="s">
        <v>19037</v>
      </c>
      <c r="Z4191" s="8" t="s">
        <v>19038</v>
      </c>
    </row>
    <row r="4192" spans="1:26" x14ac:dyDescent="0.2">
      <c r="A4192" s="8">
        <v>4191</v>
      </c>
      <c r="B4192" s="8" t="s">
        <v>19039</v>
      </c>
      <c r="C4192" s="8" t="s">
        <v>19039</v>
      </c>
      <c r="F4192" s="47"/>
      <c r="G4192" s="8">
        <v>16</v>
      </c>
      <c r="H4192" s="8" t="s">
        <v>21</v>
      </c>
      <c r="I4192" s="8" t="s">
        <v>22</v>
      </c>
      <c r="J4192" s="8" t="s">
        <v>22</v>
      </c>
      <c r="K4192" s="8" t="s">
        <v>37</v>
      </c>
      <c r="L4192" s="8" t="s">
        <v>17287</v>
      </c>
      <c r="M4192" s="8" t="s">
        <v>17288</v>
      </c>
      <c r="N4192" s="8" t="s">
        <v>19040</v>
      </c>
      <c r="O4192" s="8">
        <f>12+13/60+50.3/3600</f>
        <v>12.230638888888889</v>
      </c>
      <c r="P4192" s="8" t="s">
        <v>19041</v>
      </c>
      <c r="Q4192" s="8">
        <f>+(7+12/60+3/3600)</f>
        <v>7.2008333333333336</v>
      </c>
      <c r="R4192" s="8">
        <v>12.8</v>
      </c>
      <c r="S4192" s="8">
        <v>13.8</v>
      </c>
      <c r="T4192" s="8">
        <v>1</v>
      </c>
      <c r="U4192" s="8">
        <v>12.6</v>
      </c>
      <c r="V4192" s="8">
        <v>1.2</v>
      </c>
      <c r="W4192" s="8">
        <v>0.8</v>
      </c>
      <c r="X4192" s="8">
        <v>5</v>
      </c>
      <c r="Y4192" s="8" t="s">
        <v>21</v>
      </c>
      <c r="Z4192" s="8" t="s">
        <v>19042</v>
      </c>
    </row>
    <row r="4193" spans="1:26" x14ac:dyDescent="0.2">
      <c r="A4193" s="8">
        <v>4192</v>
      </c>
      <c r="B4193" s="8" t="s">
        <v>19043</v>
      </c>
      <c r="C4193" s="8" t="s">
        <v>55897</v>
      </c>
      <c r="F4193" s="47"/>
      <c r="G4193" s="8">
        <v>1</v>
      </c>
      <c r="H4193" s="8" t="s">
        <v>21</v>
      </c>
      <c r="I4193" s="8" t="s">
        <v>22</v>
      </c>
      <c r="J4193" s="8" t="s">
        <v>22</v>
      </c>
      <c r="K4193" s="8" t="s">
        <v>218</v>
      </c>
      <c r="L4193" s="8" t="s">
        <v>18289</v>
      </c>
      <c r="M4193" s="8" t="s">
        <v>18290</v>
      </c>
      <c r="N4193" s="8" t="s">
        <v>19044</v>
      </c>
      <c r="O4193" s="8">
        <f>12+13/60+47.8/3600</f>
        <v>12.229944444444445</v>
      </c>
      <c r="P4193" s="8" t="s">
        <v>19045</v>
      </c>
      <c r="Q4193" s="8">
        <f>+(14+53/60+58/3600)</f>
        <v>14.899444444444445</v>
      </c>
      <c r="R4193" s="8">
        <v>10.1</v>
      </c>
      <c r="S4193" s="8">
        <v>11</v>
      </c>
      <c r="T4193" s="8">
        <v>0.9</v>
      </c>
      <c r="U4193" s="8">
        <v>13.5</v>
      </c>
      <c r="V4193" s="8">
        <v>9.8000000000000007</v>
      </c>
      <c r="W4193" s="8">
        <v>2.8</v>
      </c>
      <c r="X4193" s="8">
        <v>155</v>
      </c>
      <c r="Y4193" s="8" t="s">
        <v>18922</v>
      </c>
      <c r="Z4193" s="8" t="s">
        <v>19046</v>
      </c>
    </row>
    <row r="4194" spans="1:26" x14ac:dyDescent="0.2">
      <c r="A4194" s="8">
        <v>4193</v>
      </c>
      <c r="B4194" s="8" t="s">
        <v>19047</v>
      </c>
      <c r="C4194" s="8" t="s">
        <v>19047</v>
      </c>
      <c r="F4194" s="47" t="s">
        <v>57227</v>
      </c>
      <c r="G4194" s="8">
        <v>15</v>
      </c>
      <c r="H4194" s="8" t="s">
        <v>21</v>
      </c>
      <c r="I4194" s="8" t="s">
        <v>22</v>
      </c>
      <c r="J4194" s="8" t="s">
        <v>22</v>
      </c>
      <c r="K4194" s="8" t="s">
        <v>85</v>
      </c>
      <c r="L4194" s="8" t="s">
        <v>17287</v>
      </c>
      <c r="M4194" s="8" t="s">
        <v>17288</v>
      </c>
      <c r="N4194" s="8" t="s">
        <v>19048</v>
      </c>
      <c r="O4194" s="8">
        <f>12+13/60+53.4/3600</f>
        <v>12.2315</v>
      </c>
      <c r="P4194" s="8" t="s">
        <v>19049</v>
      </c>
      <c r="Q4194" s="8">
        <f>+(13+10/60+22/3600)</f>
        <v>13.172777777777776</v>
      </c>
      <c r="R4194" s="8">
        <v>12.3</v>
      </c>
      <c r="S4194" s="8">
        <v>13.2</v>
      </c>
      <c r="T4194" s="8">
        <v>0.9</v>
      </c>
      <c r="U4194" s="8">
        <v>13</v>
      </c>
      <c r="V4194" s="8">
        <v>2.2000000000000002</v>
      </c>
      <c r="W4194" s="8">
        <v>1.1000000000000001</v>
      </c>
      <c r="X4194" s="8">
        <v>93</v>
      </c>
      <c r="Y4194" s="8" t="s">
        <v>19050</v>
      </c>
      <c r="Z4194" s="8" t="s">
        <v>19051</v>
      </c>
    </row>
    <row r="4195" spans="1:26" x14ac:dyDescent="0.2">
      <c r="A4195" s="8">
        <v>4194</v>
      </c>
      <c r="B4195" s="8" t="s">
        <v>19052</v>
      </c>
      <c r="C4195" s="8" t="s">
        <v>19052</v>
      </c>
      <c r="F4195" s="47" t="s">
        <v>57228</v>
      </c>
      <c r="G4195" s="8">
        <v>14</v>
      </c>
      <c r="H4195" s="8" t="s">
        <v>19053</v>
      </c>
      <c r="I4195" s="8" t="s">
        <v>22</v>
      </c>
      <c r="J4195" s="8" t="s">
        <v>22</v>
      </c>
      <c r="K4195" s="8" t="s">
        <v>483</v>
      </c>
      <c r="L4195" s="8" t="s">
        <v>12015</v>
      </c>
      <c r="M4195" s="8" t="s">
        <v>12016</v>
      </c>
      <c r="N4195" s="8" t="s">
        <v>19054</v>
      </c>
      <c r="O4195" s="8">
        <f>12+14/60+9.7/3600</f>
        <v>12.236027777777776</v>
      </c>
      <c r="P4195" s="8" t="s">
        <v>19055</v>
      </c>
      <c r="Q4195" s="8">
        <f>+(54+31/60+35/3600)</f>
        <v>54.526388888888889</v>
      </c>
      <c r="R4195" s="8">
        <v>12.5</v>
      </c>
      <c r="S4195" s="8">
        <v>13</v>
      </c>
      <c r="T4195" s="8">
        <v>0.5</v>
      </c>
      <c r="U4195" s="8">
        <v>13.1</v>
      </c>
      <c r="V4195" s="8">
        <v>2.7</v>
      </c>
      <c r="W4195" s="8">
        <v>1.6</v>
      </c>
      <c r="X4195" s="8">
        <v>168</v>
      </c>
      <c r="Y4195" s="8" t="s">
        <v>19056</v>
      </c>
      <c r="Z4195" s="8" t="s">
        <v>19057</v>
      </c>
    </row>
    <row r="4196" spans="1:26" x14ac:dyDescent="0.2">
      <c r="A4196" s="8">
        <v>4195</v>
      </c>
      <c r="B4196" s="8" t="s">
        <v>19058</v>
      </c>
      <c r="C4196" s="8" t="s">
        <v>19058</v>
      </c>
      <c r="F4196" s="47" t="s">
        <v>57229</v>
      </c>
      <c r="G4196" s="8">
        <v>15</v>
      </c>
      <c r="H4196" s="8" t="s">
        <v>21</v>
      </c>
      <c r="I4196" s="8" t="s">
        <v>22</v>
      </c>
      <c r="J4196" s="8" t="s">
        <v>22</v>
      </c>
      <c r="K4196" s="8" t="s">
        <v>64</v>
      </c>
      <c r="L4196" s="8" t="s">
        <v>12015</v>
      </c>
      <c r="M4196" s="8" t="s">
        <v>12016</v>
      </c>
      <c r="N4196" s="8" t="s">
        <v>19059</v>
      </c>
      <c r="O4196" s="8">
        <f>12+14/60+18.1/3600</f>
        <v>12.238361111111111</v>
      </c>
      <c r="P4196" s="8" t="s">
        <v>19060</v>
      </c>
      <c r="Q4196" s="8">
        <f>+(59+36/60+56/3600)</f>
        <v>59.615555555555559</v>
      </c>
      <c r="R4196" s="8">
        <v>14.2</v>
      </c>
      <c r="S4196" s="8">
        <v>14.9</v>
      </c>
      <c r="T4196" s="8">
        <v>0.7</v>
      </c>
      <c r="U4196" s="8">
        <v>14.9</v>
      </c>
      <c r="V4196" s="8">
        <v>1.6</v>
      </c>
      <c r="W4196" s="8">
        <v>1.4</v>
      </c>
      <c r="X4196" s="8">
        <v>117</v>
      </c>
      <c r="Y4196" s="8" t="s">
        <v>47</v>
      </c>
      <c r="Z4196" s="8" t="s">
        <v>48</v>
      </c>
    </row>
    <row r="4197" spans="1:26" x14ac:dyDescent="0.2">
      <c r="A4197" s="8">
        <v>4196</v>
      </c>
      <c r="B4197" s="8" t="s">
        <v>19061</v>
      </c>
      <c r="C4197" s="8" t="s">
        <v>19061</v>
      </c>
      <c r="F4197" s="47" t="s">
        <v>57230</v>
      </c>
      <c r="G4197" s="8">
        <v>15</v>
      </c>
      <c r="H4197" s="8" t="s">
        <v>21</v>
      </c>
      <c r="I4197" s="8" t="s">
        <v>22</v>
      </c>
      <c r="J4197" s="8" t="s">
        <v>22</v>
      </c>
      <c r="K4197" s="8" t="s">
        <v>37</v>
      </c>
      <c r="L4197" s="8" t="s">
        <v>18289</v>
      </c>
      <c r="M4197" s="8" t="s">
        <v>18290</v>
      </c>
      <c r="N4197" s="8" t="s">
        <v>19062</v>
      </c>
      <c r="O4197" s="8">
        <f>12+14/60+29.6/3600</f>
        <v>12.241555555555555</v>
      </c>
      <c r="P4197" s="8" t="s">
        <v>19063</v>
      </c>
      <c r="Q4197" s="8">
        <f>+(28+25/60+25/3600)</f>
        <v>28.423611111111111</v>
      </c>
      <c r="R4197" s="8">
        <v>12.8</v>
      </c>
      <c r="S4197" s="8">
        <v>13.8</v>
      </c>
      <c r="T4197" s="8">
        <v>1</v>
      </c>
      <c r="U4197" s="8">
        <v>13.4</v>
      </c>
      <c r="V4197" s="8">
        <v>1.6</v>
      </c>
      <c r="W4197" s="8">
        <v>1.2</v>
      </c>
      <c r="X4197" s="8">
        <v>60</v>
      </c>
      <c r="Y4197" s="8" t="s">
        <v>21</v>
      </c>
      <c r="Z4197" s="8" t="s">
        <v>19064</v>
      </c>
    </row>
    <row r="4198" spans="1:26" x14ac:dyDescent="0.2">
      <c r="A4198" s="8">
        <v>4197</v>
      </c>
      <c r="B4198" s="8" t="s">
        <v>19065</v>
      </c>
      <c r="C4198" s="8" t="s">
        <v>19065</v>
      </c>
      <c r="F4198" s="47" t="s">
        <v>57231</v>
      </c>
      <c r="G4198" s="8">
        <v>15</v>
      </c>
      <c r="H4198" s="8" t="s">
        <v>21</v>
      </c>
      <c r="I4198" s="8" t="s">
        <v>22</v>
      </c>
      <c r="J4198" s="8" t="s">
        <v>22</v>
      </c>
      <c r="K4198" s="8" t="s">
        <v>160</v>
      </c>
      <c r="L4198" s="8" t="s">
        <v>17287</v>
      </c>
      <c r="M4198" s="8" t="s">
        <v>17288</v>
      </c>
      <c r="N4198" s="8" t="s">
        <v>19066</v>
      </c>
      <c r="O4198" s="8">
        <f>12+14/60+38.6/3600</f>
        <v>12.244055555555555</v>
      </c>
      <c r="P4198" s="8" t="s">
        <v>19067</v>
      </c>
      <c r="Q4198" s="8">
        <f>+(5+48/60+22/3600)</f>
        <v>5.806111111111111</v>
      </c>
      <c r="R4198" s="8">
        <v>12.8</v>
      </c>
      <c r="S4198" s="8">
        <v>13.5</v>
      </c>
      <c r="T4198" s="8">
        <v>0.7</v>
      </c>
      <c r="U4198" s="8">
        <v>13.5</v>
      </c>
      <c r="V4198" s="8">
        <v>3.4</v>
      </c>
      <c r="W4198" s="8">
        <v>0.6</v>
      </c>
      <c r="X4198" s="8">
        <v>36</v>
      </c>
      <c r="Y4198" s="8" t="s">
        <v>19068</v>
      </c>
      <c r="Z4198" s="8" t="s">
        <v>19069</v>
      </c>
    </row>
    <row r="4199" spans="1:26" x14ac:dyDescent="0.2">
      <c r="A4199" s="8">
        <v>4198</v>
      </c>
      <c r="B4199" s="8" t="s">
        <v>19070</v>
      </c>
      <c r="C4199" s="8" t="s">
        <v>19070</v>
      </c>
      <c r="F4199" s="47" t="s">
        <v>57232</v>
      </c>
      <c r="G4199" s="8">
        <v>15</v>
      </c>
      <c r="H4199" s="8" t="s">
        <v>21</v>
      </c>
      <c r="I4199" s="8" t="s">
        <v>22</v>
      </c>
      <c r="J4199" s="8" t="s">
        <v>22</v>
      </c>
      <c r="K4199" s="8" t="s">
        <v>632</v>
      </c>
      <c r="L4199" s="8" t="s">
        <v>12015</v>
      </c>
      <c r="M4199" s="8" t="s">
        <v>12016</v>
      </c>
      <c r="N4199" s="8" t="s">
        <v>19071</v>
      </c>
      <c r="O4199" s="8">
        <f>12+14/60+21.8/3600</f>
        <v>12.239388888888888</v>
      </c>
      <c r="P4199" s="8" t="s">
        <v>19072</v>
      </c>
      <c r="Q4199" s="8">
        <f>+(56+0/60+42/3600)</f>
        <v>56.011666666666663</v>
      </c>
      <c r="R4199" s="8">
        <v>13.6</v>
      </c>
      <c r="S4199" s="8">
        <v>14.5</v>
      </c>
      <c r="T4199" s="8">
        <v>0.9</v>
      </c>
      <c r="U4199" s="8">
        <v>13.2</v>
      </c>
      <c r="V4199" s="8">
        <v>1</v>
      </c>
      <c r="W4199" s="8">
        <v>0.6</v>
      </c>
      <c r="X4199" s="8">
        <v>130</v>
      </c>
      <c r="Y4199" s="8" t="s">
        <v>19073</v>
      </c>
      <c r="Z4199" s="8" t="s">
        <v>19074</v>
      </c>
    </row>
    <row r="4200" spans="1:26" x14ac:dyDescent="0.2">
      <c r="A4200" s="8">
        <v>4199</v>
      </c>
      <c r="B4200" s="8" t="s">
        <v>19075</v>
      </c>
      <c r="C4200" s="8" t="s">
        <v>19075</v>
      </c>
      <c r="E4200" s="8">
        <v>1</v>
      </c>
      <c r="F4200" s="47" t="s">
        <v>57233</v>
      </c>
      <c r="G4200" s="8">
        <v>15</v>
      </c>
      <c r="H4200" s="8" t="s">
        <v>21</v>
      </c>
      <c r="I4200" s="8" t="s">
        <v>22</v>
      </c>
      <c r="J4200" s="8" t="s">
        <v>22</v>
      </c>
      <c r="K4200" s="8" t="s">
        <v>476</v>
      </c>
      <c r="L4200" s="8" t="s">
        <v>12015</v>
      </c>
      <c r="M4200" s="8" t="s">
        <v>12016</v>
      </c>
      <c r="N4200" s="8" t="s">
        <v>19076</v>
      </c>
      <c r="O4200" s="8">
        <f>12+14/60+48.6/3600</f>
        <v>12.246833333333333</v>
      </c>
      <c r="P4200" s="8" t="s">
        <v>19077</v>
      </c>
      <c r="Q4200" s="8">
        <f>+(59+54/60+23/3600)</f>
        <v>59.906388888888884</v>
      </c>
      <c r="R4200" s="8">
        <v>14.3</v>
      </c>
      <c r="S4200" s="8">
        <v>15.2</v>
      </c>
      <c r="T4200" s="8">
        <v>0.9</v>
      </c>
      <c r="U4200" s="8">
        <v>12.6</v>
      </c>
      <c r="V4200" s="8">
        <v>0.5</v>
      </c>
      <c r="W4200" s="8">
        <v>0.5</v>
      </c>
      <c r="Y4200" s="8" t="s">
        <v>1511</v>
      </c>
      <c r="Z4200" s="8" t="s">
        <v>1512</v>
      </c>
    </row>
    <row r="4201" spans="1:26" x14ac:dyDescent="0.2">
      <c r="A4201" s="8">
        <v>4200</v>
      </c>
      <c r="B4201" s="8" t="s">
        <v>19078</v>
      </c>
      <c r="C4201" s="8" t="s">
        <v>19078</v>
      </c>
      <c r="F4201" s="47" t="s">
        <v>57234</v>
      </c>
      <c r="G4201" s="8">
        <v>15</v>
      </c>
      <c r="H4201" s="8" t="s">
        <v>21</v>
      </c>
      <c r="I4201" s="8" t="s">
        <v>22</v>
      </c>
      <c r="J4201" s="8" t="s">
        <v>22</v>
      </c>
      <c r="K4201" s="8" t="s">
        <v>37</v>
      </c>
      <c r="L4201" s="8" t="s">
        <v>17287</v>
      </c>
      <c r="M4201" s="8" t="s">
        <v>17288</v>
      </c>
      <c r="N4201" s="8" t="s">
        <v>19079</v>
      </c>
      <c r="O4201" s="8">
        <f>12+14/60+44.3/3600</f>
        <v>12.245638888888887</v>
      </c>
      <c r="P4201" s="8" t="s">
        <v>19080</v>
      </c>
      <c r="Q4201" s="8">
        <f>+(12+10/60+51/3600)</f>
        <v>12.180833333333332</v>
      </c>
      <c r="R4201" s="8">
        <v>13</v>
      </c>
      <c r="S4201" s="8">
        <v>13.9</v>
      </c>
      <c r="T4201" s="8">
        <v>0.9</v>
      </c>
      <c r="U4201" s="8">
        <v>13.1</v>
      </c>
      <c r="V4201" s="8">
        <v>1.5</v>
      </c>
      <c r="W4201" s="8">
        <v>0.8</v>
      </c>
      <c r="X4201" s="8">
        <v>98</v>
      </c>
      <c r="Y4201" s="8" t="s">
        <v>19081</v>
      </c>
      <c r="Z4201" s="8" t="s">
        <v>19082</v>
      </c>
    </row>
    <row r="4202" spans="1:26" x14ac:dyDescent="0.2">
      <c r="A4202" s="8">
        <v>4201</v>
      </c>
      <c r="B4202" s="8" t="s">
        <v>19083</v>
      </c>
      <c r="C4202" s="8" t="s">
        <v>19083</v>
      </c>
      <c r="F4202" s="47"/>
      <c r="G4202" s="8">
        <v>19</v>
      </c>
      <c r="H4202" s="8" t="s">
        <v>21</v>
      </c>
      <c r="I4202" s="8" t="s">
        <v>22</v>
      </c>
      <c r="J4202" s="8" t="s">
        <v>22</v>
      </c>
      <c r="K4202" s="8" t="s">
        <v>37</v>
      </c>
      <c r="L4202" s="8" t="s">
        <v>17287</v>
      </c>
      <c r="M4202" s="8" t="s">
        <v>17288</v>
      </c>
      <c r="N4202" s="8" t="s">
        <v>19084</v>
      </c>
      <c r="O4202" s="8">
        <f>12+14/60+41.9/3600</f>
        <v>12.244972222222222</v>
      </c>
      <c r="P4202" s="8" t="s">
        <v>19085</v>
      </c>
      <c r="Q4202" s="8">
        <f>-(11+35/60+0/3600)</f>
        <v>-11.583333333333334</v>
      </c>
      <c r="R4202" s="8">
        <v>13.6</v>
      </c>
      <c r="S4202" s="8">
        <v>14.6</v>
      </c>
      <c r="T4202" s="8">
        <v>1</v>
      </c>
      <c r="U4202" s="8">
        <v>13.1</v>
      </c>
      <c r="V4202" s="8">
        <v>0.9</v>
      </c>
      <c r="W4202" s="8">
        <v>0.8</v>
      </c>
      <c r="X4202" s="8">
        <v>80</v>
      </c>
      <c r="Y4202" s="8" t="s">
        <v>1197</v>
      </c>
      <c r="Z4202" s="8" t="s">
        <v>1198</v>
      </c>
    </row>
    <row r="4203" spans="1:26" x14ac:dyDescent="0.2">
      <c r="A4203" s="8">
        <v>4202</v>
      </c>
      <c r="B4203" s="8" t="s">
        <v>19086</v>
      </c>
      <c r="C4203" s="8" t="s">
        <v>19086</v>
      </c>
      <c r="F4203" s="47"/>
      <c r="G4203" s="8">
        <v>19</v>
      </c>
      <c r="H4203" s="8" t="s">
        <v>21</v>
      </c>
      <c r="I4203" s="8" t="s">
        <v>22</v>
      </c>
      <c r="J4203" s="8" t="s">
        <v>22</v>
      </c>
      <c r="K4203" s="8" t="s">
        <v>396</v>
      </c>
      <c r="L4203" s="8" t="s">
        <v>17287</v>
      </c>
      <c r="M4203" s="8" t="s">
        <v>17288</v>
      </c>
      <c r="N4203" s="8" t="s">
        <v>19087</v>
      </c>
      <c r="O4203" s="8">
        <f>12+18/60+8.5/3600</f>
        <v>12.302361111111113</v>
      </c>
      <c r="P4203" s="8" t="s">
        <v>19088</v>
      </c>
      <c r="Q4203" s="8">
        <f>-(1+3/60+50/3600)</f>
        <v>-1.0638888888888889</v>
      </c>
      <c r="R4203" s="8">
        <v>13.6</v>
      </c>
      <c r="S4203" s="8">
        <v>14.4</v>
      </c>
      <c r="T4203" s="8">
        <v>0.8</v>
      </c>
      <c r="U4203" s="8">
        <v>13.2</v>
      </c>
      <c r="V4203" s="8">
        <v>1.2</v>
      </c>
      <c r="W4203" s="8">
        <v>0.7</v>
      </c>
      <c r="X4203" s="8">
        <v>127</v>
      </c>
      <c r="Y4203" s="8" t="s">
        <v>19089</v>
      </c>
      <c r="Z4203" s="8" t="s">
        <v>19090</v>
      </c>
    </row>
    <row r="4204" spans="1:26" x14ac:dyDescent="0.2">
      <c r="A4204" s="8">
        <v>4203</v>
      </c>
      <c r="B4204" s="8" t="s">
        <v>19091</v>
      </c>
      <c r="C4204" s="8" t="s">
        <v>19091</v>
      </c>
      <c r="F4204" s="47" t="s">
        <v>57235</v>
      </c>
      <c r="G4204" s="8">
        <v>6</v>
      </c>
      <c r="H4204" s="8" t="s">
        <v>21</v>
      </c>
      <c r="I4204" s="8" t="s">
        <v>22</v>
      </c>
      <c r="J4204" s="8" t="s">
        <v>22</v>
      </c>
      <c r="K4204" s="8" t="s">
        <v>118</v>
      </c>
      <c r="L4204" s="8" t="s">
        <v>18289</v>
      </c>
      <c r="M4204" s="8" t="s">
        <v>18290</v>
      </c>
      <c r="N4204" s="8" t="s">
        <v>19092</v>
      </c>
      <c r="O4204" s="8">
        <f>12+15/60+5/3600</f>
        <v>12.251388888888888</v>
      </c>
      <c r="P4204" s="8" t="s">
        <v>19093</v>
      </c>
      <c r="Q4204" s="8">
        <f>+(33+11/60+51/3600)</f>
        <v>33.197499999999998</v>
      </c>
      <c r="R4204" s="8">
        <v>10.9</v>
      </c>
      <c r="S4204" s="8">
        <v>11.8</v>
      </c>
      <c r="T4204" s="8">
        <v>0.9</v>
      </c>
      <c r="U4204" s="8">
        <v>13.3</v>
      </c>
      <c r="V4204" s="8">
        <v>3.5</v>
      </c>
      <c r="W4204" s="8">
        <v>3.2</v>
      </c>
      <c r="X4204" s="8">
        <v>10</v>
      </c>
      <c r="Y4204" s="8" t="s">
        <v>9317</v>
      </c>
      <c r="Z4204" s="8" t="s">
        <v>9318</v>
      </c>
    </row>
    <row r="4205" spans="1:26" x14ac:dyDescent="0.2">
      <c r="A4205" s="8">
        <v>4204</v>
      </c>
      <c r="B4205" s="8" t="s">
        <v>19094</v>
      </c>
      <c r="C4205" s="8" t="s">
        <v>19094</v>
      </c>
      <c r="F4205" s="47" t="s">
        <v>57236</v>
      </c>
      <c r="G4205" s="8">
        <v>15</v>
      </c>
      <c r="H4205" s="8" t="s">
        <v>21</v>
      </c>
      <c r="I4205" s="8" t="s">
        <v>22</v>
      </c>
      <c r="J4205" s="8" t="s">
        <v>22</v>
      </c>
      <c r="K4205" s="8" t="s">
        <v>773</v>
      </c>
      <c r="L4205" s="8" t="s">
        <v>18289</v>
      </c>
      <c r="M4205" s="8" t="s">
        <v>18290</v>
      </c>
      <c r="N4205" s="8" t="s">
        <v>19095</v>
      </c>
      <c r="O4205" s="8">
        <f>12+15/60+14.2/3600</f>
        <v>12.253944444444445</v>
      </c>
      <c r="P4205" s="8" t="s">
        <v>19096</v>
      </c>
      <c r="Q4205" s="8">
        <f>+(20+39/60+32/3600)</f>
        <v>20.658888888888889</v>
      </c>
      <c r="R4205" s="8">
        <v>12.3</v>
      </c>
      <c r="S4205" s="8">
        <v>12.9</v>
      </c>
      <c r="T4205" s="8">
        <v>0.6</v>
      </c>
      <c r="U4205" s="8">
        <v>14.7</v>
      </c>
      <c r="V4205" s="8">
        <v>3.6</v>
      </c>
      <c r="W4205" s="8">
        <v>2.9</v>
      </c>
      <c r="X4205" s="8">
        <v>36</v>
      </c>
      <c r="Y4205" s="8" t="s">
        <v>19097</v>
      </c>
      <c r="Z4205" s="8" t="s">
        <v>19098</v>
      </c>
    </row>
    <row r="4206" spans="1:26" x14ac:dyDescent="0.2">
      <c r="A4206" s="8">
        <v>4205</v>
      </c>
      <c r="B4206" s="8" t="s">
        <v>19099</v>
      </c>
      <c r="C4206" s="8" t="s">
        <v>19099</v>
      </c>
      <c r="F4206" s="47"/>
      <c r="G4206" s="8">
        <v>17</v>
      </c>
      <c r="H4206" s="8" t="s">
        <v>21</v>
      </c>
      <c r="I4206" s="8" t="s">
        <v>22</v>
      </c>
      <c r="J4206" s="8" t="s">
        <v>22</v>
      </c>
      <c r="K4206" s="8" t="s">
        <v>476</v>
      </c>
      <c r="L4206" s="8" t="s">
        <v>13395</v>
      </c>
      <c r="M4206" s="8" t="s">
        <v>13396</v>
      </c>
      <c r="N4206" s="8" t="s">
        <v>19100</v>
      </c>
      <c r="O4206" s="8">
        <f>12+14/60+55.3/3600</f>
        <v>12.248694444444444</v>
      </c>
      <c r="P4206" s="8" t="s">
        <v>19101</v>
      </c>
      <c r="Q4206" s="8">
        <f>+(63+46/60+56/3600)</f>
        <v>63.782222222222224</v>
      </c>
      <c r="R4206" s="8">
        <v>13</v>
      </c>
      <c r="S4206" s="8">
        <v>13.9</v>
      </c>
      <c r="T4206" s="8">
        <v>0.9</v>
      </c>
      <c r="U4206" s="8">
        <v>12.9</v>
      </c>
      <c r="V4206" s="8">
        <v>1.7</v>
      </c>
      <c r="W4206" s="8">
        <v>0.6</v>
      </c>
      <c r="X4206" s="8">
        <v>28</v>
      </c>
      <c r="Y4206" s="8" t="s">
        <v>21</v>
      </c>
      <c r="Z4206" s="8" t="s">
        <v>19102</v>
      </c>
    </row>
    <row r="4207" spans="1:26" x14ac:dyDescent="0.2">
      <c r="A4207" s="8">
        <v>4206</v>
      </c>
      <c r="B4207" s="8" t="s">
        <v>19103</v>
      </c>
      <c r="C4207" s="8" t="s">
        <v>19103</v>
      </c>
      <c r="F4207" s="47" t="s">
        <v>57237</v>
      </c>
      <c r="G4207" s="8">
        <v>12</v>
      </c>
      <c r="H4207" s="8" t="s">
        <v>21</v>
      </c>
      <c r="I4207" s="8" t="s">
        <v>22</v>
      </c>
      <c r="J4207" s="8" t="s">
        <v>22</v>
      </c>
      <c r="K4207" s="8" t="s">
        <v>396</v>
      </c>
      <c r="L4207" s="8" t="s">
        <v>17287</v>
      </c>
      <c r="M4207" s="8" t="s">
        <v>17288</v>
      </c>
      <c r="N4207" s="8" t="s">
        <v>19104</v>
      </c>
      <c r="O4207" s="8">
        <f>12+15/60+16.7/3600</f>
        <v>12.25463888888889</v>
      </c>
      <c r="P4207" s="8" t="s">
        <v>19105</v>
      </c>
      <c r="Q4207" s="8">
        <f>+(13+1/60+22/3600)</f>
        <v>13.022777777777778</v>
      </c>
      <c r="R4207" s="8">
        <v>12.2</v>
      </c>
      <c r="S4207" s="8">
        <v>12.8</v>
      </c>
      <c r="T4207" s="8">
        <v>0.6</v>
      </c>
      <c r="U4207" s="8">
        <v>14.1</v>
      </c>
      <c r="V4207" s="8">
        <v>6.4</v>
      </c>
      <c r="W4207" s="8">
        <v>1.1000000000000001</v>
      </c>
      <c r="X4207" s="8">
        <v>0</v>
      </c>
      <c r="Y4207" s="8" t="s">
        <v>19106</v>
      </c>
      <c r="Z4207" s="8" t="s">
        <v>19107</v>
      </c>
    </row>
    <row r="4208" spans="1:26" x14ac:dyDescent="0.2">
      <c r="A4208" s="8">
        <v>4207</v>
      </c>
      <c r="B4208" s="8" t="s">
        <v>19108</v>
      </c>
      <c r="C4208" s="8" t="s">
        <v>19108</v>
      </c>
      <c r="F4208" s="47"/>
      <c r="G4208" s="8">
        <v>18</v>
      </c>
      <c r="H4208" s="8" t="s">
        <v>21</v>
      </c>
      <c r="I4208" s="8" t="s">
        <v>22</v>
      </c>
      <c r="J4208" s="8" t="s">
        <v>22</v>
      </c>
      <c r="K4208" s="8" t="s">
        <v>579</v>
      </c>
      <c r="L4208" s="8" t="s">
        <v>17287</v>
      </c>
      <c r="M4208" s="8" t="s">
        <v>17288</v>
      </c>
      <c r="N4208" s="8" t="s">
        <v>19109</v>
      </c>
      <c r="O4208" s="8">
        <f>12+15/60+30.1/3600</f>
        <v>12.25836111111111</v>
      </c>
      <c r="P4208" s="8" t="s">
        <v>19110</v>
      </c>
      <c r="Q4208" s="8">
        <f>+(9+35/60+8/3600)</f>
        <v>9.5855555555555565</v>
      </c>
      <c r="R4208" s="8">
        <v>12.6</v>
      </c>
      <c r="S4208" s="8">
        <v>13.6</v>
      </c>
      <c r="T4208" s="8">
        <v>1</v>
      </c>
      <c r="U4208" s="8">
        <v>12.7</v>
      </c>
      <c r="V4208" s="8">
        <v>1.6</v>
      </c>
      <c r="W4208" s="8">
        <v>0.8</v>
      </c>
      <c r="X4208" s="8">
        <v>124</v>
      </c>
      <c r="Y4208" s="8" t="s">
        <v>19111</v>
      </c>
      <c r="Z4208" s="8" t="s">
        <v>19112</v>
      </c>
    </row>
    <row r="4209" spans="1:26" x14ac:dyDescent="0.2">
      <c r="A4209" s="8">
        <v>4208</v>
      </c>
      <c r="B4209" s="8" t="s">
        <v>19113</v>
      </c>
      <c r="C4209" s="8" t="s">
        <v>19113</v>
      </c>
      <c r="F4209" s="50" t="s">
        <v>57238</v>
      </c>
      <c r="G4209" s="8">
        <v>15</v>
      </c>
      <c r="H4209" s="8" t="s">
        <v>21</v>
      </c>
      <c r="I4209" s="8" t="s">
        <v>22</v>
      </c>
      <c r="J4209" s="8" t="s">
        <v>22</v>
      </c>
      <c r="K4209" s="8" t="s">
        <v>160</v>
      </c>
      <c r="L4209" s="8" t="s">
        <v>18289</v>
      </c>
      <c r="M4209" s="8" t="s">
        <v>18290</v>
      </c>
      <c r="N4209" s="8" t="s">
        <v>19114</v>
      </c>
      <c r="O4209" s="8">
        <f>12+15/60+39.2/3600</f>
        <v>12.260888888888889</v>
      </c>
      <c r="P4209" s="8" t="s">
        <v>19115</v>
      </c>
      <c r="Q4209" s="8">
        <f>+(13+54/60+7/3600)</f>
        <v>13.901944444444444</v>
      </c>
      <c r="R4209" s="8">
        <v>11.2</v>
      </c>
      <c r="S4209" s="8">
        <v>11.8</v>
      </c>
      <c r="T4209" s="8">
        <v>0.6</v>
      </c>
      <c r="U4209" s="8">
        <v>13</v>
      </c>
      <c r="V4209" s="8">
        <v>3.2</v>
      </c>
      <c r="W4209" s="8">
        <v>2</v>
      </c>
      <c r="X4209" s="8">
        <v>75</v>
      </c>
      <c r="Y4209" s="8" t="s">
        <v>19116</v>
      </c>
      <c r="Z4209" s="8" t="s">
        <v>19117</v>
      </c>
    </row>
    <row r="4210" spans="1:26" x14ac:dyDescent="0.2">
      <c r="A4210" s="8">
        <v>4209</v>
      </c>
      <c r="B4210" s="8" t="s">
        <v>19118</v>
      </c>
      <c r="C4210" s="8" t="s">
        <v>19118</v>
      </c>
      <c r="F4210" s="47" t="s">
        <v>57239</v>
      </c>
      <c r="G4210" s="8">
        <v>15</v>
      </c>
      <c r="H4210" s="8" t="s">
        <v>21</v>
      </c>
      <c r="I4210" s="8" t="s">
        <v>72</v>
      </c>
      <c r="J4210" s="8" t="s">
        <v>72</v>
      </c>
      <c r="K4210" s="8" t="s">
        <v>1802</v>
      </c>
      <c r="L4210" s="8" t="s">
        <v>18289</v>
      </c>
      <c r="M4210" s="8" t="s">
        <v>18290</v>
      </c>
      <c r="N4210" s="8" t="s">
        <v>19119</v>
      </c>
      <c r="O4210" s="8">
        <f>12+15/60+40.9/3600</f>
        <v>12.26136111111111</v>
      </c>
      <c r="P4210" s="8" t="s">
        <v>19120</v>
      </c>
      <c r="Q4210" s="8">
        <f>+(28+28/60+14/3600)</f>
        <v>28.470555555555553</v>
      </c>
      <c r="R4210" s="8">
        <v>99</v>
      </c>
      <c r="S4210" s="8">
        <v>11.3</v>
      </c>
      <c r="T4210" s="8">
        <v>99</v>
      </c>
      <c r="U4210" s="8">
        <v>99</v>
      </c>
      <c r="Y4210" s="8" t="s">
        <v>5240</v>
      </c>
      <c r="Z4210" s="8" t="s">
        <v>5241</v>
      </c>
    </row>
    <row r="4211" spans="1:26" x14ac:dyDescent="0.2">
      <c r="A4211" s="8">
        <v>4210</v>
      </c>
      <c r="B4211" s="8" t="s">
        <v>19121</v>
      </c>
      <c r="C4211" s="8" t="s">
        <v>19121</v>
      </c>
      <c r="F4211" s="47" t="s">
        <v>57240</v>
      </c>
      <c r="G4211" s="8">
        <v>15</v>
      </c>
      <c r="H4211" s="8" t="s">
        <v>21</v>
      </c>
      <c r="I4211" s="8" t="s">
        <v>22</v>
      </c>
      <c r="J4211" s="8" t="s">
        <v>22</v>
      </c>
      <c r="K4211" s="8" t="s">
        <v>218</v>
      </c>
      <c r="L4211" s="8" t="s">
        <v>13395</v>
      </c>
      <c r="M4211" s="8" t="s">
        <v>13396</v>
      </c>
      <c r="N4211" s="8" t="s">
        <v>19122</v>
      </c>
      <c r="O4211" s="8">
        <f>12+15/60+15.8/3600</f>
        <v>12.254388888888888</v>
      </c>
      <c r="P4211" s="8" t="s">
        <v>19123</v>
      </c>
      <c r="Q4211" s="8">
        <f>+(65+59/60+10/3600)</f>
        <v>65.986111111111114</v>
      </c>
      <c r="R4211" s="8">
        <v>12.5</v>
      </c>
      <c r="S4211" s="8">
        <v>13.3</v>
      </c>
      <c r="T4211" s="8">
        <v>0.8</v>
      </c>
      <c r="U4211" s="8">
        <v>13.6</v>
      </c>
      <c r="V4211" s="8">
        <v>2</v>
      </c>
      <c r="W4211" s="8">
        <v>1.6</v>
      </c>
      <c r="X4211" s="8">
        <v>105</v>
      </c>
      <c r="Y4211" s="8" t="s">
        <v>19124</v>
      </c>
      <c r="Z4211" s="8" t="s">
        <v>19125</v>
      </c>
    </row>
    <row r="4212" spans="1:26" x14ac:dyDescent="0.2">
      <c r="A4212" s="8">
        <v>4211</v>
      </c>
      <c r="B4212" s="8" t="s">
        <v>19126</v>
      </c>
      <c r="C4212" s="8" t="s">
        <v>19126</v>
      </c>
      <c r="F4212" s="47"/>
      <c r="G4212" s="8">
        <v>19</v>
      </c>
      <c r="H4212" s="8" t="s">
        <v>21</v>
      </c>
      <c r="I4212" s="8" t="s">
        <v>22</v>
      </c>
      <c r="J4212" s="8" t="s">
        <v>22</v>
      </c>
      <c r="K4212" s="8" t="s">
        <v>632</v>
      </c>
      <c r="L4212" s="8" t="s">
        <v>18289</v>
      </c>
      <c r="M4212" s="8" t="s">
        <v>18290</v>
      </c>
      <c r="N4212" s="8" t="s">
        <v>19127</v>
      </c>
      <c r="O4212" s="8">
        <f>12+15/60+35.8/3600</f>
        <v>12.259944444444445</v>
      </c>
      <c r="P4212" s="8" t="s">
        <v>19128</v>
      </c>
      <c r="Q4212" s="8">
        <f>+(28+10/60+39/3600)</f>
        <v>28.177500000000002</v>
      </c>
      <c r="R4212" s="8">
        <v>13.5</v>
      </c>
      <c r="S4212" s="8">
        <v>14.4</v>
      </c>
      <c r="T4212" s="8">
        <v>0.9</v>
      </c>
      <c r="U4212" s="8">
        <v>13.3</v>
      </c>
      <c r="V4212" s="8">
        <v>1.2</v>
      </c>
      <c r="W4212" s="8">
        <v>0.8</v>
      </c>
      <c r="X4212" s="8">
        <v>105</v>
      </c>
      <c r="Y4212" s="8" t="s">
        <v>19129</v>
      </c>
      <c r="Z4212" s="8" t="s">
        <v>19130</v>
      </c>
    </row>
    <row r="4213" spans="1:26" x14ac:dyDescent="0.2">
      <c r="A4213" s="8">
        <v>4212</v>
      </c>
      <c r="B4213" s="8" t="s">
        <v>19131</v>
      </c>
      <c r="C4213" s="8" t="s">
        <v>19131</v>
      </c>
      <c r="F4213" s="47" t="s">
        <v>57241</v>
      </c>
      <c r="G4213" s="8">
        <v>6.5</v>
      </c>
      <c r="H4213" s="8" t="s">
        <v>21</v>
      </c>
      <c r="I4213" s="8" t="s">
        <v>22</v>
      </c>
      <c r="J4213" s="8" t="s">
        <v>57</v>
      </c>
      <c r="K4213" s="8" t="s">
        <v>160</v>
      </c>
      <c r="L4213" s="8" t="s">
        <v>18289</v>
      </c>
      <c r="M4213" s="8" t="s">
        <v>18290</v>
      </c>
      <c r="N4213" s="8" t="s">
        <v>19114</v>
      </c>
      <c r="O4213" s="8">
        <f>12+15/60+39.2/3600</f>
        <v>12.260888888888889</v>
      </c>
      <c r="P4213" s="8" t="s">
        <v>19115</v>
      </c>
      <c r="Q4213" s="8">
        <f>+(13+54/60+7/3600)</f>
        <v>13.901944444444444</v>
      </c>
      <c r="R4213" s="8">
        <v>11.2</v>
      </c>
      <c r="S4213" s="8">
        <v>11.8</v>
      </c>
      <c r="T4213" s="8">
        <v>0.6</v>
      </c>
      <c r="U4213" s="8">
        <v>13</v>
      </c>
      <c r="V4213" s="8">
        <v>3.2</v>
      </c>
      <c r="W4213" s="8">
        <v>2</v>
      </c>
      <c r="X4213" s="8">
        <v>75</v>
      </c>
      <c r="Y4213" s="8" t="s">
        <v>19132</v>
      </c>
      <c r="Z4213" s="8" t="s">
        <v>19133</v>
      </c>
    </row>
    <row r="4214" spans="1:26" x14ac:dyDescent="0.2">
      <c r="A4214" s="8">
        <v>4213</v>
      </c>
      <c r="B4214" s="8" t="s">
        <v>19134</v>
      </c>
      <c r="C4214" s="8" t="s">
        <v>19134</v>
      </c>
      <c r="F4214" s="47" t="s">
        <v>57242</v>
      </c>
      <c r="G4214" s="8">
        <v>15</v>
      </c>
      <c r="H4214" s="8" t="s">
        <v>21</v>
      </c>
      <c r="I4214" s="8" t="s">
        <v>22</v>
      </c>
      <c r="J4214" s="8" t="s">
        <v>22</v>
      </c>
      <c r="K4214" s="8" t="s">
        <v>460</v>
      </c>
      <c r="L4214" s="8" t="s">
        <v>18289</v>
      </c>
      <c r="M4214" s="8" t="s">
        <v>18290</v>
      </c>
      <c r="N4214" s="8" t="s">
        <v>19135</v>
      </c>
      <c r="O4214" s="8">
        <f>12+15/60+37.5/3600</f>
        <v>12.260416666666666</v>
      </c>
      <c r="P4214" s="8" t="s">
        <v>19136</v>
      </c>
      <c r="Q4214" s="8">
        <f>+(23+58/60+55/3600)</f>
        <v>23.981944444444444</v>
      </c>
      <c r="R4214" s="8">
        <v>12.5</v>
      </c>
      <c r="S4214" s="8">
        <v>13.5</v>
      </c>
      <c r="T4214" s="8">
        <v>1</v>
      </c>
      <c r="U4214" s="8">
        <v>13.7</v>
      </c>
      <c r="V4214" s="8">
        <v>1.7</v>
      </c>
      <c r="W4214" s="8">
        <v>1.7</v>
      </c>
      <c r="Y4214" s="8" t="s">
        <v>19137</v>
      </c>
      <c r="Z4214" s="8" t="s">
        <v>19138</v>
      </c>
    </row>
    <row r="4215" spans="1:26" x14ac:dyDescent="0.2">
      <c r="A4215" s="8">
        <v>4214</v>
      </c>
      <c r="B4215" s="8" t="s">
        <v>19139</v>
      </c>
      <c r="C4215" s="8" t="s">
        <v>19139</v>
      </c>
      <c r="F4215" s="47" t="s">
        <v>57243</v>
      </c>
      <c r="G4215" s="8">
        <v>5</v>
      </c>
      <c r="H4215" s="8" t="s">
        <v>21</v>
      </c>
      <c r="I4215" s="8" t="s">
        <v>22</v>
      </c>
      <c r="J4215" s="8" t="s">
        <v>22</v>
      </c>
      <c r="K4215" s="8" t="s">
        <v>107</v>
      </c>
      <c r="L4215" s="8" t="s">
        <v>18681</v>
      </c>
      <c r="M4215" s="8" t="s">
        <v>18682</v>
      </c>
      <c r="N4215" s="8" t="s">
        <v>19140</v>
      </c>
      <c r="O4215" s="8">
        <f>12+15/60+38.8/3600</f>
        <v>12.260777777777777</v>
      </c>
      <c r="P4215" s="8" t="s">
        <v>19141</v>
      </c>
      <c r="Q4215" s="8">
        <f>+(36+19/60+39/3600)</f>
        <v>36.327500000000001</v>
      </c>
      <c r="R4215" s="8">
        <v>9.8000000000000007</v>
      </c>
      <c r="S4215" s="8">
        <v>10.199999999999999</v>
      </c>
      <c r="T4215" s="8">
        <v>0.4</v>
      </c>
      <c r="U4215" s="8">
        <v>14</v>
      </c>
      <c r="V4215" s="8">
        <v>8</v>
      </c>
      <c r="W4215" s="8">
        <v>6.6</v>
      </c>
      <c r="X4215" s="8">
        <v>144</v>
      </c>
      <c r="Y4215" s="8" t="s">
        <v>19142</v>
      </c>
      <c r="Z4215" s="8" t="s">
        <v>19143</v>
      </c>
    </row>
    <row r="4216" spans="1:26" x14ac:dyDescent="0.2">
      <c r="A4216" s="8">
        <v>4215</v>
      </c>
      <c r="B4216" s="8" t="s">
        <v>19144</v>
      </c>
      <c r="C4216" s="8" t="s">
        <v>19144</v>
      </c>
      <c r="F4216" s="47" t="s">
        <v>57244</v>
      </c>
      <c r="G4216" s="8">
        <v>13</v>
      </c>
      <c r="H4216" s="8" t="s">
        <v>21</v>
      </c>
      <c r="I4216" s="8" t="s">
        <v>22</v>
      </c>
      <c r="J4216" s="8" t="s">
        <v>22</v>
      </c>
      <c r="K4216" s="8" t="s">
        <v>632</v>
      </c>
      <c r="L4216" s="8" t="s">
        <v>17287</v>
      </c>
      <c r="M4216" s="8" t="s">
        <v>17288</v>
      </c>
      <c r="N4216" s="8" t="s">
        <v>19145</v>
      </c>
      <c r="O4216" s="8">
        <f>12+15/60+54.6/3600</f>
        <v>12.265166666666667</v>
      </c>
      <c r="P4216" s="8" t="s">
        <v>19146</v>
      </c>
      <c r="Q4216" s="8">
        <f>+(6+24/60+3/3600)</f>
        <v>6.4008333333333338</v>
      </c>
      <c r="R4216" s="8">
        <v>12.1</v>
      </c>
      <c r="S4216" s="8">
        <v>13</v>
      </c>
      <c r="T4216" s="8">
        <v>0.9</v>
      </c>
      <c r="U4216" s="8">
        <v>12.2</v>
      </c>
      <c r="V4216" s="8">
        <v>1.8</v>
      </c>
      <c r="W4216" s="8">
        <v>0.7</v>
      </c>
      <c r="X4216" s="8">
        <v>174</v>
      </c>
      <c r="Y4216" s="8" t="s">
        <v>21</v>
      </c>
      <c r="Z4216" s="8" t="s">
        <v>19147</v>
      </c>
    </row>
    <row r="4217" spans="1:26" x14ac:dyDescent="0.2">
      <c r="A4217" s="8">
        <v>4216</v>
      </c>
      <c r="B4217" s="8" t="s">
        <v>19148</v>
      </c>
      <c r="C4217" s="8" t="s">
        <v>19148</v>
      </c>
      <c r="F4217" s="47" t="s">
        <v>57245</v>
      </c>
      <c r="G4217" s="8">
        <v>6</v>
      </c>
      <c r="H4217" s="8" t="s">
        <v>19149</v>
      </c>
      <c r="I4217" s="8" t="s">
        <v>22</v>
      </c>
      <c r="J4217" s="8" t="s">
        <v>22</v>
      </c>
      <c r="K4217" s="8" t="s">
        <v>218</v>
      </c>
      <c r="L4217" s="8" t="s">
        <v>17287</v>
      </c>
      <c r="M4217" s="8" t="s">
        <v>17288</v>
      </c>
      <c r="N4217" s="8" t="s">
        <v>19150</v>
      </c>
      <c r="O4217" s="8">
        <f>12+15/60+54/3600</f>
        <v>12.265000000000001</v>
      </c>
      <c r="P4217" s="8" t="s">
        <v>19151</v>
      </c>
      <c r="Q4217" s="8">
        <f>+(13+8/60+52/3600)</f>
        <v>13.147777777777778</v>
      </c>
      <c r="R4217" s="8">
        <v>10</v>
      </c>
      <c r="S4217" s="8">
        <v>11</v>
      </c>
      <c r="T4217" s="8">
        <v>1</v>
      </c>
      <c r="U4217" s="8">
        <v>12.8</v>
      </c>
      <c r="V4217" s="8">
        <v>8.1</v>
      </c>
      <c r="W4217" s="8">
        <v>1.8</v>
      </c>
      <c r="X4217" s="8">
        <v>19</v>
      </c>
      <c r="Y4217" s="8" t="s">
        <v>19152</v>
      </c>
      <c r="Z4217" s="8" t="s">
        <v>19153</v>
      </c>
    </row>
    <row r="4218" spans="1:26" x14ac:dyDescent="0.2">
      <c r="A4218" s="8">
        <v>4217</v>
      </c>
      <c r="B4218" s="8" t="s">
        <v>19154</v>
      </c>
      <c r="C4218" s="8" t="s">
        <v>19154</v>
      </c>
      <c r="F4218" s="47" t="s">
        <v>57246</v>
      </c>
      <c r="G4218" s="8">
        <v>6.5</v>
      </c>
      <c r="H4218" s="8" t="s">
        <v>21</v>
      </c>
      <c r="I4218" s="8" t="s">
        <v>22</v>
      </c>
      <c r="J4218" s="8" t="s">
        <v>22</v>
      </c>
      <c r="K4218" s="8" t="s">
        <v>23</v>
      </c>
      <c r="L4218" s="8" t="s">
        <v>18681</v>
      </c>
      <c r="M4218" s="8" t="s">
        <v>18682</v>
      </c>
      <c r="N4218" s="8" t="s">
        <v>19155</v>
      </c>
      <c r="O4218" s="8">
        <f>12+15/60+50.6/3600</f>
        <v>12.264055555555556</v>
      </c>
      <c r="P4218" s="8" t="s">
        <v>19156</v>
      </c>
      <c r="Q4218" s="8">
        <f>+(47+5/60+24/3600)</f>
        <v>47.09</v>
      </c>
      <c r="R4218" s="8">
        <v>11.2</v>
      </c>
      <c r="S4218" s="8">
        <v>12</v>
      </c>
      <c r="T4218" s="8">
        <v>0.8</v>
      </c>
      <c r="U4218" s="8">
        <v>13.3</v>
      </c>
      <c r="V4218" s="8">
        <v>5.2</v>
      </c>
      <c r="W4218" s="8">
        <v>1.5</v>
      </c>
      <c r="X4218" s="8">
        <v>50</v>
      </c>
      <c r="Y4218" s="8" t="s">
        <v>21</v>
      </c>
      <c r="Z4218" s="8" t="s">
        <v>19157</v>
      </c>
    </row>
    <row r="4219" spans="1:26" x14ac:dyDescent="0.2">
      <c r="A4219" s="8">
        <v>4218</v>
      </c>
      <c r="B4219" s="8" t="s">
        <v>19158</v>
      </c>
      <c r="C4219" s="8" t="s">
        <v>19158</v>
      </c>
      <c r="F4219" s="47" t="s">
        <v>57247</v>
      </c>
      <c r="G4219" s="8">
        <v>15</v>
      </c>
      <c r="H4219" s="8" t="s">
        <v>21</v>
      </c>
      <c r="I4219" s="8" t="s">
        <v>22</v>
      </c>
      <c r="J4219" s="8" t="s">
        <v>22</v>
      </c>
      <c r="K4219" s="8" t="s">
        <v>91</v>
      </c>
      <c r="L4219" s="8" t="s">
        <v>18681</v>
      </c>
      <c r="M4219" s="8" t="s">
        <v>18682</v>
      </c>
      <c r="N4219" s="8" t="s">
        <v>19159</v>
      </c>
      <c r="O4219" s="8">
        <f>12+15/60+46/3600</f>
        <v>12.262777777777778</v>
      </c>
      <c r="P4219" s="8" t="s">
        <v>19160</v>
      </c>
      <c r="Q4219" s="8">
        <f>+(48+7/60+54/3600)</f>
        <v>48.131666666666668</v>
      </c>
      <c r="R4219" s="8">
        <v>12.5</v>
      </c>
      <c r="S4219" s="8">
        <v>13.4</v>
      </c>
      <c r="T4219" s="8">
        <v>0.9</v>
      </c>
      <c r="U4219" s="8">
        <v>12.2</v>
      </c>
      <c r="V4219" s="8">
        <v>1.2</v>
      </c>
      <c r="W4219" s="8">
        <v>0.7</v>
      </c>
      <c r="X4219" s="8">
        <v>142</v>
      </c>
      <c r="Y4219" s="8" t="s">
        <v>282</v>
      </c>
      <c r="Z4219" s="8" t="s">
        <v>283</v>
      </c>
    </row>
    <row r="4220" spans="1:26" x14ac:dyDescent="0.2">
      <c r="A4220" s="8">
        <v>4219</v>
      </c>
      <c r="B4220" s="8" t="s">
        <v>19161</v>
      </c>
      <c r="C4220" s="8" t="s">
        <v>19161</v>
      </c>
      <c r="F4220" s="47"/>
      <c r="G4220" s="8">
        <v>13</v>
      </c>
      <c r="H4220" s="8" t="s">
        <v>21</v>
      </c>
      <c r="I4220" s="8" t="s">
        <v>22</v>
      </c>
      <c r="J4220" s="8" t="s">
        <v>22</v>
      </c>
      <c r="K4220" s="8" t="s">
        <v>396</v>
      </c>
      <c r="L4220" s="8" t="s">
        <v>16195</v>
      </c>
      <c r="M4220" s="8" t="s">
        <v>16196</v>
      </c>
      <c r="N4220" s="8" t="s">
        <v>19162</v>
      </c>
      <c r="O4220" s="8">
        <f>12+16/60+27.4/3600</f>
        <v>12.274277777777778</v>
      </c>
      <c r="P4220" s="8" t="s">
        <v>19163</v>
      </c>
      <c r="Q4220" s="8">
        <f>-(43+19/60+21/3600)</f>
        <v>-43.322500000000005</v>
      </c>
      <c r="R4220" s="8">
        <v>11.9</v>
      </c>
      <c r="S4220" s="8">
        <v>12.7</v>
      </c>
      <c r="T4220" s="8">
        <v>0.8</v>
      </c>
      <c r="U4220" s="8">
        <v>13.6</v>
      </c>
      <c r="V4220" s="8">
        <v>3.7</v>
      </c>
      <c r="W4220" s="8">
        <v>1.1000000000000001</v>
      </c>
      <c r="X4220" s="8">
        <v>36</v>
      </c>
      <c r="Y4220" s="8" t="s">
        <v>19164</v>
      </c>
      <c r="Z4220" s="8" t="s">
        <v>19165</v>
      </c>
    </row>
    <row r="4221" spans="1:26" x14ac:dyDescent="0.2">
      <c r="A4221" s="8">
        <v>4220</v>
      </c>
      <c r="B4221" s="8" t="s">
        <v>19166</v>
      </c>
      <c r="C4221" s="8" t="s">
        <v>19166</v>
      </c>
      <c r="F4221" s="47" t="s">
        <v>57248</v>
      </c>
      <c r="G4221" s="8">
        <v>6.5</v>
      </c>
      <c r="H4221" s="8" t="s">
        <v>21</v>
      </c>
      <c r="I4221" s="8" t="s">
        <v>22</v>
      </c>
      <c r="J4221" s="8" t="s">
        <v>22</v>
      </c>
      <c r="K4221" s="8" t="s">
        <v>632</v>
      </c>
      <c r="L4221" s="8" t="s">
        <v>18681</v>
      </c>
      <c r="M4221" s="8" t="s">
        <v>18682</v>
      </c>
      <c r="N4221" s="8" t="s">
        <v>19167</v>
      </c>
      <c r="O4221" s="8">
        <f>12+16/60+11.8/3600</f>
        <v>12.269944444444445</v>
      </c>
      <c r="P4221" s="8" t="s">
        <v>19168</v>
      </c>
      <c r="Q4221" s="8">
        <f>+(47+52/60+59/3600)</f>
        <v>47.883055555555558</v>
      </c>
      <c r="R4221" s="8">
        <v>11.4</v>
      </c>
      <c r="S4221" s="8">
        <v>12.3</v>
      </c>
      <c r="T4221" s="8">
        <v>0.9</v>
      </c>
      <c r="U4221" s="8">
        <v>13.1</v>
      </c>
      <c r="V4221" s="8">
        <v>3.9</v>
      </c>
      <c r="W4221" s="8">
        <v>1.5</v>
      </c>
      <c r="X4221" s="8">
        <v>141</v>
      </c>
      <c r="Y4221" s="8" t="s">
        <v>21</v>
      </c>
      <c r="Z4221" s="8" t="s">
        <v>19169</v>
      </c>
    </row>
    <row r="4222" spans="1:26" x14ac:dyDescent="0.2">
      <c r="A4222" s="8">
        <v>4221</v>
      </c>
      <c r="B4222" s="8" t="s">
        <v>19170</v>
      </c>
      <c r="C4222" s="8" t="s">
        <v>19170</v>
      </c>
      <c r="F4222" s="47"/>
      <c r="G4222" s="8">
        <v>16</v>
      </c>
      <c r="H4222" s="8" t="s">
        <v>21</v>
      </c>
      <c r="I4222" s="8" t="s">
        <v>22</v>
      </c>
      <c r="J4222" s="8" t="s">
        <v>22</v>
      </c>
      <c r="K4222" s="8" t="s">
        <v>435</v>
      </c>
      <c r="L4222" s="8" t="s">
        <v>13395</v>
      </c>
      <c r="M4222" s="8" t="s">
        <v>13396</v>
      </c>
      <c r="N4222" s="8" t="s">
        <v>19171</v>
      </c>
      <c r="O4222" s="8">
        <f>12+16/60+0/3600</f>
        <v>12.266666666666667</v>
      </c>
      <c r="P4222" s="8" t="s">
        <v>19172</v>
      </c>
      <c r="Q4222" s="8">
        <f>+(66+13/60+53/3600)</f>
        <v>66.231388888888887</v>
      </c>
      <c r="R4222" s="8">
        <v>12.5</v>
      </c>
      <c r="S4222" s="8">
        <v>13.4</v>
      </c>
      <c r="T4222" s="8">
        <v>0.9</v>
      </c>
      <c r="U4222" s="8">
        <v>13.8</v>
      </c>
      <c r="V4222" s="8">
        <v>2.2000000000000002</v>
      </c>
      <c r="W4222" s="8">
        <v>1.7</v>
      </c>
      <c r="X4222" s="8">
        <v>25</v>
      </c>
      <c r="Y4222" s="8" t="s">
        <v>3061</v>
      </c>
      <c r="Z4222" s="8" t="s">
        <v>3062</v>
      </c>
    </row>
    <row r="4223" spans="1:26" x14ac:dyDescent="0.2">
      <c r="A4223" s="8">
        <v>4222</v>
      </c>
      <c r="B4223" s="8" t="s">
        <v>19173</v>
      </c>
      <c r="C4223" s="8" t="s">
        <v>19173</v>
      </c>
      <c r="F4223" s="47" t="s">
        <v>57249</v>
      </c>
      <c r="G4223" s="8">
        <v>15</v>
      </c>
      <c r="H4223" s="8" t="s">
        <v>21</v>
      </c>
      <c r="I4223" s="8" t="s">
        <v>22</v>
      </c>
      <c r="J4223" s="8" t="s">
        <v>22</v>
      </c>
      <c r="K4223" s="8" t="s">
        <v>579</v>
      </c>
      <c r="L4223" s="8" t="s">
        <v>18289</v>
      </c>
      <c r="M4223" s="8" t="s">
        <v>18290</v>
      </c>
      <c r="N4223" s="8" t="s">
        <v>19174</v>
      </c>
      <c r="O4223" s="8">
        <f>12+16/60+22.6/3600</f>
        <v>12.272944444444445</v>
      </c>
      <c r="P4223" s="8" t="s">
        <v>19175</v>
      </c>
      <c r="Q4223" s="8">
        <f>+(13+18/60+25/3600)</f>
        <v>13.306944444444445</v>
      </c>
      <c r="R4223" s="8">
        <v>13.3</v>
      </c>
      <c r="S4223" s="8">
        <v>13.9</v>
      </c>
      <c r="T4223" s="8">
        <v>0.6</v>
      </c>
      <c r="U4223" s="8">
        <v>13.7</v>
      </c>
      <c r="V4223" s="8">
        <v>3.1</v>
      </c>
      <c r="W4223" s="8">
        <v>0.5</v>
      </c>
      <c r="X4223" s="8">
        <v>56</v>
      </c>
      <c r="Y4223" s="8" t="s">
        <v>237</v>
      </c>
      <c r="Z4223" s="8" t="s">
        <v>238</v>
      </c>
    </row>
    <row r="4224" spans="1:26" x14ac:dyDescent="0.2">
      <c r="A4224" s="8">
        <v>4223</v>
      </c>
      <c r="B4224" s="8" t="s">
        <v>19176</v>
      </c>
      <c r="C4224" s="8" t="s">
        <v>19176</v>
      </c>
      <c r="F4224" s="47" t="s">
        <v>57250</v>
      </c>
      <c r="G4224" s="8">
        <v>15</v>
      </c>
      <c r="H4224" s="8" t="s">
        <v>21</v>
      </c>
      <c r="I4224" s="8" t="s">
        <v>22</v>
      </c>
      <c r="J4224" s="8" t="s">
        <v>22</v>
      </c>
      <c r="K4224" s="8" t="s">
        <v>632</v>
      </c>
      <c r="L4224" s="8" t="s">
        <v>17287</v>
      </c>
      <c r="M4224" s="8" t="s">
        <v>17288</v>
      </c>
      <c r="N4224" s="8" t="s">
        <v>19177</v>
      </c>
      <c r="O4224" s="8">
        <f>12+17/60+25.8/3600</f>
        <v>12.2905</v>
      </c>
      <c r="P4224" s="8" t="s">
        <v>19178</v>
      </c>
      <c r="Q4224" s="8">
        <f>+(6+41/60+22/3600)</f>
        <v>6.6894444444444447</v>
      </c>
      <c r="R4224" s="8">
        <v>11.9</v>
      </c>
      <c r="S4224" s="8">
        <v>13</v>
      </c>
      <c r="T4224" s="8">
        <v>1.1000000000000001</v>
      </c>
      <c r="U4224" s="8">
        <v>13.1</v>
      </c>
      <c r="V4224" s="8">
        <v>2.5</v>
      </c>
      <c r="W4224" s="8">
        <v>1.4</v>
      </c>
      <c r="X4224" s="8">
        <v>128</v>
      </c>
      <c r="Y4224" s="8" t="s">
        <v>19179</v>
      </c>
      <c r="Z4224" s="8" t="s">
        <v>19180</v>
      </c>
    </row>
    <row r="4225" spans="1:26" x14ac:dyDescent="0.2">
      <c r="A4225" s="8">
        <v>4224</v>
      </c>
      <c r="B4225" s="8" t="s">
        <v>19181</v>
      </c>
      <c r="C4225" s="8" t="s">
        <v>19181</v>
      </c>
      <c r="F4225" s="47" t="s">
        <v>57251</v>
      </c>
      <c r="G4225" s="8">
        <v>6.5</v>
      </c>
      <c r="H4225" s="8" t="s">
        <v>21</v>
      </c>
      <c r="I4225" s="8" t="s">
        <v>22</v>
      </c>
      <c r="J4225" s="8" t="s">
        <v>22</v>
      </c>
      <c r="K4225" s="8" t="s">
        <v>91</v>
      </c>
      <c r="L4225" s="8" t="s">
        <v>17287</v>
      </c>
      <c r="M4225" s="8" t="s">
        <v>17288</v>
      </c>
      <c r="N4225" s="8" t="s">
        <v>19182</v>
      </c>
      <c r="O4225" s="8">
        <f>12+16/60+33.9/3600</f>
        <v>12.276083333333334</v>
      </c>
      <c r="P4225" s="8" t="s">
        <v>19183</v>
      </c>
      <c r="Q4225" s="8">
        <f>+(7+27/60+44/3600)</f>
        <v>7.4622222222222225</v>
      </c>
      <c r="R4225" s="8">
        <v>11.8</v>
      </c>
      <c r="S4225" s="8">
        <v>12.9</v>
      </c>
      <c r="T4225" s="8">
        <v>1.1000000000000001</v>
      </c>
      <c r="U4225" s="8">
        <v>12.7</v>
      </c>
      <c r="V4225" s="8">
        <v>2.5</v>
      </c>
      <c r="W4225" s="8">
        <v>1</v>
      </c>
      <c r="X4225" s="8">
        <v>57</v>
      </c>
      <c r="Y4225" s="8" t="s">
        <v>19184</v>
      </c>
      <c r="Z4225" s="8" t="s">
        <v>19185</v>
      </c>
    </row>
    <row r="4226" spans="1:26" x14ac:dyDescent="0.2">
      <c r="A4226" s="8">
        <v>4225</v>
      </c>
      <c r="B4226" s="8" t="s">
        <v>19186</v>
      </c>
      <c r="C4226" s="8" t="s">
        <v>19186</v>
      </c>
      <c r="F4226" s="47"/>
      <c r="G4226" s="8">
        <v>16</v>
      </c>
      <c r="H4226" s="8" t="s">
        <v>21</v>
      </c>
      <c r="I4226" s="8" t="s">
        <v>22</v>
      </c>
      <c r="J4226" s="8" t="s">
        <v>22</v>
      </c>
      <c r="K4226" s="8" t="s">
        <v>632</v>
      </c>
      <c r="L4226" s="8" t="s">
        <v>15925</v>
      </c>
      <c r="M4226" s="8" t="s">
        <v>15926</v>
      </c>
      <c r="N4226" s="8" t="s">
        <v>19187</v>
      </c>
      <c r="O4226" s="8">
        <f>12+16/60+38.3/3600</f>
        <v>12.277305555555557</v>
      </c>
      <c r="P4226" s="8" t="s">
        <v>19188</v>
      </c>
      <c r="Q4226" s="8">
        <f>-(12+19/60+37/3600)</f>
        <v>-12.326944444444445</v>
      </c>
      <c r="R4226" s="8">
        <v>14</v>
      </c>
      <c r="S4226" s="8">
        <v>14.9</v>
      </c>
      <c r="T4226" s="8">
        <v>0.9</v>
      </c>
      <c r="U4226" s="8">
        <v>12.7</v>
      </c>
      <c r="V4226" s="8">
        <v>0.7</v>
      </c>
      <c r="W4226" s="8">
        <v>0.5</v>
      </c>
      <c r="X4226" s="8">
        <v>60</v>
      </c>
      <c r="Y4226" s="8" t="s">
        <v>21</v>
      </c>
      <c r="Z4226" s="8" t="s">
        <v>19189</v>
      </c>
    </row>
    <row r="4227" spans="1:26" x14ac:dyDescent="0.2">
      <c r="A4227" s="8">
        <v>4226</v>
      </c>
      <c r="B4227" s="8" t="s">
        <v>19190</v>
      </c>
      <c r="C4227" s="8" t="s">
        <v>19190</v>
      </c>
      <c r="F4227" s="47"/>
      <c r="G4227" s="8">
        <v>16</v>
      </c>
      <c r="H4227" s="8" t="s">
        <v>21</v>
      </c>
      <c r="I4227" s="8" t="s">
        <v>22</v>
      </c>
      <c r="J4227" s="8" t="s">
        <v>22</v>
      </c>
      <c r="K4227" s="8" t="s">
        <v>2542</v>
      </c>
      <c r="L4227" s="8" t="s">
        <v>18681</v>
      </c>
      <c r="M4227" s="8" t="s">
        <v>18682</v>
      </c>
      <c r="N4227" s="8" t="s">
        <v>19191</v>
      </c>
      <c r="O4227" s="8">
        <f>12+16/60+26.3/3600</f>
        <v>12.273972222222223</v>
      </c>
      <c r="P4227" s="8" t="s">
        <v>19192</v>
      </c>
      <c r="Q4227" s="8">
        <f>+(47+1/60+32/3600)</f>
        <v>47.025555555555556</v>
      </c>
      <c r="R4227" s="8">
        <v>13.5</v>
      </c>
      <c r="S4227" s="8">
        <v>14.4</v>
      </c>
      <c r="T4227" s="8">
        <v>0.9</v>
      </c>
      <c r="U4227" s="8">
        <v>12.6</v>
      </c>
      <c r="V4227" s="8">
        <v>1</v>
      </c>
      <c r="W4227" s="8">
        <v>0.5</v>
      </c>
      <c r="X4227" s="8">
        <v>127</v>
      </c>
      <c r="Y4227" s="8" t="s">
        <v>19193</v>
      </c>
      <c r="Z4227" s="8" t="s">
        <v>19194</v>
      </c>
    </row>
    <row r="4228" spans="1:26" x14ac:dyDescent="0.2">
      <c r="A4228" s="8">
        <v>4227</v>
      </c>
      <c r="B4228" s="8" t="s">
        <v>19195</v>
      </c>
      <c r="C4228" s="8" t="s">
        <v>19195</v>
      </c>
      <c r="F4228" s="47" t="s">
        <v>57252</v>
      </c>
      <c r="G4228" s="8">
        <v>15</v>
      </c>
      <c r="H4228" s="8" t="s">
        <v>21</v>
      </c>
      <c r="I4228" s="8" t="s">
        <v>22</v>
      </c>
      <c r="J4228" s="8" t="s">
        <v>22</v>
      </c>
      <c r="K4228" s="8" t="s">
        <v>435</v>
      </c>
      <c r="L4228" s="8" t="s">
        <v>18681</v>
      </c>
      <c r="M4228" s="8" t="s">
        <v>18682</v>
      </c>
      <c r="N4228" s="8" t="s">
        <v>19196</v>
      </c>
      <c r="O4228" s="8">
        <f>12+16/60+33.7/3600</f>
        <v>12.276027777777779</v>
      </c>
      <c r="P4228" s="8" t="s">
        <v>19197</v>
      </c>
      <c r="Q4228" s="8">
        <f>+(33+31/60+20/3600)</f>
        <v>33.522222222222219</v>
      </c>
      <c r="R4228" s="8">
        <v>12.8</v>
      </c>
      <c r="S4228" s="8">
        <v>13.7</v>
      </c>
      <c r="T4228" s="8">
        <v>0.9</v>
      </c>
      <c r="U4228" s="8">
        <v>13</v>
      </c>
      <c r="V4228" s="8">
        <v>1.5</v>
      </c>
      <c r="W4228" s="8">
        <v>0.9</v>
      </c>
      <c r="X4228" s="8">
        <v>70</v>
      </c>
      <c r="Y4228" s="8" t="s">
        <v>19198</v>
      </c>
      <c r="Z4228" s="8" t="s">
        <v>19199</v>
      </c>
    </row>
    <row r="4229" spans="1:26" x14ac:dyDescent="0.2">
      <c r="A4229" s="8">
        <v>4228</v>
      </c>
      <c r="B4229" s="8" t="s">
        <v>19200</v>
      </c>
      <c r="C4229" s="8" t="s">
        <v>19200</v>
      </c>
      <c r="F4229" s="47"/>
      <c r="G4229" s="8">
        <v>16</v>
      </c>
      <c r="H4229" s="8" t="s">
        <v>21</v>
      </c>
      <c r="I4229" s="8" t="s">
        <v>22</v>
      </c>
      <c r="J4229" s="8" t="s">
        <v>57</v>
      </c>
      <c r="K4229" s="8" t="s">
        <v>107</v>
      </c>
      <c r="L4229" s="8" t="s">
        <v>18681</v>
      </c>
      <c r="M4229" s="8" t="s">
        <v>18682</v>
      </c>
      <c r="N4229" s="8" t="s">
        <v>19140</v>
      </c>
      <c r="O4229" s="8">
        <f>12+15/60+38.8/3600</f>
        <v>12.260777777777777</v>
      </c>
      <c r="P4229" s="8" t="s">
        <v>19141</v>
      </c>
      <c r="Q4229" s="8">
        <f>+(36+19/60+39/3600)</f>
        <v>36.327500000000001</v>
      </c>
      <c r="R4229" s="8">
        <v>9.8000000000000007</v>
      </c>
      <c r="S4229" s="8">
        <v>10.199999999999999</v>
      </c>
      <c r="T4229" s="8">
        <v>0.4</v>
      </c>
      <c r="U4229" s="8">
        <v>14</v>
      </c>
      <c r="V4229" s="8">
        <v>8</v>
      </c>
      <c r="W4229" s="8">
        <v>6.6</v>
      </c>
      <c r="X4229" s="8">
        <v>144</v>
      </c>
      <c r="Y4229" s="8" t="s">
        <v>19201</v>
      </c>
      <c r="Z4229" s="8" t="s">
        <v>19202</v>
      </c>
    </row>
    <row r="4230" spans="1:26" x14ac:dyDescent="0.2">
      <c r="A4230" s="8">
        <v>4229</v>
      </c>
      <c r="B4230" s="8" t="s">
        <v>19203</v>
      </c>
      <c r="C4230" s="8" t="s">
        <v>19203</v>
      </c>
      <c r="F4230" s="47" t="s">
        <v>57253</v>
      </c>
      <c r="G4230" s="8">
        <v>15</v>
      </c>
      <c r="H4230" s="8" t="s">
        <v>21</v>
      </c>
      <c r="I4230" s="8" t="s">
        <v>22</v>
      </c>
      <c r="J4230" s="8" t="s">
        <v>22</v>
      </c>
      <c r="K4230" s="8" t="s">
        <v>632</v>
      </c>
      <c r="L4230" s="8" t="s">
        <v>18681</v>
      </c>
      <c r="M4230" s="8" t="s">
        <v>18682</v>
      </c>
      <c r="N4230" s="8" t="s">
        <v>19204</v>
      </c>
      <c r="O4230" s="8">
        <f>12+16/60+38.7/3600</f>
        <v>12.277416666666667</v>
      </c>
      <c r="P4230" s="8" t="s">
        <v>19205</v>
      </c>
      <c r="Q4230" s="8">
        <f>+(33+33/60+40/3600)</f>
        <v>33.56111111111111</v>
      </c>
      <c r="R4230" s="8">
        <v>13.3</v>
      </c>
      <c r="S4230" s="8">
        <v>14.2</v>
      </c>
      <c r="T4230" s="8">
        <v>0.9</v>
      </c>
      <c r="U4230" s="8">
        <v>13</v>
      </c>
      <c r="V4230" s="8">
        <v>1.1000000000000001</v>
      </c>
      <c r="W4230" s="8">
        <v>0.8</v>
      </c>
      <c r="X4230" s="8">
        <v>12</v>
      </c>
      <c r="Y4230" s="8" t="s">
        <v>19206</v>
      </c>
      <c r="Z4230" s="8" t="s">
        <v>19207</v>
      </c>
    </row>
    <row r="4231" spans="1:26" x14ac:dyDescent="0.2">
      <c r="A4231" s="8">
        <v>4230</v>
      </c>
      <c r="B4231" s="8" t="s">
        <v>19208</v>
      </c>
      <c r="C4231" s="8" t="s">
        <v>19208</v>
      </c>
      <c r="F4231" s="47"/>
      <c r="G4231" s="8">
        <v>14</v>
      </c>
      <c r="H4231" s="8" t="s">
        <v>21</v>
      </c>
      <c r="I4231" s="8" t="s">
        <v>557</v>
      </c>
      <c r="J4231" s="8" t="s">
        <v>557</v>
      </c>
      <c r="K4231" s="8" t="s">
        <v>693</v>
      </c>
      <c r="L4231" s="8" t="s">
        <v>16195</v>
      </c>
      <c r="M4231" s="8" t="s">
        <v>16196</v>
      </c>
      <c r="N4231" s="8" t="s">
        <v>19209</v>
      </c>
      <c r="O4231" s="8">
        <f>12+17/60+16/3600</f>
        <v>12.287777777777778</v>
      </c>
      <c r="P4231" s="8" t="s">
        <v>19210</v>
      </c>
      <c r="Q4231" s="8">
        <f>-(55+5/60+12/3600)</f>
        <v>-55.086666666666666</v>
      </c>
      <c r="R4231" s="8">
        <v>99</v>
      </c>
      <c r="S4231" s="8">
        <v>99</v>
      </c>
      <c r="T4231" s="8">
        <v>99</v>
      </c>
      <c r="U4231" s="8">
        <v>99</v>
      </c>
      <c r="V4231" s="8">
        <v>5</v>
      </c>
      <c r="Y4231" s="8" t="s">
        <v>19211</v>
      </c>
      <c r="Z4231" s="8" t="s">
        <v>19212</v>
      </c>
    </row>
    <row r="4232" spans="1:26" x14ac:dyDescent="0.2">
      <c r="A4232" s="8">
        <v>4231</v>
      </c>
      <c r="B4232" s="8" t="s">
        <v>19213</v>
      </c>
      <c r="C4232" s="8" t="s">
        <v>19213</v>
      </c>
      <c r="F4232" s="47" t="s">
        <v>57254</v>
      </c>
      <c r="G4232" s="8">
        <v>15</v>
      </c>
      <c r="H4232" s="8" t="s">
        <v>21</v>
      </c>
      <c r="I4232" s="8" t="s">
        <v>22</v>
      </c>
      <c r="J4232" s="8" t="s">
        <v>22</v>
      </c>
      <c r="K4232" s="8" t="s">
        <v>632</v>
      </c>
      <c r="L4232" s="8" t="s">
        <v>18681</v>
      </c>
      <c r="M4232" s="8" t="s">
        <v>18682</v>
      </c>
      <c r="N4232" s="8" t="s">
        <v>19214</v>
      </c>
      <c r="O4232" s="8">
        <f>12+16/60+48.9/3600</f>
        <v>12.280250000000001</v>
      </c>
      <c r="P4232" s="8" t="s">
        <v>19215</v>
      </c>
      <c r="Q4232" s="8">
        <f>+(47+27/60+29/3600)</f>
        <v>47.458055555555561</v>
      </c>
      <c r="R4232" s="8">
        <v>13.6</v>
      </c>
      <c r="S4232" s="8">
        <v>14.5</v>
      </c>
      <c r="T4232" s="8">
        <v>0.9</v>
      </c>
      <c r="U4232" s="8">
        <v>13.8</v>
      </c>
      <c r="V4232" s="8">
        <v>1.2</v>
      </c>
      <c r="W4232" s="8">
        <v>1.1000000000000001</v>
      </c>
      <c r="X4232" s="8">
        <v>33</v>
      </c>
      <c r="Y4232" s="8" t="s">
        <v>21</v>
      </c>
      <c r="Z4232" s="8" t="s">
        <v>19216</v>
      </c>
    </row>
    <row r="4233" spans="1:26" x14ac:dyDescent="0.2">
      <c r="A4233" s="8">
        <v>4232</v>
      </c>
      <c r="B4233" s="8" t="s">
        <v>19217</v>
      </c>
      <c r="C4233" s="8" t="s">
        <v>19217</v>
      </c>
      <c r="F4233" s="47" t="s">
        <v>57255</v>
      </c>
      <c r="G4233" s="8">
        <v>15</v>
      </c>
      <c r="H4233" s="8" t="s">
        <v>21</v>
      </c>
      <c r="I4233" s="8" t="s">
        <v>22</v>
      </c>
      <c r="J4233" s="8" t="s">
        <v>22</v>
      </c>
      <c r="K4233" s="8" t="s">
        <v>5751</v>
      </c>
      <c r="L4233" s="8" t="s">
        <v>18681</v>
      </c>
      <c r="M4233" s="8" t="s">
        <v>18682</v>
      </c>
      <c r="N4233" s="8" t="s">
        <v>19218</v>
      </c>
      <c r="O4233" s="8">
        <f>12+16/60+49/3600</f>
        <v>12.280277777777778</v>
      </c>
      <c r="P4233" s="8" t="s">
        <v>19219</v>
      </c>
      <c r="Q4233" s="8">
        <f>+(47+26/60+20/3600)</f>
        <v>47.438888888888883</v>
      </c>
      <c r="R4233" s="8">
        <v>13.6</v>
      </c>
      <c r="S4233" s="8">
        <v>14.4</v>
      </c>
      <c r="T4233" s="8">
        <v>0.8</v>
      </c>
      <c r="U4233" s="8">
        <v>13.5</v>
      </c>
      <c r="V4233" s="8">
        <v>1.3</v>
      </c>
      <c r="W4233" s="8">
        <v>0.7</v>
      </c>
      <c r="X4233" s="8">
        <v>155</v>
      </c>
      <c r="Y4233" s="8" t="s">
        <v>21</v>
      </c>
      <c r="Z4233" s="8" t="s">
        <v>19220</v>
      </c>
    </row>
    <row r="4234" spans="1:26" x14ac:dyDescent="0.2">
      <c r="A4234" s="8">
        <v>4233</v>
      </c>
      <c r="B4234" s="8" t="s">
        <v>19221</v>
      </c>
      <c r="C4234" s="8" t="s">
        <v>19221</v>
      </c>
      <c r="F4234" s="47" t="s">
        <v>57256</v>
      </c>
      <c r="G4234" s="8">
        <v>6.5</v>
      </c>
      <c r="H4234" s="8" t="s">
        <v>21</v>
      </c>
      <c r="I4234" s="8" t="s">
        <v>22</v>
      </c>
      <c r="J4234" s="8" t="s">
        <v>22</v>
      </c>
      <c r="K4234" s="8" t="s">
        <v>224</v>
      </c>
      <c r="L4234" s="8" t="s">
        <v>17287</v>
      </c>
      <c r="M4234" s="8" t="s">
        <v>17288</v>
      </c>
      <c r="N4234" s="8" t="s">
        <v>19222</v>
      </c>
      <c r="O4234" s="8">
        <f>12+17/60+7.6/3600</f>
        <v>12.285444444444444</v>
      </c>
      <c r="P4234" s="8" t="s">
        <v>19223</v>
      </c>
      <c r="Q4234" s="8">
        <f>+(7+37/60+27/3600)</f>
        <v>7.6241666666666674</v>
      </c>
      <c r="R4234" s="8">
        <v>11.9</v>
      </c>
      <c r="S4234" s="8">
        <v>12.9</v>
      </c>
      <c r="T4234" s="8">
        <v>1</v>
      </c>
      <c r="U4234" s="8">
        <v>12.8</v>
      </c>
      <c r="V4234" s="8">
        <v>2.4</v>
      </c>
      <c r="W4234" s="8">
        <v>1.1000000000000001</v>
      </c>
      <c r="X4234" s="8">
        <v>174</v>
      </c>
      <c r="Y4234" s="8" t="s">
        <v>19224</v>
      </c>
      <c r="Z4234" s="8" t="s">
        <v>19225</v>
      </c>
    </row>
    <row r="4235" spans="1:26" x14ac:dyDescent="0.2">
      <c r="A4235" s="8">
        <v>4234</v>
      </c>
      <c r="B4235" s="8" t="s">
        <v>19226</v>
      </c>
      <c r="C4235" s="8" t="s">
        <v>19226</v>
      </c>
      <c r="F4235" s="47"/>
      <c r="G4235" s="8">
        <v>13</v>
      </c>
      <c r="H4235" s="8" t="s">
        <v>21</v>
      </c>
      <c r="I4235" s="8" t="s">
        <v>22</v>
      </c>
      <c r="J4235" s="8" t="s">
        <v>22</v>
      </c>
      <c r="K4235" s="8" t="s">
        <v>323</v>
      </c>
      <c r="L4235" s="8" t="s">
        <v>17287</v>
      </c>
      <c r="M4235" s="8" t="s">
        <v>17288</v>
      </c>
      <c r="N4235" s="8" t="s">
        <v>19227</v>
      </c>
      <c r="O4235" s="8">
        <f>12+17/60+9.1/3600</f>
        <v>12.28586111111111</v>
      </c>
      <c r="P4235" s="8" t="s">
        <v>19228</v>
      </c>
      <c r="Q4235" s="8">
        <f>+(3+41/60+0/3600)</f>
        <v>3.6833333333333336</v>
      </c>
      <c r="R4235" s="8">
        <v>12.7</v>
      </c>
      <c r="S4235" s="8">
        <v>13.3</v>
      </c>
      <c r="T4235" s="8">
        <v>0.6</v>
      </c>
      <c r="U4235" s="8">
        <v>13.1</v>
      </c>
      <c r="V4235" s="8">
        <v>1.3</v>
      </c>
      <c r="W4235" s="8">
        <v>1.3</v>
      </c>
      <c r="Y4235" s="8" t="s">
        <v>19229</v>
      </c>
      <c r="Z4235" s="8" t="s">
        <v>19230</v>
      </c>
    </row>
    <row r="4236" spans="1:26" x14ac:dyDescent="0.2">
      <c r="A4236" s="8">
        <v>4235</v>
      </c>
      <c r="B4236" s="8" t="s">
        <v>19231</v>
      </c>
      <c r="C4236" s="8" t="s">
        <v>19231</v>
      </c>
      <c r="F4236" s="47" t="s">
        <v>57257</v>
      </c>
      <c r="G4236" s="8">
        <v>6.5</v>
      </c>
      <c r="H4236" s="8" t="s">
        <v>21</v>
      </c>
      <c r="I4236" s="8" t="s">
        <v>22</v>
      </c>
      <c r="J4236" s="8" t="s">
        <v>22</v>
      </c>
      <c r="K4236" s="8" t="s">
        <v>91</v>
      </c>
      <c r="L4236" s="8" t="s">
        <v>17287</v>
      </c>
      <c r="M4236" s="8" t="s">
        <v>17288</v>
      </c>
      <c r="N4236" s="8" t="s">
        <v>19232</v>
      </c>
      <c r="O4236" s="8">
        <f>12+17/60+9.7/3600</f>
        <v>12.286027777777777</v>
      </c>
      <c r="P4236" s="8" t="s">
        <v>19233</v>
      </c>
      <c r="Q4236" s="8">
        <f>+(7+11/60+27/3600)</f>
        <v>7.1908333333333339</v>
      </c>
      <c r="R4236" s="8">
        <v>11.6</v>
      </c>
      <c r="S4236" s="8">
        <v>12.6</v>
      </c>
      <c r="T4236" s="8">
        <v>1</v>
      </c>
      <c r="U4236" s="8">
        <v>12.9</v>
      </c>
      <c r="V4236" s="8">
        <v>4.2</v>
      </c>
      <c r="W4236" s="8">
        <v>0.9</v>
      </c>
      <c r="X4236" s="8">
        <v>48</v>
      </c>
      <c r="Y4236" s="8" t="s">
        <v>19234</v>
      </c>
      <c r="Z4236" s="8" t="s">
        <v>19235</v>
      </c>
    </row>
    <row r="4237" spans="1:26" x14ac:dyDescent="0.2">
      <c r="A4237" s="8">
        <v>4236</v>
      </c>
      <c r="B4237" s="8" t="s">
        <v>19236</v>
      </c>
      <c r="C4237" s="8" t="s">
        <v>19236</v>
      </c>
      <c r="E4237" s="8">
        <v>1</v>
      </c>
      <c r="F4237" s="47" t="s">
        <v>57258</v>
      </c>
      <c r="G4237" s="8">
        <v>2</v>
      </c>
      <c r="H4237" s="8" t="s">
        <v>21</v>
      </c>
      <c r="I4237" s="8" t="s">
        <v>22</v>
      </c>
      <c r="J4237" s="8" t="s">
        <v>22</v>
      </c>
      <c r="K4237" s="8" t="s">
        <v>773</v>
      </c>
      <c r="L4237" s="8" t="s">
        <v>13395</v>
      </c>
      <c r="M4237" s="8" t="s">
        <v>13396</v>
      </c>
      <c r="N4237" s="8" t="s">
        <v>19237</v>
      </c>
      <c r="O4237" s="8">
        <f>12+16/60+43.3/3600</f>
        <v>12.278694444444445</v>
      </c>
      <c r="P4237" s="8" t="s">
        <v>19238</v>
      </c>
      <c r="Q4237" s="8">
        <f>+(69+27/60+49/3600)</f>
        <v>69.463611111111121</v>
      </c>
      <c r="R4237" s="8">
        <v>9.6</v>
      </c>
      <c r="S4237" s="8">
        <v>10.1</v>
      </c>
      <c r="T4237" s="8">
        <v>0.5</v>
      </c>
      <c r="U4237" s="8">
        <v>15</v>
      </c>
      <c r="V4237" s="8">
        <v>21.9</v>
      </c>
      <c r="W4237" s="8">
        <v>7.2</v>
      </c>
      <c r="X4237" s="8">
        <v>162</v>
      </c>
      <c r="Y4237" s="8" t="s">
        <v>21</v>
      </c>
      <c r="Z4237" s="8" t="s">
        <v>19239</v>
      </c>
    </row>
    <row r="4238" spans="1:26" x14ac:dyDescent="0.2">
      <c r="A4238" s="8">
        <v>4237</v>
      </c>
      <c r="B4238" s="8" t="s">
        <v>19240</v>
      </c>
      <c r="C4238" s="8" t="s">
        <v>19240</v>
      </c>
      <c r="F4238" s="47" t="s">
        <v>57259</v>
      </c>
      <c r="G4238" s="8">
        <v>6.5</v>
      </c>
      <c r="H4238" s="8" t="s">
        <v>21</v>
      </c>
      <c r="I4238" s="8" t="s">
        <v>22</v>
      </c>
      <c r="J4238" s="8" t="s">
        <v>22</v>
      </c>
      <c r="K4238" s="8" t="s">
        <v>85</v>
      </c>
      <c r="L4238" s="8" t="s">
        <v>18289</v>
      </c>
      <c r="M4238" s="8" t="s">
        <v>18290</v>
      </c>
      <c r="N4238" s="8" t="s">
        <v>19241</v>
      </c>
      <c r="O4238" s="8">
        <f>12+17/60+11.4/3600</f>
        <v>12.2865</v>
      </c>
      <c r="P4238" s="8" t="s">
        <v>19242</v>
      </c>
      <c r="Q4238" s="8">
        <f>+(15+19/60+24/3600)</f>
        <v>15.323333333333332</v>
      </c>
      <c r="R4238" s="8">
        <v>11.6</v>
      </c>
      <c r="S4238" s="8">
        <v>12.5</v>
      </c>
      <c r="T4238" s="8">
        <v>0.9</v>
      </c>
      <c r="U4238" s="8">
        <v>12.6</v>
      </c>
      <c r="V4238" s="8">
        <v>2.1</v>
      </c>
      <c r="W4238" s="8">
        <v>1.4</v>
      </c>
      <c r="X4238" s="8">
        <v>108</v>
      </c>
      <c r="Y4238" s="8" t="s">
        <v>19243</v>
      </c>
      <c r="Z4238" s="8" t="s">
        <v>19244</v>
      </c>
    </row>
    <row r="4239" spans="1:26" x14ac:dyDescent="0.2">
      <c r="A4239" s="8">
        <v>4238</v>
      </c>
      <c r="B4239" s="8" t="s">
        <v>19245</v>
      </c>
      <c r="C4239" s="8" t="s">
        <v>19245</v>
      </c>
      <c r="F4239" s="47" t="s">
        <v>57260</v>
      </c>
      <c r="G4239" s="8">
        <v>15</v>
      </c>
      <c r="H4239" s="8" t="s">
        <v>21</v>
      </c>
      <c r="I4239" s="8" t="s">
        <v>22</v>
      </c>
      <c r="J4239" s="8" t="s">
        <v>22</v>
      </c>
      <c r="K4239" s="8" t="s">
        <v>579</v>
      </c>
      <c r="L4239" s="8" t="s">
        <v>13395</v>
      </c>
      <c r="M4239" s="8" t="s">
        <v>13396</v>
      </c>
      <c r="N4239" s="8" t="s">
        <v>19246</v>
      </c>
      <c r="O4239" s="8">
        <f>12+16/60+56/3600</f>
        <v>12.282222222222224</v>
      </c>
      <c r="P4239" s="8" t="s">
        <v>19247</v>
      </c>
      <c r="Q4239" s="8">
        <f>+(63+24/60+38/3600)</f>
        <v>63.410555555555554</v>
      </c>
      <c r="R4239" s="8">
        <v>13.6</v>
      </c>
      <c r="S4239" s="8">
        <v>14.3</v>
      </c>
      <c r="T4239" s="8">
        <v>0.7</v>
      </c>
      <c r="U4239" s="8">
        <v>13.4</v>
      </c>
      <c r="V4239" s="8">
        <v>1.8</v>
      </c>
      <c r="W4239" s="8">
        <v>0.5</v>
      </c>
      <c r="X4239" s="8">
        <v>36</v>
      </c>
      <c r="Y4239" s="8" t="s">
        <v>13681</v>
      </c>
      <c r="Z4239" s="8" t="s">
        <v>13682</v>
      </c>
    </row>
    <row r="4240" spans="1:26" x14ac:dyDescent="0.2">
      <c r="A4240" s="8">
        <v>4239</v>
      </c>
      <c r="B4240" s="8" t="s">
        <v>19248</v>
      </c>
      <c r="C4240" s="8" t="s">
        <v>19248</v>
      </c>
      <c r="F4240" s="47"/>
      <c r="G4240" s="8">
        <v>19</v>
      </c>
      <c r="H4240" s="8" t="s">
        <v>21</v>
      </c>
      <c r="I4240" s="8" t="s">
        <v>22</v>
      </c>
      <c r="J4240" s="8" t="s">
        <v>22</v>
      </c>
      <c r="K4240" s="8" t="s">
        <v>1068</v>
      </c>
      <c r="L4240" s="8" t="s">
        <v>18289</v>
      </c>
      <c r="M4240" s="8" t="s">
        <v>18290</v>
      </c>
      <c r="N4240" s="8" t="s">
        <v>19249</v>
      </c>
      <c r="O4240" s="8">
        <f>12+17/60+14.9/3600</f>
        <v>12.287472222222222</v>
      </c>
      <c r="P4240" s="8" t="s">
        <v>19250</v>
      </c>
      <c r="Q4240" s="8">
        <f>+(16+31/60+54/3600)</f>
        <v>16.531666666666666</v>
      </c>
      <c r="R4240" s="8">
        <v>12.8</v>
      </c>
      <c r="S4240" s="8">
        <v>13.7</v>
      </c>
      <c r="T4240" s="8">
        <v>0.9</v>
      </c>
      <c r="U4240" s="8">
        <v>13.6</v>
      </c>
      <c r="V4240" s="8">
        <v>1.4</v>
      </c>
      <c r="W4240" s="8">
        <v>0.7</v>
      </c>
      <c r="X4240" s="8">
        <v>120</v>
      </c>
      <c r="Y4240" s="8" t="s">
        <v>5711</v>
      </c>
      <c r="Z4240" s="8" t="s">
        <v>5712</v>
      </c>
    </row>
    <row r="4241" spans="1:26" x14ac:dyDescent="0.2">
      <c r="A4241" s="8">
        <v>4240</v>
      </c>
      <c r="B4241" s="8" t="s">
        <v>19251</v>
      </c>
      <c r="C4241" s="8" t="s">
        <v>19251</v>
      </c>
      <c r="F4241" s="47"/>
      <c r="G4241" s="8">
        <v>19</v>
      </c>
      <c r="H4241" s="8" t="s">
        <v>21</v>
      </c>
      <c r="I4241" s="8" t="s">
        <v>22</v>
      </c>
      <c r="J4241" s="8" t="s">
        <v>22</v>
      </c>
      <c r="K4241" s="8" t="s">
        <v>183</v>
      </c>
      <c r="L4241" s="8" t="s">
        <v>17287</v>
      </c>
      <c r="M4241" s="8" t="s">
        <v>17288</v>
      </c>
      <c r="N4241" s="8" t="s">
        <v>19252</v>
      </c>
      <c r="O4241" s="8">
        <f>12+17/60+24.3/3600</f>
        <v>12.290083333333333</v>
      </c>
      <c r="P4241" s="8" t="s">
        <v>19253</v>
      </c>
      <c r="Q4241" s="8">
        <f>-(9+57/60+6/3600)</f>
        <v>-9.9516666666666662</v>
      </c>
      <c r="R4241" s="8">
        <v>12.3</v>
      </c>
      <c r="S4241" s="8">
        <v>13.3</v>
      </c>
      <c r="T4241" s="8">
        <v>1</v>
      </c>
      <c r="U4241" s="8">
        <v>12.7</v>
      </c>
      <c r="V4241" s="8">
        <v>1.3</v>
      </c>
      <c r="W4241" s="8">
        <v>1.2</v>
      </c>
      <c r="Y4241" s="8" t="s">
        <v>21</v>
      </c>
      <c r="Z4241" s="8" t="s">
        <v>19254</v>
      </c>
    </row>
    <row r="4242" spans="1:26" x14ac:dyDescent="0.2">
      <c r="A4242" s="8">
        <v>4241</v>
      </c>
      <c r="B4242" s="8" t="s">
        <v>19255</v>
      </c>
      <c r="C4242" s="8" t="s">
        <v>19255</v>
      </c>
      <c r="F4242" s="47" t="s">
        <v>57261</v>
      </c>
      <c r="G4242" s="8">
        <v>6.5</v>
      </c>
      <c r="H4242" s="8" t="s">
        <v>21</v>
      </c>
      <c r="I4242" s="8" t="s">
        <v>22</v>
      </c>
      <c r="J4242" s="8" t="s">
        <v>22</v>
      </c>
      <c r="K4242" s="8" t="s">
        <v>64</v>
      </c>
      <c r="L4242" s="8" t="s">
        <v>17287</v>
      </c>
      <c r="M4242" s="8" t="s">
        <v>17288</v>
      </c>
      <c r="N4242" s="8" t="s">
        <v>19256</v>
      </c>
      <c r="O4242" s="8">
        <f>12+17/60+59.9/3600</f>
        <v>12.299972222222221</v>
      </c>
      <c r="P4242" s="8" t="s">
        <v>19257</v>
      </c>
      <c r="Q4242" s="8">
        <f>+(6+39/60+15/3600)</f>
        <v>6.6541666666666668</v>
      </c>
      <c r="R4242" s="8">
        <v>13.1</v>
      </c>
      <c r="S4242" s="8">
        <v>13.7</v>
      </c>
      <c r="T4242" s="8">
        <v>0.6</v>
      </c>
      <c r="U4242" s="8">
        <v>13.9</v>
      </c>
      <c r="V4242" s="8">
        <v>1.7</v>
      </c>
      <c r="W4242" s="8">
        <v>1.4</v>
      </c>
      <c r="X4242" s="8">
        <v>132</v>
      </c>
      <c r="Y4242" s="8" t="s">
        <v>19258</v>
      </c>
      <c r="Z4242" s="8" t="s">
        <v>19259</v>
      </c>
    </row>
    <row r="4243" spans="1:26" x14ac:dyDescent="0.2">
      <c r="A4243" s="8">
        <v>4242</v>
      </c>
      <c r="B4243" s="8" t="s">
        <v>19260</v>
      </c>
      <c r="C4243" s="8" t="s">
        <v>19260</v>
      </c>
      <c r="F4243" s="47" t="s">
        <v>57262</v>
      </c>
      <c r="G4243" s="8">
        <v>7</v>
      </c>
      <c r="H4243" s="8" t="s">
        <v>21</v>
      </c>
      <c r="I4243" s="8" t="s">
        <v>22</v>
      </c>
      <c r="J4243" s="8" t="s">
        <v>22</v>
      </c>
      <c r="K4243" s="8" t="s">
        <v>269</v>
      </c>
      <c r="L4243" s="8" t="s">
        <v>18681</v>
      </c>
      <c r="M4243" s="8" t="s">
        <v>18682</v>
      </c>
      <c r="N4243" s="8" t="s">
        <v>19261</v>
      </c>
      <c r="O4243" s="8">
        <f>12+17/60+30/3600</f>
        <v>12.291666666666666</v>
      </c>
      <c r="P4243" s="8" t="s">
        <v>19262</v>
      </c>
      <c r="Q4243" s="8">
        <f>+(45+37/60+9/3600)</f>
        <v>45.619166666666665</v>
      </c>
      <c r="R4243" s="8">
        <v>10.8</v>
      </c>
      <c r="S4243" s="8">
        <v>11.4</v>
      </c>
      <c r="T4243" s="8">
        <v>0.6</v>
      </c>
      <c r="U4243" s="8">
        <v>13.9</v>
      </c>
      <c r="V4243" s="8">
        <v>5.2</v>
      </c>
      <c r="W4243" s="8">
        <v>4</v>
      </c>
      <c r="X4243" s="8">
        <v>25</v>
      </c>
      <c r="Y4243" s="8" t="s">
        <v>19263</v>
      </c>
      <c r="Z4243" s="8" t="s">
        <v>19264</v>
      </c>
    </row>
    <row r="4244" spans="1:26" x14ac:dyDescent="0.2">
      <c r="A4244" s="8">
        <v>4243</v>
      </c>
      <c r="B4244" s="8" t="s">
        <v>19265</v>
      </c>
      <c r="C4244" s="8" t="s">
        <v>19265</v>
      </c>
      <c r="F4244" s="47"/>
      <c r="G4244" s="8">
        <v>19</v>
      </c>
      <c r="H4244" s="8" t="s">
        <v>21</v>
      </c>
      <c r="I4244" s="8" t="s">
        <v>22</v>
      </c>
      <c r="J4244" s="8" t="s">
        <v>57</v>
      </c>
      <c r="K4244" s="8" t="s">
        <v>183</v>
      </c>
      <c r="L4244" s="8" t="s">
        <v>17287</v>
      </c>
      <c r="M4244" s="8" t="s">
        <v>17288</v>
      </c>
      <c r="N4244" s="8" t="s">
        <v>19252</v>
      </c>
      <c r="O4244" s="8">
        <f>12+17/60+24.3/3600</f>
        <v>12.290083333333333</v>
      </c>
      <c r="P4244" s="8" t="s">
        <v>19253</v>
      </c>
      <c r="Q4244" s="8">
        <f>-(9+57/60+6/3600)</f>
        <v>-9.9516666666666662</v>
      </c>
      <c r="R4244" s="8">
        <v>12.3</v>
      </c>
      <c r="S4244" s="8">
        <v>13.3</v>
      </c>
      <c r="T4244" s="8">
        <v>1</v>
      </c>
      <c r="U4244" s="8">
        <v>12.7</v>
      </c>
      <c r="V4244" s="8">
        <v>1.3</v>
      </c>
      <c r="W4244" s="8">
        <v>1.2</v>
      </c>
      <c r="Y4244" s="8" t="s">
        <v>19266</v>
      </c>
      <c r="Z4244" s="8" t="s">
        <v>19267</v>
      </c>
    </row>
    <row r="4245" spans="1:26" x14ac:dyDescent="0.2">
      <c r="A4245" s="8">
        <v>4244</v>
      </c>
      <c r="B4245" s="8" t="s">
        <v>19268</v>
      </c>
      <c r="C4245" s="8" t="s">
        <v>19268</v>
      </c>
      <c r="F4245" s="47" t="s">
        <v>57263</v>
      </c>
      <c r="G4245" s="8">
        <v>2</v>
      </c>
      <c r="H4245" s="8" t="s">
        <v>21</v>
      </c>
      <c r="I4245" s="8" t="s">
        <v>22</v>
      </c>
      <c r="J4245" s="8" t="s">
        <v>22</v>
      </c>
      <c r="K4245" s="8" t="s">
        <v>160</v>
      </c>
      <c r="L4245" s="8" t="s">
        <v>18681</v>
      </c>
      <c r="M4245" s="8" t="s">
        <v>18682</v>
      </c>
      <c r="N4245" s="8" t="s">
        <v>19269</v>
      </c>
      <c r="O4245" s="8">
        <f>12+17/60+29.9/3600</f>
        <v>12.291638888888889</v>
      </c>
      <c r="P4245" s="8" t="s">
        <v>19270</v>
      </c>
      <c r="Q4245" s="8">
        <f>+(37+48/60+28/3600)</f>
        <v>37.807777777777773</v>
      </c>
      <c r="R4245" s="8">
        <v>10.4</v>
      </c>
      <c r="S4245" s="8">
        <v>10.9</v>
      </c>
      <c r="T4245" s="8">
        <v>0.5</v>
      </c>
      <c r="U4245" s="8">
        <v>14</v>
      </c>
      <c r="V4245" s="8">
        <v>16.600000000000001</v>
      </c>
      <c r="W4245" s="8">
        <v>1.9</v>
      </c>
      <c r="X4245" s="8">
        <v>48</v>
      </c>
      <c r="Y4245" s="8" t="s">
        <v>21</v>
      </c>
      <c r="Z4245" s="8" t="s">
        <v>19271</v>
      </c>
    </row>
    <row r="4246" spans="1:26" x14ac:dyDescent="0.2">
      <c r="A4246" s="8">
        <v>4245</v>
      </c>
      <c r="B4246" s="8" t="s">
        <v>19272</v>
      </c>
      <c r="C4246" s="8" t="s">
        <v>19272</v>
      </c>
      <c r="F4246" s="47" t="s">
        <v>57264</v>
      </c>
      <c r="G4246" s="8">
        <v>6</v>
      </c>
      <c r="H4246" s="8" t="s">
        <v>21</v>
      </c>
      <c r="I4246" s="8" t="s">
        <v>22</v>
      </c>
      <c r="J4246" s="8" t="s">
        <v>22</v>
      </c>
      <c r="K4246" s="8" t="s">
        <v>435</v>
      </c>
      <c r="L4246" s="8" t="s">
        <v>18289</v>
      </c>
      <c r="M4246" s="8" t="s">
        <v>18290</v>
      </c>
      <c r="N4246" s="8" t="s">
        <v>19273</v>
      </c>
      <c r="O4246" s="8">
        <f>12+17/60+36.9/3600</f>
        <v>12.293583333333332</v>
      </c>
      <c r="P4246" s="8" t="s">
        <v>19274</v>
      </c>
      <c r="Q4246" s="8">
        <f>+(29+36/60+27/3600)</f>
        <v>29.607500000000002</v>
      </c>
      <c r="R4246" s="8">
        <v>11.4</v>
      </c>
      <c r="S4246" s="8">
        <v>12.3</v>
      </c>
      <c r="T4246" s="8">
        <v>0.9</v>
      </c>
      <c r="U4246" s="8">
        <v>13.3</v>
      </c>
      <c r="V4246" s="8">
        <v>2.9</v>
      </c>
      <c r="W4246" s="8">
        <v>2.2000000000000002</v>
      </c>
      <c r="X4246" s="8">
        <v>165</v>
      </c>
      <c r="Y4246" s="8" t="s">
        <v>19275</v>
      </c>
      <c r="Z4246" s="8" t="s">
        <v>19276</v>
      </c>
    </row>
    <row r="4247" spans="1:26" x14ac:dyDescent="0.2">
      <c r="A4247" s="8">
        <v>4246</v>
      </c>
      <c r="B4247" s="8" t="s">
        <v>19277</v>
      </c>
      <c r="C4247" s="8" t="s">
        <v>19277</v>
      </c>
      <c r="F4247" s="47" t="s">
        <v>57265</v>
      </c>
      <c r="G4247" s="8">
        <v>15</v>
      </c>
      <c r="H4247" s="8" t="s">
        <v>21</v>
      </c>
      <c r="I4247" s="8" t="s">
        <v>22</v>
      </c>
      <c r="J4247" s="8" t="s">
        <v>22</v>
      </c>
      <c r="K4247" s="8" t="s">
        <v>160</v>
      </c>
      <c r="L4247" s="8" t="s">
        <v>17287</v>
      </c>
      <c r="M4247" s="8" t="s">
        <v>17288</v>
      </c>
      <c r="N4247" s="8" t="s">
        <v>19278</v>
      </c>
      <c r="O4247" s="8">
        <f>12+17/60+58.1/3600</f>
        <v>12.299472222222223</v>
      </c>
      <c r="P4247" s="8" t="s">
        <v>19279</v>
      </c>
      <c r="Q4247" s="8">
        <f>+(7+11/60+8/3600)</f>
        <v>7.1855555555555561</v>
      </c>
      <c r="R4247" s="8">
        <v>12.7</v>
      </c>
      <c r="S4247" s="8">
        <v>13.4</v>
      </c>
      <c r="T4247" s="8">
        <v>0.7</v>
      </c>
      <c r="U4247" s="8">
        <v>13.8</v>
      </c>
      <c r="V4247" s="8">
        <v>2.2999999999999998</v>
      </c>
      <c r="W4247" s="8">
        <v>1.2</v>
      </c>
      <c r="X4247" s="8">
        <v>83</v>
      </c>
      <c r="Y4247" s="8" t="s">
        <v>47</v>
      </c>
      <c r="Z4247" s="8" t="s">
        <v>48</v>
      </c>
    </row>
    <row r="4248" spans="1:26" x14ac:dyDescent="0.2">
      <c r="A4248" s="8">
        <v>4247</v>
      </c>
      <c r="B4248" s="8" t="s">
        <v>19280</v>
      </c>
      <c r="C4248" s="8" t="s">
        <v>19280</v>
      </c>
      <c r="F4248" s="47"/>
      <c r="G4248" s="8">
        <v>19</v>
      </c>
      <c r="H4248" s="8" t="s">
        <v>21</v>
      </c>
      <c r="I4248" s="8" t="s">
        <v>22</v>
      </c>
      <c r="J4248" s="8" t="s">
        <v>22</v>
      </c>
      <c r="K4248" s="8" t="s">
        <v>4023</v>
      </c>
      <c r="L4248" s="8" t="s">
        <v>17287</v>
      </c>
      <c r="M4248" s="8" t="s">
        <v>17288</v>
      </c>
      <c r="N4248" s="8" t="s">
        <v>19281</v>
      </c>
      <c r="O4248" s="8">
        <f>12+17/60+57.9/3600</f>
        <v>12.299416666666666</v>
      </c>
      <c r="P4248" s="8" t="s">
        <v>19282</v>
      </c>
      <c r="Q4248" s="8">
        <f>+(7+16/60+28/3600)</f>
        <v>7.2744444444444447</v>
      </c>
      <c r="R4248" s="8">
        <v>13.5</v>
      </c>
      <c r="S4248" s="8">
        <v>14.2</v>
      </c>
      <c r="T4248" s="8">
        <v>0.7</v>
      </c>
      <c r="U4248" s="8">
        <v>12.7</v>
      </c>
      <c r="V4248" s="8">
        <v>0.8</v>
      </c>
      <c r="W4248" s="8">
        <v>0.7</v>
      </c>
      <c r="X4248" s="8">
        <v>48</v>
      </c>
      <c r="Y4248" s="8" t="s">
        <v>21</v>
      </c>
      <c r="Z4248" s="8" t="s">
        <v>19283</v>
      </c>
    </row>
    <row r="4249" spans="1:26" x14ac:dyDescent="0.2">
      <c r="A4249" s="8">
        <v>4248</v>
      </c>
      <c r="B4249" s="8" t="s">
        <v>19284</v>
      </c>
      <c r="C4249" s="8" t="s">
        <v>19284</v>
      </c>
      <c r="F4249" s="47" t="s">
        <v>57266</v>
      </c>
      <c r="G4249" s="8">
        <v>6.5</v>
      </c>
      <c r="H4249" s="8" t="s">
        <v>21</v>
      </c>
      <c r="I4249" s="8" t="s">
        <v>22</v>
      </c>
      <c r="J4249" s="8" t="s">
        <v>22</v>
      </c>
      <c r="K4249" s="8" t="s">
        <v>218</v>
      </c>
      <c r="L4249" s="8" t="s">
        <v>18681</v>
      </c>
      <c r="M4249" s="8" t="s">
        <v>18682</v>
      </c>
      <c r="N4249" s="8" t="s">
        <v>19285</v>
      </c>
      <c r="O4249" s="8">
        <f>12+17/60+50.4/3600</f>
        <v>12.297333333333333</v>
      </c>
      <c r="P4249" s="8" t="s">
        <v>19286</v>
      </c>
      <c r="Q4249" s="8">
        <f>+(47+24/60+33/3600)</f>
        <v>47.409166666666664</v>
      </c>
      <c r="R4249" s="8">
        <v>12.5</v>
      </c>
      <c r="S4249" s="8">
        <v>13.1</v>
      </c>
      <c r="T4249" s="8">
        <v>0.6</v>
      </c>
      <c r="U4249" s="8">
        <v>13.7</v>
      </c>
      <c r="V4249" s="8">
        <v>2.9</v>
      </c>
      <c r="W4249" s="8">
        <v>1.2</v>
      </c>
      <c r="X4249" s="8">
        <v>108</v>
      </c>
      <c r="Y4249" s="8" t="s">
        <v>19287</v>
      </c>
      <c r="Z4249" s="8" t="s">
        <v>19288</v>
      </c>
    </row>
    <row r="4250" spans="1:26" x14ac:dyDescent="0.2">
      <c r="A4250" s="8">
        <v>4249</v>
      </c>
      <c r="B4250" s="8" t="s">
        <v>19289</v>
      </c>
      <c r="C4250" s="8" t="s">
        <v>19289</v>
      </c>
      <c r="F4250" s="47"/>
      <c r="G4250" s="8">
        <v>18</v>
      </c>
      <c r="H4250" s="8" t="s">
        <v>21</v>
      </c>
      <c r="I4250" s="8" t="s">
        <v>22</v>
      </c>
      <c r="J4250" s="8" t="s">
        <v>22</v>
      </c>
      <c r="K4250" s="8" t="s">
        <v>632</v>
      </c>
      <c r="L4250" s="8" t="s">
        <v>17287</v>
      </c>
      <c r="M4250" s="8" t="s">
        <v>17288</v>
      </c>
      <c r="N4250" s="8" t="s">
        <v>19290</v>
      </c>
      <c r="O4250" s="8">
        <f>12+17/60+59.3/3600</f>
        <v>12.299805555555555</v>
      </c>
      <c r="P4250" s="8" t="s">
        <v>19291</v>
      </c>
      <c r="Q4250" s="8">
        <f>+(5+35/60+57/3600)</f>
        <v>5.5991666666666662</v>
      </c>
      <c r="R4250" s="8">
        <v>14</v>
      </c>
      <c r="S4250" s="8">
        <v>14.9</v>
      </c>
      <c r="T4250" s="8">
        <v>0.9</v>
      </c>
      <c r="U4250" s="8">
        <v>12.8</v>
      </c>
      <c r="V4250" s="8">
        <v>0.6</v>
      </c>
      <c r="W4250" s="8">
        <v>0.6</v>
      </c>
      <c r="Y4250" s="8" t="s">
        <v>2802</v>
      </c>
      <c r="Z4250" s="8" t="s">
        <v>1021</v>
      </c>
    </row>
    <row r="4251" spans="1:26" x14ac:dyDescent="0.2">
      <c r="A4251" s="8">
        <v>4250</v>
      </c>
      <c r="B4251" s="8" t="s">
        <v>19292</v>
      </c>
      <c r="C4251" s="8" t="s">
        <v>19292</v>
      </c>
      <c r="F4251" s="47" t="s">
        <v>57267</v>
      </c>
      <c r="G4251" s="8">
        <v>6.5</v>
      </c>
      <c r="H4251" s="8" t="s">
        <v>21</v>
      </c>
      <c r="I4251" s="8" t="s">
        <v>22</v>
      </c>
      <c r="J4251" s="8" t="s">
        <v>22</v>
      </c>
      <c r="K4251" s="8" t="s">
        <v>435</v>
      </c>
      <c r="L4251" s="8" t="s">
        <v>13395</v>
      </c>
      <c r="M4251" s="8" t="s">
        <v>13396</v>
      </c>
      <c r="N4251" s="8" t="s">
        <v>19293</v>
      </c>
      <c r="O4251" s="8">
        <f>12+17/60+25.9/3600</f>
        <v>12.290527777777777</v>
      </c>
      <c r="P4251" s="8" t="s">
        <v>19294</v>
      </c>
      <c r="Q4251" s="8">
        <f>+(70+48/60+10/3600)</f>
        <v>70.802777777777777</v>
      </c>
      <c r="R4251" s="8">
        <v>11.8</v>
      </c>
      <c r="S4251" s="8">
        <v>12.7</v>
      </c>
      <c r="T4251" s="8">
        <v>0.9</v>
      </c>
      <c r="U4251" s="8">
        <v>13.5</v>
      </c>
      <c r="V4251" s="8">
        <v>2.7</v>
      </c>
      <c r="W4251" s="8">
        <v>2.1</v>
      </c>
      <c r="X4251" s="8">
        <v>168</v>
      </c>
      <c r="Y4251" s="8" t="s">
        <v>19295</v>
      </c>
      <c r="Z4251" s="8" t="s">
        <v>19296</v>
      </c>
    </row>
    <row r="4252" spans="1:26" x14ac:dyDescent="0.2">
      <c r="A4252" s="8">
        <v>4251</v>
      </c>
      <c r="B4252" s="8" t="s">
        <v>19297</v>
      </c>
      <c r="C4252" s="8" t="s">
        <v>19297</v>
      </c>
      <c r="F4252" s="47" t="s">
        <v>57268</v>
      </c>
      <c r="G4252" s="8">
        <v>6</v>
      </c>
      <c r="H4252" s="8" t="s">
        <v>21</v>
      </c>
      <c r="I4252" s="8" t="s">
        <v>22</v>
      </c>
      <c r="J4252" s="8" t="s">
        <v>22</v>
      </c>
      <c r="K4252" s="8" t="s">
        <v>224</v>
      </c>
      <c r="L4252" s="8" t="s">
        <v>18289</v>
      </c>
      <c r="M4252" s="8" t="s">
        <v>18290</v>
      </c>
      <c r="N4252" s="8" t="s">
        <v>19298</v>
      </c>
      <c r="O4252" s="8">
        <f>12+18/60+8.4/3600</f>
        <v>12.302333333333333</v>
      </c>
      <c r="P4252" s="8" t="s">
        <v>19299</v>
      </c>
      <c r="Q4252" s="8">
        <f>+(28+10/60+31/3600)</f>
        <v>28.175277777777779</v>
      </c>
      <c r="R4252" s="8">
        <v>10.7</v>
      </c>
      <c r="S4252" s="8">
        <v>11.6</v>
      </c>
      <c r="T4252" s="8">
        <v>0.9</v>
      </c>
      <c r="U4252" s="8">
        <v>12.4</v>
      </c>
      <c r="V4252" s="8">
        <v>3.6</v>
      </c>
      <c r="W4252" s="8">
        <v>1.5</v>
      </c>
      <c r="X4252" s="8">
        <v>100</v>
      </c>
      <c r="Y4252" s="8" t="s">
        <v>21</v>
      </c>
      <c r="Z4252" s="8" t="s">
        <v>19300</v>
      </c>
    </row>
    <row r="4253" spans="1:26" x14ac:dyDescent="0.2">
      <c r="A4253" s="8">
        <v>4252</v>
      </c>
      <c r="B4253" s="8" t="s">
        <v>19301</v>
      </c>
      <c r="C4253" s="8" t="s">
        <v>19301</v>
      </c>
      <c r="F4253" s="47"/>
      <c r="G4253" s="8">
        <v>18</v>
      </c>
      <c r="H4253" s="8" t="s">
        <v>21</v>
      </c>
      <c r="I4253" s="8" t="s">
        <v>22</v>
      </c>
      <c r="J4253" s="8" t="s">
        <v>22</v>
      </c>
      <c r="K4253" s="8" t="s">
        <v>23</v>
      </c>
      <c r="L4253" s="8" t="s">
        <v>17287</v>
      </c>
      <c r="M4253" s="8" t="s">
        <v>17288</v>
      </c>
      <c r="N4253" s="8" t="s">
        <v>19302</v>
      </c>
      <c r="O4253" s="8">
        <f>12+18/60+30.9/3600</f>
        <v>12.308583333333335</v>
      </c>
      <c r="P4253" s="8" t="s">
        <v>19303</v>
      </c>
      <c r="Q4253" s="8">
        <f>+(5+33/60+36/3600)</f>
        <v>5.56</v>
      </c>
      <c r="R4253" s="8">
        <v>14</v>
      </c>
      <c r="S4253" s="8">
        <v>14.8</v>
      </c>
      <c r="T4253" s="8">
        <v>0.8</v>
      </c>
      <c r="U4253" s="8">
        <v>13.3</v>
      </c>
      <c r="V4253" s="8">
        <v>1.3</v>
      </c>
      <c r="W4253" s="8">
        <v>0.3</v>
      </c>
      <c r="X4253" s="8">
        <v>48</v>
      </c>
      <c r="Y4253" s="8" t="s">
        <v>1674</v>
      </c>
      <c r="Z4253" s="8" t="s">
        <v>1675</v>
      </c>
    </row>
    <row r="4254" spans="1:26" x14ac:dyDescent="0.2">
      <c r="A4254" s="8">
        <v>4253</v>
      </c>
      <c r="B4254" s="8" t="s">
        <v>19304</v>
      </c>
      <c r="C4254" s="8" t="s">
        <v>19304</v>
      </c>
      <c r="F4254" s="47" t="s">
        <v>57269</v>
      </c>
      <c r="G4254" s="8">
        <v>15</v>
      </c>
      <c r="H4254" s="8" t="s">
        <v>21</v>
      </c>
      <c r="I4254" s="8" t="s">
        <v>22</v>
      </c>
      <c r="J4254" s="8" t="s">
        <v>22</v>
      </c>
      <c r="K4254" s="8" t="s">
        <v>154</v>
      </c>
      <c r="L4254" s="8" t="s">
        <v>18289</v>
      </c>
      <c r="M4254" s="8" t="s">
        <v>18290</v>
      </c>
      <c r="N4254" s="8" t="s">
        <v>19305</v>
      </c>
      <c r="O4254" s="8">
        <f>12+18/60+26.4/3600</f>
        <v>12.307333333333334</v>
      </c>
      <c r="P4254" s="8" t="s">
        <v>19306</v>
      </c>
      <c r="Q4254" s="8">
        <f>+(29+48/60+47/3600)</f>
        <v>29.813055555555557</v>
      </c>
      <c r="R4254" s="8">
        <v>13.1</v>
      </c>
      <c r="S4254" s="8">
        <v>14</v>
      </c>
      <c r="T4254" s="8">
        <v>0.9</v>
      </c>
      <c r="U4254" s="8">
        <v>12.7</v>
      </c>
      <c r="V4254" s="8">
        <v>0.9</v>
      </c>
      <c r="W4254" s="8">
        <v>0.8</v>
      </c>
      <c r="X4254" s="8">
        <v>54</v>
      </c>
      <c r="Y4254" s="8" t="s">
        <v>421</v>
      </c>
      <c r="Z4254" s="8" t="s">
        <v>422</v>
      </c>
    </row>
    <row r="4255" spans="1:26" x14ac:dyDescent="0.2">
      <c r="A4255" s="8">
        <v>4254</v>
      </c>
      <c r="B4255" s="8" t="s">
        <v>19307</v>
      </c>
      <c r="C4255" s="8" t="s">
        <v>55898</v>
      </c>
      <c r="F4255" s="47"/>
      <c r="G4255" s="8">
        <v>1</v>
      </c>
      <c r="H4255" s="8" t="s">
        <v>19308</v>
      </c>
      <c r="I4255" s="8" t="s">
        <v>22</v>
      </c>
      <c r="J4255" s="8" t="s">
        <v>22</v>
      </c>
      <c r="K4255" s="8" t="s">
        <v>160</v>
      </c>
      <c r="L4255" s="8" t="s">
        <v>18289</v>
      </c>
      <c r="M4255" s="8" t="s">
        <v>18290</v>
      </c>
      <c r="N4255" s="8" t="s">
        <v>19309</v>
      </c>
      <c r="O4255" s="8">
        <f>12+18/60+49.3/3600</f>
        <v>12.313694444444446</v>
      </c>
      <c r="P4255" s="8" t="s">
        <v>19310</v>
      </c>
      <c r="Q4255" s="8">
        <f>+(14+25/60+3/3600)</f>
        <v>14.417499999999999</v>
      </c>
      <c r="R4255" s="8">
        <v>9.9</v>
      </c>
      <c r="S4255" s="8">
        <v>10.4</v>
      </c>
      <c r="T4255" s="8">
        <v>0.5</v>
      </c>
      <c r="U4255" s="8">
        <v>13.3</v>
      </c>
      <c r="V4255" s="8">
        <v>5.3</v>
      </c>
      <c r="W4255" s="8">
        <v>4.5999999999999996</v>
      </c>
      <c r="X4255" s="8">
        <v>51</v>
      </c>
      <c r="Y4255" s="8" t="s">
        <v>19311</v>
      </c>
      <c r="Z4255" s="8" t="s">
        <v>19312</v>
      </c>
    </row>
    <row r="4256" spans="1:26" x14ac:dyDescent="0.2">
      <c r="A4256" s="8">
        <v>4255</v>
      </c>
      <c r="B4256" s="8" t="s">
        <v>19313</v>
      </c>
      <c r="C4256" s="8" t="s">
        <v>19313</v>
      </c>
      <c r="F4256" s="47"/>
      <c r="G4256" s="8">
        <v>19</v>
      </c>
      <c r="H4256" s="8" t="s">
        <v>21</v>
      </c>
      <c r="I4256" s="8" t="s">
        <v>22</v>
      </c>
      <c r="J4256" s="8" t="s">
        <v>22</v>
      </c>
      <c r="K4256" s="8" t="s">
        <v>224</v>
      </c>
      <c r="L4256" s="8" t="s">
        <v>17287</v>
      </c>
      <c r="M4256" s="8" t="s">
        <v>17288</v>
      </c>
      <c r="N4256" s="8" t="s">
        <v>19314</v>
      </c>
      <c r="O4256" s="8">
        <f>12+18/60+56.1/3600</f>
        <v>12.315583333333334</v>
      </c>
      <c r="P4256" s="8" t="s">
        <v>19315</v>
      </c>
      <c r="Q4256" s="8">
        <f>+(4+47/60+11/3600)</f>
        <v>4.7863888888888884</v>
      </c>
      <c r="R4256" s="8">
        <v>12.8</v>
      </c>
      <c r="S4256" s="8">
        <v>13.8</v>
      </c>
      <c r="T4256" s="8">
        <v>1</v>
      </c>
      <c r="U4256" s="8">
        <v>12.2</v>
      </c>
      <c r="V4256" s="8">
        <v>1.3</v>
      </c>
      <c r="W4256" s="8">
        <v>0.5</v>
      </c>
      <c r="X4256" s="8">
        <v>115</v>
      </c>
      <c r="Y4256" s="8" t="s">
        <v>19316</v>
      </c>
      <c r="Z4256" s="8" t="s">
        <v>19317</v>
      </c>
    </row>
    <row r="4257" spans="1:26" x14ac:dyDescent="0.2">
      <c r="A4257" s="8">
        <v>4256</v>
      </c>
      <c r="B4257" s="8" t="s">
        <v>19318</v>
      </c>
      <c r="C4257" s="8" t="s">
        <v>19318</v>
      </c>
      <c r="F4257" s="47" t="s">
        <v>57270</v>
      </c>
      <c r="G4257" s="8">
        <v>6.5</v>
      </c>
      <c r="H4257" s="8" t="s">
        <v>21</v>
      </c>
      <c r="I4257" s="8" t="s">
        <v>22</v>
      </c>
      <c r="J4257" s="8" t="s">
        <v>22</v>
      </c>
      <c r="K4257" s="8" t="s">
        <v>23</v>
      </c>
      <c r="L4257" s="8" t="s">
        <v>13395</v>
      </c>
      <c r="M4257" s="8" t="s">
        <v>13396</v>
      </c>
      <c r="N4257" s="8" t="s">
        <v>19319</v>
      </c>
      <c r="O4257" s="8">
        <f>12+18/60+42.8/3600</f>
        <v>12.311888888888889</v>
      </c>
      <c r="P4257" s="8" t="s">
        <v>19320</v>
      </c>
      <c r="Q4257" s="8">
        <f>+(65+53/60+54/3600)</f>
        <v>65.898333333333341</v>
      </c>
      <c r="R4257" s="8">
        <v>11.9</v>
      </c>
      <c r="S4257" s="8">
        <v>12.7</v>
      </c>
      <c r="T4257" s="8">
        <v>0.8</v>
      </c>
      <c r="U4257" s="8">
        <v>13.1</v>
      </c>
      <c r="V4257" s="8">
        <v>4.5</v>
      </c>
      <c r="W4257" s="8">
        <v>0.8</v>
      </c>
      <c r="X4257" s="8">
        <v>42</v>
      </c>
      <c r="Y4257" s="8" t="s">
        <v>21</v>
      </c>
      <c r="Z4257" s="8" t="s">
        <v>19321</v>
      </c>
    </row>
    <row r="4258" spans="1:26" x14ac:dyDescent="0.2">
      <c r="A4258" s="8">
        <v>4257</v>
      </c>
      <c r="B4258" s="8" t="s">
        <v>19322</v>
      </c>
      <c r="C4258" s="8" t="s">
        <v>19322</v>
      </c>
      <c r="F4258" s="47"/>
      <c r="G4258" s="8">
        <v>18</v>
      </c>
      <c r="H4258" s="8" t="s">
        <v>21</v>
      </c>
      <c r="I4258" s="8" t="s">
        <v>22</v>
      </c>
      <c r="J4258" s="8" t="s">
        <v>22</v>
      </c>
      <c r="K4258" s="8" t="s">
        <v>31</v>
      </c>
      <c r="L4258" s="8" t="s">
        <v>17287</v>
      </c>
      <c r="M4258" s="8" t="s">
        <v>17288</v>
      </c>
      <c r="N4258" s="8" t="s">
        <v>19323</v>
      </c>
      <c r="O4258" s="8">
        <f>12+19/60+6.5/3600</f>
        <v>12.318472222222223</v>
      </c>
      <c r="P4258" s="8" t="s">
        <v>3122</v>
      </c>
      <c r="Q4258" s="8">
        <f>+(5+43/60+34/3600)</f>
        <v>5.7261111111111109</v>
      </c>
      <c r="R4258" s="8">
        <v>14</v>
      </c>
      <c r="S4258" s="8">
        <v>14.8</v>
      </c>
      <c r="T4258" s="8">
        <v>0.8</v>
      </c>
      <c r="U4258" s="8">
        <v>13.5</v>
      </c>
      <c r="V4258" s="8">
        <v>1.5</v>
      </c>
      <c r="W4258" s="8">
        <v>0.5</v>
      </c>
      <c r="X4258" s="8">
        <v>78</v>
      </c>
      <c r="Y4258" s="8" t="s">
        <v>21</v>
      </c>
      <c r="Z4258" s="8" t="s">
        <v>19324</v>
      </c>
    </row>
    <row r="4259" spans="1:26" x14ac:dyDescent="0.2">
      <c r="A4259" s="8">
        <v>4258</v>
      </c>
      <c r="B4259" s="8" t="s">
        <v>19325</v>
      </c>
      <c r="C4259" s="8" t="s">
        <v>55899</v>
      </c>
      <c r="F4259" s="47" t="s">
        <v>57271</v>
      </c>
      <c r="G4259" s="8">
        <v>1</v>
      </c>
      <c r="H4259" s="8" t="s">
        <v>21</v>
      </c>
      <c r="I4259" s="8" t="s">
        <v>22</v>
      </c>
      <c r="J4259" s="8" t="s">
        <v>22</v>
      </c>
      <c r="K4259" s="8" t="s">
        <v>85</v>
      </c>
      <c r="L4259" s="8" t="s">
        <v>18681</v>
      </c>
      <c r="M4259" s="8" t="s">
        <v>18682</v>
      </c>
      <c r="N4259" s="8" t="s">
        <v>19326</v>
      </c>
      <c r="O4259" s="8">
        <f>12+18/60+57.8/3600</f>
        <v>12.316055555555556</v>
      </c>
      <c r="P4259" s="8" t="s">
        <v>19327</v>
      </c>
      <c r="Q4259" s="8">
        <f>+(47+18/60+25/3600)</f>
        <v>47.30694444444444</v>
      </c>
      <c r="R4259" s="8">
        <v>8.4</v>
      </c>
      <c r="S4259" s="8">
        <v>9.1</v>
      </c>
      <c r="T4259" s="8">
        <v>0.7</v>
      </c>
      <c r="U4259" s="8">
        <v>13.6</v>
      </c>
      <c r="V4259" s="8">
        <v>18.600000000000001</v>
      </c>
      <c r="W4259" s="8">
        <v>7.2</v>
      </c>
      <c r="X4259" s="8">
        <v>150</v>
      </c>
      <c r="Y4259" s="8" t="s">
        <v>19328</v>
      </c>
      <c r="Z4259" s="8" t="s">
        <v>19329</v>
      </c>
    </row>
    <row r="4260" spans="1:26" x14ac:dyDescent="0.2">
      <c r="A4260" s="8">
        <v>4259</v>
      </c>
      <c r="B4260" s="8" t="s">
        <v>19330</v>
      </c>
      <c r="C4260" s="8" t="s">
        <v>19330</v>
      </c>
      <c r="F4260" s="47"/>
      <c r="G4260" s="8">
        <v>16</v>
      </c>
      <c r="H4260" s="8" t="s">
        <v>21</v>
      </c>
      <c r="I4260" s="8" t="s">
        <v>22</v>
      </c>
      <c r="J4260" s="8" t="s">
        <v>22</v>
      </c>
      <c r="K4260" s="8" t="s">
        <v>37</v>
      </c>
      <c r="L4260" s="8" t="s">
        <v>17287</v>
      </c>
      <c r="M4260" s="8" t="s">
        <v>17288</v>
      </c>
      <c r="N4260" s="8" t="s">
        <v>19331</v>
      </c>
      <c r="O4260" s="8">
        <f>12+19/60+22.1/3600</f>
        <v>12.322805555555556</v>
      </c>
      <c r="P4260" s="8" t="s">
        <v>19332</v>
      </c>
      <c r="Q4260" s="8">
        <f>+(5+22/60+37/3600)</f>
        <v>5.3769444444444439</v>
      </c>
      <c r="R4260" s="8">
        <v>13.6</v>
      </c>
      <c r="S4260" s="8">
        <v>14.6</v>
      </c>
      <c r="T4260" s="8">
        <v>1</v>
      </c>
      <c r="U4260" s="8">
        <v>12.8</v>
      </c>
      <c r="V4260" s="8">
        <v>1.1000000000000001</v>
      </c>
      <c r="W4260" s="8">
        <v>0.4</v>
      </c>
      <c r="X4260" s="8">
        <v>143</v>
      </c>
      <c r="Y4260" s="8" t="s">
        <v>1374</v>
      </c>
      <c r="Z4260" s="8" t="s">
        <v>1375</v>
      </c>
    </row>
    <row r="4261" spans="1:26" x14ac:dyDescent="0.2">
      <c r="A4261" s="8">
        <v>4260</v>
      </c>
      <c r="B4261" s="8" t="s">
        <v>19333</v>
      </c>
      <c r="C4261" s="8" t="s">
        <v>19333</v>
      </c>
      <c r="F4261" s="47" t="s">
        <v>57272</v>
      </c>
      <c r="G4261" s="8">
        <v>6.5</v>
      </c>
      <c r="H4261" s="8" t="s">
        <v>21</v>
      </c>
      <c r="I4261" s="8" t="s">
        <v>22</v>
      </c>
      <c r="J4261" s="8" t="s">
        <v>22</v>
      </c>
      <c r="K4261" s="8" t="s">
        <v>154</v>
      </c>
      <c r="L4261" s="8" t="s">
        <v>17287</v>
      </c>
      <c r="M4261" s="8" t="s">
        <v>17288</v>
      </c>
      <c r="N4261" s="8" t="s">
        <v>19334</v>
      </c>
      <c r="O4261" s="8">
        <f>12+19/60+22.2/3600</f>
        <v>12.322833333333334</v>
      </c>
      <c r="P4261" s="8" t="s">
        <v>19335</v>
      </c>
      <c r="Q4261" s="8">
        <f>+(6+5/60+54/3600)</f>
        <v>6.0983333333333327</v>
      </c>
      <c r="R4261" s="8">
        <v>11.8</v>
      </c>
      <c r="S4261" s="8">
        <v>12.7</v>
      </c>
      <c r="T4261" s="8">
        <v>0.9</v>
      </c>
      <c r="U4261" s="8">
        <v>13</v>
      </c>
      <c r="V4261" s="8">
        <v>2.7</v>
      </c>
      <c r="W4261" s="8">
        <v>1.3</v>
      </c>
      <c r="X4261" s="8">
        <v>58</v>
      </c>
      <c r="Y4261" s="8" t="s">
        <v>19336</v>
      </c>
      <c r="Z4261" s="8" t="s">
        <v>19337</v>
      </c>
    </row>
    <row r="4262" spans="1:26" x14ac:dyDescent="0.2">
      <c r="A4262" s="8">
        <v>4261</v>
      </c>
      <c r="B4262" s="8" t="s">
        <v>19338</v>
      </c>
      <c r="C4262" s="8" t="s">
        <v>19338</v>
      </c>
      <c r="F4262" s="47" t="s">
        <v>57273</v>
      </c>
      <c r="G4262" s="8">
        <v>6</v>
      </c>
      <c r="H4262" s="8" t="s">
        <v>21</v>
      </c>
      <c r="I4262" s="8" t="s">
        <v>22</v>
      </c>
      <c r="J4262" s="8" t="s">
        <v>22</v>
      </c>
      <c r="K4262" s="8" t="s">
        <v>1136</v>
      </c>
      <c r="L4262" s="8" t="s">
        <v>17287</v>
      </c>
      <c r="M4262" s="8" t="s">
        <v>17288</v>
      </c>
      <c r="N4262" s="8" t="s">
        <v>19339</v>
      </c>
      <c r="O4262" s="8">
        <f>12+19/60+23.1/3600</f>
        <v>12.323083333333333</v>
      </c>
      <c r="P4262" s="8" t="s">
        <v>19340</v>
      </c>
      <c r="Q4262" s="8">
        <f>+(5+49/60+28/3600)</f>
        <v>5.8244444444444445</v>
      </c>
      <c r="R4262" s="8">
        <v>10.4</v>
      </c>
      <c r="S4262" s="8">
        <v>11.4</v>
      </c>
      <c r="T4262" s="8">
        <v>1</v>
      </c>
      <c r="U4262" s="8">
        <v>13.3</v>
      </c>
      <c r="V4262" s="8">
        <v>4.0999999999999996</v>
      </c>
      <c r="W4262" s="8">
        <v>3.6</v>
      </c>
      <c r="X4262" s="8">
        <v>160</v>
      </c>
      <c r="Y4262" s="8" t="s">
        <v>9772</v>
      </c>
      <c r="Z4262" s="8" t="s">
        <v>9773</v>
      </c>
    </row>
    <row r="4263" spans="1:26" x14ac:dyDescent="0.2">
      <c r="A4263" s="8">
        <v>4262</v>
      </c>
      <c r="B4263" s="8" t="s">
        <v>19341</v>
      </c>
      <c r="C4263" s="8" t="s">
        <v>19341</v>
      </c>
      <c r="F4263" s="47" t="s">
        <v>57274</v>
      </c>
      <c r="G4263" s="8">
        <v>13</v>
      </c>
      <c r="H4263" s="8" t="s">
        <v>21</v>
      </c>
      <c r="I4263" s="8" t="s">
        <v>22</v>
      </c>
      <c r="J4263" s="8" t="s">
        <v>22</v>
      </c>
      <c r="K4263" s="8" t="s">
        <v>118</v>
      </c>
      <c r="L4263" s="8" t="s">
        <v>18289</v>
      </c>
      <c r="M4263" s="8" t="s">
        <v>18290</v>
      </c>
      <c r="N4263" s="8" t="s">
        <v>19342</v>
      </c>
      <c r="O4263" s="8">
        <f>12+19/60+30.6/3600</f>
        <v>12.325166666666666</v>
      </c>
      <c r="P4263" s="8" t="s">
        <v>19343</v>
      </c>
      <c r="Q4263" s="8">
        <f>+(14+52/60+40/3600)</f>
        <v>14.877777777777778</v>
      </c>
      <c r="R4263" s="8">
        <v>11.6</v>
      </c>
      <c r="S4263" s="8">
        <v>12.5</v>
      </c>
      <c r="T4263" s="8">
        <v>0.9</v>
      </c>
      <c r="U4263" s="8">
        <v>12.7</v>
      </c>
      <c r="V4263" s="8">
        <v>1.8</v>
      </c>
      <c r="W4263" s="8">
        <v>1.6</v>
      </c>
      <c r="X4263" s="8">
        <v>120</v>
      </c>
      <c r="Y4263" s="8" t="s">
        <v>19344</v>
      </c>
      <c r="Z4263" s="8" t="s">
        <v>19345</v>
      </c>
    </row>
    <row r="4264" spans="1:26" x14ac:dyDescent="0.2">
      <c r="A4264" s="8">
        <v>4263</v>
      </c>
      <c r="B4264" s="8" t="s">
        <v>19346</v>
      </c>
      <c r="C4264" s="8" t="s">
        <v>19346</v>
      </c>
      <c r="F4264" s="47" t="s">
        <v>57275</v>
      </c>
      <c r="G4264" s="8">
        <v>15</v>
      </c>
      <c r="H4264" s="8" t="s">
        <v>21</v>
      </c>
      <c r="I4264" s="8" t="s">
        <v>22</v>
      </c>
      <c r="J4264" s="8" t="s">
        <v>22</v>
      </c>
      <c r="K4264" s="8" t="s">
        <v>23</v>
      </c>
      <c r="L4264" s="8" t="s">
        <v>15925</v>
      </c>
      <c r="M4264" s="8" t="s">
        <v>15926</v>
      </c>
      <c r="N4264" s="8" t="s">
        <v>19347</v>
      </c>
      <c r="O4264" s="8">
        <f>12+19/60+42.2/3600</f>
        <v>12.328388888888888</v>
      </c>
      <c r="P4264" s="8" t="s">
        <v>19348</v>
      </c>
      <c r="Q4264" s="8">
        <f>-(12+13/60+32/3600)</f>
        <v>-12.225555555555555</v>
      </c>
      <c r="R4264" s="8">
        <v>12.6</v>
      </c>
      <c r="S4264" s="8">
        <v>13.4</v>
      </c>
      <c r="T4264" s="8">
        <v>0.8</v>
      </c>
      <c r="U4264" s="8">
        <v>12.1</v>
      </c>
      <c r="V4264" s="8">
        <v>1.2</v>
      </c>
      <c r="W4264" s="8">
        <v>0.6</v>
      </c>
      <c r="X4264" s="8">
        <v>125</v>
      </c>
      <c r="Y4264" s="8" t="s">
        <v>19349</v>
      </c>
      <c r="Z4264" s="8" t="s">
        <v>5497</v>
      </c>
    </row>
    <row r="4265" spans="1:26" x14ac:dyDescent="0.2">
      <c r="A4265" s="8">
        <v>4264</v>
      </c>
      <c r="B4265" s="8" t="s">
        <v>19350</v>
      </c>
      <c r="C4265" s="8" t="s">
        <v>19350</v>
      </c>
      <c r="F4265" s="47" t="s">
        <v>57276</v>
      </c>
      <c r="G4265" s="8">
        <v>6.5</v>
      </c>
      <c r="H4265" s="8" t="s">
        <v>21</v>
      </c>
      <c r="I4265" s="8" t="s">
        <v>22</v>
      </c>
      <c r="J4265" s="8" t="s">
        <v>22</v>
      </c>
      <c r="K4265" s="8" t="s">
        <v>435</v>
      </c>
      <c r="L4265" s="8" t="s">
        <v>17287</v>
      </c>
      <c r="M4265" s="8" t="s">
        <v>17288</v>
      </c>
      <c r="N4265" s="8" t="s">
        <v>19351</v>
      </c>
      <c r="O4265" s="8">
        <f>12+19/60+35.6/3600</f>
        <v>12.326555555555556</v>
      </c>
      <c r="P4265" s="8" t="s">
        <v>19352</v>
      </c>
      <c r="Q4265" s="8">
        <f>+(5+50/60+49/3600)</f>
        <v>5.8469444444444445</v>
      </c>
      <c r="R4265" s="8">
        <v>12.8</v>
      </c>
      <c r="S4265" s="8">
        <v>13.7</v>
      </c>
      <c r="T4265" s="8">
        <v>0.9</v>
      </c>
      <c r="U4265" s="8">
        <v>12.4</v>
      </c>
      <c r="V4265" s="8">
        <v>0.9</v>
      </c>
      <c r="W4265" s="8">
        <v>0.7</v>
      </c>
      <c r="X4265" s="8">
        <v>123</v>
      </c>
      <c r="Y4265" s="8" t="s">
        <v>1323</v>
      </c>
      <c r="Z4265" s="8" t="s">
        <v>1324</v>
      </c>
    </row>
    <row r="4266" spans="1:26" x14ac:dyDescent="0.2">
      <c r="A4266" s="8">
        <v>4265</v>
      </c>
      <c r="B4266" s="8" t="s">
        <v>19353</v>
      </c>
      <c r="C4266" s="8" t="s">
        <v>19353</v>
      </c>
      <c r="F4266" s="47"/>
      <c r="G4266" s="8">
        <v>19</v>
      </c>
      <c r="H4266" s="8" t="s">
        <v>21</v>
      </c>
      <c r="I4266" s="8" t="s">
        <v>22</v>
      </c>
      <c r="J4266" s="8" t="s">
        <v>57</v>
      </c>
      <c r="K4266" s="8" t="s">
        <v>23</v>
      </c>
      <c r="L4266" s="8" t="s">
        <v>15925</v>
      </c>
      <c r="M4266" s="8" t="s">
        <v>15926</v>
      </c>
      <c r="N4266" s="8" t="s">
        <v>19347</v>
      </c>
      <c r="O4266" s="8">
        <f>12+19/60+42.2/3600</f>
        <v>12.328388888888888</v>
      </c>
      <c r="P4266" s="8" t="s">
        <v>19348</v>
      </c>
      <c r="Q4266" s="8">
        <f>-(12+13/60+32/3600)</f>
        <v>-12.225555555555555</v>
      </c>
      <c r="R4266" s="8">
        <v>12.6</v>
      </c>
      <c r="S4266" s="8">
        <v>13.4</v>
      </c>
      <c r="T4266" s="8">
        <v>0.8</v>
      </c>
      <c r="U4266" s="8">
        <v>12.1</v>
      </c>
      <c r="V4266" s="8">
        <v>1.2</v>
      </c>
      <c r="W4266" s="8">
        <v>0.6</v>
      </c>
      <c r="X4266" s="8">
        <v>125</v>
      </c>
      <c r="Y4266" s="8" t="s">
        <v>237</v>
      </c>
      <c r="Z4266" s="8" t="s">
        <v>238</v>
      </c>
    </row>
    <row r="4267" spans="1:26" x14ac:dyDescent="0.2">
      <c r="A4267" s="8">
        <v>4266</v>
      </c>
      <c r="B4267" s="8" t="s">
        <v>19354</v>
      </c>
      <c r="C4267" s="8" t="s">
        <v>19354</v>
      </c>
      <c r="F4267" s="47"/>
      <c r="G4267" s="8">
        <v>18</v>
      </c>
      <c r="H4267" s="8" t="s">
        <v>21</v>
      </c>
      <c r="I4267" s="8" t="s">
        <v>22</v>
      </c>
      <c r="J4267" s="8" t="s">
        <v>22</v>
      </c>
      <c r="K4267" s="8" t="s">
        <v>154</v>
      </c>
      <c r="L4267" s="8" t="s">
        <v>17287</v>
      </c>
      <c r="M4267" s="8" t="s">
        <v>17288</v>
      </c>
      <c r="N4267" s="8" t="s">
        <v>19355</v>
      </c>
      <c r="O4267" s="8">
        <f>12+19/60+42.1/3600</f>
        <v>12.328361111111111</v>
      </c>
      <c r="P4267" s="8" t="s">
        <v>19356</v>
      </c>
      <c r="Q4267" s="8">
        <f>+(5+32/60+17/3600)</f>
        <v>5.5380555555555553</v>
      </c>
      <c r="R4267" s="8">
        <v>13.7</v>
      </c>
      <c r="S4267" s="8">
        <v>14.6</v>
      </c>
      <c r="T4267" s="8">
        <v>0.9</v>
      </c>
      <c r="U4267" s="8">
        <v>13.2</v>
      </c>
      <c r="V4267" s="8">
        <v>1.8</v>
      </c>
      <c r="W4267" s="8">
        <v>0.4</v>
      </c>
      <c r="X4267" s="8">
        <v>76</v>
      </c>
      <c r="Y4267" s="8" t="s">
        <v>1088</v>
      </c>
      <c r="Z4267" s="8" t="s">
        <v>1089</v>
      </c>
    </row>
    <row r="4268" spans="1:26" x14ac:dyDescent="0.2">
      <c r="A4268" s="8">
        <v>4267</v>
      </c>
      <c r="B4268" s="8" t="s">
        <v>19357</v>
      </c>
      <c r="C4268" s="8" t="s">
        <v>19357</v>
      </c>
      <c r="F4268" s="47" t="s">
        <v>57277</v>
      </c>
      <c r="G4268" s="8">
        <v>6.5</v>
      </c>
      <c r="H4268" s="8" t="s">
        <v>21</v>
      </c>
      <c r="I4268" s="8" t="s">
        <v>22</v>
      </c>
      <c r="J4268" s="8" t="s">
        <v>22</v>
      </c>
      <c r="K4268" s="8" t="s">
        <v>118</v>
      </c>
      <c r="L4268" s="8" t="s">
        <v>17287</v>
      </c>
      <c r="M4268" s="8" t="s">
        <v>17288</v>
      </c>
      <c r="N4268" s="8" t="s">
        <v>19358</v>
      </c>
      <c r="O4268" s="8">
        <f>12+19/60+45.3/3600</f>
        <v>12.32925</v>
      </c>
      <c r="P4268" s="8" t="s">
        <v>19359</v>
      </c>
      <c r="Q4268" s="8">
        <f>+(12+47/60+54/3600)</f>
        <v>12.798333333333334</v>
      </c>
      <c r="R4268" s="8">
        <v>10.9</v>
      </c>
      <c r="S4268" s="8">
        <v>11.9</v>
      </c>
      <c r="T4268" s="8">
        <v>1</v>
      </c>
      <c r="U4268" s="8">
        <v>13.3</v>
      </c>
      <c r="V4268" s="8">
        <v>3</v>
      </c>
      <c r="W4268" s="8">
        <v>2.8</v>
      </c>
      <c r="X4268" s="8">
        <v>33</v>
      </c>
      <c r="Y4268" s="8" t="s">
        <v>19360</v>
      </c>
      <c r="Z4268" s="8" t="s">
        <v>19361</v>
      </c>
    </row>
    <row r="4269" spans="1:26" x14ac:dyDescent="0.2">
      <c r="A4269" s="8">
        <v>4268</v>
      </c>
      <c r="B4269" s="8" t="s">
        <v>19362</v>
      </c>
      <c r="C4269" s="8" t="s">
        <v>19362</v>
      </c>
      <c r="F4269" s="47"/>
      <c r="G4269" s="8">
        <v>15</v>
      </c>
      <c r="H4269" s="8" t="s">
        <v>21</v>
      </c>
      <c r="I4269" s="8" t="s">
        <v>22</v>
      </c>
      <c r="J4269" s="8" t="s">
        <v>22</v>
      </c>
      <c r="K4269" s="8" t="s">
        <v>435</v>
      </c>
      <c r="L4269" s="8" t="s">
        <v>17287</v>
      </c>
      <c r="M4269" s="8" t="s">
        <v>17288</v>
      </c>
      <c r="N4269" s="8" t="s">
        <v>19363</v>
      </c>
      <c r="O4269" s="8">
        <f>12+19/60+47.1/3600</f>
        <v>12.329749999999999</v>
      </c>
      <c r="P4269" s="8" t="s">
        <v>19364</v>
      </c>
      <c r="Q4269" s="8">
        <f>+(5+17/60+3/3600)</f>
        <v>5.2841666666666667</v>
      </c>
      <c r="R4269" s="8">
        <v>12.8</v>
      </c>
      <c r="S4269" s="8">
        <v>13.8</v>
      </c>
      <c r="T4269" s="8">
        <v>1</v>
      </c>
      <c r="U4269" s="8">
        <v>12.6</v>
      </c>
      <c r="V4269" s="8">
        <v>1.4</v>
      </c>
      <c r="W4269" s="8">
        <v>0.6</v>
      </c>
      <c r="X4269" s="8">
        <v>48</v>
      </c>
      <c r="Y4269" s="8" t="s">
        <v>21</v>
      </c>
      <c r="Z4269" s="8" t="s">
        <v>19365</v>
      </c>
    </row>
    <row r="4270" spans="1:26" x14ac:dyDescent="0.2">
      <c r="A4270" s="8">
        <v>4269</v>
      </c>
      <c r="B4270" s="8" t="s">
        <v>19366</v>
      </c>
      <c r="C4270" s="8" t="s">
        <v>19366</v>
      </c>
      <c r="F4270" s="47"/>
      <c r="G4270" s="8">
        <v>18</v>
      </c>
      <c r="H4270" s="8" t="s">
        <v>21</v>
      </c>
      <c r="I4270" s="8" t="s">
        <v>22</v>
      </c>
      <c r="J4270" s="8" t="s">
        <v>22</v>
      </c>
      <c r="K4270" s="8" t="s">
        <v>632</v>
      </c>
      <c r="L4270" s="8" t="s">
        <v>17287</v>
      </c>
      <c r="M4270" s="8" t="s">
        <v>17288</v>
      </c>
      <c r="N4270" s="8" t="s">
        <v>19367</v>
      </c>
      <c r="O4270" s="8">
        <f>12+19/60+49.2/3600</f>
        <v>12.330333333333334</v>
      </c>
      <c r="P4270" s="8" t="s">
        <v>19368</v>
      </c>
      <c r="Q4270" s="8">
        <f>+(6+0/60+55/3600)</f>
        <v>6.0152777777777775</v>
      </c>
      <c r="R4270" s="8">
        <v>12.9</v>
      </c>
      <c r="S4270" s="8">
        <v>13.8</v>
      </c>
      <c r="T4270" s="8">
        <v>0.9</v>
      </c>
      <c r="U4270" s="8">
        <v>12.8</v>
      </c>
      <c r="V4270" s="8">
        <v>1.3</v>
      </c>
      <c r="W4270" s="8">
        <v>0.8</v>
      </c>
      <c r="X4270" s="8">
        <v>137</v>
      </c>
      <c r="Y4270" s="8" t="s">
        <v>21</v>
      </c>
      <c r="Z4270" s="8" t="s">
        <v>19369</v>
      </c>
    </row>
    <row r="4271" spans="1:26" x14ac:dyDescent="0.2">
      <c r="A4271" s="8">
        <v>4270</v>
      </c>
      <c r="B4271" s="8" t="s">
        <v>19370</v>
      </c>
      <c r="C4271" s="8" t="s">
        <v>19370</v>
      </c>
      <c r="F4271" s="47" t="s">
        <v>57278</v>
      </c>
      <c r="G4271" s="8">
        <v>6.5</v>
      </c>
      <c r="H4271" s="8" t="s">
        <v>21</v>
      </c>
      <c r="I4271" s="8" t="s">
        <v>22</v>
      </c>
      <c r="J4271" s="8" t="s">
        <v>22</v>
      </c>
      <c r="K4271" s="8" t="s">
        <v>37</v>
      </c>
      <c r="L4271" s="8" t="s">
        <v>17287</v>
      </c>
      <c r="M4271" s="8" t="s">
        <v>17288</v>
      </c>
      <c r="N4271" s="8" t="s">
        <v>19371</v>
      </c>
      <c r="O4271" s="8">
        <f>12+19/60+49.4/3600</f>
        <v>12.330388888888889</v>
      </c>
      <c r="P4271" s="8" t="s">
        <v>19372</v>
      </c>
      <c r="Q4271" s="8">
        <f>+(5+27/60+48/3600)</f>
        <v>5.4633333333333338</v>
      </c>
      <c r="R4271" s="8">
        <v>12.2</v>
      </c>
      <c r="S4271" s="8">
        <v>13.1</v>
      </c>
      <c r="T4271" s="8">
        <v>0.9</v>
      </c>
      <c r="U4271" s="8">
        <v>12.7</v>
      </c>
      <c r="V4271" s="8">
        <v>2</v>
      </c>
      <c r="W4271" s="8">
        <v>0.9</v>
      </c>
      <c r="X4271" s="8">
        <v>110</v>
      </c>
      <c r="Y4271" s="8" t="s">
        <v>13469</v>
      </c>
      <c r="Z4271" s="8" t="s">
        <v>13470</v>
      </c>
    </row>
    <row r="4272" spans="1:26" x14ac:dyDescent="0.2">
      <c r="A4272" s="8">
        <v>4271</v>
      </c>
      <c r="B4272" s="8" t="s">
        <v>19373</v>
      </c>
      <c r="C4272" s="8" t="s">
        <v>19373</v>
      </c>
      <c r="F4272" s="47" t="s">
        <v>57279</v>
      </c>
      <c r="G4272" s="8">
        <v>6.5</v>
      </c>
      <c r="H4272" s="8" t="s">
        <v>21</v>
      </c>
      <c r="I4272" s="8" t="s">
        <v>22</v>
      </c>
      <c r="J4272" s="8" t="s">
        <v>22</v>
      </c>
      <c r="K4272" s="8" t="s">
        <v>58</v>
      </c>
      <c r="L4272" s="8" t="s">
        <v>12015</v>
      </c>
      <c r="M4272" s="8" t="s">
        <v>12016</v>
      </c>
      <c r="N4272" s="8" t="s">
        <v>19374</v>
      </c>
      <c r="O4272" s="8">
        <f>12+19/60+32.7/3600</f>
        <v>12.325749999999999</v>
      </c>
      <c r="P4272" s="8" t="s">
        <v>19375</v>
      </c>
      <c r="Q4272" s="8">
        <f>+(56+44/60+14/3600)</f>
        <v>56.737222222222222</v>
      </c>
      <c r="R4272" s="8">
        <v>12.6</v>
      </c>
      <c r="S4272" s="8">
        <v>13.6</v>
      </c>
      <c r="T4272" s="8">
        <v>1</v>
      </c>
      <c r="U4272" s="8">
        <v>13.1</v>
      </c>
      <c r="V4272" s="8">
        <v>1.5</v>
      </c>
      <c r="W4272" s="8">
        <v>1.3</v>
      </c>
      <c r="X4272" s="8">
        <v>55</v>
      </c>
      <c r="Y4272" s="8" t="s">
        <v>19376</v>
      </c>
      <c r="Z4272" s="8" t="s">
        <v>19377</v>
      </c>
    </row>
    <row r="4273" spans="1:26" x14ac:dyDescent="0.2">
      <c r="A4273" s="8">
        <v>4272</v>
      </c>
      <c r="B4273" s="8" t="s">
        <v>19378</v>
      </c>
      <c r="C4273" s="8" t="s">
        <v>19378</v>
      </c>
      <c r="F4273" s="47" t="s">
        <v>57280</v>
      </c>
      <c r="G4273" s="8">
        <v>15</v>
      </c>
      <c r="H4273" s="8" t="s">
        <v>21</v>
      </c>
      <c r="I4273" s="8" t="s">
        <v>22</v>
      </c>
      <c r="J4273" s="8" t="s">
        <v>22</v>
      </c>
      <c r="K4273" s="8" t="s">
        <v>1136</v>
      </c>
      <c r="L4273" s="8" t="s">
        <v>18289</v>
      </c>
      <c r="M4273" s="8" t="s">
        <v>18290</v>
      </c>
      <c r="N4273" s="8" t="s">
        <v>19379</v>
      </c>
      <c r="O4273" s="8">
        <f>12+19/60+47.6/3600</f>
        <v>12.329888888888888</v>
      </c>
      <c r="P4273" s="8" t="s">
        <v>19380</v>
      </c>
      <c r="Q4273" s="8">
        <f>+(30+20/60+20/3600)</f>
        <v>30.338888888888889</v>
      </c>
      <c r="R4273" s="8">
        <v>13.1</v>
      </c>
      <c r="S4273" s="8">
        <v>14.1</v>
      </c>
      <c r="T4273" s="8">
        <v>1</v>
      </c>
      <c r="U4273" s="8">
        <v>14</v>
      </c>
      <c r="V4273" s="8">
        <v>1.7</v>
      </c>
      <c r="W4273" s="8">
        <v>1.3</v>
      </c>
      <c r="X4273" s="8">
        <v>120</v>
      </c>
      <c r="Y4273" s="8" t="s">
        <v>19381</v>
      </c>
      <c r="Z4273" s="8" t="s">
        <v>19382</v>
      </c>
    </row>
    <row r="4274" spans="1:26" x14ac:dyDescent="0.2">
      <c r="A4274" s="8">
        <v>4273</v>
      </c>
      <c r="B4274" s="8" t="s">
        <v>19383</v>
      </c>
      <c r="C4274" s="8" t="s">
        <v>19383</v>
      </c>
      <c r="F4274" s="47" t="s">
        <v>57281</v>
      </c>
      <c r="G4274" s="8">
        <v>6</v>
      </c>
      <c r="H4274" s="8" t="s">
        <v>21</v>
      </c>
      <c r="I4274" s="8" t="s">
        <v>22</v>
      </c>
      <c r="J4274" s="8" t="s">
        <v>22</v>
      </c>
      <c r="K4274" s="8" t="s">
        <v>64</v>
      </c>
      <c r="L4274" s="8" t="s">
        <v>17287</v>
      </c>
      <c r="M4274" s="8" t="s">
        <v>17288</v>
      </c>
      <c r="N4274" s="8" t="s">
        <v>19384</v>
      </c>
      <c r="O4274" s="8">
        <f>12+19/60+56/3600</f>
        <v>12.332222222222223</v>
      </c>
      <c r="P4274" s="8" t="s">
        <v>19385</v>
      </c>
      <c r="Q4274" s="8">
        <f>+(5+20/60+37/3600)</f>
        <v>5.3436111111111106</v>
      </c>
      <c r="R4274" s="8">
        <v>11.9</v>
      </c>
      <c r="S4274" s="8">
        <v>12.4</v>
      </c>
      <c r="T4274" s="8">
        <v>0.5</v>
      </c>
      <c r="U4274" s="8">
        <v>13.1</v>
      </c>
      <c r="V4274" s="8">
        <v>2.2999999999999998</v>
      </c>
      <c r="W4274" s="8">
        <v>1.5</v>
      </c>
      <c r="X4274" s="8">
        <v>10</v>
      </c>
      <c r="Y4274" s="8" t="s">
        <v>19386</v>
      </c>
      <c r="Z4274" s="8" t="s">
        <v>19387</v>
      </c>
    </row>
    <row r="4275" spans="1:26" x14ac:dyDescent="0.2">
      <c r="A4275" s="8">
        <v>4274</v>
      </c>
      <c r="B4275" s="8" t="s">
        <v>19388</v>
      </c>
      <c r="C4275" s="8" t="s">
        <v>19388</v>
      </c>
      <c r="F4275" s="47" t="s">
        <v>57282</v>
      </c>
      <c r="G4275" s="8">
        <v>6</v>
      </c>
      <c r="H4275" s="8" t="s">
        <v>21</v>
      </c>
      <c r="I4275" s="8" t="s">
        <v>22</v>
      </c>
      <c r="J4275" s="8" t="s">
        <v>22</v>
      </c>
      <c r="K4275" s="8" t="s">
        <v>406</v>
      </c>
      <c r="L4275" s="8" t="s">
        <v>18289</v>
      </c>
      <c r="M4275" s="8" t="s">
        <v>18290</v>
      </c>
      <c r="N4275" s="8" t="s">
        <v>19389</v>
      </c>
      <c r="O4275" s="8">
        <f>12+19/60+50.8/3600</f>
        <v>12.330777777777778</v>
      </c>
      <c r="P4275" s="8" t="s">
        <v>19390</v>
      </c>
      <c r="Q4275" s="8">
        <f>+(29+36/60+49/3600)</f>
        <v>29.613611111111112</v>
      </c>
      <c r="R4275" s="8">
        <v>10.4</v>
      </c>
      <c r="S4275" s="8">
        <v>11.3</v>
      </c>
      <c r="T4275" s="8">
        <v>0.9</v>
      </c>
      <c r="U4275" s="8">
        <v>13.3</v>
      </c>
      <c r="V4275" s="8">
        <v>6.8</v>
      </c>
      <c r="W4275" s="8">
        <v>2.4</v>
      </c>
      <c r="X4275" s="8">
        <v>102</v>
      </c>
      <c r="Y4275" s="8" t="s">
        <v>19391</v>
      </c>
      <c r="Z4275" s="8" t="s">
        <v>19392</v>
      </c>
    </row>
    <row r="4276" spans="1:26" x14ac:dyDescent="0.2">
      <c r="A4276" s="8">
        <v>4275</v>
      </c>
      <c r="B4276" s="8" t="s">
        <v>19393</v>
      </c>
      <c r="C4276" s="8" t="s">
        <v>19393</v>
      </c>
      <c r="F4276" s="47" t="s">
        <v>57283</v>
      </c>
      <c r="G4276" s="8">
        <v>10</v>
      </c>
      <c r="H4276" s="8" t="s">
        <v>21</v>
      </c>
      <c r="I4276" s="8" t="s">
        <v>22</v>
      </c>
      <c r="J4276" s="8" t="s">
        <v>22</v>
      </c>
      <c r="K4276" s="8" t="s">
        <v>23</v>
      </c>
      <c r="L4276" s="8" t="s">
        <v>18289</v>
      </c>
      <c r="M4276" s="8" t="s">
        <v>18290</v>
      </c>
      <c r="N4276" s="8" t="s">
        <v>19394</v>
      </c>
      <c r="O4276" s="8">
        <f>12+19/60+52.6/3600</f>
        <v>12.331277777777778</v>
      </c>
      <c r="P4276" s="8" t="s">
        <v>19395</v>
      </c>
      <c r="Q4276" s="8">
        <f>+(27+37/60+16/3600)</f>
        <v>27.621111111111112</v>
      </c>
      <c r="R4276" s="8">
        <v>12.8</v>
      </c>
      <c r="S4276" s="8">
        <v>13.6</v>
      </c>
      <c r="T4276" s="8">
        <v>0.8</v>
      </c>
      <c r="U4276" s="8">
        <v>12.8</v>
      </c>
      <c r="V4276" s="8">
        <v>1.1000000000000001</v>
      </c>
      <c r="W4276" s="8">
        <v>1</v>
      </c>
      <c r="X4276" s="8">
        <v>80</v>
      </c>
      <c r="Y4276" s="8" t="s">
        <v>19396</v>
      </c>
      <c r="Z4276" s="8" t="s">
        <v>19397</v>
      </c>
    </row>
    <row r="4277" spans="1:26" x14ac:dyDescent="0.2">
      <c r="A4277" s="8">
        <v>4276</v>
      </c>
      <c r="B4277" s="8" t="s">
        <v>19398</v>
      </c>
      <c r="C4277" s="8" t="s">
        <v>19398</v>
      </c>
      <c r="F4277" s="47"/>
      <c r="G4277" s="8">
        <v>14</v>
      </c>
      <c r="H4277" s="8" t="s">
        <v>19399</v>
      </c>
      <c r="I4277" s="8" t="s">
        <v>22</v>
      </c>
      <c r="J4277" s="8" t="s">
        <v>22</v>
      </c>
      <c r="K4277" s="8" t="s">
        <v>64</v>
      </c>
      <c r="L4277" s="8" t="s">
        <v>17287</v>
      </c>
      <c r="M4277" s="8" t="s">
        <v>17288</v>
      </c>
      <c r="N4277" s="8" t="s">
        <v>19400</v>
      </c>
      <c r="O4277" s="8">
        <f>12+20/60+7.7/3600</f>
        <v>12.335472222222222</v>
      </c>
      <c r="P4277" s="8" t="s">
        <v>19401</v>
      </c>
      <c r="Q4277" s="8">
        <f>+(7+41/60+29/3600)</f>
        <v>7.6913888888888895</v>
      </c>
      <c r="R4277" s="8">
        <v>12.5</v>
      </c>
      <c r="S4277" s="8">
        <v>13.2</v>
      </c>
      <c r="T4277" s="8">
        <v>0.7</v>
      </c>
      <c r="U4277" s="8">
        <v>13.2</v>
      </c>
      <c r="V4277" s="8">
        <v>1.6</v>
      </c>
      <c r="W4277" s="8">
        <v>1.4</v>
      </c>
      <c r="X4277" s="8">
        <v>3</v>
      </c>
      <c r="Y4277" s="8" t="s">
        <v>18401</v>
      </c>
      <c r="Z4277" s="8" t="s">
        <v>18402</v>
      </c>
    </row>
    <row r="4278" spans="1:26" x14ac:dyDescent="0.2">
      <c r="A4278" s="8">
        <v>4277</v>
      </c>
      <c r="B4278" s="8" t="s">
        <v>19402</v>
      </c>
      <c r="C4278" s="8" t="s">
        <v>19402</v>
      </c>
      <c r="F4278" s="47" t="s">
        <v>57284</v>
      </c>
      <c r="G4278" s="8">
        <v>19</v>
      </c>
      <c r="H4278" s="8" t="s">
        <v>21</v>
      </c>
      <c r="I4278" s="8" t="s">
        <v>22</v>
      </c>
      <c r="J4278" s="8" t="s">
        <v>22</v>
      </c>
      <c r="K4278" s="8" t="s">
        <v>435</v>
      </c>
      <c r="L4278" s="8" t="s">
        <v>17287</v>
      </c>
      <c r="M4278" s="8" t="s">
        <v>17288</v>
      </c>
      <c r="N4278" s="8" t="s">
        <v>19403</v>
      </c>
      <c r="O4278" s="8">
        <f>12+20/60+3.6/3600</f>
        <v>12.334333333333333</v>
      </c>
      <c r="P4278" s="8" t="s">
        <v>19404</v>
      </c>
      <c r="Q4278" s="8">
        <f>+(5+20/60+31/3600)</f>
        <v>5.3419444444444437</v>
      </c>
      <c r="R4278" s="8">
        <v>12.4</v>
      </c>
      <c r="S4278" s="8">
        <v>13.4</v>
      </c>
      <c r="T4278" s="8">
        <v>1</v>
      </c>
      <c r="U4278" s="8">
        <v>13.1</v>
      </c>
      <c r="V4278" s="8">
        <v>1.1000000000000001</v>
      </c>
      <c r="W4278" s="8">
        <v>0.8</v>
      </c>
      <c r="X4278" s="8">
        <v>141</v>
      </c>
      <c r="Y4278" s="8" t="s">
        <v>18269</v>
      </c>
      <c r="Z4278" s="8" t="s">
        <v>18270</v>
      </c>
    </row>
    <row r="4279" spans="1:26" x14ac:dyDescent="0.2">
      <c r="A4279" s="8">
        <v>4278</v>
      </c>
      <c r="B4279" s="8" t="s">
        <v>19405</v>
      </c>
      <c r="C4279" s="8" t="s">
        <v>19405</v>
      </c>
      <c r="F4279" s="47" t="s">
        <v>57285</v>
      </c>
      <c r="G4279" s="8">
        <v>6</v>
      </c>
      <c r="H4279" s="8" t="s">
        <v>21</v>
      </c>
      <c r="I4279" s="8" t="s">
        <v>22</v>
      </c>
      <c r="J4279" s="8" t="s">
        <v>22</v>
      </c>
      <c r="K4279" s="8" t="s">
        <v>183</v>
      </c>
      <c r="L4279" s="8" t="s">
        <v>18289</v>
      </c>
      <c r="M4279" s="8" t="s">
        <v>18290</v>
      </c>
      <c r="N4279" s="8" t="s">
        <v>19406</v>
      </c>
      <c r="O4279" s="8">
        <f>12+20/60+6.7/3600</f>
        <v>12.335194444444445</v>
      </c>
      <c r="P4279" s="8" t="s">
        <v>19407</v>
      </c>
      <c r="Q4279" s="8">
        <f>+(29+16/60+49/3600)</f>
        <v>29.280277777777776</v>
      </c>
      <c r="R4279" s="8">
        <v>10.199999999999999</v>
      </c>
      <c r="S4279" s="8">
        <v>11.1</v>
      </c>
      <c r="T4279" s="8">
        <v>0.9</v>
      </c>
      <c r="U4279" s="8">
        <v>13.1</v>
      </c>
      <c r="V4279" s="8">
        <v>3.8</v>
      </c>
      <c r="W4279" s="8">
        <v>3.8</v>
      </c>
      <c r="Y4279" s="8" t="s">
        <v>19408</v>
      </c>
      <c r="Z4279" s="8" t="s">
        <v>19409</v>
      </c>
    </row>
    <row r="4280" spans="1:26" x14ac:dyDescent="0.2">
      <c r="A4280" s="8">
        <v>4279</v>
      </c>
      <c r="B4280" s="8" t="s">
        <v>19410</v>
      </c>
      <c r="C4280" s="8" t="s">
        <v>19410</v>
      </c>
      <c r="F4280" s="47"/>
      <c r="G4280" s="8">
        <v>19</v>
      </c>
      <c r="H4280" s="8" t="s">
        <v>21</v>
      </c>
      <c r="I4280" s="8" t="s">
        <v>22</v>
      </c>
      <c r="J4280" s="8" t="s">
        <v>22</v>
      </c>
      <c r="K4280" s="8" t="s">
        <v>632</v>
      </c>
      <c r="L4280" s="8" t="s">
        <v>17287</v>
      </c>
      <c r="M4280" s="8" t="s">
        <v>17288</v>
      </c>
      <c r="N4280" s="8" t="s">
        <v>19411</v>
      </c>
      <c r="O4280" s="8">
        <f>12+20/60+24.9/3600</f>
        <v>12.340250000000001</v>
      </c>
      <c r="P4280" s="8" t="s">
        <v>19412</v>
      </c>
      <c r="Q4280" s="8">
        <f>-(11+39/60+58/3600)</f>
        <v>-11.666111111111112</v>
      </c>
      <c r="R4280" s="8">
        <v>13.6</v>
      </c>
      <c r="S4280" s="8">
        <v>14.5</v>
      </c>
      <c r="T4280" s="8">
        <v>0.9</v>
      </c>
      <c r="U4280" s="8">
        <v>13.2</v>
      </c>
      <c r="V4280" s="8">
        <v>1.1000000000000001</v>
      </c>
      <c r="W4280" s="8">
        <v>0.7</v>
      </c>
      <c r="X4280" s="8">
        <v>35</v>
      </c>
      <c r="Y4280" s="8" t="s">
        <v>15791</v>
      </c>
      <c r="Z4280" s="8" t="s">
        <v>15792</v>
      </c>
    </row>
    <row r="4281" spans="1:26" x14ac:dyDescent="0.2">
      <c r="A4281" s="8">
        <v>4280</v>
      </c>
      <c r="B4281" s="8" t="s">
        <v>19413</v>
      </c>
      <c r="C4281" s="8" t="s">
        <v>19413</v>
      </c>
      <c r="F4281" s="47"/>
      <c r="G4281" s="8">
        <v>19</v>
      </c>
      <c r="H4281" s="8" t="s">
        <v>21</v>
      </c>
      <c r="I4281" s="8" t="s">
        <v>72</v>
      </c>
      <c r="J4281" s="8" t="s">
        <v>72</v>
      </c>
      <c r="K4281" s="8" t="s">
        <v>1802</v>
      </c>
      <c r="L4281" s="8" t="s">
        <v>17287</v>
      </c>
      <c r="M4281" s="8" t="s">
        <v>17288</v>
      </c>
      <c r="N4281" s="8" t="s">
        <v>19414</v>
      </c>
      <c r="O4281" s="8">
        <f>12+20/60+31.9/3600</f>
        <v>12.342194444444445</v>
      </c>
      <c r="P4281" s="8" t="s">
        <v>19415</v>
      </c>
      <c r="Q4281" s="8">
        <f>-(11+39/60+9/3600)</f>
        <v>-11.6525</v>
      </c>
      <c r="R4281" s="8">
        <v>99</v>
      </c>
      <c r="S4281" s="8">
        <v>99</v>
      </c>
      <c r="T4281" s="8">
        <v>99</v>
      </c>
      <c r="U4281" s="8">
        <v>99</v>
      </c>
      <c r="Y4281" s="8" t="s">
        <v>15791</v>
      </c>
      <c r="Z4281" s="8" t="s">
        <v>15792</v>
      </c>
    </row>
    <row r="4282" spans="1:26" x14ac:dyDescent="0.2">
      <c r="A4282" s="8">
        <v>4281</v>
      </c>
      <c r="B4282" s="8" t="s">
        <v>19416</v>
      </c>
      <c r="C4282" s="8" t="s">
        <v>19416</v>
      </c>
      <c r="F4282" s="47" t="s">
        <v>57286</v>
      </c>
      <c r="G4282" s="8">
        <v>6</v>
      </c>
      <c r="H4282" s="8" t="s">
        <v>21</v>
      </c>
      <c r="I4282" s="8" t="s">
        <v>22</v>
      </c>
      <c r="J4282" s="8" t="s">
        <v>22</v>
      </c>
      <c r="K4282" s="8" t="s">
        <v>632</v>
      </c>
      <c r="L4282" s="8" t="s">
        <v>17287</v>
      </c>
      <c r="M4282" s="8" t="s">
        <v>17288</v>
      </c>
      <c r="N4282" s="8" t="s">
        <v>19417</v>
      </c>
      <c r="O4282" s="8">
        <f>12+20/60+21.6/3600</f>
        <v>12.339333333333334</v>
      </c>
      <c r="P4282" s="8" t="s">
        <v>19418</v>
      </c>
      <c r="Q4282" s="8">
        <f>+(5+23/60+11/3600)</f>
        <v>5.3863888888888889</v>
      </c>
      <c r="R4282" s="8">
        <v>11.3</v>
      </c>
      <c r="S4282" s="8">
        <v>12.3</v>
      </c>
      <c r="T4282" s="8">
        <v>1</v>
      </c>
      <c r="U4282" s="8">
        <v>12.8</v>
      </c>
      <c r="V4282" s="8">
        <v>3</v>
      </c>
      <c r="W4282" s="8">
        <v>1.6</v>
      </c>
      <c r="X4282" s="8">
        <v>88</v>
      </c>
      <c r="Y4282" s="8" t="s">
        <v>19419</v>
      </c>
      <c r="Z4282" s="8" t="s">
        <v>19420</v>
      </c>
    </row>
    <row r="4283" spans="1:26" x14ac:dyDescent="0.2">
      <c r="A4283" s="8">
        <v>4282</v>
      </c>
      <c r="B4283" s="8" t="s">
        <v>19421</v>
      </c>
      <c r="C4283" s="8" t="s">
        <v>19421</v>
      </c>
      <c r="F4283" s="47"/>
      <c r="G4283" s="8">
        <v>18</v>
      </c>
      <c r="H4283" s="8" t="s">
        <v>21</v>
      </c>
      <c r="I4283" s="8" t="s">
        <v>22</v>
      </c>
      <c r="J4283" s="8" t="s">
        <v>22</v>
      </c>
      <c r="K4283" s="8" t="s">
        <v>632</v>
      </c>
      <c r="L4283" s="8" t="s">
        <v>17287</v>
      </c>
      <c r="M4283" s="8" t="s">
        <v>17288</v>
      </c>
      <c r="N4283" s="8" t="s">
        <v>19422</v>
      </c>
      <c r="O4283" s="8">
        <f>12+20/60+24.2/3600</f>
        <v>12.340055555555557</v>
      </c>
      <c r="P4283" s="8" t="s">
        <v>19423</v>
      </c>
      <c r="Q4283" s="8">
        <f>+(5+34/60+24/3600)</f>
        <v>5.5733333333333333</v>
      </c>
      <c r="R4283" s="8">
        <v>14.1</v>
      </c>
      <c r="S4283" s="8">
        <v>15</v>
      </c>
      <c r="T4283" s="8">
        <v>0.9</v>
      </c>
      <c r="U4283" s="8">
        <v>13.6</v>
      </c>
      <c r="V4283" s="8">
        <v>1.2</v>
      </c>
      <c r="W4283" s="8">
        <v>0.6</v>
      </c>
      <c r="X4283" s="8">
        <v>105</v>
      </c>
      <c r="Y4283" s="8" t="s">
        <v>1088</v>
      </c>
      <c r="Z4283" s="8" t="s">
        <v>1089</v>
      </c>
    </row>
    <row r="4284" spans="1:26" x14ac:dyDescent="0.2">
      <c r="A4284" s="8">
        <v>4283</v>
      </c>
      <c r="B4284" s="8" t="s">
        <v>19424</v>
      </c>
      <c r="C4284" s="8" t="s">
        <v>19424</v>
      </c>
      <c r="F4284" s="47" t="s">
        <v>57287</v>
      </c>
      <c r="G4284" s="8">
        <v>13</v>
      </c>
      <c r="H4284" s="8" t="s">
        <v>21</v>
      </c>
      <c r="I4284" s="8" t="s">
        <v>22</v>
      </c>
      <c r="J4284" s="8" t="s">
        <v>22</v>
      </c>
      <c r="K4284" s="8" t="s">
        <v>460</v>
      </c>
      <c r="L4284" s="8" t="s">
        <v>18289</v>
      </c>
      <c r="M4284" s="8" t="s">
        <v>18290</v>
      </c>
      <c r="N4284" s="8" t="s">
        <v>19425</v>
      </c>
      <c r="O4284" s="8">
        <f>12+20/60+20.6/3600</f>
        <v>12.339055555555555</v>
      </c>
      <c r="P4284" s="8" t="s">
        <v>19426</v>
      </c>
      <c r="Q4284" s="8">
        <f>+(29+18/60+39/3600)</f>
        <v>29.310833333333335</v>
      </c>
      <c r="R4284" s="8">
        <v>12.1</v>
      </c>
      <c r="S4284" s="8">
        <v>13</v>
      </c>
      <c r="T4284" s="8">
        <v>0.9</v>
      </c>
      <c r="U4284" s="8">
        <v>12.9</v>
      </c>
      <c r="V4284" s="8">
        <v>1.5</v>
      </c>
      <c r="W4284" s="8">
        <v>1.5</v>
      </c>
      <c r="Y4284" s="8" t="s">
        <v>19427</v>
      </c>
      <c r="Z4284" s="8" t="s">
        <v>19428</v>
      </c>
    </row>
    <row r="4285" spans="1:26" x14ac:dyDescent="0.2">
      <c r="A4285" s="8">
        <v>4284</v>
      </c>
      <c r="B4285" s="8" t="s">
        <v>19429</v>
      </c>
      <c r="C4285" s="8" t="s">
        <v>19429</v>
      </c>
      <c r="F4285" s="47" t="s">
        <v>57288</v>
      </c>
      <c r="G4285" s="8">
        <v>15</v>
      </c>
      <c r="H4285" s="8" t="s">
        <v>21</v>
      </c>
      <c r="I4285" s="8" t="s">
        <v>22</v>
      </c>
      <c r="J4285" s="8" t="s">
        <v>22</v>
      </c>
      <c r="K4285" s="8" t="s">
        <v>396</v>
      </c>
      <c r="L4285" s="8" t="s">
        <v>12015</v>
      </c>
      <c r="M4285" s="8" t="s">
        <v>12016</v>
      </c>
      <c r="N4285" s="8" t="s">
        <v>19430</v>
      </c>
      <c r="O4285" s="8">
        <f>12+20/60+12.8/3600</f>
        <v>12.33688888888889</v>
      </c>
      <c r="P4285" s="8" t="s">
        <v>19431</v>
      </c>
      <c r="Q4285" s="8">
        <f>+(58+5/60+36/3600)</f>
        <v>58.093333333333334</v>
      </c>
      <c r="R4285" s="8">
        <v>13.5</v>
      </c>
      <c r="S4285" s="8">
        <v>14.3</v>
      </c>
      <c r="T4285" s="8">
        <v>0.8</v>
      </c>
      <c r="U4285" s="8">
        <v>14.5</v>
      </c>
      <c r="V4285" s="8">
        <v>2.5</v>
      </c>
      <c r="W4285" s="8">
        <v>1.2</v>
      </c>
      <c r="X4285" s="8">
        <v>102</v>
      </c>
      <c r="Y4285" s="8" t="s">
        <v>19432</v>
      </c>
      <c r="Z4285" s="8" t="s">
        <v>19433</v>
      </c>
    </row>
    <row r="4286" spans="1:26" x14ac:dyDescent="0.2">
      <c r="A4286" s="8">
        <v>4285</v>
      </c>
      <c r="B4286" s="8" t="s">
        <v>19434</v>
      </c>
      <c r="C4286" s="8" t="s">
        <v>19434</v>
      </c>
      <c r="F4286" s="47"/>
      <c r="G4286" s="8">
        <v>19</v>
      </c>
      <c r="H4286" s="8" t="s">
        <v>21</v>
      </c>
      <c r="I4286" s="8" t="s">
        <v>22</v>
      </c>
      <c r="J4286" s="8" t="s">
        <v>22</v>
      </c>
      <c r="K4286" s="8" t="s">
        <v>91</v>
      </c>
      <c r="L4286" s="8" t="s">
        <v>17287</v>
      </c>
      <c r="M4286" s="8" t="s">
        <v>17288</v>
      </c>
      <c r="N4286" s="8" t="s">
        <v>19435</v>
      </c>
      <c r="O4286" s="8">
        <f>12+20/60+39.8/3600</f>
        <v>12.34438888888889</v>
      </c>
      <c r="P4286" s="8" t="s">
        <v>19436</v>
      </c>
      <c r="Q4286" s="8">
        <f>-(11+38/60+32/3600)</f>
        <v>-11.642222222222221</v>
      </c>
      <c r="R4286" s="8">
        <v>14.1</v>
      </c>
      <c r="S4286" s="8">
        <v>15</v>
      </c>
      <c r="T4286" s="8">
        <v>0.9</v>
      </c>
      <c r="U4286" s="8">
        <v>13.1</v>
      </c>
      <c r="V4286" s="8">
        <v>0.9</v>
      </c>
      <c r="W4286" s="8">
        <v>0.5</v>
      </c>
      <c r="X4286" s="8">
        <v>50</v>
      </c>
      <c r="Y4286" s="8" t="s">
        <v>4170</v>
      </c>
      <c r="Z4286" s="8" t="s">
        <v>4171</v>
      </c>
    </row>
    <row r="4287" spans="1:26" x14ac:dyDescent="0.2">
      <c r="A4287" s="8">
        <v>4286</v>
      </c>
      <c r="B4287" s="8" t="s">
        <v>19437</v>
      </c>
      <c r="C4287" s="8" t="s">
        <v>19437</v>
      </c>
      <c r="F4287" s="47" t="s">
        <v>57289</v>
      </c>
      <c r="G4287" s="8">
        <v>15</v>
      </c>
      <c r="H4287" s="8" t="s">
        <v>21</v>
      </c>
      <c r="I4287" s="8" t="s">
        <v>22</v>
      </c>
      <c r="J4287" s="8" t="s">
        <v>22</v>
      </c>
      <c r="K4287" s="8" t="s">
        <v>632</v>
      </c>
      <c r="L4287" s="8" t="s">
        <v>18289</v>
      </c>
      <c r="M4287" s="8" t="s">
        <v>18290</v>
      </c>
      <c r="N4287" s="8" t="s">
        <v>19438</v>
      </c>
      <c r="O4287" s="8">
        <f>12+20/60+42.1/3600</f>
        <v>12.345027777777778</v>
      </c>
      <c r="P4287" s="8" t="s">
        <v>19439</v>
      </c>
      <c r="Q4287" s="8">
        <f>+(29+20/60+44/3600)</f>
        <v>29.345555555555553</v>
      </c>
      <c r="R4287" s="8">
        <v>13.1</v>
      </c>
      <c r="S4287" s="8">
        <v>14</v>
      </c>
      <c r="T4287" s="8">
        <v>0.9</v>
      </c>
      <c r="U4287" s="8">
        <v>13.5</v>
      </c>
      <c r="V4287" s="8">
        <v>1.5</v>
      </c>
      <c r="W4287" s="8">
        <v>0.8</v>
      </c>
      <c r="X4287" s="8">
        <v>150</v>
      </c>
      <c r="Y4287" s="8" t="s">
        <v>19440</v>
      </c>
      <c r="Z4287" s="8" t="s">
        <v>19441</v>
      </c>
    </row>
    <row r="4288" spans="1:26" x14ac:dyDescent="0.2">
      <c r="A4288" s="8">
        <v>4287</v>
      </c>
      <c r="B4288" s="8" t="s">
        <v>19442</v>
      </c>
      <c r="C4288" s="8" t="s">
        <v>19442</v>
      </c>
      <c r="F4288" s="47"/>
      <c r="G4288" s="8">
        <v>18</v>
      </c>
      <c r="H4288" s="8" t="s">
        <v>21</v>
      </c>
      <c r="I4288" s="8" t="s">
        <v>22</v>
      </c>
      <c r="J4288" s="8" t="s">
        <v>22</v>
      </c>
      <c r="K4288" s="8" t="s">
        <v>23</v>
      </c>
      <c r="L4288" s="8" t="s">
        <v>17287</v>
      </c>
      <c r="M4288" s="8" t="s">
        <v>17288</v>
      </c>
      <c r="N4288" s="8" t="s">
        <v>19443</v>
      </c>
      <c r="O4288" s="8">
        <f>12+20/60+48.4/3600</f>
        <v>12.346777777777778</v>
      </c>
      <c r="P4288" s="8" t="s">
        <v>19444</v>
      </c>
      <c r="Q4288" s="8">
        <f>+(5+38/60+26/3600)</f>
        <v>5.6405555555555553</v>
      </c>
      <c r="R4288" s="8">
        <v>14.3</v>
      </c>
      <c r="S4288" s="8">
        <v>15.1</v>
      </c>
      <c r="T4288" s="8">
        <v>0.8</v>
      </c>
      <c r="U4288" s="8">
        <v>12.6</v>
      </c>
      <c r="V4288" s="8">
        <v>1.2</v>
      </c>
      <c r="W4288" s="8">
        <v>0.2</v>
      </c>
      <c r="X4288" s="8">
        <v>72</v>
      </c>
      <c r="Y4288" s="8" t="s">
        <v>1088</v>
      </c>
      <c r="Z4288" s="8" t="s">
        <v>1089</v>
      </c>
    </row>
    <row r="4289" spans="1:26" x14ac:dyDescent="0.2">
      <c r="A4289" s="8">
        <v>4288</v>
      </c>
      <c r="B4289" s="8" t="s">
        <v>19445</v>
      </c>
      <c r="C4289" s="8" t="s">
        <v>19445</v>
      </c>
      <c r="F4289" s="47" t="s">
        <v>57290</v>
      </c>
      <c r="G4289" s="8">
        <v>15</v>
      </c>
      <c r="H4289" s="8" t="s">
        <v>21</v>
      </c>
      <c r="I4289" s="8" t="s">
        <v>22</v>
      </c>
      <c r="J4289" s="8" t="s">
        <v>22</v>
      </c>
      <c r="K4289" s="8" t="s">
        <v>1277</v>
      </c>
      <c r="L4289" s="8" t="s">
        <v>18681</v>
      </c>
      <c r="M4289" s="8" t="s">
        <v>18682</v>
      </c>
      <c r="N4289" s="8" t="s">
        <v>19446</v>
      </c>
      <c r="O4289" s="8">
        <f>12+20/60+38/3600</f>
        <v>12.343888888888889</v>
      </c>
      <c r="P4289" s="8" t="s">
        <v>19447</v>
      </c>
      <c r="Q4289" s="8">
        <f>+(46+17/60+40/3600)</f>
        <v>46.294444444444444</v>
      </c>
      <c r="R4289" s="8">
        <v>12.9</v>
      </c>
      <c r="S4289" s="8">
        <v>13.3</v>
      </c>
      <c r="T4289" s="8">
        <v>0.4</v>
      </c>
      <c r="U4289" s="8">
        <v>14</v>
      </c>
      <c r="V4289" s="8">
        <v>2.2000000000000002</v>
      </c>
      <c r="W4289" s="8">
        <v>1.6</v>
      </c>
      <c r="X4289" s="8">
        <v>130</v>
      </c>
      <c r="Y4289" s="8" t="s">
        <v>19448</v>
      </c>
      <c r="Z4289" s="8" t="s">
        <v>19449</v>
      </c>
    </row>
    <row r="4290" spans="1:26" x14ac:dyDescent="0.2">
      <c r="A4290" s="8">
        <v>4289</v>
      </c>
      <c r="B4290" s="8" t="s">
        <v>19450</v>
      </c>
      <c r="C4290" s="8" t="s">
        <v>19450</v>
      </c>
      <c r="F4290" s="47"/>
      <c r="G4290" s="8">
        <v>19</v>
      </c>
      <c r="H4290" s="8" t="s">
        <v>21</v>
      </c>
      <c r="I4290" s="8" t="s">
        <v>22</v>
      </c>
      <c r="J4290" s="8" t="s">
        <v>22</v>
      </c>
      <c r="K4290" s="8" t="s">
        <v>160</v>
      </c>
      <c r="L4290" s="8" t="s">
        <v>17287</v>
      </c>
      <c r="M4290" s="8" t="s">
        <v>17288</v>
      </c>
      <c r="N4290" s="8" t="s">
        <v>19451</v>
      </c>
      <c r="O4290" s="8">
        <f>12+21/60+2.4/3600</f>
        <v>12.350666666666667</v>
      </c>
      <c r="P4290" s="8" t="s">
        <v>19452</v>
      </c>
      <c r="Q4290" s="8">
        <f>+(3+43/60+22/3600)</f>
        <v>3.722777777777778</v>
      </c>
      <c r="R4290" s="8">
        <v>14</v>
      </c>
      <c r="S4290" s="8">
        <v>14.6</v>
      </c>
      <c r="T4290" s="8">
        <v>0.6</v>
      </c>
      <c r="U4290" s="8">
        <v>14.2</v>
      </c>
      <c r="V4290" s="8">
        <v>3.9</v>
      </c>
      <c r="W4290" s="8">
        <v>0.4</v>
      </c>
      <c r="X4290" s="8">
        <v>1</v>
      </c>
      <c r="Y4290" s="8" t="s">
        <v>21</v>
      </c>
      <c r="Z4290" s="8" t="s">
        <v>19453</v>
      </c>
    </row>
    <row r="4291" spans="1:26" x14ac:dyDescent="0.2">
      <c r="A4291" s="8">
        <v>4290</v>
      </c>
      <c r="B4291" s="8" t="s">
        <v>19454</v>
      </c>
      <c r="C4291" s="8" t="s">
        <v>19454</v>
      </c>
      <c r="F4291" s="47" t="s">
        <v>57291</v>
      </c>
      <c r="G4291" s="8">
        <v>6.5</v>
      </c>
      <c r="H4291" s="8" t="s">
        <v>21</v>
      </c>
      <c r="I4291" s="8" t="s">
        <v>22</v>
      </c>
      <c r="J4291" s="8" t="s">
        <v>22</v>
      </c>
      <c r="K4291" s="8" t="s">
        <v>406</v>
      </c>
      <c r="L4291" s="8" t="s">
        <v>12015</v>
      </c>
      <c r="M4291" s="8" t="s">
        <v>12016</v>
      </c>
      <c r="N4291" s="8" t="s">
        <v>19455</v>
      </c>
      <c r="O4291" s="8">
        <f>12+20/60+47.5/3600</f>
        <v>12.346527777777778</v>
      </c>
      <c r="P4291" s="8" t="s">
        <v>19456</v>
      </c>
      <c r="Q4291" s="8">
        <f>+(58+5/60+33/3600)</f>
        <v>58.092500000000001</v>
      </c>
      <c r="R4291" s="8">
        <v>12</v>
      </c>
      <c r="S4291" s="8">
        <v>12.8</v>
      </c>
      <c r="T4291" s="8">
        <v>0.8</v>
      </c>
      <c r="U4291" s="8">
        <v>13.2</v>
      </c>
      <c r="V4291" s="8">
        <v>2.2000000000000002</v>
      </c>
      <c r="W4291" s="8">
        <v>1.6</v>
      </c>
      <c r="X4291" s="8">
        <v>90</v>
      </c>
      <c r="Y4291" s="8" t="s">
        <v>8029</v>
      </c>
      <c r="Z4291" s="8" t="s">
        <v>8030</v>
      </c>
    </row>
    <row r="4292" spans="1:26" x14ac:dyDescent="0.2">
      <c r="A4292" s="8">
        <v>4291</v>
      </c>
      <c r="B4292" s="8" t="s">
        <v>19457</v>
      </c>
      <c r="C4292" s="8" t="s">
        <v>19457</v>
      </c>
      <c r="F4292" s="47" t="s">
        <v>57292</v>
      </c>
      <c r="G4292" s="8">
        <v>6.5</v>
      </c>
      <c r="H4292" s="8" t="s">
        <v>21</v>
      </c>
      <c r="I4292" s="8" t="s">
        <v>22</v>
      </c>
      <c r="J4292" s="8" t="s">
        <v>22</v>
      </c>
      <c r="K4292" s="8" t="s">
        <v>1136</v>
      </c>
      <c r="L4292" s="8" t="s">
        <v>13395</v>
      </c>
      <c r="M4292" s="8" t="s">
        <v>13396</v>
      </c>
      <c r="N4292" s="8" t="s">
        <v>19458</v>
      </c>
      <c r="O4292" s="8">
        <f>12+20/60+17.3/3600</f>
        <v>12.33813888888889</v>
      </c>
      <c r="P4292" s="8" t="s">
        <v>19459</v>
      </c>
      <c r="Q4292" s="8">
        <f>+(75+22/60+16/3600)</f>
        <v>75.371111111111105</v>
      </c>
      <c r="R4292" s="8">
        <v>11.5</v>
      </c>
      <c r="S4292" s="8">
        <v>12.4</v>
      </c>
      <c r="T4292" s="8">
        <v>0.9</v>
      </c>
      <c r="U4292" s="8">
        <v>12.7</v>
      </c>
      <c r="V4292" s="8">
        <v>2</v>
      </c>
      <c r="W4292" s="8">
        <v>1.7</v>
      </c>
      <c r="X4292" s="8">
        <v>124</v>
      </c>
      <c r="Y4292" s="8" t="s">
        <v>19460</v>
      </c>
      <c r="Z4292" s="8" t="s">
        <v>19461</v>
      </c>
    </row>
    <row r="4293" spans="1:26" x14ac:dyDescent="0.2">
      <c r="A4293" s="8">
        <v>4292</v>
      </c>
      <c r="B4293" s="8" t="s">
        <v>19462</v>
      </c>
      <c r="C4293" s="8" t="s">
        <v>19462</v>
      </c>
      <c r="F4293" s="47"/>
      <c r="G4293" s="8">
        <v>16</v>
      </c>
      <c r="H4293" s="8" t="s">
        <v>21</v>
      </c>
      <c r="I4293" s="8" t="s">
        <v>22</v>
      </c>
      <c r="J4293" s="8" t="s">
        <v>22</v>
      </c>
      <c r="K4293" s="8" t="s">
        <v>224</v>
      </c>
      <c r="L4293" s="8" t="s">
        <v>17287</v>
      </c>
      <c r="M4293" s="8" t="s">
        <v>17288</v>
      </c>
      <c r="N4293" s="8" t="s">
        <v>19463</v>
      </c>
      <c r="O4293" s="8">
        <f>12+21/60+16.4/3600</f>
        <v>12.354555555555555</v>
      </c>
      <c r="P4293" s="8" t="s">
        <v>19464</v>
      </c>
      <c r="Q4293" s="8">
        <f>+(4+35/60+46/3600)</f>
        <v>4.596111111111111</v>
      </c>
      <c r="R4293" s="8">
        <v>12.2</v>
      </c>
      <c r="S4293" s="8">
        <v>13.1</v>
      </c>
      <c r="T4293" s="8">
        <v>0.9</v>
      </c>
      <c r="U4293" s="8">
        <v>12.8</v>
      </c>
      <c r="V4293" s="8">
        <v>1.6</v>
      </c>
      <c r="W4293" s="8">
        <v>1.2</v>
      </c>
      <c r="X4293" s="8">
        <v>7</v>
      </c>
      <c r="Y4293" s="8" t="s">
        <v>21</v>
      </c>
      <c r="Z4293" s="8" t="s">
        <v>19465</v>
      </c>
    </row>
    <row r="4294" spans="1:26" x14ac:dyDescent="0.2">
      <c r="A4294" s="8">
        <v>4293</v>
      </c>
      <c r="B4294" s="8" t="s">
        <v>19466</v>
      </c>
      <c r="C4294" s="8" t="s">
        <v>19466</v>
      </c>
      <c r="F4294" s="47" t="s">
        <v>57293</v>
      </c>
      <c r="G4294" s="8">
        <v>6</v>
      </c>
      <c r="H4294" s="8" t="s">
        <v>21</v>
      </c>
      <c r="I4294" s="8" t="s">
        <v>22</v>
      </c>
      <c r="J4294" s="8" t="s">
        <v>22</v>
      </c>
      <c r="K4294" s="8" t="s">
        <v>435</v>
      </c>
      <c r="L4294" s="8" t="s">
        <v>18289</v>
      </c>
      <c r="M4294" s="8" t="s">
        <v>18290</v>
      </c>
      <c r="N4294" s="8" t="s">
        <v>19467</v>
      </c>
      <c r="O4294" s="8">
        <f>12+21/60+12.9/3600</f>
        <v>12.353583333333333</v>
      </c>
      <c r="P4294" s="8" t="s">
        <v>19468</v>
      </c>
      <c r="Q4294" s="8">
        <f>+(18+22/60+58/3600)</f>
        <v>18.382777777777779</v>
      </c>
      <c r="R4294" s="8">
        <v>10.4</v>
      </c>
      <c r="S4294" s="8">
        <v>11.3</v>
      </c>
      <c r="T4294" s="8">
        <v>0.9</v>
      </c>
      <c r="U4294" s="8">
        <v>13.1</v>
      </c>
      <c r="V4294" s="8">
        <v>5.6</v>
      </c>
      <c r="W4294" s="8">
        <v>2.6</v>
      </c>
      <c r="X4294" s="8">
        <v>72</v>
      </c>
      <c r="Y4294" s="8" t="s">
        <v>19469</v>
      </c>
      <c r="Z4294" s="8" t="s">
        <v>19470</v>
      </c>
    </row>
    <row r="4295" spans="1:26" x14ac:dyDescent="0.2">
      <c r="A4295" s="8">
        <v>4294</v>
      </c>
      <c r="B4295" s="8" t="s">
        <v>19471</v>
      </c>
      <c r="C4295" s="8" t="s">
        <v>19471</v>
      </c>
      <c r="F4295" s="47" t="s">
        <v>57294</v>
      </c>
      <c r="G4295" s="8">
        <v>6.5</v>
      </c>
      <c r="H4295" s="8" t="s">
        <v>21</v>
      </c>
      <c r="I4295" s="8" t="s">
        <v>22</v>
      </c>
      <c r="J4295" s="8" t="s">
        <v>22</v>
      </c>
      <c r="K4295" s="8" t="s">
        <v>64</v>
      </c>
      <c r="L4295" s="8" t="s">
        <v>17287</v>
      </c>
      <c r="M4295" s="8" t="s">
        <v>17288</v>
      </c>
      <c r="N4295" s="8" t="s">
        <v>19472</v>
      </c>
      <c r="O4295" s="8">
        <f>12+21/60+17.8/3600</f>
        <v>12.354944444444444</v>
      </c>
      <c r="P4295" s="8" t="s">
        <v>19473</v>
      </c>
      <c r="Q4295" s="8">
        <f>+(11+30/60+35/3600)</f>
        <v>11.509722222222223</v>
      </c>
      <c r="R4295" s="8">
        <v>12.1</v>
      </c>
      <c r="S4295" s="8">
        <v>12.5</v>
      </c>
      <c r="T4295" s="8">
        <v>0.4</v>
      </c>
      <c r="U4295" s="8">
        <v>13.4</v>
      </c>
      <c r="V4295" s="8">
        <v>3.2</v>
      </c>
      <c r="W4295" s="8">
        <v>1.2</v>
      </c>
      <c r="X4295" s="8">
        <v>155</v>
      </c>
      <c r="Y4295" s="8" t="s">
        <v>21</v>
      </c>
      <c r="Z4295" s="8" t="s">
        <v>19474</v>
      </c>
    </row>
    <row r="4296" spans="1:26" x14ac:dyDescent="0.2">
      <c r="A4296" s="8">
        <v>4295</v>
      </c>
      <c r="B4296" s="8" t="s">
        <v>19475</v>
      </c>
      <c r="C4296" s="8" t="s">
        <v>19475</v>
      </c>
      <c r="F4296" s="47"/>
      <c r="G4296" s="8">
        <v>18</v>
      </c>
      <c r="H4296" s="8" t="s">
        <v>21</v>
      </c>
      <c r="I4296" s="8" t="s">
        <v>22</v>
      </c>
      <c r="J4296" s="8" t="s">
        <v>22</v>
      </c>
      <c r="K4296" s="8" t="s">
        <v>37</v>
      </c>
      <c r="L4296" s="8" t="s">
        <v>18289</v>
      </c>
      <c r="M4296" s="8" t="s">
        <v>18290</v>
      </c>
      <c r="N4296" s="8" t="s">
        <v>19476</v>
      </c>
      <c r="O4296" s="8">
        <f>12+21/60+9.7/3600</f>
        <v>12.352694444444444</v>
      </c>
      <c r="P4296" s="8" t="s">
        <v>19477</v>
      </c>
      <c r="Q4296" s="8">
        <f>+(28+9/60+56/3600)</f>
        <v>28.165555555555553</v>
      </c>
      <c r="R4296" s="8">
        <v>13.7</v>
      </c>
      <c r="S4296" s="8">
        <v>14.7</v>
      </c>
      <c r="T4296" s="8">
        <v>1</v>
      </c>
      <c r="U4296" s="8">
        <v>12.9</v>
      </c>
      <c r="V4296" s="8">
        <v>0.9</v>
      </c>
      <c r="W4296" s="8">
        <v>0.6</v>
      </c>
      <c r="X4296" s="8">
        <v>165</v>
      </c>
      <c r="Y4296" s="8" t="s">
        <v>1511</v>
      </c>
      <c r="Z4296" s="8" t="s">
        <v>1512</v>
      </c>
    </row>
    <row r="4297" spans="1:26" x14ac:dyDescent="0.2">
      <c r="A4297" s="8">
        <v>4296</v>
      </c>
      <c r="B4297" s="8" t="s">
        <v>19478</v>
      </c>
      <c r="C4297" s="8" t="s">
        <v>19478</v>
      </c>
      <c r="F4297" s="47" t="s">
        <v>57295</v>
      </c>
      <c r="G4297" s="8">
        <v>15</v>
      </c>
      <c r="H4297" s="8" t="s">
        <v>21</v>
      </c>
      <c r="I4297" s="8" t="s">
        <v>22</v>
      </c>
      <c r="J4297" s="8" t="s">
        <v>22</v>
      </c>
      <c r="K4297" s="8" t="s">
        <v>224</v>
      </c>
      <c r="L4297" s="8" t="s">
        <v>17287</v>
      </c>
      <c r="M4297" s="8" t="s">
        <v>17288</v>
      </c>
      <c r="N4297" s="8" t="s">
        <v>19479</v>
      </c>
      <c r="O4297" s="8">
        <f>12+21/60+28.4/3600</f>
        <v>12.357888888888889</v>
      </c>
      <c r="P4297" s="8" t="s">
        <v>19480</v>
      </c>
      <c r="Q4297" s="8">
        <f>+(6+39/60+13/3600)</f>
        <v>6.6536111111111111</v>
      </c>
      <c r="R4297" s="8">
        <v>12.7</v>
      </c>
      <c r="S4297" s="8">
        <v>13.7</v>
      </c>
      <c r="T4297" s="8">
        <v>1</v>
      </c>
      <c r="U4297" s="8">
        <v>12.5</v>
      </c>
      <c r="V4297" s="8">
        <v>1.4</v>
      </c>
      <c r="W4297" s="8">
        <v>0.9</v>
      </c>
      <c r="X4297" s="8">
        <v>15</v>
      </c>
      <c r="Y4297" s="8" t="s">
        <v>282</v>
      </c>
      <c r="Z4297" s="8" t="s">
        <v>283</v>
      </c>
    </row>
    <row r="4298" spans="1:26" x14ac:dyDescent="0.2">
      <c r="A4298" s="8">
        <v>4297</v>
      </c>
      <c r="B4298" s="8" t="s">
        <v>19481</v>
      </c>
      <c r="C4298" s="8" t="s">
        <v>19481</v>
      </c>
      <c r="F4298" s="47" t="s">
        <v>57296</v>
      </c>
      <c r="G4298" s="8">
        <v>15</v>
      </c>
      <c r="H4298" s="8" t="s">
        <v>21</v>
      </c>
      <c r="I4298" s="8" t="s">
        <v>22</v>
      </c>
      <c r="J4298" s="8" t="s">
        <v>22</v>
      </c>
      <c r="K4298" s="8" t="s">
        <v>37</v>
      </c>
      <c r="L4298" s="8" t="s">
        <v>17287</v>
      </c>
      <c r="M4298" s="8" t="s">
        <v>17288</v>
      </c>
      <c r="N4298" s="8" t="s">
        <v>19482</v>
      </c>
      <c r="O4298" s="8">
        <f>12+21/60+27.4/3600</f>
        <v>12.35761111111111</v>
      </c>
      <c r="P4298" s="8" t="s">
        <v>19483</v>
      </c>
      <c r="Q4298" s="8">
        <f>+(6+40/60+17/3600)</f>
        <v>6.671388888888889</v>
      </c>
      <c r="R4298" s="8">
        <v>14.6</v>
      </c>
      <c r="S4298" s="8">
        <v>15.6</v>
      </c>
      <c r="T4298" s="8">
        <v>1</v>
      </c>
      <c r="U4298" s="8">
        <v>12</v>
      </c>
      <c r="V4298" s="8">
        <v>0.5</v>
      </c>
      <c r="W4298" s="8">
        <v>0.2</v>
      </c>
      <c r="X4298" s="8">
        <v>168</v>
      </c>
      <c r="Y4298" s="8" t="s">
        <v>19484</v>
      </c>
      <c r="Z4298" s="8" t="s">
        <v>19485</v>
      </c>
    </row>
    <row r="4299" spans="1:26" x14ac:dyDescent="0.2">
      <c r="A4299" s="8">
        <v>4298</v>
      </c>
      <c r="B4299" s="8" t="s">
        <v>19486</v>
      </c>
      <c r="C4299" s="8" t="s">
        <v>19486</v>
      </c>
      <c r="F4299" s="47" t="s">
        <v>57297</v>
      </c>
      <c r="G4299" s="8">
        <v>6.5</v>
      </c>
      <c r="H4299" s="8" t="s">
        <v>21</v>
      </c>
      <c r="I4299" s="8" t="s">
        <v>22</v>
      </c>
      <c r="J4299" s="8" t="s">
        <v>22</v>
      </c>
      <c r="K4299" s="8" t="s">
        <v>160</v>
      </c>
      <c r="L4299" s="8" t="s">
        <v>18289</v>
      </c>
      <c r="M4299" s="8" t="s">
        <v>18290</v>
      </c>
      <c r="N4299" s="8" t="s">
        <v>19487</v>
      </c>
      <c r="O4299" s="8">
        <f>12+21/60+32.9/3600</f>
        <v>12.359138888888889</v>
      </c>
      <c r="P4299" s="8" t="s">
        <v>19488</v>
      </c>
      <c r="Q4299" s="8">
        <f>+(14+36/60+24/3600)</f>
        <v>14.606666666666666</v>
      </c>
      <c r="R4299" s="8">
        <v>11.3</v>
      </c>
      <c r="S4299" s="8">
        <v>12</v>
      </c>
      <c r="T4299" s="8">
        <v>0.7</v>
      </c>
      <c r="U4299" s="8">
        <v>13.1</v>
      </c>
      <c r="V4299" s="8">
        <v>3.2</v>
      </c>
      <c r="W4299" s="8">
        <v>1.9</v>
      </c>
      <c r="X4299" s="8">
        <v>140</v>
      </c>
      <c r="Y4299" s="8" t="s">
        <v>19349</v>
      </c>
      <c r="Z4299" s="8" t="s">
        <v>19489</v>
      </c>
    </row>
    <row r="4300" spans="1:26" x14ac:dyDescent="0.2">
      <c r="A4300" s="8">
        <v>4299</v>
      </c>
      <c r="B4300" s="8" t="s">
        <v>19490</v>
      </c>
      <c r="C4300" s="8" t="s">
        <v>19490</v>
      </c>
      <c r="F4300" s="47" t="s">
        <v>57298</v>
      </c>
      <c r="G4300" s="8">
        <v>6.5</v>
      </c>
      <c r="H4300" s="8" t="s">
        <v>21</v>
      </c>
      <c r="I4300" s="8" t="s">
        <v>22</v>
      </c>
      <c r="J4300" s="8" t="s">
        <v>22</v>
      </c>
      <c r="K4300" s="8" t="s">
        <v>269</v>
      </c>
      <c r="L4300" s="8" t="s">
        <v>17287</v>
      </c>
      <c r="M4300" s="8" t="s">
        <v>17288</v>
      </c>
      <c r="N4300" s="8" t="s">
        <v>19491</v>
      </c>
      <c r="O4300" s="8">
        <f>12+21/60+40.5/3600</f>
        <v>12.36125</v>
      </c>
      <c r="P4300" s="8" t="s">
        <v>19492</v>
      </c>
      <c r="Q4300" s="8">
        <f>+(11+30/60+5/3600)</f>
        <v>11.501388888888888</v>
      </c>
      <c r="R4300" s="8">
        <v>12.5</v>
      </c>
      <c r="S4300" s="8">
        <v>12.9</v>
      </c>
      <c r="T4300" s="8">
        <v>0.4</v>
      </c>
      <c r="U4300" s="8">
        <v>13.4</v>
      </c>
      <c r="V4300" s="8">
        <v>1.7</v>
      </c>
      <c r="W4300" s="8">
        <v>1.6</v>
      </c>
      <c r="X4300" s="8">
        <v>26</v>
      </c>
      <c r="Y4300" s="8" t="s">
        <v>19493</v>
      </c>
      <c r="Z4300" s="8" t="s">
        <v>19494</v>
      </c>
    </row>
    <row r="4301" spans="1:26" x14ac:dyDescent="0.2">
      <c r="A4301" s="8">
        <v>4300</v>
      </c>
      <c r="B4301" s="8" t="s">
        <v>19495</v>
      </c>
      <c r="C4301" s="8" t="s">
        <v>19495</v>
      </c>
      <c r="F4301" s="47" t="s">
        <v>57299</v>
      </c>
      <c r="G4301" s="8">
        <v>15</v>
      </c>
      <c r="H4301" s="8" t="s">
        <v>21</v>
      </c>
      <c r="I4301" s="8" t="s">
        <v>22</v>
      </c>
      <c r="J4301" s="8" t="s">
        <v>22</v>
      </c>
      <c r="K4301" s="8" t="s">
        <v>91</v>
      </c>
      <c r="L4301" s="8" t="s">
        <v>17287</v>
      </c>
      <c r="M4301" s="8" t="s">
        <v>17288</v>
      </c>
      <c r="N4301" s="8" t="s">
        <v>19496</v>
      </c>
      <c r="O4301" s="8">
        <f>12+21/60+41.3/3600</f>
        <v>12.361472222222222</v>
      </c>
      <c r="P4301" s="8" t="s">
        <v>19497</v>
      </c>
      <c r="Q4301" s="8">
        <f>+(5+23/60+5/3600)</f>
        <v>5.3847222222222229</v>
      </c>
      <c r="R4301" s="8">
        <v>12.9</v>
      </c>
      <c r="S4301" s="8">
        <v>13.8</v>
      </c>
      <c r="T4301" s="8">
        <v>0.9</v>
      </c>
      <c r="U4301" s="8">
        <v>12.6</v>
      </c>
      <c r="V4301" s="8">
        <v>1.5</v>
      </c>
      <c r="W4301" s="8">
        <v>0.6</v>
      </c>
      <c r="X4301" s="8">
        <v>42</v>
      </c>
      <c r="Y4301" s="8" t="s">
        <v>19498</v>
      </c>
      <c r="Z4301" s="8" t="s">
        <v>19499</v>
      </c>
    </row>
    <row r="4302" spans="1:26" x14ac:dyDescent="0.2">
      <c r="A4302" s="8">
        <v>4301</v>
      </c>
      <c r="B4302" s="8" t="s">
        <v>19500</v>
      </c>
      <c r="C4302" s="8" t="s">
        <v>19500</v>
      </c>
      <c r="F4302" s="47"/>
      <c r="G4302" s="8">
        <v>18</v>
      </c>
      <c r="H4302" s="8" t="s">
        <v>21</v>
      </c>
      <c r="I4302" s="8" t="s">
        <v>22</v>
      </c>
      <c r="J4302" s="8" t="s">
        <v>22</v>
      </c>
      <c r="K4302" s="8" t="s">
        <v>64</v>
      </c>
      <c r="L4302" s="8" t="s">
        <v>17287</v>
      </c>
      <c r="M4302" s="8" t="s">
        <v>17288</v>
      </c>
      <c r="N4302" s="8" t="s">
        <v>19501</v>
      </c>
      <c r="O4302" s="8">
        <f>12+22/60+27.2/3600</f>
        <v>12.374222222222222</v>
      </c>
      <c r="P4302" s="8" t="s">
        <v>19502</v>
      </c>
      <c r="Q4302" s="8">
        <f>+(4+33/60+57/3600)</f>
        <v>4.565833333333333</v>
      </c>
      <c r="R4302" s="8">
        <v>13</v>
      </c>
      <c r="S4302" s="8">
        <v>13.4</v>
      </c>
      <c r="T4302" s="8">
        <v>0.4</v>
      </c>
      <c r="U4302" s="8">
        <v>13.6</v>
      </c>
      <c r="V4302" s="8">
        <v>1.6</v>
      </c>
      <c r="W4302" s="8">
        <v>1.3</v>
      </c>
      <c r="X4302" s="8">
        <v>69</v>
      </c>
      <c r="Y4302" s="8" t="s">
        <v>19503</v>
      </c>
      <c r="Z4302" s="8" t="s">
        <v>19504</v>
      </c>
    </row>
    <row r="4303" spans="1:26" x14ac:dyDescent="0.2">
      <c r="A4303" s="8">
        <v>4302</v>
      </c>
      <c r="B4303" s="8" t="s">
        <v>19505</v>
      </c>
      <c r="C4303" s="8" t="s">
        <v>19505</v>
      </c>
      <c r="F4303" s="47" t="s">
        <v>57300</v>
      </c>
      <c r="G4303" s="8">
        <v>6.5</v>
      </c>
      <c r="H4303" s="8" t="s">
        <v>21</v>
      </c>
      <c r="I4303" s="8" t="s">
        <v>22</v>
      </c>
      <c r="J4303" s="8" t="s">
        <v>22</v>
      </c>
      <c r="K4303" s="8" t="s">
        <v>160</v>
      </c>
      <c r="L4303" s="8" t="s">
        <v>18289</v>
      </c>
      <c r="M4303" s="8" t="s">
        <v>18290</v>
      </c>
      <c r="N4303" s="8" t="s">
        <v>19506</v>
      </c>
      <c r="O4303" s="8">
        <f>12+21/60+42.2/3600</f>
        <v>12.361722222222221</v>
      </c>
      <c r="P4303" s="8" t="s">
        <v>19507</v>
      </c>
      <c r="Q4303" s="8">
        <f>+(14+35/60+54/3600)</f>
        <v>14.598333333333334</v>
      </c>
      <c r="R4303" s="8">
        <v>11.6</v>
      </c>
      <c r="S4303" s="8">
        <v>12.5</v>
      </c>
      <c r="T4303" s="8">
        <v>0.9</v>
      </c>
      <c r="U4303" s="8">
        <v>13.3</v>
      </c>
      <c r="V4303" s="8">
        <v>5.3</v>
      </c>
      <c r="W4303" s="8">
        <v>1</v>
      </c>
      <c r="X4303" s="8">
        <v>178</v>
      </c>
      <c r="Y4303" s="8" t="s">
        <v>19508</v>
      </c>
      <c r="Z4303" s="8" t="s">
        <v>19509</v>
      </c>
    </row>
    <row r="4304" spans="1:26" x14ac:dyDescent="0.2">
      <c r="A4304" s="8">
        <v>4303</v>
      </c>
      <c r="B4304" s="8" t="s">
        <v>19510</v>
      </c>
      <c r="C4304" s="8" t="s">
        <v>55900</v>
      </c>
      <c r="F4304" s="47" t="s">
        <v>57301</v>
      </c>
      <c r="G4304" s="8">
        <v>1</v>
      </c>
      <c r="H4304" s="8" t="s">
        <v>19511</v>
      </c>
      <c r="I4304" s="8" t="s">
        <v>22</v>
      </c>
      <c r="J4304" s="8" t="s">
        <v>22</v>
      </c>
      <c r="K4304" s="8" t="s">
        <v>85</v>
      </c>
      <c r="L4304" s="8" t="s">
        <v>17287</v>
      </c>
      <c r="M4304" s="8" t="s">
        <v>17288</v>
      </c>
      <c r="N4304" s="8" t="s">
        <v>19512</v>
      </c>
      <c r="O4304" s="8">
        <f>12+21/60+54.9/3600</f>
        <v>12.36525</v>
      </c>
      <c r="P4304" s="8" t="s">
        <v>19513</v>
      </c>
      <c r="Q4304" s="8">
        <f>+(4+28/60+22/3600)</f>
        <v>4.472777777777778</v>
      </c>
      <c r="R4304" s="8">
        <v>9.6999999999999993</v>
      </c>
      <c r="S4304" s="8">
        <v>10.199999999999999</v>
      </c>
      <c r="T4304" s="8">
        <v>0.5</v>
      </c>
      <c r="U4304" s="8">
        <v>13.5</v>
      </c>
      <c r="V4304" s="8">
        <v>6.5</v>
      </c>
      <c r="W4304" s="8">
        <v>5.9</v>
      </c>
      <c r="X4304" s="8">
        <v>162</v>
      </c>
      <c r="Y4304" s="8" t="s">
        <v>19508</v>
      </c>
      <c r="Z4304" s="8" t="s">
        <v>19514</v>
      </c>
    </row>
    <row r="4305" spans="1:26" x14ac:dyDescent="0.2">
      <c r="A4305" s="8">
        <v>4304</v>
      </c>
      <c r="B4305" s="8" t="s">
        <v>19515</v>
      </c>
      <c r="C4305" s="8" t="s">
        <v>19515</v>
      </c>
      <c r="F4305" s="47"/>
      <c r="G4305" s="8">
        <v>13</v>
      </c>
      <c r="H4305" s="8" t="s">
        <v>21</v>
      </c>
      <c r="I4305" s="8" t="s">
        <v>22</v>
      </c>
      <c r="J4305" s="8" t="s">
        <v>22</v>
      </c>
      <c r="K4305" s="8" t="s">
        <v>85</v>
      </c>
      <c r="L4305" s="8" t="s">
        <v>11765</v>
      </c>
      <c r="M4305" s="8" t="s">
        <v>11766</v>
      </c>
      <c r="N4305" s="8" t="s">
        <v>19516</v>
      </c>
      <c r="O4305" s="8">
        <f>12+22/60+12.7/3600</f>
        <v>12.370194444444445</v>
      </c>
      <c r="P4305" s="8" t="s">
        <v>19517</v>
      </c>
      <c r="Q4305" s="8">
        <f>-(33+29/60+5/3600)</f>
        <v>-33.484722222222224</v>
      </c>
      <c r="R4305" s="8">
        <v>11.7</v>
      </c>
      <c r="S4305" s="8">
        <v>12.5</v>
      </c>
      <c r="T4305" s="8">
        <v>0.8</v>
      </c>
      <c r="U4305" s="8">
        <v>13.6</v>
      </c>
      <c r="V4305" s="8">
        <v>3</v>
      </c>
      <c r="W4305" s="8">
        <v>2.4</v>
      </c>
      <c r="X4305" s="8">
        <v>12</v>
      </c>
      <c r="Y4305" s="8" t="s">
        <v>19518</v>
      </c>
      <c r="Z4305" s="8" t="s">
        <v>19519</v>
      </c>
    </row>
    <row r="4306" spans="1:26" x14ac:dyDescent="0.2">
      <c r="A4306" s="8">
        <v>4305</v>
      </c>
      <c r="B4306" s="8" t="s">
        <v>19520</v>
      </c>
      <c r="C4306" s="8" t="s">
        <v>19520</v>
      </c>
      <c r="F4306" s="47"/>
      <c r="G4306" s="8">
        <v>16</v>
      </c>
      <c r="H4306" s="8" t="s">
        <v>21</v>
      </c>
      <c r="I4306" s="8" t="s">
        <v>22</v>
      </c>
      <c r="J4306" s="8" t="s">
        <v>22</v>
      </c>
      <c r="K4306" s="8" t="s">
        <v>91</v>
      </c>
      <c r="L4306" s="8" t="s">
        <v>17287</v>
      </c>
      <c r="M4306" s="8" t="s">
        <v>17288</v>
      </c>
      <c r="N4306" s="8" t="s">
        <v>19521</v>
      </c>
      <c r="O4306" s="8">
        <f>12+22/60+3.6/3600</f>
        <v>12.367666666666667</v>
      </c>
      <c r="P4306" s="8" t="s">
        <v>19522</v>
      </c>
      <c r="Q4306" s="8">
        <f>+(12+44/60+27/3600)</f>
        <v>12.740833333333333</v>
      </c>
      <c r="R4306" s="8">
        <v>12.6</v>
      </c>
      <c r="S4306" s="8">
        <v>13.3</v>
      </c>
      <c r="T4306" s="8">
        <v>0.7</v>
      </c>
      <c r="U4306" s="8">
        <v>13.5</v>
      </c>
      <c r="V4306" s="8">
        <v>2.2000000000000002</v>
      </c>
      <c r="W4306" s="8">
        <v>1.2</v>
      </c>
      <c r="X4306" s="8">
        <v>32</v>
      </c>
      <c r="Y4306" s="8" t="s">
        <v>1250</v>
      </c>
      <c r="Z4306" s="8" t="s">
        <v>1251</v>
      </c>
    </row>
    <row r="4307" spans="1:26" x14ac:dyDescent="0.2">
      <c r="A4307" s="8">
        <v>4306</v>
      </c>
      <c r="B4307" s="8" t="s">
        <v>19523</v>
      </c>
      <c r="C4307" s="8" t="s">
        <v>19523</v>
      </c>
      <c r="F4307" s="47"/>
      <c r="G4307" s="8">
        <v>18</v>
      </c>
      <c r="H4307" s="8" t="s">
        <v>21</v>
      </c>
      <c r="I4307" s="8" t="s">
        <v>22</v>
      </c>
      <c r="J4307" s="8" t="s">
        <v>22</v>
      </c>
      <c r="K4307" s="8" t="s">
        <v>224</v>
      </c>
      <c r="L4307" s="8" t="s">
        <v>17287</v>
      </c>
      <c r="M4307" s="8" t="s">
        <v>17288</v>
      </c>
      <c r="N4307" s="8" t="s">
        <v>19524</v>
      </c>
      <c r="O4307" s="8">
        <f>12+22/60+4.2/3600</f>
        <v>12.367833333333333</v>
      </c>
      <c r="P4307" s="8" t="s">
        <v>19525</v>
      </c>
      <c r="Q4307" s="8">
        <f>+(12+47/60+15/3600)</f>
        <v>12.7875</v>
      </c>
      <c r="R4307" s="8">
        <v>12.6</v>
      </c>
      <c r="S4307" s="8">
        <v>13.6</v>
      </c>
      <c r="T4307" s="8">
        <v>1</v>
      </c>
      <c r="U4307" s="8">
        <v>13.3</v>
      </c>
      <c r="V4307" s="8">
        <v>1.6</v>
      </c>
      <c r="W4307" s="8">
        <v>1.1000000000000001</v>
      </c>
      <c r="X4307" s="8">
        <v>140</v>
      </c>
      <c r="Y4307" s="8" t="s">
        <v>21</v>
      </c>
      <c r="Z4307" s="8" t="s">
        <v>19526</v>
      </c>
    </row>
    <row r="4308" spans="1:26" x14ac:dyDescent="0.2">
      <c r="A4308" s="8">
        <v>4307</v>
      </c>
      <c r="B4308" s="8" t="s">
        <v>19527</v>
      </c>
      <c r="C4308" s="8" t="s">
        <v>19527</v>
      </c>
      <c r="F4308" s="47"/>
      <c r="G4308" s="8">
        <v>13</v>
      </c>
      <c r="H4308" s="8" t="s">
        <v>21</v>
      </c>
      <c r="I4308" s="8" t="s">
        <v>22</v>
      </c>
      <c r="J4308" s="8" t="s">
        <v>22</v>
      </c>
      <c r="K4308" s="8" t="s">
        <v>23</v>
      </c>
      <c r="L4308" s="8" t="s">
        <v>17287</v>
      </c>
      <c r="M4308" s="8" t="s">
        <v>17288</v>
      </c>
      <c r="N4308" s="8" t="s">
        <v>19528</v>
      </c>
      <c r="O4308" s="8">
        <f>12+22/60+5.2/3600</f>
        <v>12.368111111111112</v>
      </c>
      <c r="P4308" s="8" t="s">
        <v>19529</v>
      </c>
      <c r="Q4308" s="8">
        <f>+(9+2/60+31/3600)</f>
        <v>9.0419444444444448</v>
      </c>
      <c r="R4308" s="8">
        <v>12</v>
      </c>
      <c r="S4308" s="8">
        <v>12.9</v>
      </c>
      <c r="T4308" s="8">
        <v>0.9</v>
      </c>
      <c r="U4308" s="8">
        <v>13</v>
      </c>
      <c r="V4308" s="8">
        <v>3.5</v>
      </c>
      <c r="W4308" s="8">
        <v>0.8</v>
      </c>
      <c r="X4308" s="8">
        <v>24</v>
      </c>
      <c r="Y4308" s="8" t="s">
        <v>21</v>
      </c>
      <c r="Z4308" s="8" t="s">
        <v>19530</v>
      </c>
    </row>
    <row r="4309" spans="1:26" x14ac:dyDescent="0.2">
      <c r="A4309" s="8">
        <v>4308</v>
      </c>
      <c r="B4309" s="8" t="s">
        <v>19531</v>
      </c>
      <c r="C4309" s="8" t="s">
        <v>19531</v>
      </c>
      <c r="F4309" s="47"/>
      <c r="G4309" s="8">
        <v>19</v>
      </c>
      <c r="H4309" s="8" t="s">
        <v>21</v>
      </c>
      <c r="I4309" s="8" t="s">
        <v>22</v>
      </c>
      <c r="J4309" s="8" t="s">
        <v>22</v>
      </c>
      <c r="K4309" s="8" t="s">
        <v>183</v>
      </c>
      <c r="L4309" s="8" t="s">
        <v>18289</v>
      </c>
      <c r="M4309" s="8" t="s">
        <v>18290</v>
      </c>
      <c r="N4309" s="8" t="s">
        <v>19532</v>
      </c>
      <c r="O4309" s="8">
        <f>12+21/60+56.8/3600</f>
        <v>12.365777777777778</v>
      </c>
      <c r="P4309" s="8" t="s">
        <v>19533</v>
      </c>
      <c r="Q4309" s="8">
        <f>+(30+4/60+27/3600)</f>
        <v>30.074166666666667</v>
      </c>
      <c r="R4309" s="8">
        <v>13.4</v>
      </c>
      <c r="S4309" s="8">
        <v>14.4</v>
      </c>
      <c r="T4309" s="8">
        <v>1</v>
      </c>
      <c r="U4309" s="8">
        <v>12.8</v>
      </c>
      <c r="V4309" s="8">
        <v>0.8</v>
      </c>
      <c r="W4309" s="8">
        <v>0.7</v>
      </c>
      <c r="X4309" s="8">
        <v>30</v>
      </c>
      <c r="Y4309" s="8" t="s">
        <v>21</v>
      </c>
      <c r="Z4309" s="8" t="s">
        <v>19534</v>
      </c>
    </row>
    <row r="4310" spans="1:26" x14ac:dyDescent="0.2">
      <c r="A4310" s="8">
        <v>4309</v>
      </c>
      <c r="B4310" s="8" t="s">
        <v>19535</v>
      </c>
      <c r="C4310" s="8" t="s">
        <v>19535</v>
      </c>
      <c r="F4310" s="47"/>
      <c r="G4310" s="8">
        <v>19</v>
      </c>
      <c r="H4310" s="8" t="s">
        <v>21</v>
      </c>
      <c r="I4310" s="8" t="s">
        <v>22</v>
      </c>
      <c r="J4310" s="8" t="s">
        <v>22</v>
      </c>
      <c r="K4310" s="8" t="s">
        <v>435</v>
      </c>
      <c r="L4310" s="8" t="s">
        <v>17287</v>
      </c>
      <c r="M4310" s="8" t="s">
        <v>17288</v>
      </c>
      <c r="N4310" s="8" t="s">
        <v>19536</v>
      </c>
      <c r="O4310" s="8">
        <f>12+22/60+12.3/3600</f>
        <v>12.370083333333334</v>
      </c>
      <c r="P4310" s="8" t="s">
        <v>19537</v>
      </c>
      <c r="Q4310" s="8">
        <f>+(7+8/60+41/3600)</f>
        <v>7.1447222222222226</v>
      </c>
      <c r="R4310" s="8">
        <v>12.8</v>
      </c>
      <c r="S4310" s="8">
        <v>13.7</v>
      </c>
      <c r="T4310" s="8">
        <v>0.9</v>
      </c>
      <c r="U4310" s="8">
        <v>13.3</v>
      </c>
      <c r="V4310" s="8">
        <v>1.8</v>
      </c>
      <c r="W4310" s="8">
        <v>1</v>
      </c>
      <c r="X4310" s="8">
        <v>85</v>
      </c>
      <c r="Y4310" s="8" t="s">
        <v>21</v>
      </c>
      <c r="Z4310" s="8" t="s">
        <v>19538</v>
      </c>
    </row>
    <row r="4311" spans="1:26" x14ac:dyDescent="0.2">
      <c r="A4311" s="8">
        <v>4310</v>
      </c>
      <c r="B4311" s="8" t="s">
        <v>19539</v>
      </c>
      <c r="C4311" s="8" t="s">
        <v>19539</v>
      </c>
      <c r="F4311" s="47" t="s">
        <v>57302</v>
      </c>
      <c r="G4311" s="8">
        <v>6.5</v>
      </c>
      <c r="H4311" s="8" t="s">
        <v>21</v>
      </c>
      <c r="I4311" s="8" t="s">
        <v>22</v>
      </c>
      <c r="J4311" s="8" t="s">
        <v>22</v>
      </c>
      <c r="K4311" s="8" t="s">
        <v>224</v>
      </c>
      <c r="L4311" s="8" t="s">
        <v>18289</v>
      </c>
      <c r="M4311" s="8" t="s">
        <v>18290</v>
      </c>
      <c r="N4311" s="8" t="s">
        <v>19540</v>
      </c>
      <c r="O4311" s="8">
        <f>12+22/60+26.4/3600</f>
        <v>12.374000000000001</v>
      </c>
      <c r="P4311" s="8" t="s">
        <v>19541</v>
      </c>
      <c r="Q4311" s="8">
        <f>+(29+12/60+29/3600)</f>
        <v>29.208055555555553</v>
      </c>
      <c r="R4311" s="8">
        <v>12.2</v>
      </c>
      <c r="S4311" s="8">
        <v>13.1</v>
      </c>
      <c r="T4311" s="8">
        <v>0.9</v>
      </c>
      <c r="U4311" s="8">
        <v>13.1</v>
      </c>
      <c r="V4311" s="8">
        <v>2</v>
      </c>
      <c r="W4311" s="8">
        <v>1</v>
      </c>
      <c r="X4311" s="8">
        <v>161</v>
      </c>
      <c r="Y4311" s="8" t="s">
        <v>19503</v>
      </c>
      <c r="Z4311" s="8" t="s">
        <v>19542</v>
      </c>
    </row>
    <row r="4312" spans="1:26" x14ac:dyDescent="0.2">
      <c r="A4312" s="8">
        <v>4311</v>
      </c>
      <c r="B4312" s="8" t="s">
        <v>19543</v>
      </c>
      <c r="C4312" s="8" t="s">
        <v>19543</v>
      </c>
      <c r="F4312" s="47"/>
      <c r="G4312" s="8">
        <v>16</v>
      </c>
      <c r="H4312" s="8" t="s">
        <v>21</v>
      </c>
      <c r="I4312" s="8" t="s">
        <v>329</v>
      </c>
      <c r="J4312" s="8" t="s">
        <v>329</v>
      </c>
      <c r="K4312" s="8" t="s">
        <v>329</v>
      </c>
      <c r="L4312" s="8" t="s">
        <v>18289</v>
      </c>
      <c r="M4312" s="8" t="s">
        <v>18290</v>
      </c>
      <c r="N4312" s="8" t="s">
        <v>19544</v>
      </c>
      <c r="O4312" s="8">
        <f>12+22/60+26.3/3600</f>
        <v>12.373972222222223</v>
      </c>
      <c r="P4312" s="8" t="s">
        <v>19545</v>
      </c>
      <c r="Q4312" s="8">
        <f>+(29+12/60+16/3600)</f>
        <v>29.204444444444444</v>
      </c>
      <c r="R4312" s="8">
        <v>99</v>
      </c>
      <c r="S4312" s="8">
        <v>99</v>
      </c>
      <c r="T4312" s="8">
        <v>99</v>
      </c>
      <c r="U4312" s="8">
        <v>99</v>
      </c>
      <c r="Y4312" s="8" t="s">
        <v>19546</v>
      </c>
      <c r="Z4312" s="8" t="s">
        <v>19547</v>
      </c>
    </row>
    <row r="4313" spans="1:26" x14ac:dyDescent="0.2">
      <c r="A4313" s="8">
        <v>4312</v>
      </c>
      <c r="B4313" s="8" t="s">
        <v>19548</v>
      </c>
      <c r="C4313" s="8" t="s">
        <v>19548</v>
      </c>
      <c r="F4313" s="47" t="s">
        <v>57303</v>
      </c>
      <c r="G4313" s="8">
        <v>6.5</v>
      </c>
      <c r="H4313" s="8" t="s">
        <v>21</v>
      </c>
      <c r="I4313" s="8" t="s">
        <v>22</v>
      </c>
      <c r="J4313" s="8" t="s">
        <v>22</v>
      </c>
      <c r="K4313" s="8" t="s">
        <v>31</v>
      </c>
      <c r="L4313" s="8" t="s">
        <v>18289</v>
      </c>
      <c r="M4313" s="8" t="s">
        <v>18290</v>
      </c>
      <c r="N4313" s="8" t="s">
        <v>19549</v>
      </c>
      <c r="O4313" s="8">
        <f>12+22/60+31.4/3600</f>
        <v>12.375388888888889</v>
      </c>
      <c r="P4313" s="8" t="s">
        <v>19550</v>
      </c>
      <c r="Q4313" s="8">
        <f>+(15+32/60+17/3600)</f>
        <v>15.538055555555555</v>
      </c>
      <c r="R4313" s="8">
        <v>11.7</v>
      </c>
      <c r="S4313" s="8">
        <v>12.5</v>
      </c>
      <c r="T4313" s="8">
        <v>0.8</v>
      </c>
      <c r="U4313" s="8">
        <v>13.3</v>
      </c>
      <c r="V4313" s="8">
        <v>4.5999999999999996</v>
      </c>
      <c r="W4313" s="8">
        <v>1.1000000000000001</v>
      </c>
      <c r="X4313" s="8">
        <v>170</v>
      </c>
      <c r="Y4313" s="8" t="s">
        <v>19551</v>
      </c>
      <c r="Z4313" s="8" t="s">
        <v>19552</v>
      </c>
    </row>
    <row r="4314" spans="1:26" x14ac:dyDescent="0.2">
      <c r="A4314" s="8">
        <v>4313</v>
      </c>
      <c r="B4314" s="8" t="s">
        <v>19553</v>
      </c>
      <c r="C4314" s="8" t="s">
        <v>19553</v>
      </c>
      <c r="F4314" s="47" t="s">
        <v>57304</v>
      </c>
      <c r="G4314" s="8">
        <v>6.5</v>
      </c>
      <c r="H4314" s="8" t="s">
        <v>21</v>
      </c>
      <c r="I4314" s="8" t="s">
        <v>22</v>
      </c>
      <c r="J4314" s="8" t="s">
        <v>22</v>
      </c>
      <c r="K4314" s="8" t="s">
        <v>31</v>
      </c>
      <c r="L4314" s="8" t="s">
        <v>17287</v>
      </c>
      <c r="M4314" s="8" t="s">
        <v>17288</v>
      </c>
      <c r="N4314" s="8" t="s">
        <v>19554</v>
      </c>
      <c r="O4314" s="8">
        <f>12+22/60+38.3/3600</f>
        <v>12.377305555555557</v>
      </c>
      <c r="P4314" s="8" t="s">
        <v>19555</v>
      </c>
      <c r="Q4314" s="8">
        <f>+(11+48/60+4/3600)</f>
        <v>11.801111111111112</v>
      </c>
      <c r="R4314" s="8">
        <v>12</v>
      </c>
      <c r="S4314" s="8">
        <v>12.8</v>
      </c>
      <c r="T4314" s="8">
        <v>0.8</v>
      </c>
      <c r="U4314" s="8">
        <v>13.2</v>
      </c>
      <c r="V4314" s="8">
        <v>3.8</v>
      </c>
      <c r="W4314" s="8">
        <v>0.9</v>
      </c>
      <c r="X4314" s="8">
        <v>143</v>
      </c>
      <c r="Y4314" s="8" t="s">
        <v>19556</v>
      </c>
      <c r="Z4314" s="8" t="s">
        <v>19557</v>
      </c>
    </row>
    <row r="4315" spans="1:26" x14ac:dyDescent="0.2">
      <c r="A4315" s="8">
        <v>4314</v>
      </c>
      <c r="B4315" s="8" t="s">
        <v>19558</v>
      </c>
      <c r="C4315" s="8" t="s">
        <v>19558</v>
      </c>
      <c r="F4315" s="47" t="s">
        <v>57305</v>
      </c>
      <c r="G4315" s="8">
        <v>6</v>
      </c>
      <c r="H4315" s="8" t="s">
        <v>21</v>
      </c>
      <c r="I4315" s="8" t="s">
        <v>22</v>
      </c>
      <c r="J4315" s="8" t="s">
        <v>22</v>
      </c>
      <c r="K4315" s="8" t="s">
        <v>154</v>
      </c>
      <c r="L4315" s="8" t="s">
        <v>18289</v>
      </c>
      <c r="M4315" s="8" t="s">
        <v>18290</v>
      </c>
      <c r="N4315" s="8" t="s">
        <v>19559</v>
      </c>
      <c r="O4315" s="8">
        <f>12+22/60+31.8/3600</f>
        <v>12.375500000000001</v>
      </c>
      <c r="P4315" s="8" t="s">
        <v>19560</v>
      </c>
      <c r="Q4315" s="8">
        <f>+(29+53/60+45/3600)</f>
        <v>29.895833333333332</v>
      </c>
      <c r="R4315" s="8">
        <v>10.6</v>
      </c>
      <c r="S4315" s="8">
        <v>11.4</v>
      </c>
      <c r="T4315" s="8">
        <v>0.8</v>
      </c>
      <c r="U4315" s="8">
        <v>13.4</v>
      </c>
      <c r="V4315" s="8">
        <v>4.2</v>
      </c>
      <c r="W4315" s="8">
        <v>3.7</v>
      </c>
      <c r="X4315" s="8">
        <v>69</v>
      </c>
      <c r="Y4315" s="8" t="s">
        <v>19561</v>
      </c>
      <c r="Z4315" s="8" t="s">
        <v>19562</v>
      </c>
    </row>
    <row r="4316" spans="1:26" x14ac:dyDescent="0.2">
      <c r="A4316" s="8">
        <v>4315</v>
      </c>
      <c r="B4316" s="8" t="s">
        <v>19563</v>
      </c>
      <c r="C4316" s="8" t="s">
        <v>19563</v>
      </c>
      <c r="F4316" s="47"/>
      <c r="G4316" s="8">
        <v>19</v>
      </c>
      <c r="H4316" s="8" t="s">
        <v>21</v>
      </c>
      <c r="I4316" s="8" t="s">
        <v>72</v>
      </c>
      <c r="J4316" s="8" t="s">
        <v>72</v>
      </c>
      <c r="K4316" s="8" t="s">
        <v>20</v>
      </c>
      <c r="L4316" s="8" t="s">
        <v>17287</v>
      </c>
      <c r="M4316" s="8" t="s">
        <v>17288</v>
      </c>
      <c r="N4316" s="8" t="s">
        <v>19564</v>
      </c>
      <c r="O4316" s="8">
        <f>12+22/60+45.3/3600</f>
        <v>12.379250000000001</v>
      </c>
      <c r="P4316" s="8" t="s">
        <v>19565</v>
      </c>
      <c r="Q4316" s="8">
        <f>+(9+18/60+20/3600)</f>
        <v>9.3055555555555571</v>
      </c>
      <c r="R4316" s="8">
        <v>99</v>
      </c>
      <c r="S4316" s="8">
        <v>99</v>
      </c>
      <c r="T4316" s="8">
        <v>99</v>
      </c>
      <c r="U4316" s="8">
        <v>99</v>
      </c>
      <c r="Y4316" s="8" t="s">
        <v>282</v>
      </c>
      <c r="Z4316" s="8" t="s">
        <v>283</v>
      </c>
    </row>
    <row r="4317" spans="1:26" x14ac:dyDescent="0.2">
      <c r="A4317" s="8">
        <v>4316</v>
      </c>
      <c r="B4317" s="8" t="s">
        <v>19566</v>
      </c>
      <c r="C4317" s="8" t="s">
        <v>19566</v>
      </c>
      <c r="F4317" s="47"/>
      <c r="G4317" s="8">
        <v>19</v>
      </c>
      <c r="H4317" s="8" t="s">
        <v>21</v>
      </c>
      <c r="I4317" s="8" t="s">
        <v>22</v>
      </c>
      <c r="J4317" s="8" t="s">
        <v>22</v>
      </c>
      <c r="K4317" s="8" t="s">
        <v>160</v>
      </c>
      <c r="L4317" s="8" t="s">
        <v>17287</v>
      </c>
      <c r="M4317" s="8" t="s">
        <v>17288</v>
      </c>
      <c r="N4317" s="8" t="s">
        <v>19567</v>
      </c>
      <c r="O4317" s="8">
        <f>12+22/60+42.1/3600</f>
        <v>12.378361111111111</v>
      </c>
      <c r="P4317" s="8" t="s">
        <v>19568</v>
      </c>
      <c r="Q4317" s="8">
        <f>+(9+19/60+57/3600)</f>
        <v>9.3324999999999996</v>
      </c>
      <c r="R4317" s="8">
        <v>12.9</v>
      </c>
      <c r="S4317" s="8">
        <v>13.6</v>
      </c>
      <c r="T4317" s="8">
        <v>0.7</v>
      </c>
      <c r="U4317" s="8">
        <v>13</v>
      </c>
      <c r="V4317" s="8">
        <v>2.5</v>
      </c>
      <c r="W4317" s="8">
        <v>0.5</v>
      </c>
      <c r="X4317" s="8">
        <v>113</v>
      </c>
      <c r="Y4317" s="8" t="s">
        <v>19569</v>
      </c>
      <c r="Z4317" s="8" t="s">
        <v>19570</v>
      </c>
    </row>
    <row r="4318" spans="1:26" x14ac:dyDescent="0.2">
      <c r="A4318" s="8">
        <v>4317</v>
      </c>
      <c r="B4318" s="8" t="s">
        <v>19571</v>
      </c>
      <c r="C4318" s="8" t="s">
        <v>19571</v>
      </c>
      <c r="F4318" s="47" t="s">
        <v>57306</v>
      </c>
      <c r="G4318" s="8">
        <v>15</v>
      </c>
      <c r="H4318" s="8" t="s">
        <v>21</v>
      </c>
      <c r="I4318" s="8" t="s">
        <v>329</v>
      </c>
      <c r="J4318" s="8" t="s">
        <v>329</v>
      </c>
      <c r="K4318" s="8" t="s">
        <v>329</v>
      </c>
      <c r="L4318" s="8" t="s">
        <v>18289</v>
      </c>
      <c r="M4318" s="8" t="s">
        <v>18290</v>
      </c>
      <c r="N4318" s="8" t="s">
        <v>19572</v>
      </c>
      <c r="O4318" s="8">
        <f>12+22/60+41/3600</f>
        <v>12.378055555555555</v>
      </c>
      <c r="P4318" s="8" t="s">
        <v>19573</v>
      </c>
      <c r="Q4318" s="8">
        <f>+(31+2/60+12/3600)</f>
        <v>31.036666666666669</v>
      </c>
      <c r="R4318" s="8">
        <v>99</v>
      </c>
      <c r="S4318" s="8">
        <v>99</v>
      </c>
      <c r="T4318" s="8">
        <v>99</v>
      </c>
      <c r="U4318" s="8">
        <v>99</v>
      </c>
      <c r="Y4318" s="8" t="s">
        <v>4065</v>
      </c>
      <c r="Z4318" s="8" t="s">
        <v>4066</v>
      </c>
    </row>
    <row r="4319" spans="1:26" x14ac:dyDescent="0.2">
      <c r="A4319" s="8">
        <v>4318</v>
      </c>
      <c r="B4319" s="8" t="s">
        <v>19574</v>
      </c>
      <c r="C4319" s="8" t="s">
        <v>19574</v>
      </c>
      <c r="F4319" s="47"/>
      <c r="G4319" s="8">
        <v>16</v>
      </c>
      <c r="H4319" s="8" t="s">
        <v>21</v>
      </c>
      <c r="I4319" s="8" t="s">
        <v>22</v>
      </c>
      <c r="J4319" s="8" t="s">
        <v>22</v>
      </c>
      <c r="K4319" s="8" t="s">
        <v>382</v>
      </c>
      <c r="L4319" s="8" t="s">
        <v>17287</v>
      </c>
      <c r="M4319" s="8" t="s">
        <v>17288</v>
      </c>
      <c r="N4319" s="8" t="s">
        <v>19575</v>
      </c>
      <c r="O4319" s="8">
        <f>12+22/60+43.2/3600</f>
        <v>12.378666666666668</v>
      </c>
      <c r="P4319" s="8" t="s">
        <v>19576</v>
      </c>
      <c r="Q4319" s="8">
        <f>+(8+11/60+57/3600)</f>
        <v>8.1991666666666667</v>
      </c>
      <c r="R4319" s="8">
        <v>13.3</v>
      </c>
      <c r="S4319" s="8">
        <v>14.2</v>
      </c>
      <c r="T4319" s="8">
        <v>0.9</v>
      </c>
      <c r="U4319" s="8">
        <v>12.1</v>
      </c>
      <c r="V4319" s="8">
        <v>0.7</v>
      </c>
      <c r="W4319" s="8">
        <v>0.5</v>
      </c>
      <c r="X4319" s="8">
        <v>65</v>
      </c>
      <c r="Y4319" s="8" t="s">
        <v>19577</v>
      </c>
      <c r="Z4319" s="8" t="s">
        <v>19578</v>
      </c>
    </row>
    <row r="4320" spans="1:26" x14ac:dyDescent="0.2">
      <c r="A4320" s="8">
        <v>4319</v>
      </c>
      <c r="B4320" s="8" t="s">
        <v>19579</v>
      </c>
      <c r="C4320" s="8" t="s">
        <v>19579</v>
      </c>
      <c r="F4320" s="47" t="s">
        <v>57307</v>
      </c>
      <c r="G4320" s="8">
        <v>6.5</v>
      </c>
      <c r="H4320" s="8" t="s">
        <v>21</v>
      </c>
      <c r="I4320" s="8" t="s">
        <v>22</v>
      </c>
      <c r="J4320" s="8" t="s">
        <v>22</v>
      </c>
      <c r="K4320" s="8" t="s">
        <v>406</v>
      </c>
      <c r="L4320" s="8" t="s">
        <v>13395</v>
      </c>
      <c r="M4320" s="8" t="s">
        <v>13396</v>
      </c>
      <c r="N4320" s="8" t="s">
        <v>19580</v>
      </c>
      <c r="O4320" s="8">
        <f>12+21/60+43.9/3600</f>
        <v>12.362194444444444</v>
      </c>
      <c r="P4320" s="8" t="s">
        <v>19581</v>
      </c>
      <c r="Q4320" s="8">
        <f>+(75+19/60+21/3600)</f>
        <v>75.322499999999991</v>
      </c>
      <c r="R4320" s="8">
        <v>12</v>
      </c>
      <c r="S4320" s="8">
        <v>12.8</v>
      </c>
      <c r="T4320" s="8">
        <v>0.8</v>
      </c>
      <c r="U4320" s="8">
        <v>13.8</v>
      </c>
      <c r="V4320" s="8">
        <v>2.8</v>
      </c>
      <c r="W4320" s="8">
        <v>2.1</v>
      </c>
      <c r="X4320" s="8">
        <v>160</v>
      </c>
      <c r="Y4320" s="8" t="s">
        <v>19582</v>
      </c>
      <c r="Z4320" s="8" t="s">
        <v>19583</v>
      </c>
    </row>
    <row r="4321" spans="1:26" x14ac:dyDescent="0.2">
      <c r="A4321" s="8">
        <v>4320</v>
      </c>
      <c r="B4321" s="8" t="s">
        <v>19584</v>
      </c>
      <c r="C4321" s="8" t="s">
        <v>19584</v>
      </c>
      <c r="F4321" s="47"/>
      <c r="G4321" s="8">
        <v>18</v>
      </c>
      <c r="H4321" s="8" t="s">
        <v>21</v>
      </c>
      <c r="I4321" s="8" t="s">
        <v>22</v>
      </c>
      <c r="J4321" s="8" t="s">
        <v>22</v>
      </c>
      <c r="K4321" s="8" t="s">
        <v>23</v>
      </c>
      <c r="L4321" s="8" t="s">
        <v>17287</v>
      </c>
      <c r="M4321" s="8" t="s">
        <v>17288</v>
      </c>
      <c r="N4321" s="8" t="s">
        <v>19585</v>
      </c>
      <c r="O4321" s="8">
        <f>12+22/60+57.8/3600</f>
        <v>12.382722222222222</v>
      </c>
      <c r="P4321" s="8" t="s">
        <v>19586</v>
      </c>
      <c r="Q4321" s="8">
        <f>+(10+32/60+57/3600)</f>
        <v>10.549166666666666</v>
      </c>
      <c r="R4321" s="8">
        <v>13.9</v>
      </c>
      <c r="S4321" s="8">
        <v>14.7</v>
      </c>
      <c r="T4321" s="8">
        <v>0.8</v>
      </c>
      <c r="U4321" s="8">
        <v>13.4</v>
      </c>
      <c r="V4321" s="8">
        <v>1</v>
      </c>
      <c r="W4321" s="8">
        <v>0.6</v>
      </c>
      <c r="X4321" s="8">
        <v>170</v>
      </c>
      <c r="Y4321" s="8" t="s">
        <v>19587</v>
      </c>
      <c r="Z4321" s="8" t="s">
        <v>19588</v>
      </c>
    </row>
    <row r="4322" spans="1:26" x14ac:dyDescent="0.2">
      <c r="A4322" s="8">
        <v>4321</v>
      </c>
      <c r="B4322" s="8" t="s">
        <v>19589</v>
      </c>
      <c r="C4322" s="8" t="s">
        <v>55901</v>
      </c>
      <c r="F4322" s="47"/>
      <c r="G4322" s="8">
        <v>1</v>
      </c>
      <c r="H4322" s="8" t="s">
        <v>19590</v>
      </c>
      <c r="I4322" s="8" t="s">
        <v>22</v>
      </c>
      <c r="J4322" s="8" t="s">
        <v>22</v>
      </c>
      <c r="K4322" s="8" t="s">
        <v>85</v>
      </c>
      <c r="L4322" s="8" t="s">
        <v>18289</v>
      </c>
      <c r="M4322" s="8" t="s">
        <v>18290</v>
      </c>
      <c r="N4322" s="8" t="s">
        <v>19591</v>
      </c>
      <c r="O4322" s="8">
        <f>12+22/60+54.9/3600</f>
        <v>12.381916666666667</v>
      </c>
      <c r="P4322" s="8" t="s">
        <v>19592</v>
      </c>
      <c r="Q4322" s="8">
        <f>+(15+49/60+22/3600)</f>
        <v>15.822777777777777</v>
      </c>
      <c r="R4322" s="8">
        <v>9.4</v>
      </c>
      <c r="S4322" s="8">
        <v>10.1</v>
      </c>
      <c r="T4322" s="8">
        <v>0.7</v>
      </c>
      <c r="U4322" s="8">
        <v>13.4</v>
      </c>
      <c r="V4322" s="8">
        <v>7.5</v>
      </c>
      <c r="W4322" s="8">
        <v>6.1</v>
      </c>
      <c r="X4322" s="8">
        <v>30</v>
      </c>
      <c r="Y4322" s="8" t="s">
        <v>19593</v>
      </c>
      <c r="Z4322" s="8" t="s">
        <v>19594</v>
      </c>
    </row>
    <row r="4323" spans="1:26" x14ac:dyDescent="0.2">
      <c r="A4323" s="8">
        <v>4322</v>
      </c>
      <c r="B4323" s="8" t="s">
        <v>19595</v>
      </c>
      <c r="C4323" s="8" t="s">
        <v>19595</v>
      </c>
      <c r="F4323" s="47"/>
      <c r="G4323" s="8">
        <v>19</v>
      </c>
      <c r="H4323" s="8" t="s">
        <v>21</v>
      </c>
      <c r="I4323" s="8" t="s">
        <v>22</v>
      </c>
      <c r="J4323" s="8" t="s">
        <v>22</v>
      </c>
      <c r="K4323" s="8" t="s">
        <v>224</v>
      </c>
      <c r="L4323" s="8" t="s">
        <v>18289</v>
      </c>
      <c r="M4323" s="8" t="s">
        <v>18290</v>
      </c>
      <c r="N4323" s="8" t="s">
        <v>19596</v>
      </c>
      <c r="O4323" s="8">
        <f>12+23/60+1.7/3600</f>
        <v>12.383805555555556</v>
      </c>
      <c r="P4323" s="8" t="s">
        <v>19597</v>
      </c>
      <c r="Q4323" s="8">
        <f>+(15+54/60+19/3600)</f>
        <v>15.905277777777778</v>
      </c>
      <c r="R4323" s="8">
        <v>13.9</v>
      </c>
      <c r="S4323" s="8">
        <v>14.8</v>
      </c>
      <c r="T4323" s="8">
        <v>0.9</v>
      </c>
      <c r="U4323" s="8">
        <v>13.6</v>
      </c>
      <c r="V4323" s="8">
        <v>1.1000000000000001</v>
      </c>
      <c r="W4323" s="8">
        <v>0.8</v>
      </c>
      <c r="X4323" s="8">
        <v>100</v>
      </c>
      <c r="Y4323" s="8" t="s">
        <v>19598</v>
      </c>
      <c r="Z4323" s="8" t="s">
        <v>19599</v>
      </c>
    </row>
    <row r="4324" spans="1:26" x14ac:dyDescent="0.2">
      <c r="A4324" s="8">
        <v>4323</v>
      </c>
      <c r="B4324" s="8" t="s">
        <v>19600</v>
      </c>
      <c r="C4324" s="8" t="s">
        <v>19600</v>
      </c>
      <c r="F4324" s="47"/>
      <c r="G4324" s="8">
        <v>19</v>
      </c>
      <c r="H4324" s="8" t="s">
        <v>21</v>
      </c>
      <c r="I4324" s="8" t="s">
        <v>329</v>
      </c>
      <c r="J4324" s="8" t="s">
        <v>329</v>
      </c>
      <c r="K4324" s="8" t="s">
        <v>329</v>
      </c>
      <c r="L4324" s="8" t="s">
        <v>18289</v>
      </c>
      <c r="M4324" s="8" t="s">
        <v>18290</v>
      </c>
      <c r="N4324" s="8" t="s">
        <v>19601</v>
      </c>
      <c r="O4324" s="8">
        <f>12+23/60+16/3600</f>
        <v>12.387777777777778</v>
      </c>
      <c r="P4324" s="8" t="s">
        <v>19602</v>
      </c>
      <c r="Q4324" s="8">
        <f>+(15+54/60+7/3600)</f>
        <v>15.901944444444444</v>
      </c>
      <c r="R4324" s="8">
        <v>99</v>
      </c>
      <c r="S4324" s="8">
        <v>99</v>
      </c>
      <c r="T4324" s="8">
        <v>99</v>
      </c>
      <c r="U4324" s="8">
        <v>99</v>
      </c>
      <c r="Y4324" s="8" t="s">
        <v>19598</v>
      </c>
      <c r="Z4324" s="8" t="s">
        <v>19599</v>
      </c>
    </row>
    <row r="4325" spans="1:26" x14ac:dyDescent="0.2">
      <c r="A4325" s="8">
        <v>4324</v>
      </c>
      <c r="B4325" s="8" t="s">
        <v>19603</v>
      </c>
      <c r="C4325" s="8" t="s">
        <v>19603</v>
      </c>
      <c r="F4325" s="47"/>
      <c r="G4325" s="8">
        <v>13</v>
      </c>
      <c r="H4325" s="8" t="s">
        <v>21</v>
      </c>
      <c r="I4325" s="8" t="s">
        <v>22</v>
      </c>
      <c r="J4325" s="8" t="s">
        <v>22</v>
      </c>
      <c r="K4325" s="8" t="s">
        <v>632</v>
      </c>
      <c r="L4325" s="8" t="s">
        <v>17287</v>
      </c>
      <c r="M4325" s="8" t="s">
        <v>17288</v>
      </c>
      <c r="N4325" s="8" t="s">
        <v>19604</v>
      </c>
      <c r="O4325" s="8">
        <f>12+23/60+6/3600</f>
        <v>12.385</v>
      </c>
      <c r="P4325" s="8" t="s">
        <v>19605</v>
      </c>
      <c r="Q4325" s="8">
        <f>+(5+15/60+0/3600)</f>
        <v>5.25</v>
      </c>
      <c r="R4325" s="8">
        <v>11.6</v>
      </c>
      <c r="S4325" s="8">
        <v>12.5</v>
      </c>
      <c r="T4325" s="8">
        <v>0.9</v>
      </c>
      <c r="U4325" s="8">
        <v>12.8</v>
      </c>
      <c r="V4325" s="8">
        <v>2.9</v>
      </c>
      <c r="W4325" s="8">
        <v>1.2</v>
      </c>
      <c r="X4325" s="8">
        <v>53</v>
      </c>
      <c r="Y4325" s="8" t="s">
        <v>21</v>
      </c>
      <c r="Z4325" s="8" t="s">
        <v>19606</v>
      </c>
    </row>
    <row r="4326" spans="1:26" x14ac:dyDescent="0.2">
      <c r="A4326" s="8">
        <v>4325</v>
      </c>
      <c r="B4326" s="8" t="s">
        <v>19607</v>
      </c>
      <c r="C4326" s="8" t="s">
        <v>19607</v>
      </c>
      <c r="F4326" s="47"/>
      <c r="G4326" s="8">
        <v>14</v>
      </c>
      <c r="H4326" s="8" t="s">
        <v>19608</v>
      </c>
      <c r="I4326" s="8" t="s">
        <v>22</v>
      </c>
      <c r="J4326" s="8" t="s">
        <v>57</v>
      </c>
      <c r="K4326" s="8" t="s">
        <v>818</v>
      </c>
      <c r="L4326" s="8" t="s">
        <v>17287</v>
      </c>
      <c r="M4326" s="8" t="s">
        <v>17288</v>
      </c>
      <c r="N4326" s="8" t="s">
        <v>19609</v>
      </c>
      <c r="O4326" s="8">
        <f>12+23/60+6.6/3600</f>
        <v>12.385166666666667</v>
      </c>
      <c r="P4326" s="8" t="s">
        <v>19610</v>
      </c>
      <c r="Q4326" s="8">
        <f>+(10+37/60+18/3600)</f>
        <v>10.621666666666668</v>
      </c>
      <c r="R4326" s="8">
        <v>13.3</v>
      </c>
      <c r="S4326" s="8">
        <v>14.3</v>
      </c>
      <c r="T4326" s="8">
        <v>1</v>
      </c>
      <c r="U4326" s="8">
        <v>12.8</v>
      </c>
      <c r="V4326" s="8">
        <v>1</v>
      </c>
      <c r="W4326" s="8">
        <v>0.7</v>
      </c>
      <c r="X4326" s="8">
        <v>5</v>
      </c>
      <c r="Y4326" s="8" t="s">
        <v>19611</v>
      </c>
      <c r="Z4326" s="8" t="s">
        <v>19612</v>
      </c>
    </row>
    <row r="4327" spans="1:26" x14ac:dyDescent="0.2">
      <c r="A4327" s="8">
        <v>4326</v>
      </c>
      <c r="B4327" s="8" t="s">
        <v>19613</v>
      </c>
      <c r="C4327" s="8" t="s">
        <v>19613</v>
      </c>
      <c r="F4327" s="47" t="s">
        <v>57308</v>
      </c>
      <c r="G4327" s="8">
        <v>15</v>
      </c>
      <c r="H4327" s="8" t="s">
        <v>21</v>
      </c>
      <c r="I4327" s="8" t="s">
        <v>22</v>
      </c>
      <c r="J4327" s="8" t="s">
        <v>22</v>
      </c>
      <c r="K4327" s="8" t="s">
        <v>406</v>
      </c>
      <c r="L4327" s="8" t="s">
        <v>17287</v>
      </c>
      <c r="M4327" s="8" t="s">
        <v>17288</v>
      </c>
      <c r="N4327" s="8" t="s">
        <v>19614</v>
      </c>
      <c r="O4327" s="8">
        <f>12+23/60+11.6/3600</f>
        <v>12.386555555555555</v>
      </c>
      <c r="P4327" s="8" t="s">
        <v>19615</v>
      </c>
      <c r="Q4327" s="8">
        <f>+(6+4/60+21/3600)</f>
        <v>6.0724999999999998</v>
      </c>
      <c r="R4327" s="8">
        <v>13.3</v>
      </c>
      <c r="S4327" s="8">
        <v>14.1</v>
      </c>
      <c r="T4327" s="8">
        <v>0.8</v>
      </c>
      <c r="U4327" s="8">
        <v>13.7</v>
      </c>
      <c r="V4327" s="8">
        <v>1.4</v>
      </c>
      <c r="W4327" s="8">
        <v>1.1000000000000001</v>
      </c>
      <c r="X4327" s="8">
        <v>108</v>
      </c>
      <c r="Y4327" s="8" t="s">
        <v>19616</v>
      </c>
      <c r="Z4327" s="8" t="s">
        <v>19617</v>
      </c>
    </row>
    <row r="4328" spans="1:26" x14ac:dyDescent="0.2">
      <c r="A4328" s="8">
        <v>4327</v>
      </c>
      <c r="B4328" s="8" t="s">
        <v>19618</v>
      </c>
      <c r="C4328" s="8" t="s">
        <v>19618</v>
      </c>
      <c r="F4328" s="47"/>
      <c r="G4328" s="8">
        <v>19</v>
      </c>
      <c r="H4328" s="8" t="s">
        <v>21</v>
      </c>
      <c r="I4328" s="8" t="s">
        <v>72</v>
      </c>
      <c r="J4328" s="8" t="s">
        <v>72</v>
      </c>
      <c r="K4328" s="8" t="s">
        <v>20</v>
      </c>
      <c r="L4328" s="8" t="s">
        <v>18289</v>
      </c>
      <c r="M4328" s="8" t="s">
        <v>18290</v>
      </c>
      <c r="N4328" s="8" t="s">
        <v>19619</v>
      </c>
      <c r="O4328" s="8">
        <f>12+23/60+11.8/3600</f>
        <v>12.38661111111111</v>
      </c>
      <c r="P4328" s="8" t="s">
        <v>19620</v>
      </c>
      <c r="Q4328" s="8">
        <f>+(15+45/60+6/3600)</f>
        <v>15.751666666666667</v>
      </c>
      <c r="R4328" s="8">
        <v>99</v>
      </c>
      <c r="S4328" s="8">
        <v>14.8</v>
      </c>
      <c r="T4328" s="8">
        <v>99</v>
      </c>
      <c r="U4328" s="8">
        <v>99</v>
      </c>
      <c r="Y4328" s="8" t="s">
        <v>19621</v>
      </c>
      <c r="Z4328" s="8" t="s">
        <v>19622</v>
      </c>
    </row>
    <row r="4329" spans="1:26" x14ac:dyDescent="0.2">
      <c r="A4329" s="8">
        <v>4328</v>
      </c>
      <c r="B4329" s="8" t="s">
        <v>19623</v>
      </c>
      <c r="C4329" s="8" t="s">
        <v>19623</v>
      </c>
      <c r="F4329" s="47" t="s">
        <v>57309</v>
      </c>
      <c r="G4329" s="8">
        <v>15</v>
      </c>
      <c r="H4329" s="8" t="s">
        <v>21</v>
      </c>
      <c r="I4329" s="8" t="s">
        <v>22</v>
      </c>
      <c r="J4329" s="8" t="s">
        <v>22</v>
      </c>
      <c r="K4329" s="8" t="s">
        <v>58</v>
      </c>
      <c r="L4329" s="8" t="s">
        <v>18289</v>
      </c>
      <c r="M4329" s="8" t="s">
        <v>18290</v>
      </c>
      <c r="N4329" s="8" t="s">
        <v>19624</v>
      </c>
      <c r="O4329" s="8">
        <f>12+23/60+20/3600</f>
        <v>12.388888888888889</v>
      </c>
      <c r="P4329" s="8" t="s">
        <v>19625</v>
      </c>
      <c r="Q4329" s="8">
        <f>+(15+49/60+13/3600)</f>
        <v>15.820277777777777</v>
      </c>
      <c r="R4329" s="8">
        <v>13</v>
      </c>
      <c r="S4329" s="8">
        <v>14</v>
      </c>
      <c r="T4329" s="8">
        <v>1</v>
      </c>
      <c r="U4329" s="8">
        <v>13.1</v>
      </c>
      <c r="V4329" s="8">
        <v>1.3</v>
      </c>
      <c r="W4329" s="8">
        <v>0.9</v>
      </c>
      <c r="X4329" s="8">
        <v>90</v>
      </c>
      <c r="Y4329" s="8" t="s">
        <v>8829</v>
      </c>
      <c r="Z4329" s="8" t="s">
        <v>8830</v>
      </c>
    </row>
    <row r="4330" spans="1:26" x14ac:dyDescent="0.2">
      <c r="A4330" s="8">
        <v>4329</v>
      </c>
      <c r="B4330" s="8" t="s">
        <v>19626</v>
      </c>
      <c r="C4330" s="8" t="s">
        <v>19626</v>
      </c>
      <c r="F4330" s="47"/>
      <c r="G4330" s="8">
        <v>16</v>
      </c>
      <c r="H4330" s="8" t="s">
        <v>21</v>
      </c>
      <c r="I4330" s="8" t="s">
        <v>22</v>
      </c>
      <c r="J4330" s="8" t="s">
        <v>22</v>
      </c>
      <c r="K4330" s="8" t="s">
        <v>1068</v>
      </c>
      <c r="L4330" s="8" t="s">
        <v>15925</v>
      </c>
      <c r="M4330" s="8" t="s">
        <v>15926</v>
      </c>
      <c r="N4330" s="8" t="s">
        <v>19627</v>
      </c>
      <c r="O4330" s="8">
        <f>12+23/60+20.7/3600</f>
        <v>12.389083333333334</v>
      </c>
      <c r="P4330" s="8" t="s">
        <v>19628</v>
      </c>
      <c r="Q4330" s="8">
        <f>-(12+33/60+29/3600)</f>
        <v>-12.558055555555557</v>
      </c>
      <c r="R4330" s="8">
        <v>13.5</v>
      </c>
      <c r="S4330" s="8">
        <v>14.5</v>
      </c>
      <c r="T4330" s="8">
        <v>1</v>
      </c>
      <c r="U4330" s="8">
        <v>13</v>
      </c>
      <c r="V4330" s="8">
        <v>1.1000000000000001</v>
      </c>
      <c r="W4330" s="8">
        <v>0.6</v>
      </c>
      <c r="X4330" s="8">
        <v>50</v>
      </c>
      <c r="Y4330" s="8" t="s">
        <v>4698</v>
      </c>
      <c r="Z4330" s="8" t="s">
        <v>4699</v>
      </c>
    </row>
    <row r="4331" spans="1:26" x14ac:dyDescent="0.2">
      <c r="A4331" s="8">
        <v>4330</v>
      </c>
      <c r="B4331" s="8" t="s">
        <v>19629</v>
      </c>
      <c r="C4331" s="8" t="s">
        <v>19629</v>
      </c>
      <c r="F4331" s="47"/>
      <c r="G4331" s="8">
        <v>18</v>
      </c>
      <c r="H4331" s="8" t="s">
        <v>21</v>
      </c>
      <c r="I4331" s="8" t="s">
        <v>22</v>
      </c>
      <c r="J4331" s="8" t="s">
        <v>22</v>
      </c>
      <c r="K4331" s="8" t="s">
        <v>160</v>
      </c>
      <c r="L4331" s="8" t="s">
        <v>17287</v>
      </c>
      <c r="M4331" s="8" t="s">
        <v>17288</v>
      </c>
      <c r="N4331" s="8" t="s">
        <v>19630</v>
      </c>
      <c r="O4331" s="8">
        <f>12+23/60+17/3600</f>
        <v>12.388055555555555</v>
      </c>
      <c r="P4331" s="8" t="s">
        <v>19631</v>
      </c>
      <c r="Q4331" s="8">
        <f>+(11+22/60+7/3600)</f>
        <v>11.368611111111111</v>
      </c>
      <c r="R4331" s="8">
        <v>12.4</v>
      </c>
      <c r="S4331" s="8">
        <v>13.1</v>
      </c>
      <c r="T4331" s="8">
        <v>0.7</v>
      </c>
      <c r="U4331" s="8">
        <v>13.8</v>
      </c>
      <c r="V4331" s="8">
        <v>4.5</v>
      </c>
      <c r="W4331" s="8">
        <v>0.9</v>
      </c>
      <c r="X4331" s="8">
        <v>59</v>
      </c>
      <c r="Y4331" s="8" t="s">
        <v>19632</v>
      </c>
      <c r="Z4331" s="8" t="s">
        <v>19633</v>
      </c>
    </row>
    <row r="4332" spans="1:26" x14ac:dyDescent="0.2">
      <c r="A4332" s="8">
        <v>4331</v>
      </c>
      <c r="B4332" s="8" t="s">
        <v>19634</v>
      </c>
      <c r="C4332" s="8" t="s">
        <v>19634</v>
      </c>
      <c r="F4332" s="47" t="s">
        <v>57310</v>
      </c>
      <c r="G4332" s="8">
        <v>15</v>
      </c>
      <c r="H4332" s="8" t="s">
        <v>21</v>
      </c>
      <c r="I4332" s="8" t="s">
        <v>22</v>
      </c>
      <c r="J4332" s="8" t="s">
        <v>22</v>
      </c>
      <c r="K4332" s="8" t="s">
        <v>3616</v>
      </c>
      <c r="L4332" s="8" t="s">
        <v>13395</v>
      </c>
      <c r="M4332" s="8" t="s">
        <v>13396</v>
      </c>
      <c r="N4332" s="8" t="s">
        <v>19635</v>
      </c>
      <c r="O4332" s="8">
        <f>12+22/60+35.7/3600</f>
        <v>12.376583333333334</v>
      </c>
      <c r="P4332" s="8" t="s">
        <v>19636</v>
      </c>
      <c r="Q4332" s="8">
        <f>+(76+10/60+7/3600)</f>
        <v>76.168611111111119</v>
      </c>
      <c r="R4332" s="8">
        <v>14</v>
      </c>
      <c r="S4332" s="8">
        <v>14.6</v>
      </c>
      <c r="T4332" s="8">
        <v>0.6</v>
      </c>
      <c r="U4332" s="8">
        <v>13.8</v>
      </c>
      <c r="V4332" s="8">
        <v>2.2000000000000002</v>
      </c>
      <c r="W4332" s="8">
        <v>0.4</v>
      </c>
      <c r="X4332" s="8">
        <v>2</v>
      </c>
      <c r="Y4332" s="8" t="s">
        <v>19637</v>
      </c>
      <c r="Z4332" s="8" t="s">
        <v>19638</v>
      </c>
    </row>
    <row r="4333" spans="1:26" x14ac:dyDescent="0.2">
      <c r="A4333" s="8">
        <v>4332</v>
      </c>
      <c r="B4333" s="8" t="s">
        <v>19639</v>
      </c>
      <c r="C4333" s="8" t="s">
        <v>19639</v>
      </c>
      <c r="F4333" s="47" t="s">
        <v>57311</v>
      </c>
      <c r="G4333" s="8">
        <v>15</v>
      </c>
      <c r="H4333" s="8" t="s">
        <v>21</v>
      </c>
      <c r="I4333" s="8" t="s">
        <v>22</v>
      </c>
      <c r="J4333" s="8" t="s">
        <v>22</v>
      </c>
      <c r="K4333" s="8" t="s">
        <v>154</v>
      </c>
      <c r="L4333" s="8" t="s">
        <v>13395</v>
      </c>
      <c r="M4333" s="8" t="s">
        <v>13396</v>
      </c>
      <c r="N4333" s="8" t="s">
        <v>19640</v>
      </c>
      <c r="O4333" s="8">
        <f>12+22/60+46.7/3600</f>
        <v>12.37963888888889</v>
      </c>
      <c r="P4333" s="8" t="s">
        <v>19641</v>
      </c>
      <c r="Q4333" s="8">
        <f>+(65+50/60+39/3600)</f>
        <v>65.844166666666666</v>
      </c>
      <c r="R4333" s="8">
        <v>12.2</v>
      </c>
      <c r="S4333" s="8">
        <v>13.1</v>
      </c>
      <c r="T4333" s="8">
        <v>0.9</v>
      </c>
      <c r="U4333" s="8">
        <v>13.3</v>
      </c>
      <c r="V4333" s="8">
        <v>2.1</v>
      </c>
      <c r="W4333" s="8">
        <v>1.5</v>
      </c>
      <c r="X4333" s="8">
        <v>130</v>
      </c>
      <c r="Y4333" s="8" t="s">
        <v>19642</v>
      </c>
      <c r="Z4333" s="8" t="s">
        <v>19643</v>
      </c>
    </row>
    <row r="4334" spans="1:26" x14ac:dyDescent="0.2">
      <c r="A4334" s="8">
        <v>4333</v>
      </c>
      <c r="B4334" s="8" t="s">
        <v>19644</v>
      </c>
      <c r="C4334" s="8" t="s">
        <v>19644</v>
      </c>
      <c r="F4334" s="47" t="s">
        <v>57312</v>
      </c>
      <c r="G4334" s="8">
        <v>15</v>
      </c>
      <c r="H4334" s="8" t="s">
        <v>21</v>
      </c>
      <c r="I4334" s="8" t="s">
        <v>22</v>
      </c>
      <c r="J4334" s="8" t="s">
        <v>22</v>
      </c>
      <c r="K4334" s="8" t="s">
        <v>406</v>
      </c>
      <c r="L4334" s="8" t="s">
        <v>17287</v>
      </c>
      <c r="M4334" s="8" t="s">
        <v>17288</v>
      </c>
      <c r="N4334" s="8" t="s">
        <v>19645</v>
      </c>
      <c r="O4334" s="8">
        <f>12+23/60+22.2/3600</f>
        <v>12.3895</v>
      </c>
      <c r="P4334" s="8" t="s">
        <v>19646</v>
      </c>
      <c r="Q4334" s="8">
        <f>+(6+2/60+28/3600)</f>
        <v>6.0411111111111113</v>
      </c>
      <c r="R4334" s="8">
        <v>13.6</v>
      </c>
      <c r="S4334" s="8">
        <v>14.4</v>
      </c>
      <c r="T4334" s="8">
        <v>0.8</v>
      </c>
      <c r="U4334" s="8">
        <v>12.8</v>
      </c>
      <c r="V4334" s="8">
        <v>0.8</v>
      </c>
      <c r="W4334" s="8">
        <v>0.7</v>
      </c>
      <c r="X4334" s="8">
        <v>171</v>
      </c>
      <c r="Y4334" s="8" t="s">
        <v>19647</v>
      </c>
      <c r="Z4334" s="8" t="s">
        <v>19648</v>
      </c>
    </row>
    <row r="4335" spans="1:26" x14ac:dyDescent="0.2">
      <c r="A4335" s="8">
        <v>4334</v>
      </c>
      <c r="B4335" s="8" t="s">
        <v>19649</v>
      </c>
      <c r="C4335" s="8" t="s">
        <v>19649</v>
      </c>
      <c r="F4335" s="47"/>
      <c r="G4335" s="8">
        <v>16</v>
      </c>
      <c r="H4335" s="8" t="s">
        <v>21</v>
      </c>
      <c r="I4335" s="8" t="s">
        <v>22</v>
      </c>
      <c r="J4335" s="8" t="s">
        <v>22</v>
      </c>
      <c r="K4335" s="8" t="s">
        <v>406</v>
      </c>
      <c r="L4335" s="8" t="s">
        <v>17287</v>
      </c>
      <c r="M4335" s="8" t="s">
        <v>17288</v>
      </c>
      <c r="N4335" s="8" t="s">
        <v>19650</v>
      </c>
      <c r="O4335" s="8">
        <f>12+23/60+24.1/3600</f>
        <v>12.390027777777778</v>
      </c>
      <c r="P4335" s="8" t="s">
        <v>19651</v>
      </c>
      <c r="Q4335" s="8">
        <f>+(7+28/60+24/3600)</f>
        <v>7.4733333333333336</v>
      </c>
      <c r="R4335" s="8">
        <v>13</v>
      </c>
      <c r="S4335" s="8">
        <v>13.8</v>
      </c>
      <c r="T4335" s="8">
        <v>0.8</v>
      </c>
      <c r="U4335" s="8">
        <v>13.8</v>
      </c>
      <c r="V4335" s="8">
        <v>2.2000000000000002</v>
      </c>
      <c r="W4335" s="8">
        <v>1.1000000000000001</v>
      </c>
      <c r="X4335" s="8">
        <v>135</v>
      </c>
      <c r="Y4335" s="8" t="s">
        <v>19652</v>
      </c>
      <c r="Z4335" s="8" t="s">
        <v>19653</v>
      </c>
    </row>
    <row r="4336" spans="1:26" x14ac:dyDescent="0.2">
      <c r="A4336" s="8">
        <v>4335</v>
      </c>
      <c r="B4336" s="8" t="s">
        <v>19654</v>
      </c>
      <c r="C4336" s="8" t="s">
        <v>19654</v>
      </c>
      <c r="F4336" s="47" t="s">
        <v>57313</v>
      </c>
      <c r="G4336" s="8">
        <v>15</v>
      </c>
      <c r="H4336" s="8" t="s">
        <v>21</v>
      </c>
      <c r="I4336" s="8" t="s">
        <v>22</v>
      </c>
      <c r="J4336" s="8" t="s">
        <v>22</v>
      </c>
      <c r="K4336" s="8" t="s">
        <v>1136</v>
      </c>
      <c r="L4336" s="8" t="s">
        <v>12015</v>
      </c>
      <c r="M4336" s="8" t="s">
        <v>12016</v>
      </c>
      <c r="N4336" s="8" t="s">
        <v>19655</v>
      </c>
      <c r="O4336" s="8">
        <f>12+23/60+1.9/3600</f>
        <v>12.383861111111111</v>
      </c>
      <c r="P4336" s="8" t="s">
        <v>19656</v>
      </c>
      <c r="Q4336" s="8">
        <f>+(58+26/60+40/3600)</f>
        <v>58.444444444444443</v>
      </c>
      <c r="R4336" s="8">
        <v>12.4</v>
      </c>
      <c r="S4336" s="8">
        <v>13.4</v>
      </c>
      <c r="T4336" s="8">
        <v>1</v>
      </c>
      <c r="U4336" s="8">
        <v>13.6</v>
      </c>
      <c r="V4336" s="8">
        <v>1.9</v>
      </c>
      <c r="W4336" s="8">
        <v>1.5</v>
      </c>
      <c r="X4336" s="8">
        <v>145</v>
      </c>
      <c r="Y4336" s="8" t="s">
        <v>19657</v>
      </c>
      <c r="Z4336" s="8" t="s">
        <v>19658</v>
      </c>
    </row>
    <row r="4337" spans="1:26" x14ac:dyDescent="0.2">
      <c r="A4337" s="8">
        <v>4336</v>
      </c>
      <c r="B4337" s="8" t="s">
        <v>19659</v>
      </c>
      <c r="C4337" s="8" t="s">
        <v>19659</v>
      </c>
      <c r="F4337" s="47" t="s">
        <v>57314</v>
      </c>
      <c r="G4337" s="8">
        <v>6.5</v>
      </c>
      <c r="H4337" s="8" t="s">
        <v>21</v>
      </c>
      <c r="I4337" s="8" t="s">
        <v>22</v>
      </c>
      <c r="J4337" s="8" t="s">
        <v>22</v>
      </c>
      <c r="K4337" s="8" t="s">
        <v>435</v>
      </c>
      <c r="L4337" s="8" t="s">
        <v>18289</v>
      </c>
      <c r="M4337" s="8" t="s">
        <v>18290</v>
      </c>
      <c r="N4337" s="8" t="s">
        <v>19660</v>
      </c>
      <c r="O4337" s="8">
        <f>12+23/60+29.7/3600</f>
        <v>12.391583333333333</v>
      </c>
      <c r="P4337" s="8" t="s">
        <v>19661</v>
      </c>
      <c r="Q4337" s="8">
        <f>+(19+25/60+37/3600)</f>
        <v>19.426944444444445</v>
      </c>
      <c r="R4337" s="8">
        <v>12.5</v>
      </c>
      <c r="S4337" s="8">
        <v>13.4</v>
      </c>
      <c r="T4337" s="8">
        <v>0.9</v>
      </c>
      <c r="U4337" s="8">
        <v>13</v>
      </c>
      <c r="V4337" s="8">
        <v>2</v>
      </c>
      <c r="W4337" s="8">
        <v>0.9</v>
      </c>
      <c r="X4337" s="8">
        <v>162</v>
      </c>
      <c r="Y4337" s="8" t="s">
        <v>19662</v>
      </c>
      <c r="Z4337" s="8" t="s">
        <v>19663</v>
      </c>
    </row>
    <row r="4338" spans="1:26" x14ac:dyDescent="0.2">
      <c r="A4338" s="8">
        <v>4337</v>
      </c>
      <c r="B4338" s="8" t="s">
        <v>19664</v>
      </c>
      <c r="C4338" s="8" t="s">
        <v>19664</v>
      </c>
      <c r="F4338" s="47"/>
      <c r="G4338" s="8">
        <v>8</v>
      </c>
      <c r="H4338" s="8" t="s">
        <v>21</v>
      </c>
      <c r="I4338" s="8" t="s">
        <v>557</v>
      </c>
      <c r="J4338" s="8" t="s">
        <v>557</v>
      </c>
      <c r="K4338" s="8" t="s">
        <v>1840</v>
      </c>
      <c r="L4338" s="8" t="s">
        <v>18453</v>
      </c>
      <c r="M4338" s="8" t="s">
        <v>18454</v>
      </c>
      <c r="N4338" s="8" t="s">
        <v>19665</v>
      </c>
      <c r="O4338" s="8">
        <f>12+24/60+3.2/3600</f>
        <v>12.40088888888889</v>
      </c>
      <c r="P4338" s="8" t="s">
        <v>19666</v>
      </c>
      <c r="Q4338" s="8">
        <f>-(58+7/60+25/3600)</f>
        <v>-58.12361111111111</v>
      </c>
      <c r="R4338" s="8">
        <v>8.9</v>
      </c>
      <c r="S4338" s="8">
        <v>99</v>
      </c>
      <c r="T4338" s="8">
        <v>99</v>
      </c>
      <c r="U4338" s="8">
        <v>99</v>
      </c>
      <c r="V4338" s="8">
        <v>3.5</v>
      </c>
      <c r="Y4338" s="8" t="s">
        <v>19667</v>
      </c>
      <c r="Z4338" s="8" t="s">
        <v>19668</v>
      </c>
    </row>
    <row r="4339" spans="1:26" x14ac:dyDescent="0.2">
      <c r="A4339" s="8">
        <v>4338</v>
      </c>
      <c r="B4339" s="8" t="s">
        <v>19669</v>
      </c>
      <c r="C4339" s="8" t="s">
        <v>19669</v>
      </c>
      <c r="F4339" s="47"/>
      <c r="G4339" s="8">
        <v>18</v>
      </c>
      <c r="H4339" s="8" t="s">
        <v>21</v>
      </c>
      <c r="I4339" s="8" t="s">
        <v>22</v>
      </c>
      <c r="J4339" s="8" t="s">
        <v>57</v>
      </c>
      <c r="K4339" s="8" t="s">
        <v>224</v>
      </c>
      <c r="L4339" s="8" t="s">
        <v>18289</v>
      </c>
      <c r="M4339" s="8" t="s">
        <v>18290</v>
      </c>
      <c r="N4339" s="8" t="s">
        <v>19540</v>
      </c>
      <c r="O4339" s="8">
        <f>12+22/60+26.4/3600</f>
        <v>12.374000000000001</v>
      </c>
      <c r="P4339" s="8" t="s">
        <v>19541</v>
      </c>
      <c r="Q4339" s="8">
        <f>+(29+12/60+29/3600)</f>
        <v>29.208055555555553</v>
      </c>
      <c r="R4339" s="8">
        <v>12.2</v>
      </c>
      <c r="S4339" s="8">
        <v>13.1</v>
      </c>
      <c r="T4339" s="8">
        <v>0.9</v>
      </c>
      <c r="U4339" s="8">
        <v>13.1</v>
      </c>
      <c r="V4339" s="8">
        <v>2</v>
      </c>
      <c r="W4339" s="8">
        <v>1</v>
      </c>
      <c r="X4339" s="8">
        <v>161</v>
      </c>
      <c r="Y4339" s="8" t="s">
        <v>19503</v>
      </c>
      <c r="Z4339" s="8" t="s">
        <v>19670</v>
      </c>
    </row>
    <row r="4340" spans="1:26" x14ac:dyDescent="0.2">
      <c r="A4340" s="8">
        <v>4339</v>
      </c>
      <c r="B4340" s="8" t="s">
        <v>19671</v>
      </c>
      <c r="C4340" s="8" t="s">
        <v>19671</v>
      </c>
      <c r="F4340" s="47" t="s">
        <v>57315</v>
      </c>
      <c r="G4340" s="8">
        <v>6.5</v>
      </c>
      <c r="H4340" s="8" t="s">
        <v>21</v>
      </c>
      <c r="I4340" s="8" t="s">
        <v>22</v>
      </c>
      <c r="J4340" s="8" t="s">
        <v>22</v>
      </c>
      <c r="K4340" s="8" t="s">
        <v>183</v>
      </c>
      <c r="L4340" s="8" t="s">
        <v>17287</v>
      </c>
      <c r="M4340" s="8" t="s">
        <v>17288</v>
      </c>
      <c r="N4340" s="8" t="s">
        <v>19672</v>
      </c>
      <c r="O4340" s="8">
        <f>12+23/60+34.9/3600</f>
        <v>12.393027777777776</v>
      </c>
      <c r="P4340" s="8" t="s">
        <v>19673</v>
      </c>
      <c r="Q4340" s="8">
        <f>+(6+4/60+55/3600)</f>
        <v>6.0819444444444439</v>
      </c>
      <c r="R4340" s="8">
        <v>11.4</v>
      </c>
      <c r="S4340" s="8">
        <v>12.3</v>
      </c>
      <c r="T4340" s="8">
        <v>0.9</v>
      </c>
      <c r="U4340" s="8">
        <v>13.2</v>
      </c>
      <c r="V4340" s="8">
        <v>1.9</v>
      </c>
      <c r="W4340" s="8">
        <v>1.7</v>
      </c>
      <c r="X4340" s="8">
        <v>0</v>
      </c>
      <c r="Y4340" s="8" t="s">
        <v>19674</v>
      </c>
      <c r="Z4340" s="8" t="s">
        <v>19675</v>
      </c>
    </row>
    <row r="4341" spans="1:26" x14ac:dyDescent="0.2">
      <c r="A4341" s="8">
        <v>4340</v>
      </c>
      <c r="B4341" s="8" t="s">
        <v>19676</v>
      </c>
      <c r="C4341" s="8" t="s">
        <v>19676</v>
      </c>
      <c r="F4341" s="47" t="s">
        <v>57316</v>
      </c>
      <c r="G4341" s="8">
        <v>6.5</v>
      </c>
      <c r="H4341" s="8" t="s">
        <v>21</v>
      </c>
      <c r="I4341" s="8" t="s">
        <v>22</v>
      </c>
      <c r="J4341" s="8" t="s">
        <v>22</v>
      </c>
      <c r="K4341" s="8" t="s">
        <v>435</v>
      </c>
      <c r="L4341" s="8" t="s">
        <v>18289</v>
      </c>
      <c r="M4341" s="8" t="s">
        <v>18290</v>
      </c>
      <c r="N4341" s="8" t="s">
        <v>19677</v>
      </c>
      <c r="O4341" s="8">
        <f>12+23/60+35.2/3600</f>
        <v>12.393111111111111</v>
      </c>
      <c r="P4341" s="8" t="s">
        <v>19678</v>
      </c>
      <c r="Q4341" s="8">
        <f>+(16+43/60+22/3600)</f>
        <v>16.722777777777775</v>
      </c>
      <c r="R4341" s="8">
        <v>11.2</v>
      </c>
      <c r="S4341" s="8">
        <v>12.1</v>
      </c>
      <c r="T4341" s="8">
        <v>0.9</v>
      </c>
      <c r="U4341" s="8">
        <v>13.5</v>
      </c>
      <c r="V4341" s="8">
        <v>3</v>
      </c>
      <c r="W4341" s="8">
        <v>2</v>
      </c>
      <c r="X4341" s="8">
        <v>102</v>
      </c>
      <c r="Y4341" s="8" t="s">
        <v>3061</v>
      </c>
      <c r="Z4341" s="8" t="s">
        <v>3062</v>
      </c>
    </row>
    <row r="4342" spans="1:26" x14ac:dyDescent="0.2">
      <c r="A4342" s="8">
        <v>4341</v>
      </c>
      <c r="B4342" s="8" t="s">
        <v>19679</v>
      </c>
      <c r="C4342" s="8" t="s">
        <v>19679</v>
      </c>
      <c r="F4342" s="47" t="s">
        <v>57317</v>
      </c>
      <c r="G4342" s="8">
        <v>15</v>
      </c>
      <c r="H4342" s="8" t="s">
        <v>21</v>
      </c>
      <c r="I4342" s="8" t="s">
        <v>22</v>
      </c>
      <c r="J4342" s="8" t="s">
        <v>22</v>
      </c>
      <c r="K4342" s="8" t="s">
        <v>224</v>
      </c>
      <c r="L4342" s="8" t="s">
        <v>17287</v>
      </c>
      <c r="M4342" s="8" t="s">
        <v>17288</v>
      </c>
      <c r="N4342" s="8" t="s">
        <v>19680</v>
      </c>
      <c r="O4342" s="8">
        <f>12+23/60+53.1/3600</f>
        <v>12.398083333333332</v>
      </c>
      <c r="P4342" s="8" t="s">
        <v>19681</v>
      </c>
      <c r="Q4342" s="8">
        <f>+(7+6/60+25/3600)</f>
        <v>7.1069444444444443</v>
      </c>
      <c r="R4342" s="8">
        <v>13.2</v>
      </c>
      <c r="S4342" s="8">
        <v>14.2</v>
      </c>
      <c r="T4342" s="8">
        <v>1</v>
      </c>
      <c r="U4342" s="8">
        <v>13</v>
      </c>
      <c r="V4342" s="8">
        <v>1.7</v>
      </c>
      <c r="W4342" s="8">
        <v>0.6</v>
      </c>
      <c r="X4342" s="8">
        <v>96</v>
      </c>
      <c r="Y4342" s="8" t="s">
        <v>385</v>
      </c>
      <c r="Z4342" s="8" t="s">
        <v>386</v>
      </c>
    </row>
    <row r="4343" spans="1:26" x14ac:dyDescent="0.2">
      <c r="A4343" s="8">
        <v>4342</v>
      </c>
      <c r="B4343" s="8" t="s">
        <v>19682</v>
      </c>
      <c r="C4343" s="8" t="s">
        <v>19682</v>
      </c>
      <c r="F4343" s="47" t="s">
        <v>57318</v>
      </c>
      <c r="G4343" s="8">
        <v>13</v>
      </c>
      <c r="H4343" s="8" t="s">
        <v>21</v>
      </c>
      <c r="I4343" s="8" t="s">
        <v>22</v>
      </c>
      <c r="J4343" s="8" t="s">
        <v>22</v>
      </c>
      <c r="K4343" s="8" t="s">
        <v>58</v>
      </c>
      <c r="L4343" s="8" t="s">
        <v>17287</v>
      </c>
      <c r="M4343" s="8" t="s">
        <v>17288</v>
      </c>
      <c r="N4343" s="8" t="s">
        <v>19683</v>
      </c>
      <c r="O4343" s="8">
        <f>12+23/60+39.1/3600</f>
        <v>12.394194444444445</v>
      </c>
      <c r="P4343" s="8" t="s">
        <v>19684</v>
      </c>
      <c r="Q4343" s="8">
        <f>+(7+3/60+16/3600)</f>
        <v>7.0544444444444441</v>
      </c>
      <c r="R4343" s="8">
        <v>12.5</v>
      </c>
      <c r="S4343" s="8">
        <v>13.4</v>
      </c>
      <c r="T4343" s="8">
        <v>0.9</v>
      </c>
      <c r="U4343" s="8">
        <v>12.1</v>
      </c>
      <c r="V4343" s="8">
        <v>1.2</v>
      </c>
      <c r="W4343" s="8">
        <v>0.6</v>
      </c>
      <c r="X4343" s="8">
        <v>168</v>
      </c>
      <c r="Y4343" s="8" t="s">
        <v>385</v>
      </c>
      <c r="Z4343" s="8" t="s">
        <v>386</v>
      </c>
    </row>
    <row r="4344" spans="1:26" x14ac:dyDescent="0.2">
      <c r="A4344" s="8">
        <v>4343</v>
      </c>
      <c r="B4344" s="8" t="s">
        <v>19685</v>
      </c>
      <c r="C4344" s="8" t="s">
        <v>19685</v>
      </c>
      <c r="F4344" s="47" t="s">
        <v>57319</v>
      </c>
      <c r="G4344" s="8">
        <v>6.5</v>
      </c>
      <c r="H4344" s="8" t="s">
        <v>21</v>
      </c>
      <c r="I4344" s="8" t="s">
        <v>22</v>
      </c>
      <c r="J4344" s="8" t="s">
        <v>22</v>
      </c>
      <c r="K4344" s="8" t="s">
        <v>23</v>
      </c>
      <c r="L4344" s="8" t="s">
        <v>17287</v>
      </c>
      <c r="M4344" s="8" t="s">
        <v>17288</v>
      </c>
      <c r="N4344" s="8" t="s">
        <v>19686</v>
      </c>
      <c r="O4344" s="8">
        <f>12+23/60+38.7/3600</f>
        <v>12.394083333333333</v>
      </c>
      <c r="P4344" s="8" t="s">
        <v>19687</v>
      </c>
      <c r="Q4344" s="8">
        <f>+(6+57/60+16/3600)</f>
        <v>6.9544444444444444</v>
      </c>
      <c r="R4344" s="8">
        <v>12.1</v>
      </c>
      <c r="S4344" s="8">
        <v>13.1</v>
      </c>
      <c r="T4344" s="8">
        <v>1</v>
      </c>
      <c r="U4344" s="8">
        <v>12.6</v>
      </c>
      <c r="V4344" s="8">
        <v>2.2999999999999998</v>
      </c>
      <c r="W4344" s="8">
        <v>0.7</v>
      </c>
      <c r="X4344" s="8">
        <v>133</v>
      </c>
      <c r="Y4344" s="8" t="s">
        <v>19688</v>
      </c>
      <c r="Z4344" s="8" t="s">
        <v>19689</v>
      </c>
    </row>
    <row r="4345" spans="1:26" x14ac:dyDescent="0.2">
      <c r="A4345" s="8">
        <v>4344</v>
      </c>
      <c r="B4345" s="8" t="s">
        <v>19690</v>
      </c>
      <c r="C4345" s="8" t="s">
        <v>19690</v>
      </c>
      <c r="F4345" s="47" t="s">
        <v>57320</v>
      </c>
      <c r="G4345" s="8">
        <v>15</v>
      </c>
      <c r="H4345" s="8" t="s">
        <v>21</v>
      </c>
      <c r="I4345" s="8" t="s">
        <v>22</v>
      </c>
      <c r="J4345" s="8" t="s">
        <v>22</v>
      </c>
      <c r="K4345" s="8" t="s">
        <v>224</v>
      </c>
      <c r="L4345" s="8" t="s">
        <v>18289</v>
      </c>
      <c r="M4345" s="8" t="s">
        <v>18290</v>
      </c>
      <c r="N4345" s="8" t="s">
        <v>19691</v>
      </c>
      <c r="O4345" s="8">
        <f>12+23/60+37.5/3600</f>
        <v>12.393749999999999</v>
      </c>
      <c r="P4345" s="8" t="s">
        <v>19692</v>
      </c>
      <c r="Q4345" s="8">
        <f>+(17+32/60+30/3600)</f>
        <v>17.541666666666668</v>
      </c>
      <c r="R4345" s="8">
        <v>12.3</v>
      </c>
      <c r="S4345" s="8">
        <v>13.3</v>
      </c>
      <c r="T4345" s="8">
        <v>1</v>
      </c>
      <c r="U4345" s="8">
        <v>13.3</v>
      </c>
      <c r="V4345" s="8">
        <v>1.7</v>
      </c>
      <c r="W4345" s="8">
        <v>1.6</v>
      </c>
      <c r="X4345" s="8">
        <v>90</v>
      </c>
      <c r="Y4345" s="8" t="s">
        <v>19693</v>
      </c>
      <c r="Z4345" s="8" t="s">
        <v>19694</v>
      </c>
    </row>
    <row r="4346" spans="1:26" x14ac:dyDescent="0.2">
      <c r="A4346" s="8">
        <v>4345</v>
      </c>
      <c r="B4346" s="8" t="s">
        <v>19695</v>
      </c>
      <c r="C4346" s="8" t="s">
        <v>19695</v>
      </c>
      <c r="F4346" s="47"/>
      <c r="G4346" s="8">
        <v>19</v>
      </c>
      <c r="H4346" s="8" t="s">
        <v>21</v>
      </c>
      <c r="I4346" s="8" t="s">
        <v>22</v>
      </c>
      <c r="J4346" s="8" t="s">
        <v>57</v>
      </c>
      <c r="K4346" s="8" t="s">
        <v>406</v>
      </c>
      <c r="L4346" s="8" t="s">
        <v>13395</v>
      </c>
      <c r="M4346" s="8" t="s">
        <v>13396</v>
      </c>
      <c r="N4346" s="8" t="s">
        <v>19580</v>
      </c>
      <c r="O4346" s="8">
        <f>12+21/60+43.9/3600</f>
        <v>12.362194444444444</v>
      </c>
      <c r="P4346" s="8" t="s">
        <v>19581</v>
      </c>
      <c r="Q4346" s="8">
        <f>+(75+19/60+21/3600)</f>
        <v>75.322499999999991</v>
      </c>
      <c r="R4346" s="8">
        <v>12</v>
      </c>
      <c r="S4346" s="8">
        <v>12.8</v>
      </c>
      <c r="T4346" s="8">
        <v>0.8</v>
      </c>
      <c r="U4346" s="8">
        <v>13.8</v>
      </c>
      <c r="V4346" s="8">
        <v>2.8</v>
      </c>
      <c r="W4346" s="8">
        <v>2.1</v>
      </c>
      <c r="X4346" s="8">
        <v>160</v>
      </c>
      <c r="Y4346" s="8" t="s">
        <v>19593</v>
      </c>
      <c r="Z4346" s="8" t="s">
        <v>19696</v>
      </c>
    </row>
    <row r="4347" spans="1:26" x14ac:dyDescent="0.2">
      <c r="A4347" s="8">
        <v>4346</v>
      </c>
      <c r="B4347" s="8" t="s">
        <v>19697</v>
      </c>
      <c r="C4347" s="8" t="s">
        <v>19697</v>
      </c>
      <c r="F4347" s="47" t="s">
        <v>57321</v>
      </c>
      <c r="G4347" s="8">
        <v>6</v>
      </c>
      <c r="H4347" s="8" t="s">
        <v>21</v>
      </c>
      <c r="I4347" s="8" t="s">
        <v>22</v>
      </c>
      <c r="J4347" s="8" t="s">
        <v>22</v>
      </c>
      <c r="K4347" s="8" t="s">
        <v>224</v>
      </c>
      <c r="L4347" s="8" t="s">
        <v>18681</v>
      </c>
      <c r="M4347" s="8" t="s">
        <v>18682</v>
      </c>
      <c r="N4347" s="8" t="s">
        <v>19698</v>
      </c>
      <c r="O4347" s="8">
        <f>12+23/60+27.9/3600</f>
        <v>12.391083333333333</v>
      </c>
      <c r="P4347" s="8" t="s">
        <v>19699</v>
      </c>
      <c r="Q4347" s="8">
        <f>+(46+59/60+38/3600)</f>
        <v>46.99388888888889</v>
      </c>
      <c r="R4347" s="8">
        <v>11.2</v>
      </c>
      <c r="S4347" s="8">
        <v>12.3</v>
      </c>
      <c r="T4347" s="8">
        <v>1.1000000000000001</v>
      </c>
      <c r="U4347" s="8">
        <v>12.7</v>
      </c>
      <c r="V4347" s="8">
        <v>3.2</v>
      </c>
      <c r="W4347" s="8">
        <v>1.3</v>
      </c>
      <c r="X4347" s="8">
        <v>99</v>
      </c>
      <c r="Y4347" s="8" t="s">
        <v>21</v>
      </c>
      <c r="Z4347" s="8" t="s">
        <v>19700</v>
      </c>
    </row>
    <row r="4348" spans="1:26" x14ac:dyDescent="0.2">
      <c r="A4348" s="8">
        <v>4347</v>
      </c>
      <c r="B4348" s="8" t="s">
        <v>19701</v>
      </c>
      <c r="C4348" s="8" t="s">
        <v>19701</v>
      </c>
      <c r="F4348" s="47"/>
      <c r="G4348" s="8">
        <v>19</v>
      </c>
      <c r="H4348" s="8" t="s">
        <v>21</v>
      </c>
      <c r="I4348" s="8" t="s">
        <v>72</v>
      </c>
      <c r="J4348" s="8" t="s">
        <v>72</v>
      </c>
      <c r="K4348" s="8" t="s">
        <v>20</v>
      </c>
      <c r="L4348" s="8" t="s">
        <v>17287</v>
      </c>
      <c r="M4348" s="8" t="s">
        <v>17288</v>
      </c>
      <c r="N4348" s="8" t="s">
        <v>19702</v>
      </c>
      <c r="O4348" s="8">
        <f>12+23/60+52.3/3600</f>
        <v>12.39786111111111</v>
      </c>
      <c r="P4348" s="8" t="s">
        <v>19703</v>
      </c>
      <c r="Q4348" s="8">
        <f>-(3+14/60+25/3600)</f>
        <v>-3.240277777777778</v>
      </c>
      <c r="R4348" s="8">
        <v>99</v>
      </c>
      <c r="S4348" s="8">
        <v>99</v>
      </c>
      <c r="T4348" s="8">
        <v>99</v>
      </c>
      <c r="U4348" s="8">
        <v>99</v>
      </c>
      <c r="Y4348" s="8" t="s">
        <v>1695</v>
      </c>
      <c r="Z4348" s="8" t="s">
        <v>1695</v>
      </c>
    </row>
    <row r="4349" spans="1:26" x14ac:dyDescent="0.2">
      <c r="A4349" s="8">
        <v>4348</v>
      </c>
      <c r="B4349" s="8" t="s">
        <v>19704</v>
      </c>
      <c r="C4349" s="8" t="s">
        <v>19704</v>
      </c>
      <c r="F4349" s="47" t="s">
        <v>57322</v>
      </c>
      <c r="G4349" s="8">
        <v>13</v>
      </c>
      <c r="H4349" s="8" t="s">
        <v>21</v>
      </c>
      <c r="I4349" s="8" t="s">
        <v>22</v>
      </c>
      <c r="J4349" s="8" t="s">
        <v>22</v>
      </c>
      <c r="K4349" s="8" t="s">
        <v>396</v>
      </c>
      <c r="L4349" s="8" t="s">
        <v>17287</v>
      </c>
      <c r="M4349" s="8" t="s">
        <v>17288</v>
      </c>
      <c r="N4349" s="8" t="s">
        <v>19705</v>
      </c>
      <c r="O4349" s="8">
        <f>12+23/60+53.9/3600</f>
        <v>12.398305555555556</v>
      </c>
      <c r="P4349" s="8" t="s">
        <v>19706</v>
      </c>
      <c r="Q4349" s="8">
        <f>-(3+26/60+33/3600)</f>
        <v>-3.4425000000000003</v>
      </c>
      <c r="R4349" s="8">
        <v>12.5</v>
      </c>
      <c r="S4349" s="8">
        <v>13.3</v>
      </c>
      <c r="T4349" s="8">
        <v>0.8</v>
      </c>
      <c r="U4349" s="8">
        <v>13.3</v>
      </c>
      <c r="V4349" s="8">
        <v>3.2</v>
      </c>
      <c r="W4349" s="8">
        <v>0.7</v>
      </c>
      <c r="X4349" s="8">
        <v>38</v>
      </c>
      <c r="Y4349" s="8" t="s">
        <v>21</v>
      </c>
      <c r="Z4349" s="8" t="s">
        <v>19707</v>
      </c>
    </row>
    <row r="4350" spans="1:26" x14ac:dyDescent="0.2">
      <c r="A4350" s="8">
        <v>4349</v>
      </c>
      <c r="B4350" s="8" t="s">
        <v>19708</v>
      </c>
      <c r="C4350" s="8" t="s">
        <v>19708</v>
      </c>
      <c r="F4350" s="47"/>
      <c r="G4350" s="8">
        <v>8</v>
      </c>
      <c r="H4350" s="8" t="s">
        <v>21</v>
      </c>
      <c r="I4350" s="8" t="s">
        <v>557</v>
      </c>
      <c r="J4350" s="8" t="s">
        <v>557</v>
      </c>
      <c r="K4350" s="8" t="s">
        <v>11168</v>
      </c>
      <c r="L4350" s="8" t="s">
        <v>18453</v>
      </c>
      <c r="M4350" s="8" t="s">
        <v>18454</v>
      </c>
      <c r="N4350" s="8" t="s">
        <v>19709</v>
      </c>
      <c r="O4350" s="8">
        <f>12+24/60+6/3600</f>
        <v>12.401666666666667</v>
      </c>
      <c r="P4350" s="8" t="s">
        <v>19710</v>
      </c>
      <c r="Q4350" s="8">
        <f>-(61+52/60+13/3600)</f>
        <v>-61.87027777777778</v>
      </c>
      <c r="R4350" s="8">
        <v>7.4</v>
      </c>
      <c r="S4350" s="8">
        <v>99</v>
      </c>
      <c r="T4350" s="8">
        <v>99</v>
      </c>
      <c r="U4350" s="8">
        <v>99</v>
      </c>
      <c r="V4350" s="8">
        <v>4</v>
      </c>
      <c r="Y4350" s="8" t="s">
        <v>19711</v>
      </c>
      <c r="Z4350" s="8" t="s">
        <v>19712</v>
      </c>
    </row>
    <row r="4351" spans="1:26" x14ac:dyDescent="0.2">
      <c r="A4351" s="8">
        <v>4350</v>
      </c>
      <c r="B4351" s="8" t="s">
        <v>19713</v>
      </c>
      <c r="C4351" s="8" t="s">
        <v>19713</v>
      </c>
      <c r="F4351" s="47" t="s">
        <v>57323</v>
      </c>
      <c r="G4351" s="8">
        <v>6</v>
      </c>
      <c r="H4351" s="8" t="s">
        <v>21</v>
      </c>
      <c r="I4351" s="8" t="s">
        <v>22</v>
      </c>
      <c r="J4351" s="8" t="s">
        <v>22</v>
      </c>
      <c r="K4351" s="8" t="s">
        <v>37</v>
      </c>
      <c r="L4351" s="8" t="s">
        <v>18289</v>
      </c>
      <c r="M4351" s="8" t="s">
        <v>18290</v>
      </c>
      <c r="N4351" s="8" t="s">
        <v>19714</v>
      </c>
      <c r="O4351" s="8">
        <f>12+23/60+57.8/3600</f>
        <v>12.399388888888888</v>
      </c>
      <c r="P4351" s="8" t="s">
        <v>19715</v>
      </c>
      <c r="Q4351" s="8">
        <f>+(16+41/60+36/3600)</f>
        <v>16.693333333333335</v>
      </c>
      <c r="R4351" s="8">
        <v>11</v>
      </c>
      <c r="S4351" s="8">
        <v>11.9</v>
      </c>
      <c r="T4351" s="8">
        <v>0.9</v>
      </c>
      <c r="U4351" s="8">
        <v>12.5</v>
      </c>
      <c r="V4351" s="8">
        <v>2.9</v>
      </c>
      <c r="W4351" s="8">
        <v>1.6</v>
      </c>
      <c r="X4351" s="8">
        <v>28</v>
      </c>
      <c r="Y4351" s="8" t="s">
        <v>19716</v>
      </c>
      <c r="Z4351" s="8" t="s">
        <v>19717</v>
      </c>
    </row>
    <row r="4352" spans="1:26" x14ac:dyDescent="0.2">
      <c r="A4352" s="8">
        <v>4351</v>
      </c>
      <c r="B4352" s="8" t="s">
        <v>19718</v>
      </c>
      <c r="C4352" s="8" t="s">
        <v>19718</v>
      </c>
      <c r="F4352" s="47"/>
      <c r="G4352" s="8">
        <v>18</v>
      </c>
      <c r="H4352" s="8" t="s">
        <v>21</v>
      </c>
      <c r="I4352" s="8" t="s">
        <v>22</v>
      </c>
      <c r="J4352" s="8" t="s">
        <v>22</v>
      </c>
      <c r="K4352" s="8" t="s">
        <v>4023</v>
      </c>
      <c r="L4352" s="8" t="s">
        <v>17287</v>
      </c>
      <c r="M4352" s="8" t="s">
        <v>17288</v>
      </c>
      <c r="N4352" s="8" t="s">
        <v>19719</v>
      </c>
      <c r="O4352" s="8">
        <f>12+24/60+1.5/3600</f>
        <v>12.400416666666667</v>
      </c>
      <c r="P4352" s="8" t="s">
        <v>19720</v>
      </c>
      <c r="Q4352" s="8">
        <f>+(12+12/60+17/3600)</f>
        <v>12.204722222222221</v>
      </c>
      <c r="R4352" s="8">
        <v>12.6</v>
      </c>
      <c r="S4352" s="8">
        <v>13</v>
      </c>
      <c r="T4352" s="8">
        <v>0.4</v>
      </c>
      <c r="U4352" s="8">
        <v>13.5</v>
      </c>
      <c r="V4352" s="8">
        <v>2</v>
      </c>
      <c r="W4352" s="8">
        <v>1.4</v>
      </c>
      <c r="X4352" s="8">
        <v>80</v>
      </c>
      <c r="Y4352" s="8" t="s">
        <v>19721</v>
      </c>
      <c r="Z4352" s="8" t="s">
        <v>19722</v>
      </c>
    </row>
    <row r="4353" spans="1:26" x14ac:dyDescent="0.2">
      <c r="A4353" s="8">
        <v>4352</v>
      </c>
      <c r="B4353" s="8" t="s">
        <v>19723</v>
      </c>
      <c r="C4353" s="8" t="s">
        <v>19723</v>
      </c>
      <c r="F4353" s="47" t="s">
        <v>57324</v>
      </c>
      <c r="G4353" s="8">
        <v>15</v>
      </c>
      <c r="H4353" s="8" t="s">
        <v>21</v>
      </c>
      <c r="I4353" s="8" t="s">
        <v>22</v>
      </c>
      <c r="J4353" s="8" t="s">
        <v>22</v>
      </c>
      <c r="K4353" s="8" t="s">
        <v>37</v>
      </c>
      <c r="L4353" s="8" t="s">
        <v>17287</v>
      </c>
      <c r="M4353" s="8" t="s">
        <v>17288</v>
      </c>
      <c r="N4353" s="8" t="s">
        <v>19724</v>
      </c>
      <c r="O4353" s="8">
        <f>12+24/60+4.9/3600</f>
        <v>12.401361111111111</v>
      </c>
      <c r="P4353" s="8" t="s">
        <v>19725</v>
      </c>
      <c r="Q4353" s="8">
        <f>+(11+13/60+4/3600)</f>
        <v>11.217777777777778</v>
      </c>
      <c r="R4353" s="8">
        <v>12.6</v>
      </c>
      <c r="S4353" s="8">
        <v>13.5</v>
      </c>
      <c r="T4353" s="8">
        <v>0.9</v>
      </c>
      <c r="U4353" s="8">
        <v>13.2</v>
      </c>
      <c r="V4353" s="8">
        <v>2</v>
      </c>
      <c r="W4353" s="8">
        <v>1</v>
      </c>
      <c r="X4353" s="8">
        <v>102</v>
      </c>
      <c r="Y4353" s="8" t="s">
        <v>19726</v>
      </c>
      <c r="Z4353" s="8" t="s">
        <v>19727</v>
      </c>
    </row>
    <row r="4354" spans="1:26" x14ac:dyDescent="0.2">
      <c r="A4354" s="8">
        <v>4353</v>
      </c>
      <c r="B4354" s="8" t="s">
        <v>19728</v>
      </c>
      <c r="C4354" s="8" t="s">
        <v>19728</v>
      </c>
      <c r="F4354" s="47"/>
      <c r="G4354" s="8">
        <v>19</v>
      </c>
      <c r="H4354" s="8" t="s">
        <v>21</v>
      </c>
      <c r="I4354" s="8" t="s">
        <v>22</v>
      </c>
      <c r="J4354" s="8" t="s">
        <v>22</v>
      </c>
      <c r="K4354" s="8" t="s">
        <v>107</v>
      </c>
      <c r="L4354" s="8" t="s">
        <v>17287</v>
      </c>
      <c r="M4354" s="8" t="s">
        <v>17288</v>
      </c>
      <c r="N4354" s="8" t="s">
        <v>19729</v>
      </c>
      <c r="O4354" s="8">
        <f>12+24/60+0.2/3600</f>
        <v>12.400055555555555</v>
      </c>
      <c r="P4354" s="8" t="s">
        <v>19730</v>
      </c>
      <c r="Q4354" s="8">
        <f>+(7+47/60+3/3600)</f>
        <v>7.7841666666666667</v>
      </c>
      <c r="R4354" s="8">
        <v>13.6</v>
      </c>
      <c r="S4354" s="8">
        <v>14.4</v>
      </c>
      <c r="T4354" s="8">
        <v>0.8</v>
      </c>
      <c r="U4354" s="8">
        <v>13.2</v>
      </c>
      <c r="V4354" s="8">
        <v>0.9</v>
      </c>
      <c r="W4354" s="8">
        <v>0.6</v>
      </c>
      <c r="X4354" s="8">
        <v>75</v>
      </c>
      <c r="Y4354" s="8" t="s">
        <v>1694</v>
      </c>
      <c r="Z4354" s="8" t="s">
        <v>1695</v>
      </c>
    </row>
    <row r="4355" spans="1:26" x14ac:dyDescent="0.2">
      <c r="A4355" s="8">
        <v>4354</v>
      </c>
      <c r="B4355" s="8" t="s">
        <v>19731</v>
      </c>
      <c r="C4355" s="8" t="s">
        <v>19731</v>
      </c>
      <c r="F4355" s="47"/>
      <c r="G4355" s="8">
        <v>19</v>
      </c>
      <c r="H4355" s="8" t="s">
        <v>21</v>
      </c>
      <c r="I4355" s="8" t="s">
        <v>22</v>
      </c>
      <c r="J4355" s="8" t="s">
        <v>57</v>
      </c>
      <c r="K4355" s="8" t="s">
        <v>4023</v>
      </c>
      <c r="L4355" s="8" t="s">
        <v>17287</v>
      </c>
      <c r="M4355" s="8" t="s">
        <v>17288</v>
      </c>
      <c r="N4355" s="8" t="s">
        <v>19719</v>
      </c>
      <c r="O4355" s="8">
        <f>12+24/60+1.5/3600</f>
        <v>12.400416666666667</v>
      </c>
      <c r="P4355" s="8" t="s">
        <v>19720</v>
      </c>
      <c r="Q4355" s="8">
        <f>+(12+12/60+17/3600)</f>
        <v>12.204722222222221</v>
      </c>
      <c r="R4355" s="8">
        <v>12.6</v>
      </c>
      <c r="S4355" s="8">
        <v>13</v>
      </c>
      <c r="T4355" s="8">
        <v>0.4</v>
      </c>
      <c r="U4355" s="8">
        <v>13.5</v>
      </c>
      <c r="V4355" s="8">
        <v>2</v>
      </c>
      <c r="W4355" s="8">
        <v>1.4</v>
      </c>
      <c r="X4355" s="8">
        <v>80</v>
      </c>
      <c r="Y4355" s="8" t="s">
        <v>19732</v>
      </c>
      <c r="Z4355" s="8" t="s">
        <v>19733</v>
      </c>
    </row>
    <row r="4356" spans="1:26" x14ac:dyDescent="0.2">
      <c r="A4356" s="8">
        <v>4355</v>
      </c>
      <c r="B4356" s="8" t="s">
        <v>19734</v>
      </c>
      <c r="C4356" s="8" t="s">
        <v>19734</v>
      </c>
      <c r="F4356" s="47"/>
      <c r="G4356" s="8">
        <v>19</v>
      </c>
      <c r="H4356" s="8" t="s">
        <v>21</v>
      </c>
      <c r="I4356" s="8" t="s">
        <v>22</v>
      </c>
      <c r="J4356" s="8" t="s">
        <v>57</v>
      </c>
      <c r="K4356" s="8" t="s">
        <v>91</v>
      </c>
      <c r="L4356" s="8" t="s">
        <v>17287</v>
      </c>
      <c r="M4356" s="8" t="s">
        <v>17288</v>
      </c>
      <c r="N4356" s="8" t="s">
        <v>19735</v>
      </c>
      <c r="O4356" s="8">
        <f>12+26/60+54.6/3600</f>
        <v>12.448500000000001</v>
      </c>
      <c r="P4356" s="8" t="s">
        <v>19736</v>
      </c>
      <c r="Q4356" s="8">
        <f>-(0+52/60+40/3600)</f>
        <v>-0.87777777777777777</v>
      </c>
      <c r="R4356" s="8">
        <v>13.2</v>
      </c>
      <c r="S4356" s="8">
        <v>14.1</v>
      </c>
      <c r="T4356" s="8">
        <v>0.9</v>
      </c>
      <c r="U4356" s="8">
        <v>13.1</v>
      </c>
      <c r="V4356" s="8">
        <v>1.5</v>
      </c>
      <c r="W4356" s="8">
        <v>0.7</v>
      </c>
      <c r="X4356" s="8">
        <v>59</v>
      </c>
      <c r="Y4356" s="8" t="s">
        <v>227</v>
      </c>
      <c r="Z4356" s="8" t="s">
        <v>228</v>
      </c>
    </row>
    <row r="4357" spans="1:26" x14ac:dyDescent="0.2">
      <c r="A4357" s="8">
        <v>4356</v>
      </c>
      <c r="B4357" s="8" t="s">
        <v>19737</v>
      </c>
      <c r="C4357" s="8" t="s">
        <v>19737</v>
      </c>
      <c r="F4357" s="47" t="s">
        <v>57325</v>
      </c>
      <c r="G4357" s="8">
        <v>15</v>
      </c>
      <c r="H4357" s="8" t="s">
        <v>21</v>
      </c>
      <c r="I4357" s="8" t="s">
        <v>22</v>
      </c>
      <c r="J4357" s="8" t="s">
        <v>22</v>
      </c>
      <c r="K4357" s="8" t="s">
        <v>160</v>
      </c>
      <c r="L4357" s="8" t="s">
        <v>17287</v>
      </c>
      <c r="M4357" s="8" t="s">
        <v>17288</v>
      </c>
      <c r="N4357" s="8" t="s">
        <v>19738</v>
      </c>
      <c r="O4357" s="8">
        <f>12+24/60+14.6/3600</f>
        <v>12.404055555555557</v>
      </c>
      <c r="P4357" s="8" t="s">
        <v>19739</v>
      </c>
      <c r="Q4357" s="8">
        <f>+(8+32/60+13/3600)</f>
        <v>8.536944444444444</v>
      </c>
      <c r="R4357" s="8">
        <v>13.3</v>
      </c>
      <c r="S4357" s="8">
        <v>14</v>
      </c>
      <c r="T4357" s="8">
        <v>0.7</v>
      </c>
      <c r="U4357" s="8">
        <v>13.5</v>
      </c>
      <c r="V4357" s="8">
        <v>2.8</v>
      </c>
      <c r="W4357" s="8">
        <v>0.5</v>
      </c>
      <c r="X4357" s="8">
        <v>40</v>
      </c>
      <c r="Y4357" s="8" t="s">
        <v>297</v>
      </c>
      <c r="Z4357" s="8" t="s">
        <v>298</v>
      </c>
    </row>
    <row r="4358" spans="1:26" x14ac:dyDescent="0.2">
      <c r="A4358" s="8">
        <v>4357</v>
      </c>
      <c r="B4358" s="8" t="s">
        <v>19740</v>
      </c>
      <c r="C4358" s="8" t="s">
        <v>19740</v>
      </c>
      <c r="F4358" s="47"/>
      <c r="G4358" s="8">
        <v>19</v>
      </c>
      <c r="H4358" s="8" t="s">
        <v>21</v>
      </c>
      <c r="I4358" s="8" t="s">
        <v>22</v>
      </c>
      <c r="J4358" s="8" t="s">
        <v>57</v>
      </c>
      <c r="K4358" s="8" t="s">
        <v>396</v>
      </c>
      <c r="L4358" s="8" t="s">
        <v>18681</v>
      </c>
      <c r="M4358" s="8" t="s">
        <v>18682</v>
      </c>
      <c r="N4358" s="8" t="s">
        <v>19741</v>
      </c>
      <c r="O4358" s="8">
        <f>12+23/60+59.1/3600</f>
        <v>12.399749999999999</v>
      </c>
      <c r="P4358" s="8" t="s">
        <v>19742</v>
      </c>
      <c r="Q4358" s="8">
        <f>+(48+46/60+48/3600)</f>
        <v>48.78</v>
      </c>
      <c r="R4358" s="8">
        <v>12.4</v>
      </c>
      <c r="S4358" s="8">
        <v>13.2</v>
      </c>
      <c r="T4358" s="8">
        <v>0.8</v>
      </c>
      <c r="U4358" s="8">
        <v>14</v>
      </c>
      <c r="V4358" s="8">
        <v>3.7</v>
      </c>
      <c r="W4358" s="8">
        <v>1.3</v>
      </c>
      <c r="X4358" s="8">
        <v>77</v>
      </c>
      <c r="Y4358" s="8" t="s">
        <v>19743</v>
      </c>
      <c r="Z4358" s="8" t="s">
        <v>19744</v>
      </c>
    </row>
    <row r="4359" spans="1:26" x14ac:dyDescent="0.2">
      <c r="A4359" s="8">
        <v>4358</v>
      </c>
      <c r="B4359" s="8" t="s">
        <v>19745</v>
      </c>
      <c r="C4359" s="8" t="s">
        <v>19745</v>
      </c>
      <c r="F4359" s="47" t="s">
        <v>57326</v>
      </c>
      <c r="G4359" s="8">
        <v>15</v>
      </c>
      <c r="H4359" s="8" t="s">
        <v>21</v>
      </c>
      <c r="I4359" s="8" t="s">
        <v>22</v>
      </c>
      <c r="J4359" s="8" t="s">
        <v>22</v>
      </c>
      <c r="K4359" s="8" t="s">
        <v>37</v>
      </c>
      <c r="L4359" s="8" t="s">
        <v>12015</v>
      </c>
      <c r="M4359" s="8" t="s">
        <v>12016</v>
      </c>
      <c r="N4359" s="8" t="s">
        <v>19746</v>
      </c>
      <c r="O4359" s="8">
        <f>12+24/60+2.1/3600</f>
        <v>12.400583333333334</v>
      </c>
      <c r="P4359" s="8" t="s">
        <v>19747</v>
      </c>
      <c r="Q4359" s="8">
        <f>+(58+23/60+7/3600)</f>
        <v>58.38527777777778</v>
      </c>
      <c r="R4359" s="8">
        <v>13.2</v>
      </c>
      <c r="S4359" s="8">
        <v>14.2</v>
      </c>
      <c r="T4359" s="8">
        <v>1</v>
      </c>
      <c r="U4359" s="8">
        <v>12.8</v>
      </c>
      <c r="V4359" s="8">
        <v>1</v>
      </c>
      <c r="W4359" s="8">
        <v>0.8</v>
      </c>
      <c r="X4359" s="8">
        <v>170</v>
      </c>
      <c r="Y4359" s="8" t="s">
        <v>19748</v>
      </c>
      <c r="Z4359" s="8" t="s">
        <v>19727</v>
      </c>
    </row>
    <row r="4360" spans="1:26" x14ac:dyDescent="0.2">
      <c r="A4360" s="8">
        <v>4359</v>
      </c>
      <c r="B4360" s="8" t="s">
        <v>19749</v>
      </c>
      <c r="C4360" s="8" t="s">
        <v>19749</v>
      </c>
      <c r="F4360" s="47" t="s">
        <v>57327</v>
      </c>
      <c r="G4360" s="8">
        <v>6.5</v>
      </c>
      <c r="H4360" s="8" t="s">
        <v>21</v>
      </c>
      <c r="I4360" s="8" t="s">
        <v>22</v>
      </c>
      <c r="J4360" s="8" t="s">
        <v>22</v>
      </c>
      <c r="K4360" s="8" t="s">
        <v>64</v>
      </c>
      <c r="L4360" s="8" t="s">
        <v>18289</v>
      </c>
      <c r="M4360" s="8" t="s">
        <v>18290</v>
      </c>
      <c r="N4360" s="8" t="s">
        <v>19750</v>
      </c>
      <c r="O4360" s="8">
        <f>12+24/60+11.4/3600</f>
        <v>12.403166666666667</v>
      </c>
      <c r="P4360" s="8" t="s">
        <v>19751</v>
      </c>
      <c r="Q4360" s="8">
        <f>+(31+31/60+17/3600)</f>
        <v>31.52138888888889</v>
      </c>
      <c r="R4360" s="8">
        <v>13</v>
      </c>
      <c r="S4360" s="8">
        <v>13.7</v>
      </c>
      <c r="T4360" s="8">
        <v>0.7</v>
      </c>
      <c r="U4360" s="8">
        <v>14</v>
      </c>
      <c r="V4360" s="8">
        <v>3.5</v>
      </c>
      <c r="W4360" s="8">
        <v>0.8</v>
      </c>
      <c r="X4360" s="8">
        <v>108</v>
      </c>
      <c r="Y4360" s="8" t="s">
        <v>19752</v>
      </c>
      <c r="Z4360" s="8" t="s">
        <v>19753</v>
      </c>
    </row>
    <row r="4361" spans="1:26" x14ac:dyDescent="0.2">
      <c r="A4361" s="8">
        <v>4360</v>
      </c>
      <c r="B4361" s="8" t="s">
        <v>19754</v>
      </c>
      <c r="C4361" s="8" t="s">
        <v>19754</v>
      </c>
      <c r="F4361" s="47"/>
      <c r="G4361" s="8">
        <v>19</v>
      </c>
      <c r="H4361" s="8" t="s">
        <v>21</v>
      </c>
      <c r="I4361" s="8" t="s">
        <v>22</v>
      </c>
      <c r="J4361" s="8" t="s">
        <v>22</v>
      </c>
      <c r="K4361" s="8" t="s">
        <v>1136</v>
      </c>
      <c r="L4361" s="8" t="s">
        <v>17287</v>
      </c>
      <c r="M4361" s="8" t="s">
        <v>17288</v>
      </c>
      <c r="N4361" s="8" t="s">
        <v>19755</v>
      </c>
      <c r="O4361" s="8">
        <f>12+24/60+21.8/3600</f>
        <v>12.406055555555556</v>
      </c>
      <c r="P4361" s="8" t="s">
        <v>19756</v>
      </c>
      <c r="Q4361" s="8">
        <f>+(9+17/60+35/3600)</f>
        <v>9.2930555555555561</v>
      </c>
      <c r="R4361" s="8">
        <v>12.3</v>
      </c>
      <c r="S4361" s="8">
        <v>13.3</v>
      </c>
      <c r="T4361" s="8">
        <v>1</v>
      </c>
      <c r="U4361" s="8">
        <v>12.9</v>
      </c>
      <c r="V4361" s="8">
        <v>1.5</v>
      </c>
      <c r="W4361" s="8">
        <v>1.2</v>
      </c>
      <c r="X4361" s="8">
        <v>145</v>
      </c>
      <c r="Y4361" s="8" t="s">
        <v>21</v>
      </c>
      <c r="Z4361" s="8" t="s">
        <v>19757</v>
      </c>
    </row>
    <row r="4362" spans="1:26" x14ac:dyDescent="0.2">
      <c r="A4362" s="8">
        <v>4361</v>
      </c>
      <c r="B4362" s="8" t="s">
        <v>19758</v>
      </c>
      <c r="C4362" s="8" t="s">
        <v>19758</v>
      </c>
      <c r="F4362" s="47" t="s">
        <v>57328</v>
      </c>
      <c r="G4362" s="8">
        <v>5</v>
      </c>
      <c r="H4362" s="8" t="s">
        <v>19759</v>
      </c>
      <c r="I4362" s="8" t="s">
        <v>241</v>
      </c>
      <c r="J4362" s="8" t="s">
        <v>241</v>
      </c>
      <c r="K4362" s="8" t="s">
        <v>241</v>
      </c>
      <c r="L4362" s="8" t="s">
        <v>15925</v>
      </c>
      <c r="M4362" s="8" t="s">
        <v>15926</v>
      </c>
      <c r="N4362" s="8" t="s">
        <v>19760</v>
      </c>
      <c r="O4362" s="8">
        <f>12+24/60+30.8/3600</f>
        <v>12.408555555555555</v>
      </c>
      <c r="P4362" s="8" t="s">
        <v>19761</v>
      </c>
      <c r="Q4362" s="8">
        <f>-(18+47/60+3/3600)</f>
        <v>-18.784166666666668</v>
      </c>
      <c r="R4362" s="8">
        <v>10.9</v>
      </c>
      <c r="S4362" s="8">
        <v>10.3</v>
      </c>
      <c r="T4362" s="8">
        <v>99</v>
      </c>
      <c r="U4362" s="8">
        <v>99</v>
      </c>
      <c r="V4362" s="8">
        <v>2.1</v>
      </c>
      <c r="Y4362" s="8" t="s">
        <v>19762</v>
      </c>
      <c r="Z4362" s="8" t="s">
        <v>19763</v>
      </c>
    </row>
    <row r="4363" spans="1:26" x14ac:dyDescent="0.2">
      <c r="A4363" s="8">
        <v>4362</v>
      </c>
      <c r="B4363" s="8" t="s">
        <v>19764</v>
      </c>
      <c r="C4363" s="8" t="s">
        <v>19764</v>
      </c>
      <c r="F4363" s="47" t="s">
        <v>57329</v>
      </c>
      <c r="G4363" s="8">
        <v>15</v>
      </c>
      <c r="H4363" s="8" t="s">
        <v>21</v>
      </c>
      <c r="I4363" s="8" t="s">
        <v>22</v>
      </c>
      <c r="J4363" s="8" t="s">
        <v>22</v>
      </c>
      <c r="K4363" s="8" t="s">
        <v>476</v>
      </c>
      <c r="L4363" s="8" t="s">
        <v>12015</v>
      </c>
      <c r="M4363" s="8" t="s">
        <v>12016</v>
      </c>
      <c r="N4363" s="8" t="s">
        <v>19765</v>
      </c>
      <c r="O4363" s="8">
        <f>12+24/60+11.3/3600</f>
        <v>12.40313888888889</v>
      </c>
      <c r="P4363" s="8" t="s">
        <v>19766</v>
      </c>
      <c r="Q4363" s="8">
        <f>+(58+21/60+39/3600)</f>
        <v>58.360833333333332</v>
      </c>
      <c r="R4363" s="8">
        <v>13.7</v>
      </c>
      <c r="S4363" s="8">
        <v>14.6</v>
      </c>
      <c r="T4363" s="8">
        <v>0.9</v>
      </c>
      <c r="U4363" s="8">
        <v>13.4</v>
      </c>
      <c r="V4363" s="8">
        <v>1.1000000000000001</v>
      </c>
      <c r="W4363" s="8">
        <v>0.4</v>
      </c>
      <c r="X4363" s="8">
        <v>39</v>
      </c>
      <c r="Y4363" s="8" t="s">
        <v>19721</v>
      </c>
      <c r="Z4363" s="8" t="s">
        <v>19767</v>
      </c>
    </row>
    <row r="4364" spans="1:26" x14ac:dyDescent="0.2">
      <c r="A4364" s="8">
        <v>4363</v>
      </c>
      <c r="B4364" s="8" t="s">
        <v>19768</v>
      </c>
      <c r="C4364" s="8" t="s">
        <v>19768</v>
      </c>
      <c r="F4364" s="47" t="s">
        <v>57330</v>
      </c>
      <c r="G4364" s="8">
        <v>15</v>
      </c>
      <c r="H4364" s="8" t="s">
        <v>21</v>
      </c>
      <c r="I4364" s="8" t="s">
        <v>22</v>
      </c>
      <c r="J4364" s="8" t="s">
        <v>22</v>
      </c>
      <c r="K4364" s="8" t="s">
        <v>23</v>
      </c>
      <c r="L4364" s="8" t="s">
        <v>13395</v>
      </c>
      <c r="M4364" s="8" t="s">
        <v>13396</v>
      </c>
      <c r="N4364" s="8" t="s">
        <v>19769</v>
      </c>
      <c r="O4364" s="8">
        <f>12+23/60+28.6/3600</f>
        <v>12.391277777777777</v>
      </c>
      <c r="P4364" s="8" t="s">
        <v>19770</v>
      </c>
      <c r="Q4364" s="8">
        <f>+(74+57/60+7/3600)</f>
        <v>74.95194444444445</v>
      </c>
      <c r="R4364" s="8">
        <v>13.5</v>
      </c>
      <c r="S4364" s="8">
        <v>14.3</v>
      </c>
      <c r="T4364" s="8">
        <v>0.8</v>
      </c>
      <c r="U4364" s="8">
        <v>14.1</v>
      </c>
      <c r="V4364" s="8">
        <v>1.4</v>
      </c>
      <c r="W4364" s="8">
        <v>1.4</v>
      </c>
      <c r="Y4364" s="8" t="s">
        <v>4306</v>
      </c>
      <c r="Z4364" s="8" t="s">
        <v>4307</v>
      </c>
    </row>
    <row r="4365" spans="1:26" x14ac:dyDescent="0.2">
      <c r="A4365" s="8">
        <v>4364</v>
      </c>
      <c r="B4365" s="8" t="s">
        <v>19771</v>
      </c>
      <c r="C4365" s="8" t="s">
        <v>19771</v>
      </c>
      <c r="F4365" s="47" t="s">
        <v>57331</v>
      </c>
      <c r="G4365" s="8">
        <v>15</v>
      </c>
      <c r="H4365" s="8" t="s">
        <v>21</v>
      </c>
      <c r="I4365" s="8" t="s">
        <v>22</v>
      </c>
      <c r="J4365" s="8" t="s">
        <v>57</v>
      </c>
      <c r="K4365" s="8" t="s">
        <v>37</v>
      </c>
      <c r="L4365" s="8" t="s">
        <v>12015</v>
      </c>
      <c r="M4365" s="8" t="s">
        <v>12016</v>
      </c>
      <c r="N4365" s="8" t="s">
        <v>19746</v>
      </c>
      <c r="O4365" s="8">
        <f>12+24/60+2.1/3600</f>
        <v>12.400583333333334</v>
      </c>
      <c r="P4365" s="8" t="s">
        <v>19747</v>
      </c>
      <c r="Q4365" s="8">
        <f>+(58+23/60+7/3600)</f>
        <v>58.38527777777778</v>
      </c>
      <c r="R4365" s="8">
        <v>13.2</v>
      </c>
      <c r="S4365" s="8">
        <v>14.2</v>
      </c>
      <c r="T4365" s="8">
        <v>1</v>
      </c>
      <c r="U4365" s="8">
        <v>12.8</v>
      </c>
      <c r="V4365" s="8">
        <v>1</v>
      </c>
      <c r="W4365" s="8">
        <v>0.8</v>
      </c>
      <c r="X4365" s="8">
        <v>170</v>
      </c>
      <c r="Y4365" s="8" t="s">
        <v>19772</v>
      </c>
      <c r="Z4365" s="8" t="s">
        <v>19773</v>
      </c>
    </row>
    <row r="4366" spans="1:26" x14ac:dyDescent="0.2">
      <c r="A4366" s="8">
        <v>4365</v>
      </c>
      <c r="B4366" s="8" t="s">
        <v>19774</v>
      </c>
      <c r="C4366" s="8" t="s">
        <v>19774</v>
      </c>
      <c r="F4366" s="47" t="s">
        <v>57332</v>
      </c>
      <c r="G4366" s="8">
        <v>6</v>
      </c>
      <c r="H4366" s="8" t="s">
        <v>21</v>
      </c>
      <c r="I4366" s="8" t="s">
        <v>22</v>
      </c>
      <c r="J4366" s="8" t="s">
        <v>22</v>
      </c>
      <c r="K4366" s="8" t="s">
        <v>382</v>
      </c>
      <c r="L4366" s="8" t="s">
        <v>17287</v>
      </c>
      <c r="M4366" s="8" t="s">
        <v>17288</v>
      </c>
      <c r="N4366" s="8" t="s">
        <v>19775</v>
      </c>
      <c r="O4366" s="8">
        <f>12+24/60+28.2/3600</f>
        <v>12.407833333333334</v>
      </c>
      <c r="P4366" s="8" t="s">
        <v>19776</v>
      </c>
      <c r="Q4366" s="8">
        <f>+(7+19/60+3/3600)</f>
        <v>7.3174999999999999</v>
      </c>
      <c r="R4366" s="8">
        <v>9.6</v>
      </c>
      <c r="S4366" s="8">
        <v>10.5</v>
      </c>
      <c r="T4366" s="8">
        <v>0.9</v>
      </c>
      <c r="U4366" s="8">
        <v>13.4</v>
      </c>
      <c r="V4366" s="8">
        <v>6.9</v>
      </c>
      <c r="W4366" s="8">
        <v>5</v>
      </c>
      <c r="X4366" s="8">
        <v>40</v>
      </c>
      <c r="Y4366" s="8" t="s">
        <v>21</v>
      </c>
      <c r="Z4366" s="8" t="s">
        <v>19777</v>
      </c>
    </row>
    <row r="4367" spans="1:26" x14ac:dyDescent="0.2">
      <c r="A4367" s="8">
        <v>4366</v>
      </c>
      <c r="B4367" s="8" t="s">
        <v>19778</v>
      </c>
      <c r="C4367" s="8" t="s">
        <v>19778</v>
      </c>
      <c r="F4367" s="47" t="s">
        <v>57333</v>
      </c>
      <c r="G4367" s="8">
        <v>15</v>
      </c>
      <c r="H4367" s="8" t="s">
        <v>21</v>
      </c>
      <c r="I4367" s="8" t="s">
        <v>22</v>
      </c>
      <c r="J4367" s="8" t="s">
        <v>22</v>
      </c>
      <c r="K4367" s="8" t="s">
        <v>818</v>
      </c>
      <c r="L4367" s="8" t="s">
        <v>17287</v>
      </c>
      <c r="M4367" s="8" t="s">
        <v>17288</v>
      </c>
      <c r="N4367" s="8" t="s">
        <v>19779</v>
      </c>
      <c r="O4367" s="8">
        <f>12+24/60+47/3600</f>
        <v>12.413055555555555</v>
      </c>
      <c r="P4367" s="8" t="s">
        <v>19780</v>
      </c>
      <c r="Q4367" s="8">
        <f>+(7+21/60+10/3600)</f>
        <v>7.3527777777777779</v>
      </c>
      <c r="R4367" s="8">
        <v>14.3</v>
      </c>
      <c r="S4367" s="8">
        <v>15.3</v>
      </c>
      <c r="T4367" s="8">
        <v>1</v>
      </c>
      <c r="U4367" s="8">
        <v>13.1</v>
      </c>
      <c r="V4367" s="8">
        <v>0.8</v>
      </c>
      <c r="W4367" s="8">
        <v>0.4</v>
      </c>
      <c r="X4367" s="8">
        <v>51</v>
      </c>
      <c r="Y4367" s="8" t="s">
        <v>47</v>
      </c>
      <c r="Z4367" s="8" t="s">
        <v>48</v>
      </c>
    </row>
    <row r="4368" spans="1:26" x14ac:dyDescent="0.2">
      <c r="A4368" s="8">
        <v>4367</v>
      </c>
      <c r="B4368" s="8" t="s">
        <v>19781</v>
      </c>
      <c r="C4368" s="8" t="s">
        <v>19781</v>
      </c>
      <c r="F4368" s="47"/>
      <c r="G4368" s="8">
        <v>18</v>
      </c>
      <c r="H4368" s="8" t="s">
        <v>21</v>
      </c>
      <c r="I4368" s="8" t="s">
        <v>72</v>
      </c>
      <c r="J4368" s="8" t="s">
        <v>72</v>
      </c>
      <c r="K4368" s="8" t="s">
        <v>73</v>
      </c>
      <c r="L4368" s="8" t="s">
        <v>17287</v>
      </c>
      <c r="M4368" s="8" t="s">
        <v>17288</v>
      </c>
      <c r="N4368" s="8" t="s">
        <v>19782</v>
      </c>
      <c r="O4368" s="8">
        <f>12+24/60+35.1/3600</f>
        <v>12.409750000000001</v>
      </c>
      <c r="P4368" s="8" t="s">
        <v>19783</v>
      </c>
      <c r="Q4368" s="8">
        <f>+(12+10/60+58/3600)</f>
        <v>12.182777777777778</v>
      </c>
      <c r="R4368" s="8">
        <v>99</v>
      </c>
      <c r="S4368" s="8">
        <v>99</v>
      </c>
      <c r="T4368" s="8">
        <v>99</v>
      </c>
      <c r="U4368" s="8">
        <v>99</v>
      </c>
      <c r="Y4368" s="8" t="s">
        <v>170</v>
      </c>
      <c r="Z4368" s="8" t="s">
        <v>171</v>
      </c>
    </row>
    <row r="4369" spans="1:26" x14ac:dyDescent="0.2">
      <c r="A4369" s="8">
        <v>4368</v>
      </c>
      <c r="B4369" s="8" t="s">
        <v>19784</v>
      </c>
      <c r="C4369" s="8" t="s">
        <v>19784</v>
      </c>
      <c r="F4369" s="47" t="s">
        <v>57334</v>
      </c>
      <c r="G4369" s="8">
        <v>15</v>
      </c>
      <c r="H4369" s="8" t="s">
        <v>21</v>
      </c>
      <c r="I4369" s="8" t="s">
        <v>22</v>
      </c>
      <c r="J4369" s="8" t="s">
        <v>22</v>
      </c>
      <c r="K4369" s="8" t="s">
        <v>818</v>
      </c>
      <c r="L4369" s="8" t="s">
        <v>17287</v>
      </c>
      <c r="M4369" s="8" t="s">
        <v>17288</v>
      </c>
      <c r="N4369" s="8" t="s">
        <v>19609</v>
      </c>
      <c r="O4369" s="8">
        <f>12+23/60+6.6/3600</f>
        <v>12.385166666666667</v>
      </c>
      <c r="P4369" s="8" t="s">
        <v>19610</v>
      </c>
      <c r="Q4369" s="8">
        <f>+(10+37/60+18/3600)</f>
        <v>10.621666666666668</v>
      </c>
      <c r="R4369" s="8">
        <v>13.3</v>
      </c>
      <c r="S4369" s="8">
        <v>14.3</v>
      </c>
      <c r="T4369" s="8">
        <v>1</v>
      </c>
      <c r="U4369" s="8">
        <v>12.8</v>
      </c>
      <c r="V4369" s="8">
        <v>1</v>
      </c>
      <c r="W4369" s="8">
        <v>0.7</v>
      </c>
      <c r="X4369" s="8">
        <v>5</v>
      </c>
      <c r="Y4369" s="8" t="s">
        <v>282</v>
      </c>
      <c r="Z4369" s="8" t="s">
        <v>283</v>
      </c>
    </row>
    <row r="4370" spans="1:26" x14ac:dyDescent="0.2">
      <c r="A4370" s="8">
        <v>4369</v>
      </c>
      <c r="B4370" s="8" t="s">
        <v>19785</v>
      </c>
      <c r="C4370" s="8" t="s">
        <v>19785</v>
      </c>
      <c r="F4370" s="47" t="s">
        <v>57335</v>
      </c>
      <c r="G4370" s="8">
        <v>6.5</v>
      </c>
      <c r="H4370" s="8" t="s">
        <v>21</v>
      </c>
      <c r="I4370" s="8" t="s">
        <v>22</v>
      </c>
      <c r="J4370" s="8" t="s">
        <v>22</v>
      </c>
      <c r="K4370" s="8" t="s">
        <v>91</v>
      </c>
      <c r="L4370" s="8" t="s">
        <v>18681</v>
      </c>
      <c r="M4370" s="8" t="s">
        <v>18682</v>
      </c>
      <c r="N4370" s="8" t="s">
        <v>19786</v>
      </c>
      <c r="O4370" s="8">
        <f>12+24/60+36.4/3600</f>
        <v>12.410111111111112</v>
      </c>
      <c r="P4370" s="8" t="s">
        <v>19787</v>
      </c>
      <c r="Q4370" s="8">
        <f>+(39+22/60+58/3600)</f>
        <v>39.382777777777775</v>
      </c>
      <c r="R4370" s="8">
        <v>11.7</v>
      </c>
      <c r="S4370" s="8">
        <v>12.3</v>
      </c>
      <c r="T4370" s="8">
        <v>0.6</v>
      </c>
      <c r="U4370" s="8">
        <v>13.1</v>
      </c>
      <c r="V4370" s="8">
        <v>2.1</v>
      </c>
      <c r="W4370" s="8">
        <v>2</v>
      </c>
      <c r="X4370" s="8">
        <v>127</v>
      </c>
      <c r="Y4370" s="8" t="s">
        <v>19788</v>
      </c>
      <c r="Z4370" s="8" t="s">
        <v>19789</v>
      </c>
    </row>
    <row r="4371" spans="1:26" x14ac:dyDescent="0.2">
      <c r="A4371" s="8">
        <v>4370</v>
      </c>
      <c r="B4371" s="8" t="s">
        <v>19790</v>
      </c>
      <c r="C4371" s="8" t="s">
        <v>19790</v>
      </c>
      <c r="F4371" s="47" t="s">
        <v>57336</v>
      </c>
      <c r="G4371" s="8">
        <v>15</v>
      </c>
      <c r="H4371" s="8" t="s">
        <v>21</v>
      </c>
      <c r="I4371" s="8" t="s">
        <v>22</v>
      </c>
      <c r="J4371" s="8" t="s">
        <v>22</v>
      </c>
      <c r="K4371" s="8" t="s">
        <v>91</v>
      </c>
      <c r="L4371" s="8" t="s">
        <v>17287</v>
      </c>
      <c r="M4371" s="8" t="s">
        <v>17288</v>
      </c>
      <c r="N4371" s="8" t="s">
        <v>19791</v>
      </c>
      <c r="O4371" s="8">
        <f>12+24/60+55/3600</f>
        <v>12.415277777777778</v>
      </c>
      <c r="P4371" s="8" t="s">
        <v>19792</v>
      </c>
      <c r="Q4371" s="8">
        <f>+(7+26/60+40/3600)</f>
        <v>7.4444444444444446</v>
      </c>
      <c r="R4371" s="8">
        <v>12.6</v>
      </c>
      <c r="S4371" s="8">
        <v>13.5</v>
      </c>
      <c r="T4371" s="8">
        <v>0.9</v>
      </c>
      <c r="U4371" s="8">
        <v>12.4</v>
      </c>
      <c r="V4371" s="8">
        <v>1.3</v>
      </c>
      <c r="W4371" s="8">
        <v>0.7</v>
      </c>
      <c r="X4371" s="8">
        <v>83</v>
      </c>
      <c r="Y4371" s="8" t="s">
        <v>19793</v>
      </c>
      <c r="Z4371" s="8" t="s">
        <v>19794</v>
      </c>
    </row>
    <row r="4372" spans="1:26" x14ac:dyDescent="0.2">
      <c r="A4372" s="8">
        <v>4371</v>
      </c>
      <c r="B4372" s="8" t="s">
        <v>19795</v>
      </c>
      <c r="C4372" s="8" t="s">
        <v>19795</v>
      </c>
      <c r="F4372" s="47" t="s">
        <v>57337</v>
      </c>
      <c r="G4372" s="8">
        <v>6</v>
      </c>
      <c r="H4372" s="8" t="s">
        <v>21</v>
      </c>
      <c r="I4372" s="8" t="s">
        <v>22</v>
      </c>
      <c r="J4372" s="8" t="s">
        <v>22</v>
      </c>
      <c r="K4372" s="8" t="s">
        <v>435</v>
      </c>
      <c r="L4372" s="8" t="s">
        <v>17287</v>
      </c>
      <c r="M4372" s="8" t="s">
        <v>17288</v>
      </c>
      <c r="N4372" s="8" t="s">
        <v>19796</v>
      </c>
      <c r="O4372" s="8">
        <f>12+24/60+55.4/3600</f>
        <v>12.41538888888889</v>
      </c>
      <c r="P4372" s="8" t="s">
        <v>19797</v>
      </c>
      <c r="Q4372" s="8">
        <f>+(11+42/60+15/3600)</f>
        <v>11.704166666666666</v>
      </c>
      <c r="R4372" s="8">
        <v>10.8</v>
      </c>
      <c r="S4372" s="8">
        <v>11.8</v>
      </c>
      <c r="T4372" s="8">
        <v>1</v>
      </c>
      <c r="U4372" s="8">
        <v>13.1</v>
      </c>
      <c r="V4372" s="8">
        <v>4</v>
      </c>
      <c r="W4372" s="8">
        <v>2.2999999999999998</v>
      </c>
      <c r="X4372" s="8">
        <v>95</v>
      </c>
      <c r="Y4372" s="8" t="s">
        <v>19798</v>
      </c>
      <c r="Z4372" s="8" t="s">
        <v>19799</v>
      </c>
    </row>
    <row r="4373" spans="1:26" x14ac:dyDescent="0.2">
      <c r="A4373" s="8">
        <v>4372</v>
      </c>
      <c r="B4373" s="8" t="s">
        <v>19800</v>
      </c>
      <c r="C4373" s="8" t="s">
        <v>19800</v>
      </c>
      <c r="F4373" s="47"/>
      <c r="G4373" s="8">
        <v>2</v>
      </c>
      <c r="H4373" s="8" t="s">
        <v>21</v>
      </c>
      <c r="I4373" s="8" t="s">
        <v>567</v>
      </c>
      <c r="J4373" s="8" t="s">
        <v>567</v>
      </c>
      <c r="K4373" s="8" t="s">
        <v>19801</v>
      </c>
      <c r="L4373" s="8" t="s">
        <v>18521</v>
      </c>
      <c r="M4373" s="8" t="s">
        <v>18522</v>
      </c>
      <c r="N4373" s="8" t="s">
        <v>19802</v>
      </c>
      <c r="O4373" s="8">
        <f>12+25/60+45.4/3600</f>
        <v>12.429277777777777</v>
      </c>
      <c r="P4373" s="8" t="s">
        <v>19803</v>
      </c>
      <c r="Q4373" s="8">
        <f>-(72+39/60+31/3600)</f>
        <v>-72.658611111111114</v>
      </c>
      <c r="R4373" s="8">
        <v>7.2</v>
      </c>
      <c r="S4373" s="8">
        <v>99</v>
      </c>
      <c r="T4373" s="8">
        <v>99</v>
      </c>
      <c r="U4373" s="8">
        <v>99</v>
      </c>
      <c r="V4373" s="8">
        <v>5</v>
      </c>
      <c r="Y4373" s="8" t="s">
        <v>19804</v>
      </c>
      <c r="Z4373" s="8" t="s">
        <v>19805</v>
      </c>
    </row>
    <row r="4374" spans="1:26" x14ac:dyDescent="0.2">
      <c r="A4374" s="8">
        <v>4373</v>
      </c>
      <c r="B4374" s="8" t="s">
        <v>19806</v>
      </c>
      <c r="C4374" s="8" t="s">
        <v>19806</v>
      </c>
      <c r="F4374" s="47"/>
      <c r="G4374" s="8">
        <v>13</v>
      </c>
      <c r="H4374" s="8" t="s">
        <v>21</v>
      </c>
      <c r="I4374" s="8" t="s">
        <v>22</v>
      </c>
      <c r="J4374" s="8" t="s">
        <v>22</v>
      </c>
      <c r="K4374" s="8" t="s">
        <v>118</v>
      </c>
      <c r="L4374" s="8" t="s">
        <v>16195</v>
      </c>
      <c r="M4374" s="8" t="s">
        <v>16196</v>
      </c>
      <c r="N4374" s="8" t="s">
        <v>19807</v>
      </c>
      <c r="O4374" s="8">
        <f>12+25/60+17.7/3600</f>
        <v>12.421583333333333</v>
      </c>
      <c r="P4374" s="8" t="s">
        <v>19808</v>
      </c>
      <c r="Q4374" s="8">
        <f>-(39+45/60+38/3600)</f>
        <v>-39.760555555555555</v>
      </c>
      <c r="R4374" s="8">
        <v>10.9</v>
      </c>
      <c r="S4374" s="8">
        <v>11.9</v>
      </c>
      <c r="T4374" s="8">
        <v>1</v>
      </c>
      <c r="U4374" s="8">
        <v>13.1</v>
      </c>
      <c r="V4374" s="8">
        <v>3.6</v>
      </c>
      <c r="W4374" s="8">
        <v>2.6</v>
      </c>
      <c r="X4374" s="8">
        <v>43</v>
      </c>
      <c r="Y4374" s="8" t="s">
        <v>19809</v>
      </c>
      <c r="Z4374" s="8" t="s">
        <v>19810</v>
      </c>
    </row>
    <row r="4375" spans="1:26" x14ac:dyDescent="0.2">
      <c r="A4375" s="8">
        <v>4374</v>
      </c>
      <c r="B4375" s="8" t="s">
        <v>19811</v>
      </c>
      <c r="C4375" s="8" t="s">
        <v>55902</v>
      </c>
      <c r="F4375" s="47"/>
      <c r="G4375" s="8">
        <v>1</v>
      </c>
      <c r="H4375" s="8" t="s">
        <v>19812</v>
      </c>
      <c r="I4375" s="8" t="s">
        <v>22</v>
      </c>
      <c r="J4375" s="8" t="s">
        <v>22</v>
      </c>
      <c r="K4375" s="8" t="s">
        <v>183</v>
      </c>
      <c r="L4375" s="8" t="s">
        <v>17287</v>
      </c>
      <c r="M4375" s="8" t="s">
        <v>17288</v>
      </c>
      <c r="N4375" s="8" t="s">
        <v>19813</v>
      </c>
      <c r="O4375" s="8">
        <f>12+25/60+3.6/3600</f>
        <v>12.417666666666666</v>
      </c>
      <c r="P4375" s="8" t="s">
        <v>19814</v>
      </c>
      <c r="Q4375" s="8">
        <f>+(12+53/60+13/3600)</f>
        <v>12.886944444444444</v>
      </c>
      <c r="R4375" s="8">
        <v>9.1</v>
      </c>
      <c r="S4375" s="8">
        <v>10.1</v>
      </c>
      <c r="T4375" s="8">
        <v>1</v>
      </c>
      <c r="U4375" s="8">
        <v>13</v>
      </c>
      <c r="V4375" s="8">
        <v>6.5</v>
      </c>
      <c r="W4375" s="8">
        <v>5.6</v>
      </c>
      <c r="X4375" s="8">
        <v>135</v>
      </c>
      <c r="Y4375" s="8" t="s">
        <v>19721</v>
      </c>
      <c r="Z4375" s="8" t="s">
        <v>19815</v>
      </c>
    </row>
    <row r="4376" spans="1:26" x14ac:dyDescent="0.2">
      <c r="A4376" s="8">
        <v>4375</v>
      </c>
      <c r="B4376" s="8" t="s">
        <v>19816</v>
      </c>
      <c r="C4376" s="8" t="s">
        <v>19816</v>
      </c>
      <c r="F4376" s="47" t="s">
        <v>57338</v>
      </c>
      <c r="G4376" s="8">
        <v>15</v>
      </c>
      <c r="H4376" s="8" t="s">
        <v>21</v>
      </c>
      <c r="I4376" s="8" t="s">
        <v>22</v>
      </c>
      <c r="J4376" s="8" t="s">
        <v>22</v>
      </c>
      <c r="K4376" s="8" t="s">
        <v>4023</v>
      </c>
      <c r="L4376" s="8" t="s">
        <v>18289</v>
      </c>
      <c r="M4376" s="8" t="s">
        <v>18290</v>
      </c>
      <c r="N4376" s="8" t="s">
        <v>19817</v>
      </c>
      <c r="O4376" s="8">
        <f>12+25/60+0.4/3600</f>
        <v>12.416777777777778</v>
      </c>
      <c r="P4376" s="8" t="s">
        <v>19818</v>
      </c>
      <c r="Q4376" s="8">
        <f>+(28+33/60+31/3600)</f>
        <v>28.558611111111112</v>
      </c>
      <c r="R4376" s="8">
        <v>12.8</v>
      </c>
      <c r="S4376" s="8">
        <v>13.6</v>
      </c>
      <c r="T4376" s="8">
        <v>0.8</v>
      </c>
      <c r="U4376" s="8">
        <v>13.2</v>
      </c>
      <c r="V4376" s="8">
        <v>1.4</v>
      </c>
      <c r="W4376" s="8">
        <v>1.2</v>
      </c>
      <c r="X4376" s="8">
        <v>5</v>
      </c>
      <c r="Y4376" s="8" t="s">
        <v>19819</v>
      </c>
      <c r="Z4376" s="8" t="s">
        <v>19820</v>
      </c>
    </row>
    <row r="4377" spans="1:26" x14ac:dyDescent="0.2">
      <c r="A4377" s="8">
        <v>4376</v>
      </c>
      <c r="B4377" s="8" t="s">
        <v>19821</v>
      </c>
      <c r="C4377" s="8" t="s">
        <v>19821</v>
      </c>
      <c r="F4377" s="47" t="s">
        <v>57339</v>
      </c>
      <c r="G4377" s="8">
        <v>15</v>
      </c>
      <c r="H4377" s="8" t="s">
        <v>21</v>
      </c>
      <c r="I4377" s="8" t="s">
        <v>22</v>
      </c>
      <c r="J4377" s="8" t="s">
        <v>22</v>
      </c>
      <c r="K4377" s="8" t="s">
        <v>3616</v>
      </c>
      <c r="L4377" s="8" t="s">
        <v>17287</v>
      </c>
      <c r="M4377" s="8" t="s">
        <v>17288</v>
      </c>
      <c r="N4377" s="8" t="s">
        <v>19822</v>
      </c>
      <c r="O4377" s="8">
        <f>12+25/60+18.1/3600</f>
        <v>12.421694444444444</v>
      </c>
      <c r="P4377" s="8" t="s">
        <v>19823</v>
      </c>
      <c r="Q4377" s="8">
        <f>+(5+44/60+28/3600)</f>
        <v>5.7411111111111115</v>
      </c>
      <c r="R4377" s="8">
        <v>13.1</v>
      </c>
      <c r="S4377" s="8">
        <v>13.7</v>
      </c>
      <c r="T4377" s="8">
        <v>0.6</v>
      </c>
      <c r="U4377" s="8">
        <v>13.2</v>
      </c>
      <c r="V4377" s="8">
        <v>1.4</v>
      </c>
      <c r="W4377" s="8">
        <v>0.9</v>
      </c>
      <c r="X4377" s="8">
        <v>157</v>
      </c>
      <c r="Y4377" s="8" t="s">
        <v>4065</v>
      </c>
      <c r="Z4377" s="8" t="s">
        <v>4066</v>
      </c>
    </row>
    <row r="4378" spans="1:26" x14ac:dyDescent="0.2">
      <c r="A4378" s="8">
        <v>4377</v>
      </c>
      <c r="B4378" s="8" t="s">
        <v>19824</v>
      </c>
      <c r="C4378" s="8" t="s">
        <v>19824</v>
      </c>
      <c r="E4378" s="8">
        <v>1</v>
      </c>
      <c r="F4378" s="47" t="s">
        <v>57340</v>
      </c>
      <c r="G4378" s="8">
        <v>13</v>
      </c>
      <c r="H4378" s="8" t="s">
        <v>21</v>
      </c>
      <c r="I4378" s="8" t="s">
        <v>22</v>
      </c>
      <c r="J4378" s="8" t="s">
        <v>22</v>
      </c>
      <c r="K4378" s="8" t="s">
        <v>58</v>
      </c>
      <c r="L4378" s="8" t="s">
        <v>18289</v>
      </c>
      <c r="M4378" s="8" t="s">
        <v>18290</v>
      </c>
      <c r="N4378" s="8" t="s">
        <v>19825</v>
      </c>
      <c r="O4378" s="8">
        <f>12+25/60+12.4/3600</f>
        <v>12.42011111111111</v>
      </c>
      <c r="P4378" s="8" t="s">
        <v>19826</v>
      </c>
      <c r="Q4378" s="8">
        <f>+(14+45/60+44/3600)</f>
        <v>14.762222222222222</v>
      </c>
      <c r="R4378" s="8">
        <v>11.9</v>
      </c>
      <c r="S4378" s="8">
        <v>12.8</v>
      </c>
      <c r="T4378" s="8">
        <v>0.9</v>
      </c>
      <c r="U4378" s="8">
        <v>12.7</v>
      </c>
      <c r="V4378" s="8">
        <v>1.7</v>
      </c>
      <c r="W4378" s="8">
        <v>1.3</v>
      </c>
      <c r="X4378" s="8">
        <v>177</v>
      </c>
      <c r="Y4378" s="8" t="s">
        <v>19827</v>
      </c>
      <c r="Z4378" s="8" t="s">
        <v>19828</v>
      </c>
    </row>
    <row r="4379" spans="1:26" x14ac:dyDescent="0.2">
      <c r="A4379" s="8">
        <v>4378</v>
      </c>
      <c r="B4379" s="8" t="s">
        <v>19829</v>
      </c>
      <c r="C4379" s="8" t="s">
        <v>19829</v>
      </c>
      <c r="F4379" s="47" t="s">
        <v>57341</v>
      </c>
      <c r="G4379" s="8">
        <v>13</v>
      </c>
      <c r="H4379" s="8" t="s">
        <v>21</v>
      </c>
      <c r="I4379" s="8" t="s">
        <v>22</v>
      </c>
      <c r="J4379" s="8" t="s">
        <v>22</v>
      </c>
      <c r="K4379" s="8" t="s">
        <v>91</v>
      </c>
      <c r="L4379" s="8" t="s">
        <v>17287</v>
      </c>
      <c r="M4379" s="8" t="s">
        <v>17288</v>
      </c>
      <c r="N4379" s="8" t="s">
        <v>19830</v>
      </c>
      <c r="O4379" s="8">
        <f>12+25/60+18/3600</f>
        <v>12.421666666666667</v>
      </c>
      <c r="P4379" s="8" t="s">
        <v>19831</v>
      </c>
      <c r="Q4379" s="8">
        <f>+(4+55/60+31/3600)</f>
        <v>4.9252777777777776</v>
      </c>
      <c r="R4379" s="8">
        <v>11.7</v>
      </c>
      <c r="S4379" s="8">
        <v>12.6</v>
      </c>
      <c r="T4379" s="8">
        <v>0.9</v>
      </c>
      <c r="U4379" s="8">
        <v>13.7</v>
      </c>
      <c r="V4379" s="8">
        <v>2.9</v>
      </c>
      <c r="W4379" s="8">
        <v>2.7</v>
      </c>
      <c r="X4379" s="8">
        <v>167</v>
      </c>
      <c r="Y4379" s="8" t="s">
        <v>21</v>
      </c>
      <c r="Z4379" s="8" t="s">
        <v>19832</v>
      </c>
    </row>
    <row r="4380" spans="1:26" x14ac:dyDescent="0.2">
      <c r="A4380" s="8">
        <v>4379</v>
      </c>
      <c r="B4380" s="8" t="s">
        <v>19833</v>
      </c>
      <c r="C4380" s="8" t="s">
        <v>19833</v>
      </c>
      <c r="F4380" s="47" t="s">
        <v>57342</v>
      </c>
      <c r="G4380" s="8">
        <v>6.5</v>
      </c>
      <c r="H4380" s="8" t="s">
        <v>21</v>
      </c>
      <c r="I4380" s="8" t="s">
        <v>22</v>
      </c>
      <c r="J4380" s="8" t="s">
        <v>22</v>
      </c>
      <c r="K4380" s="8" t="s">
        <v>58</v>
      </c>
      <c r="L4380" s="8" t="s">
        <v>18289</v>
      </c>
      <c r="M4380" s="8" t="s">
        <v>18290</v>
      </c>
      <c r="N4380" s="8" t="s">
        <v>19834</v>
      </c>
      <c r="O4380" s="8">
        <f>12+25/60+14.7/3600</f>
        <v>12.42075</v>
      </c>
      <c r="P4380" s="8" t="s">
        <v>19835</v>
      </c>
      <c r="Q4380" s="8">
        <f>+(15+36/60+28/3600)</f>
        <v>15.607777777777777</v>
      </c>
      <c r="R4380" s="8">
        <v>11.7</v>
      </c>
      <c r="S4380" s="8">
        <v>12.6</v>
      </c>
      <c r="T4380" s="8">
        <v>0.9</v>
      </c>
      <c r="U4380" s="8">
        <v>12.8</v>
      </c>
      <c r="V4380" s="8">
        <v>2</v>
      </c>
      <c r="W4380" s="8">
        <v>1.6</v>
      </c>
      <c r="X4380" s="8">
        <v>105</v>
      </c>
      <c r="Y4380" s="8" t="s">
        <v>19836</v>
      </c>
      <c r="Z4380" s="8" t="s">
        <v>19837</v>
      </c>
    </row>
    <row r="4381" spans="1:26" x14ac:dyDescent="0.2">
      <c r="A4381" s="8">
        <v>4380</v>
      </c>
      <c r="B4381" s="8" t="s">
        <v>19838</v>
      </c>
      <c r="C4381" s="8" t="s">
        <v>19838</v>
      </c>
      <c r="F4381" s="47"/>
      <c r="G4381" s="8">
        <v>13</v>
      </c>
      <c r="H4381" s="8" t="s">
        <v>21</v>
      </c>
      <c r="I4381" s="8" t="s">
        <v>22</v>
      </c>
      <c r="J4381" s="8" t="s">
        <v>22</v>
      </c>
      <c r="K4381" s="8" t="s">
        <v>31</v>
      </c>
      <c r="L4381" s="8" t="s">
        <v>17287</v>
      </c>
      <c r="M4381" s="8" t="s">
        <v>17288</v>
      </c>
      <c r="N4381" s="8" t="s">
        <v>19839</v>
      </c>
      <c r="O4381" s="8">
        <f>12+25/60+22.1/3600</f>
        <v>12.422805555555556</v>
      </c>
      <c r="P4381" s="8" t="s">
        <v>19840</v>
      </c>
      <c r="Q4381" s="8">
        <f>+(10+1/60+0/3600)</f>
        <v>10.016666666666667</v>
      </c>
      <c r="R4381" s="8">
        <v>11.7</v>
      </c>
      <c r="S4381" s="8">
        <v>12.7</v>
      </c>
      <c r="T4381" s="8">
        <v>1</v>
      </c>
      <c r="U4381" s="8">
        <v>13.6</v>
      </c>
      <c r="V4381" s="8">
        <v>3.5</v>
      </c>
      <c r="W4381" s="8">
        <v>1.9</v>
      </c>
      <c r="X4381" s="8">
        <v>153</v>
      </c>
      <c r="Y4381" s="8" t="s">
        <v>19841</v>
      </c>
      <c r="Z4381" s="8" t="s">
        <v>19842</v>
      </c>
    </row>
    <row r="4382" spans="1:26" x14ac:dyDescent="0.2">
      <c r="A4382" s="8">
        <v>4381</v>
      </c>
      <c r="B4382" s="8" t="s">
        <v>19843</v>
      </c>
      <c r="C4382" s="8" t="s">
        <v>19843</v>
      </c>
      <c r="F4382" s="47" t="s">
        <v>57343</v>
      </c>
      <c r="G4382" s="8">
        <v>15</v>
      </c>
      <c r="H4382" s="8" t="s">
        <v>21</v>
      </c>
      <c r="I4382" s="8" t="s">
        <v>22</v>
      </c>
      <c r="J4382" s="8" t="s">
        <v>22</v>
      </c>
      <c r="K4382" s="8" t="s">
        <v>396</v>
      </c>
      <c r="L4382" s="8" t="s">
        <v>18681</v>
      </c>
      <c r="M4382" s="8" t="s">
        <v>18682</v>
      </c>
      <c r="N4382" s="8" t="s">
        <v>19741</v>
      </c>
      <c r="O4382" s="8">
        <f>12+23/60+59.1/3600</f>
        <v>12.399749999999999</v>
      </c>
      <c r="P4382" s="8" t="s">
        <v>19742</v>
      </c>
      <c r="Q4382" s="8">
        <f>+(48+46/60+48/3600)</f>
        <v>48.78</v>
      </c>
      <c r="R4382" s="8">
        <v>12.4</v>
      </c>
      <c r="S4382" s="8">
        <v>13.2</v>
      </c>
      <c r="T4382" s="8">
        <v>0.8</v>
      </c>
      <c r="U4382" s="8">
        <v>14</v>
      </c>
      <c r="V4382" s="8">
        <v>3.7</v>
      </c>
      <c r="W4382" s="8">
        <v>1.3</v>
      </c>
      <c r="X4382" s="8">
        <v>77</v>
      </c>
      <c r="Y4382" s="8" t="s">
        <v>19721</v>
      </c>
      <c r="Z4382" s="8" t="s">
        <v>4066</v>
      </c>
    </row>
    <row r="4383" spans="1:26" x14ac:dyDescent="0.2">
      <c r="A4383" s="8">
        <v>4382</v>
      </c>
      <c r="B4383" s="8" t="s">
        <v>19844</v>
      </c>
      <c r="C4383" s="8" t="s">
        <v>55903</v>
      </c>
      <c r="F4383" s="47"/>
      <c r="G4383" s="8">
        <v>1</v>
      </c>
      <c r="H4383" s="8" t="s">
        <v>21</v>
      </c>
      <c r="I4383" s="8" t="s">
        <v>22</v>
      </c>
      <c r="J4383" s="8" t="s">
        <v>22</v>
      </c>
      <c r="K4383" s="8" t="s">
        <v>632</v>
      </c>
      <c r="L4383" s="8" t="s">
        <v>18289</v>
      </c>
      <c r="M4383" s="8" t="s">
        <v>18290</v>
      </c>
      <c r="N4383" s="8" t="s">
        <v>19845</v>
      </c>
      <c r="O4383" s="8">
        <f>12+25/60+23.9/3600</f>
        <v>12.423305555555554</v>
      </c>
      <c r="P4383" s="8" t="s">
        <v>19846</v>
      </c>
      <c r="Q4383" s="8">
        <f>+(18+11/60+27/3600)</f>
        <v>18.190833333333334</v>
      </c>
      <c r="R4383" s="8">
        <v>9.1</v>
      </c>
      <c r="S4383" s="8">
        <v>10</v>
      </c>
      <c r="T4383" s="8">
        <v>0.9</v>
      </c>
      <c r="U4383" s="8">
        <v>12.9</v>
      </c>
      <c r="V4383" s="8">
        <v>7.1</v>
      </c>
      <c r="W4383" s="8">
        <v>5.5</v>
      </c>
      <c r="X4383" s="8">
        <v>5</v>
      </c>
      <c r="Y4383" s="8" t="s">
        <v>19743</v>
      </c>
      <c r="Z4383" s="8" t="s">
        <v>19847</v>
      </c>
    </row>
    <row r="4384" spans="1:26" x14ac:dyDescent="0.2">
      <c r="A4384" s="8">
        <v>4383</v>
      </c>
      <c r="B4384" s="8" t="s">
        <v>19848</v>
      </c>
      <c r="C4384" s="8" t="s">
        <v>19848</v>
      </c>
      <c r="F4384" s="47"/>
      <c r="G4384" s="8">
        <v>13</v>
      </c>
      <c r="H4384" s="8" t="s">
        <v>21</v>
      </c>
      <c r="I4384" s="8" t="s">
        <v>22</v>
      </c>
      <c r="J4384" s="8" t="s">
        <v>22</v>
      </c>
      <c r="K4384" s="8" t="s">
        <v>91</v>
      </c>
      <c r="L4384" s="8" t="s">
        <v>18289</v>
      </c>
      <c r="M4384" s="8" t="s">
        <v>18290</v>
      </c>
      <c r="N4384" s="8" t="s">
        <v>19849</v>
      </c>
      <c r="O4384" s="8">
        <f>12+25/60+25.5/3600</f>
        <v>12.42375</v>
      </c>
      <c r="P4384" s="8" t="s">
        <v>19850</v>
      </c>
      <c r="Q4384" s="8">
        <f>+(16+28/60+12/3600)</f>
        <v>16.47</v>
      </c>
      <c r="R4384" s="8">
        <v>12.1</v>
      </c>
      <c r="S4384" s="8">
        <v>12.7</v>
      </c>
      <c r="T4384" s="8">
        <v>0.6</v>
      </c>
      <c r="U4384" s="8">
        <v>12.7</v>
      </c>
      <c r="V4384" s="8">
        <v>2</v>
      </c>
      <c r="W4384" s="8">
        <v>1</v>
      </c>
      <c r="X4384" s="8">
        <v>28</v>
      </c>
      <c r="Y4384" s="8" t="s">
        <v>21</v>
      </c>
      <c r="Z4384" s="8" t="s">
        <v>19851</v>
      </c>
    </row>
    <row r="4385" spans="1:26" x14ac:dyDescent="0.2">
      <c r="A4385" s="8">
        <v>4384</v>
      </c>
      <c r="B4385" s="8" t="s">
        <v>19852</v>
      </c>
      <c r="C4385" s="8" t="s">
        <v>19852</v>
      </c>
      <c r="F4385" s="47" t="s">
        <v>57344</v>
      </c>
      <c r="G4385" s="8">
        <v>15</v>
      </c>
      <c r="H4385" s="8" t="s">
        <v>21</v>
      </c>
      <c r="I4385" s="8" t="s">
        <v>22</v>
      </c>
      <c r="J4385" s="8" t="s">
        <v>22</v>
      </c>
      <c r="K4385" s="8" t="s">
        <v>2542</v>
      </c>
      <c r="L4385" s="8" t="s">
        <v>12015</v>
      </c>
      <c r="M4385" s="8" t="s">
        <v>12016</v>
      </c>
      <c r="N4385" s="8" t="s">
        <v>19853</v>
      </c>
      <c r="O4385" s="8">
        <f>12+25/60+11.9/3600</f>
        <v>12.419972222222222</v>
      </c>
      <c r="P4385" s="8" t="s">
        <v>19854</v>
      </c>
      <c r="Q4385" s="8">
        <f>+(54+30/60+22/3600)</f>
        <v>54.50611111111111</v>
      </c>
      <c r="R4385" s="8">
        <v>13</v>
      </c>
      <c r="S4385" s="8">
        <v>13.5</v>
      </c>
      <c r="T4385" s="8">
        <v>0.5</v>
      </c>
      <c r="U4385" s="8">
        <v>13.2</v>
      </c>
      <c r="V4385" s="8">
        <v>1.3</v>
      </c>
      <c r="W4385" s="8">
        <v>1</v>
      </c>
      <c r="X4385" s="8">
        <v>90</v>
      </c>
      <c r="Y4385" s="8" t="s">
        <v>19855</v>
      </c>
      <c r="Z4385" s="8" t="s">
        <v>19856</v>
      </c>
    </row>
    <row r="4386" spans="1:26" x14ac:dyDescent="0.2">
      <c r="A4386" s="8">
        <v>4385</v>
      </c>
      <c r="B4386" s="8" t="s">
        <v>19857</v>
      </c>
      <c r="C4386" s="8" t="s">
        <v>19857</v>
      </c>
      <c r="F4386" s="47"/>
      <c r="G4386" s="8">
        <v>13</v>
      </c>
      <c r="H4386" s="8" t="s">
        <v>21</v>
      </c>
      <c r="I4386" s="8" t="s">
        <v>22</v>
      </c>
      <c r="J4386" s="8" t="s">
        <v>22</v>
      </c>
      <c r="K4386" s="8" t="s">
        <v>435</v>
      </c>
      <c r="L4386" s="8" t="s">
        <v>17287</v>
      </c>
      <c r="M4386" s="8" t="s">
        <v>17288</v>
      </c>
      <c r="N4386" s="8" t="s">
        <v>19858</v>
      </c>
      <c r="O4386" s="8">
        <f>12+25/60+42.6/3600</f>
        <v>12.4285</v>
      </c>
      <c r="P4386" s="8" t="s">
        <v>19859</v>
      </c>
      <c r="Q4386" s="8">
        <f>+(0+34/60+21/3600)</f>
        <v>0.57250000000000001</v>
      </c>
      <c r="R4386" s="8">
        <v>12.5</v>
      </c>
      <c r="S4386" s="8">
        <v>13.2</v>
      </c>
      <c r="T4386" s="8">
        <v>0.7</v>
      </c>
      <c r="U4386" s="8">
        <v>13.6</v>
      </c>
      <c r="V4386" s="8">
        <v>2.1</v>
      </c>
      <c r="W4386" s="8">
        <v>1.3</v>
      </c>
      <c r="X4386" s="8">
        <v>82</v>
      </c>
      <c r="Y4386" s="8" t="s">
        <v>14112</v>
      </c>
      <c r="Z4386" s="8" t="s">
        <v>19860</v>
      </c>
    </row>
    <row r="4387" spans="1:26" x14ac:dyDescent="0.2">
      <c r="A4387" s="8">
        <v>4386</v>
      </c>
      <c r="B4387" s="8" t="s">
        <v>19861</v>
      </c>
      <c r="C4387" s="8" t="s">
        <v>19861</v>
      </c>
      <c r="F4387" s="47" t="s">
        <v>57345</v>
      </c>
      <c r="G4387" s="8">
        <v>13</v>
      </c>
      <c r="H4387" s="8" t="s">
        <v>21</v>
      </c>
      <c r="I4387" s="8" t="s">
        <v>22</v>
      </c>
      <c r="J4387" s="8" t="s">
        <v>22</v>
      </c>
      <c r="K4387" s="8" t="s">
        <v>224</v>
      </c>
      <c r="L4387" s="8" t="s">
        <v>13395</v>
      </c>
      <c r="M4387" s="8" t="s">
        <v>13396</v>
      </c>
      <c r="N4387" s="8" t="s">
        <v>19862</v>
      </c>
      <c r="O4387" s="8">
        <f>12+24/60+27.7/3600</f>
        <v>12.407694444444445</v>
      </c>
      <c r="P4387" s="8" t="s">
        <v>19863</v>
      </c>
      <c r="Q4387" s="8">
        <f>+(75+31/60+46/3600)</f>
        <v>75.529444444444437</v>
      </c>
      <c r="R4387" s="8">
        <v>11.7</v>
      </c>
      <c r="S4387" s="8">
        <v>12.7</v>
      </c>
      <c r="T4387" s="8">
        <v>1</v>
      </c>
      <c r="U4387" s="8">
        <v>12.9</v>
      </c>
      <c r="V4387" s="8">
        <v>2.5</v>
      </c>
      <c r="W4387" s="8">
        <v>1.3</v>
      </c>
      <c r="X4387" s="8">
        <v>135</v>
      </c>
      <c r="Y4387" s="8" t="s">
        <v>19864</v>
      </c>
      <c r="Z4387" s="8" t="s">
        <v>19865</v>
      </c>
    </row>
    <row r="4388" spans="1:26" x14ac:dyDescent="0.2">
      <c r="A4388" s="8">
        <v>4387</v>
      </c>
      <c r="B4388" s="8" t="s">
        <v>19866</v>
      </c>
      <c r="C4388" s="8" t="s">
        <v>19866</v>
      </c>
      <c r="F4388" s="47" t="s">
        <v>57346</v>
      </c>
      <c r="G4388" s="8">
        <v>11</v>
      </c>
      <c r="H4388" s="8" t="s">
        <v>19867</v>
      </c>
      <c r="I4388" s="8" t="s">
        <v>22</v>
      </c>
      <c r="J4388" s="8" t="s">
        <v>22</v>
      </c>
      <c r="K4388" s="8" t="s">
        <v>50</v>
      </c>
      <c r="L4388" s="8" t="s">
        <v>17287</v>
      </c>
      <c r="M4388" s="8" t="s">
        <v>17288</v>
      </c>
      <c r="N4388" s="8" t="s">
        <v>19868</v>
      </c>
      <c r="O4388" s="8">
        <f>12+25/60+41.7/3600</f>
        <v>12.42825</v>
      </c>
      <c r="P4388" s="8" t="s">
        <v>19869</v>
      </c>
      <c r="Q4388" s="8">
        <f>+(12+48/60+37/3600)</f>
        <v>12.810277777777779</v>
      </c>
      <c r="R4388" s="8">
        <v>12.1</v>
      </c>
      <c r="S4388" s="8">
        <v>13</v>
      </c>
      <c r="T4388" s="8">
        <v>0.9</v>
      </c>
      <c r="U4388" s="8">
        <v>12.8</v>
      </c>
      <c r="V4388" s="8">
        <v>1.7</v>
      </c>
      <c r="W4388" s="8">
        <v>1.1000000000000001</v>
      </c>
      <c r="X4388" s="8">
        <v>140</v>
      </c>
      <c r="Y4388" s="8" t="s">
        <v>19870</v>
      </c>
      <c r="Z4388" s="8" t="s">
        <v>19871</v>
      </c>
    </row>
    <row r="4389" spans="1:26" x14ac:dyDescent="0.2">
      <c r="A4389" s="8">
        <v>4388</v>
      </c>
      <c r="B4389" s="8" t="s">
        <v>19872</v>
      </c>
      <c r="C4389" s="8" t="s">
        <v>19872</v>
      </c>
      <c r="F4389" s="47" t="s">
        <v>57347</v>
      </c>
      <c r="G4389" s="8">
        <v>7</v>
      </c>
      <c r="H4389" s="8" t="s">
        <v>21</v>
      </c>
      <c r="I4389" s="8" t="s">
        <v>22</v>
      </c>
      <c r="J4389" s="8" t="s">
        <v>22</v>
      </c>
      <c r="K4389" s="8" t="s">
        <v>23</v>
      </c>
      <c r="L4389" s="8" t="s">
        <v>17287</v>
      </c>
      <c r="M4389" s="8" t="s">
        <v>17288</v>
      </c>
      <c r="N4389" s="8" t="s">
        <v>19873</v>
      </c>
      <c r="O4389" s="8">
        <f>12+25/60+46.9/3600</f>
        <v>12.429694444444443</v>
      </c>
      <c r="P4389" s="8" t="s">
        <v>19874</v>
      </c>
      <c r="Q4389" s="8">
        <f>+(12+39/60+43/3600)</f>
        <v>12.661944444444444</v>
      </c>
      <c r="R4389" s="8">
        <v>11</v>
      </c>
      <c r="S4389" s="8">
        <v>11.8</v>
      </c>
      <c r="T4389" s="8">
        <v>0.8</v>
      </c>
      <c r="U4389" s="8">
        <v>13</v>
      </c>
      <c r="V4389" s="8">
        <v>5.6</v>
      </c>
      <c r="W4389" s="8">
        <v>1.5</v>
      </c>
      <c r="X4389" s="8">
        <v>92</v>
      </c>
      <c r="Y4389" s="8" t="s">
        <v>19875</v>
      </c>
      <c r="Z4389" s="8" t="s">
        <v>19876</v>
      </c>
    </row>
    <row r="4390" spans="1:26" x14ac:dyDescent="0.2">
      <c r="A4390" s="8">
        <v>4389</v>
      </c>
      <c r="B4390" s="8" t="s">
        <v>19877</v>
      </c>
      <c r="C4390" s="8" t="s">
        <v>19877</v>
      </c>
      <c r="F4390" s="47" t="s">
        <v>57348</v>
      </c>
      <c r="G4390" s="8">
        <v>13</v>
      </c>
      <c r="H4390" s="8" t="s">
        <v>21</v>
      </c>
      <c r="I4390" s="8" t="s">
        <v>22</v>
      </c>
      <c r="J4390" s="8" t="s">
        <v>22</v>
      </c>
      <c r="K4390" s="8" t="s">
        <v>3407</v>
      </c>
      <c r="L4390" s="8" t="s">
        <v>18681</v>
      </c>
      <c r="M4390" s="8" t="s">
        <v>18682</v>
      </c>
      <c r="N4390" s="8" t="s">
        <v>19878</v>
      </c>
      <c r="O4390" s="8">
        <f>12+25/60+35/3600</f>
        <v>12.426388888888889</v>
      </c>
      <c r="P4390" s="8" t="s">
        <v>19879</v>
      </c>
      <c r="Q4390" s="8">
        <f>+(45+41/60+6/3600)</f>
        <v>45.684999999999995</v>
      </c>
      <c r="R4390" s="8">
        <v>11.7</v>
      </c>
      <c r="S4390" s="8">
        <v>12.5</v>
      </c>
      <c r="T4390" s="8">
        <v>0.8</v>
      </c>
      <c r="U4390" s="8">
        <v>12.9</v>
      </c>
      <c r="V4390" s="8">
        <v>2.6</v>
      </c>
      <c r="W4390" s="8">
        <v>1.3</v>
      </c>
      <c r="X4390" s="8">
        <v>105</v>
      </c>
      <c r="Y4390" s="8" t="s">
        <v>19880</v>
      </c>
      <c r="Z4390" s="8" t="s">
        <v>19881</v>
      </c>
    </row>
    <row r="4391" spans="1:26" x14ac:dyDescent="0.2">
      <c r="A4391" s="8">
        <v>4390</v>
      </c>
      <c r="B4391" s="8" t="s">
        <v>19882</v>
      </c>
      <c r="C4391" s="8" t="s">
        <v>19882</v>
      </c>
      <c r="F4391" s="47" t="s">
        <v>57349</v>
      </c>
      <c r="G4391" s="8">
        <v>15</v>
      </c>
      <c r="H4391" s="8" t="s">
        <v>21</v>
      </c>
      <c r="I4391" s="8" t="s">
        <v>22</v>
      </c>
      <c r="J4391" s="8" t="s">
        <v>22</v>
      </c>
      <c r="K4391" s="8" t="s">
        <v>85</v>
      </c>
      <c r="L4391" s="8" t="s">
        <v>17287</v>
      </c>
      <c r="M4391" s="8" t="s">
        <v>17288</v>
      </c>
      <c r="N4391" s="8" t="s">
        <v>19883</v>
      </c>
      <c r="O4391" s="8">
        <f>12+25/60+50.5/3600</f>
        <v>12.430694444444445</v>
      </c>
      <c r="P4391" s="8" t="s">
        <v>19884</v>
      </c>
      <c r="Q4391" s="8">
        <f>+(10+27/60+32/3600)</f>
        <v>10.458888888888888</v>
      </c>
      <c r="R4391" s="8">
        <v>12.6</v>
      </c>
      <c r="S4391" s="8">
        <v>13.4</v>
      </c>
      <c r="T4391" s="8">
        <v>0.8</v>
      </c>
      <c r="U4391" s="8">
        <v>13.3</v>
      </c>
      <c r="V4391" s="8">
        <v>1.6</v>
      </c>
      <c r="W4391" s="8">
        <v>1.2</v>
      </c>
      <c r="X4391" s="8">
        <v>95</v>
      </c>
      <c r="Y4391" s="8" t="s">
        <v>19885</v>
      </c>
      <c r="Z4391" s="8" t="s">
        <v>4076</v>
      </c>
    </row>
    <row r="4392" spans="1:26" x14ac:dyDescent="0.2">
      <c r="A4392" s="8">
        <v>4391</v>
      </c>
      <c r="B4392" s="8" t="s">
        <v>19886</v>
      </c>
      <c r="C4392" s="8" t="s">
        <v>19886</v>
      </c>
      <c r="F4392" s="47" t="s">
        <v>57350</v>
      </c>
      <c r="G4392" s="8">
        <v>15</v>
      </c>
      <c r="H4392" s="8" t="s">
        <v>21</v>
      </c>
      <c r="I4392" s="8" t="s">
        <v>22</v>
      </c>
      <c r="J4392" s="8" t="s">
        <v>22</v>
      </c>
      <c r="K4392" s="8" t="s">
        <v>58</v>
      </c>
      <c r="L4392" s="8" t="s">
        <v>13395</v>
      </c>
      <c r="M4392" s="8" t="s">
        <v>13396</v>
      </c>
      <c r="N4392" s="8" t="s">
        <v>19887</v>
      </c>
      <c r="O4392" s="8">
        <f>12+25/60+18.9/3600</f>
        <v>12.421916666666666</v>
      </c>
      <c r="P4392" s="8" t="s">
        <v>19888</v>
      </c>
      <c r="Q4392" s="8">
        <f>+(64+56/60+1/3600)</f>
        <v>64.933611111111119</v>
      </c>
      <c r="R4392" s="8">
        <v>12.7</v>
      </c>
      <c r="S4392" s="8">
        <v>13.7</v>
      </c>
      <c r="T4392" s="8">
        <v>1</v>
      </c>
      <c r="U4392" s="8">
        <v>13</v>
      </c>
      <c r="V4392" s="8">
        <v>1.1000000000000001</v>
      </c>
      <c r="W4392" s="8">
        <v>1.1000000000000001</v>
      </c>
      <c r="Y4392" s="8" t="s">
        <v>21</v>
      </c>
      <c r="Z4392" s="8" t="s">
        <v>19889</v>
      </c>
    </row>
    <row r="4393" spans="1:26" x14ac:dyDescent="0.2">
      <c r="A4393" s="8">
        <v>4392</v>
      </c>
      <c r="B4393" s="8" t="s">
        <v>19890</v>
      </c>
      <c r="C4393" s="8" t="s">
        <v>19890</v>
      </c>
      <c r="F4393" s="47" t="s">
        <v>57351</v>
      </c>
      <c r="G4393" s="8">
        <v>15</v>
      </c>
      <c r="H4393" s="8" t="s">
        <v>21</v>
      </c>
      <c r="I4393" s="8" t="s">
        <v>22</v>
      </c>
      <c r="J4393" s="8" t="s">
        <v>22</v>
      </c>
      <c r="K4393" s="8" t="s">
        <v>424</v>
      </c>
      <c r="L4393" s="8" t="s">
        <v>18681</v>
      </c>
      <c r="M4393" s="8" t="s">
        <v>18682</v>
      </c>
      <c r="N4393" s="8" t="s">
        <v>19891</v>
      </c>
      <c r="O4393" s="8">
        <f>12+25/60+18.7/3600</f>
        <v>12.421861111111111</v>
      </c>
      <c r="P4393" s="8" t="s">
        <v>19892</v>
      </c>
      <c r="Q4393" s="8">
        <f>+(45+50/60+51/3600)</f>
        <v>45.847500000000004</v>
      </c>
      <c r="R4393" s="8">
        <v>13.7</v>
      </c>
      <c r="S4393" s="8">
        <v>14.7</v>
      </c>
      <c r="T4393" s="8">
        <v>1</v>
      </c>
      <c r="U4393" s="8">
        <v>12.6</v>
      </c>
      <c r="V4393" s="8">
        <v>0.7</v>
      </c>
      <c r="W4393" s="8">
        <v>0.6</v>
      </c>
      <c r="X4393" s="8">
        <v>72</v>
      </c>
      <c r="Y4393" s="8" t="s">
        <v>14383</v>
      </c>
      <c r="Z4393" s="8" t="s">
        <v>14384</v>
      </c>
    </row>
    <row r="4394" spans="1:26" x14ac:dyDescent="0.2">
      <c r="A4394" s="8">
        <v>4393</v>
      </c>
      <c r="B4394" s="8" t="s">
        <v>19893</v>
      </c>
      <c r="C4394" s="8" t="s">
        <v>19893</v>
      </c>
      <c r="F4394" s="47" t="s">
        <v>57352</v>
      </c>
      <c r="G4394" s="8">
        <v>15</v>
      </c>
      <c r="H4394" s="8" t="s">
        <v>21</v>
      </c>
      <c r="I4394" s="8" t="s">
        <v>22</v>
      </c>
      <c r="J4394" s="8" t="s">
        <v>22</v>
      </c>
      <c r="K4394" s="8" t="s">
        <v>1277</v>
      </c>
      <c r="L4394" s="8" t="s">
        <v>18289</v>
      </c>
      <c r="M4394" s="8" t="s">
        <v>18290</v>
      </c>
      <c r="N4394" s="8" t="s">
        <v>19894</v>
      </c>
      <c r="O4394" s="8">
        <f>12+25/60+51.3/3600</f>
        <v>12.430916666666667</v>
      </c>
      <c r="P4394" s="8" t="s">
        <v>19895</v>
      </c>
      <c r="Q4394" s="8">
        <f>+(27+33/60+43/3600)</f>
        <v>27.561944444444446</v>
      </c>
      <c r="R4394" s="8">
        <v>12.7</v>
      </c>
      <c r="S4394" s="8">
        <v>13.4</v>
      </c>
      <c r="T4394" s="8">
        <v>0.7</v>
      </c>
      <c r="U4394" s="8">
        <v>15</v>
      </c>
      <c r="V4394" s="8">
        <v>3.2</v>
      </c>
      <c r="W4394" s="8">
        <v>3</v>
      </c>
      <c r="X4394" s="8">
        <v>12</v>
      </c>
      <c r="Y4394" s="8" t="s">
        <v>19896</v>
      </c>
      <c r="Z4394" s="8" t="s">
        <v>19897</v>
      </c>
    </row>
    <row r="4395" spans="1:26" x14ac:dyDescent="0.2">
      <c r="A4395" s="8">
        <v>4394</v>
      </c>
      <c r="B4395" s="8" t="s">
        <v>19898</v>
      </c>
      <c r="C4395" s="8" t="s">
        <v>19898</v>
      </c>
      <c r="F4395" s="47" t="s">
        <v>57353</v>
      </c>
      <c r="G4395" s="8">
        <v>6</v>
      </c>
      <c r="H4395" s="8" t="s">
        <v>21</v>
      </c>
      <c r="I4395" s="8" t="s">
        <v>22</v>
      </c>
      <c r="J4395" s="8" t="s">
        <v>22</v>
      </c>
      <c r="K4395" s="8" t="s">
        <v>218</v>
      </c>
      <c r="L4395" s="8" t="s">
        <v>18289</v>
      </c>
      <c r="M4395" s="8" t="s">
        <v>18290</v>
      </c>
      <c r="N4395" s="8" t="s">
        <v>19899</v>
      </c>
      <c r="O4395" s="8">
        <f>12+25/60+55.6/3600</f>
        <v>12.43211111111111</v>
      </c>
      <c r="P4395" s="8" t="s">
        <v>19900</v>
      </c>
      <c r="Q4395" s="8">
        <f>+(18+12/60+51/3600)</f>
        <v>18.214166666666667</v>
      </c>
      <c r="R4395" s="8">
        <v>10.9</v>
      </c>
      <c r="S4395" s="8">
        <v>11.7</v>
      </c>
      <c r="T4395" s="8">
        <v>0.8</v>
      </c>
      <c r="U4395" s="8">
        <v>13.4</v>
      </c>
      <c r="V4395" s="8">
        <v>3.4</v>
      </c>
      <c r="W4395" s="8">
        <v>3.2</v>
      </c>
      <c r="X4395" s="8">
        <v>141</v>
      </c>
      <c r="Y4395" s="8" t="s">
        <v>19901</v>
      </c>
      <c r="Z4395" s="8" t="s">
        <v>19902</v>
      </c>
    </row>
    <row r="4396" spans="1:26" x14ac:dyDescent="0.2">
      <c r="A4396" s="8">
        <v>4395</v>
      </c>
      <c r="B4396" s="8" t="s">
        <v>19903</v>
      </c>
      <c r="C4396" s="8" t="s">
        <v>19903</v>
      </c>
      <c r="F4396" s="47" t="s">
        <v>57354</v>
      </c>
      <c r="G4396" s="8">
        <v>6.5</v>
      </c>
      <c r="H4396" s="8" t="s">
        <v>21</v>
      </c>
      <c r="I4396" s="8" t="s">
        <v>22</v>
      </c>
      <c r="J4396" s="8" t="s">
        <v>22</v>
      </c>
      <c r="K4396" s="8" t="s">
        <v>323</v>
      </c>
      <c r="L4396" s="8" t="s">
        <v>18681</v>
      </c>
      <c r="M4396" s="8" t="s">
        <v>18682</v>
      </c>
      <c r="N4396" s="8" t="s">
        <v>19904</v>
      </c>
      <c r="O4396" s="8">
        <f>12+25/60+48.8/3600</f>
        <v>12.430222222222222</v>
      </c>
      <c r="P4396" s="8" t="s">
        <v>19905</v>
      </c>
      <c r="Q4396" s="8">
        <f>+(33+32/60+48/3600)</f>
        <v>33.546666666666667</v>
      </c>
      <c r="R4396" s="8">
        <v>10.199999999999999</v>
      </c>
      <c r="S4396" s="8">
        <v>10.6</v>
      </c>
      <c r="T4396" s="8">
        <v>0.4</v>
      </c>
      <c r="U4396" s="8">
        <v>15.4</v>
      </c>
      <c r="V4396" s="8">
        <v>13.2</v>
      </c>
      <c r="W4396" s="8">
        <v>11</v>
      </c>
      <c r="X4396" s="8">
        <v>147</v>
      </c>
      <c r="Y4396" s="8" t="s">
        <v>21</v>
      </c>
      <c r="Z4396" s="8" t="s">
        <v>19906</v>
      </c>
    </row>
    <row r="4397" spans="1:26" x14ac:dyDescent="0.2">
      <c r="A4397" s="8">
        <v>4396</v>
      </c>
      <c r="B4397" s="8" t="s">
        <v>19907</v>
      </c>
      <c r="C4397" s="8" t="s">
        <v>19907</v>
      </c>
      <c r="F4397" s="47"/>
      <c r="G4397" s="8">
        <v>19</v>
      </c>
      <c r="H4397" s="8" t="s">
        <v>21</v>
      </c>
      <c r="I4397" s="8" t="s">
        <v>22</v>
      </c>
      <c r="J4397" s="8" t="s">
        <v>22</v>
      </c>
      <c r="K4397" s="8" t="s">
        <v>579</v>
      </c>
      <c r="L4397" s="8" t="s">
        <v>18289</v>
      </c>
      <c r="M4397" s="8" t="s">
        <v>18290</v>
      </c>
      <c r="N4397" s="8" t="s">
        <v>19908</v>
      </c>
      <c r="O4397" s="8">
        <f>12+25/60+59.2/3600</f>
        <v>12.43311111111111</v>
      </c>
      <c r="P4397" s="8" t="s">
        <v>19909</v>
      </c>
      <c r="Q4397" s="8">
        <f>+(15+40/60+16/3600)</f>
        <v>15.671111111111111</v>
      </c>
      <c r="R4397" s="8">
        <v>12.6</v>
      </c>
      <c r="S4397" s="8">
        <v>13.1</v>
      </c>
      <c r="T4397" s="8">
        <v>0.5</v>
      </c>
      <c r="U4397" s="8">
        <v>13.7</v>
      </c>
      <c r="V4397" s="8">
        <v>3.3</v>
      </c>
      <c r="W4397" s="8">
        <v>1</v>
      </c>
      <c r="X4397" s="8">
        <v>125</v>
      </c>
      <c r="Y4397" s="8" t="s">
        <v>16028</v>
      </c>
      <c r="Z4397" s="8" t="s">
        <v>13248</v>
      </c>
    </row>
    <row r="4398" spans="1:26" x14ac:dyDescent="0.2">
      <c r="A4398" s="8">
        <v>4397</v>
      </c>
      <c r="B4398" s="8" t="s">
        <v>19910</v>
      </c>
      <c r="C4398" s="8" t="s">
        <v>19910</v>
      </c>
      <c r="F4398" s="47"/>
      <c r="G4398" s="8">
        <v>19</v>
      </c>
      <c r="H4398" s="8" t="s">
        <v>21</v>
      </c>
      <c r="I4398" s="8" t="s">
        <v>72</v>
      </c>
      <c r="J4398" s="8" t="s">
        <v>72</v>
      </c>
      <c r="K4398" s="8" t="s">
        <v>1802</v>
      </c>
      <c r="L4398" s="8" t="s">
        <v>18289</v>
      </c>
      <c r="M4398" s="8" t="s">
        <v>18290</v>
      </c>
      <c r="N4398" s="8" t="s">
        <v>19911</v>
      </c>
      <c r="O4398" s="8">
        <f>12+25/60+58.2/3600</f>
        <v>12.432833333333333</v>
      </c>
      <c r="P4398" s="8" t="s">
        <v>19912</v>
      </c>
      <c r="Q4398" s="8">
        <f>+(18+18/60+6/3600)</f>
        <v>18.301666666666666</v>
      </c>
      <c r="R4398" s="8">
        <v>99</v>
      </c>
      <c r="S4398" s="8">
        <v>99</v>
      </c>
      <c r="T4398" s="8">
        <v>99</v>
      </c>
      <c r="U4398" s="8">
        <v>99</v>
      </c>
      <c r="Y4398" s="8" t="s">
        <v>19913</v>
      </c>
      <c r="Z4398" s="8" t="s">
        <v>19914</v>
      </c>
    </row>
    <row r="4399" spans="1:26" x14ac:dyDescent="0.2">
      <c r="A4399" s="8">
        <v>4398</v>
      </c>
      <c r="B4399" s="8" t="s">
        <v>19915</v>
      </c>
      <c r="C4399" s="8" t="s">
        <v>19915</v>
      </c>
      <c r="F4399" s="47"/>
      <c r="G4399" s="8">
        <v>18</v>
      </c>
      <c r="H4399" s="8" t="s">
        <v>21</v>
      </c>
      <c r="I4399" s="8" t="s">
        <v>72</v>
      </c>
      <c r="J4399" s="8" t="s">
        <v>72</v>
      </c>
      <c r="K4399" s="8" t="s">
        <v>20</v>
      </c>
      <c r="L4399" s="8" t="s">
        <v>17287</v>
      </c>
      <c r="M4399" s="8" t="s">
        <v>17288</v>
      </c>
      <c r="N4399" s="8" t="s">
        <v>19916</v>
      </c>
      <c r="O4399" s="8">
        <f>12+26/60+7.4/3600</f>
        <v>12.435388888888889</v>
      </c>
      <c r="P4399" s="8" t="s">
        <v>19917</v>
      </c>
      <c r="Q4399" s="8">
        <f>+(10+41/60+10/3600)</f>
        <v>10.686111111111112</v>
      </c>
      <c r="R4399" s="8">
        <v>99</v>
      </c>
      <c r="S4399" s="8">
        <v>13.8</v>
      </c>
      <c r="T4399" s="8">
        <v>99</v>
      </c>
      <c r="U4399" s="8">
        <v>99</v>
      </c>
      <c r="Y4399" s="8" t="s">
        <v>19918</v>
      </c>
      <c r="Z4399" s="8" t="s">
        <v>19919</v>
      </c>
    </row>
    <row r="4400" spans="1:26" x14ac:dyDescent="0.2">
      <c r="A4400" s="8">
        <v>4399</v>
      </c>
      <c r="B4400" s="8" t="s">
        <v>19920</v>
      </c>
      <c r="C4400" s="8" t="s">
        <v>19920</v>
      </c>
      <c r="F4400" s="47"/>
      <c r="G4400" s="8">
        <v>18</v>
      </c>
      <c r="H4400" s="8" t="s">
        <v>21</v>
      </c>
      <c r="I4400" s="8" t="s">
        <v>1075</v>
      </c>
      <c r="J4400" s="8" t="s">
        <v>1075</v>
      </c>
      <c r="K4400" s="8" t="s">
        <v>1075</v>
      </c>
      <c r="L4400" s="8" t="s">
        <v>18681</v>
      </c>
      <c r="M4400" s="8" t="s">
        <v>18682</v>
      </c>
      <c r="N4400" s="8" t="s">
        <v>19921</v>
      </c>
      <c r="O4400" s="8">
        <f>12+25/60+42.9/3600</f>
        <v>12.428583333333332</v>
      </c>
      <c r="P4400" s="8" t="s">
        <v>19922</v>
      </c>
      <c r="Q4400" s="8">
        <f>+(33+31/60+0/3600)</f>
        <v>33.516666666666666</v>
      </c>
      <c r="R4400" s="8">
        <v>14</v>
      </c>
      <c r="S4400" s="8">
        <v>99</v>
      </c>
      <c r="T4400" s="8">
        <v>99</v>
      </c>
      <c r="U4400" s="8">
        <v>99</v>
      </c>
      <c r="V4400" s="8">
        <v>1</v>
      </c>
      <c r="Y4400" s="8" t="s">
        <v>21</v>
      </c>
      <c r="Z4400" s="8" t="s">
        <v>19923</v>
      </c>
    </row>
    <row r="4401" spans="1:26" x14ac:dyDescent="0.2">
      <c r="A4401" s="8">
        <v>4400</v>
      </c>
      <c r="B4401" s="8" t="s">
        <v>19924</v>
      </c>
      <c r="C4401" s="8" t="s">
        <v>19924</v>
      </c>
      <c r="F4401" s="47"/>
      <c r="G4401" s="8">
        <v>18</v>
      </c>
      <c r="H4401" s="8" t="s">
        <v>21</v>
      </c>
      <c r="I4401" s="8" t="s">
        <v>1075</v>
      </c>
      <c r="J4401" s="8" t="s">
        <v>1075</v>
      </c>
      <c r="K4401" s="8" t="s">
        <v>1075</v>
      </c>
      <c r="L4401" s="8" t="s">
        <v>18681</v>
      </c>
      <c r="M4401" s="8" t="s">
        <v>18682</v>
      </c>
      <c r="N4401" s="8" t="s">
        <v>19925</v>
      </c>
      <c r="O4401" s="8">
        <f>12+25/60+55.9/3600</f>
        <v>12.432194444444443</v>
      </c>
      <c r="P4401" s="8" t="s">
        <v>19926</v>
      </c>
      <c r="Q4401" s="8">
        <f>+(33+30/60+57/3600)</f>
        <v>33.515833333333333</v>
      </c>
      <c r="R4401" s="8">
        <v>14.5</v>
      </c>
      <c r="S4401" s="8">
        <v>99</v>
      </c>
      <c r="T4401" s="8">
        <v>99</v>
      </c>
      <c r="U4401" s="8">
        <v>99</v>
      </c>
      <c r="V4401" s="8">
        <v>0.3</v>
      </c>
      <c r="Y4401" s="8" t="s">
        <v>21</v>
      </c>
      <c r="Z4401" s="8" t="s">
        <v>19923</v>
      </c>
    </row>
    <row r="4402" spans="1:26" x14ac:dyDescent="0.2">
      <c r="A4402" s="8">
        <v>4401</v>
      </c>
      <c r="B4402" s="8" t="s">
        <v>19927</v>
      </c>
      <c r="C4402" s="8" t="s">
        <v>19927</v>
      </c>
      <c r="F4402" s="47" t="s">
        <v>57355</v>
      </c>
      <c r="G4402" s="8">
        <v>18</v>
      </c>
      <c r="H4402" s="8" t="s">
        <v>21</v>
      </c>
      <c r="I4402" s="8" t="s">
        <v>1075</v>
      </c>
      <c r="J4402" s="8" t="s">
        <v>1075</v>
      </c>
      <c r="K4402" s="8" t="s">
        <v>1075</v>
      </c>
      <c r="L4402" s="8" t="s">
        <v>18681</v>
      </c>
      <c r="M4402" s="8" t="s">
        <v>18682</v>
      </c>
      <c r="N4402" s="8" t="s">
        <v>19928</v>
      </c>
      <c r="O4402" s="8">
        <f>12+25/60+57.9/3600</f>
        <v>12.432749999999999</v>
      </c>
      <c r="P4402" s="8" t="s">
        <v>10608</v>
      </c>
      <c r="Q4402" s="8">
        <f>+(33+31/60+38/3600)</f>
        <v>33.527222222222221</v>
      </c>
      <c r="R4402" s="8">
        <v>14</v>
      </c>
      <c r="S4402" s="8">
        <v>99</v>
      </c>
      <c r="T4402" s="8">
        <v>99</v>
      </c>
      <c r="U4402" s="8">
        <v>99</v>
      </c>
      <c r="V4402" s="8">
        <v>0.6</v>
      </c>
      <c r="Y4402" s="8" t="s">
        <v>21</v>
      </c>
      <c r="Z4402" s="8" t="s">
        <v>19929</v>
      </c>
    </row>
    <row r="4403" spans="1:26" x14ac:dyDescent="0.2">
      <c r="A4403" s="8">
        <v>4402</v>
      </c>
      <c r="B4403" s="8" t="s">
        <v>19930</v>
      </c>
      <c r="C4403" s="8" t="s">
        <v>19930</v>
      </c>
      <c r="F4403" s="47"/>
      <c r="G4403" s="8">
        <v>11</v>
      </c>
      <c r="H4403" s="8" t="s">
        <v>21</v>
      </c>
      <c r="I4403" s="8" t="s">
        <v>22</v>
      </c>
      <c r="J4403" s="8" t="s">
        <v>22</v>
      </c>
      <c r="K4403" s="8" t="s">
        <v>23</v>
      </c>
      <c r="L4403" s="8" t="s">
        <v>17287</v>
      </c>
      <c r="M4403" s="8" t="s">
        <v>17288</v>
      </c>
      <c r="N4403" s="8" t="s">
        <v>19931</v>
      </c>
      <c r="O4403" s="8">
        <f>12+26/60+7.8/3600</f>
        <v>12.435500000000001</v>
      </c>
      <c r="P4403" s="8" t="s">
        <v>19932</v>
      </c>
      <c r="Q4403" s="8">
        <f>+(13+6/60+47/3600)</f>
        <v>13.113055555555555</v>
      </c>
      <c r="R4403" s="8">
        <v>11.8</v>
      </c>
      <c r="S4403" s="8">
        <v>12.6</v>
      </c>
      <c r="T4403" s="8">
        <v>0.8</v>
      </c>
      <c r="U4403" s="8">
        <v>13.2</v>
      </c>
      <c r="V4403" s="8">
        <v>3.9</v>
      </c>
      <c r="W4403" s="8">
        <v>1.1000000000000001</v>
      </c>
      <c r="X4403" s="8">
        <v>90</v>
      </c>
      <c r="Y4403" s="8" t="s">
        <v>21</v>
      </c>
      <c r="Z4403" s="8" t="s">
        <v>19933</v>
      </c>
    </row>
    <row r="4404" spans="1:26" x14ac:dyDescent="0.2">
      <c r="A4404" s="8">
        <v>4403</v>
      </c>
      <c r="B4404" s="8" t="s">
        <v>19934</v>
      </c>
      <c r="C4404" s="8" t="s">
        <v>19934</v>
      </c>
      <c r="F4404" s="47" t="s">
        <v>57356</v>
      </c>
      <c r="G4404" s="8">
        <v>15</v>
      </c>
      <c r="H4404" s="8" t="s">
        <v>21</v>
      </c>
      <c r="I4404" s="8" t="s">
        <v>22</v>
      </c>
      <c r="J4404" s="8" t="s">
        <v>22</v>
      </c>
      <c r="K4404" s="8" t="s">
        <v>31</v>
      </c>
      <c r="L4404" s="8" t="s">
        <v>17287</v>
      </c>
      <c r="M4404" s="8" t="s">
        <v>17288</v>
      </c>
      <c r="N4404" s="8" t="s">
        <v>19935</v>
      </c>
      <c r="O4404" s="8">
        <f>12+26/60+12.8/3600</f>
        <v>12.436888888888889</v>
      </c>
      <c r="P4404" s="8" t="s">
        <v>19936</v>
      </c>
      <c r="Q4404" s="8">
        <f>-(7+41/60+5/3600)</f>
        <v>-7.6847222222222227</v>
      </c>
      <c r="R4404" s="8">
        <v>12.8</v>
      </c>
      <c r="S4404" s="8">
        <v>13.6</v>
      </c>
      <c r="T4404" s="8">
        <v>0.8</v>
      </c>
      <c r="U4404" s="8">
        <v>12.4</v>
      </c>
      <c r="V4404" s="8">
        <v>1.6</v>
      </c>
      <c r="W4404" s="8">
        <v>0.5</v>
      </c>
      <c r="X4404" s="8">
        <v>27</v>
      </c>
      <c r="Y4404" s="8" t="s">
        <v>19937</v>
      </c>
      <c r="Z4404" s="8" t="s">
        <v>19938</v>
      </c>
    </row>
    <row r="4405" spans="1:26" x14ac:dyDescent="0.2">
      <c r="A4405" s="8">
        <v>4404</v>
      </c>
      <c r="B4405" s="8" t="s">
        <v>19939</v>
      </c>
      <c r="C4405" s="8" t="s">
        <v>19939</v>
      </c>
      <c r="F4405" s="47" t="s">
        <v>57357</v>
      </c>
      <c r="G4405" s="8">
        <v>15</v>
      </c>
      <c r="H4405" s="8" t="s">
        <v>21</v>
      </c>
      <c r="I4405" s="8" t="s">
        <v>22</v>
      </c>
      <c r="J4405" s="8" t="s">
        <v>22</v>
      </c>
      <c r="K4405" s="8" t="s">
        <v>58</v>
      </c>
      <c r="L4405" s="8" t="s">
        <v>17287</v>
      </c>
      <c r="M4405" s="8" t="s">
        <v>17288</v>
      </c>
      <c r="N4405" s="8" t="s">
        <v>19940</v>
      </c>
      <c r="O4405" s="8">
        <f>12+26/60+16.1/3600</f>
        <v>12.437805555555556</v>
      </c>
      <c r="P4405" s="8" t="s">
        <v>19941</v>
      </c>
      <c r="Q4405" s="8">
        <f>-(7+40/60+49/3600)</f>
        <v>-7.6802777777777784</v>
      </c>
      <c r="R4405" s="8">
        <v>12.7</v>
      </c>
      <c r="S4405" s="8">
        <v>13.7</v>
      </c>
      <c r="T4405" s="8">
        <v>1</v>
      </c>
      <c r="U4405" s="8">
        <v>12.5</v>
      </c>
      <c r="V4405" s="8">
        <v>1.2</v>
      </c>
      <c r="W4405" s="8">
        <v>1</v>
      </c>
      <c r="X4405" s="8">
        <v>153</v>
      </c>
      <c r="Y4405" s="8" t="s">
        <v>19937</v>
      </c>
      <c r="Z4405" s="8" t="s">
        <v>19938</v>
      </c>
    </row>
    <row r="4406" spans="1:26" x14ac:dyDescent="0.2">
      <c r="A4406" s="8">
        <v>4405</v>
      </c>
      <c r="B4406" s="8" t="s">
        <v>19942</v>
      </c>
      <c r="C4406" s="8" t="s">
        <v>19942</v>
      </c>
      <c r="F4406" s="47" t="s">
        <v>57358</v>
      </c>
      <c r="G4406" s="8">
        <v>15</v>
      </c>
      <c r="H4406" s="8" t="s">
        <v>21</v>
      </c>
      <c r="I4406" s="8" t="s">
        <v>22</v>
      </c>
      <c r="J4406" s="8" t="s">
        <v>22</v>
      </c>
      <c r="K4406" s="8" t="s">
        <v>632</v>
      </c>
      <c r="L4406" s="8" t="s">
        <v>18289</v>
      </c>
      <c r="M4406" s="8" t="s">
        <v>18290</v>
      </c>
      <c r="N4406" s="8" t="s">
        <v>19943</v>
      </c>
      <c r="O4406" s="8">
        <f>12+26/60+7.1/3600</f>
        <v>12.435305555555555</v>
      </c>
      <c r="P4406" s="8" t="s">
        <v>19944</v>
      </c>
      <c r="Q4406" s="8">
        <f>+(16+10/60+52/3600)</f>
        <v>16.181111111111111</v>
      </c>
      <c r="R4406" s="8">
        <v>12</v>
      </c>
      <c r="S4406" s="8">
        <v>12.9</v>
      </c>
      <c r="T4406" s="8">
        <v>0.9</v>
      </c>
      <c r="U4406" s="8">
        <v>12.6</v>
      </c>
      <c r="V4406" s="8">
        <v>1.6</v>
      </c>
      <c r="W4406" s="8">
        <v>1.1000000000000001</v>
      </c>
      <c r="X4406" s="8">
        <v>20</v>
      </c>
      <c r="Y4406" s="8" t="s">
        <v>19945</v>
      </c>
      <c r="Z4406" s="8" t="s">
        <v>19946</v>
      </c>
    </row>
    <row r="4407" spans="1:26" x14ac:dyDescent="0.2">
      <c r="A4407" s="8">
        <v>4406</v>
      </c>
      <c r="B4407" s="8" t="s">
        <v>19947</v>
      </c>
      <c r="C4407" s="8" t="s">
        <v>55904</v>
      </c>
      <c r="F4407" s="47"/>
      <c r="G4407" s="8">
        <v>1</v>
      </c>
      <c r="H4407" s="8" t="s">
        <v>19948</v>
      </c>
      <c r="I4407" s="8" t="s">
        <v>22</v>
      </c>
      <c r="J4407" s="8" t="s">
        <v>22</v>
      </c>
      <c r="K4407" s="8" t="s">
        <v>382</v>
      </c>
      <c r="L4407" s="8" t="s">
        <v>17287</v>
      </c>
      <c r="M4407" s="8" t="s">
        <v>17288</v>
      </c>
      <c r="N4407" s="8" t="s">
        <v>19949</v>
      </c>
      <c r="O4407" s="8">
        <f>12+26/60+11.5/3600</f>
        <v>12.436527777777778</v>
      </c>
      <c r="P4407" s="8" t="s">
        <v>19950</v>
      </c>
      <c r="Q4407" s="8">
        <f>+(12+56/60+47/3600)</f>
        <v>12.946388888888889</v>
      </c>
      <c r="R4407" s="8">
        <v>8.9</v>
      </c>
      <c r="S4407" s="8">
        <v>9.8000000000000007</v>
      </c>
      <c r="T4407" s="8">
        <v>0.9</v>
      </c>
      <c r="U4407" s="8">
        <v>13.2</v>
      </c>
      <c r="V4407" s="8">
        <v>8.9</v>
      </c>
      <c r="W4407" s="8">
        <v>5.8</v>
      </c>
      <c r="X4407" s="8">
        <v>130</v>
      </c>
      <c r="Y4407" s="8" t="s">
        <v>19951</v>
      </c>
      <c r="Z4407" s="8" t="s">
        <v>19952</v>
      </c>
    </row>
    <row r="4408" spans="1:26" x14ac:dyDescent="0.2">
      <c r="A4408" s="8">
        <v>4407</v>
      </c>
      <c r="B4408" s="8" t="s">
        <v>19953</v>
      </c>
      <c r="C4408" s="8" t="s">
        <v>19953</v>
      </c>
      <c r="F4408" s="47"/>
      <c r="G4408" s="8">
        <v>16</v>
      </c>
      <c r="H4408" s="8" t="s">
        <v>21</v>
      </c>
      <c r="I4408" s="8" t="s">
        <v>22</v>
      </c>
      <c r="J4408" s="8" t="s">
        <v>57</v>
      </c>
      <c r="K4408" s="8" t="s">
        <v>406</v>
      </c>
      <c r="L4408" s="8" t="s">
        <v>17287</v>
      </c>
      <c r="M4408" s="8" t="s">
        <v>17288</v>
      </c>
      <c r="N4408" s="8" t="s">
        <v>19954</v>
      </c>
      <c r="O4408" s="8">
        <f>12+26/60+32.1/3600</f>
        <v>12.44225</v>
      </c>
      <c r="P4408" s="8" t="s">
        <v>19955</v>
      </c>
      <c r="Q4408" s="8">
        <f>+(12+36/60+37/3600)</f>
        <v>12.610277777777778</v>
      </c>
      <c r="R4408" s="8">
        <v>11.9</v>
      </c>
      <c r="S4408" s="8">
        <v>12.7</v>
      </c>
      <c r="T4408" s="8">
        <v>0.8</v>
      </c>
      <c r="U4408" s="8">
        <v>13</v>
      </c>
      <c r="V4408" s="8">
        <v>2.2999999999999998</v>
      </c>
      <c r="W4408" s="8">
        <v>1.4</v>
      </c>
      <c r="X4408" s="8">
        <v>60</v>
      </c>
      <c r="Y4408" s="8" t="s">
        <v>19956</v>
      </c>
      <c r="Z4408" s="8" t="s">
        <v>19957</v>
      </c>
    </row>
    <row r="4409" spans="1:26" x14ac:dyDescent="0.2">
      <c r="A4409" s="8">
        <v>4408</v>
      </c>
      <c r="B4409" s="8" t="s">
        <v>19958</v>
      </c>
      <c r="C4409" s="8" t="s">
        <v>19958</v>
      </c>
      <c r="F4409" s="47"/>
      <c r="G4409" s="8">
        <v>18</v>
      </c>
      <c r="H4409" s="8" t="s">
        <v>21</v>
      </c>
      <c r="I4409" s="8" t="s">
        <v>22</v>
      </c>
      <c r="J4409" s="8" t="s">
        <v>22</v>
      </c>
      <c r="K4409" s="8" t="s">
        <v>37</v>
      </c>
      <c r="L4409" s="8" t="s">
        <v>18289</v>
      </c>
      <c r="M4409" s="8" t="s">
        <v>18290</v>
      </c>
      <c r="N4409" s="8" t="s">
        <v>19959</v>
      </c>
      <c r="O4409" s="8">
        <f>12+26/60+17.1/3600</f>
        <v>12.438083333333333</v>
      </c>
      <c r="P4409" s="8" t="s">
        <v>19960</v>
      </c>
      <c r="Q4409" s="8">
        <f>+(27+52/60+16/3600)</f>
        <v>27.871111111111112</v>
      </c>
      <c r="R4409" s="8">
        <v>13.9</v>
      </c>
      <c r="S4409" s="8">
        <v>14.9</v>
      </c>
      <c r="T4409" s="8">
        <v>1</v>
      </c>
      <c r="U4409" s="8">
        <v>13</v>
      </c>
      <c r="V4409" s="8">
        <v>0.8</v>
      </c>
      <c r="W4409" s="8">
        <v>0.6</v>
      </c>
      <c r="X4409" s="8">
        <v>30</v>
      </c>
      <c r="Y4409" s="8" t="s">
        <v>19961</v>
      </c>
      <c r="Z4409" s="8" t="s">
        <v>19962</v>
      </c>
    </row>
    <row r="4410" spans="1:26" x14ac:dyDescent="0.2">
      <c r="A4410" s="8">
        <v>4409</v>
      </c>
      <c r="B4410" s="8" t="s">
        <v>19963</v>
      </c>
      <c r="C4410" s="8" t="s">
        <v>19963</v>
      </c>
      <c r="F4410" s="47" t="s">
        <v>57359</v>
      </c>
      <c r="G4410" s="8">
        <v>15</v>
      </c>
      <c r="H4410" s="8" t="s">
        <v>21</v>
      </c>
      <c r="I4410" s="8" t="s">
        <v>22</v>
      </c>
      <c r="J4410" s="8" t="s">
        <v>57</v>
      </c>
      <c r="K4410" s="8" t="s">
        <v>85</v>
      </c>
      <c r="L4410" s="8" t="s">
        <v>17287</v>
      </c>
      <c r="M4410" s="8" t="s">
        <v>17288</v>
      </c>
      <c r="N4410" s="8" t="s">
        <v>19964</v>
      </c>
      <c r="O4410" s="8">
        <f>12+26/60+58.4/3600</f>
        <v>12.449555555555555</v>
      </c>
      <c r="P4410" s="8" t="s">
        <v>19965</v>
      </c>
      <c r="Q4410" s="8">
        <f>+(2+29/60+39/3600)</f>
        <v>2.4941666666666666</v>
      </c>
      <c r="R4410" s="8">
        <v>12.1</v>
      </c>
      <c r="S4410" s="8">
        <v>12.8</v>
      </c>
      <c r="T4410" s="8">
        <v>0.7</v>
      </c>
      <c r="U4410" s="8">
        <v>12.7</v>
      </c>
      <c r="V4410" s="8">
        <v>2</v>
      </c>
      <c r="W4410" s="8">
        <v>1</v>
      </c>
      <c r="X4410" s="8">
        <v>8</v>
      </c>
      <c r="Y4410" s="8" t="s">
        <v>19966</v>
      </c>
      <c r="Z4410" s="8" t="s">
        <v>19967</v>
      </c>
    </row>
    <row r="4411" spans="1:26" x14ac:dyDescent="0.2">
      <c r="A4411" s="8">
        <v>4410</v>
      </c>
      <c r="B4411" s="8" t="s">
        <v>19968</v>
      </c>
      <c r="C4411" s="8" t="s">
        <v>19968</v>
      </c>
      <c r="D4411" s="8" t="s">
        <v>1619</v>
      </c>
      <c r="F4411" s="47"/>
      <c r="G4411" s="8">
        <v>16</v>
      </c>
      <c r="H4411" s="8" t="s">
        <v>21</v>
      </c>
      <c r="I4411" s="8" t="s">
        <v>22</v>
      </c>
      <c r="J4411" s="8" t="s">
        <v>22</v>
      </c>
      <c r="K4411" s="8" t="s">
        <v>396</v>
      </c>
      <c r="L4411" s="8" t="s">
        <v>17287</v>
      </c>
      <c r="M4411" s="8" t="s">
        <v>17288</v>
      </c>
      <c r="N4411" s="8" t="s">
        <v>19969</v>
      </c>
      <c r="O4411" s="8">
        <f>12+26/60+29.6/3600</f>
        <v>12.441555555555556</v>
      </c>
      <c r="P4411" s="8" t="s">
        <v>19970</v>
      </c>
      <c r="Q4411" s="8">
        <f>+(9+1/60+8/3600)</f>
        <v>9.0188888888888901</v>
      </c>
      <c r="R4411" s="8">
        <v>13.6</v>
      </c>
      <c r="S4411" s="8">
        <v>14.4</v>
      </c>
      <c r="T4411" s="8">
        <v>0.8</v>
      </c>
      <c r="U4411" s="8">
        <v>11.9</v>
      </c>
      <c r="V4411" s="8">
        <v>0.5</v>
      </c>
      <c r="W4411" s="8">
        <v>0.5</v>
      </c>
      <c r="Y4411" s="8" t="s">
        <v>19971</v>
      </c>
      <c r="Z4411" s="8" t="s">
        <v>19972</v>
      </c>
    </row>
    <row r="4412" spans="1:26" x14ac:dyDescent="0.2">
      <c r="A4412" s="8">
        <v>4411</v>
      </c>
      <c r="B4412" s="8" t="s">
        <v>19973</v>
      </c>
      <c r="C4412" s="8" t="s">
        <v>19973</v>
      </c>
      <c r="D4412" s="8" t="s">
        <v>1619</v>
      </c>
      <c r="F4412" s="47"/>
      <c r="G4412" s="8">
        <v>19</v>
      </c>
      <c r="H4412" s="8" t="s">
        <v>21</v>
      </c>
      <c r="I4412" s="8" t="s">
        <v>22</v>
      </c>
      <c r="J4412" s="8" t="s">
        <v>22</v>
      </c>
      <c r="K4412" s="8" t="s">
        <v>773</v>
      </c>
      <c r="L4412" s="8" t="s">
        <v>17287</v>
      </c>
      <c r="M4412" s="8" t="s">
        <v>17288</v>
      </c>
      <c r="N4412" s="8" t="s">
        <v>19974</v>
      </c>
      <c r="O4412" s="8">
        <f>12+26/60+47.2/3600</f>
        <v>12.446444444444445</v>
      </c>
      <c r="P4412" s="8" t="s">
        <v>19975</v>
      </c>
      <c r="Q4412" s="8">
        <f>+(8+53/60+4/3600)</f>
        <v>8.8844444444444441</v>
      </c>
      <c r="R4412" s="8">
        <v>12.3</v>
      </c>
      <c r="S4412" s="8">
        <v>12.9</v>
      </c>
      <c r="T4412" s="8">
        <v>0.6</v>
      </c>
      <c r="U4412" s="8">
        <v>14.2</v>
      </c>
      <c r="V4412" s="8">
        <v>2.5</v>
      </c>
      <c r="W4412" s="8">
        <v>2.5</v>
      </c>
      <c r="Y4412" s="8" t="s">
        <v>3753</v>
      </c>
      <c r="Z4412" s="8" t="s">
        <v>3754</v>
      </c>
    </row>
    <row r="4413" spans="1:26" x14ac:dyDescent="0.2">
      <c r="A4413" s="8">
        <v>4412</v>
      </c>
      <c r="B4413" s="8" t="s">
        <v>19976</v>
      </c>
      <c r="C4413" s="8" t="s">
        <v>19976</v>
      </c>
      <c r="F4413" s="47" t="s">
        <v>57360</v>
      </c>
      <c r="G4413" s="8">
        <v>13</v>
      </c>
      <c r="H4413" s="8" t="s">
        <v>21</v>
      </c>
      <c r="I4413" s="8" t="s">
        <v>22</v>
      </c>
      <c r="J4413" s="8" t="s">
        <v>22</v>
      </c>
      <c r="K4413" s="8" t="s">
        <v>5751</v>
      </c>
      <c r="L4413" s="8" t="s">
        <v>17287</v>
      </c>
      <c r="M4413" s="8" t="s">
        <v>17288</v>
      </c>
      <c r="N4413" s="8" t="s">
        <v>19977</v>
      </c>
      <c r="O4413" s="8">
        <f>12+26/60+36/3600</f>
        <v>12.443333333333333</v>
      </c>
      <c r="P4413" s="8" t="s">
        <v>19978</v>
      </c>
      <c r="Q4413" s="8">
        <f>+(3+57/60+53/3600)</f>
        <v>3.9647222222222225</v>
      </c>
      <c r="R4413" s="8">
        <v>12.4</v>
      </c>
      <c r="S4413" s="8">
        <v>13.2</v>
      </c>
      <c r="T4413" s="8">
        <v>0.8</v>
      </c>
      <c r="U4413" s="8">
        <v>12.9</v>
      </c>
      <c r="V4413" s="8">
        <v>1.4</v>
      </c>
      <c r="W4413" s="8">
        <v>1.2</v>
      </c>
      <c r="X4413" s="8">
        <v>132</v>
      </c>
      <c r="Y4413" s="8" t="s">
        <v>19979</v>
      </c>
      <c r="Z4413" s="8" t="s">
        <v>19980</v>
      </c>
    </row>
    <row r="4414" spans="1:26" x14ac:dyDescent="0.2">
      <c r="A4414" s="8">
        <v>4413</v>
      </c>
      <c r="B4414" s="8" t="s">
        <v>19981</v>
      </c>
      <c r="C4414" s="8" t="s">
        <v>19981</v>
      </c>
      <c r="F4414" s="47" t="s">
        <v>57361</v>
      </c>
      <c r="G4414" s="8">
        <v>11</v>
      </c>
      <c r="H4414" s="8" t="s">
        <v>21</v>
      </c>
      <c r="I4414" s="8" t="s">
        <v>22</v>
      </c>
      <c r="J4414" s="8" t="s">
        <v>22</v>
      </c>
      <c r="K4414" s="8" t="s">
        <v>406</v>
      </c>
      <c r="L4414" s="8" t="s">
        <v>17287</v>
      </c>
      <c r="M4414" s="8" t="s">
        <v>17288</v>
      </c>
      <c r="N4414" s="8" t="s">
        <v>19954</v>
      </c>
      <c r="O4414" s="8">
        <f>12+26/60+32.1/3600</f>
        <v>12.44225</v>
      </c>
      <c r="P4414" s="8" t="s">
        <v>19955</v>
      </c>
      <c r="Q4414" s="8">
        <f>+(12+36/60+37/3600)</f>
        <v>12.610277777777778</v>
      </c>
      <c r="R4414" s="8">
        <v>11.9</v>
      </c>
      <c r="S4414" s="8">
        <v>12.7</v>
      </c>
      <c r="T4414" s="8">
        <v>0.8</v>
      </c>
      <c r="U4414" s="8">
        <v>13</v>
      </c>
      <c r="V4414" s="8">
        <v>2.2999999999999998</v>
      </c>
      <c r="W4414" s="8">
        <v>1.4</v>
      </c>
      <c r="X4414" s="8">
        <v>60</v>
      </c>
      <c r="Y4414" s="8" t="s">
        <v>19982</v>
      </c>
      <c r="Z4414" s="8" t="s">
        <v>19983</v>
      </c>
    </row>
    <row r="4415" spans="1:26" x14ac:dyDescent="0.2">
      <c r="A4415" s="8">
        <v>4414</v>
      </c>
      <c r="B4415" s="8" t="s">
        <v>19984</v>
      </c>
      <c r="C4415" s="8" t="s">
        <v>19984</v>
      </c>
      <c r="F4415" s="47" t="s">
        <v>57362</v>
      </c>
      <c r="G4415" s="8">
        <v>6</v>
      </c>
      <c r="H4415" s="8" t="s">
        <v>21</v>
      </c>
      <c r="I4415" s="8" t="s">
        <v>22</v>
      </c>
      <c r="J4415" s="8" t="s">
        <v>22</v>
      </c>
      <c r="K4415" s="8" t="s">
        <v>160</v>
      </c>
      <c r="L4415" s="8" t="s">
        <v>18289</v>
      </c>
      <c r="M4415" s="8" t="s">
        <v>18290</v>
      </c>
      <c r="N4415" s="8" t="s">
        <v>19985</v>
      </c>
      <c r="O4415" s="8">
        <f>12+26/60+27.1/3600</f>
        <v>12.440861111111111</v>
      </c>
      <c r="P4415" s="8" t="s">
        <v>19986</v>
      </c>
      <c r="Q4415" s="8">
        <f>+(31+13/60+25/3600)</f>
        <v>31.223611111111108</v>
      </c>
      <c r="R4415" s="8">
        <v>10.1</v>
      </c>
      <c r="S4415" s="8">
        <v>11</v>
      </c>
      <c r="T4415" s="8">
        <v>0.9</v>
      </c>
      <c r="U4415" s="8">
        <v>12.1</v>
      </c>
      <c r="V4415" s="8">
        <v>4.4000000000000004</v>
      </c>
      <c r="W4415" s="8">
        <v>3</v>
      </c>
      <c r="X4415" s="8">
        <v>155</v>
      </c>
      <c r="Y4415" s="8" t="s">
        <v>21</v>
      </c>
      <c r="Z4415" s="8" t="s">
        <v>19987</v>
      </c>
    </row>
    <row r="4416" spans="1:26" x14ac:dyDescent="0.2">
      <c r="A4416" s="8">
        <v>4415</v>
      </c>
      <c r="B4416" s="8" t="s">
        <v>19988</v>
      </c>
      <c r="C4416" s="8" t="s">
        <v>19988</v>
      </c>
      <c r="F4416" s="47" t="s">
        <v>57363</v>
      </c>
      <c r="G4416" s="8">
        <v>15</v>
      </c>
      <c r="H4416" s="8" t="s">
        <v>21</v>
      </c>
      <c r="I4416" s="8" t="s">
        <v>22</v>
      </c>
      <c r="J4416" s="8" t="s">
        <v>22</v>
      </c>
      <c r="K4416" s="8" t="s">
        <v>632</v>
      </c>
      <c r="L4416" s="8" t="s">
        <v>17287</v>
      </c>
      <c r="M4416" s="8" t="s">
        <v>17288</v>
      </c>
      <c r="N4416" s="8" t="s">
        <v>19989</v>
      </c>
      <c r="O4416" s="8">
        <f>12+26/60+40.5/3600</f>
        <v>12.444583333333334</v>
      </c>
      <c r="P4416" s="8" t="s">
        <v>19990</v>
      </c>
      <c r="Q4416" s="8">
        <f>+(8+26/60+10/3600)</f>
        <v>8.4361111111111118</v>
      </c>
      <c r="R4416" s="8">
        <v>12.1</v>
      </c>
      <c r="S4416" s="8">
        <v>13.1</v>
      </c>
      <c r="T4416" s="8">
        <v>1</v>
      </c>
      <c r="U4416" s="8">
        <v>12.4</v>
      </c>
      <c r="V4416" s="8">
        <v>1.4</v>
      </c>
      <c r="W4416" s="8">
        <v>1.2</v>
      </c>
      <c r="X4416" s="8">
        <v>0</v>
      </c>
      <c r="Y4416" s="8" t="s">
        <v>17524</v>
      </c>
      <c r="Z4416" s="8" t="s">
        <v>17525</v>
      </c>
    </row>
    <row r="4417" spans="1:26" x14ac:dyDescent="0.2">
      <c r="A4417" s="8">
        <v>4416</v>
      </c>
      <c r="B4417" s="8" t="s">
        <v>19991</v>
      </c>
      <c r="C4417" s="8" t="s">
        <v>19991</v>
      </c>
      <c r="F4417" s="47"/>
      <c r="G4417" s="8">
        <v>16</v>
      </c>
      <c r="H4417" s="8" t="s">
        <v>21</v>
      </c>
      <c r="I4417" s="8" t="s">
        <v>22</v>
      </c>
      <c r="J4417" s="8" t="s">
        <v>22</v>
      </c>
      <c r="K4417" s="8" t="s">
        <v>64</v>
      </c>
      <c r="L4417" s="8" t="s">
        <v>17287</v>
      </c>
      <c r="M4417" s="8" t="s">
        <v>17288</v>
      </c>
      <c r="N4417" s="8" t="s">
        <v>19992</v>
      </c>
      <c r="O4417" s="8">
        <f>12+26/60+46.7/3600</f>
        <v>12.446305555555556</v>
      </c>
      <c r="P4417" s="8" t="s">
        <v>19993</v>
      </c>
      <c r="Q4417" s="8">
        <f>+(7+55/60+8/3600)</f>
        <v>7.9188888888888895</v>
      </c>
      <c r="R4417" s="8">
        <v>12.4</v>
      </c>
      <c r="S4417" s="8">
        <v>13</v>
      </c>
      <c r="T4417" s="8">
        <v>0.6</v>
      </c>
      <c r="U4417" s="8">
        <v>13.3</v>
      </c>
      <c r="V4417" s="8">
        <v>1.7</v>
      </c>
      <c r="W4417" s="8">
        <v>1.5</v>
      </c>
      <c r="X4417" s="8">
        <v>108</v>
      </c>
      <c r="Y4417" s="8" t="s">
        <v>21</v>
      </c>
      <c r="Z4417" s="8" t="s">
        <v>19994</v>
      </c>
    </row>
    <row r="4418" spans="1:26" x14ac:dyDescent="0.2">
      <c r="A4418" s="8">
        <v>4417</v>
      </c>
      <c r="B4418" s="8" t="s">
        <v>19995</v>
      </c>
      <c r="C4418" s="8" t="s">
        <v>19995</v>
      </c>
      <c r="F4418" s="47" t="s">
        <v>57364</v>
      </c>
      <c r="G4418" s="8">
        <v>11</v>
      </c>
      <c r="H4418" s="8" t="s">
        <v>21</v>
      </c>
      <c r="I4418" s="8" t="s">
        <v>22</v>
      </c>
      <c r="J4418" s="8" t="s">
        <v>22</v>
      </c>
      <c r="K4418" s="8" t="s">
        <v>224</v>
      </c>
      <c r="L4418" s="8" t="s">
        <v>17287</v>
      </c>
      <c r="M4418" s="8" t="s">
        <v>17288</v>
      </c>
      <c r="N4418" s="8" t="s">
        <v>19996</v>
      </c>
      <c r="O4418" s="8">
        <f>12+26/60+50.4/3600</f>
        <v>12.447333333333333</v>
      </c>
      <c r="P4418" s="8" t="s">
        <v>19997</v>
      </c>
      <c r="Q4418" s="8">
        <f>+(9+35/60+4/3600)</f>
        <v>9.5844444444444452</v>
      </c>
      <c r="R4418" s="8">
        <v>11.1</v>
      </c>
      <c r="S4418" s="8">
        <v>12</v>
      </c>
      <c r="T4418" s="8">
        <v>0.9</v>
      </c>
      <c r="U4418" s="8">
        <v>12.6</v>
      </c>
      <c r="V4418" s="8">
        <v>3.3</v>
      </c>
      <c r="W4418" s="8">
        <v>1.4</v>
      </c>
      <c r="X4418" s="8">
        <v>49</v>
      </c>
      <c r="Y4418" s="8" t="s">
        <v>21</v>
      </c>
      <c r="Z4418" s="8" t="s">
        <v>19998</v>
      </c>
    </row>
    <row r="4419" spans="1:26" x14ac:dyDescent="0.2">
      <c r="A4419" s="8">
        <v>4418</v>
      </c>
      <c r="B4419" s="8" t="s">
        <v>19999</v>
      </c>
      <c r="C4419" s="8" t="s">
        <v>19999</v>
      </c>
      <c r="F4419" s="47" t="s">
        <v>57365</v>
      </c>
      <c r="G4419" s="8">
        <v>15</v>
      </c>
      <c r="H4419" s="8" t="s">
        <v>21</v>
      </c>
      <c r="I4419" s="8" t="s">
        <v>22</v>
      </c>
      <c r="J4419" s="8" t="s">
        <v>22</v>
      </c>
      <c r="K4419" s="8" t="s">
        <v>91</v>
      </c>
      <c r="L4419" s="8" t="s">
        <v>17287</v>
      </c>
      <c r="M4419" s="8" t="s">
        <v>17288</v>
      </c>
      <c r="N4419" s="8" t="s">
        <v>19735</v>
      </c>
      <c r="O4419" s="8">
        <f>12+26/60+54.6/3600</f>
        <v>12.448500000000001</v>
      </c>
      <c r="P4419" s="8" t="s">
        <v>19736</v>
      </c>
      <c r="Q4419" s="8">
        <f>-(0+52/60+40/3600)</f>
        <v>-0.87777777777777777</v>
      </c>
      <c r="R4419" s="8">
        <v>13.2</v>
      </c>
      <c r="S4419" s="8">
        <v>14.1</v>
      </c>
      <c r="T4419" s="8">
        <v>0.9</v>
      </c>
      <c r="U4419" s="8">
        <v>13.1</v>
      </c>
      <c r="V4419" s="8">
        <v>1.5</v>
      </c>
      <c r="W4419" s="8">
        <v>0.7</v>
      </c>
      <c r="X4419" s="8">
        <v>59</v>
      </c>
      <c r="Y4419" s="8" t="s">
        <v>20000</v>
      </c>
      <c r="Z4419" s="8" t="s">
        <v>20001</v>
      </c>
    </row>
    <row r="4420" spans="1:26" x14ac:dyDescent="0.2">
      <c r="A4420" s="8">
        <v>4419</v>
      </c>
      <c r="B4420" s="8" t="s">
        <v>20002</v>
      </c>
      <c r="C4420" s="8" t="s">
        <v>20002</v>
      </c>
      <c r="F4420" s="47" t="s">
        <v>57366</v>
      </c>
      <c r="G4420" s="8">
        <v>6</v>
      </c>
      <c r="H4420" s="8" t="s">
        <v>21</v>
      </c>
      <c r="I4420" s="8" t="s">
        <v>22</v>
      </c>
      <c r="J4420" s="8" t="s">
        <v>22</v>
      </c>
      <c r="K4420" s="8" t="s">
        <v>154</v>
      </c>
      <c r="L4420" s="8" t="s">
        <v>18289</v>
      </c>
      <c r="M4420" s="8" t="s">
        <v>18290</v>
      </c>
      <c r="N4420" s="8" t="s">
        <v>20003</v>
      </c>
      <c r="O4420" s="8">
        <f>12+26/60+56.4/3600</f>
        <v>12.449</v>
      </c>
      <c r="P4420" s="8" t="s">
        <v>20004</v>
      </c>
      <c r="Q4420" s="8">
        <f>+(15+2/60+52/3600)</f>
        <v>15.047777777777778</v>
      </c>
      <c r="R4420" s="8">
        <v>11.2</v>
      </c>
      <c r="S4420" s="8">
        <v>12.1</v>
      </c>
      <c r="T4420" s="8">
        <v>0.9</v>
      </c>
      <c r="U4420" s="8">
        <v>12.5</v>
      </c>
      <c r="V4420" s="8">
        <v>3.3</v>
      </c>
      <c r="W4420" s="8">
        <v>1.2</v>
      </c>
      <c r="X4420" s="8">
        <v>133</v>
      </c>
      <c r="Y4420" s="8" t="s">
        <v>20005</v>
      </c>
      <c r="Z4420" s="8" t="s">
        <v>20006</v>
      </c>
    </row>
    <row r="4421" spans="1:26" x14ac:dyDescent="0.2">
      <c r="A4421" s="8">
        <v>4420</v>
      </c>
      <c r="B4421" s="8" t="s">
        <v>20007</v>
      </c>
      <c r="C4421" s="8" t="s">
        <v>20007</v>
      </c>
      <c r="F4421" s="47" t="s">
        <v>57367</v>
      </c>
      <c r="G4421" s="8">
        <v>13</v>
      </c>
      <c r="H4421" s="8" t="s">
        <v>21</v>
      </c>
      <c r="I4421" s="8" t="s">
        <v>22</v>
      </c>
      <c r="J4421" s="8" t="s">
        <v>22</v>
      </c>
      <c r="K4421" s="8" t="s">
        <v>85</v>
      </c>
      <c r="L4421" s="8" t="s">
        <v>17287</v>
      </c>
      <c r="M4421" s="8" t="s">
        <v>17288</v>
      </c>
      <c r="N4421" s="8" t="s">
        <v>19964</v>
      </c>
      <c r="O4421" s="8">
        <f>12+26/60+58.4/3600</f>
        <v>12.449555555555555</v>
      </c>
      <c r="P4421" s="8" t="s">
        <v>19965</v>
      </c>
      <c r="Q4421" s="8">
        <f>+(2+29/60+39/3600)</f>
        <v>2.4941666666666666</v>
      </c>
      <c r="R4421" s="8">
        <v>12.1</v>
      </c>
      <c r="S4421" s="8">
        <v>12.8</v>
      </c>
      <c r="T4421" s="8">
        <v>0.7</v>
      </c>
      <c r="U4421" s="8">
        <v>12.7</v>
      </c>
      <c r="V4421" s="8">
        <v>2</v>
      </c>
      <c r="W4421" s="8">
        <v>1</v>
      </c>
      <c r="X4421" s="8">
        <v>8</v>
      </c>
      <c r="Y4421" s="8" t="s">
        <v>20008</v>
      </c>
      <c r="Z4421" s="8" t="s">
        <v>20009</v>
      </c>
    </row>
    <row r="4422" spans="1:26" x14ac:dyDescent="0.2">
      <c r="A4422" s="8">
        <v>4421</v>
      </c>
      <c r="B4422" s="8" t="s">
        <v>20010</v>
      </c>
      <c r="C4422" s="8" t="s">
        <v>20010</v>
      </c>
      <c r="F4422" s="47" t="s">
        <v>57368</v>
      </c>
      <c r="G4422" s="8">
        <v>15</v>
      </c>
      <c r="H4422" s="8" t="s">
        <v>21</v>
      </c>
      <c r="I4422" s="8" t="s">
        <v>22</v>
      </c>
      <c r="J4422" s="8" t="s">
        <v>22</v>
      </c>
      <c r="K4422" s="8" t="s">
        <v>435</v>
      </c>
      <c r="L4422" s="8" t="s">
        <v>18289</v>
      </c>
      <c r="M4422" s="8" t="s">
        <v>18290</v>
      </c>
      <c r="N4422" s="8" t="s">
        <v>20011</v>
      </c>
      <c r="O4422" s="8">
        <f>12+27/60+2.5/3600</f>
        <v>12.450694444444444</v>
      </c>
      <c r="P4422" s="8" t="s">
        <v>20012</v>
      </c>
      <c r="Q4422" s="8">
        <f>+(15+27/60+39/3600)</f>
        <v>15.460833333333333</v>
      </c>
      <c r="R4422" s="8">
        <v>11.6</v>
      </c>
      <c r="S4422" s="8">
        <v>12.5</v>
      </c>
      <c r="T4422" s="8">
        <v>0.9</v>
      </c>
      <c r="U4422" s="8">
        <v>13.3</v>
      </c>
      <c r="V4422" s="8">
        <v>2.7</v>
      </c>
      <c r="W4422" s="8">
        <v>2</v>
      </c>
      <c r="X4422" s="8">
        <v>20</v>
      </c>
      <c r="Y4422" s="8" t="s">
        <v>20013</v>
      </c>
      <c r="Z4422" s="8" t="s">
        <v>20014</v>
      </c>
    </row>
    <row r="4423" spans="1:26" x14ac:dyDescent="0.2">
      <c r="A4423" s="8">
        <v>4422</v>
      </c>
      <c r="B4423" s="8" t="s">
        <v>20015</v>
      </c>
      <c r="C4423" s="8" t="s">
        <v>20015</v>
      </c>
      <c r="F4423" s="47" t="s">
        <v>57369</v>
      </c>
      <c r="G4423" s="8">
        <v>15</v>
      </c>
      <c r="H4423" s="8" t="s">
        <v>21</v>
      </c>
      <c r="I4423" s="8" t="s">
        <v>22</v>
      </c>
      <c r="J4423" s="8" t="s">
        <v>22</v>
      </c>
      <c r="K4423" s="8" t="s">
        <v>58</v>
      </c>
      <c r="L4423" s="8" t="s">
        <v>17287</v>
      </c>
      <c r="M4423" s="8" t="s">
        <v>17288</v>
      </c>
      <c r="N4423" s="8" t="s">
        <v>20016</v>
      </c>
      <c r="O4423" s="8">
        <f>12+27/60+12/3600</f>
        <v>12.453333333333333</v>
      </c>
      <c r="P4423" s="8" t="s">
        <v>20017</v>
      </c>
      <c r="Q4423" s="8">
        <f>-(5+49/60+49/3600)</f>
        <v>-5.8302777777777779</v>
      </c>
      <c r="R4423" s="8">
        <v>13.8</v>
      </c>
      <c r="S4423" s="8">
        <v>14.8</v>
      </c>
      <c r="T4423" s="8">
        <v>1</v>
      </c>
      <c r="U4423" s="8">
        <v>14.4</v>
      </c>
      <c r="V4423" s="8">
        <v>1.3</v>
      </c>
      <c r="W4423" s="8">
        <v>1.3</v>
      </c>
      <c r="Y4423" s="8" t="s">
        <v>21</v>
      </c>
      <c r="Z4423" s="8" t="s">
        <v>20018</v>
      </c>
    </row>
    <row r="4424" spans="1:26" x14ac:dyDescent="0.2">
      <c r="A4424" s="8">
        <v>4423</v>
      </c>
      <c r="B4424" s="8" t="s">
        <v>20019</v>
      </c>
      <c r="C4424" s="8" t="s">
        <v>20019</v>
      </c>
      <c r="F4424" s="47" t="s">
        <v>57370</v>
      </c>
      <c r="G4424" s="8">
        <v>15</v>
      </c>
      <c r="H4424" s="8" t="s">
        <v>21</v>
      </c>
      <c r="I4424" s="8" t="s">
        <v>22</v>
      </c>
      <c r="J4424" s="8" t="s">
        <v>22</v>
      </c>
      <c r="K4424" s="8" t="s">
        <v>3523</v>
      </c>
      <c r="L4424" s="8" t="s">
        <v>17287</v>
      </c>
      <c r="M4424" s="8" t="s">
        <v>17288</v>
      </c>
      <c r="N4424" s="8" t="s">
        <v>20020</v>
      </c>
      <c r="O4424" s="8">
        <f>12+27/60+9.1/3600</f>
        <v>12.452527777777776</v>
      </c>
      <c r="P4424" s="8" t="s">
        <v>20021</v>
      </c>
      <c r="Q4424" s="8">
        <f>+(5+52/60+49/3600)</f>
        <v>5.8802777777777786</v>
      </c>
      <c r="R4424" s="8">
        <v>13.4</v>
      </c>
      <c r="S4424" s="8">
        <v>14.3</v>
      </c>
      <c r="T4424" s="8">
        <v>0.9</v>
      </c>
      <c r="U4424" s="8">
        <v>13.2</v>
      </c>
      <c r="V4424" s="8">
        <v>2.2999999999999998</v>
      </c>
      <c r="W4424" s="8">
        <v>0.4</v>
      </c>
      <c r="X4424" s="8">
        <v>18</v>
      </c>
      <c r="Y4424" s="8" t="s">
        <v>19937</v>
      </c>
      <c r="Z4424" s="8" t="s">
        <v>19938</v>
      </c>
    </row>
    <row r="4425" spans="1:26" x14ac:dyDescent="0.2">
      <c r="A4425" s="8">
        <v>4424</v>
      </c>
      <c r="B4425" s="8" t="s">
        <v>20022</v>
      </c>
      <c r="C4425" s="8" t="s">
        <v>20022</v>
      </c>
      <c r="F4425" s="47"/>
      <c r="G4425" s="8">
        <v>11</v>
      </c>
      <c r="H4425" s="8" t="s">
        <v>21</v>
      </c>
      <c r="I4425" s="8" t="s">
        <v>22</v>
      </c>
      <c r="J4425" s="8" t="s">
        <v>22</v>
      </c>
      <c r="K4425" s="8" t="s">
        <v>154</v>
      </c>
      <c r="L4425" s="8" t="s">
        <v>17287</v>
      </c>
      <c r="M4425" s="8" t="s">
        <v>17288</v>
      </c>
      <c r="N4425" s="8" t="s">
        <v>20023</v>
      </c>
      <c r="O4425" s="8">
        <f>12+27/60+11.4/3600</f>
        <v>12.453166666666666</v>
      </c>
      <c r="P4425" s="8" t="s">
        <v>20024</v>
      </c>
      <c r="Q4425" s="8">
        <f>+(9+25/60+17/3600)</f>
        <v>9.4213888888888881</v>
      </c>
      <c r="R4425" s="8">
        <v>11.7</v>
      </c>
      <c r="S4425" s="8">
        <v>12.3</v>
      </c>
      <c r="T4425" s="8">
        <v>0.6</v>
      </c>
      <c r="U4425" s="8">
        <v>13.6</v>
      </c>
      <c r="V4425" s="8">
        <v>3.5</v>
      </c>
      <c r="W4425" s="8">
        <v>1.7</v>
      </c>
      <c r="X4425" s="8">
        <v>95</v>
      </c>
      <c r="Y4425" s="8" t="s">
        <v>20025</v>
      </c>
      <c r="Z4425" s="8" t="s">
        <v>19722</v>
      </c>
    </row>
    <row r="4426" spans="1:26" x14ac:dyDescent="0.2">
      <c r="A4426" s="8">
        <v>4425</v>
      </c>
      <c r="B4426" s="8" t="s">
        <v>20026</v>
      </c>
      <c r="C4426" s="8" t="s">
        <v>20026</v>
      </c>
      <c r="F4426" s="47" t="s">
        <v>57371</v>
      </c>
      <c r="G4426" s="8">
        <v>11</v>
      </c>
      <c r="H4426" s="8" t="s">
        <v>21</v>
      </c>
      <c r="I4426" s="8" t="s">
        <v>22</v>
      </c>
      <c r="J4426" s="8" t="s">
        <v>22</v>
      </c>
      <c r="K4426" s="8" t="s">
        <v>435</v>
      </c>
      <c r="L4426" s="8" t="s">
        <v>17287</v>
      </c>
      <c r="M4426" s="8" t="s">
        <v>17288</v>
      </c>
      <c r="N4426" s="8" t="s">
        <v>20027</v>
      </c>
      <c r="O4426" s="8">
        <f>12+27/60+13.3/3600</f>
        <v>12.453694444444444</v>
      </c>
      <c r="P4426" s="8" t="s">
        <v>20028</v>
      </c>
      <c r="Q4426" s="8">
        <f>+(12+44/60+5/3600)</f>
        <v>12.734722222222221</v>
      </c>
      <c r="R4426" s="8">
        <v>11.8</v>
      </c>
      <c r="S4426" s="8">
        <v>12.7</v>
      </c>
      <c r="T4426" s="8">
        <v>0.9</v>
      </c>
      <c r="U4426" s="8">
        <v>12.9</v>
      </c>
      <c r="V4426" s="8">
        <v>2.8</v>
      </c>
      <c r="W4426" s="8">
        <v>1</v>
      </c>
      <c r="X4426" s="8">
        <v>27</v>
      </c>
      <c r="Y4426" s="8" t="s">
        <v>3034</v>
      </c>
      <c r="Z4426" s="8" t="s">
        <v>1899</v>
      </c>
    </row>
    <row r="4427" spans="1:26" x14ac:dyDescent="0.2">
      <c r="A4427" s="8">
        <v>4426</v>
      </c>
      <c r="B4427" s="8" t="s">
        <v>20029</v>
      </c>
      <c r="C4427" s="8" t="s">
        <v>20029</v>
      </c>
      <c r="F4427" s="47"/>
      <c r="G4427" s="8">
        <v>18</v>
      </c>
      <c r="H4427" s="8" t="s">
        <v>21</v>
      </c>
      <c r="I4427" s="8" t="s">
        <v>72</v>
      </c>
      <c r="J4427" s="8" t="s">
        <v>72</v>
      </c>
      <c r="K4427" s="8" t="s">
        <v>73</v>
      </c>
      <c r="L4427" s="8" t="s">
        <v>18289</v>
      </c>
      <c r="M4427" s="8" t="s">
        <v>18290</v>
      </c>
      <c r="N4427" s="8" t="s">
        <v>20030</v>
      </c>
      <c r="O4427" s="8">
        <f>12+27/60+10.5/3600</f>
        <v>12.452916666666665</v>
      </c>
      <c r="P4427" s="8" t="s">
        <v>20031</v>
      </c>
      <c r="Q4427" s="8">
        <f>+(27+50/60+22/3600)</f>
        <v>27.839444444444442</v>
      </c>
      <c r="R4427" s="8">
        <v>99</v>
      </c>
      <c r="S4427" s="8">
        <v>99</v>
      </c>
      <c r="T4427" s="8">
        <v>99</v>
      </c>
      <c r="U4427" s="8">
        <v>99</v>
      </c>
      <c r="Y4427" s="8" t="s">
        <v>20032</v>
      </c>
      <c r="Z4427" s="8" t="s">
        <v>20033</v>
      </c>
    </row>
    <row r="4428" spans="1:26" x14ac:dyDescent="0.2">
      <c r="A4428" s="8">
        <v>4427</v>
      </c>
      <c r="B4428" s="8" t="s">
        <v>20034</v>
      </c>
      <c r="C4428" s="8" t="s">
        <v>20034</v>
      </c>
      <c r="F4428" s="47"/>
      <c r="G4428" s="8">
        <v>19</v>
      </c>
      <c r="H4428" s="8" t="s">
        <v>21</v>
      </c>
      <c r="I4428" s="8" t="s">
        <v>72</v>
      </c>
      <c r="J4428" s="8" t="s">
        <v>57</v>
      </c>
      <c r="K4428" s="8" t="s">
        <v>73</v>
      </c>
      <c r="L4428" s="8" t="s">
        <v>18289</v>
      </c>
      <c r="M4428" s="8" t="s">
        <v>18290</v>
      </c>
      <c r="N4428" s="8" t="s">
        <v>20030</v>
      </c>
      <c r="O4428" s="8">
        <f>12+27/60+10.5/3600</f>
        <v>12.452916666666665</v>
      </c>
      <c r="P4428" s="8" t="s">
        <v>20031</v>
      </c>
      <c r="Q4428" s="8">
        <f>+(27+50/60+22/3600)</f>
        <v>27.839444444444442</v>
      </c>
      <c r="R4428" s="8">
        <v>99</v>
      </c>
      <c r="S4428" s="8">
        <v>99</v>
      </c>
      <c r="T4428" s="8">
        <v>99</v>
      </c>
      <c r="U4428" s="8">
        <v>99</v>
      </c>
      <c r="Y4428" s="8" t="s">
        <v>20035</v>
      </c>
      <c r="Z4428" s="8" t="s">
        <v>20036</v>
      </c>
    </row>
    <row r="4429" spans="1:26" x14ac:dyDescent="0.2">
      <c r="A4429" s="8">
        <v>4428</v>
      </c>
      <c r="B4429" s="8" t="s">
        <v>20037</v>
      </c>
      <c r="C4429" s="8" t="s">
        <v>20037</v>
      </c>
      <c r="E4429" s="8">
        <v>1</v>
      </c>
      <c r="F4429" s="47"/>
      <c r="G4429" s="8">
        <v>13</v>
      </c>
      <c r="H4429" s="8" t="s">
        <v>21</v>
      </c>
      <c r="I4429" s="8" t="s">
        <v>22</v>
      </c>
      <c r="J4429" s="8" t="s">
        <v>22</v>
      </c>
      <c r="K4429" s="8" t="s">
        <v>64</v>
      </c>
      <c r="L4429" s="8" t="s">
        <v>17287</v>
      </c>
      <c r="M4429" s="8" t="s">
        <v>17288</v>
      </c>
      <c r="N4429" s="8" t="s">
        <v>20038</v>
      </c>
      <c r="O4429" s="8">
        <f>12+27/60+28.1/3600</f>
        <v>12.457805555555554</v>
      </c>
      <c r="P4429" s="8" t="s">
        <v>20039</v>
      </c>
      <c r="Q4429" s="8">
        <f>-(8+10/60+5/3600)</f>
        <v>-8.1680555555555543</v>
      </c>
      <c r="R4429" s="8">
        <v>12.6</v>
      </c>
      <c r="S4429" s="8">
        <v>13.3</v>
      </c>
      <c r="T4429" s="8">
        <v>0.7</v>
      </c>
      <c r="U4429" s="8">
        <v>12.9</v>
      </c>
      <c r="V4429" s="8">
        <v>1.7</v>
      </c>
      <c r="W4429" s="8">
        <v>0.7</v>
      </c>
      <c r="X4429" s="8">
        <v>79</v>
      </c>
      <c r="Y4429" s="8" t="s">
        <v>1225</v>
      </c>
      <c r="Z4429" s="8" t="s">
        <v>1226</v>
      </c>
    </row>
    <row r="4430" spans="1:26" x14ac:dyDescent="0.2">
      <c r="A4430" s="8">
        <v>4429</v>
      </c>
      <c r="B4430" s="8" t="s">
        <v>20040</v>
      </c>
      <c r="C4430" s="8" t="s">
        <v>20040</v>
      </c>
      <c r="F4430" s="47" t="s">
        <v>57372</v>
      </c>
      <c r="G4430" s="8">
        <v>6</v>
      </c>
      <c r="H4430" s="8" t="s">
        <v>21</v>
      </c>
      <c r="I4430" s="8" t="s">
        <v>22</v>
      </c>
      <c r="J4430" s="8" t="s">
        <v>22</v>
      </c>
      <c r="K4430" s="8" t="s">
        <v>632</v>
      </c>
      <c r="L4430" s="8" t="s">
        <v>17287</v>
      </c>
      <c r="M4430" s="8" t="s">
        <v>17288</v>
      </c>
      <c r="N4430" s="8" t="s">
        <v>20041</v>
      </c>
      <c r="O4430" s="8">
        <f>12+27/60+26.3/3600</f>
        <v>12.457305555555555</v>
      </c>
      <c r="P4430" s="8" t="s">
        <v>20042</v>
      </c>
      <c r="Q4430" s="8">
        <f>+(11+6/60+27/3600)</f>
        <v>11.1075</v>
      </c>
      <c r="R4430" s="8">
        <v>10</v>
      </c>
      <c r="S4430" s="8">
        <v>11</v>
      </c>
      <c r="T4430" s="8">
        <v>1</v>
      </c>
      <c r="U4430" s="8">
        <v>12.8</v>
      </c>
      <c r="V4430" s="8">
        <v>5.8</v>
      </c>
      <c r="W4430" s="8">
        <v>2.8</v>
      </c>
      <c r="X4430" s="8">
        <v>99</v>
      </c>
      <c r="Y4430" s="8" t="s">
        <v>20043</v>
      </c>
      <c r="Z4430" s="8" t="s">
        <v>20044</v>
      </c>
    </row>
    <row r="4431" spans="1:26" x14ac:dyDescent="0.2">
      <c r="A4431" s="8">
        <v>4430</v>
      </c>
      <c r="B4431" s="8" t="s">
        <v>20045</v>
      </c>
      <c r="C4431" s="8" t="s">
        <v>20045</v>
      </c>
      <c r="F4431" s="47" t="s">
        <v>57373</v>
      </c>
      <c r="G4431" s="8">
        <v>15</v>
      </c>
      <c r="H4431" s="8" t="s">
        <v>21</v>
      </c>
      <c r="I4431" s="8" t="s">
        <v>22</v>
      </c>
      <c r="J4431" s="8" t="s">
        <v>22</v>
      </c>
      <c r="K4431" s="8" t="s">
        <v>5751</v>
      </c>
      <c r="L4431" s="8" t="s">
        <v>17287</v>
      </c>
      <c r="M4431" s="8" t="s">
        <v>17288</v>
      </c>
      <c r="N4431" s="8" t="s">
        <v>20046</v>
      </c>
      <c r="O4431" s="8">
        <f>12+27/60+26.2/3600</f>
        <v>12.457277777777778</v>
      </c>
      <c r="P4431" s="8" t="s">
        <v>20047</v>
      </c>
      <c r="Q4431" s="8">
        <f>+(6+15/60+46/3600)</f>
        <v>6.262777777777778</v>
      </c>
      <c r="R4431" s="8">
        <v>12</v>
      </c>
      <c r="S4431" s="8">
        <v>12.8</v>
      </c>
      <c r="T4431" s="8">
        <v>0.8</v>
      </c>
      <c r="U4431" s="8">
        <v>13.5</v>
      </c>
      <c r="V4431" s="8">
        <v>2.2999999999999998</v>
      </c>
      <c r="W4431" s="8">
        <v>2</v>
      </c>
      <c r="X4431" s="8">
        <v>51</v>
      </c>
      <c r="Y4431" s="8" t="s">
        <v>19015</v>
      </c>
      <c r="Z4431" s="8" t="s">
        <v>19016</v>
      </c>
    </row>
    <row r="4432" spans="1:26" x14ac:dyDescent="0.2">
      <c r="A4432" s="8">
        <v>4431</v>
      </c>
      <c r="B4432" s="8" t="s">
        <v>20048</v>
      </c>
      <c r="C4432" s="8" t="s">
        <v>20048</v>
      </c>
      <c r="F4432" s="47" t="s">
        <v>57374</v>
      </c>
      <c r="G4432" s="8">
        <v>15</v>
      </c>
      <c r="H4432" s="8" t="s">
        <v>21</v>
      </c>
      <c r="I4432" s="8" t="s">
        <v>22</v>
      </c>
      <c r="J4432" s="8" t="s">
        <v>22</v>
      </c>
      <c r="K4432" s="8" t="s">
        <v>37</v>
      </c>
      <c r="L4432" s="8" t="s">
        <v>17287</v>
      </c>
      <c r="M4432" s="8" t="s">
        <v>17288</v>
      </c>
      <c r="N4432" s="8" t="s">
        <v>20049</v>
      </c>
      <c r="O4432" s="8">
        <f>12+27/60+27.4/3600</f>
        <v>12.45761111111111</v>
      </c>
      <c r="P4432" s="8" t="s">
        <v>20050</v>
      </c>
      <c r="Q4432" s="8">
        <f>+(12+17/60+26/3600)</f>
        <v>12.290555555555555</v>
      </c>
      <c r="R4432" s="8">
        <v>12.9</v>
      </c>
      <c r="S4432" s="8">
        <v>13.7</v>
      </c>
      <c r="T4432" s="8">
        <v>0.8</v>
      </c>
      <c r="U4432" s="8">
        <v>13.5</v>
      </c>
      <c r="V4432" s="8">
        <v>1.7</v>
      </c>
      <c r="W4432" s="8">
        <v>1</v>
      </c>
      <c r="X4432" s="8">
        <v>177</v>
      </c>
      <c r="Y4432" s="8" t="s">
        <v>20051</v>
      </c>
      <c r="Z4432" s="8" t="s">
        <v>20052</v>
      </c>
    </row>
    <row r="4433" spans="1:26" x14ac:dyDescent="0.2">
      <c r="A4433" s="8">
        <v>4432</v>
      </c>
      <c r="B4433" s="8" t="s">
        <v>20053</v>
      </c>
      <c r="C4433" s="8" t="s">
        <v>20053</v>
      </c>
      <c r="F4433" s="47"/>
      <c r="G4433" s="8">
        <v>18</v>
      </c>
      <c r="H4433" s="8" t="s">
        <v>21</v>
      </c>
      <c r="I4433" s="8" t="s">
        <v>22</v>
      </c>
      <c r="J4433" s="8" t="s">
        <v>22</v>
      </c>
      <c r="K4433" s="8" t="s">
        <v>85</v>
      </c>
      <c r="L4433" s="8" t="s">
        <v>17287</v>
      </c>
      <c r="M4433" s="8" t="s">
        <v>17288</v>
      </c>
      <c r="N4433" s="8" t="s">
        <v>20054</v>
      </c>
      <c r="O4433" s="8">
        <f>12+27/60+33/3600</f>
        <v>12.459166666666667</v>
      </c>
      <c r="P4433" s="8" t="s">
        <v>20055</v>
      </c>
      <c r="Q4433" s="8">
        <f>+(6+14/60+0/3600)</f>
        <v>6.2333333333333334</v>
      </c>
      <c r="R4433" s="8">
        <v>14</v>
      </c>
      <c r="S4433" s="8">
        <v>14.8</v>
      </c>
      <c r="T4433" s="8">
        <v>0.8</v>
      </c>
      <c r="U4433" s="8">
        <v>13.3</v>
      </c>
      <c r="V4433" s="8">
        <v>0.9</v>
      </c>
      <c r="W4433" s="8">
        <v>0.7</v>
      </c>
      <c r="X4433" s="8">
        <v>6</v>
      </c>
      <c r="Y4433" s="8" t="s">
        <v>21</v>
      </c>
      <c r="Z4433" s="8" t="s">
        <v>20056</v>
      </c>
    </row>
    <row r="4434" spans="1:26" x14ac:dyDescent="0.2">
      <c r="A4434" s="8">
        <v>4433</v>
      </c>
      <c r="B4434" s="8" t="s">
        <v>20057</v>
      </c>
      <c r="C4434" s="8" t="s">
        <v>20057</v>
      </c>
      <c r="F4434" s="47"/>
      <c r="G4434" s="8">
        <v>13</v>
      </c>
      <c r="H4434" s="8" t="s">
        <v>21</v>
      </c>
      <c r="I4434" s="8" t="s">
        <v>22</v>
      </c>
      <c r="J4434" s="8" t="s">
        <v>22</v>
      </c>
      <c r="K4434" s="8" t="s">
        <v>406</v>
      </c>
      <c r="L4434" s="8" t="s">
        <v>17287</v>
      </c>
      <c r="M4434" s="8" t="s">
        <v>17288</v>
      </c>
      <c r="N4434" s="8" t="s">
        <v>20058</v>
      </c>
      <c r="O4434" s="8">
        <f>12+27/60+38.5/3600</f>
        <v>12.460694444444444</v>
      </c>
      <c r="P4434" s="8" t="s">
        <v>20059</v>
      </c>
      <c r="Q4434" s="8">
        <f>-(8+16/60+45/3600)</f>
        <v>-8.2791666666666668</v>
      </c>
      <c r="R4434" s="8">
        <v>12.7</v>
      </c>
      <c r="S4434" s="8">
        <v>13.3</v>
      </c>
      <c r="T4434" s="8">
        <v>0.6</v>
      </c>
      <c r="U4434" s="8">
        <v>13.3</v>
      </c>
      <c r="V4434" s="8">
        <v>2.2000000000000002</v>
      </c>
      <c r="W4434" s="8">
        <v>0.9</v>
      </c>
      <c r="X4434" s="8">
        <v>5</v>
      </c>
      <c r="Y4434" s="8" t="s">
        <v>10488</v>
      </c>
      <c r="Z4434" s="8" t="s">
        <v>7772</v>
      </c>
    </row>
    <row r="4435" spans="1:26" x14ac:dyDescent="0.2">
      <c r="A4435" s="8">
        <v>4434</v>
      </c>
      <c r="B4435" s="8" t="s">
        <v>20060</v>
      </c>
      <c r="C4435" s="8" t="s">
        <v>20060</v>
      </c>
      <c r="F4435" s="47" t="s">
        <v>57375</v>
      </c>
      <c r="G4435" s="8">
        <v>15</v>
      </c>
      <c r="H4435" s="8" t="s">
        <v>21</v>
      </c>
      <c r="I4435" s="8" t="s">
        <v>22</v>
      </c>
      <c r="J4435" s="8" t="s">
        <v>22</v>
      </c>
      <c r="K4435" s="8" t="s">
        <v>460</v>
      </c>
      <c r="L4435" s="8" t="s">
        <v>17287</v>
      </c>
      <c r="M4435" s="8" t="s">
        <v>17288</v>
      </c>
      <c r="N4435" s="8" t="s">
        <v>20061</v>
      </c>
      <c r="O4435" s="8">
        <f>12+27/60+36.6/3600</f>
        <v>12.460166666666666</v>
      </c>
      <c r="P4435" s="8" t="s">
        <v>20062</v>
      </c>
      <c r="Q4435" s="8">
        <f>+(8+9/60+16/3600)</f>
        <v>8.1544444444444455</v>
      </c>
      <c r="R4435" s="8">
        <v>12.2</v>
      </c>
      <c r="S4435" s="8">
        <v>13</v>
      </c>
      <c r="T4435" s="8">
        <v>0.8</v>
      </c>
      <c r="U4435" s="8">
        <v>12.8</v>
      </c>
      <c r="V4435" s="8">
        <v>1.4</v>
      </c>
      <c r="W4435" s="8">
        <v>1.4</v>
      </c>
      <c r="Y4435" s="8" t="s">
        <v>20063</v>
      </c>
      <c r="Z4435" s="8" t="s">
        <v>20064</v>
      </c>
    </row>
    <row r="4436" spans="1:26" x14ac:dyDescent="0.2">
      <c r="A4436" s="8">
        <v>4435</v>
      </c>
      <c r="B4436" s="8" t="s">
        <v>20065</v>
      </c>
      <c r="C4436" s="8" t="s">
        <v>20065</v>
      </c>
      <c r="F4436" s="47" t="s">
        <v>57376</v>
      </c>
      <c r="G4436" s="8">
        <v>6</v>
      </c>
      <c r="H4436" s="8" t="s">
        <v>20066</v>
      </c>
      <c r="I4436" s="8" t="s">
        <v>22</v>
      </c>
      <c r="J4436" s="8" t="s">
        <v>22</v>
      </c>
      <c r="K4436" s="8" t="s">
        <v>224</v>
      </c>
      <c r="L4436" s="8" t="s">
        <v>17287</v>
      </c>
      <c r="M4436" s="8" t="s">
        <v>17288</v>
      </c>
      <c r="N4436" s="8" t="s">
        <v>20067</v>
      </c>
      <c r="O4436" s="8">
        <f>12+27/60+40.5/3600</f>
        <v>12.46125</v>
      </c>
      <c r="P4436" s="8" t="s">
        <v>20068</v>
      </c>
      <c r="Q4436" s="8">
        <f>+(13+4/60+47/3600)</f>
        <v>13.079722222222221</v>
      </c>
      <c r="R4436" s="8">
        <v>10.8</v>
      </c>
      <c r="S4436" s="8">
        <v>11.7</v>
      </c>
      <c r="T4436" s="8">
        <v>0.9</v>
      </c>
      <c r="U4436" s="8">
        <v>12.5</v>
      </c>
      <c r="V4436" s="8">
        <v>3</v>
      </c>
      <c r="W4436" s="8">
        <v>2.2000000000000002</v>
      </c>
      <c r="X4436" s="8">
        <v>13</v>
      </c>
      <c r="Y4436" s="8" t="s">
        <v>20069</v>
      </c>
      <c r="Z4436" s="8" t="s">
        <v>20070</v>
      </c>
    </row>
    <row r="4437" spans="1:26" x14ac:dyDescent="0.2">
      <c r="A4437" s="8">
        <v>4436</v>
      </c>
      <c r="B4437" s="8" t="s">
        <v>20071</v>
      </c>
      <c r="C4437" s="8" t="s">
        <v>20071</v>
      </c>
      <c r="F4437" s="47" t="s">
        <v>57377</v>
      </c>
      <c r="G4437" s="8">
        <v>15</v>
      </c>
      <c r="H4437" s="8" t="s">
        <v>21</v>
      </c>
      <c r="I4437" s="8" t="s">
        <v>22</v>
      </c>
      <c r="J4437" s="8" t="s">
        <v>22</v>
      </c>
      <c r="K4437" s="8" t="s">
        <v>37</v>
      </c>
      <c r="L4437" s="8" t="s">
        <v>17287</v>
      </c>
      <c r="M4437" s="8" t="s">
        <v>17288</v>
      </c>
      <c r="N4437" s="8" t="s">
        <v>20072</v>
      </c>
      <c r="O4437" s="8">
        <f>12+27/60+41.3/3600</f>
        <v>12.461472222222222</v>
      </c>
      <c r="P4437" s="8" t="s">
        <v>20073</v>
      </c>
      <c r="Q4437" s="8">
        <f>+(12+18/60+57/3600)</f>
        <v>12.315833333333334</v>
      </c>
      <c r="R4437" s="8">
        <v>13</v>
      </c>
      <c r="S4437" s="8">
        <v>13.9</v>
      </c>
      <c r="T4437" s="8">
        <v>0.9</v>
      </c>
      <c r="U4437" s="8">
        <v>13</v>
      </c>
      <c r="V4437" s="8">
        <v>1.5</v>
      </c>
      <c r="W4437" s="8">
        <v>0.8</v>
      </c>
      <c r="X4437" s="8">
        <v>115</v>
      </c>
      <c r="Y4437" s="8" t="s">
        <v>8182</v>
      </c>
      <c r="Z4437" s="8" t="s">
        <v>8183</v>
      </c>
    </row>
    <row r="4438" spans="1:26" x14ac:dyDescent="0.2">
      <c r="A4438" s="8">
        <v>4437</v>
      </c>
      <c r="B4438" s="8" t="s">
        <v>20074</v>
      </c>
      <c r="C4438" s="8" t="s">
        <v>20074</v>
      </c>
      <c r="F4438" s="47"/>
      <c r="G4438" s="8">
        <v>16</v>
      </c>
      <c r="H4438" s="8" t="s">
        <v>21</v>
      </c>
      <c r="I4438" s="8" t="s">
        <v>22</v>
      </c>
      <c r="J4438" s="8" t="s">
        <v>57</v>
      </c>
      <c r="K4438" s="8" t="s">
        <v>160</v>
      </c>
      <c r="L4438" s="8" t="s">
        <v>17287</v>
      </c>
      <c r="M4438" s="8" t="s">
        <v>17288</v>
      </c>
      <c r="N4438" s="8" t="s">
        <v>20075</v>
      </c>
      <c r="O4438" s="8">
        <f>12+32/60+45.6/3600</f>
        <v>12.545999999999999</v>
      </c>
      <c r="P4438" s="8" t="s">
        <v>20076</v>
      </c>
      <c r="Q4438" s="8">
        <f>+(0+6/60+56/3600)</f>
        <v>0.11555555555555556</v>
      </c>
      <c r="R4438" s="8">
        <v>10.4</v>
      </c>
      <c r="S4438" s="8">
        <v>11.1</v>
      </c>
      <c r="T4438" s="8">
        <v>0.7</v>
      </c>
      <c r="U4438" s="8">
        <v>13.2</v>
      </c>
      <c r="V4438" s="8">
        <v>10.5</v>
      </c>
      <c r="W4438" s="8">
        <v>1.5</v>
      </c>
      <c r="X4438" s="8">
        <v>83</v>
      </c>
      <c r="Y4438" s="8" t="s">
        <v>20077</v>
      </c>
      <c r="Z4438" s="8" t="s">
        <v>20078</v>
      </c>
    </row>
    <row r="4439" spans="1:26" x14ac:dyDescent="0.2">
      <c r="A4439" s="8">
        <v>4438</v>
      </c>
      <c r="B4439" s="8" t="s">
        <v>20079</v>
      </c>
      <c r="C4439" s="8" t="s">
        <v>20079</v>
      </c>
      <c r="F4439" s="47" t="s">
        <v>57378</v>
      </c>
      <c r="G4439" s="8">
        <v>6</v>
      </c>
      <c r="H4439" s="8" t="s">
        <v>20066</v>
      </c>
      <c r="I4439" s="8" t="s">
        <v>22</v>
      </c>
      <c r="J4439" s="8" t="s">
        <v>22</v>
      </c>
      <c r="K4439" s="8" t="s">
        <v>632</v>
      </c>
      <c r="L4439" s="8" t="s">
        <v>17287</v>
      </c>
      <c r="M4439" s="8" t="s">
        <v>17288</v>
      </c>
      <c r="N4439" s="8" t="s">
        <v>20080</v>
      </c>
      <c r="O4439" s="8">
        <f>12+27/60+45.6/3600</f>
        <v>12.462666666666665</v>
      </c>
      <c r="P4439" s="8" t="s">
        <v>20081</v>
      </c>
      <c r="Q4439" s="8">
        <f>+(13+0/60+31/3600)</f>
        <v>13.008611111111112</v>
      </c>
      <c r="R4439" s="8">
        <v>10.199999999999999</v>
      </c>
      <c r="S4439" s="8">
        <v>11</v>
      </c>
      <c r="T4439" s="8">
        <v>0.8</v>
      </c>
      <c r="U4439" s="8">
        <v>13.6</v>
      </c>
      <c r="V4439" s="8">
        <v>8.5</v>
      </c>
      <c r="W4439" s="8">
        <v>3</v>
      </c>
      <c r="X4439" s="8">
        <v>27</v>
      </c>
      <c r="Y4439" s="8" t="s">
        <v>20082</v>
      </c>
      <c r="Z4439" s="8" t="s">
        <v>20083</v>
      </c>
    </row>
    <row r="4440" spans="1:26" x14ac:dyDescent="0.2">
      <c r="A4440" s="8">
        <v>4439</v>
      </c>
      <c r="B4440" s="8" t="s">
        <v>20084</v>
      </c>
      <c r="C4440" s="8" t="s">
        <v>20084</v>
      </c>
      <c r="F4440" s="47"/>
      <c r="G4440" s="8">
        <v>13</v>
      </c>
      <c r="H4440" s="8" t="s">
        <v>21</v>
      </c>
      <c r="I4440" s="8" t="s">
        <v>557</v>
      </c>
      <c r="J4440" s="8" t="s">
        <v>557</v>
      </c>
      <c r="K4440" s="8" t="s">
        <v>3602</v>
      </c>
      <c r="L4440" s="8" t="s">
        <v>18453</v>
      </c>
      <c r="M4440" s="8" t="s">
        <v>18454</v>
      </c>
      <c r="N4440" s="8" t="s">
        <v>20085</v>
      </c>
      <c r="O4440" s="8">
        <f>12+28/60+26.3/3600</f>
        <v>12.473972222222223</v>
      </c>
      <c r="P4440" s="8" t="s">
        <v>20086</v>
      </c>
      <c r="Q4440" s="8">
        <f>-(60+6/60+11/3600)</f>
        <v>-60.103055555555557</v>
      </c>
      <c r="R4440" s="8">
        <v>8.4</v>
      </c>
      <c r="S4440" s="8">
        <v>99</v>
      </c>
      <c r="T4440" s="8">
        <v>99</v>
      </c>
      <c r="U4440" s="8">
        <v>99</v>
      </c>
      <c r="V4440" s="8">
        <v>4</v>
      </c>
      <c r="Y4440" s="8" t="s">
        <v>20087</v>
      </c>
      <c r="Z4440" s="8" t="s">
        <v>20088</v>
      </c>
    </row>
    <row r="4441" spans="1:26" x14ac:dyDescent="0.2">
      <c r="A4441" s="8">
        <v>4440</v>
      </c>
      <c r="B4441" s="8" t="s">
        <v>20089</v>
      </c>
      <c r="C4441" s="8" t="s">
        <v>20089</v>
      </c>
      <c r="F4441" s="47" t="s">
        <v>57379</v>
      </c>
      <c r="G4441" s="8">
        <v>12</v>
      </c>
      <c r="H4441" s="8" t="s">
        <v>21</v>
      </c>
      <c r="I4441" s="8" t="s">
        <v>22</v>
      </c>
      <c r="J4441" s="8" t="s">
        <v>22</v>
      </c>
      <c r="K4441" s="8" t="s">
        <v>154</v>
      </c>
      <c r="L4441" s="8" t="s">
        <v>17287</v>
      </c>
      <c r="M4441" s="8" t="s">
        <v>17288</v>
      </c>
      <c r="N4441" s="8" t="s">
        <v>20090</v>
      </c>
      <c r="O4441" s="8">
        <f>12+27/60+53.5/3600</f>
        <v>12.464861111111111</v>
      </c>
      <c r="P4441" s="8" t="s">
        <v>20091</v>
      </c>
      <c r="Q4441" s="8">
        <f>+(12+17/60+36/3600)</f>
        <v>12.293333333333333</v>
      </c>
      <c r="R4441" s="8">
        <v>11.7</v>
      </c>
      <c r="S4441" s="8">
        <v>12.7</v>
      </c>
      <c r="T4441" s="8">
        <v>1</v>
      </c>
      <c r="U4441" s="8">
        <v>12.7</v>
      </c>
      <c r="V4441" s="8">
        <v>1.8</v>
      </c>
      <c r="W4441" s="8">
        <v>1.6</v>
      </c>
      <c r="X4441" s="8">
        <v>3</v>
      </c>
      <c r="Y4441" s="8" t="s">
        <v>20092</v>
      </c>
      <c r="Z4441" s="8" t="s">
        <v>20093</v>
      </c>
    </row>
    <row r="4442" spans="1:26" x14ac:dyDescent="0.2">
      <c r="A4442" s="8">
        <v>4441</v>
      </c>
      <c r="B4442" s="8" t="s">
        <v>20094</v>
      </c>
      <c r="C4442" s="8" t="s">
        <v>20094</v>
      </c>
      <c r="F4442" s="47" t="s">
        <v>57380</v>
      </c>
      <c r="G4442" s="8">
        <v>15</v>
      </c>
      <c r="H4442" s="8" t="s">
        <v>21</v>
      </c>
      <c r="I4442" s="8" t="s">
        <v>22</v>
      </c>
      <c r="J4442" s="8" t="s">
        <v>22</v>
      </c>
      <c r="K4442" s="8" t="s">
        <v>435</v>
      </c>
      <c r="L4442" s="8" t="s">
        <v>13395</v>
      </c>
      <c r="M4442" s="8" t="s">
        <v>13396</v>
      </c>
      <c r="N4442" s="8" t="s">
        <v>20095</v>
      </c>
      <c r="O4442" s="8">
        <f>12+27/60+20.2/3600</f>
        <v>12.455611111111111</v>
      </c>
      <c r="P4442" s="8" t="s">
        <v>20096</v>
      </c>
      <c r="Q4442" s="8">
        <f>+(64+48/60+8/3600)</f>
        <v>64.802222222222213</v>
      </c>
      <c r="R4442" s="8">
        <v>12.7</v>
      </c>
      <c r="S4442" s="8">
        <v>13.4</v>
      </c>
      <c r="T4442" s="8">
        <v>0.7</v>
      </c>
      <c r="U4442" s="8">
        <v>14.8</v>
      </c>
      <c r="V4442" s="8">
        <v>3.2</v>
      </c>
      <c r="W4442" s="8">
        <v>2.5</v>
      </c>
      <c r="X4442" s="8">
        <v>9</v>
      </c>
      <c r="Y4442" s="8" t="s">
        <v>20097</v>
      </c>
      <c r="Z4442" s="8" t="s">
        <v>20098</v>
      </c>
    </row>
    <row r="4443" spans="1:26" x14ac:dyDescent="0.2">
      <c r="A4443" s="8">
        <v>4442</v>
      </c>
      <c r="B4443" s="8" t="s">
        <v>20099</v>
      </c>
      <c r="C4443" s="8" t="s">
        <v>20099</v>
      </c>
      <c r="F4443" s="47" t="s">
        <v>57381</v>
      </c>
      <c r="G4443" s="8">
        <v>6</v>
      </c>
      <c r="H4443" s="8" t="s">
        <v>21</v>
      </c>
      <c r="I4443" s="8" t="s">
        <v>22</v>
      </c>
      <c r="J4443" s="8" t="s">
        <v>22</v>
      </c>
      <c r="K4443" s="8" t="s">
        <v>224</v>
      </c>
      <c r="L4443" s="8" t="s">
        <v>17287</v>
      </c>
      <c r="M4443" s="8" t="s">
        <v>17288</v>
      </c>
      <c r="N4443" s="8" t="s">
        <v>20100</v>
      </c>
      <c r="O4443" s="8">
        <f>12+28/60+3.9/3600</f>
        <v>12.467750000000001</v>
      </c>
      <c r="P4443" s="8" t="s">
        <v>20101</v>
      </c>
      <c r="Q4443" s="8">
        <f>+(9+48/60+14/3600)</f>
        <v>9.8038888888888902</v>
      </c>
      <c r="R4443" s="8">
        <v>10.4</v>
      </c>
      <c r="S4443" s="8">
        <v>11.4</v>
      </c>
      <c r="T4443" s="8">
        <v>1</v>
      </c>
      <c r="U4443" s="8">
        <v>12.6</v>
      </c>
      <c r="V4443" s="8">
        <v>4.5</v>
      </c>
      <c r="W4443" s="8">
        <v>1.8</v>
      </c>
      <c r="X4443" s="8">
        <v>87</v>
      </c>
      <c r="Y4443" s="8" t="s">
        <v>13183</v>
      </c>
      <c r="Z4443" s="8" t="s">
        <v>13184</v>
      </c>
    </row>
    <row r="4444" spans="1:26" x14ac:dyDescent="0.2">
      <c r="A4444" s="8">
        <v>4443</v>
      </c>
      <c r="B4444" s="8" t="s">
        <v>20102</v>
      </c>
      <c r="C4444" s="8" t="s">
        <v>20102</v>
      </c>
      <c r="F4444" s="47"/>
      <c r="G4444" s="8">
        <v>18</v>
      </c>
      <c r="H4444" s="8" t="s">
        <v>21</v>
      </c>
      <c r="I4444" s="8" t="s">
        <v>22</v>
      </c>
      <c r="J4444" s="8" t="s">
        <v>57</v>
      </c>
      <c r="K4444" s="8" t="s">
        <v>435</v>
      </c>
      <c r="L4444" s="8" t="s">
        <v>17287</v>
      </c>
      <c r="M4444" s="8" t="s">
        <v>17288</v>
      </c>
      <c r="N4444" s="8" t="s">
        <v>20103</v>
      </c>
      <c r="O4444" s="8">
        <f>12+29/60+2.9/3600</f>
        <v>12.484138888888888</v>
      </c>
      <c r="P4444" s="8" t="s">
        <v>20104</v>
      </c>
      <c r="Q4444" s="8">
        <f>+(13+11/60+4/3600)</f>
        <v>13.184444444444445</v>
      </c>
      <c r="R4444" s="8">
        <v>11.2</v>
      </c>
      <c r="S4444" s="8">
        <v>12.1</v>
      </c>
      <c r="T4444" s="8">
        <v>0.9</v>
      </c>
      <c r="U4444" s="8">
        <v>12.8</v>
      </c>
      <c r="V4444" s="8">
        <v>3.4</v>
      </c>
      <c r="W4444" s="8">
        <v>1.4</v>
      </c>
      <c r="X4444" s="8">
        <v>9</v>
      </c>
      <c r="Y4444" s="8" t="s">
        <v>20105</v>
      </c>
      <c r="Z4444" s="8" t="s">
        <v>20106</v>
      </c>
    </row>
    <row r="4445" spans="1:26" x14ac:dyDescent="0.2">
      <c r="A4445" s="8">
        <v>4444</v>
      </c>
      <c r="B4445" s="8" t="s">
        <v>20107</v>
      </c>
      <c r="C4445" s="8" t="s">
        <v>20107</v>
      </c>
      <c r="F4445" s="47"/>
      <c r="G4445" s="8">
        <v>16</v>
      </c>
      <c r="H4445" s="8" t="s">
        <v>21</v>
      </c>
      <c r="I4445" s="8" t="s">
        <v>22</v>
      </c>
      <c r="J4445" s="8" t="s">
        <v>22</v>
      </c>
      <c r="K4445" s="8" t="s">
        <v>85</v>
      </c>
      <c r="L4445" s="8" t="s">
        <v>16195</v>
      </c>
      <c r="M4445" s="8" t="s">
        <v>16196</v>
      </c>
      <c r="N4445" s="8" t="s">
        <v>20108</v>
      </c>
      <c r="O4445" s="8">
        <f>12+28/60+36.1/3600</f>
        <v>12.476694444444444</v>
      </c>
      <c r="P4445" s="8" t="s">
        <v>20109</v>
      </c>
      <c r="Q4445" s="8">
        <f>-(43+15/60+44/3600)</f>
        <v>-43.262222222222221</v>
      </c>
      <c r="R4445" s="8">
        <v>12.2</v>
      </c>
      <c r="S4445" s="8">
        <v>13</v>
      </c>
      <c r="T4445" s="8">
        <v>0.8</v>
      </c>
      <c r="U4445" s="8">
        <v>13.9</v>
      </c>
      <c r="V4445" s="8">
        <v>2.5</v>
      </c>
      <c r="W4445" s="8">
        <v>2.2999999999999998</v>
      </c>
      <c r="X4445" s="8">
        <v>119</v>
      </c>
      <c r="Y4445" s="8" t="s">
        <v>20110</v>
      </c>
      <c r="Z4445" s="8" t="s">
        <v>20111</v>
      </c>
    </row>
    <row r="4446" spans="1:26" x14ac:dyDescent="0.2">
      <c r="A4446" s="8">
        <v>4445</v>
      </c>
      <c r="B4446" s="8" t="s">
        <v>20112</v>
      </c>
      <c r="C4446" s="8" t="s">
        <v>20112</v>
      </c>
      <c r="F4446" s="47"/>
      <c r="G4446" s="8">
        <v>18</v>
      </c>
      <c r="H4446" s="8" t="s">
        <v>21</v>
      </c>
      <c r="I4446" s="8" t="s">
        <v>22</v>
      </c>
      <c r="J4446" s="8" t="s">
        <v>22</v>
      </c>
      <c r="K4446" s="8" t="s">
        <v>31</v>
      </c>
      <c r="L4446" s="8" t="s">
        <v>17287</v>
      </c>
      <c r="M4446" s="8" t="s">
        <v>17288</v>
      </c>
      <c r="N4446" s="8" t="s">
        <v>20113</v>
      </c>
      <c r="O4446" s="8">
        <f>12+28/60+16.1/3600</f>
        <v>12.471138888888889</v>
      </c>
      <c r="P4446" s="8" t="s">
        <v>20114</v>
      </c>
      <c r="Q4446" s="8">
        <f>+(9+26/60+12/3600)</f>
        <v>9.4366666666666674</v>
      </c>
      <c r="R4446" s="8">
        <v>12.8</v>
      </c>
      <c r="S4446" s="8">
        <v>13.7</v>
      </c>
      <c r="T4446" s="8">
        <v>0.9</v>
      </c>
      <c r="U4446" s="8">
        <v>13</v>
      </c>
      <c r="V4446" s="8">
        <v>2.6</v>
      </c>
      <c r="W4446" s="8">
        <v>0.5</v>
      </c>
      <c r="X4446" s="8">
        <v>106</v>
      </c>
      <c r="Y4446" s="8" t="s">
        <v>16028</v>
      </c>
      <c r="Z4446" s="8" t="s">
        <v>13248</v>
      </c>
    </row>
    <row r="4447" spans="1:26" x14ac:dyDescent="0.2">
      <c r="A4447" s="8">
        <v>4446</v>
      </c>
      <c r="B4447" s="8" t="s">
        <v>20115</v>
      </c>
      <c r="C4447" s="8" t="s">
        <v>20115</v>
      </c>
      <c r="F4447" s="47"/>
      <c r="G4447" s="8">
        <v>19</v>
      </c>
      <c r="H4447" s="8" t="s">
        <v>21</v>
      </c>
      <c r="I4447" s="8" t="s">
        <v>22</v>
      </c>
      <c r="J4447" s="8" t="s">
        <v>22</v>
      </c>
      <c r="K4447" s="8" t="s">
        <v>160</v>
      </c>
      <c r="L4447" s="8" t="s">
        <v>18289</v>
      </c>
      <c r="M4447" s="8" t="s">
        <v>18290</v>
      </c>
      <c r="N4447" s="8" t="s">
        <v>20116</v>
      </c>
      <c r="O4447" s="8">
        <f>12+28/60+6.8/3600</f>
        <v>12.468555555555556</v>
      </c>
      <c r="P4447" s="8" t="s">
        <v>20117</v>
      </c>
      <c r="Q4447" s="8">
        <f>+(13+54/60+44/3600)</f>
        <v>13.912222222222223</v>
      </c>
      <c r="R4447" s="8">
        <v>13.9</v>
      </c>
      <c r="S4447" s="8">
        <v>14.6</v>
      </c>
      <c r="T4447" s="8">
        <v>0.7</v>
      </c>
      <c r="U4447" s="8">
        <v>13.6</v>
      </c>
      <c r="V4447" s="8">
        <v>1.1000000000000001</v>
      </c>
      <c r="W4447" s="8">
        <v>0.9</v>
      </c>
      <c r="X4447" s="8">
        <v>106</v>
      </c>
      <c r="Y4447" s="8" t="s">
        <v>215</v>
      </c>
      <c r="Z4447" s="8" t="s">
        <v>216</v>
      </c>
    </row>
    <row r="4448" spans="1:26" x14ac:dyDescent="0.2">
      <c r="A4448" s="8">
        <v>4447</v>
      </c>
      <c r="B4448" s="8" t="s">
        <v>20118</v>
      </c>
      <c r="C4448" s="8" t="s">
        <v>20118</v>
      </c>
      <c r="F4448" s="47"/>
      <c r="G4448" s="8">
        <v>19</v>
      </c>
      <c r="H4448" s="8" t="s">
        <v>21</v>
      </c>
      <c r="I4448" s="8" t="s">
        <v>22</v>
      </c>
      <c r="J4448" s="8" t="s">
        <v>22</v>
      </c>
      <c r="K4448" s="8" t="s">
        <v>224</v>
      </c>
      <c r="L4448" s="8" t="s">
        <v>18289</v>
      </c>
      <c r="M4448" s="8" t="s">
        <v>18290</v>
      </c>
      <c r="N4448" s="8" t="s">
        <v>20119</v>
      </c>
      <c r="O4448" s="8">
        <f>12+28/60+12.4/3600</f>
        <v>12.470111111111111</v>
      </c>
      <c r="P4448" s="8" t="s">
        <v>20120</v>
      </c>
      <c r="Q4448" s="8">
        <f>+(13+53/60+59/3600)</f>
        <v>13.899722222222222</v>
      </c>
      <c r="R4448" s="8">
        <v>14</v>
      </c>
      <c r="S4448" s="8">
        <v>15</v>
      </c>
      <c r="T4448" s="8">
        <v>1</v>
      </c>
      <c r="U4448" s="8">
        <v>13.3</v>
      </c>
      <c r="V4448" s="8">
        <v>0.9</v>
      </c>
      <c r="W4448" s="8">
        <v>0.7</v>
      </c>
      <c r="X4448" s="8">
        <v>105</v>
      </c>
      <c r="Y4448" s="8" t="s">
        <v>215</v>
      </c>
      <c r="Z4448" s="8" t="s">
        <v>216</v>
      </c>
    </row>
    <row r="4449" spans="1:26" x14ac:dyDescent="0.2">
      <c r="A4449" s="8">
        <v>4448</v>
      </c>
      <c r="B4449" s="8" t="s">
        <v>20121</v>
      </c>
      <c r="C4449" s="8" t="s">
        <v>20121</v>
      </c>
      <c r="F4449" s="47" t="s">
        <v>57382</v>
      </c>
      <c r="G4449" s="8">
        <v>6</v>
      </c>
      <c r="H4449" s="8" t="s">
        <v>21</v>
      </c>
      <c r="I4449" s="8" t="s">
        <v>22</v>
      </c>
      <c r="J4449" s="8" t="s">
        <v>22</v>
      </c>
      <c r="K4449" s="8" t="s">
        <v>406</v>
      </c>
      <c r="L4449" s="8" t="s">
        <v>18289</v>
      </c>
      <c r="M4449" s="8" t="s">
        <v>18290</v>
      </c>
      <c r="N4449" s="8" t="s">
        <v>20122</v>
      </c>
      <c r="O4449" s="8">
        <f>12+28/60+15.5/3600</f>
        <v>12.470972222222223</v>
      </c>
      <c r="P4449" s="8" t="s">
        <v>20123</v>
      </c>
      <c r="Q4449" s="8">
        <f>+(28+37/60+17/3600)</f>
        <v>28.621388888888891</v>
      </c>
      <c r="R4449" s="8">
        <v>11.1</v>
      </c>
      <c r="S4449" s="8">
        <v>12</v>
      </c>
      <c r="T4449" s="8">
        <v>0.9</v>
      </c>
      <c r="U4449" s="8">
        <v>12.8</v>
      </c>
      <c r="V4449" s="8">
        <v>3.9</v>
      </c>
      <c r="W4449" s="8">
        <v>1.4</v>
      </c>
      <c r="X4449" s="8">
        <v>94</v>
      </c>
      <c r="Y4449" s="8" t="s">
        <v>20124</v>
      </c>
      <c r="Z4449" s="8" t="s">
        <v>20125</v>
      </c>
    </row>
    <row r="4450" spans="1:26" x14ac:dyDescent="0.2">
      <c r="A4450" s="8">
        <v>4449</v>
      </c>
      <c r="B4450" s="8" t="s">
        <v>20126</v>
      </c>
      <c r="C4450" s="8" t="s">
        <v>20126</v>
      </c>
      <c r="F4450" s="47" t="s">
        <v>57383</v>
      </c>
      <c r="G4450" s="8">
        <v>2</v>
      </c>
      <c r="H4450" s="8" t="s">
        <v>21</v>
      </c>
      <c r="I4450" s="8" t="s">
        <v>22</v>
      </c>
      <c r="J4450" s="8" t="s">
        <v>22</v>
      </c>
      <c r="K4450" s="8" t="s">
        <v>107</v>
      </c>
      <c r="L4450" s="8" t="s">
        <v>18681</v>
      </c>
      <c r="M4450" s="8" t="s">
        <v>18682</v>
      </c>
      <c r="N4450" s="8" t="s">
        <v>20127</v>
      </c>
      <c r="O4450" s="8">
        <f>12+28/60+11.3/3600</f>
        <v>12.469805555555556</v>
      </c>
      <c r="P4450" s="8" t="s">
        <v>20128</v>
      </c>
      <c r="Q4450" s="8">
        <f>+(44+5/60+42/3600)</f>
        <v>44.094999999999999</v>
      </c>
      <c r="R4450" s="8">
        <v>9.6</v>
      </c>
      <c r="S4450" s="8">
        <v>10</v>
      </c>
      <c r="T4450" s="8">
        <v>0.4</v>
      </c>
      <c r="U4450" s="8">
        <v>13</v>
      </c>
      <c r="V4450" s="8">
        <v>6.2</v>
      </c>
      <c r="W4450" s="8">
        <v>4.4000000000000004</v>
      </c>
      <c r="X4450" s="8">
        <v>45</v>
      </c>
      <c r="Y4450" s="8" t="s">
        <v>20129</v>
      </c>
      <c r="Z4450" s="8" t="s">
        <v>20130</v>
      </c>
    </row>
    <row r="4451" spans="1:26" x14ac:dyDescent="0.2">
      <c r="A4451" s="8">
        <v>4450</v>
      </c>
      <c r="B4451" s="8" t="s">
        <v>20131</v>
      </c>
      <c r="C4451" s="8" t="s">
        <v>20131</v>
      </c>
      <c r="F4451" s="47" t="s">
        <v>57384</v>
      </c>
      <c r="G4451" s="8">
        <v>6</v>
      </c>
      <c r="H4451" s="8" t="s">
        <v>21</v>
      </c>
      <c r="I4451" s="8" t="s">
        <v>22</v>
      </c>
      <c r="J4451" s="8" t="s">
        <v>22</v>
      </c>
      <c r="K4451" s="8" t="s">
        <v>31</v>
      </c>
      <c r="L4451" s="8" t="s">
        <v>18289</v>
      </c>
      <c r="M4451" s="8" t="s">
        <v>18290</v>
      </c>
      <c r="N4451" s="8" t="s">
        <v>20132</v>
      </c>
      <c r="O4451" s="8">
        <f>12+28/60+29.3/3600</f>
        <v>12.474805555555555</v>
      </c>
      <c r="P4451" s="8" t="s">
        <v>20133</v>
      </c>
      <c r="Q4451" s="8">
        <f>+(17+5/60+3/3600)</f>
        <v>17.084166666666665</v>
      </c>
      <c r="R4451" s="8">
        <v>10.1</v>
      </c>
      <c r="S4451" s="8">
        <v>10.9</v>
      </c>
      <c r="T4451" s="8">
        <v>0.8</v>
      </c>
      <c r="U4451" s="8">
        <v>13.2</v>
      </c>
      <c r="V4451" s="8">
        <v>5.4</v>
      </c>
      <c r="W4451" s="8">
        <v>4.0999999999999996</v>
      </c>
      <c r="X4451" s="8">
        <v>175</v>
      </c>
      <c r="Y4451" s="8" t="s">
        <v>20134</v>
      </c>
      <c r="Z4451" s="8" t="s">
        <v>20135</v>
      </c>
    </row>
    <row r="4452" spans="1:26" x14ac:dyDescent="0.2">
      <c r="A4452" s="8">
        <v>4451</v>
      </c>
      <c r="B4452" s="8" t="s">
        <v>20136</v>
      </c>
      <c r="C4452" s="8" t="s">
        <v>20136</v>
      </c>
      <c r="F4452" s="47"/>
      <c r="G4452" s="8">
        <v>18</v>
      </c>
      <c r="H4452" s="8" t="s">
        <v>21</v>
      </c>
      <c r="I4452" s="8" t="s">
        <v>22</v>
      </c>
      <c r="J4452" s="8" t="s">
        <v>22</v>
      </c>
      <c r="K4452" s="8" t="s">
        <v>23</v>
      </c>
      <c r="L4452" s="8" t="s">
        <v>17287</v>
      </c>
      <c r="M4452" s="8" t="s">
        <v>17288</v>
      </c>
      <c r="N4452" s="8" t="s">
        <v>20137</v>
      </c>
      <c r="O4452" s="8">
        <f>12+28/60+40.5/3600</f>
        <v>12.477916666666667</v>
      </c>
      <c r="P4452" s="8" t="s">
        <v>20138</v>
      </c>
      <c r="Q4452" s="8">
        <f>+(9+15/60+32/3600)</f>
        <v>9.2588888888888885</v>
      </c>
      <c r="R4452" s="8">
        <v>12.5</v>
      </c>
      <c r="S4452" s="8">
        <v>13.3</v>
      </c>
      <c r="T4452" s="8">
        <v>0.8</v>
      </c>
      <c r="U4452" s="8">
        <v>12.7</v>
      </c>
      <c r="V4452" s="8">
        <v>1.5</v>
      </c>
      <c r="W4452" s="8">
        <v>0.9</v>
      </c>
      <c r="X4452" s="8">
        <v>162</v>
      </c>
      <c r="Y4452" s="8" t="s">
        <v>20139</v>
      </c>
      <c r="Z4452" s="8" t="s">
        <v>20140</v>
      </c>
    </row>
    <row r="4453" spans="1:26" x14ac:dyDescent="0.2">
      <c r="A4453" s="8">
        <v>4452</v>
      </c>
      <c r="B4453" s="8" t="s">
        <v>20141</v>
      </c>
      <c r="C4453" s="8" t="s">
        <v>20141</v>
      </c>
      <c r="F4453" s="47" t="s">
        <v>57385</v>
      </c>
      <c r="G4453" s="8">
        <v>12</v>
      </c>
      <c r="H4453" s="8" t="s">
        <v>21</v>
      </c>
      <c r="I4453" s="8" t="s">
        <v>22</v>
      </c>
      <c r="J4453" s="8" t="s">
        <v>22</v>
      </c>
      <c r="K4453" s="8" t="s">
        <v>37</v>
      </c>
      <c r="L4453" s="8" t="s">
        <v>17287</v>
      </c>
      <c r="M4453" s="8" t="s">
        <v>17288</v>
      </c>
      <c r="N4453" s="8" t="s">
        <v>20142</v>
      </c>
      <c r="O4453" s="8">
        <f>12+28/60+43.3/3600</f>
        <v>12.478694444444445</v>
      </c>
      <c r="P4453" s="8" t="s">
        <v>20143</v>
      </c>
      <c r="Q4453" s="8">
        <f>+(11+45/60+18/3600)</f>
        <v>11.755000000000001</v>
      </c>
      <c r="R4453" s="8">
        <v>12</v>
      </c>
      <c r="S4453" s="8">
        <v>12.9</v>
      </c>
      <c r="T4453" s="8">
        <v>0.9</v>
      </c>
      <c r="U4453" s="8">
        <v>12.4</v>
      </c>
      <c r="V4453" s="8">
        <v>2.7</v>
      </c>
      <c r="W4453" s="8">
        <v>0.6</v>
      </c>
      <c r="X4453" s="8">
        <v>32</v>
      </c>
      <c r="Y4453" s="8" t="s">
        <v>20144</v>
      </c>
      <c r="Z4453" s="8" t="s">
        <v>20145</v>
      </c>
    </row>
    <row r="4454" spans="1:26" x14ac:dyDescent="0.2">
      <c r="A4454" s="8">
        <v>4453</v>
      </c>
      <c r="B4454" s="8" t="s">
        <v>20146</v>
      </c>
      <c r="C4454" s="8" t="s">
        <v>20146</v>
      </c>
      <c r="F4454" s="47"/>
      <c r="G4454" s="8">
        <v>16</v>
      </c>
      <c r="H4454" s="8" t="s">
        <v>21</v>
      </c>
      <c r="I4454" s="8" t="s">
        <v>22</v>
      </c>
      <c r="J4454" s="8" t="s">
        <v>22</v>
      </c>
      <c r="K4454" s="8" t="s">
        <v>23</v>
      </c>
      <c r="L4454" s="8" t="s">
        <v>17287</v>
      </c>
      <c r="M4454" s="8" t="s">
        <v>17288</v>
      </c>
      <c r="N4454" s="8" t="s">
        <v>20147</v>
      </c>
      <c r="O4454" s="8">
        <f>12+28/60+46.8/3600</f>
        <v>12.479666666666667</v>
      </c>
      <c r="P4454" s="8" t="s">
        <v>20148</v>
      </c>
      <c r="Q4454" s="8">
        <f>+(6+30/60+44/3600)</f>
        <v>6.5122222222222224</v>
      </c>
      <c r="R4454" s="8">
        <v>14.9</v>
      </c>
      <c r="S4454" s="8">
        <v>15.7</v>
      </c>
      <c r="T4454" s="8">
        <v>0.8</v>
      </c>
      <c r="U4454" s="8">
        <v>12.3</v>
      </c>
      <c r="V4454" s="8">
        <v>0.5</v>
      </c>
      <c r="W4454" s="8">
        <v>0.2</v>
      </c>
      <c r="X4454" s="8">
        <v>153</v>
      </c>
      <c r="Y4454" s="8" t="s">
        <v>20149</v>
      </c>
      <c r="Z4454" s="8" t="s">
        <v>20150</v>
      </c>
    </row>
    <row r="4455" spans="1:26" x14ac:dyDescent="0.2">
      <c r="A4455" s="8">
        <v>4454</v>
      </c>
      <c r="B4455" s="8" t="s">
        <v>20151</v>
      </c>
      <c r="C4455" s="8" t="s">
        <v>20151</v>
      </c>
      <c r="F4455" s="47" t="s">
        <v>57386</v>
      </c>
      <c r="G4455" s="8">
        <v>13</v>
      </c>
      <c r="H4455" s="8" t="s">
        <v>21</v>
      </c>
      <c r="I4455" s="8" t="s">
        <v>22</v>
      </c>
      <c r="J4455" s="8" t="s">
        <v>22</v>
      </c>
      <c r="K4455" s="8" t="s">
        <v>435</v>
      </c>
      <c r="L4455" s="8" t="s">
        <v>17287</v>
      </c>
      <c r="M4455" s="8" t="s">
        <v>17288</v>
      </c>
      <c r="N4455" s="8" t="s">
        <v>20152</v>
      </c>
      <c r="O4455" s="8">
        <f>12+28/60+50.6/3600</f>
        <v>12.480722222222223</v>
      </c>
      <c r="P4455" s="8" t="s">
        <v>20153</v>
      </c>
      <c r="Q4455" s="8">
        <f>-(1+56/60+20/3600)</f>
        <v>-1.9388888888888889</v>
      </c>
      <c r="R4455" s="8">
        <v>11.9</v>
      </c>
      <c r="S4455" s="8">
        <v>12.7</v>
      </c>
      <c r="T4455" s="8">
        <v>0.8</v>
      </c>
      <c r="U4455" s="8">
        <v>13</v>
      </c>
      <c r="V4455" s="8">
        <v>2.2999999999999998</v>
      </c>
      <c r="W4455" s="8">
        <v>2.1</v>
      </c>
      <c r="X4455" s="8">
        <v>100</v>
      </c>
      <c r="Y4455" s="8" t="s">
        <v>20154</v>
      </c>
      <c r="Z4455" s="8" t="s">
        <v>20155</v>
      </c>
    </row>
    <row r="4456" spans="1:26" x14ac:dyDescent="0.2">
      <c r="A4456" s="8">
        <v>4455</v>
      </c>
      <c r="B4456" s="8" t="s">
        <v>20156</v>
      </c>
      <c r="C4456" s="8" t="s">
        <v>20156</v>
      </c>
      <c r="F4456" s="47" t="s">
        <v>57387</v>
      </c>
      <c r="G4456" s="8">
        <v>13</v>
      </c>
      <c r="H4456" s="8" t="s">
        <v>21</v>
      </c>
      <c r="I4456" s="8" t="s">
        <v>22</v>
      </c>
      <c r="J4456" s="8" t="s">
        <v>22</v>
      </c>
      <c r="K4456" s="8" t="s">
        <v>1277</v>
      </c>
      <c r="L4456" s="8" t="s">
        <v>18289</v>
      </c>
      <c r="M4456" s="8" t="s">
        <v>18290</v>
      </c>
      <c r="N4456" s="8" t="s">
        <v>20157</v>
      </c>
      <c r="O4456" s="8">
        <f>12+28/60+44/3600</f>
        <v>12.478888888888889</v>
      </c>
      <c r="P4456" s="8" t="s">
        <v>20158</v>
      </c>
      <c r="Q4456" s="8">
        <f>+(22+49/60+16/3600)</f>
        <v>22.821111111111112</v>
      </c>
      <c r="R4456" s="8">
        <v>12.3</v>
      </c>
      <c r="S4456" s="8">
        <v>13</v>
      </c>
      <c r="T4456" s="8">
        <v>0.7</v>
      </c>
      <c r="U4456" s="8">
        <v>13.1</v>
      </c>
      <c r="V4456" s="8">
        <v>2.6</v>
      </c>
      <c r="W4456" s="8">
        <v>0.8</v>
      </c>
      <c r="X4456" s="8">
        <v>16</v>
      </c>
      <c r="Y4456" s="8" t="s">
        <v>20159</v>
      </c>
      <c r="Z4456" s="8" t="s">
        <v>20160</v>
      </c>
    </row>
    <row r="4457" spans="1:26" x14ac:dyDescent="0.2">
      <c r="A4457" s="8">
        <v>4456</v>
      </c>
      <c r="B4457" s="8" t="s">
        <v>20161</v>
      </c>
      <c r="C4457" s="8" t="s">
        <v>20161</v>
      </c>
      <c r="F4457" s="47"/>
      <c r="G4457" s="8">
        <v>16</v>
      </c>
      <c r="H4457" s="8" t="s">
        <v>21</v>
      </c>
      <c r="I4457" s="8" t="s">
        <v>22</v>
      </c>
      <c r="J4457" s="8" t="s">
        <v>22</v>
      </c>
      <c r="K4457" s="8" t="s">
        <v>396</v>
      </c>
      <c r="L4457" s="8" t="s">
        <v>11765</v>
      </c>
      <c r="M4457" s="8" t="s">
        <v>11766</v>
      </c>
      <c r="N4457" s="8" t="s">
        <v>20162</v>
      </c>
      <c r="O4457" s="8">
        <f>12+27/60+52.2/3600</f>
        <v>12.464499999999999</v>
      </c>
      <c r="P4457" s="8" t="s">
        <v>20163</v>
      </c>
      <c r="Q4457" s="8">
        <f>-(30+5/60+52/3600)</f>
        <v>-30.097777777777775</v>
      </c>
      <c r="R4457" s="8">
        <v>13.3</v>
      </c>
      <c r="S4457" s="8">
        <v>14.1</v>
      </c>
      <c r="T4457" s="8">
        <v>0.8</v>
      </c>
      <c r="U4457" s="8">
        <v>12.8</v>
      </c>
      <c r="V4457" s="8">
        <v>1.2</v>
      </c>
      <c r="W4457" s="8">
        <v>0.6</v>
      </c>
      <c r="X4457" s="8">
        <v>150</v>
      </c>
      <c r="Y4457" s="8" t="s">
        <v>20164</v>
      </c>
      <c r="Z4457" s="8" t="s">
        <v>20165</v>
      </c>
    </row>
    <row r="4458" spans="1:26" x14ac:dyDescent="0.2">
      <c r="A4458" s="8">
        <v>4457</v>
      </c>
      <c r="B4458" s="8" t="s">
        <v>20166</v>
      </c>
      <c r="C4458" s="8" t="s">
        <v>20166</v>
      </c>
      <c r="F4458" s="47" t="s">
        <v>57388</v>
      </c>
      <c r="G4458" s="8">
        <v>13</v>
      </c>
      <c r="H4458" s="8" t="s">
        <v>21</v>
      </c>
      <c r="I4458" s="8" t="s">
        <v>22</v>
      </c>
      <c r="J4458" s="8" t="s">
        <v>22</v>
      </c>
      <c r="K4458" s="8" t="s">
        <v>435</v>
      </c>
      <c r="L4458" s="8" t="s">
        <v>17287</v>
      </c>
      <c r="M4458" s="8" t="s">
        <v>17288</v>
      </c>
      <c r="N4458" s="8" t="s">
        <v>20167</v>
      </c>
      <c r="O4458" s="8">
        <f>12+28/60+58.9/3600</f>
        <v>12.483027777777778</v>
      </c>
      <c r="P4458" s="8" t="s">
        <v>20168</v>
      </c>
      <c r="Q4458" s="8">
        <f>+(3+34/60+16/3600)</f>
        <v>3.5711111111111107</v>
      </c>
      <c r="R4458" s="8">
        <v>10.9</v>
      </c>
      <c r="S4458" s="8">
        <v>11.8</v>
      </c>
      <c r="T4458" s="8">
        <v>0.9</v>
      </c>
      <c r="U4458" s="8">
        <v>12.7</v>
      </c>
      <c r="V4458" s="8">
        <v>2.6</v>
      </c>
      <c r="W4458" s="8">
        <v>2.2999999999999998</v>
      </c>
      <c r="X4458" s="8">
        <v>66</v>
      </c>
      <c r="Y4458" s="8" t="s">
        <v>20169</v>
      </c>
      <c r="Z4458" s="8" t="s">
        <v>20170</v>
      </c>
    </row>
    <row r="4459" spans="1:26" x14ac:dyDescent="0.2">
      <c r="A4459" s="8">
        <v>4458</v>
      </c>
      <c r="B4459" s="8" t="s">
        <v>20171</v>
      </c>
      <c r="C4459" s="8" t="s">
        <v>20171</v>
      </c>
      <c r="F4459" s="47" t="s">
        <v>57389</v>
      </c>
      <c r="G4459" s="8">
        <v>11</v>
      </c>
      <c r="H4459" s="8" t="s">
        <v>21</v>
      </c>
      <c r="I4459" s="8" t="s">
        <v>22</v>
      </c>
      <c r="J4459" s="8" t="s">
        <v>22</v>
      </c>
      <c r="K4459" s="8" t="s">
        <v>183</v>
      </c>
      <c r="L4459" s="8" t="s">
        <v>17287</v>
      </c>
      <c r="M4459" s="8" t="s">
        <v>17288</v>
      </c>
      <c r="N4459" s="8" t="s">
        <v>20172</v>
      </c>
      <c r="O4459" s="8">
        <f>12+28/60+57.7/3600</f>
        <v>12.482694444444444</v>
      </c>
      <c r="P4459" s="8" t="s">
        <v>20173</v>
      </c>
      <c r="Q4459" s="8">
        <f>+(13+14/60+32/3600)</f>
        <v>13.242222222222221</v>
      </c>
      <c r="R4459" s="8">
        <v>12.1</v>
      </c>
      <c r="S4459" s="8">
        <v>12.9</v>
      </c>
      <c r="T4459" s="8">
        <v>0.8</v>
      </c>
      <c r="U4459" s="8">
        <v>13.2</v>
      </c>
      <c r="V4459" s="8">
        <v>1.6</v>
      </c>
      <c r="W4459" s="8">
        <v>1.5</v>
      </c>
      <c r="X4459" s="8">
        <v>45</v>
      </c>
      <c r="Y4459" s="8" t="s">
        <v>20174</v>
      </c>
      <c r="Z4459" s="8" t="s">
        <v>20175</v>
      </c>
    </row>
    <row r="4460" spans="1:26" x14ac:dyDescent="0.2">
      <c r="A4460" s="8">
        <v>4459</v>
      </c>
      <c r="B4460" s="8" t="s">
        <v>20176</v>
      </c>
      <c r="C4460" s="8" t="s">
        <v>20176</v>
      </c>
      <c r="F4460" s="47" t="s">
        <v>57390</v>
      </c>
      <c r="G4460" s="8">
        <v>6</v>
      </c>
      <c r="H4460" s="8" t="s">
        <v>21</v>
      </c>
      <c r="I4460" s="8" t="s">
        <v>22</v>
      </c>
      <c r="J4460" s="8" t="s">
        <v>22</v>
      </c>
      <c r="K4460" s="8" t="s">
        <v>632</v>
      </c>
      <c r="L4460" s="8" t="s">
        <v>18289</v>
      </c>
      <c r="M4460" s="8" t="s">
        <v>18290</v>
      </c>
      <c r="N4460" s="8" t="s">
        <v>20177</v>
      </c>
      <c r="O4460" s="8">
        <f>12+29/60+0/3600</f>
        <v>12.483333333333333</v>
      </c>
      <c r="P4460" s="8" t="s">
        <v>20178</v>
      </c>
      <c r="Q4460" s="8">
        <f>+(13+58/60+43/3600)</f>
        <v>13.97861111111111</v>
      </c>
      <c r="R4460" s="8">
        <v>10.4</v>
      </c>
      <c r="S4460" s="8">
        <v>11.3</v>
      </c>
      <c r="T4460" s="8">
        <v>0.9</v>
      </c>
      <c r="U4460" s="8">
        <v>12.7</v>
      </c>
      <c r="V4460" s="8">
        <v>3.5</v>
      </c>
      <c r="W4460" s="8">
        <v>2.7</v>
      </c>
      <c r="X4460" s="8">
        <v>110</v>
      </c>
      <c r="Y4460" s="8" t="s">
        <v>20179</v>
      </c>
      <c r="Z4460" s="8" t="s">
        <v>20180</v>
      </c>
    </row>
    <row r="4461" spans="1:26" x14ac:dyDescent="0.2">
      <c r="A4461" s="8">
        <v>4460</v>
      </c>
      <c r="B4461" s="8" t="s">
        <v>20181</v>
      </c>
      <c r="C4461" s="8" t="s">
        <v>20181</v>
      </c>
      <c r="F4461" s="47" t="s">
        <v>57391</v>
      </c>
      <c r="G4461" s="8">
        <v>7</v>
      </c>
      <c r="H4461" s="8" t="s">
        <v>21</v>
      </c>
      <c r="I4461" s="8" t="s">
        <v>22</v>
      </c>
      <c r="J4461" s="8" t="s">
        <v>22</v>
      </c>
      <c r="K4461" s="8" t="s">
        <v>435</v>
      </c>
      <c r="L4461" s="8" t="s">
        <v>18681</v>
      </c>
      <c r="M4461" s="8" t="s">
        <v>18682</v>
      </c>
      <c r="N4461" s="8" t="s">
        <v>20182</v>
      </c>
      <c r="O4461" s="8">
        <f>12+28/60+45.5/3600</f>
        <v>12.479305555555555</v>
      </c>
      <c r="P4461" s="8" t="s">
        <v>20183</v>
      </c>
      <c r="Q4461" s="8">
        <f>+(44+51/60+52/3600)</f>
        <v>44.864444444444445</v>
      </c>
      <c r="R4461" s="8">
        <v>11.3</v>
      </c>
      <c r="S4461" s="8">
        <v>12.2</v>
      </c>
      <c r="T4461" s="8">
        <v>0.9</v>
      </c>
      <c r="U4461" s="8">
        <v>12.8</v>
      </c>
      <c r="V4461" s="8">
        <v>4.2</v>
      </c>
      <c r="W4461" s="8">
        <v>1.3</v>
      </c>
      <c r="X4461" s="8">
        <v>40</v>
      </c>
      <c r="Y4461" s="8" t="s">
        <v>20184</v>
      </c>
      <c r="Z4461" s="8" t="s">
        <v>20185</v>
      </c>
    </row>
    <row r="4462" spans="1:26" x14ac:dyDescent="0.2">
      <c r="A4462" s="8">
        <v>4461</v>
      </c>
      <c r="B4462" s="8" t="s">
        <v>20186</v>
      </c>
      <c r="C4462" s="8" t="s">
        <v>20186</v>
      </c>
      <c r="F4462" s="47" t="s">
        <v>57392</v>
      </c>
      <c r="G4462" s="8">
        <v>11</v>
      </c>
      <c r="H4462" s="8" t="s">
        <v>21</v>
      </c>
      <c r="I4462" s="8" t="s">
        <v>22</v>
      </c>
      <c r="J4462" s="8" t="s">
        <v>22</v>
      </c>
      <c r="K4462" s="8" t="s">
        <v>435</v>
      </c>
      <c r="L4462" s="8" t="s">
        <v>17287</v>
      </c>
      <c r="M4462" s="8" t="s">
        <v>17288</v>
      </c>
      <c r="N4462" s="8" t="s">
        <v>20103</v>
      </c>
      <c r="O4462" s="8">
        <f>12+29/60+2.9/3600</f>
        <v>12.484138888888888</v>
      </c>
      <c r="P4462" s="8" t="s">
        <v>20104</v>
      </c>
      <c r="Q4462" s="8">
        <f>+(13+11/60+4/3600)</f>
        <v>13.184444444444445</v>
      </c>
      <c r="R4462" s="8">
        <v>11.2</v>
      </c>
      <c r="S4462" s="8">
        <v>12.1</v>
      </c>
      <c r="T4462" s="8">
        <v>0.9</v>
      </c>
      <c r="U4462" s="8">
        <v>12.8</v>
      </c>
      <c r="V4462" s="8">
        <v>3.4</v>
      </c>
      <c r="W4462" s="8">
        <v>1.4</v>
      </c>
      <c r="X4462" s="8">
        <v>9</v>
      </c>
      <c r="Y4462" s="8" t="s">
        <v>20187</v>
      </c>
      <c r="Z4462" s="8" t="s">
        <v>20188</v>
      </c>
    </row>
    <row r="4463" spans="1:26" x14ac:dyDescent="0.2">
      <c r="A4463" s="8">
        <v>4462</v>
      </c>
      <c r="B4463" s="8" t="s">
        <v>20189</v>
      </c>
      <c r="C4463" s="8" t="s">
        <v>20189</v>
      </c>
      <c r="F4463" s="47" t="s">
        <v>57393</v>
      </c>
      <c r="G4463" s="8">
        <v>13</v>
      </c>
      <c r="H4463" s="8" t="s">
        <v>21</v>
      </c>
      <c r="I4463" s="8" t="s">
        <v>22</v>
      </c>
      <c r="J4463" s="8" t="s">
        <v>22</v>
      </c>
      <c r="K4463" s="8" t="s">
        <v>406</v>
      </c>
      <c r="L4463" s="8" t="s">
        <v>15925</v>
      </c>
      <c r="M4463" s="8" t="s">
        <v>15926</v>
      </c>
      <c r="N4463" s="8" t="s">
        <v>20190</v>
      </c>
      <c r="O4463" s="8">
        <f>12+29/60+21/3600</f>
        <v>12.489166666666666</v>
      </c>
      <c r="P4463" s="8" t="s">
        <v>20191</v>
      </c>
      <c r="Q4463" s="8">
        <f>-(23+9/60+59/3600)</f>
        <v>-23.166388888888889</v>
      </c>
      <c r="R4463" s="8">
        <v>12</v>
      </c>
      <c r="S4463" s="8">
        <v>12.8</v>
      </c>
      <c r="T4463" s="8">
        <v>0.8</v>
      </c>
      <c r="U4463" s="8">
        <v>13.2</v>
      </c>
      <c r="V4463" s="8">
        <v>3.1</v>
      </c>
      <c r="W4463" s="8">
        <v>1.1000000000000001</v>
      </c>
      <c r="X4463" s="8">
        <v>124</v>
      </c>
      <c r="Y4463" s="8" t="s">
        <v>20192</v>
      </c>
      <c r="Z4463" s="8" t="s">
        <v>20193</v>
      </c>
    </row>
    <row r="4464" spans="1:26" x14ac:dyDescent="0.2">
      <c r="A4464" s="8">
        <v>4463</v>
      </c>
      <c r="B4464" s="8" t="s">
        <v>20194</v>
      </c>
      <c r="C4464" s="8" t="s">
        <v>20194</v>
      </c>
      <c r="F4464" s="47"/>
      <c r="G4464" s="8">
        <v>8</v>
      </c>
      <c r="H4464" s="8" t="s">
        <v>21</v>
      </c>
      <c r="I4464" s="8" t="s">
        <v>557</v>
      </c>
      <c r="J4464" s="8" t="s">
        <v>557</v>
      </c>
      <c r="K4464" s="8" t="s">
        <v>3082</v>
      </c>
      <c r="L4464" s="8" t="s">
        <v>18521</v>
      </c>
      <c r="M4464" s="8" t="s">
        <v>18522</v>
      </c>
      <c r="N4464" s="8" t="s">
        <v>20195</v>
      </c>
      <c r="O4464" s="8">
        <f>12+29/60+55.2/3600</f>
        <v>12.498666666666665</v>
      </c>
      <c r="P4464" s="8" t="s">
        <v>20196</v>
      </c>
      <c r="Q4464" s="8">
        <f>-(64+47/60+22/3600)</f>
        <v>-64.789444444444442</v>
      </c>
      <c r="R4464" s="8">
        <v>7.2</v>
      </c>
      <c r="S4464" s="8">
        <v>99</v>
      </c>
      <c r="T4464" s="8">
        <v>99</v>
      </c>
      <c r="U4464" s="8">
        <v>99</v>
      </c>
      <c r="V4464" s="8">
        <v>6</v>
      </c>
      <c r="Y4464" s="8" t="s">
        <v>10665</v>
      </c>
      <c r="Z4464" s="8" t="s">
        <v>10666</v>
      </c>
    </row>
    <row r="4465" spans="1:26" x14ac:dyDescent="0.2">
      <c r="A4465" s="8">
        <v>4464</v>
      </c>
      <c r="B4465" s="8" t="s">
        <v>20197</v>
      </c>
      <c r="C4465" s="8" t="s">
        <v>20197</v>
      </c>
      <c r="F4465" s="47" t="s">
        <v>57394</v>
      </c>
      <c r="G4465" s="8">
        <v>15</v>
      </c>
      <c r="H4465" s="8" t="s">
        <v>21</v>
      </c>
      <c r="I4465" s="8" t="s">
        <v>22</v>
      </c>
      <c r="J4465" s="8" t="s">
        <v>22</v>
      </c>
      <c r="K4465" s="8" t="s">
        <v>2572</v>
      </c>
      <c r="L4465" s="8" t="s">
        <v>17287</v>
      </c>
      <c r="M4465" s="8" t="s">
        <v>17288</v>
      </c>
      <c r="N4465" s="8" t="s">
        <v>20198</v>
      </c>
      <c r="O4465" s="8">
        <f>12+29/60+21.2/3600</f>
        <v>12.489222222222221</v>
      </c>
      <c r="P4465" s="8" t="s">
        <v>20199</v>
      </c>
      <c r="Q4465" s="8">
        <f>+(8+9/60+25/3600)</f>
        <v>8.156944444444445</v>
      </c>
      <c r="R4465" s="8">
        <v>12.5</v>
      </c>
      <c r="S4465" s="8">
        <v>13.5</v>
      </c>
      <c r="T4465" s="8">
        <v>1</v>
      </c>
      <c r="U4465" s="8">
        <v>12.2</v>
      </c>
      <c r="V4465" s="8">
        <v>0.9</v>
      </c>
      <c r="W4465" s="8">
        <v>0.7</v>
      </c>
      <c r="X4465" s="8">
        <v>171</v>
      </c>
      <c r="Y4465" s="8" t="s">
        <v>20200</v>
      </c>
      <c r="Z4465" s="8" t="s">
        <v>20201</v>
      </c>
    </row>
    <row r="4466" spans="1:26" x14ac:dyDescent="0.2">
      <c r="A4466" s="8">
        <v>4465</v>
      </c>
      <c r="B4466" s="8" t="s">
        <v>20202</v>
      </c>
      <c r="C4466" s="8" t="s">
        <v>20202</v>
      </c>
      <c r="F4466" s="47"/>
      <c r="G4466" s="8">
        <v>19</v>
      </c>
      <c r="H4466" s="8" t="s">
        <v>21</v>
      </c>
      <c r="I4466" s="8" t="s">
        <v>22</v>
      </c>
      <c r="J4466" s="8" t="s">
        <v>22</v>
      </c>
      <c r="K4466" s="8" t="s">
        <v>160</v>
      </c>
      <c r="L4466" s="8" t="s">
        <v>17287</v>
      </c>
      <c r="M4466" s="8" t="s">
        <v>17288</v>
      </c>
      <c r="N4466" s="8" t="s">
        <v>20203</v>
      </c>
      <c r="O4466" s="8">
        <f>12+29/60+23.5/3600</f>
        <v>12.489861111111111</v>
      </c>
      <c r="P4466" s="8" t="s">
        <v>20204</v>
      </c>
      <c r="Q4466" s="8">
        <f>+(8+1/60+34/3600)</f>
        <v>8.0261111111111116</v>
      </c>
      <c r="R4466" s="8">
        <v>14.5</v>
      </c>
      <c r="S4466" s="8">
        <v>15.2</v>
      </c>
      <c r="T4466" s="8">
        <v>0.7</v>
      </c>
      <c r="U4466" s="8">
        <v>12.3</v>
      </c>
      <c r="V4466" s="8">
        <v>0.5</v>
      </c>
      <c r="W4466" s="8">
        <v>0.3</v>
      </c>
      <c r="X4466" s="8">
        <v>95</v>
      </c>
      <c r="Y4466" s="8" t="s">
        <v>20205</v>
      </c>
      <c r="Z4466" s="8" t="s">
        <v>20206</v>
      </c>
    </row>
    <row r="4467" spans="1:26" x14ac:dyDescent="0.2">
      <c r="A4467" s="8">
        <v>4466</v>
      </c>
      <c r="B4467" s="8" t="s">
        <v>20207</v>
      </c>
      <c r="C4467" s="8" t="s">
        <v>20207</v>
      </c>
      <c r="F4467" s="47" t="s">
        <v>57395</v>
      </c>
      <c r="G4467" s="8">
        <v>18</v>
      </c>
      <c r="H4467" s="8" t="s">
        <v>21</v>
      </c>
      <c r="I4467" s="8" t="s">
        <v>22</v>
      </c>
      <c r="J4467" s="8" t="s">
        <v>22</v>
      </c>
      <c r="K4467" s="8" t="s">
        <v>31</v>
      </c>
      <c r="L4467" s="8" t="s">
        <v>17287</v>
      </c>
      <c r="M4467" s="8" t="s">
        <v>17288</v>
      </c>
      <c r="N4467" s="8" t="s">
        <v>20208</v>
      </c>
      <c r="O4467" s="8">
        <f>12+29/60+30.6/3600</f>
        <v>12.491833333333332</v>
      </c>
      <c r="P4467" s="8" t="s">
        <v>15880</v>
      </c>
      <c r="Q4467" s="8">
        <f>+(7+41/60+49/3600)</f>
        <v>7.696944444444445</v>
      </c>
      <c r="R4467" s="8">
        <v>13.5</v>
      </c>
      <c r="S4467" s="8">
        <v>14.4</v>
      </c>
      <c r="T4467" s="8">
        <v>0.9</v>
      </c>
      <c r="U4467" s="8">
        <v>12.2</v>
      </c>
      <c r="V4467" s="8">
        <v>1.1000000000000001</v>
      </c>
      <c r="W4467" s="8">
        <v>0.3</v>
      </c>
      <c r="X4467" s="8">
        <v>101</v>
      </c>
      <c r="Y4467" s="8" t="s">
        <v>880</v>
      </c>
      <c r="Z4467" s="8" t="s">
        <v>881</v>
      </c>
    </row>
    <row r="4468" spans="1:26" x14ac:dyDescent="0.2">
      <c r="A4468" s="8">
        <v>4467</v>
      </c>
      <c r="B4468" s="8" t="s">
        <v>20209</v>
      </c>
      <c r="C4468" s="8" t="s">
        <v>20209</v>
      </c>
      <c r="G4468" s="8">
        <v>18</v>
      </c>
      <c r="H4468" s="8" t="s">
        <v>21</v>
      </c>
      <c r="I4468" s="8" t="s">
        <v>22</v>
      </c>
      <c r="J4468" s="8" t="s">
        <v>22</v>
      </c>
      <c r="K4468" s="8" t="s">
        <v>1136</v>
      </c>
      <c r="L4468" s="8" t="s">
        <v>17287</v>
      </c>
      <c r="M4468" s="8" t="s">
        <v>17288</v>
      </c>
      <c r="N4468" s="8" t="s">
        <v>20210</v>
      </c>
      <c r="O4468" s="8">
        <f>12+29/60+30.3/3600</f>
        <v>12.49175</v>
      </c>
      <c r="P4468" s="8" t="s">
        <v>20211</v>
      </c>
      <c r="Q4468" s="8">
        <f>+(7+59/60+34/3600)</f>
        <v>7.9927777777777775</v>
      </c>
      <c r="R4468" s="8">
        <v>13.8</v>
      </c>
      <c r="S4468" s="8">
        <v>14.8</v>
      </c>
      <c r="T4468" s="8">
        <v>1</v>
      </c>
      <c r="U4468" s="8">
        <v>13.9</v>
      </c>
      <c r="V4468" s="8">
        <v>0.4</v>
      </c>
      <c r="W4468" s="8">
        <v>0.3</v>
      </c>
      <c r="X4468" s="8">
        <v>45</v>
      </c>
      <c r="Y4468" s="8" t="s">
        <v>2500</v>
      </c>
      <c r="Z4468" s="8" t="s">
        <v>2501</v>
      </c>
    </row>
    <row r="4469" spans="1:26" x14ac:dyDescent="0.2">
      <c r="A4469" s="8">
        <v>4468</v>
      </c>
      <c r="B4469" s="8" t="s">
        <v>20212</v>
      </c>
      <c r="C4469" s="8" t="s">
        <v>20212</v>
      </c>
      <c r="F4469" s="47" t="s">
        <v>57396</v>
      </c>
      <c r="G4469" s="8">
        <v>15</v>
      </c>
      <c r="H4469" s="8" t="s">
        <v>21</v>
      </c>
      <c r="I4469" s="8" t="s">
        <v>22</v>
      </c>
      <c r="J4469" s="8" t="s">
        <v>22</v>
      </c>
      <c r="K4469" s="8" t="s">
        <v>58</v>
      </c>
      <c r="L4469" s="8" t="s">
        <v>18289</v>
      </c>
      <c r="M4469" s="8" t="s">
        <v>18290</v>
      </c>
      <c r="N4469" s="8" t="s">
        <v>20213</v>
      </c>
      <c r="O4469" s="8">
        <f>12+29/60+30.9/3600</f>
        <v>12.491916666666667</v>
      </c>
      <c r="P4469" s="8" t="s">
        <v>20214</v>
      </c>
      <c r="Q4469" s="8">
        <f>+(14+2/60+57/3600)</f>
        <v>14.049166666666666</v>
      </c>
      <c r="R4469" s="8">
        <v>12.8</v>
      </c>
      <c r="S4469" s="8">
        <v>13.6</v>
      </c>
      <c r="T4469" s="8">
        <v>0.8</v>
      </c>
      <c r="U4469" s="8">
        <v>13.1</v>
      </c>
      <c r="V4469" s="8">
        <v>1.4</v>
      </c>
      <c r="W4469" s="8">
        <v>1.1000000000000001</v>
      </c>
      <c r="X4469" s="8">
        <v>73</v>
      </c>
      <c r="Y4469" s="8" t="s">
        <v>20215</v>
      </c>
      <c r="Z4469" s="8" t="s">
        <v>20216</v>
      </c>
    </row>
    <row r="4470" spans="1:26" x14ac:dyDescent="0.2">
      <c r="A4470" s="8">
        <v>4469</v>
      </c>
      <c r="B4470" s="8" t="s">
        <v>20217</v>
      </c>
      <c r="C4470" s="8" t="s">
        <v>20217</v>
      </c>
      <c r="F4470" s="47" t="s">
        <v>57397</v>
      </c>
      <c r="G4470" s="8">
        <v>13</v>
      </c>
      <c r="H4470" s="8" t="s">
        <v>21</v>
      </c>
      <c r="I4470" s="8" t="s">
        <v>22</v>
      </c>
      <c r="J4470" s="8" t="s">
        <v>22</v>
      </c>
      <c r="K4470" s="8" t="s">
        <v>435</v>
      </c>
      <c r="L4470" s="8" t="s">
        <v>17287</v>
      </c>
      <c r="M4470" s="8" t="s">
        <v>17288</v>
      </c>
      <c r="N4470" s="8" t="s">
        <v>20218</v>
      </c>
      <c r="O4470" s="8">
        <f>12+29/60+28.1/3600</f>
        <v>12.491138888888887</v>
      </c>
      <c r="P4470" s="8" t="s">
        <v>20219</v>
      </c>
      <c r="Q4470" s="8">
        <f>+(8+45/60+1/3600)</f>
        <v>8.7502777777777769</v>
      </c>
      <c r="R4470" s="8">
        <v>11.2</v>
      </c>
      <c r="S4470" s="8">
        <v>12.1</v>
      </c>
      <c r="T4470" s="8">
        <v>0.9</v>
      </c>
      <c r="U4470" s="8">
        <v>12.8</v>
      </c>
      <c r="V4470" s="8">
        <v>3.8</v>
      </c>
      <c r="W4470" s="8">
        <v>1.3</v>
      </c>
      <c r="X4470" s="8">
        <v>89</v>
      </c>
      <c r="Y4470" s="8" t="s">
        <v>20220</v>
      </c>
      <c r="Z4470" s="8" t="s">
        <v>20221</v>
      </c>
    </row>
    <row r="4471" spans="1:26" x14ac:dyDescent="0.2">
      <c r="A4471" s="8">
        <v>4470</v>
      </c>
      <c r="B4471" s="8" t="s">
        <v>20222</v>
      </c>
      <c r="C4471" s="8" t="s">
        <v>20222</v>
      </c>
      <c r="F4471" s="47" t="s">
        <v>57398</v>
      </c>
      <c r="G4471" s="8">
        <v>15</v>
      </c>
      <c r="H4471" s="8" t="s">
        <v>21</v>
      </c>
      <c r="I4471" s="8" t="s">
        <v>22</v>
      </c>
      <c r="J4471" s="8" t="s">
        <v>22</v>
      </c>
      <c r="K4471" s="8" t="s">
        <v>91</v>
      </c>
      <c r="L4471" s="8" t="s">
        <v>17287</v>
      </c>
      <c r="M4471" s="8" t="s">
        <v>17288</v>
      </c>
      <c r="N4471" s="8" t="s">
        <v>20223</v>
      </c>
      <c r="O4471" s="8">
        <f>12+29/60+37.9/3600</f>
        <v>12.49386111111111</v>
      </c>
      <c r="P4471" s="8" t="s">
        <v>20224</v>
      </c>
      <c r="Q4471" s="8">
        <f>+(7+49/60+26/3600)</f>
        <v>7.8238888888888889</v>
      </c>
      <c r="R4471" s="8">
        <v>12.1</v>
      </c>
      <c r="S4471" s="8">
        <v>13.1</v>
      </c>
      <c r="T4471" s="8">
        <v>1</v>
      </c>
      <c r="U4471" s="8">
        <v>12.1</v>
      </c>
      <c r="V4471" s="8">
        <v>1.3</v>
      </c>
      <c r="W4471" s="8">
        <v>0.9</v>
      </c>
      <c r="X4471" s="8">
        <v>0</v>
      </c>
      <c r="Y4471" s="8" t="s">
        <v>20025</v>
      </c>
      <c r="Z4471" s="8" t="s">
        <v>19722</v>
      </c>
    </row>
    <row r="4472" spans="1:26" x14ac:dyDescent="0.2">
      <c r="A4472" s="8">
        <v>4471</v>
      </c>
      <c r="B4472" s="8" t="s">
        <v>20225</v>
      </c>
      <c r="C4472" s="8" t="s">
        <v>20225</v>
      </c>
      <c r="F4472" s="47"/>
      <c r="G4472" s="8">
        <v>18</v>
      </c>
      <c r="H4472" s="8" t="s">
        <v>21</v>
      </c>
      <c r="I4472" s="8" t="s">
        <v>72</v>
      </c>
      <c r="J4472" s="8" t="s">
        <v>72</v>
      </c>
      <c r="K4472" s="8" t="s">
        <v>20</v>
      </c>
      <c r="L4472" s="8" t="s">
        <v>17287</v>
      </c>
      <c r="M4472" s="8" t="s">
        <v>17288</v>
      </c>
      <c r="N4472" s="8" t="s">
        <v>20226</v>
      </c>
      <c r="O4472" s="8">
        <f>12+29/60+42/3600</f>
        <v>12.494999999999999</v>
      </c>
      <c r="P4472" s="8" t="s">
        <v>20227</v>
      </c>
      <c r="Q4472" s="8">
        <f>+(7+53/60+46/3600)</f>
        <v>7.8961111111111109</v>
      </c>
      <c r="R4472" s="8">
        <v>99</v>
      </c>
      <c r="S4472" s="8">
        <v>14.4</v>
      </c>
      <c r="T4472" s="8">
        <v>99</v>
      </c>
      <c r="U4472" s="8">
        <v>99</v>
      </c>
      <c r="Y4472" s="8" t="s">
        <v>20228</v>
      </c>
      <c r="Z4472" s="8" t="s">
        <v>20229</v>
      </c>
    </row>
    <row r="4473" spans="1:26" x14ac:dyDescent="0.2">
      <c r="A4473" s="8">
        <v>4472</v>
      </c>
      <c r="B4473" s="8" t="s">
        <v>20230</v>
      </c>
      <c r="C4473" s="8" t="s">
        <v>55905</v>
      </c>
      <c r="F4473" s="47" t="s">
        <v>57399</v>
      </c>
      <c r="G4473" s="8">
        <v>1</v>
      </c>
      <c r="H4473" s="8" t="s">
        <v>21</v>
      </c>
      <c r="I4473" s="8" t="s">
        <v>22</v>
      </c>
      <c r="J4473" s="8" t="s">
        <v>22</v>
      </c>
      <c r="K4473" s="8" t="s">
        <v>1136</v>
      </c>
      <c r="L4473" s="8" t="s">
        <v>17287</v>
      </c>
      <c r="M4473" s="8" t="s">
        <v>17288</v>
      </c>
      <c r="N4473" s="8" t="s">
        <v>20231</v>
      </c>
      <c r="O4473" s="8">
        <f>12+29/60+46.7/3600</f>
        <v>12.496305555555555</v>
      </c>
      <c r="P4473" s="8" t="s">
        <v>20232</v>
      </c>
      <c r="Q4473" s="8">
        <f>+(8+0/60+0/3600)</f>
        <v>8</v>
      </c>
      <c r="R4473" s="8">
        <v>8.4</v>
      </c>
      <c r="S4473" s="8">
        <v>9.4</v>
      </c>
      <c r="T4473" s="8">
        <v>1</v>
      </c>
      <c r="U4473" s="8">
        <v>13.2</v>
      </c>
      <c r="V4473" s="8">
        <v>10.199999999999999</v>
      </c>
      <c r="W4473" s="8">
        <v>8.3000000000000007</v>
      </c>
      <c r="X4473" s="8">
        <v>155</v>
      </c>
      <c r="Y4473" s="8" t="s">
        <v>20233</v>
      </c>
      <c r="Z4473" s="8" t="s">
        <v>20234</v>
      </c>
    </row>
    <row r="4474" spans="1:26" x14ac:dyDescent="0.2">
      <c r="A4474" s="8">
        <v>4473</v>
      </c>
      <c r="B4474" s="8" t="s">
        <v>20235</v>
      </c>
      <c r="C4474" s="8" t="s">
        <v>20235</v>
      </c>
      <c r="F4474" s="47" t="s">
        <v>57400</v>
      </c>
      <c r="G4474" s="8">
        <v>6</v>
      </c>
      <c r="H4474" s="8" t="s">
        <v>19812</v>
      </c>
      <c r="I4474" s="8" t="s">
        <v>22</v>
      </c>
      <c r="J4474" s="8" t="s">
        <v>22</v>
      </c>
      <c r="K4474" s="8" t="s">
        <v>1068</v>
      </c>
      <c r="L4474" s="8" t="s">
        <v>18289</v>
      </c>
      <c r="M4474" s="8" t="s">
        <v>18290</v>
      </c>
      <c r="N4474" s="8" t="s">
        <v>20236</v>
      </c>
      <c r="O4474" s="8">
        <f>12+29/60+48.7/3600</f>
        <v>12.496861111111111</v>
      </c>
      <c r="P4474" s="8" t="s">
        <v>20237</v>
      </c>
      <c r="Q4474" s="8">
        <f>+(13+25/60+47/3600)</f>
        <v>13.429722222222221</v>
      </c>
      <c r="R4474" s="8">
        <v>10.199999999999999</v>
      </c>
      <c r="S4474" s="8">
        <v>11.2</v>
      </c>
      <c r="T4474" s="8">
        <v>1</v>
      </c>
      <c r="U4474" s="8">
        <v>12.8</v>
      </c>
      <c r="V4474" s="8">
        <v>4.5</v>
      </c>
      <c r="W4474" s="8">
        <v>2.5</v>
      </c>
      <c r="X4474" s="8">
        <v>94</v>
      </c>
      <c r="Y4474" s="8" t="s">
        <v>15781</v>
      </c>
      <c r="Z4474" s="8" t="s">
        <v>15782</v>
      </c>
    </row>
    <row r="4475" spans="1:26" x14ac:dyDescent="0.2">
      <c r="A4475" s="8">
        <v>4474</v>
      </c>
      <c r="B4475" s="8" t="s">
        <v>20238</v>
      </c>
      <c r="C4475" s="8" t="s">
        <v>20238</v>
      </c>
      <c r="F4475" s="47" t="s">
        <v>57401</v>
      </c>
      <c r="G4475" s="8">
        <v>12</v>
      </c>
      <c r="H4475" s="8" t="s">
        <v>21</v>
      </c>
      <c r="I4475" s="8" t="s">
        <v>22</v>
      </c>
      <c r="J4475" s="8" t="s">
        <v>22</v>
      </c>
      <c r="K4475" s="8" t="s">
        <v>37</v>
      </c>
      <c r="L4475" s="8" t="s">
        <v>18289</v>
      </c>
      <c r="M4475" s="8" t="s">
        <v>18290</v>
      </c>
      <c r="N4475" s="8" t="s">
        <v>20239</v>
      </c>
      <c r="O4475" s="8">
        <f>12+29/60+53.3/3600</f>
        <v>12.498138888888889</v>
      </c>
      <c r="P4475" s="8" t="s">
        <v>20240</v>
      </c>
      <c r="Q4475" s="8">
        <f>+(14+4/60+7/3600)</f>
        <v>14.06861111111111</v>
      </c>
      <c r="R4475" s="8">
        <v>11.5</v>
      </c>
      <c r="S4475" s="8">
        <v>12.4</v>
      </c>
      <c r="T4475" s="8">
        <v>0.9</v>
      </c>
      <c r="U4475" s="8">
        <v>12.7</v>
      </c>
      <c r="V4475" s="8">
        <v>2.4</v>
      </c>
      <c r="W4475" s="8">
        <v>1.6</v>
      </c>
      <c r="X4475" s="8">
        <v>80</v>
      </c>
      <c r="Y4475" s="8" t="s">
        <v>20241</v>
      </c>
      <c r="Z4475" s="8" t="s">
        <v>20242</v>
      </c>
    </row>
    <row r="4476" spans="1:26" x14ac:dyDescent="0.2">
      <c r="A4476" s="8">
        <v>4475</v>
      </c>
      <c r="B4476" s="8" t="s">
        <v>20243</v>
      </c>
      <c r="C4476" s="8" t="s">
        <v>20243</v>
      </c>
      <c r="F4476" s="47" t="s">
        <v>57402</v>
      </c>
      <c r="G4476" s="8">
        <v>15</v>
      </c>
      <c r="H4476" s="8" t="s">
        <v>21</v>
      </c>
      <c r="I4476" s="8" t="s">
        <v>22</v>
      </c>
      <c r="J4476" s="8" t="s">
        <v>22</v>
      </c>
      <c r="K4476" s="8" t="s">
        <v>85</v>
      </c>
      <c r="L4476" s="8" t="s">
        <v>18289</v>
      </c>
      <c r="M4476" s="8" t="s">
        <v>18290</v>
      </c>
      <c r="N4476" s="8" t="s">
        <v>20244</v>
      </c>
      <c r="O4476" s="8">
        <f>12+29/60+47.7/3600</f>
        <v>12.496583333333332</v>
      </c>
      <c r="P4476" s="8" t="s">
        <v>20245</v>
      </c>
      <c r="Q4476" s="8">
        <f>+(27+14/60+36/3600)</f>
        <v>27.243333333333336</v>
      </c>
      <c r="R4476" s="8">
        <v>13.6</v>
      </c>
      <c r="S4476" s="8">
        <v>14.3</v>
      </c>
      <c r="T4476" s="8">
        <v>0.7</v>
      </c>
      <c r="U4476" s="8">
        <v>14</v>
      </c>
      <c r="V4476" s="8">
        <v>1.7</v>
      </c>
      <c r="W4476" s="8">
        <v>0.9</v>
      </c>
      <c r="X4476" s="8">
        <v>5</v>
      </c>
      <c r="Y4476" s="8" t="s">
        <v>2734</v>
      </c>
      <c r="Z4476" s="8" t="s">
        <v>2735</v>
      </c>
    </row>
    <row r="4477" spans="1:26" x14ac:dyDescent="0.2">
      <c r="A4477" s="8">
        <v>4476</v>
      </c>
      <c r="B4477" s="8" t="s">
        <v>20246</v>
      </c>
      <c r="C4477" s="8" t="s">
        <v>20246</v>
      </c>
      <c r="F4477" s="47" t="s">
        <v>57403</v>
      </c>
      <c r="G4477" s="8">
        <v>11</v>
      </c>
      <c r="H4477" s="8" t="s">
        <v>21</v>
      </c>
      <c r="I4477" s="8" t="s">
        <v>22</v>
      </c>
      <c r="J4477" s="8" t="s">
        <v>22</v>
      </c>
      <c r="K4477" s="8" t="s">
        <v>58</v>
      </c>
      <c r="L4477" s="8" t="s">
        <v>17287</v>
      </c>
      <c r="M4477" s="8" t="s">
        <v>17288</v>
      </c>
      <c r="N4477" s="8" t="s">
        <v>20247</v>
      </c>
      <c r="O4477" s="8">
        <f>12+29/60+59/3600</f>
        <v>12.499722222222221</v>
      </c>
      <c r="P4477" s="8" t="s">
        <v>20248</v>
      </c>
      <c r="Q4477" s="8">
        <f>+(12+20/60+55/3600)</f>
        <v>12.348611111111111</v>
      </c>
      <c r="R4477" s="8">
        <v>12.2</v>
      </c>
      <c r="S4477" s="8">
        <v>13</v>
      </c>
      <c r="T4477" s="8">
        <v>0.8</v>
      </c>
      <c r="U4477" s="8">
        <v>12.8</v>
      </c>
      <c r="V4477" s="8">
        <v>1.8</v>
      </c>
      <c r="W4477" s="8">
        <v>1.3</v>
      </c>
      <c r="X4477" s="8">
        <v>25</v>
      </c>
      <c r="Y4477" s="8" t="s">
        <v>20249</v>
      </c>
      <c r="Z4477" s="8" t="s">
        <v>20250</v>
      </c>
    </row>
    <row r="4478" spans="1:26" x14ac:dyDescent="0.2">
      <c r="A4478" s="8">
        <v>4477</v>
      </c>
      <c r="B4478" s="8" t="s">
        <v>20251</v>
      </c>
      <c r="C4478" s="8" t="s">
        <v>20251</v>
      </c>
      <c r="F4478" s="47" t="s">
        <v>57404</v>
      </c>
      <c r="G4478" s="8">
        <v>6</v>
      </c>
      <c r="H4478" s="8" t="s">
        <v>19812</v>
      </c>
      <c r="I4478" s="8" t="s">
        <v>22</v>
      </c>
      <c r="J4478" s="8" t="s">
        <v>22</v>
      </c>
      <c r="K4478" s="8" t="s">
        <v>224</v>
      </c>
      <c r="L4478" s="8" t="s">
        <v>18289</v>
      </c>
      <c r="M4478" s="8" t="s">
        <v>18290</v>
      </c>
      <c r="N4478" s="8" t="s">
        <v>20252</v>
      </c>
      <c r="O4478" s="8">
        <f>12+30/60+2/3600</f>
        <v>12.500555555555556</v>
      </c>
      <c r="P4478" s="8" t="s">
        <v>20253</v>
      </c>
      <c r="Q4478" s="8">
        <f>+(13+38/60+13/3600)</f>
        <v>13.636944444444444</v>
      </c>
      <c r="R4478" s="8">
        <v>10.4</v>
      </c>
      <c r="S4478" s="8">
        <v>11.4</v>
      </c>
      <c r="T4478" s="8">
        <v>1</v>
      </c>
      <c r="U4478" s="8">
        <v>13.1</v>
      </c>
      <c r="V4478" s="8">
        <v>3.7</v>
      </c>
      <c r="W4478" s="8">
        <v>3.3</v>
      </c>
      <c r="X4478" s="8">
        <v>9</v>
      </c>
      <c r="Y4478" s="8" t="s">
        <v>20254</v>
      </c>
      <c r="Z4478" s="8" t="s">
        <v>20255</v>
      </c>
    </row>
    <row r="4479" spans="1:26" x14ac:dyDescent="0.2">
      <c r="A4479" s="8">
        <v>4478</v>
      </c>
      <c r="B4479" s="8" t="s">
        <v>20256</v>
      </c>
      <c r="C4479" s="8" t="s">
        <v>20256</v>
      </c>
      <c r="F4479" s="47" t="s">
        <v>57405</v>
      </c>
      <c r="G4479" s="8">
        <v>6</v>
      </c>
      <c r="H4479" s="8" t="s">
        <v>21</v>
      </c>
      <c r="I4479" s="8" t="s">
        <v>22</v>
      </c>
      <c r="J4479" s="8" t="s">
        <v>22</v>
      </c>
      <c r="K4479" s="8" t="s">
        <v>1136</v>
      </c>
      <c r="L4479" s="8" t="s">
        <v>17287</v>
      </c>
      <c r="M4479" s="8" t="s">
        <v>17288</v>
      </c>
      <c r="N4479" s="8" t="s">
        <v>20257</v>
      </c>
      <c r="O4479" s="8">
        <f>12+30/60+17.3/3600</f>
        <v>12.504805555555556</v>
      </c>
      <c r="P4479" s="8" t="s">
        <v>20258</v>
      </c>
      <c r="Q4479" s="8">
        <f>+(12+19/60+43/3600)</f>
        <v>12.32861111111111</v>
      </c>
      <c r="R4479" s="8">
        <v>11.5</v>
      </c>
      <c r="S4479" s="8">
        <v>12.4</v>
      </c>
      <c r="T4479" s="8">
        <v>0.9</v>
      </c>
      <c r="U4479" s="8">
        <v>12.7</v>
      </c>
      <c r="V4479" s="8">
        <v>1.8</v>
      </c>
      <c r="W4479" s="8">
        <v>1.5</v>
      </c>
      <c r="X4479" s="8">
        <v>140</v>
      </c>
      <c r="Y4479" s="8" t="s">
        <v>20259</v>
      </c>
      <c r="Z4479" s="8" t="s">
        <v>20260</v>
      </c>
    </row>
    <row r="4480" spans="1:26" x14ac:dyDescent="0.2">
      <c r="A4480" s="8">
        <v>4479</v>
      </c>
      <c r="B4480" s="8" t="s">
        <v>20261</v>
      </c>
      <c r="C4480" s="8" t="s">
        <v>20261</v>
      </c>
      <c r="F4480" s="47" t="s">
        <v>57406</v>
      </c>
      <c r="G4480" s="8">
        <v>11</v>
      </c>
      <c r="H4480" s="8" t="s">
        <v>21</v>
      </c>
      <c r="I4480" s="8" t="s">
        <v>22</v>
      </c>
      <c r="J4480" s="8" t="s">
        <v>22</v>
      </c>
      <c r="K4480" s="8" t="s">
        <v>224</v>
      </c>
      <c r="L4480" s="8" t="s">
        <v>18289</v>
      </c>
      <c r="M4480" s="8" t="s">
        <v>18290</v>
      </c>
      <c r="N4480" s="8" t="s">
        <v>20262</v>
      </c>
      <c r="O4480" s="8">
        <f>12+30/60+18.3/3600</f>
        <v>12.505083333333333</v>
      </c>
      <c r="P4480" s="8" t="s">
        <v>20263</v>
      </c>
      <c r="Q4480" s="8">
        <f>+(13+34/60+41/3600)</f>
        <v>13.578055555555554</v>
      </c>
      <c r="R4480" s="8">
        <v>12.4</v>
      </c>
      <c r="S4480" s="8">
        <v>13.4</v>
      </c>
      <c r="T4480" s="8">
        <v>1</v>
      </c>
      <c r="U4480" s="8">
        <v>13.1</v>
      </c>
      <c r="V4480" s="8">
        <v>1.6</v>
      </c>
      <c r="W4480" s="8">
        <v>1.3</v>
      </c>
      <c r="X4480" s="8">
        <v>24</v>
      </c>
      <c r="Y4480" s="8" t="s">
        <v>17186</v>
      </c>
      <c r="Z4480" s="8" t="s">
        <v>17187</v>
      </c>
    </row>
    <row r="4481" spans="1:26" x14ac:dyDescent="0.2">
      <c r="A4481" s="8">
        <v>4480</v>
      </c>
      <c r="B4481" s="8" t="s">
        <v>20264</v>
      </c>
      <c r="C4481" s="8" t="s">
        <v>20264</v>
      </c>
      <c r="F4481" s="47" t="s">
        <v>57407</v>
      </c>
      <c r="G4481" s="8">
        <v>15</v>
      </c>
      <c r="H4481" s="8" t="s">
        <v>21</v>
      </c>
      <c r="I4481" s="8" t="s">
        <v>22</v>
      </c>
      <c r="J4481" s="8" t="s">
        <v>22</v>
      </c>
      <c r="K4481" s="8" t="s">
        <v>64</v>
      </c>
      <c r="L4481" s="8" t="s">
        <v>17287</v>
      </c>
      <c r="M4481" s="8" t="s">
        <v>17288</v>
      </c>
      <c r="N4481" s="8" t="s">
        <v>20265</v>
      </c>
      <c r="O4481" s="8">
        <f>12+30/60+26.7/3600</f>
        <v>12.507416666666666</v>
      </c>
      <c r="P4481" s="8" t="s">
        <v>20266</v>
      </c>
      <c r="Q4481" s="8">
        <f>+(4+14/60+45/3600)</f>
        <v>4.2458333333333336</v>
      </c>
      <c r="R4481" s="8">
        <v>12.4</v>
      </c>
      <c r="S4481" s="8">
        <v>13.2</v>
      </c>
      <c r="T4481" s="8">
        <v>0.8</v>
      </c>
      <c r="U4481" s="8">
        <v>13.4</v>
      </c>
      <c r="V4481" s="8">
        <v>2.2000000000000002</v>
      </c>
      <c r="W4481" s="8">
        <v>1.1000000000000001</v>
      </c>
      <c r="X4481" s="8">
        <v>175</v>
      </c>
      <c r="Y4481" s="8" t="s">
        <v>20267</v>
      </c>
      <c r="Z4481" s="8" t="s">
        <v>20268</v>
      </c>
    </row>
    <row r="4482" spans="1:26" x14ac:dyDescent="0.2">
      <c r="A4482" s="8">
        <v>4481</v>
      </c>
      <c r="B4482" s="8" t="s">
        <v>20269</v>
      </c>
      <c r="C4482" s="8" t="s">
        <v>20269</v>
      </c>
      <c r="F4482" s="47"/>
      <c r="G4482" s="8">
        <v>18</v>
      </c>
      <c r="H4482" s="8" t="s">
        <v>21</v>
      </c>
      <c r="I4482" s="8" t="s">
        <v>22</v>
      </c>
      <c r="J4482" s="8" t="s">
        <v>22</v>
      </c>
      <c r="K4482" s="8" t="s">
        <v>449</v>
      </c>
      <c r="L4482" s="8" t="s">
        <v>13395</v>
      </c>
      <c r="M4482" s="8" t="s">
        <v>13396</v>
      </c>
      <c r="N4482" s="8" t="s">
        <v>20270</v>
      </c>
      <c r="O4482" s="8">
        <f>12+29/60+48.6/3600</f>
        <v>12.496833333333333</v>
      </c>
      <c r="P4482" s="8" t="s">
        <v>20271</v>
      </c>
      <c r="Q4482" s="8">
        <f>+(64+2/60+0/3600)</f>
        <v>64.033333333333331</v>
      </c>
      <c r="R4482" s="8">
        <v>14.2</v>
      </c>
      <c r="S4482" s="8">
        <v>15</v>
      </c>
      <c r="T4482" s="8">
        <v>0.8</v>
      </c>
      <c r="U4482" s="8">
        <v>12.4</v>
      </c>
      <c r="V4482" s="8">
        <v>0.7</v>
      </c>
      <c r="W4482" s="8">
        <v>0.3</v>
      </c>
      <c r="X4482" s="8">
        <v>150</v>
      </c>
      <c r="Y4482" s="8" t="s">
        <v>20272</v>
      </c>
      <c r="Z4482" s="8" t="s">
        <v>20273</v>
      </c>
    </row>
    <row r="4483" spans="1:26" x14ac:dyDescent="0.2">
      <c r="A4483" s="8">
        <v>4482</v>
      </c>
      <c r="B4483" s="8" t="s">
        <v>20274</v>
      </c>
      <c r="C4483" s="8" t="s">
        <v>20274</v>
      </c>
      <c r="F4483" s="47" t="s">
        <v>57408</v>
      </c>
      <c r="G4483" s="8">
        <v>15</v>
      </c>
      <c r="H4483" s="8" t="s">
        <v>21</v>
      </c>
      <c r="I4483" s="8" t="s">
        <v>22</v>
      </c>
      <c r="J4483" s="8" t="s">
        <v>22</v>
      </c>
      <c r="K4483" s="8" t="s">
        <v>50</v>
      </c>
      <c r="L4483" s="8" t="s">
        <v>17287</v>
      </c>
      <c r="M4483" s="8" t="s">
        <v>17288</v>
      </c>
      <c r="N4483" s="8" t="s">
        <v>20275</v>
      </c>
      <c r="O4483" s="8">
        <f>12+30/60+10.3/3600</f>
        <v>12.502861111111111</v>
      </c>
      <c r="P4483" s="8" t="s">
        <v>20276</v>
      </c>
      <c r="Q4483" s="8">
        <f>+(10+46/60+45/3600)</f>
        <v>10.779166666666667</v>
      </c>
      <c r="R4483" s="8">
        <v>12.7</v>
      </c>
      <c r="S4483" s="8">
        <v>13.7</v>
      </c>
      <c r="T4483" s="8">
        <v>1</v>
      </c>
      <c r="U4483" s="8">
        <v>13.3</v>
      </c>
      <c r="V4483" s="8">
        <v>1.7</v>
      </c>
      <c r="W4483" s="8">
        <v>1</v>
      </c>
      <c r="X4483" s="8">
        <v>145</v>
      </c>
      <c r="Y4483" s="8" t="s">
        <v>3505</v>
      </c>
      <c r="Z4483" s="8" t="s">
        <v>3506</v>
      </c>
    </row>
    <row r="4484" spans="1:26" x14ac:dyDescent="0.2">
      <c r="A4484" s="8">
        <v>4483</v>
      </c>
      <c r="B4484" s="8" t="s">
        <v>20277</v>
      </c>
      <c r="C4484" s="8" t="s">
        <v>20277</v>
      </c>
      <c r="F4484" s="47"/>
      <c r="G4484" s="8">
        <v>13</v>
      </c>
      <c r="H4484" s="8" t="s">
        <v>21</v>
      </c>
      <c r="I4484" s="8" t="s">
        <v>22</v>
      </c>
      <c r="J4484" s="8" t="s">
        <v>22</v>
      </c>
      <c r="K4484" s="8" t="s">
        <v>435</v>
      </c>
      <c r="L4484" s="8" t="s">
        <v>17287</v>
      </c>
      <c r="M4484" s="8" t="s">
        <v>17288</v>
      </c>
      <c r="N4484" s="8" t="s">
        <v>20278</v>
      </c>
      <c r="O4484" s="8">
        <f>12+30/60+40.6/3600</f>
        <v>12.511277777777778</v>
      </c>
      <c r="P4484" s="8" t="s">
        <v>20279</v>
      </c>
      <c r="Q4484" s="8">
        <f>+(9+0/60+56/3600)</f>
        <v>9.0155555555555562</v>
      </c>
      <c r="R4484" s="8">
        <v>12.2</v>
      </c>
      <c r="S4484" s="8">
        <v>13.1</v>
      </c>
      <c r="T4484" s="8">
        <v>0.9</v>
      </c>
      <c r="U4484" s="8">
        <v>12.5</v>
      </c>
      <c r="V4484" s="8">
        <v>1.6</v>
      </c>
      <c r="W4484" s="8">
        <v>0.8</v>
      </c>
      <c r="X4484" s="8">
        <v>65</v>
      </c>
      <c r="Y4484" s="8" t="s">
        <v>5970</v>
      </c>
      <c r="Z4484" s="8" t="s">
        <v>5971</v>
      </c>
    </row>
    <row r="4485" spans="1:26" x14ac:dyDescent="0.2">
      <c r="A4485" s="8">
        <v>4484</v>
      </c>
      <c r="B4485" s="8" t="s">
        <v>20280</v>
      </c>
      <c r="C4485" s="8" t="s">
        <v>20280</v>
      </c>
      <c r="F4485" s="47"/>
      <c r="G4485" s="8">
        <v>16</v>
      </c>
      <c r="H4485" s="8" t="s">
        <v>21</v>
      </c>
      <c r="I4485" s="8" t="s">
        <v>22</v>
      </c>
      <c r="J4485" s="8" t="s">
        <v>22</v>
      </c>
      <c r="K4485" s="8" t="s">
        <v>160</v>
      </c>
      <c r="L4485" s="8" t="s">
        <v>17287</v>
      </c>
      <c r="M4485" s="8" t="s">
        <v>17288</v>
      </c>
      <c r="N4485" s="8" t="s">
        <v>20281</v>
      </c>
      <c r="O4485" s="8">
        <f>12+28/60+52.7/3600</f>
        <v>12.481305555555556</v>
      </c>
      <c r="P4485" s="8" t="s">
        <v>20282</v>
      </c>
      <c r="Q4485" s="8">
        <f>-(11+39/60+6/3600)</f>
        <v>-11.651666666666667</v>
      </c>
      <c r="R4485" s="8">
        <v>13.6</v>
      </c>
      <c r="S4485" s="8">
        <v>14.3</v>
      </c>
      <c r="T4485" s="8">
        <v>0.7</v>
      </c>
      <c r="U4485" s="8">
        <v>14.3</v>
      </c>
      <c r="V4485" s="8">
        <v>1.5</v>
      </c>
      <c r="W4485" s="8">
        <v>1.5</v>
      </c>
      <c r="Y4485" s="8" t="s">
        <v>2186</v>
      </c>
      <c r="Z4485" s="8" t="s">
        <v>2187</v>
      </c>
    </row>
    <row r="4486" spans="1:26" x14ac:dyDescent="0.2">
      <c r="A4486" s="8">
        <v>4485</v>
      </c>
      <c r="B4486" s="8" t="s">
        <v>20283</v>
      </c>
      <c r="C4486" s="8" t="s">
        <v>20283</v>
      </c>
      <c r="F4486" s="47" t="s">
        <v>57409</v>
      </c>
      <c r="G4486" s="8">
        <v>6</v>
      </c>
      <c r="H4486" s="8" t="s">
        <v>21</v>
      </c>
      <c r="I4486" s="8" t="s">
        <v>22</v>
      </c>
      <c r="J4486" s="8" t="s">
        <v>22</v>
      </c>
      <c r="K4486" s="8" t="s">
        <v>483</v>
      </c>
      <c r="L4486" s="8" t="s">
        <v>18681</v>
      </c>
      <c r="M4486" s="8" t="s">
        <v>18682</v>
      </c>
      <c r="N4486" s="8" t="s">
        <v>20284</v>
      </c>
      <c r="O4486" s="8">
        <f>12+30/60+31.3/3600</f>
        <v>12.508694444444444</v>
      </c>
      <c r="P4486" s="8" t="s">
        <v>20285</v>
      </c>
      <c r="Q4486" s="8">
        <f>+(41+42/60+3/3600)</f>
        <v>41.700833333333335</v>
      </c>
      <c r="R4486" s="8">
        <v>11.9</v>
      </c>
      <c r="S4486" s="8">
        <v>12.3</v>
      </c>
      <c r="T4486" s="8">
        <v>0.4</v>
      </c>
      <c r="U4486" s="8">
        <v>13.2</v>
      </c>
      <c r="V4486" s="8">
        <v>2.4</v>
      </c>
      <c r="W4486" s="8">
        <v>1.8</v>
      </c>
      <c r="X4486" s="8">
        <v>15</v>
      </c>
      <c r="Y4486" s="8" t="s">
        <v>20286</v>
      </c>
      <c r="Z4486" s="8" t="s">
        <v>20287</v>
      </c>
    </row>
    <row r="4487" spans="1:26" x14ac:dyDescent="0.2">
      <c r="A4487" s="8">
        <v>4486</v>
      </c>
      <c r="B4487" s="8" t="s">
        <v>20288</v>
      </c>
      <c r="C4487" s="8" t="s">
        <v>55906</v>
      </c>
      <c r="F4487" s="47"/>
      <c r="G4487" s="8">
        <v>1</v>
      </c>
      <c r="H4487" s="8" t="s">
        <v>20289</v>
      </c>
      <c r="I4487" s="8" t="s">
        <v>22</v>
      </c>
      <c r="J4487" s="8" t="s">
        <v>22</v>
      </c>
      <c r="K4487" s="8" t="s">
        <v>10655</v>
      </c>
      <c r="L4487" s="8" t="s">
        <v>17287</v>
      </c>
      <c r="M4487" s="8" t="s">
        <v>17288</v>
      </c>
      <c r="N4487" s="8" t="s">
        <v>20290</v>
      </c>
      <c r="O4487" s="8">
        <f>12+30/60+49.4/3600</f>
        <v>12.513722222222222</v>
      </c>
      <c r="P4487" s="8" t="s">
        <v>20291</v>
      </c>
      <c r="Q4487" s="8">
        <f>+(12+23/60+26/3600)</f>
        <v>12.390555555555554</v>
      </c>
      <c r="R4487" s="8">
        <v>8.6</v>
      </c>
      <c r="S4487" s="8">
        <v>9.6</v>
      </c>
      <c r="T4487" s="8">
        <v>1</v>
      </c>
      <c r="U4487" s="8">
        <v>13</v>
      </c>
      <c r="V4487" s="8">
        <v>8.3000000000000007</v>
      </c>
      <c r="W4487" s="8">
        <v>6.6</v>
      </c>
      <c r="X4487" s="8">
        <v>170</v>
      </c>
      <c r="Y4487" s="8" t="s">
        <v>20292</v>
      </c>
      <c r="Z4487" s="8" t="s">
        <v>20293</v>
      </c>
    </row>
    <row r="4488" spans="1:26" x14ac:dyDescent="0.2">
      <c r="A4488" s="8">
        <v>4487</v>
      </c>
      <c r="B4488" s="8" t="s">
        <v>20294</v>
      </c>
      <c r="C4488" s="8" t="s">
        <v>20294</v>
      </c>
      <c r="F4488" s="47" t="s">
        <v>57410</v>
      </c>
      <c r="G4488" s="8">
        <v>6.5</v>
      </c>
      <c r="H4488" s="8" t="s">
        <v>21</v>
      </c>
      <c r="I4488" s="8" t="s">
        <v>22</v>
      </c>
      <c r="J4488" s="8" t="s">
        <v>22</v>
      </c>
      <c r="K4488" s="8" t="s">
        <v>64</v>
      </c>
      <c r="L4488" s="8" t="s">
        <v>17287</v>
      </c>
      <c r="M4488" s="8" t="s">
        <v>17288</v>
      </c>
      <c r="N4488" s="8" t="s">
        <v>20295</v>
      </c>
      <c r="O4488" s="8">
        <f>12+31/60+4.3/3600</f>
        <v>12.517861111111111</v>
      </c>
      <c r="P4488" s="8" t="s">
        <v>20296</v>
      </c>
      <c r="Q4488" s="8">
        <f>-(8+3/60+13/3600)</f>
        <v>-8.0536111111111115</v>
      </c>
      <c r="R4488" s="8">
        <v>11</v>
      </c>
      <c r="S4488" s="8">
        <v>11.7</v>
      </c>
      <c r="T4488" s="8">
        <v>0.7</v>
      </c>
      <c r="U4488" s="8">
        <v>13.5</v>
      </c>
      <c r="V4488" s="8">
        <v>4</v>
      </c>
      <c r="W4488" s="8">
        <v>2.8</v>
      </c>
      <c r="X4488" s="8">
        <v>75</v>
      </c>
      <c r="Y4488" s="8" t="s">
        <v>20297</v>
      </c>
      <c r="Z4488" s="8" t="s">
        <v>20298</v>
      </c>
    </row>
    <row r="4489" spans="1:26" x14ac:dyDescent="0.2">
      <c r="A4489" s="8">
        <v>4488</v>
      </c>
      <c r="B4489" s="8" t="s">
        <v>20299</v>
      </c>
      <c r="C4489" s="8" t="s">
        <v>20299</v>
      </c>
      <c r="F4489" s="47" t="s">
        <v>57411</v>
      </c>
      <c r="G4489" s="8">
        <v>15</v>
      </c>
      <c r="H4489" s="8" t="s">
        <v>21</v>
      </c>
      <c r="I4489" s="8" t="s">
        <v>22</v>
      </c>
      <c r="J4489" s="8" t="s">
        <v>22</v>
      </c>
      <c r="K4489" s="8" t="s">
        <v>435</v>
      </c>
      <c r="L4489" s="8" t="s">
        <v>17287</v>
      </c>
      <c r="M4489" s="8" t="s">
        <v>17288</v>
      </c>
      <c r="N4489" s="8" t="s">
        <v>20300</v>
      </c>
      <c r="O4489" s="8">
        <f>12+30/60+51.3/3600</f>
        <v>12.514250000000001</v>
      </c>
      <c r="P4489" s="8" t="s">
        <v>20301</v>
      </c>
      <c r="Q4489" s="8">
        <f>+(8+21/60+35/3600)</f>
        <v>8.3597222222222225</v>
      </c>
      <c r="R4489" s="8">
        <v>12.2</v>
      </c>
      <c r="S4489" s="8">
        <v>13.1</v>
      </c>
      <c r="T4489" s="8">
        <v>0.9</v>
      </c>
      <c r="U4489" s="8">
        <v>13.9</v>
      </c>
      <c r="V4489" s="8">
        <v>4.0999999999999996</v>
      </c>
      <c r="W4489" s="8">
        <v>1.7</v>
      </c>
      <c r="X4489" s="8">
        <v>176</v>
      </c>
      <c r="Y4489" s="8" t="s">
        <v>2500</v>
      </c>
      <c r="Z4489" s="8" t="s">
        <v>2501</v>
      </c>
    </row>
    <row r="4490" spans="1:26" x14ac:dyDescent="0.2">
      <c r="A4490" s="8">
        <v>4489</v>
      </c>
      <c r="B4490" s="8" t="s">
        <v>20302</v>
      </c>
      <c r="C4490" s="8" t="s">
        <v>20302</v>
      </c>
      <c r="F4490" s="47" t="s">
        <v>57412</v>
      </c>
      <c r="G4490" s="8">
        <v>15</v>
      </c>
      <c r="H4490" s="8" t="s">
        <v>21</v>
      </c>
      <c r="I4490" s="8" t="s">
        <v>22</v>
      </c>
      <c r="J4490" s="8" t="s">
        <v>22</v>
      </c>
      <c r="K4490" s="8" t="s">
        <v>183</v>
      </c>
      <c r="L4490" s="8" t="s">
        <v>18289</v>
      </c>
      <c r="M4490" s="8" t="s">
        <v>18290</v>
      </c>
      <c r="N4490" s="8" t="s">
        <v>20303</v>
      </c>
      <c r="O4490" s="8">
        <f>12+30/60+52.2/3600</f>
        <v>12.5145</v>
      </c>
      <c r="P4490" s="8" t="s">
        <v>20304</v>
      </c>
      <c r="Q4490" s="8">
        <f>+(16+45/60+33/3600)</f>
        <v>16.759166666666665</v>
      </c>
      <c r="R4490" s="8">
        <v>12</v>
      </c>
      <c r="S4490" s="8">
        <v>12.8</v>
      </c>
      <c r="T4490" s="8">
        <v>0.8</v>
      </c>
      <c r="U4490" s="8">
        <v>13</v>
      </c>
      <c r="V4490" s="8">
        <v>1.7</v>
      </c>
      <c r="W4490" s="8">
        <v>1.6</v>
      </c>
      <c r="X4490" s="8">
        <v>165</v>
      </c>
      <c r="Y4490" s="8" t="s">
        <v>20305</v>
      </c>
      <c r="Z4490" s="8" t="s">
        <v>20306</v>
      </c>
    </row>
    <row r="4491" spans="1:26" x14ac:dyDescent="0.2">
      <c r="A4491" s="8">
        <v>4490</v>
      </c>
      <c r="B4491" s="8" t="s">
        <v>20307</v>
      </c>
      <c r="C4491" s="8" t="s">
        <v>20307</v>
      </c>
      <c r="F4491" s="47" t="s">
        <v>57413</v>
      </c>
      <c r="G4491" s="8">
        <v>5</v>
      </c>
      <c r="H4491" s="8" t="s">
        <v>20308</v>
      </c>
      <c r="I4491" s="8" t="s">
        <v>22</v>
      </c>
      <c r="J4491" s="8" t="s">
        <v>22</v>
      </c>
      <c r="K4491" s="8" t="s">
        <v>1277</v>
      </c>
      <c r="L4491" s="8" t="s">
        <v>18681</v>
      </c>
      <c r="M4491" s="8" t="s">
        <v>18682</v>
      </c>
      <c r="N4491" s="8" t="s">
        <v>20309</v>
      </c>
      <c r="O4491" s="8">
        <f>12+30/60+36.1/3600</f>
        <v>12.510027777777777</v>
      </c>
      <c r="P4491" s="8" t="s">
        <v>20310</v>
      </c>
      <c r="Q4491" s="8">
        <f>+(41+38/60+34/3600)</f>
        <v>41.642777777777781</v>
      </c>
      <c r="R4491" s="8">
        <v>9.8000000000000007</v>
      </c>
      <c r="S4491" s="8">
        <v>10.199999999999999</v>
      </c>
      <c r="T4491" s="8">
        <v>0.4</v>
      </c>
      <c r="U4491" s="8">
        <v>12.9</v>
      </c>
      <c r="V4491" s="8">
        <v>6.4</v>
      </c>
      <c r="W4491" s="8">
        <v>3.2</v>
      </c>
      <c r="X4491" s="8">
        <v>125</v>
      </c>
      <c r="Y4491" s="8" t="s">
        <v>20286</v>
      </c>
      <c r="Z4491" s="8" t="s">
        <v>20311</v>
      </c>
    </row>
    <row r="4492" spans="1:26" x14ac:dyDescent="0.2">
      <c r="A4492" s="8">
        <v>4491</v>
      </c>
      <c r="B4492" s="8" t="s">
        <v>20312</v>
      </c>
      <c r="C4492" s="8" t="s">
        <v>20312</v>
      </c>
      <c r="F4492" s="47" t="s">
        <v>57414</v>
      </c>
      <c r="G4492" s="8">
        <v>15</v>
      </c>
      <c r="H4492" s="8" t="s">
        <v>21</v>
      </c>
      <c r="I4492" s="8" t="s">
        <v>22</v>
      </c>
      <c r="J4492" s="8" t="s">
        <v>22</v>
      </c>
      <c r="K4492" s="8" t="s">
        <v>154</v>
      </c>
      <c r="L4492" s="8" t="s">
        <v>17287</v>
      </c>
      <c r="M4492" s="8" t="s">
        <v>17288</v>
      </c>
      <c r="N4492" s="8" t="s">
        <v>20313</v>
      </c>
      <c r="O4492" s="8">
        <f>12+30/60+57.1/3600</f>
        <v>12.515861111111111</v>
      </c>
      <c r="P4492" s="8" t="s">
        <v>20314</v>
      </c>
      <c r="Q4492" s="8">
        <f>+(11+29/60+0/3600)</f>
        <v>11.483333333333333</v>
      </c>
      <c r="R4492" s="8">
        <v>12.6</v>
      </c>
      <c r="S4492" s="8">
        <v>13.5</v>
      </c>
      <c r="T4492" s="8">
        <v>0.9</v>
      </c>
      <c r="U4492" s="8">
        <v>12.8</v>
      </c>
      <c r="V4492" s="8">
        <v>1.6</v>
      </c>
      <c r="W4492" s="8">
        <v>0.8</v>
      </c>
      <c r="X4492" s="8">
        <v>148</v>
      </c>
      <c r="Y4492" s="8" t="s">
        <v>20315</v>
      </c>
      <c r="Z4492" s="8" t="s">
        <v>20316</v>
      </c>
    </row>
    <row r="4493" spans="1:26" x14ac:dyDescent="0.2">
      <c r="A4493" s="8">
        <v>4492</v>
      </c>
      <c r="B4493" s="8" t="s">
        <v>20317</v>
      </c>
      <c r="C4493" s="8" t="s">
        <v>20317</v>
      </c>
      <c r="F4493" s="47" t="s">
        <v>57415</v>
      </c>
      <c r="G4493" s="8">
        <v>15</v>
      </c>
      <c r="H4493" s="8" t="s">
        <v>21</v>
      </c>
      <c r="I4493" s="8" t="s">
        <v>22</v>
      </c>
      <c r="J4493" s="8" t="s">
        <v>22</v>
      </c>
      <c r="K4493" s="8" t="s">
        <v>91</v>
      </c>
      <c r="L4493" s="8" t="s">
        <v>17287</v>
      </c>
      <c r="M4493" s="8" t="s">
        <v>17288</v>
      </c>
      <c r="N4493" s="8" t="s">
        <v>20318</v>
      </c>
      <c r="O4493" s="8">
        <f>12+30/60+59.7/3600</f>
        <v>12.516583333333333</v>
      </c>
      <c r="P4493" s="8" t="s">
        <v>20319</v>
      </c>
      <c r="Q4493" s="8">
        <f>+(8+4/60+41/3600)</f>
        <v>8.0780555555555544</v>
      </c>
      <c r="R4493" s="8">
        <v>12.6</v>
      </c>
      <c r="S4493" s="8">
        <v>13.2</v>
      </c>
      <c r="T4493" s="8">
        <v>0.6</v>
      </c>
      <c r="U4493" s="8">
        <v>13.5</v>
      </c>
      <c r="V4493" s="8">
        <v>1.7</v>
      </c>
      <c r="W4493" s="8">
        <v>1.6</v>
      </c>
      <c r="X4493" s="8">
        <v>90</v>
      </c>
      <c r="Y4493" s="8" t="s">
        <v>20320</v>
      </c>
      <c r="Z4493" s="8" t="s">
        <v>20321</v>
      </c>
    </row>
    <row r="4494" spans="1:26" x14ac:dyDescent="0.2">
      <c r="A4494" s="8">
        <v>4493</v>
      </c>
      <c r="B4494" s="8" t="s">
        <v>20322</v>
      </c>
      <c r="C4494" s="8" t="s">
        <v>20322</v>
      </c>
      <c r="E4494" s="8">
        <v>1</v>
      </c>
      <c r="F4494" s="47"/>
      <c r="G4494" s="8">
        <v>18</v>
      </c>
      <c r="H4494" s="8" t="s">
        <v>21</v>
      </c>
      <c r="I4494" s="8" t="s">
        <v>22</v>
      </c>
      <c r="J4494" s="8" t="s">
        <v>22</v>
      </c>
      <c r="K4494" s="8" t="s">
        <v>1136</v>
      </c>
      <c r="L4494" s="8" t="s">
        <v>17287</v>
      </c>
      <c r="M4494" s="8" t="s">
        <v>17288</v>
      </c>
      <c r="N4494" s="8" t="s">
        <v>20323</v>
      </c>
      <c r="O4494" s="8">
        <f>12+31/60+8.3/3600</f>
        <v>12.518972222222223</v>
      </c>
      <c r="P4494" s="8" t="s">
        <v>20324</v>
      </c>
      <c r="Q4494" s="8">
        <f>+(0+36/60+51/3600)</f>
        <v>0.61416666666666664</v>
      </c>
      <c r="R4494" s="8">
        <v>14.1</v>
      </c>
      <c r="S4494" s="8">
        <v>15.1</v>
      </c>
      <c r="T4494" s="8">
        <v>1</v>
      </c>
      <c r="U4494" s="8">
        <v>13.9</v>
      </c>
      <c r="V4494" s="8">
        <v>1</v>
      </c>
      <c r="W4494" s="8">
        <v>0.8</v>
      </c>
      <c r="X4494" s="8">
        <v>164</v>
      </c>
      <c r="Y4494" s="8" t="s">
        <v>755</v>
      </c>
      <c r="Z4494" s="8" t="s">
        <v>756</v>
      </c>
    </row>
    <row r="4495" spans="1:26" x14ac:dyDescent="0.2">
      <c r="A4495" s="8">
        <v>4494</v>
      </c>
      <c r="B4495" s="8" t="s">
        <v>20325</v>
      </c>
      <c r="C4495" s="8" t="s">
        <v>20325</v>
      </c>
      <c r="F4495" s="47" t="s">
        <v>57416</v>
      </c>
      <c r="G4495" s="8">
        <v>5</v>
      </c>
      <c r="H4495" s="8" t="s">
        <v>21</v>
      </c>
      <c r="I4495" s="8" t="s">
        <v>22</v>
      </c>
      <c r="J4495" s="8" t="s">
        <v>22</v>
      </c>
      <c r="K4495" s="8" t="s">
        <v>183</v>
      </c>
      <c r="L4495" s="8" t="s">
        <v>18289</v>
      </c>
      <c r="M4495" s="8" t="s">
        <v>18290</v>
      </c>
      <c r="N4495" s="8" t="s">
        <v>20326</v>
      </c>
      <c r="O4495" s="8">
        <f>12+31/60+24.1/3600</f>
        <v>12.523361111111113</v>
      </c>
      <c r="P4495" s="8" t="s">
        <v>20327</v>
      </c>
      <c r="Q4495" s="8">
        <f>+(25+46/60+31/3600)</f>
        <v>25.775277777777777</v>
      </c>
      <c r="R4495" s="8">
        <v>9.8000000000000007</v>
      </c>
      <c r="S4495" s="8">
        <v>10.7</v>
      </c>
      <c r="T4495" s="8">
        <v>0.9</v>
      </c>
      <c r="U4495" s="8">
        <v>12.9</v>
      </c>
      <c r="V4495" s="8">
        <v>4.8</v>
      </c>
      <c r="W4495" s="8">
        <v>3.5</v>
      </c>
      <c r="X4495" s="8">
        <v>171</v>
      </c>
      <c r="Y4495" s="8" t="s">
        <v>20328</v>
      </c>
      <c r="Z4495" s="8" t="s">
        <v>20329</v>
      </c>
    </row>
    <row r="4496" spans="1:26" x14ac:dyDescent="0.2">
      <c r="A4496" s="8">
        <v>4495</v>
      </c>
      <c r="B4496" s="8" t="s">
        <v>20330</v>
      </c>
      <c r="C4496" s="8" t="s">
        <v>20330</v>
      </c>
      <c r="F4496" s="47" t="s">
        <v>57417</v>
      </c>
      <c r="G4496" s="8">
        <v>15</v>
      </c>
      <c r="H4496" s="8" t="s">
        <v>21</v>
      </c>
      <c r="I4496" s="8" t="s">
        <v>22</v>
      </c>
      <c r="J4496" s="8" t="s">
        <v>22</v>
      </c>
      <c r="K4496" s="8" t="s">
        <v>31</v>
      </c>
      <c r="L4496" s="8" t="s">
        <v>18289</v>
      </c>
      <c r="M4496" s="8" t="s">
        <v>18290</v>
      </c>
      <c r="N4496" s="8" t="s">
        <v>20331</v>
      </c>
      <c r="O4496" s="8">
        <f>12+31/60+22.7/3600</f>
        <v>12.522972222222222</v>
      </c>
      <c r="P4496" s="8" t="s">
        <v>20332</v>
      </c>
      <c r="Q4496" s="8">
        <f>+(29+8/60+12/3600)</f>
        <v>29.136666666666667</v>
      </c>
      <c r="R4496" s="8">
        <v>13.3</v>
      </c>
      <c r="S4496" s="8">
        <v>14.1</v>
      </c>
      <c r="T4496" s="8">
        <v>0.8</v>
      </c>
      <c r="U4496" s="8">
        <v>13.3</v>
      </c>
      <c r="V4496" s="8">
        <v>1.4</v>
      </c>
      <c r="W4496" s="8">
        <v>0.8</v>
      </c>
      <c r="X4496" s="8">
        <v>130</v>
      </c>
      <c r="Y4496" s="8" t="s">
        <v>20333</v>
      </c>
      <c r="Z4496" s="8" t="s">
        <v>20334</v>
      </c>
    </row>
    <row r="4497" spans="1:26" x14ac:dyDescent="0.2">
      <c r="A4497" s="8">
        <v>4496</v>
      </c>
      <c r="B4497" s="8" t="s">
        <v>20335</v>
      </c>
      <c r="C4497" s="8" t="s">
        <v>20335</v>
      </c>
      <c r="F4497" s="47" t="s">
        <v>57418</v>
      </c>
      <c r="G4497" s="8">
        <v>13</v>
      </c>
      <c r="H4497" s="8" t="s">
        <v>21</v>
      </c>
      <c r="I4497" s="8" t="s">
        <v>22</v>
      </c>
      <c r="J4497" s="8" t="s">
        <v>22</v>
      </c>
      <c r="K4497" s="8" t="s">
        <v>64</v>
      </c>
      <c r="L4497" s="8" t="s">
        <v>17287</v>
      </c>
      <c r="M4497" s="8" t="s">
        <v>17288</v>
      </c>
      <c r="N4497" s="8" t="s">
        <v>20336</v>
      </c>
      <c r="O4497" s="8">
        <f>12+31/60+39.3/3600</f>
        <v>12.527583333333334</v>
      </c>
      <c r="P4497" s="8" t="s">
        <v>20337</v>
      </c>
      <c r="Q4497" s="8">
        <f>+(3+56/60+23/3600)</f>
        <v>3.9397222222222226</v>
      </c>
      <c r="R4497" s="8">
        <v>11.4</v>
      </c>
      <c r="S4497" s="8">
        <v>11.9</v>
      </c>
      <c r="T4497" s="8">
        <v>0.5</v>
      </c>
      <c r="U4497" s="8">
        <v>14</v>
      </c>
      <c r="V4497" s="8">
        <v>3.9</v>
      </c>
      <c r="W4497" s="8">
        <v>3.1</v>
      </c>
      <c r="X4497" s="8">
        <v>70</v>
      </c>
      <c r="Y4497" s="8" t="s">
        <v>20338</v>
      </c>
      <c r="Z4497" s="8" t="s">
        <v>20339</v>
      </c>
    </row>
    <row r="4498" spans="1:26" x14ac:dyDescent="0.2">
      <c r="A4498" s="8">
        <v>4497</v>
      </c>
      <c r="B4498" s="8" t="s">
        <v>20340</v>
      </c>
      <c r="C4498" s="8" t="s">
        <v>20340</v>
      </c>
      <c r="F4498" s="47" t="s">
        <v>57419</v>
      </c>
      <c r="G4498" s="8">
        <v>15</v>
      </c>
      <c r="H4498" s="8" t="s">
        <v>21</v>
      </c>
      <c r="I4498" s="8" t="s">
        <v>22</v>
      </c>
      <c r="J4498" s="8" t="s">
        <v>22</v>
      </c>
      <c r="K4498" s="8" t="s">
        <v>435</v>
      </c>
      <c r="L4498" s="8" t="s">
        <v>17287</v>
      </c>
      <c r="M4498" s="8" t="s">
        <v>17288</v>
      </c>
      <c r="N4498" s="8" t="s">
        <v>20341</v>
      </c>
      <c r="O4498" s="8">
        <f>12+31/60+32.6/3600</f>
        <v>12.525722222222223</v>
      </c>
      <c r="P4498" s="8" t="s">
        <v>20342</v>
      </c>
      <c r="Q4498" s="8">
        <f>+(11+37/60+30/3600)</f>
        <v>11.625</v>
      </c>
      <c r="R4498" s="8">
        <v>12.5</v>
      </c>
      <c r="S4498" s="8">
        <v>13.2</v>
      </c>
      <c r="T4498" s="8">
        <v>0.7</v>
      </c>
      <c r="U4498" s="8">
        <v>13.1</v>
      </c>
      <c r="V4498" s="8">
        <v>1.9</v>
      </c>
      <c r="W4498" s="8">
        <v>0.8</v>
      </c>
      <c r="X4498" s="8">
        <v>65</v>
      </c>
      <c r="Y4498" s="8" t="s">
        <v>20343</v>
      </c>
      <c r="Z4498" s="8" t="s">
        <v>20344</v>
      </c>
    </row>
    <row r="4499" spans="1:26" x14ac:dyDescent="0.2">
      <c r="A4499" s="8">
        <v>4498</v>
      </c>
      <c r="B4499" s="8" t="s">
        <v>20345</v>
      </c>
      <c r="C4499" s="8" t="s">
        <v>20345</v>
      </c>
      <c r="F4499" s="47" t="s">
        <v>57420</v>
      </c>
      <c r="G4499" s="8">
        <v>15</v>
      </c>
      <c r="H4499" s="8" t="s">
        <v>21</v>
      </c>
      <c r="I4499" s="8" t="s">
        <v>22</v>
      </c>
      <c r="J4499" s="8" t="s">
        <v>22</v>
      </c>
      <c r="K4499" s="8" t="s">
        <v>64</v>
      </c>
      <c r="L4499" s="8" t="s">
        <v>18289</v>
      </c>
      <c r="M4499" s="8" t="s">
        <v>18290</v>
      </c>
      <c r="N4499" s="8" t="s">
        <v>20346</v>
      </c>
      <c r="O4499" s="8">
        <f>12+31/60+39.5/3600</f>
        <v>12.527638888888889</v>
      </c>
      <c r="P4499" s="8" t="s">
        <v>20347</v>
      </c>
      <c r="Q4499" s="8">
        <f>+(16+51/60+10/3600)</f>
        <v>16.852777777777778</v>
      </c>
      <c r="R4499" s="8">
        <v>12.1</v>
      </c>
      <c r="S4499" s="8">
        <v>12.8</v>
      </c>
      <c r="T4499" s="8">
        <v>0.7</v>
      </c>
      <c r="U4499" s="8">
        <v>13.2</v>
      </c>
      <c r="V4499" s="8">
        <v>2.9</v>
      </c>
      <c r="W4499" s="8">
        <v>1.1000000000000001</v>
      </c>
      <c r="X4499" s="8">
        <v>133</v>
      </c>
      <c r="Y4499" s="8" t="s">
        <v>20348</v>
      </c>
      <c r="Z4499" s="8" t="s">
        <v>20349</v>
      </c>
    </row>
    <row r="4500" spans="1:26" x14ac:dyDescent="0.2">
      <c r="A4500" s="8">
        <v>4499</v>
      </c>
      <c r="B4500" s="8" t="s">
        <v>20350</v>
      </c>
      <c r="C4500" s="8" t="s">
        <v>20350</v>
      </c>
      <c r="G4500" s="8">
        <v>16</v>
      </c>
      <c r="H4500" s="8" t="s">
        <v>21</v>
      </c>
      <c r="I4500" s="8" t="s">
        <v>22</v>
      </c>
      <c r="J4500" s="8" t="s">
        <v>22</v>
      </c>
      <c r="K4500" s="8" t="s">
        <v>85</v>
      </c>
      <c r="L4500" s="8" t="s">
        <v>16195</v>
      </c>
      <c r="M4500" s="8" t="s">
        <v>16196</v>
      </c>
      <c r="N4500" s="8" t="s">
        <v>20351</v>
      </c>
      <c r="O4500" s="8">
        <f>12+32/60+4.9/3600</f>
        <v>12.534694444444444</v>
      </c>
      <c r="P4500" s="8" t="s">
        <v>20352</v>
      </c>
      <c r="Q4500" s="8">
        <f>-(39+58/60+57/3600)</f>
        <v>-39.982500000000002</v>
      </c>
      <c r="R4500" s="8">
        <v>13.2</v>
      </c>
      <c r="S4500" s="8">
        <v>14</v>
      </c>
      <c r="T4500" s="8">
        <v>0.8</v>
      </c>
      <c r="U4500" s="8">
        <v>14</v>
      </c>
      <c r="V4500" s="8">
        <v>1.8</v>
      </c>
      <c r="W4500" s="8">
        <v>1.3</v>
      </c>
      <c r="X4500" s="8">
        <v>93</v>
      </c>
      <c r="Y4500" s="8" t="s">
        <v>813</v>
      </c>
      <c r="Z4500" s="8" t="s">
        <v>814</v>
      </c>
    </row>
    <row r="4501" spans="1:26" x14ac:dyDescent="0.2">
      <c r="A4501" s="8">
        <v>4500</v>
      </c>
      <c r="B4501" s="8" t="s">
        <v>20353</v>
      </c>
      <c r="C4501" s="8" t="s">
        <v>20353</v>
      </c>
      <c r="F4501" s="47" t="s">
        <v>57421</v>
      </c>
      <c r="G4501" s="8">
        <v>15</v>
      </c>
      <c r="H4501" s="8" t="s">
        <v>21</v>
      </c>
      <c r="I4501" s="8" t="s">
        <v>22</v>
      </c>
      <c r="J4501" s="8" t="s">
        <v>22</v>
      </c>
      <c r="K4501" s="8" t="s">
        <v>154</v>
      </c>
      <c r="L4501" s="8" t="s">
        <v>12015</v>
      </c>
      <c r="M4501" s="8" t="s">
        <v>12016</v>
      </c>
      <c r="N4501" s="8" t="s">
        <v>20354</v>
      </c>
      <c r="O4501" s="8">
        <f>12+31/60+22/3600</f>
        <v>12.522777777777778</v>
      </c>
      <c r="P4501" s="8" t="s">
        <v>20355</v>
      </c>
      <c r="Q4501" s="8">
        <f>+(57+57/60+54/3600)</f>
        <v>57.965000000000003</v>
      </c>
      <c r="R4501" s="8">
        <v>12.5</v>
      </c>
      <c r="S4501" s="8">
        <v>13.1</v>
      </c>
      <c r="T4501" s="8">
        <v>0.6</v>
      </c>
      <c r="U4501" s="8">
        <v>12.9</v>
      </c>
      <c r="V4501" s="8">
        <v>1.6</v>
      </c>
      <c r="W4501" s="8">
        <v>1.1000000000000001</v>
      </c>
      <c r="X4501" s="8">
        <v>130</v>
      </c>
      <c r="Y4501" s="8" t="s">
        <v>21</v>
      </c>
      <c r="Z4501" s="8" t="s">
        <v>20356</v>
      </c>
    </row>
    <row r="4502" spans="1:26" x14ac:dyDescent="0.2">
      <c r="A4502" s="8">
        <v>4501</v>
      </c>
      <c r="B4502" s="8" t="s">
        <v>20357</v>
      </c>
      <c r="C4502" s="8" t="s">
        <v>55907</v>
      </c>
      <c r="F4502" s="47"/>
      <c r="G4502" s="8">
        <v>1</v>
      </c>
      <c r="H4502" s="8" t="s">
        <v>21</v>
      </c>
      <c r="I4502" s="8" t="s">
        <v>22</v>
      </c>
      <c r="J4502" s="8" t="s">
        <v>22</v>
      </c>
      <c r="K4502" s="8" t="s">
        <v>23</v>
      </c>
      <c r="L4502" s="8" t="s">
        <v>18289</v>
      </c>
      <c r="M4502" s="8" t="s">
        <v>18290</v>
      </c>
      <c r="N4502" s="8" t="s">
        <v>20358</v>
      </c>
      <c r="O4502" s="8">
        <f>12+31/60+59/3600</f>
        <v>12.533055555555556</v>
      </c>
      <c r="P4502" s="8" t="s">
        <v>20359</v>
      </c>
      <c r="Q4502" s="8">
        <f>+(14+25/60+11/3600)</f>
        <v>14.419722222222221</v>
      </c>
      <c r="R4502" s="8">
        <v>9.6</v>
      </c>
      <c r="S4502" s="8">
        <v>10.4</v>
      </c>
      <c r="T4502" s="8">
        <v>0.8</v>
      </c>
      <c r="U4502" s="8">
        <v>13</v>
      </c>
      <c r="V4502" s="8">
        <v>6.8</v>
      </c>
      <c r="W4502" s="8">
        <v>3.7</v>
      </c>
      <c r="X4502" s="8">
        <v>140</v>
      </c>
      <c r="Y4502" s="8" t="s">
        <v>20360</v>
      </c>
      <c r="Z4502" s="8" t="s">
        <v>20361</v>
      </c>
    </row>
    <row r="4503" spans="1:26" x14ac:dyDescent="0.2">
      <c r="A4503" s="8">
        <v>4502</v>
      </c>
      <c r="B4503" s="8" t="s">
        <v>20362</v>
      </c>
      <c r="C4503" s="8" t="s">
        <v>20362</v>
      </c>
      <c r="F4503" s="47" t="s">
        <v>57422</v>
      </c>
      <c r="G4503" s="8">
        <v>15</v>
      </c>
      <c r="H4503" s="8" t="s">
        <v>21</v>
      </c>
      <c r="I4503" s="8" t="s">
        <v>22</v>
      </c>
      <c r="J4503" s="8" t="s">
        <v>22</v>
      </c>
      <c r="K4503" s="8" t="s">
        <v>64</v>
      </c>
      <c r="L4503" s="8" t="s">
        <v>18289</v>
      </c>
      <c r="M4503" s="8" t="s">
        <v>18290</v>
      </c>
      <c r="N4503" s="8" t="s">
        <v>20363</v>
      </c>
      <c r="O4503" s="8">
        <f>12+32/60+3.2/3600</f>
        <v>12.534222222222223</v>
      </c>
      <c r="P4503" s="8" t="s">
        <v>20364</v>
      </c>
      <c r="Q4503" s="8">
        <f>+(16+41/60+17/3600)</f>
        <v>16.688055555555557</v>
      </c>
      <c r="R4503" s="8">
        <v>13.9</v>
      </c>
      <c r="S4503" s="8">
        <v>14.7</v>
      </c>
      <c r="T4503" s="8">
        <v>0.8</v>
      </c>
      <c r="U4503" s="8">
        <v>13.3</v>
      </c>
      <c r="V4503" s="8">
        <v>1.1000000000000001</v>
      </c>
      <c r="W4503" s="8">
        <v>0.6</v>
      </c>
      <c r="X4503" s="8">
        <v>40</v>
      </c>
      <c r="Y4503" s="8" t="s">
        <v>1511</v>
      </c>
      <c r="Z4503" s="8" t="s">
        <v>1512</v>
      </c>
    </row>
    <row r="4504" spans="1:26" x14ac:dyDescent="0.2">
      <c r="A4504" s="8">
        <v>4503</v>
      </c>
      <c r="B4504" s="8" t="s">
        <v>20365</v>
      </c>
      <c r="C4504" s="8" t="s">
        <v>20365</v>
      </c>
      <c r="F4504" s="47" t="s">
        <v>57423</v>
      </c>
      <c r="G4504" s="8">
        <v>12</v>
      </c>
      <c r="H4504" s="8" t="s">
        <v>21</v>
      </c>
      <c r="I4504" s="8" t="s">
        <v>22</v>
      </c>
      <c r="J4504" s="8" t="s">
        <v>22</v>
      </c>
      <c r="K4504" s="8" t="s">
        <v>224</v>
      </c>
      <c r="L4504" s="8" t="s">
        <v>17287</v>
      </c>
      <c r="M4504" s="8" t="s">
        <v>17288</v>
      </c>
      <c r="N4504" s="8" t="s">
        <v>20366</v>
      </c>
      <c r="O4504" s="8">
        <f>12+32/60+6.1/3600</f>
        <v>12.535027777777778</v>
      </c>
      <c r="P4504" s="8" t="s">
        <v>20367</v>
      </c>
      <c r="Q4504" s="8">
        <f>+(11+10/60+32/3600)</f>
        <v>11.175555555555555</v>
      </c>
      <c r="R4504" s="8">
        <v>11.1</v>
      </c>
      <c r="S4504" s="8">
        <v>12.1</v>
      </c>
      <c r="T4504" s="8">
        <v>1</v>
      </c>
      <c r="U4504" s="8">
        <v>12.9</v>
      </c>
      <c r="V4504" s="8">
        <v>3.5</v>
      </c>
      <c r="W4504" s="8">
        <v>1.7</v>
      </c>
      <c r="X4504" s="8">
        <v>12</v>
      </c>
      <c r="Y4504" s="8" t="s">
        <v>2176</v>
      </c>
      <c r="Z4504" s="8" t="s">
        <v>2177</v>
      </c>
    </row>
    <row r="4505" spans="1:26" x14ac:dyDescent="0.2">
      <c r="A4505" s="8">
        <v>4504</v>
      </c>
      <c r="B4505" s="8" t="s">
        <v>20368</v>
      </c>
      <c r="C4505" s="8" t="s">
        <v>20368</v>
      </c>
      <c r="F4505" s="47" t="s">
        <v>57424</v>
      </c>
      <c r="G4505" s="8">
        <v>13</v>
      </c>
      <c r="H4505" s="8" t="s">
        <v>21</v>
      </c>
      <c r="I4505" s="8" t="s">
        <v>22</v>
      </c>
      <c r="J4505" s="8" t="s">
        <v>22</v>
      </c>
      <c r="K4505" s="8" t="s">
        <v>64</v>
      </c>
      <c r="L4505" s="8" t="s">
        <v>17287</v>
      </c>
      <c r="M4505" s="8" t="s">
        <v>17288</v>
      </c>
      <c r="N4505" s="8" t="s">
        <v>20369</v>
      </c>
      <c r="O4505" s="8">
        <f>12+32/60+17.4/3600</f>
        <v>12.538166666666667</v>
      </c>
      <c r="P4505" s="8" t="s">
        <v>20370</v>
      </c>
      <c r="Q4505" s="8">
        <f>-(7+33/60+48/3600)</f>
        <v>-7.5633333333333335</v>
      </c>
      <c r="R4505" s="8">
        <v>13.2</v>
      </c>
      <c r="S4505" s="8">
        <v>13.9</v>
      </c>
      <c r="T4505" s="8">
        <v>0.7</v>
      </c>
      <c r="U4505" s="8">
        <v>15.2</v>
      </c>
      <c r="V4505" s="8">
        <v>3.2</v>
      </c>
      <c r="W4505" s="8">
        <v>2.2000000000000002</v>
      </c>
      <c r="X4505" s="8">
        <v>153</v>
      </c>
      <c r="Y4505" s="8" t="s">
        <v>20371</v>
      </c>
      <c r="Z4505" s="8" t="s">
        <v>20372</v>
      </c>
    </row>
    <row r="4506" spans="1:26" x14ac:dyDescent="0.2">
      <c r="A4506" s="8">
        <v>4505</v>
      </c>
      <c r="B4506" s="8" t="s">
        <v>20373</v>
      </c>
      <c r="C4506" s="8" t="s">
        <v>20373</v>
      </c>
      <c r="F4506" s="47" t="s">
        <v>57425</v>
      </c>
      <c r="G4506" s="8">
        <v>15</v>
      </c>
      <c r="H4506" s="8" t="s">
        <v>21</v>
      </c>
      <c r="I4506" s="8" t="s">
        <v>22</v>
      </c>
      <c r="J4506" s="8" t="s">
        <v>22</v>
      </c>
      <c r="K4506" s="8" t="s">
        <v>107</v>
      </c>
      <c r="L4506" s="8" t="s">
        <v>17287</v>
      </c>
      <c r="M4506" s="8" t="s">
        <v>17288</v>
      </c>
      <c r="N4506" s="8" t="s">
        <v>20374</v>
      </c>
      <c r="O4506" s="8">
        <f>12+31/60+40.8/3600</f>
        <v>12.528</v>
      </c>
      <c r="P4506" s="8" t="s">
        <v>20375</v>
      </c>
      <c r="Q4506" s="8">
        <f>+(3+55/60+36/3600)</f>
        <v>3.9266666666666663</v>
      </c>
      <c r="R4506" s="8">
        <v>13.9</v>
      </c>
      <c r="S4506" s="8">
        <v>14.5</v>
      </c>
      <c r="T4506" s="8">
        <v>0.6</v>
      </c>
      <c r="U4506" s="8">
        <v>13</v>
      </c>
      <c r="V4506" s="8">
        <v>0.8</v>
      </c>
      <c r="W4506" s="8">
        <v>0.6</v>
      </c>
      <c r="X4506" s="8">
        <v>102</v>
      </c>
      <c r="Y4506" s="8" t="s">
        <v>20376</v>
      </c>
      <c r="Z4506" s="8" t="s">
        <v>20377</v>
      </c>
    </row>
    <row r="4507" spans="1:26" x14ac:dyDescent="0.2">
      <c r="A4507" s="8">
        <v>4506</v>
      </c>
      <c r="B4507" s="8" t="s">
        <v>20378</v>
      </c>
      <c r="C4507" s="8" t="s">
        <v>20378</v>
      </c>
      <c r="F4507" s="47" t="s">
        <v>57426</v>
      </c>
      <c r="G4507" s="8">
        <v>15</v>
      </c>
      <c r="H4507" s="8" t="s">
        <v>21</v>
      </c>
      <c r="I4507" s="8" t="s">
        <v>22</v>
      </c>
      <c r="J4507" s="8" t="s">
        <v>22</v>
      </c>
      <c r="K4507" s="8" t="s">
        <v>154</v>
      </c>
      <c r="L4507" s="8" t="s">
        <v>18289</v>
      </c>
      <c r="M4507" s="8" t="s">
        <v>18290</v>
      </c>
      <c r="N4507" s="8" t="s">
        <v>20379</v>
      </c>
      <c r="O4507" s="8">
        <f>12+32/60+10.5/3600</f>
        <v>12.536249999999999</v>
      </c>
      <c r="P4507" s="8" t="s">
        <v>20380</v>
      </c>
      <c r="Q4507" s="8">
        <f>+(13+25/60+13/3600)</f>
        <v>13.420277777777777</v>
      </c>
      <c r="R4507" s="8">
        <v>12.7</v>
      </c>
      <c r="S4507" s="8">
        <v>13.6</v>
      </c>
      <c r="T4507" s="8">
        <v>0.9</v>
      </c>
      <c r="U4507" s="8">
        <v>13.2</v>
      </c>
      <c r="V4507" s="8">
        <v>1.6</v>
      </c>
      <c r="W4507" s="8">
        <v>1.1000000000000001</v>
      </c>
      <c r="X4507" s="8">
        <v>110</v>
      </c>
      <c r="Y4507" s="8" t="s">
        <v>21</v>
      </c>
      <c r="Z4507" s="8" t="s">
        <v>20381</v>
      </c>
    </row>
    <row r="4508" spans="1:26" x14ac:dyDescent="0.2">
      <c r="A4508" s="8">
        <v>4507</v>
      </c>
      <c r="B4508" s="8" t="s">
        <v>20382</v>
      </c>
      <c r="C4508" s="8" t="s">
        <v>20382</v>
      </c>
      <c r="F4508" s="47"/>
      <c r="G4508" s="8">
        <v>13</v>
      </c>
      <c r="H4508" s="8" t="s">
        <v>20383</v>
      </c>
      <c r="I4508" s="8" t="s">
        <v>22</v>
      </c>
      <c r="J4508" s="8" t="s">
        <v>22</v>
      </c>
      <c r="K4508" s="8" t="s">
        <v>218</v>
      </c>
      <c r="L4508" s="8" t="s">
        <v>16195</v>
      </c>
      <c r="M4508" s="8" t="s">
        <v>16196</v>
      </c>
      <c r="N4508" s="8" t="s">
        <v>20384</v>
      </c>
      <c r="O4508" s="8">
        <f>12+35/60+36.6/3600</f>
        <v>12.593500000000001</v>
      </c>
      <c r="P4508" s="8" t="s">
        <v>20385</v>
      </c>
      <c r="Q4508" s="8">
        <f>-(39+54/60+33/3600)</f>
        <v>-39.909166666666664</v>
      </c>
      <c r="R4508" s="8">
        <v>12.1</v>
      </c>
      <c r="S4508" s="8">
        <v>12.9</v>
      </c>
      <c r="T4508" s="8">
        <v>0.8</v>
      </c>
      <c r="U4508" s="8">
        <v>12.8</v>
      </c>
      <c r="V4508" s="8">
        <v>1.6</v>
      </c>
      <c r="W4508" s="8">
        <v>1.3</v>
      </c>
      <c r="X4508" s="8">
        <v>56</v>
      </c>
      <c r="Y4508" s="8" t="s">
        <v>21</v>
      </c>
      <c r="Z4508" s="8" t="s">
        <v>20386</v>
      </c>
    </row>
    <row r="4509" spans="1:26" x14ac:dyDescent="0.2">
      <c r="A4509" s="8">
        <v>4508</v>
      </c>
      <c r="B4509" s="8" t="s">
        <v>20387</v>
      </c>
      <c r="C4509" s="8" t="s">
        <v>20387</v>
      </c>
      <c r="F4509" s="47"/>
      <c r="G4509" s="8">
        <v>16</v>
      </c>
      <c r="H4509" s="8" t="s">
        <v>21</v>
      </c>
      <c r="I4509" s="8" t="s">
        <v>72</v>
      </c>
      <c r="J4509" s="8" t="s">
        <v>72</v>
      </c>
      <c r="K4509" s="8" t="s">
        <v>73</v>
      </c>
      <c r="L4509" s="8" t="s">
        <v>17287</v>
      </c>
      <c r="M4509" s="8" t="s">
        <v>17288</v>
      </c>
      <c r="N4509" s="8" t="s">
        <v>20369</v>
      </c>
      <c r="O4509" s="8">
        <f>12+32/60+17.4/3600</f>
        <v>12.538166666666667</v>
      </c>
      <c r="P4509" s="8" t="s">
        <v>20388</v>
      </c>
      <c r="Q4509" s="8">
        <f>+(5+49/60+10/3600)</f>
        <v>5.8194444444444446</v>
      </c>
      <c r="R4509" s="8">
        <v>99</v>
      </c>
      <c r="S4509" s="8">
        <v>99</v>
      </c>
      <c r="T4509" s="8">
        <v>99</v>
      </c>
      <c r="U4509" s="8">
        <v>99</v>
      </c>
      <c r="Y4509" s="8" t="s">
        <v>20389</v>
      </c>
      <c r="Z4509" s="8" t="s">
        <v>20390</v>
      </c>
    </row>
    <row r="4510" spans="1:26" x14ac:dyDescent="0.2">
      <c r="A4510" s="8">
        <v>4509</v>
      </c>
      <c r="B4510" s="8" t="s">
        <v>20391</v>
      </c>
      <c r="C4510" s="8" t="s">
        <v>20391</v>
      </c>
      <c r="F4510" s="47"/>
      <c r="G4510" s="8">
        <v>16</v>
      </c>
      <c r="H4510" s="8" t="s">
        <v>21</v>
      </c>
      <c r="I4510" s="8" t="s">
        <v>22</v>
      </c>
      <c r="J4510" s="8" t="s">
        <v>22</v>
      </c>
      <c r="K4510" s="8" t="s">
        <v>20392</v>
      </c>
      <c r="L4510" s="8" t="s">
        <v>18681</v>
      </c>
      <c r="M4510" s="8" t="s">
        <v>18682</v>
      </c>
      <c r="N4510" s="8" t="s">
        <v>20393</v>
      </c>
      <c r="O4510" s="8">
        <f>12+33/60+6.8/3600</f>
        <v>12.55188888888889</v>
      </c>
      <c r="P4510" s="8" t="s">
        <v>20394</v>
      </c>
      <c r="Q4510" s="8">
        <f>+(32+5/60+32/3600)</f>
        <v>32.092222222222226</v>
      </c>
      <c r="R4510" s="8">
        <v>13.5</v>
      </c>
      <c r="S4510" s="8">
        <v>14.3</v>
      </c>
      <c r="T4510" s="8">
        <v>0.8</v>
      </c>
      <c r="U4510" s="8">
        <v>12.4</v>
      </c>
      <c r="V4510" s="8">
        <v>0.8</v>
      </c>
      <c r="W4510" s="8">
        <v>0.5</v>
      </c>
      <c r="X4510" s="8">
        <v>155</v>
      </c>
      <c r="Y4510" s="8" t="s">
        <v>10836</v>
      </c>
      <c r="Z4510" s="8" t="s">
        <v>10837</v>
      </c>
    </row>
    <row r="4511" spans="1:26" x14ac:dyDescent="0.2">
      <c r="A4511" s="8">
        <v>4510</v>
      </c>
      <c r="B4511" s="8" t="s">
        <v>20395</v>
      </c>
      <c r="C4511" s="8" t="s">
        <v>20395</v>
      </c>
      <c r="F4511" s="47"/>
      <c r="G4511" s="8">
        <v>18</v>
      </c>
      <c r="H4511" s="8" t="s">
        <v>21</v>
      </c>
      <c r="I4511" s="8" t="s">
        <v>22</v>
      </c>
      <c r="J4511" s="8" t="s">
        <v>22</v>
      </c>
      <c r="K4511" s="8" t="s">
        <v>50</v>
      </c>
      <c r="L4511" s="8" t="s">
        <v>13395</v>
      </c>
      <c r="M4511" s="8" t="s">
        <v>13396</v>
      </c>
      <c r="N4511" s="8" t="s">
        <v>20396</v>
      </c>
      <c r="O4511" s="8">
        <f>12+31/60+47.2/3600</f>
        <v>12.529777777777779</v>
      </c>
      <c r="P4511" s="8" t="s">
        <v>20397</v>
      </c>
      <c r="Q4511" s="8">
        <f>+(64+14/60+2/3600)</f>
        <v>64.233888888888885</v>
      </c>
      <c r="R4511" s="8">
        <v>13</v>
      </c>
      <c r="S4511" s="8">
        <v>14</v>
      </c>
      <c r="T4511" s="8">
        <v>1</v>
      </c>
      <c r="U4511" s="8">
        <v>13.4</v>
      </c>
      <c r="V4511" s="8">
        <v>1.5</v>
      </c>
      <c r="W4511" s="8">
        <v>0.9</v>
      </c>
      <c r="X4511" s="8">
        <v>153</v>
      </c>
      <c r="Y4511" s="8" t="s">
        <v>20398</v>
      </c>
      <c r="Z4511" s="8" t="s">
        <v>20399</v>
      </c>
    </row>
    <row r="4512" spans="1:26" x14ac:dyDescent="0.2">
      <c r="A4512" s="8">
        <v>4511</v>
      </c>
      <c r="B4512" s="8" t="s">
        <v>20400</v>
      </c>
      <c r="C4512" s="8" t="s">
        <v>20400</v>
      </c>
      <c r="F4512" s="47" t="s">
        <v>57427</v>
      </c>
      <c r="G4512" s="8">
        <v>15</v>
      </c>
      <c r="H4512" s="8" t="s">
        <v>21</v>
      </c>
      <c r="I4512" s="8" t="s">
        <v>22</v>
      </c>
      <c r="J4512" s="8" t="s">
        <v>22</v>
      </c>
      <c r="K4512" s="8" t="s">
        <v>396</v>
      </c>
      <c r="L4512" s="8" t="s">
        <v>12015</v>
      </c>
      <c r="M4512" s="8" t="s">
        <v>12016</v>
      </c>
      <c r="N4512" s="8" t="s">
        <v>20401</v>
      </c>
      <c r="O4512" s="8">
        <f>12+32/60+7.9/3600</f>
        <v>12.535527777777778</v>
      </c>
      <c r="P4512" s="8" t="s">
        <v>20402</v>
      </c>
      <c r="Q4512" s="8">
        <f>+(56+28/60+16/3600)</f>
        <v>56.471111111111114</v>
      </c>
      <c r="R4512" s="8">
        <v>14.1</v>
      </c>
      <c r="S4512" s="8">
        <v>14.9</v>
      </c>
      <c r="T4512" s="8">
        <v>0.8</v>
      </c>
      <c r="U4512" s="8">
        <v>13.3</v>
      </c>
      <c r="V4512" s="8">
        <v>1.1000000000000001</v>
      </c>
      <c r="W4512" s="8">
        <v>0.5</v>
      </c>
      <c r="X4512" s="8">
        <v>9</v>
      </c>
      <c r="Y4512" s="8" t="s">
        <v>20403</v>
      </c>
      <c r="Z4512" s="8" t="s">
        <v>20404</v>
      </c>
    </row>
    <row r="4513" spans="1:26" x14ac:dyDescent="0.2">
      <c r="A4513" s="8">
        <v>4512</v>
      </c>
      <c r="B4513" s="8" t="s">
        <v>20405</v>
      </c>
      <c r="C4513" s="8" t="s">
        <v>20405</v>
      </c>
      <c r="F4513" s="47"/>
      <c r="G4513" s="8">
        <v>16</v>
      </c>
      <c r="H4513" s="8" t="s">
        <v>21</v>
      </c>
      <c r="I4513" s="8" t="s">
        <v>22</v>
      </c>
      <c r="J4513" s="8" t="s">
        <v>57</v>
      </c>
      <c r="K4513" s="8" t="s">
        <v>632</v>
      </c>
      <c r="L4513" s="8" t="s">
        <v>13395</v>
      </c>
      <c r="M4513" s="8" t="s">
        <v>13396</v>
      </c>
      <c r="N4513" s="8" t="s">
        <v>20406</v>
      </c>
      <c r="O4513" s="8">
        <f>12+32/60+47.6/3600</f>
        <v>12.546555555555555</v>
      </c>
      <c r="P4513" s="8" t="s">
        <v>20407</v>
      </c>
      <c r="Q4513" s="8">
        <f>+(63+56/60+22/3600)</f>
        <v>63.93944444444444</v>
      </c>
      <c r="R4513" s="8">
        <v>12.2</v>
      </c>
      <c r="S4513" s="8">
        <v>13.1</v>
      </c>
      <c r="T4513" s="8">
        <v>0.9</v>
      </c>
      <c r="U4513" s="8">
        <v>12.5</v>
      </c>
      <c r="V4513" s="8">
        <v>2.5</v>
      </c>
      <c r="W4513" s="8">
        <v>0.6</v>
      </c>
      <c r="X4513" s="8">
        <v>167</v>
      </c>
      <c r="Y4513" s="8" t="s">
        <v>20408</v>
      </c>
      <c r="Z4513" s="8" t="s">
        <v>3062</v>
      </c>
    </row>
    <row r="4514" spans="1:26" x14ac:dyDescent="0.2">
      <c r="A4514" s="8">
        <v>4513</v>
      </c>
      <c r="B4514" s="8" t="s">
        <v>20409</v>
      </c>
      <c r="C4514" s="8" t="s">
        <v>20409</v>
      </c>
      <c r="F4514" s="47"/>
      <c r="G4514" s="8">
        <v>18</v>
      </c>
      <c r="H4514" s="8" t="s">
        <v>21</v>
      </c>
      <c r="I4514" s="8" t="s">
        <v>22</v>
      </c>
      <c r="J4514" s="8" t="s">
        <v>22</v>
      </c>
      <c r="K4514" s="8" t="s">
        <v>37</v>
      </c>
      <c r="L4514" s="8" t="s">
        <v>13395</v>
      </c>
      <c r="M4514" s="8" t="s">
        <v>13396</v>
      </c>
      <c r="N4514" s="8" t="s">
        <v>20410</v>
      </c>
      <c r="O4514" s="8">
        <f>12+32/60+1.6/3600</f>
        <v>12.533777777777777</v>
      </c>
      <c r="P4514" s="8" t="s">
        <v>20411</v>
      </c>
      <c r="Q4514" s="8">
        <f>+(66+19/60+59/3600)</f>
        <v>66.333055555555546</v>
      </c>
      <c r="R4514" s="8">
        <v>13</v>
      </c>
      <c r="S4514" s="8">
        <v>14</v>
      </c>
      <c r="T4514" s="8">
        <v>1</v>
      </c>
      <c r="U4514" s="8">
        <v>13</v>
      </c>
      <c r="V4514" s="8">
        <v>1.4</v>
      </c>
      <c r="W4514" s="8">
        <v>0.8</v>
      </c>
      <c r="X4514" s="8">
        <v>15</v>
      </c>
      <c r="Y4514" s="8" t="s">
        <v>21</v>
      </c>
      <c r="Z4514" s="8" t="s">
        <v>20412</v>
      </c>
    </row>
    <row r="4515" spans="1:26" x14ac:dyDescent="0.2">
      <c r="A4515" s="8">
        <v>4514</v>
      </c>
      <c r="B4515" s="8" t="s">
        <v>20413</v>
      </c>
      <c r="C4515" s="8" t="s">
        <v>20413</v>
      </c>
      <c r="F4515" s="47" t="s">
        <v>57428</v>
      </c>
      <c r="G4515" s="8">
        <v>15</v>
      </c>
      <c r="H4515" s="8" t="s">
        <v>21</v>
      </c>
      <c r="I4515" s="8" t="s">
        <v>22</v>
      </c>
      <c r="J4515" s="8" t="s">
        <v>22</v>
      </c>
      <c r="K4515" s="8" t="s">
        <v>396</v>
      </c>
      <c r="L4515" s="8" t="s">
        <v>18289</v>
      </c>
      <c r="M4515" s="8" t="s">
        <v>18290</v>
      </c>
      <c r="N4515" s="8" t="s">
        <v>20414</v>
      </c>
      <c r="O4515" s="8">
        <f>12+32/60+42.9/3600</f>
        <v>12.545249999999999</v>
      </c>
      <c r="P4515" s="8" t="s">
        <v>20415</v>
      </c>
      <c r="Q4515" s="8">
        <f>+(29+42/60+44/3600)</f>
        <v>29.71222222222222</v>
      </c>
      <c r="R4515" s="8">
        <v>13.2</v>
      </c>
      <c r="S4515" s="8">
        <v>14</v>
      </c>
      <c r="T4515" s="8">
        <v>0.8</v>
      </c>
      <c r="U4515" s="8">
        <v>13.1</v>
      </c>
      <c r="V4515" s="8">
        <v>1.2</v>
      </c>
      <c r="W4515" s="8">
        <v>1.1000000000000001</v>
      </c>
      <c r="X4515" s="8">
        <v>51</v>
      </c>
      <c r="Y4515" s="8" t="s">
        <v>4165</v>
      </c>
      <c r="Z4515" s="8" t="s">
        <v>4166</v>
      </c>
    </row>
    <row r="4516" spans="1:26" x14ac:dyDescent="0.2">
      <c r="A4516" s="8">
        <v>4515</v>
      </c>
      <c r="B4516" s="8" t="s">
        <v>20416</v>
      </c>
      <c r="C4516" s="8" t="s">
        <v>20416</v>
      </c>
      <c r="F4516" s="47" t="s">
        <v>57429</v>
      </c>
      <c r="G4516" s="8">
        <v>15</v>
      </c>
      <c r="H4516" s="8" t="s">
        <v>21</v>
      </c>
      <c r="I4516" s="8" t="s">
        <v>22</v>
      </c>
      <c r="J4516" s="8" t="s">
        <v>22</v>
      </c>
      <c r="K4516" s="8" t="s">
        <v>58</v>
      </c>
      <c r="L4516" s="8" t="s">
        <v>18289</v>
      </c>
      <c r="M4516" s="8" t="s">
        <v>18290</v>
      </c>
      <c r="N4516" s="8" t="s">
        <v>20417</v>
      </c>
      <c r="O4516" s="8">
        <f>12+33/60+4.9/3600</f>
        <v>12.551361111111111</v>
      </c>
      <c r="P4516" s="8" t="s">
        <v>20418</v>
      </c>
      <c r="Q4516" s="8">
        <f>+(16+15/60+56/3600)</f>
        <v>16.265555555555554</v>
      </c>
      <c r="R4516" s="8">
        <v>12.3</v>
      </c>
      <c r="S4516" s="8">
        <v>13.4</v>
      </c>
      <c r="T4516" s="8">
        <v>1.1000000000000001</v>
      </c>
      <c r="U4516" s="8">
        <v>12.6</v>
      </c>
      <c r="V4516" s="8">
        <v>1.4</v>
      </c>
      <c r="W4516" s="8">
        <v>1.1000000000000001</v>
      </c>
      <c r="X4516" s="8">
        <v>9</v>
      </c>
      <c r="Y4516" s="8" t="s">
        <v>20419</v>
      </c>
      <c r="Z4516" s="8" t="s">
        <v>20420</v>
      </c>
    </row>
    <row r="4517" spans="1:26" x14ac:dyDescent="0.2">
      <c r="A4517" s="8">
        <v>4516</v>
      </c>
      <c r="B4517" s="8" t="s">
        <v>20421</v>
      </c>
      <c r="C4517" s="8" t="s">
        <v>20421</v>
      </c>
      <c r="F4517" s="47" t="s">
        <v>57430</v>
      </c>
      <c r="G4517" s="8">
        <v>15</v>
      </c>
      <c r="H4517" s="8" t="s">
        <v>21</v>
      </c>
      <c r="I4517" s="8" t="s">
        <v>22</v>
      </c>
      <c r="J4517" s="8" t="s">
        <v>22</v>
      </c>
      <c r="K4517" s="8" t="s">
        <v>406</v>
      </c>
      <c r="L4517" s="8" t="s">
        <v>18289</v>
      </c>
      <c r="M4517" s="8" t="s">
        <v>18290</v>
      </c>
      <c r="N4517" s="8" t="s">
        <v>20422</v>
      </c>
      <c r="O4517" s="8">
        <f>12+33/60+7.5/3600</f>
        <v>12.552083333333334</v>
      </c>
      <c r="P4517" s="8" t="s">
        <v>20423</v>
      </c>
      <c r="Q4517" s="8">
        <f>+(14+34/60+29/3600)</f>
        <v>14.574722222222222</v>
      </c>
      <c r="R4517" s="8">
        <v>12.8</v>
      </c>
      <c r="S4517" s="8">
        <v>13.3</v>
      </c>
      <c r="T4517" s="8">
        <v>0.5</v>
      </c>
      <c r="U4517" s="8">
        <v>13.2</v>
      </c>
      <c r="V4517" s="8">
        <v>1.8</v>
      </c>
      <c r="W4517" s="8">
        <v>0.9</v>
      </c>
      <c r="X4517" s="8">
        <v>0</v>
      </c>
      <c r="Y4517" s="8" t="s">
        <v>20424</v>
      </c>
      <c r="Z4517" s="8" t="s">
        <v>20425</v>
      </c>
    </row>
    <row r="4518" spans="1:26" x14ac:dyDescent="0.2">
      <c r="A4518" s="8">
        <v>4517</v>
      </c>
      <c r="B4518" s="8" t="s">
        <v>20426</v>
      </c>
      <c r="C4518" s="8" t="s">
        <v>20426</v>
      </c>
      <c r="F4518" s="47" t="s">
        <v>57431</v>
      </c>
      <c r="G4518" s="8">
        <v>7</v>
      </c>
      <c r="H4518" s="8" t="s">
        <v>21</v>
      </c>
      <c r="I4518" s="8" t="s">
        <v>22</v>
      </c>
      <c r="J4518" s="8" t="s">
        <v>22</v>
      </c>
      <c r="K4518" s="8" t="s">
        <v>160</v>
      </c>
      <c r="L4518" s="8" t="s">
        <v>17287</v>
      </c>
      <c r="M4518" s="8" t="s">
        <v>17288</v>
      </c>
      <c r="N4518" s="8" t="s">
        <v>20075</v>
      </c>
      <c r="O4518" s="8">
        <f>12+32/60+45.6/3600</f>
        <v>12.545999999999999</v>
      </c>
      <c r="P4518" s="8" t="s">
        <v>20076</v>
      </c>
      <c r="Q4518" s="8">
        <f>+(0+6/60+56/3600)</f>
        <v>0.11555555555555556</v>
      </c>
      <c r="R4518" s="8">
        <v>10.4</v>
      </c>
      <c r="S4518" s="8">
        <v>11.1</v>
      </c>
      <c r="T4518" s="8">
        <v>0.7</v>
      </c>
      <c r="U4518" s="8">
        <v>13.2</v>
      </c>
      <c r="V4518" s="8">
        <v>10.5</v>
      </c>
      <c r="W4518" s="8">
        <v>1.5</v>
      </c>
      <c r="X4518" s="8">
        <v>83</v>
      </c>
      <c r="Y4518" s="8" t="s">
        <v>21</v>
      </c>
      <c r="Z4518" s="8" t="s">
        <v>20427</v>
      </c>
    </row>
    <row r="4519" spans="1:26" x14ac:dyDescent="0.2">
      <c r="A4519" s="8">
        <v>4518</v>
      </c>
      <c r="B4519" s="8" t="s">
        <v>20428</v>
      </c>
      <c r="C4519" s="8" t="s">
        <v>20428</v>
      </c>
      <c r="F4519" s="47"/>
      <c r="G4519" s="8">
        <v>16</v>
      </c>
      <c r="H4519" s="8" t="s">
        <v>21</v>
      </c>
      <c r="I4519" s="8" t="s">
        <v>22</v>
      </c>
      <c r="J4519" s="8" t="s">
        <v>22</v>
      </c>
      <c r="K4519" s="8" t="s">
        <v>224</v>
      </c>
      <c r="L4519" s="8" t="s">
        <v>17287</v>
      </c>
      <c r="M4519" s="8" t="s">
        <v>17288</v>
      </c>
      <c r="N4519" s="8" t="s">
        <v>20429</v>
      </c>
      <c r="O4519" s="8">
        <f>12+33/60+11.7/3600</f>
        <v>12.55325</v>
      </c>
      <c r="P4519" s="8" t="s">
        <v>20430</v>
      </c>
      <c r="Q4519" s="8">
        <f>+(7+51/60+8/3600)</f>
        <v>7.8522222222222222</v>
      </c>
      <c r="R4519" s="8">
        <v>13.8</v>
      </c>
      <c r="S4519" s="8">
        <v>14.8</v>
      </c>
      <c r="T4519" s="8">
        <v>1</v>
      </c>
      <c r="U4519" s="8">
        <v>12.7</v>
      </c>
      <c r="V4519" s="8">
        <v>1</v>
      </c>
      <c r="W4519" s="8">
        <v>0.4</v>
      </c>
      <c r="X4519" s="8">
        <v>177</v>
      </c>
      <c r="Y4519" s="8" t="s">
        <v>2641</v>
      </c>
      <c r="Z4519" s="8" t="s">
        <v>2642</v>
      </c>
    </row>
    <row r="4520" spans="1:26" x14ac:dyDescent="0.2">
      <c r="A4520" s="8">
        <v>4519</v>
      </c>
      <c r="B4520" s="8" t="s">
        <v>20431</v>
      </c>
      <c r="C4520" s="8" t="s">
        <v>20431</v>
      </c>
      <c r="F4520" s="47" t="s">
        <v>57432</v>
      </c>
      <c r="G4520" s="8">
        <v>6.5</v>
      </c>
      <c r="H4520" s="8" t="s">
        <v>21</v>
      </c>
      <c r="I4520" s="8" t="s">
        <v>22</v>
      </c>
      <c r="J4520" s="8" t="s">
        <v>22</v>
      </c>
      <c r="K4520" s="8" t="s">
        <v>1277</v>
      </c>
      <c r="L4520" s="8" t="s">
        <v>17287</v>
      </c>
      <c r="M4520" s="8" t="s">
        <v>17288</v>
      </c>
      <c r="N4520" s="8" t="s">
        <v>20432</v>
      </c>
      <c r="O4520" s="8">
        <f>12+33/60+30.2/3600</f>
        <v>12.55838888888889</v>
      </c>
      <c r="P4520" s="8" t="s">
        <v>20433</v>
      </c>
      <c r="Q4520" s="8">
        <f>+(8+39/60+18/3600)</f>
        <v>8.6550000000000011</v>
      </c>
      <c r="R4520" s="8">
        <v>11.8</v>
      </c>
      <c r="S4520" s="8">
        <v>12.3</v>
      </c>
      <c r="T4520" s="8">
        <v>0.5</v>
      </c>
      <c r="U4520" s="8">
        <v>13.9</v>
      </c>
      <c r="V4520" s="8">
        <v>3.2</v>
      </c>
      <c r="W4520" s="8">
        <v>2.5</v>
      </c>
      <c r="X4520" s="8">
        <v>145</v>
      </c>
      <c r="Y4520" s="8" t="s">
        <v>20434</v>
      </c>
      <c r="Z4520" s="8" t="s">
        <v>20435</v>
      </c>
    </row>
    <row r="4521" spans="1:26" x14ac:dyDescent="0.2">
      <c r="A4521" s="8">
        <v>4520</v>
      </c>
      <c r="B4521" s="8" t="s">
        <v>20436</v>
      </c>
      <c r="C4521" s="8" t="s">
        <v>20436</v>
      </c>
      <c r="F4521" s="47" t="s">
        <v>57433</v>
      </c>
      <c r="G4521" s="8">
        <v>15</v>
      </c>
      <c r="H4521" s="8" t="s">
        <v>21</v>
      </c>
      <c r="I4521" s="8" t="s">
        <v>22</v>
      </c>
      <c r="J4521" s="8" t="s">
        <v>22</v>
      </c>
      <c r="K4521" s="8" t="s">
        <v>58</v>
      </c>
      <c r="L4521" s="8" t="s">
        <v>17287</v>
      </c>
      <c r="M4521" s="8" t="s">
        <v>17288</v>
      </c>
      <c r="N4521" s="8" t="s">
        <v>20437</v>
      </c>
      <c r="O4521" s="8">
        <f>12+33/60+49.9/3600</f>
        <v>12.563861111111112</v>
      </c>
      <c r="P4521" s="8" t="s">
        <v>20438</v>
      </c>
      <c r="Q4521" s="8">
        <f>-(7+22/60+29/3600)</f>
        <v>-7.3747222222222222</v>
      </c>
      <c r="R4521" s="8">
        <v>14</v>
      </c>
      <c r="S4521" s="8">
        <v>15</v>
      </c>
      <c r="T4521" s="8">
        <v>1</v>
      </c>
      <c r="U4521" s="8">
        <v>13.6</v>
      </c>
      <c r="V4521" s="8">
        <v>1.1000000000000001</v>
      </c>
      <c r="W4521" s="8">
        <v>0.6</v>
      </c>
      <c r="X4521" s="8">
        <v>104</v>
      </c>
      <c r="Y4521" s="8" t="s">
        <v>20439</v>
      </c>
      <c r="Z4521" s="8" t="s">
        <v>20440</v>
      </c>
    </row>
    <row r="4522" spans="1:26" x14ac:dyDescent="0.2">
      <c r="A4522" s="8">
        <v>4521</v>
      </c>
      <c r="B4522" s="8" t="s">
        <v>20441</v>
      </c>
      <c r="C4522" s="8" t="s">
        <v>20441</v>
      </c>
      <c r="F4522" s="47" t="s">
        <v>57434</v>
      </c>
      <c r="G4522" s="8">
        <v>15</v>
      </c>
      <c r="H4522" s="8" t="s">
        <v>21</v>
      </c>
      <c r="I4522" s="8" t="s">
        <v>22</v>
      </c>
      <c r="J4522" s="8" t="s">
        <v>22</v>
      </c>
      <c r="K4522" s="8" t="s">
        <v>632</v>
      </c>
      <c r="L4522" s="8" t="s">
        <v>13395</v>
      </c>
      <c r="M4522" s="8" t="s">
        <v>13396</v>
      </c>
      <c r="N4522" s="8" t="s">
        <v>20406</v>
      </c>
      <c r="O4522" s="8">
        <f>12+32/60+47.6/3600</f>
        <v>12.546555555555555</v>
      </c>
      <c r="P4522" s="8" t="s">
        <v>20407</v>
      </c>
      <c r="Q4522" s="8">
        <f>+(63+56/60+22/3600)</f>
        <v>63.93944444444444</v>
      </c>
      <c r="R4522" s="8">
        <v>12.2</v>
      </c>
      <c r="S4522" s="8">
        <v>13.1</v>
      </c>
      <c r="T4522" s="8">
        <v>0.9</v>
      </c>
      <c r="U4522" s="8">
        <v>12.5</v>
      </c>
      <c r="V4522" s="8">
        <v>2.5</v>
      </c>
      <c r="W4522" s="8">
        <v>0.6</v>
      </c>
      <c r="X4522" s="8">
        <v>167</v>
      </c>
      <c r="Y4522" s="8" t="s">
        <v>21</v>
      </c>
      <c r="Z4522" s="8" t="s">
        <v>20442</v>
      </c>
    </row>
    <row r="4523" spans="1:26" x14ac:dyDescent="0.2">
      <c r="A4523" s="8">
        <v>4522</v>
      </c>
      <c r="B4523" s="8" t="s">
        <v>20443</v>
      </c>
      <c r="C4523" s="8" t="s">
        <v>20443</v>
      </c>
      <c r="F4523" s="47"/>
      <c r="G4523" s="8">
        <v>7</v>
      </c>
      <c r="H4523" s="8" t="s">
        <v>21</v>
      </c>
      <c r="I4523" s="8" t="s">
        <v>22</v>
      </c>
      <c r="J4523" s="8" t="s">
        <v>22</v>
      </c>
      <c r="K4523" s="8" t="s">
        <v>64</v>
      </c>
      <c r="L4523" s="8" t="s">
        <v>17287</v>
      </c>
      <c r="M4523" s="8" t="s">
        <v>17288</v>
      </c>
      <c r="N4523" s="8" t="s">
        <v>20444</v>
      </c>
      <c r="O4523" s="8">
        <f>12+33/60+39.7/3600</f>
        <v>12.561027777777779</v>
      </c>
      <c r="P4523" s="8" t="s">
        <v>20445</v>
      </c>
      <c r="Q4523" s="8">
        <f>+(9+10/60+27/3600)</f>
        <v>9.1741666666666664</v>
      </c>
      <c r="R4523" s="8">
        <v>12.3</v>
      </c>
      <c r="S4523" s="8">
        <v>13</v>
      </c>
      <c r="T4523" s="8">
        <v>0.7</v>
      </c>
      <c r="U4523" s="8">
        <v>13.6</v>
      </c>
      <c r="V4523" s="8">
        <v>3.6</v>
      </c>
      <c r="W4523" s="8">
        <v>1</v>
      </c>
      <c r="X4523" s="8">
        <v>33</v>
      </c>
      <c r="Y4523" s="8" t="s">
        <v>20446</v>
      </c>
      <c r="Z4523" s="8" t="s">
        <v>20447</v>
      </c>
    </row>
    <row r="4524" spans="1:26" x14ac:dyDescent="0.2">
      <c r="A4524" s="8">
        <v>4523</v>
      </c>
      <c r="B4524" s="8" t="s">
        <v>20448</v>
      </c>
      <c r="C4524" s="8" t="s">
        <v>20448</v>
      </c>
      <c r="F4524" s="47"/>
      <c r="G4524" s="8">
        <v>18</v>
      </c>
      <c r="H4524" s="8" t="s">
        <v>21</v>
      </c>
      <c r="I4524" s="8" t="s">
        <v>22</v>
      </c>
      <c r="J4524" s="8" t="s">
        <v>22</v>
      </c>
      <c r="K4524" s="8" t="s">
        <v>323</v>
      </c>
      <c r="L4524" s="8" t="s">
        <v>18289</v>
      </c>
      <c r="M4524" s="8" t="s">
        <v>18290</v>
      </c>
      <c r="N4524" s="8" t="s">
        <v>20449</v>
      </c>
      <c r="O4524" s="8">
        <f>12+33/60+48/3600</f>
        <v>12.563333333333334</v>
      </c>
      <c r="P4524" s="8" t="s">
        <v>20450</v>
      </c>
      <c r="Q4524" s="8">
        <f>+(15+10/60+6/3600)</f>
        <v>15.168333333333333</v>
      </c>
      <c r="R4524" s="8">
        <v>14.1</v>
      </c>
      <c r="S4524" s="8">
        <v>14.4</v>
      </c>
      <c r="T4524" s="8">
        <v>0.3</v>
      </c>
      <c r="U4524" s="8">
        <v>15.4</v>
      </c>
      <c r="V4524" s="8">
        <v>1.9</v>
      </c>
      <c r="W4524" s="8">
        <v>1.8</v>
      </c>
      <c r="X4524" s="8">
        <v>45</v>
      </c>
      <c r="Y4524" s="8" t="s">
        <v>21</v>
      </c>
      <c r="Z4524" s="8" t="s">
        <v>20451</v>
      </c>
    </row>
    <row r="4525" spans="1:26" x14ac:dyDescent="0.2">
      <c r="A4525" s="8">
        <v>4524</v>
      </c>
      <c r="B4525" s="8" t="s">
        <v>20452</v>
      </c>
      <c r="C4525" s="8" t="s">
        <v>20452</v>
      </c>
      <c r="F4525" s="47"/>
      <c r="G4525" s="8">
        <v>16</v>
      </c>
      <c r="H4525" s="8" t="s">
        <v>21</v>
      </c>
      <c r="I4525" s="8" t="s">
        <v>22</v>
      </c>
      <c r="J4525" s="8" t="s">
        <v>22</v>
      </c>
      <c r="K4525" s="8" t="s">
        <v>396</v>
      </c>
      <c r="L4525" s="8" t="s">
        <v>15925</v>
      </c>
      <c r="M4525" s="8" t="s">
        <v>15926</v>
      </c>
      <c r="N4525" s="8" t="s">
        <v>20453</v>
      </c>
      <c r="O4525" s="8">
        <f>12+33/60+54.4/3600</f>
        <v>12.565111111111111</v>
      </c>
      <c r="P4525" s="8" t="s">
        <v>18122</v>
      </c>
      <c r="Q4525" s="8">
        <f>-(12+1/60+38/3600)</f>
        <v>-12.027222222222223</v>
      </c>
      <c r="R4525" s="8">
        <v>13.4</v>
      </c>
      <c r="S4525" s="8">
        <v>14.2</v>
      </c>
      <c r="T4525" s="8">
        <v>0.8</v>
      </c>
      <c r="U4525" s="8">
        <v>13.1</v>
      </c>
      <c r="V4525" s="8">
        <v>1.3</v>
      </c>
      <c r="W4525" s="8">
        <v>0.8</v>
      </c>
      <c r="X4525" s="8">
        <v>80</v>
      </c>
      <c r="Y4525" s="8" t="s">
        <v>20454</v>
      </c>
      <c r="Z4525" s="8" t="s">
        <v>20455</v>
      </c>
    </row>
    <row r="4526" spans="1:26" x14ac:dyDescent="0.2">
      <c r="A4526" s="8">
        <v>4525</v>
      </c>
      <c r="B4526" s="8" t="s">
        <v>20456</v>
      </c>
      <c r="C4526" s="8" t="s">
        <v>20456</v>
      </c>
      <c r="F4526" s="47" t="s">
        <v>57435</v>
      </c>
      <c r="G4526" s="8">
        <v>15</v>
      </c>
      <c r="H4526" s="8" t="s">
        <v>21</v>
      </c>
      <c r="I4526" s="8" t="s">
        <v>22</v>
      </c>
      <c r="J4526" s="8" t="s">
        <v>22</v>
      </c>
      <c r="K4526" s="8" t="s">
        <v>64</v>
      </c>
      <c r="L4526" s="8" t="s">
        <v>18289</v>
      </c>
      <c r="M4526" s="8" t="s">
        <v>18290</v>
      </c>
      <c r="N4526" s="8" t="s">
        <v>20457</v>
      </c>
      <c r="O4526" s="8">
        <f>12+33/60+51.1/3600</f>
        <v>12.564194444444444</v>
      </c>
      <c r="P4526" s="8" t="s">
        <v>20458</v>
      </c>
      <c r="Q4526" s="8">
        <f>+(30+16/60+39/3600)</f>
        <v>30.2775</v>
      </c>
      <c r="R4526" s="8">
        <v>12.2</v>
      </c>
      <c r="S4526" s="8">
        <v>12.9</v>
      </c>
      <c r="T4526" s="8">
        <v>0.7</v>
      </c>
      <c r="U4526" s="8">
        <v>13.4</v>
      </c>
      <c r="V4526" s="8">
        <v>2.6</v>
      </c>
      <c r="W4526" s="8">
        <v>1.3</v>
      </c>
      <c r="X4526" s="8">
        <v>53</v>
      </c>
      <c r="Y4526" s="8" t="s">
        <v>20025</v>
      </c>
      <c r="Z4526" s="8" t="s">
        <v>19722</v>
      </c>
    </row>
    <row r="4527" spans="1:26" x14ac:dyDescent="0.2">
      <c r="A4527" s="8">
        <v>4526</v>
      </c>
      <c r="B4527" s="8" t="s">
        <v>20459</v>
      </c>
      <c r="C4527" s="8" t="s">
        <v>20459</v>
      </c>
      <c r="F4527" s="47" t="s">
        <v>57436</v>
      </c>
      <c r="G4527" s="8">
        <v>5</v>
      </c>
      <c r="H4527" s="8" t="s">
        <v>20460</v>
      </c>
      <c r="I4527" s="8" t="s">
        <v>22</v>
      </c>
      <c r="J4527" s="8" t="s">
        <v>22</v>
      </c>
      <c r="K4527" s="8" t="s">
        <v>224</v>
      </c>
      <c r="L4527" s="8" t="s">
        <v>17287</v>
      </c>
      <c r="M4527" s="8" t="s">
        <v>17288</v>
      </c>
      <c r="N4527" s="8" t="s">
        <v>20461</v>
      </c>
      <c r="O4527" s="8">
        <f>12+34/60+2.8/3600</f>
        <v>12.567444444444444</v>
      </c>
      <c r="P4527" s="8" t="s">
        <v>20462</v>
      </c>
      <c r="Q4527" s="8">
        <f>+(7+41/60+56/3600)</f>
        <v>7.6988888888888889</v>
      </c>
      <c r="R4527" s="8">
        <v>9.3000000000000007</v>
      </c>
      <c r="S4527" s="8">
        <v>10.3</v>
      </c>
      <c r="T4527" s="8">
        <v>1</v>
      </c>
      <c r="U4527" s="8">
        <v>12.7</v>
      </c>
      <c r="V4527" s="8">
        <v>7</v>
      </c>
      <c r="W4527" s="8">
        <v>2.5</v>
      </c>
      <c r="X4527" s="8">
        <v>113</v>
      </c>
      <c r="Y4527" s="8" t="s">
        <v>21</v>
      </c>
      <c r="Z4527" s="8" t="s">
        <v>20463</v>
      </c>
    </row>
    <row r="4528" spans="1:26" x14ac:dyDescent="0.2">
      <c r="A4528" s="8">
        <v>4527</v>
      </c>
      <c r="B4528" s="8" t="s">
        <v>20464</v>
      </c>
      <c r="C4528" s="8" t="s">
        <v>20464</v>
      </c>
      <c r="F4528" s="47" t="s">
        <v>57437</v>
      </c>
      <c r="G4528" s="8">
        <v>6</v>
      </c>
      <c r="H4528" s="8" t="s">
        <v>21</v>
      </c>
      <c r="I4528" s="8" t="s">
        <v>22</v>
      </c>
      <c r="J4528" s="8" t="s">
        <v>22</v>
      </c>
      <c r="K4528" s="8" t="s">
        <v>85</v>
      </c>
      <c r="L4528" s="8" t="s">
        <v>17287</v>
      </c>
      <c r="M4528" s="8" t="s">
        <v>17288</v>
      </c>
      <c r="N4528" s="8" t="s">
        <v>20465</v>
      </c>
      <c r="O4528" s="8">
        <f>12+34/60+8.8/3600</f>
        <v>12.569111111111111</v>
      </c>
      <c r="P4528" s="8" t="s">
        <v>20466</v>
      </c>
      <c r="Q4528" s="8">
        <f>+(2+39/60+12/3600)</f>
        <v>2.6533333333333333</v>
      </c>
      <c r="R4528" s="8">
        <v>10.5</v>
      </c>
      <c r="S4528" s="8">
        <v>11.4</v>
      </c>
      <c r="T4528" s="8">
        <v>0.9</v>
      </c>
      <c r="U4528" s="8">
        <v>13.2</v>
      </c>
      <c r="V4528" s="8">
        <v>6.2</v>
      </c>
      <c r="W4528" s="8">
        <v>2.1</v>
      </c>
      <c r="X4528" s="8">
        <v>67</v>
      </c>
      <c r="Y4528" s="8" t="s">
        <v>21</v>
      </c>
      <c r="Z4528" s="8" t="s">
        <v>20467</v>
      </c>
    </row>
    <row r="4529" spans="1:26" x14ac:dyDescent="0.2">
      <c r="A4529" s="8">
        <v>4528</v>
      </c>
      <c r="B4529" s="8" t="s">
        <v>20468</v>
      </c>
      <c r="C4529" s="8" t="s">
        <v>20468</v>
      </c>
      <c r="F4529" s="47" t="s">
        <v>57438</v>
      </c>
      <c r="G4529" s="8">
        <v>12</v>
      </c>
      <c r="H4529" s="8" t="s">
        <v>21</v>
      </c>
      <c r="I4529" s="8" t="s">
        <v>22</v>
      </c>
      <c r="J4529" s="8" t="s">
        <v>22</v>
      </c>
      <c r="K4529" s="8" t="s">
        <v>224</v>
      </c>
      <c r="L4529" s="8" t="s">
        <v>17287</v>
      </c>
      <c r="M4529" s="8" t="s">
        <v>17288</v>
      </c>
      <c r="N4529" s="8" t="s">
        <v>20469</v>
      </c>
      <c r="O4529" s="8">
        <f>12+34/60+6/3600</f>
        <v>12.568333333333333</v>
      </c>
      <c r="P4529" s="8" t="s">
        <v>20470</v>
      </c>
      <c r="Q4529" s="8">
        <f>+(11+19/60+16/3600)</f>
        <v>11.321111111111112</v>
      </c>
      <c r="R4529" s="8">
        <v>12.1</v>
      </c>
      <c r="S4529" s="8">
        <v>13</v>
      </c>
      <c r="T4529" s="8">
        <v>0.9</v>
      </c>
      <c r="U4529" s="8">
        <v>12.5</v>
      </c>
      <c r="V4529" s="8">
        <v>1.6</v>
      </c>
      <c r="W4529" s="8">
        <v>1</v>
      </c>
      <c r="X4529" s="8">
        <v>5</v>
      </c>
      <c r="Y4529" s="8" t="s">
        <v>21</v>
      </c>
      <c r="Z4529" s="8" t="s">
        <v>20471</v>
      </c>
    </row>
    <row r="4530" spans="1:26" x14ac:dyDescent="0.2">
      <c r="A4530" s="8">
        <v>4529</v>
      </c>
      <c r="B4530" s="8" t="s">
        <v>20472</v>
      </c>
      <c r="C4530" s="8" t="s">
        <v>20472</v>
      </c>
      <c r="F4530" s="47" t="s">
        <v>57439</v>
      </c>
      <c r="G4530" s="8">
        <v>15</v>
      </c>
      <c r="H4530" s="8" t="s">
        <v>21</v>
      </c>
      <c r="I4530" s="8" t="s">
        <v>22</v>
      </c>
      <c r="J4530" s="8" t="s">
        <v>22</v>
      </c>
      <c r="K4530" s="8" t="s">
        <v>160</v>
      </c>
      <c r="L4530" s="8" t="s">
        <v>18289</v>
      </c>
      <c r="M4530" s="8" t="s">
        <v>18290</v>
      </c>
      <c r="N4530" s="8" t="s">
        <v>20473</v>
      </c>
      <c r="O4530" s="8">
        <f>12+32/60+51.7/3600</f>
        <v>12.547694444444444</v>
      </c>
      <c r="P4530" s="8" t="s">
        <v>20474</v>
      </c>
      <c r="Q4530" s="8">
        <f>+(20+11/60+1/3600)</f>
        <v>20.183611111111112</v>
      </c>
      <c r="R4530" s="8">
        <v>14.3</v>
      </c>
      <c r="S4530" s="8">
        <v>15</v>
      </c>
      <c r="T4530" s="8">
        <v>0.7</v>
      </c>
      <c r="U4530" s="8">
        <v>13.9</v>
      </c>
      <c r="V4530" s="8">
        <v>2</v>
      </c>
      <c r="W4530" s="8">
        <v>0.4</v>
      </c>
      <c r="X4530" s="8">
        <v>99</v>
      </c>
      <c r="Y4530" s="8" t="s">
        <v>20475</v>
      </c>
      <c r="Z4530" s="8" t="s">
        <v>20476</v>
      </c>
    </row>
    <row r="4531" spans="1:26" x14ac:dyDescent="0.2">
      <c r="A4531" s="8">
        <v>4530</v>
      </c>
      <c r="B4531" s="8" t="s">
        <v>20477</v>
      </c>
      <c r="C4531" s="8" t="s">
        <v>20477</v>
      </c>
      <c r="F4531" s="47"/>
      <c r="G4531" s="8">
        <v>16</v>
      </c>
      <c r="H4531" s="8" t="s">
        <v>21</v>
      </c>
      <c r="I4531" s="8" t="s">
        <v>72</v>
      </c>
      <c r="J4531" s="8" t="s">
        <v>72</v>
      </c>
      <c r="K4531" s="8" t="s">
        <v>20</v>
      </c>
      <c r="L4531" s="8" t="s">
        <v>18681</v>
      </c>
      <c r="M4531" s="8" t="s">
        <v>18682</v>
      </c>
      <c r="N4531" s="8" t="s">
        <v>20478</v>
      </c>
      <c r="O4531" s="8">
        <f>12+33/60+47.6/3600</f>
        <v>12.563222222222223</v>
      </c>
      <c r="P4531" s="8" t="s">
        <v>20479</v>
      </c>
      <c r="Q4531" s="8">
        <f>+(41+21/60+14/3600)</f>
        <v>41.353888888888889</v>
      </c>
      <c r="R4531" s="8">
        <v>99</v>
      </c>
      <c r="S4531" s="8">
        <v>4.3</v>
      </c>
      <c r="T4531" s="8">
        <v>99</v>
      </c>
      <c r="U4531" s="8">
        <v>99</v>
      </c>
      <c r="Y4531" s="8" t="s">
        <v>20480</v>
      </c>
      <c r="Z4531" s="8" t="s">
        <v>20481</v>
      </c>
    </row>
    <row r="4532" spans="1:26" x14ac:dyDescent="0.2">
      <c r="A4532" s="8">
        <v>4531</v>
      </c>
      <c r="B4532" s="8" t="s">
        <v>20482</v>
      </c>
      <c r="C4532" s="8" t="s">
        <v>20482</v>
      </c>
      <c r="F4532" s="47" t="s">
        <v>57440</v>
      </c>
      <c r="G4532" s="8">
        <v>15</v>
      </c>
      <c r="H4532" s="8" t="s">
        <v>21</v>
      </c>
      <c r="I4532" s="8" t="s">
        <v>22</v>
      </c>
      <c r="J4532" s="8" t="s">
        <v>22</v>
      </c>
      <c r="K4532" s="8" t="s">
        <v>435</v>
      </c>
      <c r="L4532" s="8" t="s">
        <v>17287</v>
      </c>
      <c r="M4532" s="8" t="s">
        <v>17288</v>
      </c>
      <c r="N4532" s="8" t="s">
        <v>20483</v>
      </c>
      <c r="O4532" s="8">
        <f>12+34/60+15.8/3600</f>
        <v>12.571055555555555</v>
      </c>
      <c r="P4532" s="8" t="s">
        <v>20484</v>
      </c>
      <c r="Q4532" s="8">
        <f>+(13+4/60+33/3600)</f>
        <v>13.075833333333334</v>
      </c>
      <c r="R4532" s="8">
        <v>11.4</v>
      </c>
      <c r="S4532" s="8">
        <v>12.3</v>
      </c>
      <c r="T4532" s="8">
        <v>0.9</v>
      </c>
      <c r="U4532" s="8">
        <v>13.3</v>
      </c>
      <c r="V4532" s="8">
        <v>3.1</v>
      </c>
      <c r="W4532" s="8">
        <v>2</v>
      </c>
      <c r="X4532" s="8">
        <v>155</v>
      </c>
      <c r="Y4532" s="8" t="s">
        <v>8615</v>
      </c>
      <c r="Z4532" s="8" t="s">
        <v>8616</v>
      </c>
    </row>
    <row r="4533" spans="1:26" x14ac:dyDescent="0.2">
      <c r="A4533" s="8">
        <v>4532</v>
      </c>
      <c r="B4533" s="8" t="s">
        <v>20485</v>
      </c>
      <c r="C4533" s="8" t="s">
        <v>20485</v>
      </c>
      <c r="F4533" s="47" t="s">
        <v>57441</v>
      </c>
      <c r="G4533" s="8">
        <v>13</v>
      </c>
      <c r="H4533" s="8" t="s">
        <v>21</v>
      </c>
      <c r="I4533" s="8" t="s">
        <v>22</v>
      </c>
      <c r="J4533" s="8" t="s">
        <v>22</v>
      </c>
      <c r="K4533" s="8" t="s">
        <v>107</v>
      </c>
      <c r="L4533" s="8" t="s">
        <v>17287</v>
      </c>
      <c r="M4533" s="8" t="s">
        <v>17288</v>
      </c>
      <c r="N4533" s="8" t="s">
        <v>20486</v>
      </c>
      <c r="O4533" s="8">
        <f>12+34/60+19.3/3600</f>
        <v>12.572027777777777</v>
      </c>
      <c r="P4533" s="8" t="s">
        <v>20487</v>
      </c>
      <c r="Q4533" s="8">
        <f>+(6+28/60+2/3600)</f>
        <v>6.4672222222222224</v>
      </c>
      <c r="R4533" s="8">
        <v>11.9</v>
      </c>
      <c r="S4533" s="8">
        <v>12.3</v>
      </c>
      <c r="T4533" s="8">
        <v>0.4</v>
      </c>
      <c r="U4533" s="8">
        <v>13</v>
      </c>
      <c r="V4533" s="8">
        <v>2.7</v>
      </c>
      <c r="W4533" s="8">
        <v>1.2</v>
      </c>
      <c r="X4533" s="8">
        <v>163</v>
      </c>
      <c r="Y4533" s="8" t="s">
        <v>20488</v>
      </c>
      <c r="Z4533" s="8" t="s">
        <v>20489</v>
      </c>
    </row>
    <row r="4534" spans="1:26" x14ac:dyDescent="0.2">
      <c r="A4534" s="8">
        <v>4533</v>
      </c>
      <c r="B4534" s="8" t="s">
        <v>20490</v>
      </c>
      <c r="C4534" s="8" t="s">
        <v>20490</v>
      </c>
      <c r="F4534" s="47"/>
      <c r="G4534" s="8">
        <v>19</v>
      </c>
      <c r="H4534" s="8" t="s">
        <v>21</v>
      </c>
      <c r="I4534" s="8" t="s">
        <v>22</v>
      </c>
      <c r="J4534" s="8" t="s">
        <v>22</v>
      </c>
      <c r="K4534" s="8" t="s">
        <v>579</v>
      </c>
      <c r="L4534" s="8" t="s">
        <v>17287</v>
      </c>
      <c r="M4534" s="8" t="s">
        <v>17288</v>
      </c>
      <c r="N4534" s="8" t="s">
        <v>20491</v>
      </c>
      <c r="O4534" s="8">
        <f>12+34/60+22.1/3600</f>
        <v>12.572805555555556</v>
      </c>
      <c r="P4534" s="8" t="s">
        <v>20492</v>
      </c>
      <c r="Q4534" s="8">
        <f>+(2+19/60+31/3600)</f>
        <v>2.3252777777777776</v>
      </c>
      <c r="R4534" s="8">
        <v>13.8</v>
      </c>
      <c r="S4534" s="8">
        <v>14.5</v>
      </c>
      <c r="T4534" s="8">
        <v>0.7</v>
      </c>
      <c r="U4534" s="8">
        <v>13.5</v>
      </c>
      <c r="V4534" s="8">
        <v>2.1</v>
      </c>
      <c r="W4534" s="8">
        <v>0.4</v>
      </c>
      <c r="X4534" s="8">
        <v>161</v>
      </c>
      <c r="Y4534" s="8" t="s">
        <v>21</v>
      </c>
      <c r="Z4534" s="8" t="s">
        <v>20493</v>
      </c>
    </row>
    <row r="4535" spans="1:26" x14ac:dyDescent="0.2">
      <c r="A4535" s="8">
        <v>4534</v>
      </c>
      <c r="B4535" s="8" t="s">
        <v>20494</v>
      </c>
      <c r="C4535" s="8" t="s">
        <v>20494</v>
      </c>
      <c r="F4535" s="47" t="s">
        <v>57442</v>
      </c>
      <c r="G4535" s="8">
        <v>15</v>
      </c>
      <c r="H4535" s="8" t="s">
        <v>21</v>
      </c>
      <c r="I4535" s="8" t="s">
        <v>22</v>
      </c>
      <c r="J4535" s="8" t="s">
        <v>22</v>
      </c>
      <c r="K4535" s="8" t="s">
        <v>3523</v>
      </c>
      <c r="L4535" s="8" t="s">
        <v>18681</v>
      </c>
      <c r="M4535" s="8" t="s">
        <v>18682</v>
      </c>
      <c r="N4535" s="8" t="s">
        <v>20495</v>
      </c>
      <c r="O4535" s="8">
        <f>12+34/60+5.4/3600</f>
        <v>12.568166666666666</v>
      </c>
      <c r="P4535" s="8" t="s">
        <v>20496</v>
      </c>
      <c r="Q4535" s="8">
        <f>+(35+31/60+6/3600)</f>
        <v>35.518333333333331</v>
      </c>
      <c r="R4535" s="8">
        <v>12.3</v>
      </c>
      <c r="S4535" s="8">
        <v>12.9</v>
      </c>
      <c r="T4535" s="8">
        <v>0.6</v>
      </c>
      <c r="U4535" s="8">
        <v>14</v>
      </c>
      <c r="V4535" s="8">
        <v>2.6</v>
      </c>
      <c r="W4535" s="8">
        <v>2.1</v>
      </c>
      <c r="X4535" s="8">
        <v>107</v>
      </c>
      <c r="Y4535" s="8" t="s">
        <v>20497</v>
      </c>
      <c r="Z4535" s="8" t="s">
        <v>20498</v>
      </c>
    </row>
    <row r="4536" spans="1:26" x14ac:dyDescent="0.2">
      <c r="A4536" s="8">
        <v>4535</v>
      </c>
      <c r="B4536" s="8" t="s">
        <v>20499</v>
      </c>
      <c r="C4536" s="8" t="s">
        <v>20499</v>
      </c>
      <c r="F4536" s="47" t="s">
        <v>57443</v>
      </c>
      <c r="G4536" s="8">
        <v>5</v>
      </c>
      <c r="H4536" s="8" t="s">
        <v>20500</v>
      </c>
      <c r="I4536" s="8" t="s">
        <v>22</v>
      </c>
      <c r="J4536" s="8" t="s">
        <v>22</v>
      </c>
      <c r="K4536" s="8" t="s">
        <v>64</v>
      </c>
      <c r="L4536" s="8" t="s">
        <v>17287</v>
      </c>
      <c r="M4536" s="8" t="s">
        <v>17288</v>
      </c>
      <c r="N4536" s="8" t="s">
        <v>20501</v>
      </c>
      <c r="O4536" s="8">
        <f>12+34/60+20.2/3600</f>
        <v>12.572277777777778</v>
      </c>
      <c r="P4536" s="8" t="s">
        <v>20502</v>
      </c>
      <c r="Q4536" s="8">
        <f>+(8+11/60+51/3600)</f>
        <v>8.1974999999999998</v>
      </c>
      <c r="R4536" s="8">
        <v>10</v>
      </c>
      <c r="S4536" s="8">
        <v>10.6</v>
      </c>
      <c r="T4536" s="8">
        <v>0.6</v>
      </c>
      <c r="U4536" s="8">
        <v>13.7</v>
      </c>
      <c r="V4536" s="8">
        <v>7.1</v>
      </c>
      <c r="W4536" s="8">
        <v>5</v>
      </c>
      <c r="X4536" s="8">
        <v>0</v>
      </c>
      <c r="Y4536" s="8" t="s">
        <v>20503</v>
      </c>
      <c r="Z4536" s="8" t="s">
        <v>20504</v>
      </c>
    </row>
    <row r="4537" spans="1:26" x14ac:dyDescent="0.2">
      <c r="A4537" s="8">
        <v>4536</v>
      </c>
      <c r="B4537" s="8" t="s">
        <v>20505</v>
      </c>
      <c r="C4537" s="8" t="s">
        <v>20505</v>
      </c>
      <c r="F4537" s="47" t="s">
        <v>57444</v>
      </c>
      <c r="G4537" s="8">
        <v>6</v>
      </c>
      <c r="H4537" s="8" t="s">
        <v>21</v>
      </c>
      <c r="I4537" s="8" t="s">
        <v>22</v>
      </c>
      <c r="J4537" s="8" t="s">
        <v>22</v>
      </c>
      <c r="K4537" s="8" t="s">
        <v>85</v>
      </c>
      <c r="L4537" s="8" t="s">
        <v>17287</v>
      </c>
      <c r="M4537" s="8" t="s">
        <v>17288</v>
      </c>
      <c r="N4537" s="8" t="s">
        <v>20506</v>
      </c>
      <c r="O4537" s="8">
        <f>12+34/60+26.9/3600</f>
        <v>12.574138888888889</v>
      </c>
      <c r="P4537" s="8" t="s">
        <v>20507</v>
      </c>
      <c r="Q4537" s="8">
        <f>+(2+11/60+14/3600)</f>
        <v>2.1872222222222222</v>
      </c>
      <c r="R4537" s="8">
        <v>10.6</v>
      </c>
      <c r="S4537" s="8">
        <v>11.2</v>
      </c>
      <c r="T4537" s="8">
        <v>0.6</v>
      </c>
      <c r="U4537" s="8">
        <v>13.9</v>
      </c>
      <c r="V4537" s="8">
        <v>7.6</v>
      </c>
      <c r="W4537" s="8">
        <v>3.2</v>
      </c>
      <c r="X4537" s="8">
        <v>130</v>
      </c>
      <c r="Y4537" s="8" t="s">
        <v>21</v>
      </c>
      <c r="Z4537" s="8" t="s">
        <v>20508</v>
      </c>
    </row>
    <row r="4538" spans="1:26" x14ac:dyDescent="0.2">
      <c r="A4538" s="8">
        <v>4537</v>
      </c>
      <c r="B4538" s="8" t="s">
        <v>20509</v>
      </c>
      <c r="C4538" s="8" t="s">
        <v>20509</v>
      </c>
      <c r="F4538" s="47"/>
      <c r="G4538" s="8">
        <v>19</v>
      </c>
      <c r="H4538" s="8" t="s">
        <v>21</v>
      </c>
      <c r="I4538" s="8" t="s">
        <v>22</v>
      </c>
      <c r="J4538" s="8" t="s">
        <v>57</v>
      </c>
      <c r="K4538" s="8" t="s">
        <v>449</v>
      </c>
      <c r="L4538" s="8" t="s">
        <v>18681</v>
      </c>
      <c r="M4538" s="8" t="s">
        <v>18682</v>
      </c>
      <c r="N4538" s="8" t="s">
        <v>20510</v>
      </c>
      <c r="O4538" s="8">
        <f>12+34/60+49.1/3600</f>
        <v>12.580305555555555</v>
      </c>
      <c r="P4538" s="8" t="s">
        <v>20511</v>
      </c>
      <c r="Q4538" s="8">
        <f>+(50+48/60+20/3600)</f>
        <v>50.80555555555555</v>
      </c>
      <c r="R4538" s="8">
        <v>13.9</v>
      </c>
      <c r="S4538" s="8">
        <v>14.8</v>
      </c>
      <c r="T4538" s="8">
        <v>0.9</v>
      </c>
      <c r="U4538" s="8">
        <v>13</v>
      </c>
      <c r="V4538" s="8">
        <v>1</v>
      </c>
      <c r="W4538" s="8">
        <v>0.5</v>
      </c>
      <c r="X4538" s="8">
        <v>28</v>
      </c>
      <c r="Y4538" s="8" t="s">
        <v>20408</v>
      </c>
      <c r="Z4538" s="8" t="s">
        <v>20512</v>
      </c>
    </row>
    <row r="4539" spans="1:26" x14ac:dyDescent="0.2">
      <c r="A4539" s="8">
        <v>4538</v>
      </c>
      <c r="B4539" s="8" t="s">
        <v>20513</v>
      </c>
      <c r="C4539" s="8" t="s">
        <v>20513</v>
      </c>
      <c r="F4539" s="47"/>
      <c r="G4539" s="8">
        <v>18</v>
      </c>
      <c r="H4539" s="8" t="s">
        <v>21</v>
      </c>
      <c r="I4539" s="8" t="s">
        <v>22</v>
      </c>
      <c r="J4539" s="8" t="s">
        <v>22</v>
      </c>
      <c r="K4539" s="8" t="s">
        <v>23</v>
      </c>
      <c r="L4539" s="8" t="s">
        <v>17287</v>
      </c>
      <c r="M4539" s="8" t="s">
        <v>17288</v>
      </c>
      <c r="N4539" s="8" t="s">
        <v>20514</v>
      </c>
      <c r="O4539" s="8">
        <f>12+34/60+40.8/3600</f>
        <v>12.577999999999999</v>
      </c>
      <c r="P4539" s="8" t="s">
        <v>20515</v>
      </c>
      <c r="Q4539" s="8">
        <f>+(3+19/60+25/3600)</f>
        <v>3.3236111111111111</v>
      </c>
      <c r="R4539" s="8">
        <v>14.4</v>
      </c>
      <c r="S4539" s="8">
        <v>15.2</v>
      </c>
      <c r="T4539" s="8">
        <v>0.8</v>
      </c>
      <c r="U4539" s="8">
        <v>12.6</v>
      </c>
      <c r="V4539" s="8">
        <v>0.7</v>
      </c>
      <c r="W4539" s="8">
        <v>0.3</v>
      </c>
      <c r="X4539" s="8">
        <v>81</v>
      </c>
      <c r="Y4539" s="8" t="s">
        <v>21</v>
      </c>
      <c r="Z4539" s="8" t="s">
        <v>20516</v>
      </c>
    </row>
    <row r="4540" spans="1:26" x14ac:dyDescent="0.2">
      <c r="A4540" s="8">
        <v>4539</v>
      </c>
      <c r="B4540" s="8" t="s">
        <v>20517</v>
      </c>
      <c r="C4540" s="8" t="s">
        <v>20517</v>
      </c>
      <c r="F4540" s="47"/>
      <c r="G4540" s="8">
        <v>16</v>
      </c>
      <c r="H4540" s="8" t="s">
        <v>21</v>
      </c>
      <c r="I4540" s="8" t="s">
        <v>22</v>
      </c>
      <c r="J4540" s="8" t="s">
        <v>22</v>
      </c>
      <c r="K4540" s="8" t="s">
        <v>154</v>
      </c>
      <c r="L4540" s="8" t="s">
        <v>18289</v>
      </c>
      <c r="M4540" s="8" t="s">
        <v>18290</v>
      </c>
      <c r="N4540" s="8" t="s">
        <v>20518</v>
      </c>
      <c r="O4540" s="8">
        <f>12+34/60+34.6/3600</f>
        <v>12.576277777777777</v>
      </c>
      <c r="P4540" s="8" t="s">
        <v>20519</v>
      </c>
      <c r="Q4540" s="8">
        <f>+(18+12/60+10/3600)</f>
        <v>18.202777777777776</v>
      </c>
      <c r="R4540" s="8">
        <v>12</v>
      </c>
      <c r="S4540" s="8">
        <v>12.9</v>
      </c>
      <c r="T4540" s="8">
        <v>0.9</v>
      </c>
      <c r="U4540" s="8">
        <v>13.5</v>
      </c>
      <c r="V4540" s="8">
        <v>3.3</v>
      </c>
      <c r="W4540" s="8">
        <v>1.4</v>
      </c>
      <c r="X4540" s="8">
        <v>95</v>
      </c>
      <c r="Y4540" s="8" t="s">
        <v>20520</v>
      </c>
      <c r="Z4540" s="8" t="s">
        <v>20521</v>
      </c>
    </row>
    <row r="4541" spans="1:26" x14ac:dyDescent="0.2">
      <c r="A4541" s="8">
        <v>4540</v>
      </c>
      <c r="B4541" s="8" t="s">
        <v>20522</v>
      </c>
      <c r="C4541" s="8" t="s">
        <v>20522</v>
      </c>
      <c r="F4541" s="47" t="s">
        <v>57445</v>
      </c>
      <c r="G4541" s="8">
        <v>13</v>
      </c>
      <c r="H4541" s="8" t="s">
        <v>21</v>
      </c>
      <c r="I4541" s="8" t="s">
        <v>22</v>
      </c>
      <c r="J4541" s="8" t="s">
        <v>22</v>
      </c>
      <c r="K4541" s="8" t="s">
        <v>64</v>
      </c>
      <c r="L4541" s="8" t="s">
        <v>18289</v>
      </c>
      <c r="M4541" s="8" t="s">
        <v>18290</v>
      </c>
      <c r="N4541" s="8" t="s">
        <v>20523</v>
      </c>
      <c r="O4541" s="8">
        <f>12+34/60+50.9/3600</f>
        <v>12.580805555555555</v>
      </c>
      <c r="P4541" s="8" t="s">
        <v>20524</v>
      </c>
      <c r="Q4541" s="8">
        <f>+(15+33/60+4/3600)</f>
        <v>15.551111111111112</v>
      </c>
      <c r="R4541" s="8">
        <v>11.7</v>
      </c>
      <c r="S4541" s="8">
        <v>12.5</v>
      </c>
      <c r="T4541" s="8">
        <v>0.8</v>
      </c>
      <c r="U4541" s="8">
        <v>12.7</v>
      </c>
      <c r="V4541" s="8">
        <v>1.9</v>
      </c>
      <c r="W4541" s="8">
        <v>1.5</v>
      </c>
      <c r="X4541" s="8">
        <v>40</v>
      </c>
      <c r="Y4541" s="8" t="s">
        <v>20149</v>
      </c>
      <c r="Z4541" s="8" t="s">
        <v>20150</v>
      </c>
    </row>
    <row r="4542" spans="1:26" x14ac:dyDescent="0.2">
      <c r="A4542" s="8">
        <v>4541</v>
      </c>
      <c r="B4542" s="8" t="s">
        <v>20525</v>
      </c>
      <c r="C4542" s="8" t="s">
        <v>20525</v>
      </c>
      <c r="F4542" s="47" t="s">
        <v>57446</v>
      </c>
      <c r="G4542" s="8">
        <v>15</v>
      </c>
      <c r="H4542" s="8" t="s">
        <v>21</v>
      </c>
      <c r="I4542" s="8" t="s">
        <v>22</v>
      </c>
      <c r="J4542" s="8" t="s">
        <v>22</v>
      </c>
      <c r="K4542" s="8" t="s">
        <v>85</v>
      </c>
      <c r="L4542" s="8" t="s">
        <v>17287</v>
      </c>
      <c r="M4542" s="8" t="s">
        <v>17288</v>
      </c>
      <c r="N4542" s="8" t="s">
        <v>20526</v>
      </c>
      <c r="O4542" s="8">
        <f>12+35/60+10.7/3600</f>
        <v>12.586305555555557</v>
      </c>
      <c r="P4542" s="8" t="s">
        <v>20527</v>
      </c>
      <c r="Q4542" s="8">
        <f>-(0+13/60+16/3600)</f>
        <v>-0.22111111111111112</v>
      </c>
      <c r="R4542" s="8">
        <v>13</v>
      </c>
      <c r="S4542" s="8">
        <v>13.8</v>
      </c>
      <c r="T4542" s="8">
        <v>0.8</v>
      </c>
      <c r="U4542" s="8">
        <v>13</v>
      </c>
      <c r="V4542" s="8">
        <v>1.6</v>
      </c>
      <c r="W4542" s="8">
        <v>0.7</v>
      </c>
      <c r="X4542" s="8">
        <v>91</v>
      </c>
      <c r="Y4542" s="8" t="s">
        <v>6420</v>
      </c>
      <c r="Z4542" s="8" t="s">
        <v>6421</v>
      </c>
    </row>
    <row r="4543" spans="1:26" x14ac:dyDescent="0.2">
      <c r="A4543" s="8">
        <v>4542</v>
      </c>
      <c r="B4543" s="8" t="s">
        <v>20528</v>
      </c>
      <c r="C4543" s="8" t="s">
        <v>20528</v>
      </c>
      <c r="F4543" s="47"/>
      <c r="G4543" s="8">
        <v>16</v>
      </c>
      <c r="H4543" s="8" t="s">
        <v>21</v>
      </c>
      <c r="I4543" s="8" t="s">
        <v>22</v>
      </c>
      <c r="J4543" s="8" t="s">
        <v>22</v>
      </c>
      <c r="K4543" s="8" t="s">
        <v>449</v>
      </c>
      <c r="L4543" s="8" t="s">
        <v>18681</v>
      </c>
      <c r="M4543" s="8" t="s">
        <v>18682</v>
      </c>
      <c r="N4543" s="8" t="s">
        <v>20510</v>
      </c>
      <c r="O4543" s="8">
        <f>12+34/60+49.1/3600</f>
        <v>12.580305555555555</v>
      </c>
      <c r="P4543" s="8" t="s">
        <v>20511</v>
      </c>
      <c r="Q4543" s="8">
        <f>+(50+48/60+20/3600)</f>
        <v>50.80555555555555</v>
      </c>
      <c r="R4543" s="8">
        <v>13.9</v>
      </c>
      <c r="S4543" s="8">
        <v>14.8</v>
      </c>
      <c r="T4543" s="8">
        <v>0.9</v>
      </c>
      <c r="U4543" s="8">
        <v>13</v>
      </c>
      <c r="V4543" s="8">
        <v>1</v>
      </c>
      <c r="W4543" s="8">
        <v>0.5</v>
      </c>
      <c r="X4543" s="8">
        <v>28</v>
      </c>
      <c r="Y4543" s="8" t="s">
        <v>2734</v>
      </c>
      <c r="Z4543" s="8" t="s">
        <v>2735</v>
      </c>
    </row>
    <row r="4544" spans="1:26" x14ac:dyDescent="0.2">
      <c r="A4544" s="8">
        <v>4543</v>
      </c>
      <c r="B4544" s="8" t="s">
        <v>20529</v>
      </c>
      <c r="C4544" s="8" t="s">
        <v>20529</v>
      </c>
      <c r="F4544" s="47"/>
      <c r="G4544" s="8">
        <v>16</v>
      </c>
      <c r="H4544" s="8" t="s">
        <v>21</v>
      </c>
      <c r="I4544" s="8" t="s">
        <v>22</v>
      </c>
      <c r="J4544" s="8" t="s">
        <v>22</v>
      </c>
      <c r="K4544" s="8" t="s">
        <v>382</v>
      </c>
      <c r="L4544" s="8" t="s">
        <v>17287</v>
      </c>
      <c r="M4544" s="8" t="s">
        <v>17288</v>
      </c>
      <c r="N4544" s="8" t="s">
        <v>20530</v>
      </c>
      <c r="O4544" s="8">
        <f>12+35/60+20.2/3600</f>
        <v>12.588944444444445</v>
      </c>
      <c r="P4544" s="8" t="s">
        <v>20531</v>
      </c>
      <c r="Q4544" s="8">
        <f>+(6+6/60+56/3600)</f>
        <v>6.115555555555555</v>
      </c>
      <c r="R4544" s="8">
        <v>13.6</v>
      </c>
      <c r="S4544" s="8">
        <v>14.6</v>
      </c>
      <c r="T4544" s="8">
        <v>1</v>
      </c>
      <c r="U4544" s="8">
        <v>13</v>
      </c>
      <c r="V4544" s="8">
        <v>0.9</v>
      </c>
      <c r="W4544" s="8">
        <v>0.6</v>
      </c>
      <c r="X4544" s="8">
        <v>9</v>
      </c>
      <c r="Y4544" s="8" t="s">
        <v>20532</v>
      </c>
      <c r="Z4544" s="8" t="s">
        <v>20533</v>
      </c>
    </row>
    <row r="4545" spans="1:26" x14ac:dyDescent="0.2">
      <c r="A4545" s="8">
        <v>4544</v>
      </c>
      <c r="B4545" s="8" t="s">
        <v>20534</v>
      </c>
      <c r="C4545" s="8" t="s">
        <v>20534</v>
      </c>
      <c r="F4545" s="47"/>
      <c r="G4545" s="8">
        <v>19</v>
      </c>
      <c r="H4545" s="8" t="s">
        <v>21</v>
      </c>
      <c r="I4545" s="8" t="s">
        <v>22</v>
      </c>
      <c r="J4545" s="8" t="s">
        <v>22</v>
      </c>
      <c r="K4545" s="8" t="s">
        <v>435</v>
      </c>
      <c r="L4545" s="8" t="s">
        <v>17287</v>
      </c>
      <c r="M4545" s="8" t="s">
        <v>17288</v>
      </c>
      <c r="N4545" s="8" t="s">
        <v>20535</v>
      </c>
      <c r="O4545" s="8">
        <f>12+35/60+36.5/3600</f>
        <v>12.593472222222223</v>
      </c>
      <c r="P4545" s="8" t="s">
        <v>20536</v>
      </c>
      <c r="Q4545" s="8">
        <f>+(3+2/60+8/3600)</f>
        <v>3.0355555555555553</v>
      </c>
      <c r="R4545" s="8">
        <v>13</v>
      </c>
      <c r="S4545" s="8">
        <v>14</v>
      </c>
      <c r="T4545" s="8">
        <v>1</v>
      </c>
      <c r="U4545" s="8">
        <v>13</v>
      </c>
      <c r="V4545" s="8">
        <v>2</v>
      </c>
      <c r="W4545" s="8">
        <v>0.6</v>
      </c>
      <c r="X4545" s="8">
        <v>161</v>
      </c>
      <c r="Y4545" s="8" t="s">
        <v>20537</v>
      </c>
      <c r="Z4545" s="8" t="s">
        <v>20538</v>
      </c>
    </row>
    <row r="4546" spans="1:26" x14ac:dyDescent="0.2">
      <c r="A4546" s="8">
        <v>4545</v>
      </c>
      <c r="B4546" s="8" t="s">
        <v>20539</v>
      </c>
      <c r="C4546" s="8" t="s">
        <v>20539</v>
      </c>
      <c r="F4546" s="47" t="s">
        <v>57447</v>
      </c>
      <c r="G4546" s="8">
        <v>15</v>
      </c>
      <c r="H4546" s="8" t="s">
        <v>21</v>
      </c>
      <c r="I4546" s="8" t="s">
        <v>22</v>
      </c>
      <c r="J4546" s="8" t="s">
        <v>22</v>
      </c>
      <c r="K4546" s="8" t="s">
        <v>64</v>
      </c>
      <c r="L4546" s="8" t="s">
        <v>13395</v>
      </c>
      <c r="M4546" s="8" t="s">
        <v>13396</v>
      </c>
      <c r="N4546" s="8" t="s">
        <v>20540</v>
      </c>
      <c r="O4546" s="8">
        <f>12+34/60+34.1/3600</f>
        <v>12.576138888888888</v>
      </c>
      <c r="P4546" s="8" t="s">
        <v>20541</v>
      </c>
      <c r="Q4546" s="8">
        <f>+(63+31/60+29/3600)</f>
        <v>63.524722222222223</v>
      </c>
      <c r="R4546" s="8">
        <v>12.3</v>
      </c>
      <c r="S4546" s="8">
        <v>13</v>
      </c>
      <c r="T4546" s="8">
        <v>0.7</v>
      </c>
      <c r="U4546" s="8">
        <v>13.6</v>
      </c>
      <c r="V4546" s="8">
        <v>2.5</v>
      </c>
      <c r="W4546" s="8">
        <v>1.5</v>
      </c>
      <c r="X4546" s="8">
        <v>8</v>
      </c>
      <c r="Y4546" s="8" t="s">
        <v>20542</v>
      </c>
      <c r="Z4546" s="8" t="s">
        <v>20543</v>
      </c>
    </row>
    <row r="4547" spans="1:26" x14ac:dyDescent="0.2">
      <c r="A4547" s="8">
        <v>4546</v>
      </c>
      <c r="B4547" s="8" t="s">
        <v>20544</v>
      </c>
      <c r="C4547" s="8" t="s">
        <v>20544</v>
      </c>
      <c r="F4547" s="47" t="s">
        <v>57448</v>
      </c>
      <c r="G4547" s="8">
        <v>6</v>
      </c>
      <c r="H4547" s="8" t="s">
        <v>21</v>
      </c>
      <c r="I4547" s="8" t="s">
        <v>22</v>
      </c>
      <c r="J4547" s="8" t="s">
        <v>22</v>
      </c>
      <c r="K4547" s="8" t="s">
        <v>118</v>
      </c>
      <c r="L4547" s="8" t="s">
        <v>17287</v>
      </c>
      <c r="M4547" s="8" t="s">
        <v>17288</v>
      </c>
      <c r="N4547" s="8" t="s">
        <v>20545</v>
      </c>
      <c r="O4547" s="8">
        <f>12+35/60+29.5/3600</f>
        <v>12.591527777777779</v>
      </c>
      <c r="P4547" s="8" t="s">
        <v>20546</v>
      </c>
      <c r="Q4547" s="8">
        <f>-(3+47/60+35/3600)</f>
        <v>-3.7930555555555556</v>
      </c>
      <c r="R4547" s="8">
        <v>10.3</v>
      </c>
      <c r="S4547" s="8">
        <v>11.3</v>
      </c>
      <c r="T4547" s="8">
        <v>1</v>
      </c>
      <c r="U4547" s="8">
        <v>11.9</v>
      </c>
      <c r="V4547" s="8">
        <v>3.3</v>
      </c>
      <c r="W4547" s="8">
        <v>1.6</v>
      </c>
      <c r="X4547" s="8">
        <v>78</v>
      </c>
      <c r="Y4547" s="8" t="s">
        <v>20547</v>
      </c>
      <c r="Z4547" s="8" t="s">
        <v>20548</v>
      </c>
    </row>
    <row r="4548" spans="1:26" x14ac:dyDescent="0.2">
      <c r="A4548" s="8">
        <v>4547</v>
      </c>
      <c r="B4548" s="8" t="s">
        <v>20549</v>
      </c>
      <c r="C4548" s="8" t="s">
        <v>20549</v>
      </c>
      <c r="F4548" s="47" t="s">
        <v>57449</v>
      </c>
      <c r="G4548" s="8">
        <v>15</v>
      </c>
      <c r="H4548" s="8" t="s">
        <v>21</v>
      </c>
      <c r="I4548" s="8" t="s">
        <v>22</v>
      </c>
      <c r="J4548" s="8" t="s">
        <v>22</v>
      </c>
      <c r="K4548" s="8" t="s">
        <v>58</v>
      </c>
      <c r="L4548" s="8" t="s">
        <v>12015</v>
      </c>
      <c r="M4548" s="8" t="s">
        <v>12016</v>
      </c>
      <c r="N4548" s="8" t="s">
        <v>20550</v>
      </c>
      <c r="O4548" s="8">
        <f>12+34/60+51.8/3600</f>
        <v>12.581055555555555</v>
      </c>
      <c r="P4548" s="8" t="s">
        <v>20551</v>
      </c>
      <c r="Q4548" s="8">
        <f>+(58+55/60+2/3600)</f>
        <v>58.917222222222222</v>
      </c>
      <c r="R4548" s="8">
        <v>14.5</v>
      </c>
      <c r="S4548" s="8">
        <v>15.5</v>
      </c>
      <c r="T4548" s="8">
        <v>1</v>
      </c>
      <c r="U4548" s="8">
        <v>12.8</v>
      </c>
      <c r="V4548" s="8">
        <v>0.5</v>
      </c>
      <c r="W4548" s="8">
        <v>0.4</v>
      </c>
      <c r="X4548" s="8">
        <v>96</v>
      </c>
      <c r="Y4548" s="8" t="s">
        <v>21</v>
      </c>
      <c r="Z4548" s="8" t="s">
        <v>20552</v>
      </c>
    </row>
    <row r="4549" spans="1:26" x14ac:dyDescent="0.2">
      <c r="A4549" s="8">
        <v>4548</v>
      </c>
      <c r="B4549" s="8" t="s">
        <v>20553</v>
      </c>
      <c r="C4549" s="8" t="s">
        <v>55908</v>
      </c>
      <c r="F4549" s="47" t="s">
        <v>57450</v>
      </c>
      <c r="G4549" s="8">
        <v>1</v>
      </c>
      <c r="H4549" s="8" t="s">
        <v>21</v>
      </c>
      <c r="I4549" s="8" t="s">
        <v>22</v>
      </c>
      <c r="J4549" s="8" t="s">
        <v>22</v>
      </c>
      <c r="K4549" s="8" t="s">
        <v>218</v>
      </c>
      <c r="L4549" s="8" t="s">
        <v>18289</v>
      </c>
      <c r="M4549" s="8" t="s">
        <v>18290</v>
      </c>
      <c r="N4549" s="8" t="s">
        <v>20554</v>
      </c>
      <c r="O4549" s="8">
        <f>12+35/60+26.4/3600</f>
        <v>12.590666666666667</v>
      </c>
      <c r="P4549" s="8" t="s">
        <v>20555</v>
      </c>
      <c r="Q4549" s="8">
        <f>+(14+29/60+47/3600)</f>
        <v>14.496388888888887</v>
      </c>
      <c r="R4549" s="8">
        <v>10.199999999999999</v>
      </c>
      <c r="S4549" s="8">
        <v>11</v>
      </c>
      <c r="T4549" s="8">
        <v>0.8</v>
      </c>
      <c r="U4549" s="8">
        <v>13.4</v>
      </c>
      <c r="V4549" s="8">
        <v>5.2</v>
      </c>
      <c r="W4549" s="8">
        <v>4.2</v>
      </c>
      <c r="X4549" s="8">
        <v>150</v>
      </c>
      <c r="Y4549" s="8" t="s">
        <v>20408</v>
      </c>
      <c r="Z4549" s="8" t="s">
        <v>20556</v>
      </c>
    </row>
    <row r="4550" spans="1:26" x14ac:dyDescent="0.2">
      <c r="A4550" s="8">
        <v>4549</v>
      </c>
      <c r="B4550" s="8" t="s">
        <v>20557</v>
      </c>
      <c r="C4550" s="8" t="s">
        <v>20557</v>
      </c>
      <c r="F4550" s="47" t="s">
        <v>57451</v>
      </c>
      <c r="G4550" s="8">
        <v>15</v>
      </c>
      <c r="H4550" s="8" t="s">
        <v>21</v>
      </c>
      <c r="I4550" s="8" t="s">
        <v>22</v>
      </c>
      <c r="J4550" s="8" t="s">
        <v>22</v>
      </c>
      <c r="K4550" s="8" t="s">
        <v>449</v>
      </c>
      <c r="L4550" s="8" t="s">
        <v>12015</v>
      </c>
      <c r="M4550" s="8" t="s">
        <v>12016</v>
      </c>
      <c r="N4550" s="8" t="s">
        <v>20558</v>
      </c>
      <c r="O4550" s="8">
        <f>12+35/60+21.3/3600</f>
        <v>12.58925</v>
      </c>
      <c r="P4550" s="8" t="s">
        <v>20559</v>
      </c>
      <c r="Q4550" s="8">
        <f>+(58+56/60+58/3600)</f>
        <v>58.949444444444438</v>
      </c>
      <c r="R4550" s="8">
        <v>15.2</v>
      </c>
      <c r="S4550" s="8">
        <v>16</v>
      </c>
      <c r="T4550" s="8">
        <v>0.8</v>
      </c>
      <c r="U4550" s="8">
        <v>12.3</v>
      </c>
      <c r="V4550" s="8">
        <v>0.4</v>
      </c>
      <c r="W4550" s="8">
        <v>0.2</v>
      </c>
      <c r="X4550" s="8">
        <v>100</v>
      </c>
      <c r="Y4550" s="8" t="s">
        <v>20560</v>
      </c>
      <c r="Z4550" s="8" t="s">
        <v>20561</v>
      </c>
    </row>
    <row r="4551" spans="1:26" x14ac:dyDescent="0.2">
      <c r="A4551" s="8">
        <v>4550</v>
      </c>
      <c r="B4551" s="8" t="s">
        <v>20562</v>
      </c>
      <c r="C4551" s="8" t="s">
        <v>20562</v>
      </c>
      <c r="F4551" s="47" t="s">
        <v>57452</v>
      </c>
      <c r="G4551" s="8">
        <v>6</v>
      </c>
      <c r="H4551" s="8" t="s">
        <v>21</v>
      </c>
      <c r="I4551" s="8" t="s">
        <v>22</v>
      </c>
      <c r="J4551" s="8" t="s">
        <v>22</v>
      </c>
      <c r="K4551" s="8" t="s">
        <v>224</v>
      </c>
      <c r="L4551" s="8" t="s">
        <v>17287</v>
      </c>
      <c r="M4551" s="8" t="s">
        <v>17288</v>
      </c>
      <c r="N4551" s="8" t="s">
        <v>20563</v>
      </c>
      <c r="O4551" s="8">
        <f>12+35/60+30.6/3600</f>
        <v>12.591833333333334</v>
      </c>
      <c r="P4551" s="8" t="s">
        <v>20564</v>
      </c>
      <c r="Q4551" s="8">
        <f>+(12+13/60+15/3600)</f>
        <v>12.220833333333333</v>
      </c>
      <c r="R4551" s="8">
        <v>11.7</v>
      </c>
      <c r="S4551" s="8">
        <v>12.6</v>
      </c>
      <c r="T4551" s="8">
        <v>0.9</v>
      </c>
      <c r="U4551" s="8">
        <v>12.8</v>
      </c>
      <c r="V4551" s="8">
        <v>3.3</v>
      </c>
      <c r="W4551" s="8">
        <v>0.9</v>
      </c>
      <c r="X4551" s="8">
        <v>178</v>
      </c>
      <c r="Y4551" s="8" t="s">
        <v>20565</v>
      </c>
      <c r="Z4551" s="8" t="s">
        <v>20566</v>
      </c>
    </row>
    <row r="4552" spans="1:26" x14ac:dyDescent="0.2">
      <c r="A4552" s="8">
        <v>4551</v>
      </c>
      <c r="B4552" s="8" t="s">
        <v>20567</v>
      </c>
      <c r="C4552" s="8" t="s">
        <v>20567</v>
      </c>
      <c r="F4552" s="47" t="s">
        <v>57453</v>
      </c>
      <c r="G4552" s="8">
        <v>12</v>
      </c>
      <c r="H4552" s="8" t="s">
        <v>21</v>
      </c>
      <c r="I4552" s="8" t="s">
        <v>22</v>
      </c>
      <c r="J4552" s="8" t="s">
        <v>22</v>
      </c>
      <c r="K4552" s="8" t="s">
        <v>1136</v>
      </c>
      <c r="L4552" s="8" t="s">
        <v>17287</v>
      </c>
      <c r="M4552" s="8" t="s">
        <v>17288</v>
      </c>
      <c r="N4552" s="8" t="s">
        <v>20568</v>
      </c>
      <c r="O4552" s="8">
        <f>12+35/60+38/3600</f>
        <v>12.593888888888889</v>
      </c>
      <c r="P4552" s="8" t="s">
        <v>20569</v>
      </c>
      <c r="Q4552" s="8">
        <f>+(12+15/60+50/3600)</f>
        <v>12.263888888888889</v>
      </c>
      <c r="R4552" s="8">
        <v>12</v>
      </c>
      <c r="S4552" s="8">
        <v>13</v>
      </c>
      <c r="T4552" s="8">
        <v>1</v>
      </c>
      <c r="U4552" s="8">
        <v>13.1</v>
      </c>
      <c r="V4552" s="8">
        <v>1.8</v>
      </c>
      <c r="W4552" s="8">
        <v>1.4</v>
      </c>
      <c r="X4552" s="8">
        <v>70</v>
      </c>
      <c r="Y4552" s="8" t="s">
        <v>20570</v>
      </c>
      <c r="Z4552" s="8" t="s">
        <v>20571</v>
      </c>
    </row>
    <row r="4553" spans="1:26" x14ac:dyDescent="0.2">
      <c r="A4553" s="8">
        <v>4552</v>
      </c>
      <c r="B4553" s="8" t="s">
        <v>20572</v>
      </c>
      <c r="C4553" s="8" t="s">
        <v>55909</v>
      </c>
      <c r="F4553" s="47"/>
      <c r="G4553" s="8">
        <v>1</v>
      </c>
      <c r="H4553" s="8" t="s">
        <v>21</v>
      </c>
      <c r="I4553" s="8" t="s">
        <v>22</v>
      </c>
      <c r="J4553" s="8" t="s">
        <v>22</v>
      </c>
      <c r="K4553" s="8" t="s">
        <v>460</v>
      </c>
      <c r="L4553" s="8" t="s">
        <v>17287</v>
      </c>
      <c r="M4553" s="8" t="s">
        <v>17288</v>
      </c>
      <c r="N4553" s="8" t="s">
        <v>20573</v>
      </c>
      <c r="O4553" s="8">
        <f>12+35/60+39.9/3600</f>
        <v>12.594416666666667</v>
      </c>
      <c r="P4553" s="8" t="s">
        <v>20574</v>
      </c>
      <c r="Q4553" s="8">
        <f>+(12+33/60+22/3600)</f>
        <v>12.556111111111111</v>
      </c>
      <c r="R4553" s="8">
        <v>9.8000000000000007</v>
      </c>
      <c r="S4553" s="8">
        <v>10.7</v>
      </c>
      <c r="T4553" s="8">
        <v>0.9</v>
      </c>
      <c r="U4553" s="8">
        <v>13.2</v>
      </c>
      <c r="V4553" s="8">
        <v>3.5</v>
      </c>
      <c r="W4553" s="8">
        <v>3.5</v>
      </c>
      <c r="Y4553" s="8" t="s">
        <v>20575</v>
      </c>
      <c r="Z4553" s="8" t="s">
        <v>20576</v>
      </c>
    </row>
    <row r="4554" spans="1:26" x14ac:dyDescent="0.2">
      <c r="A4554" s="8">
        <v>4553</v>
      </c>
      <c r="B4554" s="8" t="s">
        <v>20577</v>
      </c>
      <c r="C4554" s="8" t="s">
        <v>20577</v>
      </c>
      <c r="F4554" s="47"/>
      <c r="G4554" s="8">
        <v>16</v>
      </c>
      <c r="H4554" s="8" t="s">
        <v>21</v>
      </c>
      <c r="I4554" s="8" t="s">
        <v>22</v>
      </c>
      <c r="J4554" s="8" t="s">
        <v>22</v>
      </c>
      <c r="K4554" s="8" t="s">
        <v>435</v>
      </c>
      <c r="L4554" s="8" t="s">
        <v>16195</v>
      </c>
      <c r="M4554" s="8" t="s">
        <v>16196</v>
      </c>
      <c r="N4554" s="8" t="s">
        <v>20578</v>
      </c>
      <c r="O4554" s="8">
        <f>12+36/60+7.5/3600</f>
        <v>12.602083333333333</v>
      </c>
      <c r="P4554" s="8" t="s">
        <v>20579</v>
      </c>
      <c r="Q4554" s="8">
        <f>-(39+26/60+21/3600)</f>
        <v>-39.439166666666665</v>
      </c>
      <c r="R4554" s="8">
        <v>12.2</v>
      </c>
      <c r="S4554" s="8">
        <v>13.2</v>
      </c>
      <c r="T4554" s="8">
        <v>1</v>
      </c>
      <c r="U4554" s="8">
        <v>12.9</v>
      </c>
      <c r="V4554" s="8">
        <v>2.1</v>
      </c>
      <c r="W4554" s="8">
        <v>1</v>
      </c>
      <c r="X4554" s="8">
        <v>176</v>
      </c>
      <c r="Y4554" s="8" t="s">
        <v>20580</v>
      </c>
      <c r="Z4554" s="8" t="s">
        <v>20581</v>
      </c>
    </row>
    <row r="4555" spans="1:26" x14ac:dyDescent="0.2">
      <c r="A4555" s="8">
        <v>4554</v>
      </c>
      <c r="B4555" s="8" t="s">
        <v>20582</v>
      </c>
      <c r="C4555" s="8" t="s">
        <v>20582</v>
      </c>
      <c r="F4555" s="47"/>
      <c r="G4555" s="8">
        <v>19</v>
      </c>
      <c r="H4555" s="8" t="s">
        <v>21</v>
      </c>
      <c r="I4555" s="8" t="s">
        <v>72</v>
      </c>
      <c r="J4555" s="8" t="s">
        <v>72</v>
      </c>
      <c r="K4555" s="8" t="s">
        <v>73</v>
      </c>
      <c r="L4555" s="8" t="s">
        <v>17287</v>
      </c>
      <c r="M4555" s="8" t="s">
        <v>17288</v>
      </c>
      <c r="N4555" s="8" t="s">
        <v>20583</v>
      </c>
      <c r="O4555" s="8">
        <f>12+35/60+59.5/3600</f>
        <v>12.599861111111112</v>
      </c>
      <c r="P4555" s="8" t="s">
        <v>20584</v>
      </c>
      <c r="Q4555" s="8">
        <f>+(11+15/60+55/3600)</f>
        <v>11.265277777777778</v>
      </c>
      <c r="R4555" s="8">
        <v>99</v>
      </c>
      <c r="S4555" s="8">
        <v>99</v>
      </c>
      <c r="T4555" s="8">
        <v>99</v>
      </c>
      <c r="U4555" s="8">
        <v>99</v>
      </c>
      <c r="Y4555" s="8" t="s">
        <v>297</v>
      </c>
      <c r="Z4555" s="8" t="s">
        <v>298</v>
      </c>
    </row>
    <row r="4556" spans="1:26" x14ac:dyDescent="0.2">
      <c r="A4556" s="8">
        <v>4555</v>
      </c>
      <c r="B4556" s="8" t="s">
        <v>20585</v>
      </c>
      <c r="C4556" s="8" t="s">
        <v>20585</v>
      </c>
      <c r="F4556" s="47" t="s">
        <v>57454</v>
      </c>
      <c r="G4556" s="8">
        <v>15</v>
      </c>
      <c r="H4556" s="8" t="s">
        <v>21</v>
      </c>
      <c r="I4556" s="8" t="s">
        <v>22</v>
      </c>
      <c r="J4556" s="8" t="s">
        <v>22</v>
      </c>
      <c r="K4556" s="8" t="s">
        <v>382</v>
      </c>
      <c r="L4556" s="8" t="s">
        <v>18289</v>
      </c>
      <c r="M4556" s="8" t="s">
        <v>18290</v>
      </c>
      <c r="N4556" s="8" t="s">
        <v>20586</v>
      </c>
      <c r="O4556" s="8">
        <f>12+35/60+41/3600</f>
        <v>12.594722222222222</v>
      </c>
      <c r="P4556" s="8" t="s">
        <v>20587</v>
      </c>
      <c r="Q4556" s="8">
        <f>+(26+31/60+26/3600)</f>
        <v>26.523888888888887</v>
      </c>
      <c r="R4556" s="8">
        <v>12.4</v>
      </c>
      <c r="S4556" s="8">
        <v>13.4</v>
      </c>
      <c r="T4556" s="8">
        <v>1</v>
      </c>
      <c r="U4556" s="8">
        <v>13.5</v>
      </c>
      <c r="V4556" s="8">
        <v>1.9</v>
      </c>
      <c r="W4556" s="8">
        <v>1.4</v>
      </c>
      <c r="X4556" s="8">
        <v>125</v>
      </c>
      <c r="Y4556" s="8" t="s">
        <v>20588</v>
      </c>
      <c r="Z4556" s="8" t="s">
        <v>20589</v>
      </c>
    </row>
    <row r="4557" spans="1:26" x14ac:dyDescent="0.2">
      <c r="A4557" s="8">
        <v>4556</v>
      </c>
      <c r="B4557" s="8" t="s">
        <v>20590</v>
      </c>
      <c r="C4557" s="8" t="s">
        <v>20590</v>
      </c>
      <c r="F4557" s="47" t="s">
        <v>57455</v>
      </c>
      <c r="G4557" s="8">
        <v>15</v>
      </c>
      <c r="H4557" s="8" t="s">
        <v>21</v>
      </c>
      <c r="I4557" s="8" t="s">
        <v>22</v>
      </c>
      <c r="J4557" s="8" t="s">
        <v>22</v>
      </c>
      <c r="K4557" s="8" t="s">
        <v>1136</v>
      </c>
      <c r="L4557" s="8" t="s">
        <v>18289</v>
      </c>
      <c r="M4557" s="8" t="s">
        <v>18290</v>
      </c>
      <c r="N4557" s="8" t="s">
        <v>20591</v>
      </c>
      <c r="O4557" s="8">
        <f>12+35/60+45.6/3600</f>
        <v>12.596</v>
      </c>
      <c r="P4557" s="8" t="s">
        <v>20592</v>
      </c>
      <c r="Q4557" s="8">
        <f>+(26+54/60+33/3600)</f>
        <v>26.909166666666664</v>
      </c>
      <c r="R4557" s="8">
        <v>13.1</v>
      </c>
      <c r="S4557" s="8">
        <v>14.1</v>
      </c>
      <c r="T4557" s="8">
        <v>1</v>
      </c>
      <c r="U4557" s="8">
        <v>13.3</v>
      </c>
      <c r="V4557" s="8">
        <v>1.2</v>
      </c>
      <c r="W4557" s="8">
        <v>1</v>
      </c>
      <c r="X4557" s="8">
        <v>80</v>
      </c>
      <c r="Y4557" s="8" t="s">
        <v>20593</v>
      </c>
      <c r="Z4557" s="8" t="s">
        <v>3754</v>
      </c>
    </row>
    <row r="4558" spans="1:26" x14ac:dyDescent="0.2">
      <c r="A4558" s="8">
        <v>4557</v>
      </c>
      <c r="B4558" s="8" t="s">
        <v>20594</v>
      </c>
      <c r="C4558" s="8" t="s">
        <v>20594</v>
      </c>
      <c r="F4558" s="47"/>
      <c r="G4558" s="8">
        <v>19</v>
      </c>
      <c r="H4558" s="8" t="s">
        <v>21</v>
      </c>
      <c r="I4558" s="8" t="s">
        <v>72</v>
      </c>
      <c r="J4558" s="8" t="s">
        <v>72</v>
      </c>
      <c r="K4558" s="8" t="s">
        <v>1802</v>
      </c>
      <c r="L4558" s="8" t="s">
        <v>18289</v>
      </c>
      <c r="M4558" s="8" t="s">
        <v>18290</v>
      </c>
      <c r="N4558" s="8" t="s">
        <v>20595</v>
      </c>
      <c r="O4558" s="8">
        <f>12+35/60+49.7/3600</f>
        <v>12.597138888888889</v>
      </c>
      <c r="P4558" s="8" t="s">
        <v>20596</v>
      </c>
      <c r="Q4558" s="8">
        <f>+(27+3/60+14/3600)</f>
        <v>27.053888888888888</v>
      </c>
      <c r="R4558" s="8">
        <v>99</v>
      </c>
      <c r="S4558" s="8">
        <v>99</v>
      </c>
      <c r="T4558" s="8">
        <v>99</v>
      </c>
      <c r="U4558" s="8">
        <v>99</v>
      </c>
      <c r="Y4558" s="8" t="s">
        <v>20593</v>
      </c>
      <c r="Z4558" s="8" t="s">
        <v>652</v>
      </c>
    </row>
    <row r="4559" spans="1:26" x14ac:dyDescent="0.2">
      <c r="A4559" s="8">
        <v>4558</v>
      </c>
      <c r="B4559" s="8" t="s">
        <v>20597</v>
      </c>
      <c r="C4559" s="8" t="s">
        <v>20597</v>
      </c>
      <c r="F4559" s="47"/>
      <c r="G4559" s="8">
        <v>16</v>
      </c>
      <c r="H4559" s="8" t="s">
        <v>21</v>
      </c>
      <c r="I4559" s="8" t="s">
        <v>22</v>
      </c>
      <c r="J4559" s="8" t="s">
        <v>22</v>
      </c>
      <c r="K4559" s="8" t="s">
        <v>449</v>
      </c>
      <c r="L4559" s="8" t="s">
        <v>18289</v>
      </c>
      <c r="M4559" s="8" t="s">
        <v>18290</v>
      </c>
      <c r="N4559" s="8" t="s">
        <v>20598</v>
      </c>
      <c r="O4559" s="8">
        <f>12+35/60+52.6/3600</f>
        <v>12.597944444444446</v>
      </c>
      <c r="P4559" s="8" t="s">
        <v>20599</v>
      </c>
      <c r="Q4559" s="8">
        <f>+(26+59/60+30/3600)</f>
        <v>26.991666666666667</v>
      </c>
      <c r="R4559" s="8">
        <v>14.7</v>
      </c>
      <c r="S4559" s="8">
        <v>15.5</v>
      </c>
      <c r="T4559" s="8">
        <v>0.8</v>
      </c>
      <c r="U4559" s="8">
        <v>13.8</v>
      </c>
      <c r="V4559" s="8">
        <v>0.8</v>
      </c>
      <c r="W4559" s="8">
        <v>0.6</v>
      </c>
      <c r="X4559" s="8">
        <v>19</v>
      </c>
      <c r="Y4559" s="8" t="s">
        <v>21</v>
      </c>
      <c r="Z4559" s="8" t="s">
        <v>20600</v>
      </c>
    </row>
    <row r="4560" spans="1:26" x14ac:dyDescent="0.2">
      <c r="A4560" s="8">
        <v>4559</v>
      </c>
      <c r="B4560" s="8" t="s">
        <v>20601</v>
      </c>
      <c r="C4560" s="8" t="s">
        <v>20601</v>
      </c>
      <c r="F4560" s="47" t="s">
        <v>57456</v>
      </c>
      <c r="G4560" s="8">
        <v>2</v>
      </c>
      <c r="H4560" s="8" t="s">
        <v>20602</v>
      </c>
      <c r="I4560" s="8" t="s">
        <v>22</v>
      </c>
      <c r="J4560" s="8" t="s">
        <v>22</v>
      </c>
      <c r="K4560" s="8" t="s">
        <v>64</v>
      </c>
      <c r="L4560" s="8" t="s">
        <v>18289</v>
      </c>
      <c r="M4560" s="8" t="s">
        <v>18290</v>
      </c>
      <c r="N4560" s="8" t="s">
        <v>20603</v>
      </c>
      <c r="O4560" s="8">
        <f>12+35/60+57.8/3600</f>
        <v>12.599388888888889</v>
      </c>
      <c r="P4560" s="8" t="s">
        <v>20604</v>
      </c>
      <c r="Q4560" s="8">
        <f>+(27+57/60+35/3600)</f>
        <v>27.959722222222222</v>
      </c>
      <c r="R4560" s="8">
        <v>10</v>
      </c>
      <c r="S4560" s="8">
        <v>10.5</v>
      </c>
      <c r="T4560" s="8">
        <v>0.5</v>
      </c>
      <c r="U4560" s="8">
        <v>14.1</v>
      </c>
      <c r="V4560" s="8">
        <v>10.7</v>
      </c>
      <c r="W4560" s="8">
        <v>4.4000000000000004</v>
      </c>
      <c r="X4560" s="8">
        <v>150</v>
      </c>
      <c r="Y4560" s="8" t="s">
        <v>20605</v>
      </c>
      <c r="Z4560" s="8" t="s">
        <v>20606</v>
      </c>
    </row>
    <row r="4561" spans="1:26" x14ac:dyDescent="0.2">
      <c r="A4561" s="8">
        <v>4560</v>
      </c>
      <c r="B4561" s="8" t="s">
        <v>20607</v>
      </c>
      <c r="C4561" s="8" t="s">
        <v>20607</v>
      </c>
      <c r="F4561" s="47" t="s">
        <v>57457</v>
      </c>
      <c r="G4561" s="8">
        <v>15</v>
      </c>
      <c r="H4561" s="8" t="s">
        <v>21</v>
      </c>
      <c r="I4561" s="8" t="s">
        <v>22</v>
      </c>
      <c r="J4561" s="8" t="s">
        <v>57</v>
      </c>
      <c r="K4561" s="8" t="s">
        <v>224</v>
      </c>
      <c r="L4561" s="8" t="s">
        <v>17287</v>
      </c>
      <c r="M4561" s="8" t="s">
        <v>17288</v>
      </c>
      <c r="N4561" s="8" t="s">
        <v>20461</v>
      </c>
      <c r="O4561" s="8">
        <f>12+34/60+2.8/3600</f>
        <v>12.567444444444444</v>
      </c>
      <c r="P4561" s="8" t="s">
        <v>20462</v>
      </c>
      <c r="Q4561" s="8">
        <f>+(7+41/60+56/3600)</f>
        <v>7.6988888888888889</v>
      </c>
      <c r="R4561" s="8">
        <v>9.3000000000000007</v>
      </c>
      <c r="S4561" s="8">
        <v>10.3</v>
      </c>
      <c r="T4561" s="8">
        <v>1</v>
      </c>
      <c r="U4561" s="8">
        <v>12.7</v>
      </c>
      <c r="V4561" s="8">
        <v>7</v>
      </c>
      <c r="W4561" s="8">
        <v>2.5</v>
      </c>
      <c r="X4561" s="8">
        <v>113</v>
      </c>
      <c r="Y4561" s="8" t="s">
        <v>20608</v>
      </c>
      <c r="Z4561" s="8" t="s">
        <v>20609</v>
      </c>
    </row>
    <row r="4562" spans="1:26" x14ac:dyDescent="0.2">
      <c r="A4562" s="8">
        <v>4561</v>
      </c>
      <c r="B4562" s="8" t="s">
        <v>20610</v>
      </c>
      <c r="C4562" s="8" t="s">
        <v>20610</v>
      </c>
      <c r="F4562" s="47" t="s">
        <v>57458</v>
      </c>
      <c r="G4562" s="8">
        <v>13</v>
      </c>
      <c r="H4562" s="8" t="s">
        <v>21</v>
      </c>
      <c r="I4562" s="8" t="s">
        <v>22</v>
      </c>
      <c r="J4562" s="8" t="s">
        <v>22</v>
      </c>
      <c r="K4562" s="8" t="s">
        <v>1277</v>
      </c>
      <c r="L4562" s="8" t="s">
        <v>18289</v>
      </c>
      <c r="M4562" s="8" t="s">
        <v>18290</v>
      </c>
      <c r="N4562" s="8" t="s">
        <v>20611</v>
      </c>
      <c r="O4562" s="8">
        <f>12+36/60+8.1/3600</f>
        <v>12.60225</v>
      </c>
      <c r="P4562" s="8" t="s">
        <v>20612</v>
      </c>
      <c r="Q4562" s="8">
        <f>+(19+19/60+18/3600)</f>
        <v>19.321666666666665</v>
      </c>
      <c r="R4562" s="8">
        <v>12.5</v>
      </c>
      <c r="S4562" s="8">
        <v>12.9</v>
      </c>
      <c r="T4562" s="8">
        <v>0.4</v>
      </c>
      <c r="U4562" s="8">
        <v>13</v>
      </c>
      <c r="V4562" s="8">
        <v>1.5</v>
      </c>
      <c r="W4562" s="8">
        <v>1.3</v>
      </c>
      <c r="X4562" s="8">
        <v>30</v>
      </c>
      <c r="Y4562" s="8" t="s">
        <v>20613</v>
      </c>
      <c r="Z4562" s="8" t="s">
        <v>20614</v>
      </c>
    </row>
    <row r="4563" spans="1:26" x14ac:dyDescent="0.2">
      <c r="A4563" s="8">
        <v>4562</v>
      </c>
      <c r="B4563" s="8" t="s">
        <v>20615</v>
      </c>
      <c r="C4563" s="8" t="s">
        <v>20615</v>
      </c>
      <c r="F4563" s="47"/>
      <c r="G4563" s="8">
        <v>19</v>
      </c>
      <c r="H4563" s="8" t="s">
        <v>21</v>
      </c>
      <c r="I4563" s="8" t="s">
        <v>22</v>
      </c>
      <c r="J4563" s="8" t="s">
        <v>22</v>
      </c>
      <c r="K4563" s="8" t="s">
        <v>1277</v>
      </c>
      <c r="L4563" s="8" t="s">
        <v>18289</v>
      </c>
      <c r="M4563" s="8" t="s">
        <v>18290</v>
      </c>
      <c r="N4563" s="8" t="s">
        <v>20616</v>
      </c>
      <c r="O4563" s="8">
        <f>12+35/60+34.5/3600</f>
        <v>12.592916666666667</v>
      </c>
      <c r="P4563" s="8" t="s">
        <v>20617</v>
      </c>
      <c r="Q4563" s="8">
        <f>+(25+50/60+58/3600)</f>
        <v>25.849444444444444</v>
      </c>
      <c r="R4563" s="8">
        <v>13.4</v>
      </c>
      <c r="S4563" s="8">
        <v>14.1</v>
      </c>
      <c r="T4563" s="8">
        <v>0.7</v>
      </c>
      <c r="U4563" s="8">
        <v>14</v>
      </c>
      <c r="V4563" s="8">
        <v>2.4</v>
      </c>
      <c r="W4563" s="8">
        <v>0.7</v>
      </c>
      <c r="X4563" s="8">
        <v>48</v>
      </c>
      <c r="Y4563" s="8" t="s">
        <v>20593</v>
      </c>
      <c r="Z4563" s="8" t="s">
        <v>20618</v>
      </c>
    </row>
    <row r="4564" spans="1:26" x14ac:dyDescent="0.2">
      <c r="A4564" s="8">
        <v>4563</v>
      </c>
      <c r="B4564" s="8" t="s">
        <v>20619</v>
      </c>
      <c r="C4564" s="8" t="s">
        <v>20619</v>
      </c>
      <c r="F4564" s="47"/>
      <c r="G4564" s="8">
        <v>18</v>
      </c>
      <c r="H4564" s="8" t="s">
        <v>21</v>
      </c>
      <c r="I4564" s="8" t="s">
        <v>22</v>
      </c>
      <c r="J4564" s="8" t="s">
        <v>22</v>
      </c>
      <c r="K4564" s="8" t="s">
        <v>449</v>
      </c>
      <c r="L4564" s="8" t="s">
        <v>18289</v>
      </c>
      <c r="M4564" s="8" t="s">
        <v>18290</v>
      </c>
      <c r="N4564" s="8" t="s">
        <v>20620</v>
      </c>
      <c r="O4564" s="8">
        <f>12+36/60+12.6/3600</f>
        <v>12.6035</v>
      </c>
      <c r="P4564" s="8" t="s">
        <v>20621</v>
      </c>
      <c r="Q4564" s="8">
        <f>+(26+56/60+30/3600)</f>
        <v>26.941666666666666</v>
      </c>
      <c r="R4564" s="8">
        <v>14.7</v>
      </c>
      <c r="S4564" s="8">
        <v>15.5</v>
      </c>
      <c r="T4564" s="8">
        <v>0.8</v>
      </c>
      <c r="U4564" s="8">
        <v>12.8</v>
      </c>
      <c r="V4564" s="8">
        <v>0.5</v>
      </c>
      <c r="W4564" s="8">
        <v>0.4</v>
      </c>
      <c r="X4564" s="8">
        <v>97</v>
      </c>
      <c r="Y4564" s="8" t="s">
        <v>7479</v>
      </c>
      <c r="Z4564" s="8" t="s">
        <v>7480</v>
      </c>
    </row>
    <row r="4565" spans="1:26" x14ac:dyDescent="0.2">
      <c r="A4565" s="8">
        <v>4564</v>
      </c>
      <c r="B4565" s="8" t="s">
        <v>20622</v>
      </c>
      <c r="C4565" s="8" t="s">
        <v>20622</v>
      </c>
      <c r="F4565" s="47" t="s">
        <v>57459</v>
      </c>
      <c r="G4565" s="8">
        <v>11</v>
      </c>
      <c r="H4565" s="8" t="s">
        <v>21</v>
      </c>
      <c r="I4565" s="8" t="s">
        <v>22</v>
      </c>
      <c r="J4565" s="8" t="s">
        <v>22</v>
      </c>
      <c r="K4565" s="8" t="s">
        <v>3850</v>
      </c>
      <c r="L4565" s="8" t="s">
        <v>17287</v>
      </c>
      <c r="M4565" s="8" t="s">
        <v>17288</v>
      </c>
      <c r="N4565" s="8" t="s">
        <v>20623</v>
      </c>
      <c r="O4565" s="8">
        <f>12+36/60+26.9/3600</f>
        <v>12.607472222222222</v>
      </c>
      <c r="P4565" s="8" t="s">
        <v>20624</v>
      </c>
      <c r="Q4565" s="8">
        <f>+(11+26/60+23/3600)</f>
        <v>11.439722222222223</v>
      </c>
      <c r="R4565" s="8">
        <v>11.1</v>
      </c>
      <c r="S4565" s="8">
        <v>12.1</v>
      </c>
      <c r="T4565" s="8">
        <v>1</v>
      </c>
      <c r="U4565" s="8">
        <v>12.9</v>
      </c>
      <c r="V4565" s="8">
        <v>3.5</v>
      </c>
      <c r="W4565" s="8">
        <v>1.5</v>
      </c>
      <c r="X4565" s="8">
        <v>47</v>
      </c>
      <c r="Y4565" s="8" t="s">
        <v>20625</v>
      </c>
      <c r="Z4565" s="8" t="s">
        <v>20626</v>
      </c>
    </row>
    <row r="4566" spans="1:26" x14ac:dyDescent="0.2">
      <c r="A4566" s="8">
        <v>4565</v>
      </c>
      <c r="B4566" s="8" t="s">
        <v>20627</v>
      </c>
      <c r="C4566" s="8" t="s">
        <v>20627</v>
      </c>
      <c r="F4566" s="47" t="s">
        <v>57460</v>
      </c>
      <c r="G4566" s="8">
        <v>2</v>
      </c>
      <c r="H4566" s="8" t="s">
        <v>20628</v>
      </c>
      <c r="I4566" s="8" t="s">
        <v>22</v>
      </c>
      <c r="J4566" s="8" t="s">
        <v>22</v>
      </c>
      <c r="K4566" s="8" t="s">
        <v>23</v>
      </c>
      <c r="L4566" s="8" t="s">
        <v>18289</v>
      </c>
      <c r="M4566" s="8" t="s">
        <v>18290</v>
      </c>
      <c r="N4566" s="8" t="s">
        <v>20629</v>
      </c>
      <c r="O4566" s="8">
        <f>12+36/60+20.5/3600</f>
        <v>12.605694444444444</v>
      </c>
      <c r="P4566" s="8" t="s">
        <v>20630</v>
      </c>
      <c r="Q4566" s="8">
        <f>+(25+59/60+16/3600)</f>
        <v>25.987777777777779</v>
      </c>
      <c r="R4566" s="8">
        <v>9.6</v>
      </c>
      <c r="S4566" s="8">
        <v>10.4</v>
      </c>
      <c r="T4566" s="8">
        <v>0.8</v>
      </c>
      <c r="U4566" s="8">
        <v>13.3</v>
      </c>
      <c r="V4566" s="8">
        <v>15.8</v>
      </c>
      <c r="W4566" s="8">
        <v>2.1</v>
      </c>
      <c r="X4566" s="8">
        <v>136</v>
      </c>
      <c r="Y4566" s="8" t="s">
        <v>21</v>
      </c>
      <c r="Z4566" s="8" t="s">
        <v>20631</v>
      </c>
    </row>
    <row r="4567" spans="1:26" x14ac:dyDescent="0.2">
      <c r="A4567" s="8">
        <v>4566</v>
      </c>
      <c r="B4567" s="8" t="s">
        <v>20632</v>
      </c>
      <c r="C4567" s="8" t="s">
        <v>20632</v>
      </c>
      <c r="F4567" s="47" t="s">
        <v>57461</v>
      </c>
      <c r="G4567" s="8">
        <v>15</v>
      </c>
      <c r="H4567" s="8" t="s">
        <v>21</v>
      </c>
      <c r="I4567" s="8" t="s">
        <v>22</v>
      </c>
      <c r="J4567" s="8" t="s">
        <v>22</v>
      </c>
      <c r="K4567" s="8" t="s">
        <v>396</v>
      </c>
      <c r="L4567" s="8" t="s">
        <v>12015</v>
      </c>
      <c r="M4567" s="8" t="s">
        <v>12016</v>
      </c>
      <c r="N4567" s="8" t="s">
        <v>20633</v>
      </c>
      <c r="O4567" s="8">
        <f>12+36/60+0.2/3600</f>
        <v>12.600055555555555</v>
      </c>
      <c r="P4567" s="8" t="s">
        <v>20634</v>
      </c>
      <c r="Q4567" s="8">
        <f>+(54+13/60+14/3600)</f>
        <v>54.220555555555556</v>
      </c>
      <c r="R4567" s="8">
        <v>13.1</v>
      </c>
      <c r="S4567" s="8">
        <v>13.8</v>
      </c>
      <c r="T4567" s="8">
        <v>0.7</v>
      </c>
      <c r="U4567" s="8">
        <v>13.1</v>
      </c>
      <c r="V4567" s="8">
        <v>1.3</v>
      </c>
      <c r="W4567" s="8">
        <v>0.9</v>
      </c>
      <c r="X4567" s="8">
        <v>80</v>
      </c>
      <c r="Y4567" s="8" t="s">
        <v>5056</v>
      </c>
      <c r="Z4567" s="8" t="s">
        <v>5057</v>
      </c>
    </row>
    <row r="4568" spans="1:26" x14ac:dyDescent="0.2">
      <c r="A4568" s="8">
        <v>4567</v>
      </c>
      <c r="B4568" s="8" t="s">
        <v>20635</v>
      </c>
      <c r="C4568" s="8" t="s">
        <v>20635</v>
      </c>
      <c r="F4568" s="47" t="s">
        <v>57462</v>
      </c>
      <c r="G4568" s="8">
        <v>7</v>
      </c>
      <c r="H4568" s="8" t="s">
        <v>20636</v>
      </c>
      <c r="I4568" s="8" t="s">
        <v>22</v>
      </c>
      <c r="J4568" s="8" t="s">
        <v>22</v>
      </c>
      <c r="K4568" s="8" t="s">
        <v>396</v>
      </c>
      <c r="L4568" s="8" t="s">
        <v>17287</v>
      </c>
      <c r="M4568" s="8" t="s">
        <v>17288</v>
      </c>
      <c r="N4568" s="8" t="s">
        <v>20637</v>
      </c>
      <c r="O4568" s="8">
        <f>12+36/60+32.7/3600</f>
        <v>12.609083333333333</v>
      </c>
      <c r="P4568" s="8" t="s">
        <v>20638</v>
      </c>
      <c r="Q4568" s="8">
        <f>+(11+15/60+28/3600)</f>
        <v>11.257777777777777</v>
      </c>
      <c r="R4568" s="8">
        <v>11.3</v>
      </c>
      <c r="S4568" s="8">
        <v>12.1</v>
      </c>
      <c r="T4568" s="8">
        <v>0.8</v>
      </c>
      <c r="U4568" s="8">
        <v>13.1</v>
      </c>
      <c r="V4568" s="8">
        <v>3.1</v>
      </c>
      <c r="W4568" s="8">
        <v>2.2000000000000002</v>
      </c>
      <c r="X4568" s="8">
        <v>85</v>
      </c>
      <c r="Y4568" s="8" t="s">
        <v>21</v>
      </c>
      <c r="Z4568" s="8" t="s">
        <v>20639</v>
      </c>
    </row>
    <row r="4569" spans="1:26" x14ac:dyDescent="0.2">
      <c r="A4569" s="8">
        <v>4568</v>
      </c>
      <c r="B4569" s="8" t="s">
        <v>20640</v>
      </c>
      <c r="C4569" s="8" t="s">
        <v>20640</v>
      </c>
      <c r="F4569" s="47" t="s">
        <v>57463</v>
      </c>
      <c r="G4569" s="8">
        <v>8</v>
      </c>
      <c r="H4569" s="8" t="s">
        <v>20636</v>
      </c>
      <c r="I4569" s="8" t="s">
        <v>22</v>
      </c>
      <c r="J4569" s="8" t="s">
        <v>22</v>
      </c>
      <c r="K4569" s="8" t="s">
        <v>396</v>
      </c>
      <c r="L4569" s="8" t="s">
        <v>17287</v>
      </c>
      <c r="M4569" s="8" t="s">
        <v>17288</v>
      </c>
      <c r="N4569" s="8" t="s">
        <v>20641</v>
      </c>
      <c r="O4569" s="8">
        <f>12+36/60+34.2/3600</f>
        <v>12.609499999999999</v>
      </c>
      <c r="P4569" s="8" t="s">
        <v>20642</v>
      </c>
      <c r="Q4569" s="8">
        <f>+(11+14/60+19/3600)</f>
        <v>11.23861111111111</v>
      </c>
      <c r="R4569" s="8">
        <v>10.8</v>
      </c>
      <c r="S4569" s="8">
        <v>11.7</v>
      </c>
      <c r="T4569" s="8">
        <v>0.9</v>
      </c>
      <c r="U4569" s="8">
        <v>13.1</v>
      </c>
      <c r="V4569" s="8">
        <v>4.5999999999999996</v>
      </c>
      <c r="W4569" s="8">
        <v>2.2000000000000002</v>
      </c>
      <c r="X4569" s="8">
        <v>23</v>
      </c>
      <c r="Y4569" s="8" t="s">
        <v>21</v>
      </c>
      <c r="Z4569" s="8" t="s">
        <v>20643</v>
      </c>
    </row>
    <row r="4570" spans="1:26" x14ac:dyDescent="0.2">
      <c r="A4570" s="8">
        <v>4569</v>
      </c>
      <c r="B4570" s="8" t="s">
        <v>20644</v>
      </c>
      <c r="C4570" s="8" t="s">
        <v>55910</v>
      </c>
      <c r="F4570" s="47"/>
      <c r="G4570" s="8">
        <v>1</v>
      </c>
      <c r="H4570" s="8" t="s">
        <v>21</v>
      </c>
      <c r="I4570" s="8" t="s">
        <v>22</v>
      </c>
      <c r="J4570" s="8" t="s">
        <v>22</v>
      </c>
      <c r="K4570" s="8" t="s">
        <v>406</v>
      </c>
      <c r="L4570" s="8" t="s">
        <v>17287</v>
      </c>
      <c r="M4570" s="8" t="s">
        <v>17288</v>
      </c>
      <c r="N4570" s="8" t="s">
        <v>20645</v>
      </c>
      <c r="O4570" s="8">
        <f>12+36/60+50/3600</f>
        <v>12.613888888888889</v>
      </c>
      <c r="P4570" s="8" t="s">
        <v>20646</v>
      </c>
      <c r="Q4570" s="8">
        <f>+(13+9/60+50/3600)</f>
        <v>13.16388888888889</v>
      </c>
      <c r="R4570" s="8">
        <v>9.5</v>
      </c>
      <c r="S4570" s="8">
        <v>10.3</v>
      </c>
      <c r="T4570" s="8">
        <v>0.8</v>
      </c>
      <c r="U4570" s="8">
        <v>13.5</v>
      </c>
      <c r="V4570" s="8">
        <v>9.5</v>
      </c>
      <c r="W4570" s="8">
        <v>4.4000000000000004</v>
      </c>
      <c r="X4570" s="8">
        <v>23</v>
      </c>
      <c r="Y4570" s="8" t="s">
        <v>20593</v>
      </c>
      <c r="Z4570" s="8" t="s">
        <v>20647</v>
      </c>
    </row>
    <row r="4571" spans="1:26" x14ac:dyDescent="0.2">
      <c r="A4571" s="8">
        <v>4570</v>
      </c>
      <c r="B4571" s="8" t="s">
        <v>20648</v>
      </c>
      <c r="C4571" s="8" t="s">
        <v>20648</v>
      </c>
      <c r="F4571" s="47" t="s">
        <v>57464</v>
      </c>
      <c r="G4571" s="8">
        <v>6</v>
      </c>
      <c r="H4571" s="8" t="s">
        <v>21</v>
      </c>
      <c r="I4571" s="8" t="s">
        <v>22</v>
      </c>
      <c r="J4571" s="8" t="s">
        <v>22</v>
      </c>
      <c r="K4571" s="8" t="s">
        <v>37</v>
      </c>
      <c r="L4571" s="8" t="s">
        <v>17287</v>
      </c>
      <c r="M4571" s="8" t="s">
        <v>17288</v>
      </c>
      <c r="N4571" s="8" t="s">
        <v>20649</v>
      </c>
      <c r="O4571" s="8">
        <f>12+36/60+53.2/3600</f>
        <v>12.614777777777778</v>
      </c>
      <c r="P4571" s="8" t="s">
        <v>20650</v>
      </c>
      <c r="Q4571" s="8">
        <f>+(7+14/60+49/3600)</f>
        <v>7.2469444444444449</v>
      </c>
      <c r="R4571" s="8">
        <v>10.9</v>
      </c>
      <c r="S4571" s="8">
        <v>11.8</v>
      </c>
      <c r="T4571" s="8">
        <v>0.9</v>
      </c>
      <c r="U4571" s="8">
        <v>12.4</v>
      </c>
      <c r="V4571" s="8">
        <v>3.7</v>
      </c>
      <c r="W4571" s="8">
        <v>1.2</v>
      </c>
      <c r="X4571" s="8">
        <v>159</v>
      </c>
      <c r="Y4571" s="8" t="s">
        <v>21</v>
      </c>
      <c r="Z4571" s="8" t="s">
        <v>20651</v>
      </c>
    </row>
    <row r="4572" spans="1:26" x14ac:dyDescent="0.2">
      <c r="A4572" s="8">
        <v>4571</v>
      </c>
      <c r="B4572" s="8" t="s">
        <v>20652</v>
      </c>
      <c r="C4572" s="8" t="s">
        <v>20652</v>
      </c>
      <c r="F4572" s="47" t="s">
        <v>57465</v>
      </c>
      <c r="G4572" s="8">
        <v>6.5</v>
      </c>
      <c r="H4572" s="8" t="s">
        <v>21</v>
      </c>
      <c r="I4572" s="8" t="s">
        <v>22</v>
      </c>
      <c r="J4572" s="8" t="s">
        <v>22</v>
      </c>
      <c r="K4572" s="8" t="s">
        <v>160</v>
      </c>
      <c r="L4572" s="8" t="s">
        <v>18289</v>
      </c>
      <c r="M4572" s="8" t="s">
        <v>18290</v>
      </c>
      <c r="N4572" s="8" t="s">
        <v>20653</v>
      </c>
      <c r="O4572" s="8">
        <f>12+36/60+56.4/3600</f>
        <v>12.615666666666666</v>
      </c>
      <c r="P4572" s="8" t="s">
        <v>20654</v>
      </c>
      <c r="Q4572" s="8">
        <f>+(14+13/60+3/3600)</f>
        <v>14.217499999999999</v>
      </c>
      <c r="R4572" s="8">
        <v>11.3</v>
      </c>
      <c r="S4572" s="8">
        <v>11.8</v>
      </c>
      <c r="T4572" s="8">
        <v>0.5</v>
      </c>
      <c r="U4572" s="8">
        <v>13.9</v>
      </c>
      <c r="V4572" s="8">
        <v>3.6</v>
      </c>
      <c r="W4572" s="8">
        <v>3.2</v>
      </c>
      <c r="X4572" s="8">
        <v>55</v>
      </c>
      <c r="Y4572" s="8" t="s">
        <v>20655</v>
      </c>
      <c r="Z4572" s="8" t="s">
        <v>20656</v>
      </c>
    </row>
    <row r="4573" spans="1:26" x14ac:dyDescent="0.2">
      <c r="A4573" s="8">
        <v>4572</v>
      </c>
      <c r="B4573" s="8" t="s">
        <v>20657</v>
      </c>
      <c r="C4573" s="8" t="s">
        <v>20657</v>
      </c>
      <c r="F4573" s="47" t="s">
        <v>57466</v>
      </c>
      <c r="G4573" s="8">
        <v>15</v>
      </c>
      <c r="H4573" s="8" t="s">
        <v>21</v>
      </c>
      <c r="I4573" s="8" t="s">
        <v>22</v>
      </c>
      <c r="J4573" s="8" t="s">
        <v>22</v>
      </c>
      <c r="K4573" s="8" t="s">
        <v>449</v>
      </c>
      <c r="L4573" s="8" t="s">
        <v>13395</v>
      </c>
      <c r="M4573" s="8" t="s">
        <v>13396</v>
      </c>
      <c r="N4573" s="8" t="s">
        <v>20658</v>
      </c>
      <c r="O4573" s="8">
        <f>12+35/60+45.5/3600</f>
        <v>12.595972222222223</v>
      </c>
      <c r="P4573" s="8" t="s">
        <v>20659</v>
      </c>
      <c r="Q4573" s="8">
        <f>+(74+14/60+46/3600)</f>
        <v>74.246111111111105</v>
      </c>
      <c r="R4573" s="8">
        <v>14</v>
      </c>
      <c r="S4573" s="8">
        <v>14.9</v>
      </c>
      <c r="T4573" s="8">
        <v>0.9</v>
      </c>
      <c r="U4573" s="8">
        <v>13</v>
      </c>
      <c r="V4573" s="8">
        <v>1.5</v>
      </c>
      <c r="W4573" s="8">
        <v>0.3</v>
      </c>
      <c r="X4573" s="8">
        <v>170</v>
      </c>
      <c r="Y4573" s="8" t="s">
        <v>745</v>
      </c>
      <c r="Z4573" s="8" t="s">
        <v>746</v>
      </c>
    </row>
    <row r="4574" spans="1:26" x14ac:dyDescent="0.2">
      <c r="A4574" s="8">
        <v>4573</v>
      </c>
      <c r="B4574" s="8" t="s">
        <v>20660</v>
      </c>
      <c r="C4574" s="8" t="s">
        <v>20660</v>
      </c>
      <c r="F4574" s="47"/>
      <c r="G4574" s="8">
        <v>16</v>
      </c>
      <c r="H4574" s="8" t="s">
        <v>21</v>
      </c>
      <c r="I4574" s="8" t="s">
        <v>22</v>
      </c>
      <c r="J4574" s="8" t="s">
        <v>22</v>
      </c>
      <c r="K4574" s="8" t="s">
        <v>435</v>
      </c>
      <c r="L4574" s="8" t="s">
        <v>16195</v>
      </c>
      <c r="M4574" s="8" t="s">
        <v>16196</v>
      </c>
      <c r="N4574" s="8" t="s">
        <v>20661</v>
      </c>
      <c r="O4574" s="8">
        <f>12+37/60+43.7/3600</f>
        <v>12.628805555555555</v>
      </c>
      <c r="P4574" s="8" t="s">
        <v>20662</v>
      </c>
      <c r="Q4574" s="8">
        <f>-(43+37/60+17/3600)</f>
        <v>-43.621388888888887</v>
      </c>
      <c r="R4574" s="8">
        <v>13</v>
      </c>
      <c r="S4574" s="8">
        <v>13.9</v>
      </c>
      <c r="T4574" s="8">
        <v>0.9</v>
      </c>
      <c r="U4574" s="8">
        <v>14.6</v>
      </c>
      <c r="V4574" s="8">
        <v>2.5</v>
      </c>
      <c r="W4574" s="8">
        <v>1.9</v>
      </c>
      <c r="X4574" s="8">
        <v>138</v>
      </c>
      <c r="Y4574" s="8" t="s">
        <v>21</v>
      </c>
      <c r="Z4574" s="8" t="s">
        <v>20663</v>
      </c>
    </row>
    <row r="4575" spans="1:26" x14ac:dyDescent="0.2">
      <c r="A4575" s="8">
        <v>4574</v>
      </c>
      <c r="B4575" s="8" t="s">
        <v>20664</v>
      </c>
      <c r="C4575" s="8" t="s">
        <v>20664</v>
      </c>
      <c r="F4575" s="47"/>
      <c r="G4575" s="8">
        <v>16</v>
      </c>
      <c r="H4575" s="8" t="s">
        <v>21</v>
      </c>
      <c r="I4575" s="8" t="s">
        <v>22</v>
      </c>
      <c r="J4575" s="8" t="s">
        <v>22</v>
      </c>
      <c r="K4575" s="8" t="s">
        <v>64</v>
      </c>
      <c r="L4575" s="8" t="s">
        <v>16195</v>
      </c>
      <c r="M4575" s="8" t="s">
        <v>16196</v>
      </c>
      <c r="N4575" s="8" t="s">
        <v>20665</v>
      </c>
      <c r="O4575" s="8">
        <f>12+37/60+43.5/3600</f>
        <v>12.62875</v>
      </c>
      <c r="P4575" s="8" t="s">
        <v>20666</v>
      </c>
      <c r="Q4575" s="8">
        <f>-(35+31/60+5/3600)</f>
        <v>-35.518055555555556</v>
      </c>
      <c r="R4575" s="8">
        <v>13</v>
      </c>
      <c r="S4575" s="8">
        <v>13.6</v>
      </c>
      <c r="T4575" s="8">
        <v>0.6</v>
      </c>
      <c r="U4575" s="8">
        <v>13.6</v>
      </c>
      <c r="V4575" s="8">
        <v>1.8</v>
      </c>
      <c r="W4575" s="8">
        <v>1.1000000000000001</v>
      </c>
      <c r="X4575" s="8">
        <v>113</v>
      </c>
      <c r="Y4575" s="8" t="s">
        <v>20667</v>
      </c>
      <c r="Z4575" s="8" t="s">
        <v>20668</v>
      </c>
    </row>
    <row r="4576" spans="1:26" x14ac:dyDescent="0.2">
      <c r="A4576" s="8">
        <v>4575</v>
      </c>
      <c r="B4576" s="8" t="s">
        <v>20669</v>
      </c>
      <c r="C4576" s="8" t="s">
        <v>20669</v>
      </c>
      <c r="F4576" s="47"/>
      <c r="G4576" s="8">
        <v>16</v>
      </c>
      <c r="H4576" s="8" t="s">
        <v>21</v>
      </c>
      <c r="I4576" s="8" t="s">
        <v>22</v>
      </c>
      <c r="J4576" s="8" t="s">
        <v>22</v>
      </c>
      <c r="K4576" s="8" t="s">
        <v>85</v>
      </c>
      <c r="L4576" s="8" t="s">
        <v>16195</v>
      </c>
      <c r="M4576" s="8" t="s">
        <v>16196</v>
      </c>
      <c r="N4576" s="8" t="s">
        <v>20670</v>
      </c>
      <c r="O4576" s="8">
        <f>12+37/60+51.1/3600</f>
        <v>12.630861111111111</v>
      </c>
      <c r="P4576" s="8" t="s">
        <v>20671</v>
      </c>
      <c r="Q4576" s="8">
        <f>-(40+32/60+15/3600)</f>
        <v>-40.537500000000001</v>
      </c>
      <c r="R4576" s="8">
        <v>12.6</v>
      </c>
      <c r="S4576" s="8">
        <v>13.1</v>
      </c>
      <c r="T4576" s="8">
        <v>0.5</v>
      </c>
      <c r="U4576" s="8">
        <v>13.4</v>
      </c>
      <c r="V4576" s="8">
        <v>2</v>
      </c>
      <c r="W4576" s="8">
        <v>1.2</v>
      </c>
      <c r="X4576" s="8">
        <v>106</v>
      </c>
      <c r="Y4576" s="8" t="s">
        <v>20672</v>
      </c>
      <c r="Z4576" s="8" t="s">
        <v>20673</v>
      </c>
    </row>
    <row r="4577" spans="1:26" x14ac:dyDescent="0.2">
      <c r="A4577" s="8">
        <v>4576</v>
      </c>
      <c r="B4577" s="8" t="s">
        <v>20674</v>
      </c>
      <c r="C4577" s="8" t="s">
        <v>20674</v>
      </c>
      <c r="F4577" s="47"/>
      <c r="G4577" s="8">
        <v>19</v>
      </c>
      <c r="H4577" s="8" t="s">
        <v>21</v>
      </c>
      <c r="I4577" s="8" t="s">
        <v>22</v>
      </c>
      <c r="J4577" s="8" t="s">
        <v>22</v>
      </c>
      <c r="K4577" s="8" t="s">
        <v>85</v>
      </c>
      <c r="L4577" s="8" t="s">
        <v>17287</v>
      </c>
      <c r="M4577" s="8" t="s">
        <v>17288</v>
      </c>
      <c r="N4577" s="8" t="s">
        <v>20675</v>
      </c>
      <c r="O4577" s="8">
        <f>12+37/60+33.5/3600</f>
        <v>12.625972222222222</v>
      </c>
      <c r="P4577" s="8" t="s">
        <v>20676</v>
      </c>
      <c r="Q4577" s="8">
        <f>+(4+22/60+3/3600)</f>
        <v>4.3674999999999997</v>
      </c>
      <c r="R4577" s="8">
        <v>13.5</v>
      </c>
      <c r="S4577" s="8">
        <v>14.2</v>
      </c>
      <c r="T4577" s="8">
        <v>0.7</v>
      </c>
      <c r="U4577" s="8">
        <v>13.2</v>
      </c>
      <c r="V4577" s="8">
        <v>1.2</v>
      </c>
      <c r="W4577" s="8">
        <v>0.8</v>
      </c>
      <c r="X4577" s="8">
        <v>159</v>
      </c>
      <c r="Y4577" s="8" t="s">
        <v>20677</v>
      </c>
      <c r="Z4577" s="8" t="s">
        <v>20678</v>
      </c>
    </row>
    <row r="4578" spans="1:26" x14ac:dyDescent="0.2">
      <c r="A4578" s="8">
        <v>4577</v>
      </c>
      <c r="B4578" s="8" t="s">
        <v>20679</v>
      </c>
      <c r="C4578" s="8" t="s">
        <v>20679</v>
      </c>
      <c r="F4578" s="47" t="s">
        <v>57467</v>
      </c>
      <c r="G4578" s="8">
        <v>15</v>
      </c>
      <c r="H4578" s="8" t="s">
        <v>21</v>
      </c>
      <c r="I4578" s="8" t="s">
        <v>22</v>
      </c>
      <c r="J4578" s="8" t="s">
        <v>22</v>
      </c>
      <c r="K4578" s="8" t="s">
        <v>31</v>
      </c>
      <c r="L4578" s="8" t="s">
        <v>17287</v>
      </c>
      <c r="M4578" s="8" t="s">
        <v>17288</v>
      </c>
      <c r="N4578" s="8" t="s">
        <v>20680</v>
      </c>
      <c r="O4578" s="8">
        <f>12+39/60+12.4/3600</f>
        <v>12.653444444444444</v>
      </c>
      <c r="P4578" s="8" t="s">
        <v>20681</v>
      </c>
      <c r="Q4578" s="8">
        <f>+(6+0/60+44/3600)</f>
        <v>6.0122222222222224</v>
      </c>
      <c r="R4578" s="8">
        <v>13.2</v>
      </c>
      <c r="S4578" s="8">
        <v>14</v>
      </c>
      <c r="T4578" s="8">
        <v>0.8</v>
      </c>
      <c r="U4578" s="8">
        <v>13.3</v>
      </c>
      <c r="V4578" s="8">
        <v>1.6</v>
      </c>
      <c r="W4578" s="8">
        <v>0.8</v>
      </c>
      <c r="X4578" s="8">
        <v>37</v>
      </c>
      <c r="Y4578" s="8" t="s">
        <v>20682</v>
      </c>
      <c r="Z4578" s="8" t="s">
        <v>283</v>
      </c>
    </row>
    <row r="4579" spans="1:26" x14ac:dyDescent="0.2">
      <c r="A4579" s="8">
        <v>4578</v>
      </c>
      <c r="B4579" s="8" t="s">
        <v>20683</v>
      </c>
      <c r="C4579" s="8" t="s">
        <v>20683</v>
      </c>
      <c r="F4579" s="47" t="s">
        <v>57468</v>
      </c>
      <c r="G4579" s="8">
        <v>13</v>
      </c>
      <c r="H4579" s="8" t="s">
        <v>21</v>
      </c>
      <c r="I4579" s="8" t="s">
        <v>22</v>
      </c>
      <c r="J4579" s="8" t="s">
        <v>22</v>
      </c>
      <c r="K4579" s="8" t="s">
        <v>37</v>
      </c>
      <c r="L4579" s="8" t="s">
        <v>17287</v>
      </c>
      <c r="M4579" s="8" t="s">
        <v>17288</v>
      </c>
      <c r="N4579" s="8" t="s">
        <v>20684</v>
      </c>
      <c r="O4579" s="8">
        <f>12+37/60+30.6/3600</f>
        <v>12.625166666666667</v>
      </c>
      <c r="P4579" s="8" t="s">
        <v>20685</v>
      </c>
      <c r="Q4579" s="8">
        <f>+(9+33/60+20/3600)</f>
        <v>9.5555555555555571</v>
      </c>
      <c r="R4579" s="8">
        <v>11.5</v>
      </c>
      <c r="S4579" s="8">
        <v>12.4</v>
      </c>
      <c r="T4579" s="8">
        <v>0.9</v>
      </c>
      <c r="U4579" s="8">
        <v>13.7</v>
      </c>
      <c r="V4579" s="8">
        <v>3.1</v>
      </c>
      <c r="W4579" s="8">
        <v>2.2999999999999998</v>
      </c>
      <c r="X4579" s="8">
        <v>35</v>
      </c>
      <c r="Y4579" s="8" t="s">
        <v>20686</v>
      </c>
      <c r="Z4579" s="8" t="s">
        <v>20687</v>
      </c>
    </row>
    <row r="4580" spans="1:26" x14ac:dyDescent="0.2">
      <c r="A4580" s="8">
        <v>4579</v>
      </c>
      <c r="B4580" s="8" t="s">
        <v>20688</v>
      </c>
      <c r="C4580" s="8" t="s">
        <v>55911</v>
      </c>
      <c r="F4580" s="47"/>
      <c r="G4580" s="8">
        <v>1</v>
      </c>
      <c r="H4580" s="8" t="s">
        <v>21</v>
      </c>
      <c r="I4580" s="8" t="s">
        <v>22</v>
      </c>
      <c r="J4580" s="8" t="s">
        <v>22</v>
      </c>
      <c r="K4580" s="8" t="s">
        <v>218</v>
      </c>
      <c r="L4580" s="8" t="s">
        <v>17287</v>
      </c>
      <c r="M4580" s="8" t="s">
        <v>17288</v>
      </c>
      <c r="N4580" s="8" t="s">
        <v>20661</v>
      </c>
      <c r="O4580" s="8">
        <f>12+37/60+43.7/3600</f>
        <v>12.628805555555555</v>
      </c>
      <c r="P4580" s="8" t="s">
        <v>20689</v>
      </c>
      <c r="Q4580" s="8">
        <f>+(11+49/60+6/3600)</f>
        <v>11.818333333333333</v>
      </c>
      <c r="R4580" s="8">
        <v>9.6999999999999993</v>
      </c>
      <c r="S4580" s="8">
        <v>10.5</v>
      </c>
      <c r="T4580" s="8">
        <v>0.8</v>
      </c>
      <c r="U4580" s="8">
        <v>13.1</v>
      </c>
      <c r="V4580" s="8">
        <v>6</v>
      </c>
      <c r="W4580" s="8">
        <v>4.8</v>
      </c>
      <c r="X4580" s="8">
        <v>95</v>
      </c>
      <c r="Y4580" s="8" t="s">
        <v>20690</v>
      </c>
      <c r="Z4580" s="8" t="s">
        <v>20691</v>
      </c>
    </row>
    <row r="4581" spans="1:26" x14ac:dyDescent="0.2">
      <c r="A4581" s="8">
        <v>4580</v>
      </c>
      <c r="B4581" s="8" t="s">
        <v>20692</v>
      </c>
      <c r="C4581" s="8" t="s">
        <v>20692</v>
      </c>
      <c r="F4581" s="47" t="s">
        <v>57469</v>
      </c>
      <c r="G4581" s="8">
        <v>13</v>
      </c>
      <c r="H4581" s="8" t="s">
        <v>21</v>
      </c>
      <c r="I4581" s="8" t="s">
        <v>22</v>
      </c>
      <c r="J4581" s="8" t="s">
        <v>22</v>
      </c>
      <c r="K4581" s="8" t="s">
        <v>7975</v>
      </c>
      <c r="L4581" s="8" t="s">
        <v>17287</v>
      </c>
      <c r="M4581" s="8" t="s">
        <v>17288</v>
      </c>
      <c r="N4581" s="8" t="s">
        <v>20693</v>
      </c>
      <c r="O4581" s="8">
        <f>12+37/60+48.3/3600</f>
        <v>12.630083333333333</v>
      </c>
      <c r="P4581" s="8" t="s">
        <v>20694</v>
      </c>
      <c r="Q4581" s="8">
        <f>+(5+22/60+5/3600)</f>
        <v>5.3680555555555554</v>
      </c>
      <c r="R4581" s="8">
        <v>11.8</v>
      </c>
      <c r="S4581" s="8">
        <v>12.3</v>
      </c>
      <c r="T4581" s="8">
        <v>0.5</v>
      </c>
      <c r="U4581" s="8">
        <v>13</v>
      </c>
      <c r="V4581" s="8">
        <v>2.1</v>
      </c>
      <c r="W4581" s="8">
        <v>1.5</v>
      </c>
      <c r="X4581" s="8">
        <v>165</v>
      </c>
      <c r="Y4581" s="8" t="s">
        <v>20695</v>
      </c>
      <c r="Z4581" s="8" t="s">
        <v>20696</v>
      </c>
    </row>
    <row r="4582" spans="1:26" x14ac:dyDescent="0.2">
      <c r="A4582" s="8">
        <v>4581</v>
      </c>
      <c r="B4582" s="8" t="s">
        <v>20697</v>
      </c>
      <c r="C4582" s="8" t="s">
        <v>20697</v>
      </c>
      <c r="F4582" s="47"/>
      <c r="G4582" s="8">
        <v>19</v>
      </c>
      <c r="H4582" s="8" t="s">
        <v>21</v>
      </c>
      <c r="I4582" s="8" t="s">
        <v>22</v>
      </c>
      <c r="J4582" s="8" t="s">
        <v>22</v>
      </c>
      <c r="K4582" s="8" t="s">
        <v>50</v>
      </c>
      <c r="L4582" s="8" t="s">
        <v>17287</v>
      </c>
      <c r="M4582" s="8" t="s">
        <v>17288</v>
      </c>
      <c r="N4582" s="8" t="s">
        <v>20698</v>
      </c>
      <c r="O4582" s="8">
        <f>12+38/60+5.1/3600</f>
        <v>12.63475</v>
      </c>
      <c r="P4582" s="8" t="s">
        <v>20699</v>
      </c>
      <c r="Q4582" s="8">
        <f>+(1+28/60+42/3600)</f>
        <v>1.4783333333333335</v>
      </c>
      <c r="R4582" s="8">
        <v>12.5</v>
      </c>
      <c r="S4582" s="8">
        <v>13.3</v>
      </c>
      <c r="T4582" s="8">
        <v>0.8</v>
      </c>
      <c r="U4582" s="8">
        <v>13.4</v>
      </c>
      <c r="V4582" s="8">
        <v>1.9</v>
      </c>
      <c r="W4582" s="8">
        <v>1.1000000000000001</v>
      </c>
      <c r="X4582" s="8">
        <v>173</v>
      </c>
      <c r="Y4582" s="8" t="s">
        <v>20700</v>
      </c>
      <c r="Z4582" s="8" t="s">
        <v>20701</v>
      </c>
    </row>
    <row r="4583" spans="1:26" x14ac:dyDescent="0.2">
      <c r="A4583" s="8">
        <v>4582</v>
      </c>
      <c r="B4583" s="8" t="s">
        <v>20702</v>
      </c>
      <c r="C4583" s="8" t="s">
        <v>20702</v>
      </c>
      <c r="F4583" s="47"/>
      <c r="G4583" s="8">
        <v>18</v>
      </c>
      <c r="H4583" s="8" t="s">
        <v>21</v>
      </c>
      <c r="I4583" s="8" t="s">
        <v>72</v>
      </c>
      <c r="J4583" s="8" t="s">
        <v>72</v>
      </c>
      <c r="K4583" s="8" t="s">
        <v>20</v>
      </c>
      <c r="L4583" s="8" t="s">
        <v>17287</v>
      </c>
      <c r="M4583" s="8" t="s">
        <v>17288</v>
      </c>
      <c r="N4583" s="8" t="s">
        <v>20703</v>
      </c>
      <c r="O4583" s="8">
        <f>12+38/60+10.1/3600</f>
        <v>12.636138888888889</v>
      </c>
      <c r="P4583" s="8" t="s">
        <v>20704</v>
      </c>
      <c r="Q4583" s="8">
        <f>+(0+11/60+0/3600)</f>
        <v>0.18333333333333332</v>
      </c>
      <c r="R4583" s="8">
        <v>99</v>
      </c>
      <c r="S4583" s="8">
        <v>13.4</v>
      </c>
      <c r="T4583" s="8">
        <v>99</v>
      </c>
      <c r="U4583" s="8">
        <v>99</v>
      </c>
      <c r="Y4583" s="8" t="s">
        <v>21</v>
      </c>
      <c r="Z4583" s="8" t="s">
        <v>20705</v>
      </c>
    </row>
    <row r="4584" spans="1:26" x14ac:dyDescent="0.2">
      <c r="A4584" s="8">
        <v>4583</v>
      </c>
      <c r="B4584" s="8" t="s">
        <v>20706</v>
      </c>
      <c r="C4584" s="8" t="s">
        <v>20706</v>
      </c>
      <c r="F4584" s="47" t="s">
        <v>57470</v>
      </c>
      <c r="G4584" s="8">
        <v>12</v>
      </c>
      <c r="H4584" s="8" t="s">
        <v>21</v>
      </c>
      <c r="I4584" s="8" t="s">
        <v>22</v>
      </c>
      <c r="J4584" s="8" t="s">
        <v>22</v>
      </c>
      <c r="K4584" s="8" t="s">
        <v>435</v>
      </c>
      <c r="L4584" s="8" t="s">
        <v>18681</v>
      </c>
      <c r="M4584" s="8" t="s">
        <v>18682</v>
      </c>
      <c r="N4584" s="8" t="s">
        <v>20707</v>
      </c>
      <c r="O4584" s="8">
        <f>12+38/60+4.4/3600</f>
        <v>12.634555555555554</v>
      </c>
      <c r="P4584" s="8" t="s">
        <v>20708</v>
      </c>
      <c r="Q4584" s="8">
        <f>+(33+27/60+31/3600)</f>
        <v>33.458611111111111</v>
      </c>
      <c r="R4584" s="8">
        <v>13.4</v>
      </c>
      <c r="S4584" s="8">
        <v>14.3</v>
      </c>
      <c r="T4584" s="8">
        <v>0.9</v>
      </c>
      <c r="U4584" s="8">
        <v>13.3</v>
      </c>
      <c r="V4584" s="8">
        <v>1.1000000000000001</v>
      </c>
      <c r="W4584" s="8">
        <v>0.9</v>
      </c>
      <c r="X4584" s="8">
        <v>91</v>
      </c>
      <c r="Y4584" s="8" t="s">
        <v>20709</v>
      </c>
      <c r="Z4584" s="8" t="s">
        <v>20710</v>
      </c>
    </row>
    <row r="4585" spans="1:26" x14ac:dyDescent="0.2">
      <c r="A4585" s="8">
        <v>4584</v>
      </c>
      <c r="B4585" s="8" t="s">
        <v>20711</v>
      </c>
      <c r="C4585" s="8" t="s">
        <v>20711</v>
      </c>
      <c r="F4585" s="47"/>
      <c r="G4585" s="8">
        <v>18</v>
      </c>
      <c r="H4585" s="8" t="s">
        <v>21</v>
      </c>
      <c r="I4585" s="8" t="s">
        <v>22</v>
      </c>
      <c r="J4585" s="8" t="s">
        <v>22</v>
      </c>
      <c r="K4585" s="8" t="s">
        <v>154</v>
      </c>
      <c r="L4585" s="8" t="s">
        <v>17287</v>
      </c>
      <c r="M4585" s="8" t="s">
        <v>17288</v>
      </c>
      <c r="N4585" s="8" t="s">
        <v>20712</v>
      </c>
      <c r="O4585" s="8">
        <f>12+38/60+17.8/3600</f>
        <v>12.638277777777777</v>
      </c>
      <c r="P4585" s="8" t="s">
        <v>20713</v>
      </c>
      <c r="Q4585" s="8">
        <f>+(13+6/60+38/3600)</f>
        <v>13.110555555555555</v>
      </c>
      <c r="R4585" s="8">
        <v>12.9</v>
      </c>
      <c r="S4585" s="8">
        <v>13.7</v>
      </c>
      <c r="T4585" s="8">
        <v>0.8</v>
      </c>
      <c r="U4585" s="8">
        <v>13.1</v>
      </c>
      <c r="V4585" s="8">
        <v>1.4</v>
      </c>
      <c r="W4585" s="8">
        <v>1</v>
      </c>
      <c r="X4585" s="8">
        <v>5</v>
      </c>
      <c r="Y4585" s="8" t="s">
        <v>170</v>
      </c>
      <c r="Z4585" s="8" t="s">
        <v>171</v>
      </c>
    </row>
    <row r="4586" spans="1:26" x14ac:dyDescent="0.2">
      <c r="A4586" s="8">
        <v>4585</v>
      </c>
      <c r="B4586" s="8" t="s">
        <v>20714</v>
      </c>
      <c r="C4586" s="8" t="s">
        <v>20714</v>
      </c>
      <c r="F4586" s="47"/>
      <c r="G4586" s="8">
        <v>18</v>
      </c>
      <c r="H4586" s="8" t="s">
        <v>21</v>
      </c>
      <c r="I4586" s="8" t="s">
        <v>22</v>
      </c>
      <c r="J4586" s="8" t="s">
        <v>22</v>
      </c>
      <c r="K4586" s="8" t="s">
        <v>218</v>
      </c>
      <c r="L4586" s="8" t="s">
        <v>18289</v>
      </c>
      <c r="M4586" s="8" t="s">
        <v>18290</v>
      </c>
      <c r="N4586" s="8" t="s">
        <v>20715</v>
      </c>
      <c r="O4586" s="8">
        <f>12+38/60+13.2/3600</f>
        <v>12.636999999999999</v>
      </c>
      <c r="P4586" s="8" t="s">
        <v>20716</v>
      </c>
      <c r="Q4586" s="8">
        <f>+(28+56/60+14/3600)</f>
        <v>28.937222222222221</v>
      </c>
      <c r="R4586" s="8">
        <v>14.1</v>
      </c>
      <c r="S4586" s="8">
        <v>14.9</v>
      </c>
      <c r="T4586" s="8">
        <v>0.8</v>
      </c>
      <c r="U4586" s="8">
        <v>12.6</v>
      </c>
      <c r="V4586" s="8">
        <v>0.7</v>
      </c>
      <c r="W4586" s="8">
        <v>0.4</v>
      </c>
      <c r="X4586" s="8">
        <v>114</v>
      </c>
      <c r="Y4586" s="8" t="s">
        <v>18269</v>
      </c>
      <c r="Z4586" s="8" t="s">
        <v>18270</v>
      </c>
    </row>
    <row r="4587" spans="1:26" x14ac:dyDescent="0.2">
      <c r="A4587" s="8">
        <v>4586</v>
      </c>
      <c r="B4587" s="8" t="s">
        <v>20717</v>
      </c>
      <c r="C4587" s="8" t="s">
        <v>20717</v>
      </c>
      <c r="F4587" s="47" t="s">
        <v>57471</v>
      </c>
      <c r="G4587" s="8">
        <v>6.5</v>
      </c>
      <c r="H4587" s="8" t="s">
        <v>21</v>
      </c>
      <c r="I4587" s="8" t="s">
        <v>22</v>
      </c>
      <c r="J4587" s="8" t="s">
        <v>22</v>
      </c>
      <c r="K4587" s="8" t="s">
        <v>91</v>
      </c>
      <c r="L4587" s="8" t="s">
        <v>17287</v>
      </c>
      <c r="M4587" s="8" t="s">
        <v>17288</v>
      </c>
      <c r="N4587" s="8" t="s">
        <v>20718</v>
      </c>
      <c r="O4587" s="8">
        <f>12+38/60+28.3/3600</f>
        <v>12.641194444444444</v>
      </c>
      <c r="P4587" s="8" t="s">
        <v>20719</v>
      </c>
      <c r="Q4587" s="8">
        <f>+(4+19/60+7/3600)</f>
        <v>4.3186111111111112</v>
      </c>
      <c r="R4587" s="8">
        <v>11.7</v>
      </c>
      <c r="S4587" s="8">
        <v>12.6</v>
      </c>
      <c r="T4587" s="8">
        <v>0.9</v>
      </c>
      <c r="U4587" s="8">
        <v>13.3</v>
      </c>
      <c r="V4587" s="8">
        <v>3.8</v>
      </c>
      <c r="W4587" s="8">
        <v>1.2</v>
      </c>
      <c r="X4587" s="8">
        <v>115</v>
      </c>
      <c r="Y4587" s="8" t="s">
        <v>20720</v>
      </c>
      <c r="Z4587" s="8" t="s">
        <v>20721</v>
      </c>
    </row>
    <row r="4588" spans="1:26" x14ac:dyDescent="0.2">
      <c r="A4588" s="8">
        <v>4587</v>
      </c>
      <c r="B4588" s="8" t="s">
        <v>20722</v>
      </c>
      <c r="C4588" s="8" t="s">
        <v>20722</v>
      </c>
      <c r="F4588" s="47"/>
      <c r="G4588" s="8">
        <v>19</v>
      </c>
      <c r="H4588" s="8" t="s">
        <v>21</v>
      </c>
      <c r="I4588" s="8" t="s">
        <v>22</v>
      </c>
      <c r="J4588" s="8" t="s">
        <v>22</v>
      </c>
      <c r="K4588" s="8" t="s">
        <v>37</v>
      </c>
      <c r="L4588" s="8" t="s">
        <v>17287</v>
      </c>
      <c r="M4588" s="8" t="s">
        <v>17288</v>
      </c>
      <c r="N4588" s="8" t="s">
        <v>20723</v>
      </c>
      <c r="O4588" s="8">
        <f>12+38/60+35.3/3600</f>
        <v>12.643138888888888</v>
      </c>
      <c r="P4588" s="8" t="s">
        <v>20724</v>
      </c>
      <c r="Q4588" s="8">
        <f>+(2+39/60+28/3600)</f>
        <v>2.6577777777777776</v>
      </c>
      <c r="R4588" s="8">
        <v>13.5</v>
      </c>
      <c r="S4588" s="8">
        <v>14.5</v>
      </c>
      <c r="T4588" s="8">
        <v>1</v>
      </c>
      <c r="U4588" s="8">
        <v>12.9</v>
      </c>
      <c r="V4588" s="8">
        <v>1.1000000000000001</v>
      </c>
      <c r="W4588" s="8">
        <v>0.5</v>
      </c>
      <c r="X4588" s="8">
        <v>48</v>
      </c>
      <c r="Y4588" s="8" t="s">
        <v>20725</v>
      </c>
      <c r="Z4588" s="8" t="s">
        <v>20726</v>
      </c>
    </row>
    <row r="4589" spans="1:26" x14ac:dyDescent="0.2">
      <c r="A4589" s="8">
        <v>4588</v>
      </c>
      <c r="B4589" s="8" t="s">
        <v>20727</v>
      </c>
      <c r="C4589" s="8" t="s">
        <v>20727</v>
      </c>
      <c r="F4589" s="47" t="s">
        <v>57472</v>
      </c>
      <c r="G4589" s="8">
        <v>15</v>
      </c>
      <c r="H4589" s="8" t="s">
        <v>21</v>
      </c>
      <c r="I4589" s="8" t="s">
        <v>22</v>
      </c>
      <c r="J4589" s="8" t="s">
        <v>22</v>
      </c>
      <c r="K4589" s="8" t="s">
        <v>64</v>
      </c>
      <c r="L4589" s="8" t="s">
        <v>17287</v>
      </c>
      <c r="M4589" s="8" t="s">
        <v>17288</v>
      </c>
      <c r="N4589" s="8" t="s">
        <v>20728</v>
      </c>
      <c r="O4589" s="8">
        <f>12+38/60+45.4/3600</f>
        <v>12.645944444444444</v>
      </c>
      <c r="P4589" s="8" t="s">
        <v>20729</v>
      </c>
      <c r="Q4589" s="8">
        <f>+(6+46/60+3/3600)</f>
        <v>6.7675000000000001</v>
      </c>
      <c r="R4589" s="8">
        <v>14.3</v>
      </c>
      <c r="S4589" s="8">
        <v>15</v>
      </c>
      <c r="T4589" s="8">
        <v>0.7</v>
      </c>
      <c r="U4589" s="8">
        <v>13.7</v>
      </c>
      <c r="V4589" s="8">
        <v>1.3</v>
      </c>
      <c r="W4589" s="8">
        <v>0.4</v>
      </c>
      <c r="X4589" s="8">
        <v>57</v>
      </c>
      <c r="Y4589" s="8" t="s">
        <v>18269</v>
      </c>
      <c r="Z4589" s="8" t="s">
        <v>18270</v>
      </c>
    </row>
    <row r="4590" spans="1:26" x14ac:dyDescent="0.2">
      <c r="A4590" s="8">
        <v>4589</v>
      </c>
      <c r="B4590" s="8" t="s">
        <v>20730</v>
      </c>
      <c r="C4590" s="8" t="s">
        <v>20730</v>
      </c>
      <c r="F4590" s="47" t="s">
        <v>57473</v>
      </c>
      <c r="G4590" s="8">
        <v>13</v>
      </c>
      <c r="H4590" s="8" t="s">
        <v>21</v>
      </c>
      <c r="I4590" s="8" t="s">
        <v>22</v>
      </c>
      <c r="J4590" s="8" t="s">
        <v>22</v>
      </c>
      <c r="K4590" s="8" t="s">
        <v>1136</v>
      </c>
      <c r="L4590" s="8" t="s">
        <v>13395</v>
      </c>
      <c r="M4590" s="8" t="s">
        <v>13396</v>
      </c>
      <c r="N4590" s="8" t="s">
        <v>20731</v>
      </c>
      <c r="O4590" s="8">
        <f>12+37/60+24.6/3600</f>
        <v>12.6235</v>
      </c>
      <c r="P4590" s="8" t="s">
        <v>20732</v>
      </c>
      <c r="Q4590" s="8">
        <f>+(74+11/60+31/3600)</f>
        <v>74.191944444444445</v>
      </c>
      <c r="R4590" s="8">
        <v>10.7</v>
      </c>
      <c r="S4590" s="8">
        <v>11.7</v>
      </c>
      <c r="T4590" s="8">
        <v>1</v>
      </c>
      <c r="U4590" s="8">
        <v>13</v>
      </c>
      <c r="V4590" s="8">
        <v>3.4</v>
      </c>
      <c r="W4590" s="8">
        <v>2.8</v>
      </c>
      <c r="X4590" s="8">
        <v>75</v>
      </c>
      <c r="Y4590" s="8" t="s">
        <v>20733</v>
      </c>
      <c r="Z4590" s="8" t="s">
        <v>20734</v>
      </c>
    </row>
    <row r="4591" spans="1:26" x14ac:dyDescent="0.2">
      <c r="A4591" s="8">
        <v>4590</v>
      </c>
      <c r="B4591" s="8" t="s">
        <v>20735</v>
      </c>
      <c r="C4591" s="8" t="s">
        <v>55912</v>
      </c>
      <c r="F4591" s="47"/>
      <c r="G4591" s="8">
        <v>1</v>
      </c>
      <c r="H4591" s="8" t="s">
        <v>21</v>
      </c>
      <c r="I4591" s="8" t="s">
        <v>567</v>
      </c>
      <c r="J4591" s="8" t="s">
        <v>567</v>
      </c>
      <c r="K4591" s="8" t="s">
        <v>1485</v>
      </c>
      <c r="L4591" s="8" t="s">
        <v>11765</v>
      </c>
      <c r="M4591" s="8" t="s">
        <v>11766</v>
      </c>
      <c r="N4591" s="8" t="s">
        <v>20736</v>
      </c>
      <c r="O4591" s="8">
        <f>12+39/60+28/3600</f>
        <v>12.657777777777778</v>
      </c>
      <c r="P4591" s="8" t="s">
        <v>20737</v>
      </c>
      <c r="Q4591" s="8">
        <f>-(26+44/60+32/3600)</f>
        <v>-26.742222222222225</v>
      </c>
      <c r="R4591" s="8">
        <v>7.3</v>
      </c>
      <c r="S4591" s="8">
        <v>99</v>
      </c>
      <c r="T4591" s="8">
        <v>99</v>
      </c>
      <c r="U4591" s="8">
        <v>99</v>
      </c>
      <c r="V4591" s="8">
        <v>11</v>
      </c>
      <c r="Y4591" s="8" t="s">
        <v>20738</v>
      </c>
      <c r="Z4591" s="8" t="s">
        <v>20739</v>
      </c>
    </row>
    <row r="4592" spans="1:26" x14ac:dyDescent="0.2">
      <c r="A4592" s="8">
        <v>4591</v>
      </c>
      <c r="B4592" s="8" t="s">
        <v>20740</v>
      </c>
      <c r="C4592" s="8" t="s">
        <v>20740</v>
      </c>
      <c r="F4592" s="47" t="s">
        <v>57474</v>
      </c>
      <c r="G4592" s="8">
        <v>15</v>
      </c>
      <c r="H4592" s="8" t="s">
        <v>21</v>
      </c>
      <c r="I4592" s="8" t="s">
        <v>22</v>
      </c>
      <c r="J4592" s="8" t="s">
        <v>57</v>
      </c>
      <c r="K4592" s="8" t="s">
        <v>31</v>
      </c>
      <c r="L4592" s="8" t="s">
        <v>17287</v>
      </c>
      <c r="M4592" s="8" t="s">
        <v>17288</v>
      </c>
      <c r="N4592" s="8" t="s">
        <v>20680</v>
      </c>
      <c r="O4592" s="8">
        <f>12+39/60+12.4/3600</f>
        <v>12.653444444444444</v>
      </c>
      <c r="P4592" s="8" t="s">
        <v>20681</v>
      </c>
      <c r="Q4592" s="8">
        <f>+(6+0/60+44/3600)</f>
        <v>6.0122222222222224</v>
      </c>
      <c r="R4592" s="8">
        <v>13.2</v>
      </c>
      <c r="S4592" s="8">
        <v>14</v>
      </c>
      <c r="T4592" s="8">
        <v>0.8</v>
      </c>
      <c r="U4592" s="8">
        <v>13.3</v>
      </c>
      <c r="V4592" s="8">
        <v>1.6</v>
      </c>
      <c r="W4592" s="8">
        <v>0.8</v>
      </c>
      <c r="X4592" s="8">
        <v>37</v>
      </c>
      <c r="Y4592" s="8" t="s">
        <v>20741</v>
      </c>
      <c r="Z4592" s="8" t="s">
        <v>20742</v>
      </c>
    </row>
    <row r="4593" spans="1:26" x14ac:dyDescent="0.2">
      <c r="A4593" s="8">
        <v>4592</v>
      </c>
      <c r="B4593" s="8" t="s">
        <v>20743</v>
      </c>
      <c r="C4593" s="8" t="s">
        <v>20743</v>
      </c>
      <c r="F4593" s="47" t="s">
        <v>57475</v>
      </c>
      <c r="G4593" s="8">
        <v>13</v>
      </c>
      <c r="H4593" s="8" t="s">
        <v>21</v>
      </c>
      <c r="I4593" s="8" t="s">
        <v>22</v>
      </c>
      <c r="J4593" s="8" t="s">
        <v>22</v>
      </c>
      <c r="K4593" s="8" t="s">
        <v>3523</v>
      </c>
      <c r="L4593" s="8" t="s">
        <v>17287</v>
      </c>
      <c r="M4593" s="8" t="s">
        <v>17288</v>
      </c>
      <c r="N4593" s="8" t="s">
        <v>20744</v>
      </c>
      <c r="O4593" s="8">
        <f>12+39/60+18.6/3600</f>
        <v>12.655166666666666</v>
      </c>
      <c r="P4593" s="8" t="s">
        <v>20745</v>
      </c>
      <c r="Q4593" s="8">
        <f>-(0+31/60+53/3600)</f>
        <v>-0.53138888888888891</v>
      </c>
      <c r="R4593" s="8">
        <v>11.6</v>
      </c>
      <c r="S4593" s="8">
        <v>12.2</v>
      </c>
      <c r="T4593" s="8">
        <v>0.6</v>
      </c>
      <c r="U4593" s="8">
        <v>13.8</v>
      </c>
      <c r="V4593" s="8">
        <v>5.8</v>
      </c>
      <c r="W4593" s="8">
        <v>1.5</v>
      </c>
      <c r="X4593" s="8">
        <v>97</v>
      </c>
      <c r="Y4593" s="8" t="s">
        <v>20746</v>
      </c>
      <c r="Z4593" s="8" t="s">
        <v>20747</v>
      </c>
    </row>
    <row r="4594" spans="1:26" x14ac:dyDescent="0.2">
      <c r="A4594" s="8">
        <v>4593</v>
      </c>
      <c r="B4594" s="8" t="s">
        <v>20748</v>
      </c>
      <c r="C4594" s="8" t="s">
        <v>20748</v>
      </c>
      <c r="F4594" s="47" t="s">
        <v>57476</v>
      </c>
      <c r="G4594" s="8">
        <v>13</v>
      </c>
      <c r="H4594" s="8" t="s">
        <v>21</v>
      </c>
      <c r="I4594" s="8" t="s">
        <v>22</v>
      </c>
      <c r="J4594" s="8" t="s">
        <v>22</v>
      </c>
      <c r="K4594" s="8" t="s">
        <v>218</v>
      </c>
      <c r="L4594" s="8" t="s">
        <v>17287</v>
      </c>
      <c r="M4594" s="8" t="s">
        <v>17288</v>
      </c>
      <c r="N4594" s="8" t="s">
        <v>20749</v>
      </c>
      <c r="O4594" s="8">
        <f>12+39/60+39.3/3600</f>
        <v>12.660916666666667</v>
      </c>
      <c r="P4594" s="8" t="s">
        <v>20750</v>
      </c>
      <c r="Q4594" s="8">
        <f>-(5+20/60+38/3600)</f>
        <v>-5.3438888888888885</v>
      </c>
      <c r="R4594" s="8">
        <v>10.9</v>
      </c>
      <c r="S4594" s="8">
        <v>11.7</v>
      </c>
      <c r="T4594" s="8">
        <v>0.8</v>
      </c>
      <c r="U4594" s="8">
        <v>13.4</v>
      </c>
      <c r="V4594" s="8">
        <v>3.9</v>
      </c>
      <c r="W4594" s="8">
        <v>2.9</v>
      </c>
      <c r="X4594" s="8">
        <v>114</v>
      </c>
      <c r="Y4594" s="8" t="s">
        <v>21</v>
      </c>
      <c r="Z4594" s="8" t="s">
        <v>20751</v>
      </c>
    </row>
    <row r="4595" spans="1:26" x14ac:dyDescent="0.2">
      <c r="A4595" s="8">
        <v>4594</v>
      </c>
      <c r="B4595" s="8" t="s">
        <v>20752</v>
      </c>
      <c r="C4595" s="8" t="s">
        <v>55913</v>
      </c>
      <c r="F4595" s="47" t="s">
        <v>57477</v>
      </c>
      <c r="G4595" s="8">
        <v>1</v>
      </c>
      <c r="H4595" s="8" t="s">
        <v>20753</v>
      </c>
      <c r="I4595" s="8" t="s">
        <v>22</v>
      </c>
      <c r="J4595" s="8" t="s">
        <v>22</v>
      </c>
      <c r="K4595" s="8" t="s">
        <v>91</v>
      </c>
      <c r="L4595" s="8" t="s">
        <v>17287</v>
      </c>
      <c r="M4595" s="8" t="s">
        <v>17288</v>
      </c>
      <c r="N4595" s="8" t="s">
        <v>20754</v>
      </c>
      <c r="O4595" s="8">
        <f>12+39/60+59.3/3600</f>
        <v>12.666472222222222</v>
      </c>
      <c r="P4595" s="8" t="s">
        <v>20755</v>
      </c>
      <c r="Q4595" s="8">
        <f>-(11+37/60+21/3600)</f>
        <v>-11.6225</v>
      </c>
      <c r="R4595" s="8">
        <v>8</v>
      </c>
      <c r="S4595" s="8">
        <v>9</v>
      </c>
      <c r="T4595" s="8">
        <v>1</v>
      </c>
      <c r="U4595" s="8">
        <v>11.6</v>
      </c>
      <c r="V4595" s="8">
        <v>8.6</v>
      </c>
      <c r="W4595" s="8">
        <v>4.2</v>
      </c>
      <c r="X4595" s="8">
        <v>89</v>
      </c>
      <c r="Y4595" s="8" t="s">
        <v>20682</v>
      </c>
      <c r="Z4595" s="8" t="s">
        <v>20756</v>
      </c>
    </row>
    <row r="4596" spans="1:26" x14ac:dyDescent="0.2">
      <c r="A4596" s="8">
        <v>4595</v>
      </c>
      <c r="B4596" s="8" t="s">
        <v>20757</v>
      </c>
      <c r="C4596" s="8" t="s">
        <v>20757</v>
      </c>
      <c r="F4596" s="47" t="s">
        <v>57478</v>
      </c>
      <c r="G4596" s="8">
        <v>13</v>
      </c>
      <c r="H4596" s="8" t="s">
        <v>21</v>
      </c>
      <c r="I4596" s="8" t="s">
        <v>22</v>
      </c>
      <c r="J4596" s="8" t="s">
        <v>22</v>
      </c>
      <c r="K4596" s="8" t="s">
        <v>218</v>
      </c>
      <c r="L4596" s="8" t="s">
        <v>18289</v>
      </c>
      <c r="M4596" s="8" t="s">
        <v>18290</v>
      </c>
      <c r="N4596" s="8" t="s">
        <v>20758</v>
      </c>
      <c r="O4596" s="8">
        <f>12+39/60+51.7/3600</f>
        <v>12.664361111111111</v>
      </c>
      <c r="P4596" s="8" t="s">
        <v>20759</v>
      </c>
      <c r="Q4596" s="8">
        <f>+(15+17/60+52/3600)</f>
        <v>15.297777777777778</v>
      </c>
      <c r="R4596" s="8">
        <v>12.1</v>
      </c>
      <c r="S4596" s="8">
        <v>13</v>
      </c>
      <c r="T4596" s="8">
        <v>0.9</v>
      </c>
      <c r="U4596" s="8">
        <v>12.6</v>
      </c>
      <c r="V4596" s="8">
        <v>1.7</v>
      </c>
      <c r="W4596" s="8">
        <v>1.1000000000000001</v>
      </c>
      <c r="X4596" s="8">
        <v>110</v>
      </c>
      <c r="Y4596" s="8" t="s">
        <v>8933</v>
      </c>
      <c r="Z4596" s="8" t="s">
        <v>8934</v>
      </c>
    </row>
    <row r="4597" spans="1:26" x14ac:dyDescent="0.2">
      <c r="A4597" s="8">
        <v>4596</v>
      </c>
      <c r="B4597" s="8" t="s">
        <v>20760</v>
      </c>
      <c r="C4597" s="8" t="s">
        <v>20760</v>
      </c>
      <c r="F4597" s="47" t="s">
        <v>57479</v>
      </c>
      <c r="G4597" s="8">
        <v>6</v>
      </c>
      <c r="H4597" s="8" t="s">
        <v>21</v>
      </c>
      <c r="I4597" s="8" t="s">
        <v>22</v>
      </c>
      <c r="J4597" s="8" t="s">
        <v>22</v>
      </c>
      <c r="K4597" s="8" t="s">
        <v>435</v>
      </c>
      <c r="L4597" s="8" t="s">
        <v>17287</v>
      </c>
      <c r="M4597" s="8" t="s">
        <v>17288</v>
      </c>
      <c r="N4597" s="8" t="s">
        <v>20761</v>
      </c>
      <c r="O4597" s="8">
        <f>12+39/60+56/3600</f>
        <v>12.665555555555557</v>
      </c>
      <c r="P4597" s="8" t="s">
        <v>20762</v>
      </c>
      <c r="Q4597" s="8">
        <f>+(10+10/60+35/3600)</f>
        <v>10.176388888888889</v>
      </c>
      <c r="R4597" s="8">
        <v>10.4</v>
      </c>
      <c r="S4597" s="8">
        <v>11.4</v>
      </c>
      <c r="T4597" s="8">
        <v>1</v>
      </c>
      <c r="U4597" s="8">
        <v>12.9</v>
      </c>
      <c r="V4597" s="8">
        <v>4</v>
      </c>
      <c r="W4597" s="8">
        <v>3</v>
      </c>
      <c r="X4597" s="8">
        <v>135</v>
      </c>
      <c r="Y4597" s="8" t="s">
        <v>20763</v>
      </c>
      <c r="Z4597" s="8" t="s">
        <v>20764</v>
      </c>
    </row>
    <row r="4598" spans="1:26" x14ac:dyDescent="0.2">
      <c r="A4598" s="8">
        <v>4597</v>
      </c>
      <c r="B4598" s="8" t="s">
        <v>20765</v>
      </c>
      <c r="C4598" s="8" t="s">
        <v>20765</v>
      </c>
      <c r="F4598" s="47" t="s">
        <v>57480</v>
      </c>
      <c r="G4598" s="8">
        <v>13</v>
      </c>
      <c r="H4598" s="8" t="s">
        <v>21</v>
      </c>
      <c r="I4598" s="8" t="s">
        <v>22</v>
      </c>
      <c r="J4598" s="8" t="s">
        <v>22</v>
      </c>
      <c r="K4598" s="8" t="s">
        <v>64</v>
      </c>
      <c r="L4598" s="8" t="s">
        <v>17287</v>
      </c>
      <c r="M4598" s="8" t="s">
        <v>17288</v>
      </c>
      <c r="N4598" s="8" t="s">
        <v>20766</v>
      </c>
      <c r="O4598" s="8">
        <f>12+40/60+12.3/3600</f>
        <v>12.670083333333332</v>
      </c>
      <c r="P4598" s="8" t="s">
        <v>20767</v>
      </c>
      <c r="Q4598" s="8">
        <f>-(5+48/60+2/3600)</f>
        <v>-5.8005555555555555</v>
      </c>
      <c r="R4598" s="8">
        <v>12</v>
      </c>
      <c r="S4598" s="8">
        <v>12.7</v>
      </c>
      <c r="T4598" s="8">
        <v>0.7</v>
      </c>
      <c r="U4598" s="8">
        <v>14.1</v>
      </c>
      <c r="V4598" s="8">
        <v>4.0999999999999996</v>
      </c>
      <c r="W4598" s="8">
        <v>1.9</v>
      </c>
      <c r="X4598" s="8">
        <v>34</v>
      </c>
      <c r="Y4598" s="8" t="s">
        <v>20768</v>
      </c>
      <c r="Z4598" s="8" t="s">
        <v>20769</v>
      </c>
    </row>
    <row r="4599" spans="1:26" x14ac:dyDescent="0.2">
      <c r="A4599" s="8">
        <v>4598</v>
      </c>
      <c r="B4599" s="8" t="s">
        <v>20770</v>
      </c>
      <c r="C4599" s="8" t="s">
        <v>20770</v>
      </c>
      <c r="F4599" s="47" t="s">
        <v>57481</v>
      </c>
      <c r="G4599" s="8">
        <v>15</v>
      </c>
      <c r="H4599" s="8" t="s">
        <v>21</v>
      </c>
      <c r="I4599" s="8" t="s">
        <v>22</v>
      </c>
      <c r="J4599" s="8" t="s">
        <v>22</v>
      </c>
      <c r="K4599" s="8" t="s">
        <v>224</v>
      </c>
      <c r="L4599" s="8" t="s">
        <v>17287</v>
      </c>
      <c r="M4599" s="8" t="s">
        <v>17288</v>
      </c>
      <c r="N4599" s="8" t="s">
        <v>20771</v>
      </c>
      <c r="O4599" s="8">
        <f>12+40/60+11.9/3600</f>
        <v>12.669972222222222</v>
      </c>
      <c r="P4599" s="8" t="s">
        <v>20772</v>
      </c>
      <c r="Q4599" s="8">
        <f>+(8+23/60+0/3600)</f>
        <v>8.3833333333333329</v>
      </c>
      <c r="R4599" s="8">
        <v>12.7</v>
      </c>
      <c r="S4599" s="8">
        <v>13.7</v>
      </c>
      <c r="T4599" s="8">
        <v>1</v>
      </c>
      <c r="U4599" s="8">
        <v>13.1</v>
      </c>
      <c r="V4599" s="8">
        <v>1.4</v>
      </c>
      <c r="W4599" s="8">
        <v>1.1000000000000001</v>
      </c>
      <c r="X4599" s="8">
        <v>114</v>
      </c>
      <c r="Y4599" s="8" t="s">
        <v>20773</v>
      </c>
      <c r="Z4599" s="8" t="s">
        <v>20774</v>
      </c>
    </row>
    <row r="4600" spans="1:26" x14ac:dyDescent="0.2">
      <c r="A4600" s="8">
        <v>4599</v>
      </c>
      <c r="B4600" s="8" t="s">
        <v>20775</v>
      </c>
      <c r="C4600" s="8" t="s">
        <v>20775</v>
      </c>
      <c r="F4600" s="47" t="s">
        <v>57482</v>
      </c>
      <c r="G4600" s="8">
        <v>15</v>
      </c>
      <c r="H4600" s="8" t="s">
        <v>21</v>
      </c>
      <c r="I4600" s="8" t="s">
        <v>22</v>
      </c>
      <c r="J4600" s="8" t="s">
        <v>22</v>
      </c>
      <c r="K4600" s="8" t="s">
        <v>632</v>
      </c>
      <c r="L4600" s="8" t="s">
        <v>17287</v>
      </c>
      <c r="M4600" s="8" t="s">
        <v>17288</v>
      </c>
      <c r="N4600" s="8" t="s">
        <v>20776</v>
      </c>
      <c r="O4600" s="8">
        <f>12+40/60+26.9/3600</f>
        <v>12.674138888888889</v>
      </c>
      <c r="P4600" s="8" t="s">
        <v>20777</v>
      </c>
      <c r="Q4600" s="8">
        <f>+(1+11/60+48/3600)</f>
        <v>1.1966666666666668</v>
      </c>
      <c r="R4600" s="8">
        <v>12.6</v>
      </c>
      <c r="S4600" s="8">
        <v>13.5</v>
      </c>
      <c r="T4600" s="8">
        <v>0.9</v>
      </c>
      <c r="U4600" s="8">
        <v>12.8</v>
      </c>
      <c r="V4600" s="8">
        <v>1.7</v>
      </c>
      <c r="W4600" s="8">
        <v>0.8</v>
      </c>
      <c r="X4600" s="8">
        <v>144</v>
      </c>
      <c r="Y4600" s="8" t="s">
        <v>282</v>
      </c>
      <c r="Z4600" s="8" t="s">
        <v>283</v>
      </c>
    </row>
    <row r="4601" spans="1:26" x14ac:dyDescent="0.2">
      <c r="A4601" s="8">
        <v>4600</v>
      </c>
      <c r="B4601" s="8" t="s">
        <v>20778</v>
      </c>
      <c r="C4601" s="8" t="s">
        <v>20778</v>
      </c>
      <c r="F4601" s="47" t="s">
        <v>57483</v>
      </c>
      <c r="G4601" s="8">
        <v>15</v>
      </c>
      <c r="H4601" s="8" t="s">
        <v>21</v>
      </c>
      <c r="I4601" s="8" t="s">
        <v>22</v>
      </c>
      <c r="J4601" s="8" t="s">
        <v>22</v>
      </c>
      <c r="K4601" s="8" t="s">
        <v>37</v>
      </c>
      <c r="L4601" s="8" t="s">
        <v>17287</v>
      </c>
      <c r="M4601" s="8" t="s">
        <v>17288</v>
      </c>
      <c r="N4601" s="8" t="s">
        <v>20779</v>
      </c>
      <c r="O4601" s="8">
        <f>12+40/60+22.9/3600</f>
        <v>12.673027777777778</v>
      </c>
      <c r="P4601" s="8" t="s">
        <v>20780</v>
      </c>
      <c r="Q4601" s="8">
        <f>+(3+7/60+4/3600)</f>
        <v>3.117777777777778</v>
      </c>
      <c r="R4601" s="8">
        <v>12.7</v>
      </c>
      <c r="S4601" s="8">
        <v>13.7</v>
      </c>
      <c r="T4601" s="8">
        <v>1</v>
      </c>
      <c r="U4601" s="8">
        <v>12.6</v>
      </c>
      <c r="V4601" s="8">
        <v>1.2</v>
      </c>
      <c r="W4601" s="8">
        <v>0.8</v>
      </c>
      <c r="X4601" s="8">
        <v>60</v>
      </c>
      <c r="Y4601" s="8" t="s">
        <v>20781</v>
      </c>
      <c r="Z4601" s="8" t="s">
        <v>20782</v>
      </c>
    </row>
    <row r="4602" spans="1:26" x14ac:dyDescent="0.2">
      <c r="A4602" s="8">
        <v>4601</v>
      </c>
      <c r="B4602" s="8" t="s">
        <v>20783</v>
      </c>
      <c r="C4602" s="8" t="s">
        <v>20783</v>
      </c>
      <c r="F4602" s="47"/>
      <c r="G4602" s="8">
        <v>16</v>
      </c>
      <c r="H4602" s="8" t="s">
        <v>21</v>
      </c>
      <c r="I4602" s="8" t="s">
        <v>22</v>
      </c>
      <c r="J4602" s="8" t="s">
        <v>22</v>
      </c>
      <c r="K4602" s="8" t="s">
        <v>435</v>
      </c>
      <c r="L4602" s="8" t="s">
        <v>16195</v>
      </c>
      <c r="M4602" s="8" t="s">
        <v>16196</v>
      </c>
      <c r="N4602" s="8" t="s">
        <v>20784</v>
      </c>
      <c r="O4602" s="8">
        <f>12+40/60+46.6/3600</f>
        <v>12.679611111111111</v>
      </c>
      <c r="P4602" s="8" t="s">
        <v>20785</v>
      </c>
      <c r="Q4602" s="8">
        <f>-(40+53/60+37/3600)</f>
        <v>-40.893611111111113</v>
      </c>
      <c r="R4602" s="8">
        <v>13.4</v>
      </c>
      <c r="S4602" s="8">
        <v>14.3</v>
      </c>
      <c r="T4602" s="8">
        <v>0.9</v>
      </c>
      <c r="U4602" s="8">
        <v>13.2</v>
      </c>
      <c r="V4602" s="8">
        <v>1.7</v>
      </c>
      <c r="W4602" s="8">
        <v>0.5</v>
      </c>
      <c r="X4602" s="8">
        <v>16</v>
      </c>
      <c r="Y4602" s="8" t="s">
        <v>20786</v>
      </c>
      <c r="Z4602" s="8" t="s">
        <v>20787</v>
      </c>
    </row>
    <row r="4603" spans="1:26" x14ac:dyDescent="0.2">
      <c r="A4603" s="8">
        <v>4602</v>
      </c>
      <c r="B4603" s="8" t="s">
        <v>20788</v>
      </c>
      <c r="C4603" s="8" t="s">
        <v>20788</v>
      </c>
      <c r="F4603" s="47" t="s">
        <v>57484</v>
      </c>
      <c r="G4603" s="8">
        <v>13</v>
      </c>
      <c r="H4603" s="8" t="s">
        <v>21</v>
      </c>
      <c r="I4603" s="8" t="s">
        <v>22</v>
      </c>
      <c r="J4603" s="8" t="s">
        <v>22</v>
      </c>
      <c r="K4603" s="8" t="s">
        <v>85</v>
      </c>
      <c r="L4603" s="8" t="s">
        <v>17287</v>
      </c>
      <c r="M4603" s="8" t="s">
        <v>17288</v>
      </c>
      <c r="N4603" s="8" t="s">
        <v>20789</v>
      </c>
      <c r="O4603" s="8">
        <f>12+40/60+36.8/3600</f>
        <v>12.676888888888888</v>
      </c>
      <c r="P4603" s="8" t="s">
        <v>20790</v>
      </c>
      <c r="Q4603" s="8">
        <f>-(5+7/60+57/3600)</f>
        <v>-5.1324999999999994</v>
      </c>
      <c r="R4603" s="8">
        <v>11.5</v>
      </c>
      <c r="S4603" s="8">
        <v>12.3</v>
      </c>
      <c r="T4603" s="8">
        <v>0.8</v>
      </c>
      <c r="U4603" s="8">
        <v>12.9</v>
      </c>
      <c r="V4603" s="8">
        <v>3.4</v>
      </c>
      <c r="W4603" s="8">
        <v>1.2</v>
      </c>
      <c r="X4603" s="8">
        <v>99</v>
      </c>
      <c r="Y4603" s="8" t="s">
        <v>20791</v>
      </c>
      <c r="Z4603" s="8" t="s">
        <v>20792</v>
      </c>
    </row>
    <row r="4604" spans="1:26" x14ac:dyDescent="0.2">
      <c r="A4604" s="8">
        <v>4603</v>
      </c>
      <c r="B4604" s="8" t="s">
        <v>20793</v>
      </c>
      <c r="C4604" s="8" t="s">
        <v>20793</v>
      </c>
      <c r="F4604" s="47"/>
      <c r="G4604" s="8">
        <v>13</v>
      </c>
      <c r="H4604" s="8" t="s">
        <v>21</v>
      </c>
      <c r="I4604" s="8" t="s">
        <v>22</v>
      </c>
      <c r="J4604" s="8" t="s">
        <v>22</v>
      </c>
      <c r="K4604" s="8" t="s">
        <v>64</v>
      </c>
      <c r="L4604" s="8" t="s">
        <v>16195</v>
      </c>
      <c r="M4604" s="8" t="s">
        <v>16196</v>
      </c>
      <c r="N4604" s="8" t="s">
        <v>20794</v>
      </c>
      <c r="O4604" s="8">
        <f>12+40/60+55/3600</f>
        <v>12.681944444444444</v>
      </c>
      <c r="P4604" s="8" t="s">
        <v>20795</v>
      </c>
      <c r="Q4604" s="8">
        <f>-(40+58/60+34/3600)</f>
        <v>-40.976111111111116</v>
      </c>
      <c r="R4604" s="8">
        <v>11.4</v>
      </c>
      <c r="S4604" s="8">
        <v>12.3</v>
      </c>
      <c r="T4604" s="8">
        <v>0.9</v>
      </c>
      <c r="U4604" s="8">
        <v>13.5</v>
      </c>
      <c r="V4604" s="8">
        <v>3.4</v>
      </c>
      <c r="W4604" s="8">
        <v>2.5</v>
      </c>
      <c r="X4604" s="8">
        <v>27</v>
      </c>
      <c r="Y4604" s="8" t="s">
        <v>20796</v>
      </c>
      <c r="Z4604" s="8" t="s">
        <v>20797</v>
      </c>
    </row>
    <row r="4605" spans="1:26" x14ac:dyDescent="0.2">
      <c r="A4605" s="8">
        <v>4604</v>
      </c>
      <c r="B4605" s="8" t="s">
        <v>20798</v>
      </c>
      <c r="C4605" s="8" t="s">
        <v>20798</v>
      </c>
      <c r="F4605" s="47"/>
      <c r="G4605" s="8">
        <v>19</v>
      </c>
      <c r="H4605" s="8" t="s">
        <v>21</v>
      </c>
      <c r="I4605" s="8" t="s">
        <v>22</v>
      </c>
      <c r="J4605" s="8" t="s">
        <v>22</v>
      </c>
      <c r="K4605" s="8" t="s">
        <v>3616</v>
      </c>
      <c r="L4605" s="8" t="s">
        <v>17287</v>
      </c>
      <c r="M4605" s="8" t="s">
        <v>17288</v>
      </c>
      <c r="N4605" s="8" t="s">
        <v>20799</v>
      </c>
      <c r="O4605" s="8">
        <f>12+40/60+44.9/3600</f>
        <v>12.679138888888888</v>
      </c>
      <c r="P4605" s="8" t="s">
        <v>20800</v>
      </c>
      <c r="Q4605" s="8">
        <f>-(5+18/60+10/3600)</f>
        <v>-5.302777777777778</v>
      </c>
      <c r="R4605" s="8">
        <v>13.8</v>
      </c>
      <c r="S4605" s="8">
        <v>14.4</v>
      </c>
      <c r="T4605" s="8">
        <v>0.6</v>
      </c>
      <c r="U4605" s="8">
        <v>12.7</v>
      </c>
      <c r="V4605" s="8">
        <v>1</v>
      </c>
      <c r="W4605" s="8">
        <v>0.4</v>
      </c>
      <c r="X4605" s="8">
        <v>114</v>
      </c>
      <c r="Y4605" s="8" t="s">
        <v>1694</v>
      </c>
      <c r="Z4605" s="8" t="s">
        <v>1695</v>
      </c>
    </row>
    <row r="4606" spans="1:26" x14ac:dyDescent="0.2">
      <c r="A4606" s="8">
        <v>4605</v>
      </c>
      <c r="B4606" s="8" t="s">
        <v>20801</v>
      </c>
      <c r="C4606" s="8" t="s">
        <v>20801</v>
      </c>
      <c r="F4606" s="47" t="s">
        <v>57485</v>
      </c>
      <c r="G4606" s="8">
        <v>6.5</v>
      </c>
      <c r="H4606" s="8" t="s">
        <v>20802</v>
      </c>
      <c r="I4606" s="8" t="s">
        <v>22</v>
      </c>
      <c r="J4606" s="8" t="s">
        <v>22</v>
      </c>
      <c r="K4606" s="8" t="s">
        <v>520</v>
      </c>
      <c r="L4606" s="8" t="s">
        <v>12015</v>
      </c>
      <c r="M4606" s="8" t="s">
        <v>12016</v>
      </c>
      <c r="N4606" s="8" t="s">
        <v>20754</v>
      </c>
      <c r="O4606" s="8">
        <f>12+39/60+59.3/3600</f>
        <v>12.666472222222222</v>
      </c>
      <c r="P4606" s="8" t="s">
        <v>20803</v>
      </c>
      <c r="Q4606" s="8">
        <f>+(61+36/60+30/3600)</f>
        <v>61.608333333333334</v>
      </c>
      <c r="R4606" s="8">
        <v>10.3</v>
      </c>
      <c r="S4606" s="8">
        <v>10.9</v>
      </c>
      <c r="T4606" s="8">
        <v>0.6</v>
      </c>
      <c r="U4606" s="8">
        <v>12.9</v>
      </c>
      <c r="V4606" s="8">
        <v>5.9</v>
      </c>
      <c r="W4606" s="8">
        <v>2.4</v>
      </c>
      <c r="X4606" s="8">
        <v>125</v>
      </c>
      <c r="Y4606" s="8" t="s">
        <v>21</v>
      </c>
      <c r="Z4606" s="8" t="s">
        <v>20804</v>
      </c>
    </row>
    <row r="4607" spans="1:26" x14ac:dyDescent="0.2">
      <c r="A4607" s="8">
        <v>4606</v>
      </c>
      <c r="B4607" s="8" t="s">
        <v>20805</v>
      </c>
      <c r="C4607" s="8" t="s">
        <v>20805</v>
      </c>
      <c r="F4607" s="47" t="s">
        <v>57486</v>
      </c>
      <c r="G4607" s="8">
        <v>12</v>
      </c>
      <c r="H4607" s="8" t="s">
        <v>21</v>
      </c>
      <c r="I4607" s="8" t="s">
        <v>22</v>
      </c>
      <c r="J4607" s="8" t="s">
        <v>22</v>
      </c>
      <c r="K4607" s="8" t="s">
        <v>154</v>
      </c>
      <c r="L4607" s="8" t="s">
        <v>17287</v>
      </c>
      <c r="M4607" s="8" t="s">
        <v>17288</v>
      </c>
      <c r="N4607" s="8" t="s">
        <v>20806</v>
      </c>
      <c r="O4607" s="8">
        <f>12+40/60+57.5/3600</f>
        <v>12.682638888888889</v>
      </c>
      <c r="P4607" s="8" t="s">
        <v>20807</v>
      </c>
      <c r="Q4607" s="8">
        <f>+(11+54/60+43/3600)</f>
        <v>11.911944444444444</v>
      </c>
      <c r="R4607" s="8">
        <v>11.8</v>
      </c>
      <c r="S4607" s="8">
        <v>12.7</v>
      </c>
      <c r="T4607" s="8">
        <v>0.9</v>
      </c>
      <c r="U4607" s="8">
        <v>13.5</v>
      </c>
      <c r="V4607" s="8">
        <v>3.3</v>
      </c>
      <c r="W4607" s="8">
        <v>1.7</v>
      </c>
      <c r="X4607" s="8">
        <v>33</v>
      </c>
      <c r="Y4607" s="8" t="s">
        <v>21</v>
      </c>
      <c r="Z4607" s="8" t="s">
        <v>20808</v>
      </c>
    </row>
    <row r="4608" spans="1:26" x14ac:dyDescent="0.2">
      <c r="A4608" s="8">
        <v>4607</v>
      </c>
      <c r="B4608" s="8" t="s">
        <v>20809</v>
      </c>
      <c r="C4608" s="8" t="s">
        <v>20809</v>
      </c>
      <c r="F4608" s="47"/>
      <c r="G4608" s="8">
        <v>19</v>
      </c>
      <c r="H4608" s="8" t="s">
        <v>21</v>
      </c>
      <c r="I4608" s="8" t="s">
        <v>22</v>
      </c>
      <c r="J4608" s="8" t="s">
        <v>22</v>
      </c>
      <c r="K4608" s="8" t="s">
        <v>218</v>
      </c>
      <c r="L4608" s="8" t="s">
        <v>17287</v>
      </c>
      <c r="M4608" s="8" t="s">
        <v>17288</v>
      </c>
      <c r="N4608" s="8" t="s">
        <v>20810</v>
      </c>
      <c r="O4608" s="8">
        <f>12+41/60+12.2/3600</f>
        <v>12.686722222222222</v>
      </c>
      <c r="P4608" s="8" t="s">
        <v>20811</v>
      </c>
      <c r="Q4608" s="8">
        <f>+(11+53/60+8/3600)</f>
        <v>11.885555555555555</v>
      </c>
      <c r="R4608" s="8">
        <v>12.8</v>
      </c>
      <c r="S4608" s="8">
        <v>13.8</v>
      </c>
      <c r="T4608" s="8">
        <v>1</v>
      </c>
      <c r="U4608" s="8">
        <v>13.4</v>
      </c>
      <c r="V4608" s="8">
        <v>2.9</v>
      </c>
      <c r="W4608" s="8">
        <v>0.7</v>
      </c>
      <c r="X4608" s="8">
        <v>2</v>
      </c>
      <c r="Y4608" s="8" t="s">
        <v>21</v>
      </c>
      <c r="Z4608" s="8" t="s">
        <v>20812</v>
      </c>
    </row>
    <row r="4609" spans="1:26" x14ac:dyDescent="0.2">
      <c r="A4609" s="8">
        <v>4608</v>
      </c>
      <c r="B4609" s="8" t="s">
        <v>20813</v>
      </c>
      <c r="C4609" s="8" t="s">
        <v>20813</v>
      </c>
      <c r="F4609" s="47" t="s">
        <v>57487</v>
      </c>
      <c r="G4609" s="8">
        <v>6.5</v>
      </c>
      <c r="H4609" s="8" t="s">
        <v>21</v>
      </c>
      <c r="I4609" s="8" t="s">
        <v>22</v>
      </c>
      <c r="J4609" s="8" t="s">
        <v>22</v>
      </c>
      <c r="K4609" s="8" t="s">
        <v>224</v>
      </c>
      <c r="L4609" s="8" t="s">
        <v>17287</v>
      </c>
      <c r="M4609" s="8" t="s">
        <v>17288</v>
      </c>
      <c r="N4609" s="8" t="s">
        <v>20814</v>
      </c>
      <c r="O4609" s="8">
        <f>12+41/60+13.2/3600</f>
        <v>12.686999999999999</v>
      </c>
      <c r="P4609" s="8" t="s">
        <v>20815</v>
      </c>
      <c r="Q4609" s="8">
        <f>+(10+9/60+20/3600)</f>
        <v>10.155555555555557</v>
      </c>
      <c r="R4609" s="8">
        <v>11</v>
      </c>
      <c r="S4609" s="8">
        <v>12</v>
      </c>
      <c r="T4609" s="8">
        <v>1</v>
      </c>
      <c r="U4609" s="8">
        <v>13.2</v>
      </c>
      <c r="V4609" s="8">
        <v>3.3</v>
      </c>
      <c r="W4609" s="8">
        <v>2.9</v>
      </c>
      <c r="X4609" s="8">
        <v>120</v>
      </c>
      <c r="Y4609" s="8" t="s">
        <v>21</v>
      </c>
      <c r="Z4609" s="8" t="s">
        <v>20816</v>
      </c>
    </row>
    <row r="4610" spans="1:26" x14ac:dyDescent="0.2">
      <c r="A4610" s="8">
        <v>4609</v>
      </c>
      <c r="B4610" s="8" t="s">
        <v>20817</v>
      </c>
      <c r="C4610" s="8" t="s">
        <v>20817</v>
      </c>
      <c r="F4610" s="47"/>
      <c r="G4610" s="8">
        <v>2</v>
      </c>
      <c r="H4610" s="8" t="s">
        <v>20818</v>
      </c>
      <c r="I4610" s="8" t="s">
        <v>557</v>
      </c>
      <c r="J4610" s="8" t="s">
        <v>557</v>
      </c>
      <c r="K4610" s="8" t="s">
        <v>3602</v>
      </c>
      <c r="L4610" s="8" t="s">
        <v>18453</v>
      </c>
      <c r="M4610" s="8" t="s">
        <v>18454</v>
      </c>
      <c r="N4610" s="8" t="s">
        <v>20819</v>
      </c>
      <c r="O4610" s="8">
        <f>12+42/60+19.8/3600</f>
        <v>12.705499999999999</v>
      </c>
      <c r="P4610" s="8" t="s">
        <v>20820</v>
      </c>
      <c r="Q4610" s="8">
        <f>-(62+59/60+38/3600)</f>
        <v>-62.99388888888889</v>
      </c>
      <c r="R4610" s="8">
        <v>6.9</v>
      </c>
      <c r="S4610" s="8">
        <v>99</v>
      </c>
      <c r="T4610" s="8">
        <v>99</v>
      </c>
      <c r="U4610" s="8">
        <v>99</v>
      </c>
      <c r="V4610" s="8">
        <v>6</v>
      </c>
      <c r="Y4610" s="8" t="s">
        <v>20821</v>
      </c>
      <c r="Z4610" s="8" t="s">
        <v>20822</v>
      </c>
    </row>
    <row r="4611" spans="1:26" x14ac:dyDescent="0.2">
      <c r="A4611" s="8">
        <v>4610</v>
      </c>
      <c r="B4611" s="8" t="s">
        <v>20823</v>
      </c>
      <c r="C4611" s="8" t="s">
        <v>20823</v>
      </c>
      <c r="F4611" s="50" t="s">
        <v>57398</v>
      </c>
      <c r="G4611" s="8">
        <v>15</v>
      </c>
      <c r="H4611" s="8" t="s">
        <v>21</v>
      </c>
      <c r="I4611" s="8" t="s">
        <v>22</v>
      </c>
      <c r="J4611" s="8" t="s">
        <v>57</v>
      </c>
      <c r="K4611" s="8" t="s">
        <v>91</v>
      </c>
      <c r="L4611" s="8" t="s">
        <v>17287</v>
      </c>
      <c r="M4611" s="8" t="s">
        <v>17288</v>
      </c>
      <c r="N4611" s="8" t="s">
        <v>20223</v>
      </c>
      <c r="O4611" s="8">
        <f>12+29/60+37.9/3600</f>
        <v>12.49386111111111</v>
      </c>
      <c r="P4611" s="8" t="s">
        <v>20224</v>
      </c>
      <c r="Q4611" s="8">
        <f>+(7+49/60+26/3600)</f>
        <v>7.8238888888888889</v>
      </c>
      <c r="R4611" s="8">
        <v>12.1</v>
      </c>
      <c r="S4611" s="8">
        <v>13.1</v>
      </c>
      <c r="T4611" s="8">
        <v>1</v>
      </c>
      <c r="U4611" s="8">
        <v>12.1</v>
      </c>
      <c r="V4611" s="8">
        <v>1.3</v>
      </c>
      <c r="W4611" s="8">
        <v>0.9</v>
      </c>
      <c r="X4611" s="8">
        <v>0</v>
      </c>
      <c r="Y4611" s="8" t="s">
        <v>21</v>
      </c>
      <c r="Z4611" s="8" t="s">
        <v>20824</v>
      </c>
    </row>
    <row r="4612" spans="1:26" x14ac:dyDescent="0.2">
      <c r="A4612" s="8">
        <v>4611</v>
      </c>
      <c r="B4612" s="8" t="s">
        <v>20825</v>
      </c>
      <c r="C4612" s="8" t="s">
        <v>20825</v>
      </c>
      <c r="F4612" s="47"/>
      <c r="G4612" s="8">
        <v>19</v>
      </c>
      <c r="H4612" s="8" t="s">
        <v>21</v>
      </c>
      <c r="I4612" s="8" t="s">
        <v>22</v>
      </c>
      <c r="J4612" s="8" t="s">
        <v>22</v>
      </c>
      <c r="K4612" s="8" t="s">
        <v>396</v>
      </c>
      <c r="L4612" s="8" t="s">
        <v>18289</v>
      </c>
      <c r="M4612" s="8" t="s">
        <v>18290</v>
      </c>
      <c r="N4612" s="8" t="s">
        <v>20826</v>
      </c>
      <c r="O4612" s="8">
        <f>12+41/60+25.4/3600</f>
        <v>12.690388888888888</v>
      </c>
      <c r="P4612" s="8" t="s">
        <v>20827</v>
      </c>
      <c r="Q4612" s="8">
        <f>+(13+43/60+47/3600)</f>
        <v>13.729722222222222</v>
      </c>
      <c r="R4612" s="8">
        <v>14.3</v>
      </c>
      <c r="S4612" s="8">
        <v>15.1</v>
      </c>
      <c r="T4612" s="8">
        <v>0.8</v>
      </c>
      <c r="U4612" s="8">
        <v>12.6</v>
      </c>
      <c r="V4612" s="8">
        <v>1.2</v>
      </c>
      <c r="W4612" s="8">
        <v>0.2</v>
      </c>
      <c r="X4612" s="8">
        <v>126</v>
      </c>
      <c r="Y4612" s="8" t="s">
        <v>20828</v>
      </c>
      <c r="Z4612" s="8" t="s">
        <v>20829</v>
      </c>
    </row>
    <row r="4613" spans="1:26" x14ac:dyDescent="0.2">
      <c r="A4613" s="8">
        <v>4612</v>
      </c>
      <c r="B4613" s="8" t="s">
        <v>20830</v>
      </c>
      <c r="C4613" s="8" t="s">
        <v>20830</v>
      </c>
      <c r="F4613" s="47" t="s">
        <v>57488</v>
      </c>
      <c r="G4613" s="8">
        <v>6.5</v>
      </c>
      <c r="H4613" s="8" t="s">
        <v>21</v>
      </c>
      <c r="I4613" s="8" t="s">
        <v>22</v>
      </c>
      <c r="J4613" s="8" t="s">
        <v>22</v>
      </c>
      <c r="K4613" s="8" t="s">
        <v>224</v>
      </c>
      <c r="L4613" s="8" t="s">
        <v>17287</v>
      </c>
      <c r="M4613" s="8" t="s">
        <v>17288</v>
      </c>
      <c r="N4613" s="8" t="s">
        <v>20831</v>
      </c>
      <c r="O4613" s="8">
        <f>12+41/60+32.8/3600</f>
        <v>12.692444444444444</v>
      </c>
      <c r="P4613" s="8" t="s">
        <v>20832</v>
      </c>
      <c r="Q4613" s="8">
        <f>+(7+18/60+53/3600)</f>
        <v>7.3147222222222217</v>
      </c>
      <c r="R4613" s="8">
        <v>11.5</v>
      </c>
      <c r="S4613" s="8">
        <v>12.5</v>
      </c>
      <c r="T4613" s="8">
        <v>1</v>
      </c>
      <c r="U4613" s="8">
        <v>13.2</v>
      </c>
      <c r="V4613" s="8">
        <v>2.7</v>
      </c>
      <c r="W4613" s="8">
        <v>2</v>
      </c>
      <c r="X4613" s="8">
        <v>145</v>
      </c>
      <c r="Y4613" s="8" t="s">
        <v>12810</v>
      </c>
      <c r="Z4613" s="8" t="s">
        <v>12811</v>
      </c>
    </row>
    <row r="4614" spans="1:26" x14ac:dyDescent="0.2">
      <c r="A4614" s="8">
        <v>4613</v>
      </c>
      <c r="B4614" s="8" t="s">
        <v>20833</v>
      </c>
      <c r="C4614" s="8" t="s">
        <v>20833</v>
      </c>
      <c r="F4614" s="47"/>
      <c r="G4614" s="8">
        <v>18</v>
      </c>
      <c r="H4614" s="8" t="s">
        <v>21</v>
      </c>
      <c r="I4614" s="8" t="s">
        <v>22</v>
      </c>
      <c r="J4614" s="8" t="s">
        <v>22</v>
      </c>
      <c r="K4614" s="8" t="s">
        <v>91</v>
      </c>
      <c r="L4614" s="8" t="s">
        <v>18289</v>
      </c>
      <c r="M4614" s="8" t="s">
        <v>18290</v>
      </c>
      <c r="N4614" s="8" t="s">
        <v>20834</v>
      </c>
      <c r="O4614" s="8">
        <f>12+41/60+29/3600</f>
        <v>12.691388888888889</v>
      </c>
      <c r="P4614" s="8" t="s">
        <v>20835</v>
      </c>
      <c r="Q4614" s="8">
        <f>+(26+5/60+18/3600)</f>
        <v>26.088333333333331</v>
      </c>
      <c r="R4614" s="8">
        <v>15.2</v>
      </c>
      <c r="S4614" s="8">
        <v>16.100000000000001</v>
      </c>
      <c r="T4614" s="8">
        <v>0.9</v>
      </c>
      <c r="U4614" s="8">
        <v>13.5</v>
      </c>
      <c r="V4614" s="8">
        <v>0.5</v>
      </c>
      <c r="W4614" s="8">
        <v>0.5</v>
      </c>
      <c r="Y4614" s="8" t="s">
        <v>20836</v>
      </c>
      <c r="Z4614" s="8" t="s">
        <v>20837</v>
      </c>
    </row>
    <row r="4615" spans="1:26" x14ac:dyDescent="0.2">
      <c r="A4615" s="8">
        <v>4614</v>
      </c>
      <c r="B4615" s="8" t="s">
        <v>20838</v>
      </c>
      <c r="C4615" s="8" t="s">
        <v>20838</v>
      </c>
      <c r="F4615" s="47"/>
      <c r="G4615" s="8">
        <v>18</v>
      </c>
      <c r="H4615" s="8" t="s">
        <v>21</v>
      </c>
      <c r="I4615" s="8" t="s">
        <v>22</v>
      </c>
      <c r="J4615" s="8" t="s">
        <v>22</v>
      </c>
      <c r="K4615" s="8" t="s">
        <v>435</v>
      </c>
      <c r="L4615" s="8" t="s">
        <v>18289</v>
      </c>
      <c r="M4615" s="8" t="s">
        <v>18290</v>
      </c>
      <c r="N4615" s="8" t="s">
        <v>20839</v>
      </c>
      <c r="O4615" s="8">
        <f>12+41/60+31.6/3600</f>
        <v>12.692111111111112</v>
      </c>
      <c r="P4615" s="8" t="s">
        <v>20840</v>
      </c>
      <c r="Q4615" s="8">
        <f>+(26+2/60+35/3600)</f>
        <v>26.043055555555558</v>
      </c>
      <c r="R4615" s="8">
        <v>13.3</v>
      </c>
      <c r="S4615" s="8">
        <v>14.2</v>
      </c>
      <c r="T4615" s="8">
        <v>0.9</v>
      </c>
      <c r="U4615" s="8">
        <v>13.1</v>
      </c>
      <c r="V4615" s="8">
        <v>0.9</v>
      </c>
      <c r="W4615" s="8">
        <v>0.8</v>
      </c>
      <c r="X4615" s="8">
        <v>175</v>
      </c>
      <c r="Y4615" s="8" t="s">
        <v>20841</v>
      </c>
      <c r="Z4615" s="8" t="s">
        <v>20842</v>
      </c>
    </row>
    <row r="4616" spans="1:26" x14ac:dyDescent="0.2">
      <c r="A4616" s="8">
        <v>4615</v>
      </c>
      <c r="B4616" s="8" t="s">
        <v>20843</v>
      </c>
      <c r="C4616" s="8" t="s">
        <v>20843</v>
      </c>
      <c r="F4616" s="47"/>
      <c r="G4616" s="8">
        <v>18</v>
      </c>
      <c r="H4616" s="8" t="s">
        <v>21</v>
      </c>
      <c r="I4616" s="8" t="s">
        <v>22</v>
      </c>
      <c r="J4616" s="8" t="s">
        <v>22</v>
      </c>
      <c r="K4616" s="8" t="s">
        <v>579</v>
      </c>
      <c r="L4616" s="8" t="s">
        <v>18289</v>
      </c>
      <c r="M4616" s="8" t="s">
        <v>18290</v>
      </c>
      <c r="N4616" s="8" t="s">
        <v>20844</v>
      </c>
      <c r="O4616" s="8">
        <f>12+41/60+37.5/3600</f>
        <v>12.69375</v>
      </c>
      <c r="P4616" s="8" t="s">
        <v>20845</v>
      </c>
      <c r="Q4616" s="8">
        <f>+(26+4/60+22/3600)</f>
        <v>26.072777777777777</v>
      </c>
      <c r="R4616" s="8">
        <v>13.1</v>
      </c>
      <c r="S4616" s="8">
        <v>13.8</v>
      </c>
      <c r="T4616" s="8">
        <v>0.7</v>
      </c>
      <c r="U4616" s="8">
        <v>13.1</v>
      </c>
      <c r="V4616" s="8">
        <v>1.6</v>
      </c>
      <c r="W4616" s="8">
        <v>0.7</v>
      </c>
      <c r="X4616" s="8">
        <v>125</v>
      </c>
      <c r="Y4616" s="8" t="s">
        <v>20846</v>
      </c>
      <c r="Z4616" s="8" t="s">
        <v>20847</v>
      </c>
    </row>
    <row r="4617" spans="1:26" x14ac:dyDescent="0.2">
      <c r="A4617" s="8">
        <v>4616</v>
      </c>
      <c r="B4617" s="8" t="s">
        <v>20848</v>
      </c>
      <c r="C4617" s="8" t="s">
        <v>20848</v>
      </c>
      <c r="F4617" s="47"/>
      <c r="G4617" s="8">
        <v>16</v>
      </c>
      <c r="H4617" s="8" t="s">
        <v>21</v>
      </c>
      <c r="I4617" s="8" t="s">
        <v>22</v>
      </c>
      <c r="J4617" s="8" t="s">
        <v>22</v>
      </c>
      <c r="K4617" s="8" t="s">
        <v>460</v>
      </c>
      <c r="L4617" s="8" t="s">
        <v>16195</v>
      </c>
      <c r="M4617" s="8" t="s">
        <v>16196</v>
      </c>
      <c r="N4617" s="8" t="s">
        <v>20849</v>
      </c>
      <c r="O4617" s="8">
        <f>12+42/60+16.5/3600</f>
        <v>12.704583333333332</v>
      </c>
      <c r="P4617" s="8" t="s">
        <v>20850</v>
      </c>
      <c r="Q4617" s="8">
        <f>-(40+38/60+30/3600)</f>
        <v>-40.641666666666666</v>
      </c>
      <c r="R4617" s="8">
        <v>13.3</v>
      </c>
      <c r="S4617" s="8">
        <v>14.4</v>
      </c>
      <c r="T4617" s="8">
        <v>1.1000000000000001</v>
      </c>
      <c r="U4617" s="8">
        <v>13</v>
      </c>
      <c r="V4617" s="8">
        <v>0.9</v>
      </c>
      <c r="W4617" s="8">
        <v>0.9</v>
      </c>
      <c r="Y4617" s="8" t="s">
        <v>21</v>
      </c>
      <c r="Z4617" s="8" t="s">
        <v>20851</v>
      </c>
    </row>
    <row r="4618" spans="1:26" x14ac:dyDescent="0.2">
      <c r="A4618" s="8">
        <v>4617</v>
      </c>
      <c r="B4618" s="8" t="s">
        <v>20852</v>
      </c>
      <c r="C4618" s="8" t="s">
        <v>20852</v>
      </c>
      <c r="F4618" s="47" t="s">
        <v>57489</v>
      </c>
      <c r="G4618" s="8">
        <v>15</v>
      </c>
      <c r="H4618" s="8" t="s">
        <v>21</v>
      </c>
      <c r="I4618" s="8" t="s">
        <v>22</v>
      </c>
      <c r="J4618" s="8" t="s">
        <v>22</v>
      </c>
      <c r="K4618" s="8" t="s">
        <v>23</v>
      </c>
      <c r="L4618" s="8" t="s">
        <v>18681</v>
      </c>
      <c r="M4618" s="8" t="s">
        <v>18682</v>
      </c>
      <c r="N4618" s="8" t="s">
        <v>20853</v>
      </c>
      <c r="O4618" s="8">
        <f>12+41/60+5.7/3600</f>
        <v>12.684916666666666</v>
      </c>
      <c r="P4618" s="8" t="s">
        <v>20854</v>
      </c>
      <c r="Q4618" s="8">
        <f>+(50+23/60+39/3600)</f>
        <v>50.394166666666663</v>
      </c>
      <c r="R4618" s="8">
        <v>13.2</v>
      </c>
      <c r="S4618" s="8">
        <v>14</v>
      </c>
      <c r="T4618" s="8">
        <v>0.8</v>
      </c>
      <c r="U4618" s="8">
        <v>13.5</v>
      </c>
      <c r="V4618" s="8">
        <v>2.9</v>
      </c>
      <c r="W4618" s="8">
        <v>0.5</v>
      </c>
      <c r="X4618" s="8">
        <v>179</v>
      </c>
      <c r="Y4618" s="8" t="s">
        <v>20855</v>
      </c>
      <c r="Z4618" s="8" t="s">
        <v>20856</v>
      </c>
    </row>
    <row r="4619" spans="1:26" x14ac:dyDescent="0.2">
      <c r="A4619" s="8">
        <v>4618</v>
      </c>
      <c r="B4619" s="8" t="s">
        <v>20857</v>
      </c>
      <c r="C4619" s="8" t="s">
        <v>20857</v>
      </c>
      <c r="F4619" s="47" t="s">
        <v>57490</v>
      </c>
      <c r="G4619" s="8">
        <v>6</v>
      </c>
      <c r="H4619" s="8" t="s">
        <v>21</v>
      </c>
      <c r="I4619" s="8" t="s">
        <v>22</v>
      </c>
      <c r="J4619" s="8" t="s">
        <v>22</v>
      </c>
      <c r="K4619" s="8" t="s">
        <v>323</v>
      </c>
      <c r="L4619" s="8" t="s">
        <v>18681</v>
      </c>
      <c r="M4619" s="8" t="s">
        <v>18682</v>
      </c>
      <c r="N4619" s="8" t="s">
        <v>20858</v>
      </c>
      <c r="O4619" s="8">
        <f>12+41/60+33/3600</f>
        <v>12.692500000000001</v>
      </c>
      <c r="P4619" s="8" t="s">
        <v>20859</v>
      </c>
      <c r="Q4619" s="8">
        <f>+(41+9/60+4/3600)</f>
        <v>41.151111111111106</v>
      </c>
      <c r="R4619" s="8">
        <v>10.8</v>
      </c>
      <c r="S4619" s="8">
        <v>11.2</v>
      </c>
      <c r="T4619" s="8">
        <v>0.4</v>
      </c>
      <c r="U4619" s="8">
        <v>13.5</v>
      </c>
      <c r="V4619" s="8">
        <v>4.2</v>
      </c>
      <c r="W4619" s="8">
        <v>3.4</v>
      </c>
      <c r="X4619" s="8">
        <v>25</v>
      </c>
      <c r="Y4619" s="8" t="s">
        <v>21</v>
      </c>
      <c r="Z4619" s="8" t="s">
        <v>20860</v>
      </c>
    </row>
    <row r="4620" spans="1:26" x14ac:dyDescent="0.2">
      <c r="A4620" s="8">
        <v>4619</v>
      </c>
      <c r="B4620" s="8" t="s">
        <v>20861</v>
      </c>
      <c r="C4620" s="8" t="s">
        <v>20861</v>
      </c>
      <c r="F4620" s="47" t="s">
        <v>57491</v>
      </c>
      <c r="G4620" s="8">
        <v>15</v>
      </c>
      <c r="H4620" s="8" t="s">
        <v>21</v>
      </c>
      <c r="I4620" s="8" t="s">
        <v>22</v>
      </c>
      <c r="J4620" s="8" t="s">
        <v>22</v>
      </c>
      <c r="K4620" s="8" t="s">
        <v>5751</v>
      </c>
      <c r="L4620" s="8" t="s">
        <v>18681</v>
      </c>
      <c r="M4620" s="8" t="s">
        <v>18682</v>
      </c>
      <c r="N4620" s="8" t="s">
        <v>20862</v>
      </c>
      <c r="O4620" s="8">
        <f>12+41/60+44.4/3600</f>
        <v>12.695666666666668</v>
      </c>
      <c r="P4620" s="8" t="s">
        <v>20863</v>
      </c>
      <c r="Q4620" s="8">
        <f>+(35+3/60+46/3600)</f>
        <v>35.062777777777775</v>
      </c>
      <c r="R4620" s="8">
        <v>12.7</v>
      </c>
      <c r="S4620" s="8">
        <v>13.5</v>
      </c>
      <c r="T4620" s="8">
        <v>0.8</v>
      </c>
      <c r="U4620" s="8">
        <v>13.1</v>
      </c>
      <c r="V4620" s="8">
        <v>1.3</v>
      </c>
      <c r="W4620" s="8">
        <v>1.3</v>
      </c>
      <c r="Y4620" s="8" t="s">
        <v>21</v>
      </c>
      <c r="Z4620" s="8" t="s">
        <v>20864</v>
      </c>
    </row>
    <row r="4621" spans="1:26" x14ac:dyDescent="0.2">
      <c r="A4621" s="8">
        <v>4620</v>
      </c>
      <c r="B4621" s="8" t="s">
        <v>20865</v>
      </c>
      <c r="C4621" s="8" t="s">
        <v>20865</v>
      </c>
      <c r="F4621" s="47"/>
      <c r="G4621" s="8">
        <v>16</v>
      </c>
      <c r="H4621" s="8" t="s">
        <v>21</v>
      </c>
      <c r="I4621" s="8" t="s">
        <v>22</v>
      </c>
      <c r="J4621" s="8" t="s">
        <v>22</v>
      </c>
      <c r="K4621" s="8" t="s">
        <v>37</v>
      </c>
      <c r="L4621" s="8" t="s">
        <v>17287</v>
      </c>
      <c r="M4621" s="8" t="s">
        <v>17288</v>
      </c>
      <c r="N4621" s="8" t="s">
        <v>20866</v>
      </c>
      <c r="O4621" s="8">
        <f>12+41/60+59.3/3600</f>
        <v>12.699805555555557</v>
      </c>
      <c r="P4621" s="8" t="s">
        <v>20867</v>
      </c>
      <c r="Q4621" s="8">
        <f>+(12+56/60+36/3600)</f>
        <v>12.943333333333333</v>
      </c>
      <c r="R4621" s="8">
        <v>12.2</v>
      </c>
      <c r="S4621" s="8">
        <v>13.2</v>
      </c>
      <c r="T4621" s="8">
        <v>1</v>
      </c>
      <c r="U4621" s="8">
        <v>13.1</v>
      </c>
      <c r="V4621" s="8">
        <v>1.8</v>
      </c>
      <c r="W4621" s="8">
        <v>1.5</v>
      </c>
      <c r="X4621" s="8">
        <v>40</v>
      </c>
      <c r="Y4621" s="8" t="s">
        <v>15919</v>
      </c>
      <c r="Z4621" s="8" t="s">
        <v>15920</v>
      </c>
    </row>
    <row r="4622" spans="1:26" x14ac:dyDescent="0.2">
      <c r="A4622" s="8">
        <v>4621</v>
      </c>
      <c r="B4622" s="8" t="s">
        <v>20868</v>
      </c>
      <c r="C4622" s="8" t="s">
        <v>55914</v>
      </c>
      <c r="F4622" s="47"/>
      <c r="G4622" s="8">
        <v>1</v>
      </c>
      <c r="H4622" s="8" t="s">
        <v>21</v>
      </c>
      <c r="I4622" s="8" t="s">
        <v>22</v>
      </c>
      <c r="J4622" s="8" t="s">
        <v>22</v>
      </c>
      <c r="K4622" s="8" t="s">
        <v>1068</v>
      </c>
      <c r="L4622" s="8" t="s">
        <v>17287</v>
      </c>
      <c r="M4622" s="8" t="s">
        <v>17288</v>
      </c>
      <c r="N4622" s="8" t="s">
        <v>20869</v>
      </c>
      <c r="O4622" s="8">
        <f>12+42/60+2.2/3600</f>
        <v>12.70061111111111</v>
      </c>
      <c r="P4622" s="8" t="s">
        <v>20870</v>
      </c>
      <c r="Q4622" s="8">
        <f>+(11+38/60+50/3600)</f>
        <v>11.647222222222222</v>
      </c>
      <c r="R4622" s="8">
        <v>9.6</v>
      </c>
      <c r="S4622" s="8">
        <v>10.6</v>
      </c>
      <c r="T4622" s="8">
        <v>1</v>
      </c>
      <c r="U4622" s="8">
        <v>12.9</v>
      </c>
      <c r="V4622" s="8">
        <v>5.4</v>
      </c>
      <c r="W4622" s="8">
        <v>3.7</v>
      </c>
      <c r="X4622" s="8">
        <v>165</v>
      </c>
      <c r="Y4622" s="8" t="s">
        <v>20871</v>
      </c>
      <c r="Z4622" s="8" t="s">
        <v>20872</v>
      </c>
    </row>
    <row r="4623" spans="1:26" x14ac:dyDescent="0.2">
      <c r="A4623" s="8">
        <v>4622</v>
      </c>
      <c r="B4623" s="8" t="s">
        <v>20873</v>
      </c>
      <c r="C4623" s="8" t="s">
        <v>20873</v>
      </c>
      <c r="F4623" s="47"/>
      <c r="G4623" s="8">
        <v>14</v>
      </c>
      <c r="H4623" s="8" t="s">
        <v>20874</v>
      </c>
      <c r="I4623" s="8" t="s">
        <v>22</v>
      </c>
      <c r="J4623" s="8" t="s">
        <v>22</v>
      </c>
      <c r="K4623" s="8" t="s">
        <v>91</v>
      </c>
      <c r="L4623" s="8" t="s">
        <v>16195</v>
      </c>
      <c r="M4623" s="8" t="s">
        <v>16196</v>
      </c>
      <c r="N4623" s="8" t="s">
        <v>20875</v>
      </c>
      <c r="O4623" s="8">
        <f>12+42/60+37.6/3600</f>
        <v>12.710444444444443</v>
      </c>
      <c r="P4623" s="8" t="s">
        <v>20876</v>
      </c>
      <c r="Q4623" s="8">
        <f>-(40+44/60+38/3600)</f>
        <v>-40.74388888888889</v>
      </c>
      <c r="R4623" s="8">
        <v>12.5</v>
      </c>
      <c r="S4623" s="8">
        <v>13.4</v>
      </c>
      <c r="T4623" s="8">
        <v>0.9</v>
      </c>
      <c r="U4623" s="8">
        <v>13.2</v>
      </c>
      <c r="V4623" s="8">
        <v>1.7</v>
      </c>
      <c r="W4623" s="8">
        <v>1.6</v>
      </c>
      <c r="X4623" s="8">
        <v>173</v>
      </c>
      <c r="Y4623" s="8" t="s">
        <v>20877</v>
      </c>
      <c r="Z4623" s="8" t="s">
        <v>20878</v>
      </c>
    </row>
    <row r="4624" spans="1:26" x14ac:dyDescent="0.2">
      <c r="A4624" s="8">
        <v>4623</v>
      </c>
      <c r="B4624" s="8" t="s">
        <v>20879</v>
      </c>
      <c r="C4624" s="8" t="s">
        <v>20879</v>
      </c>
      <c r="F4624" s="47" t="s">
        <v>57492</v>
      </c>
      <c r="G4624" s="8">
        <v>13</v>
      </c>
      <c r="H4624" s="8" t="s">
        <v>21</v>
      </c>
      <c r="I4624" s="8" t="s">
        <v>22</v>
      </c>
      <c r="J4624" s="8" t="s">
        <v>22</v>
      </c>
      <c r="K4624" s="8" t="s">
        <v>435</v>
      </c>
      <c r="L4624" s="8" t="s">
        <v>17287</v>
      </c>
      <c r="M4624" s="8" t="s">
        <v>17288</v>
      </c>
      <c r="N4624" s="8" t="s">
        <v>20880</v>
      </c>
      <c r="O4624" s="8">
        <f>12+42/60+10.6/3600</f>
        <v>12.702944444444444</v>
      </c>
      <c r="P4624" s="8" t="s">
        <v>20881</v>
      </c>
      <c r="Q4624" s="8">
        <f>+(7+40/60+35/3600)</f>
        <v>7.6763888888888889</v>
      </c>
      <c r="R4624" s="8">
        <v>12.3</v>
      </c>
      <c r="S4624" s="8">
        <v>13.2</v>
      </c>
      <c r="T4624" s="8">
        <v>0.9</v>
      </c>
      <c r="U4624" s="8">
        <v>12.7</v>
      </c>
      <c r="V4624" s="8">
        <v>2.2000000000000002</v>
      </c>
      <c r="W4624" s="8">
        <v>0.7</v>
      </c>
      <c r="X4624" s="8">
        <v>176</v>
      </c>
      <c r="Y4624" s="8" t="s">
        <v>20882</v>
      </c>
      <c r="Z4624" s="8" t="s">
        <v>20883</v>
      </c>
    </row>
    <row r="4625" spans="1:26" x14ac:dyDescent="0.2">
      <c r="A4625" s="8">
        <v>4624</v>
      </c>
      <c r="B4625" s="8" t="s">
        <v>20884</v>
      </c>
      <c r="C4625" s="8" t="s">
        <v>20884</v>
      </c>
      <c r="F4625" s="47"/>
      <c r="G4625" s="8">
        <v>16</v>
      </c>
      <c r="H4625" s="8" t="s">
        <v>21</v>
      </c>
      <c r="I4625" s="8" t="s">
        <v>22</v>
      </c>
      <c r="J4625" s="8" t="s">
        <v>57</v>
      </c>
      <c r="K4625" s="8" t="s">
        <v>435</v>
      </c>
      <c r="L4625" s="8" t="s">
        <v>17287</v>
      </c>
      <c r="M4625" s="8" t="s">
        <v>17288</v>
      </c>
      <c r="N4625" s="8" t="s">
        <v>20885</v>
      </c>
      <c r="O4625" s="8">
        <f>12+45/60+6.1/3600</f>
        <v>12.751694444444444</v>
      </c>
      <c r="P4625" s="8" t="s">
        <v>20886</v>
      </c>
      <c r="Q4625" s="8">
        <f>+(3+3/60+19/3600)</f>
        <v>3.0552777777777775</v>
      </c>
      <c r="R4625" s="8">
        <v>10.5</v>
      </c>
      <c r="S4625" s="8">
        <v>11.2</v>
      </c>
      <c r="T4625" s="8">
        <v>0.7</v>
      </c>
      <c r="U4625" s="8">
        <v>13.1</v>
      </c>
      <c r="V4625" s="8">
        <v>3.5</v>
      </c>
      <c r="W4625" s="8">
        <v>3.5</v>
      </c>
      <c r="Y4625" s="8" t="s">
        <v>20887</v>
      </c>
      <c r="Z4625" s="8" t="s">
        <v>20888</v>
      </c>
    </row>
    <row r="4626" spans="1:26" x14ac:dyDescent="0.2">
      <c r="A4626" s="8">
        <v>4625</v>
      </c>
      <c r="B4626" s="8" t="s">
        <v>20889</v>
      </c>
      <c r="C4626" s="8" t="s">
        <v>20889</v>
      </c>
      <c r="F4626" s="47" t="s">
        <v>57493</v>
      </c>
      <c r="G4626" s="8">
        <v>9</v>
      </c>
      <c r="H4626" s="8" t="s">
        <v>21</v>
      </c>
      <c r="I4626" s="8" t="s">
        <v>22</v>
      </c>
      <c r="J4626" s="8" t="s">
        <v>22</v>
      </c>
      <c r="K4626" s="8" t="s">
        <v>6337</v>
      </c>
      <c r="L4626" s="8" t="s">
        <v>18681</v>
      </c>
      <c r="M4626" s="8" t="s">
        <v>18682</v>
      </c>
      <c r="N4626" s="8" t="s">
        <v>20890</v>
      </c>
      <c r="O4626" s="8">
        <f>12+41/60+52.5/3600</f>
        <v>12.697916666666666</v>
      </c>
      <c r="P4626" s="8" t="s">
        <v>20891</v>
      </c>
      <c r="Q4626" s="8">
        <f>+(41+16/60+25/3600)</f>
        <v>41.273611111111109</v>
      </c>
      <c r="R4626" s="8">
        <v>12.4</v>
      </c>
      <c r="S4626" s="8">
        <v>12.9</v>
      </c>
      <c r="T4626" s="8">
        <v>0.5</v>
      </c>
      <c r="U4626" s="8">
        <v>13.7</v>
      </c>
      <c r="V4626" s="8">
        <v>1.6</v>
      </c>
      <c r="W4626" s="8">
        <v>1.4</v>
      </c>
      <c r="X4626" s="8">
        <v>132</v>
      </c>
      <c r="Y4626" s="8" t="s">
        <v>824</v>
      </c>
      <c r="Z4626" s="8" t="s">
        <v>825</v>
      </c>
    </row>
    <row r="4627" spans="1:26" x14ac:dyDescent="0.2">
      <c r="A4627" s="8">
        <v>4626</v>
      </c>
      <c r="B4627" s="8" t="s">
        <v>20892</v>
      </c>
      <c r="C4627" s="8" t="s">
        <v>20892</v>
      </c>
      <c r="F4627" s="47" t="s">
        <v>57494</v>
      </c>
      <c r="G4627" s="8">
        <v>15</v>
      </c>
      <c r="H4627" s="8" t="s">
        <v>21</v>
      </c>
      <c r="I4627" s="8" t="s">
        <v>22</v>
      </c>
      <c r="J4627" s="8" t="s">
        <v>22</v>
      </c>
      <c r="K4627" s="8" t="s">
        <v>396</v>
      </c>
      <c r="L4627" s="8" t="s">
        <v>17287</v>
      </c>
      <c r="M4627" s="8" t="s">
        <v>17288</v>
      </c>
      <c r="N4627" s="8" t="s">
        <v>20893</v>
      </c>
      <c r="O4627" s="8">
        <f>12+42/60+25.4/3600</f>
        <v>12.707055555555554</v>
      </c>
      <c r="P4627" s="8" t="s">
        <v>20894</v>
      </c>
      <c r="Q4627" s="8">
        <f>-(7+2/60+41/3600)</f>
        <v>-7.0447222222222221</v>
      </c>
      <c r="R4627" s="8">
        <v>13.4</v>
      </c>
      <c r="S4627" s="8">
        <v>14.2</v>
      </c>
      <c r="T4627" s="8">
        <v>0.8</v>
      </c>
      <c r="U4627" s="8">
        <v>12.9</v>
      </c>
      <c r="V4627" s="8">
        <v>1.4</v>
      </c>
      <c r="W4627" s="8">
        <v>0.5</v>
      </c>
      <c r="X4627" s="8">
        <v>39</v>
      </c>
      <c r="Y4627" s="8" t="s">
        <v>20895</v>
      </c>
      <c r="Z4627" s="8" t="s">
        <v>20896</v>
      </c>
    </row>
    <row r="4628" spans="1:26" x14ac:dyDescent="0.2">
      <c r="A4628" s="8">
        <v>4627</v>
      </c>
      <c r="B4628" s="8" t="s">
        <v>20897</v>
      </c>
      <c r="C4628" s="8" t="s">
        <v>20897</v>
      </c>
      <c r="F4628" s="47" t="s">
        <v>57495</v>
      </c>
      <c r="G4628" s="8">
        <v>9</v>
      </c>
      <c r="H4628" s="8" t="s">
        <v>21</v>
      </c>
      <c r="I4628" s="8" t="s">
        <v>22</v>
      </c>
      <c r="J4628" s="8" t="s">
        <v>22</v>
      </c>
      <c r="K4628" s="8" t="s">
        <v>20898</v>
      </c>
      <c r="L4628" s="8" t="s">
        <v>18681</v>
      </c>
      <c r="M4628" s="8" t="s">
        <v>18682</v>
      </c>
      <c r="N4628" s="8" t="s">
        <v>20899</v>
      </c>
      <c r="O4628" s="8">
        <f>12+41/60+59.6/3600</f>
        <v>12.699888888888889</v>
      </c>
      <c r="P4628" s="8" t="s">
        <v>20900</v>
      </c>
      <c r="Q4628" s="8">
        <f>+(32+34/60+26/3600)</f>
        <v>32.573888888888895</v>
      </c>
      <c r="R4628" s="8">
        <v>12.4</v>
      </c>
      <c r="S4628" s="8">
        <v>13.1</v>
      </c>
      <c r="T4628" s="8">
        <v>0.7</v>
      </c>
      <c r="U4628" s="8">
        <v>14.1</v>
      </c>
      <c r="V4628" s="8">
        <v>1.7</v>
      </c>
      <c r="W4628" s="8">
        <v>1</v>
      </c>
      <c r="X4628" s="8">
        <v>26</v>
      </c>
      <c r="Y4628" s="8" t="s">
        <v>20901</v>
      </c>
      <c r="Z4628" s="8" t="s">
        <v>20902</v>
      </c>
    </row>
    <row r="4629" spans="1:26" x14ac:dyDescent="0.2">
      <c r="A4629" s="8">
        <v>4628</v>
      </c>
      <c r="B4629" s="8" t="s">
        <v>20903</v>
      </c>
      <c r="C4629" s="8" t="s">
        <v>20903</v>
      </c>
      <c r="F4629" s="47" t="s">
        <v>57496</v>
      </c>
      <c r="G4629" s="8">
        <v>15</v>
      </c>
      <c r="H4629" s="8" t="s">
        <v>21</v>
      </c>
      <c r="I4629" s="8" t="s">
        <v>22</v>
      </c>
      <c r="J4629" s="8" t="s">
        <v>22</v>
      </c>
      <c r="K4629" s="8" t="s">
        <v>23</v>
      </c>
      <c r="L4629" s="8" t="s">
        <v>17287</v>
      </c>
      <c r="M4629" s="8" t="s">
        <v>17288</v>
      </c>
      <c r="N4629" s="8" t="s">
        <v>20904</v>
      </c>
      <c r="O4629" s="8">
        <f>12+42/60+25.3/3600</f>
        <v>12.707027777777776</v>
      </c>
      <c r="P4629" s="8" t="s">
        <v>20905</v>
      </c>
      <c r="Q4629" s="8">
        <f>-(6+58/60+15/3600)</f>
        <v>-6.9708333333333332</v>
      </c>
      <c r="R4629" s="8">
        <v>13.5</v>
      </c>
      <c r="S4629" s="8">
        <v>14.3</v>
      </c>
      <c r="T4629" s="8">
        <v>0.8</v>
      </c>
      <c r="U4629" s="8">
        <v>13.2</v>
      </c>
      <c r="V4629" s="8">
        <v>1.7</v>
      </c>
      <c r="W4629" s="8">
        <v>0.5</v>
      </c>
      <c r="X4629" s="8">
        <v>45</v>
      </c>
      <c r="Y4629" s="8" t="s">
        <v>16934</v>
      </c>
      <c r="Z4629" s="8" t="s">
        <v>16935</v>
      </c>
    </row>
    <row r="4630" spans="1:26" x14ac:dyDescent="0.2">
      <c r="A4630" s="8">
        <v>4629</v>
      </c>
      <c r="B4630" s="8" t="s">
        <v>20906</v>
      </c>
      <c r="C4630" s="8" t="s">
        <v>20906</v>
      </c>
      <c r="F4630" s="47"/>
      <c r="G4630" s="8">
        <v>18</v>
      </c>
      <c r="H4630" s="8" t="s">
        <v>21</v>
      </c>
      <c r="I4630" s="8" t="s">
        <v>22</v>
      </c>
      <c r="J4630" s="8" t="s">
        <v>22</v>
      </c>
      <c r="K4630" s="8" t="s">
        <v>4103</v>
      </c>
      <c r="L4630" s="8" t="s">
        <v>17287</v>
      </c>
      <c r="M4630" s="8" t="s">
        <v>17288</v>
      </c>
      <c r="N4630" s="8" t="s">
        <v>20907</v>
      </c>
      <c r="O4630" s="8">
        <f>12+42/60+32.7/3600</f>
        <v>12.709083333333332</v>
      </c>
      <c r="P4630" s="8" t="s">
        <v>20908</v>
      </c>
      <c r="Q4630" s="8">
        <f>-(1+21/60+3/3600)</f>
        <v>-1.3508333333333333</v>
      </c>
      <c r="R4630" s="8">
        <v>13.2</v>
      </c>
      <c r="S4630" s="8">
        <v>13.8</v>
      </c>
      <c r="T4630" s="8">
        <v>0.6</v>
      </c>
      <c r="U4630" s="8">
        <v>12.9</v>
      </c>
      <c r="V4630" s="8">
        <v>1.1000000000000001</v>
      </c>
      <c r="W4630" s="8">
        <v>0.8</v>
      </c>
      <c r="X4630" s="8">
        <v>101</v>
      </c>
      <c r="Y4630" s="8" t="s">
        <v>20909</v>
      </c>
      <c r="Z4630" s="8" t="s">
        <v>20910</v>
      </c>
    </row>
    <row r="4631" spans="1:26" x14ac:dyDescent="0.2">
      <c r="A4631" s="8">
        <v>4630</v>
      </c>
      <c r="B4631" s="8" t="s">
        <v>20911</v>
      </c>
      <c r="C4631" s="8" t="s">
        <v>20911</v>
      </c>
      <c r="F4631" s="47" t="s">
        <v>57497</v>
      </c>
      <c r="G4631" s="8">
        <v>13</v>
      </c>
      <c r="H4631" s="8" t="s">
        <v>21</v>
      </c>
      <c r="I4631" s="8" t="s">
        <v>22</v>
      </c>
      <c r="J4631" s="8" t="s">
        <v>22</v>
      </c>
      <c r="K4631" s="8" t="s">
        <v>107</v>
      </c>
      <c r="L4631" s="8" t="s">
        <v>17287</v>
      </c>
      <c r="M4631" s="8" t="s">
        <v>17288</v>
      </c>
      <c r="N4631" s="8" t="s">
        <v>20912</v>
      </c>
      <c r="O4631" s="8">
        <f>12+42/60+31.1/3600</f>
        <v>12.708638888888888</v>
      </c>
      <c r="P4631" s="8" t="s">
        <v>20913</v>
      </c>
      <c r="Q4631" s="8">
        <f>+(3+57/60+31/3600)</f>
        <v>3.9586111111111113</v>
      </c>
      <c r="R4631" s="8">
        <v>12.6</v>
      </c>
      <c r="S4631" s="8">
        <v>13.1</v>
      </c>
      <c r="T4631" s="8">
        <v>0.5</v>
      </c>
      <c r="U4631" s="8">
        <v>13.3</v>
      </c>
      <c r="V4631" s="8">
        <v>1.7</v>
      </c>
      <c r="W4631" s="8">
        <v>1.2</v>
      </c>
      <c r="X4631" s="8">
        <v>10</v>
      </c>
      <c r="Y4631" s="8" t="s">
        <v>20914</v>
      </c>
      <c r="Z4631" s="8" t="s">
        <v>20915</v>
      </c>
    </row>
    <row r="4632" spans="1:26" x14ac:dyDescent="0.2">
      <c r="A4632" s="8">
        <v>4631</v>
      </c>
      <c r="B4632" s="8" t="s">
        <v>20916</v>
      </c>
      <c r="C4632" s="8" t="s">
        <v>20916</v>
      </c>
      <c r="F4632" s="47" t="s">
        <v>57498</v>
      </c>
      <c r="G4632" s="8">
        <v>2</v>
      </c>
      <c r="H4632" s="8" t="s">
        <v>20917</v>
      </c>
      <c r="I4632" s="8" t="s">
        <v>22</v>
      </c>
      <c r="J4632" s="8" t="s">
        <v>22</v>
      </c>
      <c r="K4632" s="8" t="s">
        <v>1277</v>
      </c>
      <c r="L4632" s="8" t="s">
        <v>18681</v>
      </c>
      <c r="M4632" s="8" t="s">
        <v>18682</v>
      </c>
      <c r="N4632" s="8" t="s">
        <v>20918</v>
      </c>
      <c r="O4632" s="8">
        <f>12+42/60+7.6/3600</f>
        <v>12.70211111111111</v>
      </c>
      <c r="P4632" s="8" t="s">
        <v>20919</v>
      </c>
      <c r="Q4632" s="8">
        <f>+(32+32/60+30/3600)</f>
        <v>32.541666666666664</v>
      </c>
      <c r="R4632" s="8">
        <v>9.1999999999999993</v>
      </c>
      <c r="S4632" s="8">
        <v>9.8000000000000007</v>
      </c>
      <c r="T4632" s="8">
        <v>0.6</v>
      </c>
      <c r="U4632" s="8">
        <v>13.1</v>
      </c>
      <c r="V4632" s="8">
        <v>15.2</v>
      </c>
      <c r="W4632" s="8">
        <v>2.8</v>
      </c>
      <c r="X4632" s="8">
        <v>86</v>
      </c>
      <c r="Y4632" s="8" t="s">
        <v>20920</v>
      </c>
      <c r="Z4632" s="8" t="s">
        <v>20921</v>
      </c>
    </row>
    <row r="4633" spans="1:26" x14ac:dyDescent="0.2">
      <c r="A4633" s="8">
        <v>4632</v>
      </c>
      <c r="B4633" s="8" t="s">
        <v>20922</v>
      </c>
      <c r="C4633" s="8" t="s">
        <v>20922</v>
      </c>
      <c r="F4633" s="47" t="s">
        <v>57499</v>
      </c>
      <c r="G4633" s="8">
        <v>7</v>
      </c>
      <c r="H4633" s="8" t="s">
        <v>21</v>
      </c>
      <c r="I4633" s="8" t="s">
        <v>22</v>
      </c>
      <c r="J4633" s="8" t="s">
        <v>22</v>
      </c>
      <c r="K4633" s="8" t="s">
        <v>160</v>
      </c>
      <c r="L4633" s="8" t="s">
        <v>17287</v>
      </c>
      <c r="M4633" s="8" t="s">
        <v>17288</v>
      </c>
      <c r="N4633" s="8" t="s">
        <v>20923</v>
      </c>
      <c r="O4633" s="8">
        <f>12+42/60+32.3/3600</f>
        <v>12.708972222222222</v>
      </c>
      <c r="P4633" s="8" t="s">
        <v>20924</v>
      </c>
      <c r="Q4633" s="8">
        <f>-(0+4/60+50/3600)</f>
        <v>-8.0555555555555547E-2</v>
      </c>
      <c r="R4633" s="8">
        <v>11.7</v>
      </c>
      <c r="S4633" s="8">
        <v>12.4</v>
      </c>
      <c r="T4633" s="8">
        <v>0.7</v>
      </c>
      <c r="U4633" s="8">
        <v>12.9</v>
      </c>
      <c r="V4633" s="8">
        <v>3</v>
      </c>
      <c r="W4633" s="8">
        <v>1.2</v>
      </c>
      <c r="X4633" s="8">
        <v>63</v>
      </c>
      <c r="Y4633" s="8" t="s">
        <v>20925</v>
      </c>
      <c r="Z4633" s="8" t="s">
        <v>20926</v>
      </c>
    </row>
    <row r="4634" spans="1:26" x14ac:dyDescent="0.2">
      <c r="A4634" s="8">
        <v>4633</v>
      </c>
      <c r="B4634" s="8" t="s">
        <v>20927</v>
      </c>
      <c r="C4634" s="8" t="s">
        <v>20927</v>
      </c>
      <c r="F4634" s="47"/>
      <c r="G4634" s="8">
        <v>19</v>
      </c>
      <c r="H4634" s="8" t="s">
        <v>21</v>
      </c>
      <c r="I4634" s="8" t="s">
        <v>22</v>
      </c>
      <c r="J4634" s="8" t="s">
        <v>22</v>
      </c>
      <c r="K4634" s="8" t="s">
        <v>269</v>
      </c>
      <c r="L4634" s="8" t="s">
        <v>18289</v>
      </c>
      <c r="M4634" s="8" t="s">
        <v>18290</v>
      </c>
      <c r="N4634" s="8" t="s">
        <v>20928</v>
      </c>
      <c r="O4634" s="8">
        <f>12+42/60+37.1/3600</f>
        <v>12.710305555555555</v>
      </c>
      <c r="P4634" s="8" t="s">
        <v>20929</v>
      </c>
      <c r="Q4634" s="8">
        <f>+(14+21/60+25/3600)</f>
        <v>14.356944444444444</v>
      </c>
      <c r="R4634" s="8">
        <v>13.1</v>
      </c>
      <c r="S4634" s="8">
        <v>13.8</v>
      </c>
      <c r="T4634" s="8">
        <v>0.7</v>
      </c>
      <c r="U4634" s="8">
        <v>13.6</v>
      </c>
      <c r="V4634" s="8">
        <v>2</v>
      </c>
      <c r="W4634" s="8">
        <v>0.9</v>
      </c>
      <c r="X4634" s="8">
        <v>33</v>
      </c>
      <c r="Y4634" s="8" t="s">
        <v>21</v>
      </c>
      <c r="Z4634" s="8" t="s">
        <v>20930</v>
      </c>
    </row>
    <row r="4635" spans="1:26" x14ac:dyDescent="0.2">
      <c r="A4635" s="8">
        <v>4634</v>
      </c>
      <c r="B4635" s="8" t="s">
        <v>20931</v>
      </c>
      <c r="C4635" s="8" t="s">
        <v>20931</v>
      </c>
      <c r="F4635" s="47" t="s">
        <v>57500</v>
      </c>
      <c r="G4635" s="8">
        <v>12</v>
      </c>
      <c r="H4635" s="8" t="s">
        <v>21</v>
      </c>
      <c r="I4635" s="8" t="s">
        <v>22</v>
      </c>
      <c r="J4635" s="8" t="s">
        <v>22</v>
      </c>
      <c r="K4635" s="8" t="s">
        <v>64</v>
      </c>
      <c r="L4635" s="8" t="s">
        <v>18289</v>
      </c>
      <c r="M4635" s="8" t="s">
        <v>18290</v>
      </c>
      <c r="N4635" s="8" t="s">
        <v>20932</v>
      </c>
      <c r="O4635" s="8">
        <f>12+42/60+40.8/3600</f>
        <v>12.711333333333332</v>
      </c>
      <c r="P4635" s="8" t="s">
        <v>20933</v>
      </c>
      <c r="Q4635" s="8">
        <f>+(14+17/60+46/3600)</f>
        <v>14.296111111111111</v>
      </c>
      <c r="R4635" s="8">
        <v>12.4</v>
      </c>
      <c r="S4635" s="8">
        <v>13.2</v>
      </c>
      <c r="T4635" s="8">
        <v>0.8</v>
      </c>
      <c r="U4635" s="8">
        <v>12.8</v>
      </c>
      <c r="V4635" s="8">
        <v>2.9</v>
      </c>
      <c r="W4635" s="8">
        <v>0.9</v>
      </c>
      <c r="X4635" s="8">
        <v>156</v>
      </c>
      <c r="Y4635" s="8" t="s">
        <v>21</v>
      </c>
      <c r="Z4635" s="8" t="s">
        <v>20934</v>
      </c>
    </row>
    <row r="4636" spans="1:26" x14ac:dyDescent="0.2">
      <c r="A4636" s="8">
        <v>4635</v>
      </c>
      <c r="B4636" s="8" t="s">
        <v>20935</v>
      </c>
      <c r="C4636" s="8" t="s">
        <v>20935</v>
      </c>
      <c r="F4636" s="47"/>
      <c r="G4636" s="8">
        <v>13</v>
      </c>
      <c r="H4636" s="8" t="s">
        <v>21</v>
      </c>
      <c r="I4636" s="8" t="s">
        <v>22</v>
      </c>
      <c r="J4636" s="8" t="s">
        <v>22</v>
      </c>
      <c r="K4636" s="8" t="s">
        <v>1277</v>
      </c>
      <c r="L4636" s="8" t="s">
        <v>18289</v>
      </c>
      <c r="M4636" s="8" t="s">
        <v>18290</v>
      </c>
      <c r="N4636" s="8" t="s">
        <v>20936</v>
      </c>
      <c r="O4636" s="8">
        <f>12+42/60+38.7/3600</f>
        <v>12.710749999999999</v>
      </c>
      <c r="P4636" s="8" t="s">
        <v>20937</v>
      </c>
      <c r="Q4636" s="8">
        <f>+(19+56/60+48/3600)</f>
        <v>19.946666666666665</v>
      </c>
      <c r="R4636" s="8">
        <v>12.6</v>
      </c>
      <c r="S4636" s="8">
        <v>13.3</v>
      </c>
      <c r="T4636" s="8">
        <v>0.7</v>
      </c>
      <c r="U4636" s="8">
        <v>13.6</v>
      </c>
      <c r="V4636" s="8">
        <v>1.9</v>
      </c>
      <c r="W4636" s="8">
        <v>1.4</v>
      </c>
      <c r="X4636" s="8">
        <v>170</v>
      </c>
      <c r="Y4636" s="8" t="s">
        <v>20938</v>
      </c>
      <c r="Z4636" s="8" t="s">
        <v>20939</v>
      </c>
    </row>
    <row r="4637" spans="1:26" x14ac:dyDescent="0.2">
      <c r="A4637" s="8">
        <v>4636</v>
      </c>
      <c r="B4637" s="8" t="s">
        <v>20940</v>
      </c>
      <c r="C4637" s="8" t="s">
        <v>20940</v>
      </c>
      <c r="F4637" s="47" t="s">
        <v>57501</v>
      </c>
      <c r="G4637" s="8">
        <v>5</v>
      </c>
      <c r="H4637" s="8" t="s">
        <v>21</v>
      </c>
      <c r="I4637" s="8" t="s">
        <v>22</v>
      </c>
      <c r="J4637" s="8" t="s">
        <v>22</v>
      </c>
      <c r="K4637" s="8" t="s">
        <v>1136</v>
      </c>
      <c r="L4637" s="8" t="s">
        <v>17287</v>
      </c>
      <c r="M4637" s="8" t="s">
        <v>17288</v>
      </c>
      <c r="N4637" s="8" t="s">
        <v>20941</v>
      </c>
      <c r="O4637" s="8">
        <f>12+42/60+49.7/3600</f>
        <v>12.713805555555554</v>
      </c>
      <c r="P4637" s="8" t="s">
        <v>20942</v>
      </c>
      <c r="Q4637" s="8">
        <f>+(2+41/60+14/3600)</f>
        <v>2.6872222222222226</v>
      </c>
      <c r="R4637" s="8">
        <v>9.5</v>
      </c>
      <c r="S4637" s="8">
        <v>10.4</v>
      </c>
      <c r="T4637" s="8">
        <v>0.9</v>
      </c>
      <c r="U4637" s="8">
        <v>13.1</v>
      </c>
      <c r="V4637" s="8">
        <v>5.9</v>
      </c>
      <c r="W4637" s="8">
        <v>4.5999999999999996</v>
      </c>
      <c r="X4637" s="8">
        <v>150</v>
      </c>
      <c r="Y4637" s="8" t="s">
        <v>20943</v>
      </c>
      <c r="Z4637" s="8" t="s">
        <v>20944</v>
      </c>
    </row>
    <row r="4638" spans="1:26" x14ac:dyDescent="0.2">
      <c r="A4638" s="8">
        <v>4637</v>
      </c>
      <c r="B4638" s="8" t="s">
        <v>20945</v>
      </c>
      <c r="C4638" s="8" t="s">
        <v>20945</v>
      </c>
      <c r="F4638" s="47"/>
      <c r="G4638" s="8">
        <v>7</v>
      </c>
      <c r="H4638" s="8" t="s">
        <v>21</v>
      </c>
      <c r="I4638" s="8" t="s">
        <v>22</v>
      </c>
      <c r="J4638" s="8" t="s">
        <v>22</v>
      </c>
      <c r="K4638" s="8" t="s">
        <v>37</v>
      </c>
      <c r="L4638" s="8" t="s">
        <v>17287</v>
      </c>
      <c r="M4638" s="8" t="s">
        <v>17288</v>
      </c>
      <c r="N4638" s="8" t="s">
        <v>20946</v>
      </c>
      <c r="O4638" s="8">
        <f>12+42/60+54.2/3600</f>
        <v>12.715055555555555</v>
      </c>
      <c r="P4638" s="8" t="s">
        <v>20947</v>
      </c>
      <c r="Q4638" s="8">
        <f>+(11+26/60+17/3600)</f>
        <v>11.438055555555556</v>
      </c>
      <c r="R4638" s="8">
        <v>13.9</v>
      </c>
      <c r="S4638" s="8">
        <v>14.9</v>
      </c>
      <c r="T4638" s="8">
        <v>1</v>
      </c>
      <c r="U4638" s="8">
        <v>13.4</v>
      </c>
      <c r="V4638" s="8">
        <v>1.2</v>
      </c>
      <c r="W4638" s="8">
        <v>0.5</v>
      </c>
      <c r="X4638" s="8">
        <v>98</v>
      </c>
      <c r="Y4638" s="8" t="s">
        <v>21</v>
      </c>
      <c r="Z4638" s="8" t="s">
        <v>20948</v>
      </c>
    </row>
    <row r="4639" spans="1:26" x14ac:dyDescent="0.2">
      <c r="A4639" s="8">
        <v>4638</v>
      </c>
      <c r="B4639" s="8" t="s">
        <v>20949</v>
      </c>
      <c r="C4639" s="8" t="s">
        <v>20949</v>
      </c>
      <c r="F4639" s="47" t="s">
        <v>57502</v>
      </c>
      <c r="G4639" s="8">
        <v>11</v>
      </c>
      <c r="H4639" s="8" t="s">
        <v>21</v>
      </c>
      <c r="I4639" s="8" t="s">
        <v>22</v>
      </c>
      <c r="J4639" s="8" t="s">
        <v>22</v>
      </c>
      <c r="K4639" s="8" t="s">
        <v>58</v>
      </c>
      <c r="L4639" s="8" t="s">
        <v>17287</v>
      </c>
      <c r="M4639" s="8" t="s">
        <v>17288</v>
      </c>
      <c r="N4639" s="8" t="s">
        <v>20950</v>
      </c>
      <c r="O4639" s="8">
        <f>12+42/60+47.3/3600</f>
        <v>12.713138888888889</v>
      </c>
      <c r="P4639" s="8" t="s">
        <v>20951</v>
      </c>
      <c r="Q4639" s="8">
        <f>+(11+26/60+33/3600)</f>
        <v>11.442500000000001</v>
      </c>
      <c r="R4639" s="8">
        <v>11.2</v>
      </c>
      <c r="S4639" s="8">
        <v>12.1</v>
      </c>
      <c r="T4639" s="8">
        <v>0.9</v>
      </c>
      <c r="U4639" s="8">
        <v>12.3</v>
      </c>
      <c r="V4639" s="8">
        <v>2.2000000000000002</v>
      </c>
      <c r="W4639" s="8">
        <v>1.4</v>
      </c>
      <c r="X4639" s="8">
        <v>125</v>
      </c>
      <c r="Y4639" s="8" t="s">
        <v>5335</v>
      </c>
      <c r="Z4639" s="8" t="s">
        <v>5336</v>
      </c>
    </row>
    <row r="4640" spans="1:26" x14ac:dyDescent="0.2">
      <c r="A4640" s="8">
        <v>4639</v>
      </c>
      <c r="B4640" s="8" t="s">
        <v>20952</v>
      </c>
      <c r="C4640" s="8" t="s">
        <v>20952</v>
      </c>
      <c r="F4640" s="47" t="s">
        <v>57503</v>
      </c>
      <c r="G4640" s="8">
        <v>6.5</v>
      </c>
      <c r="H4640" s="8" t="s">
        <v>21</v>
      </c>
      <c r="I4640" s="8" t="s">
        <v>22</v>
      </c>
      <c r="J4640" s="8" t="s">
        <v>22</v>
      </c>
      <c r="K4640" s="8" t="s">
        <v>85</v>
      </c>
      <c r="L4640" s="8" t="s">
        <v>17287</v>
      </c>
      <c r="M4640" s="8" t="s">
        <v>17288</v>
      </c>
      <c r="N4640" s="8" t="s">
        <v>20953</v>
      </c>
      <c r="O4640" s="8">
        <f>12+42/60+52.3/3600</f>
        <v>12.714527777777777</v>
      </c>
      <c r="P4640" s="8" t="s">
        <v>20954</v>
      </c>
      <c r="Q4640" s="8">
        <f>+(13+15/60+26/3600)</f>
        <v>13.257222222222222</v>
      </c>
      <c r="R4640" s="8">
        <v>11.5</v>
      </c>
      <c r="S4640" s="8">
        <v>12.2</v>
      </c>
      <c r="T4640" s="8">
        <v>0.7</v>
      </c>
      <c r="U4640" s="8">
        <v>13.2</v>
      </c>
      <c r="V4640" s="8">
        <v>2.9</v>
      </c>
      <c r="W4640" s="8">
        <v>2</v>
      </c>
      <c r="X4640" s="8">
        <v>123</v>
      </c>
      <c r="Y4640" s="8" t="s">
        <v>21</v>
      </c>
      <c r="Z4640" s="8" t="s">
        <v>20955</v>
      </c>
    </row>
    <row r="4641" spans="1:26" x14ac:dyDescent="0.2">
      <c r="A4641" s="8">
        <v>4640</v>
      </c>
      <c r="B4641" s="8" t="s">
        <v>20956</v>
      </c>
      <c r="C4641" s="8" t="s">
        <v>20956</v>
      </c>
      <c r="F4641" s="47"/>
      <c r="G4641" s="8">
        <v>19</v>
      </c>
      <c r="H4641" s="8" t="s">
        <v>21</v>
      </c>
      <c r="I4641" s="8" t="s">
        <v>22</v>
      </c>
      <c r="J4641" s="8" t="s">
        <v>22</v>
      </c>
      <c r="K4641" s="8" t="s">
        <v>1445</v>
      </c>
      <c r="L4641" s="8" t="s">
        <v>17287</v>
      </c>
      <c r="M4641" s="8" t="s">
        <v>17288</v>
      </c>
      <c r="N4641" s="8" t="s">
        <v>20957</v>
      </c>
      <c r="O4641" s="8">
        <f>12+42/60+57.8/3600</f>
        <v>12.716055555555554</v>
      </c>
      <c r="P4641" s="8" t="s">
        <v>20958</v>
      </c>
      <c r="Q4641" s="8">
        <f>+(12+17/60+12/3600)</f>
        <v>12.286666666666667</v>
      </c>
      <c r="R4641" s="8">
        <v>13.5</v>
      </c>
      <c r="S4641" s="8">
        <v>14.3</v>
      </c>
      <c r="T4641" s="8">
        <v>0.8</v>
      </c>
      <c r="U4641" s="8">
        <v>13.4</v>
      </c>
      <c r="V4641" s="8">
        <v>1.4</v>
      </c>
      <c r="W4641" s="8">
        <v>0.8</v>
      </c>
      <c r="X4641" s="8">
        <v>45</v>
      </c>
      <c r="Y4641" s="8" t="s">
        <v>21</v>
      </c>
      <c r="Z4641" s="8" t="s">
        <v>20959</v>
      </c>
    </row>
    <row r="4642" spans="1:26" x14ac:dyDescent="0.2">
      <c r="A4642" s="8">
        <v>4641</v>
      </c>
      <c r="B4642" s="8" t="s">
        <v>20960</v>
      </c>
      <c r="C4642" s="8" t="s">
        <v>20960</v>
      </c>
      <c r="F4642" s="47"/>
      <c r="G4642" s="8">
        <v>19</v>
      </c>
      <c r="H4642" s="8" t="s">
        <v>21</v>
      </c>
      <c r="I4642" s="8" t="s">
        <v>22</v>
      </c>
      <c r="J4642" s="8" t="s">
        <v>22</v>
      </c>
      <c r="K4642" s="8" t="s">
        <v>37</v>
      </c>
      <c r="L4642" s="8" t="s">
        <v>17287</v>
      </c>
      <c r="M4642" s="8" t="s">
        <v>17288</v>
      </c>
      <c r="N4642" s="8" t="s">
        <v>20961</v>
      </c>
      <c r="O4642" s="8">
        <f>12+43/60+7.6/3600</f>
        <v>12.718777777777778</v>
      </c>
      <c r="P4642" s="8" t="s">
        <v>20962</v>
      </c>
      <c r="Q4642" s="8">
        <f>+(12+3/60+5/3600)</f>
        <v>12.051388888888889</v>
      </c>
      <c r="R4642" s="8">
        <v>13.2</v>
      </c>
      <c r="S4642" s="8">
        <v>14.2</v>
      </c>
      <c r="T4642" s="8">
        <v>1</v>
      </c>
      <c r="U4642" s="8">
        <v>13.2</v>
      </c>
      <c r="V4642" s="8">
        <v>1.2</v>
      </c>
      <c r="W4642" s="8">
        <v>1</v>
      </c>
      <c r="X4642" s="8">
        <v>170</v>
      </c>
      <c r="Y4642" s="8" t="s">
        <v>21</v>
      </c>
      <c r="Z4642" s="8" t="s">
        <v>20963</v>
      </c>
    </row>
    <row r="4643" spans="1:26" x14ac:dyDescent="0.2">
      <c r="A4643" s="8">
        <v>4642</v>
      </c>
      <c r="B4643" s="8" t="s">
        <v>20964</v>
      </c>
      <c r="C4643" s="8" t="s">
        <v>20964</v>
      </c>
      <c r="F4643" s="47" t="s">
        <v>57504</v>
      </c>
      <c r="G4643" s="8">
        <v>15</v>
      </c>
      <c r="H4643" s="8" t="s">
        <v>21</v>
      </c>
      <c r="I4643" s="8" t="s">
        <v>22</v>
      </c>
      <c r="J4643" s="8" t="s">
        <v>22</v>
      </c>
      <c r="K4643" s="8" t="s">
        <v>396</v>
      </c>
      <c r="L4643" s="8" t="s">
        <v>17287</v>
      </c>
      <c r="M4643" s="8" t="s">
        <v>17288</v>
      </c>
      <c r="N4643" s="8" t="s">
        <v>20965</v>
      </c>
      <c r="O4643" s="8">
        <f>12+43/60+17.6/3600</f>
        <v>12.721555555555556</v>
      </c>
      <c r="P4643" s="8" t="s">
        <v>20966</v>
      </c>
      <c r="Q4643" s="8">
        <f>-(0+38/60+42/3600)</f>
        <v>-0.64500000000000002</v>
      </c>
      <c r="R4643" s="8">
        <v>12.9</v>
      </c>
      <c r="S4643" s="8">
        <v>13.7</v>
      </c>
      <c r="T4643" s="8">
        <v>0.8</v>
      </c>
      <c r="U4643" s="8">
        <v>12.9</v>
      </c>
      <c r="V4643" s="8">
        <v>1.9</v>
      </c>
      <c r="W4643" s="8">
        <v>0.5</v>
      </c>
      <c r="X4643" s="8">
        <v>37</v>
      </c>
      <c r="Y4643" s="8" t="s">
        <v>20967</v>
      </c>
      <c r="Z4643" s="8" t="s">
        <v>20968</v>
      </c>
    </row>
    <row r="4644" spans="1:26" x14ac:dyDescent="0.2">
      <c r="A4644" s="8">
        <v>4643</v>
      </c>
      <c r="B4644" s="8" t="s">
        <v>20969</v>
      </c>
      <c r="C4644" s="8" t="s">
        <v>20969</v>
      </c>
      <c r="F4644" s="47" t="s">
        <v>57505</v>
      </c>
      <c r="G4644" s="8">
        <v>6</v>
      </c>
      <c r="H4644" s="8" t="s">
        <v>21</v>
      </c>
      <c r="I4644" s="8" t="s">
        <v>22</v>
      </c>
      <c r="J4644" s="8" t="s">
        <v>22</v>
      </c>
      <c r="K4644" s="8" t="s">
        <v>435</v>
      </c>
      <c r="L4644" s="8" t="s">
        <v>17287</v>
      </c>
      <c r="M4644" s="8" t="s">
        <v>17288</v>
      </c>
      <c r="N4644" s="8" t="s">
        <v>20970</v>
      </c>
      <c r="O4644" s="8">
        <f>12+43/60+20.1/3600</f>
        <v>12.722250000000001</v>
      </c>
      <c r="P4644" s="8" t="s">
        <v>20971</v>
      </c>
      <c r="Q4644" s="8">
        <f>+(1+58/60+41/3600)</f>
        <v>1.9780555555555557</v>
      </c>
      <c r="R4644" s="8">
        <v>10.8</v>
      </c>
      <c r="S4644" s="8">
        <v>11.7</v>
      </c>
      <c r="T4644" s="8">
        <v>0.9</v>
      </c>
      <c r="U4644" s="8">
        <v>12.8</v>
      </c>
      <c r="V4644" s="8">
        <v>3.1</v>
      </c>
      <c r="W4644" s="8">
        <v>2.5</v>
      </c>
      <c r="X4644" s="8">
        <v>48</v>
      </c>
      <c r="Y4644" s="8" t="s">
        <v>20972</v>
      </c>
      <c r="Z4644" s="8" t="s">
        <v>20973</v>
      </c>
    </row>
    <row r="4645" spans="1:26" x14ac:dyDescent="0.2">
      <c r="A4645" s="8">
        <v>4644</v>
      </c>
      <c r="B4645" s="8" t="s">
        <v>20974</v>
      </c>
      <c r="C4645" s="8" t="s">
        <v>20974</v>
      </c>
      <c r="F4645" s="47" t="s">
        <v>57506</v>
      </c>
      <c r="G4645" s="8">
        <v>15</v>
      </c>
      <c r="H4645" s="8" t="s">
        <v>21</v>
      </c>
      <c r="I4645" s="8" t="s">
        <v>22</v>
      </c>
      <c r="J4645" s="8" t="s">
        <v>22</v>
      </c>
      <c r="K4645" s="8" t="s">
        <v>5751</v>
      </c>
      <c r="L4645" s="8" t="s">
        <v>12015</v>
      </c>
      <c r="M4645" s="8" t="s">
        <v>12016</v>
      </c>
      <c r="N4645" s="8" t="s">
        <v>20975</v>
      </c>
      <c r="O4645" s="8">
        <f>12+42/60+42.6/3600</f>
        <v>12.711833333333333</v>
      </c>
      <c r="P4645" s="8" t="s">
        <v>20976</v>
      </c>
      <c r="Q4645" s="8">
        <f>+(55+8/60+43/3600)</f>
        <v>55.145277777777778</v>
      </c>
      <c r="R4645" s="8">
        <v>13.9</v>
      </c>
      <c r="S4645" s="8">
        <v>14.6</v>
      </c>
      <c r="T4645" s="8">
        <v>0.7</v>
      </c>
      <c r="U4645" s="8">
        <v>13.5</v>
      </c>
      <c r="V4645" s="8">
        <v>1.6</v>
      </c>
      <c r="W4645" s="8">
        <v>0.5</v>
      </c>
      <c r="X4645" s="8">
        <v>53</v>
      </c>
      <c r="Y4645" s="8" t="s">
        <v>750</v>
      </c>
      <c r="Z4645" s="8" t="s">
        <v>751</v>
      </c>
    </row>
    <row r="4646" spans="1:26" x14ac:dyDescent="0.2">
      <c r="A4646" s="8">
        <v>4645</v>
      </c>
      <c r="B4646" s="8" t="s">
        <v>20977</v>
      </c>
      <c r="C4646" s="8" t="s">
        <v>20977</v>
      </c>
      <c r="F4646" s="47"/>
      <c r="G4646" s="8">
        <v>13</v>
      </c>
      <c r="H4646" s="8" t="s">
        <v>21</v>
      </c>
      <c r="I4646" s="8" t="s">
        <v>22</v>
      </c>
      <c r="J4646" s="8" t="s">
        <v>22</v>
      </c>
      <c r="K4646" s="8" t="s">
        <v>50</v>
      </c>
      <c r="L4646" s="8" t="s">
        <v>16195</v>
      </c>
      <c r="M4646" s="8" t="s">
        <v>16196</v>
      </c>
      <c r="N4646" s="8" t="s">
        <v>20978</v>
      </c>
      <c r="O4646" s="8">
        <f>12+44/60+9.9/3600</f>
        <v>12.736083333333333</v>
      </c>
      <c r="P4646" s="8" t="s">
        <v>20979</v>
      </c>
      <c r="Q4646" s="8">
        <f>-(41+44/60+59/3600)</f>
        <v>-41.749722222222225</v>
      </c>
      <c r="R4646" s="8">
        <v>11.8</v>
      </c>
      <c r="S4646" s="8">
        <v>12.9</v>
      </c>
      <c r="T4646" s="8">
        <v>1.1000000000000001</v>
      </c>
      <c r="U4646" s="8">
        <v>12.9</v>
      </c>
      <c r="V4646" s="8">
        <v>2.2000000000000002</v>
      </c>
      <c r="W4646" s="8">
        <v>1.4</v>
      </c>
      <c r="X4646" s="8">
        <v>52</v>
      </c>
      <c r="Y4646" s="8" t="s">
        <v>20980</v>
      </c>
      <c r="Z4646" s="8" t="s">
        <v>20981</v>
      </c>
    </row>
    <row r="4647" spans="1:26" x14ac:dyDescent="0.2">
      <c r="A4647" s="8">
        <v>4646</v>
      </c>
      <c r="B4647" s="8" t="s">
        <v>20982</v>
      </c>
      <c r="C4647" s="8" t="s">
        <v>20982</v>
      </c>
      <c r="F4647" s="47" t="s">
        <v>57507</v>
      </c>
      <c r="G4647" s="8">
        <v>16</v>
      </c>
      <c r="H4647" s="8" t="s">
        <v>21</v>
      </c>
      <c r="I4647" s="8" t="s">
        <v>22</v>
      </c>
      <c r="J4647" s="8" t="s">
        <v>22</v>
      </c>
      <c r="K4647" s="8" t="s">
        <v>37</v>
      </c>
      <c r="L4647" s="8" t="s">
        <v>12015</v>
      </c>
      <c r="M4647" s="8" t="s">
        <v>12016</v>
      </c>
      <c r="N4647" s="8" t="s">
        <v>20983</v>
      </c>
      <c r="O4647" s="8">
        <f>12+42/60+52.1/3600</f>
        <v>12.714472222222222</v>
      </c>
      <c r="P4647" s="8" t="s">
        <v>20984</v>
      </c>
      <c r="Q4647" s="8">
        <f>+(54+51/60+24/3600)</f>
        <v>54.856666666666669</v>
      </c>
      <c r="R4647" s="8">
        <v>13.4</v>
      </c>
      <c r="S4647" s="8">
        <v>14.4</v>
      </c>
      <c r="T4647" s="8">
        <v>1</v>
      </c>
      <c r="U4647" s="8">
        <v>11.5</v>
      </c>
      <c r="V4647" s="8">
        <v>1</v>
      </c>
      <c r="W4647" s="8">
        <v>0.8</v>
      </c>
      <c r="X4647" s="8">
        <v>12</v>
      </c>
      <c r="Y4647" s="8" t="s">
        <v>21</v>
      </c>
      <c r="Z4647" s="8" t="s">
        <v>20985</v>
      </c>
    </row>
    <row r="4648" spans="1:26" x14ac:dyDescent="0.2">
      <c r="A4648" s="8">
        <v>4647</v>
      </c>
      <c r="B4648" s="8" t="s">
        <v>20986</v>
      </c>
      <c r="C4648" s="8" t="s">
        <v>20986</v>
      </c>
      <c r="F4648" s="47" t="s">
        <v>57508</v>
      </c>
      <c r="G4648" s="8">
        <v>6.5</v>
      </c>
      <c r="H4648" s="8" t="s">
        <v>21</v>
      </c>
      <c r="I4648" s="8" t="s">
        <v>22</v>
      </c>
      <c r="J4648" s="8" t="s">
        <v>22</v>
      </c>
      <c r="K4648" s="8" t="s">
        <v>64</v>
      </c>
      <c r="L4648" s="8" t="s">
        <v>17287</v>
      </c>
      <c r="M4648" s="8" t="s">
        <v>17288</v>
      </c>
      <c r="N4648" s="8" t="s">
        <v>20987</v>
      </c>
      <c r="O4648" s="8">
        <f>12+43/60+32.5/3600</f>
        <v>12.725694444444445</v>
      </c>
      <c r="P4648" s="8" t="s">
        <v>20988</v>
      </c>
      <c r="Q4648" s="8">
        <f>+(11+34/60+58/3600)</f>
        <v>11.582777777777778</v>
      </c>
      <c r="R4648" s="8">
        <v>11.3</v>
      </c>
      <c r="S4648" s="8">
        <v>11.9</v>
      </c>
      <c r="T4648" s="8">
        <v>0.6</v>
      </c>
      <c r="U4648" s="8">
        <v>13.2</v>
      </c>
      <c r="V4648" s="8">
        <v>2.9</v>
      </c>
      <c r="W4648" s="8">
        <v>2.2999999999999998</v>
      </c>
      <c r="X4648" s="8">
        <v>125</v>
      </c>
      <c r="Y4648" s="8" t="s">
        <v>21</v>
      </c>
      <c r="Z4648" s="8" t="s">
        <v>20989</v>
      </c>
    </row>
    <row r="4649" spans="1:26" x14ac:dyDescent="0.2">
      <c r="A4649" s="8">
        <v>4648</v>
      </c>
      <c r="B4649" s="8" t="s">
        <v>20990</v>
      </c>
      <c r="C4649" s="8" t="s">
        <v>20990</v>
      </c>
      <c r="F4649" s="47" t="s">
        <v>57509</v>
      </c>
      <c r="G4649" s="8">
        <v>15</v>
      </c>
      <c r="H4649" s="8" t="s">
        <v>21</v>
      </c>
      <c r="I4649" s="8" t="s">
        <v>22</v>
      </c>
      <c r="J4649" s="8" t="s">
        <v>22</v>
      </c>
      <c r="K4649" s="8" t="s">
        <v>382</v>
      </c>
      <c r="L4649" s="8" t="s">
        <v>13395</v>
      </c>
      <c r="M4649" s="8" t="s">
        <v>13396</v>
      </c>
      <c r="N4649" s="8" t="s">
        <v>20862</v>
      </c>
      <c r="O4649" s="8">
        <f>12+41/60+44.4/3600</f>
        <v>12.695666666666668</v>
      </c>
      <c r="P4649" s="8" t="s">
        <v>20991</v>
      </c>
      <c r="Q4649" s="8">
        <f>+(74+25/60+20/3600)</f>
        <v>74.422222222222231</v>
      </c>
      <c r="R4649" s="8">
        <v>12</v>
      </c>
      <c r="S4649" s="8">
        <v>13</v>
      </c>
      <c r="T4649" s="8">
        <v>1</v>
      </c>
      <c r="U4649" s="8">
        <v>13.4</v>
      </c>
      <c r="V4649" s="8">
        <v>1.8</v>
      </c>
      <c r="W4649" s="8">
        <v>1.2</v>
      </c>
      <c r="X4649" s="8">
        <v>70</v>
      </c>
      <c r="Y4649" s="8" t="s">
        <v>20992</v>
      </c>
      <c r="Z4649" s="8" t="s">
        <v>20993</v>
      </c>
    </row>
    <row r="4650" spans="1:26" x14ac:dyDescent="0.2">
      <c r="A4650" s="8">
        <v>4649</v>
      </c>
      <c r="B4650" s="8" t="s">
        <v>20994</v>
      </c>
      <c r="C4650" s="8" t="s">
        <v>55915</v>
      </c>
      <c r="F4650" s="47"/>
      <c r="G4650" s="8">
        <v>1</v>
      </c>
      <c r="H4650" s="8" t="s">
        <v>21</v>
      </c>
      <c r="I4650" s="8" t="s">
        <v>22</v>
      </c>
      <c r="J4650" s="8" t="s">
        <v>22</v>
      </c>
      <c r="K4650" s="8" t="s">
        <v>1136</v>
      </c>
      <c r="L4650" s="8" t="s">
        <v>17287</v>
      </c>
      <c r="M4650" s="8" t="s">
        <v>17288</v>
      </c>
      <c r="N4650" s="8" t="s">
        <v>20995</v>
      </c>
      <c r="O4650" s="8">
        <f>12+43/60+39.8/3600</f>
        <v>12.727722222222223</v>
      </c>
      <c r="P4650" s="8" t="s">
        <v>20996</v>
      </c>
      <c r="Q4650" s="8">
        <f>+(11+33/60+11/3600)</f>
        <v>11.553055555555556</v>
      </c>
      <c r="R4650" s="8">
        <v>8.8000000000000007</v>
      </c>
      <c r="S4650" s="8">
        <v>9.8000000000000007</v>
      </c>
      <c r="T4650" s="8">
        <v>1</v>
      </c>
      <c r="U4650" s="8">
        <v>13</v>
      </c>
      <c r="V4650" s="8">
        <v>7.6</v>
      </c>
      <c r="W4650" s="8">
        <v>6.2</v>
      </c>
      <c r="X4650" s="8">
        <v>105</v>
      </c>
      <c r="Y4650" s="8" t="s">
        <v>20997</v>
      </c>
      <c r="Z4650" s="8" t="s">
        <v>20998</v>
      </c>
    </row>
    <row r="4651" spans="1:26" x14ac:dyDescent="0.2">
      <c r="A4651" s="8">
        <v>4650</v>
      </c>
      <c r="B4651" s="8" t="s">
        <v>20999</v>
      </c>
      <c r="C4651" s="8" t="s">
        <v>20999</v>
      </c>
      <c r="F4651" s="47"/>
      <c r="G4651" s="8">
        <v>14</v>
      </c>
      <c r="H4651" s="8" t="s">
        <v>20874</v>
      </c>
      <c r="I4651" s="8" t="s">
        <v>22</v>
      </c>
      <c r="J4651" s="8" t="s">
        <v>22</v>
      </c>
      <c r="K4651" s="8" t="s">
        <v>435</v>
      </c>
      <c r="L4651" s="8" t="s">
        <v>16195</v>
      </c>
      <c r="M4651" s="8" t="s">
        <v>16196</v>
      </c>
      <c r="N4651" s="8" t="s">
        <v>21000</v>
      </c>
      <c r="O4651" s="8">
        <f>12+44/60+19.4/3600</f>
        <v>12.738722222222222</v>
      </c>
      <c r="P4651" s="8" t="s">
        <v>21001</v>
      </c>
      <c r="Q4651" s="8">
        <f>-(40+43/60+55/3600)</f>
        <v>-40.731944444444444</v>
      </c>
      <c r="R4651" s="8">
        <v>11.6</v>
      </c>
      <c r="S4651" s="8">
        <v>12.6</v>
      </c>
      <c r="T4651" s="8">
        <v>1</v>
      </c>
      <c r="U4651" s="8">
        <v>13.9</v>
      </c>
      <c r="V4651" s="8">
        <v>3.2</v>
      </c>
      <c r="W4651" s="8">
        <v>2.7</v>
      </c>
      <c r="X4651" s="8">
        <v>164</v>
      </c>
      <c r="Y4651" s="8" t="s">
        <v>21002</v>
      </c>
      <c r="Z4651" s="8" t="s">
        <v>21003</v>
      </c>
    </row>
    <row r="4652" spans="1:26" x14ac:dyDescent="0.2">
      <c r="A4652" s="8">
        <v>4651</v>
      </c>
      <c r="B4652" s="8" t="s">
        <v>21004</v>
      </c>
      <c r="C4652" s="8" t="s">
        <v>21004</v>
      </c>
      <c r="F4652" s="47" t="s">
        <v>57510</v>
      </c>
      <c r="G4652" s="8">
        <v>7</v>
      </c>
      <c r="H4652" s="8" t="s">
        <v>21005</v>
      </c>
      <c r="I4652" s="8" t="s">
        <v>22</v>
      </c>
      <c r="J4652" s="8" t="s">
        <v>22</v>
      </c>
      <c r="K4652" s="8" t="s">
        <v>538</v>
      </c>
      <c r="L4652" s="8" t="s">
        <v>18289</v>
      </c>
      <c r="M4652" s="8" t="s">
        <v>18290</v>
      </c>
      <c r="N4652" s="8" t="s">
        <v>21006</v>
      </c>
      <c r="O4652" s="8">
        <f>12+43/60+42.5/3600</f>
        <v>12.728472222222223</v>
      </c>
      <c r="P4652" s="8" t="s">
        <v>21007</v>
      </c>
      <c r="Q4652" s="8">
        <f>+(16+23/60+37/3600)</f>
        <v>16.39361111111111</v>
      </c>
      <c r="R4652" s="8">
        <v>10.8</v>
      </c>
      <c r="S4652" s="8">
        <v>11.4</v>
      </c>
      <c r="T4652" s="8">
        <v>0.6</v>
      </c>
      <c r="U4652" s="8">
        <v>13.3</v>
      </c>
      <c r="V4652" s="8">
        <v>4</v>
      </c>
      <c r="W4652" s="8">
        <v>2.7</v>
      </c>
      <c r="X4652" s="8">
        <v>80</v>
      </c>
      <c r="Y4652" s="8" t="s">
        <v>21008</v>
      </c>
      <c r="Z4652" s="8" t="s">
        <v>21009</v>
      </c>
    </row>
    <row r="4653" spans="1:26" x14ac:dyDescent="0.2">
      <c r="A4653" s="8">
        <v>4652</v>
      </c>
      <c r="B4653" s="8" t="s">
        <v>21010</v>
      </c>
      <c r="C4653" s="8" t="s">
        <v>21010</v>
      </c>
      <c r="F4653" s="47"/>
      <c r="G4653" s="8">
        <v>16</v>
      </c>
      <c r="H4653" s="8" t="s">
        <v>21</v>
      </c>
      <c r="I4653" s="8" t="s">
        <v>22</v>
      </c>
      <c r="J4653" s="8" t="s">
        <v>22</v>
      </c>
      <c r="K4653" s="8" t="s">
        <v>23</v>
      </c>
      <c r="L4653" s="8" t="s">
        <v>12015</v>
      </c>
      <c r="M4653" s="8" t="s">
        <v>12016</v>
      </c>
      <c r="N4653" s="8" t="s">
        <v>21011</v>
      </c>
      <c r="O4653" s="8">
        <f>12+43/60+19.7/3600</f>
        <v>12.722138888888889</v>
      </c>
      <c r="P4653" s="8" t="s">
        <v>21012</v>
      </c>
      <c r="Q4653" s="8">
        <f>+(58+57/60+55/3600)</f>
        <v>58.965277777777779</v>
      </c>
      <c r="R4653" s="8">
        <v>14.6</v>
      </c>
      <c r="S4653" s="8">
        <v>15.4</v>
      </c>
      <c r="T4653" s="8">
        <v>0.8</v>
      </c>
      <c r="U4653" s="8">
        <v>13.2</v>
      </c>
      <c r="V4653" s="8">
        <v>1</v>
      </c>
      <c r="W4653" s="8">
        <v>0.2</v>
      </c>
      <c r="X4653" s="8">
        <v>39</v>
      </c>
      <c r="Y4653" s="8" t="s">
        <v>21013</v>
      </c>
      <c r="Z4653" s="8" t="s">
        <v>21014</v>
      </c>
    </row>
    <row r="4654" spans="1:26" x14ac:dyDescent="0.2">
      <c r="A4654" s="8">
        <v>4653</v>
      </c>
      <c r="B4654" s="8" t="s">
        <v>21015</v>
      </c>
      <c r="C4654" s="8" t="s">
        <v>21015</v>
      </c>
      <c r="F4654" s="47" t="s">
        <v>57511</v>
      </c>
      <c r="G4654" s="8">
        <v>13</v>
      </c>
      <c r="H4654" s="8" t="s">
        <v>21</v>
      </c>
      <c r="I4654" s="8" t="s">
        <v>22</v>
      </c>
      <c r="J4654" s="8" t="s">
        <v>22</v>
      </c>
      <c r="K4654" s="8" t="s">
        <v>64</v>
      </c>
      <c r="L4654" s="8" t="s">
        <v>17287</v>
      </c>
      <c r="M4654" s="8" t="s">
        <v>17288</v>
      </c>
      <c r="N4654" s="8" t="s">
        <v>21016</v>
      </c>
      <c r="O4654" s="8">
        <f>12+43/60+51/3600</f>
        <v>12.730833333333333</v>
      </c>
      <c r="P4654" s="8" t="s">
        <v>21017</v>
      </c>
      <c r="Q4654" s="8">
        <f>-(0+33/60+40/3600)</f>
        <v>-0.56111111111111112</v>
      </c>
      <c r="R4654" s="8">
        <v>12.2</v>
      </c>
      <c r="S4654" s="8">
        <v>12.7</v>
      </c>
      <c r="T4654" s="8">
        <v>0.5</v>
      </c>
      <c r="U4654" s="8">
        <v>14.4</v>
      </c>
      <c r="V4654" s="8">
        <v>3.1</v>
      </c>
      <c r="W4654" s="8">
        <v>2.7</v>
      </c>
      <c r="X4654" s="8">
        <v>30</v>
      </c>
      <c r="Y4654" s="8" t="s">
        <v>1225</v>
      </c>
      <c r="Z4654" s="8" t="s">
        <v>1226</v>
      </c>
    </row>
    <row r="4655" spans="1:26" x14ac:dyDescent="0.2">
      <c r="A4655" s="8">
        <v>4654</v>
      </c>
      <c r="B4655" s="8" t="s">
        <v>21018</v>
      </c>
      <c r="C4655" s="8" t="s">
        <v>21018</v>
      </c>
      <c r="F4655" s="47" t="s">
        <v>57512</v>
      </c>
      <c r="G4655" s="8">
        <v>6</v>
      </c>
      <c r="H4655" s="8" t="s">
        <v>21</v>
      </c>
      <c r="I4655" s="8" t="s">
        <v>22</v>
      </c>
      <c r="J4655" s="8" t="s">
        <v>22</v>
      </c>
      <c r="K4655" s="8" t="s">
        <v>1277</v>
      </c>
      <c r="L4655" s="8" t="s">
        <v>17287</v>
      </c>
      <c r="M4655" s="8" t="s">
        <v>17288</v>
      </c>
      <c r="N4655" s="8" t="s">
        <v>21019</v>
      </c>
      <c r="O4655" s="8">
        <f>12+43/60+56.5/3600</f>
        <v>12.732361111111111</v>
      </c>
      <c r="P4655" s="8" t="s">
        <v>21020</v>
      </c>
      <c r="Q4655" s="8">
        <f>+(13+7/60+35/3600)</f>
        <v>13.12638888888889</v>
      </c>
      <c r="R4655" s="8">
        <v>10.5</v>
      </c>
      <c r="S4655" s="8">
        <v>11.1</v>
      </c>
      <c r="T4655" s="8">
        <v>0.6</v>
      </c>
      <c r="U4655" s="8">
        <v>13.2</v>
      </c>
      <c r="V4655" s="8">
        <v>5</v>
      </c>
      <c r="W4655" s="8">
        <v>3.1</v>
      </c>
      <c r="X4655" s="8">
        <v>128</v>
      </c>
      <c r="Y4655" s="8" t="s">
        <v>21021</v>
      </c>
      <c r="Z4655" s="8" t="s">
        <v>21022</v>
      </c>
    </row>
    <row r="4656" spans="1:26" x14ac:dyDescent="0.2">
      <c r="A4656" s="8">
        <v>4655</v>
      </c>
      <c r="B4656" s="8" t="s">
        <v>21023</v>
      </c>
      <c r="C4656" s="8" t="s">
        <v>21023</v>
      </c>
      <c r="F4656" s="47" t="s">
        <v>57513</v>
      </c>
      <c r="G4656" s="8">
        <v>15</v>
      </c>
      <c r="H4656" s="8" t="s">
        <v>21</v>
      </c>
      <c r="I4656" s="8" t="s">
        <v>22</v>
      </c>
      <c r="J4656" s="8" t="s">
        <v>22</v>
      </c>
      <c r="K4656" s="8" t="s">
        <v>2572</v>
      </c>
      <c r="L4656" s="8" t="s">
        <v>18681</v>
      </c>
      <c r="M4656" s="8" t="s">
        <v>18682</v>
      </c>
      <c r="N4656" s="8" t="s">
        <v>21024</v>
      </c>
      <c r="O4656" s="8">
        <f>12+43/60+36.4/3600</f>
        <v>12.726777777777778</v>
      </c>
      <c r="P4656" s="8" t="s">
        <v>21025</v>
      </c>
      <c r="Q4656" s="8">
        <f>+(41+1/60+9/3600)</f>
        <v>41.019166666666663</v>
      </c>
      <c r="R4656" s="8">
        <v>13.9</v>
      </c>
      <c r="S4656" s="8">
        <v>14.7</v>
      </c>
      <c r="T4656" s="8">
        <v>0.8</v>
      </c>
      <c r="U4656" s="8">
        <v>13.8</v>
      </c>
      <c r="V4656" s="8">
        <v>1</v>
      </c>
      <c r="W4656" s="8">
        <v>1</v>
      </c>
      <c r="Y4656" s="8" t="s">
        <v>21026</v>
      </c>
      <c r="Z4656" s="8" t="s">
        <v>21027</v>
      </c>
    </row>
    <row r="4657" spans="1:26" x14ac:dyDescent="0.2">
      <c r="A4657" s="8">
        <v>4656</v>
      </c>
      <c r="B4657" s="8" t="s">
        <v>21028</v>
      </c>
      <c r="C4657" s="8" t="s">
        <v>21028</v>
      </c>
      <c r="F4657" s="47" t="s">
        <v>57514</v>
      </c>
      <c r="G4657" s="8">
        <v>6</v>
      </c>
      <c r="H4657" s="8" t="s">
        <v>21029</v>
      </c>
      <c r="I4657" s="8" t="s">
        <v>22</v>
      </c>
      <c r="J4657" s="8" t="s">
        <v>22</v>
      </c>
      <c r="K4657" s="8" t="s">
        <v>323</v>
      </c>
      <c r="L4657" s="8" t="s">
        <v>18681</v>
      </c>
      <c r="M4657" s="8" t="s">
        <v>18682</v>
      </c>
      <c r="N4657" s="8" t="s">
        <v>21030</v>
      </c>
      <c r="O4657" s="8">
        <f>12+43/60+58.1/3600</f>
        <v>12.732805555555556</v>
      </c>
      <c r="P4657" s="8" t="s">
        <v>21031</v>
      </c>
      <c r="Q4657" s="8">
        <f>+(32+10/60+11/3600)</f>
        <v>32.169722222222219</v>
      </c>
      <c r="R4657" s="8">
        <v>10.5</v>
      </c>
      <c r="S4657" s="8">
        <v>11</v>
      </c>
      <c r="T4657" s="8">
        <v>0.5</v>
      </c>
      <c r="U4657" s="8">
        <v>14.5</v>
      </c>
      <c r="V4657" s="8">
        <v>15.3</v>
      </c>
      <c r="W4657" s="8">
        <v>2.4</v>
      </c>
      <c r="X4657" s="8">
        <v>33</v>
      </c>
      <c r="Y4657" s="8" t="s">
        <v>21032</v>
      </c>
      <c r="Z4657" s="8" t="s">
        <v>21033</v>
      </c>
    </row>
    <row r="4658" spans="1:26" x14ac:dyDescent="0.2">
      <c r="A4658" s="8">
        <v>4657</v>
      </c>
      <c r="B4658" s="8" t="s">
        <v>21034</v>
      </c>
      <c r="C4658" s="8" t="s">
        <v>21034</v>
      </c>
      <c r="F4658" s="47" t="s">
        <v>57515</v>
      </c>
      <c r="G4658" s="8">
        <v>8</v>
      </c>
      <c r="H4658" s="8" t="s">
        <v>21035</v>
      </c>
      <c r="I4658" s="8" t="s">
        <v>1075</v>
      </c>
      <c r="J4658" s="8" t="s">
        <v>1075</v>
      </c>
      <c r="K4658" s="8" t="s">
        <v>1075</v>
      </c>
      <c r="L4658" s="8" t="s">
        <v>18681</v>
      </c>
      <c r="M4658" s="8" t="s">
        <v>18682</v>
      </c>
      <c r="N4658" s="8" t="s">
        <v>21036</v>
      </c>
      <c r="O4658" s="8">
        <f>12+44/60+6.9/3600</f>
        <v>12.735249999999999</v>
      </c>
      <c r="P4658" s="8" t="s">
        <v>21037</v>
      </c>
      <c r="Q4658" s="8">
        <f>+(32+12/60+33/3600)</f>
        <v>32.209166666666668</v>
      </c>
      <c r="R4658" s="8">
        <v>12.4</v>
      </c>
      <c r="S4658" s="8">
        <v>13</v>
      </c>
      <c r="T4658" s="8">
        <v>0.6</v>
      </c>
      <c r="U4658" s="8">
        <v>12</v>
      </c>
      <c r="V4658" s="8">
        <v>1.3</v>
      </c>
      <c r="W4658" s="8">
        <v>0.6</v>
      </c>
      <c r="X4658" s="8">
        <v>160</v>
      </c>
      <c r="Y4658" s="8" t="s">
        <v>21038</v>
      </c>
      <c r="Z4658" s="8" t="s">
        <v>21039</v>
      </c>
    </row>
    <row r="4659" spans="1:26" x14ac:dyDescent="0.2">
      <c r="A4659" s="8">
        <v>4658</v>
      </c>
      <c r="B4659" s="8" t="s">
        <v>21040</v>
      </c>
      <c r="C4659" s="8" t="s">
        <v>21040</v>
      </c>
      <c r="F4659" s="47" t="s">
        <v>57516</v>
      </c>
      <c r="G4659" s="8">
        <v>13</v>
      </c>
      <c r="H4659" s="8" t="s">
        <v>21</v>
      </c>
      <c r="I4659" s="8" t="s">
        <v>22</v>
      </c>
      <c r="J4659" s="8" t="s">
        <v>22</v>
      </c>
      <c r="K4659" s="8" t="s">
        <v>85</v>
      </c>
      <c r="L4659" s="8" t="s">
        <v>17287</v>
      </c>
      <c r="M4659" s="8" t="s">
        <v>17288</v>
      </c>
      <c r="N4659" s="8" t="s">
        <v>21041</v>
      </c>
      <c r="O4659" s="8">
        <f>12+44/60+37.7/3600</f>
        <v>12.743805555555555</v>
      </c>
      <c r="P4659" s="8" t="s">
        <v>21042</v>
      </c>
      <c r="Q4659" s="8">
        <f>-(10+5/60+4/3600)</f>
        <v>-10.084444444444445</v>
      </c>
      <c r="R4659" s="8">
        <v>12.5</v>
      </c>
      <c r="S4659" s="8">
        <v>13</v>
      </c>
      <c r="T4659" s="8">
        <v>0.5</v>
      </c>
      <c r="U4659" s="8">
        <v>13</v>
      </c>
      <c r="V4659" s="8">
        <v>2.1</v>
      </c>
      <c r="W4659" s="8">
        <v>0.9</v>
      </c>
      <c r="X4659" s="8">
        <v>3</v>
      </c>
      <c r="Y4659" s="8" t="s">
        <v>21043</v>
      </c>
      <c r="Z4659" s="8" t="s">
        <v>21044</v>
      </c>
    </row>
    <row r="4660" spans="1:26" x14ac:dyDescent="0.2">
      <c r="A4660" s="8">
        <v>4659</v>
      </c>
      <c r="B4660" s="8" t="s">
        <v>21045</v>
      </c>
      <c r="C4660" s="8" t="s">
        <v>21045</v>
      </c>
      <c r="F4660" s="47" t="s">
        <v>57517</v>
      </c>
      <c r="G4660" s="8">
        <v>12</v>
      </c>
      <c r="H4660" s="8" t="s">
        <v>21</v>
      </c>
      <c r="I4660" s="8" t="s">
        <v>22</v>
      </c>
      <c r="J4660" s="8" t="s">
        <v>22</v>
      </c>
      <c r="K4660" s="8" t="s">
        <v>632</v>
      </c>
      <c r="L4660" s="8" t="s">
        <v>18289</v>
      </c>
      <c r="M4660" s="8" t="s">
        <v>18290</v>
      </c>
      <c r="N4660" s="8" t="s">
        <v>21046</v>
      </c>
      <c r="O4660" s="8">
        <f>12+44/60+29.5/3600</f>
        <v>12.741527777777778</v>
      </c>
      <c r="P4660" s="8" t="s">
        <v>21047</v>
      </c>
      <c r="Q4660" s="8">
        <f>+(13+29/60+56/3600)</f>
        <v>13.498888888888889</v>
      </c>
      <c r="R4660" s="8">
        <v>12.1</v>
      </c>
      <c r="S4660" s="8">
        <v>13</v>
      </c>
      <c r="T4660" s="8">
        <v>0.9</v>
      </c>
      <c r="U4660" s="8">
        <v>12.8</v>
      </c>
      <c r="V4660" s="8">
        <v>1.8</v>
      </c>
      <c r="W4660" s="8">
        <v>1.3</v>
      </c>
      <c r="X4660" s="8">
        <v>173</v>
      </c>
      <c r="Y4660" s="8" t="s">
        <v>21048</v>
      </c>
      <c r="Z4660" s="8" t="s">
        <v>21049</v>
      </c>
    </row>
    <row r="4661" spans="1:26" x14ac:dyDescent="0.2">
      <c r="A4661" s="8">
        <v>4660</v>
      </c>
      <c r="B4661" s="8" t="s">
        <v>21050</v>
      </c>
      <c r="C4661" s="8" t="s">
        <v>21050</v>
      </c>
      <c r="F4661" s="47" t="s">
        <v>57518</v>
      </c>
      <c r="G4661" s="8">
        <v>6</v>
      </c>
      <c r="H4661" s="8" t="s">
        <v>21</v>
      </c>
      <c r="I4661" s="8" t="s">
        <v>22</v>
      </c>
      <c r="J4661" s="8" t="s">
        <v>22</v>
      </c>
      <c r="K4661" s="8" t="s">
        <v>1136</v>
      </c>
      <c r="L4661" s="8" t="s">
        <v>17287</v>
      </c>
      <c r="M4661" s="8" t="s">
        <v>17288</v>
      </c>
      <c r="N4661" s="8" t="s">
        <v>21051</v>
      </c>
      <c r="O4661" s="8">
        <f>12+44/60+31.8/3600</f>
        <v>12.742166666666666</v>
      </c>
      <c r="P4661" s="8" t="s">
        <v>21052</v>
      </c>
      <c r="Q4661" s="8">
        <f>+(11+11/60+26/3600)</f>
        <v>11.190555555555555</v>
      </c>
      <c r="R4661" s="8">
        <v>11.2</v>
      </c>
      <c r="S4661" s="8">
        <v>12.2</v>
      </c>
      <c r="T4661" s="8">
        <v>1</v>
      </c>
      <c r="U4661" s="8">
        <v>12.6</v>
      </c>
      <c r="V4661" s="8">
        <v>2.1</v>
      </c>
      <c r="W4661" s="8">
        <v>1.7</v>
      </c>
      <c r="X4661" s="8">
        <v>100</v>
      </c>
      <c r="Y4661" s="8" t="s">
        <v>21053</v>
      </c>
      <c r="Z4661" s="8" t="s">
        <v>21054</v>
      </c>
    </row>
    <row r="4662" spans="1:26" x14ac:dyDescent="0.2">
      <c r="A4662" s="8">
        <v>4661</v>
      </c>
      <c r="B4662" s="8" t="s">
        <v>21055</v>
      </c>
      <c r="C4662" s="8" t="s">
        <v>21055</v>
      </c>
      <c r="F4662" s="47"/>
      <c r="G4662" s="8">
        <v>16</v>
      </c>
      <c r="H4662" s="8" t="s">
        <v>21</v>
      </c>
      <c r="I4662" s="8" t="s">
        <v>22</v>
      </c>
      <c r="J4662" s="8" t="s">
        <v>22</v>
      </c>
      <c r="K4662" s="8" t="s">
        <v>58</v>
      </c>
      <c r="L4662" s="8" t="s">
        <v>16195</v>
      </c>
      <c r="M4662" s="8" t="s">
        <v>16196</v>
      </c>
      <c r="N4662" s="8" t="s">
        <v>21056</v>
      </c>
      <c r="O4662" s="8">
        <f>12+45/60+14.9/3600</f>
        <v>12.754138888888889</v>
      </c>
      <c r="P4662" s="8" t="s">
        <v>21057</v>
      </c>
      <c r="Q4662" s="8">
        <f>-(40+49/60+28/3600)</f>
        <v>-40.824444444444445</v>
      </c>
      <c r="R4662" s="8">
        <v>13.5</v>
      </c>
      <c r="S4662" s="8">
        <v>14.5</v>
      </c>
      <c r="T4662" s="8">
        <v>1</v>
      </c>
      <c r="U4662" s="8">
        <v>12.8</v>
      </c>
      <c r="V4662" s="8">
        <v>1.2</v>
      </c>
      <c r="W4662" s="8">
        <v>0.4</v>
      </c>
      <c r="X4662" s="8">
        <v>121</v>
      </c>
      <c r="Y4662" s="8" t="s">
        <v>21008</v>
      </c>
      <c r="Z4662" s="8" t="s">
        <v>523</v>
      </c>
    </row>
    <row r="4663" spans="1:26" x14ac:dyDescent="0.2">
      <c r="A4663" s="8">
        <v>4662</v>
      </c>
      <c r="B4663" s="8" t="s">
        <v>21058</v>
      </c>
      <c r="C4663" s="8" t="s">
        <v>21058</v>
      </c>
      <c r="F4663" s="47" t="s">
        <v>57519</v>
      </c>
      <c r="G4663" s="8">
        <v>15</v>
      </c>
      <c r="H4663" s="8" t="s">
        <v>21</v>
      </c>
      <c r="I4663" s="8" t="s">
        <v>22</v>
      </c>
      <c r="J4663" s="8" t="s">
        <v>22</v>
      </c>
      <c r="K4663" s="8" t="s">
        <v>85</v>
      </c>
      <c r="L4663" s="8" t="s">
        <v>18681</v>
      </c>
      <c r="M4663" s="8" t="s">
        <v>18682</v>
      </c>
      <c r="N4663" s="8" t="s">
        <v>21059</v>
      </c>
      <c r="O4663" s="8">
        <f>12+44/60+26.3/3600</f>
        <v>12.740638888888888</v>
      </c>
      <c r="P4663" s="8" t="s">
        <v>21060</v>
      </c>
      <c r="Q4663" s="8">
        <f>+(37+7/60+16/3600)</f>
        <v>37.121111111111112</v>
      </c>
      <c r="R4663" s="8">
        <v>12.7</v>
      </c>
      <c r="S4663" s="8">
        <v>13.5</v>
      </c>
      <c r="T4663" s="8">
        <v>0.8</v>
      </c>
      <c r="U4663" s="8">
        <v>13.8</v>
      </c>
      <c r="V4663" s="8">
        <v>1.9</v>
      </c>
      <c r="W4663" s="8">
        <v>1.6</v>
      </c>
      <c r="X4663" s="8">
        <v>55</v>
      </c>
      <c r="Y4663" s="8" t="s">
        <v>21061</v>
      </c>
      <c r="Z4663" s="8" t="s">
        <v>21062</v>
      </c>
    </row>
    <row r="4664" spans="1:26" x14ac:dyDescent="0.2">
      <c r="A4664" s="8">
        <v>4663</v>
      </c>
      <c r="B4664" s="8" t="s">
        <v>21063</v>
      </c>
      <c r="C4664" s="8" t="s">
        <v>21063</v>
      </c>
      <c r="F4664" s="47"/>
      <c r="G4664" s="8">
        <v>19</v>
      </c>
      <c r="H4664" s="8" t="s">
        <v>21</v>
      </c>
      <c r="I4664" s="8" t="s">
        <v>22</v>
      </c>
      <c r="J4664" s="8" t="s">
        <v>22</v>
      </c>
      <c r="K4664" s="8" t="s">
        <v>224</v>
      </c>
      <c r="L4664" s="8" t="s">
        <v>17287</v>
      </c>
      <c r="M4664" s="8" t="s">
        <v>17288</v>
      </c>
      <c r="N4664" s="8" t="s">
        <v>21064</v>
      </c>
      <c r="O4664" s="8">
        <f>12+44/60+47/3600</f>
        <v>12.746388888888887</v>
      </c>
      <c r="P4664" s="8" t="s">
        <v>21065</v>
      </c>
      <c r="Q4664" s="8">
        <f>-(10+11/60+53/3600)</f>
        <v>-10.198055555555555</v>
      </c>
      <c r="R4664" s="8">
        <v>13.5</v>
      </c>
      <c r="S4664" s="8">
        <v>14.5</v>
      </c>
      <c r="T4664" s="8">
        <v>1</v>
      </c>
      <c r="U4664" s="8">
        <v>13.2</v>
      </c>
      <c r="V4664" s="8">
        <v>1.1000000000000001</v>
      </c>
      <c r="W4664" s="8">
        <v>0.8</v>
      </c>
      <c r="X4664" s="8">
        <v>170</v>
      </c>
      <c r="Y4664" s="8" t="s">
        <v>21066</v>
      </c>
      <c r="Z4664" s="8" t="s">
        <v>21067</v>
      </c>
    </row>
    <row r="4665" spans="1:26" x14ac:dyDescent="0.2">
      <c r="A4665" s="8">
        <v>4664</v>
      </c>
      <c r="B4665" s="8" t="s">
        <v>21068</v>
      </c>
      <c r="C4665" s="8" t="s">
        <v>21068</v>
      </c>
      <c r="F4665" s="50" t="s">
        <v>57520</v>
      </c>
      <c r="G4665" s="8">
        <v>15</v>
      </c>
      <c r="H4665" s="8" t="s">
        <v>21</v>
      </c>
      <c r="I4665" s="8" t="s">
        <v>22</v>
      </c>
      <c r="J4665" s="8" t="s">
        <v>22</v>
      </c>
      <c r="K4665" s="8" t="s">
        <v>435</v>
      </c>
      <c r="L4665" s="8" t="s">
        <v>17287</v>
      </c>
      <c r="M4665" s="8" t="s">
        <v>17288</v>
      </c>
      <c r="N4665" s="8" t="s">
        <v>20885</v>
      </c>
      <c r="O4665" s="8">
        <f>12+45/60+6.1/3600</f>
        <v>12.751694444444444</v>
      </c>
      <c r="P4665" s="8" t="s">
        <v>20886</v>
      </c>
      <c r="Q4665" s="8">
        <f>+(3+3/60+19/3600)</f>
        <v>3.0552777777777775</v>
      </c>
      <c r="R4665" s="8">
        <v>10.5</v>
      </c>
      <c r="S4665" s="8">
        <v>11.2</v>
      </c>
      <c r="T4665" s="8">
        <v>0.7</v>
      </c>
      <c r="U4665" s="8">
        <v>13.1</v>
      </c>
      <c r="V4665" s="8">
        <v>3.5</v>
      </c>
      <c r="W4665" s="8">
        <v>3.5</v>
      </c>
      <c r="Y4665" s="8" t="s">
        <v>21069</v>
      </c>
      <c r="Z4665" s="8" t="s">
        <v>21070</v>
      </c>
    </row>
    <row r="4666" spans="1:26" x14ac:dyDescent="0.2">
      <c r="A4666" s="8">
        <v>4665</v>
      </c>
      <c r="B4666" s="8" t="s">
        <v>21071</v>
      </c>
      <c r="C4666" s="8" t="s">
        <v>21071</v>
      </c>
      <c r="F4666" s="47" t="s">
        <v>57521</v>
      </c>
      <c r="G4666" s="8">
        <v>6</v>
      </c>
      <c r="H4666" s="8" t="s">
        <v>21</v>
      </c>
      <c r="I4666" s="8" t="s">
        <v>22</v>
      </c>
      <c r="J4666" s="8" t="s">
        <v>57</v>
      </c>
      <c r="K4666" s="8" t="s">
        <v>435</v>
      </c>
      <c r="L4666" s="8" t="s">
        <v>17287</v>
      </c>
      <c r="M4666" s="8" t="s">
        <v>17288</v>
      </c>
      <c r="N4666" s="8" t="s">
        <v>20885</v>
      </c>
      <c r="O4666" s="8">
        <f>12+45/60+6.1/3600</f>
        <v>12.751694444444444</v>
      </c>
      <c r="P4666" s="8" t="s">
        <v>20886</v>
      </c>
      <c r="Q4666" s="8">
        <f>+(3+3/60+19/3600)</f>
        <v>3.0552777777777775</v>
      </c>
      <c r="R4666" s="8">
        <v>10.5</v>
      </c>
      <c r="S4666" s="8">
        <v>11.2</v>
      </c>
      <c r="T4666" s="8">
        <v>0.7</v>
      </c>
      <c r="U4666" s="8">
        <v>13.1</v>
      </c>
      <c r="V4666" s="8">
        <v>3.5</v>
      </c>
      <c r="W4666" s="8">
        <v>3.5</v>
      </c>
      <c r="Y4666" s="8" t="s">
        <v>21069</v>
      </c>
      <c r="Z4666" s="8" t="s">
        <v>21072</v>
      </c>
    </row>
    <row r="4667" spans="1:26" x14ac:dyDescent="0.2">
      <c r="A4667" s="8">
        <v>4666</v>
      </c>
      <c r="B4667" s="8" t="s">
        <v>21073</v>
      </c>
      <c r="C4667" s="8" t="s">
        <v>21073</v>
      </c>
      <c r="F4667" s="47" t="s">
        <v>57522</v>
      </c>
      <c r="G4667" s="8">
        <v>6</v>
      </c>
      <c r="H4667" s="8" t="s">
        <v>21074</v>
      </c>
      <c r="I4667" s="8" t="s">
        <v>22</v>
      </c>
      <c r="J4667" s="8" t="s">
        <v>22</v>
      </c>
      <c r="K4667" s="8" t="s">
        <v>64</v>
      </c>
      <c r="L4667" s="8" t="s">
        <v>17287</v>
      </c>
      <c r="M4667" s="8" t="s">
        <v>17288</v>
      </c>
      <c r="N4667" s="8" t="s">
        <v>21075</v>
      </c>
      <c r="O4667" s="8">
        <f>12+45/60+8.2/3600</f>
        <v>12.752277777777778</v>
      </c>
      <c r="P4667" s="8" t="s">
        <v>21076</v>
      </c>
      <c r="Q4667" s="8">
        <f>-(0+27/60+46/3600)</f>
        <v>-0.46277777777777779</v>
      </c>
      <c r="R4667" s="8">
        <v>10.7</v>
      </c>
      <c r="S4667" s="8">
        <v>11.5</v>
      </c>
      <c r="T4667" s="8">
        <v>0.8</v>
      </c>
      <c r="U4667" s="8">
        <v>12.5</v>
      </c>
      <c r="V4667" s="8">
        <v>4.5</v>
      </c>
      <c r="W4667" s="8">
        <v>1.4</v>
      </c>
      <c r="X4667" s="8">
        <v>42</v>
      </c>
      <c r="Y4667" s="8" t="s">
        <v>21077</v>
      </c>
      <c r="Z4667" s="8" t="s">
        <v>21078</v>
      </c>
    </row>
    <row r="4668" spans="1:26" x14ac:dyDescent="0.2">
      <c r="A4668" s="8">
        <v>4667</v>
      </c>
      <c r="B4668" s="8" t="s">
        <v>21079</v>
      </c>
      <c r="C4668" s="8" t="s">
        <v>21079</v>
      </c>
      <c r="F4668" s="47"/>
      <c r="G4668" s="8">
        <v>16</v>
      </c>
      <c r="H4668" s="8" t="s">
        <v>21</v>
      </c>
      <c r="I4668" s="8" t="s">
        <v>22</v>
      </c>
      <c r="J4668" s="8" t="s">
        <v>57</v>
      </c>
      <c r="K4668" s="8" t="s">
        <v>58</v>
      </c>
      <c r="L4668" s="8" t="s">
        <v>17287</v>
      </c>
      <c r="M4668" s="8" t="s">
        <v>17288</v>
      </c>
      <c r="N4668" s="8" t="s">
        <v>20950</v>
      </c>
      <c r="O4668" s="8">
        <f>12+42/60+47.3/3600</f>
        <v>12.713138888888889</v>
      </c>
      <c r="P4668" s="8" t="s">
        <v>20951</v>
      </c>
      <c r="Q4668" s="8">
        <f>+(11+26/60+33/3600)</f>
        <v>11.442500000000001</v>
      </c>
      <c r="R4668" s="8">
        <v>11.2</v>
      </c>
      <c r="S4668" s="8">
        <v>12.1</v>
      </c>
      <c r="T4668" s="8">
        <v>0.9</v>
      </c>
      <c r="U4668" s="8">
        <v>12.3</v>
      </c>
      <c r="V4668" s="8">
        <v>2.2000000000000002</v>
      </c>
      <c r="W4668" s="8">
        <v>1.4</v>
      </c>
      <c r="X4668" s="8">
        <v>125</v>
      </c>
      <c r="Y4668" s="8" t="s">
        <v>21080</v>
      </c>
      <c r="Z4668" s="8" t="s">
        <v>21081</v>
      </c>
    </row>
    <row r="4669" spans="1:26" x14ac:dyDescent="0.2">
      <c r="A4669" s="8">
        <v>4668</v>
      </c>
      <c r="B4669" s="8" t="s">
        <v>21082</v>
      </c>
      <c r="C4669" s="8" t="s">
        <v>21082</v>
      </c>
      <c r="F4669" s="47" t="s">
        <v>57523</v>
      </c>
      <c r="G4669" s="8">
        <v>11</v>
      </c>
      <c r="H4669" s="8" t="s">
        <v>21</v>
      </c>
      <c r="I4669" s="8" t="s">
        <v>22</v>
      </c>
      <c r="J4669" s="8" t="s">
        <v>22</v>
      </c>
      <c r="K4669" s="8" t="s">
        <v>1277</v>
      </c>
      <c r="L4669" s="8" t="s">
        <v>17287</v>
      </c>
      <c r="M4669" s="8" t="s">
        <v>17288</v>
      </c>
      <c r="N4669" s="8" t="s">
        <v>21083</v>
      </c>
      <c r="O4669" s="8">
        <f>12+45/60+31.8/3600</f>
        <v>12.758833333333333</v>
      </c>
      <c r="P4669" s="8" t="s">
        <v>21084</v>
      </c>
      <c r="Q4669" s="8">
        <f>-(0+32/60+10/3600)</f>
        <v>-0.53611111111111109</v>
      </c>
      <c r="R4669" s="8">
        <v>13.1</v>
      </c>
      <c r="S4669" s="8">
        <v>13.6</v>
      </c>
      <c r="T4669" s="8">
        <v>0.5</v>
      </c>
      <c r="U4669" s="8">
        <v>13.1</v>
      </c>
      <c r="V4669" s="8">
        <v>1.4</v>
      </c>
      <c r="W4669" s="8">
        <v>0.8</v>
      </c>
      <c r="X4669" s="8">
        <v>5</v>
      </c>
      <c r="Y4669" s="8" t="s">
        <v>5139</v>
      </c>
      <c r="Z4669" s="8" t="s">
        <v>5140</v>
      </c>
    </row>
    <row r="4670" spans="1:26" x14ac:dyDescent="0.2">
      <c r="A4670" s="8">
        <v>4669</v>
      </c>
      <c r="B4670" s="8" t="s">
        <v>21085</v>
      </c>
      <c r="C4670" s="8" t="s">
        <v>21085</v>
      </c>
      <c r="F4670" s="47" t="s">
        <v>57524</v>
      </c>
      <c r="G4670" s="8">
        <v>14</v>
      </c>
      <c r="H4670" s="8" t="s">
        <v>21086</v>
      </c>
      <c r="I4670" s="8" t="s">
        <v>22</v>
      </c>
      <c r="J4670" s="8" t="s">
        <v>22</v>
      </c>
      <c r="K4670" s="8" t="s">
        <v>23</v>
      </c>
      <c r="L4670" s="8" t="s">
        <v>12015</v>
      </c>
      <c r="M4670" s="8" t="s">
        <v>12016</v>
      </c>
      <c r="N4670" s="8" t="s">
        <v>21087</v>
      </c>
      <c r="O4670" s="8">
        <f>12+44/60+46.7/3600</f>
        <v>12.746305555555555</v>
      </c>
      <c r="P4670" s="8" t="s">
        <v>21088</v>
      </c>
      <c r="Q4670" s="8">
        <f>+(54+52/60+34/3600)</f>
        <v>54.876111111111115</v>
      </c>
      <c r="R4670" s="8">
        <v>13.2</v>
      </c>
      <c r="S4670" s="8">
        <v>14.1</v>
      </c>
      <c r="T4670" s="8">
        <v>0.9</v>
      </c>
      <c r="U4670" s="8">
        <v>12.3</v>
      </c>
      <c r="V4670" s="8">
        <v>1.8</v>
      </c>
      <c r="W4670" s="8">
        <v>0.6</v>
      </c>
      <c r="X4670" s="8">
        <v>177</v>
      </c>
      <c r="Y4670" s="8" t="s">
        <v>21089</v>
      </c>
      <c r="Z4670" s="8" t="s">
        <v>21090</v>
      </c>
    </row>
    <row r="4671" spans="1:26" x14ac:dyDescent="0.2">
      <c r="A4671" s="8">
        <v>4670</v>
      </c>
      <c r="B4671" s="8" t="s">
        <v>21091</v>
      </c>
      <c r="C4671" s="8" t="s">
        <v>21091</v>
      </c>
      <c r="F4671" s="47" t="s">
        <v>57525</v>
      </c>
      <c r="G4671" s="8">
        <v>13</v>
      </c>
      <c r="H4671" s="8" t="s">
        <v>21</v>
      </c>
      <c r="I4671" s="8" t="s">
        <v>22</v>
      </c>
      <c r="J4671" s="8" t="s">
        <v>22</v>
      </c>
      <c r="K4671" s="8" t="s">
        <v>435</v>
      </c>
      <c r="L4671" s="8" t="s">
        <v>18289</v>
      </c>
      <c r="M4671" s="8" t="s">
        <v>18290</v>
      </c>
      <c r="N4671" s="8" t="s">
        <v>21092</v>
      </c>
      <c r="O4671" s="8">
        <f>12+45/60+16.9/3600</f>
        <v>12.754694444444445</v>
      </c>
      <c r="P4671" s="8" t="s">
        <v>21093</v>
      </c>
      <c r="Q4671" s="8">
        <f>+(27+7/60+33/3600)</f>
        <v>27.125833333333333</v>
      </c>
      <c r="R4671" s="8">
        <v>12.7</v>
      </c>
      <c r="S4671" s="8">
        <v>13.1</v>
      </c>
      <c r="T4671" s="8">
        <v>0.4</v>
      </c>
      <c r="U4671" s="8">
        <v>13</v>
      </c>
      <c r="V4671" s="8">
        <v>1.4</v>
      </c>
      <c r="W4671" s="8">
        <v>1.2</v>
      </c>
      <c r="X4671" s="8">
        <v>90</v>
      </c>
      <c r="Y4671" s="8" t="s">
        <v>21094</v>
      </c>
      <c r="Z4671" s="8" t="s">
        <v>21095</v>
      </c>
    </row>
    <row r="4672" spans="1:26" x14ac:dyDescent="0.2">
      <c r="A4672" s="8">
        <v>4671</v>
      </c>
      <c r="B4672" s="8" t="s">
        <v>21096</v>
      </c>
      <c r="C4672" s="8" t="s">
        <v>21096</v>
      </c>
      <c r="F4672" s="47" t="s">
        <v>57526</v>
      </c>
      <c r="G4672" s="8">
        <v>15</v>
      </c>
      <c r="H4672" s="8" t="s">
        <v>21</v>
      </c>
      <c r="I4672" s="8" t="s">
        <v>22</v>
      </c>
      <c r="J4672" s="8" t="s">
        <v>22</v>
      </c>
      <c r="K4672" s="8" t="s">
        <v>1136</v>
      </c>
      <c r="L4672" s="8" t="s">
        <v>17287</v>
      </c>
      <c r="M4672" s="8" t="s">
        <v>17288</v>
      </c>
      <c r="N4672" s="8" t="s">
        <v>21097</v>
      </c>
      <c r="O4672" s="8">
        <f>12+45/60+47.5/3600</f>
        <v>12.763194444444444</v>
      </c>
      <c r="P4672" s="8" t="s">
        <v>21098</v>
      </c>
      <c r="Q4672" s="8">
        <f>-(7+4/60+11/3600)</f>
        <v>-7.0697222222222216</v>
      </c>
      <c r="R4672" s="8">
        <v>12.6</v>
      </c>
      <c r="S4672" s="8">
        <v>13.6</v>
      </c>
      <c r="T4672" s="8">
        <v>1</v>
      </c>
      <c r="U4672" s="8">
        <v>12.7</v>
      </c>
      <c r="V4672" s="8">
        <v>1.3</v>
      </c>
      <c r="W4672" s="8">
        <v>1.1000000000000001</v>
      </c>
      <c r="X4672" s="8">
        <v>141</v>
      </c>
      <c r="Y4672" s="8" t="s">
        <v>6443</v>
      </c>
      <c r="Z4672" s="8" t="s">
        <v>6444</v>
      </c>
    </row>
    <row r="4673" spans="1:26" x14ac:dyDescent="0.2">
      <c r="A4673" s="8">
        <v>4672</v>
      </c>
      <c r="B4673" s="8" t="s">
        <v>21099</v>
      </c>
      <c r="C4673" s="8" t="s">
        <v>21099</v>
      </c>
      <c r="F4673" s="47"/>
      <c r="G4673" s="8">
        <v>16</v>
      </c>
      <c r="H4673" s="8" t="s">
        <v>21</v>
      </c>
      <c r="I4673" s="8" t="s">
        <v>22</v>
      </c>
      <c r="J4673" s="8" t="s">
        <v>22</v>
      </c>
      <c r="K4673" s="8" t="s">
        <v>91</v>
      </c>
      <c r="L4673" s="8" t="s">
        <v>16195</v>
      </c>
      <c r="M4673" s="8" t="s">
        <v>16196</v>
      </c>
      <c r="N4673" s="8" t="s">
        <v>21100</v>
      </c>
      <c r="O4673" s="8">
        <f>12+46/60+15.6/3600</f>
        <v>12.771000000000001</v>
      </c>
      <c r="P4673" s="8" t="s">
        <v>21101</v>
      </c>
      <c r="Q4673" s="8">
        <f>-(41+42/60+21/3600)</f>
        <v>-41.705833333333338</v>
      </c>
      <c r="R4673" s="8">
        <v>13.1</v>
      </c>
      <c r="S4673" s="8">
        <v>14</v>
      </c>
      <c r="T4673" s="8">
        <v>0.9</v>
      </c>
      <c r="U4673" s="8">
        <v>13.3</v>
      </c>
      <c r="V4673" s="8">
        <v>2.2000000000000002</v>
      </c>
      <c r="W4673" s="8">
        <v>0.6</v>
      </c>
      <c r="X4673" s="8">
        <v>47</v>
      </c>
      <c r="Y4673" s="8" t="s">
        <v>16128</v>
      </c>
      <c r="Z4673" s="8" t="s">
        <v>16129</v>
      </c>
    </row>
    <row r="4674" spans="1:26" x14ac:dyDescent="0.2">
      <c r="A4674" s="8">
        <v>4673</v>
      </c>
      <c r="B4674" s="8" t="s">
        <v>21102</v>
      </c>
      <c r="C4674" s="8" t="s">
        <v>21102</v>
      </c>
      <c r="F4674" s="47" t="s">
        <v>57527</v>
      </c>
      <c r="G4674" s="8">
        <v>15</v>
      </c>
      <c r="H4674" s="8" t="s">
        <v>21</v>
      </c>
      <c r="I4674" s="8" t="s">
        <v>22</v>
      </c>
      <c r="J4674" s="8" t="s">
        <v>22</v>
      </c>
      <c r="K4674" s="8" t="s">
        <v>183</v>
      </c>
      <c r="L4674" s="8" t="s">
        <v>18289</v>
      </c>
      <c r="M4674" s="8" t="s">
        <v>18290</v>
      </c>
      <c r="N4674" s="8" t="s">
        <v>21103</v>
      </c>
      <c r="O4674" s="8">
        <f>12+45/60+34.7/3600</f>
        <v>12.759638888888889</v>
      </c>
      <c r="P4674" s="8" t="s">
        <v>21104</v>
      </c>
      <c r="Q4674" s="8">
        <f>+(27+3/60+40/3600)</f>
        <v>27.061111111111114</v>
      </c>
      <c r="R4674" s="8">
        <v>12.9</v>
      </c>
      <c r="S4674" s="8">
        <v>13.9</v>
      </c>
      <c r="T4674" s="8">
        <v>1</v>
      </c>
      <c r="U4674" s="8">
        <v>12.7</v>
      </c>
      <c r="V4674" s="8">
        <v>1</v>
      </c>
      <c r="W4674" s="8">
        <v>0.8</v>
      </c>
      <c r="X4674" s="8">
        <v>170</v>
      </c>
      <c r="Y4674" s="8" t="s">
        <v>21105</v>
      </c>
      <c r="Z4674" s="8" t="s">
        <v>21106</v>
      </c>
    </row>
    <row r="4675" spans="1:26" x14ac:dyDescent="0.2">
      <c r="A4675" s="8">
        <v>4674</v>
      </c>
      <c r="B4675" s="8" t="s">
        <v>21107</v>
      </c>
      <c r="C4675" s="8" t="s">
        <v>21107</v>
      </c>
      <c r="F4675" s="47"/>
      <c r="G4675" s="8">
        <v>16</v>
      </c>
      <c r="H4675" s="8" t="s">
        <v>21</v>
      </c>
      <c r="I4675" s="8" t="s">
        <v>22</v>
      </c>
      <c r="J4675" s="8" t="s">
        <v>22</v>
      </c>
      <c r="K4675" s="8" t="s">
        <v>7975</v>
      </c>
      <c r="L4675" s="8" t="s">
        <v>17287</v>
      </c>
      <c r="M4675" s="8" t="s">
        <v>17288</v>
      </c>
      <c r="N4675" s="8" t="s">
        <v>21108</v>
      </c>
      <c r="O4675" s="8">
        <f>12+46/60+3.3/3600</f>
        <v>12.767583333333334</v>
      </c>
      <c r="P4675" s="8" t="s">
        <v>21109</v>
      </c>
      <c r="Q4675" s="8">
        <f>-(8+39/60+19/3600)</f>
        <v>-8.6552777777777781</v>
      </c>
      <c r="R4675" s="8">
        <v>13.1</v>
      </c>
      <c r="S4675" s="8">
        <v>14.1</v>
      </c>
      <c r="T4675" s="8">
        <v>1</v>
      </c>
      <c r="U4675" s="8">
        <v>13</v>
      </c>
      <c r="V4675" s="8">
        <v>1.6</v>
      </c>
      <c r="W4675" s="8">
        <v>0.5</v>
      </c>
      <c r="X4675" s="8">
        <v>119</v>
      </c>
      <c r="Y4675" s="8" t="s">
        <v>21110</v>
      </c>
      <c r="Z4675" s="8" t="s">
        <v>21111</v>
      </c>
    </row>
    <row r="4676" spans="1:26" x14ac:dyDescent="0.2">
      <c r="A4676" s="8">
        <v>4675</v>
      </c>
      <c r="B4676" s="8" t="s">
        <v>21112</v>
      </c>
      <c r="C4676" s="8" t="s">
        <v>21112</v>
      </c>
      <c r="F4676" s="47" t="s">
        <v>57528</v>
      </c>
      <c r="G4676" s="8">
        <v>15</v>
      </c>
      <c r="H4676" s="8" t="s">
        <v>21</v>
      </c>
      <c r="I4676" s="8" t="s">
        <v>22</v>
      </c>
      <c r="J4676" s="8" t="s">
        <v>22</v>
      </c>
      <c r="K4676" s="8" t="s">
        <v>218</v>
      </c>
      <c r="L4676" s="8" t="s">
        <v>12015</v>
      </c>
      <c r="M4676" s="8" t="s">
        <v>12016</v>
      </c>
      <c r="N4676" s="8" t="s">
        <v>21113</v>
      </c>
      <c r="O4676" s="8">
        <f>12+45/60+31.7/3600</f>
        <v>12.758805555555556</v>
      </c>
      <c r="P4676" s="8" t="s">
        <v>21114</v>
      </c>
      <c r="Q4676" s="8">
        <f>+(54+44/60+14/3600)</f>
        <v>54.737222222222222</v>
      </c>
      <c r="R4676" s="8">
        <v>14.3</v>
      </c>
      <c r="S4676" s="8">
        <v>15.1</v>
      </c>
      <c r="T4676" s="8">
        <v>0.8</v>
      </c>
      <c r="U4676" s="8">
        <v>14.1</v>
      </c>
      <c r="V4676" s="8">
        <v>1.6</v>
      </c>
      <c r="W4676" s="8">
        <v>0.6</v>
      </c>
      <c r="X4676" s="8">
        <v>97</v>
      </c>
      <c r="Y4676" s="8" t="s">
        <v>21115</v>
      </c>
      <c r="Z4676" s="8" t="s">
        <v>21116</v>
      </c>
    </row>
    <row r="4677" spans="1:26" x14ac:dyDescent="0.2">
      <c r="A4677" s="8">
        <v>4676</v>
      </c>
      <c r="B4677" s="8" t="s">
        <v>21117</v>
      </c>
      <c r="C4677" s="8" t="s">
        <v>21117</v>
      </c>
      <c r="D4677" s="8" t="s">
        <v>351</v>
      </c>
      <c r="F4677" s="47" t="s">
        <v>57529</v>
      </c>
      <c r="G4677" s="8">
        <v>14</v>
      </c>
      <c r="H4677" s="8" t="s">
        <v>21118</v>
      </c>
      <c r="I4677" s="8" t="s">
        <v>22</v>
      </c>
      <c r="J4677" s="8" t="s">
        <v>22</v>
      </c>
      <c r="K4677" s="8" t="s">
        <v>435</v>
      </c>
      <c r="L4677" s="8" t="s">
        <v>18289</v>
      </c>
      <c r="M4677" s="8" t="s">
        <v>18290</v>
      </c>
      <c r="N4677" s="8" t="s">
        <v>21119</v>
      </c>
      <c r="O4677" s="8">
        <f>12+46/60+10.1/3600</f>
        <v>12.769472222222223</v>
      </c>
      <c r="P4677" s="8" t="s">
        <v>21120</v>
      </c>
      <c r="Q4677" s="8">
        <f>+(30+43/60+57/3600)</f>
        <v>30.732499999999998</v>
      </c>
      <c r="R4677" s="8">
        <v>13.5</v>
      </c>
      <c r="S4677" s="8">
        <v>14.4</v>
      </c>
      <c r="T4677" s="8">
        <v>0.9</v>
      </c>
      <c r="U4677" s="8">
        <v>13.2</v>
      </c>
      <c r="V4677" s="8">
        <v>1.4</v>
      </c>
      <c r="W4677" s="8">
        <v>0.6</v>
      </c>
      <c r="X4677" s="8">
        <v>0</v>
      </c>
      <c r="Y4677" s="8" t="s">
        <v>21121</v>
      </c>
      <c r="Z4677" s="8" t="s">
        <v>21122</v>
      </c>
    </row>
    <row r="4678" spans="1:26" x14ac:dyDescent="0.2">
      <c r="A4678" s="8">
        <v>4677</v>
      </c>
      <c r="B4678" s="8" t="s">
        <v>21123</v>
      </c>
      <c r="C4678" s="8" t="s">
        <v>21123</v>
      </c>
      <c r="F4678" s="47"/>
      <c r="G4678" s="8">
        <v>16</v>
      </c>
      <c r="H4678" s="8" t="s">
        <v>21</v>
      </c>
      <c r="I4678" s="8" t="s">
        <v>22</v>
      </c>
      <c r="J4678" s="8" t="s">
        <v>22</v>
      </c>
      <c r="K4678" s="8" t="s">
        <v>435</v>
      </c>
      <c r="L4678" s="8" t="s">
        <v>16195</v>
      </c>
      <c r="M4678" s="8" t="s">
        <v>16196</v>
      </c>
      <c r="N4678" s="8" t="s">
        <v>21124</v>
      </c>
      <c r="O4678" s="8">
        <f>12+46/60+57/3600</f>
        <v>12.782500000000001</v>
      </c>
      <c r="P4678" s="8" t="s">
        <v>21125</v>
      </c>
      <c r="Q4678" s="8">
        <f>-(41+34/60+57/3600)</f>
        <v>-41.582500000000003</v>
      </c>
      <c r="R4678" s="8">
        <v>12.8</v>
      </c>
      <c r="S4678" s="8">
        <v>13.9</v>
      </c>
      <c r="T4678" s="8">
        <v>1.1000000000000001</v>
      </c>
      <c r="U4678" s="8">
        <v>12.9</v>
      </c>
      <c r="V4678" s="8">
        <v>1.6</v>
      </c>
      <c r="W4678" s="8">
        <v>0.7</v>
      </c>
      <c r="X4678" s="8">
        <v>167</v>
      </c>
      <c r="Y4678" s="8" t="s">
        <v>21126</v>
      </c>
      <c r="Z4678" s="8" t="s">
        <v>21127</v>
      </c>
    </row>
    <row r="4679" spans="1:26" x14ac:dyDescent="0.2">
      <c r="A4679" s="8">
        <v>4678</v>
      </c>
      <c r="B4679" s="8" t="s">
        <v>21128</v>
      </c>
      <c r="C4679" s="8" t="s">
        <v>21128</v>
      </c>
      <c r="E4679" s="8">
        <v>2</v>
      </c>
      <c r="F4679" s="47"/>
      <c r="G4679" s="8">
        <v>19</v>
      </c>
      <c r="H4679" s="8" t="s">
        <v>21</v>
      </c>
      <c r="I4679" s="8" t="s">
        <v>22</v>
      </c>
      <c r="J4679" s="8" t="s">
        <v>22</v>
      </c>
      <c r="K4679" s="8" t="s">
        <v>476</v>
      </c>
      <c r="L4679" s="8" t="s">
        <v>17287</v>
      </c>
      <c r="M4679" s="8" t="s">
        <v>17288</v>
      </c>
      <c r="N4679" s="8" t="s">
        <v>21129</v>
      </c>
      <c r="O4679" s="8">
        <f>12+49/60+41/3600</f>
        <v>12.828055555555554</v>
      </c>
      <c r="P4679" s="8" t="s">
        <v>21130</v>
      </c>
      <c r="Q4679" s="8">
        <f>-(4+34/60+49/3600)</f>
        <v>-4.5802777777777779</v>
      </c>
      <c r="R4679" s="8">
        <v>13.5</v>
      </c>
      <c r="S4679" s="8">
        <v>14.3</v>
      </c>
      <c r="T4679" s="8">
        <v>0.8</v>
      </c>
      <c r="U4679" s="8">
        <v>12.5</v>
      </c>
      <c r="V4679" s="8">
        <v>0.9</v>
      </c>
      <c r="W4679" s="8">
        <v>0.5</v>
      </c>
      <c r="X4679" s="8">
        <v>100</v>
      </c>
      <c r="Y4679" s="8" t="s">
        <v>21131</v>
      </c>
      <c r="Z4679" s="8" t="s">
        <v>21132</v>
      </c>
    </row>
    <row r="4680" spans="1:26" x14ac:dyDescent="0.2">
      <c r="A4680" s="8">
        <v>4679</v>
      </c>
      <c r="B4680" s="8" t="s">
        <v>21133</v>
      </c>
      <c r="C4680" s="8" t="s">
        <v>21133</v>
      </c>
      <c r="F4680" s="47"/>
      <c r="G4680" s="8">
        <v>13</v>
      </c>
      <c r="H4680" s="8" t="s">
        <v>21</v>
      </c>
      <c r="I4680" s="8" t="s">
        <v>22</v>
      </c>
      <c r="J4680" s="8" t="s">
        <v>22</v>
      </c>
      <c r="K4680" s="8" t="s">
        <v>64</v>
      </c>
      <c r="L4680" s="8" t="s">
        <v>16195</v>
      </c>
      <c r="M4680" s="8" t="s">
        <v>16196</v>
      </c>
      <c r="N4680" s="8" t="s">
        <v>21134</v>
      </c>
      <c r="O4680" s="8">
        <f>12+47/60+30/3600</f>
        <v>12.791666666666666</v>
      </c>
      <c r="P4680" s="8" t="s">
        <v>21135</v>
      </c>
      <c r="Q4680" s="8">
        <f>-(39+34/60+16/3600)</f>
        <v>-39.571111111111115</v>
      </c>
      <c r="R4680" s="8">
        <v>12.4</v>
      </c>
      <c r="S4680" s="8">
        <v>13.1</v>
      </c>
      <c r="T4680" s="8">
        <v>0.7</v>
      </c>
      <c r="U4680" s="8">
        <v>13.2</v>
      </c>
      <c r="V4680" s="8">
        <v>2.5</v>
      </c>
      <c r="W4680" s="8">
        <v>0.9</v>
      </c>
      <c r="X4680" s="8">
        <v>4</v>
      </c>
      <c r="Y4680" s="8" t="s">
        <v>13360</v>
      </c>
      <c r="Z4680" s="8" t="s">
        <v>13361</v>
      </c>
    </row>
    <row r="4681" spans="1:26" x14ac:dyDescent="0.2">
      <c r="A4681" s="8">
        <v>4680</v>
      </c>
      <c r="B4681" s="8" t="s">
        <v>21136</v>
      </c>
      <c r="C4681" s="8" t="s">
        <v>21136</v>
      </c>
      <c r="F4681" s="47"/>
      <c r="G4681" s="8">
        <v>16</v>
      </c>
      <c r="H4681" s="8" t="s">
        <v>21</v>
      </c>
      <c r="I4681" s="8" t="s">
        <v>22</v>
      </c>
      <c r="J4681" s="8" t="s">
        <v>22</v>
      </c>
      <c r="K4681" s="8" t="s">
        <v>124</v>
      </c>
      <c r="L4681" s="8" t="s">
        <v>17287</v>
      </c>
      <c r="M4681" s="8" t="s">
        <v>17288</v>
      </c>
      <c r="N4681" s="8" t="s">
        <v>21137</v>
      </c>
      <c r="O4681" s="8">
        <f>12+46/60+54.7/3600</f>
        <v>12.781861111111112</v>
      </c>
      <c r="P4681" s="8" t="s">
        <v>21138</v>
      </c>
      <c r="Q4681" s="8">
        <f>-(11+38/60+11/3600)</f>
        <v>-11.636388888888888</v>
      </c>
      <c r="R4681" s="8">
        <v>12.8</v>
      </c>
      <c r="S4681" s="8">
        <v>13.7</v>
      </c>
      <c r="T4681" s="8">
        <v>0.9</v>
      </c>
      <c r="U4681" s="8">
        <v>13.3</v>
      </c>
      <c r="V4681" s="8">
        <v>1.5</v>
      </c>
      <c r="W4681" s="8">
        <v>1.2</v>
      </c>
      <c r="X4681" s="8">
        <v>40</v>
      </c>
      <c r="Y4681" s="8" t="s">
        <v>21139</v>
      </c>
      <c r="Z4681" s="8" t="s">
        <v>21140</v>
      </c>
    </row>
    <row r="4682" spans="1:26" x14ac:dyDescent="0.2">
      <c r="A4682" s="8">
        <v>4681</v>
      </c>
      <c r="B4682" s="8" t="s">
        <v>21141</v>
      </c>
      <c r="C4682" s="8" t="s">
        <v>21141</v>
      </c>
      <c r="F4682" s="47"/>
      <c r="G4682" s="8">
        <v>16</v>
      </c>
      <c r="H4682" s="8" t="s">
        <v>21</v>
      </c>
      <c r="I4682" s="8" t="s">
        <v>22</v>
      </c>
      <c r="J4682" s="8" t="s">
        <v>22</v>
      </c>
      <c r="K4682" s="8" t="s">
        <v>31</v>
      </c>
      <c r="L4682" s="8" t="s">
        <v>16195</v>
      </c>
      <c r="M4682" s="8" t="s">
        <v>16196</v>
      </c>
      <c r="N4682" s="8" t="s">
        <v>21142</v>
      </c>
      <c r="O4682" s="8">
        <f>12+47/60+28.7/3600</f>
        <v>12.791305555555555</v>
      </c>
      <c r="P4682" s="8" t="s">
        <v>21143</v>
      </c>
      <c r="Q4682" s="8">
        <f>-(43+20/60+5/3600)</f>
        <v>-43.334722222222226</v>
      </c>
      <c r="R4682" s="8">
        <v>12.5</v>
      </c>
      <c r="S4682" s="8">
        <v>13.3</v>
      </c>
      <c r="T4682" s="8">
        <v>0.8</v>
      </c>
      <c r="U4682" s="8">
        <v>12.5</v>
      </c>
      <c r="V4682" s="8">
        <v>1.4</v>
      </c>
      <c r="W4682" s="8">
        <v>1.2</v>
      </c>
      <c r="X4682" s="8">
        <v>166</v>
      </c>
      <c r="Y4682" s="8" t="s">
        <v>2186</v>
      </c>
      <c r="Z4682" s="8" t="s">
        <v>2187</v>
      </c>
    </row>
    <row r="4683" spans="1:26" x14ac:dyDescent="0.2">
      <c r="A4683" s="8">
        <v>4682</v>
      </c>
      <c r="B4683" s="8" t="s">
        <v>21144</v>
      </c>
      <c r="C4683" s="8" t="s">
        <v>21144</v>
      </c>
      <c r="F4683" s="47" t="s">
        <v>57530</v>
      </c>
      <c r="G4683" s="8">
        <v>13</v>
      </c>
      <c r="H4683" s="8" t="s">
        <v>21</v>
      </c>
      <c r="I4683" s="8" t="s">
        <v>22</v>
      </c>
      <c r="J4683" s="8" t="s">
        <v>22</v>
      </c>
      <c r="K4683" s="8" t="s">
        <v>64</v>
      </c>
      <c r="L4683" s="8" t="s">
        <v>17287</v>
      </c>
      <c r="M4683" s="8" t="s">
        <v>17288</v>
      </c>
      <c r="N4683" s="8" t="s">
        <v>21145</v>
      </c>
      <c r="O4683" s="8">
        <f>12+47/60+15.5/3600</f>
        <v>12.787638888888889</v>
      </c>
      <c r="P4683" s="8" t="s">
        <v>21146</v>
      </c>
      <c r="Q4683" s="8">
        <f>-(10+3/60+50/3600)</f>
        <v>-10.06388888888889</v>
      </c>
      <c r="R4683" s="8">
        <v>12.2</v>
      </c>
      <c r="S4683" s="8">
        <v>12.9</v>
      </c>
      <c r="T4683" s="8">
        <v>0.7</v>
      </c>
      <c r="U4683" s="8">
        <v>13.3</v>
      </c>
      <c r="V4683" s="8">
        <v>2.5</v>
      </c>
      <c r="W4683" s="8">
        <v>1.2</v>
      </c>
      <c r="X4683" s="8">
        <v>83</v>
      </c>
      <c r="Y4683" s="8" t="s">
        <v>21147</v>
      </c>
      <c r="Z4683" s="8" t="s">
        <v>21148</v>
      </c>
    </row>
    <row r="4684" spans="1:26" x14ac:dyDescent="0.2">
      <c r="A4684" s="8">
        <v>4683</v>
      </c>
      <c r="B4684" s="8" t="s">
        <v>21149</v>
      </c>
      <c r="C4684" s="8" t="s">
        <v>21149</v>
      </c>
      <c r="F4684" s="47"/>
      <c r="G4684" s="8">
        <v>16</v>
      </c>
      <c r="H4684" s="8" t="s">
        <v>21</v>
      </c>
      <c r="I4684" s="8" t="s">
        <v>22</v>
      </c>
      <c r="J4684" s="8" t="s">
        <v>22</v>
      </c>
      <c r="K4684" s="8" t="s">
        <v>118</v>
      </c>
      <c r="L4684" s="8" t="s">
        <v>16195</v>
      </c>
      <c r="M4684" s="8" t="s">
        <v>16196</v>
      </c>
      <c r="N4684" s="8" t="s">
        <v>21150</v>
      </c>
      <c r="O4684" s="8">
        <f>12+47/60+42.2/3600</f>
        <v>12.795055555555555</v>
      </c>
      <c r="P4684" s="8" t="s">
        <v>21151</v>
      </c>
      <c r="Q4684" s="8">
        <f>-(41+31/60+44/3600)</f>
        <v>-41.528888888888886</v>
      </c>
      <c r="R4684" s="8">
        <v>12.7</v>
      </c>
      <c r="S4684" s="8">
        <v>13.8</v>
      </c>
      <c r="T4684" s="8">
        <v>1.1000000000000001</v>
      </c>
      <c r="U4684" s="8">
        <v>12.7</v>
      </c>
      <c r="V4684" s="8">
        <v>1.3</v>
      </c>
      <c r="W4684" s="8">
        <v>0.9</v>
      </c>
      <c r="X4684" s="8">
        <v>130</v>
      </c>
      <c r="Y4684" s="8" t="s">
        <v>21152</v>
      </c>
      <c r="Z4684" s="8" t="s">
        <v>21153</v>
      </c>
    </row>
    <row r="4685" spans="1:26" x14ac:dyDescent="0.2">
      <c r="A4685" s="8">
        <v>4684</v>
      </c>
      <c r="B4685" s="8" t="s">
        <v>21154</v>
      </c>
      <c r="C4685" s="8" t="s">
        <v>21154</v>
      </c>
      <c r="F4685" s="47" t="s">
        <v>57531</v>
      </c>
      <c r="G4685" s="8">
        <v>7</v>
      </c>
      <c r="H4685" s="8" t="s">
        <v>21</v>
      </c>
      <c r="I4685" s="8" t="s">
        <v>22</v>
      </c>
      <c r="J4685" s="8" t="s">
        <v>22</v>
      </c>
      <c r="K4685" s="8" t="s">
        <v>435</v>
      </c>
      <c r="L4685" s="8" t="s">
        <v>17287</v>
      </c>
      <c r="M4685" s="8" t="s">
        <v>17288</v>
      </c>
      <c r="N4685" s="8" t="s">
        <v>21155</v>
      </c>
      <c r="O4685" s="8">
        <f>12+47/60+17.6/3600</f>
        <v>12.788222222222222</v>
      </c>
      <c r="P4685" s="8" t="s">
        <v>21156</v>
      </c>
      <c r="Q4685" s="8">
        <f>-(2+43/60+37/3600)</f>
        <v>-2.7269444444444444</v>
      </c>
      <c r="R4685" s="8">
        <v>11.4</v>
      </c>
      <c r="S4685" s="8">
        <v>12.3</v>
      </c>
      <c r="T4685" s="8">
        <v>0.9</v>
      </c>
      <c r="U4685" s="8">
        <v>12.4</v>
      </c>
      <c r="V4685" s="8">
        <v>2.8</v>
      </c>
      <c r="W4685" s="8">
        <v>1.1000000000000001</v>
      </c>
      <c r="X4685" s="8">
        <v>23</v>
      </c>
      <c r="Y4685" s="8" t="s">
        <v>21157</v>
      </c>
      <c r="Z4685" s="8" t="s">
        <v>21158</v>
      </c>
    </row>
    <row r="4686" spans="1:26" x14ac:dyDescent="0.2">
      <c r="A4686" s="8">
        <v>4685</v>
      </c>
      <c r="B4686" s="8" t="s">
        <v>21159</v>
      </c>
      <c r="C4686" s="8" t="s">
        <v>21159</v>
      </c>
      <c r="F4686" s="47" t="s">
        <v>57532</v>
      </c>
      <c r="G4686" s="8">
        <v>15</v>
      </c>
      <c r="H4686" s="8" t="s">
        <v>21</v>
      </c>
      <c r="I4686" s="8" t="s">
        <v>22</v>
      </c>
      <c r="J4686" s="8" t="s">
        <v>22</v>
      </c>
      <c r="K4686" s="8" t="s">
        <v>58</v>
      </c>
      <c r="L4686" s="8" t="s">
        <v>18289</v>
      </c>
      <c r="M4686" s="8" t="s">
        <v>18290</v>
      </c>
      <c r="N4686" s="8" t="s">
        <v>21160</v>
      </c>
      <c r="O4686" s="8">
        <f>12+47/60+11.4/3600</f>
        <v>12.7865</v>
      </c>
      <c r="P4686" s="8" t="s">
        <v>21161</v>
      </c>
      <c r="Q4686" s="8">
        <f>+(19+27/60+53/3600)</f>
        <v>19.464722222222221</v>
      </c>
      <c r="R4686" s="8">
        <v>12.6</v>
      </c>
      <c r="S4686" s="8">
        <v>13.6</v>
      </c>
      <c r="T4686" s="8">
        <v>1</v>
      </c>
      <c r="U4686" s="8">
        <v>13.4</v>
      </c>
      <c r="V4686" s="8">
        <v>2</v>
      </c>
      <c r="W4686" s="8">
        <v>1.2</v>
      </c>
      <c r="X4686" s="8">
        <v>155</v>
      </c>
      <c r="Y4686" s="8" t="s">
        <v>21162</v>
      </c>
      <c r="Z4686" s="8" t="s">
        <v>21163</v>
      </c>
    </row>
    <row r="4687" spans="1:26" x14ac:dyDescent="0.2">
      <c r="A4687" s="8">
        <v>4686</v>
      </c>
      <c r="B4687" s="8" t="s">
        <v>21164</v>
      </c>
      <c r="C4687" s="8" t="s">
        <v>21164</v>
      </c>
      <c r="F4687" s="47" t="s">
        <v>57533</v>
      </c>
      <c r="G4687" s="8">
        <v>15</v>
      </c>
      <c r="H4687" s="8" t="s">
        <v>21</v>
      </c>
      <c r="I4687" s="8" t="s">
        <v>22</v>
      </c>
      <c r="J4687" s="8" t="s">
        <v>22</v>
      </c>
      <c r="K4687" s="8" t="s">
        <v>91</v>
      </c>
      <c r="L4687" s="8" t="s">
        <v>12015</v>
      </c>
      <c r="M4687" s="8" t="s">
        <v>12016</v>
      </c>
      <c r="N4687" s="8" t="s">
        <v>21165</v>
      </c>
      <c r="O4687" s="8">
        <f>12+46/60+39.7/3600</f>
        <v>12.777694444444446</v>
      </c>
      <c r="P4687" s="8" t="s">
        <v>21166</v>
      </c>
      <c r="Q4687" s="8">
        <f>+(54+32/60+4/3600)</f>
        <v>54.534444444444439</v>
      </c>
      <c r="R4687" s="8">
        <v>12.6</v>
      </c>
      <c r="S4687" s="8">
        <v>13.6</v>
      </c>
      <c r="T4687" s="8">
        <v>1</v>
      </c>
      <c r="U4687" s="8">
        <v>12.6</v>
      </c>
      <c r="V4687" s="8">
        <v>2</v>
      </c>
      <c r="W4687" s="8">
        <v>0.6</v>
      </c>
      <c r="X4687" s="8">
        <v>3</v>
      </c>
      <c r="Y4687" s="8" t="s">
        <v>21167</v>
      </c>
      <c r="Z4687" s="8" t="s">
        <v>21168</v>
      </c>
    </row>
    <row r="4688" spans="1:26" x14ac:dyDescent="0.2">
      <c r="A4688" s="8">
        <v>4687</v>
      </c>
      <c r="B4688" s="8" t="s">
        <v>21169</v>
      </c>
      <c r="C4688" s="8" t="s">
        <v>21169</v>
      </c>
      <c r="F4688" s="47"/>
      <c r="G4688" s="8">
        <v>16</v>
      </c>
      <c r="H4688" s="8" t="s">
        <v>21</v>
      </c>
      <c r="I4688" s="8" t="s">
        <v>22</v>
      </c>
      <c r="J4688" s="8" t="s">
        <v>22</v>
      </c>
      <c r="K4688" s="8" t="s">
        <v>183</v>
      </c>
      <c r="L4688" s="8" t="s">
        <v>18681</v>
      </c>
      <c r="M4688" s="8" t="s">
        <v>18682</v>
      </c>
      <c r="N4688" s="8" t="s">
        <v>21170</v>
      </c>
      <c r="O4688" s="8">
        <f>12+47/60+23.8/3600</f>
        <v>12.789944444444444</v>
      </c>
      <c r="P4688" s="8" t="s">
        <v>21171</v>
      </c>
      <c r="Q4688" s="8">
        <f>+(35+21/60+7/3600)</f>
        <v>35.351944444444449</v>
      </c>
      <c r="R4688" s="8">
        <v>13.2</v>
      </c>
      <c r="S4688" s="8">
        <v>14.2</v>
      </c>
      <c r="T4688" s="8">
        <v>1</v>
      </c>
      <c r="U4688" s="8">
        <v>12.3</v>
      </c>
      <c r="V4688" s="8">
        <v>0.7</v>
      </c>
      <c r="W4688" s="8">
        <v>0.6</v>
      </c>
      <c r="X4688" s="8">
        <v>118</v>
      </c>
      <c r="Y4688" s="8" t="s">
        <v>18435</v>
      </c>
      <c r="Z4688" s="8" t="s">
        <v>18436</v>
      </c>
    </row>
    <row r="4689" spans="1:26" x14ac:dyDescent="0.2">
      <c r="A4689" s="8">
        <v>4688</v>
      </c>
      <c r="B4689" s="8" t="s">
        <v>21172</v>
      </c>
      <c r="C4689" s="8" t="s">
        <v>21172</v>
      </c>
      <c r="F4689" s="47" t="s">
        <v>57534</v>
      </c>
      <c r="G4689" s="8">
        <v>13</v>
      </c>
      <c r="H4689" s="8" t="s">
        <v>21</v>
      </c>
      <c r="I4689" s="8" t="s">
        <v>22</v>
      </c>
      <c r="J4689" s="8" t="s">
        <v>22</v>
      </c>
      <c r="K4689" s="8" t="s">
        <v>64</v>
      </c>
      <c r="L4689" s="8" t="s">
        <v>17287</v>
      </c>
      <c r="M4689" s="8" t="s">
        <v>17288</v>
      </c>
      <c r="N4689" s="8" t="s">
        <v>21173</v>
      </c>
      <c r="O4689" s="8">
        <f>12+47/60+46.5/3600</f>
        <v>12.796250000000001</v>
      </c>
      <c r="P4689" s="8" t="s">
        <v>21174</v>
      </c>
      <c r="Q4689" s="8">
        <f>+(4+20/60+9/3600)</f>
        <v>4.3358333333333334</v>
      </c>
      <c r="R4689" s="8">
        <v>11.9</v>
      </c>
      <c r="S4689" s="8">
        <v>12.6</v>
      </c>
      <c r="T4689" s="8">
        <v>0.7</v>
      </c>
      <c r="U4689" s="8">
        <v>14.2</v>
      </c>
      <c r="V4689" s="8">
        <v>3.2</v>
      </c>
      <c r="W4689" s="8">
        <v>2.8</v>
      </c>
      <c r="X4689" s="8">
        <v>123</v>
      </c>
      <c r="Y4689" s="8" t="s">
        <v>21175</v>
      </c>
      <c r="Z4689" s="8" t="s">
        <v>21176</v>
      </c>
    </row>
    <row r="4690" spans="1:26" x14ac:dyDescent="0.2">
      <c r="A4690" s="8">
        <v>4689</v>
      </c>
      <c r="B4690" s="8" t="s">
        <v>21177</v>
      </c>
      <c r="C4690" s="8" t="s">
        <v>21177</v>
      </c>
      <c r="F4690" s="47" t="s">
        <v>57535</v>
      </c>
      <c r="G4690" s="8">
        <v>6</v>
      </c>
      <c r="H4690" s="8" t="s">
        <v>21</v>
      </c>
      <c r="I4690" s="8" t="s">
        <v>22</v>
      </c>
      <c r="J4690" s="8" t="s">
        <v>22</v>
      </c>
      <c r="K4690" s="8" t="s">
        <v>396</v>
      </c>
      <c r="L4690" s="8" t="s">
        <v>18289</v>
      </c>
      <c r="M4690" s="8" t="s">
        <v>18290</v>
      </c>
      <c r="N4690" s="8" t="s">
        <v>21178</v>
      </c>
      <c r="O4690" s="8">
        <f>12+47/60+45.7/3600</f>
        <v>12.796027777777777</v>
      </c>
      <c r="P4690" s="8" t="s">
        <v>21179</v>
      </c>
      <c r="Q4690" s="8">
        <f>+(13+45/60+44/3600)</f>
        <v>13.762222222222222</v>
      </c>
      <c r="R4690" s="8">
        <v>11</v>
      </c>
      <c r="S4690" s="8">
        <v>11.6</v>
      </c>
      <c r="T4690" s="8">
        <v>0.6</v>
      </c>
      <c r="U4690" s="8">
        <v>13.7</v>
      </c>
      <c r="V4690" s="8">
        <v>4.3</v>
      </c>
      <c r="W4690" s="8">
        <v>3.5</v>
      </c>
      <c r="X4690" s="8">
        <v>160</v>
      </c>
      <c r="Y4690" s="8" t="s">
        <v>21180</v>
      </c>
      <c r="Z4690" s="8" t="s">
        <v>21181</v>
      </c>
    </row>
    <row r="4691" spans="1:26" x14ac:dyDescent="0.2">
      <c r="A4691" s="8">
        <v>4690</v>
      </c>
      <c r="B4691" s="8" t="s">
        <v>21182</v>
      </c>
      <c r="C4691" s="8" t="s">
        <v>21182</v>
      </c>
      <c r="F4691" s="47" t="s">
        <v>57536</v>
      </c>
      <c r="G4691" s="8">
        <v>15</v>
      </c>
      <c r="H4691" s="8" t="s">
        <v>21</v>
      </c>
      <c r="I4691" s="8" t="s">
        <v>22</v>
      </c>
      <c r="J4691" s="8" t="s">
        <v>22</v>
      </c>
      <c r="K4691" s="8" t="s">
        <v>58</v>
      </c>
      <c r="L4691" s="8" t="s">
        <v>17287</v>
      </c>
      <c r="M4691" s="8" t="s">
        <v>17288</v>
      </c>
      <c r="N4691" s="8" t="s">
        <v>21183</v>
      </c>
      <c r="O4691" s="8">
        <f>12+47/60+55.5/3600</f>
        <v>12.79875</v>
      </c>
      <c r="P4691" s="8" t="s">
        <v>21184</v>
      </c>
      <c r="Q4691" s="8">
        <f>-(1+39/60+22/3600)</f>
        <v>-1.6561111111111111</v>
      </c>
      <c r="R4691" s="8">
        <v>12.9</v>
      </c>
      <c r="S4691" s="8">
        <v>13.9</v>
      </c>
      <c r="T4691" s="8">
        <v>1</v>
      </c>
      <c r="U4691" s="8">
        <v>12.9</v>
      </c>
      <c r="V4691" s="8">
        <v>1.2</v>
      </c>
      <c r="W4691" s="8">
        <v>0.8</v>
      </c>
      <c r="X4691" s="8">
        <v>150</v>
      </c>
      <c r="Y4691" s="8" t="s">
        <v>1511</v>
      </c>
      <c r="Z4691" s="8" t="s">
        <v>1512</v>
      </c>
    </row>
    <row r="4692" spans="1:26" x14ac:dyDescent="0.2">
      <c r="A4692" s="8">
        <v>4691</v>
      </c>
      <c r="B4692" s="8" t="s">
        <v>21185</v>
      </c>
      <c r="C4692" s="8" t="s">
        <v>21185</v>
      </c>
      <c r="F4692" s="47" t="s">
        <v>57537</v>
      </c>
      <c r="G4692" s="8">
        <v>6.5</v>
      </c>
      <c r="H4692" s="8" t="s">
        <v>21</v>
      </c>
      <c r="I4692" s="8" t="s">
        <v>22</v>
      </c>
      <c r="J4692" s="8" t="s">
        <v>22</v>
      </c>
      <c r="K4692" s="8" t="s">
        <v>435</v>
      </c>
      <c r="L4692" s="8" t="s">
        <v>17287</v>
      </c>
      <c r="M4692" s="8" t="s">
        <v>17288</v>
      </c>
      <c r="N4692" s="8" t="s">
        <v>21186</v>
      </c>
      <c r="O4692" s="8">
        <f>12+48/60+13.4/3600</f>
        <v>12.803722222222223</v>
      </c>
      <c r="P4692" s="8" t="s">
        <v>21187</v>
      </c>
      <c r="Q4692" s="8">
        <f>-(3+19/60+57/3600)</f>
        <v>-3.3324999999999996</v>
      </c>
      <c r="R4692" s="8">
        <v>11.1</v>
      </c>
      <c r="S4692" s="8">
        <v>11.7</v>
      </c>
      <c r="T4692" s="8">
        <v>0.6</v>
      </c>
      <c r="U4692" s="8">
        <v>13</v>
      </c>
      <c r="V4692" s="8">
        <v>2.7</v>
      </c>
      <c r="W4692" s="8">
        <v>2.5</v>
      </c>
      <c r="X4692" s="8">
        <v>85</v>
      </c>
      <c r="Y4692" s="8" t="s">
        <v>21188</v>
      </c>
      <c r="Z4692" s="8" t="s">
        <v>21189</v>
      </c>
    </row>
    <row r="4693" spans="1:26" x14ac:dyDescent="0.2">
      <c r="A4693" s="8">
        <v>4692</v>
      </c>
      <c r="B4693" s="8" t="s">
        <v>21190</v>
      </c>
      <c r="C4693" s="8" t="s">
        <v>21190</v>
      </c>
      <c r="F4693" s="47" t="s">
        <v>57538</v>
      </c>
      <c r="G4693" s="8">
        <v>15</v>
      </c>
      <c r="H4693" s="8" t="s">
        <v>21</v>
      </c>
      <c r="I4693" s="8" t="s">
        <v>22</v>
      </c>
      <c r="J4693" s="8" t="s">
        <v>22</v>
      </c>
      <c r="K4693" s="8" t="s">
        <v>460</v>
      </c>
      <c r="L4693" s="8" t="s">
        <v>18289</v>
      </c>
      <c r="M4693" s="8" t="s">
        <v>18290</v>
      </c>
      <c r="N4693" s="8" t="s">
        <v>21191</v>
      </c>
      <c r="O4693" s="8">
        <f>12+47/60+55.2/3600</f>
        <v>12.798666666666666</v>
      </c>
      <c r="P4693" s="8" t="s">
        <v>21192</v>
      </c>
      <c r="Q4693" s="8">
        <f>+(27+13/60+20/3600)</f>
        <v>27.222222222222221</v>
      </c>
      <c r="R4693" s="8">
        <v>12.5</v>
      </c>
      <c r="S4693" s="8">
        <v>13.6</v>
      </c>
      <c r="T4693" s="8">
        <v>1.1000000000000001</v>
      </c>
      <c r="U4693" s="8">
        <v>13.1</v>
      </c>
      <c r="V4693" s="8">
        <v>1.3</v>
      </c>
      <c r="W4693" s="8">
        <v>1.3</v>
      </c>
      <c r="Y4693" s="8" t="s">
        <v>21193</v>
      </c>
      <c r="Z4693" s="8" t="s">
        <v>21194</v>
      </c>
    </row>
    <row r="4694" spans="1:26" x14ac:dyDescent="0.2">
      <c r="A4694" s="8">
        <v>4693</v>
      </c>
      <c r="B4694" s="8" t="s">
        <v>21195</v>
      </c>
      <c r="C4694" s="8" t="s">
        <v>21195</v>
      </c>
      <c r="F4694" s="47" t="s">
        <v>57539</v>
      </c>
      <c r="G4694" s="8">
        <v>15</v>
      </c>
      <c r="H4694" s="8" t="s">
        <v>21</v>
      </c>
      <c r="I4694" s="8" t="s">
        <v>22</v>
      </c>
      <c r="J4694" s="8" t="s">
        <v>22</v>
      </c>
      <c r="K4694" s="8" t="s">
        <v>579</v>
      </c>
      <c r="L4694" s="8" t="s">
        <v>13395</v>
      </c>
      <c r="M4694" s="8" t="s">
        <v>13396</v>
      </c>
      <c r="N4694" s="8" t="s">
        <v>21196</v>
      </c>
      <c r="O4694" s="8">
        <f>12+47/60+9/3600</f>
        <v>12.785833333333333</v>
      </c>
      <c r="P4694" s="8" t="s">
        <v>21197</v>
      </c>
      <c r="Q4694" s="8">
        <f>+(71+10/60+34/3600)</f>
        <v>71.176111111111112</v>
      </c>
      <c r="R4694" s="8">
        <v>13.4</v>
      </c>
      <c r="S4694" s="8">
        <v>14.1</v>
      </c>
      <c r="T4694" s="8">
        <v>0.7</v>
      </c>
      <c r="U4694" s="8">
        <v>13.5</v>
      </c>
      <c r="V4694" s="8">
        <v>2.4</v>
      </c>
      <c r="W4694" s="8">
        <v>0.5</v>
      </c>
      <c r="X4694" s="8">
        <v>34</v>
      </c>
      <c r="Y4694" s="8" t="s">
        <v>5089</v>
      </c>
      <c r="Z4694" s="8" t="s">
        <v>21198</v>
      </c>
    </row>
    <row r="4695" spans="1:26" x14ac:dyDescent="0.2">
      <c r="A4695" s="8">
        <v>4694</v>
      </c>
      <c r="B4695" s="8" t="s">
        <v>21199</v>
      </c>
      <c r="C4695" s="8" t="s">
        <v>21199</v>
      </c>
      <c r="F4695" s="47" t="s">
        <v>57540</v>
      </c>
      <c r="G4695" s="8">
        <v>12</v>
      </c>
      <c r="H4695" s="8" t="s">
        <v>21</v>
      </c>
      <c r="I4695" s="8" t="s">
        <v>22</v>
      </c>
      <c r="J4695" s="8" t="s">
        <v>22</v>
      </c>
      <c r="K4695" s="8" t="s">
        <v>224</v>
      </c>
      <c r="L4695" s="8" t="s">
        <v>17287</v>
      </c>
      <c r="M4695" s="8" t="s">
        <v>17288</v>
      </c>
      <c r="N4695" s="8" t="s">
        <v>21200</v>
      </c>
      <c r="O4695" s="8">
        <f>12+48/60+14.9/3600</f>
        <v>12.80413888888889</v>
      </c>
      <c r="P4695" s="8" t="s">
        <v>21201</v>
      </c>
      <c r="Q4695" s="8">
        <f>+(10+59/60+2/3600)</f>
        <v>10.983888888888888</v>
      </c>
      <c r="R4695" s="8">
        <v>11.4</v>
      </c>
      <c r="S4695" s="8">
        <v>12.1</v>
      </c>
      <c r="T4695" s="8">
        <v>0.7</v>
      </c>
      <c r="U4695" s="8">
        <v>13</v>
      </c>
      <c r="V4695" s="8">
        <v>3.3</v>
      </c>
      <c r="W4695" s="8">
        <v>1.6</v>
      </c>
      <c r="X4695" s="8">
        <v>140</v>
      </c>
      <c r="Y4695" s="8" t="s">
        <v>21202</v>
      </c>
      <c r="Z4695" s="8" t="s">
        <v>21203</v>
      </c>
    </row>
    <row r="4696" spans="1:26" x14ac:dyDescent="0.2">
      <c r="A4696" s="8">
        <v>4695</v>
      </c>
      <c r="B4696" s="8" t="s">
        <v>21204</v>
      </c>
      <c r="C4696" s="8" t="s">
        <v>21204</v>
      </c>
      <c r="F4696" s="47" t="s">
        <v>57541</v>
      </c>
      <c r="G4696" s="8">
        <v>16</v>
      </c>
      <c r="H4696" s="8" t="s">
        <v>21</v>
      </c>
      <c r="I4696" s="8" t="s">
        <v>22</v>
      </c>
      <c r="J4696" s="8" t="s">
        <v>22</v>
      </c>
      <c r="K4696" s="8" t="s">
        <v>85</v>
      </c>
      <c r="L4696" s="8" t="s">
        <v>12015</v>
      </c>
      <c r="M4696" s="8" t="s">
        <v>12016</v>
      </c>
      <c r="N4696" s="8" t="s">
        <v>21205</v>
      </c>
      <c r="O4696" s="8">
        <f>12+47/60+32/3600</f>
        <v>12.792222222222222</v>
      </c>
      <c r="P4696" s="8" t="s">
        <v>21206</v>
      </c>
      <c r="Q4696" s="8">
        <f>+(54+22/60+28/3600)</f>
        <v>54.374444444444443</v>
      </c>
      <c r="R4696" s="8">
        <v>13.5</v>
      </c>
      <c r="S4696" s="8">
        <v>14.3</v>
      </c>
      <c r="T4696" s="8">
        <v>0.8</v>
      </c>
      <c r="U4696" s="8">
        <v>13.1</v>
      </c>
      <c r="V4696" s="8">
        <v>1.1000000000000001</v>
      </c>
      <c r="W4696" s="8">
        <v>0.7</v>
      </c>
      <c r="X4696" s="8">
        <v>80</v>
      </c>
      <c r="Y4696" s="8" t="s">
        <v>21207</v>
      </c>
      <c r="Z4696" s="8" t="s">
        <v>21208</v>
      </c>
    </row>
    <row r="4697" spans="1:26" x14ac:dyDescent="0.2">
      <c r="A4697" s="8">
        <v>4696</v>
      </c>
      <c r="B4697" s="8" t="s">
        <v>21209</v>
      </c>
      <c r="C4697" s="8" t="s">
        <v>21209</v>
      </c>
      <c r="F4697" s="47"/>
      <c r="G4697" s="8">
        <v>10</v>
      </c>
      <c r="H4697" s="8" t="s">
        <v>21</v>
      </c>
      <c r="I4697" s="8" t="s">
        <v>22</v>
      </c>
      <c r="J4697" s="8" t="s">
        <v>22</v>
      </c>
      <c r="K4697" s="8" t="s">
        <v>4262</v>
      </c>
      <c r="L4697" s="8" t="s">
        <v>16195</v>
      </c>
      <c r="M4697" s="8" t="s">
        <v>16196</v>
      </c>
      <c r="N4697" s="8" t="s">
        <v>21210</v>
      </c>
      <c r="O4697" s="8">
        <f>12+48/60+49.1/3600</f>
        <v>12.813638888888889</v>
      </c>
      <c r="P4697" s="8" t="s">
        <v>21211</v>
      </c>
      <c r="Q4697" s="8">
        <f>-(41+18/60+42/3600)</f>
        <v>-41.31166666666666</v>
      </c>
      <c r="R4697" s="8">
        <v>10.4</v>
      </c>
      <c r="S4697" s="8">
        <v>11.4</v>
      </c>
      <c r="T4697" s="8">
        <v>1</v>
      </c>
      <c r="U4697" s="8">
        <v>13.3</v>
      </c>
      <c r="V4697" s="8">
        <v>4.7</v>
      </c>
      <c r="W4697" s="8">
        <v>3.3</v>
      </c>
      <c r="X4697" s="8">
        <v>107</v>
      </c>
      <c r="Y4697" s="8" t="s">
        <v>21212</v>
      </c>
      <c r="Z4697" s="8" t="s">
        <v>21213</v>
      </c>
    </row>
    <row r="4698" spans="1:26" x14ac:dyDescent="0.2">
      <c r="A4698" s="8">
        <v>4697</v>
      </c>
      <c r="B4698" s="8" t="s">
        <v>21214</v>
      </c>
      <c r="C4698" s="8" t="s">
        <v>21214</v>
      </c>
      <c r="F4698" s="47" t="s">
        <v>57542</v>
      </c>
      <c r="G4698" s="8">
        <v>2</v>
      </c>
      <c r="H4698" s="8" t="s">
        <v>21</v>
      </c>
      <c r="I4698" s="8" t="s">
        <v>22</v>
      </c>
      <c r="J4698" s="8" t="s">
        <v>22</v>
      </c>
      <c r="K4698" s="8" t="s">
        <v>3850</v>
      </c>
      <c r="L4698" s="8" t="s">
        <v>17287</v>
      </c>
      <c r="M4698" s="8" t="s">
        <v>17288</v>
      </c>
      <c r="N4698" s="8" t="s">
        <v>21215</v>
      </c>
      <c r="O4698" s="8">
        <f>12+48/60+35.8/3600</f>
        <v>12.809944444444445</v>
      </c>
      <c r="P4698" s="8" t="s">
        <v>21216</v>
      </c>
      <c r="Q4698" s="8">
        <f>-(5+48/60+0/3600)</f>
        <v>-5.8</v>
      </c>
      <c r="R4698" s="8">
        <v>9.1999999999999993</v>
      </c>
      <c r="S4698" s="8">
        <v>10.1</v>
      </c>
      <c r="T4698" s="8">
        <v>0.9</v>
      </c>
      <c r="U4698" s="8">
        <v>13</v>
      </c>
      <c r="V4698" s="8">
        <v>7.2</v>
      </c>
      <c r="W4698" s="8">
        <v>4.7</v>
      </c>
      <c r="X4698" s="8">
        <v>70</v>
      </c>
      <c r="Y4698" s="8" t="s">
        <v>21217</v>
      </c>
      <c r="Z4698" s="8" t="s">
        <v>21218</v>
      </c>
    </row>
    <row r="4699" spans="1:26" x14ac:dyDescent="0.2">
      <c r="A4699" s="8">
        <v>4698</v>
      </c>
      <c r="B4699" s="8" t="s">
        <v>21219</v>
      </c>
      <c r="C4699" s="8" t="s">
        <v>21219</v>
      </c>
      <c r="F4699" s="47" t="s">
        <v>57543</v>
      </c>
      <c r="G4699" s="8">
        <v>6</v>
      </c>
      <c r="H4699" s="8" t="s">
        <v>21</v>
      </c>
      <c r="I4699" s="8" t="s">
        <v>22</v>
      </c>
      <c r="J4699" s="8" t="s">
        <v>22</v>
      </c>
      <c r="K4699" s="8" t="s">
        <v>31</v>
      </c>
      <c r="L4699" s="8" t="s">
        <v>17287</v>
      </c>
      <c r="M4699" s="8" t="s">
        <v>17288</v>
      </c>
      <c r="N4699" s="8" t="s">
        <v>21220</v>
      </c>
      <c r="O4699" s="8">
        <f>12+48/60+23/3600</f>
        <v>12.80638888888889</v>
      </c>
      <c r="P4699" s="8" t="s">
        <v>21221</v>
      </c>
      <c r="Q4699" s="8">
        <f>+(8+29/60+18/3600)</f>
        <v>8.4883333333333333</v>
      </c>
      <c r="R4699" s="8">
        <v>10.6</v>
      </c>
      <c r="S4699" s="8">
        <v>11.5</v>
      </c>
      <c r="T4699" s="8">
        <v>0.9</v>
      </c>
      <c r="U4699" s="8">
        <v>12.9</v>
      </c>
      <c r="V4699" s="8">
        <v>4</v>
      </c>
      <c r="W4699" s="8">
        <v>2.5</v>
      </c>
      <c r="X4699" s="8">
        <v>170</v>
      </c>
      <c r="Y4699" s="8" t="s">
        <v>21222</v>
      </c>
      <c r="Z4699" s="8" t="s">
        <v>21223</v>
      </c>
    </row>
    <row r="4700" spans="1:26" x14ac:dyDescent="0.2">
      <c r="A4700" s="8">
        <v>4699</v>
      </c>
      <c r="B4700" s="8" t="s">
        <v>21224</v>
      </c>
      <c r="C4700" s="8" t="s">
        <v>21224</v>
      </c>
      <c r="F4700" s="47" t="s">
        <v>57544</v>
      </c>
      <c r="G4700" s="8">
        <v>3</v>
      </c>
      <c r="H4700" s="8" t="s">
        <v>21</v>
      </c>
      <c r="I4700" s="8" t="s">
        <v>22</v>
      </c>
      <c r="J4700" s="8" t="s">
        <v>22</v>
      </c>
      <c r="K4700" s="8" t="s">
        <v>218</v>
      </c>
      <c r="L4700" s="8" t="s">
        <v>17287</v>
      </c>
      <c r="M4700" s="8" t="s">
        <v>17288</v>
      </c>
      <c r="N4700" s="8" t="s">
        <v>21225</v>
      </c>
      <c r="O4700" s="8">
        <f>12+49/60+2.2/3600</f>
        <v>12.817277777777777</v>
      </c>
      <c r="P4700" s="8" t="s">
        <v>21226</v>
      </c>
      <c r="Q4700" s="8">
        <f>-(8+39/60+50/3600)</f>
        <v>-8.6638888888888896</v>
      </c>
      <c r="R4700" s="8">
        <v>9.5</v>
      </c>
      <c r="S4700" s="8">
        <v>10.4</v>
      </c>
      <c r="T4700" s="8">
        <v>0.9</v>
      </c>
      <c r="U4700" s="8">
        <v>11.9</v>
      </c>
      <c r="V4700" s="8">
        <v>3.8</v>
      </c>
      <c r="W4700" s="8">
        <v>2.8</v>
      </c>
      <c r="X4700" s="8">
        <v>45</v>
      </c>
      <c r="Y4700" s="8" t="s">
        <v>21227</v>
      </c>
      <c r="Z4700" s="8" t="s">
        <v>21228</v>
      </c>
    </row>
    <row r="4701" spans="1:26" x14ac:dyDescent="0.2">
      <c r="A4701" s="8">
        <v>4700</v>
      </c>
      <c r="B4701" s="8" t="s">
        <v>21229</v>
      </c>
      <c r="C4701" s="8" t="s">
        <v>21229</v>
      </c>
      <c r="F4701" s="47" t="s">
        <v>57545</v>
      </c>
      <c r="G4701" s="8">
        <v>13</v>
      </c>
      <c r="H4701" s="8" t="s">
        <v>21</v>
      </c>
      <c r="I4701" s="8" t="s">
        <v>22</v>
      </c>
      <c r="J4701" s="8" t="s">
        <v>22</v>
      </c>
      <c r="K4701" s="8" t="s">
        <v>64</v>
      </c>
      <c r="L4701" s="8" t="s">
        <v>17287</v>
      </c>
      <c r="M4701" s="8" t="s">
        <v>17288</v>
      </c>
      <c r="N4701" s="8" t="s">
        <v>21230</v>
      </c>
      <c r="O4701" s="8">
        <f>12+49/60+7.8/3600</f>
        <v>12.818833333333334</v>
      </c>
      <c r="P4701" s="8" t="s">
        <v>21231</v>
      </c>
      <c r="Q4701" s="8">
        <f>-(11+24/60+42/3600)</f>
        <v>-11.411666666666667</v>
      </c>
      <c r="R4701" s="8">
        <v>11.9</v>
      </c>
      <c r="S4701" s="8">
        <v>12.6</v>
      </c>
      <c r="T4701" s="8">
        <v>0.7</v>
      </c>
      <c r="U4701" s="8">
        <v>12.8</v>
      </c>
      <c r="V4701" s="8">
        <v>3.2</v>
      </c>
      <c r="W4701" s="8">
        <v>0.8</v>
      </c>
      <c r="X4701" s="8">
        <v>48</v>
      </c>
      <c r="Y4701" s="8" t="s">
        <v>21232</v>
      </c>
      <c r="Z4701" s="8" t="s">
        <v>21233</v>
      </c>
    </row>
    <row r="4702" spans="1:26" x14ac:dyDescent="0.2">
      <c r="A4702" s="8">
        <v>4701</v>
      </c>
      <c r="B4702" s="8" t="s">
        <v>21234</v>
      </c>
      <c r="C4702" s="8" t="s">
        <v>21234</v>
      </c>
      <c r="F4702" s="47" t="s">
        <v>57546</v>
      </c>
      <c r="G4702" s="8">
        <v>13</v>
      </c>
      <c r="H4702" s="8" t="s">
        <v>21</v>
      </c>
      <c r="I4702" s="8" t="s">
        <v>22</v>
      </c>
      <c r="J4702" s="8" t="s">
        <v>22</v>
      </c>
      <c r="K4702" s="8" t="s">
        <v>160</v>
      </c>
      <c r="L4702" s="8" t="s">
        <v>17287</v>
      </c>
      <c r="M4702" s="8" t="s">
        <v>17288</v>
      </c>
      <c r="N4702" s="8" t="s">
        <v>21235</v>
      </c>
      <c r="O4702" s="8">
        <f>12+49/60+11.4/3600</f>
        <v>12.819833333333333</v>
      </c>
      <c r="P4702" s="8" t="s">
        <v>21236</v>
      </c>
      <c r="Q4702" s="8">
        <f>+(3+23/60+20/3600)</f>
        <v>3.3888888888888888</v>
      </c>
      <c r="R4702" s="8">
        <v>12.4</v>
      </c>
      <c r="S4702" s="8">
        <v>12.8</v>
      </c>
      <c r="T4702" s="8">
        <v>0.4</v>
      </c>
      <c r="U4702" s="8">
        <v>14.2</v>
      </c>
      <c r="V4702" s="8">
        <v>2.8</v>
      </c>
      <c r="W4702" s="8">
        <v>2.1</v>
      </c>
      <c r="X4702" s="8">
        <v>45</v>
      </c>
      <c r="Y4702" s="8" t="s">
        <v>4065</v>
      </c>
      <c r="Z4702" s="8" t="s">
        <v>4066</v>
      </c>
    </row>
    <row r="4703" spans="1:26" x14ac:dyDescent="0.2">
      <c r="A4703" s="8">
        <v>4702</v>
      </c>
      <c r="B4703" s="8" t="s">
        <v>21237</v>
      </c>
      <c r="C4703" s="8" t="s">
        <v>21237</v>
      </c>
      <c r="F4703" s="47"/>
      <c r="G4703" s="8">
        <v>18</v>
      </c>
      <c r="H4703" s="8" t="s">
        <v>21</v>
      </c>
      <c r="I4703" s="8" t="s">
        <v>22</v>
      </c>
      <c r="J4703" s="8" t="s">
        <v>57</v>
      </c>
      <c r="K4703" s="8" t="s">
        <v>460</v>
      </c>
      <c r="L4703" s="8" t="s">
        <v>18289</v>
      </c>
      <c r="M4703" s="8" t="s">
        <v>18290</v>
      </c>
      <c r="N4703" s="8" t="s">
        <v>21191</v>
      </c>
      <c r="O4703" s="8">
        <f>12+47/60+55.2/3600</f>
        <v>12.798666666666666</v>
      </c>
      <c r="P4703" s="8" t="s">
        <v>21192</v>
      </c>
      <c r="Q4703" s="8">
        <f>+(27+13/60+20/3600)</f>
        <v>27.222222222222221</v>
      </c>
      <c r="R4703" s="8">
        <v>12.5</v>
      </c>
      <c r="S4703" s="8">
        <v>13.6</v>
      </c>
      <c r="T4703" s="8">
        <v>1.1000000000000001</v>
      </c>
      <c r="U4703" s="8">
        <v>13.1</v>
      </c>
      <c r="V4703" s="8">
        <v>1.3</v>
      </c>
      <c r="W4703" s="8">
        <v>1.3</v>
      </c>
      <c r="Y4703" s="8" t="s">
        <v>21238</v>
      </c>
      <c r="Z4703" s="8" t="s">
        <v>21239</v>
      </c>
    </row>
    <row r="4704" spans="1:26" x14ac:dyDescent="0.2">
      <c r="A4704" s="8">
        <v>4703</v>
      </c>
      <c r="B4704" s="8" t="s">
        <v>21240</v>
      </c>
      <c r="C4704" s="8" t="s">
        <v>21240</v>
      </c>
      <c r="F4704" s="47" t="s">
        <v>57547</v>
      </c>
      <c r="G4704" s="8">
        <v>15</v>
      </c>
      <c r="H4704" s="8" t="s">
        <v>21</v>
      </c>
      <c r="I4704" s="8" t="s">
        <v>22</v>
      </c>
      <c r="J4704" s="8" t="s">
        <v>22</v>
      </c>
      <c r="K4704" s="8" t="s">
        <v>23</v>
      </c>
      <c r="L4704" s="8" t="s">
        <v>17287</v>
      </c>
      <c r="M4704" s="8" t="s">
        <v>17288</v>
      </c>
      <c r="N4704" s="8" t="s">
        <v>21241</v>
      </c>
      <c r="O4704" s="8">
        <f>12+49/60+18.9/3600</f>
        <v>12.821916666666667</v>
      </c>
      <c r="P4704" s="8" t="s">
        <v>21242</v>
      </c>
      <c r="Q4704" s="8">
        <f>-(9+6/60+30/3600)</f>
        <v>-9.1083333333333325</v>
      </c>
      <c r="R4704" s="8">
        <v>13.2</v>
      </c>
      <c r="S4704" s="8">
        <v>14</v>
      </c>
      <c r="T4704" s="8">
        <v>0.8</v>
      </c>
      <c r="U4704" s="8">
        <v>13.7</v>
      </c>
      <c r="V4704" s="8">
        <v>3</v>
      </c>
      <c r="W4704" s="8">
        <v>0.6</v>
      </c>
      <c r="X4704" s="8">
        <v>156</v>
      </c>
      <c r="Y4704" s="8" t="s">
        <v>21243</v>
      </c>
      <c r="Z4704" s="8" t="s">
        <v>21244</v>
      </c>
    </row>
    <row r="4705" spans="1:26" x14ac:dyDescent="0.2">
      <c r="A4705" s="8">
        <v>4704</v>
      </c>
      <c r="B4705" s="8" t="s">
        <v>21245</v>
      </c>
      <c r="C4705" s="8" t="s">
        <v>21245</v>
      </c>
      <c r="F4705" s="47" t="s">
        <v>57548</v>
      </c>
      <c r="G4705" s="8">
        <v>15</v>
      </c>
      <c r="H4705" s="8" t="s">
        <v>21</v>
      </c>
      <c r="I4705" s="8" t="s">
        <v>22</v>
      </c>
      <c r="J4705" s="8" t="s">
        <v>22</v>
      </c>
      <c r="K4705" s="8" t="s">
        <v>3407</v>
      </c>
      <c r="L4705" s="8" t="s">
        <v>18681</v>
      </c>
      <c r="M4705" s="8" t="s">
        <v>18682</v>
      </c>
      <c r="N4705" s="8" t="s">
        <v>21246</v>
      </c>
      <c r="O4705" s="8">
        <f>12+48/60+46.4/3600</f>
        <v>12.812888888888889</v>
      </c>
      <c r="P4705" s="8" t="s">
        <v>21247</v>
      </c>
      <c r="Q4705" s="8">
        <f>+(41+55/60+16/3600)</f>
        <v>41.921111111111109</v>
      </c>
      <c r="R4705" s="8">
        <v>13.7</v>
      </c>
      <c r="S4705" s="8">
        <v>14.5</v>
      </c>
      <c r="T4705" s="8">
        <v>0.8</v>
      </c>
      <c r="U4705" s="8">
        <v>13.5</v>
      </c>
      <c r="V4705" s="8">
        <v>1</v>
      </c>
      <c r="W4705" s="8">
        <v>0.9</v>
      </c>
      <c r="X4705" s="8">
        <v>105</v>
      </c>
      <c r="Y4705" s="8" t="s">
        <v>21248</v>
      </c>
      <c r="Z4705" s="8" t="s">
        <v>21249</v>
      </c>
    </row>
    <row r="4706" spans="1:26" x14ac:dyDescent="0.2">
      <c r="A4706" s="8">
        <v>4705</v>
      </c>
      <c r="B4706" s="8" t="s">
        <v>21250</v>
      </c>
      <c r="C4706" s="8" t="s">
        <v>21250</v>
      </c>
      <c r="F4706" s="47" t="s">
        <v>57549</v>
      </c>
      <c r="G4706" s="8">
        <v>15</v>
      </c>
      <c r="H4706" s="8" t="s">
        <v>21</v>
      </c>
      <c r="I4706" s="8" t="s">
        <v>22</v>
      </c>
      <c r="J4706" s="8" t="s">
        <v>22</v>
      </c>
      <c r="K4706" s="8" t="s">
        <v>85</v>
      </c>
      <c r="L4706" s="8" t="s">
        <v>17287</v>
      </c>
      <c r="M4706" s="8" t="s">
        <v>17288</v>
      </c>
      <c r="N4706" s="8" t="s">
        <v>21251</v>
      </c>
      <c r="O4706" s="8">
        <f>12+49/60+24.9/3600</f>
        <v>12.823583333333334</v>
      </c>
      <c r="P4706" s="8" t="s">
        <v>21252</v>
      </c>
      <c r="Q4706" s="8">
        <f>-(5+11/60+43/3600)</f>
        <v>-5.1952777777777781</v>
      </c>
      <c r="R4706" s="8">
        <v>11.7</v>
      </c>
      <c r="S4706" s="8">
        <v>12.5</v>
      </c>
      <c r="T4706" s="8">
        <v>0.8</v>
      </c>
      <c r="U4706" s="8">
        <v>12.8</v>
      </c>
      <c r="V4706" s="8">
        <v>3.1</v>
      </c>
      <c r="W4706" s="8">
        <v>1</v>
      </c>
      <c r="X4706" s="8">
        <v>125</v>
      </c>
      <c r="Y4706" s="8" t="s">
        <v>21253</v>
      </c>
      <c r="Z4706" s="8" t="s">
        <v>21254</v>
      </c>
    </row>
    <row r="4707" spans="1:26" x14ac:dyDescent="0.2">
      <c r="A4707" s="8">
        <v>4706</v>
      </c>
      <c r="B4707" s="8" t="s">
        <v>21255</v>
      </c>
      <c r="C4707" s="8" t="s">
        <v>21255</v>
      </c>
      <c r="F4707" s="47"/>
      <c r="G4707" s="8">
        <v>16</v>
      </c>
      <c r="H4707" s="8" t="s">
        <v>21</v>
      </c>
      <c r="I4707" s="8" t="s">
        <v>22</v>
      </c>
      <c r="J4707" s="8" t="s">
        <v>22</v>
      </c>
      <c r="K4707" s="8" t="s">
        <v>224</v>
      </c>
      <c r="L4707" s="8" t="s">
        <v>16195</v>
      </c>
      <c r="M4707" s="8" t="s">
        <v>16196</v>
      </c>
      <c r="N4707" s="8" t="s">
        <v>21256</v>
      </c>
      <c r="O4707" s="8">
        <f>12+49/60+54/3600</f>
        <v>12.831666666666667</v>
      </c>
      <c r="P4707" s="8" t="s">
        <v>21257</v>
      </c>
      <c r="Q4707" s="8">
        <f>-(41+16/60+46/3600)</f>
        <v>-41.279444444444444</v>
      </c>
      <c r="R4707" s="8">
        <v>12.8</v>
      </c>
      <c r="S4707" s="8">
        <v>13.9</v>
      </c>
      <c r="T4707" s="8">
        <v>1.1000000000000001</v>
      </c>
      <c r="U4707" s="8">
        <v>12.5</v>
      </c>
      <c r="V4707" s="8">
        <v>1.3</v>
      </c>
      <c r="W4707" s="8">
        <v>0.5</v>
      </c>
      <c r="X4707" s="8">
        <v>24</v>
      </c>
      <c r="Y4707" s="8" t="s">
        <v>18435</v>
      </c>
      <c r="Z4707" s="8" t="s">
        <v>18436</v>
      </c>
    </row>
    <row r="4708" spans="1:26" x14ac:dyDescent="0.2">
      <c r="A4708" s="8">
        <v>4707</v>
      </c>
      <c r="B4708" s="8" t="s">
        <v>21258</v>
      </c>
      <c r="C4708" s="8" t="s">
        <v>21258</v>
      </c>
      <c r="F4708" s="47" t="s">
        <v>57550</v>
      </c>
      <c r="G4708" s="8">
        <v>15</v>
      </c>
      <c r="H4708" s="8" t="s">
        <v>21</v>
      </c>
      <c r="I4708" s="8" t="s">
        <v>22</v>
      </c>
      <c r="J4708" s="8" t="s">
        <v>22</v>
      </c>
      <c r="K4708" s="8" t="s">
        <v>4103</v>
      </c>
      <c r="L4708" s="8" t="s">
        <v>18681</v>
      </c>
      <c r="M4708" s="8" t="s">
        <v>18682</v>
      </c>
      <c r="N4708" s="8" t="s">
        <v>21259</v>
      </c>
      <c r="O4708" s="8">
        <f>12+48/60+23.2/3600</f>
        <v>12.806444444444445</v>
      </c>
      <c r="P4708" s="8" t="s">
        <v>21260</v>
      </c>
      <c r="Q4708" s="8">
        <f>+(51+9/60+48/3600)</f>
        <v>51.163333333333334</v>
      </c>
      <c r="R4708" s="8">
        <v>12.9</v>
      </c>
      <c r="S4708" s="8">
        <v>13.4</v>
      </c>
      <c r="T4708" s="8">
        <v>0.5</v>
      </c>
      <c r="U4708" s="8">
        <v>14.4</v>
      </c>
      <c r="V4708" s="8">
        <v>2.2000000000000002</v>
      </c>
      <c r="W4708" s="8">
        <v>2.1</v>
      </c>
      <c r="X4708" s="8">
        <v>25</v>
      </c>
      <c r="Y4708" s="8" t="s">
        <v>21261</v>
      </c>
      <c r="Z4708" s="8" t="s">
        <v>15960</v>
      </c>
    </row>
    <row r="4709" spans="1:26" x14ac:dyDescent="0.2">
      <c r="A4709" s="8">
        <v>4708</v>
      </c>
      <c r="B4709" s="8" t="s">
        <v>21262</v>
      </c>
      <c r="C4709" s="8" t="s">
        <v>21262</v>
      </c>
      <c r="F4709" s="47" t="s">
        <v>57551</v>
      </c>
      <c r="G4709" s="8">
        <v>15</v>
      </c>
      <c r="H4709" s="8" t="s">
        <v>21</v>
      </c>
      <c r="I4709" s="8" t="s">
        <v>22</v>
      </c>
      <c r="J4709" s="8" t="s">
        <v>22</v>
      </c>
      <c r="K4709" s="8" t="s">
        <v>31</v>
      </c>
      <c r="L4709" s="8" t="s">
        <v>17287</v>
      </c>
      <c r="M4709" s="8" t="s">
        <v>17288</v>
      </c>
      <c r="N4709" s="8" t="s">
        <v>21263</v>
      </c>
      <c r="O4709" s="8">
        <f>12+49/60+41.6/3600</f>
        <v>12.828222222222221</v>
      </c>
      <c r="P4709" s="8" t="s">
        <v>21264</v>
      </c>
      <c r="Q4709" s="8">
        <f>-(11+5/60+37/3600)</f>
        <v>-11.093611111111112</v>
      </c>
      <c r="R4709" s="8">
        <v>13.1</v>
      </c>
      <c r="S4709" s="8">
        <v>13.9</v>
      </c>
      <c r="T4709" s="8">
        <v>0.8</v>
      </c>
      <c r="U4709" s="8">
        <v>13</v>
      </c>
      <c r="V4709" s="8">
        <v>1.2</v>
      </c>
      <c r="W4709" s="8">
        <v>0.9</v>
      </c>
      <c r="X4709" s="8">
        <v>55</v>
      </c>
      <c r="Y4709" s="8" t="s">
        <v>745</v>
      </c>
      <c r="Z4709" s="8" t="s">
        <v>746</v>
      </c>
    </row>
    <row r="4710" spans="1:26" x14ac:dyDescent="0.2">
      <c r="A4710" s="8">
        <v>4709</v>
      </c>
      <c r="B4710" s="8" t="s">
        <v>21265</v>
      </c>
      <c r="C4710" s="8" t="s">
        <v>21265</v>
      </c>
      <c r="F4710" s="47"/>
      <c r="G4710" s="8">
        <v>16</v>
      </c>
      <c r="H4710" s="8" t="s">
        <v>21</v>
      </c>
      <c r="I4710" s="8" t="s">
        <v>22</v>
      </c>
      <c r="J4710" s="8" t="s">
        <v>22</v>
      </c>
      <c r="K4710" s="8" t="s">
        <v>183</v>
      </c>
      <c r="L4710" s="8" t="s">
        <v>16195</v>
      </c>
      <c r="M4710" s="8" t="s">
        <v>16196</v>
      </c>
      <c r="N4710" s="8" t="s">
        <v>21266</v>
      </c>
      <c r="O4710" s="8">
        <f>12+50/60+3.9/3600</f>
        <v>12.834416666666668</v>
      </c>
      <c r="P4710" s="8" t="s">
        <v>21267</v>
      </c>
      <c r="Q4710" s="8">
        <f>-(41+22/60+57/3600)</f>
        <v>-41.3825</v>
      </c>
      <c r="R4710" s="8">
        <v>10.9</v>
      </c>
      <c r="S4710" s="8">
        <v>12</v>
      </c>
      <c r="T4710" s="8">
        <v>1.1000000000000001</v>
      </c>
      <c r="U4710" s="8">
        <v>12.6</v>
      </c>
      <c r="V4710" s="8">
        <v>2.2999999999999998</v>
      </c>
      <c r="W4710" s="8">
        <v>2</v>
      </c>
      <c r="X4710" s="8">
        <v>112</v>
      </c>
      <c r="Y4710" s="8" t="s">
        <v>21268</v>
      </c>
      <c r="Z4710" s="8" t="s">
        <v>21269</v>
      </c>
    </row>
    <row r="4711" spans="1:26" x14ac:dyDescent="0.2">
      <c r="A4711" s="8">
        <v>4710</v>
      </c>
      <c r="B4711" s="8" t="s">
        <v>21270</v>
      </c>
      <c r="C4711" s="8" t="s">
        <v>21270</v>
      </c>
      <c r="F4711" s="47" t="s">
        <v>57552</v>
      </c>
      <c r="G4711" s="8">
        <v>7</v>
      </c>
      <c r="H4711" s="8" t="s">
        <v>21</v>
      </c>
      <c r="I4711" s="8" t="s">
        <v>22</v>
      </c>
      <c r="J4711" s="8" t="s">
        <v>22</v>
      </c>
      <c r="K4711" s="8" t="s">
        <v>632</v>
      </c>
      <c r="L4711" s="8" t="s">
        <v>18289</v>
      </c>
      <c r="M4711" s="8" t="s">
        <v>18290</v>
      </c>
      <c r="N4711" s="8" t="s">
        <v>21271</v>
      </c>
      <c r="O4711" s="8">
        <f>12+49/60+38.7/3600</f>
        <v>12.827416666666666</v>
      </c>
      <c r="P4711" s="8" t="s">
        <v>21272</v>
      </c>
      <c r="Q4711" s="8">
        <f>+(15+9/60+53/3600)</f>
        <v>15.164722222222222</v>
      </c>
      <c r="R4711" s="8">
        <v>11</v>
      </c>
      <c r="S4711" s="8">
        <v>11.9</v>
      </c>
      <c r="T4711" s="8">
        <v>0.9</v>
      </c>
      <c r="U4711" s="8">
        <v>12.8</v>
      </c>
      <c r="V4711" s="8">
        <v>4.9000000000000004</v>
      </c>
      <c r="W4711" s="8">
        <v>1.2</v>
      </c>
      <c r="X4711" s="8">
        <v>27</v>
      </c>
      <c r="Y4711" s="8" t="s">
        <v>21</v>
      </c>
      <c r="Z4711" s="8" t="s">
        <v>21273</v>
      </c>
    </row>
    <row r="4712" spans="1:26" x14ac:dyDescent="0.2">
      <c r="A4712" s="8">
        <v>4711</v>
      </c>
      <c r="B4712" s="8" t="s">
        <v>21274</v>
      </c>
      <c r="C4712" s="8" t="s">
        <v>21274</v>
      </c>
      <c r="F4712" s="47" t="s">
        <v>57553</v>
      </c>
      <c r="G4712" s="8">
        <v>15</v>
      </c>
      <c r="H4712" s="8" t="s">
        <v>21</v>
      </c>
      <c r="I4712" s="8" t="s">
        <v>22</v>
      </c>
      <c r="J4712" s="8" t="s">
        <v>22</v>
      </c>
      <c r="K4712" s="8" t="s">
        <v>218</v>
      </c>
      <c r="L4712" s="8" t="s">
        <v>18681</v>
      </c>
      <c r="M4712" s="8" t="s">
        <v>18682</v>
      </c>
      <c r="N4712" s="8" t="s">
        <v>21275</v>
      </c>
      <c r="O4712" s="8">
        <f>12+48/60+45.7/3600</f>
        <v>12.812694444444444</v>
      </c>
      <c r="P4712" s="8" t="s">
        <v>21276</v>
      </c>
      <c r="Q4712" s="8">
        <f>+(35+19/60+58/3600)</f>
        <v>35.332777777777778</v>
      </c>
      <c r="R4712" s="8">
        <v>13.4</v>
      </c>
      <c r="S4712" s="8">
        <v>14.2</v>
      </c>
      <c r="T4712" s="8">
        <v>0.8</v>
      </c>
      <c r="U4712" s="8">
        <v>13.6</v>
      </c>
      <c r="V4712" s="8">
        <v>1.3</v>
      </c>
      <c r="W4712" s="8">
        <v>0.8</v>
      </c>
      <c r="X4712" s="8">
        <v>40</v>
      </c>
      <c r="Y4712" s="8" t="s">
        <v>21277</v>
      </c>
      <c r="Z4712" s="8" t="s">
        <v>21278</v>
      </c>
    </row>
    <row r="4713" spans="1:26" x14ac:dyDescent="0.2">
      <c r="A4713" s="8">
        <v>4712</v>
      </c>
      <c r="B4713" s="8" t="s">
        <v>21279</v>
      </c>
      <c r="C4713" s="8" t="s">
        <v>21279</v>
      </c>
      <c r="F4713" s="47"/>
      <c r="G4713" s="8">
        <v>13</v>
      </c>
      <c r="H4713" s="8" t="s">
        <v>21</v>
      </c>
      <c r="I4713" s="8" t="s">
        <v>22</v>
      </c>
      <c r="J4713" s="8" t="s">
        <v>22</v>
      </c>
      <c r="K4713" s="8" t="s">
        <v>396</v>
      </c>
      <c r="L4713" s="8" t="s">
        <v>18289</v>
      </c>
      <c r="M4713" s="8" t="s">
        <v>18290</v>
      </c>
      <c r="N4713" s="8" t="s">
        <v>21280</v>
      </c>
      <c r="O4713" s="8">
        <f>12+49/60+34.1/3600</f>
        <v>12.826138888888888</v>
      </c>
      <c r="P4713" s="8" t="s">
        <v>21281</v>
      </c>
      <c r="Q4713" s="8">
        <f>+(25+28/60+11/3600)</f>
        <v>25.46972222222222</v>
      </c>
      <c r="R4713" s="8">
        <v>12.8</v>
      </c>
      <c r="S4713" s="8">
        <v>13.3</v>
      </c>
      <c r="T4713" s="8">
        <v>0.5</v>
      </c>
      <c r="U4713" s="8">
        <v>13.7</v>
      </c>
      <c r="V4713" s="8">
        <v>2.2999999999999998</v>
      </c>
      <c r="W4713" s="8">
        <v>0.9</v>
      </c>
      <c r="X4713" s="8">
        <v>160</v>
      </c>
      <c r="Y4713" s="8" t="s">
        <v>1225</v>
      </c>
      <c r="Z4713" s="8" t="s">
        <v>1226</v>
      </c>
    </row>
    <row r="4714" spans="1:26" x14ac:dyDescent="0.2">
      <c r="A4714" s="8">
        <v>4713</v>
      </c>
      <c r="B4714" s="8" t="s">
        <v>21282</v>
      </c>
      <c r="C4714" s="8" t="s">
        <v>21282</v>
      </c>
      <c r="F4714" s="47" t="s">
        <v>57554</v>
      </c>
      <c r="G4714" s="8">
        <v>13</v>
      </c>
      <c r="H4714" s="8" t="s">
        <v>21</v>
      </c>
      <c r="I4714" s="8" t="s">
        <v>22</v>
      </c>
      <c r="J4714" s="8" t="s">
        <v>22</v>
      </c>
      <c r="K4714" s="8" t="s">
        <v>1277</v>
      </c>
      <c r="L4714" s="8" t="s">
        <v>17287</v>
      </c>
      <c r="M4714" s="8" t="s">
        <v>17288</v>
      </c>
      <c r="N4714" s="8" t="s">
        <v>21283</v>
      </c>
      <c r="O4714" s="8">
        <f>12+49/60+57.6/3600</f>
        <v>12.832666666666666</v>
      </c>
      <c r="P4714" s="8" t="s">
        <v>21284</v>
      </c>
      <c r="Q4714" s="8">
        <f>+(5+18/60+40/3600)</f>
        <v>5.3111111111111109</v>
      </c>
      <c r="R4714" s="8">
        <v>11.7</v>
      </c>
      <c r="S4714" s="8">
        <v>12.2</v>
      </c>
      <c r="T4714" s="8">
        <v>0.5</v>
      </c>
      <c r="U4714" s="8">
        <v>13.2</v>
      </c>
      <c r="V4714" s="8">
        <v>2.9</v>
      </c>
      <c r="W4714" s="8">
        <v>1.8</v>
      </c>
      <c r="X4714" s="8">
        <v>100</v>
      </c>
      <c r="Y4714" s="8" t="s">
        <v>21285</v>
      </c>
      <c r="Z4714" s="8" t="s">
        <v>21286</v>
      </c>
    </row>
    <row r="4715" spans="1:26" x14ac:dyDescent="0.2">
      <c r="A4715" s="8">
        <v>4714</v>
      </c>
      <c r="B4715" s="8" t="s">
        <v>21287</v>
      </c>
      <c r="C4715" s="8" t="s">
        <v>21287</v>
      </c>
      <c r="F4715" s="47" t="s">
        <v>57555</v>
      </c>
      <c r="G4715" s="8">
        <v>15</v>
      </c>
      <c r="H4715" s="8" t="s">
        <v>21</v>
      </c>
      <c r="I4715" s="8" t="s">
        <v>22</v>
      </c>
      <c r="J4715" s="8" t="s">
        <v>22</v>
      </c>
      <c r="K4715" s="8" t="s">
        <v>58</v>
      </c>
      <c r="L4715" s="8" t="s">
        <v>15925</v>
      </c>
      <c r="M4715" s="8" t="s">
        <v>15926</v>
      </c>
      <c r="N4715" s="8" t="s">
        <v>21288</v>
      </c>
      <c r="O4715" s="8">
        <f>12+50/60+19.2/3600</f>
        <v>12.838666666666667</v>
      </c>
      <c r="P4715" s="8" t="s">
        <v>21289</v>
      </c>
      <c r="Q4715" s="8">
        <f>-(13+19/60+28/3600)</f>
        <v>-13.324444444444444</v>
      </c>
      <c r="R4715" s="8">
        <v>12.7</v>
      </c>
      <c r="S4715" s="8">
        <v>13.7</v>
      </c>
      <c r="T4715" s="8">
        <v>1</v>
      </c>
      <c r="U4715" s="8">
        <v>13.5</v>
      </c>
      <c r="V4715" s="8">
        <v>1.6</v>
      </c>
      <c r="W4715" s="8">
        <v>1.2</v>
      </c>
      <c r="X4715" s="8">
        <v>150</v>
      </c>
      <c r="Y4715" s="8" t="s">
        <v>1323</v>
      </c>
      <c r="Z4715" s="8" t="s">
        <v>1324</v>
      </c>
    </row>
    <row r="4716" spans="1:26" x14ac:dyDescent="0.2">
      <c r="A4716" s="8">
        <v>4715</v>
      </c>
      <c r="B4716" s="8" t="s">
        <v>21290</v>
      </c>
      <c r="C4716" s="8" t="s">
        <v>21290</v>
      </c>
      <c r="F4716" s="47"/>
      <c r="G4716" s="8">
        <v>18</v>
      </c>
      <c r="H4716" s="8" t="s">
        <v>21</v>
      </c>
      <c r="I4716" s="8" t="s">
        <v>22</v>
      </c>
      <c r="J4716" s="8" t="s">
        <v>22</v>
      </c>
      <c r="K4716" s="8" t="s">
        <v>632</v>
      </c>
      <c r="L4716" s="8" t="s">
        <v>18289</v>
      </c>
      <c r="M4716" s="8" t="s">
        <v>18290</v>
      </c>
      <c r="N4716" s="8" t="s">
        <v>21291</v>
      </c>
      <c r="O4716" s="8">
        <f>12+49/60+57.8/3600</f>
        <v>12.832722222222221</v>
      </c>
      <c r="P4716" s="8" t="s">
        <v>21292</v>
      </c>
      <c r="Q4716" s="8">
        <f>+(27+49/60+22/3600)</f>
        <v>27.822777777777777</v>
      </c>
      <c r="R4716" s="8">
        <v>13.1</v>
      </c>
      <c r="S4716" s="8">
        <v>14.1</v>
      </c>
      <c r="T4716" s="8">
        <v>1</v>
      </c>
      <c r="U4716" s="8">
        <v>13.6</v>
      </c>
      <c r="V4716" s="8">
        <v>1.6</v>
      </c>
      <c r="W4716" s="8">
        <v>1.1000000000000001</v>
      </c>
      <c r="X4716" s="8">
        <v>20</v>
      </c>
      <c r="Y4716" s="8" t="s">
        <v>895</v>
      </c>
      <c r="Z4716" s="8" t="s">
        <v>896</v>
      </c>
    </row>
    <row r="4717" spans="1:26" x14ac:dyDescent="0.2">
      <c r="A4717" s="8">
        <v>4716</v>
      </c>
      <c r="B4717" s="8" t="s">
        <v>21293</v>
      </c>
      <c r="C4717" s="8" t="s">
        <v>21293</v>
      </c>
      <c r="F4717" s="47"/>
      <c r="G4717" s="8">
        <v>19</v>
      </c>
      <c r="H4717" s="8" t="s">
        <v>21</v>
      </c>
      <c r="I4717" s="8" t="s">
        <v>22</v>
      </c>
      <c r="J4717" s="8" t="s">
        <v>22</v>
      </c>
      <c r="K4717" s="8" t="s">
        <v>37</v>
      </c>
      <c r="L4717" s="8" t="s">
        <v>17287</v>
      </c>
      <c r="M4717" s="8" t="s">
        <v>17288</v>
      </c>
      <c r="N4717" s="8" t="s">
        <v>21294</v>
      </c>
      <c r="O4717" s="8">
        <f>12+50/60+33.1/3600</f>
        <v>12.842527777777779</v>
      </c>
      <c r="P4717" s="8" t="s">
        <v>21295</v>
      </c>
      <c r="Q4717" s="8">
        <f>-(9+27/60+3/3600)</f>
        <v>-9.4508333333333319</v>
      </c>
      <c r="R4717" s="8">
        <v>12.9</v>
      </c>
      <c r="S4717" s="8">
        <v>13.9</v>
      </c>
      <c r="T4717" s="8">
        <v>1</v>
      </c>
      <c r="U4717" s="8">
        <v>12.6</v>
      </c>
      <c r="V4717" s="8">
        <v>1.1000000000000001</v>
      </c>
      <c r="W4717" s="8">
        <v>0.7</v>
      </c>
      <c r="X4717" s="8">
        <v>60</v>
      </c>
      <c r="Y4717" s="8" t="s">
        <v>21</v>
      </c>
      <c r="Z4717" s="8" t="s">
        <v>21296</v>
      </c>
    </row>
    <row r="4718" spans="1:26" x14ac:dyDescent="0.2">
      <c r="A4718" s="8">
        <v>4717</v>
      </c>
      <c r="B4718" s="8" t="s">
        <v>21297</v>
      </c>
      <c r="C4718" s="8" t="s">
        <v>21297</v>
      </c>
      <c r="F4718" s="47"/>
      <c r="G4718" s="8">
        <v>19</v>
      </c>
      <c r="H4718" s="8" t="s">
        <v>21</v>
      </c>
      <c r="I4718" s="8" t="s">
        <v>22</v>
      </c>
      <c r="J4718" s="8" t="s">
        <v>22</v>
      </c>
      <c r="K4718" s="8" t="s">
        <v>154</v>
      </c>
      <c r="L4718" s="8" t="s">
        <v>17287</v>
      </c>
      <c r="M4718" s="8" t="s">
        <v>17288</v>
      </c>
      <c r="N4718" s="8" t="s">
        <v>21298</v>
      </c>
      <c r="O4718" s="8">
        <f>12+50/60+34.5/3600</f>
        <v>12.842916666666667</v>
      </c>
      <c r="P4718" s="8" t="s">
        <v>3623</v>
      </c>
      <c r="Q4718" s="8">
        <f>-(9+27/60+46/3600)</f>
        <v>-9.4627777777777773</v>
      </c>
      <c r="R4718" s="8">
        <v>14.2</v>
      </c>
      <c r="S4718" s="8">
        <v>15.1</v>
      </c>
      <c r="T4718" s="8">
        <v>0.9</v>
      </c>
      <c r="U4718" s="8">
        <v>13.7</v>
      </c>
      <c r="V4718" s="8">
        <v>1.4</v>
      </c>
      <c r="W4718" s="8">
        <v>0.5</v>
      </c>
      <c r="X4718" s="8">
        <v>12</v>
      </c>
      <c r="Y4718" s="8" t="s">
        <v>21</v>
      </c>
      <c r="Z4718" s="8" t="s">
        <v>21296</v>
      </c>
    </row>
    <row r="4719" spans="1:26" x14ac:dyDescent="0.2">
      <c r="A4719" s="8">
        <v>4718</v>
      </c>
      <c r="B4719" s="8" t="s">
        <v>21299</v>
      </c>
      <c r="C4719" s="8" t="s">
        <v>21299</v>
      </c>
      <c r="F4719" s="47"/>
      <c r="G4719" s="8">
        <v>16</v>
      </c>
      <c r="H4719" s="8" t="s">
        <v>21</v>
      </c>
      <c r="I4719" s="8" t="s">
        <v>22</v>
      </c>
      <c r="J4719" s="8" t="s">
        <v>22</v>
      </c>
      <c r="K4719" s="8" t="s">
        <v>218</v>
      </c>
      <c r="L4719" s="8" t="s">
        <v>17287</v>
      </c>
      <c r="M4719" s="8" t="s">
        <v>17288</v>
      </c>
      <c r="N4719" s="8" t="s">
        <v>21300</v>
      </c>
      <c r="O4719" s="8">
        <f>12+50/60+32.5/3600</f>
        <v>12.842361111111112</v>
      </c>
      <c r="P4719" s="8" t="s">
        <v>21301</v>
      </c>
      <c r="Q4719" s="8">
        <f>-(5+16/60+55/3600)</f>
        <v>-5.2819444444444441</v>
      </c>
      <c r="R4719" s="8">
        <v>13.4</v>
      </c>
      <c r="S4719" s="8">
        <v>14.2</v>
      </c>
      <c r="T4719" s="8">
        <v>0.8</v>
      </c>
      <c r="U4719" s="8">
        <v>13.3</v>
      </c>
      <c r="V4719" s="8">
        <v>1.8</v>
      </c>
      <c r="W4719" s="8">
        <v>0.6</v>
      </c>
      <c r="X4719" s="8">
        <v>95</v>
      </c>
      <c r="Y4719" s="8" t="s">
        <v>21302</v>
      </c>
      <c r="Z4719" s="8" t="s">
        <v>21303</v>
      </c>
    </row>
    <row r="4720" spans="1:26" x14ac:dyDescent="0.2">
      <c r="A4720" s="8">
        <v>4719</v>
      </c>
      <c r="B4720" s="8" t="s">
        <v>21304</v>
      </c>
      <c r="C4720" s="8" t="s">
        <v>21304</v>
      </c>
      <c r="F4720" s="47" t="s">
        <v>57556</v>
      </c>
      <c r="G4720" s="8">
        <v>15</v>
      </c>
      <c r="H4720" s="8" t="s">
        <v>21</v>
      </c>
      <c r="I4720" s="8" t="s">
        <v>22</v>
      </c>
      <c r="J4720" s="8" t="s">
        <v>22</v>
      </c>
      <c r="K4720" s="8" t="s">
        <v>218</v>
      </c>
      <c r="L4720" s="8" t="s">
        <v>18681</v>
      </c>
      <c r="M4720" s="8" t="s">
        <v>18682</v>
      </c>
      <c r="N4720" s="8" t="s">
        <v>21305</v>
      </c>
      <c r="O4720" s="8">
        <f>12+50/60+8.6/3600</f>
        <v>12.835722222222223</v>
      </c>
      <c r="P4720" s="8" t="s">
        <v>21306</v>
      </c>
      <c r="Q4720" s="8">
        <f>+(33+9/60+33/3600)</f>
        <v>33.159166666666664</v>
      </c>
      <c r="R4720" s="8">
        <v>13.2</v>
      </c>
      <c r="S4720" s="8">
        <v>14</v>
      </c>
      <c r="T4720" s="8">
        <v>0.8</v>
      </c>
      <c r="U4720" s="8">
        <v>13.5</v>
      </c>
      <c r="V4720" s="8">
        <v>1.4</v>
      </c>
      <c r="W4720" s="8">
        <v>1.1000000000000001</v>
      </c>
      <c r="X4720" s="8">
        <v>15</v>
      </c>
      <c r="Y4720" s="8" t="s">
        <v>3344</v>
      </c>
      <c r="Z4720" s="8" t="s">
        <v>3345</v>
      </c>
    </row>
    <row r="4721" spans="1:26" x14ac:dyDescent="0.2">
      <c r="A4721" s="8">
        <v>4720</v>
      </c>
      <c r="B4721" s="8" t="s">
        <v>21307</v>
      </c>
      <c r="C4721" s="8" t="s">
        <v>21307</v>
      </c>
      <c r="F4721" s="47" t="s">
        <v>57557</v>
      </c>
      <c r="G4721" s="8">
        <v>15</v>
      </c>
      <c r="H4721" s="8" t="s">
        <v>21</v>
      </c>
      <c r="I4721" s="8" t="s">
        <v>22</v>
      </c>
      <c r="J4721" s="8" t="s">
        <v>22</v>
      </c>
      <c r="K4721" s="8" t="s">
        <v>58</v>
      </c>
      <c r="L4721" s="8" t="s">
        <v>17287</v>
      </c>
      <c r="M4721" s="8" t="s">
        <v>17288</v>
      </c>
      <c r="N4721" s="8" t="s">
        <v>21308</v>
      </c>
      <c r="O4721" s="8">
        <f>12+50/60+42.6/3600</f>
        <v>12.845166666666668</v>
      </c>
      <c r="P4721" s="8" t="s">
        <v>21309</v>
      </c>
      <c r="Q4721" s="8">
        <f>-(4+9/60+21/3600)</f>
        <v>-4.1558333333333337</v>
      </c>
      <c r="R4721" s="8">
        <v>13.3</v>
      </c>
      <c r="S4721" s="8">
        <v>14.3</v>
      </c>
      <c r="T4721" s="8">
        <v>1</v>
      </c>
      <c r="U4721" s="8">
        <v>12.5</v>
      </c>
      <c r="V4721" s="8">
        <v>0.9</v>
      </c>
      <c r="W4721" s="8">
        <v>0.5</v>
      </c>
      <c r="X4721" s="8">
        <v>123</v>
      </c>
      <c r="Y4721" s="8" t="s">
        <v>21310</v>
      </c>
      <c r="Z4721" s="8" t="s">
        <v>21311</v>
      </c>
    </row>
    <row r="4722" spans="1:26" x14ac:dyDescent="0.2">
      <c r="A4722" s="8">
        <v>4721</v>
      </c>
      <c r="B4722" s="8" t="s">
        <v>21312</v>
      </c>
      <c r="C4722" s="8" t="s">
        <v>21312</v>
      </c>
      <c r="F4722" s="47"/>
      <c r="G4722" s="8">
        <v>18</v>
      </c>
      <c r="H4722" s="8" t="s">
        <v>21</v>
      </c>
      <c r="I4722" s="8" t="s">
        <v>22</v>
      </c>
      <c r="J4722" s="8" t="s">
        <v>22</v>
      </c>
      <c r="K4722" s="8" t="s">
        <v>37</v>
      </c>
      <c r="L4722" s="8" t="s">
        <v>18289</v>
      </c>
      <c r="M4722" s="8" t="s">
        <v>18290</v>
      </c>
      <c r="N4722" s="8" t="s">
        <v>21313</v>
      </c>
      <c r="O4722" s="8">
        <f>12+50/60+19.8/3600</f>
        <v>12.838833333333334</v>
      </c>
      <c r="P4722" s="8" t="s">
        <v>21314</v>
      </c>
      <c r="Q4722" s="8">
        <f>+(27+19/60+29/3600)</f>
        <v>27.324722222222221</v>
      </c>
      <c r="R4722" s="8">
        <v>14.5</v>
      </c>
      <c r="S4722" s="8">
        <v>15.5</v>
      </c>
      <c r="T4722" s="8">
        <v>1</v>
      </c>
      <c r="U4722" s="8">
        <v>12.8</v>
      </c>
      <c r="V4722" s="8">
        <v>0.8</v>
      </c>
      <c r="W4722" s="8">
        <v>0.3</v>
      </c>
      <c r="X4722" s="8">
        <v>114</v>
      </c>
      <c r="Y4722" s="8" t="s">
        <v>21</v>
      </c>
      <c r="Z4722" s="8" t="s">
        <v>21315</v>
      </c>
    </row>
    <row r="4723" spans="1:26" x14ac:dyDescent="0.2">
      <c r="A4723" s="8">
        <v>4722</v>
      </c>
      <c r="B4723" s="8" t="s">
        <v>21316</v>
      </c>
      <c r="C4723" s="8" t="s">
        <v>21316</v>
      </c>
      <c r="F4723" s="47"/>
      <c r="G4723" s="8">
        <v>19</v>
      </c>
      <c r="H4723" s="8" t="s">
        <v>21</v>
      </c>
      <c r="I4723" s="8" t="s">
        <v>22</v>
      </c>
      <c r="J4723" s="8" t="s">
        <v>22</v>
      </c>
      <c r="K4723" s="8" t="s">
        <v>632</v>
      </c>
      <c r="L4723" s="8" t="s">
        <v>15925</v>
      </c>
      <c r="M4723" s="8" t="s">
        <v>15926</v>
      </c>
      <c r="N4723" s="8" t="s">
        <v>21317</v>
      </c>
      <c r="O4723" s="8">
        <f>12+51/60+32.3/3600</f>
        <v>12.858972222222222</v>
      </c>
      <c r="P4723" s="8" t="s">
        <v>21318</v>
      </c>
      <c r="Q4723" s="8">
        <f>-(13+19/60+48/3600)</f>
        <v>-13.33</v>
      </c>
      <c r="R4723" s="8">
        <v>12.8</v>
      </c>
      <c r="S4723" s="8">
        <v>13.7</v>
      </c>
      <c r="T4723" s="8">
        <v>0.9</v>
      </c>
      <c r="U4723" s="8">
        <v>12.9</v>
      </c>
      <c r="V4723" s="8">
        <v>1.8</v>
      </c>
      <c r="W4723" s="8">
        <v>0.7</v>
      </c>
      <c r="X4723" s="8">
        <v>35</v>
      </c>
      <c r="Y4723" s="8" t="s">
        <v>21319</v>
      </c>
      <c r="Z4723" s="8" t="s">
        <v>21320</v>
      </c>
    </row>
    <row r="4724" spans="1:26" x14ac:dyDescent="0.2">
      <c r="A4724" s="8">
        <v>4723</v>
      </c>
      <c r="B4724" s="8" t="s">
        <v>21321</v>
      </c>
      <c r="C4724" s="8" t="s">
        <v>21321</v>
      </c>
      <c r="F4724" s="47"/>
      <c r="G4724" s="8">
        <v>19</v>
      </c>
      <c r="H4724" s="8" t="s">
        <v>21</v>
      </c>
      <c r="I4724" s="8" t="s">
        <v>22</v>
      </c>
      <c r="J4724" s="8" t="s">
        <v>22</v>
      </c>
      <c r="K4724" s="8" t="s">
        <v>4103</v>
      </c>
      <c r="L4724" s="8" t="s">
        <v>15925</v>
      </c>
      <c r="M4724" s="8" t="s">
        <v>15926</v>
      </c>
      <c r="N4724" s="8" t="s">
        <v>21322</v>
      </c>
      <c r="O4724" s="8">
        <f>12+51/60+3/3600</f>
        <v>12.850833333333332</v>
      </c>
      <c r="P4724" s="8" t="s">
        <v>21323</v>
      </c>
      <c r="Q4724" s="8">
        <f>-(13+14/60+12/3600)</f>
        <v>-13.236666666666666</v>
      </c>
      <c r="R4724" s="8">
        <v>14.5</v>
      </c>
      <c r="S4724" s="8">
        <v>15.1</v>
      </c>
      <c r="T4724" s="8">
        <v>0.6</v>
      </c>
      <c r="U4724" s="8">
        <v>14.1</v>
      </c>
      <c r="V4724" s="8">
        <v>1.1000000000000001</v>
      </c>
      <c r="W4724" s="8">
        <v>0.7</v>
      </c>
      <c r="X4724" s="8">
        <v>40</v>
      </c>
      <c r="Y4724" s="8" t="s">
        <v>21319</v>
      </c>
      <c r="Z4724" s="8" t="s">
        <v>21320</v>
      </c>
    </row>
    <row r="4725" spans="1:26" x14ac:dyDescent="0.2">
      <c r="A4725" s="8">
        <v>4724</v>
      </c>
      <c r="B4725" s="8" t="s">
        <v>21324</v>
      </c>
      <c r="C4725" s="8" t="s">
        <v>21324</v>
      </c>
      <c r="F4725" s="47" t="s">
        <v>57558</v>
      </c>
      <c r="G4725" s="8">
        <v>15</v>
      </c>
      <c r="H4725" s="8" t="s">
        <v>21</v>
      </c>
      <c r="I4725" s="8" t="s">
        <v>22</v>
      </c>
      <c r="J4725" s="8" t="s">
        <v>22</v>
      </c>
      <c r="K4725" s="8" t="s">
        <v>58</v>
      </c>
      <c r="L4725" s="8" t="s">
        <v>15925</v>
      </c>
      <c r="M4725" s="8" t="s">
        <v>15926</v>
      </c>
      <c r="N4725" s="8" t="s">
        <v>21325</v>
      </c>
      <c r="O4725" s="8">
        <f>12+50/60+53.6/3600</f>
        <v>12.848222222222223</v>
      </c>
      <c r="P4725" s="8" t="s">
        <v>21326</v>
      </c>
      <c r="Q4725" s="8">
        <f>-(14+19/60+56/3600)</f>
        <v>-14.332222222222223</v>
      </c>
      <c r="R4725" s="8">
        <v>12.7</v>
      </c>
      <c r="S4725" s="8">
        <v>13.7</v>
      </c>
      <c r="T4725" s="8">
        <v>1</v>
      </c>
      <c r="U4725" s="8">
        <v>12.1</v>
      </c>
      <c r="V4725" s="8">
        <v>0.9</v>
      </c>
      <c r="W4725" s="8">
        <v>0.6</v>
      </c>
      <c r="X4725" s="8">
        <v>95</v>
      </c>
      <c r="Y4725" s="8" t="s">
        <v>21327</v>
      </c>
      <c r="Z4725" s="8" t="s">
        <v>21328</v>
      </c>
    </row>
    <row r="4726" spans="1:26" x14ac:dyDescent="0.2">
      <c r="A4726" s="8">
        <v>4725</v>
      </c>
      <c r="B4726" s="8" t="s">
        <v>21329</v>
      </c>
      <c r="C4726" s="8" t="s">
        <v>21329</v>
      </c>
      <c r="F4726" s="47" t="s">
        <v>57559</v>
      </c>
      <c r="G4726" s="8">
        <v>5</v>
      </c>
      <c r="H4726" s="8" t="s">
        <v>21</v>
      </c>
      <c r="I4726" s="8" t="s">
        <v>22</v>
      </c>
      <c r="J4726" s="8" t="s">
        <v>22</v>
      </c>
      <c r="K4726" s="8" t="s">
        <v>4023</v>
      </c>
      <c r="L4726" s="8" t="s">
        <v>18289</v>
      </c>
      <c r="M4726" s="8" t="s">
        <v>18290</v>
      </c>
      <c r="N4726" s="8" t="s">
        <v>21330</v>
      </c>
      <c r="O4726" s="8">
        <f>12+50/60+26.5/3600</f>
        <v>12.840694444444445</v>
      </c>
      <c r="P4726" s="8" t="s">
        <v>21331</v>
      </c>
      <c r="Q4726" s="8">
        <f>+(25+30/60+0/3600)</f>
        <v>25.5</v>
      </c>
      <c r="R4726" s="8">
        <v>9.4</v>
      </c>
      <c r="S4726" s="8">
        <v>10.1</v>
      </c>
      <c r="T4726" s="8">
        <v>0.7</v>
      </c>
      <c r="U4726" s="8">
        <v>14</v>
      </c>
      <c r="V4726" s="8">
        <v>10.7</v>
      </c>
      <c r="W4726" s="8">
        <v>7.6</v>
      </c>
      <c r="X4726" s="8">
        <v>35</v>
      </c>
      <c r="Y4726" s="8" t="s">
        <v>21</v>
      </c>
      <c r="Z4726" s="8" t="s">
        <v>21332</v>
      </c>
    </row>
    <row r="4727" spans="1:26" x14ac:dyDescent="0.2">
      <c r="A4727" s="8">
        <v>4726</v>
      </c>
      <c r="B4727" s="8" t="s">
        <v>21333</v>
      </c>
      <c r="C4727" s="8" t="s">
        <v>21333</v>
      </c>
      <c r="F4727" s="47"/>
      <c r="G4727" s="8">
        <v>19</v>
      </c>
      <c r="H4727" s="8" t="s">
        <v>21</v>
      </c>
      <c r="I4727" s="8" t="s">
        <v>22</v>
      </c>
      <c r="J4727" s="8" t="s">
        <v>22</v>
      </c>
      <c r="K4727" s="8" t="s">
        <v>37</v>
      </c>
      <c r="L4727" s="8" t="s">
        <v>15925</v>
      </c>
      <c r="M4727" s="8" t="s">
        <v>15926</v>
      </c>
      <c r="N4727" s="8" t="s">
        <v>21334</v>
      </c>
      <c r="O4727" s="8">
        <f>12+50/60+46/3600</f>
        <v>12.846111111111112</v>
      </c>
      <c r="P4727" s="8" t="s">
        <v>21335</v>
      </c>
      <c r="Q4727" s="8">
        <f>-(14+16/60+4/3600)</f>
        <v>-14.267777777777779</v>
      </c>
      <c r="R4727" s="8">
        <v>14.8</v>
      </c>
      <c r="S4727" s="8">
        <v>15.8</v>
      </c>
      <c r="T4727" s="8">
        <v>1</v>
      </c>
      <c r="U4727" s="8">
        <v>12.6</v>
      </c>
      <c r="V4727" s="8">
        <v>1.2</v>
      </c>
      <c r="W4727" s="8">
        <v>0.2</v>
      </c>
      <c r="X4727" s="8">
        <v>75</v>
      </c>
      <c r="Y4727" s="8" t="s">
        <v>21</v>
      </c>
      <c r="Z4727" s="8" t="s">
        <v>21336</v>
      </c>
    </row>
    <row r="4728" spans="1:26" x14ac:dyDescent="0.2">
      <c r="A4728" s="8">
        <v>4727</v>
      </c>
      <c r="B4728" s="8" t="s">
        <v>21337</v>
      </c>
      <c r="C4728" s="8" t="s">
        <v>21337</v>
      </c>
      <c r="F4728" s="47" t="s">
        <v>57560</v>
      </c>
      <c r="G4728" s="8">
        <v>15</v>
      </c>
      <c r="H4728" s="8" t="s">
        <v>21</v>
      </c>
      <c r="I4728" s="8" t="s">
        <v>22</v>
      </c>
      <c r="J4728" s="8" t="s">
        <v>22</v>
      </c>
      <c r="K4728" s="8" t="s">
        <v>85</v>
      </c>
      <c r="L4728" s="8" t="s">
        <v>15925</v>
      </c>
      <c r="M4728" s="8" t="s">
        <v>15926</v>
      </c>
      <c r="N4728" s="8" t="s">
        <v>21338</v>
      </c>
      <c r="O4728" s="8">
        <f>12+50/60+57.2/3600</f>
        <v>12.849222222222222</v>
      </c>
      <c r="P4728" s="8" t="s">
        <v>21339</v>
      </c>
      <c r="Q4728" s="8">
        <f>-(14+19/60+59/3600)</f>
        <v>-14.333055555555555</v>
      </c>
      <c r="R4728" s="8">
        <v>11.8</v>
      </c>
      <c r="S4728" s="8">
        <v>12.6</v>
      </c>
      <c r="T4728" s="8">
        <v>0.8</v>
      </c>
      <c r="U4728" s="8">
        <v>12.1</v>
      </c>
      <c r="V4728" s="8">
        <v>1.6</v>
      </c>
      <c r="W4728" s="8">
        <v>1.2</v>
      </c>
      <c r="X4728" s="8">
        <v>130</v>
      </c>
      <c r="Y4728" s="8" t="s">
        <v>21340</v>
      </c>
      <c r="Z4728" s="8" t="s">
        <v>21341</v>
      </c>
    </row>
    <row r="4729" spans="1:26" x14ac:dyDescent="0.2">
      <c r="A4729" s="8">
        <v>4728</v>
      </c>
      <c r="B4729" s="8" t="s">
        <v>21342</v>
      </c>
      <c r="C4729" s="8" t="s">
        <v>21342</v>
      </c>
      <c r="F4729" s="47"/>
      <c r="G4729" s="8">
        <v>18</v>
      </c>
      <c r="H4729" s="8" t="s">
        <v>21</v>
      </c>
      <c r="I4729" s="8" t="s">
        <v>22</v>
      </c>
      <c r="J4729" s="8" t="s">
        <v>22</v>
      </c>
      <c r="K4729" s="8" t="s">
        <v>183</v>
      </c>
      <c r="L4729" s="8" t="s">
        <v>18289</v>
      </c>
      <c r="M4729" s="8" t="s">
        <v>18290</v>
      </c>
      <c r="N4729" s="8" t="s">
        <v>21343</v>
      </c>
      <c r="O4729" s="8">
        <f>12+50/60+28/3600</f>
        <v>12.841111111111111</v>
      </c>
      <c r="P4729" s="8" t="s">
        <v>21344</v>
      </c>
      <c r="Q4729" s="8">
        <f>+(27+26/60+7/3600)</f>
        <v>27.435277777777777</v>
      </c>
      <c r="R4729" s="8">
        <v>13.5</v>
      </c>
      <c r="S4729" s="8">
        <v>14.5</v>
      </c>
      <c r="T4729" s="8">
        <v>1</v>
      </c>
      <c r="U4729" s="8">
        <v>13.2</v>
      </c>
      <c r="V4729" s="8">
        <v>1</v>
      </c>
      <c r="W4729" s="8">
        <v>0.7</v>
      </c>
      <c r="X4729" s="8">
        <v>108</v>
      </c>
      <c r="Y4729" s="8" t="s">
        <v>962</v>
      </c>
      <c r="Z4729" s="8" t="s">
        <v>963</v>
      </c>
    </row>
    <row r="4730" spans="1:26" x14ac:dyDescent="0.2">
      <c r="A4730" s="8">
        <v>4729</v>
      </c>
      <c r="B4730" s="8" t="s">
        <v>21345</v>
      </c>
      <c r="C4730" s="8" t="s">
        <v>21345</v>
      </c>
      <c r="F4730" s="47"/>
      <c r="G4730" s="8">
        <v>16</v>
      </c>
      <c r="H4730" s="8" t="s">
        <v>21</v>
      </c>
      <c r="I4730" s="8" t="s">
        <v>22</v>
      </c>
      <c r="J4730" s="8" t="s">
        <v>22</v>
      </c>
      <c r="K4730" s="8" t="s">
        <v>460</v>
      </c>
      <c r="L4730" s="8" t="s">
        <v>16195</v>
      </c>
      <c r="M4730" s="8" t="s">
        <v>16196</v>
      </c>
      <c r="N4730" s="8" t="s">
        <v>21346</v>
      </c>
      <c r="O4730" s="8">
        <f>12+51/60+46.2/3600</f>
        <v>12.862833333333333</v>
      </c>
      <c r="P4730" s="8" t="s">
        <v>21347</v>
      </c>
      <c r="Q4730" s="8">
        <f>-(41+7/60+56/3600)</f>
        <v>-41.132222222222225</v>
      </c>
      <c r="R4730" s="8">
        <v>12.3</v>
      </c>
      <c r="S4730" s="8">
        <v>13.4</v>
      </c>
      <c r="T4730" s="8">
        <v>1.1000000000000001</v>
      </c>
      <c r="U4730" s="8">
        <v>13.1</v>
      </c>
      <c r="V4730" s="8">
        <v>1.6</v>
      </c>
      <c r="W4730" s="8">
        <v>1.6</v>
      </c>
      <c r="Y4730" s="8" t="s">
        <v>21</v>
      </c>
      <c r="Z4730" s="8" t="s">
        <v>21348</v>
      </c>
    </row>
    <row r="4731" spans="1:26" x14ac:dyDescent="0.2">
      <c r="A4731" s="8">
        <v>4730</v>
      </c>
      <c r="B4731" s="8" t="s">
        <v>21349</v>
      </c>
      <c r="C4731" s="8" t="s">
        <v>21349</v>
      </c>
      <c r="F4731" s="47"/>
      <c r="G4731" s="8">
        <v>16</v>
      </c>
      <c r="H4731" s="8" t="s">
        <v>21</v>
      </c>
      <c r="I4731" s="8" t="s">
        <v>22</v>
      </c>
      <c r="J4731" s="8" t="s">
        <v>22</v>
      </c>
      <c r="K4731" s="8" t="s">
        <v>58</v>
      </c>
      <c r="L4731" s="8" t="s">
        <v>16195</v>
      </c>
      <c r="M4731" s="8" t="s">
        <v>16196</v>
      </c>
      <c r="N4731" s="8" t="s">
        <v>21350</v>
      </c>
      <c r="O4731" s="8">
        <f>12+52/60+0.5/3600</f>
        <v>12.866805555555556</v>
      </c>
      <c r="P4731" s="8" t="s">
        <v>21351</v>
      </c>
      <c r="Q4731" s="8">
        <f>-(41+8/60+49/3600)</f>
        <v>-41.146944444444443</v>
      </c>
      <c r="R4731" s="8">
        <v>12.8</v>
      </c>
      <c r="S4731" s="8">
        <v>13.8</v>
      </c>
      <c r="T4731" s="8">
        <v>1</v>
      </c>
      <c r="U4731" s="8">
        <v>12.7</v>
      </c>
      <c r="V4731" s="8">
        <v>1</v>
      </c>
      <c r="W4731" s="8">
        <v>1</v>
      </c>
      <c r="Y4731" s="8" t="s">
        <v>21</v>
      </c>
      <c r="Z4731" s="8" t="s">
        <v>21352</v>
      </c>
    </row>
    <row r="4732" spans="1:26" x14ac:dyDescent="0.2">
      <c r="A4732" s="8">
        <v>4731</v>
      </c>
      <c r="B4732" s="8" t="s">
        <v>21353</v>
      </c>
      <c r="C4732" s="8" t="s">
        <v>21353</v>
      </c>
      <c r="F4732" s="47" t="s">
        <v>57561</v>
      </c>
      <c r="G4732" s="8">
        <v>13</v>
      </c>
      <c r="H4732" s="8" t="s">
        <v>21</v>
      </c>
      <c r="I4732" s="8" t="s">
        <v>22</v>
      </c>
      <c r="J4732" s="8" t="s">
        <v>22</v>
      </c>
      <c r="K4732" s="8" t="s">
        <v>520</v>
      </c>
      <c r="L4732" s="8" t="s">
        <v>17287</v>
      </c>
      <c r="M4732" s="8" t="s">
        <v>17288</v>
      </c>
      <c r="N4732" s="8" t="s">
        <v>21354</v>
      </c>
      <c r="O4732" s="8">
        <f>12+51/60+1/3600</f>
        <v>12.850277777777777</v>
      </c>
      <c r="P4732" s="8" t="s">
        <v>21355</v>
      </c>
      <c r="Q4732" s="8">
        <f>-(6+23/60+33/3600)</f>
        <v>-6.3925000000000001</v>
      </c>
      <c r="R4732" s="8">
        <v>11.5</v>
      </c>
      <c r="S4732" s="8">
        <v>11.9</v>
      </c>
      <c r="T4732" s="8">
        <v>0.4</v>
      </c>
      <c r="U4732" s="8">
        <v>14.6</v>
      </c>
      <c r="V4732" s="8">
        <v>6.6</v>
      </c>
      <c r="W4732" s="8">
        <v>4.2</v>
      </c>
      <c r="X4732" s="8">
        <v>95</v>
      </c>
      <c r="Y4732" s="8" t="s">
        <v>21356</v>
      </c>
      <c r="Z4732" s="8" t="s">
        <v>5090</v>
      </c>
    </row>
    <row r="4733" spans="1:26" x14ac:dyDescent="0.2">
      <c r="A4733" s="8">
        <v>4732</v>
      </c>
      <c r="B4733" s="8" t="s">
        <v>21357</v>
      </c>
      <c r="C4733" s="8" t="s">
        <v>21357</v>
      </c>
      <c r="F4733" s="47" t="s">
        <v>57562</v>
      </c>
      <c r="G4733" s="8">
        <v>15</v>
      </c>
      <c r="H4733" s="8" t="s">
        <v>21</v>
      </c>
      <c r="I4733" s="8" t="s">
        <v>22</v>
      </c>
      <c r="J4733" s="8" t="s">
        <v>22</v>
      </c>
      <c r="K4733" s="8" t="s">
        <v>1068</v>
      </c>
      <c r="L4733" s="8" t="s">
        <v>12015</v>
      </c>
      <c r="M4733" s="8" t="s">
        <v>12016</v>
      </c>
      <c r="N4733" s="8" t="s">
        <v>21358</v>
      </c>
      <c r="O4733" s="8">
        <f>12+50/60+7/3600</f>
        <v>12.835277777777778</v>
      </c>
      <c r="P4733" s="8" t="s">
        <v>21359</v>
      </c>
      <c r="Q4733" s="8">
        <f>+(52+51/60+0/3600)</f>
        <v>52.85</v>
      </c>
      <c r="R4733" s="8">
        <v>13.9</v>
      </c>
      <c r="S4733" s="8">
        <v>14.9</v>
      </c>
      <c r="T4733" s="8">
        <v>1</v>
      </c>
      <c r="U4733" s="8">
        <v>13.6</v>
      </c>
      <c r="V4733" s="8">
        <v>1.2</v>
      </c>
      <c r="W4733" s="8">
        <v>0.6</v>
      </c>
      <c r="X4733" s="8">
        <v>8</v>
      </c>
      <c r="Y4733" s="8" t="s">
        <v>21360</v>
      </c>
      <c r="Z4733" s="8" t="s">
        <v>21361</v>
      </c>
    </row>
    <row r="4734" spans="1:26" x14ac:dyDescent="0.2">
      <c r="A4734" s="8">
        <v>4733</v>
      </c>
      <c r="B4734" s="8" t="s">
        <v>21362</v>
      </c>
      <c r="C4734" s="8" t="s">
        <v>21362</v>
      </c>
      <c r="F4734" s="47" t="s">
        <v>57563</v>
      </c>
      <c r="G4734" s="8">
        <v>15</v>
      </c>
      <c r="H4734" s="8" t="s">
        <v>21</v>
      </c>
      <c r="I4734" s="8" t="s">
        <v>22</v>
      </c>
      <c r="J4734" s="8" t="s">
        <v>22</v>
      </c>
      <c r="K4734" s="8" t="s">
        <v>460</v>
      </c>
      <c r="L4734" s="8" t="s">
        <v>17287</v>
      </c>
      <c r="M4734" s="8" t="s">
        <v>17288</v>
      </c>
      <c r="N4734" s="8" t="s">
        <v>21363</v>
      </c>
      <c r="O4734" s="8">
        <f>12+51/60+6.7/3600</f>
        <v>12.851861111111111</v>
      </c>
      <c r="P4734" s="8" t="s">
        <v>21364</v>
      </c>
      <c r="Q4734" s="8">
        <f>+(10+54/60+43/3600)</f>
        <v>10.911944444444444</v>
      </c>
      <c r="R4734" s="8">
        <v>11.9</v>
      </c>
      <c r="S4734" s="8">
        <v>12.7</v>
      </c>
      <c r="T4734" s="8">
        <v>0.8</v>
      </c>
      <c r="U4734" s="8">
        <v>12.2</v>
      </c>
      <c r="V4734" s="8">
        <v>2.2000000000000002</v>
      </c>
      <c r="W4734" s="8">
        <v>2.2000000000000002</v>
      </c>
      <c r="Y4734" s="8" t="s">
        <v>21365</v>
      </c>
      <c r="Z4734" s="8" t="s">
        <v>21366</v>
      </c>
    </row>
    <row r="4735" spans="1:26" x14ac:dyDescent="0.2">
      <c r="A4735" s="8">
        <v>4734</v>
      </c>
      <c r="B4735" s="8" t="s">
        <v>21367</v>
      </c>
      <c r="C4735" s="8" t="s">
        <v>21367</v>
      </c>
      <c r="F4735" s="47"/>
      <c r="G4735" s="8">
        <v>16</v>
      </c>
      <c r="H4735" s="8" t="s">
        <v>21</v>
      </c>
      <c r="I4735" s="8" t="s">
        <v>22</v>
      </c>
      <c r="J4735" s="8" t="s">
        <v>22</v>
      </c>
      <c r="K4735" s="8" t="s">
        <v>160</v>
      </c>
      <c r="L4735" s="8" t="s">
        <v>17287</v>
      </c>
      <c r="M4735" s="8" t="s">
        <v>17288</v>
      </c>
      <c r="N4735" s="8" t="s">
        <v>21368</v>
      </c>
      <c r="O4735" s="8">
        <f>12+51/60+12.8/3600</f>
        <v>12.853555555555555</v>
      </c>
      <c r="P4735" s="8" t="s">
        <v>21369</v>
      </c>
      <c r="Q4735" s="8">
        <f>+(4+51/60+31/3600)</f>
        <v>4.8586111111111103</v>
      </c>
      <c r="R4735" s="8">
        <v>13.5</v>
      </c>
      <c r="S4735" s="8">
        <v>14.2</v>
      </c>
      <c r="T4735" s="8">
        <v>0.7</v>
      </c>
      <c r="U4735" s="8">
        <v>13.2</v>
      </c>
      <c r="V4735" s="8">
        <v>1</v>
      </c>
      <c r="W4735" s="8">
        <v>0.8</v>
      </c>
      <c r="X4735" s="8">
        <v>145</v>
      </c>
      <c r="Y4735" s="8" t="s">
        <v>421</v>
      </c>
      <c r="Z4735" s="8" t="s">
        <v>422</v>
      </c>
    </row>
    <row r="4736" spans="1:26" x14ac:dyDescent="0.2">
      <c r="A4736" s="8">
        <v>4735</v>
      </c>
      <c r="B4736" s="8" t="s">
        <v>21370</v>
      </c>
      <c r="C4736" s="8" t="s">
        <v>21370</v>
      </c>
      <c r="F4736" s="47"/>
      <c r="G4736" s="8">
        <v>19</v>
      </c>
      <c r="H4736" s="8" t="s">
        <v>21</v>
      </c>
      <c r="I4736" s="8" t="s">
        <v>22</v>
      </c>
      <c r="J4736" s="8" t="s">
        <v>22</v>
      </c>
      <c r="K4736" s="8" t="s">
        <v>85</v>
      </c>
      <c r="L4736" s="8" t="s">
        <v>18289</v>
      </c>
      <c r="M4736" s="8" t="s">
        <v>18290</v>
      </c>
      <c r="N4736" s="8" t="s">
        <v>21371</v>
      </c>
      <c r="O4736" s="8">
        <f>12+51/60+1.9/3600</f>
        <v>12.850527777777778</v>
      </c>
      <c r="P4736" s="8" t="s">
        <v>21372</v>
      </c>
      <c r="Q4736" s="8">
        <f>+(28+55/60+41/3600)</f>
        <v>28.928055555555556</v>
      </c>
      <c r="R4736" s="8">
        <v>14.6</v>
      </c>
      <c r="S4736" s="8">
        <v>15.4</v>
      </c>
      <c r="T4736" s="8">
        <v>0.8</v>
      </c>
      <c r="U4736" s="8">
        <v>12.6</v>
      </c>
      <c r="V4736" s="8">
        <v>0.6</v>
      </c>
      <c r="W4736" s="8">
        <v>0.3</v>
      </c>
      <c r="X4736" s="8">
        <v>105</v>
      </c>
      <c r="Y4736" s="8" t="s">
        <v>21373</v>
      </c>
      <c r="Z4736" s="8" t="s">
        <v>21374</v>
      </c>
    </row>
    <row r="4737" spans="1:26" x14ac:dyDescent="0.2">
      <c r="A4737" s="8">
        <v>4736</v>
      </c>
      <c r="B4737" s="8" t="s">
        <v>21375</v>
      </c>
      <c r="C4737" s="8" t="s">
        <v>55916</v>
      </c>
      <c r="F4737" s="47"/>
      <c r="G4737" s="8">
        <v>1</v>
      </c>
      <c r="H4737" s="8" t="s">
        <v>21376</v>
      </c>
      <c r="I4737" s="8" t="s">
        <v>22</v>
      </c>
      <c r="J4737" s="8" t="s">
        <v>22</v>
      </c>
      <c r="K4737" s="8" t="s">
        <v>31</v>
      </c>
      <c r="L4737" s="8" t="s">
        <v>18681</v>
      </c>
      <c r="M4737" s="8" t="s">
        <v>18682</v>
      </c>
      <c r="N4737" s="8" t="s">
        <v>21377</v>
      </c>
      <c r="O4737" s="8">
        <f>12+50/60+53.1/3600</f>
        <v>12.848083333333333</v>
      </c>
      <c r="P4737" s="8" t="s">
        <v>21378</v>
      </c>
      <c r="Q4737" s="8">
        <f>+(41+7/60+17/3600)</f>
        <v>41.121388888888887</v>
      </c>
      <c r="R4737" s="8">
        <v>8.1999999999999993</v>
      </c>
      <c r="S4737" s="8">
        <v>9</v>
      </c>
      <c r="T4737" s="8">
        <v>0.8</v>
      </c>
      <c r="U4737" s="8">
        <v>13.1</v>
      </c>
      <c r="V4737" s="8">
        <v>14.4</v>
      </c>
      <c r="W4737" s="8">
        <v>12.1</v>
      </c>
      <c r="X4737" s="8">
        <v>117</v>
      </c>
      <c r="Y4737" s="8" t="s">
        <v>21379</v>
      </c>
      <c r="Z4737" s="8" t="s">
        <v>21380</v>
      </c>
    </row>
    <row r="4738" spans="1:26" x14ac:dyDescent="0.2">
      <c r="A4738" s="8">
        <v>4737</v>
      </c>
      <c r="B4738" s="8" t="s">
        <v>21381</v>
      </c>
      <c r="C4738" s="8" t="s">
        <v>21381</v>
      </c>
      <c r="F4738" s="47" t="s">
        <v>57564</v>
      </c>
      <c r="G4738" s="8">
        <v>15</v>
      </c>
      <c r="H4738" s="8" t="s">
        <v>21</v>
      </c>
      <c r="I4738" s="8" t="s">
        <v>22</v>
      </c>
      <c r="J4738" s="8" t="s">
        <v>22</v>
      </c>
      <c r="K4738" s="8" t="s">
        <v>31</v>
      </c>
      <c r="L4738" s="8" t="s">
        <v>18681</v>
      </c>
      <c r="M4738" s="8" t="s">
        <v>18682</v>
      </c>
      <c r="N4738" s="8" t="s">
        <v>21382</v>
      </c>
      <c r="O4738" s="8">
        <f>12+50/60+52.9/3600</f>
        <v>12.848027777777778</v>
      </c>
      <c r="P4738" s="8" t="s">
        <v>21383</v>
      </c>
      <c r="Q4738" s="8">
        <f>+(34+9/60+26/3600)</f>
        <v>34.157222222222224</v>
      </c>
      <c r="R4738" s="8">
        <v>14.3</v>
      </c>
      <c r="S4738" s="8">
        <v>15.1</v>
      </c>
      <c r="T4738" s="8">
        <v>0.8</v>
      </c>
      <c r="U4738" s="8">
        <v>13.5</v>
      </c>
      <c r="V4738" s="8">
        <v>0.9</v>
      </c>
      <c r="W4738" s="8">
        <v>0.6</v>
      </c>
      <c r="X4738" s="8">
        <v>50</v>
      </c>
      <c r="Y4738" s="8" t="s">
        <v>15796</v>
      </c>
      <c r="Z4738" s="8" t="s">
        <v>15797</v>
      </c>
    </row>
    <row r="4739" spans="1:26" x14ac:dyDescent="0.2">
      <c r="A4739" s="8">
        <v>4738</v>
      </c>
      <c r="B4739" s="8" t="s">
        <v>21384</v>
      </c>
      <c r="C4739" s="8" t="s">
        <v>21384</v>
      </c>
      <c r="F4739" s="47"/>
      <c r="G4739" s="8">
        <v>18</v>
      </c>
      <c r="H4739" s="8" t="s">
        <v>21</v>
      </c>
      <c r="I4739" s="8" t="s">
        <v>22</v>
      </c>
      <c r="J4739" s="8" t="s">
        <v>22</v>
      </c>
      <c r="K4739" s="8" t="s">
        <v>160</v>
      </c>
      <c r="L4739" s="8" t="s">
        <v>18289</v>
      </c>
      <c r="M4739" s="8" t="s">
        <v>18290</v>
      </c>
      <c r="N4739" s="8" t="s">
        <v>21385</v>
      </c>
      <c r="O4739" s="8">
        <f>12+51/60+8.9/3600</f>
        <v>12.852472222222222</v>
      </c>
      <c r="P4739" s="8" t="s">
        <v>21386</v>
      </c>
      <c r="Q4739" s="8">
        <f>+(28+47/60+18/3600)</f>
        <v>28.788333333333334</v>
      </c>
      <c r="R4739" s="8">
        <v>13.4</v>
      </c>
      <c r="S4739" s="8">
        <v>14.2</v>
      </c>
      <c r="T4739" s="8">
        <v>0.8</v>
      </c>
      <c r="U4739" s="8">
        <v>12.8</v>
      </c>
      <c r="V4739" s="8">
        <v>2.1</v>
      </c>
      <c r="W4739" s="8">
        <v>0.3</v>
      </c>
      <c r="X4739" s="8">
        <v>34</v>
      </c>
      <c r="Y4739" s="8" t="s">
        <v>21387</v>
      </c>
      <c r="Z4739" s="8" t="s">
        <v>21388</v>
      </c>
    </row>
    <row r="4740" spans="1:26" x14ac:dyDescent="0.2">
      <c r="A4740" s="8">
        <v>4739</v>
      </c>
      <c r="B4740" s="8" t="s">
        <v>21389</v>
      </c>
      <c r="C4740" s="8" t="s">
        <v>21389</v>
      </c>
      <c r="F4740" s="47" t="s">
        <v>57565</v>
      </c>
      <c r="G4740" s="8">
        <v>15</v>
      </c>
      <c r="H4740" s="8" t="s">
        <v>21</v>
      </c>
      <c r="I4740" s="8" t="s">
        <v>22</v>
      </c>
      <c r="J4740" s="8" t="s">
        <v>22</v>
      </c>
      <c r="K4740" s="8" t="s">
        <v>183</v>
      </c>
      <c r="L4740" s="8" t="s">
        <v>17287</v>
      </c>
      <c r="M4740" s="8" t="s">
        <v>17288</v>
      </c>
      <c r="N4740" s="8" t="s">
        <v>21390</v>
      </c>
      <c r="O4740" s="8">
        <f>12+51/60+37.1/3600</f>
        <v>12.860305555555556</v>
      </c>
      <c r="P4740" s="8" t="s">
        <v>21391</v>
      </c>
      <c r="Q4740" s="8">
        <f>-(8+24/60+35/3600)</f>
        <v>-8.4097222222222232</v>
      </c>
      <c r="R4740" s="8">
        <v>12.5</v>
      </c>
      <c r="S4740" s="8">
        <v>13.5</v>
      </c>
      <c r="T4740" s="8">
        <v>1</v>
      </c>
      <c r="U4740" s="8">
        <v>13.1</v>
      </c>
      <c r="V4740" s="8">
        <v>1.4</v>
      </c>
      <c r="W4740" s="8">
        <v>1.2</v>
      </c>
      <c r="X4740" s="8">
        <v>165</v>
      </c>
      <c r="Y4740" s="8" t="s">
        <v>21392</v>
      </c>
      <c r="Z4740" s="8" t="s">
        <v>21393</v>
      </c>
    </row>
    <row r="4741" spans="1:26" x14ac:dyDescent="0.2">
      <c r="A4741" s="8">
        <v>4740</v>
      </c>
      <c r="B4741" s="8" t="s">
        <v>21394</v>
      </c>
      <c r="C4741" s="8" t="s">
        <v>21394</v>
      </c>
      <c r="F4741" s="47"/>
      <c r="G4741" s="8">
        <v>19</v>
      </c>
      <c r="H4741" s="8" t="s">
        <v>21</v>
      </c>
      <c r="I4741" s="8" t="s">
        <v>22</v>
      </c>
      <c r="J4741" s="8" t="s">
        <v>57</v>
      </c>
      <c r="K4741" s="8" t="s">
        <v>85</v>
      </c>
      <c r="L4741" s="8" t="s">
        <v>15925</v>
      </c>
      <c r="M4741" s="8" t="s">
        <v>15926</v>
      </c>
      <c r="N4741" s="8" t="s">
        <v>21338</v>
      </c>
      <c r="O4741" s="8">
        <f>12+50/60+57.2/3600</f>
        <v>12.849222222222222</v>
      </c>
      <c r="P4741" s="8" t="s">
        <v>21339</v>
      </c>
      <c r="Q4741" s="8">
        <f>-(14+19/60+59/3600)</f>
        <v>-14.333055555555555</v>
      </c>
      <c r="R4741" s="8">
        <v>11.8</v>
      </c>
      <c r="S4741" s="8">
        <v>12.6</v>
      </c>
      <c r="T4741" s="8">
        <v>0.8</v>
      </c>
      <c r="U4741" s="8">
        <v>12.1</v>
      </c>
      <c r="V4741" s="8">
        <v>1.6</v>
      </c>
      <c r="W4741" s="8">
        <v>1.2</v>
      </c>
      <c r="X4741" s="8">
        <v>130</v>
      </c>
      <c r="Y4741" s="8" t="s">
        <v>21395</v>
      </c>
      <c r="Z4741" s="8" t="s">
        <v>21396</v>
      </c>
    </row>
    <row r="4742" spans="1:26" x14ac:dyDescent="0.2">
      <c r="A4742" s="8">
        <v>4741</v>
      </c>
      <c r="B4742" s="8" t="s">
        <v>21397</v>
      </c>
      <c r="C4742" s="8" t="s">
        <v>21397</v>
      </c>
      <c r="F4742" s="47" t="s">
        <v>57566</v>
      </c>
      <c r="G4742" s="8">
        <v>15</v>
      </c>
      <c r="H4742" s="8" t="s">
        <v>21</v>
      </c>
      <c r="I4742" s="8" t="s">
        <v>22</v>
      </c>
      <c r="J4742" s="8" t="s">
        <v>22</v>
      </c>
      <c r="K4742" s="8" t="s">
        <v>160</v>
      </c>
      <c r="L4742" s="8" t="s">
        <v>18681</v>
      </c>
      <c r="M4742" s="8" t="s">
        <v>18682</v>
      </c>
      <c r="N4742" s="8" t="s">
        <v>21398</v>
      </c>
      <c r="O4742" s="8">
        <f>12+50/60+59.4/3600</f>
        <v>12.849833333333335</v>
      </c>
      <c r="P4742" s="8" t="s">
        <v>21399</v>
      </c>
      <c r="Q4742" s="8">
        <f>+(47+40/60+18/3600)</f>
        <v>47.671666666666667</v>
      </c>
      <c r="R4742" s="8">
        <v>13.7</v>
      </c>
      <c r="S4742" s="8">
        <v>14.4</v>
      </c>
      <c r="T4742" s="8">
        <v>0.7</v>
      </c>
      <c r="U4742" s="8">
        <v>13.5</v>
      </c>
      <c r="V4742" s="8">
        <v>1.4</v>
      </c>
      <c r="W4742" s="8">
        <v>0.7</v>
      </c>
      <c r="X4742" s="8">
        <v>165</v>
      </c>
      <c r="Y4742" s="8" t="s">
        <v>11023</v>
      </c>
      <c r="Z4742" s="8" t="s">
        <v>11024</v>
      </c>
    </row>
    <row r="4743" spans="1:26" x14ac:dyDescent="0.2">
      <c r="A4743" s="8">
        <v>4742</v>
      </c>
      <c r="B4743" s="8" t="s">
        <v>21400</v>
      </c>
      <c r="C4743" s="8" t="s">
        <v>21400</v>
      </c>
      <c r="F4743" s="47" t="s">
        <v>57567</v>
      </c>
      <c r="G4743" s="8">
        <v>6.5</v>
      </c>
      <c r="H4743" s="8" t="s">
        <v>21</v>
      </c>
      <c r="I4743" s="8" t="s">
        <v>22</v>
      </c>
      <c r="J4743" s="8" t="s">
        <v>22</v>
      </c>
      <c r="K4743" s="8" t="s">
        <v>50</v>
      </c>
      <c r="L4743" s="8" t="s">
        <v>17287</v>
      </c>
      <c r="M4743" s="8" t="s">
        <v>17288</v>
      </c>
      <c r="N4743" s="8" t="s">
        <v>21401</v>
      </c>
      <c r="O4743" s="8">
        <f>12+51/60+48/3600</f>
        <v>12.863333333333333</v>
      </c>
      <c r="P4743" s="8" t="s">
        <v>21402</v>
      </c>
      <c r="Q4743" s="8">
        <f>-(10+27/60+17/3600)</f>
        <v>-10.454722222222221</v>
      </c>
      <c r="R4743" s="8">
        <v>11.3</v>
      </c>
      <c r="S4743" s="8">
        <v>12.1</v>
      </c>
      <c r="T4743" s="8">
        <v>0.8</v>
      </c>
      <c r="U4743" s="8">
        <v>12.8</v>
      </c>
      <c r="V4743" s="8">
        <v>2.6</v>
      </c>
      <c r="W4743" s="8">
        <v>1.5</v>
      </c>
      <c r="X4743" s="8">
        <v>81</v>
      </c>
      <c r="Y4743" s="8" t="s">
        <v>21</v>
      </c>
      <c r="Z4743" s="8" t="s">
        <v>21403</v>
      </c>
    </row>
    <row r="4744" spans="1:26" x14ac:dyDescent="0.2">
      <c r="A4744" s="8">
        <v>4743</v>
      </c>
      <c r="B4744" s="8" t="s">
        <v>21404</v>
      </c>
      <c r="C4744" s="8" t="s">
        <v>21404</v>
      </c>
      <c r="F4744" s="47"/>
      <c r="G4744" s="8">
        <v>16</v>
      </c>
      <c r="H4744" s="8" t="s">
        <v>21</v>
      </c>
      <c r="I4744" s="8" t="s">
        <v>22</v>
      </c>
      <c r="J4744" s="8" t="s">
        <v>22</v>
      </c>
      <c r="K4744" s="8" t="s">
        <v>37</v>
      </c>
      <c r="L4744" s="8" t="s">
        <v>16195</v>
      </c>
      <c r="M4744" s="8" t="s">
        <v>16196</v>
      </c>
      <c r="N4744" s="8" t="s">
        <v>21405</v>
      </c>
      <c r="O4744" s="8">
        <f>12+52/60+15.6/3600</f>
        <v>12.871</v>
      </c>
      <c r="P4744" s="8" t="s">
        <v>21406</v>
      </c>
      <c r="Q4744" s="8">
        <f>-(41+23/60+24/3600)</f>
        <v>-41.39</v>
      </c>
      <c r="R4744" s="8">
        <v>12.4</v>
      </c>
      <c r="S4744" s="8">
        <v>13.4</v>
      </c>
      <c r="T4744" s="8">
        <v>1</v>
      </c>
      <c r="U4744" s="8">
        <v>11.9</v>
      </c>
      <c r="V4744" s="8">
        <v>1.4</v>
      </c>
      <c r="W4744" s="8">
        <v>0.5</v>
      </c>
      <c r="X4744" s="8">
        <v>176</v>
      </c>
      <c r="Y4744" s="8" t="s">
        <v>5335</v>
      </c>
      <c r="Z4744" s="8" t="s">
        <v>5336</v>
      </c>
    </row>
    <row r="4745" spans="1:26" x14ac:dyDescent="0.2">
      <c r="A4745" s="8">
        <v>4744</v>
      </c>
      <c r="B4745" s="8" t="s">
        <v>21407</v>
      </c>
      <c r="C4745" s="8" t="s">
        <v>21407</v>
      </c>
      <c r="F4745" s="47"/>
      <c r="G4745" s="8">
        <v>16</v>
      </c>
      <c r="H4745" s="8" t="s">
        <v>21</v>
      </c>
      <c r="I4745" s="8" t="s">
        <v>22</v>
      </c>
      <c r="J4745" s="8" t="s">
        <v>22</v>
      </c>
      <c r="K4745" s="8" t="s">
        <v>435</v>
      </c>
      <c r="L4745" s="8" t="s">
        <v>16195</v>
      </c>
      <c r="M4745" s="8" t="s">
        <v>16196</v>
      </c>
      <c r="N4745" s="8" t="s">
        <v>21408</v>
      </c>
      <c r="O4745" s="8">
        <f>12+52/60+19.5/3600</f>
        <v>12.872083333333334</v>
      </c>
      <c r="P4745" s="8" t="s">
        <v>21409</v>
      </c>
      <c r="Q4745" s="8">
        <f>-(41+3/60+38/3600)</f>
        <v>-41.060555555555553</v>
      </c>
      <c r="R4745" s="8">
        <v>12.7</v>
      </c>
      <c r="S4745" s="8">
        <v>13.8</v>
      </c>
      <c r="T4745" s="8">
        <v>1.1000000000000001</v>
      </c>
      <c r="U4745" s="8">
        <v>13.4</v>
      </c>
      <c r="V4745" s="8">
        <v>2.1</v>
      </c>
      <c r="W4745" s="8">
        <v>1</v>
      </c>
      <c r="X4745" s="8">
        <v>122</v>
      </c>
      <c r="Y4745" s="8" t="s">
        <v>21410</v>
      </c>
      <c r="Z4745" s="8" t="s">
        <v>21411</v>
      </c>
    </row>
    <row r="4746" spans="1:26" x14ac:dyDescent="0.2">
      <c r="A4746" s="8">
        <v>4745</v>
      </c>
      <c r="B4746" s="8" t="s">
        <v>21412</v>
      </c>
      <c r="C4746" s="8" t="s">
        <v>21412</v>
      </c>
      <c r="F4746" s="47"/>
      <c r="G4746" s="8">
        <v>18</v>
      </c>
      <c r="H4746" s="8" t="s">
        <v>21</v>
      </c>
      <c r="I4746" s="8" t="s">
        <v>22</v>
      </c>
      <c r="J4746" s="8" t="s">
        <v>22</v>
      </c>
      <c r="K4746" s="8" t="s">
        <v>224</v>
      </c>
      <c r="L4746" s="8" t="s">
        <v>18289</v>
      </c>
      <c r="M4746" s="8" t="s">
        <v>18290</v>
      </c>
      <c r="N4746" s="8" t="s">
        <v>21413</v>
      </c>
      <c r="O4746" s="8">
        <f>12+51/60+26.1/3600</f>
        <v>12.857250000000001</v>
      </c>
      <c r="P4746" s="8" t="s">
        <v>21414</v>
      </c>
      <c r="Q4746" s="8">
        <f>+(27+25/60+18/3600)</f>
        <v>27.421666666666667</v>
      </c>
      <c r="R4746" s="8">
        <v>15.1</v>
      </c>
      <c r="S4746" s="8">
        <v>16.100000000000001</v>
      </c>
      <c r="T4746" s="8">
        <v>1</v>
      </c>
      <c r="U4746" s="8">
        <v>14.5</v>
      </c>
      <c r="V4746" s="8">
        <v>0.8</v>
      </c>
      <c r="W4746" s="8">
        <v>0.8</v>
      </c>
      <c r="Y4746" s="8" t="s">
        <v>21</v>
      </c>
      <c r="Z4746" s="8" t="s">
        <v>21415</v>
      </c>
    </row>
    <row r="4747" spans="1:26" x14ac:dyDescent="0.2">
      <c r="A4747" s="8">
        <v>4746</v>
      </c>
      <c r="B4747" s="8" t="s">
        <v>21416</v>
      </c>
      <c r="C4747" s="8" t="s">
        <v>21416</v>
      </c>
      <c r="F4747" s="47"/>
      <c r="G4747" s="8">
        <v>16</v>
      </c>
      <c r="H4747" s="8" t="s">
        <v>21</v>
      </c>
      <c r="I4747" s="8" t="s">
        <v>22</v>
      </c>
      <c r="J4747" s="8" t="s">
        <v>22</v>
      </c>
      <c r="K4747" s="8" t="s">
        <v>23</v>
      </c>
      <c r="L4747" s="8" t="s">
        <v>17287</v>
      </c>
      <c r="M4747" s="8" t="s">
        <v>17288</v>
      </c>
      <c r="N4747" s="8" t="s">
        <v>21417</v>
      </c>
      <c r="O4747" s="8">
        <f>12+51/60+55.2/3600</f>
        <v>12.865333333333332</v>
      </c>
      <c r="P4747" s="8" t="s">
        <v>21418</v>
      </c>
      <c r="Q4747" s="8">
        <f>+(12+4/60+59/3600)</f>
        <v>12.083055555555555</v>
      </c>
      <c r="R4747" s="8">
        <v>12.6</v>
      </c>
      <c r="S4747" s="8">
        <v>13.4</v>
      </c>
      <c r="T4747" s="8">
        <v>0.8</v>
      </c>
      <c r="U4747" s="8">
        <v>12.7</v>
      </c>
      <c r="V4747" s="8">
        <v>2.1</v>
      </c>
      <c r="W4747" s="8">
        <v>0.6</v>
      </c>
      <c r="X4747" s="8">
        <v>120</v>
      </c>
      <c r="Y4747" s="8" t="s">
        <v>21419</v>
      </c>
      <c r="Z4747" s="8" t="s">
        <v>21420</v>
      </c>
    </row>
    <row r="4748" spans="1:26" x14ac:dyDescent="0.2">
      <c r="A4748" s="8">
        <v>4747</v>
      </c>
      <c r="B4748" s="8" t="s">
        <v>21421</v>
      </c>
      <c r="C4748" s="8" t="s">
        <v>21421</v>
      </c>
      <c r="F4748" s="47" t="s">
        <v>57568</v>
      </c>
      <c r="G4748" s="8">
        <v>11</v>
      </c>
      <c r="H4748" s="8" t="s">
        <v>21</v>
      </c>
      <c r="I4748" s="8" t="s">
        <v>22</v>
      </c>
      <c r="J4748" s="8" t="s">
        <v>22</v>
      </c>
      <c r="K4748" s="8" t="s">
        <v>1277</v>
      </c>
      <c r="L4748" s="8" t="s">
        <v>18289</v>
      </c>
      <c r="M4748" s="8" t="s">
        <v>18290</v>
      </c>
      <c r="N4748" s="8" t="s">
        <v>21422</v>
      </c>
      <c r="O4748" s="8">
        <f>12+51/60+45.4/3600</f>
        <v>12.862611111111111</v>
      </c>
      <c r="P4748" s="8" t="s">
        <v>21423</v>
      </c>
      <c r="Q4748" s="8">
        <f>+(25+46/60+26/3600)</f>
        <v>25.773888888888887</v>
      </c>
      <c r="R4748" s="8">
        <v>12.4</v>
      </c>
      <c r="S4748" s="8">
        <v>13</v>
      </c>
      <c r="T4748" s="8">
        <v>0.6</v>
      </c>
      <c r="U4748" s="8">
        <v>13.7</v>
      </c>
      <c r="V4748" s="8">
        <v>3.3</v>
      </c>
      <c r="W4748" s="8">
        <v>1.3</v>
      </c>
      <c r="X4748" s="8">
        <v>30</v>
      </c>
      <c r="Y4748" s="8" t="s">
        <v>7594</v>
      </c>
      <c r="Z4748" s="8" t="s">
        <v>7595</v>
      </c>
    </row>
    <row r="4749" spans="1:26" x14ac:dyDescent="0.2">
      <c r="A4749" s="8">
        <v>4748</v>
      </c>
      <c r="B4749" s="8" t="s">
        <v>21424</v>
      </c>
      <c r="C4749" s="8" t="s">
        <v>21424</v>
      </c>
      <c r="E4749" s="8" t="s">
        <v>21425</v>
      </c>
      <c r="F4749" s="47" t="s">
        <v>57569</v>
      </c>
      <c r="G4749" s="8">
        <v>15</v>
      </c>
      <c r="H4749" s="8" t="s">
        <v>21</v>
      </c>
      <c r="I4749" s="8" t="s">
        <v>22</v>
      </c>
      <c r="J4749" s="8" t="s">
        <v>22</v>
      </c>
      <c r="K4749" s="8" t="s">
        <v>91</v>
      </c>
      <c r="L4749" s="8" t="s">
        <v>15925</v>
      </c>
      <c r="M4749" s="8" t="s">
        <v>15926</v>
      </c>
      <c r="N4749" s="8" t="s">
        <v>21426</v>
      </c>
      <c r="O4749" s="8">
        <f>12+52/60+12.6/3600</f>
        <v>12.870166666666668</v>
      </c>
      <c r="P4749" s="8" t="s">
        <v>21427</v>
      </c>
      <c r="Q4749" s="8">
        <f>-(13+24/60+49/3600)</f>
        <v>-13.413611111111111</v>
      </c>
      <c r="R4749" s="8">
        <v>13.7</v>
      </c>
      <c r="S4749" s="8">
        <v>14.6</v>
      </c>
      <c r="T4749" s="8">
        <v>0.9</v>
      </c>
      <c r="U4749" s="8">
        <v>12.9</v>
      </c>
      <c r="V4749" s="8">
        <v>0.8</v>
      </c>
      <c r="W4749" s="8">
        <v>0.7</v>
      </c>
      <c r="X4749" s="8">
        <v>45</v>
      </c>
      <c r="Y4749" s="8" t="s">
        <v>21428</v>
      </c>
      <c r="Z4749" s="8" t="s">
        <v>21429</v>
      </c>
    </row>
    <row r="4750" spans="1:26" x14ac:dyDescent="0.2">
      <c r="A4750" s="8">
        <v>4749</v>
      </c>
      <c r="B4750" s="8" t="s">
        <v>21430</v>
      </c>
      <c r="C4750" s="8" t="s">
        <v>21430</v>
      </c>
      <c r="F4750" s="47" t="s">
        <v>57570</v>
      </c>
      <c r="G4750" s="8">
        <v>15</v>
      </c>
      <c r="H4750" s="8" t="s">
        <v>21</v>
      </c>
      <c r="I4750" s="8" t="s">
        <v>22</v>
      </c>
      <c r="J4750" s="8" t="s">
        <v>22</v>
      </c>
      <c r="K4750" s="8" t="s">
        <v>23</v>
      </c>
      <c r="L4750" s="8" t="s">
        <v>13395</v>
      </c>
      <c r="M4750" s="8" t="s">
        <v>13396</v>
      </c>
      <c r="N4750" s="8" t="s">
        <v>21431</v>
      </c>
      <c r="O4750" s="8">
        <f>12+51/60+12.2/3600</f>
        <v>12.853388888888889</v>
      </c>
      <c r="P4750" s="8" t="s">
        <v>21432</v>
      </c>
      <c r="Q4750" s="8">
        <f>+(71+38/60+6/3600)</f>
        <v>71.635000000000005</v>
      </c>
      <c r="R4750" s="8">
        <v>13.5</v>
      </c>
      <c r="S4750" s="8">
        <v>14.3</v>
      </c>
      <c r="T4750" s="8">
        <v>0.8</v>
      </c>
      <c r="U4750" s="8">
        <v>12.6</v>
      </c>
      <c r="V4750" s="8">
        <v>1.7</v>
      </c>
      <c r="W4750" s="8">
        <v>0.3</v>
      </c>
      <c r="X4750" s="8">
        <v>158</v>
      </c>
      <c r="Y4750" s="8" t="s">
        <v>21433</v>
      </c>
      <c r="Z4750" s="8" t="s">
        <v>21434</v>
      </c>
    </row>
    <row r="4751" spans="1:26" x14ac:dyDescent="0.2">
      <c r="A4751" s="8">
        <v>4750</v>
      </c>
      <c r="B4751" s="8" t="s">
        <v>21435</v>
      </c>
      <c r="C4751" s="8" t="s">
        <v>21435</v>
      </c>
      <c r="F4751" s="47" t="s">
        <v>57571</v>
      </c>
      <c r="G4751" s="8">
        <v>13</v>
      </c>
      <c r="H4751" s="8" t="s">
        <v>21</v>
      </c>
      <c r="I4751" s="8" t="s">
        <v>22</v>
      </c>
      <c r="J4751" s="8" t="s">
        <v>22</v>
      </c>
      <c r="K4751" s="8" t="s">
        <v>2542</v>
      </c>
      <c r="L4751" s="8" t="s">
        <v>13395</v>
      </c>
      <c r="M4751" s="8" t="s">
        <v>13396</v>
      </c>
      <c r="N4751" s="8" t="s">
        <v>21436</v>
      </c>
      <c r="O4751" s="8">
        <f>12+50/60+6.5/3600</f>
        <v>12.83513888888889</v>
      </c>
      <c r="P4751" s="8" t="s">
        <v>21437</v>
      </c>
      <c r="Q4751" s="8">
        <f>+(72+52/60+28/3600)</f>
        <v>72.874444444444435</v>
      </c>
      <c r="R4751" s="8">
        <v>11.2</v>
      </c>
      <c r="S4751" s="8">
        <v>12.1</v>
      </c>
      <c r="T4751" s="8">
        <v>0.9</v>
      </c>
      <c r="U4751" s="8">
        <v>12.6</v>
      </c>
      <c r="V4751" s="8">
        <v>2.1</v>
      </c>
      <c r="W4751" s="8">
        <v>1.9</v>
      </c>
      <c r="X4751" s="8">
        <v>147</v>
      </c>
      <c r="Y4751" s="8" t="s">
        <v>21438</v>
      </c>
      <c r="Z4751" s="8" t="s">
        <v>21439</v>
      </c>
    </row>
    <row r="4752" spans="1:26" x14ac:dyDescent="0.2">
      <c r="A4752" s="8">
        <v>4751</v>
      </c>
      <c r="B4752" s="8" t="s">
        <v>21440</v>
      </c>
      <c r="C4752" s="8" t="s">
        <v>21440</v>
      </c>
      <c r="F4752" s="47"/>
      <c r="G4752" s="8">
        <v>16</v>
      </c>
      <c r="H4752" s="8" t="s">
        <v>21</v>
      </c>
      <c r="I4752" s="8" t="s">
        <v>22</v>
      </c>
      <c r="J4752" s="8" t="s">
        <v>22</v>
      </c>
      <c r="K4752" s="8" t="s">
        <v>58</v>
      </c>
      <c r="L4752" s="8" t="s">
        <v>16195</v>
      </c>
      <c r="M4752" s="8" t="s">
        <v>16196</v>
      </c>
      <c r="N4752" s="8" t="s">
        <v>21441</v>
      </c>
      <c r="O4752" s="8">
        <f>12+52/60+50.6/3600</f>
        <v>12.880722222222223</v>
      </c>
      <c r="P4752" s="8" t="s">
        <v>21442</v>
      </c>
      <c r="Q4752" s="8">
        <f>-(42+39/60+36/3600)</f>
        <v>-42.66</v>
      </c>
      <c r="R4752" s="8">
        <v>11.2</v>
      </c>
      <c r="S4752" s="8">
        <v>12.2</v>
      </c>
      <c r="T4752" s="8">
        <v>1</v>
      </c>
      <c r="U4752" s="8">
        <v>12.6</v>
      </c>
      <c r="V4752" s="8">
        <v>3</v>
      </c>
      <c r="W4752" s="8">
        <v>1.1000000000000001</v>
      </c>
      <c r="X4752" s="8">
        <v>175</v>
      </c>
      <c r="Y4752" s="8" t="s">
        <v>21443</v>
      </c>
      <c r="Z4752" s="8" t="s">
        <v>21444</v>
      </c>
    </row>
    <row r="4753" spans="1:26" x14ac:dyDescent="0.2">
      <c r="A4753" s="8">
        <v>4752</v>
      </c>
      <c r="B4753" s="8" t="s">
        <v>21445</v>
      </c>
      <c r="C4753" s="8" t="s">
        <v>21445</v>
      </c>
      <c r="F4753" s="47" t="s">
        <v>57572</v>
      </c>
      <c r="G4753" s="8">
        <v>15</v>
      </c>
      <c r="H4753" s="8" t="s">
        <v>21</v>
      </c>
      <c r="I4753" s="8" t="s">
        <v>22</v>
      </c>
      <c r="J4753" s="8" t="s">
        <v>22</v>
      </c>
      <c r="K4753" s="8" t="s">
        <v>449</v>
      </c>
      <c r="L4753" s="8" t="s">
        <v>18289</v>
      </c>
      <c r="M4753" s="8" t="s">
        <v>18290</v>
      </c>
      <c r="N4753" s="8" t="s">
        <v>21446</v>
      </c>
      <c r="O4753" s="8">
        <f>12+51/60+29.1/3600</f>
        <v>12.858083333333333</v>
      </c>
      <c r="P4753" s="8" t="s">
        <v>21447</v>
      </c>
      <c r="Q4753" s="8">
        <f>+(13+46/60+57/3600)</f>
        <v>13.782500000000001</v>
      </c>
      <c r="R4753" s="8">
        <v>14.5</v>
      </c>
      <c r="S4753" s="8">
        <v>15.3</v>
      </c>
      <c r="T4753" s="8">
        <v>0.8</v>
      </c>
      <c r="U4753" s="8">
        <v>12.7</v>
      </c>
      <c r="V4753" s="8">
        <v>0.7</v>
      </c>
      <c r="W4753" s="8">
        <v>0.3</v>
      </c>
      <c r="X4753" s="8">
        <v>155</v>
      </c>
      <c r="Y4753" s="8" t="s">
        <v>17269</v>
      </c>
      <c r="Z4753" s="8" t="s">
        <v>17270</v>
      </c>
    </row>
    <row r="4754" spans="1:26" x14ac:dyDescent="0.2">
      <c r="A4754" s="8">
        <v>4753</v>
      </c>
      <c r="B4754" s="8" t="s">
        <v>21448</v>
      </c>
      <c r="C4754" s="8" t="s">
        <v>21448</v>
      </c>
      <c r="F4754" s="47" t="s">
        <v>57573</v>
      </c>
      <c r="G4754" s="8">
        <v>3</v>
      </c>
      <c r="H4754" s="8" t="s">
        <v>21449</v>
      </c>
      <c r="I4754" s="8" t="s">
        <v>22</v>
      </c>
      <c r="J4754" s="8" t="s">
        <v>22</v>
      </c>
      <c r="K4754" s="8" t="s">
        <v>37</v>
      </c>
      <c r="L4754" s="8" t="s">
        <v>17287</v>
      </c>
      <c r="M4754" s="8" t="s">
        <v>17288</v>
      </c>
      <c r="N4754" s="8" t="s">
        <v>21450</v>
      </c>
      <c r="O4754" s="8">
        <f>12+52/60+22.1/3600</f>
        <v>12.872805555555557</v>
      </c>
      <c r="P4754" s="8" t="s">
        <v>21451</v>
      </c>
      <c r="Q4754" s="8">
        <f>-(1+12/60+0/3600)</f>
        <v>-1.2</v>
      </c>
      <c r="R4754" s="8">
        <v>10</v>
      </c>
      <c r="S4754" s="8">
        <v>10.9</v>
      </c>
      <c r="T4754" s="8">
        <v>0.9</v>
      </c>
      <c r="U4754" s="8">
        <v>12.9</v>
      </c>
      <c r="V4754" s="8">
        <v>6</v>
      </c>
      <c r="W4754" s="8">
        <v>2.8</v>
      </c>
      <c r="X4754" s="8">
        <v>80</v>
      </c>
      <c r="Y4754" s="8" t="s">
        <v>21452</v>
      </c>
      <c r="Z4754" s="8" t="s">
        <v>21453</v>
      </c>
    </row>
    <row r="4755" spans="1:26" x14ac:dyDescent="0.2">
      <c r="A4755" s="8">
        <v>4754</v>
      </c>
      <c r="B4755" s="8" t="s">
        <v>21454</v>
      </c>
      <c r="C4755" s="8" t="s">
        <v>21454</v>
      </c>
      <c r="F4755" s="47" t="s">
        <v>57574</v>
      </c>
      <c r="G4755" s="8">
        <v>6</v>
      </c>
      <c r="H4755" s="8" t="s">
        <v>21</v>
      </c>
      <c r="I4755" s="8" t="s">
        <v>22</v>
      </c>
      <c r="J4755" s="8" t="s">
        <v>22</v>
      </c>
      <c r="K4755" s="8" t="s">
        <v>224</v>
      </c>
      <c r="L4755" s="8" t="s">
        <v>17287</v>
      </c>
      <c r="M4755" s="8" t="s">
        <v>17288</v>
      </c>
      <c r="N4755" s="8" t="s">
        <v>21455</v>
      </c>
      <c r="O4755" s="8">
        <f>12+52/60+17.6/3600</f>
        <v>12.871555555555556</v>
      </c>
      <c r="P4755" s="8" t="s">
        <v>21456</v>
      </c>
      <c r="Q4755" s="8">
        <f>+(11+18/60+50/3600)</f>
        <v>11.31388888888889</v>
      </c>
      <c r="R4755" s="8">
        <v>10.6</v>
      </c>
      <c r="S4755" s="8">
        <v>11.5</v>
      </c>
      <c r="T4755" s="8">
        <v>0.9</v>
      </c>
      <c r="U4755" s="8">
        <v>13.1</v>
      </c>
      <c r="V4755" s="8">
        <v>4.4000000000000004</v>
      </c>
      <c r="W4755" s="8">
        <v>2.4</v>
      </c>
      <c r="X4755" s="8">
        <v>23</v>
      </c>
      <c r="Y4755" s="8" t="s">
        <v>21457</v>
      </c>
      <c r="Z4755" s="8" t="s">
        <v>21458</v>
      </c>
    </row>
    <row r="4756" spans="1:26" x14ac:dyDescent="0.2">
      <c r="A4756" s="8">
        <v>4755</v>
      </c>
      <c r="B4756" s="8" t="s">
        <v>21459</v>
      </c>
      <c r="C4756" s="8" t="s">
        <v>21459</v>
      </c>
      <c r="F4756" s="47"/>
      <c r="G4756" s="8">
        <v>2</v>
      </c>
      <c r="H4756" s="8" t="s">
        <v>21460</v>
      </c>
      <c r="I4756" s="8" t="s">
        <v>557</v>
      </c>
      <c r="J4756" s="8" t="s">
        <v>557</v>
      </c>
      <c r="K4756" s="8" t="s">
        <v>2262</v>
      </c>
      <c r="L4756" s="8" t="s">
        <v>18453</v>
      </c>
      <c r="M4756" s="8" t="s">
        <v>18454</v>
      </c>
      <c r="N4756" s="8" t="s">
        <v>21461</v>
      </c>
      <c r="O4756" s="8">
        <f>12+53/60+39/3600</f>
        <v>12.894166666666667</v>
      </c>
      <c r="P4756" s="8" t="s">
        <v>21462</v>
      </c>
      <c r="Q4756" s="8">
        <f>-(60+21/60+42/3600)</f>
        <v>-60.361666666666665</v>
      </c>
      <c r="R4756" s="8">
        <v>4.2</v>
      </c>
      <c r="S4756" s="8">
        <v>99</v>
      </c>
      <c r="T4756" s="8">
        <v>99</v>
      </c>
      <c r="U4756" s="8">
        <v>99</v>
      </c>
      <c r="V4756" s="8">
        <v>10</v>
      </c>
      <c r="Y4756" s="8" t="s">
        <v>21</v>
      </c>
      <c r="Z4756" s="8" t="s">
        <v>21463</v>
      </c>
    </row>
    <row r="4757" spans="1:26" x14ac:dyDescent="0.2">
      <c r="A4757" s="8">
        <v>4756</v>
      </c>
      <c r="B4757" s="8" t="s">
        <v>21464</v>
      </c>
      <c r="C4757" s="8" t="s">
        <v>21464</v>
      </c>
      <c r="F4757" s="47" t="s">
        <v>57575</v>
      </c>
      <c r="G4757" s="8">
        <v>12</v>
      </c>
      <c r="H4757" s="8" t="s">
        <v>21</v>
      </c>
      <c r="I4757" s="8" t="s">
        <v>22</v>
      </c>
      <c r="J4757" s="8" t="s">
        <v>22</v>
      </c>
      <c r="K4757" s="8" t="s">
        <v>58</v>
      </c>
      <c r="L4757" s="8" t="s">
        <v>15925</v>
      </c>
      <c r="M4757" s="8" t="s">
        <v>15926</v>
      </c>
      <c r="N4757" s="8" t="s">
        <v>21465</v>
      </c>
      <c r="O4757" s="8">
        <f>12+52/60+52.2/3600</f>
        <v>12.881166666666667</v>
      </c>
      <c r="P4757" s="8" t="s">
        <v>21466</v>
      </c>
      <c r="Q4757" s="8">
        <f>-(15+24/60+45/3600)</f>
        <v>-15.4125</v>
      </c>
      <c r="R4757" s="8">
        <v>12.4</v>
      </c>
      <c r="S4757" s="8">
        <v>13.4</v>
      </c>
      <c r="T4757" s="8">
        <v>1</v>
      </c>
      <c r="U4757" s="8">
        <v>13.1</v>
      </c>
      <c r="V4757" s="8">
        <v>1.7</v>
      </c>
      <c r="W4757" s="8">
        <v>1.3</v>
      </c>
      <c r="X4757" s="8">
        <v>50</v>
      </c>
      <c r="Y4757" s="8" t="s">
        <v>19966</v>
      </c>
      <c r="Z4757" s="8" t="s">
        <v>19967</v>
      </c>
    </row>
    <row r="4758" spans="1:26" x14ac:dyDescent="0.2">
      <c r="A4758" s="8">
        <v>4757</v>
      </c>
      <c r="B4758" s="8" t="s">
        <v>21467</v>
      </c>
      <c r="C4758" s="8" t="s">
        <v>21467</v>
      </c>
      <c r="F4758" s="47"/>
      <c r="G4758" s="8">
        <v>19</v>
      </c>
      <c r="H4758" s="8" t="s">
        <v>21</v>
      </c>
      <c r="I4758" s="8" t="s">
        <v>22</v>
      </c>
      <c r="J4758" s="8" t="s">
        <v>22</v>
      </c>
      <c r="K4758" s="8" t="s">
        <v>37</v>
      </c>
      <c r="L4758" s="8" t="s">
        <v>17287</v>
      </c>
      <c r="M4758" s="8" t="s">
        <v>17288</v>
      </c>
      <c r="N4758" s="8" t="s">
        <v>21468</v>
      </c>
      <c r="O4758" s="8">
        <f>12+52/60+49.9/3600</f>
        <v>12.880527777777779</v>
      </c>
      <c r="P4758" s="8" t="s">
        <v>21469</v>
      </c>
      <c r="Q4758" s="8">
        <f>-(10+18/60+39/3600)</f>
        <v>-10.310833333333335</v>
      </c>
      <c r="R4758" s="8">
        <v>13.7</v>
      </c>
      <c r="S4758" s="8">
        <v>14.7</v>
      </c>
      <c r="T4758" s="8">
        <v>1</v>
      </c>
      <c r="U4758" s="8">
        <v>13</v>
      </c>
      <c r="V4758" s="8">
        <v>1.5</v>
      </c>
      <c r="W4758" s="8">
        <v>0.4</v>
      </c>
      <c r="X4758" s="8">
        <v>60</v>
      </c>
      <c r="Y4758" s="8" t="s">
        <v>297</v>
      </c>
      <c r="Z4758" s="8" t="s">
        <v>298</v>
      </c>
    </row>
    <row r="4759" spans="1:26" x14ac:dyDescent="0.2">
      <c r="A4759" s="8">
        <v>4758</v>
      </c>
      <c r="B4759" s="8" t="s">
        <v>21470</v>
      </c>
      <c r="C4759" s="8" t="s">
        <v>21470</v>
      </c>
      <c r="F4759" s="47" t="s">
        <v>57576</v>
      </c>
      <c r="G4759" s="8">
        <v>15</v>
      </c>
      <c r="H4759" s="8" t="s">
        <v>21</v>
      </c>
      <c r="I4759" s="8" t="s">
        <v>22</v>
      </c>
      <c r="J4759" s="8" t="s">
        <v>22</v>
      </c>
      <c r="K4759" s="8" t="s">
        <v>3616</v>
      </c>
      <c r="L4759" s="8" t="s">
        <v>18289</v>
      </c>
      <c r="M4759" s="8" t="s">
        <v>18290</v>
      </c>
      <c r="N4759" s="8" t="s">
        <v>21471</v>
      </c>
      <c r="O4759" s="8">
        <f>12+52/60+43.9/3600</f>
        <v>12.878861111111112</v>
      </c>
      <c r="P4759" s="8" t="s">
        <v>21472</v>
      </c>
      <c r="Q4759" s="8">
        <f>+(15+50/60+55/3600)</f>
        <v>15.848611111111111</v>
      </c>
      <c r="R4759" s="8">
        <v>13.3</v>
      </c>
      <c r="S4759" s="8">
        <v>13.9</v>
      </c>
      <c r="T4759" s="8">
        <v>0.6</v>
      </c>
      <c r="U4759" s="8">
        <v>14</v>
      </c>
      <c r="V4759" s="8">
        <v>3</v>
      </c>
      <c r="W4759" s="8">
        <v>0.7</v>
      </c>
      <c r="X4759" s="8">
        <v>160</v>
      </c>
      <c r="Y4759" s="8" t="s">
        <v>21473</v>
      </c>
      <c r="Z4759" s="8" t="s">
        <v>21474</v>
      </c>
    </row>
    <row r="4760" spans="1:26" x14ac:dyDescent="0.2">
      <c r="A4760" s="8">
        <v>4759</v>
      </c>
      <c r="B4760" s="8" t="s">
        <v>21475</v>
      </c>
      <c r="C4760" s="8" t="s">
        <v>21475</v>
      </c>
      <c r="D4760" s="8" t="s">
        <v>351</v>
      </c>
      <c r="F4760" s="47" t="s">
        <v>57577</v>
      </c>
      <c r="G4760" s="8">
        <v>15</v>
      </c>
      <c r="H4760" s="8" t="s">
        <v>21</v>
      </c>
      <c r="I4760" s="8" t="s">
        <v>22</v>
      </c>
      <c r="J4760" s="8" t="s">
        <v>22</v>
      </c>
      <c r="K4760" s="8" t="s">
        <v>37</v>
      </c>
      <c r="L4760" s="8" t="s">
        <v>17287</v>
      </c>
      <c r="M4760" s="8" t="s">
        <v>17288</v>
      </c>
      <c r="N4760" s="8" t="s">
        <v>21476</v>
      </c>
      <c r="O4760" s="8">
        <f>12+53/60+4.5/3600</f>
        <v>12.884583333333333</v>
      </c>
      <c r="P4760" s="8" t="s">
        <v>21477</v>
      </c>
      <c r="Q4760" s="8">
        <f>-(9+11/60+59/3600)</f>
        <v>-9.1997222222222224</v>
      </c>
      <c r="R4760" s="8">
        <v>13</v>
      </c>
      <c r="S4760" s="8">
        <v>14</v>
      </c>
      <c r="T4760" s="8">
        <v>1</v>
      </c>
      <c r="U4760" s="8">
        <v>12.7</v>
      </c>
      <c r="V4760" s="8">
        <v>1.9</v>
      </c>
      <c r="W4760" s="8">
        <v>1.7</v>
      </c>
      <c r="X4760" s="8">
        <v>5</v>
      </c>
      <c r="Y4760" s="8" t="s">
        <v>21478</v>
      </c>
      <c r="Z4760" s="8" t="s">
        <v>21479</v>
      </c>
    </row>
    <row r="4761" spans="1:26" x14ac:dyDescent="0.2">
      <c r="A4761" s="8">
        <v>4760</v>
      </c>
      <c r="B4761" s="8" t="s">
        <v>21480</v>
      </c>
      <c r="C4761" s="8" t="s">
        <v>21480</v>
      </c>
      <c r="F4761" s="47"/>
      <c r="G4761" s="8">
        <v>11</v>
      </c>
      <c r="H4761" s="8" t="s">
        <v>21</v>
      </c>
      <c r="I4761" s="8" t="s">
        <v>22</v>
      </c>
      <c r="J4761" s="8" t="s">
        <v>22</v>
      </c>
      <c r="K4761" s="8" t="s">
        <v>183</v>
      </c>
      <c r="L4761" s="8" t="s">
        <v>17287</v>
      </c>
      <c r="M4761" s="8" t="s">
        <v>17288</v>
      </c>
      <c r="N4761" s="8" t="s">
        <v>21481</v>
      </c>
      <c r="O4761" s="8">
        <f>12+53/60+7.2/3600</f>
        <v>12.885333333333334</v>
      </c>
      <c r="P4761" s="8" t="s">
        <v>21482</v>
      </c>
      <c r="Q4761" s="8">
        <f>-(10+29/60+41/3600)</f>
        <v>-10.494722222222221</v>
      </c>
      <c r="R4761" s="8">
        <v>11.4</v>
      </c>
      <c r="S4761" s="8">
        <v>12.4</v>
      </c>
      <c r="T4761" s="8">
        <v>1</v>
      </c>
      <c r="U4761" s="8">
        <v>12.8</v>
      </c>
      <c r="V4761" s="8">
        <v>2</v>
      </c>
      <c r="W4761" s="8">
        <v>1.8</v>
      </c>
      <c r="X4761" s="8">
        <v>10</v>
      </c>
      <c r="Y4761" s="8" t="s">
        <v>21483</v>
      </c>
      <c r="Z4761" s="8" t="s">
        <v>21484</v>
      </c>
    </row>
    <row r="4762" spans="1:26" x14ac:dyDescent="0.2">
      <c r="A4762" s="8">
        <v>4761</v>
      </c>
      <c r="B4762" s="8" t="s">
        <v>21485</v>
      </c>
      <c r="C4762" s="8" t="s">
        <v>21485</v>
      </c>
      <c r="F4762" s="47"/>
      <c r="G4762" s="8">
        <v>19</v>
      </c>
      <c r="H4762" s="8" t="s">
        <v>21</v>
      </c>
      <c r="I4762" s="8" t="s">
        <v>22</v>
      </c>
      <c r="J4762" s="8" t="s">
        <v>22</v>
      </c>
      <c r="K4762" s="8" t="s">
        <v>3850</v>
      </c>
      <c r="L4762" s="8" t="s">
        <v>17287</v>
      </c>
      <c r="M4762" s="8" t="s">
        <v>17288</v>
      </c>
      <c r="N4762" s="8" t="s">
        <v>21486</v>
      </c>
      <c r="O4762" s="8">
        <f>12+53/60+9.7/3600</f>
        <v>12.886027777777777</v>
      </c>
      <c r="P4762" s="8" t="s">
        <v>21487</v>
      </c>
      <c r="Q4762" s="8">
        <f>-(9+11/60+51/3600)</f>
        <v>-9.1974999999999998</v>
      </c>
      <c r="R4762" s="8">
        <v>13.8</v>
      </c>
      <c r="S4762" s="8">
        <v>14.9</v>
      </c>
      <c r="T4762" s="8">
        <v>1.1000000000000001</v>
      </c>
      <c r="U4762" s="8">
        <v>12.7</v>
      </c>
      <c r="V4762" s="8">
        <v>0.8</v>
      </c>
      <c r="W4762" s="8">
        <v>0.3</v>
      </c>
      <c r="X4762" s="8">
        <v>173</v>
      </c>
      <c r="Y4762" s="8" t="s">
        <v>21</v>
      </c>
      <c r="Z4762" s="8" t="s">
        <v>21488</v>
      </c>
    </row>
    <row r="4763" spans="1:26" x14ac:dyDescent="0.2">
      <c r="A4763" s="8">
        <v>4762</v>
      </c>
      <c r="B4763" s="8" t="s">
        <v>21489</v>
      </c>
      <c r="C4763" s="8" t="s">
        <v>21489</v>
      </c>
      <c r="F4763" s="47" t="s">
        <v>57578</v>
      </c>
      <c r="G4763" s="8">
        <v>6</v>
      </c>
      <c r="H4763" s="8" t="s">
        <v>21490</v>
      </c>
      <c r="I4763" s="8" t="s">
        <v>22</v>
      </c>
      <c r="J4763" s="8" t="s">
        <v>22</v>
      </c>
      <c r="K4763" s="8" t="s">
        <v>224</v>
      </c>
      <c r="L4763" s="8" t="s">
        <v>17287</v>
      </c>
      <c r="M4763" s="8" t="s">
        <v>17288</v>
      </c>
      <c r="N4763" s="8" t="s">
        <v>21491</v>
      </c>
      <c r="O4763" s="8">
        <f>12+52/60+55.9/3600</f>
        <v>12.882194444444444</v>
      </c>
      <c r="P4763" s="8" t="s">
        <v>21492</v>
      </c>
      <c r="Q4763" s="8">
        <f>+(11+13/60+50/3600)</f>
        <v>11.230555555555556</v>
      </c>
      <c r="R4763" s="8">
        <v>10.3</v>
      </c>
      <c r="S4763" s="8">
        <v>11.1</v>
      </c>
      <c r="T4763" s="8">
        <v>0.8</v>
      </c>
      <c r="U4763" s="8">
        <v>13</v>
      </c>
      <c r="V4763" s="8">
        <v>8.6999999999999993</v>
      </c>
      <c r="W4763" s="8">
        <v>1.7</v>
      </c>
      <c r="X4763" s="8">
        <v>29</v>
      </c>
      <c r="Y4763" s="8" t="s">
        <v>21</v>
      </c>
      <c r="Z4763" s="8" t="s">
        <v>21493</v>
      </c>
    </row>
    <row r="4764" spans="1:26" x14ac:dyDescent="0.2">
      <c r="A4764" s="8">
        <v>4763</v>
      </c>
      <c r="B4764" s="8" t="s">
        <v>21494</v>
      </c>
      <c r="C4764" s="8" t="s">
        <v>21494</v>
      </c>
      <c r="F4764" s="47" t="s">
        <v>57579</v>
      </c>
      <c r="G4764" s="8">
        <v>13</v>
      </c>
      <c r="H4764" s="8" t="s">
        <v>21</v>
      </c>
      <c r="I4764" s="8" t="s">
        <v>22</v>
      </c>
      <c r="J4764" s="8" t="s">
        <v>22</v>
      </c>
      <c r="K4764" s="8" t="s">
        <v>154</v>
      </c>
      <c r="L4764" s="8" t="s">
        <v>15925</v>
      </c>
      <c r="M4764" s="8" t="s">
        <v>15926</v>
      </c>
      <c r="N4764" s="8" t="s">
        <v>21495</v>
      </c>
      <c r="O4764" s="8">
        <f>12+53/60+27.1/3600</f>
        <v>12.890861111111111</v>
      </c>
      <c r="P4764" s="8" t="s">
        <v>21496</v>
      </c>
      <c r="Q4764" s="8">
        <f>-(17+0/60+21/3600)</f>
        <v>-17.005833333333332</v>
      </c>
      <c r="R4764" s="8">
        <v>12.4</v>
      </c>
      <c r="S4764" s="8">
        <v>13.1</v>
      </c>
      <c r="T4764" s="8">
        <v>0.7</v>
      </c>
      <c r="U4764" s="8">
        <v>12.2</v>
      </c>
      <c r="V4764" s="8">
        <v>1.2</v>
      </c>
      <c r="W4764" s="8">
        <v>0.8</v>
      </c>
      <c r="X4764" s="8">
        <v>125</v>
      </c>
      <c r="Y4764" s="8" t="s">
        <v>21497</v>
      </c>
      <c r="Z4764" s="8" t="s">
        <v>21498</v>
      </c>
    </row>
    <row r="4765" spans="1:26" x14ac:dyDescent="0.2">
      <c r="A4765" s="8">
        <v>4764</v>
      </c>
      <c r="B4765" s="8" t="s">
        <v>21499</v>
      </c>
      <c r="C4765" s="8" t="s">
        <v>21499</v>
      </c>
      <c r="F4765" s="47"/>
      <c r="G4765" s="8">
        <v>19</v>
      </c>
      <c r="H4765" s="8" t="s">
        <v>21</v>
      </c>
      <c r="I4765" s="8" t="s">
        <v>22</v>
      </c>
      <c r="J4765" s="8" t="s">
        <v>22</v>
      </c>
      <c r="K4765" s="8" t="s">
        <v>1136</v>
      </c>
      <c r="L4765" s="8" t="s">
        <v>17287</v>
      </c>
      <c r="M4765" s="8" t="s">
        <v>17288</v>
      </c>
      <c r="N4765" s="8" t="s">
        <v>21500</v>
      </c>
      <c r="O4765" s="8">
        <f>12+53/60+6.7/3600</f>
        <v>12.885194444444444</v>
      </c>
      <c r="P4765" s="8" t="s">
        <v>21501</v>
      </c>
      <c r="Q4765" s="8">
        <f>-(9+15/60+27/3600)</f>
        <v>-9.2575000000000003</v>
      </c>
      <c r="R4765" s="8">
        <v>15.1</v>
      </c>
      <c r="S4765" s="8">
        <v>16.100000000000001</v>
      </c>
      <c r="T4765" s="8">
        <v>1</v>
      </c>
      <c r="U4765" s="8">
        <v>12.9</v>
      </c>
      <c r="V4765" s="8">
        <v>0.3</v>
      </c>
      <c r="W4765" s="8">
        <v>0.2</v>
      </c>
      <c r="X4765" s="8">
        <v>115</v>
      </c>
      <c r="Y4765" s="8" t="s">
        <v>21</v>
      </c>
      <c r="Z4765" s="8" t="s">
        <v>21502</v>
      </c>
    </row>
    <row r="4766" spans="1:26" x14ac:dyDescent="0.2">
      <c r="A4766" s="8">
        <v>4765</v>
      </c>
      <c r="B4766" s="8" t="s">
        <v>21503</v>
      </c>
      <c r="C4766" s="8" t="s">
        <v>21503</v>
      </c>
      <c r="F4766" s="47" t="s">
        <v>57580</v>
      </c>
      <c r="G4766" s="8">
        <v>13</v>
      </c>
      <c r="H4766" s="8" t="s">
        <v>21</v>
      </c>
      <c r="I4766" s="8" t="s">
        <v>22</v>
      </c>
      <c r="J4766" s="8" t="s">
        <v>22</v>
      </c>
      <c r="K4766" s="8" t="s">
        <v>632</v>
      </c>
      <c r="L4766" s="8" t="s">
        <v>17287</v>
      </c>
      <c r="M4766" s="8" t="s">
        <v>17288</v>
      </c>
      <c r="N4766" s="8" t="s">
        <v>21504</v>
      </c>
      <c r="O4766" s="8">
        <f>12+53/60+14.6/3600</f>
        <v>12.887388888888889</v>
      </c>
      <c r="P4766" s="8" t="s">
        <v>21505</v>
      </c>
      <c r="Q4766" s="8">
        <f>+(4+27/60+47/3600)</f>
        <v>4.463055555555556</v>
      </c>
      <c r="R4766" s="8">
        <v>13</v>
      </c>
      <c r="S4766" s="8">
        <v>13.4</v>
      </c>
      <c r="T4766" s="8">
        <v>0.4</v>
      </c>
      <c r="U4766" s="8">
        <v>12.8</v>
      </c>
      <c r="V4766" s="8">
        <v>1.1000000000000001</v>
      </c>
      <c r="W4766" s="8">
        <v>0.8</v>
      </c>
      <c r="X4766" s="8">
        <v>80</v>
      </c>
      <c r="Y4766" s="8" t="s">
        <v>21506</v>
      </c>
      <c r="Z4766" s="8" t="s">
        <v>21507</v>
      </c>
    </row>
    <row r="4767" spans="1:26" x14ac:dyDescent="0.2">
      <c r="A4767" s="8">
        <v>4766</v>
      </c>
      <c r="B4767" s="8" t="s">
        <v>21508</v>
      </c>
      <c r="C4767" s="8" t="s">
        <v>21508</v>
      </c>
      <c r="F4767" s="47"/>
      <c r="G4767" s="8">
        <v>19</v>
      </c>
      <c r="H4767" s="8" t="s">
        <v>21</v>
      </c>
      <c r="I4767" s="8" t="s">
        <v>22</v>
      </c>
      <c r="J4767" s="8" t="s">
        <v>22</v>
      </c>
      <c r="K4767" s="8" t="s">
        <v>37</v>
      </c>
      <c r="L4767" s="8" t="s">
        <v>17287</v>
      </c>
      <c r="M4767" s="8" t="s">
        <v>17288</v>
      </c>
      <c r="N4767" s="8" t="s">
        <v>21509</v>
      </c>
      <c r="O4767" s="8">
        <f>12+53/60+8.2/3600</f>
        <v>12.88561111111111</v>
      </c>
      <c r="P4767" s="8" t="s">
        <v>21510</v>
      </c>
      <c r="Q4767" s="8">
        <f>-(10+22/60+43/3600)</f>
        <v>-10.378611111111111</v>
      </c>
      <c r="R4767" s="8">
        <v>14.4</v>
      </c>
      <c r="S4767" s="8">
        <v>15.4</v>
      </c>
      <c r="T4767" s="8">
        <v>1</v>
      </c>
      <c r="U4767" s="8">
        <v>13</v>
      </c>
      <c r="V4767" s="8">
        <v>1</v>
      </c>
      <c r="W4767" s="8">
        <v>0.3</v>
      </c>
      <c r="X4767" s="8">
        <v>130</v>
      </c>
      <c r="Y4767" s="8" t="s">
        <v>297</v>
      </c>
      <c r="Z4767" s="8" t="s">
        <v>298</v>
      </c>
    </row>
    <row r="4768" spans="1:26" x14ac:dyDescent="0.2">
      <c r="A4768" s="8">
        <v>4767</v>
      </c>
      <c r="B4768" s="8" t="s">
        <v>21511</v>
      </c>
      <c r="C4768" s="8" t="s">
        <v>21511</v>
      </c>
      <c r="F4768" s="47"/>
      <c r="G4768" s="8">
        <v>13</v>
      </c>
      <c r="H4768" s="8" t="s">
        <v>21</v>
      </c>
      <c r="I4768" s="8" t="s">
        <v>22</v>
      </c>
      <c r="J4768" s="8" t="s">
        <v>22</v>
      </c>
      <c r="K4768" s="8" t="s">
        <v>1068</v>
      </c>
      <c r="L4768" s="8" t="s">
        <v>16195</v>
      </c>
      <c r="M4768" s="8" t="s">
        <v>16196</v>
      </c>
      <c r="N4768" s="8" t="s">
        <v>21512</v>
      </c>
      <c r="O4768" s="8">
        <f>12+53/60+52.9/3600</f>
        <v>12.898027777777777</v>
      </c>
      <c r="P4768" s="8" t="s">
        <v>21513</v>
      </c>
      <c r="Q4768" s="8">
        <f>-(39+42/60+52/3600)</f>
        <v>-39.714444444444446</v>
      </c>
      <c r="R4768" s="8">
        <v>11.5</v>
      </c>
      <c r="S4768" s="8">
        <v>12.5</v>
      </c>
      <c r="T4768" s="8">
        <v>1</v>
      </c>
      <c r="U4768" s="8">
        <v>12.7</v>
      </c>
      <c r="V4768" s="8">
        <v>2.6</v>
      </c>
      <c r="W4768" s="8">
        <v>1.2</v>
      </c>
      <c r="X4768" s="8">
        <v>123</v>
      </c>
      <c r="Y4768" s="8" t="s">
        <v>21514</v>
      </c>
      <c r="Z4768" s="8" t="s">
        <v>21515</v>
      </c>
    </row>
    <row r="4769" spans="1:26" x14ac:dyDescent="0.2">
      <c r="A4769" s="8">
        <v>4768</v>
      </c>
      <c r="B4769" s="8" t="s">
        <v>21516</v>
      </c>
      <c r="C4769" s="8" t="s">
        <v>21516</v>
      </c>
      <c r="F4769" s="47"/>
      <c r="G4769" s="8">
        <v>19</v>
      </c>
      <c r="H4769" s="8" t="s">
        <v>21</v>
      </c>
      <c r="I4769" s="8" t="s">
        <v>72</v>
      </c>
      <c r="J4769" s="8" t="s">
        <v>72</v>
      </c>
      <c r="K4769" s="8" t="s">
        <v>20</v>
      </c>
      <c r="L4769" s="8" t="s">
        <v>17287</v>
      </c>
      <c r="M4769" s="8" t="s">
        <v>17288</v>
      </c>
      <c r="N4769" s="8" t="s">
        <v>21517</v>
      </c>
      <c r="O4769" s="8">
        <f>12+53/60+17.2/3600</f>
        <v>12.88811111111111</v>
      </c>
      <c r="P4769" s="8" t="s">
        <v>21518</v>
      </c>
      <c r="Q4769" s="8">
        <f>-(9+31/60+54/3600)</f>
        <v>-9.5316666666666681</v>
      </c>
      <c r="R4769" s="8">
        <v>99</v>
      </c>
      <c r="S4769" s="8">
        <v>13.8</v>
      </c>
      <c r="T4769" s="8">
        <v>99</v>
      </c>
      <c r="U4769" s="8">
        <v>99</v>
      </c>
      <c r="Y4769" s="8" t="s">
        <v>21</v>
      </c>
      <c r="Z4769" s="8" t="s">
        <v>21519</v>
      </c>
    </row>
    <row r="4770" spans="1:26" x14ac:dyDescent="0.2">
      <c r="A4770" s="8">
        <v>4769</v>
      </c>
      <c r="B4770" s="8" t="s">
        <v>21520</v>
      </c>
      <c r="C4770" s="8" t="s">
        <v>21520</v>
      </c>
      <c r="F4770" s="47"/>
      <c r="G4770" s="8">
        <v>19</v>
      </c>
      <c r="H4770" s="8" t="s">
        <v>21</v>
      </c>
      <c r="I4770" s="8" t="s">
        <v>72</v>
      </c>
      <c r="J4770" s="8" t="s">
        <v>72</v>
      </c>
      <c r="K4770" s="8" t="s">
        <v>20</v>
      </c>
      <c r="L4770" s="8" t="s">
        <v>17287</v>
      </c>
      <c r="M4770" s="8" t="s">
        <v>17288</v>
      </c>
      <c r="N4770" s="8" t="s">
        <v>21521</v>
      </c>
      <c r="O4770" s="8">
        <f>12+53/60+18/3600</f>
        <v>12.888333333333334</v>
      </c>
      <c r="P4770" s="8" t="s">
        <v>21522</v>
      </c>
      <c r="Q4770" s="8">
        <f>-(9+32/60+11/3600)</f>
        <v>-9.5363888888888884</v>
      </c>
      <c r="R4770" s="8">
        <v>99</v>
      </c>
      <c r="S4770" s="8">
        <v>13.7</v>
      </c>
      <c r="T4770" s="8">
        <v>99</v>
      </c>
      <c r="U4770" s="8">
        <v>99</v>
      </c>
      <c r="Y4770" s="8" t="s">
        <v>21</v>
      </c>
      <c r="Z4770" s="8" t="s">
        <v>21519</v>
      </c>
    </row>
    <row r="4771" spans="1:26" x14ac:dyDescent="0.2">
      <c r="A4771" s="8">
        <v>4770</v>
      </c>
      <c r="B4771" s="8" t="s">
        <v>21523</v>
      </c>
      <c r="C4771" s="8" t="s">
        <v>21523</v>
      </c>
      <c r="F4771" s="47" t="s">
        <v>57581</v>
      </c>
      <c r="G4771" s="8">
        <v>15</v>
      </c>
      <c r="H4771" s="8" t="s">
        <v>21</v>
      </c>
      <c r="I4771" s="8" t="s">
        <v>22</v>
      </c>
      <c r="J4771" s="8" t="s">
        <v>22</v>
      </c>
      <c r="K4771" s="8" t="s">
        <v>632</v>
      </c>
      <c r="L4771" s="8" t="s">
        <v>17287</v>
      </c>
      <c r="M4771" s="8" t="s">
        <v>17288</v>
      </c>
      <c r="N4771" s="8" t="s">
        <v>21524</v>
      </c>
      <c r="O4771" s="8">
        <f>12+53/60+32.2/3600</f>
        <v>12.892277777777778</v>
      </c>
      <c r="P4771" s="8" t="s">
        <v>21525</v>
      </c>
      <c r="Q4771" s="8">
        <f>-(9+32/60+28/3600)</f>
        <v>-9.5411111111111104</v>
      </c>
      <c r="R4771" s="8">
        <v>12.7</v>
      </c>
      <c r="S4771" s="8">
        <v>13.6</v>
      </c>
      <c r="T4771" s="8">
        <v>0.9</v>
      </c>
      <c r="U4771" s="8">
        <v>12.6</v>
      </c>
      <c r="V4771" s="8">
        <v>1.5</v>
      </c>
      <c r="W4771" s="8">
        <v>0.8</v>
      </c>
      <c r="X4771" s="8">
        <v>90</v>
      </c>
      <c r="Y4771" s="8" t="s">
        <v>282</v>
      </c>
      <c r="Z4771" s="8" t="s">
        <v>283</v>
      </c>
    </row>
    <row r="4772" spans="1:26" x14ac:dyDescent="0.2">
      <c r="A4772" s="8">
        <v>4771</v>
      </c>
      <c r="B4772" s="8" t="s">
        <v>21526</v>
      </c>
      <c r="C4772" s="8" t="s">
        <v>21526</v>
      </c>
      <c r="F4772" s="47" t="s">
        <v>57582</v>
      </c>
      <c r="G4772" s="8">
        <v>13</v>
      </c>
      <c r="H4772" s="8" t="s">
        <v>21</v>
      </c>
      <c r="I4772" s="8" t="s">
        <v>22</v>
      </c>
      <c r="J4772" s="8" t="s">
        <v>22</v>
      </c>
      <c r="K4772" s="8" t="s">
        <v>579</v>
      </c>
      <c r="L4772" s="8" t="s">
        <v>17287</v>
      </c>
      <c r="M4772" s="8" t="s">
        <v>17288</v>
      </c>
      <c r="N4772" s="8" t="s">
        <v>21527</v>
      </c>
      <c r="O4772" s="8">
        <f>12+53/60+20.9/3600</f>
        <v>12.889138888888889</v>
      </c>
      <c r="P4772" s="8" t="s">
        <v>21528</v>
      </c>
      <c r="Q4772" s="8">
        <f>+(1+16/60+12/3600)</f>
        <v>1.27</v>
      </c>
      <c r="R4772" s="8">
        <v>12.3</v>
      </c>
      <c r="S4772" s="8">
        <v>13</v>
      </c>
      <c r="T4772" s="8">
        <v>0.7</v>
      </c>
      <c r="U4772" s="8">
        <v>13.4</v>
      </c>
      <c r="V4772" s="8">
        <v>3.8</v>
      </c>
      <c r="W4772" s="8">
        <v>0.9</v>
      </c>
      <c r="X4772" s="8">
        <v>133</v>
      </c>
      <c r="Y4772" s="8" t="s">
        <v>21</v>
      </c>
      <c r="Z4772" s="8" t="s">
        <v>21529</v>
      </c>
    </row>
    <row r="4773" spans="1:26" x14ac:dyDescent="0.2">
      <c r="A4773" s="8">
        <v>4772</v>
      </c>
      <c r="B4773" s="8" t="s">
        <v>21530</v>
      </c>
      <c r="C4773" s="8" t="s">
        <v>21530</v>
      </c>
      <c r="F4773" s="47" t="s">
        <v>57583</v>
      </c>
      <c r="G4773" s="8">
        <v>13</v>
      </c>
      <c r="H4773" s="8" t="s">
        <v>21</v>
      </c>
      <c r="I4773" s="8" t="s">
        <v>22</v>
      </c>
      <c r="J4773" s="8" t="s">
        <v>22</v>
      </c>
      <c r="K4773" s="8" t="s">
        <v>91</v>
      </c>
      <c r="L4773" s="8" t="s">
        <v>17287</v>
      </c>
      <c r="M4773" s="8" t="s">
        <v>17288</v>
      </c>
      <c r="N4773" s="8" t="s">
        <v>21531</v>
      </c>
      <c r="O4773" s="8">
        <f>12+53/60+29/3600</f>
        <v>12.891388888888889</v>
      </c>
      <c r="P4773" s="8" t="s">
        <v>21532</v>
      </c>
      <c r="Q4773" s="8">
        <f>+(2+10/60+7/3600)</f>
        <v>2.1686111111111108</v>
      </c>
      <c r="R4773" s="8">
        <v>11</v>
      </c>
      <c r="S4773" s="8">
        <v>12</v>
      </c>
      <c r="T4773" s="8">
        <v>1</v>
      </c>
      <c r="U4773" s="8">
        <v>12.8</v>
      </c>
      <c r="V4773" s="8">
        <v>3.4</v>
      </c>
      <c r="W4773" s="8">
        <v>1.7</v>
      </c>
      <c r="X4773" s="8">
        <v>147</v>
      </c>
      <c r="Y4773" s="8" t="s">
        <v>21533</v>
      </c>
      <c r="Z4773" s="8" t="s">
        <v>21396</v>
      </c>
    </row>
    <row r="4774" spans="1:26" x14ac:dyDescent="0.2">
      <c r="A4774" s="8">
        <v>4773</v>
      </c>
      <c r="B4774" s="8" t="s">
        <v>21534</v>
      </c>
      <c r="C4774" s="8" t="s">
        <v>21534</v>
      </c>
      <c r="E4774" s="8">
        <v>1</v>
      </c>
      <c r="F4774" s="47" t="s">
        <v>57584</v>
      </c>
      <c r="G4774" s="8">
        <v>15</v>
      </c>
      <c r="H4774" s="8" t="s">
        <v>21</v>
      </c>
      <c r="I4774" s="8" t="s">
        <v>22</v>
      </c>
      <c r="J4774" s="8" t="s">
        <v>22</v>
      </c>
      <c r="K4774" s="8" t="s">
        <v>1136</v>
      </c>
      <c r="L4774" s="8" t="s">
        <v>17287</v>
      </c>
      <c r="M4774" s="8" t="s">
        <v>17288</v>
      </c>
      <c r="N4774" s="8" t="s">
        <v>21535</v>
      </c>
      <c r="O4774" s="8">
        <f>12+53/60+35.9/3600</f>
        <v>12.893305555555555</v>
      </c>
      <c r="P4774" s="8" t="s">
        <v>21536</v>
      </c>
      <c r="Q4774" s="8">
        <f>-(8+38/60+18/3600)</f>
        <v>-8.6383333333333336</v>
      </c>
      <c r="R4774" s="8">
        <v>12.7</v>
      </c>
      <c r="S4774" s="8">
        <v>13.7</v>
      </c>
      <c r="T4774" s="8">
        <v>1</v>
      </c>
      <c r="U4774" s="8">
        <v>12.8</v>
      </c>
      <c r="V4774" s="8">
        <v>1.3</v>
      </c>
      <c r="W4774" s="8">
        <v>1</v>
      </c>
      <c r="X4774" s="8">
        <v>88</v>
      </c>
      <c r="Y4774" s="8" t="s">
        <v>1511</v>
      </c>
      <c r="Z4774" s="8" t="s">
        <v>1512</v>
      </c>
    </row>
    <row r="4775" spans="1:26" x14ac:dyDescent="0.2">
      <c r="A4775" s="8">
        <v>4774</v>
      </c>
      <c r="B4775" s="8" t="s">
        <v>21537</v>
      </c>
      <c r="C4775" s="8" t="s">
        <v>21537</v>
      </c>
      <c r="F4775" s="47" t="s">
        <v>57585</v>
      </c>
      <c r="G4775" s="8">
        <v>14</v>
      </c>
      <c r="H4775" s="8" t="s">
        <v>21538</v>
      </c>
      <c r="I4775" s="8" t="s">
        <v>22</v>
      </c>
      <c r="J4775" s="8" t="s">
        <v>22</v>
      </c>
      <c r="K4775" s="8" t="s">
        <v>21539</v>
      </c>
      <c r="L4775" s="8" t="s">
        <v>18681</v>
      </c>
      <c r="M4775" s="8" t="s">
        <v>18682</v>
      </c>
      <c r="N4775" s="8" t="s">
        <v>21540</v>
      </c>
      <c r="O4775" s="8">
        <f>12+53/60+6.6/3600</f>
        <v>12.885166666666667</v>
      </c>
      <c r="P4775" s="8" t="s">
        <v>21541</v>
      </c>
      <c r="Q4775" s="8">
        <f>+(36+49/60+8/3600)</f>
        <v>36.818888888888893</v>
      </c>
      <c r="R4775" s="8">
        <v>14.3</v>
      </c>
      <c r="S4775" s="8">
        <v>14.8</v>
      </c>
      <c r="T4775" s="8">
        <v>0.5</v>
      </c>
      <c r="U4775" s="8">
        <v>12.5</v>
      </c>
      <c r="V4775" s="8">
        <v>0.6</v>
      </c>
      <c r="W4775" s="8">
        <v>0.4</v>
      </c>
      <c r="X4775" s="8">
        <v>90</v>
      </c>
      <c r="Y4775" s="8" t="s">
        <v>21542</v>
      </c>
      <c r="Z4775" s="8" t="s">
        <v>21543</v>
      </c>
    </row>
    <row r="4776" spans="1:26" x14ac:dyDescent="0.2">
      <c r="A4776" s="8">
        <v>4775</v>
      </c>
      <c r="B4776" s="8" t="s">
        <v>21544</v>
      </c>
      <c r="C4776" s="8" t="s">
        <v>21544</v>
      </c>
      <c r="F4776" s="47" t="s">
        <v>57586</v>
      </c>
      <c r="G4776" s="8">
        <v>13</v>
      </c>
      <c r="H4776" s="8" t="s">
        <v>21</v>
      </c>
      <c r="I4776" s="8" t="s">
        <v>22</v>
      </c>
      <c r="J4776" s="8" t="s">
        <v>22</v>
      </c>
      <c r="K4776" s="8" t="s">
        <v>579</v>
      </c>
      <c r="L4776" s="8" t="s">
        <v>17287</v>
      </c>
      <c r="M4776" s="8" t="s">
        <v>17288</v>
      </c>
      <c r="N4776" s="8" t="s">
        <v>21545</v>
      </c>
      <c r="O4776" s="8">
        <f>12+53/60+45.9/3600</f>
        <v>12.896083333333333</v>
      </c>
      <c r="P4776" s="8" t="s">
        <v>21546</v>
      </c>
      <c r="Q4776" s="8">
        <f>-(6+37/60+22/3600)</f>
        <v>-6.6227777777777783</v>
      </c>
      <c r="R4776" s="8">
        <v>11.1</v>
      </c>
      <c r="S4776" s="8">
        <v>11.8</v>
      </c>
      <c r="T4776" s="8">
        <v>0.7</v>
      </c>
      <c r="U4776" s="8">
        <v>12.6</v>
      </c>
      <c r="V4776" s="8">
        <v>2.2000000000000002</v>
      </c>
      <c r="W4776" s="8">
        <v>2.1</v>
      </c>
      <c r="X4776" s="8">
        <v>75</v>
      </c>
      <c r="Y4776" s="8" t="s">
        <v>21547</v>
      </c>
      <c r="Z4776" s="8" t="s">
        <v>21548</v>
      </c>
    </row>
    <row r="4777" spans="1:26" x14ac:dyDescent="0.2">
      <c r="A4777" s="8">
        <v>4776</v>
      </c>
      <c r="B4777" s="8" t="s">
        <v>21549</v>
      </c>
      <c r="C4777" s="8" t="s">
        <v>21549</v>
      </c>
      <c r="F4777" s="47"/>
      <c r="G4777" s="8">
        <v>16</v>
      </c>
      <c r="H4777" s="8" t="s">
        <v>21</v>
      </c>
      <c r="I4777" s="8" t="s">
        <v>22</v>
      </c>
      <c r="J4777" s="8" t="s">
        <v>57</v>
      </c>
      <c r="K4777" s="8" t="s">
        <v>37</v>
      </c>
      <c r="L4777" s="8" t="s">
        <v>17287</v>
      </c>
      <c r="M4777" s="8" t="s">
        <v>17288</v>
      </c>
      <c r="N4777" s="8" t="s">
        <v>21476</v>
      </c>
      <c r="O4777" s="8">
        <f>12+53/60+4.5/3600</f>
        <v>12.884583333333333</v>
      </c>
      <c r="P4777" s="8" t="s">
        <v>21477</v>
      </c>
      <c r="Q4777" s="8">
        <f>-(9+11/60+59/3600)</f>
        <v>-9.1997222222222224</v>
      </c>
      <c r="R4777" s="8">
        <v>13</v>
      </c>
      <c r="S4777" s="8">
        <v>14</v>
      </c>
      <c r="T4777" s="8">
        <v>1</v>
      </c>
      <c r="U4777" s="8">
        <v>12.7</v>
      </c>
      <c r="V4777" s="8">
        <v>1.9</v>
      </c>
      <c r="W4777" s="8">
        <v>1.7</v>
      </c>
      <c r="X4777" s="8">
        <v>5</v>
      </c>
      <c r="Y4777" s="8" t="s">
        <v>21550</v>
      </c>
      <c r="Z4777" s="8" t="s">
        <v>21551</v>
      </c>
    </row>
    <row r="4778" spans="1:26" x14ac:dyDescent="0.2">
      <c r="A4778" s="8">
        <v>4777</v>
      </c>
      <c r="B4778" s="8" t="s">
        <v>21552</v>
      </c>
      <c r="C4778" s="8" t="s">
        <v>21552</v>
      </c>
      <c r="F4778" s="47" t="s">
        <v>57587</v>
      </c>
      <c r="G4778" s="8">
        <v>15</v>
      </c>
      <c r="H4778" s="8" t="s">
        <v>21</v>
      </c>
      <c r="I4778" s="8" t="s">
        <v>22</v>
      </c>
      <c r="J4778" s="8" t="s">
        <v>22</v>
      </c>
      <c r="K4778" s="8" t="s">
        <v>91</v>
      </c>
      <c r="L4778" s="8" t="s">
        <v>17287</v>
      </c>
      <c r="M4778" s="8" t="s">
        <v>17288</v>
      </c>
      <c r="N4778" s="8" t="s">
        <v>21553</v>
      </c>
      <c r="O4778" s="8">
        <f>12+53/60+58.5/3600</f>
        <v>12.899583333333332</v>
      </c>
      <c r="P4778" s="8" t="s">
        <v>21554</v>
      </c>
      <c r="Q4778" s="8">
        <f>-(8+46/60+31/3600)</f>
        <v>-8.7752777777777791</v>
      </c>
      <c r="R4778" s="8">
        <v>13.1</v>
      </c>
      <c r="S4778" s="8">
        <v>14</v>
      </c>
      <c r="T4778" s="8">
        <v>0.9</v>
      </c>
      <c r="U4778" s="8">
        <v>13.5</v>
      </c>
      <c r="V4778" s="8">
        <v>1.9</v>
      </c>
      <c r="W4778" s="8">
        <v>0.8</v>
      </c>
      <c r="X4778" s="8">
        <v>15</v>
      </c>
      <c r="Y4778" s="8" t="s">
        <v>1511</v>
      </c>
      <c r="Z4778" s="8" t="s">
        <v>1512</v>
      </c>
    </row>
    <row r="4779" spans="1:26" x14ac:dyDescent="0.2">
      <c r="A4779" s="8">
        <v>4778</v>
      </c>
      <c r="B4779" s="8" t="s">
        <v>21555</v>
      </c>
      <c r="C4779" s="8" t="s">
        <v>21555</v>
      </c>
      <c r="F4779" s="47"/>
      <c r="G4779" s="8">
        <v>16</v>
      </c>
      <c r="H4779" s="8" t="s">
        <v>21</v>
      </c>
      <c r="I4779" s="8" t="s">
        <v>22</v>
      </c>
      <c r="J4779" s="8" t="s">
        <v>22</v>
      </c>
      <c r="K4779" s="8" t="s">
        <v>632</v>
      </c>
      <c r="L4779" s="8" t="s">
        <v>17287</v>
      </c>
      <c r="M4779" s="8" t="s">
        <v>17288</v>
      </c>
      <c r="N4779" s="8" t="s">
        <v>21556</v>
      </c>
      <c r="O4779" s="8">
        <f>12+53/60+5.7/3600</f>
        <v>12.884916666666665</v>
      </c>
      <c r="P4779" s="8" t="s">
        <v>21557</v>
      </c>
      <c r="Q4779" s="8">
        <f>-(9+12/60+14/3600)</f>
        <v>-9.2038888888888888</v>
      </c>
      <c r="R4779" s="8">
        <v>12.5</v>
      </c>
      <c r="S4779" s="8">
        <v>13.6</v>
      </c>
      <c r="T4779" s="8">
        <v>1.1000000000000001</v>
      </c>
      <c r="U4779" s="8">
        <v>13.6</v>
      </c>
      <c r="V4779" s="8">
        <v>1.7</v>
      </c>
      <c r="W4779" s="8">
        <v>1.1000000000000001</v>
      </c>
      <c r="X4779" s="8">
        <v>100</v>
      </c>
      <c r="Y4779" s="8" t="s">
        <v>21558</v>
      </c>
      <c r="Z4779" s="8" t="s">
        <v>21559</v>
      </c>
    </row>
    <row r="4780" spans="1:26" x14ac:dyDescent="0.2">
      <c r="A4780" s="8">
        <v>4779</v>
      </c>
      <c r="B4780" s="8" t="s">
        <v>21560</v>
      </c>
      <c r="C4780" s="8" t="s">
        <v>21560</v>
      </c>
      <c r="F4780" s="47" t="s">
        <v>57588</v>
      </c>
      <c r="G4780" s="8">
        <v>15</v>
      </c>
      <c r="H4780" s="8" t="s">
        <v>21</v>
      </c>
      <c r="I4780" s="8" t="s">
        <v>22</v>
      </c>
      <c r="J4780" s="8" t="s">
        <v>22</v>
      </c>
      <c r="K4780" s="8" t="s">
        <v>85</v>
      </c>
      <c r="L4780" s="8" t="s">
        <v>17287</v>
      </c>
      <c r="M4780" s="8" t="s">
        <v>17288</v>
      </c>
      <c r="N4780" s="8" t="s">
        <v>21561</v>
      </c>
      <c r="O4780" s="8">
        <f>12+53/60+50.7/3600</f>
        <v>12.897416666666667</v>
      </c>
      <c r="P4780" s="8" t="s">
        <v>21562</v>
      </c>
      <c r="Q4780" s="8">
        <f>+(9+42/60+33/3600)</f>
        <v>9.7091666666666665</v>
      </c>
      <c r="R4780" s="8">
        <v>12.6</v>
      </c>
      <c r="S4780" s="8">
        <v>13.2</v>
      </c>
      <c r="T4780" s="8">
        <v>0.6</v>
      </c>
      <c r="U4780" s="8">
        <v>13.9</v>
      </c>
      <c r="V4780" s="8">
        <v>2.1</v>
      </c>
      <c r="W4780" s="8">
        <v>1.8</v>
      </c>
      <c r="X4780" s="8">
        <v>70</v>
      </c>
      <c r="Y4780" s="8" t="s">
        <v>21563</v>
      </c>
      <c r="Z4780" s="8" t="s">
        <v>21564</v>
      </c>
    </row>
    <row r="4781" spans="1:26" x14ac:dyDescent="0.2">
      <c r="A4781" s="8">
        <v>4780</v>
      </c>
      <c r="B4781" s="8" t="s">
        <v>21565</v>
      </c>
      <c r="C4781" s="8" t="s">
        <v>21565</v>
      </c>
      <c r="F4781" s="47"/>
      <c r="G4781" s="8">
        <v>19</v>
      </c>
      <c r="H4781" s="8" t="s">
        <v>21</v>
      </c>
      <c r="I4781" s="8" t="s">
        <v>22</v>
      </c>
      <c r="J4781" s="8" t="s">
        <v>22</v>
      </c>
      <c r="K4781" s="8" t="s">
        <v>64</v>
      </c>
      <c r="L4781" s="8" t="s">
        <v>17287</v>
      </c>
      <c r="M4781" s="8" t="s">
        <v>17288</v>
      </c>
      <c r="N4781" s="8" t="s">
        <v>21566</v>
      </c>
      <c r="O4781" s="8">
        <f>12+54/60+5.2/3600</f>
        <v>12.901444444444445</v>
      </c>
      <c r="P4781" s="8" t="s">
        <v>21567</v>
      </c>
      <c r="Q4781" s="8">
        <f>-(8+37/60+15/3600)</f>
        <v>-8.6208333333333336</v>
      </c>
      <c r="R4781" s="8">
        <v>13.4</v>
      </c>
      <c r="S4781" s="8">
        <v>14.1</v>
      </c>
      <c r="T4781" s="8">
        <v>0.7</v>
      </c>
      <c r="U4781" s="8">
        <v>14.3</v>
      </c>
      <c r="V4781" s="8">
        <v>1.8</v>
      </c>
      <c r="W4781" s="8">
        <v>1.5</v>
      </c>
      <c r="X4781" s="8">
        <v>18</v>
      </c>
      <c r="Y4781" s="8" t="s">
        <v>21</v>
      </c>
      <c r="Z4781" s="8" t="s">
        <v>21568</v>
      </c>
    </row>
    <row r="4782" spans="1:26" x14ac:dyDescent="0.2">
      <c r="A4782" s="8">
        <v>4781</v>
      </c>
      <c r="B4782" s="8" t="s">
        <v>21569</v>
      </c>
      <c r="C4782" s="8" t="s">
        <v>21569</v>
      </c>
      <c r="F4782" s="47" t="s">
        <v>57589</v>
      </c>
      <c r="G4782" s="8">
        <v>6</v>
      </c>
      <c r="H4782" s="8" t="s">
        <v>21</v>
      </c>
      <c r="I4782" s="8" t="s">
        <v>22</v>
      </c>
      <c r="J4782" s="8" t="s">
        <v>22</v>
      </c>
      <c r="K4782" s="8" t="s">
        <v>1277</v>
      </c>
      <c r="L4782" s="8" t="s">
        <v>17287</v>
      </c>
      <c r="M4782" s="8" t="s">
        <v>17288</v>
      </c>
      <c r="N4782" s="8" t="s">
        <v>21570</v>
      </c>
      <c r="O4782" s="8">
        <f>12+54/60+23.6/3600</f>
        <v>12.906555555555556</v>
      </c>
      <c r="P4782" s="8" t="s">
        <v>21571</v>
      </c>
      <c r="Q4782" s="8">
        <f>-(10+32/60+10/3600)</f>
        <v>-10.536111111111111</v>
      </c>
      <c r="R4782" s="8">
        <v>11.1</v>
      </c>
      <c r="S4782" s="8">
        <v>11.8</v>
      </c>
      <c r="T4782" s="8">
        <v>0.7</v>
      </c>
      <c r="U4782" s="8">
        <v>12.6</v>
      </c>
      <c r="V4782" s="8">
        <v>3.4</v>
      </c>
      <c r="W4782" s="8">
        <v>1.4</v>
      </c>
      <c r="X4782" s="8">
        <v>120</v>
      </c>
      <c r="Y4782" s="8" t="s">
        <v>21572</v>
      </c>
      <c r="Z4782" s="8" t="s">
        <v>21573</v>
      </c>
    </row>
    <row r="4783" spans="1:26" x14ac:dyDescent="0.2">
      <c r="A4783" s="8">
        <v>4782</v>
      </c>
      <c r="B4783" s="8" t="s">
        <v>21574</v>
      </c>
      <c r="C4783" s="8" t="s">
        <v>21574</v>
      </c>
      <c r="F4783" s="47" t="s">
        <v>57590</v>
      </c>
      <c r="G4783" s="8">
        <v>9</v>
      </c>
      <c r="H4783" s="8" t="s">
        <v>21</v>
      </c>
      <c r="I4783" s="8" t="s">
        <v>22</v>
      </c>
      <c r="J4783" s="8" t="s">
        <v>22</v>
      </c>
      <c r="K4783" s="8" t="s">
        <v>183</v>
      </c>
      <c r="L4783" s="8" t="s">
        <v>15925</v>
      </c>
      <c r="M4783" s="8" t="s">
        <v>15926</v>
      </c>
      <c r="N4783" s="8" t="s">
        <v>21575</v>
      </c>
      <c r="O4783" s="8">
        <f>12+54/60+35.8/3600</f>
        <v>12.909944444444445</v>
      </c>
      <c r="P4783" s="8" t="s">
        <v>17293</v>
      </c>
      <c r="Q4783" s="8">
        <f>-(12+34/60+9/3600)</f>
        <v>-12.569166666666666</v>
      </c>
      <c r="R4783" s="8">
        <v>11.7</v>
      </c>
      <c r="S4783" s="8">
        <v>12.7</v>
      </c>
      <c r="T4783" s="8">
        <v>1</v>
      </c>
      <c r="U4783" s="8">
        <v>13</v>
      </c>
      <c r="V4783" s="8">
        <v>1.8</v>
      </c>
      <c r="W4783" s="8">
        <v>1.7</v>
      </c>
      <c r="X4783" s="8">
        <v>155</v>
      </c>
      <c r="Y4783" s="8" t="s">
        <v>21576</v>
      </c>
      <c r="Z4783" s="8" t="s">
        <v>21577</v>
      </c>
    </row>
    <row r="4784" spans="1:26" x14ac:dyDescent="0.2">
      <c r="A4784" s="8">
        <v>4783</v>
      </c>
      <c r="B4784" s="8" t="s">
        <v>21578</v>
      </c>
      <c r="C4784" s="8" t="s">
        <v>21578</v>
      </c>
      <c r="F4784" s="47" t="s">
        <v>57591</v>
      </c>
      <c r="G4784" s="8">
        <v>9</v>
      </c>
      <c r="H4784" s="8" t="s">
        <v>21</v>
      </c>
      <c r="I4784" s="8" t="s">
        <v>22</v>
      </c>
      <c r="J4784" s="8" t="s">
        <v>22</v>
      </c>
      <c r="K4784" s="8" t="s">
        <v>21579</v>
      </c>
      <c r="L4784" s="8" t="s">
        <v>15925</v>
      </c>
      <c r="M4784" s="8" t="s">
        <v>15926</v>
      </c>
      <c r="N4784" s="8" t="s">
        <v>21580</v>
      </c>
      <c r="O4784" s="8">
        <f>12+54/60+36.4/3600</f>
        <v>12.910111111111112</v>
      </c>
      <c r="P4784" s="8" t="s">
        <v>19628</v>
      </c>
      <c r="Q4784" s="8">
        <f>-(12+33/60+29/3600)</f>
        <v>-12.558055555555557</v>
      </c>
      <c r="R4784" s="8">
        <v>11.6</v>
      </c>
      <c r="S4784" s="8">
        <v>12.6</v>
      </c>
      <c r="T4784" s="8">
        <v>1</v>
      </c>
      <c r="U4784" s="8">
        <v>12.2</v>
      </c>
      <c r="V4784" s="8">
        <v>2.2999999999999998</v>
      </c>
      <c r="W4784" s="8">
        <v>1.3</v>
      </c>
      <c r="X4784" s="8">
        <v>105</v>
      </c>
      <c r="Y4784" s="8" t="s">
        <v>21581</v>
      </c>
      <c r="Z4784" s="8" t="s">
        <v>21582</v>
      </c>
    </row>
    <row r="4785" spans="1:26" x14ac:dyDescent="0.2">
      <c r="A4785" s="8">
        <v>4784</v>
      </c>
      <c r="B4785" s="8" t="s">
        <v>21583</v>
      </c>
      <c r="C4785" s="8" t="s">
        <v>21583</v>
      </c>
      <c r="F4785" s="47" t="s">
        <v>57592</v>
      </c>
      <c r="G4785" s="8">
        <v>15</v>
      </c>
      <c r="H4785" s="8" t="s">
        <v>21</v>
      </c>
      <c r="I4785" s="8" t="s">
        <v>22</v>
      </c>
      <c r="J4785" s="8" t="s">
        <v>22</v>
      </c>
      <c r="K4785" s="8" t="s">
        <v>37</v>
      </c>
      <c r="L4785" s="8" t="s">
        <v>17287</v>
      </c>
      <c r="M4785" s="8" t="s">
        <v>17288</v>
      </c>
      <c r="N4785" s="8" t="s">
        <v>21584</v>
      </c>
      <c r="O4785" s="8">
        <f>12+54/60+37/3600</f>
        <v>12.910277777777779</v>
      </c>
      <c r="P4785" s="8" t="s">
        <v>21585</v>
      </c>
      <c r="Q4785" s="8">
        <f>-(10+36/60+46/3600)</f>
        <v>-10.612777777777778</v>
      </c>
      <c r="R4785" s="8">
        <v>13.6</v>
      </c>
      <c r="S4785" s="8">
        <v>14.6</v>
      </c>
      <c r="T4785" s="8">
        <v>1</v>
      </c>
      <c r="U4785" s="8">
        <v>13.1</v>
      </c>
      <c r="V4785" s="8">
        <v>1.9</v>
      </c>
      <c r="W4785" s="8">
        <v>0.4</v>
      </c>
      <c r="X4785" s="8">
        <v>104</v>
      </c>
      <c r="Y4785" s="8" t="s">
        <v>962</v>
      </c>
      <c r="Z4785" s="8" t="s">
        <v>963</v>
      </c>
    </row>
    <row r="4786" spans="1:26" x14ac:dyDescent="0.2">
      <c r="A4786" s="8">
        <v>4785</v>
      </c>
      <c r="B4786" s="8" t="s">
        <v>21586</v>
      </c>
      <c r="C4786" s="8" t="s">
        <v>21586</v>
      </c>
      <c r="F4786" s="47"/>
      <c r="G4786" s="8">
        <v>16</v>
      </c>
      <c r="H4786" s="8" t="s">
        <v>21</v>
      </c>
      <c r="I4786" s="8" t="s">
        <v>22</v>
      </c>
      <c r="J4786" s="8" t="s">
        <v>22</v>
      </c>
      <c r="K4786" s="8" t="s">
        <v>23</v>
      </c>
      <c r="L4786" s="8" t="s">
        <v>16195</v>
      </c>
      <c r="M4786" s="8" t="s">
        <v>16196</v>
      </c>
      <c r="N4786" s="8" t="s">
        <v>21495</v>
      </c>
      <c r="O4786" s="8">
        <f>12+53/60+27.1/3600</f>
        <v>12.890861111111111</v>
      </c>
      <c r="P4786" s="8" t="s">
        <v>21587</v>
      </c>
      <c r="Q4786" s="8">
        <f>-(48+44/60+59/3600)</f>
        <v>-48.749722222222225</v>
      </c>
      <c r="R4786" s="8">
        <v>12.4</v>
      </c>
      <c r="S4786" s="8">
        <v>13.2</v>
      </c>
      <c r="T4786" s="8">
        <v>0.8</v>
      </c>
      <c r="U4786" s="8">
        <v>13</v>
      </c>
      <c r="V4786" s="8">
        <v>2</v>
      </c>
      <c r="W4786" s="8">
        <v>1</v>
      </c>
      <c r="X4786" s="8">
        <v>81</v>
      </c>
      <c r="Y4786" s="8" t="s">
        <v>2067</v>
      </c>
      <c r="Z4786" s="8" t="s">
        <v>2068</v>
      </c>
    </row>
    <row r="4787" spans="1:26" x14ac:dyDescent="0.2">
      <c r="A4787" s="8">
        <v>4786</v>
      </c>
      <c r="B4787" s="8" t="s">
        <v>21588</v>
      </c>
      <c r="C4787" s="8" t="s">
        <v>21588</v>
      </c>
      <c r="F4787" s="47" t="s">
        <v>57593</v>
      </c>
      <c r="G4787" s="8">
        <v>13</v>
      </c>
      <c r="H4787" s="8" t="s">
        <v>21</v>
      </c>
      <c r="I4787" s="8" t="s">
        <v>22</v>
      </c>
      <c r="J4787" s="8" t="s">
        <v>22</v>
      </c>
      <c r="K4787" s="8" t="s">
        <v>1136</v>
      </c>
      <c r="L4787" s="8" t="s">
        <v>17287</v>
      </c>
      <c r="M4787" s="8" t="s">
        <v>17288</v>
      </c>
      <c r="N4787" s="8" t="s">
        <v>21589</v>
      </c>
      <c r="O4787" s="8">
        <f>12+54/60+32.3/3600</f>
        <v>12.908972222222223</v>
      </c>
      <c r="P4787" s="8" t="s">
        <v>21590</v>
      </c>
      <c r="Q4787" s="8">
        <f>-(6+51/60+33/3600)</f>
        <v>-6.859166666666666</v>
      </c>
      <c r="R4787" s="8">
        <v>11.7</v>
      </c>
      <c r="S4787" s="8">
        <v>12.7</v>
      </c>
      <c r="T4787" s="8">
        <v>1</v>
      </c>
      <c r="U4787" s="8">
        <v>12.4</v>
      </c>
      <c r="V4787" s="8">
        <v>1.6</v>
      </c>
      <c r="W4787" s="8">
        <v>1.3</v>
      </c>
      <c r="X4787" s="8">
        <v>170</v>
      </c>
      <c r="Y4787" s="8" t="s">
        <v>21591</v>
      </c>
      <c r="Z4787" s="8" t="s">
        <v>21592</v>
      </c>
    </row>
    <row r="4788" spans="1:26" x14ac:dyDescent="0.2">
      <c r="A4788" s="8">
        <v>4787</v>
      </c>
      <c r="B4788" s="8" t="s">
        <v>21593</v>
      </c>
      <c r="C4788" s="8" t="s">
        <v>21593</v>
      </c>
      <c r="F4788" s="47"/>
      <c r="G4788" s="8">
        <v>18</v>
      </c>
      <c r="H4788" s="8" t="s">
        <v>21</v>
      </c>
      <c r="I4788" s="8" t="s">
        <v>22</v>
      </c>
      <c r="J4788" s="8" t="s">
        <v>22</v>
      </c>
      <c r="K4788" s="8" t="s">
        <v>632</v>
      </c>
      <c r="L4788" s="8" t="s">
        <v>18289</v>
      </c>
      <c r="M4788" s="8" t="s">
        <v>18290</v>
      </c>
      <c r="N4788" s="8" t="s">
        <v>21594</v>
      </c>
      <c r="O4788" s="8">
        <f>12+54/60+5.8/3600</f>
        <v>12.901611111111112</v>
      </c>
      <c r="P4788" s="8" t="s">
        <v>21595</v>
      </c>
      <c r="Q4788" s="8">
        <f>+(27+4/60+6/3600)</f>
        <v>27.068333333333332</v>
      </c>
      <c r="R4788" s="8">
        <v>14.4</v>
      </c>
      <c r="S4788" s="8">
        <v>15.3</v>
      </c>
      <c r="T4788" s="8">
        <v>0.9</v>
      </c>
      <c r="U4788" s="8">
        <v>13.2</v>
      </c>
      <c r="V4788" s="8">
        <v>1.1000000000000001</v>
      </c>
      <c r="W4788" s="8">
        <v>0.3</v>
      </c>
      <c r="X4788" s="8">
        <v>2</v>
      </c>
      <c r="Y4788" s="8" t="s">
        <v>21</v>
      </c>
      <c r="Z4788" s="8" t="s">
        <v>21596</v>
      </c>
    </row>
    <row r="4789" spans="1:26" x14ac:dyDescent="0.2">
      <c r="A4789" s="8">
        <v>4788</v>
      </c>
      <c r="B4789" s="8" t="s">
        <v>21597</v>
      </c>
      <c r="C4789" s="8" t="s">
        <v>21597</v>
      </c>
      <c r="F4789" s="47"/>
      <c r="G4789" s="8">
        <v>18</v>
      </c>
      <c r="H4789" s="8" t="s">
        <v>21</v>
      </c>
      <c r="I4789" s="8" t="s">
        <v>22</v>
      </c>
      <c r="J4789" s="8" t="s">
        <v>22</v>
      </c>
      <c r="K4789" s="8" t="s">
        <v>435</v>
      </c>
      <c r="L4789" s="8" t="s">
        <v>18289</v>
      </c>
      <c r="M4789" s="8" t="s">
        <v>18290</v>
      </c>
      <c r="N4789" s="8" t="s">
        <v>21598</v>
      </c>
      <c r="O4789" s="8">
        <f>12+54/60+16.2/3600</f>
        <v>12.904500000000001</v>
      </c>
      <c r="P4789" s="8" t="s">
        <v>21599</v>
      </c>
      <c r="Q4789" s="8">
        <f>+(27+18/60+11/3600)</f>
        <v>27.303055555555556</v>
      </c>
      <c r="R4789" s="8">
        <v>14.4</v>
      </c>
      <c r="S4789" s="8">
        <v>15.3</v>
      </c>
      <c r="T4789" s="8">
        <v>0.9</v>
      </c>
      <c r="U4789" s="8">
        <v>13</v>
      </c>
      <c r="V4789" s="8">
        <v>0.8</v>
      </c>
      <c r="W4789" s="8">
        <v>0.3</v>
      </c>
      <c r="X4789" s="8">
        <v>141</v>
      </c>
      <c r="Y4789" s="8" t="s">
        <v>1511</v>
      </c>
      <c r="Z4789" s="8" t="s">
        <v>1512</v>
      </c>
    </row>
    <row r="4790" spans="1:26" x14ac:dyDescent="0.2">
      <c r="A4790" s="8">
        <v>4789</v>
      </c>
      <c r="B4790" s="8" t="s">
        <v>21600</v>
      </c>
      <c r="C4790" s="8" t="s">
        <v>21600</v>
      </c>
      <c r="F4790" s="47" t="s">
        <v>57594</v>
      </c>
      <c r="G4790" s="8">
        <v>15</v>
      </c>
      <c r="H4790" s="8" t="s">
        <v>21</v>
      </c>
      <c r="I4790" s="8" t="s">
        <v>22</v>
      </c>
      <c r="J4790" s="8" t="s">
        <v>22</v>
      </c>
      <c r="K4790" s="8" t="s">
        <v>37</v>
      </c>
      <c r="L4790" s="8" t="s">
        <v>18289</v>
      </c>
      <c r="M4790" s="8" t="s">
        <v>18290</v>
      </c>
      <c r="N4790" s="8" t="s">
        <v>21601</v>
      </c>
      <c r="O4790" s="8">
        <f>12+54/60+19.2/3600</f>
        <v>12.905333333333333</v>
      </c>
      <c r="P4790" s="8" t="s">
        <v>21602</v>
      </c>
      <c r="Q4790" s="8">
        <f>+(27+4/60+4/3600)</f>
        <v>27.067777777777778</v>
      </c>
      <c r="R4790" s="8">
        <v>12.1</v>
      </c>
      <c r="S4790" s="8">
        <v>13.1</v>
      </c>
      <c r="T4790" s="8">
        <v>1</v>
      </c>
      <c r="U4790" s="8">
        <v>13.1</v>
      </c>
      <c r="V4790" s="8">
        <v>1.9</v>
      </c>
      <c r="W4790" s="8">
        <v>1.5</v>
      </c>
      <c r="X4790" s="8">
        <v>171</v>
      </c>
      <c r="Y4790" s="8" t="s">
        <v>21</v>
      </c>
      <c r="Z4790" s="8" t="s">
        <v>21603</v>
      </c>
    </row>
    <row r="4791" spans="1:26" x14ac:dyDescent="0.2">
      <c r="A4791" s="8">
        <v>4790</v>
      </c>
      <c r="B4791" s="8" t="s">
        <v>21604</v>
      </c>
      <c r="C4791" s="8" t="s">
        <v>21604</v>
      </c>
      <c r="F4791" s="47" t="s">
        <v>57595</v>
      </c>
      <c r="G4791" s="8">
        <v>11</v>
      </c>
      <c r="H4791" s="8" t="s">
        <v>21</v>
      </c>
      <c r="I4791" s="8" t="s">
        <v>22</v>
      </c>
      <c r="J4791" s="8" t="s">
        <v>22</v>
      </c>
      <c r="K4791" s="8" t="s">
        <v>64</v>
      </c>
      <c r="L4791" s="8" t="s">
        <v>17287</v>
      </c>
      <c r="M4791" s="8" t="s">
        <v>17288</v>
      </c>
      <c r="N4791" s="8" t="s">
        <v>21605</v>
      </c>
      <c r="O4791" s="8">
        <f>12+54/60+51.9/3600</f>
        <v>12.914416666666668</v>
      </c>
      <c r="P4791" s="8" t="s">
        <v>21606</v>
      </c>
      <c r="Q4791" s="8">
        <f>-(10+14/60+52/3600)</f>
        <v>-10.247777777777777</v>
      </c>
      <c r="R4791" s="8">
        <v>12.4</v>
      </c>
      <c r="S4791" s="8">
        <v>13.1</v>
      </c>
      <c r="T4791" s="8">
        <v>0.7</v>
      </c>
      <c r="U4791" s="8">
        <v>12.6</v>
      </c>
      <c r="V4791" s="8">
        <v>1.5</v>
      </c>
      <c r="W4791" s="8">
        <v>0.9</v>
      </c>
      <c r="X4791" s="8">
        <v>90</v>
      </c>
      <c r="Y4791" s="8" t="s">
        <v>21607</v>
      </c>
      <c r="Z4791" s="8" t="s">
        <v>21608</v>
      </c>
    </row>
    <row r="4792" spans="1:26" x14ac:dyDescent="0.2">
      <c r="A4792" s="8">
        <v>4791</v>
      </c>
      <c r="B4792" s="8" t="s">
        <v>21609</v>
      </c>
      <c r="C4792" s="8" t="s">
        <v>21609</v>
      </c>
      <c r="F4792" s="47"/>
      <c r="G4792" s="8">
        <v>18</v>
      </c>
      <c r="H4792" s="8" t="s">
        <v>21</v>
      </c>
      <c r="I4792" s="8" t="s">
        <v>22</v>
      </c>
      <c r="J4792" s="8" t="s">
        <v>22</v>
      </c>
      <c r="K4792" s="8" t="s">
        <v>449</v>
      </c>
      <c r="L4792" s="8" t="s">
        <v>17287</v>
      </c>
      <c r="M4792" s="8" t="s">
        <v>17288</v>
      </c>
      <c r="N4792" s="8" t="s">
        <v>21610</v>
      </c>
      <c r="O4792" s="8">
        <f>12+54/60+43.9/3600</f>
        <v>12.912194444444445</v>
      </c>
      <c r="P4792" s="8" t="s">
        <v>21611</v>
      </c>
      <c r="Q4792" s="8">
        <f>+(8+3/60+13/3600)</f>
        <v>8.0536111111111115</v>
      </c>
      <c r="R4792" s="8">
        <v>14.1</v>
      </c>
      <c r="S4792" s="8">
        <v>14.9</v>
      </c>
      <c r="T4792" s="8">
        <v>0.8</v>
      </c>
      <c r="U4792" s="8">
        <v>14.1</v>
      </c>
      <c r="V4792" s="8">
        <v>1.3</v>
      </c>
      <c r="W4792" s="8">
        <v>0.9</v>
      </c>
      <c r="X4792" s="8">
        <v>70</v>
      </c>
      <c r="Y4792" s="8" t="s">
        <v>21612</v>
      </c>
      <c r="Z4792" s="8" t="s">
        <v>21613</v>
      </c>
    </row>
    <row r="4793" spans="1:26" x14ac:dyDescent="0.2">
      <c r="A4793" s="8">
        <v>4792</v>
      </c>
      <c r="B4793" s="8" t="s">
        <v>21614</v>
      </c>
      <c r="C4793" s="8" t="s">
        <v>21614</v>
      </c>
      <c r="F4793" s="47"/>
      <c r="G4793" s="8">
        <v>19</v>
      </c>
      <c r="H4793" s="8" t="s">
        <v>21</v>
      </c>
      <c r="I4793" s="8" t="s">
        <v>22</v>
      </c>
      <c r="J4793" s="8" t="s">
        <v>22</v>
      </c>
      <c r="K4793" s="8" t="s">
        <v>37</v>
      </c>
      <c r="L4793" s="8" t="s">
        <v>15925</v>
      </c>
      <c r="M4793" s="8" t="s">
        <v>15926</v>
      </c>
      <c r="N4793" s="8" t="s">
        <v>21615</v>
      </c>
      <c r="O4793" s="8">
        <f>12+55/60+3.6/3600</f>
        <v>12.917666666666666</v>
      </c>
      <c r="P4793" s="8" t="s">
        <v>21616</v>
      </c>
      <c r="Q4793" s="8">
        <f>-(12+29/60+48/3600)</f>
        <v>-12.496666666666666</v>
      </c>
      <c r="R4793" s="8">
        <v>14.2</v>
      </c>
      <c r="S4793" s="8">
        <v>15.2</v>
      </c>
      <c r="T4793" s="8">
        <v>1</v>
      </c>
      <c r="U4793" s="8">
        <v>12.4</v>
      </c>
      <c r="V4793" s="8">
        <v>0.7</v>
      </c>
      <c r="W4793" s="8">
        <v>0.3</v>
      </c>
      <c r="X4793" s="8">
        <v>140</v>
      </c>
      <c r="Y4793" s="8" t="s">
        <v>21</v>
      </c>
      <c r="Z4793" s="8" t="s">
        <v>21617</v>
      </c>
    </row>
    <row r="4794" spans="1:26" x14ac:dyDescent="0.2">
      <c r="A4794" s="8">
        <v>4793</v>
      </c>
      <c r="B4794" s="8" t="s">
        <v>21618</v>
      </c>
      <c r="C4794" s="8" t="s">
        <v>21618</v>
      </c>
      <c r="F4794" s="47" t="s">
        <v>57596</v>
      </c>
      <c r="G4794" s="8">
        <v>7</v>
      </c>
      <c r="H4794" s="8" t="s">
        <v>21</v>
      </c>
      <c r="I4794" s="8" t="s">
        <v>22</v>
      </c>
      <c r="J4794" s="8" t="s">
        <v>22</v>
      </c>
      <c r="K4794" s="8" t="s">
        <v>64</v>
      </c>
      <c r="L4794" s="8" t="s">
        <v>18289</v>
      </c>
      <c r="M4794" s="8" t="s">
        <v>18290</v>
      </c>
      <c r="N4794" s="8" t="s">
        <v>21619</v>
      </c>
      <c r="O4794" s="8">
        <f>12+54/60+40.7/3600</f>
        <v>12.911305555555556</v>
      </c>
      <c r="P4794" s="8" t="s">
        <v>21620</v>
      </c>
      <c r="Q4794" s="8">
        <f>+(28+56/60+17/3600)</f>
        <v>28.938055555555557</v>
      </c>
      <c r="R4794" s="8">
        <v>11.6</v>
      </c>
      <c r="S4794" s="8">
        <v>12.3</v>
      </c>
      <c r="T4794" s="8">
        <v>0.7</v>
      </c>
      <c r="U4794" s="8">
        <v>13</v>
      </c>
      <c r="V4794" s="8">
        <v>2.9</v>
      </c>
      <c r="W4794" s="8">
        <v>1.5</v>
      </c>
      <c r="X4794" s="8">
        <v>50</v>
      </c>
      <c r="Y4794" s="8" t="s">
        <v>21</v>
      </c>
      <c r="Z4794" s="8" t="s">
        <v>21621</v>
      </c>
    </row>
    <row r="4795" spans="1:26" x14ac:dyDescent="0.2">
      <c r="A4795" s="8">
        <v>4794</v>
      </c>
      <c r="B4795" s="8" t="s">
        <v>21622</v>
      </c>
      <c r="C4795" s="8" t="s">
        <v>21622</v>
      </c>
      <c r="F4795" s="47" t="s">
        <v>57597</v>
      </c>
      <c r="G4795" s="8">
        <v>15</v>
      </c>
      <c r="H4795" s="8" t="s">
        <v>21</v>
      </c>
      <c r="I4795" s="8" t="s">
        <v>22</v>
      </c>
      <c r="J4795" s="8" t="s">
        <v>22</v>
      </c>
      <c r="K4795" s="8" t="s">
        <v>154</v>
      </c>
      <c r="L4795" s="8" t="s">
        <v>15925</v>
      </c>
      <c r="M4795" s="8" t="s">
        <v>15926</v>
      </c>
      <c r="N4795" s="8" t="s">
        <v>21623</v>
      </c>
      <c r="O4795" s="8">
        <f>12+55/60+10.4/3600</f>
        <v>12.919555555555554</v>
      </c>
      <c r="P4795" s="8" t="s">
        <v>21624</v>
      </c>
      <c r="Q4795" s="8">
        <f>-(12+36/60+33/3600)</f>
        <v>-12.609166666666667</v>
      </c>
      <c r="R4795" s="8">
        <v>13.6</v>
      </c>
      <c r="S4795" s="8">
        <v>14.5</v>
      </c>
      <c r="T4795" s="8">
        <v>0.9</v>
      </c>
      <c r="U4795" s="8">
        <v>13.6</v>
      </c>
      <c r="V4795" s="8">
        <v>1.7</v>
      </c>
      <c r="W4795" s="8">
        <v>0.7</v>
      </c>
      <c r="X4795" s="8">
        <v>153</v>
      </c>
      <c r="Y4795" s="8" t="s">
        <v>21</v>
      </c>
      <c r="Z4795" s="8" t="s">
        <v>21625</v>
      </c>
    </row>
    <row r="4796" spans="1:26" x14ac:dyDescent="0.2">
      <c r="A4796" s="8">
        <v>4795</v>
      </c>
      <c r="B4796" s="8" t="s">
        <v>21626</v>
      </c>
      <c r="C4796" s="8" t="s">
        <v>21626</v>
      </c>
      <c r="F4796" s="47" t="s">
        <v>57598</v>
      </c>
      <c r="G4796" s="8">
        <v>13</v>
      </c>
      <c r="H4796" s="8" t="s">
        <v>21</v>
      </c>
      <c r="I4796" s="8" t="s">
        <v>22</v>
      </c>
      <c r="J4796" s="8" t="s">
        <v>22</v>
      </c>
      <c r="K4796" s="8" t="s">
        <v>435</v>
      </c>
      <c r="L4796" s="8" t="s">
        <v>17287</v>
      </c>
      <c r="M4796" s="8" t="s">
        <v>17288</v>
      </c>
      <c r="N4796" s="8" t="s">
        <v>21627</v>
      </c>
      <c r="O4796" s="8">
        <f>12+55/60+2.8/3600</f>
        <v>12.917444444444444</v>
      </c>
      <c r="P4796" s="8" t="s">
        <v>21628</v>
      </c>
      <c r="Q4796" s="8">
        <f>+(8+3/60+58/3600)</f>
        <v>8.0661111111111126</v>
      </c>
      <c r="R4796" s="8">
        <v>12.1</v>
      </c>
      <c r="S4796" s="8">
        <v>13.1</v>
      </c>
      <c r="T4796" s="8">
        <v>1</v>
      </c>
      <c r="U4796" s="8">
        <v>13.4</v>
      </c>
      <c r="V4796" s="8">
        <v>2.2999999999999998</v>
      </c>
      <c r="W4796" s="8">
        <v>1.6</v>
      </c>
      <c r="X4796" s="8">
        <v>118</v>
      </c>
      <c r="Y4796" s="8" t="s">
        <v>21629</v>
      </c>
      <c r="Z4796" s="8" t="s">
        <v>21630</v>
      </c>
    </row>
    <row r="4797" spans="1:26" x14ac:dyDescent="0.2">
      <c r="A4797" s="8">
        <v>4796</v>
      </c>
      <c r="B4797" s="8" t="s">
        <v>21631</v>
      </c>
      <c r="C4797" s="8" t="s">
        <v>21631</v>
      </c>
      <c r="F4797" s="47"/>
      <c r="G4797" s="8">
        <v>18</v>
      </c>
      <c r="H4797" s="8" t="s">
        <v>21</v>
      </c>
      <c r="I4797" s="8" t="s">
        <v>22</v>
      </c>
      <c r="J4797" s="8" t="s">
        <v>22</v>
      </c>
      <c r="K4797" s="8" t="s">
        <v>424</v>
      </c>
      <c r="L4797" s="8" t="s">
        <v>17287</v>
      </c>
      <c r="M4797" s="8" t="s">
        <v>17288</v>
      </c>
      <c r="N4797" s="8" t="s">
        <v>21632</v>
      </c>
      <c r="O4797" s="8">
        <f>12+55/60+4.6/3600</f>
        <v>12.917944444444444</v>
      </c>
      <c r="P4797" s="8" t="s">
        <v>21633</v>
      </c>
      <c r="Q4797" s="8">
        <f>+(8+4/60+1/3600)</f>
        <v>8.0669444444444434</v>
      </c>
      <c r="R4797" s="8">
        <v>14.5</v>
      </c>
      <c r="S4797" s="8">
        <v>15.5</v>
      </c>
      <c r="T4797" s="8">
        <v>1</v>
      </c>
      <c r="U4797" s="8">
        <v>12</v>
      </c>
      <c r="V4797" s="8">
        <v>0.4</v>
      </c>
      <c r="W4797" s="8">
        <v>0.3</v>
      </c>
      <c r="X4797" s="8">
        <v>90</v>
      </c>
      <c r="Y4797" s="8" t="s">
        <v>21</v>
      </c>
      <c r="Z4797" s="8" t="s">
        <v>21634</v>
      </c>
    </row>
    <row r="4798" spans="1:26" x14ac:dyDescent="0.2">
      <c r="A4798" s="8">
        <v>4797</v>
      </c>
      <c r="B4798" s="8" t="s">
        <v>21635</v>
      </c>
      <c r="C4798" s="8" t="s">
        <v>21635</v>
      </c>
      <c r="F4798" s="47"/>
      <c r="G4798" s="8">
        <v>18</v>
      </c>
      <c r="H4798" s="8" t="s">
        <v>21</v>
      </c>
      <c r="I4798" s="8" t="s">
        <v>22</v>
      </c>
      <c r="J4798" s="8" t="s">
        <v>57</v>
      </c>
      <c r="K4798" s="8" t="s">
        <v>58</v>
      </c>
      <c r="L4798" s="8" t="s">
        <v>18289</v>
      </c>
      <c r="M4798" s="8" t="s">
        <v>18290</v>
      </c>
      <c r="N4798" s="8" t="s">
        <v>21636</v>
      </c>
      <c r="O4798" s="8">
        <f>12+54/60+55.3/3600</f>
        <v>12.915361111111112</v>
      </c>
      <c r="P4798" s="8" t="s">
        <v>21637</v>
      </c>
      <c r="Q4798" s="8">
        <f>+(27+24/60+46/3600)</f>
        <v>27.412777777777777</v>
      </c>
      <c r="R4798" s="8">
        <v>13.2</v>
      </c>
      <c r="S4798" s="8">
        <v>14.2</v>
      </c>
      <c r="T4798" s="8">
        <v>1</v>
      </c>
      <c r="U4798" s="8">
        <v>13.2</v>
      </c>
      <c r="V4798" s="8">
        <v>1</v>
      </c>
      <c r="W4798" s="8">
        <v>0.7</v>
      </c>
      <c r="X4798" s="8">
        <v>30</v>
      </c>
      <c r="Y4798" s="8" t="s">
        <v>972</v>
      </c>
      <c r="Z4798" s="8" t="s">
        <v>973</v>
      </c>
    </row>
    <row r="4799" spans="1:26" x14ac:dyDescent="0.2">
      <c r="A4799" s="8">
        <v>4798</v>
      </c>
      <c r="B4799" s="8" t="s">
        <v>21638</v>
      </c>
      <c r="C4799" s="8" t="s">
        <v>21638</v>
      </c>
      <c r="F4799" s="47" t="s">
        <v>57599</v>
      </c>
      <c r="G4799" s="8">
        <v>15</v>
      </c>
      <c r="H4799" s="8" t="s">
        <v>21</v>
      </c>
      <c r="I4799" s="8" t="s">
        <v>22</v>
      </c>
      <c r="J4799" s="8" t="s">
        <v>22</v>
      </c>
      <c r="K4799" s="8" t="s">
        <v>58</v>
      </c>
      <c r="L4799" s="8" t="s">
        <v>18289</v>
      </c>
      <c r="M4799" s="8" t="s">
        <v>18290</v>
      </c>
      <c r="N4799" s="8" t="s">
        <v>21636</v>
      </c>
      <c r="O4799" s="8">
        <f>12+54/60+55.3/3600</f>
        <v>12.915361111111112</v>
      </c>
      <c r="P4799" s="8" t="s">
        <v>21637</v>
      </c>
      <c r="Q4799" s="8">
        <f>+(27+24/60+46/3600)</f>
        <v>27.412777777777777</v>
      </c>
      <c r="R4799" s="8">
        <v>13.2</v>
      </c>
      <c r="S4799" s="8">
        <v>14.2</v>
      </c>
      <c r="T4799" s="8">
        <v>1</v>
      </c>
      <c r="U4799" s="8">
        <v>13.2</v>
      </c>
      <c r="V4799" s="8">
        <v>1</v>
      </c>
      <c r="W4799" s="8">
        <v>0.7</v>
      </c>
      <c r="X4799" s="8">
        <v>30</v>
      </c>
      <c r="Y4799" s="8" t="s">
        <v>21639</v>
      </c>
      <c r="Z4799" s="8" t="s">
        <v>21640</v>
      </c>
    </row>
    <row r="4800" spans="1:26" x14ac:dyDescent="0.2">
      <c r="A4800" s="8">
        <v>4799</v>
      </c>
      <c r="B4800" s="8" t="s">
        <v>21641</v>
      </c>
      <c r="C4800" s="8" t="s">
        <v>21641</v>
      </c>
      <c r="F4800" s="47" t="s">
        <v>57600</v>
      </c>
      <c r="G4800" s="8">
        <v>15</v>
      </c>
      <c r="H4800" s="8" t="s">
        <v>21</v>
      </c>
      <c r="I4800" s="8" t="s">
        <v>22</v>
      </c>
      <c r="J4800" s="8" t="s">
        <v>22</v>
      </c>
      <c r="K4800" s="8" t="s">
        <v>160</v>
      </c>
      <c r="L4800" s="8" t="s">
        <v>17287</v>
      </c>
      <c r="M4800" s="8" t="s">
        <v>17288</v>
      </c>
      <c r="N4800" s="8" t="s">
        <v>21642</v>
      </c>
      <c r="O4800" s="8">
        <f>12+55/60+15.4/3600</f>
        <v>12.920944444444444</v>
      </c>
      <c r="P4800" s="8" t="s">
        <v>21643</v>
      </c>
      <c r="Q4800" s="8">
        <f>+(2+53/60+48/3600)</f>
        <v>2.8966666666666665</v>
      </c>
      <c r="R4800" s="8">
        <v>13.4</v>
      </c>
      <c r="S4800" s="8">
        <v>14.1</v>
      </c>
      <c r="T4800" s="8">
        <v>0.7</v>
      </c>
      <c r="U4800" s="8">
        <v>13</v>
      </c>
      <c r="V4800" s="8">
        <v>1.3</v>
      </c>
      <c r="W4800" s="8">
        <v>0.6</v>
      </c>
      <c r="X4800" s="8">
        <v>91</v>
      </c>
      <c r="Y4800" s="8" t="s">
        <v>21644</v>
      </c>
      <c r="Z4800" s="8" t="s">
        <v>21645</v>
      </c>
    </row>
    <row r="4801" spans="1:26" x14ac:dyDescent="0.2">
      <c r="A4801" s="8">
        <v>4800</v>
      </c>
      <c r="B4801" s="8" t="s">
        <v>21646</v>
      </c>
      <c r="C4801" s="8" t="s">
        <v>21646</v>
      </c>
      <c r="F4801" s="47" t="s">
        <v>57601</v>
      </c>
      <c r="G4801" s="8">
        <v>6</v>
      </c>
      <c r="H4801" s="8" t="s">
        <v>21</v>
      </c>
      <c r="I4801" s="8" t="s">
        <v>22</v>
      </c>
      <c r="J4801" s="8" t="s">
        <v>22</v>
      </c>
      <c r="K4801" s="8" t="s">
        <v>23</v>
      </c>
      <c r="L4801" s="8" t="s">
        <v>18681</v>
      </c>
      <c r="M4801" s="8" t="s">
        <v>18682</v>
      </c>
      <c r="N4801" s="8" t="s">
        <v>21647</v>
      </c>
      <c r="O4801" s="8">
        <f>12+54/60+37.8/3600</f>
        <v>12.910500000000001</v>
      </c>
      <c r="P4801" s="8" t="s">
        <v>21648</v>
      </c>
      <c r="Q4801" s="8">
        <f>+(46+31/60+53/3600)</f>
        <v>46.531388888888891</v>
      </c>
      <c r="R4801" s="8">
        <v>11.6</v>
      </c>
      <c r="S4801" s="8">
        <v>12.4</v>
      </c>
      <c r="T4801" s="8">
        <v>0.8</v>
      </c>
      <c r="U4801" s="8">
        <v>12.2</v>
      </c>
      <c r="V4801" s="8">
        <v>1.6</v>
      </c>
      <c r="W4801" s="8">
        <v>1.2</v>
      </c>
      <c r="X4801" s="8">
        <v>25</v>
      </c>
      <c r="Y4801" s="8" t="s">
        <v>21</v>
      </c>
      <c r="Z4801" s="8" t="s">
        <v>21649</v>
      </c>
    </row>
    <row r="4802" spans="1:26" x14ac:dyDescent="0.2">
      <c r="A4802" s="8">
        <v>4801</v>
      </c>
      <c r="B4802" s="8" t="s">
        <v>21650</v>
      </c>
      <c r="C4802" s="8" t="s">
        <v>21650</v>
      </c>
      <c r="F4802" s="47" t="s">
        <v>57602</v>
      </c>
      <c r="G4802" s="8">
        <v>15</v>
      </c>
      <c r="H4802" s="8" t="s">
        <v>21</v>
      </c>
      <c r="I4802" s="8" t="s">
        <v>22</v>
      </c>
      <c r="J4802" s="8" t="s">
        <v>22</v>
      </c>
      <c r="K4802" s="8" t="s">
        <v>37</v>
      </c>
      <c r="L4802" s="8" t="s">
        <v>12015</v>
      </c>
      <c r="M4802" s="8" t="s">
        <v>12016</v>
      </c>
      <c r="N4802" s="8" t="s">
        <v>21651</v>
      </c>
      <c r="O4802" s="8">
        <f>12+54/60+37.6/3600</f>
        <v>12.910444444444444</v>
      </c>
      <c r="P4802" s="8" t="s">
        <v>21652</v>
      </c>
      <c r="Q4802" s="8">
        <f>+(53+5/60+26/3600)</f>
        <v>53.090555555555561</v>
      </c>
      <c r="R4802" s="8">
        <v>14.2</v>
      </c>
      <c r="S4802" s="8">
        <v>15.2</v>
      </c>
      <c r="T4802" s="8">
        <v>1</v>
      </c>
      <c r="U4802" s="8">
        <v>13.6</v>
      </c>
      <c r="V4802" s="8">
        <v>0.9</v>
      </c>
      <c r="W4802" s="8">
        <v>0.7</v>
      </c>
      <c r="X4802" s="8">
        <v>138</v>
      </c>
      <c r="Y4802" s="8" t="s">
        <v>146</v>
      </c>
      <c r="Z4802" s="8" t="s">
        <v>147</v>
      </c>
    </row>
    <row r="4803" spans="1:26" x14ac:dyDescent="0.2">
      <c r="A4803" s="8">
        <v>4802</v>
      </c>
      <c r="B4803" s="8" t="s">
        <v>21653</v>
      </c>
      <c r="C4803" s="8" t="s">
        <v>21653</v>
      </c>
      <c r="F4803" s="47"/>
      <c r="G4803" s="8">
        <v>13</v>
      </c>
      <c r="H4803" s="8" t="s">
        <v>21</v>
      </c>
      <c r="I4803" s="8" t="s">
        <v>22</v>
      </c>
      <c r="J4803" s="8" t="s">
        <v>22</v>
      </c>
      <c r="K4803" s="8" t="s">
        <v>37</v>
      </c>
      <c r="L4803" s="8" t="s">
        <v>15925</v>
      </c>
      <c r="M4803" s="8" t="s">
        <v>15926</v>
      </c>
      <c r="N4803" s="8" t="s">
        <v>21654</v>
      </c>
      <c r="O4803" s="8">
        <f>12+55/60+49.6/3600</f>
        <v>12.930444444444444</v>
      </c>
      <c r="P4803" s="8" t="s">
        <v>21655</v>
      </c>
      <c r="Q4803" s="8">
        <f>-(12+3/60+17/3600)</f>
        <v>-12.054722222222223</v>
      </c>
      <c r="R4803" s="8">
        <v>11.4</v>
      </c>
      <c r="S4803" s="8">
        <v>12.4</v>
      </c>
      <c r="T4803" s="8">
        <v>1</v>
      </c>
      <c r="U4803" s="8">
        <v>12.8</v>
      </c>
      <c r="V4803" s="8">
        <v>2.4</v>
      </c>
      <c r="W4803" s="8">
        <v>1.6</v>
      </c>
      <c r="X4803" s="8">
        <v>20</v>
      </c>
      <c r="Y4803" s="8" t="s">
        <v>21656</v>
      </c>
      <c r="Z4803" s="8" t="s">
        <v>21657</v>
      </c>
    </row>
    <row r="4804" spans="1:26" x14ac:dyDescent="0.2">
      <c r="A4804" s="8">
        <v>4803</v>
      </c>
      <c r="B4804" s="8" t="s">
        <v>21658</v>
      </c>
      <c r="C4804" s="8" t="s">
        <v>21658</v>
      </c>
      <c r="F4804" s="47"/>
      <c r="G4804" s="8">
        <v>18</v>
      </c>
      <c r="H4804" s="8" t="s">
        <v>21</v>
      </c>
      <c r="I4804" s="8" t="s">
        <v>22</v>
      </c>
      <c r="J4804" s="8" t="s">
        <v>22</v>
      </c>
      <c r="K4804" s="8" t="s">
        <v>424</v>
      </c>
      <c r="L4804" s="8" t="s">
        <v>17287</v>
      </c>
      <c r="M4804" s="8" t="s">
        <v>17288</v>
      </c>
      <c r="N4804" s="8" t="s">
        <v>21659</v>
      </c>
      <c r="O4804" s="8">
        <f>12+55/60+33.7/3600</f>
        <v>12.926027777777778</v>
      </c>
      <c r="P4804" s="8" t="s">
        <v>21660</v>
      </c>
      <c r="Q4804" s="8">
        <f>+(8+14/60+24/3600)</f>
        <v>8.2399999999999984</v>
      </c>
      <c r="R4804" s="8">
        <v>14.1</v>
      </c>
      <c r="S4804" s="8">
        <v>15.1</v>
      </c>
      <c r="T4804" s="8">
        <v>1</v>
      </c>
      <c r="U4804" s="8">
        <v>12.4</v>
      </c>
      <c r="V4804" s="8">
        <v>0.5</v>
      </c>
      <c r="W4804" s="8">
        <v>0.3</v>
      </c>
      <c r="X4804" s="8">
        <v>6</v>
      </c>
      <c r="Y4804" s="8" t="s">
        <v>11813</v>
      </c>
      <c r="Z4804" s="8" t="s">
        <v>11814</v>
      </c>
    </row>
    <row r="4805" spans="1:26" x14ac:dyDescent="0.2">
      <c r="A4805" s="8">
        <v>4804</v>
      </c>
      <c r="B4805" s="8" t="s">
        <v>21661</v>
      </c>
      <c r="C4805" s="8" t="s">
        <v>21661</v>
      </c>
      <c r="F4805" s="47" t="s">
        <v>57603</v>
      </c>
      <c r="G4805" s="8">
        <v>15</v>
      </c>
      <c r="H4805" s="8" t="s">
        <v>21</v>
      </c>
      <c r="I4805" s="8" t="s">
        <v>72</v>
      </c>
      <c r="J4805" s="8" t="s">
        <v>72</v>
      </c>
      <c r="K4805" s="8" t="s">
        <v>20</v>
      </c>
      <c r="L4805" s="8" t="s">
        <v>15925</v>
      </c>
      <c r="M4805" s="8" t="s">
        <v>15926</v>
      </c>
      <c r="N4805" s="8" t="s">
        <v>21662</v>
      </c>
      <c r="O4805" s="8">
        <f>12+55/60+52.3/3600</f>
        <v>12.931194444444444</v>
      </c>
      <c r="P4805" s="8" t="s">
        <v>21663</v>
      </c>
      <c r="Q4805" s="8">
        <f>-(12+57/60+24/3600)</f>
        <v>-12.956666666666665</v>
      </c>
      <c r="R4805" s="8">
        <v>99</v>
      </c>
      <c r="S4805" s="8">
        <v>9.8000000000000007</v>
      </c>
      <c r="T4805" s="8">
        <v>99</v>
      </c>
      <c r="U4805" s="8">
        <v>99</v>
      </c>
      <c r="Y4805" s="8" t="s">
        <v>21</v>
      </c>
      <c r="Z4805" s="8" t="s">
        <v>21664</v>
      </c>
    </row>
    <row r="4806" spans="1:26" x14ac:dyDescent="0.2">
      <c r="A4806" s="8">
        <v>4805</v>
      </c>
      <c r="B4806" s="8" t="s">
        <v>21665</v>
      </c>
      <c r="C4806" s="8" t="s">
        <v>21665</v>
      </c>
      <c r="F4806" s="47"/>
      <c r="G4806" s="8">
        <v>19</v>
      </c>
      <c r="H4806" s="8" t="s">
        <v>21</v>
      </c>
      <c r="I4806" s="8" t="s">
        <v>72</v>
      </c>
      <c r="J4806" s="8" t="s">
        <v>72</v>
      </c>
      <c r="K4806" s="8" t="s">
        <v>20</v>
      </c>
      <c r="L4806" s="8" t="s">
        <v>18289</v>
      </c>
      <c r="M4806" s="8" t="s">
        <v>18290</v>
      </c>
      <c r="N4806" s="8" t="s">
        <v>21666</v>
      </c>
      <c r="O4806" s="8">
        <f>12+55/60+24.3/3600</f>
        <v>12.923416666666666</v>
      </c>
      <c r="P4806" s="8" t="s">
        <v>21667</v>
      </c>
      <c r="Q4806" s="8">
        <f>+(27+58/60+49/3600)</f>
        <v>27.980277777777776</v>
      </c>
      <c r="R4806" s="8">
        <v>99</v>
      </c>
      <c r="S4806" s="8">
        <v>14.6</v>
      </c>
      <c r="T4806" s="8">
        <v>99</v>
      </c>
      <c r="U4806" s="8">
        <v>99</v>
      </c>
      <c r="Y4806" s="8" t="s">
        <v>297</v>
      </c>
      <c r="Z4806" s="8" t="s">
        <v>298</v>
      </c>
    </row>
    <row r="4807" spans="1:26" x14ac:dyDescent="0.2">
      <c r="A4807" s="8">
        <v>4806</v>
      </c>
      <c r="B4807" s="8" t="s">
        <v>21668</v>
      </c>
      <c r="C4807" s="8" t="s">
        <v>21668</v>
      </c>
      <c r="F4807" s="47"/>
      <c r="G4807" s="8">
        <v>16</v>
      </c>
      <c r="H4807" s="8" t="s">
        <v>21</v>
      </c>
      <c r="I4807" s="8" t="s">
        <v>22</v>
      </c>
      <c r="J4807" s="8" t="s">
        <v>22</v>
      </c>
      <c r="K4807" s="8" t="s">
        <v>64</v>
      </c>
      <c r="L4807" s="8" t="s">
        <v>11765</v>
      </c>
      <c r="M4807" s="8" t="s">
        <v>11766</v>
      </c>
      <c r="N4807" s="8" t="s">
        <v>21669</v>
      </c>
      <c r="O4807" s="8">
        <f>12+56/60+12.4/3600</f>
        <v>12.936777777777777</v>
      </c>
      <c r="P4807" s="8" t="s">
        <v>21670</v>
      </c>
      <c r="Q4807" s="8">
        <f>-(29+30/60+10/3600)</f>
        <v>-29.502777777777776</v>
      </c>
      <c r="R4807" s="8">
        <v>12.8</v>
      </c>
      <c r="S4807" s="8">
        <v>13.5</v>
      </c>
      <c r="T4807" s="8">
        <v>0.7</v>
      </c>
      <c r="U4807" s="8">
        <v>12.8</v>
      </c>
      <c r="V4807" s="8">
        <v>1.2</v>
      </c>
      <c r="W4807" s="8">
        <v>1</v>
      </c>
      <c r="X4807" s="8">
        <v>50</v>
      </c>
      <c r="Y4807" s="8" t="s">
        <v>21671</v>
      </c>
      <c r="Z4807" s="8" t="s">
        <v>21672</v>
      </c>
    </row>
    <row r="4808" spans="1:26" x14ac:dyDescent="0.2">
      <c r="A4808" s="8">
        <v>4807</v>
      </c>
      <c r="B4808" s="8" t="s">
        <v>21673</v>
      </c>
      <c r="C4808" s="8" t="s">
        <v>21673</v>
      </c>
      <c r="F4808" s="47"/>
      <c r="G4808" s="8">
        <v>18</v>
      </c>
      <c r="H4808" s="8" t="s">
        <v>21</v>
      </c>
      <c r="I4808" s="8" t="s">
        <v>22</v>
      </c>
      <c r="J4808" s="8" t="s">
        <v>22</v>
      </c>
      <c r="K4808" s="8" t="s">
        <v>118</v>
      </c>
      <c r="L4808" s="8" t="s">
        <v>18289</v>
      </c>
      <c r="M4808" s="8" t="s">
        <v>18290</v>
      </c>
      <c r="N4808" s="8" t="s">
        <v>21674</v>
      </c>
      <c r="O4808" s="8">
        <f>12+55/60+29.3/3600</f>
        <v>12.924805555555555</v>
      </c>
      <c r="P4808" s="8" t="s">
        <v>21675</v>
      </c>
      <c r="Q4808" s="8">
        <f>+(27+31/60+16/3600)</f>
        <v>27.521111111111111</v>
      </c>
      <c r="R4808" s="8">
        <v>13.5</v>
      </c>
      <c r="S4808" s="8">
        <v>14.5</v>
      </c>
      <c r="T4808" s="8">
        <v>1</v>
      </c>
      <c r="U4808" s="8">
        <v>13.2</v>
      </c>
      <c r="V4808" s="8">
        <v>1</v>
      </c>
      <c r="W4808" s="8">
        <v>0.8</v>
      </c>
      <c r="X4808" s="8">
        <v>21</v>
      </c>
      <c r="Y4808" s="8" t="s">
        <v>2088</v>
      </c>
      <c r="Z4808" s="8" t="s">
        <v>2094</v>
      </c>
    </row>
    <row r="4809" spans="1:26" x14ac:dyDescent="0.2">
      <c r="A4809" s="8">
        <v>4808</v>
      </c>
      <c r="B4809" s="8" t="s">
        <v>21676</v>
      </c>
      <c r="C4809" s="8" t="s">
        <v>21676</v>
      </c>
      <c r="F4809" s="47" t="s">
        <v>57604</v>
      </c>
      <c r="G4809" s="8">
        <v>13</v>
      </c>
      <c r="H4809" s="8" t="s">
        <v>21</v>
      </c>
      <c r="I4809" s="8" t="s">
        <v>22</v>
      </c>
      <c r="J4809" s="8" t="s">
        <v>22</v>
      </c>
      <c r="K4809" s="8" t="s">
        <v>160</v>
      </c>
      <c r="L4809" s="8" t="s">
        <v>17287</v>
      </c>
      <c r="M4809" s="8" t="s">
        <v>17288</v>
      </c>
      <c r="N4809" s="8" t="s">
        <v>21677</v>
      </c>
      <c r="O4809" s="8">
        <f>12+55/60+48.9/3600</f>
        <v>12.930249999999999</v>
      </c>
      <c r="P4809" s="8" t="s">
        <v>21678</v>
      </c>
      <c r="Q4809" s="8">
        <f>+(4+18/60+13/3600)</f>
        <v>4.3036111111111106</v>
      </c>
      <c r="R4809" s="8">
        <v>11.7</v>
      </c>
      <c r="S4809" s="8">
        <v>12.4</v>
      </c>
      <c r="T4809" s="8">
        <v>0.7</v>
      </c>
      <c r="U4809" s="8">
        <v>12.9</v>
      </c>
      <c r="V4809" s="8">
        <v>2.8</v>
      </c>
      <c r="W4809" s="8">
        <v>1.1000000000000001</v>
      </c>
      <c r="X4809" s="8">
        <v>127</v>
      </c>
      <c r="Y4809" s="8" t="s">
        <v>21679</v>
      </c>
      <c r="Z4809" s="8" t="s">
        <v>21680</v>
      </c>
    </row>
    <row r="4810" spans="1:26" x14ac:dyDescent="0.2">
      <c r="A4810" s="8">
        <v>4809</v>
      </c>
      <c r="B4810" s="8" t="s">
        <v>21681</v>
      </c>
      <c r="C4810" s="8" t="s">
        <v>21681</v>
      </c>
      <c r="F4810" s="47"/>
      <c r="G4810" s="8">
        <v>18</v>
      </c>
      <c r="H4810" s="8" t="s">
        <v>21</v>
      </c>
      <c r="I4810" s="8" t="s">
        <v>22</v>
      </c>
      <c r="J4810" s="8" t="s">
        <v>22</v>
      </c>
      <c r="K4810" s="8" t="s">
        <v>18185</v>
      </c>
      <c r="L4810" s="8" t="s">
        <v>17287</v>
      </c>
      <c r="M4810" s="8" t="s">
        <v>17288</v>
      </c>
      <c r="N4810" s="8" t="s">
        <v>21682</v>
      </c>
      <c r="O4810" s="8">
        <f>12+54/60+50.9/3600</f>
        <v>12.914138888888889</v>
      </c>
      <c r="P4810" s="8" t="s">
        <v>21683</v>
      </c>
      <c r="Q4810" s="8">
        <f>+(2+39/60+10/3600)</f>
        <v>2.6527777777777777</v>
      </c>
      <c r="R4810" s="8">
        <v>13.8</v>
      </c>
      <c r="S4810" s="8">
        <v>14.4</v>
      </c>
      <c r="T4810" s="8">
        <v>0.6</v>
      </c>
      <c r="U4810" s="8">
        <v>13.8</v>
      </c>
      <c r="V4810" s="8">
        <v>1.7</v>
      </c>
      <c r="W4810" s="8">
        <v>0.7</v>
      </c>
      <c r="X4810" s="8">
        <v>68</v>
      </c>
      <c r="Y4810" s="8" t="s">
        <v>21656</v>
      </c>
      <c r="Z4810" s="8" t="s">
        <v>21684</v>
      </c>
    </row>
    <row r="4811" spans="1:26" x14ac:dyDescent="0.2">
      <c r="A4811" s="8">
        <v>4810</v>
      </c>
      <c r="B4811" s="8" t="s">
        <v>21685</v>
      </c>
      <c r="C4811" s="8" t="s">
        <v>21685</v>
      </c>
      <c r="F4811" s="47"/>
      <c r="G4811" s="8">
        <v>18</v>
      </c>
      <c r="H4811" s="8" t="s">
        <v>21</v>
      </c>
      <c r="I4811" s="8" t="s">
        <v>22</v>
      </c>
      <c r="J4811" s="8" t="s">
        <v>22</v>
      </c>
      <c r="K4811" s="8" t="s">
        <v>18185</v>
      </c>
      <c r="L4811" s="8" t="s">
        <v>17287</v>
      </c>
      <c r="M4811" s="8" t="s">
        <v>17288</v>
      </c>
      <c r="N4811" s="8" t="s">
        <v>21686</v>
      </c>
      <c r="O4811" s="8">
        <f>12+54/60+51.2/3600</f>
        <v>12.914222222222223</v>
      </c>
      <c r="P4811" s="8" t="s">
        <v>21687</v>
      </c>
      <c r="Q4811" s="8">
        <f>+(2+38/60+27/3600)</f>
        <v>2.6408333333333331</v>
      </c>
      <c r="R4811" s="8">
        <v>14.3</v>
      </c>
      <c r="S4811" s="8">
        <v>14.9</v>
      </c>
      <c r="T4811" s="8">
        <v>0.6</v>
      </c>
      <c r="U4811" s="8">
        <v>13.7</v>
      </c>
      <c r="V4811" s="8">
        <v>1.3</v>
      </c>
      <c r="W4811" s="8">
        <v>0.5</v>
      </c>
      <c r="X4811" s="8">
        <v>162</v>
      </c>
      <c r="Y4811" s="8" t="s">
        <v>21</v>
      </c>
      <c r="Z4811" s="8" t="s">
        <v>21684</v>
      </c>
    </row>
    <row r="4812" spans="1:26" x14ac:dyDescent="0.2">
      <c r="A4812" s="8">
        <v>4811</v>
      </c>
      <c r="B4812" s="8" t="s">
        <v>21688</v>
      </c>
      <c r="C4812" s="8" t="s">
        <v>21688</v>
      </c>
      <c r="F4812" s="47"/>
      <c r="G4812" s="8">
        <v>16</v>
      </c>
      <c r="H4812" s="8" t="s">
        <v>21</v>
      </c>
      <c r="I4812" s="8" t="s">
        <v>22</v>
      </c>
      <c r="J4812" s="8" t="s">
        <v>22</v>
      </c>
      <c r="K4812" s="8" t="s">
        <v>435</v>
      </c>
      <c r="L4812" s="8" t="s">
        <v>16195</v>
      </c>
      <c r="M4812" s="8" t="s">
        <v>16196</v>
      </c>
      <c r="N4812" s="8" t="s">
        <v>21689</v>
      </c>
      <c r="O4812" s="8">
        <f>12+56/60+52.3/3600</f>
        <v>12.947861111111111</v>
      </c>
      <c r="P4812" s="8" t="s">
        <v>21690</v>
      </c>
      <c r="Q4812" s="8">
        <f>-(41+47/60+51/3600)</f>
        <v>-41.797499999999999</v>
      </c>
      <c r="R4812" s="8">
        <v>13.1</v>
      </c>
      <c r="S4812" s="8">
        <v>14</v>
      </c>
      <c r="T4812" s="8">
        <v>0.9</v>
      </c>
      <c r="U4812" s="8">
        <v>13.1</v>
      </c>
      <c r="V4812" s="8">
        <v>1.3</v>
      </c>
      <c r="W4812" s="8">
        <v>0.9</v>
      </c>
      <c r="X4812" s="8">
        <v>35</v>
      </c>
      <c r="Y4812" s="8" t="s">
        <v>21691</v>
      </c>
      <c r="Z4812" s="8" t="s">
        <v>21692</v>
      </c>
    </row>
    <row r="4813" spans="1:26" x14ac:dyDescent="0.2">
      <c r="A4813" s="8">
        <v>4812</v>
      </c>
      <c r="B4813" s="8" t="s">
        <v>21693</v>
      </c>
      <c r="C4813" s="8" t="s">
        <v>21693</v>
      </c>
      <c r="F4813" s="47"/>
      <c r="G4813" s="8">
        <v>16</v>
      </c>
      <c r="H4813" s="8" t="s">
        <v>21</v>
      </c>
      <c r="I4813" s="8" t="s">
        <v>22</v>
      </c>
      <c r="J4813" s="8" t="s">
        <v>22</v>
      </c>
      <c r="K4813" s="8" t="s">
        <v>37</v>
      </c>
      <c r="L4813" s="8" t="s">
        <v>16195</v>
      </c>
      <c r="M4813" s="8" t="s">
        <v>16196</v>
      </c>
      <c r="N4813" s="8" t="s">
        <v>21694</v>
      </c>
      <c r="O4813" s="8">
        <f>12+56/60+52.6/3600</f>
        <v>12.947944444444445</v>
      </c>
      <c r="P4813" s="8" t="s">
        <v>21695</v>
      </c>
      <c r="Q4813" s="8">
        <f>-(41+48/60+49/3600)</f>
        <v>-41.813611111111108</v>
      </c>
      <c r="R4813" s="8">
        <v>12.9</v>
      </c>
      <c r="S4813" s="8">
        <v>13.9</v>
      </c>
      <c r="T4813" s="8">
        <v>1</v>
      </c>
      <c r="U4813" s="8">
        <v>11.9</v>
      </c>
      <c r="V4813" s="8">
        <v>1.2</v>
      </c>
      <c r="W4813" s="8">
        <v>0.4</v>
      </c>
      <c r="X4813" s="8">
        <v>36</v>
      </c>
      <c r="Y4813" s="8" t="s">
        <v>21696</v>
      </c>
      <c r="Z4813" s="8" t="s">
        <v>21697</v>
      </c>
    </row>
    <row r="4814" spans="1:26" x14ac:dyDescent="0.2">
      <c r="A4814" s="8">
        <v>4813</v>
      </c>
      <c r="B4814" s="8" t="s">
        <v>21698</v>
      </c>
      <c r="C4814" s="8" t="s">
        <v>21698</v>
      </c>
      <c r="F4814" s="47" t="s">
        <v>57605</v>
      </c>
      <c r="G4814" s="8">
        <v>15</v>
      </c>
      <c r="H4814" s="8" t="s">
        <v>21</v>
      </c>
      <c r="I4814" s="8" t="s">
        <v>22</v>
      </c>
      <c r="J4814" s="8" t="s">
        <v>22</v>
      </c>
      <c r="K4814" s="8" t="s">
        <v>37</v>
      </c>
      <c r="L4814" s="8" t="s">
        <v>17287</v>
      </c>
      <c r="M4814" s="8" t="s">
        <v>17288</v>
      </c>
      <c r="N4814" s="8" t="s">
        <v>21699</v>
      </c>
      <c r="O4814" s="8">
        <f>12+56/60+36/3600</f>
        <v>12.943333333333333</v>
      </c>
      <c r="P4814" s="8" t="s">
        <v>21700</v>
      </c>
      <c r="Q4814" s="8">
        <f>-(6+49/60+5/3600)</f>
        <v>-6.8180555555555555</v>
      </c>
      <c r="R4814" s="8">
        <v>13.1</v>
      </c>
      <c r="S4814" s="8">
        <v>14.1</v>
      </c>
      <c r="T4814" s="8">
        <v>1</v>
      </c>
      <c r="U4814" s="8">
        <v>12.4</v>
      </c>
      <c r="V4814" s="8">
        <v>1.3</v>
      </c>
      <c r="W4814" s="8">
        <v>0.5</v>
      </c>
      <c r="X4814" s="8">
        <v>35</v>
      </c>
      <c r="Y4814" s="8" t="s">
        <v>2641</v>
      </c>
      <c r="Z4814" s="8" t="s">
        <v>2642</v>
      </c>
    </row>
    <row r="4815" spans="1:26" x14ac:dyDescent="0.2">
      <c r="A4815" s="8">
        <v>4814</v>
      </c>
      <c r="B4815" s="8" t="s">
        <v>21701</v>
      </c>
      <c r="C4815" s="8" t="s">
        <v>21701</v>
      </c>
      <c r="F4815" s="47" t="s">
        <v>57606</v>
      </c>
      <c r="G4815" s="8">
        <v>7</v>
      </c>
      <c r="H4815" s="8" t="s">
        <v>21</v>
      </c>
      <c r="I4815" s="8" t="s">
        <v>22</v>
      </c>
      <c r="J4815" s="8" t="s">
        <v>22</v>
      </c>
      <c r="K4815" s="8" t="s">
        <v>79</v>
      </c>
      <c r="L4815" s="8" t="s">
        <v>12015</v>
      </c>
      <c r="M4815" s="8" t="s">
        <v>12016</v>
      </c>
      <c r="N4815" s="8" t="s">
        <v>21702</v>
      </c>
      <c r="O4815" s="8">
        <f>12+55/60+21.8/3600</f>
        <v>12.922722222222221</v>
      </c>
      <c r="P4815" s="8" t="s">
        <v>21703</v>
      </c>
      <c r="Q4815" s="8">
        <f>+(58+20/60+40/3600)</f>
        <v>58.344444444444449</v>
      </c>
      <c r="R4815" s="8">
        <v>12.2</v>
      </c>
      <c r="S4815" s="8">
        <v>12.8</v>
      </c>
      <c r="T4815" s="8">
        <v>0.6</v>
      </c>
      <c r="U4815" s="8">
        <v>14.2</v>
      </c>
      <c r="V4815" s="8">
        <v>3.3</v>
      </c>
      <c r="W4815" s="8">
        <v>2.4</v>
      </c>
      <c r="X4815" s="8">
        <v>129</v>
      </c>
      <c r="Y4815" s="8" t="s">
        <v>21704</v>
      </c>
      <c r="Z4815" s="8" t="s">
        <v>21705</v>
      </c>
    </row>
    <row r="4816" spans="1:26" x14ac:dyDescent="0.2">
      <c r="A4816" s="8">
        <v>4815</v>
      </c>
      <c r="B4816" s="8" t="s">
        <v>21706</v>
      </c>
      <c r="C4816" s="8" t="s">
        <v>21706</v>
      </c>
      <c r="F4816" s="47"/>
      <c r="G4816" s="8">
        <v>8</v>
      </c>
      <c r="H4816" s="8" t="s">
        <v>21</v>
      </c>
      <c r="I4816" s="8" t="s">
        <v>557</v>
      </c>
      <c r="J4816" s="8" t="s">
        <v>557</v>
      </c>
      <c r="K4816" s="8" t="s">
        <v>2158</v>
      </c>
      <c r="L4816" s="8" t="s">
        <v>18521</v>
      </c>
      <c r="M4816" s="8" t="s">
        <v>18522</v>
      </c>
      <c r="N4816" s="8" t="s">
        <v>21707</v>
      </c>
      <c r="O4816" s="8">
        <f>12+57/60+58.3/3600</f>
        <v>12.966194444444444</v>
      </c>
      <c r="P4816" s="8" t="s">
        <v>21708</v>
      </c>
      <c r="Q4816" s="8">
        <f>-(64+57/60+42/3600)</f>
        <v>-64.961666666666673</v>
      </c>
      <c r="R4816" s="8">
        <v>8.6</v>
      </c>
      <c r="S4816" s="8">
        <v>99</v>
      </c>
      <c r="T4816" s="8">
        <v>99</v>
      </c>
      <c r="U4816" s="8">
        <v>99</v>
      </c>
      <c r="V4816" s="8">
        <v>5</v>
      </c>
      <c r="Y4816" s="8" t="s">
        <v>21709</v>
      </c>
      <c r="Z4816" s="8" t="s">
        <v>21710</v>
      </c>
    </row>
    <row r="4817" spans="1:26" x14ac:dyDescent="0.2">
      <c r="A4817" s="8">
        <v>4816</v>
      </c>
      <c r="B4817" s="8" t="s">
        <v>21711</v>
      </c>
      <c r="C4817" s="8" t="s">
        <v>21711</v>
      </c>
      <c r="F4817" s="47" t="s">
        <v>57607</v>
      </c>
      <c r="G4817" s="8">
        <v>15</v>
      </c>
      <c r="H4817" s="8" t="s">
        <v>21</v>
      </c>
      <c r="I4817" s="8" t="s">
        <v>22</v>
      </c>
      <c r="J4817" s="8" t="s">
        <v>22</v>
      </c>
      <c r="K4817" s="8" t="s">
        <v>58</v>
      </c>
      <c r="L4817" s="8" t="s">
        <v>18289</v>
      </c>
      <c r="M4817" s="8" t="s">
        <v>18290</v>
      </c>
      <c r="N4817" s="8" t="s">
        <v>21712</v>
      </c>
      <c r="O4817" s="8">
        <f>12+56/60+12.3/3600</f>
        <v>12.93675</v>
      </c>
      <c r="P4817" s="8" t="s">
        <v>21713</v>
      </c>
      <c r="Q4817" s="8">
        <f>+(27+44/60+43/3600)</f>
        <v>27.74527777777778</v>
      </c>
      <c r="R4817" s="8">
        <v>12.8</v>
      </c>
      <c r="S4817" s="8">
        <v>13.8</v>
      </c>
      <c r="T4817" s="8">
        <v>1</v>
      </c>
      <c r="U4817" s="8">
        <v>13.1</v>
      </c>
      <c r="V4817" s="8">
        <v>1.3</v>
      </c>
      <c r="W4817" s="8">
        <v>1.1000000000000001</v>
      </c>
      <c r="X4817" s="8">
        <v>84</v>
      </c>
      <c r="Y4817" s="8" t="s">
        <v>1225</v>
      </c>
      <c r="Z4817" s="8" t="s">
        <v>1226</v>
      </c>
    </row>
    <row r="4818" spans="1:26" x14ac:dyDescent="0.2">
      <c r="A4818" s="8">
        <v>4817</v>
      </c>
      <c r="B4818" s="8" t="s">
        <v>21714</v>
      </c>
      <c r="C4818" s="8" t="s">
        <v>21714</v>
      </c>
      <c r="F4818" s="47"/>
      <c r="G4818" s="8">
        <v>19</v>
      </c>
      <c r="H4818" s="8" t="s">
        <v>21</v>
      </c>
      <c r="I4818" s="8" t="s">
        <v>22</v>
      </c>
      <c r="J4818" s="8" t="s">
        <v>22</v>
      </c>
      <c r="K4818" s="8" t="s">
        <v>424</v>
      </c>
      <c r="L4818" s="8" t="s">
        <v>18289</v>
      </c>
      <c r="M4818" s="8" t="s">
        <v>18290</v>
      </c>
      <c r="N4818" s="8" t="s">
        <v>21715</v>
      </c>
      <c r="O4818" s="8">
        <f>12+56/60+29.6/3600</f>
        <v>12.941555555555556</v>
      </c>
      <c r="P4818" s="8" t="s">
        <v>21716</v>
      </c>
      <c r="Q4818" s="8">
        <f>+(27+56/60+25/3600)</f>
        <v>27.940277777777776</v>
      </c>
      <c r="R4818" s="8">
        <v>14.7</v>
      </c>
      <c r="S4818" s="8">
        <v>15.7</v>
      </c>
      <c r="T4818" s="8">
        <v>1</v>
      </c>
      <c r="U4818" s="8">
        <v>13</v>
      </c>
      <c r="V4818" s="8">
        <v>0.5</v>
      </c>
      <c r="W4818" s="8">
        <v>0.5</v>
      </c>
      <c r="Y4818" s="8" t="s">
        <v>21717</v>
      </c>
      <c r="Z4818" s="8" t="s">
        <v>21718</v>
      </c>
    </row>
    <row r="4819" spans="1:26" x14ac:dyDescent="0.2">
      <c r="A4819" s="8">
        <v>4818</v>
      </c>
      <c r="B4819" s="8" t="s">
        <v>21719</v>
      </c>
      <c r="C4819" s="8" t="s">
        <v>21719</v>
      </c>
      <c r="F4819" s="47" t="s">
        <v>57608</v>
      </c>
      <c r="G4819" s="8">
        <v>13</v>
      </c>
      <c r="H4819" s="8" t="s">
        <v>21</v>
      </c>
      <c r="I4819" s="8" t="s">
        <v>22</v>
      </c>
      <c r="J4819" s="8" t="s">
        <v>22</v>
      </c>
      <c r="K4819" s="8" t="s">
        <v>406</v>
      </c>
      <c r="L4819" s="8" t="s">
        <v>17287</v>
      </c>
      <c r="M4819" s="8" t="s">
        <v>17288</v>
      </c>
      <c r="N4819" s="8" t="s">
        <v>21720</v>
      </c>
      <c r="O4819" s="8">
        <f>12+56/60+48.9/3600</f>
        <v>12.946916666666667</v>
      </c>
      <c r="P4819" s="8" t="s">
        <v>21721</v>
      </c>
      <c r="Q4819" s="8">
        <f>-(8+31/60+30/3600)</f>
        <v>-8.5250000000000004</v>
      </c>
      <c r="R4819" s="8">
        <v>11.1</v>
      </c>
      <c r="S4819" s="8">
        <v>12</v>
      </c>
      <c r="T4819" s="8">
        <v>0.9</v>
      </c>
      <c r="U4819" s="8">
        <v>13</v>
      </c>
      <c r="V4819" s="8">
        <v>4.3</v>
      </c>
      <c r="W4819" s="8">
        <v>1.5</v>
      </c>
      <c r="X4819" s="8">
        <v>0</v>
      </c>
      <c r="Y4819" s="8" t="s">
        <v>21722</v>
      </c>
      <c r="Z4819" s="8" t="s">
        <v>21723</v>
      </c>
    </row>
    <row r="4820" spans="1:26" x14ac:dyDescent="0.2">
      <c r="A4820" s="8">
        <v>4819</v>
      </c>
      <c r="B4820" s="8" t="s">
        <v>21724</v>
      </c>
      <c r="C4820" s="8" t="s">
        <v>21724</v>
      </c>
      <c r="F4820" s="47" t="s">
        <v>57609</v>
      </c>
      <c r="G4820" s="8">
        <v>15</v>
      </c>
      <c r="H4820" s="8" t="s">
        <v>21</v>
      </c>
      <c r="I4820" s="8" t="s">
        <v>22</v>
      </c>
      <c r="J4820" s="8" t="s">
        <v>22</v>
      </c>
      <c r="K4820" s="8" t="s">
        <v>154</v>
      </c>
      <c r="L4820" s="8" t="s">
        <v>18289</v>
      </c>
      <c r="M4820" s="8" t="s">
        <v>18290</v>
      </c>
      <c r="N4820" s="8" t="s">
        <v>21725</v>
      </c>
      <c r="O4820" s="8">
        <f>12+56/60+28/3600</f>
        <v>12.941111111111111</v>
      </c>
      <c r="P4820" s="8" t="s">
        <v>21726</v>
      </c>
      <c r="Q4820" s="8">
        <f>+(26+59/60+13/3600)</f>
        <v>26.986944444444447</v>
      </c>
      <c r="R4820" s="8">
        <v>13.2</v>
      </c>
      <c r="S4820" s="8">
        <v>14.1</v>
      </c>
      <c r="T4820" s="8">
        <v>0.9</v>
      </c>
      <c r="U4820" s="8">
        <v>13.1</v>
      </c>
      <c r="V4820" s="8">
        <v>1.2</v>
      </c>
      <c r="W4820" s="8">
        <v>0.8</v>
      </c>
      <c r="X4820" s="8">
        <v>160</v>
      </c>
      <c r="Y4820" s="8" t="s">
        <v>5496</v>
      </c>
      <c r="Z4820" s="8" t="s">
        <v>5497</v>
      </c>
    </row>
    <row r="4821" spans="1:26" x14ac:dyDescent="0.2">
      <c r="A4821" s="8">
        <v>4820</v>
      </c>
      <c r="B4821" s="8" t="s">
        <v>21727</v>
      </c>
      <c r="C4821" s="8" t="s">
        <v>21727</v>
      </c>
      <c r="F4821" s="47"/>
      <c r="G4821" s="8">
        <v>19</v>
      </c>
      <c r="H4821" s="8" t="s">
        <v>21</v>
      </c>
      <c r="I4821" s="8" t="s">
        <v>22</v>
      </c>
      <c r="J4821" s="8" t="s">
        <v>22</v>
      </c>
      <c r="K4821" s="8" t="s">
        <v>37</v>
      </c>
      <c r="L4821" s="8" t="s">
        <v>17287</v>
      </c>
      <c r="M4821" s="8" t="s">
        <v>17288</v>
      </c>
      <c r="N4821" s="8" t="s">
        <v>21728</v>
      </c>
      <c r="O4821" s="8">
        <f>12+57/60+0.5/3600</f>
        <v>12.950138888888889</v>
      </c>
      <c r="P4821" s="8" t="s">
        <v>21729</v>
      </c>
      <c r="Q4821" s="8">
        <f>-(13+43/60+8/3600)</f>
        <v>-13.718888888888889</v>
      </c>
      <c r="R4821" s="8">
        <v>13.9</v>
      </c>
      <c r="S4821" s="8">
        <v>14.9</v>
      </c>
      <c r="T4821" s="8">
        <v>1</v>
      </c>
      <c r="U4821" s="8">
        <v>12</v>
      </c>
      <c r="V4821" s="8">
        <v>1</v>
      </c>
      <c r="W4821" s="8">
        <v>0.2</v>
      </c>
      <c r="X4821" s="8">
        <v>105</v>
      </c>
      <c r="Y4821" s="8" t="s">
        <v>21</v>
      </c>
      <c r="Z4821" s="8" t="s">
        <v>21730</v>
      </c>
    </row>
    <row r="4822" spans="1:26" x14ac:dyDescent="0.2">
      <c r="A4822" s="8">
        <v>4821</v>
      </c>
      <c r="B4822" s="8" t="s">
        <v>21731</v>
      </c>
      <c r="C4822" s="8" t="s">
        <v>21731</v>
      </c>
      <c r="F4822" s="47"/>
      <c r="G4822" s="8">
        <v>18</v>
      </c>
      <c r="H4822" s="8" t="s">
        <v>21</v>
      </c>
      <c r="I4822" s="8" t="s">
        <v>22</v>
      </c>
      <c r="J4822" s="8" t="s">
        <v>22</v>
      </c>
      <c r="K4822" s="8" t="s">
        <v>50</v>
      </c>
      <c r="L4822" s="8" t="s">
        <v>18289</v>
      </c>
      <c r="M4822" s="8" t="s">
        <v>18290</v>
      </c>
      <c r="N4822" s="8" t="s">
        <v>21732</v>
      </c>
      <c r="O4822" s="8">
        <f>12+56/60+29.3/3600</f>
        <v>12.941472222222222</v>
      </c>
      <c r="P4822" s="8" t="s">
        <v>21733</v>
      </c>
      <c r="Q4822" s="8">
        <f>+(26+57/60+25/3600)</f>
        <v>26.956944444444442</v>
      </c>
      <c r="R4822" s="8">
        <v>14.5</v>
      </c>
      <c r="S4822" s="8">
        <v>15.5</v>
      </c>
      <c r="T4822" s="8">
        <v>1</v>
      </c>
      <c r="U4822" s="8">
        <v>12.5</v>
      </c>
      <c r="V4822" s="8">
        <v>0.5</v>
      </c>
      <c r="W4822" s="8">
        <v>0.3</v>
      </c>
      <c r="X4822" s="8">
        <v>5</v>
      </c>
      <c r="Y4822" s="8" t="s">
        <v>21</v>
      </c>
      <c r="Z4822" s="8" t="s">
        <v>21734</v>
      </c>
    </row>
    <row r="4823" spans="1:26" x14ac:dyDescent="0.2">
      <c r="A4823" s="8">
        <v>4822</v>
      </c>
      <c r="B4823" s="8" t="s">
        <v>21735</v>
      </c>
      <c r="C4823" s="8" t="s">
        <v>21735</v>
      </c>
      <c r="F4823" s="47"/>
      <c r="G4823" s="8">
        <v>19</v>
      </c>
      <c r="H4823" s="8" t="s">
        <v>21</v>
      </c>
      <c r="I4823" s="8" t="s">
        <v>22</v>
      </c>
      <c r="J4823" s="8" t="s">
        <v>22</v>
      </c>
      <c r="K4823" s="8" t="s">
        <v>58</v>
      </c>
      <c r="L4823" s="8" t="s">
        <v>17287</v>
      </c>
      <c r="M4823" s="8" t="s">
        <v>17288</v>
      </c>
      <c r="N4823" s="8" t="s">
        <v>21736</v>
      </c>
      <c r="O4823" s="8">
        <f>12+57/60+3.6/3600</f>
        <v>12.950999999999999</v>
      </c>
      <c r="P4823" s="8" t="s">
        <v>21737</v>
      </c>
      <c r="Q4823" s="8">
        <f>-(10+45/60+44/3600)</f>
        <v>-10.762222222222222</v>
      </c>
      <c r="R4823" s="8">
        <v>13.3</v>
      </c>
      <c r="S4823" s="8">
        <v>14.3</v>
      </c>
      <c r="T4823" s="8">
        <v>1</v>
      </c>
      <c r="U4823" s="8">
        <v>13</v>
      </c>
      <c r="V4823" s="8">
        <v>1.2</v>
      </c>
      <c r="W4823" s="8">
        <v>0.7</v>
      </c>
      <c r="X4823" s="8">
        <v>90</v>
      </c>
      <c r="Y4823" s="8" t="s">
        <v>21738</v>
      </c>
      <c r="Z4823" s="8" t="s">
        <v>21739</v>
      </c>
    </row>
    <row r="4824" spans="1:26" x14ac:dyDescent="0.2">
      <c r="A4824" s="8">
        <v>4823</v>
      </c>
      <c r="B4824" s="8" t="s">
        <v>21740</v>
      </c>
      <c r="C4824" s="8" t="s">
        <v>21740</v>
      </c>
      <c r="F4824" s="47"/>
      <c r="G4824" s="8">
        <v>19</v>
      </c>
      <c r="H4824" s="8" t="s">
        <v>21</v>
      </c>
      <c r="I4824" s="8" t="s">
        <v>22</v>
      </c>
      <c r="J4824" s="8" t="s">
        <v>22</v>
      </c>
      <c r="K4824" s="8" t="s">
        <v>632</v>
      </c>
      <c r="L4824" s="8" t="s">
        <v>17287</v>
      </c>
      <c r="M4824" s="8" t="s">
        <v>17288</v>
      </c>
      <c r="N4824" s="8" t="s">
        <v>21741</v>
      </c>
      <c r="O4824" s="8">
        <f>12+57/60+25.6/3600</f>
        <v>12.957111111111111</v>
      </c>
      <c r="P4824" s="8" t="s">
        <v>21742</v>
      </c>
      <c r="Q4824" s="8">
        <f>-(13+41/60+54/3600)</f>
        <v>-13.698333333333334</v>
      </c>
      <c r="R4824" s="8">
        <v>14.7</v>
      </c>
      <c r="S4824" s="8">
        <v>15.6</v>
      </c>
      <c r="T4824" s="8">
        <v>0.9</v>
      </c>
      <c r="U4824" s="8">
        <v>12.5</v>
      </c>
      <c r="V4824" s="8">
        <v>0.7</v>
      </c>
      <c r="W4824" s="8">
        <v>0.2</v>
      </c>
      <c r="X4824" s="8">
        <v>175</v>
      </c>
      <c r="Y4824" s="8" t="s">
        <v>21</v>
      </c>
      <c r="Z4824" s="8" t="s">
        <v>21730</v>
      </c>
    </row>
    <row r="4825" spans="1:26" x14ac:dyDescent="0.2">
      <c r="A4825" s="8">
        <v>4824</v>
      </c>
      <c r="B4825" s="8" t="s">
        <v>21743</v>
      </c>
      <c r="C4825" s="8" t="s">
        <v>21743</v>
      </c>
      <c r="F4825" s="47"/>
      <c r="G4825" s="8">
        <v>19</v>
      </c>
      <c r="H4825" s="8" t="s">
        <v>21</v>
      </c>
      <c r="I4825" s="8" t="s">
        <v>72</v>
      </c>
      <c r="J4825" s="8" t="s">
        <v>72</v>
      </c>
      <c r="K4825" s="8" t="s">
        <v>20</v>
      </c>
      <c r="L4825" s="8" t="s">
        <v>18289</v>
      </c>
      <c r="M4825" s="8" t="s">
        <v>18290</v>
      </c>
      <c r="N4825" s="8" t="s">
        <v>21744</v>
      </c>
      <c r="O4825" s="8">
        <f>12+56/60+36.2/3600</f>
        <v>12.943388888888888</v>
      </c>
      <c r="P4825" s="8" t="s">
        <v>21745</v>
      </c>
      <c r="Q4825" s="8">
        <f>+(27+26/60+1/3600)</f>
        <v>27.433611111111112</v>
      </c>
      <c r="R4825" s="8">
        <v>99</v>
      </c>
      <c r="S4825" s="8">
        <v>14.6</v>
      </c>
      <c r="T4825" s="8">
        <v>99</v>
      </c>
      <c r="U4825" s="8">
        <v>99</v>
      </c>
      <c r="Y4825" s="8" t="s">
        <v>282</v>
      </c>
      <c r="Z4825" s="8" t="s">
        <v>283</v>
      </c>
    </row>
    <row r="4826" spans="1:26" x14ac:dyDescent="0.2">
      <c r="A4826" s="8">
        <v>4825</v>
      </c>
      <c r="B4826" s="8" t="s">
        <v>21746</v>
      </c>
      <c r="C4826" s="8" t="s">
        <v>21746</v>
      </c>
      <c r="F4826" s="47" t="s">
        <v>57610</v>
      </c>
      <c r="G4826" s="8">
        <v>13</v>
      </c>
      <c r="H4826" s="8" t="s">
        <v>21</v>
      </c>
      <c r="I4826" s="8" t="s">
        <v>22</v>
      </c>
      <c r="J4826" s="8" t="s">
        <v>22</v>
      </c>
      <c r="K4826" s="8" t="s">
        <v>58</v>
      </c>
      <c r="L4826" s="8" t="s">
        <v>17287</v>
      </c>
      <c r="M4826" s="8" t="s">
        <v>17288</v>
      </c>
      <c r="N4826" s="8" t="s">
        <v>21747</v>
      </c>
      <c r="O4826" s="8">
        <f>12+57/60+12.2/3600</f>
        <v>12.953388888888888</v>
      </c>
      <c r="P4826" s="8" t="s">
        <v>6328</v>
      </c>
      <c r="Q4826" s="8">
        <f>-(13+39/60+52/3600)</f>
        <v>-13.664444444444445</v>
      </c>
      <c r="R4826" s="8">
        <v>11.7</v>
      </c>
      <c r="S4826" s="8">
        <v>12.7</v>
      </c>
      <c r="T4826" s="8">
        <v>1</v>
      </c>
      <c r="U4826" s="8">
        <v>12.5</v>
      </c>
      <c r="V4826" s="8">
        <v>2</v>
      </c>
      <c r="W4826" s="8">
        <v>1.1000000000000001</v>
      </c>
      <c r="X4826" s="8">
        <v>138</v>
      </c>
      <c r="Y4826" s="8" t="s">
        <v>21748</v>
      </c>
      <c r="Z4826" s="8" t="s">
        <v>21749</v>
      </c>
    </row>
    <row r="4827" spans="1:26" x14ac:dyDescent="0.2">
      <c r="A4827" s="8">
        <v>4826</v>
      </c>
      <c r="B4827" s="8" t="s">
        <v>21750</v>
      </c>
      <c r="C4827" s="8" t="s">
        <v>55917</v>
      </c>
      <c r="F4827" s="47"/>
      <c r="G4827" s="8">
        <v>1</v>
      </c>
      <c r="H4827" s="8" t="s">
        <v>21751</v>
      </c>
      <c r="I4827" s="8" t="s">
        <v>22</v>
      </c>
      <c r="J4827" s="8" t="s">
        <v>22</v>
      </c>
      <c r="K4827" s="8" t="s">
        <v>31</v>
      </c>
      <c r="L4827" s="8" t="s">
        <v>18289</v>
      </c>
      <c r="M4827" s="8" t="s">
        <v>18290</v>
      </c>
      <c r="N4827" s="8" t="s">
        <v>21752</v>
      </c>
      <c r="O4827" s="8">
        <f>12+56/60+43.8/3600</f>
        <v>12.945500000000001</v>
      </c>
      <c r="P4827" s="8" t="s">
        <v>21753</v>
      </c>
      <c r="Q4827" s="8">
        <f>+(21+40/60+59/3600)</f>
        <v>21.683055555555558</v>
      </c>
      <c r="R4827" s="8">
        <v>8.5</v>
      </c>
      <c r="S4827" s="8">
        <v>9.4</v>
      </c>
      <c r="T4827" s="8">
        <v>0.9</v>
      </c>
      <c r="U4827" s="8">
        <v>12.7</v>
      </c>
      <c r="V4827" s="8">
        <v>10</v>
      </c>
      <c r="W4827" s="8">
        <v>5.4</v>
      </c>
      <c r="X4827" s="8">
        <v>115</v>
      </c>
      <c r="Y4827" s="8" t="s">
        <v>21656</v>
      </c>
      <c r="Z4827" s="8" t="s">
        <v>21754</v>
      </c>
    </row>
    <row r="4828" spans="1:26" x14ac:dyDescent="0.2">
      <c r="A4828" s="8">
        <v>4827</v>
      </c>
      <c r="B4828" s="8" t="s">
        <v>21755</v>
      </c>
      <c r="C4828" s="8" t="s">
        <v>21755</v>
      </c>
      <c r="F4828" s="47" t="s">
        <v>57611</v>
      </c>
      <c r="G4828" s="8">
        <v>15</v>
      </c>
      <c r="H4828" s="8" t="s">
        <v>21</v>
      </c>
      <c r="I4828" s="8" t="s">
        <v>22</v>
      </c>
      <c r="J4828" s="8" t="s">
        <v>22</v>
      </c>
      <c r="K4828" s="8" t="s">
        <v>58</v>
      </c>
      <c r="L4828" s="8" t="s">
        <v>18289</v>
      </c>
      <c r="M4828" s="8" t="s">
        <v>18290</v>
      </c>
      <c r="N4828" s="8" t="s">
        <v>21756</v>
      </c>
      <c r="O4828" s="8">
        <f>12+56/60+43.7/3600</f>
        <v>12.945472222222222</v>
      </c>
      <c r="P4828" s="8" t="s">
        <v>21757</v>
      </c>
      <c r="Q4828" s="8">
        <f>+(27+10/60+43/3600)</f>
        <v>27.178611111111113</v>
      </c>
      <c r="R4828" s="8">
        <v>12.9</v>
      </c>
      <c r="S4828" s="8">
        <v>13.9</v>
      </c>
      <c r="T4828" s="8">
        <v>1</v>
      </c>
      <c r="U4828" s="8">
        <v>13.4</v>
      </c>
      <c r="V4828" s="8">
        <v>1.4</v>
      </c>
      <c r="W4828" s="8">
        <v>1.2</v>
      </c>
      <c r="X4828" s="8">
        <v>48</v>
      </c>
      <c r="Y4828" s="8" t="s">
        <v>20215</v>
      </c>
      <c r="Z4828" s="8" t="s">
        <v>20216</v>
      </c>
    </row>
    <row r="4829" spans="1:26" x14ac:dyDescent="0.2">
      <c r="A4829" s="8">
        <v>4828</v>
      </c>
      <c r="B4829" s="8" t="s">
        <v>21758</v>
      </c>
      <c r="C4829" s="8" t="s">
        <v>21758</v>
      </c>
      <c r="F4829" s="47"/>
      <c r="G4829" s="8">
        <v>18</v>
      </c>
      <c r="H4829" s="8" t="s">
        <v>21</v>
      </c>
      <c r="I4829" s="8" t="s">
        <v>22</v>
      </c>
      <c r="J4829" s="8" t="s">
        <v>22</v>
      </c>
      <c r="K4829" s="8" t="s">
        <v>37</v>
      </c>
      <c r="L4829" s="8" t="s">
        <v>18289</v>
      </c>
      <c r="M4829" s="8" t="s">
        <v>18290</v>
      </c>
      <c r="N4829" s="8" t="s">
        <v>21759</v>
      </c>
      <c r="O4829" s="8">
        <f>12+56/60+42.8/3600</f>
        <v>12.945222222222222</v>
      </c>
      <c r="P4829" s="8" t="s">
        <v>21760</v>
      </c>
      <c r="Q4829" s="8">
        <f>+(28+1/60+15/3600)</f>
        <v>28.020833333333332</v>
      </c>
      <c r="R4829" s="8">
        <v>14.2</v>
      </c>
      <c r="S4829" s="8">
        <v>15.2</v>
      </c>
      <c r="T4829" s="8">
        <v>1</v>
      </c>
      <c r="U4829" s="8">
        <v>12.7</v>
      </c>
      <c r="V4829" s="8">
        <v>0.7</v>
      </c>
      <c r="W4829" s="8">
        <v>0.7</v>
      </c>
      <c r="Y4829" s="8" t="s">
        <v>895</v>
      </c>
      <c r="Z4829" s="8" t="s">
        <v>896</v>
      </c>
    </row>
    <row r="4830" spans="1:26" x14ac:dyDescent="0.2">
      <c r="A4830" s="8">
        <v>4829</v>
      </c>
      <c r="B4830" s="8" t="s">
        <v>21761</v>
      </c>
      <c r="C4830" s="8" t="s">
        <v>21761</v>
      </c>
      <c r="F4830" s="47"/>
      <c r="G4830" s="8">
        <v>19</v>
      </c>
      <c r="H4830" s="8" t="s">
        <v>21</v>
      </c>
      <c r="I4830" s="8" t="s">
        <v>22</v>
      </c>
      <c r="J4830" s="8" t="s">
        <v>22</v>
      </c>
      <c r="K4830" s="8" t="s">
        <v>382</v>
      </c>
      <c r="L4830" s="8" t="s">
        <v>17287</v>
      </c>
      <c r="M4830" s="8" t="s">
        <v>17288</v>
      </c>
      <c r="N4830" s="8" t="s">
        <v>21762</v>
      </c>
      <c r="O4830" s="8">
        <f>12+57/60+24.5/3600</f>
        <v>12.956805555555555</v>
      </c>
      <c r="P4830" s="8" t="s">
        <v>21763</v>
      </c>
      <c r="Q4830" s="8">
        <f>-(13+44/60+14/3600)</f>
        <v>-13.737222222222222</v>
      </c>
      <c r="R4830" s="8">
        <v>14.8</v>
      </c>
      <c r="S4830" s="8">
        <v>15.8</v>
      </c>
      <c r="T4830" s="8">
        <v>1</v>
      </c>
      <c r="U4830" s="8">
        <v>12.6</v>
      </c>
      <c r="V4830" s="8">
        <v>0.4</v>
      </c>
      <c r="W4830" s="8">
        <v>0.3</v>
      </c>
      <c r="X4830" s="8">
        <v>105</v>
      </c>
      <c r="Y4830" s="8" t="s">
        <v>21</v>
      </c>
      <c r="Z4830" s="8" t="s">
        <v>21764</v>
      </c>
    </row>
    <row r="4831" spans="1:26" x14ac:dyDescent="0.2">
      <c r="A4831" s="8">
        <v>4830</v>
      </c>
      <c r="B4831" s="8" t="s">
        <v>21765</v>
      </c>
      <c r="C4831" s="8" t="s">
        <v>21765</v>
      </c>
      <c r="F4831" s="47"/>
      <c r="G4831" s="8">
        <v>19</v>
      </c>
      <c r="H4831" s="8" t="s">
        <v>21</v>
      </c>
      <c r="I4831" s="8" t="s">
        <v>22</v>
      </c>
      <c r="J4831" s="8" t="s">
        <v>22</v>
      </c>
      <c r="K4831" s="8" t="s">
        <v>118</v>
      </c>
      <c r="L4831" s="8" t="s">
        <v>17287</v>
      </c>
      <c r="M4831" s="8" t="s">
        <v>17288</v>
      </c>
      <c r="N4831" s="8" t="s">
        <v>21766</v>
      </c>
      <c r="O4831" s="8">
        <f>12+57/60+27.9/3600</f>
        <v>12.957749999999999</v>
      </c>
      <c r="P4831" s="8" t="s">
        <v>21767</v>
      </c>
      <c r="Q4831" s="8">
        <f>-(19+41/60+28/3600)</f>
        <v>-19.691111111111113</v>
      </c>
      <c r="R4831" s="8">
        <v>12.1</v>
      </c>
      <c r="S4831" s="8">
        <v>13.1</v>
      </c>
      <c r="T4831" s="8">
        <v>1</v>
      </c>
      <c r="U4831" s="8">
        <v>12.8</v>
      </c>
      <c r="V4831" s="8">
        <v>2.2000000000000002</v>
      </c>
      <c r="W4831" s="8">
        <v>1.4</v>
      </c>
      <c r="X4831" s="8">
        <v>157</v>
      </c>
      <c r="Y4831" s="8" t="s">
        <v>21</v>
      </c>
      <c r="Z4831" s="8" t="s">
        <v>21768</v>
      </c>
    </row>
    <row r="4832" spans="1:26" x14ac:dyDescent="0.2">
      <c r="A4832" s="8">
        <v>4831</v>
      </c>
      <c r="B4832" s="8" t="s">
        <v>21769</v>
      </c>
      <c r="C4832" s="8" t="s">
        <v>21769</v>
      </c>
      <c r="F4832" s="47"/>
      <c r="G4832" s="8">
        <v>16</v>
      </c>
      <c r="H4832" s="8" t="s">
        <v>21</v>
      </c>
      <c r="I4832" s="8" t="s">
        <v>22</v>
      </c>
      <c r="J4832" s="8" t="s">
        <v>22</v>
      </c>
      <c r="K4832" s="8" t="s">
        <v>118</v>
      </c>
      <c r="L4832" s="8" t="s">
        <v>11765</v>
      </c>
      <c r="M4832" s="8" t="s">
        <v>11766</v>
      </c>
      <c r="N4832" s="8" t="s">
        <v>21770</v>
      </c>
      <c r="O4832" s="8">
        <f>12+57/60+36.6/3600</f>
        <v>12.960166666666666</v>
      </c>
      <c r="P4832" s="8" t="s">
        <v>21771</v>
      </c>
      <c r="Q4832" s="8">
        <f>-(27+17/60+31/3600)</f>
        <v>-27.291944444444447</v>
      </c>
      <c r="R4832" s="8">
        <v>12.5</v>
      </c>
      <c r="S4832" s="8">
        <v>13.5</v>
      </c>
      <c r="T4832" s="8">
        <v>1</v>
      </c>
      <c r="U4832" s="8">
        <v>12.8</v>
      </c>
      <c r="V4832" s="8">
        <v>1.7</v>
      </c>
      <c r="W4832" s="8">
        <v>0.9</v>
      </c>
      <c r="X4832" s="8">
        <v>178</v>
      </c>
      <c r="Y4832" s="8" t="s">
        <v>6420</v>
      </c>
      <c r="Z4832" s="8" t="s">
        <v>6421</v>
      </c>
    </row>
    <row r="4833" spans="1:26" x14ac:dyDescent="0.2">
      <c r="A4833" s="8">
        <v>4832</v>
      </c>
      <c r="B4833" s="8" t="s">
        <v>21772</v>
      </c>
      <c r="C4833" s="8" t="s">
        <v>21772</v>
      </c>
      <c r="F4833" s="47"/>
      <c r="G4833" s="8">
        <v>16</v>
      </c>
      <c r="H4833" s="8" t="s">
        <v>21</v>
      </c>
      <c r="I4833" s="8" t="s">
        <v>22</v>
      </c>
      <c r="J4833" s="8" t="s">
        <v>22</v>
      </c>
      <c r="K4833" s="8" t="s">
        <v>37</v>
      </c>
      <c r="L4833" s="8" t="s">
        <v>16195</v>
      </c>
      <c r="M4833" s="8" t="s">
        <v>16196</v>
      </c>
      <c r="N4833" s="8" t="s">
        <v>21773</v>
      </c>
      <c r="O4833" s="8">
        <f>12+57/60+47.4/3600</f>
        <v>12.963166666666666</v>
      </c>
      <c r="P4833" s="8" t="s">
        <v>21774</v>
      </c>
      <c r="Q4833" s="8">
        <f>-(39+45/60+43/3600)</f>
        <v>-39.761944444444445</v>
      </c>
      <c r="R4833" s="8">
        <v>11.1</v>
      </c>
      <c r="S4833" s="8">
        <v>12.2</v>
      </c>
      <c r="T4833" s="8">
        <v>1.1000000000000001</v>
      </c>
      <c r="U4833" s="8">
        <v>12.9</v>
      </c>
      <c r="V4833" s="8">
        <v>1.8</v>
      </c>
      <c r="W4833" s="8">
        <v>1.2</v>
      </c>
      <c r="X4833" s="8">
        <v>25</v>
      </c>
      <c r="Y4833" s="8" t="s">
        <v>21</v>
      </c>
      <c r="Z4833" s="8" t="s">
        <v>21775</v>
      </c>
    </row>
    <row r="4834" spans="1:26" x14ac:dyDescent="0.2">
      <c r="A4834" s="8">
        <v>4833</v>
      </c>
      <c r="B4834" s="8" t="s">
        <v>21776</v>
      </c>
      <c r="C4834" s="8" t="s">
        <v>21776</v>
      </c>
      <c r="F4834" s="47"/>
      <c r="G4834" s="8">
        <v>2</v>
      </c>
      <c r="H4834" s="8" t="s">
        <v>21777</v>
      </c>
      <c r="I4834" s="8" t="s">
        <v>567</v>
      </c>
      <c r="J4834" s="8" t="s">
        <v>567</v>
      </c>
      <c r="K4834" s="8" t="s">
        <v>21778</v>
      </c>
      <c r="L4834" s="8" t="s">
        <v>18521</v>
      </c>
      <c r="M4834" s="8" t="s">
        <v>18522</v>
      </c>
      <c r="N4834" s="8" t="s">
        <v>21779</v>
      </c>
      <c r="O4834" s="8">
        <f>12+59/60+35/3600</f>
        <v>12.993055555555555</v>
      </c>
      <c r="P4834" s="8" t="s">
        <v>21780</v>
      </c>
      <c r="Q4834" s="8">
        <f>-(70+52/60+27/3600)</f>
        <v>-70.874166666666653</v>
      </c>
      <c r="R4834" s="8">
        <v>8.4</v>
      </c>
      <c r="S4834" s="8">
        <v>99</v>
      </c>
      <c r="T4834" s="8">
        <v>99</v>
      </c>
      <c r="U4834" s="8">
        <v>99</v>
      </c>
      <c r="V4834" s="8">
        <v>14</v>
      </c>
      <c r="Y4834" s="8" t="s">
        <v>21781</v>
      </c>
      <c r="Z4834" s="8" t="s">
        <v>21782</v>
      </c>
    </row>
    <row r="4835" spans="1:26" x14ac:dyDescent="0.2">
      <c r="A4835" s="8">
        <v>4834</v>
      </c>
      <c r="B4835" s="8" t="s">
        <v>21783</v>
      </c>
      <c r="C4835" s="8" t="s">
        <v>21783</v>
      </c>
      <c r="F4835" s="47" t="s">
        <v>57612</v>
      </c>
      <c r="G4835" s="8">
        <v>15</v>
      </c>
      <c r="H4835" s="8" t="s">
        <v>21</v>
      </c>
      <c r="I4835" s="8" t="s">
        <v>22</v>
      </c>
      <c r="J4835" s="8" t="s">
        <v>22</v>
      </c>
      <c r="K4835" s="8" t="s">
        <v>396</v>
      </c>
      <c r="L4835" s="8" t="s">
        <v>18681</v>
      </c>
      <c r="M4835" s="8" t="s">
        <v>18682</v>
      </c>
      <c r="N4835" s="8" t="s">
        <v>21784</v>
      </c>
      <c r="O4835" s="8">
        <f>12+56/60+25.1/3600</f>
        <v>12.940305555555556</v>
      </c>
      <c r="P4835" s="8" t="s">
        <v>21785</v>
      </c>
      <c r="Q4835" s="8">
        <f>+(52+17/60+45/3600)</f>
        <v>52.295833333333334</v>
      </c>
      <c r="R4835" s="8">
        <v>14.8</v>
      </c>
      <c r="S4835" s="8">
        <v>15.6</v>
      </c>
      <c r="T4835" s="8">
        <v>0.8</v>
      </c>
      <c r="U4835" s="8">
        <v>13.2</v>
      </c>
      <c r="V4835" s="8">
        <v>0.9</v>
      </c>
      <c r="W4835" s="8">
        <v>0.3</v>
      </c>
      <c r="X4835" s="8">
        <v>108</v>
      </c>
      <c r="Y4835" s="8" t="s">
        <v>21786</v>
      </c>
      <c r="Z4835" s="8" t="s">
        <v>21787</v>
      </c>
    </row>
    <row r="4836" spans="1:26" x14ac:dyDescent="0.2">
      <c r="A4836" s="8">
        <v>4835</v>
      </c>
      <c r="B4836" s="8" t="s">
        <v>21788</v>
      </c>
      <c r="C4836" s="8" t="s">
        <v>21788</v>
      </c>
      <c r="F4836" s="47"/>
      <c r="G4836" s="8">
        <v>13</v>
      </c>
      <c r="H4836" s="8" t="s">
        <v>21</v>
      </c>
      <c r="I4836" s="8" t="s">
        <v>22</v>
      </c>
      <c r="J4836" s="8" t="s">
        <v>22</v>
      </c>
      <c r="K4836" s="8" t="s">
        <v>85</v>
      </c>
      <c r="L4836" s="8" t="s">
        <v>16195</v>
      </c>
      <c r="M4836" s="8" t="s">
        <v>16196</v>
      </c>
      <c r="N4836" s="8" t="s">
        <v>21789</v>
      </c>
      <c r="O4836" s="8">
        <f>12+58/60+7.7/3600</f>
        <v>12.968805555555555</v>
      </c>
      <c r="P4836" s="8" t="s">
        <v>21790</v>
      </c>
      <c r="Q4836" s="8">
        <f>-(46+15/60+54/3600)</f>
        <v>-46.265000000000001</v>
      </c>
      <c r="R4836" s="8">
        <v>11.6</v>
      </c>
      <c r="S4836" s="8">
        <v>12.4</v>
      </c>
      <c r="T4836" s="8">
        <v>0.8</v>
      </c>
      <c r="U4836" s="8">
        <v>12.8</v>
      </c>
      <c r="V4836" s="8">
        <v>4</v>
      </c>
      <c r="W4836" s="8">
        <v>0.9</v>
      </c>
      <c r="X4836" s="8">
        <v>150</v>
      </c>
      <c r="Y4836" s="8" t="s">
        <v>21791</v>
      </c>
      <c r="Z4836" s="8" t="s">
        <v>21792</v>
      </c>
    </row>
    <row r="4837" spans="1:26" x14ac:dyDescent="0.2">
      <c r="A4837" s="8">
        <v>4836</v>
      </c>
      <c r="B4837" s="8" t="s">
        <v>21793</v>
      </c>
      <c r="C4837" s="8" t="s">
        <v>21793</v>
      </c>
      <c r="F4837" s="47"/>
      <c r="G4837" s="8">
        <v>19</v>
      </c>
      <c r="H4837" s="8" t="s">
        <v>21</v>
      </c>
      <c r="I4837" s="8" t="s">
        <v>22</v>
      </c>
      <c r="J4837" s="8" t="s">
        <v>22</v>
      </c>
      <c r="K4837" s="8" t="s">
        <v>579</v>
      </c>
      <c r="L4837" s="8" t="s">
        <v>17287</v>
      </c>
      <c r="M4837" s="8" t="s">
        <v>17288</v>
      </c>
      <c r="N4837" s="8" t="s">
        <v>21794</v>
      </c>
      <c r="O4837" s="8">
        <f>12+57/60+34.2/3600</f>
        <v>12.959499999999998</v>
      </c>
      <c r="P4837" s="8" t="s">
        <v>21795</v>
      </c>
      <c r="Q4837" s="8">
        <f>-(12+44/60+37/3600)</f>
        <v>-12.743611111111111</v>
      </c>
      <c r="R4837" s="8">
        <v>13.4</v>
      </c>
      <c r="S4837" s="8">
        <v>14.1</v>
      </c>
      <c r="T4837" s="8">
        <v>0.7</v>
      </c>
      <c r="U4837" s="8">
        <v>13.7</v>
      </c>
      <c r="V4837" s="8">
        <v>1.4</v>
      </c>
      <c r="W4837" s="8">
        <v>1.1000000000000001</v>
      </c>
      <c r="X4837" s="8">
        <v>5</v>
      </c>
      <c r="Y4837" s="8" t="s">
        <v>17823</v>
      </c>
      <c r="Z4837" s="8" t="s">
        <v>17824</v>
      </c>
    </row>
    <row r="4838" spans="1:26" x14ac:dyDescent="0.2">
      <c r="A4838" s="8">
        <v>4837</v>
      </c>
      <c r="B4838" s="8" t="s">
        <v>21796</v>
      </c>
      <c r="C4838" s="8" t="s">
        <v>21796</v>
      </c>
      <c r="E4838" s="8">
        <v>1</v>
      </c>
      <c r="F4838" s="47"/>
      <c r="G4838" s="8">
        <v>16</v>
      </c>
      <c r="H4838" s="8" t="s">
        <v>21</v>
      </c>
      <c r="I4838" s="8" t="s">
        <v>22</v>
      </c>
      <c r="J4838" s="8" t="s">
        <v>22</v>
      </c>
      <c r="K4838" s="8" t="s">
        <v>1174</v>
      </c>
      <c r="L4838" s="8" t="s">
        <v>18681</v>
      </c>
      <c r="M4838" s="8" t="s">
        <v>18682</v>
      </c>
      <c r="N4838" s="8" t="s">
        <v>21797</v>
      </c>
      <c r="O4838" s="8">
        <f>12+56/60+47.8/3600</f>
        <v>12.946611111111112</v>
      </c>
      <c r="P4838" s="8" t="s">
        <v>21798</v>
      </c>
      <c r="Q4838" s="8">
        <f>+(48+17/60+46/3600)</f>
        <v>48.296111111111109</v>
      </c>
      <c r="R4838" s="8">
        <v>13.4</v>
      </c>
      <c r="S4838" s="8">
        <v>14.4</v>
      </c>
      <c r="T4838" s="8">
        <v>1</v>
      </c>
      <c r="U4838" s="8">
        <v>12.6</v>
      </c>
      <c r="V4838" s="8">
        <v>1.1000000000000001</v>
      </c>
      <c r="W4838" s="8">
        <v>0.5</v>
      </c>
      <c r="X4838" s="8">
        <v>70</v>
      </c>
      <c r="Y4838" s="8" t="s">
        <v>21</v>
      </c>
      <c r="Z4838" s="8" t="s">
        <v>21799</v>
      </c>
    </row>
    <row r="4839" spans="1:26" x14ac:dyDescent="0.2">
      <c r="A4839" s="8">
        <v>4838</v>
      </c>
      <c r="B4839" s="8" t="s">
        <v>21800</v>
      </c>
      <c r="C4839" s="8" t="s">
        <v>21800</v>
      </c>
      <c r="F4839" s="47"/>
      <c r="G4839" s="8">
        <v>16</v>
      </c>
      <c r="H4839" s="8" t="s">
        <v>21</v>
      </c>
      <c r="I4839" s="8" t="s">
        <v>22</v>
      </c>
      <c r="J4839" s="8" t="s">
        <v>22</v>
      </c>
      <c r="K4839" s="8" t="s">
        <v>218</v>
      </c>
      <c r="L4839" s="8" t="s">
        <v>17287</v>
      </c>
      <c r="M4839" s="8" t="s">
        <v>17288</v>
      </c>
      <c r="N4839" s="8" t="s">
        <v>21801</v>
      </c>
      <c r="O4839" s="8">
        <f>12+57/60+56.1/3600</f>
        <v>12.965583333333333</v>
      </c>
      <c r="P4839" s="8" t="s">
        <v>21802</v>
      </c>
      <c r="Q4839" s="8">
        <f>-(13+3/60+37/3600)</f>
        <v>-13.060277777777779</v>
      </c>
      <c r="R4839" s="8">
        <v>13</v>
      </c>
      <c r="S4839" s="8">
        <v>13.8</v>
      </c>
      <c r="T4839" s="8">
        <v>0.8</v>
      </c>
      <c r="U4839" s="8">
        <v>13.7</v>
      </c>
      <c r="V4839" s="8">
        <v>1.6</v>
      </c>
      <c r="W4839" s="8">
        <v>1.4</v>
      </c>
      <c r="X4839" s="8">
        <v>150</v>
      </c>
      <c r="Y4839" s="8" t="s">
        <v>21</v>
      </c>
      <c r="Z4839" s="8" t="s">
        <v>21803</v>
      </c>
    </row>
    <row r="4840" spans="1:26" x14ac:dyDescent="0.2">
      <c r="A4840" s="8">
        <v>4839</v>
      </c>
      <c r="B4840" s="8" t="s">
        <v>21804</v>
      </c>
      <c r="C4840" s="8" t="s">
        <v>21804</v>
      </c>
      <c r="F4840" s="47" t="s">
        <v>57613</v>
      </c>
      <c r="G4840" s="8">
        <v>15</v>
      </c>
      <c r="H4840" s="8" t="s">
        <v>21</v>
      </c>
      <c r="I4840" s="8" t="s">
        <v>22</v>
      </c>
      <c r="J4840" s="8" t="s">
        <v>22</v>
      </c>
      <c r="K4840" s="8" t="s">
        <v>1068</v>
      </c>
      <c r="L4840" s="8" t="s">
        <v>18289</v>
      </c>
      <c r="M4840" s="8" t="s">
        <v>18290</v>
      </c>
      <c r="N4840" s="8" t="s">
        <v>21805</v>
      </c>
      <c r="O4840" s="8">
        <f>12+57/60+24.4/3600</f>
        <v>12.956777777777777</v>
      </c>
      <c r="P4840" s="8" t="s">
        <v>21806</v>
      </c>
      <c r="Q4840" s="8">
        <f>+(27+29/60+51/3600)</f>
        <v>27.497500000000002</v>
      </c>
      <c r="R4840" s="8">
        <v>12.1</v>
      </c>
      <c r="S4840" s="8">
        <v>13</v>
      </c>
      <c r="T4840" s="8">
        <v>0.9</v>
      </c>
      <c r="U4840" s="8">
        <v>14.3</v>
      </c>
      <c r="V4840" s="8">
        <v>4</v>
      </c>
      <c r="W4840" s="8">
        <v>1.9</v>
      </c>
      <c r="X4840" s="8">
        <v>65</v>
      </c>
      <c r="Y4840" s="8" t="s">
        <v>5711</v>
      </c>
      <c r="Z4840" s="8" t="s">
        <v>5712</v>
      </c>
    </row>
    <row r="4841" spans="1:26" x14ac:dyDescent="0.2">
      <c r="A4841" s="8">
        <v>4840</v>
      </c>
      <c r="B4841" s="8" t="s">
        <v>21807</v>
      </c>
      <c r="C4841" s="8" t="s">
        <v>21807</v>
      </c>
      <c r="F4841" s="47" t="s">
        <v>57614</v>
      </c>
      <c r="G4841" s="8">
        <v>15</v>
      </c>
      <c r="H4841" s="8" t="s">
        <v>21</v>
      </c>
      <c r="I4841" s="8" t="s">
        <v>22</v>
      </c>
      <c r="J4841" s="8" t="s">
        <v>22</v>
      </c>
      <c r="K4841" s="8" t="s">
        <v>183</v>
      </c>
      <c r="L4841" s="8" t="s">
        <v>18289</v>
      </c>
      <c r="M4841" s="8" t="s">
        <v>18290</v>
      </c>
      <c r="N4841" s="8" t="s">
        <v>21808</v>
      </c>
      <c r="O4841" s="8">
        <f>12+57/60+32.8/3600</f>
        <v>12.95911111111111</v>
      </c>
      <c r="P4841" s="8" t="s">
        <v>21809</v>
      </c>
      <c r="Q4841" s="8">
        <f>+(27+36/60+38/3600)</f>
        <v>27.610555555555557</v>
      </c>
      <c r="R4841" s="8">
        <v>13.7</v>
      </c>
      <c r="S4841" s="8">
        <v>14.7</v>
      </c>
      <c r="T4841" s="8">
        <v>1</v>
      </c>
      <c r="U4841" s="8">
        <v>12.9</v>
      </c>
      <c r="V4841" s="8">
        <v>0.7</v>
      </c>
      <c r="W4841" s="8">
        <v>0.7</v>
      </c>
      <c r="Y4841" s="8" t="s">
        <v>282</v>
      </c>
      <c r="Z4841" s="8" t="s">
        <v>283</v>
      </c>
    </row>
    <row r="4842" spans="1:26" x14ac:dyDescent="0.2">
      <c r="A4842" s="8">
        <v>4841</v>
      </c>
      <c r="B4842" s="8" t="s">
        <v>21810</v>
      </c>
      <c r="C4842" s="8" t="s">
        <v>21810</v>
      </c>
      <c r="D4842" s="8" t="s">
        <v>1619</v>
      </c>
      <c r="F4842" s="47" t="s">
        <v>57615</v>
      </c>
      <c r="G4842" s="8">
        <v>15</v>
      </c>
      <c r="H4842" s="8" t="s">
        <v>21</v>
      </c>
      <c r="I4842" s="8" t="s">
        <v>22</v>
      </c>
      <c r="J4842" s="8" t="s">
        <v>22</v>
      </c>
      <c r="K4842" s="8" t="s">
        <v>382</v>
      </c>
      <c r="L4842" s="8" t="s">
        <v>18289</v>
      </c>
      <c r="M4842" s="8" t="s">
        <v>18290</v>
      </c>
      <c r="N4842" s="8" t="s">
        <v>21811</v>
      </c>
      <c r="O4842" s="8">
        <f>12+57/60+34/3600</f>
        <v>12.959444444444443</v>
      </c>
      <c r="P4842" s="8" t="s">
        <v>21812</v>
      </c>
      <c r="Q4842" s="8">
        <f>+(28+28/60+56/3600)</f>
        <v>28.482222222222219</v>
      </c>
      <c r="R4842" s="8">
        <v>13</v>
      </c>
      <c r="S4842" s="8">
        <v>14</v>
      </c>
      <c r="T4842" s="8">
        <v>1</v>
      </c>
      <c r="U4842" s="8">
        <v>12.7</v>
      </c>
      <c r="V4842" s="8">
        <v>1</v>
      </c>
      <c r="W4842" s="8">
        <v>0.7</v>
      </c>
      <c r="X4842" s="8">
        <v>134</v>
      </c>
      <c r="Y4842" s="8" t="s">
        <v>21813</v>
      </c>
      <c r="Z4842" s="8" t="s">
        <v>21814</v>
      </c>
    </row>
    <row r="4843" spans="1:26" x14ac:dyDescent="0.2">
      <c r="A4843" s="8">
        <v>4842</v>
      </c>
      <c r="B4843" s="8" t="s">
        <v>21815</v>
      </c>
      <c r="C4843" s="8" t="s">
        <v>21815</v>
      </c>
      <c r="D4843" s="8" t="s">
        <v>351</v>
      </c>
      <c r="F4843" s="47"/>
      <c r="G4843" s="8">
        <v>18</v>
      </c>
      <c r="H4843" s="8" t="s">
        <v>21</v>
      </c>
      <c r="I4843" s="8" t="s">
        <v>22</v>
      </c>
      <c r="J4843" s="8" t="s">
        <v>22</v>
      </c>
      <c r="K4843" s="8" t="s">
        <v>460</v>
      </c>
      <c r="L4843" s="8" t="s">
        <v>18289</v>
      </c>
      <c r="M4843" s="8" t="s">
        <v>18290</v>
      </c>
      <c r="N4843" s="8" t="s">
        <v>21816</v>
      </c>
      <c r="O4843" s="8">
        <f>12+57/60+36/3600</f>
        <v>12.959999999999999</v>
      </c>
      <c r="P4843" s="8" t="s">
        <v>21817</v>
      </c>
      <c r="Q4843" s="8">
        <f>+(27+29/60+35/3600)</f>
        <v>27.493055555555557</v>
      </c>
      <c r="R4843" s="8">
        <v>14</v>
      </c>
      <c r="S4843" s="8">
        <v>15</v>
      </c>
      <c r="T4843" s="8">
        <v>1</v>
      </c>
      <c r="U4843" s="8">
        <v>12.1</v>
      </c>
      <c r="V4843" s="8">
        <v>0.4</v>
      </c>
      <c r="W4843" s="8">
        <v>0.4</v>
      </c>
      <c r="Y4843" s="8" t="s">
        <v>21</v>
      </c>
      <c r="Z4843" s="8" t="s">
        <v>21818</v>
      </c>
    </row>
    <row r="4844" spans="1:26" x14ac:dyDescent="0.2">
      <c r="A4844" s="8">
        <v>4843</v>
      </c>
      <c r="B4844" s="8" t="s">
        <v>21819</v>
      </c>
      <c r="C4844" s="8" t="s">
        <v>21819</v>
      </c>
      <c r="F4844" s="47" t="s">
        <v>57616</v>
      </c>
      <c r="G4844" s="8">
        <v>15</v>
      </c>
      <c r="H4844" s="8" t="s">
        <v>21</v>
      </c>
      <c r="I4844" s="8" t="s">
        <v>22</v>
      </c>
      <c r="J4844" s="8" t="s">
        <v>22</v>
      </c>
      <c r="K4844" s="8" t="s">
        <v>632</v>
      </c>
      <c r="L4844" s="8" t="s">
        <v>17287</v>
      </c>
      <c r="M4844" s="8" t="s">
        <v>17288</v>
      </c>
      <c r="N4844" s="8" t="s">
        <v>21820</v>
      </c>
      <c r="O4844" s="8">
        <f>12+58/60+0.9/3600</f>
        <v>12.966916666666666</v>
      </c>
      <c r="P4844" s="8" t="s">
        <v>21821</v>
      </c>
      <c r="Q4844" s="8">
        <f>-(3+37/60+17/3600)</f>
        <v>-3.6213888888888888</v>
      </c>
      <c r="R4844" s="8">
        <v>13</v>
      </c>
      <c r="S4844" s="8">
        <v>13.9</v>
      </c>
      <c r="T4844" s="8">
        <v>0.9</v>
      </c>
      <c r="U4844" s="8">
        <v>12.9</v>
      </c>
      <c r="V4844" s="8">
        <v>2.1</v>
      </c>
      <c r="W4844" s="8">
        <v>0.5</v>
      </c>
      <c r="X4844" s="8">
        <v>87</v>
      </c>
      <c r="Y4844" s="8" t="s">
        <v>21</v>
      </c>
      <c r="Z4844" s="8" t="s">
        <v>21822</v>
      </c>
    </row>
    <row r="4845" spans="1:26" x14ac:dyDescent="0.2">
      <c r="A4845" s="8">
        <v>4844</v>
      </c>
      <c r="B4845" s="8" t="s">
        <v>21823</v>
      </c>
      <c r="C4845" s="8" t="s">
        <v>21823</v>
      </c>
      <c r="F4845" s="47"/>
      <c r="G4845" s="8">
        <v>19</v>
      </c>
      <c r="H4845" s="8" t="s">
        <v>21</v>
      </c>
      <c r="I4845" s="8" t="s">
        <v>72</v>
      </c>
      <c r="J4845" s="8" t="s">
        <v>72</v>
      </c>
      <c r="K4845" s="8" t="s">
        <v>20</v>
      </c>
      <c r="L4845" s="8" t="s">
        <v>17287</v>
      </c>
      <c r="M4845" s="8" t="s">
        <v>17288</v>
      </c>
      <c r="N4845" s="8" t="s">
        <v>21824</v>
      </c>
      <c r="O4845" s="8">
        <f>12+58/60+8.4/3600</f>
        <v>12.968999999999999</v>
      </c>
      <c r="P4845" s="8" t="s">
        <v>21825</v>
      </c>
      <c r="Q4845" s="8">
        <f>-(13+4/60+46/3600)</f>
        <v>-13.079444444444444</v>
      </c>
      <c r="R4845" s="8">
        <v>99</v>
      </c>
      <c r="S4845" s="8">
        <v>15.3</v>
      </c>
      <c r="T4845" s="8">
        <v>99</v>
      </c>
      <c r="U4845" s="8">
        <v>99</v>
      </c>
      <c r="Y4845" s="8" t="s">
        <v>4065</v>
      </c>
      <c r="Z4845" s="8" t="s">
        <v>4066</v>
      </c>
    </row>
    <row r="4846" spans="1:26" x14ac:dyDescent="0.2">
      <c r="A4846" s="8">
        <v>4845</v>
      </c>
      <c r="B4846" s="8" t="s">
        <v>21826</v>
      </c>
      <c r="C4846" s="8" t="s">
        <v>21826</v>
      </c>
      <c r="F4846" s="47" t="s">
        <v>57617</v>
      </c>
      <c r="G4846" s="8">
        <v>6</v>
      </c>
      <c r="H4846" s="8" t="s">
        <v>21</v>
      </c>
      <c r="I4846" s="8" t="s">
        <v>22</v>
      </c>
      <c r="J4846" s="8" t="s">
        <v>22</v>
      </c>
      <c r="K4846" s="8" t="s">
        <v>31</v>
      </c>
      <c r="L4846" s="8" t="s">
        <v>17287</v>
      </c>
      <c r="M4846" s="8" t="s">
        <v>17288</v>
      </c>
      <c r="N4846" s="8" t="s">
        <v>21820</v>
      </c>
      <c r="O4846" s="8">
        <f>12+58/60+0.9/3600</f>
        <v>12.966916666666666</v>
      </c>
      <c r="P4846" s="8" t="s">
        <v>21827</v>
      </c>
      <c r="Q4846" s="8">
        <f>+(1+34/60+32/3600)</f>
        <v>1.5755555555555556</v>
      </c>
      <c r="R4846" s="8">
        <v>11.2</v>
      </c>
      <c r="S4846" s="8">
        <v>12.1</v>
      </c>
      <c r="T4846" s="8">
        <v>0.9</v>
      </c>
      <c r="U4846" s="8">
        <v>13.1</v>
      </c>
      <c r="V4846" s="8">
        <v>4.9000000000000004</v>
      </c>
      <c r="W4846" s="8">
        <v>1.3</v>
      </c>
      <c r="X4846" s="8">
        <v>80</v>
      </c>
      <c r="Y4846" s="8" t="s">
        <v>21</v>
      </c>
      <c r="Z4846" s="8" t="s">
        <v>21828</v>
      </c>
    </row>
    <row r="4847" spans="1:26" x14ac:dyDescent="0.2">
      <c r="A4847" s="8">
        <v>4846</v>
      </c>
      <c r="B4847" s="8" t="s">
        <v>21829</v>
      </c>
      <c r="C4847" s="8" t="s">
        <v>21829</v>
      </c>
      <c r="F4847" s="47"/>
      <c r="G4847" s="8">
        <v>16</v>
      </c>
      <c r="H4847" s="8" t="s">
        <v>21</v>
      </c>
      <c r="I4847" s="8" t="s">
        <v>22</v>
      </c>
      <c r="J4847" s="8" t="s">
        <v>22</v>
      </c>
      <c r="K4847" s="8" t="s">
        <v>85</v>
      </c>
      <c r="L4847" s="8" t="s">
        <v>18681</v>
      </c>
      <c r="M4847" s="8" t="s">
        <v>18682</v>
      </c>
      <c r="N4847" s="8" t="s">
        <v>21830</v>
      </c>
      <c r="O4847" s="8">
        <f>12+57/60+47.7/3600</f>
        <v>12.963249999999999</v>
      </c>
      <c r="P4847" s="8" t="s">
        <v>21831</v>
      </c>
      <c r="Q4847" s="8">
        <f>+(36+22/60+12/3600)</f>
        <v>36.369999999999997</v>
      </c>
      <c r="R4847" s="8">
        <v>13.6</v>
      </c>
      <c r="S4847" s="8">
        <v>14.4</v>
      </c>
      <c r="T4847" s="8">
        <v>0.8</v>
      </c>
      <c r="U4847" s="8">
        <v>13.2</v>
      </c>
      <c r="V4847" s="8">
        <v>1.3</v>
      </c>
      <c r="W4847" s="8">
        <v>0.6</v>
      </c>
      <c r="X4847" s="8">
        <v>62</v>
      </c>
      <c r="Y4847" s="8" t="s">
        <v>47</v>
      </c>
      <c r="Z4847" s="8" t="s">
        <v>48</v>
      </c>
    </row>
    <row r="4848" spans="1:26" x14ac:dyDescent="0.2">
      <c r="A4848" s="8">
        <v>4847</v>
      </c>
      <c r="B4848" s="8" t="s">
        <v>21832</v>
      </c>
      <c r="C4848" s="8" t="s">
        <v>21832</v>
      </c>
      <c r="F4848" s="47"/>
      <c r="G4848" s="8">
        <v>19</v>
      </c>
      <c r="H4848" s="8" t="s">
        <v>21</v>
      </c>
      <c r="I4848" s="8" t="s">
        <v>22</v>
      </c>
      <c r="J4848" s="8" t="s">
        <v>22</v>
      </c>
      <c r="K4848" s="8" t="s">
        <v>1136</v>
      </c>
      <c r="L4848" s="8" t="s">
        <v>17287</v>
      </c>
      <c r="M4848" s="8" t="s">
        <v>17288</v>
      </c>
      <c r="N4848" s="8" t="s">
        <v>21833</v>
      </c>
      <c r="O4848" s="8">
        <f>12+58/60+28.9/3600</f>
        <v>12.974694444444445</v>
      </c>
      <c r="P4848" s="8" t="s">
        <v>21834</v>
      </c>
      <c r="Q4848" s="8">
        <f>-(13+8/60+28/3600)</f>
        <v>-13.14111111111111</v>
      </c>
      <c r="R4848" s="8">
        <v>14.3</v>
      </c>
      <c r="S4848" s="8">
        <v>15.3</v>
      </c>
      <c r="T4848" s="8">
        <v>1</v>
      </c>
      <c r="U4848" s="8">
        <v>13.1</v>
      </c>
      <c r="V4848" s="8">
        <v>0.6</v>
      </c>
      <c r="W4848" s="8">
        <v>0.5</v>
      </c>
      <c r="X4848" s="8">
        <v>21</v>
      </c>
      <c r="Y4848" s="8" t="s">
        <v>21</v>
      </c>
      <c r="Z4848" s="8" t="s">
        <v>21835</v>
      </c>
    </row>
    <row r="4849" spans="1:26" x14ac:dyDescent="0.2">
      <c r="A4849" s="8">
        <v>4848</v>
      </c>
      <c r="B4849" s="8" t="s">
        <v>21836</v>
      </c>
      <c r="C4849" s="8" t="s">
        <v>21836</v>
      </c>
      <c r="F4849" s="47"/>
      <c r="G4849" s="8">
        <v>18</v>
      </c>
      <c r="H4849" s="8" t="s">
        <v>21</v>
      </c>
      <c r="I4849" s="8" t="s">
        <v>22</v>
      </c>
      <c r="J4849" s="8" t="s">
        <v>22</v>
      </c>
      <c r="K4849" s="8" t="s">
        <v>64</v>
      </c>
      <c r="L4849" s="8" t="s">
        <v>18289</v>
      </c>
      <c r="M4849" s="8" t="s">
        <v>18290</v>
      </c>
      <c r="N4849" s="8" t="s">
        <v>21837</v>
      </c>
      <c r="O4849" s="8">
        <f>12+58/60+5.7/3600</f>
        <v>12.968249999999999</v>
      </c>
      <c r="P4849" s="8" t="s">
        <v>21838</v>
      </c>
      <c r="Q4849" s="8">
        <f>+(28+14/60+33/3600)</f>
        <v>28.2425</v>
      </c>
      <c r="R4849" s="8">
        <v>13.7</v>
      </c>
      <c r="S4849" s="8">
        <v>14.4</v>
      </c>
      <c r="T4849" s="8">
        <v>0.7</v>
      </c>
      <c r="U4849" s="8">
        <v>13.3</v>
      </c>
      <c r="V4849" s="8">
        <v>1.6</v>
      </c>
      <c r="W4849" s="8">
        <v>0.5</v>
      </c>
      <c r="X4849" s="8">
        <v>158</v>
      </c>
      <c r="Y4849" s="8" t="s">
        <v>21839</v>
      </c>
      <c r="Z4849" s="8" t="s">
        <v>21840</v>
      </c>
    </row>
    <row r="4850" spans="1:26" x14ac:dyDescent="0.2">
      <c r="A4850" s="8">
        <v>4849</v>
      </c>
      <c r="B4850" s="8" t="s">
        <v>21841</v>
      </c>
      <c r="C4850" s="8" t="s">
        <v>21841</v>
      </c>
      <c r="F4850" s="47"/>
      <c r="G4850" s="8">
        <v>18</v>
      </c>
      <c r="H4850" s="8" t="s">
        <v>21</v>
      </c>
      <c r="I4850" s="8" t="s">
        <v>22</v>
      </c>
      <c r="J4850" s="8" t="s">
        <v>22</v>
      </c>
      <c r="K4850" s="8" t="s">
        <v>37</v>
      </c>
      <c r="L4850" s="8" t="s">
        <v>18289</v>
      </c>
      <c r="M4850" s="8" t="s">
        <v>18290</v>
      </c>
      <c r="N4850" s="8" t="s">
        <v>21842</v>
      </c>
      <c r="O4850" s="8">
        <f>12+58/60+12.7/3600</f>
        <v>12.970194444444445</v>
      </c>
      <c r="P4850" s="8" t="s">
        <v>21843</v>
      </c>
      <c r="Q4850" s="8">
        <f>+(26+23/60+47/3600)</f>
        <v>26.39638888888889</v>
      </c>
      <c r="R4850" s="8">
        <v>12.9</v>
      </c>
      <c r="S4850" s="8">
        <v>13.9</v>
      </c>
      <c r="T4850" s="8">
        <v>1</v>
      </c>
      <c r="U4850" s="8">
        <v>13.6</v>
      </c>
      <c r="V4850" s="8">
        <v>1.9</v>
      </c>
      <c r="W4850" s="8">
        <v>1.4</v>
      </c>
      <c r="X4850" s="8">
        <v>175</v>
      </c>
      <c r="Y4850" s="8" t="s">
        <v>3569</v>
      </c>
      <c r="Z4850" s="8" t="s">
        <v>3570</v>
      </c>
    </row>
    <row r="4851" spans="1:26" x14ac:dyDescent="0.2">
      <c r="A4851" s="8">
        <v>4850</v>
      </c>
      <c r="B4851" s="8" t="s">
        <v>21844</v>
      </c>
      <c r="C4851" s="8" t="s">
        <v>21844</v>
      </c>
      <c r="F4851" s="47"/>
      <c r="G4851" s="8">
        <v>18</v>
      </c>
      <c r="H4851" s="8" t="s">
        <v>21</v>
      </c>
      <c r="I4851" s="8" t="s">
        <v>22</v>
      </c>
      <c r="J4851" s="8" t="s">
        <v>22</v>
      </c>
      <c r="K4851" s="8" t="s">
        <v>37</v>
      </c>
      <c r="L4851" s="8" t="s">
        <v>18289</v>
      </c>
      <c r="M4851" s="8" t="s">
        <v>18290</v>
      </c>
      <c r="N4851" s="8" t="s">
        <v>21845</v>
      </c>
      <c r="O4851" s="8">
        <f>12+58/60+21.7/3600</f>
        <v>12.972694444444445</v>
      </c>
      <c r="P4851" s="8" t="s">
        <v>21846</v>
      </c>
      <c r="Q4851" s="8">
        <f>+(27+58/60+6/3600)</f>
        <v>27.96833333333333</v>
      </c>
      <c r="R4851" s="8">
        <v>14.2</v>
      </c>
      <c r="S4851" s="8">
        <v>15.2</v>
      </c>
      <c r="T4851" s="8">
        <v>1</v>
      </c>
      <c r="U4851" s="8">
        <v>13.2</v>
      </c>
      <c r="V4851" s="8">
        <v>0.7</v>
      </c>
      <c r="W4851" s="8">
        <v>0.5</v>
      </c>
      <c r="X4851" s="8">
        <v>63</v>
      </c>
      <c r="Y4851" s="8" t="s">
        <v>895</v>
      </c>
      <c r="Z4851" s="8" t="s">
        <v>896</v>
      </c>
    </row>
    <row r="4852" spans="1:26" x14ac:dyDescent="0.2">
      <c r="A4852" s="8">
        <v>4851</v>
      </c>
      <c r="B4852" s="8" t="s">
        <v>21847</v>
      </c>
      <c r="C4852" s="8" t="s">
        <v>21847</v>
      </c>
      <c r="E4852" s="8">
        <v>1</v>
      </c>
      <c r="F4852" s="47"/>
      <c r="G4852" s="8">
        <v>18</v>
      </c>
      <c r="H4852" s="8" t="s">
        <v>21</v>
      </c>
      <c r="I4852" s="8" t="s">
        <v>22</v>
      </c>
      <c r="J4852" s="8" t="s">
        <v>22</v>
      </c>
      <c r="K4852" s="8" t="s">
        <v>37</v>
      </c>
      <c r="L4852" s="8" t="s">
        <v>18289</v>
      </c>
      <c r="M4852" s="8" t="s">
        <v>18290</v>
      </c>
      <c r="N4852" s="8" t="s">
        <v>21848</v>
      </c>
      <c r="O4852" s="8">
        <f>12+58/60+21.8/3600</f>
        <v>12.972722222222222</v>
      </c>
      <c r="P4852" s="8" t="s">
        <v>21849</v>
      </c>
      <c r="Q4852" s="8">
        <f>+(28+8/60+52/3600)</f>
        <v>28.147777777777776</v>
      </c>
      <c r="R4852" s="8">
        <v>14.2</v>
      </c>
      <c r="S4852" s="8">
        <v>15.2</v>
      </c>
      <c r="T4852" s="8">
        <v>1</v>
      </c>
      <c r="U4852" s="8">
        <v>11.3</v>
      </c>
      <c r="V4852" s="8">
        <v>0.4</v>
      </c>
      <c r="W4852" s="8">
        <v>0.2</v>
      </c>
      <c r="X4852" s="8">
        <v>112</v>
      </c>
      <c r="Y4852" s="8" t="s">
        <v>21850</v>
      </c>
      <c r="Z4852" s="8" t="s">
        <v>21851</v>
      </c>
    </row>
    <row r="4853" spans="1:26" x14ac:dyDescent="0.2">
      <c r="A4853" s="8">
        <v>4852</v>
      </c>
      <c r="B4853" s="8" t="s">
        <v>21852</v>
      </c>
      <c r="C4853" s="8" t="s">
        <v>21852</v>
      </c>
      <c r="F4853" s="47"/>
      <c r="G4853" s="8">
        <v>8</v>
      </c>
      <c r="H4853" s="8" t="s">
        <v>21</v>
      </c>
      <c r="I4853" s="8" t="s">
        <v>557</v>
      </c>
      <c r="J4853" s="8" t="s">
        <v>557</v>
      </c>
      <c r="K4853" s="8" t="s">
        <v>558</v>
      </c>
      <c r="L4853" s="8" t="s">
        <v>16195</v>
      </c>
      <c r="M4853" s="8" t="s">
        <v>16196</v>
      </c>
      <c r="N4853" s="8" t="s">
        <v>21853</v>
      </c>
      <c r="O4853" s="8">
        <f>13+0/60+9/3600</f>
        <v>13.0025</v>
      </c>
      <c r="P4853" s="8" t="s">
        <v>21854</v>
      </c>
      <c r="Q4853" s="8">
        <f>-(59+36/60+48/3600)</f>
        <v>-59.613333333333337</v>
      </c>
      <c r="R4853" s="8">
        <v>8.9</v>
      </c>
      <c r="S4853" s="8">
        <v>99</v>
      </c>
      <c r="T4853" s="8">
        <v>99</v>
      </c>
      <c r="U4853" s="8">
        <v>99</v>
      </c>
      <c r="V4853" s="8">
        <v>12</v>
      </c>
      <c r="Y4853" s="8" t="s">
        <v>21855</v>
      </c>
      <c r="Z4853" s="8" t="s">
        <v>21856</v>
      </c>
    </row>
    <row r="4854" spans="1:26" x14ac:dyDescent="0.2">
      <c r="A4854" s="8">
        <v>4853</v>
      </c>
      <c r="B4854" s="8" t="s">
        <v>21857</v>
      </c>
      <c r="C4854" s="8" t="s">
        <v>21857</v>
      </c>
      <c r="F4854" s="47"/>
      <c r="G4854" s="8">
        <v>16</v>
      </c>
      <c r="H4854" s="8" t="s">
        <v>21</v>
      </c>
      <c r="I4854" s="8" t="s">
        <v>22</v>
      </c>
      <c r="J4854" s="8" t="s">
        <v>22</v>
      </c>
      <c r="K4854" s="8" t="s">
        <v>58</v>
      </c>
      <c r="L4854" s="8" t="s">
        <v>18289</v>
      </c>
      <c r="M4854" s="8" t="s">
        <v>18290</v>
      </c>
      <c r="N4854" s="8" t="s">
        <v>21858</v>
      </c>
      <c r="O4854" s="8">
        <f>12+58/60+35.4/3600</f>
        <v>12.9765</v>
      </c>
      <c r="P4854" s="8" t="s">
        <v>21859</v>
      </c>
      <c r="Q4854" s="8">
        <f>+(27+35/60+45/3600)</f>
        <v>27.595833333333331</v>
      </c>
      <c r="R4854" s="8">
        <v>13.6</v>
      </c>
      <c r="S4854" s="8">
        <v>14.4</v>
      </c>
      <c r="T4854" s="8">
        <v>0.8</v>
      </c>
      <c r="U4854" s="8">
        <v>13</v>
      </c>
      <c r="V4854" s="8">
        <v>0.8</v>
      </c>
      <c r="W4854" s="8">
        <v>0.7</v>
      </c>
      <c r="X4854" s="8">
        <v>81</v>
      </c>
      <c r="Y4854" s="8" t="s">
        <v>21860</v>
      </c>
      <c r="Z4854" s="8" t="s">
        <v>14888</v>
      </c>
    </row>
    <row r="4855" spans="1:26" x14ac:dyDescent="0.2">
      <c r="A4855" s="8">
        <v>4854</v>
      </c>
      <c r="B4855" s="8" t="s">
        <v>21861</v>
      </c>
      <c r="C4855" s="8" t="s">
        <v>21861</v>
      </c>
      <c r="F4855" s="47"/>
      <c r="G4855" s="8">
        <v>18</v>
      </c>
      <c r="H4855" s="8" t="s">
        <v>21</v>
      </c>
      <c r="I4855" s="8" t="s">
        <v>22</v>
      </c>
      <c r="J4855" s="8" t="s">
        <v>22</v>
      </c>
      <c r="K4855" s="8" t="s">
        <v>224</v>
      </c>
      <c r="L4855" s="8" t="s">
        <v>18289</v>
      </c>
      <c r="M4855" s="8" t="s">
        <v>18290</v>
      </c>
      <c r="N4855" s="8" t="s">
        <v>21862</v>
      </c>
      <c r="O4855" s="8">
        <f>12+58/60+47.6/3600</f>
        <v>12.979888888888889</v>
      </c>
      <c r="P4855" s="8" t="s">
        <v>21863</v>
      </c>
      <c r="Q4855" s="8">
        <f>+(27+40/60+27/3600)</f>
        <v>27.674166666666668</v>
      </c>
      <c r="R4855" s="8">
        <v>13.9</v>
      </c>
      <c r="S4855" s="8">
        <v>14.9</v>
      </c>
      <c r="T4855" s="8">
        <v>1</v>
      </c>
      <c r="U4855" s="8">
        <v>13.7</v>
      </c>
      <c r="V4855" s="8">
        <v>1.2</v>
      </c>
      <c r="W4855" s="8">
        <v>0.8</v>
      </c>
      <c r="X4855" s="8">
        <v>57</v>
      </c>
      <c r="Y4855" s="8" t="s">
        <v>21864</v>
      </c>
      <c r="Z4855" s="8" t="s">
        <v>21865</v>
      </c>
    </row>
    <row r="4856" spans="1:26" x14ac:dyDescent="0.2">
      <c r="A4856" s="8">
        <v>4855</v>
      </c>
      <c r="B4856" s="8" t="s">
        <v>21866</v>
      </c>
      <c r="C4856" s="8" t="s">
        <v>21866</v>
      </c>
      <c r="F4856" s="47"/>
      <c r="G4856" s="8">
        <v>19</v>
      </c>
      <c r="H4856" s="8" t="s">
        <v>21</v>
      </c>
      <c r="I4856" s="8" t="s">
        <v>22</v>
      </c>
      <c r="J4856" s="8" t="s">
        <v>22</v>
      </c>
      <c r="K4856" s="8" t="s">
        <v>58</v>
      </c>
      <c r="L4856" s="8" t="s">
        <v>17287</v>
      </c>
      <c r="M4856" s="8" t="s">
        <v>17288</v>
      </c>
      <c r="N4856" s="8" t="s">
        <v>21867</v>
      </c>
      <c r="O4856" s="8">
        <f>12+59/60+18.4/3600</f>
        <v>12.988444444444443</v>
      </c>
      <c r="P4856" s="8" t="s">
        <v>21868</v>
      </c>
      <c r="Q4856" s="8">
        <f>-(13+13/60+50/3600)</f>
        <v>-13.230555555555556</v>
      </c>
      <c r="R4856" s="8">
        <v>12.9</v>
      </c>
      <c r="S4856" s="8">
        <v>13.9</v>
      </c>
      <c r="T4856" s="8">
        <v>1</v>
      </c>
      <c r="U4856" s="8">
        <v>13.8</v>
      </c>
      <c r="V4856" s="8">
        <v>1.7</v>
      </c>
      <c r="W4856" s="8">
        <v>1.3</v>
      </c>
      <c r="X4856" s="8">
        <v>155</v>
      </c>
      <c r="Y4856" s="8" t="s">
        <v>21869</v>
      </c>
      <c r="Z4856" s="8" t="s">
        <v>21870</v>
      </c>
    </row>
    <row r="4857" spans="1:26" x14ac:dyDescent="0.2">
      <c r="A4857" s="8">
        <v>4856</v>
      </c>
      <c r="B4857" s="8" t="s">
        <v>21871</v>
      </c>
      <c r="C4857" s="8" t="s">
        <v>21871</v>
      </c>
      <c r="F4857" s="47" t="s">
        <v>57618</v>
      </c>
      <c r="G4857" s="8">
        <v>6</v>
      </c>
      <c r="H4857" s="8" t="s">
        <v>21</v>
      </c>
      <c r="I4857" s="8" t="s">
        <v>22</v>
      </c>
      <c r="J4857" s="8" t="s">
        <v>22</v>
      </c>
      <c r="K4857" s="8" t="s">
        <v>435</v>
      </c>
      <c r="L4857" s="8" t="s">
        <v>17287</v>
      </c>
      <c r="M4857" s="8" t="s">
        <v>17288</v>
      </c>
      <c r="N4857" s="8" t="s">
        <v>21872</v>
      </c>
      <c r="O4857" s="8">
        <f>12+59/60+21.1/3600</f>
        <v>12.989194444444443</v>
      </c>
      <c r="P4857" s="8" t="s">
        <v>21873</v>
      </c>
      <c r="Q4857" s="8">
        <f>-(15+2/60+32/3600)</f>
        <v>-15.042222222222222</v>
      </c>
      <c r="R4857" s="8">
        <v>10.5</v>
      </c>
      <c r="S4857" s="8">
        <v>11.5</v>
      </c>
      <c r="T4857" s="8">
        <v>1</v>
      </c>
      <c r="U4857" s="8">
        <v>12.1</v>
      </c>
      <c r="V4857" s="8">
        <v>4.3</v>
      </c>
      <c r="W4857" s="8">
        <v>1.2</v>
      </c>
      <c r="X4857" s="8">
        <v>37</v>
      </c>
      <c r="Y4857" s="8" t="s">
        <v>21874</v>
      </c>
      <c r="Z4857" s="8" t="s">
        <v>21875</v>
      </c>
    </row>
    <row r="4858" spans="1:26" x14ac:dyDescent="0.2">
      <c r="A4858" s="8">
        <v>4857</v>
      </c>
      <c r="B4858" s="8" t="s">
        <v>21876</v>
      </c>
      <c r="C4858" s="8" t="s">
        <v>21876</v>
      </c>
      <c r="F4858" s="47" t="s">
        <v>57619</v>
      </c>
      <c r="G4858" s="8">
        <v>15</v>
      </c>
      <c r="H4858" s="8" t="s">
        <v>21</v>
      </c>
      <c r="I4858" s="8" t="s">
        <v>22</v>
      </c>
      <c r="J4858" s="8" t="s">
        <v>22</v>
      </c>
      <c r="K4858" s="8" t="s">
        <v>218</v>
      </c>
      <c r="L4858" s="8" t="s">
        <v>13395</v>
      </c>
      <c r="M4858" s="8" t="s">
        <v>13396</v>
      </c>
      <c r="N4858" s="8" t="s">
        <v>21877</v>
      </c>
      <c r="O4858" s="8">
        <f>12+57/60+18.1/3600</f>
        <v>12.955027777777778</v>
      </c>
      <c r="P4858" s="8" t="s">
        <v>21878</v>
      </c>
      <c r="Q4858" s="8">
        <f>+(70+12/60+11/3600)</f>
        <v>70.203055555555565</v>
      </c>
      <c r="R4858" s="8">
        <v>13.8</v>
      </c>
      <c r="S4858" s="8">
        <v>14.6</v>
      </c>
      <c r="T4858" s="8">
        <v>0.8</v>
      </c>
      <c r="U4858" s="8">
        <v>13.4</v>
      </c>
      <c r="V4858" s="8">
        <v>1.3</v>
      </c>
      <c r="W4858" s="8">
        <v>0.6</v>
      </c>
      <c r="X4858" s="8">
        <v>110</v>
      </c>
      <c r="Y4858" s="8" t="s">
        <v>21879</v>
      </c>
      <c r="Z4858" s="8" t="s">
        <v>21880</v>
      </c>
    </row>
    <row r="4859" spans="1:26" x14ac:dyDescent="0.2">
      <c r="A4859" s="8">
        <v>4858</v>
      </c>
      <c r="B4859" s="8" t="s">
        <v>21881</v>
      </c>
      <c r="C4859" s="8" t="s">
        <v>21881</v>
      </c>
      <c r="F4859" s="47"/>
      <c r="G4859" s="8">
        <v>18</v>
      </c>
      <c r="H4859" s="8" t="s">
        <v>21</v>
      </c>
      <c r="I4859" s="8" t="s">
        <v>22</v>
      </c>
      <c r="J4859" s="8" t="s">
        <v>22</v>
      </c>
      <c r="K4859" s="8" t="s">
        <v>218</v>
      </c>
      <c r="L4859" s="8" t="s">
        <v>18289</v>
      </c>
      <c r="M4859" s="8" t="s">
        <v>18290</v>
      </c>
      <c r="N4859" s="8" t="s">
        <v>21882</v>
      </c>
      <c r="O4859" s="8">
        <f>12+59/60+2.3/3600</f>
        <v>12.983972222222221</v>
      </c>
      <c r="P4859" s="8" t="s">
        <v>21883</v>
      </c>
      <c r="Q4859" s="8">
        <f>+(28+6/60+55/3600)</f>
        <v>28.115277777777781</v>
      </c>
      <c r="R4859" s="8">
        <v>15.2</v>
      </c>
      <c r="S4859" s="8">
        <v>15.7</v>
      </c>
      <c r="T4859" s="8">
        <v>0.5</v>
      </c>
      <c r="U4859" s="8">
        <v>13.6</v>
      </c>
      <c r="V4859" s="8">
        <v>0.5</v>
      </c>
      <c r="W4859" s="8">
        <v>0.4</v>
      </c>
      <c r="X4859" s="8">
        <v>36</v>
      </c>
      <c r="Y4859" s="8" t="s">
        <v>21884</v>
      </c>
      <c r="Z4859" s="8" t="s">
        <v>21885</v>
      </c>
    </row>
    <row r="4860" spans="1:26" x14ac:dyDescent="0.2">
      <c r="A4860" s="8">
        <v>4859</v>
      </c>
      <c r="B4860" s="8" t="s">
        <v>21886</v>
      </c>
      <c r="C4860" s="8" t="s">
        <v>21886</v>
      </c>
      <c r="F4860" s="47"/>
      <c r="G4860" s="8">
        <v>18</v>
      </c>
      <c r="H4860" s="8" t="s">
        <v>21</v>
      </c>
      <c r="I4860" s="8" t="s">
        <v>22</v>
      </c>
      <c r="J4860" s="8" t="s">
        <v>22</v>
      </c>
      <c r="K4860" s="8" t="s">
        <v>632</v>
      </c>
      <c r="L4860" s="8" t="s">
        <v>18289</v>
      </c>
      <c r="M4860" s="8" t="s">
        <v>18290</v>
      </c>
      <c r="N4860" s="8" t="s">
        <v>21887</v>
      </c>
      <c r="O4860" s="8">
        <f>12+59/60+1.9/3600</f>
        <v>12.983861111111111</v>
      </c>
      <c r="P4860" s="8" t="s">
        <v>21888</v>
      </c>
      <c r="Q4860" s="8">
        <f>+(26+48/60+56/3600)</f>
        <v>26.815555555555555</v>
      </c>
      <c r="R4860" s="8">
        <v>13.6</v>
      </c>
      <c r="S4860" s="8">
        <v>14.6</v>
      </c>
      <c r="T4860" s="8">
        <v>1</v>
      </c>
      <c r="U4860" s="8">
        <v>13.5</v>
      </c>
      <c r="V4860" s="8">
        <v>1.3</v>
      </c>
      <c r="W4860" s="8">
        <v>0.8</v>
      </c>
      <c r="X4860" s="8">
        <v>95</v>
      </c>
      <c r="Y4860" s="8" t="s">
        <v>2181</v>
      </c>
      <c r="Z4860" s="8" t="s">
        <v>2182</v>
      </c>
    </row>
    <row r="4861" spans="1:26" x14ac:dyDescent="0.2">
      <c r="A4861" s="8">
        <v>4860</v>
      </c>
      <c r="B4861" s="8" t="s">
        <v>21889</v>
      </c>
      <c r="C4861" s="8" t="s">
        <v>21889</v>
      </c>
      <c r="F4861" s="47"/>
      <c r="G4861" s="8">
        <v>18</v>
      </c>
      <c r="H4861" s="8" t="s">
        <v>21</v>
      </c>
      <c r="I4861" s="8" t="s">
        <v>22</v>
      </c>
      <c r="J4861" s="8" t="s">
        <v>22</v>
      </c>
      <c r="K4861" s="8" t="s">
        <v>1136</v>
      </c>
      <c r="L4861" s="8" t="s">
        <v>18289</v>
      </c>
      <c r="M4861" s="8" t="s">
        <v>18290</v>
      </c>
      <c r="N4861" s="8" t="s">
        <v>21890</v>
      </c>
      <c r="O4861" s="8">
        <f>12+59/60+4/3600</f>
        <v>12.984444444444444</v>
      </c>
      <c r="P4861" s="8" t="s">
        <v>21891</v>
      </c>
      <c r="Q4861" s="8">
        <f>+(28+7/60+24/3600)</f>
        <v>28.123333333333335</v>
      </c>
      <c r="R4861" s="8">
        <v>13.5</v>
      </c>
      <c r="S4861" s="8">
        <v>14.6</v>
      </c>
      <c r="T4861" s="8">
        <v>1.1000000000000001</v>
      </c>
      <c r="U4861" s="8">
        <v>14.1</v>
      </c>
      <c r="V4861" s="8">
        <v>0.9</v>
      </c>
      <c r="W4861" s="8">
        <v>0.8</v>
      </c>
      <c r="X4861" s="8">
        <v>126</v>
      </c>
      <c r="Y4861" s="8" t="s">
        <v>21892</v>
      </c>
      <c r="Z4861" s="8" t="s">
        <v>5368</v>
      </c>
    </row>
    <row r="4862" spans="1:26" x14ac:dyDescent="0.2">
      <c r="A4862" s="8">
        <v>4861</v>
      </c>
      <c r="B4862" s="8" t="s">
        <v>21893</v>
      </c>
      <c r="C4862" s="8" t="s">
        <v>21893</v>
      </c>
      <c r="F4862" s="47" t="s">
        <v>57620</v>
      </c>
      <c r="G4862" s="8">
        <v>13</v>
      </c>
      <c r="H4862" s="8" t="s">
        <v>21</v>
      </c>
      <c r="I4862" s="8" t="s">
        <v>22</v>
      </c>
      <c r="J4862" s="8" t="s">
        <v>22</v>
      </c>
      <c r="K4862" s="8" t="s">
        <v>323</v>
      </c>
      <c r="L4862" s="8" t="s">
        <v>18681</v>
      </c>
      <c r="M4862" s="8" t="s">
        <v>18682</v>
      </c>
      <c r="N4862" s="8" t="s">
        <v>21894</v>
      </c>
      <c r="O4862" s="8">
        <f>12+59/60+1.8/3600</f>
        <v>12.983833333333333</v>
      </c>
      <c r="P4862" s="8" t="s">
        <v>21895</v>
      </c>
      <c r="Q4862" s="8">
        <f>+(34+51/60+43/3600)</f>
        <v>34.861944444444447</v>
      </c>
      <c r="R4862" s="8">
        <v>13.5</v>
      </c>
      <c r="S4862" s="8">
        <v>14.1</v>
      </c>
      <c r="T4862" s="8">
        <v>0.6</v>
      </c>
      <c r="U4862" s="8">
        <v>15.4</v>
      </c>
      <c r="V4862" s="8">
        <v>4.2</v>
      </c>
      <c r="W4862" s="8">
        <v>1.6</v>
      </c>
      <c r="X4862" s="8">
        <v>15</v>
      </c>
      <c r="Y4862" s="8" t="s">
        <v>21896</v>
      </c>
      <c r="Z4862" s="8" t="s">
        <v>21897</v>
      </c>
    </row>
    <row r="4863" spans="1:26" x14ac:dyDescent="0.2">
      <c r="A4863" s="8">
        <v>4862</v>
      </c>
      <c r="B4863" s="8" t="s">
        <v>21898</v>
      </c>
      <c r="C4863" s="8" t="s">
        <v>21898</v>
      </c>
      <c r="F4863" s="47"/>
      <c r="G4863" s="8">
        <v>19</v>
      </c>
      <c r="H4863" s="8" t="s">
        <v>21</v>
      </c>
      <c r="I4863" s="8" t="s">
        <v>22</v>
      </c>
      <c r="J4863" s="8" t="s">
        <v>22</v>
      </c>
      <c r="K4863" s="8" t="s">
        <v>64</v>
      </c>
      <c r="L4863" s="8" t="s">
        <v>17287</v>
      </c>
      <c r="M4863" s="8" t="s">
        <v>17288</v>
      </c>
      <c r="N4863" s="8" t="s">
        <v>21899</v>
      </c>
      <c r="O4863" s="8">
        <f>12+59/60+30.8/3600</f>
        <v>12.991888888888887</v>
      </c>
      <c r="P4863" s="8" t="s">
        <v>21900</v>
      </c>
      <c r="Q4863" s="8">
        <f>-(14+7/60+55/3600)</f>
        <v>-14.131944444444445</v>
      </c>
      <c r="R4863" s="8">
        <v>14.2</v>
      </c>
      <c r="S4863" s="8">
        <v>14.9</v>
      </c>
      <c r="T4863" s="8">
        <v>0.7</v>
      </c>
      <c r="U4863" s="8">
        <v>13.9</v>
      </c>
      <c r="V4863" s="8">
        <v>1.1000000000000001</v>
      </c>
      <c r="W4863" s="8">
        <v>0.8</v>
      </c>
      <c r="X4863" s="8">
        <v>153</v>
      </c>
      <c r="Y4863" s="8" t="s">
        <v>227</v>
      </c>
      <c r="Z4863" s="8" t="s">
        <v>228</v>
      </c>
    </row>
    <row r="4864" spans="1:26" x14ac:dyDescent="0.2">
      <c r="A4864" s="8">
        <v>4863</v>
      </c>
      <c r="B4864" s="8" t="s">
        <v>21901</v>
      </c>
      <c r="C4864" s="8" t="s">
        <v>21901</v>
      </c>
      <c r="F4864" s="47"/>
      <c r="G4864" s="8">
        <v>19</v>
      </c>
      <c r="H4864" s="8" t="s">
        <v>21</v>
      </c>
      <c r="I4864" s="8" t="s">
        <v>22</v>
      </c>
      <c r="J4864" s="8" t="s">
        <v>22</v>
      </c>
      <c r="K4864" s="8" t="s">
        <v>632</v>
      </c>
      <c r="L4864" s="8" t="s">
        <v>17287</v>
      </c>
      <c r="M4864" s="8" t="s">
        <v>17288</v>
      </c>
      <c r="N4864" s="8" t="s">
        <v>21902</v>
      </c>
      <c r="O4864" s="8">
        <f>12+59/60+42.5/3600</f>
        <v>12.995138888888889</v>
      </c>
      <c r="P4864" s="8" t="s">
        <v>21903</v>
      </c>
      <c r="Q4864" s="8">
        <f>-(14+1/60+46/3600)</f>
        <v>-14.029444444444445</v>
      </c>
      <c r="R4864" s="8">
        <v>13.7</v>
      </c>
      <c r="S4864" s="8">
        <v>14.6</v>
      </c>
      <c r="T4864" s="8">
        <v>0.9</v>
      </c>
      <c r="U4864" s="8">
        <v>13.2</v>
      </c>
      <c r="V4864" s="8">
        <v>1.8</v>
      </c>
      <c r="W4864" s="8">
        <v>0.4</v>
      </c>
      <c r="X4864" s="8">
        <v>24</v>
      </c>
      <c r="Y4864" s="8" t="s">
        <v>21904</v>
      </c>
      <c r="Z4864" s="8" t="s">
        <v>21905</v>
      </c>
    </row>
    <row r="4865" spans="1:26" x14ac:dyDescent="0.2">
      <c r="A4865" s="8">
        <v>4864</v>
      </c>
      <c r="B4865" s="8" t="s">
        <v>21906</v>
      </c>
      <c r="C4865" s="8" t="s">
        <v>21906</v>
      </c>
      <c r="F4865" s="47"/>
      <c r="G4865" s="8">
        <v>16</v>
      </c>
      <c r="H4865" s="8" t="s">
        <v>21</v>
      </c>
      <c r="I4865" s="8" t="s">
        <v>22</v>
      </c>
      <c r="J4865" s="8" t="s">
        <v>22</v>
      </c>
      <c r="K4865" s="8" t="s">
        <v>3850</v>
      </c>
      <c r="L4865" s="8" t="s">
        <v>18289</v>
      </c>
      <c r="M4865" s="8" t="s">
        <v>18290</v>
      </c>
      <c r="N4865" s="8" t="s">
        <v>21907</v>
      </c>
      <c r="O4865" s="8">
        <f>12+59/60+13.2/3600</f>
        <v>12.986999999999998</v>
      </c>
      <c r="P4865" s="8" t="s">
        <v>21908</v>
      </c>
      <c r="Q4865" s="8">
        <f>+(27+58/60+35/3600)</f>
        <v>27.976388888888888</v>
      </c>
      <c r="R4865" s="8">
        <v>13.6</v>
      </c>
      <c r="S4865" s="8">
        <v>14.6</v>
      </c>
      <c r="T4865" s="8">
        <v>1</v>
      </c>
      <c r="U4865" s="8">
        <v>11.8</v>
      </c>
      <c r="V4865" s="8">
        <v>0.7</v>
      </c>
      <c r="W4865" s="8">
        <v>0.5</v>
      </c>
      <c r="X4865" s="8">
        <v>129</v>
      </c>
      <c r="Y4865" s="8" t="s">
        <v>21909</v>
      </c>
      <c r="Z4865" s="8" t="s">
        <v>21910</v>
      </c>
    </row>
    <row r="4866" spans="1:26" x14ac:dyDescent="0.2">
      <c r="A4866" s="8">
        <v>4865</v>
      </c>
      <c r="B4866" s="8" t="s">
        <v>21911</v>
      </c>
      <c r="C4866" s="8" t="s">
        <v>21911</v>
      </c>
      <c r="F4866" s="47"/>
      <c r="G4866" s="8">
        <v>18</v>
      </c>
      <c r="H4866" s="8" t="s">
        <v>21</v>
      </c>
      <c r="I4866" s="8" t="s">
        <v>22</v>
      </c>
      <c r="J4866" s="8" t="s">
        <v>22</v>
      </c>
      <c r="K4866" s="8" t="s">
        <v>382</v>
      </c>
      <c r="L4866" s="8" t="s">
        <v>18289</v>
      </c>
      <c r="M4866" s="8" t="s">
        <v>18290</v>
      </c>
      <c r="N4866" s="8" t="s">
        <v>21912</v>
      </c>
      <c r="O4866" s="8">
        <f>12+59/60+20/3600</f>
        <v>12.988888888888889</v>
      </c>
      <c r="P4866" s="8" t="s">
        <v>21913</v>
      </c>
      <c r="Q4866" s="8">
        <f>+(28+5/60+3/3600)</f>
        <v>28.084166666666665</v>
      </c>
      <c r="R4866" s="8">
        <v>13.7</v>
      </c>
      <c r="S4866" s="8">
        <v>14.6</v>
      </c>
      <c r="T4866" s="8">
        <v>0.9</v>
      </c>
      <c r="U4866" s="8">
        <v>12.8</v>
      </c>
      <c r="V4866" s="8">
        <v>0.9</v>
      </c>
      <c r="W4866" s="8">
        <v>0.5</v>
      </c>
      <c r="X4866" s="8">
        <v>115</v>
      </c>
      <c r="Y4866" s="8" t="s">
        <v>21914</v>
      </c>
      <c r="Z4866" s="8" t="s">
        <v>21915</v>
      </c>
    </row>
    <row r="4867" spans="1:26" x14ac:dyDescent="0.2">
      <c r="A4867" s="8">
        <v>4866</v>
      </c>
      <c r="B4867" s="8" t="s">
        <v>21916</v>
      </c>
      <c r="C4867" s="8" t="s">
        <v>21916</v>
      </c>
      <c r="F4867" s="47" t="s">
        <v>57621</v>
      </c>
      <c r="G4867" s="8">
        <v>6</v>
      </c>
      <c r="H4867" s="8" t="s">
        <v>21</v>
      </c>
      <c r="I4867" s="8" t="s">
        <v>22</v>
      </c>
      <c r="J4867" s="8" t="s">
        <v>22</v>
      </c>
      <c r="K4867" s="8" t="s">
        <v>632</v>
      </c>
      <c r="L4867" s="8" t="s">
        <v>17287</v>
      </c>
      <c r="M4867" s="8" t="s">
        <v>17288</v>
      </c>
      <c r="N4867" s="8" t="s">
        <v>21917</v>
      </c>
      <c r="O4867" s="8">
        <f>12+59/60+27/3600</f>
        <v>12.990833333333333</v>
      </c>
      <c r="P4867" s="8" t="s">
        <v>21918</v>
      </c>
      <c r="Q4867" s="8">
        <f>+(14+10/60+17/3600)</f>
        <v>14.171388888888888</v>
      </c>
      <c r="R4867" s="8">
        <v>11.2</v>
      </c>
      <c r="S4867" s="8">
        <v>12.1</v>
      </c>
      <c r="T4867" s="8">
        <v>0.9</v>
      </c>
      <c r="U4867" s="8">
        <v>13.4</v>
      </c>
      <c r="V4867" s="8">
        <v>6.4</v>
      </c>
      <c r="W4867" s="8">
        <v>1.5</v>
      </c>
      <c r="X4867" s="8">
        <v>87</v>
      </c>
      <c r="Y4867" s="8" t="s">
        <v>21919</v>
      </c>
      <c r="Z4867" s="8" t="s">
        <v>21920</v>
      </c>
    </row>
    <row r="4868" spans="1:26" x14ac:dyDescent="0.2">
      <c r="A4868" s="8">
        <v>4867</v>
      </c>
      <c r="B4868" s="8" t="s">
        <v>21921</v>
      </c>
      <c r="C4868" s="8" t="s">
        <v>21921</v>
      </c>
      <c r="F4868" s="47"/>
      <c r="G4868" s="8">
        <v>19</v>
      </c>
      <c r="H4868" s="8" t="s">
        <v>21</v>
      </c>
      <c r="I4868" s="8" t="s">
        <v>22</v>
      </c>
      <c r="J4868" s="8" t="s">
        <v>22</v>
      </c>
      <c r="K4868" s="8" t="s">
        <v>382</v>
      </c>
      <c r="L4868" s="8" t="s">
        <v>18289</v>
      </c>
      <c r="M4868" s="8" t="s">
        <v>18290</v>
      </c>
      <c r="N4868" s="8" t="s">
        <v>21922</v>
      </c>
      <c r="O4868" s="8">
        <f>12+59/60+15.5/3600</f>
        <v>12.987638888888888</v>
      </c>
      <c r="P4868" s="8" t="s">
        <v>21923</v>
      </c>
      <c r="Q4868" s="8">
        <f>+(27+58/60+14/3600)</f>
        <v>27.970555555555553</v>
      </c>
      <c r="R4868" s="8">
        <v>14.5</v>
      </c>
      <c r="S4868" s="8">
        <v>15.4</v>
      </c>
      <c r="T4868" s="8">
        <v>0.9</v>
      </c>
      <c r="U4868" s="8">
        <v>13.5</v>
      </c>
      <c r="V4868" s="8">
        <v>0.5</v>
      </c>
      <c r="W4868" s="8">
        <v>0.4</v>
      </c>
      <c r="X4868" s="8">
        <v>3</v>
      </c>
      <c r="Y4868" s="8" t="s">
        <v>21924</v>
      </c>
      <c r="Z4868" s="8" t="s">
        <v>21925</v>
      </c>
    </row>
    <row r="4869" spans="1:26" x14ac:dyDescent="0.2">
      <c r="A4869" s="8">
        <v>4868</v>
      </c>
      <c r="B4869" s="8" t="s">
        <v>21926</v>
      </c>
      <c r="C4869" s="8" t="s">
        <v>21926</v>
      </c>
      <c r="F4869" s="47" t="s">
        <v>57622</v>
      </c>
      <c r="G4869" s="8">
        <v>13</v>
      </c>
      <c r="H4869" s="8" t="s">
        <v>21</v>
      </c>
      <c r="I4869" s="8" t="s">
        <v>22</v>
      </c>
      <c r="J4869" s="8" t="s">
        <v>22</v>
      </c>
      <c r="K4869" s="8" t="s">
        <v>31</v>
      </c>
      <c r="L4869" s="8" t="s">
        <v>18681</v>
      </c>
      <c r="M4869" s="8" t="s">
        <v>18682</v>
      </c>
      <c r="N4869" s="8" t="s">
        <v>21927</v>
      </c>
      <c r="O4869" s="8">
        <f>12+59/60+9/3600</f>
        <v>12.985833333333332</v>
      </c>
      <c r="P4869" s="8" t="s">
        <v>21928</v>
      </c>
      <c r="Q4869" s="8">
        <f>+(37+18/60+34/3600)</f>
        <v>37.309444444444445</v>
      </c>
      <c r="R4869" s="8">
        <v>12.2</v>
      </c>
      <c r="S4869" s="8">
        <v>13</v>
      </c>
      <c r="T4869" s="8">
        <v>0.8</v>
      </c>
      <c r="U4869" s="8">
        <v>12.9</v>
      </c>
      <c r="V4869" s="8">
        <v>1.5</v>
      </c>
      <c r="W4869" s="8">
        <v>1.4</v>
      </c>
      <c r="X4869" s="8">
        <v>90</v>
      </c>
      <c r="Y4869" s="8" t="s">
        <v>646</v>
      </c>
      <c r="Z4869" s="8" t="s">
        <v>647</v>
      </c>
    </row>
    <row r="4870" spans="1:26" x14ac:dyDescent="0.2">
      <c r="A4870" s="8">
        <v>4869</v>
      </c>
      <c r="B4870" s="8" t="s">
        <v>21929</v>
      </c>
      <c r="C4870" s="8" t="s">
        <v>21929</v>
      </c>
      <c r="F4870" s="47" t="s">
        <v>57623</v>
      </c>
      <c r="G4870" s="8">
        <v>15</v>
      </c>
      <c r="H4870" s="8" t="s">
        <v>21</v>
      </c>
      <c r="I4870" s="8" t="s">
        <v>22</v>
      </c>
      <c r="J4870" s="8" t="s">
        <v>22</v>
      </c>
      <c r="K4870" s="8" t="s">
        <v>382</v>
      </c>
      <c r="L4870" s="8" t="s">
        <v>18289</v>
      </c>
      <c r="M4870" s="8" t="s">
        <v>18290</v>
      </c>
      <c r="N4870" s="8" t="s">
        <v>21930</v>
      </c>
      <c r="O4870" s="8">
        <f>12+59/60+23.5/3600</f>
        <v>12.989861111111111</v>
      </c>
      <c r="P4870" s="8" t="s">
        <v>21931</v>
      </c>
      <c r="Q4870" s="8">
        <f>+(27+54/60+41/3600)</f>
        <v>27.911388888888887</v>
      </c>
      <c r="R4870" s="8">
        <v>13.8</v>
      </c>
      <c r="S4870" s="8">
        <v>14.8</v>
      </c>
      <c r="T4870" s="8">
        <v>1</v>
      </c>
      <c r="U4870" s="8">
        <v>13.1</v>
      </c>
      <c r="V4870" s="8">
        <v>0.8</v>
      </c>
      <c r="W4870" s="8">
        <v>0.7</v>
      </c>
      <c r="X4870" s="8">
        <v>69</v>
      </c>
      <c r="Y4870" s="8" t="s">
        <v>21932</v>
      </c>
      <c r="Z4870" s="8" t="s">
        <v>21933</v>
      </c>
    </row>
    <row r="4871" spans="1:26" x14ac:dyDescent="0.2">
      <c r="A4871" s="8">
        <v>4870</v>
      </c>
      <c r="B4871" s="8" t="s">
        <v>21934</v>
      </c>
      <c r="C4871" s="8" t="s">
        <v>21934</v>
      </c>
      <c r="F4871" s="47"/>
      <c r="G4871" s="8">
        <v>19</v>
      </c>
      <c r="H4871" s="8" t="s">
        <v>21</v>
      </c>
      <c r="I4871" s="8" t="s">
        <v>22</v>
      </c>
      <c r="J4871" s="8" t="s">
        <v>22</v>
      </c>
      <c r="K4871" s="8" t="s">
        <v>449</v>
      </c>
      <c r="L4871" s="8" t="s">
        <v>18681</v>
      </c>
      <c r="M4871" s="8" t="s">
        <v>18682</v>
      </c>
      <c r="N4871" s="8" t="s">
        <v>21935</v>
      </c>
      <c r="O4871" s="8">
        <f>12+59/60+17.8/3600</f>
        <v>12.988277777777776</v>
      </c>
      <c r="P4871" s="8" t="s">
        <v>21936</v>
      </c>
      <c r="Q4871" s="8">
        <f>+(37+2/60+54/3600)</f>
        <v>37.048333333333332</v>
      </c>
      <c r="R4871" s="8">
        <v>14.6</v>
      </c>
      <c r="S4871" s="8">
        <v>15.4</v>
      </c>
      <c r="T4871" s="8">
        <v>0.8</v>
      </c>
      <c r="U4871" s="8">
        <v>13</v>
      </c>
      <c r="V4871" s="8">
        <v>0.9</v>
      </c>
      <c r="W4871" s="8">
        <v>0.3</v>
      </c>
      <c r="X4871" s="8">
        <v>0</v>
      </c>
      <c r="Y4871" s="8" t="s">
        <v>21937</v>
      </c>
      <c r="Z4871" s="8" t="s">
        <v>21938</v>
      </c>
    </row>
    <row r="4872" spans="1:26" x14ac:dyDescent="0.2">
      <c r="A4872" s="8">
        <v>4871</v>
      </c>
      <c r="B4872" s="8" t="s">
        <v>21939</v>
      </c>
      <c r="C4872" s="8" t="s">
        <v>21939</v>
      </c>
      <c r="F4872" s="47"/>
      <c r="G4872" s="8">
        <v>19</v>
      </c>
      <c r="H4872" s="8" t="s">
        <v>21</v>
      </c>
      <c r="I4872" s="8" t="s">
        <v>22</v>
      </c>
      <c r="J4872" s="8" t="s">
        <v>22</v>
      </c>
      <c r="K4872" s="8" t="s">
        <v>37</v>
      </c>
      <c r="L4872" s="8" t="s">
        <v>18289</v>
      </c>
      <c r="M4872" s="8" t="s">
        <v>18290</v>
      </c>
      <c r="N4872" s="8" t="s">
        <v>21940</v>
      </c>
      <c r="O4872" s="8">
        <f>12+59/60+30.1/3600</f>
        <v>12.991694444444443</v>
      </c>
      <c r="P4872" s="8" t="s">
        <v>21941</v>
      </c>
      <c r="Q4872" s="8">
        <f>+(27+57/60+23/3600)</f>
        <v>27.956388888888888</v>
      </c>
      <c r="R4872" s="8">
        <v>14.2</v>
      </c>
      <c r="S4872" s="8">
        <v>15.2</v>
      </c>
      <c r="T4872" s="8">
        <v>1</v>
      </c>
      <c r="U4872" s="8">
        <v>12.8</v>
      </c>
      <c r="V4872" s="8">
        <v>0.7</v>
      </c>
      <c r="W4872" s="8">
        <v>0.5</v>
      </c>
      <c r="X4872" s="8">
        <v>177</v>
      </c>
      <c r="Y4872" s="8" t="s">
        <v>10537</v>
      </c>
      <c r="Z4872" s="8" t="s">
        <v>21942</v>
      </c>
    </row>
    <row r="4873" spans="1:26" x14ac:dyDescent="0.2">
      <c r="A4873" s="8">
        <v>4872</v>
      </c>
      <c r="B4873" s="8" t="s">
        <v>21943</v>
      </c>
      <c r="C4873" s="8" t="s">
        <v>21943</v>
      </c>
      <c r="F4873" s="47" t="s">
        <v>57624</v>
      </c>
      <c r="G4873" s="8">
        <v>15</v>
      </c>
      <c r="H4873" s="8" t="s">
        <v>21</v>
      </c>
      <c r="I4873" s="8" t="s">
        <v>22</v>
      </c>
      <c r="J4873" s="8" t="s">
        <v>22</v>
      </c>
      <c r="K4873" s="8" t="s">
        <v>460</v>
      </c>
      <c r="L4873" s="8" t="s">
        <v>18289</v>
      </c>
      <c r="M4873" s="8" t="s">
        <v>18290</v>
      </c>
      <c r="N4873" s="8" t="s">
        <v>21944</v>
      </c>
      <c r="O4873" s="8">
        <f>12+59/60+35.8/3600</f>
        <v>12.993277777777777</v>
      </c>
      <c r="P4873" s="8" t="s">
        <v>21945</v>
      </c>
      <c r="Q4873" s="8">
        <f>+(27+57/60+34/3600)</f>
        <v>27.959444444444443</v>
      </c>
      <c r="R4873" s="8">
        <v>11.7</v>
      </c>
      <c r="S4873" s="8">
        <v>12.6</v>
      </c>
      <c r="T4873" s="8">
        <v>0.9</v>
      </c>
      <c r="U4873" s="8">
        <v>13.1</v>
      </c>
      <c r="V4873" s="8">
        <v>1.9</v>
      </c>
      <c r="W4873" s="8">
        <v>1.9</v>
      </c>
      <c r="Y4873" s="8" t="s">
        <v>803</v>
      </c>
      <c r="Z4873" s="8" t="s">
        <v>804</v>
      </c>
    </row>
    <row r="4874" spans="1:26" x14ac:dyDescent="0.2">
      <c r="A4874" s="8">
        <v>4873</v>
      </c>
      <c r="B4874" s="8" t="s">
        <v>21946</v>
      </c>
      <c r="C4874" s="8" t="s">
        <v>21946</v>
      </c>
      <c r="F4874" s="47"/>
      <c r="G4874" s="8">
        <v>19</v>
      </c>
      <c r="H4874" s="8" t="s">
        <v>21</v>
      </c>
      <c r="I4874" s="8" t="s">
        <v>22</v>
      </c>
      <c r="J4874" s="8" t="s">
        <v>22</v>
      </c>
      <c r="K4874" s="8" t="s">
        <v>37</v>
      </c>
      <c r="L4874" s="8" t="s">
        <v>18289</v>
      </c>
      <c r="M4874" s="8" t="s">
        <v>18290</v>
      </c>
      <c r="N4874" s="8" t="s">
        <v>21947</v>
      </c>
      <c r="O4874" s="8">
        <f>12+59/60+32.9/3600</f>
        <v>12.992472222222222</v>
      </c>
      <c r="P4874" s="8" t="s">
        <v>21948</v>
      </c>
      <c r="Q4874" s="8">
        <f>+(27+59/60+0/3600)</f>
        <v>27.983333333333334</v>
      </c>
      <c r="R4874" s="8">
        <v>14.1</v>
      </c>
      <c r="S4874" s="8">
        <v>15.1</v>
      </c>
      <c r="T4874" s="8">
        <v>1</v>
      </c>
      <c r="U4874" s="8">
        <v>13.1</v>
      </c>
      <c r="V4874" s="8">
        <v>0.8</v>
      </c>
      <c r="W4874" s="8">
        <v>0.6</v>
      </c>
      <c r="X4874" s="8">
        <v>105</v>
      </c>
      <c r="Y4874" s="8" t="s">
        <v>282</v>
      </c>
      <c r="Z4874" s="8" t="s">
        <v>283</v>
      </c>
    </row>
    <row r="4875" spans="1:26" x14ac:dyDescent="0.2">
      <c r="A4875" s="8">
        <v>4874</v>
      </c>
      <c r="B4875" s="8" t="s">
        <v>21949</v>
      </c>
      <c r="C4875" s="8" t="s">
        <v>21949</v>
      </c>
      <c r="F4875" s="51"/>
      <c r="G4875" s="8">
        <v>11</v>
      </c>
      <c r="H4875" s="8" t="s">
        <v>21</v>
      </c>
      <c r="I4875" s="8" t="s">
        <v>22</v>
      </c>
      <c r="J4875" s="8" t="s">
        <v>22</v>
      </c>
      <c r="K4875" s="8" t="s">
        <v>224</v>
      </c>
      <c r="L4875" s="8" t="s">
        <v>18289</v>
      </c>
      <c r="M4875" s="8" t="s">
        <v>18290</v>
      </c>
      <c r="N4875" s="8" t="s">
        <v>21950</v>
      </c>
      <c r="O4875" s="8">
        <f>12+59/60+34.3/3600</f>
        <v>12.992861111111111</v>
      </c>
      <c r="P4875" s="8" t="s">
        <v>21951</v>
      </c>
      <c r="Q4875" s="8">
        <f>+(27+56/60+48/3600)</f>
        <v>27.946666666666665</v>
      </c>
      <c r="R4875" s="8">
        <v>14.4</v>
      </c>
      <c r="S4875" s="8">
        <v>15.4</v>
      </c>
      <c r="T4875" s="8">
        <v>1</v>
      </c>
      <c r="U4875" s="8">
        <v>15.2</v>
      </c>
      <c r="V4875" s="8">
        <v>0.5</v>
      </c>
      <c r="W4875" s="8">
        <v>0.3</v>
      </c>
      <c r="X4875" s="8">
        <v>123</v>
      </c>
      <c r="Y4875" s="8" t="s">
        <v>21952</v>
      </c>
      <c r="Z4875" s="8" t="s">
        <v>21953</v>
      </c>
    </row>
    <row r="4876" spans="1:26" x14ac:dyDescent="0.2">
      <c r="A4876" s="8">
        <v>4875</v>
      </c>
      <c r="B4876" s="8" t="s">
        <v>21954</v>
      </c>
      <c r="C4876" s="8" t="s">
        <v>21954</v>
      </c>
      <c r="F4876" s="47"/>
      <c r="G4876" s="8">
        <v>19</v>
      </c>
      <c r="H4876" s="8" t="s">
        <v>21</v>
      </c>
      <c r="I4876" s="8" t="s">
        <v>22</v>
      </c>
      <c r="J4876" s="8" t="s">
        <v>22</v>
      </c>
      <c r="K4876" s="8" t="s">
        <v>37</v>
      </c>
      <c r="L4876" s="8" t="s">
        <v>18289</v>
      </c>
      <c r="M4876" s="8" t="s">
        <v>18290</v>
      </c>
      <c r="N4876" s="8" t="s">
        <v>21955</v>
      </c>
      <c r="O4876" s="8">
        <f>12+59/60+38.1/3600</f>
        <v>12.993916666666665</v>
      </c>
      <c r="P4876" s="8" t="s">
        <v>21956</v>
      </c>
      <c r="Q4876" s="8">
        <f>+(27+54/60+27/3600)</f>
        <v>27.907499999999999</v>
      </c>
      <c r="R4876" s="8">
        <v>14.7</v>
      </c>
      <c r="S4876" s="8">
        <v>15.7</v>
      </c>
      <c r="T4876" s="8">
        <v>1</v>
      </c>
      <c r="U4876" s="8">
        <v>12.3</v>
      </c>
      <c r="V4876" s="8">
        <v>0.4</v>
      </c>
      <c r="W4876" s="8">
        <v>0.3</v>
      </c>
      <c r="X4876" s="8">
        <v>123</v>
      </c>
      <c r="Y4876" s="8" t="s">
        <v>1948</v>
      </c>
      <c r="Z4876" s="8" t="s">
        <v>1949</v>
      </c>
    </row>
    <row r="4877" spans="1:26" x14ac:dyDescent="0.2">
      <c r="A4877" s="8">
        <v>4876</v>
      </c>
      <c r="B4877" s="8" t="s">
        <v>21957</v>
      </c>
      <c r="C4877" s="8" t="s">
        <v>21957</v>
      </c>
      <c r="F4877" s="47"/>
      <c r="G4877" s="8">
        <v>19</v>
      </c>
      <c r="H4877" s="8" t="s">
        <v>21</v>
      </c>
      <c r="I4877" s="8" t="s">
        <v>22</v>
      </c>
      <c r="J4877" s="8" t="s">
        <v>22</v>
      </c>
      <c r="K4877" s="8" t="s">
        <v>1068</v>
      </c>
      <c r="L4877" s="8" t="s">
        <v>18289</v>
      </c>
      <c r="M4877" s="8" t="s">
        <v>18290</v>
      </c>
      <c r="N4877" s="8" t="s">
        <v>21958</v>
      </c>
      <c r="O4877" s="8">
        <f>12+59/60+44.6/3600</f>
        <v>12.995722222222222</v>
      </c>
      <c r="P4877" s="8" t="s">
        <v>21959</v>
      </c>
      <c r="Q4877" s="8">
        <f>+(27+54/60+44/3600)</f>
        <v>27.912222222222219</v>
      </c>
      <c r="R4877" s="8">
        <v>14.4</v>
      </c>
      <c r="S4877" s="8">
        <v>15.4</v>
      </c>
      <c r="T4877" s="8">
        <v>1</v>
      </c>
      <c r="U4877" s="8">
        <v>12.9</v>
      </c>
      <c r="V4877" s="8">
        <v>0.6</v>
      </c>
      <c r="W4877" s="8">
        <v>0.4</v>
      </c>
      <c r="X4877" s="8">
        <v>18</v>
      </c>
      <c r="Y4877" s="8" t="s">
        <v>21960</v>
      </c>
      <c r="Z4877" s="8" t="s">
        <v>21961</v>
      </c>
    </row>
    <row r="4878" spans="1:26" x14ac:dyDescent="0.2">
      <c r="A4878" s="8">
        <v>4877</v>
      </c>
      <c r="B4878" s="8" t="s">
        <v>21962</v>
      </c>
      <c r="C4878" s="8" t="s">
        <v>21962</v>
      </c>
      <c r="F4878" s="47" t="s">
        <v>57625</v>
      </c>
      <c r="G4878" s="8">
        <v>15</v>
      </c>
      <c r="H4878" s="8" t="s">
        <v>21</v>
      </c>
      <c r="I4878" s="8" t="s">
        <v>22</v>
      </c>
      <c r="J4878" s="8" t="s">
        <v>22</v>
      </c>
      <c r="K4878" s="8" t="s">
        <v>31</v>
      </c>
      <c r="L4878" s="8" t="s">
        <v>17287</v>
      </c>
      <c r="M4878" s="8" t="s">
        <v>17288</v>
      </c>
      <c r="N4878" s="8" t="s">
        <v>21963</v>
      </c>
      <c r="O4878" s="8">
        <f>13+0/60+26.4/3600</f>
        <v>13.007333333333333</v>
      </c>
      <c r="P4878" s="8" t="s">
        <v>21964</v>
      </c>
      <c r="Q4878" s="8">
        <f>-(15+16/60+58/3600)</f>
        <v>-15.282777777777779</v>
      </c>
      <c r="R4878" s="8">
        <v>12.4</v>
      </c>
      <c r="S4878" s="8">
        <v>13.2</v>
      </c>
      <c r="T4878" s="8">
        <v>0.8</v>
      </c>
      <c r="U4878" s="8">
        <v>13.1</v>
      </c>
      <c r="V4878" s="8">
        <v>2.2000000000000002</v>
      </c>
      <c r="W4878" s="8">
        <v>1</v>
      </c>
      <c r="X4878" s="8">
        <v>6</v>
      </c>
      <c r="Y4878" s="8" t="s">
        <v>21965</v>
      </c>
      <c r="Z4878" s="8" t="s">
        <v>21966</v>
      </c>
    </row>
    <row r="4879" spans="1:26" x14ac:dyDescent="0.2">
      <c r="A4879" s="8">
        <v>4878</v>
      </c>
      <c r="B4879" s="8" t="s">
        <v>21967</v>
      </c>
      <c r="C4879" s="8" t="s">
        <v>21967</v>
      </c>
      <c r="F4879" s="47" t="s">
        <v>57626</v>
      </c>
      <c r="G4879" s="8">
        <v>15</v>
      </c>
      <c r="H4879" s="8" t="s">
        <v>21</v>
      </c>
      <c r="I4879" s="8" t="s">
        <v>22</v>
      </c>
      <c r="J4879" s="8" t="s">
        <v>22</v>
      </c>
      <c r="K4879" s="8" t="s">
        <v>224</v>
      </c>
      <c r="L4879" s="8" t="s">
        <v>17287</v>
      </c>
      <c r="M4879" s="8" t="s">
        <v>17288</v>
      </c>
      <c r="N4879" s="8" t="s">
        <v>21968</v>
      </c>
      <c r="O4879" s="8">
        <f>13+0/60+20.1/3600</f>
        <v>13.005583333333334</v>
      </c>
      <c r="P4879" s="8" t="s">
        <v>21969</v>
      </c>
      <c r="Q4879" s="8">
        <f>-(6+6/60+14/3600)</f>
        <v>-6.1038888888888883</v>
      </c>
      <c r="R4879" s="8">
        <v>12.9</v>
      </c>
      <c r="S4879" s="8">
        <v>13.8</v>
      </c>
      <c r="T4879" s="8">
        <v>0.9</v>
      </c>
      <c r="U4879" s="8">
        <v>13.2</v>
      </c>
      <c r="V4879" s="8">
        <v>1.3</v>
      </c>
      <c r="W4879" s="8">
        <v>1.1000000000000001</v>
      </c>
      <c r="X4879" s="8">
        <v>69</v>
      </c>
      <c r="Y4879" s="8" t="s">
        <v>21970</v>
      </c>
      <c r="Z4879" s="8" t="s">
        <v>3094</v>
      </c>
    </row>
    <row r="4880" spans="1:26" x14ac:dyDescent="0.2">
      <c r="A4880" s="8">
        <v>4879</v>
      </c>
      <c r="B4880" s="8" t="s">
        <v>21971</v>
      </c>
      <c r="C4880" s="8" t="s">
        <v>21971</v>
      </c>
      <c r="F4880" s="47" t="s">
        <v>57627</v>
      </c>
      <c r="G4880" s="8">
        <v>15</v>
      </c>
      <c r="H4880" s="8" t="s">
        <v>21</v>
      </c>
      <c r="I4880" s="8" t="s">
        <v>72</v>
      </c>
      <c r="J4880" s="8" t="s">
        <v>72</v>
      </c>
      <c r="K4880" s="8" t="s">
        <v>20</v>
      </c>
      <c r="L4880" s="8" t="s">
        <v>17287</v>
      </c>
      <c r="M4880" s="8" t="s">
        <v>17288</v>
      </c>
      <c r="N4880" s="8" t="s">
        <v>21972</v>
      </c>
      <c r="O4880" s="8">
        <f>13+0/60+25.6/3600</f>
        <v>13.007111111111112</v>
      </c>
      <c r="P4880" s="8" t="s">
        <v>21973</v>
      </c>
      <c r="Q4880" s="8">
        <f>-(6+6/60+40/3600)</f>
        <v>-6.1111111111111107</v>
      </c>
      <c r="R4880" s="8">
        <v>15.5</v>
      </c>
      <c r="S4880" s="8">
        <v>99</v>
      </c>
      <c r="T4880" s="8">
        <v>99</v>
      </c>
      <c r="U4880" s="8">
        <v>99</v>
      </c>
      <c r="Y4880" s="8" t="s">
        <v>21974</v>
      </c>
      <c r="Z4880" s="8" t="s">
        <v>21975</v>
      </c>
    </row>
    <row r="4881" spans="1:26" x14ac:dyDescent="0.2">
      <c r="A4881" s="8">
        <v>4880</v>
      </c>
      <c r="B4881" s="8" t="s">
        <v>21976</v>
      </c>
      <c r="C4881" s="8" t="s">
        <v>21976</v>
      </c>
      <c r="F4881" s="47" t="s">
        <v>57628</v>
      </c>
      <c r="G4881" s="8">
        <v>6.5</v>
      </c>
      <c r="H4881" s="8" t="s">
        <v>21</v>
      </c>
      <c r="I4881" s="8" t="s">
        <v>22</v>
      </c>
      <c r="J4881" s="8" t="s">
        <v>22</v>
      </c>
      <c r="K4881" s="8" t="s">
        <v>435</v>
      </c>
      <c r="L4881" s="8" t="s">
        <v>17287</v>
      </c>
      <c r="M4881" s="8" t="s">
        <v>17288</v>
      </c>
      <c r="N4881" s="8" t="s">
        <v>21977</v>
      </c>
      <c r="O4881" s="8">
        <f>13+0/60+10.5/3600</f>
        <v>13.002916666666666</v>
      </c>
      <c r="P4881" s="8" t="s">
        <v>21978</v>
      </c>
      <c r="Q4881" s="8">
        <f>+(12+29/60+0/3600)</f>
        <v>12.483333333333333</v>
      </c>
      <c r="R4881" s="8">
        <v>11.4</v>
      </c>
      <c r="S4881" s="8">
        <v>12.3</v>
      </c>
      <c r="T4881" s="8">
        <v>0.9</v>
      </c>
      <c r="U4881" s="8">
        <v>13.5</v>
      </c>
      <c r="V4881" s="8">
        <v>3.1</v>
      </c>
      <c r="W4881" s="8">
        <v>2.5</v>
      </c>
      <c r="X4881" s="8">
        <v>165</v>
      </c>
      <c r="Y4881" s="8" t="s">
        <v>21979</v>
      </c>
      <c r="Z4881" s="8" t="s">
        <v>21980</v>
      </c>
    </row>
    <row r="4882" spans="1:26" x14ac:dyDescent="0.2">
      <c r="A4882" s="8">
        <v>4881</v>
      </c>
      <c r="B4882" s="8" t="s">
        <v>21981</v>
      </c>
      <c r="C4882" s="8" t="s">
        <v>21981</v>
      </c>
      <c r="F4882" s="47"/>
      <c r="G4882" s="8">
        <v>18</v>
      </c>
      <c r="H4882" s="8" t="s">
        <v>21</v>
      </c>
      <c r="I4882" s="8" t="s">
        <v>22</v>
      </c>
      <c r="J4882" s="8" t="s">
        <v>22</v>
      </c>
      <c r="K4882" s="8" t="s">
        <v>460</v>
      </c>
      <c r="L4882" s="8" t="s">
        <v>18289</v>
      </c>
      <c r="M4882" s="8" t="s">
        <v>18290</v>
      </c>
      <c r="N4882" s="8" t="s">
        <v>21982</v>
      </c>
      <c r="O4882" s="8">
        <f>12+59/60+57.9/3600</f>
        <v>12.999416666666665</v>
      </c>
      <c r="P4882" s="8" t="s">
        <v>21983</v>
      </c>
      <c r="Q4882" s="8">
        <f>+(28+14/60+47/3600)</f>
        <v>28.246388888888891</v>
      </c>
      <c r="R4882" s="8">
        <v>13.6</v>
      </c>
      <c r="S4882" s="8">
        <v>14.6</v>
      </c>
      <c r="T4882" s="8">
        <v>1</v>
      </c>
      <c r="U4882" s="8">
        <v>13.5</v>
      </c>
      <c r="V4882" s="8">
        <v>1</v>
      </c>
      <c r="W4882" s="8">
        <v>1</v>
      </c>
      <c r="Y4882" s="8" t="s">
        <v>21984</v>
      </c>
      <c r="Z4882" s="8" t="s">
        <v>21985</v>
      </c>
    </row>
    <row r="4883" spans="1:26" x14ac:dyDescent="0.2">
      <c r="A4883" s="8">
        <v>4882</v>
      </c>
      <c r="B4883" s="8" t="s">
        <v>21986</v>
      </c>
      <c r="C4883" s="8" t="s">
        <v>21986</v>
      </c>
      <c r="F4883" s="47"/>
      <c r="G4883" s="8">
        <v>18</v>
      </c>
      <c r="H4883" s="8" t="s">
        <v>21</v>
      </c>
      <c r="I4883" s="8" t="s">
        <v>22</v>
      </c>
      <c r="J4883" s="8" t="s">
        <v>57</v>
      </c>
      <c r="K4883" s="8" t="s">
        <v>460</v>
      </c>
      <c r="L4883" s="8" t="s">
        <v>18289</v>
      </c>
      <c r="M4883" s="8" t="s">
        <v>18290</v>
      </c>
      <c r="N4883" s="8" t="s">
        <v>21987</v>
      </c>
      <c r="O4883" s="8">
        <f>13+0/60+4.6/3600</f>
        <v>13.001277777777778</v>
      </c>
      <c r="P4883" s="8" t="s">
        <v>21988</v>
      </c>
      <c r="Q4883" s="8">
        <f>+(27+59/60+11/3600)</f>
        <v>27.986388888888889</v>
      </c>
      <c r="R4883" s="8">
        <v>13.9</v>
      </c>
      <c r="S4883" s="8">
        <v>14.8</v>
      </c>
      <c r="T4883" s="8">
        <v>0.9</v>
      </c>
      <c r="U4883" s="8">
        <v>14</v>
      </c>
      <c r="V4883" s="8">
        <v>0.6</v>
      </c>
      <c r="W4883" s="8">
        <v>0.6</v>
      </c>
      <c r="Y4883" s="8" t="s">
        <v>21989</v>
      </c>
      <c r="Z4883" s="8" t="s">
        <v>21990</v>
      </c>
    </row>
    <row r="4884" spans="1:26" x14ac:dyDescent="0.2">
      <c r="A4884" s="8">
        <v>4883</v>
      </c>
      <c r="B4884" s="8" t="s">
        <v>21991</v>
      </c>
      <c r="C4884" s="8" t="s">
        <v>21991</v>
      </c>
      <c r="F4884" s="47"/>
      <c r="G4884" s="8">
        <v>19</v>
      </c>
      <c r="H4884" s="8" t="s">
        <v>21</v>
      </c>
      <c r="I4884" s="8" t="s">
        <v>22</v>
      </c>
      <c r="J4884" s="8" t="s">
        <v>22</v>
      </c>
      <c r="K4884" s="8" t="s">
        <v>224</v>
      </c>
      <c r="L4884" s="8" t="s">
        <v>18289</v>
      </c>
      <c r="M4884" s="8" t="s">
        <v>18290</v>
      </c>
      <c r="N4884" s="8" t="s">
        <v>21992</v>
      </c>
      <c r="O4884" s="8">
        <f>12+59/60+56.2/3600</f>
        <v>12.998944444444444</v>
      </c>
      <c r="P4884" s="8" t="s">
        <v>21993</v>
      </c>
      <c r="Q4884" s="8">
        <f>+(28+2/60+3/3600)</f>
        <v>28.034166666666668</v>
      </c>
      <c r="R4884" s="8">
        <v>14.3</v>
      </c>
      <c r="S4884" s="8">
        <v>15.4</v>
      </c>
      <c r="T4884" s="8">
        <v>1.1000000000000001</v>
      </c>
      <c r="U4884" s="8">
        <v>12.1</v>
      </c>
      <c r="V4884" s="8">
        <v>0.5</v>
      </c>
      <c r="W4884" s="8">
        <v>0.3</v>
      </c>
      <c r="X4884" s="8">
        <v>97</v>
      </c>
      <c r="Y4884" s="8" t="s">
        <v>12012</v>
      </c>
      <c r="Z4884" s="8" t="s">
        <v>12013</v>
      </c>
    </row>
    <row r="4885" spans="1:26" x14ac:dyDescent="0.2">
      <c r="A4885" s="8">
        <v>4884</v>
      </c>
      <c r="B4885" s="8" t="s">
        <v>21994</v>
      </c>
      <c r="C4885" s="8" t="s">
        <v>21994</v>
      </c>
      <c r="F4885" s="47"/>
      <c r="G4885" s="8">
        <v>18</v>
      </c>
      <c r="H4885" s="8" t="s">
        <v>21</v>
      </c>
      <c r="I4885" s="8" t="s">
        <v>22</v>
      </c>
      <c r="J4885" s="8" t="s">
        <v>57</v>
      </c>
      <c r="K4885" s="8" t="s">
        <v>382</v>
      </c>
      <c r="L4885" s="8" t="s">
        <v>18289</v>
      </c>
      <c r="M4885" s="8" t="s">
        <v>18290</v>
      </c>
      <c r="N4885" s="8" t="s">
        <v>21995</v>
      </c>
      <c r="O4885" s="8">
        <f>13+0/60+8.3/3600</f>
        <v>13.002305555555555</v>
      </c>
      <c r="P4885" s="8" t="s">
        <v>21908</v>
      </c>
      <c r="Q4885" s="8">
        <f>+(27+58/60+35/3600)</f>
        <v>27.976388888888888</v>
      </c>
      <c r="R4885" s="8">
        <v>11.5</v>
      </c>
      <c r="S4885" s="8">
        <v>12.5</v>
      </c>
      <c r="T4885" s="8">
        <v>1</v>
      </c>
      <c r="U4885" s="8">
        <v>13.3</v>
      </c>
      <c r="V4885" s="8">
        <v>2.8</v>
      </c>
      <c r="W4885" s="8">
        <v>2</v>
      </c>
      <c r="X4885" s="8">
        <v>80</v>
      </c>
      <c r="Y4885" s="8" t="s">
        <v>21996</v>
      </c>
      <c r="Z4885" s="8" t="s">
        <v>21997</v>
      </c>
    </row>
    <row r="4886" spans="1:26" x14ac:dyDescent="0.2">
      <c r="A4886" s="8">
        <v>4885</v>
      </c>
      <c r="B4886" s="8" t="s">
        <v>21998</v>
      </c>
      <c r="C4886" s="8" t="s">
        <v>21998</v>
      </c>
      <c r="F4886" s="47"/>
      <c r="G4886" s="8">
        <v>16</v>
      </c>
      <c r="H4886" s="8" t="s">
        <v>21</v>
      </c>
      <c r="I4886" s="8" t="s">
        <v>22</v>
      </c>
      <c r="J4886" s="8" t="s">
        <v>22</v>
      </c>
      <c r="K4886" s="8" t="s">
        <v>124</v>
      </c>
      <c r="L4886" s="8" t="s">
        <v>17287</v>
      </c>
      <c r="M4886" s="8" t="s">
        <v>17288</v>
      </c>
      <c r="N4886" s="8" t="s">
        <v>21999</v>
      </c>
      <c r="O4886" s="8">
        <f>13+0/60+33.8/3600</f>
        <v>13.009388888888889</v>
      </c>
      <c r="P4886" s="8" t="s">
        <v>22000</v>
      </c>
      <c r="Q4886" s="8">
        <f>-(6+51/60+11/3600)</f>
        <v>-6.8530555555555548</v>
      </c>
      <c r="R4886" s="8">
        <v>14</v>
      </c>
      <c r="S4886" s="8">
        <v>14.9</v>
      </c>
      <c r="T4886" s="8">
        <v>0.9</v>
      </c>
      <c r="U4886" s="8">
        <v>12.1</v>
      </c>
      <c r="V4886" s="8">
        <v>0.5</v>
      </c>
      <c r="W4886" s="8">
        <v>0.4</v>
      </c>
      <c r="X4886" s="8">
        <v>138</v>
      </c>
      <c r="Y4886" s="8" t="s">
        <v>307</v>
      </c>
      <c r="Z4886" s="8" t="s">
        <v>308</v>
      </c>
    </row>
    <row r="4887" spans="1:26" x14ac:dyDescent="0.2">
      <c r="A4887" s="8">
        <v>4886</v>
      </c>
      <c r="B4887" s="8" t="s">
        <v>22001</v>
      </c>
      <c r="C4887" s="8" t="s">
        <v>22001</v>
      </c>
      <c r="F4887" s="47"/>
      <c r="G4887" s="8">
        <v>18</v>
      </c>
      <c r="H4887" s="8" t="s">
        <v>21</v>
      </c>
      <c r="I4887" s="8" t="s">
        <v>22</v>
      </c>
      <c r="J4887" s="8" t="s">
        <v>22</v>
      </c>
      <c r="K4887" s="8" t="s">
        <v>460</v>
      </c>
      <c r="L4887" s="8" t="s">
        <v>18289</v>
      </c>
      <c r="M4887" s="8" t="s">
        <v>18290</v>
      </c>
      <c r="N4887" s="8" t="s">
        <v>21987</v>
      </c>
      <c r="O4887" s="8">
        <f>13+0/60+4.6/3600</f>
        <v>13.001277777777778</v>
      </c>
      <c r="P4887" s="8" t="s">
        <v>21988</v>
      </c>
      <c r="Q4887" s="8">
        <f>+(27+59/60+11/3600)</f>
        <v>27.986388888888889</v>
      </c>
      <c r="R4887" s="8">
        <v>13.9</v>
      </c>
      <c r="S4887" s="8">
        <v>14.8</v>
      </c>
      <c r="T4887" s="8">
        <v>0.9</v>
      </c>
      <c r="U4887" s="8">
        <v>14</v>
      </c>
      <c r="V4887" s="8">
        <v>0.6</v>
      </c>
      <c r="W4887" s="8">
        <v>0.6</v>
      </c>
      <c r="Y4887" s="8" t="s">
        <v>21989</v>
      </c>
      <c r="Z4887" s="8" t="s">
        <v>22002</v>
      </c>
    </row>
    <row r="4888" spans="1:26" x14ac:dyDescent="0.2">
      <c r="A4888" s="8">
        <v>4887</v>
      </c>
      <c r="B4888" s="8" t="s">
        <v>22003</v>
      </c>
      <c r="C4888" s="8" t="s">
        <v>22003</v>
      </c>
      <c r="F4888" s="47"/>
      <c r="G4888" s="8">
        <v>19</v>
      </c>
      <c r="H4888" s="8" t="s">
        <v>21</v>
      </c>
      <c r="I4888" s="8" t="s">
        <v>22</v>
      </c>
      <c r="J4888" s="8" t="s">
        <v>22</v>
      </c>
      <c r="K4888" s="8" t="s">
        <v>632</v>
      </c>
      <c r="L4888" s="8" t="s">
        <v>17287</v>
      </c>
      <c r="M4888" s="8" t="s">
        <v>17288</v>
      </c>
      <c r="N4888" s="8" t="s">
        <v>22004</v>
      </c>
      <c r="O4888" s="8">
        <f>13+0/60+39.3/3600</f>
        <v>13.010916666666667</v>
      </c>
      <c r="P4888" s="8" t="s">
        <v>22005</v>
      </c>
      <c r="Q4888" s="8">
        <f>-(14+40/60+0/3600)</f>
        <v>-14.666666666666666</v>
      </c>
      <c r="R4888" s="8">
        <v>13.6</v>
      </c>
      <c r="S4888" s="8">
        <v>14.5</v>
      </c>
      <c r="T4888" s="8">
        <v>0.9</v>
      </c>
      <c r="U4888" s="8">
        <v>13</v>
      </c>
      <c r="V4888" s="8">
        <v>1.1000000000000001</v>
      </c>
      <c r="W4888" s="8">
        <v>0.6</v>
      </c>
      <c r="X4888" s="8">
        <v>155</v>
      </c>
      <c r="Y4888" s="8" t="s">
        <v>22006</v>
      </c>
      <c r="Z4888" s="8" t="s">
        <v>22007</v>
      </c>
    </row>
    <row r="4889" spans="1:26" x14ac:dyDescent="0.2">
      <c r="A4889" s="8">
        <v>4888</v>
      </c>
      <c r="B4889" s="8" t="s">
        <v>22008</v>
      </c>
      <c r="C4889" s="8" t="s">
        <v>22008</v>
      </c>
      <c r="F4889" s="47" t="s">
        <v>57629</v>
      </c>
      <c r="G4889" s="8">
        <v>15</v>
      </c>
      <c r="H4889" s="8" t="s">
        <v>21</v>
      </c>
      <c r="I4889" s="8" t="s">
        <v>22</v>
      </c>
      <c r="J4889" s="8" t="s">
        <v>22</v>
      </c>
      <c r="K4889" s="8" t="s">
        <v>91</v>
      </c>
      <c r="L4889" s="8" t="s">
        <v>17287</v>
      </c>
      <c r="M4889" s="8" t="s">
        <v>17288</v>
      </c>
      <c r="N4889" s="8" t="s">
        <v>22009</v>
      </c>
      <c r="O4889" s="8">
        <f>13+0/60+36.2/3600</f>
        <v>13.010055555555555</v>
      </c>
      <c r="P4889" s="8" t="s">
        <v>22010</v>
      </c>
      <c r="Q4889" s="8">
        <f>-(6+4/60+32/3600)</f>
        <v>-6.0755555555555549</v>
      </c>
      <c r="R4889" s="8">
        <v>13.4</v>
      </c>
      <c r="S4889" s="8">
        <v>14.3</v>
      </c>
      <c r="T4889" s="8">
        <v>0.9</v>
      </c>
      <c r="U4889" s="8">
        <v>12.6</v>
      </c>
      <c r="V4889" s="8">
        <v>1</v>
      </c>
      <c r="W4889" s="8">
        <v>0.4</v>
      </c>
      <c r="X4889" s="8">
        <v>119</v>
      </c>
      <c r="Y4889" s="8" t="s">
        <v>21979</v>
      </c>
      <c r="Z4889" s="8" t="s">
        <v>22011</v>
      </c>
    </row>
    <row r="4890" spans="1:26" x14ac:dyDescent="0.2">
      <c r="A4890" s="8">
        <v>4889</v>
      </c>
      <c r="B4890" s="8" t="s">
        <v>22012</v>
      </c>
      <c r="C4890" s="8" t="s">
        <v>22012</v>
      </c>
      <c r="F4890" s="47" t="s">
        <v>57630</v>
      </c>
      <c r="G4890" s="8">
        <v>2</v>
      </c>
      <c r="H4890" s="8" t="s">
        <v>22013</v>
      </c>
      <c r="I4890" s="8" t="s">
        <v>22</v>
      </c>
      <c r="J4890" s="8" t="s">
        <v>22</v>
      </c>
      <c r="K4890" s="8" t="s">
        <v>382</v>
      </c>
      <c r="L4890" s="8" t="s">
        <v>18289</v>
      </c>
      <c r="M4890" s="8" t="s">
        <v>18290</v>
      </c>
      <c r="N4890" s="8" t="s">
        <v>21995</v>
      </c>
      <c r="O4890" s="8">
        <f>13+0/60+8.3/3600</f>
        <v>13.002305555555555</v>
      </c>
      <c r="P4890" s="8" t="s">
        <v>21908</v>
      </c>
      <c r="Q4890" s="8">
        <f>+(27+58/60+35/3600)</f>
        <v>27.976388888888888</v>
      </c>
      <c r="R4890" s="8">
        <v>11.5</v>
      </c>
      <c r="S4890" s="8">
        <v>12.5</v>
      </c>
      <c r="T4890" s="8">
        <v>1</v>
      </c>
      <c r="U4890" s="8">
        <v>13.3</v>
      </c>
      <c r="V4890" s="8">
        <v>2.8</v>
      </c>
      <c r="W4890" s="8">
        <v>2</v>
      </c>
      <c r="X4890" s="8">
        <v>80</v>
      </c>
      <c r="Y4890" s="8" t="s">
        <v>21996</v>
      </c>
      <c r="Z4890" s="8" t="s">
        <v>22014</v>
      </c>
    </row>
    <row r="4891" spans="1:26" x14ac:dyDescent="0.2">
      <c r="A4891" s="8">
        <v>4890</v>
      </c>
      <c r="B4891" s="8" t="s">
        <v>22015</v>
      </c>
      <c r="C4891" s="8" t="s">
        <v>22015</v>
      </c>
      <c r="F4891" s="47" t="s">
        <v>57631</v>
      </c>
      <c r="G4891" s="8">
        <v>15</v>
      </c>
      <c r="H4891" s="8" t="s">
        <v>21</v>
      </c>
      <c r="I4891" s="8" t="s">
        <v>22</v>
      </c>
      <c r="J4891" s="8" t="s">
        <v>22</v>
      </c>
      <c r="K4891" s="8" t="s">
        <v>4103</v>
      </c>
      <c r="L4891" s="8" t="s">
        <v>17287</v>
      </c>
      <c r="M4891" s="8" t="s">
        <v>17288</v>
      </c>
      <c r="N4891" s="8" t="s">
        <v>22016</v>
      </c>
      <c r="O4891" s="8">
        <f>13+0/60+38.9/3600</f>
        <v>13.010805555555555</v>
      </c>
      <c r="P4891" s="8" t="s">
        <v>22017</v>
      </c>
      <c r="Q4891" s="8">
        <f>-(4+36/60+14/3600)</f>
        <v>-4.6038888888888883</v>
      </c>
      <c r="R4891" s="8">
        <v>13.2</v>
      </c>
      <c r="S4891" s="8">
        <v>13.8</v>
      </c>
      <c r="T4891" s="8">
        <v>0.6</v>
      </c>
      <c r="U4891" s="8">
        <v>12.5</v>
      </c>
      <c r="V4891" s="8">
        <v>0.9</v>
      </c>
      <c r="W4891" s="8">
        <v>0.7</v>
      </c>
      <c r="X4891" s="8">
        <v>95</v>
      </c>
      <c r="Y4891" s="8" t="s">
        <v>22018</v>
      </c>
      <c r="Z4891" s="8" t="s">
        <v>22019</v>
      </c>
    </row>
    <row r="4892" spans="1:26" x14ac:dyDescent="0.2">
      <c r="A4892" s="8">
        <v>4891</v>
      </c>
      <c r="B4892" s="8" t="s">
        <v>22020</v>
      </c>
      <c r="C4892" s="8" t="s">
        <v>22020</v>
      </c>
      <c r="F4892" s="47"/>
      <c r="G4892" s="8">
        <v>13</v>
      </c>
      <c r="H4892" s="8" t="s">
        <v>21</v>
      </c>
      <c r="I4892" s="8" t="s">
        <v>72</v>
      </c>
      <c r="J4892" s="8" t="s">
        <v>72</v>
      </c>
      <c r="K4892" s="8" t="s">
        <v>20</v>
      </c>
      <c r="L4892" s="8" t="s">
        <v>17287</v>
      </c>
      <c r="M4892" s="8" t="s">
        <v>17288</v>
      </c>
      <c r="N4892" s="8" t="s">
        <v>22021</v>
      </c>
      <c r="O4892" s="8">
        <f>13+0/60+47/3600</f>
        <v>13.013055555555555</v>
      </c>
      <c r="P4892" s="8" t="s">
        <v>22022</v>
      </c>
      <c r="Q4892" s="8">
        <f>-(13+25/60+35/3600)</f>
        <v>-13.426388888888889</v>
      </c>
      <c r="R4892" s="8">
        <v>99</v>
      </c>
      <c r="S4892" s="8">
        <v>14.8</v>
      </c>
      <c r="T4892" s="8">
        <v>99</v>
      </c>
      <c r="U4892" s="8">
        <v>99</v>
      </c>
      <c r="Y4892" s="8" t="s">
        <v>22023</v>
      </c>
      <c r="Z4892" s="8" t="s">
        <v>22024</v>
      </c>
    </row>
    <row r="4893" spans="1:26" x14ac:dyDescent="0.2">
      <c r="A4893" s="8">
        <v>4892</v>
      </c>
      <c r="B4893" s="8" t="s">
        <v>22025</v>
      </c>
      <c r="C4893" s="8" t="s">
        <v>22025</v>
      </c>
      <c r="F4893" s="47" t="s">
        <v>57632</v>
      </c>
      <c r="G4893" s="8">
        <v>15</v>
      </c>
      <c r="H4893" s="8" t="s">
        <v>21</v>
      </c>
      <c r="I4893" s="8" t="s">
        <v>22</v>
      </c>
      <c r="J4893" s="8" t="s">
        <v>22</v>
      </c>
      <c r="K4893" s="8" t="s">
        <v>37</v>
      </c>
      <c r="L4893" s="8" t="s">
        <v>18289</v>
      </c>
      <c r="M4893" s="8" t="s">
        <v>18290</v>
      </c>
      <c r="N4893" s="8" t="s">
        <v>22026</v>
      </c>
      <c r="O4893" s="8">
        <f>13+0/60+3.6/3600</f>
        <v>13.000999999999999</v>
      </c>
      <c r="P4893" s="8" t="s">
        <v>22027</v>
      </c>
      <c r="Q4893" s="8">
        <f>+(26+53/60+53/3600)</f>
        <v>26.898055555555555</v>
      </c>
      <c r="R4893" s="8">
        <v>14</v>
      </c>
      <c r="S4893" s="8">
        <v>15</v>
      </c>
      <c r="T4893" s="8">
        <v>1</v>
      </c>
      <c r="U4893" s="8">
        <v>12.9</v>
      </c>
      <c r="V4893" s="8">
        <v>1.3</v>
      </c>
      <c r="W4893" s="8">
        <v>0.3</v>
      </c>
      <c r="X4893" s="8">
        <v>13</v>
      </c>
      <c r="Y4893" s="8" t="s">
        <v>297</v>
      </c>
      <c r="Z4893" s="8" t="s">
        <v>298</v>
      </c>
    </row>
    <row r="4894" spans="1:26" x14ac:dyDescent="0.2">
      <c r="A4894" s="8">
        <v>4893</v>
      </c>
      <c r="B4894" s="8" t="s">
        <v>22028</v>
      </c>
      <c r="C4894" s="8" t="s">
        <v>22028</v>
      </c>
      <c r="F4894" s="47"/>
      <c r="G4894" s="8">
        <v>18</v>
      </c>
      <c r="H4894" s="8" t="s">
        <v>21</v>
      </c>
      <c r="I4894" s="8" t="s">
        <v>22</v>
      </c>
      <c r="J4894" s="8" t="s">
        <v>22</v>
      </c>
      <c r="K4894" s="8" t="s">
        <v>2572</v>
      </c>
      <c r="L4894" s="8" t="s">
        <v>18681</v>
      </c>
      <c r="M4894" s="8" t="s">
        <v>18682</v>
      </c>
      <c r="N4894" s="8" t="s">
        <v>22029</v>
      </c>
      <c r="O4894" s="8">
        <f>12+59/60+59.6/3600</f>
        <v>12.999888888888888</v>
      </c>
      <c r="P4894" s="8" t="s">
        <v>22030</v>
      </c>
      <c r="Q4894" s="8">
        <f>+(37+11/60+38/3600)</f>
        <v>37.193888888888885</v>
      </c>
      <c r="R4894" s="8">
        <v>14.3</v>
      </c>
      <c r="S4894" s="8">
        <v>15.2</v>
      </c>
      <c r="T4894" s="8">
        <v>0.9</v>
      </c>
      <c r="U4894" s="8">
        <v>12.6</v>
      </c>
      <c r="V4894" s="8">
        <v>0.4</v>
      </c>
      <c r="W4894" s="8">
        <v>0.3</v>
      </c>
      <c r="X4894" s="8">
        <v>0</v>
      </c>
      <c r="Y4894" s="8" t="s">
        <v>22031</v>
      </c>
      <c r="Z4894" s="8" t="s">
        <v>22032</v>
      </c>
    </row>
    <row r="4895" spans="1:26" x14ac:dyDescent="0.2">
      <c r="A4895" s="8">
        <v>4894</v>
      </c>
      <c r="B4895" s="8" t="s">
        <v>22033</v>
      </c>
      <c r="C4895" s="8" t="s">
        <v>22033</v>
      </c>
      <c r="F4895" s="47"/>
      <c r="G4895" s="8">
        <v>16</v>
      </c>
      <c r="H4895" s="8" t="s">
        <v>21</v>
      </c>
      <c r="I4895" s="8" t="s">
        <v>22</v>
      </c>
      <c r="J4895" s="8" t="s">
        <v>22</v>
      </c>
      <c r="K4895" s="8" t="s">
        <v>37</v>
      </c>
      <c r="L4895" s="8" t="s">
        <v>18289</v>
      </c>
      <c r="M4895" s="8" t="s">
        <v>18290</v>
      </c>
      <c r="N4895" s="8" t="s">
        <v>22034</v>
      </c>
      <c r="O4895" s="8">
        <f>13+0/60+16.7/3600</f>
        <v>13.00463888888889</v>
      </c>
      <c r="P4895" s="8" t="s">
        <v>22035</v>
      </c>
      <c r="Q4895" s="8">
        <f>+(27+58/60+1/3600)</f>
        <v>27.966944444444444</v>
      </c>
      <c r="R4895" s="8">
        <v>15.2</v>
      </c>
      <c r="S4895" s="8">
        <v>16.100000000000001</v>
      </c>
      <c r="T4895" s="8">
        <v>0.9</v>
      </c>
      <c r="U4895" s="8">
        <v>12.6</v>
      </c>
      <c r="V4895" s="8">
        <v>0.5</v>
      </c>
      <c r="W4895" s="8">
        <v>0.1</v>
      </c>
      <c r="X4895" s="8">
        <v>27</v>
      </c>
      <c r="Y4895" s="8" t="s">
        <v>824</v>
      </c>
      <c r="Z4895" s="8" t="s">
        <v>825</v>
      </c>
    </row>
    <row r="4896" spans="1:26" x14ac:dyDescent="0.2">
      <c r="A4896" s="8">
        <v>4895</v>
      </c>
      <c r="B4896" s="8" t="s">
        <v>22036</v>
      </c>
      <c r="C4896" s="8" t="s">
        <v>22036</v>
      </c>
      <c r="F4896" s="47"/>
      <c r="G4896" s="8">
        <v>18</v>
      </c>
      <c r="H4896" s="8" t="s">
        <v>21</v>
      </c>
      <c r="I4896" s="8" t="s">
        <v>22</v>
      </c>
      <c r="J4896" s="8" t="s">
        <v>22</v>
      </c>
      <c r="K4896" s="8" t="s">
        <v>643</v>
      </c>
      <c r="L4896" s="8" t="s">
        <v>18289</v>
      </c>
      <c r="M4896" s="8" t="s">
        <v>18290</v>
      </c>
      <c r="N4896" s="8" t="s">
        <v>22037</v>
      </c>
      <c r="O4896" s="8">
        <f>13+0/60+18/3600</f>
        <v>13.005000000000001</v>
      </c>
      <c r="P4896" s="8" t="s">
        <v>22038</v>
      </c>
      <c r="Q4896" s="8">
        <f>+(28+12/60+6/3600)</f>
        <v>28.201666666666664</v>
      </c>
      <c r="R4896" s="8">
        <v>13.2</v>
      </c>
      <c r="S4896" s="8">
        <v>14.2</v>
      </c>
      <c r="T4896" s="8">
        <v>1</v>
      </c>
      <c r="U4896" s="8">
        <v>13.2</v>
      </c>
      <c r="V4896" s="8">
        <v>1.8</v>
      </c>
      <c r="W4896" s="8">
        <v>0.6</v>
      </c>
      <c r="X4896" s="8">
        <v>153</v>
      </c>
      <c r="Y4896" s="8" t="s">
        <v>170</v>
      </c>
      <c r="Z4896" s="8" t="s">
        <v>171</v>
      </c>
    </row>
    <row r="4897" spans="1:26" x14ac:dyDescent="0.2">
      <c r="A4897" s="8">
        <v>4896</v>
      </c>
      <c r="B4897" s="8" t="s">
        <v>22039</v>
      </c>
      <c r="C4897" s="8" t="s">
        <v>22039</v>
      </c>
      <c r="F4897" s="47"/>
      <c r="G4897" s="8">
        <v>19</v>
      </c>
      <c r="H4897" s="8" t="s">
        <v>21</v>
      </c>
      <c r="I4897" s="8" t="s">
        <v>22</v>
      </c>
      <c r="J4897" s="8" t="s">
        <v>22</v>
      </c>
      <c r="K4897" s="8" t="s">
        <v>58</v>
      </c>
      <c r="L4897" s="8" t="s">
        <v>18289</v>
      </c>
      <c r="M4897" s="8" t="s">
        <v>18290</v>
      </c>
      <c r="N4897" s="8" t="s">
        <v>22040</v>
      </c>
      <c r="O4897" s="8">
        <f>13+0/60+30.9/3600</f>
        <v>13.008583333333334</v>
      </c>
      <c r="P4897" s="8" t="s">
        <v>22041</v>
      </c>
      <c r="Q4897" s="8">
        <f>+(28+20/60+47/3600)</f>
        <v>28.346388888888889</v>
      </c>
      <c r="R4897" s="8">
        <v>13.9</v>
      </c>
      <c r="S4897" s="8">
        <v>14.9</v>
      </c>
      <c r="T4897" s="8">
        <v>1</v>
      </c>
      <c r="U4897" s="8">
        <v>13.1</v>
      </c>
      <c r="V4897" s="8">
        <v>1</v>
      </c>
      <c r="W4897" s="8">
        <v>0.6</v>
      </c>
      <c r="X4897" s="8">
        <v>5</v>
      </c>
      <c r="Y4897" s="8" t="s">
        <v>170</v>
      </c>
      <c r="Z4897" s="8" t="s">
        <v>11712</v>
      </c>
    </row>
    <row r="4898" spans="1:26" x14ac:dyDescent="0.2">
      <c r="A4898" s="8">
        <v>4897</v>
      </c>
      <c r="B4898" s="8" t="s">
        <v>22042</v>
      </c>
      <c r="C4898" s="8" t="s">
        <v>22042</v>
      </c>
      <c r="F4898" s="47"/>
      <c r="G4898" s="8">
        <v>19</v>
      </c>
      <c r="H4898" s="8" t="s">
        <v>21</v>
      </c>
      <c r="I4898" s="8" t="s">
        <v>22</v>
      </c>
      <c r="J4898" s="8" t="s">
        <v>22</v>
      </c>
      <c r="K4898" s="8" t="s">
        <v>85</v>
      </c>
      <c r="L4898" s="8" t="s">
        <v>17287</v>
      </c>
      <c r="M4898" s="8" t="s">
        <v>17288</v>
      </c>
      <c r="N4898" s="8" t="s">
        <v>22043</v>
      </c>
      <c r="O4898" s="8">
        <f>13+0/60+52.9/3600</f>
        <v>13.014694444444444</v>
      </c>
      <c r="P4898" s="8" t="s">
        <v>22044</v>
      </c>
      <c r="Q4898" s="8">
        <f>-(13+26/60+56/3600)</f>
        <v>-13.44888888888889</v>
      </c>
      <c r="R4898" s="8">
        <v>11.8</v>
      </c>
      <c r="S4898" s="8">
        <v>12.6</v>
      </c>
      <c r="T4898" s="8">
        <v>0.8</v>
      </c>
      <c r="U4898" s="8">
        <v>13.6</v>
      </c>
      <c r="V4898" s="8">
        <v>2.7</v>
      </c>
      <c r="W4898" s="8">
        <v>2.2999999999999998</v>
      </c>
      <c r="X4898" s="8">
        <v>150</v>
      </c>
      <c r="Y4898" s="8" t="s">
        <v>2802</v>
      </c>
      <c r="Z4898" s="8" t="s">
        <v>1021</v>
      </c>
    </row>
    <row r="4899" spans="1:26" x14ac:dyDescent="0.2">
      <c r="A4899" s="8">
        <v>4898</v>
      </c>
      <c r="B4899" s="8" t="s">
        <v>22045</v>
      </c>
      <c r="C4899" s="8" t="s">
        <v>22045</v>
      </c>
      <c r="E4899" s="8">
        <v>1</v>
      </c>
      <c r="F4899" s="47"/>
      <c r="G4899" s="8">
        <v>14</v>
      </c>
      <c r="H4899" s="8" t="s">
        <v>22046</v>
      </c>
      <c r="I4899" s="8" t="s">
        <v>22</v>
      </c>
      <c r="J4899" s="8" t="s">
        <v>22</v>
      </c>
      <c r="K4899" s="8" t="s">
        <v>382</v>
      </c>
      <c r="L4899" s="8" t="s">
        <v>18289</v>
      </c>
      <c r="M4899" s="8" t="s">
        <v>18290</v>
      </c>
      <c r="N4899" s="8" t="s">
        <v>22047</v>
      </c>
      <c r="O4899" s="8">
        <f>13+0/60+17.7/3600</f>
        <v>13.004916666666666</v>
      </c>
      <c r="P4899" s="8" t="s">
        <v>22048</v>
      </c>
      <c r="Q4899" s="8">
        <f>+(27+57/60+18/3600)</f>
        <v>27.954999999999998</v>
      </c>
      <c r="R4899" s="8">
        <v>13.5</v>
      </c>
      <c r="S4899" s="8">
        <v>14.5</v>
      </c>
      <c r="T4899" s="8">
        <v>1</v>
      </c>
      <c r="U4899" s="8">
        <v>12</v>
      </c>
      <c r="V4899" s="8">
        <v>0.6</v>
      </c>
      <c r="W4899" s="8">
        <v>0.4</v>
      </c>
      <c r="X4899" s="8">
        <v>90</v>
      </c>
      <c r="Y4899" s="8" t="s">
        <v>824</v>
      </c>
      <c r="Z4899" s="8" t="s">
        <v>22049</v>
      </c>
    </row>
    <row r="4900" spans="1:26" x14ac:dyDescent="0.2">
      <c r="A4900" s="8">
        <v>4899</v>
      </c>
      <c r="B4900" s="8" t="s">
        <v>22050</v>
      </c>
      <c r="C4900" s="8" t="s">
        <v>22050</v>
      </c>
      <c r="F4900" s="47" t="s">
        <v>57633</v>
      </c>
      <c r="G4900" s="8">
        <v>13</v>
      </c>
      <c r="H4900" s="8" t="s">
        <v>21</v>
      </c>
      <c r="I4900" s="8" t="s">
        <v>22</v>
      </c>
      <c r="J4900" s="8" t="s">
        <v>22</v>
      </c>
      <c r="K4900" s="8" t="s">
        <v>64</v>
      </c>
      <c r="L4900" s="8" t="s">
        <v>17287</v>
      </c>
      <c r="M4900" s="8" t="s">
        <v>17288</v>
      </c>
      <c r="N4900" s="8" t="s">
        <v>22051</v>
      </c>
      <c r="O4900" s="8">
        <f>13+0/60+56.5/3600</f>
        <v>13.015694444444444</v>
      </c>
      <c r="P4900" s="8" t="s">
        <v>22052</v>
      </c>
      <c r="Q4900" s="8">
        <f>-(13+56/60+43/3600)</f>
        <v>-13.945277777777777</v>
      </c>
      <c r="R4900" s="8">
        <v>11.9</v>
      </c>
      <c r="S4900" s="8">
        <v>12.6</v>
      </c>
      <c r="T4900" s="8">
        <v>0.7</v>
      </c>
      <c r="U4900" s="8">
        <v>13.1</v>
      </c>
      <c r="V4900" s="8">
        <v>2.6</v>
      </c>
      <c r="W4900" s="8">
        <v>1.4</v>
      </c>
      <c r="X4900" s="8">
        <v>20</v>
      </c>
      <c r="Y4900" s="8" t="s">
        <v>22053</v>
      </c>
      <c r="Z4900" s="8" t="s">
        <v>22054</v>
      </c>
    </row>
    <row r="4901" spans="1:26" x14ac:dyDescent="0.2">
      <c r="A4901" s="8">
        <v>4900</v>
      </c>
      <c r="B4901" s="8" t="s">
        <v>22055</v>
      </c>
      <c r="C4901" s="8" t="s">
        <v>22055</v>
      </c>
      <c r="F4901" s="47" t="s">
        <v>57634</v>
      </c>
      <c r="G4901" s="8">
        <v>6</v>
      </c>
      <c r="H4901" s="8" t="s">
        <v>21</v>
      </c>
      <c r="I4901" s="8" t="s">
        <v>22</v>
      </c>
      <c r="J4901" s="8" t="s">
        <v>22</v>
      </c>
      <c r="K4901" s="8" t="s">
        <v>64</v>
      </c>
      <c r="L4901" s="8" t="s">
        <v>17287</v>
      </c>
      <c r="M4901" s="8" t="s">
        <v>17288</v>
      </c>
      <c r="N4901" s="8" t="s">
        <v>22056</v>
      </c>
      <c r="O4901" s="8">
        <f>13+0/60+39/3600</f>
        <v>13.010833333333334</v>
      </c>
      <c r="P4901" s="8" t="s">
        <v>22057</v>
      </c>
      <c r="Q4901" s="8">
        <f>+(2+30/60+4/3600)</f>
        <v>2.5011111111111113</v>
      </c>
      <c r="R4901" s="8">
        <v>11.4</v>
      </c>
      <c r="S4901" s="8">
        <v>11.9</v>
      </c>
      <c r="T4901" s="8">
        <v>0.5</v>
      </c>
      <c r="U4901" s="8">
        <v>12.9</v>
      </c>
      <c r="V4901" s="8">
        <v>2.2000000000000002</v>
      </c>
      <c r="W4901" s="8">
        <v>2.1</v>
      </c>
      <c r="Y4901" s="8" t="s">
        <v>21</v>
      </c>
      <c r="Z4901" s="8" t="s">
        <v>22058</v>
      </c>
    </row>
    <row r="4902" spans="1:26" x14ac:dyDescent="0.2">
      <c r="A4902" s="8">
        <v>4901</v>
      </c>
      <c r="B4902" s="8" t="s">
        <v>22059</v>
      </c>
      <c r="C4902" s="8" t="s">
        <v>22059</v>
      </c>
      <c r="F4902" s="47"/>
      <c r="G4902" s="8">
        <v>16</v>
      </c>
      <c r="H4902" s="8" t="s">
        <v>21</v>
      </c>
      <c r="I4902" s="8" t="s">
        <v>22</v>
      </c>
      <c r="J4902" s="8" t="s">
        <v>22</v>
      </c>
      <c r="K4902" s="8" t="s">
        <v>2572</v>
      </c>
      <c r="L4902" s="8" t="s">
        <v>18681</v>
      </c>
      <c r="M4902" s="8" t="s">
        <v>18682</v>
      </c>
      <c r="N4902" s="8" t="s">
        <v>22060</v>
      </c>
      <c r="O4902" s="8">
        <f>12+59/60+56.3/3600</f>
        <v>12.998972222222221</v>
      </c>
      <c r="P4902" s="8" t="s">
        <v>22061</v>
      </c>
      <c r="Q4902" s="8">
        <f>+(47+12/60+22/3600)</f>
        <v>47.206111111111113</v>
      </c>
      <c r="R4902" s="8">
        <v>14.5</v>
      </c>
      <c r="S4902" s="8">
        <v>15.3</v>
      </c>
      <c r="T4902" s="8">
        <v>0.8</v>
      </c>
      <c r="U4902" s="8">
        <v>14.4</v>
      </c>
      <c r="V4902" s="8">
        <v>1</v>
      </c>
      <c r="W4902" s="8">
        <v>1</v>
      </c>
      <c r="Y4902" s="8" t="s">
        <v>2186</v>
      </c>
      <c r="Z4902" s="8" t="s">
        <v>2187</v>
      </c>
    </row>
    <row r="4903" spans="1:26" x14ac:dyDescent="0.2">
      <c r="A4903" s="8">
        <v>4902</v>
      </c>
      <c r="B4903" s="8" t="s">
        <v>22062</v>
      </c>
      <c r="C4903" s="8" t="s">
        <v>22062</v>
      </c>
      <c r="F4903" s="47" t="s">
        <v>57635</v>
      </c>
      <c r="G4903" s="8">
        <v>6.5</v>
      </c>
      <c r="H4903" s="8" t="s">
        <v>21</v>
      </c>
      <c r="I4903" s="8" t="s">
        <v>22</v>
      </c>
      <c r="J4903" s="8" t="s">
        <v>22</v>
      </c>
      <c r="K4903" s="8" t="s">
        <v>218</v>
      </c>
      <c r="L4903" s="8" t="s">
        <v>17287</v>
      </c>
      <c r="M4903" s="8" t="s">
        <v>17288</v>
      </c>
      <c r="N4903" s="8" t="s">
        <v>22063</v>
      </c>
      <c r="O4903" s="8">
        <f>13+0/60+59.6/3600</f>
        <v>13.016555555555556</v>
      </c>
      <c r="P4903" s="8" t="s">
        <v>22064</v>
      </c>
      <c r="Q4903" s="8">
        <f>-(14+30/60+50/3600)</f>
        <v>-14.513888888888889</v>
      </c>
      <c r="R4903" s="8">
        <v>10.9</v>
      </c>
      <c r="S4903" s="8">
        <v>11.6</v>
      </c>
      <c r="T4903" s="8">
        <v>0.7</v>
      </c>
      <c r="U4903" s="8">
        <v>13</v>
      </c>
      <c r="V4903" s="8">
        <v>2.9</v>
      </c>
      <c r="W4903" s="8">
        <v>2.6</v>
      </c>
      <c r="X4903" s="8">
        <v>70</v>
      </c>
      <c r="Y4903" s="8" t="s">
        <v>22065</v>
      </c>
      <c r="Z4903" s="8" t="s">
        <v>22066</v>
      </c>
    </row>
    <row r="4904" spans="1:26" x14ac:dyDescent="0.2">
      <c r="A4904" s="8">
        <v>4903</v>
      </c>
      <c r="B4904" s="8" t="s">
        <v>22067</v>
      </c>
      <c r="C4904" s="8" t="s">
        <v>22067</v>
      </c>
      <c r="F4904" s="47"/>
      <c r="G4904" s="8">
        <v>16</v>
      </c>
      <c r="H4904" s="8" t="s">
        <v>21</v>
      </c>
      <c r="I4904" s="8" t="s">
        <v>22</v>
      </c>
      <c r="J4904" s="8" t="s">
        <v>22</v>
      </c>
      <c r="K4904" s="8" t="s">
        <v>64</v>
      </c>
      <c r="L4904" s="8" t="s">
        <v>16195</v>
      </c>
      <c r="M4904" s="8" t="s">
        <v>16196</v>
      </c>
      <c r="N4904" s="8" t="s">
        <v>22068</v>
      </c>
      <c r="O4904" s="8">
        <f>13+1/60+22.7/3600</f>
        <v>13.022972222222222</v>
      </c>
      <c r="P4904" s="8" t="s">
        <v>22069</v>
      </c>
      <c r="Q4904" s="8">
        <f>-(30+56/60+6/3600)</f>
        <v>-30.934999999999999</v>
      </c>
      <c r="R4904" s="8">
        <v>12.9</v>
      </c>
      <c r="S4904" s="8">
        <v>13.6</v>
      </c>
      <c r="T4904" s="8">
        <v>0.7</v>
      </c>
      <c r="U4904" s="8">
        <v>13.7</v>
      </c>
      <c r="V4904" s="8">
        <v>1.6</v>
      </c>
      <c r="W4904" s="8">
        <v>1.3</v>
      </c>
      <c r="X4904" s="8">
        <v>73</v>
      </c>
      <c r="Y4904" s="8" t="s">
        <v>22070</v>
      </c>
      <c r="Z4904" s="8" t="s">
        <v>22071</v>
      </c>
    </row>
    <row r="4905" spans="1:26" x14ac:dyDescent="0.2">
      <c r="A4905" s="8">
        <v>4904</v>
      </c>
      <c r="B4905" s="8" t="s">
        <v>22072</v>
      </c>
      <c r="C4905" s="8" t="s">
        <v>22072</v>
      </c>
      <c r="F4905" s="47" t="s">
        <v>57636</v>
      </c>
      <c r="G4905" s="8">
        <v>6.5</v>
      </c>
      <c r="H4905" s="8" t="s">
        <v>21</v>
      </c>
      <c r="I4905" s="8" t="s">
        <v>22</v>
      </c>
      <c r="J4905" s="8" t="s">
        <v>22</v>
      </c>
      <c r="K4905" s="8" t="s">
        <v>64</v>
      </c>
      <c r="L4905" s="8" t="s">
        <v>17287</v>
      </c>
      <c r="M4905" s="8" t="s">
        <v>17288</v>
      </c>
      <c r="N4905" s="8" t="s">
        <v>22073</v>
      </c>
      <c r="O4905" s="8">
        <f>13+0/60+58.5/3600</f>
        <v>13.016249999999999</v>
      </c>
      <c r="P4905" s="8" t="s">
        <v>22074</v>
      </c>
      <c r="Q4905" s="8">
        <f>-(0+1/60+37/3600)</f>
        <v>-2.6944444444444444E-2</v>
      </c>
      <c r="R4905" s="8">
        <v>12</v>
      </c>
      <c r="S4905" s="8">
        <v>12.6</v>
      </c>
      <c r="T4905" s="8">
        <v>0.6</v>
      </c>
      <c r="U4905" s="8">
        <v>13.1</v>
      </c>
      <c r="V4905" s="8">
        <v>2.2000000000000002</v>
      </c>
      <c r="W4905" s="8">
        <v>1.5</v>
      </c>
      <c r="X4905" s="8">
        <v>25</v>
      </c>
      <c r="Y4905" s="8" t="s">
        <v>5970</v>
      </c>
      <c r="Z4905" s="8" t="s">
        <v>5971</v>
      </c>
    </row>
    <row r="4906" spans="1:26" x14ac:dyDescent="0.2">
      <c r="A4906" s="8">
        <v>4905</v>
      </c>
      <c r="B4906" s="8" t="s">
        <v>22075</v>
      </c>
      <c r="C4906" s="8" t="s">
        <v>22075</v>
      </c>
      <c r="F4906" s="47"/>
      <c r="G4906" s="8">
        <v>16</v>
      </c>
      <c r="H4906" s="8" t="s">
        <v>21</v>
      </c>
      <c r="I4906" s="8" t="s">
        <v>22</v>
      </c>
      <c r="J4906" s="8" t="s">
        <v>22</v>
      </c>
      <c r="K4906" s="8" t="s">
        <v>435</v>
      </c>
      <c r="L4906" s="8" t="s">
        <v>16195</v>
      </c>
      <c r="M4906" s="8" t="s">
        <v>16196</v>
      </c>
      <c r="N4906" s="8" t="s">
        <v>22076</v>
      </c>
      <c r="O4906" s="8">
        <f>13+1/60+30.6/3600</f>
        <v>13.025166666666667</v>
      </c>
      <c r="P4906" s="8" t="s">
        <v>22077</v>
      </c>
      <c r="Q4906" s="8">
        <f>-(30+52/60+3/3600)</f>
        <v>-30.8675</v>
      </c>
      <c r="R4906" s="8">
        <v>13.3</v>
      </c>
      <c r="S4906" s="8">
        <v>14.2</v>
      </c>
      <c r="T4906" s="8">
        <v>0.9</v>
      </c>
      <c r="U4906" s="8">
        <v>13.9</v>
      </c>
      <c r="V4906" s="8">
        <v>1.8</v>
      </c>
      <c r="W4906" s="8">
        <v>1.1000000000000001</v>
      </c>
      <c r="X4906" s="8">
        <v>26</v>
      </c>
      <c r="Y4906" s="8" t="s">
        <v>22078</v>
      </c>
      <c r="Z4906" s="8" t="s">
        <v>22079</v>
      </c>
    </row>
    <row r="4907" spans="1:26" x14ac:dyDescent="0.2">
      <c r="A4907" s="8">
        <v>4906</v>
      </c>
      <c r="B4907" s="8" t="s">
        <v>22080</v>
      </c>
      <c r="C4907" s="8" t="s">
        <v>22080</v>
      </c>
      <c r="F4907" s="47"/>
      <c r="G4907" s="8">
        <v>18</v>
      </c>
      <c r="H4907" s="8" t="s">
        <v>21</v>
      </c>
      <c r="I4907" s="8" t="s">
        <v>22</v>
      </c>
      <c r="J4907" s="8" t="s">
        <v>22</v>
      </c>
      <c r="K4907" s="8" t="s">
        <v>382</v>
      </c>
      <c r="L4907" s="8" t="s">
        <v>18289</v>
      </c>
      <c r="M4907" s="8" t="s">
        <v>18290</v>
      </c>
      <c r="N4907" s="8" t="s">
        <v>22081</v>
      </c>
      <c r="O4907" s="8">
        <f>13+0/60+39.8/3600</f>
        <v>13.011055555555556</v>
      </c>
      <c r="P4907" s="8" t="s">
        <v>22082</v>
      </c>
      <c r="Q4907" s="8">
        <f>+(27+55/60+26/3600)</f>
        <v>27.923888888888889</v>
      </c>
      <c r="R4907" s="8">
        <v>14.1</v>
      </c>
      <c r="S4907" s="8">
        <v>15.1</v>
      </c>
      <c r="T4907" s="8">
        <v>1</v>
      </c>
      <c r="U4907" s="8">
        <v>12.7</v>
      </c>
      <c r="V4907" s="8">
        <v>0.5</v>
      </c>
      <c r="W4907" s="8">
        <v>0.5</v>
      </c>
      <c r="Y4907" s="8" t="s">
        <v>21</v>
      </c>
      <c r="Z4907" s="8" t="s">
        <v>22083</v>
      </c>
    </row>
    <row r="4908" spans="1:26" x14ac:dyDescent="0.2">
      <c r="A4908" s="8">
        <v>4907</v>
      </c>
      <c r="B4908" s="8" t="s">
        <v>22084</v>
      </c>
      <c r="C4908" s="8" t="s">
        <v>22084</v>
      </c>
      <c r="F4908" s="47"/>
      <c r="G4908" s="8">
        <v>18</v>
      </c>
      <c r="H4908" s="8" t="s">
        <v>21</v>
      </c>
      <c r="I4908" s="8" t="s">
        <v>22</v>
      </c>
      <c r="J4908" s="8" t="s">
        <v>22</v>
      </c>
      <c r="K4908" s="8" t="s">
        <v>218</v>
      </c>
      <c r="L4908" s="8" t="s">
        <v>18289</v>
      </c>
      <c r="M4908" s="8" t="s">
        <v>18290</v>
      </c>
      <c r="N4908" s="8" t="s">
        <v>22085</v>
      </c>
      <c r="O4908" s="8">
        <f>13+0/60+48.8/3600</f>
        <v>13.013555555555556</v>
      </c>
      <c r="P4908" s="8" t="s">
        <v>22086</v>
      </c>
      <c r="Q4908" s="8">
        <f>+(28+9/60+25/3600)</f>
        <v>28.156944444444441</v>
      </c>
      <c r="R4908" s="8">
        <v>13.6</v>
      </c>
      <c r="S4908" s="8">
        <v>14.4</v>
      </c>
      <c r="T4908" s="8">
        <v>0.8</v>
      </c>
      <c r="U4908" s="8">
        <v>13.5</v>
      </c>
      <c r="V4908" s="8">
        <v>1.1000000000000001</v>
      </c>
      <c r="W4908" s="8">
        <v>1</v>
      </c>
      <c r="X4908" s="8">
        <v>42</v>
      </c>
      <c r="Y4908" s="8" t="s">
        <v>22087</v>
      </c>
      <c r="Z4908" s="8" t="s">
        <v>22088</v>
      </c>
    </row>
    <row r="4909" spans="1:26" x14ac:dyDescent="0.2">
      <c r="A4909" s="8">
        <v>4908</v>
      </c>
      <c r="B4909" s="8" t="s">
        <v>22089</v>
      </c>
      <c r="C4909" s="8" t="s">
        <v>22089</v>
      </c>
      <c r="F4909" s="47" t="s">
        <v>57637</v>
      </c>
      <c r="G4909" s="8">
        <v>15</v>
      </c>
      <c r="H4909" s="8" t="s">
        <v>21</v>
      </c>
      <c r="I4909" s="8" t="s">
        <v>22</v>
      </c>
      <c r="J4909" s="8" t="s">
        <v>22</v>
      </c>
      <c r="K4909" s="8" t="s">
        <v>1136</v>
      </c>
      <c r="L4909" s="8" t="s">
        <v>18289</v>
      </c>
      <c r="M4909" s="8" t="s">
        <v>18290</v>
      </c>
      <c r="N4909" s="8" t="s">
        <v>22090</v>
      </c>
      <c r="O4909" s="8">
        <f>13+0/60+54.4/3600</f>
        <v>13.015111111111111</v>
      </c>
      <c r="P4909" s="8" t="s">
        <v>22091</v>
      </c>
      <c r="Q4909" s="8">
        <f>+(28+0/60+25/3600)</f>
        <v>28.006944444444443</v>
      </c>
      <c r="R4909" s="8">
        <v>13.2</v>
      </c>
      <c r="S4909" s="8">
        <v>14.2</v>
      </c>
      <c r="T4909" s="8">
        <v>1</v>
      </c>
      <c r="U4909" s="8">
        <v>13</v>
      </c>
      <c r="V4909" s="8">
        <v>1</v>
      </c>
      <c r="W4909" s="8">
        <v>0.8</v>
      </c>
      <c r="X4909" s="8">
        <v>105</v>
      </c>
      <c r="Y4909" s="8" t="s">
        <v>22092</v>
      </c>
      <c r="Z4909" s="8" t="s">
        <v>283</v>
      </c>
    </row>
    <row r="4910" spans="1:26" x14ac:dyDescent="0.2">
      <c r="A4910" s="8">
        <v>4909</v>
      </c>
      <c r="B4910" s="8" t="s">
        <v>22093</v>
      </c>
      <c r="C4910" s="8" t="s">
        <v>22093</v>
      </c>
      <c r="F4910" s="47"/>
      <c r="G4910" s="8">
        <v>16</v>
      </c>
      <c r="H4910" s="8" t="s">
        <v>21</v>
      </c>
      <c r="I4910" s="8" t="s">
        <v>22</v>
      </c>
      <c r="J4910" s="8" t="s">
        <v>22</v>
      </c>
      <c r="K4910" s="8" t="s">
        <v>91</v>
      </c>
      <c r="L4910" s="8" t="s">
        <v>16195</v>
      </c>
      <c r="M4910" s="8" t="s">
        <v>16196</v>
      </c>
      <c r="N4910" s="8" t="s">
        <v>22094</v>
      </c>
      <c r="O4910" s="8">
        <f>13+2/60+1.7/3600</f>
        <v>13.033805555555556</v>
      </c>
      <c r="P4910" s="8" t="s">
        <v>22095</v>
      </c>
      <c r="Q4910" s="8">
        <f>-(42+46/60+18/3600)</f>
        <v>-42.771666666666668</v>
      </c>
      <c r="R4910" s="8">
        <v>12.7</v>
      </c>
      <c r="S4910" s="8">
        <v>13.5</v>
      </c>
      <c r="T4910" s="8">
        <v>0.8</v>
      </c>
      <c r="U4910" s="8">
        <v>13.8</v>
      </c>
      <c r="V4910" s="8">
        <v>1.9</v>
      </c>
      <c r="W4910" s="8">
        <v>1.7</v>
      </c>
      <c r="X4910" s="8">
        <v>28</v>
      </c>
      <c r="Y4910" s="8" t="s">
        <v>21</v>
      </c>
      <c r="Z4910" s="8" t="s">
        <v>22096</v>
      </c>
    </row>
    <row r="4911" spans="1:26" x14ac:dyDescent="0.2">
      <c r="A4911" s="8">
        <v>4910</v>
      </c>
      <c r="B4911" s="8" t="s">
        <v>22097</v>
      </c>
      <c r="C4911" s="8" t="s">
        <v>22097</v>
      </c>
      <c r="F4911" s="47" t="s">
        <v>57638</v>
      </c>
      <c r="G4911" s="8">
        <v>15</v>
      </c>
      <c r="H4911" s="8" t="s">
        <v>21</v>
      </c>
      <c r="I4911" s="8" t="s">
        <v>329</v>
      </c>
      <c r="J4911" s="8" t="s">
        <v>329</v>
      </c>
      <c r="K4911" s="8" t="s">
        <v>329</v>
      </c>
      <c r="L4911" s="8" t="s">
        <v>17287</v>
      </c>
      <c r="M4911" s="8" t="s">
        <v>17288</v>
      </c>
      <c r="N4911" s="8" t="s">
        <v>22098</v>
      </c>
      <c r="O4911" s="8">
        <f>13+1/60+10/3600</f>
        <v>13.019444444444446</v>
      </c>
      <c r="P4911" s="8" t="s">
        <v>22099</v>
      </c>
      <c r="Q4911" s="8">
        <f>+(1+40/60+0/3600)</f>
        <v>1.6666666666666665</v>
      </c>
      <c r="R4911" s="8">
        <v>99</v>
      </c>
      <c r="S4911" s="8">
        <v>99</v>
      </c>
      <c r="T4911" s="8">
        <v>99</v>
      </c>
      <c r="U4911" s="8">
        <v>99</v>
      </c>
      <c r="Y4911" s="8" t="s">
        <v>22100</v>
      </c>
      <c r="Z4911" s="8" t="s">
        <v>22101</v>
      </c>
    </row>
    <row r="4912" spans="1:26" x14ac:dyDescent="0.2">
      <c r="A4912" s="8">
        <v>4911</v>
      </c>
      <c r="B4912" s="8" t="s">
        <v>22102</v>
      </c>
      <c r="C4912" s="8" t="s">
        <v>22102</v>
      </c>
      <c r="F4912" s="47" t="s">
        <v>57639</v>
      </c>
      <c r="G4912" s="8">
        <v>15</v>
      </c>
      <c r="H4912" s="8" t="s">
        <v>21</v>
      </c>
      <c r="I4912" s="8" t="s">
        <v>22</v>
      </c>
      <c r="J4912" s="8" t="s">
        <v>22</v>
      </c>
      <c r="K4912" s="8" t="s">
        <v>85</v>
      </c>
      <c r="L4912" s="8" t="s">
        <v>18289</v>
      </c>
      <c r="M4912" s="8" t="s">
        <v>18290</v>
      </c>
      <c r="N4912" s="8" t="s">
        <v>22103</v>
      </c>
      <c r="O4912" s="8">
        <f>13+0/60+56.3/3600</f>
        <v>13.015638888888889</v>
      </c>
      <c r="P4912" s="8" t="s">
        <v>22104</v>
      </c>
      <c r="Q4912" s="8">
        <f>+(27+47/60+25/3600)</f>
        <v>27.790277777777778</v>
      </c>
      <c r="R4912" s="8">
        <v>12.8</v>
      </c>
      <c r="S4912" s="8">
        <v>13.6</v>
      </c>
      <c r="T4912" s="8">
        <v>0.8</v>
      </c>
      <c r="U4912" s="8">
        <v>13.3</v>
      </c>
      <c r="V4912" s="8">
        <v>1.2</v>
      </c>
      <c r="W4912" s="8">
        <v>1.1000000000000001</v>
      </c>
      <c r="X4912" s="8">
        <v>127</v>
      </c>
      <c r="Y4912" s="8" t="s">
        <v>21</v>
      </c>
      <c r="Z4912" s="8" t="s">
        <v>22105</v>
      </c>
    </row>
    <row r="4913" spans="1:26" x14ac:dyDescent="0.2">
      <c r="A4913" s="8">
        <v>4912</v>
      </c>
      <c r="B4913" s="8" t="s">
        <v>22106</v>
      </c>
      <c r="C4913" s="8" t="s">
        <v>22106</v>
      </c>
      <c r="F4913" s="47"/>
      <c r="G4913" s="8">
        <v>18</v>
      </c>
      <c r="H4913" s="8" t="s">
        <v>21</v>
      </c>
      <c r="I4913" s="8" t="s">
        <v>329</v>
      </c>
      <c r="J4913" s="8" t="s">
        <v>329</v>
      </c>
      <c r="K4913" s="8" t="s">
        <v>329</v>
      </c>
      <c r="L4913" s="8" t="s">
        <v>18681</v>
      </c>
      <c r="M4913" s="8" t="s">
        <v>18682</v>
      </c>
      <c r="N4913" s="8" t="s">
        <v>22107</v>
      </c>
      <c r="O4913" s="8">
        <f>13+0/60+46/3600</f>
        <v>13.012777777777778</v>
      </c>
      <c r="P4913" s="8" t="s">
        <v>22108</v>
      </c>
      <c r="Q4913" s="8">
        <f>+(37+22/60+42/3600)</f>
        <v>37.37833333333333</v>
      </c>
      <c r="R4913" s="8">
        <v>99</v>
      </c>
      <c r="S4913" s="8">
        <v>99</v>
      </c>
      <c r="T4913" s="8">
        <v>99</v>
      </c>
      <c r="U4913" s="8">
        <v>99</v>
      </c>
      <c r="Y4913" s="8" t="s">
        <v>22092</v>
      </c>
      <c r="Z4913" s="8" t="s">
        <v>22109</v>
      </c>
    </row>
    <row r="4914" spans="1:26" x14ac:dyDescent="0.2">
      <c r="A4914" s="8">
        <v>4913</v>
      </c>
      <c r="B4914" s="8" t="s">
        <v>22110</v>
      </c>
      <c r="C4914" s="8" t="s">
        <v>22110</v>
      </c>
      <c r="F4914" s="47"/>
      <c r="G4914" s="8">
        <v>18</v>
      </c>
      <c r="H4914" s="8" t="s">
        <v>21</v>
      </c>
      <c r="I4914" s="8" t="s">
        <v>329</v>
      </c>
      <c r="J4914" s="8" t="s">
        <v>329</v>
      </c>
      <c r="K4914" s="8" t="s">
        <v>329</v>
      </c>
      <c r="L4914" s="8" t="s">
        <v>18681</v>
      </c>
      <c r="M4914" s="8" t="s">
        <v>18682</v>
      </c>
      <c r="N4914" s="8" t="s">
        <v>22111</v>
      </c>
      <c r="O4914" s="8">
        <f>13+0/60+46.5/3600</f>
        <v>13.012916666666667</v>
      </c>
      <c r="P4914" s="8" t="s">
        <v>22112</v>
      </c>
      <c r="Q4914" s="8">
        <f>+(37+20/60+40/3600)</f>
        <v>37.344444444444449</v>
      </c>
      <c r="R4914" s="8">
        <v>99</v>
      </c>
      <c r="S4914" s="8">
        <v>99</v>
      </c>
      <c r="T4914" s="8">
        <v>99</v>
      </c>
      <c r="U4914" s="8">
        <v>99</v>
      </c>
      <c r="Y4914" s="8" t="s">
        <v>22092</v>
      </c>
      <c r="Z4914" s="8" t="s">
        <v>22109</v>
      </c>
    </row>
    <row r="4915" spans="1:26" x14ac:dyDescent="0.2">
      <c r="A4915" s="8">
        <v>4914</v>
      </c>
      <c r="B4915" s="8" t="s">
        <v>22113</v>
      </c>
      <c r="C4915" s="8" t="s">
        <v>22113</v>
      </c>
      <c r="F4915" s="47" t="s">
        <v>57640</v>
      </c>
      <c r="G4915" s="8">
        <v>6.5</v>
      </c>
      <c r="H4915" s="8" t="s">
        <v>21</v>
      </c>
      <c r="I4915" s="8" t="s">
        <v>22</v>
      </c>
      <c r="J4915" s="8" t="s">
        <v>22</v>
      </c>
      <c r="K4915" s="8" t="s">
        <v>50</v>
      </c>
      <c r="L4915" s="8" t="s">
        <v>18681</v>
      </c>
      <c r="M4915" s="8" t="s">
        <v>18682</v>
      </c>
      <c r="N4915" s="8" t="s">
        <v>22114</v>
      </c>
      <c r="O4915" s="8">
        <f>13+0/60+42.9/3600</f>
        <v>13.011916666666666</v>
      </c>
      <c r="P4915" s="8" t="s">
        <v>22115</v>
      </c>
      <c r="Q4915" s="8">
        <f>+(37+18/60+53/3600)</f>
        <v>37.314722222222223</v>
      </c>
      <c r="R4915" s="8">
        <v>11.6</v>
      </c>
      <c r="S4915" s="8">
        <v>12.5</v>
      </c>
      <c r="T4915" s="8">
        <v>0.9</v>
      </c>
      <c r="U4915" s="8">
        <v>13.7</v>
      </c>
      <c r="V4915" s="8">
        <v>3.5</v>
      </c>
      <c r="W4915" s="8">
        <v>2.1</v>
      </c>
      <c r="X4915" s="8">
        <v>155</v>
      </c>
      <c r="Y4915" s="8" t="s">
        <v>22116</v>
      </c>
      <c r="Z4915" s="8" t="s">
        <v>22117</v>
      </c>
    </row>
    <row r="4916" spans="1:26" x14ac:dyDescent="0.2">
      <c r="A4916" s="8">
        <v>4915</v>
      </c>
      <c r="B4916" s="8" t="s">
        <v>22118</v>
      </c>
      <c r="C4916" s="8" t="s">
        <v>22118</v>
      </c>
      <c r="F4916" s="47" t="s">
        <v>57641</v>
      </c>
      <c r="G4916" s="8">
        <v>6.5</v>
      </c>
      <c r="H4916" s="8" t="s">
        <v>21</v>
      </c>
      <c r="I4916" s="8" t="s">
        <v>22</v>
      </c>
      <c r="J4916" s="8" t="s">
        <v>22</v>
      </c>
      <c r="K4916" s="8" t="s">
        <v>1136</v>
      </c>
      <c r="L4916" s="8" t="s">
        <v>17287</v>
      </c>
      <c r="M4916" s="8" t="s">
        <v>17288</v>
      </c>
      <c r="N4916" s="8" t="s">
        <v>22119</v>
      </c>
      <c r="O4916" s="8">
        <f>13+1/60+28.1/3600</f>
        <v>13.024472222222222</v>
      </c>
      <c r="P4916" s="8" t="s">
        <v>22120</v>
      </c>
      <c r="Q4916" s="8">
        <f>-(4+32/60+46/3600)</f>
        <v>-4.5461111111111112</v>
      </c>
      <c r="R4916" s="8">
        <v>12.1</v>
      </c>
      <c r="S4916" s="8">
        <v>13</v>
      </c>
      <c r="T4916" s="8">
        <v>0.9</v>
      </c>
      <c r="U4916" s="8">
        <v>12.9</v>
      </c>
      <c r="V4916" s="8">
        <v>1.6</v>
      </c>
      <c r="W4916" s="8">
        <v>1.3</v>
      </c>
      <c r="X4916" s="8">
        <v>55</v>
      </c>
      <c r="Y4916" s="8" t="s">
        <v>121</v>
      </c>
      <c r="Z4916" s="8" t="s">
        <v>122</v>
      </c>
    </row>
    <row r="4917" spans="1:26" x14ac:dyDescent="0.2">
      <c r="A4917" s="8">
        <v>4916</v>
      </c>
      <c r="B4917" s="8" t="s">
        <v>22121</v>
      </c>
      <c r="C4917" s="8" t="s">
        <v>22121</v>
      </c>
      <c r="F4917" s="47"/>
      <c r="G4917" s="8">
        <v>18</v>
      </c>
      <c r="H4917" s="8" t="s">
        <v>21</v>
      </c>
      <c r="I4917" s="8" t="s">
        <v>329</v>
      </c>
      <c r="J4917" s="8" t="s">
        <v>329</v>
      </c>
      <c r="K4917" s="8" t="s">
        <v>329</v>
      </c>
      <c r="L4917" s="8" t="s">
        <v>18681</v>
      </c>
      <c r="M4917" s="8" t="s">
        <v>18682</v>
      </c>
      <c r="N4917" s="8" t="s">
        <v>22122</v>
      </c>
      <c r="O4917" s="8">
        <f>13+0/60+54.5/3600</f>
        <v>13.015138888888888</v>
      </c>
      <c r="P4917" s="8" t="s">
        <v>22123</v>
      </c>
      <c r="Q4917" s="8">
        <f>+(37+21/60+40/3600)</f>
        <v>37.361111111111114</v>
      </c>
      <c r="R4917" s="8">
        <v>99</v>
      </c>
      <c r="S4917" s="8">
        <v>99</v>
      </c>
      <c r="T4917" s="8">
        <v>99</v>
      </c>
      <c r="U4917" s="8">
        <v>99</v>
      </c>
      <c r="Y4917" s="8" t="s">
        <v>22092</v>
      </c>
      <c r="Z4917" s="8" t="s">
        <v>22124</v>
      </c>
    </row>
    <row r="4918" spans="1:26" x14ac:dyDescent="0.2">
      <c r="A4918" s="8">
        <v>4917</v>
      </c>
      <c r="B4918" s="8" t="s">
        <v>22125</v>
      </c>
      <c r="C4918" s="8" t="s">
        <v>22125</v>
      </c>
      <c r="F4918" s="47"/>
      <c r="G4918" s="8">
        <v>16</v>
      </c>
      <c r="H4918" s="8" t="s">
        <v>21</v>
      </c>
      <c r="I4918" s="8" t="s">
        <v>22</v>
      </c>
      <c r="J4918" s="8" t="s">
        <v>22</v>
      </c>
      <c r="K4918" s="8" t="s">
        <v>218</v>
      </c>
      <c r="L4918" s="8" t="s">
        <v>18681</v>
      </c>
      <c r="M4918" s="8" t="s">
        <v>18682</v>
      </c>
      <c r="N4918" s="8" t="s">
        <v>22126</v>
      </c>
      <c r="O4918" s="8">
        <f>13+0/60+55.5/3600</f>
        <v>13.015416666666667</v>
      </c>
      <c r="P4918" s="8" t="s">
        <v>22127</v>
      </c>
      <c r="Q4918" s="8">
        <f>+(47+13/60+21/3600)</f>
        <v>47.222500000000004</v>
      </c>
      <c r="R4918" s="8">
        <v>13.8</v>
      </c>
      <c r="S4918" s="8">
        <v>14.6</v>
      </c>
      <c r="T4918" s="8">
        <v>0.8</v>
      </c>
      <c r="U4918" s="8">
        <v>14</v>
      </c>
      <c r="V4918" s="8">
        <v>1.5</v>
      </c>
      <c r="W4918" s="8">
        <v>1</v>
      </c>
      <c r="X4918" s="8">
        <v>160</v>
      </c>
      <c r="Y4918" s="8" t="s">
        <v>22128</v>
      </c>
      <c r="Z4918" s="8" t="s">
        <v>22129</v>
      </c>
    </row>
    <row r="4919" spans="1:26" x14ac:dyDescent="0.2">
      <c r="A4919" s="8">
        <v>4918</v>
      </c>
      <c r="B4919" s="8" t="s">
        <v>22130</v>
      </c>
      <c r="C4919" s="8" t="s">
        <v>22130</v>
      </c>
      <c r="F4919" s="47"/>
      <c r="G4919" s="8">
        <v>19</v>
      </c>
      <c r="H4919" s="8" t="s">
        <v>21</v>
      </c>
      <c r="I4919" s="8" t="s">
        <v>22</v>
      </c>
      <c r="J4919" s="8" t="s">
        <v>22</v>
      </c>
      <c r="K4919" s="8" t="s">
        <v>632</v>
      </c>
      <c r="L4919" s="8" t="s">
        <v>17287</v>
      </c>
      <c r="M4919" s="8" t="s">
        <v>17288</v>
      </c>
      <c r="N4919" s="8" t="s">
        <v>22131</v>
      </c>
      <c r="O4919" s="8">
        <f>13+1/60+50.7/3600</f>
        <v>13.030750000000001</v>
      </c>
      <c r="P4919" s="8" t="s">
        <v>22132</v>
      </c>
      <c r="Q4919" s="8">
        <f>-(4+30/60+2/3600)</f>
        <v>-4.5005555555555556</v>
      </c>
      <c r="R4919" s="8">
        <v>14.4</v>
      </c>
      <c r="S4919" s="8">
        <v>15.3</v>
      </c>
      <c r="T4919" s="8">
        <v>0.9</v>
      </c>
      <c r="U4919" s="8">
        <v>13.6</v>
      </c>
      <c r="V4919" s="8">
        <v>1.1000000000000001</v>
      </c>
      <c r="W4919" s="8">
        <v>0.5</v>
      </c>
      <c r="X4919" s="8">
        <v>71</v>
      </c>
      <c r="Y4919" s="8" t="s">
        <v>21</v>
      </c>
      <c r="Z4919" s="8" t="s">
        <v>22133</v>
      </c>
    </row>
    <row r="4920" spans="1:26" x14ac:dyDescent="0.2">
      <c r="A4920" s="8">
        <v>4919</v>
      </c>
      <c r="B4920" s="8" t="s">
        <v>22134</v>
      </c>
      <c r="C4920" s="8" t="s">
        <v>22134</v>
      </c>
      <c r="F4920" s="47"/>
      <c r="G4920" s="8">
        <v>18</v>
      </c>
      <c r="H4920" s="8" t="s">
        <v>21</v>
      </c>
      <c r="I4920" s="8" t="s">
        <v>22</v>
      </c>
      <c r="J4920" s="8" t="s">
        <v>22</v>
      </c>
      <c r="K4920" s="8" t="s">
        <v>37</v>
      </c>
      <c r="L4920" s="8" t="s">
        <v>18289</v>
      </c>
      <c r="M4920" s="8" t="s">
        <v>18290</v>
      </c>
      <c r="N4920" s="8" t="s">
        <v>22135</v>
      </c>
      <c r="O4920" s="8">
        <f>13+1/60+17.6/3600</f>
        <v>13.021555555555556</v>
      </c>
      <c r="P4920" s="8" t="s">
        <v>22136</v>
      </c>
      <c r="Q4920" s="8">
        <f>+(27+48/60+31/3600)</f>
        <v>27.808611111111112</v>
      </c>
      <c r="R4920" s="8">
        <v>14.1</v>
      </c>
      <c r="S4920" s="8">
        <v>15.1</v>
      </c>
      <c r="T4920" s="8">
        <v>1</v>
      </c>
      <c r="U4920" s="8">
        <v>13.6</v>
      </c>
      <c r="V4920" s="8">
        <v>1.1000000000000001</v>
      </c>
      <c r="W4920" s="8">
        <v>0.7</v>
      </c>
      <c r="X4920" s="8">
        <v>140</v>
      </c>
      <c r="Y4920" s="8" t="s">
        <v>22137</v>
      </c>
      <c r="Z4920" s="8" t="s">
        <v>22138</v>
      </c>
    </row>
    <row r="4921" spans="1:26" x14ac:dyDescent="0.2">
      <c r="A4921" s="8">
        <v>4920</v>
      </c>
      <c r="B4921" s="8" t="s">
        <v>22139</v>
      </c>
      <c r="C4921" s="8" t="s">
        <v>22139</v>
      </c>
      <c r="F4921" s="47"/>
      <c r="G4921" s="8">
        <v>19</v>
      </c>
      <c r="H4921" s="8" t="s">
        <v>21</v>
      </c>
      <c r="I4921" s="8" t="s">
        <v>22</v>
      </c>
      <c r="J4921" s="8" t="s">
        <v>22</v>
      </c>
      <c r="K4921" s="8" t="s">
        <v>107</v>
      </c>
      <c r="L4921" s="8" t="s">
        <v>17287</v>
      </c>
      <c r="M4921" s="8" t="s">
        <v>17288</v>
      </c>
      <c r="N4921" s="8" t="s">
        <v>22140</v>
      </c>
      <c r="O4921" s="8">
        <f>13+2/60+4.2/3600</f>
        <v>13.0345</v>
      </c>
      <c r="P4921" s="8" t="s">
        <v>22141</v>
      </c>
      <c r="Q4921" s="8">
        <f>-(11+22/60+42/3600)</f>
        <v>-11.378333333333334</v>
      </c>
      <c r="R4921" s="8">
        <v>13.5</v>
      </c>
      <c r="S4921" s="8">
        <v>14.1</v>
      </c>
      <c r="T4921" s="8">
        <v>0.6</v>
      </c>
      <c r="U4921" s="8">
        <v>13</v>
      </c>
      <c r="V4921" s="8">
        <v>1</v>
      </c>
      <c r="W4921" s="8">
        <v>0.7</v>
      </c>
      <c r="X4921" s="8">
        <v>170</v>
      </c>
      <c r="Y4921" s="8" t="s">
        <v>297</v>
      </c>
      <c r="Z4921" s="8" t="s">
        <v>298</v>
      </c>
    </row>
    <row r="4922" spans="1:26" x14ac:dyDescent="0.2">
      <c r="A4922" s="8">
        <v>4921</v>
      </c>
      <c r="B4922" s="8" t="s">
        <v>22142</v>
      </c>
      <c r="C4922" s="8" t="s">
        <v>22142</v>
      </c>
      <c r="F4922" s="47" t="s">
        <v>57642</v>
      </c>
      <c r="G4922" s="8">
        <v>15</v>
      </c>
      <c r="H4922" s="8" t="s">
        <v>21</v>
      </c>
      <c r="I4922" s="8" t="s">
        <v>22</v>
      </c>
      <c r="J4922" s="8" t="s">
        <v>22</v>
      </c>
      <c r="K4922" s="8" t="s">
        <v>406</v>
      </c>
      <c r="L4922" s="8" t="s">
        <v>18289</v>
      </c>
      <c r="M4922" s="8" t="s">
        <v>18290</v>
      </c>
      <c r="N4922" s="8" t="s">
        <v>22143</v>
      </c>
      <c r="O4922" s="8">
        <f>13+1/60+26.3/3600</f>
        <v>13.023972222222223</v>
      </c>
      <c r="P4922" s="8" t="s">
        <v>22144</v>
      </c>
      <c r="Q4922" s="8">
        <f>+(27+53/60+8/3600)</f>
        <v>27.885555555555555</v>
      </c>
      <c r="R4922" s="8">
        <v>12.2</v>
      </c>
      <c r="S4922" s="8">
        <v>13</v>
      </c>
      <c r="T4922" s="8">
        <v>0.8</v>
      </c>
      <c r="U4922" s="8">
        <v>13.8</v>
      </c>
      <c r="V4922" s="8">
        <v>2.4</v>
      </c>
      <c r="W4922" s="8">
        <v>2.1</v>
      </c>
      <c r="X4922" s="8">
        <v>165</v>
      </c>
      <c r="Y4922" s="8" t="s">
        <v>22145</v>
      </c>
      <c r="Z4922" s="8" t="s">
        <v>22146</v>
      </c>
    </row>
    <row r="4923" spans="1:26" x14ac:dyDescent="0.2">
      <c r="A4923" s="8">
        <v>4922</v>
      </c>
      <c r="B4923" s="8" t="s">
        <v>22147</v>
      </c>
      <c r="C4923" s="8" t="s">
        <v>22147</v>
      </c>
      <c r="E4923" s="8">
        <v>1</v>
      </c>
      <c r="F4923" s="47"/>
      <c r="G4923" s="8">
        <v>18</v>
      </c>
      <c r="H4923" s="8" t="s">
        <v>21</v>
      </c>
      <c r="I4923" s="8" t="s">
        <v>22</v>
      </c>
      <c r="J4923" s="8" t="s">
        <v>22</v>
      </c>
      <c r="K4923" s="8" t="s">
        <v>460</v>
      </c>
      <c r="L4923" s="8" t="s">
        <v>18289</v>
      </c>
      <c r="M4923" s="8" t="s">
        <v>18290</v>
      </c>
      <c r="N4923" s="8" t="s">
        <v>22148</v>
      </c>
      <c r="O4923" s="8">
        <f>13+1/60+24.7/3600</f>
        <v>13.023527777777778</v>
      </c>
      <c r="P4923" s="8" t="s">
        <v>22149</v>
      </c>
      <c r="Q4923" s="8">
        <f>+(29+18/60+28/3600)</f>
        <v>29.30777777777778</v>
      </c>
      <c r="R4923" s="8">
        <v>13</v>
      </c>
      <c r="S4923" s="8">
        <v>14</v>
      </c>
      <c r="T4923" s="8">
        <v>1</v>
      </c>
      <c r="U4923" s="8">
        <v>13.2</v>
      </c>
      <c r="V4923" s="8">
        <v>1.3</v>
      </c>
      <c r="W4923" s="8">
        <v>1</v>
      </c>
      <c r="X4923" s="8">
        <v>129</v>
      </c>
      <c r="Y4923" s="8" t="s">
        <v>21</v>
      </c>
      <c r="Z4923" s="8" t="s">
        <v>22150</v>
      </c>
    </row>
    <row r="4924" spans="1:26" x14ac:dyDescent="0.2">
      <c r="A4924" s="8">
        <v>4923</v>
      </c>
      <c r="B4924" s="8" t="s">
        <v>22151</v>
      </c>
      <c r="C4924" s="8" t="s">
        <v>22151</v>
      </c>
      <c r="F4924" s="47" t="s">
        <v>57643</v>
      </c>
      <c r="G4924" s="8">
        <v>15</v>
      </c>
      <c r="H4924" s="8" t="s">
        <v>21</v>
      </c>
      <c r="I4924" s="8" t="s">
        <v>22</v>
      </c>
      <c r="J4924" s="8" t="s">
        <v>22</v>
      </c>
      <c r="K4924" s="8" t="s">
        <v>118</v>
      </c>
      <c r="L4924" s="8" t="s">
        <v>18289</v>
      </c>
      <c r="M4924" s="8" t="s">
        <v>18290</v>
      </c>
      <c r="N4924" s="8" t="s">
        <v>22152</v>
      </c>
      <c r="O4924" s="8">
        <f>13+1/60+31.8/3600</f>
        <v>13.025500000000001</v>
      </c>
      <c r="P4924" s="8" t="s">
        <v>22153</v>
      </c>
      <c r="Q4924" s="8">
        <f>+(27+50/60+49/3600)</f>
        <v>27.846944444444443</v>
      </c>
      <c r="R4924" s="8">
        <v>13.7</v>
      </c>
      <c r="S4924" s="8">
        <v>14.7</v>
      </c>
      <c r="T4924" s="8">
        <v>1</v>
      </c>
      <c r="U4924" s="8">
        <v>13.1</v>
      </c>
      <c r="V4924" s="8">
        <v>0.8</v>
      </c>
      <c r="W4924" s="8">
        <v>0.8</v>
      </c>
      <c r="Y4924" s="8" t="s">
        <v>22154</v>
      </c>
      <c r="Z4924" s="8" t="s">
        <v>22155</v>
      </c>
    </row>
    <row r="4925" spans="1:26" x14ac:dyDescent="0.2">
      <c r="A4925" s="8">
        <v>4924</v>
      </c>
      <c r="B4925" s="8" t="s">
        <v>22156</v>
      </c>
      <c r="C4925" s="8" t="s">
        <v>22156</v>
      </c>
      <c r="F4925" s="47"/>
      <c r="G4925" s="8">
        <v>16</v>
      </c>
      <c r="H4925" s="8" t="s">
        <v>21</v>
      </c>
      <c r="I4925" s="8" t="s">
        <v>22</v>
      </c>
      <c r="J4925" s="8" t="s">
        <v>22</v>
      </c>
      <c r="K4925" s="8" t="s">
        <v>435</v>
      </c>
      <c r="L4925" s="8" t="s">
        <v>17287</v>
      </c>
      <c r="M4925" s="8" t="s">
        <v>17288</v>
      </c>
      <c r="N4925" s="8" t="s">
        <v>22157</v>
      </c>
      <c r="O4925" s="8">
        <f>13+2/60+12.9/3600</f>
        <v>13.036916666666666</v>
      </c>
      <c r="P4925" s="8" t="s">
        <v>22158</v>
      </c>
      <c r="Q4925" s="8">
        <f>-(14+58/60+9/3600)</f>
        <v>-14.969166666666666</v>
      </c>
      <c r="R4925" s="8">
        <v>12.8</v>
      </c>
      <c r="S4925" s="8">
        <v>13.7</v>
      </c>
      <c r="T4925" s="8">
        <v>0.9</v>
      </c>
      <c r="U4925" s="8">
        <v>13.6</v>
      </c>
      <c r="V4925" s="8">
        <v>1.9</v>
      </c>
      <c r="W4925" s="8">
        <v>1.3</v>
      </c>
      <c r="X4925" s="8">
        <v>60</v>
      </c>
      <c r="Y4925" s="8" t="s">
        <v>21</v>
      </c>
      <c r="Z4925" s="8" t="s">
        <v>22159</v>
      </c>
    </row>
    <row r="4926" spans="1:26" x14ac:dyDescent="0.2">
      <c r="A4926" s="8">
        <v>4925</v>
      </c>
      <c r="B4926" s="8" t="s">
        <v>22160</v>
      </c>
      <c r="C4926" s="8" t="s">
        <v>22160</v>
      </c>
      <c r="F4926" s="47" t="s">
        <v>57644</v>
      </c>
      <c r="G4926" s="8">
        <v>15</v>
      </c>
      <c r="H4926" s="8" t="s">
        <v>21</v>
      </c>
      <c r="I4926" s="8" t="s">
        <v>22</v>
      </c>
      <c r="J4926" s="8" t="s">
        <v>22</v>
      </c>
      <c r="K4926" s="8" t="s">
        <v>37</v>
      </c>
      <c r="L4926" s="8" t="s">
        <v>17287</v>
      </c>
      <c r="M4926" s="8" t="s">
        <v>17288</v>
      </c>
      <c r="N4926" s="8" t="s">
        <v>22161</v>
      </c>
      <c r="O4926" s="8">
        <f>13+2/60+7.3/3600</f>
        <v>13.035361111111111</v>
      </c>
      <c r="P4926" s="8" t="s">
        <v>22162</v>
      </c>
      <c r="Q4926" s="8">
        <f>-(7+42/60+38/3600)</f>
        <v>-7.7105555555555556</v>
      </c>
      <c r="R4926" s="8">
        <v>13.1</v>
      </c>
      <c r="S4926" s="8">
        <v>14.1</v>
      </c>
      <c r="T4926" s="8">
        <v>1</v>
      </c>
      <c r="U4926" s="8">
        <v>12.6</v>
      </c>
      <c r="V4926" s="8">
        <v>1</v>
      </c>
      <c r="W4926" s="8">
        <v>0.7</v>
      </c>
      <c r="X4926" s="8">
        <v>135</v>
      </c>
      <c r="Y4926" s="8" t="s">
        <v>22163</v>
      </c>
      <c r="Z4926" s="8" t="s">
        <v>22164</v>
      </c>
    </row>
    <row r="4927" spans="1:26" x14ac:dyDescent="0.2">
      <c r="A4927" s="8">
        <v>4926</v>
      </c>
      <c r="B4927" s="8" t="s">
        <v>22165</v>
      </c>
      <c r="C4927" s="8" t="s">
        <v>22165</v>
      </c>
      <c r="F4927" s="47"/>
      <c r="G4927" s="8">
        <v>18</v>
      </c>
      <c r="H4927" s="8" t="s">
        <v>21</v>
      </c>
      <c r="I4927" s="8" t="s">
        <v>22</v>
      </c>
      <c r="J4927" s="8" t="s">
        <v>22</v>
      </c>
      <c r="K4927" s="8" t="s">
        <v>58</v>
      </c>
      <c r="L4927" s="8" t="s">
        <v>18289</v>
      </c>
      <c r="M4927" s="8" t="s">
        <v>18290</v>
      </c>
      <c r="N4927" s="8" t="s">
        <v>22166</v>
      </c>
      <c r="O4927" s="8">
        <f>13+1/60+53.9/3600</f>
        <v>13.031638888888891</v>
      </c>
      <c r="P4927" s="8" t="s">
        <v>22167</v>
      </c>
      <c r="Q4927" s="8">
        <f>+(27+37/60+28/3600)</f>
        <v>27.624444444444446</v>
      </c>
      <c r="R4927" s="8">
        <v>13</v>
      </c>
      <c r="S4927" s="8">
        <v>14</v>
      </c>
      <c r="T4927" s="8">
        <v>1</v>
      </c>
      <c r="U4927" s="8">
        <v>13.2</v>
      </c>
      <c r="V4927" s="8">
        <v>1.1000000000000001</v>
      </c>
      <c r="W4927" s="8">
        <v>1</v>
      </c>
      <c r="X4927" s="8">
        <v>57</v>
      </c>
      <c r="Y4927" s="8" t="s">
        <v>9055</v>
      </c>
      <c r="Z4927" s="8" t="s">
        <v>9056</v>
      </c>
    </row>
    <row r="4928" spans="1:26" x14ac:dyDescent="0.2">
      <c r="A4928" s="8">
        <v>4927</v>
      </c>
      <c r="B4928" s="8" t="s">
        <v>22168</v>
      </c>
      <c r="C4928" s="8" t="s">
        <v>22168</v>
      </c>
      <c r="F4928" s="47" t="s">
        <v>57645</v>
      </c>
      <c r="G4928" s="8">
        <v>15</v>
      </c>
      <c r="H4928" s="8" t="s">
        <v>21</v>
      </c>
      <c r="I4928" s="8" t="s">
        <v>22</v>
      </c>
      <c r="J4928" s="8" t="s">
        <v>22</v>
      </c>
      <c r="K4928" s="8" t="s">
        <v>58</v>
      </c>
      <c r="L4928" s="8" t="s">
        <v>18289</v>
      </c>
      <c r="M4928" s="8" t="s">
        <v>18290</v>
      </c>
      <c r="N4928" s="8" t="s">
        <v>22169</v>
      </c>
      <c r="O4928" s="8">
        <f>13+1/60+57.6/3600</f>
        <v>13.032666666666668</v>
      </c>
      <c r="P4928" s="8" t="s">
        <v>22170</v>
      </c>
      <c r="Q4928" s="8">
        <f>+(28+0/60+22/3600)</f>
        <v>28.00611111111111</v>
      </c>
      <c r="R4928" s="8">
        <v>13.8</v>
      </c>
      <c r="S4928" s="8">
        <v>14.8</v>
      </c>
      <c r="T4928" s="8">
        <v>1</v>
      </c>
      <c r="U4928" s="8">
        <v>12.3</v>
      </c>
      <c r="V4928" s="8">
        <v>0.6</v>
      </c>
      <c r="W4928" s="8">
        <v>0.4</v>
      </c>
      <c r="X4928" s="8">
        <v>15</v>
      </c>
      <c r="Y4928" s="8" t="s">
        <v>297</v>
      </c>
      <c r="Z4928" s="8" t="s">
        <v>298</v>
      </c>
    </row>
    <row r="4929" spans="1:26" x14ac:dyDescent="0.2">
      <c r="A4929" s="8">
        <v>4928</v>
      </c>
      <c r="B4929" s="8" t="s">
        <v>22171</v>
      </c>
      <c r="C4929" s="8" t="s">
        <v>22171</v>
      </c>
      <c r="F4929" s="47" t="s">
        <v>57646</v>
      </c>
      <c r="G4929" s="8">
        <v>6.5</v>
      </c>
      <c r="H4929" s="8" t="s">
        <v>21</v>
      </c>
      <c r="I4929" s="8" t="s">
        <v>22</v>
      </c>
      <c r="J4929" s="8" t="s">
        <v>22</v>
      </c>
      <c r="K4929" s="8" t="s">
        <v>396</v>
      </c>
      <c r="L4929" s="8" t="s">
        <v>17287</v>
      </c>
      <c r="M4929" s="8" t="s">
        <v>17288</v>
      </c>
      <c r="N4929" s="8" t="s">
        <v>22172</v>
      </c>
      <c r="O4929" s="8">
        <f>13+3/60+0.5/3600</f>
        <v>13.05013888888889</v>
      </c>
      <c r="P4929" s="8" t="s">
        <v>22173</v>
      </c>
      <c r="Q4929" s="8">
        <f>-(8+5/60+5/3600)</f>
        <v>-8.0847222222222221</v>
      </c>
      <c r="R4929" s="8">
        <v>12.5</v>
      </c>
      <c r="S4929" s="8">
        <v>13.3</v>
      </c>
      <c r="T4929" s="8">
        <v>0.8</v>
      </c>
      <c r="U4929" s="8">
        <v>12.6</v>
      </c>
      <c r="V4929" s="8">
        <v>1.1000000000000001</v>
      </c>
      <c r="W4929" s="8">
        <v>0.9</v>
      </c>
      <c r="X4929" s="8">
        <v>50</v>
      </c>
      <c r="Y4929" s="8" t="s">
        <v>22174</v>
      </c>
      <c r="Z4929" s="8" t="s">
        <v>22175</v>
      </c>
    </row>
    <row r="4930" spans="1:26" x14ac:dyDescent="0.2">
      <c r="A4930" s="8">
        <v>4929</v>
      </c>
      <c r="B4930" s="8" t="s">
        <v>22176</v>
      </c>
      <c r="C4930" s="8" t="s">
        <v>22176</v>
      </c>
      <c r="F4930" s="47"/>
      <c r="G4930" s="8">
        <v>18</v>
      </c>
      <c r="H4930" s="8" t="s">
        <v>21</v>
      </c>
      <c r="I4930" s="8" t="s">
        <v>22</v>
      </c>
      <c r="J4930" s="8" t="s">
        <v>22</v>
      </c>
      <c r="K4930" s="8" t="s">
        <v>183</v>
      </c>
      <c r="L4930" s="8" t="s">
        <v>18289</v>
      </c>
      <c r="M4930" s="8" t="s">
        <v>18290</v>
      </c>
      <c r="N4930" s="8" t="s">
        <v>22177</v>
      </c>
      <c r="O4930" s="8">
        <f>13+2/60+44.5/3600</f>
        <v>13.045694444444445</v>
      </c>
      <c r="P4930" s="8" t="s">
        <v>22178</v>
      </c>
      <c r="Q4930" s="8">
        <f>+(28+2/60+43/3600)</f>
        <v>28.04527777777778</v>
      </c>
      <c r="R4930" s="8">
        <v>13.4</v>
      </c>
      <c r="S4930" s="8">
        <v>14.4</v>
      </c>
      <c r="T4930" s="8">
        <v>1</v>
      </c>
      <c r="U4930" s="8">
        <v>13</v>
      </c>
      <c r="V4930" s="8">
        <v>0.8</v>
      </c>
      <c r="W4930" s="8">
        <v>0.8</v>
      </c>
      <c r="Y4930" s="8" t="s">
        <v>22179</v>
      </c>
      <c r="Z4930" s="8" t="s">
        <v>22180</v>
      </c>
    </row>
    <row r="4931" spans="1:26" x14ac:dyDescent="0.2">
      <c r="A4931" s="8">
        <v>4930</v>
      </c>
      <c r="B4931" s="8" t="s">
        <v>22181</v>
      </c>
      <c r="C4931" s="8" t="s">
        <v>22181</v>
      </c>
      <c r="F4931" s="47"/>
      <c r="G4931" s="8">
        <v>16</v>
      </c>
      <c r="H4931" s="8" t="s">
        <v>21</v>
      </c>
      <c r="I4931" s="8" t="s">
        <v>22</v>
      </c>
      <c r="J4931" s="8" t="s">
        <v>22</v>
      </c>
      <c r="K4931" s="8" t="s">
        <v>218</v>
      </c>
      <c r="L4931" s="8" t="s">
        <v>16195</v>
      </c>
      <c r="M4931" s="8" t="s">
        <v>16196</v>
      </c>
      <c r="N4931" s="8" t="s">
        <v>22182</v>
      </c>
      <c r="O4931" s="8">
        <f>13+4/60+5.1/3600</f>
        <v>13.068083333333334</v>
      </c>
      <c r="P4931" s="8" t="s">
        <v>22183</v>
      </c>
      <c r="Q4931" s="8">
        <f>-(41+24/60+41/3600)</f>
        <v>-41.411388888888887</v>
      </c>
      <c r="R4931" s="8">
        <v>11.1</v>
      </c>
      <c r="S4931" s="8">
        <v>12</v>
      </c>
      <c r="T4931" s="8">
        <v>0.9</v>
      </c>
      <c r="U4931" s="8">
        <v>14</v>
      </c>
      <c r="V4931" s="8">
        <v>4.4000000000000004</v>
      </c>
      <c r="W4931" s="8">
        <v>3.6</v>
      </c>
      <c r="X4931" s="8">
        <v>40</v>
      </c>
      <c r="Y4931" s="8" t="s">
        <v>21</v>
      </c>
      <c r="Z4931" s="8" t="s">
        <v>22184</v>
      </c>
    </row>
    <row r="4932" spans="1:26" x14ac:dyDescent="0.2">
      <c r="A4932" s="8">
        <v>4931</v>
      </c>
      <c r="B4932" s="8" t="s">
        <v>22185</v>
      </c>
      <c r="C4932" s="8" t="s">
        <v>22185</v>
      </c>
      <c r="F4932" s="47"/>
      <c r="G4932" s="8">
        <v>18</v>
      </c>
      <c r="H4932" s="8" t="s">
        <v>21</v>
      </c>
      <c r="I4932" s="8" t="s">
        <v>22</v>
      </c>
      <c r="J4932" s="8" t="s">
        <v>22</v>
      </c>
      <c r="K4932" s="8" t="s">
        <v>37</v>
      </c>
      <c r="L4932" s="8" t="s">
        <v>18289</v>
      </c>
      <c r="M4932" s="8" t="s">
        <v>18290</v>
      </c>
      <c r="N4932" s="8" t="s">
        <v>22186</v>
      </c>
      <c r="O4932" s="8">
        <f>13+3/60+1.1/3600</f>
        <v>13.050305555555557</v>
      </c>
      <c r="P4932" s="8" t="s">
        <v>22187</v>
      </c>
      <c r="Q4932" s="8">
        <f>+(28+1/60+55/3600)</f>
        <v>28.031944444444445</v>
      </c>
      <c r="R4932" s="8">
        <v>13.5</v>
      </c>
      <c r="S4932" s="8">
        <v>14.5</v>
      </c>
      <c r="T4932" s="8">
        <v>1</v>
      </c>
      <c r="U4932" s="8">
        <v>13.5</v>
      </c>
      <c r="V4932" s="8">
        <v>1.6</v>
      </c>
      <c r="W4932" s="8">
        <v>0.6</v>
      </c>
      <c r="X4932" s="8">
        <v>78</v>
      </c>
      <c r="Y4932" s="8" t="s">
        <v>4065</v>
      </c>
      <c r="Z4932" s="8" t="s">
        <v>4066</v>
      </c>
    </row>
    <row r="4933" spans="1:26" x14ac:dyDescent="0.2">
      <c r="A4933" s="8">
        <v>4932</v>
      </c>
      <c r="B4933" s="8" t="s">
        <v>22188</v>
      </c>
      <c r="C4933" s="8" t="s">
        <v>22188</v>
      </c>
      <c r="F4933" s="47" t="s">
        <v>57647</v>
      </c>
      <c r="G4933" s="8">
        <v>15</v>
      </c>
      <c r="H4933" s="8" t="s">
        <v>21</v>
      </c>
      <c r="I4933" s="8" t="s">
        <v>22</v>
      </c>
      <c r="J4933" s="8" t="s">
        <v>22</v>
      </c>
      <c r="K4933" s="8" t="s">
        <v>160</v>
      </c>
      <c r="L4933" s="8" t="s">
        <v>18681</v>
      </c>
      <c r="M4933" s="8" t="s">
        <v>18682</v>
      </c>
      <c r="N4933" s="8" t="s">
        <v>22189</v>
      </c>
      <c r="O4933" s="8">
        <f>13+2/60+37.5/3600</f>
        <v>13.043749999999999</v>
      </c>
      <c r="P4933" s="8" t="s">
        <v>22190</v>
      </c>
      <c r="Q4933" s="8">
        <f>+(50+26/60+21/3600)</f>
        <v>50.439166666666665</v>
      </c>
      <c r="R4933" s="8">
        <v>13.6</v>
      </c>
      <c r="S4933" s="8">
        <v>14.3</v>
      </c>
      <c r="T4933" s="8">
        <v>0.7</v>
      </c>
      <c r="U4933" s="8">
        <v>14.3</v>
      </c>
      <c r="V4933" s="8">
        <v>1.5</v>
      </c>
      <c r="W4933" s="8">
        <v>1.3</v>
      </c>
      <c r="X4933" s="8">
        <v>0</v>
      </c>
      <c r="Y4933" s="8" t="s">
        <v>7235</v>
      </c>
      <c r="Z4933" s="8" t="s">
        <v>7236</v>
      </c>
    </row>
    <row r="4934" spans="1:26" x14ac:dyDescent="0.2">
      <c r="A4934" s="8">
        <v>4933</v>
      </c>
      <c r="B4934" s="8" t="s">
        <v>22191</v>
      </c>
      <c r="C4934" s="8" t="s">
        <v>22191</v>
      </c>
      <c r="F4934" s="47" t="s">
        <v>57648</v>
      </c>
      <c r="G4934" s="8">
        <v>13</v>
      </c>
      <c r="H4934" s="8" t="s">
        <v>21</v>
      </c>
      <c r="I4934" s="8" t="s">
        <v>22</v>
      </c>
      <c r="J4934" s="8" t="s">
        <v>22</v>
      </c>
      <c r="K4934" s="8" t="s">
        <v>632</v>
      </c>
      <c r="L4934" s="8" t="s">
        <v>17287</v>
      </c>
      <c r="M4934" s="8" t="s">
        <v>17288</v>
      </c>
      <c r="N4934" s="8" t="s">
        <v>22192</v>
      </c>
      <c r="O4934" s="8">
        <f>13+3/60+56.7/3600</f>
        <v>13.065750000000001</v>
      </c>
      <c r="P4934" s="8" t="s">
        <v>22193</v>
      </c>
      <c r="Q4934" s="8">
        <f>-(11+29/60+51/3600)</f>
        <v>-11.497499999999999</v>
      </c>
      <c r="R4934" s="8">
        <v>11.7</v>
      </c>
      <c r="S4934" s="8">
        <v>12.6</v>
      </c>
      <c r="T4934" s="8">
        <v>0.9</v>
      </c>
      <c r="U4934" s="8">
        <v>12.3</v>
      </c>
      <c r="V4934" s="8">
        <v>2</v>
      </c>
      <c r="W4934" s="8">
        <v>1.1000000000000001</v>
      </c>
      <c r="X4934" s="8">
        <v>54</v>
      </c>
      <c r="Y4934" s="8" t="s">
        <v>22194</v>
      </c>
      <c r="Z4934" s="8" t="s">
        <v>22195</v>
      </c>
    </row>
    <row r="4935" spans="1:26" x14ac:dyDescent="0.2">
      <c r="A4935" s="8">
        <v>4934</v>
      </c>
      <c r="B4935" s="8" t="s">
        <v>22196</v>
      </c>
      <c r="C4935" s="8" t="s">
        <v>22196</v>
      </c>
      <c r="F4935" s="47"/>
      <c r="G4935" s="8">
        <v>18</v>
      </c>
      <c r="H4935" s="8" t="s">
        <v>21</v>
      </c>
      <c r="I4935" s="8" t="s">
        <v>22</v>
      </c>
      <c r="J4935" s="8" t="s">
        <v>22</v>
      </c>
      <c r="K4935" s="8" t="s">
        <v>632</v>
      </c>
      <c r="L4935" s="8" t="s">
        <v>18289</v>
      </c>
      <c r="M4935" s="8" t="s">
        <v>18290</v>
      </c>
      <c r="N4935" s="8" t="s">
        <v>22197</v>
      </c>
      <c r="O4935" s="8">
        <f>13+3/60+16.3/3600</f>
        <v>13.054527777777778</v>
      </c>
      <c r="P4935" s="8" t="s">
        <v>22198</v>
      </c>
      <c r="Q4935" s="8">
        <f>+(28+1/60+48/3600)</f>
        <v>28.029999999999998</v>
      </c>
      <c r="R4935" s="8">
        <v>14.4</v>
      </c>
      <c r="S4935" s="8">
        <v>15.2</v>
      </c>
      <c r="T4935" s="8">
        <v>0.8</v>
      </c>
      <c r="U4935" s="8">
        <v>12.5</v>
      </c>
      <c r="V4935" s="8">
        <v>1</v>
      </c>
      <c r="W4935" s="8">
        <v>0.2</v>
      </c>
      <c r="X4935" s="8">
        <v>104</v>
      </c>
      <c r="Y4935" s="8" t="s">
        <v>3253</v>
      </c>
      <c r="Z4935" s="8" t="s">
        <v>3254</v>
      </c>
    </row>
    <row r="4936" spans="1:26" x14ac:dyDescent="0.2">
      <c r="A4936" s="8">
        <v>4935</v>
      </c>
      <c r="B4936" s="8" t="s">
        <v>22199</v>
      </c>
      <c r="C4936" s="8" t="s">
        <v>22199</v>
      </c>
      <c r="F4936" s="47"/>
      <c r="G4936" s="8">
        <v>19</v>
      </c>
      <c r="H4936" s="8" t="s">
        <v>21</v>
      </c>
      <c r="I4936" s="8" t="s">
        <v>22</v>
      </c>
      <c r="J4936" s="8" t="s">
        <v>22</v>
      </c>
      <c r="K4936" s="8" t="s">
        <v>218</v>
      </c>
      <c r="L4936" s="8" t="s">
        <v>18289</v>
      </c>
      <c r="M4936" s="8" t="s">
        <v>18290</v>
      </c>
      <c r="N4936" s="8" t="s">
        <v>22200</v>
      </c>
      <c r="O4936" s="8">
        <f>13+3/60+21.2/3600</f>
        <v>13.055888888888889</v>
      </c>
      <c r="P4936" s="8" t="s">
        <v>22201</v>
      </c>
      <c r="Q4936" s="8">
        <f>+(14+22/60+41/3600)</f>
        <v>14.378055555555555</v>
      </c>
      <c r="R4936" s="8">
        <v>13</v>
      </c>
      <c r="S4936" s="8">
        <v>13.8</v>
      </c>
      <c r="T4936" s="8">
        <v>0.8</v>
      </c>
      <c r="U4936" s="8">
        <v>13.2</v>
      </c>
      <c r="V4936" s="8">
        <v>1.2</v>
      </c>
      <c r="W4936" s="8">
        <v>1</v>
      </c>
      <c r="X4936" s="8">
        <v>75</v>
      </c>
      <c r="Y4936" s="8" t="s">
        <v>22202</v>
      </c>
      <c r="Z4936" s="8" t="s">
        <v>22203</v>
      </c>
    </row>
    <row r="4937" spans="1:26" x14ac:dyDescent="0.2">
      <c r="A4937" s="8">
        <v>4936</v>
      </c>
      <c r="B4937" s="8" t="s">
        <v>22204</v>
      </c>
      <c r="C4937" s="8" t="s">
        <v>22204</v>
      </c>
      <c r="F4937" s="47"/>
      <c r="G4937" s="8">
        <v>13</v>
      </c>
      <c r="H4937" s="8" t="s">
        <v>21</v>
      </c>
      <c r="I4937" s="8" t="s">
        <v>22</v>
      </c>
      <c r="J4937" s="8" t="s">
        <v>22</v>
      </c>
      <c r="K4937" s="8" t="s">
        <v>183</v>
      </c>
      <c r="L4937" s="8" t="s">
        <v>16195</v>
      </c>
      <c r="M4937" s="8" t="s">
        <v>16196</v>
      </c>
      <c r="N4937" s="8" t="s">
        <v>22205</v>
      </c>
      <c r="O4937" s="8">
        <f>13+4/60+17/3600</f>
        <v>13.071388888888889</v>
      </c>
      <c r="P4937" s="8" t="s">
        <v>22206</v>
      </c>
      <c r="Q4937" s="8">
        <f>-(30+31/60+36/3600)</f>
        <v>-30.526666666666667</v>
      </c>
      <c r="R4937" s="8">
        <v>10.7</v>
      </c>
      <c r="S4937" s="8">
        <v>11.7</v>
      </c>
      <c r="T4937" s="8">
        <v>1</v>
      </c>
      <c r="U4937" s="8">
        <v>12.8</v>
      </c>
      <c r="V4937" s="8">
        <v>2.7</v>
      </c>
      <c r="W4937" s="8">
        <v>2.2999999999999998</v>
      </c>
      <c r="X4937" s="8">
        <v>168</v>
      </c>
      <c r="Y4937" s="8" t="s">
        <v>22207</v>
      </c>
      <c r="Z4937" s="8" t="s">
        <v>22208</v>
      </c>
    </row>
    <row r="4938" spans="1:26" x14ac:dyDescent="0.2">
      <c r="A4938" s="8">
        <v>4937</v>
      </c>
      <c r="B4938" s="8" t="s">
        <v>22209</v>
      </c>
      <c r="C4938" s="8" t="s">
        <v>22209</v>
      </c>
      <c r="F4938" s="47"/>
      <c r="G4938" s="8">
        <v>16</v>
      </c>
      <c r="H4938" s="8" t="s">
        <v>21</v>
      </c>
      <c r="I4938" s="8" t="s">
        <v>72</v>
      </c>
      <c r="J4938" s="8" t="s">
        <v>72</v>
      </c>
      <c r="K4938" s="8" t="s">
        <v>1405</v>
      </c>
      <c r="L4938" s="8" t="s">
        <v>16195</v>
      </c>
      <c r="M4938" s="8" t="s">
        <v>16196</v>
      </c>
      <c r="N4938" s="8" t="s">
        <v>22210</v>
      </c>
      <c r="O4938" s="8">
        <f>13+4/60+51.9/3600</f>
        <v>13.081083333333334</v>
      </c>
      <c r="P4938" s="8" t="s">
        <v>22211</v>
      </c>
      <c r="Q4938" s="8">
        <f>-(47+13/60+8/3600)</f>
        <v>-47.218888888888891</v>
      </c>
      <c r="R4938" s="8">
        <v>99</v>
      </c>
      <c r="S4938" s="8">
        <v>99</v>
      </c>
      <c r="T4938" s="8">
        <v>99</v>
      </c>
      <c r="U4938" s="8">
        <v>99</v>
      </c>
      <c r="V4938" s="8">
        <v>0.5</v>
      </c>
      <c r="Y4938" s="8" t="s">
        <v>22212</v>
      </c>
      <c r="Z4938" s="8" t="s">
        <v>22213</v>
      </c>
    </row>
    <row r="4939" spans="1:26" x14ac:dyDescent="0.2">
      <c r="A4939" s="8">
        <v>4938</v>
      </c>
      <c r="B4939" s="8" t="s">
        <v>22214</v>
      </c>
      <c r="C4939" s="8" t="s">
        <v>22214</v>
      </c>
      <c r="F4939" s="47"/>
      <c r="G4939" s="8">
        <v>16</v>
      </c>
      <c r="H4939" s="8" t="s">
        <v>21</v>
      </c>
      <c r="I4939" s="8" t="s">
        <v>22</v>
      </c>
      <c r="J4939" s="8" t="s">
        <v>22</v>
      </c>
      <c r="K4939" s="8" t="s">
        <v>449</v>
      </c>
      <c r="L4939" s="8" t="s">
        <v>18681</v>
      </c>
      <c r="M4939" s="8" t="s">
        <v>18682</v>
      </c>
      <c r="N4939" s="8" t="s">
        <v>22215</v>
      </c>
      <c r="O4939" s="8">
        <f>13+2/60+57.4/3600</f>
        <v>13.049277777777778</v>
      </c>
      <c r="P4939" s="8" t="s">
        <v>22216</v>
      </c>
      <c r="Q4939" s="8">
        <f>+(51+19/60+9/3600)</f>
        <v>51.319166666666668</v>
      </c>
      <c r="R4939" s="8">
        <v>14.3</v>
      </c>
      <c r="S4939" s="8">
        <v>15.1</v>
      </c>
      <c r="T4939" s="8">
        <v>0.8</v>
      </c>
      <c r="U4939" s="8">
        <v>13.5</v>
      </c>
      <c r="V4939" s="8">
        <v>0.8</v>
      </c>
      <c r="W4939" s="8">
        <v>0.7</v>
      </c>
      <c r="X4939" s="8">
        <v>39</v>
      </c>
      <c r="Y4939" s="8" t="s">
        <v>22217</v>
      </c>
      <c r="Z4939" s="8" t="s">
        <v>22218</v>
      </c>
    </row>
    <row r="4940" spans="1:26" x14ac:dyDescent="0.2">
      <c r="A4940" s="8">
        <v>4939</v>
      </c>
      <c r="B4940" s="8" t="s">
        <v>22219</v>
      </c>
      <c r="C4940" s="8" t="s">
        <v>22219</v>
      </c>
      <c r="F4940" s="47" t="s">
        <v>57649</v>
      </c>
      <c r="G4940" s="8">
        <v>6.5</v>
      </c>
      <c r="H4940" s="8" t="s">
        <v>21</v>
      </c>
      <c r="I4940" s="8" t="s">
        <v>22</v>
      </c>
      <c r="J4940" s="8" t="s">
        <v>22</v>
      </c>
      <c r="K4940" s="8" t="s">
        <v>396</v>
      </c>
      <c r="L4940" s="8" t="s">
        <v>17287</v>
      </c>
      <c r="M4940" s="8" t="s">
        <v>17288</v>
      </c>
      <c r="N4940" s="8" t="s">
        <v>22220</v>
      </c>
      <c r="O4940" s="8">
        <f>13+4/60+14.3/3600</f>
        <v>13.070638888888888</v>
      </c>
      <c r="P4940" s="8" t="s">
        <v>22221</v>
      </c>
      <c r="Q4940" s="8">
        <f>-(10+20/60+24/3600)</f>
        <v>-10.34</v>
      </c>
      <c r="R4940" s="8">
        <v>11.3</v>
      </c>
      <c r="S4940" s="8">
        <v>11.9</v>
      </c>
      <c r="T4940" s="8">
        <v>0.6</v>
      </c>
      <c r="U4940" s="8">
        <v>14.1</v>
      </c>
      <c r="V4940" s="8">
        <v>5.5</v>
      </c>
      <c r="W4940" s="8">
        <v>2.8</v>
      </c>
      <c r="X4940" s="8">
        <v>5</v>
      </c>
      <c r="Y4940" s="8" t="s">
        <v>8029</v>
      </c>
      <c r="Z4940" s="8" t="s">
        <v>8030</v>
      </c>
    </row>
    <row r="4941" spans="1:26" x14ac:dyDescent="0.2">
      <c r="A4941" s="8">
        <v>4940</v>
      </c>
      <c r="B4941" s="8" t="s">
        <v>22222</v>
      </c>
      <c r="C4941" s="8" t="s">
        <v>22222</v>
      </c>
      <c r="F4941" s="47"/>
      <c r="G4941" s="8">
        <v>16</v>
      </c>
      <c r="H4941" s="8" t="s">
        <v>21</v>
      </c>
      <c r="I4941" s="8" t="s">
        <v>22</v>
      </c>
      <c r="J4941" s="8" t="s">
        <v>22</v>
      </c>
      <c r="K4941" s="8" t="s">
        <v>91</v>
      </c>
      <c r="L4941" s="8" t="s">
        <v>16195</v>
      </c>
      <c r="M4941" s="8" t="s">
        <v>16196</v>
      </c>
      <c r="N4941" s="8" t="s">
        <v>22223</v>
      </c>
      <c r="O4941" s="8">
        <f>13+5/60+0.2/3600</f>
        <v>13.083388888888889</v>
      </c>
      <c r="P4941" s="8" t="s">
        <v>22224</v>
      </c>
      <c r="Q4941" s="8">
        <f>-(47+14/60+13/3600)</f>
        <v>-47.236944444444447</v>
      </c>
      <c r="R4941" s="8">
        <v>12.3</v>
      </c>
      <c r="S4941" s="8">
        <v>13.1</v>
      </c>
      <c r="T4941" s="8">
        <v>0.8</v>
      </c>
      <c r="U4941" s="8">
        <v>13.2</v>
      </c>
      <c r="V4941" s="8">
        <v>1</v>
      </c>
      <c r="W4941" s="8">
        <v>1</v>
      </c>
      <c r="Y4941" s="8" t="s">
        <v>3019</v>
      </c>
      <c r="Z4941" s="8" t="s">
        <v>3020</v>
      </c>
    </row>
    <row r="4942" spans="1:26" x14ac:dyDescent="0.2">
      <c r="A4942" s="8">
        <v>4941</v>
      </c>
      <c r="B4942" s="8" t="s">
        <v>22225</v>
      </c>
      <c r="C4942" s="8" t="s">
        <v>22225</v>
      </c>
      <c r="F4942" s="47" t="s">
        <v>57650</v>
      </c>
      <c r="G4942" s="8">
        <v>6.5</v>
      </c>
      <c r="H4942" s="8" t="s">
        <v>21</v>
      </c>
      <c r="I4942" s="8" t="s">
        <v>22</v>
      </c>
      <c r="J4942" s="8" t="s">
        <v>22</v>
      </c>
      <c r="K4942" s="8" t="s">
        <v>406</v>
      </c>
      <c r="L4942" s="8" t="s">
        <v>17287</v>
      </c>
      <c r="M4942" s="8" t="s">
        <v>17288</v>
      </c>
      <c r="N4942" s="8" t="s">
        <v>22226</v>
      </c>
      <c r="O4942" s="8">
        <f>13+4/60+13/3600</f>
        <v>13.070277777777777</v>
      </c>
      <c r="P4942" s="8" t="s">
        <v>22227</v>
      </c>
      <c r="Q4942" s="8">
        <f>-(5+33/60+5/3600)</f>
        <v>-5.5513888888888889</v>
      </c>
      <c r="R4942" s="8">
        <v>11.1</v>
      </c>
      <c r="S4942" s="8">
        <v>11.9</v>
      </c>
      <c r="T4942" s="8">
        <v>0.8</v>
      </c>
      <c r="U4942" s="8">
        <v>13</v>
      </c>
      <c r="V4942" s="8">
        <v>3.9</v>
      </c>
      <c r="W4942" s="8">
        <v>2.7</v>
      </c>
      <c r="X4942" s="8">
        <v>15</v>
      </c>
      <c r="Y4942" s="8" t="s">
        <v>22228</v>
      </c>
      <c r="Z4942" s="8" t="s">
        <v>22229</v>
      </c>
    </row>
    <row r="4943" spans="1:26" x14ac:dyDescent="0.2">
      <c r="A4943" s="8">
        <v>4942</v>
      </c>
      <c r="B4943" s="8" t="s">
        <v>22230</v>
      </c>
      <c r="C4943" s="8" t="s">
        <v>22230</v>
      </c>
      <c r="F4943" s="47" t="s">
        <v>57651</v>
      </c>
      <c r="G4943" s="8">
        <v>15</v>
      </c>
      <c r="H4943" s="8" t="s">
        <v>21</v>
      </c>
      <c r="I4943" s="8" t="s">
        <v>22</v>
      </c>
      <c r="J4943" s="8" t="s">
        <v>22</v>
      </c>
      <c r="K4943" s="8" t="s">
        <v>1277</v>
      </c>
      <c r="L4943" s="8" t="s">
        <v>17287</v>
      </c>
      <c r="M4943" s="8" t="s">
        <v>17288</v>
      </c>
      <c r="N4943" s="8" t="s">
        <v>22231</v>
      </c>
      <c r="O4943" s="8">
        <f>13+4/60+19/3600</f>
        <v>13.071944444444444</v>
      </c>
      <c r="P4943" s="8" t="s">
        <v>22232</v>
      </c>
      <c r="Q4943" s="8">
        <f>-(7+38/60+56/3600)</f>
        <v>-7.6488888888888882</v>
      </c>
      <c r="R4943" s="8">
        <v>13</v>
      </c>
      <c r="S4943" s="8">
        <v>13.7</v>
      </c>
      <c r="T4943" s="8">
        <v>0.7</v>
      </c>
      <c r="U4943" s="8">
        <v>13.6</v>
      </c>
      <c r="V4943" s="8">
        <v>1.6</v>
      </c>
      <c r="W4943" s="8">
        <v>1.3</v>
      </c>
      <c r="X4943" s="8">
        <v>145</v>
      </c>
      <c r="Y4943" s="8" t="s">
        <v>1511</v>
      </c>
      <c r="Z4943" s="8" t="s">
        <v>1512</v>
      </c>
    </row>
    <row r="4944" spans="1:26" x14ac:dyDescent="0.2">
      <c r="A4944" s="8">
        <v>4943</v>
      </c>
      <c r="B4944" s="8" t="s">
        <v>22233</v>
      </c>
      <c r="C4944" s="8" t="s">
        <v>22233</v>
      </c>
      <c r="F4944" s="47"/>
      <c r="G4944" s="8">
        <v>18</v>
      </c>
      <c r="H4944" s="8" t="s">
        <v>21</v>
      </c>
      <c r="I4944" s="8" t="s">
        <v>22</v>
      </c>
      <c r="J4944" s="8" t="s">
        <v>22</v>
      </c>
      <c r="K4944" s="8" t="s">
        <v>224</v>
      </c>
      <c r="L4944" s="8" t="s">
        <v>18289</v>
      </c>
      <c r="M4944" s="8" t="s">
        <v>18290</v>
      </c>
      <c r="N4944" s="8" t="s">
        <v>22234</v>
      </c>
      <c r="O4944" s="8">
        <f>13+3/60+45/3600</f>
        <v>13.0625</v>
      </c>
      <c r="P4944" s="8" t="s">
        <v>22235</v>
      </c>
      <c r="Q4944" s="8">
        <f>+(28+5/60+1/3600)</f>
        <v>28.083611111111111</v>
      </c>
      <c r="R4944" s="8">
        <v>14.4</v>
      </c>
      <c r="S4944" s="8">
        <v>15.4</v>
      </c>
      <c r="T4944" s="8">
        <v>1</v>
      </c>
      <c r="U4944" s="8">
        <v>13.2</v>
      </c>
      <c r="V4944" s="8">
        <v>0.5</v>
      </c>
      <c r="W4944" s="8">
        <v>0.3</v>
      </c>
      <c r="X4944" s="8">
        <v>111</v>
      </c>
      <c r="Y4944" s="8" t="s">
        <v>282</v>
      </c>
      <c r="Z4944" s="8" t="s">
        <v>283</v>
      </c>
    </row>
    <row r="4945" spans="1:26" x14ac:dyDescent="0.2">
      <c r="A4945" s="8">
        <v>4944</v>
      </c>
      <c r="B4945" s="8" t="s">
        <v>22236</v>
      </c>
      <c r="C4945" s="8" t="s">
        <v>22236</v>
      </c>
      <c r="F4945" s="47" t="s">
        <v>57652</v>
      </c>
      <c r="G4945" s="8">
        <v>15</v>
      </c>
      <c r="H4945" s="8" t="s">
        <v>21</v>
      </c>
      <c r="I4945" s="8" t="s">
        <v>22</v>
      </c>
      <c r="J4945" s="8" t="s">
        <v>22</v>
      </c>
      <c r="K4945" s="8" t="s">
        <v>632</v>
      </c>
      <c r="L4945" s="8" t="s">
        <v>18289</v>
      </c>
      <c r="M4945" s="8" t="s">
        <v>18290</v>
      </c>
      <c r="N4945" s="8" t="s">
        <v>22237</v>
      </c>
      <c r="O4945" s="8">
        <f>13+3/60+50/3600</f>
        <v>13.06388888888889</v>
      </c>
      <c r="P4945" s="8" t="s">
        <v>22238</v>
      </c>
      <c r="Q4945" s="8">
        <f>+(28+11/60+7/3600)</f>
        <v>28.185277777777777</v>
      </c>
      <c r="R4945" s="8">
        <v>12.9</v>
      </c>
      <c r="S4945" s="8">
        <v>13.8</v>
      </c>
      <c r="T4945" s="8">
        <v>0.9</v>
      </c>
      <c r="U4945" s="8">
        <v>12.7</v>
      </c>
      <c r="V4945" s="8">
        <v>1.5</v>
      </c>
      <c r="W4945" s="8">
        <v>0.5</v>
      </c>
      <c r="X4945" s="8">
        <v>89</v>
      </c>
      <c r="Y4945" s="8" t="s">
        <v>22239</v>
      </c>
      <c r="Z4945" s="8" t="s">
        <v>22240</v>
      </c>
    </row>
    <row r="4946" spans="1:26" x14ac:dyDescent="0.2">
      <c r="A4946" s="8">
        <v>4945</v>
      </c>
      <c r="B4946" s="8" t="s">
        <v>22241</v>
      </c>
      <c r="C4946" s="8" t="s">
        <v>22241</v>
      </c>
      <c r="F4946" s="47"/>
      <c r="G4946" s="8">
        <v>2</v>
      </c>
      <c r="H4946" s="8" t="s">
        <v>22242</v>
      </c>
      <c r="I4946" s="8" t="s">
        <v>22</v>
      </c>
      <c r="J4946" s="8" t="s">
        <v>22</v>
      </c>
      <c r="K4946" s="8" t="s">
        <v>64</v>
      </c>
      <c r="L4946" s="8" t="s">
        <v>16195</v>
      </c>
      <c r="M4946" s="8" t="s">
        <v>16196</v>
      </c>
      <c r="N4946" s="8" t="s">
        <v>22243</v>
      </c>
      <c r="O4946" s="8">
        <f>13+5/60+26.1/3600</f>
        <v>13.090583333333335</v>
      </c>
      <c r="P4946" s="8" t="s">
        <v>22244</v>
      </c>
      <c r="Q4946" s="8">
        <f>-(49+27/60+46/3600)</f>
        <v>-49.462777777777781</v>
      </c>
      <c r="R4946" s="8">
        <v>8.4</v>
      </c>
      <c r="S4946" s="8">
        <v>9.3000000000000007</v>
      </c>
      <c r="T4946" s="8">
        <v>0.9</v>
      </c>
      <c r="U4946" s="8">
        <v>12.9</v>
      </c>
      <c r="V4946" s="8">
        <v>19.8</v>
      </c>
      <c r="W4946" s="8">
        <v>4</v>
      </c>
      <c r="X4946" s="8">
        <v>43</v>
      </c>
      <c r="Y4946" s="8" t="s">
        <v>21</v>
      </c>
      <c r="Z4946" s="8" t="s">
        <v>22245</v>
      </c>
    </row>
    <row r="4947" spans="1:26" x14ac:dyDescent="0.2">
      <c r="A4947" s="8">
        <v>4946</v>
      </c>
      <c r="B4947" s="8" t="s">
        <v>22246</v>
      </c>
      <c r="C4947" s="8" t="s">
        <v>22246</v>
      </c>
      <c r="F4947" s="47"/>
      <c r="G4947" s="8">
        <v>16</v>
      </c>
      <c r="H4947" s="8" t="s">
        <v>21</v>
      </c>
      <c r="I4947" s="8" t="s">
        <v>22</v>
      </c>
      <c r="J4947" s="8" t="s">
        <v>22</v>
      </c>
      <c r="K4947" s="8" t="s">
        <v>382</v>
      </c>
      <c r="L4947" s="8" t="s">
        <v>16195</v>
      </c>
      <c r="M4947" s="8" t="s">
        <v>16196</v>
      </c>
      <c r="N4947" s="8" t="s">
        <v>22247</v>
      </c>
      <c r="O4947" s="8">
        <f>13+5/60+29.2/3600</f>
        <v>13.091444444444445</v>
      </c>
      <c r="P4947" s="8" t="s">
        <v>22248</v>
      </c>
      <c r="Q4947" s="8">
        <f>-(43+35/60+30/3600)</f>
        <v>-43.591666666666669</v>
      </c>
      <c r="R4947" s="8">
        <v>12.4</v>
      </c>
      <c r="S4947" s="8">
        <v>13.5</v>
      </c>
      <c r="T4947" s="8">
        <v>1.1000000000000001</v>
      </c>
      <c r="U4947" s="8">
        <v>13</v>
      </c>
      <c r="V4947" s="8">
        <v>1.6</v>
      </c>
      <c r="W4947" s="8">
        <v>1.2</v>
      </c>
      <c r="X4947" s="8">
        <v>131</v>
      </c>
      <c r="Y4947" s="8" t="s">
        <v>22249</v>
      </c>
      <c r="Z4947" s="8" t="s">
        <v>22250</v>
      </c>
    </row>
    <row r="4948" spans="1:26" x14ac:dyDescent="0.2">
      <c r="A4948" s="8">
        <v>4947</v>
      </c>
      <c r="B4948" s="8" t="s">
        <v>22251</v>
      </c>
      <c r="C4948" s="8" t="s">
        <v>22251</v>
      </c>
      <c r="F4948" s="47"/>
      <c r="G4948" s="8">
        <v>13</v>
      </c>
      <c r="H4948" s="8" t="s">
        <v>21</v>
      </c>
      <c r="I4948" s="8" t="s">
        <v>22</v>
      </c>
      <c r="J4948" s="8" t="s">
        <v>22</v>
      </c>
      <c r="K4948" s="8" t="s">
        <v>218</v>
      </c>
      <c r="L4948" s="8" t="s">
        <v>16195</v>
      </c>
      <c r="M4948" s="8" t="s">
        <v>16196</v>
      </c>
      <c r="N4948" s="8" t="s">
        <v>22252</v>
      </c>
      <c r="O4948" s="8">
        <f>13+5/60+20.2/3600</f>
        <v>13.088944444444445</v>
      </c>
      <c r="P4948" s="8" t="s">
        <v>22253</v>
      </c>
      <c r="Q4948" s="8">
        <f>-(35+20/60+13/3600)</f>
        <v>-35.336944444444448</v>
      </c>
      <c r="R4948" s="8">
        <v>11.9</v>
      </c>
      <c r="S4948" s="8">
        <v>12.7</v>
      </c>
      <c r="T4948" s="8">
        <v>0.8</v>
      </c>
      <c r="U4948" s="8">
        <v>12.9</v>
      </c>
      <c r="V4948" s="8">
        <v>2.4</v>
      </c>
      <c r="W4948" s="8">
        <v>1.2</v>
      </c>
      <c r="X4948" s="8">
        <v>10</v>
      </c>
      <c r="Y4948" s="8" t="s">
        <v>4196</v>
      </c>
      <c r="Z4948" s="8" t="s">
        <v>4197</v>
      </c>
    </row>
    <row r="4949" spans="1:26" x14ac:dyDescent="0.2">
      <c r="A4949" s="8">
        <v>4948</v>
      </c>
      <c r="B4949" s="8" t="s">
        <v>22254</v>
      </c>
      <c r="C4949" s="8" t="s">
        <v>22254</v>
      </c>
      <c r="F4949" s="47"/>
      <c r="G4949" s="8">
        <v>19</v>
      </c>
      <c r="H4949" s="8" t="s">
        <v>21</v>
      </c>
      <c r="I4949" s="8" t="s">
        <v>22</v>
      </c>
      <c r="J4949" s="8" t="s">
        <v>22</v>
      </c>
      <c r="K4949" s="8" t="s">
        <v>269</v>
      </c>
      <c r="L4949" s="8" t="s">
        <v>17287</v>
      </c>
      <c r="M4949" s="8" t="s">
        <v>17288</v>
      </c>
      <c r="N4949" s="8" t="s">
        <v>22255</v>
      </c>
      <c r="O4949" s="8">
        <f>13+4/60+55.8/3600</f>
        <v>13.082166666666666</v>
      </c>
      <c r="P4949" s="8" t="s">
        <v>22256</v>
      </c>
      <c r="Q4949" s="8">
        <f>-(7+56/60+47/3600)</f>
        <v>-7.9463888888888894</v>
      </c>
      <c r="R4949" s="8">
        <v>13.2</v>
      </c>
      <c r="S4949" s="8">
        <v>14</v>
      </c>
      <c r="T4949" s="8">
        <v>0.8</v>
      </c>
      <c r="U4949" s="8">
        <v>13.3</v>
      </c>
      <c r="V4949" s="8">
        <v>2</v>
      </c>
      <c r="W4949" s="8">
        <v>0.7</v>
      </c>
      <c r="X4949" s="8">
        <v>145</v>
      </c>
      <c r="Y4949" s="8" t="s">
        <v>21</v>
      </c>
      <c r="Z4949" s="8" t="s">
        <v>22257</v>
      </c>
    </row>
    <row r="4950" spans="1:26" x14ac:dyDescent="0.2">
      <c r="A4950" s="8">
        <v>4949</v>
      </c>
      <c r="B4950" s="8" t="s">
        <v>22258</v>
      </c>
      <c r="C4950" s="8" t="s">
        <v>22258</v>
      </c>
      <c r="F4950" s="47"/>
      <c r="G4950" s="8">
        <v>18</v>
      </c>
      <c r="H4950" s="8" t="s">
        <v>21</v>
      </c>
      <c r="I4950" s="8" t="s">
        <v>22</v>
      </c>
      <c r="J4950" s="8" t="s">
        <v>22</v>
      </c>
      <c r="K4950" s="8" t="s">
        <v>5751</v>
      </c>
      <c r="L4950" s="8" t="s">
        <v>18289</v>
      </c>
      <c r="M4950" s="8" t="s">
        <v>18290</v>
      </c>
      <c r="N4950" s="8" t="s">
        <v>22259</v>
      </c>
      <c r="O4950" s="8">
        <f>13+4/60+18.1/3600</f>
        <v>13.071694444444445</v>
      </c>
      <c r="P4950" s="8" t="s">
        <v>22260</v>
      </c>
      <c r="Q4950" s="8">
        <f>+(29+1/60+45/3600)</f>
        <v>29.029166666666665</v>
      </c>
      <c r="R4950" s="8">
        <v>14.9</v>
      </c>
      <c r="S4950" s="8">
        <v>15.7</v>
      </c>
      <c r="T4950" s="8">
        <v>0.8</v>
      </c>
      <c r="U4950" s="8">
        <v>12.9</v>
      </c>
      <c r="V4950" s="8">
        <v>0.6</v>
      </c>
      <c r="W4950" s="8">
        <v>0.3</v>
      </c>
      <c r="X4950" s="8">
        <v>108</v>
      </c>
      <c r="Y4950" s="8" t="s">
        <v>745</v>
      </c>
      <c r="Z4950" s="8" t="s">
        <v>746</v>
      </c>
    </row>
    <row r="4951" spans="1:26" x14ac:dyDescent="0.2">
      <c r="A4951" s="8">
        <v>4950</v>
      </c>
      <c r="B4951" s="8" t="s">
        <v>22261</v>
      </c>
      <c r="C4951" s="8" t="s">
        <v>22261</v>
      </c>
      <c r="F4951" s="47"/>
      <c r="G4951" s="8">
        <v>16</v>
      </c>
      <c r="H4951" s="8" t="s">
        <v>21</v>
      </c>
      <c r="I4951" s="8" t="s">
        <v>22</v>
      </c>
      <c r="J4951" s="8" t="s">
        <v>22</v>
      </c>
      <c r="K4951" s="8" t="s">
        <v>224</v>
      </c>
      <c r="L4951" s="8" t="s">
        <v>16195</v>
      </c>
      <c r="M4951" s="8" t="s">
        <v>16196</v>
      </c>
      <c r="N4951" s="8" t="s">
        <v>22262</v>
      </c>
      <c r="O4951" s="8">
        <f>13+5/60+36.4/3600</f>
        <v>13.093444444444446</v>
      </c>
      <c r="P4951" s="8" t="s">
        <v>22263</v>
      </c>
      <c r="Q4951" s="8">
        <f>-(43+30/60+1/3600)</f>
        <v>-43.500277777777775</v>
      </c>
      <c r="R4951" s="8">
        <v>13.9</v>
      </c>
      <c r="S4951" s="8">
        <v>14.9</v>
      </c>
      <c r="T4951" s="8">
        <v>1</v>
      </c>
      <c r="U4951" s="8">
        <v>13.2</v>
      </c>
      <c r="V4951" s="8">
        <v>0.9</v>
      </c>
      <c r="W4951" s="8">
        <v>0.7</v>
      </c>
      <c r="Y4951" s="8" t="s">
        <v>22264</v>
      </c>
      <c r="Z4951" s="8" t="s">
        <v>22265</v>
      </c>
    </row>
    <row r="4952" spans="1:26" x14ac:dyDescent="0.2">
      <c r="A4952" s="8">
        <v>4951</v>
      </c>
      <c r="B4952" s="8" t="s">
        <v>22266</v>
      </c>
      <c r="C4952" s="8" t="s">
        <v>22266</v>
      </c>
      <c r="F4952" s="47" t="s">
        <v>57653</v>
      </c>
      <c r="G4952" s="8">
        <v>13</v>
      </c>
      <c r="H4952" s="8" t="s">
        <v>21</v>
      </c>
      <c r="I4952" s="8" t="s">
        <v>22</v>
      </c>
      <c r="J4952" s="8" t="s">
        <v>22</v>
      </c>
      <c r="K4952" s="8" t="s">
        <v>64</v>
      </c>
      <c r="L4952" s="8" t="s">
        <v>17287</v>
      </c>
      <c r="M4952" s="8" t="s">
        <v>17288</v>
      </c>
      <c r="N4952" s="8" t="s">
        <v>22267</v>
      </c>
      <c r="O4952" s="8">
        <f>13+5/60+7.5/3600</f>
        <v>13.085416666666667</v>
      </c>
      <c r="P4952" s="8" t="s">
        <v>22268</v>
      </c>
      <c r="Q4952" s="8">
        <f>-(6+29/60+39/3600)</f>
        <v>-6.4941666666666666</v>
      </c>
      <c r="R4952" s="8">
        <v>11.9</v>
      </c>
      <c r="S4952" s="8">
        <v>12.6</v>
      </c>
      <c r="T4952" s="8">
        <v>0.7</v>
      </c>
      <c r="U4952" s="8">
        <v>13.7</v>
      </c>
      <c r="V4952" s="8">
        <v>3.8</v>
      </c>
      <c r="W4952" s="8">
        <v>1.6</v>
      </c>
      <c r="X4952" s="8">
        <v>90</v>
      </c>
      <c r="Y4952" s="8" t="s">
        <v>22269</v>
      </c>
      <c r="Z4952" s="8" t="s">
        <v>22270</v>
      </c>
    </row>
    <row r="4953" spans="1:26" x14ac:dyDescent="0.2">
      <c r="A4953" s="8">
        <v>4952</v>
      </c>
      <c r="B4953" s="8" t="s">
        <v>22271</v>
      </c>
      <c r="C4953" s="8" t="s">
        <v>22271</v>
      </c>
      <c r="F4953" s="47" t="s">
        <v>57654</v>
      </c>
      <c r="G4953" s="8">
        <v>15</v>
      </c>
      <c r="H4953" s="8" t="s">
        <v>21</v>
      </c>
      <c r="I4953" s="8" t="s">
        <v>22</v>
      </c>
      <c r="J4953" s="8" t="s">
        <v>57</v>
      </c>
      <c r="K4953" s="8" t="s">
        <v>50</v>
      </c>
      <c r="L4953" s="8" t="s">
        <v>18289</v>
      </c>
      <c r="M4953" s="8" t="s">
        <v>18290</v>
      </c>
      <c r="N4953" s="8" t="s">
        <v>22272</v>
      </c>
      <c r="O4953" s="8">
        <f>13+4/60+58.5/3600</f>
        <v>13.082916666666666</v>
      </c>
      <c r="P4953" s="8" t="s">
        <v>22273</v>
      </c>
      <c r="Q4953" s="8">
        <f>+(29+7/60+21/3600)</f>
        <v>29.122499999999999</v>
      </c>
      <c r="R4953" s="8">
        <v>12.4</v>
      </c>
      <c r="S4953" s="8">
        <v>13.4</v>
      </c>
      <c r="T4953" s="8">
        <v>1</v>
      </c>
      <c r="U4953" s="8">
        <v>13.1</v>
      </c>
      <c r="V4953" s="8">
        <v>1.8</v>
      </c>
      <c r="W4953" s="8">
        <v>1.1000000000000001</v>
      </c>
      <c r="X4953" s="8">
        <v>23</v>
      </c>
      <c r="Y4953" s="8" t="s">
        <v>282</v>
      </c>
      <c r="Z4953" s="8" t="s">
        <v>22274</v>
      </c>
    </row>
    <row r="4954" spans="1:26" x14ac:dyDescent="0.2">
      <c r="A4954" s="8">
        <v>4953</v>
      </c>
      <c r="B4954" s="8" t="s">
        <v>22275</v>
      </c>
      <c r="C4954" s="8" t="s">
        <v>22275</v>
      </c>
      <c r="E4954" s="8">
        <v>1</v>
      </c>
      <c r="F4954" s="47"/>
      <c r="G4954" s="8">
        <v>16</v>
      </c>
      <c r="H4954" s="8" t="s">
        <v>21</v>
      </c>
      <c r="I4954" s="8" t="s">
        <v>22</v>
      </c>
      <c r="J4954" s="8" t="s">
        <v>22</v>
      </c>
      <c r="K4954" s="8" t="s">
        <v>632</v>
      </c>
      <c r="L4954" s="8" t="s">
        <v>16195</v>
      </c>
      <c r="M4954" s="8" t="s">
        <v>16196</v>
      </c>
      <c r="N4954" s="8" t="s">
        <v>22276</v>
      </c>
      <c r="O4954" s="8">
        <f>13+6/60+10.3/3600</f>
        <v>13.10286111111111</v>
      </c>
      <c r="P4954" s="8" t="s">
        <v>22277</v>
      </c>
      <c r="Q4954" s="8">
        <f>-(37+35/60+10/3600)</f>
        <v>-37.586111111111116</v>
      </c>
      <c r="R4954" s="8">
        <v>12.9</v>
      </c>
      <c r="S4954" s="8">
        <v>13.8</v>
      </c>
      <c r="T4954" s="8">
        <v>0.9</v>
      </c>
      <c r="U4954" s="8">
        <v>12.7</v>
      </c>
      <c r="V4954" s="8">
        <v>1.2</v>
      </c>
      <c r="W4954" s="8">
        <v>0.9</v>
      </c>
      <c r="X4954" s="8">
        <v>46</v>
      </c>
      <c r="Y4954" s="8" t="s">
        <v>21</v>
      </c>
      <c r="Z4954" s="8" t="s">
        <v>22278</v>
      </c>
    </row>
    <row r="4955" spans="1:26" x14ac:dyDescent="0.2">
      <c r="A4955" s="8">
        <v>4954</v>
      </c>
      <c r="B4955" s="8" t="s">
        <v>22279</v>
      </c>
      <c r="C4955" s="8" t="s">
        <v>22279</v>
      </c>
      <c r="F4955" s="47"/>
      <c r="G4955" s="8">
        <v>16</v>
      </c>
      <c r="H4955" s="8" t="s">
        <v>21</v>
      </c>
      <c r="I4955" s="8" t="s">
        <v>22</v>
      </c>
      <c r="J4955" s="8" t="s">
        <v>57</v>
      </c>
      <c r="K4955" s="8" t="s">
        <v>37</v>
      </c>
      <c r="L4955" s="8" t="s">
        <v>13395</v>
      </c>
      <c r="M4955" s="8" t="s">
        <v>13396</v>
      </c>
      <c r="N4955" s="8" t="s">
        <v>22280</v>
      </c>
      <c r="O4955" s="8">
        <f>13+2/60+19.3/3600</f>
        <v>13.038694444444443</v>
      </c>
      <c r="P4955" s="8" t="s">
        <v>22281</v>
      </c>
      <c r="Q4955" s="8">
        <f>+(75+24/60+17/3600)</f>
        <v>75.404722222222233</v>
      </c>
      <c r="R4955" s="8">
        <v>13.2</v>
      </c>
      <c r="S4955" s="8">
        <v>14.2</v>
      </c>
      <c r="T4955" s="8">
        <v>1</v>
      </c>
      <c r="U4955" s="8">
        <v>12.3</v>
      </c>
      <c r="V4955" s="8">
        <v>0.8</v>
      </c>
      <c r="W4955" s="8">
        <v>0.6</v>
      </c>
      <c r="X4955" s="8">
        <v>62</v>
      </c>
      <c r="Y4955" s="8" t="s">
        <v>282</v>
      </c>
      <c r="Z4955" s="8" t="s">
        <v>15920</v>
      </c>
    </row>
    <row r="4956" spans="1:26" x14ac:dyDescent="0.2">
      <c r="A4956" s="8">
        <v>4955</v>
      </c>
      <c r="B4956" s="8" t="s">
        <v>22282</v>
      </c>
      <c r="C4956" s="8" t="s">
        <v>22282</v>
      </c>
      <c r="F4956" s="47"/>
      <c r="G4956" s="8">
        <v>16</v>
      </c>
      <c r="H4956" s="8" t="s">
        <v>21</v>
      </c>
      <c r="I4956" s="8" t="s">
        <v>22</v>
      </c>
      <c r="J4956" s="8" t="s">
        <v>22</v>
      </c>
      <c r="K4956" s="8" t="s">
        <v>1136</v>
      </c>
      <c r="L4956" s="8" t="s">
        <v>11765</v>
      </c>
      <c r="M4956" s="8" t="s">
        <v>11766</v>
      </c>
      <c r="N4956" s="8" t="s">
        <v>22283</v>
      </c>
      <c r="O4956" s="8">
        <f>13+6/60+4.8/3600</f>
        <v>13.101333333333333</v>
      </c>
      <c r="P4956" s="8" t="s">
        <v>22284</v>
      </c>
      <c r="Q4956" s="8">
        <f>-(29+45/60+16/3600)</f>
        <v>-29.754444444444445</v>
      </c>
      <c r="R4956" s="8">
        <v>12.2</v>
      </c>
      <c r="S4956" s="8">
        <v>13.2</v>
      </c>
      <c r="T4956" s="8">
        <v>1</v>
      </c>
      <c r="U4956" s="8">
        <v>13.1</v>
      </c>
      <c r="V4956" s="8">
        <v>1.9</v>
      </c>
      <c r="W4956" s="8">
        <v>1.3</v>
      </c>
      <c r="X4956" s="8">
        <v>23</v>
      </c>
      <c r="Y4956" s="8" t="s">
        <v>21506</v>
      </c>
      <c r="Z4956" s="8" t="s">
        <v>21507</v>
      </c>
    </row>
    <row r="4957" spans="1:26" x14ac:dyDescent="0.2">
      <c r="A4957" s="8">
        <v>4956</v>
      </c>
      <c r="B4957" s="8" t="s">
        <v>22285</v>
      </c>
      <c r="C4957" s="8" t="s">
        <v>22285</v>
      </c>
      <c r="F4957" s="47" t="s">
        <v>57655</v>
      </c>
      <c r="G4957" s="8">
        <v>6.5</v>
      </c>
      <c r="H4957" s="8" t="s">
        <v>21</v>
      </c>
      <c r="I4957" s="8" t="s">
        <v>22</v>
      </c>
      <c r="J4957" s="8" t="s">
        <v>22</v>
      </c>
      <c r="K4957" s="8" t="s">
        <v>37</v>
      </c>
      <c r="L4957" s="8" t="s">
        <v>18681</v>
      </c>
      <c r="M4957" s="8" t="s">
        <v>18682</v>
      </c>
      <c r="N4957" s="8" t="s">
        <v>22286</v>
      </c>
      <c r="O4957" s="8">
        <f>13+5/60+1/3600</f>
        <v>13.083611111111111</v>
      </c>
      <c r="P4957" s="8" t="s">
        <v>22287</v>
      </c>
      <c r="Q4957" s="8">
        <f>+(35+10/60+40/3600)</f>
        <v>35.177777777777777</v>
      </c>
      <c r="R4957" s="8">
        <v>12.4</v>
      </c>
      <c r="S4957" s="8">
        <v>13.3</v>
      </c>
      <c r="T4957" s="8">
        <v>0.9</v>
      </c>
      <c r="U4957" s="8">
        <v>13.1</v>
      </c>
      <c r="V4957" s="8">
        <v>1.5</v>
      </c>
      <c r="W4957" s="8">
        <v>1.5</v>
      </c>
      <c r="Y4957" s="8" t="s">
        <v>22288</v>
      </c>
      <c r="Z4957" s="8" t="s">
        <v>22289</v>
      </c>
    </row>
    <row r="4958" spans="1:26" x14ac:dyDescent="0.2">
      <c r="A4958" s="8">
        <v>4957</v>
      </c>
      <c r="B4958" s="8" t="s">
        <v>22290</v>
      </c>
      <c r="C4958" s="8" t="s">
        <v>22290</v>
      </c>
      <c r="F4958" s="47" t="s">
        <v>57656</v>
      </c>
      <c r="G4958" s="8">
        <v>15</v>
      </c>
      <c r="H4958" s="8" t="s">
        <v>21</v>
      </c>
      <c r="I4958" s="8" t="s">
        <v>22</v>
      </c>
      <c r="J4958" s="8" t="s">
        <v>22</v>
      </c>
      <c r="K4958" s="8" t="s">
        <v>382</v>
      </c>
      <c r="L4958" s="8" t="s">
        <v>18289</v>
      </c>
      <c r="M4958" s="8" t="s">
        <v>18290</v>
      </c>
      <c r="N4958" s="8" t="s">
        <v>22291</v>
      </c>
      <c r="O4958" s="8">
        <f>13+5/60+12.5/3600</f>
        <v>13.086805555555555</v>
      </c>
      <c r="P4958" s="8" t="s">
        <v>22292</v>
      </c>
      <c r="Q4958" s="8">
        <f>+(27+34/60+10/3600)</f>
        <v>27.569444444444443</v>
      </c>
      <c r="R4958" s="8">
        <v>13</v>
      </c>
      <c r="S4958" s="8">
        <v>14</v>
      </c>
      <c r="T4958" s="8">
        <v>1</v>
      </c>
      <c r="U4958" s="8">
        <v>13.2</v>
      </c>
      <c r="V4958" s="8">
        <v>1.2</v>
      </c>
      <c r="W4958" s="8">
        <v>1</v>
      </c>
      <c r="X4958" s="8">
        <v>100</v>
      </c>
      <c r="Y4958" s="8" t="s">
        <v>895</v>
      </c>
      <c r="Z4958" s="8" t="s">
        <v>896</v>
      </c>
    </row>
    <row r="4959" spans="1:26" x14ac:dyDescent="0.2">
      <c r="A4959" s="8">
        <v>4958</v>
      </c>
      <c r="B4959" s="8" t="s">
        <v>22293</v>
      </c>
      <c r="C4959" s="8" t="s">
        <v>22293</v>
      </c>
      <c r="F4959" s="47" t="s">
        <v>57657</v>
      </c>
      <c r="G4959" s="8">
        <v>6</v>
      </c>
      <c r="H4959" s="8" t="s">
        <v>21</v>
      </c>
      <c r="I4959" s="8" t="s">
        <v>22</v>
      </c>
      <c r="J4959" s="8" t="s">
        <v>22</v>
      </c>
      <c r="K4959" s="8" t="s">
        <v>224</v>
      </c>
      <c r="L4959" s="8" t="s">
        <v>17287</v>
      </c>
      <c r="M4959" s="8" t="s">
        <v>17288</v>
      </c>
      <c r="N4959" s="8" t="s">
        <v>22294</v>
      </c>
      <c r="O4959" s="8">
        <f>13+5/60+48.9/3600</f>
        <v>13.096916666666667</v>
      </c>
      <c r="P4959" s="8" t="s">
        <v>22295</v>
      </c>
      <c r="Q4959" s="8">
        <f>-(8+1/60+12/3600)</f>
        <v>-8.0200000000000014</v>
      </c>
      <c r="R4959" s="8">
        <v>10.7</v>
      </c>
      <c r="S4959" s="8">
        <v>11.6</v>
      </c>
      <c r="T4959" s="8">
        <v>0.9</v>
      </c>
      <c r="U4959" s="8">
        <v>12.3</v>
      </c>
      <c r="V4959" s="8">
        <v>3.9</v>
      </c>
      <c r="W4959" s="8">
        <v>1.4</v>
      </c>
      <c r="X4959" s="8">
        <v>9</v>
      </c>
      <c r="Y4959" s="8" t="s">
        <v>21</v>
      </c>
      <c r="Z4959" s="8" t="s">
        <v>22296</v>
      </c>
    </row>
    <row r="4960" spans="1:26" x14ac:dyDescent="0.2">
      <c r="A4960" s="8">
        <v>4959</v>
      </c>
      <c r="B4960" s="8" t="s">
        <v>22297</v>
      </c>
      <c r="C4960" s="8" t="s">
        <v>22297</v>
      </c>
      <c r="F4960" s="47"/>
      <c r="G4960" s="8">
        <v>16</v>
      </c>
      <c r="H4960" s="8" t="s">
        <v>21</v>
      </c>
      <c r="I4960" s="8" t="s">
        <v>22</v>
      </c>
      <c r="J4960" s="8" t="s">
        <v>22</v>
      </c>
      <c r="K4960" s="8" t="s">
        <v>91</v>
      </c>
      <c r="L4960" s="8" t="s">
        <v>18681</v>
      </c>
      <c r="M4960" s="8" t="s">
        <v>18682</v>
      </c>
      <c r="N4960" s="8" t="s">
        <v>22298</v>
      </c>
      <c r="O4960" s="8">
        <f>13+5/60+41/3600</f>
        <v>13.094722222222222</v>
      </c>
      <c r="P4960" s="8" t="s">
        <v>22299</v>
      </c>
      <c r="Q4960" s="8">
        <f>+(33+10/60+46/3600)</f>
        <v>33.179444444444442</v>
      </c>
      <c r="R4960" s="8">
        <v>14.5</v>
      </c>
      <c r="S4960" s="8">
        <v>15.4</v>
      </c>
      <c r="T4960" s="8">
        <v>0.9</v>
      </c>
      <c r="U4960" s="8">
        <v>13.8</v>
      </c>
      <c r="V4960" s="8">
        <v>0.8</v>
      </c>
      <c r="W4960" s="8">
        <v>0.8</v>
      </c>
      <c r="Y4960" s="8" t="s">
        <v>227</v>
      </c>
      <c r="Z4960" s="8" t="s">
        <v>228</v>
      </c>
    </row>
    <row r="4961" spans="1:26" x14ac:dyDescent="0.2">
      <c r="A4961" s="8">
        <v>4960</v>
      </c>
      <c r="B4961" s="8" t="s">
        <v>22300</v>
      </c>
      <c r="C4961" s="8" t="s">
        <v>22300</v>
      </c>
      <c r="F4961" s="47"/>
      <c r="G4961" s="8">
        <v>18</v>
      </c>
      <c r="H4961" s="8" t="s">
        <v>21</v>
      </c>
      <c r="I4961" s="8" t="s">
        <v>22</v>
      </c>
      <c r="J4961" s="8" t="s">
        <v>57</v>
      </c>
      <c r="K4961" s="8" t="s">
        <v>64</v>
      </c>
      <c r="L4961" s="8" t="s">
        <v>18289</v>
      </c>
      <c r="M4961" s="8" t="s">
        <v>18290</v>
      </c>
      <c r="N4961" s="8" t="s">
        <v>22301</v>
      </c>
      <c r="O4961" s="8">
        <f>13+5/60+47.8/3600</f>
        <v>13.096611111111113</v>
      </c>
      <c r="P4961" s="8" t="s">
        <v>22302</v>
      </c>
      <c r="Q4961" s="8">
        <f>+(27+44/60+3/3600)</f>
        <v>27.734166666666667</v>
      </c>
      <c r="R4961" s="8">
        <v>13.6</v>
      </c>
      <c r="S4961" s="8">
        <v>14</v>
      </c>
      <c r="T4961" s="8">
        <v>0.4</v>
      </c>
      <c r="U4961" s="8">
        <v>14</v>
      </c>
      <c r="V4961" s="8">
        <v>1.6</v>
      </c>
      <c r="W4961" s="8">
        <v>1.1000000000000001</v>
      </c>
      <c r="X4961" s="8">
        <v>100</v>
      </c>
      <c r="Y4961" s="8" t="s">
        <v>282</v>
      </c>
      <c r="Z4961" s="8" t="s">
        <v>22303</v>
      </c>
    </row>
    <row r="4962" spans="1:26" x14ac:dyDescent="0.2">
      <c r="A4962" s="8">
        <v>4961</v>
      </c>
      <c r="B4962" s="8" t="s">
        <v>22304</v>
      </c>
      <c r="C4962" s="8" t="s">
        <v>22304</v>
      </c>
      <c r="F4962" s="47" t="s">
        <v>57658</v>
      </c>
      <c r="G4962" s="8">
        <v>13</v>
      </c>
      <c r="H4962" s="8" t="s">
        <v>21</v>
      </c>
      <c r="I4962" s="8" t="s">
        <v>22</v>
      </c>
      <c r="J4962" s="8" t="s">
        <v>22</v>
      </c>
      <c r="K4962" s="8" t="s">
        <v>64</v>
      </c>
      <c r="L4962" s="8" t="s">
        <v>18289</v>
      </c>
      <c r="M4962" s="8" t="s">
        <v>18290</v>
      </c>
      <c r="N4962" s="8" t="s">
        <v>22301</v>
      </c>
      <c r="O4962" s="8">
        <f>13+5/60+47.8/3600</f>
        <v>13.096611111111113</v>
      </c>
      <c r="P4962" s="8" t="s">
        <v>22302</v>
      </c>
      <c r="Q4962" s="8">
        <f>+(27+44/60+3/3600)</f>
        <v>27.734166666666667</v>
      </c>
      <c r="R4962" s="8">
        <v>13.6</v>
      </c>
      <c r="S4962" s="8">
        <v>14</v>
      </c>
      <c r="T4962" s="8">
        <v>0.4</v>
      </c>
      <c r="U4962" s="8">
        <v>14</v>
      </c>
      <c r="V4962" s="8">
        <v>1.6</v>
      </c>
      <c r="W4962" s="8">
        <v>1.1000000000000001</v>
      </c>
      <c r="X4962" s="8">
        <v>100</v>
      </c>
      <c r="Y4962" s="8" t="s">
        <v>22305</v>
      </c>
      <c r="Z4962" s="8" t="s">
        <v>22306</v>
      </c>
    </row>
    <row r="4963" spans="1:26" x14ac:dyDescent="0.2">
      <c r="A4963" s="8">
        <v>4962</v>
      </c>
      <c r="B4963" s="8" t="s">
        <v>22307</v>
      </c>
      <c r="C4963" s="8" t="s">
        <v>22307</v>
      </c>
      <c r="F4963" s="47" t="s">
        <v>57659</v>
      </c>
      <c r="G4963" s="8">
        <v>15</v>
      </c>
      <c r="H4963" s="8" t="s">
        <v>21</v>
      </c>
      <c r="I4963" s="8" t="s">
        <v>22</v>
      </c>
      <c r="J4963" s="8" t="s">
        <v>22</v>
      </c>
      <c r="K4963" s="8" t="s">
        <v>50</v>
      </c>
      <c r="L4963" s="8" t="s">
        <v>18289</v>
      </c>
      <c r="M4963" s="8" t="s">
        <v>18290</v>
      </c>
      <c r="N4963" s="8" t="s">
        <v>22272</v>
      </c>
      <c r="O4963" s="8">
        <f>13+4/60+58.5/3600</f>
        <v>13.082916666666666</v>
      </c>
      <c r="P4963" s="8" t="s">
        <v>22273</v>
      </c>
      <c r="Q4963" s="8">
        <f>+(29+7/60+21/3600)</f>
        <v>29.122499999999999</v>
      </c>
      <c r="R4963" s="8">
        <v>12.4</v>
      </c>
      <c r="S4963" s="8">
        <v>13.4</v>
      </c>
      <c r="T4963" s="8">
        <v>1</v>
      </c>
      <c r="U4963" s="8">
        <v>13.1</v>
      </c>
      <c r="V4963" s="8">
        <v>1.8</v>
      </c>
      <c r="W4963" s="8">
        <v>1.1000000000000001</v>
      </c>
      <c r="X4963" s="8">
        <v>23</v>
      </c>
      <c r="Y4963" s="8" t="s">
        <v>266</v>
      </c>
      <c r="Z4963" s="8" t="s">
        <v>267</v>
      </c>
    </row>
    <row r="4964" spans="1:26" x14ac:dyDescent="0.2">
      <c r="A4964" s="8">
        <v>4963</v>
      </c>
      <c r="B4964" s="8" t="s">
        <v>22308</v>
      </c>
      <c r="C4964" s="8" t="s">
        <v>22308</v>
      </c>
      <c r="F4964" s="47" t="s">
        <v>57660</v>
      </c>
      <c r="G4964" s="8">
        <v>15</v>
      </c>
      <c r="H4964" s="8" t="s">
        <v>21</v>
      </c>
      <c r="I4964" s="8" t="s">
        <v>22</v>
      </c>
      <c r="J4964" s="8" t="s">
        <v>22</v>
      </c>
      <c r="K4964" s="8" t="s">
        <v>449</v>
      </c>
      <c r="L4964" s="8" t="s">
        <v>18681</v>
      </c>
      <c r="M4964" s="8" t="s">
        <v>18682</v>
      </c>
      <c r="N4964" s="8" t="s">
        <v>22309</v>
      </c>
      <c r="O4964" s="8">
        <f>13+5/60+51.9/3600</f>
        <v>13.097750000000001</v>
      </c>
      <c r="P4964" s="8" t="s">
        <v>22310</v>
      </c>
      <c r="Q4964" s="8">
        <f>+(41+43/60+17/3600)</f>
        <v>41.721388888888889</v>
      </c>
      <c r="R4964" s="8">
        <v>13.3</v>
      </c>
      <c r="S4964" s="8">
        <v>14.1</v>
      </c>
      <c r="T4964" s="8">
        <v>0.8</v>
      </c>
      <c r="U4964" s="8">
        <v>12.7</v>
      </c>
      <c r="V4964" s="8">
        <v>0.8</v>
      </c>
      <c r="W4964" s="8">
        <v>0.8</v>
      </c>
      <c r="Y4964" s="8" t="s">
        <v>21</v>
      </c>
      <c r="Z4964" s="8" t="s">
        <v>22311</v>
      </c>
    </row>
    <row r="4965" spans="1:26" x14ac:dyDescent="0.2">
      <c r="A4965" s="8">
        <v>4964</v>
      </c>
      <c r="B4965" s="8" t="s">
        <v>22312</v>
      </c>
      <c r="C4965" s="8" t="s">
        <v>22312</v>
      </c>
      <c r="F4965" s="47" t="s">
        <v>57661</v>
      </c>
      <c r="G4965" s="8">
        <v>15</v>
      </c>
      <c r="H4965" s="8" t="s">
        <v>21</v>
      </c>
      <c r="I4965" s="8" t="s">
        <v>22</v>
      </c>
      <c r="J4965" s="8" t="s">
        <v>22</v>
      </c>
      <c r="K4965" s="8" t="s">
        <v>37</v>
      </c>
      <c r="L4965" s="8" t="s">
        <v>12015</v>
      </c>
      <c r="M4965" s="8" t="s">
        <v>12016</v>
      </c>
      <c r="N4965" s="8" t="s">
        <v>22313</v>
      </c>
      <c r="O4965" s="8">
        <f>13+5/60+24.8/3600</f>
        <v>13.090222222222224</v>
      </c>
      <c r="P4965" s="8" t="s">
        <v>22314</v>
      </c>
      <c r="Q4965" s="8">
        <f>+(56+19/60+23/3600)</f>
        <v>56.323055555555555</v>
      </c>
      <c r="R4965" s="8">
        <v>13.3</v>
      </c>
      <c r="S4965" s="8">
        <v>14.3</v>
      </c>
      <c r="T4965" s="8">
        <v>1</v>
      </c>
      <c r="U4965" s="8">
        <v>12.7</v>
      </c>
      <c r="V4965" s="8">
        <v>1.1000000000000001</v>
      </c>
      <c r="W4965" s="8">
        <v>0.6</v>
      </c>
      <c r="X4965" s="8">
        <v>134</v>
      </c>
      <c r="Y4965" s="8" t="s">
        <v>146</v>
      </c>
      <c r="Z4965" s="8" t="s">
        <v>147</v>
      </c>
    </row>
    <row r="4966" spans="1:26" x14ac:dyDescent="0.2">
      <c r="A4966" s="8">
        <v>4965</v>
      </c>
      <c r="B4966" s="8" t="s">
        <v>22315</v>
      </c>
      <c r="C4966" s="8" t="s">
        <v>22315</v>
      </c>
      <c r="F4966" s="47"/>
      <c r="G4966" s="8">
        <v>16</v>
      </c>
      <c r="H4966" s="8" t="s">
        <v>21</v>
      </c>
      <c r="I4966" s="8" t="s">
        <v>22</v>
      </c>
      <c r="J4966" s="8" t="s">
        <v>22</v>
      </c>
      <c r="K4966" s="8" t="s">
        <v>1277</v>
      </c>
      <c r="L4966" s="8" t="s">
        <v>11765</v>
      </c>
      <c r="M4966" s="8" t="s">
        <v>11766</v>
      </c>
      <c r="N4966" s="8" t="s">
        <v>22316</v>
      </c>
      <c r="O4966" s="8">
        <f>13+7/60+9.2/3600</f>
        <v>13.119222222222223</v>
      </c>
      <c r="P4966" s="8" t="s">
        <v>22317</v>
      </c>
      <c r="Q4966" s="8">
        <f>-(28+13/60+42/3600)</f>
        <v>-28.228333333333332</v>
      </c>
      <c r="R4966" s="8">
        <v>12.2</v>
      </c>
      <c r="S4966" s="8">
        <v>12.9</v>
      </c>
      <c r="T4966" s="8">
        <v>0.7</v>
      </c>
      <c r="U4966" s="8">
        <v>13.9</v>
      </c>
      <c r="V4966" s="8">
        <v>2.4</v>
      </c>
      <c r="W4966" s="8">
        <v>2</v>
      </c>
      <c r="X4966" s="8">
        <v>136</v>
      </c>
      <c r="Y4966" s="8" t="s">
        <v>22318</v>
      </c>
      <c r="Z4966" s="8" t="s">
        <v>22319</v>
      </c>
    </row>
    <row r="4967" spans="1:26" x14ac:dyDescent="0.2">
      <c r="A4967" s="8">
        <v>4966</v>
      </c>
      <c r="B4967" s="8" t="s">
        <v>22320</v>
      </c>
      <c r="C4967" s="8" t="s">
        <v>22320</v>
      </c>
      <c r="F4967" s="47" t="s">
        <v>57662</v>
      </c>
      <c r="G4967" s="8">
        <v>15</v>
      </c>
      <c r="H4967" s="8" t="s">
        <v>21</v>
      </c>
      <c r="I4967" s="8" t="s">
        <v>22</v>
      </c>
      <c r="J4967" s="8" t="s">
        <v>22</v>
      </c>
      <c r="K4967" s="8" t="s">
        <v>406</v>
      </c>
      <c r="L4967" s="8" t="s">
        <v>18289</v>
      </c>
      <c r="M4967" s="8" t="s">
        <v>18290</v>
      </c>
      <c r="N4967" s="8" t="s">
        <v>22321</v>
      </c>
      <c r="O4967" s="8">
        <f>13+6/60+17.3/3600</f>
        <v>13.104805555555556</v>
      </c>
      <c r="P4967" s="8" t="s">
        <v>22322</v>
      </c>
      <c r="Q4967" s="8">
        <f>+(29+3/60+46/3600)</f>
        <v>29.062777777777779</v>
      </c>
      <c r="R4967" s="8">
        <v>13.3</v>
      </c>
      <c r="S4967" s="8">
        <v>14</v>
      </c>
      <c r="T4967" s="8">
        <v>0.7</v>
      </c>
      <c r="U4967" s="8">
        <v>12.3</v>
      </c>
      <c r="V4967" s="8">
        <v>1</v>
      </c>
      <c r="W4967" s="8">
        <v>0.5</v>
      </c>
      <c r="X4967" s="8">
        <v>143</v>
      </c>
      <c r="Y4967" s="8" t="s">
        <v>21</v>
      </c>
      <c r="Z4967" s="8" t="s">
        <v>22323</v>
      </c>
    </row>
    <row r="4968" spans="1:26" x14ac:dyDescent="0.2">
      <c r="A4968" s="8">
        <v>4967</v>
      </c>
      <c r="B4968" s="8" t="s">
        <v>22324</v>
      </c>
      <c r="C4968" s="8" t="s">
        <v>22324</v>
      </c>
      <c r="F4968" s="47" t="s">
        <v>57663</v>
      </c>
      <c r="G4968" s="8">
        <v>15</v>
      </c>
      <c r="H4968" s="8" t="s">
        <v>21</v>
      </c>
      <c r="I4968" s="8" t="s">
        <v>22</v>
      </c>
      <c r="J4968" s="8" t="s">
        <v>22</v>
      </c>
      <c r="K4968" s="8" t="s">
        <v>818</v>
      </c>
      <c r="L4968" s="8" t="s">
        <v>12015</v>
      </c>
      <c r="M4968" s="8" t="s">
        <v>12016</v>
      </c>
      <c r="N4968" s="8" t="s">
        <v>22262</v>
      </c>
      <c r="O4968" s="8">
        <f>13+5/60+36.4/3600</f>
        <v>13.093444444444446</v>
      </c>
      <c r="P4968" s="8" t="s">
        <v>22325</v>
      </c>
      <c r="Q4968" s="8">
        <f>+(53+33/60+52/3600)</f>
        <v>53.56444444444444</v>
      </c>
      <c r="R4968" s="8">
        <v>14.2</v>
      </c>
      <c r="S4968" s="8">
        <v>15.2</v>
      </c>
      <c r="T4968" s="8">
        <v>1</v>
      </c>
      <c r="U4968" s="8">
        <v>12.5</v>
      </c>
      <c r="V4968" s="8">
        <v>0.5</v>
      </c>
      <c r="W4968" s="8">
        <v>0.4</v>
      </c>
      <c r="X4968" s="8">
        <v>139</v>
      </c>
      <c r="Y4968" s="8" t="s">
        <v>22326</v>
      </c>
      <c r="Z4968" s="8" t="s">
        <v>22327</v>
      </c>
    </row>
    <row r="4969" spans="1:26" x14ac:dyDescent="0.2">
      <c r="A4969" s="8">
        <v>4968</v>
      </c>
      <c r="B4969" s="8" t="s">
        <v>22328</v>
      </c>
      <c r="C4969" s="8" t="s">
        <v>22328</v>
      </c>
      <c r="F4969" s="47"/>
      <c r="G4969" s="8">
        <v>16</v>
      </c>
      <c r="H4969" s="8" t="s">
        <v>21</v>
      </c>
      <c r="I4969" s="8" t="s">
        <v>22</v>
      </c>
      <c r="J4969" s="8" t="s">
        <v>22</v>
      </c>
      <c r="K4969" s="8" t="s">
        <v>224</v>
      </c>
      <c r="L4969" s="8" t="s">
        <v>11765</v>
      </c>
      <c r="M4969" s="8" t="s">
        <v>11766</v>
      </c>
      <c r="N4969" s="8" t="s">
        <v>22329</v>
      </c>
      <c r="O4969" s="8">
        <f>13+7/60+6/3600</f>
        <v>13.118333333333334</v>
      </c>
      <c r="P4969" s="8" t="s">
        <v>22330</v>
      </c>
      <c r="Q4969" s="8">
        <f>-(23+40/60+37/3600)</f>
        <v>-23.676944444444445</v>
      </c>
      <c r="R4969" s="8">
        <v>12.8</v>
      </c>
      <c r="S4969" s="8">
        <v>13.8</v>
      </c>
      <c r="T4969" s="8">
        <v>1</v>
      </c>
      <c r="U4969" s="8">
        <v>13.2</v>
      </c>
      <c r="V4969" s="8">
        <v>1.9</v>
      </c>
      <c r="W4969" s="8">
        <v>0.9</v>
      </c>
      <c r="X4969" s="8">
        <v>56</v>
      </c>
      <c r="Y4969" s="8" t="s">
        <v>22331</v>
      </c>
      <c r="Z4969" s="8" t="s">
        <v>22332</v>
      </c>
    </row>
    <row r="4970" spans="1:26" x14ac:dyDescent="0.2">
      <c r="A4970" s="8">
        <v>4969</v>
      </c>
      <c r="B4970" s="8" t="s">
        <v>22333</v>
      </c>
      <c r="C4970" s="8" t="s">
        <v>22333</v>
      </c>
      <c r="E4970" s="8">
        <v>1</v>
      </c>
      <c r="F4970" s="47"/>
      <c r="G4970" s="8">
        <v>19</v>
      </c>
      <c r="H4970" s="8" t="s">
        <v>21</v>
      </c>
      <c r="I4970" s="8" t="s">
        <v>22</v>
      </c>
      <c r="J4970" s="8" t="s">
        <v>22</v>
      </c>
      <c r="K4970" s="8" t="s">
        <v>58</v>
      </c>
      <c r="L4970" s="8" t="s">
        <v>17287</v>
      </c>
      <c r="M4970" s="8" t="s">
        <v>17288</v>
      </c>
      <c r="N4970" s="8" t="s">
        <v>22334</v>
      </c>
      <c r="O4970" s="8">
        <f>13+7/60+2.4/3600</f>
        <v>13.117333333333335</v>
      </c>
      <c r="P4970" s="8" t="s">
        <v>22335</v>
      </c>
      <c r="Q4970" s="8">
        <f>+(13+38/60+12/3600)</f>
        <v>13.636666666666667</v>
      </c>
      <c r="R4970" s="8">
        <v>13.9</v>
      </c>
      <c r="S4970" s="8">
        <v>14.9</v>
      </c>
      <c r="T4970" s="8">
        <v>1</v>
      </c>
      <c r="U4970" s="8">
        <v>13</v>
      </c>
      <c r="V4970" s="8">
        <v>0.7</v>
      </c>
      <c r="W4970" s="8">
        <v>0.6</v>
      </c>
      <c r="X4970" s="8">
        <v>96</v>
      </c>
      <c r="Y4970" s="8" t="s">
        <v>4937</v>
      </c>
      <c r="Z4970" s="8" t="s">
        <v>4938</v>
      </c>
    </row>
    <row r="4971" spans="1:26" x14ac:dyDescent="0.2">
      <c r="A4971" s="8">
        <v>4970</v>
      </c>
      <c r="B4971" s="8" t="s">
        <v>22336</v>
      </c>
      <c r="C4971" s="8" t="s">
        <v>22336</v>
      </c>
      <c r="F4971" s="47" t="s">
        <v>57664</v>
      </c>
      <c r="G4971" s="8">
        <v>15</v>
      </c>
      <c r="H4971" s="8" t="s">
        <v>21</v>
      </c>
      <c r="I4971" s="8" t="s">
        <v>22</v>
      </c>
      <c r="J4971" s="8" t="s">
        <v>22</v>
      </c>
      <c r="K4971" s="8" t="s">
        <v>37</v>
      </c>
      <c r="L4971" s="8" t="s">
        <v>11765</v>
      </c>
      <c r="M4971" s="8" t="s">
        <v>11766</v>
      </c>
      <c r="N4971" s="8" t="s">
        <v>22337</v>
      </c>
      <c r="O4971" s="8">
        <f>13+7/60+33.6/3600</f>
        <v>13.126000000000001</v>
      </c>
      <c r="P4971" s="8" t="s">
        <v>22338</v>
      </c>
      <c r="Q4971" s="8">
        <f>-(24+0/60+32/3600)</f>
        <v>-24.00888888888889</v>
      </c>
      <c r="R4971" s="8">
        <v>12.2</v>
      </c>
      <c r="S4971" s="8">
        <v>13.2</v>
      </c>
      <c r="T4971" s="8">
        <v>1</v>
      </c>
      <c r="U4971" s="8">
        <v>12.7</v>
      </c>
      <c r="V4971" s="8">
        <v>1.8</v>
      </c>
      <c r="W4971" s="8">
        <v>1</v>
      </c>
      <c r="X4971" s="8">
        <v>140</v>
      </c>
      <c r="Y4971" s="8" t="s">
        <v>5496</v>
      </c>
      <c r="Z4971" s="8" t="s">
        <v>5497</v>
      </c>
    </row>
    <row r="4972" spans="1:26" x14ac:dyDescent="0.2">
      <c r="A4972" s="8">
        <v>4971</v>
      </c>
      <c r="B4972" s="8" t="s">
        <v>22339</v>
      </c>
      <c r="C4972" s="8" t="s">
        <v>22339</v>
      </c>
      <c r="F4972" s="47"/>
      <c r="G4972" s="8">
        <v>18</v>
      </c>
      <c r="H4972" s="8" t="s">
        <v>21</v>
      </c>
      <c r="I4972" s="8" t="s">
        <v>22</v>
      </c>
      <c r="J4972" s="8" t="s">
        <v>22</v>
      </c>
      <c r="K4972" s="8" t="s">
        <v>224</v>
      </c>
      <c r="L4972" s="8" t="s">
        <v>18289</v>
      </c>
      <c r="M4972" s="8" t="s">
        <v>18290</v>
      </c>
      <c r="N4972" s="8" t="s">
        <v>22340</v>
      </c>
      <c r="O4972" s="8">
        <f>13+6/60+54.9/3600</f>
        <v>13.11525</v>
      </c>
      <c r="P4972" s="8" t="s">
        <v>22341</v>
      </c>
      <c r="Q4972" s="8">
        <f>+(28+32/60+55/3600)</f>
        <v>28.548611111111114</v>
      </c>
      <c r="R4972" s="8">
        <v>13.5</v>
      </c>
      <c r="S4972" s="8">
        <v>14.5</v>
      </c>
      <c r="T4972" s="8">
        <v>1</v>
      </c>
      <c r="U4972" s="8">
        <v>13.4</v>
      </c>
      <c r="V4972" s="8">
        <v>1</v>
      </c>
      <c r="W4972" s="8">
        <v>1</v>
      </c>
      <c r="Y4972" s="8" t="s">
        <v>21</v>
      </c>
      <c r="Z4972" s="8" t="s">
        <v>22342</v>
      </c>
    </row>
    <row r="4973" spans="1:26" x14ac:dyDescent="0.2">
      <c r="A4973" s="8">
        <v>4972</v>
      </c>
      <c r="B4973" s="8" t="s">
        <v>22343</v>
      </c>
      <c r="C4973" s="8" t="s">
        <v>22343</v>
      </c>
      <c r="F4973" s="47" t="s">
        <v>57665</v>
      </c>
      <c r="G4973" s="8">
        <v>15</v>
      </c>
      <c r="H4973" s="8" t="s">
        <v>21</v>
      </c>
      <c r="I4973" s="8" t="s">
        <v>22</v>
      </c>
      <c r="J4973" s="8" t="s">
        <v>22</v>
      </c>
      <c r="K4973" s="8" t="s">
        <v>37</v>
      </c>
      <c r="L4973" s="8" t="s">
        <v>13395</v>
      </c>
      <c r="M4973" s="8" t="s">
        <v>13396</v>
      </c>
      <c r="N4973" s="8" t="s">
        <v>22280</v>
      </c>
      <c r="O4973" s="8">
        <f>13+2/60+19.3/3600</f>
        <v>13.038694444444443</v>
      </c>
      <c r="P4973" s="8" t="s">
        <v>22281</v>
      </c>
      <c r="Q4973" s="8">
        <f>+(75+24/60+17/3600)</f>
        <v>75.404722222222233</v>
      </c>
      <c r="R4973" s="8">
        <v>13.2</v>
      </c>
      <c r="S4973" s="8">
        <v>14.2</v>
      </c>
      <c r="T4973" s="8">
        <v>1</v>
      </c>
      <c r="U4973" s="8">
        <v>12.3</v>
      </c>
      <c r="V4973" s="8">
        <v>0.8</v>
      </c>
      <c r="W4973" s="8">
        <v>0.6</v>
      </c>
      <c r="X4973" s="8">
        <v>62</v>
      </c>
      <c r="Y4973" s="8" t="s">
        <v>21786</v>
      </c>
      <c r="Z4973" s="8" t="s">
        <v>21787</v>
      </c>
    </row>
    <row r="4974" spans="1:26" x14ac:dyDescent="0.2">
      <c r="A4974" s="8">
        <v>4973</v>
      </c>
      <c r="B4974" s="8" t="s">
        <v>22344</v>
      </c>
      <c r="C4974" s="8" t="s">
        <v>22344</v>
      </c>
      <c r="F4974" s="47" t="s">
        <v>57666</v>
      </c>
      <c r="G4974" s="8">
        <v>15</v>
      </c>
      <c r="H4974" s="8" t="s">
        <v>21</v>
      </c>
      <c r="I4974" s="8" t="s">
        <v>22</v>
      </c>
      <c r="J4974" s="8" t="s">
        <v>22</v>
      </c>
      <c r="K4974" s="8" t="s">
        <v>460</v>
      </c>
      <c r="L4974" s="8" t="s">
        <v>12015</v>
      </c>
      <c r="M4974" s="8" t="s">
        <v>12016</v>
      </c>
      <c r="N4974" s="8" t="s">
        <v>22345</v>
      </c>
      <c r="O4974" s="8">
        <f>13+5/60+32.1/3600</f>
        <v>13.09225</v>
      </c>
      <c r="P4974" s="8" t="s">
        <v>22346</v>
      </c>
      <c r="Q4974" s="8">
        <f>+(53+41/60+8/3600)</f>
        <v>53.685555555555553</v>
      </c>
      <c r="R4974" s="8">
        <v>13.9</v>
      </c>
      <c r="S4974" s="8">
        <v>14.9</v>
      </c>
      <c r="T4974" s="8">
        <v>1</v>
      </c>
      <c r="U4974" s="8">
        <v>13.2</v>
      </c>
      <c r="V4974" s="8">
        <v>0.7</v>
      </c>
      <c r="W4974" s="8">
        <v>0.7</v>
      </c>
      <c r="Y4974" s="8" t="s">
        <v>1511</v>
      </c>
      <c r="Z4974" s="8" t="s">
        <v>1512</v>
      </c>
    </row>
    <row r="4975" spans="1:26" x14ac:dyDescent="0.2">
      <c r="A4975" s="8">
        <v>4974</v>
      </c>
      <c r="B4975" s="8" t="s">
        <v>22347</v>
      </c>
      <c r="C4975" s="8" t="s">
        <v>22347</v>
      </c>
      <c r="F4975" s="47" t="s">
        <v>57667</v>
      </c>
      <c r="G4975" s="8">
        <v>15</v>
      </c>
      <c r="H4975" s="8" t="s">
        <v>21</v>
      </c>
      <c r="I4975" s="8" t="s">
        <v>22</v>
      </c>
      <c r="J4975" s="8" t="s">
        <v>22</v>
      </c>
      <c r="K4975" s="8" t="s">
        <v>37</v>
      </c>
      <c r="L4975" s="8" t="s">
        <v>12015</v>
      </c>
      <c r="M4975" s="8" t="s">
        <v>12016</v>
      </c>
      <c r="N4975" s="8" t="s">
        <v>22348</v>
      </c>
      <c r="O4975" s="8">
        <f>13+5/60+55.9/3600</f>
        <v>13.098861111111111</v>
      </c>
      <c r="P4975" s="8" t="s">
        <v>22349</v>
      </c>
      <c r="Q4975" s="8">
        <f>+(53+39/60+33/3600)</f>
        <v>53.659166666666664</v>
      </c>
      <c r="R4975" s="8">
        <v>13.2</v>
      </c>
      <c r="S4975" s="8">
        <v>14.2</v>
      </c>
      <c r="T4975" s="8">
        <v>1</v>
      </c>
      <c r="U4975" s="8">
        <v>13.6</v>
      </c>
      <c r="V4975" s="8">
        <v>1.4</v>
      </c>
      <c r="W4975" s="8">
        <v>1.2</v>
      </c>
      <c r="X4975" s="8">
        <v>129</v>
      </c>
      <c r="Y4975" s="8" t="s">
        <v>1511</v>
      </c>
      <c r="Z4975" s="8" t="s">
        <v>1512</v>
      </c>
    </row>
    <row r="4976" spans="1:26" x14ac:dyDescent="0.2">
      <c r="A4976" s="8">
        <v>4975</v>
      </c>
      <c r="B4976" s="8" t="s">
        <v>22350</v>
      </c>
      <c r="C4976" s="8" t="s">
        <v>22350</v>
      </c>
      <c r="F4976" s="47"/>
      <c r="G4976" s="8">
        <v>16</v>
      </c>
      <c r="H4976" s="8" t="s">
        <v>21</v>
      </c>
      <c r="I4976" s="8" t="s">
        <v>22</v>
      </c>
      <c r="J4976" s="8" t="s">
        <v>22</v>
      </c>
      <c r="K4976" s="8" t="s">
        <v>37</v>
      </c>
      <c r="L4976" s="8" t="s">
        <v>17287</v>
      </c>
      <c r="M4976" s="8" t="s">
        <v>17288</v>
      </c>
      <c r="N4976" s="8" t="s">
        <v>22351</v>
      </c>
      <c r="O4976" s="8">
        <f>13+7/60+50.3/3600</f>
        <v>13.130638888888889</v>
      </c>
      <c r="P4976" s="8" t="s">
        <v>22352</v>
      </c>
      <c r="Q4976" s="8">
        <f>-(5+1/60+3/3600)</f>
        <v>-5.0175000000000001</v>
      </c>
      <c r="R4976" s="8">
        <v>13.9</v>
      </c>
      <c r="S4976" s="8">
        <v>14.9</v>
      </c>
      <c r="T4976" s="8">
        <v>1</v>
      </c>
      <c r="U4976" s="8">
        <v>13.5</v>
      </c>
      <c r="V4976" s="8">
        <v>1.1000000000000001</v>
      </c>
      <c r="W4976" s="8">
        <v>0.7</v>
      </c>
      <c r="X4976" s="8">
        <v>46</v>
      </c>
      <c r="Y4976" s="8" t="s">
        <v>18435</v>
      </c>
      <c r="Z4976" s="8" t="s">
        <v>18436</v>
      </c>
    </row>
    <row r="4977" spans="1:26" x14ac:dyDescent="0.2">
      <c r="A4977" s="8">
        <v>4976</v>
      </c>
      <c r="B4977" s="8" t="s">
        <v>22353</v>
      </c>
      <c r="C4977" s="8" t="s">
        <v>22353</v>
      </c>
      <c r="F4977" s="47"/>
      <c r="G4977" s="8">
        <v>3</v>
      </c>
      <c r="H4977" s="8" t="s">
        <v>21</v>
      </c>
      <c r="I4977" s="8" t="s">
        <v>22</v>
      </c>
      <c r="J4977" s="8" t="s">
        <v>22</v>
      </c>
      <c r="K4977" s="8" t="s">
        <v>50</v>
      </c>
      <c r="L4977" s="8" t="s">
        <v>16195</v>
      </c>
      <c r="M4977" s="8" t="s">
        <v>16196</v>
      </c>
      <c r="N4977" s="8" t="s">
        <v>22354</v>
      </c>
      <c r="O4977" s="8">
        <f>13+8/60+37.4/3600</f>
        <v>13.143722222222221</v>
      </c>
      <c r="P4977" s="8" t="s">
        <v>22355</v>
      </c>
      <c r="Q4977" s="8">
        <f>-(49+30/60+21/3600)</f>
        <v>-49.505833333333335</v>
      </c>
      <c r="R4977" s="8">
        <v>10</v>
      </c>
      <c r="S4977" s="8">
        <v>11</v>
      </c>
      <c r="T4977" s="8">
        <v>1</v>
      </c>
      <c r="U4977" s="8">
        <v>13.1</v>
      </c>
      <c r="V4977" s="8">
        <v>5.6</v>
      </c>
      <c r="W4977" s="8">
        <v>3</v>
      </c>
      <c r="X4977" s="8">
        <v>161</v>
      </c>
      <c r="Y4977" s="8" t="s">
        <v>22356</v>
      </c>
      <c r="Z4977" s="8" t="s">
        <v>22357</v>
      </c>
    </row>
    <row r="4978" spans="1:26" x14ac:dyDescent="0.2">
      <c r="A4978" s="8">
        <v>4977</v>
      </c>
      <c r="B4978" s="8" t="s">
        <v>22358</v>
      </c>
      <c r="C4978" s="8" t="s">
        <v>22358</v>
      </c>
      <c r="F4978" s="47" t="s">
        <v>57668</v>
      </c>
      <c r="G4978" s="8">
        <v>15</v>
      </c>
      <c r="H4978" s="8" t="s">
        <v>21</v>
      </c>
      <c r="I4978" s="8" t="s">
        <v>22</v>
      </c>
      <c r="J4978" s="8" t="s">
        <v>22</v>
      </c>
      <c r="K4978" s="8" t="s">
        <v>23</v>
      </c>
      <c r="L4978" s="8" t="s">
        <v>12015</v>
      </c>
      <c r="M4978" s="8" t="s">
        <v>12016</v>
      </c>
      <c r="N4978" s="8" t="s">
        <v>22359</v>
      </c>
      <c r="O4978" s="8">
        <f>13+6/60+4.4/3600</f>
        <v>13.101222222222221</v>
      </c>
      <c r="P4978" s="8" t="s">
        <v>22360</v>
      </c>
      <c r="Q4978" s="8">
        <f>+(55+39/60+24/3600)</f>
        <v>55.656666666666666</v>
      </c>
      <c r="R4978" s="8">
        <v>13.8</v>
      </c>
      <c r="S4978" s="8">
        <v>14.6</v>
      </c>
      <c r="T4978" s="8">
        <v>0.8</v>
      </c>
      <c r="U4978" s="8">
        <v>15.2</v>
      </c>
      <c r="V4978" s="8">
        <v>2</v>
      </c>
      <c r="W4978" s="8">
        <v>2</v>
      </c>
      <c r="Y4978" s="8" t="s">
        <v>22163</v>
      </c>
      <c r="Z4978" s="8" t="s">
        <v>22164</v>
      </c>
    </row>
    <row r="4979" spans="1:26" x14ac:dyDescent="0.2">
      <c r="A4979" s="8">
        <v>4978</v>
      </c>
      <c r="B4979" s="8" t="s">
        <v>22361</v>
      </c>
      <c r="C4979" s="8" t="s">
        <v>22361</v>
      </c>
      <c r="F4979" s="47"/>
      <c r="G4979" s="8">
        <v>16</v>
      </c>
      <c r="H4979" s="8" t="s">
        <v>21</v>
      </c>
      <c r="I4979" s="8" t="s">
        <v>22</v>
      </c>
      <c r="J4979" s="8" t="s">
        <v>22</v>
      </c>
      <c r="K4979" s="8" t="s">
        <v>632</v>
      </c>
      <c r="L4979" s="8" t="s">
        <v>18289</v>
      </c>
      <c r="M4979" s="8" t="s">
        <v>18290</v>
      </c>
      <c r="N4979" s="8" t="s">
        <v>22362</v>
      </c>
      <c r="O4979" s="8">
        <f>13+7/60+50.4/3600</f>
        <v>13.130666666666666</v>
      </c>
      <c r="P4979" s="8" t="s">
        <v>22363</v>
      </c>
      <c r="Q4979" s="8">
        <f>+(18+24/60+58/3600)</f>
        <v>18.41611111111111</v>
      </c>
      <c r="R4979" s="8">
        <v>13.1</v>
      </c>
      <c r="S4979" s="8">
        <v>14</v>
      </c>
      <c r="T4979" s="8">
        <v>0.9</v>
      </c>
      <c r="U4979" s="8">
        <v>13.2</v>
      </c>
      <c r="V4979" s="8">
        <v>1.5</v>
      </c>
      <c r="W4979" s="8">
        <v>0.8</v>
      </c>
      <c r="X4979" s="8">
        <v>142</v>
      </c>
      <c r="Y4979" s="8" t="s">
        <v>22364</v>
      </c>
      <c r="Z4979" s="8" t="s">
        <v>22365</v>
      </c>
    </row>
    <row r="4980" spans="1:26" x14ac:dyDescent="0.2">
      <c r="A4980" s="8">
        <v>4979</v>
      </c>
      <c r="B4980" s="8" t="s">
        <v>22366</v>
      </c>
      <c r="C4980" s="8" t="s">
        <v>22366</v>
      </c>
      <c r="F4980" s="47" t="s">
        <v>57669</v>
      </c>
      <c r="G4980" s="8">
        <v>15</v>
      </c>
      <c r="H4980" s="8" t="s">
        <v>21</v>
      </c>
      <c r="I4980" s="8" t="s">
        <v>22</v>
      </c>
      <c r="J4980" s="8" t="s">
        <v>22</v>
      </c>
      <c r="K4980" s="8" t="s">
        <v>1445</v>
      </c>
      <c r="L4980" s="8" t="s">
        <v>18289</v>
      </c>
      <c r="M4980" s="8" t="s">
        <v>18290</v>
      </c>
      <c r="N4980" s="8" t="s">
        <v>22367</v>
      </c>
      <c r="O4980" s="8">
        <f>13+7/60+42.8/3600</f>
        <v>13.128555555555556</v>
      </c>
      <c r="P4980" s="8" t="s">
        <v>22368</v>
      </c>
      <c r="Q4980" s="8">
        <f>+(24+48/60+40/3600)</f>
        <v>24.811111111111114</v>
      </c>
      <c r="R4980" s="8">
        <v>13.9</v>
      </c>
      <c r="S4980" s="8">
        <v>14.7</v>
      </c>
      <c r="T4980" s="8">
        <v>0.8</v>
      </c>
      <c r="U4980" s="8">
        <v>13.4</v>
      </c>
      <c r="V4980" s="8">
        <v>1</v>
      </c>
      <c r="W4980" s="8">
        <v>0.7</v>
      </c>
      <c r="X4980" s="8">
        <v>100</v>
      </c>
      <c r="Y4980" s="8" t="s">
        <v>9777</v>
      </c>
      <c r="Z4980" s="8" t="s">
        <v>9778</v>
      </c>
    </row>
    <row r="4981" spans="1:26" x14ac:dyDescent="0.2">
      <c r="A4981" s="8">
        <v>4980</v>
      </c>
      <c r="B4981" s="8" t="s">
        <v>22369</v>
      </c>
      <c r="C4981" s="8" t="s">
        <v>22369</v>
      </c>
      <c r="F4981" s="47"/>
      <c r="G4981" s="8">
        <v>16</v>
      </c>
      <c r="H4981" s="8" t="s">
        <v>21</v>
      </c>
      <c r="I4981" s="8" t="s">
        <v>22</v>
      </c>
      <c r="J4981" s="8" t="s">
        <v>22</v>
      </c>
      <c r="K4981" s="8" t="s">
        <v>154</v>
      </c>
      <c r="L4981" s="8" t="s">
        <v>11765</v>
      </c>
      <c r="M4981" s="8" t="s">
        <v>11766</v>
      </c>
      <c r="N4981" s="8" t="s">
        <v>22370</v>
      </c>
      <c r="O4981" s="8">
        <f>13+9/60+10.1/3600</f>
        <v>13.152805555555556</v>
      </c>
      <c r="P4981" s="8" t="s">
        <v>22371</v>
      </c>
      <c r="Q4981" s="8">
        <f>-(28+38/60+30/3600)</f>
        <v>-28.641666666666666</v>
      </c>
      <c r="R4981" s="8">
        <v>12.9</v>
      </c>
      <c r="S4981" s="8">
        <v>13.8</v>
      </c>
      <c r="T4981" s="8">
        <v>0.9</v>
      </c>
      <c r="U4981" s="8">
        <v>13.1</v>
      </c>
      <c r="V4981" s="8">
        <v>1.6</v>
      </c>
      <c r="W4981" s="8">
        <v>0.7</v>
      </c>
      <c r="X4981" s="8">
        <v>168</v>
      </c>
      <c r="Y4981" s="8" t="s">
        <v>9253</v>
      </c>
      <c r="Z4981" s="8" t="s">
        <v>9254</v>
      </c>
    </row>
    <row r="4982" spans="1:26" x14ac:dyDescent="0.2">
      <c r="A4982" s="8">
        <v>4981</v>
      </c>
      <c r="B4982" s="8" t="s">
        <v>22372</v>
      </c>
      <c r="C4982" s="8" t="s">
        <v>22372</v>
      </c>
      <c r="F4982" s="47" t="s">
        <v>57670</v>
      </c>
      <c r="G4982" s="8">
        <v>6.5</v>
      </c>
      <c r="H4982" s="8" t="s">
        <v>21</v>
      </c>
      <c r="I4982" s="8" t="s">
        <v>22</v>
      </c>
      <c r="J4982" s="8" t="s">
        <v>22</v>
      </c>
      <c r="K4982" s="8" t="s">
        <v>85</v>
      </c>
      <c r="L4982" s="8" t="s">
        <v>17287</v>
      </c>
      <c r="M4982" s="8" t="s">
        <v>17288</v>
      </c>
      <c r="N4982" s="8" t="s">
        <v>22373</v>
      </c>
      <c r="O4982" s="8">
        <f>13+8/60+48.7/3600</f>
        <v>13.146861111111111</v>
      </c>
      <c r="P4982" s="8" t="s">
        <v>22374</v>
      </c>
      <c r="Q4982" s="8">
        <f>-(6+46/60+39/3600)</f>
        <v>-6.7774999999999999</v>
      </c>
      <c r="R4982" s="8">
        <v>11.3</v>
      </c>
      <c r="S4982" s="8">
        <v>12.1</v>
      </c>
      <c r="T4982" s="8">
        <v>0.8</v>
      </c>
      <c r="U4982" s="8">
        <v>12.9</v>
      </c>
      <c r="V4982" s="8">
        <v>2.8</v>
      </c>
      <c r="W4982" s="8">
        <v>1.9</v>
      </c>
      <c r="X4982" s="8">
        <v>159</v>
      </c>
      <c r="Y4982" s="8" t="s">
        <v>21</v>
      </c>
      <c r="Z4982" s="8" t="s">
        <v>22375</v>
      </c>
    </row>
    <row r="4983" spans="1:26" x14ac:dyDescent="0.2">
      <c r="A4983" s="8">
        <v>4982</v>
      </c>
      <c r="B4983" s="8" t="s">
        <v>22376</v>
      </c>
      <c r="C4983" s="8" t="s">
        <v>22376</v>
      </c>
      <c r="F4983" s="47"/>
      <c r="G4983" s="8">
        <v>19</v>
      </c>
      <c r="H4983" s="8" t="s">
        <v>21</v>
      </c>
      <c r="I4983" s="8" t="s">
        <v>72</v>
      </c>
      <c r="J4983" s="8" t="s">
        <v>72</v>
      </c>
      <c r="K4983" s="8" t="s">
        <v>5802</v>
      </c>
      <c r="L4983" s="8" t="s">
        <v>17287</v>
      </c>
      <c r="M4983" s="8" t="s">
        <v>17288</v>
      </c>
      <c r="N4983" s="8" t="s">
        <v>22377</v>
      </c>
      <c r="O4983" s="8">
        <f>13+8/60+46.1/3600</f>
        <v>13.146138888888888</v>
      </c>
      <c r="P4983" s="8" t="s">
        <v>22378</v>
      </c>
      <c r="Q4983" s="8">
        <f>-(10+35/60+17/3600)</f>
        <v>-10.588055555555556</v>
      </c>
      <c r="R4983" s="8">
        <v>99</v>
      </c>
      <c r="S4983" s="8">
        <v>99</v>
      </c>
      <c r="T4983" s="8">
        <v>99</v>
      </c>
      <c r="U4983" s="8">
        <v>99</v>
      </c>
      <c r="Y4983" s="8" t="s">
        <v>1511</v>
      </c>
      <c r="Z4983" s="8" t="s">
        <v>1512</v>
      </c>
    </row>
    <row r="4984" spans="1:26" x14ac:dyDescent="0.2">
      <c r="A4984" s="8">
        <v>4983</v>
      </c>
      <c r="B4984" s="8" t="s">
        <v>22379</v>
      </c>
      <c r="C4984" s="8" t="s">
        <v>22379</v>
      </c>
      <c r="F4984" s="47" t="s">
        <v>57671</v>
      </c>
      <c r="G4984" s="8">
        <v>15</v>
      </c>
      <c r="H4984" s="8" t="s">
        <v>21</v>
      </c>
      <c r="I4984" s="8" t="s">
        <v>22</v>
      </c>
      <c r="J4984" s="8" t="s">
        <v>22</v>
      </c>
      <c r="K4984" s="8" t="s">
        <v>435</v>
      </c>
      <c r="L4984" s="8" t="s">
        <v>18289</v>
      </c>
      <c r="M4984" s="8" t="s">
        <v>18290</v>
      </c>
      <c r="N4984" s="8" t="s">
        <v>22380</v>
      </c>
      <c r="O4984" s="8">
        <f>13+8/60+27.4/3600</f>
        <v>13.140944444444443</v>
      </c>
      <c r="P4984" s="8" t="s">
        <v>22381</v>
      </c>
      <c r="Q4984" s="8">
        <f>+(28+19/60+15/3600)</f>
        <v>28.320833333333333</v>
      </c>
      <c r="R4984" s="8">
        <v>14</v>
      </c>
      <c r="S4984" s="8">
        <v>14.9</v>
      </c>
      <c r="T4984" s="8">
        <v>0.9</v>
      </c>
      <c r="U4984" s="8">
        <v>13.5</v>
      </c>
      <c r="V4984" s="8">
        <v>1.1000000000000001</v>
      </c>
      <c r="W4984" s="8">
        <v>0.7</v>
      </c>
      <c r="X4984" s="8">
        <v>123</v>
      </c>
      <c r="Y4984" s="8" t="s">
        <v>297</v>
      </c>
      <c r="Z4984" s="8" t="s">
        <v>298</v>
      </c>
    </row>
    <row r="4985" spans="1:26" x14ac:dyDescent="0.2">
      <c r="A4985" s="8">
        <v>4984</v>
      </c>
      <c r="B4985" s="8" t="s">
        <v>22382</v>
      </c>
      <c r="C4985" s="8" t="s">
        <v>22382</v>
      </c>
      <c r="F4985" s="47" t="s">
        <v>57672</v>
      </c>
      <c r="G4985" s="8">
        <v>6.5</v>
      </c>
      <c r="H4985" s="8" t="s">
        <v>21</v>
      </c>
      <c r="I4985" s="8" t="s">
        <v>22</v>
      </c>
      <c r="J4985" s="8" t="s">
        <v>22</v>
      </c>
      <c r="K4985" s="8" t="s">
        <v>435</v>
      </c>
      <c r="L4985" s="8" t="s">
        <v>17287</v>
      </c>
      <c r="M4985" s="8" t="s">
        <v>17288</v>
      </c>
      <c r="N4985" s="8" t="s">
        <v>22383</v>
      </c>
      <c r="O4985" s="8">
        <f>13+8/60+57.1/3600</f>
        <v>13.149194444444444</v>
      </c>
      <c r="P4985" s="8" t="s">
        <v>22384</v>
      </c>
      <c r="Q4985" s="8">
        <f>-(15+30/60+57/3600)</f>
        <v>-15.515833333333333</v>
      </c>
      <c r="R4985" s="8">
        <v>11.3</v>
      </c>
      <c r="S4985" s="8">
        <v>12.3</v>
      </c>
      <c r="T4985" s="8">
        <v>1</v>
      </c>
      <c r="U4985" s="8">
        <v>13.1</v>
      </c>
      <c r="V4985" s="8">
        <v>3.6</v>
      </c>
      <c r="W4985" s="8">
        <v>2.5</v>
      </c>
      <c r="X4985" s="8">
        <v>18</v>
      </c>
      <c r="Y4985" s="8" t="s">
        <v>22385</v>
      </c>
      <c r="Z4985" s="8" t="s">
        <v>22386</v>
      </c>
    </row>
    <row r="4986" spans="1:26" x14ac:dyDescent="0.2">
      <c r="A4986" s="8">
        <v>4985</v>
      </c>
      <c r="B4986" s="8" t="s">
        <v>22387</v>
      </c>
      <c r="C4986" s="8" t="s">
        <v>22387</v>
      </c>
      <c r="F4986" s="47" t="s">
        <v>57673</v>
      </c>
      <c r="G4986" s="8">
        <v>15</v>
      </c>
      <c r="H4986" s="8" t="s">
        <v>21</v>
      </c>
      <c r="I4986" s="8" t="s">
        <v>22</v>
      </c>
      <c r="J4986" s="8" t="s">
        <v>22</v>
      </c>
      <c r="K4986" s="8" t="s">
        <v>37</v>
      </c>
      <c r="L4986" s="8" t="s">
        <v>18681</v>
      </c>
      <c r="M4986" s="8" t="s">
        <v>18682</v>
      </c>
      <c r="N4986" s="8" t="s">
        <v>22388</v>
      </c>
      <c r="O4986" s="8">
        <f>13+8/60+12/3600</f>
        <v>13.136666666666667</v>
      </c>
      <c r="P4986" s="8" t="s">
        <v>22389</v>
      </c>
      <c r="Q4986" s="8">
        <f>+(41+40/60+37/3600)</f>
        <v>41.676944444444445</v>
      </c>
      <c r="R4986" s="8">
        <v>13.7</v>
      </c>
      <c r="S4986" s="8">
        <v>14.7</v>
      </c>
      <c r="T4986" s="8">
        <v>1</v>
      </c>
      <c r="U4986" s="8">
        <v>14</v>
      </c>
      <c r="V4986" s="8">
        <v>1.3</v>
      </c>
      <c r="W4986" s="8">
        <v>1.2</v>
      </c>
      <c r="X4986" s="8">
        <v>135</v>
      </c>
      <c r="Y4986" s="8" t="s">
        <v>3357</v>
      </c>
      <c r="Z4986" s="8" t="s">
        <v>3358</v>
      </c>
    </row>
    <row r="4987" spans="1:26" x14ac:dyDescent="0.2">
      <c r="A4987" s="8">
        <v>4986</v>
      </c>
      <c r="B4987" s="8" t="s">
        <v>22390</v>
      </c>
      <c r="C4987" s="8" t="s">
        <v>22390</v>
      </c>
      <c r="F4987" s="47" t="s">
        <v>57674</v>
      </c>
      <c r="G4987" s="8">
        <v>15</v>
      </c>
      <c r="H4987" s="8" t="s">
        <v>21</v>
      </c>
      <c r="I4987" s="8" t="s">
        <v>22</v>
      </c>
      <c r="J4987" s="8" t="s">
        <v>22</v>
      </c>
      <c r="K4987" s="8" t="s">
        <v>218</v>
      </c>
      <c r="L4987" s="8" t="s">
        <v>18681</v>
      </c>
      <c r="M4987" s="8" t="s">
        <v>18682</v>
      </c>
      <c r="N4987" s="8" t="s">
        <v>22391</v>
      </c>
      <c r="O4987" s="8">
        <f>13+8/60+24.5/3600</f>
        <v>13.140138888888888</v>
      </c>
      <c r="P4987" s="8" t="s">
        <v>22392</v>
      </c>
      <c r="Q4987" s="8">
        <f>+(35+12/60+19/3600)</f>
        <v>35.205277777777781</v>
      </c>
      <c r="R4987" s="8">
        <v>13.2</v>
      </c>
      <c r="S4987" s="8">
        <v>14</v>
      </c>
      <c r="T4987" s="8">
        <v>0.8</v>
      </c>
      <c r="U4987" s="8">
        <v>13.5</v>
      </c>
      <c r="V4987" s="8">
        <v>1.7</v>
      </c>
      <c r="W4987" s="8">
        <v>0.9</v>
      </c>
      <c r="X4987" s="8">
        <v>70</v>
      </c>
      <c r="Y4987" s="8" t="s">
        <v>22393</v>
      </c>
      <c r="Z4987" s="8" t="s">
        <v>22394</v>
      </c>
    </row>
    <row r="4988" spans="1:26" x14ac:dyDescent="0.2">
      <c r="A4988" s="8">
        <v>4987</v>
      </c>
      <c r="B4988" s="8" t="s">
        <v>22395</v>
      </c>
      <c r="C4988" s="8" t="s">
        <v>22395</v>
      </c>
      <c r="F4988" s="47"/>
      <c r="G4988" s="8">
        <v>16</v>
      </c>
      <c r="H4988" s="8" t="s">
        <v>21</v>
      </c>
      <c r="I4988" s="8" t="s">
        <v>22</v>
      </c>
      <c r="J4988" s="8" t="s">
        <v>22</v>
      </c>
      <c r="K4988" s="8" t="s">
        <v>50</v>
      </c>
      <c r="L4988" s="8" t="s">
        <v>18681</v>
      </c>
      <c r="M4988" s="8" t="s">
        <v>18682</v>
      </c>
      <c r="N4988" s="8" t="s">
        <v>22396</v>
      </c>
      <c r="O4988" s="8">
        <f>13+7/60+59/3600</f>
        <v>13.133055555555556</v>
      </c>
      <c r="P4988" s="8" t="s">
        <v>22397</v>
      </c>
      <c r="Q4988" s="8">
        <f>+(51+55/60+46/3600)</f>
        <v>51.929444444444442</v>
      </c>
      <c r="R4988" s="8">
        <v>13.4</v>
      </c>
      <c r="S4988" s="8">
        <v>14.4</v>
      </c>
      <c r="T4988" s="8">
        <v>1</v>
      </c>
      <c r="U4988" s="8">
        <v>13.3</v>
      </c>
      <c r="V4988" s="8">
        <v>1.2</v>
      </c>
      <c r="W4988" s="8">
        <v>0.7</v>
      </c>
      <c r="X4988" s="8">
        <v>35</v>
      </c>
      <c r="Y4988" s="8" t="s">
        <v>1948</v>
      </c>
      <c r="Z4988" s="8" t="s">
        <v>1949</v>
      </c>
    </row>
    <row r="4989" spans="1:26" x14ac:dyDescent="0.2">
      <c r="A4989" s="8">
        <v>4988</v>
      </c>
      <c r="B4989" s="8" t="s">
        <v>22398</v>
      </c>
      <c r="C4989" s="8" t="s">
        <v>22398</v>
      </c>
      <c r="F4989" s="47"/>
      <c r="G4989" s="8">
        <v>16</v>
      </c>
      <c r="H4989" s="8" t="s">
        <v>21</v>
      </c>
      <c r="I4989" s="8" t="s">
        <v>22</v>
      </c>
      <c r="J4989" s="8" t="s">
        <v>22</v>
      </c>
      <c r="K4989" s="8" t="s">
        <v>632</v>
      </c>
      <c r="L4989" s="8" t="s">
        <v>16195</v>
      </c>
      <c r="M4989" s="8" t="s">
        <v>16196</v>
      </c>
      <c r="N4989" s="8" t="s">
        <v>22399</v>
      </c>
      <c r="O4989" s="8">
        <f>13+9/60+54.2/3600</f>
        <v>13.165055555555556</v>
      </c>
      <c r="P4989" s="8" t="s">
        <v>22400</v>
      </c>
      <c r="Q4989" s="8">
        <f>-(43+6/60+20/3600)</f>
        <v>-43.105555555555554</v>
      </c>
      <c r="R4989" s="8">
        <v>13.1</v>
      </c>
      <c r="S4989" s="8">
        <v>14</v>
      </c>
      <c r="T4989" s="8">
        <v>0.9</v>
      </c>
      <c r="U4989" s="8">
        <v>12.8</v>
      </c>
      <c r="V4989" s="8">
        <v>1.7</v>
      </c>
      <c r="W4989" s="8">
        <v>0.5</v>
      </c>
      <c r="X4989" s="8">
        <v>26</v>
      </c>
      <c r="Y4989" s="8" t="s">
        <v>17269</v>
      </c>
      <c r="Z4989" s="8" t="s">
        <v>17270</v>
      </c>
    </row>
    <row r="4990" spans="1:26" x14ac:dyDescent="0.2">
      <c r="A4990" s="8">
        <v>4989</v>
      </c>
      <c r="B4990" s="8" t="s">
        <v>22401</v>
      </c>
      <c r="C4990" s="8" t="s">
        <v>22401</v>
      </c>
      <c r="F4990" s="47" t="s">
        <v>57675</v>
      </c>
      <c r="G4990" s="8">
        <v>15</v>
      </c>
      <c r="H4990" s="8" t="s">
        <v>21</v>
      </c>
      <c r="I4990" s="8" t="s">
        <v>22</v>
      </c>
      <c r="J4990" s="8" t="s">
        <v>22</v>
      </c>
      <c r="K4990" s="8" t="s">
        <v>37</v>
      </c>
      <c r="L4990" s="8" t="s">
        <v>17287</v>
      </c>
      <c r="M4990" s="8" t="s">
        <v>17288</v>
      </c>
      <c r="N4990" s="8" t="s">
        <v>22402</v>
      </c>
      <c r="O4990" s="8">
        <f>13+9/60+16/3600</f>
        <v>13.154444444444445</v>
      </c>
      <c r="P4990" s="8" t="s">
        <v>22403</v>
      </c>
      <c r="Q4990" s="8">
        <f>-(5+23/60+47/3600)</f>
        <v>-5.3963888888888896</v>
      </c>
      <c r="R4990" s="8">
        <v>13.3</v>
      </c>
      <c r="S4990" s="8">
        <v>14.3</v>
      </c>
      <c r="T4990" s="8">
        <v>1</v>
      </c>
      <c r="U4990" s="8">
        <v>13.6</v>
      </c>
      <c r="V4990" s="8">
        <v>1.6</v>
      </c>
      <c r="W4990" s="8">
        <v>0.9</v>
      </c>
      <c r="X4990" s="8">
        <v>171</v>
      </c>
      <c r="Y4990" s="8" t="s">
        <v>21</v>
      </c>
      <c r="Z4990" s="8" t="s">
        <v>22404</v>
      </c>
    </row>
    <row r="4991" spans="1:26" x14ac:dyDescent="0.2">
      <c r="A4991" s="8">
        <v>4990</v>
      </c>
      <c r="B4991" s="8" t="s">
        <v>22405</v>
      </c>
      <c r="C4991" s="8" t="s">
        <v>22405</v>
      </c>
      <c r="F4991" s="47"/>
      <c r="G4991" s="8">
        <v>14</v>
      </c>
      <c r="H4991" s="8" t="s">
        <v>20308</v>
      </c>
      <c r="I4991" s="8" t="s">
        <v>22</v>
      </c>
      <c r="J4991" s="8" t="s">
        <v>22</v>
      </c>
      <c r="K4991" s="8" t="s">
        <v>37</v>
      </c>
      <c r="L4991" s="8" t="s">
        <v>17287</v>
      </c>
      <c r="M4991" s="8" t="s">
        <v>17288</v>
      </c>
      <c r="N4991" s="8" t="s">
        <v>22406</v>
      </c>
      <c r="O4991" s="8">
        <f>13+9/60+17.3/3600</f>
        <v>13.154805555555557</v>
      </c>
      <c r="P4991" s="8" t="s">
        <v>22407</v>
      </c>
      <c r="Q4991" s="8">
        <f>-(5+16/60+21/3600)</f>
        <v>-5.2725</v>
      </c>
      <c r="R4991" s="8">
        <v>13.9</v>
      </c>
      <c r="S4991" s="8">
        <v>14.9</v>
      </c>
      <c r="T4991" s="8">
        <v>1</v>
      </c>
      <c r="U4991" s="8">
        <v>13.5</v>
      </c>
      <c r="V4991" s="8">
        <v>1</v>
      </c>
      <c r="W4991" s="8">
        <v>0.8</v>
      </c>
      <c r="X4991" s="8">
        <v>55</v>
      </c>
      <c r="Y4991" s="8" t="s">
        <v>282</v>
      </c>
      <c r="Z4991" s="8" t="s">
        <v>283</v>
      </c>
    </row>
    <row r="4992" spans="1:26" x14ac:dyDescent="0.2">
      <c r="A4992" s="8">
        <v>4991</v>
      </c>
      <c r="B4992" s="8" t="s">
        <v>22408</v>
      </c>
      <c r="C4992" s="8" t="s">
        <v>22408</v>
      </c>
      <c r="F4992" s="47"/>
      <c r="G4992" s="8">
        <v>18</v>
      </c>
      <c r="H4992" s="8" t="s">
        <v>21</v>
      </c>
      <c r="I4992" s="8" t="s">
        <v>22</v>
      </c>
      <c r="J4992" s="8" t="s">
        <v>22</v>
      </c>
      <c r="K4992" s="8" t="s">
        <v>23</v>
      </c>
      <c r="L4992" s="8" t="s">
        <v>17287</v>
      </c>
      <c r="M4992" s="8" t="s">
        <v>17288</v>
      </c>
      <c r="N4992" s="8" t="s">
        <v>22409</v>
      </c>
      <c r="O4992" s="8">
        <f>13+9/60+15.2/3600</f>
        <v>13.154222222222222</v>
      </c>
      <c r="P4992" s="8" t="s">
        <v>22410</v>
      </c>
      <c r="Q4992" s="8">
        <f>+(2+20/60+54/3600)</f>
        <v>2.3483333333333336</v>
      </c>
      <c r="R4992" s="8">
        <v>14.7</v>
      </c>
      <c r="S4992" s="8">
        <v>15.5</v>
      </c>
      <c r="T4992" s="8">
        <v>0.8</v>
      </c>
      <c r="U4992" s="8">
        <v>13</v>
      </c>
      <c r="V4992" s="8">
        <v>0.6</v>
      </c>
      <c r="W4992" s="8">
        <v>0.4</v>
      </c>
      <c r="X4992" s="8">
        <v>90</v>
      </c>
      <c r="Y4992" s="8" t="s">
        <v>282</v>
      </c>
      <c r="Z4992" s="8" t="s">
        <v>283</v>
      </c>
    </row>
    <row r="4993" spans="1:26" x14ac:dyDescent="0.2">
      <c r="A4993" s="8">
        <v>4992</v>
      </c>
      <c r="B4993" s="8" t="s">
        <v>22411</v>
      </c>
      <c r="C4993" s="8" t="s">
        <v>22411</v>
      </c>
      <c r="F4993" s="47"/>
      <c r="G4993" s="8">
        <v>16</v>
      </c>
      <c r="H4993" s="8" t="s">
        <v>21</v>
      </c>
      <c r="I4993" s="8" t="s">
        <v>22</v>
      </c>
      <c r="J4993" s="8" t="s">
        <v>22</v>
      </c>
      <c r="K4993" s="8" t="s">
        <v>91</v>
      </c>
      <c r="L4993" s="8" t="s">
        <v>17287</v>
      </c>
      <c r="M4993" s="8" t="s">
        <v>17288</v>
      </c>
      <c r="N4993" s="8" t="s">
        <v>22412</v>
      </c>
      <c r="O4993" s="8">
        <f>13+9/60+5.7/3600</f>
        <v>13.151583333333333</v>
      </c>
      <c r="P4993" s="8" t="s">
        <v>22413</v>
      </c>
      <c r="Q4993" s="8">
        <f>+(11+38/60+3/3600)</f>
        <v>11.634166666666665</v>
      </c>
      <c r="R4993" s="8">
        <v>13.4</v>
      </c>
      <c r="S4993" s="8">
        <v>14.3</v>
      </c>
      <c r="T4993" s="8">
        <v>0.9</v>
      </c>
      <c r="U4993" s="8">
        <v>13.1</v>
      </c>
      <c r="V4993" s="8">
        <v>1.2</v>
      </c>
      <c r="W4993" s="8">
        <v>0.7</v>
      </c>
      <c r="X4993" s="8">
        <v>10</v>
      </c>
      <c r="Y4993" s="8" t="s">
        <v>22414</v>
      </c>
      <c r="Z4993" s="8" t="s">
        <v>22415</v>
      </c>
    </row>
    <row r="4994" spans="1:26" x14ac:dyDescent="0.2">
      <c r="A4994" s="8">
        <v>4993</v>
      </c>
      <c r="B4994" s="8" t="s">
        <v>22416</v>
      </c>
      <c r="C4994" s="8" t="s">
        <v>22416</v>
      </c>
      <c r="F4994" s="47" t="s">
        <v>57676</v>
      </c>
      <c r="G4994" s="8">
        <v>15</v>
      </c>
      <c r="H4994" s="8" t="s">
        <v>21</v>
      </c>
      <c r="I4994" s="8" t="s">
        <v>22</v>
      </c>
      <c r="J4994" s="8" t="s">
        <v>22</v>
      </c>
      <c r="K4994" s="8" t="s">
        <v>118</v>
      </c>
      <c r="L4994" s="8" t="s">
        <v>11765</v>
      </c>
      <c r="M4994" s="8" t="s">
        <v>11766</v>
      </c>
      <c r="N4994" s="8" t="s">
        <v>22417</v>
      </c>
      <c r="O4994" s="8">
        <f>13+9/60+47.6/3600</f>
        <v>13.163222222222222</v>
      </c>
      <c r="P4994" s="8" t="s">
        <v>22418</v>
      </c>
      <c r="Q4994" s="8">
        <f>-(23+23/60+2/3600)</f>
        <v>-23.383888888888887</v>
      </c>
      <c r="R4994" s="8">
        <v>12.4</v>
      </c>
      <c r="S4994" s="8">
        <v>13.4</v>
      </c>
      <c r="T4994" s="8">
        <v>1</v>
      </c>
      <c r="U4994" s="8">
        <v>12.9</v>
      </c>
      <c r="V4994" s="8">
        <v>1.3</v>
      </c>
      <c r="W4994" s="8">
        <v>1.1000000000000001</v>
      </c>
      <c r="X4994" s="8">
        <v>168</v>
      </c>
      <c r="Y4994" s="8" t="s">
        <v>282</v>
      </c>
      <c r="Z4994" s="8" t="s">
        <v>283</v>
      </c>
    </row>
    <row r="4995" spans="1:26" x14ac:dyDescent="0.2">
      <c r="A4995" s="8">
        <v>4994</v>
      </c>
      <c r="B4995" s="8" t="s">
        <v>22419</v>
      </c>
      <c r="C4995" s="8" t="s">
        <v>22419</v>
      </c>
      <c r="F4995" s="47"/>
      <c r="G4995" s="8">
        <v>16</v>
      </c>
      <c r="H4995" s="8" t="s">
        <v>21</v>
      </c>
      <c r="I4995" s="8" t="s">
        <v>22</v>
      </c>
      <c r="J4995" s="8" t="s">
        <v>57</v>
      </c>
      <c r="K4995" s="8" t="s">
        <v>118</v>
      </c>
      <c r="L4995" s="8" t="s">
        <v>11765</v>
      </c>
      <c r="M4995" s="8" t="s">
        <v>11766</v>
      </c>
      <c r="N4995" s="8" t="s">
        <v>22417</v>
      </c>
      <c r="O4995" s="8">
        <f>13+9/60+47.6/3600</f>
        <v>13.163222222222222</v>
      </c>
      <c r="P4995" s="8" t="s">
        <v>22418</v>
      </c>
      <c r="Q4995" s="8">
        <f>-(23+23/60+2/3600)</f>
        <v>-23.383888888888887</v>
      </c>
      <c r="R4995" s="8">
        <v>12.4</v>
      </c>
      <c r="S4995" s="8">
        <v>13.4</v>
      </c>
      <c r="T4995" s="8">
        <v>1</v>
      </c>
      <c r="U4995" s="8">
        <v>12.9</v>
      </c>
      <c r="V4995" s="8">
        <v>1.3</v>
      </c>
      <c r="W4995" s="8">
        <v>1.1000000000000001</v>
      </c>
      <c r="X4995" s="8">
        <v>168</v>
      </c>
      <c r="Y4995" s="8" t="s">
        <v>282</v>
      </c>
      <c r="Z4995" s="8" t="s">
        <v>22420</v>
      </c>
    </row>
    <row r="4996" spans="1:26" x14ac:dyDescent="0.2">
      <c r="A4996" s="8">
        <v>4995</v>
      </c>
      <c r="B4996" s="8" t="s">
        <v>22421</v>
      </c>
      <c r="C4996" s="8" t="s">
        <v>22421</v>
      </c>
      <c r="F4996" s="47" t="s">
        <v>57677</v>
      </c>
      <c r="G4996" s="8">
        <v>6</v>
      </c>
      <c r="H4996" s="8" t="s">
        <v>21</v>
      </c>
      <c r="I4996" s="8" t="s">
        <v>22</v>
      </c>
      <c r="J4996" s="8" t="s">
        <v>22</v>
      </c>
      <c r="K4996" s="8" t="s">
        <v>218</v>
      </c>
      <c r="L4996" s="8" t="s">
        <v>17287</v>
      </c>
      <c r="M4996" s="8" t="s">
        <v>17288</v>
      </c>
      <c r="N4996" s="8" t="s">
        <v>22422</v>
      </c>
      <c r="O4996" s="8">
        <f>13+9/60+40.6/3600</f>
        <v>13.161277777777778</v>
      </c>
      <c r="P4996" s="8" t="s">
        <v>22423</v>
      </c>
      <c r="Q4996" s="8">
        <f>-(7+49/60+59/3600)</f>
        <v>-7.8330555555555552</v>
      </c>
      <c r="R4996" s="8">
        <v>11.1</v>
      </c>
      <c r="S4996" s="8">
        <v>12</v>
      </c>
      <c r="T4996" s="8">
        <v>0.9</v>
      </c>
      <c r="U4996" s="8">
        <v>12.4</v>
      </c>
      <c r="V4996" s="8">
        <v>2.4</v>
      </c>
      <c r="W4996" s="8">
        <v>1.7</v>
      </c>
      <c r="X4996" s="8">
        <v>95</v>
      </c>
      <c r="Y4996" s="8" t="s">
        <v>22424</v>
      </c>
      <c r="Z4996" s="8" t="s">
        <v>22425</v>
      </c>
    </row>
    <row r="4997" spans="1:26" x14ac:dyDescent="0.2">
      <c r="A4997" s="8">
        <v>4996</v>
      </c>
      <c r="B4997" s="8" t="s">
        <v>22426</v>
      </c>
      <c r="C4997" s="8" t="s">
        <v>22426</v>
      </c>
      <c r="F4997" s="47"/>
      <c r="G4997" s="8">
        <v>18</v>
      </c>
      <c r="H4997" s="8" t="s">
        <v>21</v>
      </c>
      <c r="I4997" s="8" t="s">
        <v>22</v>
      </c>
      <c r="J4997" s="8" t="s">
        <v>22</v>
      </c>
      <c r="K4997" s="8" t="s">
        <v>435</v>
      </c>
      <c r="L4997" s="8" t="s">
        <v>17287</v>
      </c>
      <c r="M4997" s="8" t="s">
        <v>17288</v>
      </c>
      <c r="N4997" s="8" t="s">
        <v>22427</v>
      </c>
      <c r="O4997" s="8">
        <f>13+9/60+31.8/3600</f>
        <v>13.158833333333334</v>
      </c>
      <c r="P4997" s="8" t="s">
        <v>22428</v>
      </c>
      <c r="Q4997" s="8">
        <f>+(0+51/60+27/3600)</f>
        <v>0.85749999999999993</v>
      </c>
      <c r="R4997" s="8">
        <v>12.6</v>
      </c>
      <c r="S4997" s="8">
        <v>13.5</v>
      </c>
      <c r="T4997" s="8">
        <v>0.9</v>
      </c>
      <c r="U4997" s="8">
        <v>13.5</v>
      </c>
      <c r="V4997" s="8">
        <v>1.8</v>
      </c>
      <c r="W4997" s="8">
        <v>1.4</v>
      </c>
      <c r="X4997" s="8">
        <v>40</v>
      </c>
      <c r="Y4997" s="8" t="s">
        <v>121</v>
      </c>
      <c r="Z4997" s="8" t="s">
        <v>122</v>
      </c>
    </row>
    <row r="4998" spans="1:26" x14ac:dyDescent="0.2">
      <c r="A4998" s="8">
        <v>4997</v>
      </c>
      <c r="B4998" s="8" t="s">
        <v>22429</v>
      </c>
      <c r="C4998" s="8" t="s">
        <v>22429</v>
      </c>
      <c r="F4998" s="47"/>
      <c r="G4998" s="8">
        <v>19</v>
      </c>
      <c r="H4998" s="8" t="s">
        <v>21</v>
      </c>
      <c r="I4998" s="8" t="s">
        <v>22</v>
      </c>
      <c r="J4998" s="8" t="s">
        <v>22</v>
      </c>
      <c r="K4998" s="8" t="s">
        <v>58</v>
      </c>
      <c r="L4998" s="8" t="s">
        <v>17287</v>
      </c>
      <c r="M4998" s="8" t="s">
        <v>17288</v>
      </c>
      <c r="N4998" s="8" t="s">
        <v>22430</v>
      </c>
      <c r="O4998" s="8">
        <f>13+9/60+51.6/3600</f>
        <v>13.164333333333333</v>
      </c>
      <c r="P4998" s="8" t="s">
        <v>22431</v>
      </c>
      <c r="Q4998" s="8">
        <f>-(16+30/60+55/3600)</f>
        <v>-16.515277777777779</v>
      </c>
      <c r="R4998" s="8">
        <v>12.9</v>
      </c>
      <c r="S4998" s="8">
        <v>13.9</v>
      </c>
      <c r="T4998" s="8">
        <v>1</v>
      </c>
      <c r="U4998" s="8">
        <v>13.2</v>
      </c>
      <c r="V4998" s="8">
        <v>1.4</v>
      </c>
      <c r="W4998" s="8">
        <v>0.9</v>
      </c>
      <c r="X4998" s="8">
        <v>94</v>
      </c>
      <c r="Y4998" s="8" t="s">
        <v>21</v>
      </c>
      <c r="Z4998" s="8" t="s">
        <v>22432</v>
      </c>
    </row>
    <row r="4999" spans="1:26" x14ac:dyDescent="0.2">
      <c r="A4999" s="8">
        <v>4998</v>
      </c>
      <c r="B4999" s="8" t="s">
        <v>22433</v>
      </c>
      <c r="C4999" s="8" t="s">
        <v>22433</v>
      </c>
      <c r="F4999" s="47" t="s">
        <v>57678</v>
      </c>
      <c r="G4999" s="8">
        <v>15</v>
      </c>
      <c r="H4999" s="8" t="s">
        <v>21</v>
      </c>
      <c r="I4999" s="8" t="s">
        <v>22</v>
      </c>
      <c r="J4999" s="8" t="s">
        <v>22</v>
      </c>
      <c r="K4999" s="8" t="s">
        <v>160</v>
      </c>
      <c r="L4999" s="8" t="s">
        <v>18681</v>
      </c>
      <c r="M4999" s="8" t="s">
        <v>18682</v>
      </c>
      <c r="N4999" s="8" t="s">
        <v>22434</v>
      </c>
      <c r="O4999" s="8">
        <f>13+8/60+10.3/3600</f>
        <v>13.136194444444444</v>
      </c>
      <c r="P4999" s="8" t="s">
        <v>22435</v>
      </c>
      <c r="Q4999" s="8">
        <f>+(50+39/60+52/3600)</f>
        <v>50.664444444444442</v>
      </c>
      <c r="R4999" s="8">
        <v>14.5</v>
      </c>
      <c r="S4999" s="8">
        <v>15.2</v>
      </c>
      <c r="T4999" s="8">
        <v>0.7</v>
      </c>
      <c r="U4999" s="8">
        <v>14</v>
      </c>
      <c r="V4999" s="8">
        <v>0.9</v>
      </c>
      <c r="W4999" s="8">
        <v>0.8</v>
      </c>
      <c r="X4999" s="8">
        <v>48</v>
      </c>
      <c r="Y4999" s="8" t="s">
        <v>297</v>
      </c>
      <c r="Z4999" s="8" t="s">
        <v>298</v>
      </c>
    </row>
    <row r="5000" spans="1:26" x14ac:dyDescent="0.2">
      <c r="A5000" s="8">
        <v>4999</v>
      </c>
      <c r="B5000" s="8" t="s">
        <v>22436</v>
      </c>
      <c r="C5000" s="8" t="s">
        <v>22436</v>
      </c>
      <c r="F5000" s="47" t="s">
        <v>57679</v>
      </c>
      <c r="G5000" s="8">
        <v>6.5</v>
      </c>
      <c r="H5000" s="8" t="s">
        <v>21</v>
      </c>
      <c r="I5000" s="8" t="s">
        <v>22</v>
      </c>
      <c r="J5000" s="8" t="s">
        <v>22</v>
      </c>
      <c r="K5000" s="8" t="s">
        <v>218</v>
      </c>
      <c r="L5000" s="8" t="s">
        <v>17287</v>
      </c>
      <c r="M5000" s="8" t="s">
        <v>17288</v>
      </c>
      <c r="N5000" s="8" t="s">
        <v>22437</v>
      </c>
      <c r="O5000" s="8">
        <f>13+9/60+33.2/3600</f>
        <v>13.159222222222223</v>
      </c>
      <c r="P5000" s="8" t="s">
        <v>22438</v>
      </c>
      <c r="Q5000" s="8">
        <f>+(1+40/60+21/3600)</f>
        <v>1.6724999999999999</v>
      </c>
      <c r="R5000" s="8">
        <v>11.8</v>
      </c>
      <c r="S5000" s="8">
        <v>12.6</v>
      </c>
      <c r="T5000" s="8">
        <v>0.8</v>
      </c>
      <c r="U5000" s="8">
        <v>13.4</v>
      </c>
      <c r="V5000" s="8">
        <v>2.2999999999999998</v>
      </c>
      <c r="W5000" s="8">
        <v>1.9</v>
      </c>
      <c r="X5000" s="8">
        <v>128</v>
      </c>
      <c r="Y5000" s="8" t="s">
        <v>22439</v>
      </c>
      <c r="Z5000" s="8" t="s">
        <v>22440</v>
      </c>
    </row>
    <row r="5001" spans="1:26" x14ac:dyDescent="0.2">
      <c r="A5001" s="8">
        <v>5000</v>
      </c>
      <c r="B5001" s="8" t="s">
        <v>22441</v>
      </c>
      <c r="C5001" s="8" t="s">
        <v>22441</v>
      </c>
      <c r="F5001" s="47" t="s">
        <v>57680</v>
      </c>
      <c r="G5001" s="8">
        <v>15</v>
      </c>
      <c r="H5001" s="8" t="s">
        <v>21</v>
      </c>
      <c r="I5001" s="8" t="s">
        <v>22</v>
      </c>
      <c r="J5001" s="8" t="s">
        <v>22</v>
      </c>
      <c r="K5001" s="8" t="s">
        <v>85</v>
      </c>
      <c r="L5001" s="8" t="s">
        <v>18289</v>
      </c>
      <c r="M5001" s="8" t="s">
        <v>18290</v>
      </c>
      <c r="N5001" s="8" t="s">
        <v>22442</v>
      </c>
      <c r="O5001" s="8">
        <f>13+9/60+47.5/3600</f>
        <v>13.163194444444445</v>
      </c>
      <c r="P5001" s="8" t="s">
        <v>22443</v>
      </c>
      <c r="Q5001" s="8">
        <f>+(28+54/60+24/3600)</f>
        <v>28.906666666666666</v>
      </c>
      <c r="R5001" s="8">
        <v>13.2</v>
      </c>
      <c r="S5001" s="8">
        <v>13.9</v>
      </c>
      <c r="T5001" s="8">
        <v>0.7</v>
      </c>
      <c r="U5001" s="8">
        <v>14</v>
      </c>
      <c r="V5001" s="8">
        <v>1.7</v>
      </c>
      <c r="W5001" s="8">
        <v>1.4</v>
      </c>
      <c r="X5001" s="8">
        <v>0</v>
      </c>
      <c r="Y5001" s="8" t="s">
        <v>22444</v>
      </c>
      <c r="Z5001" s="8" t="s">
        <v>22445</v>
      </c>
    </row>
    <row r="5002" spans="1:26" x14ac:dyDescent="0.2">
      <c r="A5002" s="8">
        <v>5001</v>
      </c>
      <c r="B5002" s="8" t="s">
        <v>22446</v>
      </c>
      <c r="C5002" s="8" t="s">
        <v>22446</v>
      </c>
      <c r="F5002" s="47"/>
      <c r="G5002" s="8">
        <v>16</v>
      </c>
      <c r="H5002" s="8" t="s">
        <v>21</v>
      </c>
      <c r="I5002" s="8" t="s">
        <v>22</v>
      </c>
      <c r="J5002" s="8" t="s">
        <v>22</v>
      </c>
      <c r="K5002" s="8" t="s">
        <v>1445</v>
      </c>
      <c r="L5002" s="8" t="s">
        <v>12015</v>
      </c>
      <c r="M5002" s="8" t="s">
        <v>12016</v>
      </c>
      <c r="N5002" s="8" t="s">
        <v>22447</v>
      </c>
      <c r="O5002" s="8">
        <f>13+9/60+33/3600</f>
        <v>13.159166666666668</v>
      </c>
      <c r="P5002" s="8" t="s">
        <v>22448</v>
      </c>
      <c r="Q5002" s="8">
        <f>+(53+29/60+39/3600)</f>
        <v>53.494166666666665</v>
      </c>
      <c r="R5002" s="8">
        <v>13.8</v>
      </c>
      <c r="S5002" s="8">
        <v>14.6</v>
      </c>
      <c r="T5002" s="8">
        <v>0.8</v>
      </c>
      <c r="U5002" s="8">
        <v>12.8</v>
      </c>
      <c r="V5002" s="8">
        <v>1.1000000000000001</v>
      </c>
      <c r="W5002" s="8">
        <v>0.4</v>
      </c>
      <c r="X5002" s="8">
        <v>160</v>
      </c>
      <c r="Y5002" s="8" t="s">
        <v>5056</v>
      </c>
      <c r="Z5002" s="8" t="s">
        <v>5057</v>
      </c>
    </row>
    <row r="5003" spans="1:26" x14ac:dyDescent="0.2">
      <c r="A5003" s="8">
        <v>5002</v>
      </c>
      <c r="B5003" s="8" t="s">
        <v>22449</v>
      </c>
      <c r="C5003" s="8" t="s">
        <v>22449</v>
      </c>
      <c r="F5003" s="47"/>
      <c r="G5003" s="8">
        <v>18</v>
      </c>
      <c r="H5003" s="8" t="s">
        <v>21</v>
      </c>
      <c r="I5003" s="8" t="s">
        <v>22</v>
      </c>
      <c r="J5003" s="8" t="s">
        <v>22</v>
      </c>
      <c r="K5003" s="8" t="s">
        <v>323</v>
      </c>
      <c r="L5003" s="8" t="s">
        <v>18681</v>
      </c>
      <c r="M5003" s="8" t="s">
        <v>18682</v>
      </c>
      <c r="N5003" s="8" t="s">
        <v>22450</v>
      </c>
      <c r="O5003" s="8">
        <f>13+10/60+38.2/3600</f>
        <v>13.177277777777777</v>
      </c>
      <c r="P5003" s="8" t="s">
        <v>22451</v>
      </c>
      <c r="Q5003" s="8">
        <f>+(36+38/60+3/3600)</f>
        <v>36.634166666666665</v>
      </c>
      <c r="R5003" s="8">
        <v>13.8</v>
      </c>
      <c r="S5003" s="8">
        <v>14.4</v>
      </c>
      <c r="T5003" s="8">
        <v>0.6</v>
      </c>
      <c r="U5003" s="8">
        <v>14.2</v>
      </c>
      <c r="V5003" s="8">
        <v>1.7</v>
      </c>
      <c r="W5003" s="8">
        <v>1</v>
      </c>
      <c r="X5003" s="8">
        <v>173</v>
      </c>
      <c r="Y5003" s="8" t="s">
        <v>22452</v>
      </c>
      <c r="Z5003" s="8" t="s">
        <v>22453</v>
      </c>
    </row>
    <row r="5004" spans="1:26" x14ac:dyDescent="0.2">
      <c r="A5004" s="8">
        <v>5003</v>
      </c>
      <c r="B5004" s="8" t="s">
        <v>22454</v>
      </c>
      <c r="C5004" s="8" t="s">
        <v>22454</v>
      </c>
      <c r="F5004" s="47" t="s">
        <v>57681</v>
      </c>
      <c r="G5004" s="8">
        <v>15</v>
      </c>
      <c r="H5004" s="8" t="s">
        <v>21</v>
      </c>
      <c r="I5004" s="8" t="s">
        <v>22</v>
      </c>
      <c r="J5004" s="8" t="s">
        <v>22</v>
      </c>
      <c r="K5004" s="8" t="s">
        <v>91</v>
      </c>
      <c r="L5004" s="8" t="s">
        <v>18681</v>
      </c>
      <c r="M5004" s="8" t="s">
        <v>18682</v>
      </c>
      <c r="N5004" s="8" t="s">
        <v>22455</v>
      </c>
      <c r="O5004" s="8">
        <f>13+8/60+37.8/3600</f>
        <v>13.143833333333333</v>
      </c>
      <c r="P5004" s="8" t="s">
        <v>22456</v>
      </c>
      <c r="Q5004" s="8">
        <f>+(43+44/60+14/3600)</f>
        <v>43.737222222222222</v>
      </c>
      <c r="R5004" s="8">
        <v>14.3</v>
      </c>
      <c r="S5004" s="8">
        <v>15.2</v>
      </c>
      <c r="T5004" s="8">
        <v>0.9</v>
      </c>
      <c r="U5004" s="8">
        <v>13.9</v>
      </c>
      <c r="V5004" s="8">
        <v>1</v>
      </c>
      <c r="W5004" s="8">
        <v>0.8</v>
      </c>
      <c r="X5004" s="8">
        <v>72</v>
      </c>
      <c r="Y5004" s="8" t="s">
        <v>22457</v>
      </c>
      <c r="Z5004" s="8" t="s">
        <v>22458</v>
      </c>
    </row>
    <row r="5005" spans="1:26" x14ac:dyDescent="0.2">
      <c r="A5005" s="8">
        <v>5004</v>
      </c>
      <c r="B5005" s="8" t="s">
        <v>22459</v>
      </c>
      <c r="C5005" s="8" t="s">
        <v>22459</v>
      </c>
      <c r="D5005" s="8" t="s">
        <v>351</v>
      </c>
      <c r="F5005" s="47" t="s">
        <v>57682</v>
      </c>
      <c r="G5005" s="8">
        <v>15</v>
      </c>
      <c r="H5005" s="8" t="s">
        <v>21</v>
      </c>
      <c r="I5005" s="8" t="s">
        <v>22</v>
      </c>
      <c r="J5005" s="8" t="s">
        <v>22</v>
      </c>
      <c r="K5005" s="8" t="s">
        <v>37</v>
      </c>
      <c r="L5005" s="8" t="s">
        <v>18289</v>
      </c>
      <c r="M5005" s="8" t="s">
        <v>18290</v>
      </c>
      <c r="N5005" s="8" t="s">
        <v>22460</v>
      </c>
      <c r="O5005" s="8">
        <f>13+11/60+1.5/3600</f>
        <v>13.18375</v>
      </c>
      <c r="P5005" s="8" t="s">
        <v>22461</v>
      </c>
      <c r="Q5005" s="8">
        <f>+(29+38/60+12/3600)</f>
        <v>29.636666666666667</v>
      </c>
      <c r="R5005" s="8">
        <v>12.9</v>
      </c>
      <c r="S5005" s="8">
        <v>13.9</v>
      </c>
      <c r="T5005" s="8">
        <v>1</v>
      </c>
      <c r="U5005" s="8">
        <v>13.2</v>
      </c>
      <c r="V5005" s="8">
        <v>1.4</v>
      </c>
      <c r="W5005" s="8">
        <v>1.1000000000000001</v>
      </c>
      <c r="X5005" s="8">
        <v>170</v>
      </c>
      <c r="Y5005" s="8" t="s">
        <v>6737</v>
      </c>
      <c r="Z5005" s="8" t="s">
        <v>6738</v>
      </c>
    </row>
    <row r="5006" spans="1:26" x14ac:dyDescent="0.2">
      <c r="A5006" s="8">
        <v>5005</v>
      </c>
      <c r="B5006" s="8" t="s">
        <v>22462</v>
      </c>
      <c r="C5006" s="8" t="s">
        <v>22462</v>
      </c>
      <c r="F5006" s="47" t="s">
        <v>57683</v>
      </c>
      <c r="G5006" s="8">
        <v>2</v>
      </c>
      <c r="H5006" s="8" t="s">
        <v>21</v>
      </c>
      <c r="I5006" s="8" t="s">
        <v>22</v>
      </c>
      <c r="J5006" s="8" t="s">
        <v>22</v>
      </c>
      <c r="K5006" s="8" t="s">
        <v>85</v>
      </c>
      <c r="L5006" s="8" t="s">
        <v>18681</v>
      </c>
      <c r="M5006" s="8" t="s">
        <v>18682</v>
      </c>
      <c r="N5006" s="8" t="s">
        <v>22463</v>
      </c>
      <c r="O5006" s="8">
        <f>13+10/60+56.1/3600</f>
        <v>13.18225</v>
      </c>
      <c r="P5006" s="8" t="s">
        <v>22464</v>
      </c>
      <c r="Q5006" s="8">
        <f>+(37+3/60+31/3600)</f>
        <v>37.058611111111105</v>
      </c>
      <c r="R5006" s="8">
        <v>9.8000000000000007</v>
      </c>
      <c r="S5006" s="8">
        <v>10.6</v>
      </c>
      <c r="T5006" s="8">
        <v>0.8</v>
      </c>
      <c r="U5006" s="8">
        <v>12.6</v>
      </c>
      <c r="V5006" s="8">
        <v>5.8</v>
      </c>
      <c r="W5006" s="8">
        <v>2.9</v>
      </c>
      <c r="X5006" s="8">
        <v>65</v>
      </c>
      <c r="Y5006" s="8" t="s">
        <v>22465</v>
      </c>
      <c r="Z5006" s="8" t="s">
        <v>22466</v>
      </c>
    </row>
    <row r="5007" spans="1:26" x14ac:dyDescent="0.2">
      <c r="A5007" s="8">
        <v>5006</v>
      </c>
      <c r="B5007" s="8" t="s">
        <v>22467</v>
      </c>
      <c r="C5007" s="8" t="s">
        <v>22467</v>
      </c>
      <c r="F5007" s="47"/>
      <c r="G5007" s="8">
        <v>19</v>
      </c>
      <c r="H5007" s="8" t="s">
        <v>21</v>
      </c>
      <c r="I5007" s="8" t="s">
        <v>22</v>
      </c>
      <c r="J5007" s="8" t="s">
        <v>22</v>
      </c>
      <c r="K5007" s="8" t="s">
        <v>224</v>
      </c>
      <c r="L5007" s="8" t="s">
        <v>17287</v>
      </c>
      <c r="M5007" s="8" t="s">
        <v>17288</v>
      </c>
      <c r="N5007" s="8" t="s">
        <v>22468</v>
      </c>
      <c r="O5007" s="8">
        <f>13+11/60+45.7/3600</f>
        <v>13.196027777777777</v>
      </c>
      <c r="P5007" s="8" t="s">
        <v>22469</v>
      </c>
      <c r="Q5007" s="8">
        <f>-(19+15/60+41/3600)</f>
        <v>-19.261388888888888</v>
      </c>
      <c r="R5007" s="8">
        <v>12.4</v>
      </c>
      <c r="S5007" s="8">
        <v>13.3</v>
      </c>
      <c r="T5007" s="8">
        <v>0.9</v>
      </c>
      <c r="U5007" s="8">
        <v>13.6</v>
      </c>
      <c r="V5007" s="8">
        <v>2</v>
      </c>
      <c r="W5007" s="8">
        <v>1.7</v>
      </c>
      <c r="X5007" s="8">
        <v>170</v>
      </c>
      <c r="Y5007" s="8" t="s">
        <v>22470</v>
      </c>
      <c r="Z5007" s="8" t="s">
        <v>22471</v>
      </c>
    </row>
    <row r="5008" spans="1:26" x14ac:dyDescent="0.2">
      <c r="A5008" s="8">
        <v>5007</v>
      </c>
      <c r="B5008" s="8" t="s">
        <v>22472</v>
      </c>
      <c r="C5008" s="8" t="s">
        <v>22472</v>
      </c>
      <c r="F5008" s="47" t="s">
        <v>57684</v>
      </c>
      <c r="G5008" s="8">
        <v>15</v>
      </c>
      <c r="H5008" s="8" t="s">
        <v>21</v>
      </c>
      <c r="I5008" s="8" t="s">
        <v>22</v>
      </c>
      <c r="J5008" s="8" t="s">
        <v>22</v>
      </c>
      <c r="K5008" s="8" t="s">
        <v>58</v>
      </c>
      <c r="L5008" s="8" t="s">
        <v>12015</v>
      </c>
      <c r="M5008" s="8" t="s">
        <v>12016</v>
      </c>
      <c r="N5008" s="8" t="s">
        <v>22473</v>
      </c>
      <c r="O5008" s="8">
        <f>13+9/60+14.2/3600</f>
        <v>13.153944444444445</v>
      </c>
      <c r="P5008" s="8" t="s">
        <v>22474</v>
      </c>
      <c r="Q5008" s="8">
        <f>+(62+10/60+31/3600)</f>
        <v>62.175277777777772</v>
      </c>
      <c r="R5008" s="8">
        <v>13.3</v>
      </c>
      <c r="S5008" s="8">
        <v>14.3</v>
      </c>
      <c r="T5008" s="8">
        <v>1</v>
      </c>
      <c r="U5008" s="8">
        <v>12.7</v>
      </c>
      <c r="V5008" s="8">
        <v>0.9</v>
      </c>
      <c r="W5008" s="8">
        <v>0.6</v>
      </c>
      <c r="X5008" s="8">
        <v>135</v>
      </c>
      <c r="Y5008" s="8" t="s">
        <v>282</v>
      </c>
      <c r="Z5008" s="8" t="s">
        <v>283</v>
      </c>
    </row>
    <row r="5009" spans="1:26" x14ac:dyDescent="0.2">
      <c r="A5009" s="8">
        <v>5008</v>
      </c>
      <c r="B5009" s="8" t="s">
        <v>22475</v>
      </c>
      <c r="C5009" s="8" t="s">
        <v>22475</v>
      </c>
      <c r="F5009" s="47"/>
      <c r="G5009" s="8">
        <v>18</v>
      </c>
      <c r="H5009" s="8" t="s">
        <v>21</v>
      </c>
      <c r="I5009" s="8" t="s">
        <v>22</v>
      </c>
      <c r="J5009" s="8" t="s">
        <v>22</v>
      </c>
      <c r="K5009" s="8" t="s">
        <v>64</v>
      </c>
      <c r="L5009" s="8" t="s">
        <v>22476</v>
      </c>
      <c r="M5009" s="8" t="s">
        <v>22477</v>
      </c>
      <c r="N5009" s="8" t="s">
        <v>22478</v>
      </c>
      <c r="O5009" s="8">
        <f>14+10/60+57/3600</f>
        <v>14.182499999999999</v>
      </c>
      <c r="P5009" s="8" t="s">
        <v>22479</v>
      </c>
      <c r="Q5009" s="8">
        <f>+(25+29/60+47/3600)</f>
        <v>25.496388888888891</v>
      </c>
      <c r="R5009" s="8">
        <v>13.7</v>
      </c>
      <c r="S5009" s="8">
        <v>14.2</v>
      </c>
      <c r="T5009" s="8">
        <v>0.5</v>
      </c>
      <c r="U5009" s="8">
        <v>13.9</v>
      </c>
      <c r="V5009" s="8">
        <v>1.4</v>
      </c>
      <c r="W5009" s="8">
        <v>1</v>
      </c>
      <c r="X5009" s="8">
        <v>150</v>
      </c>
      <c r="Y5009" s="8" t="s">
        <v>22480</v>
      </c>
      <c r="Z5009" s="8" t="s">
        <v>22481</v>
      </c>
    </row>
    <row r="5010" spans="1:26" x14ac:dyDescent="0.2">
      <c r="A5010" s="8">
        <v>5009</v>
      </c>
      <c r="B5010" s="8" t="s">
        <v>22482</v>
      </c>
      <c r="C5010" s="8" t="s">
        <v>22482</v>
      </c>
      <c r="F5010" s="47" t="s">
        <v>57685</v>
      </c>
      <c r="G5010" s="8">
        <v>15</v>
      </c>
      <c r="H5010" s="8" t="s">
        <v>21</v>
      </c>
      <c r="I5010" s="8" t="s">
        <v>22</v>
      </c>
      <c r="J5010" s="8" t="s">
        <v>22</v>
      </c>
      <c r="K5010" s="8" t="s">
        <v>218</v>
      </c>
      <c r="L5010" s="8" t="s">
        <v>18681</v>
      </c>
      <c r="M5010" s="8" t="s">
        <v>18682</v>
      </c>
      <c r="N5010" s="8" t="s">
        <v>22483</v>
      </c>
      <c r="O5010" s="8">
        <f>13+10/60+47.2/3600</f>
        <v>13.179777777777778</v>
      </c>
      <c r="P5010" s="8" t="s">
        <v>22484</v>
      </c>
      <c r="Q5010" s="8">
        <f>+(50+5/60+35/3600)</f>
        <v>50.093055555555559</v>
      </c>
      <c r="R5010" s="8">
        <v>14.5</v>
      </c>
      <c r="S5010" s="8">
        <v>15.3</v>
      </c>
      <c r="T5010" s="8">
        <v>0.8</v>
      </c>
      <c r="U5010" s="8">
        <v>14.1</v>
      </c>
      <c r="V5010" s="8">
        <v>1.1000000000000001</v>
      </c>
      <c r="W5010" s="8">
        <v>0.7</v>
      </c>
      <c r="X5010" s="8">
        <v>75</v>
      </c>
      <c r="Y5010" s="8" t="s">
        <v>22485</v>
      </c>
      <c r="Z5010" s="8" t="s">
        <v>22486</v>
      </c>
    </row>
    <row r="5011" spans="1:26" x14ac:dyDescent="0.2">
      <c r="A5011" s="8">
        <v>5010</v>
      </c>
      <c r="B5011" s="8" t="s">
        <v>22487</v>
      </c>
      <c r="C5011" s="8" t="s">
        <v>22487</v>
      </c>
      <c r="F5011" s="47"/>
      <c r="G5011" s="8">
        <v>16</v>
      </c>
      <c r="H5011" s="8" t="s">
        <v>21</v>
      </c>
      <c r="I5011" s="8" t="s">
        <v>22</v>
      </c>
      <c r="J5011" s="8" t="s">
        <v>22</v>
      </c>
      <c r="K5011" s="8" t="s">
        <v>632</v>
      </c>
      <c r="L5011" s="8" t="s">
        <v>17287</v>
      </c>
      <c r="M5011" s="8" t="s">
        <v>17288</v>
      </c>
      <c r="N5011" s="8" t="s">
        <v>22488</v>
      </c>
      <c r="O5011" s="8">
        <f>13+12/60+26.3/3600</f>
        <v>13.207305555555555</v>
      </c>
      <c r="P5011" s="8" t="s">
        <v>22489</v>
      </c>
      <c r="Q5011" s="8">
        <f>-(15+47/60+51/3600)</f>
        <v>-15.797499999999999</v>
      </c>
      <c r="R5011" s="8">
        <v>13.3</v>
      </c>
      <c r="S5011" s="8">
        <v>14.2</v>
      </c>
      <c r="T5011" s="8">
        <v>0.9</v>
      </c>
      <c r="U5011" s="8">
        <v>13.1</v>
      </c>
      <c r="V5011" s="8">
        <v>1.3</v>
      </c>
      <c r="W5011" s="8">
        <v>0.7</v>
      </c>
      <c r="X5011" s="8">
        <v>120</v>
      </c>
      <c r="Y5011" s="8" t="s">
        <v>22490</v>
      </c>
      <c r="Z5011" s="8" t="s">
        <v>22491</v>
      </c>
    </row>
    <row r="5012" spans="1:26" x14ac:dyDescent="0.2">
      <c r="A5012" s="8">
        <v>5011</v>
      </c>
      <c r="B5012" s="8" t="s">
        <v>22492</v>
      </c>
      <c r="C5012" s="8" t="s">
        <v>22492</v>
      </c>
      <c r="F5012" s="47"/>
      <c r="G5012" s="8">
        <v>13</v>
      </c>
      <c r="H5012" s="8" t="s">
        <v>21</v>
      </c>
      <c r="I5012" s="8" t="s">
        <v>22</v>
      </c>
      <c r="J5012" s="8" t="s">
        <v>22</v>
      </c>
      <c r="K5012" s="8" t="s">
        <v>183</v>
      </c>
      <c r="L5012" s="8" t="s">
        <v>16195</v>
      </c>
      <c r="M5012" s="8" t="s">
        <v>16196</v>
      </c>
      <c r="N5012" s="8" t="s">
        <v>22493</v>
      </c>
      <c r="O5012" s="8">
        <f>13+12/60+51.6/3600</f>
        <v>13.214333333333332</v>
      </c>
      <c r="P5012" s="8" t="s">
        <v>22494</v>
      </c>
      <c r="Q5012" s="8">
        <f>-(43+5/60+48/3600)</f>
        <v>-43.096666666666671</v>
      </c>
      <c r="R5012" s="8">
        <v>11.4</v>
      </c>
      <c r="S5012" s="8">
        <v>12.4</v>
      </c>
      <c r="T5012" s="8">
        <v>1</v>
      </c>
      <c r="U5012" s="8">
        <v>13.1</v>
      </c>
      <c r="V5012" s="8">
        <v>2.5</v>
      </c>
      <c r="W5012" s="8">
        <v>2.1</v>
      </c>
      <c r="X5012" s="8">
        <v>154</v>
      </c>
      <c r="Y5012" s="8" t="s">
        <v>22495</v>
      </c>
      <c r="Z5012" s="8" t="s">
        <v>22496</v>
      </c>
    </row>
    <row r="5013" spans="1:26" x14ac:dyDescent="0.2">
      <c r="A5013" s="8">
        <v>5012</v>
      </c>
      <c r="B5013" s="8" t="s">
        <v>22497</v>
      </c>
      <c r="C5013" s="8" t="s">
        <v>22497</v>
      </c>
      <c r="F5013" s="47" t="s">
        <v>57686</v>
      </c>
      <c r="G5013" s="8">
        <v>6.5</v>
      </c>
      <c r="H5013" s="8" t="s">
        <v>21</v>
      </c>
      <c r="I5013" s="8" t="s">
        <v>22</v>
      </c>
      <c r="J5013" s="8" t="s">
        <v>22</v>
      </c>
      <c r="K5013" s="8" t="s">
        <v>64</v>
      </c>
      <c r="L5013" s="8" t="s">
        <v>18289</v>
      </c>
      <c r="M5013" s="8" t="s">
        <v>18290</v>
      </c>
      <c r="N5013" s="8" t="s">
        <v>22498</v>
      </c>
      <c r="O5013" s="8">
        <f>13+11/60+36.7/3600</f>
        <v>13.193527777777778</v>
      </c>
      <c r="P5013" s="8" t="s">
        <v>22499</v>
      </c>
      <c r="Q5013" s="8">
        <f>+(22+54/60+53/3600)</f>
        <v>22.91472222222222</v>
      </c>
      <c r="R5013" s="8">
        <v>12.3</v>
      </c>
      <c r="S5013" s="8">
        <v>13</v>
      </c>
      <c r="T5013" s="8">
        <v>0.7</v>
      </c>
      <c r="U5013" s="8">
        <v>13.9</v>
      </c>
      <c r="V5013" s="8">
        <v>2.9</v>
      </c>
      <c r="W5013" s="8">
        <v>1.7</v>
      </c>
      <c r="X5013" s="8">
        <v>10</v>
      </c>
      <c r="Y5013" s="8" t="s">
        <v>22500</v>
      </c>
      <c r="Z5013" s="8" t="s">
        <v>22501</v>
      </c>
    </row>
    <row r="5014" spans="1:26" x14ac:dyDescent="0.2">
      <c r="A5014" s="8">
        <v>5013</v>
      </c>
      <c r="B5014" s="8" t="s">
        <v>22502</v>
      </c>
      <c r="C5014" s="8" t="s">
        <v>22502</v>
      </c>
      <c r="F5014" s="47"/>
      <c r="G5014" s="8">
        <v>18</v>
      </c>
      <c r="H5014" s="8" t="s">
        <v>21</v>
      </c>
      <c r="I5014" s="8" t="s">
        <v>22</v>
      </c>
      <c r="J5014" s="8" t="s">
        <v>22</v>
      </c>
      <c r="K5014" s="8" t="s">
        <v>396</v>
      </c>
      <c r="L5014" s="8" t="s">
        <v>17287</v>
      </c>
      <c r="M5014" s="8" t="s">
        <v>17288</v>
      </c>
      <c r="N5014" s="8" t="s">
        <v>22503</v>
      </c>
      <c r="O5014" s="8">
        <f>13+12/60+7.3/3600</f>
        <v>13.202027777777777</v>
      </c>
      <c r="P5014" s="8" t="s">
        <v>22504</v>
      </c>
      <c r="Q5014" s="8">
        <f>+(3+11/60+58/3600)</f>
        <v>3.1994444444444441</v>
      </c>
      <c r="R5014" s="8">
        <v>15.1</v>
      </c>
      <c r="S5014" s="8">
        <v>15.9</v>
      </c>
      <c r="T5014" s="8">
        <v>0.8</v>
      </c>
      <c r="U5014" s="8">
        <v>13.7</v>
      </c>
      <c r="V5014" s="8">
        <v>0.8</v>
      </c>
      <c r="W5014" s="8">
        <v>0.4</v>
      </c>
      <c r="X5014" s="8">
        <v>135</v>
      </c>
      <c r="Y5014" s="8" t="s">
        <v>282</v>
      </c>
      <c r="Z5014" s="8" t="s">
        <v>283</v>
      </c>
    </row>
    <row r="5015" spans="1:26" x14ac:dyDescent="0.2">
      <c r="A5015" s="8">
        <v>5014</v>
      </c>
      <c r="B5015" s="8" t="s">
        <v>22505</v>
      </c>
      <c r="C5015" s="8" t="s">
        <v>22505</v>
      </c>
      <c r="F5015" s="47" t="s">
        <v>57687</v>
      </c>
      <c r="G5015" s="8">
        <v>15</v>
      </c>
      <c r="H5015" s="8" t="s">
        <v>21</v>
      </c>
      <c r="I5015" s="8" t="s">
        <v>22</v>
      </c>
      <c r="J5015" s="8" t="s">
        <v>22</v>
      </c>
      <c r="K5015" s="8" t="s">
        <v>91</v>
      </c>
      <c r="L5015" s="8" t="s">
        <v>18681</v>
      </c>
      <c r="M5015" s="8" t="s">
        <v>18682</v>
      </c>
      <c r="N5015" s="8" t="s">
        <v>22506</v>
      </c>
      <c r="O5015" s="8">
        <f>13+11/60+31.4/3600</f>
        <v>13.192055555555555</v>
      </c>
      <c r="P5015" s="8" t="s">
        <v>22507</v>
      </c>
      <c r="Q5015" s="8">
        <f>+(36+16/60+54/3600)</f>
        <v>36.281666666666666</v>
      </c>
      <c r="R5015" s="8">
        <v>12.9</v>
      </c>
      <c r="S5015" s="8">
        <v>13.5</v>
      </c>
      <c r="T5015" s="8">
        <v>0.6</v>
      </c>
      <c r="U5015" s="8">
        <v>12.7</v>
      </c>
      <c r="V5015" s="8">
        <v>1.6</v>
      </c>
      <c r="W5015" s="8">
        <v>0.5</v>
      </c>
      <c r="X5015" s="8">
        <v>102</v>
      </c>
      <c r="Y5015" s="8" t="s">
        <v>22508</v>
      </c>
      <c r="Z5015" s="8" t="s">
        <v>22509</v>
      </c>
    </row>
    <row r="5016" spans="1:26" x14ac:dyDescent="0.2">
      <c r="A5016" s="8">
        <v>5015</v>
      </c>
      <c r="B5016" s="8" t="s">
        <v>22510</v>
      </c>
      <c r="C5016" s="8" t="s">
        <v>22510</v>
      </c>
      <c r="F5016" s="47" t="s">
        <v>57688</v>
      </c>
      <c r="G5016" s="8">
        <v>15</v>
      </c>
      <c r="H5016" s="8" t="s">
        <v>21</v>
      </c>
      <c r="I5016" s="8" t="s">
        <v>22</v>
      </c>
      <c r="J5016" s="8" t="s">
        <v>22</v>
      </c>
      <c r="K5016" s="8" t="s">
        <v>154</v>
      </c>
      <c r="L5016" s="8" t="s">
        <v>17287</v>
      </c>
      <c r="M5016" s="8" t="s">
        <v>17288</v>
      </c>
      <c r="N5016" s="8" t="s">
        <v>22511</v>
      </c>
      <c r="O5016" s="8">
        <f>13+12/60+22.8/3600</f>
        <v>13.206333333333333</v>
      </c>
      <c r="P5016" s="8" t="s">
        <v>22512</v>
      </c>
      <c r="Q5016" s="8">
        <f>-(4+20/60+13/3600)</f>
        <v>-4.3369444444444438</v>
      </c>
      <c r="R5016" s="8">
        <v>12.3</v>
      </c>
      <c r="S5016" s="8">
        <v>13.2</v>
      </c>
      <c r="T5016" s="8">
        <v>0.9</v>
      </c>
      <c r="U5016" s="8">
        <v>13.2</v>
      </c>
      <c r="V5016" s="8">
        <v>1.8</v>
      </c>
      <c r="W5016" s="8">
        <v>1.5</v>
      </c>
      <c r="X5016" s="8">
        <v>60</v>
      </c>
      <c r="Y5016" s="8" t="s">
        <v>18445</v>
      </c>
      <c r="Z5016" s="8" t="s">
        <v>18446</v>
      </c>
    </row>
    <row r="5017" spans="1:26" x14ac:dyDescent="0.2">
      <c r="A5017" s="8">
        <v>5016</v>
      </c>
      <c r="B5017" s="8" t="s">
        <v>22513</v>
      </c>
      <c r="C5017" s="8" t="s">
        <v>22513</v>
      </c>
      <c r="F5017" s="47" t="s">
        <v>57689</v>
      </c>
      <c r="G5017" s="8">
        <v>13</v>
      </c>
      <c r="H5017" s="8" t="s">
        <v>21</v>
      </c>
      <c r="I5017" s="8" t="s">
        <v>22</v>
      </c>
      <c r="J5017" s="8" t="s">
        <v>22</v>
      </c>
      <c r="K5017" s="8" t="s">
        <v>85</v>
      </c>
      <c r="L5017" s="8" t="s">
        <v>18289</v>
      </c>
      <c r="M5017" s="8" t="s">
        <v>18290</v>
      </c>
      <c r="N5017" s="8" t="s">
        <v>22514</v>
      </c>
      <c r="O5017" s="8">
        <f>13+12/60+6.5/3600</f>
        <v>13.201805555555556</v>
      </c>
      <c r="P5017" s="8" t="s">
        <v>22515</v>
      </c>
      <c r="Q5017" s="8">
        <f>+(24+5/60+42/3600)</f>
        <v>24.094999999999999</v>
      </c>
      <c r="R5017" s="8">
        <v>12.8</v>
      </c>
      <c r="S5017" s="8">
        <v>13.6</v>
      </c>
      <c r="T5017" s="8">
        <v>0.8</v>
      </c>
      <c r="U5017" s="8">
        <v>13.5</v>
      </c>
      <c r="V5017" s="8">
        <v>1.7</v>
      </c>
      <c r="W5017" s="8">
        <v>1.3</v>
      </c>
      <c r="X5017" s="8">
        <v>50</v>
      </c>
      <c r="Y5017" s="8" t="s">
        <v>22516</v>
      </c>
      <c r="Z5017" s="8" t="s">
        <v>22517</v>
      </c>
    </row>
    <row r="5018" spans="1:26" x14ac:dyDescent="0.2">
      <c r="A5018" s="8">
        <v>5017</v>
      </c>
      <c r="B5018" s="8" t="s">
        <v>22518</v>
      </c>
      <c r="C5018" s="8" t="s">
        <v>22518</v>
      </c>
      <c r="F5018" s="47" t="s">
        <v>57690</v>
      </c>
      <c r="G5018" s="8">
        <v>13</v>
      </c>
      <c r="H5018" s="8" t="s">
        <v>21</v>
      </c>
      <c r="I5018" s="8" t="s">
        <v>22</v>
      </c>
      <c r="J5018" s="8" t="s">
        <v>22</v>
      </c>
      <c r="K5018" s="8" t="s">
        <v>382</v>
      </c>
      <c r="L5018" s="8" t="s">
        <v>17287</v>
      </c>
      <c r="M5018" s="8" t="s">
        <v>17288</v>
      </c>
      <c r="N5018" s="8" t="s">
        <v>22519</v>
      </c>
      <c r="O5018" s="8">
        <f>13+12/60+54.4/3600</f>
        <v>13.21511111111111</v>
      </c>
      <c r="P5018" s="8" t="s">
        <v>22520</v>
      </c>
      <c r="Q5018" s="8">
        <f>-(16+45/60+56/3600)</f>
        <v>-16.765555555555554</v>
      </c>
      <c r="R5018" s="8">
        <v>12.6</v>
      </c>
      <c r="S5018" s="8">
        <v>13.6</v>
      </c>
      <c r="T5018" s="8">
        <v>1</v>
      </c>
      <c r="U5018" s="8">
        <v>13.4</v>
      </c>
      <c r="V5018" s="8">
        <v>1.8</v>
      </c>
      <c r="W5018" s="8">
        <v>1.3</v>
      </c>
      <c r="X5018" s="8">
        <v>39</v>
      </c>
      <c r="Y5018" s="8" t="s">
        <v>22521</v>
      </c>
      <c r="Z5018" s="8" t="s">
        <v>22522</v>
      </c>
    </row>
    <row r="5019" spans="1:26" x14ac:dyDescent="0.2">
      <c r="A5019" s="8">
        <v>5018</v>
      </c>
      <c r="B5019" s="8" t="s">
        <v>22523</v>
      </c>
      <c r="C5019" s="8" t="s">
        <v>22523</v>
      </c>
      <c r="F5019" s="47" t="s">
        <v>57691</v>
      </c>
      <c r="G5019" s="8">
        <v>6.5</v>
      </c>
      <c r="H5019" s="8" t="s">
        <v>21</v>
      </c>
      <c r="I5019" s="8" t="s">
        <v>22</v>
      </c>
      <c r="J5019" s="8" t="s">
        <v>22</v>
      </c>
      <c r="K5019" s="8" t="s">
        <v>382</v>
      </c>
      <c r="L5019" s="8" t="s">
        <v>17287</v>
      </c>
      <c r="M5019" s="8" t="s">
        <v>17288</v>
      </c>
      <c r="N5019" s="8" t="s">
        <v>22524</v>
      </c>
      <c r="O5019" s="8">
        <f>13+13/60+0.9/3600</f>
        <v>13.216916666666666</v>
      </c>
      <c r="P5019" s="8" t="s">
        <v>22525</v>
      </c>
      <c r="Q5019" s="8">
        <f>-(19+31/60+10/3600)</f>
        <v>-19.519444444444442</v>
      </c>
      <c r="R5019" s="8">
        <v>10.8</v>
      </c>
      <c r="S5019" s="8">
        <v>11.7</v>
      </c>
      <c r="T5019" s="8">
        <v>0.9</v>
      </c>
      <c r="U5019" s="8">
        <v>13</v>
      </c>
      <c r="V5019" s="8">
        <v>3.4</v>
      </c>
      <c r="W5019" s="8">
        <v>2.6</v>
      </c>
      <c r="X5019" s="8">
        <v>112</v>
      </c>
      <c r="Y5019" s="8" t="s">
        <v>22526</v>
      </c>
      <c r="Z5019" s="8" t="s">
        <v>22527</v>
      </c>
    </row>
    <row r="5020" spans="1:26" x14ac:dyDescent="0.2">
      <c r="A5020" s="8">
        <v>5019</v>
      </c>
      <c r="B5020" s="8" t="s">
        <v>22528</v>
      </c>
      <c r="C5020" s="8" t="s">
        <v>22528</v>
      </c>
      <c r="F5020" s="47" t="s">
        <v>57692</v>
      </c>
      <c r="G5020" s="8">
        <v>15</v>
      </c>
      <c r="H5020" s="8" t="s">
        <v>21</v>
      </c>
      <c r="I5020" s="8" t="s">
        <v>22</v>
      </c>
      <c r="J5020" s="8" t="s">
        <v>22</v>
      </c>
      <c r="K5020" s="8" t="s">
        <v>1445</v>
      </c>
      <c r="L5020" s="8" t="s">
        <v>17287</v>
      </c>
      <c r="M5020" s="8" t="s">
        <v>17288</v>
      </c>
      <c r="N5020" s="8" t="s">
        <v>22529</v>
      </c>
      <c r="O5020" s="8">
        <f>13+12/60+42.5/3600</f>
        <v>13.211805555555555</v>
      </c>
      <c r="P5020" s="8" t="s">
        <v>22530</v>
      </c>
      <c r="Q5020" s="8">
        <f>+(4+43/60+45/3600)</f>
        <v>4.729166666666667</v>
      </c>
      <c r="R5020" s="8">
        <v>13.6</v>
      </c>
      <c r="S5020" s="8">
        <v>14.4</v>
      </c>
      <c r="T5020" s="8">
        <v>0.8</v>
      </c>
      <c r="U5020" s="8">
        <v>12.8</v>
      </c>
      <c r="V5020" s="8">
        <v>0.8</v>
      </c>
      <c r="W5020" s="8">
        <v>0.7</v>
      </c>
      <c r="X5020" s="8">
        <v>105</v>
      </c>
      <c r="Y5020" s="8" t="s">
        <v>22531</v>
      </c>
      <c r="Z5020" s="8" t="s">
        <v>22532</v>
      </c>
    </row>
    <row r="5021" spans="1:26" x14ac:dyDescent="0.2">
      <c r="A5021" s="8">
        <v>5020</v>
      </c>
      <c r="B5021" s="8" t="s">
        <v>22533</v>
      </c>
      <c r="C5021" s="8" t="s">
        <v>22533</v>
      </c>
      <c r="F5021" s="47" t="s">
        <v>57693</v>
      </c>
      <c r="G5021" s="8">
        <v>6.5</v>
      </c>
      <c r="H5021" s="8" t="s">
        <v>21</v>
      </c>
      <c r="I5021" s="8" t="s">
        <v>22</v>
      </c>
      <c r="J5021" s="8" t="s">
        <v>22</v>
      </c>
      <c r="K5021" s="8" t="s">
        <v>85</v>
      </c>
      <c r="L5021" s="8" t="s">
        <v>17287</v>
      </c>
      <c r="M5021" s="8" t="s">
        <v>17288</v>
      </c>
      <c r="N5021" s="8" t="s">
        <v>22534</v>
      </c>
      <c r="O5021" s="8">
        <f>13+12/60+39.8/3600</f>
        <v>13.211055555555555</v>
      </c>
      <c r="P5021" s="8" t="s">
        <v>22535</v>
      </c>
      <c r="Q5021" s="8">
        <f>+(12+35/60+59/3600)</f>
        <v>12.599722222222223</v>
      </c>
      <c r="R5021" s="8">
        <v>11.7</v>
      </c>
      <c r="S5021" s="8">
        <v>12.5</v>
      </c>
      <c r="T5021" s="8">
        <v>0.8</v>
      </c>
      <c r="U5021" s="8">
        <v>13.9</v>
      </c>
      <c r="V5021" s="8">
        <v>3.1</v>
      </c>
      <c r="W5021" s="8">
        <v>2.7</v>
      </c>
      <c r="X5021" s="8">
        <v>85</v>
      </c>
      <c r="Y5021" s="8" t="s">
        <v>22536</v>
      </c>
      <c r="Z5021" s="8" t="s">
        <v>22537</v>
      </c>
    </row>
    <row r="5022" spans="1:26" x14ac:dyDescent="0.2">
      <c r="A5022" s="8">
        <v>5021</v>
      </c>
      <c r="B5022" s="8" t="s">
        <v>22538</v>
      </c>
      <c r="C5022" s="8" t="s">
        <v>22538</v>
      </c>
      <c r="F5022" s="47"/>
      <c r="G5022" s="8">
        <v>16</v>
      </c>
      <c r="H5022" s="8" t="s">
        <v>21</v>
      </c>
      <c r="I5022" s="8" t="s">
        <v>22</v>
      </c>
      <c r="J5022" s="8" t="s">
        <v>22</v>
      </c>
      <c r="K5022" s="8" t="s">
        <v>218</v>
      </c>
      <c r="L5022" s="8" t="s">
        <v>18681</v>
      </c>
      <c r="M5022" s="8" t="s">
        <v>18682</v>
      </c>
      <c r="N5022" s="8" t="s">
        <v>22539</v>
      </c>
      <c r="O5022" s="8">
        <f>13+12/60+6.1/3600</f>
        <v>13.201694444444444</v>
      </c>
      <c r="P5022" s="8" t="s">
        <v>22540</v>
      </c>
      <c r="Q5022" s="8">
        <f>+(46+11/60+47/3600)</f>
        <v>46.196388888888883</v>
      </c>
      <c r="R5022" s="8">
        <v>13.4</v>
      </c>
      <c r="S5022" s="8">
        <v>14.2</v>
      </c>
      <c r="T5022" s="8">
        <v>0.8</v>
      </c>
      <c r="U5022" s="8">
        <v>13.3</v>
      </c>
      <c r="V5022" s="8">
        <v>1.5</v>
      </c>
      <c r="W5022" s="8">
        <v>0.7</v>
      </c>
      <c r="X5022" s="8">
        <v>78</v>
      </c>
      <c r="Y5022" s="8" t="s">
        <v>22541</v>
      </c>
      <c r="Z5022" s="8" t="s">
        <v>22542</v>
      </c>
    </row>
    <row r="5023" spans="1:26" x14ac:dyDescent="0.2">
      <c r="A5023" s="8">
        <v>5022</v>
      </c>
      <c r="B5023" s="8" t="s">
        <v>22543</v>
      </c>
      <c r="C5023" s="8" t="s">
        <v>22543</v>
      </c>
      <c r="F5023" s="47"/>
      <c r="G5023" s="8">
        <v>19</v>
      </c>
      <c r="H5023" s="8" t="s">
        <v>21</v>
      </c>
      <c r="I5023" s="8" t="s">
        <v>22</v>
      </c>
      <c r="J5023" s="8" t="s">
        <v>22</v>
      </c>
      <c r="K5023" s="8" t="s">
        <v>23</v>
      </c>
      <c r="L5023" s="8" t="s">
        <v>17287</v>
      </c>
      <c r="M5023" s="8" t="s">
        <v>17288</v>
      </c>
      <c r="N5023" s="8" t="s">
        <v>22544</v>
      </c>
      <c r="O5023" s="8">
        <f>13+13/60+30.7/3600</f>
        <v>13.225194444444444</v>
      </c>
      <c r="P5023" s="8" t="s">
        <v>22545</v>
      </c>
      <c r="Q5023" s="8">
        <f>-(19+32/60+51/3600)</f>
        <v>-19.547500000000003</v>
      </c>
      <c r="R5023" s="8">
        <v>12.9</v>
      </c>
      <c r="S5023" s="8">
        <v>13.7</v>
      </c>
      <c r="T5023" s="8">
        <v>0.8</v>
      </c>
      <c r="U5023" s="8">
        <v>12.8</v>
      </c>
      <c r="V5023" s="8">
        <v>2.5</v>
      </c>
      <c r="W5023" s="8">
        <v>0.4</v>
      </c>
      <c r="X5023" s="8">
        <v>21</v>
      </c>
      <c r="Y5023" s="8" t="s">
        <v>22546</v>
      </c>
      <c r="Z5023" s="8" t="s">
        <v>22547</v>
      </c>
    </row>
    <row r="5024" spans="1:26" x14ac:dyDescent="0.2">
      <c r="A5024" s="8">
        <v>5023</v>
      </c>
      <c r="B5024" s="8" t="s">
        <v>22548</v>
      </c>
      <c r="C5024" s="8" t="s">
        <v>22548</v>
      </c>
      <c r="F5024" s="47" t="s">
        <v>57694</v>
      </c>
      <c r="G5024" s="8">
        <v>6.5</v>
      </c>
      <c r="H5024" s="8" t="s">
        <v>21</v>
      </c>
      <c r="I5024" s="8" t="s">
        <v>22</v>
      </c>
      <c r="J5024" s="8" t="s">
        <v>22</v>
      </c>
      <c r="K5024" s="8" t="s">
        <v>160</v>
      </c>
      <c r="L5024" s="8" t="s">
        <v>18681</v>
      </c>
      <c r="M5024" s="8" t="s">
        <v>18682</v>
      </c>
      <c r="N5024" s="8" t="s">
        <v>22549</v>
      </c>
      <c r="O5024" s="8">
        <f>13+12/60+11.7/3600</f>
        <v>13.203249999999999</v>
      </c>
      <c r="P5024" s="8" t="s">
        <v>22550</v>
      </c>
      <c r="Q5024" s="8">
        <f>+(44+2/60+14/3600)</f>
        <v>44.037222222222219</v>
      </c>
      <c r="R5024" s="8">
        <v>12.3</v>
      </c>
      <c r="S5024" s="8">
        <v>12.9</v>
      </c>
      <c r="T5024" s="8">
        <v>0.6</v>
      </c>
      <c r="U5024" s="8">
        <v>13.9</v>
      </c>
      <c r="V5024" s="8">
        <v>5.8</v>
      </c>
      <c r="W5024" s="8">
        <v>0.8</v>
      </c>
      <c r="X5024" s="8">
        <v>28</v>
      </c>
      <c r="Y5024" s="8" t="s">
        <v>22551</v>
      </c>
      <c r="Z5024" s="8" t="s">
        <v>22552</v>
      </c>
    </row>
    <row r="5025" spans="1:26" x14ac:dyDescent="0.2">
      <c r="A5025" s="8">
        <v>5024</v>
      </c>
      <c r="B5025" s="8" t="s">
        <v>22553</v>
      </c>
      <c r="C5025" s="8" t="s">
        <v>55918</v>
      </c>
      <c r="F5025" s="47"/>
      <c r="G5025" s="8">
        <v>1</v>
      </c>
      <c r="H5025" s="8" t="s">
        <v>21</v>
      </c>
      <c r="I5025" s="8" t="s">
        <v>567</v>
      </c>
      <c r="J5025" s="8" t="s">
        <v>567</v>
      </c>
      <c r="K5025" s="8" t="s">
        <v>8821</v>
      </c>
      <c r="L5025" s="8" t="s">
        <v>18289</v>
      </c>
      <c r="M5025" s="8" t="s">
        <v>18290</v>
      </c>
      <c r="N5025" s="8" t="s">
        <v>22554</v>
      </c>
      <c r="O5025" s="8">
        <f>13+12/60+55.3/3600</f>
        <v>13.215361111111111</v>
      </c>
      <c r="P5025" s="8" t="s">
        <v>22555</v>
      </c>
      <c r="Q5025" s="8">
        <f>+(18+10/60+11/3600)</f>
        <v>18.169722222222223</v>
      </c>
      <c r="R5025" s="8">
        <v>7.7</v>
      </c>
      <c r="S5025" s="8">
        <v>99</v>
      </c>
      <c r="T5025" s="8">
        <v>99</v>
      </c>
      <c r="U5025" s="8">
        <v>99</v>
      </c>
      <c r="V5025" s="8">
        <v>13</v>
      </c>
      <c r="Y5025" s="8" t="s">
        <v>22556</v>
      </c>
      <c r="Z5025" s="8" t="s">
        <v>22557</v>
      </c>
    </row>
    <row r="5026" spans="1:26" x14ac:dyDescent="0.2">
      <c r="A5026" s="8">
        <v>5025</v>
      </c>
      <c r="B5026" s="8" t="s">
        <v>22558</v>
      </c>
      <c r="C5026" s="8" t="s">
        <v>22558</v>
      </c>
      <c r="F5026" s="47" t="s">
        <v>57695</v>
      </c>
      <c r="G5026" s="8">
        <v>15</v>
      </c>
      <c r="H5026" s="8" t="s">
        <v>21</v>
      </c>
      <c r="I5026" s="8" t="s">
        <v>22</v>
      </c>
      <c r="J5026" s="8" t="s">
        <v>22</v>
      </c>
      <c r="K5026" s="8" t="s">
        <v>23</v>
      </c>
      <c r="L5026" s="8" t="s">
        <v>18681</v>
      </c>
      <c r="M5026" s="8" t="s">
        <v>18682</v>
      </c>
      <c r="N5026" s="8" t="s">
        <v>22559</v>
      </c>
      <c r="O5026" s="8">
        <f>13+12/60+44.8/3600</f>
        <v>13.212444444444444</v>
      </c>
      <c r="P5026" s="8" t="s">
        <v>22560</v>
      </c>
      <c r="Q5026" s="8">
        <f>+(31+48/60+31/3600)</f>
        <v>31.808611111111112</v>
      </c>
      <c r="R5026" s="8">
        <v>13.6</v>
      </c>
      <c r="S5026" s="8">
        <v>14.4</v>
      </c>
      <c r="T5026" s="8">
        <v>0.8</v>
      </c>
      <c r="U5026" s="8">
        <v>13.6</v>
      </c>
      <c r="V5026" s="8">
        <v>2</v>
      </c>
      <c r="W5026" s="8">
        <v>0.6</v>
      </c>
      <c r="X5026" s="8">
        <v>57</v>
      </c>
      <c r="Y5026" s="8" t="s">
        <v>22561</v>
      </c>
      <c r="Z5026" s="8" t="s">
        <v>22562</v>
      </c>
    </row>
    <row r="5027" spans="1:26" x14ac:dyDescent="0.2">
      <c r="A5027" s="8">
        <v>5026</v>
      </c>
      <c r="B5027" s="8" t="s">
        <v>22563</v>
      </c>
      <c r="C5027" s="8" t="s">
        <v>22563</v>
      </c>
      <c r="F5027" s="47"/>
      <c r="G5027" s="8">
        <v>16</v>
      </c>
      <c r="H5027" s="8" t="s">
        <v>21</v>
      </c>
      <c r="I5027" s="8" t="s">
        <v>22</v>
      </c>
      <c r="J5027" s="8" t="s">
        <v>22</v>
      </c>
      <c r="K5027" s="8" t="s">
        <v>154</v>
      </c>
      <c r="L5027" s="8" t="s">
        <v>16195</v>
      </c>
      <c r="M5027" s="8" t="s">
        <v>16196</v>
      </c>
      <c r="N5027" s="8" t="s">
        <v>22564</v>
      </c>
      <c r="O5027" s="8">
        <f>13+14/60+13.4/3600</f>
        <v>13.237055555555555</v>
      </c>
      <c r="P5027" s="8" t="s">
        <v>22565</v>
      </c>
      <c r="Q5027" s="8">
        <f>-(42+57/60+41/3600)</f>
        <v>-42.961388888888891</v>
      </c>
      <c r="R5027" s="8">
        <v>11.3</v>
      </c>
      <c r="S5027" s="8">
        <v>12.2</v>
      </c>
      <c r="T5027" s="8">
        <v>0.9</v>
      </c>
      <c r="U5027" s="8">
        <v>13.2</v>
      </c>
      <c r="V5027" s="8">
        <v>3.3</v>
      </c>
      <c r="W5027" s="8">
        <v>2.1</v>
      </c>
      <c r="X5027" s="8">
        <v>52</v>
      </c>
      <c r="Y5027" s="8" t="s">
        <v>22566</v>
      </c>
      <c r="Z5027" s="8" t="s">
        <v>22567</v>
      </c>
    </row>
    <row r="5028" spans="1:26" x14ac:dyDescent="0.2">
      <c r="A5028" s="8">
        <v>5027</v>
      </c>
      <c r="B5028" s="8" t="s">
        <v>22568</v>
      </c>
      <c r="C5028" s="8" t="s">
        <v>22568</v>
      </c>
      <c r="F5028" s="47"/>
      <c r="G5028" s="8">
        <v>16</v>
      </c>
      <c r="H5028" s="8" t="s">
        <v>21</v>
      </c>
      <c r="I5028" s="8" t="s">
        <v>22</v>
      </c>
      <c r="J5028" s="8" t="s">
        <v>22</v>
      </c>
      <c r="K5028" s="8" t="s">
        <v>218</v>
      </c>
      <c r="L5028" s="8" t="s">
        <v>17287</v>
      </c>
      <c r="M5028" s="8" t="s">
        <v>17288</v>
      </c>
      <c r="N5028" s="8" t="s">
        <v>22569</v>
      </c>
      <c r="O5028" s="8">
        <f>13+13/60+20.9/3600</f>
        <v>13.222472222222223</v>
      </c>
      <c r="P5028" s="8" t="s">
        <v>22570</v>
      </c>
      <c r="Q5028" s="8">
        <f>+(6+3/60+43/3600)</f>
        <v>6.0619444444444444</v>
      </c>
      <c r="R5028" s="8">
        <v>13.4</v>
      </c>
      <c r="S5028" s="8">
        <v>14.2</v>
      </c>
      <c r="T5028" s="8">
        <v>0.8</v>
      </c>
      <c r="U5028" s="8">
        <v>13.6</v>
      </c>
      <c r="V5028" s="8">
        <v>1.2</v>
      </c>
      <c r="W5028" s="8">
        <v>1.1000000000000001</v>
      </c>
      <c r="X5028" s="8">
        <v>63</v>
      </c>
      <c r="Y5028" s="8" t="s">
        <v>16184</v>
      </c>
      <c r="Z5028" s="8" t="s">
        <v>16185</v>
      </c>
    </row>
    <row r="5029" spans="1:26" x14ac:dyDescent="0.2">
      <c r="A5029" s="8">
        <v>5028</v>
      </c>
      <c r="B5029" s="8" t="s">
        <v>22571</v>
      </c>
      <c r="C5029" s="8" t="s">
        <v>22571</v>
      </c>
      <c r="F5029" s="47"/>
      <c r="G5029" s="8">
        <v>19</v>
      </c>
      <c r="H5029" s="8" t="s">
        <v>21</v>
      </c>
      <c r="I5029" s="8" t="s">
        <v>22</v>
      </c>
      <c r="J5029" s="8" t="s">
        <v>22</v>
      </c>
      <c r="K5029" s="8" t="s">
        <v>3850</v>
      </c>
      <c r="L5029" s="8" t="s">
        <v>17287</v>
      </c>
      <c r="M5029" s="8" t="s">
        <v>17288</v>
      </c>
      <c r="N5029" s="8" t="s">
        <v>22572</v>
      </c>
      <c r="O5029" s="8">
        <f>13+13/60+45.8/3600</f>
        <v>13.22938888888889</v>
      </c>
      <c r="P5029" s="8" t="s">
        <v>22573</v>
      </c>
      <c r="Q5029" s="8">
        <f>-(13+2/60+31/3600)</f>
        <v>-13.041944444444445</v>
      </c>
      <c r="R5029" s="8">
        <v>12.3</v>
      </c>
      <c r="S5029" s="8">
        <v>13.3</v>
      </c>
      <c r="T5029" s="8">
        <v>1</v>
      </c>
      <c r="U5029" s="8">
        <v>12.8</v>
      </c>
      <c r="V5029" s="8">
        <v>1.6</v>
      </c>
      <c r="W5029" s="8">
        <v>0.9</v>
      </c>
      <c r="X5029" s="8">
        <v>130</v>
      </c>
      <c r="Y5029" s="8" t="s">
        <v>22574</v>
      </c>
      <c r="Z5029" s="8" t="s">
        <v>22575</v>
      </c>
    </row>
    <row r="5030" spans="1:26" x14ac:dyDescent="0.2">
      <c r="A5030" s="8">
        <v>5029</v>
      </c>
      <c r="B5030" s="8" t="s">
        <v>22576</v>
      </c>
      <c r="C5030" s="8" t="s">
        <v>22576</v>
      </c>
      <c r="F5030" s="47"/>
      <c r="G5030" s="8">
        <v>16</v>
      </c>
      <c r="H5030" s="8" t="s">
        <v>21</v>
      </c>
      <c r="I5030" s="8" t="s">
        <v>22</v>
      </c>
      <c r="J5030" s="8" t="s">
        <v>22</v>
      </c>
      <c r="K5030" s="8" t="s">
        <v>50</v>
      </c>
      <c r="L5030" s="8" t="s">
        <v>18681</v>
      </c>
      <c r="M5030" s="8" t="s">
        <v>18682</v>
      </c>
      <c r="N5030" s="8" t="s">
        <v>22577</v>
      </c>
      <c r="O5030" s="8">
        <f>13+12/60+37.4/3600</f>
        <v>13.210388888888888</v>
      </c>
      <c r="P5030" s="8" t="s">
        <v>22578</v>
      </c>
      <c r="Q5030" s="8">
        <f>+(47+3/60+48/3600)</f>
        <v>47.063333333333333</v>
      </c>
      <c r="R5030" s="8">
        <v>13.1</v>
      </c>
      <c r="S5030" s="8">
        <v>14.1</v>
      </c>
      <c r="T5030" s="8">
        <v>1</v>
      </c>
      <c r="U5030" s="8">
        <v>13.8</v>
      </c>
      <c r="V5030" s="8">
        <v>1.7</v>
      </c>
      <c r="W5030" s="8">
        <v>1.1000000000000001</v>
      </c>
      <c r="X5030" s="8">
        <v>150</v>
      </c>
      <c r="Y5030" s="8" t="s">
        <v>530</v>
      </c>
      <c r="Z5030" s="8" t="s">
        <v>531</v>
      </c>
    </row>
    <row r="5031" spans="1:26" x14ac:dyDescent="0.2">
      <c r="A5031" s="8">
        <v>5030</v>
      </c>
      <c r="B5031" s="8" t="s">
        <v>22579</v>
      </c>
      <c r="C5031" s="8" t="s">
        <v>22579</v>
      </c>
      <c r="F5031" s="47"/>
      <c r="G5031" s="8">
        <v>19</v>
      </c>
      <c r="H5031" s="8" t="s">
        <v>21</v>
      </c>
      <c r="I5031" s="8" t="s">
        <v>22</v>
      </c>
      <c r="J5031" s="8" t="s">
        <v>22</v>
      </c>
      <c r="K5031" s="8" t="s">
        <v>435</v>
      </c>
      <c r="L5031" s="8" t="s">
        <v>17287</v>
      </c>
      <c r="M5031" s="8" t="s">
        <v>17288</v>
      </c>
      <c r="N5031" s="8" t="s">
        <v>22580</v>
      </c>
      <c r="O5031" s="8">
        <f>13+13/60+54.1/3600</f>
        <v>13.231694444444445</v>
      </c>
      <c r="P5031" s="8" t="s">
        <v>22581</v>
      </c>
      <c r="Q5031" s="8">
        <f>-(16+29/60+28/3600)</f>
        <v>-16.491111111111113</v>
      </c>
      <c r="R5031" s="8">
        <v>12.7</v>
      </c>
      <c r="S5031" s="8">
        <v>13.6</v>
      </c>
      <c r="T5031" s="8">
        <v>0.9</v>
      </c>
      <c r="U5031" s="8">
        <v>13.3</v>
      </c>
      <c r="V5031" s="8">
        <v>1.7</v>
      </c>
      <c r="W5031" s="8">
        <v>1.2</v>
      </c>
      <c r="X5031" s="8">
        <v>0</v>
      </c>
      <c r="Y5031" s="8" t="s">
        <v>1511</v>
      </c>
      <c r="Z5031" s="8" t="s">
        <v>1512</v>
      </c>
    </row>
    <row r="5032" spans="1:26" x14ac:dyDescent="0.2">
      <c r="A5032" s="8">
        <v>5031</v>
      </c>
      <c r="B5032" s="8" t="s">
        <v>22582</v>
      </c>
      <c r="C5032" s="8" t="s">
        <v>22582</v>
      </c>
      <c r="F5032" s="47"/>
      <c r="G5032" s="8">
        <v>19</v>
      </c>
      <c r="H5032" s="8" t="s">
        <v>21</v>
      </c>
      <c r="I5032" s="8" t="s">
        <v>22</v>
      </c>
      <c r="J5032" s="8" t="s">
        <v>22</v>
      </c>
      <c r="K5032" s="8" t="s">
        <v>632</v>
      </c>
      <c r="L5032" s="8" t="s">
        <v>17287</v>
      </c>
      <c r="M5032" s="8" t="s">
        <v>17288</v>
      </c>
      <c r="N5032" s="8" t="s">
        <v>22583</v>
      </c>
      <c r="O5032" s="8">
        <f>13+14/60+3.1/3600</f>
        <v>13.234194444444444</v>
      </c>
      <c r="P5032" s="8" t="s">
        <v>22584</v>
      </c>
      <c r="Q5032" s="8">
        <f>-(16+7/60+21/3600)</f>
        <v>-16.122499999999999</v>
      </c>
      <c r="R5032" s="8">
        <v>12.9</v>
      </c>
      <c r="S5032" s="8">
        <v>13.8</v>
      </c>
      <c r="T5032" s="8">
        <v>0.9</v>
      </c>
      <c r="U5032" s="8">
        <v>12.2</v>
      </c>
      <c r="V5032" s="8">
        <v>1.7</v>
      </c>
      <c r="W5032" s="8">
        <v>0.4</v>
      </c>
      <c r="X5032" s="8">
        <v>114</v>
      </c>
      <c r="Y5032" s="8" t="s">
        <v>3344</v>
      </c>
      <c r="Z5032" s="8" t="s">
        <v>3345</v>
      </c>
    </row>
    <row r="5033" spans="1:26" x14ac:dyDescent="0.2">
      <c r="A5033" s="8">
        <v>5032</v>
      </c>
      <c r="B5033" s="8" t="s">
        <v>22585</v>
      </c>
      <c r="C5033" s="8" t="s">
        <v>22585</v>
      </c>
      <c r="F5033" s="47" t="s">
        <v>57696</v>
      </c>
      <c r="G5033" s="8">
        <v>15</v>
      </c>
      <c r="H5033" s="8" t="s">
        <v>21</v>
      </c>
      <c r="I5033" s="8" t="s">
        <v>22</v>
      </c>
      <c r="J5033" s="8" t="s">
        <v>22</v>
      </c>
      <c r="K5033" s="8" t="s">
        <v>218</v>
      </c>
      <c r="L5033" s="8" t="s">
        <v>18289</v>
      </c>
      <c r="M5033" s="8" t="s">
        <v>18290</v>
      </c>
      <c r="N5033" s="8" t="s">
        <v>22586</v>
      </c>
      <c r="O5033" s="8">
        <f>13+13/60+27/3600</f>
        <v>13.224166666666667</v>
      </c>
      <c r="P5033" s="8" t="s">
        <v>22587</v>
      </c>
      <c r="Q5033" s="8">
        <f>+(27+48/60+4/3600)</f>
        <v>27.801111111111112</v>
      </c>
      <c r="R5033" s="8">
        <v>12.8</v>
      </c>
      <c r="S5033" s="8">
        <v>13.7</v>
      </c>
      <c r="T5033" s="8">
        <v>0.9</v>
      </c>
      <c r="U5033" s="8">
        <v>13.6</v>
      </c>
      <c r="V5033" s="8">
        <v>2.1</v>
      </c>
      <c r="W5033" s="8">
        <v>1.1000000000000001</v>
      </c>
      <c r="X5033" s="8">
        <v>22</v>
      </c>
      <c r="Y5033" s="8" t="s">
        <v>13422</v>
      </c>
      <c r="Z5033" s="8" t="s">
        <v>13423</v>
      </c>
    </row>
    <row r="5034" spans="1:26" x14ac:dyDescent="0.2">
      <c r="A5034" s="8">
        <v>5033</v>
      </c>
      <c r="B5034" s="8" t="s">
        <v>22588</v>
      </c>
      <c r="C5034" s="8" t="s">
        <v>22588</v>
      </c>
      <c r="F5034" s="47" t="s">
        <v>57697</v>
      </c>
      <c r="G5034" s="8">
        <v>6</v>
      </c>
      <c r="H5034" s="8" t="s">
        <v>22589</v>
      </c>
      <c r="I5034" s="8" t="s">
        <v>22</v>
      </c>
      <c r="J5034" s="8" t="s">
        <v>22</v>
      </c>
      <c r="K5034" s="8" t="s">
        <v>160</v>
      </c>
      <c r="L5034" s="8" t="s">
        <v>18681</v>
      </c>
      <c r="M5034" s="8" t="s">
        <v>18682</v>
      </c>
      <c r="N5034" s="8" t="s">
        <v>22590</v>
      </c>
      <c r="O5034" s="8">
        <f>13+13/60+28/3600</f>
        <v>13.224444444444444</v>
      </c>
      <c r="P5034" s="8" t="s">
        <v>22591</v>
      </c>
      <c r="Q5034" s="8">
        <f>+(36+35/60+36/3600)</f>
        <v>36.593333333333334</v>
      </c>
      <c r="R5034" s="8">
        <v>10.199999999999999</v>
      </c>
      <c r="S5034" s="8">
        <v>10.8</v>
      </c>
      <c r="T5034" s="8">
        <v>0.6</v>
      </c>
      <c r="U5034" s="8">
        <v>14.4</v>
      </c>
      <c r="V5034" s="8">
        <v>10.7</v>
      </c>
      <c r="W5034" s="8">
        <v>5</v>
      </c>
      <c r="X5034" s="8">
        <v>170</v>
      </c>
      <c r="Y5034" s="8" t="s">
        <v>22592</v>
      </c>
      <c r="Z5034" s="8" t="s">
        <v>22593</v>
      </c>
    </row>
    <row r="5035" spans="1:26" x14ac:dyDescent="0.2">
      <c r="A5035" s="8">
        <v>5034</v>
      </c>
      <c r="B5035" s="8" t="s">
        <v>22594</v>
      </c>
      <c r="C5035" s="8" t="s">
        <v>22594</v>
      </c>
      <c r="F5035" s="47" t="s">
        <v>57698</v>
      </c>
      <c r="G5035" s="8">
        <v>15</v>
      </c>
      <c r="H5035" s="8" t="s">
        <v>21</v>
      </c>
      <c r="I5035" s="8" t="s">
        <v>22</v>
      </c>
      <c r="J5035" s="8" t="s">
        <v>22</v>
      </c>
      <c r="K5035" s="8" t="s">
        <v>160</v>
      </c>
      <c r="L5035" s="8" t="s">
        <v>14586</v>
      </c>
      <c r="M5035" s="8" t="s">
        <v>14587</v>
      </c>
      <c r="N5035" s="8" t="s">
        <v>22595</v>
      </c>
      <c r="O5035" s="8">
        <f>13+12/60+19.2/3600</f>
        <v>13.205333333333332</v>
      </c>
      <c r="P5035" s="8" t="s">
        <v>22596</v>
      </c>
      <c r="Q5035" s="8">
        <f>+(70+38/60+59/3600)</f>
        <v>70.649722222222223</v>
      </c>
      <c r="R5035" s="8">
        <v>13.3</v>
      </c>
      <c r="S5035" s="8">
        <v>14</v>
      </c>
      <c r="T5035" s="8">
        <v>0.7</v>
      </c>
      <c r="U5035" s="8">
        <v>12.7</v>
      </c>
      <c r="V5035" s="8">
        <v>0.9</v>
      </c>
      <c r="W5035" s="8">
        <v>0.7</v>
      </c>
      <c r="X5035" s="8">
        <v>15</v>
      </c>
      <c r="Y5035" s="8" t="s">
        <v>421</v>
      </c>
      <c r="Z5035" s="8" t="s">
        <v>422</v>
      </c>
    </row>
    <row r="5036" spans="1:26" x14ac:dyDescent="0.2">
      <c r="A5036" s="8">
        <v>5035</v>
      </c>
      <c r="B5036" s="8" t="s">
        <v>22597</v>
      </c>
      <c r="C5036" s="8" t="s">
        <v>22597</v>
      </c>
      <c r="F5036" s="47"/>
      <c r="G5036" s="8">
        <v>19</v>
      </c>
      <c r="H5036" s="8" t="s">
        <v>21</v>
      </c>
      <c r="I5036" s="8" t="s">
        <v>22</v>
      </c>
      <c r="J5036" s="8" t="s">
        <v>22</v>
      </c>
      <c r="K5036" s="8" t="s">
        <v>435</v>
      </c>
      <c r="L5036" s="8" t="s">
        <v>17287</v>
      </c>
      <c r="M5036" s="8" t="s">
        <v>17288</v>
      </c>
      <c r="N5036" s="8" t="s">
        <v>22598</v>
      </c>
      <c r="O5036" s="8">
        <f>13+14/60+49.1/3600</f>
        <v>13.246972222222221</v>
      </c>
      <c r="P5036" s="8" t="s">
        <v>22599</v>
      </c>
      <c r="Q5036" s="8">
        <f>-(16+29/60+32/3600)</f>
        <v>-16.492222222222225</v>
      </c>
      <c r="R5036" s="8">
        <v>12.8</v>
      </c>
      <c r="S5036" s="8">
        <v>13.6</v>
      </c>
      <c r="T5036" s="8">
        <v>0.8</v>
      </c>
      <c r="U5036" s="8">
        <v>13.2</v>
      </c>
      <c r="V5036" s="8">
        <v>1.4</v>
      </c>
      <c r="W5036" s="8">
        <v>1.1000000000000001</v>
      </c>
      <c r="X5036" s="8">
        <v>151</v>
      </c>
      <c r="Y5036" s="8" t="s">
        <v>22600</v>
      </c>
      <c r="Z5036" s="8" t="s">
        <v>22601</v>
      </c>
    </row>
    <row r="5037" spans="1:26" x14ac:dyDescent="0.2">
      <c r="A5037" s="8">
        <v>5036</v>
      </c>
      <c r="B5037" s="8" t="s">
        <v>22602</v>
      </c>
      <c r="C5037" s="8" t="s">
        <v>22602</v>
      </c>
      <c r="F5037" s="47"/>
      <c r="G5037" s="8">
        <v>19</v>
      </c>
      <c r="H5037" s="8" t="s">
        <v>21</v>
      </c>
      <c r="I5037" s="8" t="s">
        <v>22</v>
      </c>
      <c r="J5037" s="8" t="s">
        <v>22</v>
      </c>
      <c r="K5037" s="8" t="s">
        <v>58</v>
      </c>
      <c r="L5037" s="8" t="s">
        <v>17287</v>
      </c>
      <c r="M5037" s="8" t="s">
        <v>17288</v>
      </c>
      <c r="N5037" s="8" t="s">
        <v>22603</v>
      </c>
      <c r="O5037" s="8">
        <f>13+14/60+42.8/3600</f>
        <v>13.245222222222221</v>
      </c>
      <c r="P5037" s="8" t="s">
        <v>22604</v>
      </c>
      <c r="Q5037" s="8">
        <f>-(4+10/60+41/3600)</f>
        <v>-4.1780555555555559</v>
      </c>
      <c r="R5037" s="8">
        <v>14.6</v>
      </c>
      <c r="S5037" s="8">
        <v>15.6</v>
      </c>
      <c r="T5037" s="8">
        <v>1</v>
      </c>
      <c r="U5037" s="8">
        <v>13.5</v>
      </c>
      <c r="V5037" s="8">
        <v>0.7</v>
      </c>
      <c r="W5037" s="8">
        <v>0.5</v>
      </c>
      <c r="X5037" s="8">
        <v>75</v>
      </c>
      <c r="Y5037" s="8" t="s">
        <v>22605</v>
      </c>
      <c r="Z5037" s="8" t="s">
        <v>22606</v>
      </c>
    </row>
    <row r="5038" spans="1:26" x14ac:dyDescent="0.2">
      <c r="A5038" s="8">
        <v>5037</v>
      </c>
      <c r="B5038" s="8" t="s">
        <v>22607</v>
      </c>
      <c r="C5038" s="8" t="s">
        <v>22607</v>
      </c>
      <c r="F5038" s="47" t="s">
        <v>57699</v>
      </c>
      <c r="G5038" s="8">
        <v>6.5</v>
      </c>
      <c r="H5038" s="8" t="s">
        <v>21</v>
      </c>
      <c r="I5038" s="8" t="s">
        <v>22</v>
      </c>
      <c r="J5038" s="8" t="s">
        <v>22</v>
      </c>
      <c r="K5038" s="8" t="s">
        <v>91</v>
      </c>
      <c r="L5038" s="8" t="s">
        <v>17287</v>
      </c>
      <c r="M5038" s="8" t="s">
        <v>17288</v>
      </c>
      <c r="N5038" s="8" t="s">
        <v>22608</v>
      </c>
      <c r="O5038" s="8">
        <f>13+14/60+59.4/3600</f>
        <v>13.249833333333333</v>
      </c>
      <c r="P5038" s="8" t="s">
        <v>22609</v>
      </c>
      <c r="Q5038" s="8">
        <f>-(16+35/60+24/3600)</f>
        <v>-16.59</v>
      </c>
      <c r="R5038" s="8">
        <v>12.2</v>
      </c>
      <c r="S5038" s="8">
        <v>13.2</v>
      </c>
      <c r="T5038" s="8">
        <v>1</v>
      </c>
      <c r="U5038" s="8">
        <v>12.4</v>
      </c>
      <c r="V5038" s="8">
        <v>2</v>
      </c>
      <c r="W5038" s="8">
        <v>0.6</v>
      </c>
      <c r="X5038" s="8">
        <v>43</v>
      </c>
      <c r="Y5038" s="8" t="s">
        <v>22610</v>
      </c>
      <c r="Z5038" s="8" t="s">
        <v>22611</v>
      </c>
    </row>
    <row r="5039" spans="1:26" x14ac:dyDescent="0.2">
      <c r="A5039" s="8">
        <v>5038</v>
      </c>
      <c r="B5039" s="8" t="s">
        <v>22612</v>
      </c>
      <c r="C5039" s="8" t="s">
        <v>22612</v>
      </c>
      <c r="F5039" s="47"/>
      <c r="G5039" s="8">
        <v>19</v>
      </c>
      <c r="H5039" s="8" t="s">
        <v>21</v>
      </c>
      <c r="I5039" s="8" t="s">
        <v>22</v>
      </c>
      <c r="J5039" s="8" t="s">
        <v>22</v>
      </c>
      <c r="K5039" s="8" t="s">
        <v>37</v>
      </c>
      <c r="L5039" s="8" t="s">
        <v>17287</v>
      </c>
      <c r="M5039" s="8" t="s">
        <v>17288</v>
      </c>
      <c r="N5039" s="8" t="s">
        <v>22613</v>
      </c>
      <c r="O5039" s="8">
        <f>13+15/60+2/3600</f>
        <v>13.250555555555556</v>
      </c>
      <c r="P5039" s="8" t="s">
        <v>22614</v>
      </c>
      <c r="Q5039" s="8">
        <f>-(15+57/60+7/3600)</f>
        <v>-15.951944444444443</v>
      </c>
      <c r="R5039" s="8">
        <v>13.5</v>
      </c>
      <c r="S5039" s="8">
        <v>14.5</v>
      </c>
      <c r="T5039" s="8">
        <v>1</v>
      </c>
      <c r="U5039" s="8">
        <v>12.5</v>
      </c>
      <c r="V5039" s="8">
        <v>1.5</v>
      </c>
      <c r="W5039" s="8">
        <v>0.3</v>
      </c>
      <c r="X5039" s="8">
        <v>95</v>
      </c>
      <c r="Y5039" s="8" t="s">
        <v>22615</v>
      </c>
      <c r="Z5039" s="8" t="s">
        <v>22616</v>
      </c>
    </row>
    <row r="5040" spans="1:26" x14ac:dyDescent="0.2">
      <c r="A5040" s="8">
        <v>5039</v>
      </c>
      <c r="B5040" s="8" t="s">
        <v>22617</v>
      </c>
      <c r="C5040" s="8" t="s">
        <v>22617</v>
      </c>
      <c r="F5040" s="47"/>
      <c r="G5040" s="8">
        <v>19</v>
      </c>
      <c r="H5040" s="8" t="s">
        <v>21</v>
      </c>
      <c r="I5040" s="8" t="s">
        <v>22</v>
      </c>
      <c r="J5040" s="8" t="s">
        <v>22</v>
      </c>
      <c r="K5040" s="8" t="s">
        <v>91</v>
      </c>
      <c r="L5040" s="8" t="s">
        <v>17287</v>
      </c>
      <c r="M5040" s="8" t="s">
        <v>17288</v>
      </c>
      <c r="N5040" s="8" t="s">
        <v>22618</v>
      </c>
      <c r="O5040" s="8">
        <f>13+14/60+52/3600</f>
        <v>13.247777777777777</v>
      </c>
      <c r="P5040" s="8" t="s">
        <v>22619</v>
      </c>
      <c r="Q5040" s="8">
        <f>-(4+9/60+29/3600)</f>
        <v>-4.1580555555555563</v>
      </c>
      <c r="R5040" s="8">
        <v>15.4</v>
      </c>
      <c r="S5040" s="8">
        <v>16.3</v>
      </c>
      <c r="T5040" s="8">
        <v>0.9</v>
      </c>
      <c r="U5040" s="8">
        <v>13.6</v>
      </c>
      <c r="V5040" s="8">
        <v>0.7</v>
      </c>
      <c r="W5040" s="8">
        <v>0.3</v>
      </c>
      <c r="X5040" s="8">
        <v>40</v>
      </c>
      <c r="Y5040" s="8" t="s">
        <v>22620</v>
      </c>
      <c r="Z5040" s="8" t="s">
        <v>22621</v>
      </c>
    </row>
    <row r="5041" spans="1:26" x14ac:dyDescent="0.2">
      <c r="A5041" s="8">
        <v>5040</v>
      </c>
      <c r="B5041" s="8" t="s">
        <v>22622</v>
      </c>
      <c r="C5041" s="8" t="s">
        <v>22622</v>
      </c>
      <c r="E5041" s="8">
        <v>1</v>
      </c>
      <c r="F5041" s="47" t="s">
        <v>57700</v>
      </c>
      <c r="G5041" s="8">
        <v>15</v>
      </c>
      <c r="H5041" s="8" t="s">
        <v>21</v>
      </c>
      <c r="I5041" s="8" t="s">
        <v>22</v>
      </c>
      <c r="J5041" s="8" t="s">
        <v>22</v>
      </c>
      <c r="K5041" s="8" t="s">
        <v>449</v>
      </c>
      <c r="L5041" s="8" t="s">
        <v>18681</v>
      </c>
      <c r="M5041" s="8" t="s">
        <v>18682</v>
      </c>
      <c r="N5041" s="8" t="s">
        <v>22623</v>
      </c>
      <c r="O5041" s="8">
        <f>13+13/60+32.6/3600</f>
        <v>13.225722222222222</v>
      </c>
      <c r="P5041" s="8" t="s">
        <v>22624</v>
      </c>
      <c r="Q5041" s="8">
        <f>+(51+15/60+31/3600)</f>
        <v>51.258611111111108</v>
      </c>
      <c r="R5041" s="8">
        <v>14.2</v>
      </c>
      <c r="S5041" s="8">
        <v>15</v>
      </c>
      <c r="T5041" s="8">
        <v>0.8</v>
      </c>
      <c r="U5041" s="8">
        <v>13.3</v>
      </c>
      <c r="V5041" s="8">
        <v>1</v>
      </c>
      <c r="W5041" s="8">
        <v>0.5</v>
      </c>
      <c r="X5041" s="8">
        <v>66</v>
      </c>
      <c r="Y5041" s="8" t="s">
        <v>22625</v>
      </c>
      <c r="Z5041" s="8" t="s">
        <v>22626</v>
      </c>
    </row>
    <row r="5042" spans="1:26" x14ac:dyDescent="0.2">
      <c r="A5042" s="8">
        <v>5041</v>
      </c>
      <c r="B5042" s="8" t="s">
        <v>22627</v>
      </c>
      <c r="C5042" s="8" t="s">
        <v>22627</v>
      </c>
      <c r="F5042" s="47"/>
      <c r="G5042" s="8">
        <v>18</v>
      </c>
      <c r="H5042" s="8" t="s">
        <v>21</v>
      </c>
      <c r="I5042" s="8" t="s">
        <v>22</v>
      </c>
      <c r="J5042" s="8" t="s">
        <v>22</v>
      </c>
      <c r="K5042" s="8" t="s">
        <v>160</v>
      </c>
      <c r="L5042" s="8" t="s">
        <v>18289</v>
      </c>
      <c r="M5042" s="8" t="s">
        <v>18290</v>
      </c>
      <c r="N5042" s="8" t="s">
        <v>22628</v>
      </c>
      <c r="O5042" s="8">
        <f>13+14/60+32.5/3600</f>
        <v>13.24236111111111</v>
      </c>
      <c r="P5042" s="8" t="s">
        <v>22629</v>
      </c>
      <c r="Q5042" s="8">
        <f>+(30+42/60+19/3600)</f>
        <v>30.705277777777777</v>
      </c>
      <c r="R5042" s="8">
        <v>13.4</v>
      </c>
      <c r="S5042" s="8">
        <v>14.1</v>
      </c>
      <c r="T5042" s="8">
        <v>0.7</v>
      </c>
      <c r="U5042" s="8">
        <v>14.2</v>
      </c>
      <c r="V5042" s="8">
        <v>1.7</v>
      </c>
      <c r="W5042" s="8">
        <v>1.5</v>
      </c>
      <c r="X5042" s="8">
        <v>150</v>
      </c>
      <c r="Y5042" s="8" t="s">
        <v>895</v>
      </c>
      <c r="Z5042" s="8" t="s">
        <v>896</v>
      </c>
    </row>
    <row r="5043" spans="1:26" x14ac:dyDescent="0.2">
      <c r="A5043" s="8">
        <v>5042</v>
      </c>
      <c r="B5043" s="8" t="s">
        <v>22630</v>
      </c>
      <c r="C5043" s="8" t="s">
        <v>22630</v>
      </c>
      <c r="F5043" s="47"/>
      <c r="G5043" s="8">
        <v>16</v>
      </c>
      <c r="H5043" s="8" t="s">
        <v>21</v>
      </c>
      <c r="I5043" s="8" t="s">
        <v>22</v>
      </c>
      <c r="J5043" s="8" t="s">
        <v>22</v>
      </c>
      <c r="K5043" s="8" t="s">
        <v>64</v>
      </c>
      <c r="L5043" s="8" t="s">
        <v>11765</v>
      </c>
      <c r="M5043" s="8" t="s">
        <v>11766</v>
      </c>
      <c r="N5043" s="8" t="s">
        <v>22631</v>
      </c>
      <c r="O5043" s="8">
        <f>13+15/60+30.8/3600</f>
        <v>13.258555555555555</v>
      </c>
      <c r="P5043" s="8" t="s">
        <v>22632</v>
      </c>
      <c r="Q5043" s="8">
        <f>-(23+59/60+2/3600)</f>
        <v>-23.983888888888888</v>
      </c>
      <c r="R5043" s="8">
        <v>11.8</v>
      </c>
      <c r="S5043" s="8">
        <v>12.5</v>
      </c>
      <c r="T5043" s="8">
        <v>0.7</v>
      </c>
      <c r="U5043" s="8">
        <v>14.1</v>
      </c>
      <c r="V5043" s="8">
        <v>4.2</v>
      </c>
      <c r="W5043" s="8">
        <v>2.2000000000000002</v>
      </c>
      <c r="X5043" s="8">
        <v>22</v>
      </c>
      <c r="Y5043" s="8" t="s">
        <v>22633</v>
      </c>
      <c r="Z5043" s="8" t="s">
        <v>22634</v>
      </c>
    </row>
    <row r="5044" spans="1:26" x14ac:dyDescent="0.2">
      <c r="A5044" s="8">
        <v>5043</v>
      </c>
      <c r="B5044" s="8" t="s">
        <v>22635</v>
      </c>
      <c r="C5044" s="8" t="s">
        <v>22635</v>
      </c>
      <c r="F5044" s="47"/>
      <c r="G5044" s="8">
        <v>16</v>
      </c>
      <c r="H5044" s="8" t="s">
        <v>21</v>
      </c>
      <c r="I5044" s="8" t="s">
        <v>557</v>
      </c>
      <c r="J5044" s="8" t="s">
        <v>557</v>
      </c>
      <c r="K5044" s="8" t="s">
        <v>557</v>
      </c>
      <c r="L5044" s="8" t="s">
        <v>16195</v>
      </c>
      <c r="M5044" s="8" t="s">
        <v>16196</v>
      </c>
      <c r="N5044" s="8" t="s">
        <v>22636</v>
      </c>
      <c r="O5044" s="8">
        <f>13+16/60+40/3600</f>
        <v>13.277777777777779</v>
      </c>
      <c r="P5044" s="8" t="s">
        <v>22637</v>
      </c>
      <c r="Q5044" s="8">
        <f>-(60+2/60+30/3600)</f>
        <v>-60.041666666666664</v>
      </c>
      <c r="R5044" s="8">
        <v>99</v>
      </c>
      <c r="S5044" s="8">
        <v>99</v>
      </c>
      <c r="T5044" s="8">
        <v>99</v>
      </c>
      <c r="U5044" s="8">
        <v>99</v>
      </c>
      <c r="V5044" s="8">
        <v>10</v>
      </c>
      <c r="Y5044" s="8" t="s">
        <v>22638</v>
      </c>
      <c r="Z5044" s="8" t="s">
        <v>22639</v>
      </c>
    </row>
    <row r="5045" spans="1:26" x14ac:dyDescent="0.2">
      <c r="A5045" s="8">
        <v>5044</v>
      </c>
      <c r="B5045" s="8" t="s">
        <v>22640</v>
      </c>
      <c r="C5045" s="8" t="s">
        <v>22640</v>
      </c>
      <c r="F5045" s="47" t="s">
        <v>57701</v>
      </c>
      <c r="G5045" s="8">
        <v>6.5</v>
      </c>
      <c r="H5045" s="8" t="s">
        <v>22641</v>
      </c>
      <c r="I5045" s="8" t="s">
        <v>22</v>
      </c>
      <c r="J5045" s="8" t="s">
        <v>22</v>
      </c>
      <c r="K5045" s="8" t="s">
        <v>460</v>
      </c>
      <c r="L5045" s="8" t="s">
        <v>17287</v>
      </c>
      <c r="M5045" s="8" t="s">
        <v>17288</v>
      </c>
      <c r="N5045" s="8" t="s">
        <v>22642</v>
      </c>
      <c r="O5045" s="8">
        <f>13+15/60+23.9/3600</f>
        <v>13.256638888888888</v>
      </c>
      <c r="P5045" s="8" t="s">
        <v>22643</v>
      </c>
      <c r="Q5045" s="8">
        <f>-(16+23/60+4/3600)</f>
        <v>-16.384444444444444</v>
      </c>
      <c r="R5045" s="8">
        <v>10.8</v>
      </c>
      <c r="S5045" s="8">
        <v>11.8</v>
      </c>
      <c r="T5045" s="8">
        <v>1</v>
      </c>
      <c r="U5045" s="8">
        <v>13.3</v>
      </c>
      <c r="V5045" s="8">
        <v>3</v>
      </c>
      <c r="W5045" s="8">
        <v>3</v>
      </c>
      <c r="Y5045" s="8" t="s">
        <v>9013</v>
      </c>
      <c r="Z5045" s="8" t="s">
        <v>9014</v>
      </c>
    </row>
    <row r="5046" spans="1:26" x14ac:dyDescent="0.2">
      <c r="A5046" s="8">
        <v>5045</v>
      </c>
      <c r="B5046" s="8" t="s">
        <v>22644</v>
      </c>
      <c r="C5046" s="8" t="s">
        <v>22644</v>
      </c>
      <c r="F5046" s="47"/>
      <c r="G5046" s="8">
        <v>16</v>
      </c>
      <c r="H5046" s="8" t="s">
        <v>21</v>
      </c>
      <c r="I5046" s="8" t="s">
        <v>557</v>
      </c>
      <c r="J5046" s="8" t="s">
        <v>557</v>
      </c>
      <c r="K5046" s="8" t="s">
        <v>557</v>
      </c>
      <c r="L5046" s="8" t="s">
        <v>16195</v>
      </c>
      <c r="M5046" s="8" t="s">
        <v>16196</v>
      </c>
      <c r="N5046" s="8" t="s">
        <v>22645</v>
      </c>
      <c r="O5046" s="8">
        <f>13+17/60+4.6/3600</f>
        <v>13.284611111111111</v>
      </c>
      <c r="P5046" s="8" t="s">
        <v>22646</v>
      </c>
      <c r="Q5046" s="8">
        <f>-(63+24/60+48/3600)</f>
        <v>-63.413333333333334</v>
      </c>
      <c r="R5046" s="8">
        <v>99</v>
      </c>
      <c r="S5046" s="8">
        <v>99</v>
      </c>
      <c r="T5046" s="8">
        <v>99</v>
      </c>
      <c r="U5046" s="8">
        <v>99</v>
      </c>
      <c r="V5046" s="8">
        <v>60</v>
      </c>
      <c r="Y5046" s="8" t="s">
        <v>22647</v>
      </c>
      <c r="Z5046" s="8" t="s">
        <v>22648</v>
      </c>
    </row>
    <row r="5047" spans="1:26" x14ac:dyDescent="0.2">
      <c r="A5047" s="8">
        <v>5046</v>
      </c>
      <c r="B5047" s="8" t="s">
        <v>22649</v>
      </c>
      <c r="C5047" s="8" t="s">
        <v>22649</v>
      </c>
      <c r="F5047" s="47"/>
      <c r="G5047" s="8">
        <v>19</v>
      </c>
      <c r="H5047" s="8" t="s">
        <v>21</v>
      </c>
      <c r="I5047" s="8" t="s">
        <v>22</v>
      </c>
      <c r="J5047" s="8" t="s">
        <v>22</v>
      </c>
      <c r="K5047" s="8" t="s">
        <v>183</v>
      </c>
      <c r="L5047" s="8" t="s">
        <v>17287</v>
      </c>
      <c r="M5047" s="8" t="s">
        <v>17288</v>
      </c>
      <c r="N5047" s="8" t="s">
        <v>22650</v>
      </c>
      <c r="O5047" s="8">
        <f>13+15/60+45/3600</f>
        <v>13.262499999999999</v>
      </c>
      <c r="P5047" s="8" t="s">
        <v>22651</v>
      </c>
      <c r="Q5047" s="8">
        <f>-(16+19/60+36/3600)</f>
        <v>-16.326666666666668</v>
      </c>
      <c r="R5047" s="8">
        <v>13.5</v>
      </c>
      <c r="S5047" s="8">
        <v>14.5</v>
      </c>
      <c r="T5047" s="8">
        <v>1</v>
      </c>
      <c r="U5047" s="8">
        <v>12.9</v>
      </c>
      <c r="V5047" s="8">
        <v>0.8</v>
      </c>
      <c r="W5047" s="8">
        <v>0.7</v>
      </c>
      <c r="X5047" s="8">
        <v>54</v>
      </c>
      <c r="Y5047" s="8" t="s">
        <v>22652</v>
      </c>
      <c r="Z5047" s="8" t="s">
        <v>22653</v>
      </c>
    </row>
    <row r="5048" spans="1:26" x14ac:dyDescent="0.2">
      <c r="A5048" s="8">
        <v>5047</v>
      </c>
      <c r="B5048" s="8" t="s">
        <v>22654</v>
      </c>
      <c r="C5048" s="8" t="s">
        <v>22654</v>
      </c>
      <c r="F5048" s="47" t="s">
        <v>57702</v>
      </c>
      <c r="G5048" s="8">
        <v>15</v>
      </c>
      <c r="H5048" s="8" t="s">
        <v>21</v>
      </c>
      <c r="I5048" s="8" t="s">
        <v>22</v>
      </c>
      <c r="J5048" s="8" t="s">
        <v>22</v>
      </c>
      <c r="K5048" s="8" t="s">
        <v>37</v>
      </c>
      <c r="L5048" s="8" t="s">
        <v>17287</v>
      </c>
      <c r="M5048" s="8" t="s">
        <v>17288</v>
      </c>
      <c r="N5048" s="8" t="s">
        <v>22655</v>
      </c>
      <c r="O5048" s="8">
        <f>13+15/60+48.4/3600</f>
        <v>13.263444444444444</v>
      </c>
      <c r="P5048" s="8" t="s">
        <v>22656</v>
      </c>
      <c r="Q5048" s="8">
        <f>-(16+31/60+6/3600)</f>
        <v>-16.518333333333331</v>
      </c>
      <c r="R5048" s="8">
        <v>12.6</v>
      </c>
      <c r="S5048" s="8">
        <v>13.6</v>
      </c>
      <c r="T5048" s="8">
        <v>1</v>
      </c>
      <c r="U5048" s="8">
        <v>12.8</v>
      </c>
      <c r="V5048" s="8">
        <v>2.7</v>
      </c>
      <c r="W5048" s="8">
        <v>0.5</v>
      </c>
      <c r="X5048" s="8">
        <v>75</v>
      </c>
      <c r="Y5048" s="8" t="s">
        <v>297</v>
      </c>
      <c r="Z5048" s="8" t="s">
        <v>298</v>
      </c>
    </row>
    <row r="5049" spans="1:26" x14ac:dyDescent="0.2">
      <c r="A5049" s="8">
        <v>5048</v>
      </c>
      <c r="B5049" s="8" t="s">
        <v>22657</v>
      </c>
      <c r="C5049" s="8" t="s">
        <v>22657</v>
      </c>
      <c r="F5049" s="47"/>
      <c r="G5049" s="8">
        <v>16</v>
      </c>
      <c r="H5049" s="8" t="s">
        <v>21</v>
      </c>
      <c r="I5049" s="8" t="s">
        <v>22</v>
      </c>
      <c r="J5049" s="8" t="s">
        <v>22</v>
      </c>
      <c r="K5049" s="8" t="s">
        <v>58</v>
      </c>
      <c r="L5049" s="8" t="s">
        <v>11765</v>
      </c>
      <c r="M5049" s="8" t="s">
        <v>11766</v>
      </c>
      <c r="N5049" s="8" t="s">
        <v>22658</v>
      </c>
      <c r="O5049" s="8">
        <f>13+16/60+8.3/3600</f>
        <v>13.268972222222223</v>
      </c>
      <c r="P5049" s="8" t="s">
        <v>22659</v>
      </c>
      <c r="Q5049" s="8">
        <f>-(28+24/60+40/3600)</f>
        <v>-28.411111111111111</v>
      </c>
      <c r="R5049" s="8">
        <v>12.8</v>
      </c>
      <c r="S5049" s="8">
        <v>13.8</v>
      </c>
      <c r="T5049" s="8">
        <v>1</v>
      </c>
      <c r="U5049" s="8">
        <v>12.9</v>
      </c>
      <c r="V5049" s="8">
        <v>1.5</v>
      </c>
      <c r="W5049" s="8">
        <v>0.8</v>
      </c>
      <c r="X5049" s="8">
        <v>48</v>
      </c>
      <c r="Y5049" s="8" t="s">
        <v>14040</v>
      </c>
      <c r="Z5049" s="8" t="s">
        <v>14041</v>
      </c>
    </row>
    <row r="5050" spans="1:26" x14ac:dyDescent="0.2">
      <c r="A5050" s="8">
        <v>5049</v>
      </c>
      <c r="B5050" s="8" t="s">
        <v>22660</v>
      </c>
      <c r="C5050" s="8" t="s">
        <v>22660</v>
      </c>
      <c r="F5050" s="47" t="s">
        <v>57703</v>
      </c>
      <c r="G5050" s="8">
        <v>15</v>
      </c>
      <c r="H5050" s="8" t="s">
        <v>21</v>
      </c>
      <c r="I5050" s="8" t="s">
        <v>22</v>
      </c>
      <c r="J5050" s="8" t="s">
        <v>22</v>
      </c>
      <c r="K5050" s="8" t="s">
        <v>37</v>
      </c>
      <c r="L5050" s="8" t="s">
        <v>17287</v>
      </c>
      <c r="M5050" s="8" t="s">
        <v>17288</v>
      </c>
      <c r="N5050" s="8" t="s">
        <v>22661</v>
      </c>
      <c r="O5050" s="8">
        <f>13+15/60+59.3/3600</f>
        <v>13.266472222222223</v>
      </c>
      <c r="P5050" s="8" t="s">
        <v>22662</v>
      </c>
      <c r="Q5050" s="8">
        <f>-(16+23/60+50/3600)</f>
        <v>-16.397222222222222</v>
      </c>
      <c r="R5050" s="8">
        <v>13</v>
      </c>
      <c r="S5050" s="8">
        <v>13.7</v>
      </c>
      <c r="T5050" s="8">
        <v>0.7</v>
      </c>
      <c r="U5050" s="8">
        <v>13</v>
      </c>
      <c r="V5050" s="8">
        <v>1.8</v>
      </c>
      <c r="W5050" s="8">
        <v>0.6</v>
      </c>
      <c r="X5050" s="8">
        <v>120</v>
      </c>
      <c r="Y5050" s="8" t="s">
        <v>22163</v>
      </c>
      <c r="Z5050" s="8" t="s">
        <v>22164</v>
      </c>
    </row>
    <row r="5051" spans="1:26" x14ac:dyDescent="0.2">
      <c r="A5051" s="8">
        <v>5050</v>
      </c>
      <c r="B5051" s="8" t="s">
        <v>22663</v>
      </c>
      <c r="C5051" s="8" t="s">
        <v>22663</v>
      </c>
      <c r="F5051" s="47"/>
      <c r="G5051" s="8">
        <v>18</v>
      </c>
      <c r="H5051" s="8" t="s">
        <v>21</v>
      </c>
      <c r="I5051" s="8" t="s">
        <v>22</v>
      </c>
      <c r="J5051" s="8" t="s">
        <v>22</v>
      </c>
      <c r="K5051" s="8" t="s">
        <v>632</v>
      </c>
      <c r="L5051" s="8" t="s">
        <v>17287</v>
      </c>
      <c r="M5051" s="8" t="s">
        <v>17288</v>
      </c>
      <c r="N5051" s="8" t="s">
        <v>22664</v>
      </c>
      <c r="O5051" s="8">
        <f>13+15/60+41.6/3600</f>
        <v>13.261555555555555</v>
      </c>
      <c r="P5051" s="8" t="s">
        <v>22665</v>
      </c>
      <c r="Q5051" s="8">
        <f>+(2+52/60+45/3600)</f>
        <v>2.8791666666666669</v>
      </c>
      <c r="R5051" s="8">
        <v>13.7</v>
      </c>
      <c r="S5051" s="8">
        <v>14.6</v>
      </c>
      <c r="T5051" s="8">
        <v>0.9</v>
      </c>
      <c r="U5051" s="8">
        <v>12.9</v>
      </c>
      <c r="V5051" s="8">
        <v>1.1000000000000001</v>
      </c>
      <c r="W5051" s="8">
        <v>0.4</v>
      </c>
      <c r="X5051" s="8">
        <v>32</v>
      </c>
      <c r="Y5051" s="8" t="s">
        <v>256</v>
      </c>
      <c r="Z5051" s="8" t="s">
        <v>257</v>
      </c>
    </row>
    <row r="5052" spans="1:26" x14ac:dyDescent="0.2">
      <c r="A5052" s="8">
        <v>5051</v>
      </c>
      <c r="B5052" s="8" t="s">
        <v>22666</v>
      </c>
      <c r="C5052" s="8" t="s">
        <v>22666</v>
      </c>
      <c r="F5052" s="47"/>
      <c r="G5052" s="8">
        <v>16</v>
      </c>
      <c r="H5052" s="8" t="s">
        <v>21</v>
      </c>
      <c r="I5052" s="8" t="s">
        <v>22</v>
      </c>
      <c r="J5052" s="8" t="s">
        <v>22</v>
      </c>
      <c r="K5052" s="8" t="s">
        <v>85</v>
      </c>
      <c r="L5052" s="8" t="s">
        <v>11765</v>
      </c>
      <c r="M5052" s="8" t="s">
        <v>11766</v>
      </c>
      <c r="N5052" s="8" t="s">
        <v>22667</v>
      </c>
      <c r="O5052" s="8">
        <f>13+16/60+20/3600</f>
        <v>13.272222222222224</v>
      </c>
      <c r="P5052" s="8" t="s">
        <v>22668</v>
      </c>
      <c r="Q5052" s="8">
        <f>-(28+17/60+10/3600)</f>
        <v>-28.286111111111111</v>
      </c>
      <c r="R5052" s="8">
        <v>13.3</v>
      </c>
      <c r="S5052" s="8">
        <v>14.1</v>
      </c>
      <c r="T5052" s="8">
        <v>0.8</v>
      </c>
      <c r="U5052" s="8">
        <v>13</v>
      </c>
      <c r="V5052" s="8">
        <v>1.4</v>
      </c>
      <c r="W5052" s="8">
        <v>0.6</v>
      </c>
      <c r="X5052" s="8">
        <v>50</v>
      </c>
      <c r="Y5052" s="8" t="s">
        <v>22669</v>
      </c>
      <c r="Z5052" s="8" t="s">
        <v>22670</v>
      </c>
    </row>
    <row r="5053" spans="1:26" x14ac:dyDescent="0.2">
      <c r="A5053" s="8">
        <v>5052</v>
      </c>
      <c r="B5053" s="8" t="s">
        <v>22671</v>
      </c>
      <c r="C5053" s="8" t="s">
        <v>22671</v>
      </c>
      <c r="F5053" s="47"/>
      <c r="G5053" s="8">
        <v>16</v>
      </c>
      <c r="H5053" s="8" t="s">
        <v>21</v>
      </c>
      <c r="I5053" s="8" t="s">
        <v>22</v>
      </c>
      <c r="J5053" s="8" t="s">
        <v>22</v>
      </c>
      <c r="K5053" s="8" t="s">
        <v>632</v>
      </c>
      <c r="L5053" s="8" t="s">
        <v>18289</v>
      </c>
      <c r="M5053" s="8" t="s">
        <v>18290</v>
      </c>
      <c r="N5053" s="8" t="s">
        <v>22672</v>
      </c>
      <c r="O5053" s="8">
        <f>13+15/60+35/3600</f>
        <v>13.259722222222223</v>
      </c>
      <c r="P5053" s="8" t="s">
        <v>22673</v>
      </c>
      <c r="Q5053" s="8">
        <f>+(29+40/60+33/3600)</f>
        <v>29.675833333333333</v>
      </c>
      <c r="R5053" s="8">
        <v>13.2</v>
      </c>
      <c r="S5053" s="8">
        <v>14.1</v>
      </c>
      <c r="T5053" s="8">
        <v>0.9</v>
      </c>
      <c r="U5053" s="8">
        <v>13.5</v>
      </c>
      <c r="V5053" s="8">
        <v>1.3</v>
      </c>
      <c r="W5053" s="8">
        <v>0.9</v>
      </c>
      <c r="X5053" s="8">
        <v>160</v>
      </c>
      <c r="Y5053" s="8" t="s">
        <v>297</v>
      </c>
      <c r="Z5053" s="8" t="s">
        <v>298</v>
      </c>
    </row>
    <row r="5054" spans="1:26" x14ac:dyDescent="0.2">
      <c r="A5054" s="8">
        <v>5053</v>
      </c>
      <c r="B5054" s="8" t="s">
        <v>22674</v>
      </c>
      <c r="C5054" s="8" t="s">
        <v>22674</v>
      </c>
      <c r="F5054" s="47" t="s">
        <v>57704</v>
      </c>
      <c r="G5054" s="8">
        <v>5</v>
      </c>
      <c r="H5054" s="8" t="s">
        <v>21</v>
      </c>
      <c r="I5054" s="8" t="s">
        <v>567</v>
      </c>
      <c r="J5054" s="8" t="s">
        <v>567</v>
      </c>
      <c r="K5054" s="8" t="s">
        <v>22675</v>
      </c>
      <c r="L5054" s="8" t="s">
        <v>18289</v>
      </c>
      <c r="M5054" s="8" t="s">
        <v>18290</v>
      </c>
      <c r="N5054" s="8" t="s">
        <v>22676</v>
      </c>
      <c r="O5054" s="8">
        <f>13+16/60+27/3600</f>
        <v>13.274166666666668</v>
      </c>
      <c r="P5054" s="8" t="s">
        <v>22677</v>
      </c>
      <c r="Q5054" s="8">
        <f>+(17+41/60+55/3600)</f>
        <v>17.698611111111113</v>
      </c>
      <c r="R5054" s="8">
        <v>9</v>
      </c>
      <c r="S5054" s="8">
        <v>99</v>
      </c>
      <c r="T5054" s="8">
        <v>99</v>
      </c>
      <c r="U5054" s="8">
        <v>99</v>
      </c>
      <c r="V5054" s="8">
        <v>10</v>
      </c>
      <c r="Y5054" s="8" t="s">
        <v>22678</v>
      </c>
      <c r="Z5054" s="8" t="s">
        <v>22679</v>
      </c>
    </row>
    <row r="5055" spans="1:26" x14ac:dyDescent="0.2">
      <c r="A5055" s="8">
        <v>5054</v>
      </c>
      <c r="B5055" s="8" t="s">
        <v>22680</v>
      </c>
      <c r="C5055" s="8" t="s">
        <v>22680</v>
      </c>
      <c r="F5055" s="47" t="s">
        <v>57705</v>
      </c>
      <c r="G5055" s="8">
        <v>6</v>
      </c>
      <c r="H5055" s="8" t="s">
        <v>21</v>
      </c>
      <c r="I5055" s="8" t="s">
        <v>22</v>
      </c>
      <c r="J5055" s="8" t="s">
        <v>22</v>
      </c>
      <c r="K5055" s="8" t="s">
        <v>396</v>
      </c>
      <c r="L5055" s="8" t="s">
        <v>17287</v>
      </c>
      <c r="M5055" s="8" t="s">
        <v>17288</v>
      </c>
      <c r="N5055" s="8" t="s">
        <v>22681</v>
      </c>
      <c r="O5055" s="8">
        <f>13+16/60+58.3/3600</f>
        <v>13.282861111111112</v>
      </c>
      <c r="P5055" s="8" t="s">
        <v>22682</v>
      </c>
      <c r="Q5055" s="8">
        <f>-(16+38/60+5/3600)</f>
        <v>-16.634722222222223</v>
      </c>
      <c r="R5055" s="8">
        <v>10.9</v>
      </c>
      <c r="S5055" s="8">
        <v>11.7</v>
      </c>
      <c r="T5055" s="8">
        <v>0.8</v>
      </c>
      <c r="U5055" s="8">
        <v>13.7</v>
      </c>
      <c r="V5055" s="8">
        <v>5.0999999999999996</v>
      </c>
      <c r="W5055" s="8">
        <v>2.8</v>
      </c>
      <c r="X5055" s="8">
        <v>160</v>
      </c>
      <c r="Y5055" s="8" t="s">
        <v>22683</v>
      </c>
      <c r="Z5055" s="8" t="s">
        <v>22684</v>
      </c>
    </row>
    <row r="5056" spans="1:26" x14ac:dyDescent="0.2">
      <c r="A5056" s="8">
        <v>5055</v>
      </c>
      <c r="B5056" s="8" t="s">
        <v>22685</v>
      </c>
      <c r="C5056" s="8" t="s">
        <v>55919</v>
      </c>
      <c r="F5056" s="47"/>
      <c r="G5056" s="8">
        <v>1</v>
      </c>
      <c r="H5056" s="8" t="s">
        <v>22686</v>
      </c>
      <c r="I5056" s="8" t="s">
        <v>22</v>
      </c>
      <c r="J5056" s="8" t="s">
        <v>22</v>
      </c>
      <c r="K5056" s="8" t="s">
        <v>396</v>
      </c>
      <c r="L5056" s="8" t="s">
        <v>18681</v>
      </c>
      <c r="M5056" s="8" t="s">
        <v>18682</v>
      </c>
      <c r="N5056" s="8" t="s">
        <v>22687</v>
      </c>
      <c r="O5056" s="8">
        <f>13+15/60+49/3600</f>
        <v>13.263611111111111</v>
      </c>
      <c r="P5056" s="8" t="s">
        <v>22688</v>
      </c>
      <c r="Q5056" s="8">
        <f>+(42+1/60+59/3600)</f>
        <v>42.033055555555556</v>
      </c>
      <c r="R5056" s="8">
        <v>8.6</v>
      </c>
      <c r="S5056" s="8">
        <v>9.3000000000000007</v>
      </c>
      <c r="T5056" s="8">
        <v>0.7</v>
      </c>
      <c r="U5056" s="8">
        <v>13.3</v>
      </c>
      <c r="V5056" s="8">
        <v>12.6</v>
      </c>
      <c r="W5056" s="8">
        <v>7.2</v>
      </c>
      <c r="X5056" s="8">
        <v>105</v>
      </c>
      <c r="Y5056" s="8" t="s">
        <v>22689</v>
      </c>
      <c r="Z5056" s="8" t="s">
        <v>22690</v>
      </c>
    </row>
    <row r="5057" spans="1:26" x14ac:dyDescent="0.2">
      <c r="A5057" s="8">
        <v>5056</v>
      </c>
      <c r="B5057" s="8" t="s">
        <v>22691</v>
      </c>
      <c r="C5057" s="8" t="s">
        <v>22691</v>
      </c>
      <c r="F5057" s="47" t="s">
        <v>57706</v>
      </c>
      <c r="G5057" s="8">
        <v>6.5</v>
      </c>
      <c r="H5057" s="8" t="s">
        <v>21</v>
      </c>
      <c r="I5057" s="8" t="s">
        <v>22</v>
      </c>
      <c r="J5057" s="8" t="s">
        <v>22</v>
      </c>
      <c r="K5057" s="8" t="s">
        <v>160</v>
      </c>
      <c r="L5057" s="8" t="s">
        <v>18289</v>
      </c>
      <c r="M5057" s="8" t="s">
        <v>18290</v>
      </c>
      <c r="N5057" s="8" t="s">
        <v>22692</v>
      </c>
      <c r="O5057" s="8">
        <f>13+16/60+12.4/3600</f>
        <v>13.270111111111111</v>
      </c>
      <c r="P5057" s="8" t="s">
        <v>22693</v>
      </c>
      <c r="Q5057" s="8">
        <f>+(30+56/60+58/3600)</f>
        <v>30.949444444444445</v>
      </c>
      <c r="R5057" s="8">
        <v>13.1</v>
      </c>
      <c r="S5057" s="8">
        <v>13.7</v>
      </c>
      <c r="T5057" s="8">
        <v>0.6</v>
      </c>
      <c r="U5057" s="8">
        <v>13.6</v>
      </c>
      <c r="V5057" s="8">
        <v>1.8</v>
      </c>
      <c r="W5057" s="8">
        <v>1</v>
      </c>
      <c r="X5057" s="8">
        <v>0</v>
      </c>
      <c r="Y5057" s="8" t="s">
        <v>22694</v>
      </c>
      <c r="Z5057" s="8" t="s">
        <v>22695</v>
      </c>
    </row>
    <row r="5058" spans="1:26" x14ac:dyDescent="0.2">
      <c r="A5058" s="8">
        <v>5057</v>
      </c>
      <c r="B5058" s="8" t="s">
        <v>22696</v>
      </c>
      <c r="C5058" s="8" t="s">
        <v>22696</v>
      </c>
      <c r="F5058" s="47" t="s">
        <v>57707</v>
      </c>
      <c r="G5058" s="8">
        <v>15</v>
      </c>
      <c r="H5058" s="8" t="s">
        <v>21</v>
      </c>
      <c r="I5058" s="8" t="s">
        <v>22</v>
      </c>
      <c r="J5058" s="8" t="s">
        <v>22</v>
      </c>
      <c r="K5058" s="8" t="s">
        <v>37</v>
      </c>
      <c r="L5058" s="8" t="s">
        <v>18289</v>
      </c>
      <c r="M5058" s="8" t="s">
        <v>18290</v>
      </c>
      <c r="N5058" s="8" t="s">
        <v>22697</v>
      </c>
      <c r="O5058" s="8">
        <f>13+16/60+27.7/3600</f>
        <v>13.274361111111112</v>
      </c>
      <c r="P5058" s="8" t="s">
        <v>22698</v>
      </c>
      <c r="Q5058" s="8">
        <f>+(31+1/60+55/3600)</f>
        <v>31.031944444444445</v>
      </c>
      <c r="R5058" s="8">
        <v>13</v>
      </c>
      <c r="S5058" s="8">
        <v>14</v>
      </c>
      <c r="T5058" s="8">
        <v>1</v>
      </c>
      <c r="U5058" s="8">
        <v>13.4</v>
      </c>
      <c r="V5058" s="8">
        <v>1.3</v>
      </c>
      <c r="W5058" s="8">
        <v>1.2</v>
      </c>
      <c r="X5058" s="8">
        <v>177</v>
      </c>
      <c r="Y5058" s="8" t="s">
        <v>22699</v>
      </c>
      <c r="Z5058" s="8" t="s">
        <v>22700</v>
      </c>
    </row>
    <row r="5059" spans="1:26" x14ac:dyDescent="0.2">
      <c r="A5059" s="8">
        <v>5058</v>
      </c>
      <c r="B5059" s="8" t="s">
        <v>22701</v>
      </c>
      <c r="C5059" s="8" t="s">
        <v>22701</v>
      </c>
      <c r="F5059" s="47"/>
      <c r="G5059" s="8">
        <v>19</v>
      </c>
      <c r="H5059" s="8" t="s">
        <v>21</v>
      </c>
      <c r="I5059" s="8" t="s">
        <v>22</v>
      </c>
      <c r="J5059" s="8" t="s">
        <v>22</v>
      </c>
      <c r="K5059" s="8" t="s">
        <v>396</v>
      </c>
      <c r="L5059" s="8" t="s">
        <v>17287</v>
      </c>
      <c r="M5059" s="8" t="s">
        <v>17288</v>
      </c>
      <c r="N5059" s="8" t="s">
        <v>22702</v>
      </c>
      <c r="O5059" s="8">
        <f>13+16/60+52.2/3600</f>
        <v>13.281166666666667</v>
      </c>
      <c r="P5059" s="8" t="s">
        <v>22703</v>
      </c>
      <c r="Q5059" s="8">
        <f>+(12+32/60+55/3600)</f>
        <v>12.548611111111111</v>
      </c>
      <c r="R5059" s="8">
        <v>13.5</v>
      </c>
      <c r="S5059" s="8">
        <v>14.3</v>
      </c>
      <c r="T5059" s="8">
        <v>0.8</v>
      </c>
      <c r="U5059" s="8">
        <v>12.3</v>
      </c>
      <c r="V5059" s="8">
        <v>0.6</v>
      </c>
      <c r="W5059" s="8">
        <v>0.6</v>
      </c>
      <c r="Y5059" s="8" t="s">
        <v>22704</v>
      </c>
      <c r="Z5059" s="8" t="s">
        <v>22705</v>
      </c>
    </row>
    <row r="5060" spans="1:26" x14ac:dyDescent="0.2">
      <c r="A5060" s="8">
        <v>5059</v>
      </c>
      <c r="B5060" s="8" t="s">
        <v>22706</v>
      </c>
      <c r="C5060" s="8" t="s">
        <v>22706</v>
      </c>
      <c r="F5060" s="47"/>
      <c r="G5060" s="8">
        <v>18</v>
      </c>
      <c r="H5060" s="8" t="s">
        <v>21</v>
      </c>
      <c r="I5060" s="8" t="s">
        <v>22</v>
      </c>
      <c r="J5060" s="8" t="s">
        <v>22</v>
      </c>
      <c r="K5060" s="8" t="s">
        <v>160</v>
      </c>
      <c r="L5060" s="8" t="s">
        <v>17287</v>
      </c>
      <c r="M5060" s="8" t="s">
        <v>17288</v>
      </c>
      <c r="N5060" s="8" t="s">
        <v>22707</v>
      </c>
      <c r="O5060" s="8">
        <f>13+16/60+58.4/3600</f>
        <v>13.282888888888889</v>
      </c>
      <c r="P5060" s="8" t="s">
        <v>22708</v>
      </c>
      <c r="Q5060" s="8">
        <f>+(7+50/60+41/3600)</f>
        <v>7.8447222222222219</v>
      </c>
      <c r="R5060" s="8">
        <v>15.1</v>
      </c>
      <c r="S5060" s="8">
        <v>15.8</v>
      </c>
      <c r="T5060" s="8">
        <v>0.7</v>
      </c>
      <c r="U5060" s="8">
        <v>13.1</v>
      </c>
      <c r="V5060" s="8">
        <v>0.9</v>
      </c>
      <c r="W5060" s="8">
        <v>0.2</v>
      </c>
      <c r="X5060" s="8">
        <v>8</v>
      </c>
      <c r="Y5060" s="8" t="s">
        <v>146</v>
      </c>
      <c r="Z5060" s="8" t="s">
        <v>147</v>
      </c>
    </row>
    <row r="5061" spans="1:26" x14ac:dyDescent="0.2">
      <c r="A5061" s="8">
        <v>5060</v>
      </c>
      <c r="B5061" s="8" t="s">
        <v>22709</v>
      </c>
      <c r="C5061" s="8" t="s">
        <v>22709</v>
      </c>
      <c r="F5061" s="47"/>
      <c r="G5061" s="8">
        <v>18</v>
      </c>
      <c r="H5061" s="8" t="s">
        <v>21</v>
      </c>
      <c r="I5061" s="8" t="s">
        <v>22</v>
      </c>
      <c r="J5061" s="8" t="s">
        <v>22</v>
      </c>
      <c r="K5061" s="8" t="s">
        <v>218</v>
      </c>
      <c r="L5061" s="8" t="s">
        <v>17287</v>
      </c>
      <c r="M5061" s="8" t="s">
        <v>17288</v>
      </c>
      <c r="N5061" s="8" t="s">
        <v>22710</v>
      </c>
      <c r="O5061" s="8">
        <f>13+17/60+16.3/3600</f>
        <v>13.287861111111111</v>
      </c>
      <c r="P5061" s="8" t="s">
        <v>22711</v>
      </c>
      <c r="Q5061" s="8">
        <f>+(6+2/60+14/3600)</f>
        <v>6.0372222222222218</v>
      </c>
      <c r="R5061" s="8">
        <v>13.3</v>
      </c>
      <c r="S5061" s="8">
        <v>14.1</v>
      </c>
      <c r="T5061" s="8">
        <v>0.8</v>
      </c>
      <c r="U5061" s="8">
        <v>13</v>
      </c>
      <c r="V5061" s="8">
        <v>1.1000000000000001</v>
      </c>
      <c r="W5061" s="8">
        <v>0.8</v>
      </c>
      <c r="X5061" s="8">
        <v>55</v>
      </c>
      <c r="Y5061" s="8" t="s">
        <v>3253</v>
      </c>
      <c r="Z5061" s="8" t="s">
        <v>3254</v>
      </c>
    </row>
    <row r="5062" spans="1:26" x14ac:dyDescent="0.2">
      <c r="A5062" s="8">
        <v>5061</v>
      </c>
      <c r="B5062" s="8" t="s">
        <v>22712</v>
      </c>
      <c r="C5062" s="8" t="s">
        <v>22712</v>
      </c>
      <c r="F5062" s="47" t="s">
        <v>57708</v>
      </c>
      <c r="G5062" s="8">
        <v>3</v>
      </c>
      <c r="H5062" s="8" t="s">
        <v>21</v>
      </c>
      <c r="I5062" s="8" t="s">
        <v>22</v>
      </c>
      <c r="J5062" s="8" t="s">
        <v>22</v>
      </c>
      <c r="K5062" s="8" t="s">
        <v>183</v>
      </c>
      <c r="L5062" s="8" t="s">
        <v>11765</v>
      </c>
      <c r="M5062" s="8" t="s">
        <v>11766</v>
      </c>
      <c r="N5062" s="8" t="s">
        <v>22713</v>
      </c>
      <c r="O5062" s="8">
        <f>13+18/60+5.2/3600</f>
        <v>13.301444444444446</v>
      </c>
      <c r="P5062" s="8" t="s">
        <v>22714</v>
      </c>
      <c r="Q5062" s="8">
        <f>-(26+50/60+14/3600)</f>
        <v>-26.83722222222222</v>
      </c>
      <c r="R5062" s="8">
        <v>10.4</v>
      </c>
      <c r="S5062" s="8">
        <v>11.3</v>
      </c>
      <c r="T5062" s="8">
        <v>0.9</v>
      </c>
      <c r="U5062" s="8">
        <v>12.9</v>
      </c>
      <c r="V5062" s="8">
        <v>3.5</v>
      </c>
      <c r="W5062" s="8">
        <v>3</v>
      </c>
      <c r="Y5062" s="8" t="s">
        <v>22715</v>
      </c>
      <c r="Z5062" s="8" t="s">
        <v>22716</v>
      </c>
    </row>
    <row r="5063" spans="1:26" x14ac:dyDescent="0.2">
      <c r="A5063" s="8">
        <v>5062</v>
      </c>
      <c r="B5063" s="8" t="s">
        <v>22717</v>
      </c>
      <c r="C5063" s="8" t="s">
        <v>22717</v>
      </c>
      <c r="E5063" s="8">
        <v>1</v>
      </c>
      <c r="F5063" s="47"/>
      <c r="G5063" s="8">
        <v>16</v>
      </c>
      <c r="H5063" s="8" t="s">
        <v>21</v>
      </c>
      <c r="I5063" s="8" t="s">
        <v>22</v>
      </c>
      <c r="J5063" s="8" t="s">
        <v>22</v>
      </c>
      <c r="K5063" s="8" t="s">
        <v>37</v>
      </c>
      <c r="L5063" s="8" t="s">
        <v>16195</v>
      </c>
      <c r="M5063" s="8" t="s">
        <v>16196</v>
      </c>
      <c r="N5063" s="8" t="s">
        <v>22718</v>
      </c>
      <c r="O5063" s="8">
        <f>13+18/60+23.6/3600</f>
        <v>13.306555555555557</v>
      </c>
      <c r="P5063" s="8" t="s">
        <v>22719</v>
      </c>
      <c r="Q5063" s="8">
        <f>-(35+27/60+32/3600)</f>
        <v>-35.458888888888893</v>
      </c>
      <c r="R5063" s="8">
        <v>11.2</v>
      </c>
      <c r="S5063" s="8">
        <v>12.2</v>
      </c>
      <c r="T5063" s="8">
        <v>1</v>
      </c>
      <c r="U5063" s="8">
        <v>12.6</v>
      </c>
      <c r="V5063" s="8">
        <v>2.2999999999999998</v>
      </c>
      <c r="W5063" s="8">
        <v>0.7</v>
      </c>
      <c r="X5063" s="8">
        <v>130</v>
      </c>
      <c r="Y5063" s="8" t="s">
        <v>22720</v>
      </c>
      <c r="Z5063" s="8" t="s">
        <v>22721</v>
      </c>
    </row>
    <row r="5064" spans="1:26" x14ac:dyDescent="0.2">
      <c r="A5064" s="8">
        <v>5063</v>
      </c>
      <c r="B5064" s="8" t="s">
        <v>22722</v>
      </c>
      <c r="C5064" s="8" t="s">
        <v>22722</v>
      </c>
      <c r="F5064" s="47"/>
      <c r="G5064" s="8">
        <v>16</v>
      </c>
      <c r="H5064" s="8" t="s">
        <v>21</v>
      </c>
      <c r="I5064" s="8" t="s">
        <v>22</v>
      </c>
      <c r="J5064" s="8" t="s">
        <v>22</v>
      </c>
      <c r="K5064" s="8" t="s">
        <v>91</v>
      </c>
      <c r="L5064" s="8" t="s">
        <v>16195</v>
      </c>
      <c r="M5064" s="8" t="s">
        <v>16196</v>
      </c>
      <c r="N5064" s="8" t="s">
        <v>22723</v>
      </c>
      <c r="O5064" s="8">
        <f>13+18/60+25.7/3600</f>
        <v>13.30713888888889</v>
      </c>
      <c r="P5064" s="8" t="s">
        <v>22724</v>
      </c>
      <c r="Q5064" s="8">
        <f>-(35+21/60+11/3600)</f>
        <v>-35.353055555555557</v>
      </c>
      <c r="R5064" s="8">
        <v>12.3</v>
      </c>
      <c r="S5064" s="8">
        <v>13.2</v>
      </c>
      <c r="T5064" s="8">
        <v>0.9</v>
      </c>
      <c r="U5064" s="8">
        <v>13.7</v>
      </c>
      <c r="V5064" s="8">
        <v>2.2999999999999998</v>
      </c>
      <c r="W5064" s="8">
        <v>1.8</v>
      </c>
      <c r="X5064" s="8">
        <v>143</v>
      </c>
      <c r="Y5064" s="8" t="s">
        <v>22725</v>
      </c>
      <c r="Z5064" s="8" t="s">
        <v>22726</v>
      </c>
    </row>
    <row r="5065" spans="1:26" x14ac:dyDescent="0.2">
      <c r="A5065" s="8">
        <v>5064</v>
      </c>
      <c r="B5065" s="8" t="s">
        <v>22727</v>
      </c>
      <c r="C5065" s="8" t="s">
        <v>22727</v>
      </c>
      <c r="F5065" s="47"/>
      <c r="G5065" s="8">
        <v>13</v>
      </c>
      <c r="H5065" s="8" t="s">
        <v>21</v>
      </c>
      <c r="I5065" s="8" t="s">
        <v>22</v>
      </c>
      <c r="J5065" s="8" t="s">
        <v>22</v>
      </c>
      <c r="K5065" s="8" t="s">
        <v>23</v>
      </c>
      <c r="L5065" s="8" t="s">
        <v>16195</v>
      </c>
      <c r="M5065" s="8" t="s">
        <v>16196</v>
      </c>
      <c r="N5065" s="8" t="s">
        <v>22728</v>
      </c>
      <c r="O5065" s="8">
        <f>13+19/60+0/3600</f>
        <v>13.316666666666666</v>
      </c>
      <c r="P5065" s="8" t="s">
        <v>22729</v>
      </c>
      <c r="Q5065" s="8">
        <f>-(47+54/60+35/3600)</f>
        <v>-47.909722222222221</v>
      </c>
      <c r="R5065" s="8">
        <v>11.8</v>
      </c>
      <c r="S5065" s="8">
        <v>12.6</v>
      </c>
      <c r="T5065" s="8">
        <v>0.8</v>
      </c>
      <c r="U5065" s="8">
        <v>12.2</v>
      </c>
      <c r="V5065" s="8">
        <v>1.9</v>
      </c>
      <c r="W5065" s="8">
        <v>0.9</v>
      </c>
      <c r="X5065" s="8">
        <v>38</v>
      </c>
      <c r="Y5065" s="8" t="s">
        <v>22730</v>
      </c>
      <c r="Z5065" s="8" t="s">
        <v>22731</v>
      </c>
    </row>
    <row r="5066" spans="1:26" x14ac:dyDescent="0.2">
      <c r="A5066" s="8">
        <v>5065</v>
      </c>
      <c r="B5066" s="8" t="s">
        <v>22732</v>
      </c>
      <c r="C5066" s="8" t="s">
        <v>22732</v>
      </c>
      <c r="F5066" s="47" t="s">
        <v>57709</v>
      </c>
      <c r="G5066" s="8">
        <v>15</v>
      </c>
      <c r="H5066" s="8" t="s">
        <v>21</v>
      </c>
      <c r="I5066" s="8" t="s">
        <v>22</v>
      </c>
      <c r="J5066" s="8" t="s">
        <v>22</v>
      </c>
      <c r="K5066" s="8" t="s">
        <v>1277</v>
      </c>
      <c r="L5066" s="8" t="s">
        <v>18289</v>
      </c>
      <c r="M5066" s="8" t="s">
        <v>18290</v>
      </c>
      <c r="N5066" s="8" t="s">
        <v>22733</v>
      </c>
      <c r="O5066" s="8">
        <f>13+17/60+30.6/3600</f>
        <v>13.291833333333333</v>
      </c>
      <c r="P5066" s="8" t="s">
        <v>22734</v>
      </c>
      <c r="Q5066" s="8">
        <f>+(31+5/60+32/3600)</f>
        <v>31.092222222222222</v>
      </c>
      <c r="R5066" s="8">
        <v>13.6</v>
      </c>
      <c r="S5066" s="8">
        <v>14.3</v>
      </c>
      <c r="T5066" s="8">
        <v>0.7</v>
      </c>
      <c r="U5066" s="8">
        <v>13.5</v>
      </c>
      <c r="V5066" s="8">
        <v>1.3</v>
      </c>
      <c r="W5066" s="8">
        <v>0.8</v>
      </c>
      <c r="X5066" s="8">
        <v>85</v>
      </c>
      <c r="Y5066" s="8" t="s">
        <v>20741</v>
      </c>
      <c r="Z5066" s="8" t="s">
        <v>20742</v>
      </c>
    </row>
    <row r="5067" spans="1:26" x14ac:dyDescent="0.2">
      <c r="A5067" s="8">
        <v>5066</v>
      </c>
      <c r="B5067" s="8" t="s">
        <v>22735</v>
      </c>
      <c r="C5067" s="8" t="s">
        <v>22735</v>
      </c>
      <c r="F5067" s="47"/>
      <c r="G5067" s="8">
        <v>18</v>
      </c>
      <c r="H5067" s="8" t="s">
        <v>21</v>
      </c>
      <c r="I5067" s="8" t="s">
        <v>22</v>
      </c>
      <c r="J5067" s="8" t="s">
        <v>22</v>
      </c>
      <c r="K5067" s="8" t="s">
        <v>91</v>
      </c>
      <c r="L5067" s="8" t="s">
        <v>17287</v>
      </c>
      <c r="M5067" s="8" t="s">
        <v>17288</v>
      </c>
      <c r="N5067" s="8" t="s">
        <v>22736</v>
      </c>
      <c r="O5067" s="8">
        <f>13+18/60+28.4/3600</f>
        <v>13.30788888888889</v>
      </c>
      <c r="P5067" s="8" t="s">
        <v>22737</v>
      </c>
      <c r="Q5067" s="8">
        <f>-(10+14/60+2/3600)</f>
        <v>-10.233888888888888</v>
      </c>
      <c r="R5067" s="8">
        <v>13.3</v>
      </c>
      <c r="S5067" s="8">
        <v>14.2</v>
      </c>
      <c r="T5067" s="8">
        <v>0.9</v>
      </c>
      <c r="U5067" s="8">
        <v>12</v>
      </c>
      <c r="V5067" s="8">
        <v>0.7</v>
      </c>
      <c r="W5067" s="8">
        <v>0.5</v>
      </c>
      <c r="X5067" s="8">
        <v>0</v>
      </c>
      <c r="Y5067" s="8" t="s">
        <v>282</v>
      </c>
      <c r="Z5067" s="8" t="s">
        <v>283</v>
      </c>
    </row>
    <row r="5068" spans="1:26" x14ac:dyDescent="0.2">
      <c r="A5068" s="8">
        <v>5067</v>
      </c>
      <c r="B5068" s="8" t="s">
        <v>22738</v>
      </c>
      <c r="C5068" s="8" t="s">
        <v>22738</v>
      </c>
      <c r="F5068" s="47"/>
      <c r="G5068" s="8">
        <v>18</v>
      </c>
      <c r="H5068" s="8" t="s">
        <v>21</v>
      </c>
      <c r="I5068" s="8" t="s">
        <v>72</v>
      </c>
      <c r="J5068" s="8" t="s">
        <v>72</v>
      </c>
      <c r="K5068" s="8" t="s">
        <v>73</v>
      </c>
      <c r="L5068" s="8" t="s">
        <v>17287</v>
      </c>
      <c r="M5068" s="8" t="s">
        <v>17288</v>
      </c>
      <c r="N5068" s="8" t="s">
        <v>22739</v>
      </c>
      <c r="O5068" s="8">
        <f>13+18/60+27.7/3600</f>
        <v>13.307694444444445</v>
      </c>
      <c r="P5068" s="8" t="s">
        <v>22740</v>
      </c>
      <c r="Q5068" s="8">
        <f>-(10+8/60+40/3600)</f>
        <v>-10.144444444444444</v>
      </c>
      <c r="R5068" s="8">
        <v>99</v>
      </c>
      <c r="S5068" s="8">
        <v>99</v>
      </c>
      <c r="T5068" s="8">
        <v>99</v>
      </c>
      <c r="U5068" s="8">
        <v>99</v>
      </c>
      <c r="Y5068" s="8" t="s">
        <v>282</v>
      </c>
      <c r="Z5068" s="8" t="s">
        <v>283</v>
      </c>
    </row>
    <row r="5069" spans="1:26" x14ac:dyDescent="0.2">
      <c r="A5069" s="8">
        <v>5068</v>
      </c>
      <c r="B5069" s="8" t="s">
        <v>22741</v>
      </c>
      <c r="C5069" s="8" t="s">
        <v>22741</v>
      </c>
      <c r="F5069" s="47" t="s">
        <v>57710</v>
      </c>
      <c r="G5069" s="8">
        <v>3</v>
      </c>
      <c r="H5069" s="8" t="s">
        <v>21</v>
      </c>
      <c r="I5069" s="8" t="s">
        <v>22</v>
      </c>
      <c r="J5069" s="8" t="s">
        <v>22</v>
      </c>
      <c r="K5069" s="8" t="s">
        <v>64</v>
      </c>
      <c r="L5069" s="8" t="s">
        <v>17287</v>
      </c>
      <c r="M5069" s="8" t="s">
        <v>17288</v>
      </c>
      <c r="N5069" s="8" t="s">
        <v>22742</v>
      </c>
      <c r="O5069" s="8">
        <f>13+18/60+54.5/3600</f>
        <v>13.315138888888889</v>
      </c>
      <c r="P5069" s="8" t="s">
        <v>22743</v>
      </c>
      <c r="Q5069" s="8">
        <f>-(21+2/60+17/3600)</f>
        <v>-21.038055555555559</v>
      </c>
      <c r="R5069" s="8">
        <v>10</v>
      </c>
      <c r="S5069" s="8">
        <v>10.7</v>
      </c>
      <c r="T5069" s="8">
        <v>0.7</v>
      </c>
      <c r="U5069" s="8">
        <v>14</v>
      </c>
      <c r="V5069" s="8">
        <v>7.3</v>
      </c>
      <c r="W5069" s="8">
        <v>6.4</v>
      </c>
      <c r="X5069" s="8">
        <v>110</v>
      </c>
      <c r="Y5069" s="8" t="s">
        <v>22744</v>
      </c>
      <c r="Z5069" s="8" t="s">
        <v>22745</v>
      </c>
    </row>
    <row r="5070" spans="1:26" x14ac:dyDescent="0.2">
      <c r="A5070" s="8">
        <v>5069</v>
      </c>
      <c r="B5070" s="8" t="s">
        <v>22746</v>
      </c>
      <c r="C5070" s="8" t="s">
        <v>22746</v>
      </c>
      <c r="F5070" s="47"/>
      <c r="G5070" s="8">
        <v>19</v>
      </c>
      <c r="H5070" s="8" t="s">
        <v>21</v>
      </c>
      <c r="I5070" s="8" t="s">
        <v>22</v>
      </c>
      <c r="J5070" s="8" t="s">
        <v>57</v>
      </c>
      <c r="K5070" s="8" t="s">
        <v>91</v>
      </c>
      <c r="L5070" s="8" t="s">
        <v>17287</v>
      </c>
      <c r="M5070" s="8" t="s">
        <v>17288</v>
      </c>
      <c r="N5070" s="8" t="s">
        <v>22736</v>
      </c>
      <c r="O5070" s="8">
        <f>13+18/60+28.4/3600</f>
        <v>13.30788888888889</v>
      </c>
      <c r="P5070" s="8" t="s">
        <v>22737</v>
      </c>
      <c r="Q5070" s="8">
        <f>-(10+14/60+2/3600)</f>
        <v>-10.233888888888888</v>
      </c>
      <c r="R5070" s="8">
        <v>13.3</v>
      </c>
      <c r="S5070" s="8">
        <v>14.2</v>
      </c>
      <c r="T5070" s="8">
        <v>0.9</v>
      </c>
      <c r="U5070" s="8">
        <v>12</v>
      </c>
      <c r="V5070" s="8">
        <v>0.7</v>
      </c>
      <c r="W5070" s="8">
        <v>0.5</v>
      </c>
      <c r="X5070" s="8">
        <v>0</v>
      </c>
      <c r="Y5070" s="8" t="s">
        <v>282</v>
      </c>
      <c r="Z5070" s="8" t="s">
        <v>22747</v>
      </c>
    </row>
    <row r="5071" spans="1:26" x14ac:dyDescent="0.2">
      <c r="A5071" s="8">
        <v>5070</v>
      </c>
      <c r="B5071" s="8" t="s">
        <v>22748</v>
      </c>
      <c r="C5071" s="8" t="s">
        <v>22748</v>
      </c>
      <c r="F5071" s="47"/>
      <c r="G5071" s="8">
        <v>19</v>
      </c>
      <c r="H5071" s="8" t="s">
        <v>21</v>
      </c>
      <c r="I5071" s="8" t="s">
        <v>22</v>
      </c>
      <c r="J5071" s="8" t="s">
        <v>57</v>
      </c>
      <c r="K5071" s="8" t="s">
        <v>58</v>
      </c>
      <c r="L5071" s="8" t="s">
        <v>17287</v>
      </c>
      <c r="M5071" s="8" t="s">
        <v>17288</v>
      </c>
      <c r="N5071" s="8" t="s">
        <v>22749</v>
      </c>
      <c r="O5071" s="8">
        <f>13+19/60+12.6/3600</f>
        <v>13.320166666666667</v>
      </c>
      <c r="P5071" s="8" t="s">
        <v>22750</v>
      </c>
      <c r="Q5071" s="8">
        <f>-(12+32/60+23/3600)</f>
        <v>-12.539722222222222</v>
      </c>
      <c r="R5071" s="8">
        <v>13.1</v>
      </c>
      <c r="S5071" s="8">
        <v>14.1</v>
      </c>
      <c r="T5071" s="8">
        <v>1</v>
      </c>
      <c r="U5071" s="8">
        <v>13</v>
      </c>
      <c r="V5071" s="8">
        <v>1</v>
      </c>
      <c r="W5071" s="8">
        <v>0.7</v>
      </c>
      <c r="X5071" s="8">
        <v>90</v>
      </c>
      <c r="Y5071" s="8" t="s">
        <v>22751</v>
      </c>
      <c r="Z5071" s="8" t="s">
        <v>22752</v>
      </c>
    </row>
    <row r="5072" spans="1:26" x14ac:dyDescent="0.2">
      <c r="A5072" s="8">
        <v>5071</v>
      </c>
      <c r="B5072" s="8" t="s">
        <v>22753</v>
      </c>
      <c r="C5072" s="8" t="s">
        <v>22753</v>
      </c>
      <c r="F5072" s="47"/>
      <c r="G5072" s="8">
        <v>18</v>
      </c>
      <c r="H5072" s="8" t="s">
        <v>21</v>
      </c>
      <c r="I5072" s="8" t="s">
        <v>22</v>
      </c>
      <c r="J5072" s="8" t="s">
        <v>22</v>
      </c>
      <c r="K5072" s="8" t="s">
        <v>449</v>
      </c>
      <c r="L5072" s="8" t="s">
        <v>17287</v>
      </c>
      <c r="M5072" s="8" t="s">
        <v>17288</v>
      </c>
      <c r="N5072" s="8" t="s">
        <v>22754</v>
      </c>
      <c r="O5072" s="8">
        <f>13+18/60+37.1/3600</f>
        <v>13.310305555555557</v>
      </c>
      <c r="P5072" s="8" t="s">
        <v>22755</v>
      </c>
      <c r="Q5072" s="8">
        <f>+(7+56/60+10/3600)</f>
        <v>7.9361111111111118</v>
      </c>
      <c r="R5072" s="8">
        <v>14.5</v>
      </c>
      <c r="S5072" s="8">
        <v>15.3</v>
      </c>
      <c r="T5072" s="8">
        <v>0.8</v>
      </c>
      <c r="U5072" s="8">
        <v>13.8</v>
      </c>
      <c r="V5072" s="8">
        <v>0.9</v>
      </c>
      <c r="W5072" s="8">
        <v>0.7</v>
      </c>
      <c r="X5072" s="8">
        <v>144</v>
      </c>
      <c r="Y5072" s="8" t="s">
        <v>11909</v>
      </c>
      <c r="Z5072" s="8" t="s">
        <v>22756</v>
      </c>
    </row>
    <row r="5073" spans="1:26" x14ac:dyDescent="0.2">
      <c r="A5073" s="8">
        <v>5072</v>
      </c>
      <c r="B5073" s="8" t="s">
        <v>22757</v>
      </c>
      <c r="C5073" s="8" t="s">
        <v>22757</v>
      </c>
      <c r="F5073" s="47"/>
      <c r="G5073" s="8">
        <v>18</v>
      </c>
      <c r="H5073" s="8" t="s">
        <v>21</v>
      </c>
      <c r="I5073" s="8" t="s">
        <v>22</v>
      </c>
      <c r="J5073" s="8" t="s">
        <v>22</v>
      </c>
      <c r="K5073" s="8" t="s">
        <v>58</v>
      </c>
      <c r="L5073" s="8" t="s">
        <v>17287</v>
      </c>
      <c r="M5073" s="8" t="s">
        <v>17288</v>
      </c>
      <c r="N5073" s="8" t="s">
        <v>22749</v>
      </c>
      <c r="O5073" s="8">
        <f>13+19/60+12.6/3600</f>
        <v>13.320166666666667</v>
      </c>
      <c r="P5073" s="8" t="s">
        <v>22750</v>
      </c>
      <c r="Q5073" s="8">
        <f>-(12+32/60+23/3600)</f>
        <v>-12.539722222222222</v>
      </c>
      <c r="R5073" s="8">
        <v>13.1</v>
      </c>
      <c r="S5073" s="8">
        <v>14.1</v>
      </c>
      <c r="T5073" s="8">
        <v>1</v>
      </c>
      <c r="U5073" s="8">
        <v>13</v>
      </c>
      <c r="V5073" s="8">
        <v>1</v>
      </c>
      <c r="W5073" s="8">
        <v>0.7</v>
      </c>
      <c r="X5073" s="8">
        <v>90</v>
      </c>
      <c r="Y5073" s="8" t="s">
        <v>22751</v>
      </c>
      <c r="Z5073" s="8" t="s">
        <v>22758</v>
      </c>
    </row>
    <row r="5074" spans="1:26" x14ac:dyDescent="0.2">
      <c r="A5074" s="8">
        <v>5073</v>
      </c>
      <c r="B5074" s="8" t="s">
        <v>22759</v>
      </c>
      <c r="C5074" s="8" t="s">
        <v>22759</v>
      </c>
      <c r="F5074" s="47" t="s">
        <v>57711</v>
      </c>
      <c r="G5074" s="8">
        <v>15</v>
      </c>
      <c r="H5074" s="8" t="s">
        <v>21</v>
      </c>
      <c r="I5074" s="8" t="s">
        <v>22</v>
      </c>
      <c r="J5074" s="8" t="s">
        <v>22</v>
      </c>
      <c r="K5074" s="8" t="s">
        <v>64</v>
      </c>
      <c r="L5074" s="8" t="s">
        <v>17287</v>
      </c>
      <c r="M5074" s="8" t="s">
        <v>17288</v>
      </c>
      <c r="N5074" s="8" t="s">
        <v>22760</v>
      </c>
      <c r="O5074" s="8">
        <f>13+19/60+20.8/3600</f>
        <v>13.322444444444445</v>
      </c>
      <c r="P5074" s="8" t="s">
        <v>22761</v>
      </c>
      <c r="Q5074" s="8">
        <f>-(14+50/60+47/3600)</f>
        <v>-14.846388888888889</v>
      </c>
      <c r="R5074" s="8">
        <v>12.6</v>
      </c>
      <c r="S5074" s="8">
        <v>13.3</v>
      </c>
      <c r="T5074" s="8">
        <v>0.7</v>
      </c>
      <c r="U5074" s="8">
        <v>13.4</v>
      </c>
      <c r="V5074" s="8">
        <v>3.4</v>
      </c>
      <c r="W5074" s="8">
        <v>0.7</v>
      </c>
      <c r="X5074" s="8">
        <v>151</v>
      </c>
      <c r="Y5074" s="8" t="s">
        <v>22762</v>
      </c>
      <c r="Z5074" s="8" t="s">
        <v>22763</v>
      </c>
    </row>
    <row r="5075" spans="1:26" x14ac:dyDescent="0.2">
      <c r="A5075" s="8">
        <v>5074</v>
      </c>
      <c r="B5075" s="8" t="s">
        <v>22764</v>
      </c>
      <c r="C5075" s="8" t="s">
        <v>22764</v>
      </c>
      <c r="F5075" s="47" t="s">
        <v>57712</v>
      </c>
      <c r="G5075" s="8">
        <v>13</v>
      </c>
      <c r="H5075" s="8" t="s">
        <v>21</v>
      </c>
      <c r="I5075" s="8" t="s">
        <v>22</v>
      </c>
      <c r="J5075" s="8" t="s">
        <v>22</v>
      </c>
      <c r="K5075" s="8" t="s">
        <v>23</v>
      </c>
      <c r="L5075" s="8" t="s">
        <v>18681</v>
      </c>
      <c r="M5075" s="8" t="s">
        <v>18682</v>
      </c>
      <c r="N5075" s="8" t="s">
        <v>22765</v>
      </c>
      <c r="O5075" s="8">
        <f>13+18/60+25.8/3600</f>
        <v>13.307166666666667</v>
      </c>
      <c r="P5075" s="8" t="s">
        <v>22766</v>
      </c>
      <c r="Q5075" s="8">
        <f>+(31+28/60+6/3600)</f>
        <v>31.46833333333333</v>
      </c>
      <c r="R5075" s="8">
        <v>14</v>
      </c>
      <c r="S5075" s="8">
        <v>14.4</v>
      </c>
      <c r="T5075" s="8">
        <v>0.4</v>
      </c>
      <c r="U5075" s="8">
        <v>13.4</v>
      </c>
      <c r="V5075" s="8">
        <v>0.7</v>
      </c>
      <c r="W5075" s="8">
        <v>0.6</v>
      </c>
      <c r="X5075" s="8">
        <v>60</v>
      </c>
      <c r="Y5075" s="8" t="s">
        <v>266</v>
      </c>
      <c r="Z5075" s="8" t="s">
        <v>267</v>
      </c>
    </row>
    <row r="5076" spans="1:26" x14ac:dyDescent="0.2">
      <c r="A5076" s="8">
        <v>5075</v>
      </c>
      <c r="B5076" s="8" t="s">
        <v>22767</v>
      </c>
      <c r="C5076" s="8" t="s">
        <v>22767</v>
      </c>
      <c r="F5076" s="47"/>
      <c r="G5076" s="8">
        <v>18</v>
      </c>
      <c r="H5076" s="8" t="s">
        <v>21</v>
      </c>
      <c r="I5076" s="8" t="s">
        <v>22</v>
      </c>
      <c r="J5076" s="8" t="s">
        <v>22</v>
      </c>
      <c r="K5076" s="8" t="s">
        <v>460</v>
      </c>
      <c r="L5076" s="8" t="s">
        <v>17287</v>
      </c>
      <c r="M5076" s="8" t="s">
        <v>17288</v>
      </c>
      <c r="N5076" s="8" t="s">
        <v>22768</v>
      </c>
      <c r="O5076" s="8">
        <f>13+19/60+6.2/3600</f>
        <v>13.318388888888888</v>
      </c>
      <c r="P5076" s="8" t="s">
        <v>22769</v>
      </c>
      <c r="Q5076" s="8">
        <f>+(7+49/60+54/3600)</f>
        <v>7.8316666666666661</v>
      </c>
      <c r="R5076" s="8">
        <v>13.9</v>
      </c>
      <c r="S5076" s="8">
        <v>14.9</v>
      </c>
      <c r="T5076" s="8">
        <v>1</v>
      </c>
      <c r="U5076" s="8">
        <v>12.9</v>
      </c>
      <c r="V5076" s="8">
        <v>0.6</v>
      </c>
      <c r="W5076" s="8">
        <v>0.6</v>
      </c>
      <c r="Y5076" s="8" t="s">
        <v>4787</v>
      </c>
      <c r="Z5076" s="8" t="s">
        <v>22770</v>
      </c>
    </row>
    <row r="5077" spans="1:26" x14ac:dyDescent="0.2">
      <c r="A5077" s="8">
        <v>5076</v>
      </c>
      <c r="B5077" s="8" t="s">
        <v>22771</v>
      </c>
      <c r="C5077" s="8" t="s">
        <v>22771</v>
      </c>
      <c r="F5077" s="47" t="s">
        <v>57713</v>
      </c>
      <c r="G5077" s="8">
        <v>15</v>
      </c>
      <c r="H5077" s="8" t="s">
        <v>21</v>
      </c>
      <c r="I5077" s="8" t="s">
        <v>22</v>
      </c>
      <c r="J5077" s="8" t="s">
        <v>22</v>
      </c>
      <c r="K5077" s="8" t="s">
        <v>632</v>
      </c>
      <c r="L5077" s="8" t="s">
        <v>17287</v>
      </c>
      <c r="M5077" s="8" t="s">
        <v>17288</v>
      </c>
      <c r="N5077" s="8" t="s">
        <v>22772</v>
      </c>
      <c r="O5077" s="8">
        <f>13+19/60+30.4/3600</f>
        <v>13.325111111111111</v>
      </c>
      <c r="P5077" s="8" t="s">
        <v>22773</v>
      </c>
      <c r="Q5077" s="8">
        <f>-(12+44/60+26/3600)</f>
        <v>-12.740555555555554</v>
      </c>
      <c r="R5077" s="8">
        <v>12.7</v>
      </c>
      <c r="S5077" s="8">
        <v>13.6</v>
      </c>
      <c r="T5077" s="8">
        <v>0.9</v>
      </c>
      <c r="U5077" s="8">
        <v>12.4</v>
      </c>
      <c r="V5077" s="8">
        <v>1.3</v>
      </c>
      <c r="W5077" s="8">
        <v>0.7</v>
      </c>
      <c r="X5077" s="8">
        <v>40</v>
      </c>
      <c r="Y5077" s="8" t="s">
        <v>22774</v>
      </c>
      <c r="Z5077" s="8" t="s">
        <v>22775</v>
      </c>
    </row>
    <row r="5078" spans="1:26" x14ac:dyDescent="0.2">
      <c r="A5078" s="8">
        <v>5077</v>
      </c>
      <c r="B5078" s="8" t="s">
        <v>22776</v>
      </c>
      <c r="C5078" s="8" t="s">
        <v>22776</v>
      </c>
      <c r="F5078" s="47" t="s">
        <v>57714</v>
      </c>
      <c r="G5078" s="8">
        <v>6.5</v>
      </c>
      <c r="H5078" s="8" t="s">
        <v>21</v>
      </c>
      <c r="I5078" s="8" t="s">
        <v>22</v>
      </c>
      <c r="J5078" s="8" t="s">
        <v>22</v>
      </c>
      <c r="K5078" s="8" t="s">
        <v>382</v>
      </c>
      <c r="L5078" s="8" t="s">
        <v>17287</v>
      </c>
      <c r="M5078" s="8" t="s">
        <v>17288</v>
      </c>
      <c r="N5078" s="8" t="s">
        <v>22777</v>
      </c>
      <c r="O5078" s="8">
        <f>13+19/60+31.6/3600</f>
        <v>13.325444444444445</v>
      </c>
      <c r="P5078" s="8" t="s">
        <v>22778</v>
      </c>
      <c r="Q5078" s="8">
        <f>-(12+39/60+24/3600)</f>
        <v>-12.656666666666666</v>
      </c>
      <c r="R5078" s="8">
        <v>11.4</v>
      </c>
      <c r="S5078" s="8">
        <v>12.4</v>
      </c>
      <c r="T5078" s="8">
        <v>1</v>
      </c>
      <c r="U5078" s="8">
        <v>12.5</v>
      </c>
      <c r="V5078" s="8">
        <v>2.2000000000000002</v>
      </c>
      <c r="W5078" s="8">
        <v>1.6</v>
      </c>
      <c r="X5078" s="8">
        <v>7</v>
      </c>
      <c r="Y5078" s="8" t="s">
        <v>22779</v>
      </c>
      <c r="Z5078" s="8" t="s">
        <v>22780</v>
      </c>
    </row>
    <row r="5079" spans="1:26" x14ac:dyDescent="0.2">
      <c r="A5079" s="8">
        <v>5078</v>
      </c>
      <c r="B5079" s="8" t="s">
        <v>22781</v>
      </c>
      <c r="C5079" s="8" t="s">
        <v>22781</v>
      </c>
      <c r="F5079" s="47" t="s">
        <v>57715</v>
      </c>
      <c r="G5079" s="8">
        <v>6.5</v>
      </c>
      <c r="H5079" s="8" t="s">
        <v>21</v>
      </c>
      <c r="I5079" s="8" t="s">
        <v>22</v>
      </c>
      <c r="J5079" s="8" t="s">
        <v>22</v>
      </c>
      <c r="K5079" s="8" t="s">
        <v>91</v>
      </c>
      <c r="L5079" s="8" t="s">
        <v>11765</v>
      </c>
      <c r="M5079" s="8" t="s">
        <v>11766</v>
      </c>
      <c r="N5079" s="8" t="s">
        <v>22782</v>
      </c>
      <c r="O5079" s="8">
        <f>13+19/60+49.8/3600</f>
        <v>13.330499999999999</v>
      </c>
      <c r="P5079" s="8" t="s">
        <v>22783</v>
      </c>
      <c r="Q5079" s="8">
        <f>-(27+24/60+35/3600)</f>
        <v>-27.409722222222221</v>
      </c>
      <c r="R5079" s="8">
        <v>11</v>
      </c>
      <c r="S5079" s="8">
        <v>12</v>
      </c>
      <c r="T5079" s="8">
        <v>1</v>
      </c>
      <c r="U5079" s="8">
        <v>13</v>
      </c>
      <c r="V5079" s="8">
        <v>4</v>
      </c>
      <c r="W5079" s="8">
        <v>1.9</v>
      </c>
      <c r="X5079" s="8">
        <v>148</v>
      </c>
      <c r="Y5079" s="8" t="s">
        <v>22784</v>
      </c>
      <c r="Z5079" s="8" t="s">
        <v>22785</v>
      </c>
    </row>
    <row r="5080" spans="1:26" x14ac:dyDescent="0.2">
      <c r="A5080" s="8">
        <v>5079</v>
      </c>
      <c r="B5080" s="8" t="s">
        <v>22786</v>
      </c>
      <c r="C5080" s="8" t="s">
        <v>22786</v>
      </c>
      <c r="F5080" s="47" t="s">
        <v>57716</v>
      </c>
      <c r="G5080" s="8">
        <v>15</v>
      </c>
      <c r="H5080" s="8" t="s">
        <v>21</v>
      </c>
      <c r="I5080" s="8" t="s">
        <v>22</v>
      </c>
      <c r="J5080" s="8" t="s">
        <v>22</v>
      </c>
      <c r="K5080" s="8" t="s">
        <v>3407</v>
      </c>
      <c r="L5080" s="8" t="s">
        <v>17287</v>
      </c>
      <c r="M5080" s="8" t="s">
        <v>17288</v>
      </c>
      <c r="N5080" s="8" t="s">
        <v>22787</v>
      </c>
      <c r="O5080" s="8">
        <f>13+19/60+37.9/3600</f>
        <v>13.327194444444444</v>
      </c>
      <c r="P5080" s="8" t="s">
        <v>22788</v>
      </c>
      <c r="Q5080" s="8">
        <f>-(12+41/60+59/3600)</f>
        <v>-12.699722222222222</v>
      </c>
      <c r="R5080" s="8">
        <v>12</v>
      </c>
      <c r="S5080" s="8">
        <v>12.8</v>
      </c>
      <c r="T5080" s="8">
        <v>0.8</v>
      </c>
      <c r="U5080" s="8">
        <v>12</v>
      </c>
      <c r="V5080" s="8">
        <v>1.5</v>
      </c>
      <c r="W5080" s="8">
        <v>0.8</v>
      </c>
      <c r="X5080" s="8">
        <v>31</v>
      </c>
      <c r="Y5080" s="8" t="s">
        <v>22789</v>
      </c>
      <c r="Z5080" s="8" t="s">
        <v>22790</v>
      </c>
    </row>
    <row r="5081" spans="1:26" x14ac:dyDescent="0.2">
      <c r="A5081" s="8">
        <v>5080</v>
      </c>
      <c r="B5081" s="8" t="s">
        <v>22791</v>
      </c>
      <c r="C5081" s="8" t="s">
        <v>22791</v>
      </c>
      <c r="F5081" s="47"/>
      <c r="G5081" s="8">
        <v>19</v>
      </c>
      <c r="H5081" s="8" t="s">
        <v>21</v>
      </c>
      <c r="I5081" s="8" t="s">
        <v>22</v>
      </c>
      <c r="J5081" s="8" t="s">
        <v>22</v>
      </c>
      <c r="K5081" s="8" t="s">
        <v>818</v>
      </c>
      <c r="L5081" s="8" t="s">
        <v>17287</v>
      </c>
      <c r="M5081" s="8" t="s">
        <v>17288</v>
      </c>
      <c r="N5081" s="8" t="s">
        <v>22792</v>
      </c>
      <c r="O5081" s="8">
        <f>13+19/60+19.2/3600</f>
        <v>13.321999999999999</v>
      </c>
      <c r="P5081" s="8" t="s">
        <v>22793</v>
      </c>
      <c r="Q5081" s="8">
        <f>+(8+25/60+47/3600)</f>
        <v>8.429722222222221</v>
      </c>
      <c r="R5081" s="8">
        <v>13.6</v>
      </c>
      <c r="S5081" s="8">
        <v>14.6</v>
      </c>
      <c r="T5081" s="8">
        <v>1</v>
      </c>
      <c r="U5081" s="8">
        <v>14</v>
      </c>
      <c r="V5081" s="8">
        <v>1.2</v>
      </c>
      <c r="W5081" s="8">
        <v>1.1000000000000001</v>
      </c>
      <c r="X5081" s="8">
        <v>99</v>
      </c>
      <c r="Y5081" s="8" t="s">
        <v>22794</v>
      </c>
      <c r="Z5081" s="8" t="s">
        <v>22795</v>
      </c>
    </row>
    <row r="5082" spans="1:26" x14ac:dyDescent="0.2">
      <c r="A5082" s="8">
        <v>5081</v>
      </c>
      <c r="B5082" s="8" t="s">
        <v>22796</v>
      </c>
      <c r="C5082" s="8" t="s">
        <v>22796</v>
      </c>
      <c r="F5082" s="47"/>
      <c r="G5082" s="8">
        <v>18</v>
      </c>
      <c r="H5082" s="8" t="s">
        <v>21</v>
      </c>
      <c r="I5082" s="8" t="s">
        <v>22</v>
      </c>
      <c r="J5082" s="8" t="s">
        <v>22</v>
      </c>
      <c r="K5082" s="8" t="s">
        <v>218</v>
      </c>
      <c r="L5082" s="8" t="s">
        <v>18289</v>
      </c>
      <c r="M5082" s="8" t="s">
        <v>18290</v>
      </c>
      <c r="N5082" s="8" t="s">
        <v>22797</v>
      </c>
      <c r="O5082" s="8">
        <f>13+19/60+8.3/3600</f>
        <v>13.318972222222222</v>
      </c>
      <c r="P5082" s="8" t="s">
        <v>22798</v>
      </c>
      <c r="Q5082" s="8">
        <f>+(28+30/60+23/3600)</f>
        <v>28.506388888888889</v>
      </c>
      <c r="R5082" s="8">
        <v>13.1</v>
      </c>
      <c r="S5082" s="8">
        <v>14.1</v>
      </c>
      <c r="T5082" s="8">
        <v>1</v>
      </c>
      <c r="U5082" s="8">
        <v>13.5</v>
      </c>
      <c r="V5082" s="8">
        <v>2.2000000000000002</v>
      </c>
      <c r="W5082" s="8">
        <v>0.8</v>
      </c>
      <c r="X5082" s="8">
        <v>103</v>
      </c>
      <c r="Y5082" s="8" t="s">
        <v>22799</v>
      </c>
      <c r="Z5082" s="8" t="s">
        <v>22800</v>
      </c>
    </row>
    <row r="5083" spans="1:26" x14ac:dyDescent="0.2">
      <c r="A5083" s="8">
        <v>5082</v>
      </c>
      <c r="B5083" s="8" t="s">
        <v>22801</v>
      </c>
      <c r="C5083" s="8" t="s">
        <v>22801</v>
      </c>
      <c r="F5083" s="47"/>
      <c r="G5083" s="8">
        <v>16</v>
      </c>
      <c r="H5083" s="8" t="s">
        <v>21</v>
      </c>
      <c r="I5083" s="8" t="s">
        <v>22</v>
      </c>
      <c r="J5083" s="8" t="s">
        <v>22</v>
      </c>
      <c r="K5083" s="8" t="s">
        <v>224</v>
      </c>
      <c r="L5083" s="8" t="s">
        <v>16195</v>
      </c>
      <c r="M5083" s="8" t="s">
        <v>16196</v>
      </c>
      <c r="N5083" s="8" t="s">
        <v>22802</v>
      </c>
      <c r="O5083" s="8">
        <f>13+20/60+39.8/3600</f>
        <v>13.34438888888889</v>
      </c>
      <c r="P5083" s="8" t="s">
        <v>22803</v>
      </c>
      <c r="Q5083" s="8">
        <f>-(43+42/60+1/3600)</f>
        <v>-43.700277777777778</v>
      </c>
      <c r="R5083" s="8">
        <v>12.6</v>
      </c>
      <c r="S5083" s="8">
        <v>13.6</v>
      </c>
      <c r="T5083" s="8">
        <v>1</v>
      </c>
      <c r="U5083" s="8">
        <v>13</v>
      </c>
      <c r="V5083" s="8">
        <v>1.5</v>
      </c>
      <c r="W5083" s="8">
        <v>1</v>
      </c>
      <c r="X5083" s="8">
        <v>31</v>
      </c>
      <c r="Y5083" s="8" t="s">
        <v>22804</v>
      </c>
      <c r="Z5083" s="8" t="s">
        <v>22805</v>
      </c>
    </row>
    <row r="5084" spans="1:26" x14ac:dyDescent="0.2">
      <c r="A5084" s="8">
        <v>5083</v>
      </c>
      <c r="B5084" s="8" t="s">
        <v>22806</v>
      </c>
      <c r="C5084" s="8" t="s">
        <v>22806</v>
      </c>
      <c r="F5084" s="47"/>
      <c r="G5084" s="8">
        <v>19</v>
      </c>
      <c r="H5084" s="8" t="s">
        <v>21</v>
      </c>
      <c r="I5084" s="8" t="s">
        <v>22</v>
      </c>
      <c r="J5084" s="8" t="s">
        <v>22</v>
      </c>
      <c r="K5084" s="8" t="s">
        <v>64</v>
      </c>
      <c r="L5084" s="8" t="s">
        <v>18681</v>
      </c>
      <c r="M5084" s="8" t="s">
        <v>18682</v>
      </c>
      <c r="N5084" s="8" t="s">
        <v>22807</v>
      </c>
      <c r="O5084" s="8">
        <f>13+19/60+3.1/3600</f>
        <v>13.317527777777778</v>
      </c>
      <c r="P5084" s="8" t="s">
        <v>22808</v>
      </c>
      <c r="Q5084" s="8">
        <f>+(39+35/60+22/3600)</f>
        <v>39.589444444444446</v>
      </c>
      <c r="R5084" s="8">
        <v>14.2</v>
      </c>
      <c r="S5084" s="8">
        <v>14.9</v>
      </c>
      <c r="T5084" s="8">
        <v>0.7</v>
      </c>
      <c r="U5084" s="8">
        <v>14.4</v>
      </c>
      <c r="V5084" s="8">
        <v>1.3</v>
      </c>
      <c r="W5084" s="8">
        <v>1.1000000000000001</v>
      </c>
      <c r="X5084" s="8">
        <v>130</v>
      </c>
      <c r="Y5084" s="8" t="s">
        <v>22480</v>
      </c>
      <c r="Z5084" s="8" t="s">
        <v>22481</v>
      </c>
    </row>
    <row r="5085" spans="1:26" x14ac:dyDescent="0.2">
      <c r="A5085" s="8">
        <v>5084</v>
      </c>
      <c r="B5085" s="8" t="s">
        <v>22809</v>
      </c>
      <c r="C5085" s="8" t="s">
        <v>22809</v>
      </c>
      <c r="F5085" s="47" t="s">
        <v>57717</v>
      </c>
      <c r="G5085" s="8">
        <v>6.5</v>
      </c>
      <c r="H5085" s="8" t="s">
        <v>21</v>
      </c>
      <c r="I5085" s="8" t="s">
        <v>22</v>
      </c>
      <c r="J5085" s="8" t="s">
        <v>22</v>
      </c>
      <c r="K5085" s="8" t="s">
        <v>37</v>
      </c>
      <c r="L5085" s="8" t="s">
        <v>17287</v>
      </c>
      <c r="M5085" s="8" t="s">
        <v>17288</v>
      </c>
      <c r="N5085" s="8" t="s">
        <v>22810</v>
      </c>
      <c r="O5085" s="8">
        <f>13+20/60+16.7/3600</f>
        <v>13.337972222222223</v>
      </c>
      <c r="P5085" s="8" t="s">
        <v>22811</v>
      </c>
      <c r="Q5085" s="8">
        <f>-(21+49/60+39/3600)</f>
        <v>-21.827500000000001</v>
      </c>
      <c r="R5085" s="8">
        <v>10.5</v>
      </c>
      <c r="S5085" s="8">
        <v>11.6</v>
      </c>
      <c r="T5085" s="8">
        <v>1.1000000000000001</v>
      </c>
      <c r="U5085" s="8">
        <v>13.4</v>
      </c>
      <c r="V5085" s="8">
        <v>9.3000000000000007</v>
      </c>
      <c r="W5085" s="8">
        <v>1.7</v>
      </c>
      <c r="X5085" s="8">
        <v>80</v>
      </c>
      <c r="Y5085" s="8" t="s">
        <v>22812</v>
      </c>
      <c r="Z5085" s="8" t="s">
        <v>22813</v>
      </c>
    </row>
    <row r="5086" spans="1:26" x14ac:dyDescent="0.2">
      <c r="A5086" s="8">
        <v>5085</v>
      </c>
      <c r="B5086" s="8" t="s">
        <v>22814</v>
      </c>
      <c r="C5086" s="8" t="s">
        <v>22814</v>
      </c>
      <c r="F5086" s="47" t="s">
        <v>57718</v>
      </c>
      <c r="G5086" s="8">
        <v>12</v>
      </c>
      <c r="H5086" s="8" t="s">
        <v>21</v>
      </c>
      <c r="I5086" s="8" t="s">
        <v>22</v>
      </c>
      <c r="J5086" s="8" t="s">
        <v>22</v>
      </c>
      <c r="K5086" s="8" t="s">
        <v>160</v>
      </c>
      <c r="L5086" s="8" t="s">
        <v>11765</v>
      </c>
      <c r="M5086" s="8" t="s">
        <v>11766</v>
      </c>
      <c r="N5086" s="8" t="s">
        <v>22815</v>
      </c>
      <c r="O5086" s="8">
        <f>13+20/60+17.5/3600</f>
        <v>13.338194444444445</v>
      </c>
      <c r="P5086" s="8" t="s">
        <v>22816</v>
      </c>
      <c r="Q5086" s="8">
        <f>-(24+26/60+25/3600)</f>
        <v>-24.440277777777776</v>
      </c>
      <c r="R5086" s="8">
        <v>11.7</v>
      </c>
      <c r="S5086" s="8">
        <v>12.4</v>
      </c>
      <c r="T5086" s="8">
        <v>0.7</v>
      </c>
      <c r="U5086" s="8">
        <v>14.1</v>
      </c>
      <c r="V5086" s="8">
        <v>3.5</v>
      </c>
      <c r="W5086" s="8">
        <v>3</v>
      </c>
      <c r="X5086" s="8">
        <v>38</v>
      </c>
      <c r="Y5086" s="8" t="s">
        <v>6340</v>
      </c>
      <c r="Z5086" s="8" t="s">
        <v>6341</v>
      </c>
    </row>
    <row r="5087" spans="1:26" x14ac:dyDescent="0.2">
      <c r="A5087" s="8">
        <v>5086</v>
      </c>
      <c r="B5087" s="8" t="s">
        <v>22817</v>
      </c>
      <c r="C5087" s="8" t="s">
        <v>22817</v>
      </c>
      <c r="F5087" s="47"/>
      <c r="G5087" s="8">
        <v>16</v>
      </c>
      <c r="H5087" s="8" t="s">
        <v>21</v>
      </c>
      <c r="I5087" s="8" t="s">
        <v>72</v>
      </c>
      <c r="J5087" s="8" t="s">
        <v>72</v>
      </c>
      <c r="K5087" s="8" t="s">
        <v>73</v>
      </c>
      <c r="L5087" s="8" t="s">
        <v>16195</v>
      </c>
      <c r="M5087" s="8" t="s">
        <v>16196</v>
      </c>
      <c r="N5087" s="8" t="s">
        <v>22818</v>
      </c>
      <c r="O5087" s="8">
        <f>13+20/60+59.3/3600</f>
        <v>13.349805555555555</v>
      </c>
      <c r="P5087" s="8" t="s">
        <v>22819</v>
      </c>
      <c r="Q5087" s="8">
        <f>-(43+43/60+43/3600)</f>
        <v>-43.728611111111114</v>
      </c>
      <c r="R5087" s="8">
        <v>99</v>
      </c>
      <c r="S5087" s="8">
        <v>99</v>
      </c>
      <c r="T5087" s="8">
        <v>99</v>
      </c>
      <c r="U5087" s="8">
        <v>99</v>
      </c>
      <c r="Y5087" s="8" t="s">
        <v>491</v>
      </c>
      <c r="Z5087" s="8" t="s">
        <v>492</v>
      </c>
    </row>
    <row r="5088" spans="1:26" x14ac:dyDescent="0.2">
      <c r="A5088" s="8">
        <v>5087</v>
      </c>
      <c r="B5088" s="8" t="s">
        <v>22820</v>
      </c>
      <c r="C5088" s="8" t="s">
        <v>22820</v>
      </c>
      <c r="F5088" s="47" t="s">
        <v>57719</v>
      </c>
      <c r="G5088" s="8">
        <v>6.5</v>
      </c>
      <c r="H5088" s="8" t="s">
        <v>21</v>
      </c>
      <c r="I5088" s="8" t="s">
        <v>22</v>
      </c>
      <c r="J5088" s="8" t="s">
        <v>22</v>
      </c>
      <c r="K5088" s="8" t="s">
        <v>37</v>
      </c>
      <c r="L5088" s="8" t="s">
        <v>17287</v>
      </c>
      <c r="M5088" s="8" t="s">
        <v>17288</v>
      </c>
      <c r="N5088" s="8" t="s">
        <v>22821</v>
      </c>
      <c r="O5088" s="8">
        <f>13+20/60+24.9/3600</f>
        <v>13.340250000000001</v>
      </c>
      <c r="P5088" s="8" t="s">
        <v>22822</v>
      </c>
      <c r="Q5088" s="8">
        <f>-(20+36/60+39/3600)</f>
        <v>-20.610833333333336</v>
      </c>
      <c r="R5088" s="8">
        <v>11.4</v>
      </c>
      <c r="S5088" s="8">
        <v>12.4</v>
      </c>
      <c r="T5088" s="8">
        <v>1</v>
      </c>
      <c r="U5088" s="8">
        <v>12.8</v>
      </c>
      <c r="V5088" s="8">
        <v>2.7</v>
      </c>
      <c r="W5088" s="8">
        <v>2.2000000000000002</v>
      </c>
      <c r="X5088" s="8">
        <v>10</v>
      </c>
      <c r="Y5088" s="8" t="s">
        <v>22823</v>
      </c>
      <c r="Z5088" s="8" t="s">
        <v>22824</v>
      </c>
    </row>
    <row r="5089" spans="1:26" x14ac:dyDescent="0.2">
      <c r="A5089" s="8">
        <v>5088</v>
      </c>
      <c r="B5089" s="8" t="s">
        <v>22825</v>
      </c>
      <c r="C5089" s="8" t="s">
        <v>22825</v>
      </c>
      <c r="F5089" s="47"/>
      <c r="G5089" s="8">
        <v>13</v>
      </c>
      <c r="H5089" s="8" t="s">
        <v>21</v>
      </c>
      <c r="I5089" s="8" t="s">
        <v>22</v>
      </c>
      <c r="J5089" s="8" t="s">
        <v>22</v>
      </c>
      <c r="K5089" s="8" t="s">
        <v>396</v>
      </c>
      <c r="L5089" s="8" t="s">
        <v>17287</v>
      </c>
      <c r="M5089" s="8" t="s">
        <v>17288</v>
      </c>
      <c r="N5089" s="8" t="s">
        <v>22826</v>
      </c>
      <c r="O5089" s="8">
        <f>13+20/60+20.2/3600</f>
        <v>13.338944444444445</v>
      </c>
      <c r="P5089" s="8" t="s">
        <v>22827</v>
      </c>
      <c r="Q5089" s="8">
        <f>-(12+34/60+20/3600)</f>
        <v>-12.572222222222223</v>
      </c>
      <c r="R5089" s="8">
        <v>12.4</v>
      </c>
      <c r="S5089" s="8">
        <v>13.2</v>
      </c>
      <c r="T5089" s="8">
        <v>0.8</v>
      </c>
      <c r="U5089" s="8">
        <v>13</v>
      </c>
      <c r="V5089" s="8">
        <v>2.7</v>
      </c>
      <c r="W5089" s="8">
        <v>0.7</v>
      </c>
      <c r="X5089" s="8">
        <v>0</v>
      </c>
      <c r="Y5089" s="8" t="s">
        <v>5970</v>
      </c>
      <c r="Z5089" s="8" t="s">
        <v>5971</v>
      </c>
    </row>
    <row r="5090" spans="1:26" x14ac:dyDescent="0.2">
      <c r="A5090" s="8">
        <v>5089</v>
      </c>
      <c r="B5090" s="8" t="s">
        <v>22828</v>
      </c>
      <c r="C5090" s="8" t="s">
        <v>22828</v>
      </c>
      <c r="F5090" s="47" t="s">
        <v>57720</v>
      </c>
      <c r="G5090" s="8">
        <v>15</v>
      </c>
      <c r="H5090" s="8" t="s">
        <v>21</v>
      </c>
      <c r="I5090" s="8" t="s">
        <v>22</v>
      </c>
      <c r="J5090" s="8" t="s">
        <v>22</v>
      </c>
      <c r="K5090" s="8" t="s">
        <v>64</v>
      </c>
      <c r="L5090" s="8" t="s">
        <v>18289</v>
      </c>
      <c r="M5090" s="8" t="s">
        <v>18290</v>
      </c>
      <c r="N5090" s="8" t="s">
        <v>22829</v>
      </c>
      <c r="O5090" s="8">
        <f>13+19/60+39.4/3600</f>
        <v>13.327611111111111</v>
      </c>
      <c r="P5090" s="8" t="s">
        <v>22830</v>
      </c>
      <c r="Q5090" s="8">
        <f>+(30+15/60+20/3600)</f>
        <v>30.255555555555556</v>
      </c>
      <c r="R5090" s="8">
        <v>13.1</v>
      </c>
      <c r="S5090" s="8">
        <v>13.8</v>
      </c>
      <c r="T5090" s="8">
        <v>0.7</v>
      </c>
      <c r="U5090" s="8">
        <v>13.4</v>
      </c>
      <c r="V5090" s="8">
        <v>1.7</v>
      </c>
      <c r="W5090" s="8">
        <v>0.8</v>
      </c>
      <c r="X5090" s="8">
        <v>120</v>
      </c>
      <c r="Y5090" s="8" t="s">
        <v>22831</v>
      </c>
      <c r="Z5090" s="8" t="s">
        <v>22832</v>
      </c>
    </row>
    <row r="5091" spans="1:26" x14ac:dyDescent="0.2">
      <c r="A5091" s="8">
        <v>5090</v>
      </c>
      <c r="B5091" s="8" t="s">
        <v>22833</v>
      </c>
      <c r="C5091" s="8" t="s">
        <v>22833</v>
      </c>
      <c r="F5091" s="47"/>
      <c r="G5091" s="8">
        <v>13</v>
      </c>
      <c r="H5091" s="8" t="s">
        <v>21</v>
      </c>
      <c r="I5091" s="8" t="s">
        <v>22</v>
      </c>
      <c r="J5091" s="8" t="s">
        <v>22</v>
      </c>
      <c r="K5091" s="8" t="s">
        <v>1136</v>
      </c>
      <c r="L5091" s="8" t="s">
        <v>16195</v>
      </c>
      <c r="M5091" s="8" t="s">
        <v>16196</v>
      </c>
      <c r="N5091" s="8" t="s">
        <v>22834</v>
      </c>
      <c r="O5091" s="8">
        <f>13+21/60+12.7/3600</f>
        <v>13.353527777777778</v>
      </c>
      <c r="P5091" s="8" t="s">
        <v>10182</v>
      </c>
      <c r="Q5091" s="8">
        <f>-(43+42/60+18/3600)</f>
        <v>-43.705000000000005</v>
      </c>
      <c r="R5091" s="8">
        <v>11.5</v>
      </c>
      <c r="S5091" s="8">
        <v>12.5</v>
      </c>
      <c r="T5091" s="8">
        <v>1</v>
      </c>
      <c r="U5091" s="8">
        <v>13.5</v>
      </c>
      <c r="V5091" s="8">
        <v>2.7</v>
      </c>
      <c r="W5091" s="8">
        <v>2.2000000000000002</v>
      </c>
      <c r="X5091" s="8">
        <v>109</v>
      </c>
      <c r="Y5091" s="8" t="s">
        <v>22835</v>
      </c>
      <c r="Z5091" s="8" t="s">
        <v>22836</v>
      </c>
    </row>
    <row r="5092" spans="1:26" x14ac:dyDescent="0.2">
      <c r="A5092" s="8">
        <v>5091</v>
      </c>
      <c r="B5092" s="8" t="s">
        <v>22837</v>
      </c>
      <c r="C5092" s="8" t="s">
        <v>22837</v>
      </c>
      <c r="F5092" s="47"/>
      <c r="G5092" s="8">
        <v>16</v>
      </c>
      <c r="H5092" s="8" t="s">
        <v>21</v>
      </c>
      <c r="I5092" s="8" t="s">
        <v>22</v>
      </c>
      <c r="J5092" s="8" t="s">
        <v>22</v>
      </c>
      <c r="K5092" s="8" t="s">
        <v>23</v>
      </c>
      <c r="L5092" s="8" t="s">
        <v>16195</v>
      </c>
      <c r="M5092" s="8" t="s">
        <v>16196</v>
      </c>
      <c r="N5092" s="8" t="s">
        <v>22838</v>
      </c>
      <c r="O5092" s="8">
        <f>13+21/60+17.9/3600</f>
        <v>13.354972222222221</v>
      </c>
      <c r="P5092" s="8" t="s">
        <v>22839</v>
      </c>
      <c r="Q5092" s="8">
        <f>-(43+43/60+13/3600)</f>
        <v>-43.720277777777781</v>
      </c>
      <c r="R5092" s="8">
        <v>13.1</v>
      </c>
      <c r="S5092" s="8">
        <v>13.9</v>
      </c>
      <c r="T5092" s="8">
        <v>0.8</v>
      </c>
      <c r="U5092" s="8">
        <v>12.8</v>
      </c>
      <c r="V5092" s="8">
        <v>1.8</v>
      </c>
      <c r="W5092" s="8">
        <v>0.5</v>
      </c>
      <c r="X5092" s="8">
        <v>130</v>
      </c>
      <c r="Y5092" s="8" t="s">
        <v>22840</v>
      </c>
      <c r="Z5092" s="8" t="s">
        <v>22841</v>
      </c>
    </row>
    <row r="5093" spans="1:26" x14ac:dyDescent="0.2">
      <c r="A5093" s="8">
        <v>5092</v>
      </c>
      <c r="B5093" s="8" t="s">
        <v>22842</v>
      </c>
      <c r="C5093" s="8" t="s">
        <v>22842</v>
      </c>
      <c r="F5093" s="47"/>
      <c r="G5093" s="8">
        <v>18</v>
      </c>
      <c r="H5093" s="8" t="s">
        <v>21</v>
      </c>
      <c r="I5093" s="8" t="s">
        <v>22</v>
      </c>
      <c r="J5093" s="8" t="s">
        <v>22</v>
      </c>
      <c r="K5093" s="8" t="s">
        <v>460</v>
      </c>
      <c r="L5093" s="8" t="s">
        <v>18289</v>
      </c>
      <c r="M5093" s="8" t="s">
        <v>18290</v>
      </c>
      <c r="N5093" s="8" t="s">
        <v>22843</v>
      </c>
      <c r="O5093" s="8">
        <f>13+19/60+51.6/3600</f>
        <v>13.331</v>
      </c>
      <c r="P5093" s="8" t="s">
        <v>22844</v>
      </c>
      <c r="Q5093" s="8">
        <f>+(23+0/60+0/3600)</f>
        <v>23</v>
      </c>
      <c r="R5093" s="8">
        <v>13.3</v>
      </c>
      <c r="S5093" s="8">
        <v>14.3</v>
      </c>
      <c r="T5093" s="8">
        <v>1</v>
      </c>
      <c r="U5093" s="8">
        <v>13.3</v>
      </c>
      <c r="V5093" s="8">
        <v>1</v>
      </c>
      <c r="W5093" s="8">
        <v>1</v>
      </c>
      <c r="Y5093" s="8" t="s">
        <v>22845</v>
      </c>
      <c r="Z5093" s="8" t="s">
        <v>22846</v>
      </c>
    </row>
    <row r="5094" spans="1:26" x14ac:dyDescent="0.2">
      <c r="A5094" s="8">
        <v>5093</v>
      </c>
      <c r="B5094" s="8" t="s">
        <v>22847</v>
      </c>
      <c r="C5094" s="8" t="s">
        <v>22847</v>
      </c>
      <c r="F5094" s="47" t="s">
        <v>57721</v>
      </c>
      <c r="G5094" s="8">
        <v>15</v>
      </c>
      <c r="H5094" s="8" t="s">
        <v>21</v>
      </c>
      <c r="I5094" s="8" t="s">
        <v>22</v>
      </c>
      <c r="J5094" s="8" t="s">
        <v>22</v>
      </c>
      <c r="K5094" s="8" t="s">
        <v>91</v>
      </c>
      <c r="L5094" s="8" t="s">
        <v>18681</v>
      </c>
      <c r="M5094" s="8" t="s">
        <v>18682</v>
      </c>
      <c r="N5094" s="8" t="s">
        <v>22848</v>
      </c>
      <c r="O5094" s="8">
        <f>13+19/60+37.8/3600</f>
        <v>13.327166666666667</v>
      </c>
      <c r="P5094" s="8" t="s">
        <v>22849</v>
      </c>
      <c r="Q5094" s="8">
        <f>+(40+23/60+11/3600)</f>
        <v>40.386388888888888</v>
      </c>
      <c r="R5094" s="8">
        <v>13.7</v>
      </c>
      <c r="S5094" s="8">
        <v>14.6</v>
      </c>
      <c r="T5094" s="8">
        <v>0.9</v>
      </c>
      <c r="U5094" s="8">
        <v>13.5</v>
      </c>
      <c r="V5094" s="8">
        <v>1.4</v>
      </c>
      <c r="W5094" s="8">
        <v>0.7</v>
      </c>
      <c r="X5094" s="8">
        <v>143</v>
      </c>
      <c r="Y5094" s="8" t="s">
        <v>10836</v>
      </c>
      <c r="Z5094" s="8" t="s">
        <v>10837</v>
      </c>
    </row>
    <row r="5095" spans="1:26" x14ac:dyDescent="0.2">
      <c r="A5095" s="8">
        <v>5094</v>
      </c>
      <c r="B5095" s="8" t="s">
        <v>22850</v>
      </c>
      <c r="C5095" s="8" t="s">
        <v>22850</v>
      </c>
      <c r="F5095" s="47" t="s">
        <v>57722</v>
      </c>
      <c r="G5095" s="8">
        <v>15</v>
      </c>
      <c r="H5095" s="8" t="s">
        <v>21</v>
      </c>
      <c r="I5095" s="8" t="s">
        <v>22</v>
      </c>
      <c r="J5095" s="8" t="s">
        <v>22</v>
      </c>
      <c r="K5095" s="8" t="s">
        <v>382</v>
      </c>
      <c r="L5095" s="8" t="s">
        <v>17287</v>
      </c>
      <c r="M5095" s="8" t="s">
        <v>17288</v>
      </c>
      <c r="N5095" s="8" t="s">
        <v>22851</v>
      </c>
      <c r="O5095" s="8">
        <f>13+20/60+46.8/3600</f>
        <v>13.346333333333334</v>
      </c>
      <c r="P5095" s="8" t="s">
        <v>22852</v>
      </c>
      <c r="Q5095" s="8">
        <f>-(14+4/60+51/3600)</f>
        <v>-14.080833333333333</v>
      </c>
      <c r="R5095" s="8">
        <v>13</v>
      </c>
      <c r="S5095" s="8">
        <v>14</v>
      </c>
      <c r="T5095" s="8">
        <v>1</v>
      </c>
      <c r="U5095" s="8">
        <v>13.1</v>
      </c>
      <c r="V5095" s="8">
        <v>1.1000000000000001</v>
      </c>
      <c r="W5095" s="8">
        <v>0.8</v>
      </c>
      <c r="X5095" s="8">
        <v>105</v>
      </c>
      <c r="Y5095" s="8" t="s">
        <v>22853</v>
      </c>
      <c r="Z5095" s="8" t="s">
        <v>22854</v>
      </c>
    </row>
    <row r="5096" spans="1:26" x14ac:dyDescent="0.2">
      <c r="A5096" s="8">
        <v>5095</v>
      </c>
      <c r="B5096" s="8" t="s">
        <v>22855</v>
      </c>
      <c r="C5096" s="8" t="s">
        <v>22855</v>
      </c>
      <c r="F5096" s="47"/>
      <c r="G5096" s="8">
        <v>16</v>
      </c>
      <c r="H5096" s="8" t="s">
        <v>21</v>
      </c>
      <c r="I5096" s="8" t="s">
        <v>22</v>
      </c>
      <c r="J5096" s="8" t="s">
        <v>22</v>
      </c>
      <c r="K5096" s="8" t="s">
        <v>632</v>
      </c>
      <c r="L5096" s="8" t="s">
        <v>17287</v>
      </c>
      <c r="M5096" s="8" t="s">
        <v>17288</v>
      </c>
      <c r="N5096" s="8" t="s">
        <v>22856</v>
      </c>
      <c r="O5096" s="8">
        <f>13+20/60+36.8/3600</f>
        <v>13.343555555555556</v>
      </c>
      <c r="P5096" s="8" t="s">
        <v>22857</v>
      </c>
      <c r="Q5096" s="8">
        <f>-(2+17/60+21/3600)</f>
        <v>-2.2891666666666666</v>
      </c>
      <c r="R5096" s="8">
        <v>13.7</v>
      </c>
      <c r="S5096" s="8">
        <v>14.6</v>
      </c>
      <c r="T5096" s="8">
        <v>0.9</v>
      </c>
      <c r="U5096" s="8">
        <v>13</v>
      </c>
      <c r="V5096" s="8">
        <v>1.2</v>
      </c>
      <c r="W5096" s="8">
        <v>0.4</v>
      </c>
      <c r="X5096" s="8">
        <v>126</v>
      </c>
      <c r="Y5096" s="8" t="s">
        <v>22858</v>
      </c>
      <c r="Z5096" s="8" t="s">
        <v>22859</v>
      </c>
    </row>
    <row r="5097" spans="1:26" x14ac:dyDescent="0.2">
      <c r="A5097" s="8">
        <v>5096</v>
      </c>
      <c r="B5097" s="8" t="s">
        <v>22860</v>
      </c>
      <c r="C5097" s="8" t="s">
        <v>22860</v>
      </c>
      <c r="F5097" s="47" t="s">
        <v>57723</v>
      </c>
      <c r="G5097" s="8">
        <v>15</v>
      </c>
      <c r="H5097" s="8" t="s">
        <v>21</v>
      </c>
      <c r="I5097" s="8" t="s">
        <v>22</v>
      </c>
      <c r="J5097" s="8" t="s">
        <v>22</v>
      </c>
      <c r="K5097" s="8" t="s">
        <v>632</v>
      </c>
      <c r="L5097" s="8" t="s">
        <v>18681</v>
      </c>
      <c r="M5097" s="8" t="s">
        <v>18682</v>
      </c>
      <c r="N5097" s="8" t="s">
        <v>22861</v>
      </c>
      <c r="O5097" s="8">
        <f>13+20/60+8.6/3600</f>
        <v>13.335722222222223</v>
      </c>
      <c r="P5097" s="8" t="s">
        <v>22862</v>
      </c>
      <c r="Q5097" s="8">
        <f>+(33+5/60+17/3600)</f>
        <v>33.088055555555556</v>
      </c>
      <c r="R5097" s="8">
        <v>13.9</v>
      </c>
      <c r="S5097" s="8">
        <v>14.8</v>
      </c>
      <c r="T5097" s="8">
        <v>0.9</v>
      </c>
      <c r="U5097" s="8">
        <v>13.2</v>
      </c>
      <c r="V5097" s="8">
        <v>0.7</v>
      </c>
      <c r="W5097" s="8">
        <v>0.7</v>
      </c>
      <c r="Y5097" s="8" t="s">
        <v>22863</v>
      </c>
      <c r="Z5097" s="8" t="s">
        <v>22864</v>
      </c>
    </row>
    <row r="5098" spans="1:26" x14ac:dyDescent="0.2">
      <c r="A5098" s="8">
        <v>5097</v>
      </c>
      <c r="B5098" s="8" t="s">
        <v>22865</v>
      </c>
      <c r="C5098" s="8" t="s">
        <v>22865</v>
      </c>
      <c r="F5098" s="47"/>
      <c r="G5098" s="8">
        <v>19</v>
      </c>
      <c r="H5098" s="8" t="s">
        <v>21</v>
      </c>
      <c r="I5098" s="8" t="s">
        <v>22</v>
      </c>
      <c r="J5098" s="8" t="s">
        <v>22</v>
      </c>
      <c r="K5098" s="8" t="s">
        <v>50</v>
      </c>
      <c r="L5098" s="8" t="s">
        <v>17287</v>
      </c>
      <c r="M5098" s="8" t="s">
        <v>17288</v>
      </c>
      <c r="N5098" s="8" t="s">
        <v>22866</v>
      </c>
      <c r="O5098" s="8">
        <f>13+20/60+59.6/3600</f>
        <v>13.34988888888889</v>
      </c>
      <c r="P5098" s="8" t="s">
        <v>22867</v>
      </c>
      <c r="Q5098" s="8">
        <f>-(12+28/60+18/3600)</f>
        <v>-12.471666666666668</v>
      </c>
      <c r="R5098" s="8">
        <v>14.6</v>
      </c>
      <c r="S5098" s="8">
        <v>15.6</v>
      </c>
      <c r="T5098" s="8">
        <v>1</v>
      </c>
      <c r="U5098" s="8">
        <v>12.6</v>
      </c>
      <c r="V5098" s="8">
        <v>0.5</v>
      </c>
      <c r="W5098" s="8">
        <v>0.3</v>
      </c>
      <c r="X5098" s="8">
        <v>45</v>
      </c>
      <c r="Y5098" s="8" t="s">
        <v>22868</v>
      </c>
      <c r="Z5098" s="8" t="s">
        <v>22869</v>
      </c>
    </row>
    <row r="5099" spans="1:26" x14ac:dyDescent="0.2">
      <c r="A5099" s="8">
        <v>5098</v>
      </c>
      <c r="B5099" s="8" t="s">
        <v>22870</v>
      </c>
      <c r="C5099" s="8" t="s">
        <v>22870</v>
      </c>
      <c r="D5099" s="8" t="s">
        <v>351</v>
      </c>
      <c r="F5099" s="47"/>
      <c r="G5099" s="8">
        <v>16</v>
      </c>
      <c r="H5099" s="8" t="s">
        <v>21</v>
      </c>
      <c r="I5099" s="8" t="s">
        <v>22</v>
      </c>
      <c r="J5099" s="8" t="s">
        <v>22</v>
      </c>
      <c r="K5099" s="8" t="s">
        <v>460</v>
      </c>
      <c r="L5099" s="8" t="s">
        <v>18681</v>
      </c>
      <c r="M5099" s="8" t="s">
        <v>18682</v>
      </c>
      <c r="N5099" s="8" t="s">
        <v>22871</v>
      </c>
      <c r="O5099" s="8">
        <f>13+20/60+14.7/3600</f>
        <v>13.337416666666668</v>
      </c>
      <c r="P5099" s="8" t="s">
        <v>22872</v>
      </c>
      <c r="Q5099" s="8">
        <f>+(33+8/60+36/3600)</f>
        <v>33.143333333333331</v>
      </c>
      <c r="R5099" s="8">
        <v>14.1</v>
      </c>
      <c r="S5099" s="8">
        <v>15.1</v>
      </c>
      <c r="T5099" s="8">
        <v>1</v>
      </c>
      <c r="U5099" s="8">
        <v>13.4</v>
      </c>
      <c r="V5099" s="8">
        <v>0.7</v>
      </c>
      <c r="W5099" s="8">
        <v>0.7</v>
      </c>
      <c r="Y5099" s="8" t="s">
        <v>22873</v>
      </c>
      <c r="Z5099" s="8" t="s">
        <v>22874</v>
      </c>
    </row>
    <row r="5100" spans="1:26" x14ac:dyDescent="0.2">
      <c r="A5100" s="8">
        <v>5099</v>
      </c>
      <c r="B5100" s="8" t="s">
        <v>22875</v>
      </c>
      <c r="C5100" s="8" t="s">
        <v>22875</v>
      </c>
      <c r="F5100" s="47"/>
      <c r="G5100" s="8">
        <v>19</v>
      </c>
      <c r="H5100" s="8" t="s">
        <v>21</v>
      </c>
      <c r="I5100" s="8" t="s">
        <v>22</v>
      </c>
      <c r="J5100" s="8" t="s">
        <v>22</v>
      </c>
      <c r="K5100" s="8" t="s">
        <v>460</v>
      </c>
      <c r="L5100" s="8" t="s">
        <v>17287</v>
      </c>
      <c r="M5100" s="8" t="s">
        <v>17288</v>
      </c>
      <c r="N5100" s="8" t="s">
        <v>22876</v>
      </c>
      <c r="O5100" s="8">
        <f>13+21/60+19.5/3600</f>
        <v>13.355416666666667</v>
      </c>
      <c r="P5100" s="8" t="s">
        <v>22877</v>
      </c>
      <c r="Q5100" s="8">
        <f>-(13+2/60+30/3600)</f>
        <v>-13.041666666666666</v>
      </c>
      <c r="R5100" s="8">
        <v>14.3</v>
      </c>
      <c r="S5100" s="8">
        <v>15.3</v>
      </c>
      <c r="T5100" s="8">
        <v>1</v>
      </c>
      <c r="U5100" s="8">
        <v>13.3</v>
      </c>
      <c r="V5100" s="8">
        <v>0.6</v>
      </c>
      <c r="W5100" s="8">
        <v>0.6</v>
      </c>
      <c r="Y5100" s="8" t="s">
        <v>1829</v>
      </c>
      <c r="Z5100" s="8" t="s">
        <v>1830</v>
      </c>
    </row>
    <row r="5101" spans="1:26" x14ac:dyDescent="0.2">
      <c r="A5101" s="8">
        <v>5100</v>
      </c>
      <c r="B5101" s="8" t="s">
        <v>22878</v>
      </c>
      <c r="C5101" s="8" t="s">
        <v>22878</v>
      </c>
      <c r="E5101" s="8">
        <v>2</v>
      </c>
      <c r="F5101" s="47"/>
      <c r="G5101" s="8">
        <v>18</v>
      </c>
      <c r="H5101" s="8" t="s">
        <v>21</v>
      </c>
      <c r="I5101" s="8" t="s">
        <v>22</v>
      </c>
      <c r="J5101" s="8" t="s">
        <v>57</v>
      </c>
      <c r="K5101" s="8" t="s">
        <v>476</v>
      </c>
      <c r="L5101" s="8" t="s">
        <v>17287</v>
      </c>
      <c r="M5101" s="8" t="s">
        <v>17288</v>
      </c>
      <c r="N5101" s="8" t="s">
        <v>22879</v>
      </c>
      <c r="O5101" s="8">
        <f>13+20/60+59.5/3600</f>
        <v>13.349861111111112</v>
      </c>
      <c r="P5101" s="8" t="s">
        <v>22880</v>
      </c>
      <c r="Q5101" s="8">
        <f>+(8+58/60+44/3600)</f>
        <v>8.9788888888888891</v>
      </c>
      <c r="R5101" s="8">
        <v>13.9</v>
      </c>
      <c r="S5101" s="8">
        <v>14.8</v>
      </c>
      <c r="T5101" s="8">
        <v>0.9</v>
      </c>
      <c r="U5101" s="8">
        <v>12.5</v>
      </c>
      <c r="V5101" s="8">
        <v>0.8</v>
      </c>
      <c r="W5101" s="8">
        <v>0.4</v>
      </c>
      <c r="X5101" s="8">
        <v>21</v>
      </c>
      <c r="Y5101" s="8" t="s">
        <v>22881</v>
      </c>
      <c r="Z5101" s="8" t="s">
        <v>22882</v>
      </c>
    </row>
    <row r="5102" spans="1:26" x14ac:dyDescent="0.2">
      <c r="A5102" s="8">
        <v>5101</v>
      </c>
      <c r="B5102" s="8" t="s">
        <v>22883</v>
      </c>
      <c r="C5102" s="8" t="s">
        <v>22883</v>
      </c>
      <c r="F5102" s="47" t="s">
        <v>57724</v>
      </c>
      <c r="G5102" s="8">
        <v>12</v>
      </c>
      <c r="H5102" s="8" t="s">
        <v>21</v>
      </c>
      <c r="I5102" s="8" t="s">
        <v>22</v>
      </c>
      <c r="J5102" s="8" t="s">
        <v>22</v>
      </c>
      <c r="K5102" s="8" t="s">
        <v>435</v>
      </c>
      <c r="L5102" s="8" t="s">
        <v>11765</v>
      </c>
      <c r="M5102" s="8" t="s">
        <v>11766</v>
      </c>
      <c r="N5102" s="8" t="s">
        <v>22884</v>
      </c>
      <c r="O5102" s="8">
        <f>13+21/60+46/3600</f>
        <v>13.362777777777778</v>
      </c>
      <c r="P5102" s="8" t="s">
        <v>22885</v>
      </c>
      <c r="Q5102" s="8">
        <f>-(27+25/60+51/3600)</f>
        <v>-27.430833333333336</v>
      </c>
      <c r="R5102" s="8">
        <v>10.7</v>
      </c>
      <c r="S5102" s="8">
        <v>11.6</v>
      </c>
      <c r="T5102" s="8">
        <v>0.9</v>
      </c>
      <c r="U5102" s="8">
        <v>14</v>
      </c>
      <c r="V5102" s="8">
        <v>5.4</v>
      </c>
      <c r="W5102" s="8">
        <v>4.5999999999999996</v>
      </c>
      <c r="X5102" s="8">
        <v>123</v>
      </c>
      <c r="Y5102" s="8" t="s">
        <v>21</v>
      </c>
      <c r="Z5102" s="8" t="s">
        <v>22886</v>
      </c>
    </row>
    <row r="5103" spans="1:26" x14ac:dyDescent="0.2">
      <c r="A5103" s="8">
        <v>5102</v>
      </c>
      <c r="B5103" s="8" t="s">
        <v>22887</v>
      </c>
      <c r="C5103" s="8" t="s">
        <v>22887</v>
      </c>
      <c r="F5103" s="47"/>
      <c r="G5103" s="8">
        <v>5</v>
      </c>
      <c r="H5103" s="8" t="s">
        <v>22888</v>
      </c>
      <c r="I5103" s="8" t="s">
        <v>22</v>
      </c>
      <c r="J5103" s="8" t="s">
        <v>22</v>
      </c>
      <c r="K5103" s="8" t="s">
        <v>58</v>
      </c>
      <c r="L5103" s="8" t="s">
        <v>16195</v>
      </c>
      <c r="M5103" s="8" t="s">
        <v>16196</v>
      </c>
      <c r="N5103" s="8" t="s">
        <v>22889</v>
      </c>
      <c r="O5103" s="8">
        <f>13+21/60+57/3600</f>
        <v>13.365833333333333</v>
      </c>
      <c r="P5103" s="8" t="s">
        <v>22890</v>
      </c>
      <c r="Q5103" s="8">
        <f>-(36+37/60+54/3600)</f>
        <v>-36.631666666666668</v>
      </c>
      <c r="R5103" s="8">
        <v>9.6</v>
      </c>
      <c r="S5103" s="8">
        <v>10.4</v>
      </c>
      <c r="T5103" s="8">
        <v>0.8</v>
      </c>
      <c r="U5103" s="8">
        <v>13</v>
      </c>
      <c r="V5103" s="8">
        <v>8.6</v>
      </c>
      <c r="W5103" s="8">
        <v>2.7</v>
      </c>
      <c r="X5103" s="8">
        <v>48</v>
      </c>
      <c r="Y5103" s="8" t="s">
        <v>22891</v>
      </c>
      <c r="Z5103" s="8" t="s">
        <v>22892</v>
      </c>
    </row>
    <row r="5104" spans="1:26" x14ac:dyDescent="0.2">
      <c r="A5104" s="8">
        <v>5103</v>
      </c>
      <c r="B5104" s="8" t="s">
        <v>22893</v>
      </c>
      <c r="C5104" s="8" t="s">
        <v>22893</v>
      </c>
      <c r="F5104" s="47" t="s">
        <v>57725</v>
      </c>
      <c r="G5104" s="8">
        <v>6.5</v>
      </c>
      <c r="H5104" s="8" t="s">
        <v>21</v>
      </c>
      <c r="I5104" s="8" t="s">
        <v>22</v>
      </c>
      <c r="J5104" s="8" t="s">
        <v>22</v>
      </c>
      <c r="K5104" s="8" t="s">
        <v>476</v>
      </c>
      <c r="L5104" s="8" t="s">
        <v>18681</v>
      </c>
      <c r="M5104" s="8" t="s">
        <v>18682</v>
      </c>
      <c r="N5104" s="8" t="s">
        <v>22894</v>
      </c>
      <c r="O5104" s="8">
        <f>13+20/60+30/3600</f>
        <v>13.341666666666667</v>
      </c>
      <c r="P5104" s="8" t="s">
        <v>22895</v>
      </c>
      <c r="Q5104" s="8">
        <f>+(43+5/60+4/3600)</f>
        <v>43.084444444444443</v>
      </c>
      <c r="R5104" s="8">
        <v>12.7</v>
      </c>
      <c r="S5104" s="8">
        <v>13.6</v>
      </c>
      <c r="T5104" s="8">
        <v>0.9</v>
      </c>
      <c r="U5104" s="8">
        <v>12.9</v>
      </c>
      <c r="V5104" s="8">
        <v>1.4</v>
      </c>
      <c r="W5104" s="8">
        <v>1</v>
      </c>
      <c r="X5104" s="8">
        <v>143</v>
      </c>
      <c r="Y5104" s="8" t="s">
        <v>22896</v>
      </c>
      <c r="Z5104" s="8" t="s">
        <v>22897</v>
      </c>
    </row>
    <row r="5105" spans="1:26" x14ac:dyDescent="0.2">
      <c r="A5105" s="8">
        <v>5104</v>
      </c>
      <c r="B5105" s="8" t="s">
        <v>22898</v>
      </c>
      <c r="C5105" s="8" t="s">
        <v>22898</v>
      </c>
      <c r="F5105" s="47"/>
      <c r="G5105" s="8">
        <v>18</v>
      </c>
      <c r="H5105" s="8" t="s">
        <v>21</v>
      </c>
      <c r="I5105" s="8" t="s">
        <v>22</v>
      </c>
      <c r="J5105" s="8" t="s">
        <v>22</v>
      </c>
      <c r="K5105" s="8" t="s">
        <v>91</v>
      </c>
      <c r="L5105" s="8" t="s">
        <v>17287</v>
      </c>
      <c r="M5105" s="8" t="s">
        <v>17288</v>
      </c>
      <c r="N5105" s="8" t="s">
        <v>22899</v>
      </c>
      <c r="O5105" s="8">
        <f>13+21/60+22.9/3600</f>
        <v>13.356361111111111</v>
      </c>
      <c r="P5105" s="8" t="s">
        <v>22900</v>
      </c>
      <c r="Q5105" s="8">
        <f>+(0+20/60+34/3600)</f>
        <v>0.34277777777777774</v>
      </c>
      <c r="R5105" s="8">
        <v>13.7</v>
      </c>
      <c r="S5105" s="8">
        <v>14.6</v>
      </c>
      <c r="T5105" s="8">
        <v>0.9</v>
      </c>
      <c r="U5105" s="8">
        <v>12.7</v>
      </c>
      <c r="V5105" s="8">
        <v>1.2</v>
      </c>
      <c r="W5105" s="8">
        <v>0.4</v>
      </c>
      <c r="X5105" s="8">
        <v>170</v>
      </c>
      <c r="Y5105" s="8" t="s">
        <v>3253</v>
      </c>
      <c r="Z5105" s="8" t="s">
        <v>3254</v>
      </c>
    </row>
    <row r="5106" spans="1:26" x14ac:dyDescent="0.2">
      <c r="A5106" s="8">
        <v>5105</v>
      </c>
      <c r="B5106" s="8" t="s">
        <v>22901</v>
      </c>
      <c r="C5106" s="8" t="s">
        <v>22901</v>
      </c>
      <c r="F5106" s="47"/>
      <c r="G5106" s="8">
        <v>19</v>
      </c>
      <c r="H5106" s="8" t="s">
        <v>21</v>
      </c>
      <c r="I5106" s="8" t="s">
        <v>22</v>
      </c>
      <c r="J5106" s="8" t="s">
        <v>22</v>
      </c>
      <c r="K5106" s="8" t="s">
        <v>64</v>
      </c>
      <c r="L5106" s="8" t="s">
        <v>17287</v>
      </c>
      <c r="M5106" s="8" t="s">
        <v>17288</v>
      </c>
      <c r="N5106" s="8" t="s">
        <v>22902</v>
      </c>
      <c r="O5106" s="8">
        <f>13+21/60+49/3600</f>
        <v>13.36361111111111</v>
      </c>
      <c r="P5106" s="8" t="s">
        <v>22903</v>
      </c>
      <c r="Q5106" s="8">
        <f>-(13+12/60+26/3600)</f>
        <v>-13.207222222222221</v>
      </c>
      <c r="R5106" s="8">
        <v>11.8</v>
      </c>
      <c r="S5106" s="8">
        <v>12.8</v>
      </c>
      <c r="T5106" s="8">
        <v>1</v>
      </c>
      <c r="U5106" s="8">
        <v>12.8</v>
      </c>
      <c r="V5106" s="8">
        <v>2</v>
      </c>
      <c r="W5106" s="8">
        <v>1.5</v>
      </c>
      <c r="X5106" s="8">
        <v>140</v>
      </c>
      <c r="Y5106" s="8" t="s">
        <v>1348</v>
      </c>
      <c r="Z5106" s="8" t="s">
        <v>1349</v>
      </c>
    </row>
    <row r="5107" spans="1:26" x14ac:dyDescent="0.2">
      <c r="A5107" s="8">
        <v>5106</v>
      </c>
      <c r="B5107" s="8" t="s">
        <v>22904</v>
      </c>
      <c r="C5107" s="8" t="s">
        <v>22904</v>
      </c>
      <c r="E5107" s="8">
        <v>2</v>
      </c>
      <c r="F5107" s="47" t="s">
        <v>57726</v>
      </c>
      <c r="G5107" s="8">
        <v>15</v>
      </c>
      <c r="H5107" s="8" t="s">
        <v>21</v>
      </c>
      <c r="I5107" s="8" t="s">
        <v>22</v>
      </c>
      <c r="J5107" s="8" t="s">
        <v>22</v>
      </c>
      <c r="K5107" s="8" t="s">
        <v>476</v>
      </c>
      <c r="L5107" s="8" t="s">
        <v>17287</v>
      </c>
      <c r="M5107" s="8" t="s">
        <v>17288</v>
      </c>
      <c r="N5107" s="8" t="s">
        <v>22879</v>
      </c>
      <c r="O5107" s="8">
        <f>13+20/60+59.5/3600</f>
        <v>13.349861111111112</v>
      </c>
      <c r="P5107" s="8" t="s">
        <v>22880</v>
      </c>
      <c r="Q5107" s="8">
        <f>+(8+58/60+44/3600)</f>
        <v>8.9788888888888891</v>
      </c>
      <c r="R5107" s="8">
        <v>13.9</v>
      </c>
      <c r="S5107" s="8">
        <v>14.8</v>
      </c>
      <c r="T5107" s="8">
        <v>0.9</v>
      </c>
      <c r="U5107" s="8">
        <v>12.5</v>
      </c>
      <c r="V5107" s="8">
        <v>0.8</v>
      </c>
      <c r="W5107" s="8">
        <v>0.4</v>
      </c>
      <c r="X5107" s="8">
        <v>21</v>
      </c>
      <c r="Y5107" s="8" t="s">
        <v>21</v>
      </c>
      <c r="Z5107" s="8" t="s">
        <v>22905</v>
      </c>
    </row>
    <row r="5108" spans="1:26" x14ac:dyDescent="0.2">
      <c r="A5108" s="8">
        <v>5107</v>
      </c>
      <c r="B5108" s="8" t="s">
        <v>22906</v>
      </c>
      <c r="C5108" s="8" t="s">
        <v>22906</v>
      </c>
      <c r="F5108" s="47" t="s">
        <v>57727</v>
      </c>
      <c r="G5108" s="8">
        <v>15</v>
      </c>
      <c r="H5108" s="8" t="s">
        <v>21</v>
      </c>
      <c r="I5108" s="8" t="s">
        <v>22</v>
      </c>
      <c r="J5108" s="8" t="s">
        <v>22</v>
      </c>
      <c r="K5108" s="8" t="s">
        <v>1277</v>
      </c>
      <c r="L5108" s="8" t="s">
        <v>18681</v>
      </c>
      <c r="M5108" s="8" t="s">
        <v>18682</v>
      </c>
      <c r="N5108" s="8" t="s">
        <v>22907</v>
      </c>
      <c r="O5108" s="8">
        <f>13+21/60+24.4/3600</f>
        <v>13.356777777777777</v>
      </c>
      <c r="P5108" s="8" t="s">
        <v>22908</v>
      </c>
      <c r="Q5108" s="8">
        <f>+(38+32/60+18/3600)</f>
        <v>38.538333333333334</v>
      </c>
      <c r="R5108" s="8">
        <v>13.1</v>
      </c>
      <c r="S5108" s="8">
        <v>13.8</v>
      </c>
      <c r="T5108" s="8">
        <v>0.7</v>
      </c>
      <c r="U5108" s="8">
        <v>12.8</v>
      </c>
      <c r="V5108" s="8">
        <v>1.7</v>
      </c>
      <c r="W5108" s="8">
        <v>0.5</v>
      </c>
      <c r="X5108" s="8">
        <v>128</v>
      </c>
      <c r="Y5108" s="8" t="s">
        <v>21</v>
      </c>
      <c r="Z5108" s="8" t="s">
        <v>22909</v>
      </c>
    </row>
    <row r="5109" spans="1:26" x14ac:dyDescent="0.2">
      <c r="A5109" s="8">
        <v>5108</v>
      </c>
      <c r="B5109" s="8" t="s">
        <v>22910</v>
      </c>
      <c r="C5109" s="8" t="s">
        <v>22910</v>
      </c>
      <c r="F5109" s="47"/>
      <c r="G5109" s="8">
        <v>16</v>
      </c>
      <c r="H5109" s="8" t="s">
        <v>21</v>
      </c>
      <c r="I5109" s="8" t="s">
        <v>22</v>
      </c>
      <c r="J5109" s="8" t="s">
        <v>22</v>
      </c>
      <c r="K5109" s="8" t="s">
        <v>85</v>
      </c>
      <c r="L5109" s="8" t="s">
        <v>16195</v>
      </c>
      <c r="M5109" s="8" t="s">
        <v>16196</v>
      </c>
      <c r="N5109" s="8" t="s">
        <v>22911</v>
      </c>
      <c r="O5109" s="8">
        <f>13+23/60+18.7/3600</f>
        <v>13.388527777777778</v>
      </c>
      <c r="P5109" s="8" t="s">
        <v>22912</v>
      </c>
      <c r="Q5109" s="8">
        <f>-(32+20/60+31/3600)</f>
        <v>-32.341944444444444</v>
      </c>
      <c r="R5109" s="8">
        <v>13.9</v>
      </c>
      <c r="S5109" s="8">
        <v>14.7</v>
      </c>
      <c r="T5109" s="8">
        <v>0.8</v>
      </c>
      <c r="U5109" s="8">
        <v>12.7</v>
      </c>
      <c r="V5109" s="8">
        <v>1.2</v>
      </c>
      <c r="W5109" s="8">
        <v>0.3</v>
      </c>
      <c r="X5109" s="8">
        <v>2</v>
      </c>
      <c r="Y5109" s="8" t="s">
        <v>22913</v>
      </c>
      <c r="Z5109" s="8" t="s">
        <v>22914</v>
      </c>
    </row>
    <row r="5110" spans="1:26" x14ac:dyDescent="0.2">
      <c r="A5110" s="8">
        <v>5109</v>
      </c>
      <c r="B5110" s="8" t="s">
        <v>22915</v>
      </c>
      <c r="C5110" s="8" t="s">
        <v>22915</v>
      </c>
      <c r="F5110" s="47" t="s">
        <v>57728</v>
      </c>
      <c r="G5110" s="8">
        <v>15</v>
      </c>
      <c r="H5110" s="8" t="s">
        <v>21</v>
      </c>
      <c r="I5110" s="8" t="s">
        <v>22</v>
      </c>
      <c r="J5110" s="8" t="s">
        <v>57</v>
      </c>
      <c r="K5110" s="8" t="s">
        <v>396</v>
      </c>
      <c r="L5110" s="8" t="s">
        <v>12015</v>
      </c>
      <c r="M5110" s="8" t="s">
        <v>12016</v>
      </c>
      <c r="N5110" s="8" t="s">
        <v>22916</v>
      </c>
      <c r="O5110" s="8">
        <f>13+20/60+52.6/3600</f>
        <v>13.347944444444446</v>
      </c>
      <c r="P5110" s="8" t="s">
        <v>22917</v>
      </c>
      <c r="Q5110" s="8">
        <f>+(57+38/60+32/3600)</f>
        <v>57.642222222222223</v>
      </c>
      <c r="R5110" s="8">
        <v>12.9</v>
      </c>
      <c r="S5110" s="8">
        <v>13.7</v>
      </c>
      <c r="T5110" s="8">
        <v>0.8</v>
      </c>
      <c r="U5110" s="8">
        <v>12.6</v>
      </c>
      <c r="V5110" s="8">
        <v>1.7</v>
      </c>
      <c r="W5110" s="8">
        <v>0.5</v>
      </c>
      <c r="X5110" s="8">
        <v>153</v>
      </c>
      <c r="Y5110" s="8" t="s">
        <v>22881</v>
      </c>
      <c r="Z5110" s="8" t="s">
        <v>22918</v>
      </c>
    </row>
    <row r="5111" spans="1:26" x14ac:dyDescent="0.2">
      <c r="A5111" s="8">
        <v>5110</v>
      </c>
      <c r="B5111" s="8" t="s">
        <v>22919</v>
      </c>
      <c r="C5111" s="8" t="s">
        <v>22919</v>
      </c>
      <c r="F5111" s="47"/>
      <c r="G5111" s="8">
        <v>19</v>
      </c>
      <c r="H5111" s="8" t="s">
        <v>21</v>
      </c>
      <c r="I5111" s="8" t="s">
        <v>22</v>
      </c>
      <c r="J5111" s="8" t="s">
        <v>57</v>
      </c>
      <c r="K5111" s="8" t="s">
        <v>58</v>
      </c>
      <c r="L5111" s="8" t="s">
        <v>17287</v>
      </c>
      <c r="M5111" s="8" t="s">
        <v>17288</v>
      </c>
      <c r="N5111" s="8" t="s">
        <v>22920</v>
      </c>
      <c r="O5111" s="8">
        <f>13+22/60+56.4/3600</f>
        <v>13.382333333333333</v>
      </c>
      <c r="P5111" s="8" t="s">
        <v>22921</v>
      </c>
      <c r="Q5111" s="8">
        <f>-(12+57/60+51/3600)</f>
        <v>-12.964166666666666</v>
      </c>
      <c r="R5111" s="8">
        <v>13.3</v>
      </c>
      <c r="S5111" s="8">
        <v>14.3</v>
      </c>
      <c r="T5111" s="8">
        <v>1</v>
      </c>
      <c r="U5111" s="8">
        <v>14.7</v>
      </c>
      <c r="V5111" s="8">
        <v>2</v>
      </c>
      <c r="W5111" s="8">
        <v>1.7</v>
      </c>
      <c r="X5111" s="8">
        <v>120</v>
      </c>
      <c r="Y5111" s="8" t="s">
        <v>22881</v>
      </c>
      <c r="Z5111" s="8" t="s">
        <v>22922</v>
      </c>
    </row>
    <row r="5112" spans="1:26" x14ac:dyDescent="0.2">
      <c r="A5112" s="8">
        <v>5111</v>
      </c>
      <c r="B5112" s="8" t="s">
        <v>22923</v>
      </c>
      <c r="C5112" s="8" t="s">
        <v>22923</v>
      </c>
      <c r="F5112" s="47" t="s">
        <v>57729</v>
      </c>
      <c r="G5112" s="8">
        <v>15</v>
      </c>
      <c r="H5112" s="8" t="s">
        <v>21</v>
      </c>
      <c r="I5112" s="8" t="s">
        <v>22</v>
      </c>
      <c r="J5112" s="8" t="s">
        <v>22</v>
      </c>
      <c r="K5112" s="8" t="s">
        <v>58</v>
      </c>
      <c r="L5112" s="8" t="s">
        <v>17287</v>
      </c>
      <c r="M5112" s="8" t="s">
        <v>17288</v>
      </c>
      <c r="N5112" s="8" t="s">
        <v>22920</v>
      </c>
      <c r="O5112" s="8">
        <f>13+22/60+56.4/3600</f>
        <v>13.382333333333333</v>
      </c>
      <c r="P5112" s="8" t="s">
        <v>22921</v>
      </c>
      <c r="Q5112" s="8">
        <f>-(12+57/60+51/3600)</f>
        <v>-12.964166666666666</v>
      </c>
      <c r="R5112" s="8">
        <v>13.3</v>
      </c>
      <c r="S5112" s="8">
        <v>14.3</v>
      </c>
      <c r="T5112" s="8">
        <v>1</v>
      </c>
      <c r="U5112" s="8">
        <v>14.7</v>
      </c>
      <c r="V5112" s="8">
        <v>2</v>
      </c>
      <c r="W5112" s="8">
        <v>1.7</v>
      </c>
      <c r="X5112" s="8">
        <v>120</v>
      </c>
      <c r="Y5112" s="8" t="s">
        <v>22924</v>
      </c>
      <c r="Z5112" s="8" t="s">
        <v>22925</v>
      </c>
    </row>
    <row r="5113" spans="1:26" x14ac:dyDescent="0.2">
      <c r="A5113" s="8">
        <v>5112</v>
      </c>
      <c r="B5113" s="8" t="s">
        <v>22926</v>
      </c>
      <c r="C5113" s="8" t="s">
        <v>22926</v>
      </c>
      <c r="F5113" s="47" t="s">
        <v>57730</v>
      </c>
      <c r="G5113" s="8">
        <v>13</v>
      </c>
      <c r="H5113" s="8" t="s">
        <v>21</v>
      </c>
      <c r="I5113" s="8" t="s">
        <v>22</v>
      </c>
      <c r="J5113" s="8" t="s">
        <v>22</v>
      </c>
      <c r="K5113" s="8" t="s">
        <v>64</v>
      </c>
      <c r="L5113" s="8" t="s">
        <v>18681</v>
      </c>
      <c r="M5113" s="8" t="s">
        <v>18682</v>
      </c>
      <c r="N5113" s="8" t="s">
        <v>22927</v>
      </c>
      <c r="O5113" s="8">
        <f>13+21/60+56.6/3600</f>
        <v>13.365722222222223</v>
      </c>
      <c r="P5113" s="8" t="s">
        <v>22928</v>
      </c>
      <c r="Q5113" s="8">
        <f>+(38+44/60+7/3600)</f>
        <v>38.735277777777782</v>
      </c>
      <c r="R5113" s="8">
        <v>12.1</v>
      </c>
      <c r="S5113" s="8">
        <v>12.6</v>
      </c>
      <c r="T5113" s="8">
        <v>0.5</v>
      </c>
      <c r="U5113" s="8">
        <v>14.7</v>
      </c>
      <c r="V5113" s="8">
        <v>4</v>
      </c>
      <c r="W5113" s="8">
        <v>2.9</v>
      </c>
      <c r="X5113" s="8">
        <v>130</v>
      </c>
      <c r="Y5113" s="8" t="s">
        <v>22929</v>
      </c>
      <c r="Z5113" s="8" t="s">
        <v>22930</v>
      </c>
    </row>
    <row r="5114" spans="1:26" x14ac:dyDescent="0.2">
      <c r="A5114" s="8">
        <v>5113</v>
      </c>
      <c r="B5114" s="8" t="s">
        <v>22931</v>
      </c>
      <c r="C5114" s="8" t="s">
        <v>22931</v>
      </c>
      <c r="F5114" s="47" t="s">
        <v>57731</v>
      </c>
      <c r="G5114" s="8">
        <v>15</v>
      </c>
      <c r="H5114" s="8" t="s">
        <v>21</v>
      </c>
      <c r="I5114" s="8" t="s">
        <v>22</v>
      </c>
      <c r="J5114" s="8" t="s">
        <v>22</v>
      </c>
      <c r="K5114" s="8" t="s">
        <v>396</v>
      </c>
      <c r="L5114" s="8" t="s">
        <v>12015</v>
      </c>
      <c r="M5114" s="8" t="s">
        <v>12016</v>
      </c>
      <c r="N5114" s="8" t="s">
        <v>22916</v>
      </c>
      <c r="O5114" s="8">
        <f>13+20/60+52.6/3600</f>
        <v>13.347944444444446</v>
      </c>
      <c r="P5114" s="8" t="s">
        <v>22917</v>
      </c>
      <c r="Q5114" s="8">
        <f>+(57+38/60+32/3600)</f>
        <v>57.642222222222223</v>
      </c>
      <c r="R5114" s="8">
        <v>12.9</v>
      </c>
      <c r="S5114" s="8">
        <v>13.7</v>
      </c>
      <c r="T5114" s="8">
        <v>0.8</v>
      </c>
      <c r="U5114" s="8">
        <v>12.6</v>
      </c>
      <c r="V5114" s="8">
        <v>1.7</v>
      </c>
      <c r="W5114" s="8">
        <v>0.5</v>
      </c>
      <c r="X5114" s="8">
        <v>153</v>
      </c>
      <c r="Y5114" s="8" t="s">
        <v>21</v>
      </c>
      <c r="Z5114" s="8" t="s">
        <v>22932</v>
      </c>
    </row>
    <row r="5115" spans="1:26" x14ac:dyDescent="0.2">
      <c r="A5115" s="8">
        <v>5114</v>
      </c>
      <c r="B5115" s="8" t="s">
        <v>22933</v>
      </c>
      <c r="C5115" s="8" t="s">
        <v>22933</v>
      </c>
      <c r="F5115" s="47"/>
      <c r="G5115" s="8">
        <v>16</v>
      </c>
      <c r="H5115" s="8" t="s">
        <v>21</v>
      </c>
      <c r="I5115" s="8" t="s">
        <v>22</v>
      </c>
      <c r="J5115" s="8" t="s">
        <v>22</v>
      </c>
      <c r="K5115" s="8" t="s">
        <v>118</v>
      </c>
      <c r="L5115" s="8" t="s">
        <v>16195</v>
      </c>
      <c r="M5115" s="8" t="s">
        <v>16196</v>
      </c>
      <c r="N5115" s="8" t="s">
        <v>22934</v>
      </c>
      <c r="O5115" s="8">
        <f>13+24/60+1.6/3600</f>
        <v>13.400444444444444</v>
      </c>
      <c r="P5115" s="8" t="s">
        <v>22935</v>
      </c>
      <c r="Q5115" s="8">
        <f>-(32+20/60+38/3600)</f>
        <v>-32.343888888888891</v>
      </c>
      <c r="R5115" s="8">
        <v>12.4</v>
      </c>
      <c r="S5115" s="8">
        <v>13.4</v>
      </c>
      <c r="T5115" s="8">
        <v>1</v>
      </c>
      <c r="U5115" s="8">
        <v>12.9</v>
      </c>
      <c r="V5115" s="8">
        <v>1.8</v>
      </c>
      <c r="W5115" s="8">
        <v>1</v>
      </c>
      <c r="X5115" s="8">
        <v>80</v>
      </c>
      <c r="Y5115" s="8" t="s">
        <v>22936</v>
      </c>
      <c r="Z5115" s="8" t="s">
        <v>22937</v>
      </c>
    </row>
    <row r="5116" spans="1:26" x14ac:dyDescent="0.2">
      <c r="A5116" s="8">
        <v>5115</v>
      </c>
      <c r="B5116" s="8" t="s">
        <v>22938</v>
      </c>
      <c r="C5116" s="8" t="s">
        <v>22938</v>
      </c>
      <c r="F5116" s="47"/>
      <c r="G5116" s="8">
        <v>19</v>
      </c>
      <c r="H5116" s="8" t="s">
        <v>21</v>
      </c>
      <c r="I5116" s="8" t="s">
        <v>22</v>
      </c>
      <c r="J5116" s="8" t="s">
        <v>22</v>
      </c>
      <c r="K5116" s="8" t="s">
        <v>64</v>
      </c>
      <c r="L5116" s="8" t="s">
        <v>17287</v>
      </c>
      <c r="M5116" s="8" t="s">
        <v>17288</v>
      </c>
      <c r="N5116" s="8" t="s">
        <v>22939</v>
      </c>
      <c r="O5116" s="8">
        <f>13+23/60+0.4/3600</f>
        <v>13.383444444444445</v>
      </c>
      <c r="P5116" s="8" t="s">
        <v>22940</v>
      </c>
      <c r="Q5116" s="8">
        <f>+(13+57/60+4/3600)</f>
        <v>13.951111111111111</v>
      </c>
      <c r="R5116" s="8">
        <v>13.7</v>
      </c>
      <c r="S5116" s="8">
        <v>14.4</v>
      </c>
      <c r="T5116" s="8">
        <v>0.7</v>
      </c>
      <c r="U5116" s="8">
        <v>13.5</v>
      </c>
      <c r="V5116" s="8">
        <v>1.4</v>
      </c>
      <c r="W5116" s="8">
        <v>0.7</v>
      </c>
      <c r="X5116" s="8">
        <v>97</v>
      </c>
      <c r="Y5116" s="8" t="s">
        <v>21</v>
      </c>
      <c r="Z5116" s="8" t="s">
        <v>22941</v>
      </c>
    </row>
    <row r="5117" spans="1:26" x14ac:dyDescent="0.2">
      <c r="A5117" s="8">
        <v>5116</v>
      </c>
      <c r="B5117" s="8" t="s">
        <v>22942</v>
      </c>
      <c r="C5117" s="8" t="s">
        <v>22942</v>
      </c>
      <c r="F5117" s="47" t="s">
        <v>57732</v>
      </c>
      <c r="G5117" s="8">
        <v>13</v>
      </c>
      <c r="H5117" s="8" t="s">
        <v>21</v>
      </c>
      <c r="I5117" s="8" t="s">
        <v>22</v>
      </c>
      <c r="J5117" s="8" t="s">
        <v>22</v>
      </c>
      <c r="K5117" s="8" t="s">
        <v>64</v>
      </c>
      <c r="L5117" s="8" t="s">
        <v>18289</v>
      </c>
      <c r="M5117" s="8" t="s">
        <v>18290</v>
      </c>
      <c r="N5117" s="8" t="s">
        <v>22943</v>
      </c>
      <c r="O5117" s="8">
        <f>13+22/60+55.7/3600</f>
        <v>13.382138888888889</v>
      </c>
      <c r="P5117" s="8" t="s">
        <v>22944</v>
      </c>
      <c r="Q5117" s="8">
        <f>+(26+58/60+53/3600)</f>
        <v>26.981388888888887</v>
      </c>
      <c r="R5117" s="8">
        <v>12.7</v>
      </c>
      <c r="S5117" s="8">
        <v>13.4</v>
      </c>
      <c r="T5117" s="8">
        <v>0.7</v>
      </c>
      <c r="U5117" s="8">
        <v>12.9</v>
      </c>
      <c r="V5117" s="8">
        <v>2</v>
      </c>
      <c r="W5117" s="8">
        <v>0.7</v>
      </c>
      <c r="X5117" s="8">
        <v>40</v>
      </c>
      <c r="Y5117" s="8" t="s">
        <v>22945</v>
      </c>
      <c r="Z5117" s="8" t="s">
        <v>22946</v>
      </c>
    </row>
    <row r="5118" spans="1:26" x14ac:dyDescent="0.2">
      <c r="A5118" s="8">
        <v>5117</v>
      </c>
      <c r="B5118" s="8" t="s">
        <v>22947</v>
      </c>
      <c r="C5118" s="8" t="s">
        <v>22947</v>
      </c>
      <c r="F5118" s="47"/>
      <c r="G5118" s="8">
        <v>16</v>
      </c>
      <c r="H5118" s="8" t="s">
        <v>21</v>
      </c>
      <c r="I5118" s="8" t="s">
        <v>22</v>
      </c>
      <c r="J5118" s="8" t="s">
        <v>22</v>
      </c>
      <c r="K5118" s="8" t="s">
        <v>64</v>
      </c>
      <c r="L5118" s="8" t="s">
        <v>18681</v>
      </c>
      <c r="M5118" s="8" t="s">
        <v>18682</v>
      </c>
      <c r="N5118" s="8" t="s">
        <v>22920</v>
      </c>
      <c r="O5118" s="8">
        <f>13+22/60+56.4/3600</f>
        <v>13.382333333333333</v>
      </c>
      <c r="P5118" s="8" t="s">
        <v>22948</v>
      </c>
      <c r="Q5118" s="8">
        <f>+(28+18/60+56/3600)</f>
        <v>28.315555555555555</v>
      </c>
      <c r="R5118" s="8">
        <v>13.5</v>
      </c>
      <c r="S5118" s="8">
        <v>14.2</v>
      </c>
      <c r="T5118" s="8">
        <v>0.7</v>
      </c>
      <c r="U5118" s="8">
        <v>14.2</v>
      </c>
      <c r="V5118" s="8">
        <v>2.2000000000000002</v>
      </c>
      <c r="W5118" s="8">
        <v>1</v>
      </c>
      <c r="X5118" s="8">
        <v>154</v>
      </c>
      <c r="Y5118" s="8" t="s">
        <v>21</v>
      </c>
      <c r="Z5118" s="8" t="s">
        <v>22949</v>
      </c>
    </row>
    <row r="5119" spans="1:26" x14ac:dyDescent="0.2">
      <c r="A5119" s="8">
        <v>5118</v>
      </c>
      <c r="B5119" s="8" t="s">
        <v>22950</v>
      </c>
      <c r="C5119" s="8" t="s">
        <v>22950</v>
      </c>
      <c r="F5119" s="47" t="s">
        <v>57733</v>
      </c>
      <c r="G5119" s="8">
        <v>15</v>
      </c>
      <c r="H5119" s="8" t="s">
        <v>21</v>
      </c>
      <c r="I5119" s="8" t="s">
        <v>22</v>
      </c>
      <c r="J5119" s="8" t="s">
        <v>22</v>
      </c>
      <c r="K5119" s="8" t="s">
        <v>64</v>
      </c>
      <c r="L5119" s="8" t="s">
        <v>17287</v>
      </c>
      <c r="M5119" s="8" t="s">
        <v>17288</v>
      </c>
      <c r="N5119" s="8" t="s">
        <v>22951</v>
      </c>
      <c r="O5119" s="8">
        <f>13+23/60+27.4/3600</f>
        <v>13.390944444444443</v>
      </c>
      <c r="P5119" s="8" t="s">
        <v>22952</v>
      </c>
      <c r="Q5119" s="8">
        <f>+(6+23/60+34/3600)</f>
        <v>6.3927777777777779</v>
      </c>
      <c r="R5119" s="8">
        <v>13.7</v>
      </c>
      <c r="S5119" s="8">
        <v>14.4</v>
      </c>
      <c r="T5119" s="8">
        <v>0.7</v>
      </c>
      <c r="U5119" s="8">
        <v>12.9</v>
      </c>
      <c r="V5119" s="8">
        <v>0.8</v>
      </c>
      <c r="W5119" s="8">
        <v>0.7</v>
      </c>
      <c r="X5119" s="8">
        <v>100</v>
      </c>
      <c r="Y5119" s="8" t="s">
        <v>750</v>
      </c>
      <c r="Z5119" s="8" t="s">
        <v>751</v>
      </c>
    </row>
    <row r="5120" spans="1:26" x14ac:dyDescent="0.2">
      <c r="A5120" s="8">
        <v>5119</v>
      </c>
      <c r="B5120" s="8" t="s">
        <v>22953</v>
      </c>
      <c r="C5120" s="8" t="s">
        <v>22953</v>
      </c>
      <c r="F5120" s="47"/>
      <c r="G5120" s="8">
        <v>16</v>
      </c>
      <c r="H5120" s="8" t="s">
        <v>21</v>
      </c>
      <c r="I5120" s="8" t="s">
        <v>22</v>
      </c>
      <c r="J5120" s="8" t="s">
        <v>22</v>
      </c>
      <c r="K5120" s="8" t="s">
        <v>37</v>
      </c>
      <c r="L5120" s="8" t="s">
        <v>17287</v>
      </c>
      <c r="M5120" s="8" t="s">
        <v>17288</v>
      </c>
      <c r="N5120" s="8" t="s">
        <v>22954</v>
      </c>
      <c r="O5120" s="8">
        <f>13+24/60+0.3/3600</f>
        <v>13.400083333333333</v>
      </c>
      <c r="P5120" s="8" t="s">
        <v>22955</v>
      </c>
      <c r="Q5120" s="8">
        <f>-(12+16/60+34/3600)</f>
        <v>-12.276111111111112</v>
      </c>
      <c r="R5120" s="8">
        <v>13</v>
      </c>
      <c r="S5120" s="8">
        <v>13.9</v>
      </c>
      <c r="T5120" s="8">
        <v>0.9</v>
      </c>
      <c r="U5120" s="8">
        <v>12.1</v>
      </c>
      <c r="V5120" s="8">
        <v>1.3</v>
      </c>
      <c r="W5120" s="8">
        <v>0.4</v>
      </c>
      <c r="X5120" s="8">
        <v>19</v>
      </c>
      <c r="Y5120" s="8" t="s">
        <v>19024</v>
      </c>
      <c r="Z5120" s="8" t="s">
        <v>19025</v>
      </c>
    </row>
    <row r="5121" spans="1:26" x14ac:dyDescent="0.2">
      <c r="A5121" s="8">
        <v>5120</v>
      </c>
      <c r="B5121" s="8" t="s">
        <v>22956</v>
      </c>
      <c r="C5121" s="8" t="s">
        <v>22956</v>
      </c>
      <c r="F5121" s="47"/>
      <c r="G5121" s="8">
        <v>16</v>
      </c>
      <c r="H5121" s="8" t="s">
        <v>21</v>
      </c>
      <c r="I5121" s="8" t="s">
        <v>72</v>
      </c>
      <c r="J5121" s="8" t="s">
        <v>72</v>
      </c>
      <c r="K5121" s="8" t="s">
        <v>1405</v>
      </c>
      <c r="L5121" s="8" t="s">
        <v>16195</v>
      </c>
      <c r="M5121" s="8" t="s">
        <v>16196</v>
      </c>
      <c r="N5121" s="8" t="s">
        <v>22957</v>
      </c>
      <c r="O5121" s="8">
        <f>13+25/60+40.3/3600</f>
        <v>13.42786111111111</v>
      </c>
      <c r="P5121" s="8" t="s">
        <v>22958</v>
      </c>
      <c r="Q5121" s="8">
        <f>-(63+27/60+29/3600)</f>
        <v>-63.458055555555561</v>
      </c>
      <c r="R5121" s="8">
        <v>99</v>
      </c>
      <c r="S5121" s="8">
        <v>13</v>
      </c>
      <c r="T5121" s="8">
        <v>99</v>
      </c>
      <c r="U5121" s="8">
        <v>99</v>
      </c>
      <c r="V5121" s="8">
        <v>3</v>
      </c>
      <c r="Y5121" s="8" t="s">
        <v>22959</v>
      </c>
      <c r="Z5121" s="8" t="s">
        <v>22960</v>
      </c>
    </row>
    <row r="5122" spans="1:26" x14ac:dyDescent="0.2">
      <c r="A5122" s="8">
        <v>5121</v>
      </c>
      <c r="B5122" s="8" t="s">
        <v>22961</v>
      </c>
      <c r="C5122" s="8" t="s">
        <v>22961</v>
      </c>
      <c r="F5122" s="47"/>
      <c r="G5122" s="8">
        <v>13</v>
      </c>
      <c r="H5122" s="8" t="s">
        <v>21</v>
      </c>
      <c r="I5122" s="8" t="s">
        <v>22</v>
      </c>
      <c r="J5122" s="8" t="s">
        <v>22</v>
      </c>
      <c r="K5122" s="8" t="s">
        <v>91</v>
      </c>
      <c r="L5122" s="8" t="s">
        <v>16195</v>
      </c>
      <c r="M5122" s="8" t="s">
        <v>16196</v>
      </c>
      <c r="N5122" s="8" t="s">
        <v>22962</v>
      </c>
      <c r="O5122" s="8">
        <f>13+24/60+45.4/3600</f>
        <v>13.412611111111111</v>
      </c>
      <c r="P5122" s="8" t="s">
        <v>22963</v>
      </c>
      <c r="Q5122" s="8">
        <f>-(37+40/60+57/3600)</f>
        <v>-37.682499999999997</v>
      </c>
      <c r="R5122" s="8">
        <v>10.6</v>
      </c>
      <c r="S5122" s="8">
        <v>11.5</v>
      </c>
      <c r="T5122" s="8">
        <v>0.9</v>
      </c>
      <c r="U5122" s="8">
        <v>12.5</v>
      </c>
      <c r="V5122" s="8">
        <v>1.9</v>
      </c>
      <c r="W5122" s="8">
        <v>1.5</v>
      </c>
      <c r="X5122" s="8">
        <v>36</v>
      </c>
      <c r="Y5122" s="8" t="s">
        <v>22964</v>
      </c>
      <c r="Z5122" s="8" t="s">
        <v>22965</v>
      </c>
    </row>
    <row r="5123" spans="1:26" x14ac:dyDescent="0.2">
      <c r="A5123" s="8">
        <v>5122</v>
      </c>
      <c r="B5123" s="8" t="s">
        <v>22966</v>
      </c>
      <c r="C5123" s="8" t="s">
        <v>22966</v>
      </c>
      <c r="F5123" s="47"/>
      <c r="G5123" s="8">
        <v>19</v>
      </c>
      <c r="H5123" s="8" t="s">
        <v>21</v>
      </c>
      <c r="I5123" s="8" t="s">
        <v>22</v>
      </c>
      <c r="J5123" s="8" t="s">
        <v>22</v>
      </c>
      <c r="K5123" s="8" t="s">
        <v>476</v>
      </c>
      <c r="L5123" s="8" t="s">
        <v>17287</v>
      </c>
      <c r="M5123" s="8" t="s">
        <v>17288</v>
      </c>
      <c r="N5123" s="8" t="s">
        <v>22967</v>
      </c>
      <c r="O5123" s="8">
        <f>13+24/60+14.9/3600</f>
        <v>13.404138888888889</v>
      </c>
      <c r="P5123" s="8" t="s">
        <v>22968</v>
      </c>
      <c r="Q5123" s="8">
        <f>-(10+39/60+16/3600)</f>
        <v>-10.654444444444445</v>
      </c>
      <c r="R5123" s="8">
        <v>13.4</v>
      </c>
      <c r="S5123" s="8">
        <v>14.3</v>
      </c>
      <c r="T5123" s="8">
        <v>0.9</v>
      </c>
      <c r="U5123" s="8">
        <v>11.8</v>
      </c>
      <c r="V5123" s="8">
        <v>0.9</v>
      </c>
      <c r="W5123" s="8">
        <v>0.3</v>
      </c>
      <c r="X5123" s="8">
        <v>115</v>
      </c>
      <c r="Y5123" s="8" t="s">
        <v>170</v>
      </c>
      <c r="Z5123" s="8" t="s">
        <v>171</v>
      </c>
    </row>
    <row r="5124" spans="1:26" x14ac:dyDescent="0.2">
      <c r="A5124" s="8">
        <v>5123</v>
      </c>
      <c r="B5124" s="8" t="s">
        <v>22969</v>
      </c>
      <c r="C5124" s="8" t="s">
        <v>22969</v>
      </c>
      <c r="F5124" s="47" t="s">
        <v>57734</v>
      </c>
      <c r="G5124" s="8">
        <v>15</v>
      </c>
      <c r="H5124" s="8" t="s">
        <v>21</v>
      </c>
      <c r="I5124" s="8" t="s">
        <v>22</v>
      </c>
      <c r="J5124" s="8" t="s">
        <v>22</v>
      </c>
      <c r="K5124" s="8" t="s">
        <v>160</v>
      </c>
      <c r="L5124" s="8" t="s">
        <v>18681</v>
      </c>
      <c r="M5124" s="8" t="s">
        <v>18682</v>
      </c>
      <c r="N5124" s="8" t="s">
        <v>22970</v>
      </c>
      <c r="O5124" s="8">
        <f>13+23/60+10.4/3600</f>
        <v>13.386222222222221</v>
      </c>
      <c r="P5124" s="8" t="s">
        <v>22971</v>
      </c>
      <c r="Q5124" s="8">
        <f>+(43+5/60+10/3600)</f>
        <v>43.086111111111116</v>
      </c>
      <c r="R5124" s="8">
        <v>12.8</v>
      </c>
      <c r="S5124" s="8">
        <v>13.5</v>
      </c>
      <c r="T5124" s="8">
        <v>0.7</v>
      </c>
      <c r="U5124" s="8">
        <v>13</v>
      </c>
      <c r="V5124" s="8">
        <v>1.3</v>
      </c>
      <c r="W5124" s="8">
        <v>1.1000000000000001</v>
      </c>
      <c r="X5124" s="8">
        <v>174</v>
      </c>
      <c r="Y5124" s="8" t="s">
        <v>22972</v>
      </c>
      <c r="Z5124" s="8" t="s">
        <v>22973</v>
      </c>
    </row>
    <row r="5125" spans="1:26" x14ac:dyDescent="0.2">
      <c r="A5125" s="8">
        <v>5124</v>
      </c>
      <c r="B5125" s="8" t="s">
        <v>22974</v>
      </c>
      <c r="C5125" s="8" t="s">
        <v>22974</v>
      </c>
      <c r="F5125" s="47"/>
      <c r="G5125" s="8">
        <v>16</v>
      </c>
      <c r="H5125" s="8" t="s">
        <v>21</v>
      </c>
      <c r="I5125" s="8" t="s">
        <v>22</v>
      </c>
      <c r="J5125" s="8" t="s">
        <v>22</v>
      </c>
      <c r="K5125" s="8" t="s">
        <v>3850</v>
      </c>
      <c r="L5125" s="8" t="s">
        <v>16195</v>
      </c>
      <c r="M5125" s="8" t="s">
        <v>16196</v>
      </c>
      <c r="N5125" s="8" t="s">
        <v>22975</v>
      </c>
      <c r="O5125" s="8">
        <f>13+24/60+50.2/3600</f>
        <v>13.413944444444445</v>
      </c>
      <c r="P5125" s="8" t="s">
        <v>22976</v>
      </c>
      <c r="Q5125" s="8">
        <f>-(30+18/60+29/3600)</f>
        <v>-30.308055555555555</v>
      </c>
      <c r="R5125" s="8">
        <v>12.1</v>
      </c>
      <c r="S5125" s="8">
        <v>13.1</v>
      </c>
      <c r="T5125" s="8">
        <v>1</v>
      </c>
      <c r="U5125" s="8">
        <v>12.5</v>
      </c>
      <c r="V5125" s="8">
        <v>2.2000000000000002</v>
      </c>
      <c r="W5125" s="8">
        <v>0.7</v>
      </c>
      <c r="X5125" s="8">
        <v>9</v>
      </c>
      <c r="Y5125" s="8" t="s">
        <v>6793</v>
      </c>
      <c r="Z5125" s="8" t="s">
        <v>6794</v>
      </c>
    </row>
    <row r="5126" spans="1:26" x14ac:dyDescent="0.2">
      <c r="A5126" s="8">
        <v>5125</v>
      </c>
      <c r="B5126" s="8" t="s">
        <v>22977</v>
      </c>
      <c r="C5126" s="8" t="s">
        <v>22977</v>
      </c>
      <c r="F5126" s="47"/>
      <c r="G5126" s="8">
        <v>16</v>
      </c>
      <c r="H5126" s="8" t="s">
        <v>21</v>
      </c>
      <c r="I5126" s="8" t="s">
        <v>22</v>
      </c>
      <c r="J5126" s="8" t="s">
        <v>22</v>
      </c>
      <c r="K5126" s="8" t="s">
        <v>23</v>
      </c>
      <c r="L5126" s="8" t="s">
        <v>17287</v>
      </c>
      <c r="M5126" s="8" t="s">
        <v>17288</v>
      </c>
      <c r="N5126" s="8" t="s">
        <v>22978</v>
      </c>
      <c r="O5126" s="8">
        <f>13+24/60+0.7/3600</f>
        <v>13.400194444444445</v>
      </c>
      <c r="P5126" s="8" t="s">
        <v>22979</v>
      </c>
      <c r="Q5126" s="8">
        <f>+(9+42/60+37/3600)</f>
        <v>9.7102777777777778</v>
      </c>
      <c r="R5126" s="8">
        <v>12.4</v>
      </c>
      <c r="S5126" s="8">
        <v>13.2</v>
      </c>
      <c r="T5126" s="8">
        <v>0.8</v>
      </c>
      <c r="U5126" s="8">
        <v>13</v>
      </c>
      <c r="V5126" s="8">
        <v>1.7</v>
      </c>
      <c r="W5126" s="8">
        <v>1.3</v>
      </c>
      <c r="X5126" s="8">
        <v>170</v>
      </c>
      <c r="Y5126" s="8" t="s">
        <v>2186</v>
      </c>
      <c r="Z5126" s="8" t="s">
        <v>2187</v>
      </c>
    </row>
    <row r="5127" spans="1:26" x14ac:dyDescent="0.2">
      <c r="A5127" s="8">
        <v>5126</v>
      </c>
      <c r="B5127" s="8" t="s">
        <v>22980</v>
      </c>
      <c r="C5127" s="8" t="s">
        <v>22980</v>
      </c>
      <c r="F5127" s="47"/>
      <c r="G5127" s="8">
        <v>16</v>
      </c>
      <c r="H5127" s="8" t="s">
        <v>21</v>
      </c>
      <c r="I5127" s="8" t="s">
        <v>22</v>
      </c>
      <c r="J5127" s="8" t="s">
        <v>22</v>
      </c>
      <c r="K5127" s="8" t="s">
        <v>632</v>
      </c>
      <c r="L5127" s="8" t="s">
        <v>16195</v>
      </c>
      <c r="M5127" s="8" t="s">
        <v>16196</v>
      </c>
      <c r="N5127" s="8" t="s">
        <v>22981</v>
      </c>
      <c r="O5127" s="8">
        <f>13+24/60+53.4/3600</f>
        <v>13.414833333333334</v>
      </c>
      <c r="P5127" s="8" t="s">
        <v>22982</v>
      </c>
      <c r="Q5127" s="8">
        <f>-(30+20/60+1/3600)</f>
        <v>-30.333611111111111</v>
      </c>
      <c r="R5127" s="8">
        <v>13.1</v>
      </c>
      <c r="S5127" s="8">
        <v>14</v>
      </c>
      <c r="T5127" s="8">
        <v>0.9</v>
      </c>
      <c r="U5127" s="8">
        <v>12.3</v>
      </c>
      <c r="V5127" s="8">
        <v>1.4</v>
      </c>
      <c r="W5127" s="8">
        <v>0.4</v>
      </c>
      <c r="X5127" s="8">
        <v>57</v>
      </c>
      <c r="Y5127" s="8" t="s">
        <v>282</v>
      </c>
      <c r="Z5127" s="8" t="s">
        <v>283</v>
      </c>
    </row>
    <row r="5128" spans="1:26" x14ac:dyDescent="0.2">
      <c r="A5128" s="8">
        <v>5127</v>
      </c>
      <c r="B5128" s="8" t="s">
        <v>22983</v>
      </c>
      <c r="C5128" s="8" t="s">
        <v>22983</v>
      </c>
      <c r="F5128" s="47" t="s">
        <v>57735</v>
      </c>
      <c r="G5128" s="8">
        <v>15</v>
      </c>
      <c r="H5128" s="8" t="s">
        <v>21</v>
      </c>
      <c r="I5128" s="8" t="s">
        <v>22</v>
      </c>
      <c r="J5128" s="8" t="s">
        <v>22</v>
      </c>
      <c r="K5128" s="8" t="s">
        <v>1136</v>
      </c>
      <c r="L5128" s="8" t="s">
        <v>18681</v>
      </c>
      <c r="M5128" s="8" t="s">
        <v>18682</v>
      </c>
      <c r="N5128" s="8" t="s">
        <v>22984</v>
      </c>
      <c r="O5128" s="8">
        <f>13+23/60+45.2/3600</f>
        <v>13.395888888888889</v>
      </c>
      <c r="P5128" s="8" t="s">
        <v>22985</v>
      </c>
      <c r="Q5128" s="8">
        <f>+(31+33/60+55/3600)</f>
        <v>31.56527777777778</v>
      </c>
      <c r="R5128" s="8">
        <v>11.9</v>
      </c>
      <c r="S5128" s="8">
        <v>12.9</v>
      </c>
      <c r="T5128" s="8">
        <v>1</v>
      </c>
      <c r="U5128" s="8">
        <v>13.9</v>
      </c>
      <c r="V5128" s="8">
        <v>2.8</v>
      </c>
      <c r="W5128" s="8">
        <v>2.2000000000000002</v>
      </c>
      <c r="X5128" s="8">
        <v>75</v>
      </c>
      <c r="Y5128" s="8" t="s">
        <v>22986</v>
      </c>
      <c r="Z5128" s="8" t="s">
        <v>22987</v>
      </c>
    </row>
    <row r="5129" spans="1:26" x14ac:dyDescent="0.2">
      <c r="A5129" s="8">
        <v>5128</v>
      </c>
      <c r="B5129" s="8" t="s">
        <v>22988</v>
      </c>
      <c r="C5129" s="8" t="s">
        <v>22988</v>
      </c>
      <c r="F5129" s="47"/>
      <c r="G5129" s="8">
        <v>2</v>
      </c>
      <c r="H5129" s="8" t="s">
        <v>22989</v>
      </c>
      <c r="I5129" s="8" t="s">
        <v>22</v>
      </c>
      <c r="J5129" s="8" t="s">
        <v>22</v>
      </c>
      <c r="K5129" s="8" t="s">
        <v>643</v>
      </c>
      <c r="L5129" s="8" t="s">
        <v>16195</v>
      </c>
      <c r="M5129" s="8" t="s">
        <v>16196</v>
      </c>
      <c r="N5129" s="8" t="s">
        <v>22990</v>
      </c>
      <c r="O5129" s="8">
        <f>13+25/60+29/3600</f>
        <v>13.424722222222222</v>
      </c>
      <c r="P5129" s="8" t="s">
        <v>22991</v>
      </c>
      <c r="Q5129" s="8">
        <f>-(43+0/60+58/3600)</f>
        <v>-43.016111111111108</v>
      </c>
      <c r="R5129" s="8">
        <v>6.8</v>
      </c>
      <c r="S5129" s="8">
        <v>7.8</v>
      </c>
      <c r="T5129" s="8">
        <v>1</v>
      </c>
      <c r="U5129" s="8">
        <v>13.5</v>
      </c>
      <c r="V5129" s="8">
        <v>25.7</v>
      </c>
      <c r="W5129" s="8">
        <v>20</v>
      </c>
      <c r="X5129" s="8">
        <v>35</v>
      </c>
      <c r="Y5129" s="8" t="s">
        <v>21</v>
      </c>
      <c r="Z5129" s="8" t="s">
        <v>22992</v>
      </c>
    </row>
    <row r="5130" spans="1:26" x14ac:dyDescent="0.2">
      <c r="A5130" s="8">
        <v>5129</v>
      </c>
      <c r="B5130" s="8" t="s">
        <v>22993</v>
      </c>
      <c r="C5130" s="8" t="s">
        <v>22993</v>
      </c>
      <c r="F5130" s="47" t="s">
        <v>57736</v>
      </c>
      <c r="G5130" s="8">
        <v>6.5</v>
      </c>
      <c r="H5130" s="8" t="s">
        <v>21</v>
      </c>
      <c r="I5130" s="8" t="s">
        <v>22</v>
      </c>
      <c r="J5130" s="8" t="s">
        <v>22</v>
      </c>
      <c r="K5130" s="8" t="s">
        <v>1136</v>
      </c>
      <c r="L5130" s="8" t="s">
        <v>17287</v>
      </c>
      <c r="M5130" s="8" t="s">
        <v>17288</v>
      </c>
      <c r="N5130" s="8" t="s">
        <v>22994</v>
      </c>
      <c r="O5130" s="8">
        <f>13+24/60+10/3600</f>
        <v>13.402777777777779</v>
      </c>
      <c r="P5130" s="8" t="s">
        <v>22995</v>
      </c>
      <c r="Q5130" s="8">
        <f>+(13+58/60+36/3600)</f>
        <v>13.976666666666667</v>
      </c>
      <c r="R5130" s="8">
        <v>12.1</v>
      </c>
      <c r="S5130" s="8">
        <v>13</v>
      </c>
      <c r="T5130" s="8">
        <v>0.9</v>
      </c>
      <c r="U5130" s="8">
        <v>13.1</v>
      </c>
      <c r="V5130" s="8">
        <v>1.7</v>
      </c>
      <c r="W5130" s="8">
        <v>1.4</v>
      </c>
      <c r="X5130" s="8">
        <v>10</v>
      </c>
      <c r="Y5130" s="8" t="s">
        <v>22996</v>
      </c>
      <c r="Z5130" s="8" t="s">
        <v>22997</v>
      </c>
    </row>
    <row r="5131" spans="1:26" x14ac:dyDescent="0.2">
      <c r="A5131" s="8">
        <v>5130</v>
      </c>
      <c r="B5131" s="8" t="s">
        <v>22998</v>
      </c>
      <c r="C5131" s="8" t="s">
        <v>22998</v>
      </c>
      <c r="F5131" s="47"/>
      <c r="G5131" s="8">
        <v>19</v>
      </c>
      <c r="H5131" s="8" t="s">
        <v>21</v>
      </c>
      <c r="I5131" s="8" t="s">
        <v>22</v>
      </c>
      <c r="J5131" s="8" t="s">
        <v>22</v>
      </c>
      <c r="K5131" s="8" t="s">
        <v>37</v>
      </c>
      <c r="L5131" s="8" t="s">
        <v>17287</v>
      </c>
      <c r="M5131" s="8" t="s">
        <v>17288</v>
      </c>
      <c r="N5131" s="8" t="s">
        <v>22999</v>
      </c>
      <c r="O5131" s="8">
        <f>13+24/60+27.2/3600</f>
        <v>13.407555555555556</v>
      </c>
      <c r="P5131" s="8" t="s">
        <v>23000</v>
      </c>
      <c r="Q5131" s="8">
        <f>-(10+12/60+37/3600)</f>
        <v>-10.210277777777778</v>
      </c>
      <c r="R5131" s="8">
        <v>13.4</v>
      </c>
      <c r="S5131" s="8">
        <v>14.4</v>
      </c>
      <c r="T5131" s="8">
        <v>1</v>
      </c>
      <c r="U5131" s="8">
        <v>12.4</v>
      </c>
      <c r="V5131" s="8">
        <v>0.9</v>
      </c>
      <c r="W5131" s="8">
        <v>0.5</v>
      </c>
      <c r="X5131" s="8">
        <v>40</v>
      </c>
      <c r="Y5131" s="8" t="s">
        <v>1748</v>
      </c>
      <c r="Z5131" s="8" t="s">
        <v>1749</v>
      </c>
    </row>
    <row r="5132" spans="1:26" x14ac:dyDescent="0.2">
      <c r="A5132" s="8">
        <v>5131</v>
      </c>
      <c r="B5132" s="8" t="s">
        <v>23001</v>
      </c>
      <c r="C5132" s="8" t="s">
        <v>23001</v>
      </c>
      <c r="F5132" s="47"/>
      <c r="G5132" s="8">
        <v>18</v>
      </c>
      <c r="H5132" s="8" t="s">
        <v>21</v>
      </c>
      <c r="I5132" s="8" t="s">
        <v>22</v>
      </c>
      <c r="J5132" s="8" t="s">
        <v>22</v>
      </c>
      <c r="K5132" s="8" t="s">
        <v>91</v>
      </c>
      <c r="L5132" s="8" t="s">
        <v>18681</v>
      </c>
      <c r="M5132" s="8" t="s">
        <v>18682</v>
      </c>
      <c r="N5132" s="8" t="s">
        <v>23002</v>
      </c>
      <c r="O5132" s="8">
        <f>13+23/60+57/3600</f>
        <v>13.399166666666666</v>
      </c>
      <c r="P5132" s="8" t="s">
        <v>23003</v>
      </c>
      <c r="Q5132" s="8">
        <f>+(30+59/60+15/3600)</f>
        <v>30.987500000000001</v>
      </c>
      <c r="R5132" s="8">
        <v>13.5</v>
      </c>
      <c r="S5132" s="8">
        <v>14.4</v>
      </c>
      <c r="T5132" s="8">
        <v>0.9</v>
      </c>
      <c r="U5132" s="8">
        <v>12.8</v>
      </c>
      <c r="V5132" s="8">
        <v>2.1</v>
      </c>
      <c r="W5132" s="8">
        <v>0.3</v>
      </c>
      <c r="X5132" s="8">
        <v>81</v>
      </c>
      <c r="Y5132" s="8" t="s">
        <v>23004</v>
      </c>
      <c r="Z5132" s="8" t="s">
        <v>23005</v>
      </c>
    </row>
    <row r="5133" spans="1:26" x14ac:dyDescent="0.2">
      <c r="A5133" s="8">
        <v>5132</v>
      </c>
      <c r="B5133" s="8" t="s">
        <v>23006</v>
      </c>
      <c r="C5133" s="8" t="s">
        <v>23006</v>
      </c>
      <c r="F5133" s="47"/>
      <c r="G5133" s="8">
        <v>18</v>
      </c>
      <c r="H5133" s="8" t="s">
        <v>21</v>
      </c>
      <c r="I5133" s="8" t="s">
        <v>22</v>
      </c>
      <c r="J5133" s="8" t="s">
        <v>22</v>
      </c>
      <c r="K5133" s="8" t="s">
        <v>435</v>
      </c>
      <c r="L5133" s="8" t="s">
        <v>17287</v>
      </c>
      <c r="M5133" s="8" t="s">
        <v>17288</v>
      </c>
      <c r="N5133" s="8" t="s">
        <v>23007</v>
      </c>
      <c r="O5133" s="8">
        <f>13+24/60+28.9/3600</f>
        <v>13.408027777777779</v>
      </c>
      <c r="P5133" s="8" t="s">
        <v>23008</v>
      </c>
      <c r="Q5133" s="8">
        <f>+(14+5/60+33/3600)</f>
        <v>14.092500000000001</v>
      </c>
      <c r="R5133" s="8">
        <v>13.2</v>
      </c>
      <c r="S5133" s="8">
        <v>14.1</v>
      </c>
      <c r="T5133" s="8">
        <v>0.9</v>
      </c>
      <c r="U5133" s="8">
        <v>13.2</v>
      </c>
      <c r="V5133" s="8">
        <v>1.3</v>
      </c>
      <c r="W5133" s="8">
        <v>0.9</v>
      </c>
      <c r="X5133" s="8">
        <v>54</v>
      </c>
      <c r="Y5133" s="8" t="s">
        <v>17693</v>
      </c>
      <c r="Z5133" s="8" t="s">
        <v>17694</v>
      </c>
    </row>
    <row r="5134" spans="1:26" x14ac:dyDescent="0.2">
      <c r="A5134" s="8">
        <v>5133</v>
      </c>
      <c r="B5134" s="8" t="s">
        <v>23009</v>
      </c>
      <c r="C5134" s="8" t="s">
        <v>23009</v>
      </c>
      <c r="F5134" s="47"/>
      <c r="G5134" s="8">
        <v>19</v>
      </c>
      <c r="H5134" s="8" t="s">
        <v>21</v>
      </c>
      <c r="I5134" s="8" t="s">
        <v>22</v>
      </c>
      <c r="J5134" s="8" t="s">
        <v>22</v>
      </c>
      <c r="K5134" s="8" t="s">
        <v>58</v>
      </c>
      <c r="L5134" s="8" t="s">
        <v>17287</v>
      </c>
      <c r="M5134" s="8" t="s">
        <v>17288</v>
      </c>
      <c r="N5134" s="8" t="s">
        <v>23010</v>
      </c>
      <c r="O5134" s="8">
        <f>13+24/60+52.9/3600</f>
        <v>13.414694444444445</v>
      </c>
      <c r="P5134" s="8" t="s">
        <v>23011</v>
      </c>
      <c r="Q5134" s="8">
        <f>-(4+4/60+55/3600)</f>
        <v>-4.0819444444444439</v>
      </c>
      <c r="R5134" s="8">
        <v>13.7</v>
      </c>
      <c r="S5134" s="8">
        <v>14.7</v>
      </c>
      <c r="T5134" s="8">
        <v>1</v>
      </c>
      <c r="U5134" s="8">
        <v>13.4</v>
      </c>
      <c r="V5134" s="8">
        <v>1</v>
      </c>
      <c r="W5134" s="8">
        <v>0.7</v>
      </c>
      <c r="X5134" s="8">
        <v>42</v>
      </c>
      <c r="Y5134" s="8" t="s">
        <v>23012</v>
      </c>
      <c r="Z5134" s="8" t="s">
        <v>23013</v>
      </c>
    </row>
    <row r="5135" spans="1:26" x14ac:dyDescent="0.2">
      <c r="A5135" s="8">
        <v>5134</v>
      </c>
      <c r="B5135" s="8" t="s">
        <v>23014</v>
      </c>
      <c r="C5135" s="8" t="s">
        <v>23014</v>
      </c>
      <c r="F5135" s="47" t="s">
        <v>57737</v>
      </c>
      <c r="G5135" s="8">
        <v>6.5</v>
      </c>
      <c r="H5135" s="8" t="s">
        <v>21</v>
      </c>
      <c r="I5135" s="8" t="s">
        <v>22</v>
      </c>
      <c r="J5135" s="8" t="s">
        <v>22</v>
      </c>
      <c r="K5135" s="8" t="s">
        <v>218</v>
      </c>
      <c r="L5135" s="8" t="s">
        <v>17287</v>
      </c>
      <c r="M5135" s="8" t="s">
        <v>17288</v>
      </c>
      <c r="N5135" s="8" t="s">
        <v>23015</v>
      </c>
      <c r="O5135" s="8">
        <f>13+25/60+18.5/3600</f>
        <v>13.421805555555554</v>
      </c>
      <c r="P5135" s="8" t="s">
        <v>23016</v>
      </c>
      <c r="Q5135" s="8">
        <f>-(21+8/60+5/3600)</f>
        <v>-21.134722222222223</v>
      </c>
      <c r="R5135" s="8">
        <v>11.3</v>
      </c>
      <c r="S5135" s="8">
        <v>12.1</v>
      </c>
      <c r="T5135" s="8">
        <v>0.8</v>
      </c>
      <c r="U5135" s="8">
        <v>12.8</v>
      </c>
      <c r="V5135" s="8">
        <v>2.8</v>
      </c>
      <c r="W5135" s="8">
        <v>1.7</v>
      </c>
      <c r="X5135" s="8">
        <v>155</v>
      </c>
      <c r="Y5135" s="8" t="s">
        <v>23017</v>
      </c>
      <c r="Z5135" s="8" t="s">
        <v>23018</v>
      </c>
    </row>
    <row r="5136" spans="1:26" x14ac:dyDescent="0.2">
      <c r="A5136" s="8">
        <v>5135</v>
      </c>
      <c r="B5136" s="8" t="s">
        <v>23019</v>
      </c>
      <c r="C5136" s="8" t="s">
        <v>23019</v>
      </c>
      <c r="F5136" s="47"/>
      <c r="G5136" s="8">
        <v>13</v>
      </c>
      <c r="H5136" s="8" t="s">
        <v>21</v>
      </c>
      <c r="I5136" s="8" t="s">
        <v>22</v>
      </c>
      <c r="J5136" s="8" t="s">
        <v>22</v>
      </c>
      <c r="K5136" s="8" t="s">
        <v>406</v>
      </c>
      <c r="L5136" s="8" t="s">
        <v>11765</v>
      </c>
      <c r="M5136" s="8" t="s">
        <v>11766</v>
      </c>
      <c r="N5136" s="8" t="s">
        <v>23020</v>
      </c>
      <c r="O5136" s="8">
        <f>13+25/60+44/3600</f>
        <v>13.428888888888888</v>
      </c>
      <c r="P5136" s="8" t="s">
        <v>23021</v>
      </c>
      <c r="Q5136" s="8">
        <f>-(29+50/60+1/3600)</f>
        <v>-29.833611111111111</v>
      </c>
      <c r="R5136" s="8">
        <v>12.1</v>
      </c>
      <c r="S5136" s="8">
        <v>12.9</v>
      </c>
      <c r="T5136" s="8">
        <v>0.8</v>
      </c>
      <c r="U5136" s="8">
        <v>13.7</v>
      </c>
      <c r="V5136" s="8">
        <v>2.6</v>
      </c>
      <c r="W5136" s="8">
        <v>1.8</v>
      </c>
      <c r="X5136" s="8">
        <v>29</v>
      </c>
      <c r="Y5136" s="8" t="s">
        <v>2402</v>
      </c>
      <c r="Z5136" s="8" t="s">
        <v>2403</v>
      </c>
    </row>
    <row r="5137" spans="1:26" x14ac:dyDescent="0.2">
      <c r="A5137" s="8">
        <v>5136</v>
      </c>
      <c r="B5137" s="8" t="s">
        <v>23022</v>
      </c>
      <c r="C5137" s="8" t="s">
        <v>23022</v>
      </c>
      <c r="F5137" s="47" t="s">
        <v>57738</v>
      </c>
      <c r="G5137" s="8">
        <v>15</v>
      </c>
      <c r="H5137" s="8" t="s">
        <v>21</v>
      </c>
      <c r="I5137" s="8" t="s">
        <v>22</v>
      </c>
      <c r="J5137" s="8" t="s">
        <v>22</v>
      </c>
      <c r="K5137" s="8" t="s">
        <v>183</v>
      </c>
      <c r="L5137" s="8" t="s">
        <v>17287</v>
      </c>
      <c r="M5137" s="8" t="s">
        <v>17288</v>
      </c>
      <c r="N5137" s="8" t="s">
        <v>23023</v>
      </c>
      <c r="O5137" s="8">
        <f>13+24/60+51.4/3600</f>
        <v>13.414277777777778</v>
      </c>
      <c r="P5137" s="8" t="s">
        <v>23024</v>
      </c>
      <c r="Q5137" s="8">
        <f>+(13+44/60+17/3600)</f>
        <v>13.738055555555555</v>
      </c>
      <c r="R5137" s="8">
        <v>14</v>
      </c>
      <c r="S5137" s="8">
        <v>15</v>
      </c>
      <c r="T5137" s="8">
        <v>1</v>
      </c>
      <c r="U5137" s="8">
        <v>13.1</v>
      </c>
      <c r="V5137" s="8">
        <v>0.7</v>
      </c>
      <c r="W5137" s="8">
        <v>0.6</v>
      </c>
      <c r="X5137" s="8">
        <v>78</v>
      </c>
      <c r="Y5137" s="8" t="s">
        <v>23025</v>
      </c>
      <c r="Z5137" s="8" t="s">
        <v>23026</v>
      </c>
    </row>
    <row r="5138" spans="1:26" x14ac:dyDescent="0.2">
      <c r="A5138" s="8">
        <v>5137</v>
      </c>
      <c r="B5138" s="8" t="s">
        <v>23027</v>
      </c>
      <c r="C5138" s="8" t="s">
        <v>23027</v>
      </c>
      <c r="F5138" s="47"/>
      <c r="G5138" s="8">
        <v>19</v>
      </c>
      <c r="H5138" s="8" t="s">
        <v>21</v>
      </c>
      <c r="I5138" s="8" t="s">
        <v>22</v>
      </c>
      <c r="J5138" s="8" t="s">
        <v>22</v>
      </c>
      <c r="K5138" s="8" t="s">
        <v>449</v>
      </c>
      <c r="L5138" s="8" t="s">
        <v>17287</v>
      </c>
      <c r="M5138" s="8" t="s">
        <v>17288</v>
      </c>
      <c r="N5138" s="8" t="s">
        <v>23028</v>
      </c>
      <c r="O5138" s="8">
        <f>13+24/60+52.5/3600</f>
        <v>13.414583333333333</v>
      </c>
      <c r="P5138" s="8" t="s">
        <v>23029</v>
      </c>
      <c r="Q5138" s="8">
        <f>+(14+4/60+37/3600)</f>
        <v>14.076944444444445</v>
      </c>
      <c r="R5138" s="8">
        <v>15.1</v>
      </c>
      <c r="S5138" s="8">
        <v>15.9</v>
      </c>
      <c r="T5138" s="8">
        <v>0.8</v>
      </c>
      <c r="U5138" s="8">
        <v>13.7</v>
      </c>
      <c r="V5138" s="8">
        <v>0.6</v>
      </c>
      <c r="W5138" s="8">
        <v>0.3</v>
      </c>
      <c r="X5138" s="8">
        <v>117</v>
      </c>
      <c r="Y5138" s="8" t="s">
        <v>19732</v>
      </c>
      <c r="Z5138" s="8" t="s">
        <v>19733</v>
      </c>
    </row>
    <row r="5139" spans="1:26" x14ac:dyDescent="0.2">
      <c r="A5139" s="8">
        <v>5138</v>
      </c>
      <c r="B5139" s="8" t="s">
        <v>23030</v>
      </c>
      <c r="C5139" s="8" t="s">
        <v>23030</v>
      </c>
      <c r="F5139" s="47"/>
      <c r="G5139" s="8">
        <v>13</v>
      </c>
      <c r="H5139" s="8" t="s">
        <v>21</v>
      </c>
      <c r="I5139" s="8" t="s">
        <v>557</v>
      </c>
      <c r="J5139" s="8" t="s">
        <v>557</v>
      </c>
      <c r="K5139" s="8" t="s">
        <v>558</v>
      </c>
      <c r="L5139" s="8" t="s">
        <v>16195</v>
      </c>
      <c r="M5139" s="8" t="s">
        <v>16196</v>
      </c>
      <c r="N5139" s="8" t="s">
        <v>23031</v>
      </c>
      <c r="O5139" s="8">
        <f>13+27/60+16/3600</f>
        <v>13.454444444444444</v>
      </c>
      <c r="P5139" s="8" t="s">
        <v>23032</v>
      </c>
      <c r="Q5139" s="8">
        <f>-(59+2/60+30/3600)</f>
        <v>-59.041666666666664</v>
      </c>
      <c r="R5139" s="8">
        <v>7.6</v>
      </c>
      <c r="S5139" s="8">
        <v>99</v>
      </c>
      <c r="T5139" s="8">
        <v>99</v>
      </c>
      <c r="U5139" s="8">
        <v>99</v>
      </c>
      <c r="V5139" s="8">
        <v>8</v>
      </c>
      <c r="Y5139" s="8" t="s">
        <v>23033</v>
      </c>
      <c r="Z5139" s="8" t="s">
        <v>23034</v>
      </c>
    </row>
    <row r="5140" spans="1:26" x14ac:dyDescent="0.2">
      <c r="A5140" s="8">
        <v>5139</v>
      </c>
      <c r="B5140" s="8" t="s">
        <v>23035</v>
      </c>
      <c r="C5140" s="8" t="s">
        <v>23035</v>
      </c>
      <c r="F5140" s="47"/>
      <c r="G5140" s="8">
        <v>2</v>
      </c>
      <c r="H5140" s="8" t="s">
        <v>23036</v>
      </c>
      <c r="I5140" s="8" t="s">
        <v>567</v>
      </c>
      <c r="J5140" s="8" t="s">
        <v>567</v>
      </c>
      <c r="K5140" s="8" t="s">
        <v>21778</v>
      </c>
      <c r="L5140" s="8" t="s">
        <v>16195</v>
      </c>
      <c r="M5140" s="8" t="s">
        <v>16196</v>
      </c>
      <c r="N5140" s="8" t="s">
        <v>23037</v>
      </c>
      <c r="O5140" s="8">
        <f>13+26/60+47/3600</f>
        <v>13.446388888888889</v>
      </c>
      <c r="P5140" s="8" t="s">
        <v>23038</v>
      </c>
      <c r="Q5140" s="8">
        <f>-(47+28/60+51/3600)</f>
        <v>-47.480833333333337</v>
      </c>
      <c r="R5140" s="8">
        <v>5.3</v>
      </c>
      <c r="S5140" s="8">
        <v>6.1</v>
      </c>
      <c r="T5140" s="8">
        <v>99</v>
      </c>
      <c r="U5140" s="8">
        <v>99</v>
      </c>
      <c r="V5140" s="8">
        <v>55</v>
      </c>
      <c r="Y5140" s="8" t="s">
        <v>22881</v>
      </c>
      <c r="Z5140" s="8" t="s">
        <v>23039</v>
      </c>
    </row>
    <row r="5141" spans="1:26" x14ac:dyDescent="0.2">
      <c r="A5141" s="8">
        <v>5140</v>
      </c>
      <c r="B5141" s="8" t="s">
        <v>23040</v>
      </c>
      <c r="C5141" s="8" t="s">
        <v>23040</v>
      </c>
      <c r="F5141" s="47"/>
      <c r="G5141" s="8">
        <v>16</v>
      </c>
      <c r="H5141" s="8" t="s">
        <v>21</v>
      </c>
      <c r="I5141" s="8" t="s">
        <v>22</v>
      </c>
      <c r="J5141" s="8" t="s">
        <v>22</v>
      </c>
      <c r="K5141" s="8" t="s">
        <v>118</v>
      </c>
      <c r="L5141" s="8" t="s">
        <v>16195</v>
      </c>
      <c r="M5141" s="8" t="s">
        <v>16196</v>
      </c>
      <c r="N5141" s="8" t="s">
        <v>23041</v>
      </c>
      <c r="O5141" s="8">
        <f>13+26/60+21.7/3600</f>
        <v>13.439361111111111</v>
      </c>
      <c r="P5141" s="8" t="s">
        <v>23042</v>
      </c>
      <c r="Q5141" s="8">
        <f>-(33+52/60+7/3600)</f>
        <v>-33.868611111111115</v>
      </c>
      <c r="R5141" s="8">
        <v>11.8</v>
      </c>
      <c r="S5141" s="8">
        <v>12.8</v>
      </c>
      <c r="T5141" s="8">
        <v>1</v>
      </c>
      <c r="U5141" s="8">
        <v>13.3</v>
      </c>
      <c r="V5141" s="8">
        <v>2.1</v>
      </c>
      <c r="W5141" s="8">
        <v>1.7</v>
      </c>
      <c r="X5141" s="8">
        <v>33</v>
      </c>
      <c r="Y5141" s="8" t="s">
        <v>2067</v>
      </c>
      <c r="Z5141" s="8" t="s">
        <v>2068</v>
      </c>
    </row>
    <row r="5142" spans="1:26" x14ac:dyDescent="0.2">
      <c r="A5142" s="8">
        <v>5141</v>
      </c>
      <c r="B5142" s="8" t="s">
        <v>23043</v>
      </c>
      <c r="C5142" s="8" t="s">
        <v>23043</v>
      </c>
      <c r="F5142" s="47" t="s">
        <v>57739</v>
      </c>
      <c r="G5142" s="8">
        <v>15</v>
      </c>
      <c r="H5142" s="8" t="s">
        <v>21</v>
      </c>
      <c r="I5142" s="8" t="s">
        <v>22</v>
      </c>
      <c r="J5142" s="8" t="s">
        <v>22</v>
      </c>
      <c r="K5142" s="8" t="s">
        <v>37</v>
      </c>
      <c r="L5142" s="8" t="s">
        <v>18681</v>
      </c>
      <c r="M5142" s="8" t="s">
        <v>18682</v>
      </c>
      <c r="N5142" s="8" t="s">
        <v>23023</v>
      </c>
      <c r="O5142" s="8">
        <f>13+24/60+51.4/3600</f>
        <v>13.414277777777778</v>
      </c>
      <c r="P5142" s="8" t="s">
        <v>23044</v>
      </c>
      <c r="Q5142" s="8">
        <f>+(36+22/60+44/3600)</f>
        <v>36.378888888888888</v>
      </c>
      <c r="R5142" s="8">
        <v>12.8</v>
      </c>
      <c r="S5142" s="8">
        <v>13.8</v>
      </c>
      <c r="T5142" s="8">
        <v>1</v>
      </c>
      <c r="U5142" s="8">
        <v>13</v>
      </c>
      <c r="V5142" s="8">
        <v>1.3</v>
      </c>
      <c r="W5142" s="8">
        <v>1</v>
      </c>
      <c r="X5142" s="8">
        <v>80</v>
      </c>
      <c r="Y5142" s="8" t="s">
        <v>21</v>
      </c>
      <c r="Z5142" s="8" t="s">
        <v>23045</v>
      </c>
    </row>
    <row r="5143" spans="1:26" x14ac:dyDescent="0.2">
      <c r="A5143" s="8">
        <v>5142</v>
      </c>
      <c r="B5143" s="8" t="s">
        <v>23046</v>
      </c>
      <c r="C5143" s="8" t="s">
        <v>23046</v>
      </c>
      <c r="F5143" s="47" t="s">
        <v>57740</v>
      </c>
      <c r="G5143" s="8">
        <v>15</v>
      </c>
      <c r="H5143" s="8" t="s">
        <v>21</v>
      </c>
      <c r="I5143" s="8" t="s">
        <v>22</v>
      </c>
      <c r="J5143" s="8" t="s">
        <v>22</v>
      </c>
      <c r="K5143" s="8" t="s">
        <v>37</v>
      </c>
      <c r="L5143" s="8" t="s">
        <v>18681</v>
      </c>
      <c r="M5143" s="8" t="s">
        <v>18682</v>
      </c>
      <c r="N5143" s="8" t="s">
        <v>23047</v>
      </c>
      <c r="O5143" s="8">
        <f>13+25/60+1.2/3600</f>
        <v>13.417</v>
      </c>
      <c r="P5143" s="8" t="s">
        <v>23048</v>
      </c>
      <c r="Q5143" s="8">
        <f>+(36+23/60+59/3600)</f>
        <v>36.399722222222223</v>
      </c>
      <c r="R5143" s="8">
        <v>13.3</v>
      </c>
      <c r="S5143" s="8">
        <v>14.2</v>
      </c>
      <c r="T5143" s="8">
        <v>0.9</v>
      </c>
      <c r="U5143" s="8">
        <v>12.6</v>
      </c>
      <c r="V5143" s="8">
        <v>1</v>
      </c>
      <c r="W5143" s="8">
        <v>0.7</v>
      </c>
      <c r="X5143" s="8">
        <v>5</v>
      </c>
      <c r="Y5143" s="8" t="s">
        <v>21</v>
      </c>
      <c r="Z5143" s="8" t="s">
        <v>23049</v>
      </c>
    </row>
    <row r="5144" spans="1:26" x14ac:dyDescent="0.2">
      <c r="A5144" s="8">
        <v>5143</v>
      </c>
      <c r="B5144" s="8" t="s">
        <v>23050</v>
      </c>
      <c r="C5144" s="8" t="s">
        <v>23050</v>
      </c>
      <c r="F5144" s="47"/>
      <c r="G5144" s="8">
        <v>18</v>
      </c>
      <c r="H5144" s="8" t="s">
        <v>21</v>
      </c>
      <c r="I5144" s="8" t="s">
        <v>22</v>
      </c>
      <c r="J5144" s="8" t="s">
        <v>22</v>
      </c>
      <c r="K5144" s="8" t="s">
        <v>269</v>
      </c>
      <c r="L5144" s="8" t="s">
        <v>18681</v>
      </c>
      <c r="M5144" s="8" t="s">
        <v>18682</v>
      </c>
      <c r="N5144" s="8" t="s">
        <v>23051</v>
      </c>
      <c r="O5144" s="8">
        <f>13+25/60+1.4/3600</f>
        <v>13.417055555555555</v>
      </c>
      <c r="P5144" s="8" t="s">
        <v>23052</v>
      </c>
      <c r="Q5144" s="8">
        <f>+(36+26/60+15/3600)</f>
        <v>36.4375</v>
      </c>
      <c r="R5144" s="8">
        <v>15.8</v>
      </c>
      <c r="S5144" s="8">
        <v>16.399999999999999</v>
      </c>
      <c r="T5144" s="8">
        <v>0.6</v>
      </c>
      <c r="U5144" s="8">
        <v>14.3</v>
      </c>
      <c r="V5144" s="8">
        <v>0.7</v>
      </c>
      <c r="W5144" s="8">
        <v>0.4</v>
      </c>
      <c r="X5144" s="8">
        <v>97</v>
      </c>
      <c r="Y5144" s="8" t="s">
        <v>297</v>
      </c>
      <c r="Z5144" s="8" t="s">
        <v>298</v>
      </c>
    </row>
    <row r="5145" spans="1:26" x14ac:dyDescent="0.2">
      <c r="A5145" s="8">
        <v>5144</v>
      </c>
      <c r="B5145" s="8" t="s">
        <v>23053</v>
      </c>
      <c r="C5145" s="8" t="s">
        <v>23053</v>
      </c>
      <c r="D5145" s="8" t="s">
        <v>351</v>
      </c>
      <c r="F5145" s="47" t="s">
        <v>57741</v>
      </c>
      <c r="G5145" s="8">
        <v>15</v>
      </c>
      <c r="H5145" s="8" t="s">
        <v>21</v>
      </c>
      <c r="I5145" s="8" t="s">
        <v>22</v>
      </c>
      <c r="J5145" s="8" t="s">
        <v>22</v>
      </c>
      <c r="K5145" s="8" t="s">
        <v>538</v>
      </c>
      <c r="L5145" s="8" t="s">
        <v>14586</v>
      </c>
      <c r="M5145" s="8" t="s">
        <v>14587</v>
      </c>
      <c r="N5145" s="8" t="s">
        <v>23054</v>
      </c>
      <c r="O5145" s="8">
        <f>13+22/60+53.9/3600</f>
        <v>13.38163888888889</v>
      </c>
      <c r="P5145" s="8" t="s">
        <v>23055</v>
      </c>
      <c r="Q5145" s="8">
        <f>+(70+30/60+53/3600)</f>
        <v>70.514722222222218</v>
      </c>
      <c r="R5145" s="8">
        <v>13.1</v>
      </c>
      <c r="S5145" s="8">
        <v>13.4</v>
      </c>
      <c r="T5145" s="8">
        <v>0.3</v>
      </c>
      <c r="U5145" s="8">
        <v>13</v>
      </c>
      <c r="V5145" s="8">
        <v>1.2</v>
      </c>
      <c r="W5145" s="8">
        <v>0.8</v>
      </c>
      <c r="X5145" s="8">
        <v>150</v>
      </c>
      <c r="Y5145" s="8" t="s">
        <v>23056</v>
      </c>
      <c r="Z5145" s="8" t="s">
        <v>23057</v>
      </c>
    </row>
    <row r="5146" spans="1:26" x14ac:dyDescent="0.2">
      <c r="A5146" s="8">
        <v>5145</v>
      </c>
      <c r="B5146" s="8" t="s">
        <v>23058</v>
      </c>
      <c r="C5146" s="8" t="s">
        <v>23058</v>
      </c>
      <c r="F5146" s="47" t="s">
        <v>57742</v>
      </c>
      <c r="G5146" s="8">
        <v>15</v>
      </c>
      <c r="H5146" s="8" t="s">
        <v>21</v>
      </c>
      <c r="I5146" s="8" t="s">
        <v>22</v>
      </c>
      <c r="J5146" s="8" t="s">
        <v>22</v>
      </c>
      <c r="K5146" s="8" t="s">
        <v>23</v>
      </c>
      <c r="L5146" s="8" t="s">
        <v>18681</v>
      </c>
      <c r="M5146" s="8" t="s">
        <v>18682</v>
      </c>
      <c r="N5146" s="8" t="s">
        <v>23059</v>
      </c>
      <c r="O5146" s="8">
        <f>13+25/60+13.9/3600</f>
        <v>13.420527777777778</v>
      </c>
      <c r="P5146" s="8" t="s">
        <v>23060</v>
      </c>
      <c r="Q5146" s="8">
        <f>+(43+16/60+2/3600)</f>
        <v>43.267222222222223</v>
      </c>
      <c r="R5146" s="8">
        <v>12.6</v>
      </c>
      <c r="S5146" s="8">
        <v>13.4</v>
      </c>
      <c r="T5146" s="8">
        <v>0.8</v>
      </c>
      <c r="U5146" s="8">
        <v>13.8</v>
      </c>
      <c r="V5146" s="8">
        <v>2</v>
      </c>
      <c r="W5146" s="8">
        <v>1.8</v>
      </c>
      <c r="X5146" s="8">
        <v>90</v>
      </c>
      <c r="Y5146" s="8" t="s">
        <v>23061</v>
      </c>
      <c r="Z5146" s="8" t="s">
        <v>23062</v>
      </c>
    </row>
    <row r="5147" spans="1:26" x14ac:dyDescent="0.2">
      <c r="A5147" s="8">
        <v>5146</v>
      </c>
      <c r="B5147" s="8" t="s">
        <v>23063</v>
      </c>
      <c r="C5147" s="8" t="s">
        <v>23063</v>
      </c>
      <c r="F5147" s="47" t="s">
        <v>57743</v>
      </c>
      <c r="G5147" s="8">
        <v>15</v>
      </c>
      <c r="H5147" s="8" t="s">
        <v>21</v>
      </c>
      <c r="I5147" s="8" t="s">
        <v>22</v>
      </c>
      <c r="J5147" s="8" t="s">
        <v>22</v>
      </c>
      <c r="K5147" s="8" t="s">
        <v>58</v>
      </c>
      <c r="L5147" s="8" t="s">
        <v>17287</v>
      </c>
      <c r="M5147" s="8" t="s">
        <v>17288</v>
      </c>
      <c r="N5147" s="8" t="s">
        <v>23064</v>
      </c>
      <c r="O5147" s="8">
        <f>13+26/60+37.4/3600</f>
        <v>13.443722222222222</v>
      </c>
      <c r="P5147" s="8" t="s">
        <v>23065</v>
      </c>
      <c r="Q5147" s="8">
        <f>-(12+19/60+24/3600)</f>
        <v>-12.323333333333332</v>
      </c>
      <c r="R5147" s="8">
        <v>12.6</v>
      </c>
      <c r="S5147" s="8">
        <v>13.6</v>
      </c>
      <c r="T5147" s="8">
        <v>1</v>
      </c>
      <c r="U5147" s="8">
        <v>13.7</v>
      </c>
      <c r="V5147" s="8">
        <v>1.9</v>
      </c>
      <c r="W5147" s="8">
        <v>1.3</v>
      </c>
      <c r="X5147" s="8">
        <v>35</v>
      </c>
      <c r="Y5147" s="8" t="s">
        <v>1948</v>
      </c>
      <c r="Z5147" s="8" t="s">
        <v>1949</v>
      </c>
    </row>
    <row r="5148" spans="1:26" x14ac:dyDescent="0.2">
      <c r="A5148" s="8">
        <v>5147</v>
      </c>
      <c r="B5148" s="8" t="s">
        <v>23066</v>
      </c>
      <c r="C5148" s="8" t="s">
        <v>23066</v>
      </c>
      <c r="F5148" s="47" t="s">
        <v>57744</v>
      </c>
      <c r="G5148" s="8">
        <v>13</v>
      </c>
      <c r="H5148" s="8" t="s">
        <v>21</v>
      </c>
      <c r="I5148" s="8" t="s">
        <v>22</v>
      </c>
      <c r="J5148" s="8" t="s">
        <v>22</v>
      </c>
      <c r="K5148" s="8" t="s">
        <v>269</v>
      </c>
      <c r="L5148" s="8" t="s">
        <v>17287</v>
      </c>
      <c r="M5148" s="8" t="s">
        <v>17288</v>
      </c>
      <c r="N5148" s="8" t="s">
        <v>23067</v>
      </c>
      <c r="O5148" s="8">
        <f>13+26/60+19.6/3600</f>
        <v>13.438777777777778</v>
      </c>
      <c r="P5148" s="8" t="s">
        <v>23068</v>
      </c>
      <c r="Q5148" s="8">
        <f>+(2+6/60+1/3600)</f>
        <v>2.1002777777777779</v>
      </c>
      <c r="R5148" s="8">
        <v>11.8</v>
      </c>
      <c r="S5148" s="8">
        <v>12.3</v>
      </c>
      <c r="T5148" s="8">
        <v>0.5</v>
      </c>
      <c r="U5148" s="8">
        <v>12.9</v>
      </c>
      <c r="V5148" s="8">
        <v>1.9</v>
      </c>
      <c r="W5148" s="8">
        <v>1.6</v>
      </c>
      <c r="X5148" s="8">
        <v>120</v>
      </c>
      <c r="Y5148" s="8" t="s">
        <v>23069</v>
      </c>
      <c r="Z5148" s="8" t="s">
        <v>23070</v>
      </c>
    </row>
    <row r="5149" spans="1:26" x14ac:dyDescent="0.2">
      <c r="A5149" s="8">
        <v>5148</v>
      </c>
      <c r="B5149" s="8" t="s">
        <v>23071</v>
      </c>
      <c r="C5149" s="8" t="s">
        <v>23071</v>
      </c>
      <c r="F5149" s="47"/>
      <c r="G5149" s="8">
        <v>18</v>
      </c>
      <c r="H5149" s="8" t="s">
        <v>21</v>
      </c>
      <c r="I5149" s="8" t="s">
        <v>22</v>
      </c>
      <c r="J5149" s="8" t="s">
        <v>22</v>
      </c>
      <c r="K5149" s="8" t="s">
        <v>1277</v>
      </c>
      <c r="L5149" s="8" t="s">
        <v>17287</v>
      </c>
      <c r="M5149" s="8" t="s">
        <v>17288</v>
      </c>
      <c r="N5149" s="8" t="s">
        <v>23072</v>
      </c>
      <c r="O5149" s="8">
        <f>13+26/60+38.8/3600</f>
        <v>13.444111111111111</v>
      </c>
      <c r="P5149" s="8" t="s">
        <v>23073</v>
      </c>
      <c r="Q5149" s="8">
        <f>+(2+18/60+49/3600)</f>
        <v>2.3136111111111108</v>
      </c>
      <c r="R5149" s="8">
        <v>14.2</v>
      </c>
      <c r="S5149" s="8">
        <v>14.9</v>
      </c>
      <c r="T5149" s="8">
        <v>0.7</v>
      </c>
      <c r="U5149" s="8">
        <v>13.3</v>
      </c>
      <c r="V5149" s="8">
        <v>0.7</v>
      </c>
      <c r="W5149" s="8">
        <v>0.7</v>
      </c>
      <c r="Y5149" s="8" t="s">
        <v>745</v>
      </c>
      <c r="Z5149" s="8" t="s">
        <v>746</v>
      </c>
    </row>
    <row r="5150" spans="1:26" x14ac:dyDescent="0.2">
      <c r="A5150" s="8">
        <v>5149</v>
      </c>
      <c r="B5150" s="8" t="s">
        <v>23074</v>
      </c>
      <c r="C5150" s="8" t="s">
        <v>23074</v>
      </c>
      <c r="F5150" s="47" t="s">
        <v>57745</v>
      </c>
      <c r="G5150" s="8">
        <v>15</v>
      </c>
      <c r="H5150" s="8" t="s">
        <v>21</v>
      </c>
      <c r="I5150" s="8" t="s">
        <v>22</v>
      </c>
      <c r="J5150" s="8" t="s">
        <v>22</v>
      </c>
      <c r="K5150" s="8" t="s">
        <v>85</v>
      </c>
      <c r="L5150" s="8" t="s">
        <v>18681</v>
      </c>
      <c r="M5150" s="8" t="s">
        <v>18682</v>
      </c>
      <c r="N5150" s="8" t="s">
        <v>23075</v>
      </c>
      <c r="O5150" s="8">
        <f>13+26/60+9.1/3600</f>
        <v>13.435861111111111</v>
      </c>
      <c r="P5150" s="8" t="s">
        <v>23076</v>
      </c>
      <c r="Q5150" s="8">
        <f>+(35+56/60+4/3600)</f>
        <v>35.934444444444438</v>
      </c>
      <c r="R5150" s="8">
        <v>12.9</v>
      </c>
      <c r="S5150" s="8">
        <v>13.7</v>
      </c>
      <c r="T5150" s="8">
        <v>0.8</v>
      </c>
      <c r="U5150" s="8">
        <v>13.1</v>
      </c>
      <c r="V5150" s="8">
        <v>1.6</v>
      </c>
      <c r="W5150" s="8">
        <v>0.9</v>
      </c>
      <c r="X5150" s="8">
        <v>155</v>
      </c>
      <c r="Y5150" s="8" t="s">
        <v>23077</v>
      </c>
      <c r="Z5150" s="8" t="s">
        <v>23078</v>
      </c>
    </row>
    <row r="5151" spans="1:26" x14ac:dyDescent="0.2">
      <c r="A5151" s="8">
        <v>5150</v>
      </c>
      <c r="B5151" s="8" t="s">
        <v>23079</v>
      </c>
      <c r="C5151" s="8" t="s">
        <v>23079</v>
      </c>
      <c r="F5151" s="47"/>
      <c r="G5151" s="8">
        <v>12</v>
      </c>
      <c r="H5151" s="8" t="s">
        <v>21</v>
      </c>
      <c r="I5151" s="8" t="s">
        <v>22</v>
      </c>
      <c r="J5151" s="8" t="s">
        <v>22</v>
      </c>
      <c r="K5151" s="8" t="s">
        <v>85</v>
      </c>
      <c r="L5151" s="8" t="s">
        <v>11765</v>
      </c>
      <c r="M5151" s="8" t="s">
        <v>11766</v>
      </c>
      <c r="N5151" s="8" t="s">
        <v>23080</v>
      </c>
      <c r="O5151" s="8">
        <f>13+27/60+36.4/3600</f>
        <v>13.460111111111111</v>
      </c>
      <c r="P5151" s="8" t="s">
        <v>23081</v>
      </c>
      <c r="Q5151" s="8">
        <f>-(29+33/60+45/3600)</f>
        <v>-29.5625</v>
      </c>
      <c r="R5151" s="8">
        <v>11.8</v>
      </c>
      <c r="S5151" s="8">
        <v>12.6</v>
      </c>
      <c r="T5151" s="8">
        <v>0.8</v>
      </c>
      <c r="U5151" s="8">
        <v>12.7</v>
      </c>
      <c r="V5151" s="8">
        <v>1.3</v>
      </c>
      <c r="W5151" s="8">
        <v>1</v>
      </c>
      <c r="X5151" s="8">
        <v>115</v>
      </c>
      <c r="Y5151" s="8" t="s">
        <v>21</v>
      </c>
      <c r="Z5151" s="8" t="s">
        <v>23082</v>
      </c>
    </row>
    <row r="5152" spans="1:26" x14ac:dyDescent="0.2">
      <c r="A5152" s="8">
        <v>5151</v>
      </c>
      <c r="B5152" s="8" t="s">
        <v>23083</v>
      </c>
      <c r="C5152" s="8" t="s">
        <v>23083</v>
      </c>
      <c r="F5152" s="47"/>
      <c r="G5152" s="8">
        <v>16</v>
      </c>
      <c r="H5152" s="8" t="s">
        <v>21</v>
      </c>
      <c r="I5152" s="8" t="s">
        <v>22</v>
      </c>
      <c r="J5152" s="8" t="s">
        <v>22</v>
      </c>
      <c r="K5152" s="8" t="s">
        <v>449</v>
      </c>
      <c r="L5152" s="8" t="s">
        <v>18289</v>
      </c>
      <c r="M5152" s="8" t="s">
        <v>18290</v>
      </c>
      <c r="N5152" s="8" t="s">
        <v>23084</v>
      </c>
      <c r="O5152" s="8">
        <f>13+26/60+40.8/3600</f>
        <v>13.444666666666667</v>
      </c>
      <c r="P5152" s="8" t="s">
        <v>23085</v>
      </c>
      <c r="Q5152" s="8">
        <f>+(16+52/60+26/3600)</f>
        <v>16.873888888888889</v>
      </c>
      <c r="R5152" s="8">
        <v>13.9</v>
      </c>
      <c r="S5152" s="8">
        <v>14.7</v>
      </c>
      <c r="T5152" s="8">
        <v>0.8</v>
      </c>
      <c r="U5152" s="8">
        <v>13.2</v>
      </c>
      <c r="V5152" s="8">
        <v>0.8</v>
      </c>
      <c r="W5152" s="8">
        <v>0.8</v>
      </c>
      <c r="Y5152" s="8" t="s">
        <v>21</v>
      </c>
      <c r="Z5152" s="8" t="s">
        <v>23086</v>
      </c>
    </row>
    <row r="5153" spans="1:26" x14ac:dyDescent="0.2">
      <c r="A5153" s="8">
        <v>5152</v>
      </c>
      <c r="B5153" s="8" t="s">
        <v>23087</v>
      </c>
      <c r="C5153" s="8" t="s">
        <v>23087</v>
      </c>
      <c r="F5153" s="47"/>
      <c r="G5153" s="8">
        <v>16</v>
      </c>
      <c r="H5153" s="8" t="s">
        <v>21</v>
      </c>
      <c r="I5153" s="8" t="s">
        <v>22</v>
      </c>
      <c r="J5153" s="8" t="s">
        <v>22</v>
      </c>
      <c r="K5153" s="8" t="s">
        <v>218</v>
      </c>
      <c r="L5153" s="8" t="s">
        <v>11765</v>
      </c>
      <c r="M5153" s="8" t="s">
        <v>11766</v>
      </c>
      <c r="N5153" s="8" t="s">
        <v>23088</v>
      </c>
      <c r="O5153" s="8">
        <f>13+27/60+51.5/3600</f>
        <v>13.464305555555555</v>
      </c>
      <c r="P5153" s="8" t="s">
        <v>23089</v>
      </c>
      <c r="Q5153" s="8">
        <f>-(29+37/60+9/3600)</f>
        <v>-29.619166666666668</v>
      </c>
      <c r="R5153" s="8">
        <v>12.4</v>
      </c>
      <c r="S5153" s="8">
        <v>13.2</v>
      </c>
      <c r="T5153" s="8">
        <v>0.8</v>
      </c>
      <c r="U5153" s="8">
        <v>12.4</v>
      </c>
      <c r="V5153" s="8">
        <v>2.1</v>
      </c>
      <c r="W5153" s="8">
        <v>0.7</v>
      </c>
      <c r="X5153" s="8">
        <v>117</v>
      </c>
      <c r="Y5153" s="8" t="s">
        <v>23090</v>
      </c>
      <c r="Z5153" s="8" t="s">
        <v>23091</v>
      </c>
    </row>
    <row r="5154" spans="1:26" x14ac:dyDescent="0.2">
      <c r="A5154" s="8">
        <v>5153</v>
      </c>
      <c r="B5154" s="8" t="s">
        <v>23092</v>
      </c>
      <c r="C5154" s="8" t="s">
        <v>23092</v>
      </c>
      <c r="F5154" s="47"/>
      <c r="G5154" s="8">
        <v>16</v>
      </c>
      <c r="H5154" s="8" t="s">
        <v>21</v>
      </c>
      <c r="I5154" s="8" t="s">
        <v>22</v>
      </c>
      <c r="J5154" s="8" t="s">
        <v>22</v>
      </c>
      <c r="K5154" s="8" t="s">
        <v>4262</v>
      </c>
      <c r="L5154" s="8" t="s">
        <v>11765</v>
      </c>
      <c r="M5154" s="8" t="s">
        <v>11766</v>
      </c>
      <c r="N5154" s="8" t="s">
        <v>23093</v>
      </c>
      <c r="O5154" s="8">
        <f>13+27/60+54.3/3600</f>
        <v>13.465083333333332</v>
      </c>
      <c r="P5154" s="8" t="s">
        <v>23094</v>
      </c>
      <c r="Q5154" s="8">
        <f>-(29+37/60+4/3600)</f>
        <v>-29.617777777777778</v>
      </c>
      <c r="R5154" s="8">
        <v>11.8</v>
      </c>
      <c r="S5154" s="8">
        <v>12.8</v>
      </c>
      <c r="T5154" s="8">
        <v>1</v>
      </c>
      <c r="U5154" s="8">
        <v>13</v>
      </c>
      <c r="V5154" s="8">
        <v>2</v>
      </c>
      <c r="W5154" s="8">
        <v>1.4</v>
      </c>
      <c r="X5154" s="8">
        <v>175</v>
      </c>
      <c r="Y5154" s="8" t="s">
        <v>23095</v>
      </c>
      <c r="Z5154" s="8" t="s">
        <v>23096</v>
      </c>
    </row>
    <row r="5155" spans="1:26" x14ac:dyDescent="0.2">
      <c r="A5155" s="8">
        <v>5154</v>
      </c>
      <c r="B5155" s="8" t="s">
        <v>23097</v>
      </c>
      <c r="C5155" s="8" t="s">
        <v>23097</v>
      </c>
      <c r="F5155" s="47" t="s">
        <v>57746</v>
      </c>
      <c r="G5155" s="8">
        <v>15</v>
      </c>
      <c r="H5155" s="8" t="s">
        <v>21</v>
      </c>
      <c r="I5155" s="8" t="s">
        <v>22</v>
      </c>
      <c r="J5155" s="8" t="s">
        <v>22</v>
      </c>
      <c r="K5155" s="8" t="s">
        <v>160</v>
      </c>
      <c r="L5155" s="8" t="s">
        <v>18681</v>
      </c>
      <c r="M5155" s="8" t="s">
        <v>18682</v>
      </c>
      <c r="N5155" s="8" t="s">
        <v>23098</v>
      </c>
      <c r="O5155" s="8">
        <f>13+26/60+28.6/3600</f>
        <v>13.441277777777778</v>
      </c>
      <c r="P5155" s="8" t="s">
        <v>23099</v>
      </c>
      <c r="Q5155" s="8">
        <f>+(36+0/60+38/3600)</f>
        <v>36.010555555555555</v>
      </c>
      <c r="R5155" s="8">
        <v>13.8</v>
      </c>
      <c r="S5155" s="8">
        <v>14.5</v>
      </c>
      <c r="T5155" s="8">
        <v>0.7</v>
      </c>
      <c r="U5155" s="8">
        <v>14.2</v>
      </c>
      <c r="V5155" s="8">
        <v>1.4</v>
      </c>
      <c r="W5155" s="8">
        <v>1.2</v>
      </c>
      <c r="X5155" s="8">
        <v>56</v>
      </c>
      <c r="Y5155" s="8" t="s">
        <v>23100</v>
      </c>
      <c r="Z5155" s="8" t="s">
        <v>23101</v>
      </c>
    </row>
    <row r="5156" spans="1:26" x14ac:dyDescent="0.2">
      <c r="A5156" s="8">
        <v>5155</v>
      </c>
      <c r="B5156" s="8" t="s">
        <v>23102</v>
      </c>
      <c r="C5156" s="8" t="s">
        <v>23102</v>
      </c>
      <c r="F5156" s="47"/>
      <c r="G5156" s="8">
        <v>16</v>
      </c>
      <c r="H5156" s="8" t="s">
        <v>21</v>
      </c>
      <c r="I5156" s="8" t="s">
        <v>72</v>
      </c>
      <c r="J5156" s="8" t="s">
        <v>72</v>
      </c>
      <c r="K5156" s="8" t="s">
        <v>10045</v>
      </c>
      <c r="L5156" s="8" t="s">
        <v>16195</v>
      </c>
      <c r="M5156" s="8" t="s">
        <v>16196</v>
      </c>
      <c r="N5156" s="8" t="s">
        <v>23103</v>
      </c>
      <c r="O5156" s="8">
        <f>13+28/60+18/3600</f>
        <v>13.471666666666668</v>
      </c>
      <c r="P5156" s="8" t="s">
        <v>23104</v>
      </c>
      <c r="Q5156" s="8">
        <f>-(63+28/60+0/3600)</f>
        <v>-63.466666666666669</v>
      </c>
      <c r="R5156" s="8">
        <v>99</v>
      </c>
      <c r="S5156" s="8">
        <v>99</v>
      </c>
      <c r="T5156" s="8">
        <v>99</v>
      </c>
      <c r="U5156" s="8">
        <v>99</v>
      </c>
      <c r="V5156" s="8">
        <v>60</v>
      </c>
      <c r="Y5156" s="8" t="s">
        <v>23105</v>
      </c>
      <c r="Z5156" s="8" t="s">
        <v>23106</v>
      </c>
    </row>
    <row r="5157" spans="1:26" x14ac:dyDescent="0.2">
      <c r="A5157" s="8">
        <v>5156</v>
      </c>
      <c r="B5157" s="8" t="s">
        <v>23107</v>
      </c>
      <c r="C5157" s="8" t="s">
        <v>23107</v>
      </c>
      <c r="F5157" s="47"/>
      <c r="G5157" s="8">
        <v>13</v>
      </c>
      <c r="H5157" s="8" t="s">
        <v>21</v>
      </c>
      <c r="I5157" s="8" t="s">
        <v>22</v>
      </c>
      <c r="J5157" s="8" t="s">
        <v>22</v>
      </c>
      <c r="K5157" s="8" t="s">
        <v>218</v>
      </c>
      <c r="L5157" s="8" t="s">
        <v>16195</v>
      </c>
      <c r="M5157" s="8" t="s">
        <v>16196</v>
      </c>
      <c r="N5157" s="8" t="s">
        <v>23108</v>
      </c>
      <c r="O5157" s="8">
        <f>13+28/60+44.2/3600</f>
        <v>13.478944444444444</v>
      </c>
      <c r="P5157" s="8" t="s">
        <v>23109</v>
      </c>
      <c r="Q5157" s="8">
        <f>-(48+55/60+0/3600)</f>
        <v>-48.916666666666664</v>
      </c>
      <c r="R5157" s="8">
        <v>11.7</v>
      </c>
      <c r="S5157" s="8">
        <v>12.5</v>
      </c>
      <c r="T5157" s="8">
        <v>0.8</v>
      </c>
      <c r="U5157" s="8">
        <v>13.2</v>
      </c>
      <c r="V5157" s="8">
        <v>2.5</v>
      </c>
      <c r="W5157" s="8">
        <v>2</v>
      </c>
      <c r="X5157" s="8">
        <v>110</v>
      </c>
      <c r="Y5157" s="8" t="s">
        <v>23110</v>
      </c>
      <c r="Z5157" s="8" t="s">
        <v>23111</v>
      </c>
    </row>
    <row r="5158" spans="1:26" x14ac:dyDescent="0.2">
      <c r="A5158" s="8">
        <v>5157</v>
      </c>
      <c r="B5158" s="8" t="s">
        <v>23112</v>
      </c>
      <c r="C5158" s="8" t="s">
        <v>23112</v>
      </c>
      <c r="F5158" s="47" t="s">
        <v>57747</v>
      </c>
      <c r="G5158" s="8">
        <v>15</v>
      </c>
      <c r="H5158" s="8" t="s">
        <v>21</v>
      </c>
      <c r="I5158" s="8" t="s">
        <v>22</v>
      </c>
      <c r="J5158" s="8" t="s">
        <v>22</v>
      </c>
      <c r="K5158" s="8" t="s">
        <v>154</v>
      </c>
      <c r="L5158" s="8" t="s">
        <v>18681</v>
      </c>
      <c r="M5158" s="8" t="s">
        <v>18682</v>
      </c>
      <c r="N5158" s="8" t="s">
        <v>23113</v>
      </c>
      <c r="O5158" s="8">
        <f>13+27/60+16.8/3600</f>
        <v>13.454666666666666</v>
      </c>
      <c r="P5158" s="8" t="s">
        <v>23114</v>
      </c>
      <c r="Q5158" s="8">
        <f>+(32+1/60+51/3600)</f>
        <v>32.030833333333334</v>
      </c>
      <c r="R5158" s="8">
        <v>13.3</v>
      </c>
      <c r="S5158" s="8">
        <v>14.2</v>
      </c>
      <c r="T5158" s="8">
        <v>0.9</v>
      </c>
      <c r="U5158" s="8">
        <v>13.3</v>
      </c>
      <c r="V5158" s="8">
        <v>1.3</v>
      </c>
      <c r="W5158" s="8">
        <v>0.9</v>
      </c>
      <c r="X5158" s="8">
        <v>111</v>
      </c>
      <c r="Y5158" s="8" t="s">
        <v>23115</v>
      </c>
      <c r="Z5158" s="8" t="s">
        <v>23116</v>
      </c>
    </row>
    <row r="5159" spans="1:26" x14ac:dyDescent="0.2">
      <c r="A5159" s="8">
        <v>5158</v>
      </c>
      <c r="B5159" s="8" t="s">
        <v>23117</v>
      </c>
      <c r="C5159" s="8" t="s">
        <v>23117</v>
      </c>
      <c r="F5159" s="47"/>
      <c r="G5159" s="8">
        <v>16</v>
      </c>
      <c r="H5159" s="8" t="s">
        <v>21</v>
      </c>
      <c r="I5159" s="8" t="s">
        <v>22</v>
      </c>
      <c r="J5159" s="8" t="s">
        <v>22</v>
      </c>
      <c r="K5159" s="8" t="s">
        <v>406</v>
      </c>
      <c r="L5159" s="8" t="s">
        <v>18289</v>
      </c>
      <c r="M5159" s="8" t="s">
        <v>18290</v>
      </c>
      <c r="N5159" s="8" t="s">
        <v>23118</v>
      </c>
      <c r="O5159" s="8">
        <f>13+27/60+46.9/3600</f>
        <v>13.463027777777777</v>
      </c>
      <c r="P5159" s="8" t="s">
        <v>23119</v>
      </c>
      <c r="Q5159" s="8">
        <f>+(17+46/60+44/3600)</f>
        <v>17.778888888888886</v>
      </c>
      <c r="R5159" s="8">
        <v>12.8</v>
      </c>
      <c r="S5159" s="8">
        <v>13.6</v>
      </c>
      <c r="T5159" s="8">
        <v>0.8</v>
      </c>
      <c r="U5159" s="8">
        <v>13.1</v>
      </c>
      <c r="V5159" s="8">
        <v>1.3</v>
      </c>
      <c r="W5159" s="8">
        <v>1.2</v>
      </c>
      <c r="X5159" s="8">
        <v>126</v>
      </c>
      <c r="Y5159" s="8" t="s">
        <v>1250</v>
      </c>
      <c r="Z5159" s="8" t="s">
        <v>1251</v>
      </c>
    </row>
    <row r="5160" spans="1:26" x14ac:dyDescent="0.2">
      <c r="A5160" s="8">
        <v>5159</v>
      </c>
      <c r="B5160" s="8" t="s">
        <v>23120</v>
      </c>
      <c r="C5160" s="8" t="s">
        <v>23120</v>
      </c>
      <c r="F5160" s="47"/>
      <c r="G5160" s="8">
        <v>18</v>
      </c>
      <c r="H5160" s="8" t="s">
        <v>21</v>
      </c>
      <c r="I5160" s="8" t="s">
        <v>22</v>
      </c>
      <c r="J5160" s="8" t="s">
        <v>22</v>
      </c>
      <c r="K5160" s="8" t="s">
        <v>579</v>
      </c>
      <c r="L5160" s="8" t="s">
        <v>17287</v>
      </c>
      <c r="M5160" s="8" t="s">
        <v>17288</v>
      </c>
      <c r="N5160" s="8" t="s">
        <v>23121</v>
      </c>
      <c r="O5160" s="8">
        <f>13+28/60+16.1/3600</f>
        <v>13.471138888888889</v>
      </c>
      <c r="P5160" s="8" t="s">
        <v>23122</v>
      </c>
      <c r="Q5160" s="8">
        <f>+(2+59/60+1/3600)</f>
        <v>2.9836111111111112</v>
      </c>
      <c r="R5160" s="8">
        <v>14.2</v>
      </c>
      <c r="S5160" s="8">
        <v>14.9</v>
      </c>
      <c r="T5160" s="8">
        <v>0.7</v>
      </c>
      <c r="U5160" s="8">
        <v>13.3</v>
      </c>
      <c r="V5160" s="8">
        <v>1.4</v>
      </c>
      <c r="W5160" s="8">
        <v>0.4</v>
      </c>
      <c r="X5160" s="8">
        <v>162</v>
      </c>
      <c r="Y5160" s="8" t="s">
        <v>146</v>
      </c>
      <c r="Z5160" s="8" t="s">
        <v>147</v>
      </c>
    </row>
    <row r="5161" spans="1:26" x14ac:dyDescent="0.2">
      <c r="A5161" s="8">
        <v>5160</v>
      </c>
      <c r="B5161" s="8" t="s">
        <v>23123</v>
      </c>
      <c r="C5161" s="8" t="s">
        <v>23123</v>
      </c>
      <c r="F5161" s="47"/>
      <c r="G5161" s="8">
        <v>18</v>
      </c>
      <c r="H5161" s="8" t="s">
        <v>21</v>
      </c>
      <c r="I5161" s="8" t="s">
        <v>72</v>
      </c>
      <c r="J5161" s="8" t="s">
        <v>72</v>
      </c>
      <c r="K5161" s="8" t="s">
        <v>73</v>
      </c>
      <c r="L5161" s="8" t="s">
        <v>17287</v>
      </c>
      <c r="M5161" s="8" t="s">
        <v>17288</v>
      </c>
      <c r="N5161" s="8" t="s">
        <v>23124</v>
      </c>
      <c r="O5161" s="8">
        <f>13+28/60+21.6/3600</f>
        <v>13.472666666666667</v>
      </c>
      <c r="P5161" s="8" t="s">
        <v>23125</v>
      </c>
      <c r="Q5161" s="8">
        <f>+(5+59/60+45/3600)</f>
        <v>5.9958333333333336</v>
      </c>
      <c r="R5161" s="8">
        <v>99</v>
      </c>
      <c r="S5161" s="8">
        <v>99</v>
      </c>
      <c r="T5161" s="8">
        <v>99</v>
      </c>
      <c r="U5161" s="8">
        <v>99</v>
      </c>
      <c r="Y5161" s="8" t="s">
        <v>21</v>
      </c>
      <c r="Z5161" s="8" t="s">
        <v>23126</v>
      </c>
    </row>
    <row r="5162" spans="1:26" x14ac:dyDescent="0.2">
      <c r="A5162" s="8">
        <v>5161</v>
      </c>
      <c r="B5162" s="8" t="s">
        <v>23127</v>
      </c>
      <c r="C5162" s="8" t="s">
        <v>23127</v>
      </c>
      <c r="F5162" s="47"/>
      <c r="G5162" s="8">
        <v>13</v>
      </c>
      <c r="H5162" s="8" t="s">
        <v>21</v>
      </c>
      <c r="I5162" s="8" t="s">
        <v>22</v>
      </c>
      <c r="J5162" s="8" t="s">
        <v>22</v>
      </c>
      <c r="K5162" s="8" t="s">
        <v>160</v>
      </c>
      <c r="L5162" s="8" t="s">
        <v>16195</v>
      </c>
      <c r="M5162" s="8" t="s">
        <v>16196</v>
      </c>
      <c r="N5162" s="8" t="s">
        <v>23128</v>
      </c>
      <c r="O5162" s="8">
        <f>13+29/60+13.7/3600</f>
        <v>13.487138888888888</v>
      </c>
      <c r="P5162" s="8" t="s">
        <v>23129</v>
      </c>
      <c r="Q5162" s="8">
        <f>-(33+10/60+28/3600)</f>
        <v>-33.17444444444444</v>
      </c>
      <c r="R5162" s="8">
        <v>11.2</v>
      </c>
      <c r="S5162" s="8">
        <v>12</v>
      </c>
      <c r="T5162" s="8">
        <v>0.8</v>
      </c>
      <c r="U5162" s="8">
        <v>13.8</v>
      </c>
      <c r="V5162" s="8">
        <v>5.6</v>
      </c>
      <c r="W5162" s="8">
        <v>2.2999999999999998</v>
      </c>
      <c r="X5162" s="8">
        <v>77</v>
      </c>
      <c r="Y5162" s="8" t="s">
        <v>23130</v>
      </c>
      <c r="Z5162" s="8" t="s">
        <v>23131</v>
      </c>
    </row>
    <row r="5163" spans="1:26" x14ac:dyDescent="0.2">
      <c r="A5163" s="8">
        <v>5162</v>
      </c>
      <c r="B5163" s="8" t="s">
        <v>23132</v>
      </c>
      <c r="C5163" s="8" t="s">
        <v>23132</v>
      </c>
      <c r="F5163" s="47"/>
      <c r="G5163" s="8">
        <v>19</v>
      </c>
      <c r="H5163" s="8" t="s">
        <v>21</v>
      </c>
      <c r="I5163" s="8" t="s">
        <v>22</v>
      </c>
      <c r="J5163" s="8" t="s">
        <v>57</v>
      </c>
      <c r="K5163" s="8" t="s">
        <v>160</v>
      </c>
      <c r="L5163" s="8" t="s">
        <v>17287</v>
      </c>
      <c r="M5163" s="8" t="s">
        <v>17288</v>
      </c>
      <c r="N5163" s="8" t="s">
        <v>23133</v>
      </c>
      <c r="O5163" s="8">
        <f>13+29/60+25.9/3600</f>
        <v>13.490527777777777</v>
      </c>
      <c r="P5163" s="8" t="s">
        <v>23134</v>
      </c>
      <c r="Q5163" s="8">
        <f>+(11+0/60+28/3600)</f>
        <v>11.007777777777777</v>
      </c>
      <c r="R5163" s="8">
        <v>13</v>
      </c>
      <c r="S5163" s="8">
        <v>13.7</v>
      </c>
      <c r="T5163" s="8">
        <v>0.7</v>
      </c>
      <c r="U5163" s="8">
        <v>14.3</v>
      </c>
      <c r="V5163" s="8">
        <v>2.7</v>
      </c>
      <c r="W5163" s="8">
        <v>1.4</v>
      </c>
      <c r="X5163" s="8">
        <v>160</v>
      </c>
      <c r="Y5163" s="8" t="s">
        <v>23135</v>
      </c>
      <c r="Z5163" s="8" t="s">
        <v>23136</v>
      </c>
    </row>
    <row r="5164" spans="1:26" x14ac:dyDescent="0.2">
      <c r="A5164" s="8">
        <v>5163</v>
      </c>
      <c r="B5164" s="8" t="s">
        <v>23137</v>
      </c>
      <c r="C5164" s="8" t="s">
        <v>23137</v>
      </c>
      <c r="F5164" s="47" t="s">
        <v>57748</v>
      </c>
      <c r="G5164" s="8">
        <v>15</v>
      </c>
      <c r="H5164" s="8" t="s">
        <v>21</v>
      </c>
      <c r="I5164" s="8" t="s">
        <v>22</v>
      </c>
      <c r="J5164" s="8" t="s">
        <v>22</v>
      </c>
      <c r="K5164" s="8" t="s">
        <v>50</v>
      </c>
      <c r="L5164" s="8" t="s">
        <v>12015</v>
      </c>
      <c r="M5164" s="8" t="s">
        <v>12016</v>
      </c>
      <c r="N5164" s="8" t="s">
        <v>23138</v>
      </c>
      <c r="O5164" s="8">
        <f>13+26/60+54.1/3600</f>
        <v>13.448361111111112</v>
      </c>
      <c r="P5164" s="8" t="s">
        <v>23139</v>
      </c>
      <c r="Q5164" s="8">
        <f>+(52+45/60+15/3600)</f>
        <v>52.75416666666667</v>
      </c>
      <c r="R5164" s="8">
        <v>13.6</v>
      </c>
      <c r="S5164" s="8">
        <v>14.6</v>
      </c>
      <c r="T5164" s="8">
        <v>1</v>
      </c>
      <c r="U5164" s="8">
        <v>13.3</v>
      </c>
      <c r="V5164" s="8">
        <v>1.1000000000000001</v>
      </c>
      <c r="W5164" s="8">
        <v>0.7</v>
      </c>
      <c r="X5164" s="8">
        <v>10</v>
      </c>
      <c r="Y5164" s="8" t="s">
        <v>23140</v>
      </c>
      <c r="Z5164" s="8" t="s">
        <v>23141</v>
      </c>
    </row>
    <row r="5165" spans="1:26" x14ac:dyDescent="0.2">
      <c r="A5165" s="8">
        <v>5164</v>
      </c>
      <c r="B5165" s="8" t="s">
        <v>23142</v>
      </c>
      <c r="C5165" s="8" t="s">
        <v>23142</v>
      </c>
      <c r="F5165" s="47" t="s">
        <v>57749</v>
      </c>
      <c r="G5165" s="8">
        <v>15</v>
      </c>
      <c r="H5165" s="8" t="s">
        <v>21</v>
      </c>
      <c r="I5165" s="8" t="s">
        <v>22</v>
      </c>
      <c r="J5165" s="8" t="s">
        <v>22</v>
      </c>
      <c r="K5165" s="8" t="s">
        <v>218</v>
      </c>
      <c r="L5165" s="8" t="s">
        <v>12015</v>
      </c>
      <c r="M5165" s="8" t="s">
        <v>12016</v>
      </c>
      <c r="N5165" s="8" t="s">
        <v>23143</v>
      </c>
      <c r="O5165" s="8">
        <f>13+27/60+11.9/3600</f>
        <v>13.453305555555556</v>
      </c>
      <c r="P5165" s="8" t="s">
        <v>23144</v>
      </c>
      <c r="Q5165" s="8">
        <f>+(55+29/60+13/3600)</f>
        <v>55.486944444444447</v>
      </c>
      <c r="R5165" s="8">
        <v>13.7</v>
      </c>
      <c r="S5165" s="8">
        <v>14.5</v>
      </c>
      <c r="T5165" s="8">
        <v>0.8</v>
      </c>
      <c r="U5165" s="8">
        <v>13.4</v>
      </c>
      <c r="V5165" s="8">
        <v>1</v>
      </c>
      <c r="W5165" s="8">
        <v>0.9</v>
      </c>
      <c r="X5165" s="8">
        <v>27</v>
      </c>
      <c r="Y5165" s="8" t="s">
        <v>19855</v>
      </c>
      <c r="Z5165" s="8" t="s">
        <v>19856</v>
      </c>
    </row>
    <row r="5166" spans="1:26" x14ac:dyDescent="0.2">
      <c r="A5166" s="8">
        <v>5165</v>
      </c>
      <c r="B5166" s="8" t="s">
        <v>23145</v>
      </c>
      <c r="C5166" s="8" t="s">
        <v>23145</v>
      </c>
      <c r="F5166" s="47"/>
      <c r="G5166" s="8">
        <v>19</v>
      </c>
      <c r="H5166" s="8" t="s">
        <v>21</v>
      </c>
      <c r="I5166" s="8" t="s">
        <v>22</v>
      </c>
      <c r="J5166" s="8" t="s">
        <v>22</v>
      </c>
      <c r="K5166" s="8" t="s">
        <v>37</v>
      </c>
      <c r="L5166" s="8" t="s">
        <v>17287</v>
      </c>
      <c r="M5166" s="8" t="s">
        <v>17288</v>
      </c>
      <c r="N5166" s="8" t="s">
        <v>23146</v>
      </c>
      <c r="O5166" s="8">
        <f>13+28/60+39.1/3600</f>
        <v>13.477527777777778</v>
      </c>
      <c r="P5166" s="8" t="s">
        <v>23147</v>
      </c>
      <c r="Q5166" s="8">
        <f>+(11+23/60+15/3600)</f>
        <v>11.387499999999999</v>
      </c>
      <c r="R5166" s="8">
        <v>13.7</v>
      </c>
      <c r="S5166" s="8">
        <v>14.7</v>
      </c>
      <c r="T5166" s="8">
        <v>1</v>
      </c>
      <c r="U5166" s="8">
        <v>12.4</v>
      </c>
      <c r="V5166" s="8">
        <v>0.8</v>
      </c>
      <c r="W5166" s="8">
        <v>0.5</v>
      </c>
      <c r="X5166" s="8">
        <v>174</v>
      </c>
      <c r="Y5166" s="8" t="s">
        <v>21</v>
      </c>
      <c r="Z5166" s="8" t="s">
        <v>23148</v>
      </c>
    </row>
    <row r="5167" spans="1:26" x14ac:dyDescent="0.2">
      <c r="A5167" s="8">
        <v>5166</v>
      </c>
      <c r="B5167" s="8" t="s">
        <v>23149</v>
      </c>
      <c r="C5167" s="8" t="s">
        <v>23149</v>
      </c>
      <c r="F5167" s="47"/>
      <c r="G5167" s="8">
        <v>16</v>
      </c>
      <c r="H5167" s="8" t="s">
        <v>21</v>
      </c>
      <c r="I5167" s="8" t="s">
        <v>22</v>
      </c>
      <c r="J5167" s="8" t="s">
        <v>22</v>
      </c>
      <c r="K5167" s="8" t="s">
        <v>23</v>
      </c>
      <c r="L5167" s="8" t="s">
        <v>18681</v>
      </c>
      <c r="M5167" s="8" t="s">
        <v>18682</v>
      </c>
      <c r="N5167" s="8" t="s">
        <v>23150</v>
      </c>
      <c r="O5167" s="8">
        <f>13+28/60+15/3600</f>
        <v>13.470833333333333</v>
      </c>
      <c r="P5167" s="8" t="s">
        <v>23151</v>
      </c>
      <c r="Q5167" s="8">
        <f>+(32+1/60+56/3600)</f>
        <v>32.032222222222224</v>
      </c>
      <c r="R5167" s="8">
        <v>13.5</v>
      </c>
      <c r="S5167" s="8">
        <v>14.3</v>
      </c>
      <c r="T5167" s="8">
        <v>0.8</v>
      </c>
      <c r="U5167" s="8">
        <v>13.3</v>
      </c>
      <c r="V5167" s="8">
        <v>2.2999999999999998</v>
      </c>
      <c r="W5167" s="8">
        <v>0.4</v>
      </c>
      <c r="X5167" s="8">
        <v>67</v>
      </c>
      <c r="Y5167" s="8" t="s">
        <v>23152</v>
      </c>
      <c r="Z5167" s="8" t="s">
        <v>23153</v>
      </c>
    </row>
    <row r="5168" spans="1:26" x14ac:dyDescent="0.2">
      <c r="A5168" s="8">
        <v>5167</v>
      </c>
      <c r="B5168" s="8" t="s">
        <v>23154</v>
      </c>
      <c r="C5168" s="8" t="s">
        <v>23154</v>
      </c>
      <c r="F5168" s="47"/>
      <c r="G5168" s="8">
        <v>19</v>
      </c>
      <c r="H5168" s="8" t="s">
        <v>21</v>
      </c>
      <c r="I5168" s="8" t="s">
        <v>22</v>
      </c>
      <c r="J5168" s="8" t="s">
        <v>22</v>
      </c>
      <c r="K5168" s="8" t="s">
        <v>160</v>
      </c>
      <c r="L5168" s="8" t="s">
        <v>17287</v>
      </c>
      <c r="M5168" s="8" t="s">
        <v>17288</v>
      </c>
      <c r="N5168" s="8" t="s">
        <v>23155</v>
      </c>
      <c r="O5168" s="8">
        <f>13+28/60+40.2/3600</f>
        <v>13.477833333333333</v>
      </c>
      <c r="P5168" s="8" t="s">
        <v>23156</v>
      </c>
      <c r="Q5168" s="8">
        <f>+(12+42/60+41/3600)</f>
        <v>12.711388888888887</v>
      </c>
      <c r="R5168" s="8">
        <v>13.8</v>
      </c>
      <c r="S5168" s="8">
        <v>14.5</v>
      </c>
      <c r="T5168" s="8">
        <v>0.7</v>
      </c>
      <c r="U5168" s="8">
        <v>13.4</v>
      </c>
      <c r="V5168" s="8">
        <v>0.9</v>
      </c>
      <c r="W5168" s="8">
        <v>0.9</v>
      </c>
      <c r="Y5168" s="8" t="s">
        <v>21</v>
      </c>
      <c r="Z5168" s="8" t="s">
        <v>23157</v>
      </c>
    </row>
    <row r="5169" spans="1:26" x14ac:dyDescent="0.2">
      <c r="A5169" s="8">
        <v>5168</v>
      </c>
      <c r="B5169" s="8" t="s">
        <v>23158</v>
      </c>
      <c r="C5169" s="8" t="s">
        <v>23158</v>
      </c>
      <c r="F5169" s="47"/>
      <c r="G5169" s="8">
        <v>14</v>
      </c>
      <c r="H5169" s="8" t="s">
        <v>21</v>
      </c>
      <c r="I5169" s="8" t="s">
        <v>557</v>
      </c>
      <c r="J5169" s="8" t="s">
        <v>557</v>
      </c>
      <c r="K5169" s="8" t="s">
        <v>3082</v>
      </c>
      <c r="L5169" s="8" t="s">
        <v>16195</v>
      </c>
      <c r="M5169" s="8" t="s">
        <v>16196</v>
      </c>
      <c r="N5169" s="8" t="s">
        <v>23159</v>
      </c>
      <c r="O5169" s="8">
        <f>13+31/60+7.2/3600</f>
        <v>13.518666666666668</v>
      </c>
      <c r="P5169" s="8" t="s">
        <v>23160</v>
      </c>
      <c r="Q5169" s="8">
        <f>-(60+56/60+21/3600)</f>
        <v>-60.939166666666665</v>
      </c>
      <c r="R5169" s="8">
        <v>9.1</v>
      </c>
      <c r="S5169" s="8">
        <v>99</v>
      </c>
      <c r="T5169" s="8">
        <v>99</v>
      </c>
      <c r="U5169" s="8">
        <v>99</v>
      </c>
      <c r="V5169" s="8">
        <v>4</v>
      </c>
      <c r="Y5169" s="8" t="s">
        <v>23161</v>
      </c>
      <c r="Z5169" s="8" t="s">
        <v>23162</v>
      </c>
    </row>
    <row r="5170" spans="1:26" x14ac:dyDescent="0.2">
      <c r="A5170" s="8">
        <v>5169</v>
      </c>
      <c r="B5170" s="8" t="s">
        <v>23163</v>
      </c>
      <c r="C5170" s="8" t="s">
        <v>23163</v>
      </c>
      <c r="F5170" s="47"/>
      <c r="G5170" s="8">
        <v>16</v>
      </c>
      <c r="H5170" s="8" t="s">
        <v>21</v>
      </c>
      <c r="I5170" s="8" t="s">
        <v>22</v>
      </c>
      <c r="J5170" s="8" t="s">
        <v>22</v>
      </c>
      <c r="K5170" s="8" t="s">
        <v>85</v>
      </c>
      <c r="L5170" s="8" t="s">
        <v>18681</v>
      </c>
      <c r="M5170" s="8" t="s">
        <v>18682</v>
      </c>
      <c r="N5170" s="8" t="s">
        <v>23164</v>
      </c>
      <c r="O5170" s="8">
        <f>13+28/60+10/3600</f>
        <v>13.469444444444445</v>
      </c>
      <c r="P5170" s="8" t="s">
        <v>23165</v>
      </c>
      <c r="Q5170" s="8">
        <f>+(46+40/60+20/3600)</f>
        <v>46.672222222222217</v>
      </c>
      <c r="R5170" s="8">
        <v>13.5</v>
      </c>
      <c r="S5170" s="8">
        <v>14.3</v>
      </c>
      <c r="T5170" s="8">
        <v>0.8</v>
      </c>
      <c r="U5170" s="8">
        <v>14.1</v>
      </c>
      <c r="V5170" s="8">
        <v>2.1</v>
      </c>
      <c r="W5170" s="8">
        <v>0.8</v>
      </c>
      <c r="X5170" s="8">
        <v>103</v>
      </c>
      <c r="Y5170" s="8" t="s">
        <v>237</v>
      </c>
      <c r="Z5170" s="8" t="s">
        <v>238</v>
      </c>
    </row>
    <row r="5171" spans="1:26" x14ac:dyDescent="0.2">
      <c r="A5171" s="8">
        <v>5170</v>
      </c>
      <c r="B5171" s="8" t="s">
        <v>23166</v>
      </c>
      <c r="C5171" s="8" t="s">
        <v>23166</v>
      </c>
      <c r="F5171" s="47" t="s">
        <v>57750</v>
      </c>
      <c r="G5171" s="8">
        <v>13</v>
      </c>
      <c r="H5171" s="8" t="s">
        <v>21</v>
      </c>
      <c r="I5171" s="8" t="s">
        <v>22</v>
      </c>
      <c r="J5171" s="8" t="s">
        <v>22</v>
      </c>
      <c r="K5171" s="8" t="s">
        <v>160</v>
      </c>
      <c r="L5171" s="8" t="s">
        <v>17287</v>
      </c>
      <c r="M5171" s="8" t="s">
        <v>17288</v>
      </c>
      <c r="N5171" s="8" t="s">
        <v>23167</v>
      </c>
      <c r="O5171" s="8">
        <f>13+29/60+48.8/3600</f>
        <v>13.496888888888888</v>
      </c>
      <c r="P5171" s="8" t="s">
        <v>23168</v>
      </c>
      <c r="Q5171" s="8">
        <f>-(17+57/60+55/3600)</f>
        <v>-17.965277777777779</v>
      </c>
      <c r="R5171" s="8">
        <v>11.1</v>
      </c>
      <c r="S5171" s="8">
        <v>12.1</v>
      </c>
      <c r="T5171" s="8">
        <v>1</v>
      </c>
      <c r="U5171" s="8">
        <v>13.3</v>
      </c>
      <c r="V5171" s="8">
        <v>8.1999999999999993</v>
      </c>
      <c r="W5171" s="8">
        <v>1</v>
      </c>
      <c r="X5171" s="8">
        <v>127</v>
      </c>
      <c r="Y5171" s="8" t="s">
        <v>21</v>
      </c>
      <c r="Z5171" s="8" t="s">
        <v>23169</v>
      </c>
    </row>
    <row r="5172" spans="1:26" x14ac:dyDescent="0.2">
      <c r="A5172" s="8">
        <v>5171</v>
      </c>
      <c r="B5172" s="8" t="s">
        <v>23170</v>
      </c>
      <c r="C5172" s="8" t="s">
        <v>23170</v>
      </c>
      <c r="F5172" s="47"/>
      <c r="G5172" s="8">
        <v>19</v>
      </c>
      <c r="H5172" s="8" t="s">
        <v>21</v>
      </c>
      <c r="I5172" s="8" t="s">
        <v>22</v>
      </c>
      <c r="J5172" s="8" t="s">
        <v>22</v>
      </c>
      <c r="K5172" s="8" t="s">
        <v>58</v>
      </c>
      <c r="L5172" s="8" t="s">
        <v>17287</v>
      </c>
      <c r="M5172" s="8" t="s">
        <v>17288</v>
      </c>
      <c r="N5172" s="8" t="s">
        <v>23171</v>
      </c>
      <c r="O5172" s="8">
        <f>13+29/60+21.6/3600</f>
        <v>13.489333333333333</v>
      </c>
      <c r="P5172" s="8" t="s">
        <v>23172</v>
      </c>
      <c r="Q5172" s="8">
        <f>+(11+44/60+7/3600)</f>
        <v>11.735277777777776</v>
      </c>
      <c r="R5172" s="8">
        <v>12.8</v>
      </c>
      <c r="S5172" s="8">
        <v>13.7</v>
      </c>
      <c r="T5172" s="8">
        <v>0.9</v>
      </c>
      <c r="U5172" s="8">
        <v>12.5</v>
      </c>
      <c r="V5172" s="8">
        <v>1.1000000000000001</v>
      </c>
      <c r="W5172" s="8">
        <v>0.8</v>
      </c>
      <c r="X5172" s="8">
        <v>10</v>
      </c>
      <c r="Y5172" s="8" t="s">
        <v>7115</v>
      </c>
      <c r="Z5172" s="8" t="s">
        <v>7116</v>
      </c>
    </row>
    <row r="5173" spans="1:26" x14ac:dyDescent="0.2">
      <c r="A5173" s="8">
        <v>5172</v>
      </c>
      <c r="B5173" s="8" t="s">
        <v>23173</v>
      </c>
      <c r="C5173" s="8" t="s">
        <v>23173</v>
      </c>
      <c r="F5173" s="47"/>
      <c r="G5173" s="8">
        <v>13</v>
      </c>
      <c r="H5173" s="8" t="s">
        <v>21</v>
      </c>
      <c r="I5173" s="8" t="s">
        <v>22</v>
      </c>
      <c r="J5173" s="8" t="s">
        <v>22</v>
      </c>
      <c r="K5173" s="8" t="s">
        <v>85</v>
      </c>
      <c r="L5173" s="8" t="s">
        <v>18289</v>
      </c>
      <c r="M5173" s="8" t="s">
        <v>18290</v>
      </c>
      <c r="N5173" s="8" t="s">
        <v>23174</v>
      </c>
      <c r="O5173" s="8">
        <f>13+29/60+19/3600</f>
        <v>13.48861111111111</v>
      </c>
      <c r="P5173" s="8" t="s">
        <v>23175</v>
      </c>
      <c r="Q5173" s="8">
        <f>+(17+3/60+6/3600)</f>
        <v>17.051666666666666</v>
      </c>
      <c r="R5173" s="8">
        <v>11.9</v>
      </c>
      <c r="S5173" s="8">
        <v>12.6</v>
      </c>
      <c r="T5173" s="8">
        <v>0.7</v>
      </c>
      <c r="U5173" s="8">
        <v>13.6</v>
      </c>
      <c r="V5173" s="8">
        <v>3.4</v>
      </c>
      <c r="W5173" s="8">
        <v>1.8</v>
      </c>
      <c r="X5173" s="8">
        <v>103</v>
      </c>
      <c r="Y5173" s="8" t="s">
        <v>522</v>
      </c>
      <c r="Z5173" s="8" t="s">
        <v>523</v>
      </c>
    </row>
    <row r="5174" spans="1:26" x14ac:dyDescent="0.2">
      <c r="A5174" s="8">
        <v>5173</v>
      </c>
      <c r="B5174" s="8" t="s">
        <v>23176</v>
      </c>
      <c r="C5174" s="8" t="s">
        <v>23176</v>
      </c>
      <c r="F5174" s="47" t="s">
        <v>57751</v>
      </c>
      <c r="G5174" s="8">
        <v>15</v>
      </c>
      <c r="H5174" s="8" t="s">
        <v>21</v>
      </c>
      <c r="I5174" s="8" t="s">
        <v>22</v>
      </c>
      <c r="J5174" s="8" t="s">
        <v>22</v>
      </c>
      <c r="K5174" s="8" t="s">
        <v>183</v>
      </c>
      <c r="L5174" s="8" t="s">
        <v>18681</v>
      </c>
      <c r="M5174" s="8" t="s">
        <v>18682</v>
      </c>
      <c r="N5174" s="8" t="s">
        <v>23177</v>
      </c>
      <c r="O5174" s="8">
        <f>13+28/60+25.2/3600</f>
        <v>13.473666666666666</v>
      </c>
      <c r="P5174" s="8" t="s">
        <v>23178</v>
      </c>
      <c r="Q5174" s="8">
        <f>+(46+35/60+32/3600)</f>
        <v>46.592222222222226</v>
      </c>
      <c r="R5174" s="8">
        <v>12.2</v>
      </c>
      <c r="S5174" s="8">
        <v>13.2</v>
      </c>
      <c r="T5174" s="8">
        <v>1</v>
      </c>
      <c r="U5174" s="8">
        <v>12.2</v>
      </c>
      <c r="V5174" s="8">
        <v>1</v>
      </c>
      <c r="W5174" s="8">
        <v>0.9</v>
      </c>
      <c r="X5174" s="8">
        <v>117</v>
      </c>
      <c r="Y5174" s="8" t="s">
        <v>5926</v>
      </c>
      <c r="Z5174" s="8" t="s">
        <v>23179</v>
      </c>
    </row>
    <row r="5175" spans="1:26" x14ac:dyDescent="0.2">
      <c r="A5175" s="8">
        <v>5174</v>
      </c>
      <c r="B5175" s="8" t="s">
        <v>23180</v>
      </c>
      <c r="C5175" s="8" t="s">
        <v>23180</v>
      </c>
      <c r="F5175" s="47" t="s">
        <v>57752</v>
      </c>
      <c r="G5175" s="8">
        <v>15</v>
      </c>
      <c r="H5175" s="8" t="s">
        <v>21</v>
      </c>
      <c r="I5175" s="8" t="s">
        <v>22</v>
      </c>
      <c r="J5175" s="8" t="s">
        <v>22</v>
      </c>
      <c r="K5175" s="8" t="s">
        <v>160</v>
      </c>
      <c r="L5175" s="8" t="s">
        <v>17287</v>
      </c>
      <c r="M5175" s="8" t="s">
        <v>17288</v>
      </c>
      <c r="N5175" s="8" t="s">
        <v>23133</v>
      </c>
      <c r="O5175" s="8">
        <f>13+29/60+25.9/3600</f>
        <v>13.490527777777777</v>
      </c>
      <c r="P5175" s="8" t="s">
        <v>23134</v>
      </c>
      <c r="Q5175" s="8">
        <f>+(11+0/60+28/3600)</f>
        <v>11.007777777777777</v>
      </c>
      <c r="R5175" s="8">
        <v>13</v>
      </c>
      <c r="S5175" s="8">
        <v>13.7</v>
      </c>
      <c r="T5175" s="8">
        <v>0.7</v>
      </c>
      <c r="U5175" s="8">
        <v>14.3</v>
      </c>
      <c r="V5175" s="8">
        <v>2.7</v>
      </c>
      <c r="W5175" s="8">
        <v>1.4</v>
      </c>
      <c r="X5175" s="8">
        <v>160</v>
      </c>
      <c r="Y5175" s="8" t="s">
        <v>21</v>
      </c>
      <c r="Z5175" s="8" t="s">
        <v>23181</v>
      </c>
    </row>
    <row r="5176" spans="1:26" x14ac:dyDescent="0.2">
      <c r="A5176" s="8">
        <v>5175</v>
      </c>
      <c r="B5176" s="8" t="s">
        <v>23182</v>
      </c>
      <c r="C5176" s="8" t="s">
        <v>23182</v>
      </c>
      <c r="F5176" s="47" t="s">
        <v>57753</v>
      </c>
      <c r="G5176" s="8">
        <v>15</v>
      </c>
      <c r="H5176" s="8" t="s">
        <v>21</v>
      </c>
      <c r="I5176" s="8" t="s">
        <v>72</v>
      </c>
      <c r="J5176" s="8" t="s">
        <v>72</v>
      </c>
      <c r="K5176" s="8" t="s">
        <v>20</v>
      </c>
      <c r="L5176" s="8" t="s">
        <v>17287</v>
      </c>
      <c r="M5176" s="8" t="s">
        <v>17288</v>
      </c>
      <c r="N5176" s="8" t="s">
        <v>23183</v>
      </c>
      <c r="O5176" s="8">
        <f>13+29/60+31/3600</f>
        <v>13.491944444444444</v>
      </c>
      <c r="P5176" s="8" t="s">
        <v>23184</v>
      </c>
      <c r="Q5176" s="8">
        <f>+(11+2/60+30/3600)</f>
        <v>11.041666666666666</v>
      </c>
      <c r="R5176" s="8">
        <v>99</v>
      </c>
      <c r="S5176" s="8">
        <v>12.6</v>
      </c>
      <c r="T5176" s="8">
        <v>99</v>
      </c>
      <c r="U5176" s="8">
        <v>99</v>
      </c>
      <c r="Y5176" s="8" t="s">
        <v>21</v>
      </c>
      <c r="Z5176" s="8" t="s">
        <v>23181</v>
      </c>
    </row>
    <row r="5177" spans="1:26" x14ac:dyDescent="0.2">
      <c r="A5177" s="8">
        <v>5176</v>
      </c>
      <c r="B5177" s="8" t="s">
        <v>23185</v>
      </c>
      <c r="C5177" s="8" t="s">
        <v>23185</v>
      </c>
      <c r="F5177" s="47"/>
      <c r="G5177" s="8">
        <v>19</v>
      </c>
      <c r="H5177" s="8" t="s">
        <v>21</v>
      </c>
      <c r="I5177" s="8" t="s">
        <v>22</v>
      </c>
      <c r="J5177" s="8" t="s">
        <v>22</v>
      </c>
      <c r="K5177" s="8" t="s">
        <v>460</v>
      </c>
      <c r="L5177" s="8" t="s">
        <v>17287</v>
      </c>
      <c r="M5177" s="8" t="s">
        <v>17288</v>
      </c>
      <c r="N5177" s="8" t="s">
        <v>23186</v>
      </c>
      <c r="O5177" s="8">
        <f>13+29/60+24.9/3600</f>
        <v>13.49025</v>
      </c>
      <c r="P5177" s="8" t="s">
        <v>23187</v>
      </c>
      <c r="Q5177" s="8">
        <f>+(11+46/60+55/3600)</f>
        <v>11.781944444444445</v>
      </c>
      <c r="R5177" s="8">
        <v>14.4</v>
      </c>
      <c r="S5177" s="8">
        <v>15.4</v>
      </c>
      <c r="T5177" s="8">
        <v>1</v>
      </c>
      <c r="U5177" s="8">
        <v>13</v>
      </c>
      <c r="V5177" s="8">
        <v>0.5</v>
      </c>
      <c r="W5177" s="8">
        <v>0.5</v>
      </c>
      <c r="Y5177" s="8" t="s">
        <v>21</v>
      </c>
      <c r="Z5177" s="8" t="s">
        <v>23188</v>
      </c>
    </row>
    <row r="5178" spans="1:26" x14ac:dyDescent="0.2">
      <c r="A5178" s="8">
        <v>5177</v>
      </c>
      <c r="B5178" s="8" t="s">
        <v>23189</v>
      </c>
      <c r="C5178" s="8" t="s">
        <v>23189</v>
      </c>
      <c r="F5178" s="47"/>
      <c r="G5178" s="8">
        <v>19</v>
      </c>
      <c r="H5178" s="8" t="s">
        <v>21</v>
      </c>
      <c r="I5178" s="8" t="s">
        <v>22</v>
      </c>
      <c r="J5178" s="8" t="s">
        <v>22</v>
      </c>
      <c r="K5178" s="8" t="s">
        <v>476</v>
      </c>
      <c r="L5178" s="8" t="s">
        <v>17287</v>
      </c>
      <c r="M5178" s="8" t="s">
        <v>17288</v>
      </c>
      <c r="N5178" s="8" t="s">
        <v>23190</v>
      </c>
      <c r="O5178" s="8">
        <f>13+29/60+24.2/3600</f>
        <v>13.490055555555555</v>
      </c>
      <c r="P5178" s="8" t="s">
        <v>23191</v>
      </c>
      <c r="Q5178" s="8">
        <f>+(11+47/60+48/3600)</f>
        <v>11.796666666666667</v>
      </c>
      <c r="R5178" s="8">
        <v>14.6</v>
      </c>
      <c r="S5178" s="8">
        <v>15.5</v>
      </c>
      <c r="T5178" s="8">
        <v>0.9</v>
      </c>
      <c r="U5178" s="8">
        <v>12.3</v>
      </c>
      <c r="V5178" s="8">
        <v>0.7</v>
      </c>
      <c r="W5178" s="8">
        <v>0.2</v>
      </c>
      <c r="X5178" s="8">
        <v>135</v>
      </c>
      <c r="Y5178" s="8" t="s">
        <v>21</v>
      </c>
      <c r="Z5178" s="8" t="s">
        <v>23188</v>
      </c>
    </row>
    <row r="5179" spans="1:26" x14ac:dyDescent="0.2">
      <c r="A5179" s="8">
        <v>5178</v>
      </c>
      <c r="B5179" s="8" t="s">
        <v>23192</v>
      </c>
      <c r="C5179" s="8" t="s">
        <v>23192</v>
      </c>
      <c r="F5179" s="47"/>
      <c r="G5179" s="8">
        <v>19</v>
      </c>
      <c r="H5179" s="8" t="s">
        <v>21</v>
      </c>
      <c r="I5179" s="8" t="s">
        <v>22</v>
      </c>
      <c r="J5179" s="8" t="s">
        <v>22</v>
      </c>
      <c r="K5179" s="8" t="s">
        <v>632</v>
      </c>
      <c r="L5179" s="8" t="s">
        <v>17287</v>
      </c>
      <c r="M5179" s="8" t="s">
        <v>17288</v>
      </c>
      <c r="N5179" s="8" t="s">
        <v>23193</v>
      </c>
      <c r="O5179" s="8">
        <f>13+29/60+29.3/3600</f>
        <v>13.491472222222221</v>
      </c>
      <c r="P5179" s="8" t="s">
        <v>20342</v>
      </c>
      <c r="Q5179" s="8">
        <f>+(11+37/60+30/3600)</f>
        <v>11.625</v>
      </c>
      <c r="R5179" s="8">
        <v>13.8</v>
      </c>
      <c r="S5179" s="8">
        <v>14.7</v>
      </c>
      <c r="T5179" s="8">
        <v>0.9</v>
      </c>
      <c r="U5179" s="8">
        <v>13.4</v>
      </c>
      <c r="V5179" s="8">
        <v>1.2</v>
      </c>
      <c r="W5179" s="8">
        <v>0.7</v>
      </c>
      <c r="X5179" s="8">
        <v>95</v>
      </c>
      <c r="Y5179" s="8" t="s">
        <v>297</v>
      </c>
      <c r="Z5179" s="8" t="s">
        <v>298</v>
      </c>
    </row>
    <row r="5180" spans="1:26" x14ac:dyDescent="0.2">
      <c r="A5180" s="8">
        <v>5179</v>
      </c>
      <c r="B5180" s="8" t="s">
        <v>23194</v>
      </c>
      <c r="C5180" s="8" t="s">
        <v>23194</v>
      </c>
      <c r="F5180" s="47"/>
      <c r="G5180" s="8">
        <v>19</v>
      </c>
      <c r="H5180" s="8" t="s">
        <v>21</v>
      </c>
      <c r="I5180" s="8" t="s">
        <v>22</v>
      </c>
      <c r="J5180" s="8" t="s">
        <v>22</v>
      </c>
      <c r="K5180" s="8" t="s">
        <v>476</v>
      </c>
      <c r="L5180" s="8" t="s">
        <v>17287</v>
      </c>
      <c r="M5180" s="8" t="s">
        <v>17288</v>
      </c>
      <c r="N5180" s="8" t="s">
        <v>23195</v>
      </c>
      <c r="O5180" s="8">
        <f>13+29/60+30.8/3600</f>
        <v>13.491888888888887</v>
      </c>
      <c r="P5180" s="8" t="s">
        <v>23196</v>
      </c>
      <c r="Q5180" s="8">
        <f>+(11+44/60+47/3600)</f>
        <v>11.746388888888887</v>
      </c>
      <c r="R5180" s="8">
        <v>14.2</v>
      </c>
      <c r="S5180" s="8">
        <v>15.1</v>
      </c>
      <c r="T5180" s="8">
        <v>0.9</v>
      </c>
      <c r="U5180" s="8">
        <v>12.7</v>
      </c>
      <c r="V5180" s="8">
        <v>0.7</v>
      </c>
      <c r="W5180" s="8">
        <v>0.4</v>
      </c>
      <c r="X5180" s="8">
        <v>45</v>
      </c>
      <c r="Y5180" s="8" t="s">
        <v>21</v>
      </c>
      <c r="Z5180" s="8" t="s">
        <v>23197</v>
      </c>
    </row>
    <row r="5181" spans="1:26" x14ac:dyDescent="0.2">
      <c r="A5181" s="8">
        <v>5180</v>
      </c>
      <c r="B5181" s="8" t="s">
        <v>23198</v>
      </c>
      <c r="C5181" s="8" t="s">
        <v>23198</v>
      </c>
      <c r="F5181" s="47" t="s">
        <v>57754</v>
      </c>
      <c r="G5181" s="8">
        <v>15</v>
      </c>
      <c r="H5181" s="8" t="s">
        <v>21</v>
      </c>
      <c r="I5181" s="8" t="s">
        <v>22</v>
      </c>
      <c r="J5181" s="8" t="s">
        <v>22</v>
      </c>
      <c r="K5181" s="8" t="s">
        <v>37</v>
      </c>
      <c r="L5181" s="8" t="s">
        <v>18289</v>
      </c>
      <c r="M5181" s="8" t="s">
        <v>18290</v>
      </c>
      <c r="N5181" s="8" t="s">
        <v>23199</v>
      </c>
      <c r="O5181" s="8">
        <f>13+29/60+26.9/3600</f>
        <v>13.490805555555555</v>
      </c>
      <c r="P5181" s="8" t="s">
        <v>23200</v>
      </c>
      <c r="Q5181" s="8">
        <f>+(16+49/60+33/3600)</f>
        <v>16.825833333333332</v>
      </c>
      <c r="R5181" s="8">
        <v>13</v>
      </c>
      <c r="S5181" s="8">
        <v>14</v>
      </c>
      <c r="T5181" s="8">
        <v>1</v>
      </c>
      <c r="U5181" s="8">
        <v>13.2</v>
      </c>
      <c r="V5181" s="8">
        <v>1.4</v>
      </c>
      <c r="W5181" s="8">
        <v>1</v>
      </c>
      <c r="X5181" s="8">
        <v>25</v>
      </c>
      <c r="Y5181" s="8" t="s">
        <v>23201</v>
      </c>
      <c r="Z5181" s="8" t="s">
        <v>23202</v>
      </c>
    </row>
    <row r="5182" spans="1:26" x14ac:dyDescent="0.2">
      <c r="A5182" s="8">
        <v>5181</v>
      </c>
      <c r="B5182" s="8" t="s">
        <v>23203</v>
      </c>
      <c r="C5182" s="8" t="s">
        <v>23203</v>
      </c>
      <c r="F5182" s="47"/>
      <c r="G5182" s="8">
        <v>16</v>
      </c>
      <c r="H5182" s="8" t="s">
        <v>21</v>
      </c>
      <c r="I5182" s="8" t="s">
        <v>22</v>
      </c>
      <c r="J5182" s="8" t="s">
        <v>22</v>
      </c>
      <c r="K5182" s="8" t="s">
        <v>37</v>
      </c>
      <c r="L5182" s="8" t="s">
        <v>17287</v>
      </c>
      <c r="M5182" s="8" t="s">
        <v>17288</v>
      </c>
      <c r="N5182" s="8" t="s">
        <v>23204</v>
      </c>
      <c r="O5182" s="8">
        <f>13+29/60+41.9/3600</f>
        <v>13.494972222222222</v>
      </c>
      <c r="P5182" s="8" t="s">
        <v>23205</v>
      </c>
      <c r="Q5182" s="8">
        <f>+(13+18/60+16/3600)</f>
        <v>13.304444444444446</v>
      </c>
      <c r="R5182" s="8">
        <v>13.9</v>
      </c>
      <c r="S5182" s="8">
        <v>14.9</v>
      </c>
      <c r="T5182" s="8">
        <v>1</v>
      </c>
      <c r="U5182" s="8">
        <v>13.4</v>
      </c>
      <c r="V5182" s="8">
        <v>0.9</v>
      </c>
      <c r="W5182" s="8">
        <v>0.8</v>
      </c>
      <c r="X5182" s="8">
        <v>54</v>
      </c>
      <c r="Y5182" s="8" t="s">
        <v>170</v>
      </c>
      <c r="Z5182" s="8" t="s">
        <v>171</v>
      </c>
    </row>
    <row r="5183" spans="1:26" x14ac:dyDescent="0.2">
      <c r="A5183" s="8">
        <v>5182</v>
      </c>
      <c r="B5183" s="8" t="s">
        <v>23206</v>
      </c>
      <c r="C5183" s="8" t="s">
        <v>23206</v>
      </c>
      <c r="F5183" s="47"/>
      <c r="G5183" s="8">
        <v>16</v>
      </c>
      <c r="H5183" s="8" t="s">
        <v>21</v>
      </c>
      <c r="I5183" s="8" t="s">
        <v>22</v>
      </c>
      <c r="J5183" s="8" t="s">
        <v>22</v>
      </c>
      <c r="K5183" s="8" t="s">
        <v>85</v>
      </c>
      <c r="L5183" s="8" t="s">
        <v>11765</v>
      </c>
      <c r="M5183" s="8" t="s">
        <v>11766</v>
      </c>
      <c r="N5183" s="8" t="s">
        <v>23207</v>
      </c>
      <c r="O5183" s="8">
        <f>13+30/60+41.6/3600</f>
        <v>13.511555555555555</v>
      </c>
      <c r="P5183" s="8" t="s">
        <v>23208</v>
      </c>
      <c r="Q5183" s="8">
        <f>-(28+9/60+1/3600)</f>
        <v>-28.150277777777777</v>
      </c>
      <c r="R5183" s="8">
        <v>12.4</v>
      </c>
      <c r="S5183" s="8">
        <v>13.3</v>
      </c>
      <c r="T5183" s="8">
        <v>0.9</v>
      </c>
      <c r="U5183" s="8">
        <v>13.2</v>
      </c>
      <c r="V5183" s="8">
        <v>1.9</v>
      </c>
      <c r="W5183" s="8">
        <v>1.3</v>
      </c>
      <c r="X5183" s="8">
        <v>11</v>
      </c>
      <c r="Y5183" s="8" t="s">
        <v>21</v>
      </c>
      <c r="Z5183" s="8" t="s">
        <v>23209</v>
      </c>
    </row>
    <row r="5184" spans="1:26" x14ac:dyDescent="0.2">
      <c r="A5184" s="8">
        <v>5183</v>
      </c>
      <c r="B5184" s="8" t="s">
        <v>23210</v>
      </c>
      <c r="C5184" s="8" t="s">
        <v>23210</v>
      </c>
      <c r="F5184" s="47" t="s">
        <v>57755</v>
      </c>
      <c r="G5184" s="8">
        <v>15</v>
      </c>
      <c r="H5184" s="8" t="s">
        <v>21</v>
      </c>
      <c r="I5184" s="8" t="s">
        <v>22</v>
      </c>
      <c r="J5184" s="8" t="s">
        <v>22</v>
      </c>
      <c r="K5184" s="8" t="s">
        <v>23</v>
      </c>
      <c r="L5184" s="8" t="s">
        <v>17287</v>
      </c>
      <c r="M5184" s="8" t="s">
        <v>17288</v>
      </c>
      <c r="N5184" s="8" t="s">
        <v>23211</v>
      </c>
      <c r="O5184" s="8">
        <f>13+30/60+6.1/3600</f>
        <v>13.501694444444444</v>
      </c>
      <c r="P5184" s="8" t="s">
        <v>23212</v>
      </c>
      <c r="Q5184" s="8">
        <f>-(1+43/60+14/3600)</f>
        <v>-1.7205555555555556</v>
      </c>
      <c r="R5184" s="8">
        <v>12.7</v>
      </c>
      <c r="S5184" s="8">
        <v>13.5</v>
      </c>
      <c r="T5184" s="8">
        <v>0.8</v>
      </c>
      <c r="U5184" s="8">
        <v>13</v>
      </c>
      <c r="V5184" s="8">
        <v>1.9</v>
      </c>
      <c r="W5184" s="8">
        <v>0.8</v>
      </c>
      <c r="X5184" s="8">
        <v>122</v>
      </c>
      <c r="Y5184" s="8" t="s">
        <v>23213</v>
      </c>
      <c r="Z5184" s="8" t="s">
        <v>23214</v>
      </c>
    </row>
    <row r="5185" spans="1:26" x14ac:dyDescent="0.2">
      <c r="A5185" s="8">
        <v>5184</v>
      </c>
      <c r="B5185" s="8" t="s">
        <v>23215</v>
      </c>
      <c r="C5185" s="8" t="s">
        <v>23215</v>
      </c>
      <c r="F5185" s="47" t="s">
        <v>57756</v>
      </c>
      <c r="G5185" s="8">
        <v>15</v>
      </c>
      <c r="H5185" s="8" t="s">
        <v>21</v>
      </c>
      <c r="I5185" s="8" t="s">
        <v>22</v>
      </c>
      <c r="J5185" s="8" t="s">
        <v>22</v>
      </c>
      <c r="K5185" s="8" t="s">
        <v>64</v>
      </c>
      <c r="L5185" s="8" t="s">
        <v>17287</v>
      </c>
      <c r="M5185" s="8" t="s">
        <v>17288</v>
      </c>
      <c r="N5185" s="8" t="s">
        <v>23216</v>
      </c>
      <c r="O5185" s="8">
        <f>13+30/60+11.4/3600</f>
        <v>13.503166666666667</v>
      </c>
      <c r="P5185" s="8" t="s">
        <v>23217</v>
      </c>
      <c r="Q5185" s="8">
        <f>-(1+39/60+49/3600)</f>
        <v>-1.6636111111111109</v>
      </c>
      <c r="R5185" s="8">
        <v>12.8</v>
      </c>
      <c r="S5185" s="8">
        <v>13.5</v>
      </c>
      <c r="T5185" s="8">
        <v>0.7</v>
      </c>
      <c r="U5185" s="8">
        <v>13.6</v>
      </c>
      <c r="V5185" s="8">
        <v>2</v>
      </c>
      <c r="W5185" s="8">
        <v>1.2</v>
      </c>
      <c r="X5185" s="8">
        <v>135</v>
      </c>
      <c r="Y5185" s="8" t="s">
        <v>23218</v>
      </c>
      <c r="Z5185" s="8" t="s">
        <v>23219</v>
      </c>
    </row>
    <row r="5186" spans="1:26" x14ac:dyDescent="0.2">
      <c r="A5186" s="8">
        <v>5185</v>
      </c>
      <c r="B5186" s="8" t="s">
        <v>23220</v>
      </c>
      <c r="C5186" s="8" t="s">
        <v>23220</v>
      </c>
      <c r="F5186" s="47" t="s">
        <v>57757</v>
      </c>
      <c r="G5186" s="8">
        <v>15</v>
      </c>
      <c r="H5186" s="8" t="s">
        <v>21</v>
      </c>
      <c r="I5186" s="8" t="s">
        <v>22</v>
      </c>
      <c r="J5186" s="8" t="s">
        <v>22</v>
      </c>
      <c r="K5186" s="8" t="s">
        <v>23</v>
      </c>
      <c r="L5186" s="8" t="s">
        <v>17287</v>
      </c>
      <c r="M5186" s="8" t="s">
        <v>17288</v>
      </c>
      <c r="N5186" s="8" t="s">
        <v>23221</v>
      </c>
      <c r="O5186" s="8">
        <f>13+30/60+2.2/3600</f>
        <v>13.500611111111111</v>
      </c>
      <c r="P5186" s="8" t="s">
        <v>23222</v>
      </c>
      <c r="Q5186" s="8">
        <f>+(13+24/60+58/3600)</f>
        <v>13.416111111111112</v>
      </c>
      <c r="R5186" s="8">
        <v>13.6</v>
      </c>
      <c r="S5186" s="8">
        <v>14.4</v>
      </c>
      <c r="T5186" s="8">
        <v>0.8</v>
      </c>
      <c r="U5186" s="8">
        <v>13.7</v>
      </c>
      <c r="V5186" s="8">
        <v>1.8</v>
      </c>
      <c r="W5186" s="8">
        <v>0.7</v>
      </c>
      <c r="X5186" s="8">
        <v>58</v>
      </c>
      <c r="Y5186" s="8" t="s">
        <v>1794</v>
      </c>
      <c r="Z5186" s="8" t="s">
        <v>1795</v>
      </c>
    </row>
    <row r="5187" spans="1:26" x14ac:dyDescent="0.2">
      <c r="A5187" s="8">
        <v>5186</v>
      </c>
      <c r="B5187" s="8" t="s">
        <v>23223</v>
      </c>
      <c r="C5187" s="8" t="s">
        <v>23223</v>
      </c>
      <c r="F5187" s="47"/>
      <c r="G5187" s="8">
        <v>19</v>
      </c>
      <c r="H5187" s="8" t="s">
        <v>21</v>
      </c>
      <c r="I5187" s="8" t="s">
        <v>22</v>
      </c>
      <c r="J5187" s="8" t="s">
        <v>22</v>
      </c>
      <c r="K5187" s="8" t="s">
        <v>449</v>
      </c>
      <c r="L5187" s="8" t="s">
        <v>17287</v>
      </c>
      <c r="M5187" s="8" t="s">
        <v>17288</v>
      </c>
      <c r="N5187" s="8" t="s">
        <v>23224</v>
      </c>
      <c r="O5187" s="8">
        <f>13+30/60+3.9/3600</f>
        <v>13.501083333333334</v>
      </c>
      <c r="P5187" s="8" t="s">
        <v>23225</v>
      </c>
      <c r="Q5187" s="8">
        <f>+(12+10/60+31/3600)</f>
        <v>12.175277777777778</v>
      </c>
      <c r="R5187" s="8">
        <v>14.8</v>
      </c>
      <c r="S5187" s="8">
        <v>15.6</v>
      </c>
      <c r="T5187" s="8">
        <v>0.8</v>
      </c>
      <c r="U5187" s="8">
        <v>12.3</v>
      </c>
      <c r="V5187" s="8">
        <v>0.4</v>
      </c>
      <c r="W5187" s="8">
        <v>0.3</v>
      </c>
      <c r="X5187" s="8">
        <v>30</v>
      </c>
      <c r="Y5187" s="8" t="s">
        <v>1694</v>
      </c>
      <c r="Z5187" s="8" t="s">
        <v>1695</v>
      </c>
    </row>
    <row r="5188" spans="1:26" x14ac:dyDescent="0.2">
      <c r="A5188" s="8">
        <v>5187</v>
      </c>
      <c r="B5188" s="8" t="s">
        <v>23226</v>
      </c>
      <c r="C5188" s="8" t="s">
        <v>23226</v>
      </c>
      <c r="F5188" s="47" t="s">
        <v>57758</v>
      </c>
      <c r="G5188" s="8">
        <v>15</v>
      </c>
      <c r="H5188" s="8" t="s">
        <v>21</v>
      </c>
      <c r="I5188" s="8" t="s">
        <v>22</v>
      </c>
      <c r="J5188" s="8" t="s">
        <v>22</v>
      </c>
      <c r="K5188" s="8" t="s">
        <v>23</v>
      </c>
      <c r="L5188" s="8" t="s">
        <v>18681</v>
      </c>
      <c r="M5188" s="8" t="s">
        <v>18682</v>
      </c>
      <c r="N5188" s="8" t="s">
        <v>23227</v>
      </c>
      <c r="O5188" s="8">
        <f>13+29/60+48.2/3600</f>
        <v>13.496722222222221</v>
      </c>
      <c r="P5188" s="8" t="s">
        <v>23228</v>
      </c>
      <c r="Q5188" s="8">
        <f>+(31+7/60+48/3600)</f>
        <v>31.13</v>
      </c>
      <c r="R5188" s="8">
        <v>13.4</v>
      </c>
      <c r="S5188" s="8">
        <v>14.2</v>
      </c>
      <c r="T5188" s="8">
        <v>0.8</v>
      </c>
      <c r="U5188" s="8">
        <v>13</v>
      </c>
      <c r="V5188" s="8">
        <v>1.3</v>
      </c>
      <c r="W5188" s="8">
        <v>0.8</v>
      </c>
      <c r="X5188" s="8">
        <v>48</v>
      </c>
      <c r="Y5188" s="8" t="s">
        <v>6395</v>
      </c>
      <c r="Z5188" s="8" t="s">
        <v>6396</v>
      </c>
    </row>
    <row r="5189" spans="1:26" x14ac:dyDescent="0.2">
      <c r="A5189" s="8">
        <v>5188</v>
      </c>
      <c r="B5189" s="8" t="s">
        <v>23229</v>
      </c>
      <c r="C5189" s="8" t="s">
        <v>23229</v>
      </c>
      <c r="F5189" s="47"/>
      <c r="G5189" s="8">
        <v>13</v>
      </c>
      <c r="H5189" s="8" t="s">
        <v>21</v>
      </c>
      <c r="I5189" s="8" t="s">
        <v>22</v>
      </c>
      <c r="J5189" s="8" t="s">
        <v>22</v>
      </c>
      <c r="K5189" s="8" t="s">
        <v>3407</v>
      </c>
      <c r="L5189" s="8" t="s">
        <v>16195</v>
      </c>
      <c r="M5189" s="8" t="s">
        <v>16196</v>
      </c>
      <c r="N5189" s="8" t="s">
        <v>23230</v>
      </c>
      <c r="O5189" s="8">
        <f>13+31/60+27.9/3600</f>
        <v>13.524416666666667</v>
      </c>
      <c r="P5189" s="8" t="s">
        <v>23231</v>
      </c>
      <c r="Q5189" s="8">
        <f>-(34+47/60+42/3600)</f>
        <v>-34.794999999999995</v>
      </c>
      <c r="R5189" s="8">
        <v>12.1</v>
      </c>
      <c r="S5189" s="8">
        <v>13</v>
      </c>
      <c r="T5189" s="8">
        <v>0.9</v>
      </c>
      <c r="U5189" s="8">
        <v>13.3</v>
      </c>
      <c r="V5189" s="8">
        <v>3</v>
      </c>
      <c r="W5189" s="8">
        <v>1.1000000000000001</v>
      </c>
      <c r="X5189" s="8">
        <v>104</v>
      </c>
      <c r="Y5189" s="8" t="s">
        <v>23232</v>
      </c>
      <c r="Z5189" s="8" t="s">
        <v>23233</v>
      </c>
    </row>
    <row r="5190" spans="1:26" x14ac:dyDescent="0.2">
      <c r="A5190" s="8">
        <v>5189</v>
      </c>
      <c r="B5190" s="8" t="s">
        <v>23234</v>
      </c>
      <c r="C5190" s="8" t="s">
        <v>23234</v>
      </c>
      <c r="F5190" s="47"/>
      <c r="G5190" s="8">
        <v>3</v>
      </c>
      <c r="H5190" s="8" t="s">
        <v>23235</v>
      </c>
      <c r="I5190" s="8" t="s">
        <v>241</v>
      </c>
      <c r="J5190" s="8" t="s">
        <v>241</v>
      </c>
      <c r="K5190" s="8" t="s">
        <v>241</v>
      </c>
      <c r="L5190" s="8" t="s">
        <v>18521</v>
      </c>
      <c r="M5190" s="8" t="s">
        <v>18522</v>
      </c>
      <c r="N5190" s="8" t="s">
        <v>23236</v>
      </c>
      <c r="O5190" s="8">
        <f>13+33/60+32.9/3600</f>
        <v>13.55913888888889</v>
      </c>
      <c r="P5190" s="8" t="s">
        <v>23237</v>
      </c>
      <c r="Q5190" s="8">
        <f>-(65+58/60+25/3600)</f>
        <v>-65.973611111111111</v>
      </c>
      <c r="R5190" s="8">
        <v>99</v>
      </c>
      <c r="S5190" s="8">
        <v>10.3</v>
      </c>
      <c r="T5190" s="8">
        <v>99</v>
      </c>
      <c r="U5190" s="8">
        <v>99</v>
      </c>
      <c r="V5190" s="8">
        <v>2.33</v>
      </c>
      <c r="Y5190" s="8" t="s">
        <v>21</v>
      </c>
      <c r="Z5190" s="8" t="s">
        <v>23238</v>
      </c>
    </row>
    <row r="5191" spans="1:26" x14ac:dyDescent="0.2">
      <c r="A5191" s="8">
        <v>5190</v>
      </c>
      <c r="B5191" s="8" t="s">
        <v>23239</v>
      </c>
      <c r="C5191" s="8" t="s">
        <v>23239</v>
      </c>
      <c r="F5191" s="47"/>
      <c r="G5191" s="8">
        <v>16</v>
      </c>
      <c r="H5191" s="8" t="s">
        <v>21</v>
      </c>
      <c r="I5191" s="8" t="s">
        <v>22</v>
      </c>
      <c r="J5191" s="8" t="s">
        <v>22</v>
      </c>
      <c r="K5191" s="8" t="s">
        <v>218</v>
      </c>
      <c r="L5191" s="8" t="s">
        <v>18289</v>
      </c>
      <c r="M5191" s="8" t="s">
        <v>18290</v>
      </c>
      <c r="N5191" s="8" t="s">
        <v>23240</v>
      </c>
      <c r="O5191" s="8">
        <f>13+30/60+38.4/3600</f>
        <v>13.510666666666667</v>
      </c>
      <c r="P5191" s="8" t="s">
        <v>23241</v>
      </c>
      <c r="Q5191" s="8">
        <f>+(18+8/60+4/3600)</f>
        <v>18.134444444444444</v>
      </c>
      <c r="R5191" s="8">
        <v>13.2</v>
      </c>
      <c r="S5191" s="8">
        <v>14</v>
      </c>
      <c r="T5191" s="8">
        <v>0.8</v>
      </c>
      <c r="U5191" s="8">
        <v>12.8</v>
      </c>
      <c r="V5191" s="8">
        <v>1</v>
      </c>
      <c r="W5191" s="8">
        <v>0.8</v>
      </c>
      <c r="X5191" s="8">
        <v>159</v>
      </c>
      <c r="Y5191" s="8" t="s">
        <v>21</v>
      </c>
      <c r="Z5191" s="8" t="s">
        <v>23242</v>
      </c>
    </row>
    <row r="5192" spans="1:26" x14ac:dyDescent="0.2">
      <c r="A5192" s="8">
        <v>5191</v>
      </c>
      <c r="B5192" s="8" t="s">
        <v>23243</v>
      </c>
      <c r="C5192" s="8" t="s">
        <v>23243</v>
      </c>
      <c r="F5192" s="47"/>
      <c r="G5192" s="8">
        <v>19</v>
      </c>
      <c r="H5192" s="8" t="s">
        <v>21</v>
      </c>
      <c r="I5192" s="8" t="s">
        <v>22</v>
      </c>
      <c r="J5192" s="8" t="s">
        <v>22</v>
      </c>
      <c r="K5192" s="8" t="s">
        <v>23</v>
      </c>
      <c r="L5192" s="8" t="s">
        <v>17287</v>
      </c>
      <c r="M5192" s="8" t="s">
        <v>17288</v>
      </c>
      <c r="N5192" s="8" t="s">
        <v>23244</v>
      </c>
      <c r="O5192" s="8">
        <f>13+30/60+47.3/3600</f>
        <v>13.513138888888889</v>
      </c>
      <c r="P5192" s="8" t="s">
        <v>23245</v>
      </c>
      <c r="Q5192" s="8">
        <f>+(11+12/60+5/3600)</f>
        <v>11.201388888888888</v>
      </c>
      <c r="R5192" s="8">
        <v>14.1</v>
      </c>
      <c r="S5192" s="8">
        <v>14.9</v>
      </c>
      <c r="T5192" s="8">
        <v>0.8</v>
      </c>
      <c r="U5192" s="8">
        <v>13.4</v>
      </c>
      <c r="V5192" s="8">
        <v>0.9</v>
      </c>
      <c r="W5192" s="8">
        <v>0.7</v>
      </c>
      <c r="X5192" s="8">
        <v>84</v>
      </c>
      <c r="Y5192" s="8" t="s">
        <v>21</v>
      </c>
      <c r="Z5192" s="8" t="s">
        <v>23246</v>
      </c>
    </row>
    <row r="5193" spans="1:26" x14ac:dyDescent="0.2">
      <c r="A5193" s="8">
        <v>5192</v>
      </c>
      <c r="B5193" s="8" t="s">
        <v>23247</v>
      </c>
      <c r="C5193" s="8" t="s">
        <v>23247</v>
      </c>
      <c r="F5193" s="47"/>
      <c r="G5193" s="8">
        <v>18</v>
      </c>
      <c r="H5193" s="8" t="s">
        <v>21</v>
      </c>
      <c r="I5193" s="8" t="s">
        <v>22</v>
      </c>
      <c r="J5193" s="8" t="s">
        <v>22</v>
      </c>
      <c r="K5193" s="8" t="s">
        <v>91</v>
      </c>
      <c r="L5193" s="8" t="s">
        <v>17287</v>
      </c>
      <c r="M5193" s="8" t="s">
        <v>17288</v>
      </c>
      <c r="N5193" s="8" t="s">
        <v>23248</v>
      </c>
      <c r="O5193" s="8">
        <f>13+30/60+51.7/3600</f>
        <v>13.514361111111111</v>
      </c>
      <c r="P5193" s="8" t="s">
        <v>23249</v>
      </c>
      <c r="Q5193" s="8">
        <f>-(1+46/60+44/3600)</f>
        <v>-1.7788888888888887</v>
      </c>
      <c r="R5193" s="8">
        <v>14.1</v>
      </c>
      <c r="S5193" s="8">
        <v>15</v>
      </c>
      <c r="T5193" s="8">
        <v>0.9</v>
      </c>
      <c r="U5193" s="8">
        <v>12.1</v>
      </c>
      <c r="V5193" s="8">
        <v>0.6</v>
      </c>
      <c r="W5193" s="8">
        <v>0.3</v>
      </c>
      <c r="X5193" s="8">
        <v>26</v>
      </c>
      <c r="Y5193" s="8" t="s">
        <v>297</v>
      </c>
      <c r="Z5193" s="8" t="s">
        <v>298</v>
      </c>
    </row>
    <row r="5194" spans="1:26" x14ac:dyDescent="0.2">
      <c r="A5194" s="8">
        <v>5193</v>
      </c>
      <c r="B5194" s="8" t="s">
        <v>23250</v>
      </c>
      <c r="C5194" s="8" t="s">
        <v>23250</v>
      </c>
      <c r="F5194" s="47"/>
      <c r="G5194" s="8">
        <v>13</v>
      </c>
      <c r="H5194" s="8" t="s">
        <v>21</v>
      </c>
      <c r="I5194" s="8" t="s">
        <v>22</v>
      </c>
      <c r="J5194" s="8" t="s">
        <v>22</v>
      </c>
      <c r="K5194" s="8" t="s">
        <v>460</v>
      </c>
      <c r="L5194" s="8" t="s">
        <v>16195</v>
      </c>
      <c r="M5194" s="8" t="s">
        <v>16196</v>
      </c>
      <c r="N5194" s="8" t="s">
        <v>23251</v>
      </c>
      <c r="O5194" s="8">
        <f>13+31/60+53.5/3600</f>
        <v>13.531527777777779</v>
      </c>
      <c r="P5194" s="8" t="s">
        <v>23252</v>
      </c>
      <c r="Q5194" s="8">
        <f>-(33+14/60+5/3600)</f>
        <v>-33.234722222222224</v>
      </c>
      <c r="R5194" s="8">
        <v>11.6</v>
      </c>
      <c r="S5194" s="8">
        <v>12.5</v>
      </c>
      <c r="T5194" s="8">
        <v>0.9</v>
      </c>
      <c r="U5194" s="8">
        <v>12.8</v>
      </c>
      <c r="V5194" s="8">
        <v>1.5</v>
      </c>
      <c r="W5194" s="8">
        <v>1.5</v>
      </c>
      <c r="Y5194" s="8" t="s">
        <v>23253</v>
      </c>
      <c r="Z5194" s="8" t="s">
        <v>23254</v>
      </c>
    </row>
    <row r="5195" spans="1:26" x14ac:dyDescent="0.2">
      <c r="A5195" s="8">
        <v>5194</v>
      </c>
      <c r="B5195" s="8" t="s">
        <v>23255</v>
      </c>
      <c r="C5195" s="8" t="s">
        <v>55920</v>
      </c>
      <c r="F5195" s="47"/>
      <c r="G5195" s="8">
        <v>1</v>
      </c>
      <c r="H5195" s="8" t="s">
        <v>23256</v>
      </c>
      <c r="I5195" s="8" t="s">
        <v>22</v>
      </c>
      <c r="J5195" s="8" t="s">
        <v>22</v>
      </c>
      <c r="K5195" s="8" t="s">
        <v>396</v>
      </c>
      <c r="L5195" s="8" t="s">
        <v>18681</v>
      </c>
      <c r="M5195" s="8" t="s">
        <v>18682</v>
      </c>
      <c r="N5195" s="8" t="s">
        <v>23257</v>
      </c>
      <c r="O5195" s="8">
        <f>13+29/60+52.6/3600</f>
        <v>13.497944444444444</v>
      </c>
      <c r="P5195" s="8" t="s">
        <v>23258</v>
      </c>
      <c r="Q5195" s="8">
        <f>+(47+11/60+44/3600)</f>
        <v>47.195555555555551</v>
      </c>
      <c r="R5195" s="8">
        <v>8.4</v>
      </c>
      <c r="S5195" s="8">
        <v>9</v>
      </c>
      <c r="T5195" s="8">
        <v>0.6</v>
      </c>
      <c r="U5195" s="8">
        <v>12.9</v>
      </c>
      <c r="V5195" s="8">
        <v>11.2</v>
      </c>
      <c r="W5195" s="8">
        <v>6.9</v>
      </c>
      <c r="X5195" s="8">
        <v>7</v>
      </c>
      <c r="Y5195" s="8" t="s">
        <v>23135</v>
      </c>
      <c r="Z5195" s="8" t="s">
        <v>23259</v>
      </c>
    </row>
    <row r="5196" spans="1:26" x14ac:dyDescent="0.2">
      <c r="A5196" s="8">
        <v>5195</v>
      </c>
      <c r="B5196" s="8" t="s">
        <v>23260</v>
      </c>
      <c r="C5196" s="8" t="s">
        <v>23260</v>
      </c>
      <c r="F5196" s="47" t="s">
        <v>57759</v>
      </c>
      <c r="G5196" s="8">
        <v>5</v>
      </c>
      <c r="H5196" s="8" t="s">
        <v>23261</v>
      </c>
      <c r="I5196" s="8" t="s">
        <v>22</v>
      </c>
      <c r="J5196" s="8" t="s">
        <v>22</v>
      </c>
      <c r="K5196" s="8" t="s">
        <v>435</v>
      </c>
      <c r="L5196" s="8" t="s">
        <v>18681</v>
      </c>
      <c r="M5196" s="8" t="s">
        <v>18682</v>
      </c>
      <c r="N5196" s="8" t="s">
        <v>23262</v>
      </c>
      <c r="O5196" s="8">
        <f>13+29/60+59.2/3600</f>
        <v>13.499777777777776</v>
      </c>
      <c r="P5196" s="8" t="s">
        <v>23263</v>
      </c>
      <c r="Q5196" s="8">
        <f>+(47+16/60+3/3600)</f>
        <v>47.267499999999998</v>
      </c>
      <c r="R5196" s="8">
        <v>9.6</v>
      </c>
      <c r="S5196" s="8">
        <v>10.5</v>
      </c>
      <c r="T5196" s="8">
        <v>0.9</v>
      </c>
      <c r="U5196" s="8">
        <v>13</v>
      </c>
      <c r="V5196" s="8">
        <v>5.9</v>
      </c>
      <c r="W5196" s="8">
        <v>4.5999999999999996</v>
      </c>
      <c r="X5196" s="8">
        <v>79</v>
      </c>
      <c r="Y5196" s="8" t="s">
        <v>21</v>
      </c>
      <c r="Z5196" s="8" t="s">
        <v>23264</v>
      </c>
    </row>
    <row r="5197" spans="1:26" x14ac:dyDescent="0.2">
      <c r="A5197" s="8">
        <v>5196</v>
      </c>
      <c r="B5197" s="8" t="s">
        <v>23265</v>
      </c>
      <c r="C5197" s="8" t="s">
        <v>23265</v>
      </c>
      <c r="F5197" s="47"/>
      <c r="G5197" s="8">
        <v>18</v>
      </c>
      <c r="H5197" s="8" t="s">
        <v>21</v>
      </c>
      <c r="I5197" s="8" t="s">
        <v>22</v>
      </c>
      <c r="J5197" s="8" t="s">
        <v>22</v>
      </c>
      <c r="K5197" s="8" t="s">
        <v>58</v>
      </c>
      <c r="L5197" s="8" t="s">
        <v>17287</v>
      </c>
      <c r="M5197" s="8" t="s">
        <v>17288</v>
      </c>
      <c r="N5197" s="8" t="s">
        <v>23266</v>
      </c>
      <c r="O5197" s="8">
        <f>13+31/60+19.6/3600</f>
        <v>13.522111111111112</v>
      </c>
      <c r="P5197" s="8" t="s">
        <v>23267</v>
      </c>
      <c r="Q5197" s="8">
        <f>-(1+36/60+52/3600)</f>
        <v>-1.6144444444444446</v>
      </c>
      <c r="R5197" s="8">
        <v>14.2</v>
      </c>
      <c r="S5197" s="8">
        <v>15.2</v>
      </c>
      <c r="T5197" s="8">
        <v>1</v>
      </c>
      <c r="U5197" s="8">
        <v>13.6</v>
      </c>
      <c r="V5197" s="8">
        <v>0.8</v>
      </c>
      <c r="W5197" s="8">
        <v>0.7</v>
      </c>
      <c r="X5197" s="8">
        <v>97</v>
      </c>
      <c r="Y5197" s="8" t="s">
        <v>297</v>
      </c>
      <c r="Z5197" s="8" t="s">
        <v>298</v>
      </c>
    </row>
    <row r="5198" spans="1:26" x14ac:dyDescent="0.2">
      <c r="A5198" s="8">
        <v>5197</v>
      </c>
      <c r="B5198" s="8" t="s">
        <v>23268</v>
      </c>
      <c r="C5198" s="8" t="s">
        <v>23268</v>
      </c>
      <c r="F5198" s="47"/>
      <c r="G5198" s="8">
        <v>18</v>
      </c>
      <c r="H5198" s="8" t="s">
        <v>21</v>
      </c>
      <c r="I5198" s="8" t="s">
        <v>22</v>
      </c>
      <c r="J5198" s="8" t="s">
        <v>22</v>
      </c>
      <c r="K5198" s="8" t="s">
        <v>632</v>
      </c>
      <c r="L5198" s="8" t="s">
        <v>17287</v>
      </c>
      <c r="M5198" s="8" t="s">
        <v>17288</v>
      </c>
      <c r="N5198" s="8" t="s">
        <v>23269</v>
      </c>
      <c r="O5198" s="8">
        <f>13+31/60+25/3600</f>
        <v>13.523611111111112</v>
      </c>
      <c r="P5198" s="8" t="s">
        <v>23270</v>
      </c>
      <c r="Q5198" s="8">
        <f>-(1+41/60+33/3600)</f>
        <v>-1.6925000000000001</v>
      </c>
      <c r="R5198" s="8">
        <v>15.1</v>
      </c>
      <c r="S5198" s="8">
        <v>16</v>
      </c>
      <c r="T5198" s="8">
        <v>0.9</v>
      </c>
      <c r="U5198" s="8">
        <v>13.1</v>
      </c>
      <c r="V5198" s="8">
        <v>0.6</v>
      </c>
      <c r="W5198" s="8">
        <v>0.3</v>
      </c>
      <c r="X5198" s="8">
        <v>150</v>
      </c>
      <c r="Y5198" s="8" t="s">
        <v>297</v>
      </c>
      <c r="Z5198" s="8" t="s">
        <v>298</v>
      </c>
    </row>
    <row r="5199" spans="1:26" x14ac:dyDescent="0.2">
      <c r="A5199" s="8">
        <v>5198</v>
      </c>
      <c r="B5199" s="8" t="s">
        <v>23271</v>
      </c>
      <c r="C5199" s="8" t="s">
        <v>23271</v>
      </c>
      <c r="F5199" s="47" t="s">
        <v>57760</v>
      </c>
      <c r="G5199" s="8">
        <v>12</v>
      </c>
      <c r="H5199" s="8" t="s">
        <v>21</v>
      </c>
      <c r="I5199" s="8" t="s">
        <v>22</v>
      </c>
      <c r="J5199" s="8" t="s">
        <v>22</v>
      </c>
      <c r="K5199" s="8" t="s">
        <v>183</v>
      </c>
      <c r="L5199" s="8" t="s">
        <v>18681</v>
      </c>
      <c r="M5199" s="8" t="s">
        <v>18682</v>
      </c>
      <c r="N5199" s="8" t="s">
        <v>23216</v>
      </c>
      <c r="O5199" s="8">
        <f>13+30/60+11.4/3600</f>
        <v>13.503166666666667</v>
      </c>
      <c r="P5199" s="8" t="s">
        <v>23272</v>
      </c>
      <c r="Q5199" s="8">
        <f>+(46+40/60+15/3600)</f>
        <v>46.670833333333334</v>
      </c>
      <c r="R5199" s="8">
        <v>11.8</v>
      </c>
      <c r="S5199" s="8">
        <v>12.7</v>
      </c>
      <c r="T5199" s="8">
        <v>0.9</v>
      </c>
      <c r="U5199" s="8">
        <v>13.2</v>
      </c>
      <c r="V5199" s="8">
        <v>2</v>
      </c>
      <c r="W5199" s="8">
        <v>1.7</v>
      </c>
      <c r="X5199" s="8">
        <v>0</v>
      </c>
      <c r="Y5199" s="8" t="s">
        <v>21533</v>
      </c>
      <c r="Z5199" s="8" t="s">
        <v>21396</v>
      </c>
    </row>
    <row r="5200" spans="1:26" x14ac:dyDescent="0.2">
      <c r="A5200" s="8">
        <v>5199</v>
      </c>
      <c r="B5200" s="8" t="s">
        <v>23273</v>
      </c>
      <c r="C5200" s="8" t="s">
        <v>23273</v>
      </c>
      <c r="F5200" s="47" t="s">
        <v>57761</v>
      </c>
      <c r="G5200" s="8">
        <v>15</v>
      </c>
      <c r="H5200" s="8" t="s">
        <v>21</v>
      </c>
      <c r="I5200" s="8" t="s">
        <v>22</v>
      </c>
      <c r="J5200" s="8" t="s">
        <v>22</v>
      </c>
      <c r="K5200" s="8" t="s">
        <v>37</v>
      </c>
      <c r="L5200" s="8" t="s">
        <v>18681</v>
      </c>
      <c r="M5200" s="8" t="s">
        <v>18682</v>
      </c>
      <c r="N5200" s="8" t="s">
        <v>23274</v>
      </c>
      <c r="O5200" s="8">
        <f>13+30/60+42.7/3600</f>
        <v>13.511861111111111</v>
      </c>
      <c r="P5200" s="8" t="s">
        <v>23275</v>
      </c>
      <c r="Q5200" s="8">
        <f>+(34+49/60+52/3600)</f>
        <v>34.831111111111113</v>
      </c>
      <c r="R5200" s="8">
        <v>13.6</v>
      </c>
      <c r="S5200" s="8">
        <v>14.6</v>
      </c>
      <c r="T5200" s="8">
        <v>1</v>
      </c>
      <c r="U5200" s="8">
        <v>13.3</v>
      </c>
      <c r="V5200" s="8">
        <v>0.9</v>
      </c>
      <c r="W5200" s="8">
        <v>0.9</v>
      </c>
      <c r="Y5200" s="8" t="s">
        <v>2500</v>
      </c>
      <c r="Z5200" s="8" t="s">
        <v>2501</v>
      </c>
    </row>
    <row r="5201" spans="1:26" x14ac:dyDescent="0.2">
      <c r="A5201" s="8">
        <v>5200</v>
      </c>
      <c r="B5201" s="8" t="s">
        <v>23276</v>
      </c>
      <c r="C5201" s="8" t="s">
        <v>23276</v>
      </c>
      <c r="F5201" s="47"/>
      <c r="G5201" s="8">
        <v>18</v>
      </c>
      <c r="H5201" s="8" t="s">
        <v>21</v>
      </c>
      <c r="I5201" s="8" t="s">
        <v>72</v>
      </c>
      <c r="J5201" s="8" t="s">
        <v>72</v>
      </c>
      <c r="K5201" s="8" t="s">
        <v>73</v>
      </c>
      <c r="L5201" s="8" t="s">
        <v>17287</v>
      </c>
      <c r="M5201" s="8" t="s">
        <v>17288</v>
      </c>
      <c r="N5201" s="8" t="s">
        <v>23277</v>
      </c>
      <c r="O5201" s="8">
        <f>13+31/60+42.4/3600</f>
        <v>13.528444444444446</v>
      </c>
      <c r="P5201" s="8" t="s">
        <v>23278</v>
      </c>
      <c r="Q5201" s="8">
        <f>-(0+1/60+47/3600)</f>
        <v>-2.9722222222222223E-2</v>
      </c>
      <c r="R5201" s="8">
        <v>99</v>
      </c>
      <c r="S5201" s="8">
        <v>99</v>
      </c>
      <c r="T5201" s="8">
        <v>99</v>
      </c>
      <c r="U5201" s="8">
        <v>99</v>
      </c>
      <c r="Y5201" s="8" t="s">
        <v>21</v>
      </c>
      <c r="Z5201" s="8" t="s">
        <v>20705</v>
      </c>
    </row>
    <row r="5202" spans="1:26" x14ac:dyDescent="0.2">
      <c r="A5202" s="8">
        <v>5201</v>
      </c>
      <c r="B5202" s="8" t="s">
        <v>23279</v>
      </c>
      <c r="C5202" s="8" t="s">
        <v>23279</v>
      </c>
      <c r="F5202" s="47" t="s">
        <v>57762</v>
      </c>
      <c r="G5202" s="8">
        <v>15</v>
      </c>
      <c r="H5202" s="8" t="s">
        <v>21</v>
      </c>
      <c r="I5202" s="8" t="s">
        <v>22</v>
      </c>
      <c r="J5202" s="8" t="s">
        <v>22</v>
      </c>
      <c r="K5202" s="8" t="s">
        <v>476</v>
      </c>
      <c r="L5202" s="8" t="s">
        <v>12015</v>
      </c>
      <c r="M5202" s="8" t="s">
        <v>12016</v>
      </c>
      <c r="N5202" s="8" t="s">
        <v>23280</v>
      </c>
      <c r="O5202" s="8">
        <f>13+29/60+16.2/3600</f>
        <v>13.487833333333333</v>
      </c>
      <c r="P5202" s="8" t="s">
        <v>23281</v>
      </c>
      <c r="Q5202" s="8">
        <f>+(53+4/60+54/3600)</f>
        <v>53.081666666666671</v>
      </c>
      <c r="R5202" s="8">
        <v>13.2</v>
      </c>
      <c r="S5202" s="8">
        <v>14.1</v>
      </c>
      <c r="T5202" s="8">
        <v>0.9</v>
      </c>
      <c r="U5202" s="8">
        <v>13.7</v>
      </c>
      <c r="V5202" s="8">
        <v>1.7</v>
      </c>
      <c r="W5202" s="8">
        <v>1.1000000000000001</v>
      </c>
      <c r="X5202" s="8">
        <v>145</v>
      </c>
      <c r="Y5202" s="8" t="s">
        <v>23282</v>
      </c>
      <c r="Z5202" s="8" t="s">
        <v>23283</v>
      </c>
    </row>
    <row r="5203" spans="1:26" x14ac:dyDescent="0.2">
      <c r="A5203" s="8">
        <v>5202</v>
      </c>
      <c r="B5203" s="8" t="s">
        <v>23284</v>
      </c>
      <c r="C5203" s="8" t="s">
        <v>23284</v>
      </c>
      <c r="F5203" s="47"/>
      <c r="G5203" s="8">
        <v>18</v>
      </c>
      <c r="H5203" s="8" t="s">
        <v>21</v>
      </c>
      <c r="I5203" s="8" t="s">
        <v>22</v>
      </c>
      <c r="J5203" s="8" t="s">
        <v>22</v>
      </c>
      <c r="K5203" s="8" t="s">
        <v>23</v>
      </c>
      <c r="L5203" s="8" t="s">
        <v>17287</v>
      </c>
      <c r="M5203" s="8" t="s">
        <v>17288</v>
      </c>
      <c r="N5203" s="8" t="s">
        <v>23285</v>
      </c>
      <c r="O5203" s="8">
        <f>13+32/60+0.5/3600</f>
        <v>13.533472222222223</v>
      </c>
      <c r="P5203" s="8" t="s">
        <v>23286</v>
      </c>
      <c r="Q5203" s="8">
        <f>-(1+41/60+55/3600)</f>
        <v>-1.6986111111111111</v>
      </c>
      <c r="R5203" s="8">
        <v>14.5</v>
      </c>
      <c r="S5203" s="8">
        <v>15.3</v>
      </c>
      <c r="T5203" s="8">
        <v>0.8</v>
      </c>
      <c r="U5203" s="8">
        <v>13.2</v>
      </c>
      <c r="V5203" s="8">
        <v>1.3</v>
      </c>
      <c r="W5203" s="8">
        <v>0.3</v>
      </c>
      <c r="X5203" s="8">
        <v>0</v>
      </c>
      <c r="Y5203" s="8" t="s">
        <v>297</v>
      </c>
      <c r="Z5203" s="8" t="s">
        <v>298</v>
      </c>
    </row>
    <row r="5204" spans="1:26" x14ac:dyDescent="0.2">
      <c r="A5204" s="8">
        <v>5203</v>
      </c>
      <c r="B5204" s="8" t="s">
        <v>23287</v>
      </c>
      <c r="C5204" s="8" t="s">
        <v>23287</v>
      </c>
      <c r="F5204" s="47" t="s">
        <v>57763</v>
      </c>
      <c r="G5204" s="8">
        <v>15</v>
      </c>
      <c r="H5204" s="8" t="s">
        <v>21</v>
      </c>
      <c r="I5204" s="8" t="s">
        <v>22</v>
      </c>
      <c r="J5204" s="8" t="s">
        <v>22</v>
      </c>
      <c r="K5204" s="8" t="s">
        <v>58</v>
      </c>
      <c r="L5204" s="8" t="s">
        <v>17287</v>
      </c>
      <c r="M5204" s="8" t="s">
        <v>17288</v>
      </c>
      <c r="N5204" s="8" t="s">
        <v>23288</v>
      </c>
      <c r="O5204" s="8">
        <f>13+32/60+13.4/3600</f>
        <v>13.537055555555556</v>
      </c>
      <c r="P5204" s="8" t="s">
        <v>23289</v>
      </c>
      <c r="Q5204" s="8">
        <f>-(8+47/60+11/3600)</f>
        <v>-8.7863888888888884</v>
      </c>
      <c r="R5204" s="8">
        <v>12.6</v>
      </c>
      <c r="S5204" s="8">
        <v>13.6</v>
      </c>
      <c r="T5204" s="8">
        <v>1</v>
      </c>
      <c r="U5204" s="8">
        <v>13.4</v>
      </c>
      <c r="V5204" s="8">
        <v>1.8</v>
      </c>
      <c r="W5204" s="8">
        <v>1.1000000000000001</v>
      </c>
      <c r="X5204" s="8">
        <v>85</v>
      </c>
      <c r="Y5204" s="8" t="s">
        <v>23290</v>
      </c>
      <c r="Z5204" s="8" t="s">
        <v>23291</v>
      </c>
    </row>
    <row r="5205" spans="1:26" x14ac:dyDescent="0.2">
      <c r="A5205" s="8">
        <v>5204</v>
      </c>
      <c r="B5205" s="8" t="s">
        <v>23292</v>
      </c>
      <c r="C5205" s="8" t="s">
        <v>23292</v>
      </c>
      <c r="F5205" s="47" t="s">
        <v>57764</v>
      </c>
      <c r="G5205" s="8">
        <v>6.5</v>
      </c>
      <c r="H5205" s="8" t="s">
        <v>21</v>
      </c>
      <c r="I5205" s="8" t="s">
        <v>22</v>
      </c>
      <c r="J5205" s="8" t="s">
        <v>22</v>
      </c>
      <c r="K5205" s="8" t="s">
        <v>4103</v>
      </c>
      <c r="L5205" s="8" t="s">
        <v>12015</v>
      </c>
      <c r="M5205" s="8" t="s">
        <v>12016</v>
      </c>
      <c r="N5205" s="8" t="s">
        <v>23293</v>
      </c>
      <c r="O5205" s="8">
        <f>13+29/60+36.1/3600</f>
        <v>13.49336111111111</v>
      </c>
      <c r="P5205" s="8" t="s">
        <v>23294</v>
      </c>
      <c r="Q5205" s="8">
        <f>+(58+25/60+6/3600)</f>
        <v>58.418333333333329</v>
      </c>
      <c r="R5205" s="8">
        <v>11.3</v>
      </c>
      <c r="S5205" s="8">
        <v>11.7</v>
      </c>
      <c r="T5205" s="8">
        <v>0.4</v>
      </c>
      <c r="U5205" s="8">
        <v>14.1</v>
      </c>
      <c r="V5205" s="8">
        <v>5</v>
      </c>
      <c r="W5205" s="8">
        <v>3</v>
      </c>
      <c r="X5205" s="8">
        <v>5</v>
      </c>
      <c r="Y5205" s="8" t="s">
        <v>23295</v>
      </c>
      <c r="Z5205" s="8" t="s">
        <v>23296</v>
      </c>
    </row>
    <row r="5206" spans="1:26" x14ac:dyDescent="0.2">
      <c r="A5206" s="8">
        <v>5205</v>
      </c>
      <c r="B5206" s="8" t="s">
        <v>23297</v>
      </c>
      <c r="C5206" s="8" t="s">
        <v>23297</v>
      </c>
      <c r="F5206" s="47"/>
      <c r="G5206" s="8">
        <v>19</v>
      </c>
      <c r="H5206" s="8" t="s">
        <v>21</v>
      </c>
      <c r="I5206" s="8" t="s">
        <v>22</v>
      </c>
      <c r="J5206" s="8" t="s">
        <v>22</v>
      </c>
      <c r="K5206" s="8" t="s">
        <v>23</v>
      </c>
      <c r="L5206" s="8" t="s">
        <v>12015</v>
      </c>
      <c r="M5206" s="8" t="s">
        <v>12016</v>
      </c>
      <c r="N5206" s="8" t="s">
        <v>23298</v>
      </c>
      <c r="O5206" s="8">
        <f>13+30/60+3.1/3600</f>
        <v>13.500861111111112</v>
      </c>
      <c r="P5206" s="8" t="s">
        <v>23299</v>
      </c>
      <c r="Q5206" s="8">
        <f>+(62+30/60+45/3600)</f>
        <v>62.512500000000003</v>
      </c>
      <c r="R5206" s="8">
        <v>12.3</v>
      </c>
      <c r="S5206" s="8">
        <v>13.1</v>
      </c>
      <c r="T5206" s="8">
        <v>0.8</v>
      </c>
      <c r="U5206" s="8">
        <v>14.1</v>
      </c>
      <c r="V5206" s="8">
        <v>3.2</v>
      </c>
      <c r="W5206" s="8">
        <v>1.8</v>
      </c>
      <c r="X5206" s="8">
        <v>166</v>
      </c>
      <c r="Y5206" s="8" t="s">
        <v>23300</v>
      </c>
      <c r="Z5206" s="8" t="s">
        <v>23301</v>
      </c>
    </row>
    <row r="5207" spans="1:26" x14ac:dyDescent="0.2">
      <c r="A5207" s="8">
        <v>5206</v>
      </c>
      <c r="B5207" s="8" t="s">
        <v>23302</v>
      </c>
      <c r="C5207" s="8" t="s">
        <v>23302</v>
      </c>
      <c r="F5207" s="47"/>
      <c r="G5207" s="8">
        <v>16</v>
      </c>
      <c r="H5207" s="8" t="s">
        <v>21</v>
      </c>
      <c r="I5207" s="8" t="s">
        <v>22</v>
      </c>
      <c r="J5207" s="8" t="s">
        <v>22</v>
      </c>
      <c r="K5207" s="8" t="s">
        <v>224</v>
      </c>
      <c r="L5207" s="8" t="s">
        <v>16195</v>
      </c>
      <c r="M5207" s="8" t="s">
        <v>16196</v>
      </c>
      <c r="N5207" s="8" t="s">
        <v>23303</v>
      </c>
      <c r="O5207" s="8">
        <f>13+33/60+43.8/3600</f>
        <v>13.562166666666668</v>
      </c>
      <c r="P5207" s="8" t="s">
        <v>23304</v>
      </c>
      <c r="Q5207" s="8">
        <f>-(48+9/60+7/3600)</f>
        <v>-48.151944444444446</v>
      </c>
      <c r="R5207" s="8">
        <v>10.9</v>
      </c>
      <c r="S5207" s="8">
        <v>11.9</v>
      </c>
      <c r="T5207" s="8">
        <v>1</v>
      </c>
      <c r="U5207" s="8">
        <v>13.5</v>
      </c>
      <c r="V5207" s="8">
        <v>3.8</v>
      </c>
      <c r="W5207" s="8">
        <v>3.3</v>
      </c>
      <c r="X5207" s="8">
        <v>37</v>
      </c>
      <c r="Y5207" s="8" t="s">
        <v>8615</v>
      </c>
      <c r="Z5207" s="8" t="s">
        <v>8616</v>
      </c>
    </row>
    <row r="5208" spans="1:26" x14ac:dyDescent="0.2">
      <c r="A5208" s="8">
        <v>5207</v>
      </c>
      <c r="B5208" s="8" t="s">
        <v>23305</v>
      </c>
      <c r="C5208" s="8" t="s">
        <v>23305</v>
      </c>
      <c r="F5208" s="47" t="s">
        <v>57765</v>
      </c>
      <c r="G5208" s="8">
        <v>15</v>
      </c>
      <c r="H5208" s="8" t="s">
        <v>21</v>
      </c>
      <c r="I5208" s="8" t="s">
        <v>22</v>
      </c>
      <c r="J5208" s="8" t="s">
        <v>22</v>
      </c>
      <c r="K5208" s="8" t="s">
        <v>23</v>
      </c>
      <c r="L5208" s="8" t="s">
        <v>17287</v>
      </c>
      <c r="M5208" s="8" t="s">
        <v>17288</v>
      </c>
      <c r="N5208" s="8" t="s">
        <v>23306</v>
      </c>
      <c r="O5208" s="8">
        <f>13+32/60+13.9/3600</f>
        <v>13.537194444444445</v>
      </c>
      <c r="P5208" s="8" t="s">
        <v>23307</v>
      </c>
      <c r="Q5208" s="8">
        <f>+(13+53/60+29/3600)</f>
        <v>13.891388888888889</v>
      </c>
      <c r="R5208" s="8">
        <v>13.2</v>
      </c>
      <c r="S5208" s="8">
        <v>14</v>
      </c>
      <c r="T5208" s="8">
        <v>0.8</v>
      </c>
      <c r="U5208" s="8">
        <v>13.6</v>
      </c>
      <c r="V5208" s="8">
        <v>1.7</v>
      </c>
      <c r="W5208" s="8">
        <v>1</v>
      </c>
      <c r="X5208" s="8">
        <v>140</v>
      </c>
      <c r="Y5208" s="8" t="s">
        <v>21</v>
      </c>
      <c r="Z5208" s="8" t="s">
        <v>23308</v>
      </c>
    </row>
    <row r="5209" spans="1:26" x14ac:dyDescent="0.2">
      <c r="A5209" s="8">
        <v>5208</v>
      </c>
      <c r="B5209" s="8" t="s">
        <v>23309</v>
      </c>
      <c r="C5209" s="8" t="s">
        <v>23309</v>
      </c>
      <c r="F5209" s="47" t="s">
        <v>57766</v>
      </c>
      <c r="G5209" s="8">
        <v>15</v>
      </c>
      <c r="H5209" s="8" t="s">
        <v>21</v>
      </c>
      <c r="I5209" s="8" t="s">
        <v>22</v>
      </c>
      <c r="J5209" s="8" t="s">
        <v>22</v>
      </c>
      <c r="K5209" s="8" t="s">
        <v>37</v>
      </c>
      <c r="L5209" s="8" t="s">
        <v>17287</v>
      </c>
      <c r="M5209" s="8" t="s">
        <v>17288</v>
      </c>
      <c r="N5209" s="8" t="s">
        <v>23310</v>
      </c>
      <c r="O5209" s="8">
        <f>13+32/60+27.9/3600</f>
        <v>13.541083333333333</v>
      </c>
      <c r="P5209" s="8" t="s">
        <v>23311</v>
      </c>
      <c r="Q5209" s="8">
        <f>+(7+19/60+1/3600)</f>
        <v>7.3169444444444443</v>
      </c>
      <c r="R5209" s="8">
        <v>13.1</v>
      </c>
      <c r="S5209" s="8">
        <v>14.1</v>
      </c>
      <c r="T5209" s="8">
        <v>1</v>
      </c>
      <c r="U5209" s="8">
        <v>13</v>
      </c>
      <c r="V5209" s="8">
        <v>1.7</v>
      </c>
      <c r="W5209" s="8">
        <v>0.6</v>
      </c>
      <c r="X5209" s="8">
        <v>162</v>
      </c>
      <c r="Y5209" s="8" t="s">
        <v>23312</v>
      </c>
      <c r="Z5209" s="8" t="s">
        <v>23313</v>
      </c>
    </row>
    <row r="5210" spans="1:26" x14ac:dyDescent="0.2">
      <c r="A5210" s="8">
        <v>5209</v>
      </c>
      <c r="B5210" s="8" t="s">
        <v>23314</v>
      </c>
      <c r="C5210" s="8" t="s">
        <v>23314</v>
      </c>
      <c r="F5210" s="47" t="s">
        <v>57767</v>
      </c>
      <c r="G5210" s="8">
        <v>15</v>
      </c>
      <c r="H5210" s="8" t="s">
        <v>21</v>
      </c>
      <c r="I5210" s="8" t="s">
        <v>22</v>
      </c>
      <c r="J5210" s="8" t="s">
        <v>22</v>
      </c>
      <c r="K5210" s="8" t="s">
        <v>1136</v>
      </c>
      <c r="L5210" s="8" t="s">
        <v>17287</v>
      </c>
      <c r="M5210" s="8" t="s">
        <v>17288</v>
      </c>
      <c r="N5210" s="8" t="s">
        <v>23315</v>
      </c>
      <c r="O5210" s="8">
        <f>13+32/60+42.5/3600</f>
        <v>13.545138888888889</v>
      </c>
      <c r="P5210" s="8" t="s">
        <v>23316</v>
      </c>
      <c r="Q5210" s="8">
        <f>+(7+19/60+40/3600)</f>
        <v>7.3277777777777775</v>
      </c>
      <c r="R5210" s="8">
        <v>13</v>
      </c>
      <c r="S5210" s="8">
        <v>14</v>
      </c>
      <c r="T5210" s="8">
        <v>1</v>
      </c>
      <c r="U5210" s="8">
        <v>13.2</v>
      </c>
      <c r="V5210" s="8">
        <v>1.2</v>
      </c>
      <c r="W5210" s="8">
        <v>1</v>
      </c>
      <c r="Y5210" s="8" t="s">
        <v>23317</v>
      </c>
      <c r="Z5210" s="8" t="s">
        <v>23318</v>
      </c>
    </row>
    <row r="5211" spans="1:26" x14ac:dyDescent="0.2">
      <c r="A5211" s="8">
        <v>5210</v>
      </c>
      <c r="B5211" s="8" t="s">
        <v>23319</v>
      </c>
      <c r="C5211" s="8" t="s">
        <v>23319</v>
      </c>
      <c r="F5211" s="47" t="s">
        <v>57768</v>
      </c>
      <c r="G5211" s="8">
        <v>15</v>
      </c>
      <c r="H5211" s="8" t="s">
        <v>21</v>
      </c>
      <c r="I5211" s="8" t="s">
        <v>22</v>
      </c>
      <c r="J5211" s="8" t="s">
        <v>22</v>
      </c>
      <c r="K5211" s="8" t="s">
        <v>91</v>
      </c>
      <c r="L5211" s="8" t="s">
        <v>17287</v>
      </c>
      <c r="M5211" s="8" t="s">
        <v>17288</v>
      </c>
      <c r="N5211" s="8" t="s">
        <v>23320</v>
      </c>
      <c r="O5211" s="8">
        <f>13+32/60+49.4/3600</f>
        <v>13.547055555555556</v>
      </c>
      <c r="P5211" s="8" t="s">
        <v>23321</v>
      </c>
      <c r="Q5211" s="8">
        <f>+(7+10/60+12/3600)</f>
        <v>7.17</v>
      </c>
      <c r="R5211" s="8">
        <v>12.9</v>
      </c>
      <c r="S5211" s="8">
        <v>13.8</v>
      </c>
      <c r="T5211" s="8">
        <v>0.9</v>
      </c>
      <c r="U5211" s="8">
        <v>13.4</v>
      </c>
      <c r="V5211" s="8">
        <v>1.4</v>
      </c>
      <c r="W5211" s="8">
        <v>1.2</v>
      </c>
      <c r="X5211" s="8">
        <v>15</v>
      </c>
      <c r="Y5211" s="8" t="s">
        <v>23322</v>
      </c>
      <c r="Z5211" s="8" t="s">
        <v>23323</v>
      </c>
    </row>
    <row r="5212" spans="1:26" x14ac:dyDescent="0.2">
      <c r="A5212" s="8">
        <v>5211</v>
      </c>
      <c r="B5212" s="8" t="s">
        <v>23324</v>
      </c>
      <c r="C5212" s="8" t="s">
        <v>23324</v>
      </c>
      <c r="F5212" s="47"/>
      <c r="G5212" s="8">
        <v>16</v>
      </c>
      <c r="H5212" s="8" t="s">
        <v>21</v>
      </c>
      <c r="I5212" s="8" t="s">
        <v>22</v>
      </c>
      <c r="J5212" s="8" t="s">
        <v>22</v>
      </c>
      <c r="K5212" s="8" t="s">
        <v>406</v>
      </c>
      <c r="L5212" s="8" t="s">
        <v>17287</v>
      </c>
      <c r="M5212" s="8" t="s">
        <v>17288</v>
      </c>
      <c r="N5212" s="8" t="s">
        <v>23325</v>
      </c>
      <c r="O5212" s="8">
        <f>13+33/60+5.3/3600</f>
        <v>13.551472222222223</v>
      </c>
      <c r="P5212" s="8" t="s">
        <v>23326</v>
      </c>
      <c r="Q5212" s="8">
        <f>-(1+2/60+9/3600)</f>
        <v>-1.0358333333333334</v>
      </c>
      <c r="R5212" s="8">
        <v>12.3</v>
      </c>
      <c r="S5212" s="8">
        <v>13.1</v>
      </c>
      <c r="T5212" s="8">
        <v>0.8</v>
      </c>
      <c r="U5212" s="8">
        <v>13.5</v>
      </c>
      <c r="V5212" s="8">
        <v>2.1</v>
      </c>
      <c r="W5212" s="8">
        <v>1.6</v>
      </c>
      <c r="X5212" s="8">
        <v>30</v>
      </c>
      <c r="Y5212" s="8" t="s">
        <v>12810</v>
      </c>
      <c r="Z5212" s="8" t="s">
        <v>12811</v>
      </c>
    </row>
    <row r="5213" spans="1:26" x14ac:dyDescent="0.2">
      <c r="A5213" s="8">
        <v>5212</v>
      </c>
      <c r="B5213" s="8" t="s">
        <v>23327</v>
      </c>
      <c r="C5213" s="8" t="s">
        <v>23327</v>
      </c>
      <c r="F5213" s="47"/>
      <c r="G5213" s="8">
        <v>16</v>
      </c>
      <c r="H5213" s="8" t="s">
        <v>21</v>
      </c>
      <c r="I5213" s="8" t="s">
        <v>22</v>
      </c>
      <c r="J5213" s="8" t="s">
        <v>22</v>
      </c>
      <c r="K5213" s="8" t="s">
        <v>449</v>
      </c>
      <c r="L5213" s="8" t="s">
        <v>17287</v>
      </c>
      <c r="M5213" s="8" t="s">
        <v>17288</v>
      </c>
      <c r="N5213" s="8" t="s">
        <v>23328</v>
      </c>
      <c r="O5213" s="8">
        <f>13+32/60+56.1/3600</f>
        <v>13.548916666666667</v>
      </c>
      <c r="P5213" s="8" t="s">
        <v>23329</v>
      </c>
      <c r="Q5213" s="8">
        <f>+(7+17/60+17/3600)</f>
        <v>7.2880555555555553</v>
      </c>
      <c r="R5213" s="8">
        <v>14.3</v>
      </c>
      <c r="S5213" s="8">
        <v>15.1</v>
      </c>
      <c r="T5213" s="8">
        <v>0.8</v>
      </c>
      <c r="U5213" s="8">
        <v>11.8</v>
      </c>
      <c r="V5213" s="8">
        <v>0.4</v>
      </c>
      <c r="W5213" s="8">
        <v>0.3</v>
      </c>
      <c r="X5213" s="8">
        <v>110</v>
      </c>
      <c r="Y5213" s="8" t="s">
        <v>47</v>
      </c>
      <c r="Z5213" s="8" t="s">
        <v>48</v>
      </c>
    </row>
    <row r="5214" spans="1:26" x14ac:dyDescent="0.2">
      <c r="A5214" s="8">
        <v>5213</v>
      </c>
      <c r="B5214" s="8" t="s">
        <v>23330</v>
      </c>
      <c r="C5214" s="8" t="s">
        <v>23330</v>
      </c>
      <c r="F5214" s="47"/>
      <c r="G5214" s="8">
        <v>18</v>
      </c>
      <c r="H5214" s="8" t="s">
        <v>21</v>
      </c>
      <c r="I5214" s="8" t="s">
        <v>22</v>
      </c>
      <c r="J5214" s="8" t="s">
        <v>22</v>
      </c>
      <c r="K5214" s="8" t="s">
        <v>218</v>
      </c>
      <c r="L5214" s="8" t="s">
        <v>17287</v>
      </c>
      <c r="M5214" s="8" t="s">
        <v>17288</v>
      </c>
      <c r="N5214" s="8" t="s">
        <v>23331</v>
      </c>
      <c r="O5214" s="8">
        <f>13+34/60+39.2/3600</f>
        <v>13.577555555555556</v>
      </c>
      <c r="P5214" s="8" t="s">
        <v>23332</v>
      </c>
      <c r="Q5214" s="8">
        <f>+(4+7/60+51/3600)</f>
        <v>4.1308333333333334</v>
      </c>
      <c r="R5214" s="8">
        <v>14</v>
      </c>
      <c r="S5214" s="8">
        <v>14.8</v>
      </c>
      <c r="T5214" s="8">
        <v>0.8</v>
      </c>
      <c r="U5214" s="8">
        <v>13.5</v>
      </c>
      <c r="V5214" s="8">
        <v>0.9</v>
      </c>
      <c r="W5214" s="8">
        <v>0.8</v>
      </c>
      <c r="X5214" s="8">
        <v>132</v>
      </c>
      <c r="Y5214" s="8" t="s">
        <v>679</v>
      </c>
      <c r="Z5214" s="8" t="s">
        <v>680</v>
      </c>
    </row>
    <row r="5215" spans="1:26" x14ac:dyDescent="0.2">
      <c r="A5215" s="8">
        <v>5214</v>
      </c>
      <c r="B5215" s="8" t="s">
        <v>23333</v>
      </c>
      <c r="C5215" s="8" t="s">
        <v>23333</v>
      </c>
      <c r="F5215" s="47" t="s">
        <v>57769</v>
      </c>
      <c r="G5215" s="8">
        <v>15</v>
      </c>
      <c r="H5215" s="8" t="s">
        <v>21</v>
      </c>
      <c r="I5215" s="8" t="s">
        <v>22</v>
      </c>
      <c r="J5215" s="8" t="s">
        <v>22</v>
      </c>
      <c r="K5215" s="8" t="s">
        <v>160</v>
      </c>
      <c r="L5215" s="8" t="s">
        <v>18681</v>
      </c>
      <c r="M5215" s="8" t="s">
        <v>18682</v>
      </c>
      <c r="N5215" s="8" t="s">
        <v>23334</v>
      </c>
      <c r="O5215" s="8">
        <f>13+32/60+48.5/3600</f>
        <v>13.546805555555556</v>
      </c>
      <c r="P5215" s="8" t="s">
        <v>23335</v>
      </c>
      <c r="Q5215" s="8">
        <f>+(41+52/60+20/3600)</f>
        <v>41.87222222222222</v>
      </c>
      <c r="R5215" s="8">
        <v>13.6</v>
      </c>
      <c r="S5215" s="8">
        <v>14.3</v>
      </c>
      <c r="T5215" s="8">
        <v>0.7</v>
      </c>
      <c r="U5215" s="8">
        <v>13.3</v>
      </c>
      <c r="V5215" s="8">
        <v>1.1000000000000001</v>
      </c>
      <c r="W5215" s="8">
        <v>0.8</v>
      </c>
      <c r="X5215" s="8">
        <v>140</v>
      </c>
      <c r="Y5215" s="8" t="s">
        <v>10836</v>
      </c>
      <c r="Z5215" s="8" t="s">
        <v>10837</v>
      </c>
    </row>
    <row r="5216" spans="1:26" x14ac:dyDescent="0.2">
      <c r="A5216" s="8">
        <v>5215</v>
      </c>
      <c r="B5216" s="8" t="s">
        <v>23336</v>
      </c>
      <c r="C5216" s="8" t="s">
        <v>23336</v>
      </c>
      <c r="D5216" s="8" t="s">
        <v>1619</v>
      </c>
      <c r="F5216" s="47"/>
      <c r="G5216" s="8">
        <v>16</v>
      </c>
      <c r="H5216" s="8" t="s">
        <v>21</v>
      </c>
      <c r="I5216" s="8" t="s">
        <v>22</v>
      </c>
      <c r="J5216" s="8" t="s">
        <v>22</v>
      </c>
      <c r="K5216" s="8" t="s">
        <v>37</v>
      </c>
      <c r="L5216" s="8" t="s">
        <v>16195</v>
      </c>
      <c r="M5216" s="8" t="s">
        <v>16196</v>
      </c>
      <c r="N5216" s="8" t="s">
        <v>23337</v>
      </c>
      <c r="O5216" s="8">
        <f>13+35/60+9.7/3600</f>
        <v>13.586027777777778</v>
      </c>
      <c r="P5216" s="8" t="s">
        <v>23338</v>
      </c>
      <c r="Q5216" s="8">
        <f>-(33+29/60+2/3600)</f>
        <v>-33.483888888888892</v>
      </c>
      <c r="R5216" s="8">
        <v>12.9</v>
      </c>
      <c r="S5216" s="8">
        <v>13.9</v>
      </c>
      <c r="T5216" s="8">
        <v>1</v>
      </c>
      <c r="U5216" s="8">
        <v>12.2</v>
      </c>
      <c r="V5216" s="8">
        <v>1.2</v>
      </c>
      <c r="W5216" s="8">
        <v>0.5</v>
      </c>
      <c r="X5216" s="8">
        <v>80</v>
      </c>
      <c r="Y5216" s="8" t="s">
        <v>21</v>
      </c>
      <c r="Z5216" s="8" t="s">
        <v>23339</v>
      </c>
    </row>
    <row r="5217" spans="1:26" x14ac:dyDescent="0.2">
      <c r="A5217" s="8">
        <v>5216</v>
      </c>
      <c r="B5217" s="8" t="s">
        <v>23340</v>
      </c>
      <c r="C5217" s="8" t="s">
        <v>23340</v>
      </c>
      <c r="F5217" s="47" t="s">
        <v>57770</v>
      </c>
      <c r="G5217" s="8">
        <v>14</v>
      </c>
      <c r="H5217" s="8" t="s">
        <v>23341</v>
      </c>
      <c r="I5217" s="8" t="s">
        <v>22</v>
      </c>
      <c r="J5217" s="8" t="s">
        <v>22</v>
      </c>
      <c r="K5217" s="8" t="s">
        <v>382</v>
      </c>
      <c r="L5217" s="8" t="s">
        <v>12015</v>
      </c>
      <c r="M5217" s="8" t="s">
        <v>12016</v>
      </c>
      <c r="N5217" s="8" t="s">
        <v>23342</v>
      </c>
      <c r="O5217" s="8">
        <f>13+32/60+7.1/3600</f>
        <v>13.535305555555555</v>
      </c>
      <c r="P5217" s="8" t="s">
        <v>23343</v>
      </c>
      <c r="Q5217" s="8">
        <f>+(62+42/60+3/3600)</f>
        <v>62.700833333333335</v>
      </c>
      <c r="R5217" s="8">
        <v>12.6</v>
      </c>
      <c r="S5217" s="8">
        <v>13.6</v>
      </c>
      <c r="T5217" s="8">
        <v>1</v>
      </c>
      <c r="U5217" s="8">
        <v>13.5</v>
      </c>
      <c r="V5217" s="8">
        <v>1.8</v>
      </c>
      <c r="W5217" s="8">
        <v>1.2</v>
      </c>
      <c r="X5217" s="8">
        <v>28</v>
      </c>
      <c r="Y5217" s="8" t="s">
        <v>23344</v>
      </c>
      <c r="Z5217" s="8" t="s">
        <v>23345</v>
      </c>
    </row>
    <row r="5218" spans="1:26" x14ac:dyDescent="0.2">
      <c r="A5218" s="8">
        <v>5217</v>
      </c>
      <c r="B5218" s="8" t="s">
        <v>23346</v>
      </c>
      <c r="C5218" s="8" t="s">
        <v>23346</v>
      </c>
      <c r="F5218" s="47"/>
      <c r="G5218" s="8">
        <v>16</v>
      </c>
      <c r="H5218" s="8" t="s">
        <v>21</v>
      </c>
      <c r="I5218" s="8" t="s">
        <v>22</v>
      </c>
      <c r="J5218" s="8" t="s">
        <v>22</v>
      </c>
      <c r="K5218" s="8" t="s">
        <v>183</v>
      </c>
      <c r="L5218" s="8" t="s">
        <v>18289</v>
      </c>
      <c r="M5218" s="8" t="s">
        <v>18290</v>
      </c>
      <c r="N5218" s="8" t="s">
        <v>23347</v>
      </c>
      <c r="O5218" s="8">
        <f>13+34/60+5.9/3600</f>
        <v>13.568305555555556</v>
      </c>
      <c r="P5218" s="8" t="s">
        <v>23348</v>
      </c>
      <c r="Q5218" s="8">
        <f>+(17+51/60+26/3600)</f>
        <v>17.857222222222223</v>
      </c>
      <c r="R5218" s="8">
        <v>12.6</v>
      </c>
      <c r="S5218" s="8">
        <v>13.6</v>
      </c>
      <c r="T5218" s="8">
        <v>1</v>
      </c>
      <c r="U5218" s="8">
        <v>13.4</v>
      </c>
      <c r="V5218" s="8">
        <v>1.5</v>
      </c>
      <c r="W5218" s="8">
        <v>1.4</v>
      </c>
      <c r="X5218" s="8">
        <v>36</v>
      </c>
      <c r="Y5218" s="8" t="s">
        <v>2248</v>
      </c>
      <c r="Z5218" s="8" t="s">
        <v>2249</v>
      </c>
    </row>
    <row r="5219" spans="1:26" x14ac:dyDescent="0.2">
      <c r="A5219" s="8">
        <v>5218</v>
      </c>
      <c r="B5219" s="8" t="s">
        <v>23349</v>
      </c>
      <c r="C5219" s="8" t="s">
        <v>23349</v>
      </c>
      <c r="F5219" s="47" t="s">
        <v>57771</v>
      </c>
      <c r="G5219" s="8">
        <v>14</v>
      </c>
      <c r="H5219" s="8" t="s">
        <v>23341</v>
      </c>
      <c r="I5219" s="8" t="s">
        <v>22</v>
      </c>
      <c r="J5219" s="8" t="s">
        <v>22</v>
      </c>
      <c r="K5219" s="8" t="s">
        <v>5751</v>
      </c>
      <c r="L5219" s="8" t="s">
        <v>12015</v>
      </c>
      <c r="M5219" s="8" t="s">
        <v>12016</v>
      </c>
      <c r="N5219" s="8" t="s">
        <v>23350</v>
      </c>
      <c r="O5219" s="8">
        <f>13+32/60+10.2/3600</f>
        <v>13.536166666666666</v>
      </c>
      <c r="P5219" s="8" t="s">
        <v>23351</v>
      </c>
      <c r="Q5219" s="8">
        <f>+(62+46/60+5/3600)</f>
        <v>62.768055555555556</v>
      </c>
      <c r="R5219" s="8">
        <v>12.3</v>
      </c>
      <c r="S5219" s="8">
        <v>13.1</v>
      </c>
      <c r="T5219" s="8">
        <v>0.8</v>
      </c>
      <c r="U5219" s="8">
        <v>13.1</v>
      </c>
      <c r="V5219" s="8">
        <v>1.8</v>
      </c>
      <c r="W5219" s="8">
        <v>1.3</v>
      </c>
      <c r="X5219" s="8">
        <v>100</v>
      </c>
      <c r="Y5219" s="8" t="s">
        <v>2083</v>
      </c>
      <c r="Z5219" s="8" t="s">
        <v>2084</v>
      </c>
    </row>
    <row r="5220" spans="1:26" x14ac:dyDescent="0.2">
      <c r="A5220" s="8">
        <v>5219</v>
      </c>
      <c r="B5220" s="8" t="s">
        <v>23352</v>
      </c>
      <c r="C5220" s="8" t="s">
        <v>23352</v>
      </c>
      <c r="F5220" s="47"/>
      <c r="G5220" s="8">
        <v>16</v>
      </c>
      <c r="H5220" s="8" t="s">
        <v>21</v>
      </c>
      <c r="I5220" s="8" t="s">
        <v>22</v>
      </c>
      <c r="J5220" s="8" t="s">
        <v>57</v>
      </c>
      <c r="K5220" s="8" t="s">
        <v>23</v>
      </c>
      <c r="L5220" s="8" t="s">
        <v>16195</v>
      </c>
      <c r="M5220" s="8" t="s">
        <v>16196</v>
      </c>
      <c r="N5220" s="8" t="s">
        <v>23353</v>
      </c>
      <c r="O5220" s="8">
        <f>13+38/60+41.8/3600</f>
        <v>13.644944444444445</v>
      </c>
      <c r="P5220" s="8" t="s">
        <v>23354</v>
      </c>
      <c r="Q5220" s="8">
        <f>-(45+51/60+17/3600)</f>
        <v>-45.854722222222222</v>
      </c>
      <c r="R5220" s="8">
        <v>12.6</v>
      </c>
      <c r="S5220" s="8">
        <v>13.4</v>
      </c>
      <c r="T5220" s="8">
        <v>0.8</v>
      </c>
      <c r="U5220" s="8">
        <v>12.5</v>
      </c>
      <c r="V5220" s="8">
        <v>1.3</v>
      </c>
      <c r="W5220" s="8">
        <v>0.8</v>
      </c>
      <c r="X5220" s="8">
        <v>17</v>
      </c>
      <c r="Y5220" s="8" t="s">
        <v>23355</v>
      </c>
      <c r="Z5220" s="8" t="s">
        <v>23356</v>
      </c>
    </row>
    <row r="5221" spans="1:26" x14ac:dyDescent="0.2">
      <c r="A5221" s="8">
        <v>5220</v>
      </c>
      <c r="B5221" s="8" t="s">
        <v>23357</v>
      </c>
      <c r="C5221" s="8" t="s">
        <v>23357</v>
      </c>
      <c r="F5221" s="47"/>
      <c r="G5221" s="8">
        <v>16</v>
      </c>
      <c r="H5221" s="8" t="s">
        <v>21</v>
      </c>
      <c r="I5221" s="8" t="s">
        <v>22</v>
      </c>
      <c r="J5221" s="8" t="s">
        <v>22</v>
      </c>
      <c r="K5221" s="8" t="s">
        <v>91</v>
      </c>
      <c r="L5221" s="8" t="s">
        <v>16195</v>
      </c>
      <c r="M5221" s="8" t="s">
        <v>16196</v>
      </c>
      <c r="N5221" s="8" t="s">
        <v>23358</v>
      </c>
      <c r="O5221" s="8">
        <f>13+35/60+56.7/3600</f>
        <v>13.599083333333335</v>
      </c>
      <c r="P5221" s="8" t="s">
        <v>23359</v>
      </c>
      <c r="Q5221" s="8">
        <f>-(33+27/60+16/3600)</f>
        <v>-33.454444444444448</v>
      </c>
      <c r="R5221" s="8">
        <v>12</v>
      </c>
      <c r="S5221" s="8">
        <v>12.9</v>
      </c>
      <c r="T5221" s="8">
        <v>0.9</v>
      </c>
      <c r="U5221" s="8">
        <v>12.4</v>
      </c>
      <c r="V5221" s="8">
        <v>2.4</v>
      </c>
      <c r="W5221" s="8">
        <v>0.7</v>
      </c>
      <c r="X5221" s="8">
        <v>97</v>
      </c>
      <c r="Y5221" s="8" t="s">
        <v>23360</v>
      </c>
      <c r="Z5221" s="8" t="s">
        <v>23361</v>
      </c>
    </row>
    <row r="5222" spans="1:26" x14ac:dyDescent="0.2">
      <c r="A5222" s="8">
        <v>5221</v>
      </c>
      <c r="B5222" s="8" t="s">
        <v>23362</v>
      </c>
      <c r="C5222" s="8" t="s">
        <v>23362</v>
      </c>
      <c r="F5222" s="47" t="s">
        <v>57772</v>
      </c>
      <c r="G5222" s="8">
        <v>15</v>
      </c>
      <c r="H5222" s="8" t="s">
        <v>21</v>
      </c>
      <c r="I5222" s="8" t="s">
        <v>22</v>
      </c>
      <c r="J5222" s="8" t="s">
        <v>22</v>
      </c>
      <c r="K5222" s="8" t="s">
        <v>23</v>
      </c>
      <c r="L5222" s="8" t="s">
        <v>17287</v>
      </c>
      <c r="M5222" s="8" t="s">
        <v>17288</v>
      </c>
      <c r="N5222" s="8" t="s">
        <v>23363</v>
      </c>
      <c r="O5222" s="8">
        <f>13+34/60+56.2/3600</f>
        <v>13.582277777777778</v>
      </c>
      <c r="P5222" s="8" t="s">
        <v>23364</v>
      </c>
      <c r="Q5222" s="8">
        <f>+(13+49/60+57/3600)</f>
        <v>13.8325</v>
      </c>
      <c r="R5222" s="8">
        <v>13</v>
      </c>
      <c r="S5222" s="8">
        <v>13.8</v>
      </c>
      <c r="T5222" s="8">
        <v>0.8</v>
      </c>
      <c r="U5222" s="8">
        <v>13.1</v>
      </c>
      <c r="V5222" s="8">
        <v>1.6</v>
      </c>
      <c r="W5222" s="8">
        <v>0.8</v>
      </c>
      <c r="X5222" s="8">
        <v>104</v>
      </c>
      <c r="Y5222" s="8" t="s">
        <v>23365</v>
      </c>
      <c r="Z5222" s="8" t="s">
        <v>23366</v>
      </c>
    </row>
    <row r="5223" spans="1:26" x14ac:dyDescent="0.2">
      <c r="A5223" s="8">
        <v>5222</v>
      </c>
      <c r="B5223" s="8" t="s">
        <v>23367</v>
      </c>
      <c r="C5223" s="8" t="s">
        <v>23367</v>
      </c>
      <c r="E5223" s="8">
        <v>1</v>
      </c>
      <c r="F5223" s="47" t="s">
        <v>57773</v>
      </c>
      <c r="G5223" s="8">
        <v>15</v>
      </c>
      <c r="H5223" s="8" t="s">
        <v>21</v>
      </c>
      <c r="I5223" s="8" t="s">
        <v>22</v>
      </c>
      <c r="J5223" s="8" t="s">
        <v>22</v>
      </c>
      <c r="K5223" s="8" t="s">
        <v>382</v>
      </c>
      <c r="L5223" s="8" t="s">
        <v>17287</v>
      </c>
      <c r="M5223" s="8" t="s">
        <v>17288</v>
      </c>
      <c r="N5223" s="8" t="s">
        <v>23368</v>
      </c>
      <c r="O5223" s="8">
        <f>13+34/60+55.9/3600</f>
        <v>13.582194444444443</v>
      </c>
      <c r="P5223" s="8" t="s">
        <v>23369</v>
      </c>
      <c r="Q5223" s="8">
        <f>+(13+44/60+28/3600)</f>
        <v>13.74111111111111</v>
      </c>
      <c r="R5223" s="8">
        <v>13.1</v>
      </c>
      <c r="S5223" s="8">
        <v>14.1</v>
      </c>
      <c r="T5223" s="8">
        <v>1</v>
      </c>
      <c r="U5223" s="8">
        <v>13.8</v>
      </c>
      <c r="V5223" s="8">
        <v>1.6</v>
      </c>
      <c r="W5223" s="8">
        <v>1.1000000000000001</v>
      </c>
      <c r="X5223" s="8">
        <v>33</v>
      </c>
      <c r="Y5223" s="8" t="s">
        <v>23370</v>
      </c>
      <c r="Z5223" s="8" t="s">
        <v>23371</v>
      </c>
    </row>
    <row r="5224" spans="1:26" x14ac:dyDescent="0.2">
      <c r="A5224" s="8">
        <v>5223</v>
      </c>
      <c r="B5224" s="8" t="s">
        <v>23372</v>
      </c>
      <c r="C5224" s="8" t="s">
        <v>23372</v>
      </c>
      <c r="F5224" s="47" t="s">
        <v>57774</v>
      </c>
      <c r="G5224" s="8">
        <v>15</v>
      </c>
      <c r="H5224" s="8" t="s">
        <v>21</v>
      </c>
      <c r="I5224" s="8" t="s">
        <v>22</v>
      </c>
      <c r="J5224" s="8" t="s">
        <v>22</v>
      </c>
      <c r="K5224" s="8" t="s">
        <v>183</v>
      </c>
      <c r="L5224" s="8" t="s">
        <v>18681</v>
      </c>
      <c r="M5224" s="8" t="s">
        <v>18682</v>
      </c>
      <c r="N5224" s="8" t="s">
        <v>23373</v>
      </c>
      <c r="O5224" s="8">
        <f>13+34/60+25.1/3600</f>
        <v>13.573638888888889</v>
      </c>
      <c r="P5224" s="8" t="s">
        <v>23374</v>
      </c>
      <c r="Q5224" s="8">
        <f>+(34+41/60+26/3600)</f>
        <v>34.690555555555555</v>
      </c>
      <c r="R5224" s="8">
        <v>13</v>
      </c>
      <c r="S5224" s="8">
        <v>14</v>
      </c>
      <c r="T5224" s="8">
        <v>1</v>
      </c>
      <c r="U5224" s="8">
        <v>13.7</v>
      </c>
      <c r="V5224" s="8">
        <v>1.5</v>
      </c>
      <c r="W5224" s="8">
        <v>1.3</v>
      </c>
      <c r="X5224" s="8">
        <v>168</v>
      </c>
      <c r="Y5224" s="8" t="s">
        <v>23375</v>
      </c>
      <c r="Z5224" s="8" t="s">
        <v>23376</v>
      </c>
    </row>
    <row r="5225" spans="1:26" x14ac:dyDescent="0.2">
      <c r="A5225" s="8">
        <v>5224</v>
      </c>
      <c r="B5225" s="8" t="s">
        <v>23377</v>
      </c>
      <c r="C5225" s="8" t="s">
        <v>23377</v>
      </c>
      <c r="F5225" s="47" t="s">
        <v>57775</v>
      </c>
      <c r="G5225" s="8">
        <v>15</v>
      </c>
      <c r="H5225" s="8" t="s">
        <v>21</v>
      </c>
      <c r="I5225" s="8" t="s">
        <v>22</v>
      </c>
      <c r="J5225" s="8" t="s">
        <v>22</v>
      </c>
      <c r="K5225" s="8" t="s">
        <v>449</v>
      </c>
      <c r="L5225" s="8" t="s">
        <v>17287</v>
      </c>
      <c r="M5225" s="8" t="s">
        <v>17288</v>
      </c>
      <c r="N5225" s="8" t="s">
        <v>23378</v>
      </c>
      <c r="O5225" s="8">
        <f>13+35/60+8.8/3600</f>
        <v>13.585777777777778</v>
      </c>
      <c r="P5225" s="8" t="s">
        <v>23379</v>
      </c>
      <c r="Q5225" s="8">
        <f>+(6+28/60+54/3600)</f>
        <v>6.4816666666666665</v>
      </c>
      <c r="R5225" s="8">
        <v>14</v>
      </c>
      <c r="S5225" s="8">
        <v>14.8</v>
      </c>
      <c r="T5225" s="8">
        <v>0.8</v>
      </c>
      <c r="U5225" s="8">
        <v>13.1</v>
      </c>
      <c r="V5225" s="8">
        <v>0.7</v>
      </c>
      <c r="W5225" s="8">
        <v>0.7</v>
      </c>
      <c r="Y5225" s="8" t="s">
        <v>21</v>
      </c>
      <c r="Z5225" s="8" t="s">
        <v>23380</v>
      </c>
    </row>
    <row r="5226" spans="1:26" x14ac:dyDescent="0.2">
      <c r="A5226" s="8">
        <v>5225</v>
      </c>
      <c r="B5226" s="8" t="s">
        <v>23381</v>
      </c>
      <c r="C5226" s="8" t="s">
        <v>23381</v>
      </c>
      <c r="F5226" s="47" t="s">
        <v>57776</v>
      </c>
      <c r="G5226" s="8">
        <v>15</v>
      </c>
      <c r="H5226" s="8" t="s">
        <v>21</v>
      </c>
      <c r="I5226" s="8" t="s">
        <v>22</v>
      </c>
      <c r="J5226" s="8" t="s">
        <v>22</v>
      </c>
      <c r="K5226" s="8" t="s">
        <v>449</v>
      </c>
      <c r="L5226" s="8" t="s">
        <v>18681</v>
      </c>
      <c r="M5226" s="8" t="s">
        <v>18682</v>
      </c>
      <c r="N5226" s="8" t="s">
        <v>23382</v>
      </c>
      <c r="O5226" s="8">
        <f>13+33/60+20/3600</f>
        <v>13.555555555555557</v>
      </c>
      <c r="P5226" s="8" t="s">
        <v>23383</v>
      </c>
      <c r="Q5226" s="8">
        <f>+(51+29/60+27/3600)</f>
        <v>51.490833333333335</v>
      </c>
      <c r="R5226" s="8">
        <v>13.6</v>
      </c>
      <c r="S5226" s="8">
        <v>14.4</v>
      </c>
      <c r="T5226" s="8">
        <v>0.8</v>
      </c>
      <c r="U5226" s="8">
        <v>12.7</v>
      </c>
      <c r="V5226" s="8">
        <v>0.7</v>
      </c>
      <c r="W5226" s="8">
        <v>0.7</v>
      </c>
      <c r="Y5226" s="8" t="s">
        <v>23384</v>
      </c>
      <c r="Z5226" s="8" t="s">
        <v>23385</v>
      </c>
    </row>
    <row r="5227" spans="1:26" x14ac:dyDescent="0.2">
      <c r="A5227" s="8">
        <v>5226</v>
      </c>
      <c r="B5227" s="8" t="s">
        <v>23386</v>
      </c>
      <c r="C5227" s="8" t="s">
        <v>23386</v>
      </c>
      <c r="F5227" s="47"/>
      <c r="G5227" s="8">
        <v>18</v>
      </c>
      <c r="H5227" s="8" t="s">
        <v>21</v>
      </c>
      <c r="I5227" s="8" t="s">
        <v>22</v>
      </c>
      <c r="J5227" s="8" t="s">
        <v>22</v>
      </c>
      <c r="K5227" s="8" t="s">
        <v>449</v>
      </c>
      <c r="L5227" s="8" t="s">
        <v>17287</v>
      </c>
      <c r="M5227" s="8" t="s">
        <v>17288</v>
      </c>
      <c r="N5227" s="8" t="s">
        <v>23387</v>
      </c>
      <c r="O5227" s="8">
        <f>13+35/60+3.6/3600</f>
        <v>13.584333333333333</v>
      </c>
      <c r="P5227" s="8" t="s">
        <v>23388</v>
      </c>
      <c r="Q5227" s="8">
        <f>+(13+55/60+17/3600)</f>
        <v>13.921388888888888</v>
      </c>
      <c r="R5227" s="8">
        <v>15.8</v>
      </c>
      <c r="S5227" s="8">
        <v>16.600000000000001</v>
      </c>
      <c r="T5227" s="8">
        <v>0.8</v>
      </c>
      <c r="U5227" s="8">
        <v>11.8</v>
      </c>
      <c r="V5227" s="8">
        <v>0.3</v>
      </c>
      <c r="W5227" s="8">
        <v>0.1</v>
      </c>
      <c r="X5227" s="8">
        <v>24</v>
      </c>
      <c r="Y5227" s="8" t="s">
        <v>21</v>
      </c>
      <c r="Z5227" s="8" t="s">
        <v>23389</v>
      </c>
    </row>
    <row r="5228" spans="1:26" x14ac:dyDescent="0.2">
      <c r="A5228" s="8">
        <v>5227</v>
      </c>
      <c r="B5228" s="8" t="s">
        <v>23390</v>
      </c>
      <c r="C5228" s="8" t="s">
        <v>23390</v>
      </c>
      <c r="F5228" s="47" t="s">
        <v>57777</v>
      </c>
      <c r="G5228" s="8">
        <v>15</v>
      </c>
      <c r="H5228" s="8" t="s">
        <v>21</v>
      </c>
      <c r="I5228" s="8" t="s">
        <v>22</v>
      </c>
      <c r="J5228" s="8" t="s">
        <v>22</v>
      </c>
      <c r="K5228" s="8" t="s">
        <v>218</v>
      </c>
      <c r="L5228" s="8" t="s">
        <v>17287</v>
      </c>
      <c r="M5228" s="8" t="s">
        <v>17288</v>
      </c>
      <c r="N5228" s="8" t="s">
        <v>23391</v>
      </c>
      <c r="O5228" s="8">
        <f>13+35/60+24.7/3600</f>
        <v>13.590194444444444</v>
      </c>
      <c r="P5228" s="8" t="s">
        <v>23392</v>
      </c>
      <c r="Q5228" s="8">
        <f>+(1+24/60+38/3600)</f>
        <v>1.4105555555555556</v>
      </c>
      <c r="R5228" s="8">
        <v>13.1</v>
      </c>
      <c r="S5228" s="8">
        <v>13.7</v>
      </c>
      <c r="T5228" s="8">
        <v>0.6</v>
      </c>
      <c r="U5228" s="8">
        <v>14</v>
      </c>
      <c r="V5228" s="8">
        <v>1.8</v>
      </c>
      <c r="W5228" s="8">
        <v>1.6</v>
      </c>
      <c r="X5228" s="8">
        <v>40</v>
      </c>
      <c r="Y5228" s="8" t="s">
        <v>170</v>
      </c>
      <c r="Z5228" s="8" t="s">
        <v>171</v>
      </c>
    </row>
    <row r="5229" spans="1:26" x14ac:dyDescent="0.2">
      <c r="A5229" s="8">
        <v>5228</v>
      </c>
      <c r="B5229" s="8" t="s">
        <v>23393</v>
      </c>
      <c r="C5229" s="8" t="s">
        <v>23393</v>
      </c>
      <c r="F5229" s="47" t="s">
        <v>57778</v>
      </c>
      <c r="G5229" s="8">
        <v>15</v>
      </c>
      <c r="H5229" s="8" t="s">
        <v>21</v>
      </c>
      <c r="I5229" s="8" t="s">
        <v>22</v>
      </c>
      <c r="J5229" s="8" t="s">
        <v>22</v>
      </c>
      <c r="K5229" s="8" t="s">
        <v>58</v>
      </c>
      <c r="L5229" s="8" t="s">
        <v>18681</v>
      </c>
      <c r="M5229" s="8" t="s">
        <v>18682</v>
      </c>
      <c r="N5229" s="8" t="s">
        <v>23394</v>
      </c>
      <c r="O5229" s="8">
        <f>13+34/60+35.1/3600</f>
        <v>13.576416666666667</v>
      </c>
      <c r="P5229" s="8" t="s">
        <v>23395</v>
      </c>
      <c r="Q5229" s="8">
        <f>+(34+46/60+40/3600)</f>
        <v>34.777777777777779</v>
      </c>
      <c r="R5229" s="8">
        <v>13.3</v>
      </c>
      <c r="S5229" s="8">
        <v>14.3</v>
      </c>
      <c r="T5229" s="8">
        <v>1</v>
      </c>
      <c r="U5229" s="8">
        <v>13.1</v>
      </c>
      <c r="V5229" s="8">
        <v>1</v>
      </c>
      <c r="W5229" s="8">
        <v>0.9</v>
      </c>
      <c r="X5229" s="8">
        <v>9</v>
      </c>
      <c r="Y5229" s="8" t="s">
        <v>23396</v>
      </c>
      <c r="Z5229" s="8" t="s">
        <v>23397</v>
      </c>
    </row>
    <row r="5230" spans="1:26" x14ac:dyDescent="0.2">
      <c r="A5230" s="8">
        <v>5229</v>
      </c>
      <c r="B5230" s="8" t="s">
        <v>23398</v>
      </c>
      <c r="C5230" s="8" t="s">
        <v>23398</v>
      </c>
      <c r="F5230" s="47"/>
      <c r="G5230" s="8">
        <v>19</v>
      </c>
      <c r="H5230" s="8" t="s">
        <v>21</v>
      </c>
      <c r="I5230" s="8" t="s">
        <v>22</v>
      </c>
      <c r="J5230" s="8" t="s">
        <v>22</v>
      </c>
      <c r="K5230" s="8" t="s">
        <v>1277</v>
      </c>
      <c r="L5230" s="8" t="s">
        <v>18681</v>
      </c>
      <c r="M5230" s="8" t="s">
        <v>18682</v>
      </c>
      <c r="N5230" s="8" t="s">
        <v>23399</v>
      </c>
      <c r="O5230" s="8">
        <f>13+34/60+2.9/3600</f>
        <v>13.567472222222221</v>
      </c>
      <c r="P5230" s="8" t="s">
        <v>23400</v>
      </c>
      <c r="Q5230" s="8">
        <f>+(47+54/60+52/3600)</f>
        <v>47.914444444444442</v>
      </c>
      <c r="R5230" s="8">
        <v>13.7</v>
      </c>
      <c r="S5230" s="8">
        <v>14.4</v>
      </c>
      <c r="T5230" s="8">
        <v>0.7</v>
      </c>
      <c r="U5230" s="8">
        <v>14.1</v>
      </c>
      <c r="V5230" s="8">
        <v>3.3</v>
      </c>
      <c r="W5230" s="8">
        <v>0.5</v>
      </c>
      <c r="X5230" s="8">
        <v>167</v>
      </c>
      <c r="Y5230" s="8" t="s">
        <v>23401</v>
      </c>
      <c r="Z5230" s="8" t="s">
        <v>23402</v>
      </c>
    </row>
    <row r="5231" spans="1:26" x14ac:dyDescent="0.2">
      <c r="A5231" s="8">
        <v>5230</v>
      </c>
      <c r="B5231" s="8" t="s">
        <v>23403</v>
      </c>
      <c r="C5231" s="8" t="s">
        <v>23403</v>
      </c>
      <c r="F5231" s="47" t="s">
        <v>57779</v>
      </c>
      <c r="G5231" s="8">
        <v>13</v>
      </c>
      <c r="H5231" s="8" t="s">
        <v>21</v>
      </c>
      <c r="I5231" s="8" t="s">
        <v>22</v>
      </c>
      <c r="J5231" s="8" t="s">
        <v>22</v>
      </c>
      <c r="K5231" s="8" t="s">
        <v>64</v>
      </c>
      <c r="L5231" s="8" t="s">
        <v>17287</v>
      </c>
      <c r="M5231" s="8" t="s">
        <v>17288</v>
      </c>
      <c r="N5231" s="8" t="s">
        <v>23404</v>
      </c>
      <c r="O5231" s="8">
        <f>13+35/60+32.1/3600</f>
        <v>13.59225</v>
      </c>
      <c r="P5231" s="8" t="s">
        <v>23405</v>
      </c>
      <c r="Q5231" s="8">
        <f>+(13+40/60+31/3600)</f>
        <v>13.675277777777778</v>
      </c>
      <c r="R5231" s="8">
        <v>12.1</v>
      </c>
      <c r="S5231" s="8">
        <v>12.8</v>
      </c>
      <c r="T5231" s="8">
        <v>0.7</v>
      </c>
      <c r="U5231" s="8">
        <v>13.3</v>
      </c>
      <c r="V5231" s="8">
        <v>1.9</v>
      </c>
      <c r="W5231" s="8">
        <v>1.9</v>
      </c>
      <c r="Y5231" s="8" t="s">
        <v>23406</v>
      </c>
      <c r="Z5231" s="8" t="s">
        <v>23407</v>
      </c>
    </row>
    <row r="5232" spans="1:26" x14ac:dyDescent="0.2">
      <c r="A5232" s="8">
        <v>5231</v>
      </c>
      <c r="B5232" s="8" t="s">
        <v>23408</v>
      </c>
      <c r="C5232" s="8" t="s">
        <v>23408</v>
      </c>
      <c r="F5232" s="47"/>
      <c r="G5232" s="8">
        <v>18</v>
      </c>
      <c r="H5232" s="8" t="s">
        <v>21</v>
      </c>
      <c r="I5232" s="8" t="s">
        <v>22</v>
      </c>
      <c r="J5232" s="8" t="s">
        <v>22</v>
      </c>
      <c r="K5232" s="8" t="s">
        <v>154</v>
      </c>
      <c r="L5232" s="8" t="s">
        <v>17287</v>
      </c>
      <c r="M5232" s="8" t="s">
        <v>17288</v>
      </c>
      <c r="N5232" s="8" t="s">
        <v>23409</v>
      </c>
      <c r="O5232" s="8">
        <f>13+35/60+48.3/3600</f>
        <v>13.59675</v>
      </c>
      <c r="P5232" s="8" t="s">
        <v>23410</v>
      </c>
      <c r="Q5232" s="8">
        <f>+(2+59/60+56/3600)</f>
        <v>2.9988888888888892</v>
      </c>
      <c r="R5232" s="8">
        <v>13.4</v>
      </c>
      <c r="S5232" s="8">
        <v>14.3</v>
      </c>
      <c r="T5232" s="8">
        <v>0.9</v>
      </c>
      <c r="U5232" s="8">
        <v>13.2</v>
      </c>
      <c r="V5232" s="8">
        <v>1.1000000000000001</v>
      </c>
      <c r="W5232" s="8">
        <v>0.9</v>
      </c>
      <c r="X5232" s="8">
        <v>112</v>
      </c>
      <c r="Y5232" s="8" t="s">
        <v>4430</v>
      </c>
      <c r="Z5232" s="8" t="s">
        <v>4431</v>
      </c>
    </row>
    <row r="5233" spans="1:26" x14ac:dyDescent="0.2">
      <c r="A5233" s="8">
        <v>5232</v>
      </c>
      <c r="B5233" s="8" t="s">
        <v>23411</v>
      </c>
      <c r="C5233" s="8" t="s">
        <v>23411</v>
      </c>
      <c r="F5233" s="47"/>
      <c r="G5233" s="8">
        <v>18</v>
      </c>
      <c r="H5233" s="8" t="s">
        <v>21</v>
      </c>
      <c r="I5233" s="8" t="s">
        <v>22</v>
      </c>
      <c r="J5233" s="8" t="s">
        <v>22</v>
      </c>
      <c r="K5233" s="8" t="s">
        <v>632</v>
      </c>
      <c r="L5233" s="8" t="s">
        <v>17287</v>
      </c>
      <c r="M5233" s="8" t="s">
        <v>17288</v>
      </c>
      <c r="N5233" s="8" t="s">
        <v>23412</v>
      </c>
      <c r="O5233" s="8">
        <f>13+36/60+8.2/3600</f>
        <v>13.602277777777777</v>
      </c>
      <c r="P5233" s="8" t="s">
        <v>23413</v>
      </c>
      <c r="Q5233" s="8">
        <f>-(8+29/60+52/3600)</f>
        <v>-8.4977777777777774</v>
      </c>
      <c r="R5233" s="8">
        <v>12.4</v>
      </c>
      <c r="S5233" s="8">
        <v>13.3</v>
      </c>
      <c r="T5233" s="8">
        <v>0.9</v>
      </c>
      <c r="U5233" s="8">
        <v>13.1</v>
      </c>
      <c r="V5233" s="8">
        <v>1.5</v>
      </c>
      <c r="W5233" s="8">
        <v>1.4</v>
      </c>
      <c r="X5233" s="8">
        <v>110</v>
      </c>
      <c r="Y5233" s="8" t="s">
        <v>635</v>
      </c>
      <c r="Z5233" s="8" t="s">
        <v>636</v>
      </c>
    </row>
    <row r="5234" spans="1:26" x14ac:dyDescent="0.2">
      <c r="A5234" s="8">
        <v>5233</v>
      </c>
      <c r="B5234" s="8" t="s">
        <v>23414</v>
      </c>
      <c r="C5234" s="8" t="s">
        <v>23414</v>
      </c>
      <c r="F5234" s="47" t="s">
        <v>57780</v>
      </c>
      <c r="G5234" s="8">
        <v>15</v>
      </c>
      <c r="H5234" s="8" t="s">
        <v>21</v>
      </c>
      <c r="I5234" s="8" t="s">
        <v>22</v>
      </c>
      <c r="J5234" s="8" t="s">
        <v>22</v>
      </c>
      <c r="K5234" s="8" t="s">
        <v>31</v>
      </c>
      <c r="L5234" s="8" t="s">
        <v>18681</v>
      </c>
      <c r="M5234" s="8" t="s">
        <v>18682</v>
      </c>
      <c r="N5234" s="8" t="s">
        <v>23415</v>
      </c>
      <c r="O5234" s="8">
        <f>13+35/60+13.4/3600</f>
        <v>13.587055555555557</v>
      </c>
      <c r="P5234" s="8" t="s">
        <v>23416</v>
      </c>
      <c r="Q5234" s="8">
        <f>+(34+40/60+38/3600)</f>
        <v>34.67722222222222</v>
      </c>
      <c r="R5234" s="8">
        <v>13.9</v>
      </c>
      <c r="S5234" s="8">
        <v>14.7</v>
      </c>
      <c r="T5234" s="8">
        <v>0.8</v>
      </c>
      <c r="U5234" s="8">
        <v>13.7</v>
      </c>
      <c r="V5234" s="8">
        <v>1.4</v>
      </c>
      <c r="W5234" s="8">
        <v>0.7</v>
      </c>
      <c r="X5234" s="8">
        <v>80</v>
      </c>
      <c r="Y5234" s="8" t="s">
        <v>23417</v>
      </c>
      <c r="Z5234" s="8" t="s">
        <v>23418</v>
      </c>
    </row>
    <row r="5235" spans="1:26" x14ac:dyDescent="0.2">
      <c r="A5235" s="8">
        <v>5234</v>
      </c>
      <c r="B5235" s="8" t="s">
        <v>23419</v>
      </c>
      <c r="C5235" s="8" t="s">
        <v>23419</v>
      </c>
      <c r="F5235" s="47"/>
      <c r="G5235" s="8">
        <v>16</v>
      </c>
      <c r="H5235" s="8" t="s">
        <v>21</v>
      </c>
      <c r="I5235" s="8" t="s">
        <v>22</v>
      </c>
      <c r="J5235" s="8" t="s">
        <v>22</v>
      </c>
      <c r="K5235" s="8" t="s">
        <v>224</v>
      </c>
      <c r="L5235" s="8" t="s">
        <v>16195</v>
      </c>
      <c r="M5235" s="8" t="s">
        <v>16196</v>
      </c>
      <c r="N5235" s="8" t="s">
        <v>23420</v>
      </c>
      <c r="O5235" s="8">
        <f>13+37/60+29.8/3600</f>
        <v>13.624944444444445</v>
      </c>
      <c r="P5235" s="8" t="s">
        <v>23421</v>
      </c>
      <c r="Q5235" s="8">
        <f>-(49+50/60+14/3600)</f>
        <v>-49.837222222222223</v>
      </c>
      <c r="R5235" s="8">
        <v>13</v>
      </c>
      <c r="S5235" s="8">
        <v>13.9</v>
      </c>
      <c r="T5235" s="8">
        <v>0.9</v>
      </c>
      <c r="U5235" s="8">
        <v>12.9</v>
      </c>
      <c r="V5235" s="8">
        <v>1.3</v>
      </c>
      <c r="W5235" s="8">
        <v>0.8</v>
      </c>
      <c r="X5235" s="8">
        <v>48</v>
      </c>
      <c r="Y5235" s="8" t="s">
        <v>23422</v>
      </c>
      <c r="Z5235" s="8" t="s">
        <v>23423</v>
      </c>
    </row>
    <row r="5236" spans="1:26" x14ac:dyDescent="0.2">
      <c r="A5236" s="8">
        <v>5235</v>
      </c>
      <c r="B5236" s="8" t="s">
        <v>23424</v>
      </c>
      <c r="C5236" s="8" t="s">
        <v>23424</v>
      </c>
      <c r="F5236" s="47" t="s">
        <v>57781</v>
      </c>
      <c r="G5236" s="8">
        <v>15</v>
      </c>
      <c r="H5236" s="8" t="s">
        <v>21</v>
      </c>
      <c r="I5236" s="8" t="s">
        <v>22</v>
      </c>
      <c r="J5236" s="8" t="s">
        <v>22</v>
      </c>
      <c r="K5236" s="8" t="s">
        <v>85</v>
      </c>
      <c r="L5236" s="8" t="s">
        <v>17287</v>
      </c>
      <c r="M5236" s="8" t="s">
        <v>17288</v>
      </c>
      <c r="N5236" s="8" t="s">
        <v>23425</v>
      </c>
      <c r="O5236" s="8">
        <f>13+36/60+1.4/3600</f>
        <v>13.600388888888888</v>
      </c>
      <c r="P5236" s="8" t="s">
        <v>23426</v>
      </c>
      <c r="Q5236" s="8">
        <f>+(6+35/60+6/3600)</f>
        <v>6.585</v>
      </c>
      <c r="R5236" s="8">
        <v>14.2</v>
      </c>
      <c r="S5236" s="8">
        <v>15</v>
      </c>
      <c r="T5236" s="8">
        <v>0.8</v>
      </c>
      <c r="U5236" s="8">
        <v>13.5</v>
      </c>
      <c r="V5236" s="8">
        <v>1.2</v>
      </c>
      <c r="W5236" s="8">
        <v>0.5</v>
      </c>
      <c r="X5236" s="8">
        <v>120</v>
      </c>
      <c r="Y5236" s="8" t="s">
        <v>23427</v>
      </c>
      <c r="Z5236" s="8" t="s">
        <v>23428</v>
      </c>
    </row>
    <row r="5237" spans="1:26" x14ac:dyDescent="0.2">
      <c r="A5237" s="8">
        <v>5236</v>
      </c>
      <c r="B5237" s="8" t="s">
        <v>23429</v>
      </c>
      <c r="C5237" s="8" t="s">
        <v>55921</v>
      </c>
      <c r="F5237" s="47"/>
      <c r="G5237" s="8">
        <v>1</v>
      </c>
      <c r="H5237" s="8" t="s">
        <v>1540</v>
      </c>
      <c r="I5237" s="8" t="s">
        <v>22</v>
      </c>
      <c r="J5237" s="8" t="s">
        <v>22</v>
      </c>
      <c r="K5237" s="8" t="s">
        <v>160</v>
      </c>
      <c r="L5237" s="8" t="s">
        <v>11765</v>
      </c>
      <c r="M5237" s="8" t="s">
        <v>11766</v>
      </c>
      <c r="N5237" s="8" t="s">
        <v>23430</v>
      </c>
      <c r="O5237" s="8">
        <f>13+37/60+0.2/3600</f>
        <v>13.616722222222222</v>
      </c>
      <c r="P5237" s="8" t="s">
        <v>23431</v>
      </c>
      <c r="Q5237" s="8">
        <f>-(29+52/60+2/3600)</f>
        <v>-29.867222222222221</v>
      </c>
      <c r="R5237" s="8">
        <v>7.5</v>
      </c>
      <c r="S5237" s="8">
        <v>8.1999999999999993</v>
      </c>
      <c r="T5237" s="8">
        <v>0.7</v>
      </c>
      <c r="U5237" s="8">
        <v>12.8</v>
      </c>
      <c r="V5237" s="8">
        <v>12.9</v>
      </c>
      <c r="W5237" s="8">
        <v>11.5</v>
      </c>
      <c r="X5237" s="8">
        <v>44</v>
      </c>
      <c r="Y5237" s="8" t="s">
        <v>23344</v>
      </c>
      <c r="Z5237" s="8" t="s">
        <v>23432</v>
      </c>
    </row>
    <row r="5238" spans="1:26" x14ac:dyDescent="0.2">
      <c r="A5238" s="8">
        <v>5237</v>
      </c>
      <c r="B5238" s="8" t="s">
        <v>23433</v>
      </c>
      <c r="C5238" s="8" t="s">
        <v>23433</v>
      </c>
      <c r="F5238" s="47"/>
      <c r="G5238" s="8">
        <v>16</v>
      </c>
      <c r="H5238" s="8" t="s">
        <v>21</v>
      </c>
      <c r="I5238" s="8" t="s">
        <v>22</v>
      </c>
      <c r="J5238" s="8" t="s">
        <v>22</v>
      </c>
      <c r="K5238" s="8" t="s">
        <v>818</v>
      </c>
      <c r="L5238" s="8" t="s">
        <v>16195</v>
      </c>
      <c r="M5238" s="8" t="s">
        <v>16196</v>
      </c>
      <c r="N5238" s="8" t="s">
        <v>23434</v>
      </c>
      <c r="O5238" s="8">
        <f>13+37/60+38.9/3600</f>
        <v>13.627472222222222</v>
      </c>
      <c r="P5238" s="8" t="s">
        <v>23435</v>
      </c>
      <c r="Q5238" s="8">
        <f>-(42+50/60+52/3600)</f>
        <v>-42.847777777777779</v>
      </c>
      <c r="R5238" s="8">
        <v>12.5</v>
      </c>
      <c r="S5238" s="8">
        <v>13.2</v>
      </c>
      <c r="T5238" s="8">
        <v>0.7</v>
      </c>
      <c r="U5238" s="8">
        <v>13.8</v>
      </c>
      <c r="V5238" s="8">
        <v>2</v>
      </c>
      <c r="W5238" s="8">
        <v>1.6</v>
      </c>
      <c r="X5238" s="8">
        <v>115</v>
      </c>
      <c r="Y5238" s="8" t="s">
        <v>23436</v>
      </c>
      <c r="Z5238" s="8" t="s">
        <v>23437</v>
      </c>
    </row>
    <row r="5239" spans="1:26" x14ac:dyDescent="0.2">
      <c r="A5239" s="8">
        <v>5238</v>
      </c>
      <c r="B5239" s="8" t="s">
        <v>23438</v>
      </c>
      <c r="C5239" s="8" t="s">
        <v>23438</v>
      </c>
      <c r="E5239" s="8">
        <v>1</v>
      </c>
      <c r="F5239" s="47" t="s">
        <v>57782</v>
      </c>
      <c r="G5239" s="8">
        <v>15</v>
      </c>
      <c r="H5239" s="8" t="s">
        <v>21</v>
      </c>
      <c r="I5239" s="8" t="s">
        <v>22</v>
      </c>
      <c r="J5239" s="8" t="s">
        <v>22</v>
      </c>
      <c r="K5239" s="8" t="s">
        <v>3523</v>
      </c>
      <c r="L5239" s="8" t="s">
        <v>18681</v>
      </c>
      <c r="M5239" s="8" t="s">
        <v>18682</v>
      </c>
      <c r="N5239" s="8" t="s">
        <v>23439</v>
      </c>
      <c r="O5239" s="8">
        <f>13+34/60+42.6/3600</f>
        <v>13.5785</v>
      </c>
      <c r="P5239" s="8" t="s">
        <v>23440</v>
      </c>
      <c r="Q5239" s="8">
        <f>+(51+36/60+50/3600)</f>
        <v>51.613888888888887</v>
      </c>
      <c r="R5239" s="8">
        <v>13.3</v>
      </c>
      <c r="S5239" s="8">
        <v>13.9</v>
      </c>
      <c r="T5239" s="8">
        <v>0.6</v>
      </c>
      <c r="U5239" s="8">
        <v>14.1</v>
      </c>
      <c r="V5239" s="8">
        <v>1.5</v>
      </c>
      <c r="W5239" s="8">
        <v>1.2</v>
      </c>
      <c r="X5239" s="8">
        <v>160</v>
      </c>
      <c r="Y5239" s="8" t="s">
        <v>23441</v>
      </c>
      <c r="Z5239" s="8" t="s">
        <v>23442</v>
      </c>
    </row>
    <row r="5240" spans="1:26" x14ac:dyDescent="0.2">
      <c r="A5240" s="8">
        <v>5239</v>
      </c>
      <c r="B5240" s="8" t="s">
        <v>23443</v>
      </c>
      <c r="C5240" s="8" t="s">
        <v>23443</v>
      </c>
      <c r="F5240" s="47" t="s">
        <v>57783</v>
      </c>
      <c r="G5240" s="8">
        <v>15</v>
      </c>
      <c r="H5240" s="8" t="s">
        <v>21</v>
      </c>
      <c r="I5240" s="8" t="s">
        <v>22</v>
      </c>
      <c r="J5240" s="8" t="s">
        <v>22</v>
      </c>
      <c r="K5240" s="8" t="s">
        <v>85</v>
      </c>
      <c r="L5240" s="8" t="s">
        <v>22476</v>
      </c>
      <c r="M5240" s="8" t="s">
        <v>22477</v>
      </c>
      <c r="N5240" s="8" t="s">
        <v>23444</v>
      </c>
      <c r="O5240" s="8">
        <f>13+36/60+26.3/3600</f>
        <v>13.607305555555556</v>
      </c>
      <c r="P5240" s="8" t="s">
        <v>23445</v>
      </c>
      <c r="Q5240" s="8">
        <f>+(7+22/60+11/3600)</f>
        <v>7.3697222222222214</v>
      </c>
      <c r="R5240" s="8">
        <v>12.8</v>
      </c>
      <c r="S5240" s="8">
        <v>13.6</v>
      </c>
      <c r="T5240" s="8">
        <v>0.8</v>
      </c>
      <c r="U5240" s="8">
        <v>13.5</v>
      </c>
      <c r="V5240" s="8">
        <v>1.8</v>
      </c>
      <c r="W5240" s="8">
        <v>1.2</v>
      </c>
      <c r="X5240" s="8">
        <v>13</v>
      </c>
      <c r="Y5240" s="8" t="s">
        <v>23446</v>
      </c>
      <c r="Z5240" s="8" t="s">
        <v>23447</v>
      </c>
    </row>
    <row r="5241" spans="1:26" x14ac:dyDescent="0.2">
      <c r="A5241" s="8">
        <v>5240</v>
      </c>
      <c r="B5241" s="8" t="s">
        <v>23448</v>
      </c>
      <c r="C5241" s="8" t="s">
        <v>23448</v>
      </c>
      <c r="F5241" s="47" t="s">
        <v>57784</v>
      </c>
      <c r="G5241" s="8">
        <v>15</v>
      </c>
      <c r="H5241" s="8" t="s">
        <v>21</v>
      </c>
      <c r="I5241" s="8" t="s">
        <v>22</v>
      </c>
      <c r="J5241" s="8" t="s">
        <v>22</v>
      </c>
      <c r="K5241" s="8" t="s">
        <v>64</v>
      </c>
      <c r="L5241" s="8" t="s">
        <v>18681</v>
      </c>
      <c r="M5241" s="8" t="s">
        <v>18682</v>
      </c>
      <c r="N5241" s="8" t="s">
        <v>23449</v>
      </c>
      <c r="O5241" s="8">
        <f>13+35/60+55.1/3600</f>
        <v>13.598638888888889</v>
      </c>
      <c r="P5241" s="8" t="s">
        <v>23450</v>
      </c>
      <c r="Q5241" s="8">
        <f>+(35+35/60+18/3600)</f>
        <v>35.588333333333338</v>
      </c>
      <c r="R5241" s="8">
        <v>13.1</v>
      </c>
      <c r="S5241" s="8">
        <v>13.8</v>
      </c>
      <c r="T5241" s="8">
        <v>0.7</v>
      </c>
      <c r="U5241" s="8">
        <v>14</v>
      </c>
      <c r="V5241" s="8">
        <v>1.9</v>
      </c>
      <c r="W5241" s="8">
        <v>1.4</v>
      </c>
      <c r="X5241" s="8">
        <v>60</v>
      </c>
      <c r="Y5241" s="8" t="s">
        <v>19841</v>
      </c>
      <c r="Z5241" s="8" t="s">
        <v>19842</v>
      </c>
    </row>
    <row r="5242" spans="1:26" x14ac:dyDescent="0.2">
      <c r="A5242" s="8">
        <v>5241</v>
      </c>
      <c r="B5242" s="8" t="s">
        <v>23451</v>
      </c>
      <c r="C5242" s="8" t="s">
        <v>23451</v>
      </c>
      <c r="F5242" s="47"/>
      <c r="G5242" s="8">
        <v>19</v>
      </c>
      <c r="H5242" s="8" t="s">
        <v>21</v>
      </c>
      <c r="I5242" s="8" t="s">
        <v>22</v>
      </c>
      <c r="J5242" s="8" t="s">
        <v>22</v>
      </c>
      <c r="K5242" s="8" t="s">
        <v>31</v>
      </c>
      <c r="L5242" s="8" t="s">
        <v>17287</v>
      </c>
      <c r="M5242" s="8" t="s">
        <v>17288</v>
      </c>
      <c r="N5242" s="8" t="s">
        <v>23452</v>
      </c>
      <c r="O5242" s="8">
        <f>13+36/60+39.9/3600</f>
        <v>13.611083333333333</v>
      </c>
      <c r="P5242" s="8" t="s">
        <v>23453</v>
      </c>
      <c r="Q5242" s="8">
        <f>-(8+24/60+6/3600)</f>
        <v>-8.4016666666666673</v>
      </c>
      <c r="R5242" s="8">
        <v>12.9</v>
      </c>
      <c r="S5242" s="8">
        <v>13.8</v>
      </c>
      <c r="T5242" s="8">
        <v>0.9</v>
      </c>
      <c r="U5242" s="8">
        <v>12.1</v>
      </c>
      <c r="V5242" s="8">
        <v>1.1000000000000001</v>
      </c>
      <c r="W5242" s="8">
        <v>0.5</v>
      </c>
      <c r="X5242" s="8">
        <v>55</v>
      </c>
      <c r="Y5242" s="8" t="s">
        <v>23454</v>
      </c>
      <c r="Z5242" s="8" t="s">
        <v>23455</v>
      </c>
    </row>
    <row r="5243" spans="1:26" x14ac:dyDescent="0.2">
      <c r="A5243" s="8">
        <v>5242</v>
      </c>
      <c r="B5243" s="8" t="s">
        <v>23456</v>
      </c>
      <c r="C5243" s="8" t="s">
        <v>23456</v>
      </c>
      <c r="F5243" s="47"/>
      <c r="G5243" s="8">
        <v>16</v>
      </c>
      <c r="H5243" s="8" t="s">
        <v>21</v>
      </c>
      <c r="I5243" s="8" t="s">
        <v>329</v>
      </c>
      <c r="J5243" s="8" t="s">
        <v>329</v>
      </c>
      <c r="K5243" s="8" t="s">
        <v>329</v>
      </c>
      <c r="L5243" s="8" t="s">
        <v>17287</v>
      </c>
      <c r="M5243" s="8" t="s">
        <v>17288</v>
      </c>
      <c r="N5243" s="8" t="s">
        <v>23457</v>
      </c>
      <c r="O5243" s="8">
        <f>13+37/60+7.3/3600</f>
        <v>13.618694444444445</v>
      </c>
      <c r="P5243" s="8" t="s">
        <v>23458</v>
      </c>
      <c r="Q5243" s="8">
        <f>+(2+46/60+14/3600)</f>
        <v>2.7705555555555557</v>
      </c>
      <c r="R5243" s="8">
        <v>99</v>
      </c>
      <c r="S5243" s="8">
        <v>99</v>
      </c>
      <c r="T5243" s="8">
        <v>99</v>
      </c>
      <c r="U5243" s="8">
        <v>99</v>
      </c>
      <c r="Y5243" s="8" t="s">
        <v>23459</v>
      </c>
      <c r="Z5243" s="8" t="s">
        <v>23460</v>
      </c>
    </row>
    <row r="5244" spans="1:26" x14ac:dyDescent="0.2">
      <c r="A5244" s="8">
        <v>5243</v>
      </c>
      <c r="B5244" s="8" t="s">
        <v>23461</v>
      </c>
      <c r="C5244" s="8" t="s">
        <v>23461</v>
      </c>
      <c r="F5244" s="47" t="s">
        <v>57785</v>
      </c>
      <c r="G5244" s="8">
        <v>15</v>
      </c>
      <c r="H5244" s="8" t="s">
        <v>21</v>
      </c>
      <c r="I5244" s="8" t="s">
        <v>22</v>
      </c>
      <c r="J5244" s="8" t="s">
        <v>22</v>
      </c>
      <c r="K5244" s="8" t="s">
        <v>396</v>
      </c>
      <c r="L5244" s="8" t="s">
        <v>18681</v>
      </c>
      <c r="M5244" s="8" t="s">
        <v>18682</v>
      </c>
      <c r="N5244" s="8" t="s">
        <v>23462</v>
      </c>
      <c r="O5244" s="8">
        <f>13+36/60+15.1/3600</f>
        <v>13.604194444444444</v>
      </c>
      <c r="P5244" s="8" t="s">
        <v>23463</v>
      </c>
      <c r="Q5244" s="8">
        <f>+(38+20/60+36/3600)</f>
        <v>38.343333333333334</v>
      </c>
      <c r="R5244" s="8">
        <v>13.2</v>
      </c>
      <c r="S5244" s="8">
        <v>14</v>
      </c>
      <c r="T5244" s="8">
        <v>0.8</v>
      </c>
      <c r="U5244" s="8">
        <v>12.5</v>
      </c>
      <c r="V5244" s="8">
        <v>1.5</v>
      </c>
      <c r="W5244" s="8">
        <v>0.4</v>
      </c>
      <c r="X5244" s="8">
        <v>126</v>
      </c>
      <c r="Y5244" s="8" t="s">
        <v>21</v>
      </c>
      <c r="Z5244" s="8" t="s">
        <v>23464</v>
      </c>
    </row>
    <row r="5245" spans="1:26" x14ac:dyDescent="0.2">
      <c r="A5245" s="8">
        <v>5244</v>
      </c>
      <c r="B5245" s="8" t="s">
        <v>23465</v>
      </c>
      <c r="C5245" s="8" t="s">
        <v>23465</v>
      </c>
      <c r="F5245" s="47"/>
      <c r="G5245" s="8">
        <v>16</v>
      </c>
      <c r="H5245" s="8" t="s">
        <v>21</v>
      </c>
      <c r="I5245" s="8" t="s">
        <v>22</v>
      </c>
      <c r="J5245" s="8" t="s">
        <v>22</v>
      </c>
      <c r="K5245" s="8" t="s">
        <v>23</v>
      </c>
      <c r="L5245" s="8" t="s">
        <v>16195</v>
      </c>
      <c r="M5245" s="8" t="s">
        <v>16196</v>
      </c>
      <c r="N5245" s="8" t="s">
        <v>23353</v>
      </c>
      <c r="O5245" s="8">
        <f>13+38/60+41.8/3600</f>
        <v>13.644944444444445</v>
      </c>
      <c r="P5245" s="8" t="s">
        <v>23354</v>
      </c>
      <c r="Q5245" s="8">
        <f>-(45+51/60+17/3600)</f>
        <v>-45.854722222222222</v>
      </c>
      <c r="R5245" s="8">
        <v>12.6</v>
      </c>
      <c r="S5245" s="8">
        <v>13.4</v>
      </c>
      <c r="T5245" s="8">
        <v>0.8</v>
      </c>
      <c r="U5245" s="8">
        <v>12.5</v>
      </c>
      <c r="V5245" s="8">
        <v>1.3</v>
      </c>
      <c r="W5245" s="8">
        <v>0.8</v>
      </c>
      <c r="X5245" s="8">
        <v>17</v>
      </c>
      <c r="Y5245" s="8" t="s">
        <v>23344</v>
      </c>
      <c r="Z5245" s="8" t="s">
        <v>23466</v>
      </c>
    </row>
    <row r="5246" spans="1:26" x14ac:dyDescent="0.2">
      <c r="A5246" s="8">
        <v>5245</v>
      </c>
      <c r="B5246" s="8" t="s">
        <v>23467</v>
      </c>
      <c r="C5246" s="8" t="s">
        <v>23467</v>
      </c>
      <c r="F5246" s="47"/>
      <c r="G5246" s="8">
        <v>18</v>
      </c>
      <c r="H5246" s="8" t="s">
        <v>21</v>
      </c>
      <c r="I5246" s="8" t="s">
        <v>22</v>
      </c>
      <c r="J5246" s="8" t="s">
        <v>22</v>
      </c>
      <c r="K5246" s="8" t="s">
        <v>449</v>
      </c>
      <c r="L5246" s="8" t="s">
        <v>17287</v>
      </c>
      <c r="M5246" s="8" t="s">
        <v>17288</v>
      </c>
      <c r="N5246" s="8" t="s">
        <v>23468</v>
      </c>
      <c r="O5246" s="8">
        <f>13+37/60+23.2/3600</f>
        <v>13.623111111111111</v>
      </c>
      <c r="P5246" s="8" t="s">
        <v>23469</v>
      </c>
      <c r="Q5246" s="8">
        <f>+(3+53/60+53/3600)</f>
        <v>3.8980555555555556</v>
      </c>
      <c r="R5246" s="8">
        <v>14.2</v>
      </c>
      <c r="S5246" s="8">
        <v>15</v>
      </c>
      <c r="T5246" s="8">
        <v>0.8</v>
      </c>
      <c r="U5246" s="8">
        <v>12.5</v>
      </c>
      <c r="V5246" s="8">
        <v>0.8</v>
      </c>
      <c r="W5246" s="8">
        <v>0.3</v>
      </c>
      <c r="X5246" s="8">
        <v>90</v>
      </c>
      <c r="Y5246" s="8" t="s">
        <v>282</v>
      </c>
      <c r="Z5246" s="8" t="s">
        <v>283</v>
      </c>
    </row>
    <row r="5247" spans="1:26" x14ac:dyDescent="0.2">
      <c r="A5247" s="8">
        <v>5246</v>
      </c>
      <c r="B5247" s="8" t="s">
        <v>23470</v>
      </c>
      <c r="C5247" s="8" t="s">
        <v>23470</v>
      </c>
      <c r="F5247" s="47"/>
      <c r="G5247" s="8">
        <v>18</v>
      </c>
      <c r="H5247" s="8" t="s">
        <v>21</v>
      </c>
      <c r="I5247" s="8" t="s">
        <v>22</v>
      </c>
      <c r="J5247" s="8" t="s">
        <v>22</v>
      </c>
      <c r="K5247" s="8" t="s">
        <v>218</v>
      </c>
      <c r="L5247" s="8" t="s">
        <v>17287</v>
      </c>
      <c r="M5247" s="8" t="s">
        <v>17288</v>
      </c>
      <c r="N5247" s="8" t="s">
        <v>23471</v>
      </c>
      <c r="O5247" s="8">
        <f>13+37/60+29.3/3600</f>
        <v>13.624805555555556</v>
      </c>
      <c r="P5247" s="8" t="s">
        <v>23472</v>
      </c>
      <c r="Q5247" s="8">
        <f>+(4+6/60+16/3600)</f>
        <v>4.1044444444444439</v>
      </c>
      <c r="R5247" s="8">
        <v>13.6</v>
      </c>
      <c r="S5247" s="8">
        <v>14.4</v>
      </c>
      <c r="T5247" s="8">
        <v>0.8</v>
      </c>
      <c r="U5247" s="8">
        <v>13.3</v>
      </c>
      <c r="V5247" s="8">
        <v>1</v>
      </c>
      <c r="W5247" s="8">
        <v>0.8</v>
      </c>
      <c r="X5247" s="8">
        <v>63</v>
      </c>
      <c r="Y5247" s="8" t="s">
        <v>282</v>
      </c>
      <c r="Z5247" s="8" t="s">
        <v>283</v>
      </c>
    </row>
    <row r="5248" spans="1:26" x14ac:dyDescent="0.2">
      <c r="A5248" s="8">
        <v>5247</v>
      </c>
      <c r="B5248" s="8" t="s">
        <v>23473</v>
      </c>
      <c r="C5248" s="8" t="s">
        <v>23473</v>
      </c>
      <c r="F5248" s="47" t="s">
        <v>57786</v>
      </c>
      <c r="G5248" s="8">
        <v>12</v>
      </c>
      <c r="H5248" s="8" t="s">
        <v>21</v>
      </c>
      <c r="I5248" s="8" t="s">
        <v>22</v>
      </c>
      <c r="J5248" s="8" t="s">
        <v>22</v>
      </c>
      <c r="K5248" s="8" t="s">
        <v>85</v>
      </c>
      <c r="L5248" s="8" t="s">
        <v>17287</v>
      </c>
      <c r="M5248" s="8" t="s">
        <v>17288</v>
      </c>
      <c r="N5248" s="8" t="s">
        <v>23474</v>
      </c>
      <c r="O5248" s="8">
        <f>13+38/60+2.9/3600</f>
        <v>13.634138888888888</v>
      </c>
      <c r="P5248" s="8" t="s">
        <v>23475</v>
      </c>
      <c r="Q5248" s="8">
        <f>-(17+53/60+5/3600)</f>
        <v>-17.884722222222223</v>
      </c>
      <c r="R5248" s="8">
        <v>10</v>
      </c>
      <c r="S5248" s="8">
        <v>10.5</v>
      </c>
      <c r="T5248" s="8">
        <v>0.5</v>
      </c>
      <c r="U5248" s="8">
        <v>13.4</v>
      </c>
      <c r="V5248" s="8">
        <v>5.4</v>
      </c>
      <c r="W5248" s="8">
        <v>4.9000000000000004</v>
      </c>
      <c r="X5248" s="8">
        <v>20</v>
      </c>
      <c r="Y5248" s="8" t="s">
        <v>21</v>
      </c>
      <c r="Z5248" s="8" t="s">
        <v>23476</v>
      </c>
    </row>
    <row r="5249" spans="1:26" x14ac:dyDescent="0.2">
      <c r="A5249" s="8">
        <v>5248</v>
      </c>
      <c r="B5249" s="8" t="s">
        <v>23477</v>
      </c>
      <c r="C5249" s="8" t="s">
        <v>23477</v>
      </c>
      <c r="F5249" s="47" t="s">
        <v>57787</v>
      </c>
      <c r="G5249" s="8">
        <v>2</v>
      </c>
      <c r="H5249" s="8" t="s">
        <v>21</v>
      </c>
      <c r="I5249" s="8" t="s">
        <v>22</v>
      </c>
      <c r="J5249" s="8" t="s">
        <v>22</v>
      </c>
      <c r="K5249" s="8" t="s">
        <v>85</v>
      </c>
      <c r="L5249" s="8" t="s">
        <v>22476</v>
      </c>
      <c r="M5249" s="8" t="s">
        <v>22477</v>
      </c>
      <c r="N5249" s="8" t="s">
        <v>23478</v>
      </c>
      <c r="O5249" s="8">
        <f>13+37/60+32/3600</f>
        <v>13.625555555555556</v>
      </c>
      <c r="P5249" s="8" t="s">
        <v>23479</v>
      </c>
      <c r="Q5249" s="8">
        <f>+(8+53/60+10/3600)</f>
        <v>8.8861111111111111</v>
      </c>
      <c r="R5249" s="8">
        <v>10.3</v>
      </c>
      <c r="S5249" s="8">
        <v>11</v>
      </c>
      <c r="T5249" s="8">
        <v>0.7</v>
      </c>
      <c r="U5249" s="8">
        <v>13.8</v>
      </c>
      <c r="V5249" s="8">
        <v>6.2</v>
      </c>
      <c r="W5249" s="8">
        <v>4.5</v>
      </c>
      <c r="X5249" s="8">
        <v>122</v>
      </c>
      <c r="Y5249" s="8" t="s">
        <v>21</v>
      </c>
      <c r="Z5249" s="8" t="s">
        <v>23480</v>
      </c>
    </row>
    <row r="5250" spans="1:26" x14ac:dyDescent="0.2">
      <c r="A5250" s="8">
        <v>5249</v>
      </c>
      <c r="B5250" s="8" t="s">
        <v>23481</v>
      </c>
      <c r="C5250" s="8" t="s">
        <v>23481</v>
      </c>
      <c r="F5250" s="47" t="s">
        <v>57788</v>
      </c>
      <c r="G5250" s="8">
        <v>15</v>
      </c>
      <c r="H5250" s="8" t="s">
        <v>21</v>
      </c>
      <c r="I5250" s="8" t="s">
        <v>22</v>
      </c>
      <c r="J5250" s="8" t="s">
        <v>22</v>
      </c>
      <c r="K5250" s="8" t="s">
        <v>37</v>
      </c>
      <c r="L5250" s="8" t="s">
        <v>22476</v>
      </c>
      <c r="M5250" s="8" t="s">
        <v>22477</v>
      </c>
      <c r="N5250" s="8" t="s">
        <v>23482</v>
      </c>
      <c r="O5250" s="8">
        <f>13+37/60+37.5/3600</f>
        <v>13.627083333333333</v>
      </c>
      <c r="P5250" s="8" t="s">
        <v>23483</v>
      </c>
      <c r="Q5250" s="8">
        <f>+(15+58/60+20/3600)</f>
        <v>15.972222222222223</v>
      </c>
      <c r="R5250" s="8">
        <v>12.9</v>
      </c>
      <c r="S5250" s="8">
        <v>13.9</v>
      </c>
      <c r="T5250" s="8">
        <v>1</v>
      </c>
      <c r="U5250" s="8">
        <v>13.4</v>
      </c>
      <c r="V5250" s="8">
        <v>1.6</v>
      </c>
      <c r="W5250" s="8">
        <v>1.2</v>
      </c>
      <c r="X5250" s="8">
        <v>170</v>
      </c>
      <c r="Y5250" s="8" t="s">
        <v>2248</v>
      </c>
      <c r="Z5250" s="8" t="s">
        <v>2249</v>
      </c>
    </row>
    <row r="5251" spans="1:26" x14ac:dyDescent="0.2">
      <c r="A5251" s="8">
        <v>5250</v>
      </c>
      <c r="B5251" s="8" t="s">
        <v>23484</v>
      </c>
      <c r="C5251" s="8" t="s">
        <v>23484</v>
      </c>
      <c r="F5251" s="47" t="s">
        <v>57789</v>
      </c>
      <c r="G5251" s="8">
        <v>15</v>
      </c>
      <c r="H5251" s="8" t="s">
        <v>21</v>
      </c>
      <c r="I5251" s="8" t="s">
        <v>22</v>
      </c>
      <c r="J5251" s="8" t="s">
        <v>22</v>
      </c>
      <c r="K5251" s="8" t="s">
        <v>37</v>
      </c>
      <c r="L5251" s="8" t="s">
        <v>12015</v>
      </c>
      <c r="M5251" s="8" t="s">
        <v>12016</v>
      </c>
      <c r="N5251" s="8" t="s">
        <v>23485</v>
      </c>
      <c r="O5251" s="8">
        <f>13+36/60+7.1/3600</f>
        <v>13.601972222222221</v>
      </c>
      <c r="P5251" s="8" t="s">
        <v>23486</v>
      </c>
      <c r="Q5251" s="8">
        <f>+(51+14/60+11/3600)</f>
        <v>51.236388888888889</v>
      </c>
      <c r="R5251" s="8">
        <v>13</v>
      </c>
      <c r="S5251" s="8">
        <v>14</v>
      </c>
      <c r="T5251" s="8">
        <v>1</v>
      </c>
      <c r="U5251" s="8">
        <v>12.8</v>
      </c>
      <c r="V5251" s="8">
        <v>1</v>
      </c>
      <c r="W5251" s="8">
        <v>0.9</v>
      </c>
      <c r="X5251" s="8">
        <v>120</v>
      </c>
      <c r="Y5251" s="8" t="s">
        <v>1015</v>
      </c>
      <c r="Z5251" s="8" t="s">
        <v>1016</v>
      </c>
    </row>
    <row r="5252" spans="1:26" x14ac:dyDescent="0.2">
      <c r="A5252" s="8">
        <v>5251</v>
      </c>
      <c r="B5252" s="8" t="s">
        <v>23487</v>
      </c>
      <c r="C5252" s="8" t="s">
        <v>23487</v>
      </c>
      <c r="F5252" s="47" t="s">
        <v>57790</v>
      </c>
      <c r="G5252" s="8">
        <v>15</v>
      </c>
      <c r="H5252" s="8" t="s">
        <v>21</v>
      </c>
      <c r="I5252" s="8" t="s">
        <v>22</v>
      </c>
      <c r="J5252" s="8" t="s">
        <v>22</v>
      </c>
      <c r="K5252" s="8" t="s">
        <v>632</v>
      </c>
      <c r="L5252" s="8" t="s">
        <v>22476</v>
      </c>
      <c r="M5252" s="8" t="s">
        <v>22477</v>
      </c>
      <c r="N5252" s="8" t="s">
        <v>23488</v>
      </c>
      <c r="O5252" s="8">
        <f>13+37/60+24.8/3600</f>
        <v>13.623555555555557</v>
      </c>
      <c r="P5252" s="8" t="s">
        <v>23489</v>
      </c>
      <c r="Q5252" s="8">
        <f>+(27+25/60+9/3600)</f>
        <v>27.419166666666669</v>
      </c>
      <c r="R5252" s="8">
        <v>13.9</v>
      </c>
      <c r="S5252" s="8">
        <v>14.8</v>
      </c>
      <c r="T5252" s="8">
        <v>0.9</v>
      </c>
      <c r="U5252" s="8">
        <v>13</v>
      </c>
      <c r="V5252" s="8">
        <v>0.7</v>
      </c>
      <c r="W5252" s="8">
        <v>0.7</v>
      </c>
      <c r="Y5252" s="8" t="s">
        <v>6793</v>
      </c>
      <c r="Z5252" s="8" t="s">
        <v>6794</v>
      </c>
    </row>
    <row r="5253" spans="1:26" x14ac:dyDescent="0.2">
      <c r="A5253" s="8">
        <v>5252</v>
      </c>
      <c r="B5253" s="8" t="s">
        <v>23490</v>
      </c>
      <c r="C5253" s="8" t="s">
        <v>23490</v>
      </c>
      <c r="F5253" s="47" t="s">
        <v>57791</v>
      </c>
      <c r="G5253" s="8">
        <v>15</v>
      </c>
      <c r="H5253" s="8" t="s">
        <v>21</v>
      </c>
      <c r="I5253" s="8" t="s">
        <v>22</v>
      </c>
      <c r="J5253" s="8" t="s">
        <v>22</v>
      </c>
      <c r="K5253" s="8" t="s">
        <v>37</v>
      </c>
      <c r="L5253" s="8" t="s">
        <v>17287</v>
      </c>
      <c r="M5253" s="8" t="s">
        <v>17288</v>
      </c>
      <c r="N5253" s="8" t="s">
        <v>23491</v>
      </c>
      <c r="O5253" s="8">
        <f>13+38/60+15.9/3600</f>
        <v>13.637749999999999</v>
      </c>
      <c r="P5253" s="8" t="s">
        <v>23492</v>
      </c>
      <c r="Q5253" s="8">
        <f>+(4+32/60+33/3600)</f>
        <v>4.5424999999999995</v>
      </c>
      <c r="R5253" s="8">
        <v>13</v>
      </c>
      <c r="S5253" s="8">
        <v>14</v>
      </c>
      <c r="T5253" s="8">
        <v>1</v>
      </c>
      <c r="U5253" s="8">
        <v>13.2</v>
      </c>
      <c r="V5253" s="8">
        <v>1.4</v>
      </c>
      <c r="W5253" s="8">
        <v>0.9</v>
      </c>
      <c r="X5253" s="8">
        <v>10</v>
      </c>
      <c r="Y5253" s="8" t="s">
        <v>2248</v>
      </c>
      <c r="Z5253" s="8" t="s">
        <v>2249</v>
      </c>
    </row>
    <row r="5254" spans="1:26" x14ac:dyDescent="0.2">
      <c r="A5254" s="8">
        <v>5253</v>
      </c>
      <c r="B5254" s="8" t="s">
        <v>23493</v>
      </c>
      <c r="C5254" s="8" t="s">
        <v>23493</v>
      </c>
      <c r="F5254" s="47" t="s">
        <v>57792</v>
      </c>
      <c r="G5254" s="8">
        <v>3</v>
      </c>
      <c r="H5254" s="8" t="s">
        <v>21</v>
      </c>
      <c r="I5254" s="8" t="s">
        <v>22</v>
      </c>
      <c r="J5254" s="8" t="s">
        <v>22</v>
      </c>
      <c r="K5254" s="8" t="s">
        <v>124</v>
      </c>
      <c r="L5254" s="8" t="s">
        <v>16195</v>
      </c>
      <c r="M5254" s="8" t="s">
        <v>16196</v>
      </c>
      <c r="N5254" s="8" t="s">
        <v>23494</v>
      </c>
      <c r="O5254" s="8">
        <f>13+39/60+55.8/3600</f>
        <v>13.6655</v>
      </c>
      <c r="P5254" s="8" t="s">
        <v>23495</v>
      </c>
      <c r="Q5254" s="8">
        <f>-(31+38/60+30/3600)</f>
        <v>-31.641666666666666</v>
      </c>
      <c r="R5254" s="8">
        <v>10.4</v>
      </c>
      <c r="S5254" s="8">
        <v>10.9</v>
      </c>
      <c r="T5254" s="8">
        <v>0.5</v>
      </c>
      <c r="U5254" s="8">
        <v>12.8</v>
      </c>
      <c r="V5254" s="8">
        <v>5</v>
      </c>
      <c r="W5254" s="8">
        <v>1.9</v>
      </c>
      <c r="X5254" s="8">
        <v>45</v>
      </c>
      <c r="Y5254" s="8" t="s">
        <v>23496</v>
      </c>
      <c r="Z5254" s="8" t="s">
        <v>23497</v>
      </c>
    </row>
    <row r="5255" spans="1:26" x14ac:dyDescent="0.2">
      <c r="A5255" s="8">
        <v>5254</v>
      </c>
      <c r="B5255" s="8" t="s">
        <v>23498</v>
      </c>
      <c r="C5255" s="8" t="s">
        <v>23498</v>
      </c>
      <c r="F5255" s="47"/>
      <c r="G5255" s="8">
        <v>16</v>
      </c>
      <c r="H5255" s="8" t="s">
        <v>21</v>
      </c>
      <c r="I5255" s="8" t="s">
        <v>22</v>
      </c>
      <c r="J5255" s="8" t="s">
        <v>22</v>
      </c>
      <c r="K5255" s="8" t="s">
        <v>160</v>
      </c>
      <c r="L5255" s="8" t="s">
        <v>17287</v>
      </c>
      <c r="M5255" s="8" t="s">
        <v>17288</v>
      </c>
      <c r="N5255" s="8" t="s">
        <v>23499</v>
      </c>
      <c r="O5255" s="8">
        <f>13+39/60+38/3600</f>
        <v>13.660555555555556</v>
      </c>
      <c r="P5255" s="8" t="s">
        <v>23500</v>
      </c>
      <c r="Q5255" s="8">
        <f>-(11+29/60+39/3600)</f>
        <v>-11.494166666666667</v>
      </c>
      <c r="R5255" s="8">
        <v>12</v>
      </c>
      <c r="S5255" s="8">
        <v>12.7</v>
      </c>
      <c r="T5255" s="8">
        <v>0.7</v>
      </c>
      <c r="U5255" s="8">
        <v>13.5</v>
      </c>
      <c r="V5255" s="8">
        <v>3.2</v>
      </c>
      <c r="W5255" s="8">
        <v>1.5</v>
      </c>
      <c r="X5255" s="8">
        <v>125</v>
      </c>
      <c r="Y5255" s="8" t="s">
        <v>23501</v>
      </c>
      <c r="Z5255" s="8" t="s">
        <v>23502</v>
      </c>
    </row>
    <row r="5256" spans="1:26" x14ac:dyDescent="0.2">
      <c r="A5256" s="8">
        <v>5255</v>
      </c>
      <c r="B5256" s="8" t="s">
        <v>23503</v>
      </c>
      <c r="C5256" s="8" t="s">
        <v>23503</v>
      </c>
      <c r="F5256" s="47" t="s">
        <v>57793</v>
      </c>
      <c r="G5256" s="8">
        <v>15</v>
      </c>
      <c r="H5256" s="8" t="s">
        <v>21</v>
      </c>
      <c r="I5256" s="8" t="s">
        <v>22</v>
      </c>
      <c r="J5256" s="8" t="s">
        <v>22</v>
      </c>
      <c r="K5256" s="8" t="s">
        <v>476</v>
      </c>
      <c r="L5256" s="8" t="s">
        <v>12015</v>
      </c>
      <c r="M5256" s="8" t="s">
        <v>12016</v>
      </c>
      <c r="N5256" s="8" t="s">
        <v>23504</v>
      </c>
      <c r="O5256" s="8">
        <f>13+37/60+17.9/3600</f>
        <v>13.621638888888889</v>
      </c>
      <c r="P5256" s="8" t="s">
        <v>23505</v>
      </c>
      <c r="Q5256" s="8">
        <f>+(57+6/60+35/3600)</f>
        <v>57.109722222222224</v>
      </c>
      <c r="R5256" s="8">
        <v>14.5</v>
      </c>
      <c r="S5256" s="8">
        <v>15.4</v>
      </c>
      <c r="T5256" s="8">
        <v>0.9</v>
      </c>
      <c r="U5256" s="8">
        <v>12.4</v>
      </c>
      <c r="V5256" s="8">
        <v>0.8</v>
      </c>
      <c r="W5256" s="8">
        <v>0.2</v>
      </c>
      <c r="X5256" s="8">
        <v>24</v>
      </c>
      <c r="Y5256" s="8" t="s">
        <v>282</v>
      </c>
      <c r="Z5256" s="8" t="s">
        <v>283</v>
      </c>
    </row>
    <row r="5257" spans="1:26" x14ac:dyDescent="0.2">
      <c r="A5257" s="8">
        <v>5256</v>
      </c>
      <c r="B5257" s="8" t="s">
        <v>23506</v>
      </c>
      <c r="C5257" s="8" t="s">
        <v>23506</v>
      </c>
      <c r="F5257" s="47" t="s">
        <v>57794</v>
      </c>
      <c r="G5257" s="8">
        <v>15</v>
      </c>
      <c r="H5257" s="8" t="s">
        <v>21</v>
      </c>
      <c r="I5257" s="8" t="s">
        <v>22</v>
      </c>
      <c r="J5257" s="8" t="s">
        <v>22</v>
      </c>
      <c r="K5257" s="8" t="s">
        <v>20392</v>
      </c>
      <c r="L5257" s="8" t="s">
        <v>12015</v>
      </c>
      <c r="M5257" s="8" t="s">
        <v>12016</v>
      </c>
      <c r="N5257" s="8" t="s">
        <v>23507</v>
      </c>
      <c r="O5257" s="8">
        <f>13+38/60+17.4/3600</f>
        <v>13.638166666666667</v>
      </c>
      <c r="P5257" s="8" t="s">
        <v>23508</v>
      </c>
      <c r="Q5257" s="8">
        <f>+(48+16/60+39/3600)</f>
        <v>48.277499999999996</v>
      </c>
      <c r="R5257" s="8">
        <v>13.2</v>
      </c>
      <c r="S5257" s="8">
        <v>14</v>
      </c>
      <c r="T5257" s="8">
        <v>0.8</v>
      </c>
      <c r="U5257" s="8">
        <v>13.4</v>
      </c>
      <c r="V5257" s="8">
        <v>1.2</v>
      </c>
      <c r="W5257" s="8">
        <v>1.1000000000000001</v>
      </c>
      <c r="X5257" s="8">
        <v>30</v>
      </c>
      <c r="Y5257" s="8" t="s">
        <v>1133</v>
      </c>
      <c r="Z5257" s="8" t="s">
        <v>1134</v>
      </c>
    </row>
    <row r="5258" spans="1:26" x14ac:dyDescent="0.2">
      <c r="A5258" s="8">
        <v>5257</v>
      </c>
      <c r="B5258" s="8" t="s">
        <v>23509</v>
      </c>
      <c r="C5258" s="8" t="s">
        <v>23509</v>
      </c>
      <c r="F5258" s="47" t="s">
        <v>57795</v>
      </c>
      <c r="G5258" s="8">
        <v>15</v>
      </c>
      <c r="H5258" s="8" t="s">
        <v>21</v>
      </c>
      <c r="I5258" s="8" t="s">
        <v>22</v>
      </c>
      <c r="J5258" s="8" t="s">
        <v>22</v>
      </c>
      <c r="K5258" s="8" t="s">
        <v>5751</v>
      </c>
      <c r="L5258" s="8" t="s">
        <v>17287</v>
      </c>
      <c r="M5258" s="8" t="s">
        <v>17288</v>
      </c>
      <c r="N5258" s="8" t="s">
        <v>23510</v>
      </c>
      <c r="O5258" s="8">
        <f>13+39/60+52.8/3600</f>
        <v>13.664666666666667</v>
      </c>
      <c r="P5258" s="8" t="s">
        <v>23511</v>
      </c>
      <c r="Q5258" s="8">
        <f>+(0+50/60+25/3600)</f>
        <v>0.84027777777777779</v>
      </c>
      <c r="R5258" s="8">
        <v>12.4</v>
      </c>
      <c r="S5258" s="8">
        <v>12.9</v>
      </c>
      <c r="T5258" s="8">
        <v>0.5</v>
      </c>
      <c r="U5258" s="8">
        <v>13.3</v>
      </c>
      <c r="V5258" s="8">
        <v>1.6</v>
      </c>
      <c r="W5258" s="8">
        <v>0.8</v>
      </c>
      <c r="X5258" s="8">
        <v>121</v>
      </c>
      <c r="Y5258" s="8" t="s">
        <v>23512</v>
      </c>
      <c r="Z5258" s="8" t="s">
        <v>23513</v>
      </c>
    </row>
    <row r="5259" spans="1:26" x14ac:dyDescent="0.2">
      <c r="A5259" s="8">
        <v>5258</v>
      </c>
      <c r="B5259" s="8" t="s">
        <v>23514</v>
      </c>
      <c r="C5259" s="8" t="s">
        <v>23514</v>
      </c>
      <c r="F5259" s="47" t="s">
        <v>57796</v>
      </c>
      <c r="G5259" s="8">
        <v>15</v>
      </c>
      <c r="H5259" s="8" t="s">
        <v>21</v>
      </c>
      <c r="I5259" s="8" t="s">
        <v>22</v>
      </c>
      <c r="J5259" s="8" t="s">
        <v>22</v>
      </c>
      <c r="K5259" s="8" t="s">
        <v>218</v>
      </c>
      <c r="L5259" s="8" t="s">
        <v>17287</v>
      </c>
      <c r="M5259" s="8" t="s">
        <v>17288</v>
      </c>
      <c r="N5259" s="8" t="s">
        <v>23515</v>
      </c>
      <c r="O5259" s="8">
        <f>13+39/60+57.8/3600</f>
        <v>13.666055555555555</v>
      </c>
      <c r="P5259" s="8" t="s">
        <v>23516</v>
      </c>
      <c r="Q5259" s="8">
        <f>+(0+49/60+54/3600)</f>
        <v>0.83166666666666667</v>
      </c>
      <c r="R5259" s="8">
        <v>12.3</v>
      </c>
      <c r="S5259" s="8">
        <v>12.9</v>
      </c>
      <c r="T5259" s="8">
        <v>0.6</v>
      </c>
      <c r="U5259" s="8">
        <v>13.4</v>
      </c>
      <c r="V5259" s="8">
        <v>1.4</v>
      </c>
      <c r="W5259" s="8">
        <v>0.9</v>
      </c>
      <c r="X5259" s="8">
        <v>22</v>
      </c>
      <c r="Y5259" s="8" t="s">
        <v>23512</v>
      </c>
      <c r="Z5259" s="8" t="s">
        <v>23517</v>
      </c>
    </row>
    <row r="5260" spans="1:26" x14ac:dyDescent="0.2">
      <c r="A5260" s="8">
        <v>5259</v>
      </c>
      <c r="B5260" s="8" t="s">
        <v>23518</v>
      </c>
      <c r="C5260" s="8" t="s">
        <v>23518</v>
      </c>
      <c r="E5260" s="8">
        <v>1</v>
      </c>
      <c r="F5260" s="47"/>
      <c r="G5260" s="8">
        <v>18</v>
      </c>
      <c r="H5260" s="8" t="s">
        <v>21</v>
      </c>
      <c r="I5260" s="8" t="s">
        <v>22</v>
      </c>
      <c r="J5260" s="8" t="s">
        <v>22</v>
      </c>
      <c r="K5260" s="8" t="s">
        <v>50</v>
      </c>
      <c r="L5260" s="8" t="s">
        <v>18681</v>
      </c>
      <c r="M5260" s="8" t="s">
        <v>18682</v>
      </c>
      <c r="N5260" s="8" t="s">
        <v>23519</v>
      </c>
      <c r="O5260" s="8">
        <f>13+39/60+24.6/3600</f>
        <v>13.656833333333333</v>
      </c>
      <c r="P5260" s="8" t="s">
        <v>23520</v>
      </c>
      <c r="Q5260" s="8">
        <f>+(30+59/60+28/3600)</f>
        <v>30.991111111111113</v>
      </c>
      <c r="R5260" s="8">
        <v>14.2</v>
      </c>
      <c r="S5260" s="8">
        <v>15.2</v>
      </c>
      <c r="T5260" s="8">
        <v>1</v>
      </c>
      <c r="U5260" s="8">
        <v>14</v>
      </c>
      <c r="V5260" s="8">
        <v>1.1000000000000001</v>
      </c>
      <c r="W5260" s="8">
        <v>0.7</v>
      </c>
      <c r="X5260" s="8">
        <v>108</v>
      </c>
      <c r="Y5260" s="8" t="s">
        <v>1794</v>
      </c>
      <c r="Z5260" s="8" t="s">
        <v>1795</v>
      </c>
    </row>
    <row r="5261" spans="1:26" x14ac:dyDescent="0.2">
      <c r="A5261" s="8">
        <v>5260</v>
      </c>
      <c r="B5261" s="8" t="s">
        <v>23521</v>
      </c>
      <c r="C5261" s="8" t="s">
        <v>23521</v>
      </c>
      <c r="F5261" s="47"/>
      <c r="G5261" s="8">
        <v>19</v>
      </c>
      <c r="H5261" s="8" t="s">
        <v>21</v>
      </c>
      <c r="I5261" s="8" t="s">
        <v>22</v>
      </c>
      <c r="J5261" s="8" t="s">
        <v>22</v>
      </c>
      <c r="K5261" s="8" t="s">
        <v>85</v>
      </c>
      <c r="L5261" s="8" t="s">
        <v>11765</v>
      </c>
      <c r="M5261" s="8" t="s">
        <v>11766</v>
      </c>
      <c r="N5261" s="8" t="s">
        <v>23522</v>
      </c>
      <c r="O5261" s="8">
        <f>13+40/60+19.8/3600</f>
        <v>13.672166666666666</v>
      </c>
      <c r="P5261" s="8" t="s">
        <v>23523</v>
      </c>
      <c r="Q5261" s="8">
        <f>-(23+51/60+30/3600)</f>
        <v>-23.858333333333334</v>
      </c>
      <c r="R5261" s="8">
        <v>12.8</v>
      </c>
      <c r="S5261" s="8">
        <v>13.6</v>
      </c>
      <c r="T5261" s="8">
        <v>0.8</v>
      </c>
      <c r="U5261" s="8">
        <v>13.5</v>
      </c>
      <c r="V5261" s="8">
        <v>1.6</v>
      </c>
      <c r="W5261" s="8">
        <v>1.4</v>
      </c>
      <c r="Y5261" s="8" t="s">
        <v>23524</v>
      </c>
      <c r="Z5261" s="8" t="s">
        <v>23525</v>
      </c>
    </row>
    <row r="5262" spans="1:26" x14ac:dyDescent="0.2">
      <c r="A5262" s="8">
        <v>5261</v>
      </c>
      <c r="B5262" s="8" t="s">
        <v>23526</v>
      </c>
      <c r="C5262" s="8" t="s">
        <v>23526</v>
      </c>
      <c r="F5262" s="47"/>
      <c r="G5262" s="8">
        <v>16</v>
      </c>
      <c r="H5262" s="8" t="s">
        <v>21</v>
      </c>
      <c r="I5262" s="8" t="s">
        <v>22</v>
      </c>
      <c r="J5262" s="8" t="s">
        <v>22</v>
      </c>
      <c r="K5262" s="8" t="s">
        <v>449</v>
      </c>
      <c r="L5262" s="8" t="s">
        <v>17287</v>
      </c>
      <c r="M5262" s="8" t="s">
        <v>17288</v>
      </c>
      <c r="N5262" s="8" t="s">
        <v>23527</v>
      </c>
      <c r="O5262" s="8">
        <f>13+40/60+16/3600</f>
        <v>13.671111111111111</v>
      </c>
      <c r="P5262" s="8" t="s">
        <v>23528</v>
      </c>
      <c r="Q5262" s="8">
        <f>+(5+4/60+37/3600)</f>
        <v>5.076944444444444</v>
      </c>
      <c r="R5262" s="8">
        <v>14.4</v>
      </c>
      <c r="S5262" s="8">
        <v>15.2</v>
      </c>
      <c r="T5262" s="8">
        <v>0.8</v>
      </c>
      <c r="U5262" s="8">
        <v>13.3</v>
      </c>
      <c r="V5262" s="8">
        <v>0.8</v>
      </c>
      <c r="W5262" s="8">
        <v>0.4</v>
      </c>
      <c r="X5262" s="8">
        <v>141</v>
      </c>
      <c r="Y5262" s="8" t="s">
        <v>3460</v>
      </c>
      <c r="Z5262" s="8" t="s">
        <v>3461</v>
      </c>
    </row>
    <row r="5263" spans="1:26" x14ac:dyDescent="0.2">
      <c r="A5263" s="8">
        <v>5262</v>
      </c>
      <c r="B5263" s="8" t="s">
        <v>23529</v>
      </c>
      <c r="C5263" s="8" t="s">
        <v>23529</v>
      </c>
      <c r="F5263" s="47"/>
      <c r="G5263" s="8">
        <v>16</v>
      </c>
      <c r="H5263" s="8" t="s">
        <v>21</v>
      </c>
      <c r="I5263" s="8" t="s">
        <v>22</v>
      </c>
      <c r="J5263" s="8" t="s">
        <v>22</v>
      </c>
      <c r="K5263" s="8" t="s">
        <v>58</v>
      </c>
      <c r="L5263" s="8" t="s">
        <v>14586</v>
      </c>
      <c r="M5263" s="8" t="s">
        <v>14587</v>
      </c>
      <c r="N5263" s="8" t="s">
        <v>23530</v>
      </c>
      <c r="O5263" s="8">
        <f>13+35/60+38.5/3600</f>
        <v>13.594027777777779</v>
      </c>
      <c r="P5263" s="8" t="s">
        <v>23531</v>
      </c>
      <c r="Q5263" s="8">
        <f>+(75+2/60+24/3600)</f>
        <v>75.039999999999992</v>
      </c>
      <c r="R5263" s="8">
        <v>14.2</v>
      </c>
      <c r="S5263" s="8">
        <v>15.2</v>
      </c>
      <c r="T5263" s="8">
        <v>1</v>
      </c>
      <c r="U5263" s="8">
        <v>14.1</v>
      </c>
      <c r="V5263" s="8">
        <v>1.2</v>
      </c>
      <c r="W5263" s="8">
        <v>0.7</v>
      </c>
      <c r="X5263" s="8">
        <v>14</v>
      </c>
      <c r="Y5263" s="8" t="s">
        <v>745</v>
      </c>
      <c r="Z5263" s="8" t="s">
        <v>746</v>
      </c>
    </row>
    <row r="5264" spans="1:26" x14ac:dyDescent="0.2">
      <c r="A5264" s="8">
        <v>5263</v>
      </c>
      <c r="B5264" s="8" t="s">
        <v>23532</v>
      </c>
      <c r="C5264" s="8" t="s">
        <v>23532</v>
      </c>
      <c r="F5264" s="47" t="s">
        <v>57797</v>
      </c>
      <c r="G5264" s="8">
        <v>15</v>
      </c>
      <c r="H5264" s="8" t="s">
        <v>21</v>
      </c>
      <c r="I5264" s="8" t="s">
        <v>22</v>
      </c>
      <c r="J5264" s="8" t="s">
        <v>22</v>
      </c>
      <c r="K5264" s="8" t="s">
        <v>160</v>
      </c>
      <c r="L5264" s="8" t="s">
        <v>18681</v>
      </c>
      <c r="M5264" s="8" t="s">
        <v>18682</v>
      </c>
      <c r="N5264" s="8" t="s">
        <v>23533</v>
      </c>
      <c r="O5264" s="8">
        <f>13+39/60+55.6/3600</f>
        <v>13.665444444444445</v>
      </c>
      <c r="P5264" s="8" t="s">
        <v>23534</v>
      </c>
      <c r="Q5264" s="8">
        <f>+(28+23/60+59/3600)</f>
        <v>28.399722222222223</v>
      </c>
      <c r="R5264" s="8">
        <v>13.4</v>
      </c>
      <c r="S5264" s="8">
        <v>14.1</v>
      </c>
      <c r="T5264" s="8">
        <v>0.7</v>
      </c>
      <c r="U5264" s="8">
        <v>12.8</v>
      </c>
      <c r="V5264" s="8">
        <v>1.6</v>
      </c>
      <c r="W5264" s="8">
        <v>0.4</v>
      </c>
      <c r="X5264" s="8">
        <v>26</v>
      </c>
      <c r="Y5264" s="8" t="s">
        <v>23535</v>
      </c>
      <c r="Z5264" s="8" t="s">
        <v>23536</v>
      </c>
    </row>
    <row r="5265" spans="1:26" x14ac:dyDescent="0.2">
      <c r="A5265" s="8">
        <v>5264</v>
      </c>
      <c r="B5265" s="8" t="s">
        <v>23537</v>
      </c>
      <c r="C5265" s="8" t="s">
        <v>23537</v>
      </c>
      <c r="F5265" s="47"/>
      <c r="G5265" s="8">
        <v>16</v>
      </c>
      <c r="H5265" s="8" t="s">
        <v>21</v>
      </c>
      <c r="I5265" s="8" t="s">
        <v>22</v>
      </c>
      <c r="J5265" s="8" t="s">
        <v>22</v>
      </c>
      <c r="K5265" s="8" t="s">
        <v>107</v>
      </c>
      <c r="L5265" s="8" t="s">
        <v>11765</v>
      </c>
      <c r="M5265" s="8" t="s">
        <v>11766</v>
      </c>
      <c r="N5265" s="8" t="s">
        <v>23538</v>
      </c>
      <c r="O5265" s="8">
        <f>13+41/60+36.6/3600</f>
        <v>13.6935</v>
      </c>
      <c r="P5265" s="8" t="s">
        <v>23539</v>
      </c>
      <c r="Q5265" s="8">
        <f>-(29+54/60+43/3600)</f>
        <v>-29.911944444444444</v>
      </c>
      <c r="R5265" s="8">
        <v>12</v>
      </c>
      <c r="S5265" s="8">
        <v>12.6</v>
      </c>
      <c r="T5265" s="8">
        <v>0.6</v>
      </c>
      <c r="U5265" s="8">
        <v>13.3</v>
      </c>
      <c r="V5265" s="8">
        <v>2.6</v>
      </c>
      <c r="W5265" s="8">
        <v>1.5</v>
      </c>
      <c r="X5265" s="8">
        <v>54</v>
      </c>
      <c r="Y5265" s="8" t="s">
        <v>23540</v>
      </c>
      <c r="Z5265" s="8" t="s">
        <v>23541</v>
      </c>
    </row>
    <row r="5266" spans="1:26" x14ac:dyDescent="0.2">
      <c r="A5266" s="8">
        <v>5265</v>
      </c>
      <c r="B5266" s="8" t="s">
        <v>23542</v>
      </c>
      <c r="C5266" s="8" t="s">
        <v>23542</v>
      </c>
      <c r="F5266" s="47" t="s">
        <v>57798</v>
      </c>
      <c r="G5266" s="8">
        <v>15</v>
      </c>
      <c r="H5266" s="8" t="s">
        <v>21</v>
      </c>
      <c r="I5266" s="8" t="s">
        <v>22</v>
      </c>
      <c r="J5266" s="8" t="s">
        <v>22</v>
      </c>
      <c r="K5266" s="8" t="s">
        <v>1277</v>
      </c>
      <c r="L5266" s="8" t="s">
        <v>18681</v>
      </c>
      <c r="M5266" s="8" t="s">
        <v>18682</v>
      </c>
      <c r="N5266" s="8" t="s">
        <v>23543</v>
      </c>
      <c r="O5266" s="8">
        <f>13+40/60+9/3600</f>
        <v>13.669166666666666</v>
      </c>
      <c r="P5266" s="8" t="s">
        <v>23544</v>
      </c>
      <c r="Q5266" s="8">
        <f>+(36+51/60+41/3600)</f>
        <v>36.861388888888889</v>
      </c>
      <c r="R5266" s="8">
        <v>13.9</v>
      </c>
      <c r="S5266" s="8">
        <v>14.6</v>
      </c>
      <c r="T5266" s="8">
        <v>0.7</v>
      </c>
      <c r="U5266" s="8">
        <v>12.8</v>
      </c>
      <c r="V5266" s="8">
        <v>0.7</v>
      </c>
      <c r="W5266" s="8">
        <v>0.6</v>
      </c>
      <c r="X5266" s="8">
        <v>66</v>
      </c>
      <c r="Y5266" s="8" t="s">
        <v>23545</v>
      </c>
      <c r="Z5266" s="8" t="s">
        <v>23546</v>
      </c>
    </row>
    <row r="5267" spans="1:26" x14ac:dyDescent="0.2">
      <c r="A5267" s="8">
        <v>5266</v>
      </c>
      <c r="B5267" s="8" t="s">
        <v>23547</v>
      </c>
      <c r="C5267" s="8" t="s">
        <v>23547</v>
      </c>
      <c r="F5267" s="47"/>
      <c r="G5267" s="8">
        <v>13</v>
      </c>
      <c r="H5267" s="8" t="s">
        <v>21</v>
      </c>
      <c r="I5267" s="8" t="s">
        <v>22</v>
      </c>
      <c r="J5267" s="8" t="s">
        <v>22</v>
      </c>
      <c r="K5267" s="8" t="s">
        <v>58</v>
      </c>
      <c r="L5267" s="8" t="s">
        <v>16195</v>
      </c>
      <c r="M5267" s="8" t="s">
        <v>16196</v>
      </c>
      <c r="N5267" s="8" t="s">
        <v>23548</v>
      </c>
      <c r="O5267" s="8">
        <f>13+43/60+1.8/3600</f>
        <v>13.717166666666667</v>
      </c>
      <c r="P5267" s="8" t="s">
        <v>23549</v>
      </c>
      <c r="Q5267" s="8">
        <f>-(48+10/60+9/3600)</f>
        <v>-48.169166666666662</v>
      </c>
      <c r="R5267" s="8">
        <v>11.1</v>
      </c>
      <c r="S5267" s="8">
        <v>12.1</v>
      </c>
      <c r="T5267" s="8">
        <v>1</v>
      </c>
      <c r="U5267" s="8">
        <v>13</v>
      </c>
      <c r="V5267" s="8">
        <v>3.3</v>
      </c>
      <c r="W5267" s="8">
        <v>2.2999999999999998</v>
      </c>
      <c r="X5267" s="8">
        <v>103</v>
      </c>
      <c r="Y5267" s="8" t="s">
        <v>23550</v>
      </c>
      <c r="Z5267" s="8" t="s">
        <v>23551</v>
      </c>
    </row>
    <row r="5268" spans="1:26" x14ac:dyDescent="0.2">
      <c r="A5268" s="8">
        <v>5267</v>
      </c>
      <c r="B5268" s="8" t="s">
        <v>23552</v>
      </c>
      <c r="C5268" s="8" t="s">
        <v>23552</v>
      </c>
      <c r="F5268" s="47"/>
      <c r="G5268" s="8">
        <v>16</v>
      </c>
      <c r="H5268" s="8" t="s">
        <v>21</v>
      </c>
      <c r="I5268" s="8" t="s">
        <v>22</v>
      </c>
      <c r="J5268" s="8" t="s">
        <v>22</v>
      </c>
      <c r="K5268" s="8" t="s">
        <v>218</v>
      </c>
      <c r="L5268" s="8" t="s">
        <v>18681</v>
      </c>
      <c r="M5268" s="8" t="s">
        <v>18682</v>
      </c>
      <c r="N5268" s="8" t="s">
        <v>23553</v>
      </c>
      <c r="O5268" s="8">
        <f>13+40/60+40/3600</f>
        <v>13.677777777777777</v>
      </c>
      <c r="P5268" s="8" t="s">
        <v>23554</v>
      </c>
      <c r="Q5268" s="8">
        <f>+(38+47/60+40/3600)</f>
        <v>38.794444444444444</v>
      </c>
      <c r="R5268" s="8">
        <v>13.5</v>
      </c>
      <c r="S5268" s="8">
        <v>14.3</v>
      </c>
      <c r="T5268" s="8">
        <v>0.8</v>
      </c>
      <c r="U5268" s="8">
        <v>13</v>
      </c>
      <c r="V5268" s="8">
        <v>1.4</v>
      </c>
      <c r="W5268" s="8">
        <v>0.5</v>
      </c>
      <c r="X5268" s="8">
        <v>56</v>
      </c>
      <c r="Y5268" s="8" t="s">
        <v>23555</v>
      </c>
      <c r="Z5268" s="8" t="s">
        <v>23556</v>
      </c>
    </row>
    <row r="5269" spans="1:26" x14ac:dyDescent="0.2">
      <c r="A5269" s="8">
        <v>5268</v>
      </c>
      <c r="B5269" s="8" t="s">
        <v>23557</v>
      </c>
      <c r="C5269" s="8" t="s">
        <v>23557</v>
      </c>
      <c r="F5269" s="47"/>
      <c r="G5269" s="8">
        <v>17</v>
      </c>
      <c r="H5269" s="8" t="s">
        <v>21</v>
      </c>
      <c r="I5269" s="8" t="s">
        <v>72</v>
      </c>
      <c r="J5269" s="8" t="s">
        <v>72</v>
      </c>
      <c r="K5269" s="8" t="s">
        <v>20</v>
      </c>
      <c r="L5269" s="8" t="s">
        <v>17287</v>
      </c>
      <c r="M5269" s="8" t="s">
        <v>17288</v>
      </c>
      <c r="N5269" s="8" t="s">
        <v>23558</v>
      </c>
      <c r="O5269" s="8">
        <f>13+42/60+12.3/3600</f>
        <v>13.703416666666666</v>
      </c>
      <c r="P5269" s="8" t="s">
        <v>23559</v>
      </c>
      <c r="Q5269" s="8">
        <f>-(13+51/60+37/3600)</f>
        <v>-13.860277777777778</v>
      </c>
      <c r="R5269" s="8">
        <v>11.4</v>
      </c>
      <c r="S5269" s="8">
        <v>11.3</v>
      </c>
      <c r="T5269" s="8">
        <v>99</v>
      </c>
      <c r="U5269" s="8">
        <v>99</v>
      </c>
      <c r="Y5269" s="8" t="s">
        <v>23560</v>
      </c>
      <c r="Z5269" s="8" t="s">
        <v>23561</v>
      </c>
    </row>
    <row r="5270" spans="1:26" x14ac:dyDescent="0.2">
      <c r="A5270" s="8">
        <v>5269</v>
      </c>
      <c r="B5270" s="8" t="s">
        <v>23562</v>
      </c>
      <c r="C5270" s="8" t="s">
        <v>23562</v>
      </c>
      <c r="F5270" s="47"/>
      <c r="G5270" s="8">
        <v>16</v>
      </c>
      <c r="H5270" s="8" t="s">
        <v>21</v>
      </c>
      <c r="I5270" s="8" t="s">
        <v>557</v>
      </c>
      <c r="J5270" s="8" t="s">
        <v>557</v>
      </c>
      <c r="K5270" s="8" t="s">
        <v>557</v>
      </c>
      <c r="L5270" s="8" t="s">
        <v>16195</v>
      </c>
      <c r="M5270" s="8" t="s">
        <v>16196</v>
      </c>
      <c r="N5270" s="8" t="s">
        <v>23563</v>
      </c>
      <c r="O5270" s="8">
        <f>13+44/60+44.1/3600</f>
        <v>13.745583333333332</v>
      </c>
      <c r="P5270" s="8" t="s">
        <v>23564</v>
      </c>
      <c r="Q5270" s="8">
        <f>-(62+54/60+54/3600)</f>
        <v>-62.914999999999999</v>
      </c>
      <c r="R5270" s="8">
        <v>99</v>
      </c>
      <c r="S5270" s="8">
        <v>99</v>
      </c>
      <c r="T5270" s="8">
        <v>99</v>
      </c>
      <c r="U5270" s="8">
        <v>99</v>
      </c>
      <c r="V5270" s="8">
        <v>3</v>
      </c>
      <c r="Y5270" s="8" t="s">
        <v>23565</v>
      </c>
      <c r="Z5270" s="8" t="s">
        <v>23566</v>
      </c>
    </row>
    <row r="5271" spans="1:26" x14ac:dyDescent="0.2">
      <c r="A5271" s="8">
        <v>5270</v>
      </c>
      <c r="B5271" s="8" t="s">
        <v>23567</v>
      </c>
      <c r="C5271" s="8" t="s">
        <v>23567</v>
      </c>
      <c r="F5271" s="47"/>
      <c r="G5271" s="8">
        <v>16</v>
      </c>
      <c r="H5271" s="8" t="s">
        <v>21</v>
      </c>
      <c r="I5271" s="8" t="s">
        <v>22</v>
      </c>
      <c r="J5271" s="8" t="s">
        <v>22</v>
      </c>
      <c r="K5271" s="8" t="s">
        <v>218</v>
      </c>
      <c r="L5271" s="8" t="s">
        <v>17287</v>
      </c>
      <c r="M5271" s="8" t="s">
        <v>17288</v>
      </c>
      <c r="N5271" s="8" t="s">
        <v>23568</v>
      </c>
      <c r="O5271" s="8">
        <f>13+42/60+10.9/3600</f>
        <v>13.703027777777777</v>
      </c>
      <c r="P5271" s="8" t="s">
        <v>23569</v>
      </c>
      <c r="Q5271" s="8">
        <f>+(4+15/60+45/3600)</f>
        <v>4.2625000000000002</v>
      </c>
      <c r="R5271" s="8">
        <v>13.5</v>
      </c>
      <c r="S5271" s="8">
        <v>14.3</v>
      </c>
      <c r="T5271" s="8">
        <v>0.8</v>
      </c>
      <c r="U5271" s="8">
        <v>13.2</v>
      </c>
      <c r="V5271" s="8">
        <v>1.1000000000000001</v>
      </c>
      <c r="W5271" s="8">
        <v>0.8</v>
      </c>
      <c r="X5271" s="8">
        <v>20</v>
      </c>
      <c r="Y5271" s="8" t="s">
        <v>23570</v>
      </c>
      <c r="Z5271" s="8" t="s">
        <v>23571</v>
      </c>
    </row>
    <row r="5272" spans="1:26" x14ac:dyDescent="0.2">
      <c r="A5272" s="8">
        <v>5271</v>
      </c>
      <c r="B5272" s="8" t="s">
        <v>23572</v>
      </c>
      <c r="C5272" s="8" t="s">
        <v>23572</v>
      </c>
      <c r="F5272" s="47"/>
      <c r="G5272" s="8">
        <v>19</v>
      </c>
      <c r="H5272" s="8" t="s">
        <v>21</v>
      </c>
      <c r="I5272" s="8" t="s">
        <v>22</v>
      </c>
      <c r="J5272" s="8" t="s">
        <v>22</v>
      </c>
      <c r="K5272" s="8" t="s">
        <v>154</v>
      </c>
      <c r="L5272" s="8" t="s">
        <v>18681</v>
      </c>
      <c r="M5272" s="8" t="s">
        <v>18682</v>
      </c>
      <c r="N5272" s="8" t="s">
        <v>23573</v>
      </c>
      <c r="O5272" s="8">
        <f>13+41/60+42.4/3600</f>
        <v>13.695111111111112</v>
      </c>
      <c r="P5272" s="8" t="s">
        <v>23574</v>
      </c>
      <c r="Q5272" s="8">
        <f>+(30+7/60+31/3600)</f>
        <v>30.125277777777779</v>
      </c>
      <c r="R5272" s="8">
        <v>14.1</v>
      </c>
      <c r="S5272" s="8">
        <v>15</v>
      </c>
      <c r="T5272" s="8">
        <v>0.9</v>
      </c>
      <c r="U5272" s="8">
        <v>13.9</v>
      </c>
      <c r="V5272" s="8">
        <v>0.9</v>
      </c>
      <c r="W5272" s="8">
        <v>0.7</v>
      </c>
      <c r="X5272" s="8">
        <v>168</v>
      </c>
      <c r="Y5272" s="8" t="s">
        <v>23575</v>
      </c>
      <c r="Z5272" s="8" t="s">
        <v>23576</v>
      </c>
    </row>
    <row r="5273" spans="1:26" x14ac:dyDescent="0.2">
      <c r="A5273" s="8">
        <v>5272</v>
      </c>
      <c r="B5273" s="8" t="s">
        <v>23577</v>
      </c>
      <c r="C5273" s="8" t="s">
        <v>55922</v>
      </c>
      <c r="F5273" s="47"/>
      <c r="G5273" s="8">
        <v>1</v>
      </c>
      <c r="H5273" s="8" t="s">
        <v>21</v>
      </c>
      <c r="I5273" s="8" t="s">
        <v>567</v>
      </c>
      <c r="J5273" s="8" t="s">
        <v>567</v>
      </c>
      <c r="K5273" s="8" t="s">
        <v>10621</v>
      </c>
      <c r="L5273" s="8" t="s">
        <v>18681</v>
      </c>
      <c r="M5273" s="8" t="s">
        <v>18682</v>
      </c>
      <c r="N5273" s="8" t="s">
        <v>23578</v>
      </c>
      <c r="O5273" s="8">
        <f>13+42/60+11.2/3600</f>
        <v>13.703111111111111</v>
      </c>
      <c r="P5273" s="8" t="s">
        <v>23579</v>
      </c>
      <c r="Q5273" s="8">
        <f>+(28+22/60+34/3600)</f>
        <v>28.376111111111111</v>
      </c>
      <c r="R5273" s="8">
        <v>6.3</v>
      </c>
      <c r="S5273" s="8">
        <v>99</v>
      </c>
      <c r="T5273" s="8">
        <v>99</v>
      </c>
      <c r="U5273" s="8">
        <v>99</v>
      </c>
      <c r="V5273" s="8">
        <v>18</v>
      </c>
      <c r="Y5273" s="8" t="s">
        <v>23580</v>
      </c>
      <c r="Z5273" s="8" t="s">
        <v>23581</v>
      </c>
    </row>
    <row r="5274" spans="1:26" x14ac:dyDescent="0.2">
      <c r="A5274" s="8">
        <v>5273</v>
      </c>
      <c r="B5274" s="8" t="s">
        <v>23582</v>
      </c>
      <c r="C5274" s="8" t="s">
        <v>23582</v>
      </c>
      <c r="F5274" s="47" t="s">
        <v>57799</v>
      </c>
      <c r="G5274" s="8">
        <v>6</v>
      </c>
      <c r="H5274" s="8" t="s">
        <v>21</v>
      </c>
      <c r="I5274" s="8" t="s">
        <v>22</v>
      </c>
      <c r="J5274" s="8" t="s">
        <v>22</v>
      </c>
      <c r="K5274" s="8" t="s">
        <v>37</v>
      </c>
      <c r="L5274" s="8" t="s">
        <v>18681</v>
      </c>
      <c r="M5274" s="8" t="s">
        <v>18682</v>
      </c>
      <c r="N5274" s="8" t="s">
        <v>23583</v>
      </c>
      <c r="O5274" s="8">
        <f>13+42/60+8.3/3600</f>
        <v>13.702305555555554</v>
      </c>
      <c r="P5274" s="8" t="s">
        <v>23584</v>
      </c>
      <c r="Q5274" s="8">
        <f>+(35+39/60+14/3600)</f>
        <v>35.653888888888886</v>
      </c>
      <c r="R5274" s="8">
        <v>11.6</v>
      </c>
      <c r="S5274" s="8">
        <v>12.4</v>
      </c>
      <c r="T5274" s="8">
        <v>0.8</v>
      </c>
      <c r="U5274" s="8">
        <v>13.6</v>
      </c>
      <c r="V5274" s="8">
        <v>2.8</v>
      </c>
      <c r="W5274" s="8">
        <v>2.5</v>
      </c>
      <c r="X5274" s="8">
        <v>10</v>
      </c>
      <c r="Y5274" s="8" t="s">
        <v>23585</v>
      </c>
      <c r="Z5274" s="8" t="s">
        <v>23586</v>
      </c>
    </row>
    <row r="5275" spans="1:26" x14ac:dyDescent="0.2">
      <c r="A5275" s="8">
        <v>5274</v>
      </c>
      <c r="B5275" s="8" t="s">
        <v>23587</v>
      </c>
      <c r="C5275" s="8" t="s">
        <v>23587</v>
      </c>
      <c r="F5275" s="47"/>
      <c r="G5275" s="8">
        <v>19</v>
      </c>
      <c r="H5275" s="8" t="s">
        <v>21</v>
      </c>
      <c r="I5275" s="8" t="s">
        <v>22</v>
      </c>
      <c r="J5275" s="8" t="s">
        <v>22</v>
      </c>
      <c r="K5275" s="8" t="s">
        <v>460</v>
      </c>
      <c r="L5275" s="8" t="s">
        <v>18681</v>
      </c>
      <c r="M5275" s="8" t="s">
        <v>18682</v>
      </c>
      <c r="N5275" s="8" t="s">
        <v>23588</v>
      </c>
      <c r="O5275" s="8">
        <f>13+42/60+23.3/3600</f>
        <v>13.706472222222221</v>
      </c>
      <c r="P5275" s="8" t="s">
        <v>23589</v>
      </c>
      <c r="Q5275" s="8">
        <f>+(29+50/60+52/3600)</f>
        <v>29.847777777777775</v>
      </c>
      <c r="R5275" s="8">
        <v>14.6</v>
      </c>
      <c r="S5275" s="8">
        <v>15.6</v>
      </c>
      <c r="T5275" s="8">
        <v>1</v>
      </c>
      <c r="U5275" s="8">
        <v>12.7</v>
      </c>
      <c r="V5275" s="8">
        <v>0.4</v>
      </c>
      <c r="W5275" s="8">
        <v>0.4</v>
      </c>
      <c r="Y5275" s="8" t="s">
        <v>115</v>
      </c>
      <c r="Z5275" s="8" t="s">
        <v>116</v>
      </c>
    </row>
    <row r="5276" spans="1:26" x14ac:dyDescent="0.2">
      <c r="A5276" s="8">
        <v>5275</v>
      </c>
      <c r="B5276" s="8" t="s">
        <v>23590</v>
      </c>
      <c r="C5276" s="8" t="s">
        <v>23590</v>
      </c>
      <c r="F5276" s="47"/>
      <c r="G5276" s="8">
        <v>19</v>
      </c>
      <c r="H5276" s="8" t="s">
        <v>21</v>
      </c>
      <c r="I5276" s="8" t="s">
        <v>22</v>
      </c>
      <c r="J5276" s="8" t="s">
        <v>22</v>
      </c>
      <c r="K5276" s="8" t="s">
        <v>37</v>
      </c>
      <c r="L5276" s="8" t="s">
        <v>18681</v>
      </c>
      <c r="M5276" s="8" t="s">
        <v>18682</v>
      </c>
      <c r="N5276" s="8" t="s">
        <v>23591</v>
      </c>
      <c r="O5276" s="8">
        <f>13+42/60+23.6/3600</f>
        <v>13.706555555555555</v>
      </c>
      <c r="P5276" s="8" t="s">
        <v>23592</v>
      </c>
      <c r="Q5276" s="8">
        <f>+(29+49/60+31/3600)</f>
        <v>29.825277777777778</v>
      </c>
      <c r="R5276" s="8">
        <v>14.2</v>
      </c>
      <c r="S5276" s="8">
        <v>15.2</v>
      </c>
      <c r="T5276" s="8">
        <v>1</v>
      </c>
      <c r="U5276" s="8">
        <v>12.7</v>
      </c>
      <c r="V5276" s="8">
        <v>0.7</v>
      </c>
      <c r="W5276" s="8">
        <v>0.7</v>
      </c>
      <c r="Y5276" s="8" t="s">
        <v>15498</v>
      </c>
      <c r="Z5276" s="8" t="s">
        <v>15499</v>
      </c>
    </row>
    <row r="5277" spans="1:26" x14ac:dyDescent="0.2">
      <c r="A5277" s="8">
        <v>5276</v>
      </c>
      <c r="B5277" s="8" t="s">
        <v>23593</v>
      </c>
      <c r="C5277" s="8" t="s">
        <v>23593</v>
      </c>
      <c r="F5277" s="47"/>
      <c r="G5277" s="8">
        <v>18</v>
      </c>
      <c r="H5277" s="8" t="s">
        <v>21</v>
      </c>
      <c r="I5277" s="8" t="s">
        <v>22</v>
      </c>
      <c r="J5277" s="8" t="s">
        <v>22</v>
      </c>
      <c r="K5277" s="8" t="s">
        <v>218</v>
      </c>
      <c r="L5277" s="8" t="s">
        <v>18681</v>
      </c>
      <c r="M5277" s="8" t="s">
        <v>18682</v>
      </c>
      <c r="N5277" s="8" t="s">
        <v>23594</v>
      </c>
      <c r="O5277" s="8">
        <f>13+42/60+21.9/3600</f>
        <v>13.706083333333332</v>
      </c>
      <c r="P5277" s="8" t="s">
        <v>23595</v>
      </c>
      <c r="Q5277" s="8">
        <f>+(35+37/60+27/3600)</f>
        <v>35.624166666666667</v>
      </c>
      <c r="R5277" s="8">
        <v>13.8</v>
      </c>
      <c r="S5277" s="8">
        <v>14.6</v>
      </c>
      <c r="T5277" s="8">
        <v>0.8</v>
      </c>
      <c r="U5277" s="8">
        <v>13.1</v>
      </c>
      <c r="V5277" s="8">
        <v>0.9</v>
      </c>
      <c r="W5277" s="8">
        <v>0.5</v>
      </c>
      <c r="X5277" s="8">
        <v>153</v>
      </c>
      <c r="Y5277" s="8" t="s">
        <v>4065</v>
      </c>
      <c r="Z5277" s="8" t="s">
        <v>4066</v>
      </c>
    </row>
    <row r="5278" spans="1:26" x14ac:dyDescent="0.2">
      <c r="A5278" s="8">
        <v>5277</v>
      </c>
      <c r="B5278" s="8" t="s">
        <v>23596</v>
      </c>
      <c r="C5278" s="8" t="s">
        <v>23596</v>
      </c>
      <c r="F5278" s="47"/>
      <c r="G5278" s="8">
        <v>19</v>
      </c>
      <c r="H5278" s="8" t="s">
        <v>21</v>
      </c>
      <c r="I5278" s="8" t="s">
        <v>22</v>
      </c>
      <c r="J5278" s="8" t="s">
        <v>22</v>
      </c>
      <c r="K5278" s="8" t="s">
        <v>396</v>
      </c>
      <c r="L5278" s="8" t="s">
        <v>18681</v>
      </c>
      <c r="M5278" s="8" t="s">
        <v>18682</v>
      </c>
      <c r="N5278" s="8" t="s">
        <v>23597</v>
      </c>
      <c r="O5278" s="8">
        <f>13+42/60+38.4/3600</f>
        <v>13.710666666666667</v>
      </c>
      <c r="P5278" s="8" t="s">
        <v>23598</v>
      </c>
      <c r="Q5278" s="8">
        <f>+(29+57/60+15/3600)</f>
        <v>29.954166666666666</v>
      </c>
      <c r="R5278" s="8">
        <v>14.5</v>
      </c>
      <c r="S5278" s="8">
        <v>15.3</v>
      </c>
      <c r="T5278" s="8">
        <v>0.8</v>
      </c>
      <c r="U5278" s="8">
        <v>13.4</v>
      </c>
      <c r="V5278" s="8">
        <v>0.6</v>
      </c>
      <c r="W5278" s="8">
        <v>0.4</v>
      </c>
      <c r="X5278" s="8">
        <v>138</v>
      </c>
      <c r="Y5278" s="8" t="s">
        <v>314</v>
      </c>
      <c r="Z5278" s="8" t="s">
        <v>315</v>
      </c>
    </row>
    <row r="5279" spans="1:26" x14ac:dyDescent="0.2">
      <c r="A5279" s="8">
        <v>5278</v>
      </c>
      <c r="B5279" s="8" t="s">
        <v>23599</v>
      </c>
      <c r="C5279" s="8" t="s">
        <v>23599</v>
      </c>
      <c r="F5279" s="47" t="s">
        <v>57800</v>
      </c>
      <c r="G5279" s="8">
        <v>15</v>
      </c>
      <c r="H5279" s="8" t="s">
        <v>21</v>
      </c>
      <c r="I5279" s="8" t="s">
        <v>22</v>
      </c>
      <c r="J5279" s="8" t="s">
        <v>22</v>
      </c>
      <c r="K5279" s="8" t="s">
        <v>79</v>
      </c>
      <c r="L5279" s="8" t="s">
        <v>12015</v>
      </c>
      <c r="M5279" s="8" t="s">
        <v>12016</v>
      </c>
      <c r="N5279" s="8" t="s">
        <v>23600</v>
      </c>
      <c r="O5279" s="8">
        <f>13+41/60+39.9/3600</f>
        <v>13.694416666666667</v>
      </c>
      <c r="P5279" s="8" t="s">
        <v>23601</v>
      </c>
      <c r="Q5279" s="8">
        <f>+(55+40/60+14/3600)</f>
        <v>55.670555555555552</v>
      </c>
      <c r="R5279" s="8">
        <v>12.9</v>
      </c>
      <c r="S5279" s="8">
        <v>13.7</v>
      </c>
      <c r="T5279" s="8">
        <v>0.8</v>
      </c>
      <c r="U5279" s="8">
        <v>13</v>
      </c>
      <c r="V5279" s="8">
        <v>1.3</v>
      </c>
      <c r="W5279" s="8">
        <v>1</v>
      </c>
      <c r="X5279" s="8">
        <v>57</v>
      </c>
      <c r="Y5279" s="8" t="s">
        <v>23602</v>
      </c>
      <c r="Z5279" s="8" t="s">
        <v>23603</v>
      </c>
    </row>
    <row r="5280" spans="1:26" x14ac:dyDescent="0.2">
      <c r="A5280" s="8">
        <v>5279</v>
      </c>
      <c r="B5280" s="8" t="s">
        <v>23604</v>
      </c>
      <c r="C5280" s="8" t="s">
        <v>23604</v>
      </c>
      <c r="F5280" s="47"/>
      <c r="G5280" s="8">
        <v>16</v>
      </c>
      <c r="H5280" s="8" t="s">
        <v>21</v>
      </c>
      <c r="I5280" s="8" t="s">
        <v>22</v>
      </c>
      <c r="J5280" s="8" t="s">
        <v>22</v>
      </c>
      <c r="K5280" s="8" t="s">
        <v>7975</v>
      </c>
      <c r="L5280" s="8" t="s">
        <v>12015</v>
      </c>
      <c r="M5280" s="8" t="s">
        <v>12016</v>
      </c>
      <c r="N5280" s="8" t="s">
        <v>23605</v>
      </c>
      <c r="O5280" s="8">
        <f>13+41/60+43.7/3600</f>
        <v>13.695472222222222</v>
      </c>
      <c r="P5280" s="8" t="s">
        <v>23606</v>
      </c>
      <c r="Q5280" s="8">
        <f>+(55+40/60+24/3600)</f>
        <v>55.673333333333332</v>
      </c>
      <c r="R5280" s="8">
        <v>14.3</v>
      </c>
      <c r="S5280" s="8">
        <v>15</v>
      </c>
      <c r="T5280" s="8">
        <v>0.7</v>
      </c>
      <c r="U5280" s="8">
        <v>12.8</v>
      </c>
      <c r="V5280" s="8">
        <v>0.7</v>
      </c>
      <c r="W5280" s="8">
        <v>0.4</v>
      </c>
      <c r="X5280" s="8">
        <v>29</v>
      </c>
      <c r="Y5280" s="8" t="s">
        <v>23602</v>
      </c>
      <c r="Z5280" s="8" t="s">
        <v>23607</v>
      </c>
    </row>
    <row r="5281" spans="1:26" x14ac:dyDescent="0.2">
      <c r="A5281" s="8">
        <v>5280</v>
      </c>
      <c r="B5281" s="8" t="s">
        <v>23608</v>
      </c>
      <c r="C5281" s="8" t="s">
        <v>23608</v>
      </c>
      <c r="F5281" s="47"/>
      <c r="G5281" s="8">
        <v>19</v>
      </c>
      <c r="H5281" s="8" t="s">
        <v>21</v>
      </c>
      <c r="I5281" s="8" t="s">
        <v>22</v>
      </c>
      <c r="J5281" s="8" t="s">
        <v>22</v>
      </c>
      <c r="K5281" s="8" t="s">
        <v>460</v>
      </c>
      <c r="L5281" s="8" t="s">
        <v>18681</v>
      </c>
      <c r="M5281" s="8" t="s">
        <v>18682</v>
      </c>
      <c r="N5281" s="8" t="s">
        <v>23609</v>
      </c>
      <c r="O5281" s="8">
        <f>13+42/60+55.5/3600</f>
        <v>13.715416666666666</v>
      </c>
      <c r="P5281" s="8" t="s">
        <v>23610</v>
      </c>
      <c r="Q5281" s="8">
        <f>+(29+52/60+9/3600)</f>
        <v>29.869166666666668</v>
      </c>
      <c r="R5281" s="8">
        <v>13.6</v>
      </c>
      <c r="S5281" s="8">
        <v>14.7</v>
      </c>
      <c r="T5281" s="8">
        <v>1.1000000000000001</v>
      </c>
      <c r="U5281" s="8">
        <v>13.1</v>
      </c>
      <c r="V5281" s="8">
        <v>0.8</v>
      </c>
      <c r="W5281" s="8">
        <v>0.8</v>
      </c>
      <c r="Y5281" s="8" t="s">
        <v>3952</v>
      </c>
      <c r="Z5281" s="8" t="s">
        <v>3953</v>
      </c>
    </row>
    <row r="5282" spans="1:26" x14ac:dyDescent="0.2">
      <c r="A5282" s="8">
        <v>5281</v>
      </c>
      <c r="B5282" s="8" t="s">
        <v>23611</v>
      </c>
      <c r="C5282" s="8" t="s">
        <v>23611</v>
      </c>
      <c r="F5282" s="47"/>
      <c r="G5282" s="8">
        <v>4</v>
      </c>
      <c r="H5282" s="8" t="s">
        <v>6254</v>
      </c>
      <c r="I5282" s="8" t="s">
        <v>557</v>
      </c>
      <c r="J5282" s="8" t="s">
        <v>557</v>
      </c>
      <c r="K5282" s="8" t="s">
        <v>2158</v>
      </c>
      <c r="L5282" s="8" t="s">
        <v>16195</v>
      </c>
      <c r="M5282" s="8" t="s">
        <v>16196</v>
      </c>
      <c r="N5282" s="8" t="s">
        <v>23612</v>
      </c>
      <c r="O5282" s="8">
        <f>13+46/60+36.7/3600</f>
        <v>13.776861111111112</v>
      </c>
      <c r="P5282" s="8" t="s">
        <v>23613</v>
      </c>
      <c r="Q5282" s="8">
        <f>-(62+54/60+34/3600)</f>
        <v>-62.909444444444446</v>
      </c>
      <c r="R5282" s="8">
        <v>5.9</v>
      </c>
      <c r="S5282" s="8">
        <v>99</v>
      </c>
      <c r="T5282" s="8">
        <v>99</v>
      </c>
      <c r="U5282" s="8">
        <v>99</v>
      </c>
      <c r="V5282" s="8">
        <v>8</v>
      </c>
      <c r="Y5282" s="8" t="s">
        <v>23614</v>
      </c>
      <c r="Z5282" s="8" t="s">
        <v>23615</v>
      </c>
    </row>
    <row r="5283" spans="1:26" x14ac:dyDescent="0.2">
      <c r="A5283" s="8">
        <v>5282</v>
      </c>
      <c r="B5283" s="8" t="s">
        <v>23616</v>
      </c>
      <c r="C5283" s="8" t="s">
        <v>23616</v>
      </c>
      <c r="F5283" s="47"/>
      <c r="G5283" s="8">
        <v>19</v>
      </c>
      <c r="H5283" s="8" t="s">
        <v>21</v>
      </c>
      <c r="I5283" s="8" t="s">
        <v>22</v>
      </c>
      <c r="J5283" s="8" t="s">
        <v>22</v>
      </c>
      <c r="K5283" s="8" t="s">
        <v>382</v>
      </c>
      <c r="L5283" s="8" t="s">
        <v>18681</v>
      </c>
      <c r="M5283" s="8" t="s">
        <v>18682</v>
      </c>
      <c r="N5283" s="8" t="s">
        <v>23617</v>
      </c>
      <c r="O5283" s="8">
        <f>13+43/60+24.8/3600</f>
        <v>13.723555555555556</v>
      </c>
      <c r="P5283" s="8" t="s">
        <v>23618</v>
      </c>
      <c r="Q5283" s="8">
        <f>+(30+4/60+12/3600)</f>
        <v>30.07</v>
      </c>
      <c r="R5283" s="8">
        <v>13.3</v>
      </c>
      <c r="S5283" s="8">
        <v>14.3</v>
      </c>
      <c r="T5283" s="8">
        <v>1</v>
      </c>
      <c r="U5283" s="8">
        <v>13</v>
      </c>
      <c r="V5283" s="8">
        <v>1.1000000000000001</v>
      </c>
      <c r="W5283" s="8">
        <v>0.8</v>
      </c>
      <c r="X5283" s="8">
        <v>96</v>
      </c>
      <c r="Y5283" s="8" t="s">
        <v>23619</v>
      </c>
      <c r="Z5283" s="8" t="s">
        <v>23620</v>
      </c>
    </row>
    <row r="5284" spans="1:26" x14ac:dyDescent="0.2">
      <c r="A5284" s="8">
        <v>5283</v>
      </c>
      <c r="B5284" s="8" t="s">
        <v>23621</v>
      </c>
      <c r="C5284" s="8" t="s">
        <v>23621</v>
      </c>
      <c r="F5284" s="47"/>
      <c r="G5284" s="8">
        <v>18</v>
      </c>
      <c r="H5284" s="8" t="s">
        <v>21</v>
      </c>
      <c r="I5284" s="8" t="s">
        <v>22</v>
      </c>
      <c r="J5284" s="8" t="s">
        <v>22</v>
      </c>
      <c r="K5284" s="8" t="s">
        <v>37</v>
      </c>
      <c r="L5284" s="8" t="s">
        <v>13395</v>
      </c>
      <c r="M5284" s="8" t="s">
        <v>13396</v>
      </c>
      <c r="N5284" s="8" t="s">
        <v>23622</v>
      </c>
      <c r="O5284" s="8">
        <f>13+41/60+5.7/3600</f>
        <v>13.684916666666666</v>
      </c>
      <c r="P5284" s="8" t="s">
        <v>23623</v>
      </c>
      <c r="Q5284" s="8">
        <f>+(67+40/60+23/3600)</f>
        <v>67.673055555555564</v>
      </c>
      <c r="R5284" s="8">
        <v>13.2</v>
      </c>
      <c r="S5284" s="8">
        <v>14.2</v>
      </c>
      <c r="T5284" s="8">
        <v>1</v>
      </c>
      <c r="U5284" s="8">
        <v>13.2</v>
      </c>
      <c r="V5284" s="8">
        <v>1.1000000000000001</v>
      </c>
      <c r="W5284" s="8">
        <v>1</v>
      </c>
      <c r="X5284" s="8">
        <v>0</v>
      </c>
      <c r="Y5284" s="8" t="s">
        <v>2513</v>
      </c>
      <c r="Z5284" s="8" t="s">
        <v>23624</v>
      </c>
    </row>
    <row r="5285" spans="1:26" x14ac:dyDescent="0.2">
      <c r="A5285" s="8">
        <v>5284</v>
      </c>
      <c r="B5285" s="8" t="s">
        <v>23625</v>
      </c>
      <c r="C5285" s="8" t="s">
        <v>23625</v>
      </c>
      <c r="F5285" s="47"/>
      <c r="G5285" s="8">
        <v>16</v>
      </c>
      <c r="H5285" s="8" t="s">
        <v>21</v>
      </c>
      <c r="I5285" s="8" t="s">
        <v>557</v>
      </c>
      <c r="J5285" s="8" t="s">
        <v>557</v>
      </c>
      <c r="K5285" s="8" t="s">
        <v>557</v>
      </c>
      <c r="L5285" s="8" t="s">
        <v>16195</v>
      </c>
      <c r="M5285" s="8" t="s">
        <v>16196</v>
      </c>
      <c r="N5285" s="8" t="s">
        <v>23626</v>
      </c>
      <c r="O5285" s="8">
        <f>13+47/60+6/3600</f>
        <v>13.785</v>
      </c>
      <c r="P5285" s="8" t="s">
        <v>23627</v>
      </c>
      <c r="Q5285" s="8">
        <f>-(59+13/60+39/3600)</f>
        <v>-59.227499999999999</v>
      </c>
      <c r="R5285" s="8">
        <v>99</v>
      </c>
      <c r="S5285" s="8">
        <v>10</v>
      </c>
      <c r="T5285" s="8">
        <v>99</v>
      </c>
      <c r="U5285" s="8">
        <v>99</v>
      </c>
      <c r="V5285" s="8">
        <v>30</v>
      </c>
      <c r="W5285" s="8">
        <v>20</v>
      </c>
      <c r="Y5285" s="8" t="s">
        <v>23628</v>
      </c>
      <c r="Z5285" s="8" t="s">
        <v>23629</v>
      </c>
    </row>
    <row r="5286" spans="1:26" x14ac:dyDescent="0.2">
      <c r="A5286" s="8">
        <v>5285</v>
      </c>
      <c r="B5286" s="8" t="s">
        <v>23630</v>
      </c>
      <c r="C5286" s="8" t="s">
        <v>23630</v>
      </c>
      <c r="F5286" s="47"/>
      <c r="G5286" s="8">
        <v>19</v>
      </c>
      <c r="H5286" s="8" t="s">
        <v>21</v>
      </c>
      <c r="I5286" s="8" t="s">
        <v>22</v>
      </c>
      <c r="J5286" s="8" t="s">
        <v>22</v>
      </c>
      <c r="K5286" s="8" t="s">
        <v>460</v>
      </c>
      <c r="L5286" s="8" t="s">
        <v>17287</v>
      </c>
      <c r="M5286" s="8" t="s">
        <v>17288</v>
      </c>
      <c r="N5286" s="8" t="s">
        <v>23631</v>
      </c>
      <c r="O5286" s="8">
        <f>13+44/60+25.7/3600</f>
        <v>13.740472222222222</v>
      </c>
      <c r="P5286" s="8" t="s">
        <v>23632</v>
      </c>
      <c r="Q5286" s="8">
        <f>+(2+6/60+38/3600)</f>
        <v>2.1105555555555555</v>
      </c>
      <c r="R5286" s="8">
        <v>13.9</v>
      </c>
      <c r="S5286" s="8">
        <v>14.9</v>
      </c>
      <c r="T5286" s="8">
        <v>1</v>
      </c>
      <c r="U5286" s="8">
        <v>13.5</v>
      </c>
      <c r="V5286" s="8">
        <v>0.8</v>
      </c>
      <c r="W5286" s="8">
        <v>0.8</v>
      </c>
      <c r="Y5286" s="8" t="s">
        <v>23633</v>
      </c>
      <c r="Z5286" s="8" t="s">
        <v>23634</v>
      </c>
    </row>
    <row r="5287" spans="1:26" x14ac:dyDescent="0.2">
      <c r="A5287" s="8">
        <v>5286</v>
      </c>
      <c r="B5287" s="8" t="s">
        <v>23635</v>
      </c>
      <c r="C5287" s="8" t="s">
        <v>23635</v>
      </c>
      <c r="F5287" s="47"/>
      <c r="G5287" s="8">
        <v>2</v>
      </c>
      <c r="H5287" s="8" t="s">
        <v>21</v>
      </c>
      <c r="I5287" s="8" t="s">
        <v>567</v>
      </c>
      <c r="J5287" s="8" t="s">
        <v>567</v>
      </c>
      <c r="K5287" s="8" t="s">
        <v>8821</v>
      </c>
      <c r="L5287" s="8" t="s">
        <v>16195</v>
      </c>
      <c r="M5287" s="8" t="s">
        <v>16196</v>
      </c>
      <c r="N5287" s="8" t="s">
        <v>23636</v>
      </c>
      <c r="O5287" s="8">
        <f>13+46/60+26.5/3600</f>
        <v>13.774027777777778</v>
      </c>
      <c r="P5287" s="8" t="s">
        <v>23637</v>
      </c>
      <c r="Q5287" s="8">
        <f>-(51+22/60+22/3600)</f>
        <v>-51.372777777777777</v>
      </c>
      <c r="R5287" s="8">
        <v>7.4</v>
      </c>
      <c r="S5287" s="8">
        <v>99</v>
      </c>
      <c r="T5287" s="8">
        <v>99</v>
      </c>
      <c r="U5287" s="8">
        <v>99</v>
      </c>
      <c r="V5287" s="8">
        <v>11</v>
      </c>
      <c r="Y5287" s="8" t="s">
        <v>23638</v>
      </c>
      <c r="Z5287" s="8" t="s">
        <v>23639</v>
      </c>
    </row>
    <row r="5288" spans="1:26" x14ac:dyDescent="0.2">
      <c r="A5288" s="8">
        <v>5287</v>
      </c>
      <c r="B5288" s="8" t="s">
        <v>23640</v>
      </c>
      <c r="C5288" s="8" t="s">
        <v>23640</v>
      </c>
      <c r="F5288" s="47"/>
      <c r="G5288" s="8">
        <v>19</v>
      </c>
      <c r="H5288" s="8" t="s">
        <v>21</v>
      </c>
      <c r="I5288" s="8" t="s">
        <v>22</v>
      </c>
      <c r="J5288" s="8" t="s">
        <v>22</v>
      </c>
      <c r="K5288" s="8" t="s">
        <v>37</v>
      </c>
      <c r="L5288" s="8" t="s">
        <v>18681</v>
      </c>
      <c r="M5288" s="8" t="s">
        <v>18682</v>
      </c>
      <c r="N5288" s="8" t="s">
        <v>23641</v>
      </c>
      <c r="O5288" s="8">
        <f>13+44/60+52.5/3600</f>
        <v>13.747916666666665</v>
      </c>
      <c r="P5288" s="8" t="s">
        <v>23642</v>
      </c>
      <c r="Q5288" s="8">
        <f>+(29+46/60+15/3600)</f>
        <v>29.770833333333332</v>
      </c>
      <c r="R5288" s="8">
        <v>15.3</v>
      </c>
      <c r="S5288" s="8">
        <v>16.3</v>
      </c>
      <c r="T5288" s="8">
        <v>1</v>
      </c>
      <c r="U5288" s="8">
        <v>13.5</v>
      </c>
      <c r="V5288" s="8">
        <v>0.7</v>
      </c>
      <c r="W5288" s="8">
        <v>0.3</v>
      </c>
      <c r="X5288" s="8">
        <v>100</v>
      </c>
      <c r="Y5288" s="8" t="s">
        <v>23643</v>
      </c>
      <c r="Z5288" s="8" t="s">
        <v>23644</v>
      </c>
    </row>
    <row r="5289" spans="1:26" x14ac:dyDescent="0.2">
      <c r="A5289" s="8">
        <v>5288</v>
      </c>
      <c r="B5289" s="8" t="s">
        <v>23645</v>
      </c>
      <c r="C5289" s="8" t="s">
        <v>23645</v>
      </c>
      <c r="F5289" s="47"/>
      <c r="G5289" s="8">
        <v>14</v>
      </c>
      <c r="H5289" s="8" t="s">
        <v>21</v>
      </c>
      <c r="I5289" s="8" t="s">
        <v>557</v>
      </c>
      <c r="J5289" s="8" t="s">
        <v>557</v>
      </c>
      <c r="K5289" s="8" t="s">
        <v>558</v>
      </c>
      <c r="L5289" s="8" t="s">
        <v>23646</v>
      </c>
      <c r="M5289" s="8" t="s">
        <v>23647</v>
      </c>
      <c r="N5289" s="8" t="s">
        <v>23648</v>
      </c>
      <c r="O5289" s="8">
        <f>13+48/60+45.6/3600</f>
        <v>13.812666666666667</v>
      </c>
      <c r="P5289" s="8" t="s">
        <v>23649</v>
      </c>
      <c r="Q5289" s="8">
        <f>-(64+41/60+11/3600)</f>
        <v>-64.686388888888899</v>
      </c>
      <c r="R5289" s="8">
        <v>11.8</v>
      </c>
      <c r="S5289" s="8">
        <v>99</v>
      </c>
      <c r="T5289" s="8">
        <v>99</v>
      </c>
      <c r="U5289" s="8">
        <v>99</v>
      </c>
      <c r="V5289" s="8">
        <v>3</v>
      </c>
      <c r="Y5289" s="8" t="s">
        <v>23650</v>
      </c>
      <c r="Z5289" s="8" t="s">
        <v>23651</v>
      </c>
    </row>
    <row r="5290" spans="1:26" x14ac:dyDescent="0.2">
      <c r="A5290" s="8">
        <v>5289</v>
      </c>
      <c r="B5290" s="8" t="s">
        <v>23652</v>
      </c>
      <c r="C5290" s="8" t="s">
        <v>23652</v>
      </c>
      <c r="F5290" s="47" t="s">
        <v>57801</v>
      </c>
      <c r="G5290" s="8">
        <v>15</v>
      </c>
      <c r="H5290" s="8" t="s">
        <v>21</v>
      </c>
      <c r="I5290" s="8" t="s">
        <v>22</v>
      </c>
      <c r="J5290" s="8" t="s">
        <v>22</v>
      </c>
      <c r="K5290" s="8" t="s">
        <v>406</v>
      </c>
      <c r="L5290" s="8" t="s">
        <v>18681</v>
      </c>
      <c r="M5290" s="8" t="s">
        <v>18682</v>
      </c>
      <c r="N5290" s="8" t="s">
        <v>23653</v>
      </c>
      <c r="O5290" s="8">
        <f>13+45/60+8.7/3600</f>
        <v>13.752416666666667</v>
      </c>
      <c r="P5290" s="8" t="s">
        <v>23654</v>
      </c>
      <c r="Q5290" s="8">
        <f>+(41+30/60+13/3600)</f>
        <v>41.503611111111113</v>
      </c>
      <c r="R5290" s="8">
        <v>13</v>
      </c>
      <c r="S5290" s="8">
        <v>14</v>
      </c>
      <c r="T5290" s="8">
        <v>1</v>
      </c>
      <c r="U5290" s="8">
        <v>13</v>
      </c>
      <c r="V5290" s="8">
        <v>1.9</v>
      </c>
      <c r="W5290" s="8">
        <v>0.6</v>
      </c>
      <c r="X5290" s="8">
        <v>100</v>
      </c>
      <c r="Y5290" s="8" t="s">
        <v>23655</v>
      </c>
      <c r="Z5290" s="8" t="s">
        <v>23656</v>
      </c>
    </row>
    <row r="5291" spans="1:26" x14ac:dyDescent="0.2">
      <c r="A5291" s="8">
        <v>5290</v>
      </c>
      <c r="B5291" s="8" t="s">
        <v>23657</v>
      </c>
      <c r="C5291" s="8" t="s">
        <v>23657</v>
      </c>
      <c r="F5291" s="47" t="s">
        <v>57802</v>
      </c>
      <c r="G5291" s="8">
        <v>12</v>
      </c>
      <c r="H5291" s="8" t="s">
        <v>21</v>
      </c>
      <c r="I5291" s="8" t="s">
        <v>22</v>
      </c>
      <c r="J5291" s="8" t="s">
        <v>22</v>
      </c>
      <c r="K5291" s="8" t="s">
        <v>396</v>
      </c>
      <c r="L5291" s="8" t="s">
        <v>18681</v>
      </c>
      <c r="M5291" s="8" t="s">
        <v>18682</v>
      </c>
      <c r="N5291" s="8" t="s">
        <v>23658</v>
      </c>
      <c r="O5291" s="8">
        <f>13+45/60+19.1/3600</f>
        <v>13.755305555555555</v>
      </c>
      <c r="P5291" s="8" t="s">
        <v>23659</v>
      </c>
      <c r="Q5291" s="8">
        <f>+(41+42/60+47/3600)</f>
        <v>41.713055555555556</v>
      </c>
      <c r="R5291" s="8">
        <v>12.5</v>
      </c>
      <c r="S5291" s="8">
        <v>13</v>
      </c>
      <c r="T5291" s="8">
        <v>0.5</v>
      </c>
      <c r="U5291" s="8">
        <v>13.4</v>
      </c>
      <c r="V5291" s="8">
        <v>3.7</v>
      </c>
      <c r="W5291" s="8">
        <v>1</v>
      </c>
      <c r="X5291" s="8">
        <v>95</v>
      </c>
      <c r="Y5291" s="8" t="s">
        <v>23660</v>
      </c>
      <c r="Z5291" s="8" t="s">
        <v>23661</v>
      </c>
    </row>
    <row r="5292" spans="1:26" x14ac:dyDescent="0.2">
      <c r="A5292" s="8">
        <v>5291</v>
      </c>
      <c r="B5292" s="8" t="s">
        <v>23662</v>
      </c>
      <c r="C5292" s="8" t="s">
        <v>23662</v>
      </c>
      <c r="E5292" s="8">
        <v>1</v>
      </c>
      <c r="F5292" s="47"/>
      <c r="G5292" s="8">
        <v>14</v>
      </c>
      <c r="H5292" s="8" t="s">
        <v>23663</v>
      </c>
      <c r="I5292" s="8" t="s">
        <v>22</v>
      </c>
      <c r="J5292" s="8" t="s">
        <v>22</v>
      </c>
      <c r="K5292" s="8" t="s">
        <v>382</v>
      </c>
      <c r="L5292" s="8" t="s">
        <v>16195</v>
      </c>
      <c r="M5292" s="8" t="s">
        <v>16196</v>
      </c>
      <c r="N5292" s="8" t="s">
        <v>23664</v>
      </c>
      <c r="O5292" s="8">
        <f>13+47/60+24.3/3600</f>
        <v>13.790083333333333</v>
      </c>
      <c r="P5292" s="8" t="s">
        <v>23665</v>
      </c>
      <c r="Q5292" s="8">
        <f>-(30+24/60+19/3600)</f>
        <v>-30.405277777777776</v>
      </c>
      <c r="R5292" s="8">
        <v>14.1</v>
      </c>
      <c r="S5292" s="8">
        <v>15.1</v>
      </c>
      <c r="T5292" s="8">
        <v>1</v>
      </c>
      <c r="U5292" s="8">
        <v>14</v>
      </c>
      <c r="V5292" s="8">
        <v>1.2</v>
      </c>
      <c r="W5292" s="8">
        <v>0.8</v>
      </c>
      <c r="X5292" s="8">
        <v>168</v>
      </c>
      <c r="Y5292" s="8" t="s">
        <v>23666</v>
      </c>
      <c r="Z5292" s="8" t="s">
        <v>23667</v>
      </c>
    </row>
    <row r="5293" spans="1:26" x14ac:dyDescent="0.2">
      <c r="A5293" s="8">
        <v>5292</v>
      </c>
      <c r="B5293" s="8" t="s">
        <v>23668</v>
      </c>
      <c r="C5293" s="8" t="s">
        <v>23668</v>
      </c>
      <c r="F5293" s="47"/>
      <c r="G5293" s="8">
        <v>16</v>
      </c>
      <c r="H5293" s="8" t="s">
        <v>21</v>
      </c>
      <c r="I5293" s="8" t="s">
        <v>22</v>
      </c>
      <c r="J5293" s="8" t="s">
        <v>22</v>
      </c>
      <c r="K5293" s="8" t="s">
        <v>31</v>
      </c>
      <c r="L5293" s="8" t="s">
        <v>16195</v>
      </c>
      <c r="M5293" s="8" t="s">
        <v>16196</v>
      </c>
      <c r="N5293" s="8" t="s">
        <v>23669</v>
      </c>
      <c r="O5293" s="8">
        <f>13+47/60+40/3600</f>
        <v>13.794444444444444</v>
      </c>
      <c r="P5293" s="8" t="s">
        <v>23670</v>
      </c>
      <c r="Q5293" s="8">
        <f>-(30+56/60+22/3600)</f>
        <v>-30.939444444444444</v>
      </c>
      <c r="R5293" s="8">
        <v>11.8</v>
      </c>
      <c r="S5293" s="8">
        <v>12.6</v>
      </c>
      <c r="T5293" s="8">
        <v>0.8</v>
      </c>
      <c r="U5293" s="8">
        <v>12.8</v>
      </c>
      <c r="V5293" s="8">
        <v>1.8</v>
      </c>
      <c r="W5293" s="8">
        <v>1.6</v>
      </c>
      <c r="X5293" s="8">
        <v>55</v>
      </c>
      <c r="Y5293" s="8" t="s">
        <v>6803</v>
      </c>
      <c r="Z5293" s="8" t="s">
        <v>211</v>
      </c>
    </row>
    <row r="5294" spans="1:26" x14ac:dyDescent="0.2">
      <c r="A5294" s="8">
        <v>5293</v>
      </c>
      <c r="B5294" s="8" t="s">
        <v>23671</v>
      </c>
      <c r="C5294" s="8" t="s">
        <v>23671</v>
      </c>
      <c r="F5294" s="47" t="s">
        <v>57803</v>
      </c>
      <c r="G5294" s="8">
        <v>15</v>
      </c>
      <c r="H5294" s="8" t="s">
        <v>21</v>
      </c>
      <c r="I5294" s="8" t="s">
        <v>22</v>
      </c>
      <c r="J5294" s="8" t="s">
        <v>22</v>
      </c>
      <c r="K5294" s="8" t="s">
        <v>160</v>
      </c>
      <c r="L5294" s="8" t="s">
        <v>22476</v>
      </c>
      <c r="M5294" s="8" t="s">
        <v>22477</v>
      </c>
      <c r="N5294" s="8" t="s">
        <v>23672</v>
      </c>
      <c r="O5294" s="8">
        <f>13+46/60+52.6/3600</f>
        <v>13.781277777777779</v>
      </c>
      <c r="P5294" s="8" t="s">
        <v>23673</v>
      </c>
      <c r="Q5294" s="8">
        <f>+(16+16/60+22/3600)</f>
        <v>16.272777777777776</v>
      </c>
      <c r="R5294" s="8">
        <v>13.1</v>
      </c>
      <c r="S5294" s="8">
        <v>13.7</v>
      </c>
      <c r="T5294" s="8">
        <v>0.6</v>
      </c>
      <c r="U5294" s="8">
        <v>14.1</v>
      </c>
      <c r="V5294" s="8">
        <v>1.8</v>
      </c>
      <c r="W5294" s="8">
        <v>1.5</v>
      </c>
      <c r="X5294" s="8">
        <v>120</v>
      </c>
      <c r="Y5294" s="8" t="s">
        <v>23674</v>
      </c>
      <c r="Z5294" s="8" t="s">
        <v>23675</v>
      </c>
    </row>
    <row r="5295" spans="1:26" x14ac:dyDescent="0.2">
      <c r="A5295" s="8">
        <v>5294</v>
      </c>
      <c r="B5295" s="8" t="s">
        <v>23676</v>
      </c>
      <c r="C5295" s="8" t="s">
        <v>23676</v>
      </c>
      <c r="F5295" s="47" t="s">
        <v>57804</v>
      </c>
      <c r="G5295" s="8">
        <v>15</v>
      </c>
      <c r="H5295" s="8" t="s">
        <v>21</v>
      </c>
      <c r="I5295" s="8" t="s">
        <v>22</v>
      </c>
      <c r="J5295" s="8" t="s">
        <v>22</v>
      </c>
      <c r="K5295" s="8" t="s">
        <v>1136</v>
      </c>
      <c r="L5295" s="8" t="s">
        <v>12015</v>
      </c>
      <c r="M5295" s="8" t="s">
        <v>12016</v>
      </c>
      <c r="N5295" s="8" t="s">
        <v>23677</v>
      </c>
      <c r="O5295" s="8">
        <f>13+45/60+18.2/3600</f>
        <v>13.755055555555556</v>
      </c>
      <c r="P5295" s="8" t="s">
        <v>23678</v>
      </c>
      <c r="Q5295" s="8">
        <f>+(55+17/60+25/3600)</f>
        <v>55.290277777777774</v>
      </c>
      <c r="R5295" s="8">
        <v>14.3</v>
      </c>
      <c r="S5295" s="8">
        <v>15.3</v>
      </c>
      <c r="T5295" s="8">
        <v>1</v>
      </c>
      <c r="U5295" s="8">
        <v>12.8</v>
      </c>
      <c r="V5295" s="8">
        <v>0.6</v>
      </c>
      <c r="W5295" s="8">
        <v>0.5</v>
      </c>
      <c r="X5295" s="8">
        <v>120</v>
      </c>
      <c r="Y5295" s="8" t="s">
        <v>23679</v>
      </c>
      <c r="Z5295" s="8" t="s">
        <v>23680</v>
      </c>
    </row>
    <row r="5296" spans="1:26" x14ac:dyDescent="0.2">
      <c r="A5296" s="8">
        <v>5295</v>
      </c>
      <c r="B5296" s="8" t="s">
        <v>23681</v>
      </c>
      <c r="C5296" s="8" t="s">
        <v>23681</v>
      </c>
      <c r="F5296" s="47" t="s">
        <v>57805</v>
      </c>
      <c r="G5296" s="8">
        <v>15</v>
      </c>
      <c r="H5296" s="8" t="s">
        <v>21</v>
      </c>
      <c r="I5296" s="8" t="s">
        <v>22</v>
      </c>
      <c r="J5296" s="8" t="s">
        <v>22</v>
      </c>
      <c r="K5296" s="8" t="s">
        <v>58</v>
      </c>
      <c r="L5296" s="8" t="s">
        <v>6823</v>
      </c>
      <c r="M5296" s="8" t="s">
        <v>6824</v>
      </c>
      <c r="N5296" s="8" t="s">
        <v>23682</v>
      </c>
      <c r="O5296" s="8">
        <f>13+38/60+39.3/3600</f>
        <v>13.64425</v>
      </c>
      <c r="P5296" s="8" t="s">
        <v>23683</v>
      </c>
      <c r="Q5296" s="8">
        <f>+(79+27/60+34/3600)</f>
        <v>79.459444444444443</v>
      </c>
      <c r="R5296" s="8">
        <v>14.3</v>
      </c>
      <c r="S5296" s="8">
        <v>15.3</v>
      </c>
      <c r="T5296" s="8">
        <v>1</v>
      </c>
      <c r="U5296" s="8">
        <v>12.4</v>
      </c>
      <c r="V5296" s="8">
        <v>0.4</v>
      </c>
      <c r="W5296" s="8">
        <v>0.4</v>
      </c>
      <c r="Y5296" s="8" t="s">
        <v>421</v>
      </c>
      <c r="Z5296" s="8" t="s">
        <v>422</v>
      </c>
    </row>
    <row r="5297" spans="1:26" x14ac:dyDescent="0.2">
      <c r="A5297" s="8">
        <v>5296</v>
      </c>
      <c r="B5297" s="8" t="s">
        <v>23684</v>
      </c>
      <c r="C5297" s="8" t="s">
        <v>23684</v>
      </c>
      <c r="F5297" s="47"/>
      <c r="G5297" s="8">
        <v>18</v>
      </c>
      <c r="H5297" s="8" t="s">
        <v>21</v>
      </c>
      <c r="I5297" s="8" t="s">
        <v>22</v>
      </c>
      <c r="J5297" s="8" t="s">
        <v>22</v>
      </c>
      <c r="K5297" s="8" t="s">
        <v>632</v>
      </c>
      <c r="L5297" s="8" t="s">
        <v>18681</v>
      </c>
      <c r="M5297" s="8" t="s">
        <v>18682</v>
      </c>
      <c r="N5297" s="8" t="s">
        <v>23685</v>
      </c>
      <c r="O5297" s="8">
        <f>13+46/60+18.6/3600</f>
        <v>13.771833333333333</v>
      </c>
      <c r="P5297" s="8" t="s">
        <v>23686</v>
      </c>
      <c r="Q5297" s="8">
        <f>+(43+51/60+6/3600)</f>
        <v>43.851666666666667</v>
      </c>
      <c r="R5297" s="8">
        <v>14.4</v>
      </c>
      <c r="S5297" s="8">
        <v>15.1</v>
      </c>
      <c r="T5297" s="8">
        <v>0.7</v>
      </c>
      <c r="U5297" s="8">
        <v>13.6</v>
      </c>
      <c r="V5297" s="8">
        <v>0.9</v>
      </c>
      <c r="W5297" s="8">
        <v>0.6</v>
      </c>
      <c r="X5297" s="8">
        <v>177</v>
      </c>
      <c r="Y5297" s="8" t="s">
        <v>23687</v>
      </c>
      <c r="Z5297" s="8" t="s">
        <v>23688</v>
      </c>
    </row>
    <row r="5298" spans="1:26" x14ac:dyDescent="0.2">
      <c r="A5298" s="8">
        <v>5297</v>
      </c>
      <c r="B5298" s="8" t="s">
        <v>23689</v>
      </c>
      <c r="C5298" s="8" t="s">
        <v>23689</v>
      </c>
      <c r="F5298" s="47" t="s">
        <v>57806</v>
      </c>
      <c r="G5298" s="8">
        <v>12</v>
      </c>
      <c r="H5298" s="8" t="s">
        <v>21</v>
      </c>
      <c r="I5298" s="8" t="s">
        <v>22</v>
      </c>
      <c r="J5298" s="8" t="s">
        <v>22</v>
      </c>
      <c r="K5298" s="8" t="s">
        <v>64</v>
      </c>
      <c r="L5298" s="8" t="s">
        <v>18681</v>
      </c>
      <c r="M5298" s="8" t="s">
        <v>18682</v>
      </c>
      <c r="N5298" s="8" t="s">
        <v>23690</v>
      </c>
      <c r="O5298" s="8">
        <f>13+46/60+23.4/3600</f>
        <v>13.773166666666668</v>
      </c>
      <c r="P5298" s="8" t="s">
        <v>23691</v>
      </c>
      <c r="Q5298" s="8">
        <f>+(43+52/60+21/3600)</f>
        <v>43.872500000000002</v>
      </c>
      <c r="R5298" s="8">
        <v>11.8</v>
      </c>
      <c r="S5298" s="8">
        <v>12.5</v>
      </c>
      <c r="T5298" s="8">
        <v>0.7</v>
      </c>
      <c r="U5298" s="8">
        <v>13.8</v>
      </c>
      <c r="V5298" s="8">
        <v>5.6</v>
      </c>
      <c r="W5298" s="8">
        <v>1.3</v>
      </c>
      <c r="X5298" s="8">
        <v>148</v>
      </c>
      <c r="Y5298" s="8" t="s">
        <v>23692</v>
      </c>
      <c r="Z5298" s="8" t="s">
        <v>23693</v>
      </c>
    </row>
    <row r="5299" spans="1:26" x14ac:dyDescent="0.2">
      <c r="A5299" s="8">
        <v>5298</v>
      </c>
      <c r="B5299" s="8" t="s">
        <v>23694</v>
      </c>
      <c r="C5299" s="8" t="s">
        <v>23694</v>
      </c>
      <c r="F5299" s="47"/>
      <c r="G5299" s="8">
        <v>16</v>
      </c>
      <c r="H5299" s="8" t="s">
        <v>21</v>
      </c>
      <c r="I5299" s="8" t="s">
        <v>22</v>
      </c>
      <c r="J5299" s="8" t="s">
        <v>22</v>
      </c>
      <c r="K5299" s="8" t="s">
        <v>218</v>
      </c>
      <c r="L5299" s="8" t="s">
        <v>16195</v>
      </c>
      <c r="M5299" s="8" t="s">
        <v>16196</v>
      </c>
      <c r="N5299" s="8" t="s">
        <v>23695</v>
      </c>
      <c r="O5299" s="8">
        <f>13+48/60+36.3/3600</f>
        <v>13.810083333333335</v>
      </c>
      <c r="P5299" s="8" t="s">
        <v>23696</v>
      </c>
      <c r="Q5299" s="8">
        <f>-(30+25/60+45/3600)</f>
        <v>-30.429166666666667</v>
      </c>
      <c r="R5299" s="8">
        <v>13.1</v>
      </c>
      <c r="S5299" s="8">
        <v>14</v>
      </c>
      <c r="T5299" s="8">
        <v>0.9</v>
      </c>
      <c r="U5299" s="8">
        <v>12.9</v>
      </c>
      <c r="V5299" s="8">
        <v>1.4</v>
      </c>
      <c r="W5299" s="8">
        <v>0.6</v>
      </c>
      <c r="X5299" s="8">
        <v>69</v>
      </c>
      <c r="Y5299" s="8" t="s">
        <v>6420</v>
      </c>
      <c r="Z5299" s="8" t="s">
        <v>6421</v>
      </c>
    </row>
    <row r="5300" spans="1:26" x14ac:dyDescent="0.2">
      <c r="A5300" s="8">
        <v>5299</v>
      </c>
      <c r="B5300" s="8" t="s">
        <v>23697</v>
      </c>
      <c r="C5300" s="8" t="s">
        <v>23697</v>
      </c>
      <c r="F5300" s="47"/>
      <c r="G5300" s="8">
        <v>13</v>
      </c>
      <c r="H5300" s="8" t="s">
        <v>21</v>
      </c>
      <c r="I5300" s="8" t="s">
        <v>72</v>
      </c>
      <c r="J5300" s="8" t="s">
        <v>72</v>
      </c>
      <c r="K5300" s="8" t="s">
        <v>10045</v>
      </c>
      <c r="L5300" s="8" t="s">
        <v>16195</v>
      </c>
      <c r="M5300" s="8" t="s">
        <v>16196</v>
      </c>
      <c r="N5300" s="8" t="s">
        <v>23698</v>
      </c>
      <c r="O5300" s="8">
        <f>13+50/60+48/3600</f>
        <v>13.846666666666668</v>
      </c>
      <c r="P5300" s="8" t="s">
        <v>23699</v>
      </c>
      <c r="Q5300" s="8">
        <f>-(60+24/60+0/3600)</f>
        <v>-60.4</v>
      </c>
      <c r="R5300" s="8">
        <v>99</v>
      </c>
      <c r="S5300" s="8">
        <v>99</v>
      </c>
      <c r="T5300" s="8">
        <v>99</v>
      </c>
      <c r="U5300" s="8">
        <v>99</v>
      </c>
      <c r="V5300" s="8">
        <v>30</v>
      </c>
      <c r="Y5300" s="8" t="s">
        <v>23700</v>
      </c>
      <c r="Z5300" s="8" t="s">
        <v>23701</v>
      </c>
    </row>
    <row r="5301" spans="1:26" x14ac:dyDescent="0.2">
      <c r="A5301" s="8">
        <v>5300</v>
      </c>
      <c r="B5301" s="8" t="s">
        <v>23702</v>
      </c>
      <c r="C5301" s="8" t="s">
        <v>23702</v>
      </c>
      <c r="F5301" s="47" t="s">
        <v>57807</v>
      </c>
      <c r="G5301" s="8">
        <v>13</v>
      </c>
      <c r="H5301" s="8" t="s">
        <v>21</v>
      </c>
      <c r="I5301" s="8" t="s">
        <v>22</v>
      </c>
      <c r="J5301" s="8" t="s">
        <v>22</v>
      </c>
      <c r="K5301" s="8" t="s">
        <v>64</v>
      </c>
      <c r="L5301" s="8" t="s">
        <v>17287</v>
      </c>
      <c r="M5301" s="8" t="s">
        <v>17288</v>
      </c>
      <c r="N5301" s="8" t="s">
        <v>23703</v>
      </c>
      <c r="O5301" s="8">
        <f>13+48/60+15.9/3600</f>
        <v>13.804416666666667</v>
      </c>
      <c r="P5301" s="8" t="s">
        <v>23704</v>
      </c>
      <c r="Q5301" s="8">
        <f>+(3+57/60+2/3600)</f>
        <v>3.9505555555555558</v>
      </c>
      <c r="R5301" s="8">
        <v>11.4</v>
      </c>
      <c r="S5301" s="8">
        <v>12.1</v>
      </c>
      <c r="T5301" s="8">
        <v>0.7</v>
      </c>
      <c r="U5301" s="8">
        <v>13.8</v>
      </c>
      <c r="V5301" s="8">
        <v>3.8</v>
      </c>
      <c r="W5301" s="8">
        <v>2.4</v>
      </c>
      <c r="X5301" s="8">
        <v>150</v>
      </c>
      <c r="Y5301" s="8" t="s">
        <v>23705</v>
      </c>
      <c r="Z5301" s="8" t="s">
        <v>23706</v>
      </c>
    </row>
    <row r="5302" spans="1:26" x14ac:dyDescent="0.2">
      <c r="A5302" s="8">
        <v>5301</v>
      </c>
      <c r="B5302" s="8" t="s">
        <v>23707</v>
      </c>
      <c r="C5302" s="8" t="s">
        <v>23707</v>
      </c>
      <c r="F5302" s="47" t="s">
        <v>57808</v>
      </c>
      <c r="G5302" s="8">
        <v>13</v>
      </c>
      <c r="H5302" s="8" t="s">
        <v>21</v>
      </c>
      <c r="I5302" s="8" t="s">
        <v>22</v>
      </c>
      <c r="J5302" s="8" t="s">
        <v>22</v>
      </c>
      <c r="K5302" s="8" t="s">
        <v>64</v>
      </c>
      <c r="L5302" s="8" t="s">
        <v>18681</v>
      </c>
      <c r="M5302" s="8" t="s">
        <v>18682</v>
      </c>
      <c r="N5302" s="8" t="s">
        <v>23708</v>
      </c>
      <c r="O5302" s="8">
        <f>13+46/60+24.2/3600</f>
        <v>13.77338888888889</v>
      </c>
      <c r="P5302" s="8" t="s">
        <v>23709</v>
      </c>
      <c r="Q5302" s="8">
        <f>+(46+6/60+27/3600)</f>
        <v>46.107500000000002</v>
      </c>
      <c r="R5302" s="8">
        <v>12.7</v>
      </c>
      <c r="S5302" s="8">
        <v>13.4</v>
      </c>
      <c r="T5302" s="8">
        <v>0.7</v>
      </c>
      <c r="U5302" s="8">
        <v>13.9</v>
      </c>
      <c r="V5302" s="8">
        <v>4</v>
      </c>
      <c r="W5302" s="8">
        <v>0.8</v>
      </c>
      <c r="X5302" s="8">
        <v>151</v>
      </c>
      <c r="Y5302" s="8" t="s">
        <v>23710</v>
      </c>
      <c r="Z5302" s="8" t="s">
        <v>23711</v>
      </c>
    </row>
    <row r="5303" spans="1:26" x14ac:dyDescent="0.2">
      <c r="A5303" s="8">
        <v>5302</v>
      </c>
      <c r="B5303" s="8" t="s">
        <v>23712</v>
      </c>
      <c r="C5303" s="8" t="s">
        <v>23712</v>
      </c>
      <c r="F5303" s="47"/>
      <c r="G5303" s="8">
        <v>16</v>
      </c>
      <c r="H5303" s="8" t="s">
        <v>21</v>
      </c>
      <c r="I5303" s="8" t="s">
        <v>22</v>
      </c>
      <c r="J5303" s="8" t="s">
        <v>22</v>
      </c>
      <c r="K5303" s="8" t="s">
        <v>435</v>
      </c>
      <c r="L5303" s="8" t="s">
        <v>16195</v>
      </c>
      <c r="M5303" s="8" t="s">
        <v>16196</v>
      </c>
      <c r="N5303" s="8" t="s">
        <v>23713</v>
      </c>
      <c r="O5303" s="8">
        <f>13+48/60+49.8/3600</f>
        <v>13.813833333333333</v>
      </c>
      <c r="P5303" s="8" t="s">
        <v>23714</v>
      </c>
      <c r="Q5303" s="8">
        <f>-(30+30/60+43/3600)</f>
        <v>-30.511944444444445</v>
      </c>
      <c r="R5303" s="8">
        <v>12.1</v>
      </c>
      <c r="S5303" s="8">
        <v>13.1</v>
      </c>
      <c r="T5303" s="8">
        <v>1</v>
      </c>
      <c r="U5303" s="8">
        <v>12.6</v>
      </c>
      <c r="V5303" s="8">
        <v>1.7</v>
      </c>
      <c r="W5303" s="8">
        <v>1</v>
      </c>
      <c r="X5303" s="8">
        <v>153</v>
      </c>
      <c r="Y5303" s="8" t="s">
        <v>6420</v>
      </c>
      <c r="Z5303" s="8" t="s">
        <v>6421</v>
      </c>
    </row>
    <row r="5304" spans="1:26" x14ac:dyDescent="0.2">
      <c r="A5304" s="8">
        <v>5303</v>
      </c>
      <c r="B5304" s="8" t="s">
        <v>23715</v>
      </c>
      <c r="C5304" s="8" t="s">
        <v>23715</v>
      </c>
      <c r="F5304" s="47" t="s">
        <v>57809</v>
      </c>
      <c r="G5304" s="8">
        <v>15</v>
      </c>
      <c r="H5304" s="8" t="s">
        <v>21</v>
      </c>
      <c r="I5304" s="8" t="s">
        <v>22</v>
      </c>
      <c r="J5304" s="8" t="s">
        <v>22</v>
      </c>
      <c r="K5304" s="8" t="s">
        <v>538</v>
      </c>
      <c r="L5304" s="8" t="s">
        <v>18681</v>
      </c>
      <c r="M5304" s="8" t="s">
        <v>18682</v>
      </c>
      <c r="N5304" s="8" t="s">
        <v>23716</v>
      </c>
      <c r="O5304" s="8">
        <f>13+47/60+45.2/3600</f>
        <v>13.795888888888889</v>
      </c>
      <c r="P5304" s="8" t="s">
        <v>23717</v>
      </c>
      <c r="Q5304" s="8">
        <f>+(38+18/60+16/3600)</f>
        <v>38.304444444444442</v>
      </c>
      <c r="R5304" s="8">
        <v>12.4</v>
      </c>
      <c r="S5304" s="8">
        <v>13.1</v>
      </c>
      <c r="T5304" s="8">
        <v>0.7</v>
      </c>
      <c r="U5304" s="8">
        <v>11.1</v>
      </c>
      <c r="V5304" s="8">
        <v>0.9</v>
      </c>
      <c r="W5304" s="8">
        <v>0.4</v>
      </c>
      <c r="X5304" s="8">
        <v>92</v>
      </c>
      <c r="Y5304" s="8" t="s">
        <v>21</v>
      </c>
      <c r="Z5304" s="8" t="s">
        <v>23718</v>
      </c>
    </row>
    <row r="5305" spans="1:26" x14ac:dyDescent="0.2">
      <c r="A5305" s="8">
        <v>5304</v>
      </c>
      <c r="B5305" s="8" t="s">
        <v>23719</v>
      </c>
      <c r="C5305" s="8" t="s">
        <v>23719</v>
      </c>
      <c r="F5305" s="47"/>
      <c r="G5305" s="8">
        <v>19</v>
      </c>
      <c r="H5305" s="8" t="s">
        <v>21</v>
      </c>
      <c r="I5305" s="8" t="s">
        <v>22</v>
      </c>
      <c r="J5305" s="8" t="s">
        <v>22</v>
      </c>
      <c r="K5305" s="8" t="s">
        <v>58</v>
      </c>
      <c r="L5305" s="8" t="s">
        <v>16195</v>
      </c>
      <c r="M5305" s="8" t="s">
        <v>16196</v>
      </c>
      <c r="N5305" s="8" t="s">
        <v>23720</v>
      </c>
      <c r="O5305" s="8">
        <f>13+50/60+1.4/3600</f>
        <v>13.833722222222223</v>
      </c>
      <c r="P5305" s="8" t="s">
        <v>23721</v>
      </c>
      <c r="Q5305" s="8">
        <f>-(30+34/60+43/3600)</f>
        <v>-30.578611111111112</v>
      </c>
      <c r="R5305" s="8">
        <v>12.5</v>
      </c>
      <c r="S5305" s="8">
        <v>13.5</v>
      </c>
      <c r="T5305" s="8">
        <v>1</v>
      </c>
      <c r="U5305" s="8">
        <v>13</v>
      </c>
      <c r="V5305" s="8">
        <v>1.5</v>
      </c>
      <c r="W5305" s="8">
        <v>1</v>
      </c>
      <c r="X5305" s="8">
        <v>146</v>
      </c>
      <c r="Y5305" s="8" t="s">
        <v>23722</v>
      </c>
      <c r="Z5305" s="8" t="s">
        <v>23723</v>
      </c>
    </row>
    <row r="5306" spans="1:26" x14ac:dyDescent="0.2">
      <c r="A5306" s="8">
        <v>5305</v>
      </c>
      <c r="B5306" s="8" t="s">
        <v>23724</v>
      </c>
      <c r="C5306" s="8" t="s">
        <v>23724</v>
      </c>
      <c r="F5306" s="47" t="s">
        <v>57810</v>
      </c>
      <c r="G5306" s="8">
        <v>15</v>
      </c>
      <c r="H5306" s="8" t="s">
        <v>21</v>
      </c>
      <c r="I5306" s="8" t="s">
        <v>22</v>
      </c>
      <c r="J5306" s="8" t="s">
        <v>22</v>
      </c>
      <c r="K5306" s="8" t="s">
        <v>218</v>
      </c>
      <c r="L5306" s="8" t="s">
        <v>18681</v>
      </c>
      <c r="M5306" s="8" t="s">
        <v>18682</v>
      </c>
      <c r="N5306" s="8" t="s">
        <v>23725</v>
      </c>
      <c r="O5306" s="8">
        <f>13+47/60+55.7/3600</f>
        <v>13.798805555555555</v>
      </c>
      <c r="P5306" s="8" t="s">
        <v>23726</v>
      </c>
      <c r="Q5306" s="8">
        <f>+(37+49/60+34/3600)</f>
        <v>37.826111111111118</v>
      </c>
      <c r="R5306" s="8">
        <v>13.6</v>
      </c>
      <c r="S5306" s="8">
        <v>14.4</v>
      </c>
      <c r="T5306" s="8">
        <v>0.8</v>
      </c>
      <c r="U5306" s="8">
        <v>14</v>
      </c>
      <c r="V5306" s="8">
        <v>1.5</v>
      </c>
      <c r="W5306" s="8">
        <v>1.1000000000000001</v>
      </c>
      <c r="X5306" s="8">
        <v>30</v>
      </c>
      <c r="Y5306" s="8" t="s">
        <v>227</v>
      </c>
      <c r="Z5306" s="8" t="s">
        <v>228</v>
      </c>
    </row>
    <row r="5307" spans="1:26" x14ac:dyDescent="0.2">
      <c r="A5307" s="8">
        <v>5306</v>
      </c>
      <c r="B5307" s="8" t="s">
        <v>23727</v>
      </c>
      <c r="C5307" s="8" t="s">
        <v>23727</v>
      </c>
      <c r="F5307" s="47" t="s">
        <v>57811</v>
      </c>
      <c r="G5307" s="8">
        <v>15</v>
      </c>
      <c r="H5307" s="8" t="s">
        <v>21</v>
      </c>
      <c r="I5307" s="8" t="s">
        <v>22</v>
      </c>
      <c r="J5307" s="8" t="s">
        <v>22</v>
      </c>
      <c r="K5307" s="8" t="s">
        <v>37</v>
      </c>
      <c r="L5307" s="8" t="s">
        <v>17287</v>
      </c>
      <c r="M5307" s="8" t="s">
        <v>17288</v>
      </c>
      <c r="N5307" s="8" t="s">
        <v>23728</v>
      </c>
      <c r="O5307" s="8">
        <f>13+49/60+11.2/3600</f>
        <v>13.819777777777778</v>
      </c>
      <c r="P5307" s="8" t="s">
        <v>23729</v>
      </c>
      <c r="Q5307" s="8">
        <f>-(7+13/60+24/3600)</f>
        <v>-7.2233333333333336</v>
      </c>
      <c r="R5307" s="8">
        <v>12.2</v>
      </c>
      <c r="S5307" s="8">
        <v>13.2</v>
      </c>
      <c r="T5307" s="8">
        <v>1</v>
      </c>
      <c r="U5307" s="8">
        <v>12.4</v>
      </c>
      <c r="V5307" s="8">
        <v>1.3</v>
      </c>
      <c r="W5307" s="8">
        <v>1</v>
      </c>
      <c r="X5307" s="8">
        <v>30</v>
      </c>
      <c r="Y5307" s="8" t="s">
        <v>7343</v>
      </c>
      <c r="Z5307" s="8" t="s">
        <v>7344</v>
      </c>
    </row>
    <row r="5308" spans="1:26" x14ac:dyDescent="0.2">
      <c r="A5308" s="8">
        <v>5307</v>
      </c>
      <c r="B5308" s="8" t="s">
        <v>23730</v>
      </c>
      <c r="C5308" s="8" t="s">
        <v>23730</v>
      </c>
      <c r="F5308" s="47"/>
      <c r="G5308" s="8">
        <v>13</v>
      </c>
      <c r="H5308" s="8" t="s">
        <v>21</v>
      </c>
      <c r="I5308" s="8" t="s">
        <v>241</v>
      </c>
      <c r="J5308" s="8" t="s">
        <v>241</v>
      </c>
      <c r="K5308" s="8" t="s">
        <v>241</v>
      </c>
      <c r="L5308" s="8" t="s">
        <v>16195</v>
      </c>
      <c r="M5308" s="8" t="s">
        <v>16196</v>
      </c>
      <c r="N5308" s="8" t="s">
        <v>23731</v>
      </c>
      <c r="O5308" s="8">
        <f>13+51/60+3.3/3600</f>
        <v>13.850916666666667</v>
      </c>
      <c r="P5308" s="8" t="s">
        <v>23732</v>
      </c>
      <c r="Q5308" s="8">
        <f>-(51+12/60+19/3600)</f>
        <v>-51.205277777777781</v>
      </c>
      <c r="R5308" s="8">
        <v>11.2</v>
      </c>
      <c r="S5308" s="8">
        <v>12.1</v>
      </c>
      <c r="T5308" s="8">
        <v>99</v>
      </c>
      <c r="U5308" s="8">
        <v>99</v>
      </c>
      <c r="V5308" s="8">
        <v>0.3</v>
      </c>
      <c r="Y5308" s="8" t="s">
        <v>23733</v>
      </c>
      <c r="Z5308" s="8" t="s">
        <v>23734</v>
      </c>
    </row>
    <row r="5309" spans="1:26" x14ac:dyDescent="0.2">
      <c r="A5309" s="8">
        <v>5308</v>
      </c>
      <c r="B5309" s="8" t="s">
        <v>23735</v>
      </c>
      <c r="C5309" s="8" t="s">
        <v>23735</v>
      </c>
      <c r="F5309" s="47" t="s">
        <v>57812</v>
      </c>
      <c r="G5309" s="8">
        <v>6.5</v>
      </c>
      <c r="H5309" s="8" t="s">
        <v>21</v>
      </c>
      <c r="I5309" s="8" t="s">
        <v>22</v>
      </c>
      <c r="J5309" s="8" t="s">
        <v>22</v>
      </c>
      <c r="K5309" s="8" t="s">
        <v>37</v>
      </c>
      <c r="L5309" s="8" t="s">
        <v>12015</v>
      </c>
      <c r="M5309" s="8" t="s">
        <v>12016</v>
      </c>
      <c r="N5309" s="8" t="s">
        <v>23736</v>
      </c>
      <c r="O5309" s="8">
        <f>13+47/60+0/3600</f>
        <v>13.783333333333333</v>
      </c>
      <c r="P5309" s="8" t="s">
        <v>23737</v>
      </c>
      <c r="Q5309" s="8">
        <f>+(60+58/60+22/3600)</f>
        <v>60.972777777777779</v>
      </c>
      <c r="R5309" s="8">
        <v>11.4</v>
      </c>
      <c r="S5309" s="8">
        <v>12.3</v>
      </c>
      <c r="T5309" s="8">
        <v>0.9</v>
      </c>
      <c r="U5309" s="8">
        <v>12.3</v>
      </c>
      <c r="V5309" s="8">
        <v>3.7</v>
      </c>
      <c r="W5309" s="8">
        <v>0.7</v>
      </c>
      <c r="X5309" s="8">
        <v>60</v>
      </c>
      <c r="Y5309" s="8" t="s">
        <v>21</v>
      </c>
      <c r="Z5309" s="8" t="s">
        <v>23738</v>
      </c>
    </row>
    <row r="5310" spans="1:26" x14ac:dyDescent="0.2">
      <c r="A5310" s="8">
        <v>5309</v>
      </c>
      <c r="B5310" s="8" t="s">
        <v>23739</v>
      </c>
      <c r="C5310" s="8" t="s">
        <v>23739</v>
      </c>
      <c r="F5310" s="47"/>
      <c r="G5310" s="8">
        <v>19</v>
      </c>
      <c r="H5310" s="8" t="s">
        <v>21</v>
      </c>
      <c r="I5310" s="8" t="s">
        <v>329</v>
      </c>
      <c r="J5310" s="8" t="s">
        <v>329</v>
      </c>
      <c r="K5310" s="8" t="s">
        <v>329</v>
      </c>
      <c r="L5310" s="8" t="s">
        <v>17287</v>
      </c>
      <c r="M5310" s="8" t="s">
        <v>17288</v>
      </c>
      <c r="N5310" s="8" t="s">
        <v>23740</v>
      </c>
      <c r="O5310" s="8">
        <f>13+49/60+55/3600</f>
        <v>13.831944444444444</v>
      </c>
      <c r="P5310" s="8" t="s">
        <v>23741</v>
      </c>
      <c r="Q5310" s="8">
        <f>-(15+46/60+18/3600)</f>
        <v>-15.771666666666668</v>
      </c>
      <c r="R5310" s="8">
        <v>99</v>
      </c>
      <c r="S5310" s="8">
        <v>99</v>
      </c>
      <c r="T5310" s="8">
        <v>99</v>
      </c>
      <c r="U5310" s="8">
        <v>99</v>
      </c>
      <c r="Y5310" s="8" t="s">
        <v>23742</v>
      </c>
      <c r="Z5310" s="8" t="s">
        <v>23743</v>
      </c>
    </row>
    <row r="5311" spans="1:26" x14ac:dyDescent="0.2">
      <c r="A5311" s="8">
        <v>5310</v>
      </c>
      <c r="B5311" s="8" t="s">
        <v>23744</v>
      </c>
      <c r="C5311" s="8" t="s">
        <v>23744</v>
      </c>
      <c r="F5311" s="47"/>
      <c r="G5311" s="8">
        <v>18</v>
      </c>
      <c r="H5311" s="8" t="s">
        <v>21</v>
      </c>
      <c r="I5311" s="8" t="s">
        <v>72</v>
      </c>
      <c r="J5311" s="8" t="s">
        <v>72</v>
      </c>
      <c r="K5311" s="8" t="s">
        <v>20</v>
      </c>
      <c r="L5311" s="8" t="s">
        <v>17287</v>
      </c>
      <c r="M5311" s="8" t="s">
        <v>17288</v>
      </c>
      <c r="N5311" s="8" t="s">
        <v>23745</v>
      </c>
      <c r="O5311" s="8">
        <f>13+49/60+47.8/3600</f>
        <v>13.829944444444445</v>
      </c>
      <c r="P5311" s="8" t="s">
        <v>23746</v>
      </c>
      <c r="Q5311" s="8">
        <f>+(0+4/60+10/3600)</f>
        <v>6.9444444444444448E-2</v>
      </c>
      <c r="R5311" s="8">
        <v>99</v>
      </c>
      <c r="S5311" s="8">
        <v>12.9</v>
      </c>
      <c r="T5311" s="8">
        <v>99</v>
      </c>
      <c r="U5311" s="8">
        <v>99</v>
      </c>
      <c r="Y5311" s="8" t="s">
        <v>21</v>
      </c>
      <c r="Z5311" s="8" t="s">
        <v>20705</v>
      </c>
    </row>
    <row r="5312" spans="1:26" x14ac:dyDescent="0.2">
      <c r="A5312" s="8">
        <v>5311</v>
      </c>
      <c r="B5312" s="8" t="s">
        <v>23747</v>
      </c>
      <c r="C5312" s="8" t="s">
        <v>23747</v>
      </c>
      <c r="F5312" s="47" t="s">
        <v>57813</v>
      </c>
      <c r="G5312" s="8">
        <v>15</v>
      </c>
      <c r="H5312" s="8" t="s">
        <v>21</v>
      </c>
      <c r="I5312" s="8" t="s">
        <v>22</v>
      </c>
      <c r="J5312" s="8" t="s">
        <v>22</v>
      </c>
      <c r="K5312" s="8" t="s">
        <v>632</v>
      </c>
      <c r="L5312" s="8" t="s">
        <v>18681</v>
      </c>
      <c r="M5312" s="8" t="s">
        <v>18682</v>
      </c>
      <c r="N5312" s="8" t="s">
        <v>23748</v>
      </c>
      <c r="O5312" s="8">
        <f>13+48/60+55.8/3600</f>
        <v>13.8155</v>
      </c>
      <c r="P5312" s="8" t="s">
        <v>23749</v>
      </c>
      <c r="Q5312" s="8">
        <f>+(39+59/60+11/3600)</f>
        <v>39.986388888888889</v>
      </c>
      <c r="R5312" s="8">
        <v>12.3</v>
      </c>
      <c r="S5312" s="8">
        <v>13.2</v>
      </c>
      <c r="T5312" s="8">
        <v>0.9</v>
      </c>
      <c r="U5312" s="8">
        <v>14</v>
      </c>
      <c r="V5312" s="8">
        <v>2.6</v>
      </c>
      <c r="W5312" s="8">
        <v>2.2999999999999998</v>
      </c>
      <c r="X5312" s="8">
        <v>110</v>
      </c>
      <c r="Y5312" s="8" t="s">
        <v>23750</v>
      </c>
      <c r="Z5312" s="8" t="s">
        <v>23751</v>
      </c>
    </row>
    <row r="5313" spans="1:26" x14ac:dyDescent="0.2">
      <c r="A5313" s="8">
        <v>5312</v>
      </c>
      <c r="B5313" s="8" t="s">
        <v>23752</v>
      </c>
      <c r="C5313" s="8" t="s">
        <v>23752</v>
      </c>
      <c r="F5313" s="47"/>
      <c r="G5313" s="8">
        <v>16</v>
      </c>
      <c r="H5313" s="8" t="s">
        <v>21</v>
      </c>
      <c r="I5313" s="8" t="s">
        <v>22</v>
      </c>
      <c r="J5313" s="8" t="s">
        <v>22</v>
      </c>
      <c r="K5313" s="8" t="s">
        <v>632</v>
      </c>
      <c r="L5313" s="8" t="s">
        <v>18681</v>
      </c>
      <c r="M5313" s="8" t="s">
        <v>18682</v>
      </c>
      <c r="N5313" s="8" t="s">
        <v>23753</v>
      </c>
      <c r="O5313" s="8">
        <f>13+49/60+50.5/3600</f>
        <v>13.830694444444445</v>
      </c>
      <c r="P5313" s="8" t="s">
        <v>23754</v>
      </c>
      <c r="Q5313" s="8">
        <f>+(33+37/60+20/3600)</f>
        <v>33.62222222222222</v>
      </c>
      <c r="R5313" s="8">
        <v>13.9</v>
      </c>
      <c r="S5313" s="8">
        <v>14.8</v>
      </c>
      <c r="T5313" s="8">
        <v>0.9</v>
      </c>
      <c r="U5313" s="8">
        <v>12.5</v>
      </c>
      <c r="V5313" s="8">
        <v>0.8</v>
      </c>
      <c r="W5313" s="8">
        <v>0.4</v>
      </c>
      <c r="X5313" s="8">
        <v>36</v>
      </c>
      <c r="Y5313" s="8" t="s">
        <v>23755</v>
      </c>
      <c r="Z5313" s="8" t="s">
        <v>23756</v>
      </c>
    </row>
    <row r="5314" spans="1:26" x14ac:dyDescent="0.2">
      <c r="A5314" s="8">
        <v>5313</v>
      </c>
      <c r="B5314" s="8" t="s">
        <v>23757</v>
      </c>
      <c r="C5314" s="8" t="s">
        <v>23757</v>
      </c>
      <c r="F5314" s="47" t="s">
        <v>57814</v>
      </c>
      <c r="G5314" s="8">
        <v>13</v>
      </c>
      <c r="H5314" s="8" t="s">
        <v>21</v>
      </c>
      <c r="I5314" s="8" t="s">
        <v>22</v>
      </c>
      <c r="J5314" s="8" t="s">
        <v>22</v>
      </c>
      <c r="K5314" s="8" t="s">
        <v>23</v>
      </c>
      <c r="L5314" s="8" t="s">
        <v>18681</v>
      </c>
      <c r="M5314" s="8" t="s">
        <v>18682</v>
      </c>
      <c r="N5314" s="8" t="s">
        <v>23758</v>
      </c>
      <c r="O5314" s="8">
        <f>13+49/60+44.3/3600</f>
        <v>13.828972222222221</v>
      </c>
      <c r="P5314" s="8" t="s">
        <v>23759</v>
      </c>
      <c r="Q5314" s="8">
        <f>+(39+59/60+7/3600)</f>
        <v>39.985277777777782</v>
      </c>
      <c r="R5314" s="8">
        <v>12</v>
      </c>
      <c r="S5314" s="8">
        <v>12.8</v>
      </c>
      <c r="T5314" s="8">
        <v>0.8</v>
      </c>
      <c r="U5314" s="8">
        <v>12.7</v>
      </c>
      <c r="V5314" s="8">
        <v>1.7</v>
      </c>
      <c r="W5314" s="8">
        <v>1</v>
      </c>
      <c r="X5314" s="8">
        <v>43</v>
      </c>
      <c r="Y5314" s="8" t="s">
        <v>23760</v>
      </c>
      <c r="Z5314" s="8" t="s">
        <v>23761</v>
      </c>
    </row>
    <row r="5315" spans="1:26" x14ac:dyDescent="0.2">
      <c r="A5315" s="8">
        <v>5314</v>
      </c>
      <c r="B5315" s="8" t="s">
        <v>23762</v>
      </c>
      <c r="C5315" s="8" t="s">
        <v>23762</v>
      </c>
      <c r="F5315" s="47"/>
      <c r="G5315" s="8">
        <v>19</v>
      </c>
      <c r="H5315" s="8" t="s">
        <v>21</v>
      </c>
      <c r="I5315" s="8" t="s">
        <v>22</v>
      </c>
      <c r="J5315" s="8" t="s">
        <v>22</v>
      </c>
      <c r="K5315" s="8" t="s">
        <v>449</v>
      </c>
      <c r="L5315" s="8" t="s">
        <v>14586</v>
      </c>
      <c r="M5315" s="8" t="s">
        <v>14587</v>
      </c>
      <c r="N5315" s="8" t="s">
        <v>23763</v>
      </c>
      <c r="O5315" s="8">
        <f>13+46/60+11.1/3600</f>
        <v>13.76975</v>
      </c>
      <c r="P5315" s="8" t="s">
        <v>23764</v>
      </c>
      <c r="Q5315" s="8">
        <f>+(70+20/60+23/3600)</f>
        <v>70.339722222222221</v>
      </c>
      <c r="R5315" s="8">
        <v>13.9</v>
      </c>
      <c r="S5315" s="8">
        <v>14.7</v>
      </c>
      <c r="T5315" s="8">
        <v>0.8</v>
      </c>
      <c r="U5315" s="8">
        <v>13</v>
      </c>
      <c r="V5315" s="8">
        <v>1</v>
      </c>
      <c r="W5315" s="8">
        <v>0.5</v>
      </c>
      <c r="X5315" s="8">
        <v>90</v>
      </c>
      <c r="Y5315" s="8" t="s">
        <v>21</v>
      </c>
      <c r="Z5315" s="8" t="s">
        <v>23765</v>
      </c>
    </row>
    <row r="5316" spans="1:26" x14ac:dyDescent="0.2">
      <c r="A5316" s="8">
        <v>5315</v>
      </c>
      <c r="B5316" s="8" t="s">
        <v>23766</v>
      </c>
      <c r="C5316" s="8" t="s">
        <v>23766</v>
      </c>
      <c r="F5316" s="47"/>
      <c r="G5316" s="8">
        <v>13</v>
      </c>
      <c r="H5316" s="8" t="s">
        <v>21</v>
      </c>
      <c r="I5316" s="8" t="s">
        <v>241</v>
      </c>
      <c r="J5316" s="8" t="s">
        <v>241</v>
      </c>
      <c r="K5316" s="8" t="s">
        <v>241</v>
      </c>
      <c r="L5316" s="8" t="s">
        <v>23646</v>
      </c>
      <c r="M5316" s="8" t="s">
        <v>23647</v>
      </c>
      <c r="N5316" s="8" t="s">
        <v>23767</v>
      </c>
      <c r="O5316" s="8">
        <f>13+53/60+57.1/3600</f>
        <v>13.899194444444444</v>
      </c>
      <c r="P5316" s="8" t="s">
        <v>23768</v>
      </c>
      <c r="Q5316" s="8">
        <f>-(66+30/60+48/3600)</f>
        <v>-66.513333333333335</v>
      </c>
      <c r="R5316" s="8">
        <v>9.8000000000000007</v>
      </c>
      <c r="S5316" s="8">
        <v>13</v>
      </c>
      <c r="T5316" s="8">
        <v>99</v>
      </c>
      <c r="U5316" s="8">
        <v>99</v>
      </c>
      <c r="V5316" s="8">
        <v>0.23</v>
      </c>
      <c r="Y5316" s="8" t="s">
        <v>21</v>
      </c>
      <c r="Z5316" s="8" t="s">
        <v>23769</v>
      </c>
    </row>
    <row r="5317" spans="1:26" x14ac:dyDescent="0.2">
      <c r="A5317" s="8">
        <v>5316</v>
      </c>
      <c r="B5317" s="8" t="s">
        <v>23770</v>
      </c>
      <c r="C5317" s="8" t="s">
        <v>23770</v>
      </c>
      <c r="F5317" s="47"/>
      <c r="G5317" s="8">
        <v>5</v>
      </c>
      <c r="H5317" s="8" t="s">
        <v>21</v>
      </c>
      <c r="I5317" s="8" t="s">
        <v>557</v>
      </c>
      <c r="J5317" s="8" t="s">
        <v>557</v>
      </c>
      <c r="K5317" s="8" t="s">
        <v>1168</v>
      </c>
      <c r="L5317" s="8" t="s">
        <v>16195</v>
      </c>
      <c r="M5317" s="8" t="s">
        <v>16196</v>
      </c>
      <c r="N5317" s="8" t="s">
        <v>23771</v>
      </c>
      <c r="O5317" s="8">
        <f>13+54/60+0/3600</f>
        <v>13.9</v>
      </c>
      <c r="P5317" s="8" t="s">
        <v>23772</v>
      </c>
      <c r="Q5317" s="8">
        <f>-(61+51/60+0/3600)</f>
        <v>-61.85</v>
      </c>
      <c r="R5317" s="8">
        <v>6</v>
      </c>
      <c r="S5317" s="8">
        <v>99</v>
      </c>
      <c r="T5317" s="8">
        <v>99</v>
      </c>
      <c r="U5317" s="8">
        <v>99</v>
      </c>
      <c r="V5317" s="8">
        <v>15</v>
      </c>
      <c r="Y5317" s="8" t="s">
        <v>23773</v>
      </c>
      <c r="Z5317" s="8" t="s">
        <v>23774</v>
      </c>
    </row>
    <row r="5318" spans="1:26" x14ac:dyDescent="0.2">
      <c r="A5318" s="8">
        <v>5317</v>
      </c>
      <c r="B5318" s="8" t="s">
        <v>23775</v>
      </c>
      <c r="C5318" s="8" t="s">
        <v>23775</v>
      </c>
      <c r="F5318" s="47"/>
      <c r="G5318" s="8">
        <v>16</v>
      </c>
      <c r="H5318" s="8" t="s">
        <v>21</v>
      </c>
      <c r="I5318" s="8" t="s">
        <v>22</v>
      </c>
      <c r="J5318" s="8" t="s">
        <v>57</v>
      </c>
      <c r="K5318" s="8" t="s">
        <v>2556</v>
      </c>
      <c r="L5318" s="8" t="s">
        <v>17287</v>
      </c>
      <c r="M5318" s="8" t="s">
        <v>17288</v>
      </c>
      <c r="N5318" s="8" t="s">
        <v>23776</v>
      </c>
      <c r="O5318" s="8">
        <f>13+56/60+11.9/3600</f>
        <v>13.93663888888889</v>
      </c>
      <c r="P5318" s="8" t="s">
        <v>23777</v>
      </c>
      <c r="Q5318" s="8">
        <f>+(5+0/60+56/3600)</f>
        <v>5.0155555555555553</v>
      </c>
      <c r="R5318" s="8">
        <v>10.5</v>
      </c>
      <c r="S5318" s="8">
        <v>11.2</v>
      </c>
      <c r="T5318" s="8">
        <v>0.7</v>
      </c>
      <c r="U5318" s="8">
        <v>14.1</v>
      </c>
      <c r="V5318" s="8">
        <v>6.8</v>
      </c>
      <c r="W5318" s="8">
        <v>4.4000000000000004</v>
      </c>
      <c r="X5318" s="8">
        <v>30</v>
      </c>
      <c r="Y5318" s="8" t="s">
        <v>15746</v>
      </c>
      <c r="Z5318" s="8" t="s">
        <v>15747</v>
      </c>
    </row>
    <row r="5319" spans="1:26" x14ac:dyDescent="0.2">
      <c r="A5319" s="8">
        <v>5318</v>
      </c>
      <c r="B5319" s="8" t="s">
        <v>23778</v>
      </c>
      <c r="C5319" s="8" t="s">
        <v>23778</v>
      </c>
      <c r="F5319" s="47" t="s">
        <v>57815</v>
      </c>
      <c r="G5319" s="8">
        <v>15</v>
      </c>
      <c r="H5319" s="8" t="s">
        <v>21</v>
      </c>
      <c r="I5319" s="8" t="s">
        <v>22</v>
      </c>
      <c r="J5319" s="8" t="s">
        <v>22</v>
      </c>
      <c r="K5319" s="8" t="s">
        <v>224</v>
      </c>
      <c r="L5319" s="8" t="s">
        <v>18681</v>
      </c>
      <c r="M5319" s="8" t="s">
        <v>18682</v>
      </c>
      <c r="N5319" s="8" t="s">
        <v>23779</v>
      </c>
      <c r="O5319" s="8">
        <f>13+50/60+35.9/3600</f>
        <v>13.843305555555556</v>
      </c>
      <c r="P5319" s="8" t="s">
        <v>2136</v>
      </c>
      <c r="Q5319" s="8">
        <f>+(33+42/60+19/3600)</f>
        <v>33.705277777777781</v>
      </c>
      <c r="R5319" s="8">
        <v>12.9</v>
      </c>
      <c r="S5319" s="8">
        <v>13.8</v>
      </c>
      <c r="T5319" s="8">
        <v>0.9</v>
      </c>
      <c r="U5319" s="8">
        <v>13.1</v>
      </c>
      <c r="V5319" s="8">
        <v>1.5</v>
      </c>
      <c r="W5319" s="8">
        <v>0.9</v>
      </c>
      <c r="X5319" s="8">
        <v>165</v>
      </c>
      <c r="Y5319" s="8" t="s">
        <v>23780</v>
      </c>
      <c r="Z5319" s="8" t="s">
        <v>23781</v>
      </c>
    </row>
    <row r="5320" spans="1:26" x14ac:dyDescent="0.2">
      <c r="A5320" s="8">
        <v>5319</v>
      </c>
      <c r="B5320" s="8" t="s">
        <v>23782</v>
      </c>
      <c r="C5320" s="8" t="s">
        <v>23782</v>
      </c>
      <c r="F5320" s="47"/>
      <c r="G5320" s="8">
        <v>19</v>
      </c>
      <c r="H5320" s="8" t="s">
        <v>21</v>
      </c>
      <c r="I5320" s="8" t="s">
        <v>22</v>
      </c>
      <c r="J5320" s="8" t="s">
        <v>22</v>
      </c>
      <c r="K5320" s="8" t="s">
        <v>449</v>
      </c>
      <c r="L5320" s="8" t="s">
        <v>18681</v>
      </c>
      <c r="M5320" s="8" t="s">
        <v>18682</v>
      </c>
      <c r="N5320" s="8" t="s">
        <v>23783</v>
      </c>
      <c r="O5320" s="8">
        <f>13+50/60+40.5/3600</f>
        <v>13.844583333333334</v>
      </c>
      <c r="P5320" s="8" t="s">
        <v>23784</v>
      </c>
      <c r="Q5320" s="8">
        <f>+(33+45/60+42/3600)</f>
        <v>33.761666666666663</v>
      </c>
      <c r="R5320" s="8">
        <v>15.5</v>
      </c>
      <c r="S5320" s="8">
        <v>16.3</v>
      </c>
      <c r="T5320" s="8">
        <v>0.8</v>
      </c>
      <c r="U5320" s="8">
        <v>13</v>
      </c>
      <c r="V5320" s="8">
        <v>0.6</v>
      </c>
      <c r="W5320" s="8">
        <v>0.2</v>
      </c>
      <c r="X5320" s="8">
        <v>56</v>
      </c>
      <c r="Y5320" s="8" t="s">
        <v>21</v>
      </c>
      <c r="Z5320" s="8" t="s">
        <v>23785</v>
      </c>
    </row>
    <row r="5321" spans="1:26" x14ac:dyDescent="0.2">
      <c r="A5321" s="8">
        <v>5320</v>
      </c>
      <c r="B5321" s="8" t="s">
        <v>23786</v>
      </c>
      <c r="C5321" s="8" t="s">
        <v>23786</v>
      </c>
      <c r="F5321" s="47" t="s">
        <v>57816</v>
      </c>
      <c r="G5321" s="8">
        <v>15</v>
      </c>
      <c r="H5321" s="8" t="s">
        <v>21</v>
      </c>
      <c r="I5321" s="8" t="s">
        <v>22</v>
      </c>
      <c r="J5321" s="8" t="s">
        <v>22</v>
      </c>
      <c r="K5321" s="8" t="s">
        <v>64</v>
      </c>
      <c r="L5321" s="8" t="s">
        <v>18681</v>
      </c>
      <c r="M5321" s="8" t="s">
        <v>18682</v>
      </c>
      <c r="N5321" s="8" t="s">
        <v>23787</v>
      </c>
      <c r="O5321" s="8">
        <f>13+50/60+20.2/3600</f>
        <v>13.838944444444445</v>
      </c>
      <c r="P5321" s="8" t="s">
        <v>23788</v>
      </c>
      <c r="Q5321" s="8">
        <f>+(41+21/60+58/3600)</f>
        <v>41.36611111111111</v>
      </c>
      <c r="R5321" s="8">
        <v>12.1</v>
      </c>
      <c r="S5321" s="8">
        <v>12.8</v>
      </c>
      <c r="T5321" s="8">
        <v>0.7</v>
      </c>
      <c r="U5321" s="8">
        <v>13.9</v>
      </c>
      <c r="V5321" s="8">
        <v>3.6</v>
      </c>
      <c r="W5321" s="8">
        <v>1.7</v>
      </c>
      <c r="X5321" s="8">
        <v>18</v>
      </c>
      <c r="Y5321" s="8" t="s">
        <v>23789</v>
      </c>
      <c r="Z5321" s="8" t="s">
        <v>23790</v>
      </c>
    </row>
    <row r="5322" spans="1:26" x14ac:dyDescent="0.2">
      <c r="A5322" s="8">
        <v>5321</v>
      </c>
      <c r="B5322" s="8" t="s">
        <v>23791</v>
      </c>
      <c r="C5322" s="8" t="s">
        <v>23791</v>
      </c>
      <c r="F5322" s="47" t="s">
        <v>57817</v>
      </c>
      <c r="G5322" s="8">
        <v>15</v>
      </c>
      <c r="H5322" s="8" t="s">
        <v>21</v>
      </c>
      <c r="I5322" s="8" t="s">
        <v>22</v>
      </c>
      <c r="J5322" s="8" t="s">
        <v>22</v>
      </c>
      <c r="K5322" s="8" t="s">
        <v>435</v>
      </c>
      <c r="L5322" s="8" t="s">
        <v>18681</v>
      </c>
      <c r="M5322" s="8" t="s">
        <v>18682</v>
      </c>
      <c r="N5322" s="8" t="s">
        <v>23792</v>
      </c>
      <c r="O5322" s="8">
        <f>13+50/60+43.6/3600</f>
        <v>13.845444444444444</v>
      </c>
      <c r="P5322" s="8" t="s">
        <v>23793</v>
      </c>
      <c r="Q5322" s="8">
        <f>+(33+37/60+59/3600)</f>
        <v>33.633055555555558</v>
      </c>
      <c r="R5322" s="8">
        <v>14</v>
      </c>
      <c r="S5322" s="8">
        <v>14.9</v>
      </c>
      <c r="T5322" s="8">
        <v>0.9</v>
      </c>
      <c r="U5322" s="8">
        <v>12.9</v>
      </c>
      <c r="V5322" s="8">
        <v>0.8</v>
      </c>
      <c r="W5322" s="8">
        <v>0.7</v>
      </c>
      <c r="X5322" s="8">
        <v>86</v>
      </c>
      <c r="Y5322" s="8" t="s">
        <v>21</v>
      </c>
      <c r="Z5322" s="8" t="s">
        <v>23794</v>
      </c>
    </row>
    <row r="5323" spans="1:26" x14ac:dyDescent="0.2">
      <c r="A5323" s="8">
        <v>5322</v>
      </c>
      <c r="B5323" s="8" t="s">
        <v>23795</v>
      </c>
      <c r="C5323" s="8" t="s">
        <v>23795</v>
      </c>
      <c r="F5323" s="47" t="s">
        <v>57818</v>
      </c>
      <c r="G5323" s="8">
        <v>6</v>
      </c>
      <c r="H5323" s="8" t="s">
        <v>21</v>
      </c>
      <c r="I5323" s="8" t="s">
        <v>22</v>
      </c>
      <c r="J5323" s="8" t="s">
        <v>22</v>
      </c>
      <c r="K5323" s="8" t="s">
        <v>1136</v>
      </c>
      <c r="L5323" s="8" t="s">
        <v>12015</v>
      </c>
      <c r="M5323" s="8" t="s">
        <v>12016</v>
      </c>
      <c r="N5323" s="8" t="s">
        <v>23796</v>
      </c>
      <c r="O5323" s="8">
        <f>13+49/60+14.9/3600</f>
        <v>13.820805555555555</v>
      </c>
      <c r="P5323" s="8" t="s">
        <v>23797</v>
      </c>
      <c r="Q5323" s="8">
        <f>+(60+11/60+25/3600)</f>
        <v>60.190277777777773</v>
      </c>
      <c r="R5323" s="8">
        <v>10.199999999999999</v>
      </c>
      <c r="S5323" s="8">
        <v>11.1</v>
      </c>
      <c r="T5323" s="8">
        <v>0.9</v>
      </c>
      <c r="U5323" s="8">
        <v>13.6</v>
      </c>
      <c r="V5323" s="8">
        <v>6</v>
      </c>
      <c r="W5323" s="8">
        <v>4.0999999999999996</v>
      </c>
      <c r="X5323" s="8">
        <v>83</v>
      </c>
      <c r="Y5323" s="8" t="s">
        <v>23798</v>
      </c>
      <c r="Z5323" s="8" t="s">
        <v>23799</v>
      </c>
    </row>
    <row r="5324" spans="1:26" x14ac:dyDescent="0.2">
      <c r="A5324" s="8">
        <v>5323</v>
      </c>
      <c r="B5324" s="8" t="s">
        <v>23800</v>
      </c>
      <c r="C5324" s="8" t="s">
        <v>23800</v>
      </c>
      <c r="F5324" s="47" t="s">
        <v>57819</v>
      </c>
      <c r="G5324" s="8">
        <v>15</v>
      </c>
      <c r="H5324" s="8" t="s">
        <v>21</v>
      </c>
      <c r="I5324" s="8" t="s">
        <v>22</v>
      </c>
      <c r="J5324" s="8" t="s">
        <v>22</v>
      </c>
      <c r="K5324" s="8" t="s">
        <v>31</v>
      </c>
      <c r="L5324" s="8" t="s">
        <v>14586</v>
      </c>
      <c r="M5324" s="8" t="s">
        <v>14587</v>
      </c>
      <c r="N5324" s="8" t="s">
        <v>23801</v>
      </c>
      <c r="O5324" s="8">
        <f>13+45/60+36/3600</f>
        <v>13.76</v>
      </c>
      <c r="P5324" s="8" t="s">
        <v>23802</v>
      </c>
      <c r="Q5324" s="8">
        <f>+(76+49/60+42/3600)</f>
        <v>76.828333333333333</v>
      </c>
      <c r="R5324" s="8">
        <v>13.5</v>
      </c>
      <c r="S5324" s="8">
        <v>14.3</v>
      </c>
      <c r="T5324" s="8">
        <v>0.8</v>
      </c>
      <c r="U5324" s="8">
        <v>12.7</v>
      </c>
      <c r="V5324" s="8">
        <v>1.4</v>
      </c>
      <c r="W5324" s="8">
        <v>0.4</v>
      </c>
      <c r="X5324" s="8">
        <v>163</v>
      </c>
      <c r="Y5324" s="8" t="s">
        <v>23803</v>
      </c>
      <c r="Z5324" s="8" t="s">
        <v>23804</v>
      </c>
    </row>
    <row r="5325" spans="1:26" x14ac:dyDescent="0.2">
      <c r="A5325" s="8">
        <v>5324</v>
      </c>
      <c r="B5325" s="8" t="s">
        <v>23805</v>
      </c>
      <c r="C5325" s="8" t="s">
        <v>23805</v>
      </c>
      <c r="F5325" s="47" t="s">
        <v>57820</v>
      </c>
      <c r="G5325" s="8">
        <v>13</v>
      </c>
      <c r="H5325" s="8" t="s">
        <v>21</v>
      </c>
      <c r="I5325" s="8" t="s">
        <v>22</v>
      </c>
      <c r="J5325" s="8" t="s">
        <v>22</v>
      </c>
      <c r="K5325" s="8" t="s">
        <v>160</v>
      </c>
      <c r="L5325" s="8" t="s">
        <v>17287</v>
      </c>
      <c r="M5325" s="8" t="s">
        <v>17288</v>
      </c>
      <c r="N5325" s="8" t="s">
        <v>23806</v>
      </c>
      <c r="O5325" s="8">
        <f>13+52/60+5.8/3600</f>
        <v>13.868277777777779</v>
      </c>
      <c r="P5325" s="8" t="s">
        <v>23807</v>
      </c>
      <c r="Q5325" s="8">
        <f>-(6+3/60+29/3600)</f>
        <v>-6.0580555555555557</v>
      </c>
      <c r="R5325" s="8">
        <v>11.7</v>
      </c>
      <c r="S5325" s="8">
        <v>12.4</v>
      </c>
      <c r="T5325" s="8">
        <v>0.7</v>
      </c>
      <c r="U5325" s="8">
        <v>13.2</v>
      </c>
      <c r="V5325" s="8">
        <v>2.2999999999999998</v>
      </c>
      <c r="W5325" s="8">
        <v>2.1</v>
      </c>
      <c r="X5325" s="8">
        <v>0</v>
      </c>
      <c r="Y5325" s="8" t="s">
        <v>23808</v>
      </c>
      <c r="Z5325" s="8" t="s">
        <v>23809</v>
      </c>
    </row>
    <row r="5326" spans="1:26" x14ac:dyDescent="0.2">
      <c r="A5326" s="8">
        <v>5325</v>
      </c>
      <c r="B5326" s="8" t="s">
        <v>23810</v>
      </c>
      <c r="C5326" s="8" t="s">
        <v>23810</v>
      </c>
      <c r="F5326" s="47"/>
      <c r="G5326" s="8">
        <v>19</v>
      </c>
      <c r="H5326" s="8" t="s">
        <v>21</v>
      </c>
      <c r="I5326" s="8" t="s">
        <v>22</v>
      </c>
      <c r="J5326" s="8" t="s">
        <v>22</v>
      </c>
      <c r="K5326" s="8" t="s">
        <v>160</v>
      </c>
      <c r="L5326" s="8" t="s">
        <v>18681</v>
      </c>
      <c r="M5326" s="8" t="s">
        <v>18682</v>
      </c>
      <c r="N5326" s="8" t="s">
        <v>23811</v>
      </c>
      <c r="O5326" s="8">
        <f>13+50/60+54/3600</f>
        <v>13.848333333333334</v>
      </c>
      <c r="P5326" s="8" t="s">
        <v>23812</v>
      </c>
      <c r="Q5326" s="8">
        <f>+(38+16/60+29/3600)</f>
        <v>38.274722222222223</v>
      </c>
      <c r="R5326" s="8">
        <v>15.3</v>
      </c>
      <c r="S5326" s="8">
        <v>16</v>
      </c>
      <c r="T5326" s="8">
        <v>0.7</v>
      </c>
      <c r="U5326" s="8">
        <v>14.8</v>
      </c>
      <c r="V5326" s="8">
        <v>0.9</v>
      </c>
      <c r="W5326" s="8">
        <v>0.8</v>
      </c>
      <c r="X5326" s="8">
        <v>91</v>
      </c>
      <c r="Y5326" s="8" t="s">
        <v>23813</v>
      </c>
      <c r="Z5326" s="8" t="s">
        <v>23814</v>
      </c>
    </row>
    <row r="5327" spans="1:26" x14ac:dyDescent="0.2">
      <c r="A5327" s="8">
        <v>5326</v>
      </c>
      <c r="B5327" s="8" t="s">
        <v>23815</v>
      </c>
      <c r="C5327" s="8" t="s">
        <v>23815</v>
      </c>
      <c r="F5327" s="47" t="s">
        <v>57821</v>
      </c>
      <c r="G5327" s="8">
        <v>13</v>
      </c>
      <c r="H5327" s="8" t="s">
        <v>21</v>
      </c>
      <c r="I5327" s="8" t="s">
        <v>22</v>
      </c>
      <c r="J5327" s="8" t="s">
        <v>22</v>
      </c>
      <c r="K5327" s="8" t="s">
        <v>31</v>
      </c>
      <c r="L5327" s="8" t="s">
        <v>18681</v>
      </c>
      <c r="M5327" s="8" t="s">
        <v>18682</v>
      </c>
      <c r="N5327" s="8" t="s">
        <v>23816</v>
      </c>
      <c r="O5327" s="8">
        <f>13+50/60+50.5/3600</f>
        <v>13.847361111111113</v>
      </c>
      <c r="P5327" s="8" t="s">
        <v>23817</v>
      </c>
      <c r="Q5327" s="8">
        <f>+(39+34/60+31/3600)</f>
        <v>39.575277777777778</v>
      </c>
      <c r="R5327" s="8">
        <v>11.9</v>
      </c>
      <c r="S5327" s="8">
        <v>12.9</v>
      </c>
      <c r="T5327" s="8">
        <v>1</v>
      </c>
      <c r="U5327" s="8">
        <v>12.7</v>
      </c>
      <c r="V5327" s="8">
        <v>2.2000000000000002</v>
      </c>
      <c r="W5327" s="8">
        <v>1.2</v>
      </c>
      <c r="X5327" s="8">
        <v>137</v>
      </c>
      <c r="Y5327" s="8" t="s">
        <v>23818</v>
      </c>
      <c r="Z5327" s="8" t="s">
        <v>23819</v>
      </c>
    </row>
    <row r="5328" spans="1:26" x14ac:dyDescent="0.2">
      <c r="A5328" s="8">
        <v>5327</v>
      </c>
      <c r="B5328" s="8" t="s">
        <v>23820</v>
      </c>
      <c r="C5328" s="8" t="s">
        <v>23820</v>
      </c>
      <c r="F5328" s="47" t="s">
        <v>57822</v>
      </c>
      <c r="G5328" s="8">
        <v>15</v>
      </c>
      <c r="H5328" s="8" t="s">
        <v>21</v>
      </c>
      <c r="I5328" s="8" t="s">
        <v>22</v>
      </c>
      <c r="J5328" s="8" t="s">
        <v>22</v>
      </c>
      <c r="K5328" s="8" t="s">
        <v>218</v>
      </c>
      <c r="L5328" s="8" t="s">
        <v>17287</v>
      </c>
      <c r="M5328" s="8" t="s">
        <v>17288</v>
      </c>
      <c r="N5328" s="8" t="s">
        <v>23821</v>
      </c>
      <c r="O5328" s="8">
        <f>13+52/60+4.1/3600</f>
        <v>13.867805555555556</v>
      </c>
      <c r="P5328" s="8" t="s">
        <v>23822</v>
      </c>
      <c r="Q5328" s="8">
        <f>-(2+12/60+23/3600)</f>
        <v>-2.2063888888888892</v>
      </c>
      <c r="R5328" s="8">
        <v>12.6</v>
      </c>
      <c r="S5328" s="8">
        <v>13.4</v>
      </c>
      <c r="T5328" s="8">
        <v>0.8</v>
      </c>
      <c r="U5328" s="8">
        <v>13.7</v>
      </c>
      <c r="V5328" s="8">
        <v>1.9</v>
      </c>
      <c r="W5328" s="8">
        <v>1.6</v>
      </c>
      <c r="X5328" s="8">
        <v>90</v>
      </c>
      <c r="Y5328" s="8" t="s">
        <v>23823</v>
      </c>
      <c r="Z5328" s="8" t="s">
        <v>23824</v>
      </c>
    </row>
    <row r="5329" spans="1:26" x14ac:dyDescent="0.2">
      <c r="A5329" s="8">
        <v>5328</v>
      </c>
      <c r="B5329" s="8" t="s">
        <v>23825</v>
      </c>
      <c r="C5329" s="8" t="s">
        <v>23825</v>
      </c>
      <c r="F5329" s="47" t="s">
        <v>57823</v>
      </c>
      <c r="G5329" s="8">
        <v>13</v>
      </c>
      <c r="H5329" s="8" t="s">
        <v>21</v>
      </c>
      <c r="I5329" s="8" t="s">
        <v>22</v>
      </c>
      <c r="J5329" s="8" t="s">
        <v>22</v>
      </c>
      <c r="K5329" s="8" t="s">
        <v>183</v>
      </c>
      <c r="L5329" s="8" t="s">
        <v>11765</v>
      </c>
      <c r="M5329" s="8" t="s">
        <v>11766</v>
      </c>
      <c r="N5329" s="8" t="s">
        <v>23826</v>
      </c>
      <c r="O5329" s="8">
        <f>13+52/60+53.4/3600</f>
        <v>13.881500000000001</v>
      </c>
      <c r="P5329" s="8" t="s">
        <v>23827</v>
      </c>
      <c r="Q5329" s="8">
        <f>-(28+29/60+21/3600)</f>
        <v>-28.489166666666666</v>
      </c>
      <c r="R5329" s="8">
        <v>11.6</v>
      </c>
      <c r="S5329" s="8">
        <v>12.7</v>
      </c>
      <c r="T5329" s="8">
        <v>1.1000000000000001</v>
      </c>
      <c r="U5329" s="8">
        <v>12.5</v>
      </c>
      <c r="V5329" s="8">
        <v>1.8</v>
      </c>
      <c r="W5329" s="8">
        <v>1.2</v>
      </c>
      <c r="X5329" s="8">
        <v>87</v>
      </c>
      <c r="Y5329" s="8" t="s">
        <v>23828</v>
      </c>
      <c r="Z5329" s="8" t="s">
        <v>23829</v>
      </c>
    </row>
    <row r="5330" spans="1:26" x14ac:dyDescent="0.2">
      <c r="A5330" s="8">
        <v>5329</v>
      </c>
      <c r="B5330" s="8" t="s">
        <v>23830</v>
      </c>
      <c r="C5330" s="8" t="s">
        <v>23830</v>
      </c>
      <c r="F5330" s="47" t="s">
        <v>57824</v>
      </c>
      <c r="G5330" s="8">
        <v>15</v>
      </c>
      <c r="H5330" s="8" t="s">
        <v>21</v>
      </c>
      <c r="I5330" s="8" t="s">
        <v>22</v>
      </c>
      <c r="J5330" s="8" t="s">
        <v>22</v>
      </c>
      <c r="K5330" s="8" t="s">
        <v>460</v>
      </c>
      <c r="L5330" s="8" t="s">
        <v>17287</v>
      </c>
      <c r="M5330" s="8" t="s">
        <v>17288</v>
      </c>
      <c r="N5330" s="8" t="s">
        <v>23831</v>
      </c>
      <c r="O5330" s="8">
        <f>13+52/60+10/3600</f>
        <v>13.869444444444445</v>
      </c>
      <c r="P5330" s="8" t="s">
        <v>23832</v>
      </c>
      <c r="Q5330" s="8">
        <f>+(2+19/60+32/3600)</f>
        <v>2.3255555555555554</v>
      </c>
      <c r="R5330" s="8">
        <v>12.4</v>
      </c>
      <c r="S5330" s="8">
        <v>13.4</v>
      </c>
      <c r="T5330" s="8">
        <v>1</v>
      </c>
      <c r="U5330" s="8">
        <v>13</v>
      </c>
      <c r="V5330" s="8">
        <v>1.3</v>
      </c>
      <c r="W5330" s="8">
        <v>1.3</v>
      </c>
      <c r="Y5330" s="8" t="s">
        <v>23833</v>
      </c>
      <c r="Z5330" s="8" t="s">
        <v>23834</v>
      </c>
    </row>
    <row r="5331" spans="1:26" x14ac:dyDescent="0.2">
      <c r="A5331" s="8">
        <v>5330</v>
      </c>
      <c r="B5331" s="8" t="s">
        <v>23835</v>
      </c>
      <c r="C5331" s="8" t="s">
        <v>23835</v>
      </c>
      <c r="F5331" s="47"/>
      <c r="G5331" s="8">
        <v>19</v>
      </c>
      <c r="H5331" s="8" t="s">
        <v>21</v>
      </c>
      <c r="I5331" s="8" t="s">
        <v>22</v>
      </c>
      <c r="J5331" s="8" t="s">
        <v>22</v>
      </c>
      <c r="K5331" s="8" t="s">
        <v>382</v>
      </c>
      <c r="L5331" s="8" t="s">
        <v>11765</v>
      </c>
      <c r="M5331" s="8" t="s">
        <v>11766</v>
      </c>
      <c r="N5331" s="8" t="s">
        <v>23836</v>
      </c>
      <c r="O5331" s="8">
        <f>13+52/60+59.2/3600</f>
        <v>13.883111111111111</v>
      </c>
      <c r="P5331" s="8" t="s">
        <v>23837</v>
      </c>
      <c r="Q5331" s="8">
        <f>-(28+28/60+14/3600)</f>
        <v>-28.470555555555553</v>
      </c>
      <c r="R5331" s="8">
        <v>13.7</v>
      </c>
      <c r="S5331" s="8">
        <v>14.7</v>
      </c>
      <c r="T5331" s="8">
        <v>1</v>
      </c>
      <c r="U5331" s="8">
        <v>12.6</v>
      </c>
      <c r="V5331" s="8">
        <v>0.7</v>
      </c>
      <c r="W5331" s="8">
        <v>0.5</v>
      </c>
      <c r="X5331" s="8">
        <v>6</v>
      </c>
      <c r="Y5331" s="8" t="s">
        <v>21</v>
      </c>
      <c r="Z5331" s="8" t="s">
        <v>23838</v>
      </c>
    </row>
    <row r="5332" spans="1:26" x14ac:dyDescent="0.2">
      <c r="A5332" s="8">
        <v>5331</v>
      </c>
      <c r="B5332" s="8" t="s">
        <v>23839</v>
      </c>
      <c r="C5332" s="8" t="s">
        <v>23839</v>
      </c>
      <c r="E5332" s="8">
        <v>2</v>
      </c>
      <c r="F5332" s="47" t="s">
        <v>57825</v>
      </c>
      <c r="G5332" s="8">
        <v>15</v>
      </c>
      <c r="H5332" s="8" t="s">
        <v>21</v>
      </c>
      <c r="I5332" s="8" t="s">
        <v>22</v>
      </c>
      <c r="J5332" s="8" t="s">
        <v>22</v>
      </c>
      <c r="K5332" s="8" t="s">
        <v>23</v>
      </c>
      <c r="L5332" s="8" t="s">
        <v>17287</v>
      </c>
      <c r="M5332" s="8" t="s">
        <v>17288</v>
      </c>
      <c r="N5332" s="8" t="s">
        <v>23840</v>
      </c>
      <c r="O5332" s="8">
        <f>13+52/60+16/3600</f>
        <v>13.871111111111112</v>
      </c>
      <c r="P5332" s="8" t="s">
        <v>23841</v>
      </c>
      <c r="Q5332" s="8">
        <f>+(2+6/60+4/3600)</f>
        <v>2.1011111111111114</v>
      </c>
      <c r="R5332" s="8">
        <v>13.8</v>
      </c>
      <c r="S5332" s="8">
        <v>14.6</v>
      </c>
      <c r="T5332" s="8">
        <v>0.8</v>
      </c>
      <c r="U5332" s="8">
        <v>13.6</v>
      </c>
      <c r="V5332" s="8">
        <v>1.1000000000000001</v>
      </c>
      <c r="W5332" s="8">
        <v>0.9</v>
      </c>
      <c r="X5332" s="8">
        <v>0</v>
      </c>
      <c r="Y5332" s="8" t="s">
        <v>23842</v>
      </c>
      <c r="Z5332" s="8" t="s">
        <v>23843</v>
      </c>
    </row>
    <row r="5333" spans="1:26" x14ac:dyDescent="0.2">
      <c r="A5333" s="8">
        <v>5332</v>
      </c>
      <c r="B5333" s="8" t="s">
        <v>23844</v>
      </c>
      <c r="C5333" s="8" t="s">
        <v>23844</v>
      </c>
      <c r="F5333" s="47"/>
      <c r="G5333" s="8">
        <v>19</v>
      </c>
      <c r="H5333" s="8" t="s">
        <v>21</v>
      </c>
      <c r="I5333" s="8" t="s">
        <v>22</v>
      </c>
      <c r="J5333" s="8" t="s">
        <v>22</v>
      </c>
      <c r="K5333" s="8" t="s">
        <v>58</v>
      </c>
      <c r="L5333" s="8" t="s">
        <v>22476</v>
      </c>
      <c r="M5333" s="8" t="s">
        <v>22477</v>
      </c>
      <c r="N5333" s="8" t="s">
        <v>23845</v>
      </c>
      <c r="O5333" s="8">
        <f>13+52/60+7.9/3600</f>
        <v>13.868861111111112</v>
      </c>
      <c r="P5333" s="8" t="s">
        <v>23846</v>
      </c>
      <c r="Q5333" s="8">
        <f>+(16+58/60+11/3600)</f>
        <v>16.96972222222222</v>
      </c>
      <c r="R5333" s="8">
        <v>13</v>
      </c>
      <c r="S5333" s="8">
        <v>14</v>
      </c>
      <c r="T5333" s="8">
        <v>1</v>
      </c>
      <c r="U5333" s="8">
        <v>12.6</v>
      </c>
      <c r="V5333" s="8">
        <v>0.9</v>
      </c>
      <c r="W5333" s="8">
        <v>0.9</v>
      </c>
      <c r="Y5333" s="8" t="s">
        <v>170</v>
      </c>
      <c r="Z5333" s="8" t="s">
        <v>171</v>
      </c>
    </row>
    <row r="5334" spans="1:26" x14ac:dyDescent="0.2">
      <c r="A5334" s="8">
        <v>5333</v>
      </c>
      <c r="B5334" s="8" t="s">
        <v>23847</v>
      </c>
      <c r="C5334" s="8" t="s">
        <v>23847</v>
      </c>
      <c r="F5334" s="47"/>
      <c r="G5334" s="8">
        <v>16</v>
      </c>
      <c r="H5334" s="8" t="s">
        <v>21</v>
      </c>
      <c r="I5334" s="8" t="s">
        <v>22</v>
      </c>
      <c r="J5334" s="8" t="s">
        <v>22</v>
      </c>
      <c r="K5334" s="8" t="s">
        <v>224</v>
      </c>
      <c r="L5334" s="8" t="s">
        <v>16195</v>
      </c>
      <c r="M5334" s="8" t="s">
        <v>16196</v>
      </c>
      <c r="N5334" s="8" t="s">
        <v>23848</v>
      </c>
      <c r="O5334" s="8">
        <f>13+54/60+24.1/3600</f>
        <v>13.906694444444446</v>
      </c>
      <c r="P5334" s="8" t="s">
        <v>23849</v>
      </c>
      <c r="Q5334" s="8">
        <f>-(48+30/60+46/3600)</f>
        <v>-48.512777777777778</v>
      </c>
      <c r="R5334" s="8">
        <v>10.7</v>
      </c>
      <c r="S5334" s="8">
        <v>11.7</v>
      </c>
      <c r="T5334" s="8">
        <v>1</v>
      </c>
      <c r="U5334" s="8">
        <v>12.2</v>
      </c>
      <c r="V5334" s="8">
        <v>1.9</v>
      </c>
      <c r="W5334" s="8">
        <v>1</v>
      </c>
      <c r="X5334" s="8">
        <v>52</v>
      </c>
      <c r="Y5334" s="8" t="s">
        <v>23850</v>
      </c>
      <c r="Z5334" s="8" t="s">
        <v>23851</v>
      </c>
    </row>
    <row r="5335" spans="1:26" x14ac:dyDescent="0.2">
      <c r="A5335" s="8">
        <v>5334</v>
      </c>
      <c r="B5335" s="8" t="s">
        <v>23852</v>
      </c>
      <c r="C5335" s="8" t="s">
        <v>23852</v>
      </c>
      <c r="F5335" s="47" t="s">
        <v>57826</v>
      </c>
      <c r="G5335" s="8">
        <v>13</v>
      </c>
      <c r="H5335" s="8" t="s">
        <v>21</v>
      </c>
      <c r="I5335" s="8" t="s">
        <v>22</v>
      </c>
      <c r="J5335" s="8" t="s">
        <v>22</v>
      </c>
      <c r="K5335" s="8" t="s">
        <v>64</v>
      </c>
      <c r="L5335" s="8" t="s">
        <v>17287</v>
      </c>
      <c r="M5335" s="8" t="s">
        <v>17288</v>
      </c>
      <c r="N5335" s="8" t="s">
        <v>23853</v>
      </c>
      <c r="O5335" s="8">
        <f>13+52/60+54.5/3600</f>
        <v>13.881805555555555</v>
      </c>
      <c r="P5335" s="8" t="s">
        <v>23854</v>
      </c>
      <c r="Q5335" s="8">
        <f>-(1+6/60+49/3600)</f>
        <v>-1.1136111111111111</v>
      </c>
      <c r="R5335" s="8">
        <v>11.3</v>
      </c>
      <c r="S5335" s="8">
        <v>12</v>
      </c>
      <c r="T5335" s="8">
        <v>0.7</v>
      </c>
      <c r="U5335" s="8">
        <v>13.9</v>
      </c>
      <c r="V5335" s="8">
        <v>4.2</v>
      </c>
      <c r="W5335" s="8">
        <v>3</v>
      </c>
      <c r="X5335" s="8">
        <v>21</v>
      </c>
      <c r="Y5335" s="8" t="s">
        <v>23855</v>
      </c>
      <c r="Z5335" s="8" t="s">
        <v>23856</v>
      </c>
    </row>
    <row r="5336" spans="1:26" x14ac:dyDescent="0.2">
      <c r="A5336" s="8">
        <v>5335</v>
      </c>
      <c r="B5336" s="8" t="s">
        <v>23857</v>
      </c>
      <c r="C5336" s="8" t="s">
        <v>23857</v>
      </c>
      <c r="F5336" s="47"/>
      <c r="G5336" s="8">
        <v>16</v>
      </c>
      <c r="H5336" s="8" t="s">
        <v>21</v>
      </c>
      <c r="I5336" s="8" t="s">
        <v>22</v>
      </c>
      <c r="J5336" s="8" t="s">
        <v>22</v>
      </c>
      <c r="K5336" s="8" t="s">
        <v>218</v>
      </c>
      <c r="L5336" s="8" t="s">
        <v>17287</v>
      </c>
      <c r="M5336" s="8" t="s">
        <v>17288</v>
      </c>
      <c r="N5336" s="8" t="s">
        <v>23858</v>
      </c>
      <c r="O5336" s="8">
        <f>13+52/60+56.5/3600</f>
        <v>13.882361111111111</v>
      </c>
      <c r="P5336" s="8" t="s">
        <v>23859</v>
      </c>
      <c r="Q5336" s="8">
        <f>+(2+48/60+53/3600)</f>
        <v>2.8147222222222221</v>
      </c>
      <c r="R5336" s="8">
        <v>12.8</v>
      </c>
      <c r="S5336" s="8">
        <v>13.6</v>
      </c>
      <c r="T5336" s="8">
        <v>0.8</v>
      </c>
      <c r="U5336" s="8">
        <v>13.8</v>
      </c>
      <c r="V5336" s="8">
        <v>2.1</v>
      </c>
      <c r="W5336" s="8">
        <v>1.4</v>
      </c>
      <c r="X5336" s="8">
        <v>90</v>
      </c>
      <c r="Y5336" s="8" t="s">
        <v>23860</v>
      </c>
      <c r="Z5336" s="8" t="s">
        <v>23861</v>
      </c>
    </row>
    <row r="5337" spans="1:26" x14ac:dyDescent="0.2">
      <c r="A5337" s="8">
        <v>5336</v>
      </c>
      <c r="B5337" s="8" t="s">
        <v>23862</v>
      </c>
      <c r="C5337" s="8" t="s">
        <v>23862</v>
      </c>
      <c r="F5337" s="47" t="s">
        <v>57827</v>
      </c>
      <c r="G5337" s="8">
        <v>15</v>
      </c>
      <c r="H5337" s="8" t="s">
        <v>21</v>
      </c>
      <c r="I5337" s="8" t="s">
        <v>22</v>
      </c>
      <c r="J5337" s="8" t="s">
        <v>22</v>
      </c>
      <c r="K5337" s="8" t="s">
        <v>160</v>
      </c>
      <c r="L5337" s="8" t="s">
        <v>18681</v>
      </c>
      <c r="M5337" s="8" t="s">
        <v>18682</v>
      </c>
      <c r="N5337" s="8" t="s">
        <v>23863</v>
      </c>
      <c r="O5337" s="8">
        <f>13+52/60+9.8/3600</f>
        <v>13.869388888888889</v>
      </c>
      <c r="P5337" s="8" t="s">
        <v>23864</v>
      </c>
      <c r="Q5337" s="8">
        <f>+(43+14/60+35/3600)</f>
        <v>43.243055555555557</v>
      </c>
      <c r="R5337" s="8">
        <v>12.8</v>
      </c>
      <c r="S5337" s="8">
        <v>13.5</v>
      </c>
      <c r="T5337" s="8">
        <v>0.7</v>
      </c>
      <c r="U5337" s="8">
        <v>13</v>
      </c>
      <c r="V5337" s="8">
        <v>1.4</v>
      </c>
      <c r="W5337" s="8">
        <v>1</v>
      </c>
      <c r="X5337" s="8">
        <v>109</v>
      </c>
      <c r="Y5337" s="8" t="s">
        <v>23865</v>
      </c>
      <c r="Z5337" s="8" t="s">
        <v>23866</v>
      </c>
    </row>
    <row r="5338" spans="1:26" x14ac:dyDescent="0.2">
      <c r="A5338" s="8">
        <v>5337</v>
      </c>
      <c r="B5338" s="8" t="s">
        <v>23867</v>
      </c>
      <c r="C5338" s="8" t="s">
        <v>23867</v>
      </c>
      <c r="F5338" s="47" t="s">
        <v>57828</v>
      </c>
      <c r="G5338" s="8">
        <v>15</v>
      </c>
      <c r="H5338" s="8" t="s">
        <v>21</v>
      </c>
      <c r="I5338" s="8" t="s">
        <v>22</v>
      </c>
      <c r="J5338" s="8" t="s">
        <v>22</v>
      </c>
      <c r="K5338" s="8" t="s">
        <v>476</v>
      </c>
      <c r="L5338" s="8" t="s">
        <v>18681</v>
      </c>
      <c r="M5338" s="8" t="s">
        <v>18682</v>
      </c>
      <c r="N5338" s="8" t="s">
        <v>23868</v>
      </c>
      <c r="O5338" s="8">
        <f>13+52/60+23/3600</f>
        <v>13.873055555555556</v>
      </c>
      <c r="P5338" s="8" t="s">
        <v>23869</v>
      </c>
      <c r="Q5338" s="8">
        <f>+(39+41/60+17/3600)</f>
        <v>39.68805555555555</v>
      </c>
      <c r="R5338" s="8">
        <v>12.6</v>
      </c>
      <c r="S5338" s="8">
        <v>13.5</v>
      </c>
      <c r="T5338" s="8">
        <v>0.9</v>
      </c>
      <c r="U5338" s="8">
        <v>12.7</v>
      </c>
      <c r="V5338" s="8">
        <v>1.7</v>
      </c>
      <c r="W5338" s="8">
        <v>0.8</v>
      </c>
      <c r="X5338" s="8">
        <v>20</v>
      </c>
      <c r="Y5338" s="8" t="s">
        <v>23870</v>
      </c>
      <c r="Z5338" s="8" t="s">
        <v>23871</v>
      </c>
    </row>
    <row r="5339" spans="1:26" x14ac:dyDescent="0.2">
      <c r="A5339" s="8">
        <v>5338</v>
      </c>
      <c r="B5339" s="8" t="s">
        <v>23872</v>
      </c>
      <c r="C5339" s="8" t="s">
        <v>23872</v>
      </c>
      <c r="F5339" s="47"/>
      <c r="G5339" s="8">
        <v>19</v>
      </c>
      <c r="H5339" s="8" t="s">
        <v>21</v>
      </c>
      <c r="I5339" s="8" t="s">
        <v>22</v>
      </c>
      <c r="J5339" s="8" t="s">
        <v>22</v>
      </c>
      <c r="K5339" s="8" t="s">
        <v>224</v>
      </c>
      <c r="L5339" s="8" t="s">
        <v>17287</v>
      </c>
      <c r="M5339" s="8" t="s">
        <v>17288</v>
      </c>
      <c r="N5339" s="8" t="s">
        <v>23873</v>
      </c>
      <c r="O5339" s="8">
        <f>13+53/60+26.5/3600</f>
        <v>13.890694444444444</v>
      </c>
      <c r="P5339" s="8" t="s">
        <v>23874</v>
      </c>
      <c r="Q5339" s="8">
        <f>+(5+12/60+28/3600)</f>
        <v>5.2077777777777783</v>
      </c>
      <c r="R5339" s="8">
        <v>12.8</v>
      </c>
      <c r="S5339" s="8">
        <v>13.8</v>
      </c>
      <c r="T5339" s="8">
        <v>1</v>
      </c>
      <c r="U5339" s="8">
        <v>13.3</v>
      </c>
      <c r="V5339" s="8">
        <v>2</v>
      </c>
      <c r="W5339" s="8">
        <v>0.9</v>
      </c>
      <c r="X5339" s="8">
        <v>97</v>
      </c>
      <c r="Y5339" s="8" t="s">
        <v>21</v>
      </c>
      <c r="Z5339" s="8" t="s">
        <v>23875</v>
      </c>
    </row>
    <row r="5340" spans="1:26" x14ac:dyDescent="0.2">
      <c r="A5340" s="8">
        <v>5339</v>
      </c>
      <c r="B5340" s="8" t="s">
        <v>23876</v>
      </c>
      <c r="C5340" s="8" t="s">
        <v>23876</v>
      </c>
      <c r="F5340" s="47"/>
      <c r="G5340" s="8">
        <v>19</v>
      </c>
      <c r="H5340" s="8" t="s">
        <v>21</v>
      </c>
      <c r="I5340" s="8" t="s">
        <v>22</v>
      </c>
      <c r="J5340" s="8" t="s">
        <v>22</v>
      </c>
      <c r="K5340" s="8" t="s">
        <v>154</v>
      </c>
      <c r="L5340" s="8" t="s">
        <v>17287</v>
      </c>
      <c r="M5340" s="8" t="s">
        <v>17288</v>
      </c>
      <c r="N5340" s="8" t="s">
        <v>23771</v>
      </c>
      <c r="O5340" s="8">
        <f>13+54/60+0/3600</f>
        <v>13.9</v>
      </c>
      <c r="P5340" s="8" t="s">
        <v>23877</v>
      </c>
      <c r="Q5340" s="8">
        <f>-(7+55/60+50/3600)</f>
        <v>-7.9305555555555562</v>
      </c>
      <c r="R5340" s="8">
        <v>14.1</v>
      </c>
      <c r="S5340" s="8">
        <v>15</v>
      </c>
      <c r="T5340" s="8">
        <v>0.9</v>
      </c>
      <c r="U5340" s="8">
        <v>15</v>
      </c>
      <c r="V5340" s="8">
        <v>1.7</v>
      </c>
      <c r="W5340" s="8">
        <v>1.5</v>
      </c>
      <c r="X5340" s="8">
        <v>59</v>
      </c>
      <c r="Y5340" s="8" t="s">
        <v>237</v>
      </c>
      <c r="Z5340" s="8" t="s">
        <v>238</v>
      </c>
    </row>
    <row r="5341" spans="1:26" x14ac:dyDescent="0.2">
      <c r="A5341" s="8">
        <v>5340</v>
      </c>
      <c r="B5341" s="8" t="s">
        <v>23878</v>
      </c>
      <c r="C5341" s="8" t="s">
        <v>23878</v>
      </c>
      <c r="F5341" s="47"/>
      <c r="G5341" s="8">
        <v>19</v>
      </c>
      <c r="H5341" s="8" t="s">
        <v>21</v>
      </c>
      <c r="I5341" s="8" t="s">
        <v>22</v>
      </c>
      <c r="J5341" s="8" t="s">
        <v>22</v>
      </c>
      <c r="K5341" s="8" t="s">
        <v>449</v>
      </c>
      <c r="L5341" s="8" t="s">
        <v>14586</v>
      </c>
      <c r="M5341" s="8" t="s">
        <v>14587</v>
      </c>
      <c r="N5341" s="8" t="s">
        <v>23879</v>
      </c>
      <c r="O5341" s="8">
        <f>13+48/60+59.8/3600</f>
        <v>13.816611111111111</v>
      </c>
      <c r="P5341" s="8" t="s">
        <v>23880</v>
      </c>
      <c r="Q5341" s="8">
        <f>+(72+39/60+16/3600)</f>
        <v>72.654444444444451</v>
      </c>
      <c r="R5341" s="8">
        <v>14.7</v>
      </c>
      <c r="S5341" s="8">
        <v>15.5</v>
      </c>
      <c r="T5341" s="8">
        <v>0.8</v>
      </c>
      <c r="U5341" s="8">
        <v>13.6</v>
      </c>
      <c r="V5341" s="8">
        <v>0.8</v>
      </c>
      <c r="W5341" s="8">
        <v>0.5</v>
      </c>
      <c r="X5341" s="8">
        <v>85</v>
      </c>
      <c r="Y5341" s="8" t="s">
        <v>227</v>
      </c>
      <c r="Z5341" s="8" t="s">
        <v>228</v>
      </c>
    </row>
    <row r="5342" spans="1:26" x14ac:dyDescent="0.2">
      <c r="A5342" s="8">
        <v>5341</v>
      </c>
      <c r="B5342" s="8" t="s">
        <v>23881</v>
      </c>
      <c r="C5342" s="8" t="s">
        <v>23881</v>
      </c>
      <c r="F5342" s="47"/>
      <c r="G5342" s="8">
        <v>18</v>
      </c>
      <c r="H5342" s="8" t="s">
        <v>21</v>
      </c>
      <c r="I5342" s="8" t="s">
        <v>22</v>
      </c>
      <c r="J5342" s="8" t="s">
        <v>22</v>
      </c>
      <c r="K5342" s="8" t="s">
        <v>269</v>
      </c>
      <c r="L5342" s="8" t="s">
        <v>18681</v>
      </c>
      <c r="M5342" s="8" t="s">
        <v>18682</v>
      </c>
      <c r="N5342" s="8" t="s">
        <v>23882</v>
      </c>
      <c r="O5342" s="8">
        <f>13+52/60+32.1/3600</f>
        <v>13.875583333333333</v>
      </c>
      <c r="P5342" s="8" t="s">
        <v>23883</v>
      </c>
      <c r="Q5342" s="8">
        <f>+(37+49/60+1/3600)</f>
        <v>37.816944444444445</v>
      </c>
      <c r="R5342" s="8">
        <v>13.3</v>
      </c>
      <c r="S5342" s="8">
        <v>13.9</v>
      </c>
      <c r="T5342" s="8">
        <v>0.6</v>
      </c>
      <c r="U5342" s="8">
        <v>12.6</v>
      </c>
      <c r="V5342" s="8">
        <v>1.3</v>
      </c>
      <c r="W5342" s="8">
        <v>0.5</v>
      </c>
      <c r="X5342" s="8">
        <v>164</v>
      </c>
      <c r="Y5342" s="8" t="s">
        <v>21</v>
      </c>
      <c r="Z5342" s="8" t="s">
        <v>23884</v>
      </c>
    </row>
    <row r="5343" spans="1:26" x14ac:dyDescent="0.2">
      <c r="A5343" s="8">
        <v>5342</v>
      </c>
      <c r="B5343" s="8" t="s">
        <v>23885</v>
      </c>
      <c r="C5343" s="8" t="s">
        <v>23885</v>
      </c>
      <c r="F5343" s="47" t="s">
        <v>57829</v>
      </c>
      <c r="G5343" s="8">
        <v>15</v>
      </c>
      <c r="H5343" s="8" t="s">
        <v>21</v>
      </c>
      <c r="I5343" s="8" t="s">
        <v>22</v>
      </c>
      <c r="J5343" s="8" t="s">
        <v>22</v>
      </c>
      <c r="K5343" s="8" t="s">
        <v>37</v>
      </c>
      <c r="L5343" s="8" t="s">
        <v>12015</v>
      </c>
      <c r="M5343" s="8" t="s">
        <v>12016</v>
      </c>
      <c r="N5343" s="8" t="s">
        <v>23886</v>
      </c>
      <c r="O5343" s="8">
        <f>13+51/60+25.9/3600</f>
        <v>13.857194444444444</v>
      </c>
      <c r="P5343" s="8" t="s">
        <v>23887</v>
      </c>
      <c r="Q5343" s="8">
        <f>+(59+51/60+50/3600)</f>
        <v>59.863888888888887</v>
      </c>
      <c r="R5343" s="8">
        <v>13.5</v>
      </c>
      <c r="S5343" s="8">
        <v>14.5</v>
      </c>
      <c r="T5343" s="8">
        <v>1</v>
      </c>
      <c r="U5343" s="8">
        <v>12.5</v>
      </c>
      <c r="V5343" s="8">
        <v>1.1000000000000001</v>
      </c>
      <c r="W5343" s="8">
        <v>0.4</v>
      </c>
      <c r="X5343" s="8">
        <v>152</v>
      </c>
      <c r="Y5343" s="8" t="s">
        <v>266</v>
      </c>
      <c r="Z5343" s="8" t="s">
        <v>267</v>
      </c>
    </row>
    <row r="5344" spans="1:26" x14ac:dyDescent="0.2">
      <c r="A5344" s="8">
        <v>5343</v>
      </c>
      <c r="B5344" s="8" t="s">
        <v>23888</v>
      </c>
      <c r="C5344" s="8" t="s">
        <v>23888</v>
      </c>
      <c r="F5344" s="47" t="s">
        <v>57830</v>
      </c>
      <c r="G5344" s="8">
        <v>15</v>
      </c>
      <c r="H5344" s="8" t="s">
        <v>21</v>
      </c>
      <c r="I5344" s="8" t="s">
        <v>22</v>
      </c>
      <c r="J5344" s="8" t="s">
        <v>22</v>
      </c>
      <c r="K5344" s="8" t="s">
        <v>58</v>
      </c>
      <c r="L5344" s="8" t="s">
        <v>17287</v>
      </c>
      <c r="M5344" s="8" t="s">
        <v>17288</v>
      </c>
      <c r="N5344" s="8" t="s">
        <v>23889</v>
      </c>
      <c r="O5344" s="8">
        <f>13+54/60+11.7/3600</f>
        <v>13.90325</v>
      </c>
      <c r="P5344" s="8" t="s">
        <v>23890</v>
      </c>
      <c r="Q5344" s="8">
        <f>-(7+35/60+18/3600)</f>
        <v>-7.5883333333333329</v>
      </c>
      <c r="R5344" s="8">
        <v>12.9</v>
      </c>
      <c r="S5344" s="8">
        <v>13.9</v>
      </c>
      <c r="T5344" s="8">
        <v>1</v>
      </c>
      <c r="U5344" s="8">
        <v>13.6</v>
      </c>
      <c r="V5344" s="8">
        <v>1.5</v>
      </c>
      <c r="W5344" s="8">
        <v>1.2</v>
      </c>
      <c r="X5344" s="8">
        <v>50</v>
      </c>
      <c r="Y5344" s="8" t="s">
        <v>10836</v>
      </c>
      <c r="Z5344" s="8" t="s">
        <v>10837</v>
      </c>
    </row>
    <row r="5345" spans="1:26" x14ac:dyDescent="0.2">
      <c r="A5345" s="8">
        <v>5344</v>
      </c>
      <c r="B5345" s="8" t="s">
        <v>23891</v>
      </c>
      <c r="C5345" s="8" t="s">
        <v>23891</v>
      </c>
      <c r="F5345" s="47"/>
      <c r="G5345" s="8">
        <v>19</v>
      </c>
      <c r="H5345" s="8" t="s">
        <v>21</v>
      </c>
      <c r="I5345" s="8" t="s">
        <v>22</v>
      </c>
      <c r="J5345" s="8" t="s">
        <v>22</v>
      </c>
      <c r="K5345" s="8" t="s">
        <v>449</v>
      </c>
      <c r="L5345" s="8" t="s">
        <v>14586</v>
      </c>
      <c r="M5345" s="8" t="s">
        <v>14587</v>
      </c>
      <c r="N5345" s="8" t="s">
        <v>23892</v>
      </c>
      <c r="O5345" s="8">
        <f>13+50/60+12/3600</f>
        <v>13.836666666666668</v>
      </c>
      <c r="P5345" s="8" t="s">
        <v>23893</v>
      </c>
      <c r="Q5345" s="8">
        <f>+(73+57/60+12/3600)</f>
        <v>73.953333333333333</v>
      </c>
      <c r="R5345" s="8">
        <v>14.5</v>
      </c>
      <c r="S5345" s="8">
        <v>15.3</v>
      </c>
      <c r="T5345" s="8">
        <v>0.8</v>
      </c>
      <c r="U5345" s="8">
        <v>12.6</v>
      </c>
      <c r="V5345" s="8">
        <v>0.6</v>
      </c>
      <c r="W5345" s="8">
        <v>0.4</v>
      </c>
      <c r="X5345" s="8">
        <v>84</v>
      </c>
      <c r="Y5345" s="8" t="s">
        <v>170</v>
      </c>
      <c r="Z5345" s="8" t="s">
        <v>171</v>
      </c>
    </row>
    <row r="5346" spans="1:26" x14ac:dyDescent="0.2">
      <c r="A5346" s="8">
        <v>5345</v>
      </c>
      <c r="B5346" s="8" t="s">
        <v>23894</v>
      </c>
      <c r="C5346" s="8" t="s">
        <v>23894</v>
      </c>
      <c r="F5346" s="47" t="s">
        <v>57831</v>
      </c>
      <c r="G5346" s="8">
        <v>15</v>
      </c>
      <c r="H5346" s="8" t="s">
        <v>21</v>
      </c>
      <c r="I5346" s="8" t="s">
        <v>22</v>
      </c>
      <c r="J5346" s="8" t="s">
        <v>22</v>
      </c>
      <c r="K5346" s="8" t="s">
        <v>91</v>
      </c>
      <c r="L5346" s="8" t="s">
        <v>17287</v>
      </c>
      <c r="M5346" s="8" t="s">
        <v>17288</v>
      </c>
      <c r="N5346" s="8" t="s">
        <v>23895</v>
      </c>
      <c r="O5346" s="8">
        <f>13+54/60+14.1/3600</f>
        <v>13.903916666666667</v>
      </c>
      <c r="P5346" s="8" t="s">
        <v>23896</v>
      </c>
      <c r="Q5346" s="8">
        <f>-(1+26/60+9/3600)</f>
        <v>-1.4358333333333333</v>
      </c>
      <c r="R5346" s="8">
        <v>12.4</v>
      </c>
      <c r="S5346" s="8">
        <v>13.3</v>
      </c>
      <c r="T5346" s="8">
        <v>0.9</v>
      </c>
      <c r="U5346" s="8">
        <v>13.2</v>
      </c>
      <c r="V5346" s="8">
        <v>1.6</v>
      </c>
      <c r="W5346" s="8">
        <v>1.5</v>
      </c>
      <c r="X5346" s="8">
        <v>176</v>
      </c>
      <c r="Y5346" s="8" t="s">
        <v>2641</v>
      </c>
      <c r="Z5346" s="8" t="s">
        <v>2642</v>
      </c>
    </row>
    <row r="5347" spans="1:26" x14ac:dyDescent="0.2">
      <c r="A5347" s="8">
        <v>5346</v>
      </c>
      <c r="B5347" s="8" t="s">
        <v>23897</v>
      </c>
      <c r="C5347" s="8" t="s">
        <v>23897</v>
      </c>
      <c r="F5347" s="47"/>
      <c r="G5347" s="8">
        <v>19</v>
      </c>
      <c r="H5347" s="8" t="s">
        <v>21</v>
      </c>
      <c r="I5347" s="8" t="s">
        <v>22</v>
      </c>
      <c r="J5347" s="8" t="s">
        <v>22</v>
      </c>
      <c r="K5347" s="8" t="s">
        <v>160</v>
      </c>
      <c r="L5347" s="8" t="s">
        <v>18681</v>
      </c>
      <c r="M5347" s="8" t="s">
        <v>18682</v>
      </c>
      <c r="N5347" s="8" t="s">
        <v>23898</v>
      </c>
      <c r="O5347" s="8">
        <f>13+53/60+2/3600</f>
        <v>13.883888888888889</v>
      </c>
      <c r="P5347" s="8" t="s">
        <v>23899</v>
      </c>
      <c r="Q5347" s="8">
        <f>+(39+34/60+51/3600)</f>
        <v>39.580833333333338</v>
      </c>
      <c r="R5347" s="8">
        <v>13.8</v>
      </c>
      <c r="S5347" s="8">
        <v>14.5</v>
      </c>
      <c r="T5347" s="8">
        <v>0.7</v>
      </c>
      <c r="U5347" s="8">
        <v>14.2</v>
      </c>
      <c r="V5347" s="8">
        <v>2</v>
      </c>
      <c r="W5347" s="8">
        <v>0.8</v>
      </c>
      <c r="X5347" s="8">
        <v>158</v>
      </c>
      <c r="Y5347" s="8" t="s">
        <v>23900</v>
      </c>
      <c r="Z5347" s="8" t="s">
        <v>23901</v>
      </c>
    </row>
    <row r="5348" spans="1:26" x14ac:dyDescent="0.2">
      <c r="A5348" s="8">
        <v>5347</v>
      </c>
      <c r="B5348" s="8" t="s">
        <v>23902</v>
      </c>
      <c r="C5348" s="8" t="s">
        <v>23902</v>
      </c>
      <c r="F5348" s="47" t="s">
        <v>57832</v>
      </c>
      <c r="G5348" s="8">
        <v>13</v>
      </c>
      <c r="H5348" s="8" t="s">
        <v>21</v>
      </c>
      <c r="I5348" s="8" t="s">
        <v>22</v>
      </c>
      <c r="J5348" s="8" t="s">
        <v>22</v>
      </c>
      <c r="K5348" s="8" t="s">
        <v>406</v>
      </c>
      <c r="L5348" s="8" t="s">
        <v>18681</v>
      </c>
      <c r="M5348" s="8" t="s">
        <v>18682</v>
      </c>
      <c r="N5348" s="8" t="s">
        <v>23903</v>
      </c>
      <c r="O5348" s="8">
        <f>13+53/60+18/3600</f>
        <v>13.888333333333334</v>
      </c>
      <c r="P5348" s="8" t="s">
        <v>23904</v>
      </c>
      <c r="Q5348" s="8">
        <f>+(33+29/60+27/3600)</f>
        <v>33.490833333333335</v>
      </c>
      <c r="R5348" s="8">
        <v>12.6</v>
      </c>
      <c r="S5348" s="8">
        <v>13.4</v>
      </c>
      <c r="T5348" s="8">
        <v>0.8</v>
      </c>
      <c r="U5348" s="8">
        <v>13.4</v>
      </c>
      <c r="V5348" s="8">
        <v>1.6</v>
      </c>
      <c r="W5348" s="8">
        <v>1.3</v>
      </c>
      <c r="X5348" s="8">
        <v>130</v>
      </c>
      <c r="Y5348" s="8" t="s">
        <v>23905</v>
      </c>
      <c r="Z5348" s="8" t="s">
        <v>23906</v>
      </c>
    </row>
    <row r="5349" spans="1:26" x14ac:dyDescent="0.2">
      <c r="A5349" s="8">
        <v>5348</v>
      </c>
      <c r="B5349" s="8" t="s">
        <v>23907</v>
      </c>
      <c r="C5349" s="8" t="s">
        <v>23907</v>
      </c>
      <c r="F5349" s="47"/>
      <c r="G5349" s="8">
        <v>19</v>
      </c>
      <c r="H5349" s="8" t="s">
        <v>21</v>
      </c>
      <c r="I5349" s="8" t="s">
        <v>22</v>
      </c>
      <c r="J5349" s="8" t="s">
        <v>22</v>
      </c>
      <c r="K5349" s="8" t="s">
        <v>85</v>
      </c>
      <c r="L5349" s="8" t="s">
        <v>17287</v>
      </c>
      <c r="M5349" s="8" t="s">
        <v>17288</v>
      </c>
      <c r="N5349" s="8" t="s">
        <v>23908</v>
      </c>
      <c r="O5349" s="8">
        <f>13+54/60+11.1/3600</f>
        <v>13.903083333333333</v>
      </c>
      <c r="P5349" s="8" t="s">
        <v>23909</v>
      </c>
      <c r="Q5349" s="8">
        <f>+(5+13/60+38/3600)</f>
        <v>5.2272222222222222</v>
      </c>
      <c r="R5349" s="8">
        <v>13.1</v>
      </c>
      <c r="S5349" s="8">
        <v>13.9</v>
      </c>
      <c r="T5349" s="8">
        <v>0.8</v>
      </c>
      <c r="U5349" s="8">
        <v>13.6</v>
      </c>
      <c r="V5349" s="8">
        <v>3.5</v>
      </c>
      <c r="W5349" s="8">
        <v>0.5</v>
      </c>
      <c r="X5349" s="8">
        <v>177</v>
      </c>
      <c r="Y5349" s="8" t="s">
        <v>23910</v>
      </c>
      <c r="Z5349" s="8" t="s">
        <v>23911</v>
      </c>
    </row>
    <row r="5350" spans="1:26" x14ac:dyDescent="0.2">
      <c r="A5350" s="8">
        <v>5349</v>
      </c>
      <c r="B5350" s="8" t="s">
        <v>23912</v>
      </c>
      <c r="C5350" s="8" t="s">
        <v>23912</v>
      </c>
      <c r="F5350" s="47"/>
      <c r="G5350" s="8">
        <v>18</v>
      </c>
      <c r="H5350" s="8" t="s">
        <v>21</v>
      </c>
      <c r="I5350" s="8" t="s">
        <v>22</v>
      </c>
      <c r="J5350" s="8" t="s">
        <v>22</v>
      </c>
      <c r="K5350" s="8" t="s">
        <v>218</v>
      </c>
      <c r="L5350" s="8" t="s">
        <v>18681</v>
      </c>
      <c r="M5350" s="8" t="s">
        <v>18682</v>
      </c>
      <c r="N5350" s="8" t="s">
        <v>23913</v>
      </c>
      <c r="O5350" s="8">
        <f>13+53/60+13.1/3600</f>
        <v>13.886972222222221</v>
      </c>
      <c r="P5350" s="8" t="s">
        <v>23914</v>
      </c>
      <c r="Q5350" s="8">
        <f>+(37+52/60+59/3600)</f>
        <v>37.883055555555558</v>
      </c>
      <c r="R5350" s="8">
        <v>14</v>
      </c>
      <c r="S5350" s="8">
        <v>14.8</v>
      </c>
      <c r="T5350" s="8">
        <v>0.8</v>
      </c>
      <c r="U5350" s="8">
        <v>13.5</v>
      </c>
      <c r="V5350" s="8">
        <v>1.7</v>
      </c>
      <c r="W5350" s="8">
        <v>0.5</v>
      </c>
      <c r="X5350" s="8">
        <v>76</v>
      </c>
      <c r="Y5350" s="8" t="s">
        <v>21</v>
      </c>
      <c r="Z5350" s="8" t="s">
        <v>23915</v>
      </c>
    </row>
    <row r="5351" spans="1:26" x14ac:dyDescent="0.2">
      <c r="A5351" s="8">
        <v>5350</v>
      </c>
      <c r="B5351" s="8" t="s">
        <v>23916</v>
      </c>
      <c r="C5351" s="8" t="s">
        <v>23916</v>
      </c>
      <c r="F5351" s="47" t="s">
        <v>57833</v>
      </c>
      <c r="G5351" s="8">
        <v>11</v>
      </c>
      <c r="H5351" s="8" t="s">
        <v>21</v>
      </c>
      <c r="I5351" s="8" t="s">
        <v>22</v>
      </c>
      <c r="J5351" s="8" t="s">
        <v>22</v>
      </c>
      <c r="K5351" s="8" t="s">
        <v>85</v>
      </c>
      <c r="L5351" s="8" t="s">
        <v>18681</v>
      </c>
      <c r="M5351" s="8" t="s">
        <v>18682</v>
      </c>
      <c r="N5351" s="8" t="s">
        <v>23917</v>
      </c>
      <c r="O5351" s="8">
        <f>13+53/60+21.5/3600</f>
        <v>13.889305555555556</v>
      </c>
      <c r="P5351" s="8" t="s">
        <v>23918</v>
      </c>
      <c r="Q5351" s="8">
        <f>+(40+21/60+50/3600)</f>
        <v>40.363888888888887</v>
      </c>
      <c r="R5351" s="8">
        <v>11.3</v>
      </c>
      <c r="S5351" s="8">
        <v>12.2</v>
      </c>
      <c r="T5351" s="8">
        <v>0.9</v>
      </c>
      <c r="U5351" s="8">
        <v>13.3</v>
      </c>
      <c r="V5351" s="8">
        <v>3.2</v>
      </c>
      <c r="W5351" s="8">
        <v>2.2999999999999998</v>
      </c>
      <c r="X5351" s="8">
        <v>40</v>
      </c>
      <c r="Y5351" s="8" t="s">
        <v>23919</v>
      </c>
      <c r="Z5351" s="8" t="s">
        <v>23920</v>
      </c>
    </row>
    <row r="5352" spans="1:26" x14ac:dyDescent="0.2">
      <c r="A5352" s="8">
        <v>5351</v>
      </c>
      <c r="B5352" s="8" t="s">
        <v>23921</v>
      </c>
      <c r="C5352" s="8" t="s">
        <v>23921</v>
      </c>
      <c r="F5352" s="47" t="s">
        <v>57834</v>
      </c>
      <c r="G5352" s="8">
        <v>13</v>
      </c>
      <c r="H5352" s="8" t="s">
        <v>21</v>
      </c>
      <c r="I5352" s="8" t="s">
        <v>22</v>
      </c>
      <c r="J5352" s="8" t="s">
        <v>22</v>
      </c>
      <c r="K5352" s="8" t="s">
        <v>218</v>
      </c>
      <c r="L5352" s="8" t="s">
        <v>18681</v>
      </c>
      <c r="M5352" s="8" t="s">
        <v>18682</v>
      </c>
      <c r="N5352" s="8" t="s">
        <v>23922</v>
      </c>
      <c r="O5352" s="8">
        <f>13+53/60+28/3600</f>
        <v>13.89111111111111</v>
      </c>
      <c r="P5352" s="8" t="s">
        <v>23923</v>
      </c>
      <c r="Q5352" s="8">
        <f>+(37+54/60+54/3600)</f>
        <v>37.914999999999999</v>
      </c>
      <c r="R5352" s="8">
        <v>12.1</v>
      </c>
      <c r="S5352" s="8">
        <v>13</v>
      </c>
      <c r="T5352" s="8">
        <v>0.9</v>
      </c>
      <c r="U5352" s="8">
        <v>13.6</v>
      </c>
      <c r="V5352" s="8">
        <v>2.9</v>
      </c>
      <c r="W5352" s="8">
        <v>1.6</v>
      </c>
      <c r="X5352" s="8">
        <v>100</v>
      </c>
      <c r="Y5352" s="8" t="s">
        <v>23924</v>
      </c>
      <c r="Z5352" s="8" t="s">
        <v>23925</v>
      </c>
    </row>
    <row r="5353" spans="1:26" x14ac:dyDescent="0.2">
      <c r="A5353" s="8">
        <v>5352</v>
      </c>
      <c r="B5353" s="8" t="s">
        <v>23926</v>
      </c>
      <c r="C5353" s="8" t="s">
        <v>23926</v>
      </c>
      <c r="F5353" s="47" t="s">
        <v>57835</v>
      </c>
      <c r="G5353" s="8">
        <v>15</v>
      </c>
      <c r="H5353" s="8" t="s">
        <v>21</v>
      </c>
      <c r="I5353" s="8" t="s">
        <v>22</v>
      </c>
      <c r="J5353" s="8" t="s">
        <v>22</v>
      </c>
      <c r="K5353" s="8" t="s">
        <v>58</v>
      </c>
      <c r="L5353" s="8" t="s">
        <v>18681</v>
      </c>
      <c r="M5353" s="8" t="s">
        <v>18682</v>
      </c>
      <c r="N5353" s="8" t="s">
        <v>23927</v>
      </c>
      <c r="O5353" s="8">
        <f>13+53/60+38.3/3600</f>
        <v>13.893972222222223</v>
      </c>
      <c r="P5353" s="8" t="s">
        <v>23928</v>
      </c>
      <c r="Q5353" s="8">
        <f>+(36+8/60+3/3600)</f>
        <v>36.134166666666665</v>
      </c>
      <c r="R5353" s="8">
        <v>13</v>
      </c>
      <c r="S5353" s="8">
        <v>14</v>
      </c>
      <c r="T5353" s="8">
        <v>1</v>
      </c>
      <c r="U5353" s="8">
        <v>13.3</v>
      </c>
      <c r="V5353" s="8">
        <v>1.2</v>
      </c>
      <c r="W5353" s="8">
        <v>1</v>
      </c>
      <c r="X5353" s="8">
        <v>58</v>
      </c>
      <c r="Y5353" s="8" t="s">
        <v>23929</v>
      </c>
      <c r="Z5353" s="8" t="s">
        <v>23930</v>
      </c>
    </row>
    <row r="5354" spans="1:26" x14ac:dyDescent="0.2">
      <c r="A5354" s="8">
        <v>5353</v>
      </c>
      <c r="B5354" s="8" t="s">
        <v>23931</v>
      </c>
      <c r="C5354" s="8" t="s">
        <v>23931</v>
      </c>
      <c r="F5354" s="47" t="s">
        <v>57836</v>
      </c>
      <c r="G5354" s="8">
        <v>11</v>
      </c>
      <c r="H5354" s="8" t="s">
        <v>23932</v>
      </c>
      <c r="I5354" s="8" t="s">
        <v>22</v>
      </c>
      <c r="J5354" s="8" t="s">
        <v>22</v>
      </c>
      <c r="K5354" s="8" t="s">
        <v>37</v>
      </c>
      <c r="L5354" s="8" t="s">
        <v>18681</v>
      </c>
      <c r="M5354" s="8" t="s">
        <v>18682</v>
      </c>
      <c r="N5354" s="8" t="s">
        <v>23933</v>
      </c>
      <c r="O5354" s="8">
        <f>13+53/60+26.7/3600</f>
        <v>13.890749999999999</v>
      </c>
      <c r="P5354" s="8" t="s">
        <v>23934</v>
      </c>
      <c r="Q5354" s="8">
        <f>+(40+16/60+59/3600)</f>
        <v>40.283055555555556</v>
      </c>
      <c r="R5354" s="8">
        <v>11</v>
      </c>
      <c r="S5354" s="8">
        <v>12</v>
      </c>
      <c r="T5354" s="8">
        <v>1</v>
      </c>
      <c r="U5354" s="8">
        <v>11.8</v>
      </c>
      <c r="V5354" s="8">
        <v>2.2000000000000002</v>
      </c>
      <c r="W5354" s="8">
        <v>1.1000000000000001</v>
      </c>
      <c r="X5354" s="8">
        <v>145</v>
      </c>
      <c r="Y5354" s="8" t="s">
        <v>23935</v>
      </c>
      <c r="Z5354" s="8" t="s">
        <v>23936</v>
      </c>
    </row>
    <row r="5355" spans="1:26" x14ac:dyDescent="0.2">
      <c r="A5355" s="8">
        <v>5354</v>
      </c>
      <c r="B5355" s="8" t="s">
        <v>23937</v>
      </c>
      <c r="C5355" s="8" t="s">
        <v>23937</v>
      </c>
      <c r="F5355" s="47" t="s">
        <v>57837</v>
      </c>
      <c r="G5355" s="8">
        <v>11</v>
      </c>
      <c r="H5355" s="8" t="s">
        <v>21</v>
      </c>
      <c r="I5355" s="8" t="s">
        <v>22</v>
      </c>
      <c r="J5355" s="8" t="s">
        <v>22</v>
      </c>
      <c r="K5355" s="8" t="s">
        <v>37</v>
      </c>
      <c r="L5355" s="8" t="s">
        <v>18681</v>
      </c>
      <c r="M5355" s="8" t="s">
        <v>18682</v>
      </c>
      <c r="N5355" s="8" t="s">
        <v>23933</v>
      </c>
      <c r="O5355" s="8">
        <f>13+53/60+26.7/3600</f>
        <v>13.890749999999999</v>
      </c>
      <c r="P5355" s="8" t="s">
        <v>23938</v>
      </c>
      <c r="Q5355" s="8">
        <f>+(40+18/60+11/3600)</f>
        <v>40.303055555555552</v>
      </c>
      <c r="R5355" s="8">
        <v>11.4</v>
      </c>
      <c r="S5355" s="8">
        <v>12.3</v>
      </c>
      <c r="T5355" s="8">
        <v>0.9</v>
      </c>
      <c r="U5355" s="8">
        <v>11.9</v>
      </c>
      <c r="V5355" s="8">
        <v>1.4</v>
      </c>
      <c r="W5355" s="8">
        <v>1.3</v>
      </c>
      <c r="X5355" s="8">
        <v>72</v>
      </c>
      <c r="Y5355" s="8" t="s">
        <v>23939</v>
      </c>
      <c r="Z5355" s="8" t="s">
        <v>23940</v>
      </c>
    </row>
    <row r="5356" spans="1:26" x14ac:dyDescent="0.2">
      <c r="A5356" s="8">
        <v>5355</v>
      </c>
      <c r="B5356" s="8" t="s">
        <v>23941</v>
      </c>
      <c r="C5356" s="8" t="s">
        <v>23941</v>
      </c>
      <c r="F5356" s="47" t="s">
        <v>57838</v>
      </c>
      <c r="G5356" s="8">
        <v>15</v>
      </c>
      <c r="H5356" s="8" t="s">
        <v>21</v>
      </c>
      <c r="I5356" s="8" t="s">
        <v>22</v>
      </c>
      <c r="J5356" s="8" t="s">
        <v>22</v>
      </c>
      <c r="K5356" s="8" t="s">
        <v>37</v>
      </c>
      <c r="L5356" s="8" t="s">
        <v>18681</v>
      </c>
      <c r="M5356" s="8" t="s">
        <v>18682</v>
      </c>
      <c r="N5356" s="8" t="s">
        <v>23942</v>
      </c>
      <c r="O5356" s="8">
        <f>13+53/60+45.5/3600</f>
        <v>13.895972222222222</v>
      </c>
      <c r="P5356" s="8" t="s">
        <v>23943</v>
      </c>
      <c r="Q5356" s="8">
        <f>+(40+20/60+20/3600)</f>
        <v>40.338888888888889</v>
      </c>
      <c r="R5356" s="8">
        <v>13.1</v>
      </c>
      <c r="S5356" s="8">
        <v>14</v>
      </c>
      <c r="T5356" s="8">
        <v>0.9</v>
      </c>
      <c r="U5356" s="8">
        <v>12.8</v>
      </c>
      <c r="V5356" s="8">
        <v>1.2</v>
      </c>
      <c r="W5356" s="8">
        <v>0.7</v>
      </c>
      <c r="X5356" s="8">
        <v>35</v>
      </c>
      <c r="Y5356" s="8" t="s">
        <v>4043</v>
      </c>
      <c r="Z5356" s="8" t="s">
        <v>23944</v>
      </c>
    </row>
    <row r="5357" spans="1:26" x14ac:dyDescent="0.2">
      <c r="A5357" s="8">
        <v>5356</v>
      </c>
      <c r="B5357" s="8" t="s">
        <v>23945</v>
      </c>
      <c r="C5357" s="8" t="s">
        <v>23945</v>
      </c>
      <c r="F5357" s="47" t="s">
        <v>57839</v>
      </c>
      <c r="G5357" s="8">
        <v>15</v>
      </c>
      <c r="H5357" s="8" t="s">
        <v>21</v>
      </c>
      <c r="I5357" s="8" t="s">
        <v>22</v>
      </c>
      <c r="J5357" s="8" t="s">
        <v>22</v>
      </c>
      <c r="K5357" s="8" t="s">
        <v>85</v>
      </c>
      <c r="L5357" s="8" t="s">
        <v>17287</v>
      </c>
      <c r="M5357" s="8" t="s">
        <v>17288</v>
      </c>
      <c r="N5357" s="8" t="s">
        <v>23946</v>
      </c>
      <c r="O5357" s="8">
        <f>13+54/60+58.3/3600</f>
        <v>13.916194444444445</v>
      </c>
      <c r="P5357" s="8" t="s">
        <v>23947</v>
      </c>
      <c r="Q5357" s="8">
        <f>+(5+20/60+0/3600)</f>
        <v>5.333333333333333</v>
      </c>
      <c r="R5357" s="8">
        <v>12.6</v>
      </c>
      <c r="S5357" s="8">
        <v>13.4</v>
      </c>
      <c r="T5357" s="8">
        <v>0.8</v>
      </c>
      <c r="U5357" s="8">
        <v>13.6</v>
      </c>
      <c r="V5357" s="8">
        <v>2.9</v>
      </c>
      <c r="W5357" s="8">
        <v>0.8</v>
      </c>
      <c r="X5357" s="8">
        <v>15</v>
      </c>
      <c r="Y5357" s="8" t="s">
        <v>23948</v>
      </c>
      <c r="Z5357" s="8" t="s">
        <v>23949</v>
      </c>
    </row>
    <row r="5358" spans="1:26" x14ac:dyDescent="0.2">
      <c r="A5358" s="8">
        <v>5357</v>
      </c>
      <c r="B5358" s="8" t="s">
        <v>23950</v>
      </c>
      <c r="C5358" s="8" t="s">
        <v>23950</v>
      </c>
      <c r="F5358" s="47"/>
      <c r="G5358" s="8">
        <v>13</v>
      </c>
      <c r="H5358" s="8" t="s">
        <v>21</v>
      </c>
      <c r="I5358" s="8" t="s">
        <v>22</v>
      </c>
      <c r="J5358" s="8" t="s">
        <v>22</v>
      </c>
      <c r="K5358" s="8" t="s">
        <v>183</v>
      </c>
      <c r="L5358" s="8" t="s">
        <v>16195</v>
      </c>
      <c r="M5358" s="8" t="s">
        <v>16196</v>
      </c>
      <c r="N5358" s="8" t="s">
        <v>23951</v>
      </c>
      <c r="O5358" s="8">
        <f>13+55/60+59.4/3600</f>
        <v>13.933166666666667</v>
      </c>
      <c r="P5358" s="8" t="s">
        <v>23952</v>
      </c>
      <c r="Q5358" s="8">
        <f>-(30+20/60+30/3600)</f>
        <v>-30.341666666666665</v>
      </c>
      <c r="R5358" s="8">
        <v>12</v>
      </c>
      <c r="S5358" s="8">
        <v>13</v>
      </c>
      <c r="T5358" s="8">
        <v>1</v>
      </c>
      <c r="U5358" s="8">
        <v>12.8</v>
      </c>
      <c r="V5358" s="8">
        <v>1.6</v>
      </c>
      <c r="W5358" s="8">
        <v>1.4</v>
      </c>
      <c r="X5358" s="8">
        <v>23</v>
      </c>
      <c r="Y5358" s="8" t="s">
        <v>23953</v>
      </c>
      <c r="Z5358" s="8" t="s">
        <v>23954</v>
      </c>
    </row>
    <row r="5359" spans="1:26" x14ac:dyDescent="0.2">
      <c r="A5359" s="8">
        <v>5358</v>
      </c>
      <c r="B5359" s="8" t="s">
        <v>23955</v>
      </c>
      <c r="C5359" s="8" t="s">
        <v>23955</v>
      </c>
      <c r="F5359" s="47"/>
      <c r="G5359" s="8">
        <v>19</v>
      </c>
      <c r="H5359" s="8" t="s">
        <v>21</v>
      </c>
      <c r="I5359" s="8" t="s">
        <v>22</v>
      </c>
      <c r="J5359" s="8" t="s">
        <v>22</v>
      </c>
      <c r="K5359" s="8" t="s">
        <v>632</v>
      </c>
      <c r="L5359" s="8" t="s">
        <v>18681</v>
      </c>
      <c r="M5359" s="8" t="s">
        <v>18682</v>
      </c>
      <c r="N5359" s="8" t="s">
        <v>23956</v>
      </c>
      <c r="O5359" s="8">
        <f>13+54/60+0.4/3600</f>
        <v>13.900111111111112</v>
      </c>
      <c r="P5359" s="8" t="s">
        <v>23957</v>
      </c>
      <c r="Q5359" s="8">
        <f>+(40+16/60+40/3600)</f>
        <v>40.277777777777779</v>
      </c>
      <c r="R5359" s="8">
        <v>13.6</v>
      </c>
      <c r="S5359" s="8">
        <v>14.6</v>
      </c>
      <c r="T5359" s="8">
        <v>1</v>
      </c>
      <c r="U5359" s="8">
        <v>12.5</v>
      </c>
      <c r="V5359" s="8">
        <v>1.1000000000000001</v>
      </c>
      <c r="W5359" s="8">
        <v>0.3</v>
      </c>
      <c r="X5359" s="8">
        <v>138</v>
      </c>
      <c r="Y5359" s="8" t="s">
        <v>23958</v>
      </c>
      <c r="Z5359" s="8" t="s">
        <v>23959</v>
      </c>
    </row>
    <row r="5360" spans="1:26" x14ac:dyDescent="0.2">
      <c r="A5360" s="8">
        <v>5359</v>
      </c>
      <c r="B5360" s="8" t="s">
        <v>23960</v>
      </c>
      <c r="C5360" s="8" t="s">
        <v>23960</v>
      </c>
      <c r="F5360" s="47"/>
      <c r="G5360" s="8">
        <v>16</v>
      </c>
      <c r="H5360" s="8" t="s">
        <v>21</v>
      </c>
      <c r="I5360" s="8" t="s">
        <v>557</v>
      </c>
      <c r="J5360" s="8" t="s">
        <v>557</v>
      </c>
      <c r="K5360" s="8" t="s">
        <v>557</v>
      </c>
      <c r="L5360" s="8" t="s">
        <v>23646</v>
      </c>
      <c r="M5360" s="8" t="s">
        <v>23647</v>
      </c>
      <c r="N5360" s="8" t="s">
        <v>23961</v>
      </c>
      <c r="O5360" s="8">
        <f>13+59/60+48/3600</f>
        <v>13.996666666666666</v>
      </c>
      <c r="P5360" s="8" t="s">
        <v>23962</v>
      </c>
      <c r="Q5360" s="8">
        <f>-(70+24/60+0/3600)</f>
        <v>-70.400000000000006</v>
      </c>
      <c r="R5360" s="8">
        <v>99</v>
      </c>
      <c r="S5360" s="8">
        <v>99</v>
      </c>
      <c r="T5360" s="8">
        <v>99</v>
      </c>
      <c r="U5360" s="8">
        <v>99</v>
      </c>
      <c r="V5360" s="8">
        <v>8</v>
      </c>
      <c r="Y5360" s="8" t="s">
        <v>23963</v>
      </c>
      <c r="Z5360" s="8" t="s">
        <v>23964</v>
      </c>
    </row>
    <row r="5361" spans="1:26" x14ac:dyDescent="0.2">
      <c r="A5361" s="8">
        <v>5360</v>
      </c>
      <c r="B5361" s="8" t="s">
        <v>23965</v>
      </c>
      <c r="C5361" s="8" t="s">
        <v>23965</v>
      </c>
      <c r="F5361" s="47"/>
      <c r="G5361" s="8">
        <v>18</v>
      </c>
      <c r="H5361" s="8" t="s">
        <v>21</v>
      </c>
      <c r="I5361" s="8" t="s">
        <v>22</v>
      </c>
      <c r="J5361" s="8" t="s">
        <v>22</v>
      </c>
      <c r="K5361" s="8" t="s">
        <v>435</v>
      </c>
      <c r="L5361" s="8" t="s">
        <v>17287</v>
      </c>
      <c r="M5361" s="8" t="s">
        <v>17288</v>
      </c>
      <c r="N5361" s="8" t="s">
        <v>23966</v>
      </c>
      <c r="O5361" s="8">
        <f>13+55/60+38.4/3600</f>
        <v>13.927333333333333</v>
      </c>
      <c r="P5361" s="8" t="s">
        <v>23967</v>
      </c>
      <c r="Q5361" s="8">
        <f>+(4+59/60+0/3600)</f>
        <v>4.9833333333333334</v>
      </c>
      <c r="R5361" s="8">
        <v>13.3</v>
      </c>
      <c r="S5361" s="8">
        <v>14.2</v>
      </c>
      <c r="T5361" s="8">
        <v>0.9</v>
      </c>
      <c r="U5361" s="8">
        <v>12.8</v>
      </c>
      <c r="V5361" s="8">
        <v>1.6</v>
      </c>
      <c r="W5361" s="8">
        <v>0.7</v>
      </c>
      <c r="X5361" s="8">
        <v>70</v>
      </c>
      <c r="Y5361" s="8" t="s">
        <v>2500</v>
      </c>
      <c r="Z5361" s="8" t="s">
        <v>2501</v>
      </c>
    </row>
    <row r="5362" spans="1:26" x14ac:dyDescent="0.2">
      <c r="A5362" s="8">
        <v>5361</v>
      </c>
      <c r="B5362" s="8" t="s">
        <v>23968</v>
      </c>
      <c r="C5362" s="8" t="s">
        <v>23968</v>
      </c>
      <c r="F5362" s="47" t="s">
        <v>57840</v>
      </c>
      <c r="G5362" s="8">
        <v>15</v>
      </c>
      <c r="H5362" s="8" t="s">
        <v>21</v>
      </c>
      <c r="I5362" s="8" t="s">
        <v>22</v>
      </c>
      <c r="J5362" s="8" t="s">
        <v>22</v>
      </c>
      <c r="K5362" s="8" t="s">
        <v>476</v>
      </c>
      <c r="L5362" s="8" t="s">
        <v>18681</v>
      </c>
      <c r="M5362" s="8" t="s">
        <v>18682</v>
      </c>
      <c r="N5362" s="8" t="s">
        <v>23969</v>
      </c>
      <c r="O5362" s="8">
        <f>13+54/60+35.3/3600</f>
        <v>13.909805555555556</v>
      </c>
      <c r="P5362" s="8" t="s">
        <v>23970</v>
      </c>
      <c r="Q5362" s="8">
        <f>+(38+26/60+58/3600)</f>
        <v>38.449444444444438</v>
      </c>
      <c r="R5362" s="8">
        <v>13.9</v>
      </c>
      <c r="S5362" s="8">
        <v>14.8</v>
      </c>
      <c r="T5362" s="8">
        <v>0.9</v>
      </c>
      <c r="U5362" s="8">
        <v>12.8</v>
      </c>
      <c r="V5362" s="8">
        <v>0.8</v>
      </c>
      <c r="W5362" s="8">
        <v>0.5</v>
      </c>
      <c r="X5362" s="8">
        <v>63</v>
      </c>
      <c r="Y5362" s="8" t="s">
        <v>23971</v>
      </c>
      <c r="Z5362" s="8" t="s">
        <v>23972</v>
      </c>
    </row>
    <row r="5363" spans="1:26" x14ac:dyDescent="0.2">
      <c r="A5363" s="8">
        <v>5362</v>
      </c>
      <c r="B5363" s="8" t="s">
        <v>23973</v>
      </c>
      <c r="C5363" s="8" t="s">
        <v>23973</v>
      </c>
      <c r="F5363" s="47" t="s">
        <v>57841</v>
      </c>
      <c r="G5363" s="8">
        <v>13</v>
      </c>
      <c r="H5363" s="8" t="s">
        <v>21</v>
      </c>
      <c r="I5363" s="8" t="s">
        <v>22</v>
      </c>
      <c r="J5363" s="8" t="s">
        <v>22</v>
      </c>
      <c r="K5363" s="8" t="s">
        <v>23</v>
      </c>
      <c r="L5363" s="8" t="s">
        <v>18681</v>
      </c>
      <c r="M5363" s="8" t="s">
        <v>18682</v>
      </c>
      <c r="N5363" s="8" t="s">
        <v>23974</v>
      </c>
      <c r="O5363" s="8">
        <f>13+54/60+53.1/3600</f>
        <v>13.91475</v>
      </c>
      <c r="P5363" s="8" t="s">
        <v>23975</v>
      </c>
      <c r="Q5363" s="8">
        <f>+(41+18/60+49/3600)</f>
        <v>41.313611111111108</v>
      </c>
      <c r="R5363" s="8">
        <v>12.3</v>
      </c>
      <c r="S5363" s="8">
        <v>13.1</v>
      </c>
      <c r="T5363" s="8">
        <v>0.8</v>
      </c>
      <c r="U5363" s="8">
        <v>13.1</v>
      </c>
      <c r="V5363" s="8">
        <v>2.2000000000000002</v>
      </c>
      <c r="W5363" s="8">
        <v>1</v>
      </c>
      <c r="X5363" s="8">
        <v>88</v>
      </c>
      <c r="Y5363" s="8" t="s">
        <v>23976</v>
      </c>
      <c r="Z5363" s="8" t="s">
        <v>23977</v>
      </c>
    </row>
    <row r="5364" spans="1:26" x14ac:dyDescent="0.2">
      <c r="A5364" s="8">
        <v>5363</v>
      </c>
      <c r="B5364" s="8" t="s">
        <v>23978</v>
      </c>
      <c r="C5364" s="8" t="s">
        <v>23978</v>
      </c>
      <c r="F5364" s="47" t="s">
        <v>57842</v>
      </c>
      <c r="G5364" s="8">
        <v>6</v>
      </c>
      <c r="H5364" s="8" t="s">
        <v>21</v>
      </c>
      <c r="I5364" s="8" t="s">
        <v>22</v>
      </c>
      <c r="J5364" s="8" t="s">
        <v>22</v>
      </c>
      <c r="K5364" s="8" t="s">
        <v>632</v>
      </c>
      <c r="L5364" s="8" t="s">
        <v>17287</v>
      </c>
      <c r="M5364" s="8" t="s">
        <v>17288</v>
      </c>
      <c r="N5364" s="8" t="s">
        <v>23979</v>
      </c>
      <c r="O5364" s="8">
        <f>13+56/60+7.1/3600</f>
        <v>13.935305555555555</v>
      </c>
      <c r="P5364" s="8" t="s">
        <v>23980</v>
      </c>
      <c r="Q5364" s="8">
        <f>+(5+15/60+14/3600)</f>
        <v>5.2538888888888886</v>
      </c>
      <c r="R5364" s="8">
        <v>10.1</v>
      </c>
      <c r="S5364" s="8">
        <v>11.1</v>
      </c>
      <c r="T5364" s="8">
        <v>1</v>
      </c>
      <c r="U5364" s="8">
        <v>12.5</v>
      </c>
      <c r="V5364" s="8">
        <v>4.0999999999999996</v>
      </c>
      <c r="W5364" s="8">
        <v>2.6</v>
      </c>
      <c r="X5364" s="8">
        <v>135</v>
      </c>
      <c r="Y5364" s="8" t="s">
        <v>23981</v>
      </c>
      <c r="Z5364" s="8" t="s">
        <v>23982</v>
      </c>
    </row>
    <row r="5365" spans="1:26" x14ac:dyDescent="0.2">
      <c r="A5365" s="8">
        <v>5364</v>
      </c>
      <c r="B5365" s="8" t="s">
        <v>23983</v>
      </c>
      <c r="C5365" s="8" t="s">
        <v>23983</v>
      </c>
      <c r="F5365" s="47" t="s">
        <v>57843</v>
      </c>
      <c r="G5365" s="8">
        <v>6</v>
      </c>
      <c r="H5365" s="8" t="s">
        <v>21</v>
      </c>
      <c r="I5365" s="8" t="s">
        <v>22</v>
      </c>
      <c r="J5365" s="8" t="s">
        <v>22</v>
      </c>
      <c r="K5365" s="8" t="s">
        <v>2556</v>
      </c>
      <c r="L5365" s="8" t="s">
        <v>17287</v>
      </c>
      <c r="M5365" s="8" t="s">
        <v>17288</v>
      </c>
      <c r="N5365" s="8" t="s">
        <v>23776</v>
      </c>
      <c r="O5365" s="8">
        <f>13+56/60+11.9/3600</f>
        <v>13.93663888888889</v>
      </c>
      <c r="P5365" s="8" t="s">
        <v>23777</v>
      </c>
      <c r="Q5365" s="8">
        <f>+(5+0/60+56/3600)</f>
        <v>5.0155555555555553</v>
      </c>
      <c r="R5365" s="8">
        <v>10.5</v>
      </c>
      <c r="S5365" s="8">
        <v>11.2</v>
      </c>
      <c r="T5365" s="8">
        <v>0.7</v>
      </c>
      <c r="U5365" s="8">
        <v>14.1</v>
      </c>
      <c r="V5365" s="8">
        <v>6.8</v>
      </c>
      <c r="W5365" s="8">
        <v>4.4000000000000004</v>
      </c>
      <c r="X5365" s="8">
        <v>30</v>
      </c>
      <c r="Y5365" s="8" t="s">
        <v>19015</v>
      </c>
      <c r="Z5365" s="8" t="s">
        <v>19016</v>
      </c>
    </row>
    <row r="5366" spans="1:26" x14ac:dyDescent="0.2">
      <c r="A5366" s="8">
        <v>5365</v>
      </c>
      <c r="B5366" s="8" t="s">
        <v>23984</v>
      </c>
      <c r="C5366" s="8" t="s">
        <v>23984</v>
      </c>
      <c r="F5366" s="47"/>
      <c r="G5366" s="8">
        <v>13</v>
      </c>
      <c r="H5366" s="8" t="s">
        <v>21</v>
      </c>
      <c r="I5366" s="8" t="s">
        <v>22</v>
      </c>
      <c r="J5366" s="8" t="s">
        <v>22</v>
      </c>
      <c r="K5366" s="8" t="s">
        <v>224</v>
      </c>
      <c r="L5366" s="8" t="s">
        <v>16195</v>
      </c>
      <c r="M5366" s="8" t="s">
        <v>16196</v>
      </c>
      <c r="N5366" s="8" t="s">
        <v>23985</v>
      </c>
      <c r="O5366" s="8">
        <f>13+57/60+50.5/3600</f>
        <v>13.964027777777778</v>
      </c>
      <c r="P5366" s="8" t="s">
        <v>23986</v>
      </c>
      <c r="Q5366" s="8">
        <f>-(43+55/60+55/3600)</f>
        <v>-43.93194444444444</v>
      </c>
      <c r="R5366" s="8">
        <v>11.4</v>
      </c>
      <c r="S5366" s="8">
        <v>12.5</v>
      </c>
      <c r="T5366" s="8">
        <v>1.1000000000000001</v>
      </c>
      <c r="U5366" s="8">
        <v>13.1</v>
      </c>
      <c r="V5366" s="8">
        <v>3.8</v>
      </c>
      <c r="W5366" s="8">
        <v>2.1</v>
      </c>
      <c r="X5366" s="8">
        <v>7</v>
      </c>
      <c r="Y5366" s="8" t="s">
        <v>23987</v>
      </c>
      <c r="Z5366" s="8" t="s">
        <v>23988</v>
      </c>
    </row>
    <row r="5367" spans="1:26" x14ac:dyDescent="0.2">
      <c r="A5367" s="8">
        <v>5366</v>
      </c>
      <c r="B5367" s="8" t="s">
        <v>23989</v>
      </c>
      <c r="C5367" s="8" t="s">
        <v>23989</v>
      </c>
      <c r="F5367" s="47"/>
      <c r="G5367" s="8">
        <v>18</v>
      </c>
      <c r="H5367" s="8" t="s">
        <v>21</v>
      </c>
      <c r="I5367" s="8" t="s">
        <v>22</v>
      </c>
      <c r="J5367" s="8" t="s">
        <v>22</v>
      </c>
      <c r="K5367" s="8" t="s">
        <v>632</v>
      </c>
      <c r="L5367" s="8" t="s">
        <v>17287</v>
      </c>
      <c r="M5367" s="8" t="s">
        <v>17288</v>
      </c>
      <c r="N5367" s="8" t="s">
        <v>23990</v>
      </c>
      <c r="O5367" s="8">
        <f>13+56/60+24.9/3600</f>
        <v>13.940250000000001</v>
      </c>
      <c r="P5367" s="8" t="s">
        <v>23991</v>
      </c>
      <c r="Q5367" s="8">
        <f>-(0+14/60+51/3600)</f>
        <v>-0.2475</v>
      </c>
      <c r="R5367" s="8">
        <v>13.7</v>
      </c>
      <c r="S5367" s="8">
        <v>14.6</v>
      </c>
      <c r="T5367" s="8">
        <v>0.9</v>
      </c>
      <c r="U5367" s="8">
        <v>13.3</v>
      </c>
      <c r="V5367" s="8">
        <v>0.7</v>
      </c>
      <c r="W5367" s="8">
        <v>0.6</v>
      </c>
      <c r="X5367" s="8">
        <v>57</v>
      </c>
      <c r="Y5367" s="8" t="s">
        <v>23992</v>
      </c>
      <c r="Z5367" s="8" t="s">
        <v>23993</v>
      </c>
    </row>
    <row r="5368" spans="1:26" x14ac:dyDescent="0.2">
      <c r="A5368" s="8">
        <v>5367</v>
      </c>
      <c r="B5368" s="8" t="s">
        <v>23994</v>
      </c>
      <c r="C5368" s="8" t="s">
        <v>23994</v>
      </c>
      <c r="F5368" s="47"/>
      <c r="G5368" s="8">
        <v>11</v>
      </c>
      <c r="H5368" s="8" t="s">
        <v>21</v>
      </c>
      <c r="I5368" s="8" t="s">
        <v>1283</v>
      </c>
      <c r="J5368" s="8" t="s">
        <v>1283</v>
      </c>
      <c r="K5368" s="8" t="s">
        <v>6208</v>
      </c>
      <c r="L5368" s="8" t="s">
        <v>16195</v>
      </c>
      <c r="M5368" s="8" t="s">
        <v>16196</v>
      </c>
      <c r="N5368" s="8" t="s">
        <v>23995</v>
      </c>
      <c r="O5368" s="8">
        <f>13+57/60+43.8/3600</f>
        <v>13.962166666666667</v>
      </c>
      <c r="P5368" s="8" t="s">
        <v>23996</v>
      </c>
      <c r="Q5368" s="8">
        <f>-(39+58/60+42/3600)</f>
        <v>-39.978333333333332</v>
      </c>
      <c r="R5368" s="8">
        <v>99</v>
      </c>
      <c r="S5368" s="8">
        <v>99</v>
      </c>
      <c r="T5368" s="8">
        <v>99</v>
      </c>
      <c r="U5368" s="8">
        <v>99</v>
      </c>
      <c r="V5368" s="8">
        <v>2</v>
      </c>
      <c r="W5368" s="8">
        <v>2</v>
      </c>
      <c r="Y5368" s="8" t="s">
        <v>23997</v>
      </c>
      <c r="Z5368" s="8" t="s">
        <v>23998</v>
      </c>
    </row>
    <row r="5369" spans="1:26" x14ac:dyDescent="0.2">
      <c r="A5369" s="8">
        <v>5368</v>
      </c>
      <c r="B5369" s="8" t="s">
        <v>23999</v>
      </c>
      <c r="C5369" s="8" t="s">
        <v>23999</v>
      </c>
      <c r="F5369" s="47" t="s">
        <v>57844</v>
      </c>
      <c r="G5369" s="8">
        <v>15</v>
      </c>
      <c r="H5369" s="8" t="s">
        <v>21</v>
      </c>
      <c r="I5369" s="8" t="s">
        <v>22</v>
      </c>
      <c r="J5369" s="8" t="s">
        <v>22</v>
      </c>
      <c r="K5369" s="8" t="s">
        <v>406</v>
      </c>
      <c r="L5369" s="8" t="s">
        <v>12015</v>
      </c>
      <c r="M5369" s="8" t="s">
        <v>12016</v>
      </c>
      <c r="N5369" s="8" t="s">
        <v>24000</v>
      </c>
      <c r="O5369" s="8">
        <f>13+54/60+29.1/3600</f>
        <v>13.908083333333334</v>
      </c>
      <c r="P5369" s="8" t="s">
        <v>24001</v>
      </c>
      <c r="Q5369" s="8">
        <f>+(54+19/60+51/3600)</f>
        <v>54.330833333333338</v>
      </c>
      <c r="R5369" s="8">
        <v>13</v>
      </c>
      <c r="S5369" s="8">
        <v>13.8</v>
      </c>
      <c r="T5369" s="8">
        <v>0.8</v>
      </c>
      <c r="U5369" s="8">
        <v>12.3</v>
      </c>
      <c r="V5369" s="8">
        <v>0.9</v>
      </c>
      <c r="W5369" s="8">
        <v>0.8</v>
      </c>
      <c r="X5369" s="8">
        <v>10</v>
      </c>
      <c r="Y5369" s="8" t="s">
        <v>24002</v>
      </c>
      <c r="Z5369" s="8" t="s">
        <v>24003</v>
      </c>
    </row>
    <row r="5370" spans="1:26" x14ac:dyDescent="0.2">
      <c r="A5370" s="8">
        <v>5369</v>
      </c>
      <c r="B5370" s="8" t="s">
        <v>24004</v>
      </c>
      <c r="C5370" s="8" t="s">
        <v>24004</v>
      </c>
      <c r="F5370" s="47" t="s">
        <v>57845</v>
      </c>
      <c r="G5370" s="8">
        <v>15</v>
      </c>
      <c r="H5370" s="8" t="s">
        <v>21</v>
      </c>
      <c r="I5370" s="8" t="s">
        <v>22</v>
      </c>
      <c r="J5370" s="8" t="s">
        <v>22</v>
      </c>
      <c r="K5370" s="8" t="s">
        <v>183</v>
      </c>
      <c r="L5370" s="8" t="s">
        <v>17287</v>
      </c>
      <c r="M5370" s="8" t="s">
        <v>17288</v>
      </c>
      <c r="N5370" s="8" t="s">
        <v>24005</v>
      </c>
      <c r="O5370" s="8">
        <f>13+56/60+37.7/3600</f>
        <v>13.943805555555556</v>
      </c>
      <c r="P5370" s="8" t="s">
        <v>24006</v>
      </c>
      <c r="Q5370" s="8">
        <f>-(5+28/60+11/3600)</f>
        <v>-5.4697222222222219</v>
      </c>
      <c r="R5370" s="8">
        <v>13.4</v>
      </c>
      <c r="S5370" s="8">
        <v>14.4</v>
      </c>
      <c r="T5370" s="8">
        <v>1</v>
      </c>
      <c r="U5370" s="8">
        <v>13.1</v>
      </c>
      <c r="V5370" s="8">
        <v>0.9</v>
      </c>
      <c r="W5370" s="8">
        <v>0.8</v>
      </c>
      <c r="X5370" s="8">
        <v>114</v>
      </c>
      <c r="Y5370" s="8" t="s">
        <v>421</v>
      </c>
      <c r="Z5370" s="8" t="s">
        <v>422</v>
      </c>
    </row>
    <row r="5371" spans="1:26" x14ac:dyDescent="0.2">
      <c r="A5371" s="8">
        <v>5370</v>
      </c>
      <c r="B5371" s="8" t="s">
        <v>24007</v>
      </c>
      <c r="C5371" s="8" t="s">
        <v>24007</v>
      </c>
      <c r="F5371" s="47" t="s">
        <v>57846</v>
      </c>
      <c r="G5371" s="8">
        <v>15</v>
      </c>
      <c r="H5371" s="8" t="s">
        <v>21</v>
      </c>
      <c r="I5371" s="8" t="s">
        <v>22</v>
      </c>
      <c r="J5371" s="8" t="s">
        <v>22</v>
      </c>
      <c r="K5371" s="8" t="s">
        <v>224</v>
      </c>
      <c r="L5371" s="8" t="s">
        <v>12015</v>
      </c>
      <c r="M5371" s="8" t="s">
        <v>12016</v>
      </c>
      <c r="N5371" s="8" t="s">
        <v>24008</v>
      </c>
      <c r="O5371" s="8">
        <f>13+54/60+9.1/3600</f>
        <v>13.902527777777777</v>
      </c>
      <c r="P5371" s="8" t="s">
        <v>24009</v>
      </c>
      <c r="Q5371" s="8">
        <f>+(60+40/60+43/3600)</f>
        <v>60.67861111111111</v>
      </c>
      <c r="R5371" s="8">
        <v>13.2</v>
      </c>
      <c r="S5371" s="8">
        <v>14.2</v>
      </c>
      <c r="T5371" s="8">
        <v>1</v>
      </c>
      <c r="U5371" s="8">
        <v>13.2</v>
      </c>
      <c r="V5371" s="8">
        <v>1.1000000000000001</v>
      </c>
      <c r="W5371" s="8">
        <v>1.1000000000000001</v>
      </c>
      <c r="Y5371" s="8" t="s">
        <v>4065</v>
      </c>
      <c r="Z5371" s="8" t="s">
        <v>4066</v>
      </c>
    </row>
    <row r="5372" spans="1:26" x14ac:dyDescent="0.2">
      <c r="A5372" s="8">
        <v>5371</v>
      </c>
      <c r="B5372" s="8" t="s">
        <v>24010</v>
      </c>
      <c r="C5372" s="8" t="s">
        <v>24010</v>
      </c>
      <c r="F5372" s="47" t="s">
        <v>57847</v>
      </c>
      <c r="G5372" s="8">
        <v>6.5</v>
      </c>
      <c r="H5372" s="8" t="s">
        <v>21</v>
      </c>
      <c r="I5372" s="8" t="s">
        <v>22</v>
      </c>
      <c r="J5372" s="8" t="s">
        <v>22</v>
      </c>
      <c r="K5372" s="8" t="s">
        <v>85</v>
      </c>
      <c r="L5372" s="8" t="s">
        <v>18681</v>
      </c>
      <c r="M5372" s="8" t="s">
        <v>18682</v>
      </c>
      <c r="N5372" s="8" t="s">
        <v>24011</v>
      </c>
      <c r="O5372" s="8">
        <f>13+55/60+40/3600</f>
        <v>13.927777777777777</v>
      </c>
      <c r="P5372" s="8" t="s">
        <v>24012</v>
      </c>
      <c r="Q5372" s="8">
        <f>+(40+27/60+44/3600)</f>
        <v>40.462222222222223</v>
      </c>
      <c r="R5372" s="8">
        <v>10.6</v>
      </c>
      <c r="S5372" s="8">
        <v>11.3</v>
      </c>
      <c r="T5372" s="8">
        <v>0.7</v>
      </c>
      <c r="U5372" s="8">
        <v>13.4</v>
      </c>
      <c r="V5372" s="8">
        <v>4.2</v>
      </c>
      <c r="W5372" s="8">
        <v>3.4</v>
      </c>
      <c r="X5372" s="8">
        <v>8</v>
      </c>
      <c r="Y5372" s="8" t="s">
        <v>24013</v>
      </c>
      <c r="Z5372" s="8" t="s">
        <v>24014</v>
      </c>
    </row>
    <row r="5373" spans="1:26" x14ac:dyDescent="0.2">
      <c r="A5373" s="8">
        <v>5372</v>
      </c>
      <c r="B5373" s="8" t="s">
        <v>24015</v>
      </c>
      <c r="C5373" s="8" t="s">
        <v>24015</v>
      </c>
      <c r="F5373" s="47" t="s">
        <v>57848</v>
      </c>
      <c r="G5373" s="8">
        <v>15</v>
      </c>
      <c r="H5373" s="8" t="s">
        <v>21</v>
      </c>
      <c r="I5373" s="8" t="s">
        <v>22</v>
      </c>
      <c r="J5373" s="8" t="s">
        <v>22</v>
      </c>
      <c r="K5373" s="8" t="s">
        <v>476</v>
      </c>
      <c r="L5373" s="8" t="s">
        <v>12015</v>
      </c>
      <c r="M5373" s="8" t="s">
        <v>12016</v>
      </c>
      <c r="N5373" s="8" t="s">
        <v>24016</v>
      </c>
      <c r="O5373" s="8">
        <f>13+54/60+45.9/3600</f>
        <v>13.912750000000001</v>
      </c>
      <c r="P5373" s="8" t="s">
        <v>24017</v>
      </c>
      <c r="Q5373" s="8">
        <f>+(58+40/60+1/3600)</f>
        <v>58.666944444444439</v>
      </c>
      <c r="R5373" s="8">
        <v>13.3</v>
      </c>
      <c r="S5373" s="8">
        <v>14.2</v>
      </c>
      <c r="T5373" s="8">
        <v>0.9</v>
      </c>
      <c r="U5373" s="8">
        <v>11.6</v>
      </c>
      <c r="V5373" s="8">
        <v>0.6</v>
      </c>
      <c r="W5373" s="8">
        <v>0.4</v>
      </c>
      <c r="X5373" s="8">
        <v>140</v>
      </c>
      <c r="Y5373" s="8" t="s">
        <v>24018</v>
      </c>
      <c r="Z5373" s="8" t="s">
        <v>24019</v>
      </c>
    </row>
    <row r="5374" spans="1:26" x14ac:dyDescent="0.2">
      <c r="A5374" s="8">
        <v>5373</v>
      </c>
      <c r="B5374" s="8" t="s">
        <v>24020</v>
      </c>
      <c r="C5374" s="8" t="s">
        <v>24020</v>
      </c>
      <c r="F5374" s="47"/>
      <c r="G5374" s="8">
        <v>18</v>
      </c>
      <c r="H5374" s="8" t="s">
        <v>21</v>
      </c>
      <c r="I5374" s="8" t="s">
        <v>22</v>
      </c>
      <c r="J5374" s="8" t="s">
        <v>22</v>
      </c>
      <c r="K5374" s="8" t="s">
        <v>424</v>
      </c>
      <c r="L5374" s="8" t="s">
        <v>17287</v>
      </c>
      <c r="M5374" s="8" t="s">
        <v>17288</v>
      </c>
      <c r="N5374" s="8" t="s">
        <v>24021</v>
      </c>
      <c r="O5374" s="8">
        <f>13+57/60+7.4/3600</f>
        <v>13.952055555555555</v>
      </c>
      <c r="P5374" s="8" t="s">
        <v>24022</v>
      </c>
      <c r="Q5374" s="8">
        <f>+(5+15/60+9/3600)</f>
        <v>5.2525000000000004</v>
      </c>
      <c r="R5374" s="8">
        <v>14.4</v>
      </c>
      <c r="S5374" s="8">
        <v>15.2</v>
      </c>
      <c r="T5374" s="8">
        <v>0.8</v>
      </c>
      <c r="U5374" s="8">
        <v>13</v>
      </c>
      <c r="V5374" s="8">
        <v>0.5</v>
      </c>
      <c r="W5374" s="8">
        <v>0.4</v>
      </c>
      <c r="X5374" s="8">
        <v>174</v>
      </c>
      <c r="Y5374" s="8" t="s">
        <v>1948</v>
      </c>
      <c r="Z5374" s="8" t="s">
        <v>24023</v>
      </c>
    </row>
    <row r="5375" spans="1:26" x14ac:dyDescent="0.2">
      <c r="A5375" s="8">
        <v>5374</v>
      </c>
      <c r="B5375" s="8" t="s">
        <v>24024</v>
      </c>
      <c r="C5375" s="8" t="s">
        <v>24024</v>
      </c>
      <c r="F5375" s="47" t="s">
        <v>57849</v>
      </c>
      <c r="G5375" s="8">
        <v>15</v>
      </c>
      <c r="H5375" s="8" t="s">
        <v>21</v>
      </c>
      <c r="I5375" s="8" t="s">
        <v>22</v>
      </c>
      <c r="J5375" s="8" t="s">
        <v>22</v>
      </c>
      <c r="K5375" s="8" t="s">
        <v>85</v>
      </c>
      <c r="L5375" s="8" t="s">
        <v>17287</v>
      </c>
      <c r="M5375" s="8" t="s">
        <v>17288</v>
      </c>
      <c r="N5375" s="8" t="s">
        <v>24025</v>
      </c>
      <c r="O5375" s="8">
        <f>13+57/60+29.5/3600</f>
        <v>13.958194444444445</v>
      </c>
      <c r="P5375" s="8" t="s">
        <v>24026</v>
      </c>
      <c r="Q5375" s="8">
        <f>+(6+5/60+49/3600)</f>
        <v>6.0969444444444445</v>
      </c>
      <c r="R5375" s="8">
        <v>12.5</v>
      </c>
      <c r="S5375" s="8">
        <v>13.3</v>
      </c>
      <c r="T5375" s="8">
        <v>0.8</v>
      </c>
      <c r="U5375" s="8">
        <v>13.3</v>
      </c>
      <c r="V5375" s="8">
        <v>1.6</v>
      </c>
      <c r="W5375" s="8">
        <v>1.5</v>
      </c>
      <c r="X5375" s="8">
        <v>54</v>
      </c>
      <c r="Y5375" s="8" t="s">
        <v>24027</v>
      </c>
      <c r="Z5375" s="8" t="s">
        <v>24028</v>
      </c>
    </row>
    <row r="5376" spans="1:26" x14ac:dyDescent="0.2">
      <c r="A5376" s="8">
        <v>5375</v>
      </c>
      <c r="B5376" s="8" t="s">
        <v>24029</v>
      </c>
      <c r="C5376" s="8" t="s">
        <v>24029</v>
      </c>
      <c r="F5376" s="47"/>
      <c r="G5376" s="8">
        <v>16</v>
      </c>
      <c r="H5376" s="8" t="s">
        <v>21</v>
      </c>
      <c r="I5376" s="8" t="s">
        <v>22</v>
      </c>
      <c r="J5376" s="8" t="s">
        <v>57</v>
      </c>
      <c r="K5376" s="8" t="s">
        <v>406</v>
      </c>
      <c r="L5376" s="8" t="s">
        <v>18681</v>
      </c>
      <c r="M5376" s="8" t="s">
        <v>18682</v>
      </c>
      <c r="N5376" s="8" t="s">
        <v>24030</v>
      </c>
      <c r="O5376" s="8">
        <f>13+56/60+55.9/3600</f>
        <v>13.94886111111111</v>
      </c>
      <c r="P5376" s="8" t="s">
        <v>24031</v>
      </c>
      <c r="Q5376" s="8">
        <f>+(29+9/60+51/3600)</f>
        <v>29.164166666666667</v>
      </c>
      <c r="R5376" s="8">
        <v>11.5</v>
      </c>
      <c r="S5376" s="8">
        <v>12.3</v>
      </c>
      <c r="T5376" s="8">
        <v>0.8</v>
      </c>
      <c r="U5376" s="8">
        <v>13.7</v>
      </c>
      <c r="V5376" s="8">
        <v>3.3</v>
      </c>
      <c r="W5376" s="8">
        <v>2.8</v>
      </c>
      <c r="X5376" s="8">
        <v>0</v>
      </c>
      <c r="Y5376" s="8" t="s">
        <v>24032</v>
      </c>
      <c r="Z5376" s="8" t="s">
        <v>24033</v>
      </c>
    </row>
    <row r="5377" spans="1:26" x14ac:dyDescent="0.2">
      <c r="A5377" s="8">
        <v>5376</v>
      </c>
      <c r="B5377" s="8" t="s">
        <v>24034</v>
      </c>
      <c r="C5377" s="8" t="s">
        <v>24034</v>
      </c>
      <c r="F5377" s="47" t="s">
        <v>57850</v>
      </c>
      <c r="G5377" s="8">
        <v>13</v>
      </c>
      <c r="H5377" s="8" t="s">
        <v>21</v>
      </c>
      <c r="I5377" s="8" t="s">
        <v>22</v>
      </c>
      <c r="J5377" s="8" t="s">
        <v>22</v>
      </c>
      <c r="K5377" s="8" t="s">
        <v>406</v>
      </c>
      <c r="L5377" s="8" t="s">
        <v>12015</v>
      </c>
      <c r="M5377" s="8" t="s">
        <v>12016</v>
      </c>
      <c r="N5377" s="8" t="s">
        <v>24035</v>
      </c>
      <c r="O5377" s="8">
        <f>13+55/60+15.8/3600</f>
        <v>13.921055555555554</v>
      </c>
      <c r="P5377" s="8" t="s">
        <v>24036</v>
      </c>
      <c r="Q5377" s="8">
        <f>+(59+30/60+25/3600)</f>
        <v>59.506944444444443</v>
      </c>
      <c r="R5377" s="8">
        <v>12.1</v>
      </c>
      <c r="S5377" s="8">
        <v>12.9</v>
      </c>
      <c r="T5377" s="8">
        <v>0.8</v>
      </c>
      <c r="U5377" s="8">
        <v>13.1</v>
      </c>
      <c r="V5377" s="8">
        <v>2.1</v>
      </c>
      <c r="W5377" s="8">
        <v>1.3</v>
      </c>
      <c r="X5377" s="8">
        <v>70</v>
      </c>
      <c r="Y5377" s="8" t="s">
        <v>24037</v>
      </c>
      <c r="Z5377" s="8" t="s">
        <v>24038</v>
      </c>
    </row>
    <row r="5378" spans="1:26" x14ac:dyDescent="0.2">
      <c r="A5378" s="8">
        <v>5377</v>
      </c>
      <c r="B5378" s="8" t="s">
        <v>24039</v>
      </c>
      <c r="C5378" s="8" t="s">
        <v>24039</v>
      </c>
      <c r="F5378" s="47" t="s">
        <v>57851</v>
      </c>
      <c r="G5378" s="8">
        <v>7</v>
      </c>
      <c r="H5378" s="8" t="s">
        <v>21</v>
      </c>
      <c r="I5378" s="8" t="s">
        <v>22</v>
      </c>
      <c r="J5378" s="8" t="s">
        <v>22</v>
      </c>
      <c r="K5378" s="8" t="s">
        <v>154</v>
      </c>
      <c r="L5378" s="8" t="s">
        <v>18681</v>
      </c>
      <c r="M5378" s="8" t="s">
        <v>18682</v>
      </c>
      <c r="N5378" s="8" t="s">
        <v>24040</v>
      </c>
      <c r="O5378" s="8">
        <f>13+56/60+16.7/3600</f>
        <v>13.937972222222223</v>
      </c>
      <c r="P5378" s="8" t="s">
        <v>24041</v>
      </c>
      <c r="Q5378" s="8">
        <f>+(47+14/60+8/3600)</f>
        <v>47.235555555555557</v>
      </c>
      <c r="R5378" s="8">
        <v>11.3</v>
      </c>
      <c r="S5378" s="8">
        <v>12.2</v>
      </c>
      <c r="T5378" s="8">
        <v>0.9</v>
      </c>
      <c r="U5378" s="8">
        <v>13.4</v>
      </c>
      <c r="V5378" s="8">
        <v>4.7</v>
      </c>
      <c r="W5378" s="8">
        <v>2.4</v>
      </c>
      <c r="X5378" s="8">
        <v>23</v>
      </c>
      <c r="Y5378" s="8" t="s">
        <v>21</v>
      </c>
      <c r="Z5378" s="8" t="s">
        <v>24042</v>
      </c>
    </row>
    <row r="5379" spans="1:26" x14ac:dyDescent="0.2">
      <c r="A5379" s="8">
        <v>5378</v>
      </c>
      <c r="B5379" s="8" t="s">
        <v>24043</v>
      </c>
      <c r="C5379" s="8" t="s">
        <v>24043</v>
      </c>
      <c r="F5379" s="47"/>
      <c r="G5379" s="8">
        <v>16</v>
      </c>
      <c r="H5379" s="8" t="s">
        <v>21</v>
      </c>
      <c r="I5379" s="8" t="s">
        <v>22</v>
      </c>
      <c r="J5379" s="8" t="s">
        <v>22</v>
      </c>
      <c r="K5379" s="8" t="s">
        <v>154</v>
      </c>
      <c r="L5379" s="8" t="s">
        <v>18681</v>
      </c>
      <c r="M5379" s="8" t="s">
        <v>18682</v>
      </c>
      <c r="N5379" s="8" t="s">
        <v>24044</v>
      </c>
      <c r="O5379" s="8">
        <f>13+56/60+50.9/3600</f>
        <v>13.947472222222222</v>
      </c>
      <c r="P5379" s="8" t="s">
        <v>24045</v>
      </c>
      <c r="Q5379" s="8">
        <f>+(37+47/60+50/3600)</f>
        <v>37.797222222222217</v>
      </c>
      <c r="R5379" s="8">
        <v>12.5</v>
      </c>
      <c r="S5379" s="8">
        <v>13.4</v>
      </c>
      <c r="T5379" s="8">
        <v>0.9</v>
      </c>
      <c r="U5379" s="8">
        <v>14.3</v>
      </c>
      <c r="V5379" s="8">
        <v>2.7</v>
      </c>
      <c r="W5379" s="8">
        <v>2.2000000000000002</v>
      </c>
      <c r="X5379" s="8">
        <v>90</v>
      </c>
      <c r="Y5379" s="8" t="s">
        <v>24046</v>
      </c>
      <c r="Z5379" s="8" t="s">
        <v>24047</v>
      </c>
    </row>
    <row r="5380" spans="1:26" x14ac:dyDescent="0.2">
      <c r="A5380" s="8">
        <v>5379</v>
      </c>
      <c r="B5380" s="8" t="s">
        <v>24048</v>
      </c>
      <c r="C5380" s="8" t="s">
        <v>24048</v>
      </c>
      <c r="F5380" s="47" t="s">
        <v>57852</v>
      </c>
      <c r="G5380" s="8">
        <v>15</v>
      </c>
      <c r="H5380" s="8" t="s">
        <v>21</v>
      </c>
      <c r="I5380" s="8" t="s">
        <v>22</v>
      </c>
      <c r="J5380" s="8" t="s">
        <v>22</v>
      </c>
      <c r="K5380" s="8" t="s">
        <v>435</v>
      </c>
      <c r="L5380" s="8" t="s">
        <v>12015</v>
      </c>
      <c r="M5380" s="8" t="s">
        <v>12016</v>
      </c>
      <c r="N5380" s="8" t="s">
        <v>24049</v>
      </c>
      <c r="O5380" s="8">
        <f>13+55/60+34.4/3600</f>
        <v>13.926222222222222</v>
      </c>
      <c r="P5380" s="8" t="s">
        <v>24050</v>
      </c>
      <c r="Q5380" s="8">
        <f>+(59+44/60+36/3600)</f>
        <v>59.743333333333332</v>
      </c>
      <c r="R5380" s="8">
        <v>12.9</v>
      </c>
      <c r="S5380" s="8">
        <v>13.8</v>
      </c>
      <c r="T5380" s="8">
        <v>0.9</v>
      </c>
      <c r="U5380" s="8">
        <v>13.2</v>
      </c>
      <c r="V5380" s="8">
        <v>2.2000000000000002</v>
      </c>
      <c r="W5380" s="8">
        <v>0.7</v>
      </c>
      <c r="X5380" s="8">
        <v>60</v>
      </c>
      <c r="Y5380" s="8" t="s">
        <v>24051</v>
      </c>
      <c r="Z5380" s="8" t="s">
        <v>24052</v>
      </c>
    </row>
    <row r="5381" spans="1:26" x14ac:dyDescent="0.2">
      <c r="A5381" s="8">
        <v>5380</v>
      </c>
      <c r="B5381" s="8" t="s">
        <v>24053</v>
      </c>
      <c r="C5381" s="8" t="s">
        <v>24053</v>
      </c>
      <c r="F5381" s="47" t="s">
        <v>57853</v>
      </c>
      <c r="G5381" s="8">
        <v>13</v>
      </c>
      <c r="H5381" s="8" t="s">
        <v>21</v>
      </c>
      <c r="I5381" s="8" t="s">
        <v>22</v>
      </c>
      <c r="J5381" s="8" t="s">
        <v>22</v>
      </c>
      <c r="K5381" s="8" t="s">
        <v>58</v>
      </c>
      <c r="L5381" s="8" t="s">
        <v>18681</v>
      </c>
      <c r="M5381" s="8" t="s">
        <v>18682</v>
      </c>
      <c r="N5381" s="8" t="s">
        <v>24054</v>
      </c>
      <c r="O5381" s="8">
        <f>13+56/60+56.7/3600</f>
        <v>13.949083333333334</v>
      </c>
      <c r="P5381" s="8" t="s">
        <v>24055</v>
      </c>
      <c r="Q5381" s="8">
        <f>+(37+36/60+37/3600)</f>
        <v>37.610277777777782</v>
      </c>
      <c r="R5381" s="8">
        <v>12.3</v>
      </c>
      <c r="S5381" s="8">
        <v>13.3</v>
      </c>
      <c r="T5381" s="8">
        <v>1</v>
      </c>
      <c r="U5381" s="8">
        <v>13.3</v>
      </c>
      <c r="V5381" s="8">
        <v>1.7</v>
      </c>
      <c r="W5381" s="8">
        <v>1.7</v>
      </c>
      <c r="Y5381" s="8" t="s">
        <v>24056</v>
      </c>
      <c r="Z5381" s="8" t="s">
        <v>24057</v>
      </c>
    </row>
    <row r="5382" spans="1:26" x14ac:dyDescent="0.2">
      <c r="A5382" s="8">
        <v>5381</v>
      </c>
      <c r="B5382" s="8" t="s">
        <v>24058</v>
      </c>
      <c r="C5382" s="8" t="s">
        <v>24058</v>
      </c>
      <c r="F5382" s="47"/>
      <c r="G5382" s="8">
        <v>16</v>
      </c>
      <c r="H5382" s="8" t="s">
        <v>21</v>
      </c>
      <c r="I5382" s="8" t="s">
        <v>557</v>
      </c>
      <c r="J5382" s="8" t="s">
        <v>557</v>
      </c>
      <c r="K5382" s="8" t="s">
        <v>558</v>
      </c>
      <c r="L5382" s="8" t="s">
        <v>16195</v>
      </c>
      <c r="M5382" s="8" t="s">
        <v>16196</v>
      </c>
      <c r="N5382" s="8" t="s">
        <v>24059</v>
      </c>
      <c r="O5382" s="8">
        <f>14+0/60+42/3600</f>
        <v>14.011666666666667</v>
      </c>
      <c r="P5382" s="8" t="s">
        <v>24060</v>
      </c>
      <c r="Q5382" s="8">
        <f>-(59+33/60+0/3600)</f>
        <v>-59.55</v>
      </c>
      <c r="R5382" s="8">
        <v>99</v>
      </c>
      <c r="S5382" s="8">
        <v>99</v>
      </c>
      <c r="T5382" s="8">
        <v>99</v>
      </c>
      <c r="U5382" s="8">
        <v>99</v>
      </c>
      <c r="V5382" s="8">
        <v>11</v>
      </c>
      <c r="Y5382" s="8" t="s">
        <v>24061</v>
      </c>
      <c r="Z5382" s="8" t="s">
        <v>24062</v>
      </c>
    </row>
    <row r="5383" spans="1:26" x14ac:dyDescent="0.2">
      <c r="A5383" s="8">
        <v>5382</v>
      </c>
      <c r="B5383" s="8" t="s">
        <v>24063</v>
      </c>
      <c r="C5383" s="8" t="s">
        <v>24063</v>
      </c>
      <c r="F5383" s="47" t="s">
        <v>57854</v>
      </c>
      <c r="G5383" s="8">
        <v>15</v>
      </c>
      <c r="H5383" s="8" t="s">
        <v>21</v>
      </c>
      <c r="I5383" s="8" t="s">
        <v>22</v>
      </c>
      <c r="J5383" s="8" t="s">
        <v>22</v>
      </c>
      <c r="K5383" s="8" t="s">
        <v>37</v>
      </c>
      <c r="L5383" s="8" t="s">
        <v>17287</v>
      </c>
      <c r="M5383" s="8" t="s">
        <v>17288</v>
      </c>
      <c r="N5383" s="8" t="s">
        <v>24064</v>
      </c>
      <c r="O5383" s="8">
        <f>13+58/60+14.8/3600</f>
        <v>13.970777777777778</v>
      </c>
      <c r="P5383" s="8" t="s">
        <v>24065</v>
      </c>
      <c r="Q5383" s="8">
        <f>+(6+15/60+29/3600)</f>
        <v>6.2580555555555559</v>
      </c>
      <c r="R5383" s="8">
        <v>12.6</v>
      </c>
      <c r="S5383" s="8">
        <v>13.5</v>
      </c>
      <c r="T5383" s="8">
        <v>0.9</v>
      </c>
      <c r="U5383" s="8">
        <v>13</v>
      </c>
      <c r="V5383" s="8">
        <v>0.9</v>
      </c>
      <c r="W5383" s="8">
        <v>0.6</v>
      </c>
      <c r="X5383" s="8">
        <v>25</v>
      </c>
      <c r="Y5383" s="8" t="s">
        <v>24066</v>
      </c>
      <c r="Z5383" s="8" t="s">
        <v>24067</v>
      </c>
    </row>
    <row r="5384" spans="1:26" x14ac:dyDescent="0.2">
      <c r="A5384" s="8">
        <v>5383</v>
      </c>
      <c r="B5384" s="8" t="s">
        <v>24068</v>
      </c>
      <c r="C5384" s="8" t="s">
        <v>24068</v>
      </c>
      <c r="F5384" s="47" t="s">
        <v>57855</v>
      </c>
      <c r="G5384" s="8">
        <v>6.5</v>
      </c>
      <c r="H5384" s="8" t="s">
        <v>21</v>
      </c>
      <c r="I5384" s="8" t="s">
        <v>22</v>
      </c>
      <c r="J5384" s="8" t="s">
        <v>22</v>
      </c>
      <c r="K5384" s="8" t="s">
        <v>218</v>
      </c>
      <c r="L5384" s="8" t="s">
        <v>18681</v>
      </c>
      <c r="M5384" s="8" t="s">
        <v>18682</v>
      </c>
      <c r="N5384" s="8" t="s">
        <v>24069</v>
      </c>
      <c r="O5384" s="8">
        <f>13+57/60+4.9/3600</f>
        <v>13.95136111111111</v>
      </c>
      <c r="P5384" s="8" t="s">
        <v>24070</v>
      </c>
      <c r="Q5384" s="8">
        <f>+(41+50/60+46/3600)</f>
        <v>41.846111111111114</v>
      </c>
      <c r="R5384" s="8">
        <v>11.4</v>
      </c>
      <c r="S5384" s="8">
        <v>12.1</v>
      </c>
      <c r="T5384" s="8">
        <v>0.7</v>
      </c>
      <c r="U5384" s="8">
        <v>13.6</v>
      </c>
      <c r="V5384" s="8">
        <v>3.2</v>
      </c>
      <c r="W5384" s="8">
        <v>2.7</v>
      </c>
      <c r="X5384" s="8">
        <v>85</v>
      </c>
      <c r="Y5384" s="8" t="s">
        <v>24071</v>
      </c>
      <c r="Z5384" s="8" t="s">
        <v>24072</v>
      </c>
    </row>
    <row r="5385" spans="1:26" x14ac:dyDescent="0.2">
      <c r="A5385" s="8">
        <v>5384</v>
      </c>
      <c r="B5385" s="8" t="s">
        <v>24073</v>
      </c>
      <c r="C5385" s="8" t="s">
        <v>24073</v>
      </c>
      <c r="F5385" s="47"/>
      <c r="G5385" s="8">
        <v>18</v>
      </c>
      <c r="H5385" s="8" t="s">
        <v>21</v>
      </c>
      <c r="I5385" s="8" t="s">
        <v>22</v>
      </c>
      <c r="J5385" s="8" t="s">
        <v>22</v>
      </c>
      <c r="K5385" s="8" t="s">
        <v>37</v>
      </c>
      <c r="L5385" s="8" t="s">
        <v>17287</v>
      </c>
      <c r="M5385" s="8" t="s">
        <v>17288</v>
      </c>
      <c r="N5385" s="8" t="s">
        <v>24074</v>
      </c>
      <c r="O5385" s="8">
        <f>13+58/60+12.8/3600</f>
        <v>13.970222222222223</v>
      </c>
      <c r="P5385" s="8" t="s">
        <v>24075</v>
      </c>
      <c r="Q5385" s="8">
        <f>+(6+31/60+5/3600)</f>
        <v>6.5180555555555557</v>
      </c>
      <c r="R5385" s="8">
        <v>13.1</v>
      </c>
      <c r="S5385" s="8">
        <v>14.1</v>
      </c>
      <c r="T5385" s="8">
        <v>1</v>
      </c>
      <c r="U5385" s="8">
        <v>13.2</v>
      </c>
      <c r="V5385" s="8">
        <v>1.5</v>
      </c>
      <c r="W5385" s="8">
        <v>0.8</v>
      </c>
      <c r="X5385" s="8">
        <v>56</v>
      </c>
      <c r="Y5385" s="8" t="s">
        <v>256</v>
      </c>
      <c r="Z5385" s="8" t="s">
        <v>257</v>
      </c>
    </row>
    <row r="5386" spans="1:26" x14ac:dyDescent="0.2">
      <c r="A5386" s="8">
        <v>5385</v>
      </c>
      <c r="B5386" s="8" t="s">
        <v>24076</v>
      </c>
      <c r="C5386" s="8" t="s">
        <v>24076</v>
      </c>
      <c r="F5386" s="47"/>
      <c r="G5386" s="8">
        <v>16</v>
      </c>
      <c r="H5386" s="8" t="s">
        <v>21</v>
      </c>
      <c r="I5386" s="8" t="s">
        <v>72</v>
      </c>
      <c r="J5386" s="8" t="s">
        <v>72</v>
      </c>
      <c r="K5386" s="8" t="s">
        <v>1405</v>
      </c>
      <c r="L5386" s="8" t="s">
        <v>14586</v>
      </c>
      <c r="M5386" s="8" t="s">
        <v>14587</v>
      </c>
      <c r="N5386" s="8" t="s">
        <v>24077</v>
      </c>
      <c r="O5386" s="8">
        <f>13+52/60+31.8/3600</f>
        <v>13.875500000000001</v>
      </c>
      <c r="P5386" s="8" t="s">
        <v>24078</v>
      </c>
      <c r="Q5386" s="8">
        <f>+(76+9/60+48/3600)</f>
        <v>76.163333333333341</v>
      </c>
      <c r="R5386" s="8">
        <v>99</v>
      </c>
      <c r="S5386" s="8">
        <v>99</v>
      </c>
      <c r="T5386" s="8">
        <v>99</v>
      </c>
      <c r="U5386" s="8">
        <v>99</v>
      </c>
      <c r="V5386" s="8">
        <v>6</v>
      </c>
      <c r="Y5386" s="8" t="s">
        <v>24079</v>
      </c>
      <c r="Z5386" s="8" t="s">
        <v>24080</v>
      </c>
    </row>
    <row r="5387" spans="1:26" x14ac:dyDescent="0.2">
      <c r="A5387" s="8">
        <v>5386</v>
      </c>
      <c r="B5387" s="8" t="s">
        <v>24081</v>
      </c>
      <c r="C5387" s="8" t="s">
        <v>24081</v>
      </c>
      <c r="F5387" s="47" t="s">
        <v>57856</v>
      </c>
      <c r="G5387" s="8">
        <v>15</v>
      </c>
      <c r="H5387" s="8" t="s">
        <v>21</v>
      </c>
      <c r="I5387" s="8" t="s">
        <v>22</v>
      </c>
      <c r="J5387" s="8" t="s">
        <v>22</v>
      </c>
      <c r="K5387" s="8" t="s">
        <v>632</v>
      </c>
      <c r="L5387" s="8" t="s">
        <v>17287</v>
      </c>
      <c r="M5387" s="8" t="s">
        <v>17288</v>
      </c>
      <c r="N5387" s="8" t="s">
        <v>24082</v>
      </c>
      <c r="O5387" s="8">
        <f>13+58/60+22.2/3600</f>
        <v>13.972833333333334</v>
      </c>
      <c r="P5387" s="8" t="s">
        <v>24083</v>
      </c>
      <c r="Q5387" s="8">
        <f>+(6+20/60+19/3600)</f>
        <v>6.3386111111111108</v>
      </c>
      <c r="R5387" s="8">
        <v>13.2</v>
      </c>
      <c r="S5387" s="8">
        <v>14.1</v>
      </c>
      <c r="T5387" s="8">
        <v>0.9</v>
      </c>
      <c r="U5387" s="8">
        <v>12.1</v>
      </c>
      <c r="V5387" s="8">
        <v>1</v>
      </c>
      <c r="W5387" s="8">
        <v>0.4</v>
      </c>
      <c r="X5387" s="8">
        <v>51</v>
      </c>
      <c r="Y5387" s="8" t="s">
        <v>24084</v>
      </c>
      <c r="Z5387" s="8" t="s">
        <v>24085</v>
      </c>
    </row>
    <row r="5388" spans="1:26" x14ac:dyDescent="0.2">
      <c r="A5388" s="8">
        <v>5387</v>
      </c>
      <c r="B5388" s="8" t="s">
        <v>24086</v>
      </c>
      <c r="C5388" s="8" t="s">
        <v>24086</v>
      </c>
      <c r="F5388" s="47"/>
      <c r="G5388" s="8">
        <v>18</v>
      </c>
      <c r="H5388" s="8" t="s">
        <v>21</v>
      </c>
      <c r="I5388" s="8" t="s">
        <v>22</v>
      </c>
      <c r="J5388" s="8" t="s">
        <v>22</v>
      </c>
      <c r="K5388" s="8" t="s">
        <v>396</v>
      </c>
      <c r="L5388" s="8" t="s">
        <v>17287</v>
      </c>
      <c r="M5388" s="8" t="s">
        <v>17288</v>
      </c>
      <c r="N5388" s="8" t="s">
        <v>24087</v>
      </c>
      <c r="O5388" s="8">
        <f>13+58/60+24.7/3600</f>
        <v>13.973527777777777</v>
      </c>
      <c r="P5388" s="8" t="s">
        <v>24088</v>
      </c>
      <c r="Q5388" s="8">
        <f>+(6+4/60+14/3600)</f>
        <v>6.070555555555555</v>
      </c>
      <c r="R5388" s="8">
        <v>13.9</v>
      </c>
      <c r="S5388" s="8">
        <v>14.7</v>
      </c>
      <c r="T5388" s="8">
        <v>0.8</v>
      </c>
      <c r="U5388" s="8">
        <v>13.1</v>
      </c>
      <c r="V5388" s="8">
        <v>1.6</v>
      </c>
      <c r="W5388" s="8">
        <v>0.3</v>
      </c>
      <c r="X5388" s="8">
        <v>22</v>
      </c>
      <c r="Y5388" s="8" t="s">
        <v>24089</v>
      </c>
      <c r="Z5388" s="8" t="s">
        <v>24090</v>
      </c>
    </row>
    <row r="5389" spans="1:26" x14ac:dyDescent="0.2">
      <c r="A5389" s="8">
        <v>5388</v>
      </c>
      <c r="B5389" s="8" t="s">
        <v>24091</v>
      </c>
      <c r="C5389" s="8" t="s">
        <v>24091</v>
      </c>
      <c r="F5389" s="47"/>
      <c r="G5389" s="8">
        <v>19</v>
      </c>
      <c r="H5389" s="8" t="s">
        <v>21</v>
      </c>
      <c r="I5389" s="8" t="s">
        <v>329</v>
      </c>
      <c r="J5389" s="8" t="s">
        <v>329</v>
      </c>
      <c r="K5389" s="8" t="s">
        <v>329</v>
      </c>
      <c r="L5389" s="8" t="s">
        <v>17287</v>
      </c>
      <c r="M5389" s="8" t="s">
        <v>17288</v>
      </c>
      <c r="N5389" s="8" t="s">
        <v>24092</v>
      </c>
      <c r="O5389" s="8">
        <f>13+58/60+57.9/3600</f>
        <v>13.982749999999999</v>
      </c>
      <c r="P5389" s="8" t="s">
        <v>24093</v>
      </c>
      <c r="Q5389" s="8">
        <f>-(14+9/60+3/3600)</f>
        <v>-14.150833333333333</v>
      </c>
      <c r="R5389" s="8">
        <v>99</v>
      </c>
      <c r="S5389" s="8">
        <v>99</v>
      </c>
      <c r="T5389" s="8">
        <v>99</v>
      </c>
      <c r="U5389" s="8">
        <v>99</v>
      </c>
      <c r="Y5389" s="8" t="s">
        <v>24094</v>
      </c>
      <c r="Z5389" s="8" t="s">
        <v>24095</v>
      </c>
    </row>
    <row r="5390" spans="1:26" x14ac:dyDescent="0.2">
      <c r="A5390" s="8">
        <v>5389</v>
      </c>
      <c r="B5390" s="8" t="s">
        <v>24096</v>
      </c>
      <c r="C5390" s="8" t="s">
        <v>24096</v>
      </c>
      <c r="F5390" s="47" t="s">
        <v>57857</v>
      </c>
      <c r="G5390" s="8">
        <v>12</v>
      </c>
      <c r="H5390" s="8" t="s">
        <v>21</v>
      </c>
      <c r="I5390" s="8" t="s">
        <v>22</v>
      </c>
      <c r="J5390" s="8" t="s">
        <v>22</v>
      </c>
      <c r="K5390" s="8" t="s">
        <v>435</v>
      </c>
      <c r="L5390" s="8" t="s">
        <v>12015</v>
      </c>
      <c r="M5390" s="8" t="s">
        <v>12016</v>
      </c>
      <c r="N5390" s="8" t="s">
        <v>24097</v>
      </c>
      <c r="O5390" s="8">
        <f>13+56/60+6.4/3600</f>
        <v>13.935111111111111</v>
      </c>
      <c r="P5390" s="8" t="s">
        <v>24098</v>
      </c>
      <c r="Q5390" s="8">
        <f>+(59+44/60+30/3600)</f>
        <v>59.741666666666667</v>
      </c>
      <c r="R5390" s="8">
        <v>12</v>
      </c>
      <c r="S5390" s="8">
        <v>12.9</v>
      </c>
      <c r="T5390" s="8">
        <v>0.9</v>
      </c>
      <c r="U5390" s="8">
        <v>13.1</v>
      </c>
      <c r="V5390" s="8">
        <v>4.0999999999999996</v>
      </c>
      <c r="W5390" s="8">
        <v>1.1000000000000001</v>
      </c>
      <c r="X5390" s="8">
        <v>3</v>
      </c>
      <c r="Y5390" s="8" t="s">
        <v>24099</v>
      </c>
      <c r="Z5390" s="8" t="s">
        <v>24100</v>
      </c>
    </row>
    <row r="5391" spans="1:26" x14ac:dyDescent="0.2">
      <c r="A5391" s="8">
        <v>5390</v>
      </c>
      <c r="B5391" s="8" t="s">
        <v>24101</v>
      </c>
      <c r="C5391" s="8" t="s">
        <v>24101</v>
      </c>
      <c r="F5391" s="47"/>
      <c r="G5391" s="8">
        <v>16</v>
      </c>
      <c r="H5391" s="8" t="s">
        <v>21</v>
      </c>
      <c r="I5391" s="8" t="s">
        <v>22</v>
      </c>
      <c r="J5391" s="8" t="s">
        <v>57</v>
      </c>
      <c r="K5391" s="8" t="s">
        <v>85</v>
      </c>
      <c r="L5391" s="8" t="s">
        <v>18681</v>
      </c>
      <c r="M5391" s="8" t="s">
        <v>18682</v>
      </c>
      <c r="N5391" s="8" t="s">
        <v>24011</v>
      </c>
      <c r="O5391" s="8">
        <f>13+55/60+40/3600</f>
        <v>13.927777777777777</v>
      </c>
      <c r="P5391" s="8" t="s">
        <v>24012</v>
      </c>
      <c r="Q5391" s="8">
        <f>+(40+27/60+44/3600)</f>
        <v>40.462222222222223</v>
      </c>
      <c r="R5391" s="8">
        <v>10.6</v>
      </c>
      <c r="S5391" s="8">
        <v>11.3</v>
      </c>
      <c r="T5391" s="8">
        <v>0.7</v>
      </c>
      <c r="U5391" s="8">
        <v>13.4</v>
      </c>
      <c r="V5391" s="8">
        <v>4.2</v>
      </c>
      <c r="W5391" s="8">
        <v>3.4</v>
      </c>
      <c r="X5391" s="8">
        <v>8</v>
      </c>
      <c r="Y5391" s="8" t="s">
        <v>24013</v>
      </c>
      <c r="Z5391" s="8" t="s">
        <v>24102</v>
      </c>
    </row>
    <row r="5392" spans="1:26" x14ac:dyDescent="0.2">
      <c r="A5392" s="8">
        <v>5391</v>
      </c>
      <c r="B5392" s="8" t="s">
        <v>24103</v>
      </c>
      <c r="C5392" s="8" t="s">
        <v>24103</v>
      </c>
      <c r="F5392" s="47"/>
      <c r="G5392" s="8">
        <v>19</v>
      </c>
      <c r="H5392" s="8" t="s">
        <v>21</v>
      </c>
      <c r="I5392" s="8" t="s">
        <v>329</v>
      </c>
      <c r="J5392" s="8" t="s">
        <v>329</v>
      </c>
      <c r="K5392" s="8" t="s">
        <v>329</v>
      </c>
      <c r="L5392" s="8" t="s">
        <v>18681</v>
      </c>
      <c r="M5392" s="8" t="s">
        <v>18682</v>
      </c>
      <c r="N5392" s="8" t="s">
        <v>24104</v>
      </c>
      <c r="O5392" s="8">
        <f>13+57/60+36.5/3600</f>
        <v>13.960138888888888</v>
      </c>
      <c r="P5392" s="8" t="s">
        <v>24105</v>
      </c>
      <c r="Q5392" s="8">
        <f>+(46+19/60+26/3600)</f>
        <v>46.323888888888895</v>
      </c>
      <c r="R5392" s="8">
        <v>99</v>
      </c>
      <c r="S5392" s="8">
        <v>99</v>
      </c>
      <c r="T5392" s="8">
        <v>99</v>
      </c>
      <c r="U5392" s="8">
        <v>99</v>
      </c>
      <c r="Y5392" s="8" t="s">
        <v>24106</v>
      </c>
      <c r="Z5392" s="8" t="s">
        <v>24107</v>
      </c>
    </row>
    <row r="5393" spans="1:26" x14ac:dyDescent="0.2">
      <c r="A5393" s="8">
        <v>5392</v>
      </c>
      <c r="B5393" s="8" t="s">
        <v>24108</v>
      </c>
      <c r="C5393" s="8" t="s">
        <v>24108</v>
      </c>
      <c r="F5393" s="47" t="s">
        <v>57858</v>
      </c>
      <c r="G5393" s="8">
        <v>15</v>
      </c>
      <c r="H5393" s="8" t="s">
        <v>21</v>
      </c>
      <c r="I5393" s="8" t="s">
        <v>22</v>
      </c>
      <c r="J5393" s="8" t="s">
        <v>22</v>
      </c>
      <c r="K5393" s="8" t="s">
        <v>632</v>
      </c>
      <c r="L5393" s="8" t="s">
        <v>17287</v>
      </c>
      <c r="M5393" s="8" t="s">
        <v>17288</v>
      </c>
      <c r="N5393" s="8" t="s">
        <v>24109</v>
      </c>
      <c r="O5393" s="8">
        <f>13+59/60+24.9/3600</f>
        <v>13.99025</v>
      </c>
      <c r="P5393" s="8" t="s">
        <v>24110</v>
      </c>
      <c r="Q5393" s="8">
        <f>-(3+12/60+32/3600)</f>
        <v>-3.2088888888888891</v>
      </c>
      <c r="R5393" s="8">
        <v>13.4</v>
      </c>
      <c r="S5393" s="8">
        <v>14.3</v>
      </c>
      <c r="T5393" s="8">
        <v>0.9</v>
      </c>
      <c r="U5393" s="8">
        <v>13.3</v>
      </c>
      <c r="V5393" s="8">
        <v>1.2</v>
      </c>
      <c r="W5393" s="8">
        <v>0.8</v>
      </c>
      <c r="X5393" s="8">
        <v>135</v>
      </c>
      <c r="Y5393" s="8" t="s">
        <v>24111</v>
      </c>
      <c r="Z5393" s="8" t="s">
        <v>24112</v>
      </c>
    </row>
    <row r="5394" spans="1:26" x14ac:dyDescent="0.2">
      <c r="A5394" s="8">
        <v>5393</v>
      </c>
      <c r="B5394" s="8" t="s">
        <v>24113</v>
      </c>
      <c r="C5394" s="8" t="s">
        <v>24113</v>
      </c>
      <c r="F5394" s="47"/>
      <c r="G5394" s="8">
        <v>16</v>
      </c>
      <c r="H5394" s="8" t="s">
        <v>21</v>
      </c>
      <c r="I5394" s="8" t="s">
        <v>22</v>
      </c>
      <c r="J5394" s="8" t="s">
        <v>22</v>
      </c>
      <c r="K5394" s="8" t="s">
        <v>91</v>
      </c>
      <c r="L5394" s="8" t="s">
        <v>11765</v>
      </c>
      <c r="M5394" s="8" t="s">
        <v>11766</v>
      </c>
      <c r="N5394" s="8" t="s">
        <v>24114</v>
      </c>
      <c r="O5394" s="8">
        <f>14+0/60+32/3600</f>
        <v>14.008888888888889</v>
      </c>
      <c r="P5394" s="8" t="s">
        <v>24115</v>
      </c>
      <c r="Q5394" s="8">
        <f>-(28+52/60+30/3600)</f>
        <v>-28.875</v>
      </c>
      <c r="R5394" s="8">
        <v>13</v>
      </c>
      <c r="S5394" s="8">
        <v>13.9</v>
      </c>
      <c r="T5394" s="8">
        <v>0.9</v>
      </c>
      <c r="U5394" s="8">
        <v>12.3</v>
      </c>
      <c r="V5394" s="8">
        <v>0.9</v>
      </c>
      <c r="W5394" s="8">
        <v>0.7</v>
      </c>
      <c r="X5394" s="8">
        <v>153</v>
      </c>
      <c r="Y5394" s="8" t="s">
        <v>2067</v>
      </c>
      <c r="Z5394" s="8" t="s">
        <v>2068</v>
      </c>
    </row>
    <row r="5395" spans="1:26" x14ac:dyDescent="0.2">
      <c r="A5395" s="8">
        <v>5394</v>
      </c>
      <c r="B5395" s="8" t="s">
        <v>24116</v>
      </c>
      <c r="C5395" s="8" t="s">
        <v>24116</v>
      </c>
      <c r="F5395" s="47" t="s">
        <v>57859</v>
      </c>
      <c r="G5395" s="8">
        <v>11</v>
      </c>
      <c r="H5395" s="8" t="s">
        <v>24117</v>
      </c>
      <c r="I5395" s="8" t="s">
        <v>22</v>
      </c>
      <c r="J5395" s="8" t="s">
        <v>22</v>
      </c>
      <c r="K5395" s="8" t="s">
        <v>5751</v>
      </c>
      <c r="L5395" s="8" t="s">
        <v>18681</v>
      </c>
      <c r="M5395" s="8" t="s">
        <v>18682</v>
      </c>
      <c r="N5395" s="8" t="s">
        <v>24118</v>
      </c>
      <c r="O5395" s="8">
        <f>13+58/60+33.7/3600</f>
        <v>13.976027777777778</v>
      </c>
      <c r="P5395" s="8" t="s">
        <v>24119</v>
      </c>
      <c r="Q5395" s="8">
        <f>+(37+27/60+13/3600)</f>
        <v>37.453611111111115</v>
      </c>
      <c r="R5395" s="8">
        <v>13</v>
      </c>
      <c r="S5395" s="8">
        <v>13.7</v>
      </c>
      <c r="T5395" s="8">
        <v>0.7</v>
      </c>
      <c r="U5395" s="8">
        <v>13.4</v>
      </c>
      <c r="V5395" s="8">
        <v>1.9</v>
      </c>
      <c r="W5395" s="8">
        <v>1.3</v>
      </c>
      <c r="X5395" s="8">
        <v>0</v>
      </c>
      <c r="Y5395" s="8" t="s">
        <v>24120</v>
      </c>
      <c r="Z5395" s="8" t="s">
        <v>24121</v>
      </c>
    </row>
    <row r="5396" spans="1:26" x14ac:dyDescent="0.2">
      <c r="A5396" s="8">
        <v>5395</v>
      </c>
      <c r="B5396" s="8" t="s">
        <v>24122</v>
      </c>
      <c r="C5396" s="8" t="s">
        <v>24122</v>
      </c>
      <c r="F5396" s="47" t="s">
        <v>57860</v>
      </c>
      <c r="G5396" s="8">
        <v>11</v>
      </c>
      <c r="H5396" s="8" t="s">
        <v>24117</v>
      </c>
      <c r="I5396" s="8" t="s">
        <v>22</v>
      </c>
      <c r="J5396" s="8" t="s">
        <v>22</v>
      </c>
      <c r="K5396" s="8" t="s">
        <v>23</v>
      </c>
      <c r="L5396" s="8" t="s">
        <v>18681</v>
      </c>
      <c r="M5396" s="8" t="s">
        <v>18682</v>
      </c>
      <c r="N5396" s="8" t="s">
        <v>24123</v>
      </c>
      <c r="O5396" s="8">
        <f>13+58/60+37.9/3600</f>
        <v>13.977194444444445</v>
      </c>
      <c r="P5396" s="8" t="s">
        <v>24124</v>
      </c>
      <c r="Q5396" s="8">
        <f>+(37+25/60+31/3600)</f>
        <v>37.425277777777772</v>
      </c>
      <c r="R5396" s="8">
        <v>11.4</v>
      </c>
      <c r="S5396" s="8">
        <v>12.1</v>
      </c>
      <c r="T5396" s="8">
        <v>0.7</v>
      </c>
      <c r="U5396" s="8">
        <v>12.8</v>
      </c>
      <c r="V5396" s="8">
        <v>2.7</v>
      </c>
      <c r="W5396" s="8">
        <v>1.3</v>
      </c>
      <c r="X5396" s="8">
        <v>2</v>
      </c>
      <c r="Y5396" s="8" t="s">
        <v>24120</v>
      </c>
      <c r="Z5396" s="8" t="s">
        <v>24125</v>
      </c>
    </row>
    <row r="5397" spans="1:26" x14ac:dyDescent="0.2">
      <c r="A5397" s="8">
        <v>5396</v>
      </c>
      <c r="B5397" s="8" t="s">
        <v>24126</v>
      </c>
      <c r="C5397" s="8" t="s">
        <v>24126</v>
      </c>
      <c r="F5397" s="47" t="s">
        <v>57861</v>
      </c>
      <c r="G5397" s="8">
        <v>15</v>
      </c>
      <c r="H5397" s="8" t="s">
        <v>21</v>
      </c>
      <c r="I5397" s="8" t="s">
        <v>22</v>
      </c>
      <c r="J5397" s="8" t="s">
        <v>22</v>
      </c>
      <c r="K5397" s="8" t="s">
        <v>406</v>
      </c>
      <c r="L5397" s="8" t="s">
        <v>18681</v>
      </c>
      <c r="M5397" s="8" t="s">
        <v>18682</v>
      </c>
      <c r="N5397" s="8" t="s">
        <v>24030</v>
      </c>
      <c r="O5397" s="8">
        <f>13+56/60+55.9/3600</f>
        <v>13.94886111111111</v>
      </c>
      <c r="P5397" s="8" t="s">
        <v>24031</v>
      </c>
      <c r="Q5397" s="8">
        <f>+(29+9/60+51/3600)</f>
        <v>29.164166666666667</v>
      </c>
      <c r="R5397" s="8">
        <v>11.5</v>
      </c>
      <c r="S5397" s="8">
        <v>12.3</v>
      </c>
      <c r="T5397" s="8">
        <v>0.8</v>
      </c>
      <c r="U5397" s="8">
        <v>13.7</v>
      </c>
      <c r="V5397" s="8">
        <v>3.3</v>
      </c>
      <c r="W5397" s="8">
        <v>2.8</v>
      </c>
      <c r="X5397" s="8">
        <v>0</v>
      </c>
      <c r="Y5397" s="8" t="s">
        <v>24032</v>
      </c>
      <c r="Z5397" s="8" t="s">
        <v>24127</v>
      </c>
    </row>
    <row r="5398" spans="1:26" x14ac:dyDescent="0.2">
      <c r="A5398" s="8">
        <v>5397</v>
      </c>
      <c r="B5398" s="8" t="s">
        <v>24128</v>
      </c>
      <c r="C5398" s="8" t="s">
        <v>24128</v>
      </c>
      <c r="F5398" s="47"/>
      <c r="G5398" s="8">
        <v>16</v>
      </c>
      <c r="H5398" s="8" t="s">
        <v>21</v>
      </c>
      <c r="I5398" s="8" t="s">
        <v>22</v>
      </c>
      <c r="J5398" s="8" t="s">
        <v>22</v>
      </c>
      <c r="K5398" s="8" t="s">
        <v>118</v>
      </c>
      <c r="L5398" s="8" t="s">
        <v>16195</v>
      </c>
      <c r="M5398" s="8" t="s">
        <v>16196</v>
      </c>
      <c r="N5398" s="8" t="s">
        <v>24129</v>
      </c>
      <c r="O5398" s="8">
        <f>14+1/60+10.5/3600</f>
        <v>14.019583333333333</v>
      </c>
      <c r="P5398" s="8" t="s">
        <v>24130</v>
      </c>
      <c r="Q5398" s="8">
        <f>-(33+56/60+44/3600)</f>
        <v>-33.945555555555551</v>
      </c>
      <c r="R5398" s="8">
        <v>11.6</v>
      </c>
      <c r="S5398" s="8">
        <v>12.7</v>
      </c>
      <c r="T5398" s="8">
        <v>1.1000000000000001</v>
      </c>
      <c r="U5398" s="8">
        <v>11.9</v>
      </c>
      <c r="V5398" s="8">
        <v>1.4</v>
      </c>
      <c r="W5398" s="8">
        <v>1</v>
      </c>
      <c r="X5398" s="8">
        <v>60</v>
      </c>
      <c r="Y5398" s="8" t="s">
        <v>750</v>
      </c>
      <c r="Z5398" s="8" t="s">
        <v>751</v>
      </c>
    </row>
    <row r="5399" spans="1:26" x14ac:dyDescent="0.2">
      <c r="A5399" s="8">
        <v>5398</v>
      </c>
      <c r="B5399" s="8" t="s">
        <v>24131</v>
      </c>
      <c r="C5399" s="8" t="s">
        <v>24131</v>
      </c>
      <c r="F5399" s="47"/>
      <c r="G5399" s="8">
        <v>13</v>
      </c>
      <c r="H5399" s="8" t="s">
        <v>21</v>
      </c>
      <c r="I5399" s="8" t="s">
        <v>22</v>
      </c>
      <c r="J5399" s="8" t="s">
        <v>22</v>
      </c>
      <c r="K5399" s="8" t="s">
        <v>15809</v>
      </c>
      <c r="L5399" s="8" t="s">
        <v>16195</v>
      </c>
      <c r="M5399" s="8" t="s">
        <v>16196</v>
      </c>
      <c r="N5399" s="8" t="s">
        <v>24132</v>
      </c>
      <c r="O5399" s="8">
        <f>14+1/60+21.7/3600</f>
        <v>14.022694444444445</v>
      </c>
      <c r="P5399" s="8" t="s">
        <v>24133</v>
      </c>
      <c r="Q5399" s="8">
        <f>-(33+3/60+47/3600)</f>
        <v>-33.06305555555555</v>
      </c>
      <c r="R5399" s="8">
        <v>12.2</v>
      </c>
      <c r="S5399" s="8">
        <v>12.8</v>
      </c>
      <c r="T5399" s="8">
        <v>0.6</v>
      </c>
      <c r="U5399" s="8">
        <v>13.7</v>
      </c>
      <c r="V5399" s="8">
        <v>2.8</v>
      </c>
      <c r="W5399" s="8">
        <v>1.7</v>
      </c>
      <c r="X5399" s="8">
        <v>172</v>
      </c>
      <c r="Y5399" s="8" t="s">
        <v>16697</v>
      </c>
      <c r="Z5399" s="8" t="s">
        <v>8898</v>
      </c>
    </row>
    <row r="5400" spans="1:26" x14ac:dyDescent="0.2">
      <c r="A5400" s="8">
        <v>5399</v>
      </c>
      <c r="B5400" s="8" t="s">
        <v>24134</v>
      </c>
      <c r="C5400" s="8" t="s">
        <v>24134</v>
      </c>
      <c r="F5400" s="47" t="s">
        <v>57862</v>
      </c>
      <c r="G5400" s="8">
        <v>15</v>
      </c>
      <c r="H5400" s="8" t="s">
        <v>21</v>
      </c>
      <c r="I5400" s="8" t="s">
        <v>22</v>
      </c>
      <c r="J5400" s="8" t="s">
        <v>22</v>
      </c>
      <c r="K5400" s="8" t="s">
        <v>396</v>
      </c>
      <c r="L5400" s="8" t="s">
        <v>18681</v>
      </c>
      <c r="M5400" s="8" t="s">
        <v>18682</v>
      </c>
      <c r="N5400" s="8" t="s">
        <v>24135</v>
      </c>
      <c r="O5400" s="8">
        <f>13+59/60+31.2/3600</f>
        <v>13.991999999999999</v>
      </c>
      <c r="P5400" s="8" t="s">
        <v>24136</v>
      </c>
      <c r="Q5400" s="8">
        <f>+(34+46/60+24/3600)</f>
        <v>34.773333333333333</v>
      </c>
      <c r="R5400" s="8">
        <v>13.9</v>
      </c>
      <c r="S5400" s="8">
        <v>14.7</v>
      </c>
      <c r="T5400" s="8">
        <v>0.8</v>
      </c>
      <c r="U5400" s="8">
        <v>12.6</v>
      </c>
      <c r="V5400" s="8">
        <v>1.2</v>
      </c>
      <c r="W5400" s="8">
        <v>0.3</v>
      </c>
      <c r="X5400" s="8">
        <v>88</v>
      </c>
      <c r="Y5400" s="8" t="s">
        <v>24137</v>
      </c>
      <c r="Z5400" s="8" t="s">
        <v>24138</v>
      </c>
    </row>
    <row r="5401" spans="1:26" x14ac:dyDescent="0.2">
      <c r="A5401" s="8">
        <v>5400</v>
      </c>
      <c r="B5401" s="8" t="s">
        <v>24139</v>
      </c>
      <c r="C5401" s="8" t="s">
        <v>24139</v>
      </c>
      <c r="F5401" s="47" t="s">
        <v>57863</v>
      </c>
      <c r="G5401" s="8">
        <v>15</v>
      </c>
      <c r="H5401" s="8" t="s">
        <v>21</v>
      </c>
      <c r="I5401" s="8" t="s">
        <v>22</v>
      </c>
      <c r="J5401" s="8" t="s">
        <v>22</v>
      </c>
      <c r="K5401" s="8" t="s">
        <v>58</v>
      </c>
      <c r="L5401" s="8" t="s">
        <v>17287</v>
      </c>
      <c r="M5401" s="8" t="s">
        <v>17288</v>
      </c>
      <c r="N5401" s="8" t="s">
        <v>24140</v>
      </c>
      <c r="O5401" s="8">
        <f>14+0/60+37.2/3600</f>
        <v>14.010333333333334</v>
      </c>
      <c r="P5401" s="8" t="s">
        <v>24141</v>
      </c>
      <c r="Q5401" s="8">
        <f>-(2+51/60+27/3600)</f>
        <v>-2.8574999999999999</v>
      </c>
      <c r="R5401" s="8">
        <v>12.9</v>
      </c>
      <c r="S5401" s="8">
        <v>13.9</v>
      </c>
      <c r="T5401" s="8">
        <v>1</v>
      </c>
      <c r="U5401" s="8">
        <v>13.1</v>
      </c>
      <c r="V5401" s="8">
        <v>1.5</v>
      </c>
      <c r="W5401" s="8">
        <v>0.9</v>
      </c>
      <c r="X5401" s="8">
        <v>80</v>
      </c>
      <c r="Y5401" s="8" t="s">
        <v>20741</v>
      </c>
      <c r="Z5401" s="8" t="s">
        <v>20742</v>
      </c>
    </row>
    <row r="5402" spans="1:26" x14ac:dyDescent="0.2">
      <c r="A5402" s="8">
        <v>5401</v>
      </c>
      <c r="B5402" s="8" t="s">
        <v>24142</v>
      </c>
      <c r="C5402" s="8" t="s">
        <v>24142</v>
      </c>
      <c r="F5402" s="47" t="s">
        <v>57864</v>
      </c>
      <c r="G5402" s="8">
        <v>15</v>
      </c>
      <c r="H5402" s="8" t="s">
        <v>21</v>
      </c>
      <c r="I5402" s="8" t="s">
        <v>22</v>
      </c>
      <c r="J5402" s="8" t="s">
        <v>22</v>
      </c>
      <c r="K5402" s="8" t="s">
        <v>91</v>
      </c>
      <c r="L5402" s="8" t="s">
        <v>18681</v>
      </c>
      <c r="M5402" s="8" t="s">
        <v>18682</v>
      </c>
      <c r="N5402" s="8" t="s">
        <v>24143</v>
      </c>
      <c r="O5402" s="8">
        <f>13+59/60+43.5/3600</f>
        <v>13.995416666666666</v>
      </c>
      <c r="P5402" s="8" t="s">
        <v>24144</v>
      </c>
      <c r="Q5402" s="8">
        <f>+(36+14/60+17/3600)</f>
        <v>36.238055555555555</v>
      </c>
      <c r="R5402" s="8">
        <v>13.7</v>
      </c>
      <c r="S5402" s="8">
        <v>14.6</v>
      </c>
      <c r="T5402" s="8">
        <v>0.9</v>
      </c>
      <c r="U5402" s="8">
        <v>12.7</v>
      </c>
      <c r="V5402" s="8">
        <v>1.5</v>
      </c>
      <c r="W5402" s="8">
        <v>0.3</v>
      </c>
      <c r="X5402" s="8">
        <v>81</v>
      </c>
      <c r="Y5402" s="8" t="s">
        <v>24145</v>
      </c>
      <c r="Z5402" s="8" t="s">
        <v>24146</v>
      </c>
    </row>
    <row r="5403" spans="1:26" x14ac:dyDescent="0.2">
      <c r="A5403" s="8">
        <v>5402</v>
      </c>
      <c r="B5403" s="8" t="s">
        <v>24147</v>
      </c>
      <c r="C5403" s="8" t="s">
        <v>24147</v>
      </c>
      <c r="F5403" s="47" t="s">
        <v>57865</v>
      </c>
      <c r="G5403" s="8">
        <v>15</v>
      </c>
      <c r="H5403" s="8" t="s">
        <v>21</v>
      </c>
      <c r="I5403" s="8" t="s">
        <v>22</v>
      </c>
      <c r="J5403" s="8" t="s">
        <v>22</v>
      </c>
      <c r="K5403" s="8" t="s">
        <v>476</v>
      </c>
      <c r="L5403" s="8" t="s">
        <v>12015</v>
      </c>
      <c r="M5403" s="8" t="s">
        <v>12016</v>
      </c>
      <c r="N5403" s="8" t="s">
        <v>24148</v>
      </c>
      <c r="O5403" s="8">
        <f>13+58/60+16.5/3600</f>
        <v>13.97125</v>
      </c>
      <c r="P5403" s="8" t="s">
        <v>24149</v>
      </c>
      <c r="Q5403" s="8">
        <f>+(59+48/60+52/3600)</f>
        <v>59.81444444444444</v>
      </c>
      <c r="R5403" s="8">
        <v>13.8</v>
      </c>
      <c r="S5403" s="8">
        <v>14.7</v>
      </c>
      <c r="T5403" s="8">
        <v>0.9</v>
      </c>
      <c r="U5403" s="8">
        <v>12.6</v>
      </c>
      <c r="V5403" s="8">
        <v>1.3</v>
      </c>
      <c r="W5403" s="8">
        <v>0.3</v>
      </c>
      <c r="X5403" s="8">
        <v>167</v>
      </c>
      <c r="Y5403" s="8" t="s">
        <v>421</v>
      </c>
      <c r="Z5403" s="8" t="s">
        <v>422</v>
      </c>
    </row>
    <row r="5404" spans="1:26" x14ac:dyDescent="0.2">
      <c r="A5404" s="8">
        <v>5403</v>
      </c>
      <c r="B5404" s="8" t="s">
        <v>24150</v>
      </c>
      <c r="C5404" s="8" t="s">
        <v>24150</v>
      </c>
      <c r="F5404" s="47" t="s">
        <v>57866</v>
      </c>
      <c r="G5404" s="8">
        <v>15</v>
      </c>
      <c r="H5404" s="8" t="s">
        <v>21</v>
      </c>
      <c r="I5404" s="8" t="s">
        <v>22</v>
      </c>
      <c r="J5404" s="8" t="s">
        <v>22</v>
      </c>
      <c r="K5404" s="8" t="s">
        <v>218</v>
      </c>
      <c r="L5404" s="8" t="s">
        <v>18681</v>
      </c>
      <c r="M5404" s="8" t="s">
        <v>18682</v>
      </c>
      <c r="N5404" s="8" t="s">
        <v>24151</v>
      </c>
      <c r="O5404" s="8">
        <f>13+59/60+50.9/3600</f>
        <v>13.997472222222221</v>
      </c>
      <c r="P5404" s="8" t="s">
        <v>24152</v>
      </c>
      <c r="Q5404" s="8">
        <f>+(38+10/60+55/3600)</f>
        <v>38.18194444444444</v>
      </c>
      <c r="R5404" s="8">
        <v>13.6</v>
      </c>
      <c r="S5404" s="8">
        <v>14.4</v>
      </c>
      <c r="T5404" s="8">
        <v>0.8</v>
      </c>
      <c r="U5404" s="8">
        <v>14.6</v>
      </c>
      <c r="V5404" s="8">
        <v>3.1</v>
      </c>
      <c r="W5404" s="8">
        <v>0.7</v>
      </c>
      <c r="X5404" s="8">
        <v>145</v>
      </c>
      <c r="Y5404" s="8" t="s">
        <v>5496</v>
      </c>
      <c r="Z5404" s="8" t="s">
        <v>5497</v>
      </c>
    </row>
    <row r="5405" spans="1:26" x14ac:dyDescent="0.2">
      <c r="A5405" s="8">
        <v>5404</v>
      </c>
      <c r="B5405" s="8" t="s">
        <v>24153</v>
      </c>
      <c r="C5405" s="8" t="s">
        <v>24153</v>
      </c>
      <c r="F5405" s="47"/>
      <c r="G5405" s="8">
        <v>18</v>
      </c>
      <c r="H5405" s="8" t="s">
        <v>21</v>
      </c>
      <c r="I5405" s="8" t="s">
        <v>72</v>
      </c>
      <c r="J5405" s="8" t="s">
        <v>72</v>
      </c>
      <c r="K5405" s="8" t="s">
        <v>1802</v>
      </c>
      <c r="L5405" s="8" t="s">
        <v>17287</v>
      </c>
      <c r="M5405" s="8" t="s">
        <v>17288</v>
      </c>
      <c r="N5405" s="8" t="s">
        <v>24154</v>
      </c>
      <c r="O5405" s="8">
        <f>14+1/60+7.6/3600</f>
        <v>14.018777777777778</v>
      </c>
      <c r="P5405" s="8" t="s">
        <v>24155</v>
      </c>
      <c r="Q5405" s="8">
        <f>+(0+5/60+10/3600)</f>
        <v>8.611111111111111E-2</v>
      </c>
      <c r="R5405" s="8">
        <v>99</v>
      </c>
      <c r="S5405" s="8">
        <v>99</v>
      </c>
      <c r="T5405" s="8">
        <v>99</v>
      </c>
      <c r="U5405" s="8">
        <v>99</v>
      </c>
      <c r="Y5405" s="8" t="s">
        <v>21</v>
      </c>
      <c r="Z5405" s="8" t="s">
        <v>24156</v>
      </c>
    </row>
    <row r="5406" spans="1:26" x14ac:dyDescent="0.2">
      <c r="A5406" s="8">
        <v>5405</v>
      </c>
      <c r="B5406" s="8" t="s">
        <v>24157</v>
      </c>
      <c r="C5406" s="8" t="s">
        <v>24157</v>
      </c>
      <c r="F5406" s="47"/>
      <c r="G5406" s="8">
        <v>19</v>
      </c>
      <c r="H5406" s="8" t="s">
        <v>21</v>
      </c>
      <c r="I5406" s="8" t="s">
        <v>22</v>
      </c>
      <c r="J5406" s="8" t="s">
        <v>22</v>
      </c>
      <c r="K5406" s="8" t="s">
        <v>160</v>
      </c>
      <c r="L5406" s="8" t="s">
        <v>22476</v>
      </c>
      <c r="M5406" s="8" t="s">
        <v>22477</v>
      </c>
      <c r="N5406" s="8" t="s">
        <v>24158</v>
      </c>
      <c r="O5406" s="8">
        <f>14+1/60+9.5/3600</f>
        <v>14.019305555555556</v>
      </c>
      <c r="P5406" s="8" t="s">
        <v>24159</v>
      </c>
      <c r="Q5406" s="8">
        <f>+(7+42/60+7/3600)</f>
        <v>7.7019444444444449</v>
      </c>
      <c r="R5406" s="8">
        <v>13.5</v>
      </c>
      <c r="S5406" s="8">
        <v>14.2</v>
      </c>
      <c r="T5406" s="8">
        <v>0.7</v>
      </c>
      <c r="U5406" s="8">
        <v>12.8</v>
      </c>
      <c r="V5406" s="8">
        <v>0.8</v>
      </c>
      <c r="W5406" s="8">
        <v>0.8</v>
      </c>
      <c r="Y5406" s="8" t="s">
        <v>20454</v>
      </c>
      <c r="Z5406" s="8" t="s">
        <v>20455</v>
      </c>
    </row>
    <row r="5407" spans="1:26" x14ac:dyDescent="0.2">
      <c r="A5407" s="8">
        <v>5406</v>
      </c>
      <c r="B5407" s="8" t="s">
        <v>24160</v>
      </c>
      <c r="C5407" s="8" t="s">
        <v>24160</v>
      </c>
      <c r="F5407" s="47" t="s">
        <v>57867</v>
      </c>
      <c r="G5407" s="8">
        <v>13</v>
      </c>
      <c r="H5407" s="8" t="s">
        <v>21</v>
      </c>
      <c r="I5407" s="8" t="s">
        <v>22</v>
      </c>
      <c r="J5407" s="8" t="s">
        <v>22</v>
      </c>
      <c r="K5407" s="8" t="s">
        <v>85</v>
      </c>
      <c r="L5407" s="8" t="s">
        <v>18681</v>
      </c>
      <c r="M5407" s="8" t="s">
        <v>18682</v>
      </c>
      <c r="N5407" s="8" t="s">
        <v>24161</v>
      </c>
      <c r="O5407" s="8">
        <f>14+0/60+20.1/3600</f>
        <v>14.005583333333334</v>
      </c>
      <c r="P5407" s="8" t="s">
        <v>24162</v>
      </c>
      <c r="Q5407" s="8">
        <f>+(38+54/60+55/3600)</f>
        <v>38.915277777777774</v>
      </c>
      <c r="R5407" s="8">
        <v>12.3</v>
      </c>
      <c r="S5407" s="8">
        <v>13.1</v>
      </c>
      <c r="T5407" s="8">
        <v>0.8</v>
      </c>
      <c r="U5407" s="8">
        <v>13.3</v>
      </c>
      <c r="V5407" s="8">
        <v>1.9</v>
      </c>
      <c r="W5407" s="8">
        <v>1.4</v>
      </c>
      <c r="X5407" s="8">
        <v>120</v>
      </c>
      <c r="Y5407" s="8" t="s">
        <v>13997</v>
      </c>
      <c r="Z5407" s="8" t="s">
        <v>13998</v>
      </c>
    </row>
    <row r="5408" spans="1:26" x14ac:dyDescent="0.2">
      <c r="A5408" s="8">
        <v>5407</v>
      </c>
      <c r="B5408" s="8" t="s">
        <v>24163</v>
      </c>
      <c r="C5408" s="8" t="s">
        <v>24163</v>
      </c>
      <c r="F5408" s="47" t="s">
        <v>57868</v>
      </c>
      <c r="G5408" s="8">
        <v>15</v>
      </c>
      <c r="H5408" s="8" t="s">
        <v>21</v>
      </c>
      <c r="I5408" s="8" t="s">
        <v>22</v>
      </c>
      <c r="J5408" s="8" t="s">
        <v>22</v>
      </c>
      <c r="K5408" s="8" t="s">
        <v>818</v>
      </c>
      <c r="L5408" s="8" t="s">
        <v>18681</v>
      </c>
      <c r="M5408" s="8" t="s">
        <v>18682</v>
      </c>
      <c r="N5408" s="8" t="s">
        <v>24164</v>
      </c>
      <c r="O5408" s="8">
        <f>14+0/60+50/3600</f>
        <v>14.013888888888889</v>
      </c>
      <c r="P5408" s="8" t="s">
        <v>24165</v>
      </c>
      <c r="Q5408" s="8">
        <f>+(39+9/60+24/3600)</f>
        <v>39.156666666666666</v>
      </c>
      <c r="R5408" s="8">
        <v>13.2</v>
      </c>
      <c r="S5408" s="8">
        <v>14.2</v>
      </c>
      <c r="T5408" s="8">
        <v>1</v>
      </c>
      <c r="U5408" s="8">
        <v>12.8</v>
      </c>
      <c r="V5408" s="8">
        <v>1.1000000000000001</v>
      </c>
      <c r="W5408" s="8">
        <v>0.6</v>
      </c>
      <c r="X5408" s="8">
        <v>100</v>
      </c>
      <c r="Y5408" s="8" t="s">
        <v>24166</v>
      </c>
      <c r="Z5408" s="8" t="s">
        <v>24167</v>
      </c>
    </row>
    <row r="5409" spans="1:26" x14ac:dyDescent="0.2">
      <c r="A5409" s="8">
        <v>5408</v>
      </c>
      <c r="B5409" s="8" t="s">
        <v>24168</v>
      </c>
      <c r="C5409" s="8" t="s">
        <v>24168</v>
      </c>
      <c r="F5409" s="47"/>
      <c r="G5409" s="8">
        <v>16</v>
      </c>
      <c r="H5409" s="8" t="s">
        <v>21</v>
      </c>
      <c r="I5409" s="8" t="s">
        <v>22</v>
      </c>
      <c r="J5409" s="8" t="s">
        <v>22</v>
      </c>
      <c r="K5409" s="8" t="s">
        <v>107</v>
      </c>
      <c r="L5409" s="8" t="s">
        <v>16195</v>
      </c>
      <c r="M5409" s="8" t="s">
        <v>16196</v>
      </c>
      <c r="N5409" s="8" t="s">
        <v>24169</v>
      </c>
      <c r="O5409" s="8">
        <f>14+3/60+21/3600</f>
        <v>14.055833333333334</v>
      </c>
      <c r="P5409" s="8" t="s">
        <v>24170</v>
      </c>
      <c r="Q5409" s="8">
        <f>-(41+22/60+43/3600)</f>
        <v>-41.378611111111113</v>
      </c>
      <c r="R5409" s="8">
        <v>11.6</v>
      </c>
      <c r="S5409" s="8">
        <v>12.2</v>
      </c>
      <c r="T5409" s="8">
        <v>0.6</v>
      </c>
      <c r="U5409" s="8">
        <v>11.8</v>
      </c>
      <c r="V5409" s="8">
        <v>1.9</v>
      </c>
      <c r="W5409" s="8">
        <v>1</v>
      </c>
      <c r="X5409" s="8">
        <v>62</v>
      </c>
      <c r="Y5409" s="8" t="s">
        <v>24171</v>
      </c>
      <c r="Z5409" s="8" t="s">
        <v>24172</v>
      </c>
    </row>
    <row r="5410" spans="1:26" x14ac:dyDescent="0.2">
      <c r="A5410" s="8">
        <v>5409</v>
      </c>
      <c r="B5410" s="8" t="s">
        <v>24173</v>
      </c>
      <c r="C5410" s="8" t="s">
        <v>24173</v>
      </c>
      <c r="F5410" s="47"/>
      <c r="G5410" s="8">
        <v>19</v>
      </c>
      <c r="H5410" s="8" t="s">
        <v>21</v>
      </c>
      <c r="I5410" s="8" t="s">
        <v>22</v>
      </c>
      <c r="J5410" s="8" t="s">
        <v>22</v>
      </c>
      <c r="K5410" s="8" t="s">
        <v>218</v>
      </c>
      <c r="L5410" s="8" t="s">
        <v>22476</v>
      </c>
      <c r="M5410" s="8" t="s">
        <v>22477</v>
      </c>
      <c r="N5410" s="8" t="s">
        <v>24174</v>
      </c>
      <c r="O5410" s="8">
        <f>14+1/60+46/3600</f>
        <v>14.029444444444445</v>
      </c>
      <c r="P5410" s="8" t="s">
        <v>24175</v>
      </c>
      <c r="Q5410" s="8">
        <f>+(9+29/60+26/3600)</f>
        <v>9.4905555555555541</v>
      </c>
      <c r="R5410" s="8">
        <v>13.3</v>
      </c>
      <c r="S5410" s="8">
        <v>14.1</v>
      </c>
      <c r="T5410" s="8">
        <v>0.8</v>
      </c>
      <c r="U5410" s="8">
        <v>13.8</v>
      </c>
      <c r="V5410" s="8">
        <v>1.7</v>
      </c>
      <c r="W5410" s="8">
        <v>1.1000000000000001</v>
      </c>
      <c r="X5410" s="8">
        <v>50</v>
      </c>
      <c r="Y5410" s="8" t="s">
        <v>21</v>
      </c>
      <c r="Z5410" s="8" t="s">
        <v>24176</v>
      </c>
    </row>
    <row r="5411" spans="1:26" x14ac:dyDescent="0.2">
      <c r="A5411" s="8">
        <v>5410</v>
      </c>
      <c r="B5411" s="8" t="s">
        <v>24177</v>
      </c>
      <c r="C5411" s="8" t="s">
        <v>24177</v>
      </c>
      <c r="F5411" s="47" t="s">
        <v>57869</v>
      </c>
      <c r="G5411" s="8">
        <v>15</v>
      </c>
      <c r="H5411" s="8" t="s">
        <v>21</v>
      </c>
      <c r="I5411" s="8" t="s">
        <v>22</v>
      </c>
      <c r="J5411" s="8" t="s">
        <v>22</v>
      </c>
      <c r="K5411" s="8" t="s">
        <v>1445</v>
      </c>
      <c r="L5411" s="8" t="s">
        <v>18681</v>
      </c>
      <c r="M5411" s="8" t="s">
        <v>18682</v>
      </c>
      <c r="N5411" s="8" t="s">
        <v>24178</v>
      </c>
      <c r="O5411" s="8">
        <f>14+0/60+54.5/3600</f>
        <v>14.015138888888888</v>
      </c>
      <c r="P5411" s="8" t="s">
        <v>24179</v>
      </c>
      <c r="Q5411" s="8">
        <f>+(40+59/60+17/3600)</f>
        <v>40.988055555555555</v>
      </c>
      <c r="R5411" s="8">
        <v>13.1</v>
      </c>
      <c r="S5411" s="8">
        <v>13.9</v>
      </c>
      <c r="T5411" s="8">
        <v>0.8</v>
      </c>
      <c r="U5411" s="8">
        <v>13.2</v>
      </c>
      <c r="V5411" s="8">
        <v>1.5</v>
      </c>
      <c r="W5411" s="8">
        <v>0.8</v>
      </c>
      <c r="X5411" s="8">
        <v>75</v>
      </c>
      <c r="Y5411" s="8" t="s">
        <v>24180</v>
      </c>
      <c r="Z5411" s="8" t="s">
        <v>24181</v>
      </c>
    </row>
    <row r="5412" spans="1:26" x14ac:dyDescent="0.2">
      <c r="A5412" s="8">
        <v>5411</v>
      </c>
      <c r="B5412" s="8" t="s">
        <v>24182</v>
      </c>
      <c r="C5412" s="8" t="s">
        <v>24182</v>
      </c>
      <c r="F5412" s="47"/>
      <c r="G5412" s="8">
        <v>19</v>
      </c>
      <c r="H5412" s="8" t="s">
        <v>21</v>
      </c>
      <c r="I5412" s="8" t="s">
        <v>22</v>
      </c>
      <c r="J5412" s="8" t="s">
        <v>22</v>
      </c>
      <c r="K5412" s="8" t="s">
        <v>58</v>
      </c>
      <c r="L5412" s="8" t="s">
        <v>22476</v>
      </c>
      <c r="M5412" s="8" t="s">
        <v>22477</v>
      </c>
      <c r="N5412" s="8" t="s">
        <v>24183</v>
      </c>
      <c r="O5412" s="8">
        <f>14+1/60+59.1/3600</f>
        <v>14.033083333333334</v>
      </c>
      <c r="P5412" s="8" t="s">
        <v>24184</v>
      </c>
      <c r="Q5412" s="8">
        <f>+(8+56/60+16/3600)</f>
        <v>8.9377777777777787</v>
      </c>
      <c r="R5412" s="8">
        <v>13.3</v>
      </c>
      <c r="S5412" s="8">
        <v>14.4</v>
      </c>
      <c r="T5412" s="8">
        <v>1.1000000000000001</v>
      </c>
      <c r="U5412" s="8">
        <v>13.3</v>
      </c>
      <c r="V5412" s="8">
        <v>1.4</v>
      </c>
      <c r="W5412" s="8">
        <v>0.8</v>
      </c>
      <c r="X5412" s="8">
        <v>140</v>
      </c>
      <c r="Y5412" s="8" t="s">
        <v>22704</v>
      </c>
      <c r="Z5412" s="8" t="s">
        <v>22705</v>
      </c>
    </row>
    <row r="5413" spans="1:26" x14ac:dyDescent="0.2">
      <c r="A5413" s="8">
        <v>5412</v>
      </c>
      <c r="B5413" s="8" t="s">
        <v>24185</v>
      </c>
      <c r="C5413" s="8" t="s">
        <v>24185</v>
      </c>
      <c r="F5413" s="47"/>
      <c r="G5413" s="8">
        <v>19</v>
      </c>
      <c r="H5413" s="8" t="s">
        <v>21</v>
      </c>
      <c r="I5413" s="8" t="s">
        <v>22</v>
      </c>
      <c r="J5413" s="8" t="s">
        <v>22</v>
      </c>
      <c r="K5413" s="8" t="s">
        <v>58</v>
      </c>
      <c r="L5413" s="8" t="s">
        <v>14586</v>
      </c>
      <c r="M5413" s="8" t="s">
        <v>14587</v>
      </c>
      <c r="N5413" s="8" t="s">
        <v>24186</v>
      </c>
      <c r="O5413" s="8">
        <f>13+57/60+13.4/3600</f>
        <v>13.953722222222222</v>
      </c>
      <c r="P5413" s="8" t="s">
        <v>24187</v>
      </c>
      <c r="Q5413" s="8">
        <f>+(73+37/60+2/3600)</f>
        <v>73.61722222222221</v>
      </c>
      <c r="R5413" s="8">
        <v>13.4</v>
      </c>
      <c r="S5413" s="8">
        <v>14.4</v>
      </c>
      <c r="T5413" s="8">
        <v>1</v>
      </c>
      <c r="U5413" s="8">
        <v>13.5</v>
      </c>
      <c r="V5413" s="8">
        <v>1.2</v>
      </c>
      <c r="W5413" s="8">
        <v>1</v>
      </c>
      <c r="X5413" s="8">
        <v>20</v>
      </c>
      <c r="Y5413" s="8" t="s">
        <v>24188</v>
      </c>
      <c r="Z5413" s="8" t="s">
        <v>24189</v>
      </c>
    </row>
    <row r="5414" spans="1:26" x14ac:dyDescent="0.2">
      <c r="A5414" s="8">
        <v>5413</v>
      </c>
      <c r="B5414" s="8" t="s">
        <v>24190</v>
      </c>
      <c r="C5414" s="8" t="s">
        <v>24190</v>
      </c>
      <c r="F5414" s="47"/>
      <c r="G5414" s="8">
        <v>16</v>
      </c>
      <c r="H5414" s="8" t="s">
        <v>21</v>
      </c>
      <c r="I5414" s="8" t="s">
        <v>22</v>
      </c>
      <c r="J5414" s="8" t="s">
        <v>22</v>
      </c>
      <c r="K5414" s="8" t="s">
        <v>1136</v>
      </c>
      <c r="L5414" s="8" t="s">
        <v>13395</v>
      </c>
      <c r="M5414" s="8" t="s">
        <v>13396</v>
      </c>
      <c r="N5414" s="8" t="s">
        <v>24191</v>
      </c>
      <c r="O5414" s="8">
        <f>13+57/60+53.5/3600</f>
        <v>13.964861111111111</v>
      </c>
      <c r="P5414" s="8" t="s">
        <v>24192</v>
      </c>
      <c r="Q5414" s="8">
        <f>+(64+54/60+41/3600)</f>
        <v>64.911388888888894</v>
      </c>
      <c r="R5414" s="8">
        <v>13.8</v>
      </c>
      <c r="S5414" s="8">
        <v>14.8</v>
      </c>
      <c r="T5414" s="8">
        <v>1</v>
      </c>
      <c r="U5414" s="8">
        <v>13.9</v>
      </c>
      <c r="V5414" s="8">
        <v>1.1000000000000001</v>
      </c>
      <c r="W5414" s="8">
        <v>0.9</v>
      </c>
      <c r="X5414" s="8">
        <v>45</v>
      </c>
      <c r="Y5414" s="8" t="s">
        <v>21</v>
      </c>
      <c r="Z5414" s="8" t="s">
        <v>24193</v>
      </c>
    </row>
    <row r="5415" spans="1:26" x14ac:dyDescent="0.2">
      <c r="A5415" s="8">
        <v>5414</v>
      </c>
      <c r="B5415" s="8" t="s">
        <v>24194</v>
      </c>
      <c r="C5415" s="8" t="s">
        <v>24194</v>
      </c>
      <c r="F5415" s="47"/>
      <c r="G5415" s="8">
        <v>19</v>
      </c>
      <c r="H5415" s="8" t="s">
        <v>21</v>
      </c>
      <c r="I5415" s="8" t="s">
        <v>22</v>
      </c>
      <c r="J5415" s="8" t="s">
        <v>22</v>
      </c>
      <c r="K5415" s="8" t="s">
        <v>1174</v>
      </c>
      <c r="L5415" s="8" t="s">
        <v>22476</v>
      </c>
      <c r="M5415" s="8" t="s">
        <v>22477</v>
      </c>
      <c r="N5415" s="8" t="s">
        <v>24195</v>
      </c>
      <c r="O5415" s="8">
        <f>14+2/60+3.5/3600</f>
        <v>14.034305555555555</v>
      </c>
      <c r="P5415" s="8" t="s">
        <v>24196</v>
      </c>
      <c r="Q5415" s="8">
        <f>+(9+55/60+46/3600)</f>
        <v>9.9294444444444441</v>
      </c>
      <c r="R5415" s="8">
        <v>12.4</v>
      </c>
      <c r="S5415" s="8">
        <v>13.4</v>
      </c>
      <c r="T5415" s="8">
        <v>1</v>
      </c>
      <c r="U5415" s="8">
        <v>12</v>
      </c>
      <c r="V5415" s="8">
        <v>1</v>
      </c>
      <c r="W5415" s="8">
        <v>0.8</v>
      </c>
      <c r="X5415" s="8">
        <v>172</v>
      </c>
      <c r="Y5415" s="8" t="s">
        <v>21</v>
      </c>
      <c r="Z5415" s="8" t="s">
        <v>24197</v>
      </c>
    </row>
    <row r="5416" spans="1:26" x14ac:dyDescent="0.2">
      <c r="A5416" s="8">
        <v>5415</v>
      </c>
      <c r="B5416" s="8" t="s">
        <v>24198</v>
      </c>
      <c r="C5416" s="8" t="s">
        <v>24198</v>
      </c>
      <c r="F5416" s="47"/>
      <c r="G5416" s="8">
        <v>19</v>
      </c>
      <c r="H5416" s="8" t="s">
        <v>21</v>
      </c>
      <c r="I5416" s="8" t="s">
        <v>22</v>
      </c>
      <c r="J5416" s="8" t="s">
        <v>22</v>
      </c>
      <c r="K5416" s="8" t="s">
        <v>449</v>
      </c>
      <c r="L5416" s="8" t="s">
        <v>14586</v>
      </c>
      <c r="M5416" s="8" t="s">
        <v>14587</v>
      </c>
      <c r="N5416" s="8" t="s">
        <v>24199</v>
      </c>
      <c r="O5416" s="8">
        <f>13+56/60+56.8/3600</f>
        <v>13.949111111111112</v>
      </c>
      <c r="P5416" s="8" t="s">
        <v>24200</v>
      </c>
      <c r="Q5416" s="8">
        <f>+(70+45/60+18/3600)</f>
        <v>70.754999999999995</v>
      </c>
      <c r="R5416" s="8">
        <v>14.4</v>
      </c>
      <c r="S5416" s="8">
        <v>15.2</v>
      </c>
      <c r="T5416" s="8">
        <v>0.8</v>
      </c>
      <c r="U5416" s="8">
        <v>13.3</v>
      </c>
      <c r="V5416" s="8">
        <v>1</v>
      </c>
      <c r="W5416" s="8">
        <v>0.6</v>
      </c>
      <c r="X5416" s="8">
        <v>126</v>
      </c>
      <c r="Y5416" s="8" t="s">
        <v>24201</v>
      </c>
      <c r="Z5416" s="8" t="s">
        <v>24202</v>
      </c>
    </row>
    <row r="5417" spans="1:26" x14ac:dyDescent="0.2">
      <c r="A5417" s="8">
        <v>5416</v>
      </c>
      <c r="B5417" s="8" t="s">
        <v>24203</v>
      </c>
      <c r="C5417" s="8" t="s">
        <v>24203</v>
      </c>
      <c r="F5417" s="47" t="s">
        <v>57870</v>
      </c>
      <c r="G5417" s="8">
        <v>14</v>
      </c>
      <c r="H5417" s="8" t="s">
        <v>24204</v>
      </c>
      <c r="I5417" s="8" t="s">
        <v>22</v>
      </c>
      <c r="J5417" s="8" t="s">
        <v>22</v>
      </c>
      <c r="K5417" s="8" t="s">
        <v>160</v>
      </c>
      <c r="L5417" s="8" t="s">
        <v>22476</v>
      </c>
      <c r="M5417" s="8" t="s">
        <v>22477</v>
      </c>
      <c r="N5417" s="8" t="s">
        <v>24205</v>
      </c>
      <c r="O5417" s="8">
        <f>14+2/60+11.4/3600</f>
        <v>14.0365</v>
      </c>
      <c r="P5417" s="8" t="s">
        <v>24206</v>
      </c>
      <c r="Q5417" s="8">
        <f>+(9+26/60+24/3600)</f>
        <v>9.44</v>
      </c>
      <c r="R5417" s="8">
        <v>13.3</v>
      </c>
      <c r="S5417" s="8">
        <v>14</v>
      </c>
      <c r="T5417" s="8">
        <v>0.7</v>
      </c>
      <c r="U5417" s="8">
        <v>13.3</v>
      </c>
      <c r="V5417" s="8">
        <v>1.4</v>
      </c>
      <c r="W5417" s="8">
        <v>0.8</v>
      </c>
      <c r="X5417" s="8">
        <v>110</v>
      </c>
      <c r="Y5417" s="8" t="s">
        <v>22720</v>
      </c>
      <c r="Z5417" s="8" t="s">
        <v>22721</v>
      </c>
    </row>
    <row r="5418" spans="1:26" x14ac:dyDescent="0.2">
      <c r="A5418" s="8">
        <v>5417</v>
      </c>
      <c r="B5418" s="8" t="s">
        <v>24207</v>
      </c>
      <c r="C5418" s="8" t="s">
        <v>24207</v>
      </c>
      <c r="F5418" s="47" t="s">
        <v>57871</v>
      </c>
      <c r="G5418" s="8">
        <v>15</v>
      </c>
      <c r="H5418" s="8" t="s">
        <v>21</v>
      </c>
      <c r="I5418" s="8" t="s">
        <v>22</v>
      </c>
      <c r="J5418" s="8" t="s">
        <v>22</v>
      </c>
      <c r="K5418" s="8" t="s">
        <v>91</v>
      </c>
      <c r="L5418" s="8" t="s">
        <v>22476</v>
      </c>
      <c r="M5418" s="8" t="s">
        <v>22477</v>
      </c>
      <c r="N5418" s="8" t="s">
        <v>24208</v>
      </c>
      <c r="O5418" s="8">
        <f>14+2/60+13/3600</f>
        <v>14.036944444444444</v>
      </c>
      <c r="P5418" s="8" t="s">
        <v>24209</v>
      </c>
      <c r="Q5418" s="8">
        <f>+(8+2/60+12/3600)</f>
        <v>8.0366666666666671</v>
      </c>
      <c r="R5418" s="8">
        <v>13</v>
      </c>
      <c r="S5418" s="8">
        <v>13.9</v>
      </c>
      <c r="T5418" s="8">
        <v>0.9</v>
      </c>
      <c r="U5418" s="8">
        <v>12.7</v>
      </c>
      <c r="V5418" s="8">
        <v>1.5</v>
      </c>
      <c r="W5418" s="8">
        <v>0.6</v>
      </c>
      <c r="X5418" s="8">
        <v>120</v>
      </c>
      <c r="Y5418" s="8" t="s">
        <v>24210</v>
      </c>
      <c r="Z5418" s="8" t="s">
        <v>24211</v>
      </c>
    </row>
    <row r="5419" spans="1:26" x14ac:dyDescent="0.2">
      <c r="A5419" s="8">
        <v>5418</v>
      </c>
      <c r="B5419" s="8" t="s">
        <v>24212</v>
      </c>
      <c r="C5419" s="8" t="s">
        <v>24212</v>
      </c>
      <c r="F5419" s="47"/>
      <c r="G5419" s="8">
        <v>16</v>
      </c>
      <c r="H5419" s="8" t="s">
        <v>21</v>
      </c>
      <c r="I5419" s="8" t="s">
        <v>22</v>
      </c>
      <c r="J5419" s="8" t="s">
        <v>22</v>
      </c>
      <c r="K5419" s="8" t="s">
        <v>85</v>
      </c>
      <c r="L5419" s="8" t="s">
        <v>22476</v>
      </c>
      <c r="M5419" s="8" t="s">
        <v>22477</v>
      </c>
      <c r="N5419" s="8" t="s">
        <v>24213</v>
      </c>
      <c r="O5419" s="8">
        <f>14+2/60+17.5/3600</f>
        <v>14.038194444444445</v>
      </c>
      <c r="P5419" s="8" t="s">
        <v>24214</v>
      </c>
      <c r="Q5419" s="8">
        <f>+(7+41/60+2/3600)</f>
        <v>7.6838888888888892</v>
      </c>
      <c r="R5419" s="8">
        <v>13.5</v>
      </c>
      <c r="S5419" s="8">
        <v>14.3</v>
      </c>
      <c r="T5419" s="8">
        <v>0.8</v>
      </c>
      <c r="U5419" s="8">
        <v>12.8</v>
      </c>
      <c r="V5419" s="8">
        <v>1.1000000000000001</v>
      </c>
      <c r="W5419" s="8">
        <v>0.5</v>
      </c>
      <c r="X5419" s="8">
        <v>44</v>
      </c>
      <c r="Y5419" s="8" t="s">
        <v>22521</v>
      </c>
      <c r="Z5419" s="8" t="s">
        <v>22522</v>
      </c>
    </row>
    <row r="5420" spans="1:26" x14ac:dyDescent="0.2">
      <c r="A5420" s="8">
        <v>5419</v>
      </c>
      <c r="B5420" s="8" t="s">
        <v>24215</v>
      </c>
      <c r="C5420" s="8" t="s">
        <v>24215</v>
      </c>
      <c r="F5420" s="47"/>
      <c r="G5420" s="8">
        <v>13</v>
      </c>
      <c r="H5420" s="8" t="s">
        <v>21</v>
      </c>
      <c r="I5420" s="8" t="s">
        <v>22</v>
      </c>
      <c r="J5420" s="8" t="s">
        <v>22</v>
      </c>
      <c r="K5420" s="8" t="s">
        <v>1136</v>
      </c>
      <c r="L5420" s="8" t="s">
        <v>16195</v>
      </c>
      <c r="M5420" s="8" t="s">
        <v>16196</v>
      </c>
      <c r="N5420" s="8" t="s">
        <v>24216</v>
      </c>
      <c r="O5420" s="8">
        <f>14+3/60+38.7/3600</f>
        <v>14.060750000000001</v>
      </c>
      <c r="P5420" s="8" t="s">
        <v>24217</v>
      </c>
      <c r="Q5420" s="8">
        <f>-(33+58/60+42/3600)</f>
        <v>-33.978333333333332</v>
      </c>
      <c r="R5420" s="8">
        <v>10.8</v>
      </c>
      <c r="S5420" s="8">
        <v>11.9</v>
      </c>
      <c r="T5420" s="8">
        <v>1.1000000000000001</v>
      </c>
      <c r="U5420" s="8">
        <v>13.6</v>
      </c>
      <c r="V5420" s="8">
        <v>4.0999999999999996</v>
      </c>
      <c r="W5420" s="8">
        <v>3.3</v>
      </c>
      <c r="X5420" s="8">
        <v>77</v>
      </c>
      <c r="Y5420" s="8" t="s">
        <v>24218</v>
      </c>
      <c r="Z5420" s="8" t="s">
        <v>24219</v>
      </c>
    </row>
    <row r="5421" spans="1:26" x14ac:dyDescent="0.2">
      <c r="A5421" s="8">
        <v>5420</v>
      </c>
      <c r="B5421" s="8" t="s">
        <v>24220</v>
      </c>
      <c r="C5421" s="8" t="s">
        <v>24220</v>
      </c>
      <c r="F5421" s="47"/>
      <c r="G5421" s="8">
        <v>19</v>
      </c>
      <c r="H5421" s="8" t="s">
        <v>21</v>
      </c>
      <c r="I5421" s="8" t="s">
        <v>22</v>
      </c>
      <c r="J5421" s="8" t="s">
        <v>22</v>
      </c>
      <c r="K5421" s="8" t="s">
        <v>23</v>
      </c>
      <c r="L5421" s="8" t="s">
        <v>17287</v>
      </c>
      <c r="M5421" s="8" t="s">
        <v>17288</v>
      </c>
      <c r="N5421" s="8" t="s">
        <v>24221</v>
      </c>
      <c r="O5421" s="8">
        <f>14+3/60+59.8/3600</f>
        <v>14.066611111111111</v>
      </c>
      <c r="P5421" s="8" t="s">
        <v>24222</v>
      </c>
      <c r="Q5421" s="8">
        <f>-(14+37/60+2/3600)</f>
        <v>-14.617222222222223</v>
      </c>
      <c r="R5421" s="8">
        <v>13.1</v>
      </c>
      <c r="S5421" s="8">
        <v>13.9</v>
      </c>
      <c r="T5421" s="8">
        <v>0.8</v>
      </c>
      <c r="U5421" s="8">
        <v>13.1</v>
      </c>
      <c r="V5421" s="8">
        <v>1.7</v>
      </c>
      <c r="W5421" s="8">
        <v>0.7</v>
      </c>
      <c r="X5421" s="8">
        <v>138</v>
      </c>
      <c r="Y5421" s="8" t="s">
        <v>24223</v>
      </c>
      <c r="Z5421" s="8" t="s">
        <v>24224</v>
      </c>
    </row>
    <row r="5422" spans="1:26" x14ac:dyDescent="0.2">
      <c r="A5422" s="8">
        <v>5421</v>
      </c>
      <c r="B5422" s="8" t="s">
        <v>24225</v>
      </c>
      <c r="C5422" s="8" t="s">
        <v>24225</v>
      </c>
      <c r="D5422" s="8" t="s">
        <v>351</v>
      </c>
      <c r="F5422" s="47"/>
      <c r="G5422" s="8">
        <v>19</v>
      </c>
      <c r="H5422" s="8" t="s">
        <v>21</v>
      </c>
      <c r="I5422" s="8" t="s">
        <v>22</v>
      </c>
      <c r="J5422" s="8" t="s">
        <v>22</v>
      </c>
      <c r="K5422" s="8" t="s">
        <v>1445</v>
      </c>
      <c r="L5422" s="8" t="s">
        <v>18681</v>
      </c>
      <c r="M5422" s="8" t="s">
        <v>18682</v>
      </c>
      <c r="N5422" s="8" t="s">
        <v>24226</v>
      </c>
      <c r="O5422" s="8">
        <f>14+1/60+41.4/3600</f>
        <v>14.028166666666667</v>
      </c>
      <c r="P5422" s="8" t="s">
        <v>24227</v>
      </c>
      <c r="Q5422" s="8">
        <f>+(33+49/60+36/3600)</f>
        <v>33.826666666666668</v>
      </c>
      <c r="R5422" s="8">
        <v>13.2</v>
      </c>
      <c r="S5422" s="8">
        <v>14.2</v>
      </c>
      <c r="T5422" s="8">
        <v>1</v>
      </c>
      <c r="U5422" s="8">
        <v>13.8</v>
      </c>
      <c r="V5422" s="8">
        <v>1.4</v>
      </c>
      <c r="W5422" s="8">
        <v>1</v>
      </c>
      <c r="X5422" s="8">
        <v>164</v>
      </c>
      <c r="Y5422" s="8" t="s">
        <v>24228</v>
      </c>
      <c r="Z5422" s="8" t="s">
        <v>24229</v>
      </c>
    </row>
    <row r="5423" spans="1:26" x14ac:dyDescent="0.2">
      <c r="A5423" s="8">
        <v>5422</v>
      </c>
      <c r="B5423" s="8" t="s">
        <v>24230</v>
      </c>
      <c r="C5423" s="8" t="s">
        <v>24230</v>
      </c>
      <c r="F5423" s="47" t="s">
        <v>57872</v>
      </c>
      <c r="G5423" s="8">
        <v>13</v>
      </c>
      <c r="H5423" s="8" t="s">
        <v>21</v>
      </c>
      <c r="I5423" s="8" t="s">
        <v>22</v>
      </c>
      <c r="J5423" s="8" t="s">
        <v>22</v>
      </c>
      <c r="K5423" s="8" t="s">
        <v>632</v>
      </c>
      <c r="L5423" s="8" t="s">
        <v>12015</v>
      </c>
      <c r="M5423" s="8" t="s">
        <v>12016</v>
      </c>
      <c r="N5423" s="8" t="s">
        <v>24231</v>
      </c>
      <c r="O5423" s="8">
        <f>14+0/60+41.8/3600</f>
        <v>14.011611111111112</v>
      </c>
      <c r="P5423" s="8" t="s">
        <v>24232</v>
      </c>
      <c r="Q5423" s="8">
        <f>+(55+9/60+53/3600)</f>
        <v>55.164722222222224</v>
      </c>
      <c r="R5423" s="8">
        <v>11.9</v>
      </c>
      <c r="S5423" s="8">
        <v>12.8</v>
      </c>
      <c r="T5423" s="8">
        <v>0.9</v>
      </c>
      <c r="U5423" s="8">
        <v>12.9</v>
      </c>
      <c r="V5423" s="8">
        <v>3.9</v>
      </c>
      <c r="W5423" s="8">
        <v>0.7</v>
      </c>
      <c r="X5423" s="8">
        <v>152</v>
      </c>
      <c r="Y5423" s="8" t="s">
        <v>24233</v>
      </c>
      <c r="Z5423" s="8" t="s">
        <v>24234</v>
      </c>
    </row>
    <row r="5424" spans="1:26" x14ac:dyDescent="0.2">
      <c r="A5424" s="8">
        <v>5423</v>
      </c>
      <c r="B5424" s="8" t="s">
        <v>24235</v>
      </c>
      <c r="C5424" s="8" t="s">
        <v>24235</v>
      </c>
      <c r="F5424" s="47"/>
      <c r="G5424" s="8">
        <v>19</v>
      </c>
      <c r="H5424" s="8" t="s">
        <v>21</v>
      </c>
      <c r="I5424" s="8" t="s">
        <v>22</v>
      </c>
      <c r="J5424" s="8" t="s">
        <v>22</v>
      </c>
      <c r="K5424" s="8" t="s">
        <v>58</v>
      </c>
      <c r="L5424" s="8" t="s">
        <v>22476</v>
      </c>
      <c r="M5424" s="8" t="s">
        <v>22477</v>
      </c>
      <c r="N5424" s="8" t="s">
        <v>24236</v>
      </c>
      <c r="O5424" s="8">
        <f>14+2/60+48.5/3600</f>
        <v>14.046805555555556</v>
      </c>
      <c r="P5424" s="8" t="s">
        <v>24237</v>
      </c>
      <c r="Q5424" s="8">
        <f>+(9+20/60+31/3600)</f>
        <v>9.3419444444444455</v>
      </c>
      <c r="R5424" s="8">
        <v>12.8</v>
      </c>
      <c r="S5424" s="8">
        <v>13.7</v>
      </c>
      <c r="T5424" s="8">
        <v>0.9</v>
      </c>
      <c r="U5424" s="8">
        <v>13</v>
      </c>
      <c r="V5424" s="8">
        <v>1.5</v>
      </c>
      <c r="W5424" s="8">
        <v>0.9</v>
      </c>
      <c r="X5424" s="8">
        <v>75</v>
      </c>
      <c r="Y5424" s="8" t="s">
        <v>21</v>
      </c>
      <c r="Z5424" s="8" t="s">
        <v>24238</v>
      </c>
    </row>
    <row r="5425" spans="1:26" x14ac:dyDescent="0.2">
      <c r="A5425" s="8">
        <v>5424</v>
      </c>
      <c r="B5425" s="8" t="s">
        <v>24239</v>
      </c>
      <c r="C5425" s="8" t="s">
        <v>24239</v>
      </c>
      <c r="F5425" s="47"/>
      <c r="G5425" s="8">
        <v>19</v>
      </c>
      <c r="H5425" s="8" t="s">
        <v>21</v>
      </c>
      <c r="I5425" s="8" t="s">
        <v>22</v>
      </c>
      <c r="J5425" s="8" t="s">
        <v>22</v>
      </c>
      <c r="K5425" s="8" t="s">
        <v>37</v>
      </c>
      <c r="L5425" s="8" t="s">
        <v>22476</v>
      </c>
      <c r="M5425" s="8" t="s">
        <v>22477</v>
      </c>
      <c r="N5425" s="8" t="s">
        <v>24240</v>
      </c>
      <c r="O5425" s="8">
        <f>14+2/60+55.7/3600</f>
        <v>14.048805555555555</v>
      </c>
      <c r="P5425" s="8" t="s">
        <v>24241</v>
      </c>
      <c r="Q5425" s="8">
        <f>+(9+25/60+16/3600)</f>
        <v>9.4211111111111112</v>
      </c>
      <c r="R5425" s="8">
        <v>13.1</v>
      </c>
      <c r="S5425" s="8">
        <v>14</v>
      </c>
      <c r="T5425" s="8">
        <v>0.9</v>
      </c>
      <c r="U5425" s="8">
        <v>13.7</v>
      </c>
      <c r="V5425" s="8">
        <v>1.6</v>
      </c>
      <c r="W5425" s="8">
        <v>1.3</v>
      </c>
      <c r="X5425" s="8">
        <v>110</v>
      </c>
      <c r="Y5425" s="8" t="s">
        <v>21</v>
      </c>
      <c r="Z5425" s="8" t="s">
        <v>24238</v>
      </c>
    </row>
    <row r="5426" spans="1:26" x14ac:dyDescent="0.2">
      <c r="A5426" s="8">
        <v>5425</v>
      </c>
      <c r="B5426" s="8" t="s">
        <v>24242</v>
      </c>
      <c r="C5426" s="8" t="s">
        <v>24242</v>
      </c>
      <c r="F5426" s="47"/>
      <c r="G5426" s="8">
        <v>19</v>
      </c>
      <c r="H5426" s="8" t="s">
        <v>21</v>
      </c>
      <c r="I5426" s="8" t="s">
        <v>22</v>
      </c>
      <c r="J5426" s="8" t="s">
        <v>22</v>
      </c>
      <c r="K5426" s="8" t="s">
        <v>579</v>
      </c>
      <c r="L5426" s="8" t="s">
        <v>12015</v>
      </c>
      <c r="M5426" s="8" t="s">
        <v>12016</v>
      </c>
      <c r="N5426" s="8" t="s">
        <v>24243</v>
      </c>
      <c r="O5426" s="8">
        <f>14+0/60+47.9/3600</f>
        <v>14.013305555555556</v>
      </c>
      <c r="P5426" s="8" t="s">
        <v>24244</v>
      </c>
      <c r="Q5426" s="8">
        <f>+(48+26/60+35/3600)</f>
        <v>48.443055555555553</v>
      </c>
      <c r="R5426" s="8">
        <v>13.6</v>
      </c>
      <c r="S5426" s="8">
        <v>14.3</v>
      </c>
      <c r="T5426" s="8">
        <v>0.7</v>
      </c>
      <c r="U5426" s="8">
        <v>13.4</v>
      </c>
      <c r="V5426" s="8">
        <v>1.9</v>
      </c>
      <c r="W5426" s="8">
        <v>0.5</v>
      </c>
      <c r="X5426" s="8">
        <v>127</v>
      </c>
      <c r="Y5426" s="8" t="s">
        <v>24245</v>
      </c>
      <c r="Z5426" s="8" t="s">
        <v>24246</v>
      </c>
    </row>
    <row r="5427" spans="1:26" x14ac:dyDescent="0.2">
      <c r="A5427" s="8">
        <v>5426</v>
      </c>
      <c r="B5427" s="8" t="s">
        <v>24247</v>
      </c>
      <c r="C5427" s="8" t="s">
        <v>24247</v>
      </c>
      <c r="F5427" s="47" t="s">
        <v>57873</v>
      </c>
      <c r="G5427" s="8">
        <v>6.5</v>
      </c>
      <c r="H5427" s="8" t="s">
        <v>21</v>
      </c>
      <c r="I5427" s="8" t="s">
        <v>22</v>
      </c>
      <c r="J5427" s="8" t="s">
        <v>22</v>
      </c>
      <c r="K5427" s="8" t="s">
        <v>160</v>
      </c>
      <c r="L5427" s="8" t="s">
        <v>17287</v>
      </c>
      <c r="M5427" s="8" t="s">
        <v>17288</v>
      </c>
      <c r="N5427" s="8" t="s">
        <v>24248</v>
      </c>
      <c r="O5427" s="8">
        <f>14+3/60+24.9/3600</f>
        <v>14.056916666666668</v>
      </c>
      <c r="P5427" s="8" t="s">
        <v>24249</v>
      </c>
      <c r="Q5427" s="8">
        <f>-(6+4/60+8/3600)</f>
        <v>-6.068888888888889</v>
      </c>
      <c r="R5427" s="8">
        <v>12.1</v>
      </c>
      <c r="S5427" s="8">
        <v>12.7</v>
      </c>
      <c r="T5427" s="8">
        <v>0.6</v>
      </c>
      <c r="U5427" s="8">
        <v>13.7</v>
      </c>
      <c r="V5427" s="8">
        <v>3</v>
      </c>
      <c r="W5427" s="8">
        <v>1.7</v>
      </c>
      <c r="X5427" s="8">
        <v>172</v>
      </c>
      <c r="Y5427" s="8" t="s">
        <v>24250</v>
      </c>
      <c r="Z5427" s="8" t="s">
        <v>24251</v>
      </c>
    </row>
    <row r="5428" spans="1:26" x14ac:dyDescent="0.2">
      <c r="A5428" s="8">
        <v>5427</v>
      </c>
      <c r="B5428" s="8" t="s">
        <v>24252</v>
      </c>
      <c r="C5428" s="8" t="s">
        <v>24252</v>
      </c>
      <c r="F5428" s="47" t="s">
        <v>57874</v>
      </c>
      <c r="G5428" s="8">
        <v>11</v>
      </c>
      <c r="H5428" s="8" t="s">
        <v>21</v>
      </c>
      <c r="I5428" s="8" t="s">
        <v>22</v>
      </c>
      <c r="J5428" s="8" t="s">
        <v>22</v>
      </c>
      <c r="K5428" s="8" t="s">
        <v>64</v>
      </c>
      <c r="L5428" s="8" t="s">
        <v>17287</v>
      </c>
      <c r="M5428" s="8" t="s">
        <v>17288</v>
      </c>
      <c r="N5428" s="8" t="s">
        <v>24253</v>
      </c>
      <c r="O5428" s="8">
        <f>14+3/60+26/3600</f>
        <v>14.057222222222222</v>
      </c>
      <c r="P5428" s="8" t="s">
        <v>24254</v>
      </c>
      <c r="Q5428" s="8">
        <f>-(6+1/60+51/3600)</f>
        <v>-6.0308333333333337</v>
      </c>
      <c r="R5428" s="8">
        <v>11.4</v>
      </c>
      <c r="S5428" s="8">
        <v>11.9</v>
      </c>
      <c r="T5428" s="8">
        <v>0.5</v>
      </c>
      <c r="U5428" s="8">
        <v>13.3</v>
      </c>
      <c r="V5428" s="8">
        <v>2.9</v>
      </c>
      <c r="W5428" s="8">
        <v>2.2000000000000002</v>
      </c>
      <c r="X5428" s="8">
        <v>66</v>
      </c>
      <c r="Y5428" s="8" t="s">
        <v>24255</v>
      </c>
      <c r="Z5428" s="8" t="s">
        <v>24256</v>
      </c>
    </row>
    <row r="5429" spans="1:26" x14ac:dyDescent="0.2">
      <c r="A5429" s="8">
        <v>5428</v>
      </c>
      <c r="B5429" s="8" t="s">
        <v>24257</v>
      </c>
      <c r="C5429" s="8" t="s">
        <v>24257</v>
      </c>
      <c r="F5429" s="47"/>
      <c r="G5429" s="8">
        <v>19</v>
      </c>
      <c r="H5429" s="8" t="s">
        <v>21</v>
      </c>
      <c r="I5429" s="8" t="s">
        <v>72</v>
      </c>
      <c r="J5429" s="8" t="s">
        <v>72</v>
      </c>
      <c r="K5429" s="8" t="s">
        <v>73</v>
      </c>
      <c r="L5429" s="8" t="s">
        <v>17287</v>
      </c>
      <c r="M5429" s="8" t="s">
        <v>17288</v>
      </c>
      <c r="N5429" s="8" t="s">
        <v>24258</v>
      </c>
      <c r="O5429" s="8">
        <f>14+3/60+28/3600</f>
        <v>14.057777777777778</v>
      </c>
      <c r="P5429" s="8" t="s">
        <v>24259</v>
      </c>
      <c r="Q5429" s="8">
        <f>-(5+59/60+2/3600)</f>
        <v>-5.983888888888889</v>
      </c>
      <c r="R5429" s="8">
        <v>99</v>
      </c>
      <c r="S5429" s="8">
        <v>99</v>
      </c>
      <c r="T5429" s="8">
        <v>99</v>
      </c>
      <c r="U5429" s="8">
        <v>99</v>
      </c>
      <c r="Y5429" s="8" t="s">
        <v>21</v>
      </c>
      <c r="Z5429" s="8" t="s">
        <v>24260</v>
      </c>
    </row>
    <row r="5430" spans="1:26" x14ac:dyDescent="0.2">
      <c r="A5430" s="8">
        <v>5429</v>
      </c>
      <c r="B5430" s="8" t="s">
        <v>24261</v>
      </c>
      <c r="C5430" s="8" t="s">
        <v>24261</v>
      </c>
      <c r="F5430" s="47"/>
      <c r="G5430" s="8">
        <v>19</v>
      </c>
      <c r="H5430" s="8" t="s">
        <v>21</v>
      </c>
      <c r="I5430" s="8" t="s">
        <v>72</v>
      </c>
      <c r="J5430" s="8" t="s">
        <v>72</v>
      </c>
      <c r="K5430" s="8" t="s">
        <v>73</v>
      </c>
      <c r="L5430" s="8" t="s">
        <v>17287</v>
      </c>
      <c r="M5430" s="8" t="s">
        <v>17288</v>
      </c>
      <c r="N5430" s="8" t="s">
        <v>24262</v>
      </c>
      <c r="O5430" s="8">
        <f>14+3/60+33.3/3600</f>
        <v>14.05925</v>
      </c>
      <c r="P5430" s="8" t="s">
        <v>24263</v>
      </c>
      <c r="Q5430" s="8">
        <f>-(6+2/60+16/3600)</f>
        <v>-6.0377777777777775</v>
      </c>
      <c r="R5430" s="8">
        <v>99</v>
      </c>
      <c r="S5430" s="8">
        <v>99</v>
      </c>
      <c r="T5430" s="8">
        <v>99</v>
      </c>
      <c r="U5430" s="8">
        <v>99</v>
      </c>
      <c r="Y5430" s="8" t="s">
        <v>21</v>
      </c>
      <c r="Z5430" s="8" t="s">
        <v>24260</v>
      </c>
    </row>
    <row r="5431" spans="1:26" x14ac:dyDescent="0.2">
      <c r="A5431" s="8">
        <v>5430</v>
      </c>
      <c r="B5431" s="8" t="s">
        <v>24264</v>
      </c>
      <c r="C5431" s="8" t="s">
        <v>24264</v>
      </c>
      <c r="F5431" s="47" t="s">
        <v>57875</v>
      </c>
      <c r="G5431" s="8">
        <v>6.5</v>
      </c>
      <c r="H5431" s="8" t="s">
        <v>21</v>
      </c>
      <c r="I5431" s="8" t="s">
        <v>22</v>
      </c>
      <c r="J5431" s="8" t="s">
        <v>22</v>
      </c>
      <c r="K5431" s="8" t="s">
        <v>218</v>
      </c>
      <c r="L5431" s="8" t="s">
        <v>12015</v>
      </c>
      <c r="M5431" s="8" t="s">
        <v>12016</v>
      </c>
      <c r="N5431" s="8" t="s">
        <v>24265</v>
      </c>
      <c r="O5431" s="8">
        <f>14+0/60+45.6/3600</f>
        <v>14.012666666666666</v>
      </c>
      <c r="P5431" s="8" t="s">
        <v>24266</v>
      </c>
      <c r="Q5431" s="8">
        <f>+(59+19/60+44/3600)</f>
        <v>59.328888888888891</v>
      </c>
      <c r="R5431" s="8">
        <v>12</v>
      </c>
      <c r="S5431" s="8">
        <v>12.8</v>
      </c>
      <c r="T5431" s="8">
        <v>0.8</v>
      </c>
      <c r="U5431" s="8">
        <v>13</v>
      </c>
      <c r="V5431" s="8">
        <v>2.2999999999999998</v>
      </c>
      <c r="W5431" s="8">
        <v>1.3</v>
      </c>
      <c r="X5431" s="8">
        <v>0</v>
      </c>
      <c r="Y5431" s="8" t="s">
        <v>24267</v>
      </c>
      <c r="Z5431" s="8" t="s">
        <v>24268</v>
      </c>
    </row>
    <row r="5432" spans="1:26" x14ac:dyDescent="0.2">
      <c r="A5432" s="8">
        <v>5431</v>
      </c>
      <c r="B5432" s="8" t="s">
        <v>24269</v>
      </c>
      <c r="C5432" s="8" t="s">
        <v>24269</v>
      </c>
      <c r="F5432" s="47"/>
      <c r="G5432" s="8">
        <v>19</v>
      </c>
      <c r="H5432" s="8" t="s">
        <v>21</v>
      </c>
      <c r="I5432" s="8" t="s">
        <v>22</v>
      </c>
      <c r="J5432" s="8" t="s">
        <v>22</v>
      </c>
      <c r="K5432" s="8" t="s">
        <v>476</v>
      </c>
      <c r="L5432" s="8" t="s">
        <v>22476</v>
      </c>
      <c r="M5432" s="8" t="s">
        <v>22477</v>
      </c>
      <c r="N5432" s="8" t="s">
        <v>24270</v>
      </c>
      <c r="O5432" s="8">
        <f>14+3/60+7.2/3600</f>
        <v>14.052000000000001</v>
      </c>
      <c r="P5432" s="8" t="s">
        <v>24271</v>
      </c>
      <c r="Q5432" s="8">
        <f>+(9+21/60+47/3600)</f>
        <v>9.3630555555555546</v>
      </c>
      <c r="R5432" s="8">
        <v>13.9</v>
      </c>
      <c r="S5432" s="8">
        <v>14.8</v>
      </c>
      <c r="T5432" s="8">
        <v>0.9</v>
      </c>
      <c r="U5432" s="8">
        <v>12.9</v>
      </c>
      <c r="V5432" s="8">
        <v>0.8</v>
      </c>
      <c r="W5432" s="8">
        <v>0.6</v>
      </c>
      <c r="X5432" s="8">
        <v>51</v>
      </c>
      <c r="Y5432" s="8" t="s">
        <v>297</v>
      </c>
      <c r="Z5432" s="8" t="s">
        <v>298</v>
      </c>
    </row>
    <row r="5433" spans="1:26" x14ac:dyDescent="0.2">
      <c r="A5433" s="8">
        <v>5432</v>
      </c>
      <c r="B5433" s="8" t="s">
        <v>24272</v>
      </c>
      <c r="C5433" s="8" t="s">
        <v>24272</v>
      </c>
      <c r="F5433" s="47"/>
      <c r="G5433" s="8">
        <v>19</v>
      </c>
      <c r="H5433" s="8" t="s">
        <v>21</v>
      </c>
      <c r="I5433" s="8" t="s">
        <v>72</v>
      </c>
      <c r="J5433" s="8" t="s">
        <v>72</v>
      </c>
      <c r="K5433" s="8" t="s">
        <v>73</v>
      </c>
      <c r="L5433" s="8" t="s">
        <v>17287</v>
      </c>
      <c r="M5433" s="8" t="s">
        <v>17288</v>
      </c>
      <c r="N5433" s="8" t="s">
        <v>24273</v>
      </c>
      <c r="O5433" s="8">
        <f>14+3/60+40.5/3600</f>
        <v>14.061250000000001</v>
      </c>
      <c r="P5433" s="8" t="s">
        <v>24274</v>
      </c>
      <c r="Q5433" s="8">
        <f>-(5+58/60+28/3600)</f>
        <v>-5.9744444444444449</v>
      </c>
      <c r="R5433" s="8">
        <v>99</v>
      </c>
      <c r="S5433" s="8">
        <v>99</v>
      </c>
      <c r="T5433" s="8">
        <v>99</v>
      </c>
      <c r="U5433" s="8">
        <v>99</v>
      </c>
      <c r="Y5433" s="8" t="s">
        <v>297</v>
      </c>
      <c r="Z5433" s="8" t="s">
        <v>298</v>
      </c>
    </row>
    <row r="5434" spans="1:26" x14ac:dyDescent="0.2">
      <c r="A5434" s="8">
        <v>5433</v>
      </c>
      <c r="B5434" s="8" t="s">
        <v>24275</v>
      </c>
      <c r="C5434" s="8" t="s">
        <v>24275</v>
      </c>
      <c r="F5434" s="47" t="s">
        <v>57876</v>
      </c>
      <c r="G5434" s="8">
        <v>15</v>
      </c>
      <c r="H5434" s="8" t="s">
        <v>21</v>
      </c>
      <c r="I5434" s="8" t="s">
        <v>22</v>
      </c>
      <c r="J5434" s="8" t="s">
        <v>22</v>
      </c>
      <c r="K5434" s="8" t="s">
        <v>3523</v>
      </c>
      <c r="L5434" s="8" t="s">
        <v>18681</v>
      </c>
      <c r="M5434" s="8" t="s">
        <v>18682</v>
      </c>
      <c r="N5434" s="8" t="s">
        <v>24276</v>
      </c>
      <c r="O5434" s="8">
        <f>14+2/60+36.1/3600</f>
        <v>14.043361111111111</v>
      </c>
      <c r="P5434" s="8" t="s">
        <v>24277</v>
      </c>
      <c r="Q5434" s="8">
        <f>+(32+30/60+37/3600)</f>
        <v>32.51027777777778</v>
      </c>
      <c r="R5434" s="8">
        <v>13.5</v>
      </c>
      <c r="S5434" s="8">
        <v>14.1</v>
      </c>
      <c r="T5434" s="8">
        <v>0.6</v>
      </c>
      <c r="U5434" s="8">
        <v>12.9</v>
      </c>
      <c r="V5434" s="8">
        <v>1.6</v>
      </c>
      <c r="W5434" s="8">
        <v>0.4</v>
      </c>
      <c r="X5434" s="8">
        <v>3</v>
      </c>
      <c r="Y5434" s="8" t="s">
        <v>24278</v>
      </c>
      <c r="Z5434" s="8" t="s">
        <v>24279</v>
      </c>
    </row>
    <row r="5435" spans="1:26" x14ac:dyDescent="0.2">
      <c r="A5435" s="8">
        <v>5434</v>
      </c>
      <c r="B5435" s="8" t="s">
        <v>24280</v>
      </c>
      <c r="C5435" s="8" t="s">
        <v>24280</v>
      </c>
      <c r="F5435" s="47"/>
      <c r="G5435" s="8">
        <v>19</v>
      </c>
      <c r="H5435" s="8" t="s">
        <v>21</v>
      </c>
      <c r="I5435" s="8" t="s">
        <v>22</v>
      </c>
      <c r="J5435" s="8" t="s">
        <v>22</v>
      </c>
      <c r="K5435" s="8" t="s">
        <v>160</v>
      </c>
      <c r="L5435" s="8" t="s">
        <v>22476</v>
      </c>
      <c r="M5435" s="8" t="s">
        <v>22477</v>
      </c>
      <c r="N5435" s="8" t="s">
        <v>24281</v>
      </c>
      <c r="O5435" s="8">
        <f>14+3/60+23.1/3600</f>
        <v>14.056416666666667</v>
      </c>
      <c r="P5435" s="8" t="s">
        <v>24282</v>
      </c>
      <c r="Q5435" s="8">
        <f>+(9+26/60+52/3600)</f>
        <v>9.4477777777777785</v>
      </c>
      <c r="R5435" s="8">
        <v>13.2</v>
      </c>
      <c r="S5435" s="8">
        <v>13.9</v>
      </c>
      <c r="T5435" s="8">
        <v>0.7</v>
      </c>
      <c r="U5435" s="8">
        <v>14.4</v>
      </c>
      <c r="V5435" s="8">
        <v>1.5</v>
      </c>
      <c r="W5435" s="8">
        <v>1.4</v>
      </c>
      <c r="X5435" s="8">
        <v>33</v>
      </c>
      <c r="Y5435" s="8" t="s">
        <v>2228</v>
      </c>
      <c r="Z5435" s="8" t="s">
        <v>2229</v>
      </c>
    </row>
    <row r="5436" spans="1:26" x14ac:dyDescent="0.2">
      <c r="A5436" s="8">
        <v>5435</v>
      </c>
      <c r="B5436" s="8" t="s">
        <v>24283</v>
      </c>
      <c r="C5436" s="8" t="s">
        <v>24283</v>
      </c>
      <c r="F5436" s="47"/>
      <c r="G5436" s="8">
        <v>19</v>
      </c>
      <c r="H5436" s="8" t="s">
        <v>21</v>
      </c>
      <c r="I5436" s="8" t="s">
        <v>72</v>
      </c>
      <c r="J5436" s="8" t="s">
        <v>72</v>
      </c>
      <c r="K5436" s="8" t="s">
        <v>73</v>
      </c>
      <c r="L5436" s="8" t="s">
        <v>17287</v>
      </c>
      <c r="M5436" s="8" t="s">
        <v>17288</v>
      </c>
      <c r="N5436" s="8" t="s">
        <v>24284</v>
      </c>
      <c r="O5436" s="8">
        <f>14+4/60+0.2/3600</f>
        <v>14.066722222222221</v>
      </c>
      <c r="P5436" s="8" t="s">
        <v>24285</v>
      </c>
      <c r="Q5436" s="8">
        <f>-(5+55/60+50/3600)</f>
        <v>-5.9305555555555562</v>
      </c>
      <c r="R5436" s="8">
        <v>99</v>
      </c>
      <c r="S5436" s="8">
        <v>99</v>
      </c>
      <c r="T5436" s="8">
        <v>99</v>
      </c>
      <c r="U5436" s="8">
        <v>99</v>
      </c>
      <c r="Y5436" s="8" t="s">
        <v>21</v>
      </c>
      <c r="Z5436" s="8" t="s">
        <v>24286</v>
      </c>
    </row>
    <row r="5437" spans="1:26" x14ac:dyDescent="0.2">
      <c r="A5437" s="8">
        <v>5436</v>
      </c>
      <c r="B5437" s="8" t="s">
        <v>24287</v>
      </c>
      <c r="C5437" s="8" t="s">
        <v>24287</v>
      </c>
      <c r="F5437" s="47"/>
      <c r="G5437" s="8">
        <v>19</v>
      </c>
      <c r="H5437" s="8" t="s">
        <v>21</v>
      </c>
      <c r="I5437" s="8" t="s">
        <v>22</v>
      </c>
      <c r="J5437" s="8" t="s">
        <v>22</v>
      </c>
      <c r="K5437" s="8" t="s">
        <v>632</v>
      </c>
      <c r="L5437" s="8" t="s">
        <v>22476</v>
      </c>
      <c r="M5437" s="8" t="s">
        <v>22477</v>
      </c>
      <c r="N5437" s="8" t="s">
        <v>24288</v>
      </c>
      <c r="O5437" s="8">
        <f>14+3/60+41.1/3600</f>
        <v>14.061416666666668</v>
      </c>
      <c r="P5437" s="8" t="s">
        <v>24289</v>
      </c>
      <c r="Q5437" s="8">
        <f>+(9+34/60+26/3600)</f>
        <v>9.573888888888888</v>
      </c>
      <c r="R5437" s="8">
        <v>13.8</v>
      </c>
      <c r="S5437" s="8">
        <v>14.9</v>
      </c>
      <c r="T5437" s="8">
        <v>1.1000000000000001</v>
      </c>
      <c r="U5437" s="8">
        <v>12.9</v>
      </c>
      <c r="V5437" s="8">
        <v>1.1000000000000001</v>
      </c>
      <c r="W5437" s="8">
        <v>0.4</v>
      </c>
      <c r="X5437" s="8">
        <v>126</v>
      </c>
      <c r="Y5437" s="8" t="s">
        <v>21</v>
      </c>
      <c r="Z5437" s="8" t="s">
        <v>24290</v>
      </c>
    </row>
    <row r="5438" spans="1:26" x14ac:dyDescent="0.2">
      <c r="A5438" s="8">
        <v>5437</v>
      </c>
      <c r="B5438" s="8" t="s">
        <v>24291</v>
      </c>
      <c r="C5438" s="8" t="s">
        <v>24291</v>
      </c>
      <c r="F5438" s="47"/>
      <c r="G5438" s="8">
        <v>19</v>
      </c>
      <c r="H5438" s="8" t="s">
        <v>21</v>
      </c>
      <c r="I5438" s="8" t="s">
        <v>22</v>
      </c>
      <c r="J5438" s="8" t="s">
        <v>22</v>
      </c>
      <c r="K5438" s="8" t="s">
        <v>23</v>
      </c>
      <c r="L5438" s="8" t="s">
        <v>22476</v>
      </c>
      <c r="M5438" s="8" t="s">
        <v>22477</v>
      </c>
      <c r="N5438" s="8" t="s">
        <v>24292</v>
      </c>
      <c r="O5438" s="8">
        <f>14+3/60+47.3/3600</f>
        <v>14.06313888888889</v>
      </c>
      <c r="P5438" s="8" t="s">
        <v>13537</v>
      </c>
      <c r="Q5438" s="8">
        <f>+(9+31/60+25/3600)</f>
        <v>9.5236111111111121</v>
      </c>
      <c r="R5438" s="8">
        <v>14.3</v>
      </c>
      <c r="S5438" s="8">
        <v>15.1</v>
      </c>
      <c r="T5438" s="8">
        <v>0.8</v>
      </c>
      <c r="U5438" s="8">
        <v>13</v>
      </c>
      <c r="V5438" s="8">
        <v>0.9</v>
      </c>
      <c r="W5438" s="8">
        <v>0.4</v>
      </c>
      <c r="X5438" s="8">
        <v>0</v>
      </c>
      <c r="Y5438" s="8" t="s">
        <v>21</v>
      </c>
      <c r="Z5438" s="8" t="s">
        <v>24290</v>
      </c>
    </row>
    <row r="5439" spans="1:26" x14ac:dyDescent="0.2">
      <c r="A5439" s="8">
        <v>5438</v>
      </c>
      <c r="B5439" s="8" t="s">
        <v>24293</v>
      </c>
      <c r="C5439" s="8" t="s">
        <v>24293</v>
      </c>
      <c r="F5439" s="47"/>
      <c r="G5439" s="8">
        <v>19</v>
      </c>
      <c r="H5439" s="8" t="s">
        <v>21</v>
      </c>
      <c r="I5439" s="8" t="s">
        <v>22</v>
      </c>
      <c r="J5439" s="8" t="s">
        <v>57</v>
      </c>
      <c r="K5439" s="8" t="s">
        <v>58</v>
      </c>
      <c r="L5439" s="8" t="s">
        <v>22476</v>
      </c>
      <c r="M5439" s="8" t="s">
        <v>22477</v>
      </c>
      <c r="N5439" s="8" t="s">
        <v>24294</v>
      </c>
      <c r="O5439" s="8">
        <f>14+3/60+47.9/3600</f>
        <v>14.063305555555557</v>
      </c>
      <c r="P5439" s="8" t="s">
        <v>24295</v>
      </c>
      <c r="Q5439" s="8">
        <f>+(9+36/60+40/3600)</f>
        <v>9.6111111111111107</v>
      </c>
      <c r="R5439" s="8">
        <v>13.6</v>
      </c>
      <c r="S5439" s="8">
        <v>14.6</v>
      </c>
      <c r="T5439" s="8">
        <v>1</v>
      </c>
      <c r="U5439" s="8">
        <v>13.2</v>
      </c>
      <c r="V5439" s="8">
        <v>0.8</v>
      </c>
      <c r="W5439" s="8">
        <v>0.8</v>
      </c>
      <c r="Y5439" s="8" t="s">
        <v>21</v>
      </c>
      <c r="Z5439" s="8" t="s">
        <v>24290</v>
      </c>
    </row>
    <row r="5440" spans="1:26" x14ac:dyDescent="0.2">
      <c r="A5440" s="8">
        <v>5439</v>
      </c>
      <c r="B5440" s="8" t="s">
        <v>24296</v>
      </c>
      <c r="C5440" s="8" t="s">
        <v>24296</v>
      </c>
      <c r="F5440" s="47"/>
      <c r="G5440" s="8">
        <v>19</v>
      </c>
      <c r="H5440" s="8" t="s">
        <v>21</v>
      </c>
      <c r="I5440" s="8" t="s">
        <v>22</v>
      </c>
      <c r="J5440" s="8" t="s">
        <v>22</v>
      </c>
      <c r="K5440" s="8" t="s">
        <v>396</v>
      </c>
      <c r="L5440" s="8" t="s">
        <v>18681</v>
      </c>
      <c r="M5440" s="8" t="s">
        <v>18682</v>
      </c>
      <c r="N5440" s="8" t="s">
        <v>24297</v>
      </c>
      <c r="O5440" s="8">
        <f>14+1/60+57.5/3600</f>
        <v>14.03263888888889</v>
      </c>
      <c r="P5440" s="8" t="s">
        <v>24298</v>
      </c>
      <c r="Q5440" s="8">
        <f>+(46+18/60+41/3600)</f>
        <v>46.311388888888885</v>
      </c>
      <c r="R5440" s="8">
        <v>13.9</v>
      </c>
      <c r="S5440" s="8">
        <v>14.7</v>
      </c>
      <c r="T5440" s="8">
        <v>0.8</v>
      </c>
      <c r="U5440" s="8">
        <v>12.9</v>
      </c>
      <c r="V5440" s="8">
        <v>1.1000000000000001</v>
      </c>
      <c r="W5440" s="8">
        <v>0.4</v>
      </c>
      <c r="X5440" s="8">
        <v>9</v>
      </c>
      <c r="Y5440" s="8" t="s">
        <v>24299</v>
      </c>
      <c r="Z5440" s="8" t="s">
        <v>24300</v>
      </c>
    </row>
    <row r="5441" spans="1:26" x14ac:dyDescent="0.2">
      <c r="A5441" s="8">
        <v>5440</v>
      </c>
      <c r="B5441" s="8" t="s">
        <v>24301</v>
      </c>
      <c r="C5441" s="8" t="s">
        <v>24301</v>
      </c>
      <c r="F5441" s="47" t="s">
        <v>57877</v>
      </c>
      <c r="G5441" s="8">
        <v>6.5</v>
      </c>
      <c r="H5441" s="8" t="s">
        <v>21</v>
      </c>
      <c r="I5441" s="8" t="s">
        <v>22</v>
      </c>
      <c r="J5441" s="8" t="s">
        <v>22</v>
      </c>
      <c r="K5441" s="8" t="s">
        <v>91</v>
      </c>
      <c r="L5441" s="8" t="s">
        <v>18681</v>
      </c>
      <c r="M5441" s="8" t="s">
        <v>18682</v>
      </c>
      <c r="N5441" s="8" t="s">
        <v>24302</v>
      </c>
      <c r="O5441" s="8">
        <f>14+3/60+0.6/3600</f>
        <v>14.050166666666668</v>
      </c>
      <c r="P5441" s="8" t="s">
        <v>24303</v>
      </c>
      <c r="Q5441" s="8">
        <f>+(34+45/60+24/3600)</f>
        <v>34.756666666666668</v>
      </c>
      <c r="R5441" s="8">
        <v>12.3</v>
      </c>
      <c r="S5441" s="8">
        <v>13.2</v>
      </c>
      <c r="T5441" s="8">
        <v>0.9</v>
      </c>
      <c r="U5441" s="8">
        <v>13</v>
      </c>
      <c r="V5441" s="8">
        <v>2.2000000000000002</v>
      </c>
      <c r="W5441" s="8">
        <v>1</v>
      </c>
      <c r="X5441" s="8">
        <v>50</v>
      </c>
      <c r="Y5441" s="8" t="s">
        <v>24304</v>
      </c>
      <c r="Z5441" s="8" t="s">
        <v>24305</v>
      </c>
    </row>
    <row r="5442" spans="1:26" x14ac:dyDescent="0.2">
      <c r="A5442" s="8">
        <v>5441</v>
      </c>
      <c r="B5442" s="8" t="s">
        <v>24306</v>
      </c>
      <c r="C5442" s="8" t="s">
        <v>24306</v>
      </c>
      <c r="F5442" s="47"/>
      <c r="G5442" s="8">
        <v>16</v>
      </c>
      <c r="H5442" s="8" t="s">
        <v>21</v>
      </c>
      <c r="I5442" s="8" t="s">
        <v>22</v>
      </c>
      <c r="J5442" s="8" t="s">
        <v>22</v>
      </c>
      <c r="K5442" s="8" t="s">
        <v>160</v>
      </c>
      <c r="L5442" s="8" t="s">
        <v>18681</v>
      </c>
      <c r="M5442" s="8" t="s">
        <v>18682</v>
      </c>
      <c r="N5442" s="8" t="s">
        <v>24307</v>
      </c>
      <c r="O5442" s="8">
        <f>14+3/60+11.9/3600</f>
        <v>14.053305555555557</v>
      </c>
      <c r="P5442" s="8" t="s">
        <v>24308</v>
      </c>
      <c r="Q5442" s="8">
        <f>+(34+41/60+4/3600)</f>
        <v>34.684444444444438</v>
      </c>
      <c r="R5442" s="8">
        <v>15.6</v>
      </c>
      <c r="S5442" s="8">
        <v>16.3</v>
      </c>
      <c r="T5442" s="8">
        <v>0.7</v>
      </c>
      <c r="U5442" s="8">
        <v>14.3</v>
      </c>
      <c r="V5442" s="8">
        <v>0.6</v>
      </c>
      <c r="W5442" s="8">
        <v>0.6</v>
      </c>
      <c r="Y5442" s="8" t="s">
        <v>1511</v>
      </c>
      <c r="Z5442" s="8" t="s">
        <v>1512</v>
      </c>
    </row>
    <row r="5443" spans="1:26" x14ac:dyDescent="0.2">
      <c r="A5443" s="8">
        <v>5442</v>
      </c>
      <c r="B5443" s="8" t="s">
        <v>24309</v>
      </c>
      <c r="C5443" s="8" t="s">
        <v>24309</v>
      </c>
      <c r="F5443" s="47"/>
      <c r="G5443" s="8">
        <v>18</v>
      </c>
      <c r="H5443" s="8" t="s">
        <v>21</v>
      </c>
      <c r="I5443" s="8" t="s">
        <v>22</v>
      </c>
      <c r="J5443" s="8" t="s">
        <v>22</v>
      </c>
      <c r="K5443" s="8" t="s">
        <v>23</v>
      </c>
      <c r="L5443" s="8" t="s">
        <v>17287</v>
      </c>
      <c r="M5443" s="8" t="s">
        <v>17288</v>
      </c>
      <c r="N5443" s="8" t="s">
        <v>24310</v>
      </c>
      <c r="O5443" s="8">
        <f>14+4/60+43.2/3600</f>
        <v>14.078666666666667</v>
      </c>
      <c r="P5443" s="8" t="s">
        <v>24311</v>
      </c>
      <c r="Q5443" s="8">
        <f>-(9+42/60+46/3600)</f>
        <v>-9.7127777777777773</v>
      </c>
      <c r="R5443" s="8">
        <v>13.7</v>
      </c>
      <c r="S5443" s="8">
        <v>14.5</v>
      </c>
      <c r="T5443" s="8">
        <v>0.8</v>
      </c>
      <c r="U5443" s="8">
        <v>13</v>
      </c>
      <c r="V5443" s="8">
        <v>1.2</v>
      </c>
      <c r="W5443" s="8">
        <v>0.5</v>
      </c>
      <c r="X5443" s="8">
        <v>145</v>
      </c>
      <c r="Y5443" s="8" t="s">
        <v>755</v>
      </c>
      <c r="Z5443" s="8" t="s">
        <v>756</v>
      </c>
    </row>
    <row r="5444" spans="1:26" x14ac:dyDescent="0.2">
      <c r="A5444" s="8">
        <v>5443</v>
      </c>
      <c r="B5444" s="8" t="s">
        <v>24312</v>
      </c>
      <c r="C5444" s="8" t="s">
        <v>24312</v>
      </c>
      <c r="F5444" s="47" t="s">
        <v>57878</v>
      </c>
      <c r="G5444" s="8">
        <v>6.5</v>
      </c>
      <c r="H5444" s="8" t="s">
        <v>21</v>
      </c>
      <c r="I5444" s="8" t="s">
        <v>22</v>
      </c>
      <c r="J5444" s="8" t="s">
        <v>22</v>
      </c>
      <c r="K5444" s="8" t="s">
        <v>218</v>
      </c>
      <c r="L5444" s="8" t="s">
        <v>12015</v>
      </c>
      <c r="M5444" s="8" t="s">
        <v>12016</v>
      </c>
      <c r="N5444" s="8" t="s">
        <v>24313</v>
      </c>
      <c r="O5444" s="8">
        <f>14+2/60+11.6/3600</f>
        <v>14.036555555555555</v>
      </c>
      <c r="P5444" s="8" t="s">
        <v>24314</v>
      </c>
      <c r="Q5444" s="8">
        <f>+(55+48/60+52/3600)</f>
        <v>55.81444444444444</v>
      </c>
      <c r="R5444" s="8">
        <v>12.3</v>
      </c>
      <c r="S5444" s="8">
        <v>13.1</v>
      </c>
      <c r="T5444" s="8">
        <v>0.8</v>
      </c>
      <c r="U5444" s="8">
        <v>13.2</v>
      </c>
      <c r="V5444" s="8">
        <v>2.7</v>
      </c>
      <c r="W5444" s="8">
        <v>1</v>
      </c>
      <c r="X5444" s="8">
        <v>34</v>
      </c>
      <c r="Y5444" s="8" t="s">
        <v>24315</v>
      </c>
      <c r="Z5444" s="8" t="s">
        <v>24316</v>
      </c>
    </row>
    <row r="5445" spans="1:26" x14ac:dyDescent="0.2">
      <c r="A5445" s="8">
        <v>5444</v>
      </c>
      <c r="B5445" s="8" t="s">
        <v>24317</v>
      </c>
      <c r="C5445" s="8" t="s">
        <v>24317</v>
      </c>
      <c r="F5445" s="47" t="s">
        <v>57879</v>
      </c>
      <c r="G5445" s="8">
        <v>6.5</v>
      </c>
      <c r="H5445" s="8" t="s">
        <v>21</v>
      </c>
      <c r="I5445" s="8" t="s">
        <v>22</v>
      </c>
      <c r="J5445" s="8" t="s">
        <v>22</v>
      </c>
      <c r="K5445" s="8" t="s">
        <v>1136</v>
      </c>
      <c r="L5445" s="8" t="s">
        <v>18681</v>
      </c>
      <c r="M5445" s="8" t="s">
        <v>18682</v>
      </c>
      <c r="N5445" s="8" t="s">
        <v>24318</v>
      </c>
      <c r="O5445" s="8">
        <f>14+3/60+24.1/3600</f>
        <v>14.056694444444446</v>
      </c>
      <c r="P5445" s="8" t="s">
        <v>24319</v>
      </c>
      <c r="Q5445" s="8">
        <f>+(35+7/60+57/3600)</f>
        <v>35.1325</v>
      </c>
      <c r="R5445" s="8">
        <v>11.9</v>
      </c>
      <c r="S5445" s="8">
        <v>12.8</v>
      </c>
      <c r="T5445" s="8">
        <v>0.9</v>
      </c>
      <c r="U5445" s="8">
        <v>13.6</v>
      </c>
      <c r="V5445" s="8">
        <v>2.5</v>
      </c>
      <c r="W5445" s="8">
        <v>2</v>
      </c>
      <c r="X5445" s="8">
        <v>90</v>
      </c>
      <c r="Y5445" s="8" t="s">
        <v>21</v>
      </c>
      <c r="Z5445" s="8" t="s">
        <v>24320</v>
      </c>
    </row>
    <row r="5446" spans="1:26" x14ac:dyDescent="0.2">
      <c r="A5446" s="8">
        <v>5445</v>
      </c>
      <c r="B5446" s="8" t="s">
        <v>24321</v>
      </c>
      <c r="C5446" s="8" t="s">
        <v>24321</v>
      </c>
      <c r="F5446" s="47" t="s">
        <v>57880</v>
      </c>
      <c r="G5446" s="8">
        <v>6.5</v>
      </c>
      <c r="H5446" s="8" t="s">
        <v>21</v>
      </c>
      <c r="I5446" s="8" t="s">
        <v>22</v>
      </c>
      <c r="J5446" s="8" t="s">
        <v>22</v>
      </c>
      <c r="K5446" s="8" t="s">
        <v>37</v>
      </c>
      <c r="L5446" s="8" t="s">
        <v>18681</v>
      </c>
      <c r="M5446" s="8" t="s">
        <v>18682</v>
      </c>
      <c r="N5446" s="8" t="s">
        <v>24322</v>
      </c>
      <c r="O5446" s="8">
        <f>14+3/60+31.3/3600</f>
        <v>14.058694444444445</v>
      </c>
      <c r="P5446" s="8" t="s">
        <v>24323</v>
      </c>
      <c r="Q5446" s="8">
        <f>+(35+1/60+29/3600)</f>
        <v>35.024722222222223</v>
      </c>
      <c r="R5446" s="8">
        <v>13</v>
      </c>
      <c r="S5446" s="8">
        <v>14</v>
      </c>
      <c r="T5446" s="8">
        <v>1</v>
      </c>
      <c r="U5446" s="8">
        <v>12.9</v>
      </c>
      <c r="V5446" s="8">
        <v>1.5</v>
      </c>
      <c r="W5446" s="8">
        <v>0.7</v>
      </c>
      <c r="X5446" s="8">
        <v>27</v>
      </c>
      <c r="Y5446" s="8" t="s">
        <v>24324</v>
      </c>
      <c r="Z5446" s="8" t="s">
        <v>24325</v>
      </c>
    </row>
    <row r="5447" spans="1:26" x14ac:dyDescent="0.2">
      <c r="A5447" s="8">
        <v>5446</v>
      </c>
      <c r="B5447" s="8" t="s">
        <v>24326</v>
      </c>
      <c r="C5447" s="8" t="s">
        <v>24326</v>
      </c>
      <c r="F5447" s="47" t="s">
        <v>57881</v>
      </c>
      <c r="G5447" s="8">
        <v>15</v>
      </c>
      <c r="H5447" s="8" t="s">
        <v>21</v>
      </c>
      <c r="I5447" s="8" t="s">
        <v>22</v>
      </c>
      <c r="J5447" s="8" t="s">
        <v>22</v>
      </c>
      <c r="K5447" s="8" t="s">
        <v>58</v>
      </c>
      <c r="L5447" s="8" t="s">
        <v>22476</v>
      </c>
      <c r="M5447" s="8" t="s">
        <v>22477</v>
      </c>
      <c r="N5447" s="8" t="s">
        <v>24294</v>
      </c>
      <c r="O5447" s="8">
        <f>14+3/60+47.9/3600</f>
        <v>14.063305555555557</v>
      </c>
      <c r="P5447" s="8" t="s">
        <v>24295</v>
      </c>
      <c r="Q5447" s="8">
        <f>+(9+36/60+40/3600)</f>
        <v>9.6111111111111107</v>
      </c>
      <c r="R5447" s="8">
        <v>13.6</v>
      </c>
      <c r="S5447" s="8">
        <v>14.6</v>
      </c>
      <c r="T5447" s="8">
        <v>1</v>
      </c>
      <c r="U5447" s="8">
        <v>13.2</v>
      </c>
      <c r="V5447" s="8">
        <v>0.8</v>
      </c>
      <c r="W5447" s="8">
        <v>0.8</v>
      </c>
      <c r="Y5447" s="8" t="s">
        <v>962</v>
      </c>
      <c r="Z5447" s="8" t="s">
        <v>963</v>
      </c>
    </row>
    <row r="5448" spans="1:26" x14ac:dyDescent="0.2">
      <c r="A5448" s="8">
        <v>5447</v>
      </c>
      <c r="B5448" s="8" t="s">
        <v>24327</v>
      </c>
      <c r="C5448" s="8" t="s">
        <v>24327</v>
      </c>
      <c r="F5448" s="47" t="s">
        <v>57882</v>
      </c>
      <c r="G5448" s="8">
        <v>6.5</v>
      </c>
      <c r="H5448" s="8" t="s">
        <v>21</v>
      </c>
      <c r="I5448" s="8" t="s">
        <v>1075</v>
      </c>
      <c r="J5448" s="8" t="s">
        <v>1075</v>
      </c>
      <c r="K5448" s="8" t="s">
        <v>1075</v>
      </c>
      <c r="L5448" s="8" t="s">
        <v>12015</v>
      </c>
      <c r="M5448" s="8" t="s">
        <v>12016</v>
      </c>
      <c r="N5448" s="8" t="s">
        <v>24328</v>
      </c>
      <c r="O5448" s="8">
        <f>14+2/60+29/3600</f>
        <v>14.041388888888889</v>
      </c>
      <c r="P5448" s="8" t="s">
        <v>24329</v>
      </c>
      <c r="Q5448" s="8">
        <f>+(54+16/60+21/3600)</f>
        <v>54.272500000000001</v>
      </c>
      <c r="R5448" s="8">
        <v>13.5</v>
      </c>
      <c r="S5448" s="8">
        <v>99</v>
      </c>
      <c r="T5448" s="8">
        <v>99</v>
      </c>
      <c r="U5448" s="8">
        <v>99</v>
      </c>
      <c r="V5448" s="8">
        <v>1</v>
      </c>
      <c r="Y5448" s="8" t="s">
        <v>21</v>
      </c>
      <c r="Z5448" s="8" t="s">
        <v>24330</v>
      </c>
    </row>
    <row r="5449" spans="1:26" x14ac:dyDescent="0.2">
      <c r="A5449" s="8">
        <v>5448</v>
      </c>
      <c r="B5449" s="8" t="s">
        <v>24331</v>
      </c>
      <c r="C5449" s="8" t="s">
        <v>24331</v>
      </c>
      <c r="F5449" s="47" t="s">
        <v>57883</v>
      </c>
      <c r="G5449" s="8">
        <v>6.5</v>
      </c>
      <c r="H5449" s="8" t="s">
        <v>21</v>
      </c>
      <c r="I5449" s="8" t="s">
        <v>22</v>
      </c>
      <c r="J5449" s="8" t="s">
        <v>22</v>
      </c>
      <c r="K5449" s="8" t="s">
        <v>154</v>
      </c>
      <c r="L5449" s="8" t="s">
        <v>12015</v>
      </c>
      <c r="M5449" s="8" t="s">
        <v>12016</v>
      </c>
      <c r="N5449" s="8" t="s">
        <v>24332</v>
      </c>
      <c r="O5449" s="8">
        <f>14+2/60+50.4/3600</f>
        <v>14.047333333333333</v>
      </c>
      <c r="P5449" s="8" t="s">
        <v>24333</v>
      </c>
      <c r="Q5449" s="8">
        <f>+(49+10/60+21/3600)</f>
        <v>49.172499999999999</v>
      </c>
      <c r="R5449" s="8">
        <v>11</v>
      </c>
      <c r="S5449" s="8">
        <v>11.9</v>
      </c>
      <c r="T5449" s="8">
        <v>0.9</v>
      </c>
      <c r="U5449" s="8">
        <v>13</v>
      </c>
      <c r="V5449" s="8">
        <v>3.8</v>
      </c>
      <c r="W5449" s="8">
        <v>2</v>
      </c>
      <c r="X5449" s="8">
        <v>115</v>
      </c>
      <c r="Y5449" s="8" t="s">
        <v>21</v>
      </c>
      <c r="Z5449" s="8" t="s">
        <v>24334</v>
      </c>
    </row>
    <row r="5450" spans="1:26" x14ac:dyDescent="0.2">
      <c r="A5450" s="8">
        <v>5449</v>
      </c>
      <c r="B5450" s="8" t="s">
        <v>24335</v>
      </c>
      <c r="C5450" s="8" t="s">
        <v>24335</v>
      </c>
      <c r="F5450" s="47"/>
      <c r="G5450" s="8">
        <v>18</v>
      </c>
      <c r="H5450" s="8" t="s">
        <v>21</v>
      </c>
      <c r="I5450" s="8" t="s">
        <v>1075</v>
      </c>
      <c r="J5450" s="8" t="s">
        <v>1075</v>
      </c>
      <c r="K5450" s="8" t="s">
        <v>1075</v>
      </c>
      <c r="L5450" s="8" t="s">
        <v>12015</v>
      </c>
      <c r="M5450" s="8" t="s">
        <v>12016</v>
      </c>
      <c r="N5450" s="8" t="s">
        <v>24336</v>
      </c>
      <c r="O5450" s="8">
        <f>14+2/60+28.2/3600</f>
        <v>14.041166666666667</v>
      </c>
      <c r="P5450" s="8" t="s">
        <v>24337</v>
      </c>
      <c r="Q5450" s="8">
        <f>+(54+19/60+53/3600)</f>
        <v>54.331388888888895</v>
      </c>
      <c r="R5450" s="8">
        <v>14</v>
      </c>
      <c r="S5450" s="8">
        <v>99</v>
      </c>
      <c r="T5450" s="8">
        <v>99</v>
      </c>
      <c r="U5450" s="8">
        <v>99</v>
      </c>
      <c r="V5450" s="8">
        <v>1</v>
      </c>
      <c r="Y5450" s="8" t="s">
        <v>21</v>
      </c>
      <c r="Z5450" s="8" t="s">
        <v>24338</v>
      </c>
    </row>
    <row r="5451" spans="1:26" x14ac:dyDescent="0.2">
      <c r="A5451" s="8">
        <v>5450</v>
      </c>
      <c r="B5451" s="8" t="s">
        <v>24339</v>
      </c>
      <c r="C5451" s="8" t="s">
        <v>24339</v>
      </c>
      <c r="F5451" s="47"/>
      <c r="G5451" s="8">
        <v>18</v>
      </c>
      <c r="H5451" s="8" t="s">
        <v>21</v>
      </c>
      <c r="I5451" s="8" t="s">
        <v>1075</v>
      </c>
      <c r="J5451" s="8" t="s">
        <v>57</v>
      </c>
      <c r="K5451" s="8" t="s">
        <v>1075</v>
      </c>
      <c r="L5451" s="8" t="s">
        <v>12015</v>
      </c>
      <c r="M5451" s="8" t="s">
        <v>12016</v>
      </c>
      <c r="N5451" s="8" t="s">
        <v>24328</v>
      </c>
      <c r="O5451" s="8">
        <f>14+2/60+29/3600</f>
        <v>14.041388888888889</v>
      </c>
      <c r="P5451" s="8" t="s">
        <v>24329</v>
      </c>
      <c r="Q5451" s="8">
        <f>+(54+16/60+21/3600)</f>
        <v>54.272500000000001</v>
      </c>
      <c r="R5451" s="8">
        <v>13</v>
      </c>
      <c r="S5451" s="8">
        <v>99</v>
      </c>
      <c r="T5451" s="8">
        <v>99</v>
      </c>
      <c r="U5451" s="8">
        <v>99</v>
      </c>
      <c r="V5451" s="8">
        <v>1</v>
      </c>
      <c r="Y5451" s="8" t="s">
        <v>21</v>
      </c>
      <c r="Z5451" s="8" t="s">
        <v>24340</v>
      </c>
    </row>
    <row r="5452" spans="1:26" x14ac:dyDescent="0.2">
      <c r="A5452" s="8">
        <v>5451</v>
      </c>
      <c r="B5452" s="8" t="s">
        <v>24341</v>
      </c>
      <c r="C5452" s="8" t="s">
        <v>24341</v>
      </c>
      <c r="F5452" s="47"/>
      <c r="G5452" s="8">
        <v>18</v>
      </c>
      <c r="H5452" s="8" t="s">
        <v>21</v>
      </c>
      <c r="I5452" s="8" t="s">
        <v>1075</v>
      </c>
      <c r="J5452" s="8" t="s">
        <v>1075</v>
      </c>
      <c r="K5452" s="8" t="s">
        <v>1075</v>
      </c>
      <c r="L5452" s="8" t="s">
        <v>12015</v>
      </c>
      <c r="M5452" s="8" t="s">
        <v>12016</v>
      </c>
      <c r="N5452" s="8" t="s">
        <v>24342</v>
      </c>
      <c r="O5452" s="8">
        <f>14+2/60+36.5/3600</f>
        <v>14.043472222222222</v>
      </c>
      <c r="P5452" s="8" t="s">
        <v>24343</v>
      </c>
      <c r="Q5452" s="8">
        <f>+(54+21/60+49/3600)</f>
        <v>54.363611111111112</v>
      </c>
      <c r="R5452" s="8">
        <v>14</v>
      </c>
      <c r="S5452" s="8">
        <v>99</v>
      </c>
      <c r="T5452" s="8">
        <v>99</v>
      </c>
      <c r="U5452" s="8">
        <v>99</v>
      </c>
      <c r="V5452" s="8">
        <v>0.3</v>
      </c>
      <c r="Y5452" s="8" t="s">
        <v>21</v>
      </c>
      <c r="Z5452" s="8" t="s">
        <v>24344</v>
      </c>
    </row>
    <row r="5453" spans="1:26" x14ac:dyDescent="0.2">
      <c r="A5453" s="8">
        <v>5452</v>
      </c>
      <c r="B5453" s="8" t="s">
        <v>24345</v>
      </c>
      <c r="C5453" s="8" t="s">
        <v>24345</v>
      </c>
      <c r="F5453" s="47" t="s">
        <v>57884</v>
      </c>
      <c r="G5453" s="8">
        <v>15</v>
      </c>
      <c r="H5453" s="8" t="s">
        <v>21</v>
      </c>
      <c r="I5453" s="8" t="s">
        <v>22</v>
      </c>
      <c r="J5453" s="8" t="s">
        <v>22</v>
      </c>
      <c r="K5453" s="8" t="s">
        <v>1277</v>
      </c>
      <c r="L5453" s="8" t="s">
        <v>14586</v>
      </c>
      <c r="M5453" s="8" t="s">
        <v>14587</v>
      </c>
      <c r="N5453" s="8" t="s">
        <v>24346</v>
      </c>
      <c r="O5453" s="8">
        <f>13+54/60+24.3/3600</f>
        <v>13.906750000000001</v>
      </c>
      <c r="P5453" s="8" t="s">
        <v>24347</v>
      </c>
      <c r="Q5453" s="8">
        <f>+(78+13/60+14/3600)</f>
        <v>78.220555555555563</v>
      </c>
      <c r="R5453" s="8">
        <v>13.3</v>
      </c>
      <c r="S5453" s="8">
        <v>14</v>
      </c>
      <c r="T5453" s="8">
        <v>0.7</v>
      </c>
      <c r="U5453" s="8">
        <v>14.3</v>
      </c>
      <c r="V5453" s="8">
        <v>2</v>
      </c>
      <c r="W5453" s="8">
        <v>1.5</v>
      </c>
      <c r="X5453" s="8">
        <v>120</v>
      </c>
      <c r="Y5453" s="8" t="s">
        <v>24348</v>
      </c>
      <c r="Z5453" s="8" t="s">
        <v>14168</v>
      </c>
    </row>
    <row r="5454" spans="1:26" x14ac:dyDescent="0.2">
      <c r="A5454" s="8">
        <v>5453</v>
      </c>
      <c r="B5454" s="8" t="s">
        <v>24349</v>
      </c>
      <c r="C5454" s="8" t="s">
        <v>24349</v>
      </c>
      <c r="F5454" s="47"/>
      <c r="G5454" s="8">
        <v>18</v>
      </c>
      <c r="H5454" s="8" t="s">
        <v>21</v>
      </c>
      <c r="I5454" s="8" t="s">
        <v>1075</v>
      </c>
      <c r="J5454" s="8" t="s">
        <v>1075</v>
      </c>
      <c r="K5454" s="8" t="s">
        <v>1075</v>
      </c>
      <c r="L5454" s="8" t="s">
        <v>12015</v>
      </c>
      <c r="M5454" s="8" t="s">
        <v>12016</v>
      </c>
      <c r="N5454" s="8" t="s">
        <v>24350</v>
      </c>
      <c r="O5454" s="8">
        <f>14+2/60+56.7/3600</f>
        <v>14.049083333333334</v>
      </c>
      <c r="P5454" s="8" t="s">
        <v>24351</v>
      </c>
      <c r="Q5454" s="8">
        <f>+(54+18/60+31/3600)</f>
        <v>54.308611111111105</v>
      </c>
      <c r="R5454" s="8">
        <v>13.8</v>
      </c>
      <c r="S5454" s="8">
        <v>99</v>
      </c>
      <c r="T5454" s="8">
        <v>99</v>
      </c>
      <c r="U5454" s="8">
        <v>99</v>
      </c>
      <c r="V5454" s="8">
        <v>0.5</v>
      </c>
      <c r="Y5454" s="8" t="s">
        <v>21</v>
      </c>
      <c r="Z5454" s="8" t="s">
        <v>24352</v>
      </c>
    </row>
    <row r="5455" spans="1:26" x14ac:dyDescent="0.2">
      <c r="A5455" s="8">
        <v>5454</v>
      </c>
      <c r="B5455" s="8" t="s">
        <v>24353</v>
      </c>
      <c r="C5455" s="8" t="s">
        <v>24353</v>
      </c>
      <c r="F5455" s="47"/>
      <c r="G5455" s="8">
        <v>18</v>
      </c>
      <c r="H5455" s="8" t="s">
        <v>21</v>
      </c>
      <c r="I5455" s="8" t="s">
        <v>22</v>
      </c>
      <c r="J5455" s="8" t="s">
        <v>22</v>
      </c>
      <c r="K5455" s="8" t="s">
        <v>37</v>
      </c>
      <c r="L5455" s="8" t="s">
        <v>22476</v>
      </c>
      <c r="M5455" s="8" t="s">
        <v>22477</v>
      </c>
      <c r="N5455" s="8" t="s">
        <v>24354</v>
      </c>
      <c r="O5455" s="8">
        <f>14+4/60+45.7/3600</f>
        <v>14.07936111111111</v>
      </c>
      <c r="P5455" s="8" t="s">
        <v>24355</v>
      </c>
      <c r="Q5455" s="8">
        <f>+(14+22/60+55/3600)</f>
        <v>14.381944444444445</v>
      </c>
      <c r="R5455" s="8">
        <v>12.7</v>
      </c>
      <c r="S5455" s="8">
        <v>13.7</v>
      </c>
      <c r="T5455" s="8">
        <v>1</v>
      </c>
      <c r="U5455" s="8">
        <v>13</v>
      </c>
      <c r="V5455" s="8">
        <v>1.5</v>
      </c>
      <c r="W5455" s="8">
        <v>0.9</v>
      </c>
      <c r="X5455" s="8">
        <v>110</v>
      </c>
      <c r="Y5455" s="8" t="s">
        <v>6001</v>
      </c>
      <c r="Z5455" s="8" t="s">
        <v>6002</v>
      </c>
    </row>
    <row r="5456" spans="1:26" x14ac:dyDescent="0.2">
      <c r="A5456" s="8">
        <v>5455</v>
      </c>
      <c r="B5456" s="8" t="s">
        <v>24356</v>
      </c>
      <c r="C5456" s="8" t="s">
        <v>24356</v>
      </c>
      <c r="F5456" s="47"/>
      <c r="G5456" s="8">
        <v>18</v>
      </c>
      <c r="H5456" s="8" t="s">
        <v>21</v>
      </c>
      <c r="I5456" s="8" t="s">
        <v>1075</v>
      </c>
      <c r="J5456" s="8" t="s">
        <v>1075</v>
      </c>
      <c r="K5456" s="8" t="s">
        <v>1075</v>
      </c>
      <c r="L5456" s="8" t="s">
        <v>12015</v>
      </c>
      <c r="M5456" s="8" t="s">
        <v>12016</v>
      </c>
      <c r="N5456" s="8" t="s">
        <v>24357</v>
      </c>
      <c r="O5456" s="8">
        <f>14+3/60+1/3600</f>
        <v>14.050277777777778</v>
      </c>
      <c r="P5456" s="8" t="s">
        <v>24358</v>
      </c>
      <c r="Q5456" s="8">
        <f>+(54+14/60+27/3600)</f>
        <v>54.240833333333335</v>
      </c>
      <c r="R5456" s="8">
        <v>13</v>
      </c>
      <c r="S5456" s="8">
        <v>99</v>
      </c>
      <c r="T5456" s="8">
        <v>99</v>
      </c>
      <c r="U5456" s="8">
        <v>99</v>
      </c>
      <c r="V5456" s="8">
        <v>0.4</v>
      </c>
      <c r="Y5456" s="8" t="s">
        <v>21</v>
      </c>
      <c r="Z5456" s="8" t="s">
        <v>24359</v>
      </c>
    </row>
    <row r="5457" spans="1:26" x14ac:dyDescent="0.2">
      <c r="A5457" s="8">
        <v>5456</v>
      </c>
      <c r="B5457" s="8" t="s">
        <v>24360</v>
      </c>
      <c r="C5457" s="8" t="s">
        <v>24360</v>
      </c>
      <c r="F5457" s="47"/>
      <c r="G5457" s="8">
        <v>18</v>
      </c>
      <c r="H5457" s="8" t="s">
        <v>21</v>
      </c>
      <c r="I5457" s="8" t="s">
        <v>22</v>
      </c>
      <c r="J5457" s="8" t="s">
        <v>22</v>
      </c>
      <c r="K5457" s="8" t="s">
        <v>37</v>
      </c>
      <c r="L5457" s="8" t="s">
        <v>22476</v>
      </c>
      <c r="M5457" s="8" t="s">
        <v>22477</v>
      </c>
      <c r="N5457" s="8" t="s">
        <v>24361</v>
      </c>
      <c r="O5457" s="8">
        <f>14+4/60+58.8/3600</f>
        <v>14.083</v>
      </c>
      <c r="P5457" s="8" t="s">
        <v>24362</v>
      </c>
      <c r="Q5457" s="8">
        <f>+(11+52/60+18/3600)</f>
        <v>11.871666666666668</v>
      </c>
      <c r="R5457" s="8">
        <v>12.9</v>
      </c>
      <c r="S5457" s="8">
        <v>13.9</v>
      </c>
      <c r="T5457" s="8">
        <v>1</v>
      </c>
      <c r="U5457" s="8">
        <v>12.9</v>
      </c>
      <c r="V5457" s="8">
        <v>1.2</v>
      </c>
      <c r="W5457" s="8">
        <v>1</v>
      </c>
      <c r="X5457" s="8">
        <v>175</v>
      </c>
      <c r="Y5457" s="8" t="s">
        <v>5240</v>
      </c>
      <c r="Z5457" s="8" t="s">
        <v>5241</v>
      </c>
    </row>
    <row r="5458" spans="1:26" x14ac:dyDescent="0.2">
      <c r="A5458" s="8">
        <v>5457</v>
      </c>
      <c r="B5458" s="8" t="s">
        <v>24363</v>
      </c>
      <c r="C5458" s="8" t="s">
        <v>55923</v>
      </c>
      <c r="F5458" s="47"/>
      <c r="G5458" s="8">
        <v>1</v>
      </c>
      <c r="H5458" s="8" t="s">
        <v>24364</v>
      </c>
      <c r="I5458" s="8" t="s">
        <v>22</v>
      </c>
      <c r="J5458" s="8" t="s">
        <v>22</v>
      </c>
      <c r="K5458" s="8" t="s">
        <v>160</v>
      </c>
      <c r="L5458" s="8" t="s">
        <v>12015</v>
      </c>
      <c r="M5458" s="8" t="s">
        <v>12016</v>
      </c>
      <c r="N5458" s="8" t="s">
        <v>24365</v>
      </c>
      <c r="O5458" s="8">
        <f>14+3/60+12.4/3600</f>
        <v>14.053444444444445</v>
      </c>
      <c r="P5458" s="8" t="s">
        <v>24366</v>
      </c>
      <c r="Q5458" s="8">
        <f>+(54+20/60+58/3600)</f>
        <v>54.349444444444444</v>
      </c>
      <c r="R5458" s="8">
        <v>7.9</v>
      </c>
      <c r="S5458" s="8">
        <v>8.3000000000000007</v>
      </c>
      <c r="T5458" s="8">
        <v>0.4</v>
      </c>
      <c r="U5458" s="8">
        <v>14.9</v>
      </c>
      <c r="V5458" s="8">
        <v>28.8</v>
      </c>
      <c r="W5458" s="8">
        <v>26.9</v>
      </c>
      <c r="X5458" s="8">
        <v>26</v>
      </c>
      <c r="Y5458" s="8" t="s">
        <v>24367</v>
      </c>
      <c r="Z5458" s="8" t="s">
        <v>24368</v>
      </c>
    </row>
    <row r="5459" spans="1:26" x14ac:dyDescent="0.2">
      <c r="A5459" s="8">
        <v>5458</v>
      </c>
      <c r="B5459" s="8" t="s">
        <v>24369</v>
      </c>
      <c r="C5459" s="8" t="s">
        <v>24369</v>
      </c>
      <c r="F5459" s="47"/>
      <c r="G5459" s="8">
        <v>18</v>
      </c>
      <c r="H5459" s="8" t="s">
        <v>21</v>
      </c>
      <c r="I5459" s="8" t="s">
        <v>1075</v>
      </c>
      <c r="J5459" s="8" t="s">
        <v>1075</v>
      </c>
      <c r="K5459" s="8" t="s">
        <v>1075</v>
      </c>
      <c r="L5459" s="8" t="s">
        <v>12015</v>
      </c>
      <c r="M5459" s="8" t="s">
        <v>12016</v>
      </c>
      <c r="N5459" s="8" t="s">
        <v>24365</v>
      </c>
      <c r="O5459" s="8">
        <f>14+3/60+12.4/3600</f>
        <v>14.053444444444445</v>
      </c>
      <c r="P5459" s="8" t="s">
        <v>24370</v>
      </c>
      <c r="Q5459" s="8">
        <f>+(54+17/60+56/3600)</f>
        <v>54.298888888888889</v>
      </c>
      <c r="R5459" s="8">
        <v>14</v>
      </c>
      <c r="S5459" s="8">
        <v>99</v>
      </c>
      <c r="T5459" s="8">
        <v>99</v>
      </c>
      <c r="U5459" s="8">
        <v>99</v>
      </c>
      <c r="V5459" s="8">
        <v>0.6</v>
      </c>
      <c r="Y5459" s="8" t="s">
        <v>21</v>
      </c>
      <c r="Z5459" s="8" t="s">
        <v>24371</v>
      </c>
    </row>
    <row r="5460" spans="1:26" x14ac:dyDescent="0.2">
      <c r="A5460" s="8">
        <v>5459</v>
      </c>
      <c r="B5460" s="8" t="s">
        <v>24372</v>
      </c>
      <c r="C5460" s="8" t="s">
        <v>24372</v>
      </c>
      <c r="F5460" s="47"/>
      <c r="G5460" s="8">
        <v>19</v>
      </c>
      <c r="H5460" s="8" t="s">
        <v>21</v>
      </c>
      <c r="I5460" s="8" t="s">
        <v>22</v>
      </c>
      <c r="J5460" s="8" t="s">
        <v>22</v>
      </c>
      <c r="K5460" s="8" t="s">
        <v>37</v>
      </c>
      <c r="L5460" s="8" t="s">
        <v>22476</v>
      </c>
      <c r="M5460" s="8" t="s">
        <v>22477</v>
      </c>
      <c r="N5460" s="8" t="s">
        <v>24373</v>
      </c>
      <c r="O5460" s="8">
        <f>14+5/60+0.1/3600</f>
        <v>14.083361111111111</v>
      </c>
      <c r="P5460" s="8" t="s">
        <v>24374</v>
      </c>
      <c r="Q5460" s="8">
        <f>+(13+7/60+57/3600)</f>
        <v>13.1325</v>
      </c>
      <c r="R5460" s="8">
        <v>13.1</v>
      </c>
      <c r="S5460" s="8">
        <v>14.1</v>
      </c>
      <c r="T5460" s="8">
        <v>1</v>
      </c>
      <c r="U5460" s="8">
        <v>13.1</v>
      </c>
      <c r="V5460" s="8">
        <v>1.1000000000000001</v>
      </c>
      <c r="W5460" s="8">
        <v>1</v>
      </c>
      <c r="X5460" s="8">
        <v>10</v>
      </c>
      <c r="Y5460" s="8" t="s">
        <v>21</v>
      </c>
      <c r="Z5460" s="8" t="s">
        <v>24375</v>
      </c>
    </row>
    <row r="5461" spans="1:26" x14ac:dyDescent="0.2">
      <c r="A5461" s="8">
        <v>5460</v>
      </c>
      <c r="B5461" s="8" t="s">
        <v>24376</v>
      </c>
      <c r="C5461" s="8" t="s">
        <v>24376</v>
      </c>
      <c r="F5461" s="47"/>
      <c r="G5461" s="8">
        <v>5</v>
      </c>
      <c r="H5461" s="8" t="s">
        <v>21</v>
      </c>
      <c r="I5461" s="8" t="s">
        <v>557</v>
      </c>
      <c r="J5461" s="8" t="s">
        <v>557</v>
      </c>
      <c r="K5461" s="8" t="s">
        <v>3170</v>
      </c>
      <c r="L5461" s="8" t="s">
        <v>16195</v>
      </c>
      <c r="M5461" s="8" t="s">
        <v>16196</v>
      </c>
      <c r="N5461" s="8" t="s">
        <v>24377</v>
      </c>
      <c r="O5461" s="8">
        <f>14+7/60+36/3600</f>
        <v>14.126666666666667</v>
      </c>
      <c r="P5461" s="8" t="s">
        <v>24378</v>
      </c>
      <c r="Q5461" s="8">
        <f>-(48+18/60+0/3600)</f>
        <v>-48.3</v>
      </c>
      <c r="R5461" s="8">
        <v>5.6</v>
      </c>
      <c r="S5461" s="8">
        <v>99</v>
      </c>
      <c r="T5461" s="8">
        <v>99</v>
      </c>
      <c r="U5461" s="8">
        <v>99</v>
      </c>
      <c r="V5461" s="8">
        <v>35</v>
      </c>
      <c r="Y5461" s="8" t="s">
        <v>24379</v>
      </c>
      <c r="Z5461" s="8" t="s">
        <v>24380</v>
      </c>
    </row>
    <row r="5462" spans="1:26" x14ac:dyDescent="0.2">
      <c r="A5462" s="8">
        <v>5461</v>
      </c>
      <c r="B5462" s="8" t="s">
        <v>24381</v>
      </c>
      <c r="C5462" s="8" t="s">
        <v>24381</v>
      </c>
      <c r="F5462" s="47" t="s">
        <v>57885</v>
      </c>
      <c r="G5462" s="8">
        <v>15</v>
      </c>
      <c r="H5462" s="8" t="s">
        <v>21</v>
      </c>
      <c r="I5462" s="8" t="s">
        <v>1075</v>
      </c>
      <c r="J5462" s="8" t="s">
        <v>1075</v>
      </c>
      <c r="K5462" s="8" t="s">
        <v>1075</v>
      </c>
      <c r="L5462" s="8" t="s">
        <v>12015</v>
      </c>
      <c r="M5462" s="8" t="s">
        <v>12016</v>
      </c>
      <c r="N5462" s="8" t="s">
        <v>24382</v>
      </c>
      <c r="O5462" s="8">
        <f>14+3/60+41.5/3600</f>
        <v>14.061527777777778</v>
      </c>
      <c r="P5462" s="8" t="s">
        <v>24383</v>
      </c>
      <c r="Q5462" s="8">
        <f>+(54+19/60+5/3600)</f>
        <v>54.31805555555556</v>
      </c>
      <c r="R5462" s="8">
        <v>14</v>
      </c>
      <c r="S5462" s="8">
        <v>99</v>
      </c>
      <c r="T5462" s="8">
        <v>99</v>
      </c>
      <c r="U5462" s="8">
        <v>99</v>
      </c>
      <c r="V5462" s="8">
        <v>0.6</v>
      </c>
      <c r="Y5462" s="8" t="s">
        <v>21</v>
      </c>
      <c r="Z5462" s="8" t="s">
        <v>24384</v>
      </c>
    </row>
    <row r="5463" spans="1:26" x14ac:dyDescent="0.2">
      <c r="A5463" s="8">
        <v>5462</v>
      </c>
      <c r="B5463" s="8" t="s">
        <v>24385</v>
      </c>
      <c r="C5463" s="8" t="s">
        <v>24385</v>
      </c>
      <c r="F5463" s="47" t="s">
        <v>57886</v>
      </c>
      <c r="G5463" s="8">
        <v>6.5</v>
      </c>
      <c r="H5463" s="8" t="s">
        <v>21</v>
      </c>
      <c r="I5463" s="8" t="s">
        <v>1075</v>
      </c>
      <c r="J5463" s="8" t="s">
        <v>1075</v>
      </c>
      <c r="K5463" s="8" t="s">
        <v>1075</v>
      </c>
      <c r="L5463" s="8" t="s">
        <v>12015</v>
      </c>
      <c r="M5463" s="8" t="s">
        <v>12016</v>
      </c>
      <c r="N5463" s="8" t="s">
        <v>24386</v>
      </c>
      <c r="O5463" s="8">
        <f>14+3/60+53/3600</f>
        <v>14.064722222222223</v>
      </c>
      <c r="P5463" s="8" t="s">
        <v>24387</v>
      </c>
      <c r="Q5463" s="8">
        <f>+(54+22/60+2/3600)</f>
        <v>54.367222222222225</v>
      </c>
      <c r="R5463" s="8">
        <v>13.5</v>
      </c>
      <c r="S5463" s="8">
        <v>99</v>
      </c>
      <c r="T5463" s="8">
        <v>99</v>
      </c>
      <c r="U5463" s="8">
        <v>99</v>
      </c>
      <c r="V5463" s="8">
        <v>1</v>
      </c>
      <c r="Y5463" s="8" t="s">
        <v>21</v>
      </c>
      <c r="Z5463" s="8" t="s">
        <v>24388</v>
      </c>
    </row>
    <row r="5464" spans="1:26" x14ac:dyDescent="0.2">
      <c r="A5464" s="8">
        <v>5463</v>
      </c>
      <c r="B5464" s="8" t="s">
        <v>24389</v>
      </c>
      <c r="C5464" s="8" t="s">
        <v>24389</v>
      </c>
      <c r="F5464" s="47" t="s">
        <v>57887</v>
      </c>
      <c r="G5464" s="8">
        <v>15</v>
      </c>
      <c r="H5464" s="8" t="s">
        <v>21</v>
      </c>
      <c r="I5464" s="8" t="s">
        <v>22</v>
      </c>
      <c r="J5464" s="8" t="s">
        <v>22</v>
      </c>
      <c r="K5464" s="8" t="s">
        <v>476</v>
      </c>
      <c r="L5464" s="8" t="s">
        <v>22476</v>
      </c>
      <c r="M5464" s="8" t="s">
        <v>22477</v>
      </c>
      <c r="N5464" s="8" t="s">
        <v>24390</v>
      </c>
      <c r="O5464" s="8">
        <f>14+6/60+10.6/3600</f>
        <v>14.102944444444445</v>
      </c>
      <c r="P5464" s="8" t="s">
        <v>24391</v>
      </c>
      <c r="Q5464" s="8">
        <f>+(9+21/60+11/3600)</f>
        <v>9.3530555555555548</v>
      </c>
      <c r="R5464" s="8">
        <v>13.2</v>
      </c>
      <c r="S5464" s="8">
        <v>14.1</v>
      </c>
      <c r="T5464" s="8">
        <v>0.9</v>
      </c>
      <c r="U5464" s="8">
        <v>12.5</v>
      </c>
      <c r="V5464" s="8">
        <v>1.2</v>
      </c>
      <c r="W5464" s="8">
        <v>0.5</v>
      </c>
      <c r="X5464" s="8">
        <v>49</v>
      </c>
      <c r="Y5464" s="8" t="s">
        <v>146</v>
      </c>
      <c r="Z5464" s="8" t="s">
        <v>147</v>
      </c>
    </row>
    <row r="5465" spans="1:26" x14ac:dyDescent="0.2">
      <c r="A5465" s="8">
        <v>5464</v>
      </c>
      <c r="B5465" s="8" t="s">
        <v>24392</v>
      </c>
      <c r="C5465" s="8" t="s">
        <v>24392</v>
      </c>
      <c r="F5465" s="47"/>
      <c r="G5465" s="8">
        <v>13</v>
      </c>
      <c r="H5465" s="8" t="s">
        <v>21</v>
      </c>
      <c r="I5465" s="8" t="s">
        <v>22</v>
      </c>
      <c r="J5465" s="8" t="s">
        <v>22</v>
      </c>
      <c r="K5465" s="8" t="s">
        <v>323</v>
      </c>
      <c r="L5465" s="8" t="s">
        <v>11765</v>
      </c>
      <c r="M5465" s="8" t="s">
        <v>11766</v>
      </c>
      <c r="N5465" s="8" t="s">
        <v>24393</v>
      </c>
      <c r="O5465" s="8">
        <f>14+7/60+4.1/3600</f>
        <v>14.117805555555556</v>
      </c>
      <c r="P5465" s="8" t="s">
        <v>24394</v>
      </c>
      <c r="Q5465" s="8">
        <f>-(30+1/60+2/3600)</f>
        <v>-30.01722222222222</v>
      </c>
      <c r="R5465" s="8">
        <v>13</v>
      </c>
      <c r="S5465" s="8">
        <v>13.3</v>
      </c>
      <c r="T5465" s="8">
        <v>0.3</v>
      </c>
      <c r="U5465" s="8">
        <v>12.8</v>
      </c>
      <c r="V5465" s="8">
        <v>1.3</v>
      </c>
      <c r="W5465" s="8">
        <v>0.8</v>
      </c>
      <c r="X5465" s="8">
        <v>85</v>
      </c>
      <c r="Y5465" s="8" t="s">
        <v>24395</v>
      </c>
      <c r="Z5465" s="8" t="s">
        <v>24396</v>
      </c>
    </row>
    <row r="5466" spans="1:26" x14ac:dyDescent="0.2">
      <c r="A5466" s="8">
        <v>5465</v>
      </c>
      <c r="B5466" s="8" t="s">
        <v>24397</v>
      </c>
      <c r="C5466" s="8" t="s">
        <v>24397</v>
      </c>
      <c r="F5466" s="47"/>
      <c r="G5466" s="8">
        <v>19</v>
      </c>
      <c r="H5466" s="8" t="s">
        <v>21</v>
      </c>
      <c r="I5466" s="8" t="s">
        <v>72</v>
      </c>
      <c r="J5466" s="8" t="s">
        <v>72</v>
      </c>
      <c r="K5466" s="8" t="s">
        <v>20</v>
      </c>
      <c r="L5466" s="8" t="s">
        <v>17287</v>
      </c>
      <c r="M5466" s="8" t="s">
        <v>17288</v>
      </c>
      <c r="N5466" s="8" t="s">
        <v>24398</v>
      </c>
      <c r="O5466" s="8">
        <f>14+6/60+27.3/3600</f>
        <v>14.107583333333332</v>
      </c>
      <c r="P5466" s="8" t="s">
        <v>24399</v>
      </c>
      <c r="Q5466" s="8">
        <f>-(5+30/60+24/3600)</f>
        <v>-5.5066666666666668</v>
      </c>
      <c r="R5466" s="8">
        <v>99</v>
      </c>
      <c r="S5466" s="8">
        <v>15</v>
      </c>
      <c r="T5466" s="8">
        <v>99</v>
      </c>
      <c r="U5466" s="8">
        <v>99</v>
      </c>
      <c r="Y5466" s="8" t="s">
        <v>21</v>
      </c>
      <c r="Z5466" s="8" t="s">
        <v>24400</v>
      </c>
    </row>
    <row r="5467" spans="1:26" x14ac:dyDescent="0.2">
      <c r="A5467" s="8">
        <v>5466</v>
      </c>
      <c r="B5467" s="8" t="s">
        <v>24401</v>
      </c>
      <c r="C5467" s="8" t="s">
        <v>24401</v>
      </c>
      <c r="F5467" s="47" t="s">
        <v>57888</v>
      </c>
      <c r="G5467" s="8">
        <v>5</v>
      </c>
      <c r="H5467" s="8" t="s">
        <v>24402</v>
      </c>
      <c r="I5467" s="8" t="s">
        <v>567</v>
      </c>
      <c r="J5467" s="8" t="s">
        <v>567</v>
      </c>
      <c r="K5467" s="8" t="s">
        <v>19801</v>
      </c>
      <c r="L5467" s="8" t="s">
        <v>22476</v>
      </c>
      <c r="M5467" s="8" t="s">
        <v>22477</v>
      </c>
      <c r="N5467" s="8" t="s">
        <v>24403</v>
      </c>
      <c r="O5467" s="8">
        <f>14+5/60+27.3/3600</f>
        <v>14.090916666666667</v>
      </c>
      <c r="P5467" s="8" t="s">
        <v>24404</v>
      </c>
      <c r="Q5467" s="8">
        <f>+(28+32/60+6/3600)</f>
        <v>28.535</v>
      </c>
      <c r="R5467" s="8">
        <v>9.1999999999999993</v>
      </c>
      <c r="S5467" s="8">
        <v>99</v>
      </c>
      <c r="T5467" s="8">
        <v>99</v>
      </c>
      <c r="U5467" s="8">
        <v>99</v>
      </c>
      <c r="V5467" s="8">
        <v>9</v>
      </c>
      <c r="Y5467" s="8" t="s">
        <v>24405</v>
      </c>
      <c r="Z5467" s="8" t="s">
        <v>24406</v>
      </c>
    </row>
    <row r="5468" spans="1:26" x14ac:dyDescent="0.2">
      <c r="A5468" s="8">
        <v>5467</v>
      </c>
      <c r="B5468" s="8" t="s">
        <v>24407</v>
      </c>
      <c r="C5468" s="8" t="s">
        <v>24407</v>
      </c>
      <c r="F5468" s="47"/>
      <c r="G5468" s="8">
        <v>19</v>
      </c>
      <c r="H5468" s="8" t="s">
        <v>21</v>
      </c>
      <c r="I5468" s="8" t="s">
        <v>72</v>
      </c>
      <c r="J5468" s="8" t="s">
        <v>72</v>
      </c>
      <c r="K5468" s="8" t="s">
        <v>20</v>
      </c>
      <c r="L5468" s="8" t="s">
        <v>17287</v>
      </c>
      <c r="M5468" s="8" t="s">
        <v>17288</v>
      </c>
      <c r="N5468" s="8" t="s">
        <v>24408</v>
      </c>
      <c r="O5468" s="8">
        <f>14+6/60+29.4/3600</f>
        <v>14.108166666666666</v>
      </c>
      <c r="P5468" s="8" t="s">
        <v>24409</v>
      </c>
      <c r="Q5468" s="8">
        <f>-(5+28/60+54/3600)</f>
        <v>-5.4816666666666665</v>
      </c>
      <c r="R5468" s="8">
        <v>99</v>
      </c>
      <c r="S5468" s="8">
        <v>15.3</v>
      </c>
      <c r="T5468" s="8">
        <v>99</v>
      </c>
      <c r="U5468" s="8">
        <v>99</v>
      </c>
      <c r="Y5468" s="8" t="s">
        <v>21</v>
      </c>
      <c r="Z5468" s="8" t="s">
        <v>24410</v>
      </c>
    </row>
    <row r="5469" spans="1:26" x14ac:dyDescent="0.2">
      <c r="A5469" s="8">
        <v>5468</v>
      </c>
      <c r="B5469" s="8" t="s">
        <v>24411</v>
      </c>
      <c r="C5469" s="8" t="s">
        <v>24411</v>
      </c>
      <c r="F5469" s="47" t="s">
        <v>57889</v>
      </c>
      <c r="G5469" s="8">
        <v>13</v>
      </c>
      <c r="H5469" s="8" t="s">
        <v>21</v>
      </c>
      <c r="I5469" s="8" t="s">
        <v>22</v>
      </c>
      <c r="J5469" s="8" t="s">
        <v>22</v>
      </c>
      <c r="K5469" s="8" t="s">
        <v>64</v>
      </c>
      <c r="L5469" s="8" t="s">
        <v>17287</v>
      </c>
      <c r="M5469" s="8" t="s">
        <v>17288</v>
      </c>
      <c r="N5469" s="8" t="s">
        <v>24412</v>
      </c>
      <c r="O5469" s="8">
        <f>14+6/60+35/3600</f>
        <v>14.109722222222222</v>
      </c>
      <c r="P5469" s="8" t="s">
        <v>24413</v>
      </c>
      <c r="Q5469" s="8">
        <f>-(5+27/60+11/3600)</f>
        <v>-5.4530555555555553</v>
      </c>
      <c r="R5469" s="8">
        <v>12.5</v>
      </c>
      <c r="S5469" s="8">
        <v>13</v>
      </c>
      <c r="T5469" s="8">
        <v>0.5</v>
      </c>
      <c r="U5469" s="8">
        <v>14.4</v>
      </c>
      <c r="V5469" s="8">
        <v>2.4</v>
      </c>
      <c r="W5469" s="8">
        <v>2.2999999999999998</v>
      </c>
      <c r="X5469" s="8">
        <v>105</v>
      </c>
      <c r="Y5469" s="8" t="s">
        <v>24414</v>
      </c>
      <c r="Z5469" s="8" t="s">
        <v>24415</v>
      </c>
    </row>
    <row r="5470" spans="1:26" x14ac:dyDescent="0.2">
      <c r="A5470" s="8">
        <v>5469</v>
      </c>
      <c r="B5470" s="8" t="s">
        <v>24416</v>
      </c>
      <c r="C5470" s="8" t="s">
        <v>24416</v>
      </c>
      <c r="F5470" s="47"/>
      <c r="G5470" s="8">
        <v>19</v>
      </c>
      <c r="H5470" s="8" t="s">
        <v>21</v>
      </c>
      <c r="I5470" s="8" t="s">
        <v>22</v>
      </c>
      <c r="J5470" s="8" t="s">
        <v>22</v>
      </c>
      <c r="K5470" s="8" t="s">
        <v>37</v>
      </c>
      <c r="L5470" s="8" t="s">
        <v>22476</v>
      </c>
      <c r="M5470" s="8" t="s">
        <v>22477</v>
      </c>
      <c r="N5470" s="8" t="s">
        <v>24417</v>
      </c>
      <c r="O5470" s="8">
        <f>14+12/60+29.9/3600</f>
        <v>14.208305555555555</v>
      </c>
      <c r="P5470" s="8" t="s">
        <v>24418</v>
      </c>
      <c r="Q5470" s="8">
        <f>+(8+38/60+52/3600)</f>
        <v>8.6477777777777778</v>
      </c>
      <c r="R5470" s="8">
        <v>14.2</v>
      </c>
      <c r="S5470" s="8">
        <v>15.2</v>
      </c>
      <c r="T5470" s="8">
        <v>1</v>
      </c>
      <c r="U5470" s="8">
        <v>13.5</v>
      </c>
      <c r="V5470" s="8">
        <v>0.5</v>
      </c>
      <c r="W5470" s="8">
        <v>0.4</v>
      </c>
      <c r="X5470" s="8">
        <v>140</v>
      </c>
      <c r="Y5470" s="8" t="s">
        <v>237</v>
      </c>
      <c r="Z5470" s="8" t="s">
        <v>238</v>
      </c>
    </row>
    <row r="5471" spans="1:26" x14ac:dyDescent="0.2">
      <c r="A5471" s="8">
        <v>5470</v>
      </c>
      <c r="B5471" s="8" t="s">
        <v>24419</v>
      </c>
      <c r="C5471" s="8" t="s">
        <v>24419</v>
      </c>
      <c r="F5471" s="47"/>
      <c r="G5471" s="8">
        <v>16</v>
      </c>
      <c r="H5471" s="8" t="s">
        <v>21</v>
      </c>
      <c r="I5471" s="8" t="s">
        <v>22</v>
      </c>
      <c r="J5471" s="8" t="s">
        <v>22</v>
      </c>
      <c r="K5471" s="8" t="s">
        <v>23</v>
      </c>
      <c r="L5471" s="8" t="s">
        <v>17287</v>
      </c>
      <c r="M5471" s="8" t="s">
        <v>17288</v>
      </c>
      <c r="N5471" s="8" t="s">
        <v>24420</v>
      </c>
      <c r="O5471" s="8">
        <f>14+6/60+31.9/3600</f>
        <v>14.108861111111111</v>
      </c>
      <c r="P5471" s="8" t="s">
        <v>24421</v>
      </c>
      <c r="Q5471" s="8">
        <f>+(6+1/60+45/3600)</f>
        <v>6.0291666666666668</v>
      </c>
      <c r="R5471" s="8">
        <v>13.4</v>
      </c>
      <c r="S5471" s="8">
        <v>14.2</v>
      </c>
      <c r="T5471" s="8">
        <v>0.8</v>
      </c>
      <c r="U5471" s="8">
        <v>13.2</v>
      </c>
      <c r="V5471" s="8">
        <v>2.5</v>
      </c>
      <c r="W5471" s="8">
        <v>0.4</v>
      </c>
      <c r="X5471" s="8">
        <v>63</v>
      </c>
      <c r="Y5471" s="8" t="s">
        <v>24422</v>
      </c>
      <c r="Z5471" s="8" t="s">
        <v>24423</v>
      </c>
    </row>
    <row r="5472" spans="1:26" x14ac:dyDescent="0.2">
      <c r="A5472" s="8">
        <v>5471</v>
      </c>
      <c r="B5472" s="8" t="s">
        <v>24424</v>
      </c>
      <c r="C5472" s="8" t="s">
        <v>24424</v>
      </c>
      <c r="F5472" s="47"/>
      <c r="G5472" s="8">
        <v>18</v>
      </c>
      <c r="H5472" s="8" t="s">
        <v>21</v>
      </c>
      <c r="I5472" s="8" t="s">
        <v>1075</v>
      </c>
      <c r="J5472" s="8" t="s">
        <v>1075</v>
      </c>
      <c r="K5472" s="8" t="s">
        <v>1075</v>
      </c>
      <c r="L5472" s="8" t="s">
        <v>12015</v>
      </c>
      <c r="M5472" s="8" t="s">
        <v>12016</v>
      </c>
      <c r="N5472" s="8" t="s">
        <v>24425</v>
      </c>
      <c r="O5472" s="8">
        <f>14+4/60+28.9/3600</f>
        <v>14.074694444444445</v>
      </c>
      <c r="P5472" s="8" t="s">
        <v>24426</v>
      </c>
      <c r="Q5472" s="8">
        <f>+(54+23/60+51/3600)</f>
        <v>54.397500000000001</v>
      </c>
      <c r="R5472" s="8">
        <v>14.7</v>
      </c>
      <c r="S5472" s="8">
        <v>15.5</v>
      </c>
      <c r="T5472" s="8">
        <v>99</v>
      </c>
      <c r="U5472" s="8">
        <v>13.2</v>
      </c>
      <c r="V5472" s="8">
        <v>0.6</v>
      </c>
      <c r="W5472" s="8">
        <v>0.5</v>
      </c>
      <c r="X5472" s="8">
        <v>60</v>
      </c>
      <c r="Y5472" s="8" t="s">
        <v>21</v>
      </c>
      <c r="Z5472" s="8" t="s">
        <v>24427</v>
      </c>
    </row>
    <row r="5473" spans="1:26" x14ac:dyDescent="0.2">
      <c r="A5473" s="8">
        <v>5472</v>
      </c>
      <c r="B5473" s="8" t="s">
        <v>24428</v>
      </c>
      <c r="C5473" s="8" t="s">
        <v>24428</v>
      </c>
      <c r="F5473" s="47"/>
      <c r="G5473" s="8">
        <v>18</v>
      </c>
      <c r="H5473" s="8" t="s">
        <v>21</v>
      </c>
      <c r="I5473" s="8" t="s">
        <v>22</v>
      </c>
      <c r="J5473" s="8" t="s">
        <v>22</v>
      </c>
      <c r="K5473" s="8" t="s">
        <v>31</v>
      </c>
      <c r="L5473" s="8" t="s">
        <v>17287</v>
      </c>
      <c r="M5473" s="8" t="s">
        <v>17288</v>
      </c>
      <c r="N5473" s="8" t="s">
        <v>24429</v>
      </c>
      <c r="O5473" s="8">
        <f>14+6/60+54.9/3600</f>
        <v>14.11525</v>
      </c>
      <c r="P5473" s="8" t="s">
        <v>24430</v>
      </c>
      <c r="Q5473" s="8">
        <f>-(5+27/60+36/3600)</f>
        <v>-5.46</v>
      </c>
      <c r="R5473" s="8">
        <v>14</v>
      </c>
      <c r="S5473" s="8">
        <v>14.8</v>
      </c>
      <c r="T5473" s="8">
        <v>0.8</v>
      </c>
      <c r="U5473" s="8">
        <v>12.7</v>
      </c>
      <c r="V5473" s="8">
        <v>1.2</v>
      </c>
      <c r="W5473" s="8">
        <v>0.3</v>
      </c>
      <c r="X5473" s="8">
        <v>38</v>
      </c>
      <c r="Y5473" s="8" t="s">
        <v>24431</v>
      </c>
      <c r="Z5473" s="8" t="s">
        <v>24432</v>
      </c>
    </row>
    <row r="5474" spans="1:26" x14ac:dyDescent="0.2">
      <c r="A5474" s="8">
        <v>5473</v>
      </c>
      <c r="B5474" s="8" t="s">
        <v>24433</v>
      </c>
      <c r="C5474" s="8" t="s">
        <v>24433</v>
      </c>
      <c r="F5474" s="47" t="s">
        <v>57890</v>
      </c>
      <c r="G5474" s="8">
        <v>6</v>
      </c>
      <c r="H5474" s="8" t="s">
        <v>21</v>
      </c>
      <c r="I5474" s="8" t="s">
        <v>22</v>
      </c>
      <c r="J5474" s="8" t="s">
        <v>22</v>
      </c>
      <c r="K5474" s="8" t="s">
        <v>118</v>
      </c>
      <c r="L5474" s="8" t="s">
        <v>12015</v>
      </c>
      <c r="M5474" s="8" t="s">
        <v>12016</v>
      </c>
      <c r="N5474" s="8" t="s">
        <v>24434</v>
      </c>
      <c r="O5474" s="8">
        <f>14+4/60+43.5/3600</f>
        <v>14.078749999999999</v>
      </c>
      <c r="P5474" s="8" t="s">
        <v>24435</v>
      </c>
      <c r="Q5474" s="8">
        <f>+(54+53/60+36/3600)</f>
        <v>54.893333333333331</v>
      </c>
      <c r="R5474" s="8">
        <v>11.5</v>
      </c>
      <c r="S5474" s="8">
        <v>12.4</v>
      </c>
      <c r="T5474" s="8">
        <v>0.9</v>
      </c>
      <c r="U5474" s="8">
        <v>12.8</v>
      </c>
      <c r="V5474" s="8">
        <v>2.2000000000000002</v>
      </c>
      <c r="W5474" s="8">
        <v>1.7</v>
      </c>
      <c r="X5474" s="8">
        <v>160</v>
      </c>
      <c r="Y5474" s="8" t="s">
        <v>2176</v>
      </c>
      <c r="Z5474" s="8" t="s">
        <v>2177</v>
      </c>
    </row>
    <row r="5475" spans="1:26" x14ac:dyDescent="0.2">
      <c r="A5475" s="8">
        <v>5474</v>
      </c>
      <c r="B5475" s="8" t="s">
        <v>24436</v>
      </c>
      <c r="C5475" s="8" t="s">
        <v>24436</v>
      </c>
      <c r="F5475" s="47" t="s">
        <v>57891</v>
      </c>
      <c r="G5475" s="8">
        <v>6</v>
      </c>
      <c r="H5475" s="8" t="s">
        <v>21</v>
      </c>
      <c r="I5475" s="8" t="s">
        <v>22</v>
      </c>
      <c r="J5475" s="8" t="s">
        <v>22</v>
      </c>
      <c r="K5475" s="8" t="s">
        <v>160</v>
      </c>
      <c r="L5475" s="8" t="s">
        <v>12015</v>
      </c>
      <c r="M5475" s="8" t="s">
        <v>12016</v>
      </c>
      <c r="N5475" s="8" t="s">
        <v>24437</v>
      </c>
      <c r="O5475" s="8">
        <f>14+5/60+1.4/3600</f>
        <v>14.083722222222223</v>
      </c>
      <c r="P5475" s="8" t="s">
        <v>24438</v>
      </c>
      <c r="Q5475" s="8">
        <f>+(53+39/60+46/3600)</f>
        <v>53.662777777777777</v>
      </c>
      <c r="R5475" s="8">
        <v>10.8</v>
      </c>
      <c r="S5475" s="8">
        <v>11.3</v>
      </c>
      <c r="T5475" s="8">
        <v>0.5</v>
      </c>
      <c r="U5475" s="8">
        <v>13.9</v>
      </c>
      <c r="V5475" s="8">
        <v>4.7</v>
      </c>
      <c r="W5475" s="8">
        <v>4.7</v>
      </c>
      <c r="Y5475" s="8" t="s">
        <v>24439</v>
      </c>
      <c r="Z5475" s="8" t="s">
        <v>24440</v>
      </c>
    </row>
    <row r="5476" spans="1:26" x14ac:dyDescent="0.2">
      <c r="A5476" s="8">
        <v>5475</v>
      </c>
      <c r="B5476" s="8" t="s">
        <v>24441</v>
      </c>
      <c r="C5476" s="8" t="s">
        <v>24441</v>
      </c>
      <c r="F5476" s="47" t="s">
        <v>57892</v>
      </c>
      <c r="G5476" s="8">
        <v>15</v>
      </c>
      <c r="H5476" s="8" t="s">
        <v>21</v>
      </c>
      <c r="I5476" s="8" t="s">
        <v>22</v>
      </c>
      <c r="J5476" s="8" t="s">
        <v>22</v>
      </c>
      <c r="K5476" s="8" t="s">
        <v>91</v>
      </c>
      <c r="L5476" s="8" t="s">
        <v>12015</v>
      </c>
      <c r="M5476" s="8" t="s">
        <v>12016</v>
      </c>
      <c r="N5476" s="8" t="s">
        <v>24442</v>
      </c>
      <c r="O5476" s="8">
        <f>14+5/60+12.2/3600</f>
        <v>14.086722222222223</v>
      </c>
      <c r="P5476" s="8" t="s">
        <v>24443</v>
      </c>
      <c r="Q5476" s="8">
        <f>+(55+44/60+32/3600)</f>
        <v>55.742222222222225</v>
      </c>
      <c r="R5476" s="8">
        <v>12.6</v>
      </c>
      <c r="S5476" s="8">
        <v>13.5</v>
      </c>
      <c r="T5476" s="8">
        <v>0.9</v>
      </c>
      <c r="U5476" s="8">
        <v>12.4</v>
      </c>
      <c r="V5476" s="8">
        <v>1.9</v>
      </c>
      <c r="W5476" s="8">
        <v>0.5</v>
      </c>
      <c r="X5476" s="8">
        <v>166</v>
      </c>
      <c r="Y5476" s="8" t="s">
        <v>24444</v>
      </c>
      <c r="Z5476" s="8" t="s">
        <v>24445</v>
      </c>
    </row>
    <row r="5477" spans="1:26" x14ac:dyDescent="0.2">
      <c r="A5477" s="8">
        <v>5476</v>
      </c>
      <c r="B5477" s="8" t="s">
        <v>24446</v>
      </c>
      <c r="C5477" s="8" t="s">
        <v>24446</v>
      </c>
      <c r="F5477" s="47" t="s">
        <v>57893</v>
      </c>
      <c r="G5477" s="8">
        <v>15</v>
      </c>
      <c r="H5477" s="8" t="s">
        <v>21</v>
      </c>
      <c r="I5477" s="8" t="s">
        <v>22</v>
      </c>
      <c r="J5477" s="8" t="s">
        <v>22</v>
      </c>
      <c r="K5477" s="8" t="s">
        <v>3523</v>
      </c>
      <c r="L5477" s="8" t="s">
        <v>17287</v>
      </c>
      <c r="M5477" s="8" t="s">
        <v>17288</v>
      </c>
      <c r="N5477" s="8" t="s">
        <v>24447</v>
      </c>
      <c r="O5477" s="8">
        <f>14+8/60+8.4/3600</f>
        <v>14.135666666666665</v>
      </c>
      <c r="P5477" s="8" t="s">
        <v>24448</v>
      </c>
      <c r="Q5477" s="8">
        <f>-(6+5/60+32/3600)</f>
        <v>-6.0922222222222215</v>
      </c>
      <c r="R5477" s="8">
        <v>12.8</v>
      </c>
      <c r="S5477" s="8">
        <v>13.4</v>
      </c>
      <c r="T5477" s="8">
        <v>0.6</v>
      </c>
      <c r="U5477" s="8">
        <v>13.3</v>
      </c>
      <c r="V5477" s="8">
        <v>1.5</v>
      </c>
      <c r="W5477" s="8">
        <v>1.2</v>
      </c>
      <c r="X5477" s="8">
        <v>135</v>
      </c>
      <c r="Y5477" s="8" t="s">
        <v>22683</v>
      </c>
      <c r="Z5477" s="8" t="s">
        <v>22684</v>
      </c>
    </row>
    <row r="5478" spans="1:26" x14ac:dyDescent="0.2">
      <c r="A5478" s="8">
        <v>5477</v>
      </c>
      <c r="B5478" s="8" t="s">
        <v>24449</v>
      </c>
      <c r="C5478" s="8" t="s">
        <v>24449</v>
      </c>
      <c r="F5478" s="47" t="s">
        <v>57894</v>
      </c>
      <c r="G5478" s="8">
        <v>15</v>
      </c>
      <c r="H5478" s="8" t="s">
        <v>21</v>
      </c>
      <c r="I5478" s="8" t="s">
        <v>22</v>
      </c>
      <c r="J5478" s="8" t="s">
        <v>22</v>
      </c>
      <c r="K5478" s="8" t="s">
        <v>4103</v>
      </c>
      <c r="L5478" s="8" t="s">
        <v>12015</v>
      </c>
      <c r="M5478" s="8" t="s">
        <v>12016</v>
      </c>
      <c r="N5478" s="8" t="s">
        <v>24450</v>
      </c>
      <c r="O5478" s="8">
        <f>14+5/60+33/3600</f>
        <v>14.092500000000001</v>
      </c>
      <c r="P5478" s="8" t="s">
        <v>24451</v>
      </c>
      <c r="Q5478" s="8">
        <f>+(54+27/60+39/3600)</f>
        <v>54.460833333333333</v>
      </c>
      <c r="R5478" s="8">
        <v>14</v>
      </c>
      <c r="S5478" s="8">
        <v>14.4</v>
      </c>
      <c r="T5478" s="8">
        <v>0.4</v>
      </c>
      <c r="U5478" s="8">
        <v>14.7</v>
      </c>
      <c r="V5478" s="8">
        <v>1.6</v>
      </c>
      <c r="W5478" s="8">
        <v>1.3</v>
      </c>
      <c r="X5478" s="8">
        <v>95</v>
      </c>
      <c r="Y5478" s="8" t="s">
        <v>1225</v>
      </c>
      <c r="Z5478" s="8" t="s">
        <v>1226</v>
      </c>
    </row>
    <row r="5479" spans="1:26" x14ac:dyDescent="0.2">
      <c r="A5479" s="8">
        <v>5478</v>
      </c>
      <c r="B5479" s="8" t="s">
        <v>24452</v>
      </c>
      <c r="C5479" s="8" t="s">
        <v>24452</v>
      </c>
      <c r="F5479" s="47" t="s">
        <v>57895</v>
      </c>
      <c r="G5479" s="8">
        <v>15</v>
      </c>
      <c r="H5479" s="8" t="s">
        <v>21</v>
      </c>
      <c r="I5479" s="8" t="s">
        <v>22</v>
      </c>
      <c r="J5479" s="8" t="s">
        <v>22</v>
      </c>
      <c r="K5479" s="8" t="s">
        <v>85</v>
      </c>
      <c r="L5479" s="8" t="s">
        <v>17287</v>
      </c>
      <c r="M5479" s="8" t="s">
        <v>17288</v>
      </c>
      <c r="N5479" s="8" t="s">
        <v>24453</v>
      </c>
      <c r="O5479" s="8">
        <f>14+8/60+8.5/3600</f>
        <v>14.135694444444445</v>
      </c>
      <c r="P5479" s="8" t="s">
        <v>24454</v>
      </c>
      <c r="Q5479" s="8">
        <f>-(1+42/60+8/3600)</f>
        <v>-1.7022222222222221</v>
      </c>
      <c r="R5479" s="8">
        <v>13.6</v>
      </c>
      <c r="S5479" s="8">
        <v>14.4</v>
      </c>
      <c r="T5479" s="8">
        <v>0.8</v>
      </c>
      <c r="U5479" s="8">
        <v>13.3</v>
      </c>
      <c r="V5479" s="8">
        <v>1.1000000000000001</v>
      </c>
      <c r="W5479" s="8">
        <v>0.8</v>
      </c>
      <c r="X5479" s="8">
        <v>37</v>
      </c>
      <c r="Y5479" s="8" t="s">
        <v>282</v>
      </c>
      <c r="Z5479" s="8" t="s">
        <v>283</v>
      </c>
    </row>
    <row r="5480" spans="1:26" x14ac:dyDescent="0.2">
      <c r="A5480" s="8">
        <v>5479</v>
      </c>
      <c r="B5480" s="8" t="s">
        <v>24455</v>
      </c>
      <c r="C5480" s="8" t="s">
        <v>24455</v>
      </c>
      <c r="F5480" s="47"/>
      <c r="G5480" s="8">
        <v>19</v>
      </c>
      <c r="H5480" s="8" t="s">
        <v>21</v>
      </c>
      <c r="I5480" s="8" t="s">
        <v>22</v>
      </c>
      <c r="J5480" s="8" t="s">
        <v>22</v>
      </c>
      <c r="K5480" s="8" t="s">
        <v>58</v>
      </c>
      <c r="L5480" s="8" t="s">
        <v>14586</v>
      </c>
      <c r="M5480" s="8" t="s">
        <v>14587</v>
      </c>
      <c r="N5480" s="8" t="s">
        <v>24456</v>
      </c>
      <c r="O5480" s="8">
        <f>14+5/60+57.3/3600</f>
        <v>14.099250000000001</v>
      </c>
      <c r="P5480" s="8" t="s">
        <v>24457</v>
      </c>
      <c r="Q5480" s="8">
        <f>+(65+41/60+28/3600)</f>
        <v>65.691111111111113</v>
      </c>
      <c r="R5480" s="8">
        <v>14</v>
      </c>
      <c r="S5480" s="8">
        <v>15</v>
      </c>
      <c r="T5480" s="8">
        <v>1</v>
      </c>
      <c r="U5480" s="8">
        <v>13</v>
      </c>
      <c r="V5480" s="8">
        <v>0.7</v>
      </c>
      <c r="W5480" s="8">
        <v>0.5</v>
      </c>
      <c r="X5480" s="8">
        <v>15</v>
      </c>
      <c r="Y5480" s="8" t="s">
        <v>24458</v>
      </c>
      <c r="Z5480" s="8" t="s">
        <v>24459</v>
      </c>
    </row>
    <row r="5481" spans="1:26" x14ac:dyDescent="0.2">
      <c r="A5481" s="8">
        <v>5480</v>
      </c>
      <c r="B5481" s="8" t="s">
        <v>24460</v>
      </c>
      <c r="C5481" s="8" t="s">
        <v>24460</v>
      </c>
      <c r="F5481" s="47" t="s">
        <v>57896</v>
      </c>
      <c r="G5481" s="8">
        <v>6.5</v>
      </c>
      <c r="H5481" s="8" t="s">
        <v>21</v>
      </c>
      <c r="I5481" s="8" t="s">
        <v>22</v>
      </c>
      <c r="J5481" s="8" t="s">
        <v>22</v>
      </c>
      <c r="K5481" s="8" t="s">
        <v>160</v>
      </c>
      <c r="L5481" s="8" t="s">
        <v>12015</v>
      </c>
      <c r="M5481" s="8" t="s">
        <v>12016</v>
      </c>
      <c r="N5481" s="8" t="s">
        <v>24461</v>
      </c>
      <c r="O5481" s="8">
        <f>14+6/60+21.5/3600</f>
        <v>14.105972222222222</v>
      </c>
      <c r="P5481" s="8" t="s">
        <v>24462</v>
      </c>
      <c r="Q5481" s="8">
        <f>+(50+43/60+30/3600)</f>
        <v>50.725000000000001</v>
      </c>
      <c r="R5481" s="8">
        <v>12.1</v>
      </c>
      <c r="S5481" s="8">
        <v>12.8</v>
      </c>
      <c r="T5481" s="8">
        <v>0.7</v>
      </c>
      <c r="U5481" s="8">
        <v>12.6</v>
      </c>
      <c r="V5481" s="8">
        <v>1.6</v>
      </c>
      <c r="W5481" s="8">
        <v>1</v>
      </c>
      <c r="X5481" s="8">
        <v>0</v>
      </c>
      <c r="Y5481" s="8" t="s">
        <v>24463</v>
      </c>
      <c r="Z5481" s="8" t="s">
        <v>24464</v>
      </c>
    </row>
    <row r="5482" spans="1:26" x14ac:dyDescent="0.2">
      <c r="A5482" s="8">
        <v>5481</v>
      </c>
      <c r="B5482" s="8" t="s">
        <v>24465</v>
      </c>
      <c r="C5482" s="8" t="s">
        <v>24465</v>
      </c>
      <c r="F5482" s="47" t="s">
        <v>57897</v>
      </c>
      <c r="G5482" s="8">
        <v>6.5</v>
      </c>
      <c r="H5482" s="8" t="s">
        <v>21</v>
      </c>
      <c r="I5482" s="8" t="s">
        <v>22</v>
      </c>
      <c r="J5482" s="8" t="s">
        <v>22</v>
      </c>
      <c r="K5482" s="8" t="s">
        <v>1136</v>
      </c>
      <c r="L5482" s="8" t="s">
        <v>22476</v>
      </c>
      <c r="M5482" s="8" t="s">
        <v>22477</v>
      </c>
      <c r="N5482" s="8" t="s">
        <v>24466</v>
      </c>
      <c r="O5482" s="8">
        <f>14+6/60+41.1/3600</f>
        <v>14.111416666666667</v>
      </c>
      <c r="P5482" s="8" t="s">
        <v>24467</v>
      </c>
      <c r="Q5482" s="8">
        <f>+(50+43/60+25/3600)</f>
        <v>50.723611111111111</v>
      </c>
      <c r="R5482" s="8">
        <v>12.3</v>
      </c>
      <c r="S5482" s="8">
        <v>13.3</v>
      </c>
      <c r="T5482" s="8">
        <v>1</v>
      </c>
      <c r="U5482" s="8">
        <v>13.3</v>
      </c>
      <c r="V5482" s="8">
        <v>1.8</v>
      </c>
      <c r="W5482" s="8">
        <v>1.5</v>
      </c>
      <c r="X5482" s="8">
        <v>115</v>
      </c>
      <c r="Y5482" s="8" t="s">
        <v>24468</v>
      </c>
      <c r="Z5482" s="8" t="s">
        <v>24469</v>
      </c>
    </row>
    <row r="5483" spans="1:26" x14ac:dyDescent="0.2">
      <c r="A5483" s="8">
        <v>5482</v>
      </c>
      <c r="B5483" s="8" t="s">
        <v>24470</v>
      </c>
      <c r="C5483" s="8" t="s">
        <v>24470</v>
      </c>
      <c r="F5483" s="47" t="s">
        <v>57898</v>
      </c>
      <c r="G5483" s="8">
        <v>15</v>
      </c>
      <c r="H5483" s="8" t="s">
        <v>21</v>
      </c>
      <c r="I5483" s="8" t="s">
        <v>22</v>
      </c>
      <c r="J5483" s="8" t="s">
        <v>22</v>
      </c>
      <c r="K5483" s="8" t="s">
        <v>37</v>
      </c>
      <c r="L5483" s="8" t="s">
        <v>22476</v>
      </c>
      <c r="M5483" s="8" t="s">
        <v>22477</v>
      </c>
      <c r="N5483" s="8" t="s">
        <v>24471</v>
      </c>
      <c r="O5483" s="8">
        <f>14+8/60+30.8/3600</f>
        <v>14.141888888888888</v>
      </c>
      <c r="P5483" s="8" t="s">
        <v>24472</v>
      </c>
      <c r="Q5483" s="8">
        <f>+(8+55/60+53/3600)</f>
        <v>8.9313888888888879</v>
      </c>
      <c r="R5483" s="8">
        <v>12.9</v>
      </c>
      <c r="S5483" s="8">
        <v>13.9</v>
      </c>
      <c r="T5483" s="8">
        <v>1</v>
      </c>
      <c r="U5483" s="8">
        <v>12.5</v>
      </c>
      <c r="V5483" s="8">
        <v>1.2</v>
      </c>
      <c r="W5483" s="8">
        <v>0.6</v>
      </c>
      <c r="X5483" s="8">
        <v>88</v>
      </c>
      <c r="Y5483" s="8" t="s">
        <v>745</v>
      </c>
      <c r="Z5483" s="8" t="s">
        <v>746</v>
      </c>
    </row>
    <row r="5484" spans="1:26" x14ac:dyDescent="0.2">
      <c r="A5484" s="8">
        <v>5483</v>
      </c>
      <c r="B5484" s="8" t="s">
        <v>24473</v>
      </c>
      <c r="C5484" s="8" t="s">
        <v>24473</v>
      </c>
      <c r="F5484" s="47"/>
      <c r="G5484" s="8">
        <v>13</v>
      </c>
      <c r="H5484" s="8" t="s">
        <v>21</v>
      </c>
      <c r="I5484" s="8" t="s">
        <v>22</v>
      </c>
      <c r="J5484" s="8" t="s">
        <v>22</v>
      </c>
      <c r="K5484" s="8" t="s">
        <v>64</v>
      </c>
      <c r="L5484" s="8" t="s">
        <v>16195</v>
      </c>
      <c r="M5484" s="8" t="s">
        <v>16196</v>
      </c>
      <c r="N5484" s="8" t="s">
        <v>24474</v>
      </c>
      <c r="O5484" s="8">
        <f>14+10/60+25/3600</f>
        <v>14.173611111111111</v>
      </c>
      <c r="P5484" s="8" t="s">
        <v>24475</v>
      </c>
      <c r="Q5484" s="8">
        <f>-(43+19/60+30/3600)</f>
        <v>-43.325000000000003</v>
      </c>
      <c r="R5484" s="8">
        <v>11.2</v>
      </c>
      <c r="S5484" s="8">
        <v>11.9</v>
      </c>
      <c r="T5484" s="8">
        <v>0.7</v>
      </c>
      <c r="U5484" s="8">
        <v>13.9</v>
      </c>
      <c r="V5484" s="8">
        <v>3.9</v>
      </c>
      <c r="W5484" s="8">
        <v>3.6</v>
      </c>
      <c r="X5484" s="8">
        <v>25</v>
      </c>
      <c r="Y5484" s="8" t="s">
        <v>24476</v>
      </c>
      <c r="Z5484" s="8" t="s">
        <v>24477</v>
      </c>
    </row>
    <row r="5485" spans="1:26" x14ac:dyDescent="0.2">
      <c r="A5485" s="8">
        <v>5484</v>
      </c>
      <c r="B5485" s="8" t="s">
        <v>24478</v>
      </c>
      <c r="C5485" s="8" t="s">
        <v>24478</v>
      </c>
      <c r="F5485" s="47" t="s">
        <v>57899</v>
      </c>
      <c r="G5485" s="8">
        <v>15</v>
      </c>
      <c r="H5485" s="8" t="s">
        <v>21</v>
      </c>
      <c r="I5485" s="8" t="s">
        <v>22</v>
      </c>
      <c r="J5485" s="8" t="s">
        <v>22</v>
      </c>
      <c r="K5485" s="8" t="s">
        <v>1136</v>
      </c>
      <c r="L5485" s="8" t="s">
        <v>12015</v>
      </c>
      <c r="M5485" s="8" t="s">
        <v>12016</v>
      </c>
      <c r="N5485" s="8" t="s">
        <v>24479</v>
      </c>
      <c r="O5485" s="8">
        <f>14+6/60+48.1/3600</f>
        <v>14.113361111111111</v>
      </c>
      <c r="P5485" s="8" t="s">
        <v>24480</v>
      </c>
      <c r="Q5485" s="8">
        <f>+(55+1/60+49/3600)</f>
        <v>55.030277777777776</v>
      </c>
      <c r="R5485" s="8">
        <v>14.7</v>
      </c>
      <c r="S5485" s="8">
        <v>15.7</v>
      </c>
      <c r="T5485" s="8">
        <v>1</v>
      </c>
      <c r="U5485" s="8">
        <v>14.1</v>
      </c>
      <c r="V5485" s="8">
        <v>0.8</v>
      </c>
      <c r="W5485" s="8">
        <v>0.7</v>
      </c>
      <c r="X5485" s="8">
        <v>0</v>
      </c>
      <c r="Y5485" s="8" t="s">
        <v>21</v>
      </c>
      <c r="Z5485" s="8" t="s">
        <v>24481</v>
      </c>
    </row>
    <row r="5486" spans="1:26" x14ac:dyDescent="0.2">
      <c r="A5486" s="8">
        <v>5485</v>
      </c>
      <c r="B5486" s="8" t="s">
        <v>24482</v>
      </c>
      <c r="C5486" s="8" t="s">
        <v>24482</v>
      </c>
      <c r="F5486" s="47" t="s">
        <v>57900</v>
      </c>
      <c r="G5486" s="8">
        <v>6.5</v>
      </c>
      <c r="H5486" s="8" t="s">
        <v>21</v>
      </c>
      <c r="I5486" s="8" t="s">
        <v>22</v>
      </c>
      <c r="J5486" s="8" t="s">
        <v>22</v>
      </c>
      <c r="K5486" s="8" t="s">
        <v>37</v>
      </c>
      <c r="L5486" s="8" t="s">
        <v>12015</v>
      </c>
      <c r="M5486" s="8" t="s">
        <v>12016</v>
      </c>
      <c r="N5486" s="8" t="s">
        <v>24483</v>
      </c>
      <c r="O5486" s="8">
        <f>14+7/60+11.4/3600</f>
        <v>14.119833333333334</v>
      </c>
      <c r="P5486" s="8" t="s">
        <v>24484</v>
      </c>
      <c r="Q5486" s="8">
        <f>+(55+0/60+5/3600)</f>
        <v>55.00138888888889</v>
      </c>
      <c r="R5486" s="8">
        <v>11.4</v>
      </c>
      <c r="S5486" s="8">
        <v>12.3</v>
      </c>
      <c r="T5486" s="8">
        <v>0.9</v>
      </c>
      <c r="U5486" s="8">
        <v>12.9</v>
      </c>
      <c r="V5486" s="8">
        <v>2.2999999999999998</v>
      </c>
      <c r="W5486" s="8">
        <v>1.9</v>
      </c>
      <c r="X5486" s="8">
        <v>170</v>
      </c>
      <c r="Y5486" s="8" t="s">
        <v>24485</v>
      </c>
      <c r="Z5486" s="8" t="s">
        <v>24486</v>
      </c>
    </row>
    <row r="5487" spans="1:26" x14ac:dyDescent="0.2">
      <c r="A5487" s="8">
        <v>5486</v>
      </c>
      <c r="B5487" s="8" t="s">
        <v>24487</v>
      </c>
      <c r="C5487" s="8" t="s">
        <v>24487</v>
      </c>
      <c r="F5487" s="47" t="s">
        <v>57901</v>
      </c>
      <c r="G5487" s="8">
        <v>15</v>
      </c>
      <c r="H5487" s="8" t="s">
        <v>21</v>
      </c>
      <c r="I5487" s="8" t="s">
        <v>22</v>
      </c>
      <c r="J5487" s="8" t="s">
        <v>22</v>
      </c>
      <c r="K5487" s="8" t="s">
        <v>4103</v>
      </c>
      <c r="L5487" s="8" t="s">
        <v>12015</v>
      </c>
      <c r="M5487" s="8" t="s">
        <v>12016</v>
      </c>
      <c r="N5487" s="8" t="s">
        <v>24488</v>
      </c>
      <c r="O5487" s="8">
        <f>14+7/60+24.9/3600</f>
        <v>14.123583333333334</v>
      </c>
      <c r="P5487" s="8" t="s">
        <v>24489</v>
      </c>
      <c r="Q5487" s="8">
        <f>+(55+6/60+11/3600)</f>
        <v>55.103055555555557</v>
      </c>
      <c r="R5487" s="8">
        <v>13.2</v>
      </c>
      <c r="S5487" s="8">
        <v>13.8</v>
      </c>
      <c r="T5487" s="8">
        <v>0.6</v>
      </c>
      <c r="U5487" s="8">
        <v>13.6</v>
      </c>
      <c r="V5487" s="8">
        <v>1.5</v>
      </c>
      <c r="W5487" s="8">
        <v>0.9</v>
      </c>
      <c r="X5487" s="8">
        <v>80</v>
      </c>
      <c r="Y5487" s="8" t="s">
        <v>3753</v>
      </c>
      <c r="Z5487" s="8" t="s">
        <v>3754</v>
      </c>
    </row>
    <row r="5488" spans="1:26" x14ac:dyDescent="0.2">
      <c r="A5488" s="8">
        <v>5487</v>
      </c>
      <c r="B5488" s="8" t="s">
        <v>24490</v>
      </c>
      <c r="C5488" s="8" t="s">
        <v>24490</v>
      </c>
      <c r="F5488" s="47"/>
      <c r="G5488" s="8">
        <v>19</v>
      </c>
      <c r="H5488" s="8" t="s">
        <v>21</v>
      </c>
      <c r="I5488" s="8" t="s">
        <v>22</v>
      </c>
      <c r="J5488" s="8" t="s">
        <v>22</v>
      </c>
      <c r="K5488" s="8" t="s">
        <v>85</v>
      </c>
      <c r="L5488" s="8" t="s">
        <v>22476</v>
      </c>
      <c r="M5488" s="8" t="s">
        <v>22477</v>
      </c>
      <c r="N5488" s="8" t="s">
        <v>24491</v>
      </c>
      <c r="O5488" s="8">
        <f>14+9/60+43.9/3600</f>
        <v>14.162194444444445</v>
      </c>
      <c r="P5488" s="8" t="s">
        <v>24492</v>
      </c>
      <c r="Q5488" s="8">
        <f>+(8+4/60+10/3600)</f>
        <v>8.0694444444444446</v>
      </c>
      <c r="R5488" s="8">
        <v>14</v>
      </c>
      <c r="S5488" s="8">
        <v>14.8</v>
      </c>
      <c r="T5488" s="8">
        <v>0.8</v>
      </c>
      <c r="U5488" s="8">
        <v>12.7</v>
      </c>
      <c r="V5488" s="8">
        <v>0.9</v>
      </c>
      <c r="W5488" s="8">
        <v>0.4</v>
      </c>
      <c r="X5488" s="8">
        <v>65</v>
      </c>
      <c r="Y5488" s="8" t="s">
        <v>21</v>
      </c>
      <c r="Z5488" s="8" t="s">
        <v>24493</v>
      </c>
    </row>
    <row r="5489" spans="1:26" x14ac:dyDescent="0.2">
      <c r="A5489" s="8">
        <v>5488</v>
      </c>
      <c r="B5489" s="8" t="s">
        <v>24494</v>
      </c>
      <c r="C5489" s="8" t="s">
        <v>24494</v>
      </c>
      <c r="F5489" s="47"/>
      <c r="G5489" s="8">
        <v>16</v>
      </c>
      <c r="H5489" s="8" t="s">
        <v>21</v>
      </c>
      <c r="I5489" s="8" t="s">
        <v>22</v>
      </c>
      <c r="J5489" s="8" t="s">
        <v>22</v>
      </c>
      <c r="K5489" s="8" t="s">
        <v>85</v>
      </c>
      <c r="L5489" s="8" t="s">
        <v>16195</v>
      </c>
      <c r="M5489" s="8" t="s">
        <v>16196</v>
      </c>
      <c r="N5489" s="8" t="s">
        <v>24495</v>
      </c>
      <c r="O5489" s="8">
        <f>14+8/60+2.9/3600</f>
        <v>14.134138888888888</v>
      </c>
      <c r="P5489" s="8" t="s">
        <v>24496</v>
      </c>
      <c r="Q5489" s="8">
        <f>-(33+18/60+53/3600)</f>
        <v>-33.314722222222223</v>
      </c>
      <c r="R5489" s="8">
        <v>11.7</v>
      </c>
      <c r="S5489" s="8">
        <v>12.5</v>
      </c>
      <c r="T5489" s="8">
        <v>0.8</v>
      </c>
      <c r="U5489" s="8">
        <v>12.9</v>
      </c>
      <c r="V5489" s="8">
        <v>3.4</v>
      </c>
      <c r="W5489" s="8">
        <v>1</v>
      </c>
      <c r="X5489" s="8">
        <v>22</v>
      </c>
      <c r="Y5489" s="8" t="s">
        <v>21</v>
      </c>
      <c r="Z5489" s="8" t="s">
        <v>24497</v>
      </c>
    </row>
    <row r="5490" spans="1:26" x14ac:dyDescent="0.2">
      <c r="A5490" s="8">
        <v>5489</v>
      </c>
      <c r="B5490" s="8" t="s">
        <v>24498</v>
      </c>
      <c r="C5490" s="8" t="s">
        <v>24498</v>
      </c>
      <c r="F5490" s="47"/>
      <c r="G5490" s="8">
        <v>16</v>
      </c>
      <c r="H5490" s="8" t="s">
        <v>21</v>
      </c>
      <c r="I5490" s="8" t="s">
        <v>22</v>
      </c>
      <c r="J5490" s="8" t="s">
        <v>22</v>
      </c>
      <c r="K5490" s="8" t="s">
        <v>91</v>
      </c>
      <c r="L5490" s="8" t="s">
        <v>16195</v>
      </c>
      <c r="M5490" s="8" t="s">
        <v>16196</v>
      </c>
      <c r="N5490" s="8" t="s">
        <v>24499</v>
      </c>
      <c r="O5490" s="8">
        <f>14+12/60+0.7/3600</f>
        <v>14.200194444444444</v>
      </c>
      <c r="P5490" s="8" t="s">
        <v>24500</v>
      </c>
      <c r="Q5490" s="8">
        <f>-(46+5/60+20/3600)</f>
        <v>-46.088888888888889</v>
      </c>
      <c r="R5490" s="8">
        <v>12.2</v>
      </c>
      <c r="S5490" s="8">
        <v>13.1</v>
      </c>
      <c r="T5490" s="8">
        <v>0.9</v>
      </c>
      <c r="U5490" s="8">
        <v>12.5</v>
      </c>
      <c r="V5490" s="8">
        <v>1.5</v>
      </c>
      <c r="W5490" s="8">
        <v>1</v>
      </c>
      <c r="X5490" s="8">
        <v>129</v>
      </c>
      <c r="Y5490" s="8" t="s">
        <v>2248</v>
      </c>
      <c r="Z5490" s="8" t="s">
        <v>2249</v>
      </c>
    </row>
    <row r="5491" spans="1:26" x14ac:dyDescent="0.2">
      <c r="A5491" s="8">
        <v>5490</v>
      </c>
      <c r="B5491" s="8" t="s">
        <v>24501</v>
      </c>
      <c r="C5491" s="8" t="s">
        <v>24501</v>
      </c>
      <c r="F5491" s="47" t="s">
        <v>57902</v>
      </c>
      <c r="G5491" s="8">
        <v>6.5</v>
      </c>
      <c r="H5491" s="8" t="s">
        <v>21</v>
      </c>
      <c r="I5491" s="8" t="s">
        <v>22</v>
      </c>
      <c r="J5491" s="8" t="s">
        <v>22</v>
      </c>
      <c r="K5491" s="8" t="s">
        <v>1136</v>
      </c>
      <c r="L5491" s="8" t="s">
        <v>22476</v>
      </c>
      <c r="M5491" s="8" t="s">
        <v>22477</v>
      </c>
      <c r="N5491" s="8" t="s">
        <v>24502</v>
      </c>
      <c r="O5491" s="8">
        <f>14+9/60+57.3/3600</f>
        <v>14.165916666666668</v>
      </c>
      <c r="P5491" s="8" t="s">
        <v>24503</v>
      </c>
      <c r="Q5491" s="8">
        <f>+(17+32/60+44/3600)</f>
        <v>17.545555555555556</v>
      </c>
      <c r="R5491" s="8">
        <v>12.1</v>
      </c>
      <c r="S5491" s="8">
        <v>13.1</v>
      </c>
      <c r="T5491" s="8">
        <v>1</v>
      </c>
      <c r="U5491" s="8">
        <v>13.8</v>
      </c>
      <c r="V5491" s="8">
        <v>2.4</v>
      </c>
      <c r="W5491" s="8">
        <v>1.9</v>
      </c>
      <c r="X5491" s="8">
        <v>5</v>
      </c>
      <c r="Y5491" s="8" t="s">
        <v>21</v>
      </c>
      <c r="Z5491" s="8" t="s">
        <v>24504</v>
      </c>
    </row>
    <row r="5492" spans="1:26" x14ac:dyDescent="0.2">
      <c r="A5492" s="8">
        <v>5491</v>
      </c>
      <c r="B5492" s="8" t="s">
        <v>24505</v>
      </c>
      <c r="C5492" s="8" t="s">
        <v>24505</v>
      </c>
      <c r="D5492" s="8" t="s">
        <v>351</v>
      </c>
      <c r="F5492" s="47" t="s">
        <v>57903</v>
      </c>
      <c r="G5492" s="8">
        <v>15</v>
      </c>
      <c r="H5492" s="8" t="s">
        <v>21</v>
      </c>
      <c r="I5492" s="8" t="s">
        <v>22</v>
      </c>
      <c r="J5492" s="8" t="s">
        <v>22</v>
      </c>
      <c r="K5492" s="8" t="s">
        <v>23</v>
      </c>
      <c r="L5492" s="8" t="s">
        <v>17287</v>
      </c>
      <c r="M5492" s="8" t="s">
        <v>17288</v>
      </c>
      <c r="N5492" s="8" t="s">
        <v>24506</v>
      </c>
      <c r="O5492" s="8">
        <f>14+10/60+57.4/3600</f>
        <v>14.182611111111111</v>
      </c>
      <c r="P5492" s="8" t="s">
        <v>24507</v>
      </c>
      <c r="Q5492" s="8">
        <f>+(6+21/60+54/3600)</f>
        <v>6.3649999999999993</v>
      </c>
      <c r="R5492" s="8">
        <v>12.9</v>
      </c>
      <c r="S5492" s="8">
        <v>13.7</v>
      </c>
      <c r="T5492" s="8">
        <v>0.8</v>
      </c>
      <c r="U5492" s="8">
        <v>12.9</v>
      </c>
      <c r="V5492" s="8">
        <v>1.4</v>
      </c>
      <c r="W5492" s="8">
        <v>0.8</v>
      </c>
      <c r="X5492" s="8">
        <v>78</v>
      </c>
      <c r="Y5492" s="8" t="s">
        <v>24508</v>
      </c>
      <c r="Z5492" s="8" t="s">
        <v>24509</v>
      </c>
    </row>
    <row r="5493" spans="1:26" x14ac:dyDescent="0.2">
      <c r="A5493" s="8">
        <v>5492</v>
      </c>
      <c r="B5493" s="8" t="s">
        <v>24510</v>
      </c>
      <c r="C5493" s="8" t="s">
        <v>24510</v>
      </c>
      <c r="F5493" s="47" t="s">
        <v>57904</v>
      </c>
      <c r="G5493" s="8">
        <v>15</v>
      </c>
      <c r="H5493" s="8" t="s">
        <v>21</v>
      </c>
      <c r="I5493" s="8" t="s">
        <v>22</v>
      </c>
      <c r="J5493" s="8" t="s">
        <v>22</v>
      </c>
      <c r="K5493" s="8" t="s">
        <v>79</v>
      </c>
      <c r="L5493" s="8" t="s">
        <v>22476</v>
      </c>
      <c r="M5493" s="8" t="s">
        <v>22477</v>
      </c>
      <c r="N5493" s="8" t="s">
        <v>24511</v>
      </c>
      <c r="O5493" s="8">
        <f>14+10/60+35.2/3600</f>
        <v>14.176444444444444</v>
      </c>
      <c r="P5493" s="8" t="s">
        <v>24512</v>
      </c>
      <c r="Q5493" s="8">
        <f>+(19+36/60+43/3600)</f>
        <v>19.611944444444447</v>
      </c>
      <c r="R5493" s="8">
        <v>12.8</v>
      </c>
      <c r="S5493" s="8">
        <v>13.6</v>
      </c>
      <c r="T5493" s="8">
        <v>0.8</v>
      </c>
      <c r="U5493" s="8">
        <v>12.2</v>
      </c>
      <c r="V5493" s="8">
        <v>1.6</v>
      </c>
      <c r="W5493" s="8">
        <v>0.4</v>
      </c>
      <c r="X5493" s="8">
        <v>150</v>
      </c>
      <c r="Y5493" s="8" t="s">
        <v>24513</v>
      </c>
      <c r="Z5493" s="8" t="s">
        <v>24514</v>
      </c>
    </row>
    <row r="5494" spans="1:26" x14ac:dyDescent="0.2">
      <c r="A5494" s="8">
        <v>5493</v>
      </c>
      <c r="B5494" s="8" t="s">
        <v>24515</v>
      </c>
      <c r="C5494" s="8" t="s">
        <v>24515</v>
      </c>
      <c r="F5494" s="47" t="s">
        <v>57905</v>
      </c>
      <c r="G5494" s="8">
        <v>6.5</v>
      </c>
      <c r="H5494" s="8" t="s">
        <v>21</v>
      </c>
      <c r="I5494" s="8" t="s">
        <v>22</v>
      </c>
      <c r="J5494" s="8" t="s">
        <v>22</v>
      </c>
      <c r="K5494" s="8" t="s">
        <v>37</v>
      </c>
      <c r="L5494" s="8" t="s">
        <v>17287</v>
      </c>
      <c r="M5494" s="8" t="s">
        <v>17288</v>
      </c>
      <c r="N5494" s="8" t="s">
        <v>24516</v>
      </c>
      <c r="O5494" s="8">
        <f>14+11/60+29.4/3600</f>
        <v>14.1915</v>
      </c>
      <c r="P5494" s="8" t="s">
        <v>24517</v>
      </c>
      <c r="Q5494" s="8">
        <f>-(5+2/60+38/3600)</f>
        <v>-5.0438888888888886</v>
      </c>
      <c r="R5494" s="8">
        <v>11.4</v>
      </c>
      <c r="S5494" s="8">
        <v>12.3</v>
      </c>
      <c r="T5494" s="8">
        <v>0.9</v>
      </c>
      <c r="U5494" s="8">
        <v>12.1</v>
      </c>
      <c r="V5494" s="8">
        <v>1.7</v>
      </c>
      <c r="W5494" s="8">
        <v>1.5</v>
      </c>
      <c r="X5494" s="8">
        <v>120</v>
      </c>
      <c r="Y5494" s="8" t="s">
        <v>21</v>
      </c>
      <c r="Z5494" s="8" t="s">
        <v>24518</v>
      </c>
    </row>
    <row r="5495" spans="1:26" x14ac:dyDescent="0.2">
      <c r="A5495" s="8">
        <v>5494</v>
      </c>
      <c r="B5495" s="8" t="s">
        <v>24519</v>
      </c>
      <c r="C5495" s="8" t="s">
        <v>24519</v>
      </c>
      <c r="F5495" s="47"/>
      <c r="G5495" s="8">
        <v>13</v>
      </c>
      <c r="H5495" s="8" t="s">
        <v>21</v>
      </c>
      <c r="I5495" s="8" t="s">
        <v>22</v>
      </c>
      <c r="J5495" s="8" t="s">
        <v>22</v>
      </c>
      <c r="K5495" s="8" t="s">
        <v>160</v>
      </c>
      <c r="L5495" s="8" t="s">
        <v>16195</v>
      </c>
      <c r="M5495" s="8" t="s">
        <v>16196</v>
      </c>
      <c r="N5495" s="8" t="s">
        <v>24520</v>
      </c>
      <c r="O5495" s="8">
        <f>14+12/60+23.7/3600</f>
        <v>14.206583333333333</v>
      </c>
      <c r="P5495" s="8" t="s">
        <v>24521</v>
      </c>
      <c r="Q5495" s="8">
        <f>-(30+38/60+41/3600)</f>
        <v>-30.644722222222221</v>
      </c>
      <c r="R5495" s="8">
        <v>11.8</v>
      </c>
      <c r="S5495" s="8">
        <v>12.5</v>
      </c>
      <c r="T5495" s="8">
        <v>0.7</v>
      </c>
      <c r="U5495" s="8">
        <v>13.2</v>
      </c>
      <c r="V5495" s="8">
        <v>2.2999999999999998</v>
      </c>
      <c r="W5495" s="8">
        <v>2.1</v>
      </c>
      <c r="X5495" s="8">
        <v>32</v>
      </c>
      <c r="Y5495" s="8" t="s">
        <v>24522</v>
      </c>
      <c r="Z5495" s="8" t="s">
        <v>24523</v>
      </c>
    </row>
    <row r="5496" spans="1:26" x14ac:dyDescent="0.2">
      <c r="A5496" s="8">
        <v>5495</v>
      </c>
      <c r="B5496" s="8" t="s">
        <v>24524</v>
      </c>
      <c r="C5496" s="8" t="s">
        <v>24524</v>
      </c>
      <c r="F5496" s="47"/>
      <c r="G5496" s="8">
        <v>16</v>
      </c>
      <c r="H5496" s="8" t="s">
        <v>21</v>
      </c>
      <c r="I5496" s="8" t="s">
        <v>22</v>
      </c>
      <c r="J5496" s="8" t="s">
        <v>22</v>
      </c>
      <c r="K5496" s="8" t="s">
        <v>64</v>
      </c>
      <c r="L5496" s="8" t="s">
        <v>11765</v>
      </c>
      <c r="M5496" s="8" t="s">
        <v>11766</v>
      </c>
      <c r="N5496" s="8" t="s">
        <v>24525</v>
      </c>
      <c r="O5496" s="8">
        <f>14+12/60+23.5/3600</f>
        <v>14.206527777777778</v>
      </c>
      <c r="P5496" s="8" t="s">
        <v>24526</v>
      </c>
      <c r="Q5496" s="8">
        <f>-(27+6/60+28/3600)</f>
        <v>-27.10777777777778</v>
      </c>
      <c r="R5496" s="8">
        <v>12.6</v>
      </c>
      <c r="S5496" s="8">
        <v>13.3</v>
      </c>
      <c r="T5496" s="8">
        <v>0.7</v>
      </c>
      <c r="U5496" s="8">
        <v>13.3</v>
      </c>
      <c r="V5496" s="8">
        <v>1.5</v>
      </c>
      <c r="W5496" s="8">
        <v>1.2</v>
      </c>
      <c r="X5496" s="8">
        <v>38</v>
      </c>
      <c r="Y5496" s="8" t="s">
        <v>24527</v>
      </c>
      <c r="Z5496" s="8" t="s">
        <v>24528</v>
      </c>
    </row>
    <row r="5497" spans="1:26" x14ac:dyDescent="0.2">
      <c r="A5497" s="8">
        <v>5496</v>
      </c>
      <c r="B5497" s="8" t="s">
        <v>24529</v>
      </c>
      <c r="C5497" s="8" t="s">
        <v>24529</v>
      </c>
      <c r="F5497" s="47"/>
      <c r="G5497" s="8">
        <v>13</v>
      </c>
      <c r="H5497" s="8" t="s">
        <v>21</v>
      </c>
      <c r="I5497" s="8" t="s">
        <v>22</v>
      </c>
      <c r="J5497" s="8" t="s">
        <v>22</v>
      </c>
      <c r="K5497" s="8" t="s">
        <v>1277</v>
      </c>
      <c r="L5497" s="8" t="s">
        <v>17287</v>
      </c>
      <c r="M5497" s="8" t="s">
        <v>17288</v>
      </c>
      <c r="N5497" s="8" t="s">
        <v>24530</v>
      </c>
      <c r="O5497" s="8">
        <f>14+11/60+37.8/3600</f>
        <v>14.193833333333334</v>
      </c>
      <c r="P5497" s="8" t="s">
        <v>24531</v>
      </c>
      <c r="Q5497" s="8">
        <f>-(1+9/60+30/3600)</f>
        <v>-1.1583333333333332</v>
      </c>
      <c r="R5497" s="8">
        <v>12.1</v>
      </c>
      <c r="S5497" s="8">
        <v>12.8</v>
      </c>
      <c r="T5497" s="8">
        <v>0.7</v>
      </c>
      <c r="U5497" s="8">
        <v>13.6</v>
      </c>
      <c r="V5497" s="8">
        <v>4.7</v>
      </c>
      <c r="W5497" s="8">
        <v>0.9</v>
      </c>
      <c r="X5497" s="8">
        <v>172</v>
      </c>
      <c r="Y5497" s="8" t="s">
        <v>24532</v>
      </c>
      <c r="Z5497" s="8" t="s">
        <v>24533</v>
      </c>
    </row>
    <row r="5498" spans="1:26" x14ac:dyDescent="0.2">
      <c r="A5498" s="8">
        <v>5497</v>
      </c>
      <c r="B5498" s="8" t="s">
        <v>24534</v>
      </c>
      <c r="C5498" s="8" t="s">
        <v>24534</v>
      </c>
      <c r="F5498" s="47"/>
      <c r="G5498" s="8">
        <v>19</v>
      </c>
      <c r="H5498" s="8" t="s">
        <v>21</v>
      </c>
      <c r="I5498" s="8" t="s">
        <v>22</v>
      </c>
      <c r="J5498" s="8" t="s">
        <v>22</v>
      </c>
      <c r="K5498" s="8" t="s">
        <v>218</v>
      </c>
      <c r="L5498" s="8" t="s">
        <v>22476</v>
      </c>
      <c r="M5498" s="8" t="s">
        <v>22477</v>
      </c>
      <c r="N5498" s="8" t="s">
        <v>24535</v>
      </c>
      <c r="O5498" s="8">
        <f>14+10/60+31.5/3600</f>
        <v>14.175416666666665</v>
      </c>
      <c r="P5498" s="8" t="s">
        <v>24536</v>
      </c>
      <c r="Q5498" s="8">
        <f>+(38+53/60+38/3600)</f>
        <v>38.893888888888888</v>
      </c>
      <c r="R5498" s="8">
        <v>14.1</v>
      </c>
      <c r="S5498" s="8">
        <v>14.9</v>
      </c>
      <c r="T5498" s="8">
        <v>0.8</v>
      </c>
      <c r="U5498" s="8">
        <v>13.8</v>
      </c>
      <c r="V5498" s="8">
        <v>1.2</v>
      </c>
      <c r="W5498" s="8">
        <v>0.7</v>
      </c>
      <c r="X5498" s="8">
        <v>75</v>
      </c>
      <c r="Y5498" s="8" t="s">
        <v>3982</v>
      </c>
      <c r="Z5498" s="8" t="s">
        <v>3983</v>
      </c>
    </row>
    <row r="5499" spans="1:26" x14ac:dyDescent="0.2">
      <c r="A5499" s="8">
        <v>5498</v>
      </c>
      <c r="B5499" s="8" t="s">
        <v>24537</v>
      </c>
      <c r="C5499" s="8" t="s">
        <v>24537</v>
      </c>
      <c r="F5499" s="47"/>
      <c r="G5499" s="8">
        <v>19</v>
      </c>
      <c r="H5499" s="8" t="s">
        <v>21</v>
      </c>
      <c r="I5499" s="8" t="s">
        <v>22</v>
      </c>
      <c r="J5499" s="8" t="s">
        <v>22</v>
      </c>
      <c r="K5499" s="8" t="s">
        <v>58</v>
      </c>
      <c r="L5499" s="8" t="s">
        <v>22476</v>
      </c>
      <c r="M5499" s="8" t="s">
        <v>22477</v>
      </c>
      <c r="N5499" s="8" t="s">
        <v>24538</v>
      </c>
      <c r="O5499" s="8">
        <f>14+11/60+4.4/3600</f>
        <v>14.184555555555555</v>
      </c>
      <c r="P5499" s="8" t="s">
        <v>24539</v>
      </c>
      <c r="Q5499" s="8">
        <f>+(25+41/60+52/3600)</f>
        <v>25.697777777777777</v>
      </c>
      <c r="R5499" s="8">
        <v>13.6</v>
      </c>
      <c r="S5499" s="8">
        <v>14.6</v>
      </c>
      <c r="T5499" s="8">
        <v>1</v>
      </c>
      <c r="U5499" s="8">
        <v>13.2</v>
      </c>
      <c r="V5499" s="8">
        <v>1</v>
      </c>
      <c r="W5499" s="8">
        <v>0.8</v>
      </c>
      <c r="X5499" s="8">
        <v>120</v>
      </c>
      <c r="Y5499" s="8" t="s">
        <v>24540</v>
      </c>
      <c r="Z5499" s="8" t="s">
        <v>24541</v>
      </c>
    </row>
    <row r="5500" spans="1:26" x14ac:dyDescent="0.2">
      <c r="A5500" s="8">
        <v>5499</v>
      </c>
      <c r="B5500" s="8" t="s">
        <v>24542</v>
      </c>
      <c r="C5500" s="8" t="s">
        <v>24542</v>
      </c>
      <c r="F5500" s="47"/>
      <c r="G5500" s="8">
        <v>19</v>
      </c>
      <c r="H5500" s="8" t="s">
        <v>21</v>
      </c>
      <c r="I5500" s="8" t="s">
        <v>22</v>
      </c>
      <c r="J5500" s="8" t="s">
        <v>22</v>
      </c>
      <c r="K5500" s="8" t="s">
        <v>632</v>
      </c>
      <c r="L5500" s="8" t="s">
        <v>22476</v>
      </c>
      <c r="M5500" s="8" t="s">
        <v>22477</v>
      </c>
      <c r="N5500" s="8" t="s">
        <v>24543</v>
      </c>
      <c r="O5500" s="8">
        <f>14+10/60+47.7/3600</f>
        <v>14.179916666666665</v>
      </c>
      <c r="P5500" s="8" t="s">
        <v>24544</v>
      </c>
      <c r="Q5500" s="8">
        <f>+(35+54/60+49/3600)</f>
        <v>35.913611111111109</v>
      </c>
      <c r="R5500" s="8">
        <v>13.6</v>
      </c>
      <c r="S5500" s="8">
        <v>14.5</v>
      </c>
      <c r="T5500" s="8">
        <v>0.9</v>
      </c>
      <c r="U5500" s="8">
        <v>12.8</v>
      </c>
      <c r="V5500" s="8">
        <v>0.9</v>
      </c>
      <c r="W5500" s="8">
        <v>0.6</v>
      </c>
      <c r="X5500" s="8">
        <v>150</v>
      </c>
      <c r="Y5500" s="8" t="s">
        <v>24545</v>
      </c>
      <c r="Z5500" s="8" t="s">
        <v>24546</v>
      </c>
    </row>
    <row r="5501" spans="1:26" x14ac:dyDescent="0.2">
      <c r="A5501" s="8">
        <v>5500</v>
      </c>
      <c r="B5501" s="8" t="s">
        <v>24547</v>
      </c>
      <c r="C5501" s="8" t="s">
        <v>24547</v>
      </c>
      <c r="F5501" s="47" t="s">
        <v>57906</v>
      </c>
      <c r="G5501" s="8">
        <v>15</v>
      </c>
      <c r="H5501" s="8" t="s">
        <v>21</v>
      </c>
      <c r="I5501" s="8" t="s">
        <v>22</v>
      </c>
      <c r="J5501" s="8" t="s">
        <v>22</v>
      </c>
      <c r="K5501" s="8" t="s">
        <v>183</v>
      </c>
      <c r="L5501" s="8" t="s">
        <v>22476</v>
      </c>
      <c r="M5501" s="8" t="s">
        <v>22477</v>
      </c>
      <c r="N5501" s="8" t="s">
        <v>24548</v>
      </c>
      <c r="O5501" s="8">
        <f>14+10/60+15.2/3600</f>
        <v>14.170888888888888</v>
      </c>
      <c r="P5501" s="8" t="s">
        <v>24549</v>
      </c>
      <c r="Q5501" s="8">
        <f>+(48+32/60+48/3600)</f>
        <v>48.546666666666667</v>
      </c>
      <c r="R5501" s="8">
        <v>13.3</v>
      </c>
      <c r="S5501" s="8">
        <v>14.3</v>
      </c>
      <c r="T5501" s="8">
        <v>1</v>
      </c>
      <c r="U5501" s="8">
        <v>13.3</v>
      </c>
      <c r="V5501" s="8">
        <v>1</v>
      </c>
      <c r="W5501" s="8">
        <v>0.9</v>
      </c>
      <c r="X5501" s="8">
        <v>129</v>
      </c>
      <c r="Y5501" s="8" t="s">
        <v>24550</v>
      </c>
      <c r="Z5501" s="8" t="s">
        <v>24551</v>
      </c>
    </row>
    <row r="5502" spans="1:26" x14ac:dyDescent="0.2">
      <c r="A5502" s="8">
        <v>5501</v>
      </c>
      <c r="B5502" s="8" t="s">
        <v>24552</v>
      </c>
      <c r="C5502" s="8" t="s">
        <v>24552</v>
      </c>
      <c r="F5502" s="47"/>
      <c r="G5502" s="8">
        <v>16</v>
      </c>
      <c r="H5502" s="8" t="s">
        <v>21</v>
      </c>
      <c r="I5502" s="8" t="s">
        <v>22</v>
      </c>
      <c r="J5502" s="8" t="s">
        <v>22</v>
      </c>
      <c r="K5502" s="8" t="s">
        <v>632</v>
      </c>
      <c r="L5502" s="8" t="s">
        <v>17287</v>
      </c>
      <c r="M5502" s="8" t="s">
        <v>17288</v>
      </c>
      <c r="N5502" s="8" t="s">
        <v>24553</v>
      </c>
      <c r="O5502" s="8">
        <f>14+12/60+20.1/3600</f>
        <v>14.205583333333333</v>
      </c>
      <c r="P5502" s="8" t="s">
        <v>24554</v>
      </c>
      <c r="Q5502" s="8">
        <f>+(1+16/60+22/3600)</f>
        <v>1.2727777777777778</v>
      </c>
      <c r="R5502" s="8">
        <v>13.5</v>
      </c>
      <c r="S5502" s="8">
        <v>14.4</v>
      </c>
      <c r="T5502" s="8">
        <v>0.9</v>
      </c>
      <c r="U5502" s="8">
        <v>12.6</v>
      </c>
      <c r="V5502" s="8">
        <v>0.8</v>
      </c>
      <c r="W5502" s="8">
        <v>0.6</v>
      </c>
      <c r="X5502" s="8">
        <v>67</v>
      </c>
      <c r="Y5502" s="8" t="s">
        <v>24555</v>
      </c>
      <c r="Z5502" s="8" t="s">
        <v>24556</v>
      </c>
    </row>
    <row r="5503" spans="1:26" x14ac:dyDescent="0.2">
      <c r="A5503" s="8">
        <v>5502</v>
      </c>
      <c r="B5503" s="8" t="s">
        <v>24557</v>
      </c>
      <c r="C5503" s="8" t="s">
        <v>24557</v>
      </c>
      <c r="F5503" s="47"/>
      <c r="G5503" s="8">
        <v>19</v>
      </c>
      <c r="H5503" s="8" t="s">
        <v>21</v>
      </c>
      <c r="I5503" s="8" t="s">
        <v>22</v>
      </c>
      <c r="J5503" s="8" t="s">
        <v>22</v>
      </c>
      <c r="K5503" s="8" t="s">
        <v>449</v>
      </c>
      <c r="L5503" s="8" t="s">
        <v>12015</v>
      </c>
      <c r="M5503" s="8" t="s">
        <v>12016</v>
      </c>
      <c r="N5503" s="8" t="s">
        <v>24558</v>
      </c>
      <c r="O5503" s="8">
        <f>14+9/60+33.9/3600</f>
        <v>14.159416666666667</v>
      </c>
      <c r="P5503" s="8" t="s">
        <v>24559</v>
      </c>
      <c r="Q5503" s="8">
        <f>+(60+24/60+36/3600)</f>
        <v>60.41</v>
      </c>
      <c r="R5503" s="8">
        <v>15.3</v>
      </c>
      <c r="S5503" s="8">
        <v>16.100000000000001</v>
      </c>
      <c r="T5503" s="8">
        <v>0.8</v>
      </c>
      <c r="U5503" s="8">
        <v>11.3</v>
      </c>
      <c r="V5503" s="8">
        <v>0.3</v>
      </c>
      <c r="W5503" s="8">
        <v>0.1</v>
      </c>
      <c r="X5503" s="8">
        <v>87</v>
      </c>
      <c r="Y5503" s="8" t="s">
        <v>24560</v>
      </c>
      <c r="Z5503" s="8" t="s">
        <v>24561</v>
      </c>
    </row>
    <row r="5504" spans="1:26" x14ac:dyDescent="0.2">
      <c r="A5504" s="8">
        <v>5503</v>
      </c>
      <c r="B5504" s="8" t="s">
        <v>24562</v>
      </c>
      <c r="C5504" s="8" t="s">
        <v>24562</v>
      </c>
      <c r="F5504" s="47"/>
      <c r="G5504" s="8">
        <v>19</v>
      </c>
      <c r="H5504" s="8" t="s">
        <v>21</v>
      </c>
      <c r="I5504" s="8" t="s">
        <v>22</v>
      </c>
      <c r="J5504" s="8" t="s">
        <v>57</v>
      </c>
      <c r="K5504" s="8" t="s">
        <v>449</v>
      </c>
      <c r="L5504" s="8" t="s">
        <v>12015</v>
      </c>
      <c r="M5504" s="8" t="s">
        <v>12016</v>
      </c>
      <c r="N5504" s="8" t="s">
        <v>24558</v>
      </c>
      <c r="O5504" s="8">
        <f>14+9/60+33.9/3600</f>
        <v>14.159416666666667</v>
      </c>
      <c r="P5504" s="8" t="s">
        <v>24559</v>
      </c>
      <c r="Q5504" s="8">
        <f>+(60+24/60+36/3600)</f>
        <v>60.41</v>
      </c>
      <c r="R5504" s="8">
        <v>15.3</v>
      </c>
      <c r="S5504" s="8">
        <v>16.100000000000001</v>
      </c>
      <c r="T5504" s="8">
        <v>0.8</v>
      </c>
      <c r="U5504" s="8">
        <v>11.3</v>
      </c>
      <c r="V5504" s="8">
        <v>0.3</v>
      </c>
      <c r="W5504" s="8">
        <v>0.1</v>
      </c>
      <c r="X5504" s="8">
        <v>87</v>
      </c>
      <c r="Y5504" s="8" t="s">
        <v>24560</v>
      </c>
      <c r="Z5504" s="8" t="s">
        <v>24563</v>
      </c>
    </row>
    <row r="5505" spans="1:26" x14ac:dyDescent="0.2">
      <c r="A5505" s="8">
        <v>5504</v>
      </c>
      <c r="B5505" s="8" t="s">
        <v>24564</v>
      </c>
      <c r="C5505" s="8" t="s">
        <v>24564</v>
      </c>
      <c r="F5505" s="47"/>
      <c r="G5505" s="8">
        <v>19</v>
      </c>
      <c r="H5505" s="8" t="s">
        <v>21</v>
      </c>
      <c r="I5505" s="8" t="s">
        <v>22</v>
      </c>
      <c r="J5505" s="8" t="s">
        <v>22</v>
      </c>
      <c r="K5505" s="8" t="s">
        <v>85</v>
      </c>
      <c r="L5505" s="8" t="s">
        <v>22476</v>
      </c>
      <c r="M5505" s="8" t="s">
        <v>22477</v>
      </c>
      <c r="N5505" s="8" t="s">
        <v>24565</v>
      </c>
      <c r="O5505" s="8">
        <f>14+12/60+15.7/3600</f>
        <v>14.20436111111111</v>
      </c>
      <c r="P5505" s="8" t="s">
        <v>24566</v>
      </c>
      <c r="Q5505" s="8">
        <f>+(15+50/60+29/3600)</f>
        <v>15.84138888888889</v>
      </c>
      <c r="R5505" s="8">
        <v>13</v>
      </c>
      <c r="S5505" s="8">
        <v>13.8</v>
      </c>
      <c r="T5505" s="8">
        <v>0.8</v>
      </c>
      <c r="U5505" s="8">
        <v>13.2</v>
      </c>
      <c r="V5505" s="8">
        <v>1.3</v>
      </c>
      <c r="W5505" s="8">
        <v>1.1000000000000001</v>
      </c>
      <c r="X5505" s="8">
        <v>130</v>
      </c>
      <c r="Y5505" s="8" t="s">
        <v>24567</v>
      </c>
      <c r="Z5505" s="8" t="s">
        <v>24568</v>
      </c>
    </row>
    <row r="5506" spans="1:26" x14ac:dyDescent="0.2">
      <c r="A5506" s="8">
        <v>5505</v>
      </c>
      <c r="B5506" s="8" t="s">
        <v>24569</v>
      </c>
      <c r="C5506" s="8" t="s">
        <v>24569</v>
      </c>
      <c r="F5506" s="47"/>
      <c r="G5506" s="8">
        <v>19</v>
      </c>
      <c r="H5506" s="8" t="s">
        <v>21</v>
      </c>
      <c r="I5506" s="8" t="s">
        <v>22</v>
      </c>
      <c r="J5506" s="8" t="s">
        <v>22</v>
      </c>
      <c r="K5506" s="8" t="s">
        <v>154</v>
      </c>
      <c r="L5506" s="8" t="s">
        <v>22476</v>
      </c>
      <c r="M5506" s="8" t="s">
        <v>22477</v>
      </c>
      <c r="N5506" s="8" t="s">
        <v>24570</v>
      </c>
      <c r="O5506" s="8">
        <f>14+12/60+31.6/3600</f>
        <v>14.208777777777778</v>
      </c>
      <c r="P5506" s="8" t="s">
        <v>24571</v>
      </c>
      <c r="Q5506" s="8">
        <f>+(13+18/60+17/3600)</f>
        <v>13.304722222222223</v>
      </c>
      <c r="R5506" s="8">
        <v>13.2</v>
      </c>
      <c r="S5506" s="8">
        <v>14.1</v>
      </c>
      <c r="T5506" s="8">
        <v>0.9</v>
      </c>
      <c r="U5506" s="8">
        <v>12.8</v>
      </c>
      <c r="V5506" s="8">
        <v>1</v>
      </c>
      <c r="W5506" s="8">
        <v>0.7</v>
      </c>
      <c r="X5506" s="8">
        <v>130</v>
      </c>
      <c r="Y5506" s="8" t="s">
        <v>24572</v>
      </c>
      <c r="Z5506" s="8" t="s">
        <v>24573</v>
      </c>
    </row>
    <row r="5507" spans="1:26" x14ac:dyDescent="0.2">
      <c r="A5507" s="8">
        <v>5506</v>
      </c>
      <c r="B5507" s="8" t="s">
        <v>24574</v>
      </c>
      <c r="C5507" s="8" t="s">
        <v>24574</v>
      </c>
      <c r="F5507" s="47" t="s">
        <v>57907</v>
      </c>
      <c r="G5507" s="8">
        <v>6.5</v>
      </c>
      <c r="H5507" s="8" t="s">
        <v>21</v>
      </c>
      <c r="I5507" s="8" t="s">
        <v>22</v>
      </c>
      <c r="J5507" s="8" t="s">
        <v>22</v>
      </c>
      <c r="K5507" s="8" t="s">
        <v>2542</v>
      </c>
      <c r="L5507" s="8" t="s">
        <v>17287</v>
      </c>
      <c r="M5507" s="8" t="s">
        <v>17288</v>
      </c>
      <c r="N5507" s="8" t="s">
        <v>24575</v>
      </c>
      <c r="O5507" s="8">
        <f>14+13/60+14.8/3600</f>
        <v>14.220777777777778</v>
      </c>
      <c r="P5507" s="8" t="s">
        <v>24576</v>
      </c>
      <c r="Q5507" s="8">
        <f>-(3+12/60+25/3600)</f>
        <v>-3.2069444444444448</v>
      </c>
      <c r="R5507" s="8">
        <v>11.9</v>
      </c>
      <c r="S5507" s="8">
        <v>12.8</v>
      </c>
      <c r="T5507" s="8">
        <v>0.9</v>
      </c>
      <c r="U5507" s="8">
        <v>12.7</v>
      </c>
      <c r="V5507" s="8">
        <v>2.7</v>
      </c>
      <c r="W5507" s="8">
        <v>0.8</v>
      </c>
      <c r="X5507" s="8">
        <v>95</v>
      </c>
      <c r="Y5507" s="8" t="s">
        <v>24577</v>
      </c>
      <c r="Z5507" s="8" t="s">
        <v>24578</v>
      </c>
    </row>
    <row r="5508" spans="1:26" x14ac:dyDescent="0.2">
      <c r="A5508" s="8">
        <v>5507</v>
      </c>
      <c r="B5508" s="8" t="s">
        <v>24579</v>
      </c>
      <c r="C5508" s="8" t="s">
        <v>24579</v>
      </c>
      <c r="F5508" s="47" t="s">
        <v>57908</v>
      </c>
      <c r="G5508" s="8">
        <v>6.5</v>
      </c>
      <c r="H5508" s="8" t="s">
        <v>21</v>
      </c>
      <c r="I5508" s="8" t="s">
        <v>22</v>
      </c>
      <c r="J5508" s="8" t="s">
        <v>22</v>
      </c>
      <c r="K5508" s="8" t="s">
        <v>224</v>
      </c>
      <c r="L5508" s="8" t="s">
        <v>17287</v>
      </c>
      <c r="M5508" s="8" t="s">
        <v>17288</v>
      </c>
      <c r="N5508" s="8" t="s">
        <v>24580</v>
      </c>
      <c r="O5508" s="8">
        <f>14+13/60+19.8/3600</f>
        <v>14.222166666666666</v>
      </c>
      <c r="P5508" s="8" t="s">
        <v>24581</v>
      </c>
      <c r="Q5508" s="8">
        <f>-(3+8/60+54/3600)</f>
        <v>-3.1483333333333334</v>
      </c>
      <c r="R5508" s="8">
        <v>12.5</v>
      </c>
      <c r="S5508" s="8">
        <v>13.5</v>
      </c>
      <c r="T5508" s="8">
        <v>1</v>
      </c>
      <c r="U5508" s="8">
        <v>12.8</v>
      </c>
      <c r="V5508" s="8">
        <v>1.6</v>
      </c>
      <c r="W5508" s="8">
        <v>0.9</v>
      </c>
      <c r="X5508" s="8">
        <v>55</v>
      </c>
      <c r="Y5508" s="8" t="s">
        <v>24582</v>
      </c>
      <c r="Z5508" s="8" t="s">
        <v>24583</v>
      </c>
    </row>
    <row r="5509" spans="1:26" x14ac:dyDescent="0.2">
      <c r="A5509" s="8">
        <v>5508</v>
      </c>
      <c r="B5509" s="8" t="s">
        <v>24584</v>
      </c>
      <c r="C5509" s="8" t="s">
        <v>24584</v>
      </c>
      <c r="F5509" s="47"/>
      <c r="G5509" s="8">
        <v>19</v>
      </c>
      <c r="H5509" s="8" t="s">
        <v>21</v>
      </c>
      <c r="I5509" s="8" t="s">
        <v>22</v>
      </c>
      <c r="J5509" s="8" t="s">
        <v>22</v>
      </c>
      <c r="K5509" s="8" t="s">
        <v>37</v>
      </c>
      <c r="L5509" s="8" t="s">
        <v>22476</v>
      </c>
      <c r="M5509" s="8" t="s">
        <v>22477</v>
      </c>
      <c r="N5509" s="8" t="s">
        <v>24585</v>
      </c>
      <c r="O5509" s="8">
        <f>14+12/60+29/3600</f>
        <v>14.208055555555555</v>
      </c>
      <c r="P5509" s="8" t="s">
        <v>24586</v>
      </c>
      <c r="Q5509" s="8">
        <f>+(24+38/60+8/3600)</f>
        <v>24.635555555555555</v>
      </c>
      <c r="R5509" s="8">
        <v>13.8</v>
      </c>
      <c r="S5509" s="8">
        <v>14.8</v>
      </c>
      <c r="T5509" s="8">
        <v>1</v>
      </c>
      <c r="U5509" s="8">
        <v>13.5</v>
      </c>
      <c r="V5509" s="8">
        <v>1.1000000000000001</v>
      </c>
      <c r="W5509" s="8">
        <v>0.8</v>
      </c>
      <c r="X5509" s="8">
        <v>141</v>
      </c>
      <c r="Y5509" s="8" t="s">
        <v>24587</v>
      </c>
      <c r="Z5509" s="8" t="s">
        <v>11814</v>
      </c>
    </row>
    <row r="5510" spans="1:26" x14ac:dyDescent="0.2">
      <c r="A5510" s="8">
        <v>5509</v>
      </c>
      <c r="B5510" s="8" t="s">
        <v>24588</v>
      </c>
      <c r="C5510" s="8" t="s">
        <v>24588</v>
      </c>
      <c r="F5510" s="47"/>
      <c r="G5510" s="8">
        <v>19</v>
      </c>
      <c r="H5510" s="8" t="s">
        <v>21</v>
      </c>
      <c r="I5510" s="8" t="s">
        <v>22</v>
      </c>
      <c r="J5510" s="8" t="s">
        <v>22</v>
      </c>
      <c r="K5510" s="8" t="s">
        <v>37</v>
      </c>
      <c r="L5510" s="8" t="s">
        <v>22476</v>
      </c>
      <c r="M5510" s="8" t="s">
        <v>22477</v>
      </c>
      <c r="N5510" s="8" t="s">
        <v>24589</v>
      </c>
      <c r="O5510" s="8">
        <f>14+12/60+39.9/3600</f>
        <v>14.211083333333333</v>
      </c>
      <c r="P5510" s="8" t="s">
        <v>24590</v>
      </c>
      <c r="Q5510" s="8">
        <f>+(20+23/60+18/3600)</f>
        <v>20.388333333333332</v>
      </c>
      <c r="R5510" s="8">
        <v>14.1</v>
      </c>
      <c r="S5510" s="8">
        <v>15.1</v>
      </c>
      <c r="T5510" s="8">
        <v>1</v>
      </c>
      <c r="U5510" s="8">
        <v>13.8</v>
      </c>
      <c r="V5510" s="8">
        <v>1.1000000000000001</v>
      </c>
      <c r="W5510" s="8">
        <v>0.8</v>
      </c>
      <c r="X5510" s="8">
        <v>100</v>
      </c>
      <c r="Y5510" s="8" t="s">
        <v>24591</v>
      </c>
      <c r="Z5510" s="8" t="s">
        <v>24592</v>
      </c>
    </row>
    <row r="5511" spans="1:26" x14ac:dyDescent="0.2">
      <c r="A5511" s="8">
        <v>5510</v>
      </c>
      <c r="B5511" s="8" t="s">
        <v>24593</v>
      </c>
      <c r="C5511" s="8" t="s">
        <v>24593</v>
      </c>
      <c r="F5511" s="47"/>
      <c r="G5511" s="8">
        <v>19</v>
      </c>
      <c r="H5511" s="8" t="s">
        <v>21</v>
      </c>
      <c r="I5511" s="8" t="s">
        <v>22</v>
      </c>
      <c r="J5511" s="8" t="s">
        <v>22</v>
      </c>
      <c r="K5511" s="8" t="s">
        <v>483</v>
      </c>
      <c r="L5511" s="8" t="s">
        <v>17287</v>
      </c>
      <c r="M5511" s="8" t="s">
        <v>17288</v>
      </c>
      <c r="N5511" s="8" t="s">
        <v>24594</v>
      </c>
      <c r="O5511" s="8">
        <f>14+13/60+37.1/3600</f>
        <v>14.226972222222223</v>
      </c>
      <c r="P5511" s="8" t="s">
        <v>24595</v>
      </c>
      <c r="Q5511" s="8">
        <f>-(17+59/60+3/3600)</f>
        <v>-17.984166666666667</v>
      </c>
      <c r="R5511" s="8">
        <v>13.4</v>
      </c>
      <c r="S5511" s="8">
        <v>14</v>
      </c>
      <c r="T5511" s="8">
        <v>0.6</v>
      </c>
      <c r="U5511" s="8">
        <v>13.8</v>
      </c>
      <c r="V5511" s="8">
        <v>1.4</v>
      </c>
      <c r="W5511" s="8">
        <v>1.2</v>
      </c>
      <c r="X5511" s="8">
        <v>40</v>
      </c>
      <c r="Y5511" s="8" t="s">
        <v>750</v>
      </c>
      <c r="Z5511" s="8" t="s">
        <v>751</v>
      </c>
    </row>
    <row r="5512" spans="1:26" x14ac:dyDescent="0.2">
      <c r="A5512" s="8">
        <v>5511</v>
      </c>
      <c r="B5512" s="8" t="s">
        <v>24596</v>
      </c>
      <c r="C5512" s="8" t="s">
        <v>24596</v>
      </c>
      <c r="F5512" s="47"/>
      <c r="G5512" s="8">
        <v>19</v>
      </c>
      <c r="H5512" s="8" t="s">
        <v>21</v>
      </c>
      <c r="I5512" s="8" t="s">
        <v>22</v>
      </c>
      <c r="J5512" s="8" t="s">
        <v>22</v>
      </c>
      <c r="K5512" s="8" t="s">
        <v>476</v>
      </c>
      <c r="L5512" s="8" t="s">
        <v>22476</v>
      </c>
      <c r="M5512" s="8" t="s">
        <v>22477</v>
      </c>
      <c r="N5512" s="8" t="s">
        <v>24597</v>
      </c>
      <c r="O5512" s="8">
        <f>14+13/60+5.4/3600</f>
        <v>14.218166666666667</v>
      </c>
      <c r="P5512" s="8" t="s">
        <v>24598</v>
      </c>
      <c r="Q5512" s="8">
        <f>+(8+37/60+56/3600)</f>
        <v>8.6322222222222234</v>
      </c>
      <c r="R5512" s="8">
        <v>14.5</v>
      </c>
      <c r="S5512" s="8">
        <v>15.4</v>
      </c>
      <c r="T5512" s="8">
        <v>0.9</v>
      </c>
      <c r="U5512" s="8">
        <v>11.6</v>
      </c>
      <c r="V5512" s="8">
        <v>0.4</v>
      </c>
      <c r="W5512" s="8">
        <v>0.2</v>
      </c>
      <c r="X5512" s="8">
        <v>165</v>
      </c>
      <c r="Y5512" s="8" t="s">
        <v>24599</v>
      </c>
      <c r="Z5512" s="8" t="s">
        <v>24600</v>
      </c>
    </row>
    <row r="5513" spans="1:26" x14ac:dyDescent="0.2">
      <c r="A5513" s="8">
        <v>5512</v>
      </c>
      <c r="B5513" s="8" t="s">
        <v>24601</v>
      </c>
      <c r="C5513" s="8" t="s">
        <v>24601</v>
      </c>
      <c r="F5513" s="47"/>
      <c r="G5513" s="8">
        <v>19</v>
      </c>
      <c r="H5513" s="8" t="s">
        <v>21</v>
      </c>
      <c r="I5513" s="8" t="s">
        <v>22</v>
      </c>
      <c r="J5513" s="8" t="s">
        <v>22</v>
      </c>
      <c r="K5513" s="8" t="s">
        <v>50</v>
      </c>
      <c r="L5513" s="8" t="s">
        <v>22476</v>
      </c>
      <c r="M5513" s="8" t="s">
        <v>22477</v>
      </c>
      <c r="N5513" s="8" t="s">
        <v>24602</v>
      </c>
      <c r="O5513" s="8">
        <f>14+12/60+41.1/3600</f>
        <v>14.211416666666667</v>
      </c>
      <c r="P5513" s="8" t="s">
        <v>24603</v>
      </c>
      <c r="Q5513" s="8">
        <f>+(30+51/60+20/3600)</f>
        <v>30.855555555555558</v>
      </c>
      <c r="R5513" s="8">
        <v>14.2</v>
      </c>
      <c r="S5513" s="8">
        <v>15.2</v>
      </c>
      <c r="T5513" s="8">
        <v>1</v>
      </c>
      <c r="U5513" s="8">
        <v>13</v>
      </c>
      <c r="V5513" s="8">
        <v>0.5</v>
      </c>
      <c r="W5513" s="8">
        <v>0.3</v>
      </c>
      <c r="X5513" s="8">
        <v>78</v>
      </c>
      <c r="Y5513" s="8" t="s">
        <v>24604</v>
      </c>
      <c r="Z5513" s="8" t="s">
        <v>24605</v>
      </c>
    </row>
    <row r="5514" spans="1:26" x14ac:dyDescent="0.2">
      <c r="A5514" s="8">
        <v>5513</v>
      </c>
      <c r="B5514" s="8" t="s">
        <v>24606</v>
      </c>
      <c r="C5514" s="8" t="s">
        <v>24606</v>
      </c>
      <c r="F5514" s="47" t="s">
        <v>57909</v>
      </c>
      <c r="G5514" s="8">
        <v>15</v>
      </c>
      <c r="H5514" s="8" t="s">
        <v>21</v>
      </c>
      <c r="I5514" s="8" t="s">
        <v>22</v>
      </c>
      <c r="J5514" s="8" t="s">
        <v>22</v>
      </c>
      <c r="K5514" s="8" t="s">
        <v>37</v>
      </c>
      <c r="L5514" s="8" t="s">
        <v>22476</v>
      </c>
      <c r="M5514" s="8" t="s">
        <v>22477</v>
      </c>
      <c r="N5514" s="8" t="s">
        <v>24607</v>
      </c>
      <c r="O5514" s="8">
        <f>14+13/60+8.8/3600</f>
        <v>14.219111111111111</v>
      </c>
      <c r="P5514" s="8" t="s">
        <v>24608</v>
      </c>
      <c r="Q5514" s="8">
        <f>+(20+24/60+56/3600)</f>
        <v>20.415555555555553</v>
      </c>
      <c r="R5514" s="8">
        <v>12.6</v>
      </c>
      <c r="S5514" s="8">
        <v>13.6</v>
      </c>
      <c r="T5514" s="8">
        <v>1</v>
      </c>
      <c r="U5514" s="8">
        <v>13.3</v>
      </c>
      <c r="V5514" s="8">
        <v>1.9</v>
      </c>
      <c r="W5514" s="8">
        <v>1.1000000000000001</v>
      </c>
      <c r="X5514" s="8">
        <v>115</v>
      </c>
      <c r="Y5514" s="8" t="s">
        <v>22194</v>
      </c>
      <c r="Z5514" s="8" t="s">
        <v>22195</v>
      </c>
    </row>
    <row r="5515" spans="1:26" x14ac:dyDescent="0.2">
      <c r="A5515" s="8">
        <v>5514</v>
      </c>
      <c r="B5515" s="8" t="s">
        <v>24609</v>
      </c>
      <c r="C5515" s="8" t="s">
        <v>24609</v>
      </c>
      <c r="F5515" s="47"/>
      <c r="G5515" s="8">
        <v>18</v>
      </c>
      <c r="H5515" s="8" t="s">
        <v>21</v>
      </c>
      <c r="I5515" s="8" t="s">
        <v>22</v>
      </c>
      <c r="J5515" s="8" t="s">
        <v>22</v>
      </c>
      <c r="K5515" s="8" t="s">
        <v>31</v>
      </c>
      <c r="L5515" s="8" t="s">
        <v>22476</v>
      </c>
      <c r="M5515" s="8" t="s">
        <v>22477</v>
      </c>
      <c r="N5515" s="8" t="s">
        <v>24610</v>
      </c>
      <c r="O5515" s="8">
        <f>14+13/60+38.7/3600</f>
        <v>14.227416666666667</v>
      </c>
      <c r="P5515" s="8" t="s">
        <v>24611</v>
      </c>
      <c r="Q5515" s="8">
        <f>+(7+39/60+36/3600)</f>
        <v>7.66</v>
      </c>
      <c r="R5515" s="8">
        <v>13.3</v>
      </c>
      <c r="S5515" s="8">
        <v>14.1</v>
      </c>
      <c r="T5515" s="8">
        <v>0.8</v>
      </c>
      <c r="U5515" s="8">
        <v>13.3</v>
      </c>
      <c r="V5515" s="8">
        <v>1.4</v>
      </c>
      <c r="W5515" s="8">
        <v>0.8</v>
      </c>
      <c r="X5515" s="8">
        <v>105</v>
      </c>
      <c r="Y5515" s="8" t="s">
        <v>24612</v>
      </c>
      <c r="Z5515" s="8" t="s">
        <v>24613</v>
      </c>
    </row>
    <row r="5516" spans="1:26" x14ac:dyDescent="0.2">
      <c r="A5516" s="8">
        <v>5515</v>
      </c>
      <c r="B5516" s="8" t="s">
        <v>24614</v>
      </c>
      <c r="C5516" s="8" t="s">
        <v>24614</v>
      </c>
      <c r="F5516" s="47" t="s">
        <v>57910</v>
      </c>
      <c r="G5516" s="8">
        <v>15</v>
      </c>
      <c r="H5516" s="8" t="s">
        <v>21</v>
      </c>
      <c r="I5516" s="8" t="s">
        <v>22</v>
      </c>
      <c r="J5516" s="8" t="s">
        <v>22</v>
      </c>
      <c r="K5516" s="8" t="s">
        <v>31</v>
      </c>
      <c r="L5516" s="8" t="s">
        <v>22476</v>
      </c>
      <c r="M5516" s="8" t="s">
        <v>22477</v>
      </c>
      <c r="N5516" s="8" t="s">
        <v>24615</v>
      </c>
      <c r="O5516" s="8">
        <f>14+12/60+38.1/3600</f>
        <v>14.210583333333332</v>
      </c>
      <c r="P5516" s="8" t="s">
        <v>24616</v>
      </c>
      <c r="Q5516" s="8">
        <f>+(39+18/60+36/3600)</f>
        <v>39.309999999999995</v>
      </c>
      <c r="R5516" s="8">
        <v>12.9</v>
      </c>
      <c r="S5516" s="8">
        <v>13.7</v>
      </c>
      <c r="T5516" s="8">
        <v>0.8</v>
      </c>
      <c r="U5516" s="8">
        <v>12.6</v>
      </c>
      <c r="V5516" s="8">
        <v>1.3</v>
      </c>
      <c r="W5516" s="8">
        <v>0.7</v>
      </c>
      <c r="X5516" s="8">
        <v>108</v>
      </c>
      <c r="Y5516" s="8" t="s">
        <v>6793</v>
      </c>
      <c r="Z5516" s="8" t="s">
        <v>6794</v>
      </c>
    </row>
    <row r="5517" spans="1:26" x14ac:dyDescent="0.2">
      <c r="A5517" s="8">
        <v>5516</v>
      </c>
      <c r="B5517" s="8" t="s">
        <v>24617</v>
      </c>
      <c r="C5517" s="8" t="s">
        <v>24617</v>
      </c>
      <c r="F5517" s="47"/>
      <c r="G5517" s="8">
        <v>16</v>
      </c>
      <c r="H5517" s="8" t="s">
        <v>21</v>
      </c>
      <c r="I5517" s="8" t="s">
        <v>22</v>
      </c>
      <c r="J5517" s="8" t="s">
        <v>22</v>
      </c>
      <c r="K5517" s="8" t="s">
        <v>58</v>
      </c>
      <c r="L5517" s="8" t="s">
        <v>16195</v>
      </c>
      <c r="M5517" s="8" t="s">
        <v>16196</v>
      </c>
      <c r="N5517" s="8" t="s">
        <v>24618</v>
      </c>
      <c r="O5517" s="8">
        <f>14+15/60+54.6/3600</f>
        <v>14.265166666666667</v>
      </c>
      <c r="P5517" s="8" t="s">
        <v>24619</v>
      </c>
      <c r="Q5517" s="8">
        <f>-(48+6/60+53/3600)</f>
        <v>-48.114722222222227</v>
      </c>
      <c r="R5517" s="8">
        <v>12</v>
      </c>
      <c r="S5517" s="8">
        <v>13</v>
      </c>
      <c r="T5517" s="8">
        <v>1</v>
      </c>
      <c r="U5517" s="8">
        <v>12.9</v>
      </c>
      <c r="V5517" s="8">
        <v>1.8</v>
      </c>
      <c r="W5517" s="8">
        <v>1.2</v>
      </c>
      <c r="X5517" s="8">
        <v>169</v>
      </c>
      <c r="Y5517" s="8" t="s">
        <v>24620</v>
      </c>
      <c r="Z5517" s="8" t="s">
        <v>24621</v>
      </c>
    </row>
    <row r="5518" spans="1:26" x14ac:dyDescent="0.2">
      <c r="A5518" s="8">
        <v>5517</v>
      </c>
      <c r="B5518" s="8" t="s">
        <v>24622</v>
      </c>
      <c r="C5518" s="8" t="s">
        <v>24622</v>
      </c>
      <c r="F5518" s="47"/>
      <c r="G5518" s="8">
        <v>19</v>
      </c>
      <c r="H5518" s="8" t="s">
        <v>21</v>
      </c>
      <c r="I5518" s="8" t="s">
        <v>22</v>
      </c>
      <c r="J5518" s="8" t="s">
        <v>22</v>
      </c>
      <c r="K5518" s="8" t="s">
        <v>632</v>
      </c>
      <c r="L5518" s="8" t="s">
        <v>22476</v>
      </c>
      <c r="M5518" s="8" t="s">
        <v>22477</v>
      </c>
      <c r="N5518" s="8" t="s">
        <v>24623</v>
      </c>
      <c r="O5518" s="8">
        <f>14+12/60+51.3/3600</f>
        <v>14.21425</v>
      </c>
      <c r="P5518" s="8" t="s">
        <v>24624</v>
      </c>
      <c r="Q5518" s="8">
        <f>+(35+42/60+40/3600)</f>
        <v>35.711111111111116</v>
      </c>
      <c r="R5518" s="8">
        <v>13.8</v>
      </c>
      <c r="S5518" s="8">
        <v>14.7</v>
      </c>
      <c r="T5518" s="8">
        <v>0.9</v>
      </c>
      <c r="U5518" s="8">
        <v>13.6</v>
      </c>
      <c r="V5518" s="8">
        <v>1</v>
      </c>
      <c r="W5518" s="8">
        <v>0.8</v>
      </c>
      <c r="X5518" s="8">
        <v>125</v>
      </c>
      <c r="Y5518" s="8" t="s">
        <v>24625</v>
      </c>
      <c r="Z5518" s="8" t="s">
        <v>24626</v>
      </c>
    </row>
    <row r="5519" spans="1:26" x14ac:dyDescent="0.2">
      <c r="A5519" s="8">
        <v>5518</v>
      </c>
      <c r="B5519" s="8" t="s">
        <v>24627</v>
      </c>
      <c r="C5519" s="8" t="s">
        <v>24627</v>
      </c>
      <c r="F5519" s="47"/>
      <c r="G5519" s="8">
        <v>19</v>
      </c>
      <c r="H5519" s="8" t="s">
        <v>21</v>
      </c>
      <c r="I5519" s="8" t="s">
        <v>22</v>
      </c>
      <c r="J5519" s="8" t="s">
        <v>22</v>
      </c>
      <c r="K5519" s="8" t="s">
        <v>58</v>
      </c>
      <c r="L5519" s="8" t="s">
        <v>22476</v>
      </c>
      <c r="M5519" s="8" t="s">
        <v>22477</v>
      </c>
      <c r="N5519" s="8" t="s">
        <v>24628</v>
      </c>
      <c r="O5519" s="8">
        <f>14+13/60+47.6/3600</f>
        <v>14.229888888888889</v>
      </c>
      <c r="P5519" s="8" t="s">
        <v>24629</v>
      </c>
      <c r="Q5519" s="8">
        <f>+(20+50/60+56/3600)</f>
        <v>20.848888888888887</v>
      </c>
      <c r="R5519" s="8">
        <v>14</v>
      </c>
      <c r="S5519" s="8">
        <v>15</v>
      </c>
      <c r="T5519" s="8">
        <v>1</v>
      </c>
      <c r="U5519" s="8">
        <v>13.3</v>
      </c>
      <c r="V5519" s="8">
        <v>0.7</v>
      </c>
      <c r="W5519" s="8">
        <v>0.7</v>
      </c>
      <c r="Y5519" s="8" t="s">
        <v>530</v>
      </c>
      <c r="Z5519" s="8" t="s">
        <v>531</v>
      </c>
    </row>
    <row r="5520" spans="1:26" x14ac:dyDescent="0.2">
      <c r="A5520" s="8">
        <v>5519</v>
      </c>
      <c r="B5520" s="8" t="s">
        <v>24630</v>
      </c>
      <c r="C5520" s="8" t="s">
        <v>24630</v>
      </c>
      <c r="F5520" s="47"/>
      <c r="G5520" s="8">
        <v>18</v>
      </c>
      <c r="H5520" s="8" t="s">
        <v>21</v>
      </c>
      <c r="I5520" s="8" t="s">
        <v>22</v>
      </c>
      <c r="J5520" s="8" t="s">
        <v>22</v>
      </c>
      <c r="K5520" s="8" t="s">
        <v>91</v>
      </c>
      <c r="L5520" s="8" t="s">
        <v>22476</v>
      </c>
      <c r="M5520" s="8" t="s">
        <v>22477</v>
      </c>
      <c r="N5520" s="8" t="s">
        <v>24631</v>
      </c>
      <c r="O5520" s="8">
        <f>14+14/60+20.9/3600</f>
        <v>14.239138888888888</v>
      </c>
      <c r="P5520" s="8" t="s">
        <v>24632</v>
      </c>
      <c r="Q5520" s="8">
        <f>+(7+30/60+56/3600)</f>
        <v>7.5155555555555553</v>
      </c>
      <c r="R5520" s="8">
        <v>13.1</v>
      </c>
      <c r="S5520" s="8">
        <v>14</v>
      </c>
      <c r="T5520" s="8">
        <v>0.9</v>
      </c>
      <c r="U5520" s="8">
        <v>13.5</v>
      </c>
      <c r="V5520" s="8">
        <v>1.6</v>
      </c>
      <c r="W5520" s="8">
        <v>1</v>
      </c>
      <c r="X5520" s="8">
        <v>75</v>
      </c>
      <c r="Y5520" s="8" t="s">
        <v>24633</v>
      </c>
      <c r="Z5520" s="8" t="s">
        <v>24634</v>
      </c>
    </row>
    <row r="5521" spans="1:26" x14ac:dyDescent="0.2">
      <c r="A5521" s="8">
        <v>5520</v>
      </c>
      <c r="B5521" s="8" t="s">
        <v>24635</v>
      </c>
      <c r="C5521" s="8" t="s">
        <v>24635</v>
      </c>
      <c r="F5521" s="47" t="s">
        <v>57911</v>
      </c>
      <c r="G5521" s="8">
        <v>6.5</v>
      </c>
      <c r="H5521" s="8" t="s">
        <v>21</v>
      </c>
      <c r="I5521" s="8" t="s">
        <v>22</v>
      </c>
      <c r="J5521" s="8" t="s">
        <v>22</v>
      </c>
      <c r="K5521" s="8" t="s">
        <v>23</v>
      </c>
      <c r="L5521" s="8" t="s">
        <v>22476</v>
      </c>
      <c r="M5521" s="8" t="s">
        <v>22477</v>
      </c>
      <c r="N5521" s="8" t="s">
        <v>24636</v>
      </c>
      <c r="O5521" s="8">
        <f>14+12/60+22.7/3600</f>
        <v>14.206305555555554</v>
      </c>
      <c r="P5521" s="8" t="s">
        <v>24637</v>
      </c>
      <c r="Q5521" s="8">
        <f>+(50+20/60+55/3600)</f>
        <v>50.348611111111111</v>
      </c>
      <c r="R5521" s="8">
        <v>12.4</v>
      </c>
      <c r="S5521" s="8">
        <v>13.2</v>
      </c>
      <c r="T5521" s="8">
        <v>0.8</v>
      </c>
      <c r="U5521" s="8">
        <v>13.1</v>
      </c>
      <c r="V5521" s="8">
        <v>2</v>
      </c>
      <c r="W5521" s="8">
        <v>1.1000000000000001</v>
      </c>
      <c r="X5521" s="8">
        <v>66</v>
      </c>
      <c r="Y5521" s="8" t="s">
        <v>24638</v>
      </c>
      <c r="Z5521" s="8" t="s">
        <v>24639</v>
      </c>
    </row>
    <row r="5522" spans="1:26" x14ac:dyDescent="0.2">
      <c r="A5522" s="8">
        <v>5521</v>
      </c>
      <c r="B5522" s="8" t="s">
        <v>24640</v>
      </c>
      <c r="C5522" s="8" t="s">
        <v>24640</v>
      </c>
      <c r="F5522" s="47"/>
      <c r="G5522" s="8">
        <v>16</v>
      </c>
      <c r="H5522" s="8" t="s">
        <v>21</v>
      </c>
      <c r="I5522" s="8" t="s">
        <v>22</v>
      </c>
      <c r="J5522" s="8" t="s">
        <v>22</v>
      </c>
      <c r="K5522" s="8" t="s">
        <v>476</v>
      </c>
      <c r="L5522" s="8" t="s">
        <v>17287</v>
      </c>
      <c r="M5522" s="8" t="s">
        <v>17288</v>
      </c>
      <c r="N5522" s="8" t="s">
        <v>24641</v>
      </c>
      <c r="O5522" s="8">
        <f>14+15/60+23.7/3600</f>
        <v>14.256583333333333</v>
      </c>
      <c r="P5522" s="8" t="s">
        <v>24642</v>
      </c>
      <c r="Q5522" s="8">
        <f>+(4+24/60+31/3600)</f>
        <v>4.408611111111111</v>
      </c>
      <c r="R5522" s="8">
        <v>13.8</v>
      </c>
      <c r="S5522" s="8">
        <v>14.7</v>
      </c>
      <c r="T5522" s="8">
        <v>0.9</v>
      </c>
      <c r="U5522" s="8">
        <v>12.1</v>
      </c>
      <c r="V5522" s="8">
        <v>0.6</v>
      </c>
      <c r="W5522" s="8">
        <v>0.5</v>
      </c>
      <c r="X5522" s="8">
        <v>96</v>
      </c>
      <c r="Y5522" s="8" t="s">
        <v>2641</v>
      </c>
      <c r="Z5522" s="8" t="s">
        <v>2642</v>
      </c>
    </row>
    <row r="5523" spans="1:26" x14ac:dyDescent="0.2">
      <c r="A5523" s="8">
        <v>5522</v>
      </c>
      <c r="B5523" s="8" t="s">
        <v>24643</v>
      </c>
      <c r="C5523" s="8" t="s">
        <v>24643</v>
      </c>
      <c r="F5523" s="47" t="s">
        <v>57912</v>
      </c>
      <c r="G5523" s="8">
        <v>15</v>
      </c>
      <c r="H5523" s="8" t="s">
        <v>21</v>
      </c>
      <c r="I5523" s="8" t="s">
        <v>22</v>
      </c>
      <c r="J5523" s="8" t="s">
        <v>22</v>
      </c>
      <c r="K5523" s="8" t="s">
        <v>23</v>
      </c>
      <c r="L5523" s="8" t="s">
        <v>22476</v>
      </c>
      <c r="M5523" s="8" t="s">
        <v>22477</v>
      </c>
      <c r="N5523" s="8" t="s">
        <v>24644</v>
      </c>
      <c r="O5523" s="8">
        <f>14+14/60+50.2/3600</f>
        <v>14.247277777777777</v>
      </c>
      <c r="P5523" s="8" t="s">
        <v>24645</v>
      </c>
      <c r="Q5523" s="8">
        <f>+(15+8/60+48/3600)</f>
        <v>15.146666666666667</v>
      </c>
      <c r="R5523" s="8">
        <v>13.5</v>
      </c>
      <c r="S5523" s="8">
        <v>14.3</v>
      </c>
      <c r="T5523" s="8">
        <v>0.8</v>
      </c>
      <c r="U5523" s="8">
        <v>13</v>
      </c>
      <c r="V5523" s="8">
        <v>1.8</v>
      </c>
      <c r="W5523" s="8">
        <v>0.4</v>
      </c>
      <c r="X5523" s="8">
        <v>50</v>
      </c>
      <c r="Y5523" s="8" t="s">
        <v>19937</v>
      </c>
      <c r="Z5523" s="8" t="s">
        <v>19938</v>
      </c>
    </row>
    <row r="5524" spans="1:26" x14ac:dyDescent="0.2">
      <c r="A5524" s="8">
        <v>5523</v>
      </c>
      <c r="B5524" s="8" t="s">
        <v>24646</v>
      </c>
      <c r="C5524" s="8" t="s">
        <v>24646</v>
      </c>
      <c r="F5524" s="47" t="s">
        <v>57913</v>
      </c>
      <c r="G5524" s="8">
        <v>6.5</v>
      </c>
      <c r="H5524" s="8" t="s">
        <v>21</v>
      </c>
      <c r="I5524" s="8" t="s">
        <v>22</v>
      </c>
      <c r="J5524" s="8" t="s">
        <v>22</v>
      </c>
      <c r="K5524" s="8" t="s">
        <v>160</v>
      </c>
      <c r="L5524" s="8" t="s">
        <v>22476</v>
      </c>
      <c r="M5524" s="8" t="s">
        <v>22477</v>
      </c>
      <c r="N5524" s="8" t="s">
        <v>24647</v>
      </c>
      <c r="O5524" s="8">
        <f>14+14/60+51.4/3600</f>
        <v>14.247611111111111</v>
      </c>
      <c r="P5524" s="8" t="s">
        <v>24648</v>
      </c>
      <c r="Q5524" s="8">
        <f>+(25+19/60+6/3600)</f>
        <v>25.318333333333332</v>
      </c>
      <c r="R5524" s="8">
        <v>12.2</v>
      </c>
      <c r="S5524" s="8">
        <v>12.9</v>
      </c>
      <c r="T5524" s="8">
        <v>0.7</v>
      </c>
      <c r="U5524" s="8">
        <v>13.8</v>
      </c>
      <c r="V5524" s="8">
        <v>4.7</v>
      </c>
      <c r="W5524" s="8">
        <v>1.1000000000000001</v>
      </c>
      <c r="X5524" s="8">
        <v>93</v>
      </c>
      <c r="Y5524" s="8" t="s">
        <v>24649</v>
      </c>
      <c r="Z5524" s="8" t="s">
        <v>24650</v>
      </c>
    </row>
    <row r="5525" spans="1:26" x14ac:dyDescent="0.2">
      <c r="A5525" s="8">
        <v>5524</v>
      </c>
      <c r="B5525" s="8" t="s">
        <v>24651</v>
      </c>
      <c r="C5525" s="8" t="s">
        <v>24651</v>
      </c>
      <c r="F5525" s="47"/>
      <c r="G5525" s="8">
        <v>18</v>
      </c>
      <c r="H5525" s="8" t="s">
        <v>21</v>
      </c>
      <c r="I5525" s="8" t="s">
        <v>72</v>
      </c>
      <c r="J5525" s="8" t="s">
        <v>72</v>
      </c>
      <c r="K5525" s="8" t="s">
        <v>73</v>
      </c>
      <c r="L5525" s="8" t="s">
        <v>22476</v>
      </c>
      <c r="M5525" s="8" t="s">
        <v>22477</v>
      </c>
      <c r="N5525" s="8" t="s">
        <v>24652</v>
      </c>
      <c r="O5525" s="8">
        <f>14+13/60+48.7/3600</f>
        <v>14.230194444444445</v>
      </c>
      <c r="P5525" s="8" t="s">
        <v>24653</v>
      </c>
      <c r="Q5525" s="8">
        <f>+(36+22/60+53/3600)</f>
        <v>36.381388888888893</v>
      </c>
      <c r="R5525" s="8">
        <v>99</v>
      </c>
      <c r="S5525" s="8">
        <v>99</v>
      </c>
      <c r="T5525" s="8">
        <v>99</v>
      </c>
      <c r="U5525" s="8">
        <v>99</v>
      </c>
      <c r="Y5525" s="8" t="s">
        <v>297</v>
      </c>
      <c r="Z5525" s="8" t="s">
        <v>298</v>
      </c>
    </row>
    <row r="5526" spans="1:26" x14ac:dyDescent="0.2">
      <c r="A5526" s="8">
        <v>5525</v>
      </c>
      <c r="B5526" s="8" t="s">
        <v>24654</v>
      </c>
      <c r="C5526" s="8" t="s">
        <v>24654</v>
      </c>
      <c r="F5526" s="47"/>
      <c r="G5526" s="8">
        <v>19</v>
      </c>
      <c r="H5526" s="8" t="s">
        <v>21</v>
      </c>
      <c r="I5526" s="8" t="s">
        <v>22</v>
      </c>
      <c r="J5526" s="8" t="s">
        <v>22</v>
      </c>
      <c r="K5526" s="8" t="s">
        <v>37</v>
      </c>
      <c r="L5526" s="8" t="s">
        <v>22476</v>
      </c>
      <c r="M5526" s="8" t="s">
        <v>22477</v>
      </c>
      <c r="N5526" s="8" t="s">
        <v>24655</v>
      </c>
      <c r="O5526" s="8">
        <f>14+15/60+39.2/3600</f>
        <v>14.260888888888889</v>
      </c>
      <c r="P5526" s="8" t="s">
        <v>24656</v>
      </c>
      <c r="Q5526" s="8">
        <f>+(14+16/60+56/3600)</f>
        <v>14.282222222222224</v>
      </c>
      <c r="R5526" s="8">
        <v>12.8</v>
      </c>
      <c r="S5526" s="8">
        <v>13.8</v>
      </c>
      <c r="T5526" s="8">
        <v>1</v>
      </c>
      <c r="U5526" s="8">
        <v>13</v>
      </c>
      <c r="V5526" s="8">
        <v>1.5</v>
      </c>
      <c r="W5526" s="8">
        <v>0.9</v>
      </c>
      <c r="X5526" s="8">
        <v>23</v>
      </c>
      <c r="Y5526" s="8" t="s">
        <v>4927</v>
      </c>
      <c r="Z5526" s="8" t="s">
        <v>4928</v>
      </c>
    </row>
    <row r="5527" spans="1:26" x14ac:dyDescent="0.2">
      <c r="A5527" s="8">
        <v>5526</v>
      </c>
      <c r="B5527" s="8" t="s">
        <v>24657</v>
      </c>
      <c r="C5527" s="8" t="s">
        <v>24657</v>
      </c>
      <c r="E5527" s="8">
        <v>1</v>
      </c>
      <c r="F5527" s="47" t="s">
        <v>57914</v>
      </c>
      <c r="G5527" s="8">
        <v>15</v>
      </c>
      <c r="H5527" s="8" t="s">
        <v>21</v>
      </c>
      <c r="I5527" s="8" t="s">
        <v>22</v>
      </c>
      <c r="J5527" s="8" t="s">
        <v>22</v>
      </c>
      <c r="K5527" s="8" t="s">
        <v>396</v>
      </c>
      <c r="L5527" s="8" t="s">
        <v>12015</v>
      </c>
      <c r="M5527" s="8" t="s">
        <v>12016</v>
      </c>
      <c r="N5527" s="8" t="s">
        <v>24658</v>
      </c>
      <c r="O5527" s="8">
        <f>14+13/60+53.3/3600</f>
        <v>14.231472222222223</v>
      </c>
      <c r="P5527" s="8" t="s">
        <v>24659</v>
      </c>
      <c r="Q5527" s="8">
        <f>+(57+46/60+20/3600)</f>
        <v>57.772222222222219</v>
      </c>
      <c r="R5527" s="8">
        <v>13.4</v>
      </c>
      <c r="S5527" s="8">
        <v>14.2</v>
      </c>
      <c r="T5527" s="8">
        <v>0.8</v>
      </c>
      <c r="U5527" s="8">
        <v>12.8</v>
      </c>
      <c r="V5527" s="8">
        <v>2.2999999999999998</v>
      </c>
      <c r="W5527" s="8">
        <v>0.3</v>
      </c>
      <c r="X5527" s="8">
        <v>136</v>
      </c>
      <c r="Y5527" s="8" t="s">
        <v>17269</v>
      </c>
      <c r="Z5527" s="8" t="s">
        <v>17270</v>
      </c>
    </row>
    <row r="5528" spans="1:26" x14ac:dyDescent="0.2">
      <c r="A5528" s="8">
        <v>5527</v>
      </c>
      <c r="B5528" s="8" t="s">
        <v>24660</v>
      </c>
      <c r="C5528" s="8" t="s">
        <v>24660</v>
      </c>
      <c r="F5528" s="47"/>
      <c r="G5528" s="8">
        <v>18</v>
      </c>
      <c r="H5528" s="8" t="s">
        <v>21</v>
      </c>
      <c r="I5528" s="8" t="s">
        <v>22</v>
      </c>
      <c r="J5528" s="8" t="s">
        <v>22</v>
      </c>
      <c r="K5528" s="8" t="s">
        <v>396</v>
      </c>
      <c r="L5528" s="8" t="s">
        <v>22476</v>
      </c>
      <c r="M5528" s="8" t="s">
        <v>22477</v>
      </c>
      <c r="N5528" s="8" t="s">
        <v>24661</v>
      </c>
      <c r="O5528" s="8">
        <f>14+14/60+27.2/3600</f>
        <v>14.240888888888888</v>
      </c>
      <c r="P5528" s="8" t="s">
        <v>24662</v>
      </c>
      <c r="Q5528" s="8">
        <f>+(36+24/60+16/3600)</f>
        <v>36.404444444444444</v>
      </c>
      <c r="R5528" s="8">
        <v>13.8</v>
      </c>
      <c r="S5528" s="8">
        <v>14.6</v>
      </c>
      <c r="T5528" s="8">
        <v>0.8</v>
      </c>
      <c r="U5528" s="8">
        <v>13.1</v>
      </c>
      <c r="V5528" s="8">
        <v>0.8</v>
      </c>
      <c r="W5528" s="8">
        <v>0.7</v>
      </c>
      <c r="X5528" s="8">
        <v>160</v>
      </c>
      <c r="Y5528" s="8" t="s">
        <v>297</v>
      </c>
      <c r="Z5528" s="8" t="s">
        <v>2909</v>
      </c>
    </row>
    <row r="5529" spans="1:26" x14ac:dyDescent="0.2">
      <c r="A5529" s="8">
        <v>5528</v>
      </c>
      <c r="B5529" s="8" t="s">
        <v>24663</v>
      </c>
      <c r="C5529" s="8" t="s">
        <v>24663</v>
      </c>
      <c r="F5529" s="47"/>
      <c r="G5529" s="8">
        <v>19</v>
      </c>
      <c r="H5529" s="8" t="s">
        <v>21</v>
      </c>
      <c r="I5529" s="8" t="s">
        <v>22</v>
      </c>
      <c r="J5529" s="8" t="s">
        <v>22</v>
      </c>
      <c r="K5529" s="8" t="s">
        <v>23</v>
      </c>
      <c r="L5529" s="8" t="s">
        <v>22476</v>
      </c>
      <c r="M5529" s="8" t="s">
        <v>22477</v>
      </c>
      <c r="N5529" s="8" t="s">
        <v>24664</v>
      </c>
      <c r="O5529" s="8">
        <f>14+16/60+19.8/3600</f>
        <v>14.272166666666667</v>
      </c>
      <c r="P5529" s="8" t="s">
        <v>24665</v>
      </c>
      <c r="Q5529" s="8">
        <f>+(8+17/60+35/3600)</f>
        <v>8.2930555555555561</v>
      </c>
      <c r="R5529" s="8">
        <v>13.9</v>
      </c>
      <c r="S5529" s="8">
        <v>14.7</v>
      </c>
      <c r="T5529" s="8">
        <v>0.8</v>
      </c>
      <c r="U5529" s="8">
        <v>13.8</v>
      </c>
      <c r="V5529" s="8">
        <v>1.4</v>
      </c>
      <c r="W5529" s="8">
        <v>0.7</v>
      </c>
      <c r="X5529" s="8">
        <v>21</v>
      </c>
      <c r="Y5529" s="8" t="s">
        <v>24666</v>
      </c>
      <c r="Z5529" s="8" t="s">
        <v>24667</v>
      </c>
    </row>
    <row r="5530" spans="1:26" x14ac:dyDescent="0.2">
      <c r="A5530" s="8">
        <v>5529</v>
      </c>
      <c r="B5530" s="8" t="s">
        <v>24668</v>
      </c>
      <c r="C5530" s="8" t="s">
        <v>24668</v>
      </c>
      <c r="F5530" s="47" t="s">
        <v>57915</v>
      </c>
      <c r="G5530" s="8">
        <v>6.5</v>
      </c>
      <c r="H5530" s="8" t="s">
        <v>21</v>
      </c>
      <c r="I5530" s="8" t="s">
        <v>22</v>
      </c>
      <c r="J5530" s="8" t="s">
        <v>22</v>
      </c>
      <c r="K5530" s="8" t="s">
        <v>160</v>
      </c>
      <c r="L5530" s="8" t="s">
        <v>22476</v>
      </c>
      <c r="M5530" s="8" t="s">
        <v>22477</v>
      </c>
      <c r="N5530" s="8" t="s">
        <v>24669</v>
      </c>
      <c r="O5530" s="8">
        <f>14+15/60+34/3600</f>
        <v>14.259444444444444</v>
      </c>
      <c r="P5530" s="8" t="s">
        <v>24670</v>
      </c>
      <c r="Q5530" s="8">
        <f>+(36+13/60+37/3600)</f>
        <v>36.226944444444449</v>
      </c>
      <c r="R5530" s="8">
        <v>11.9</v>
      </c>
      <c r="S5530" s="8">
        <v>12.8</v>
      </c>
      <c r="T5530" s="8">
        <v>0.9</v>
      </c>
      <c r="U5530" s="8">
        <v>13.5</v>
      </c>
      <c r="V5530" s="8">
        <v>6</v>
      </c>
      <c r="W5530" s="8">
        <v>0.7</v>
      </c>
      <c r="X5530" s="8">
        <v>115</v>
      </c>
      <c r="Y5530" s="8" t="s">
        <v>24671</v>
      </c>
      <c r="Z5530" s="8" t="s">
        <v>24672</v>
      </c>
    </row>
    <row r="5531" spans="1:26" x14ac:dyDescent="0.2">
      <c r="A5531" s="8">
        <v>5530</v>
      </c>
      <c r="B5531" s="8" t="s">
        <v>24673</v>
      </c>
      <c r="C5531" s="8" t="s">
        <v>24673</v>
      </c>
      <c r="F5531" s="47"/>
      <c r="G5531" s="8">
        <v>13</v>
      </c>
      <c r="H5531" s="8" t="s">
        <v>21</v>
      </c>
      <c r="I5531" s="8" t="s">
        <v>22</v>
      </c>
      <c r="J5531" s="8" t="s">
        <v>22</v>
      </c>
      <c r="K5531" s="8" t="s">
        <v>85</v>
      </c>
      <c r="L5531" s="8" t="s">
        <v>24674</v>
      </c>
      <c r="M5531" s="8" t="s">
        <v>24675</v>
      </c>
      <c r="N5531" s="8" t="s">
        <v>24676</v>
      </c>
      <c r="O5531" s="8">
        <f>14+18/60+27.1/3600</f>
        <v>14.307527777777779</v>
      </c>
      <c r="P5531" s="8" t="s">
        <v>24677</v>
      </c>
      <c r="Q5531" s="8">
        <f>-(43+23/60+13/3600)</f>
        <v>-43.386944444444445</v>
      </c>
      <c r="R5531" s="8">
        <v>11.3</v>
      </c>
      <c r="S5531" s="8">
        <v>12.1</v>
      </c>
      <c r="T5531" s="8">
        <v>0.8</v>
      </c>
      <c r="U5531" s="8">
        <v>13.4</v>
      </c>
      <c r="V5531" s="8">
        <v>4.2</v>
      </c>
      <c r="W5531" s="8">
        <v>1.8</v>
      </c>
      <c r="X5531" s="8">
        <v>127</v>
      </c>
      <c r="Y5531" s="8" t="s">
        <v>24678</v>
      </c>
      <c r="Z5531" s="8" t="s">
        <v>24679</v>
      </c>
    </row>
    <row r="5532" spans="1:26" x14ac:dyDescent="0.2">
      <c r="A5532" s="8">
        <v>5531</v>
      </c>
      <c r="B5532" s="8" t="s">
        <v>24680</v>
      </c>
      <c r="C5532" s="8" t="s">
        <v>24680</v>
      </c>
      <c r="F5532" s="47"/>
      <c r="G5532" s="8">
        <v>18</v>
      </c>
      <c r="H5532" s="8" t="s">
        <v>21</v>
      </c>
      <c r="I5532" s="8" t="s">
        <v>22</v>
      </c>
      <c r="J5532" s="8" t="s">
        <v>22</v>
      </c>
      <c r="K5532" s="8" t="s">
        <v>37</v>
      </c>
      <c r="L5532" s="8" t="s">
        <v>22476</v>
      </c>
      <c r="M5532" s="8" t="s">
        <v>22477</v>
      </c>
      <c r="N5532" s="8" t="s">
        <v>24681</v>
      </c>
      <c r="O5532" s="8">
        <f>14+16/60+43.2/3600</f>
        <v>14.278666666666668</v>
      </c>
      <c r="P5532" s="8" t="s">
        <v>24682</v>
      </c>
      <c r="Q5532" s="8">
        <f>+(10+53/60+8/3600)</f>
        <v>10.885555555555555</v>
      </c>
      <c r="R5532" s="8">
        <v>13.5</v>
      </c>
      <c r="S5532" s="8">
        <v>14.5</v>
      </c>
      <c r="T5532" s="8">
        <v>1</v>
      </c>
      <c r="U5532" s="8">
        <v>13.1</v>
      </c>
      <c r="V5532" s="8">
        <v>0.9</v>
      </c>
      <c r="W5532" s="8">
        <v>0.9</v>
      </c>
      <c r="Y5532" s="8" t="s">
        <v>24683</v>
      </c>
      <c r="Z5532" s="8" t="s">
        <v>24684</v>
      </c>
    </row>
    <row r="5533" spans="1:26" x14ac:dyDescent="0.2">
      <c r="A5533" s="8">
        <v>5532</v>
      </c>
      <c r="B5533" s="8" t="s">
        <v>24685</v>
      </c>
      <c r="C5533" s="8" t="s">
        <v>24685</v>
      </c>
      <c r="F5533" s="47" t="s">
        <v>57916</v>
      </c>
      <c r="G5533" s="8">
        <v>15</v>
      </c>
      <c r="H5533" s="8" t="s">
        <v>21</v>
      </c>
      <c r="I5533" s="8" t="s">
        <v>22</v>
      </c>
      <c r="J5533" s="8" t="s">
        <v>22</v>
      </c>
      <c r="K5533" s="8" t="s">
        <v>37</v>
      </c>
      <c r="L5533" s="8" t="s">
        <v>22476</v>
      </c>
      <c r="M5533" s="8" t="s">
        <v>22477</v>
      </c>
      <c r="N5533" s="8" t="s">
        <v>24686</v>
      </c>
      <c r="O5533" s="8">
        <f>14+16/60+52.9/3600</f>
        <v>14.281361111111112</v>
      </c>
      <c r="P5533" s="8" t="s">
        <v>24687</v>
      </c>
      <c r="Q5533" s="8">
        <f>+(10+48/60+27/3600)</f>
        <v>10.807500000000001</v>
      </c>
      <c r="R5533" s="8">
        <v>11.9</v>
      </c>
      <c r="S5533" s="8">
        <v>12.9</v>
      </c>
      <c r="T5533" s="8">
        <v>1</v>
      </c>
      <c r="U5533" s="8">
        <v>12.8</v>
      </c>
      <c r="V5533" s="8">
        <v>1.6</v>
      </c>
      <c r="W5533" s="8">
        <v>1.6</v>
      </c>
      <c r="Y5533" s="8" t="s">
        <v>5978</v>
      </c>
      <c r="Z5533" s="8" t="s">
        <v>5979</v>
      </c>
    </row>
    <row r="5534" spans="1:26" x14ac:dyDescent="0.2">
      <c r="A5534" s="8">
        <v>5533</v>
      </c>
      <c r="B5534" s="8" t="s">
        <v>24688</v>
      </c>
      <c r="C5534" s="8" t="s">
        <v>24688</v>
      </c>
      <c r="F5534" s="47" t="s">
        <v>57917</v>
      </c>
      <c r="G5534" s="8">
        <v>6.5</v>
      </c>
      <c r="H5534" s="8" t="s">
        <v>21</v>
      </c>
      <c r="I5534" s="8" t="s">
        <v>22</v>
      </c>
      <c r="J5534" s="8" t="s">
        <v>22</v>
      </c>
      <c r="K5534" s="8" t="s">
        <v>31</v>
      </c>
      <c r="L5534" s="8" t="s">
        <v>22476</v>
      </c>
      <c r="M5534" s="8" t="s">
        <v>22477</v>
      </c>
      <c r="N5534" s="8" t="s">
        <v>24689</v>
      </c>
      <c r="O5534" s="8">
        <f>14+16/60+7.4/3600</f>
        <v>14.268722222222223</v>
      </c>
      <c r="P5534" s="8" t="s">
        <v>24690</v>
      </c>
      <c r="Q5534" s="8">
        <f>+(35+20/60+38/3600)</f>
        <v>35.343888888888891</v>
      </c>
      <c r="R5534" s="8">
        <v>11.8</v>
      </c>
      <c r="S5534" s="8">
        <v>12.7</v>
      </c>
      <c r="T5534" s="8">
        <v>0.9</v>
      </c>
      <c r="U5534" s="8">
        <v>13.6</v>
      </c>
      <c r="V5534" s="8">
        <v>3.1</v>
      </c>
      <c r="W5534" s="8">
        <v>1.9</v>
      </c>
      <c r="X5534" s="8">
        <v>30</v>
      </c>
      <c r="Y5534" s="8" t="s">
        <v>24691</v>
      </c>
      <c r="Z5534" s="8" t="s">
        <v>24692</v>
      </c>
    </row>
    <row r="5535" spans="1:26" x14ac:dyDescent="0.2">
      <c r="A5535" s="8">
        <v>5534</v>
      </c>
      <c r="B5535" s="8" t="s">
        <v>24693</v>
      </c>
      <c r="C5535" s="8" t="s">
        <v>24693</v>
      </c>
      <c r="F5535" s="47"/>
      <c r="G5535" s="8">
        <v>13</v>
      </c>
      <c r="H5535" s="8" t="s">
        <v>21</v>
      </c>
      <c r="I5535" s="8" t="s">
        <v>22</v>
      </c>
      <c r="J5535" s="8" t="s">
        <v>22</v>
      </c>
      <c r="K5535" s="8" t="s">
        <v>406</v>
      </c>
      <c r="L5535" s="8" t="s">
        <v>17287</v>
      </c>
      <c r="M5535" s="8" t="s">
        <v>17288</v>
      </c>
      <c r="N5535" s="8" t="s">
        <v>24694</v>
      </c>
      <c r="O5535" s="8">
        <f>14+17/60+40.3/3600</f>
        <v>14.294527777777777</v>
      </c>
      <c r="P5535" s="8" t="s">
        <v>24695</v>
      </c>
      <c r="Q5535" s="8">
        <f>-(7+25/60+1/3600)</f>
        <v>-7.4169444444444448</v>
      </c>
      <c r="R5535" s="8">
        <v>12.3</v>
      </c>
      <c r="S5535" s="8">
        <v>13</v>
      </c>
      <c r="T5535" s="8">
        <v>0.7</v>
      </c>
      <c r="U5535" s="8">
        <v>12.4</v>
      </c>
      <c r="V5535" s="8">
        <v>1.7</v>
      </c>
      <c r="W5535" s="8">
        <v>1.3</v>
      </c>
      <c r="X5535" s="8">
        <v>139</v>
      </c>
      <c r="Y5535" s="8" t="s">
        <v>24696</v>
      </c>
      <c r="Z5535" s="8" t="s">
        <v>24697</v>
      </c>
    </row>
    <row r="5536" spans="1:26" x14ac:dyDescent="0.2">
      <c r="A5536" s="8">
        <v>5535</v>
      </c>
      <c r="B5536" s="8" t="s">
        <v>24698</v>
      </c>
      <c r="C5536" s="8" t="s">
        <v>24698</v>
      </c>
      <c r="F5536" s="47"/>
      <c r="G5536" s="8">
        <v>18</v>
      </c>
      <c r="H5536" s="8" t="s">
        <v>21</v>
      </c>
      <c r="I5536" s="8" t="s">
        <v>22</v>
      </c>
      <c r="J5536" s="8" t="s">
        <v>22</v>
      </c>
      <c r="K5536" s="8" t="s">
        <v>424</v>
      </c>
      <c r="L5536" s="8" t="s">
        <v>22476</v>
      </c>
      <c r="M5536" s="8" t="s">
        <v>22477</v>
      </c>
      <c r="N5536" s="8" t="s">
        <v>24699</v>
      </c>
      <c r="O5536" s="8">
        <f>14+17/60+31.1/3600</f>
        <v>14.291972222222222</v>
      </c>
      <c r="P5536" s="8" t="s">
        <v>24700</v>
      </c>
      <c r="Q5536" s="8">
        <f>+(8+12/60+27/3600)</f>
        <v>8.2074999999999996</v>
      </c>
      <c r="R5536" s="8">
        <v>15</v>
      </c>
      <c r="S5536" s="8">
        <v>16</v>
      </c>
      <c r="T5536" s="8">
        <v>1</v>
      </c>
      <c r="U5536" s="8">
        <v>12.2</v>
      </c>
      <c r="V5536" s="8">
        <v>0.3</v>
      </c>
      <c r="W5536" s="8">
        <v>0.3</v>
      </c>
      <c r="Y5536" s="8" t="s">
        <v>14218</v>
      </c>
      <c r="Z5536" s="8" t="s">
        <v>14219</v>
      </c>
    </row>
    <row r="5537" spans="1:26" x14ac:dyDescent="0.2">
      <c r="A5537" s="8">
        <v>5536</v>
      </c>
      <c r="B5537" s="8" t="s">
        <v>24701</v>
      </c>
      <c r="C5537" s="8" t="s">
        <v>24701</v>
      </c>
      <c r="F5537" s="47" t="s">
        <v>57918</v>
      </c>
      <c r="G5537" s="8">
        <v>15</v>
      </c>
      <c r="H5537" s="8" t="s">
        <v>21</v>
      </c>
      <c r="I5537" s="8" t="s">
        <v>22</v>
      </c>
      <c r="J5537" s="8" t="s">
        <v>22</v>
      </c>
      <c r="K5537" s="8" t="s">
        <v>154</v>
      </c>
      <c r="L5537" s="8" t="s">
        <v>22476</v>
      </c>
      <c r="M5537" s="8" t="s">
        <v>22477</v>
      </c>
      <c r="N5537" s="8" t="s">
        <v>24702</v>
      </c>
      <c r="O5537" s="8">
        <f>14+16/60+23.7/3600</f>
        <v>14.273250000000001</v>
      </c>
      <c r="P5537" s="8" t="s">
        <v>24703</v>
      </c>
      <c r="Q5537" s="8">
        <f>+(39+30/60+8/3600)</f>
        <v>39.502222222222223</v>
      </c>
      <c r="R5537" s="8">
        <v>13.5</v>
      </c>
      <c r="S5537" s="8">
        <v>14.4</v>
      </c>
      <c r="T5537" s="8">
        <v>0.9</v>
      </c>
      <c r="U5537" s="8">
        <v>13.6</v>
      </c>
      <c r="V5537" s="8">
        <v>1.2</v>
      </c>
      <c r="W5537" s="8">
        <v>1</v>
      </c>
      <c r="X5537" s="8">
        <v>144</v>
      </c>
      <c r="Y5537" s="8" t="s">
        <v>24704</v>
      </c>
      <c r="Z5537" s="8" t="s">
        <v>24705</v>
      </c>
    </row>
    <row r="5538" spans="1:26" x14ac:dyDescent="0.2">
      <c r="A5538" s="8">
        <v>5537</v>
      </c>
      <c r="B5538" s="8" t="s">
        <v>24706</v>
      </c>
      <c r="C5538" s="8" t="s">
        <v>24706</v>
      </c>
      <c r="F5538" s="47"/>
      <c r="G5538" s="8">
        <v>18</v>
      </c>
      <c r="H5538" s="8" t="s">
        <v>21</v>
      </c>
      <c r="I5538" s="8" t="s">
        <v>22</v>
      </c>
      <c r="J5538" s="8" t="s">
        <v>22</v>
      </c>
      <c r="K5538" s="8" t="s">
        <v>476</v>
      </c>
      <c r="L5538" s="8" t="s">
        <v>17287</v>
      </c>
      <c r="M5538" s="8" t="s">
        <v>17288</v>
      </c>
      <c r="N5538" s="8" t="s">
        <v>24707</v>
      </c>
      <c r="O5538" s="8">
        <f>14+17/60+37/3600</f>
        <v>14.293611111111112</v>
      </c>
      <c r="P5538" s="8" t="s">
        <v>24708</v>
      </c>
      <c r="Q5538" s="8">
        <f>+(7+3/60+17/3600)</f>
        <v>7.0547222222222219</v>
      </c>
      <c r="R5538" s="8">
        <v>14.3</v>
      </c>
      <c r="S5538" s="8">
        <v>15.2</v>
      </c>
      <c r="T5538" s="8">
        <v>0.9</v>
      </c>
      <c r="U5538" s="8">
        <v>13.4</v>
      </c>
      <c r="V5538" s="8">
        <v>1</v>
      </c>
      <c r="W5538" s="8">
        <v>0.5</v>
      </c>
      <c r="X5538" s="8">
        <v>35</v>
      </c>
      <c r="Y5538" s="8" t="s">
        <v>23422</v>
      </c>
      <c r="Z5538" s="8" t="s">
        <v>23423</v>
      </c>
    </row>
    <row r="5539" spans="1:26" x14ac:dyDescent="0.2">
      <c r="A5539" s="8">
        <v>5538</v>
      </c>
      <c r="B5539" s="8" t="s">
        <v>24709</v>
      </c>
      <c r="C5539" s="8" t="s">
        <v>24709</v>
      </c>
      <c r="F5539" s="47"/>
      <c r="G5539" s="8">
        <v>18</v>
      </c>
      <c r="H5539" s="8" t="s">
        <v>21</v>
      </c>
      <c r="I5539" s="8" t="s">
        <v>22</v>
      </c>
      <c r="J5539" s="8" t="s">
        <v>22</v>
      </c>
      <c r="K5539" s="8" t="s">
        <v>579</v>
      </c>
      <c r="L5539" s="8" t="s">
        <v>22476</v>
      </c>
      <c r="M5539" s="8" t="s">
        <v>22477</v>
      </c>
      <c r="N5539" s="8" t="s">
        <v>24710</v>
      </c>
      <c r="O5539" s="8">
        <f>14+17/60+42.4/3600</f>
        <v>14.295111111111112</v>
      </c>
      <c r="P5539" s="8" t="s">
        <v>24711</v>
      </c>
      <c r="Q5539" s="8">
        <f>+(7+28/60+34/3600)</f>
        <v>7.4761111111111109</v>
      </c>
      <c r="R5539" s="8">
        <v>14.7</v>
      </c>
      <c r="S5539" s="8">
        <v>15.4</v>
      </c>
      <c r="T5539" s="8">
        <v>0.7</v>
      </c>
      <c r="U5539" s="8">
        <v>12.6</v>
      </c>
      <c r="V5539" s="8">
        <v>0.8</v>
      </c>
      <c r="W5539" s="8">
        <v>0.2</v>
      </c>
      <c r="X5539" s="8">
        <v>63</v>
      </c>
      <c r="Y5539" s="8" t="s">
        <v>905</v>
      </c>
      <c r="Z5539" s="8" t="s">
        <v>906</v>
      </c>
    </row>
    <row r="5540" spans="1:26" x14ac:dyDescent="0.2">
      <c r="A5540" s="8">
        <v>5539</v>
      </c>
      <c r="B5540" s="8" t="s">
        <v>24712</v>
      </c>
      <c r="C5540" s="8" t="s">
        <v>24712</v>
      </c>
      <c r="F5540" s="47"/>
      <c r="G5540" s="8">
        <v>16</v>
      </c>
      <c r="H5540" s="8" t="s">
        <v>21</v>
      </c>
      <c r="I5540" s="8" t="s">
        <v>22</v>
      </c>
      <c r="J5540" s="8" t="s">
        <v>22</v>
      </c>
      <c r="K5540" s="8" t="s">
        <v>24713</v>
      </c>
      <c r="L5540" s="8" t="s">
        <v>22476</v>
      </c>
      <c r="M5540" s="8" t="s">
        <v>22477</v>
      </c>
      <c r="N5540" s="8" t="s">
        <v>24714</v>
      </c>
      <c r="O5540" s="8">
        <f>14+17/60+37.7/3600</f>
        <v>14.293805555555556</v>
      </c>
      <c r="P5540" s="8" t="s">
        <v>24715</v>
      </c>
      <c r="Q5540" s="8">
        <f>+(8+10/60+43/3600)</f>
        <v>8.1786111111111097</v>
      </c>
      <c r="R5540" s="8">
        <v>13.7</v>
      </c>
      <c r="S5540" s="8">
        <v>14.2</v>
      </c>
      <c r="T5540" s="8">
        <v>0.5</v>
      </c>
      <c r="U5540" s="8">
        <v>12.9</v>
      </c>
      <c r="V5540" s="8">
        <v>0.4</v>
      </c>
      <c r="W5540" s="8">
        <v>0.3</v>
      </c>
      <c r="Y5540" s="8" t="s">
        <v>24716</v>
      </c>
      <c r="Z5540" s="8" t="s">
        <v>24717</v>
      </c>
    </row>
    <row r="5541" spans="1:26" x14ac:dyDescent="0.2">
      <c r="A5541" s="8">
        <v>5540</v>
      </c>
      <c r="B5541" s="8" t="s">
        <v>24718</v>
      </c>
      <c r="C5541" s="8" t="s">
        <v>24718</v>
      </c>
      <c r="F5541" s="47" t="s">
        <v>57919</v>
      </c>
      <c r="G5541" s="8">
        <v>15</v>
      </c>
      <c r="H5541" s="8" t="s">
        <v>21</v>
      </c>
      <c r="I5541" s="8" t="s">
        <v>22</v>
      </c>
      <c r="J5541" s="8" t="s">
        <v>22</v>
      </c>
      <c r="K5541" s="8" t="s">
        <v>58</v>
      </c>
      <c r="L5541" s="8" t="s">
        <v>12015</v>
      </c>
      <c r="M5541" s="8" t="s">
        <v>12016</v>
      </c>
      <c r="N5541" s="8" t="s">
        <v>24719</v>
      </c>
      <c r="O5541" s="8">
        <f>14+14/60+54.2/3600</f>
        <v>14.248388888888888</v>
      </c>
      <c r="P5541" s="8" t="s">
        <v>24720</v>
      </c>
      <c r="Q5541" s="8">
        <f>+(60+0/60+39/3600)</f>
        <v>60.010833333333331</v>
      </c>
      <c r="R5541" s="8">
        <v>13.9</v>
      </c>
      <c r="S5541" s="8">
        <v>14.9</v>
      </c>
      <c r="T5541" s="8">
        <v>1</v>
      </c>
      <c r="U5541" s="8">
        <v>13.2</v>
      </c>
      <c r="V5541" s="8">
        <v>0.8</v>
      </c>
      <c r="W5541" s="8">
        <v>0.6</v>
      </c>
      <c r="X5541" s="8">
        <v>36</v>
      </c>
      <c r="Y5541" s="8" t="s">
        <v>24721</v>
      </c>
      <c r="Z5541" s="8" t="s">
        <v>24722</v>
      </c>
    </row>
    <row r="5542" spans="1:26" x14ac:dyDescent="0.2">
      <c r="A5542" s="8">
        <v>5541</v>
      </c>
      <c r="B5542" s="8" t="s">
        <v>24723</v>
      </c>
      <c r="C5542" s="8" t="s">
        <v>24723</v>
      </c>
      <c r="E5542" s="8">
        <v>1</v>
      </c>
      <c r="F5542" s="47" t="s">
        <v>57920</v>
      </c>
      <c r="G5542" s="8">
        <v>15</v>
      </c>
      <c r="H5542" s="8" t="s">
        <v>21</v>
      </c>
      <c r="I5542" s="8" t="s">
        <v>22</v>
      </c>
      <c r="J5542" s="8" t="s">
        <v>22</v>
      </c>
      <c r="K5542" s="8" t="s">
        <v>476</v>
      </c>
      <c r="L5542" s="8" t="s">
        <v>22476</v>
      </c>
      <c r="M5542" s="8" t="s">
        <v>22477</v>
      </c>
      <c r="N5542" s="8" t="s">
        <v>24724</v>
      </c>
      <c r="O5542" s="8">
        <f>14+16/60+31.7/3600</f>
        <v>14.275472222222223</v>
      </c>
      <c r="P5542" s="8" t="s">
        <v>24725</v>
      </c>
      <c r="Q5542" s="8">
        <f>+(39+35/60+18/3600)</f>
        <v>39.588333333333338</v>
      </c>
      <c r="R5542" s="8">
        <v>12.7</v>
      </c>
      <c r="S5542" s="8">
        <v>13.6</v>
      </c>
      <c r="T5542" s="8">
        <v>0.9</v>
      </c>
      <c r="U5542" s="8">
        <v>11.8</v>
      </c>
      <c r="V5542" s="8">
        <v>0.8</v>
      </c>
      <c r="W5542" s="8">
        <v>0.6</v>
      </c>
      <c r="X5542" s="8">
        <v>12</v>
      </c>
      <c r="Y5542" s="8" t="s">
        <v>24726</v>
      </c>
      <c r="Z5542" s="8" t="s">
        <v>24727</v>
      </c>
    </row>
    <row r="5543" spans="1:26" x14ac:dyDescent="0.2">
      <c r="A5543" s="8">
        <v>5542</v>
      </c>
      <c r="B5543" s="8" t="s">
        <v>24728</v>
      </c>
      <c r="C5543" s="8" t="s">
        <v>24728</v>
      </c>
      <c r="F5543" s="47"/>
      <c r="G5543" s="8">
        <v>15</v>
      </c>
      <c r="H5543" s="8" t="s">
        <v>21</v>
      </c>
      <c r="I5543" s="8" t="s">
        <v>22</v>
      </c>
      <c r="J5543" s="8" t="s">
        <v>22</v>
      </c>
      <c r="K5543" s="8" t="s">
        <v>476</v>
      </c>
      <c r="L5543" s="8" t="s">
        <v>22476</v>
      </c>
      <c r="M5543" s="8" t="s">
        <v>22477</v>
      </c>
      <c r="N5543" s="8" t="s">
        <v>24729</v>
      </c>
      <c r="O5543" s="8">
        <f>14+17/60+53.2/3600</f>
        <v>14.298111111111112</v>
      </c>
      <c r="P5543" s="8" t="s">
        <v>24730</v>
      </c>
      <c r="Q5543" s="8">
        <f>+(7+33/60+31/3600)</f>
        <v>7.5586111111111105</v>
      </c>
      <c r="R5543" s="8">
        <v>14.2</v>
      </c>
      <c r="S5543" s="8">
        <v>15.1</v>
      </c>
      <c r="T5543" s="8">
        <v>0.9</v>
      </c>
      <c r="U5543" s="8">
        <v>12.9</v>
      </c>
      <c r="V5543" s="8">
        <v>0.5</v>
      </c>
      <c r="W5543" s="8">
        <v>0.3</v>
      </c>
      <c r="X5543" s="8">
        <v>174</v>
      </c>
      <c r="Y5543" s="8" t="s">
        <v>282</v>
      </c>
      <c r="Z5543" s="8" t="s">
        <v>283</v>
      </c>
    </row>
    <row r="5544" spans="1:26" x14ac:dyDescent="0.2">
      <c r="A5544" s="8">
        <v>5543</v>
      </c>
      <c r="B5544" s="8" t="s">
        <v>24731</v>
      </c>
      <c r="C5544" s="8" t="s">
        <v>24731</v>
      </c>
      <c r="F5544" s="47"/>
      <c r="G5544" s="8">
        <v>18</v>
      </c>
      <c r="H5544" s="8" t="s">
        <v>21</v>
      </c>
      <c r="I5544" s="8" t="s">
        <v>22</v>
      </c>
      <c r="J5544" s="8" t="s">
        <v>22</v>
      </c>
      <c r="K5544" s="8" t="s">
        <v>449</v>
      </c>
      <c r="L5544" s="8" t="s">
        <v>22476</v>
      </c>
      <c r="M5544" s="8" t="s">
        <v>22477</v>
      </c>
      <c r="N5544" s="8" t="s">
        <v>24732</v>
      </c>
      <c r="O5544" s="8">
        <f>14+18/60+4/3600</f>
        <v>14.301111111111112</v>
      </c>
      <c r="P5544" s="8" t="s">
        <v>24733</v>
      </c>
      <c r="Q5544" s="8">
        <f>+(7+39/60+15/3600)</f>
        <v>7.6541666666666668</v>
      </c>
      <c r="R5544" s="8">
        <v>14.6</v>
      </c>
      <c r="S5544" s="8">
        <v>15.4</v>
      </c>
      <c r="T5544" s="8">
        <v>0.8</v>
      </c>
      <c r="U5544" s="8">
        <v>12.7</v>
      </c>
      <c r="V5544" s="8">
        <v>0.5</v>
      </c>
      <c r="W5544" s="8">
        <v>0.2</v>
      </c>
      <c r="X5544" s="8">
        <v>132</v>
      </c>
      <c r="Y5544" s="8" t="s">
        <v>266</v>
      </c>
      <c r="Z5544" s="8" t="s">
        <v>267</v>
      </c>
    </row>
    <row r="5545" spans="1:26" x14ac:dyDescent="0.2">
      <c r="A5545" s="8">
        <v>5544</v>
      </c>
      <c r="B5545" s="8" t="s">
        <v>24734</v>
      </c>
      <c r="C5545" s="8" t="s">
        <v>24734</v>
      </c>
      <c r="F5545" s="47" t="s">
        <v>57921</v>
      </c>
      <c r="G5545" s="8">
        <v>15</v>
      </c>
      <c r="H5545" s="8" t="s">
        <v>21</v>
      </c>
      <c r="I5545" s="8" t="s">
        <v>22</v>
      </c>
      <c r="J5545" s="8" t="s">
        <v>22</v>
      </c>
      <c r="K5545" s="8" t="s">
        <v>435</v>
      </c>
      <c r="L5545" s="8" t="s">
        <v>22476</v>
      </c>
      <c r="M5545" s="8" t="s">
        <v>22477</v>
      </c>
      <c r="N5545" s="8" t="s">
        <v>24735</v>
      </c>
      <c r="O5545" s="8">
        <f>14+17/60+2.4/3600</f>
        <v>14.284000000000001</v>
      </c>
      <c r="P5545" s="8" t="s">
        <v>24736</v>
      </c>
      <c r="Q5545" s="8">
        <f>+(36+34/60+16/3600)</f>
        <v>36.571111111111115</v>
      </c>
      <c r="R5545" s="8">
        <v>13</v>
      </c>
      <c r="S5545" s="8">
        <v>13.9</v>
      </c>
      <c r="T5545" s="8">
        <v>0.9</v>
      </c>
      <c r="U5545" s="8">
        <v>12.9</v>
      </c>
      <c r="V5545" s="8">
        <v>1.1000000000000001</v>
      </c>
      <c r="W5545" s="8">
        <v>1</v>
      </c>
      <c r="X5545" s="8">
        <v>62</v>
      </c>
      <c r="Y5545" s="8" t="s">
        <v>24737</v>
      </c>
      <c r="Z5545" s="8" t="s">
        <v>24738</v>
      </c>
    </row>
    <row r="5546" spans="1:26" x14ac:dyDescent="0.2">
      <c r="A5546" s="8">
        <v>5545</v>
      </c>
      <c r="B5546" s="8" t="s">
        <v>24739</v>
      </c>
      <c r="C5546" s="8" t="s">
        <v>24739</v>
      </c>
      <c r="F5546" s="47"/>
      <c r="G5546" s="8">
        <v>18</v>
      </c>
      <c r="H5546" s="8" t="s">
        <v>21</v>
      </c>
      <c r="I5546" s="8" t="s">
        <v>22</v>
      </c>
      <c r="J5546" s="8" t="s">
        <v>22</v>
      </c>
      <c r="K5546" s="8" t="s">
        <v>396</v>
      </c>
      <c r="L5546" s="8" t="s">
        <v>22476</v>
      </c>
      <c r="M5546" s="8" t="s">
        <v>22477</v>
      </c>
      <c r="N5546" s="8" t="s">
        <v>24740</v>
      </c>
      <c r="O5546" s="8">
        <f>14+17/60+4.8/3600</f>
        <v>14.284666666666666</v>
      </c>
      <c r="P5546" s="8" t="s">
        <v>24741</v>
      </c>
      <c r="Q5546" s="8">
        <f>+(36+34/60+29/3600)</f>
        <v>36.574722222222228</v>
      </c>
      <c r="R5546" s="8">
        <v>15</v>
      </c>
      <c r="S5546" s="8">
        <v>15.8</v>
      </c>
      <c r="T5546" s="8">
        <v>0.8</v>
      </c>
      <c r="U5546" s="8">
        <v>13.5</v>
      </c>
      <c r="V5546" s="8">
        <v>1</v>
      </c>
      <c r="W5546" s="8">
        <v>0.3</v>
      </c>
      <c r="X5546" s="8">
        <v>58</v>
      </c>
      <c r="Y5546" s="8" t="s">
        <v>24737</v>
      </c>
      <c r="Z5546" s="8" t="s">
        <v>24742</v>
      </c>
    </row>
    <row r="5547" spans="1:26" x14ac:dyDescent="0.2">
      <c r="A5547" s="8">
        <v>5546</v>
      </c>
      <c r="B5547" s="8" t="s">
        <v>24743</v>
      </c>
      <c r="C5547" s="8" t="s">
        <v>24743</v>
      </c>
      <c r="F5547" s="47" t="s">
        <v>57922</v>
      </c>
      <c r="G5547" s="8">
        <v>15</v>
      </c>
      <c r="H5547" s="8" t="s">
        <v>21</v>
      </c>
      <c r="I5547" s="8" t="s">
        <v>22</v>
      </c>
      <c r="J5547" s="8" t="s">
        <v>22</v>
      </c>
      <c r="K5547" s="8" t="s">
        <v>1136</v>
      </c>
      <c r="L5547" s="8" t="s">
        <v>22476</v>
      </c>
      <c r="M5547" s="8" t="s">
        <v>22477</v>
      </c>
      <c r="N5547" s="8" t="s">
        <v>24744</v>
      </c>
      <c r="O5547" s="8">
        <f>14+18/60+9.1/3600</f>
        <v>14.302527777777778</v>
      </c>
      <c r="P5547" s="8" t="s">
        <v>24745</v>
      </c>
      <c r="Q5547" s="8">
        <f>+(7+33/60+50/3600)</f>
        <v>7.5638888888888891</v>
      </c>
      <c r="R5547" s="8">
        <v>12.3</v>
      </c>
      <c r="S5547" s="8">
        <v>13.3</v>
      </c>
      <c r="T5547" s="8">
        <v>1</v>
      </c>
      <c r="U5547" s="8">
        <v>12.6</v>
      </c>
      <c r="V5547" s="8">
        <v>1.3</v>
      </c>
      <c r="W5547" s="8">
        <v>1.1000000000000001</v>
      </c>
      <c r="X5547" s="8">
        <v>3</v>
      </c>
      <c r="Y5547" s="8" t="s">
        <v>24746</v>
      </c>
      <c r="Z5547" s="8" t="s">
        <v>24747</v>
      </c>
    </row>
    <row r="5548" spans="1:26" x14ac:dyDescent="0.2">
      <c r="A5548" s="8">
        <v>5547</v>
      </c>
      <c r="B5548" s="8" t="s">
        <v>24748</v>
      </c>
      <c r="C5548" s="8" t="s">
        <v>24748</v>
      </c>
      <c r="F5548" s="47" t="s">
        <v>57923</v>
      </c>
      <c r="G5548" s="8">
        <v>15</v>
      </c>
      <c r="H5548" s="8" t="s">
        <v>21</v>
      </c>
      <c r="I5548" s="8" t="s">
        <v>22</v>
      </c>
      <c r="J5548" s="8" t="s">
        <v>22</v>
      </c>
      <c r="K5548" s="8" t="s">
        <v>124</v>
      </c>
      <c r="L5548" s="8" t="s">
        <v>14586</v>
      </c>
      <c r="M5548" s="8" t="s">
        <v>14587</v>
      </c>
      <c r="N5548" s="8" t="s">
        <v>24749</v>
      </c>
      <c r="O5548" s="8">
        <f>14+9/60+45.1/3600</f>
        <v>14.162527777777779</v>
      </c>
      <c r="P5548" s="8" t="s">
        <v>24750</v>
      </c>
      <c r="Q5548" s="8">
        <f>+(78+36/60+6/3600)</f>
        <v>78.601666666666659</v>
      </c>
      <c r="R5548" s="8">
        <v>13.9</v>
      </c>
      <c r="S5548" s="8">
        <v>14.8</v>
      </c>
      <c r="T5548" s="8">
        <v>0.9</v>
      </c>
      <c r="U5548" s="8">
        <v>12.2</v>
      </c>
      <c r="V5548" s="8">
        <v>0.6</v>
      </c>
      <c r="W5548" s="8">
        <v>0.4</v>
      </c>
      <c r="X5548" s="8">
        <v>66</v>
      </c>
      <c r="Y5548" s="8" t="s">
        <v>24751</v>
      </c>
      <c r="Z5548" s="8" t="s">
        <v>24752</v>
      </c>
    </row>
    <row r="5549" spans="1:26" x14ac:dyDescent="0.2">
      <c r="A5549" s="8">
        <v>5548</v>
      </c>
      <c r="B5549" s="8" t="s">
        <v>24753</v>
      </c>
      <c r="C5549" s="8" t="s">
        <v>24753</v>
      </c>
      <c r="F5549" s="47" t="s">
        <v>57924</v>
      </c>
      <c r="G5549" s="8">
        <v>6.5</v>
      </c>
      <c r="H5549" s="8" t="s">
        <v>21</v>
      </c>
      <c r="I5549" s="8" t="s">
        <v>22</v>
      </c>
      <c r="J5549" s="8" t="s">
        <v>22</v>
      </c>
      <c r="K5549" s="8" t="s">
        <v>632</v>
      </c>
      <c r="L5549" s="8" t="s">
        <v>22476</v>
      </c>
      <c r="M5549" s="8" t="s">
        <v>22477</v>
      </c>
      <c r="N5549" s="8" t="s">
        <v>24754</v>
      </c>
      <c r="O5549" s="8">
        <f>14+17/60+59.4/3600</f>
        <v>14.299833333333334</v>
      </c>
      <c r="P5549" s="8" t="s">
        <v>24755</v>
      </c>
      <c r="Q5549" s="8">
        <f>+(25+8/60+12/3600)</f>
        <v>25.136666666666667</v>
      </c>
      <c r="R5549" s="8">
        <v>12.6</v>
      </c>
      <c r="S5549" s="8">
        <v>13.3</v>
      </c>
      <c r="T5549" s="8">
        <v>0.7</v>
      </c>
      <c r="U5549" s="8">
        <v>13.1</v>
      </c>
      <c r="V5549" s="8">
        <v>1.5</v>
      </c>
      <c r="W5549" s="8">
        <v>1.2</v>
      </c>
      <c r="X5549" s="8">
        <v>110</v>
      </c>
      <c r="Y5549" s="8" t="s">
        <v>24756</v>
      </c>
      <c r="Z5549" s="8" t="s">
        <v>24757</v>
      </c>
    </row>
    <row r="5550" spans="1:26" x14ac:dyDescent="0.2">
      <c r="A5550" s="8">
        <v>5549</v>
      </c>
      <c r="B5550" s="8" t="s">
        <v>24758</v>
      </c>
      <c r="C5550" s="8" t="s">
        <v>24758</v>
      </c>
      <c r="F5550" s="47" t="s">
        <v>57925</v>
      </c>
      <c r="G5550" s="8">
        <v>15</v>
      </c>
      <c r="H5550" s="8" t="s">
        <v>21</v>
      </c>
      <c r="I5550" s="8" t="s">
        <v>22</v>
      </c>
      <c r="J5550" s="8" t="s">
        <v>22</v>
      </c>
      <c r="K5550" s="8" t="s">
        <v>37</v>
      </c>
      <c r="L5550" s="8" t="s">
        <v>17287</v>
      </c>
      <c r="M5550" s="8" t="s">
        <v>17288</v>
      </c>
      <c r="N5550" s="8" t="s">
        <v>24759</v>
      </c>
      <c r="O5550" s="8">
        <f>14+18/60+38.7/3600</f>
        <v>14.310750000000001</v>
      </c>
      <c r="P5550" s="8" t="s">
        <v>24760</v>
      </c>
      <c r="Q5550" s="8">
        <f>+(7+22/60+37/3600)</f>
        <v>7.3769444444444439</v>
      </c>
      <c r="R5550" s="8">
        <v>12.9</v>
      </c>
      <c r="S5550" s="8">
        <v>13.9</v>
      </c>
      <c r="T5550" s="8">
        <v>1</v>
      </c>
      <c r="U5550" s="8">
        <v>13</v>
      </c>
      <c r="V5550" s="8">
        <v>1.6</v>
      </c>
      <c r="W5550" s="8">
        <v>0.8</v>
      </c>
      <c r="X5550" s="8">
        <v>120</v>
      </c>
      <c r="Y5550" s="8" t="s">
        <v>421</v>
      </c>
      <c r="Z5550" s="8" t="s">
        <v>422</v>
      </c>
    </row>
    <row r="5551" spans="1:26" x14ac:dyDescent="0.2">
      <c r="A5551" s="8">
        <v>5550</v>
      </c>
      <c r="B5551" s="8" t="s">
        <v>24761</v>
      </c>
      <c r="C5551" s="8" t="s">
        <v>24761</v>
      </c>
      <c r="F5551" s="47"/>
      <c r="G5551" s="8">
        <v>16</v>
      </c>
      <c r="H5551" s="8" t="s">
        <v>21</v>
      </c>
      <c r="I5551" s="8" t="s">
        <v>22</v>
      </c>
      <c r="J5551" s="8" t="s">
        <v>22</v>
      </c>
      <c r="K5551" s="8" t="s">
        <v>23</v>
      </c>
      <c r="L5551" s="8" t="s">
        <v>22476</v>
      </c>
      <c r="M5551" s="8" t="s">
        <v>22477</v>
      </c>
      <c r="N5551" s="8" t="s">
        <v>24762</v>
      </c>
      <c r="O5551" s="8">
        <f>14+18/60+28/3600</f>
        <v>14.307777777777778</v>
      </c>
      <c r="P5551" s="8" t="s">
        <v>24763</v>
      </c>
      <c r="Q5551" s="8">
        <f>+(12+53/60+0/3600)</f>
        <v>12.883333333333333</v>
      </c>
      <c r="R5551" s="8">
        <v>13.2</v>
      </c>
      <c r="S5551" s="8">
        <v>14</v>
      </c>
      <c r="T5551" s="8">
        <v>0.8</v>
      </c>
      <c r="U5551" s="8">
        <v>13</v>
      </c>
      <c r="V5551" s="8">
        <v>1.2</v>
      </c>
      <c r="W5551" s="8">
        <v>0.8</v>
      </c>
      <c r="X5551" s="8">
        <v>100</v>
      </c>
      <c r="Y5551" s="8" t="s">
        <v>17490</v>
      </c>
      <c r="Z5551" s="8" t="s">
        <v>17491</v>
      </c>
    </row>
    <row r="5552" spans="1:26" x14ac:dyDescent="0.2">
      <c r="A5552" s="8">
        <v>5551</v>
      </c>
      <c r="B5552" s="8" t="s">
        <v>24764</v>
      </c>
      <c r="C5552" s="8" t="s">
        <v>24764</v>
      </c>
      <c r="F5552" s="47"/>
      <c r="G5552" s="8">
        <v>18</v>
      </c>
      <c r="H5552" s="8" t="s">
        <v>21</v>
      </c>
      <c r="I5552" s="8" t="s">
        <v>22</v>
      </c>
      <c r="J5552" s="8" t="s">
        <v>22</v>
      </c>
      <c r="K5552" s="8" t="s">
        <v>382</v>
      </c>
      <c r="L5552" s="8" t="s">
        <v>17287</v>
      </c>
      <c r="M5552" s="8" t="s">
        <v>17288</v>
      </c>
      <c r="N5552" s="8" t="s">
        <v>24765</v>
      </c>
      <c r="O5552" s="8">
        <f>14+18/60+54.8/3600</f>
        <v>14.315222222222223</v>
      </c>
      <c r="P5552" s="8" t="s">
        <v>24766</v>
      </c>
      <c r="Q5552" s="8">
        <f>+(5+27/60+4/3600)</f>
        <v>5.4511111111111115</v>
      </c>
      <c r="R5552" s="8">
        <v>14.2</v>
      </c>
      <c r="S5552" s="8">
        <v>15.2</v>
      </c>
      <c r="T5552" s="8">
        <v>1</v>
      </c>
      <c r="U5552" s="8">
        <v>12</v>
      </c>
      <c r="V5552" s="8">
        <v>0.4</v>
      </c>
      <c r="W5552" s="8">
        <v>0.3</v>
      </c>
      <c r="X5552" s="8">
        <v>111</v>
      </c>
      <c r="Y5552" s="8" t="s">
        <v>24767</v>
      </c>
      <c r="Z5552" s="8" t="s">
        <v>24768</v>
      </c>
    </row>
    <row r="5553" spans="1:26" x14ac:dyDescent="0.2">
      <c r="A5553" s="8">
        <v>5552</v>
      </c>
      <c r="B5553" s="8" t="s">
        <v>24769</v>
      </c>
      <c r="C5553" s="8" t="s">
        <v>24769</v>
      </c>
      <c r="F5553" s="47"/>
      <c r="G5553" s="8">
        <v>18</v>
      </c>
      <c r="H5553" s="8" t="s">
        <v>21</v>
      </c>
      <c r="I5553" s="8" t="s">
        <v>22</v>
      </c>
      <c r="J5553" s="8" t="s">
        <v>22</v>
      </c>
      <c r="K5553" s="8" t="s">
        <v>449</v>
      </c>
      <c r="L5553" s="8" t="s">
        <v>17287</v>
      </c>
      <c r="M5553" s="8" t="s">
        <v>17288</v>
      </c>
      <c r="N5553" s="8" t="s">
        <v>24770</v>
      </c>
      <c r="O5553" s="8">
        <f>14+19/60+3.9/3600</f>
        <v>14.31775</v>
      </c>
      <c r="P5553" s="8" t="s">
        <v>24771</v>
      </c>
      <c r="Q5553" s="8">
        <f>+(7+1/60+56/3600)</f>
        <v>7.0322222222222219</v>
      </c>
      <c r="R5553" s="8">
        <v>14.1</v>
      </c>
      <c r="S5553" s="8">
        <v>14.9</v>
      </c>
      <c r="T5553" s="8">
        <v>0.8</v>
      </c>
      <c r="U5553" s="8">
        <v>12.4</v>
      </c>
      <c r="V5553" s="8">
        <v>0.8</v>
      </c>
      <c r="W5553" s="8">
        <v>0.3</v>
      </c>
      <c r="X5553" s="8">
        <v>177</v>
      </c>
      <c r="Y5553" s="8" t="s">
        <v>1511</v>
      </c>
      <c r="Z5553" s="8" t="s">
        <v>1512</v>
      </c>
    </row>
    <row r="5554" spans="1:26" x14ac:dyDescent="0.2">
      <c r="A5554" s="8">
        <v>5553</v>
      </c>
      <c r="B5554" s="8" t="s">
        <v>24772</v>
      </c>
      <c r="C5554" s="8" t="s">
        <v>24772</v>
      </c>
      <c r="F5554" s="47"/>
      <c r="G5554" s="8">
        <v>16</v>
      </c>
      <c r="H5554" s="8" t="s">
        <v>21</v>
      </c>
      <c r="I5554" s="8" t="s">
        <v>22</v>
      </c>
      <c r="J5554" s="8" t="s">
        <v>22</v>
      </c>
      <c r="K5554" s="8" t="s">
        <v>91</v>
      </c>
      <c r="L5554" s="8" t="s">
        <v>22476</v>
      </c>
      <c r="M5554" s="8" t="s">
        <v>22477</v>
      </c>
      <c r="N5554" s="8" t="s">
        <v>24773</v>
      </c>
      <c r="O5554" s="8">
        <f>14+18/60+29.6/3600</f>
        <v>14.308222222222224</v>
      </c>
      <c r="P5554" s="8" t="s">
        <v>24774</v>
      </c>
      <c r="Q5554" s="8">
        <f>+(26+17/60+14/3600)</f>
        <v>26.287222222222223</v>
      </c>
      <c r="R5554" s="8">
        <v>14.1</v>
      </c>
      <c r="S5554" s="8">
        <v>15</v>
      </c>
      <c r="T5554" s="8">
        <v>0.9</v>
      </c>
      <c r="U5554" s="8">
        <v>13</v>
      </c>
      <c r="V5554" s="8">
        <v>1.3</v>
      </c>
      <c r="W5554" s="8">
        <v>0.3</v>
      </c>
      <c r="X5554" s="8">
        <v>88</v>
      </c>
      <c r="Y5554" s="8" t="s">
        <v>679</v>
      </c>
      <c r="Z5554" s="8" t="s">
        <v>680</v>
      </c>
    </row>
    <row r="5555" spans="1:26" x14ac:dyDescent="0.2">
      <c r="A5555" s="8">
        <v>5554</v>
      </c>
      <c r="B5555" s="8" t="s">
        <v>24775</v>
      </c>
      <c r="C5555" s="8" t="s">
        <v>24775</v>
      </c>
      <c r="F5555" s="47"/>
      <c r="G5555" s="8">
        <v>18</v>
      </c>
      <c r="H5555" s="8" t="s">
        <v>21</v>
      </c>
      <c r="I5555" s="8" t="s">
        <v>22</v>
      </c>
      <c r="J5555" s="8" t="s">
        <v>22</v>
      </c>
      <c r="K5555" s="8" t="s">
        <v>449</v>
      </c>
      <c r="L5555" s="8" t="s">
        <v>17287</v>
      </c>
      <c r="M5555" s="8" t="s">
        <v>17288</v>
      </c>
      <c r="N5555" s="8" t="s">
        <v>24776</v>
      </c>
      <c r="O5555" s="8">
        <f>14+19/60+15/3600</f>
        <v>14.320833333333333</v>
      </c>
      <c r="P5555" s="8" t="s">
        <v>24777</v>
      </c>
      <c r="Q5555" s="8">
        <f>+(7+1/60+16/3600)</f>
        <v>7.0211111111111109</v>
      </c>
      <c r="R5555" s="8">
        <v>14.4</v>
      </c>
      <c r="S5555" s="8">
        <v>15.2</v>
      </c>
      <c r="T5555" s="8">
        <v>0.8</v>
      </c>
      <c r="U5555" s="8">
        <v>13.1</v>
      </c>
      <c r="V5555" s="8">
        <v>0.7</v>
      </c>
      <c r="W5555" s="8">
        <v>0.5</v>
      </c>
      <c r="X5555" s="8">
        <v>10</v>
      </c>
      <c r="Y5555" s="8" t="s">
        <v>745</v>
      </c>
      <c r="Z5555" s="8" t="s">
        <v>746</v>
      </c>
    </row>
    <row r="5556" spans="1:26" x14ac:dyDescent="0.2">
      <c r="A5556" s="8">
        <v>5555</v>
      </c>
      <c r="B5556" s="8" t="s">
        <v>24778</v>
      </c>
      <c r="C5556" s="8" t="s">
        <v>24778</v>
      </c>
      <c r="F5556" s="47"/>
      <c r="G5556" s="8">
        <v>19</v>
      </c>
      <c r="H5556" s="8" t="s">
        <v>21</v>
      </c>
      <c r="I5556" s="8" t="s">
        <v>22</v>
      </c>
      <c r="J5556" s="8" t="s">
        <v>22</v>
      </c>
      <c r="K5556" s="8" t="s">
        <v>23</v>
      </c>
      <c r="L5556" s="8" t="s">
        <v>17287</v>
      </c>
      <c r="M5556" s="8" t="s">
        <v>17288</v>
      </c>
      <c r="N5556" s="8" t="s">
        <v>24779</v>
      </c>
      <c r="O5556" s="8">
        <f>14+18/60+48.1/3600</f>
        <v>14.313361111111112</v>
      </c>
      <c r="P5556" s="8" t="s">
        <v>24780</v>
      </c>
      <c r="Q5556" s="8">
        <f>-(19+8/60+21/3600)</f>
        <v>-19.139166666666664</v>
      </c>
      <c r="R5556" s="8">
        <v>14.5</v>
      </c>
      <c r="S5556" s="8">
        <v>15.3</v>
      </c>
      <c r="T5556" s="8">
        <v>0.8</v>
      </c>
      <c r="U5556" s="8">
        <v>13.2</v>
      </c>
      <c r="V5556" s="8">
        <v>1</v>
      </c>
      <c r="W5556" s="8">
        <v>0.4</v>
      </c>
      <c r="X5556" s="8">
        <v>115</v>
      </c>
      <c r="Y5556" s="8" t="s">
        <v>24781</v>
      </c>
      <c r="Z5556" s="8" t="s">
        <v>24782</v>
      </c>
    </row>
    <row r="5557" spans="1:26" x14ac:dyDescent="0.2">
      <c r="A5557" s="8">
        <v>5556</v>
      </c>
      <c r="B5557" s="8" t="s">
        <v>24783</v>
      </c>
      <c r="C5557" s="8" t="s">
        <v>24783</v>
      </c>
      <c r="F5557" s="47"/>
      <c r="G5557" s="8">
        <v>13</v>
      </c>
      <c r="H5557" s="8" t="s">
        <v>21</v>
      </c>
      <c r="I5557" s="8" t="s">
        <v>22</v>
      </c>
      <c r="J5557" s="8" t="s">
        <v>22</v>
      </c>
      <c r="K5557" s="8" t="s">
        <v>1277</v>
      </c>
      <c r="L5557" s="8" t="s">
        <v>11765</v>
      </c>
      <c r="M5557" s="8" t="s">
        <v>11766</v>
      </c>
      <c r="N5557" s="8" t="s">
        <v>24784</v>
      </c>
      <c r="O5557" s="8">
        <f>14+20/60+34/3600</f>
        <v>14.342777777777778</v>
      </c>
      <c r="P5557" s="8" t="s">
        <v>24785</v>
      </c>
      <c r="Q5557" s="8">
        <f>-(29+14/60+29/3600)</f>
        <v>-29.241388888888888</v>
      </c>
      <c r="R5557" s="8">
        <v>11.8</v>
      </c>
      <c r="S5557" s="8">
        <v>12.5</v>
      </c>
      <c r="T5557" s="8">
        <v>0.7</v>
      </c>
      <c r="U5557" s="8">
        <v>14.4</v>
      </c>
      <c r="V5557" s="8">
        <v>4.0999999999999996</v>
      </c>
      <c r="W5557" s="8">
        <v>3.3</v>
      </c>
      <c r="X5557" s="8">
        <v>148</v>
      </c>
      <c r="Y5557" s="8" t="s">
        <v>24786</v>
      </c>
      <c r="Z5557" s="8" t="s">
        <v>24787</v>
      </c>
    </row>
    <row r="5558" spans="1:26" x14ac:dyDescent="0.2">
      <c r="A5558" s="8">
        <v>5557</v>
      </c>
      <c r="B5558" s="8" t="s">
        <v>24788</v>
      </c>
      <c r="C5558" s="8" t="s">
        <v>24788</v>
      </c>
      <c r="F5558" s="47" t="s">
        <v>57926</v>
      </c>
      <c r="G5558" s="8">
        <v>6</v>
      </c>
      <c r="H5558" s="8" t="s">
        <v>21</v>
      </c>
      <c r="I5558" s="8" t="s">
        <v>22</v>
      </c>
      <c r="J5558" s="8" t="s">
        <v>22</v>
      </c>
      <c r="K5558" s="8" t="s">
        <v>183</v>
      </c>
      <c r="L5558" s="8" t="s">
        <v>22476</v>
      </c>
      <c r="M5558" s="8" t="s">
        <v>22477</v>
      </c>
      <c r="N5558" s="8" t="s">
        <v>24789</v>
      </c>
      <c r="O5558" s="8">
        <f>14+18/60+25.6/3600</f>
        <v>14.307111111111112</v>
      </c>
      <c r="P5558" s="8" t="s">
        <v>24790</v>
      </c>
      <c r="Q5558" s="8">
        <f>+(36+29/60+37/3600)</f>
        <v>36.493611111111115</v>
      </c>
      <c r="R5558" s="8">
        <v>11</v>
      </c>
      <c r="S5558" s="8">
        <v>11.9</v>
      </c>
      <c r="T5558" s="8">
        <v>0.9</v>
      </c>
      <c r="U5558" s="8">
        <v>12.6</v>
      </c>
      <c r="V5558" s="8">
        <v>2.4</v>
      </c>
      <c r="W5558" s="8">
        <v>1.9</v>
      </c>
      <c r="X5558" s="8">
        <v>105</v>
      </c>
      <c r="Y5558" s="8" t="s">
        <v>24791</v>
      </c>
      <c r="Z5558" s="8" t="s">
        <v>24792</v>
      </c>
    </row>
    <row r="5559" spans="1:26" x14ac:dyDescent="0.2">
      <c r="A5559" s="8">
        <v>5558</v>
      </c>
      <c r="B5559" s="8" t="s">
        <v>24793</v>
      </c>
      <c r="C5559" s="8" t="s">
        <v>24793</v>
      </c>
      <c r="F5559" s="47"/>
      <c r="G5559" s="8">
        <v>19</v>
      </c>
      <c r="H5559" s="8" t="s">
        <v>21</v>
      </c>
      <c r="I5559" s="8" t="s">
        <v>22</v>
      </c>
      <c r="J5559" s="8" t="s">
        <v>57</v>
      </c>
      <c r="K5559" s="8" t="s">
        <v>449</v>
      </c>
      <c r="L5559" s="8" t="s">
        <v>17287</v>
      </c>
      <c r="M5559" s="8" t="s">
        <v>17288</v>
      </c>
      <c r="N5559" s="8" t="s">
        <v>24770</v>
      </c>
      <c r="O5559" s="8">
        <f>14+19/60+3.9/3600</f>
        <v>14.31775</v>
      </c>
      <c r="P5559" s="8" t="s">
        <v>24771</v>
      </c>
      <c r="Q5559" s="8">
        <f>+(7+1/60+56/3600)</f>
        <v>7.0322222222222219</v>
      </c>
      <c r="R5559" s="8">
        <v>14.1</v>
      </c>
      <c r="S5559" s="8">
        <v>14.9</v>
      </c>
      <c r="T5559" s="8">
        <v>0.8</v>
      </c>
      <c r="U5559" s="8">
        <v>12.4</v>
      </c>
      <c r="V5559" s="8">
        <v>0.8</v>
      </c>
      <c r="W5559" s="8">
        <v>0.3</v>
      </c>
      <c r="X5559" s="8">
        <v>177</v>
      </c>
      <c r="Y5559" s="8" t="s">
        <v>1511</v>
      </c>
      <c r="Z5559" s="8" t="s">
        <v>24794</v>
      </c>
    </row>
    <row r="5560" spans="1:26" x14ac:dyDescent="0.2">
      <c r="A5560" s="8">
        <v>5559</v>
      </c>
      <c r="B5560" s="8" t="s">
        <v>24795</v>
      </c>
      <c r="C5560" s="8" t="s">
        <v>24795</v>
      </c>
      <c r="F5560" s="47" t="s">
        <v>57927</v>
      </c>
      <c r="G5560" s="8">
        <v>15</v>
      </c>
      <c r="H5560" s="8" t="s">
        <v>21</v>
      </c>
      <c r="I5560" s="8" t="s">
        <v>22</v>
      </c>
      <c r="J5560" s="8" t="s">
        <v>22</v>
      </c>
      <c r="K5560" s="8" t="s">
        <v>218</v>
      </c>
      <c r="L5560" s="8" t="s">
        <v>22476</v>
      </c>
      <c r="M5560" s="8" t="s">
        <v>22477</v>
      </c>
      <c r="N5560" s="8" t="s">
        <v>24796</v>
      </c>
      <c r="O5560" s="8">
        <f>14+19/60+12.5/3600</f>
        <v>14.320138888888888</v>
      </c>
      <c r="P5560" s="8" t="s">
        <v>24797</v>
      </c>
      <c r="Q5560" s="8">
        <f>+(24+47/60+56/3600)</f>
        <v>24.798888888888889</v>
      </c>
      <c r="R5560" s="8">
        <v>14</v>
      </c>
      <c r="S5560" s="8">
        <v>14.8</v>
      </c>
      <c r="T5560" s="8">
        <v>0.8</v>
      </c>
      <c r="U5560" s="8">
        <v>13.2</v>
      </c>
      <c r="V5560" s="8">
        <v>1.4</v>
      </c>
      <c r="W5560" s="8">
        <v>0.4</v>
      </c>
      <c r="X5560" s="8">
        <v>67</v>
      </c>
      <c r="Y5560" s="8" t="s">
        <v>24798</v>
      </c>
      <c r="Z5560" s="8" t="s">
        <v>24799</v>
      </c>
    </row>
    <row r="5561" spans="1:26" x14ac:dyDescent="0.2">
      <c r="A5561" s="8">
        <v>5560</v>
      </c>
      <c r="B5561" s="8" t="s">
        <v>24800</v>
      </c>
      <c r="C5561" s="8" t="s">
        <v>24800</v>
      </c>
      <c r="F5561" s="47" t="s">
        <v>57928</v>
      </c>
      <c r="G5561" s="8">
        <v>6.5</v>
      </c>
      <c r="H5561" s="8" t="s">
        <v>21</v>
      </c>
      <c r="I5561" s="8" t="s">
        <v>22</v>
      </c>
      <c r="J5561" s="8" t="s">
        <v>22</v>
      </c>
      <c r="K5561" s="8" t="s">
        <v>5751</v>
      </c>
      <c r="L5561" s="8" t="s">
        <v>17287</v>
      </c>
      <c r="M5561" s="8" t="s">
        <v>17288</v>
      </c>
      <c r="N5561" s="8" t="s">
        <v>24801</v>
      </c>
      <c r="O5561" s="8">
        <f>14+20/60+4.4/3600</f>
        <v>14.334555555555555</v>
      </c>
      <c r="P5561" s="8" t="s">
        <v>24802</v>
      </c>
      <c r="Q5561" s="8">
        <f>+(3+59/60+34/3600)</f>
        <v>3.992777777777778</v>
      </c>
      <c r="R5561" s="8">
        <v>12.4</v>
      </c>
      <c r="S5561" s="8">
        <v>13.2</v>
      </c>
      <c r="T5561" s="8">
        <v>0.8</v>
      </c>
      <c r="U5561" s="8">
        <v>13.3</v>
      </c>
      <c r="V5561" s="8">
        <v>3.6</v>
      </c>
      <c r="W5561" s="8">
        <v>0.9</v>
      </c>
      <c r="X5561" s="8">
        <v>117</v>
      </c>
      <c r="Y5561" s="8" t="s">
        <v>24803</v>
      </c>
      <c r="Z5561" s="8" t="s">
        <v>24804</v>
      </c>
    </row>
    <row r="5562" spans="1:26" x14ac:dyDescent="0.2">
      <c r="A5562" s="8">
        <v>5561</v>
      </c>
      <c r="B5562" s="8" t="s">
        <v>24805</v>
      </c>
      <c r="C5562" s="8" t="s">
        <v>24805</v>
      </c>
      <c r="F5562" s="47"/>
      <c r="G5562" s="8">
        <v>19</v>
      </c>
      <c r="H5562" s="8" t="s">
        <v>21</v>
      </c>
      <c r="I5562" s="8" t="s">
        <v>22</v>
      </c>
      <c r="J5562" s="8" t="s">
        <v>22</v>
      </c>
      <c r="K5562" s="8" t="s">
        <v>23</v>
      </c>
      <c r="L5562" s="8" t="s">
        <v>12015</v>
      </c>
      <c r="M5562" s="8" t="s">
        <v>12016</v>
      </c>
      <c r="N5562" s="8" t="s">
        <v>24806</v>
      </c>
      <c r="O5562" s="8">
        <f>14+17/60+22.8/3600</f>
        <v>14.289666666666667</v>
      </c>
      <c r="P5562" s="8" t="s">
        <v>24807</v>
      </c>
      <c r="Q5562" s="8">
        <f>+(58+45/60+1/3600)</f>
        <v>58.750277777777775</v>
      </c>
      <c r="R5562" s="8">
        <v>14.5</v>
      </c>
      <c r="S5562" s="8">
        <v>15.5</v>
      </c>
      <c r="T5562" s="8">
        <v>1</v>
      </c>
      <c r="U5562" s="8">
        <v>12.8</v>
      </c>
      <c r="V5562" s="8">
        <v>0.5</v>
      </c>
      <c r="W5562" s="8">
        <v>0.5</v>
      </c>
      <c r="Y5562" s="8" t="s">
        <v>24808</v>
      </c>
      <c r="Z5562" s="8" t="s">
        <v>24809</v>
      </c>
    </row>
    <row r="5563" spans="1:26" x14ac:dyDescent="0.2">
      <c r="A5563" s="8">
        <v>5562</v>
      </c>
      <c r="B5563" s="8" t="s">
        <v>24810</v>
      </c>
      <c r="C5563" s="8" t="s">
        <v>24810</v>
      </c>
      <c r="F5563" s="47"/>
      <c r="G5563" s="8">
        <v>19</v>
      </c>
      <c r="H5563" s="8" t="s">
        <v>21</v>
      </c>
      <c r="I5563" s="8" t="s">
        <v>22</v>
      </c>
      <c r="J5563" s="8" t="s">
        <v>22</v>
      </c>
      <c r="K5563" s="8" t="s">
        <v>449</v>
      </c>
      <c r="L5563" s="8" t="s">
        <v>22476</v>
      </c>
      <c r="M5563" s="8" t="s">
        <v>22477</v>
      </c>
      <c r="N5563" s="8" t="s">
        <v>24811</v>
      </c>
      <c r="O5563" s="8">
        <f>14+20/60+11/3600</f>
        <v>14.336388888888889</v>
      </c>
      <c r="P5563" s="8" t="s">
        <v>24812</v>
      </c>
      <c r="Q5563" s="8">
        <f>+(10+15/60+48/3600)</f>
        <v>10.263333333333334</v>
      </c>
      <c r="R5563" s="8">
        <v>13.6</v>
      </c>
      <c r="S5563" s="8">
        <v>14.4</v>
      </c>
      <c r="T5563" s="8">
        <v>0.8</v>
      </c>
      <c r="U5563" s="8">
        <v>12.7</v>
      </c>
      <c r="V5563" s="8">
        <v>0.7</v>
      </c>
      <c r="W5563" s="8">
        <v>0.7</v>
      </c>
      <c r="Y5563" s="8" t="s">
        <v>24813</v>
      </c>
      <c r="Z5563" s="8" t="s">
        <v>24814</v>
      </c>
    </row>
    <row r="5564" spans="1:26" x14ac:dyDescent="0.2">
      <c r="A5564" s="8">
        <v>5563</v>
      </c>
      <c r="B5564" s="8" t="s">
        <v>24815</v>
      </c>
      <c r="C5564" s="8" t="s">
        <v>24815</v>
      </c>
      <c r="F5564" s="47"/>
      <c r="G5564" s="8">
        <v>18</v>
      </c>
      <c r="H5564" s="8" t="s">
        <v>21</v>
      </c>
      <c r="I5564" s="8" t="s">
        <v>22</v>
      </c>
      <c r="J5564" s="8" t="s">
        <v>22</v>
      </c>
      <c r="K5564" s="8" t="s">
        <v>449</v>
      </c>
      <c r="L5564" s="8" t="s">
        <v>17287</v>
      </c>
      <c r="M5564" s="8" t="s">
        <v>17288</v>
      </c>
      <c r="N5564" s="8" t="s">
        <v>24816</v>
      </c>
      <c r="O5564" s="8">
        <f>14+20/60+13.2/3600</f>
        <v>14.337</v>
      </c>
      <c r="P5564" s="8" t="s">
        <v>24817</v>
      </c>
      <c r="Q5564" s="8">
        <f>+(7+3/60+20/3600)</f>
        <v>7.0555555555555554</v>
      </c>
      <c r="R5564" s="8">
        <v>14.6</v>
      </c>
      <c r="S5564" s="8">
        <v>15.4</v>
      </c>
      <c r="T5564" s="8">
        <v>0.8</v>
      </c>
      <c r="U5564" s="8">
        <v>13.2</v>
      </c>
      <c r="V5564" s="8">
        <v>0.7</v>
      </c>
      <c r="W5564" s="8">
        <v>0.4</v>
      </c>
      <c r="X5564" s="8">
        <v>81</v>
      </c>
      <c r="Y5564" s="8" t="s">
        <v>146</v>
      </c>
      <c r="Z5564" s="8" t="s">
        <v>147</v>
      </c>
    </row>
    <row r="5565" spans="1:26" x14ac:dyDescent="0.2">
      <c r="A5565" s="8">
        <v>5564</v>
      </c>
      <c r="B5565" s="8" t="s">
        <v>24818</v>
      </c>
      <c r="C5565" s="8" t="s">
        <v>24818</v>
      </c>
      <c r="F5565" s="47"/>
      <c r="G5565" s="8">
        <v>19</v>
      </c>
      <c r="H5565" s="8" t="s">
        <v>21</v>
      </c>
      <c r="I5565" s="8" t="s">
        <v>22</v>
      </c>
      <c r="J5565" s="8" t="s">
        <v>57</v>
      </c>
      <c r="K5565" s="8" t="s">
        <v>449</v>
      </c>
      <c r="L5565" s="8" t="s">
        <v>17287</v>
      </c>
      <c r="M5565" s="8" t="s">
        <v>17288</v>
      </c>
      <c r="N5565" s="8" t="s">
        <v>24776</v>
      </c>
      <c r="O5565" s="8">
        <f>14+19/60+15/3600</f>
        <v>14.320833333333333</v>
      </c>
      <c r="P5565" s="8" t="s">
        <v>24777</v>
      </c>
      <c r="Q5565" s="8">
        <f>+(7+1/60+16/3600)</f>
        <v>7.0211111111111109</v>
      </c>
      <c r="R5565" s="8">
        <v>14.4</v>
      </c>
      <c r="S5565" s="8">
        <v>15.2</v>
      </c>
      <c r="T5565" s="8">
        <v>0.8</v>
      </c>
      <c r="U5565" s="8">
        <v>13.1</v>
      </c>
      <c r="V5565" s="8">
        <v>0.7</v>
      </c>
      <c r="W5565" s="8">
        <v>0.5</v>
      </c>
      <c r="X5565" s="8">
        <v>10</v>
      </c>
      <c r="Y5565" s="8" t="s">
        <v>745</v>
      </c>
      <c r="Z5565" s="8" t="s">
        <v>24819</v>
      </c>
    </row>
    <row r="5566" spans="1:26" x14ac:dyDescent="0.2">
      <c r="A5566" s="8">
        <v>5565</v>
      </c>
      <c r="B5566" s="8" t="s">
        <v>24820</v>
      </c>
      <c r="C5566" s="8" t="s">
        <v>24820</v>
      </c>
      <c r="F5566" s="47"/>
      <c r="G5566" s="8">
        <v>19</v>
      </c>
      <c r="H5566" s="8" t="s">
        <v>21</v>
      </c>
      <c r="I5566" s="8" t="s">
        <v>72</v>
      </c>
      <c r="J5566" s="8" t="s">
        <v>72</v>
      </c>
      <c r="K5566" s="8" t="s">
        <v>20</v>
      </c>
      <c r="L5566" s="8" t="s">
        <v>17287</v>
      </c>
      <c r="M5566" s="8" t="s">
        <v>17288</v>
      </c>
      <c r="N5566" s="8" t="s">
        <v>24821</v>
      </c>
      <c r="O5566" s="8">
        <f>14+19/60+18.5/3600</f>
        <v>14.321805555555555</v>
      </c>
      <c r="P5566" s="8" t="s">
        <v>24822</v>
      </c>
      <c r="Q5566" s="8">
        <f>+(6+59/60+42/3600)</f>
        <v>6.9950000000000001</v>
      </c>
      <c r="R5566" s="8">
        <v>99</v>
      </c>
      <c r="S5566" s="8">
        <v>15.5</v>
      </c>
      <c r="T5566" s="8">
        <v>99</v>
      </c>
      <c r="U5566" s="8">
        <v>99</v>
      </c>
      <c r="Y5566" s="8" t="s">
        <v>24823</v>
      </c>
      <c r="Z5566" s="8" t="s">
        <v>24824</v>
      </c>
    </row>
    <row r="5567" spans="1:26" x14ac:dyDescent="0.2">
      <c r="A5567" s="8">
        <v>5566</v>
      </c>
      <c r="B5567" s="8" t="s">
        <v>24825</v>
      </c>
      <c r="C5567" s="8" t="s">
        <v>24825</v>
      </c>
      <c r="F5567" s="47" t="s">
        <v>57929</v>
      </c>
      <c r="G5567" s="8">
        <v>6</v>
      </c>
      <c r="H5567" s="8" t="s">
        <v>21</v>
      </c>
      <c r="I5567" s="8" t="s">
        <v>22</v>
      </c>
      <c r="J5567" s="8" t="s">
        <v>22</v>
      </c>
      <c r="K5567" s="8" t="s">
        <v>406</v>
      </c>
      <c r="L5567" s="8" t="s">
        <v>17287</v>
      </c>
      <c r="M5567" s="8" t="s">
        <v>17288</v>
      </c>
      <c r="N5567" s="8" t="s">
        <v>24826</v>
      </c>
      <c r="O5567" s="8">
        <f>14+20/60+20/3600</f>
        <v>14.33888888888889</v>
      </c>
      <c r="P5567" s="8" t="s">
        <v>24827</v>
      </c>
      <c r="Q5567" s="8">
        <f>+(3+55/60+59/3600)</f>
        <v>3.9330555555555553</v>
      </c>
      <c r="R5567" s="8">
        <v>10.6</v>
      </c>
      <c r="S5567" s="8">
        <v>11.5</v>
      </c>
      <c r="T5567" s="8">
        <v>0.9</v>
      </c>
      <c r="U5567" s="8">
        <v>13.3</v>
      </c>
      <c r="V5567" s="8">
        <v>6.6</v>
      </c>
      <c r="W5567" s="8">
        <v>2.2999999999999998</v>
      </c>
      <c r="X5567" s="8">
        <v>33</v>
      </c>
      <c r="Y5567" s="8" t="s">
        <v>24803</v>
      </c>
      <c r="Z5567" s="8" t="s">
        <v>24828</v>
      </c>
    </row>
    <row r="5568" spans="1:26" x14ac:dyDescent="0.2">
      <c r="A5568" s="8">
        <v>5567</v>
      </c>
      <c r="B5568" s="8" t="s">
        <v>24829</v>
      </c>
      <c r="C5568" s="8" t="s">
        <v>24829</v>
      </c>
      <c r="F5568" s="47"/>
      <c r="G5568" s="8">
        <v>16</v>
      </c>
      <c r="H5568" s="8" t="s">
        <v>21</v>
      </c>
      <c r="I5568" s="8" t="s">
        <v>22</v>
      </c>
      <c r="J5568" s="8" t="s">
        <v>22</v>
      </c>
      <c r="K5568" s="8" t="s">
        <v>632</v>
      </c>
      <c r="L5568" s="8" t="s">
        <v>22476</v>
      </c>
      <c r="M5568" s="8" t="s">
        <v>22477</v>
      </c>
      <c r="N5568" s="8" t="s">
        <v>24830</v>
      </c>
      <c r="O5568" s="8">
        <f>14+19/60+17.6/3600</f>
        <v>14.321555555555555</v>
      </c>
      <c r="P5568" s="8" t="s">
        <v>24831</v>
      </c>
      <c r="Q5568" s="8">
        <f>+(35+8/60+18/3600)</f>
        <v>35.138333333333335</v>
      </c>
      <c r="R5568" s="8">
        <v>13.7</v>
      </c>
      <c r="S5568" s="8">
        <v>14.6</v>
      </c>
      <c r="T5568" s="8">
        <v>0.9</v>
      </c>
      <c r="U5568" s="8">
        <v>13.6</v>
      </c>
      <c r="V5568" s="8">
        <v>1.1000000000000001</v>
      </c>
      <c r="W5568" s="8">
        <v>0.9</v>
      </c>
      <c r="X5568" s="8">
        <v>61</v>
      </c>
      <c r="Y5568" s="8" t="s">
        <v>24832</v>
      </c>
      <c r="Z5568" s="8" t="s">
        <v>15727</v>
      </c>
    </row>
    <row r="5569" spans="1:26" x14ac:dyDescent="0.2">
      <c r="A5569" s="8">
        <v>5568</v>
      </c>
      <c r="B5569" s="8" t="s">
        <v>24833</v>
      </c>
      <c r="C5569" s="8" t="s">
        <v>24833</v>
      </c>
      <c r="F5569" s="47"/>
      <c r="G5569" s="8">
        <v>19</v>
      </c>
      <c r="H5569" s="8" t="s">
        <v>21</v>
      </c>
      <c r="I5569" s="8" t="s">
        <v>22</v>
      </c>
      <c r="J5569" s="8" t="s">
        <v>22</v>
      </c>
      <c r="K5569" s="8" t="s">
        <v>160</v>
      </c>
      <c r="L5569" s="8" t="s">
        <v>22476</v>
      </c>
      <c r="M5569" s="8" t="s">
        <v>22477</v>
      </c>
      <c r="N5569" s="8" t="s">
        <v>24834</v>
      </c>
      <c r="O5569" s="8">
        <f>14+19/60+21.4/3600</f>
        <v>14.322611111111112</v>
      </c>
      <c r="P5569" s="8" t="s">
        <v>24835</v>
      </c>
      <c r="Q5569" s="8">
        <f>+(35+5/60+32/3600)</f>
        <v>35.092222222222226</v>
      </c>
      <c r="R5569" s="8">
        <v>14.7</v>
      </c>
      <c r="S5569" s="8">
        <v>15.4</v>
      </c>
      <c r="T5569" s="8">
        <v>0.7</v>
      </c>
      <c r="U5569" s="8">
        <v>13.7</v>
      </c>
      <c r="V5569" s="8">
        <v>0.8</v>
      </c>
      <c r="W5569" s="8">
        <v>0.6</v>
      </c>
      <c r="X5569" s="8">
        <v>96</v>
      </c>
      <c r="Y5569" s="8" t="s">
        <v>24836</v>
      </c>
      <c r="Z5569" s="8" t="s">
        <v>24837</v>
      </c>
    </row>
    <row r="5570" spans="1:26" x14ac:dyDescent="0.2">
      <c r="A5570" s="8">
        <v>5569</v>
      </c>
      <c r="B5570" s="8" t="s">
        <v>24838</v>
      </c>
      <c r="C5570" s="8" t="s">
        <v>24838</v>
      </c>
      <c r="F5570" s="47"/>
      <c r="G5570" s="8">
        <v>18</v>
      </c>
      <c r="H5570" s="8" t="s">
        <v>21</v>
      </c>
      <c r="I5570" s="8" t="s">
        <v>22</v>
      </c>
      <c r="J5570" s="8" t="s">
        <v>22</v>
      </c>
      <c r="K5570" s="8" t="s">
        <v>64</v>
      </c>
      <c r="L5570" s="8" t="s">
        <v>17287</v>
      </c>
      <c r="M5570" s="8" t="s">
        <v>17288</v>
      </c>
      <c r="N5570" s="8" t="s">
        <v>24839</v>
      </c>
      <c r="O5570" s="8">
        <f>14+20/60+32.2/3600</f>
        <v>14.342277777777779</v>
      </c>
      <c r="P5570" s="8" t="s">
        <v>24840</v>
      </c>
      <c r="Q5570" s="8">
        <f>+(3+58/60+59/3600)</f>
        <v>3.9830555555555556</v>
      </c>
      <c r="R5570" s="8">
        <v>13.2</v>
      </c>
      <c r="S5570" s="8">
        <v>13.9</v>
      </c>
      <c r="T5570" s="8">
        <v>0.7</v>
      </c>
      <c r="U5570" s="8">
        <v>14</v>
      </c>
      <c r="V5570" s="8">
        <v>1.7</v>
      </c>
      <c r="W5570" s="8">
        <v>1.6</v>
      </c>
      <c r="X5570" s="8">
        <v>72</v>
      </c>
      <c r="Y5570" s="8" t="s">
        <v>2734</v>
      </c>
      <c r="Z5570" s="8" t="s">
        <v>2735</v>
      </c>
    </row>
    <row r="5571" spans="1:26" x14ac:dyDescent="0.2">
      <c r="A5571" s="8">
        <v>5570</v>
      </c>
      <c r="B5571" s="8" t="s">
        <v>24841</v>
      </c>
      <c r="C5571" s="8" t="s">
        <v>24841</v>
      </c>
      <c r="F5571" s="47" t="s">
        <v>57930</v>
      </c>
      <c r="G5571" s="8">
        <v>16</v>
      </c>
      <c r="H5571" s="8" t="s">
        <v>21</v>
      </c>
      <c r="I5571" s="8" t="s">
        <v>329</v>
      </c>
      <c r="J5571" s="8" t="s">
        <v>329</v>
      </c>
      <c r="K5571" s="8" t="s">
        <v>329</v>
      </c>
      <c r="L5571" s="8" t="s">
        <v>22476</v>
      </c>
      <c r="M5571" s="8" t="s">
        <v>22477</v>
      </c>
      <c r="N5571" s="8" t="s">
        <v>24842</v>
      </c>
      <c r="O5571" s="8">
        <f>14+20/60+30/3600</f>
        <v>14.341666666666667</v>
      </c>
      <c r="P5571" s="8" t="s">
        <v>24843</v>
      </c>
      <c r="Q5571" s="8">
        <f>+(7+34/60+0/3600)</f>
        <v>7.5666666666666664</v>
      </c>
      <c r="R5571" s="8">
        <v>99</v>
      </c>
      <c r="S5571" s="8">
        <v>99</v>
      </c>
      <c r="T5571" s="8">
        <v>99</v>
      </c>
      <c r="U5571" s="8">
        <v>99</v>
      </c>
      <c r="Y5571" s="8" t="s">
        <v>24844</v>
      </c>
      <c r="Z5571" s="8" t="s">
        <v>24845</v>
      </c>
    </row>
    <row r="5572" spans="1:26" x14ac:dyDescent="0.2">
      <c r="A5572" s="8">
        <v>5571</v>
      </c>
      <c r="B5572" s="8" t="s">
        <v>24846</v>
      </c>
      <c r="C5572" s="8" t="s">
        <v>24846</v>
      </c>
      <c r="F5572" s="47"/>
      <c r="G5572" s="8">
        <v>19</v>
      </c>
      <c r="H5572" s="8" t="s">
        <v>21</v>
      </c>
      <c r="I5572" s="8" t="s">
        <v>72</v>
      </c>
      <c r="J5572" s="8" t="s">
        <v>72</v>
      </c>
      <c r="K5572" s="8" t="s">
        <v>5802</v>
      </c>
      <c r="L5572" s="8" t="s">
        <v>22476</v>
      </c>
      <c r="M5572" s="8" t="s">
        <v>22477</v>
      </c>
      <c r="N5572" s="8" t="s">
        <v>24847</v>
      </c>
      <c r="O5572" s="8">
        <f>14+19/60+31.8/3600</f>
        <v>14.3255</v>
      </c>
      <c r="P5572" s="8" t="s">
        <v>24848</v>
      </c>
      <c r="Q5572" s="8">
        <f>+(35+9/60+4/3600)</f>
        <v>35.151111111111106</v>
      </c>
      <c r="R5572" s="8">
        <v>99</v>
      </c>
      <c r="S5572" s="8">
        <v>99</v>
      </c>
      <c r="T5572" s="8">
        <v>99</v>
      </c>
      <c r="U5572" s="8">
        <v>99</v>
      </c>
      <c r="Y5572" s="8" t="s">
        <v>24849</v>
      </c>
      <c r="Z5572" s="8" t="s">
        <v>24850</v>
      </c>
    </row>
    <row r="5573" spans="1:26" x14ac:dyDescent="0.2">
      <c r="A5573" s="8">
        <v>5572</v>
      </c>
      <c r="B5573" s="8" t="s">
        <v>24851</v>
      </c>
      <c r="C5573" s="8" t="s">
        <v>24851</v>
      </c>
      <c r="F5573" s="47"/>
      <c r="G5573" s="8">
        <v>19</v>
      </c>
      <c r="H5573" s="8" t="s">
        <v>21</v>
      </c>
      <c r="I5573" s="8" t="s">
        <v>22</v>
      </c>
      <c r="J5573" s="8" t="s">
        <v>22</v>
      </c>
      <c r="K5573" s="8" t="s">
        <v>23</v>
      </c>
      <c r="L5573" s="8" t="s">
        <v>22476</v>
      </c>
      <c r="M5573" s="8" t="s">
        <v>22477</v>
      </c>
      <c r="N5573" s="8" t="s">
        <v>24852</v>
      </c>
      <c r="O5573" s="8">
        <f>14+19/60+35.3/3600</f>
        <v>14.326472222222222</v>
      </c>
      <c r="P5573" s="8" t="s">
        <v>24853</v>
      </c>
      <c r="Q5573" s="8">
        <f>+(36+8/60+27/3600)</f>
        <v>36.140833333333333</v>
      </c>
      <c r="R5573" s="8">
        <v>14.2</v>
      </c>
      <c r="S5573" s="8">
        <v>15</v>
      </c>
      <c r="T5573" s="8">
        <v>0.8</v>
      </c>
      <c r="U5573" s="8">
        <v>13.5</v>
      </c>
      <c r="V5573" s="8">
        <v>0.9</v>
      </c>
      <c r="W5573" s="8">
        <v>0.7</v>
      </c>
      <c r="X5573" s="8">
        <v>170</v>
      </c>
      <c r="Y5573" s="8" t="s">
        <v>24854</v>
      </c>
      <c r="Z5573" s="8" t="s">
        <v>24855</v>
      </c>
    </row>
    <row r="5574" spans="1:26" x14ac:dyDescent="0.2">
      <c r="A5574" s="8">
        <v>5573</v>
      </c>
      <c r="B5574" s="8" t="s">
        <v>24856</v>
      </c>
      <c r="C5574" s="8" t="s">
        <v>24856</v>
      </c>
      <c r="F5574" s="47"/>
      <c r="G5574" s="8">
        <v>18</v>
      </c>
      <c r="H5574" s="8" t="s">
        <v>21</v>
      </c>
      <c r="I5574" s="8" t="s">
        <v>22</v>
      </c>
      <c r="J5574" s="8" t="s">
        <v>22</v>
      </c>
      <c r="K5574" s="8" t="s">
        <v>449</v>
      </c>
      <c r="L5574" s="8" t="s">
        <v>17287</v>
      </c>
      <c r="M5574" s="8" t="s">
        <v>17288</v>
      </c>
      <c r="N5574" s="8" t="s">
        <v>24857</v>
      </c>
      <c r="O5574" s="8">
        <f>14+20/60+41.4/3600</f>
        <v>14.344833333333334</v>
      </c>
      <c r="P5574" s="8" t="s">
        <v>24858</v>
      </c>
      <c r="Q5574" s="8">
        <f>+(6+54/60+28/3600)</f>
        <v>6.9077777777777785</v>
      </c>
      <c r="R5574" s="8">
        <v>14.5</v>
      </c>
      <c r="S5574" s="8">
        <v>15.3</v>
      </c>
      <c r="T5574" s="8">
        <v>0.8</v>
      </c>
      <c r="U5574" s="8">
        <v>12.9</v>
      </c>
      <c r="V5574" s="8">
        <v>1.3</v>
      </c>
      <c r="W5574" s="8">
        <v>0.2</v>
      </c>
      <c r="X5574" s="8">
        <v>105</v>
      </c>
      <c r="Y5574" s="8" t="s">
        <v>679</v>
      </c>
      <c r="Z5574" s="8" t="s">
        <v>680</v>
      </c>
    </row>
    <row r="5575" spans="1:26" x14ac:dyDescent="0.2">
      <c r="A5575" s="8">
        <v>5574</v>
      </c>
      <c r="B5575" s="8" t="s">
        <v>24859</v>
      </c>
      <c r="C5575" s="8" t="s">
        <v>24859</v>
      </c>
      <c r="F5575" s="47" t="s">
        <v>57931</v>
      </c>
      <c r="G5575" s="8">
        <v>13</v>
      </c>
      <c r="H5575" s="8" t="s">
        <v>21</v>
      </c>
      <c r="I5575" s="8" t="s">
        <v>22</v>
      </c>
      <c r="J5575" s="8" t="s">
        <v>22</v>
      </c>
      <c r="K5575" s="8" t="s">
        <v>118</v>
      </c>
      <c r="L5575" s="8" t="s">
        <v>17287</v>
      </c>
      <c r="M5575" s="8" t="s">
        <v>17288</v>
      </c>
      <c r="N5575" s="8" t="s">
        <v>24860</v>
      </c>
      <c r="O5575" s="8">
        <f>14+20/60+55.9/3600</f>
        <v>14.348861111111111</v>
      </c>
      <c r="P5575" s="8" t="s">
        <v>24861</v>
      </c>
      <c r="Q5575" s="8">
        <f>+(3+14/60+17/3600)</f>
        <v>3.2380555555555555</v>
      </c>
      <c r="R5575" s="8">
        <v>12.4</v>
      </c>
      <c r="S5575" s="8">
        <v>13.2</v>
      </c>
      <c r="T5575" s="8">
        <v>0.8</v>
      </c>
      <c r="U5575" s="8">
        <v>12.7</v>
      </c>
      <c r="V5575" s="8">
        <v>1.5</v>
      </c>
      <c r="W5575" s="8">
        <v>1.1000000000000001</v>
      </c>
      <c r="X5575" s="8">
        <v>63</v>
      </c>
      <c r="Y5575" s="8" t="s">
        <v>24862</v>
      </c>
      <c r="Z5575" s="8" t="s">
        <v>24863</v>
      </c>
    </row>
    <row r="5576" spans="1:26" x14ac:dyDescent="0.2">
      <c r="A5576" s="8">
        <v>5575</v>
      </c>
      <c r="B5576" s="8" t="s">
        <v>24864</v>
      </c>
      <c r="C5576" s="8" t="s">
        <v>24864</v>
      </c>
      <c r="F5576" s="47"/>
      <c r="G5576" s="8">
        <v>18</v>
      </c>
      <c r="H5576" s="8" t="s">
        <v>21</v>
      </c>
      <c r="I5576" s="8" t="s">
        <v>22</v>
      </c>
      <c r="J5576" s="8" t="s">
        <v>22</v>
      </c>
      <c r="K5576" s="8" t="s">
        <v>37</v>
      </c>
      <c r="L5576" s="8" t="s">
        <v>17287</v>
      </c>
      <c r="M5576" s="8" t="s">
        <v>17288</v>
      </c>
      <c r="N5576" s="8" t="s">
        <v>24865</v>
      </c>
      <c r="O5576" s="8">
        <f>14+20/60+59.5/3600</f>
        <v>14.349861111111112</v>
      </c>
      <c r="P5576" s="8" t="s">
        <v>24866</v>
      </c>
      <c r="Q5576" s="8">
        <f>+(6+12/60+10/3600)</f>
        <v>6.2027777777777784</v>
      </c>
      <c r="R5576" s="8">
        <v>13.3</v>
      </c>
      <c r="S5576" s="8">
        <v>14.3</v>
      </c>
      <c r="T5576" s="8">
        <v>1</v>
      </c>
      <c r="U5576" s="8">
        <v>13</v>
      </c>
      <c r="V5576" s="8">
        <v>1</v>
      </c>
      <c r="W5576" s="8">
        <v>0.9</v>
      </c>
      <c r="X5576" s="8">
        <v>96</v>
      </c>
      <c r="Y5576" s="8" t="s">
        <v>24867</v>
      </c>
      <c r="Z5576" s="8" t="s">
        <v>24868</v>
      </c>
    </row>
    <row r="5577" spans="1:26" x14ac:dyDescent="0.2">
      <c r="A5577" s="8">
        <v>5576</v>
      </c>
      <c r="B5577" s="8" t="s">
        <v>24869</v>
      </c>
      <c r="C5577" s="8" t="s">
        <v>24869</v>
      </c>
      <c r="F5577" s="47" t="s">
        <v>57932</v>
      </c>
      <c r="G5577" s="8">
        <v>6</v>
      </c>
      <c r="H5577" s="8" t="s">
        <v>21</v>
      </c>
      <c r="I5577" s="8" t="s">
        <v>22</v>
      </c>
      <c r="J5577" s="8" t="s">
        <v>22</v>
      </c>
      <c r="K5577" s="8" t="s">
        <v>382</v>
      </c>
      <c r="L5577" s="8" t="s">
        <v>17287</v>
      </c>
      <c r="M5577" s="8" t="s">
        <v>17288</v>
      </c>
      <c r="N5577" s="8" t="s">
        <v>24870</v>
      </c>
      <c r="O5577" s="8">
        <f>14+21/60+3.7/3600</f>
        <v>14.351027777777777</v>
      </c>
      <c r="P5577" s="8" t="s">
        <v>24871</v>
      </c>
      <c r="Q5577" s="8">
        <f>+(3+16/60+17/3600)</f>
        <v>3.2713888888888887</v>
      </c>
      <c r="R5577" s="8">
        <v>11</v>
      </c>
      <c r="S5577" s="8">
        <v>11.9</v>
      </c>
      <c r="T5577" s="8">
        <v>0.9</v>
      </c>
      <c r="U5577" s="8">
        <v>13.2</v>
      </c>
      <c r="V5577" s="8">
        <v>3.8</v>
      </c>
      <c r="W5577" s="8">
        <v>2.7</v>
      </c>
      <c r="X5577" s="8">
        <v>95</v>
      </c>
      <c r="Y5577" s="8" t="s">
        <v>24872</v>
      </c>
      <c r="Z5577" s="8" t="s">
        <v>24873</v>
      </c>
    </row>
    <row r="5578" spans="1:26" x14ac:dyDescent="0.2">
      <c r="A5578" s="8">
        <v>5577</v>
      </c>
      <c r="B5578" s="8" t="s">
        <v>24874</v>
      </c>
      <c r="C5578" s="8" t="s">
        <v>24874</v>
      </c>
      <c r="F5578" s="47"/>
      <c r="G5578" s="8">
        <v>18</v>
      </c>
      <c r="H5578" s="8" t="s">
        <v>21</v>
      </c>
      <c r="I5578" s="8" t="s">
        <v>22</v>
      </c>
      <c r="J5578" s="8" t="s">
        <v>22</v>
      </c>
      <c r="K5578" s="8" t="s">
        <v>396</v>
      </c>
      <c r="L5578" s="8" t="s">
        <v>17287</v>
      </c>
      <c r="M5578" s="8" t="s">
        <v>17288</v>
      </c>
      <c r="N5578" s="8" t="s">
        <v>24875</v>
      </c>
      <c r="O5578" s="8">
        <f>14+21/60+13.2/3600</f>
        <v>14.353666666666665</v>
      </c>
      <c r="P5578" s="8" t="s">
        <v>24876</v>
      </c>
      <c r="Q5578" s="8">
        <f>+(3+26/60+11/3600)</f>
        <v>3.4363888888888892</v>
      </c>
      <c r="R5578" s="8">
        <v>12.6</v>
      </c>
      <c r="S5578" s="8">
        <v>13.4</v>
      </c>
      <c r="T5578" s="8">
        <v>0.8</v>
      </c>
      <c r="U5578" s="8">
        <v>13.6</v>
      </c>
      <c r="V5578" s="8">
        <v>3.2</v>
      </c>
      <c r="W5578" s="8">
        <v>0.9</v>
      </c>
      <c r="X5578" s="8">
        <v>56</v>
      </c>
      <c r="Y5578" s="8" t="s">
        <v>24877</v>
      </c>
      <c r="Z5578" s="8" t="s">
        <v>24878</v>
      </c>
    </row>
    <row r="5579" spans="1:26" x14ac:dyDescent="0.2">
      <c r="A5579" s="8">
        <v>5578</v>
      </c>
      <c r="B5579" s="8" t="s">
        <v>24879</v>
      </c>
      <c r="C5579" s="8" t="s">
        <v>24879</v>
      </c>
      <c r="F5579" s="47"/>
      <c r="G5579" s="8">
        <v>19</v>
      </c>
      <c r="H5579" s="8" t="s">
        <v>21</v>
      </c>
      <c r="I5579" s="8" t="s">
        <v>22</v>
      </c>
      <c r="J5579" s="8" t="s">
        <v>57</v>
      </c>
      <c r="K5579" s="8" t="s">
        <v>37</v>
      </c>
      <c r="L5579" s="8" t="s">
        <v>17287</v>
      </c>
      <c r="M5579" s="8" t="s">
        <v>17288</v>
      </c>
      <c r="N5579" s="8" t="s">
        <v>24865</v>
      </c>
      <c r="O5579" s="8">
        <f>14+20/60+59.5/3600</f>
        <v>14.349861111111112</v>
      </c>
      <c r="P5579" s="8" t="s">
        <v>24866</v>
      </c>
      <c r="Q5579" s="8">
        <f>+(6+12/60+10/3600)</f>
        <v>6.2027777777777784</v>
      </c>
      <c r="R5579" s="8">
        <v>13.3</v>
      </c>
      <c r="S5579" s="8">
        <v>14.3</v>
      </c>
      <c r="T5579" s="8">
        <v>1</v>
      </c>
      <c r="U5579" s="8">
        <v>13</v>
      </c>
      <c r="V5579" s="8">
        <v>1</v>
      </c>
      <c r="W5579" s="8">
        <v>0.9</v>
      </c>
      <c r="X5579" s="8">
        <v>96</v>
      </c>
      <c r="Y5579" s="8" t="s">
        <v>24867</v>
      </c>
      <c r="Z5579" s="8" t="s">
        <v>24880</v>
      </c>
    </row>
    <row r="5580" spans="1:26" x14ac:dyDescent="0.2">
      <c r="A5580" s="8">
        <v>5579</v>
      </c>
      <c r="B5580" s="8" t="s">
        <v>24881</v>
      </c>
      <c r="C5580" s="8" t="s">
        <v>24881</v>
      </c>
      <c r="F5580" s="47" t="s">
        <v>57933</v>
      </c>
      <c r="G5580" s="8">
        <v>15</v>
      </c>
      <c r="H5580" s="8" t="s">
        <v>21</v>
      </c>
      <c r="I5580" s="8" t="s">
        <v>22</v>
      </c>
      <c r="J5580" s="8" t="s">
        <v>22</v>
      </c>
      <c r="K5580" s="8" t="s">
        <v>160</v>
      </c>
      <c r="L5580" s="8" t="s">
        <v>22476</v>
      </c>
      <c r="M5580" s="8" t="s">
        <v>22477</v>
      </c>
      <c r="N5580" s="8" t="s">
        <v>24882</v>
      </c>
      <c r="O5580" s="8">
        <f>14+20/60+26.4/3600</f>
        <v>14.340666666666667</v>
      </c>
      <c r="P5580" s="8" t="s">
        <v>24883</v>
      </c>
      <c r="Q5580" s="8">
        <f>+(35+11/60+21/3600)</f>
        <v>35.189166666666665</v>
      </c>
      <c r="R5580" s="8">
        <v>13.6</v>
      </c>
      <c r="S5580" s="8">
        <v>14.3</v>
      </c>
      <c r="T5580" s="8">
        <v>0.7</v>
      </c>
      <c r="U5580" s="8">
        <v>14.5</v>
      </c>
      <c r="V5580" s="8">
        <v>1.9</v>
      </c>
      <c r="W5580" s="8">
        <v>1.4</v>
      </c>
      <c r="X5580" s="8">
        <v>165</v>
      </c>
      <c r="Y5580" s="8" t="s">
        <v>24884</v>
      </c>
      <c r="Z5580" s="8" t="s">
        <v>24885</v>
      </c>
    </row>
    <row r="5581" spans="1:26" x14ac:dyDescent="0.2">
      <c r="A5581" s="8">
        <v>5580</v>
      </c>
      <c r="B5581" s="8" t="s">
        <v>24886</v>
      </c>
      <c r="C5581" s="8" t="s">
        <v>24886</v>
      </c>
      <c r="F5581" s="47"/>
      <c r="G5581" s="8">
        <v>16</v>
      </c>
      <c r="H5581" s="8" t="s">
        <v>21</v>
      </c>
      <c r="I5581" s="8" t="s">
        <v>22</v>
      </c>
      <c r="J5581" s="8" t="s">
        <v>57</v>
      </c>
      <c r="K5581" s="8" t="s">
        <v>37</v>
      </c>
      <c r="L5581" s="8" t="s">
        <v>22476</v>
      </c>
      <c r="M5581" s="8" t="s">
        <v>22477</v>
      </c>
      <c r="N5581" s="8" t="s">
        <v>24887</v>
      </c>
      <c r="O5581" s="8">
        <f>14+21/60+38.3/3600</f>
        <v>14.360638888888889</v>
      </c>
      <c r="P5581" s="8" t="s">
        <v>24888</v>
      </c>
      <c r="Q5581" s="8">
        <f>+(35+12/60+18/3600)</f>
        <v>35.205000000000005</v>
      </c>
      <c r="R5581" s="8">
        <v>12.3</v>
      </c>
      <c r="S5581" s="8">
        <v>13.3</v>
      </c>
      <c r="T5581" s="8">
        <v>1</v>
      </c>
      <c r="U5581" s="8">
        <v>13.5</v>
      </c>
      <c r="V5581" s="8">
        <v>1.8</v>
      </c>
      <c r="W5581" s="8">
        <v>1.8</v>
      </c>
      <c r="Y5581" s="8" t="s">
        <v>24889</v>
      </c>
      <c r="Z5581" s="8" t="s">
        <v>24890</v>
      </c>
    </row>
    <row r="5582" spans="1:26" x14ac:dyDescent="0.2">
      <c r="A5582" s="8">
        <v>5581</v>
      </c>
      <c r="B5582" s="8" t="s">
        <v>24891</v>
      </c>
      <c r="C5582" s="8" t="s">
        <v>24891</v>
      </c>
      <c r="F5582" s="47"/>
      <c r="G5582" s="8">
        <v>19</v>
      </c>
      <c r="H5582" s="8" t="s">
        <v>21</v>
      </c>
      <c r="I5582" s="8" t="s">
        <v>22</v>
      </c>
      <c r="J5582" s="8" t="s">
        <v>22</v>
      </c>
      <c r="K5582" s="8" t="s">
        <v>58</v>
      </c>
      <c r="L5582" s="8" t="s">
        <v>22476</v>
      </c>
      <c r="M5582" s="8" t="s">
        <v>22477</v>
      </c>
      <c r="N5582" s="8" t="s">
        <v>24892</v>
      </c>
      <c r="O5582" s="8">
        <f>14+21/60+16.2/3600</f>
        <v>14.3545</v>
      </c>
      <c r="P5582" s="8" t="s">
        <v>24893</v>
      </c>
      <c r="Q5582" s="8">
        <f>+(23+28/60+48/3600)</f>
        <v>23.479999999999997</v>
      </c>
      <c r="R5582" s="8">
        <v>14.1</v>
      </c>
      <c r="S5582" s="8">
        <v>15.1</v>
      </c>
      <c r="T5582" s="8">
        <v>1</v>
      </c>
      <c r="U5582" s="8">
        <v>13.5</v>
      </c>
      <c r="V5582" s="8">
        <v>0.8</v>
      </c>
      <c r="W5582" s="8">
        <v>0.7</v>
      </c>
      <c r="X5582" s="8">
        <v>162</v>
      </c>
      <c r="Y5582" s="8" t="s">
        <v>24894</v>
      </c>
      <c r="Z5582" s="8" t="s">
        <v>3550</v>
      </c>
    </row>
    <row r="5583" spans="1:26" x14ac:dyDescent="0.2">
      <c r="A5583" s="8">
        <v>5582</v>
      </c>
      <c r="B5583" s="8" t="s">
        <v>24895</v>
      </c>
      <c r="C5583" s="8" t="s">
        <v>24895</v>
      </c>
      <c r="F5583" s="47" t="s">
        <v>57934</v>
      </c>
      <c r="G5583" s="8">
        <v>6.5</v>
      </c>
      <c r="H5583" s="8" t="s">
        <v>21</v>
      </c>
      <c r="I5583" s="8" t="s">
        <v>22</v>
      </c>
      <c r="J5583" s="8" t="s">
        <v>22</v>
      </c>
      <c r="K5583" s="8" t="s">
        <v>50</v>
      </c>
      <c r="L5583" s="8" t="s">
        <v>22476</v>
      </c>
      <c r="M5583" s="8" t="s">
        <v>22477</v>
      </c>
      <c r="N5583" s="8" t="s">
        <v>24896</v>
      </c>
      <c r="O5583" s="8">
        <f>14+20/60+43.2/3600</f>
        <v>14.345333333333334</v>
      </c>
      <c r="P5583" s="8" t="s">
        <v>24897</v>
      </c>
      <c r="Q5583" s="8">
        <f>+(39+41/60+38/3600)</f>
        <v>39.693888888888885</v>
      </c>
      <c r="R5583" s="8">
        <v>11.6</v>
      </c>
      <c r="S5583" s="8">
        <v>12.5</v>
      </c>
      <c r="T5583" s="8">
        <v>0.9</v>
      </c>
      <c r="U5583" s="8">
        <v>13.3</v>
      </c>
      <c r="V5583" s="8">
        <v>2.8</v>
      </c>
      <c r="W5583" s="8">
        <v>1.7</v>
      </c>
      <c r="X5583" s="8">
        <v>25</v>
      </c>
      <c r="Y5583" s="8" t="s">
        <v>24898</v>
      </c>
      <c r="Z5583" s="8" t="s">
        <v>24899</v>
      </c>
    </row>
    <row r="5584" spans="1:26" x14ac:dyDescent="0.2">
      <c r="A5584" s="8">
        <v>5583</v>
      </c>
      <c r="B5584" s="8" t="s">
        <v>24900</v>
      </c>
      <c r="C5584" s="8" t="s">
        <v>24900</v>
      </c>
      <c r="F5584" s="47"/>
      <c r="G5584" s="8">
        <v>19</v>
      </c>
      <c r="H5584" s="8" t="s">
        <v>21</v>
      </c>
      <c r="I5584" s="8" t="s">
        <v>22</v>
      </c>
      <c r="J5584" s="8" t="s">
        <v>22</v>
      </c>
      <c r="K5584" s="8" t="s">
        <v>449</v>
      </c>
      <c r="L5584" s="8" t="s">
        <v>22476</v>
      </c>
      <c r="M5584" s="8" t="s">
        <v>22477</v>
      </c>
      <c r="N5584" s="8" t="s">
        <v>24901</v>
      </c>
      <c r="O5584" s="8">
        <f>14+21/60+40.5/3600</f>
        <v>14.36125</v>
      </c>
      <c r="P5584" s="8" t="s">
        <v>24902</v>
      </c>
      <c r="Q5584" s="8">
        <f>+(13+13/60+56/3600)</f>
        <v>13.232222222222223</v>
      </c>
      <c r="R5584" s="8">
        <v>13.5</v>
      </c>
      <c r="S5584" s="8">
        <v>14.3</v>
      </c>
      <c r="T5584" s="8">
        <v>0.8</v>
      </c>
      <c r="U5584" s="8">
        <v>12.6</v>
      </c>
      <c r="V5584" s="8">
        <v>0.8</v>
      </c>
      <c r="W5584" s="8">
        <v>0.6</v>
      </c>
      <c r="X5584" s="8">
        <v>80</v>
      </c>
      <c r="Y5584" s="8" t="s">
        <v>24903</v>
      </c>
      <c r="Z5584" s="8" t="s">
        <v>24904</v>
      </c>
    </row>
    <row r="5585" spans="1:26" x14ac:dyDescent="0.2">
      <c r="A5585" s="8">
        <v>5584</v>
      </c>
      <c r="B5585" s="8" t="s">
        <v>24905</v>
      </c>
      <c r="C5585" s="8" t="s">
        <v>24905</v>
      </c>
      <c r="F5585" s="47"/>
      <c r="G5585" s="8">
        <v>13</v>
      </c>
      <c r="H5585" s="8" t="s">
        <v>21</v>
      </c>
      <c r="I5585" s="8" t="s">
        <v>22</v>
      </c>
      <c r="J5585" s="8" t="s">
        <v>22</v>
      </c>
      <c r="K5585" s="8" t="s">
        <v>64</v>
      </c>
      <c r="L5585" s="8" t="s">
        <v>17287</v>
      </c>
      <c r="M5585" s="8" t="s">
        <v>17288</v>
      </c>
      <c r="N5585" s="8" t="s">
        <v>24906</v>
      </c>
      <c r="O5585" s="8">
        <f>14+22/60+23.8/3600</f>
        <v>14.373277777777778</v>
      </c>
      <c r="P5585" s="8" t="s">
        <v>24907</v>
      </c>
      <c r="Q5585" s="8">
        <f>-(0+23/60+17/3600)</f>
        <v>-0.3880555555555556</v>
      </c>
      <c r="R5585" s="8">
        <v>11.4</v>
      </c>
      <c r="S5585" s="8">
        <v>12.1</v>
      </c>
      <c r="T5585" s="8">
        <v>0.7</v>
      </c>
      <c r="U5585" s="8">
        <v>13.5</v>
      </c>
      <c r="V5585" s="8">
        <v>3.4</v>
      </c>
      <c r="W5585" s="8">
        <v>2.7</v>
      </c>
      <c r="X5585" s="8">
        <v>140</v>
      </c>
      <c r="Y5585" s="8" t="s">
        <v>24908</v>
      </c>
      <c r="Z5585" s="8" t="s">
        <v>24909</v>
      </c>
    </row>
    <row r="5586" spans="1:26" x14ac:dyDescent="0.2">
      <c r="A5586" s="8">
        <v>5585</v>
      </c>
      <c r="B5586" s="8" t="s">
        <v>24910</v>
      </c>
      <c r="C5586" s="8" t="s">
        <v>24910</v>
      </c>
      <c r="F5586" s="47" t="s">
        <v>57935</v>
      </c>
      <c r="G5586" s="8">
        <v>6.5</v>
      </c>
      <c r="H5586" s="8" t="s">
        <v>21</v>
      </c>
      <c r="I5586" s="8" t="s">
        <v>22</v>
      </c>
      <c r="J5586" s="8" t="s">
        <v>22</v>
      </c>
      <c r="K5586" s="8" t="s">
        <v>1277</v>
      </c>
      <c r="L5586" s="8" t="s">
        <v>12015</v>
      </c>
      <c r="M5586" s="8" t="s">
        <v>12016</v>
      </c>
      <c r="N5586" s="8" t="s">
        <v>24911</v>
      </c>
      <c r="O5586" s="8">
        <f>14+19/60+47.7/3600</f>
        <v>14.329916666666666</v>
      </c>
      <c r="P5586" s="8" t="s">
        <v>24912</v>
      </c>
      <c r="Q5586" s="8">
        <f>+(56+43/60+44/3600)</f>
        <v>56.728888888888889</v>
      </c>
      <c r="R5586" s="8">
        <v>10.7</v>
      </c>
      <c r="S5586" s="8">
        <v>11.2</v>
      </c>
      <c r="T5586" s="8">
        <v>0.5</v>
      </c>
      <c r="U5586" s="8">
        <v>13.9</v>
      </c>
      <c r="V5586" s="8">
        <v>5.8</v>
      </c>
      <c r="W5586" s="8">
        <v>3.6</v>
      </c>
      <c r="X5586" s="8">
        <v>30</v>
      </c>
      <c r="Y5586" s="8" t="s">
        <v>24913</v>
      </c>
      <c r="Z5586" s="8" t="s">
        <v>24914</v>
      </c>
    </row>
    <row r="5587" spans="1:26" x14ac:dyDescent="0.2">
      <c r="A5587" s="8">
        <v>5586</v>
      </c>
      <c r="B5587" s="8" t="s">
        <v>24915</v>
      </c>
      <c r="C5587" s="8" t="s">
        <v>24915</v>
      </c>
      <c r="F5587" s="47"/>
      <c r="G5587" s="8">
        <v>19</v>
      </c>
      <c r="H5587" s="8" t="s">
        <v>21</v>
      </c>
      <c r="I5587" s="8" t="s">
        <v>329</v>
      </c>
      <c r="J5587" s="8" t="s">
        <v>329</v>
      </c>
      <c r="K5587" s="8" t="s">
        <v>329</v>
      </c>
      <c r="L5587" s="8" t="s">
        <v>22476</v>
      </c>
      <c r="M5587" s="8" t="s">
        <v>22477</v>
      </c>
      <c r="N5587" s="8" t="s">
        <v>24916</v>
      </c>
      <c r="O5587" s="8">
        <f>14+22/60+7.6/3600</f>
        <v>14.368777777777778</v>
      </c>
      <c r="P5587" s="8" t="s">
        <v>20104</v>
      </c>
      <c r="Q5587" s="8">
        <f>+(13+11/60+4/3600)</f>
        <v>13.184444444444445</v>
      </c>
      <c r="R5587" s="8">
        <v>99</v>
      </c>
      <c r="S5587" s="8">
        <v>99</v>
      </c>
      <c r="T5587" s="8">
        <v>99</v>
      </c>
      <c r="U5587" s="8">
        <v>99</v>
      </c>
      <c r="Y5587" s="8" t="s">
        <v>385</v>
      </c>
      <c r="Z5587" s="8" t="s">
        <v>386</v>
      </c>
    </row>
    <row r="5588" spans="1:26" x14ac:dyDescent="0.2">
      <c r="A5588" s="8">
        <v>5587</v>
      </c>
      <c r="B5588" s="8" t="s">
        <v>24917</v>
      </c>
      <c r="C5588" s="8" t="s">
        <v>24917</v>
      </c>
      <c r="F5588" s="47" t="s">
        <v>57936</v>
      </c>
      <c r="G5588" s="8">
        <v>15</v>
      </c>
      <c r="H5588" s="8" t="s">
        <v>21</v>
      </c>
      <c r="I5588" s="8" t="s">
        <v>22</v>
      </c>
      <c r="J5588" s="8" t="s">
        <v>22</v>
      </c>
      <c r="K5588" s="8" t="s">
        <v>632</v>
      </c>
      <c r="L5588" s="8" t="s">
        <v>22476</v>
      </c>
      <c r="M5588" s="8" t="s">
        <v>22477</v>
      </c>
      <c r="N5588" s="8" t="s">
        <v>24918</v>
      </c>
      <c r="O5588" s="8">
        <f>14+22/60+10.8/3600</f>
        <v>14.369666666666667</v>
      </c>
      <c r="P5588" s="8" t="s">
        <v>24919</v>
      </c>
      <c r="Q5588" s="8">
        <f>+(13+55/60+3/3600)</f>
        <v>13.917499999999999</v>
      </c>
      <c r="R5588" s="8">
        <v>12.5</v>
      </c>
      <c r="S5588" s="8">
        <v>13.4</v>
      </c>
      <c r="T5588" s="8">
        <v>0.9</v>
      </c>
      <c r="U5588" s="8">
        <v>13.2</v>
      </c>
      <c r="V5588" s="8">
        <v>2.6</v>
      </c>
      <c r="W5588" s="8">
        <v>0.8</v>
      </c>
      <c r="X5588" s="8">
        <v>162</v>
      </c>
      <c r="Y5588" s="8" t="s">
        <v>24920</v>
      </c>
      <c r="Z5588" s="8" t="s">
        <v>24921</v>
      </c>
    </row>
    <row r="5589" spans="1:26" x14ac:dyDescent="0.2">
      <c r="A5589" s="8">
        <v>5588</v>
      </c>
      <c r="B5589" s="8" t="s">
        <v>24922</v>
      </c>
      <c r="C5589" s="8" t="s">
        <v>24922</v>
      </c>
      <c r="F5589" s="47"/>
      <c r="G5589" s="8">
        <v>16</v>
      </c>
      <c r="H5589" s="8" t="s">
        <v>21</v>
      </c>
      <c r="I5589" s="8" t="s">
        <v>22</v>
      </c>
      <c r="J5589" s="8" t="s">
        <v>57</v>
      </c>
      <c r="K5589" s="8" t="s">
        <v>154</v>
      </c>
      <c r="L5589" s="8" t="s">
        <v>22476</v>
      </c>
      <c r="M5589" s="8" t="s">
        <v>22477</v>
      </c>
      <c r="N5589" s="8" t="s">
        <v>24923</v>
      </c>
      <c r="O5589" s="8">
        <f>14+21/60+24.9/3600</f>
        <v>14.356916666666667</v>
      </c>
      <c r="P5589" s="8" t="s">
        <v>24924</v>
      </c>
      <c r="Q5589" s="8">
        <f>+(35+16/60+14/3600)</f>
        <v>35.270555555555553</v>
      </c>
      <c r="R5589" s="8">
        <v>13.3</v>
      </c>
      <c r="S5589" s="8">
        <v>14.2</v>
      </c>
      <c r="T5589" s="8">
        <v>0.9</v>
      </c>
      <c r="U5589" s="8">
        <v>13.4</v>
      </c>
      <c r="V5589" s="8">
        <v>1.1000000000000001</v>
      </c>
      <c r="W5589" s="8">
        <v>1.1000000000000001</v>
      </c>
      <c r="Y5589" s="8" t="s">
        <v>13638</v>
      </c>
      <c r="Z5589" s="8" t="s">
        <v>13639</v>
      </c>
    </row>
    <row r="5590" spans="1:26" x14ac:dyDescent="0.2">
      <c r="A5590" s="8">
        <v>5589</v>
      </c>
      <c r="B5590" s="8" t="s">
        <v>24925</v>
      </c>
      <c r="C5590" s="8" t="s">
        <v>24925</v>
      </c>
      <c r="F5590" s="47" t="s">
        <v>57937</v>
      </c>
      <c r="G5590" s="8">
        <v>15</v>
      </c>
      <c r="H5590" s="8" t="s">
        <v>21</v>
      </c>
      <c r="I5590" s="8" t="s">
        <v>22</v>
      </c>
      <c r="J5590" s="8" t="s">
        <v>22</v>
      </c>
      <c r="K5590" s="8" t="s">
        <v>154</v>
      </c>
      <c r="L5590" s="8" t="s">
        <v>22476</v>
      </c>
      <c r="M5590" s="8" t="s">
        <v>22477</v>
      </c>
      <c r="N5590" s="8" t="s">
        <v>24923</v>
      </c>
      <c r="O5590" s="8">
        <f>14+21/60+24.9/3600</f>
        <v>14.356916666666667</v>
      </c>
      <c r="P5590" s="8" t="s">
        <v>24924</v>
      </c>
      <c r="Q5590" s="8">
        <f>+(35+16/60+14/3600)</f>
        <v>35.270555555555553</v>
      </c>
      <c r="R5590" s="8">
        <v>13.3</v>
      </c>
      <c r="S5590" s="8">
        <v>14.2</v>
      </c>
      <c r="T5590" s="8">
        <v>0.9</v>
      </c>
      <c r="U5590" s="8">
        <v>13.4</v>
      </c>
      <c r="V5590" s="8">
        <v>1.1000000000000001</v>
      </c>
      <c r="W5590" s="8">
        <v>1.1000000000000001</v>
      </c>
      <c r="Y5590" s="8" t="s">
        <v>13638</v>
      </c>
      <c r="Z5590" s="8" t="s">
        <v>24926</v>
      </c>
    </row>
    <row r="5591" spans="1:26" x14ac:dyDescent="0.2">
      <c r="A5591" s="8">
        <v>5590</v>
      </c>
      <c r="B5591" s="8" t="s">
        <v>24927</v>
      </c>
      <c r="C5591" s="8" t="s">
        <v>24927</v>
      </c>
      <c r="F5591" s="47" t="s">
        <v>57938</v>
      </c>
      <c r="G5591" s="8">
        <v>6.5</v>
      </c>
      <c r="H5591" s="8" t="s">
        <v>21</v>
      </c>
      <c r="I5591" s="8" t="s">
        <v>22</v>
      </c>
      <c r="J5591" s="8" t="s">
        <v>22</v>
      </c>
      <c r="K5591" s="8" t="s">
        <v>37</v>
      </c>
      <c r="L5591" s="8" t="s">
        <v>22476</v>
      </c>
      <c r="M5591" s="8" t="s">
        <v>22477</v>
      </c>
      <c r="N5591" s="8" t="s">
        <v>24887</v>
      </c>
      <c r="O5591" s="8">
        <f>14+21/60+38.3/3600</f>
        <v>14.360638888888889</v>
      </c>
      <c r="P5591" s="8" t="s">
        <v>24888</v>
      </c>
      <c r="Q5591" s="8">
        <f>+(35+12/60+18/3600)</f>
        <v>35.205000000000005</v>
      </c>
      <c r="R5591" s="8">
        <v>12.3</v>
      </c>
      <c r="S5591" s="8">
        <v>13.3</v>
      </c>
      <c r="T5591" s="8">
        <v>1</v>
      </c>
      <c r="U5591" s="8">
        <v>13.5</v>
      </c>
      <c r="V5591" s="8">
        <v>1.8</v>
      </c>
      <c r="W5591" s="8">
        <v>1.8</v>
      </c>
      <c r="Y5591" s="8" t="s">
        <v>24889</v>
      </c>
      <c r="Z5591" s="8" t="s">
        <v>24928</v>
      </c>
    </row>
    <row r="5592" spans="1:26" x14ac:dyDescent="0.2">
      <c r="A5592" s="8">
        <v>5591</v>
      </c>
      <c r="B5592" s="8" t="s">
        <v>24929</v>
      </c>
      <c r="C5592" s="8" t="s">
        <v>24929</v>
      </c>
      <c r="E5592" s="8">
        <v>1</v>
      </c>
      <c r="F5592" s="47"/>
      <c r="G5592" s="8">
        <v>19</v>
      </c>
      <c r="H5592" s="8" t="s">
        <v>21</v>
      </c>
      <c r="I5592" s="8" t="s">
        <v>22</v>
      </c>
      <c r="J5592" s="8" t="s">
        <v>22</v>
      </c>
      <c r="K5592" s="8" t="s">
        <v>160</v>
      </c>
      <c r="L5592" s="8" t="s">
        <v>22476</v>
      </c>
      <c r="M5592" s="8" t="s">
        <v>22477</v>
      </c>
      <c r="N5592" s="8" t="s">
        <v>24930</v>
      </c>
      <c r="O5592" s="8">
        <f>14+22/60+33.3/3600</f>
        <v>14.375916666666667</v>
      </c>
      <c r="P5592" s="8" t="s">
        <v>24931</v>
      </c>
      <c r="Q5592" s="8">
        <f>+(13+43/60+1/3600)</f>
        <v>13.716944444444444</v>
      </c>
      <c r="R5592" s="8">
        <v>13.8</v>
      </c>
      <c r="S5592" s="8">
        <v>14.5</v>
      </c>
      <c r="T5592" s="8">
        <v>0.7</v>
      </c>
      <c r="U5592" s="8">
        <v>13.4</v>
      </c>
      <c r="V5592" s="8">
        <v>1.3</v>
      </c>
      <c r="W5592" s="8">
        <v>0.6</v>
      </c>
      <c r="X5592" s="8">
        <v>75</v>
      </c>
      <c r="Y5592" s="8" t="s">
        <v>24932</v>
      </c>
      <c r="Z5592" s="8" t="s">
        <v>24933</v>
      </c>
    </row>
    <row r="5593" spans="1:26" x14ac:dyDescent="0.2">
      <c r="A5593" s="8">
        <v>5592</v>
      </c>
      <c r="B5593" s="8" t="s">
        <v>24934</v>
      </c>
      <c r="C5593" s="8" t="s">
        <v>24934</v>
      </c>
      <c r="F5593" s="47" t="s">
        <v>57939</v>
      </c>
      <c r="G5593" s="8">
        <v>13</v>
      </c>
      <c r="H5593" s="8" t="s">
        <v>21</v>
      </c>
      <c r="I5593" s="8" t="s">
        <v>22</v>
      </c>
      <c r="J5593" s="8" t="s">
        <v>22</v>
      </c>
      <c r="K5593" s="8" t="s">
        <v>85</v>
      </c>
      <c r="L5593" s="8" t="s">
        <v>11765</v>
      </c>
      <c r="M5593" s="8" t="s">
        <v>11766</v>
      </c>
      <c r="N5593" s="8" t="s">
        <v>24935</v>
      </c>
      <c r="O5593" s="8">
        <f>14+23/60+54.9/3600</f>
        <v>14.398583333333333</v>
      </c>
      <c r="P5593" s="8" t="s">
        <v>24936</v>
      </c>
      <c r="Q5593" s="8">
        <f>-(28+41/60+18/3600)</f>
        <v>-28.688333333333333</v>
      </c>
      <c r="R5593" s="8">
        <v>12.8</v>
      </c>
      <c r="S5593" s="8">
        <v>13.5</v>
      </c>
      <c r="T5593" s="8">
        <v>0.7</v>
      </c>
      <c r="U5593" s="8">
        <v>12.8</v>
      </c>
      <c r="V5593" s="8">
        <v>1.5</v>
      </c>
      <c r="W5593" s="8">
        <v>0.8</v>
      </c>
      <c r="X5593" s="8">
        <v>88</v>
      </c>
      <c r="Y5593" s="8" t="s">
        <v>24937</v>
      </c>
      <c r="Z5593" s="8" t="s">
        <v>24938</v>
      </c>
    </row>
    <row r="5594" spans="1:26" x14ac:dyDescent="0.2">
      <c r="A5594" s="8">
        <v>5593</v>
      </c>
      <c r="B5594" s="8" t="s">
        <v>24939</v>
      </c>
      <c r="C5594" s="8" t="s">
        <v>24939</v>
      </c>
      <c r="F5594" s="47"/>
      <c r="G5594" s="8">
        <v>13</v>
      </c>
      <c r="H5594" s="8" t="s">
        <v>21</v>
      </c>
      <c r="I5594" s="8" t="s">
        <v>557</v>
      </c>
      <c r="J5594" s="8" t="s">
        <v>557</v>
      </c>
      <c r="K5594" s="8" t="s">
        <v>1168</v>
      </c>
      <c r="L5594" s="8" t="s">
        <v>24674</v>
      </c>
      <c r="M5594" s="8" t="s">
        <v>24675</v>
      </c>
      <c r="N5594" s="8" t="s">
        <v>24940</v>
      </c>
      <c r="O5594" s="8">
        <f>14+25/60+40/3600</f>
        <v>14.427777777777777</v>
      </c>
      <c r="P5594" s="8" t="s">
        <v>24941</v>
      </c>
      <c r="Q5594" s="8">
        <f>-(54+47/60+54/3600)</f>
        <v>-54.798333333333332</v>
      </c>
      <c r="R5594" s="8">
        <v>99</v>
      </c>
      <c r="S5594" s="8">
        <v>99</v>
      </c>
      <c r="T5594" s="8">
        <v>99</v>
      </c>
      <c r="U5594" s="8">
        <v>99</v>
      </c>
      <c r="V5594" s="8">
        <v>6</v>
      </c>
      <c r="Y5594" s="8" t="s">
        <v>24942</v>
      </c>
      <c r="Z5594" s="8" t="s">
        <v>24943</v>
      </c>
    </row>
    <row r="5595" spans="1:26" x14ac:dyDescent="0.2">
      <c r="A5595" s="8">
        <v>5594</v>
      </c>
      <c r="B5595" s="8" t="s">
        <v>24944</v>
      </c>
      <c r="C5595" s="8" t="s">
        <v>24944</v>
      </c>
      <c r="F5595" s="47" t="s">
        <v>57940</v>
      </c>
      <c r="G5595" s="8">
        <v>15</v>
      </c>
      <c r="H5595" s="8" t="s">
        <v>21</v>
      </c>
      <c r="I5595" s="8" t="s">
        <v>22</v>
      </c>
      <c r="J5595" s="8" t="s">
        <v>22</v>
      </c>
      <c r="K5595" s="8" t="s">
        <v>2572</v>
      </c>
      <c r="L5595" s="8" t="s">
        <v>22476</v>
      </c>
      <c r="M5595" s="8" t="s">
        <v>22477</v>
      </c>
      <c r="N5595" s="8" t="s">
        <v>24945</v>
      </c>
      <c r="O5595" s="8">
        <f>14+23/60+10.2/3600</f>
        <v>14.386166666666666</v>
      </c>
      <c r="P5595" s="8" t="s">
        <v>24946</v>
      </c>
      <c r="Q5595" s="8">
        <f>+(26+15/60+59/3600)</f>
        <v>26.266388888888891</v>
      </c>
      <c r="R5595" s="8">
        <v>14.2</v>
      </c>
      <c r="S5595" s="8">
        <v>15</v>
      </c>
      <c r="T5595" s="8">
        <v>0.8</v>
      </c>
      <c r="U5595" s="8">
        <v>13.6</v>
      </c>
      <c r="V5595" s="8">
        <v>1.1000000000000001</v>
      </c>
      <c r="W5595" s="8">
        <v>0.6</v>
      </c>
      <c r="X5595" s="8">
        <v>144</v>
      </c>
      <c r="Y5595" s="8" t="s">
        <v>2287</v>
      </c>
      <c r="Z5595" s="8" t="s">
        <v>2288</v>
      </c>
    </row>
    <row r="5596" spans="1:26" x14ac:dyDescent="0.2">
      <c r="A5596" s="8">
        <v>5595</v>
      </c>
      <c r="B5596" s="8" t="s">
        <v>24947</v>
      </c>
      <c r="C5596" s="8" t="s">
        <v>24947</v>
      </c>
      <c r="F5596" s="47" t="s">
        <v>57941</v>
      </c>
      <c r="G5596" s="8">
        <v>6.5</v>
      </c>
      <c r="H5596" s="8" t="s">
        <v>21</v>
      </c>
      <c r="I5596" s="8" t="s">
        <v>22</v>
      </c>
      <c r="J5596" s="8" t="s">
        <v>22</v>
      </c>
      <c r="K5596" s="8" t="s">
        <v>64</v>
      </c>
      <c r="L5596" s="8" t="s">
        <v>24948</v>
      </c>
      <c r="M5596" s="8" t="s">
        <v>24949</v>
      </c>
      <c r="N5596" s="8" t="s">
        <v>24950</v>
      </c>
      <c r="O5596" s="8">
        <f>14+24/60+13.3/3600</f>
        <v>14.403694444444445</v>
      </c>
      <c r="P5596" s="8" t="s">
        <v>24951</v>
      </c>
      <c r="Q5596" s="8">
        <f>-(16+43/60+21/3600)</f>
        <v>-16.722499999999997</v>
      </c>
      <c r="R5596" s="8">
        <v>12</v>
      </c>
      <c r="S5596" s="8">
        <v>12.6</v>
      </c>
      <c r="T5596" s="8">
        <v>0.6</v>
      </c>
      <c r="U5596" s="8">
        <v>13</v>
      </c>
      <c r="V5596" s="8">
        <v>2.4</v>
      </c>
      <c r="W5596" s="8">
        <v>1.3</v>
      </c>
      <c r="X5596" s="8">
        <v>50</v>
      </c>
      <c r="Y5596" s="8" t="s">
        <v>24952</v>
      </c>
      <c r="Z5596" s="8" t="s">
        <v>24953</v>
      </c>
    </row>
    <row r="5597" spans="1:26" x14ac:dyDescent="0.2">
      <c r="A5597" s="8">
        <v>5596</v>
      </c>
      <c r="B5597" s="8" t="s">
        <v>24954</v>
      </c>
      <c r="C5597" s="8" t="s">
        <v>24954</v>
      </c>
      <c r="F5597" s="47" t="s">
        <v>57942</v>
      </c>
      <c r="G5597" s="8">
        <v>15</v>
      </c>
      <c r="H5597" s="8" t="s">
        <v>21</v>
      </c>
      <c r="I5597" s="8" t="s">
        <v>22</v>
      </c>
      <c r="J5597" s="8" t="s">
        <v>22</v>
      </c>
      <c r="K5597" s="8" t="s">
        <v>37</v>
      </c>
      <c r="L5597" s="8" t="s">
        <v>22476</v>
      </c>
      <c r="M5597" s="8" t="s">
        <v>22477</v>
      </c>
      <c r="N5597" s="8" t="s">
        <v>24955</v>
      </c>
      <c r="O5597" s="8">
        <f>14+22/60+28.6/3600</f>
        <v>14.374611111111111</v>
      </c>
      <c r="P5597" s="8" t="s">
        <v>24956</v>
      </c>
      <c r="Q5597" s="8">
        <f>+(37+7/60+22/3600)</f>
        <v>37.122777777777777</v>
      </c>
      <c r="R5597" s="8">
        <v>13.5</v>
      </c>
      <c r="S5597" s="8">
        <v>14.4</v>
      </c>
      <c r="T5597" s="8">
        <v>0.9</v>
      </c>
      <c r="U5597" s="8">
        <v>13.1</v>
      </c>
      <c r="V5597" s="8">
        <v>1.1000000000000001</v>
      </c>
      <c r="W5597" s="8">
        <v>0.8</v>
      </c>
      <c r="X5597" s="8">
        <v>100</v>
      </c>
      <c r="Y5597" s="8" t="s">
        <v>24957</v>
      </c>
      <c r="Z5597" s="8" t="s">
        <v>24958</v>
      </c>
    </row>
    <row r="5598" spans="1:26" x14ac:dyDescent="0.2">
      <c r="A5598" s="8">
        <v>5597</v>
      </c>
      <c r="B5598" s="8" t="s">
        <v>24959</v>
      </c>
      <c r="C5598" s="8" t="s">
        <v>24959</v>
      </c>
      <c r="F5598" s="47" t="s">
        <v>57943</v>
      </c>
      <c r="G5598" s="8">
        <v>6.5</v>
      </c>
      <c r="H5598" s="8" t="s">
        <v>21</v>
      </c>
      <c r="I5598" s="8" t="s">
        <v>22</v>
      </c>
      <c r="J5598" s="8" t="s">
        <v>22</v>
      </c>
      <c r="K5598" s="8" t="s">
        <v>1277</v>
      </c>
      <c r="L5598" s="8" t="s">
        <v>24948</v>
      </c>
      <c r="M5598" s="8" t="s">
        <v>24949</v>
      </c>
      <c r="N5598" s="8" t="s">
        <v>24960</v>
      </c>
      <c r="O5598" s="8">
        <f>14+24/60+27.4/3600</f>
        <v>14.407611111111111</v>
      </c>
      <c r="P5598" s="8" t="s">
        <v>24961</v>
      </c>
      <c r="Q5598" s="8">
        <f>-(16+45/60+48/3600)</f>
        <v>-16.763333333333332</v>
      </c>
      <c r="R5598" s="8">
        <v>12</v>
      </c>
      <c r="S5598" s="8">
        <v>12.6</v>
      </c>
      <c r="T5598" s="8">
        <v>0.6</v>
      </c>
      <c r="U5598" s="8">
        <v>13.3</v>
      </c>
      <c r="V5598" s="8">
        <v>2.1</v>
      </c>
      <c r="W5598" s="8">
        <v>1.9</v>
      </c>
      <c r="X5598" s="8">
        <v>95</v>
      </c>
      <c r="Y5598" s="8" t="s">
        <v>24962</v>
      </c>
      <c r="Z5598" s="8" t="s">
        <v>24963</v>
      </c>
    </row>
    <row r="5599" spans="1:26" x14ac:dyDescent="0.2">
      <c r="A5599" s="8">
        <v>5598</v>
      </c>
      <c r="B5599" s="8" t="s">
        <v>24964</v>
      </c>
      <c r="C5599" s="8" t="s">
        <v>24964</v>
      </c>
      <c r="F5599" s="47" t="s">
        <v>57944</v>
      </c>
      <c r="G5599" s="8">
        <v>15</v>
      </c>
      <c r="H5599" s="8" t="s">
        <v>21</v>
      </c>
      <c r="I5599" s="8" t="s">
        <v>22</v>
      </c>
      <c r="J5599" s="8" t="s">
        <v>22</v>
      </c>
      <c r="K5599" s="8" t="s">
        <v>37</v>
      </c>
      <c r="L5599" s="8" t="s">
        <v>22476</v>
      </c>
      <c r="M5599" s="8" t="s">
        <v>22477</v>
      </c>
      <c r="N5599" s="8" t="s">
        <v>24965</v>
      </c>
      <c r="O5599" s="8">
        <f>14+22/60+28.4/3600</f>
        <v>14.374555555555556</v>
      </c>
      <c r="P5599" s="8" t="s">
        <v>24966</v>
      </c>
      <c r="Q5599" s="8">
        <f>+(40+19/60+13/3600)</f>
        <v>40.320277777777783</v>
      </c>
      <c r="R5599" s="8">
        <v>13</v>
      </c>
      <c r="S5599" s="8">
        <v>14</v>
      </c>
      <c r="T5599" s="8">
        <v>1</v>
      </c>
      <c r="U5599" s="8">
        <v>13.3</v>
      </c>
      <c r="V5599" s="8">
        <v>1.6</v>
      </c>
      <c r="W5599" s="8">
        <v>1.1000000000000001</v>
      </c>
      <c r="X5599" s="8">
        <v>50</v>
      </c>
      <c r="Y5599" s="8" t="s">
        <v>3952</v>
      </c>
      <c r="Z5599" s="8" t="s">
        <v>3953</v>
      </c>
    </row>
    <row r="5600" spans="1:26" x14ac:dyDescent="0.2">
      <c r="A5600" s="8">
        <v>5599</v>
      </c>
      <c r="B5600" s="8" t="s">
        <v>24967</v>
      </c>
      <c r="C5600" s="8" t="s">
        <v>24967</v>
      </c>
      <c r="F5600" s="47" t="s">
        <v>57945</v>
      </c>
      <c r="G5600" s="8">
        <v>15</v>
      </c>
      <c r="H5600" s="8" t="s">
        <v>21</v>
      </c>
      <c r="I5600" s="8" t="s">
        <v>22</v>
      </c>
      <c r="J5600" s="8" t="s">
        <v>22</v>
      </c>
      <c r="K5600" s="8" t="s">
        <v>23</v>
      </c>
      <c r="L5600" s="8" t="s">
        <v>17287</v>
      </c>
      <c r="M5600" s="8" t="s">
        <v>17288</v>
      </c>
      <c r="N5600" s="8" t="s">
        <v>24968</v>
      </c>
      <c r="O5600" s="8">
        <f>14+23/60+50.6/3600</f>
        <v>14.397388888888889</v>
      </c>
      <c r="P5600" s="8" t="s">
        <v>24969</v>
      </c>
      <c r="Q5600" s="8">
        <f>+(6+34/60+32/3600)</f>
        <v>6.5755555555555549</v>
      </c>
      <c r="R5600" s="8">
        <v>13.8</v>
      </c>
      <c r="S5600" s="8">
        <v>14.6</v>
      </c>
      <c r="T5600" s="8">
        <v>0.8</v>
      </c>
      <c r="U5600" s="8">
        <v>13.3</v>
      </c>
      <c r="V5600" s="8">
        <v>1.4</v>
      </c>
      <c r="W5600" s="8">
        <v>0.5</v>
      </c>
      <c r="X5600" s="8">
        <v>166</v>
      </c>
      <c r="Y5600" s="8" t="s">
        <v>3253</v>
      </c>
      <c r="Z5600" s="8" t="s">
        <v>3254</v>
      </c>
    </row>
    <row r="5601" spans="1:26" x14ac:dyDescent="0.2">
      <c r="A5601" s="8">
        <v>5600</v>
      </c>
      <c r="B5601" s="8" t="s">
        <v>24970</v>
      </c>
      <c r="C5601" s="8" t="s">
        <v>24970</v>
      </c>
      <c r="F5601" s="47" t="s">
        <v>57946</v>
      </c>
      <c r="G5601" s="8">
        <v>6.5</v>
      </c>
      <c r="H5601" s="8" t="s">
        <v>21</v>
      </c>
      <c r="I5601" s="8" t="s">
        <v>22</v>
      </c>
      <c r="J5601" s="8" t="s">
        <v>22</v>
      </c>
      <c r="K5601" s="8" t="s">
        <v>160</v>
      </c>
      <c r="L5601" s="8" t="s">
        <v>22476</v>
      </c>
      <c r="M5601" s="8" t="s">
        <v>22477</v>
      </c>
      <c r="N5601" s="8" t="s">
        <v>24971</v>
      </c>
      <c r="O5601" s="8">
        <f>14+23/60+49.3/3600</f>
        <v>14.397027777777778</v>
      </c>
      <c r="P5601" s="8" t="s">
        <v>24972</v>
      </c>
      <c r="Q5601" s="8">
        <f>+(14+38/60+19/3600)</f>
        <v>14.638611111111111</v>
      </c>
      <c r="R5601" s="8">
        <v>12.1</v>
      </c>
      <c r="S5601" s="8">
        <v>12.7</v>
      </c>
      <c r="T5601" s="8">
        <v>0.6</v>
      </c>
      <c r="U5601" s="8">
        <v>12.7</v>
      </c>
      <c r="V5601" s="8">
        <v>1.4</v>
      </c>
      <c r="W5601" s="8">
        <v>1.4</v>
      </c>
      <c r="Y5601" s="8" t="s">
        <v>24973</v>
      </c>
      <c r="Z5601" s="8" t="s">
        <v>24974</v>
      </c>
    </row>
    <row r="5602" spans="1:26" x14ac:dyDescent="0.2">
      <c r="A5602" s="8">
        <v>5601</v>
      </c>
      <c r="B5602" s="8" t="s">
        <v>24975</v>
      </c>
      <c r="C5602" s="8" t="s">
        <v>24975</v>
      </c>
      <c r="F5602" s="47"/>
      <c r="G5602" s="8">
        <v>18</v>
      </c>
      <c r="H5602" s="8" t="s">
        <v>21</v>
      </c>
      <c r="I5602" s="8" t="s">
        <v>22</v>
      </c>
      <c r="J5602" s="8" t="s">
        <v>22</v>
      </c>
      <c r="K5602" s="8" t="s">
        <v>476</v>
      </c>
      <c r="L5602" s="8" t="s">
        <v>22476</v>
      </c>
      <c r="M5602" s="8" t="s">
        <v>22477</v>
      </c>
      <c r="N5602" s="8" t="s">
        <v>24976</v>
      </c>
      <c r="O5602" s="8">
        <f>14+22/60+53.2/3600</f>
        <v>14.381444444444444</v>
      </c>
      <c r="P5602" s="8" t="s">
        <v>24977</v>
      </c>
      <c r="Q5602" s="8">
        <f>+(40+18/60+36/3600)</f>
        <v>40.309999999999995</v>
      </c>
      <c r="R5602" s="8">
        <v>14.6</v>
      </c>
      <c r="S5602" s="8">
        <v>15.5</v>
      </c>
      <c r="T5602" s="8">
        <v>0.9</v>
      </c>
      <c r="U5602" s="8">
        <v>12.9</v>
      </c>
      <c r="V5602" s="8">
        <v>0.8</v>
      </c>
      <c r="W5602" s="8">
        <v>0.3</v>
      </c>
      <c r="X5602" s="8">
        <v>0</v>
      </c>
      <c r="Y5602" s="8" t="s">
        <v>24978</v>
      </c>
      <c r="Z5602" s="8" t="s">
        <v>24979</v>
      </c>
    </row>
    <row r="5603" spans="1:26" x14ac:dyDescent="0.2">
      <c r="A5603" s="8">
        <v>5602</v>
      </c>
      <c r="B5603" s="8" t="s">
        <v>24980</v>
      </c>
      <c r="C5603" s="8" t="s">
        <v>24980</v>
      </c>
      <c r="F5603" s="47" t="s">
        <v>57947</v>
      </c>
      <c r="G5603" s="8">
        <v>6.5</v>
      </c>
      <c r="H5603" s="8" t="s">
        <v>21</v>
      </c>
      <c r="I5603" s="8" t="s">
        <v>22</v>
      </c>
      <c r="J5603" s="8" t="s">
        <v>22</v>
      </c>
      <c r="K5603" s="8" t="s">
        <v>91</v>
      </c>
      <c r="L5603" s="8" t="s">
        <v>22476</v>
      </c>
      <c r="M5603" s="8" t="s">
        <v>22477</v>
      </c>
      <c r="N5603" s="8" t="s">
        <v>24981</v>
      </c>
      <c r="O5603" s="8">
        <f>14+22/60+18.4/3600</f>
        <v>14.371777777777778</v>
      </c>
      <c r="P5603" s="8" t="s">
        <v>24982</v>
      </c>
      <c r="Q5603" s="8">
        <f>+(50+30/60+10/3600)</f>
        <v>50.50277777777778</v>
      </c>
      <c r="R5603" s="8">
        <v>12.7</v>
      </c>
      <c r="S5603" s="8">
        <v>13.6</v>
      </c>
      <c r="T5603" s="8">
        <v>0.9</v>
      </c>
      <c r="U5603" s="8">
        <v>12.7</v>
      </c>
      <c r="V5603" s="8">
        <v>1.5</v>
      </c>
      <c r="W5603" s="8">
        <v>0.8</v>
      </c>
      <c r="X5603" s="8">
        <v>166</v>
      </c>
      <c r="Y5603" s="8" t="s">
        <v>24983</v>
      </c>
      <c r="Z5603" s="8" t="s">
        <v>24984</v>
      </c>
    </row>
    <row r="5604" spans="1:26" x14ac:dyDescent="0.2">
      <c r="A5604" s="8">
        <v>5603</v>
      </c>
      <c r="B5604" s="8" t="s">
        <v>24985</v>
      </c>
      <c r="C5604" s="8" t="s">
        <v>24985</v>
      </c>
      <c r="F5604" s="47" t="s">
        <v>57948</v>
      </c>
      <c r="G5604" s="8">
        <v>15</v>
      </c>
      <c r="H5604" s="8" t="s">
        <v>21</v>
      </c>
      <c r="I5604" s="8" t="s">
        <v>22</v>
      </c>
      <c r="J5604" s="8" t="s">
        <v>22</v>
      </c>
      <c r="K5604" s="8" t="s">
        <v>37</v>
      </c>
      <c r="L5604" s="8" t="s">
        <v>22476</v>
      </c>
      <c r="M5604" s="8" t="s">
        <v>22477</v>
      </c>
      <c r="N5604" s="8" t="s">
        <v>24986</v>
      </c>
      <c r="O5604" s="8">
        <f>14+23/60+1.6/3600</f>
        <v>14.383777777777777</v>
      </c>
      <c r="P5604" s="8" t="s">
        <v>24987</v>
      </c>
      <c r="Q5604" s="8">
        <f>+(40+22/60+40/3600)</f>
        <v>40.37777777777778</v>
      </c>
      <c r="R5604" s="8">
        <v>13</v>
      </c>
      <c r="S5604" s="8">
        <v>14</v>
      </c>
      <c r="T5604" s="8">
        <v>1</v>
      </c>
      <c r="U5604" s="8">
        <v>13</v>
      </c>
      <c r="V5604" s="8">
        <v>1.1000000000000001</v>
      </c>
      <c r="W5604" s="8">
        <v>1.1000000000000001</v>
      </c>
      <c r="Y5604" s="8" t="s">
        <v>24988</v>
      </c>
      <c r="Z5604" s="8" t="s">
        <v>24989</v>
      </c>
    </row>
    <row r="5605" spans="1:26" x14ac:dyDescent="0.2">
      <c r="A5605" s="8">
        <v>5604</v>
      </c>
      <c r="B5605" s="8" t="s">
        <v>24990</v>
      </c>
      <c r="C5605" s="8" t="s">
        <v>24990</v>
      </c>
      <c r="F5605" s="47" t="s">
        <v>57949</v>
      </c>
      <c r="G5605" s="8">
        <v>15</v>
      </c>
      <c r="H5605" s="8" t="s">
        <v>21</v>
      </c>
      <c r="I5605" s="8" t="s">
        <v>22</v>
      </c>
      <c r="J5605" s="8" t="s">
        <v>22</v>
      </c>
      <c r="K5605" s="8" t="s">
        <v>91</v>
      </c>
      <c r="L5605" s="8" t="s">
        <v>17287</v>
      </c>
      <c r="M5605" s="8" t="s">
        <v>17288</v>
      </c>
      <c r="N5605" s="8" t="s">
        <v>24991</v>
      </c>
      <c r="O5605" s="8">
        <f>14+24/60+42.8/3600</f>
        <v>14.411888888888889</v>
      </c>
      <c r="P5605" s="8" t="s">
        <v>24992</v>
      </c>
      <c r="Q5605" s="8">
        <f>-(3+12/60+43/3600)</f>
        <v>-3.2119444444444447</v>
      </c>
      <c r="R5605" s="8">
        <v>12.8</v>
      </c>
      <c r="S5605" s="8">
        <v>13.5</v>
      </c>
      <c r="T5605" s="8">
        <v>0.7</v>
      </c>
      <c r="U5605" s="8">
        <v>13.3</v>
      </c>
      <c r="V5605" s="8">
        <v>1.9</v>
      </c>
      <c r="W5605" s="8">
        <v>1</v>
      </c>
      <c r="X5605" s="8">
        <v>15</v>
      </c>
      <c r="Y5605" s="8" t="s">
        <v>24993</v>
      </c>
      <c r="Z5605" s="8" t="s">
        <v>24994</v>
      </c>
    </row>
    <row r="5606" spans="1:26" x14ac:dyDescent="0.2">
      <c r="A5606" s="8">
        <v>5605</v>
      </c>
      <c r="B5606" s="8" t="s">
        <v>24995</v>
      </c>
      <c r="C5606" s="8" t="s">
        <v>24995</v>
      </c>
      <c r="F5606" s="47" t="s">
        <v>57950</v>
      </c>
      <c r="G5606" s="8">
        <v>6.5</v>
      </c>
      <c r="H5606" s="8" t="s">
        <v>21</v>
      </c>
      <c r="I5606" s="8" t="s">
        <v>22</v>
      </c>
      <c r="J5606" s="8" t="s">
        <v>22</v>
      </c>
      <c r="K5606" s="8" t="s">
        <v>64</v>
      </c>
      <c r="L5606" s="8" t="s">
        <v>24948</v>
      </c>
      <c r="M5606" s="8" t="s">
        <v>24949</v>
      </c>
      <c r="N5606" s="8" t="s">
        <v>24996</v>
      </c>
      <c r="O5606" s="8">
        <f>14+25/60+7.5/3600</f>
        <v>14.418749999999999</v>
      </c>
      <c r="P5606" s="8" t="s">
        <v>24997</v>
      </c>
      <c r="Q5606" s="8">
        <f>-(13+9/60+49/3600)</f>
        <v>-13.163611111111111</v>
      </c>
      <c r="R5606" s="8">
        <v>12.3</v>
      </c>
      <c r="S5606" s="8">
        <v>12.9</v>
      </c>
      <c r="T5606" s="8">
        <v>0.6</v>
      </c>
      <c r="U5606" s="8">
        <v>13</v>
      </c>
      <c r="V5606" s="8">
        <v>1.5</v>
      </c>
      <c r="W5606" s="8">
        <v>1.3</v>
      </c>
      <c r="X5606" s="8">
        <v>85</v>
      </c>
      <c r="Y5606" s="8" t="s">
        <v>18979</v>
      </c>
      <c r="Z5606" s="8" t="s">
        <v>18980</v>
      </c>
    </row>
    <row r="5607" spans="1:26" x14ac:dyDescent="0.2">
      <c r="A5607" s="8">
        <v>5606</v>
      </c>
      <c r="B5607" s="8" t="s">
        <v>24998</v>
      </c>
      <c r="C5607" s="8" t="s">
        <v>24998</v>
      </c>
      <c r="F5607" s="47"/>
      <c r="G5607" s="8">
        <v>14</v>
      </c>
      <c r="H5607" s="8" t="s">
        <v>21</v>
      </c>
      <c r="I5607" s="8" t="s">
        <v>557</v>
      </c>
      <c r="J5607" s="8" t="s">
        <v>557</v>
      </c>
      <c r="K5607" s="8" t="s">
        <v>13694</v>
      </c>
      <c r="L5607" s="8" t="s">
        <v>16195</v>
      </c>
      <c r="M5607" s="8" t="s">
        <v>16196</v>
      </c>
      <c r="N5607" s="8" t="s">
        <v>24999</v>
      </c>
      <c r="O5607" s="8">
        <f>14+27/60+47.2/3600</f>
        <v>14.463111111111111</v>
      </c>
      <c r="P5607" s="8" t="s">
        <v>25000</v>
      </c>
      <c r="Q5607" s="8">
        <f>-(59+37/60+56/3600)</f>
        <v>-59.632222222222225</v>
      </c>
      <c r="R5607" s="8">
        <v>7.7</v>
      </c>
      <c r="S5607" s="8">
        <v>99</v>
      </c>
      <c r="T5607" s="8">
        <v>99</v>
      </c>
      <c r="U5607" s="8">
        <v>99</v>
      </c>
      <c r="V5607" s="8">
        <v>3</v>
      </c>
      <c r="Y5607" s="8" t="s">
        <v>25001</v>
      </c>
      <c r="Z5607" s="8" t="s">
        <v>25002</v>
      </c>
    </row>
    <row r="5608" spans="1:26" x14ac:dyDescent="0.2">
      <c r="A5608" s="8">
        <v>5607</v>
      </c>
      <c r="B5608" s="8" t="s">
        <v>25003</v>
      </c>
      <c r="C5608" s="8" t="s">
        <v>25003</v>
      </c>
      <c r="F5608" s="47" t="s">
        <v>57951</v>
      </c>
      <c r="G5608" s="8">
        <v>15</v>
      </c>
      <c r="H5608" s="8" t="s">
        <v>21</v>
      </c>
      <c r="I5608" s="8" t="s">
        <v>22</v>
      </c>
      <c r="J5608" s="8" t="s">
        <v>22</v>
      </c>
      <c r="K5608" s="8" t="s">
        <v>124</v>
      </c>
      <c r="L5608" s="8" t="s">
        <v>14586</v>
      </c>
      <c r="M5608" s="8" t="s">
        <v>14587</v>
      </c>
      <c r="N5608" s="8" t="s">
        <v>25004</v>
      </c>
      <c r="O5608" s="8">
        <f>14+19/60+26.7/3600</f>
        <v>14.324083333333332</v>
      </c>
      <c r="P5608" s="8" t="s">
        <v>25005</v>
      </c>
      <c r="Q5608" s="8">
        <f>+(71+35/60+17/3600)</f>
        <v>71.588055555555556</v>
      </c>
      <c r="R5608" s="8">
        <v>13.4</v>
      </c>
      <c r="S5608" s="8">
        <v>13.9</v>
      </c>
      <c r="T5608" s="8">
        <v>0.5</v>
      </c>
      <c r="U5608" s="8">
        <v>12.9</v>
      </c>
      <c r="V5608" s="8">
        <v>0.9</v>
      </c>
      <c r="W5608" s="8">
        <v>0.8</v>
      </c>
      <c r="X5608" s="8">
        <v>66</v>
      </c>
      <c r="Y5608" s="8" t="s">
        <v>25006</v>
      </c>
      <c r="Z5608" s="8" t="s">
        <v>25007</v>
      </c>
    </row>
    <row r="5609" spans="1:26" x14ac:dyDescent="0.2">
      <c r="A5609" s="8">
        <v>5608</v>
      </c>
      <c r="B5609" s="8" t="s">
        <v>25008</v>
      </c>
      <c r="C5609" s="8" t="s">
        <v>25008</v>
      </c>
      <c r="F5609" s="47" t="s">
        <v>57952</v>
      </c>
      <c r="G5609" s="8">
        <v>15</v>
      </c>
      <c r="H5609" s="8" t="s">
        <v>21</v>
      </c>
      <c r="I5609" s="8" t="s">
        <v>22</v>
      </c>
      <c r="J5609" s="8" t="s">
        <v>22</v>
      </c>
      <c r="K5609" s="8" t="s">
        <v>3616</v>
      </c>
      <c r="L5609" s="8" t="s">
        <v>22476</v>
      </c>
      <c r="M5609" s="8" t="s">
        <v>22477</v>
      </c>
      <c r="N5609" s="8" t="s">
        <v>25009</v>
      </c>
      <c r="O5609" s="8">
        <f>14+23/60+17.6/3600</f>
        <v>14.388222222222222</v>
      </c>
      <c r="P5609" s="8" t="s">
        <v>25010</v>
      </c>
      <c r="Q5609" s="8">
        <f>+(41+46/60+32/3600)</f>
        <v>41.775555555555556</v>
      </c>
      <c r="R5609" s="8">
        <v>13.3</v>
      </c>
      <c r="S5609" s="8">
        <v>13.9</v>
      </c>
      <c r="T5609" s="8">
        <v>0.6</v>
      </c>
      <c r="U5609" s="8">
        <v>14.2</v>
      </c>
      <c r="V5609" s="8">
        <v>2.2000000000000002</v>
      </c>
      <c r="W5609" s="8">
        <v>1.2</v>
      </c>
      <c r="X5609" s="8">
        <v>95</v>
      </c>
      <c r="Y5609" s="8" t="s">
        <v>25011</v>
      </c>
      <c r="Z5609" s="8" t="s">
        <v>25012</v>
      </c>
    </row>
    <row r="5610" spans="1:26" x14ac:dyDescent="0.2">
      <c r="A5610" s="8">
        <v>5609</v>
      </c>
      <c r="B5610" s="8" t="s">
        <v>25013</v>
      </c>
      <c r="C5610" s="8" t="s">
        <v>25013</v>
      </c>
      <c r="F5610" s="47"/>
      <c r="G5610" s="8">
        <v>18</v>
      </c>
      <c r="H5610" s="8" t="s">
        <v>21</v>
      </c>
      <c r="I5610" s="8" t="s">
        <v>22</v>
      </c>
      <c r="J5610" s="8" t="s">
        <v>22</v>
      </c>
      <c r="K5610" s="8" t="s">
        <v>449</v>
      </c>
      <c r="L5610" s="8" t="s">
        <v>22476</v>
      </c>
      <c r="M5610" s="8" t="s">
        <v>22477</v>
      </c>
      <c r="N5610" s="8" t="s">
        <v>25014</v>
      </c>
      <c r="O5610" s="8">
        <f>14+23/60+48.3/3600</f>
        <v>14.396749999999999</v>
      </c>
      <c r="P5610" s="8" t="s">
        <v>25015</v>
      </c>
      <c r="Q5610" s="8">
        <f>+(34+50/60+34/3600)</f>
        <v>34.842777777777783</v>
      </c>
      <c r="R5610" s="8">
        <v>15.7</v>
      </c>
      <c r="S5610" s="8">
        <v>16.5</v>
      </c>
      <c r="T5610" s="8">
        <v>0.8</v>
      </c>
      <c r="U5610" s="8">
        <v>13.2</v>
      </c>
      <c r="V5610" s="8">
        <v>0.4</v>
      </c>
      <c r="W5610" s="8">
        <v>0.3</v>
      </c>
      <c r="X5610" s="8">
        <v>99</v>
      </c>
      <c r="Y5610" s="8" t="s">
        <v>2908</v>
      </c>
      <c r="Z5610" s="8" t="s">
        <v>2909</v>
      </c>
    </row>
    <row r="5611" spans="1:26" x14ac:dyDescent="0.2">
      <c r="A5611" s="8">
        <v>5610</v>
      </c>
      <c r="B5611" s="8" t="s">
        <v>25016</v>
      </c>
      <c r="C5611" s="8" t="s">
        <v>25016</v>
      </c>
      <c r="F5611" s="47" t="s">
        <v>57953</v>
      </c>
      <c r="G5611" s="8">
        <v>15</v>
      </c>
      <c r="H5611" s="8" t="s">
        <v>21</v>
      </c>
      <c r="I5611" s="8" t="s">
        <v>22</v>
      </c>
      <c r="J5611" s="8" t="s">
        <v>22</v>
      </c>
      <c r="K5611" s="8" t="s">
        <v>406</v>
      </c>
      <c r="L5611" s="8" t="s">
        <v>22476</v>
      </c>
      <c r="M5611" s="8" t="s">
        <v>22477</v>
      </c>
      <c r="N5611" s="8" t="s">
        <v>25017</v>
      </c>
      <c r="O5611" s="8">
        <f>14+24/60+23/3600</f>
        <v>14.406388888888889</v>
      </c>
      <c r="P5611" s="8" t="s">
        <v>25018</v>
      </c>
      <c r="Q5611" s="8">
        <f>+(24+36/60+52/3600)</f>
        <v>24.614444444444445</v>
      </c>
      <c r="R5611" s="8">
        <v>13.2</v>
      </c>
      <c r="S5611" s="8">
        <v>14</v>
      </c>
      <c r="T5611" s="8">
        <v>0.8</v>
      </c>
      <c r="U5611" s="8">
        <v>13.4</v>
      </c>
      <c r="V5611" s="8">
        <v>2</v>
      </c>
      <c r="W5611" s="8">
        <v>0.7</v>
      </c>
      <c r="X5611" s="8">
        <v>108</v>
      </c>
      <c r="Y5611" s="8" t="s">
        <v>25019</v>
      </c>
      <c r="Z5611" s="8" t="s">
        <v>25020</v>
      </c>
    </row>
    <row r="5612" spans="1:26" x14ac:dyDescent="0.2">
      <c r="A5612" s="8">
        <v>5611</v>
      </c>
      <c r="B5612" s="8" t="s">
        <v>25021</v>
      </c>
      <c r="C5612" s="8" t="s">
        <v>25021</v>
      </c>
      <c r="F5612" s="47"/>
      <c r="G5612" s="8">
        <v>16</v>
      </c>
      <c r="H5612" s="8" t="s">
        <v>21</v>
      </c>
      <c r="I5612" s="8" t="s">
        <v>22</v>
      </c>
      <c r="J5612" s="8" t="s">
        <v>22</v>
      </c>
      <c r="K5612" s="8" t="s">
        <v>37</v>
      </c>
      <c r="L5612" s="8" t="s">
        <v>22476</v>
      </c>
      <c r="M5612" s="8" t="s">
        <v>22477</v>
      </c>
      <c r="N5612" s="8" t="s">
        <v>25022</v>
      </c>
      <c r="O5612" s="8">
        <f>14+24/60+4.8/3600</f>
        <v>14.401333333333334</v>
      </c>
      <c r="P5612" s="8" t="s">
        <v>25023</v>
      </c>
      <c r="Q5612" s="8">
        <f>+(33+2/60+52/3600)</f>
        <v>33.047777777777775</v>
      </c>
      <c r="R5612" s="8">
        <v>12.6</v>
      </c>
      <c r="S5612" s="8">
        <v>13.6</v>
      </c>
      <c r="T5612" s="8">
        <v>1</v>
      </c>
      <c r="U5612" s="8">
        <v>12.2</v>
      </c>
      <c r="V5612" s="8">
        <v>1.3</v>
      </c>
      <c r="W5612" s="8">
        <v>0.6</v>
      </c>
      <c r="X5612" s="8">
        <v>63</v>
      </c>
      <c r="Y5612" s="8" t="s">
        <v>2641</v>
      </c>
      <c r="Z5612" s="8" t="s">
        <v>2642</v>
      </c>
    </row>
    <row r="5613" spans="1:26" x14ac:dyDescent="0.2">
      <c r="A5613" s="8">
        <v>5612</v>
      </c>
      <c r="B5613" s="8" t="s">
        <v>25024</v>
      </c>
      <c r="C5613" s="8" t="s">
        <v>25024</v>
      </c>
      <c r="F5613" s="47"/>
      <c r="G5613" s="8">
        <v>13</v>
      </c>
      <c r="H5613" s="8" t="s">
        <v>21</v>
      </c>
      <c r="I5613" s="8" t="s">
        <v>22</v>
      </c>
      <c r="J5613" s="8" t="s">
        <v>22</v>
      </c>
      <c r="K5613" s="8" t="s">
        <v>31</v>
      </c>
      <c r="L5613" s="8" t="s">
        <v>25025</v>
      </c>
      <c r="M5613" s="8" t="s">
        <v>25026</v>
      </c>
      <c r="N5613" s="8" t="s">
        <v>25027</v>
      </c>
      <c r="O5613" s="8">
        <f>14+34/60+1.5/3600</f>
        <v>14.567083333333333</v>
      </c>
      <c r="P5613" s="8" t="s">
        <v>25028</v>
      </c>
      <c r="Q5613" s="8">
        <f>-(78+23/60+16/3600)</f>
        <v>-78.387777777777785</v>
      </c>
      <c r="R5613" s="8">
        <v>12.1</v>
      </c>
      <c r="S5613" s="8">
        <v>13</v>
      </c>
      <c r="T5613" s="8">
        <v>0.9</v>
      </c>
      <c r="U5613" s="8">
        <v>12.6</v>
      </c>
      <c r="V5613" s="8">
        <v>1.9</v>
      </c>
      <c r="W5613" s="8">
        <v>1.1000000000000001</v>
      </c>
      <c r="X5613" s="8">
        <v>63</v>
      </c>
      <c r="Y5613" s="8" t="s">
        <v>25029</v>
      </c>
      <c r="Z5613" s="8" t="s">
        <v>25030</v>
      </c>
    </row>
    <row r="5614" spans="1:26" x14ac:dyDescent="0.2">
      <c r="A5614" s="8">
        <v>5613</v>
      </c>
      <c r="B5614" s="8" t="s">
        <v>25031</v>
      </c>
      <c r="C5614" s="8" t="s">
        <v>25031</v>
      </c>
      <c r="F5614" s="47"/>
      <c r="G5614" s="8">
        <v>18</v>
      </c>
      <c r="H5614" s="8" t="s">
        <v>21</v>
      </c>
      <c r="I5614" s="8" t="s">
        <v>22</v>
      </c>
      <c r="J5614" s="8" t="s">
        <v>22</v>
      </c>
      <c r="K5614" s="8" t="s">
        <v>435</v>
      </c>
      <c r="L5614" s="8" t="s">
        <v>22476</v>
      </c>
      <c r="M5614" s="8" t="s">
        <v>22477</v>
      </c>
      <c r="N5614" s="8" t="s">
        <v>25032</v>
      </c>
      <c r="O5614" s="8">
        <f>14+24/60+5.9/3600</f>
        <v>14.40163888888889</v>
      </c>
      <c r="P5614" s="8" t="s">
        <v>25033</v>
      </c>
      <c r="Q5614" s="8">
        <f>+(34+53/60+33/3600)</f>
        <v>34.892499999999998</v>
      </c>
      <c r="R5614" s="8">
        <v>14.3</v>
      </c>
      <c r="S5614" s="8">
        <v>15.2</v>
      </c>
      <c r="T5614" s="8">
        <v>0.9</v>
      </c>
      <c r="U5614" s="8">
        <v>12.4</v>
      </c>
      <c r="V5614" s="8">
        <v>0.5</v>
      </c>
      <c r="W5614" s="8">
        <v>0.4</v>
      </c>
      <c r="X5614" s="8">
        <v>18</v>
      </c>
      <c r="Y5614" s="8" t="s">
        <v>25034</v>
      </c>
      <c r="Z5614" s="8" t="s">
        <v>25035</v>
      </c>
    </row>
    <row r="5615" spans="1:26" x14ac:dyDescent="0.2">
      <c r="A5615" s="8">
        <v>5614</v>
      </c>
      <c r="B5615" s="8" t="s">
        <v>25036</v>
      </c>
      <c r="C5615" s="8" t="s">
        <v>25036</v>
      </c>
      <c r="F5615" s="47" t="s">
        <v>57954</v>
      </c>
      <c r="G5615" s="8">
        <v>11</v>
      </c>
      <c r="H5615" s="8" t="s">
        <v>21</v>
      </c>
      <c r="I5615" s="8" t="s">
        <v>22</v>
      </c>
      <c r="J5615" s="8" t="s">
        <v>22</v>
      </c>
      <c r="K5615" s="8" t="s">
        <v>31</v>
      </c>
      <c r="L5615" s="8" t="s">
        <v>22476</v>
      </c>
      <c r="M5615" s="8" t="s">
        <v>22477</v>
      </c>
      <c r="N5615" s="8" t="s">
        <v>25037</v>
      </c>
      <c r="O5615" s="8">
        <f>14+24/60+7.3/3600</f>
        <v>14.402027777777779</v>
      </c>
      <c r="P5615" s="8" t="s">
        <v>25038</v>
      </c>
      <c r="Q5615" s="8">
        <f>+(34+51/60+33/3600)</f>
        <v>34.859166666666667</v>
      </c>
      <c r="R5615" s="8">
        <v>11.7</v>
      </c>
      <c r="S5615" s="8">
        <v>12.5</v>
      </c>
      <c r="T5615" s="8">
        <v>0.8</v>
      </c>
      <c r="U5615" s="8">
        <v>13.3</v>
      </c>
      <c r="V5615" s="8">
        <v>2.4</v>
      </c>
      <c r="W5615" s="8">
        <v>2</v>
      </c>
      <c r="X5615" s="8">
        <v>130</v>
      </c>
      <c r="Y5615" s="8" t="s">
        <v>25034</v>
      </c>
      <c r="Z5615" s="8" t="s">
        <v>25039</v>
      </c>
    </row>
    <row r="5616" spans="1:26" x14ac:dyDescent="0.2">
      <c r="A5616" s="8">
        <v>5615</v>
      </c>
      <c r="B5616" s="8" t="s">
        <v>25040</v>
      </c>
      <c r="C5616" s="8" t="s">
        <v>25040</v>
      </c>
      <c r="F5616" s="47"/>
      <c r="G5616" s="8">
        <v>18</v>
      </c>
      <c r="H5616" s="8" t="s">
        <v>21</v>
      </c>
      <c r="I5616" s="8" t="s">
        <v>22</v>
      </c>
      <c r="J5616" s="8" t="s">
        <v>22</v>
      </c>
      <c r="K5616" s="8" t="s">
        <v>476</v>
      </c>
      <c r="L5616" s="8" t="s">
        <v>22476</v>
      </c>
      <c r="M5616" s="8" t="s">
        <v>22477</v>
      </c>
      <c r="N5616" s="8" t="s">
        <v>25041</v>
      </c>
      <c r="O5616" s="8">
        <f>14+24/60+6.4/3600</f>
        <v>14.401777777777777</v>
      </c>
      <c r="P5616" s="8" t="s">
        <v>25042</v>
      </c>
      <c r="Q5616" s="8">
        <f>+(34+51/60+55/3600)</f>
        <v>34.865277777777777</v>
      </c>
      <c r="R5616" s="8">
        <v>14.7</v>
      </c>
      <c r="S5616" s="8">
        <v>15.5</v>
      </c>
      <c r="T5616" s="8">
        <v>0.8</v>
      </c>
      <c r="U5616" s="8">
        <v>12.6</v>
      </c>
      <c r="V5616" s="8">
        <v>0.4</v>
      </c>
      <c r="W5616" s="8">
        <v>0.4</v>
      </c>
      <c r="Y5616" s="8" t="s">
        <v>25043</v>
      </c>
      <c r="Z5616" s="8" t="s">
        <v>25044</v>
      </c>
    </row>
    <row r="5617" spans="1:26" x14ac:dyDescent="0.2">
      <c r="A5617" s="8">
        <v>5616</v>
      </c>
      <c r="B5617" s="8" t="s">
        <v>25045</v>
      </c>
      <c r="C5617" s="8" t="s">
        <v>25045</v>
      </c>
      <c r="F5617" s="47" t="s">
        <v>57955</v>
      </c>
      <c r="G5617" s="8">
        <v>15</v>
      </c>
      <c r="H5617" s="8" t="s">
        <v>21</v>
      </c>
      <c r="I5617" s="8" t="s">
        <v>22</v>
      </c>
      <c r="J5617" s="8" t="s">
        <v>22</v>
      </c>
      <c r="K5617" s="8" t="s">
        <v>85</v>
      </c>
      <c r="L5617" s="8" t="s">
        <v>22476</v>
      </c>
      <c r="M5617" s="8" t="s">
        <v>22477</v>
      </c>
      <c r="N5617" s="8" t="s">
        <v>25046</v>
      </c>
      <c r="O5617" s="8">
        <f>14+24/60+20.6/3600</f>
        <v>14.405722222222222</v>
      </c>
      <c r="P5617" s="8" t="s">
        <v>25047</v>
      </c>
      <c r="Q5617" s="8">
        <f>+(36+27/60+41/3600)</f>
        <v>36.461388888888891</v>
      </c>
      <c r="R5617" s="8">
        <v>13.8</v>
      </c>
      <c r="S5617" s="8">
        <v>14.6</v>
      </c>
      <c r="T5617" s="8">
        <v>0.8</v>
      </c>
      <c r="U5617" s="8">
        <v>13.5</v>
      </c>
      <c r="V5617" s="8">
        <v>2.1</v>
      </c>
      <c r="W5617" s="8">
        <v>0.4</v>
      </c>
      <c r="X5617" s="8">
        <v>157</v>
      </c>
      <c r="Y5617" s="8" t="s">
        <v>25048</v>
      </c>
      <c r="Z5617" s="8" t="s">
        <v>25049</v>
      </c>
    </row>
    <row r="5618" spans="1:26" x14ac:dyDescent="0.2">
      <c r="A5618" s="8">
        <v>5617</v>
      </c>
      <c r="B5618" s="8" t="s">
        <v>25050</v>
      </c>
      <c r="C5618" s="8" t="s">
        <v>25050</v>
      </c>
      <c r="F5618" s="47"/>
      <c r="G5618" s="8">
        <v>3</v>
      </c>
      <c r="H5618" s="8" t="s">
        <v>25051</v>
      </c>
      <c r="I5618" s="8" t="s">
        <v>557</v>
      </c>
      <c r="J5618" s="8" t="s">
        <v>557</v>
      </c>
      <c r="K5618" s="8" t="s">
        <v>2158</v>
      </c>
      <c r="L5618" s="8" t="s">
        <v>16195</v>
      </c>
      <c r="M5618" s="8" t="s">
        <v>16196</v>
      </c>
      <c r="N5618" s="8" t="s">
        <v>25052</v>
      </c>
      <c r="O5618" s="8">
        <f>14+29/60+44/3600</f>
        <v>14.495555555555555</v>
      </c>
      <c r="P5618" s="8" t="s">
        <v>25053</v>
      </c>
      <c r="Q5618" s="8">
        <f>-(60+42/60+39/3600)</f>
        <v>-60.710833333333333</v>
      </c>
      <c r="R5618" s="8">
        <v>6.3</v>
      </c>
      <c r="S5618" s="8">
        <v>99</v>
      </c>
      <c r="T5618" s="8">
        <v>99</v>
      </c>
      <c r="U5618" s="8">
        <v>99</v>
      </c>
      <c r="V5618" s="8">
        <v>10</v>
      </c>
      <c r="Y5618" s="8" t="s">
        <v>25054</v>
      </c>
      <c r="Z5618" s="8" t="s">
        <v>25055</v>
      </c>
    </row>
    <row r="5619" spans="1:26" x14ac:dyDescent="0.2">
      <c r="A5619" s="8">
        <v>5618</v>
      </c>
      <c r="B5619" s="8" t="s">
        <v>25056</v>
      </c>
      <c r="C5619" s="8" t="s">
        <v>25056</v>
      </c>
      <c r="F5619" s="47" t="s">
        <v>57956</v>
      </c>
      <c r="G5619" s="8">
        <v>15</v>
      </c>
      <c r="H5619" s="8" t="s">
        <v>21</v>
      </c>
      <c r="I5619" s="8" t="s">
        <v>22</v>
      </c>
      <c r="J5619" s="8" t="s">
        <v>22</v>
      </c>
      <c r="K5619" s="8" t="s">
        <v>64</v>
      </c>
      <c r="L5619" s="8" t="s">
        <v>17287</v>
      </c>
      <c r="M5619" s="8" t="s">
        <v>17288</v>
      </c>
      <c r="N5619" s="8" t="s">
        <v>25057</v>
      </c>
      <c r="O5619" s="8">
        <f>14+27/60+11.8/3600</f>
        <v>14.453277777777776</v>
      </c>
      <c r="P5619" s="8" t="s">
        <v>25058</v>
      </c>
      <c r="Q5619" s="8">
        <f>-(2+15/60+46/3600)</f>
        <v>-2.262777777777778</v>
      </c>
      <c r="R5619" s="8">
        <v>13.4</v>
      </c>
      <c r="S5619" s="8">
        <v>14.1</v>
      </c>
      <c r="T5619" s="8">
        <v>0.7</v>
      </c>
      <c r="U5619" s="8">
        <v>13.9</v>
      </c>
      <c r="V5619" s="8">
        <v>1.6</v>
      </c>
      <c r="W5619" s="8">
        <v>1.2</v>
      </c>
      <c r="X5619" s="8">
        <v>10</v>
      </c>
      <c r="Y5619" s="8" t="s">
        <v>745</v>
      </c>
      <c r="Z5619" s="8" t="s">
        <v>746</v>
      </c>
    </row>
    <row r="5620" spans="1:26" x14ac:dyDescent="0.2">
      <c r="A5620" s="8">
        <v>5619</v>
      </c>
      <c r="B5620" s="8" t="s">
        <v>25059</v>
      </c>
      <c r="C5620" s="8" t="s">
        <v>25059</v>
      </c>
      <c r="F5620" s="47"/>
      <c r="G5620" s="8">
        <v>16</v>
      </c>
      <c r="H5620" s="8" t="s">
        <v>21</v>
      </c>
      <c r="I5620" s="8" t="s">
        <v>22</v>
      </c>
      <c r="J5620" s="8" t="s">
        <v>22</v>
      </c>
      <c r="K5620" s="8" t="s">
        <v>23</v>
      </c>
      <c r="L5620" s="8" t="s">
        <v>17287</v>
      </c>
      <c r="M5620" s="8" t="s">
        <v>17288</v>
      </c>
      <c r="N5620" s="8" t="s">
        <v>25060</v>
      </c>
      <c r="O5620" s="8">
        <f>14+27/60+18.2/3600</f>
        <v>14.455055555555555</v>
      </c>
      <c r="P5620" s="8" t="s">
        <v>25061</v>
      </c>
      <c r="Q5620" s="8">
        <f>+(4+48/60+11/3600)</f>
        <v>4.803055555555555</v>
      </c>
      <c r="R5620" s="8">
        <v>12.6</v>
      </c>
      <c r="S5620" s="8">
        <v>13.4</v>
      </c>
      <c r="T5620" s="8">
        <v>0.8</v>
      </c>
      <c r="U5620" s="8">
        <v>13.5</v>
      </c>
      <c r="V5620" s="8">
        <v>2.2000000000000002</v>
      </c>
      <c r="W5620" s="8">
        <v>1.2</v>
      </c>
      <c r="X5620" s="8">
        <v>8</v>
      </c>
      <c r="Y5620" s="8" t="s">
        <v>15919</v>
      </c>
      <c r="Z5620" s="8" t="s">
        <v>15920</v>
      </c>
    </row>
    <row r="5621" spans="1:26" x14ac:dyDescent="0.2">
      <c r="A5621" s="8">
        <v>5620</v>
      </c>
      <c r="B5621" s="8" t="s">
        <v>25062</v>
      </c>
      <c r="C5621" s="8" t="s">
        <v>25062</v>
      </c>
      <c r="F5621" s="47" t="s">
        <v>57957</v>
      </c>
      <c r="G5621" s="8">
        <v>15</v>
      </c>
      <c r="H5621" s="8" t="s">
        <v>21</v>
      </c>
      <c r="I5621" s="8" t="s">
        <v>22</v>
      </c>
      <c r="J5621" s="8" t="s">
        <v>57</v>
      </c>
      <c r="K5621" s="8" t="s">
        <v>124</v>
      </c>
      <c r="L5621" s="8" t="s">
        <v>14586</v>
      </c>
      <c r="M5621" s="8" t="s">
        <v>14587</v>
      </c>
      <c r="N5621" s="8" t="s">
        <v>25004</v>
      </c>
      <c r="O5621" s="8">
        <f>14+19/60+26.7/3600</f>
        <v>14.324083333333332</v>
      </c>
      <c r="P5621" s="8" t="s">
        <v>25005</v>
      </c>
      <c r="Q5621" s="8">
        <f>+(71+35/60+17/3600)</f>
        <v>71.588055555555556</v>
      </c>
      <c r="R5621" s="8">
        <v>13.4</v>
      </c>
      <c r="S5621" s="8">
        <v>13.9</v>
      </c>
      <c r="T5621" s="8">
        <v>0.5</v>
      </c>
      <c r="U5621" s="8">
        <v>12.9</v>
      </c>
      <c r="V5621" s="8">
        <v>0.9</v>
      </c>
      <c r="W5621" s="8">
        <v>0.8</v>
      </c>
      <c r="X5621" s="8">
        <v>66</v>
      </c>
      <c r="Y5621" s="8" t="s">
        <v>25006</v>
      </c>
      <c r="Z5621" s="8" t="s">
        <v>267</v>
      </c>
    </row>
    <row r="5622" spans="1:26" x14ac:dyDescent="0.2">
      <c r="A5622" s="8">
        <v>5621</v>
      </c>
      <c r="B5622" s="8" t="s">
        <v>25063</v>
      </c>
      <c r="C5622" s="8" t="s">
        <v>25063</v>
      </c>
      <c r="F5622" s="47" t="s">
        <v>57958</v>
      </c>
      <c r="G5622" s="8">
        <v>15</v>
      </c>
      <c r="H5622" s="8" t="s">
        <v>21</v>
      </c>
      <c r="I5622" s="8" t="s">
        <v>72</v>
      </c>
      <c r="J5622" s="8" t="s">
        <v>72</v>
      </c>
      <c r="K5622" s="8" t="s">
        <v>1802</v>
      </c>
      <c r="L5622" s="8" t="s">
        <v>22476</v>
      </c>
      <c r="M5622" s="8" t="s">
        <v>22477</v>
      </c>
      <c r="N5622" s="8" t="s">
        <v>25064</v>
      </c>
      <c r="O5622" s="8">
        <f>14+27/60+50/3600</f>
        <v>14.463888888888889</v>
      </c>
      <c r="P5622" s="8" t="s">
        <v>25065</v>
      </c>
      <c r="Q5622" s="8">
        <f>+(8+14/60+32/3600)</f>
        <v>8.242222222222221</v>
      </c>
      <c r="R5622" s="8">
        <v>99</v>
      </c>
      <c r="S5622" s="8">
        <v>99</v>
      </c>
      <c r="T5622" s="8">
        <v>99</v>
      </c>
      <c r="U5622" s="8">
        <v>99</v>
      </c>
      <c r="Y5622" s="8" t="s">
        <v>25066</v>
      </c>
      <c r="Z5622" s="8" t="s">
        <v>25067</v>
      </c>
    </row>
    <row r="5623" spans="1:26" x14ac:dyDescent="0.2">
      <c r="A5623" s="8">
        <v>5622</v>
      </c>
      <c r="B5623" s="8" t="s">
        <v>25068</v>
      </c>
      <c r="C5623" s="8" t="s">
        <v>25068</v>
      </c>
      <c r="F5623" s="47" t="s">
        <v>57959</v>
      </c>
      <c r="G5623" s="8">
        <v>15</v>
      </c>
      <c r="H5623" s="8" t="s">
        <v>21</v>
      </c>
      <c r="I5623" s="8" t="s">
        <v>22</v>
      </c>
      <c r="J5623" s="8" t="s">
        <v>22</v>
      </c>
      <c r="K5623" s="8" t="s">
        <v>23</v>
      </c>
      <c r="L5623" s="8" t="s">
        <v>22476</v>
      </c>
      <c r="M5623" s="8" t="s">
        <v>22477</v>
      </c>
      <c r="N5623" s="8" t="s">
        <v>25069</v>
      </c>
      <c r="O5623" s="8">
        <f>14+26/60+12/3600</f>
        <v>14.436666666666667</v>
      </c>
      <c r="P5623" s="8" t="s">
        <v>25070</v>
      </c>
      <c r="Q5623" s="8">
        <f>+(48+33/60+52/3600)</f>
        <v>48.56444444444444</v>
      </c>
      <c r="R5623" s="8">
        <v>13.2</v>
      </c>
      <c r="S5623" s="8">
        <v>14</v>
      </c>
      <c r="T5623" s="8">
        <v>0.8</v>
      </c>
      <c r="U5623" s="8">
        <v>13.6</v>
      </c>
      <c r="V5623" s="8">
        <v>1.7</v>
      </c>
      <c r="W5623" s="8">
        <v>1</v>
      </c>
      <c r="X5623" s="8">
        <v>90</v>
      </c>
      <c r="Y5623" s="8" t="s">
        <v>2347</v>
      </c>
      <c r="Z5623" s="8" t="s">
        <v>2348</v>
      </c>
    </row>
    <row r="5624" spans="1:26" x14ac:dyDescent="0.2">
      <c r="A5624" s="8">
        <v>5623</v>
      </c>
      <c r="B5624" s="8" t="s">
        <v>25071</v>
      </c>
      <c r="C5624" s="8" t="s">
        <v>25071</v>
      </c>
      <c r="F5624" s="47" t="s">
        <v>57960</v>
      </c>
      <c r="G5624" s="8">
        <v>14</v>
      </c>
      <c r="H5624" s="8" t="s">
        <v>25072</v>
      </c>
      <c r="I5624" s="8" t="s">
        <v>22</v>
      </c>
      <c r="J5624" s="8" t="s">
        <v>22</v>
      </c>
      <c r="K5624" s="8" t="s">
        <v>382</v>
      </c>
      <c r="L5624" s="8" t="s">
        <v>22476</v>
      </c>
      <c r="M5624" s="8" t="s">
        <v>22477</v>
      </c>
      <c r="N5624" s="8" t="s">
        <v>25073</v>
      </c>
      <c r="O5624" s="8">
        <f>14+27/60+8.7/3600</f>
        <v>14.452416666666666</v>
      </c>
      <c r="P5624" s="8" t="s">
        <v>25074</v>
      </c>
      <c r="Q5624" s="8">
        <f>+(33+15/60+11/3600)</f>
        <v>33.253055555555555</v>
      </c>
      <c r="R5624" s="8">
        <v>12.5</v>
      </c>
      <c r="S5624" s="8">
        <v>13.5</v>
      </c>
      <c r="T5624" s="8">
        <v>1</v>
      </c>
      <c r="U5624" s="8">
        <v>13.2</v>
      </c>
      <c r="V5624" s="8">
        <v>1.6</v>
      </c>
      <c r="W5624" s="8">
        <v>1.1000000000000001</v>
      </c>
      <c r="X5624" s="8">
        <v>17</v>
      </c>
      <c r="Y5624" s="8" t="s">
        <v>25075</v>
      </c>
      <c r="Z5624" s="8" t="s">
        <v>25076</v>
      </c>
    </row>
    <row r="5625" spans="1:26" x14ac:dyDescent="0.2">
      <c r="A5625" s="8">
        <v>5624</v>
      </c>
      <c r="B5625" s="8" t="s">
        <v>25077</v>
      </c>
      <c r="C5625" s="8" t="s">
        <v>25077</v>
      </c>
      <c r="F5625" s="47"/>
      <c r="G5625" s="8">
        <v>19</v>
      </c>
      <c r="H5625" s="8" t="s">
        <v>21</v>
      </c>
      <c r="I5625" s="8" t="s">
        <v>22</v>
      </c>
      <c r="J5625" s="8" t="s">
        <v>22</v>
      </c>
      <c r="K5625" s="8" t="s">
        <v>476</v>
      </c>
      <c r="L5625" s="8" t="s">
        <v>22476</v>
      </c>
      <c r="M5625" s="8" t="s">
        <v>22477</v>
      </c>
      <c r="N5625" s="8" t="s">
        <v>25078</v>
      </c>
      <c r="O5625" s="8">
        <f>14+26/60+35.4/3600</f>
        <v>14.443166666666666</v>
      </c>
      <c r="P5625" s="8" t="s">
        <v>25079</v>
      </c>
      <c r="Q5625" s="8">
        <f>+(51+35/60+5/3600)</f>
        <v>51.584722222222226</v>
      </c>
      <c r="R5625" s="8">
        <v>13.2</v>
      </c>
      <c r="S5625" s="8">
        <v>14.1</v>
      </c>
      <c r="T5625" s="8">
        <v>0.9</v>
      </c>
      <c r="U5625" s="8">
        <v>12.9</v>
      </c>
      <c r="V5625" s="8">
        <v>1.1000000000000001</v>
      </c>
      <c r="W5625" s="8">
        <v>0.8</v>
      </c>
      <c r="X5625" s="8">
        <v>3</v>
      </c>
      <c r="Y5625" s="8" t="s">
        <v>146</v>
      </c>
      <c r="Z5625" s="8" t="s">
        <v>147</v>
      </c>
    </row>
    <row r="5626" spans="1:26" x14ac:dyDescent="0.2">
      <c r="A5626" s="8">
        <v>5625</v>
      </c>
      <c r="B5626" s="8" t="s">
        <v>25080</v>
      </c>
      <c r="C5626" s="8" t="s">
        <v>25080</v>
      </c>
      <c r="E5626" s="8">
        <v>1</v>
      </c>
      <c r="F5626" s="47"/>
      <c r="G5626" s="8">
        <v>16</v>
      </c>
      <c r="H5626" s="8" t="s">
        <v>21</v>
      </c>
      <c r="I5626" s="8" t="s">
        <v>22</v>
      </c>
      <c r="J5626" s="8" t="s">
        <v>22</v>
      </c>
      <c r="K5626" s="8" t="s">
        <v>396</v>
      </c>
      <c r="L5626" s="8" t="s">
        <v>22476</v>
      </c>
      <c r="M5626" s="8" t="s">
        <v>22477</v>
      </c>
      <c r="N5626" s="8" t="s">
        <v>25081</v>
      </c>
      <c r="O5626" s="8">
        <f>14+27/60+2.4/3600</f>
        <v>14.450666666666667</v>
      </c>
      <c r="P5626" s="8" t="s">
        <v>25082</v>
      </c>
      <c r="Q5626" s="8">
        <f>+(39+57/60+27/3600)</f>
        <v>39.957500000000003</v>
      </c>
      <c r="R5626" s="8">
        <v>13.8</v>
      </c>
      <c r="S5626" s="8">
        <v>14.6</v>
      </c>
      <c r="T5626" s="8">
        <v>0.8</v>
      </c>
      <c r="U5626" s="8">
        <v>13.4</v>
      </c>
      <c r="V5626" s="8">
        <v>1.2</v>
      </c>
      <c r="W5626" s="8">
        <v>0.8</v>
      </c>
      <c r="X5626" s="8">
        <v>78</v>
      </c>
      <c r="Y5626" s="8" t="s">
        <v>750</v>
      </c>
      <c r="Z5626" s="8" t="s">
        <v>751</v>
      </c>
    </row>
    <row r="5627" spans="1:26" x14ac:dyDescent="0.2">
      <c r="A5627" s="8">
        <v>5626</v>
      </c>
      <c r="B5627" s="8" t="s">
        <v>25083</v>
      </c>
      <c r="C5627" s="8" t="s">
        <v>25083</v>
      </c>
      <c r="F5627" s="47"/>
      <c r="G5627" s="8">
        <v>16</v>
      </c>
      <c r="H5627" s="8" t="s">
        <v>21</v>
      </c>
      <c r="I5627" s="8" t="s">
        <v>22</v>
      </c>
      <c r="J5627" s="8" t="s">
        <v>22</v>
      </c>
      <c r="K5627" s="8" t="s">
        <v>632</v>
      </c>
      <c r="L5627" s="8" t="s">
        <v>11765</v>
      </c>
      <c r="M5627" s="8" t="s">
        <v>11766</v>
      </c>
      <c r="N5627" s="8" t="s">
        <v>25084</v>
      </c>
      <c r="O5627" s="8">
        <f>14+29/60+49/3600</f>
        <v>14.496944444444443</v>
      </c>
      <c r="P5627" s="8" t="s">
        <v>25085</v>
      </c>
      <c r="Q5627" s="8">
        <f>-(29+44/60+58/3600)</f>
        <v>-29.749444444444446</v>
      </c>
      <c r="R5627" s="8">
        <v>12.9</v>
      </c>
      <c r="S5627" s="8">
        <v>13.8</v>
      </c>
      <c r="T5627" s="8">
        <v>0.9</v>
      </c>
      <c r="U5627" s="8">
        <v>12.7</v>
      </c>
      <c r="V5627" s="8">
        <v>1.2</v>
      </c>
      <c r="W5627" s="8">
        <v>1</v>
      </c>
      <c r="X5627" s="8">
        <v>127</v>
      </c>
      <c r="Y5627" s="8" t="s">
        <v>227</v>
      </c>
      <c r="Z5627" s="8" t="s">
        <v>228</v>
      </c>
    </row>
    <row r="5628" spans="1:26" x14ac:dyDescent="0.2">
      <c r="A5628" s="8">
        <v>5627</v>
      </c>
      <c r="B5628" s="8" t="s">
        <v>25086</v>
      </c>
      <c r="C5628" s="8" t="s">
        <v>25086</v>
      </c>
      <c r="F5628" s="47"/>
      <c r="G5628" s="8">
        <v>16</v>
      </c>
      <c r="H5628" s="8" t="s">
        <v>21</v>
      </c>
      <c r="I5628" s="8" t="s">
        <v>22</v>
      </c>
      <c r="J5628" s="8" t="s">
        <v>22</v>
      </c>
      <c r="K5628" s="8" t="s">
        <v>37</v>
      </c>
      <c r="L5628" s="8" t="s">
        <v>22476</v>
      </c>
      <c r="M5628" s="8" t="s">
        <v>22477</v>
      </c>
      <c r="N5628" s="8" t="s">
        <v>25087</v>
      </c>
      <c r="O5628" s="8">
        <f>14+28/60+34.2/3600</f>
        <v>14.476166666666666</v>
      </c>
      <c r="P5628" s="8" t="s">
        <v>25088</v>
      </c>
      <c r="Q5628" s="8">
        <f>+(11+22/60+42/3600)</f>
        <v>11.378333333333334</v>
      </c>
      <c r="R5628" s="8">
        <v>13.3</v>
      </c>
      <c r="S5628" s="8">
        <v>14.3</v>
      </c>
      <c r="T5628" s="8">
        <v>1</v>
      </c>
      <c r="U5628" s="8">
        <v>13.8</v>
      </c>
      <c r="V5628" s="8">
        <v>1.7</v>
      </c>
      <c r="W5628" s="8">
        <v>1</v>
      </c>
      <c r="X5628" s="8">
        <v>120</v>
      </c>
      <c r="Y5628" s="8" t="s">
        <v>25089</v>
      </c>
      <c r="Z5628" s="8" t="s">
        <v>25090</v>
      </c>
    </row>
    <row r="5629" spans="1:26" x14ac:dyDescent="0.2">
      <c r="A5629" s="8">
        <v>5628</v>
      </c>
      <c r="B5629" s="8" t="s">
        <v>25091</v>
      </c>
      <c r="C5629" s="8" t="s">
        <v>25091</v>
      </c>
      <c r="F5629" s="47"/>
      <c r="G5629" s="8">
        <v>19</v>
      </c>
      <c r="H5629" s="8" t="s">
        <v>21</v>
      </c>
      <c r="I5629" s="8" t="s">
        <v>22</v>
      </c>
      <c r="J5629" s="8" t="s">
        <v>22</v>
      </c>
      <c r="K5629" s="8" t="s">
        <v>50</v>
      </c>
      <c r="L5629" s="8" t="s">
        <v>22476</v>
      </c>
      <c r="M5629" s="8" t="s">
        <v>22477</v>
      </c>
      <c r="N5629" s="8" t="s">
        <v>25092</v>
      </c>
      <c r="O5629" s="8">
        <f>14+28/60+25.7/3600</f>
        <v>14.473805555555556</v>
      </c>
      <c r="P5629" s="8" t="s">
        <v>25093</v>
      </c>
      <c r="Q5629" s="8">
        <f>+(17+55/60+30/3600)</f>
        <v>17.925000000000001</v>
      </c>
      <c r="R5629" s="8">
        <v>13.3</v>
      </c>
      <c r="S5629" s="8">
        <v>14.3</v>
      </c>
      <c r="T5629" s="8">
        <v>1</v>
      </c>
      <c r="U5629" s="8">
        <v>13</v>
      </c>
      <c r="V5629" s="8">
        <v>1.1000000000000001</v>
      </c>
      <c r="W5629" s="8">
        <v>0.7</v>
      </c>
      <c r="X5629" s="8">
        <v>175</v>
      </c>
      <c r="Y5629" s="8" t="s">
        <v>25094</v>
      </c>
      <c r="Z5629" s="8" t="s">
        <v>25095</v>
      </c>
    </row>
    <row r="5630" spans="1:26" x14ac:dyDescent="0.2">
      <c r="A5630" s="8">
        <v>5629</v>
      </c>
      <c r="B5630" s="8" t="s">
        <v>25096</v>
      </c>
      <c r="C5630" s="8" t="s">
        <v>25096</v>
      </c>
      <c r="F5630" s="47"/>
      <c r="G5630" s="8">
        <v>14</v>
      </c>
      <c r="H5630" s="8" t="s">
        <v>25097</v>
      </c>
      <c r="I5630" s="8" t="s">
        <v>22</v>
      </c>
      <c r="J5630" s="8" t="s">
        <v>22</v>
      </c>
      <c r="K5630" s="8" t="s">
        <v>37</v>
      </c>
      <c r="L5630" s="8" t="s">
        <v>22476</v>
      </c>
      <c r="M5630" s="8" t="s">
        <v>22477</v>
      </c>
      <c r="N5630" s="8" t="s">
        <v>25098</v>
      </c>
      <c r="O5630" s="8">
        <f>14+28/60+16.1/3600</f>
        <v>14.471138888888889</v>
      </c>
      <c r="P5630" s="8" t="s">
        <v>25099</v>
      </c>
      <c r="Q5630" s="8">
        <f>+(25+50/60+57/3600)</f>
        <v>25.849166666666665</v>
      </c>
      <c r="R5630" s="8">
        <v>12.1</v>
      </c>
      <c r="S5630" s="8">
        <v>13</v>
      </c>
      <c r="T5630" s="8">
        <v>0.9</v>
      </c>
      <c r="U5630" s="8">
        <v>13.2</v>
      </c>
      <c r="V5630" s="8">
        <v>1.8</v>
      </c>
      <c r="W5630" s="8">
        <v>1.8</v>
      </c>
      <c r="Y5630" s="8" t="s">
        <v>2186</v>
      </c>
      <c r="Z5630" s="8" t="s">
        <v>2187</v>
      </c>
    </row>
    <row r="5631" spans="1:26" x14ac:dyDescent="0.2">
      <c r="A5631" s="8">
        <v>5630</v>
      </c>
      <c r="B5631" s="8" t="s">
        <v>25100</v>
      </c>
      <c r="C5631" s="8" t="s">
        <v>25100</v>
      </c>
      <c r="F5631" s="47" t="s">
        <v>57961</v>
      </c>
      <c r="G5631" s="8">
        <v>15</v>
      </c>
      <c r="H5631" s="8" t="s">
        <v>21</v>
      </c>
      <c r="I5631" s="8" t="s">
        <v>22</v>
      </c>
      <c r="J5631" s="8" t="s">
        <v>22</v>
      </c>
      <c r="K5631" s="8" t="s">
        <v>3523</v>
      </c>
      <c r="L5631" s="8" t="s">
        <v>22476</v>
      </c>
      <c r="M5631" s="8" t="s">
        <v>22477</v>
      </c>
      <c r="N5631" s="8" t="s">
        <v>25101</v>
      </c>
      <c r="O5631" s="8">
        <f>14+27/60+36.5/3600</f>
        <v>14.460138888888888</v>
      </c>
      <c r="P5631" s="8" t="s">
        <v>25102</v>
      </c>
      <c r="Q5631" s="8">
        <f>+(41+15/60+29/3600)</f>
        <v>41.258055555555558</v>
      </c>
      <c r="R5631" s="8">
        <v>13</v>
      </c>
      <c r="S5631" s="8">
        <v>13.6</v>
      </c>
      <c r="T5631" s="8">
        <v>0.6</v>
      </c>
      <c r="U5631" s="8">
        <v>13.3</v>
      </c>
      <c r="V5631" s="8">
        <v>2.2000000000000002</v>
      </c>
      <c r="W5631" s="8">
        <v>0.7</v>
      </c>
      <c r="X5631" s="8">
        <v>98</v>
      </c>
      <c r="Y5631" s="8" t="s">
        <v>25103</v>
      </c>
      <c r="Z5631" s="8" t="s">
        <v>25104</v>
      </c>
    </row>
    <row r="5632" spans="1:26" x14ac:dyDescent="0.2">
      <c r="A5632" s="8">
        <v>5631</v>
      </c>
      <c r="B5632" s="8" t="s">
        <v>25105</v>
      </c>
      <c r="C5632" s="8" t="s">
        <v>25105</v>
      </c>
      <c r="F5632" s="47" t="s">
        <v>57962</v>
      </c>
      <c r="G5632" s="8">
        <v>6</v>
      </c>
      <c r="H5632" s="8" t="s">
        <v>21</v>
      </c>
      <c r="I5632" s="8" t="s">
        <v>22</v>
      </c>
      <c r="J5632" s="8" t="s">
        <v>22</v>
      </c>
      <c r="K5632" s="8" t="s">
        <v>37</v>
      </c>
      <c r="L5632" s="8" t="s">
        <v>12015</v>
      </c>
      <c r="M5632" s="8" t="s">
        <v>12016</v>
      </c>
      <c r="N5632" s="8" t="s">
        <v>25106</v>
      </c>
      <c r="O5632" s="8">
        <f>14+26/60+33.3/3600</f>
        <v>14.442583333333333</v>
      </c>
      <c r="P5632" s="8" t="s">
        <v>25107</v>
      </c>
      <c r="Q5632" s="8">
        <f>+(56+34/60+59/3600)</f>
        <v>56.583055555555561</v>
      </c>
      <c r="R5632" s="8">
        <v>11.5</v>
      </c>
      <c r="S5632" s="8">
        <v>12.4</v>
      </c>
      <c r="T5632" s="8">
        <v>0.9</v>
      </c>
      <c r="U5632" s="8">
        <v>12.5</v>
      </c>
      <c r="V5632" s="8">
        <v>1.7</v>
      </c>
      <c r="W5632" s="8">
        <v>1.7</v>
      </c>
      <c r="Y5632" s="8" t="s">
        <v>25108</v>
      </c>
      <c r="Z5632" s="8" t="s">
        <v>25109</v>
      </c>
    </row>
    <row r="5633" spans="1:26" x14ac:dyDescent="0.2">
      <c r="A5633" s="8">
        <v>5632</v>
      </c>
      <c r="B5633" s="8" t="s">
        <v>25110</v>
      </c>
      <c r="C5633" s="8" t="s">
        <v>25110</v>
      </c>
      <c r="F5633" s="47"/>
      <c r="G5633" s="8">
        <v>17</v>
      </c>
      <c r="H5633" s="8" t="s">
        <v>21</v>
      </c>
      <c r="I5633" s="8" t="s">
        <v>22</v>
      </c>
      <c r="J5633" s="8" t="s">
        <v>57</v>
      </c>
      <c r="K5633" s="8" t="s">
        <v>7975</v>
      </c>
      <c r="L5633" s="8" t="s">
        <v>17287</v>
      </c>
      <c r="M5633" s="8" t="s">
        <v>17288</v>
      </c>
      <c r="N5633" s="8" t="s">
        <v>25111</v>
      </c>
      <c r="O5633" s="8">
        <f>14+37/60+53.4/3600</f>
        <v>14.631500000000001</v>
      </c>
      <c r="P5633" s="8" t="s">
        <v>25112</v>
      </c>
      <c r="Q5633" s="8">
        <f>-(0+23/60+53/3600)</f>
        <v>-0.39805555555555561</v>
      </c>
      <c r="R5633" s="8">
        <v>11.8</v>
      </c>
      <c r="S5633" s="8">
        <v>12.3</v>
      </c>
      <c r="T5633" s="8">
        <v>0.5</v>
      </c>
      <c r="U5633" s="8">
        <v>13.2</v>
      </c>
      <c r="V5633" s="8">
        <v>1.9</v>
      </c>
      <c r="W5633" s="8">
        <v>1.4</v>
      </c>
      <c r="X5633" s="8">
        <v>110</v>
      </c>
      <c r="Y5633" s="8" t="s">
        <v>25113</v>
      </c>
      <c r="Z5633" s="8" t="s">
        <v>25114</v>
      </c>
    </row>
    <row r="5634" spans="1:26" x14ac:dyDescent="0.2">
      <c r="A5634" s="8">
        <v>5633</v>
      </c>
      <c r="B5634" s="8" t="s">
        <v>25115</v>
      </c>
      <c r="C5634" s="8" t="s">
        <v>25115</v>
      </c>
      <c r="F5634" s="47" t="s">
        <v>57963</v>
      </c>
      <c r="G5634" s="8">
        <v>13</v>
      </c>
      <c r="H5634" s="8" t="s">
        <v>21</v>
      </c>
      <c r="I5634" s="8" t="s">
        <v>22</v>
      </c>
      <c r="J5634" s="8" t="s">
        <v>22</v>
      </c>
      <c r="K5634" s="8" t="s">
        <v>23</v>
      </c>
      <c r="L5634" s="8" t="s">
        <v>22476</v>
      </c>
      <c r="M5634" s="8" t="s">
        <v>22477</v>
      </c>
      <c r="N5634" s="8" t="s">
        <v>25116</v>
      </c>
      <c r="O5634" s="8">
        <f>14+27/60+28.5/3600</f>
        <v>14.457916666666666</v>
      </c>
      <c r="P5634" s="8" t="s">
        <v>25117</v>
      </c>
      <c r="Q5634" s="8">
        <f>+(46+8/60+51/3600)</f>
        <v>46.147500000000001</v>
      </c>
      <c r="R5634" s="8">
        <v>12.4</v>
      </c>
      <c r="S5634" s="8">
        <v>13.1</v>
      </c>
      <c r="T5634" s="8">
        <v>0.7</v>
      </c>
      <c r="U5634" s="8">
        <v>13.3</v>
      </c>
      <c r="V5634" s="8">
        <v>2.1</v>
      </c>
      <c r="W5634" s="8">
        <v>1.1000000000000001</v>
      </c>
      <c r="X5634" s="8">
        <v>10</v>
      </c>
      <c r="Y5634" s="8" t="s">
        <v>25118</v>
      </c>
      <c r="Z5634" s="8" t="s">
        <v>25119</v>
      </c>
    </row>
    <row r="5635" spans="1:26" x14ac:dyDescent="0.2">
      <c r="A5635" s="8">
        <v>5634</v>
      </c>
      <c r="B5635" s="8" t="s">
        <v>25120</v>
      </c>
      <c r="C5635" s="8" t="s">
        <v>25120</v>
      </c>
      <c r="F5635" s="47" t="s">
        <v>57964</v>
      </c>
      <c r="G5635" s="8">
        <v>3</v>
      </c>
      <c r="H5635" s="8" t="s">
        <v>21</v>
      </c>
      <c r="I5635" s="8" t="s">
        <v>567</v>
      </c>
      <c r="J5635" s="8" t="s">
        <v>567</v>
      </c>
      <c r="K5635" s="8" t="s">
        <v>25121</v>
      </c>
      <c r="L5635" s="8" t="s">
        <v>17287</v>
      </c>
      <c r="M5635" s="8" t="s">
        <v>17288</v>
      </c>
      <c r="N5635" s="8" t="s">
        <v>25122</v>
      </c>
      <c r="O5635" s="8">
        <f>14+29/60+37.3/3600</f>
        <v>14.493694444444444</v>
      </c>
      <c r="P5635" s="8" t="s">
        <v>25123</v>
      </c>
      <c r="Q5635" s="8">
        <f>-(5+58/60+33/3600)</f>
        <v>-5.9758333333333331</v>
      </c>
      <c r="R5635" s="8">
        <v>9.5</v>
      </c>
      <c r="S5635" s="8">
        <v>99</v>
      </c>
      <c r="T5635" s="8">
        <v>99</v>
      </c>
      <c r="U5635" s="8">
        <v>99</v>
      </c>
      <c r="V5635" s="8">
        <v>5.5</v>
      </c>
      <c r="Y5635" s="8" t="s">
        <v>25124</v>
      </c>
      <c r="Z5635" s="8" t="s">
        <v>25125</v>
      </c>
    </row>
    <row r="5636" spans="1:26" x14ac:dyDescent="0.2">
      <c r="A5636" s="8">
        <v>5635</v>
      </c>
      <c r="B5636" s="8" t="s">
        <v>25126</v>
      </c>
      <c r="C5636" s="8" t="s">
        <v>25126</v>
      </c>
      <c r="F5636" s="47" t="s">
        <v>57965</v>
      </c>
      <c r="G5636" s="8">
        <v>15</v>
      </c>
      <c r="H5636" s="8" t="s">
        <v>21</v>
      </c>
      <c r="I5636" s="8" t="s">
        <v>22</v>
      </c>
      <c r="J5636" s="8" t="s">
        <v>22</v>
      </c>
      <c r="K5636" s="8" t="s">
        <v>23</v>
      </c>
      <c r="L5636" s="8" t="s">
        <v>22476</v>
      </c>
      <c r="M5636" s="8" t="s">
        <v>22477</v>
      </c>
      <c r="N5636" s="8" t="s">
        <v>25127</v>
      </c>
      <c r="O5636" s="8">
        <f>14+28/60+31.5/3600</f>
        <v>14.475416666666666</v>
      </c>
      <c r="P5636" s="8" t="s">
        <v>25128</v>
      </c>
      <c r="Q5636" s="8">
        <f>+(27+24/60+33/3600)</f>
        <v>27.409166666666664</v>
      </c>
      <c r="R5636" s="8">
        <v>12.6</v>
      </c>
      <c r="S5636" s="8">
        <v>13.4</v>
      </c>
      <c r="T5636" s="8">
        <v>0.8</v>
      </c>
      <c r="U5636" s="8">
        <v>13.4</v>
      </c>
      <c r="V5636" s="8">
        <v>2.2999999999999998</v>
      </c>
      <c r="W5636" s="8">
        <v>1.1000000000000001</v>
      </c>
      <c r="X5636" s="8">
        <v>65</v>
      </c>
      <c r="Y5636" s="8" t="s">
        <v>25129</v>
      </c>
      <c r="Z5636" s="8" t="s">
        <v>25130</v>
      </c>
    </row>
    <row r="5637" spans="1:26" x14ac:dyDescent="0.2">
      <c r="A5637" s="8">
        <v>5636</v>
      </c>
      <c r="B5637" s="8" t="s">
        <v>25131</v>
      </c>
      <c r="C5637" s="8" t="s">
        <v>25131</v>
      </c>
      <c r="F5637" s="47" t="s">
        <v>57966</v>
      </c>
      <c r="G5637" s="8">
        <v>15</v>
      </c>
      <c r="H5637" s="8" t="s">
        <v>21</v>
      </c>
      <c r="I5637" s="8" t="s">
        <v>22</v>
      </c>
      <c r="J5637" s="8" t="s">
        <v>22</v>
      </c>
      <c r="K5637" s="8" t="s">
        <v>435</v>
      </c>
      <c r="L5637" s="8" t="s">
        <v>17287</v>
      </c>
      <c r="M5637" s="8" t="s">
        <v>17288</v>
      </c>
      <c r="N5637" s="8" t="s">
        <v>25132</v>
      </c>
      <c r="O5637" s="8">
        <f>14+29/60+39.1/3600</f>
        <v>14.494194444444444</v>
      </c>
      <c r="P5637" s="8" t="s">
        <v>25133</v>
      </c>
      <c r="Q5637" s="8">
        <f>+(3+16/60+0/3600)</f>
        <v>3.2666666666666666</v>
      </c>
      <c r="R5637" s="8">
        <v>12.7</v>
      </c>
      <c r="S5637" s="8">
        <v>13.6</v>
      </c>
      <c r="T5637" s="8">
        <v>0.9</v>
      </c>
      <c r="U5637" s="8">
        <v>13.6</v>
      </c>
      <c r="V5637" s="8">
        <v>1.9</v>
      </c>
      <c r="W5637" s="8">
        <v>1.4</v>
      </c>
      <c r="X5637" s="8">
        <v>40</v>
      </c>
      <c r="Y5637" s="8" t="s">
        <v>25134</v>
      </c>
      <c r="Z5637" s="8" t="s">
        <v>25135</v>
      </c>
    </row>
    <row r="5638" spans="1:26" x14ac:dyDescent="0.2">
      <c r="A5638" s="8">
        <v>5637</v>
      </c>
      <c r="B5638" s="8" t="s">
        <v>25136</v>
      </c>
      <c r="C5638" s="8" t="s">
        <v>25136</v>
      </c>
      <c r="F5638" s="47" t="s">
        <v>57967</v>
      </c>
      <c r="G5638" s="8">
        <v>15</v>
      </c>
      <c r="H5638" s="8" t="s">
        <v>21</v>
      </c>
      <c r="I5638" s="8" t="s">
        <v>22</v>
      </c>
      <c r="J5638" s="8" t="s">
        <v>22</v>
      </c>
      <c r="K5638" s="8" t="s">
        <v>579</v>
      </c>
      <c r="L5638" s="8" t="s">
        <v>22476</v>
      </c>
      <c r="M5638" s="8" t="s">
        <v>22477</v>
      </c>
      <c r="N5638" s="8" t="s">
        <v>25137</v>
      </c>
      <c r="O5638" s="8">
        <f>14+28/60+59.5/3600</f>
        <v>14.483194444444445</v>
      </c>
      <c r="P5638" s="8" t="s">
        <v>25138</v>
      </c>
      <c r="Q5638" s="8">
        <f>+(23+11/60+27/3600)</f>
        <v>23.190833333333334</v>
      </c>
      <c r="R5638" s="8">
        <v>13.9</v>
      </c>
      <c r="S5638" s="8">
        <v>14.6</v>
      </c>
      <c r="T5638" s="8">
        <v>0.7</v>
      </c>
      <c r="U5638" s="8">
        <v>12.9</v>
      </c>
      <c r="V5638" s="8">
        <v>0.9</v>
      </c>
      <c r="W5638" s="8">
        <v>0.5</v>
      </c>
      <c r="X5638" s="8">
        <v>7</v>
      </c>
      <c r="Y5638" s="8" t="s">
        <v>15919</v>
      </c>
      <c r="Z5638" s="8" t="s">
        <v>15920</v>
      </c>
    </row>
    <row r="5639" spans="1:26" x14ac:dyDescent="0.2">
      <c r="A5639" s="8">
        <v>5638</v>
      </c>
      <c r="B5639" s="8" t="s">
        <v>25139</v>
      </c>
      <c r="C5639" s="8" t="s">
        <v>25139</v>
      </c>
      <c r="F5639" s="47" t="s">
        <v>57968</v>
      </c>
      <c r="G5639" s="8">
        <v>6.5</v>
      </c>
      <c r="H5639" s="8" t="s">
        <v>21</v>
      </c>
      <c r="I5639" s="8" t="s">
        <v>22</v>
      </c>
      <c r="J5639" s="8" t="s">
        <v>22</v>
      </c>
      <c r="K5639" s="8" t="s">
        <v>183</v>
      </c>
      <c r="L5639" s="8" t="s">
        <v>17287</v>
      </c>
      <c r="M5639" s="8" t="s">
        <v>17288</v>
      </c>
      <c r="N5639" s="8" t="s">
        <v>25140</v>
      </c>
      <c r="O5639" s="8">
        <f>14+29/60+40.4/3600</f>
        <v>14.494555555555555</v>
      </c>
      <c r="P5639" s="8" t="s">
        <v>25141</v>
      </c>
      <c r="Q5639" s="8">
        <f>+(3+14/60+0/3600)</f>
        <v>3.2333333333333334</v>
      </c>
      <c r="R5639" s="8">
        <v>11.2</v>
      </c>
      <c r="S5639" s="8">
        <v>12.1</v>
      </c>
      <c r="T5639" s="8">
        <v>0.9</v>
      </c>
      <c r="U5639" s="8">
        <v>13.2</v>
      </c>
      <c r="V5639" s="8">
        <v>2.7</v>
      </c>
      <c r="W5639" s="8">
        <v>2.4</v>
      </c>
      <c r="X5639" s="8">
        <v>150</v>
      </c>
      <c r="Y5639" s="8" t="s">
        <v>25142</v>
      </c>
      <c r="Z5639" s="8" t="s">
        <v>25143</v>
      </c>
    </row>
    <row r="5640" spans="1:26" x14ac:dyDescent="0.2">
      <c r="A5640" s="8">
        <v>5639</v>
      </c>
      <c r="B5640" s="8" t="s">
        <v>25144</v>
      </c>
      <c r="C5640" s="8" t="s">
        <v>25144</v>
      </c>
      <c r="F5640" s="47"/>
      <c r="G5640" s="8">
        <v>16</v>
      </c>
      <c r="H5640" s="8" t="s">
        <v>21</v>
      </c>
      <c r="I5640" s="8" t="s">
        <v>22</v>
      </c>
      <c r="J5640" s="8" t="s">
        <v>22</v>
      </c>
      <c r="K5640" s="8" t="s">
        <v>160</v>
      </c>
      <c r="L5640" s="8" t="s">
        <v>22476</v>
      </c>
      <c r="M5640" s="8" t="s">
        <v>22477</v>
      </c>
      <c r="N5640" s="8" t="s">
        <v>25145</v>
      </c>
      <c r="O5640" s="8">
        <f>14+28/60+46.5/3600</f>
        <v>14.479583333333334</v>
      </c>
      <c r="P5640" s="8" t="s">
        <v>25146</v>
      </c>
      <c r="Q5640" s="8">
        <f>+(30+24/60+45/3600)</f>
        <v>30.412499999999998</v>
      </c>
      <c r="R5640" s="8">
        <v>13.5</v>
      </c>
      <c r="S5640" s="8">
        <v>14.2</v>
      </c>
      <c r="T5640" s="8">
        <v>0.7</v>
      </c>
      <c r="U5640" s="8">
        <v>13.6</v>
      </c>
      <c r="V5640" s="8">
        <v>1.4</v>
      </c>
      <c r="W5640" s="8">
        <v>0.9</v>
      </c>
      <c r="X5640" s="8">
        <v>98</v>
      </c>
      <c r="Y5640" s="8" t="s">
        <v>25147</v>
      </c>
      <c r="Z5640" s="8" t="s">
        <v>25148</v>
      </c>
    </row>
    <row r="5641" spans="1:26" x14ac:dyDescent="0.2">
      <c r="A5641" s="8">
        <v>5640</v>
      </c>
      <c r="B5641" s="8" t="s">
        <v>25149</v>
      </c>
      <c r="C5641" s="8" t="s">
        <v>25149</v>
      </c>
      <c r="F5641" s="47" t="s">
        <v>57969</v>
      </c>
      <c r="G5641" s="8">
        <v>15</v>
      </c>
      <c r="H5641" s="8" t="s">
        <v>21</v>
      </c>
      <c r="I5641" s="8" t="s">
        <v>22</v>
      </c>
      <c r="J5641" s="8" t="s">
        <v>22</v>
      </c>
      <c r="K5641" s="8" t="s">
        <v>91</v>
      </c>
      <c r="L5641" s="8" t="s">
        <v>6823</v>
      </c>
      <c r="M5641" s="8" t="s">
        <v>6824</v>
      </c>
      <c r="N5641" s="8" t="s">
        <v>25150</v>
      </c>
      <c r="O5641" s="8">
        <f>14+20/60+40.7/3600</f>
        <v>14.344638888888889</v>
      </c>
      <c r="P5641" s="8" t="s">
        <v>25151</v>
      </c>
      <c r="Q5641" s="8">
        <f>+(80+7/60+25/3600)</f>
        <v>80.123611111111103</v>
      </c>
      <c r="R5641" s="8">
        <v>14.7</v>
      </c>
      <c r="S5641" s="8">
        <v>15.6</v>
      </c>
      <c r="T5641" s="8">
        <v>0.9</v>
      </c>
      <c r="U5641" s="8">
        <v>13.4</v>
      </c>
      <c r="V5641" s="8">
        <v>0.9</v>
      </c>
      <c r="W5641" s="8">
        <v>0.4</v>
      </c>
      <c r="X5641" s="8">
        <v>24</v>
      </c>
      <c r="Y5641" s="8" t="s">
        <v>146</v>
      </c>
      <c r="Z5641" s="8" t="s">
        <v>147</v>
      </c>
    </row>
    <row r="5642" spans="1:26" x14ac:dyDescent="0.2">
      <c r="A5642" s="8">
        <v>5641</v>
      </c>
      <c r="B5642" s="8" t="s">
        <v>25152</v>
      </c>
      <c r="C5642" s="8" t="s">
        <v>25152</v>
      </c>
      <c r="F5642" s="47"/>
      <c r="G5642" s="8">
        <v>13</v>
      </c>
      <c r="H5642" s="8" t="s">
        <v>21</v>
      </c>
      <c r="I5642" s="8" t="s">
        <v>22</v>
      </c>
      <c r="J5642" s="8" t="s">
        <v>22</v>
      </c>
      <c r="K5642" s="8" t="s">
        <v>406</v>
      </c>
      <c r="L5642" s="8" t="s">
        <v>22476</v>
      </c>
      <c r="M5642" s="8" t="s">
        <v>22477</v>
      </c>
      <c r="N5642" s="8" t="s">
        <v>25153</v>
      </c>
      <c r="O5642" s="8">
        <f>14+29/60+16.6/3600</f>
        <v>14.487944444444443</v>
      </c>
      <c r="P5642" s="8" t="s">
        <v>25154</v>
      </c>
      <c r="Q5642" s="8">
        <f>+(28+49/60+18/3600)</f>
        <v>28.821666666666665</v>
      </c>
      <c r="R5642" s="8">
        <v>12.5</v>
      </c>
      <c r="S5642" s="8">
        <v>13.3</v>
      </c>
      <c r="T5642" s="8">
        <v>0.8</v>
      </c>
      <c r="U5642" s="8">
        <v>13.6</v>
      </c>
      <c r="V5642" s="8">
        <v>2.4</v>
      </c>
      <c r="W5642" s="8">
        <v>1.3</v>
      </c>
      <c r="X5642" s="8">
        <v>158</v>
      </c>
      <c r="Y5642" s="8" t="s">
        <v>25155</v>
      </c>
      <c r="Z5642" s="8" t="s">
        <v>25156</v>
      </c>
    </row>
    <row r="5643" spans="1:26" x14ac:dyDescent="0.2">
      <c r="A5643" s="8">
        <v>5642</v>
      </c>
      <c r="B5643" s="8" t="s">
        <v>25157</v>
      </c>
      <c r="C5643" s="8" t="s">
        <v>25157</v>
      </c>
      <c r="F5643" s="47" t="s">
        <v>57970</v>
      </c>
      <c r="G5643" s="8">
        <v>15</v>
      </c>
      <c r="H5643" s="8" t="s">
        <v>21</v>
      </c>
      <c r="I5643" s="8" t="s">
        <v>22</v>
      </c>
      <c r="J5643" s="8" t="s">
        <v>22</v>
      </c>
      <c r="K5643" s="8" t="s">
        <v>382</v>
      </c>
      <c r="L5643" s="8" t="s">
        <v>22476</v>
      </c>
      <c r="M5643" s="8" t="s">
        <v>22477</v>
      </c>
      <c r="N5643" s="8" t="s">
        <v>25158</v>
      </c>
      <c r="O5643" s="8">
        <f>14+29/60+13.4/3600</f>
        <v>14.487055555555555</v>
      </c>
      <c r="P5643" s="8" t="s">
        <v>25159</v>
      </c>
      <c r="Q5643" s="8">
        <f>+(30+1/60+38/3600)</f>
        <v>30.027222222222221</v>
      </c>
      <c r="R5643" s="8">
        <v>12.6</v>
      </c>
      <c r="S5643" s="8">
        <v>13.6</v>
      </c>
      <c r="T5643" s="8">
        <v>1</v>
      </c>
      <c r="U5643" s="8">
        <v>13.6</v>
      </c>
      <c r="V5643" s="8">
        <v>1.8</v>
      </c>
      <c r="W5643" s="8">
        <v>1.3</v>
      </c>
      <c r="X5643" s="8">
        <v>130</v>
      </c>
      <c r="Y5643" s="8" t="s">
        <v>25160</v>
      </c>
      <c r="Z5643" s="8" t="s">
        <v>25161</v>
      </c>
    </row>
    <row r="5644" spans="1:26" x14ac:dyDescent="0.2">
      <c r="A5644" s="8">
        <v>5643</v>
      </c>
      <c r="B5644" s="8" t="s">
        <v>25162</v>
      </c>
      <c r="C5644" s="8" t="s">
        <v>25162</v>
      </c>
      <c r="F5644" s="47"/>
      <c r="G5644" s="8">
        <v>10</v>
      </c>
      <c r="H5644" s="8" t="s">
        <v>21</v>
      </c>
      <c r="I5644" s="8" t="s">
        <v>22</v>
      </c>
      <c r="J5644" s="8" t="s">
        <v>22</v>
      </c>
      <c r="K5644" s="8" t="s">
        <v>64</v>
      </c>
      <c r="L5644" s="8" t="s">
        <v>24674</v>
      </c>
      <c r="M5644" s="8" t="s">
        <v>24675</v>
      </c>
      <c r="N5644" s="8" t="s">
        <v>25163</v>
      </c>
      <c r="O5644" s="8">
        <f>14+32/60+40.7/3600</f>
        <v>14.544638888888889</v>
      </c>
      <c r="P5644" s="8" t="s">
        <v>25164</v>
      </c>
      <c r="Q5644" s="8">
        <f>-(44+10/60+28/3600)</f>
        <v>-44.17444444444444</v>
      </c>
      <c r="R5644" s="8">
        <v>10</v>
      </c>
      <c r="S5644" s="8">
        <v>10.7</v>
      </c>
      <c r="T5644" s="8">
        <v>0.7</v>
      </c>
      <c r="U5644" s="8">
        <v>13</v>
      </c>
      <c r="V5644" s="8">
        <v>4.7</v>
      </c>
      <c r="W5644" s="8">
        <v>4.2</v>
      </c>
      <c r="X5644" s="8">
        <v>153</v>
      </c>
      <c r="Y5644" s="8" t="s">
        <v>25165</v>
      </c>
      <c r="Z5644" s="8" t="s">
        <v>25166</v>
      </c>
    </row>
    <row r="5645" spans="1:26" x14ac:dyDescent="0.2">
      <c r="A5645" s="8">
        <v>5644</v>
      </c>
      <c r="B5645" s="8" t="s">
        <v>25167</v>
      </c>
      <c r="C5645" s="8" t="s">
        <v>25167</v>
      </c>
      <c r="F5645" s="47"/>
      <c r="G5645" s="8">
        <v>19</v>
      </c>
      <c r="H5645" s="8" t="s">
        <v>21</v>
      </c>
      <c r="I5645" s="8" t="s">
        <v>22</v>
      </c>
      <c r="J5645" s="8" t="s">
        <v>22</v>
      </c>
      <c r="K5645" s="8" t="s">
        <v>37</v>
      </c>
      <c r="L5645" s="8" t="s">
        <v>22476</v>
      </c>
      <c r="M5645" s="8" t="s">
        <v>22477</v>
      </c>
      <c r="N5645" s="8" t="s">
        <v>25168</v>
      </c>
      <c r="O5645" s="8">
        <f>14+30/60+25.5/3600</f>
        <v>14.507083333333334</v>
      </c>
      <c r="P5645" s="8" t="s">
        <v>25169</v>
      </c>
      <c r="Q5645" s="8">
        <f>+(11+55/60+41/3600)</f>
        <v>11.928055555555554</v>
      </c>
      <c r="R5645" s="8">
        <v>12.5</v>
      </c>
      <c r="S5645" s="8">
        <v>13.5</v>
      </c>
      <c r="T5645" s="8">
        <v>1</v>
      </c>
      <c r="U5645" s="8">
        <v>13.1</v>
      </c>
      <c r="V5645" s="8">
        <v>1.4</v>
      </c>
      <c r="W5645" s="8">
        <v>1.4</v>
      </c>
      <c r="Y5645" s="8" t="s">
        <v>20575</v>
      </c>
      <c r="Z5645" s="8" t="s">
        <v>20576</v>
      </c>
    </row>
    <row r="5646" spans="1:26" x14ac:dyDescent="0.2">
      <c r="A5646" s="8">
        <v>5645</v>
      </c>
      <c r="B5646" s="8" t="s">
        <v>25170</v>
      </c>
      <c r="C5646" s="8" t="s">
        <v>25170</v>
      </c>
      <c r="F5646" s="47" t="s">
        <v>57971</v>
      </c>
      <c r="G5646" s="8">
        <v>13</v>
      </c>
      <c r="H5646" s="8" t="s">
        <v>21</v>
      </c>
      <c r="I5646" s="8" t="s">
        <v>22</v>
      </c>
      <c r="J5646" s="8" t="s">
        <v>22</v>
      </c>
      <c r="K5646" s="8" t="s">
        <v>1277</v>
      </c>
      <c r="L5646" s="8" t="s">
        <v>17287</v>
      </c>
      <c r="M5646" s="8" t="s">
        <v>17288</v>
      </c>
      <c r="N5646" s="8" t="s">
        <v>25171</v>
      </c>
      <c r="O5646" s="8">
        <f>14+30/60+39.2/3600</f>
        <v>14.510888888888889</v>
      </c>
      <c r="P5646" s="8" t="s">
        <v>25172</v>
      </c>
      <c r="Q5646" s="8">
        <f>+(7+16/60+29/3600)</f>
        <v>7.2747222222222225</v>
      </c>
      <c r="R5646" s="8">
        <v>12.5</v>
      </c>
      <c r="S5646" s="8">
        <v>13</v>
      </c>
      <c r="T5646" s="8">
        <v>0.5</v>
      </c>
      <c r="U5646" s="8">
        <v>13.8</v>
      </c>
      <c r="V5646" s="8">
        <v>2.6</v>
      </c>
      <c r="W5646" s="8">
        <v>1.6</v>
      </c>
      <c r="X5646" s="8">
        <v>80</v>
      </c>
      <c r="Y5646" s="8" t="s">
        <v>25173</v>
      </c>
      <c r="Z5646" s="8" t="s">
        <v>25174</v>
      </c>
    </row>
    <row r="5647" spans="1:26" x14ac:dyDescent="0.2">
      <c r="A5647" s="8">
        <v>5646</v>
      </c>
      <c r="B5647" s="8" t="s">
        <v>25175</v>
      </c>
      <c r="C5647" s="8" t="s">
        <v>25175</v>
      </c>
      <c r="F5647" s="47"/>
      <c r="G5647" s="8">
        <v>19</v>
      </c>
      <c r="H5647" s="8" t="s">
        <v>21</v>
      </c>
      <c r="I5647" s="8" t="s">
        <v>22</v>
      </c>
      <c r="J5647" s="8" t="s">
        <v>22</v>
      </c>
      <c r="K5647" s="8" t="s">
        <v>218</v>
      </c>
      <c r="L5647" s="8" t="s">
        <v>22476</v>
      </c>
      <c r="M5647" s="8" t="s">
        <v>22477</v>
      </c>
      <c r="N5647" s="8" t="s">
        <v>25176</v>
      </c>
      <c r="O5647" s="8">
        <f>14+29/60+33.8/3600</f>
        <v>14.492722222222222</v>
      </c>
      <c r="P5647" s="8" t="s">
        <v>25177</v>
      </c>
      <c r="Q5647" s="8">
        <f>+(35+27/60+43/3600)</f>
        <v>35.461944444444448</v>
      </c>
      <c r="R5647" s="8">
        <v>14.2</v>
      </c>
      <c r="S5647" s="8">
        <v>15</v>
      </c>
      <c r="T5647" s="8">
        <v>0.8</v>
      </c>
      <c r="U5647" s="8">
        <v>13.5</v>
      </c>
      <c r="V5647" s="8">
        <v>1.5</v>
      </c>
      <c r="W5647" s="8">
        <v>0.4</v>
      </c>
      <c r="X5647" s="8">
        <v>81</v>
      </c>
      <c r="Y5647" s="8" t="s">
        <v>25178</v>
      </c>
      <c r="Z5647" s="8" t="s">
        <v>25179</v>
      </c>
    </row>
    <row r="5648" spans="1:26" x14ac:dyDescent="0.2">
      <c r="A5648" s="8">
        <v>5647</v>
      </c>
      <c r="B5648" s="8" t="s">
        <v>25180</v>
      </c>
      <c r="C5648" s="8" t="s">
        <v>25180</v>
      </c>
      <c r="F5648" s="47"/>
      <c r="G5648" s="8">
        <v>19</v>
      </c>
      <c r="H5648" s="8" t="s">
        <v>21</v>
      </c>
      <c r="I5648" s="8" t="s">
        <v>22</v>
      </c>
      <c r="J5648" s="8" t="s">
        <v>22</v>
      </c>
      <c r="K5648" s="8" t="s">
        <v>91</v>
      </c>
      <c r="L5648" s="8" t="s">
        <v>22476</v>
      </c>
      <c r="M5648" s="8" t="s">
        <v>22477</v>
      </c>
      <c r="N5648" s="8" t="s">
        <v>25181</v>
      </c>
      <c r="O5648" s="8">
        <f>14+30/60+36/3600</f>
        <v>14.51</v>
      </c>
      <c r="P5648" s="8" t="s">
        <v>25182</v>
      </c>
      <c r="Q5648" s="8">
        <f>+(11+52/60+38/3600)</f>
        <v>11.877222222222223</v>
      </c>
      <c r="R5648" s="8">
        <v>14.6</v>
      </c>
      <c r="S5648" s="8">
        <v>15.5</v>
      </c>
      <c r="T5648" s="8">
        <v>0.9</v>
      </c>
      <c r="U5648" s="8">
        <v>13.2</v>
      </c>
      <c r="V5648" s="8">
        <v>1.1000000000000001</v>
      </c>
      <c r="W5648" s="8">
        <v>0.3</v>
      </c>
      <c r="X5648" s="8">
        <v>0</v>
      </c>
      <c r="Y5648" s="8" t="s">
        <v>25183</v>
      </c>
      <c r="Z5648" s="8" t="s">
        <v>25184</v>
      </c>
    </row>
    <row r="5649" spans="1:26" x14ac:dyDescent="0.2">
      <c r="A5649" s="8">
        <v>5648</v>
      </c>
      <c r="B5649" s="8" t="s">
        <v>25185</v>
      </c>
      <c r="C5649" s="8" t="s">
        <v>25185</v>
      </c>
      <c r="F5649" s="47"/>
      <c r="G5649" s="8">
        <v>19</v>
      </c>
      <c r="H5649" s="8" t="s">
        <v>21</v>
      </c>
      <c r="I5649" s="8" t="s">
        <v>22</v>
      </c>
      <c r="J5649" s="8" t="s">
        <v>57</v>
      </c>
      <c r="K5649" s="8" t="s">
        <v>396</v>
      </c>
      <c r="L5649" s="8" t="s">
        <v>22476</v>
      </c>
      <c r="M5649" s="8" t="s">
        <v>22477</v>
      </c>
      <c r="N5649" s="8" t="s">
        <v>25186</v>
      </c>
      <c r="O5649" s="8">
        <f>14+30/60+32.5/3600</f>
        <v>14.509027777777778</v>
      </c>
      <c r="P5649" s="8" t="s">
        <v>25187</v>
      </c>
      <c r="Q5649" s="8">
        <f>+(14+1/60+24/3600)</f>
        <v>14.023333333333333</v>
      </c>
      <c r="R5649" s="8">
        <v>13.3</v>
      </c>
      <c r="S5649" s="8">
        <v>14.1</v>
      </c>
      <c r="T5649" s="8">
        <v>0.8</v>
      </c>
      <c r="U5649" s="8">
        <v>13</v>
      </c>
      <c r="V5649" s="8">
        <v>1.1000000000000001</v>
      </c>
      <c r="W5649" s="8">
        <v>0.8</v>
      </c>
      <c r="X5649" s="8">
        <v>172</v>
      </c>
      <c r="Y5649" s="8" t="s">
        <v>25188</v>
      </c>
      <c r="Z5649" s="8" t="s">
        <v>25189</v>
      </c>
    </row>
    <row r="5650" spans="1:26" x14ac:dyDescent="0.2">
      <c r="A5650" s="8">
        <v>5649</v>
      </c>
      <c r="B5650" s="8" t="s">
        <v>25190</v>
      </c>
      <c r="C5650" s="8" t="s">
        <v>25190</v>
      </c>
      <c r="F5650" s="51"/>
      <c r="G5650" s="8">
        <v>16</v>
      </c>
      <c r="H5650" s="8" t="s">
        <v>21</v>
      </c>
      <c r="I5650" s="8" t="s">
        <v>22</v>
      </c>
      <c r="J5650" s="8" t="s">
        <v>22</v>
      </c>
      <c r="K5650" s="8" t="s">
        <v>396</v>
      </c>
      <c r="L5650" s="8" t="s">
        <v>22476</v>
      </c>
      <c r="M5650" s="8" t="s">
        <v>22477</v>
      </c>
      <c r="N5650" s="8" t="s">
        <v>25186</v>
      </c>
      <c r="O5650" s="8">
        <f>14+30/60+32.5/3600</f>
        <v>14.509027777777778</v>
      </c>
      <c r="P5650" s="8" t="s">
        <v>25187</v>
      </c>
      <c r="Q5650" s="8">
        <f>+(14+1/60+24/3600)</f>
        <v>14.023333333333333</v>
      </c>
      <c r="R5650" s="8">
        <v>13.3</v>
      </c>
      <c r="S5650" s="8">
        <v>14.1</v>
      </c>
      <c r="T5650" s="8">
        <v>0.8</v>
      </c>
      <c r="U5650" s="8">
        <v>13</v>
      </c>
      <c r="V5650" s="8">
        <v>1.1000000000000001</v>
      </c>
      <c r="W5650" s="8">
        <v>0.8</v>
      </c>
      <c r="X5650" s="8">
        <v>172</v>
      </c>
      <c r="Y5650" s="8" t="s">
        <v>25188</v>
      </c>
      <c r="Z5650" s="8" t="s">
        <v>25191</v>
      </c>
    </row>
    <row r="5651" spans="1:26" x14ac:dyDescent="0.2">
      <c r="A5651" s="8">
        <v>5650</v>
      </c>
      <c r="B5651" s="8" t="s">
        <v>25192</v>
      </c>
      <c r="C5651" s="8" t="s">
        <v>25192</v>
      </c>
      <c r="F5651" s="47"/>
      <c r="G5651" s="8">
        <v>19</v>
      </c>
      <c r="H5651" s="8" t="s">
        <v>21</v>
      </c>
      <c r="I5651" s="8" t="s">
        <v>22</v>
      </c>
      <c r="J5651" s="8" t="s">
        <v>57</v>
      </c>
      <c r="K5651" s="8" t="s">
        <v>64</v>
      </c>
      <c r="L5651" s="8" t="s">
        <v>17287</v>
      </c>
      <c r="M5651" s="8" t="s">
        <v>17288</v>
      </c>
      <c r="N5651" s="8" t="s">
        <v>25193</v>
      </c>
      <c r="O5651" s="8">
        <f>14+31/60+0.9/3600</f>
        <v>14.516916666666667</v>
      </c>
      <c r="P5651" s="8" t="s">
        <v>25194</v>
      </c>
      <c r="Q5651" s="8">
        <f>+(5+58/60+42/3600)</f>
        <v>5.9783333333333335</v>
      </c>
      <c r="R5651" s="8">
        <v>12.5</v>
      </c>
      <c r="S5651" s="8">
        <v>13.2</v>
      </c>
      <c r="T5651" s="8">
        <v>0.7</v>
      </c>
      <c r="U5651" s="8">
        <v>13.4</v>
      </c>
      <c r="V5651" s="8">
        <v>2</v>
      </c>
      <c r="W5651" s="8">
        <v>1.4</v>
      </c>
      <c r="X5651" s="8">
        <v>117</v>
      </c>
      <c r="Y5651" s="8" t="s">
        <v>237</v>
      </c>
      <c r="Z5651" s="8" t="s">
        <v>238</v>
      </c>
    </row>
    <row r="5652" spans="1:26" x14ac:dyDescent="0.2">
      <c r="A5652" s="8">
        <v>5651</v>
      </c>
      <c r="B5652" s="8" t="s">
        <v>25195</v>
      </c>
      <c r="C5652" s="8" t="s">
        <v>25195</v>
      </c>
      <c r="F5652" s="47"/>
      <c r="G5652" s="8">
        <v>17</v>
      </c>
      <c r="H5652" s="8" t="s">
        <v>21</v>
      </c>
      <c r="I5652" s="8" t="s">
        <v>22</v>
      </c>
      <c r="J5652" s="8" t="s">
        <v>57</v>
      </c>
      <c r="K5652" s="8" t="s">
        <v>85</v>
      </c>
      <c r="L5652" s="8" t="s">
        <v>17287</v>
      </c>
      <c r="M5652" s="8" t="s">
        <v>17288</v>
      </c>
      <c r="N5652" s="8" t="s">
        <v>25196</v>
      </c>
      <c r="O5652" s="8">
        <f>14+40/60+11.3/3600</f>
        <v>14.669805555555556</v>
      </c>
      <c r="P5652" s="8" t="s">
        <v>25197</v>
      </c>
      <c r="Q5652" s="8">
        <f>-(0+17/60+24/3600)</f>
        <v>-0.28999999999999998</v>
      </c>
      <c r="R5652" s="8">
        <v>11.2</v>
      </c>
      <c r="S5652" s="8">
        <v>11.8</v>
      </c>
      <c r="T5652" s="8">
        <v>0.6</v>
      </c>
      <c r="U5652" s="8">
        <v>13.2</v>
      </c>
      <c r="V5652" s="8">
        <v>2.9</v>
      </c>
      <c r="W5652" s="8">
        <v>2.5</v>
      </c>
      <c r="X5652" s="8">
        <v>10</v>
      </c>
      <c r="Y5652" s="8" t="s">
        <v>25198</v>
      </c>
      <c r="Z5652" s="8" t="s">
        <v>25199</v>
      </c>
    </row>
    <row r="5653" spans="1:26" x14ac:dyDescent="0.2">
      <c r="A5653" s="8">
        <v>5652</v>
      </c>
      <c r="B5653" s="8" t="s">
        <v>25200</v>
      </c>
      <c r="C5653" s="8" t="s">
        <v>25200</v>
      </c>
      <c r="F5653" s="47" t="s">
        <v>57972</v>
      </c>
      <c r="G5653" s="8">
        <v>15</v>
      </c>
      <c r="H5653" s="8" t="s">
        <v>21</v>
      </c>
      <c r="I5653" s="8" t="s">
        <v>22</v>
      </c>
      <c r="J5653" s="8" t="s">
        <v>22</v>
      </c>
      <c r="K5653" s="8" t="s">
        <v>64</v>
      </c>
      <c r="L5653" s="8" t="s">
        <v>17287</v>
      </c>
      <c r="M5653" s="8" t="s">
        <v>17288</v>
      </c>
      <c r="N5653" s="8" t="s">
        <v>25193</v>
      </c>
      <c r="O5653" s="8">
        <f>14+31/60+0.9/3600</f>
        <v>14.516916666666667</v>
      </c>
      <c r="P5653" s="8" t="s">
        <v>25194</v>
      </c>
      <c r="Q5653" s="8">
        <f>+(5+58/60+42/3600)</f>
        <v>5.9783333333333335</v>
      </c>
      <c r="R5653" s="8">
        <v>12.5</v>
      </c>
      <c r="S5653" s="8">
        <v>13.2</v>
      </c>
      <c r="T5653" s="8">
        <v>0.7</v>
      </c>
      <c r="U5653" s="8">
        <v>13.4</v>
      </c>
      <c r="V5653" s="8">
        <v>2</v>
      </c>
      <c r="W5653" s="8">
        <v>1.4</v>
      </c>
      <c r="X5653" s="8">
        <v>117</v>
      </c>
      <c r="Y5653" s="8" t="s">
        <v>237</v>
      </c>
      <c r="Z5653" s="8" t="s">
        <v>25201</v>
      </c>
    </row>
    <row r="5654" spans="1:26" x14ac:dyDescent="0.2">
      <c r="A5654" s="8">
        <v>5653</v>
      </c>
      <c r="B5654" s="8" t="s">
        <v>25202</v>
      </c>
      <c r="C5654" s="8" t="s">
        <v>25202</v>
      </c>
      <c r="F5654" s="47" t="s">
        <v>57973</v>
      </c>
      <c r="G5654" s="8">
        <v>13</v>
      </c>
      <c r="H5654" s="8" t="s">
        <v>21</v>
      </c>
      <c r="I5654" s="8" t="s">
        <v>22</v>
      </c>
      <c r="J5654" s="8" t="s">
        <v>22</v>
      </c>
      <c r="K5654" s="8" t="s">
        <v>23</v>
      </c>
      <c r="L5654" s="8" t="s">
        <v>22476</v>
      </c>
      <c r="M5654" s="8" t="s">
        <v>22477</v>
      </c>
      <c r="N5654" s="8" t="s">
        <v>25203</v>
      </c>
      <c r="O5654" s="8">
        <f>14+30/60+10.3/3600</f>
        <v>14.502861111111111</v>
      </c>
      <c r="P5654" s="8" t="s">
        <v>25204</v>
      </c>
      <c r="Q5654" s="8">
        <f>+(31+12/60+55/3600)</f>
        <v>31.215277777777779</v>
      </c>
      <c r="R5654" s="8">
        <v>12.2</v>
      </c>
      <c r="S5654" s="8">
        <v>12.9</v>
      </c>
      <c r="T5654" s="8">
        <v>0.7</v>
      </c>
      <c r="U5654" s="8">
        <v>12.9</v>
      </c>
      <c r="V5654" s="8">
        <v>1.7</v>
      </c>
      <c r="W5654" s="8">
        <v>1.3</v>
      </c>
      <c r="X5654" s="8">
        <v>125</v>
      </c>
      <c r="Y5654" s="8" t="s">
        <v>302</v>
      </c>
      <c r="Z5654" s="8" t="s">
        <v>303</v>
      </c>
    </row>
    <row r="5655" spans="1:26" x14ac:dyDescent="0.2">
      <c r="A5655" s="8">
        <v>5654</v>
      </c>
      <c r="B5655" s="8" t="s">
        <v>25205</v>
      </c>
      <c r="C5655" s="8" t="s">
        <v>25205</v>
      </c>
      <c r="F5655" s="47" t="s">
        <v>57974</v>
      </c>
      <c r="G5655" s="8">
        <v>15</v>
      </c>
      <c r="H5655" s="8" t="s">
        <v>21</v>
      </c>
      <c r="I5655" s="8" t="s">
        <v>22</v>
      </c>
      <c r="J5655" s="8" t="s">
        <v>22</v>
      </c>
      <c r="K5655" s="8" t="s">
        <v>435</v>
      </c>
      <c r="L5655" s="8" t="s">
        <v>22476</v>
      </c>
      <c r="M5655" s="8" t="s">
        <v>22477</v>
      </c>
      <c r="N5655" s="8" t="s">
        <v>25206</v>
      </c>
      <c r="O5655" s="8">
        <f>14+30/60+1.4/3600</f>
        <v>14.500388888888889</v>
      </c>
      <c r="P5655" s="8" t="s">
        <v>25207</v>
      </c>
      <c r="Q5655" s="8">
        <f>+(36+21/60+37/3600)</f>
        <v>36.360277777777782</v>
      </c>
      <c r="R5655" s="8">
        <v>13</v>
      </c>
      <c r="S5655" s="8">
        <v>13.9</v>
      </c>
      <c r="T5655" s="8">
        <v>0.9</v>
      </c>
      <c r="U5655" s="8">
        <v>13.3</v>
      </c>
      <c r="V5655" s="8">
        <v>1.5</v>
      </c>
      <c r="W5655" s="8">
        <v>1</v>
      </c>
      <c r="X5655" s="8">
        <v>145</v>
      </c>
      <c r="Y5655" s="8" t="s">
        <v>25208</v>
      </c>
      <c r="Z5655" s="8" t="s">
        <v>25209</v>
      </c>
    </row>
    <row r="5656" spans="1:26" x14ac:dyDescent="0.2">
      <c r="A5656" s="8">
        <v>5655</v>
      </c>
      <c r="B5656" s="8" t="s">
        <v>25210</v>
      </c>
      <c r="C5656" s="8" t="s">
        <v>25210</v>
      </c>
      <c r="F5656" s="47" t="s">
        <v>57975</v>
      </c>
      <c r="G5656" s="8">
        <v>15</v>
      </c>
      <c r="H5656" s="8" t="s">
        <v>21</v>
      </c>
      <c r="I5656" s="8" t="s">
        <v>22</v>
      </c>
      <c r="J5656" s="8" t="s">
        <v>22</v>
      </c>
      <c r="K5656" s="8" t="s">
        <v>160</v>
      </c>
      <c r="L5656" s="8" t="s">
        <v>22476</v>
      </c>
      <c r="M5656" s="8" t="s">
        <v>22477</v>
      </c>
      <c r="N5656" s="8" t="s">
        <v>25211</v>
      </c>
      <c r="O5656" s="8">
        <f>14+30/60+51/3600</f>
        <v>14.514166666666666</v>
      </c>
      <c r="P5656" s="8" t="s">
        <v>25212</v>
      </c>
      <c r="Q5656" s="8">
        <f>+(13+58/60+9/3600)</f>
        <v>13.969166666666666</v>
      </c>
      <c r="R5656" s="8">
        <v>13.2</v>
      </c>
      <c r="S5656" s="8">
        <v>13.9</v>
      </c>
      <c r="T5656" s="8">
        <v>0.7</v>
      </c>
      <c r="U5656" s="8">
        <v>13.1</v>
      </c>
      <c r="V5656" s="8">
        <v>1.1000000000000001</v>
      </c>
      <c r="W5656" s="8">
        <v>0.9</v>
      </c>
      <c r="X5656" s="8">
        <v>165</v>
      </c>
      <c r="Y5656" s="8" t="s">
        <v>25213</v>
      </c>
      <c r="Z5656" s="8" t="s">
        <v>25214</v>
      </c>
    </row>
    <row r="5657" spans="1:26" x14ac:dyDescent="0.2">
      <c r="A5657" s="8">
        <v>5656</v>
      </c>
      <c r="B5657" s="8" t="s">
        <v>25215</v>
      </c>
      <c r="C5657" s="8" t="s">
        <v>25215</v>
      </c>
      <c r="F5657" s="47" t="s">
        <v>57976</v>
      </c>
      <c r="G5657" s="8">
        <v>15</v>
      </c>
      <c r="H5657" s="8" t="s">
        <v>21</v>
      </c>
      <c r="I5657" s="8" t="s">
        <v>22</v>
      </c>
      <c r="J5657" s="8" t="s">
        <v>22</v>
      </c>
      <c r="K5657" s="8" t="s">
        <v>31</v>
      </c>
      <c r="L5657" s="8" t="s">
        <v>22476</v>
      </c>
      <c r="M5657" s="8" t="s">
        <v>22477</v>
      </c>
      <c r="N5657" s="8" t="s">
        <v>25216</v>
      </c>
      <c r="O5657" s="8">
        <f>14+30/60+25.4/3600</f>
        <v>14.507055555555555</v>
      </c>
      <c r="P5657" s="8" t="s">
        <v>25217</v>
      </c>
      <c r="Q5657" s="8">
        <f>+(35+19/60+17/3600)</f>
        <v>35.32138888888889</v>
      </c>
      <c r="R5657" s="8">
        <v>11.8</v>
      </c>
      <c r="S5657" s="8">
        <v>12.6</v>
      </c>
      <c r="T5657" s="8">
        <v>0.8</v>
      </c>
      <c r="U5657" s="8">
        <v>12.8</v>
      </c>
      <c r="V5657" s="8">
        <v>1.9</v>
      </c>
      <c r="W5657" s="8">
        <v>1.5</v>
      </c>
      <c r="X5657" s="8">
        <v>50</v>
      </c>
      <c r="Y5657" s="8" t="s">
        <v>25218</v>
      </c>
      <c r="Z5657" s="8" t="s">
        <v>25219</v>
      </c>
    </row>
    <row r="5658" spans="1:26" x14ac:dyDescent="0.2">
      <c r="A5658" s="8">
        <v>5657</v>
      </c>
      <c r="B5658" s="8" t="s">
        <v>25220</v>
      </c>
      <c r="C5658" s="8" t="s">
        <v>25220</v>
      </c>
      <c r="F5658" s="47"/>
      <c r="G5658" s="8">
        <v>19</v>
      </c>
      <c r="H5658" s="8" t="s">
        <v>21</v>
      </c>
      <c r="I5658" s="8" t="s">
        <v>22</v>
      </c>
      <c r="J5658" s="8" t="s">
        <v>22</v>
      </c>
      <c r="K5658" s="8" t="s">
        <v>218</v>
      </c>
      <c r="L5658" s="8" t="s">
        <v>22476</v>
      </c>
      <c r="M5658" s="8" t="s">
        <v>22477</v>
      </c>
      <c r="N5658" s="8" t="s">
        <v>25221</v>
      </c>
      <c r="O5658" s="8">
        <f>14+30/60+43.6/3600</f>
        <v>14.512111111111111</v>
      </c>
      <c r="P5658" s="8" t="s">
        <v>25222</v>
      </c>
      <c r="Q5658" s="8">
        <f>+(29+10/60+50/3600)</f>
        <v>29.180555555555557</v>
      </c>
      <c r="R5658" s="8">
        <v>13.3</v>
      </c>
      <c r="S5658" s="8">
        <v>14.1</v>
      </c>
      <c r="T5658" s="8">
        <v>0.8</v>
      </c>
      <c r="U5658" s="8">
        <v>13.6</v>
      </c>
      <c r="V5658" s="8">
        <v>1.8</v>
      </c>
      <c r="W5658" s="8">
        <v>0.8</v>
      </c>
      <c r="X5658" s="8">
        <v>163</v>
      </c>
      <c r="Y5658" s="8" t="s">
        <v>25223</v>
      </c>
      <c r="Z5658" s="8" t="s">
        <v>25224</v>
      </c>
    </row>
    <row r="5659" spans="1:26" x14ac:dyDescent="0.2">
      <c r="A5659" s="8">
        <v>5658</v>
      </c>
      <c r="B5659" s="8" t="s">
        <v>25225</v>
      </c>
      <c r="C5659" s="8" t="s">
        <v>25225</v>
      </c>
      <c r="F5659" s="47"/>
      <c r="G5659" s="8">
        <v>17</v>
      </c>
      <c r="H5659" s="8" t="s">
        <v>21</v>
      </c>
      <c r="I5659" s="8" t="s">
        <v>22</v>
      </c>
      <c r="J5659" s="8" t="s">
        <v>57</v>
      </c>
      <c r="K5659" s="8" t="s">
        <v>4023</v>
      </c>
      <c r="L5659" s="8" t="s">
        <v>17287</v>
      </c>
      <c r="M5659" s="8" t="s">
        <v>17288</v>
      </c>
      <c r="N5659" s="8" t="s">
        <v>25226</v>
      </c>
      <c r="O5659" s="8">
        <f>14+40/60+56.5/3600</f>
        <v>14.68236111111111</v>
      </c>
      <c r="P5659" s="8" t="s">
        <v>25227</v>
      </c>
      <c r="Q5659" s="8">
        <f>-(0+19/60+4/3600)</f>
        <v>-0.31777777777777777</v>
      </c>
      <c r="R5659" s="8">
        <v>12.2</v>
      </c>
      <c r="S5659" s="8">
        <v>13</v>
      </c>
      <c r="T5659" s="8">
        <v>0.8</v>
      </c>
      <c r="U5659" s="8">
        <v>13.5</v>
      </c>
      <c r="V5659" s="8">
        <v>3.2</v>
      </c>
      <c r="W5659" s="8">
        <v>1.2</v>
      </c>
      <c r="X5659" s="8">
        <v>107</v>
      </c>
      <c r="Y5659" s="8" t="s">
        <v>25228</v>
      </c>
      <c r="Z5659" s="8" t="s">
        <v>25229</v>
      </c>
    </row>
    <row r="5660" spans="1:26" x14ac:dyDescent="0.2">
      <c r="A5660" s="8">
        <v>5659</v>
      </c>
      <c r="B5660" s="8" t="s">
        <v>25230</v>
      </c>
      <c r="C5660" s="8" t="s">
        <v>25230</v>
      </c>
      <c r="F5660" s="47"/>
      <c r="G5660" s="8">
        <v>16</v>
      </c>
      <c r="H5660" s="8" t="s">
        <v>21</v>
      </c>
      <c r="I5660" s="8" t="s">
        <v>22</v>
      </c>
      <c r="J5660" s="8" t="s">
        <v>22</v>
      </c>
      <c r="K5660" s="8" t="s">
        <v>23</v>
      </c>
      <c r="L5660" s="8" t="s">
        <v>22476</v>
      </c>
      <c r="M5660" s="8" t="s">
        <v>22477</v>
      </c>
      <c r="N5660" s="8" t="s">
        <v>25231</v>
      </c>
      <c r="O5660" s="8">
        <f>14+31/60+6/3600</f>
        <v>14.518333333333334</v>
      </c>
      <c r="P5660" s="8" t="s">
        <v>25232</v>
      </c>
      <c r="Q5660" s="8">
        <f>+(25+21/60+18/3600)</f>
        <v>25.355</v>
      </c>
      <c r="R5660" s="8">
        <v>13.9</v>
      </c>
      <c r="S5660" s="8">
        <v>14.7</v>
      </c>
      <c r="T5660" s="8">
        <v>0.8</v>
      </c>
      <c r="U5660" s="8">
        <v>13.3</v>
      </c>
      <c r="V5660" s="8">
        <v>1.6</v>
      </c>
      <c r="W5660" s="8">
        <v>0.4</v>
      </c>
      <c r="X5660" s="8">
        <v>43</v>
      </c>
      <c r="Y5660" s="8" t="s">
        <v>47</v>
      </c>
      <c r="Z5660" s="8" t="s">
        <v>48</v>
      </c>
    </row>
    <row r="5661" spans="1:26" x14ac:dyDescent="0.2">
      <c r="A5661" s="8">
        <v>5660</v>
      </c>
      <c r="B5661" s="8" t="s">
        <v>25233</v>
      </c>
      <c r="C5661" s="8" t="s">
        <v>25233</v>
      </c>
      <c r="F5661" s="47" t="s">
        <v>57977</v>
      </c>
      <c r="G5661" s="8">
        <v>6.5</v>
      </c>
      <c r="H5661" s="8" t="s">
        <v>21</v>
      </c>
      <c r="I5661" s="8" t="s">
        <v>22</v>
      </c>
      <c r="J5661" s="8" t="s">
        <v>22</v>
      </c>
      <c r="K5661" s="8" t="s">
        <v>64</v>
      </c>
      <c r="L5661" s="8" t="s">
        <v>22476</v>
      </c>
      <c r="M5661" s="8" t="s">
        <v>22477</v>
      </c>
      <c r="N5661" s="8" t="s">
        <v>25234</v>
      </c>
      <c r="O5661" s="8">
        <f>14+29/60+48.7/3600</f>
        <v>14.496861111111111</v>
      </c>
      <c r="P5661" s="8" t="s">
        <v>25235</v>
      </c>
      <c r="Q5661" s="8">
        <f>+(49+37/60+21/3600)</f>
        <v>49.622500000000002</v>
      </c>
      <c r="R5661" s="8">
        <v>11.9</v>
      </c>
      <c r="S5661" s="8">
        <v>12.4</v>
      </c>
      <c r="T5661" s="8">
        <v>0.5</v>
      </c>
      <c r="U5661" s="8">
        <v>13.8</v>
      </c>
      <c r="V5661" s="8">
        <v>2.7</v>
      </c>
      <c r="W5661" s="8">
        <v>2.6</v>
      </c>
      <c r="X5661" s="8">
        <v>90</v>
      </c>
      <c r="Y5661" s="8" t="s">
        <v>25236</v>
      </c>
      <c r="Z5661" s="8" t="s">
        <v>25237</v>
      </c>
    </row>
    <row r="5662" spans="1:26" x14ac:dyDescent="0.2">
      <c r="A5662" s="8">
        <v>5661</v>
      </c>
      <c r="B5662" s="8" t="s">
        <v>25238</v>
      </c>
      <c r="C5662" s="8" t="s">
        <v>25238</v>
      </c>
      <c r="F5662" s="47" t="s">
        <v>57978</v>
      </c>
      <c r="G5662" s="8">
        <v>15</v>
      </c>
      <c r="H5662" s="8" t="s">
        <v>21</v>
      </c>
      <c r="I5662" s="8" t="s">
        <v>22</v>
      </c>
      <c r="J5662" s="8" t="s">
        <v>22</v>
      </c>
      <c r="K5662" s="8" t="s">
        <v>218</v>
      </c>
      <c r="L5662" s="8" t="s">
        <v>17287</v>
      </c>
      <c r="M5662" s="8" t="s">
        <v>17288</v>
      </c>
      <c r="N5662" s="8" t="s">
        <v>25239</v>
      </c>
      <c r="O5662" s="8">
        <f>14+31/60+57.3/3600</f>
        <v>14.532583333333335</v>
      </c>
      <c r="P5662" s="8" t="s">
        <v>25240</v>
      </c>
      <c r="Q5662" s="8">
        <f>+(6+15/60+2/3600)</f>
        <v>6.2505555555555556</v>
      </c>
      <c r="R5662" s="8">
        <v>13.3</v>
      </c>
      <c r="S5662" s="8">
        <v>14.1</v>
      </c>
      <c r="T5662" s="8">
        <v>0.8</v>
      </c>
      <c r="U5662" s="8">
        <v>13</v>
      </c>
      <c r="V5662" s="8">
        <v>1.5</v>
      </c>
      <c r="W5662" s="8">
        <v>0.6</v>
      </c>
      <c r="X5662" s="8">
        <v>23</v>
      </c>
      <c r="Y5662" s="8" t="s">
        <v>15160</v>
      </c>
      <c r="Z5662" s="8" t="s">
        <v>15161</v>
      </c>
    </row>
    <row r="5663" spans="1:26" x14ac:dyDescent="0.2">
      <c r="A5663" s="8">
        <v>5662</v>
      </c>
      <c r="B5663" s="8" t="s">
        <v>25241</v>
      </c>
      <c r="C5663" s="8" t="s">
        <v>25241</v>
      </c>
      <c r="F5663" s="47"/>
      <c r="G5663" s="8">
        <v>4</v>
      </c>
      <c r="H5663" s="8" t="s">
        <v>25242</v>
      </c>
      <c r="I5663" s="8" t="s">
        <v>557</v>
      </c>
      <c r="J5663" s="8" t="s">
        <v>557</v>
      </c>
      <c r="K5663" s="8" t="s">
        <v>3170</v>
      </c>
      <c r="L5663" s="8" t="s">
        <v>16195</v>
      </c>
      <c r="M5663" s="8" t="s">
        <v>16196</v>
      </c>
      <c r="N5663" s="8" t="s">
        <v>25243</v>
      </c>
      <c r="O5663" s="8">
        <f>14+35/60+30.8/3600</f>
        <v>14.591888888888889</v>
      </c>
      <c r="P5663" s="8" t="s">
        <v>25244</v>
      </c>
      <c r="Q5663" s="8">
        <f>-(56+39/60+46/3600)</f>
        <v>-56.662777777777777</v>
      </c>
      <c r="R5663" s="8">
        <v>5.5</v>
      </c>
      <c r="S5663" s="8">
        <v>99</v>
      </c>
      <c r="T5663" s="8">
        <v>99</v>
      </c>
      <c r="U5663" s="8">
        <v>99</v>
      </c>
      <c r="V5663" s="8">
        <v>30</v>
      </c>
      <c r="Y5663" s="8" t="s">
        <v>25245</v>
      </c>
      <c r="Z5663" s="8" t="s">
        <v>25246</v>
      </c>
    </row>
    <row r="5664" spans="1:26" x14ac:dyDescent="0.2">
      <c r="A5664" s="8">
        <v>5663</v>
      </c>
      <c r="B5664" s="8" t="s">
        <v>25247</v>
      </c>
      <c r="C5664" s="8" t="s">
        <v>25247</v>
      </c>
      <c r="F5664" s="47"/>
      <c r="G5664" s="8">
        <v>19</v>
      </c>
      <c r="H5664" s="8" t="s">
        <v>21</v>
      </c>
      <c r="I5664" s="8" t="s">
        <v>22</v>
      </c>
      <c r="J5664" s="8" t="s">
        <v>22</v>
      </c>
      <c r="K5664" s="8" t="s">
        <v>58</v>
      </c>
      <c r="L5664" s="8" t="s">
        <v>24948</v>
      </c>
      <c r="M5664" s="8" t="s">
        <v>24949</v>
      </c>
      <c r="N5664" s="8" t="s">
        <v>25248</v>
      </c>
      <c r="O5664" s="8">
        <f>14+33/60+56.2/3600</f>
        <v>14.565611111111112</v>
      </c>
      <c r="P5664" s="8" t="s">
        <v>25249</v>
      </c>
      <c r="Q5664" s="8">
        <f>-(16+34/60+50/3600)</f>
        <v>-16.580555555555556</v>
      </c>
      <c r="R5664" s="8">
        <v>14.2</v>
      </c>
      <c r="S5664" s="8">
        <v>15.2</v>
      </c>
      <c r="T5664" s="8">
        <v>1</v>
      </c>
      <c r="U5664" s="8">
        <v>14.7</v>
      </c>
      <c r="V5664" s="8">
        <v>1.4</v>
      </c>
      <c r="W5664" s="8">
        <v>1.3</v>
      </c>
      <c r="X5664" s="8">
        <v>0</v>
      </c>
      <c r="Y5664" s="8" t="s">
        <v>7096</v>
      </c>
      <c r="Z5664" s="8" t="s">
        <v>7097</v>
      </c>
    </row>
    <row r="5665" spans="1:26" x14ac:dyDescent="0.2">
      <c r="A5665" s="8">
        <v>5664</v>
      </c>
      <c r="B5665" s="8" t="s">
        <v>25250</v>
      </c>
      <c r="C5665" s="8" t="s">
        <v>25250</v>
      </c>
      <c r="F5665" s="47"/>
      <c r="G5665" s="8">
        <v>19</v>
      </c>
      <c r="H5665" s="8" t="s">
        <v>21</v>
      </c>
      <c r="I5665" s="8" t="s">
        <v>22</v>
      </c>
      <c r="J5665" s="8" t="s">
        <v>22</v>
      </c>
      <c r="K5665" s="8" t="s">
        <v>91</v>
      </c>
      <c r="L5665" s="8" t="s">
        <v>24948</v>
      </c>
      <c r="M5665" s="8" t="s">
        <v>24949</v>
      </c>
      <c r="N5665" s="8" t="s">
        <v>25251</v>
      </c>
      <c r="O5665" s="8">
        <f>14+33/60+43.7/3600</f>
        <v>14.562138888888889</v>
      </c>
      <c r="P5665" s="8" t="s">
        <v>25252</v>
      </c>
      <c r="Q5665" s="8">
        <f>-(14+37/60+10/3600)</f>
        <v>-14.619444444444445</v>
      </c>
      <c r="R5665" s="8">
        <v>13.6</v>
      </c>
      <c r="S5665" s="8">
        <v>14.5</v>
      </c>
      <c r="T5665" s="8">
        <v>0.9</v>
      </c>
      <c r="U5665" s="8">
        <v>12.3</v>
      </c>
      <c r="V5665" s="8">
        <v>0.8</v>
      </c>
      <c r="W5665" s="8">
        <v>0.3</v>
      </c>
      <c r="X5665" s="8">
        <v>30</v>
      </c>
      <c r="Y5665" s="8" t="s">
        <v>7247</v>
      </c>
      <c r="Z5665" s="8" t="s">
        <v>7248</v>
      </c>
    </row>
    <row r="5666" spans="1:26" x14ac:dyDescent="0.2">
      <c r="A5666" s="8">
        <v>5665</v>
      </c>
      <c r="B5666" s="8" t="s">
        <v>25253</v>
      </c>
      <c r="C5666" s="8" t="s">
        <v>25253</v>
      </c>
      <c r="F5666" s="47" t="s">
        <v>57979</v>
      </c>
      <c r="G5666" s="8">
        <v>13</v>
      </c>
      <c r="H5666" s="8" t="s">
        <v>21</v>
      </c>
      <c r="I5666" s="8" t="s">
        <v>22</v>
      </c>
      <c r="J5666" s="8" t="s">
        <v>22</v>
      </c>
      <c r="K5666" s="8" t="s">
        <v>64</v>
      </c>
      <c r="L5666" s="8" t="s">
        <v>22476</v>
      </c>
      <c r="M5666" s="8" t="s">
        <v>22477</v>
      </c>
      <c r="N5666" s="8" t="s">
        <v>25254</v>
      </c>
      <c r="O5666" s="8">
        <f>14+32/60+25.6/3600</f>
        <v>14.540444444444445</v>
      </c>
      <c r="P5666" s="8" t="s">
        <v>25255</v>
      </c>
      <c r="Q5666" s="8">
        <f>+(8+4/60+45/3600)</f>
        <v>8.0791666666666657</v>
      </c>
      <c r="R5666" s="8">
        <v>12</v>
      </c>
      <c r="S5666" s="8">
        <v>12.7</v>
      </c>
      <c r="T5666" s="8">
        <v>0.7</v>
      </c>
      <c r="U5666" s="8">
        <v>12.9</v>
      </c>
      <c r="V5666" s="8">
        <v>2.1</v>
      </c>
      <c r="W5666" s="8">
        <v>1.3</v>
      </c>
      <c r="X5666" s="8">
        <v>145</v>
      </c>
      <c r="Y5666" s="8" t="s">
        <v>17766</v>
      </c>
      <c r="Z5666" s="8" t="s">
        <v>17767</v>
      </c>
    </row>
    <row r="5667" spans="1:26" x14ac:dyDescent="0.2">
      <c r="A5667" s="8">
        <v>5666</v>
      </c>
      <c r="B5667" s="8" t="s">
        <v>25256</v>
      </c>
      <c r="C5667" s="8" t="s">
        <v>25256</v>
      </c>
      <c r="F5667" s="47"/>
      <c r="G5667" s="8">
        <v>16</v>
      </c>
      <c r="H5667" s="8" t="s">
        <v>21</v>
      </c>
      <c r="I5667" s="8" t="s">
        <v>22</v>
      </c>
      <c r="J5667" s="8" t="s">
        <v>22</v>
      </c>
      <c r="K5667" s="8" t="s">
        <v>476</v>
      </c>
      <c r="L5667" s="8" t="s">
        <v>22476</v>
      </c>
      <c r="M5667" s="8" t="s">
        <v>22477</v>
      </c>
      <c r="N5667" s="8" t="s">
        <v>25257</v>
      </c>
      <c r="O5667" s="8">
        <f>14+33/60+9.3/3600</f>
        <v>14.552583333333335</v>
      </c>
      <c r="P5667" s="8" t="s">
        <v>25258</v>
      </c>
      <c r="Q5667" s="8">
        <f>+(10+30/60+39/3600)</f>
        <v>10.510833333333334</v>
      </c>
      <c r="R5667" s="8">
        <v>12.9</v>
      </c>
      <c r="S5667" s="8">
        <v>13.8</v>
      </c>
      <c r="T5667" s="8">
        <v>0.9</v>
      </c>
      <c r="U5667" s="8">
        <v>12.4</v>
      </c>
      <c r="V5667" s="8">
        <v>0.9</v>
      </c>
      <c r="W5667" s="8">
        <v>0.8</v>
      </c>
      <c r="X5667" s="8">
        <v>155</v>
      </c>
      <c r="Y5667" s="8" t="s">
        <v>25259</v>
      </c>
      <c r="Z5667" s="8" t="s">
        <v>25260</v>
      </c>
    </row>
    <row r="5668" spans="1:26" x14ac:dyDescent="0.2">
      <c r="A5668" s="8">
        <v>5667</v>
      </c>
      <c r="B5668" s="8" t="s">
        <v>25261</v>
      </c>
      <c r="C5668" s="8" t="s">
        <v>25261</v>
      </c>
      <c r="F5668" s="47" t="s">
        <v>57980</v>
      </c>
      <c r="G5668" s="8">
        <v>15</v>
      </c>
      <c r="H5668" s="8" t="s">
        <v>21</v>
      </c>
      <c r="I5668" s="8" t="s">
        <v>22</v>
      </c>
      <c r="J5668" s="8" t="s">
        <v>22</v>
      </c>
      <c r="K5668" s="8" t="s">
        <v>64</v>
      </c>
      <c r="L5668" s="8" t="s">
        <v>13395</v>
      </c>
      <c r="M5668" s="8" t="s">
        <v>13396</v>
      </c>
      <c r="N5668" s="8" t="s">
        <v>25262</v>
      </c>
      <c r="O5668" s="8">
        <f>14+30/60+22.7/3600</f>
        <v>14.506305555555555</v>
      </c>
      <c r="P5668" s="8" t="s">
        <v>25263</v>
      </c>
      <c r="Q5668" s="8">
        <f>+(59+28/60+13/3600)</f>
        <v>59.470277777777781</v>
      </c>
      <c r="R5668" s="8">
        <v>12.5</v>
      </c>
      <c r="S5668" s="8">
        <v>13.2</v>
      </c>
      <c r="T5668" s="8">
        <v>0.7</v>
      </c>
      <c r="U5668" s="8">
        <v>13</v>
      </c>
      <c r="V5668" s="8">
        <v>1.7</v>
      </c>
      <c r="W5668" s="8">
        <v>1.1000000000000001</v>
      </c>
      <c r="X5668" s="8">
        <v>168</v>
      </c>
      <c r="Y5668" s="8" t="s">
        <v>25264</v>
      </c>
      <c r="Z5668" s="8" t="s">
        <v>25265</v>
      </c>
    </row>
    <row r="5669" spans="1:26" x14ac:dyDescent="0.2">
      <c r="A5669" s="8">
        <v>5668</v>
      </c>
      <c r="B5669" s="8" t="s">
        <v>25266</v>
      </c>
      <c r="C5669" s="8" t="s">
        <v>25266</v>
      </c>
      <c r="F5669" s="47" t="s">
        <v>57981</v>
      </c>
      <c r="G5669" s="8">
        <v>6.5</v>
      </c>
      <c r="H5669" s="8" t="s">
        <v>21</v>
      </c>
      <c r="I5669" s="8" t="s">
        <v>22</v>
      </c>
      <c r="J5669" s="8" t="s">
        <v>22</v>
      </c>
      <c r="K5669" s="8" t="s">
        <v>3523</v>
      </c>
      <c r="L5669" s="8" t="s">
        <v>17287</v>
      </c>
      <c r="M5669" s="8" t="s">
        <v>17288</v>
      </c>
      <c r="N5669" s="8" t="s">
        <v>25267</v>
      </c>
      <c r="O5669" s="8">
        <f>14+33/60+24.2/3600</f>
        <v>14.556722222222223</v>
      </c>
      <c r="P5669" s="8" t="s">
        <v>25268</v>
      </c>
      <c r="Q5669" s="8">
        <f>+(4+27/60+2/3600)</f>
        <v>4.4505555555555558</v>
      </c>
      <c r="R5669" s="8">
        <v>11.5</v>
      </c>
      <c r="S5669" s="8">
        <v>12.2</v>
      </c>
      <c r="T5669" s="8">
        <v>0.7</v>
      </c>
      <c r="U5669" s="8">
        <v>13.9</v>
      </c>
      <c r="V5669" s="8">
        <v>3</v>
      </c>
      <c r="W5669" s="8">
        <v>3</v>
      </c>
      <c r="Y5669" s="8" t="s">
        <v>25269</v>
      </c>
      <c r="Z5669" s="8" t="s">
        <v>25270</v>
      </c>
    </row>
    <row r="5670" spans="1:26" x14ac:dyDescent="0.2">
      <c r="A5670" s="8">
        <v>5669</v>
      </c>
      <c r="B5670" s="8" t="s">
        <v>25271</v>
      </c>
      <c r="C5670" s="8" t="s">
        <v>25271</v>
      </c>
      <c r="F5670" s="47" t="s">
        <v>57982</v>
      </c>
      <c r="G5670" s="8">
        <v>13</v>
      </c>
      <c r="H5670" s="8" t="s">
        <v>21</v>
      </c>
      <c r="I5670" s="8" t="s">
        <v>22</v>
      </c>
      <c r="J5670" s="8" t="s">
        <v>22</v>
      </c>
      <c r="K5670" s="8" t="s">
        <v>64</v>
      </c>
      <c r="L5670" s="8" t="s">
        <v>22476</v>
      </c>
      <c r="M5670" s="8" t="s">
        <v>22477</v>
      </c>
      <c r="N5670" s="8" t="s">
        <v>25272</v>
      </c>
      <c r="O5670" s="8">
        <f>14+32/60+44/3600</f>
        <v>14.545555555555556</v>
      </c>
      <c r="P5670" s="8" t="s">
        <v>25273</v>
      </c>
      <c r="Q5670" s="8">
        <f>+(9+53/60+32/3600)</f>
        <v>9.8922222222222214</v>
      </c>
      <c r="R5670" s="8">
        <v>11.3</v>
      </c>
      <c r="S5670" s="8">
        <v>12</v>
      </c>
      <c r="T5670" s="8">
        <v>0.7</v>
      </c>
      <c r="U5670" s="8">
        <v>13.8</v>
      </c>
      <c r="V5670" s="8">
        <v>4</v>
      </c>
      <c r="W5670" s="8">
        <v>2.8</v>
      </c>
      <c r="X5670" s="8">
        <v>50</v>
      </c>
      <c r="Y5670" s="8" t="s">
        <v>25274</v>
      </c>
      <c r="Z5670" s="8" t="s">
        <v>25275</v>
      </c>
    </row>
    <row r="5671" spans="1:26" x14ac:dyDescent="0.2">
      <c r="A5671" s="8">
        <v>5670</v>
      </c>
      <c r="B5671" s="8" t="s">
        <v>25276</v>
      </c>
      <c r="C5671" s="8" t="s">
        <v>25276</v>
      </c>
      <c r="F5671" s="47"/>
      <c r="G5671" s="8">
        <v>16</v>
      </c>
      <c r="H5671" s="8" t="s">
        <v>21</v>
      </c>
      <c r="I5671" s="8" t="s">
        <v>22</v>
      </c>
      <c r="J5671" s="8" t="s">
        <v>22</v>
      </c>
      <c r="K5671" s="8" t="s">
        <v>37</v>
      </c>
      <c r="L5671" s="8" t="s">
        <v>24674</v>
      </c>
      <c r="M5671" s="8" t="s">
        <v>24675</v>
      </c>
      <c r="N5671" s="8" t="s">
        <v>25277</v>
      </c>
      <c r="O5671" s="8">
        <f>14+35/60+36.1/3600</f>
        <v>14.593361111111111</v>
      </c>
      <c r="P5671" s="8" t="s">
        <v>25278</v>
      </c>
      <c r="Q5671" s="8">
        <f>-(45+58/60+0/3600)</f>
        <v>-45.966666666666669</v>
      </c>
      <c r="R5671" s="8">
        <v>12</v>
      </c>
      <c r="S5671" s="8">
        <v>13</v>
      </c>
      <c r="T5671" s="8">
        <v>1</v>
      </c>
      <c r="U5671" s="8">
        <v>12.7</v>
      </c>
      <c r="V5671" s="8">
        <v>1.5</v>
      </c>
      <c r="W5671" s="8">
        <v>0.7</v>
      </c>
      <c r="X5671" s="8">
        <v>74</v>
      </c>
      <c r="Y5671" s="8" t="s">
        <v>25279</v>
      </c>
      <c r="Z5671" s="8" t="s">
        <v>25280</v>
      </c>
    </row>
    <row r="5672" spans="1:26" x14ac:dyDescent="0.2">
      <c r="A5672" s="8">
        <v>5671</v>
      </c>
      <c r="B5672" s="8" t="s">
        <v>25281</v>
      </c>
      <c r="C5672" s="8" t="s">
        <v>25281</v>
      </c>
      <c r="F5672" s="47" t="s">
        <v>57983</v>
      </c>
      <c r="G5672" s="8">
        <v>15</v>
      </c>
      <c r="H5672" s="8" t="s">
        <v>21</v>
      </c>
      <c r="I5672" s="8" t="s">
        <v>22</v>
      </c>
      <c r="J5672" s="8" t="s">
        <v>22</v>
      </c>
      <c r="K5672" s="8" t="s">
        <v>218</v>
      </c>
      <c r="L5672" s="8" t="s">
        <v>14586</v>
      </c>
      <c r="M5672" s="8" t="s">
        <v>14587</v>
      </c>
      <c r="N5672" s="8" t="s">
        <v>25282</v>
      </c>
      <c r="O5672" s="8">
        <f>14+27/60+42.3/3600</f>
        <v>14.461749999999999</v>
      </c>
      <c r="P5672" s="8" t="s">
        <v>25283</v>
      </c>
      <c r="Q5672" s="8">
        <f>+(69+41/60+41/3600)</f>
        <v>69.694722222222225</v>
      </c>
      <c r="R5672" s="8">
        <v>13.3</v>
      </c>
      <c r="S5672" s="8">
        <v>14.1</v>
      </c>
      <c r="T5672" s="8">
        <v>0.8</v>
      </c>
      <c r="U5672" s="8">
        <v>13.9</v>
      </c>
      <c r="V5672" s="8">
        <v>1.7</v>
      </c>
      <c r="W5672" s="8">
        <v>1.2</v>
      </c>
      <c r="X5672" s="8">
        <v>45</v>
      </c>
      <c r="Y5672" s="8" t="s">
        <v>25284</v>
      </c>
      <c r="Z5672" s="8" t="s">
        <v>25285</v>
      </c>
    </row>
    <row r="5673" spans="1:26" x14ac:dyDescent="0.2">
      <c r="A5673" s="8">
        <v>5672</v>
      </c>
      <c r="B5673" s="8" t="s">
        <v>25286</v>
      </c>
      <c r="C5673" s="8" t="s">
        <v>25286</v>
      </c>
      <c r="F5673" s="47" t="s">
        <v>57984</v>
      </c>
      <c r="G5673" s="8">
        <v>15</v>
      </c>
      <c r="H5673" s="8" t="s">
        <v>21</v>
      </c>
      <c r="I5673" s="8" t="s">
        <v>22</v>
      </c>
      <c r="J5673" s="8" t="s">
        <v>22</v>
      </c>
      <c r="K5673" s="8" t="s">
        <v>23</v>
      </c>
      <c r="L5673" s="8" t="s">
        <v>22476</v>
      </c>
      <c r="M5673" s="8" t="s">
        <v>22477</v>
      </c>
      <c r="N5673" s="8" t="s">
        <v>25287</v>
      </c>
      <c r="O5673" s="8">
        <f>14+32/60+38.5/3600</f>
        <v>14.544027777777778</v>
      </c>
      <c r="P5673" s="8" t="s">
        <v>25288</v>
      </c>
      <c r="Q5673" s="8">
        <f>+(31+40/60+13/3600)</f>
        <v>31.67027777777778</v>
      </c>
      <c r="R5673" s="8">
        <v>13.5</v>
      </c>
      <c r="S5673" s="8">
        <v>14.1</v>
      </c>
      <c r="T5673" s="8">
        <v>0.6</v>
      </c>
      <c r="U5673" s="8">
        <v>12.6</v>
      </c>
      <c r="V5673" s="8">
        <v>0.8</v>
      </c>
      <c r="W5673" s="8">
        <v>0.5</v>
      </c>
      <c r="X5673" s="8">
        <v>50</v>
      </c>
      <c r="Y5673" s="8" t="s">
        <v>25289</v>
      </c>
      <c r="Z5673" s="8" t="s">
        <v>25290</v>
      </c>
    </row>
    <row r="5674" spans="1:26" x14ac:dyDescent="0.2">
      <c r="A5674" s="8">
        <v>5673</v>
      </c>
      <c r="B5674" s="8" t="s">
        <v>25291</v>
      </c>
      <c r="C5674" s="8" t="s">
        <v>25291</v>
      </c>
      <c r="F5674" s="47" t="s">
        <v>57985</v>
      </c>
      <c r="G5674" s="8">
        <v>15</v>
      </c>
      <c r="H5674" s="8" t="s">
        <v>21</v>
      </c>
      <c r="I5674" s="8" t="s">
        <v>22</v>
      </c>
      <c r="J5674" s="8" t="s">
        <v>22</v>
      </c>
      <c r="K5674" s="8" t="s">
        <v>64</v>
      </c>
      <c r="L5674" s="8" t="s">
        <v>22476</v>
      </c>
      <c r="M5674" s="8" t="s">
        <v>22477</v>
      </c>
      <c r="N5674" s="8" t="s">
        <v>25292</v>
      </c>
      <c r="O5674" s="8">
        <f>14+31/60+30.6/3600</f>
        <v>14.525166666666667</v>
      </c>
      <c r="P5674" s="8" t="s">
        <v>25293</v>
      </c>
      <c r="Q5674" s="8">
        <f>+(49+57/60+31/3600)</f>
        <v>49.958611111111111</v>
      </c>
      <c r="R5674" s="8">
        <v>12.1</v>
      </c>
      <c r="S5674" s="8">
        <v>12.9</v>
      </c>
      <c r="T5674" s="8">
        <v>0.8</v>
      </c>
      <c r="U5674" s="8">
        <v>12.5</v>
      </c>
      <c r="V5674" s="8">
        <v>2.4</v>
      </c>
      <c r="W5674" s="8">
        <v>0.6</v>
      </c>
      <c r="X5674" s="8">
        <v>136</v>
      </c>
      <c r="Y5674" s="8" t="s">
        <v>25294</v>
      </c>
      <c r="Z5674" s="8" t="s">
        <v>25295</v>
      </c>
    </row>
    <row r="5675" spans="1:26" x14ac:dyDescent="0.2">
      <c r="A5675" s="8">
        <v>5674</v>
      </c>
      <c r="B5675" s="8" t="s">
        <v>25296</v>
      </c>
      <c r="C5675" s="8" t="s">
        <v>25296</v>
      </c>
      <c r="F5675" s="47" t="s">
        <v>57986</v>
      </c>
      <c r="G5675" s="8">
        <v>15</v>
      </c>
      <c r="H5675" s="8" t="s">
        <v>21</v>
      </c>
      <c r="I5675" s="8" t="s">
        <v>22</v>
      </c>
      <c r="J5675" s="8" t="s">
        <v>22</v>
      </c>
      <c r="K5675" s="8" t="s">
        <v>64</v>
      </c>
      <c r="L5675" s="8" t="s">
        <v>17287</v>
      </c>
      <c r="M5675" s="8" t="s">
        <v>17288</v>
      </c>
      <c r="N5675" s="8" t="s">
        <v>25297</v>
      </c>
      <c r="O5675" s="8">
        <f>14+33/60+52.2/3600</f>
        <v>14.564500000000001</v>
      </c>
      <c r="P5675" s="8" t="s">
        <v>10115</v>
      </c>
      <c r="Q5675" s="8">
        <f>+(5+27/60+31/3600)</f>
        <v>5.4586111111111109</v>
      </c>
      <c r="R5675" s="8">
        <v>13</v>
      </c>
      <c r="S5675" s="8">
        <v>13.7</v>
      </c>
      <c r="T5675" s="8">
        <v>0.7</v>
      </c>
      <c r="U5675" s="8">
        <v>13</v>
      </c>
      <c r="V5675" s="8">
        <v>1.1000000000000001</v>
      </c>
      <c r="W5675" s="8">
        <v>1</v>
      </c>
      <c r="X5675" s="8">
        <v>30</v>
      </c>
      <c r="Y5675" s="8" t="s">
        <v>24988</v>
      </c>
      <c r="Z5675" s="8" t="s">
        <v>24989</v>
      </c>
    </row>
    <row r="5676" spans="1:26" x14ac:dyDescent="0.2">
      <c r="A5676" s="8">
        <v>5675</v>
      </c>
      <c r="B5676" s="8" t="s">
        <v>25298</v>
      </c>
      <c r="C5676" s="8" t="s">
        <v>25298</v>
      </c>
      <c r="F5676" s="47" t="s">
        <v>57987</v>
      </c>
      <c r="G5676" s="8">
        <v>15</v>
      </c>
      <c r="H5676" s="8" t="s">
        <v>21</v>
      </c>
      <c r="I5676" s="8" t="s">
        <v>22</v>
      </c>
      <c r="J5676" s="8" t="s">
        <v>22</v>
      </c>
      <c r="K5676" s="8" t="s">
        <v>218</v>
      </c>
      <c r="L5676" s="8" t="s">
        <v>22476</v>
      </c>
      <c r="M5676" s="8" t="s">
        <v>22477</v>
      </c>
      <c r="N5676" s="8" t="s">
        <v>25299</v>
      </c>
      <c r="O5676" s="8">
        <f>14+32/60+39.7/3600</f>
        <v>14.544361111111112</v>
      </c>
      <c r="P5676" s="8" t="s">
        <v>25300</v>
      </c>
      <c r="Q5676" s="8">
        <f>+(36+18/60+9/3600)</f>
        <v>36.302499999999995</v>
      </c>
      <c r="R5676" s="8">
        <v>12.8</v>
      </c>
      <c r="S5676" s="8">
        <v>13.6</v>
      </c>
      <c r="T5676" s="8">
        <v>0.8</v>
      </c>
      <c r="U5676" s="8">
        <v>13.8</v>
      </c>
      <c r="V5676" s="8">
        <v>2.8</v>
      </c>
      <c r="W5676" s="8">
        <v>1</v>
      </c>
      <c r="X5676" s="8">
        <v>137</v>
      </c>
      <c r="Y5676" s="8" t="s">
        <v>25301</v>
      </c>
      <c r="Z5676" s="8" t="s">
        <v>25302</v>
      </c>
    </row>
    <row r="5677" spans="1:26" x14ac:dyDescent="0.2">
      <c r="A5677" s="8">
        <v>5676</v>
      </c>
      <c r="B5677" s="8" t="s">
        <v>25303</v>
      </c>
      <c r="C5677" s="8" t="s">
        <v>25303</v>
      </c>
      <c r="F5677" s="47" t="s">
        <v>57988</v>
      </c>
      <c r="G5677" s="8">
        <v>6</v>
      </c>
      <c r="H5677" s="8" t="s">
        <v>21</v>
      </c>
      <c r="I5677" s="8" t="s">
        <v>22</v>
      </c>
      <c r="J5677" s="8" t="s">
        <v>22</v>
      </c>
      <c r="K5677" s="8" t="s">
        <v>396</v>
      </c>
      <c r="L5677" s="8" t="s">
        <v>22476</v>
      </c>
      <c r="M5677" s="8" t="s">
        <v>22477</v>
      </c>
      <c r="N5677" s="8" t="s">
        <v>25304</v>
      </c>
      <c r="O5677" s="8">
        <f>14+32/60+46.4/3600</f>
        <v>14.546222222222221</v>
      </c>
      <c r="P5677" s="8" t="s">
        <v>25305</v>
      </c>
      <c r="Q5677" s="8">
        <f>+(49+27/60+25/3600)</f>
        <v>49.456944444444446</v>
      </c>
      <c r="R5677" s="8">
        <v>11.2</v>
      </c>
      <c r="S5677" s="8">
        <v>11.9</v>
      </c>
      <c r="T5677" s="8">
        <v>0.7</v>
      </c>
      <c r="U5677" s="8">
        <v>13.2</v>
      </c>
      <c r="V5677" s="8">
        <v>3.9</v>
      </c>
      <c r="W5677" s="8">
        <v>1.8</v>
      </c>
      <c r="X5677" s="8">
        <v>47</v>
      </c>
      <c r="Y5677" s="8" t="s">
        <v>25306</v>
      </c>
      <c r="Z5677" s="8" t="s">
        <v>25307</v>
      </c>
    </row>
    <row r="5678" spans="1:26" x14ac:dyDescent="0.2">
      <c r="A5678" s="8">
        <v>5677</v>
      </c>
      <c r="B5678" s="8" t="s">
        <v>25308</v>
      </c>
      <c r="C5678" s="8" t="s">
        <v>25308</v>
      </c>
      <c r="F5678" s="47" t="s">
        <v>57989</v>
      </c>
      <c r="G5678" s="8">
        <v>15</v>
      </c>
      <c r="H5678" s="8" t="s">
        <v>21</v>
      </c>
      <c r="I5678" s="8" t="s">
        <v>22</v>
      </c>
      <c r="J5678" s="8" t="s">
        <v>22</v>
      </c>
      <c r="K5678" s="8" t="s">
        <v>396</v>
      </c>
      <c r="L5678" s="8" t="s">
        <v>22476</v>
      </c>
      <c r="M5678" s="8" t="s">
        <v>22477</v>
      </c>
      <c r="N5678" s="8" t="s">
        <v>25309</v>
      </c>
      <c r="O5678" s="8">
        <f>14+34/60+12.6/3600</f>
        <v>14.570166666666667</v>
      </c>
      <c r="P5678" s="8" t="s">
        <v>25310</v>
      </c>
      <c r="Q5678" s="8">
        <f>+(25+28/60+6/3600)</f>
        <v>25.46833333333333</v>
      </c>
      <c r="R5678" s="8">
        <v>13.8</v>
      </c>
      <c r="S5678" s="8">
        <v>14.6</v>
      </c>
      <c r="T5678" s="8">
        <v>0.8</v>
      </c>
      <c r="U5678" s="8">
        <v>13.1</v>
      </c>
      <c r="V5678" s="8">
        <v>0.9</v>
      </c>
      <c r="W5678" s="8">
        <v>0.7</v>
      </c>
      <c r="X5678" s="8">
        <v>135</v>
      </c>
      <c r="Y5678" s="8" t="s">
        <v>25311</v>
      </c>
      <c r="Z5678" s="8" t="s">
        <v>25312</v>
      </c>
    </row>
    <row r="5679" spans="1:26" x14ac:dyDescent="0.2">
      <c r="A5679" s="8">
        <v>5678</v>
      </c>
      <c r="B5679" s="8" t="s">
        <v>25313</v>
      </c>
      <c r="C5679" s="8" t="s">
        <v>25313</v>
      </c>
      <c r="F5679" s="47" t="s">
        <v>57990</v>
      </c>
      <c r="G5679" s="8">
        <v>12</v>
      </c>
      <c r="H5679" s="8" t="s">
        <v>21</v>
      </c>
      <c r="I5679" s="8" t="s">
        <v>22</v>
      </c>
      <c r="J5679" s="8" t="s">
        <v>22</v>
      </c>
      <c r="K5679" s="8" t="s">
        <v>218</v>
      </c>
      <c r="L5679" s="8" t="s">
        <v>13395</v>
      </c>
      <c r="M5679" s="8" t="s">
        <v>13396</v>
      </c>
      <c r="N5679" s="8" t="s">
        <v>25314</v>
      </c>
      <c r="O5679" s="8">
        <f>14+32/60+5.5/3600</f>
        <v>14.534861111111111</v>
      </c>
      <c r="P5679" s="8" t="s">
        <v>25315</v>
      </c>
      <c r="Q5679" s="8">
        <f>+(57+55/60+23/3600)</f>
        <v>57.92305555555555</v>
      </c>
      <c r="R5679" s="8">
        <v>11.3</v>
      </c>
      <c r="S5679" s="8">
        <v>12.1</v>
      </c>
      <c r="T5679" s="8">
        <v>0.8</v>
      </c>
      <c r="U5679" s="8">
        <v>13</v>
      </c>
      <c r="V5679" s="8">
        <v>3.3</v>
      </c>
      <c r="W5679" s="8">
        <v>1.4</v>
      </c>
      <c r="X5679" s="8">
        <v>5</v>
      </c>
      <c r="Y5679" s="8" t="s">
        <v>25316</v>
      </c>
      <c r="Z5679" s="8" t="s">
        <v>25317</v>
      </c>
    </row>
    <row r="5680" spans="1:26" x14ac:dyDescent="0.2">
      <c r="A5680" s="8">
        <v>5679</v>
      </c>
      <c r="B5680" s="8" t="s">
        <v>25318</v>
      </c>
      <c r="C5680" s="8" t="s">
        <v>25318</v>
      </c>
      <c r="F5680" s="47" t="s">
        <v>57991</v>
      </c>
      <c r="G5680" s="8">
        <v>15</v>
      </c>
      <c r="H5680" s="8" t="s">
        <v>21</v>
      </c>
      <c r="I5680" s="8" t="s">
        <v>22</v>
      </c>
      <c r="J5680" s="8" t="s">
        <v>22</v>
      </c>
      <c r="K5680" s="8" t="s">
        <v>23</v>
      </c>
      <c r="L5680" s="8" t="s">
        <v>17287</v>
      </c>
      <c r="M5680" s="8" t="s">
        <v>17288</v>
      </c>
      <c r="N5680" s="8" t="s">
        <v>25319</v>
      </c>
      <c r="O5680" s="8">
        <f>14+35/60+8.7/3600</f>
        <v>14.585750000000001</v>
      </c>
      <c r="P5680" s="8" t="s">
        <v>25320</v>
      </c>
      <c r="Q5680" s="8">
        <f>+(5+21/60+33/3600)</f>
        <v>5.359166666666666</v>
      </c>
      <c r="R5680" s="8">
        <v>13</v>
      </c>
      <c r="S5680" s="8">
        <v>13.8</v>
      </c>
      <c r="T5680" s="8">
        <v>0.8</v>
      </c>
      <c r="U5680" s="8">
        <v>12.6</v>
      </c>
      <c r="V5680" s="8">
        <v>1.1000000000000001</v>
      </c>
      <c r="W5680" s="8">
        <v>0.7</v>
      </c>
      <c r="X5680" s="8">
        <v>127</v>
      </c>
      <c r="Y5680" s="8" t="s">
        <v>25321</v>
      </c>
      <c r="Z5680" s="8" t="s">
        <v>25322</v>
      </c>
    </row>
    <row r="5681" spans="1:26" x14ac:dyDescent="0.2">
      <c r="A5681" s="8">
        <v>5680</v>
      </c>
      <c r="B5681" s="8" t="s">
        <v>25323</v>
      </c>
      <c r="C5681" s="8" t="s">
        <v>25323</v>
      </c>
      <c r="F5681" s="47"/>
      <c r="G5681" s="8">
        <v>18</v>
      </c>
      <c r="H5681" s="8" t="s">
        <v>21</v>
      </c>
      <c r="I5681" s="8" t="s">
        <v>22</v>
      </c>
      <c r="J5681" s="8" t="s">
        <v>22</v>
      </c>
      <c r="K5681" s="8" t="s">
        <v>58</v>
      </c>
      <c r="L5681" s="8" t="s">
        <v>17287</v>
      </c>
      <c r="M5681" s="8" t="s">
        <v>17288</v>
      </c>
      <c r="N5681" s="8" t="s">
        <v>25324</v>
      </c>
      <c r="O5681" s="8">
        <f>14+35/60+44.6/3600</f>
        <v>14.595722222222223</v>
      </c>
      <c r="P5681" s="8" t="s">
        <v>25325</v>
      </c>
      <c r="Q5681" s="8">
        <f>-(0+0/60+48/3600)</f>
        <v>-1.3333333333333334E-2</v>
      </c>
      <c r="R5681" s="8">
        <v>13.7</v>
      </c>
      <c r="S5681" s="8">
        <v>14.7</v>
      </c>
      <c r="T5681" s="8">
        <v>1</v>
      </c>
      <c r="U5681" s="8">
        <v>13.4</v>
      </c>
      <c r="V5681" s="8">
        <v>0.9</v>
      </c>
      <c r="W5681" s="8">
        <v>0.6</v>
      </c>
      <c r="X5681" s="8">
        <v>15</v>
      </c>
      <c r="Y5681" s="8" t="s">
        <v>282</v>
      </c>
      <c r="Z5681" s="8" t="s">
        <v>283</v>
      </c>
    </row>
    <row r="5682" spans="1:26" x14ac:dyDescent="0.2">
      <c r="A5682" s="8">
        <v>5681</v>
      </c>
      <c r="B5682" s="8" t="s">
        <v>25326</v>
      </c>
      <c r="C5682" s="8" t="s">
        <v>25326</v>
      </c>
      <c r="F5682" s="47"/>
      <c r="G5682" s="8">
        <v>18</v>
      </c>
      <c r="H5682" s="8" t="s">
        <v>21</v>
      </c>
      <c r="I5682" s="8" t="s">
        <v>22</v>
      </c>
      <c r="J5682" s="8" t="s">
        <v>22</v>
      </c>
      <c r="K5682" s="8" t="s">
        <v>23</v>
      </c>
      <c r="L5682" s="8" t="s">
        <v>22476</v>
      </c>
      <c r="M5682" s="8" t="s">
        <v>22477</v>
      </c>
      <c r="N5682" s="8" t="s">
        <v>25327</v>
      </c>
      <c r="O5682" s="8">
        <f>14+35/60+43/3600</f>
        <v>14.595277777777778</v>
      </c>
      <c r="P5682" s="8" t="s">
        <v>25328</v>
      </c>
      <c r="Q5682" s="8">
        <f>+(8+18/60+0/3600)</f>
        <v>8.3000000000000007</v>
      </c>
      <c r="R5682" s="8">
        <v>13.5</v>
      </c>
      <c r="S5682" s="8">
        <v>14.3</v>
      </c>
      <c r="T5682" s="8">
        <v>0.8</v>
      </c>
      <c r="U5682" s="8">
        <v>12.8</v>
      </c>
      <c r="V5682" s="8">
        <v>0.9</v>
      </c>
      <c r="W5682" s="8">
        <v>0.7</v>
      </c>
      <c r="X5682" s="8">
        <v>5</v>
      </c>
      <c r="Y5682" s="8" t="s">
        <v>4065</v>
      </c>
      <c r="Z5682" s="8" t="s">
        <v>4066</v>
      </c>
    </row>
    <row r="5683" spans="1:26" x14ac:dyDescent="0.2">
      <c r="A5683" s="8">
        <v>5682</v>
      </c>
      <c r="B5683" s="8" t="s">
        <v>25329</v>
      </c>
      <c r="C5683" s="8" t="s">
        <v>25329</v>
      </c>
      <c r="F5683" s="47"/>
      <c r="G5683" s="8">
        <v>18</v>
      </c>
      <c r="H5683" s="8" t="s">
        <v>21</v>
      </c>
      <c r="I5683" s="8" t="s">
        <v>22</v>
      </c>
      <c r="J5683" s="8" t="s">
        <v>22</v>
      </c>
      <c r="K5683" s="8" t="s">
        <v>218</v>
      </c>
      <c r="L5683" s="8" t="s">
        <v>22476</v>
      </c>
      <c r="M5683" s="8" t="s">
        <v>22477</v>
      </c>
      <c r="N5683" s="8" t="s">
        <v>25330</v>
      </c>
      <c r="O5683" s="8">
        <f>14+34/60+45.1/3600</f>
        <v>14.579194444444445</v>
      </c>
      <c r="P5683" s="8" t="s">
        <v>25331</v>
      </c>
      <c r="Q5683" s="8">
        <f>+(48+40/60+13/3600)</f>
        <v>48.670277777777777</v>
      </c>
      <c r="R5683" s="8">
        <v>14.1</v>
      </c>
      <c r="S5683" s="8">
        <v>14.6</v>
      </c>
      <c r="T5683" s="8">
        <v>0.5</v>
      </c>
      <c r="U5683" s="8">
        <v>13.9</v>
      </c>
      <c r="V5683" s="8">
        <v>1.6</v>
      </c>
      <c r="W5683" s="8">
        <v>0.6</v>
      </c>
      <c r="X5683" s="8">
        <v>127</v>
      </c>
      <c r="Y5683" s="8" t="s">
        <v>25332</v>
      </c>
      <c r="Z5683" s="8" t="s">
        <v>25333</v>
      </c>
    </row>
    <row r="5684" spans="1:26" x14ac:dyDescent="0.2">
      <c r="A5684" s="8">
        <v>5683</v>
      </c>
      <c r="B5684" s="8" t="s">
        <v>25334</v>
      </c>
      <c r="C5684" s="8" t="s">
        <v>25334</v>
      </c>
      <c r="F5684" s="47"/>
      <c r="G5684" s="8">
        <v>18</v>
      </c>
      <c r="H5684" s="8" t="s">
        <v>21</v>
      </c>
      <c r="I5684" s="8" t="s">
        <v>22</v>
      </c>
      <c r="J5684" s="8" t="s">
        <v>22</v>
      </c>
      <c r="K5684" s="8" t="s">
        <v>435</v>
      </c>
      <c r="L5684" s="8" t="s">
        <v>22476</v>
      </c>
      <c r="M5684" s="8" t="s">
        <v>22477</v>
      </c>
      <c r="N5684" s="8" t="s">
        <v>25335</v>
      </c>
      <c r="O5684" s="8">
        <f>14+34/60+52.4/3600</f>
        <v>14.581222222222221</v>
      </c>
      <c r="P5684" s="8" t="s">
        <v>25336</v>
      </c>
      <c r="Q5684" s="8">
        <f>+(48+39/60+45/3600)</f>
        <v>48.662500000000001</v>
      </c>
      <c r="R5684" s="8">
        <v>14.8</v>
      </c>
      <c r="S5684" s="8">
        <v>15.7</v>
      </c>
      <c r="T5684" s="8">
        <v>0.9</v>
      </c>
      <c r="U5684" s="8">
        <v>14.4</v>
      </c>
      <c r="V5684" s="8">
        <v>0.4</v>
      </c>
      <c r="W5684" s="8">
        <v>0.3</v>
      </c>
      <c r="X5684" s="8">
        <v>170</v>
      </c>
      <c r="Y5684" s="8" t="s">
        <v>25337</v>
      </c>
      <c r="Z5684" s="8" t="s">
        <v>25338</v>
      </c>
    </row>
    <row r="5685" spans="1:26" x14ac:dyDescent="0.2">
      <c r="A5685" s="8">
        <v>5684</v>
      </c>
      <c r="B5685" s="8" t="s">
        <v>25339</v>
      </c>
      <c r="C5685" s="8" t="s">
        <v>25339</v>
      </c>
      <c r="F5685" s="47" t="s">
        <v>57992</v>
      </c>
      <c r="G5685" s="8">
        <v>15</v>
      </c>
      <c r="H5685" s="8" t="s">
        <v>21</v>
      </c>
      <c r="I5685" s="8" t="s">
        <v>22</v>
      </c>
      <c r="J5685" s="8" t="s">
        <v>22</v>
      </c>
      <c r="K5685" s="8" t="s">
        <v>37</v>
      </c>
      <c r="L5685" s="8" t="s">
        <v>22476</v>
      </c>
      <c r="M5685" s="8" t="s">
        <v>22477</v>
      </c>
      <c r="N5685" s="8" t="s">
        <v>25340</v>
      </c>
      <c r="O5685" s="8">
        <f>14+35/60+50/3600</f>
        <v>14.597222222222223</v>
      </c>
      <c r="P5685" s="8" t="s">
        <v>25341</v>
      </c>
      <c r="Q5685" s="8">
        <f>+(36+32/60+37/3600)</f>
        <v>36.543611111111112</v>
      </c>
      <c r="R5685" s="8">
        <v>12.7</v>
      </c>
      <c r="S5685" s="8">
        <v>13.6</v>
      </c>
      <c r="T5685" s="8">
        <v>0.9</v>
      </c>
      <c r="U5685" s="8">
        <v>13.3</v>
      </c>
      <c r="V5685" s="8">
        <v>1.5</v>
      </c>
      <c r="W5685" s="8">
        <v>1.3</v>
      </c>
      <c r="X5685" s="8">
        <v>105</v>
      </c>
      <c r="Y5685" s="8" t="s">
        <v>25342</v>
      </c>
      <c r="Z5685" s="8" t="s">
        <v>25343</v>
      </c>
    </row>
    <row r="5686" spans="1:26" x14ac:dyDescent="0.2">
      <c r="A5686" s="8">
        <v>5685</v>
      </c>
      <c r="B5686" s="8" t="s">
        <v>25344</v>
      </c>
      <c r="C5686" s="8" t="s">
        <v>25344</v>
      </c>
      <c r="F5686" s="47"/>
      <c r="G5686" s="8">
        <v>19</v>
      </c>
      <c r="H5686" s="8" t="s">
        <v>21</v>
      </c>
      <c r="I5686" s="8" t="s">
        <v>22</v>
      </c>
      <c r="J5686" s="8" t="s">
        <v>22</v>
      </c>
      <c r="K5686" s="8" t="s">
        <v>460</v>
      </c>
      <c r="L5686" s="8" t="s">
        <v>22476</v>
      </c>
      <c r="M5686" s="8" t="s">
        <v>22477</v>
      </c>
      <c r="N5686" s="8" t="s">
        <v>25345</v>
      </c>
      <c r="O5686" s="8">
        <f>14+36/60+15.3/3600</f>
        <v>14.60425</v>
      </c>
      <c r="P5686" s="8" t="s">
        <v>25346</v>
      </c>
      <c r="Q5686" s="8">
        <f>+(29+54/60+30/3600)</f>
        <v>29.908333333333331</v>
      </c>
      <c r="R5686" s="8">
        <v>13.3</v>
      </c>
      <c r="S5686" s="8">
        <v>14.3</v>
      </c>
      <c r="T5686" s="8">
        <v>1</v>
      </c>
      <c r="U5686" s="8">
        <v>13.7</v>
      </c>
      <c r="V5686" s="8">
        <v>1.2</v>
      </c>
      <c r="W5686" s="8">
        <v>1.2</v>
      </c>
      <c r="Y5686" s="8" t="s">
        <v>25347</v>
      </c>
      <c r="Z5686" s="8" t="s">
        <v>25348</v>
      </c>
    </row>
    <row r="5687" spans="1:26" x14ac:dyDescent="0.2">
      <c r="A5687" s="8">
        <v>5686</v>
      </c>
      <c r="B5687" s="8" t="s">
        <v>25349</v>
      </c>
      <c r="C5687" s="8" t="s">
        <v>25349</v>
      </c>
      <c r="F5687" s="47"/>
      <c r="G5687" s="8">
        <v>16</v>
      </c>
      <c r="H5687" s="8" t="s">
        <v>21</v>
      </c>
      <c r="I5687" s="8" t="s">
        <v>22</v>
      </c>
      <c r="J5687" s="8" t="s">
        <v>22</v>
      </c>
      <c r="K5687" s="8" t="s">
        <v>91</v>
      </c>
      <c r="L5687" s="8" t="s">
        <v>22476</v>
      </c>
      <c r="M5687" s="8" t="s">
        <v>22477</v>
      </c>
      <c r="N5687" s="8" t="s">
        <v>25350</v>
      </c>
      <c r="O5687" s="8">
        <f>14+36/60+2.5/3600</f>
        <v>14.600694444444445</v>
      </c>
      <c r="P5687" s="8" t="s">
        <v>25351</v>
      </c>
      <c r="Q5687" s="8">
        <f>+(36+30/60+13/3600)</f>
        <v>36.503611111111113</v>
      </c>
      <c r="R5687" s="8">
        <v>14.4</v>
      </c>
      <c r="S5687" s="8">
        <v>15.3</v>
      </c>
      <c r="T5687" s="8">
        <v>0.9</v>
      </c>
      <c r="U5687" s="8">
        <v>13.1</v>
      </c>
      <c r="V5687" s="8">
        <v>0.6</v>
      </c>
      <c r="W5687" s="8">
        <v>0.6</v>
      </c>
      <c r="Y5687" s="8" t="s">
        <v>9901</v>
      </c>
      <c r="Z5687" s="8" t="s">
        <v>9902</v>
      </c>
    </row>
    <row r="5688" spans="1:26" x14ac:dyDescent="0.2">
      <c r="A5688" s="8">
        <v>5687</v>
      </c>
      <c r="B5688" s="8" t="s">
        <v>25352</v>
      </c>
      <c r="C5688" s="8" t="s">
        <v>25352</v>
      </c>
      <c r="F5688" s="47" t="s">
        <v>57993</v>
      </c>
      <c r="G5688" s="8">
        <v>6.5</v>
      </c>
      <c r="H5688" s="8" t="s">
        <v>21</v>
      </c>
      <c r="I5688" s="8" t="s">
        <v>22</v>
      </c>
      <c r="J5688" s="8" t="s">
        <v>22</v>
      </c>
      <c r="K5688" s="8" t="s">
        <v>58</v>
      </c>
      <c r="L5688" s="8" t="s">
        <v>22476</v>
      </c>
      <c r="M5688" s="8" t="s">
        <v>22477</v>
      </c>
      <c r="N5688" s="8" t="s">
        <v>25353</v>
      </c>
      <c r="O5688" s="8">
        <f>14+34/60+52.2/3600</f>
        <v>14.581166666666666</v>
      </c>
      <c r="P5688" s="8" t="s">
        <v>25354</v>
      </c>
      <c r="Q5688" s="8">
        <f>+(54+28/60+36/3600)</f>
        <v>54.476666666666667</v>
      </c>
      <c r="R5688" s="8">
        <v>11.8</v>
      </c>
      <c r="S5688" s="8">
        <v>12.6</v>
      </c>
      <c r="T5688" s="8">
        <v>0.8</v>
      </c>
      <c r="U5688" s="8">
        <v>13.1</v>
      </c>
      <c r="V5688" s="8">
        <v>2.5</v>
      </c>
      <c r="W5688" s="8">
        <v>1.9</v>
      </c>
      <c r="X5688" s="8">
        <v>105</v>
      </c>
      <c r="Y5688" s="8" t="s">
        <v>25355</v>
      </c>
      <c r="Z5688" s="8" t="s">
        <v>25356</v>
      </c>
    </row>
    <row r="5689" spans="1:26" x14ac:dyDescent="0.2">
      <c r="A5689" s="8">
        <v>5688</v>
      </c>
      <c r="B5689" s="8" t="s">
        <v>25357</v>
      </c>
      <c r="C5689" s="8" t="s">
        <v>25357</v>
      </c>
      <c r="F5689" s="47"/>
      <c r="G5689" s="8">
        <v>16</v>
      </c>
      <c r="H5689" s="8" t="s">
        <v>21</v>
      </c>
      <c r="I5689" s="8" t="s">
        <v>22</v>
      </c>
      <c r="J5689" s="8" t="s">
        <v>22</v>
      </c>
      <c r="K5689" s="8" t="s">
        <v>64</v>
      </c>
      <c r="L5689" s="8" t="s">
        <v>24674</v>
      </c>
      <c r="M5689" s="8" t="s">
        <v>24675</v>
      </c>
      <c r="N5689" s="8" t="s">
        <v>25358</v>
      </c>
      <c r="O5689" s="8">
        <f>14+39/60+35.1/3600</f>
        <v>14.659750000000001</v>
      </c>
      <c r="P5689" s="8" t="s">
        <v>25359</v>
      </c>
      <c r="Q5689" s="8">
        <f>-(45+1/60+7/3600)</f>
        <v>-45.018611111111113</v>
      </c>
      <c r="R5689" s="8">
        <v>11.9</v>
      </c>
      <c r="S5689" s="8">
        <v>12.8</v>
      </c>
      <c r="T5689" s="8">
        <v>0.9</v>
      </c>
      <c r="U5689" s="8">
        <v>14.1</v>
      </c>
      <c r="V5689" s="8">
        <v>3.1</v>
      </c>
      <c r="W5689" s="8">
        <v>1.9</v>
      </c>
      <c r="X5689" s="8">
        <v>85</v>
      </c>
      <c r="Y5689" s="8" t="s">
        <v>25360</v>
      </c>
      <c r="Z5689" s="8" t="s">
        <v>25361</v>
      </c>
    </row>
    <row r="5690" spans="1:26" x14ac:dyDescent="0.2">
      <c r="A5690" s="8">
        <v>5689</v>
      </c>
      <c r="B5690" s="8" t="s">
        <v>25362</v>
      </c>
      <c r="C5690" s="8" t="s">
        <v>25362</v>
      </c>
      <c r="F5690" s="47" t="s">
        <v>57994</v>
      </c>
      <c r="G5690" s="8">
        <v>6</v>
      </c>
      <c r="H5690" s="8" t="s">
        <v>21</v>
      </c>
      <c r="I5690" s="8" t="s">
        <v>22</v>
      </c>
      <c r="J5690" s="8" t="s">
        <v>22</v>
      </c>
      <c r="K5690" s="8" t="s">
        <v>435</v>
      </c>
      <c r="L5690" s="8" t="s">
        <v>22476</v>
      </c>
      <c r="M5690" s="8" t="s">
        <v>22477</v>
      </c>
      <c r="N5690" s="8" t="s">
        <v>25363</v>
      </c>
      <c r="O5690" s="8">
        <f>14+35/60+29.6/3600</f>
        <v>14.591555555555557</v>
      </c>
      <c r="P5690" s="8" t="s">
        <v>25364</v>
      </c>
      <c r="Q5690" s="8">
        <f>+(48+44/60+30/3600)</f>
        <v>48.741666666666667</v>
      </c>
      <c r="R5690" s="8">
        <v>11.9</v>
      </c>
      <c r="S5690" s="8">
        <v>12.8</v>
      </c>
      <c r="T5690" s="8">
        <v>0.9</v>
      </c>
      <c r="U5690" s="8">
        <v>13</v>
      </c>
      <c r="V5690" s="8">
        <v>3.3</v>
      </c>
      <c r="W5690" s="8">
        <v>1</v>
      </c>
      <c r="X5690" s="8">
        <v>85</v>
      </c>
      <c r="Y5690" s="8" t="s">
        <v>25365</v>
      </c>
      <c r="Z5690" s="8" t="s">
        <v>25366</v>
      </c>
    </row>
    <row r="5691" spans="1:26" x14ac:dyDescent="0.2">
      <c r="A5691" s="8">
        <v>5690</v>
      </c>
      <c r="B5691" s="8" t="s">
        <v>25367</v>
      </c>
      <c r="C5691" s="8" t="s">
        <v>25367</v>
      </c>
      <c r="F5691" s="47" t="s">
        <v>57995</v>
      </c>
      <c r="G5691" s="8">
        <v>13</v>
      </c>
      <c r="H5691" s="8" t="s">
        <v>21</v>
      </c>
      <c r="I5691" s="8" t="s">
        <v>22</v>
      </c>
      <c r="J5691" s="8" t="s">
        <v>22</v>
      </c>
      <c r="K5691" s="8" t="s">
        <v>160</v>
      </c>
      <c r="L5691" s="8" t="s">
        <v>17287</v>
      </c>
      <c r="M5691" s="8" t="s">
        <v>17288</v>
      </c>
      <c r="N5691" s="8" t="s">
        <v>25368</v>
      </c>
      <c r="O5691" s="8">
        <f>14+37/60+41.1/3600</f>
        <v>14.628083333333334</v>
      </c>
      <c r="P5691" s="8" t="s">
        <v>25369</v>
      </c>
      <c r="Q5691" s="8">
        <f>+(2+17/60+26/3600)</f>
        <v>2.2905555555555552</v>
      </c>
      <c r="R5691" s="8">
        <v>11.8</v>
      </c>
      <c r="S5691" s="8">
        <v>12.7</v>
      </c>
      <c r="T5691" s="8">
        <v>0.9</v>
      </c>
      <c r="U5691" s="8">
        <v>13</v>
      </c>
      <c r="V5691" s="8">
        <v>3.4</v>
      </c>
      <c r="W5691" s="8">
        <v>1</v>
      </c>
      <c r="X5691" s="8">
        <v>143</v>
      </c>
      <c r="Y5691" s="8" t="s">
        <v>25370</v>
      </c>
      <c r="Z5691" s="8" t="s">
        <v>25371</v>
      </c>
    </row>
    <row r="5692" spans="1:26" x14ac:dyDescent="0.2">
      <c r="A5692" s="8">
        <v>5691</v>
      </c>
      <c r="B5692" s="8" t="s">
        <v>25372</v>
      </c>
      <c r="C5692" s="8" t="s">
        <v>25372</v>
      </c>
      <c r="F5692" s="47" t="s">
        <v>57996</v>
      </c>
      <c r="G5692" s="8">
        <v>13</v>
      </c>
      <c r="H5692" s="8" t="s">
        <v>21</v>
      </c>
      <c r="I5692" s="8" t="s">
        <v>22</v>
      </c>
      <c r="J5692" s="8" t="s">
        <v>22</v>
      </c>
      <c r="K5692" s="8" t="s">
        <v>7975</v>
      </c>
      <c r="L5692" s="8" t="s">
        <v>17287</v>
      </c>
      <c r="M5692" s="8" t="s">
        <v>17288</v>
      </c>
      <c r="N5692" s="8" t="s">
        <v>25111</v>
      </c>
      <c r="O5692" s="8">
        <f>14+37/60+53.4/3600</f>
        <v>14.631500000000001</v>
      </c>
      <c r="P5692" s="8" t="s">
        <v>25112</v>
      </c>
      <c r="Q5692" s="8">
        <f>-(0+23/60+53/3600)</f>
        <v>-0.39805555555555561</v>
      </c>
      <c r="R5692" s="8">
        <v>11.8</v>
      </c>
      <c r="S5692" s="8">
        <v>12.3</v>
      </c>
      <c r="T5692" s="8">
        <v>0.5</v>
      </c>
      <c r="U5692" s="8">
        <v>13.2</v>
      </c>
      <c r="V5692" s="8">
        <v>1.9</v>
      </c>
      <c r="W5692" s="8">
        <v>1.4</v>
      </c>
      <c r="X5692" s="8">
        <v>110</v>
      </c>
      <c r="Y5692" s="8" t="s">
        <v>25373</v>
      </c>
      <c r="Z5692" s="8" t="s">
        <v>25374</v>
      </c>
    </row>
    <row r="5693" spans="1:26" x14ac:dyDescent="0.2">
      <c r="A5693" s="8">
        <v>5692</v>
      </c>
      <c r="B5693" s="8" t="s">
        <v>25375</v>
      </c>
      <c r="C5693" s="8" t="s">
        <v>25375</v>
      </c>
      <c r="F5693" s="47"/>
      <c r="G5693" s="8">
        <v>19</v>
      </c>
      <c r="H5693" s="8" t="s">
        <v>21</v>
      </c>
      <c r="I5693" s="8" t="s">
        <v>22</v>
      </c>
      <c r="J5693" s="8" t="s">
        <v>22</v>
      </c>
      <c r="K5693" s="8" t="s">
        <v>476</v>
      </c>
      <c r="L5693" s="8" t="s">
        <v>17287</v>
      </c>
      <c r="M5693" s="8" t="s">
        <v>17288</v>
      </c>
      <c r="N5693" s="8" t="s">
        <v>25376</v>
      </c>
      <c r="O5693" s="8">
        <f>14+38/60+18/3600</f>
        <v>14.638333333333334</v>
      </c>
      <c r="P5693" s="8" t="s">
        <v>25377</v>
      </c>
      <c r="Q5693" s="8">
        <f>+(3+24/60+36/3600)</f>
        <v>3.4099999999999997</v>
      </c>
      <c r="R5693" s="8">
        <v>13</v>
      </c>
      <c r="S5693" s="8">
        <v>13.9</v>
      </c>
      <c r="T5693" s="8">
        <v>0.9</v>
      </c>
      <c r="U5693" s="8">
        <v>12.2</v>
      </c>
      <c r="V5693" s="8">
        <v>0.9</v>
      </c>
      <c r="W5693" s="8">
        <v>0.6</v>
      </c>
      <c r="X5693" s="8">
        <v>35</v>
      </c>
      <c r="Y5693" s="8" t="s">
        <v>9839</v>
      </c>
      <c r="Z5693" s="8" t="s">
        <v>9840</v>
      </c>
    </row>
    <row r="5694" spans="1:26" x14ac:dyDescent="0.2">
      <c r="A5694" s="8">
        <v>5693</v>
      </c>
      <c r="B5694" s="8" t="s">
        <v>25378</v>
      </c>
      <c r="C5694" s="8" t="s">
        <v>25378</v>
      </c>
      <c r="F5694" s="47"/>
      <c r="G5694" s="8">
        <v>18</v>
      </c>
      <c r="H5694" s="8" t="s">
        <v>21</v>
      </c>
      <c r="I5694" s="8" t="s">
        <v>22</v>
      </c>
      <c r="J5694" s="8" t="s">
        <v>22</v>
      </c>
      <c r="K5694" s="8" t="s">
        <v>269</v>
      </c>
      <c r="L5694" s="8" t="s">
        <v>22476</v>
      </c>
      <c r="M5694" s="8" t="s">
        <v>22477</v>
      </c>
      <c r="N5694" s="8" t="s">
        <v>25379</v>
      </c>
      <c r="O5694" s="8">
        <f>14+36/60+11.3/3600</f>
        <v>14.603138888888889</v>
      </c>
      <c r="P5694" s="8" t="s">
        <v>25380</v>
      </c>
      <c r="Q5694" s="8">
        <f>+(48+35/60+7/3600)</f>
        <v>48.585277777777783</v>
      </c>
      <c r="R5694" s="8">
        <v>13.5</v>
      </c>
      <c r="S5694" s="8">
        <v>14.1</v>
      </c>
      <c r="T5694" s="8">
        <v>0.6</v>
      </c>
      <c r="U5694" s="8">
        <v>14.4</v>
      </c>
      <c r="V5694" s="8">
        <v>1.8</v>
      </c>
      <c r="W5694" s="8">
        <v>1.5</v>
      </c>
      <c r="X5694" s="8">
        <v>0</v>
      </c>
      <c r="Y5694" s="8" t="s">
        <v>25381</v>
      </c>
      <c r="Z5694" s="8" t="s">
        <v>25382</v>
      </c>
    </row>
    <row r="5695" spans="1:26" x14ac:dyDescent="0.2">
      <c r="A5695" s="8">
        <v>5694</v>
      </c>
      <c r="B5695" s="8" t="s">
        <v>25383</v>
      </c>
      <c r="C5695" s="8" t="s">
        <v>25383</v>
      </c>
      <c r="F5695" s="47" t="s">
        <v>57997</v>
      </c>
      <c r="G5695" s="8">
        <v>2</v>
      </c>
      <c r="H5695" s="8" t="s">
        <v>21</v>
      </c>
      <c r="I5695" s="8" t="s">
        <v>567</v>
      </c>
      <c r="J5695" s="8" t="s">
        <v>567</v>
      </c>
      <c r="K5695" s="8" t="s">
        <v>25384</v>
      </c>
      <c r="L5695" s="8" t="s">
        <v>11765</v>
      </c>
      <c r="M5695" s="8" t="s">
        <v>11766</v>
      </c>
      <c r="N5695" s="8" t="s">
        <v>25385</v>
      </c>
      <c r="O5695" s="8">
        <f>14+39/60+36.5/3600</f>
        <v>14.660138888888889</v>
      </c>
      <c r="P5695" s="8" t="s">
        <v>25386</v>
      </c>
      <c r="Q5695" s="8">
        <f>-(26+32/60+16/3600)</f>
        <v>-26.53777777777778</v>
      </c>
      <c r="R5695" s="8">
        <v>10.199999999999999</v>
      </c>
      <c r="S5695" s="8">
        <v>99</v>
      </c>
      <c r="T5695" s="8">
        <v>99</v>
      </c>
      <c r="U5695" s="8">
        <v>99</v>
      </c>
      <c r="V5695" s="8">
        <v>4.3</v>
      </c>
      <c r="Y5695" s="8" t="s">
        <v>25387</v>
      </c>
      <c r="Z5695" s="8" t="s">
        <v>25388</v>
      </c>
    </row>
    <row r="5696" spans="1:26" x14ac:dyDescent="0.2">
      <c r="A5696" s="8">
        <v>5695</v>
      </c>
      <c r="B5696" s="8" t="s">
        <v>25389</v>
      </c>
      <c r="C5696" s="8" t="s">
        <v>25389</v>
      </c>
      <c r="F5696" s="47" t="s">
        <v>57998</v>
      </c>
      <c r="G5696" s="8">
        <v>15</v>
      </c>
      <c r="H5696" s="8" t="s">
        <v>21</v>
      </c>
      <c r="I5696" s="8" t="s">
        <v>22</v>
      </c>
      <c r="J5696" s="8" t="s">
        <v>22</v>
      </c>
      <c r="K5696" s="8" t="s">
        <v>154</v>
      </c>
      <c r="L5696" s="8" t="s">
        <v>22476</v>
      </c>
      <c r="M5696" s="8" t="s">
        <v>22477</v>
      </c>
      <c r="N5696" s="8" t="s">
        <v>25390</v>
      </c>
      <c r="O5696" s="8">
        <f>14+37/60+22/3600</f>
        <v>14.622777777777777</v>
      </c>
      <c r="P5696" s="8" t="s">
        <v>25391</v>
      </c>
      <c r="Q5696" s="8">
        <f>+(36+34/60+4/3600)</f>
        <v>36.567777777777778</v>
      </c>
      <c r="R5696" s="8">
        <v>12.8</v>
      </c>
      <c r="S5696" s="8">
        <v>13.6</v>
      </c>
      <c r="T5696" s="8">
        <v>0.8</v>
      </c>
      <c r="U5696" s="8">
        <v>13.2</v>
      </c>
      <c r="V5696" s="8">
        <v>1.5</v>
      </c>
      <c r="W5696" s="8">
        <v>1.1000000000000001</v>
      </c>
      <c r="X5696" s="8">
        <v>150</v>
      </c>
      <c r="Y5696" s="8" t="s">
        <v>25392</v>
      </c>
      <c r="Z5696" s="8" t="s">
        <v>25393</v>
      </c>
    </row>
    <row r="5697" spans="1:26" x14ac:dyDescent="0.2">
      <c r="A5697" s="8">
        <v>5696</v>
      </c>
      <c r="B5697" s="8" t="s">
        <v>25394</v>
      </c>
      <c r="C5697" s="8" t="s">
        <v>25394</v>
      </c>
      <c r="F5697" s="47" t="s">
        <v>57999</v>
      </c>
      <c r="G5697" s="8">
        <v>15</v>
      </c>
      <c r="H5697" s="8" t="s">
        <v>21</v>
      </c>
      <c r="I5697" s="8" t="s">
        <v>22</v>
      </c>
      <c r="J5697" s="8" t="s">
        <v>22</v>
      </c>
      <c r="K5697" s="8" t="s">
        <v>396</v>
      </c>
      <c r="L5697" s="8" t="s">
        <v>22476</v>
      </c>
      <c r="M5697" s="8" t="s">
        <v>22477</v>
      </c>
      <c r="N5697" s="8" t="s">
        <v>25395</v>
      </c>
      <c r="O5697" s="8">
        <f>14+36/60+57/3600</f>
        <v>14.615833333333333</v>
      </c>
      <c r="P5697" s="8" t="s">
        <v>25396</v>
      </c>
      <c r="Q5697" s="8">
        <f>+(41+49/60+42/3600)</f>
        <v>41.828333333333333</v>
      </c>
      <c r="R5697" s="8">
        <v>13</v>
      </c>
      <c r="S5697" s="8">
        <v>13.8</v>
      </c>
      <c r="T5697" s="8">
        <v>0.8</v>
      </c>
      <c r="U5697" s="8">
        <v>14</v>
      </c>
      <c r="V5697" s="8">
        <v>2</v>
      </c>
      <c r="W5697" s="8">
        <v>1.5</v>
      </c>
      <c r="X5697" s="8">
        <v>45</v>
      </c>
      <c r="Y5697" s="8" t="s">
        <v>25397</v>
      </c>
      <c r="Z5697" s="8" t="s">
        <v>25398</v>
      </c>
    </row>
    <row r="5698" spans="1:26" x14ac:dyDescent="0.2">
      <c r="A5698" s="8">
        <v>5697</v>
      </c>
      <c r="B5698" s="8" t="s">
        <v>25399</v>
      </c>
      <c r="C5698" s="8" t="s">
        <v>25399</v>
      </c>
      <c r="F5698" s="47" t="s">
        <v>58000</v>
      </c>
      <c r="G5698" s="8">
        <v>15</v>
      </c>
      <c r="H5698" s="8" t="s">
        <v>21</v>
      </c>
      <c r="I5698" s="8" t="s">
        <v>22</v>
      </c>
      <c r="J5698" s="8" t="s">
        <v>22</v>
      </c>
      <c r="K5698" s="8" t="s">
        <v>23</v>
      </c>
      <c r="L5698" s="8" t="s">
        <v>22476</v>
      </c>
      <c r="M5698" s="8" t="s">
        <v>22477</v>
      </c>
      <c r="N5698" s="8" t="s">
        <v>25400</v>
      </c>
      <c r="O5698" s="8">
        <f>14+36/60+32/3600</f>
        <v>14.608888888888888</v>
      </c>
      <c r="P5698" s="8" t="s">
        <v>1070</v>
      </c>
      <c r="Q5698" s="8">
        <f>+(41+41/60+7/3600)</f>
        <v>41.685277777777777</v>
      </c>
      <c r="R5698" s="8">
        <v>13.8</v>
      </c>
      <c r="S5698" s="8">
        <v>14.6</v>
      </c>
      <c r="T5698" s="8">
        <v>0.8</v>
      </c>
      <c r="U5698" s="8">
        <v>13.4</v>
      </c>
      <c r="V5698" s="8">
        <v>1.1000000000000001</v>
      </c>
      <c r="W5698" s="8">
        <v>0.7</v>
      </c>
      <c r="X5698" s="8">
        <v>21</v>
      </c>
      <c r="Y5698" s="8" t="s">
        <v>25401</v>
      </c>
      <c r="Z5698" s="8" t="s">
        <v>25402</v>
      </c>
    </row>
    <row r="5699" spans="1:26" x14ac:dyDescent="0.2">
      <c r="A5699" s="8">
        <v>5698</v>
      </c>
      <c r="B5699" s="8" t="s">
        <v>25403</v>
      </c>
      <c r="C5699" s="8" t="s">
        <v>25403</v>
      </c>
      <c r="F5699" s="47" t="s">
        <v>58001</v>
      </c>
      <c r="G5699" s="8">
        <v>15</v>
      </c>
      <c r="H5699" s="8" t="s">
        <v>21</v>
      </c>
      <c r="I5699" s="8" t="s">
        <v>22</v>
      </c>
      <c r="J5699" s="8" t="s">
        <v>22</v>
      </c>
      <c r="K5699" s="8" t="s">
        <v>218</v>
      </c>
      <c r="L5699" s="8" t="s">
        <v>22476</v>
      </c>
      <c r="M5699" s="8" t="s">
        <v>22477</v>
      </c>
      <c r="N5699" s="8" t="s">
        <v>25404</v>
      </c>
      <c r="O5699" s="8">
        <f>14+37/60+14.6/3600</f>
        <v>14.620722222222224</v>
      </c>
      <c r="P5699" s="8" t="s">
        <v>25405</v>
      </c>
      <c r="Q5699" s="8">
        <f>+(38+27/60+16/3600)</f>
        <v>38.454444444444448</v>
      </c>
      <c r="R5699" s="8">
        <v>13</v>
      </c>
      <c r="S5699" s="8">
        <v>13.8</v>
      </c>
      <c r="T5699" s="8">
        <v>0.8</v>
      </c>
      <c r="U5699" s="8">
        <v>13.5</v>
      </c>
      <c r="V5699" s="8">
        <v>1.8</v>
      </c>
      <c r="W5699" s="8">
        <v>0.9</v>
      </c>
      <c r="X5699" s="8">
        <v>70</v>
      </c>
      <c r="Y5699" s="8" t="s">
        <v>25406</v>
      </c>
      <c r="Z5699" s="8" t="s">
        <v>25407</v>
      </c>
    </row>
    <row r="5700" spans="1:26" x14ac:dyDescent="0.2">
      <c r="A5700" s="8">
        <v>5699</v>
      </c>
      <c r="B5700" s="8" t="s">
        <v>25408</v>
      </c>
      <c r="C5700" s="8" t="s">
        <v>25408</v>
      </c>
      <c r="F5700" s="47" t="s">
        <v>58002</v>
      </c>
      <c r="G5700" s="8">
        <v>15</v>
      </c>
      <c r="H5700" s="8" t="s">
        <v>21</v>
      </c>
      <c r="I5700" s="8" t="s">
        <v>22</v>
      </c>
      <c r="J5700" s="8" t="s">
        <v>22</v>
      </c>
      <c r="K5700" s="8" t="s">
        <v>382</v>
      </c>
      <c r="L5700" s="8" t="s">
        <v>22476</v>
      </c>
      <c r="M5700" s="8" t="s">
        <v>22477</v>
      </c>
      <c r="N5700" s="8" t="s">
        <v>25409</v>
      </c>
      <c r="O5700" s="8">
        <f>14+38/60+42.4/3600</f>
        <v>14.645111111111111</v>
      </c>
      <c r="P5700" s="8" t="s">
        <v>25410</v>
      </c>
      <c r="Q5700" s="8">
        <f>+(30+27/60+57/3600)</f>
        <v>30.465833333333332</v>
      </c>
      <c r="R5700" s="8">
        <v>14.8</v>
      </c>
      <c r="S5700" s="8">
        <v>15.8</v>
      </c>
      <c r="T5700" s="8">
        <v>1</v>
      </c>
      <c r="U5700" s="8">
        <v>12.6</v>
      </c>
      <c r="V5700" s="8">
        <v>0.4</v>
      </c>
      <c r="W5700" s="8">
        <v>0.3</v>
      </c>
      <c r="X5700" s="8">
        <v>75</v>
      </c>
      <c r="Y5700" s="8" t="s">
        <v>266</v>
      </c>
      <c r="Z5700" s="8" t="s">
        <v>267</v>
      </c>
    </row>
    <row r="5701" spans="1:26" x14ac:dyDescent="0.2">
      <c r="A5701" s="8">
        <v>5700</v>
      </c>
      <c r="B5701" s="8" t="s">
        <v>25411</v>
      </c>
      <c r="C5701" s="8" t="s">
        <v>25411</v>
      </c>
      <c r="F5701" s="47"/>
      <c r="G5701" s="8">
        <v>19</v>
      </c>
      <c r="H5701" s="8" t="s">
        <v>21</v>
      </c>
      <c r="I5701" s="8" t="s">
        <v>22</v>
      </c>
      <c r="J5701" s="8" t="s">
        <v>22</v>
      </c>
      <c r="K5701" s="8" t="s">
        <v>85</v>
      </c>
      <c r="L5701" s="8" t="s">
        <v>22476</v>
      </c>
      <c r="M5701" s="8" t="s">
        <v>22477</v>
      </c>
      <c r="N5701" s="8" t="s">
        <v>25412</v>
      </c>
      <c r="O5701" s="8">
        <f>14+37/60+1.6/3600</f>
        <v>14.617111111111111</v>
      </c>
      <c r="P5701" s="8" t="s">
        <v>25413</v>
      </c>
      <c r="Q5701" s="8">
        <f>+(48+32/60+43/3600)</f>
        <v>48.545277777777777</v>
      </c>
      <c r="R5701" s="8">
        <v>14.5</v>
      </c>
      <c r="S5701" s="8">
        <v>15.3</v>
      </c>
      <c r="T5701" s="8">
        <v>0.8</v>
      </c>
      <c r="U5701" s="8">
        <v>13.4</v>
      </c>
      <c r="V5701" s="8">
        <v>1</v>
      </c>
      <c r="W5701" s="8">
        <v>0.4</v>
      </c>
      <c r="X5701" s="8">
        <v>38</v>
      </c>
      <c r="Y5701" s="8" t="s">
        <v>25414</v>
      </c>
      <c r="Z5701" s="8" t="s">
        <v>25415</v>
      </c>
    </row>
    <row r="5702" spans="1:26" x14ac:dyDescent="0.2">
      <c r="A5702" s="8">
        <v>5701</v>
      </c>
      <c r="B5702" s="8" t="s">
        <v>25416</v>
      </c>
      <c r="C5702" s="8" t="s">
        <v>25416</v>
      </c>
      <c r="F5702" s="47" t="s">
        <v>58003</v>
      </c>
      <c r="G5702" s="8">
        <v>13</v>
      </c>
      <c r="H5702" s="8" t="s">
        <v>21</v>
      </c>
      <c r="I5702" s="8" t="s">
        <v>22</v>
      </c>
      <c r="J5702" s="8" t="s">
        <v>22</v>
      </c>
      <c r="K5702" s="8" t="s">
        <v>435</v>
      </c>
      <c r="L5702" s="8" t="s">
        <v>17287</v>
      </c>
      <c r="M5702" s="8" t="s">
        <v>17288</v>
      </c>
      <c r="N5702" s="8" t="s">
        <v>25417</v>
      </c>
      <c r="O5702" s="8">
        <f>14+39/60+11.1/3600</f>
        <v>14.653083333333333</v>
      </c>
      <c r="P5702" s="8" t="s">
        <v>25418</v>
      </c>
      <c r="Q5702" s="8">
        <f>+(5+21/60+49/3600)</f>
        <v>5.3636111111111111</v>
      </c>
      <c r="R5702" s="8">
        <v>10.9</v>
      </c>
      <c r="S5702" s="8">
        <v>11.8</v>
      </c>
      <c r="T5702" s="8">
        <v>0.9</v>
      </c>
      <c r="U5702" s="8">
        <v>13.9</v>
      </c>
      <c r="V5702" s="8">
        <v>4.3</v>
      </c>
      <c r="W5702" s="8">
        <v>4.0999999999999996</v>
      </c>
      <c r="X5702" s="8">
        <v>90</v>
      </c>
      <c r="Y5702" s="8" t="s">
        <v>25419</v>
      </c>
      <c r="Z5702" s="8" t="s">
        <v>25420</v>
      </c>
    </row>
    <row r="5703" spans="1:26" x14ac:dyDescent="0.2">
      <c r="A5703" s="8">
        <v>5702</v>
      </c>
      <c r="B5703" s="8" t="s">
        <v>25421</v>
      </c>
      <c r="C5703" s="8" t="s">
        <v>25421</v>
      </c>
      <c r="F5703" s="47" t="s">
        <v>58004</v>
      </c>
      <c r="G5703" s="8">
        <v>15</v>
      </c>
      <c r="H5703" s="8" t="s">
        <v>21</v>
      </c>
      <c r="I5703" s="8" t="s">
        <v>22</v>
      </c>
      <c r="J5703" s="8" t="s">
        <v>22</v>
      </c>
      <c r="K5703" s="8" t="s">
        <v>37</v>
      </c>
      <c r="L5703" s="8" t="s">
        <v>22476</v>
      </c>
      <c r="M5703" s="8" t="s">
        <v>22477</v>
      </c>
      <c r="N5703" s="8" t="s">
        <v>25422</v>
      </c>
      <c r="O5703" s="8">
        <f>14+38/60+55/3600</f>
        <v>14.64861111111111</v>
      </c>
      <c r="P5703" s="8" t="s">
        <v>25423</v>
      </c>
      <c r="Q5703" s="8">
        <f>+(20+30/60+24/3600)</f>
        <v>20.506666666666668</v>
      </c>
      <c r="R5703" s="8">
        <v>13.4</v>
      </c>
      <c r="S5703" s="8">
        <v>14.4</v>
      </c>
      <c r="T5703" s="8">
        <v>1</v>
      </c>
      <c r="U5703" s="8">
        <v>13.1</v>
      </c>
      <c r="V5703" s="8">
        <v>1.1000000000000001</v>
      </c>
      <c r="W5703" s="8">
        <v>0.8</v>
      </c>
      <c r="X5703" s="8">
        <v>150</v>
      </c>
      <c r="Y5703" s="8" t="s">
        <v>282</v>
      </c>
      <c r="Z5703" s="8" t="s">
        <v>283</v>
      </c>
    </row>
    <row r="5704" spans="1:26" x14ac:dyDescent="0.2">
      <c r="A5704" s="8">
        <v>5703</v>
      </c>
      <c r="B5704" s="8" t="s">
        <v>25424</v>
      </c>
      <c r="C5704" s="8" t="s">
        <v>25424</v>
      </c>
      <c r="F5704" s="47" t="s">
        <v>58005</v>
      </c>
      <c r="G5704" s="8">
        <v>15</v>
      </c>
      <c r="H5704" s="8" t="s">
        <v>21</v>
      </c>
      <c r="I5704" s="8" t="s">
        <v>22</v>
      </c>
      <c r="J5704" s="8" t="s">
        <v>22</v>
      </c>
      <c r="K5704" s="8" t="s">
        <v>154</v>
      </c>
      <c r="L5704" s="8" t="s">
        <v>22476</v>
      </c>
      <c r="M5704" s="8" t="s">
        <v>22477</v>
      </c>
      <c r="N5704" s="8" t="s">
        <v>25425</v>
      </c>
      <c r="O5704" s="8">
        <f>14+38/60+50.2/3600</f>
        <v>14.647277777777777</v>
      </c>
      <c r="P5704" s="8" t="s">
        <v>25426</v>
      </c>
      <c r="Q5704" s="8">
        <f>+(30+26/60+33/3600)</f>
        <v>30.442499999999999</v>
      </c>
      <c r="R5704" s="8">
        <v>13.6</v>
      </c>
      <c r="S5704" s="8">
        <v>14.5</v>
      </c>
      <c r="T5704" s="8">
        <v>0.9</v>
      </c>
      <c r="U5704" s="8">
        <v>13</v>
      </c>
      <c r="V5704" s="8">
        <v>1.6</v>
      </c>
      <c r="W5704" s="8">
        <v>0.4</v>
      </c>
      <c r="X5704" s="8">
        <v>105</v>
      </c>
      <c r="Y5704" s="8" t="s">
        <v>755</v>
      </c>
      <c r="Z5704" s="8" t="s">
        <v>756</v>
      </c>
    </row>
    <row r="5705" spans="1:26" x14ac:dyDescent="0.2">
      <c r="A5705" s="8">
        <v>5704</v>
      </c>
      <c r="B5705" s="8" t="s">
        <v>25427</v>
      </c>
      <c r="C5705" s="8" t="s">
        <v>25427</v>
      </c>
      <c r="F5705" s="47" t="s">
        <v>58006</v>
      </c>
      <c r="G5705" s="8">
        <v>15</v>
      </c>
      <c r="H5705" s="8" t="s">
        <v>21</v>
      </c>
      <c r="I5705" s="8" t="s">
        <v>22</v>
      </c>
      <c r="J5705" s="8" t="s">
        <v>22</v>
      </c>
      <c r="K5705" s="8" t="s">
        <v>3523</v>
      </c>
      <c r="L5705" s="8" t="s">
        <v>22476</v>
      </c>
      <c r="M5705" s="8" t="s">
        <v>22477</v>
      </c>
      <c r="N5705" s="8" t="s">
        <v>25428</v>
      </c>
      <c r="O5705" s="8">
        <f>14+38/60+16.2/3600</f>
        <v>14.637833333333333</v>
      </c>
      <c r="P5705" s="8" t="s">
        <v>25429</v>
      </c>
      <c r="Q5705" s="8">
        <f>+(40+27/60+28/3600)</f>
        <v>40.457777777777778</v>
      </c>
      <c r="R5705" s="8">
        <v>13.3</v>
      </c>
      <c r="S5705" s="8">
        <v>13.9</v>
      </c>
      <c r="T5705" s="8">
        <v>0.6</v>
      </c>
      <c r="U5705" s="8">
        <v>13.1</v>
      </c>
      <c r="V5705" s="8">
        <v>1.6</v>
      </c>
      <c r="W5705" s="8">
        <v>0.6</v>
      </c>
      <c r="X5705" s="8">
        <v>177</v>
      </c>
      <c r="Y5705" s="8" t="s">
        <v>25430</v>
      </c>
      <c r="Z5705" s="8" t="s">
        <v>25431</v>
      </c>
    </row>
    <row r="5706" spans="1:26" x14ac:dyDescent="0.2">
      <c r="A5706" s="8">
        <v>5705</v>
      </c>
      <c r="B5706" s="8" t="s">
        <v>25432</v>
      </c>
      <c r="C5706" s="8" t="s">
        <v>25432</v>
      </c>
      <c r="F5706" s="47"/>
      <c r="G5706" s="8">
        <v>19</v>
      </c>
      <c r="H5706" s="8" t="s">
        <v>21</v>
      </c>
      <c r="I5706" s="8" t="s">
        <v>22</v>
      </c>
      <c r="J5706" s="8" t="s">
        <v>22</v>
      </c>
      <c r="K5706" s="8" t="s">
        <v>1277</v>
      </c>
      <c r="L5706" s="8" t="s">
        <v>17287</v>
      </c>
      <c r="M5706" s="8" t="s">
        <v>17288</v>
      </c>
      <c r="N5706" s="8" t="s">
        <v>25433</v>
      </c>
      <c r="O5706" s="8">
        <f>14+39/60+49.8/3600</f>
        <v>14.663833333333333</v>
      </c>
      <c r="P5706" s="8" t="s">
        <v>25434</v>
      </c>
      <c r="Q5706" s="8">
        <f>-(0+43/60+6/3600)</f>
        <v>-0.71833333333333338</v>
      </c>
      <c r="R5706" s="8">
        <v>12.7</v>
      </c>
      <c r="S5706" s="8">
        <v>13.4</v>
      </c>
      <c r="T5706" s="8">
        <v>0.7</v>
      </c>
      <c r="U5706" s="8">
        <v>14.3</v>
      </c>
      <c r="V5706" s="8">
        <v>3</v>
      </c>
      <c r="W5706" s="8">
        <v>1.9</v>
      </c>
      <c r="X5706" s="8">
        <v>75</v>
      </c>
      <c r="Y5706" s="8" t="s">
        <v>25435</v>
      </c>
      <c r="Z5706" s="8" t="s">
        <v>25436</v>
      </c>
    </row>
    <row r="5707" spans="1:26" x14ac:dyDescent="0.2">
      <c r="A5707" s="8">
        <v>5706</v>
      </c>
      <c r="B5707" s="8" t="s">
        <v>25437</v>
      </c>
      <c r="C5707" s="8" t="s">
        <v>25437</v>
      </c>
      <c r="F5707" s="47"/>
      <c r="G5707" s="8">
        <v>19</v>
      </c>
      <c r="H5707" s="8" t="s">
        <v>21</v>
      </c>
      <c r="I5707" s="8" t="s">
        <v>22</v>
      </c>
      <c r="J5707" s="8" t="s">
        <v>57</v>
      </c>
      <c r="K5707" s="8" t="s">
        <v>382</v>
      </c>
      <c r="L5707" s="8" t="s">
        <v>22476</v>
      </c>
      <c r="M5707" s="8" t="s">
        <v>22477</v>
      </c>
      <c r="N5707" s="8" t="s">
        <v>25409</v>
      </c>
      <c r="O5707" s="8">
        <f>14+38/60+42.4/3600</f>
        <v>14.645111111111111</v>
      </c>
      <c r="P5707" s="8" t="s">
        <v>25410</v>
      </c>
      <c r="Q5707" s="8">
        <f>+(30+27/60+57/3600)</f>
        <v>30.465833333333332</v>
      </c>
      <c r="R5707" s="8">
        <v>14.8</v>
      </c>
      <c r="S5707" s="8">
        <v>15.8</v>
      </c>
      <c r="T5707" s="8">
        <v>1</v>
      </c>
      <c r="U5707" s="8">
        <v>12.6</v>
      </c>
      <c r="V5707" s="8">
        <v>0.4</v>
      </c>
      <c r="W5707" s="8">
        <v>0.3</v>
      </c>
      <c r="X5707" s="8">
        <v>75</v>
      </c>
      <c r="Y5707" s="8" t="s">
        <v>2233</v>
      </c>
      <c r="Z5707" s="8" t="s">
        <v>2234</v>
      </c>
    </row>
    <row r="5708" spans="1:26" x14ac:dyDescent="0.2">
      <c r="A5708" s="8">
        <v>5707</v>
      </c>
      <c r="B5708" s="8" t="s">
        <v>25438</v>
      </c>
      <c r="C5708" s="8" t="s">
        <v>25438</v>
      </c>
      <c r="E5708" s="8">
        <v>1</v>
      </c>
      <c r="F5708" s="47"/>
      <c r="G5708" s="8">
        <v>19</v>
      </c>
      <c r="H5708" s="8" t="s">
        <v>21</v>
      </c>
      <c r="I5708" s="8" t="s">
        <v>22</v>
      </c>
      <c r="J5708" s="8" t="s">
        <v>22</v>
      </c>
      <c r="K5708" s="8" t="s">
        <v>31</v>
      </c>
      <c r="L5708" s="8" t="s">
        <v>22476</v>
      </c>
      <c r="M5708" s="8" t="s">
        <v>22477</v>
      </c>
      <c r="N5708" s="8" t="s">
        <v>25439</v>
      </c>
      <c r="O5708" s="8">
        <f>14+37/60+30.8/3600</f>
        <v>14.625222222222222</v>
      </c>
      <c r="P5708" s="8" t="s">
        <v>25440</v>
      </c>
      <c r="Q5708" s="8">
        <f>+(51+33/60+44/3600)</f>
        <v>51.562222222222218</v>
      </c>
      <c r="R5708" s="8">
        <v>12.5</v>
      </c>
      <c r="S5708" s="8">
        <v>13.3</v>
      </c>
      <c r="T5708" s="8">
        <v>0.8</v>
      </c>
      <c r="U5708" s="8">
        <v>12.6</v>
      </c>
      <c r="V5708" s="8">
        <v>2.5</v>
      </c>
      <c r="W5708" s="8">
        <v>0.5</v>
      </c>
      <c r="X5708" s="8">
        <v>35</v>
      </c>
      <c r="Y5708" s="8" t="s">
        <v>7201</v>
      </c>
      <c r="Z5708" s="8" t="s">
        <v>7202</v>
      </c>
    </row>
    <row r="5709" spans="1:26" x14ac:dyDescent="0.2">
      <c r="A5709" s="8">
        <v>5708</v>
      </c>
      <c r="B5709" s="8" t="s">
        <v>25441</v>
      </c>
      <c r="C5709" s="8" t="s">
        <v>25441</v>
      </c>
      <c r="F5709" s="47"/>
      <c r="G5709" s="8">
        <v>16</v>
      </c>
      <c r="H5709" s="8" t="s">
        <v>21</v>
      </c>
      <c r="I5709" s="8" t="s">
        <v>72</v>
      </c>
      <c r="J5709" s="8" t="s">
        <v>72</v>
      </c>
      <c r="K5709" s="8" t="s">
        <v>73</v>
      </c>
      <c r="L5709" s="8" t="s">
        <v>22476</v>
      </c>
      <c r="M5709" s="8" t="s">
        <v>22477</v>
      </c>
      <c r="N5709" s="8" t="s">
        <v>25442</v>
      </c>
      <c r="O5709" s="8">
        <f>14+37/60+55.7/3600</f>
        <v>14.632138888888889</v>
      </c>
      <c r="P5709" s="8" t="s">
        <v>25443</v>
      </c>
      <c r="Q5709" s="8">
        <f>+(40+30/60+49/3600)</f>
        <v>40.513611111111111</v>
      </c>
      <c r="R5709" s="8">
        <v>99</v>
      </c>
      <c r="S5709" s="8">
        <v>99</v>
      </c>
      <c r="T5709" s="8">
        <v>99</v>
      </c>
      <c r="U5709" s="8">
        <v>99</v>
      </c>
      <c r="Y5709" s="8" t="s">
        <v>25430</v>
      </c>
      <c r="Z5709" s="8" t="s">
        <v>25444</v>
      </c>
    </row>
    <row r="5710" spans="1:26" x14ac:dyDescent="0.2">
      <c r="A5710" s="8">
        <v>5709</v>
      </c>
      <c r="B5710" s="8" t="s">
        <v>25445</v>
      </c>
      <c r="C5710" s="8" t="s">
        <v>25445</v>
      </c>
      <c r="F5710" s="47"/>
      <c r="G5710" s="8">
        <v>19</v>
      </c>
      <c r="H5710" s="8" t="s">
        <v>21</v>
      </c>
      <c r="I5710" s="8" t="s">
        <v>22</v>
      </c>
      <c r="J5710" s="8" t="s">
        <v>57</v>
      </c>
      <c r="K5710" s="8" t="s">
        <v>154</v>
      </c>
      <c r="L5710" s="8" t="s">
        <v>22476</v>
      </c>
      <c r="M5710" s="8" t="s">
        <v>22477</v>
      </c>
      <c r="N5710" s="8" t="s">
        <v>25425</v>
      </c>
      <c r="O5710" s="8">
        <f>14+38/60+50.2/3600</f>
        <v>14.647277777777777</v>
      </c>
      <c r="P5710" s="8" t="s">
        <v>25426</v>
      </c>
      <c r="Q5710" s="8">
        <f>+(30+26/60+33/3600)</f>
        <v>30.442499999999999</v>
      </c>
      <c r="R5710" s="8">
        <v>13.6</v>
      </c>
      <c r="S5710" s="8">
        <v>14.5</v>
      </c>
      <c r="T5710" s="8">
        <v>0.9</v>
      </c>
      <c r="U5710" s="8">
        <v>13</v>
      </c>
      <c r="V5710" s="8">
        <v>1.6</v>
      </c>
      <c r="W5710" s="8">
        <v>0.4</v>
      </c>
      <c r="X5710" s="8">
        <v>105</v>
      </c>
      <c r="Y5710" s="8" t="s">
        <v>755</v>
      </c>
      <c r="Z5710" s="8" t="s">
        <v>25446</v>
      </c>
    </row>
    <row r="5711" spans="1:26" x14ac:dyDescent="0.2">
      <c r="A5711" s="8">
        <v>5710</v>
      </c>
      <c r="B5711" s="8" t="s">
        <v>25447</v>
      </c>
      <c r="C5711" s="8" t="s">
        <v>25447</v>
      </c>
      <c r="F5711" s="47" t="s">
        <v>58007</v>
      </c>
      <c r="G5711" s="8">
        <v>15</v>
      </c>
      <c r="H5711" s="8" t="s">
        <v>21</v>
      </c>
      <c r="I5711" s="8" t="s">
        <v>22</v>
      </c>
      <c r="J5711" s="8" t="s">
        <v>22</v>
      </c>
      <c r="K5711" s="8" t="s">
        <v>183</v>
      </c>
      <c r="L5711" s="8" t="s">
        <v>22476</v>
      </c>
      <c r="M5711" s="8" t="s">
        <v>22477</v>
      </c>
      <c r="N5711" s="8" t="s">
        <v>25448</v>
      </c>
      <c r="O5711" s="8">
        <f>14+39/60+16.2/3600</f>
        <v>14.654500000000001</v>
      </c>
      <c r="P5711" s="8" t="s">
        <v>25449</v>
      </c>
      <c r="Q5711" s="8">
        <f>+(20+2/60+37/3600)</f>
        <v>20.043611111111112</v>
      </c>
      <c r="R5711" s="8">
        <v>13</v>
      </c>
      <c r="S5711" s="8">
        <v>14</v>
      </c>
      <c r="T5711" s="8">
        <v>1</v>
      </c>
      <c r="U5711" s="8">
        <v>13.3</v>
      </c>
      <c r="V5711" s="8">
        <v>1.2</v>
      </c>
      <c r="W5711" s="8">
        <v>1.1000000000000001</v>
      </c>
      <c r="X5711" s="8">
        <v>153</v>
      </c>
      <c r="Y5711" s="8" t="s">
        <v>25450</v>
      </c>
      <c r="Z5711" s="8" t="s">
        <v>25451</v>
      </c>
    </row>
    <row r="5712" spans="1:26" x14ac:dyDescent="0.2">
      <c r="A5712" s="8">
        <v>5711</v>
      </c>
      <c r="B5712" s="8" t="s">
        <v>25452</v>
      </c>
      <c r="C5712" s="8" t="s">
        <v>25452</v>
      </c>
      <c r="F5712" s="47"/>
      <c r="G5712" s="8">
        <v>16</v>
      </c>
      <c r="H5712" s="8" t="s">
        <v>21</v>
      </c>
      <c r="I5712" s="8" t="s">
        <v>22</v>
      </c>
      <c r="J5712" s="8" t="s">
        <v>22</v>
      </c>
      <c r="K5712" s="8" t="s">
        <v>154</v>
      </c>
      <c r="L5712" s="8" t="s">
        <v>22476</v>
      </c>
      <c r="M5712" s="8" t="s">
        <v>22477</v>
      </c>
      <c r="N5712" s="8" t="s">
        <v>25453</v>
      </c>
      <c r="O5712" s="8">
        <f>14+39/60+22.5/3600</f>
        <v>14.65625</v>
      </c>
      <c r="P5712" s="8" t="s">
        <v>25454</v>
      </c>
      <c r="Q5712" s="8">
        <f>+(19+59/60+26/3600)</f>
        <v>19.990555555555556</v>
      </c>
      <c r="R5712" s="8">
        <v>14.1</v>
      </c>
      <c r="S5712" s="8">
        <v>15</v>
      </c>
      <c r="T5712" s="8">
        <v>0.9</v>
      </c>
      <c r="U5712" s="8">
        <v>13.4</v>
      </c>
      <c r="V5712" s="8">
        <v>1</v>
      </c>
      <c r="W5712" s="8">
        <v>0.6</v>
      </c>
      <c r="X5712" s="8">
        <v>73</v>
      </c>
      <c r="Y5712" s="8" t="s">
        <v>25455</v>
      </c>
      <c r="Z5712" s="8" t="s">
        <v>25456</v>
      </c>
    </row>
    <row r="5713" spans="1:26" x14ac:dyDescent="0.2">
      <c r="A5713" s="8">
        <v>5712</v>
      </c>
      <c r="B5713" s="8" t="s">
        <v>25457</v>
      </c>
      <c r="C5713" s="8" t="s">
        <v>25457</v>
      </c>
      <c r="F5713" s="47" t="s">
        <v>58008</v>
      </c>
      <c r="G5713" s="8">
        <v>15</v>
      </c>
      <c r="H5713" s="8" t="s">
        <v>21</v>
      </c>
      <c r="I5713" s="8" t="s">
        <v>22</v>
      </c>
      <c r="J5713" s="8" t="s">
        <v>22</v>
      </c>
      <c r="K5713" s="8" t="s">
        <v>58</v>
      </c>
      <c r="L5713" s="8" t="s">
        <v>14586</v>
      </c>
      <c r="M5713" s="8" t="s">
        <v>14587</v>
      </c>
      <c r="N5713" s="8" t="s">
        <v>25458</v>
      </c>
      <c r="O5713" s="8">
        <f>14+29/60+41.6/3600</f>
        <v>14.494888888888887</v>
      </c>
      <c r="P5713" s="8" t="s">
        <v>25459</v>
      </c>
      <c r="Q5713" s="8">
        <f>+(78+51/60+53/3600)</f>
        <v>78.864722222222213</v>
      </c>
      <c r="R5713" s="8">
        <v>14.5</v>
      </c>
      <c r="S5713" s="8">
        <v>15.5</v>
      </c>
      <c r="T5713" s="8">
        <v>1</v>
      </c>
      <c r="U5713" s="8">
        <v>13.8</v>
      </c>
      <c r="V5713" s="8">
        <v>0.7</v>
      </c>
      <c r="W5713" s="8">
        <v>0.7</v>
      </c>
      <c r="Y5713" s="8" t="s">
        <v>25460</v>
      </c>
      <c r="Z5713" s="8" t="s">
        <v>25461</v>
      </c>
    </row>
    <row r="5714" spans="1:26" x14ac:dyDescent="0.2">
      <c r="A5714" s="8">
        <v>5713</v>
      </c>
      <c r="B5714" s="8" t="s">
        <v>25462</v>
      </c>
      <c r="C5714" s="8" t="s">
        <v>25462</v>
      </c>
      <c r="F5714" s="47" t="s">
        <v>58009</v>
      </c>
      <c r="G5714" s="8">
        <v>12</v>
      </c>
      <c r="H5714" s="8" t="s">
        <v>21</v>
      </c>
      <c r="I5714" s="8" t="s">
        <v>22</v>
      </c>
      <c r="J5714" s="8" t="s">
        <v>22</v>
      </c>
      <c r="K5714" s="8" t="s">
        <v>85</v>
      </c>
      <c r="L5714" s="8" t="s">
        <v>17287</v>
      </c>
      <c r="M5714" s="8" t="s">
        <v>17288</v>
      </c>
      <c r="N5714" s="8" t="s">
        <v>25196</v>
      </c>
      <c r="O5714" s="8">
        <f>14+40/60+11.3/3600</f>
        <v>14.669805555555556</v>
      </c>
      <c r="P5714" s="8" t="s">
        <v>25197</v>
      </c>
      <c r="Q5714" s="8">
        <f>-(0+17/60+24/3600)</f>
        <v>-0.28999999999999998</v>
      </c>
      <c r="R5714" s="8">
        <v>11.2</v>
      </c>
      <c r="S5714" s="8">
        <v>11.8</v>
      </c>
      <c r="T5714" s="8">
        <v>0.6</v>
      </c>
      <c r="U5714" s="8">
        <v>13.2</v>
      </c>
      <c r="V5714" s="8">
        <v>2.9</v>
      </c>
      <c r="W5714" s="8">
        <v>2.5</v>
      </c>
      <c r="X5714" s="8">
        <v>10</v>
      </c>
      <c r="Y5714" s="8" t="s">
        <v>25463</v>
      </c>
      <c r="Z5714" s="8" t="s">
        <v>25464</v>
      </c>
    </row>
    <row r="5715" spans="1:26" x14ac:dyDescent="0.2">
      <c r="A5715" s="8">
        <v>5714</v>
      </c>
      <c r="B5715" s="8" t="s">
        <v>25465</v>
      </c>
      <c r="C5715" s="8" t="s">
        <v>25465</v>
      </c>
      <c r="F5715" s="47" t="s">
        <v>58010</v>
      </c>
      <c r="G5715" s="8">
        <v>15</v>
      </c>
      <c r="H5715" s="8" t="s">
        <v>21</v>
      </c>
      <c r="I5715" s="8" t="s">
        <v>22</v>
      </c>
      <c r="J5715" s="8" t="s">
        <v>22</v>
      </c>
      <c r="K5715" s="8" t="s">
        <v>160</v>
      </c>
      <c r="L5715" s="8" t="s">
        <v>22476</v>
      </c>
      <c r="M5715" s="8" t="s">
        <v>22477</v>
      </c>
      <c r="N5715" s="8" t="s">
        <v>25466</v>
      </c>
      <c r="O5715" s="8">
        <f>14+38/60+12.1/3600</f>
        <v>14.636694444444444</v>
      </c>
      <c r="P5715" s="8" t="s">
        <v>25467</v>
      </c>
      <c r="Q5715" s="8">
        <f>+(46+38/60+17/3600)</f>
        <v>46.638055555555553</v>
      </c>
      <c r="R5715" s="8">
        <v>13.4</v>
      </c>
      <c r="S5715" s="8">
        <v>14.1</v>
      </c>
      <c r="T5715" s="8">
        <v>0.7</v>
      </c>
      <c r="U5715" s="8">
        <v>13.5</v>
      </c>
      <c r="V5715" s="8">
        <v>3.2</v>
      </c>
      <c r="W5715" s="8">
        <v>0.4</v>
      </c>
      <c r="X5715" s="8">
        <v>82</v>
      </c>
      <c r="Y5715" s="8" t="s">
        <v>25468</v>
      </c>
      <c r="Z5715" s="8" t="s">
        <v>25469</v>
      </c>
    </row>
    <row r="5716" spans="1:26" x14ac:dyDescent="0.2">
      <c r="A5716" s="8">
        <v>5715</v>
      </c>
      <c r="B5716" s="8" t="s">
        <v>25470</v>
      </c>
      <c r="C5716" s="8" t="s">
        <v>25470</v>
      </c>
      <c r="F5716" s="47"/>
      <c r="G5716" s="8">
        <v>13</v>
      </c>
      <c r="H5716" s="8" t="s">
        <v>21</v>
      </c>
      <c r="I5716" s="8" t="s">
        <v>557</v>
      </c>
      <c r="J5716" s="8" t="s">
        <v>557</v>
      </c>
      <c r="K5716" s="8" t="s">
        <v>2722</v>
      </c>
      <c r="L5716" s="8" t="s">
        <v>23646</v>
      </c>
      <c r="M5716" s="8" t="s">
        <v>23647</v>
      </c>
      <c r="N5716" s="8" t="s">
        <v>25471</v>
      </c>
      <c r="O5716" s="8">
        <f>14+43/60+39/3600</f>
        <v>14.727500000000001</v>
      </c>
      <c r="P5716" s="8" t="s">
        <v>25472</v>
      </c>
      <c r="Q5716" s="8">
        <f>-(57+34/60+13/3600)</f>
        <v>-57.570277777777783</v>
      </c>
      <c r="R5716" s="8">
        <v>9.8000000000000007</v>
      </c>
      <c r="S5716" s="8">
        <v>99</v>
      </c>
      <c r="T5716" s="8">
        <v>99</v>
      </c>
      <c r="U5716" s="8">
        <v>99</v>
      </c>
      <c r="V5716" s="8">
        <v>7</v>
      </c>
      <c r="Y5716" s="8" t="s">
        <v>25473</v>
      </c>
      <c r="Z5716" s="8" t="s">
        <v>25474</v>
      </c>
    </row>
    <row r="5717" spans="1:26" x14ac:dyDescent="0.2">
      <c r="A5717" s="8">
        <v>5716</v>
      </c>
      <c r="B5717" s="8" t="s">
        <v>25475</v>
      </c>
      <c r="C5717" s="8" t="s">
        <v>25475</v>
      </c>
      <c r="F5717" s="47" t="s">
        <v>58011</v>
      </c>
      <c r="G5717" s="8">
        <v>15</v>
      </c>
      <c r="H5717" s="8" t="s">
        <v>21</v>
      </c>
      <c r="I5717" s="8" t="s">
        <v>22</v>
      </c>
      <c r="J5717" s="8" t="s">
        <v>22</v>
      </c>
      <c r="K5717" s="8" t="s">
        <v>64</v>
      </c>
      <c r="L5717" s="8" t="s">
        <v>24948</v>
      </c>
      <c r="M5717" s="8" t="s">
        <v>24949</v>
      </c>
      <c r="N5717" s="8" t="s">
        <v>25476</v>
      </c>
      <c r="O5717" s="8">
        <f>14+41/60+5.5/3600</f>
        <v>14.684861111111111</v>
      </c>
      <c r="P5717" s="8" t="s">
        <v>25477</v>
      </c>
      <c r="Q5717" s="8">
        <f>-(17+28/60+36/3600)</f>
        <v>-17.476666666666667</v>
      </c>
      <c r="R5717" s="8">
        <v>12.6</v>
      </c>
      <c r="S5717" s="8">
        <v>13.3</v>
      </c>
      <c r="T5717" s="8">
        <v>0.7</v>
      </c>
      <c r="U5717" s="8">
        <v>13.4</v>
      </c>
      <c r="V5717" s="8">
        <v>1.9</v>
      </c>
      <c r="W5717" s="8">
        <v>1.3</v>
      </c>
      <c r="X5717" s="8">
        <v>85</v>
      </c>
      <c r="Y5717" s="8" t="s">
        <v>19885</v>
      </c>
      <c r="Z5717" s="8" t="s">
        <v>4076</v>
      </c>
    </row>
    <row r="5718" spans="1:26" x14ac:dyDescent="0.2">
      <c r="A5718" s="8">
        <v>5717</v>
      </c>
      <c r="B5718" s="8" t="s">
        <v>25478</v>
      </c>
      <c r="C5718" s="8" t="s">
        <v>25478</v>
      </c>
      <c r="F5718" s="47"/>
      <c r="G5718" s="8">
        <v>7</v>
      </c>
      <c r="H5718" s="8" t="s">
        <v>21</v>
      </c>
      <c r="I5718" s="8" t="s">
        <v>22</v>
      </c>
      <c r="J5718" s="8" t="s">
        <v>22</v>
      </c>
      <c r="K5718" s="8" t="s">
        <v>449</v>
      </c>
      <c r="L5718" s="8" t="s">
        <v>22476</v>
      </c>
      <c r="M5718" s="8" t="s">
        <v>22477</v>
      </c>
      <c r="N5718" s="8" t="s">
        <v>25479</v>
      </c>
      <c r="O5718" s="8">
        <f>14+38/60+37.6/3600</f>
        <v>14.643777777777776</v>
      </c>
      <c r="P5718" s="8" t="s">
        <v>25480</v>
      </c>
      <c r="Q5718" s="8">
        <f>+(46+39/60+49/3600)</f>
        <v>46.663611111111109</v>
      </c>
      <c r="R5718" s="8">
        <v>14.4</v>
      </c>
      <c r="S5718" s="8">
        <v>15.2</v>
      </c>
      <c r="T5718" s="8">
        <v>0.8</v>
      </c>
      <c r="U5718" s="8">
        <v>13.9</v>
      </c>
      <c r="V5718" s="8">
        <v>0.8</v>
      </c>
      <c r="W5718" s="8">
        <v>0.5</v>
      </c>
      <c r="X5718" s="8">
        <v>36</v>
      </c>
      <c r="Y5718" s="8" t="s">
        <v>25481</v>
      </c>
      <c r="Z5718" s="8" t="s">
        <v>25482</v>
      </c>
    </row>
    <row r="5719" spans="1:26" x14ac:dyDescent="0.2">
      <c r="A5719" s="8">
        <v>5718</v>
      </c>
      <c r="B5719" s="8" t="s">
        <v>25483</v>
      </c>
      <c r="C5719" s="8" t="s">
        <v>25483</v>
      </c>
      <c r="F5719" s="47" t="s">
        <v>58012</v>
      </c>
      <c r="G5719" s="8">
        <v>15</v>
      </c>
      <c r="H5719" s="8" t="s">
        <v>21</v>
      </c>
      <c r="I5719" s="8" t="s">
        <v>22</v>
      </c>
      <c r="J5719" s="8" t="s">
        <v>22</v>
      </c>
      <c r="K5719" s="8" t="s">
        <v>58</v>
      </c>
      <c r="L5719" s="8" t="s">
        <v>17287</v>
      </c>
      <c r="M5719" s="8" t="s">
        <v>17288</v>
      </c>
      <c r="N5719" s="8" t="s">
        <v>25484</v>
      </c>
      <c r="O5719" s="8">
        <f>14+40/60+42.8/3600</f>
        <v>14.678555555555555</v>
      </c>
      <c r="P5719" s="8" t="s">
        <v>25485</v>
      </c>
      <c r="Q5719" s="8">
        <f>+(3+27/60+56/3600)</f>
        <v>3.4655555555555559</v>
      </c>
      <c r="R5719" s="8">
        <v>12.9</v>
      </c>
      <c r="S5719" s="8">
        <v>13.9</v>
      </c>
      <c r="T5719" s="8">
        <v>1</v>
      </c>
      <c r="U5719" s="8">
        <v>13.3</v>
      </c>
      <c r="V5719" s="8">
        <v>1.5</v>
      </c>
      <c r="W5719" s="8">
        <v>1.1000000000000001</v>
      </c>
      <c r="X5719" s="8">
        <v>117</v>
      </c>
      <c r="Y5719" s="8" t="s">
        <v>25486</v>
      </c>
      <c r="Z5719" s="8" t="s">
        <v>25487</v>
      </c>
    </row>
    <row r="5720" spans="1:26" x14ac:dyDescent="0.2">
      <c r="A5720" s="8">
        <v>5719</v>
      </c>
      <c r="B5720" s="8" t="s">
        <v>25488</v>
      </c>
      <c r="C5720" s="8" t="s">
        <v>25488</v>
      </c>
      <c r="F5720" s="47" t="s">
        <v>58013</v>
      </c>
      <c r="G5720" s="8">
        <v>15</v>
      </c>
      <c r="H5720" s="8" t="s">
        <v>21</v>
      </c>
      <c r="I5720" s="8" t="s">
        <v>22</v>
      </c>
      <c r="J5720" s="8" t="s">
        <v>22</v>
      </c>
      <c r="K5720" s="8" t="s">
        <v>4023</v>
      </c>
      <c r="L5720" s="8" t="s">
        <v>17287</v>
      </c>
      <c r="M5720" s="8" t="s">
        <v>17288</v>
      </c>
      <c r="N5720" s="8" t="s">
        <v>25226</v>
      </c>
      <c r="O5720" s="8">
        <f>14+40/60+56.5/3600</f>
        <v>14.68236111111111</v>
      </c>
      <c r="P5720" s="8" t="s">
        <v>25227</v>
      </c>
      <c r="Q5720" s="8">
        <f>-(0+19/60+4/3600)</f>
        <v>-0.31777777777777777</v>
      </c>
      <c r="R5720" s="8">
        <v>12.2</v>
      </c>
      <c r="S5720" s="8">
        <v>13</v>
      </c>
      <c r="T5720" s="8">
        <v>0.8</v>
      </c>
      <c r="U5720" s="8">
        <v>13.5</v>
      </c>
      <c r="V5720" s="8">
        <v>3.2</v>
      </c>
      <c r="W5720" s="8">
        <v>1.2</v>
      </c>
      <c r="X5720" s="8">
        <v>107</v>
      </c>
      <c r="Y5720" s="8" t="s">
        <v>6632</v>
      </c>
      <c r="Z5720" s="8" t="s">
        <v>6633</v>
      </c>
    </row>
    <row r="5721" spans="1:26" x14ac:dyDescent="0.2">
      <c r="A5721" s="8">
        <v>5720</v>
      </c>
      <c r="B5721" s="8" t="s">
        <v>25489</v>
      </c>
      <c r="C5721" s="8" t="s">
        <v>25489</v>
      </c>
      <c r="F5721" s="47"/>
      <c r="G5721" s="8">
        <v>19</v>
      </c>
      <c r="H5721" s="8" t="s">
        <v>21</v>
      </c>
      <c r="I5721" s="8" t="s">
        <v>22</v>
      </c>
      <c r="J5721" s="8" t="s">
        <v>22</v>
      </c>
      <c r="K5721" s="8" t="s">
        <v>23</v>
      </c>
      <c r="L5721" s="8" t="s">
        <v>22476</v>
      </c>
      <c r="M5721" s="8" t="s">
        <v>22477</v>
      </c>
      <c r="N5721" s="8" t="s">
        <v>25490</v>
      </c>
      <c r="O5721" s="8">
        <f>14+38/60+33.2/3600</f>
        <v>14.642555555555555</v>
      </c>
      <c r="P5721" s="8" t="s">
        <v>25491</v>
      </c>
      <c r="Q5721" s="8">
        <f>+(50+48/60+55/3600)</f>
        <v>50.815277777777773</v>
      </c>
      <c r="R5721" s="8">
        <v>13.4</v>
      </c>
      <c r="S5721" s="8">
        <v>14.2</v>
      </c>
      <c r="T5721" s="8">
        <v>0.8</v>
      </c>
      <c r="U5721" s="8">
        <v>14.4</v>
      </c>
      <c r="V5721" s="8">
        <v>2.1</v>
      </c>
      <c r="W5721" s="8">
        <v>1.4</v>
      </c>
      <c r="X5721" s="8">
        <v>140</v>
      </c>
      <c r="Y5721" s="8" t="s">
        <v>25492</v>
      </c>
      <c r="Z5721" s="8" t="s">
        <v>25493</v>
      </c>
    </row>
    <row r="5722" spans="1:26" x14ac:dyDescent="0.2">
      <c r="A5722" s="8">
        <v>5721</v>
      </c>
      <c r="B5722" s="8" t="s">
        <v>25494</v>
      </c>
      <c r="C5722" s="8" t="s">
        <v>25494</v>
      </c>
      <c r="F5722" s="47"/>
      <c r="G5722" s="8">
        <v>18</v>
      </c>
      <c r="H5722" s="8" t="s">
        <v>21</v>
      </c>
      <c r="I5722" s="8" t="s">
        <v>22</v>
      </c>
      <c r="J5722" s="8" t="s">
        <v>22</v>
      </c>
      <c r="K5722" s="8" t="s">
        <v>37</v>
      </c>
      <c r="L5722" s="8" t="s">
        <v>22476</v>
      </c>
      <c r="M5722" s="8" t="s">
        <v>22477</v>
      </c>
      <c r="N5722" s="8" t="s">
        <v>25495</v>
      </c>
      <c r="O5722" s="8">
        <f>14+38/60+53/3600</f>
        <v>14.648055555555555</v>
      </c>
      <c r="P5722" s="8" t="s">
        <v>25496</v>
      </c>
      <c r="Q5722" s="8">
        <f>+(46+40/60+28/3600)</f>
        <v>46.67444444444444</v>
      </c>
      <c r="R5722" s="8">
        <v>14.9</v>
      </c>
      <c r="S5722" s="8">
        <v>15.9</v>
      </c>
      <c r="T5722" s="8">
        <v>1</v>
      </c>
      <c r="U5722" s="8">
        <v>11.7</v>
      </c>
      <c r="V5722" s="8">
        <v>0.3</v>
      </c>
      <c r="W5722" s="8">
        <v>0.2</v>
      </c>
      <c r="X5722" s="8">
        <v>140</v>
      </c>
      <c r="Y5722" s="8" t="s">
        <v>25497</v>
      </c>
      <c r="Z5722" s="8" t="s">
        <v>25498</v>
      </c>
    </row>
    <row r="5723" spans="1:26" x14ac:dyDescent="0.2">
      <c r="A5723" s="8">
        <v>5722</v>
      </c>
      <c r="B5723" s="8" t="s">
        <v>25499</v>
      </c>
      <c r="C5723" s="8" t="s">
        <v>25499</v>
      </c>
      <c r="F5723" s="47"/>
      <c r="G5723" s="8">
        <v>16</v>
      </c>
      <c r="H5723" s="8" t="s">
        <v>21</v>
      </c>
      <c r="I5723" s="8" t="s">
        <v>22</v>
      </c>
      <c r="J5723" s="8" t="s">
        <v>22</v>
      </c>
      <c r="K5723" s="8" t="s">
        <v>58</v>
      </c>
      <c r="L5723" s="8" t="s">
        <v>22476</v>
      </c>
      <c r="M5723" s="8" t="s">
        <v>22477</v>
      </c>
      <c r="N5723" s="8" t="s">
        <v>25500</v>
      </c>
      <c r="O5723" s="8">
        <f>14+38/60+54.3/3600</f>
        <v>14.648416666666666</v>
      </c>
      <c r="P5723" s="8" t="s">
        <v>25501</v>
      </c>
      <c r="Q5723" s="8">
        <f>+(46+39/60+58/3600)</f>
        <v>46.666111111111107</v>
      </c>
      <c r="R5723" s="8">
        <v>14.7</v>
      </c>
      <c r="S5723" s="8">
        <v>15.7</v>
      </c>
      <c r="T5723" s="8">
        <v>1</v>
      </c>
      <c r="U5723" s="8">
        <v>12.2</v>
      </c>
      <c r="V5723" s="8">
        <v>0.3</v>
      </c>
      <c r="W5723" s="8">
        <v>0.3</v>
      </c>
      <c r="Y5723" s="8" t="s">
        <v>25502</v>
      </c>
      <c r="Z5723" s="8" t="s">
        <v>25503</v>
      </c>
    </row>
    <row r="5724" spans="1:26" x14ac:dyDescent="0.2">
      <c r="A5724" s="8">
        <v>5723</v>
      </c>
      <c r="B5724" s="8" t="s">
        <v>25504</v>
      </c>
      <c r="C5724" s="8" t="s">
        <v>25504</v>
      </c>
      <c r="F5724" s="47"/>
      <c r="G5724" s="8">
        <v>18</v>
      </c>
      <c r="H5724" s="8" t="s">
        <v>21</v>
      </c>
      <c r="I5724" s="8" t="s">
        <v>22</v>
      </c>
      <c r="J5724" s="8" t="s">
        <v>22</v>
      </c>
      <c r="K5724" s="8" t="s">
        <v>58</v>
      </c>
      <c r="L5724" s="8" t="s">
        <v>22476</v>
      </c>
      <c r="M5724" s="8" t="s">
        <v>22477</v>
      </c>
      <c r="N5724" s="8" t="s">
        <v>25505</v>
      </c>
      <c r="O5724" s="8">
        <f>14+38/60+57.8/3600</f>
        <v>14.649388888888888</v>
      </c>
      <c r="P5724" s="8" t="s">
        <v>25506</v>
      </c>
      <c r="Q5724" s="8">
        <f>+(46+41/60+24/3600)</f>
        <v>46.69</v>
      </c>
      <c r="R5724" s="8">
        <v>14.6</v>
      </c>
      <c r="S5724" s="8">
        <v>15.6</v>
      </c>
      <c r="T5724" s="8">
        <v>1</v>
      </c>
      <c r="U5724" s="8">
        <v>13.1</v>
      </c>
      <c r="V5724" s="8">
        <v>0.7</v>
      </c>
      <c r="W5724" s="8">
        <v>0.2</v>
      </c>
      <c r="X5724" s="8">
        <v>3</v>
      </c>
      <c r="Y5724" s="8" t="s">
        <v>25507</v>
      </c>
      <c r="Z5724" s="8" t="s">
        <v>25498</v>
      </c>
    </row>
    <row r="5725" spans="1:26" x14ac:dyDescent="0.2">
      <c r="A5725" s="8">
        <v>5724</v>
      </c>
      <c r="B5725" s="8" t="s">
        <v>25508</v>
      </c>
      <c r="C5725" s="8" t="s">
        <v>25508</v>
      </c>
      <c r="F5725" s="47"/>
      <c r="G5725" s="8">
        <v>18</v>
      </c>
      <c r="H5725" s="8" t="s">
        <v>21</v>
      </c>
      <c r="I5725" s="8" t="s">
        <v>72</v>
      </c>
      <c r="J5725" s="8" t="s">
        <v>72</v>
      </c>
      <c r="K5725" s="8" t="s">
        <v>20</v>
      </c>
      <c r="L5725" s="8" t="s">
        <v>22476</v>
      </c>
      <c r="M5725" s="8" t="s">
        <v>22477</v>
      </c>
      <c r="N5725" s="8" t="s">
        <v>25509</v>
      </c>
      <c r="O5725" s="8">
        <f>14+39/60+2/3600</f>
        <v>14.650555555555556</v>
      </c>
      <c r="P5725" s="8" t="s">
        <v>25510</v>
      </c>
      <c r="Q5725" s="8">
        <f>+(46+41/60+32/3600)</f>
        <v>46.69222222222222</v>
      </c>
      <c r="R5725" s="8">
        <v>99</v>
      </c>
      <c r="S5725" s="8">
        <v>16.899999999999999</v>
      </c>
      <c r="T5725" s="8">
        <v>99</v>
      </c>
      <c r="U5725" s="8">
        <v>99</v>
      </c>
      <c r="Y5725" s="8" t="s">
        <v>25511</v>
      </c>
      <c r="Z5725" s="8" t="s">
        <v>25498</v>
      </c>
    </row>
    <row r="5726" spans="1:26" x14ac:dyDescent="0.2">
      <c r="A5726" s="8">
        <v>5725</v>
      </c>
      <c r="B5726" s="8" t="s">
        <v>25512</v>
      </c>
      <c r="C5726" s="8" t="s">
        <v>25512</v>
      </c>
      <c r="F5726" s="47"/>
      <c r="G5726" s="8">
        <v>18</v>
      </c>
      <c r="H5726" s="8" t="s">
        <v>21</v>
      </c>
      <c r="I5726" s="8" t="s">
        <v>22</v>
      </c>
      <c r="J5726" s="8" t="s">
        <v>22</v>
      </c>
      <c r="K5726" s="8" t="s">
        <v>1277</v>
      </c>
      <c r="L5726" s="8" t="s">
        <v>17287</v>
      </c>
      <c r="M5726" s="8" t="s">
        <v>17288</v>
      </c>
      <c r="N5726" s="8" t="s">
        <v>25513</v>
      </c>
      <c r="O5726" s="8">
        <f>14+40/60+58.2/3600</f>
        <v>14.682833333333333</v>
      </c>
      <c r="P5726" s="8" t="s">
        <v>25514</v>
      </c>
      <c r="Q5726" s="8">
        <f>+(2+11/60+8/3600)</f>
        <v>2.1855555555555553</v>
      </c>
      <c r="R5726" s="8">
        <v>13.7</v>
      </c>
      <c r="S5726" s="8">
        <v>14.4</v>
      </c>
      <c r="T5726" s="8">
        <v>0.7</v>
      </c>
      <c r="U5726" s="8">
        <v>13.5</v>
      </c>
      <c r="V5726" s="8">
        <v>1.2</v>
      </c>
      <c r="W5726" s="8">
        <v>0.8</v>
      </c>
      <c r="X5726" s="8">
        <v>40</v>
      </c>
      <c r="Y5726" s="8" t="s">
        <v>25515</v>
      </c>
      <c r="Z5726" s="8" t="s">
        <v>25516</v>
      </c>
    </row>
    <row r="5727" spans="1:26" x14ac:dyDescent="0.2">
      <c r="A5727" s="8">
        <v>5726</v>
      </c>
      <c r="B5727" s="8" t="s">
        <v>25517</v>
      </c>
      <c r="C5727" s="8" t="s">
        <v>25517</v>
      </c>
      <c r="F5727" s="47"/>
      <c r="G5727" s="8">
        <v>19</v>
      </c>
      <c r="H5727" s="8" t="s">
        <v>21</v>
      </c>
      <c r="I5727" s="8" t="s">
        <v>22</v>
      </c>
      <c r="J5727" s="8" t="s">
        <v>22</v>
      </c>
      <c r="K5727" s="8" t="s">
        <v>58</v>
      </c>
      <c r="L5727" s="8" t="s">
        <v>24948</v>
      </c>
      <c r="M5727" s="8" t="s">
        <v>24949</v>
      </c>
      <c r="N5727" s="8" t="s">
        <v>25518</v>
      </c>
      <c r="O5727" s="8">
        <f>14+42/60+55.8/3600</f>
        <v>14.715499999999999</v>
      </c>
      <c r="P5727" s="8" t="s">
        <v>25519</v>
      </c>
      <c r="Q5727" s="8">
        <f>-(18+26/60+39/3600)</f>
        <v>-18.444166666666668</v>
      </c>
      <c r="R5727" s="8">
        <v>12.7</v>
      </c>
      <c r="S5727" s="8">
        <v>13.7</v>
      </c>
      <c r="T5727" s="8">
        <v>1</v>
      </c>
      <c r="U5727" s="8">
        <v>12.9</v>
      </c>
      <c r="V5727" s="8">
        <v>1.3</v>
      </c>
      <c r="W5727" s="8">
        <v>1</v>
      </c>
      <c r="X5727" s="8">
        <v>133</v>
      </c>
      <c r="Y5727" s="8" t="s">
        <v>25520</v>
      </c>
      <c r="Z5727" s="8" t="s">
        <v>25521</v>
      </c>
    </row>
    <row r="5728" spans="1:26" x14ac:dyDescent="0.2">
      <c r="A5728" s="8">
        <v>5727</v>
      </c>
      <c r="B5728" s="8" t="s">
        <v>25522</v>
      </c>
      <c r="C5728" s="8" t="s">
        <v>25522</v>
      </c>
      <c r="F5728" s="47"/>
      <c r="G5728" s="8">
        <v>19</v>
      </c>
      <c r="H5728" s="8" t="s">
        <v>21</v>
      </c>
      <c r="I5728" s="8" t="s">
        <v>22</v>
      </c>
      <c r="J5728" s="8" t="s">
        <v>22</v>
      </c>
      <c r="K5728" s="8" t="s">
        <v>3523</v>
      </c>
      <c r="L5728" s="8" t="s">
        <v>22476</v>
      </c>
      <c r="M5728" s="8" t="s">
        <v>22477</v>
      </c>
      <c r="N5728" s="8" t="s">
        <v>25523</v>
      </c>
      <c r="O5728" s="8">
        <f>14+40/60+26.1/3600</f>
        <v>14.673916666666667</v>
      </c>
      <c r="P5728" s="8" t="s">
        <v>25524</v>
      </c>
      <c r="Q5728" s="8">
        <f>+(33+59/60+20/3600)</f>
        <v>33.988888888888887</v>
      </c>
      <c r="R5728" s="8">
        <v>13.6</v>
      </c>
      <c r="S5728" s="8">
        <v>14.2</v>
      </c>
      <c r="T5728" s="8">
        <v>0.6</v>
      </c>
      <c r="U5728" s="8">
        <v>14.5</v>
      </c>
      <c r="V5728" s="8">
        <v>2.2999999999999998</v>
      </c>
      <c r="W5728" s="8">
        <v>1.2</v>
      </c>
      <c r="X5728" s="8">
        <v>135</v>
      </c>
      <c r="Y5728" s="8" t="s">
        <v>25525</v>
      </c>
      <c r="Z5728" s="8" t="s">
        <v>25526</v>
      </c>
    </row>
    <row r="5729" spans="1:26" x14ac:dyDescent="0.2">
      <c r="A5729" s="8">
        <v>5728</v>
      </c>
      <c r="B5729" s="8" t="s">
        <v>25527</v>
      </c>
      <c r="C5729" s="8" t="s">
        <v>25527</v>
      </c>
      <c r="F5729" s="47" t="s">
        <v>58014</v>
      </c>
      <c r="G5729" s="8">
        <v>6.5</v>
      </c>
      <c r="H5729" s="8" t="s">
        <v>21</v>
      </c>
      <c r="I5729" s="8" t="s">
        <v>22</v>
      </c>
      <c r="J5729" s="8" t="s">
        <v>22</v>
      </c>
      <c r="K5729" s="8" t="s">
        <v>31</v>
      </c>
      <c r="L5729" s="8" t="s">
        <v>24948</v>
      </c>
      <c r="M5729" s="8" t="s">
        <v>24949</v>
      </c>
      <c r="N5729" s="8" t="s">
        <v>25528</v>
      </c>
      <c r="O5729" s="8">
        <f>14+42/60+24/3600</f>
        <v>14.706666666666665</v>
      </c>
      <c r="P5729" s="8" t="s">
        <v>25529</v>
      </c>
      <c r="Q5729" s="8">
        <f>-(17+15/60+8/3600)</f>
        <v>-17.252222222222223</v>
      </c>
      <c r="R5729" s="8">
        <v>11.4</v>
      </c>
      <c r="S5729" s="8">
        <v>12.3</v>
      </c>
      <c r="T5729" s="8">
        <v>0.9</v>
      </c>
      <c r="U5729" s="8">
        <v>13.1</v>
      </c>
      <c r="V5729" s="8">
        <v>3.2</v>
      </c>
      <c r="W5729" s="8">
        <v>1.9</v>
      </c>
      <c r="X5729" s="8">
        <v>30</v>
      </c>
      <c r="Y5729" s="8" t="s">
        <v>25530</v>
      </c>
      <c r="Z5729" s="8" t="s">
        <v>25531</v>
      </c>
    </row>
    <row r="5730" spans="1:26" x14ac:dyDescent="0.2">
      <c r="A5730" s="8">
        <v>5729</v>
      </c>
      <c r="B5730" s="8" t="s">
        <v>25532</v>
      </c>
      <c r="C5730" s="8" t="s">
        <v>25532</v>
      </c>
      <c r="F5730" s="47" t="s">
        <v>58015</v>
      </c>
      <c r="G5730" s="8">
        <v>15</v>
      </c>
      <c r="H5730" s="8" t="s">
        <v>21</v>
      </c>
      <c r="I5730" s="8" t="s">
        <v>22</v>
      </c>
      <c r="J5730" s="8" t="s">
        <v>22</v>
      </c>
      <c r="K5730" s="8" t="s">
        <v>23</v>
      </c>
      <c r="L5730" s="8" t="s">
        <v>24948</v>
      </c>
      <c r="M5730" s="8" t="s">
        <v>24949</v>
      </c>
      <c r="N5730" s="8" t="s">
        <v>25533</v>
      </c>
      <c r="O5730" s="8">
        <f>14+42/60+6.9/3600</f>
        <v>14.701916666666666</v>
      </c>
      <c r="P5730" s="8" t="s">
        <v>25534</v>
      </c>
      <c r="Q5730" s="8">
        <f>-(9+0/60+35/3600)</f>
        <v>-9.0097222222222229</v>
      </c>
      <c r="R5730" s="8">
        <v>12.2</v>
      </c>
      <c r="S5730" s="8">
        <v>13</v>
      </c>
      <c r="T5730" s="8">
        <v>0.8</v>
      </c>
      <c r="U5730" s="8">
        <v>12.5</v>
      </c>
      <c r="V5730" s="8">
        <v>2.6</v>
      </c>
      <c r="W5730" s="8">
        <v>0.7</v>
      </c>
      <c r="X5730" s="8">
        <v>166</v>
      </c>
      <c r="Y5730" s="8" t="s">
        <v>25535</v>
      </c>
      <c r="Z5730" s="8" t="s">
        <v>25536</v>
      </c>
    </row>
    <row r="5731" spans="1:26" x14ac:dyDescent="0.2">
      <c r="A5731" s="8">
        <v>5730</v>
      </c>
      <c r="B5731" s="8" t="s">
        <v>25537</v>
      </c>
      <c r="C5731" s="8" t="s">
        <v>25537</v>
      </c>
      <c r="F5731" s="47" t="s">
        <v>58016</v>
      </c>
      <c r="G5731" s="8">
        <v>15</v>
      </c>
      <c r="H5731" s="8" t="s">
        <v>21</v>
      </c>
      <c r="I5731" s="8" t="s">
        <v>22</v>
      </c>
      <c r="J5731" s="8" t="s">
        <v>22</v>
      </c>
      <c r="K5731" s="8" t="s">
        <v>3616</v>
      </c>
      <c r="L5731" s="8" t="s">
        <v>22476</v>
      </c>
      <c r="M5731" s="8" t="s">
        <v>22477</v>
      </c>
      <c r="N5731" s="8" t="s">
        <v>25538</v>
      </c>
      <c r="O5731" s="8">
        <f>14+39/60+52.1/3600</f>
        <v>14.664472222222223</v>
      </c>
      <c r="P5731" s="8" t="s">
        <v>25539</v>
      </c>
      <c r="Q5731" s="8">
        <f>+(42+44/60+33/3600)</f>
        <v>42.7425</v>
      </c>
      <c r="R5731" s="8">
        <v>14</v>
      </c>
      <c r="S5731" s="8">
        <v>14.6</v>
      </c>
      <c r="T5731" s="8">
        <v>0.6</v>
      </c>
      <c r="U5731" s="8">
        <v>13.5</v>
      </c>
      <c r="V5731" s="8">
        <v>1.8</v>
      </c>
      <c r="W5731" s="8">
        <v>0.4</v>
      </c>
      <c r="X5731" s="8">
        <v>88</v>
      </c>
      <c r="Y5731" s="8" t="s">
        <v>25540</v>
      </c>
      <c r="Z5731" s="8" t="s">
        <v>25541</v>
      </c>
    </row>
    <row r="5732" spans="1:26" x14ac:dyDescent="0.2">
      <c r="A5732" s="8">
        <v>5731</v>
      </c>
      <c r="B5732" s="8" t="s">
        <v>25542</v>
      </c>
      <c r="C5732" s="8" t="s">
        <v>25542</v>
      </c>
      <c r="F5732" s="47" t="s">
        <v>58017</v>
      </c>
      <c r="G5732" s="8">
        <v>15</v>
      </c>
      <c r="H5732" s="8" t="s">
        <v>21</v>
      </c>
      <c r="I5732" s="8" t="s">
        <v>22</v>
      </c>
      <c r="J5732" s="8" t="s">
        <v>22</v>
      </c>
      <c r="K5732" s="8" t="s">
        <v>396</v>
      </c>
      <c r="L5732" s="8" t="s">
        <v>22476</v>
      </c>
      <c r="M5732" s="8" t="s">
        <v>22477</v>
      </c>
      <c r="N5732" s="8" t="s">
        <v>25543</v>
      </c>
      <c r="O5732" s="8">
        <f>14+40/60+9.3/3600</f>
        <v>14.66925</v>
      </c>
      <c r="P5732" s="8" t="s">
        <v>25544</v>
      </c>
      <c r="Q5732" s="8">
        <f>+(42+46/60+45/3600)</f>
        <v>42.779166666666669</v>
      </c>
      <c r="R5732" s="8">
        <v>13.2</v>
      </c>
      <c r="S5732" s="8">
        <v>14</v>
      </c>
      <c r="T5732" s="8">
        <v>0.8</v>
      </c>
      <c r="U5732" s="8">
        <v>12.6</v>
      </c>
      <c r="V5732" s="8">
        <v>1.6</v>
      </c>
      <c r="W5732" s="8">
        <v>0.4</v>
      </c>
      <c r="X5732" s="8">
        <v>116</v>
      </c>
      <c r="Y5732" s="8" t="s">
        <v>25545</v>
      </c>
      <c r="Z5732" s="8" t="s">
        <v>25546</v>
      </c>
    </row>
    <row r="5733" spans="1:26" x14ac:dyDescent="0.2">
      <c r="A5733" s="8">
        <v>5732</v>
      </c>
      <c r="B5733" s="8" t="s">
        <v>25547</v>
      </c>
      <c r="C5733" s="8" t="s">
        <v>25547</v>
      </c>
      <c r="F5733" s="47" t="s">
        <v>58018</v>
      </c>
      <c r="G5733" s="8">
        <v>15</v>
      </c>
      <c r="H5733" s="8" t="s">
        <v>21</v>
      </c>
      <c r="I5733" s="8" t="s">
        <v>22</v>
      </c>
      <c r="J5733" s="8" t="s">
        <v>22</v>
      </c>
      <c r="K5733" s="8" t="s">
        <v>396</v>
      </c>
      <c r="L5733" s="8" t="s">
        <v>22476</v>
      </c>
      <c r="M5733" s="8" t="s">
        <v>22477</v>
      </c>
      <c r="N5733" s="8" t="s">
        <v>25548</v>
      </c>
      <c r="O5733" s="8">
        <f>14+40/60+38.9/3600</f>
        <v>14.677472222222221</v>
      </c>
      <c r="P5733" s="8" t="s">
        <v>25549</v>
      </c>
      <c r="Q5733" s="8">
        <f>+(38+38/60+17/3600)</f>
        <v>38.638055555555553</v>
      </c>
      <c r="R5733" s="8">
        <v>13.5</v>
      </c>
      <c r="S5733" s="8">
        <v>14.3</v>
      </c>
      <c r="T5733" s="8">
        <v>0.8</v>
      </c>
      <c r="U5733" s="8">
        <v>13.3</v>
      </c>
      <c r="V5733" s="8">
        <v>1.4</v>
      </c>
      <c r="W5733" s="8">
        <v>0.7</v>
      </c>
      <c r="X5733" s="8">
        <v>40</v>
      </c>
      <c r="Y5733" s="8" t="s">
        <v>10836</v>
      </c>
      <c r="Z5733" s="8" t="s">
        <v>10837</v>
      </c>
    </row>
    <row r="5734" spans="1:26" x14ac:dyDescent="0.2">
      <c r="A5734" s="8">
        <v>5733</v>
      </c>
      <c r="B5734" s="8" t="s">
        <v>25550</v>
      </c>
      <c r="C5734" s="8" t="s">
        <v>25550</v>
      </c>
      <c r="F5734" s="47"/>
      <c r="G5734" s="8">
        <v>18</v>
      </c>
      <c r="H5734" s="8" t="s">
        <v>21</v>
      </c>
      <c r="I5734" s="8" t="s">
        <v>22</v>
      </c>
      <c r="J5734" s="8" t="s">
        <v>22</v>
      </c>
      <c r="K5734" s="8" t="s">
        <v>160</v>
      </c>
      <c r="L5734" s="8" t="s">
        <v>17287</v>
      </c>
      <c r="M5734" s="8" t="s">
        <v>17288</v>
      </c>
      <c r="N5734" s="8" t="s">
        <v>25551</v>
      </c>
      <c r="O5734" s="8">
        <f>14+42/60+45.8/3600</f>
        <v>14.712722222222222</v>
      </c>
      <c r="P5734" s="8" t="s">
        <v>25552</v>
      </c>
      <c r="Q5734" s="8">
        <f>-(0+21/60+5/3600)</f>
        <v>-0.35138888888888886</v>
      </c>
      <c r="R5734" s="8">
        <v>14</v>
      </c>
      <c r="S5734" s="8">
        <v>14.7</v>
      </c>
      <c r="T5734" s="8">
        <v>0.7</v>
      </c>
      <c r="U5734" s="8">
        <v>12.9</v>
      </c>
      <c r="V5734" s="8">
        <v>1</v>
      </c>
      <c r="W5734" s="8">
        <v>0.4</v>
      </c>
      <c r="X5734" s="8">
        <v>25</v>
      </c>
      <c r="Y5734" s="8" t="s">
        <v>11661</v>
      </c>
      <c r="Z5734" s="8" t="s">
        <v>11662</v>
      </c>
    </row>
    <row r="5735" spans="1:26" x14ac:dyDescent="0.2">
      <c r="A5735" s="8">
        <v>5734</v>
      </c>
      <c r="B5735" s="8" t="s">
        <v>25553</v>
      </c>
      <c r="C5735" s="8" t="s">
        <v>25553</v>
      </c>
      <c r="F5735" s="47"/>
      <c r="G5735" s="8">
        <v>19</v>
      </c>
      <c r="H5735" s="8" t="s">
        <v>21</v>
      </c>
      <c r="I5735" s="8" t="s">
        <v>22</v>
      </c>
      <c r="J5735" s="8" t="s">
        <v>22</v>
      </c>
      <c r="K5735" s="8" t="s">
        <v>37</v>
      </c>
      <c r="L5735" s="8" t="s">
        <v>24948</v>
      </c>
      <c r="M5735" s="8" t="s">
        <v>24949</v>
      </c>
      <c r="N5735" s="8" t="s">
        <v>25554</v>
      </c>
      <c r="O5735" s="8">
        <f>14+45/60+9.1/3600</f>
        <v>14.752527777777777</v>
      </c>
      <c r="P5735" s="8" t="s">
        <v>25555</v>
      </c>
      <c r="Q5735" s="8">
        <f>-(20+52/60+13/3600)</f>
        <v>-20.87027777777778</v>
      </c>
      <c r="R5735" s="8">
        <v>12.6</v>
      </c>
      <c r="S5735" s="8">
        <v>13.6</v>
      </c>
      <c r="T5735" s="8">
        <v>1</v>
      </c>
      <c r="U5735" s="8">
        <v>12.9</v>
      </c>
      <c r="V5735" s="8">
        <v>1.5</v>
      </c>
      <c r="W5735" s="8">
        <v>1</v>
      </c>
      <c r="X5735" s="8">
        <v>38</v>
      </c>
      <c r="Y5735" s="8" t="s">
        <v>6316</v>
      </c>
      <c r="Z5735" s="8" t="s">
        <v>6317</v>
      </c>
    </row>
    <row r="5736" spans="1:26" x14ac:dyDescent="0.2">
      <c r="A5736" s="8">
        <v>5735</v>
      </c>
      <c r="B5736" s="8" t="s">
        <v>25556</v>
      </c>
      <c r="C5736" s="8" t="s">
        <v>25556</v>
      </c>
      <c r="F5736" s="47" t="s">
        <v>58019</v>
      </c>
      <c r="G5736" s="8">
        <v>15</v>
      </c>
      <c r="H5736" s="8" t="s">
        <v>21</v>
      </c>
      <c r="I5736" s="8" t="s">
        <v>22</v>
      </c>
      <c r="J5736" s="8" t="s">
        <v>22</v>
      </c>
      <c r="K5736" s="8" t="s">
        <v>85</v>
      </c>
      <c r="L5736" s="8" t="s">
        <v>22476</v>
      </c>
      <c r="M5736" s="8" t="s">
        <v>22477</v>
      </c>
      <c r="N5736" s="8" t="s">
        <v>25557</v>
      </c>
      <c r="O5736" s="8">
        <f>14+42/60+33.4/3600</f>
        <v>14.709277777777777</v>
      </c>
      <c r="P5736" s="8" t="s">
        <v>25558</v>
      </c>
      <c r="Q5736" s="8">
        <f>+(28+43/60+36/3600)</f>
        <v>28.726666666666667</v>
      </c>
      <c r="R5736" s="8">
        <v>12.3</v>
      </c>
      <c r="S5736" s="8">
        <v>13.1</v>
      </c>
      <c r="T5736" s="8">
        <v>0.8</v>
      </c>
      <c r="U5736" s="8">
        <v>13.8</v>
      </c>
      <c r="V5736" s="8">
        <v>2.4</v>
      </c>
      <c r="W5736" s="8">
        <v>1.9</v>
      </c>
      <c r="X5736" s="8">
        <v>40</v>
      </c>
      <c r="Y5736" s="8" t="s">
        <v>25559</v>
      </c>
      <c r="Z5736" s="8" t="s">
        <v>25560</v>
      </c>
    </row>
    <row r="5737" spans="1:26" x14ac:dyDescent="0.2">
      <c r="A5737" s="8">
        <v>5736</v>
      </c>
      <c r="B5737" s="8" t="s">
        <v>25561</v>
      </c>
      <c r="C5737" s="8" t="s">
        <v>25561</v>
      </c>
      <c r="F5737" s="47"/>
      <c r="G5737" s="8">
        <v>19</v>
      </c>
      <c r="H5737" s="8" t="s">
        <v>21</v>
      </c>
      <c r="I5737" s="8" t="s">
        <v>22</v>
      </c>
      <c r="J5737" s="8" t="s">
        <v>22</v>
      </c>
      <c r="K5737" s="8" t="s">
        <v>91</v>
      </c>
      <c r="L5737" s="8" t="s">
        <v>22476</v>
      </c>
      <c r="M5737" s="8" t="s">
        <v>22477</v>
      </c>
      <c r="N5737" s="8" t="s">
        <v>25562</v>
      </c>
      <c r="O5737" s="8">
        <f>14+43/60+30.8/3600</f>
        <v>14.725222222222222</v>
      </c>
      <c r="P5737" s="8" t="s">
        <v>25563</v>
      </c>
      <c r="Q5737" s="8">
        <f>+(11+12/60+11/3600)</f>
        <v>11.203055555555554</v>
      </c>
      <c r="R5737" s="8">
        <v>14.3</v>
      </c>
      <c r="S5737" s="8">
        <v>15.2</v>
      </c>
      <c r="T5737" s="8">
        <v>0.9</v>
      </c>
      <c r="U5737" s="8">
        <v>13.9</v>
      </c>
      <c r="V5737" s="8">
        <v>1.1000000000000001</v>
      </c>
      <c r="W5737" s="8">
        <v>0.7</v>
      </c>
      <c r="X5737" s="8">
        <v>108</v>
      </c>
      <c r="Y5737" s="8" t="s">
        <v>25564</v>
      </c>
      <c r="Z5737" s="8" t="s">
        <v>25565</v>
      </c>
    </row>
    <row r="5738" spans="1:26" x14ac:dyDescent="0.2">
      <c r="A5738" s="8">
        <v>5737</v>
      </c>
      <c r="B5738" s="8" t="s">
        <v>25566</v>
      </c>
      <c r="C5738" s="8" t="s">
        <v>25566</v>
      </c>
      <c r="F5738" s="47" t="s">
        <v>58020</v>
      </c>
      <c r="G5738" s="8">
        <v>15</v>
      </c>
      <c r="H5738" s="8" t="s">
        <v>21</v>
      </c>
      <c r="I5738" s="8" t="s">
        <v>22</v>
      </c>
      <c r="J5738" s="8" t="s">
        <v>22</v>
      </c>
      <c r="K5738" s="8" t="s">
        <v>218</v>
      </c>
      <c r="L5738" s="8" t="s">
        <v>22476</v>
      </c>
      <c r="M5738" s="8" t="s">
        <v>22477</v>
      </c>
      <c r="N5738" s="8" t="s">
        <v>25567</v>
      </c>
      <c r="O5738" s="8">
        <f>14+43/60+12/3600</f>
        <v>14.72</v>
      </c>
      <c r="P5738" s="8" t="s">
        <v>25568</v>
      </c>
      <c r="Q5738" s="8">
        <f>+(18+52/60+50/3600)</f>
        <v>18.880555555555556</v>
      </c>
      <c r="R5738" s="8">
        <v>13.5</v>
      </c>
      <c r="S5738" s="8">
        <v>14.3</v>
      </c>
      <c r="T5738" s="8">
        <v>0.8</v>
      </c>
      <c r="U5738" s="8">
        <v>13.4</v>
      </c>
      <c r="V5738" s="8">
        <v>1.3</v>
      </c>
      <c r="W5738" s="8">
        <v>0.8</v>
      </c>
      <c r="X5738" s="8">
        <v>170</v>
      </c>
      <c r="Y5738" s="8" t="s">
        <v>25569</v>
      </c>
      <c r="Z5738" s="8" t="s">
        <v>25570</v>
      </c>
    </row>
    <row r="5739" spans="1:26" x14ac:dyDescent="0.2">
      <c r="A5739" s="8">
        <v>5738</v>
      </c>
      <c r="B5739" s="8" t="s">
        <v>25571</v>
      </c>
      <c r="C5739" s="8" t="s">
        <v>25571</v>
      </c>
      <c r="F5739" s="47"/>
      <c r="G5739" s="8">
        <v>18</v>
      </c>
      <c r="H5739" s="8" t="s">
        <v>21</v>
      </c>
      <c r="I5739" s="8" t="s">
        <v>22</v>
      </c>
      <c r="J5739" s="8" t="s">
        <v>22</v>
      </c>
      <c r="K5739" s="8" t="s">
        <v>37</v>
      </c>
      <c r="L5739" s="8" t="s">
        <v>17287</v>
      </c>
      <c r="M5739" s="8" t="s">
        <v>17288</v>
      </c>
      <c r="N5739" s="8" t="s">
        <v>25572</v>
      </c>
      <c r="O5739" s="8">
        <f>14+43/60+56.5/3600</f>
        <v>14.732361111111111</v>
      </c>
      <c r="P5739" s="8" t="s">
        <v>25573</v>
      </c>
      <c r="Q5739" s="8">
        <f>+(1+36/60+13/3600)</f>
        <v>1.6036111111111111</v>
      </c>
      <c r="R5739" s="8">
        <v>13.9</v>
      </c>
      <c r="S5739" s="8">
        <v>14.9</v>
      </c>
      <c r="T5739" s="8">
        <v>1</v>
      </c>
      <c r="U5739" s="8">
        <v>12.5</v>
      </c>
      <c r="V5739" s="8">
        <v>1</v>
      </c>
      <c r="W5739" s="8">
        <v>0.3</v>
      </c>
      <c r="X5739" s="8">
        <v>57</v>
      </c>
      <c r="Y5739" s="8" t="s">
        <v>4430</v>
      </c>
      <c r="Z5739" s="8" t="s">
        <v>4431</v>
      </c>
    </row>
    <row r="5740" spans="1:26" x14ac:dyDescent="0.2">
      <c r="A5740" s="8">
        <v>5739</v>
      </c>
      <c r="B5740" s="8" t="s">
        <v>25574</v>
      </c>
      <c r="C5740" s="8" t="s">
        <v>25574</v>
      </c>
      <c r="F5740" s="47" t="s">
        <v>58021</v>
      </c>
      <c r="G5740" s="8">
        <v>7</v>
      </c>
      <c r="H5740" s="8" t="s">
        <v>21</v>
      </c>
      <c r="I5740" s="8" t="s">
        <v>22</v>
      </c>
      <c r="J5740" s="8" t="s">
        <v>22</v>
      </c>
      <c r="K5740" s="8" t="s">
        <v>435</v>
      </c>
      <c r="L5740" s="8" t="s">
        <v>22476</v>
      </c>
      <c r="M5740" s="8" t="s">
        <v>22477</v>
      </c>
      <c r="N5740" s="8" t="s">
        <v>25575</v>
      </c>
      <c r="O5740" s="8">
        <f>14+42/60+28.9/3600</f>
        <v>14.708027777777778</v>
      </c>
      <c r="P5740" s="8" t="s">
        <v>25576</v>
      </c>
      <c r="Q5740" s="8">
        <f>+(41+50/60+35/3600)</f>
        <v>41.843055555555559</v>
      </c>
      <c r="R5740" s="8">
        <v>12.1</v>
      </c>
      <c r="S5740" s="8">
        <v>13</v>
      </c>
      <c r="T5740" s="8">
        <v>0.9</v>
      </c>
      <c r="U5740" s="8">
        <v>13.6</v>
      </c>
      <c r="V5740" s="8">
        <v>2.2999999999999998</v>
      </c>
      <c r="W5740" s="8">
        <v>2.1</v>
      </c>
      <c r="X5740" s="8">
        <v>0</v>
      </c>
      <c r="Y5740" s="8" t="s">
        <v>25577</v>
      </c>
      <c r="Z5740" s="8" t="s">
        <v>25578</v>
      </c>
    </row>
    <row r="5741" spans="1:26" x14ac:dyDescent="0.2">
      <c r="A5741" s="8">
        <v>5740</v>
      </c>
      <c r="B5741" s="8" t="s">
        <v>25579</v>
      </c>
      <c r="C5741" s="8" t="s">
        <v>25579</v>
      </c>
      <c r="F5741" s="47" t="s">
        <v>58022</v>
      </c>
      <c r="G5741" s="8">
        <v>7</v>
      </c>
      <c r="H5741" s="8" t="s">
        <v>21</v>
      </c>
      <c r="I5741" s="8" t="s">
        <v>22</v>
      </c>
      <c r="J5741" s="8" t="s">
        <v>22</v>
      </c>
      <c r="K5741" s="8" t="s">
        <v>218</v>
      </c>
      <c r="L5741" s="8" t="s">
        <v>17287</v>
      </c>
      <c r="M5741" s="8" t="s">
        <v>17288</v>
      </c>
      <c r="N5741" s="8" t="s">
        <v>25580</v>
      </c>
      <c r="O5741" s="8">
        <f>14+44/60+24.5/3600</f>
        <v>14.740138888888888</v>
      </c>
      <c r="P5741" s="8" t="s">
        <v>25581</v>
      </c>
      <c r="Q5741" s="8">
        <f>+(1+40/60+48/3600)</f>
        <v>1.68</v>
      </c>
      <c r="R5741" s="8">
        <v>11.9</v>
      </c>
      <c r="S5741" s="8">
        <v>12.6</v>
      </c>
      <c r="T5741" s="8">
        <v>0.7</v>
      </c>
      <c r="U5741" s="8">
        <v>13.3</v>
      </c>
      <c r="V5741" s="8">
        <v>2.8</v>
      </c>
      <c r="W5741" s="8">
        <v>1.5</v>
      </c>
      <c r="X5741" s="8">
        <v>160</v>
      </c>
      <c r="Y5741" s="8" t="s">
        <v>25582</v>
      </c>
      <c r="Z5741" s="8" t="s">
        <v>25583</v>
      </c>
    </row>
    <row r="5742" spans="1:26" x14ac:dyDescent="0.2">
      <c r="A5742" s="8">
        <v>5741</v>
      </c>
      <c r="B5742" s="8" t="s">
        <v>25584</v>
      </c>
      <c r="C5742" s="8" t="s">
        <v>25584</v>
      </c>
      <c r="F5742" s="47"/>
      <c r="G5742" s="8">
        <v>19</v>
      </c>
      <c r="H5742" s="8" t="s">
        <v>21</v>
      </c>
      <c r="I5742" s="8" t="s">
        <v>22</v>
      </c>
      <c r="J5742" s="8" t="s">
        <v>22</v>
      </c>
      <c r="K5742" s="8" t="s">
        <v>460</v>
      </c>
      <c r="L5742" s="8" t="s">
        <v>24948</v>
      </c>
      <c r="M5742" s="8" t="s">
        <v>24949</v>
      </c>
      <c r="N5742" s="8" t="s">
        <v>25585</v>
      </c>
      <c r="O5742" s="8">
        <f>14+45/60+51.6/3600</f>
        <v>14.764333333333333</v>
      </c>
      <c r="P5742" s="8" t="s">
        <v>25586</v>
      </c>
      <c r="Q5742" s="8">
        <f>-(11+54/60+49/3600)</f>
        <v>-11.913611111111111</v>
      </c>
      <c r="R5742" s="8">
        <v>13.6</v>
      </c>
      <c r="S5742" s="8">
        <v>14.6</v>
      </c>
      <c r="T5742" s="8">
        <v>1</v>
      </c>
      <c r="U5742" s="8">
        <v>13.9</v>
      </c>
      <c r="V5742" s="8">
        <v>1.1000000000000001</v>
      </c>
      <c r="W5742" s="8">
        <v>1.1000000000000001</v>
      </c>
      <c r="Y5742" s="8" t="s">
        <v>2636</v>
      </c>
      <c r="Z5742" s="8" t="s">
        <v>2637</v>
      </c>
    </row>
    <row r="5743" spans="1:26" x14ac:dyDescent="0.2">
      <c r="A5743" s="8">
        <v>5742</v>
      </c>
      <c r="B5743" s="8" t="s">
        <v>25587</v>
      </c>
      <c r="C5743" s="8" t="s">
        <v>25587</v>
      </c>
      <c r="F5743" s="47"/>
      <c r="G5743" s="8">
        <v>19</v>
      </c>
      <c r="H5743" s="8" t="s">
        <v>21</v>
      </c>
      <c r="I5743" s="8" t="s">
        <v>22</v>
      </c>
      <c r="J5743" s="8" t="s">
        <v>22</v>
      </c>
      <c r="K5743" s="8" t="s">
        <v>224</v>
      </c>
      <c r="L5743" s="8" t="s">
        <v>24948</v>
      </c>
      <c r="M5743" s="8" t="s">
        <v>24949</v>
      </c>
      <c r="N5743" s="8" t="s">
        <v>25588</v>
      </c>
      <c r="O5743" s="8">
        <f>14+45/60+36.8/3600</f>
        <v>14.760222222222222</v>
      </c>
      <c r="P5743" s="8" t="s">
        <v>25589</v>
      </c>
      <c r="Q5743" s="8">
        <f>-(11+48/60+35/3600)</f>
        <v>-11.809722222222224</v>
      </c>
      <c r="R5743" s="8">
        <v>13</v>
      </c>
      <c r="S5743" s="8">
        <v>14</v>
      </c>
      <c r="T5743" s="8">
        <v>1</v>
      </c>
      <c r="U5743" s="8">
        <v>12.8</v>
      </c>
      <c r="V5743" s="8">
        <v>1.3</v>
      </c>
      <c r="W5743" s="8">
        <v>0.5</v>
      </c>
      <c r="X5743" s="8">
        <v>73</v>
      </c>
      <c r="Y5743" s="8" t="s">
        <v>25590</v>
      </c>
      <c r="Z5743" s="8" t="s">
        <v>25591</v>
      </c>
    </row>
    <row r="5744" spans="1:26" x14ac:dyDescent="0.2">
      <c r="A5744" s="8">
        <v>5743</v>
      </c>
      <c r="B5744" s="8" t="s">
        <v>25592</v>
      </c>
      <c r="C5744" s="8" t="s">
        <v>25592</v>
      </c>
      <c r="F5744" s="47"/>
      <c r="G5744" s="8">
        <v>19</v>
      </c>
      <c r="H5744" s="8" t="s">
        <v>21</v>
      </c>
      <c r="I5744" s="8" t="s">
        <v>22</v>
      </c>
      <c r="J5744" s="8" t="s">
        <v>22</v>
      </c>
      <c r="K5744" s="8" t="s">
        <v>23</v>
      </c>
      <c r="L5744" s="8" t="s">
        <v>24948</v>
      </c>
      <c r="M5744" s="8" t="s">
        <v>24949</v>
      </c>
      <c r="N5744" s="8" t="s">
        <v>25593</v>
      </c>
      <c r="O5744" s="8">
        <f>14+45/60+10.9/3600</f>
        <v>14.753027777777778</v>
      </c>
      <c r="P5744" s="8" t="s">
        <v>25594</v>
      </c>
      <c r="Q5744" s="8">
        <f>-(20+54/60+47/3600)</f>
        <v>-20.913055555555555</v>
      </c>
      <c r="R5744" s="8">
        <v>12.9</v>
      </c>
      <c r="S5744" s="8">
        <v>13.7</v>
      </c>
      <c r="T5744" s="8">
        <v>0.8</v>
      </c>
      <c r="U5744" s="8">
        <v>12.3</v>
      </c>
      <c r="V5744" s="8">
        <v>1.4</v>
      </c>
      <c r="W5744" s="8">
        <v>0.5</v>
      </c>
      <c r="X5744" s="8">
        <v>95</v>
      </c>
      <c r="Y5744" s="8" t="s">
        <v>25595</v>
      </c>
      <c r="Z5744" s="8" t="s">
        <v>25596</v>
      </c>
    </row>
    <row r="5745" spans="1:26" x14ac:dyDescent="0.2">
      <c r="A5745" s="8">
        <v>5744</v>
      </c>
      <c r="B5745" s="8" t="s">
        <v>25597</v>
      </c>
      <c r="C5745" s="8" t="s">
        <v>25597</v>
      </c>
      <c r="F5745" s="47"/>
      <c r="G5745" s="8">
        <v>19</v>
      </c>
      <c r="H5745" s="8" t="s">
        <v>21</v>
      </c>
      <c r="I5745" s="8" t="s">
        <v>22</v>
      </c>
      <c r="J5745" s="8" t="s">
        <v>22</v>
      </c>
      <c r="K5745" s="8" t="s">
        <v>31</v>
      </c>
      <c r="L5745" s="8" t="s">
        <v>24948</v>
      </c>
      <c r="M5745" s="8" t="s">
        <v>24949</v>
      </c>
      <c r="N5745" s="8" t="s">
        <v>25598</v>
      </c>
      <c r="O5745" s="8">
        <f>14+46/60+38.4/3600</f>
        <v>14.777333333333335</v>
      </c>
      <c r="P5745" s="8" t="s">
        <v>25599</v>
      </c>
      <c r="Q5745" s="8">
        <f>-(18+30/60+48/3600)</f>
        <v>-18.513333333333332</v>
      </c>
      <c r="R5745" s="8">
        <v>13.5</v>
      </c>
      <c r="S5745" s="8">
        <v>14.3</v>
      </c>
      <c r="T5745" s="8">
        <v>0.8</v>
      </c>
      <c r="U5745" s="8">
        <v>12.9</v>
      </c>
      <c r="V5745" s="8">
        <v>1</v>
      </c>
      <c r="W5745" s="8">
        <v>0.7</v>
      </c>
      <c r="X5745" s="8">
        <v>108</v>
      </c>
      <c r="Y5745" s="8" t="s">
        <v>25600</v>
      </c>
      <c r="Z5745" s="8" t="s">
        <v>25601</v>
      </c>
    </row>
    <row r="5746" spans="1:26" x14ac:dyDescent="0.2">
      <c r="A5746" s="8">
        <v>5745</v>
      </c>
      <c r="B5746" s="8" t="s">
        <v>25602</v>
      </c>
      <c r="C5746" s="8" t="s">
        <v>25602</v>
      </c>
      <c r="E5746" s="8">
        <v>1</v>
      </c>
      <c r="F5746" s="47"/>
      <c r="G5746" s="8">
        <v>16</v>
      </c>
      <c r="H5746" s="8" t="s">
        <v>21</v>
      </c>
      <c r="I5746" s="8" t="s">
        <v>22</v>
      </c>
      <c r="J5746" s="8" t="s">
        <v>22</v>
      </c>
      <c r="K5746" s="8" t="s">
        <v>91</v>
      </c>
      <c r="L5746" s="8" t="s">
        <v>24948</v>
      </c>
      <c r="M5746" s="8" t="s">
        <v>24949</v>
      </c>
      <c r="N5746" s="8" t="s">
        <v>25603</v>
      </c>
      <c r="O5746" s="8">
        <f>14+45/60+1.8/3600</f>
        <v>14.750500000000001</v>
      </c>
      <c r="P5746" s="8" t="s">
        <v>25604</v>
      </c>
      <c r="Q5746" s="8">
        <f>-(13+56/60+48/3600)</f>
        <v>-13.946666666666667</v>
      </c>
      <c r="R5746" s="8">
        <v>13.4</v>
      </c>
      <c r="S5746" s="8">
        <v>14.3</v>
      </c>
      <c r="T5746" s="8">
        <v>0.9</v>
      </c>
      <c r="U5746" s="8">
        <v>14</v>
      </c>
      <c r="V5746" s="8">
        <v>1.7</v>
      </c>
      <c r="W5746" s="8">
        <v>1.2</v>
      </c>
      <c r="X5746" s="8">
        <v>77</v>
      </c>
      <c r="Y5746" s="8" t="s">
        <v>25605</v>
      </c>
      <c r="Z5746" s="8" t="s">
        <v>25606</v>
      </c>
    </row>
    <row r="5747" spans="1:26" x14ac:dyDescent="0.2">
      <c r="A5747" s="8">
        <v>5746</v>
      </c>
      <c r="B5747" s="8" t="s">
        <v>25607</v>
      </c>
      <c r="C5747" s="8" t="s">
        <v>25607</v>
      </c>
      <c r="F5747" s="47" t="s">
        <v>58023</v>
      </c>
      <c r="G5747" s="8">
        <v>6</v>
      </c>
      <c r="H5747" s="8" t="s">
        <v>25608</v>
      </c>
      <c r="I5747" s="8" t="s">
        <v>22</v>
      </c>
      <c r="J5747" s="8" t="s">
        <v>22</v>
      </c>
      <c r="K5747" s="8" t="s">
        <v>218</v>
      </c>
      <c r="L5747" s="8" t="s">
        <v>17287</v>
      </c>
      <c r="M5747" s="8" t="s">
        <v>17288</v>
      </c>
      <c r="N5747" s="8" t="s">
        <v>25609</v>
      </c>
      <c r="O5747" s="8">
        <f>14+44/60+55.7/3600</f>
        <v>14.748805555555554</v>
      </c>
      <c r="P5747" s="8" t="s">
        <v>25610</v>
      </c>
      <c r="Q5747" s="8">
        <f>+(1+57/60+22/3600)</f>
        <v>1.9561111111111111</v>
      </c>
      <c r="R5747" s="8">
        <v>10.3</v>
      </c>
      <c r="S5747" s="8">
        <v>11.3</v>
      </c>
      <c r="T5747" s="8">
        <v>1</v>
      </c>
      <c r="U5747" s="8">
        <v>12.7</v>
      </c>
      <c r="V5747" s="8">
        <v>7.4</v>
      </c>
      <c r="W5747" s="8">
        <v>1.3</v>
      </c>
      <c r="X5747" s="8">
        <v>170</v>
      </c>
      <c r="Y5747" s="8" t="s">
        <v>25611</v>
      </c>
      <c r="Z5747" s="8" t="s">
        <v>25612</v>
      </c>
    </row>
    <row r="5748" spans="1:26" x14ac:dyDescent="0.2">
      <c r="A5748" s="8">
        <v>5747</v>
      </c>
      <c r="B5748" s="8" t="s">
        <v>25613</v>
      </c>
      <c r="C5748" s="8" t="s">
        <v>25613</v>
      </c>
      <c r="F5748" s="47" t="s">
        <v>58024</v>
      </c>
      <c r="G5748" s="8">
        <v>15</v>
      </c>
      <c r="H5748" s="8" t="s">
        <v>21</v>
      </c>
      <c r="I5748" s="8" t="s">
        <v>22</v>
      </c>
      <c r="J5748" s="8" t="s">
        <v>22</v>
      </c>
      <c r="K5748" s="8" t="s">
        <v>23</v>
      </c>
      <c r="L5748" s="8" t="s">
        <v>22476</v>
      </c>
      <c r="M5748" s="8" t="s">
        <v>22477</v>
      </c>
      <c r="N5748" s="8" t="s">
        <v>25614</v>
      </c>
      <c r="O5748" s="8">
        <f>14+44/60+20.7/3600</f>
        <v>14.739083333333333</v>
      </c>
      <c r="P5748" s="8" t="s">
        <v>25615</v>
      </c>
      <c r="Q5748" s="8">
        <f>+(12+7/60+55/3600)</f>
        <v>12.131944444444445</v>
      </c>
      <c r="R5748" s="8">
        <v>13.6</v>
      </c>
      <c r="S5748" s="8">
        <v>14.4</v>
      </c>
      <c r="T5748" s="8">
        <v>0.8</v>
      </c>
      <c r="U5748" s="8">
        <v>13</v>
      </c>
      <c r="V5748" s="8">
        <v>0.8</v>
      </c>
      <c r="W5748" s="8">
        <v>0.8</v>
      </c>
      <c r="Y5748" s="8" t="s">
        <v>745</v>
      </c>
      <c r="Z5748" s="8" t="s">
        <v>746</v>
      </c>
    </row>
    <row r="5749" spans="1:26" x14ac:dyDescent="0.2">
      <c r="A5749" s="8">
        <v>5748</v>
      </c>
      <c r="B5749" s="8" t="s">
        <v>25616</v>
      </c>
      <c r="C5749" s="8" t="s">
        <v>25616</v>
      </c>
      <c r="F5749" s="47"/>
      <c r="G5749" s="8">
        <v>19</v>
      </c>
      <c r="H5749" s="8" t="s">
        <v>21</v>
      </c>
      <c r="I5749" s="8" t="s">
        <v>22</v>
      </c>
      <c r="J5749" s="8" t="s">
        <v>22</v>
      </c>
      <c r="K5749" s="8" t="s">
        <v>449</v>
      </c>
      <c r="L5749" s="8" t="s">
        <v>22476</v>
      </c>
      <c r="M5749" s="8" t="s">
        <v>22477</v>
      </c>
      <c r="N5749" s="8" t="s">
        <v>25617</v>
      </c>
      <c r="O5749" s="8">
        <f>14+45/60+5/3600</f>
        <v>14.751388888888888</v>
      </c>
      <c r="P5749" s="8" t="s">
        <v>25618</v>
      </c>
      <c r="Q5749" s="8">
        <f>+(21+55/60+0/3600)</f>
        <v>21.916666666666668</v>
      </c>
      <c r="R5749" s="8">
        <v>14.6</v>
      </c>
      <c r="S5749" s="8">
        <v>15.4</v>
      </c>
      <c r="T5749" s="8">
        <v>0.8</v>
      </c>
      <c r="U5749" s="8">
        <v>13.8</v>
      </c>
      <c r="V5749" s="8">
        <v>0.8</v>
      </c>
      <c r="W5749" s="8">
        <v>0.5</v>
      </c>
      <c r="X5749" s="8">
        <v>150</v>
      </c>
      <c r="Y5749" s="8" t="s">
        <v>266</v>
      </c>
      <c r="Z5749" s="8" t="s">
        <v>267</v>
      </c>
    </row>
    <row r="5750" spans="1:26" x14ac:dyDescent="0.2">
      <c r="A5750" s="8">
        <v>5749</v>
      </c>
      <c r="B5750" s="8" t="s">
        <v>25619</v>
      </c>
      <c r="C5750" s="8" t="s">
        <v>25619</v>
      </c>
      <c r="F5750" s="47"/>
      <c r="G5750" s="8">
        <v>13</v>
      </c>
      <c r="H5750" s="8" t="s">
        <v>21</v>
      </c>
      <c r="I5750" s="8" t="s">
        <v>557</v>
      </c>
      <c r="J5750" s="8" t="s">
        <v>557</v>
      </c>
      <c r="K5750" s="8" t="s">
        <v>600</v>
      </c>
      <c r="L5750" s="8" t="s">
        <v>24674</v>
      </c>
      <c r="M5750" s="8" t="s">
        <v>24675</v>
      </c>
      <c r="N5750" s="8" t="s">
        <v>25620</v>
      </c>
      <c r="O5750" s="8">
        <f>14+48/60+48.8/3600</f>
        <v>14.813555555555556</v>
      </c>
      <c r="P5750" s="8" t="s">
        <v>25621</v>
      </c>
      <c r="Q5750" s="8">
        <f>-(54+29/60+37/3600)</f>
        <v>-54.493611111111115</v>
      </c>
      <c r="R5750" s="8">
        <v>8.8000000000000007</v>
      </c>
      <c r="S5750" s="8">
        <v>99</v>
      </c>
      <c r="T5750" s="8">
        <v>99</v>
      </c>
      <c r="U5750" s="8">
        <v>99</v>
      </c>
      <c r="V5750" s="8">
        <v>10</v>
      </c>
      <c r="Y5750" s="8" t="s">
        <v>25622</v>
      </c>
      <c r="Z5750" s="8" t="s">
        <v>25623</v>
      </c>
    </row>
    <row r="5751" spans="1:26" x14ac:dyDescent="0.2">
      <c r="A5751" s="8">
        <v>5750</v>
      </c>
      <c r="B5751" s="8" t="s">
        <v>25624</v>
      </c>
      <c r="C5751" s="8" t="s">
        <v>25624</v>
      </c>
      <c r="F5751" s="47" t="s">
        <v>58025</v>
      </c>
      <c r="G5751" s="8">
        <v>6.5</v>
      </c>
      <c r="H5751" s="8" t="s">
        <v>21</v>
      </c>
      <c r="I5751" s="8" t="s">
        <v>22</v>
      </c>
      <c r="J5751" s="8" t="s">
        <v>22</v>
      </c>
      <c r="K5751" s="8" t="s">
        <v>435</v>
      </c>
      <c r="L5751" s="8" t="s">
        <v>17287</v>
      </c>
      <c r="M5751" s="8" t="s">
        <v>17288</v>
      </c>
      <c r="N5751" s="8" t="s">
        <v>25625</v>
      </c>
      <c r="O5751" s="8">
        <f>14+46/60+10.9/3600</f>
        <v>14.769694444444445</v>
      </c>
      <c r="P5751" s="8" t="s">
        <v>25626</v>
      </c>
      <c r="Q5751" s="8">
        <f>-(0+13/60+24/3600)</f>
        <v>-0.22333333333333333</v>
      </c>
      <c r="R5751" s="8">
        <v>11.6</v>
      </c>
      <c r="S5751" s="8">
        <v>12.5</v>
      </c>
      <c r="T5751" s="8">
        <v>0.9</v>
      </c>
      <c r="U5751" s="8">
        <v>13.2</v>
      </c>
      <c r="V5751" s="8">
        <v>3.2</v>
      </c>
      <c r="W5751" s="8">
        <v>1.5</v>
      </c>
      <c r="X5751" s="8">
        <v>65</v>
      </c>
      <c r="Y5751" s="8" t="s">
        <v>25627</v>
      </c>
      <c r="Z5751" s="8" t="s">
        <v>25628</v>
      </c>
    </row>
    <row r="5752" spans="1:26" x14ac:dyDescent="0.2">
      <c r="A5752" s="8">
        <v>5751</v>
      </c>
      <c r="B5752" s="8" t="s">
        <v>25629</v>
      </c>
      <c r="C5752" s="8" t="s">
        <v>25629</v>
      </c>
      <c r="F5752" s="47" t="s">
        <v>58026</v>
      </c>
      <c r="G5752" s="8">
        <v>15</v>
      </c>
      <c r="H5752" s="8" t="s">
        <v>21</v>
      </c>
      <c r="I5752" s="8" t="s">
        <v>22</v>
      </c>
      <c r="J5752" s="8" t="s">
        <v>22</v>
      </c>
      <c r="K5752" s="8" t="s">
        <v>160</v>
      </c>
      <c r="L5752" s="8" t="s">
        <v>22476</v>
      </c>
      <c r="M5752" s="8" t="s">
        <v>22477</v>
      </c>
      <c r="N5752" s="8" t="s">
        <v>25630</v>
      </c>
      <c r="O5752" s="8">
        <f>14+43/60+49.1/3600</f>
        <v>14.730305555555555</v>
      </c>
      <c r="P5752" s="8" t="s">
        <v>25631</v>
      </c>
      <c r="Q5752" s="8">
        <f>+(53+24/60+2/3600)</f>
        <v>53.400555555555556</v>
      </c>
      <c r="R5752" s="8">
        <v>13.2</v>
      </c>
      <c r="S5752" s="8">
        <v>13.9</v>
      </c>
      <c r="T5752" s="8">
        <v>0.7</v>
      </c>
      <c r="U5752" s="8">
        <v>13.2</v>
      </c>
      <c r="V5752" s="8">
        <v>1.5</v>
      </c>
      <c r="W5752" s="8">
        <v>0.8</v>
      </c>
      <c r="X5752" s="8">
        <v>55</v>
      </c>
      <c r="Y5752" s="8" t="s">
        <v>25632</v>
      </c>
      <c r="Z5752" s="8" t="s">
        <v>25633</v>
      </c>
    </row>
    <row r="5753" spans="1:26" x14ac:dyDescent="0.2">
      <c r="A5753" s="8">
        <v>5752</v>
      </c>
      <c r="B5753" s="8" t="s">
        <v>25634</v>
      </c>
      <c r="C5753" s="8" t="s">
        <v>25634</v>
      </c>
      <c r="F5753" s="47"/>
      <c r="G5753" s="8">
        <v>19</v>
      </c>
      <c r="H5753" s="8" t="s">
        <v>21</v>
      </c>
      <c r="I5753" s="8" t="s">
        <v>22</v>
      </c>
      <c r="J5753" s="8" t="s">
        <v>22</v>
      </c>
      <c r="K5753" s="8" t="s">
        <v>23</v>
      </c>
      <c r="L5753" s="8" t="s">
        <v>22476</v>
      </c>
      <c r="M5753" s="8" t="s">
        <v>22477</v>
      </c>
      <c r="N5753" s="8" t="s">
        <v>25635</v>
      </c>
      <c r="O5753" s="8">
        <f>14+45/60+14.2/3600</f>
        <v>14.753944444444445</v>
      </c>
      <c r="P5753" s="8" t="s">
        <v>25636</v>
      </c>
      <c r="Q5753" s="8">
        <f>+(38+43/60+45/3600)</f>
        <v>38.729166666666671</v>
      </c>
      <c r="R5753" s="8">
        <v>14</v>
      </c>
      <c r="S5753" s="8">
        <v>14.8</v>
      </c>
      <c r="T5753" s="8">
        <v>0.8</v>
      </c>
      <c r="U5753" s="8">
        <v>11.4</v>
      </c>
      <c r="V5753" s="8">
        <v>0.5</v>
      </c>
      <c r="W5753" s="8">
        <v>0.2</v>
      </c>
      <c r="X5753" s="8">
        <v>120</v>
      </c>
      <c r="Y5753" s="8" t="s">
        <v>25637</v>
      </c>
      <c r="Z5753" s="8" t="s">
        <v>25638</v>
      </c>
    </row>
    <row r="5754" spans="1:26" x14ac:dyDescent="0.2">
      <c r="A5754" s="8">
        <v>5753</v>
      </c>
      <c r="B5754" s="8" t="s">
        <v>25639</v>
      </c>
      <c r="C5754" s="8" t="s">
        <v>25639</v>
      </c>
      <c r="F5754" s="47"/>
      <c r="G5754" s="8">
        <v>19</v>
      </c>
      <c r="H5754" s="8" t="s">
        <v>21</v>
      </c>
      <c r="I5754" s="8" t="s">
        <v>22</v>
      </c>
      <c r="J5754" s="8" t="s">
        <v>22</v>
      </c>
      <c r="K5754" s="8" t="s">
        <v>449</v>
      </c>
      <c r="L5754" s="8" t="s">
        <v>22476</v>
      </c>
      <c r="M5754" s="8" t="s">
        <v>22477</v>
      </c>
      <c r="N5754" s="8" t="s">
        <v>25640</v>
      </c>
      <c r="O5754" s="8">
        <f>14+45/60+18.8/3600</f>
        <v>14.755222222222223</v>
      </c>
      <c r="P5754" s="8" t="s">
        <v>25641</v>
      </c>
      <c r="Q5754" s="8">
        <f>+(38+48/60+23/3600)</f>
        <v>38.806388888888883</v>
      </c>
      <c r="R5754" s="8">
        <v>15</v>
      </c>
      <c r="S5754" s="8">
        <v>15.8</v>
      </c>
      <c r="T5754" s="8">
        <v>0.8</v>
      </c>
      <c r="U5754" s="8">
        <v>13.5</v>
      </c>
      <c r="V5754" s="8">
        <v>0.6</v>
      </c>
      <c r="W5754" s="8">
        <v>0.5</v>
      </c>
      <c r="X5754" s="8">
        <v>153</v>
      </c>
      <c r="Y5754" s="8" t="s">
        <v>25642</v>
      </c>
      <c r="Z5754" s="8" t="s">
        <v>25643</v>
      </c>
    </row>
    <row r="5755" spans="1:26" x14ac:dyDescent="0.2">
      <c r="A5755" s="8">
        <v>5754</v>
      </c>
      <c r="B5755" s="8" t="s">
        <v>25644</v>
      </c>
      <c r="C5755" s="8" t="s">
        <v>25644</v>
      </c>
      <c r="F5755" s="47" t="s">
        <v>58027</v>
      </c>
      <c r="G5755" s="8">
        <v>15</v>
      </c>
      <c r="H5755" s="8" t="s">
        <v>21</v>
      </c>
      <c r="I5755" s="8" t="s">
        <v>22</v>
      </c>
      <c r="J5755" s="8" t="s">
        <v>22</v>
      </c>
      <c r="K5755" s="8" t="s">
        <v>218</v>
      </c>
      <c r="L5755" s="8" t="s">
        <v>22476</v>
      </c>
      <c r="M5755" s="8" t="s">
        <v>22477</v>
      </c>
      <c r="N5755" s="8" t="s">
        <v>25645</v>
      </c>
      <c r="O5755" s="8">
        <f>14+45/60+19.6/3600</f>
        <v>14.755444444444445</v>
      </c>
      <c r="P5755" s="8" t="s">
        <v>25646</v>
      </c>
      <c r="Q5755" s="8">
        <f>+(38+43/60+58/3600)</f>
        <v>38.732777777777777</v>
      </c>
      <c r="R5755" s="8">
        <v>13</v>
      </c>
      <c r="S5755" s="8">
        <v>13.8</v>
      </c>
      <c r="T5755" s="8">
        <v>0.8</v>
      </c>
      <c r="U5755" s="8">
        <v>14.3</v>
      </c>
      <c r="V5755" s="8">
        <v>2</v>
      </c>
      <c r="W5755" s="8">
        <v>1.8</v>
      </c>
      <c r="X5755" s="8">
        <v>33</v>
      </c>
      <c r="Y5755" s="8" t="s">
        <v>25637</v>
      </c>
      <c r="Z5755" s="8" t="s">
        <v>3813</v>
      </c>
    </row>
    <row r="5756" spans="1:26" x14ac:dyDescent="0.2">
      <c r="A5756" s="8">
        <v>5755</v>
      </c>
      <c r="B5756" s="8" t="s">
        <v>25647</v>
      </c>
      <c r="C5756" s="8" t="s">
        <v>25647</v>
      </c>
      <c r="F5756" s="47"/>
      <c r="G5756" s="8">
        <v>19</v>
      </c>
      <c r="H5756" s="8" t="s">
        <v>21</v>
      </c>
      <c r="I5756" s="8" t="s">
        <v>22</v>
      </c>
      <c r="J5756" s="8" t="s">
        <v>22</v>
      </c>
      <c r="K5756" s="8" t="s">
        <v>1445</v>
      </c>
      <c r="L5756" s="8" t="s">
        <v>22476</v>
      </c>
      <c r="M5756" s="8" t="s">
        <v>22477</v>
      </c>
      <c r="N5756" s="8" t="s">
        <v>25648</v>
      </c>
      <c r="O5756" s="8">
        <f>14+45/60+24.5/3600</f>
        <v>14.756805555555555</v>
      </c>
      <c r="P5756" s="8" t="s">
        <v>25649</v>
      </c>
      <c r="Q5756" s="8">
        <f>+(38+46/60+49/3600)</f>
        <v>38.780277777777776</v>
      </c>
      <c r="R5756" s="8">
        <v>13.5</v>
      </c>
      <c r="S5756" s="8">
        <v>14.3</v>
      </c>
      <c r="T5756" s="8">
        <v>0.8</v>
      </c>
      <c r="U5756" s="8">
        <v>13.6</v>
      </c>
      <c r="V5756" s="8">
        <v>1.3</v>
      </c>
      <c r="W5756" s="8">
        <v>1</v>
      </c>
      <c r="X5756" s="8">
        <v>15</v>
      </c>
      <c r="Y5756" s="8" t="s">
        <v>25650</v>
      </c>
      <c r="Z5756" s="8" t="s">
        <v>25651</v>
      </c>
    </row>
    <row r="5757" spans="1:26" x14ac:dyDescent="0.2">
      <c r="A5757" s="8">
        <v>5756</v>
      </c>
      <c r="B5757" s="8" t="s">
        <v>25652</v>
      </c>
      <c r="C5757" s="8" t="s">
        <v>25652</v>
      </c>
      <c r="F5757" s="47"/>
      <c r="G5757" s="8">
        <v>16</v>
      </c>
      <c r="H5757" s="8" t="s">
        <v>21</v>
      </c>
      <c r="I5757" s="8" t="s">
        <v>22</v>
      </c>
      <c r="J5757" s="8" t="s">
        <v>22</v>
      </c>
      <c r="K5757" s="8" t="s">
        <v>85</v>
      </c>
      <c r="L5757" s="8" t="s">
        <v>24948</v>
      </c>
      <c r="M5757" s="8" t="s">
        <v>24949</v>
      </c>
      <c r="N5757" s="8" t="s">
        <v>25653</v>
      </c>
      <c r="O5757" s="8">
        <f>14+47/60+33.7/3600</f>
        <v>14.792694444444445</v>
      </c>
      <c r="P5757" s="8" t="s">
        <v>25654</v>
      </c>
      <c r="Q5757" s="8">
        <f>-(14+51/60+12/3600)</f>
        <v>-14.853333333333333</v>
      </c>
      <c r="R5757" s="8">
        <v>12.3</v>
      </c>
      <c r="S5757" s="8">
        <v>13.1</v>
      </c>
      <c r="T5757" s="8">
        <v>0.8</v>
      </c>
      <c r="U5757" s="8">
        <v>13.6</v>
      </c>
      <c r="V5757" s="8">
        <v>2.8</v>
      </c>
      <c r="W5757" s="8">
        <v>1.3</v>
      </c>
      <c r="X5757" s="8">
        <v>62</v>
      </c>
      <c r="Y5757" s="8" t="s">
        <v>25655</v>
      </c>
      <c r="Z5757" s="8" t="s">
        <v>25656</v>
      </c>
    </row>
    <row r="5758" spans="1:26" x14ac:dyDescent="0.2">
      <c r="A5758" s="8">
        <v>5757</v>
      </c>
      <c r="B5758" s="8" t="s">
        <v>25657</v>
      </c>
      <c r="C5758" s="8" t="s">
        <v>25657</v>
      </c>
      <c r="F5758" s="47" t="s">
        <v>58028</v>
      </c>
      <c r="G5758" s="8">
        <v>13</v>
      </c>
      <c r="H5758" s="8" t="s">
        <v>21</v>
      </c>
      <c r="I5758" s="8" t="s">
        <v>22</v>
      </c>
      <c r="J5758" s="8" t="s">
        <v>22</v>
      </c>
      <c r="K5758" s="8" t="s">
        <v>218</v>
      </c>
      <c r="L5758" s="8" t="s">
        <v>24948</v>
      </c>
      <c r="M5758" s="8" t="s">
        <v>24949</v>
      </c>
      <c r="N5758" s="8" t="s">
        <v>25658</v>
      </c>
      <c r="O5758" s="8">
        <f>14+47/60+46.3/3600</f>
        <v>14.796194444444444</v>
      </c>
      <c r="P5758" s="8" t="s">
        <v>25659</v>
      </c>
      <c r="Q5758" s="8">
        <f>-(19+4/60+40/3600)</f>
        <v>-19.077777777777779</v>
      </c>
      <c r="R5758" s="8">
        <v>11.9</v>
      </c>
      <c r="S5758" s="8">
        <v>12.7</v>
      </c>
      <c r="T5758" s="8">
        <v>0.8</v>
      </c>
      <c r="U5758" s="8">
        <v>13</v>
      </c>
      <c r="V5758" s="8">
        <v>2.1</v>
      </c>
      <c r="W5758" s="8">
        <v>1.7</v>
      </c>
      <c r="X5758" s="8">
        <v>160</v>
      </c>
      <c r="Y5758" s="8" t="s">
        <v>16468</v>
      </c>
      <c r="Z5758" s="8" t="s">
        <v>16469</v>
      </c>
    </row>
    <row r="5759" spans="1:26" x14ac:dyDescent="0.2">
      <c r="A5759" s="8">
        <v>5758</v>
      </c>
      <c r="B5759" s="8" t="s">
        <v>25660</v>
      </c>
      <c r="C5759" s="8" t="s">
        <v>25660</v>
      </c>
      <c r="F5759" s="47"/>
      <c r="G5759" s="8">
        <v>19</v>
      </c>
      <c r="H5759" s="8" t="s">
        <v>21</v>
      </c>
      <c r="I5759" s="8" t="s">
        <v>22</v>
      </c>
      <c r="J5759" s="8" t="s">
        <v>22</v>
      </c>
      <c r="K5759" s="8" t="s">
        <v>58</v>
      </c>
      <c r="L5759" s="8" t="s">
        <v>22476</v>
      </c>
      <c r="M5759" s="8" t="s">
        <v>22477</v>
      </c>
      <c r="N5759" s="8" t="s">
        <v>25661</v>
      </c>
      <c r="O5759" s="8">
        <f>14+47/60+2.1/3600</f>
        <v>14.783916666666666</v>
      </c>
      <c r="P5759" s="8" t="s">
        <v>25662</v>
      </c>
      <c r="Q5759" s="8">
        <f>+(13+40/60+4/3600)</f>
        <v>13.667777777777777</v>
      </c>
      <c r="R5759" s="8">
        <v>13.5</v>
      </c>
      <c r="S5759" s="8">
        <v>14.5</v>
      </c>
      <c r="T5759" s="8">
        <v>1</v>
      </c>
      <c r="U5759" s="8">
        <v>13.1</v>
      </c>
      <c r="V5759" s="8">
        <v>1.1000000000000001</v>
      </c>
      <c r="W5759" s="8">
        <v>0.9</v>
      </c>
      <c r="X5759" s="8">
        <v>150</v>
      </c>
      <c r="Y5759" s="8" t="s">
        <v>25663</v>
      </c>
      <c r="Z5759" s="8" t="s">
        <v>25664</v>
      </c>
    </row>
    <row r="5760" spans="1:26" x14ac:dyDescent="0.2">
      <c r="A5760" s="8">
        <v>5759</v>
      </c>
      <c r="B5760" s="8" t="s">
        <v>25665</v>
      </c>
      <c r="C5760" s="8" t="s">
        <v>25665</v>
      </c>
      <c r="F5760" s="47"/>
      <c r="G5760" s="8">
        <v>19</v>
      </c>
      <c r="H5760" s="8" t="s">
        <v>21</v>
      </c>
      <c r="I5760" s="8" t="s">
        <v>22</v>
      </c>
      <c r="J5760" s="8" t="s">
        <v>22</v>
      </c>
      <c r="K5760" s="8" t="s">
        <v>4219</v>
      </c>
      <c r="L5760" s="8" t="s">
        <v>22476</v>
      </c>
      <c r="M5760" s="8" t="s">
        <v>22477</v>
      </c>
      <c r="N5760" s="8" t="s">
        <v>25666</v>
      </c>
      <c r="O5760" s="8">
        <f>14+47/60+14.9/3600</f>
        <v>14.787472222222222</v>
      </c>
      <c r="P5760" s="8" t="s">
        <v>25667</v>
      </c>
      <c r="Q5760" s="8">
        <f>+(13+27/60+22/3600)</f>
        <v>13.45611111111111</v>
      </c>
      <c r="R5760" s="8">
        <v>14.4</v>
      </c>
      <c r="S5760" s="8">
        <v>15</v>
      </c>
      <c r="T5760" s="8">
        <v>0.6</v>
      </c>
      <c r="U5760" s="8">
        <v>14</v>
      </c>
      <c r="V5760" s="8">
        <v>0.3</v>
      </c>
      <c r="W5760" s="8">
        <v>0.2</v>
      </c>
      <c r="X5760" s="8">
        <v>130</v>
      </c>
      <c r="Y5760" s="8" t="s">
        <v>227</v>
      </c>
      <c r="Z5760" s="8" t="s">
        <v>228</v>
      </c>
    </row>
    <row r="5761" spans="1:26" x14ac:dyDescent="0.2">
      <c r="A5761" s="8">
        <v>5760</v>
      </c>
      <c r="B5761" s="8" t="s">
        <v>25668</v>
      </c>
      <c r="C5761" s="8" t="s">
        <v>25668</v>
      </c>
      <c r="F5761" s="47" t="s">
        <v>58029</v>
      </c>
      <c r="G5761" s="8">
        <v>15</v>
      </c>
      <c r="H5761" s="8" t="s">
        <v>21</v>
      </c>
      <c r="I5761" s="8" t="s">
        <v>22</v>
      </c>
      <c r="J5761" s="8" t="s">
        <v>22</v>
      </c>
      <c r="K5761" s="8" t="s">
        <v>91</v>
      </c>
      <c r="L5761" s="8" t="s">
        <v>22476</v>
      </c>
      <c r="M5761" s="8" t="s">
        <v>22477</v>
      </c>
      <c r="N5761" s="8" t="s">
        <v>25669</v>
      </c>
      <c r="O5761" s="8">
        <f>14+47/60+42.2/3600</f>
        <v>14.795055555555555</v>
      </c>
      <c r="P5761" s="8" t="s">
        <v>25670</v>
      </c>
      <c r="Q5761" s="8">
        <f>+(18+30/60+6/3600)</f>
        <v>18.501666666666665</v>
      </c>
      <c r="R5761" s="8">
        <v>13.3</v>
      </c>
      <c r="S5761" s="8">
        <v>14.2</v>
      </c>
      <c r="T5761" s="8">
        <v>0.9</v>
      </c>
      <c r="U5761" s="8">
        <v>13.2</v>
      </c>
      <c r="V5761" s="8">
        <v>1.5</v>
      </c>
      <c r="W5761" s="8">
        <v>0.7</v>
      </c>
      <c r="X5761" s="8">
        <v>96</v>
      </c>
      <c r="Y5761" s="8" t="s">
        <v>25671</v>
      </c>
      <c r="Z5761" s="8" t="s">
        <v>25672</v>
      </c>
    </row>
    <row r="5762" spans="1:26" x14ac:dyDescent="0.2">
      <c r="A5762" s="8">
        <v>5761</v>
      </c>
      <c r="B5762" s="8" t="s">
        <v>25673</v>
      </c>
      <c r="C5762" s="8" t="s">
        <v>25673</v>
      </c>
      <c r="F5762" s="47"/>
      <c r="G5762" s="8">
        <v>19</v>
      </c>
      <c r="H5762" s="8" t="s">
        <v>21</v>
      </c>
      <c r="I5762" s="8" t="s">
        <v>22</v>
      </c>
      <c r="J5762" s="8" t="s">
        <v>22</v>
      </c>
      <c r="K5762" s="8" t="s">
        <v>37</v>
      </c>
      <c r="L5762" s="8" t="s">
        <v>24948</v>
      </c>
      <c r="M5762" s="8" t="s">
        <v>24949</v>
      </c>
      <c r="N5762" s="8" t="s">
        <v>25674</v>
      </c>
      <c r="O5762" s="8">
        <f>14+49/60+8.2/3600</f>
        <v>14.818944444444444</v>
      </c>
      <c r="P5762" s="8" t="s">
        <v>25675</v>
      </c>
      <c r="Q5762" s="8">
        <f>-(20+22/60+32/3600)</f>
        <v>-20.375555555555557</v>
      </c>
      <c r="R5762" s="8">
        <v>12.4</v>
      </c>
      <c r="S5762" s="8">
        <v>13.4</v>
      </c>
      <c r="T5762" s="8">
        <v>1</v>
      </c>
      <c r="U5762" s="8">
        <v>12.5</v>
      </c>
      <c r="V5762" s="8">
        <v>1.4</v>
      </c>
      <c r="W5762" s="8">
        <v>1.3</v>
      </c>
      <c r="X5762" s="8">
        <v>102</v>
      </c>
      <c r="Y5762" s="8" t="s">
        <v>25676</v>
      </c>
      <c r="Z5762" s="8" t="s">
        <v>25677</v>
      </c>
    </row>
    <row r="5763" spans="1:26" x14ac:dyDescent="0.2">
      <c r="A5763" s="8">
        <v>5762</v>
      </c>
      <c r="B5763" s="8" t="s">
        <v>25678</v>
      </c>
      <c r="C5763" s="8" t="s">
        <v>25678</v>
      </c>
      <c r="F5763" s="47"/>
      <c r="G5763" s="8">
        <v>19</v>
      </c>
      <c r="H5763" s="8" t="s">
        <v>21</v>
      </c>
      <c r="I5763" s="8" t="s">
        <v>22</v>
      </c>
      <c r="J5763" s="8" t="s">
        <v>22</v>
      </c>
      <c r="K5763" s="8" t="s">
        <v>476</v>
      </c>
      <c r="L5763" s="8" t="s">
        <v>22476</v>
      </c>
      <c r="M5763" s="8" t="s">
        <v>22477</v>
      </c>
      <c r="N5763" s="8" t="s">
        <v>25679</v>
      </c>
      <c r="O5763" s="8">
        <f>14+48/60+42.6/3600</f>
        <v>14.811833333333334</v>
      </c>
      <c r="P5763" s="8" t="s">
        <v>25680</v>
      </c>
      <c r="Q5763" s="8">
        <f>+(12+27/60+26/3600)</f>
        <v>12.457222222222221</v>
      </c>
      <c r="R5763" s="8">
        <v>12.8</v>
      </c>
      <c r="S5763" s="8">
        <v>13.7</v>
      </c>
      <c r="T5763" s="8">
        <v>0.9</v>
      </c>
      <c r="U5763" s="8">
        <v>13.4</v>
      </c>
      <c r="V5763" s="8">
        <v>1.5</v>
      </c>
      <c r="W5763" s="8">
        <v>1.3</v>
      </c>
      <c r="X5763" s="8">
        <v>140</v>
      </c>
      <c r="Y5763" s="8" t="s">
        <v>1103</v>
      </c>
      <c r="Z5763" s="8" t="s">
        <v>1104</v>
      </c>
    </row>
    <row r="5764" spans="1:26" x14ac:dyDescent="0.2">
      <c r="A5764" s="8">
        <v>5763</v>
      </c>
      <c r="B5764" s="8" t="s">
        <v>25681</v>
      </c>
      <c r="C5764" s="8" t="s">
        <v>25681</v>
      </c>
      <c r="F5764" s="47"/>
      <c r="G5764" s="8">
        <v>19</v>
      </c>
      <c r="H5764" s="8" t="s">
        <v>21</v>
      </c>
      <c r="I5764" s="8" t="s">
        <v>22</v>
      </c>
      <c r="J5764" s="8" t="s">
        <v>22</v>
      </c>
      <c r="K5764" s="8" t="s">
        <v>449</v>
      </c>
      <c r="L5764" s="8" t="s">
        <v>22476</v>
      </c>
      <c r="M5764" s="8" t="s">
        <v>22477</v>
      </c>
      <c r="N5764" s="8" t="s">
        <v>25682</v>
      </c>
      <c r="O5764" s="8">
        <f>14+48/60+58.7/3600</f>
        <v>14.816305555555557</v>
      </c>
      <c r="P5764" s="8" t="s">
        <v>25683</v>
      </c>
      <c r="Q5764" s="8">
        <f>+(12+29/60+26/3600)</f>
        <v>12.490555555555554</v>
      </c>
      <c r="R5764" s="8">
        <v>14.4</v>
      </c>
      <c r="S5764" s="8">
        <v>15.2</v>
      </c>
      <c r="T5764" s="8">
        <v>0.8</v>
      </c>
      <c r="U5764" s="8">
        <v>12.3</v>
      </c>
      <c r="V5764" s="8">
        <v>0.4</v>
      </c>
      <c r="W5764" s="8">
        <v>0.4</v>
      </c>
      <c r="Y5764" s="8" t="s">
        <v>25684</v>
      </c>
      <c r="Z5764" s="8" t="s">
        <v>25685</v>
      </c>
    </row>
    <row r="5765" spans="1:26" x14ac:dyDescent="0.2">
      <c r="A5765" s="8">
        <v>5764</v>
      </c>
      <c r="B5765" s="8" t="s">
        <v>25686</v>
      </c>
      <c r="C5765" s="8" t="s">
        <v>25686</v>
      </c>
      <c r="F5765" s="47"/>
      <c r="G5765" s="8">
        <v>14</v>
      </c>
      <c r="H5765" s="8" t="s">
        <v>21</v>
      </c>
      <c r="I5765" s="8" t="s">
        <v>557</v>
      </c>
      <c r="J5765" s="8" t="s">
        <v>557</v>
      </c>
      <c r="K5765" s="8" t="s">
        <v>558</v>
      </c>
      <c r="L5765" s="8" t="s">
        <v>24674</v>
      </c>
      <c r="M5765" s="8" t="s">
        <v>24675</v>
      </c>
      <c r="N5765" s="8" t="s">
        <v>25687</v>
      </c>
      <c r="O5765" s="8">
        <f>14+53/60+31.8/3600</f>
        <v>14.892166666666666</v>
      </c>
      <c r="P5765" s="8" t="s">
        <v>25688</v>
      </c>
      <c r="Q5765" s="8">
        <f>-(52+40/60+16/3600)</f>
        <v>-52.671111111111109</v>
      </c>
      <c r="R5765" s="8">
        <v>12.6</v>
      </c>
      <c r="S5765" s="8">
        <v>99</v>
      </c>
      <c r="T5765" s="8">
        <v>99</v>
      </c>
      <c r="U5765" s="8">
        <v>99</v>
      </c>
      <c r="V5765" s="8">
        <v>3</v>
      </c>
      <c r="Y5765" s="8" t="s">
        <v>25689</v>
      </c>
      <c r="Z5765" s="8" t="s">
        <v>25690</v>
      </c>
    </row>
    <row r="5766" spans="1:26" x14ac:dyDescent="0.2">
      <c r="A5766" s="8">
        <v>5765</v>
      </c>
      <c r="B5766" s="8" t="s">
        <v>25691</v>
      </c>
      <c r="C5766" s="8" t="s">
        <v>25691</v>
      </c>
      <c r="F5766" s="47"/>
      <c r="G5766" s="8">
        <v>16</v>
      </c>
      <c r="H5766" s="8" t="s">
        <v>21</v>
      </c>
      <c r="I5766" s="8" t="s">
        <v>22</v>
      </c>
      <c r="J5766" s="8" t="s">
        <v>22</v>
      </c>
      <c r="K5766" s="8" t="s">
        <v>31</v>
      </c>
      <c r="L5766" s="8" t="s">
        <v>17287</v>
      </c>
      <c r="M5766" s="8" t="s">
        <v>17288</v>
      </c>
      <c r="N5766" s="8" t="s">
        <v>25692</v>
      </c>
      <c r="O5766" s="8">
        <f>14+50/60+51.6/3600</f>
        <v>14.847666666666667</v>
      </c>
      <c r="P5766" s="8" t="s">
        <v>25693</v>
      </c>
      <c r="Q5766" s="8">
        <f>+(5+6/60+53/3600)</f>
        <v>5.1147222222222215</v>
      </c>
      <c r="R5766" s="8">
        <v>14.6</v>
      </c>
      <c r="S5766" s="8">
        <v>15.4</v>
      </c>
      <c r="T5766" s="8">
        <v>0.8</v>
      </c>
      <c r="U5766" s="8">
        <v>12.8</v>
      </c>
      <c r="V5766" s="8">
        <v>0.7</v>
      </c>
      <c r="W5766" s="8">
        <v>0.3</v>
      </c>
      <c r="X5766" s="8">
        <v>109</v>
      </c>
      <c r="Y5766" s="8" t="s">
        <v>25694</v>
      </c>
      <c r="Z5766" s="8" t="s">
        <v>25695</v>
      </c>
    </row>
    <row r="5767" spans="1:26" x14ac:dyDescent="0.2">
      <c r="A5767" s="8">
        <v>5766</v>
      </c>
      <c r="B5767" s="8" t="s">
        <v>25696</v>
      </c>
      <c r="C5767" s="8" t="s">
        <v>25696</v>
      </c>
      <c r="F5767" s="47"/>
      <c r="G5767" s="8">
        <v>19</v>
      </c>
      <c r="H5767" s="8" t="s">
        <v>21</v>
      </c>
      <c r="I5767" s="8" t="s">
        <v>22</v>
      </c>
      <c r="J5767" s="8" t="s">
        <v>22</v>
      </c>
      <c r="K5767" s="8" t="s">
        <v>85</v>
      </c>
      <c r="L5767" s="8" t="s">
        <v>24948</v>
      </c>
      <c r="M5767" s="8" t="s">
        <v>24949</v>
      </c>
      <c r="N5767" s="8" t="s">
        <v>25697</v>
      </c>
      <c r="O5767" s="8">
        <f>14+53/60+9.5/3600</f>
        <v>14.885972222222222</v>
      </c>
      <c r="P5767" s="8" t="s">
        <v>25698</v>
      </c>
      <c r="Q5767" s="8">
        <f>-(21+23/60+36/3600)</f>
        <v>-21.393333333333334</v>
      </c>
      <c r="R5767" s="8">
        <v>13.3</v>
      </c>
      <c r="S5767" s="8">
        <v>14.1</v>
      </c>
      <c r="T5767" s="8">
        <v>0.8</v>
      </c>
      <c r="U5767" s="8">
        <v>12.7</v>
      </c>
      <c r="V5767" s="8">
        <v>1.1000000000000001</v>
      </c>
      <c r="W5767" s="8">
        <v>0.7</v>
      </c>
      <c r="X5767" s="8">
        <v>149</v>
      </c>
      <c r="Y5767" s="8" t="s">
        <v>8024</v>
      </c>
      <c r="Z5767" s="8" t="s">
        <v>8025</v>
      </c>
    </row>
    <row r="5768" spans="1:26" x14ac:dyDescent="0.2">
      <c r="A5768" s="8">
        <v>5767</v>
      </c>
      <c r="B5768" s="8" t="s">
        <v>25699</v>
      </c>
      <c r="C5768" s="8" t="s">
        <v>25699</v>
      </c>
      <c r="F5768" s="47"/>
      <c r="G5768" s="8">
        <v>19</v>
      </c>
      <c r="H5768" s="8" t="s">
        <v>21</v>
      </c>
      <c r="I5768" s="8" t="s">
        <v>22</v>
      </c>
      <c r="J5768" s="8" t="s">
        <v>22</v>
      </c>
      <c r="K5768" s="8" t="s">
        <v>406</v>
      </c>
      <c r="L5768" s="8" t="s">
        <v>22476</v>
      </c>
      <c r="M5768" s="8" t="s">
        <v>22477</v>
      </c>
      <c r="N5768" s="8" t="s">
        <v>25700</v>
      </c>
      <c r="O5768" s="8">
        <f>14+49/60+34.3/3600</f>
        <v>14.826194444444445</v>
      </c>
      <c r="P5768" s="8" t="s">
        <v>25701</v>
      </c>
      <c r="Q5768" s="8">
        <f>+(47+22/60+34/3600)</f>
        <v>47.376111111111115</v>
      </c>
      <c r="R5768" s="8">
        <v>14</v>
      </c>
      <c r="S5768" s="8">
        <v>14.8</v>
      </c>
      <c r="T5768" s="8">
        <v>0.8</v>
      </c>
      <c r="U5768" s="8">
        <v>13.4</v>
      </c>
      <c r="V5768" s="8">
        <v>0.9</v>
      </c>
      <c r="W5768" s="8">
        <v>0.7</v>
      </c>
      <c r="X5768" s="8">
        <v>150</v>
      </c>
      <c r="Y5768" s="8" t="s">
        <v>25702</v>
      </c>
      <c r="Z5768" s="8" t="s">
        <v>25703</v>
      </c>
    </row>
    <row r="5769" spans="1:26" x14ac:dyDescent="0.2">
      <c r="A5769" s="8">
        <v>5768</v>
      </c>
      <c r="B5769" s="8" t="s">
        <v>25704</v>
      </c>
      <c r="C5769" s="8" t="s">
        <v>25704</v>
      </c>
      <c r="F5769" s="47" t="s">
        <v>58030</v>
      </c>
      <c r="G5769" s="8">
        <v>13</v>
      </c>
      <c r="H5769" s="8" t="s">
        <v>21</v>
      </c>
      <c r="I5769" s="8" t="s">
        <v>22</v>
      </c>
      <c r="J5769" s="8" t="s">
        <v>22</v>
      </c>
      <c r="K5769" s="8" t="s">
        <v>160</v>
      </c>
      <c r="L5769" s="8" t="s">
        <v>24948</v>
      </c>
      <c r="M5769" s="8" t="s">
        <v>24949</v>
      </c>
      <c r="N5769" s="8" t="s">
        <v>25705</v>
      </c>
      <c r="O5769" s="8">
        <f>14+52/60+7.9/3600</f>
        <v>14.868861111111112</v>
      </c>
      <c r="P5769" s="8" t="s">
        <v>25706</v>
      </c>
      <c r="Q5769" s="8">
        <f>-(2+31/60+49/3600)</f>
        <v>-2.5302777777777776</v>
      </c>
      <c r="R5769" s="8">
        <v>12.5</v>
      </c>
      <c r="S5769" s="8">
        <v>13.2</v>
      </c>
      <c r="T5769" s="8">
        <v>0.7</v>
      </c>
      <c r="U5769" s="8">
        <v>13.4</v>
      </c>
      <c r="V5769" s="8">
        <v>1.8</v>
      </c>
      <c r="W5769" s="8">
        <v>1.4</v>
      </c>
      <c r="X5769" s="8">
        <v>120</v>
      </c>
      <c r="Y5769" s="8" t="s">
        <v>25707</v>
      </c>
      <c r="Z5769" s="8" t="s">
        <v>25708</v>
      </c>
    </row>
    <row r="5770" spans="1:26" x14ac:dyDescent="0.2">
      <c r="A5770" s="8">
        <v>5769</v>
      </c>
      <c r="B5770" s="8" t="s">
        <v>25709</v>
      </c>
      <c r="C5770" s="8" t="s">
        <v>25709</v>
      </c>
      <c r="F5770" s="47"/>
      <c r="G5770" s="8">
        <v>19</v>
      </c>
      <c r="H5770" s="8" t="s">
        <v>21</v>
      </c>
      <c r="I5770" s="8" t="s">
        <v>22</v>
      </c>
      <c r="J5770" s="8" t="s">
        <v>22</v>
      </c>
      <c r="K5770" s="8" t="s">
        <v>460</v>
      </c>
      <c r="L5770" s="8" t="s">
        <v>22476</v>
      </c>
      <c r="M5770" s="8" t="s">
        <v>22477</v>
      </c>
      <c r="N5770" s="8" t="s">
        <v>25710</v>
      </c>
      <c r="O5770" s="8">
        <f>14+52/60+41.5/3600</f>
        <v>14.878194444444444</v>
      </c>
      <c r="P5770" s="8" t="s">
        <v>25711</v>
      </c>
      <c r="Q5770" s="8">
        <f>+(7+55/60+57/3600)</f>
        <v>7.9325000000000001</v>
      </c>
      <c r="R5770" s="8">
        <v>14.4</v>
      </c>
      <c r="S5770" s="8">
        <v>15.4</v>
      </c>
      <c r="T5770" s="8">
        <v>1</v>
      </c>
      <c r="U5770" s="8">
        <v>13.4</v>
      </c>
      <c r="V5770" s="8">
        <v>0.6</v>
      </c>
      <c r="W5770" s="8">
        <v>0.6</v>
      </c>
      <c r="Y5770" s="8" t="s">
        <v>297</v>
      </c>
      <c r="Z5770" s="8" t="s">
        <v>298</v>
      </c>
    </row>
    <row r="5771" spans="1:26" x14ac:dyDescent="0.2">
      <c r="A5771" s="8">
        <v>5770</v>
      </c>
      <c r="B5771" s="8" t="s">
        <v>25712</v>
      </c>
      <c r="C5771" s="8" t="s">
        <v>25712</v>
      </c>
      <c r="F5771" s="47" t="s">
        <v>58031</v>
      </c>
      <c r="G5771" s="8">
        <v>15</v>
      </c>
      <c r="H5771" s="8" t="s">
        <v>21</v>
      </c>
      <c r="I5771" s="8" t="s">
        <v>22</v>
      </c>
      <c r="J5771" s="8" t="s">
        <v>22</v>
      </c>
      <c r="K5771" s="8" t="s">
        <v>224</v>
      </c>
      <c r="L5771" s="8" t="s">
        <v>17287</v>
      </c>
      <c r="M5771" s="8" t="s">
        <v>17288</v>
      </c>
      <c r="N5771" s="8" t="s">
        <v>25713</v>
      </c>
      <c r="O5771" s="8">
        <f>14+53/60+14.9/3600</f>
        <v>14.887472222222222</v>
      </c>
      <c r="P5771" s="8" t="s">
        <v>25714</v>
      </c>
      <c r="Q5771" s="8">
        <f>+(3+57/60+39/3600)</f>
        <v>3.9608333333333334</v>
      </c>
      <c r="R5771" s="8">
        <v>12.3</v>
      </c>
      <c r="S5771" s="8">
        <v>13.2</v>
      </c>
      <c r="T5771" s="8">
        <v>0.9</v>
      </c>
      <c r="U5771" s="8">
        <v>13</v>
      </c>
      <c r="V5771" s="8">
        <v>1.7</v>
      </c>
      <c r="W5771" s="8">
        <v>1.3</v>
      </c>
      <c r="X5771" s="8">
        <v>108</v>
      </c>
      <c r="Y5771" s="8" t="s">
        <v>25715</v>
      </c>
      <c r="Z5771" s="8" t="s">
        <v>25716</v>
      </c>
    </row>
    <row r="5772" spans="1:26" x14ac:dyDescent="0.2">
      <c r="A5772" s="8">
        <v>5771</v>
      </c>
      <c r="B5772" s="8" t="s">
        <v>25717</v>
      </c>
      <c r="C5772" s="8" t="s">
        <v>25717</v>
      </c>
      <c r="F5772" s="47" t="s">
        <v>58032</v>
      </c>
      <c r="G5772" s="8">
        <v>15</v>
      </c>
      <c r="H5772" s="8" t="s">
        <v>21</v>
      </c>
      <c r="I5772" s="8" t="s">
        <v>22</v>
      </c>
      <c r="J5772" s="8" t="s">
        <v>22</v>
      </c>
      <c r="K5772" s="8" t="s">
        <v>183</v>
      </c>
      <c r="L5772" s="8" t="s">
        <v>22476</v>
      </c>
      <c r="M5772" s="8" t="s">
        <v>22477</v>
      </c>
      <c r="N5772" s="8" t="s">
        <v>25718</v>
      </c>
      <c r="O5772" s="8">
        <f>14+52/60+14.2/3600</f>
        <v>14.870611111111112</v>
      </c>
      <c r="P5772" s="8" t="s">
        <v>25719</v>
      </c>
      <c r="Q5772" s="8">
        <f>+(29+50/60+45/3600)</f>
        <v>29.845833333333331</v>
      </c>
      <c r="R5772" s="8">
        <v>13.6</v>
      </c>
      <c r="S5772" s="8">
        <v>14.6</v>
      </c>
      <c r="T5772" s="8">
        <v>1</v>
      </c>
      <c r="U5772" s="8">
        <v>13</v>
      </c>
      <c r="V5772" s="8">
        <v>0.8</v>
      </c>
      <c r="W5772" s="8">
        <v>0.7</v>
      </c>
      <c r="X5772" s="8">
        <v>153</v>
      </c>
      <c r="Y5772" s="8" t="s">
        <v>16184</v>
      </c>
      <c r="Z5772" s="8" t="s">
        <v>16185</v>
      </c>
    </row>
    <row r="5773" spans="1:26" x14ac:dyDescent="0.2">
      <c r="A5773" s="8">
        <v>5772</v>
      </c>
      <c r="B5773" s="8" t="s">
        <v>25720</v>
      </c>
      <c r="C5773" s="8" t="s">
        <v>25720</v>
      </c>
      <c r="F5773" s="47"/>
      <c r="G5773" s="8">
        <v>16</v>
      </c>
      <c r="H5773" s="8" t="s">
        <v>21</v>
      </c>
      <c r="I5773" s="8" t="s">
        <v>22</v>
      </c>
      <c r="J5773" s="8" t="s">
        <v>22</v>
      </c>
      <c r="K5773" s="8" t="s">
        <v>23</v>
      </c>
      <c r="L5773" s="8" t="s">
        <v>22476</v>
      </c>
      <c r="M5773" s="8" t="s">
        <v>22477</v>
      </c>
      <c r="N5773" s="8" t="s">
        <v>25721</v>
      </c>
      <c r="O5773" s="8">
        <f>14+51/60+38.9/3600</f>
        <v>14.860805555555554</v>
      </c>
      <c r="P5773" s="8" t="s">
        <v>25722</v>
      </c>
      <c r="Q5773" s="8">
        <f>+(40+35/60+58/3600)</f>
        <v>40.599444444444444</v>
      </c>
      <c r="R5773" s="8">
        <v>12.8</v>
      </c>
      <c r="S5773" s="8">
        <v>13.6</v>
      </c>
      <c r="T5773" s="8">
        <v>0.8</v>
      </c>
      <c r="U5773" s="8">
        <v>13.8</v>
      </c>
      <c r="V5773" s="8">
        <v>2.1</v>
      </c>
      <c r="W5773" s="8">
        <v>1.3</v>
      </c>
      <c r="X5773" s="8">
        <v>35</v>
      </c>
      <c r="Y5773" s="8" t="s">
        <v>25723</v>
      </c>
      <c r="Z5773" s="8" t="s">
        <v>25724</v>
      </c>
    </row>
    <row r="5774" spans="1:26" x14ac:dyDescent="0.2">
      <c r="A5774" s="8">
        <v>5773</v>
      </c>
      <c r="B5774" s="8" t="s">
        <v>25725</v>
      </c>
      <c r="C5774" s="8" t="s">
        <v>25725</v>
      </c>
      <c r="F5774" s="47" t="s">
        <v>58033</v>
      </c>
      <c r="G5774" s="8">
        <v>15</v>
      </c>
      <c r="H5774" s="8" t="s">
        <v>21</v>
      </c>
      <c r="I5774" s="8" t="s">
        <v>22</v>
      </c>
      <c r="J5774" s="8" t="s">
        <v>22</v>
      </c>
      <c r="K5774" s="8" t="s">
        <v>91</v>
      </c>
      <c r="L5774" s="8" t="s">
        <v>22476</v>
      </c>
      <c r="M5774" s="8" t="s">
        <v>22477</v>
      </c>
      <c r="N5774" s="8" t="s">
        <v>25726</v>
      </c>
      <c r="O5774" s="8">
        <f>14+52/60+30.3/3600</f>
        <v>14.875083333333334</v>
      </c>
      <c r="P5774" s="8" t="s">
        <v>25727</v>
      </c>
      <c r="Q5774" s="8">
        <f>+(29+48/60+29/3600)</f>
        <v>29.808055555555555</v>
      </c>
      <c r="R5774" s="8">
        <v>13.6</v>
      </c>
      <c r="S5774" s="8">
        <v>14.5</v>
      </c>
      <c r="T5774" s="8">
        <v>0.9</v>
      </c>
      <c r="U5774" s="8">
        <v>13.2</v>
      </c>
      <c r="V5774" s="8">
        <v>0.9</v>
      </c>
      <c r="W5774" s="8">
        <v>0.9</v>
      </c>
      <c r="Y5774" s="8" t="s">
        <v>16184</v>
      </c>
      <c r="Z5774" s="8" t="s">
        <v>16185</v>
      </c>
    </row>
    <row r="5775" spans="1:26" x14ac:dyDescent="0.2">
      <c r="A5775" s="8">
        <v>5774</v>
      </c>
      <c r="B5775" s="8" t="s">
        <v>25728</v>
      </c>
      <c r="C5775" s="8" t="s">
        <v>25728</v>
      </c>
      <c r="F5775" s="47"/>
      <c r="G5775" s="8">
        <v>18</v>
      </c>
      <c r="H5775" s="8" t="s">
        <v>21</v>
      </c>
      <c r="I5775" s="8" t="s">
        <v>22</v>
      </c>
      <c r="J5775" s="8" t="s">
        <v>22</v>
      </c>
      <c r="K5775" s="8" t="s">
        <v>1277</v>
      </c>
      <c r="L5775" s="8" t="s">
        <v>17287</v>
      </c>
      <c r="M5775" s="8" t="s">
        <v>17288</v>
      </c>
      <c r="N5775" s="8" t="s">
        <v>25729</v>
      </c>
      <c r="O5775" s="8">
        <f>14+53/60+42.4/3600</f>
        <v>14.895111111111111</v>
      </c>
      <c r="P5775" s="8" t="s">
        <v>25730</v>
      </c>
      <c r="Q5775" s="8">
        <f>+(3+34/60+58/3600)</f>
        <v>3.5827777777777774</v>
      </c>
      <c r="R5775" s="8">
        <v>12.1</v>
      </c>
      <c r="S5775" s="8">
        <v>12.7</v>
      </c>
      <c r="T5775" s="8">
        <v>0.6</v>
      </c>
      <c r="U5775" s="8">
        <v>14.2</v>
      </c>
      <c r="V5775" s="8">
        <v>3</v>
      </c>
      <c r="W5775" s="8">
        <v>2.2999999999999998</v>
      </c>
      <c r="X5775" s="8">
        <v>145</v>
      </c>
      <c r="Y5775" s="8" t="s">
        <v>25731</v>
      </c>
      <c r="Z5775" s="8" t="s">
        <v>25732</v>
      </c>
    </row>
    <row r="5776" spans="1:26" x14ac:dyDescent="0.2">
      <c r="A5776" s="8">
        <v>5775</v>
      </c>
      <c r="B5776" s="8" t="s">
        <v>25733</v>
      </c>
      <c r="C5776" s="8" t="s">
        <v>25733</v>
      </c>
      <c r="F5776" s="47" t="s">
        <v>58034</v>
      </c>
      <c r="G5776" s="8">
        <v>6.5</v>
      </c>
      <c r="H5776" s="8" t="s">
        <v>21</v>
      </c>
      <c r="I5776" s="8" t="s">
        <v>22</v>
      </c>
      <c r="J5776" s="8" t="s">
        <v>22</v>
      </c>
      <c r="K5776" s="8" t="s">
        <v>64</v>
      </c>
      <c r="L5776" s="8" t="s">
        <v>17287</v>
      </c>
      <c r="M5776" s="8" t="s">
        <v>17288</v>
      </c>
      <c r="N5776" s="8" t="s">
        <v>25734</v>
      </c>
      <c r="O5776" s="8">
        <f>14+53/60+57.4/3600</f>
        <v>14.899277777777778</v>
      </c>
      <c r="P5776" s="8" t="s">
        <v>25735</v>
      </c>
      <c r="Q5776" s="8">
        <f>+(3+32/60+42/3600)</f>
        <v>3.5449999999999999</v>
      </c>
      <c r="R5776" s="8">
        <v>11.4</v>
      </c>
      <c r="S5776" s="8">
        <v>12.2</v>
      </c>
      <c r="T5776" s="8">
        <v>0.8</v>
      </c>
      <c r="U5776" s="8">
        <v>12.8</v>
      </c>
      <c r="V5776" s="8">
        <v>4</v>
      </c>
      <c r="W5776" s="8">
        <v>1.1000000000000001</v>
      </c>
      <c r="X5776" s="8">
        <v>146</v>
      </c>
      <c r="Y5776" s="8" t="s">
        <v>25736</v>
      </c>
      <c r="Z5776" s="8" t="s">
        <v>25737</v>
      </c>
    </row>
    <row r="5777" spans="1:26" x14ac:dyDescent="0.2">
      <c r="A5777" s="8">
        <v>5776</v>
      </c>
      <c r="B5777" s="8" t="s">
        <v>25738</v>
      </c>
      <c r="C5777" s="8" t="s">
        <v>25738</v>
      </c>
      <c r="F5777" s="47"/>
      <c r="G5777" s="8">
        <v>18</v>
      </c>
      <c r="H5777" s="8" t="s">
        <v>21</v>
      </c>
      <c r="I5777" s="8" t="s">
        <v>22</v>
      </c>
      <c r="J5777" s="8" t="s">
        <v>22</v>
      </c>
      <c r="K5777" s="8" t="s">
        <v>2572</v>
      </c>
      <c r="L5777" s="8" t="s">
        <v>17287</v>
      </c>
      <c r="M5777" s="8" t="s">
        <v>17288</v>
      </c>
      <c r="N5777" s="8" t="s">
        <v>25739</v>
      </c>
      <c r="O5777" s="8">
        <f>14+54/60+32.7/3600</f>
        <v>14.909083333333333</v>
      </c>
      <c r="P5777" s="8" t="s">
        <v>25740</v>
      </c>
      <c r="Q5777" s="8">
        <f>+(2+58/60+1/3600)</f>
        <v>2.9669444444444446</v>
      </c>
      <c r="R5777" s="8">
        <v>14.1</v>
      </c>
      <c r="S5777" s="8">
        <v>14.9</v>
      </c>
      <c r="T5777" s="8">
        <v>0.8</v>
      </c>
      <c r="U5777" s="8">
        <v>13.4</v>
      </c>
      <c r="V5777" s="8">
        <v>0.9</v>
      </c>
      <c r="W5777" s="8">
        <v>0.7</v>
      </c>
      <c r="X5777" s="8">
        <v>102</v>
      </c>
      <c r="Y5777" s="8" t="s">
        <v>25741</v>
      </c>
      <c r="Z5777" s="8" t="s">
        <v>25742</v>
      </c>
    </row>
    <row r="5778" spans="1:26" x14ac:dyDescent="0.2">
      <c r="A5778" s="8">
        <v>5777</v>
      </c>
      <c r="B5778" s="8" t="s">
        <v>25743</v>
      </c>
      <c r="C5778" s="8" t="s">
        <v>25743</v>
      </c>
      <c r="F5778" s="47" t="s">
        <v>58035</v>
      </c>
      <c r="G5778" s="8">
        <v>15</v>
      </c>
      <c r="H5778" s="8" t="s">
        <v>21</v>
      </c>
      <c r="I5778" s="8" t="s">
        <v>22</v>
      </c>
      <c r="J5778" s="8" t="s">
        <v>22</v>
      </c>
      <c r="K5778" s="8" t="s">
        <v>23</v>
      </c>
      <c r="L5778" s="8" t="s">
        <v>13395</v>
      </c>
      <c r="M5778" s="8" t="s">
        <v>13396</v>
      </c>
      <c r="N5778" s="8" t="s">
        <v>25744</v>
      </c>
      <c r="O5778" s="8">
        <f>14+51/60+17.8/3600</f>
        <v>14.854944444444444</v>
      </c>
      <c r="P5778" s="8" t="s">
        <v>25745</v>
      </c>
      <c r="Q5778" s="8">
        <f>+(58+58/60+40/3600)</f>
        <v>58.977777777777781</v>
      </c>
      <c r="R5778" s="8">
        <v>13.3</v>
      </c>
      <c r="S5778" s="8">
        <v>14.1</v>
      </c>
      <c r="T5778" s="8">
        <v>0.8</v>
      </c>
      <c r="U5778" s="8">
        <v>13.4</v>
      </c>
      <c r="V5778" s="8">
        <v>3.1</v>
      </c>
      <c r="W5778" s="8">
        <v>0.4</v>
      </c>
      <c r="X5778" s="8">
        <v>144</v>
      </c>
      <c r="Y5778" s="8" t="s">
        <v>2500</v>
      </c>
      <c r="Z5778" s="8" t="s">
        <v>2501</v>
      </c>
    </row>
    <row r="5779" spans="1:26" x14ac:dyDescent="0.2">
      <c r="A5779" s="8">
        <v>5778</v>
      </c>
      <c r="B5779" s="8" t="s">
        <v>25746</v>
      </c>
      <c r="C5779" s="8" t="s">
        <v>25746</v>
      </c>
      <c r="F5779" s="47"/>
      <c r="G5779" s="8">
        <v>19</v>
      </c>
      <c r="H5779" s="8" t="s">
        <v>21</v>
      </c>
      <c r="I5779" s="8" t="s">
        <v>22</v>
      </c>
      <c r="J5779" s="8" t="s">
        <v>22</v>
      </c>
      <c r="K5779" s="8" t="s">
        <v>382</v>
      </c>
      <c r="L5779" s="8" t="s">
        <v>22476</v>
      </c>
      <c r="M5779" s="8" t="s">
        <v>22477</v>
      </c>
      <c r="N5779" s="8" t="s">
        <v>25747</v>
      </c>
      <c r="O5779" s="8">
        <f>14+54/60+31.4/3600</f>
        <v>14.908722222222222</v>
      </c>
      <c r="P5779" s="8" t="s">
        <v>25748</v>
      </c>
      <c r="Q5779" s="8">
        <f>+(18+38/60+34/3600)</f>
        <v>18.642777777777777</v>
      </c>
      <c r="R5779" s="8">
        <v>13.8</v>
      </c>
      <c r="S5779" s="8">
        <v>14.8</v>
      </c>
      <c r="T5779" s="8">
        <v>1</v>
      </c>
      <c r="U5779" s="8">
        <v>13.9</v>
      </c>
      <c r="V5779" s="8">
        <v>1.2</v>
      </c>
      <c r="W5779" s="8">
        <v>0.9</v>
      </c>
      <c r="X5779" s="8">
        <v>10</v>
      </c>
      <c r="Y5779" s="8" t="s">
        <v>25749</v>
      </c>
      <c r="Z5779" s="8" t="s">
        <v>25750</v>
      </c>
    </row>
    <row r="5780" spans="1:26" x14ac:dyDescent="0.2">
      <c r="A5780" s="8">
        <v>5779</v>
      </c>
      <c r="B5780" s="8" t="s">
        <v>25751</v>
      </c>
      <c r="C5780" s="8" t="s">
        <v>25751</v>
      </c>
      <c r="F5780" s="47"/>
      <c r="G5780" s="8">
        <v>19</v>
      </c>
      <c r="H5780" s="8" t="s">
        <v>21</v>
      </c>
      <c r="I5780" s="8" t="s">
        <v>22</v>
      </c>
      <c r="J5780" s="8" t="s">
        <v>22</v>
      </c>
      <c r="K5780" s="8" t="s">
        <v>449</v>
      </c>
      <c r="L5780" s="8" t="s">
        <v>13395</v>
      </c>
      <c r="M5780" s="8" t="s">
        <v>13396</v>
      </c>
      <c r="N5780" s="8" t="s">
        <v>25752</v>
      </c>
      <c r="O5780" s="8">
        <f>14+52/60+9.4/3600</f>
        <v>14.869277777777778</v>
      </c>
      <c r="P5780" s="8" t="s">
        <v>25753</v>
      </c>
      <c r="Q5780" s="8">
        <f>+(55+54/60+0/3600)</f>
        <v>55.9</v>
      </c>
      <c r="R5780" s="8">
        <v>14.8</v>
      </c>
      <c r="S5780" s="8">
        <v>15.6</v>
      </c>
      <c r="T5780" s="8">
        <v>0.8</v>
      </c>
      <c r="U5780" s="8">
        <v>12.7</v>
      </c>
      <c r="V5780" s="8">
        <v>0.4</v>
      </c>
      <c r="W5780" s="8">
        <v>0.4</v>
      </c>
      <c r="Y5780" s="8" t="s">
        <v>1230</v>
      </c>
      <c r="Z5780" s="8" t="s">
        <v>25754</v>
      </c>
    </row>
    <row r="5781" spans="1:26" x14ac:dyDescent="0.2">
      <c r="A5781" s="8">
        <v>5780</v>
      </c>
      <c r="B5781" s="8" t="s">
        <v>25755</v>
      </c>
      <c r="C5781" s="8" t="s">
        <v>25755</v>
      </c>
      <c r="F5781" s="47"/>
      <c r="G5781" s="8">
        <v>19</v>
      </c>
      <c r="H5781" s="8" t="s">
        <v>21</v>
      </c>
      <c r="I5781" s="8" t="s">
        <v>22</v>
      </c>
      <c r="J5781" s="8" t="s">
        <v>22</v>
      </c>
      <c r="K5781" s="8" t="s">
        <v>31</v>
      </c>
      <c r="L5781" s="8" t="s">
        <v>22476</v>
      </c>
      <c r="M5781" s="8" t="s">
        <v>22477</v>
      </c>
      <c r="N5781" s="8" t="s">
        <v>25756</v>
      </c>
      <c r="O5781" s="8">
        <f>14+54/60+22.6/3600</f>
        <v>14.906277777777778</v>
      </c>
      <c r="P5781" s="8" t="s">
        <v>25757</v>
      </c>
      <c r="Q5781" s="8">
        <f>+(28+56/60+24/3600)</f>
        <v>28.94</v>
      </c>
      <c r="R5781" s="8">
        <v>14.1</v>
      </c>
      <c r="S5781" s="8">
        <v>14.9</v>
      </c>
      <c r="T5781" s="8">
        <v>0.8</v>
      </c>
      <c r="U5781" s="8">
        <v>12.8</v>
      </c>
      <c r="V5781" s="8">
        <v>0.9</v>
      </c>
      <c r="W5781" s="8">
        <v>0.4</v>
      </c>
      <c r="X5781" s="8">
        <v>135</v>
      </c>
      <c r="Y5781" s="8" t="s">
        <v>25758</v>
      </c>
      <c r="Z5781" s="8" t="s">
        <v>25759</v>
      </c>
    </row>
    <row r="5782" spans="1:26" x14ac:dyDescent="0.2">
      <c r="A5782" s="8">
        <v>5781</v>
      </c>
      <c r="B5782" s="8" t="s">
        <v>25760</v>
      </c>
      <c r="C5782" s="8" t="s">
        <v>25760</v>
      </c>
      <c r="F5782" s="47"/>
      <c r="G5782" s="8">
        <v>16</v>
      </c>
      <c r="H5782" s="8" t="s">
        <v>21</v>
      </c>
      <c r="I5782" s="8" t="s">
        <v>22</v>
      </c>
      <c r="J5782" s="8" t="s">
        <v>22</v>
      </c>
      <c r="K5782" s="8" t="s">
        <v>218</v>
      </c>
      <c r="L5782" s="8" t="s">
        <v>24948</v>
      </c>
      <c r="M5782" s="8" t="s">
        <v>24949</v>
      </c>
      <c r="N5782" s="8" t="s">
        <v>25761</v>
      </c>
      <c r="O5782" s="8">
        <f>14+56/60+41.1/3600</f>
        <v>14.944750000000001</v>
      </c>
      <c r="P5782" s="8" t="s">
        <v>25762</v>
      </c>
      <c r="Q5782" s="8">
        <f>-(17+14/60+39/3600)</f>
        <v>-17.244166666666668</v>
      </c>
      <c r="R5782" s="8">
        <v>13</v>
      </c>
      <c r="S5782" s="8">
        <v>13.8</v>
      </c>
      <c r="T5782" s="8">
        <v>0.8</v>
      </c>
      <c r="U5782" s="8">
        <v>13</v>
      </c>
      <c r="V5782" s="8">
        <v>1.4</v>
      </c>
      <c r="W5782" s="8">
        <v>0.8</v>
      </c>
      <c r="X5782" s="8">
        <v>25</v>
      </c>
      <c r="Y5782" s="8" t="s">
        <v>25763</v>
      </c>
      <c r="Z5782" s="8" t="s">
        <v>25764</v>
      </c>
    </row>
    <row r="5783" spans="1:26" x14ac:dyDescent="0.2">
      <c r="A5783" s="8">
        <v>5782</v>
      </c>
      <c r="B5783" s="8" t="s">
        <v>25765</v>
      </c>
      <c r="C5783" s="8" t="s">
        <v>25765</v>
      </c>
      <c r="F5783" s="47"/>
      <c r="G5783" s="8">
        <v>19</v>
      </c>
      <c r="H5783" s="8" t="s">
        <v>21</v>
      </c>
      <c r="I5783" s="8" t="s">
        <v>22</v>
      </c>
      <c r="J5783" s="8" t="s">
        <v>22</v>
      </c>
      <c r="K5783" s="8" t="s">
        <v>37</v>
      </c>
      <c r="L5783" s="8" t="s">
        <v>22476</v>
      </c>
      <c r="M5783" s="8" t="s">
        <v>22477</v>
      </c>
      <c r="N5783" s="8" t="s">
        <v>25766</v>
      </c>
      <c r="O5783" s="8">
        <f>14+55/60+55.3/3600</f>
        <v>14.932027777777778</v>
      </c>
      <c r="P5783" s="8" t="s">
        <v>25767</v>
      </c>
      <c r="Q5783" s="8">
        <f>+(11+51/60+42/3600)</f>
        <v>11.861666666666666</v>
      </c>
      <c r="R5783" s="8">
        <v>14</v>
      </c>
      <c r="S5783" s="8">
        <v>15</v>
      </c>
      <c r="T5783" s="8">
        <v>1</v>
      </c>
      <c r="U5783" s="8">
        <v>13.1</v>
      </c>
      <c r="V5783" s="8">
        <v>0.7</v>
      </c>
      <c r="W5783" s="8">
        <v>0.7</v>
      </c>
      <c r="Y5783" s="8" t="s">
        <v>25768</v>
      </c>
      <c r="Z5783" s="8" t="s">
        <v>25769</v>
      </c>
    </row>
    <row r="5784" spans="1:26" x14ac:dyDescent="0.2">
      <c r="A5784" s="8">
        <v>5783</v>
      </c>
      <c r="B5784" s="8" t="s">
        <v>25770</v>
      </c>
      <c r="C5784" s="8" t="s">
        <v>25770</v>
      </c>
      <c r="F5784" s="47"/>
      <c r="G5784" s="8">
        <v>19</v>
      </c>
      <c r="H5784" s="8" t="s">
        <v>21</v>
      </c>
      <c r="I5784" s="8" t="s">
        <v>22</v>
      </c>
      <c r="J5784" s="8" t="s">
        <v>57</v>
      </c>
      <c r="K5784" s="8" t="s">
        <v>64</v>
      </c>
      <c r="L5784" s="8" t="s">
        <v>22476</v>
      </c>
      <c r="M5784" s="8" t="s">
        <v>22477</v>
      </c>
      <c r="N5784" s="8" t="s">
        <v>25771</v>
      </c>
      <c r="O5784" s="8">
        <f>14+53/60+28.3/3600</f>
        <v>14.891194444444444</v>
      </c>
      <c r="P5784" s="8" t="s">
        <v>25772</v>
      </c>
      <c r="Q5784" s="8">
        <f>+(52+4/60+36/3600)</f>
        <v>52.076666666666668</v>
      </c>
      <c r="R5784" s="8">
        <v>12.8</v>
      </c>
      <c r="S5784" s="8">
        <v>13.5</v>
      </c>
      <c r="T5784" s="8">
        <v>0.7</v>
      </c>
      <c r="U5784" s="8">
        <v>14.4</v>
      </c>
      <c r="V5784" s="8">
        <v>2.9</v>
      </c>
      <c r="W5784" s="8">
        <v>1.8</v>
      </c>
      <c r="X5784" s="8">
        <v>0</v>
      </c>
      <c r="Y5784" s="8" t="s">
        <v>25773</v>
      </c>
      <c r="Z5784" s="8" t="s">
        <v>25774</v>
      </c>
    </row>
    <row r="5785" spans="1:26" x14ac:dyDescent="0.2">
      <c r="A5785" s="8">
        <v>5784</v>
      </c>
      <c r="B5785" s="8" t="s">
        <v>25775</v>
      </c>
      <c r="C5785" s="8" t="s">
        <v>25775</v>
      </c>
      <c r="F5785" s="47" t="s">
        <v>58036</v>
      </c>
      <c r="G5785" s="8">
        <v>15</v>
      </c>
      <c r="H5785" s="8" t="s">
        <v>21</v>
      </c>
      <c r="I5785" s="8" t="s">
        <v>22</v>
      </c>
      <c r="J5785" s="8" t="s">
        <v>22</v>
      </c>
      <c r="K5785" s="8" t="s">
        <v>37</v>
      </c>
      <c r="L5785" s="8" t="s">
        <v>22476</v>
      </c>
      <c r="M5785" s="8" t="s">
        <v>22477</v>
      </c>
      <c r="N5785" s="8" t="s">
        <v>25776</v>
      </c>
      <c r="O5785" s="8">
        <f>14+54/60+16.4/3600</f>
        <v>14.904555555555556</v>
      </c>
      <c r="P5785" s="8" t="s">
        <v>25777</v>
      </c>
      <c r="Q5785" s="8">
        <f>+(42+33/60+31/3600)</f>
        <v>42.558611111111105</v>
      </c>
      <c r="R5785" s="8">
        <v>12.4</v>
      </c>
      <c r="S5785" s="8">
        <v>13.4</v>
      </c>
      <c r="T5785" s="8">
        <v>1</v>
      </c>
      <c r="U5785" s="8">
        <v>13.6</v>
      </c>
      <c r="V5785" s="8">
        <v>1.9</v>
      </c>
      <c r="W5785" s="8">
        <v>1.8</v>
      </c>
      <c r="X5785" s="8">
        <v>0</v>
      </c>
      <c r="Y5785" s="8" t="s">
        <v>25778</v>
      </c>
      <c r="Z5785" s="8" t="s">
        <v>25779</v>
      </c>
    </row>
    <row r="5786" spans="1:26" x14ac:dyDescent="0.2">
      <c r="A5786" s="8">
        <v>5785</v>
      </c>
      <c r="B5786" s="8" t="s">
        <v>25780</v>
      </c>
      <c r="C5786" s="8" t="s">
        <v>25780</v>
      </c>
      <c r="F5786" s="47"/>
      <c r="G5786" s="8">
        <v>19</v>
      </c>
      <c r="H5786" s="8" t="s">
        <v>21</v>
      </c>
      <c r="I5786" s="8" t="s">
        <v>22</v>
      </c>
      <c r="J5786" s="8" t="s">
        <v>22</v>
      </c>
      <c r="K5786" s="8" t="s">
        <v>64</v>
      </c>
      <c r="L5786" s="8" t="s">
        <v>22476</v>
      </c>
      <c r="M5786" s="8" t="s">
        <v>22477</v>
      </c>
      <c r="N5786" s="8" t="s">
        <v>25771</v>
      </c>
      <c r="O5786" s="8">
        <f>14+53/60+28.3/3600</f>
        <v>14.891194444444444</v>
      </c>
      <c r="P5786" s="8" t="s">
        <v>25772</v>
      </c>
      <c r="Q5786" s="8">
        <f>+(52+4/60+36/3600)</f>
        <v>52.076666666666668</v>
      </c>
      <c r="R5786" s="8">
        <v>12.8</v>
      </c>
      <c r="S5786" s="8">
        <v>13.5</v>
      </c>
      <c r="T5786" s="8">
        <v>0.7</v>
      </c>
      <c r="U5786" s="8">
        <v>14.4</v>
      </c>
      <c r="V5786" s="8">
        <v>2.9</v>
      </c>
      <c r="W5786" s="8">
        <v>1.8</v>
      </c>
      <c r="X5786" s="8">
        <v>0</v>
      </c>
      <c r="Y5786" s="8" t="s">
        <v>25773</v>
      </c>
      <c r="Z5786" s="8" t="s">
        <v>25781</v>
      </c>
    </row>
    <row r="5787" spans="1:26" x14ac:dyDescent="0.2">
      <c r="A5787" s="8">
        <v>5786</v>
      </c>
      <c r="B5787" s="8" t="s">
        <v>25782</v>
      </c>
      <c r="C5787" s="8" t="s">
        <v>25782</v>
      </c>
      <c r="F5787" s="47"/>
      <c r="G5787" s="8">
        <v>16</v>
      </c>
      <c r="H5787" s="8" t="s">
        <v>21</v>
      </c>
      <c r="I5787" s="8" t="s">
        <v>22</v>
      </c>
      <c r="J5787" s="8" t="s">
        <v>22</v>
      </c>
      <c r="K5787" s="8" t="s">
        <v>85</v>
      </c>
      <c r="L5787" s="8" t="s">
        <v>16195</v>
      </c>
      <c r="M5787" s="8" t="s">
        <v>16196</v>
      </c>
      <c r="N5787" s="8" t="s">
        <v>25783</v>
      </c>
      <c r="O5787" s="8">
        <f>14+58/60+56.4/3600</f>
        <v>14.982333333333333</v>
      </c>
      <c r="P5787" s="8" t="s">
        <v>25784</v>
      </c>
      <c r="Q5787" s="8">
        <f>-(42+0/60+52/3600)</f>
        <v>-42.014444444444443</v>
      </c>
      <c r="R5787" s="8">
        <v>11.5</v>
      </c>
      <c r="S5787" s="8">
        <v>12.3</v>
      </c>
      <c r="T5787" s="8">
        <v>0.8</v>
      </c>
      <c r="U5787" s="8">
        <v>12.3</v>
      </c>
      <c r="V5787" s="8">
        <v>2.2999999999999998</v>
      </c>
      <c r="W5787" s="8">
        <v>1.2</v>
      </c>
      <c r="X5787" s="8">
        <v>63</v>
      </c>
      <c r="Y5787" s="8" t="s">
        <v>25785</v>
      </c>
      <c r="Z5787" s="8" t="s">
        <v>25786</v>
      </c>
    </row>
    <row r="5788" spans="1:26" x14ac:dyDescent="0.2">
      <c r="A5788" s="8">
        <v>5787</v>
      </c>
      <c r="B5788" s="8" t="s">
        <v>25787</v>
      </c>
      <c r="C5788" s="8" t="s">
        <v>25787</v>
      </c>
      <c r="F5788" s="47" t="s">
        <v>58037</v>
      </c>
      <c r="G5788" s="8">
        <v>15</v>
      </c>
      <c r="H5788" s="8" t="s">
        <v>21</v>
      </c>
      <c r="I5788" s="8" t="s">
        <v>22</v>
      </c>
      <c r="J5788" s="8" t="s">
        <v>22</v>
      </c>
      <c r="K5788" s="8" t="s">
        <v>476</v>
      </c>
      <c r="L5788" s="8" t="s">
        <v>22476</v>
      </c>
      <c r="M5788" s="8" t="s">
        <v>22477</v>
      </c>
      <c r="N5788" s="8" t="s">
        <v>25788</v>
      </c>
      <c r="O5788" s="8">
        <f>14+55/60+15.4/3600</f>
        <v>14.920944444444444</v>
      </c>
      <c r="P5788" s="8" t="s">
        <v>25789</v>
      </c>
      <c r="Q5788" s="8">
        <f>+(42+30/60+26/3600)</f>
        <v>42.507222222222225</v>
      </c>
      <c r="R5788" s="8">
        <v>13.2</v>
      </c>
      <c r="S5788" s="8">
        <v>14.1</v>
      </c>
      <c r="T5788" s="8">
        <v>0.9</v>
      </c>
      <c r="U5788" s="8">
        <v>12.9</v>
      </c>
      <c r="V5788" s="8">
        <v>1</v>
      </c>
      <c r="W5788" s="8">
        <v>0.9</v>
      </c>
      <c r="X5788" s="8">
        <v>0</v>
      </c>
      <c r="Y5788" s="8" t="s">
        <v>25790</v>
      </c>
      <c r="Z5788" s="8" t="s">
        <v>25791</v>
      </c>
    </row>
    <row r="5789" spans="1:26" x14ac:dyDescent="0.2">
      <c r="A5789" s="8">
        <v>5788</v>
      </c>
      <c r="B5789" s="8" t="s">
        <v>25792</v>
      </c>
      <c r="C5789" s="8" t="s">
        <v>25792</v>
      </c>
      <c r="F5789" s="47"/>
      <c r="G5789" s="8">
        <v>19</v>
      </c>
      <c r="H5789" s="8" t="s">
        <v>21</v>
      </c>
      <c r="I5789" s="8" t="s">
        <v>22</v>
      </c>
      <c r="J5789" s="8" t="s">
        <v>22</v>
      </c>
      <c r="K5789" s="8" t="s">
        <v>449</v>
      </c>
      <c r="L5789" s="8" t="s">
        <v>22476</v>
      </c>
      <c r="M5789" s="8" t="s">
        <v>22477</v>
      </c>
      <c r="N5789" s="8" t="s">
        <v>25793</v>
      </c>
      <c r="O5789" s="8">
        <f>14+53/60+16.8/3600</f>
        <v>14.888</v>
      </c>
      <c r="P5789" s="8" t="s">
        <v>25794</v>
      </c>
      <c r="Q5789" s="8">
        <f>+(52+2/60+41/3600)</f>
        <v>52.044722222222219</v>
      </c>
      <c r="R5789" s="8">
        <v>14.7</v>
      </c>
      <c r="S5789" s="8">
        <v>15.5</v>
      </c>
      <c r="T5789" s="8">
        <v>0.8</v>
      </c>
      <c r="U5789" s="8">
        <v>12.8</v>
      </c>
      <c r="V5789" s="8">
        <v>0.6</v>
      </c>
      <c r="W5789" s="8">
        <v>0.4</v>
      </c>
      <c r="X5789" s="8">
        <v>39</v>
      </c>
      <c r="Y5789" s="8" t="s">
        <v>25795</v>
      </c>
      <c r="Z5789" s="8" t="s">
        <v>25796</v>
      </c>
    </row>
    <row r="5790" spans="1:26" x14ac:dyDescent="0.2">
      <c r="A5790" s="8">
        <v>5789</v>
      </c>
      <c r="B5790" s="8" t="s">
        <v>25797</v>
      </c>
      <c r="C5790" s="8" t="s">
        <v>25797</v>
      </c>
      <c r="F5790" s="47" t="s">
        <v>58038</v>
      </c>
      <c r="G5790" s="8">
        <v>15</v>
      </c>
      <c r="H5790" s="8" t="s">
        <v>21</v>
      </c>
      <c r="I5790" s="8" t="s">
        <v>22</v>
      </c>
      <c r="J5790" s="8" t="s">
        <v>22</v>
      </c>
      <c r="K5790" s="8" t="s">
        <v>269</v>
      </c>
      <c r="L5790" s="8" t="s">
        <v>22476</v>
      </c>
      <c r="M5790" s="8" t="s">
        <v>22477</v>
      </c>
      <c r="N5790" s="8" t="s">
        <v>25798</v>
      </c>
      <c r="O5790" s="8">
        <f>14+56/60+35.7/3600</f>
        <v>14.943250000000001</v>
      </c>
      <c r="P5790" s="8" t="s">
        <v>25799</v>
      </c>
      <c r="Q5790" s="8">
        <f>+(30+14/60+0/3600)</f>
        <v>30.233333333333334</v>
      </c>
      <c r="R5790" s="8">
        <v>13.6</v>
      </c>
      <c r="S5790" s="8">
        <v>14.2</v>
      </c>
      <c r="T5790" s="8">
        <v>0.6</v>
      </c>
      <c r="U5790" s="8">
        <v>13.1</v>
      </c>
      <c r="V5790" s="8">
        <v>0.9</v>
      </c>
      <c r="W5790" s="8">
        <v>0.8</v>
      </c>
      <c r="X5790" s="8">
        <v>135</v>
      </c>
      <c r="Y5790" s="8" t="s">
        <v>25800</v>
      </c>
      <c r="Z5790" s="8" t="s">
        <v>25801</v>
      </c>
    </row>
    <row r="5791" spans="1:26" x14ac:dyDescent="0.2">
      <c r="A5791" s="8">
        <v>5790</v>
      </c>
      <c r="B5791" s="8" t="s">
        <v>25802</v>
      </c>
      <c r="C5791" s="8" t="s">
        <v>25802</v>
      </c>
      <c r="F5791" s="47"/>
      <c r="G5791" s="8">
        <v>19</v>
      </c>
      <c r="H5791" s="8" t="s">
        <v>21</v>
      </c>
      <c r="I5791" s="8" t="s">
        <v>22</v>
      </c>
      <c r="J5791" s="8" t="s">
        <v>22</v>
      </c>
      <c r="K5791" s="8" t="s">
        <v>632</v>
      </c>
      <c r="L5791" s="8" t="s">
        <v>22476</v>
      </c>
      <c r="M5791" s="8" t="s">
        <v>22477</v>
      </c>
      <c r="N5791" s="8" t="s">
        <v>25803</v>
      </c>
      <c r="O5791" s="8">
        <f>14+57/60+35.9/3600</f>
        <v>14.959972222222222</v>
      </c>
      <c r="P5791" s="8" t="s">
        <v>25804</v>
      </c>
      <c r="Q5791" s="8">
        <f>+(8+17/60+7/3600)</f>
        <v>8.2852777777777771</v>
      </c>
      <c r="R5791" s="8">
        <v>13.6</v>
      </c>
      <c r="S5791" s="8">
        <v>14.5</v>
      </c>
      <c r="T5791" s="8">
        <v>0.9</v>
      </c>
      <c r="U5791" s="8">
        <v>13.5</v>
      </c>
      <c r="V5791" s="8">
        <v>0.9</v>
      </c>
      <c r="W5791" s="8">
        <v>0.8</v>
      </c>
      <c r="X5791" s="8">
        <v>77</v>
      </c>
      <c r="Y5791" s="8" t="s">
        <v>25805</v>
      </c>
      <c r="Z5791" s="8" t="s">
        <v>25806</v>
      </c>
    </row>
    <row r="5792" spans="1:26" x14ac:dyDescent="0.2">
      <c r="A5792" s="8">
        <v>5791</v>
      </c>
      <c r="B5792" s="8" t="s">
        <v>25807</v>
      </c>
      <c r="C5792" s="8" t="s">
        <v>25807</v>
      </c>
      <c r="F5792" s="47" t="s">
        <v>58039</v>
      </c>
      <c r="G5792" s="8">
        <v>6.5</v>
      </c>
      <c r="H5792" s="8" t="s">
        <v>21</v>
      </c>
      <c r="I5792" s="8" t="s">
        <v>22</v>
      </c>
      <c r="J5792" s="8" t="s">
        <v>22</v>
      </c>
      <c r="K5792" s="8" t="s">
        <v>3850</v>
      </c>
      <c r="L5792" s="8" t="s">
        <v>24948</v>
      </c>
      <c r="M5792" s="8" t="s">
        <v>24949</v>
      </c>
      <c r="N5792" s="8" t="s">
        <v>25808</v>
      </c>
      <c r="O5792" s="8">
        <f>14+58/60+46/3600</f>
        <v>14.979444444444445</v>
      </c>
      <c r="P5792" s="8" t="s">
        <v>25809</v>
      </c>
      <c r="Q5792" s="8">
        <f>-(19+16/60+1/3600)</f>
        <v>-19.266944444444444</v>
      </c>
      <c r="R5792" s="8">
        <v>11.7</v>
      </c>
      <c r="S5792" s="8">
        <v>12.7</v>
      </c>
      <c r="T5792" s="8">
        <v>1</v>
      </c>
      <c r="U5792" s="8">
        <v>13</v>
      </c>
      <c r="V5792" s="8">
        <v>2.5</v>
      </c>
      <c r="W5792" s="8">
        <v>1.3</v>
      </c>
      <c r="X5792" s="8">
        <v>163</v>
      </c>
      <c r="Y5792" s="8" t="s">
        <v>25810</v>
      </c>
      <c r="Z5792" s="8" t="s">
        <v>25811</v>
      </c>
    </row>
    <row r="5793" spans="1:26" x14ac:dyDescent="0.2">
      <c r="A5793" s="8">
        <v>5792</v>
      </c>
      <c r="B5793" s="8" t="s">
        <v>25812</v>
      </c>
      <c r="C5793" s="8" t="s">
        <v>25812</v>
      </c>
      <c r="F5793" s="47" t="s">
        <v>58040</v>
      </c>
      <c r="G5793" s="8">
        <v>7</v>
      </c>
      <c r="H5793" s="8" t="s">
        <v>21</v>
      </c>
      <c r="I5793" s="8" t="s">
        <v>22</v>
      </c>
      <c r="J5793" s="8" t="s">
        <v>22</v>
      </c>
      <c r="K5793" s="8" t="s">
        <v>218</v>
      </c>
      <c r="L5793" s="8" t="s">
        <v>24948</v>
      </c>
      <c r="M5793" s="8" t="s">
        <v>24949</v>
      </c>
      <c r="N5793" s="8" t="s">
        <v>25813</v>
      </c>
      <c r="O5793" s="8">
        <f>14+58/60+22.6/3600</f>
        <v>14.972944444444444</v>
      </c>
      <c r="P5793" s="8" t="s">
        <v>25814</v>
      </c>
      <c r="Q5793" s="8">
        <f>-(1+5/60+25/3600)</f>
        <v>-1.0902777777777777</v>
      </c>
      <c r="R5793" s="8">
        <v>11.3</v>
      </c>
      <c r="S5793" s="8">
        <v>12.1</v>
      </c>
      <c r="T5793" s="8">
        <v>0.8</v>
      </c>
      <c r="U5793" s="8">
        <v>13.8</v>
      </c>
      <c r="V5793" s="8">
        <v>6.8</v>
      </c>
      <c r="W5793" s="8">
        <v>1.7</v>
      </c>
      <c r="X5793" s="8">
        <v>84</v>
      </c>
      <c r="Y5793" s="8" t="s">
        <v>25815</v>
      </c>
      <c r="Z5793" s="8" t="s">
        <v>25816</v>
      </c>
    </row>
    <row r="5794" spans="1:26" x14ac:dyDescent="0.2">
      <c r="A5794" s="8">
        <v>5793</v>
      </c>
      <c r="B5794" s="8" t="s">
        <v>25817</v>
      </c>
      <c r="C5794" s="8" t="s">
        <v>25817</v>
      </c>
      <c r="F5794" s="47"/>
      <c r="G5794" s="8">
        <v>19</v>
      </c>
      <c r="H5794" s="8" t="s">
        <v>21</v>
      </c>
      <c r="I5794" s="8" t="s">
        <v>22</v>
      </c>
      <c r="J5794" s="8" t="s">
        <v>22</v>
      </c>
      <c r="K5794" s="8" t="s">
        <v>23</v>
      </c>
      <c r="L5794" s="8" t="s">
        <v>24948</v>
      </c>
      <c r="M5794" s="8" t="s">
        <v>24949</v>
      </c>
      <c r="N5794" s="8" t="s">
        <v>25818</v>
      </c>
      <c r="O5794" s="8">
        <f>14+59/60+24.7/3600</f>
        <v>14.990194444444443</v>
      </c>
      <c r="P5794" s="8" t="s">
        <v>25819</v>
      </c>
      <c r="Q5794" s="8">
        <f>-(16+41/60+36/3600)</f>
        <v>-16.693333333333335</v>
      </c>
      <c r="R5794" s="8">
        <v>13.2</v>
      </c>
      <c r="S5794" s="8">
        <v>14.3</v>
      </c>
      <c r="T5794" s="8">
        <v>1.1000000000000001</v>
      </c>
      <c r="U5794" s="8">
        <v>13</v>
      </c>
      <c r="V5794" s="8">
        <v>1.7</v>
      </c>
      <c r="W5794" s="8">
        <v>0.6</v>
      </c>
      <c r="X5794" s="8">
        <v>150</v>
      </c>
      <c r="Y5794" s="8" t="s">
        <v>25820</v>
      </c>
      <c r="Z5794" s="8" t="s">
        <v>25821</v>
      </c>
    </row>
    <row r="5795" spans="1:26" x14ac:dyDescent="0.2">
      <c r="A5795" s="8">
        <v>5794</v>
      </c>
      <c r="B5795" s="8" t="s">
        <v>25822</v>
      </c>
      <c r="C5795" s="8" t="s">
        <v>25822</v>
      </c>
      <c r="F5795" s="47"/>
      <c r="G5795" s="8">
        <v>16</v>
      </c>
      <c r="H5795" s="8" t="s">
        <v>21</v>
      </c>
      <c r="I5795" s="8" t="s">
        <v>22</v>
      </c>
      <c r="J5795" s="8" t="s">
        <v>22</v>
      </c>
      <c r="K5795" s="8" t="s">
        <v>449</v>
      </c>
      <c r="L5795" s="8" t="s">
        <v>22476</v>
      </c>
      <c r="M5795" s="8" t="s">
        <v>22477</v>
      </c>
      <c r="N5795" s="8" t="s">
        <v>25823</v>
      </c>
      <c r="O5795" s="8">
        <f>14+55/60+53.6/3600</f>
        <v>14.931555555555555</v>
      </c>
      <c r="P5795" s="8" t="s">
        <v>25824</v>
      </c>
      <c r="Q5795" s="8">
        <f>+(49+43/60+33/3600)</f>
        <v>49.725833333333334</v>
      </c>
      <c r="R5795" s="8">
        <v>13.5</v>
      </c>
      <c r="S5795" s="8">
        <v>14.3</v>
      </c>
      <c r="T5795" s="8">
        <v>0.8</v>
      </c>
      <c r="U5795" s="8">
        <v>13.3</v>
      </c>
      <c r="V5795" s="8">
        <v>1</v>
      </c>
      <c r="W5795" s="8">
        <v>1</v>
      </c>
      <c r="Y5795" s="8" t="s">
        <v>25825</v>
      </c>
      <c r="Z5795" s="8" t="s">
        <v>25826</v>
      </c>
    </row>
    <row r="5796" spans="1:26" x14ac:dyDescent="0.2">
      <c r="A5796" s="8">
        <v>5795</v>
      </c>
      <c r="B5796" s="8" t="s">
        <v>25827</v>
      </c>
      <c r="C5796" s="8" t="s">
        <v>25827</v>
      </c>
      <c r="F5796" s="47"/>
      <c r="G5796" s="8">
        <v>19</v>
      </c>
      <c r="H5796" s="8" t="s">
        <v>21</v>
      </c>
      <c r="I5796" s="8" t="s">
        <v>22</v>
      </c>
      <c r="J5796" s="8" t="s">
        <v>22</v>
      </c>
      <c r="K5796" s="8" t="s">
        <v>160</v>
      </c>
      <c r="L5796" s="8" t="s">
        <v>22476</v>
      </c>
      <c r="M5796" s="8" t="s">
        <v>22477</v>
      </c>
      <c r="N5796" s="8" t="s">
        <v>25828</v>
      </c>
      <c r="O5796" s="8">
        <f>14+56/60+19/3600</f>
        <v>14.938611111111111</v>
      </c>
      <c r="P5796" s="8" t="s">
        <v>25829</v>
      </c>
      <c r="Q5796" s="8">
        <f>+(49+23/60+55/3600)</f>
        <v>49.398611111111109</v>
      </c>
      <c r="R5796" s="8">
        <v>13.9</v>
      </c>
      <c r="S5796" s="8">
        <v>14.6</v>
      </c>
      <c r="T5796" s="8">
        <v>0.7</v>
      </c>
      <c r="U5796" s="8">
        <v>12.9</v>
      </c>
      <c r="V5796" s="8">
        <v>1.6</v>
      </c>
      <c r="W5796" s="8">
        <v>0.3</v>
      </c>
      <c r="X5796" s="8">
        <v>64</v>
      </c>
      <c r="Y5796" s="8" t="s">
        <v>25830</v>
      </c>
      <c r="Z5796" s="8" t="s">
        <v>25831</v>
      </c>
    </row>
    <row r="5797" spans="1:26" x14ac:dyDescent="0.2">
      <c r="A5797" s="8">
        <v>5796</v>
      </c>
      <c r="B5797" s="8" t="s">
        <v>25832</v>
      </c>
      <c r="C5797" s="8" t="s">
        <v>25832</v>
      </c>
      <c r="F5797" s="47"/>
      <c r="G5797" s="8">
        <v>13</v>
      </c>
      <c r="H5797" s="8" t="s">
        <v>21</v>
      </c>
      <c r="I5797" s="8" t="s">
        <v>22</v>
      </c>
      <c r="J5797" s="8" t="s">
        <v>22</v>
      </c>
      <c r="K5797" s="8" t="s">
        <v>382</v>
      </c>
      <c r="L5797" s="8" t="s">
        <v>24948</v>
      </c>
      <c r="M5797" s="8" t="s">
        <v>24949</v>
      </c>
      <c r="N5797" s="8" t="s">
        <v>25833</v>
      </c>
      <c r="O5797" s="8">
        <f>14+59/60+24/3600</f>
        <v>14.989999999999998</v>
      </c>
      <c r="P5797" s="8" t="s">
        <v>25834</v>
      </c>
      <c r="Q5797" s="8">
        <f>-(16+37/60+25/3600)</f>
        <v>-16.62361111111111</v>
      </c>
      <c r="R5797" s="8">
        <v>11.6</v>
      </c>
      <c r="S5797" s="8">
        <v>12.7</v>
      </c>
      <c r="T5797" s="8">
        <v>1.1000000000000001</v>
      </c>
      <c r="U5797" s="8">
        <v>13.2</v>
      </c>
      <c r="V5797" s="8">
        <v>2.5</v>
      </c>
      <c r="W5797" s="8">
        <v>1.8</v>
      </c>
      <c r="X5797" s="8">
        <v>90</v>
      </c>
      <c r="Y5797" s="8" t="s">
        <v>25835</v>
      </c>
      <c r="Z5797" s="8" t="s">
        <v>25836</v>
      </c>
    </row>
    <row r="5798" spans="1:26" x14ac:dyDescent="0.2">
      <c r="A5798" s="8">
        <v>5797</v>
      </c>
      <c r="B5798" s="8" t="s">
        <v>25837</v>
      </c>
      <c r="C5798" s="8" t="s">
        <v>25837</v>
      </c>
      <c r="F5798" s="47" t="s">
        <v>58041</v>
      </c>
      <c r="G5798" s="8">
        <v>15</v>
      </c>
      <c r="H5798" s="8" t="s">
        <v>21</v>
      </c>
      <c r="I5798" s="8" t="s">
        <v>22</v>
      </c>
      <c r="J5798" s="8" t="s">
        <v>22</v>
      </c>
      <c r="K5798" s="8" t="s">
        <v>632</v>
      </c>
      <c r="L5798" s="8" t="s">
        <v>22476</v>
      </c>
      <c r="M5798" s="8" t="s">
        <v>22477</v>
      </c>
      <c r="N5798" s="8" t="s">
        <v>25838</v>
      </c>
      <c r="O5798" s="8">
        <f>14+56/60+23.9/3600</f>
        <v>14.939972222222222</v>
      </c>
      <c r="P5798" s="8" t="s">
        <v>25839</v>
      </c>
      <c r="Q5798" s="8">
        <f>+(49+41/60+44/3600)</f>
        <v>49.695555555555551</v>
      </c>
      <c r="R5798" s="8">
        <v>12.8</v>
      </c>
      <c r="S5798" s="8">
        <v>13.7</v>
      </c>
      <c r="T5798" s="8">
        <v>0.9</v>
      </c>
      <c r="U5798" s="8">
        <v>13.2</v>
      </c>
      <c r="V5798" s="8">
        <v>1.6</v>
      </c>
      <c r="W5798" s="8">
        <v>1</v>
      </c>
      <c r="X5798" s="8">
        <v>110</v>
      </c>
      <c r="Y5798" s="8" t="s">
        <v>25840</v>
      </c>
      <c r="Z5798" s="8" t="s">
        <v>25841</v>
      </c>
    </row>
    <row r="5799" spans="1:26" x14ac:dyDescent="0.2">
      <c r="A5799" s="8">
        <v>5798</v>
      </c>
      <c r="B5799" s="8" t="s">
        <v>25842</v>
      </c>
      <c r="C5799" s="8" t="s">
        <v>25842</v>
      </c>
      <c r="F5799" s="47" t="s">
        <v>58042</v>
      </c>
      <c r="G5799" s="8">
        <v>15</v>
      </c>
      <c r="H5799" s="8" t="s">
        <v>21</v>
      </c>
      <c r="I5799" s="8" t="s">
        <v>22</v>
      </c>
      <c r="J5799" s="8" t="s">
        <v>22</v>
      </c>
      <c r="K5799" s="8" t="s">
        <v>3616</v>
      </c>
      <c r="L5799" s="8" t="s">
        <v>22476</v>
      </c>
      <c r="M5799" s="8" t="s">
        <v>22477</v>
      </c>
      <c r="N5799" s="8" t="s">
        <v>25843</v>
      </c>
      <c r="O5799" s="8">
        <f>14+57/60+37.9/3600</f>
        <v>14.960527777777777</v>
      </c>
      <c r="P5799" s="8" t="s">
        <v>25844</v>
      </c>
      <c r="Q5799" s="8">
        <f>+(29+58/60+5/3600)</f>
        <v>29.968055555555555</v>
      </c>
      <c r="R5799" s="8">
        <v>13</v>
      </c>
      <c r="S5799" s="8">
        <v>13.6</v>
      </c>
      <c r="T5799" s="8">
        <v>0.6</v>
      </c>
      <c r="U5799" s="8">
        <v>13.1</v>
      </c>
      <c r="V5799" s="8">
        <v>1.4</v>
      </c>
      <c r="W5799" s="8">
        <v>0.9</v>
      </c>
      <c r="X5799" s="8">
        <v>42</v>
      </c>
      <c r="Y5799" s="8" t="s">
        <v>25845</v>
      </c>
      <c r="Z5799" s="8" t="s">
        <v>25846</v>
      </c>
    </row>
    <row r="5800" spans="1:26" x14ac:dyDescent="0.2">
      <c r="A5800" s="8">
        <v>5799</v>
      </c>
      <c r="B5800" s="8" t="s">
        <v>25847</v>
      </c>
      <c r="C5800" s="8" t="s">
        <v>25847</v>
      </c>
      <c r="F5800" s="47"/>
      <c r="G5800" s="8">
        <v>16</v>
      </c>
      <c r="H5800" s="8" t="s">
        <v>21</v>
      </c>
      <c r="I5800" s="8" t="s">
        <v>22</v>
      </c>
      <c r="J5800" s="8" t="s">
        <v>22</v>
      </c>
      <c r="K5800" s="8" t="s">
        <v>632</v>
      </c>
      <c r="L5800" s="8" t="s">
        <v>25025</v>
      </c>
      <c r="M5800" s="8" t="s">
        <v>25026</v>
      </c>
      <c r="N5800" s="8" t="s">
        <v>25848</v>
      </c>
      <c r="O5800" s="8">
        <f>15+5/60+35.5/3600</f>
        <v>15.093194444444444</v>
      </c>
      <c r="P5800" s="8" t="s">
        <v>25849</v>
      </c>
      <c r="Q5800" s="8">
        <f>-(72+25/60+58/3600)</f>
        <v>-72.432777777777787</v>
      </c>
      <c r="R5800" s="8">
        <v>12.9</v>
      </c>
      <c r="S5800" s="8">
        <v>13.8</v>
      </c>
      <c r="T5800" s="8">
        <v>0.9</v>
      </c>
      <c r="U5800" s="8">
        <v>12.3</v>
      </c>
      <c r="V5800" s="8">
        <v>0.9</v>
      </c>
      <c r="W5800" s="8">
        <v>0.7</v>
      </c>
      <c r="X5800" s="8">
        <v>130</v>
      </c>
      <c r="Y5800" s="8" t="s">
        <v>314</v>
      </c>
      <c r="Z5800" s="8" t="s">
        <v>315</v>
      </c>
    </row>
    <row r="5801" spans="1:26" x14ac:dyDescent="0.2">
      <c r="A5801" s="8">
        <v>5800</v>
      </c>
      <c r="B5801" s="8" t="s">
        <v>25850</v>
      </c>
      <c r="C5801" s="8" t="s">
        <v>25850</v>
      </c>
      <c r="F5801" s="47"/>
      <c r="G5801" s="8">
        <v>16</v>
      </c>
      <c r="H5801" s="8" t="s">
        <v>21</v>
      </c>
      <c r="I5801" s="8" t="s">
        <v>557</v>
      </c>
      <c r="J5801" s="8" t="s">
        <v>557</v>
      </c>
      <c r="K5801" s="8" t="s">
        <v>557</v>
      </c>
      <c r="L5801" s="8" t="s">
        <v>24674</v>
      </c>
      <c r="M5801" s="8" t="s">
        <v>24675</v>
      </c>
      <c r="N5801" s="8" t="s">
        <v>25851</v>
      </c>
      <c r="O5801" s="8">
        <f>15+1/60+47.8/3600</f>
        <v>15.029944444444446</v>
      </c>
      <c r="P5801" s="8" t="s">
        <v>25852</v>
      </c>
      <c r="Q5801" s="8">
        <f>-(51+55/60+6/3600)</f>
        <v>-51.918333333333329</v>
      </c>
      <c r="R5801" s="8">
        <v>99</v>
      </c>
      <c r="S5801" s="8">
        <v>8</v>
      </c>
      <c r="T5801" s="8">
        <v>99</v>
      </c>
      <c r="U5801" s="8">
        <v>99</v>
      </c>
      <c r="V5801" s="8">
        <v>5</v>
      </c>
      <c r="Y5801" s="8" t="s">
        <v>25853</v>
      </c>
      <c r="Z5801" s="8" t="s">
        <v>25854</v>
      </c>
    </row>
    <row r="5802" spans="1:26" x14ac:dyDescent="0.2">
      <c r="A5802" s="8">
        <v>5801</v>
      </c>
      <c r="B5802" s="8" t="s">
        <v>25855</v>
      </c>
      <c r="C5802" s="8" t="s">
        <v>25855</v>
      </c>
      <c r="F5802" s="47"/>
      <c r="G5802" s="8">
        <v>19</v>
      </c>
      <c r="H5802" s="8" t="s">
        <v>21</v>
      </c>
      <c r="I5802" s="8" t="s">
        <v>22</v>
      </c>
      <c r="J5802" s="8" t="s">
        <v>22</v>
      </c>
      <c r="K5802" s="8" t="s">
        <v>23</v>
      </c>
      <c r="L5802" s="8" t="s">
        <v>24948</v>
      </c>
      <c r="M5802" s="8" t="s">
        <v>24949</v>
      </c>
      <c r="N5802" s="8" t="s">
        <v>25856</v>
      </c>
      <c r="O5802" s="8">
        <f>15+0/60+25.9/3600</f>
        <v>15.007194444444444</v>
      </c>
      <c r="P5802" s="8" t="s">
        <v>25857</v>
      </c>
      <c r="Q5802" s="8">
        <f>-(13+54/60+13/3600)</f>
        <v>-13.903611111111111</v>
      </c>
      <c r="R5802" s="8">
        <v>14.7</v>
      </c>
      <c r="S5802" s="8">
        <v>15.5</v>
      </c>
      <c r="T5802" s="8">
        <v>0.8</v>
      </c>
      <c r="U5802" s="8">
        <v>13.4</v>
      </c>
      <c r="V5802" s="8">
        <v>0.7</v>
      </c>
      <c r="W5802" s="8">
        <v>0.5</v>
      </c>
      <c r="X5802" s="8">
        <v>51</v>
      </c>
      <c r="Y5802" s="8" t="s">
        <v>25858</v>
      </c>
      <c r="Z5802" s="8" t="s">
        <v>25859</v>
      </c>
    </row>
    <row r="5803" spans="1:26" x14ac:dyDescent="0.2">
      <c r="A5803" s="8">
        <v>5802</v>
      </c>
      <c r="B5803" s="8" t="s">
        <v>25860</v>
      </c>
      <c r="C5803" s="8" t="s">
        <v>25860</v>
      </c>
      <c r="F5803" s="47"/>
      <c r="G5803" s="8">
        <v>19</v>
      </c>
      <c r="H5803" s="8" t="s">
        <v>21</v>
      </c>
      <c r="I5803" s="8" t="s">
        <v>22</v>
      </c>
      <c r="J5803" s="8" t="s">
        <v>22</v>
      </c>
      <c r="K5803" s="8" t="s">
        <v>37</v>
      </c>
      <c r="L5803" s="8" t="s">
        <v>24948</v>
      </c>
      <c r="M5803" s="8" t="s">
        <v>24949</v>
      </c>
      <c r="N5803" s="8" t="s">
        <v>25861</v>
      </c>
      <c r="O5803" s="8">
        <f>15+0/60+29.9/3600</f>
        <v>15.008305555555555</v>
      </c>
      <c r="P5803" s="8" t="s">
        <v>25862</v>
      </c>
      <c r="Q5803" s="8">
        <f>-(13+55/60+6/3600)</f>
        <v>-13.918333333333333</v>
      </c>
      <c r="R5803" s="8">
        <v>14.2</v>
      </c>
      <c r="S5803" s="8">
        <v>15.2</v>
      </c>
      <c r="T5803" s="8">
        <v>1</v>
      </c>
      <c r="U5803" s="8">
        <v>13.2</v>
      </c>
      <c r="V5803" s="8">
        <v>0.9</v>
      </c>
      <c r="W5803" s="8">
        <v>0.5</v>
      </c>
      <c r="X5803" s="8">
        <v>90</v>
      </c>
      <c r="Y5803" s="8" t="s">
        <v>25863</v>
      </c>
      <c r="Z5803" s="8" t="s">
        <v>25864</v>
      </c>
    </row>
    <row r="5804" spans="1:26" x14ac:dyDescent="0.2">
      <c r="A5804" s="8">
        <v>5803</v>
      </c>
      <c r="B5804" s="8" t="s">
        <v>25865</v>
      </c>
      <c r="C5804" s="8" t="s">
        <v>25865</v>
      </c>
      <c r="F5804" s="47"/>
      <c r="G5804" s="8">
        <v>19</v>
      </c>
      <c r="H5804" s="8" t="s">
        <v>21</v>
      </c>
      <c r="I5804" s="8" t="s">
        <v>22</v>
      </c>
      <c r="J5804" s="8" t="s">
        <v>22</v>
      </c>
      <c r="K5804" s="8" t="s">
        <v>58</v>
      </c>
      <c r="L5804" s="8" t="s">
        <v>24948</v>
      </c>
      <c r="M5804" s="8" t="s">
        <v>24949</v>
      </c>
      <c r="N5804" s="8" t="s">
        <v>25866</v>
      </c>
      <c r="O5804" s="8">
        <f>15+0/60+34.4/3600</f>
        <v>15.009555555555556</v>
      </c>
      <c r="P5804" s="8" t="s">
        <v>25867</v>
      </c>
      <c r="Q5804" s="8">
        <f>-(13+53/60+38/3600)</f>
        <v>-13.893888888888888</v>
      </c>
      <c r="R5804" s="8">
        <v>14.8</v>
      </c>
      <c r="S5804" s="8">
        <v>15.8</v>
      </c>
      <c r="T5804" s="8">
        <v>1</v>
      </c>
      <c r="U5804" s="8">
        <v>13.6</v>
      </c>
      <c r="V5804" s="8">
        <v>0.6</v>
      </c>
      <c r="W5804" s="8">
        <v>0.5</v>
      </c>
      <c r="X5804" s="8">
        <v>60</v>
      </c>
      <c r="Y5804" s="8" t="s">
        <v>25868</v>
      </c>
      <c r="Z5804" s="8" t="s">
        <v>25869</v>
      </c>
    </row>
    <row r="5805" spans="1:26" x14ac:dyDescent="0.2">
      <c r="A5805" s="8">
        <v>5804</v>
      </c>
      <c r="B5805" s="8" t="s">
        <v>25870</v>
      </c>
      <c r="C5805" s="8" t="s">
        <v>25870</v>
      </c>
      <c r="F5805" s="47" t="s">
        <v>58043</v>
      </c>
      <c r="G5805" s="8">
        <v>15</v>
      </c>
      <c r="H5805" s="8" t="s">
        <v>21</v>
      </c>
      <c r="I5805" s="8" t="s">
        <v>22</v>
      </c>
      <c r="J5805" s="8" t="s">
        <v>22</v>
      </c>
      <c r="K5805" s="8" t="s">
        <v>218</v>
      </c>
      <c r="L5805" s="8" t="s">
        <v>22476</v>
      </c>
      <c r="M5805" s="8" t="s">
        <v>22477</v>
      </c>
      <c r="N5805" s="8" t="s">
        <v>25871</v>
      </c>
      <c r="O5805" s="8">
        <f>14+57/60+6.6/3600</f>
        <v>14.951833333333333</v>
      </c>
      <c r="P5805" s="8" t="s">
        <v>25872</v>
      </c>
      <c r="Q5805" s="8">
        <f>+(49+40/60+7/3600)</f>
        <v>49.668611111111112</v>
      </c>
      <c r="R5805" s="8">
        <v>13.1</v>
      </c>
      <c r="S5805" s="8">
        <v>13.9</v>
      </c>
      <c r="T5805" s="8">
        <v>0.8</v>
      </c>
      <c r="U5805" s="8">
        <v>13.3</v>
      </c>
      <c r="V5805" s="8">
        <v>1.2</v>
      </c>
      <c r="W5805" s="8">
        <v>1.1000000000000001</v>
      </c>
      <c r="X5805" s="8">
        <v>0</v>
      </c>
      <c r="Y5805" s="8" t="s">
        <v>25873</v>
      </c>
      <c r="Z5805" s="8" t="s">
        <v>25874</v>
      </c>
    </row>
    <row r="5806" spans="1:26" x14ac:dyDescent="0.2">
      <c r="A5806" s="8">
        <v>5805</v>
      </c>
      <c r="B5806" s="8" t="s">
        <v>25875</v>
      </c>
      <c r="C5806" s="8" t="s">
        <v>25875</v>
      </c>
      <c r="F5806" s="47"/>
      <c r="G5806" s="8">
        <v>18</v>
      </c>
      <c r="H5806" s="8" t="s">
        <v>21</v>
      </c>
      <c r="I5806" s="8" t="s">
        <v>22</v>
      </c>
      <c r="J5806" s="8" t="s">
        <v>22</v>
      </c>
      <c r="K5806" s="8" t="s">
        <v>424</v>
      </c>
      <c r="L5806" s="8" t="s">
        <v>22476</v>
      </c>
      <c r="M5806" s="8" t="s">
        <v>22477</v>
      </c>
      <c r="N5806" s="8" t="s">
        <v>25876</v>
      </c>
      <c r="O5806" s="8">
        <f>14+57/60+11.7/3600</f>
        <v>14.953249999999999</v>
      </c>
      <c r="P5806" s="8" t="s">
        <v>25877</v>
      </c>
      <c r="Q5806" s="8">
        <f>+(49+37/60+43/3600)</f>
        <v>49.628611111111113</v>
      </c>
      <c r="R5806" s="8">
        <v>15</v>
      </c>
      <c r="S5806" s="8">
        <v>16</v>
      </c>
      <c r="T5806" s="8">
        <v>1</v>
      </c>
      <c r="U5806" s="8">
        <v>12.5</v>
      </c>
      <c r="V5806" s="8">
        <v>0.4</v>
      </c>
      <c r="W5806" s="8">
        <v>0.3</v>
      </c>
      <c r="X5806" s="8">
        <v>140</v>
      </c>
      <c r="Y5806" s="8" t="s">
        <v>2295</v>
      </c>
      <c r="Z5806" s="8" t="s">
        <v>449</v>
      </c>
    </row>
    <row r="5807" spans="1:26" x14ac:dyDescent="0.2">
      <c r="A5807" s="8">
        <v>5806</v>
      </c>
      <c r="B5807" s="8" t="s">
        <v>25878</v>
      </c>
      <c r="C5807" s="8" t="s">
        <v>25878</v>
      </c>
      <c r="F5807" s="47" t="s">
        <v>58044</v>
      </c>
      <c r="G5807" s="8">
        <v>6.5</v>
      </c>
      <c r="H5807" s="8" t="s">
        <v>21</v>
      </c>
      <c r="I5807" s="8" t="s">
        <v>22</v>
      </c>
      <c r="J5807" s="8" t="s">
        <v>22</v>
      </c>
      <c r="K5807" s="8" t="s">
        <v>218</v>
      </c>
      <c r="L5807" s="8" t="s">
        <v>17287</v>
      </c>
      <c r="M5807" s="8" t="s">
        <v>17288</v>
      </c>
      <c r="N5807" s="8" t="s">
        <v>25879</v>
      </c>
      <c r="O5807" s="8">
        <f>15+0/60+0.2/3600</f>
        <v>15.000055555555555</v>
      </c>
      <c r="P5807" s="8" t="s">
        <v>25880</v>
      </c>
      <c r="Q5807" s="8">
        <f>+(1+53/60+27/3600)</f>
        <v>1.8908333333333334</v>
      </c>
      <c r="R5807" s="8">
        <v>11.7</v>
      </c>
      <c r="S5807" s="8">
        <v>12.4</v>
      </c>
      <c r="T5807" s="8">
        <v>0.7</v>
      </c>
      <c r="U5807" s="8">
        <v>13.3</v>
      </c>
      <c r="V5807" s="8">
        <v>3.2</v>
      </c>
      <c r="W5807" s="8">
        <v>1.6</v>
      </c>
      <c r="X5807" s="8">
        <v>170</v>
      </c>
      <c r="Y5807" s="8" t="s">
        <v>25881</v>
      </c>
      <c r="Z5807" s="8" t="s">
        <v>25882</v>
      </c>
    </row>
    <row r="5808" spans="1:26" x14ac:dyDescent="0.2">
      <c r="A5808" s="8">
        <v>5807</v>
      </c>
      <c r="B5808" s="8" t="s">
        <v>25883</v>
      </c>
      <c r="C5808" s="8" t="s">
        <v>25883</v>
      </c>
      <c r="F5808" s="47"/>
      <c r="G5808" s="8">
        <v>18</v>
      </c>
      <c r="H5808" s="8" t="s">
        <v>21</v>
      </c>
      <c r="I5808" s="8" t="s">
        <v>22</v>
      </c>
      <c r="J5808" s="8" t="s">
        <v>22</v>
      </c>
      <c r="K5808" s="8" t="s">
        <v>424</v>
      </c>
      <c r="L5808" s="8" t="s">
        <v>13395</v>
      </c>
      <c r="M5808" s="8" t="s">
        <v>13396</v>
      </c>
      <c r="N5808" s="8" t="s">
        <v>25884</v>
      </c>
      <c r="O5808" s="8">
        <f>14+55/60+48.4/3600</f>
        <v>14.93011111111111</v>
      </c>
      <c r="P5808" s="8" t="s">
        <v>25885</v>
      </c>
      <c r="Q5808" s="8">
        <f>+(63+54/60+14/3600)</f>
        <v>63.903888888888886</v>
      </c>
      <c r="R5808" s="8">
        <v>13.9</v>
      </c>
      <c r="S5808" s="8">
        <v>14.9</v>
      </c>
      <c r="T5808" s="8">
        <v>1</v>
      </c>
      <c r="U5808" s="8">
        <v>12.3</v>
      </c>
      <c r="V5808" s="8">
        <v>0.5</v>
      </c>
      <c r="W5808" s="8">
        <v>0.5</v>
      </c>
      <c r="Y5808" s="8" t="s">
        <v>17629</v>
      </c>
      <c r="Z5808" s="8" t="s">
        <v>17630</v>
      </c>
    </row>
    <row r="5809" spans="1:26" x14ac:dyDescent="0.2">
      <c r="A5809" s="8">
        <v>5808</v>
      </c>
      <c r="B5809" s="8" t="s">
        <v>25886</v>
      </c>
      <c r="C5809" s="8" t="s">
        <v>25886</v>
      </c>
      <c r="F5809" s="47" t="s">
        <v>58045</v>
      </c>
      <c r="G5809" s="8">
        <v>15</v>
      </c>
      <c r="H5809" s="8" t="s">
        <v>21</v>
      </c>
      <c r="I5809" s="8" t="s">
        <v>22</v>
      </c>
      <c r="J5809" s="8" t="s">
        <v>22</v>
      </c>
      <c r="K5809" s="8" t="s">
        <v>85</v>
      </c>
      <c r="L5809" s="8" t="s">
        <v>14586</v>
      </c>
      <c r="M5809" s="8" t="s">
        <v>14587</v>
      </c>
      <c r="N5809" s="8" t="s">
        <v>25887</v>
      </c>
      <c r="O5809" s="8">
        <f>14+54/60+2.7/3600</f>
        <v>14.90075</v>
      </c>
      <c r="P5809" s="8" t="s">
        <v>25888</v>
      </c>
      <c r="Q5809" s="8">
        <f>+(73+7/60+55/3600)</f>
        <v>73.131944444444443</v>
      </c>
      <c r="R5809" s="8">
        <v>13.5</v>
      </c>
      <c r="S5809" s="8">
        <v>14.3</v>
      </c>
      <c r="T5809" s="8">
        <v>0.8</v>
      </c>
      <c r="U5809" s="8">
        <v>13.1</v>
      </c>
      <c r="V5809" s="8">
        <v>0.9</v>
      </c>
      <c r="W5809" s="8">
        <v>0.9</v>
      </c>
      <c r="Y5809" s="8" t="s">
        <v>25889</v>
      </c>
      <c r="Z5809" s="8" t="s">
        <v>25890</v>
      </c>
    </row>
    <row r="5810" spans="1:26" x14ac:dyDescent="0.2">
      <c r="A5810" s="8">
        <v>5809</v>
      </c>
      <c r="B5810" s="8" t="s">
        <v>25891</v>
      </c>
      <c r="C5810" s="8" t="s">
        <v>25891</v>
      </c>
      <c r="F5810" s="47"/>
      <c r="G5810" s="8">
        <v>16</v>
      </c>
      <c r="H5810" s="8" t="s">
        <v>21</v>
      </c>
      <c r="I5810" s="8" t="s">
        <v>22</v>
      </c>
      <c r="J5810" s="8" t="s">
        <v>22</v>
      </c>
      <c r="K5810" s="8" t="s">
        <v>632</v>
      </c>
      <c r="L5810" s="8" t="s">
        <v>24948</v>
      </c>
      <c r="M5810" s="8" t="s">
        <v>24949</v>
      </c>
      <c r="N5810" s="8" t="s">
        <v>25892</v>
      </c>
      <c r="O5810" s="8">
        <f>15+0/60+52.2/3600</f>
        <v>15.0145</v>
      </c>
      <c r="P5810" s="8" t="s">
        <v>25893</v>
      </c>
      <c r="Q5810" s="8">
        <f>-(14+9/60+55/3600)</f>
        <v>-14.165277777777778</v>
      </c>
      <c r="R5810" s="8">
        <v>13.4</v>
      </c>
      <c r="S5810" s="8">
        <v>14.3</v>
      </c>
      <c r="T5810" s="8">
        <v>0.9</v>
      </c>
      <c r="U5810" s="8">
        <v>13.3</v>
      </c>
      <c r="V5810" s="8">
        <v>1.4</v>
      </c>
      <c r="W5810" s="8">
        <v>0.7</v>
      </c>
      <c r="X5810" s="8">
        <v>145</v>
      </c>
      <c r="Y5810" s="8" t="s">
        <v>25894</v>
      </c>
      <c r="Z5810" s="8" t="s">
        <v>25895</v>
      </c>
    </row>
    <row r="5811" spans="1:26" x14ac:dyDescent="0.2">
      <c r="A5811" s="8">
        <v>5810</v>
      </c>
      <c r="B5811" s="8" t="s">
        <v>25896</v>
      </c>
      <c r="C5811" s="8" t="s">
        <v>25896</v>
      </c>
      <c r="F5811" s="47"/>
      <c r="G5811" s="8">
        <v>19</v>
      </c>
      <c r="H5811" s="8" t="s">
        <v>21</v>
      </c>
      <c r="I5811" s="8" t="s">
        <v>22</v>
      </c>
      <c r="J5811" s="8" t="s">
        <v>22</v>
      </c>
      <c r="K5811" s="8" t="s">
        <v>218</v>
      </c>
      <c r="L5811" s="8" t="s">
        <v>24948</v>
      </c>
      <c r="M5811" s="8" t="s">
        <v>24949</v>
      </c>
      <c r="N5811" s="8" t="s">
        <v>25897</v>
      </c>
      <c r="O5811" s="8">
        <f>15+2/60+42.5/3600</f>
        <v>15.045138888888889</v>
      </c>
      <c r="P5811" s="8" t="s">
        <v>25898</v>
      </c>
      <c r="Q5811" s="8">
        <f>-(17+52/60+6/3600)</f>
        <v>-17.868333333333332</v>
      </c>
      <c r="R5811" s="8">
        <v>13.3</v>
      </c>
      <c r="S5811" s="8">
        <v>14.1</v>
      </c>
      <c r="T5811" s="8">
        <v>0.8</v>
      </c>
      <c r="U5811" s="8">
        <v>12.8</v>
      </c>
      <c r="V5811" s="8">
        <v>1.2</v>
      </c>
      <c r="W5811" s="8">
        <v>0.8</v>
      </c>
      <c r="X5811" s="8">
        <v>31</v>
      </c>
      <c r="Y5811" s="8" t="s">
        <v>25899</v>
      </c>
      <c r="Z5811" s="8" t="s">
        <v>25900</v>
      </c>
    </row>
    <row r="5812" spans="1:26" x14ac:dyDescent="0.2">
      <c r="A5812" s="8">
        <v>5811</v>
      </c>
      <c r="B5812" s="8" t="s">
        <v>25901</v>
      </c>
      <c r="C5812" s="8" t="s">
        <v>25901</v>
      </c>
      <c r="F5812" s="47"/>
      <c r="G5812" s="8">
        <v>18</v>
      </c>
      <c r="H5812" s="8" t="s">
        <v>21</v>
      </c>
      <c r="I5812" s="8" t="s">
        <v>22</v>
      </c>
      <c r="J5812" s="8" t="s">
        <v>22</v>
      </c>
      <c r="K5812" s="8" t="s">
        <v>323</v>
      </c>
      <c r="L5812" s="8" t="s">
        <v>17287</v>
      </c>
      <c r="M5812" s="8" t="s">
        <v>17288</v>
      </c>
      <c r="N5812" s="8" t="s">
        <v>25902</v>
      </c>
      <c r="O5812" s="8">
        <f>15+0/60+27.2/3600</f>
        <v>15.007555555555555</v>
      </c>
      <c r="P5812" s="8" t="s">
        <v>25903</v>
      </c>
      <c r="Q5812" s="8">
        <f>+(1+37/60+24/3600)</f>
        <v>1.6233333333333333</v>
      </c>
      <c r="R5812" s="8">
        <v>14.1</v>
      </c>
      <c r="S5812" s="8">
        <v>14.7</v>
      </c>
      <c r="T5812" s="8">
        <v>0.6</v>
      </c>
      <c r="U5812" s="8">
        <v>13.6</v>
      </c>
      <c r="V5812" s="8">
        <v>1</v>
      </c>
      <c r="W5812" s="8">
        <v>0.7</v>
      </c>
      <c r="X5812" s="8">
        <v>98</v>
      </c>
      <c r="Y5812" s="8" t="s">
        <v>1794</v>
      </c>
      <c r="Z5812" s="8" t="s">
        <v>1795</v>
      </c>
    </row>
    <row r="5813" spans="1:26" x14ac:dyDescent="0.2">
      <c r="A5813" s="8">
        <v>5812</v>
      </c>
      <c r="B5813" s="8" t="s">
        <v>25904</v>
      </c>
      <c r="C5813" s="8" t="s">
        <v>25904</v>
      </c>
      <c r="F5813" s="47" t="s">
        <v>58046</v>
      </c>
      <c r="G5813" s="8">
        <v>6.5</v>
      </c>
      <c r="H5813" s="8" t="s">
        <v>21</v>
      </c>
      <c r="I5813" s="8" t="s">
        <v>22</v>
      </c>
      <c r="J5813" s="8" t="s">
        <v>22</v>
      </c>
      <c r="K5813" s="8" t="s">
        <v>183</v>
      </c>
      <c r="L5813" s="8" t="s">
        <v>24948</v>
      </c>
      <c r="M5813" s="8" t="s">
        <v>24949</v>
      </c>
      <c r="N5813" s="8" t="s">
        <v>25905</v>
      </c>
      <c r="O5813" s="8">
        <f>15+0/60+55.7/3600</f>
        <v>15.015472222222222</v>
      </c>
      <c r="P5813" s="8" t="s">
        <v>25906</v>
      </c>
      <c r="Q5813" s="8">
        <f>-(7+27/60+27/3600)</f>
        <v>-7.4575000000000005</v>
      </c>
      <c r="R5813" s="8">
        <v>11.2</v>
      </c>
      <c r="S5813" s="8">
        <v>12.2</v>
      </c>
      <c r="T5813" s="8">
        <v>1</v>
      </c>
      <c r="U5813" s="8">
        <v>12.6</v>
      </c>
      <c r="V5813" s="8">
        <v>2.2999999999999998</v>
      </c>
      <c r="W5813" s="8">
        <v>2</v>
      </c>
      <c r="X5813" s="8">
        <v>130</v>
      </c>
      <c r="Y5813" s="8" t="s">
        <v>25907</v>
      </c>
      <c r="Z5813" s="8" t="s">
        <v>25908</v>
      </c>
    </row>
    <row r="5814" spans="1:26" x14ac:dyDescent="0.2">
      <c r="A5814" s="8">
        <v>5813</v>
      </c>
      <c r="B5814" s="8" t="s">
        <v>25909</v>
      </c>
      <c r="C5814" s="8" t="s">
        <v>25909</v>
      </c>
      <c r="F5814" s="47" t="s">
        <v>58047</v>
      </c>
      <c r="G5814" s="8">
        <v>6.5</v>
      </c>
      <c r="H5814" s="8" t="s">
        <v>21</v>
      </c>
      <c r="I5814" s="8" t="s">
        <v>22</v>
      </c>
      <c r="J5814" s="8" t="s">
        <v>22</v>
      </c>
      <c r="K5814" s="8" t="s">
        <v>183</v>
      </c>
      <c r="L5814" s="8" t="s">
        <v>17287</v>
      </c>
      <c r="M5814" s="8" t="s">
        <v>17288</v>
      </c>
      <c r="N5814" s="8" t="s">
        <v>25910</v>
      </c>
      <c r="O5814" s="8">
        <f>15+1/60+11.1/3600</f>
        <v>15.01975</v>
      </c>
      <c r="P5814" s="8" t="s">
        <v>25911</v>
      </c>
      <c r="Q5814" s="8">
        <f>+(1+42/60+7/3600)</f>
        <v>1.7019444444444445</v>
      </c>
      <c r="R5814" s="8">
        <v>10.5</v>
      </c>
      <c r="S5814" s="8">
        <v>11.5</v>
      </c>
      <c r="T5814" s="8">
        <v>1</v>
      </c>
      <c r="U5814" s="8">
        <v>13.2</v>
      </c>
      <c r="V5814" s="8">
        <v>4</v>
      </c>
      <c r="W5814" s="8">
        <v>2.8</v>
      </c>
      <c r="X5814" s="8">
        <v>145</v>
      </c>
      <c r="Y5814" s="8" t="s">
        <v>25912</v>
      </c>
      <c r="Z5814" s="8" t="s">
        <v>25913</v>
      </c>
    </row>
    <row r="5815" spans="1:26" x14ac:dyDescent="0.2">
      <c r="A5815" s="8">
        <v>5814</v>
      </c>
      <c r="B5815" s="8" t="s">
        <v>25914</v>
      </c>
      <c r="C5815" s="8" t="s">
        <v>25914</v>
      </c>
      <c r="F5815" s="47"/>
      <c r="G5815" s="8">
        <v>16</v>
      </c>
      <c r="H5815" s="8" t="s">
        <v>21</v>
      </c>
      <c r="I5815" s="8" t="s">
        <v>22</v>
      </c>
      <c r="J5815" s="8" t="s">
        <v>22</v>
      </c>
      <c r="K5815" s="8" t="s">
        <v>31</v>
      </c>
      <c r="L5815" s="8" t="s">
        <v>17287</v>
      </c>
      <c r="M5815" s="8" t="s">
        <v>17288</v>
      </c>
      <c r="N5815" s="8" t="s">
        <v>25915</v>
      </c>
      <c r="O5815" s="8">
        <f>15+1/60+21.1/3600</f>
        <v>15.022527777777778</v>
      </c>
      <c r="P5815" s="8" t="s">
        <v>25916</v>
      </c>
      <c r="Q5815" s="8">
        <f>+(1+38/60+14/3600)</f>
        <v>1.6372222222222221</v>
      </c>
      <c r="R5815" s="8">
        <v>13.8</v>
      </c>
      <c r="S5815" s="8">
        <v>14.6</v>
      </c>
      <c r="T5815" s="8">
        <v>0.8</v>
      </c>
      <c r="U5815" s="8">
        <v>12.8</v>
      </c>
      <c r="V5815" s="8">
        <v>0.9</v>
      </c>
      <c r="W5815" s="8">
        <v>0.5</v>
      </c>
      <c r="X5815" s="8">
        <v>32</v>
      </c>
      <c r="Y5815" s="8" t="s">
        <v>421</v>
      </c>
      <c r="Z5815" s="8" t="s">
        <v>422</v>
      </c>
    </row>
    <row r="5816" spans="1:26" x14ac:dyDescent="0.2">
      <c r="A5816" s="8">
        <v>5815</v>
      </c>
      <c r="B5816" s="8" t="s">
        <v>25917</v>
      </c>
      <c r="C5816" s="8" t="s">
        <v>25917</v>
      </c>
      <c r="F5816" s="47"/>
      <c r="G5816" s="8">
        <v>19</v>
      </c>
      <c r="H5816" s="8" t="s">
        <v>21</v>
      </c>
      <c r="I5816" s="8" t="s">
        <v>22</v>
      </c>
      <c r="J5816" s="8" t="s">
        <v>22</v>
      </c>
      <c r="K5816" s="8" t="s">
        <v>23</v>
      </c>
      <c r="L5816" s="8" t="s">
        <v>24948</v>
      </c>
      <c r="M5816" s="8" t="s">
        <v>24949</v>
      </c>
      <c r="N5816" s="8" t="s">
        <v>25918</v>
      </c>
      <c r="O5816" s="8">
        <f>15+0/60+29.1/3600</f>
        <v>15.008083333333333</v>
      </c>
      <c r="P5816" s="8" t="s">
        <v>25919</v>
      </c>
      <c r="Q5816" s="8">
        <f>-(16+50/60+2/3600)</f>
        <v>-16.833888888888886</v>
      </c>
      <c r="R5816" s="8">
        <v>14.3</v>
      </c>
      <c r="S5816" s="8">
        <v>15.1</v>
      </c>
      <c r="T5816" s="8">
        <v>0.8</v>
      </c>
      <c r="U5816" s="8">
        <v>12.9</v>
      </c>
      <c r="V5816" s="8">
        <v>0.8</v>
      </c>
      <c r="W5816" s="8">
        <v>0.4</v>
      </c>
      <c r="X5816" s="8">
        <v>25</v>
      </c>
      <c r="Y5816" s="8" t="s">
        <v>25920</v>
      </c>
      <c r="Z5816" s="8" t="s">
        <v>25921</v>
      </c>
    </row>
    <row r="5817" spans="1:26" x14ac:dyDescent="0.2">
      <c r="A5817" s="8">
        <v>5816</v>
      </c>
      <c r="B5817" s="8" t="s">
        <v>25922</v>
      </c>
      <c r="C5817" s="8" t="s">
        <v>25922</v>
      </c>
      <c r="F5817" s="47"/>
      <c r="G5817" s="8">
        <v>19</v>
      </c>
      <c r="H5817" s="8" t="s">
        <v>21</v>
      </c>
      <c r="I5817" s="8" t="s">
        <v>22</v>
      </c>
      <c r="J5817" s="8" t="s">
        <v>22</v>
      </c>
      <c r="K5817" s="8" t="s">
        <v>37</v>
      </c>
      <c r="L5817" s="8" t="s">
        <v>24948</v>
      </c>
      <c r="M5817" s="8" t="s">
        <v>24949</v>
      </c>
      <c r="N5817" s="8" t="s">
        <v>25923</v>
      </c>
      <c r="O5817" s="8">
        <f>15+0/60+4.8/3600</f>
        <v>15.001333333333333</v>
      </c>
      <c r="P5817" s="8" t="s">
        <v>25924</v>
      </c>
      <c r="Q5817" s="8">
        <f>-(16+5/60+37/3600)</f>
        <v>-16.093611111111109</v>
      </c>
      <c r="R5817" s="8">
        <v>14.8</v>
      </c>
      <c r="S5817" s="8">
        <v>15.8</v>
      </c>
      <c r="T5817" s="8">
        <v>1</v>
      </c>
      <c r="U5817" s="8">
        <v>12.6</v>
      </c>
      <c r="V5817" s="8">
        <v>0.5</v>
      </c>
      <c r="W5817" s="8">
        <v>0.3</v>
      </c>
      <c r="X5817" s="8">
        <v>95</v>
      </c>
      <c r="Y5817" s="8" t="s">
        <v>25925</v>
      </c>
      <c r="Z5817" s="8" t="s">
        <v>25926</v>
      </c>
    </row>
    <row r="5818" spans="1:26" x14ac:dyDescent="0.2">
      <c r="A5818" s="8">
        <v>5817</v>
      </c>
      <c r="B5818" s="8" t="s">
        <v>25927</v>
      </c>
      <c r="C5818" s="8" t="s">
        <v>25927</v>
      </c>
      <c r="F5818" s="47"/>
      <c r="G5818" s="8">
        <v>19</v>
      </c>
      <c r="H5818" s="8" t="s">
        <v>21</v>
      </c>
      <c r="I5818" s="8" t="s">
        <v>22</v>
      </c>
      <c r="J5818" s="8" t="s">
        <v>22</v>
      </c>
      <c r="K5818" s="8" t="s">
        <v>37</v>
      </c>
      <c r="L5818" s="8" t="s">
        <v>24948</v>
      </c>
      <c r="M5818" s="8" t="s">
        <v>24949</v>
      </c>
      <c r="N5818" s="8" t="s">
        <v>25928</v>
      </c>
      <c r="O5818" s="8">
        <f>14+59/60+40.8/3600</f>
        <v>14.994666666666665</v>
      </c>
      <c r="P5818" s="8" t="s">
        <v>25929</v>
      </c>
      <c r="Q5818" s="8">
        <f>-(16+10/60+50/3600)</f>
        <v>-16.180555555555557</v>
      </c>
      <c r="R5818" s="8">
        <v>14.2</v>
      </c>
      <c r="S5818" s="8">
        <v>15.2</v>
      </c>
      <c r="T5818" s="8">
        <v>1</v>
      </c>
      <c r="U5818" s="8">
        <v>13.6</v>
      </c>
      <c r="V5818" s="8">
        <v>0.9</v>
      </c>
      <c r="W5818" s="8">
        <v>0.7</v>
      </c>
      <c r="X5818" s="8">
        <v>15</v>
      </c>
      <c r="Y5818" s="8" t="s">
        <v>4007</v>
      </c>
      <c r="Z5818" s="8" t="s">
        <v>4008</v>
      </c>
    </row>
    <row r="5819" spans="1:26" x14ac:dyDescent="0.2">
      <c r="A5819" s="8">
        <v>5818</v>
      </c>
      <c r="B5819" s="8" t="s">
        <v>25930</v>
      </c>
      <c r="C5819" s="8" t="s">
        <v>25930</v>
      </c>
      <c r="F5819" s="47"/>
      <c r="G5819" s="8">
        <v>19</v>
      </c>
      <c r="H5819" s="8" t="s">
        <v>21</v>
      </c>
      <c r="I5819" s="8" t="s">
        <v>22</v>
      </c>
      <c r="J5819" s="8" t="s">
        <v>22</v>
      </c>
      <c r="K5819" s="8" t="s">
        <v>37</v>
      </c>
      <c r="L5819" s="8" t="s">
        <v>22476</v>
      </c>
      <c r="M5819" s="8" t="s">
        <v>22477</v>
      </c>
      <c r="N5819" s="8" t="s">
        <v>25931</v>
      </c>
      <c r="O5819" s="8">
        <f>14+58/60+58.3/3600</f>
        <v>14.982861111111111</v>
      </c>
      <c r="P5819" s="8" t="s">
        <v>25932</v>
      </c>
      <c r="Q5819" s="8">
        <f>+(49+49/60+19/3600)</f>
        <v>49.821944444444448</v>
      </c>
      <c r="R5819" s="8">
        <v>13.7</v>
      </c>
      <c r="S5819" s="8">
        <v>14.7</v>
      </c>
      <c r="T5819" s="8">
        <v>1</v>
      </c>
      <c r="U5819" s="8">
        <v>13.6</v>
      </c>
      <c r="V5819" s="8">
        <v>1.2</v>
      </c>
      <c r="W5819" s="8">
        <v>0.9</v>
      </c>
      <c r="X5819" s="8">
        <v>170</v>
      </c>
      <c r="Y5819" s="8" t="s">
        <v>25933</v>
      </c>
      <c r="Z5819" s="8" t="s">
        <v>25934</v>
      </c>
    </row>
    <row r="5820" spans="1:26" x14ac:dyDescent="0.2">
      <c r="A5820" s="8">
        <v>5819</v>
      </c>
      <c r="B5820" s="8" t="s">
        <v>25935</v>
      </c>
      <c r="C5820" s="8" t="s">
        <v>25935</v>
      </c>
      <c r="F5820" s="47"/>
      <c r="G5820" s="8">
        <v>19</v>
      </c>
      <c r="H5820" s="8" t="s">
        <v>21</v>
      </c>
      <c r="I5820" s="8" t="s">
        <v>22</v>
      </c>
      <c r="J5820" s="8" t="s">
        <v>57</v>
      </c>
      <c r="K5820" s="8" t="s">
        <v>85</v>
      </c>
      <c r="L5820" s="8" t="s">
        <v>14586</v>
      </c>
      <c r="M5820" s="8" t="s">
        <v>14587</v>
      </c>
      <c r="N5820" s="8" t="s">
        <v>25887</v>
      </c>
      <c r="O5820" s="8">
        <f>14+54/60+2.7/3600</f>
        <v>14.90075</v>
      </c>
      <c r="P5820" s="8" t="s">
        <v>25888</v>
      </c>
      <c r="Q5820" s="8">
        <f>+(73+7/60+55/3600)</f>
        <v>73.131944444444443</v>
      </c>
      <c r="R5820" s="8">
        <v>13.5</v>
      </c>
      <c r="S5820" s="8">
        <v>14.3</v>
      </c>
      <c r="T5820" s="8">
        <v>0.8</v>
      </c>
      <c r="U5820" s="8">
        <v>13.1</v>
      </c>
      <c r="V5820" s="8">
        <v>0.9</v>
      </c>
      <c r="W5820" s="8">
        <v>0.9</v>
      </c>
      <c r="Y5820" s="8" t="s">
        <v>25889</v>
      </c>
      <c r="Z5820" s="8" t="s">
        <v>25936</v>
      </c>
    </row>
    <row r="5821" spans="1:26" x14ac:dyDescent="0.2">
      <c r="A5821" s="8">
        <v>5820</v>
      </c>
      <c r="B5821" s="8" t="s">
        <v>25937</v>
      </c>
      <c r="C5821" s="8" t="s">
        <v>25937</v>
      </c>
      <c r="F5821" s="47" t="s">
        <v>58048</v>
      </c>
      <c r="G5821" s="8">
        <v>8.5</v>
      </c>
      <c r="H5821" s="8" t="s">
        <v>21</v>
      </c>
      <c r="I5821" s="8" t="s">
        <v>22</v>
      </c>
      <c r="J5821" s="8" t="s">
        <v>22</v>
      </c>
      <c r="K5821" s="8" t="s">
        <v>37</v>
      </c>
      <c r="L5821" s="8" t="s">
        <v>22476</v>
      </c>
      <c r="M5821" s="8" t="s">
        <v>22477</v>
      </c>
      <c r="N5821" s="8" t="s">
        <v>25938</v>
      </c>
      <c r="O5821" s="8">
        <f>14+58/60+39.9/3600</f>
        <v>14.97775</v>
      </c>
      <c r="P5821" s="8" t="s">
        <v>25939</v>
      </c>
      <c r="Q5821" s="8">
        <f>+(53+53/60+9/3600)</f>
        <v>53.885833333333331</v>
      </c>
      <c r="R5821" s="8">
        <v>12.5</v>
      </c>
      <c r="S5821" s="8">
        <v>13.4</v>
      </c>
      <c r="T5821" s="8">
        <v>0.9</v>
      </c>
      <c r="U5821" s="8">
        <v>13</v>
      </c>
      <c r="V5821" s="8">
        <v>1.7</v>
      </c>
      <c r="W5821" s="8">
        <v>1.1000000000000001</v>
      </c>
      <c r="X5821" s="8">
        <v>87</v>
      </c>
      <c r="Y5821" s="8" t="s">
        <v>25940</v>
      </c>
      <c r="Z5821" s="8" t="s">
        <v>25941</v>
      </c>
    </row>
    <row r="5822" spans="1:26" x14ac:dyDescent="0.2">
      <c r="A5822" s="8">
        <v>5821</v>
      </c>
      <c r="B5822" s="8" t="s">
        <v>25942</v>
      </c>
      <c r="C5822" s="8" t="s">
        <v>25942</v>
      </c>
      <c r="F5822" s="47" t="s">
        <v>58049</v>
      </c>
      <c r="G5822" s="8">
        <v>15</v>
      </c>
      <c r="H5822" s="8" t="s">
        <v>21</v>
      </c>
      <c r="I5822" s="8" t="s">
        <v>22</v>
      </c>
      <c r="J5822" s="8" t="s">
        <v>22</v>
      </c>
      <c r="K5822" s="8" t="s">
        <v>476</v>
      </c>
      <c r="L5822" s="8" t="s">
        <v>22476</v>
      </c>
      <c r="M5822" s="8" t="s">
        <v>22477</v>
      </c>
      <c r="N5822" s="8" t="s">
        <v>25943</v>
      </c>
      <c r="O5822" s="8">
        <f>14+58/60+59.8/3600</f>
        <v>14.983277777777777</v>
      </c>
      <c r="P5822" s="8" t="s">
        <v>25944</v>
      </c>
      <c r="Q5822" s="8">
        <f>+(53+55/60+24/3600)</f>
        <v>53.923333333333332</v>
      </c>
      <c r="R5822" s="8">
        <v>13.6</v>
      </c>
      <c r="S5822" s="8">
        <v>14.5</v>
      </c>
      <c r="T5822" s="8">
        <v>0.9</v>
      </c>
      <c r="U5822" s="8">
        <v>13.6</v>
      </c>
      <c r="V5822" s="8">
        <v>1.4</v>
      </c>
      <c r="W5822" s="8">
        <v>0.8</v>
      </c>
      <c r="X5822" s="8">
        <v>148</v>
      </c>
      <c r="Y5822" s="8" t="s">
        <v>1511</v>
      </c>
      <c r="Z5822" s="8" t="s">
        <v>1512</v>
      </c>
    </row>
    <row r="5823" spans="1:26" x14ac:dyDescent="0.2">
      <c r="A5823" s="8">
        <v>5822</v>
      </c>
      <c r="B5823" s="8" t="s">
        <v>25945</v>
      </c>
      <c r="C5823" s="8" t="s">
        <v>25945</v>
      </c>
      <c r="F5823" s="47"/>
      <c r="G5823" s="8">
        <v>8</v>
      </c>
      <c r="H5823" s="8" t="s">
        <v>21</v>
      </c>
      <c r="I5823" s="8" t="s">
        <v>557</v>
      </c>
      <c r="J5823" s="8" t="s">
        <v>557</v>
      </c>
      <c r="K5823" s="8" t="s">
        <v>9738</v>
      </c>
      <c r="L5823" s="8" t="s">
        <v>24674</v>
      </c>
      <c r="M5823" s="8" t="s">
        <v>24675</v>
      </c>
      <c r="N5823" s="8" t="s">
        <v>25946</v>
      </c>
      <c r="O5823" s="8">
        <f>15+4/60+2.3/3600</f>
        <v>15.067305555555555</v>
      </c>
      <c r="P5823" s="8" t="s">
        <v>25947</v>
      </c>
      <c r="Q5823" s="8">
        <f>-(54+20/60+21/3600)</f>
        <v>-54.339166666666671</v>
      </c>
      <c r="R5823" s="8">
        <v>6.5</v>
      </c>
      <c r="S5823" s="8">
        <v>99</v>
      </c>
      <c r="T5823" s="8">
        <v>99</v>
      </c>
      <c r="U5823" s="8">
        <v>99</v>
      </c>
      <c r="V5823" s="8">
        <v>35</v>
      </c>
      <c r="Y5823" s="8" t="s">
        <v>25948</v>
      </c>
      <c r="Z5823" s="8" t="s">
        <v>25949</v>
      </c>
    </row>
    <row r="5824" spans="1:26" x14ac:dyDescent="0.2">
      <c r="A5824" s="8">
        <v>5823</v>
      </c>
      <c r="B5824" s="8" t="s">
        <v>25950</v>
      </c>
      <c r="C5824" s="8" t="s">
        <v>25950</v>
      </c>
      <c r="F5824" s="47"/>
      <c r="G5824" s="8">
        <v>2</v>
      </c>
      <c r="H5824" s="8" t="s">
        <v>21</v>
      </c>
      <c r="I5824" s="8" t="s">
        <v>557</v>
      </c>
      <c r="J5824" s="8" t="s">
        <v>557</v>
      </c>
      <c r="K5824" s="8" t="s">
        <v>3217</v>
      </c>
      <c r="L5824" s="8" t="s">
        <v>23646</v>
      </c>
      <c r="M5824" s="8" t="s">
        <v>23647</v>
      </c>
      <c r="N5824" s="8" t="s">
        <v>25951</v>
      </c>
      <c r="O5824" s="8">
        <f>15+5/60+30.5/3600</f>
        <v>15.091805555555556</v>
      </c>
      <c r="P5824" s="8" t="s">
        <v>25952</v>
      </c>
      <c r="Q5824" s="8">
        <f>-(55+36/60+13/3600)</f>
        <v>-55.603611111111114</v>
      </c>
      <c r="R5824" s="8">
        <v>7.9</v>
      </c>
      <c r="S5824" s="8">
        <v>99</v>
      </c>
      <c r="T5824" s="8">
        <v>99</v>
      </c>
      <c r="U5824" s="8">
        <v>99</v>
      </c>
      <c r="V5824" s="8">
        <v>12</v>
      </c>
      <c r="Y5824" s="8" t="s">
        <v>25953</v>
      </c>
      <c r="Z5824" s="8" t="s">
        <v>25954</v>
      </c>
    </row>
    <row r="5825" spans="1:26" x14ac:dyDescent="0.2">
      <c r="A5825" s="8">
        <v>5824</v>
      </c>
      <c r="B5825" s="8" t="s">
        <v>25955</v>
      </c>
      <c r="C5825" s="8" t="s">
        <v>25955</v>
      </c>
      <c r="F5825" s="47"/>
      <c r="G5825" s="8">
        <v>3</v>
      </c>
      <c r="H5825" s="8" t="s">
        <v>21</v>
      </c>
      <c r="I5825" s="8" t="s">
        <v>567</v>
      </c>
      <c r="J5825" s="8" t="s">
        <v>57</v>
      </c>
      <c r="K5825" s="8" t="s">
        <v>12945</v>
      </c>
      <c r="L5825" s="8" t="s">
        <v>24674</v>
      </c>
      <c r="M5825" s="8" t="s">
        <v>24675</v>
      </c>
      <c r="N5825" s="8" t="s">
        <v>25956</v>
      </c>
      <c r="O5825" s="8">
        <f>15+3/60+58.5/3600</f>
        <v>15.06625</v>
      </c>
      <c r="P5825" s="8" t="s">
        <v>25957</v>
      </c>
      <c r="Q5825" s="8">
        <f>-(33+4/60+2/3600)</f>
        <v>-33.067222222222227</v>
      </c>
      <c r="R5825" s="8">
        <v>9.1</v>
      </c>
      <c r="S5825" s="8">
        <v>99</v>
      </c>
      <c r="T5825" s="8">
        <v>99</v>
      </c>
      <c r="U5825" s="8">
        <v>99</v>
      </c>
      <c r="V5825" s="8">
        <v>7.4</v>
      </c>
      <c r="Y5825" s="8" t="s">
        <v>25958</v>
      </c>
      <c r="Z5825" s="8" t="s">
        <v>25959</v>
      </c>
    </row>
    <row r="5826" spans="1:26" x14ac:dyDescent="0.2">
      <c r="A5826" s="8">
        <v>5825</v>
      </c>
      <c r="B5826" s="8" t="s">
        <v>25960</v>
      </c>
      <c r="C5826" s="8" t="s">
        <v>25960</v>
      </c>
      <c r="F5826" s="47"/>
      <c r="G5826" s="8">
        <v>19</v>
      </c>
      <c r="H5826" s="8" t="s">
        <v>21</v>
      </c>
      <c r="I5826" s="8" t="s">
        <v>329</v>
      </c>
      <c r="J5826" s="8" t="s">
        <v>329</v>
      </c>
      <c r="K5826" s="8" t="s">
        <v>329</v>
      </c>
      <c r="L5826" s="8" t="s">
        <v>22476</v>
      </c>
      <c r="M5826" s="8" t="s">
        <v>22477</v>
      </c>
      <c r="N5826" s="8" t="s">
        <v>25961</v>
      </c>
      <c r="O5826" s="8">
        <f>15+2/60+0/3600</f>
        <v>15.033333333333333</v>
      </c>
      <c r="P5826" s="8" t="s">
        <v>25962</v>
      </c>
      <c r="Q5826" s="8">
        <f>+(18+42/60+30/3600)</f>
        <v>18.708333333333332</v>
      </c>
      <c r="R5826" s="8">
        <v>99</v>
      </c>
      <c r="S5826" s="8">
        <v>99</v>
      </c>
      <c r="T5826" s="8">
        <v>99</v>
      </c>
      <c r="U5826" s="8">
        <v>99</v>
      </c>
      <c r="Y5826" s="8" t="s">
        <v>25963</v>
      </c>
      <c r="Z5826" s="8" t="s">
        <v>25964</v>
      </c>
    </row>
    <row r="5827" spans="1:26" x14ac:dyDescent="0.2">
      <c r="A5827" s="8">
        <v>5826</v>
      </c>
      <c r="B5827" s="8" t="s">
        <v>25965</v>
      </c>
      <c r="C5827" s="8" t="s">
        <v>25965</v>
      </c>
      <c r="F5827" s="47"/>
      <c r="G5827" s="8">
        <v>19</v>
      </c>
      <c r="H5827" s="8" t="s">
        <v>21</v>
      </c>
      <c r="I5827" s="8" t="s">
        <v>22</v>
      </c>
      <c r="J5827" s="8" t="s">
        <v>22</v>
      </c>
      <c r="K5827" s="8" t="s">
        <v>37</v>
      </c>
      <c r="L5827" s="8" t="s">
        <v>13395</v>
      </c>
      <c r="M5827" s="8" t="s">
        <v>13396</v>
      </c>
      <c r="N5827" s="8" t="s">
        <v>25966</v>
      </c>
      <c r="O5827" s="8">
        <f>15+6/60+33.7/3600</f>
        <v>15.109361111111111</v>
      </c>
      <c r="P5827" s="8" t="s">
        <v>25967</v>
      </c>
      <c r="Q5827" s="8">
        <f>+(55+28/60+45/3600)</f>
        <v>55.479166666666671</v>
      </c>
      <c r="R5827" s="8">
        <v>14.4</v>
      </c>
      <c r="S5827" s="8">
        <v>15.4</v>
      </c>
      <c r="T5827" s="8">
        <v>1</v>
      </c>
      <c r="U5827" s="8">
        <v>14.4</v>
      </c>
      <c r="V5827" s="8">
        <v>1.2</v>
      </c>
      <c r="W5827" s="8">
        <v>0.9</v>
      </c>
      <c r="X5827" s="8">
        <v>25</v>
      </c>
      <c r="Y5827" s="8" t="s">
        <v>5089</v>
      </c>
      <c r="Z5827" s="8" t="s">
        <v>5090</v>
      </c>
    </row>
    <row r="5828" spans="1:26" x14ac:dyDescent="0.2">
      <c r="A5828" s="8">
        <v>5827</v>
      </c>
      <c r="B5828" s="8" t="s">
        <v>25968</v>
      </c>
      <c r="C5828" s="8" t="s">
        <v>25968</v>
      </c>
      <c r="F5828" s="47"/>
      <c r="G5828" s="8">
        <v>19</v>
      </c>
      <c r="H5828" s="8" t="s">
        <v>21</v>
      </c>
      <c r="I5828" s="8" t="s">
        <v>22</v>
      </c>
      <c r="J5828" s="8" t="s">
        <v>22</v>
      </c>
      <c r="K5828" s="8" t="s">
        <v>20392</v>
      </c>
      <c r="L5828" s="8" t="s">
        <v>22476</v>
      </c>
      <c r="M5828" s="8" t="s">
        <v>22477</v>
      </c>
      <c r="N5828" s="8" t="s">
        <v>25969</v>
      </c>
      <c r="O5828" s="8">
        <f>15+1/60+53.5/3600</f>
        <v>15.031527777777779</v>
      </c>
      <c r="P5828" s="8" t="s">
        <v>25970</v>
      </c>
      <c r="Q5828" s="8">
        <f>+(25+57/60+51/3600)</f>
        <v>25.964166666666667</v>
      </c>
      <c r="R5828" s="8">
        <v>13</v>
      </c>
      <c r="S5828" s="8">
        <v>13.9</v>
      </c>
      <c r="T5828" s="8">
        <v>0.9</v>
      </c>
      <c r="U5828" s="8">
        <v>12.8</v>
      </c>
      <c r="V5828" s="8">
        <v>1.1000000000000001</v>
      </c>
      <c r="W5828" s="8">
        <v>0.8</v>
      </c>
      <c r="X5828" s="8">
        <v>135</v>
      </c>
      <c r="Y5828" s="8" t="s">
        <v>9013</v>
      </c>
      <c r="Z5828" s="8" t="s">
        <v>9014</v>
      </c>
    </row>
    <row r="5829" spans="1:26" x14ac:dyDescent="0.2">
      <c r="A5829" s="8">
        <v>5828</v>
      </c>
      <c r="B5829" s="8" t="s">
        <v>25971</v>
      </c>
      <c r="C5829" s="8" t="s">
        <v>25971</v>
      </c>
      <c r="F5829" s="47"/>
      <c r="G5829" s="8">
        <v>19</v>
      </c>
      <c r="H5829" s="8" t="s">
        <v>21</v>
      </c>
      <c r="I5829" s="8" t="s">
        <v>22</v>
      </c>
      <c r="J5829" s="8" t="s">
        <v>22</v>
      </c>
      <c r="K5829" s="8" t="s">
        <v>160</v>
      </c>
      <c r="L5829" s="8" t="s">
        <v>22476</v>
      </c>
      <c r="M5829" s="8" t="s">
        <v>22477</v>
      </c>
      <c r="N5829" s="8" t="s">
        <v>25972</v>
      </c>
      <c r="O5829" s="8">
        <f>15+0/60+45.9/3600</f>
        <v>15.01275</v>
      </c>
      <c r="P5829" s="8" t="s">
        <v>25973</v>
      </c>
      <c r="Q5829" s="8">
        <f>+(49+59/60+36/3600)</f>
        <v>49.993333333333332</v>
      </c>
      <c r="R5829" s="8">
        <v>13.6</v>
      </c>
      <c r="S5829" s="8">
        <v>14.3</v>
      </c>
      <c r="T5829" s="8">
        <v>0.7</v>
      </c>
      <c r="U5829" s="8">
        <v>12.1</v>
      </c>
      <c r="V5829" s="8">
        <v>0.6</v>
      </c>
      <c r="W5829" s="8">
        <v>0.5</v>
      </c>
      <c r="X5829" s="8">
        <v>50</v>
      </c>
      <c r="Y5829" s="8" t="s">
        <v>25974</v>
      </c>
      <c r="Z5829" s="8" t="s">
        <v>25975</v>
      </c>
    </row>
    <row r="5830" spans="1:26" x14ac:dyDescent="0.2">
      <c r="A5830" s="8">
        <v>5829</v>
      </c>
      <c r="B5830" s="8" t="s">
        <v>25976</v>
      </c>
      <c r="C5830" s="8" t="s">
        <v>25976</v>
      </c>
      <c r="F5830" s="47"/>
      <c r="G5830" s="8">
        <v>19</v>
      </c>
      <c r="H5830" s="8" t="s">
        <v>21</v>
      </c>
      <c r="I5830" s="8" t="s">
        <v>22</v>
      </c>
      <c r="J5830" s="8" t="s">
        <v>22</v>
      </c>
      <c r="K5830" s="8" t="s">
        <v>160</v>
      </c>
      <c r="L5830" s="8" t="s">
        <v>22476</v>
      </c>
      <c r="M5830" s="8" t="s">
        <v>22477</v>
      </c>
      <c r="N5830" s="8" t="s">
        <v>25977</v>
      </c>
      <c r="O5830" s="8">
        <f>15+2/60+42/3600</f>
        <v>15.045</v>
      </c>
      <c r="P5830" s="8" t="s">
        <v>25978</v>
      </c>
      <c r="Q5830" s="8">
        <f>+(23+20/60+0/3600)</f>
        <v>23.333333333333332</v>
      </c>
      <c r="R5830" s="8">
        <v>13.4</v>
      </c>
      <c r="S5830" s="8">
        <v>13.9</v>
      </c>
      <c r="T5830" s="8">
        <v>0.5</v>
      </c>
      <c r="U5830" s="8">
        <v>14.4</v>
      </c>
      <c r="V5830" s="8">
        <v>1.7</v>
      </c>
      <c r="W5830" s="8">
        <v>1.5</v>
      </c>
      <c r="X5830" s="8">
        <v>45</v>
      </c>
      <c r="Y5830" s="8" t="s">
        <v>25979</v>
      </c>
      <c r="Z5830" s="8" t="s">
        <v>25980</v>
      </c>
    </row>
    <row r="5831" spans="1:26" x14ac:dyDescent="0.2">
      <c r="A5831" s="8">
        <v>5830</v>
      </c>
      <c r="B5831" s="8" t="s">
        <v>25981</v>
      </c>
      <c r="C5831" s="8" t="s">
        <v>25981</v>
      </c>
      <c r="F5831" s="47"/>
      <c r="G5831" s="8">
        <v>19</v>
      </c>
      <c r="H5831" s="8" t="s">
        <v>21</v>
      </c>
      <c r="I5831" s="8" t="s">
        <v>22</v>
      </c>
      <c r="J5831" s="8" t="s">
        <v>22</v>
      </c>
      <c r="K5831" s="8" t="s">
        <v>23</v>
      </c>
      <c r="L5831" s="8" t="s">
        <v>22476</v>
      </c>
      <c r="M5831" s="8" t="s">
        <v>22477</v>
      </c>
      <c r="N5831" s="8" t="s">
        <v>25982</v>
      </c>
      <c r="O5831" s="8">
        <f>15+1/60+51/3600</f>
        <v>15.030833333333334</v>
      </c>
      <c r="P5831" s="8" t="s">
        <v>25983</v>
      </c>
      <c r="Q5831" s="8">
        <f>+(47+52/60+33/3600)</f>
        <v>47.875833333333333</v>
      </c>
      <c r="R5831" s="8">
        <v>14.2</v>
      </c>
      <c r="S5831" s="8">
        <v>15</v>
      </c>
      <c r="T5831" s="8">
        <v>0.8</v>
      </c>
      <c r="U5831" s="8">
        <v>13.7</v>
      </c>
      <c r="V5831" s="8">
        <v>1</v>
      </c>
      <c r="W5831" s="8">
        <v>0.7</v>
      </c>
      <c r="X5831" s="8">
        <v>170</v>
      </c>
      <c r="Y5831" s="8" t="s">
        <v>25984</v>
      </c>
      <c r="Z5831" s="8" t="s">
        <v>25985</v>
      </c>
    </row>
    <row r="5832" spans="1:26" x14ac:dyDescent="0.2">
      <c r="A5832" s="8">
        <v>5831</v>
      </c>
      <c r="B5832" s="8" t="s">
        <v>25986</v>
      </c>
      <c r="C5832" s="8" t="s">
        <v>25986</v>
      </c>
      <c r="F5832" s="47" t="s">
        <v>58050</v>
      </c>
      <c r="G5832" s="8">
        <v>6.5</v>
      </c>
      <c r="H5832" s="8" t="s">
        <v>21</v>
      </c>
      <c r="I5832" s="8" t="s">
        <v>22</v>
      </c>
      <c r="J5832" s="8" t="s">
        <v>22</v>
      </c>
      <c r="K5832" s="8" t="s">
        <v>382</v>
      </c>
      <c r="L5832" s="8" t="s">
        <v>17287</v>
      </c>
      <c r="M5832" s="8" t="s">
        <v>17288</v>
      </c>
      <c r="N5832" s="8" t="s">
        <v>25987</v>
      </c>
      <c r="O5832" s="8">
        <f>15+4/60+6.8/3600</f>
        <v>15.068555555555555</v>
      </c>
      <c r="P5832" s="8" t="s">
        <v>25988</v>
      </c>
      <c r="Q5832" s="8">
        <f>+(1+13/60+12/3600)</f>
        <v>1.2200000000000002</v>
      </c>
      <c r="R5832" s="8">
        <v>11.5</v>
      </c>
      <c r="S5832" s="8">
        <v>12.5</v>
      </c>
      <c r="T5832" s="8">
        <v>1</v>
      </c>
      <c r="U5832" s="8">
        <v>12.9</v>
      </c>
      <c r="V5832" s="8">
        <v>2.1</v>
      </c>
      <c r="W5832" s="8">
        <v>1.9</v>
      </c>
      <c r="X5832" s="8">
        <v>55</v>
      </c>
      <c r="Y5832" s="8" t="s">
        <v>25989</v>
      </c>
      <c r="Z5832" s="8" t="s">
        <v>25990</v>
      </c>
    </row>
    <row r="5833" spans="1:26" x14ac:dyDescent="0.2">
      <c r="A5833" s="8">
        <v>5832</v>
      </c>
      <c r="B5833" s="8" t="s">
        <v>25991</v>
      </c>
      <c r="C5833" s="8" t="s">
        <v>25991</v>
      </c>
      <c r="F5833" s="47" t="s">
        <v>58051</v>
      </c>
      <c r="G5833" s="8">
        <v>15</v>
      </c>
      <c r="H5833" s="8" t="s">
        <v>21</v>
      </c>
      <c r="I5833" s="8" t="s">
        <v>22</v>
      </c>
      <c r="J5833" s="8" t="s">
        <v>22</v>
      </c>
      <c r="K5833" s="8" t="s">
        <v>218</v>
      </c>
      <c r="L5833" s="8" t="s">
        <v>14586</v>
      </c>
      <c r="M5833" s="8" t="s">
        <v>14587</v>
      </c>
      <c r="N5833" s="8" t="s">
        <v>25992</v>
      </c>
      <c r="O5833" s="8">
        <f>14+57/60+45.7/3600</f>
        <v>14.962694444444443</v>
      </c>
      <c r="P5833" s="8" t="s">
        <v>25993</v>
      </c>
      <c r="Q5833" s="8">
        <f>+(71+40/60+53/3600)</f>
        <v>71.68138888888889</v>
      </c>
      <c r="R5833" s="8">
        <v>12.1</v>
      </c>
      <c r="S5833" s="8">
        <v>12.9</v>
      </c>
      <c r="T5833" s="8">
        <v>0.8</v>
      </c>
      <c r="U5833" s="8">
        <v>14.2</v>
      </c>
      <c r="V5833" s="8">
        <v>3.6</v>
      </c>
      <c r="W5833" s="8">
        <v>2.2000000000000002</v>
      </c>
      <c r="X5833" s="8">
        <v>45</v>
      </c>
      <c r="Y5833" s="8" t="s">
        <v>25994</v>
      </c>
      <c r="Z5833" s="8" t="s">
        <v>25995</v>
      </c>
    </row>
    <row r="5834" spans="1:26" x14ac:dyDescent="0.2">
      <c r="A5834" s="8">
        <v>5833</v>
      </c>
      <c r="B5834" s="8" t="s">
        <v>25996</v>
      </c>
      <c r="C5834" s="8" t="s">
        <v>25996</v>
      </c>
      <c r="F5834" s="47"/>
      <c r="G5834" s="8">
        <v>16</v>
      </c>
      <c r="H5834" s="8" t="s">
        <v>21</v>
      </c>
      <c r="I5834" s="8" t="s">
        <v>22</v>
      </c>
      <c r="J5834" s="8" t="s">
        <v>22</v>
      </c>
      <c r="K5834" s="8" t="s">
        <v>396</v>
      </c>
      <c r="L5834" s="8" t="s">
        <v>25025</v>
      </c>
      <c r="M5834" s="8" t="s">
        <v>25026</v>
      </c>
      <c r="N5834" s="8" t="s">
        <v>25997</v>
      </c>
      <c r="O5834" s="8">
        <f>15+11/60+54.1/3600</f>
        <v>15.198361111111112</v>
      </c>
      <c r="P5834" s="8" t="s">
        <v>25998</v>
      </c>
      <c r="Q5834" s="8">
        <f>-(72+51/60+32/3600)</f>
        <v>-72.858888888888885</v>
      </c>
      <c r="R5834" s="8">
        <v>12</v>
      </c>
      <c r="S5834" s="8">
        <v>12.8</v>
      </c>
      <c r="T5834" s="8">
        <v>0.8</v>
      </c>
      <c r="U5834" s="8">
        <v>14</v>
      </c>
      <c r="V5834" s="8">
        <v>2.1</v>
      </c>
      <c r="W5834" s="8">
        <v>1</v>
      </c>
      <c r="X5834" s="8">
        <v>128</v>
      </c>
      <c r="Y5834" s="8" t="s">
        <v>25999</v>
      </c>
      <c r="Z5834" s="8" t="s">
        <v>26000</v>
      </c>
    </row>
    <row r="5835" spans="1:26" x14ac:dyDescent="0.2">
      <c r="A5835" s="8">
        <v>5834</v>
      </c>
      <c r="B5835" s="8" t="s">
        <v>26001</v>
      </c>
      <c r="C5835" s="8" t="s">
        <v>26001</v>
      </c>
      <c r="F5835" s="47"/>
      <c r="G5835" s="8">
        <v>16</v>
      </c>
      <c r="H5835" s="8" t="s">
        <v>21</v>
      </c>
      <c r="I5835" s="8" t="s">
        <v>567</v>
      </c>
      <c r="J5835" s="8" t="s">
        <v>567</v>
      </c>
      <c r="K5835" s="8" t="s">
        <v>12945</v>
      </c>
      <c r="L5835" s="8" t="s">
        <v>24674</v>
      </c>
      <c r="M5835" s="8" t="s">
        <v>24675</v>
      </c>
      <c r="N5835" s="8" t="s">
        <v>25956</v>
      </c>
      <c r="O5835" s="8">
        <f>15+3/60+58.5/3600</f>
        <v>15.06625</v>
      </c>
      <c r="P5835" s="8" t="s">
        <v>25957</v>
      </c>
      <c r="Q5835" s="8">
        <f>-(33+4/60+2/3600)</f>
        <v>-33.067222222222227</v>
      </c>
      <c r="R5835" s="8">
        <v>9.1</v>
      </c>
      <c r="S5835" s="8">
        <v>99</v>
      </c>
      <c r="T5835" s="8">
        <v>99</v>
      </c>
      <c r="U5835" s="8">
        <v>99</v>
      </c>
      <c r="V5835" s="8">
        <v>7.4</v>
      </c>
      <c r="Y5835" s="8" t="s">
        <v>25958</v>
      </c>
      <c r="Z5835" s="8" t="s">
        <v>26002</v>
      </c>
    </row>
    <row r="5836" spans="1:26" x14ac:dyDescent="0.2">
      <c r="A5836" s="8">
        <v>5835</v>
      </c>
      <c r="B5836" s="8" t="s">
        <v>26003</v>
      </c>
      <c r="C5836" s="8" t="s">
        <v>26003</v>
      </c>
      <c r="F5836" s="47"/>
      <c r="G5836" s="8">
        <v>19</v>
      </c>
      <c r="H5836" s="8" t="s">
        <v>21</v>
      </c>
      <c r="I5836" s="8" t="s">
        <v>22</v>
      </c>
      <c r="J5836" s="8" t="s">
        <v>22</v>
      </c>
      <c r="K5836" s="8" t="s">
        <v>91</v>
      </c>
      <c r="L5836" s="8" t="s">
        <v>22476</v>
      </c>
      <c r="M5836" s="8" t="s">
        <v>22477</v>
      </c>
      <c r="N5836" s="8" t="s">
        <v>26004</v>
      </c>
      <c r="O5836" s="8">
        <f>15+2/60+25.3/3600</f>
        <v>15.04036111111111</v>
      </c>
      <c r="P5836" s="8" t="s">
        <v>26005</v>
      </c>
      <c r="Q5836" s="8">
        <f>+(48+52/60+41/3600)</f>
        <v>48.878055555555555</v>
      </c>
      <c r="R5836" s="8">
        <v>14.4</v>
      </c>
      <c r="S5836" s="8">
        <v>15.3</v>
      </c>
      <c r="T5836" s="8">
        <v>0.9</v>
      </c>
      <c r="U5836" s="8">
        <v>14.2</v>
      </c>
      <c r="V5836" s="8">
        <v>1.1000000000000001</v>
      </c>
      <c r="W5836" s="8">
        <v>0.9</v>
      </c>
      <c r="X5836" s="8">
        <v>160</v>
      </c>
      <c r="Y5836" s="8" t="s">
        <v>237</v>
      </c>
      <c r="Z5836" s="8" t="s">
        <v>238</v>
      </c>
    </row>
    <row r="5837" spans="1:26" x14ac:dyDescent="0.2">
      <c r="A5837" s="8">
        <v>5836</v>
      </c>
      <c r="B5837" s="8" t="s">
        <v>26006</v>
      </c>
      <c r="C5837" s="8" t="s">
        <v>26006</v>
      </c>
      <c r="F5837" s="47" t="s">
        <v>58052</v>
      </c>
      <c r="G5837" s="8">
        <v>15</v>
      </c>
      <c r="H5837" s="8" t="s">
        <v>21</v>
      </c>
      <c r="I5837" s="8" t="s">
        <v>22</v>
      </c>
      <c r="J5837" s="8" t="s">
        <v>22</v>
      </c>
      <c r="K5837" s="8" t="s">
        <v>218</v>
      </c>
      <c r="L5837" s="8" t="s">
        <v>14586</v>
      </c>
      <c r="M5837" s="8" t="s">
        <v>14587</v>
      </c>
      <c r="N5837" s="8" t="s">
        <v>26007</v>
      </c>
      <c r="O5837" s="8">
        <f>14+59/60+31.1/3600</f>
        <v>14.991972222222222</v>
      </c>
      <c r="P5837" s="8" t="s">
        <v>26008</v>
      </c>
      <c r="Q5837" s="8">
        <f>+(73+53/60+35/3600)</f>
        <v>73.893055555555563</v>
      </c>
      <c r="R5837" s="8">
        <v>13.9</v>
      </c>
      <c r="S5837" s="8">
        <v>14.7</v>
      </c>
      <c r="T5837" s="8">
        <v>0.8</v>
      </c>
      <c r="U5837" s="8">
        <v>13.9</v>
      </c>
      <c r="V5837" s="8">
        <v>1.2</v>
      </c>
      <c r="W5837" s="8">
        <v>1</v>
      </c>
      <c r="X5837" s="8">
        <v>45</v>
      </c>
      <c r="Y5837" s="8" t="s">
        <v>26009</v>
      </c>
      <c r="Z5837" s="8" t="s">
        <v>26010</v>
      </c>
    </row>
    <row r="5838" spans="1:26" x14ac:dyDescent="0.2">
      <c r="A5838" s="8">
        <v>5837</v>
      </c>
      <c r="B5838" s="8" t="s">
        <v>26011</v>
      </c>
      <c r="C5838" s="8" t="s">
        <v>26011</v>
      </c>
      <c r="F5838" s="47"/>
      <c r="G5838" s="8">
        <v>19</v>
      </c>
      <c r="H5838" s="8" t="s">
        <v>21</v>
      </c>
      <c r="I5838" s="8" t="s">
        <v>22</v>
      </c>
      <c r="J5838" s="8" t="s">
        <v>22</v>
      </c>
      <c r="K5838" s="8" t="s">
        <v>85</v>
      </c>
      <c r="L5838" s="8" t="s">
        <v>22476</v>
      </c>
      <c r="M5838" s="8" t="s">
        <v>22477</v>
      </c>
      <c r="N5838" s="8" t="s">
        <v>26012</v>
      </c>
      <c r="O5838" s="8">
        <f>15+4/60+40.6/3600</f>
        <v>15.077944444444444</v>
      </c>
      <c r="P5838" s="8" t="s">
        <v>26013</v>
      </c>
      <c r="Q5838" s="8">
        <f>+(12+38/60+2/3600)</f>
        <v>12.633888888888889</v>
      </c>
      <c r="R5838" s="8">
        <v>14</v>
      </c>
      <c r="S5838" s="8">
        <v>14.8</v>
      </c>
      <c r="T5838" s="8">
        <v>0.8</v>
      </c>
      <c r="U5838" s="8">
        <v>13.3</v>
      </c>
      <c r="V5838" s="8">
        <v>1</v>
      </c>
      <c r="W5838" s="8">
        <v>0.6</v>
      </c>
      <c r="X5838" s="8">
        <v>25</v>
      </c>
      <c r="Y5838" s="8" t="s">
        <v>26014</v>
      </c>
      <c r="Z5838" s="8" t="s">
        <v>26015</v>
      </c>
    </row>
    <row r="5839" spans="1:26" x14ac:dyDescent="0.2">
      <c r="A5839" s="8">
        <v>5838</v>
      </c>
      <c r="B5839" s="8" t="s">
        <v>26016</v>
      </c>
      <c r="C5839" s="8" t="s">
        <v>26016</v>
      </c>
      <c r="F5839" s="47" t="s">
        <v>58053</v>
      </c>
      <c r="G5839" s="8">
        <v>6.5</v>
      </c>
      <c r="H5839" s="8" t="s">
        <v>21</v>
      </c>
      <c r="I5839" s="8" t="s">
        <v>22</v>
      </c>
      <c r="J5839" s="8" t="s">
        <v>22</v>
      </c>
      <c r="K5839" s="8" t="s">
        <v>58</v>
      </c>
      <c r="L5839" s="8" t="s">
        <v>17287</v>
      </c>
      <c r="M5839" s="8" t="s">
        <v>17288</v>
      </c>
      <c r="N5839" s="8" t="s">
        <v>26017</v>
      </c>
      <c r="O5839" s="8">
        <f>15+5/60+26/3600</f>
        <v>15.090555555555556</v>
      </c>
      <c r="P5839" s="8" t="s">
        <v>26018</v>
      </c>
      <c r="Q5839" s="8">
        <f>+(2+5/60+56/3600)</f>
        <v>2.0988888888888892</v>
      </c>
      <c r="R5839" s="8">
        <v>10.9</v>
      </c>
      <c r="S5839" s="8">
        <v>11.9</v>
      </c>
      <c r="T5839" s="8">
        <v>1</v>
      </c>
      <c r="U5839" s="8">
        <v>12.8</v>
      </c>
      <c r="V5839" s="8">
        <v>4.2</v>
      </c>
      <c r="W5839" s="8">
        <v>1.5</v>
      </c>
      <c r="X5839" s="8">
        <v>43</v>
      </c>
      <c r="Y5839" s="8" t="s">
        <v>26019</v>
      </c>
      <c r="Z5839" s="8" t="s">
        <v>26020</v>
      </c>
    </row>
    <row r="5840" spans="1:26" x14ac:dyDescent="0.2">
      <c r="A5840" s="8">
        <v>5839</v>
      </c>
      <c r="B5840" s="8" t="s">
        <v>26021</v>
      </c>
      <c r="C5840" s="8" t="s">
        <v>26021</v>
      </c>
      <c r="F5840" s="47" t="s">
        <v>58054</v>
      </c>
      <c r="G5840" s="8">
        <v>15</v>
      </c>
      <c r="H5840" s="8" t="s">
        <v>21</v>
      </c>
      <c r="I5840" s="8" t="s">
        <v>22</v>
      </c>
      <c r="J5840" s="8" t="s">
        <v>22</v>
      </c>
      <c r="K5840" s="8" t="s">
        <v>37</v>
      </c>
      <c r="L5840" s="8" t="s">
        <v>17287</v>
      </c>
      <c r="M5840" s="8" t="s">
        <v>17288</v>
      </c>
      <c r="N5840" s="8" t="s">
        <v>26022</v>
      </c>
      <c r="O5840" s="8">
        <f>15+5/60+27.4/3600</f>
        <v>15.090944444444444</v>
      </c>
      <c r="P5840" s="8" t="s">
        <v>26023</v>
      </c>
      <c r="Q5840" s="8">
        <f>+(1+38/60+4/3600)</f>
        <v>1.6344444444444444</v>
      </c>
      <c r="R5840" s="8">
        <v>12.7</v>
      </c>
      <c r="S5840" s="8">
        <v>13.7</v>
      </c>
      <c r="T5840" s="8">
        <v>1</v>
      </c>
      <c r="U5840" s="8">
        <v>13.1</v>
      </c>
      <c r="V5840" s="8">
        <v>1.3</v>
      </c>
      <c r="W5840" s="8">
        <v>1.2</v>
      </c>
      <c r="X5840" s="8">
        <v>35</v>
      </c>
      <c r="Y5840" s="8" t="s">
        <v>17912</v>
      </c>
      <c r="Z5840" s="8" t="s">
        <v>17913</v>
      </c>
    </row>
    <row r="5841" spans="1:26" x14ac:dyDescent="0.2">
      <c r="A5841" s="8">
        <v>5840</v>
      </c>
      <c r="B5841" s="8" t="s">
        <v>26024</v>
      </c>
      <c r="C5841" s="8" t="s">
        <v>26024</v>
      </c>
      <c r="F5841" s="47"/>
      <c r="G5841" s="8">
        <v>19</v>
      </c>
      <c r="H5841" s="8" t="s">
        <v>21</v>
      </c>
      <c r="I5841" s="8" t="s">
        <v>329</v>
      </c>
      <c r="J5841" s="8" t="s">
        <v>329</v>
      </c>
      <c r="K5841" s="8" t="s">
        <v>329</v>
      </c>
      <c r="L5841" s="8" t="s">
        <v>22476</v>
      </c>
      <c r="M5841" s="8" t="s">
        <v>22477</v>
      </c>
      <c r="N5841" s="8" t="s">
        <v>26025</v>
      </c>
      <c r="O5841" s="8">
        <f>15+4/60+20.5/3600</f>
        <v>15.07236111111111</v>
      </c>
      <c r="P5841" s="8" t="s">
        <v>26026</v>
      </c>
      <c r="Q5841" s="8">
        <f>+(29+30/60+22/3600)</f>
        <v>29.50611111111111</v>
      </c>
      <c r="R5841" s="8">
        <v>99</v>
      </c>
      <c r="S5841" s="8">
        <v>99</v>
      </c>
      <c r="T5841" s="8">
        <v>99</v>
      </c>
      <c r="U5841" s="8">
        <v>99</v>
      </c>
      <c r="Y5841" s="8" t="s">
        <v>13947</v>
      </c>
      <c r="Z5841" s="8" t="s">
        <v>13948</v>
      </c>
    </row>
    <row r="5842" spans="1:26" x14ac:dyDescent="0.2">
      <c r="A5842" s="8">
        <v>5841</v>
      </c>
      <c r="B5842" s="8" t="s">
        <v>26027</v>
      </c>
      <c r="C5842" s="8" t="s">
        <v>26027</v>
      </c>
      <c r="F5842" s="47"/>
      <c r="G5842" s="8">
        <v>18</v>
      </c>
      <c r="H5842" s="8" t="s">
        <v>21</v>
      </c>
      <c r="I5842" s="8" t="s">
        <v>22</v>
      </c>
      <c r="J5842" s="8" t="s">
        <v>57</v>
      </c>
      <c r="K5842" s="8" t="s">
        <v>632</v>
      </c>
      <c r="L5842" s="8" t="s">
        <v>17287</v>
      </c>
      <c r="M5842" s="8" t="s">
        <v>17288</v>
      </c>
      <c r="N5842" s="8" t="s">
        <v>26028</v>
      </c>
      <c r="O5842" s="8">
        <f>15+6/60+34.8/3600</f>
        <v>15.109666666666666</v>
      </c>
      <c r="P5842" s="8" t="s">
        <v>26029</v>
      </c>
      <c r="Q5842" s="8">
        <f>+(2+0/60+18/3600)</f>
        <v>2.0049999999999999</v>
      </c>
      <c r="R5842" s="8">
        <v>13.8</v>
      </c>
      <c r="S5842" s="8">
        <v>14.7</v>
      </c>
      <c r="T5842" s="8">
        <v>0.9</v>
      </c>
      <c r="U5842" s="8">
        <v>13</v>
      </c>
      <c r="V5842" s="8">
        <v>1.1000000000000001</v>
      </c>
      <c r="W5842" s="8">
        <v>0.4</v>
      </c>
      <c r="X5842" s="8">
        <v>145</v>
      </c>
      <c r="Y5842" s="8" t="s">
        <v>1664</v>
      </c>
      <c r="Z5842" s="8" t="s">
        <v>1665</v>
      </c>
    </row>
    <row r="5843" spans="1:26" x14ac:dyDescent="0.2">
      <c r="A5843" s="8">
        <v>5842</v>
      </c>
      <c r="B5843" s="8" t="s">
        <v>26030</v>
      </c>
      <c r="C5843" s="8" t="s">
        <v>26030</v>
      </c>
      <c r="F5843" s="47"/>
      <c r="G5843" s="8">
        <v>19</v>
      </c>
      <c r="H5843" s="8" t="s">
        <v>21</v>
      </c>
      <c r="I5843" s="8" t="s">
        <v>22</v>
      </c>
      <c r="J5843" s="8" t="s">
        <v>22</v>
      </c>
      <c r="K5843" s="8" t="s">
        <v>23</v>
      </c>
      <c r="L5843" s="8" t="s">
        <v>22476</v>
      </c>
      <c r="M5843" s="8" t="s">
        <v>22477</v>
      </c>
      <c r="N5843" s="8" t="s">
        <v>26031</v>
      </c>
      <c r="O5843" s="8">
        <f>15+4/60+52.1/3600</f>
        <v>15.081138888888889</v>
      </c>
      <c r="P5843" s="8" t="s">
        <v>26032</v>
      </c>
      <c r="Q5843" s="8">
        <f>+(21+4/60+13/3600)</f>
        <v>21.070277777777779</v>
      </c>
      <c r="R5843" s="8">
        <v>14.3</v>
      </c>
      <c r="S5843" s="8">
        <v>15.3</v>
      </c>
      <c r="T5843" s="8">
        <v>1</v>
      </c>
      <c r="U5843" s="8">
        <v>12.2</v>
      </c>
      <c r="V5843" s="8">
        <v>0.4</v>
      </c>
      <c r="W5843" s="8">
        <v>0.4</v>
      </c>
      <c r="Y5843" s="8" t="s">
        <v>348</v>
      </c>
      <c r="Z5843" s="8" t="s">
        <v>349</v>
      </c>
    </row>
    <row r="5844" spans="1:26" x14ac:dyDescent="0.2">
      <c r="A5844" s="8">
        <v>5843</v>
      </c>
      <c r="B5844" s="8" t="s">
        <v>26033</v>
      </c>
      <c r="C5844" s="8" t="s">
        <v>26033</v>
      </c>
      <c r="F5844" s="47"/>
      <c r="G5844" s="8">
        <v>16</v>
      </c>
      <c r="H5844" s="8" t="s">
        <v>21</v>
      </c>
      <c r="I5844" s="8" t="s">
        <v>22</v>
      </c>
      <c r="J5844" s="8" t="s">
        <v>22</v>
      </c>
      <c r="K5844" s="8" t="s">
        <v>218</v>
      </c>
      <c r="L5844" s="8" t="s">
        <v>24674</v>
      </c>
      <c r="M5844" s="8" t="s">
        <v>24675</v>
      </c>
      <c r="N5844" s="8" t="s">
        <v>26034</v>
      </c>
      <c r="O5844" s="8">
        <f>15+7/60+27.8/3600</f>
        <v>15.124388888888889</v>
      </c>
      <c r="P5844" s="8" t="s">
        <v>26035</v>
      </c>
      <c r="Q5844" s="8">
        <f>-(36+19/60+42/3600)</f>
        <v>-36.328333333333333</v>
      </c>
      <c r="R5844" s="8">
        <v>12.2</v>
      </c>
      <c r="S5844" s="8">
        <v>13</v>
      </c>
      <c r="T5844" s="8">
        <v>0.8</v>
      </c>
      <c r="U5844" s="8">
        <v>12.8</v>
      </c>
      <c r="V5844" s="8">
        <v>1.9</v>
      </c>
      <c r="W5844" s="8">
        <v>1.1000000000000001</v>
      </c>
      <c r="X5844" s="8">
        <v>70</v>
      </c>
      <c r="Y5844" s="8" t="s">
        <v>26036</v>
      </c>
      <c r="Z5844" s="8" t="s">
        <v>26037</v>
      </c>
    </row>
    <row r="5845" spans="1:26" x14ac:dyDescent="0.2">
      <c r="A5845" s="8">
        <v>5844</v>
      </c>
      <c r="B5845" s="8" t="s">
        <v>26038</v>
      </c>
      <c r="C5845" s="8" t="s">
        <v>26038</v>
      </c>
      <c r="F5845" s="47"/>
      <c r="G5845" s="8">
        <v>16</v>
      </c>
      <c r="H5845" s="8" t="s">
        <v>21</v>
      </c>
      <c r="I5845" s="8" t="s">
        <v>241</v>
      </c>
      <c r="J5845" s="8" t="s">
        <v>241</v>
      </c>
      <c r="K5845" s="8" t="s">
        <v>241</v>
      </c>
      <c r="L5845" s="8" t="s">
        <v>26039</v>
      </c>
      <c r="M5845" s="8" t="s">
        <v>26040</v>
      </c>
      <c r="N5845" s="8" t="s">
        <v>26041</v>
      </c>
      <c r="O5845" s="8">
        <f>15+10/60+40.7/3600</f>
        <v>15.177972222222222</v>
      </c>
      <c r="P5845" s="8" t="s">
        <v>26042</v>
      </c>
      <c r="Q5845" s="8">
        <f>-(64+40/60+22/3600)</f>
        <v>-64.672777777777782</v>
      </c>
      <c r="R5845" s="8">
        <v>99</v>
      </c>
      <c r="S5845" s="8">
        <v>13.2</v>
      </c>
      <c r="T5845" s="8">
        <v>99</v>
      </c>
      <c r="U5845" s="8">
        <v>99</v>
      </c>
      <c r="V5845" s="8">
        <v>1.22</v>
      </c>
      <c r="Y5845" s="8" t="s">
        <v>26043</v>
      </c>
      <c r="Z5845" s="8" t="s">
        <v>26044</v>
      </c>
    </row>
    <row r="5846" spans="1:26" x14ac:dyDescent="0.2">
      <c r="A5846" s="8">
        <v>5845</v>
      </c>
      <c r="B5846" s="8" t="s">
        <v>26045</v>
      </c>
      <c r="C5846" s="8" t="s">
        <v>26045</v>
      </c>
      <c r="F5846" s="47" t="s">
        <v>58055</v>
      </c>
      <c r="G5846" s="8">
        <v>15</v>
      </c>
      <c r="H5846" s="8" t="s">
        <v>21</v>
      </c>
      <c r="I5846" s="8" t="s">
        <v>22</v>
      </c>
      <c r="J5846" s="8" t="s">
        <v>22</v>
      </c>
      <c r="K5846" s="8" t="s">
        <v>382</v>
      </c>
      <c r="L5846" s="8" t="s">
        <v>17287</v>
      </c>
      <c r="M5846" s="8" t="s">
        <v>17288</v>
      </c>
      <c r="N5846" s="8" t="s">
        <v>26046</v>
      </c>
      <c r="O5846" s="8">
        <f>15+6/60+0.6/3600</f>
        <v>15.100166666666667</v>
      </c>
      <c r="P5846" s="8" t="s">
        <v>26047</v>
      </c>
      <c r="Q5846" s="8">
        <f>+(1+38/60+1/3600)</f>
        <v>1.6336111111111111</v>
      </c>
      <c r="R5846" s="8">
        <v>12.5</v>
      </c>
      <c r="S5846" s="8">
        <v>13.5</v>
      </c>
      <c r="T5846" s="8">
        <v>1</v>
      </c>
      <c r="U5846" s="8">
        <v>11.5</v>
      </c>
      <c r="V5846" s="8">
        <v>0.7</v>
      </c>
      <c r="W5846" s="8">
        <v>0.5</v>
      </c>
      <c r="X5846" s="8">
        <v>150</v>
      </c>
      <c r="Y5846" s="8" t="s">
        <v>1250</v>
      </c>
      <c r="Z5846" s="8" t="s">
        <v>1251</v>
      </c>
    </row>
    <row r="5847" spans="1:26" x14ac:dyDescent="0.2">
      <c r="A5847" s="8">
        <v>5846</v>
      </c>
      <c r="B5847" s="8" t="s">
        <v>26048</v>
      </c>
      <c r="C5847" s="8" t="s">
        <v>26048</v>
      </c>
      <c r="F5847" s="47" t="s">
        <v>58056</v>
      </c>
      <c r="G5847" s="8">
        <v>6</v>
      </c>
      <c r="H5847" s="8" t="s">
        <v>21</v>
      </c>
      <c r="I5847" s="8" t="s">
        <v>22</v>
      </c>
      <c r="J5847" s="8" t="s">
        <v>22</v>
      </c>
      <c r="K5847" s="8" t="s">
        <v>183</v>
      </c>
      <c r="L5847" s="8" t="s">
        <v>17287</v>
      </c>
      <c r="M5847" s="8" t="s">
        <v>17288</v>
      </c>
      <c r="N5847" s="8" t="s">
        <v>26049</v>
      </c>
      <c r="O5847" s="8">
        <f>15+6/60+29/3600</f>
        <v>15.108055555555556</v>
      </c>
      <c r="P5847" s="8" t="s">
        <v>26050</v>
      </c>
      <c r="Q5847" s="8">
        <f>+(1+36/60+19/3600)</f>
        <v>1.6052777777777778</v>
      </c>
      <c r="R5847" s="8">
        <v>10</v>
      </c>
      <c r="S5847" s="8">
        <v>11.1</v>
      </c>
      <c r="T5847" s="8">
        <v>1.1000000000000001</v>
      </c>
      <c r="U5847" s="8">
        <v>12.9</v>
      </c>
      <c r="V5847" s="8">
        <v>4</v>
      </c>
      <c r="W5847" s="8">
        <v>3.7</v>
      </c>
      <c r="X5847" s="8">
        <v>42</v>
      </c>
      <c r="Y5847" s="8" t="s">
        <v>26051</v>
      </c>
      <c r="Z5847" s="8" t="s">
        <v>26052</v>
      </c>
    </row>
    <row r="5848" spans="1:26" x14ac:dyDescent="0.2">
      <c r="A5848" s="8">
        <v>5847</v>
      </c>
      <c r="B5848" s="8" t="s">
        <v>26053</v>
      </c>
      <c r="C5848" s="8" t="s">
        <v>26053</v>
      </c>
      <c r="F5848" s="47"/>
      <c r="G5848" s="8">
        <v>18</v>
      </c>
      <c r="H5848" s="8" t="s">
        <v>21</v>
      </c>
      <c r="I5848" s="8" t="s">
        <v>22</v>
      </c>
      <c r="J5848" s="8" t="s">
        <v>22</v>
      </c>
      <c r="K5848" s="8" t="s">
        <v>396</v>
      </c>
      <c r="L5848" s="8" t="s">
        <v>17287</v>
      </c>
      <c r="M5848" s="8" t="s">
        <v>17288</v>
      </c>
      <c r="N5848" s="8" t="s">
        <v>26054</v>
      </c>
      <c r="O5848" s="8">
        <f>15+6/60+22.2/3600</f>
        <v>15.106166666666667</v>
      </c>
      <c r="P5848" s="8" t="s">
        <v>26055</v>
      </c>
      <c r="Q5848" s="8">
        <f>+(6+22/60+47/3600)</f>
        <v>6.3797222222222221</v>
      </c>
      <c r="R5848" s="8">
        <v>14.9</v>
      </c>
      <c r="S5848" s="8">
        <v>15.7</v>
      </c>
      <c r="T5848" s="8">
        <v>0.8</v>
      </c>
      <c r="U5848" s="8">
        <v>13.4</v>
      </c>
      <c r="V5848" s="8">
        <v>0.7</v>
      </c>
      <c r="W5848" s="8">
        <v>0.4</v>
      </c>
      <c r="X5848" s="8">
        <v>165</v>
      </c>
      <c r="Y5848" s="8" t="s">
        <v>14218</v>
      </c>
      <c r="Z5848" s="8" t="s">
        <v>14219</v>
      </c>
    </row>
    <row r="5849" spans="1:26" x14ac:dyDescent="0.2">
      <c r="A5849" s="8">
        <v>5848</v>
      </c>
      <c r="B5849" s="8" t="s">
        <v>26056</v>
      </c>
      <c r="C5849" s="8" t="s">
        <v>26056</v>
      </c>
      <c r="F5849" s="47"/>
      <c r="G5849" s="8">
        <v>18</v>
      </c>
      <c r="H5849" s="8" t="s">
        <v>21</v>
      </c>
      <c r="I5849" s="8" t="s">
        <v>22</v>
      </c>
      <c r="J5849" s="8" t="s">
        <v>22</v>
      </c>
      <c r="K5849" s="8" t="s">
        <v>632</v>
      </c>
      <c r="L5849" s="8" t="s">
        <v>17287</v>
      </c>
      <c r="M5849" s="8" t="s">
        <v>17288</v>
      </c>
      <c r="N5849" s="8" t="s">
        <v>26028</v>
      </c>
      <c r="O5849" s="8">
        <f>15+6/60+34.8/3600</f>
        <v>15.109666666666666</v>
      </c>
      <c r="P5849" s="8" t="s">
        <v>26029</v>
      </c>
      <c r="Q5849" s="8">
        <f>+(2+0/60+18/3600)</f>
        <v>2.0049999999999999</v>
      </c>
      <c r="R5849" s="8">
        <v>13.8</v>
      </c>
      <c r="S5849" s="8">
        <v>14.7</v>
      </c>
      <c r="T5849" s="8">
        <v>0.9</v>
      </c>
      <c r="U5849" s="8">
        <v>13</v>
      </c>
      <c r="V5849" s="8">
        <v>1.1000000000000001</v>
      </c>
      <c r="W5849" s="8">
        <v>0.4</v>
      </c>
      <c r="X5849" s="8">
        <v>145</v>
      </c>
      <c r="Y5849" s="8" t="s">
        <v>1664</v>
      </c>
      <c r="Z5849" s="8" t="s">
        <v>26057</v>
      </c>
    </row>
    <row r="5850" spans="1:26" x14ac:dyDescent="0.2">
      <c r="A5850" s="8">
        <v>5849</v>
      </c>
      <c r="B5850" s="8" t="s">
        <v>26058</v>
      </c>
      <c r="C5850" s="8" t="s">
        <v>26058</v>
      </c>
      <c r="F5850" s="47"/>
      <c r="G5850" s="8">
        <v>19</v>
      </c>
      <c r="H5850" s="8" t="s">
        <v>21</v>
      </c>
      <c r="I5850" s="8" t="s">
        <v>22</v>
      </c>
      <c r="J5850" s="8" t="s">
        <v>22</v>
      </c>
      <c r="K5850" s="8" t="s">
        <v>37</v>
      </c>
      <c r="L5850" s="8" t="s">
        <v>24948</v>
      </c>
      <c r="M5850" s="8" t="s">
        <v>24949</v>
      </c>
      <c r="N5850" s="8" t="s">
        <v>26059</v>
      </c>
      <c r="O5850" s="8">
        <f>15+6/60+50.6/3600</f>
        <v>15.114055555555556</v>
      </c>
      <c r="P5850" s="8" t="s">
        <v>26060</v>
      </c>
      <c r="Q5850" s="8">
        <f>-(14+34/60+16/3600)</f>
        <v>-14.571111111111112</v>
      </c>
      <c r="R5850" s="8">
        <v>13.9</v>
      </c>
      <c r="S5850" s="8">
        <v>14.9</v>
      </c>
      <c r="T5850" s="8">
        <v>1</v>
      </c>
      <c r="U5850" s="8">
        <v>13.4</v>
      </c>
      <c r="V5850" s="8">
        <v>0.9</v>
      </c>
      <c r="W5850" s="8">
        <v>0.8</v>
      </c>
      <c r="X5850" s="8">
        <v>30</v>
      </c>
      <c r="Y5850" s="8" t="s">
        <v>26061</v>
      </c>
      <c r="Z5850" s="8" t="s">
        <v>26062</v>
      </c>
    </row>
    <row r="5851" spans="1:26" x14ac:dyDescent="0.2">
      <c r="A5851" s="8">
        <v>5850</v>
      </c>
      <c r="B5851" s="8" t="s">
        <v>26063</v>
      </c>
      <c r="C5851" s="8" t="s">
        <v>26063</v>
      </c>
      <c r="F5851" s="47" t="s">
        <v>58057</v>
      </c>
      <c r="G5851" s="8">
        <v>6.5</v>
      </c>
      <c r="H5851" s="8" t="s">
        <v>21</v>
      </c>
      <c r="I5851" s="8" t="s">
        <v>22</v>
      </c>
      <c r="J5851" s="8" t="s">
        <v>22</v>
      </c>
      <c r="K5851" s="8" t="s">
        <v>218</v>
      </c>
      <c r="L5851" s="8" t="s">
        <v>17287</v>
      </c>
      <c r="M5851" s="8" t="s">
        <v>17288</v>
      </c>
      <c r="N5851" s="8" t="s">
        <v>26064</v>
      </c>
      <c r="O5851" s="8">
        <f>15+7/60+7.5/3600</f>
        <v>15.11875</v>
      </c>
      <c r="P5851" s="8" t="s">
        <v>26065</v>
      </c>
      <c r="Q5851" s="8">
        <f>+(1+32/60+39/3600)</f>
        <v>1.5441666666666665</v>
      </c>
      <c r="R5851" s="8">
        <v>10.8</v>
      </c>
      <c r="S5851" s="8">
        <v>11.5</v>
      </c>
      <c r="T5851" s="8">
        <v>0.7</v>
      </c>
      <c r="U5851" s="8">
        <v>13.6</v>
      </c>
      <c r="V5851" s="8">
        <v>4.5</v>
      </c>
      <c r="W5851" s="8">
        <v>3.9</v>
      </c>
      <c r="X5851" s="8">
        <v>140</v>
      </c>
      <c r="Y5851" s="8" t="s">
        <v>26066</v>
      </c>
      <c r="Z5851" s="8" t="s">
        <v>26067</v>
      </c>
    </row>
    <row r="5852" spans="1:26" x14ac:dyDescent="0.2">
      <c r="A5852" s="8">
        <v>5851</v>
      </c>
      <c r="B5852" s="8" t="s">
        <v>26068</v>
      </c>
      <c r="C5852" s="8" t="s">
        <v>26068</v>
      </c>
      <c r="F5852" s="47" t="s">
        <v>58058</v>
      </c>
      <c r="G5852" s="8">
        <v>15</v>
      </c>
      <c r="H5852" s="8" t="s">
        <v>21</v>
      </c>
      <c r="I5852" s="8" t="s">
        <v>22</v>
      </c>
      <c r="J5852" s="8" t="s">
        <v>22</v>
      </c>
      <c r="K5852" s="8" t="s">
        <v>160</v>
      </c>
      <c r="L5852" s="8" t="s">
        <v>22476</v>
      </c>
      <c r="M5852" s="8" t="s">
        <v>22477</v>
      </c>
      <c r="N5852" s="8" t="s">
        <v>26069</v>
      </c>
      <c r="O5852" s="8">
        <f>15+6/60+53.3/3600</f>
        <v>15.114805555555556</v>
      </c>
      <c r="P5852" s="8" t="s">
        <v>26070</v>
      </c>
      <c r="Q5852" s="8">
        <f>+(12+51/60+29/3600)</f>
        <v>12.858055555555556</v>
      </c>
      <c r="R5852" s="8">
        <v>14.1</v>
      </c>
      <c r="S5852" s="8">
        <v>14.8</v>
      </c>
      <c r="T5852" s="8">
        <v>0.7</v>
      </c>
      <c r="U5852" s="8">
        <v>12.7</v>
      </c>
      <c r="V5852" s="8">
        <v>1</v>
      </c>
      <c r="W5852" s="8">
        <v>0.3</v>
      </c>
      <c r="X5852" s="8">
        <v>43</v>
      </c>
      <c r="Y5852" s="8" t="s">
        <v>26071</v>
      </c>
      <c r="Z5852" s="8" t="s">
        <v>25191</v>
      </c>
    </row>
    <row r="5853" spans="1:26" x14ac:dyDescent="0.2">
      <c r="A5853" s="8">
        <v>5852</v>
      </c>
      <c r="B5853" s="8" t="s">
        <v>26072</v>
      </c>
      <c r="C5853" s="8" t="s">
        <v>26072</v>
      </c>
      <c r="F5853" s="47" t="s">
        <v>58059</v>
      </c>
      <c r="G5853" s="8">
        <v>15</v>
      </c>
      <c r="H5853" s="8" t="s">
        <v>21</v>
      </c>
      <c r="I5853" s="8" t="s">
        <v>22</v>
      </c>
      <c r="J5853" s="8" t="s">
        <v>22</v>
      </c>
      <c r="K5853" s="8" t="s">
        <v>449</v>
      </c>
      <c r="L5853" s="8" t="s">
        <v>22476</v>
      </c>
      <c r="M5853" s="8" t="s">
        <v>22477</v>
      </c>
      <c r="N5853" s="8" t="s">
        <v>26073</v>
      </c>
      <c r="O5853" s="8">
        <f>15+6/60+56.3/3600</f>
        <v>15.115638888888888</v>
      </c>
      <c r="P5853" s="8" t="s">
        <v>26074</v>
      </c>
      <c r="Q5853" s="8">
        <f>+(12+50/60+51/3600)</f>
        <v>12.8475</v>
      </c>
      <c r="R5853" s="8">
        <v>13.6</v>
      </c>
      <c r="S5853" s="8">
        <v>14.4</v>
      </c>
      <c r="T5853" s="8">
        <v>0.8</v>
      </c>
      <c r="U5853" s="8">
        <v>13</v>
      </c>
      <c r="V5853" s="8">
        <v>1.1000000000000001</v>
      </c>
      <c r="W5853" s="8">
        <v>0.6</v>
      </c>
      <c r="X5853" s="8">
        <v>125</v>
      </c>
      <c r="Y5853" s="8" t="s">
        <v>26075</v>
      </c>
      <c r="Z5853" s="8" t="s">
        <v>26076</v>
      </c>
    </row>
    <row r="5854" spans="1:26" x14ac:dyDescent="0.2">
      <c r="A5854" s="8">
        <v>5853</v>
      </c>
      <c r="B5854" s="8" t="s">
        <v>26077</v>
      </c>
      <c r="C5854" s="8" t="s">
        <v>26077</v>
      </c>
      <c r="F5854" s="47"/>
      <c r="G5854" s="8">
        <v>19</v>
      </c>
      <c r="H5854" s="8" t="s">
        <v>21</v>
      </c>
      <c r="I5854" s="8" t="s">
        <v>22</v>
      </c>
      <c r="J5854" s="8" t="s">
        <v>22</v>
      </c>
      <c r="K5854" s="8" t="s">
        <v>218</v>
      </c>
      <c r="L5854" s="8" t="s">
        <v>22476</v>
      </c>
      <c r="M5854" s="8" t="s">
        <v>22477</v>
      </c>
      <c r="N5854" s="8" t="s">
        <v>26078</v>
      </c>
      <c r="O5854" s="8">
        <f>15+5/60+53.2/3600</f>
        <v>15.098111111111113</v>
      </c>
      <c r="P5854" s="8" t="s">
        <v>26079</v>
      </c>
      <c r="Q5854" s="8">
        <f>+(39+31/60+22/3600)</f>
        <v>39.522777777777776</v>
      </c>
      <c r="R5854" s="8">
        <v>13.7</v>
      </c>
      <c r="S5854" s="8">
        <v>14.5</v>
      </c>
      <c r="T5854" s="8">
        <v>0.8</v>
      </c>
      <c r="U5854" s="8">
        <v>13.9</v>
      </c>
      <c r="V5854" s="8">
        <v>1.5</v>
      </c>
      <c r="W5854" s="8">
        <v>0.9</v>
      </c>
      <c r="X5854" s="8">
        <v>150</v>
      </c>
      <c r="Y5854" s="8" t="s">
        <v>26080</v>
      </c>
      <c r="Z5854" s="8" t="s">
        <v>26081</v>
      </c>
    </row>
    <row r="5855" spans="1:26" x14ac:dyDescent="0.2">
      <c r="A5855" s="8">
        <v>5854</v>
      </c>
      <c r="B5855" s="8" t="s">
        <v>26082</v>
      </c>
      <c r="C5855" s="8" t="s">
        <v>26082</v>
      </c>
      <c r="F5855" s="47" t="s">
        <v>58060</v>
      </c>
      <c r="G5855" s="8">
        <v>6.5</v>
      </c>
      <c r="H5855" s="8" t="s">
        <v>21</v>
      </c>
      <c r="I5855" s="8" t="s">
        <v>22</v>
      </c>
      <c r="J5855" s="8" t="s">
        <v>22</v>
      </c>
      <c r="K5855" s="8" t="s">
        <v>435</v>
      </c>
      <c r="L5855" s="8" t="s">
        <v>17287</v>
      </c>
      <c r="M5855" s="8" t="s">
        <v>17288</v>
      </c>
      <c r="N5855" s="8" t="s">
        <v>26083</v>
      </c>
      <c r="O5855" s="8">
        <f>15+7/60+47.6/3600</f>
        <v>15.129888888888889</v>
      </c>
      <c r="P5855" s="8" t="s">
        <v>26084</v>
      </c>
      <c r="Q5855" s="8">
        <f>+(2+34/60+7/3600)</f>
        <v>2.5686111111111107</v>
      </c>
      <c r="R5855" s="8">
        <v>11.9</v>
      </c>
      <c r="S5855" s="8">
        <v>12.7</v>
      </c>
      <c r="T5855" s="8">
        <v>0.8</v>
      </c>
      <c r="U5855" s="8">
        <v>12.6</v>
      </c>
      <c r="V5855" s="8">
        <v>2.7</v>
      </c>
      <c r="W5855" s="8">
        <v>0.8</v>
      </c>
      <c r="X5855" s="8">
        <v>55</v>
      </c>
      <c r="Y5855" s="8" t="s">
        <v>26085</v>
      </c>
      <c r="Z5855" s="8" t="s">
        <v>26086</v>
      </c>
    </row>
    <row r="5856" spans="1:26" x14ac:dyDescent="0.2">
      <c r="A5856" s="8">
        <v>5855</v>
      </c>
      <c r="B5856" s="8" t="s">
        <v>26087</v>
      </c>
      <c r="C5856" s="8" t="s">
        <v>26087</v>
      </c>
      <c r="F5856" s="47"/>
      <c r="G5856" s="8">
        <v>19</v>
      </c>
      <c r="H5856" s="8" t="s">
        <v>21</v>
      </c>
      <c r="I5856" s="8" t="s">
        <v>22</v>
      </c>
      <c r="J5856" s="8" t="s">
        <v>22</v>
      </c>
      <c r="K5856" s="8" t="s">
        <v>424</v>
      </c>
      <c r="L5856" s="8" t="s">
        <v>17287</v>
      </c>
      <c r="M5856" s="8" t="s">
        <v>17288</v>
      </c>
      <c r="N5856" s="8" t="s">
        <v>26088</v>
      </c>
      <c r="O5856" s="8">
        <f>15+7/60+48.9/3600</f>
        <v>15.13025</v>
      </c>
      <c r="P5856" s="8" t="s">
        <v>26089</v>
      </c>
      <c r="Q5856" s="8">
        <f>+(3+59/60+5/3600)</f>
        <v>3.9847222222222225</v>
      </c>
      <c r="R5856" s="8">
        <v>14.5</v>
      </c>
      <c r="S5856" s="8">
        <v>15.5</v>
      </c>
      <c r="T5856" s="8">
        <v>1</v>
      </c>
      <c r="U5856" s="8">
        <v>12.3</v>
      </c>
      <c r="V5856" s="8">
        <v>0.4</v>
      </c>
      <c r="W5856" s="8">
        <v>0.4</v>
      </c>
      <c r="Y5856" s="8" t="s">
        <v>26090</v>
      </c>
      <c r="Z5856" s="8" t="s">
        <v>26091</v>
      </c>
    </row>
    <row r="5857" spans="1:26" x14ac:dyDescent="0.2">
      <c r="A5857" s="8">
        <v>5856</v>
      </c>
      <c r="B5857" s="8" t="s">
        <v>26092</v>
      </c>
      <c r="C5857" s="8" t="s">
        <v>26092</v>
      </c>
      <c r="F5857" s="47" t="s">
        <v>58061</v>
      </c>
      <c r="G5857" s="8">
        <v>15</v>
      </c>
      <c r="H5857" s="8" t="s">
        <v>21</v>
      </c>
      <c r="I5857" s="8" t="s">
        <v>72</v>
      </c>
      <c r="J5857" s="8" t="s">
        <v>72</v>
      </c>
      <c r="K5857" s="8" t="s">
        <v>20</v>
      </c>
      <c r="L5857" s="8" t="s">
        <v>22476</v>
      </c>
      <c r="M5857" s="8" t="s">
        <v>22477</v>
      </c>
      <c r="N5857" s="8" t="s">
        <v>26093</v>
      </c>
      <c r="O5857" s="8">
        <f>15+7/60+20.3/3600</f>
        <v>15.122305555555556</v>
      </c>
      <c r="P5857" s="8" t="s">
        <v>26094</v>
      </c>
      <c r="Q5857" s="8">
        <f>+(18+26/60+32/3600)</f>
        <v>18.442222222222224</v>
      </c>
      <c r="R5857" s="8">
        <v>99</v>
      </c>
      <c r="S5857" s="8">
        <v>6</v>
      </c>
      <c r="T5857" s="8">
        <v>99</v>
      </c>
      <c r="U5857" s="8">
        <v>99</v>
      </c>
      <c r="Y5857" s="8" t="s">
        <v>26095</v>
      </c>
      <c r="Z5857" s="8" t="s">
        <v>26096</v>
      </c>
    </row>
    <row r="5858" spans="1:26" x14ac:dyDescent="0.2">
      <c r="A5858" s="8">
        <v>5857</v>
      </c>
      <c r="B5858" s="8" t="s">
        <v>26097</v>
      </c>
      <c r="C5858" s="8" t="s">
        <v>26097</v>
      </c>
      <c r="F5858" s="47" t="s">
        <v>58062</v>
      </c>
      <c r="G5858" s="8">
        <v>15</v>
      </c>
      <c r="H5858" s="8" t="s">
        <v>21</v>
      </c>
      <c r="I5858" s="8" t="s">
        <v>22</v>
      </c>
      <c r="J5858" s="8" t="s">
        <v>22</v>
      </c>
      <c r="K5858" s="8" t="s">
        <v>218</v>
      </c>
      <c r="L5858" s="8" t="s">
        <v>22476</v>
      </c>
      <c r="M5858" s="8" t="s">
        <v>22477</v>
      </c>
      <c r="N5858" s="8" t="s">
        <v>26098</v>
      </c>
      <c r="O5858" s="8">
        <f>15+7/60+27.3/3600</f>
        <v>15.12425</v>
      </c>
      <c r="P5858" s="8" t="s">
        <v>26099</v>
      </c>
      <c r="Q5858" s="8">
        <f>+(19+35/60+54/3600)</f>
        <v>19.598333333333333</v>
      </c>
      <c r="R5858" s="8">
        <v>13.1</v>
      </c>
      <c r="S5858" s="8">
        <v>13.9</v>
      </c>
      <c r="T5858" s="8">
        <v>0.8</v>
      </c>
      <c r="U5858" s="8">
        <v>12.6</v>
      </c>
      <c r="V5858" s="8">
        <v>1.2</v>
      </c>
      <c r="W5858" s="8">
        <v>0.6</v>
      </c>
      <c r="X5858" s="8">
        <v>137</v>
      </c>
      <c r="Y5858" s="8" t="s">
        <v>26100</v>
      </c>
      <c r="Z5858" s="8" t="s">
        <v>26101</v>
      </c>
    </row>
    <row r="5859" spans="1:26" x14ac:dyDescent="0.2">
      <c r="A5859" s="8">
        <v>5858</v>
      </c>
      <c r="B5859" s="8" t="s">
        <v>26102</v>
      </c>
      <c r="C5859" s="8" t="s">
        <v>26102</v>
      </c>
      <c r="F5859" s="47"/>
      <c r="G5859" s="8">
        <v>19</v>
      </c>
      <c r="H5859" s="8" t="s">
        <v>21</v>
      </c>
      <c r="I5859" s="8" t="s">
        <v>22</v>
      </c>
      <c r="J5859" s="8" t="s">
        <v>22</v>
      </c>
      <c r="K5859" s="8" t="s">
        <v>3850</v>
      </c>
      <c r="L5859" s="8" t="s">
        <v>24948</v>
      </c>
      <c r="M5859" s="8" t="s">
        <v>24949</v>
      </c>
      <c r="N5859" s="8" t="s">
        <v>26103</v>
      </c>
      <c r="O5859" s="8">
        <f>15+8/60+49.1/3600</f>
        <v>15.146972222222221</v>
      </c>
      <c r="P5859" s="8" t="s">
        <v>15432</v>
      </c>
      <c r="Q5859" s="8">
        <f>-(11+12/60+29/3600)</f>
        <v>-11.208055555555555</v>
      </c>
      <c r="R5859" s="8">
        <v>12.4</v>
      </c>
      <c r="S5859" s="8">
        <v>13.4</v>
      </c>
      <c r="T5859" s="8">
        <v>1</v>
      </c>
      <c r="U5859" s="8">
        <v>12.4</v>
      </c>
      <c r="V5859" s="8">
        <v>1.5</v>
      </c>
      <c r="W5859" s="8">
        <v>0.7</v>
      </c>
      <c r="X5859" s="8">
        <v>135</v>
      </c>
      <c r="Y5859" s="8" t="s">
        <v>26104</v>
      </c>
      <c r="Z5859" s="8" t="s">
        <v>26105</v>
      </c>
    </row>
    <row r="5860" spans="1:26" x14ac:dyDescent="0.2">
      <c r="A5860" s="8">
        <v>5859</v>
      </c>
      <c r="B5860" s="8" t="s">
        <v>26106</v>
      </c>
      <c r="C5860" s="8" t="s">
        <v>26106</v>
      </c>
      <c r="F5860" s="47" t="s">
        <v>58063</v>
      </c>
      <c r="G5860" s="8">
        <v>15</v>
      </c>
      <c r="H5860" s="8" t="s">
        <v>21</v>
      </c>
      <c r="I5860" s="8" t="s">
        <v>22</v>
      </c>
      <c r="J5860" s="8" t="s">
        <v>22</v>
      </c>
      <c r="K5860" s="8" t="s">
        <v>85</v>
      </c>
      <c r="L5860" s="8" t="s">
        <v>22476</v>
      </c>
      <c r="M5860" s="8" t="s">
        <v>22477</v>
      </c>
      <c r="N5860" s="8" t="s">
        <v>26107</v>
      </c>
      <c r="O5860" s="8">
        <f>15+7/60+34.9/3600</f>
        <v>15.126361111111111</v>
      </c>
      <c r="P5860" s="8" t="s">
        <v>26108</v>
      </c>
      <c r="Q5860" s="8">
        <f>+(19+34/60+55/3600)</f>
        <v>19.581944444444446</v>
      </c>
      <c r="R5860" s="8">
        <v>12.5</v>
      </c>
      <c r="S5860" s="8">
        <v>13.3</v>
      </c>
      <c r="T5860" s="8">
        <v>0.8</v>
      </c>
      <c r="U5860" s="8">
        <v>13.4</v>
      </c>
      <c r="V5860" s="8">
        <v>3</v>
      </c>
      <c r="W5860" s="8">
        <v>0.8</v>
      </c>
      <c r="X5860" s="8">
        <v>136</v>
      </c>
      <c r="Y5860" s="8" t="s">
        <v>26109</v>
      </c>
      <c r="Z5860" s="8" t="s">
        <v>26110</v>
      </c>
    </row>
    <row r="5861" spans="1:26" x14ac:dyDescent="0.2">
      <c r="A5861" s="8">
        <v>5860</v>
      </c>
      <c r="B5861" s="8" t="s">
        <v>26111</v>
      </c>
      <c r="C5861" s="8" t="s">
        <v>26111</v>
      </c>
      <c r="F5861" s="47"/>
      <c r="G5861" s="8">
        <v>16</v>
      </c>
      <c r="H5861" s="8" t="s">
        <v>21</v>
      </c>
      <c r="I5861" s="8" t="s">
        <v>22</v>
      </c>
      <c r="J5861" s="8" t="s">
        <v>22</v>
      </c>
      <c r="K5861" s="8" t="s">
        <v>26112</v>
      </c>
      <c r="L5861" s="8" t="s">
        <v>22476</v>
      </c>
      <c r="M5861" s="8" t="s">
        <v>22477</v>
      </c>
      <c r="N5861" s="8" t="s">
        <v>25966</v>
      </c>
      <c r="O5861" s="8">
        <f>15+6/60+33.7/3600</f>
        <v>15.109361111111111</v>
      </c>
      <c r="P5861" s="8" t="s">
        <v>26113</v>
      </c>
      <c r="Q5861" s="8">
        <f>+(42+38/60+31/3600)</f>
        <v>42.641944444444441</v>
      </c>
      <c r="R5861" s="8">
        <v>13.2</v>
      </c>
      <c r="S5861" s="8">
        <v>14.2</v>
      </c>
      <c r="T5861" s="8">
        <v>1</v>
      </c>
      <c r="U5861" s="8">
        <v>12.6</v>
      </c>
      <c r="V5861" s="8">
        <v>0.9</v>
      </c>
      <c r="W5861" s="8">
        <v>0.7</v>
      </c>
      <c r="X5861" s="8">
        <v>30</v>
      </c>
      <c r="Y5861" s="8" t="s">
        <v>446</v>
      </c>
      <c r="Z5861" s="8" t="s">
        <v>447</v>
      </c>
    </row>
    <row r="5862" spans="1:26" x14ac:dyDescent="0.2">
      <c r="A5862" s="8">
        <v>5861</v>
      </c>
      <c r="B5862" s="8" t="s">
        <v>26114</v>
      </c>
      <c r="C5862" s="8" t="s">
        <v>26114</v>
      </c>
      <c r="F5862" s="47" t="s">
        <v>58064</v>
      </c>
      <c r="G5862" s="8">
        <v>6.5</v>
      </c>
      <c r="H5862" s="8" t="s">
        <v>21</v>
      </c>
      <c r="I5862" s="8" t="s">
        <v>22</v>
      </c>
      <c r="J5862" s="8" t="s">
        <v>22</v>
      </c>
      <c r="K5862" s="8" t="s">
        <v>64</v>
      </c>
      <c r="L5862" s="8" t="s">
        <v>24948</v>
      </c>
      <c r="M5862" s="8" t="s">
        <v>24949</v>
      </c>
      <c r="N5862" s="8" t="s">
        <v>26115</v>
      </c>
      <c r="O5862" s="8">
        <f>15+9/60+16.2/3600</f>
        <v>15.154500000000001</v>
      </c>
      <c r="P5862" s="8" t="s">
        <v>26116</v>
      </c>
      <c r="Q5862" s="8">
        <f>-(11+19/60+20/3600)</f>
        <v>-11.322222222222223</v>
      </c>
      <c r="R5862" s="8">
        <v>11.6</v>
      </c>
      <c r="S5862" s="8">
        <v>12.3</v>
      </c>
      <c r="T5862" s="8">
        <v>0.7</v>
      </c>
      <c r="U5862" s="8">
        <v>13.2</v>
      </c>
      <c r="V5862" s="8">
        <v>3</v>
      </c>
      <c r="W5862" s="8">
        <v>1.7</v>
      </c>
      <c r="X5862" s="8">
        <v>155</v>
      </c>
      <c r="Y5862" s="8" t="s">
        <v>26117</v>
      </c>
      <c r="Z5862" s="8" t="s">
        <v>26118</v>
      </c>
    </row>
    <row r="5863" spans="1:26" x14ac:dyDescent="0.2">
      <c r="A5863" s="8">
        <v>5862</v>
      </c>
      <c r="B5863" s="8" t="s">
        <v>26119</v>
      </c>
      <c r="C5863" s="8" t="s">
        <v>26119</v>
      </c>
      <c r="F5863" s="47"/>
      <c r="G5863" s="8">
        <v>19</v>
      </c>
      <c r="H5863" s="8" t="s">
        <v>21</v>
      </c>
      <c r="I5863" s="8" t="s">
        <v>22</v>
      </c>
      <c r="J5863" s="8" t="s">
        <v>22</v>
      </c>
      <c r="K5863" s="8" t="s">
        <v>424</v>
      </c>
      <c r="L5863" s="8" t="s">
        <v>13395</v>
      </c>
      <c r="M5863" s="8" t="s">
        <v>13396</v>
      </c>
      <c r="N5863" s="8" t="s">
        <v>26120</v>
      </c>
      <c r="O5863" s="8">
        <f>15+6/60+3.2/3600</f>
        <v>15.100888888888889</v>
      </c>
      <c r="P5863" s="8" t="s">
        <v>26121</v>
      </c>
      <c r="Q5863" s="8">
        <f>+(55+34/60+28/3600)</f>
        <v>55.574444444444445</v>
      </c>
      <c r="R5863" s="8">
        <v>14.8</v>
      </c>
      <c r="S5863" s="8">
        <v>15.8</v>
      </c>
      <c r="T5863" s="8">
        <v>1</v>
      </c>
      <c r="U5863" s="8">
        <v>13.1</v>
      </c>
      <c r="V5863" s="8">
        <v>0.5</v>
      </c>
      <c r="W5863" s="8">
        <v>0.5</v>
      </c>
      <c r="Y5863" s="8" t="s">
        <v>4095</v>
      </c>
      <c r="Z5863" s="8" t="s">
        <v>4096</v>
      </c>
    </row>
    <row r="5864" spans="1:26" x14ac:dyDescent="0.2">
      <c r="A5864" s="8">
        <v>5863</v>
      </c>
      <c r="B5864" s="8" t="s">
        <v>26122</v>
      </c>
      <c r="C5864" s="8" t="s">
        <v>26122</v>
      </c>
      <c r="F5864" s="47"/>
      <c r="G5864" s="8">
        <v>19</v>
      </c>
      <c r="H5864" s="8" t="s">
        <v>21</v>
      </c>
      <c r="I5864" s="8" t="s">
        <v>22</v>
      </c>
      <c r="J5864" s="8" t="s">
        <v>22</v>
      </c>
      <c r="K5864" s="8" t="s">
        <v>154</v>
      </c>
      <c r="L5864" s="8" t="s">
        <v>24948</v>
      </c>
      <c r="M5864" s="8" t="s">
        <v>24949</v>
      </c>
      <c r="N5864" s="8" t="s">
        <v>26123</v>
      </c>
      <c r="O5864" s="8">
        <f>15+10/60+48.3/3600</f>
        <v>15.180083333333332</v>
      </c>
      <c r="P5864" s="8" t="s">
        <v>26124</v>
      </c>
      <c r="Q5864" s="8">
        <f>-(18+25/60+52/3600)</f>
        <v>-18.431111111111111</v>
      </c>
      <c r="R5864" s="8">
        <v>12.9</v>
      </c>
      <c r="S5864" s="8">
        <v>13.8</v>
      </c>
      <c r="T5864" s="8">
        <v>0.9</v>
      </c>
      <c r="U5864" s="8">
        <v>12.9</v>
      </c>
      <c r="V5864" s="8">
        <v>1.4</v>
      </c>
      <c r="W5864" s="8">
        <v>1.2</v>
      </c>
      <c r="X5864" s="8">
        <v>30</v>
      </c>
      <c r="Y5864" s="8" t="s">
        <v>26125</v>
      </c>
      <c r="Z5864" s="8" t="s">
        <v>26126</v>
      </c>
    </row>
    <row r="5865" spans="1:26" x14ac:dyDescent="0.2">
      <c r="A5865" s="8">
        <v>5864</v>
      </c>
      <c r="B5865" s="8" t="s">
        <v>26127</v>
      </c>
      <c r="C5865" s="8" t="s">
        <v>26127</v>
      </c>
      <c r="F5865" s="47" t="s">
        <v>58065</v>
      </c>
      <c r="G5865" s="8">
        <v>6.5</v>
      </c>
      <c r="H5865" s="8" t="s">
        <v>21</v>
      </c>
      <c r="I5865" s="8" t="s">
        <v>22</v>
      </c>
      <c r="J5865" s="8" t="s">
        <v>22</v>
      </c>
      <c r="K5865" s="8" t="s">
        <v>224</v>
      </c>
      <c r="L5865" s="8" t="s">
        <v>17287</v>
      </c>
      <c r="M5865" s="8" t="s">
        <v>17288</v>
      </c>
      <c r="N5865" s="8" t="s">
        <v>26128</v>
      </c>
      <c r="O5865" s="8">
        <f>15+9/60+33.5/3600</f>
        <v>15.159305555555555</v>
      </c>
      <c r="P5865" s="8" t="s">
        <v>26129</v>
      </c>
      <c r="Q5865" s="8">
        <f>+(3+3/60+12/3600)</f>
        <v>3.0533333333333332</v>
      </c>
      <c r="R5865" s="8">
        <v>11.8</v>
      </c>
      <c r="S5865" s="8">
        <v>12.8</v>
      </c>
      <c r="T5865" s="8">
        <v>1</v>
      </c>
      <c r="U5865" s="8">
        <v>12.6</v>
      </c>
      <c r="V5865" s="8">
        <v>2.8</v>
      </c>
      <c r="W5865" s="8">
        <v>0.9</v>
      </c>
      <c r="X5865" s="8">
        <v>68</v>
      </c>
      <c r="Y5865" s="8" t="s">
        <v>26130</v>
      </c>
      <c r="Z5865" s="8" t="s">
        <v>26131</v>
      </c>
    </row>
    <row r="5866" spans="1:26" x14ac:dyDescent="0.2">
      <c r="A5866" s="8">
        <v>5865</v>
      </c>
      <c r="B5866" s="8" t="s">
        <v>26132</v>
      </c>
      <c r="C5866" s="8" t="s">
        <v>26132</v>
      </c>
      <c r="F5866" s="47" t="s">
        <v>58066</v>
      </c>
      <c r="G5866" s="8">
        <v>15</v>
      </c>
      <c r="H5866" s="8" t="s">
        <v>21</v>
      </c>
      <c r="I5866" s="8" t="s">
        <v>22</v>
      </c>
      <c r="J5866" s="8" t="s">
        <v>22</v>
      </c>
      <c r="K5866" s="8" t="s">
        <v>58</v>
      </c>
      <c r="L5866" s="8" t="s">
        <v>17287</v>
      </c>
      <c r="M5866" s="8" t="s">
        <v>17288</v>
      </c>
      <c r="N5866" s="8" t="s">
        <v>26133</v>
      </c>
      <c r="O5866" s="8">
        <f>15+9/60+49.1/3600</f>
        <v>15.163638888888888</v>
      </c>
      <c r="P5866" s="8" t="s">
        <v>26134</v>
      </c>
      <c r="Q5866" s="8">
        <f>+(0+31/60+49/3600)</f>
        <v>0.53027777777777785</v>
      </c>
      <c r="R5866" s="8">
        <v>13.4</v>
      </c>
      <c r="S5866" s="8">
        <v>14.4</v>
      </c>
      <c r="T5866" s="8">
        <v>1</v>
      </c>
      <c r="U5866" s="8">
        <v>13.2</v>
      </c>
      <c r="V5866" s="8">
        <v>1.1000000000000001</v>
      </c>
      <c r="W5866" s="8">
        <v>1</v>
      </c>
      <c r="X5866" s="8">
        <v>173</v>
      </c>
      <c r="Y5866" s="8" t="s">
        <v>26135</v>
      </c>
      <c r="Z5866" s="8" t="s">
        <v>26136</v>
      </c>
    </row>
    <row r="5867" spans="1:26" x14ac:dyDescent="0.2">
      <c r="A5867" s="8">
        <v>5866</v>
      </c>
      <c r="B5867" s="8" t="s">
        <v>26137</v>
      </c>
      <c r="C5867" s="8" t="s">
        <v>55924</v>
      </c>
      <c r="F5867" s="47" t="s">
        <v>58067</v>
      </c>
      <c r="G5867" s="8">
        <v>1</v>
      </c>
      <c r="H5867" s="8" t="s">
        <v>12400</v>
      </c>
      <c r="I5867" s="8" t="s">
        <v>22</v>
      </c>
      <c r="J5867" s="8" t="s">
        <v>22</v>
      </c>
      <c r="K5867" s="8" t="s">
        <v>632</v>
      </c>
      <c r="L5867" s="8" t="s">
        <v>13395</v>
      </c>
      <c r="M5867" s="8" t="s">
        <v>13396</v>
      </c>
      <c r="N5867" s="8" t="s">
        <v>26138</v>
      </c>
      <c r="O5867" s="8">
        <f>15+6/60+29.4/3600</f>
        <v>15.108166666666666</v>
      </c>
      <c r="P5867" s="8" t="s">
        <v>26139</v>
      </c>
      <c r="Q5867" s="8">
        <f>+(55+45/60+49/3600)</f>
        <v>55.763611111111111</v>
      </c>
      <c r="R5867" s="8">
        <v>9.9</v>
      </c>
      <c r="S5867" s="8">
        <v>10.7</v>
      </c>
      <c r="T5867" s="8">
        <v>0.8</v>
      </c>
      <c r="U5867" s="8">
        <v>12.2</v>
      </c>
      <c r="V5867" s="8">
        <v>6.5</v>
      </c>
      <c r="W5867" s="8">
        <v>3.1</v>
      </c>
      <c r="X5867" s="8">
        <v>128</v>
      </c>
      <c r="Y5867" s="8" t="s">
        <v>26140</v>
      </c>
      <c r="Z5867" s="8" t="s">
        <v>26141</v>
      </c>
    </row>
    <row r="5868" spans="1:26" x14ac:dyDescent="0.2">
      <c r="A5868" s="8">
        <v>5867</v>
      </c>
      <c r="B5868" s="8" t="s">
        <v>26142</v>
      </c>
      <c r="C5868" s="8" t="s">
        <v>26142</v>
      </c>
      <c r="F5868" s="47"/>
      <c r="G5868" s="8">
        <v>18</v>
      </c>
      <c r="H5868" s="8" t="s">
        <v>21</v>
      </c>
      <c r="I5868" s="8" t="s">
        <v>22</v>
      </c>
      <c r="J5868" s="8" t="s">
        <v>22</v>
      </c>
      <c r="K5868" s="8" t="s">
        <v>424</v>
      </c>
      <c r="L5868" s="8" t="s">
        <v>13395</v>
      </c>
      <c r="M5868" s="8" t="s">
        <v>13396</v>
      </c>
      <c r="N5868" s="8" t="s">
        <v>26143</v>
      </c>
      <c r="O5868" s="8">
        <f>15+6/60+24.3/3600</f>
        <v>15.10675</v>
      </c>
      <c r="P5868" s="8" t="s">
        <v>26144</v>
      </c>
      <c r="Q5868" s="8">
        <f>+(55+43/60+54/3600)</f>
        <v>55.731666666666669</v>
      </c>
      <c r="R5868" s="8">
        <v>15.5</v>
      </c>
      <c r="S5868" s="8">
        <v>16.5</v>
      </c>
      <c r="T5868" s="8">
        <v>1</v>
      </c>
      <c r="U5868" s="8">
        <v>11.9</v>
      </c>
      <c r="V5868" s="8">
        <v>0.2</v>
      </c>
      <c r="W5868" s="8">
        <v>0.2</v>
      </c>
      <c r="Y5868" s="8" t="s">
        <v>2287</v>
      </c>
      <c r="Z5868" s="8" t="s">
        <v>2288</v>
      </c>
    </row>
    <row r="5869" spans="1:26" x14ac:dyDescent="0.2">
      <c r="A5869" s="8">
        <v>5868</v>
      </c>
      <c r="B5869" s="8" t="s">
        <v>26145</v>
      </c>
      <c r="C5869" s="8" t="s">
        <v>26145</v>
      </c>
      <c r="F5869" s="47"/>
      <c r="G5869" s="8">
        <v>18</v>
      </c>
      <c r="H5869" s="8" t="s">
        <v>21</v>
      </c>
      <c r="I5869" s="8" t="s">
        <v>22</v>
      </c>
      <c r="J5869" s="8" t="s">
        <v>57</v>
      </c>
      <c r="K5869" s="8" t="s">
        <v>58</v>
      </c>
      <c r="L5869" s="8" t="s">
        <v>17287</v>
      </c>
      <c r="M5869" s="8" t="s">
        <v>17288</v>
      </c>
      <c r="N5869" s="8" t="s">
        <v>26133</v>
      </c>
      <c r="O5869" s="8">
        <f>15+9/60+49.1/3600</f>
        <v>15.163638888888888</v>
      </c>
      <c r="P5869" s="8" t="s">
        <v>26134</v>
      </c>
      <c r="Q5869" s="8">
        <f>+(0+31/60+49/3600)</f>
        <v>0.53027777777777785</v>
      </c>
      <c r="R5869" s="8">
        <v>13.4</v>
      </c>
      <c r="S5869" s="8">
        <v>14.4</v>
      </c>
      <c r="T5869" s="8">
        <v>1</v>
      </c>
      <c r="U5869" s="8">
        <v>13.2</v>
      </c>
      <c r="V5869" s="8">
        <v>1.1000000000000001</v>
      </c>
      <c r="W5869" s="8">
        <v>1</v>
      </c>
      <c r="X5869" s="8">
        <v>173</v>
      </c>
      <c r="Y5869" s="8" t="s">
        <v>26135</v>
      </c>
      <c r="Z5869" s="8" t="s">
        <v>26146</v>
      </c>
    </row>
    <row r="5870" spans="1:26" x14ac:dyDescent="0.2">
      <c r="A5870" s="8">
        <v>5869</v>
      </c>
      <c r="B5870" s="8" t="s">
        <v>26147</v>
      </c>
      <c r="C5870" s="8" t="s">
        <v>26147</v>
      </c>
      <c r="F5870" s="47" t="s">
        <v>58068</v>
      </c>
      <c r="G5870" s="8">
        <v>15</v>
      </c>
      <c r="H5870" s="8" t="s">
        <v>21</v>
      </c>
      <c r="I5870" s="8" t="s">
        <v>22</v>
      </c>
      <c r="J5870" s="8" t="s">
        <v>22</v>
      </c>
      <c r="K5870" s="8" t="s">
        <v>37</v>
      </c>
      <c r="L5870" s="8" t="s">
        <v>17287</v>
      </c>
      <c r="M5870" s="8" t="s">
        <v>17288</v>
      </c>
      <c r="N5870" s="8" t="s">
        <v>26148</v>
      </c>
      <c r="O5870" s="8">
        <f>15+9/60+49.4/3600</f>
        <v>15.163722222222223</v>
      </c>
      <c r="P5870" s="8" t="s">
        <v>26149</v>
      </c>
      <c r="Q5870" s="8">
        <f>+(0+28/60+13/3600)</f>
        <v>0.47027777777777779</v>
      </c>
      <c r="R5870" s="8">
        <v>11.9</v>
      </c>
      <c r="S5870" s="8">
        <v>12.9</v>
      </c>
      <c r="T5870" s="8">
        <v>1</v>
      </c>
      <c r="U5870" s="8">
        <v>13.2</v>
      </c>
      <c r="V5870" s="8">
        <v>2.2999999999999998</v>
      </c>
      <c r="W5870" s="8">
        <v>1.6</v>
      </c>
      <c r="X5870" s="8">
        <v>125</v>
      </c>
      <c r="Y5870" s="8" t="s">
        <v>22508</v>
      </c>
      <c r="Z5870" s="8" t="s">
        <v>22509</v>
      </c>
    </row>
    <row r="5871" spans="1:26" x14ac:dyDescent="0.2">
      <c r="A5871" s="8">
        <v>5870</v>
      </c>
      <c r="B5871" s="8" t="s">
        <v>26150</v>
      </c>
      <c r="C5871" s="8" t="s">
        <v>26150</v>
      </c>
      <c r="F5871" s="47"/>
      <c r="G5871" s="8">
        <v>19</v>
      </c>
      <c r="H5871" s="8" t="s">
        <v>21</v>
      </c>
      <c r="I5871" s="8" t="s">
        <v>22</v>
      </c>
      <c r="J5871" s="8" t="s">
        <v>57</v>
      </c>
      <c r="K5871" s="8" t="s">
        <v>37</v>
      </c>
      <c r="L5871" s="8" t="s">
        <v>13395</v>
      </c>
      <c r="M5871" s="8" t="s">
        <v>13396</v>
      </c>
      <c r="N5871" s="8" t="s">
        <v>25966</v>
      </c>
      <c r="O5871" s="8">
        <f>15+6/60+33.7/3600</f>
        <v>15.109361111111111</v>
      </c>
      <c r="P5871" s="8" t="s">
        <v>25967</v>
      </c>
      <c r="Q5871" s="8">
        <f>+(55+28/60+45/3600)</f>
        <v>55.479166666666671</v>
      </c>
      <c r="R5871" s="8">
        <v>14.4</v>
      </c>
      <c r="S5871" s="8">
        <v>15.4</v>
      </c>
      <c r="T5871" s="8">
        <v>1</v>
      </c>
      <c r="U5871" s="8">
        <v>14.4</v>
      </c>
      <c r="V5871" s="8">
        <v>1.2</v>
      </c>
      <c r="W5871" s="8">
        <v>0.9</v>
      </c>
      <c r="X5871" s="8">
        <v>25</v>
      </c>
      <c r="Y5871" s="8" t="s">
        <v>26151</v>
      </c>
      <c r="Z5871" s="8" t="s">
        <v>26152</v>
      </c>
    </row>
    <row r="5872" spans="1:26" x14ac:dyDescent="0.2">
      <c r="A5872" s="8">
        <v>5871</v>
      </c>
      <c r="B5872" s="8" t="s">
        <v>26153</v>
      </c>
      <c r="C5872" s="8" t="s">
        <v>26153</v>
      </c>
      <c r="F5872" s="47"/>
      <c r="G5872" s="8">
        <v>19</v>
      </c>
      <c r="H5872" s="8" t="s">
        <v>21</v>
      </c>
      <c r="I5872" s="8" t="s">
        <v>72</v>
      </c>
      <c r="J5872" s="8" t="s">
        <v>72</v>
      </c>
      <c r="K5872" s="8" t="s">
        <v>20</v>
      </c>
      <c r="L5872" s="8" t="s">
        <v>17287</v>
      </c>
      <c r="M5872" s="8" t="s">
        <v>17288</v>
      </c>
      <c r="N5872" s="8" t="s">
        <v>26154</v>
      </c>
      <c r="O5872" s="8">
        <f>15+10/60+4.8/3600</f>
        <v>15.167999999999999</v>
      </c>
      <c r="P5872" s="8" t="s">
        <v>26155</v>
      </c>
      <c r="Q5872" s="8">
        <f>+(0+29/60+51/3600)</f>
        <v>0.4975</v>
      </c>
      <c r="R5872" s="8">
        <v>99</v>
      </c>
      <c r="S5872" s="8">
        <v>99</v>
      </c>
      <c r="T5872" s="8">
        <v>99</v>
      </c>
      <c r="U5872" s="8">
        <v>99</v>
      </c>
      <c r="Y5872" s="8" t="s">
        <v>26156</v>
      </c>
      <c r="Z5872" s="8" t="s">
        <v>26157</v>
      </c>
    </row>
    <row r="5873" spans="1:26" x14ac:dyDescent="0.2">
      <c r="A5873" s="8">
        <v>5872</v>
      </c>
      <c r="B5873" s="8" t="s">
        <v>26158</v>
      </c>
      <c r="C5873" s="8" t="s">
        <v>26158</v>
      </c>
      <c r="F5873" s="47"/>
      <c r="G5873" s="8">
        <v>19</v>
      </c>
      <c r="H5873" s="8" t="s">
        <v>21</v>
      </c>
      <c r="I5873" s="8" t="s">
        <v>22</v>
      </c>
      <c r="J5873" s="8" t="s">
        <v>22</v>
      </c>
      <c r="K5873" s="8" t="s">
        <v>37</v>
      </c>
      <c r="L5873" s="8" t="s">
        <v>24948</v>
      </c>
      <c r="M5873" s="8" t="s">
        <v>24949</v>
      </c>
      <c r="N5873" s="8" t="s">
        <v>26159</v>
      </c>
      <c r="O5873" s="8">
        <f>15+10/60+55.6/3600</f>
        <v>15.18211111111111</v>
      </c>
      <c r="P5873" s="8" t="s">
        <v>26160</v>
      </c>
      <c r="Q5873" s="8">
        <f>-(11+28/60+46/3600)</f>
        <v>-11.479444444444445</v>
      </c>
      <c r="R5873" s="8">
        <v>12.6</v>
      </c>
      <c r="S5873" s="8">
        <v>13.6</v>
      </c>
      <c r="T5873" s="8">
        <v>1</v>
      </c>
      <c r="U5873" s="8">
        <v>12.8</v>
      </c>
      <c r="V5873" s="8">
        <v>1.5</v>
      </c>
      <c r="W5873" s="8">
        <v>0.9</v>
      </c>
      <c r="X5873" s="8">
        <v>5</v>
      </c>
      <c r="Y5873" s="8" t="s">
        <v>1695</v>
      </c>
      <c r="Z5873" s="8" t="s">
        <v>1695</v>
      </c>
    </row>
    <row r="5874" spans="1:26" x14ac:dyDescent="0.2">
      <c r="A5874" s="8">
        <v>5873</v>
      </c>
      <c r="B5874" s="8" t="s">
        <v>26161</v>
      </c>
      <c r="C5874" s="8" t="s">
        <v>26161</v>
      </c>
      <c r="F5874" s="47"/>
      <c r="G5874" s="8">
        <v>13</v>
      </c>
      <c r="H5874" s="8" t="s">
        <v>21</v>
      </c>
      <c r="I5874" s="8" t="s">
        <v>241</v>
      </c>
      <c r="J5874" s="8" t="s">
        <v>241</v>
      </c>
      <c r="K5874" s="8" t="s">
        <v>241</v>
      </c>
      <c r="L5874" s="8" t="s">
        <v>24674</v>
      </c>
      <c r="M5874" s="8" t="s">
        <v>24675</v>
      </c>
      <c r="N5874" s="8" t="s">
        <v>26162</v>
      </c>
      <c r="O5874" s="8">
        <f>15+12/60+50.7/3600</f>
        <v>15.214083333333333</v>
      </c>
      <c r="P5874" s="8" t="s">
        <v>26163</v>
      </c>
      <c r="Q5874" s="8">
        <f>-(38+7/60+31/3600)</f>
        <v>-38.125277777777775</v>
      </c>
      <c r="R5874" s="8">
        <v>11</v>
      </c>
      <c r="S5874" s="8">
        <v>13.3</v>
      </c>
      <c r="T5874" s="8">
        <v>99</v>
      </c>
      <c r="U5874" s="8">
        <v>99</v>
      </c>
      <c r="V5874" s="8">
        <v>0.22</v>
      </c>
      <c r="Y5874" s="8" t="s">
        <v>26164</v>
      </c>
      <c r="Z5874" s="8" t="s">
        <v>26165</v>
      </c>
    </row>
    <row r="5875" spans="1:26" x14ac:dyDescent="0.2">
      <c r="A5875" s="8">
        <v>5874</v>
      </c>
      <c r="B5875" s="8" t="s">
        <v>26166</v>
      </c>
      <c r="C5875" s="8" t="s">
        <v>26166</v>
      </c>
      <c r="F5875" s="47"/>
      <c r="G5875" s="8">
        <v>19</v>
      </c>
      <c r="H5875" s="8" t="s">
        <v>21</v>
      </c>
      <c r="I5875" s="8" t="s">
        <v>22</v>
      </c>
      <c r="J5875" s="8" t="s">
        <v>22</v>
      </c>
      <c r="K5875" s="8" t="s">
        <v>64</v>
      </c>
      <c r="L5875" s="8" t="s">
        <v>22476</v>
      </c>
      <c r="M5875" s="8" t="s">
        <v>22477</v>
      </c>
      <c r="N5875" s="8" t="s">
        <v>26167</v>
      </c>
      <c r="O5875" s="8">
        <f>15+7/60+51.9/3600</f>
        <v>15.131083333333335</v>
      </c>
      <c r="P5875" s="8" t="s">
        <v>26168</v>
      </c>
      <c r="Q5875" s="8">
        <f>+(54+45/60+10/3600)</f>
        <v>54.75277777777778</v>
      </c>
      <c r="R5875" s="8">
        <v>12.5</v>
      </c>
      <c r="S5875" s="8">
        <v>13.1</v>
      </c>
      <c r="T5875" s="8">
        <v>0.6</v>
      </c>
      <c r="U5875" s="8">
        <v>13.7</v>
      </c>
      <c r="V5875" s="8">
        <v>2.2999999999999998</v>
      </c>
      <c r="W5875" s="8">
        <v>1.6</v>
      </c>
      <c r="X5875" s="8">
        <v>53</v>
      </c>
      <c r="Y5875" s="8" t="s">
        <v>26169</v>
      </c>
      <c r="Z5875" s="8" t="s">
        <v>26170</v>
      </c>
    </row>
    <row r="5876" spans="1:26" x14ac:dyDescent="0.2">
      <c r="A5876" s="8">
        <v>5875</v>
      </c>
      <c r="B5876" s="8" t="s">
        <v>26171</v>
      </c>
      <c r="C5876" s="8" t="s">
        <v>26171</v>
      </c>
      <c r="F5876" s="47" t="s">
        <v>58069</v>
      </c>
      <c r="G5876" s="8">
        <v>15</v>
      </c>
      <c r="H5876" s="8" t="s">
        <v>21</v>
      </c>
      <c r="I5876" s="8" t="s">
        <v>22</v>
      </c>
      <c r="J5876" s="8" t="s">
        <v>22</v>
      </c>
      <c r="K5876" s="8" t="s">
        <v>23</v>
      </c>
      <c r="L5876" s="8" t="s">
        <v>22476</v>
      </c>
      <c r="M5876" s="8" t="s">
        <v>22477</v>
      </c>
      <c r="N5876" s="8" t="s">
        <v>26172</v>
      </c>
      <c r="O5876" s="8">
        <f>15+9/60+13.1/3600</f>
        <v>15.153638888888889</v>
      </c>
      <c r="P5876" s="8" t="s">
        <v>26173</v>
      </c>
      <c r="Q5876" s="8">
        <f>+(52+31/60+41/3600)</f>
        <v>52.528055555555554</v>
      </c>
      <c r="R5876" s="8">
        <v>12.4</v>
      </c>
      <c r="S5876" s="8">
        <v>13.2</v>
      </c>
      <c r="T5876" s="8">
        <v>0.8</v>
      </c>
      <c r="U5876" s="8">
        <v>13.5</v>
      </c>
      <c r="V5876" s="8">
        <v>2.2999999999999998</v>
      </c>
      <c r="W5876" s="8">
        <v>1.2</v>
      </c>
      <c r="X5876" s="8">
        <v>145</v>
      </c>
      <c r="Y5876" s="8" t="s">
        <v>26174</v>
      </c>
      <c r="Z5876" s="8" t="s">
        <v>26175</v>
      </c>
    </row>
    <row r="5877" spans="1:26" x14ac:dyDescent="0.2">
      <c r="A5877" s="8">
        <v>5876</v>
      </c>
      <c r="B5877" s="8" t="s">
        <v>26176</v>
      </c>
      <c r="C5877" s="8" t="s">
        <v>26176</v>
      </c>
      <c r="F5877" s="47"/>
      <c r="G5877" s="8">
        <v>19</v>
      </c>
      <c r="H5877" s="8" t="s">
        <v>21</v>
      </c>
      <c r="I5877" s="8" t="s">
        <v>22</v>
      </c>
      <c r="J5877" s="8" t="s">
        <v>22</v>
      </c>
      <c r="K5877" s="8" t="s">
        <v>406</v>
      </c>
      <c r="L5877" s="8" t="s">
        <v>22476</v>
      </c>
      <c r="M5877" s="8" t="s">
        <v>22477</v>
      </c>
      <c r="N5877" s="8" t="s">
        <v>26177</v>
      </c>
      <c r="O5877" s="8">
        <f>15+9/60+31.4/3600</f>
        <v>15.158722222222222</v>
      </c>
      <c r="P5877" s="8" t="s">
        <v>26178</v>
      </c>
      <c r="Q5877" s="8">
        <f>+(54+30/60+23/3600)</f>
        <v>54.506388888888885</v>
      </c>
      <c r="R5877" s="8">
        <v>12.7</v>
      </c>
      <c r="S5877" s="8">
        <v>13.5</v>
      </c>
      <c r="T5877" s="8">
        <v>0.8</v>
      </c>
      <c r="U5877" s="8">
        <v>13.7</v>
      </c>
      <c r="V5877" s="8">
        <v>2.4</v>
      </c>
      <c r="W5877" s="8">
        <v>1.2</v>
      </c>
      <c r="X5877" s="8">
        <v>50</v>
      </c>
      <c r="Y5877" s="8" t="s">
        <v>232</v>
      </c>
      <c r="Z5877" s="8" t="s">
        <v>233</v>
      </c>
    </row>
    <row r="5878" spans="1:26" x14ac:dyDescent="0.2">
      <c r="A5878" s="8">
        <v>5877</v>
      </c>
      <c r="B5878" s="8" t="s">
        <v>26179</v>
      </c>
      <c r="C5878" s="8" t="s">
        <v>26179</v>
      </c>
      <c r="F5878" s="47"/>
      <c r="G5878" s="8">
        <v>18</v>
      </c>
      <c r="H5878" s="8" t="s">
        <v>21</v>
      </c>
      <c r="I5878" s="8" t="s">
        <v>72</v>
      </c>
      <c r="J5878" s="8" t="s">
        <v>72</v>
      </c>
      <c r="K5878" s="8" t="s">
        <v>1802</v>
      </c>
      <c r="L5878" s="8" t="s">
        <v>24948</v>
      </c>
      <c r="M5878" s="8" t="s">
        <v>24949</v>
      </c>
      <c r="N5878" s="8" t="s">
        <v>26180</v>
      </c>
      <c r="O5878" s="8">
        <f>15+12/60+53.1/3600</f>
        <v>15.214749999999999</v>
      </c>
      <c r="P5878" s="8" t="s">
        <v>26181</v>
      </c>
      <c r="Q5878" s="8">
        <f>-(4+55/60+27/3600)</f>
        <v>-4.9241666666666672</v>
      </c>
      <c r="R5878" s="8">
        <v>99</v>
      </c>
      <c r="S5878" s="8">
        <v>99</v>
      </c>
      <c r="T5878" s="8">
        <v>99</v>
      </c>
      <c r="U5878" s="8">
        <v>99</v>
      </c>
      <c r="Y5878" s="8" t="s">
        <v>26182</v>
      </c>
      <c r="Z5878" s="8" t="s">
        <v>26183</v>
      </c>
    </row>
    <row r="5879" spans="1:26" x14ac:dyDescent="0.2">
      <c r="A5879" s="8">
        <v>5878</v>
      </c>
      <c r="B5879" s="8" t="s">
        <v>26184</v>
      </c>
      <c r="C5879" s="8" t="s">
        <v>26184</v>
      </c>
      <c r="F5879" s="47" t="s">
        <v>58070</v>
      </c>
      <c r="G5879" s="8">
        <v>6.5</v>
      </c>
      <c r="H5879" s="8" t="s">
        <v>21</v>
      </c>
      <c r="I5879" s="8" t="s">
        <v>22</v>
      </c>
      <c r="J5879" s="8" t="s">
        <v>22</v>
      </c>
      <c r="K5879" s="8" t="s">
        <v>23</v>
      </c>
      <c r="L5879" s="8" t="s">
        <v>24948</v>
      </c>
      <c r="M5879" s="8" t="s">
        <v>24949</v>
      </c>
      <c r="N5879" s="8" t="s">
        <v>26185</v>
      </c>
      <c r="O5879" s="8">
        <f>15+13/60+45.7/3600</f>
        <v>15.22936111111111</v>
      </c>
      <c r="P5879" s="8" t="s">
        <v>26186</v>
      </c>
      <c r="Q5879" s="8">
        <f>-(14+16/60+13/3600)</f>
        <v>-14.270277777777778</v>
      </c>
      <c r="R5879" s="8">
        <v>11.5</v>
      </c>
      <c r="S5879" s="8">
        <v>12.4</v>
      </c>
      <c r="T5879" s="8">
        <v>0.9</v>
      </c>
      <c r="U5879" s="8">
        <v>13.1</v>
      </c>
      <c r="V5879" s="8">
        <v>3.5</v>
      </c>
      <c r="W5879" s="8">
        <v>1.4</v>
      </c>
      <c r="X5879" s="8">
        <v>0</v>
      </c>
      <c r="Y5879" s="8" t="s">
        <v>26187</v>
      </c>
      <c r="Z5879" s="8" t="s">
        <v>26188</v>
      </c>
    </row>
    <row r="5880" spans="1:26" x14ac:dyDescent="0.2">
      <c r="A5880" s="8">
        <v>5879</v>
      </c>
      <c r="B5880" s="8" t="s">
        <v>26189</v>
      </c>
      <c r="C5880" s="8" t="s">
        <v>26189</v>
      </c>
      <c r="F5880" s="47" t="s">
        <v>58071</v>
      </c>
      <c r="G5880" s="8">
        <v>6.5</v>
      </c>
      <c r="H5880" s="8" t="s">
        <v>21</v>
      </c>
      <c r="I5880" s="8" t="s">
        <v>22</v>
      </c>
      <c r="J5880" s="8" t="s">
        <v>22</v>
      </c>
      <c r="K5880" s="8" t="s">
        <v>396</v>
      </c>
      <c r="L5880" s="8" t="s">
        <v>13395</v>
      </c>
      <c r="M5880" s="8" t="s">
        <v>13396</v>
      </c>
      <c r="N5880" s="8" t="s">
        <v>26190</v>
      </c>
      <c r="O5880" s="8">
        <f>15+9/60+46.8/3600</f>
        <v>15.163</v>
      </c>
      <c r="P5880" s="8" t="s">
        <v>26191</v>
      </c>
      <c r="Q5880" s="8">
        <f>+(57+0/60+2/3600)</f>
        <v>57.000555555555557</v>
      </c>
      <c r="R5880" s="8">
        <v>11.6</v>
      </c>
      <c r="S5880" s="8">
        <v>12.2</v>
      </c>
      <c r="T5880" s="8">
        <v>0.6</v>
      </c>
      <c r="U5880" s="8">
        <v>13.3</v>
      </c>
      <c r="V5880" s="8">
        <v>4.2</v>
      </c>
      <c r="W5880" s="8">
        <v>1.3</v>
      </c>
      <c r="X5880" s="8">
        <v>6</v>
      </c>
      <c r="Y5880" s="8" t="s">
        <v>26192</v>
      </c>
      <c r="Z5880" s="8" t="s">
        <v>26193</v>
      </c>
    </row>
    <row r="5881" spans="1:26" x14ac:dyDescent="0.2">
      <c r="A5881" s="8">
        <v>5880</v>
      </c>
      <c r="B5881" s="8" t="s">
        <v>26194</v>
      </c>
      <c r="C5881" s="8" t="s">
        <v>26194</v>
      </c>
      <c r="F5881" s="47"/>
      <c r="G5881" s="8">
        <v>19</v>
      </c>
      <c r="H5881" s="8" t="s">
        <v>21</v>
      </c>
      <c r="I5881" s="8" t="s">
        <v>22</v>
      </c>
      <c r="J5881" s="8" t="s">
        <v>22</v>
      </c>
      <c r="K5881" s="8" t="s">
        <v>37</v>
      </c>
      <c r="L5881" s="8" t="s">
        <v>24948</v>
      </c>
      <c r="M5881" s="8" t="s">
        <v>24949</v>
      </c>
      <c r="N5881" s="8" t="s">
        <v>26195</v>
      </c>
      <c r="O5881" s="8">
        <f>15+15/60+1/3600</f>
        <v>15.250277777777777</v>
      </c>
      <c r="P5881" s="8" t="s">
        <v>26196</v>
      </c>
      <c r="Q5881" s="8">
        <f>-(14+34/60+42/3600)</f>
        <v>-14.578333333333333</v>
      </c>
      <c r="R5881" s="8">
        <v>14.1</v>
      </c>
      <c r="S5881" s="8">
        <v>15.1</v>
      </c>
      <c r="T5881" s="8">
        <v>1</v>
      </c>
      <c r="U5881" s="8">
        <v>13.2</v>
      </c>
      <c r="V5881" s="8">
        <v>0.7</v>
      </c>
      <c r="W5881" s="8">
        <v>0.6</v>
      </c>
      <c r="X5881" s="8">
        <v>135</v>
      </c>
      <c r="Y5881" s="8" t="s">
        <v>26197</v>
      </c>
      <c r="Z5881" s="8" t="s">
        <v>26198</v>
      </c>
    </row>
    <row r="5882" spans="1:26" x14ac:dyDescent="0.2">
      <c r="A5882" s="8">
        <v>5881</v>
      </c>
      <c r="B5882" s="8" t="s">
        <v>26199</v>
      </c>
      <c r="C5882" s="8" t="s">
        <v>26199</v>
      </c>
      <c r="F5882" s="47" t="s">
        <v>58072</v>
      </c>
      <c r="G5882" s="8">
        <v>15</v>
      </c>
      <c r="H5882" s="8" t="s">
        <v>21</v>
      </c>
      <c r="I5882" s="8" t="s">
        <v>22</v>
      </c>
      <c r="J5882" s="8" t="s">
        <v>22</v>
      </c>
      <c r="K5882" s="8" t="s">
        <v>476</v>
      </c>
      <c r="L5882" s="8" t="s">
        <v>13395</v>
      </c>
      <c r="M5882" s="8" t="s">
        <v>13396</v>
      </c>
      <c r="N5882" s="8" t="s">
        <v>26200</v>
      </c>
      <c r="O5882" s="8">
        <f>15+6/60+20.6/3600</f>
        <v>15.105722222222221</v>
      </c>
      <c r="P5882" s="8" t="s">
        <v>26201</v>
      </c>
      <c r="Q5882" s="8">
        <f>+(62+58/60+50/3600)</f>
        <v>62.980555555555554</v>
      </c>
      <c r="R5882" s="8">
        <v>13.4</v>
      </c>
      <c r="S5882" s="8">
        <v>14.3</v>
      </c>
      <c r="T5882" s="8">
        <v>0.9</v>
      </c>
      <c r="U5882" s="8">
        <v>12.6</v>
      </c>
      <c r="V5882" s="8">
        <v>0.8</v>
      </c>
      <c r="W5882" s="8">
        <v>0.7</v>
      </c>
      <c r="X5882" s="8">
        <v>60</v>
      </c>
      <c r="Y5882" s="8" t="s">
        <v>26202</v>
      </c>
      <c r="Z5882" s="8" t="s">
        <v>26203</v>
      </c>
    </row>
    <row r="5883" spans="1:26" x14ac:dyDescent="0.2">
      <c r="A5883" s="8">
        <v>5882</v>
      </c>
      <c r="B5883" s="8" t="s">
        <v>26204</v>
      </c>
      <c r="C5883" s="8" t="s">
        <v>26204</v>
      </c>
      <c r="F5883" s="47"/>
      <c r="G5883" s="8">
        <v>10</v>
      </c>
      <c r="H5883" s="8" t="s">
        <v>26205</v>
      </c>
      <c r="I5883" s="8" t="s">
        <v>241</v>
      </c>
      <c r="J5883" s="8" t="s">
        <v>241</v>
      </c>
      <c r="K5883" s="8" t="s">
        <v>241</v>
      </c>
      <c r="L5883" s="8" t="s">
        <v>24674</v>
      </c>
      <c r="M5883" s="8" t="s">
        <v>24675</v>
      </c>
      <c r="N5883" s="8" t="s">
        <v>26206</v>
      </c>
      <c r="O5883" s="8">
        <f>15+16/60+50/3600</f>
        <v>15.280555555555557</v>
      </c>
      <c r="P5883" s="8" t="s">
        <v>26207</v>
      </c>
      <c r="Q5883" s="8">
        <f>-(45+38/60+56/3600)</f>
        <v>-45.648888888888891</v>
      </c>
      <c r="R5883" s="8">
        <v>9.4</v>
      </c>
      <c r="S5883" s="8">
        <v>10.5</v>
      </c>
      <c r="T5883" s="8">
        <v>99</v>
      </c>
      <c r="U5883" s="8">
        <v>99</v>
      </c>
      <c r="V5883" s="8">
        <v>0.33</v>
      </c>
      <c r="Y5883" s="8" t="s">
        <v>26208</v>
      </c>
      <c r="Z5883" s="8" t="s">
        <v>26209</v>
      </c>
    </row>
    <row r="5884" spans="1:26" x14ac:dyDescent="0.2">
      <c r="A5884" s="8">
        <v>5883</v>
      </c>
      <c r="B5884" s="8" t="s">
        <v>26210</v>
      </c>
      <c r="C5884" s="8" t="s">
        <v>26210</v>
      </c>
      <c r="F5884" s="47"/>
      <c r="G5884" s="8">
        <v>19</v>
      </c>
      <c r="H5884" s="8" t="s">
        <v>21</v>
      </c>
      <c r="I5884" s="8" t="s">
        <v>22</v>
      </c>
      <c r="J5884" s="8" t="s">
        <v>22</v>
      </c>
      <c r="K5884" s="8" t="s">
        <v>37</v>
      </c>
      <c r="L5884" s="8" t="s">
        <v>24948</v>
      </c>
      <c r="M5884" s="8" t="s">
        <v>24949</v>
      </c>
      <c r="N5884" s="8" t="s">
        <v>26211</v>
      </c>
      <c r="O5884" s="8">
        <f>15+15/60+10.1/3600</f>
        <v>15.252805555555556</v>
      </c>
      <c r="P5884" s="8" t="s">
        <v>26212</v>
      </c>
      <c r="Q5884" s="8">
        <f>-(14+36/60+59/3600)</f>
        <v>-14.616388888888888</v>
      </c>
      <c r="R5884" s="8">
        <v>13.6</v>
      </c>
      <c r="S5884" s="8">
        <v>14.6</v>
      </c>
      <c r="T5884" s="8">
        <v>1</v>
      </c>
      <c r="U5884" s="8">
        <v>12.6</v>
      </c>
      <c r="V5884" s="8">
        <v>0.9</v>
      </c>
      <c r="W5884" s="8">
        <v>0.5</v>
      </c>
      <c r="X5884" s="8">
        <v>120</v>
      </c>
      <c r="Y5884" s="8" t="s">
        <v>1695</v>
      </c>
      <c r="Z5884" s="8" t="s">
        <v>1695</v>
      </c>
    </row>
    <row r="5885" spans="1:26" x14ac:dyDescent="0.2">
      <c r="A5885" s="8">
        <v>5884</v>
      </c>
      <c r="B5885" s="8" t="s">
        <v>26213</v>
      </c>
      <c r="C5885" s="8" t="s">
        <v>26213</v>
      </c>
      <c r="F5885" s="47"/>
      <c r="G5885" s="8">
        <v>19</v>
      </c>
      <c r="H5885" s="8" t="s">
        <v>21</v>
      </c>
      <c r="I5885" s="8" t="s">
        <v>72</v>
      </c>
      <c r="J5885" s="8" t="s">
        <v>72</v>
      </c>
      <c r="K5885" s="8" t="s">
        <v>73</v>
      </c>
      <c r="L5885" s="8" t="s">
        <v>22476</v>
      </c>
      <c r="M5885" s="8" t="s">
        <v>22477</v>
      </c>
      <c r="N5885" s="8" t="s">
        <v>26214</v>
      </c>
      <c r="O5885" s="8">
        <f>15+13/60+9.2/3600</f>
        <v>15.219222222222223</v>
      </c>
      <c r="P5885" s="8" t="s">
        <v>26215</v>
      </c>
      <c r="Q5885" s="8">
        <f>+(31+51/60+44/3600)</f>
        <v>31.862222222222222</v>
      </c>
      <c r="R5885" s="8">
        <v>99</v>
      </c>
      <c r="S5885" s="8">
        <v>99</v>
      </c>
      <c r="T5885" s="8">
        <v>99</v>
      </c>
      <c r="U5885" s="8">
        <v>99</v>
      </c>
      <c r="Y5885" s="8" t="s">
        <v>26216</v>
      </c>
      <c r="Z5885" s="8" t="s">
        <v>26217</v>
      </c>
    </row>
    <row r="5886" spans="1:26" x14ac:dyDescent="0.2">
      <c r="A5886" s="8">
        <v>5885</v>
      </c>
      <c r="B5886" s="8" t="s">
        <v>26218</v>
      </c>
      <c r="C5886" s="8" t="s">
        <v>26218</v>
      </c>
      <c r="F5886" s="47" t="s">
        <v>58073</v>
      </c>
      <c r="G5886" s="8">
        <v>13</v>
      </c>
      <c r="H5886" s="8" t="s">
        <v>21</v>
      </c>
      <c r="I5886" s="8" t="s">
        <v>22</v>
      </c>
      <c r="J5886" s="8" t="s">
        <v>22</v>
      </c>
      <c r="K5886" s="8" t="s">
        <v>64</v>
      </c>
      <c r="L5886" s="8" t="s">
        <v>24948</v>
      </c>
      <c r="M5886" s="8" t="s">
        <v>24949</v>
      </c>
      <c r="N5886" s="8" t="s">
        <v>26219</v>
      </c>
      <c r="O5886" s="8">
        <f>15+15/60+4.2/3600</f>
        <v>15.251166666666666</v>
      </c>
      <c r="P5886" s="8" t="s">
        <v>26220</v>
      </c>
      <c r="Q5886" s="8">
        <f>-(10+5/60+9/3600)</f>
        <v>-10.085833333333333</v>
      </c>
      <c r="R5886" s="8">
        <v>11.8</v>
      </c>
      <c r="S5886" s="8">
        <v>12.3</v>
      </c>
      <c r="T5886" s="8">
        <v>0.5</v>
      </c>
      <c r="U5886" s="8">
        <v>14.3</v>
      </c>
      <c r="V5886" s="8">
        <v>3.5</v>
      </c>
      <c r="W5886" s="8">
        <v>3.1</v>
      </c>
      <c r="X5886" s="8">
        <v>65</v>
      </c>
      <c r="Y5886" s="8" t="s">
        <v>26221</v>
      </c>
      <c r="Z5886" s="8" t="s">
        <v>26222</v>
      </c>
    </row>
    <row r="5887" spans="1:26" x14ac:dyDescent="0.2">
      <c r="A5887" s="8">
        <v>5886</v>
      </c>
      <c r="B5887" s="8" t="s">
        <v>26223</v>
      </c>
      <c r="C5887" s="8" t="s">
        <v>26223</v>
      </c>
      <c r="F5887" s="47"/>
      <c r="G5887" s="8">
        <v>16</v>
      </c>
      <c r="H5887" s="8" t="s">
        <v>21</v>
      </c>
      <c r="I5887" s="8" t="s">
        <v>22</v>
      </c>
      <c r="J5887" s="8" t="s">
        <v>22</v>
      </c>
      <c r="K5887" s="8" t="s">
        <v>58</v>
      </c>
      <c r="L5887" s="8" t="s">
        <v>22476</v>
      </c>
      <c r="M5887" s="8" t="s">
        <v>22477</v>
      </c>
      <c r="N5887" s="8" t="s">
        <v>26224</v>
      </c>
      <c r="O5887" s="8">
        <f>15+12/60+45.4/3600</f>
        <v>15.21261111111111</v>
      </c>
      <c r="P5887" s="8" t="s">
        <v>26225</v>
      </c>
      <c r="Q5887" s="8">
        <f>+(41+14/60+2/3600)</f>
        <v>41.233888888888892</v>
      </c>
      <c r="R5887" s="8">
        <v>14.1</v>
      </c>
      <c r="S5887" s="8">
        <v>15.1</v>
      </c>
      <c r="T5887" s="8">
        <v>1</v>
      </c>
      <c r="U5887" s="8">
        <v>13.1</v>
      </c>
      <c r="V5887" s="8">
        <v>0.9</v>
      </c>
      <c r="W5887" s="8">
        <v>0.4</v>
      </c>
      <c r="X5887" s="8">
        <v>87</v>
      </c>
      <c r="Y5887" s="8" t="s">
        <v>3952</v>
      </c>
      <c r="Z5887" s="8" t="s">
        <v>3953</v>
      </c>
    </row>
    <row r="5888" spans="1:26" x14ac:dyDescent="0.2">
      <c r="A5888" s="8">
        <v>5887</v>
      </c>
      <c r="B5888" s="8" t="s">
        <v>26226</v>
      </c>
      <c r="C5888" s="8" t="s">
        <v>26226</v>
      </c>
      <c r="F5888" s="47"/>
      <c r="G5888" s="8">
        <v>19</v>
      </c>
      <c r="H5888" s="8" t="s">
        <v>21</v>
      </c>
      <c r="I5888" s="8" t="s">
        <v>22</v>
      </c>
      <c r="J5888" s="8" t="s">
        <v>22</v>
      </c>
      <c r="K5888" s="8" t="s">
        <v>632</v>
      </c>
      <c r="L5888" s="8" t="s">
        <v>26227</v>
      </c>
      <c r="M5888" s="8" t="s">
        <v>26228</v>
      </c>
      <c r="N5888" s="8" t="s">
        <v>26229</v>
      </c>
      <c r="O5888" s="8">
        <f>15+14/60+43.9/3600</f>
        <v>15.245527777777777</v>
      </c>
      <c r="P5888" s="8" t="s">
        <v>26230</v>
      </c>
      <c r="Q5888" s="8">
        <f>+(1+9/60+17/3600)</f>
        <v>1.1547222222222222</v>
      </c>
      <c r="R5888" s="8">
        <v>13.4</v>
      </c>
      <c r="S5888" s="8">
        <v>14.3</v>
      </c>
      <c r="T5888" s="8">
        <v>0.9</v>
      </c>
      <c r="U5888" s="8">
        <v>13.7</v>
      </c>
      <c r="V5888" s="8">
        <v>1.2</v>
      </c>
      <c r="W5888" s="8">
        <v>1</v>
      </c>
      <c r="X5888" s="8">
        <v>160</v>
      </c>
      <c r="Y5888" s="8" t="s">
        <v>21639</v>
      </c>
      <c r="Z5888" s="8" t="s">
        <v>21640</v>
      </c>
    </row>
    <row r="5889" spans="1:26" x14ac:dyDescent="0.2">
      <c r="A5889" s="8">
        <v>5888</v>
      </c>
      <c r="B5889" s="8" t="s">
        <v>26231</v>
      </c>
      <c r="C5889" s="8" t="s">
        <v>26231</v>
      </c>
      <c r="F5889" s="47" t="s">
        <v>58074</v>
      </c>
      <c r="G5889" s="8">
        <v>15</v>
      </c>
      <c r="H5889" s="8" t="s">
        <v>21</v>
      </c>
      <c r="I5889" s="8" t="s">
        <v>22</v>
      </c>
      <c r="J5889" s="8" t="s">
        <v>22</v>
      </c>
      <c r="K5889" s="8" t="s">
        <v>85</v>
      </c>
      <c r="L5889" s="8" t="s">
        <v>22476</v>
      </c>
      <c r="M5889" s="8" t="s">
        <v>22477</v>
      </c>
      <c r="N5889" s="8" t="s">
        <v>26232</v>
      </c>
      <c r="O5889" s="8">
        <f>15+13/60+7.4/3600</f>
        <v>15.218722222222222</v>
      </c>
      <c r="P5889" s="8" t="s">
        <v>26233</v>
      </c>
      <c r="Q5889" s="8">
        <f>+(41+15/60+52/3600)</f>
        <v>41.264444444444443</v>
      </c>
      <c r="R5889" s="8">
        <v>13.4</v>
      </c>
      <c r="S5889" s="8">
        <v>14.2</v>
      </c>
      <c r="T5889" s="8">
        <v>0.8</v>
      </c>
      <c r="U5889" s="8">
        <v>13.3</v>
      </c>
      <c r="V5889" s="8">
        <v>1.3</v>
      </c>
      <c r="W5889" s="8">
        <v>0.8</v>
      </c>
      <c r="X5889" s="8">
        <v>158</v>
      </c>
      <c r="Y5889" s="8" t="s">
        <v>16209</v>
      </c>
      <c r="Z5889" s="8" t="s">
        <v>16210</v>
      </c>
    </row>
    <row r="5890" spans="1:26" x14ac:dyDescent="0.2">
      <c r="A5890" s="8">
        <v>5889</v>
      </c>
      <c r="B5890" s="8" t="s">
        <v>26234</v>
      </c>
      <c r="C5890" s="8" t="s">
        <v>26234</v>
      </c>
      <c r="F5890" s="47"/>
      <c r="G5890" s="8">
        <v>18</v>
      </c>
      <c r="H5890" s="8" t="s">
        <v>21</v>
      </c>
      <c r="I5890" s="8" t="s">
        <v>22</v>
      </c>
      <c r="J5890" s="8" t="s">
        <v>22</v>
      </c>
      <c r="K5890" s="8" t="s">
        <v>218</v>
      </c>
      <c r="L5890" s="8" t="s">
        <v>22476</v>
      </c>
      <c r="M5890" s="8" t="s">
        <v>22477</v>
      </c>
      <c r="N5890" s="8" t="s">
        <v>26235</v>
      </c>
      <c r="O5890" s="8">
        <f>15+13/60+15.7/3600</f>
        <v>15.221027777777778</v>
      </c>
      <c r="P5890" s="8" t="s">
        <v>26236</v>
      </c>
      <c r="Q5890" s="8">
        <f>+(41+19/60+40/3600)</f>
        <v>41.327777777777783</v>
      </c>
      <c r="R5890" s="8">
        <v>15.4</v>
      </c>
      <c r="S5890" s="8">
        <v>16.2</v>
      </c>
      <c r="T5890" s="8">
        <v>0.8</v>
      </c>
      <c r="U5890" s="8">
        <v>13.8</v>
      </c>
      <c r="V5890" s="8">
        <v>0.9</v>
      </c>
      <c r="W5890" s="8">
        <v>0.3</v>
      </c>
      <c r="X5890" s="8">
        <v>39</v>
      </c>
      <c r="Y5890" s="8" t="s">
        <v>26237</v>
      </c>
      <c r="Z5890" s="8" t="s">
        <v>26238</v>
      </c>
    </row>
    <row r="5891" spans="1:26" x14ac:dyDescent="0.2">
      <c r="A5891" s="8">
        <v>5890</v>
      </c>
      <c r="B5891" s="8" t="s">
        <v>26239</v>
      </c>
      <c r="C5891" s="8" t="s">
        <v>26239</v>
      </c>
      <c r="F5891" s="47"/>
      <c r="G5891" s="8">
        <v>19</v>
      </c>
      <c r="H5891" s="8" t="s">
        <v>21</v>
      </c>
      <c r="I5891" s="8" t="s">
        <v>22</v>
      </c>
      <c r="J5891" s="8" t="s">
        <v>22</v>
      </c>
      <c r="K5891" s="8" t="s">
        <v>632</v>
      </c>
      <c r="L5891" s="8" t="s">
        <v>24948</v>
      </c>
      <c r="M5891" s="8" t="s">
        <v>24949</v>
      </c>
      <c r="N5891" s="8" t="s">
        <v>26240</v>
      </c>
      <c r="O5891" s="8">
        <f>15+17/60+51.1/3600</f>
        <v>15.297527777777777</v>
      </c>
      <c r="P5891" s="8" t="s">
        <v>26241</v>
      </c>
      <c r="Q5891" s="8">
        <f>-(17+35/60+19/3600)</f>
        <v>-17.58861111111111</v>
      </c>
      <c r="R5891" s="8">
        <v>12.7</v>
      </c>
      <c r="S5891" s="8">
        <v>13.6</v>
      </c>
      <c r="T5891" s="8">
        <v>0.9</v>
      </c>
      <c r="U5891" s="8">
        <v>12.9</v>
      </c>
      <c r="V5891" s="8">
        <v>1.3</v>
      </c>
      <c r="W5891" s="8">
        <v>1</v>
      </c>
      <c r="X5891" s="8">
        <v>85</v>
      </c>
      <c r="Y5891" s="8" t="s">
        <v>26242</v>
      </c>
      <c r="Z5891" s="8" t="s">
        <v>26243</v>
      </c>
    </row>
    <row r="5892" spans="1:26" x14ac:dyDescent="0.2">
      <c r="A5892" s="8">
        <v>5891</v>
      </c>
      <c r="B5892" s="8" t="s">
        <v>26244</v>
      </c>
      <c r="C5892" s="8" t="s">
        <v>26244</v>
      </c>
      <c r="F5892" s="47"/>
      <c r="G5892" s="8">
        <v>19</v>
      </c>
      <c r="H5892" s="8" t="s">
        <v>21</v>
      </c>
      <c r="I5892" s="8" t="s">
        <v>22</v>
      </c>
      <c r="J5892" s="8" t="s">
        <v>22</v>
      </c>
      <c r="K5892" s="8" t="s">
        <v>396</v>
      </c>
      <c r="L5892" s="8" t="s">
        <v>24948</v>
      </c>
      <c r="M5892" s="8" t="s">
        <v>24949</v>
      </c>
      <c r="N5892" s="8" t="s">
        <v>26245</v>
      </c>
      <c r="O5892" s="8">
        <f>15+16/60+13.2/3600</f>
        <v>15.270333333333333</v>
      </c>
      <c r="P5892" s="8" t="s">
        <v>26246</v>
      </c>
      <c r="Q5892" s="8">
        <f>-(11+29/60+38/3600)</f>
        <v>-11.493888888888888</v>
      </c>
      <c r="R5892" s="8">
        <v>13.8</v>
      </c>
      <c r="S5892" s="8">
        <v>14.6</v>
      </c>
      <c r="T5892" s="8">
        <v>0.8</v>
      </c>
      <c r="U5892" s="8">
        <v>12.6</v>
      </c>
      <c r="V5892" s="8">
        <v>0.8</v>
      </c>
      <c r="W5892" s="8">
        <v>0.5</v>
      </c>
      <c r="X5892" s="8">
        <v>152</v>
      </c>
      <c r="Y5892" s="8" t="s">
        <v>26247</v>
      </c>
      <c r="Z5892" s="8" t="s">
        <v>26248</v>
      </c>
    </row>
    <row r="5893" spans="1:26" x14ac:dyDescent="0.2">
      <c r="A5893" s="8">
        <v>5892</v>
      </c>
      <c r="B5893" s="8" t="s">
        <v>26249</v>
      </c>
      <c r="C5893" s="8" t="s">
        <v>26249</v>
      </c>
      <c r="F5893" s="47"/>
      <c r="G5893" s="8">
        <v>13</v>
      </c>
      <c r="H5893" s="8" t="s">
        <v>26250</v>
      </c>
      <c r="I5893" s="8" t="s">
        <v>22</v>
      </c>
      <c r="J5893" s="8" t="s">
        <v>22</v>
      </c>
      <c r="K5893" s="8" t="s">
        <v>1277</v>
      </c>
      <c r="L5893" s="8" t="s">
        <v>24948</v>
      </c>
      <c r="M5893" s="8" t="s">
        <v>24949</v>
      </c>
      <c r="N5893" s="8" t="s">
        <v>26251</v>
      </c>
      <c r="O5893" s="8">
        <f>15+13/60+48.1/3600</f>
        <v>15.230027777777778</v>
      </c>
      <c r="P5893" s="8" t="s">
        <v>26252</v>
      </c>
      <c r="Q5893" s="8">
        <f>-(15+27/60+51/3600)</f>
        <v>-15.464166666666666</v>
      </c>
      <c r="R5893" s="8">
        <v>11.7</v>
      </c>
      <c r="S5893" s="8">
        <v>12.4</v>
      </c>
      <c r="T5893" s="8">
        <v>0.7</v>
      </c>
      <c r="U5893" s="8">
        <v>14</v>
      </c>
      <c r="V5893" s="8">
        <v>3.6</v>
      </c>
      <c r="W5893" s="8">
        <v>2.9</v>
      </c>
      <c r="X5893" s="8">
        <v>105</v>
      </c>
      <c r="Y5893" s="8" t="s">
        <v>26253</v>
      </c>
      <c r="Z5893" s="8" t="s">
        <v>26254</v>
      </c>
    </row>
    <row r="5894" spans="1:26" x14ac:dyDescent="0.2">
      <c r="A5894" s="8">
        <v>5893</v>
      </c>
      <c r="B5894" s="8" t="s">
        <v>26255</v>
      </c>
      <c r="C5894" s="8" t="s">
        <v>26255</v>
      </c>
      <c r="F5894" s="47" t="s">
        <v>58075</v>
      </c>
      <c r="G5894" s="8">
        <v>15</v>
      </c>
      <c r="H5894" s="8" t="s">
        <v>21</v>
      </c>
      <c r="I5894" s="8" t="s">
        <v>22</v>
      </c>
      <c r="J5894" s="8" t="s">
        <v>22</v>
      </c>
      <c r="K5894" s="8" t="s">
        <v>218</v>
      </c>
      <c r="L5894" s="8" t="s">
        <v>22476</v>
      </c>
      <c r="M5894" s="8" t="s">
        <v>22477</v>
      </c>
      <c r="N5894" s="8" t="s">
        <v>26256</v>
      </c>
      <c r="O5894" s="8">
        <f>15+13/60+34.3/3600</f>
        <v>15.226194444444445</v>
      </c>
      <c r="P5894" s="8" t="s">
        <v>26257</v>
      </c>
      <c r="Q5894" s="8">
        <f>+(41+57/60+33/3600)</f>
        <v>41.959166666666668</v>
      </c>
      <c r="R5894" s="8">
        <v>13.1</v>
      </c>
      <c r="S5894" s="8">
        <v>13.9</v>
      </c>
      <c r="T5894" s="8">
        <v>0.8</v>
      </c>
      <c r="U5894" s="8">
        <v>13.4</v>
      </c>
      <c r="V5894" s="8">
        <v>1.2</v>
      </c>
      <c r="W5894" s="8">
        <v>1.1000000000000001</v>
      </c>
      <c r="X5894" s="8">
        <v>30</v>
      </c>
      <c r="Y5894" s="8" t="s">
        <v>26258</v>
      </c>
      <c r="Z5894" s="8" t="s">
        <v>26259</v>
      </c>
    </row>
    <row r="5895" spans="1:26" x14ac:dyDescent="0.2">
      <c r="A5895" s="8">
        <v>5894</v>
      </c>
      <c r="B5895" s="8" t="s">
        <v>26260</v>
      </c>
      <c r="C5895" s="8" t="s">
        <v>26260</v>
      </c>
      <c r="F5895" s="47" t="s">
        <v>58076</v>
      </c>
      <c r="G5895" s="8">
        <v>15</v>
      </c>
      <c r="H5895" s="8" t="s">
        <v>21</v>
      </c>
      <c r="I5895" s="8" t="s">
        <v>22</v>
      </c>
      <c r="J5895" s="8" t="s">
        <v>22</v>
      </c>
      <c r="K5895" s="8" t="s">
        <v>579</v>
      </c>
      <c r="L5895" s="8" t="s">
        <v>13395</v>
      </c>
      <c r="M5895" s="8" t="s">
        <v>13396</v>
      </c>
      <c r="N5895" s="8" t="s">
        <v>26261</v>
      </c>
      <c r="O5895" s="8">
        <f>15+11/60+40.9/3600</f>
        <v>15.194694444444444</v>
      </c>
      <c r="P5895" s="8" t="s">
        <v>26262</v>
      </c>
      <c r="Q5895" s="8">
        <f>+(59+48/60+31/3600)</f>
        <v>59.808611111111105</v>
      </c>
      <c r="R5895" s="8">
        <v>12.8</v>
      </c>
      <c r="S5895" s="8">
        <v>13.4</v>
      </c>
      <c r="T5895" s="8">
        <v>0.6</v>
      </c>
      <c r="U5895" s="8">
        <v>12.8</v>
      </c>
      <c r="V5895" s="8">
        <v>3</v>
      </c>
      <c r="W5895" s="8">
        <v>0.4</v>
      </c>
      <c r="X5895" s="8">
        <v>13</v>
      </c>
      <c r="Y5895" s="8" t="s">
        <v>26263</v>
      </c>
      <c r="Z5895" s="8" t="s">
        <v>26264</v>
      </c>
    </row>
    <row r="5896" spans="1:26" x14ac:dyDescent="0.2">
      <c r="A5896" s="8">
        <v>5895</v>
      </c>
      <c r="B5896" s="8" t="s">
        <v>26265</v>
      </c>
      <c r="C5896" s="8" t="s">
        <v>26265</v>
      </c>
      <c r="F5896" s="47"/>
      <c r="G5896" s="8">
        <v>18</v>
      </c>
      <c r="H5896" s="8" t="s">
        <v>21</v>
      </c>
      <c r="I5896" s="8" t="s">
        <v>22</v>
      </c>
      <c r="J5896" s="8" t="s">
        <v>22</v>
      </c>
      <c r="K5896" s="8" t="s">
        <v>160</v>
      </c>
      <c r="L5896" s="8" t="s">
        <v>22476</v>
      </c>
      <c r="M5896" s="8" t="s">
        <v>22477</v>
      </c>
      <c r="N5896" s="8" t="s">
        <v>26266</v>
      </c>
      <c r="O5896" s="8">
        <f>15+13/60+50.1/3600</f>
        <v>15.230583333333334</v>
      </c>
      <c r="P5896" s="8" t="s">
        <v>26267</v>
      </c>
      <c r="Q5896" s="8">
        <f>+(42+0/60+28/3600)</f>
        <v>42.007777777777775</v>
      </c>
      <c r="R5896" s="8">
        <v>14.2</v>
      </c>
      <c r="S5896" s="8">
        <v>14.9</v>
      </c>
      <c r="T5896" s="8">
        <v>0.7</v>
      </c>
      <c r="U5896" s="8">
        <v>12.2</v>
      </c>
      <c r="V5896" s="8">
        <v>0.9</v>
      </c>
      <c r="W5896" s="8">
        <v>0.2</v>
      </c>
      <c r="X5896" s="8">
        <v>21</v>
      </c>
      <c r="Y5896" s="8" t="s">
        <v>26268</v>
      </c>
      <c r="Z5896" s="8" t="s">
        <v>26269</v>
      </c>
    </row>
    <row r="5897" spans="1:26" x14ac:dyDescent="0.2">
      <c r="A5897" s="8">
        <v>5896</v>
      </c>
      <c r="B5897" s="8" t="s">
        <v>26270</v>
      </c>
      <c r="C5897" s="8" t="s">
        <v>26270</v>
      </c>
      <c r="F5897" s="47"/>
      <c r="G5897" s="8">
        <v>18</v>
      </c>
      <c r="H5897" s="8" t="s">
        <v>21</v>
      </c>
      <c r="I5897" s="8" t="s">
        <v>22</v>
      </c>
      <c r="J5897" s="8" t="s">
        <v>22</v>
      </c>
      <c r="K5897" s="8" t="s">
        <v>449</v>
      </c>
      <c r="L5897" s="8" t="s">
        <v>22476</v>
      </c>
      <c r="M5897" s="8" t="s">
        <v>22477</v>
      </c>
      <c r="N5897" s="8" t="s">
        <v>26271</v>
      </c>
      <c r="O5897" s="8">
        <f>15+13/60+50.6/3600</f>
        <v>15.230722222222223</v>
      </c>
      <c r="P5897" s="8" t="s">
        <v>26272</v>
      </c>
      <c r="Q5897" s="8">
        <f>+(42+1/60+30/3600)</f>
        <v>42.024999999999999</v>
      </c>
      <c r="R5897" s="8">
        <v>15.3</v>
      </c>
      <c r="S5897" s="8">
        <v>16.3</v>
      </c>
      <c r="T5897" s="8">
        <v>1</v>
      </c>
      <c r="U5897" s="8">
        <v>12.1</v>
      </c>
      <c r="V5897" s="8">
        <v>0.3</v>
      </c>
      <c r="W5897" s="8">
        <v>0.2</v>
      </c>
      <c r="X5897" s="8">
        <v>76</v>
      </c>
      <c r="Y5897" s="8" t="s">
        <v>26273</v>
      </c>
      <c r="Z5897" s="8" t="s">
        <v>26274</v>
      </c>
    </row>
    <row r="5898" spans="1:26" x14ac:dyDescent="0.2">
      <c r="A5898" s="8">
        <v>5897</v>
      </c>
      <c r="B5898" s="8" t="s">
        <v>26275</v>
      </c>
      <c r="C5898" s="8" t="s">
        <v>26275</v>
      </c>
      <c r="F5898" s="47" t="s">
        <v>58077</v>
      </c>
      <c r="G5898" s="8">
        <v>3</v>
      </c>
      <c r="H5898" s="8" t="s">
        <v>26276</v>
      </c>
      <c r="I5898" s="8" t="s">
        <v>567</v>
      </c>
      <c r="J5898" s="8" t="s">
        <v>567</v>
      </c>
      <c r="K5898" s="8" t="s">
        <v>22675</v>
      </c>
      <c r="L5898" s="8" t="s">
        <v>24948</v>
      </c>
      <c r="M5898" s="8" t="s">
        <v>24949</v>
      </c>
      <c r="N5898" s="8" t="s">
        <v>26277</v>
      </c>
      <c r="O5898" s="8">
        <f>15+17/60+24.5/3600</f>
        <v>15.290138888888889</v>
      </c>
      <c r="P5898" s="8" t="s">
        <v>26278</v>
      </c>
      <c r="Q5898" s="8">
        <f>-(21+0/60+35/3600)</f>
        <v>-21.009722222222223</v>
      </c>
      <c r="R5898" s="8">
        <v>8.4</v>
      </c>
      <c r="S5898" s="8">
        <v>99</v>
      </c>
      <c r="T5898" s="8">
        <v>99</v>
      </c>
      <c r="U5898" s="8">
        <v>99</v>
      </c>
      <c r="V5898" s="8">
        <v>11</v>
      </c>
      <c r="Y5898" s="8" t="s">
        <v>26279</v>
      </c>
      <c r="Z5898" s="8" t="s">
        <v>26280</v>
      </c>
    </row>
    <row r="5899" spans="1:26" x14ac:dyDescent="0.2">
      <c r="A5899" s="8">
        <v>5898</v>
      </c>
      <c r="B5899" s="8" t="s">
        <v>26281</v>
      </c>
      <c r="C5899" s="8" t="s">
        <v>26281</v>
      </c>
      <c r="F5899" s="47" t="s">
        <v>58078</v>
      </c>
      <c r="G5899" s="8">
        <v>13</v>
      </c>
      <c r="H5899" s="8" t="s">
        <v>21</v>
      </c>
      <c r="I5899" s="8" t="s">
        <v>22</v>
      </c>
      <c r="J5899" s="8" t="s">
        <v>22</v>
      </c>
      <c r="K5899" s="8" t="s">
        <v>460</v>
      </c>
      <c r="L5899" s="8" t="s">
        <v>24948</v>
      </c>
      <c r="M5899" s="8" t="s">
        <v>24949</v>
      </c>
      <c r="N5899" s="8" t="s">
        <v>26282</v>
      </c>
      <c r="O5899" s="8">
        <f>15+18/60+13.6/3600</f>
        <v>15.303777777777778</v>
      </c>
      <c r="P5899" s="8" t="s">
        <v>26283</v>
      </c>
      <c r="Q5899" s="8">
        <f>-(24+5/60+51/3600)</f>
        <v>-24.0975</v>
      </c>
      <c r="R5899" s="8">
        <v>11.4</v>
      </c>
      <c r="S5899" s="8">
        <v>12.5</v>
      </c>
      <c r="T5899" s="8">
        <v>1.1000000000000001</v>
      </c>
      <c r="U5899" s="8">
        <v>13</v>
      </c>
      <c r="V5899" s="8">
        <v>2.7</v>
      </c>
      <c r="W5899" s="8">
        <v>2.6</v>
      </c>
      <c r="X5899" s="8">
        <v>42</v>
      </c>
      <c r="Y5899" s="8" t="s">
        <v>26284</v>
      </c>
      <c r="Z5899" s="8" t="s">
        <v>6421</v>
      </c>
    </row>
    <row r="5900" spans="1:26" x14ac:dyDescent="0.2">
      <c r="A5900" s="8">
        <v>5899</v>
      </c>
      <c r="B5900" s="8" t="s">
        <v>26285</v>
      </c>
      <c r="C5900" s="8" t="s">
        <v>26285</v>
      </c>
      <c r="F5900" s="47" t="s">
        <v>58079</v>
      </c>
      <c r="G5900" s="8">
        <v>6.5</v>
      </c>
      <c r="H5900" s="8" t="s">
        <v>21</v>
      </c>
      <c r="I5900" s="8" t="s">
        <v>22</v>
      </c>
      <c r="J5900" s="8" t="s">
        <v>22</v>
      </c>
      <c r="K5900" s="8" t="s">
        <v>64</v>
      </c>
      <c r="L5900" s="8" t="s">
        <v>22476</v>
      </c>
      <c r="M5900" s="8" t="s">
        <v>22477</v>
      </c>
      <c r="N5900" s="8" t="s">
        <v>26286</v>
      </c>
      <c r="O5900" s="8">
        <f>15+15/60+3.3/3600</f>
        <v>15.250916666666667</v>
      </c>
      <c r="P5900" s="8" t="s">
        <v>26287</v>
      </c>
      <c r="Q5900" s="8">
        <f>+(42+2/60+59/3600)</f>
        <v>42.049722222222222</v>
      </c>
      <c r="R5900" s="8">
        <v>11.7</v>
      </c>
      <c r="S5900" s="8">
        <v>12.5</v>
      </c>
      <c r="T5900" s="8">
        <v>0.8</v>
      </c>
      <c r="U5900" s="8">
        <v>13</v>
      </c>
      <c r="V5900" s="8">
        <v>3.3</v>
      </c>
      <c r="W5900" s="8">
        <v>1.4</v>
      </c>
      <c r="X5900" s="8">
        <v>18</v>
      </c>
      <c r="Y5900" s="8" t="s">
        <v>26288</v>
      </c>
      <c r="Z5900" s="8" t="s">
        <v>26289</v>
      </c>
    </row>
    <row r="5901" spans="1:26" x14ac:dyDescent="0.2">
      <c r="A5901" s="8">
        <v>5900</v>
      </c>
      <c r="B5901" s="8" t="s">
        <v>26290</v>
      </c>
      <c r="C5901" s="8" t="s">
        <v>26290</v>
      </c>
      <c r="F5901" s="47" t="s">
        <v>58080</v>
      </c>
      <c r="G5901" s="8">
        <v>15</v>
      </c>
      <c r="H5901" s="8" t="s">
        <v>21</v>
      </c>
      <c r="I5901" s="8" t="s">
        <v>22</v>
      </c>
      <c r="J5901" s="8" t="s">
        <v>22</v>
      </c>
      <c r="K5901" s="8" t="s">
        <v>23</v>
      </c>
      <c r="L5901" s="8" t="s">
        <v>22476</v>
      </c>
      <c r="M5901" s="8" t="s">
        <v>22477</v>
      </c>
      <c r="N5901" s="8" t="s">
        <v>26291</v>
      </c>
      <c r="O5901" s="8">
        <f>15+15/60+5.2/3600</f>
        <v>15.251444444444445</v>
      </c>
      <c r="P5901" s="8" t="s">
        <v>26292</v>
      </c>
      <c r="Q5901" s="8">
        <f>+(42+12/60+34/3600)</f>
        <v>42.209444444444451</v>
      </c>
      <c r="R5901" s="8">
        <v>14</v>
      </c>
      <c r="S5901" s="8">
        <v>14.8</v>
      </c>
      <c r="T5901" s="8">
        <v>0.8</v>
      </c>
      <c r="U5901" s="8">
        <v>13.6</v>
      </c>
      <c r="V5901" s="8">
        <v>1.7</v>
      </c>
      <c r="W5901" s="8">
        <v>0.5</v>
      </c>
      <c r="X5901" s="8">
        <v>131</v>
      </c>
      <c r="Y5901" s="8" t="s">
        <v>6226</v>
      </c>
      <c r="Z5901" s="8" t="s">
        <v>26293</v>
      </c>
    </row>
    <row r="5902" spans="1:26" x14ac:dyDescent="0.2">
      <c r="A5902" s="8">
        <v>5901</v>
      </c>
      <c r="B5902" s="8" t="s">
        <v>26294</v>
      </c>
      <c r="C5902" s="8" t="s">
        <v>26294</v>
      </c>
      <c r="F5902" s="47"/>
      <c r="G5902" s="8">
        <v>18</v>
      </c>
      <c r="H5902" s="8" t="s">
        <v>21</v>
      </c>
      <c r="I5902" s="8" t="s">
        <v>72</v>
      </c>
      <c r="J5902" s="8" t="s">
        <v>72</v>
      </c>
      <c r="K5902" s="8" t="s">
        <v>20</v>
      </c>
      <c r="L5902" s="8" t="s">
        <v>22476</v>
      </c>
      <c r="M5902" s="8" t="s">
        <v>22477</v>
      </c>
      <c r="N5902" s="8" t="s">
        <v>26295</v>
      </c>
      <c r="O5902" s="8">
        <f>15+15/60+2.3/3600</f>
        <v>15.250638888888888</v>
      </c>
      <c r="P5902" s="8" t="s">
        <v>26296</v>
      </c>
      <c r="Q5902" s="8">
        <f>+(42+13/60+44/3600)</f>
        <v>42.228888888888889</v>
      </c>
      <c r="R5902" s="8">
        <v>99</v>
      </c>
      <c r="S5902" s="8">
        <v>99</v>
      </c>
      <c r="T5902" s="8">
        <v>99</v>
      </c>
      <c r="U5902" s="8">
        <v>99</v>
      </c>
      <c r="Y5902" s="8" t="s">
        <v>26297</v>
      </c>
      <c r="Z5902" s="8" t="s">
        <v>26298</v>
      </c>
    </row>
    <row r="5903" spans="1:26" x14ac:dyDescent="0.2">
      <c r="A5903" s="8">
        <v>5902</v>
      </c>
      <c r="B5903" s="8" t="s">
        <v>26299</v>
      </c>
      <c r="C5903" s="8" t="s">
        <v>26299</v>
      </c>
      <c r="F5903" s="47" t="s">
        <v>58081</v>
      </c>
      <c r="G5903" s="8">
        <v>15</v>
      </c>
      <c r="H5903" s="8" t="s">
        <v>21</v>
      </c>
      <c r="I5903" s="8" t="s">
        <v>22</v>
      </c>
      <c r="J5903" s="8" t="s">
        <v>22</v>
      </c>
      <c r="K5903" s="8" t="s">
        <v>449</v>
      </c>
      <c r="L5903" s="8" t="s">
        <v>22476</v>
      </c>
      <c r="M5903" s="8" t="s">
        <v>22477</v>
      </c>
      <c r="N5903" s="8" t="s">
        <v>26300</v>
      </c>
      <c r="O5903" s="8">
        <f>15+14/60+22.3/3600</f>
        <v>15.239527777777777</v>
      </c>
      <c r="P5903" s="8" t="s">
        <v>26301</v>
      </c>
      <c r="Q5903" s="8">
        <f>+(50+19/60+49/3600)</f>
        <v>50.330277777777781</v>
      </c>
      <c r="R5903" s="8">
        <v>13.2</v>
      </c>
      <c r="S5903" s="8">
        <v>14</v>
      </c>
      <c r="T5903" s="8">
        <v>0.8</v>
      </c>
      <c r="U5903" s="8">
        <v>13.2</v>
      </c>
      <c r="V5903" s="8">
        <v>1.1000000000000001</v>
      </c>
      <c r="W5903" s="8">
        <v>1</v>
      </c>
      <c r="X5903" s="8">
        <v>105</v>
      </c>
      <c r="Y5903" s="8" t="s">
        <v>1948</v>
      </c>
      <c r="Z5903" s="8" t="s">
        <v>1949</v>
      </c>
    </row>
    <row r="5904" spans="1:26" x14ac:dyDescent="0.2">
      <c r="A5904" s="8">
        <v>5903</v>
      </c>
      <c r="B5904" s="8" t="s">
        <v>26302</v>
      </c>
      <c r="C5904" s="8" t="s">
        <v>26302</v>
      </c>
      <c r="F5904" s="47" t="s">
        <v>58082</v>
      </c>
      <c r="G5904" s="8">
        <v>13</v>
      </c>
      <c r="H5904" s="8" t="s">
        <v>21</v>
      </c>
      <c r="I5904" s="8" t="s">
        <v>22</v>
      </c>
      <c r="J5904" s="8" t="s">
        <v>22</v>
      </c>
      <c r="K5904" s="8" t="s">
        <v>1136</v>
      </c>
      <c r="L5904" s="8" t="s">
        <v>24948</v>
      </c>
      <c r="M5904" s="8" t="s">
        <v>24949</v>
      </c>
      <c r="N5904" s="8" t="s">
        <v>26303</v>
      </c>
      <c r="O5904" s="8">
        <f>15+18/60+36.5/3600</f>
        <v>15.31013888888889</v>
      </c>
      <c r="P5904" s="8" t="s">
        <v>26304</v>
      </c>
      <c r="Q5904" s="8">
        <f>-(24+4/60+6/3600)</f>
        <v>-24.068333333333332</v>
      </c>
      <c r="R5904" s="8">
        <v>11.2</v>
      </c>
      <c r="S5904" s="8">
        <v>12.2</v>
      </c>
      <c r="T5904" s="8">
        <v>1</v>
      </c>
      <c r="U5904" s="8">
        <v>13</v>
      </c>
      <c r="V5904" s="8">
        <v>2.7</v>
      </c>
      <c r="W5904" s="8">
        <v>2.1</v>
      </c>
      <c r="X5904" s="8">
        <v>168</v>
      </c>
      <c r="Y5904" s="8" t="s">
        <v>26305</v>
      </c>
      <c r="Z5904" s="8" t="s">
        <v>26306</v>
      </c>
    </row>
    <row r="5905" spans="1:26" x14ac:dyDescent="0.2">
      <c r="A5905" s="8">
        <v>5904</v>
      </c>
      <c r="B5905" s="8" t="s">
        <v>26307</v>
      </c>
      <c r="C5905" s="8" t="s">
        <v>55925</v>
      </c>
      <c r="F5905" s="47"/>
      <c r="G5905" s="8">
        <v>1</v>
      </c>
      <c r="H5905" s="8" t="s">
        <v>26308</v>
      </c>
      <c r="I5905" s="8" t="s">
        <v>567</v>
      </c>
      <c r="J5905" s="8" t="s">
        <v>567</v>
      </c>
      <c r="K5905" s="8" t="s">
        <v>8821</v>
      </c>
      <c r="L5905" s="8" t="s">
        <v>26227</v>
      </c>
      <c r="M5905" s="8" t="s">
        <v>26228</v>
      </c>
      <c r="N5905" s="8" t="s">
        <v>26309</v>
      </c>
      <c r="O5905" s="8">
        <f>15+18/60+33.8/3600</f>
        <v>15.30938888888889</v>
      </c>
      <c r="P5905" s="8" t="s">
        <v>26310</v>
      </c>
      <c r="Q5905" s="8">
        <f>+(2+5/60+0/3600)</f>
        <v>2.0833333333333335</v>
      </c>
      <c r="R5905" s="8">
        <v>5.7</v>
      </c>
      <c r="S5905" s="8">
        <v>99</v>
      </c>
      <c r="T5905" s="8">
        <v>99</v>
      </c>
      <c r="U5905" s="8">
        <v>99</v>
      </c>
      <c r="V5905" s="8">
        <v>23</v>
      </c>
      <c r="Y5905" s="8" t="s">
        <v>26311</v>
      </c>
      <c r="Z5905" s="8" t="s">
        <v>26312</v>
      </c>
    </row>
    <row r="5906" spans="1:26" x14ac:dyDescent="0.2">
      <c r="A5906" s="8">
        <v>5905</v>
      </c>
      <c r="B5906" s="8" t="s">
        <v>26313</v>
      </c>
      <c r="C5906" s="8" t="s">
        <v>26313</v>
      </c>
      <c r="F5906" s="47" t="s">
        <v>58083</v>
      </c>
      <c r="G5906" s="8">
        <v>11</v>
      </c>
      <c r="H5906" s="8" t="s">
        <v>21</v>
      </c>
      <c r="I5906" s="8" t="s">
        <v>22</v>
      </c>
      <c r="J5906" s="8" t="s">
        <v>22</v>
      </c>
      <c r="K5906" s="8" t="s">
        <v>218</v>
      </c>
      <c r="L5906" s="8" t="s">
        <v>13395</v>
      </c>
      <c r="M5906" s="8" t="s">
        <v>13396</v>
      </c>
      <c r="N5906" s="8" t="s">
        <v>26314</v>
      </c>
      <c r="O5906" s="8">
        <f>15+15/60+23.3/3600</f>
        <v>15.256472222222222</v>
      </c>
      <c r="P5906" s="8" t="s">
        <v>26315</v>
      </c>
      <c r="Q5906" s="8">
        <f>+(55+31/60+4/3600)</f>
        <v>55.517777777777773</v>
      </c>
      <c r="R5906" s="8">
        <v>11.7</v>
      </c>
      <c r="S5906" s="8">
        <v>12.5</v>
      </c>
      <c r="T5906" s="8">
        <v>0.8</v>
      </c>
      <c r="U5906" s="8">
        <v>14.1</v>
      </c>
      <c r="V5906" s="8">
        <v>4</v>
      </c>
      <c r="W5906" s="8">
        <v>2.6</v>
      </c>
      <c r="X5906" s="8">
        <v>135</v>
      </c>
      <c r="Y5906" s="8" t="s">
        <v>21607</v>
      </c>
      <c r="Z5906" s="8" t="s">
        <v>21608</v>
      </c>
    </row>
    <row r="5907" spans="1:26" x14ac:dyDescent="0.2">
      <c r="A5907" s="8">
        <v>5906</v>
      </c>
      <c r="B5907" s="8" t="s">
        <v>26316</v>
      </c>
      <c r="C5907" s="8" t="s">
        <v>26316</v>
      </c>
      <c r="F5907" s="47"/>
      <c r="G5907" s="8">
        <v>14</v>
      </c>
      <c r="H5907" s="8" t="s">
        <v>26317</v>
      </c>
      <c r="I5907" s="8" t="s">
        <v>1075</v>
      </c>
      <c r="J5907" s="8" t="s">
        <v>1075</v>
      </c>
      <c r="K5907" s="8" t="s">
        <v>1075</v>
      </c>
      <c r="L5907" s="8" t="s">
        <v>13395</v>
      </c>
      <c r="M5907" s="8" t="s">
        <v>13396</v>
      </c>
      <c r="N5907" s="8" t="s">
        <v>26318</v>
      </c>
      <c r="O5907" s="8">
        <f>15+15/60+52.1/3600</f>
        <v>15.264472222222222</v>
      </c>
      <c r="P5907" s="8" t="s">
        <v>26319</v>
      </c>
      <c r="Q5907" s="8">
        <f>+(56+19/60+50/3600)</f>
        <v>56.330555555555556</v>
      </c>
      <c r="R5907" s="8">
        <v>14.5</v>
      </c>
      <c r="S5907" s="8">
        <v>99</v>
      </c>
      <c r="T5907" s="8">
        <v>99</v>
      </c>
      <c r="U5907" s="8">
        <v>99</v>
      </c>
      <c r="V5907" s="8">
        <v>0.1</v>
      </c>
      <c r="Y5907" s="8" t="s">
        <v>26320</v>
      </c>
      <c r="Z5907" s="8" t="s">
        <v>26321</v>
      </c>
    </row>
    <row r="5908" spans="1:26" x14ac:dyDescent="0.2">
      <c r="A5908" s="8">
        <v>5907</v>
      </c>
      <c r="B5908" s="8" t="s">
        <v>26322</v>
      </c>
      <c r="C5908" s="8" t="s">
        <v>26322</v>
      </c>
      <c r="F5908" s="47" t="s">
        <v>58084</v>
      </c>
      <c r="G5908" s="8">
        <v>6</v>
      </c>
      <c r="H5908" s="8" t="s">
        <v>21</v>
      </c>
      <c r="I5908" s="8" t="s">
        <v>22</v>
      </c>
      <c r="J5908" s="8" t="s">
        <v>22</v>
      </c>
      <c r="K5908" s="8" t="s">
        <v>160</v>
      </c>
      <c r="L5908" s="8" t="s">
        <v>13395</v>
      </c>
      <c r="M5908" s="8" t="s">
        <v>13396</v>
      </c>
      <c r="N5908" s="8" t="s">
        <v>26323</v>
      </c>
      <c r="O5908" s="8">
        <f>15+15/60+53.8/3600</f>
        <v>15.264944444444444</v>
      </c>
      <c r="P5908" s="8" t="s">
        <v>26324</v>
      </c>
      <c r="Q5908" s="8">
        <f>+(56+19/60+49/3600)</f>
        <v>56.330277777777781</v>
      </c>
      <c r="R5908" s="8">
        <v>10.3</v>
      </c>
      <c r="S5908" s="8">
        <v>11.1</v>
      </c>
      <c r="T5908" s="8">
        <v>0.8</v>
      </c>
      <c r="U5908" s="8">
        <v>13.3</v>
      </c>
      <c r="V5908" s="8">
        <v>12.6</v>
      </c>
      <c r="W5908" s="8">
        <v>1.4</v>
      </c>
      <c r="X5908" s="8">
        <v>155</v>
      </c>
      <c r="Y5908" s="8" t="s">
        <v>26320</v>
      </c>
      <c r="Z5908" s="8" t="s">
        <v>26325</v>
      </c>
    </row>
    <row r="5909" spans="1:26" x14ac:dyDescent="0.2">
      <c r="A5909" s="8">
        <v>5908</v>
      </c>
      <c r="B5909" s="8" t="s">
        <v>26326</v>
      </c>
      <c r="C5909" s="8" t="s">
        <v>26326</v>
      </c>
      <c r="F5909" s="47" t="s">
        <v>58085</v>
      </c>
      <c r="G5909" s="8">
        <v>11</v>
      </c>
      <c r="H5909" s="8" t="s">
        <v>21</v>
      </c>
      <c r="I5909" s="8" t="s">
        <v>22</v>
      </c>
      <c r="J5909" s="8" t="s">
        <v>22</v>
      </c>
      <c r="K5909" s="8" t="s">
        <v>23</v>
      </c>
      <c r="L5909" s="8" t="s">
        <v>13395</v>
      </c>
      <c r="M5909" s="8" t="s">
        <v>13396</v>
      </c>
      <c r="N5909" s="8" t="s">
        <v>26327</v>
      </c>
      <c r="O5909" s="8">
        <f>15+16/60+43.1/3600</f>
        <v>15.27863888888889</v>
      </c>
      <c r="P5909" s="8" t="s">
        <v>26328</v>
      </c>
      <c r="Q5909" s="8">
        <f>+(55+24/60+34/3600)</f>
        <v>55.409444444444446</v>
      </c>
      <c r="R5909" s="8">
        <v>11.8</v>
      </c>
      <c r="S5909" s="8">
        <v>12.8</v>
      </c>
      <c r="T5909" s="8">
        <v>1</v>
      </c>
      <c r="U5909" s="8">
        <v>13.2</v>
      </c>
      <c r="V5909" s="8">
        <v>3.3</v>
      </c>
      <c r="W5909" s="8">
        <v>1.4</v>
      </c>
      <c r="X5909" s="8">
        <v>154</v>
      </c>
      <c r="Y5909" s="8" t="s">
        <v>803</v>
      </c>
      <c r="Z5909" s="8" t="s">
        <v>804</v>
      </c>
    </row>
    <row r="5910" spans="1:26" x14ac:dyDescent="0.2">
      <c r="A5910" s="8">
        <v>5909</v>
      </c>
      <c r="B5910" s="8" t="s">
        <v>26329</v>
      </c>
      <c r="C5910" s="8" t="s">
        <v>26329</v>
      </c>
      <c r="F5910" s="47" t="s">
        <v>58086</v>
      </c>
      <c r="G5910" s="8">
        <v>15</v>
      </c>
      <c r="H5910" s="8" t="s">
        <v>21</v>
      </c>
      <c r="I5910" s="8" t="s">
        <v>22</v>
      </c>
      <c r="J5910" s="8" t="s">
        <v>22</v>
      </c>
      <c r="K5910" s="8" t="s">
        <v>396</v>
      </c>
      <c r="L5910" s="8" t="s">
        <v>14586</v>
      </c>
      <c r="M5910" s="8" t="s">
        <v>14587</v>
      </c>
      <c r="N5910" s="8" t="s">
        <v>26330</v>
      </c>
      <c r="O5910" s="8">
        <f>15+11/60+27.9/3600</f>
        <v>15.191083333333333</v>
      </c>
      <c r="P5910" s="8" t="s">
        <v>26331</v>
      </c>
      <c r="Q5910" s="8">
        <f>+(75+23/60+4/3600)</f>
        <v>75.384444444444455</v>
      </c>
      <c r="R5910" s="8">
        <v>13.8</v>
      </c>
      <c r="S5910" s="8">
        <v>14.6</v>
      </c>
      <c r="T5910" s="8">
        <v>0.8</v>
      </c>
      <c r="U5910" s="8">
        <v>13</v>
      </c>
      <c r="V5910" s="8">
        <v>1.1000000000000001</v>
      </c>
      <c r="W5910" s="8">
        <v>0.5</v>
      </c>
      <c r="X5910" s="8">
        <v>52</v>
      </c>
      <c r="Y5910" s="8" t="s">
        <v>282</v>
      </c>
      <c r="Z5910" s="8" t="s">
        <v>283</v>
      </c>
    </row>
    <row r="5911" spans="1:26" x14ac:dyDescent="0.2">
      <c r="A5911" s="8">
        <v>5910</v>
      </c>
      <c r="B5911" s="8" t="s">
        <v>26332</v>
      </c>
      <c r="C5911" s="8" t="s">
        <v>26332</v>
      </c>
      <c r="E5911" s="8">
        <v>1</v>
      </c>
      <c r="F5911" s="47" t="s">
        <v>58087</v>
      </c>
      <c r="G5911" s="8">
        <v>15</v>
      </c>
      <c r="H5911" s="8" t="s">
        <v>21</v>
      </c>
      <c r="I5911" s="8" t="s">
        <v>22</v>
      </c>
      <c r="J5911" s="8" t="s">
        <v>22</v>
      </c>
      <c r="K5911" s="8" t="s">
        <v>58</v>
      </c>
      <c r="L5911" s="8" t="s">
        <v>26227</v>
      </c>
      <c r="M5911" s="8" t="s">
        <v>26228</v>
      </c>
      <c r="N5911" s="8" t="s">
        <v>26333</v>
      </c>
      <c r="O5911" s="8">
        <f>15+19/60+24.7/3600</f>
        <v>15.323527777777777</v>
      </c>
      <c r="P5911" s="8" t="s">
        <v>26334</v>
      </c>
      <c r="Q5911" s="8">
        <f>+(20+53/60+46/3600)</f>
        <v>20.896111111111111</v>
      </c>
      <c r="R5911" s="8">
        <v>13.6</v>
      </c>
      <c r="S5911" s="8">
        <v>14.6</v>
      </c>
      <c r="T5911" s="8">
        <v>1</v>
      </c>
      <c r="U5911" s="8">
        <v>12.9</v>
      </c>
      <c r="V5911" s="8">
        <v>0.7</v>
      </c>
      <c r="W5911" s="8">
        <v>0.7</v>
      </c>
      <c r="Y5911" s="8" t="s">
        <v>26335</v>
      </c>
      <c r="Z5911" s="8" t="s">
        <v>26336</v>
      </c>
    </row>
    <row r="5912" spans="1:26" x14ac:dyDescent="0.2">
      <c r="A5912" s="8">
        <v>5911</v>
      </c>
      <c r="B5912" s="8" t="s">
        <v>26337</v>
      </c>
      <c r="C5912" s="8" t="s">
        <v>26337</v>
      </c>
      <c r="F5912" s="47"/>
      <c r="G5912" s="8">
        <v>19</v>
      </c>
      <c r="H5912" s="8" t="s">
        <v>21</v>
      </c>
      <c r="I5912" s="8" t="s">
        <v>22</v>
      </c>
      <c r="J5912" s="8" t="s">
        <v>22</v>
      </c>
      <c r="K5912" s="8" t="s">
        <v>632</v>
      </c>
      <c r="L5912" s="8" t="s">
        <v>26227</v>
      </c>
      <c r="M5912" s="8" t="s">
        <v>26228</v>
      </c>
      <c r="N5912" s="8" t="s">
        <v>26338</v>
      </c>
      <c r="O5912" s="8">
        <f>15+20/60+18.1/3600</f>
        <v>15.338361111111112</v>
      </c>
      <c r="P5912" s="8" t="s">
        <v>26339</v>
      </c>
      <c r="Q5912" s="8">
        <f>+(3+31/60+8/3600)</f>
        <v>3.5188888888888887</v>
      </c>
      <c r="R5912" s="8">
        <v>13.9</v>
      </c>
      <c r="S5912" s="8">
        <v>14.8</v>
      </c>
      <c r="T5912" s="8">
        <v>0.9</v>
      </c>
      <c r="U5912" s="8">
        <v>13.3</v>
      </c>
      <c r="V5912" s="8">
        <v>0.8</v>
      </c>
      <c r="W5912" s="8">
        <v>0.8</v>
      </c>
      <c r="Y5912" s="8" t="s">
        <v>26340</v>
      </c>
      <c r="Z5912" s="8" t="s">
        <v>26341</v>
      </c>
    </row>
    <row r="5913" spans="1:26" x14ac:dyDescent="0.2">
      <c r="A5913" s="8">
        <v>5912</v>
      </c>
      <c r="B5913" s="8" t="s">
        <v>26342</v>
      </c>
      <c r="C5913" s="8" t="s">
        <v>26342</v>
      </c>
      <c r="F5913" s="47" t="s">
        <v>58088</v>
      </c>
      <c r="G5913" s="8">
        <v>15</v>
      </c>
      <c r="H5913" s="8" t="s">
        <v>21</v>
      </c>
      <c r="I5913" s="8" t="s">
        <v>22</v>
      </c>
      <c r="J5913" s="8" t="s">
        <v>22</v>
      </c>
      <c r="K5913" s="8" t="s">
        <v>58</v>
      </c>
      <c r="L5913" s="8" t="s">
        <v>14586</v>
      </c>
      <c r="M5913" s="8" t="s">
        <v>14587</v>
      </c>
      <c r="N5913" s="8" t="s">
        <v>26343</v>
      </c>
      <c r="O5913" s="8">
        <f>15+11/60+40.5/3600</f>
        <v>15.194583333333334</v>
      </c>
      <c r="P5913" s="8" t="s">
        <v>26344</v>
      </c>
      <c r="Q5913" s="8">
        <f>+(75+23/60+5/3600)</f>
        <v>75.384722222222223</v>
      </c>
      <c r="R5913" s="8">
        <v>13.8</v>
      </c>
      <c r="S5913" s="8">
        <v>14.8</v>
      </c>
      <c r="T5913" s="8">
        <v>1</v>
      </c>
      <c r="U5913" s="8">
        <v>14.2</v>
      </c>
      <c r="V5913" s="8">
        <v>1.2</v>
      </c>
      <c r="W5913" s="8">
        <v>1.1000000000000001</v>
      </c>
      <c r="X5913" s="8">
        <v>129</v>
      </c>
      <c r="Y5913" s="8" t="s">
        <v>282</v>
      </c>
      <c r="Z5913" s="8" t="s">
        <v>283</v>
      </c>
    </row>
    <row r="5914" spans="1:26" x14ac:dyDescent="0.2">
      <c r="A5914" s="8">
        <v>5913</v>
      </c>
      <c r="B5914" s="8" t="s">
        <v>26345</v>
      </c>
      <c r="C5914" s="8" t="s">
        <v>26345</v>
      </c>
      <c r="F5914" s="47" t="s">
        <v>58089</v>
      </c>
      <c r="G5914" s="8">
        <v>15</v>
      </c>
      <c r="H5914" s="8" t="s">
        <v>21</v>
      </c>
      <c r="I5914" s="8" t="s">
        <v>22</v>
      </c>
      <c r="J5914" s="8" t="s">
        <v>22</v>
      </c>
      <c r="K5914" s="8" t="s">
        <v>154</v>
      </c>
      <c r="L5914" s="8" t="s">
        <v>26227</v>
      </c>
      <c r="M5914" s="8" t="s">
        <v>26228</v>
      </c>
      <c r="N5914" s="8" t="s">
        <v>26346</v>
      </c>
      <c r="O5914" s="8">
        <f>15+20/60+55.5/3600</f>
        <v>15.348750000000001</v>
      </c>
      <c r="P5914" s="8" t="s">
        <v>26347</v>
      </c>
      <c r="Q5914" s="8">
        <f>-(2+34/60+42/3600)</f>
        <v>-2.5783333333333331</v>
      </c>
      <c r="R5914" s="8">
        <v>13.2</v>
      </c>
      <c r="S5914" s="8">
        <v>14.1</v>
      </c>
      <c r="T5914" s="8">
        <v>0.9</v>
      </c>
      <c r="U5914" s="8">
        <v>13.2</v>
      </c>
      <c r="V5914" s="8">
        <v>1.6</v>
      </c>
      <c r="W5914" s="8">
        <v>0.7</v>
      </c>
      <c r="X5914" s="8">
        <v>168</v>
      </c>
      <c r="Y5914" s="8" t="s">
        <v>26348</v>
      </c>
      <c r="Z5914" s="8" t="s">
        <v>26349</v>
      </c>
    </row>
    <row r="5915" spans="1:26" x14ac:dyDescent="0.2">
      <c r="A5915" s="8">
        <v>5914</v>
      </c>
      <c r="B5915" s="8" t="s">
        <v>26350</v>
      </c>
      <c r="C5915" s="8" t="s">
        <v>26350</v>
      </c>
      <c r="F5915" s="47"/>
      <c r="G5915" s="8">
        <v>19</v>
      </c>
      <c r="H5915" s="8" t="s">
        <v>21</v>
      </c>
      <c r="I5915" s="8" t="s">
        <v>22</v>
      </c>
      <c r="J5915" s="8" t="s">
        <v>22</v>
      </c>
      <c r="K5915" s="8" t="s">
        <v>23</v>
      </c>
      <c r="L5915" s="8" t="s">
        <v>22476</v>
      </c>
      <c r="M5915" s="8" t="s">
        <v>22477</v>
      </c>
      <c r="N5915" s="8" t="s">
        <v>26351</v>
      </c>
      <c r="O5915" s="8">
        <f>15+18/60+43.7/3600</f>
        <v>15.312138888888889</v>
      </c>
      <c r="P5915" s="8" t="s">
        <v>26352</v>
      </c>
      <c r="Q5915" s="8">
        <f>+(41+51/60+55/3600)</f>
        <v>41.865277777777777</v>
      </c>
      <c r="R5915" s="8">
        <v>14.4</v>
      </c>
      <c r="S5915" s="8">
        <v>15.2</v>
      </c>
      <c r="T5915" s="8">
        <v>0.8</v>
      </c>
      <c r="U5915" s="8">
        <v>12.7</v>
      </c>
      <c r="V5915" s="8">
        <v>0.8</v>
      </c>
      <c r="W5915" s="8">
        <v>0.3</v>
      </c>
      <c r="X5915" s="8">
        <v>153</v>
      </c>
      <c r="Y5915" s="8" t="s">
        <v>26353</v>
      </c>
      <c r="Z5915" s="8" t="s">
        <v>26354</v>
      </c>
    </row>
    <row r="5916" spans="1:26" x14ac:dyDescent="0.2">
      <c r="A5916" s="8">
        <v>5915</v>
      </c>
      <c r="B5916" s="8" t="s">
        <v>26355</v>
      </c>
      <c r="C5916" s="8" t="s">
        <v>26355</v>
      </c>
      <c r="F5916" s="47"/>
      <c r="G5916" s="8">
        <v>13</v>
      </c>
      <c r="H5916" s="8" t="s">
        <v>21</v>
      </c>
      <c r="I5916" s="8" t="s">
        <v>22</v>
      </c>
      <c r="J5916" s="8" t="s">
        <v>22</v>
      </c>
      <c r="K5916" s="8" t="s">
        <v>406</v>
      </c>
      <c r="L5916" s="8" t="s">
        <v>24948</v>
      </c>
      <c r="M5916" s="8" t="s">
        <v>24949</v>
      </c>
      <c r="N5916" s="8" t="s">
        <v>26356</v>
      </c>
      <c r="O5916" s="8">
        <f>15+21/60+33/3600</f>
        <v>15.359166666666667</v>
      </c>
      <c r="P5916" s="8" t="s">
        <v>26357</v>
      </c>
      <c r="Q5916" s="8">
        <f>-(13+5/60+30/3600)</f>
        <v>-13.091666666666667</v>
      </c>
      <c r="R5916" s="8">
        <v>12.3</v>
      </c>
      <c r="S5916" s="8">
        <v>12.8</v>
      </c>
      <c r="T5916" s="8">
        <v>0.5</v>
      </c>
      <c r="U5916" s="8">
        <v>13</v>
      </c>
      <c r="V5916" s="8">
        <v>1.6</v>
      </c>
      <c r="W5916" s="8">
        <v>1.1000000000000001</v>
      </c>
      <c r="X5916" s="8">
        <v>164</v>
      </c>
      <c r="Y5916" s="8" t="s">
        <v>26358</v>
      </c>
      <c r="Z5916" s="8" t="s">
        <v>26359</v>
      </c>
    </row>
    <row r="5917" spans="1:26" x14ac:dyDescent="0.2">
      <c r="A5917" s="8">
        <v>5916</v>
      </c>
      <c r="B5917" s="8" t="s">
        <v>26360</v>
      </c>
      <c r="C5917" s="8" t="s">
        <v>26360</v>
      </c>
      <c r="F5917" s="47"/>
      <c r="G5917" s="8">
        <v>16</v>
      </c>
      <c r="H5917" s="8" t="s">
        <v>21</v>
      </c>
      <c r="I5917" s="8" t="s">
        <v>22</v>
      </c>
      <c r="J5917" s="8" t="s">
        <v>22</v>
      </c>
      <c r="K5917" s="8" t="s">
        <v>7975</v>
      </c>
      <c r="L5917" s="8" t="s">
        <v>24948</v>
      </c>
      <c r="M5917" s="8" t="s">
        <v>24949</v>
      </c>
      <c r="N5917" s="8" t="s">
        <v>26361</v>
      </c>
      <c r="O5917" s="8">
        <f>15+21/60+37.8/3600</f>
        <v>15.3605</v>
      </c>
      <c r="P5917" s="8" t="s">
        <v>26362</v>
      </c>
      <c r="Q5917" s="8">
        <f>-(13+10/60+9/3600)</f>
        <v>-13.169166666666666</v>
      </c>
      <c r="R5917" s="8">
        <v>13.2</v>
      </c>
      <c r="S5917" s="8">
        <v>14.2</v>
      </c>
      <c r="T5917" s="8">
        <v>1</v>
      </c>
      <c r="U5917" s="8">
        <v>14.1</v>
      </c>
      <c r="V5917" s="8">
        <v>2.8</v>
      </c>
      <c r="W5917" s="8">
        <v>0.9</v>
      </c>
      <c r="X5917" s="8">
        <v>15</v>
      </c>
      <c r="Y5917" s="8" t="s">
        <v>26363</v>
      </c>
      <c r="Z5917" s="8" t="s">
        <v>26364</v>
      </c>
    </row>
    <row r="5918" spans="1:26" x14ac:dyDescent="0.2">
      <c r="A5918" s="8">
        <v>5917</v>
      </c>
      <c r="B5918" s="8" t="s">
        <v>26365</v>
      </c>
      <c r="C5918" s="8" t="s">
        <v>26365</v>
      </c>
      <c r="F5918" s="47"/>
      <c r="G5918" s="8">
        <v>16</v>
      </c>
      <c r="H5918" s="8" t="s">
        <v>21</v>
      </c>
      <c r="I5918" s="8" t="s">
        <v>22</v>
      </c>
      <c r="J5918" s="8" t="s">
        <v>22</v>
      </c>
      <c r="K5918" s="8" t="s">
        <v>23</v>
      </c>
      <c r="L5918" s="8" t="s">
        <v>24948</v>
      </c>
      <c r="M5918" s="8" t="s">
        <v>24949</v>
      </c>
      <c r="N5918" s="8" t="s">
        <v>26366</v>
      </c>
      <c r="O5918" s="8">
        <f>15+21/60+32.5/3600</f>
        <v>15.359027777777778</v>
      </c>
      <c r="P5918" s="8" t="s">
        <v>26367</v>
      </c>
      <c r="Q5918" s="8">
        <f>-(7+22/60+39/3600)</f>
        <v>-7.3774999999999995</v>
      </c>
      <c r="R5918" s="8">
        <v>13</v>
      </c>
      <c r="S5918" s="8">
        <v>13.8</v>
      </c>
      <c r="T5918" s="8">
        <v>0.8</v>
      </c>
      <c r="U5918" s="8">
        <v>13.1</v>
      </c>
      <c r="V5918" s="8">
        <v>1.6</v>
      </c>
      <c r="W5918" s="8">
        <v>0.9</v>
      </c>
      <c r="X5918" s="8">
        <v>75</v>
      </c>
      <c r="Y5918" s="8" t="s">
        <v>26368</v>
      </c>
      <c r="Z5918" s="8" t="s">
        <v>26369</v>
      </c>
    </row>
    <row r="5919" spans="1:26" x14ac:dyDescent="0.2">
      <c r="A5919" s="8">
        <v>5918</v>
      </c>
      <c r="B5919" s="8" t="s">
        <v>26370</v>
      </c>
      <c r="C5919" s="8" t="s">
        <v>26370</v>
      </c>
      <c r="F5919" s="47"/>
      <c r="G5919" s="8">
        <v>16</v>
      </c>
      <c r="H5919" s="8" t="s">
        <v>21</v>
      </c>
      <c r="I5919" s="8" t="s">
        <v>22</v>
      </c>
      <c r="J5919" s="8" t="s">
        <v>22</v>
      </c>
      <c r="K5919" s="8" t="s">
        <v>160</v>
      </c>
      <c r="L5919" s="8" t="s">
        <v>22476</v>
      </c>
      <c r="M5919" s="8" t="s">
        <v>22477</v>
      </c>
      <c r="N5919" s="8" t="s">
        <v>26371</v>
      </c>
      <c r="O5919" s="8">
        <f>15+19/60+25.1/3600</f>
        <v>15.323638888888889</v>
      </c>
      <c r="P5919" s="8" t="s">
        <v>26372</v>
      </c>
      <c r="Q5919" s="8">
        <f>+(45+52/60+49/3600)</f>
        <v>45.880277777777778</v>
      </c>
      <c r="R5919" s="8">
        <v>13.2</v>
      </c>
      <c r="S5919" s="8">
        <v>13.9</v>
      </c>
      <c r="T5919" s="8">
        <v>0.7</v>
      </c>
      <c r="U5919" s="8">
        <v>13.5</v>
      </c>
      <c r="V5919" s="8">
        <v>1.9</v>
      </c>
      <c r="W5919" s="8">
        <v>0.8</v>
      </c>
      <c r="X5919" s="8">
        <v>85</v>
      </c>
      <c r="Y5919" s="8" t="s">
        <v>26373</v>
      </c>
      <c r="Z5919" s="8" t="s">
        <v>26374</v>
      </c>
    </row>
    <row r="5920" spans="1:26" x14ac:dyDescent="0.2">
      <c r="A5920" s="8">
        <v>5919</v>
      </c>
      <c r="B5920" s="8" t="s">
        <v>26375</v>
      </c>
      <c r="C5920" s="8" t="s">
        <v>26375</v>
      </c>
      <c r="F5920" s="47"/>
      <c r="G5920" s="8">
        <v>19</v>
      </c>
      <c r="H5920" s="8" t="s">
        <v>21</v>
      </c>
      <c r="I5920" s="8" t="s">
        <v>22</v>
      </c>
      <c r="J5920" s="8" t="s">
        <v>22</v>
      </c>
      <c r="K5920" s="8" t="s">
        <v>460</v>
      </c>
      <c r="L5920" s="8" t="s">
        <v>26227</v>
      </c>
      <c r="M5920" s="8" t="s">
        <v>26228</v>
      </c>
      <c r="N5920" s="8" t="s">
        <v>26376</v>
      </c>
      <c r="O5920" s="8">
        <f>15+21/60+36.8/3600</f>
        <v>15.360222222222221</v>
      </c>
      <c r="P5920" s="8" t="s">
        <v>26377</v>
      </c>
      <c r="Q5920" s="8">
        <f>+(7+43/60+11/3600)</f>
        <v>7.7197222222222219</v>
      </c>
      <c r="R5920" s="8">
        <v>15.9</v>
      </c>
      <c r="S5920" s="8">
        <v>16.899999999999999</v>
      </c>
      <c r="T5920" s="8">
        <v>1</v>
      </c>
      <c r="U5920" s="8">
        <v>13.4</v>
      </c>
      <c r="V5920" s="8">
        <v>0.3</v>
      </c>
      <c r="W5920" s="8">
        <v>0.3</v>
      </c>
      <c r="Y5920" s="8" t="s">
        <v>26378</v>
      </c>
      <c r="Z5920" s="8" t="s">
        <v>26379</v>
      </c>
    </row>
    <row r="5921" spans="1:26" x14ac:dyDescent="0.2">
      <c r="A5921" s="8">
        <v>5920</v>
      </c>
      <c r="B5921" s="8" t="s">
        <v>26380</v>
      </c>
      <c r="C5921" s="8" t="s">
        <v>26380</v>
      </c>
      <c r="F5921" s="47"/>
      <c r="G5921" s="8">
        <v>19</v>
      </c>
      <c r="H5921" s="8" t="s">
        <v>21</v>
      </c>
      <c r="I5921" s="8" t="s">
        <v>22</v>
      </c>
      <c r="J5921" s="8" t="s">
        <v>22</v>
      </c>
      <c r="K5921" s="8" t="s">
        <v>37</v>
      </c>
      <c r="L5921" s="8" t="s">
        <v>26227</v>
      </c>
      <c r="M5921" s="8" t="s">
        <v>26228</v>
      </c>
      <c r="N5921" s="8" t="s">
        <v>26381</v>
      </c>
      <c r="O5921" s="8">
        <f>15+21/60+51.8/3600</f>
        <v>15.364388888888888</v>
      </c>
      <c r="P5921" s="8" t="s">
        <v>26382</v>
      </c>
      <c r="Q5921" s="8">
        <f>+(7+42/60+32/3600)</f>
        <v>7.7088888888888887</v>
      </c>
      <c r="R5921" s="8">
        <v>13.6</v>
      </c>
      <c r="S5921" s="8">
        <v>14.7</v>
      </c>
      <c r="T5921" s="8">
        <v>1.1000000000000001</v>
      </c>
      <c r="U5921" s="8">
        <v>13.4</v>
      </c>
      <c r="V5921" s="8">
        <v>1.1000000000000001</v>
      </c>
      <c r="W5921" s="8">
        <v>0.6</v>
      </c>
      <c r="X5921" s="8">
        <v>105</v>
      </c>
      <c r="Y5921" s="8" t="s">
        <v>26383</v>
      </c>
      <c r="Z5921" s="8" t="s">
        <v>26384</v>
      </c>
    </row>
    <row r="5922" spans="1:26" x14ac:dyDescent="0.2">
      <c r="A5922" s="8">
        <v>5921</v>
      </c>
      <c r="B5922" s="8" t="s">
        <v>26385</v>
      </c>
      <c r="C5922" s="8" t="s">
        <v>26385</v>
      </c>
      <c r="F5922" s="47" t="s">
        <v>58090</v>
      </c>
      <c r="G5922" s="8">
        <v>7</v>
      </c>
      <c r="H5922" s="8" t="s">
        <v>21</v>
      </c>
      <c r="I5922" s="8" t="s">
        <v>22</v>
      </c>
      <c r="J5922" s="8" t="s">
        <v>22</v>
      </c>
      <c r="K5922" s="8" t="s">
        <v>85</v>
      </c>
      <c r="L5922" s="8" t="s">
        <v>26227</v>
      </c>
      <c r="M5922" s="8" t="s">
        <v>26228</v>
      </c>
      <c r="N5922" s="8" t="s">
        <v>26386</v>
      </c>
      <c r="O5922" s="8">
        <f>15+21/60+56.3/3600</f>
        <v>15.365638888888888</v>
      </c>
      <c r="P5922" s="8" t="s">
        <v>26387</v>
      </c>
      <c r="Q5922" s="8">
        <f>+(5+4/60+13/3600)</f>
        <v>5.0702777777777772</v>
      </c>
      <c r="R5922" s="8">
        <v>10.8</v>
      </c>
      <c r="S5922" s="8">
        <v>11.5</v>
      </c>
      <c r="T5922" s="8">
        <v>0.7</v>
      </c>
      <c r="U5922" s="8">
        <v>13.9</v>
      </c>
      <c r="V5922" s="8">
        <v>4.8</v>
      </c>
      <c r="W5922" s="8">
        <v>4</v>
      </c>
      <c r="X5922" s="8">
        <v>130</v>
      </c>
      <c r="Y5922" s="8" t="s">
        <v>26388</v>
      </c>
      <c r="Z5922" s="8" t="s">
        <v>26389</v>
      </c>
    </row>
    <row r="5923" spans="1:26" x14ac:dyDescent="0.2">
      <c r="A5923" s="8">
        <v>5922</v>
      </c>
      <c r="B5923" s="8" t="s">
        <v>26390</v>
      </c>
      <c r="C5923" s="8" t="s">
        <v>26390</v>
      </c>
      <c r="G5923" s="8">
        <v>15</v>
      </c>
      <c r="H5923" s="8" t="s">
        <v>21</v>
      </c>
      <c r="I5923" s="8" t="s">
        <v>329</v>
      </c>
      <c r="J5923" s="8" t="s">
        <v>329</v>
      </c>
      <c r="K5923" s="8" t="s">
        <v>329</v>
      </c>
      <c r="L5923" s="8" t="s">
        <v>22476</v>
      </c>
      <c r="M5923" s="8" t="s">
        <v>22477</v>
      </c>
      <c r="N5923" s="8" t="s">
        <v>26391</v>
      </c>
      <c r="O5923" s="8">
        <f>15+23/60+33/3600</f>
        <v>15.3925</v>
      </c>
      <c r="P5923" s="8" t="s">
        <v>26392</v>
      </c>
      <c r="Q5923" s="8">
        <f>+(41+39/60+24/3600)</f>
        <v>41.656666666666666</v>
      </c>
      <c r="R5923" s="8">
        <v>99</v>
      </c>
      <c r="S5923" s="8">
        <v>99</v>
      </c>
      <c r="T5923" s="8">
        <v>99</v>
      </c>
      <c r="U5923" s="8">
        <v>99</v>
      </c>
      <c r="Y5923" s="8" t="s">
        <v>745</v>
      </c>
      <c r="Z5923" s="8" t="s">
        <v>746</v>
      </c>
    </row>
    <row r="5924" spans="1:26" x14ac:dyDescent="0.2">
      <c r="A5924" s="8">
        <v>5923</v>
      </c>
      <c r="B5924" s="8" t="s">
        <v>26393</v>
      </c>
      <c r="C5924" s="8" t="s">
        <v>26393</v>
      </c>
      <c r="F5924" s="47" t="s">
        <v>58091</v>
      </c>
      <c r="G5924" s="8">
        <v>16</v>
      </c>
      <c r="H5924" s="8" t="s">
        <v>21</v>
      </c>
      <c r="I5924" s="8" t="s">
        <v>22</v>
      </c>
      <c r="J5924" s="8" t="s">
        <v>22</v>
      </c>
      <c r="K5924" s="8" t="s">
        <v>85</v>
      </c>
      <c r="L5924" s="8" t="s">
        <v>22476</v>
      </c>
      <c r="M5924" s="8" t="s">
        <v>22477</v>
      </c>
      <c r="N5924" s="8" t="s">
        <v>26394</v>
      </c>
      <c r="O5924" s="8">
        <f>15+21/60+14.1/3600</f>
        <v>15.353916666666667</v>
      </c>
      <c r="P5924" s="8" t="s">
        <v>26395</v>
      </c>
      <c r="Q5924" s="8">
        <f>+(41+43/60+35/3600)</f>
        <v>41.726388888888891</v>
      </c>
      <c r="R5924" s="8">
        <v>13.1</v>
      </c>
      <c r="S5924" s="8">
        <v>13.7</v>
      </c>
      <c r="T5924" s="8">
        <v>0.6</v>
      </c>
      <c r="U5924" s="8">
        <v>14.2</v>
      </c>
      <c r="V5924" s="8">
        <v>1.8</v>
      </c>
      <c r="W5924" s="8">
        <v>1.8</v>
      </c>
      <c r="Y5924" s="8" t="s">
        <v>745</v>
      </c>
      <c r="Z5924" s="8" t="s">
        <v>26396</v>
      </c>
    </row>
    <row r="5925" spans="1:26" x14ac:dyDescent="0.2">
      <c r="A5925" s="8">
        <v>5924</v>
      </c>
      <c r="B5925" s="8" t="s">
        <v>26397</v>
      </c>
      <c r="C5925" s="8" t="s">
        <v>26397</v>
      </c>
      <c r="F5925" s="47"/>
      <c r="G5925" s="8">
        <v>19</v>
      </c>
      <c r="H5925" s="8" t="s">
        <v>21</v>
      </c>
      <c r="I5925" s="8" t="s">
        <v>22</v>
      </c>
      <c r="J5925" s="8" t="s">
        <v>22</v>
      </c>
      <c r="K5925" s="8" t="s">
        <v>91</v>
      </c>
      <c r="L5925" s="8" t="s">
        <v>26398</v>
      </c>
      <c r="M5925" s="8" t="s">
        <v>26399</v>
      </c>
      <c r="N5925" s="8" t="s">
        <v>26400</v>
      </c>
      <c r="O5925" s="8">
        <f>15+22/60+2/3600</f>
        <v>15.367222222222223</v>
      </c>
      <c r="P5925" s="8" t="s">
        <v>26401</v>
      </c>
      <c r="Q5925" s="8">
        <f>+(31+13/60+57/3600)</f>
        <v>31.232499999999998</v>
      </c>
      <c r="R5925" s="8">
        <v>14.6</v>
      </c>
      <c r="S5925" s="8">
        <v>15.5</v>
      </c>
      <c r="T5925" s="8">
        <v>0.9</v>
      </c>
      <c r="U5925" s="8">
        <v>12.9</v>
      </c>
      <c r="V5925" s="8">
        <v>0.8</v>
      </c>
      <c r="W5925" s="8">
        <v>0.3</v>
      </c>
      <c r="X5925" s="8">
        <v>12</v>
      </c>
      <c r="Y5925" s="8" t="s">
        <v>26402</v>
      </c>
      <c r="Z5925" s="8" t="s">
        <v>26403</v>
      </c>
    </row>
    <row r="5926" spans="1:26" x14ac:dyDescent="0.2">
      <c r="A5926" s="8">
        <v>5925</v>
      </c>
      <c r="B5926" s="8" t="s">
        <v>26404</v>
      </c>
      <c r="C5926" s="8" t="s">
        <v>26404</v>
      </c>
      <c r="F5926" s="47"/>
      <c r="G5926" s="8">
        <v>8</v>
      </c>
      <c r="H5926" s="8" t="s">
        <v>21</v>
      </c>
      <c r="I5926" s="8" t="s">
        <v>557</v>
      </c>
      <c r="J5926" s="8" t="s">
        <v>557</v>
      </c>
      <c r="K5926" s="8" t="s">
        <v>3647</v>
      </c>
      <c r="L5926" s="8" t="s">
        <v>26405</v>
      </c>
      <c r="M5926" s="8" t="s">
        <v>26406</v>
      </c>
      <c r="N5926" s="8" t="s">
        <v>26407</v>
      </c>
      <c r="O5926" s="8">
        <f>15+27/60+26/3600</f>
        <v>15.457222222222221</v>
      </c>
      <c r="P5926" s="8" t="s">
        <v>26408</v>
      </c>
      <c r="Q5926" s="8">
        <f>-(54+31/60+42/3600)</f>
        <v>-54.528333333333329</v>
      </c>
      <c r="R5926" s="8">
        <v>8.4</v>
      </c>
      <c r="S5926" s="8">
        <v>99</v>
      </c>
      <c r="T5926" s="8">
        <v>99</v>
      </c>
      <c r="U5926" s="8">
        <v>99</v>
      </c>
      <c r="V5926" s="8">
        <v>20</v>
      </c>
      <c r="Y5926" s="8" t="s">
        <v>26409</v>
      </c>
      <c r="Z5926" s="8" t="s">
        <v>26410</v>
      </c>
    </row>
    <row r="5927" spans="1:26" x14ac:dyDescent="0.2">
      <c r="A5927" s="8">
        <v>5926</v>
      </c>
      <c r="B5927" s="8" t="s">
        <v>26411</v>
      </c>
      <c r="C5927" s="8" t="s">
        <v>26411</v>
      </c>
      <c r="F5927" s="47"/>
      <c r="G5927" s="8">
        <v>19</v>
      </c>
      <c r="H5927" s="8" t="s">
        <v>21</v>
      </c>
      <c r="I5927" s="8" t="s">
        <v>22</v>
      </c>
      <c r="J5927" s="8" t="s">
        <v>22</v>
      </c>
      <c r="K5927" s="8" t="s">
        <v>476</v>
      </c>
      <c r="L5927" s="8" t="s">
        <v>26227</v>
      </c>
      <c r="M5927" s="8" t="s">
        <v>26228</v>
      </c>
      <c r="N5927" s="8" t="s">
        <v>26412</v>
      </c>
      <c r="O5927" s="8">
        <f>15+23/60+25/3600</f>
        <v>15.390277777777778</v>
      </c>
      <c r="P5927" s="8" t="s">
        <v>26413</v>
      </c>
      <c r="Q5927" s="8">
        <f>+(12+42/60+57/3600)</f>
        <v>12.715833333333332</v>
      </c>
      <c r="R5927" s="8">
        <v>13.6</v>
      </c>
      <c r="S5927" s="8">
        <v>14.5</v>
      </c>
      <c r="T5927" s="8">
        <v>0.9</v>
      </c>
      <c r="U5927" s="8">
        <v>12.6</v>
      </c>
      <c r="V5927" s="8">
        <v>0.8</v>
      </c>
      <c r="W5927" s="8">
        <v>0.6</v>
      </c>
      <c r="X5927" s="8">
        <v>90</v>
      </c>
      <c r="Y5927" s="8" t="s">
        <v>26414</v>
      </c>
      <c r="Z5927" s="8" t="s">
        <v>26415</v>
      </c>
    </row>
    <row r="5928" spans="1:26" x14ac:dyDescent="0.2">
      <c r="A5928" s="8">
        <v>5927</v>
      </c>
      <c r="B5928" s="8" t="s">
        <v>26416</v>
      </c>
      <c r="C5928" s="8" t="s">
        <v>26416</v>
      </c>
      <c r="F5928" s="47"/>
      <c r="G5928" s="8">
        <v>3</v>
      </c>
      <c r="H5928" s="8" t="s">
        <v>21</v>
      </c>
      <c r="I5928" s="8" t="s">
        <v>567</v>
      </c>
      <c r="J5928" s="8" t="s">
        <v>567</v>
      </c>
      <c r="K5928" s="8" t="s">
        <v>21778</v>
      </c>
      <c r="L5928" s="8" t="s">
        <v>24674</v>
      </c>
      <c r="M5928" s="8" t="s">
        <v>24675</v>
      </c>
      <c r="N5928" s="8" t="s">
        <v>26417</v>
      </c>
      <c r="O5928" s="8">
        <f>15+28/60+0.5/3600</f>
        <v>15.466805555555556</v>
      </c>
      <c r="P5928" s="8" t="s">
        <v>26418</v>
      </c>
      <c r="Q5928" s="8">
        <f>-(50+40/60+20/3600)</f>
        <v>-50.672222222222217</v>
      </c>
      <c r="R5928" s="8">
        <v>8</v>
      </c>
      <c r="S5928" s="8">
        <v>99</v>
      </c>
      <c r="T5928" s="8">
        <v>99</v>
      </c>
      <c r="U5928" s="8">
        <v>99</v>
      </c>
      <c r="V5928" s="8">
        <v>6</v>
      </c>
      <c r="Y5928" s="8" t="s">
        <v>26419</v>
      </c>
      <c r="Z5928" s="8" t="s">
        <v>26420</v>
      </c>
    </row>
    <row r="5929" spans="1:26" x14ac:dyDescent="0.2">
      <c r="A5929" s="8">
        <v>5928</v>
      </c>
      <c r="B5929" s="8" t="s">
        <v>26421</v>
      </c>
      <c r="C5929" s="8" t="s">
        <v>26421</v>
      </c>
      <c r="F5929" s="47" t="s">
        <v>58092</v>
      </c>
      <c r="G5929" s="8">
        <v>15</v>
      </c>
      <c r="H5929" s="8" t="s">
        <v>21</v>
      </c>
      <c r="I5929" s="8" t="s">
        <v>22</v>
      </c>
      <c r="J5929" s="8" t="s">
        <v>22</v>
      </c>
      <c r="K5929" s="8" t="s">
        <v>37</v>
      </c>
      <c r="L5929" s="8" t="s">
        <v>26227</v>
      </c>
      <c r="M5929" s="8" t="s">
        <v>26228</v>
      </c>
      <c r="N5929" s="8" t="s">
        <v>26422</v>
      </c>
      <c r="O5929" s="8">
        <f>15+26/60+2.8/3600</f>
        <v>15.434111111111111</v>
      </c>
      <c r="P5929" s="8" t="s">
        <v>26423</v>
      </c>
      <c r="Q5929" s="8">
        <f>+(18+4/60+25/3600)</f>
        <v>18.073611111111109</v>
      </c>
      <c r="R5929" s="8">
        <v>12.2</v>
      </c>
      <c r="S5929" s="8">
        <v>13.2</v>
      </c>
      <c r="T5929" s="8">
        <v>1</v>
      </c>
      <c r="U5929" s="8">
        <v>13.5</v>
      </c>
      <c r="V5929" s="8">
        <v>2.2000000000000002</v>
      </c>
      <c r="W5929" s="8">
        <v>1.6</v>
      </c>
      <c r="X5929" s="8">
        <v>105</v>
      </c>
      <c r="Y5929" s="8" t="s">
        <v>26424</v>
      </c>
      <c r="Z5929" s="8" t="s">
        <v>26425</v>
      </c>
    </row>
    <row r="5930" spans="1:26" x14ac:dyDescent="0.2">
      <c r="A5930" s="8">
        <v>5929</v>
      </c>
      <c r="B5930" s="8" t="s">
        <v>26426</v>
      </c>
      <c r="C5930" s="8" t="s">
        <v>26426</v>
      </c>
      <c r="F5930" s="47"/>
      <c r="G5930" s="8">
        <v>16</v>
      </c>
      <c r="H5930" s="8" t="s">
        <v>21</v>
      </c>
      <c r="I5930" s="8" t="s">
        <v>22</v>
      </c>
      <c r="J5930" s="8" t="s">
        <v>22</v>
      </c>
      <c r="K5930" s="8" t="s">
        <v>20392</v>
      </c>
      <c r="L5930" s="8" t="s">
        <v>22476</v>
      </c>
      <c r="M5930" s="8" t="s">
        <v>22477</v>
      </c>
      <c r="N5930" s="8" t="s">
        <v>26427</v>
      </c>
      <c r="O5930" s="8">
        <f>15+26/60+6.1/3600</f>
        <v>15.435027777777778</v>
      </c>
      <c r="P5930" s="8" t="s">
        <v>4751</v>
      </c>
      <c r="Q5930" s="8">
        <f>+(41+40/60+16/3600)</f>
        <v>41.671111111111109</v>
      </c>
      <c r="R5930" s="8">
        <v>13.1</v>
      </c>
      <c r="S5930" s="8">
        <v>13.9</v>
      </c>
      <c r="T5930" s="8">
        <v>0.8</v>
      </c>
      <c r="U5930" s="8">
        <v>12.6</v>
      </c>
      <c r="V5930" s="8">
        <v>0.9</v>
      </c>
      <c r="W5930" s="8">
        <v>0.8</v>
      </c>
      <c r="Y5930" s="8" t="s">
        <v>26428</v>
      </c>
      <c r="Z5930" s="8" t="s">
        <v>26429</v>
      </c>
    </row>
    <row r="5931" spans="1:26" x14ac:dyDescent="0.2">
      <c r="A5931" s="8">
        <v>5930</v>
      </c>
      <c r="B5931" s="8" t="s">
        <v>26430</v>
      </c>
      <c r="C5931" s="8" t="s">
        <v>26430</v>
      </c>
      <c r="F5931" s="47" t="s">
        <v>58093</v>
      </c>
      <c r="G5931" s="8">
        <v>15</v>
      </c>
      <c r="H5931" s="8" t="s">
        <v>21</v>
      </c>
      <c r="I5931" s="8" t="s">
        <v>22</v>
      </c>
      <c r="J5931" s="8" t="s">
        <v>22</v>
      </c>
      <c r="K5931" s="8" t="s">
        <v>5751</v>
      </c>
      <c r="L5931" s="8" t="s">
        <v>22476</v>
      </c>
      <c r="M5931" s="8" t="s">
        <v>22477</v>
      </c>
      <c r="N5931" s="8" t="s">
        <v>26431</v>
      </c>
      <c r="O5931" s="8">
        <f>15+26/60+8/3600</f>
        <v>15.435555555555556</v>
      </c>
      <c r="P5931" s="8" t="s">
        <v>26432</v>
      </c>
      <c r="Q5931" s="8">
        <f>+(41+40/60+33/3600)</f>
        <v>41.67583333333333</v>
      </c>
      <c r="R5931" s="8">
        <v>12.2</v>
      </c>
      <c r="S5931" s="8">
        <v>13</v>
      </c>
      <c r="T5931" s="8">
        <v>0.8</v>
      </c>
      <c r="U5931" s="8">
        <v>11.7</v>
      </c>
      <c r="V5931" s="8">
        <v>0.9</v>
      </c>
      <c r="W5931" s="8">
        <v>0.8</v>
      </c>
      <c r="X5931" s="8">
        <v>37</v>
      </c>
      <c r="Y5931" s="8" t="s">
        <v>26428</v>
      </c>
      <c r="Z5931" s="8" t="s">
        <v>26433</v>
      </c>
    </row>
    <row r="5932" spans="1:26" x14ac:dyDescent="0.2">
      <c r="A5932" s="8">
        <v>5931</v>
      </c>
      <c r="B5932" s="8" t="s">
        <v>26434</v>
      </c>
      <c r="C5932" s="8" t="s">
        <v>26434</v>
      </c>
      <c r="F5932" s="47"/>
      <c r="G5932" s="8">
        <v>19</v>
      </c>
      <c r="H5932" s="8" t="s">
        <v>21</v>
      </c>
      <c r="I5932" s="8" t="s">
        <v>22</v>
      </c>
      <c r="J5932" s="8" t="s">
        <v>22</v>
      </c>
      <c r="K5932" s="8" t="s">
        <v>37</v>
      </c>
      <c r="L5932" s="8" t="s">
        <v>26227</v>
      </c>
      <c r="M5932" s="8" t="s">
        <v>26228</v>
      </c>
      <c r="N5932" s="8" t="s">
        <v>26435</v>
      </c>
      <c r="O5932" s="8">
        <f>15+29/60+29.6/3600</f>
        <v>15.491555555555555</v>
      </c>
      <c r="P5932" s="8" t="s">
        <v>26436</v>
      </c>
      <c r="Q5932" s="8">
        <f>+(7+34/60+23/3600)</f>
        <v>7.5730555555555554</v>
      </c>
      <c r="R5932" s="8">
        <v>14</v>
      </c>
      <c r="S5932" s="8">
        <v>15</v>
      </c>
      <c r="T5932" s="8">
        <v>1</v>
      </c>
      <c r="U5932" s="8">
        <v>13.1</v>
      </c>
      <c r="V5932" s="8">
        <v>1</v>
      </c>
      <c r="W5932" s="8">
        <v>0.5</v>
      </c>
      <c r="X5932" s="8">
        <v>48</v>
      </c>
      <c r="Y5932" s="8" t="s">
        <v>2734</v>
      </c>
      <c r="Z5932" s="8" t="s">
        <v>2735</v>
      </c>
    </row>
    <row r="5933" spans="1:26" x14ac:dyDescent="0.2">
      <c r="A5933" s="8">
        <v>5932</v>
      </c>
      <c r="B5933" s="8" t="s">
        <v>26437</v>
      </c>
      <c r="C5933" s="8" t="s">
        <v>26437</v>
      </c>
      <c r="F5933" s="47"/>
      <c r="G5933" s="8">
        <v>19</v>
      </c>
      <c r="H5933" s="8" t="s">
        <v>21</v>
      </c>
      <c r="I5933" s="8" t="s">
        <v>22</v>
      </c>
      <c r="J5933" s="8" t="s">
        <v>22</v>
      </c>
      <c r="K5933" s="8" t="s">
        <v>183</v>
      </c>
      <c r="L5933" s="8" t="s">
        <v>22476</v>
      </c>
      <c r="M5933" s="8" t="s">
        <v>22477</v>
      </c>
      <c r="N5933" s="8" t="s">
        <v>26438</v>
      </c>
      <c r="O5933" s="8">
        <f>15+26/60+48.2/3600</f>
        <v>15.446722222222222</v>
      </c>
      <c r="P5933" s="8" t="s">
        <v>26439</v>
      </c>
      <c r="Q5933" s="8">
        <f>+(48+36/60+54/3600)</f>
        <v>48.615000000000002</v>
      </c>
      <c r="R5933" s="8">
        <v>14.3</v>
      </c>
      <c r="S5933" s="8">
        <v>15.1</v>
      </c>
      <c r="T5933" s="8">
        <v>0.8</v>
      </c>
      <c r="U5933" s="8">
        <v>13.7</v>
      </c>
      <c r="V5933" s="8">
        <v>0.8</v>
      </c>
      <c r="W5933" s="8">
        <v>0.8</v>
      </c>
      <c r="Y5933" s="8" t="s">
        <v>26440</v>
      </c>
      <c r="Z5933" s="8" t="s">
        <v>26441</v>
      </c>
    </row>
    <row r="5934" spans="1:26" x14ac:dyDescent="0.2">
      <c r="A5934" s="8">
        <v>5933</v>
      </c>
      <c r="B5934" s="8" t="s">
        <v>26442</v>
      </c>
      <c r="C5934" s="8" t="s">
        <v>26442</v>
      </c>
      <c r="F5934" s="47"/>
      <c r="G5934" s="8">
        <v>19</v>
      </c>
      <c r="H5934" s="8" t="s">
        <v>21</v>
      </c>
      <c r="I5934" s="8" t="s">
        <v>22</v>
      </c>
      <c r="J5934" s="8" t="s">
        <v>22</v>
      </c>
      <c r="K5934" s="8" t="s">
        <v>37</v>
      </c>
      <c r="L5934" s="8" t="s">
        <v>22476</v>
      </c>
      <c r="M5934" s="8" t="s">
        <v>22477</v>
      </c>
      <c r="N5934" s="8" t="s">
        <v>26443</v>
      </c>
      <c r="O5934" s="8">
        <f>15+27/60+1.5/3600</f>
        <v>15.450416666666666</v>
      </c>
      <c r="P5934" s="8" t="s">
        <v>26444</v>
      </c>
      <c r="Q5934" s="8">
        <f>+(48+36/60+50/3600)</f>
        <v>48.613888888888887</v>
      </c>
      <c r="R5934" s="8">
        <v>14.8</v>
      </c>
      <c r="S5934" s="8">
        <v>15.8</v>
      </c>
      <c r="T5934" s="8">
        <v>1</v>
      </c>
      <c r="U5934" s="8">
        <v>12.2</v>
      </c>
      <c r="V5934" s="8">
        <v>0.5</v>
      </c>
      <c r="W5934" s="8">
        <v>0.2</v>
      </c>
      <c r="X5934" s="8">
        <v>33</v>
      </c>
      <c r="Y5934" s="8" t="s">
        <v>26445</v>
      </c>
      <c r="Z5934" s="8" t="s">
        <v>26446</v>
      </c>
    </row>
    <row r="5935" spans="1:26" x14ac:dyDescent="0.2">
      <c r="A5935" s="8">
        <v>5934</v>
      </c>
      <c r="B5935" s="8" t="s">
        <v>26447</v>
      </c>
      <c r="C5935" s="8" t="s">
        <v>26447</v>
      </c>
      <c r="F5935" s="47"/>
      <c r="G5935" s="8">
        <v>19</v>
      </c>
      <c r="H5935" s="8" t="s">
        <v>21</v>
      </c>
      <c r="I5935" s="8" t="s">
        <v>22</v>
      </c>
      <c r="J5935" s="8" t="s">
        <v>22</v>
      </c>
      <c r="K5935" s="8" t="s">
        <v>476</v>
      </c>
      <c r="L5935" s="8" t="s">
        <v>22476</v>
      </c>
      <c r="M5935" s="8" t="s">
        <v>22477</v>
      </c>
      <c r="N5935" s="8" t="s">
        <v>26448</v>
      </c>
      <c r="O5935" s="8">
        <f>15+28/60+12.6/3600</f>
        <v>15.470166666666668</v>
      </c>
      <c r="P5935" s="8" t="s">
        <v>26449</v>
      </c>
      <c r="Q5935" s="8">
        <f>+(42+55/60+47/3600)</f>
        <v>42.929722222222217</v>
      </c>
      <c r="R5935" s="8">
        <v>13.9</v>
      </c>
      <c r="S5935" s="8">
        <v>14.8</v>
      </c>
      <c r="T5935" s="8">
        <v>0.9</v>
      </c>
      <c r="U5935" s="8">
        <v>13.5</v>
      </c>
      <c r="V5935" s="8">
        <v>1.3</v>
      </c>
      <c r="W5935" s="8">
        <v>0.6</v>
      </c>
      <c r="X5935" s="8">
        <v>2</v>
      </c>
      <c r="Y5935" s="8" t="s">
        <v>26450</v>
      </c>
      <c r="Z5935" s="8" t="s">
        <v>26451</v>
      </c>
    </row>
    <row r="5936" spans="1:26" x14ac:dyDescent="0.2">
      <c r="A5936" s="8">
        <v>5935</v>
      </c>
      <c r="B5936" s="8" t="s">
        <v>26452</v>
      </c>
      <c r="C5936" s="8" t="s">
        <v>26452</v>
      </c>
      <c r="F5936" s="47"/>
      <c r="G5936" s="8">
        <v>19</v>
      </c>
      <c r="H5936" s="8" t="s">
        <v>21</v>
      </c>
      <c r="I5936" s="8" t="s">
        <v>22</v>
      </c>
      <c r="J5936" s="8" t="s">
        <v>22</v>
      </c>
      <c r="K5936" s="8" t="s">
        <v>476</v>
      </c>
      <c r="L5936" s="8" t="s">
        <v>22476</v>
      </c>
      <c r="M5936" s="8" t="s">
        <v>22477</v>
      </c>
      <c r="N5936" s="8" t="s">
        <v>26453</v>
      </c>
      <c r="O5936" s="8">
        <f>15+28/60+16.6/3600</f>
        <v>15.471277777777777</v>
      </c>
      <c r="P5936" s="8" t="s">
        <v>26454</v>
      </c>
      <c r="Q5936" s="8">
        <f>+(42+56/60+41/3600)</f>
        <v>42.944722222222218</v>
      </c>
      <c r="R5936" s="8">
        <v>14.8</v>
      </c>
      <c r="S5936" s="8">
        <v>15.7</v>
      </c>
      <c r="T5936" s="8">
        <v>0.9</v>
      </c>
      <c r="U5936" s="8">
        <v>13</v>
      </c>
      <c r="V5936" s="8">
        <v>0.7</v>
      </c>
      <c r="W5936" s="8">
        <v>0.3</v>
      </c>
      <c r="X5936" s="8">
        <v>27</v>
      </c>
      <c r="Y5936" s="8" t="s">
        <v>26455</v>
      </c>
      <c r="Z5936" s="8" t="s">
        <v>26456</v>
      </c>
    </row>
    <row r="5937" spans="1:26" x14ac:dyDescent="0.2">
      <c r="A5937" s="8">
        <v>5936</v>
      </c>
      <c r="B5937" s="8" t="s">
        <v>26457</v>
      </c>
      <c r="C5937" s="8" t="s">
        <v>26457</v>
      </c>
      <c r="F5937" s="47" t="s">
        <v>58094</v>
      </c>
      <c r="G5937" s="8">
        <v>13</v>
      </c>
      <c r="H5937" s="8" t="s">
        <v>21</v>
      </c>
      <c r="I5937" s="8" t="s">
        <v>22</v>
      </c>
      <c r="J5937" s="8" t="s">
        <v>22</v>
      </c>
      <c r="K5937" s="8" t="s">
        <v>218</v>
      </c>
      <c r="L5937" s="8" t="s">
        <v>26227</v>
      </c>
      <c r="M5937" s="8" t="s">
        <v>26228</v>
      </c>
      <c r="N5937" s="8" t="s">
        <v>26458</v>
      </c>
      <c r="O5937" s="8">
        <f>15+30/60+0.8/3600</f>
        <v>15.500222222222222</v>
      </c>
      <c r="P5937" s="8" t="s">
        <v>26459</v>
      </c>
      <c r="Q5937" s="8">
        <f>+(12+59/60+20/3600)</f>
        <v>12.988888888888889</v>
      </c>
      <c r="R5937" s="8">
        <v>12.5</v>
      </c>
      <c r="S5937" s="8">
        <v>13.1</v>
      </c>
      <c r="T5937" s="8">
        <v>0.6</v>
      </c>
      <c r="U5937" s="8">
        <v>13</v>
      </c>
      <c r="V5937" s="8">
        <v>1.4</v>
      </c>
      <c r="W5937" s="8">
        <v>1.3</v>
      </c>
      <c r="X5937" s="8">
        <v>36</v>
      </c>
      <c r="Y5937" s="8" t="s">
        <v>26460</v>
      </c>
      <c r="Z5937" s="8" t="s">
        <v>26461</v>
      </c>
    </row>
    <row r="5938" spans="1:26" x14ac:dyDescent="0.2">
      <c r="A5938" s="8">
        <v>5937</v>
      </c>
      <c r="B5938" s="8" t="s">
        <v>26462</v>
      </c>
      <c r="C5938" s="8" t="s">
        <v>26462</v>
      </c>
      <c r="F5938" s="47" t="s">
        <v>58095</v>
      </c>
      <c r="G5938" s="8">
        <v>15</v>
      </c>
      <c r="H5938" s="8" t="s">
        <v>21</v>
      </c>
      <c r="I5938" s="8" t="s">
        <v>22</v>
      </c>
      <c r="J5938" s="8" t="s">
        <v>22</v>
      </c>
      <c r="K5938" s="8" t="s">
        <v>23</v>
      </c>
      <c r="L5938" s="8" t="s">
        <v>26227</v>
      </c>
      <c r="M5938" s="8" t="s">
        <v>26228</v>
      </c>
      <c r="N5938" s="8" t="s">
        <v>26463</v>
      </c>
      <c r="O5938" s="8">
        <f>15+30/60+46.2/3600</f>
        <v>15.512833333333333</v>
      </c>
      <c r="P5938" s="8" t="s">
        <v>26464</v>
      </c>
      <c r="Q5938" s="8">
        <f>-(2+49/60+45/3600)</f>
        <v>-2.8291666666666666</v>
      </c>
      <c r="R5938" s="8">
        <v>12.3</v>
      </c>
      <c r="S5938" s="8">
        <v>13.1</v>
      </c>
      <c r="T5938" s="8">
        <v>0.8</v>
      </c>
      <c r="U5938" s="8">
        <v>13</v>
      </c>
      <c r="V5938" s="8">
        <v>1.9</v>
      </c>
      <c r="W5938" s="8">
        <v>1.1000000000000001</v>
      </c>
      <c r="X5938" s="8">
        <v>20</v>
      </c>
      <c r="Y5938" s="8" t="s">
        <v>26465</v>
      </c>
      <c r="Z5938" s="8" t="s">
        <v>26466</v>
      </c>
    </row>
    <row r="5939" spans="1:26" x14ac:dyDescent="0.2">
      <c r="A5939" s="8">
        <v>5938</v>
      </c>
      <c r="B5939" s="8" t="s">
        <v>26467</v>
      </c>
      <c r="C5939" s="8" t="s">
        <v>26467</v>
      </c>
      <c r="F5939" s="47"/>
      <c r="G5939" s="8">
        <v>16</v>
      </c>
      <c r="H5939" s="8" t="s">
        <v>21</v>
      </c>
      <c r="I5939" s="8" t="s">
        <v>22</v>
      </c>
      <c r="J5939" s="8" t="s">
        <v>22</v>
      </c>
      <c r="K5939" s="8" t="s">
        <v>85</v>
      </c>
      <c r="L5939" s="8" t="s">
        <v>26039</v>
      </c>
      <c r="M5939" s="8" t="s">
        <v>26040</v>
      </c>
      <c r="N5939" s="8" t="s">
        <v>26468</v>
      </c>
      <c r="O5939" s="8">
        <f>15+36/60+26.1/3600</f>
        <v>15.607250000000001</v>
      </c>
      <c r="P5939" s="8" t="s">
        <v>26469</v>
      </c>
      <c r="Q5939" s="8">
        <f>-(66+51/60+33/3600)</f>
        <v>-66.859166666666667</v>
      </c>
      <c r="R5939" s="8">
        <v>11.8</v>
      </c>
      <c r="S5939" s="8">
        <v>12.4</v>
      </c>
      <c r="T5939" s="8">
        <v>0.6</v>
      </c>
      <c r="U5939" s="8">
        <v>13.8</v>
      </c>
      <c r="V5939" s="8">
        <v>2.8</v>
      </c>
      <c r="W5939" s="8">
        <v>2.5</v>
      </c>
      <c r="X5939" s="8">
        <v>177</v>
      </c>
      <c r="Y5939" s="8" t="s">
        <v>26470</v>
      </c>
      <c r="Z5939" s="8" t="s">
        <v>26471</v>
      </c>
    </row>
    <row r="5940" spans="1:26" x14ac:dyDescent="0.2">
      <c r="A5940" s="8">
        <v>5939</v>
      </c>
      <c r="B5940" s="8" t="s">
        <v>26472</v>
      </c>
      <c r="C5940" s="8" t="s">
        <v>26472</v>
      </c>
      <c r="F5940" s="47"/>
      <c r="G5940" s="8">
        <v>19</v>
      </c>
      <c r="H5940" s="8" t="s">
        <v>21</v>
      </c>
      <c r="I5940" s="8" t="s">
        <v>22</v>
      </c>
      <c r="J5940" s="8" t="s">
        <v>22</v>
      </c>
      <c r="K5940" s="8" t="s">
        <v>396</v>
      </c>
      <c r="L5940" s="8" t="s">
        <v>14586</v>
      </c>
      <c r="M5940" s="8" t="s">
        <v>14587</v>
      </c>
      <c r="N5940" s="8" t="s">
        <v>26473</v>
      </c>
      <c r="O5940" s="8">
        <f>15+24/60+45.8/3600</f>
        <v>15.412722222222223</v>
      </c>
      <c r="P5940" s="8" t="s">
        <v>26474</v>
      </c>
      <c r="Q5940" s="8">
        <f>+(68+43/60+47/3600)</f>
        <v>68.729722222222222</v>
      </c>
      <c r="R5940" s="8">
        <v>13.1</v>
      </c>
      <c r="S5940" s="8">
        <v>13.9</v>
      </c>
      <c r="T5940" s="8">
        <v>0.8</v>
      </c>
      <c r="U5940" s="8">
        <v>12.1</v>
      </c>
      <c r="V5940" s="8">
        <v>0.9</v>
      </c>
      <c r="W5940" s="8">
        <v>0.5</v>
      </c>
      <c r="X5940" s="8">
        <v>35</v>
      </c>
      <c r="Y5940" s="8" t="s">
        <v>26475</v>
      </c>
      <c r="Z5940" s="8" t="s">
        <v>7823</v>
      </c>
    </row>
    <row r="5941" spans="1:26" x14ac:dyDescent="0.2">
      <c r="A5941" s="8">
        <v>5940</v>
      </c>
      <c r="B5941" s="8" t="s">
        <v>26476</v>
      </c>
      <c r="C5941" s="8" t="s">
        <v>26476</v>
      </c>
      <c r="F5941" s="47"/>
      <c r="G5941" s="8">
        <v>19</v>
      </c>
      <c r="H5941" s="8" t="s">
        <v>21</v>
      </c>
      <c r="I5941" s="8" t="s">
        <v>22</v>
      </c>
      <c r="J5941" s="8" t="s">
        <v>22</v>
      </c>
      <c r="K5941" s="8" t="s">
        <v>406</v>
      </c>
      <c r="L5941" s="8" t="s">
        <v>26227</v>
      </c>
      <c r="M5941" s="8" t="s">
        <v>26228</v>
      </c>
      <c r="N5941" s="8" t="s">
        <v>26477</v>
      </c>
      <c r="O5941" s="8">
        <f>15+31/60+18.2/3600</f>
        <v>15.521722222222223</v>
      </c>
      <c r="P5941" s="8" t="s">
        <v>26478</v>
      </c>
      <c r="Q5941" s="8">
        <f>+(7+27/60+27/3600)</f>
        <v>7.4575000000000005</v>
      </c>
      <c r="R5941" s="8">
        <v>13.4</v>
      </c>
      <c r="S5941" s="8">
        <v>14.2</v>
      </c>
      <c r="T5941" s="8">
        <v>0.8</v>
      </c>
      <c r="U5941" s="8">
        <v>12.8</v>
      </c>
      <c r="V5941" s="8">
        <v>0.8</v>
      </c>
      <c r="W5941" s="8">
        <v>0.8</v>
      </c>
      <c r="Y5941" s="8" t="s">
        <v>26479</v>
      </c>
      <c r="Z5941" s="8" t="s">
        <v>26480</v>
      </c>
    </row>
    <row r="5942" spans="1:26" x14ac:dyDescent="0.2">
      <c r="A5942" s="8">
        <v>5941</v>
      </c>
      <c r="B5942" s="8" t="s">
        <v>26481</v>
      </c>
      <c r="C5942" s="8" t="s">
        <v>26481</v>
      </c>
      <c r="F5942" s="47"/>
      <c r="G5942" s="8">
        <v>19</v>
      </c>
      <c r="H5942" s="8" t="s">
        <v>21</v>
      </c>
      <c r="I5942" s="8" t="s">
        <v>22</v>
      </c>
      <c r="J5942" s="8" t="s">
        <v>22</v>
      </c>
      <c r="K5942" s="8" t="s">
        <v>37</v>
      </c>
      <c r="L5942" s="8" t="s">
        <v>26227</v>
      </c>
      <c r="M5942" s="8" t="s">
        <v>26228</v>
      </c>
      <c r="N5942" s="8" t="s">
        <v>26482</v>
      </c>
      <c r="O5942" s="8">
        <f>15+31/60+40.3/3600</f>
        <v>15.527861111111111</v>
      </c>
      <c r="P5942" s="8" t="s">
        <v>7573</v>
      </c>
      <c r="Q5942" s="8">
        <f>+(7+20/60+20/3600)</f>
        <v>7.3388888888888886</v>
      </c>
      <c r="R5942" s="8">
        <v>13.9</v>
      </c>
      <c r="S5942" s="8">
        <v>14.9</v>
      </c>
      <c r="T5942" s="8">
        <v>1</v>
      </c>
      <c r="U5942" s="8">
        <v>11.5</v>
      </c>
      <c r="V5942" s="8">
        <v>0.4</v>
      </c>
      <c r="W5942" s="8">
        <v>0.3</v>
      </c>
      <c r="X5942" s="8">
        <v>70</v>
      </c>
      <c r="Y5942" s="8" t="s">
        <v>26483</v>
      </c>
      <c r="Z5942" s="8" t="s">
        <v>26484</v>
      </c>
    </row>
    <row r="5943" spans="1:26" x14ac:dyDescent="0.2">
      <c r="A5943" s="8">
        <v>5942</v>
      </c>
      <c r="B5943" s="8" t="s">
        <v>26485</v>
      </c>
      <c r="C5943" s="8" t="s">
        <v>26485</v>
      </c>
      <c r="F5943" s="47"/>
      <c r="G5943" s="8">
        <v>19</v>
      </c>
      <c r="H5943" s="8" t="s">
        <v>21</v>
      </c>
      <c r="I5943" s="8" t="s">
        <v>22</v>
      </c>
      <c r="J5943" s="8" t="s">
        <v>22</v>
      </c>
      <c r="K5943" s="8" t="s">
        <v>58</v>
      </c>
      <c r="L5943" s="8" t="s">
        <v>26227</v>
      </c>
      <c r="M5943" s="8" t="s">
        <v>26228</v>
      </c>
      <c r="N5943" s="8" t="s">
        <v>26486</v>
      </c>
      <c r="O5943" s="8">
        <f>15+31/60+36.8/3600</f>
        <v>15.526888888888889</v>
      </c>
      <c r="P5943" s="8" t="s">
        <v>26487</v>
      </c>
      <c r="Q5943" s="8">
        <f>+(7+18/60+44/3600)</f>
        <v>7.3122222222222222</v>
      </c>
      <c r="R5943" s="8">
        <v>14.4</v>
      </c>
      <c r="S5943" s="8">
        <v>15.3</v>
      </c>
      <c r="T5943" s="8">
        <v>0.9</v>
      </c>
      <c r="U5943" s="8">
        <v>12.8</v>
      </c>
      <c r="V5943" s="8">
        <v>0.4</v>
      </c>
      <c r="W5943" s="8">
        <v>0.4</v>
      </c>
      <c r="Y5943" s="8" t="s">
        <v>26488</v>
      </c>
      <c r="Z5943" s="8" t="s">
        <v>26489</v>
      </c>
    </row>
    <row r="5944" spans="1:26" x14ac:dyDescent="0.2">
      <c r="A5944" s="8">
        <v>5943</v>
      </c>
      <c r="B5944" s="8" t="s">
        <v>26490</v>
      </c>
      <c r="C5944" s="8" t="s">
        <v>26490</v>
      </c>
      <c r="F5944" s="47"/>
      <c r="G5944" s="8">
        <v>19</v>
      </c>
      <c r="H5944" s="8" t="s">
        <v>21</v>
      </c>
      <c r="I5944" s="8" t="s">
        <v>22</v>
      </c>
      <c r="J5944" s="8" t="s">
        <v>22</v>
      </c>
      <c r="K5944" s="8" t="s">
        <v>37</v>
      </c>
      <c r="L5944" s="8" t="s">
        <v>22476</v>
      </c>
      <c r="M5944" s="8" t="s">
        <v>22477</v>
      </c>
      <c r="N5944" s="8" t="s">
        <v>26491</v>
      </c>
      <c r="O5944" s="8">
        <f>15+29/60+44/3600</f>
        <v>15.495555555555555</v>
      </c>
      <c r="P5944" s="8" t="s">
        <v>26492</v>
      </c>
      <c r="Q5944" s="8">
        <f>+(42+46/60+43/3600)</f>
        <v>42.778611111111111</v>
      </c>
      <c r="R5944" s="8">
        <v>13.2</v>
      </c>
      <c r="S5944" s="8">
        <v>14.2</v>
      </c>
      <c r="T5944" s="8">
        <v>1</v>
      </c>
      <c r="U5944" s="8">
        <v>13.7</v>
      </c>
      <c r="V5944" s="8">
        <v>1.3</v>
      </c>
      <c r="W5944" s="8">
        <v>1.3</v>
      </c>
      <c r="Y5944" s="8" t="s">
        <v>26493</v>
      </c>
      <c r="Z5944" s="8" t="s">
        <v>26494</v>
      </c>
    </row>
    <row r="5945" spans="1:26" x14ac:dyDescent="0.2">
      <c r="A5945" s="8">
        <v>5944</v>
      </c>
      <c r="B5945" s="8" t="s">
        <v>26495</v>
      </c>
      <c r="C5945" s="8" t="s">
        <v>26495</v>
      </c>
      <c r="F5945" s="47"/>
      <c r="G5945" s="8">
        <v>19</v>
      </c>
      <c r="H5945" s="8" t="s">
        <v>21</v>
      </c>
      <c r="I5945" s="8" t="s">
        <v>22</v>
      </c>
      <c r="J5945" s="8" t="s">
        <v>22</v>
      </c>
      <c r="K5945" s="8" t="s">
        <v>396</v>
      </c>
      <c r="L5945" s="8" t="s">
        <v>26227</v>
      </c>
      <c r="M5945" s="8" t="s">
        <v>26228</v>
      </c>
      <c r="N5945" s="8" t="s">
        <v>26496</v>
      </c>
      <c r="O5945" s="8">
        <f>15+31/60+47.6/3600</f>
        <v>15.529888888888889</v>
      </c>
      <c r="P5945" s="8" t="s">
        <v>26497</v>
      </c>
      <c r="Q5945" s="8">
        <f>+(7+18/60+29/3600)</f>
        <v>7.3080555555555557</v>
      </c>
      <c r="R5945" s="8">
        <v>15</v>
      </c>
      <c r="S5945" s="8">
        <v>15.8</v>
      </c>
      <c r="T5945" s="8">
        <v>0.8</v>
      </c>
      <c r="U5945" s="8">
        <v>13</v>
      </c>
      <c r="V5945" s="8">
        <v>0.8</v>
      </c>
      <c r="W5945" s="8">
        <v>0.2</v>
      </c>
      <c r="X5945" s="8">
        <v>111</v>
      </c>
      <c r="Y5945" s="8" t="s">
        <v>26498</v>
      </c>
      <c r="Z5945" s="8" t="s">
        <v>26499</v>
      </c>
    </row>
    <row r="5946" spans="1:26" x14ac:dyDescent="0.2">
      <c r="A5946" s="8">
        <v>5945</v>
      </c>
      <c r="B5946" s="8" t="s">
        <v>26500</v>
      </c>
      <c r="C5946" s="8" t="s">
        <v>26500</v>
      </c>
      <c r="F5946" s="47"/>
      <c r="G5946" s="8">
        <v>19</v>
      </c>
      <c r="H5946" s="8" t="s">
        <v>21</v>
      </c>
      <c r="I5946" s="8" t="s">
        <v>22</v>
      </c>
      <c r="J5946" s="8" t="s">
        <v>22</v>
      </c>
      <c r="K5946" s="8" t="s">
        <v>406</v>
      </c>
      <c r="L5946" s="8" t="s">
        <v>22476</v>
      </c>
      <c r="M5946" s="8" t="s">
        <v>22477</v>
      </c>
      <c r="N5946" s="8" t="s">
        <v>26501</v>
      </c>
      <c r="O5946" s="8">
        <f>15+29/60+44.9/3600</f>
        <v>15.495805555555554</v>
      </c>
      <c r="P5946" s="8" t="s">
        <v>26502</v>
      </c>
      <c r="Q5946" s="8">
        <f>+(42+55/60+9/3600)</f>
        <v>42.919166666666662</v>
      </c>
      <c r="R5946" s="8">
        <v>12.8</v>
      </c>
      <c r="S5946" s="8">
        <v>13.6</v>
      </c>
      <c r="T5946" s="8">
        <v>0.8</v>
      </c>
      <c r="U5946" s="8">
        <v>14.4</v>
      </c>
      <c r="V5946" s="8">
        <v>2.9</v>
      </c>
      <c r="W5946" s="8">
        <v>1.8</v>
      </c>
      <c r="X5946" s="8">
        <v>99</v>
      </c>
      <c r="Y5946" s="8" t="s">
        <v>26503</v>
      </c>
      <c r="Z5946" s="8" t="s">
        <v>26504</v>
      </c>
    </row>
    <row r="5947" spans="1:26" x14ac:dyDescent="0.2">
      <c r="A5947" s="8">
        <v>5946</v>
      </c>
      <c r="B5947" s="8" t="s">
        <v>26505</v>
      </c>
      <c r="C5947" s="8" t="s">
        <v>26505</v>
      </c>
      <c r="F5947" s="47"/>
      <c r="G5947" s="8">
        <v>5</v>
      </c>
      <c r="H5947" s="8" t="s">
        <v>21</v>
      </c>
      <c r="I5947" s="8" t="s">
        <v>567</v>
      </c>
      <c r="J5947" s="8" t="s">
        <v>567</v>
      </c>
      <c r="K5947" s="8" t="s">
        <v>26506</v>
      </c>
      <c r="L5947" s="8" t="s">
        <v>26405</v>
      </c>
      <c r="M5947" s="8" t="s">
        <v>26406</v>
      </c>
      <c r="N5947" s="8" t="s">
        <v>26507</v>
      </c>
      <c r="O5947" s="8">
        <f>15+35/60+28.5/3600</f>
        <v>15.59125</v>
      </c>
      <c r="P5947" s="8" t="s">
        <v>26508</v>
      </c>
      <c r="Q5947" s="8">
        <f>-(50+39/60+32/3600)</f>
        <v>-50.658888888888889</v>
      </c>
      <c r="R5947" s="8">
        <v>8.4</v>
      </c>
      <c r="S5947" s="8">
        <v>99</v>
      </c>
      <c r="T5947" s="8">
        <v>99</v>
      </c>
      <c r="U5947" s="8">
        <v>99</v>
      </c>
      <c r="V5947" s="8">
        <v>3</v>
      </c>
      <c r="Y5947" s="8" t="s">
        <v>26509</v>
      </c>
      <c r="Z5947" s="8" t="s">
        <v>26510</v>
      </c>
    </row>
    <row r="5948" spans="1:26" x14ac:dyDescent="0.2">
      <c r="A5948" s="8">
        <v>5947</v>
      </c>
      <c r="B5948" s="8" t="s">
        <v>26511</v>
      </c>
      <c r="C5948" s="8" t="s">
        <v>26511</v>
      </c>
      <c r="F5948" s="47"/>
      <c r="G5948" s="8">
        <v>19</v>
      </c>
      <c r="H5948" s="8" t="s">
        <v>21</v>
      </c>
      <c r="I5948" s="8" t="s">
        <v>22</v>
      </c>
      <c r="J5948" s="8" t="s">
        <v>22</v>
      </c>
      <c r="K5948" s="8" t="s">
        <v>85</v>
      </c>
      <c r="L5948" s="8" t="s">
        <v>22476</v>
      </c>
      <c r="M5948" s="8" t="s">
        <v>22477</v>
      </c>
      <c r="N5948" s="8" t="s">
        <v>26512</v>
      </c>
      <c r="O5948" s="8">
        <f>15+30/60+36.6/3600</f>
        <v>15.510166666666667</v>
      </c>
      <c r="P5948" s="8" t="s">
        <v>26513</v>
      </c>
      <c r="Q5948" s="8">
        <f>+(42+43/60+3/3600)</f>
        <v>42.717500000000001</v>
      </c>
      <c r="R5948" s="8">
        <v>13.7</v>
      </c>
      <c r="S5948" s="8">
        <v>14.5</v>
      </c>
      <c r="T5948" s="8">
        <v>0.8</v>
      </c>
      <c r="U5948" s="8">
        <v>13.9</v>
      </c>
      <c r="V5948" s="8">
        <v>1.2</v>
      </c>
      <c r="W5948" s="8">
        <v>1.2</v>
      </c>
      <c r="Y5948" s="8" t="s">
        <v>17508</v>
      </c>
      <c r="Z5948" s="8" t="s">
        <v>17509</v>
      </c>
    </row>
    <row r="5949" spans="1:26" x14ac:dyDescent="0.2">
      <c r="A5949" s="8">
        <v>5948</v>
      </c>
      <c r="B5949" s="8" t="s">
        <v>26514</v>
      </c>
      <c r="C5949" s="8" t="s">
        <v>26514</v>
      </c>
      <c r="F5949" s="47"/>
      <c r="G5949" s="8">
        <v>19</v>
      </c>
      <c r="H5949" s="8" t="s">
        <v>21</v>
      </c>
      <c r="I5949" s="8" t="s">
        <v>72</v>
      </c>
      <c r="J5949" s="8" t="s">
        <v>72</v>
      </c>
      <c r="K5949" s="8" t="s">
        <v>73</v>
      </c>
      <c r="L5949" s="8" t="s">
        <v>26227</v>
      </c>
      <c r="M5949" s="8" t="s">
        <v>26228</v>
      </c>
      <c r="N5949" s="8" t="s">
        <v>26515</v>
      </c>
      <c r="O5949" s="8">
        <f>15+32/60+58.6/3600</f>
        <v>15.54961111111111</v>
      </c>
      <c r="P5949" s="8" t="s">
        <v>26516</v>
      </c>
      <c r="Q5949" s="8">
        <f>+(3+59/60+0/3600)</f>
        <v>3.9833333333333334</v>
      </c>
      <c r="R5949" s="8">
        <v>99</v>
      </c>
      <c r="S5949" s="8">
        <v>99</v>
      </c>
      <c r="T5949" s="8">
        <v>99</v>
      </c>
      <c r="U5949" s="8">
        <v>99</v>
      </c>
      <c r="Y5949" s="8" t="s">
        <v>26517</v>
      </c>
      <c r="Z5949" s="8" t="s">
        <v>26518</v>
      </c>
    </row>
    <row r="5950" spans="1:26" x14ac:dyDescent="0.2">
      <c r="A5950" s="8">
        <v>5949</v>
      </c>
      <c r="B5950" s="8" t="s">
        <v>26519</v>
      </c>
      <c r="C5950" s="8" t="s">
        <v>26519</v>
      </c>
      <c r="F5950" s="47" t="s">
        <v>58096</v>
      </c>
      <c r="G5950" s="8">
        <v>13</v>
      </c>
      <c r="H5950" s="8" t="s">
        <v>21</v>
      </c>
      <c r="I5950" s="8" t="s">
        <v>22</v>
      </c>
      <c r="J5950" s="8" t="s">
        <v>22</v>
      </c>
      <c r="K5950" s="8" t="s">
        <v>396</v>
      </c>
      <c r="L5950" s="8" t="s">
        <v>13395</v>
      </c>
      <c r="M5950" s="8" t="s">
        <v>13396</v>
      </c>
      <c r="N5950" s="8" t="s">
        <v>26520</v>
      </c>
      <c r="O5950" s="8">
        <f>15+28/60+0.7/3600</f>
        <v>15.466861111111111</v>
      </c>
      <c r="P5950" s="8" t="s">
        <v>26521</v>
      </c>
      <c r="Q5950" s="8">
        <f>+(64+45/60+47/3600)</f>
        <v>64.763055555555553</v>
      </c>
      <c r="R5950" s="8">
        <v>12</v>
      </c>
      <c r="S5950" s="8">
        <v>12.8</v>
      </c>
      <c r="T5950" s="8">
        <v>0.8</v>
      </c>
      <c r="U5950" s="8">
        <v>12.7</v>
      </c>
      <c r="V5950" s="8">
        <v>2.2000000000000002</v>
      </c>
      <c r="W5950" s="8">
        <v>1</v>
      </c>
      <c r="X5950" s="8">
        <v>147</v>
      </c>
      <c r="Y5950" s="8" t="s">
        <v>26522</v>
      </c>
      <c r="Z5950" s="8" t="s">
        <v>26523</v>
      </c>
    </row>
    <row r="5951" spans="1:26" x14ac:dyDescent="0.2">
      <c r="A5951" s="8">
        <v>5950</v>
      </c>
      <c r="B5951" s="8" t="s">
        <v>26524</v>
      </c>
      <c r="C5951" s="8" t="s">
        <v>26524</v>
      </c>
      <c r="F5951" s="47"/>
      <c r="G5951" s="8">
        <v>19</v>
      </c>
      <c r="H5951" s="8" t="s">
        <v>21</v>
      </c>
      <c r="I5951" s="8" t="s">
        <v>22</v>
      </c>
      <c r="J5951" s="8" t="s">
        <v>22</v>
      </c>
      <c r="K5951" s="8" t="s">
        <v>23</v>
      </c>
      <c r="L5951" s="8" t="s">
        <v>22476</v>
      </c>
      <c r="M5951" s="8" t="s">
        <v>22477</v>
      </c>
      <c r="N5951" s="8" t="s">
        <v>26525</v>
      </c>
      <c r="O5951" s="8">
        <f>15+31/60+30.6/3600</f>
        <v>15.525166666666667</v>
      </c>
      <c r="P5951" s="8" t="s">
        <v>26526</v>
      </c>
      <c r="Q5951" s="8">
        <f>+(40+25/60+50/3600)</f>
        <v>40.43055555555555</v>
      </c>
      <c r="R5951" s="8">
        <v>13.8</v>
      </c>
      <c r="S5951" s="8">
        <v>14.6</v>
      </c>
      <c r="T5951" s="8">
        <v>0.8</v>
      </c>
      <c r="U5951" s="8">
        <v>13.8</v>
      </c>
      <c r="V5951" s="8">
        <v>1.5</v>
      </c>
      <c r="W5951" s="8">
        <v>0.8</v>
      </c>
      <c r="X5951" s="8">
        <v>37</v>
      </c>
      <c r="Y5951" s="8" t="s">
        <v>26527</v>
      </c>
      <c r="Z5951" s="8" t="s">
        <v>26528</v>
      </c>
    </row>
    <row r="5952" spans="1:26" x14ac:dyDescent="0.2">
      <c r="A5952" s="8">
        <v>5951</v>
      </c>
      <c r="B5952" s="8" t="s">
        <v>26529</v>
      </c>
      <c r="C5952" s="8" t="s">
        <v>26529</v>
      </c>
      <c r="F5952" s="47" t="s">
        <v>58097</v>
      </c>
      <c r="G5952" s="8">
        <v>15</v>
      </c>
      <c r="H5952" s="8" t="s">
        <v>21</v>
      </c>
      <c r="I5952" s="8" t="s">
        <v>22</v>
      </c>
      <c r="J5952" s="8" t="s">
        <v>22</v>
      </c>
      <c r="K5952" s="8" t="s">
        <v>64</v>
      </c>
      <c r="L5952" s="8" t="s">
        <v>26227</v>
      </c>
      <c r="M5952" s="8" t="s">
        <v>26228</v>
      </c>
      <c r="N5952" s="8" t="s">
        <v>26530</v>
      </c>
      <c r="O5952" s="8">
        <f>15+33/60+43.1/3600</f>
        <v>15.561972222222224</v>
      </c>
      <c r="P5952" s="8" t="s">
        <v>26531</v>
      </c>
      <c r="Q5952" s="8">
        <f>+(15+0/60+27/3600)</f>
        <v>15.0075</v>
      </c>
      <c r="R5952" s="8">
        <v>12.7</v>
      </c>
      <c r="S5952" s="8">
        <v>13.4</v>
      </c>
      <c r="T5952" s="8">
        <v>0.7</v>
      </c>
      <c r="U5952" s="8">
        <v>13.6</v>
      </c>
      <c r="V5952" s="8">
        <v>3.6</v>
      </c>
      <c r="W5952" s="8">
        <v>0.8</v>
      </c>
      <c r="X5952" s="8">
        <v>5</v>
      </c>
      <c r="Y5952" s="8" t="s">
        <v>26532</v>
      </c>
      <c r="Z5952" s="8" t="s">
        <v>26533</v>
      </c>
    </row>
    <row r="5953" spans="1:26" x14ac:dyDescent="0.2">
      <c r="A5953" s="8">
        <v>5952</v>
      </c>
      <c r="B5953" s="8" t="s">
        <v>26534</v>
      </c>
      <c r="C5953" s="8" t="s">
        <v>26534</v>
      </c>
      <c r="F5953" s="47"/>
      <c r="G5953" s="8">
        <v>18</v>
      </c>
      <c r="H5953" s="8" t="s">
        <v>21</v>
      </c>
      <c r="I5953" s="8" t="s">
        <v>22</v>
      </c>
      <c r="J5953" s="8" t="s">
        <v>22</v>
      </c>
      <c r="K5953" s="8" t="s">
        <v>37</v>
      </c>
      <c r="L5953" s="8" t="s">
        <v>26227</v>
      </c>
      <c r="M5953" s="8" t="s">
        <v>26228</v>
      </c>
      <c r="N5953" s="8" t="s">
        <v>26535</v>
      </c>
      <c r="O5953" s="8">
        <f>15+34/60+56.3/3600</f>
        <v>15.582305555555555</v>
      </c>
      <c r="P5953" s="8" t="s">
        <v>26536</v>
      </c>
      <c r="Q5953" s="8">
        <f>+(4+57/60+34/3600)</f>
        <v>4.9594444444444443</v>
      </c>
      <c r="R5953" s="8">
        <v>14.5</v>
      </c>
      <c r="S5953" s="8">
        <v>15.5</v>
      </c>
      <c r="T5953" s="8">
        <v>1</v>
      </c>
      <c r="U5953" s="8">
        <v>12.1</v>
      </c>
      <c r="V5953" s="8">
        <v>0.4</v>
      </c>
      <c r="W5953" s="8">
        <v>0.3</v>
      </c>
      <c r="X5953" s="8">
        <v>126</v>
      </c>
      <c r="Y5953" s="8" t="s">
        <v>15331</v>
      </c>
      <c r="Z5953" s="8" t="s">
        <v>15679</v>
      </c>
    </row>
    <row r="5954" spans="1:26" x14ac:dyDescent="0.2">
      <c r="A5954" s="8">
        <v>5953</v>
      </c>
      <c r="B5954" s="8" t="s">
        <v>26537</v>
      </c>
      <c r="C5954" s="8" t="s">
        <v>26537</v>
      </c>
      <c r="F5954" s="47" t="s">
        <v>58098</v>
      </c>
      <c r="G5954" s="8">
        <v>15</v>
      </c>
      <c r="H5954" s="8" t="s">
        <v>21</v>
      </c>
      <c r="I5954" s="8" t="s">
        <v>22</v>
      </c>
      <c r="J5954" s="8" t="s">
        <v>22</v>
      </c>
      <c r="K5954" s="8" t="s">
        <v>632</v>
      </c>
      <c r="L5954" s="8" t="s">
        <v>26227</v>
      </c>
      <c r="M5954" s="8" t="s">
        <v>26228</v>
      </c>
      <c r="N5954" s="8" t="s">
        <v>26538</v>
      </c>
      <c r="O5954" s="8">
        <f>15+34/60+32.3/3600</f>
        <v>15.575638888888889</v>
      </c>
      <c r="P5954" s="8" t="s">
        <v>26539</v>
      </c>
      <c r="Q5954" s="8">
        <f>+(15+11/60+39/3600)</f>
        <v>15.194166666666668</v>
      </c>
      <c r="R5954" s="8">
        <v>12.3</v>
      </c>
      <c r="S5954" s="8">
        <v>13.2</v>
      </c>
      <c r="T5954" s="8">
        <v>0.9</v>
      </c>
      <c r="U5954" s="8">
        <v>13</v>
      </c>
      <c r="V5954" s="8">
        <v>1.6</v>
      </c>
      <c r="W5954" s="8">
        <v>1.3</v>
      </c>
      <c r="X5954" s="8">
        <v>169</v>
      </c>
      <c r="Y5954" s="8" t="s">
        <v>26540</v>
      </c>
      <c r="Z5954" s="8" t="s">
        <v>26541</v>
      </c>
    </row>
    <row r="5955" spans="1:26" x14ac:dyDescent="0.2">
      <c r="A5955" s="8">
        <v>5954</v>
      </c>
      <c r="B5955" s="8" t="s">
        <v>26542</v>
      </c>
      <c r="C5955" s="8" t="s">
        <v>26542</v>
      </c>
      <c r="F5955" s="47" t="s">
        <v>58099</v>
      </c>
      <c r="G5955" s="8">
        <v>15</v>
      </c>
      <c r="H5955" s="8" t="s">
        <v>21</v>
      </c>
      <c r="I5955" s="8" t="s">
        <v>22</v>
      </c>
      <c r="J5955" s="8" t="s">
        <v>22</v>
      </c>
      <c r="K5955" s="8" t="s">
        <v>520</v>
      </c>
      <c r="L5955" s="8" t="s">
        <v>26227</v>
      </c>
      <c r="M5955" s="8" t="s">
        <v>26228</v>
      </c>
      <c r="N5955" s="8" t="s">
        <v>26543</v>
      </c>
      <c r="O5955" s="8">
        <f>15+34/60+34.9/3600</f>
        <v>15.57636111111111</v>
      </c>
      <c r="P5955" s="8" t="s">
        <v>26544</v>
      </c>
      <c r="Q5955" s="8">
        <f>+(15+12/60+4/3600)</f>
        <v>15.201111111111111</v>
      </c>
      <c r="R5955" s="8">
        <v>12.2</v>
      </c>
      <c r="S5955" s="8">
        <v>12.9</v>
      </c>
      <c r="T5955" s="8">
        <v>0.7</v>
      </c>
      <c r="U5955" s="8">
        <v>11.4</v>
      </c>
      <c r="V5955" s="8">
        <v>1.1000000000000001</v>
      </c>
      <c r="W5955" s="8">
        <v>0.5</v>
      </c>
      <c r="X5955" s="8">
        <v>5</v>
      </c>
      <c r="Y5955" s="8" t="s">
        <v>26540</v>
      </c>
      <c r="Z5955" s="8" t="s">
        <v>26545</v>
      </c>
    </row>
    <row r="5956" spans="1:26" x14ac:dyDescent="0.2">
      <c r="A5956" s="8">
        <v>5955</v>
      </c>
      <c r="B5956" s="8" t="s">
        <v>26546</v>
      </c>
      <c r="C5956" s="8" t="s">
        <v>26546</v>
      </c>
      <c r="F5956" s="47"/>
      <c r="G5956" s="8">
        <v>18</v>
      </c>
      <c r="H5956" s="8" t="s">
        <v>21</v>
      </c>
      <c r="I5956" s="8" t="s">
        <v>22</v>
      </c>
      <c r="J5956" s="8" t="s">
        <v>22</v>
      </c>
      <c r="K5956" s="8" t="s">
        <v>218</v>
      </c>
      <c r="L5956" s="8" t="s">
        <v>26227</v>
      </c>
      <c r="M5956" s="8" t="s">
        <v>26228</v>
      </c>
      <c r="N5956" s="8" t="s">
        <v>26547</v>
      </c>
      <c r="O5956" s="8">
        <f>15+35/60+12.4/3600</f>
        <v>15.586777777777778</v>
      </c>
      <c r="P5956" s="8" t="s">
        <v>26548</v>
      </c>
      <c r="Q5956" s="8">
        <f>+(5+3/60+48/3600)</f>
        <v>5.0633333333333335</v>
      </c>
      <c r="R5956" s="8">
        <v>14.9</v>
      </c>
      <c r="S5956" s="8">
        <v>15.7</v>
      </c>
      <c r="T5956" s="8">
        <v>0.8</v>
      </c>
      <c r="U5956" s="8">
        <v>14.1</v>
      </c>
      <c r="V5956" s="8">
        <v>0.9</v>
      </c>
      <c r="W5956" s="8">
        <v>0.6</v>
      </c>
      <c r="X5956" s="8">
        <v>6</v>
      </c>
      <c r="Y5956" s="8" t="s">
        <v>2287</v>
      </c>
      <c r="Z5956" s="8" t="s">
        <v>2288</v>
      </c>
    </row>
    <row r="5957" spans="1:26" x14ac:dyDescent="0.2">
      <c r="A5957" s="8">
        <v>5956</v>
      </c>
      <c r="B5957" s="8" t="s">
        <v>26549</v>
      </c>
      <c r="C5957" s="8" t="s">
        <v>26549</v>
      </c>
      <c r="F5957" s="47"/>
      <c r="G5957" s="8">
        <v>18</v>
      </c>
      <c r="H5957" s="8" t="s">
        <v>21</v>
      </c>
      <c r="I5957" s="8" t="s">
        <v>22</v>
      </c>
      <c r="J5957" s="8" t="s">
        <v>22</v>
      </c>
      <c r="K5957" s="8" t="s">
        <v>160</v>
      </c>
      <c r="L5957" s="8" t="s">
        <v>26227</v>
      </c>
      <c r="M5957" s="8" t="s">
        <v>26228</v>
      </c>
      <c r="N5957" s="8" t="s">
        <v>26550</v>
      </c>
      <c r="O5957" s="8">
        <f>15+34/60+58.5/3600</f>
        <v>15.582916666666666</v>
      </c>
      <c r="P5957" s="8" t="s">
        <v>26551</v>
      </c>
      <c r="Q5957" s="8">
        <f>+(11+45/60+1/3600)</f>
        <v>11.750277777777777</v>
      </c>
      <c r="R5957" s="8">
        <v>12.3</v>
      </c>
      <c r="S5957" s="8">
        <v>13</v>
      </c>
      <c r="T5957" s="8">
        <v>0.7</v>
      </c>
      <c r="U5957" s="8">
        <v>13.2</v>
      </c>
      <c r="V5957" s="8">
        <v>1.6</v>
      </c>
      <c r="W5957" s="8">
        <v>1.6</v>
      </c>
      <c r="Y5957" s="8" t="s">
        <v>26552</v>
      </c>
      <c r="Z5957" s="8" t="s">
        <v>26553</v>
      </c>
    </row>
    <row r="5958" spans="1:26" x14ac:dyDescent="0.2">
      <c r="A5958" s="8">
        <v>5957</v>
      </c>
      <c r="B5958" s="8" t="s">
        <v>26554</v>
      </c>
      <c r="C5958" s="8" t="s">
        <v>26554</v>
      </c>
      <c r="F5958" s="47"/>
      <c r="G5958" s="8">
        <v>18</v>
      </c>
      <c r="H5958" s="8" t="s">
        <v>21</v>
      </c>
      <c r="I5958" s="8" t="s">
        <v>22</v>
      </c>
      <c r="J5958" s="8" t="s">
        <v>22</v>
      </c>
      <c r="K5958" s="8" t="s">
        <v>218</v>
      </c>
      <c r="L5958" s="8" t="s">
        <v>26227</v>
      </c>
      <c r="M5958" s="8" t="s">
        <v>26228</v>
      </c>
      <c r="N5958" s="8" t="s">
        <v>26555</v>
      </c>
      <c r="O5958" s="8">
        <f>15+35/60+23.1/3600</f>
        <v>15.58975</v>
      </c>
      <c r="P5958" s="8" t="s">
        <v>26556</v>
      </c>
      <c r="Q5958" s="8">
        <f>+(12+2/60+52/3600)</f>
        <v>12.047777777777778</v>
      </c>
      <c r="R5958" s="8">
        <v>11.7</v>
      </c>
      <c r="S5958" s="8">
        <v>12.5</v>
      </c>
      <c r="T5958" s="8">
        <v>0.8</v>
      </c>
      <c r="U5958" s="8">
        <v>13.7</v>
      </c>
      <c r="V5958" s="8">
        <v>2.8</v>
      </c>
      <c r="W5958" s="8">
        <v>2.6</v>
      </c>
      <c r="X5958" s="8">
        <v>90</v>
      </c>
      <c r="Y5958" s="8" t="s">
        <v>26557</v>
      </c>
      <c r="Z5958" s="8" t="s">
        <v>26558</v>
      </c>
    </row>
    <row r="5959" spans="1:26" x14ac:dyDescent="0.2">
      <c r="A5959" s="8">
        <v>5958</v>
      </c>
      <c r="B5959" s="8" t="s">
        <v>26559</v>
      </c>
      <c r="C5959" s="8" t="s">
        <v>26559</v>
      </c>
      <c r="F5959" s="47" t="s">
        <v>58100</v>
      </c>
      <c r="G5959" s="8">
        <v>15</v>
      </c>
      <c r="H5959" s="8" t="s">
        <v>21</v>
      </c>
      <c r="I5959" s="8" t="s">
        <v>22</v>
      </c>
      <c r="J5959" s="8" t="s">
        <v>22</v>
      </c>
      <c r="K5959" s="8" t="s">
        <v>160</v>
      </c>
      <c r="L5959" s="8" t="s">
        <v>26398</v>
      </c>
      <c r="M5959" s="8" t="s">
        <v>26399</v>
      </c>
      <c r="N5959" s="8" t="s">
        <v>26560</v>
      </c>
      <c r="O5959" s="8">
        <f>15+34/60+49.1/3600</f>
        <v>15.580305555555555</v>
      </c>
      <c r="P5959" s="8" t="s">
        <v>26561</v>
      </c>
      <c r="Q5959" s="8">
        <f>+(28+39/60+19/3600)</f>
        <v>28.655277777777776</v>
      </c>
      <c r="R5959" s="8">
        <v>12.7</v>
      </c>
      <c r="S5959" s="8">
        <v>13.4</v>
      </c>
      <c r="T5959" s="8">
        <v>0.7</v>
      </c>
      <c r="U5959" s="8">
        <v>12.6</v>
      </c>
      <c r="V5959" s="8">
        <v>1</v>
      </c>
      <c r="W5959" s="8">
        <v>1</v>
      </c>
      <c r="Y5959" s="8" t="s">
        <v>26562</v>
      </c>
      <c r="Z5959" s="8" t="s">
        <v>26563</v>
      </c>
    </row>
    <row r="5960" spans="1:26" x14ac:dyDescent="0.2">
      <c r="A5960" s="8">
        <v>5959</v>
      </c>
      <c r="B5960" s="8" t="s">
        <v>26564</v>
      </c>
      <c r="C5960" s="8" t="s">
        <v>26564</v>
      </c>
      <c r="F5960" s="47"/>
      <c r="G5960" s="8">
        <v>19</v>
      </c>
      <c r="H5960" s="8" t="s">
        <v>21</v>
      </c>
      <c r="I5960" s="8" t="s">
        <v>22</v>
      </c>
      <c r="J5960" s="8" t="s">
        <v>22</v>
      </c>
      <c r="K5960" s="8" t="s">
        <v>1136</v>
      </c>
      <c r="L5960" s="8" t="s">
        <v>24948</v>
      </c>
      <c r="M5960" s="8" t="s">
        <v>24949</v>
      </c>
      <c r="N5960" s="8" t="s">
        <v>26565</v>
      </c>
      <c r="O5960" s="8">
        <f>15+37/60+22.3/3600</f>
        <v>15.622861111111112</v>
      </c>
      <c r="P5960" s="8" t="s">
        <v>26566</v>
      </c>
      <c r="Q5960" s="8">
        <f>-(16+35/60+46/3600)</f>
        <v>-16.59611111111111</v>
      </c>
      <c r="R5960" s="8">
        <v>13.4</v>
      </c>
      <c r="S5960" s="8">
        <v>14.4</v>
      </c>
      <c r="T5960" s="8">
        <v>1</v>
      </c>
      <c r="U5960" s="8">
        <v>14.6</v>
      </c>
      <c r="V5960" s="8">
        <v>2</v>
      </c>
      <c r="W5960" s="8">
        <v>1.7</v>
      </c>
      <c r="X5960" s="8">
        <v>177</v>
      </c>
      <c r="Y5960" s="8" t="s">
        <v>26567</v>
      </c>
      <c r="Z5960" s="8" t="s">
        <v>26568</v>
      </c>
    </row>
    <row r="5961" spans="1:26" x14ac:dyDescent="0.2">
      <c r="A5961" s="8">
        <v>5960</v>
      </c>
      <c r="B5961" s="8" t="s">
        <v>26569</v>
      </c>
      <c r="C5961" s="8" t="s">
        <v>26569</v>
      </c>
      <c r="F5961" s="47"/>
      <c r="G5961" s="8">
        <v>18</v>
      </c>
      <c r="H5961" s="8" t="s">
        <v>21</v>
      </c>
      <c r="I5961" s="8" t="s">
        <v>22</v>
      </c>
      <c r="J5961" s="8" t="s">
        <v>22</v>
      </c>
      <c r="K5961" s="8" t="s">
        <v>396</v>
      </c>
      <c r="L5961" s="8" t="s">
        <v>26227</v>
      </c>
      <c r="M5961" s="8" t="s">
        <v>26228</v>
      </c>
      <c r="N5961" s="8" t="s">
        <v>26570</v>
      </c>
      <c r="O5961" s="8">
        <f>15+36/60+18.4/3600</f>
        <v>15.60511111111111</v>
      </c>
      <c r="P5961" s="8" t="s">
        <v>26571</v>
      </c>
      <c r="Q5961" s="8">
        <f>+(5+39/60+57/3600)</f>
        <v>5.6658333333333335</v>
      </c>
      <c r="R5961" s="8">
        <v>14.3</v>
      </c>
      <c r="S5961" s="8">
        <v>15.1</v>
      </c>
      <c r="T5961" s="8">
        <v>0.8</v>
      </c>
      <c r="U5961" s="8">
        <v>13.2</v>
      </c>
      <c r="V5961" s="8">
        <v>0.7</v>
      </c>
      <c r="W5961" s="8">
        <v>0.6</v>
      </c>
      <c r="X5961" s="8">
        <v>114</v>
      </c>
      <c r="Y5961" s="8" t="s">
        <v>26572</v>
      </c>
      <c r="Z5961" s="8" t="s">
        <v>26573</v>
      </c>
    </row>
    <row r="5962" spans="1:26" x14ac:dyDescent="0.2">
      <c r="A5962" s="8">
        <v>5961</v>
      </c>
      <c r="B5962" s="8" t="s">
        <v>26574</v>
      </c>
      <c r="C5962" s="8" t="s">
        <v>26574</v>
      </c>
      <c r="F5962" s="47"/>
      <c r="G5962" s="8">
        <v>19</v>
      </c>
      <c r="H5962" s="8" t="s">
        <v>21</v>
      </c>
      <c r="I5962" s="8" t="s">
        <v>22</v>
      </c>
      <c r="J5962" s="8" t="s">
        <v>22</v>
      </c>
      <c r="K5962" s="8" t="s">
        <v>23</v>
      </c>
      <c r="L5962" s="8" t="s">
        <v>26398</v>
      </c>
      <c r="M5962" s="8" t="s">
        <v>26399</v>
      </c>
      <c r="N5962" s="8" t="s">
        <v>26575</v>
      </c>
      <c r="O5962" s="8">
        <f>15+35/60+16.2/3600</f>
        <v>15.587833333333334</v>
      </c>
      <c r="P5962" s="8" t="s">
        <v>26576</v>
      </c>
      <c r="Q5962" s="8">
        <f>+(30+51/60+51/3600)</f>
        <v>30.864166666666669</v>
      </c>
      <c r="R5962" s="8">
        <v>14.1</v>
      </c>
      <c r="S5962" s="8">
        <v>14.5</v>
      </c>
      <c r="T5962" s="8">
        <v>0.4</v>
      </c>
      <c r="U5962" s="8">
        <v>12.5</v>
      </c>
      <c r="V5962" s="8">
        <v>0.8</v>
      </c>
      <c r="W5962" s="8">
        <v>0.3</v>
      </c>
      <c r="X5962" s="8">
        <v>97</v>
      </c>
      <c r="Y5962" s="8" t="s">
        <v>26577</v>
      </c>
      <c r="Z5962" s="8" t="s">
        <v>26578</v>
      </c>
    </row>
    <row r="5963" spans="1:26" x14ac:dyDescent="0.2">
      <c r="A5963" s="8">
        <v>5962</v>
      </c>
      <c r="B5963" s="8" t="s">
        <v>26579</v>
      </c>
      <c r="C5963" s="8" t="s">
        <v>26579</v>
      </c>
      <c r="F5963" s="47" t="s">
        <v>58101</v>
      </c>
      <c r="G5963" s="8">
        <v>11</v>
      </c>
      <c r="H5963" s="8" t="s">
        <v>21</v>
      </c>
      <c r="I5963" s="8" t="s">
        <v>22</v>
      </c>
      <c r="J5963" s="8" t="s">
        <v>22</v>
      </c>
      <c r="K5963" s="8" t="s">
        <v>160</v>
      </c>
      <c r="L5963" s="8" t="s">
        <v>26227</v>
      </c>
      <c r="M5963" s="8" t="s">
        <v>26228</v>
      </c>
      <c r="N5963" s="8" t="s">
        <v>26580</v>
      </c>
      <c r="O5963" s="8">
        <f>15+36/60+31.6/3600</f>
        <v>15.608777777777778</v>
      </c>
      <c r="P5963" s="8" t="s">
        <v>26581</v>
      </c>
      <c r="Q5963" s="8">
        <f>+(16+36/60+28/3600)</f>
        <v>16.60777777777778</v>
      </c>
      <c r="R5963" s="8">
        <v>11.3</v>
      </c>
      <c r="S5963" s="8">
        <v>12</v>
      </c>
      <c r="T5963" s="8">
        <v>0.7</v>
      </c>
      <c r="U5963" s="8">
        <v>13.1</v>
      </c>
      <c r="V5963" s="8">
        <v>3</v>
      </c>
      <c r="W5963" s="8">
        <v>2.2000000000000002</v>
      </c>
      <c r="X5963" s="8">
        <v>110</v>
      </c>
      <c r="Y5963" s="8" t="s">
        <v>26582</v>
      </c>
      <c r="Z5963" s="8" t="s">
        <v>26583</v>
      </c>
    </row>
    <row r="5964" spans="1:26" x14ac:dyDescent="0.2">
      <c r="A5964" s="8">
        <v>5963</v>
      </c>
      <c r="B5964" s="8" t="s">
        <v>26584</v>
      </c>
      <c r="C5964" s="8" t="s">
        <v>26584</v>
      </c>
      <c r="F5964" s="47" t="s">
        <v>58102</v>
      </c>
      <c r="G5964" s="8">
        <v>15</v>
      </c>
      <c r="H5964" s="8" t="s">
        <v>21</v>
      </c>
      <c r="I5964" s="8" t="s">
        <v>22</v>
      </c>
      <c r="J5964" s="8" t="s">
        <v>22</v>
      </c>
      <c r="K5964" s="8" t="s">
        <v>160</v>
      </c>
      <c r="L5964" s="8" t="s">
        <v>13395</v>
      </c>
      <c r="M5964" s="8" t="s">
        <v>13396</v>
      </c>
      <c r="N5964" s="8" t="s">
        <v>26585</v>
      </c>
      <c r="O5964" s="8">
        <f>15+33/60+27.8/3600</f>
        <v>15.557722222222223</v>
      </c>
      <c r="P5964" s="8" t="s">
        <v>26586</v>
      </c>
      <c r="Q5964" s="8">
        <f>+(56+33/60+36/3600)</f>
        <v>56.559999999999995</v>
      </c>
      <c r="R5964" s="8">
        <v>12.5</v>
      </c>
      <c r="S5964" s="8">
        <v>13.1</v>
      </c>
      <c r="T5964" s="8">
        <v>0.6</v>
      </c>
      <c r="U5964" s="8">
        <v>14.7</v>
      </c>
      <c r="V5964" s="8">
        <v>3.3</v>
      </c>
      <c r="W5964" s="8">
        <v>2.6</v>
      </c>
      <c r="X5964" s="8">
        <v>55</v>
      </c>
      <c r="Y5964" s="8" t="s">
        <v>26587</v>
      </c>
      <c r="Z5964" s="8" t="s">
        <v>26588</v>
      </c>
    </row>
    <row r="5965" spans="1:26" x14ac:dyDescent="0.2">
      <c r="A5965" s="8">
        <v>5964</v>
      </c>
      <c r="B5965" s="8" t="s">
        <v>26589</v>
      </c>
      <c r="C5965" s="8" t="s">
        <v>26589</v>
      </c>
      <c r="F5965" s="47"/>
      <c r="G5965" s="8">
        <v>16</v>
      </c>
      <c r="H5965" s="8" t="s">
        <v>21</v>
      </c>
      <c r="I5965" s="8" t="s">
        <v>22</v>
      </c>
      <c r="J5965" s="8" t="s">
        <v>22</v>
      </c>
      <c r="K5965" s="8" t="s">
        <v>1277</v>
      </c>
      <c r="L5965" s="8" t="s">
        <v>26227</v>
      </c>
      <c r="M5965" s="8" t="s">
        <v>26228</v>
      </c>
      <c r="N5965" s="8" t="s">
        <v>26590</v>
      </c>
      <c r="O5965" s="8">
        <f>15+37/60+36.2/3600</f>
        <v>15.626722222222222</v>
      </c>
      <c r="P5965" s="8" t="s">
        <v>26591</v>
      </c>
      <c r="Q5965" s="8">
        <f>+(5+58/60+25/3600)</f>
        <v>5.9736111111111114</v>
      </c>
      <c r="R5965" s="8">
        <v>11.9</v>
      </c>
      <c r="S5965" s="8">
        <v>12.6</v>
      </c>
      <c r="T5965" s="8">
        <v>0.7</v>
      </c>
      <c r="U5965" s="8">
        <v>14.6</v>
      </c>
      <c r="V5965" s="8">
        <v>4.0999999999999996</v>
      </c>
      <c r="W5965" s="8">
        <v>3.3</v>
      </c>
      <c r="X5965" s="8">
        <v>145</v>
      </c>
      <c r="Y5965" s="8" t="s">
        <v>26592</v>
      </c>
      <c r="Z5965" s="8" t="s">
        <v>26593</v>
      </c>
    </row>
    <row r="5966" spans="1:26" x14ac:dyDescent="0.2">
      <c r="A5966" s="8">
        <v>5965</v>
      </c>
      <c r="B5966" s="8" t="s">
        <v>26594</v>
      </c>
      <c r="C5966" s="8" t="s">
        <v>26594</v>
      </c>
      <c r="E5966" s="8">
        <v>1</v>
      </c>
      <c r="F5966" s="47" t="s">
        <v>58103</v>
      </c>
      <c r="G5966" s="8">
        <v>15</v>
      </c>
      <c r="H5966" s="8" t="s">
        <v>21</v>
      </c>
      <c r="I5966" s="8" t="s">
        <v>22</v>
      </c>
      <c r="J5966" s="8" t="s">
        <v>22</v>
      </c>
      <c r="K5966" s="8" t="s">
        <v>23</v>
      </c>
      <c r="L5966" s="8" t="s">
        <v>13395</v>
      </c>
      <c r="M5966" s="8" t="s">
        <v>13396</v>
      </c>
      <c r="N5966" s="8" t="s">
        <v>26595</v>
      </c>
      <c r="O5966" s="8">
        <f>15+34/60+2/3600</f>
        <v>15.567222222222222</v>
      </c>
      <c r="P5966" s="8" t="s">
        <v>26596</v>
      </c>
      <c r="Q5966" s="8">
        <f>+(56+41/60+8/3600)</f>
        <v>56.685555555555553</v>
      </c>
      <c r="R5966" s="8">
        <v>11.7</v>
      </c>
      <c r="S5966" s="8">
        <v>12.6</v>
      </c>
      <c r="T5966" s="8">
        <v>0.9</v>
      </c>
      <c r="U5966" s="8">
        <v>13</v>
      </c>
      <c r="V5966" s="8">
        <v>5.2</v>
      </c>
      <c r="W5966" s="8">
        <v>0.7</v>
      </c>
      <c r="X5966" s="8">
        <v>53</v>
      </c>
      <c r="Y5966" s="8" t="s">
        <v>26597</v>
      </c>
      <c r="Z5966" s="8" t="s">
        <v>26598</v>
      </c>
    </row>
    <row r="5967" spans="1:26" x14ac:dyDescent="0.2">
      <c r="A5967" s="8">
        <v>5966</v>
      </c>
      <c r="B5967" s="8" t="s">
        <v>26599</v>
      </c>
      <c r="C5967" s="8" t="s">
        <v>26599</v>
      </c>
      <c r="F5967" s="47" t="s">
        <v>58104</v>
      </c>
      <c r="G5967" s="8">
        <v>15</v>
      </c>
      <c r="H5967" s="8" t="s">
        <v>21</v>
      </c>
      <c r="I5967" s="8" t="s">
        <v>22</v>
      </c>
      <c r="J5967" s="8" t="s">
        <v>22</v>
      </c>
      <c r="K5967" s="8" t="s">
        <v>50</v>
      </c>
      <c r="L5967" s="8" t="s">
        <v>22476</v>
      </c>
      <c r="M5967" s="8" t="s">
        <v>22477</v>
      </c>
      <c r="N5967" s="8" t="s">
        <v>26600</v>
      </c>
      <c r="O5967" s="8">
        <f>15+35/60+52.2/3600</f>
        <v>15.597833333333334</v>
      </c>
      <c r="P5967" s="8" t="s">
        <v>26601</v>
      </c>
      <c r="Q5967" s="8">
        <f>+(39+46/60+9/3600)</f>
        <v>39.769166666666663</v>
      </c>
      <c r="R5967" s="8">
        <v>12.2</v>
      </c>
      <c r="S5967" s="8">
        <v>13.1</v>
      </c>
      <c r="T5967" s="8">
        <v>0.9</v>
      </c>
      <c r="U5967" s="8">
        <v>13</v>
      </c>
      <c r="V5967" s="8">
        <v>1.8</v>
      </c>
      <c r="W5967" s="8">
        <v>1.1000000000000001</v>
      </c>
      <c r="X5967" s="8">
        <v>90</v>
      </c>
      <c r="Y5967" s="8" t="s">
        <v>26602</v>
      </c>
      <c r="Z5967" s="8" t="s">
        <v>26603</v>
      </c>
    </row>
    <row r="5968" spans="1:26" x14ac:dyDescent="0.2">
      <c r="A5968" s="8">
        <v>5967</v>
      </c>
      <c r="B5968" s="8" t="s">
        <v>26604</v>
      </c>
      <c r="C5968" s="8" t="s">
        <v>26604</v>
      </c>
      <c r="F5968" s="47"/>
      <c r="G5968" s="8">
        <v>13</v>
      </c>
      <c r="H5968" s="8" t="s">
        <v>21</v>
      </c>
      <c r="I5968" s="8" t="s">
        <v>22</v>
      </c>
      <c r="J5968" s="8" t="s">
        <v>22</v>
      </c>
      <c r="K5968" s="8" t="s">
        <v>64</v>
      </c>
      <c r="L5968" s="8" t="s">
        <v>25025</v>
      </c>
      <c r="M5968" s="8" t="s">
        <v>25026</v>
      </c>
      <c r="N5968" s="8" t="s">
        <v>26605</v>
      </c>
      <c r="O5968" s="8">
        <f>15+48/60+16/3600</f>
        <v>15.804444444444446</v>
      </c>
      <c r="P5968" s="8" t="s">
        <v>26606</v>
      </c>
      <c r="Q5968" s="8">
        <f>-(75+40/60+23/3600)</f>
        <v>-75.673055555555564</v>
      </c>
      <c r="R5968" s="8">
        <v>12</v>
      </c>
      <c r="S5968" s="8">
        <v>12.7</v>
      </c>
      <c r="T5968" s="8">
        <v>0.7</v>
      </c>
      <c r="U5968" s="8">
        <v>13.6</v>
      </c>
      <c r="V5968" s="8">
        <v>2.7</v>
      </c>
      <c r="W5968" s="8">
        <v>1.7</v>
      </c>
      <c r="X5968" s="8">
        <v>90</v>
      </c>
      <c r="Y5968" s="8" t="s">
        <v>8615</v>
      </c>
      <c r="Z5968" s="8" t="s">
        <v>8616</v>
      </c>
    </row>
    <row r="5969" spans="1:26" x14ac:dyDescent="0.2">
      <c r="A5969" s="8">
        <v>5968</v>
      </c>
      <c r="B5969" s="8" t="s">
        <v>26607</v>
      </c>
      <c r="C5969" s="8" t="s">
        <v>26607</v>
      </c>
      <c r="F5969" s="47"/>
      <c r="G5969" s="8">
        <v>13</v>
      </c>
      <c r="H5969" s="8" t="s">
        <v>21</v>
      </c>
      <c r="I5969" s="8" t="s">
        <v>22</v>
      </c>
      <c r="J5969" s="8" t="s">
        <v>22</v>
      </c>
      <c r="K5969" s="8" t="s">
        <v>406</v>
      </c>
      <c r="L5969" s="8" t="s">
        <v>24674</v>
      </c>
      <c r="M5969" s="8" t="s">
        <v>24675</v>
      </c>
      <c r="N5969" s="8" t="s">
        <v>26608</v>
      </c>
      <c r="O5969" s="8">
        <f>15+39/60+57/3600</f>
        <v>15.665833333333333</v>
      </c>
      <c r="P5969" s="8" t="s">
        <v>26609</v>
      </c>
      <c r="Q5969" s="8">
        <f>-(30+33/60+11/3600)</f>
        <v>-30.553055555555556</v>
      </c>
      <c r="R5969" s="8">
        <v>12.2</v>
      </c>
      <c r="S5969" s="8">
        <v>13.1</v>
      </c>
      <c r="T5969" s="8">
        <v>0.9</v>
      </c>
      <c r="U5969" s="8">
        <v>13.6</v>
      </c>
      <c r="V5969" s="8">
        <v>2.1</v>
      </c>
      <c r="W5969" s="8">
        <v>1.9</v>
      </c>
      <c r="Y5969" s="8" t="s">
        <v>11149</v>
      </c>
      <c r="Z5969" s="8" t="s">
        <v>26610</v>
      </c>
    </row>
    <row r="5970" spans="1:26" x14ac:dyDescent="0.2">
      <c r="A5970" s="8">
        <v>5969</v>
      </c>
      <c r="B5970" s="8" t="s">
        <v>26611</v>
      </c>
      <c r="C5970" s="8" t="s">
        <v>26611</v>
      </c>
      <c r="F5970" s="47"/>
      <c r="G5970" s="8">
        <v>19</v>
      </c>
      <c r="H5970" s="8" t="s">
        <v>21</v>
      </c>
      <c r="I5970" s="8" t="s">
        <v>22</v>
      </c>
      <c r="J5970" s="8" t="s">
        <v>22</v>
      </c>
      <c r="K5970" s="8" t="s">
        <v>58</v>
      </c>
      <c r="L5970" s="8" t="s">
        <v>13395</v>
      </c>
      <c r="M5970" s="8" t="s">
        <v>13396</v>
      </c>
      <c r="N5970" s="8" t="s">
        <v>26612</v>
      </c>
      <c r="O5970" s="8">
        <f>15+34/60+50.9/3600</f>
        <v>15.580805555555555</v>
      </c>
      <c r="P5970" s="8" t="s">
        <v>26613</v>
      </c>
      <c r="Q5970" s="8">
        <f>+(56+27/60+5/3600)</f>
        <v>56.451388888888893</v>
      </c>
      <c r="R5970" s="8">
        <v>14.4</v>
      </c>
      <c r="S5970" s="8">
        <v>15.4</v>
      </c>
      <c r="T5970" s="8">
        <v>1</v>
      </c>
      <c r="U5970" s="8">
        <v>12.5</v>
      </c>
      <c r="V5970" s="8">
        <v>0.5</v>
      </c>
      <c r="W5970" s="8">
        <v>0.3</v>
      </c>
      <c r="X5970" s="8">
        <v>0</v>
      </c>
      <c r="Y5970" s="8" t="s">
        <v>26614</v>
      </c>
      <c r="Z5970" s="8" t="s">
        <v>26615</v>
      </c>
    </row>
    <row r="5971" spans="1:26" x14ac:dyDescent="0.2">
      <c r="A5971" s="8">
        <v>5970</v>
      </c>
      <c r="B5971" s="8" t="s">
        <v>26616</v>
      </c>
      <c r="C5971" s="8" t="s">
        <v>26616</v>
      </c>
      <c r="F5971" s="47" t="s">
        <v>58105</v>
      </c>
      <c r="G5971" s="8">
        <v>6.5</v>
      </c>
      <c r="H5971" s="8" t="s">
        <v>21</v>
      </c>
      <c r="I5971" s="8" t="s">
        <v>22</v>
      </c>
      <c r="J5971" s="8" t="s">
        <v>22</v>
      </c>
      <c r="K5971" s="8" t="s">
        <v>64</v>
      </c>
      <c r="L5971" s="8" t="s">
        <v>26227</v>
      </c>
      <c r="M5971" s="8" t="s">
        <v>26228</v>
      </c>
      <c r="N5971" s="8" t="s">
        <v>26617</v>
      </c>
      <c r="O5971" s="8">
        <f>15+38/60+30/3600</f>
        <v>15.641666666666666</v>
      </c>
      <c r="P5971" s="8" t="s">
        <v>17833</v>
      </c>
      <c r="Q5971" s="8">
        <f>+(12+11/60+11/3600)</f>
        <v>12.186388888888889</v>
      </c>
      <c r="R5971" s="8">
        <v>11.5</v>
      </c>
      <c r="S5971" s="8">
        <v>12.2</v>
      </c>
      <c r="T5971" s="8">
        <v>0.7</v>
      </c>
      <c r="U5971" s="8">
        <v>13.3</v>
      </c>
      <c r="V5971" s="8">
        <v>3</v>
      </c>
      <c r="W5971" s="8">
        <v>2</v>
      </c>
      <c r="X5971" s="8">
        <v>88</v>
      </c>
      <c r="Y5971" s="8" t="s">
        <v>26618</v>
      </c>
      <c r="Z5971" s="8" t="s">
        <v>26619</v>
      </c>
    </row>
    <row r="5972" spans="1:26" x14ac:dyDescent="0.2">
      <c r="A5972" s="8">
        <v>5971</v>
      </c>
      <c r="B5972" s="8" t="s">
        <v>26620</v>
      </c>
      <c r="C5972" s="8" t="s">
        <v>26620</v>
      </c>
      <c r="F5972" s="47"/>
      <c r="G5972" s="8">
        <v>19</v>
      </c>
      <c r="H5972" s="8" t="s">
        <v>21</v>
      </c>
      <c r="I5972" s="8" t="s">
        <v>22</v>
      </c>
      <c r="J5972" s="8" t="s">
        <v>22</v>
      </c>
      <c r="K5972" s="8" t="s">
        <v>91</v>
      </c>
      <c r="L5972" s="8" t="s">
        <v>13395</v>
      </c>
      <c r="M5972" s="8" t="s">
        <v>13396</v>
      </c>
      <c r="N5972" s="8" t="s">
        <v>26621</v>
      </c>
      <c r="O5972" s="8">
        <f>15+35/60+36.9/3600</f>
        <v>15.593583333333333</v>
      </c>
      <c r="P5972" s="8" t="s">
        <v>26622</v>
      </c>
      <c r="Q5972" s="8">
        <f>+(56+27/60+43/3600)</f>
        <v>56.461944444444448</v>
      </c>
      <c r="R5972" s="8">
        <v>13.8</v>
      </c>
      <c r="S5972" s="8">
        <v>14.7</v>
      </c>
      <c r="T5972" s="8">
        <v>0.9</v>
      </c>
      <c r="U5972" s="8">
        <v>13.6</v>
      </c>
      <c r="V5972" s="8">
        <v>1.6</v>
      </c>
      <c r="W5972" s="8">
        <v>0.6</v>
      </c>
      <c r="X5972" s="8">
        <v>136</v>
      </c>
      <c r="Y5972" s="8" t="s">
        <v>3881</v>
      </c>
      <c r="Z5972" s="8" t="s">
        <v>3882</v>
      </c>
    </row>
    <row r="5973" spans="1:26" x14ac:dyDescent="0.2">
      <c r="A5973" s="8">
        <v>5972</v>
      </c>
      <c r="B5973" s="8" t="s">
        <v>26623</v>
      </c>
      <c r="C5973" s="8" t="s">
        <v>26623</v>
      </c>
      <c r="F5973" s="47"/>
      <c r="G5973" s="8">
        <v>19</v>
      </c>
      <c r="H5973" s="8" t="s">
        <v>21</v>
      </c>
      <c r="I5973" s="8" t="s">
        <v>22</v>
      </c>
      <c r="J5973" s="8" t="s">
        <v>22</v>
      </c>
      <c r="K5973" s="8" t="s">
        <v>632</v>
      </c>
      <c r="L5973" s="8" t="s">
        <v>26227</v>
      </c>
      <c r="M5973" s="8" t="s">
        <v>26228</v>
      </c>
      <c r="N5973" s="8" t="s">
        <v>26624</v>
      </c>
      <c r="O5973" s="8">
        <f>15+38/60+54.1/3600</f>
        <v>15.648361111111111</v>
      </c>
      <c r="P5973" s="8" t="s">
        <v>26625</v>
      </c>
      <c r="Q5973" s="8">
        <f>+(17+1/60+34/3600)</f>
        <v>17.02611111111111</v>
      </c>
      <c r="R5973" s="8">
        <v>13.6</v>
      </c>
      <c r="S5973" s="8">
        <v>14.5</v>
      </c>
      <c r="T5973" s="8">
        <v>0.9</v>
      </c>
      <c r="U5973" s="8">
        <v>13.4</v>
      </c>
      <c r="V5973" s="8">
        <v>1</v>
      </c>
      <c r="W5973" s="8">
        <v>0.7</v>
      </c>
      <c r="X5973" s="8">
        <v>5</v>
      </c>
      <c r="Y5973" s="8" t="s">
        <v>22683</v>
      </c>
      <c r="Z5973" s="8" t="s">
        <v>26626</v>
      </c>
    </row>
    <row r="5974" spans="1:26" x14ac:dyDescent="0.2">
      <c r="A5974" s="8">
        <v>5973</v>
      </c>
      <c r="B5974" s="8" t="s">
        <v>26627</v>
      </c>
      <c r="C5974" s="8" t="s">
        <v>26627</v>
      </c>
      <c r="F5974" s="47"/>
      <c r="G5974" s="8">
        <v>18</v>
      </c>
      <c r="H5974" s="8" t="s">
        <v>21</v>
      </c>
      <c r="I5974" s="8" t="s">
        <v>22</v>
      </c>
      <c r="J5974" s="8" t="s">
        <v>22</v>
      </c>
      <c r="K5974" s="8" t="s">
        <v>632</v>
      </c>
      <c r="L5974" s="8" t="s">
        <v>24948</v>
      </c>
      <c r="M5974" s="8" t="s">
        <v>24949</v>
      </c>
      <c r="N5974" s="8" t="s">
        <v>26628</v>
      </c>
      <c r="O5974" s="8">
        <f>15+40/60+15.6/3600</f>
        <v>15.670999999999999</v>
      </c>
      <c r="P5974" s="8" t="s">
        <v>26629</v>
      </c>
      <c r="Q5974" s="8">
        <f>-(8+36/60+3/3600)</f>
        <v>-8.6008333333333322</v>
      </c>
      <c r="R5974" s="8">
        <v>14.4</v>
      </c>
      <c r="S5974" s="8">
        <v>15.3</v>
      </c>
      <c r="T5974" s="8">
        <v>0.9</v>
      </c>
      <c r="U5974" s="8">
        <v>12.9</v>
      </c>
      <c r="V5974" s="8">
        <v>0.9</v>
      </c>
      <c r="W5974" s="8">
        <v>0.3</v>
      </c>
      <c r="X5974" s="8">
        <v>140</v>
      </c>
      <c r="Y5974" s="8" t="s">
        <v>24844</v>
      </c>
      <c r="Z5974" s="8" t="s">
        <v>24845</v>
      </c>
    </row>
    <row r="5975" spans="1:26" x14ac:dyDescent="0.2">
      <c r="A5975" s="8">
        <v>5974</v>
      </c>
      <c r="B5975" s="8" t="s">
        <v>26630</v>
      </c>
      <c r="C5975" s="8" t="s">
        <v>26630</v>
      </c>
      <c r="F5975" s="47"/>
      <c r="G5975" s="8">
        <v>16</v>
      </c>
      <c r="H5975" s="8" t="s">
        <v>21</v>
      </c>
      <c r="I5975" s="8" t="s">
        <v>22</v>
      </c>
      <c r="J5975" s="8" t="s">
        <v>22</v>
      </c>
      <c r="K5975" s="8" t="s">
        <v>160</v>
      </c>
      <c r="L5975" s="8" t="s">
        <v>26398</v>
      </c>
      <c r="M5975" s="8" t="s">
        <v>26399</v>
      </c>
      <c r="N5975" s="8" t="s">
        <v>26631</v>
      </c>
      <c r="O5975" s="8">
        <f>15+39/60+2.3/3600</f>
        <v>15.650638888888889</v>
      </c>
      <c r="P5975" s="8" t="s">
        <v>26632</v>
      </c>
      <c r="Q5975" s="8">
        <f>+(31+45/60+35/3600)</f>
        <v>31.759722222222223</v>
      </c>
      <c r="R5975" s="8">
        <v>14.2</v>
      </c>
      <c r="S5975" s="8">
        <v>14.7</v>
      </c>
      <c r="T5975" s="8">
        <v>0.5</v>
      </c>
      <c r="U5975" s="8">
        <v>12.4</v>
      </c>
      <c r="V5975" s="8">
        <v>0.6</v>
      </c>
      <c r="W5975" s="8">
        <v>0.3</v>
      </c>
      <c r="X5975" s="8">
        <v>110</v>
      </c>
      <c r="Y5975" s="8" t="s">
        <v>115</v>
      </c>
      <c r="Z5975" s="8" t="s">
        <v>116</v>
      </c>
    </row>
    <row r="5976" spans="1:26" x14ac:dyDescent="0.2">
      <c r="A5976" s="8">
        <v>5975</v>
      </c>
      <c r="B5976" s="8" t="s">
        <v>26633</v>
      </c>
      <c r="C5976" s="8" t="s">
        <v>26633</v>
      </c>
      <c r="F5976" s="47"/>
      <c r="G5976" s="8">
        <v>19</v>
      </c>
      <c r="H5976" s="8" t="s">
        <v>21</v>
      </c>
      <c r="I5976" s="8" t="s">
        <v>22</v>
      </c>
      <c r="J5976" s="8" t="s">
        <v>22</v>
      </c>
      <c r="K5976" s="8" t="s">
        <v>396</v>
      </c>
      <c r="L5976" s="8" t="s">
        <v>26227</v>
      </c>
      <c r="M5976" s="8" t="s">
        <v>26228</v>
      </c>
      <c r="N5976" s="8" t="s">
        <v>26634</v>
      </c>
      <c r="O5976" s="8">
        <f>15+39/60+58/3600</f>
        <v>15.666111111111112</v>
      </c>
      <c r="P5976" s="8" t="s">
        <v>26635</v>
      </c>
      <c r="Q5976" s="8">
        <f>+(21+28/60+14/3600)</f>
        <v>21.470555555555553</v>
      </c>
      <c r="R5976" s="8">
        <v>14.2</v>
      </c>
      <c r="S5976" s="8">
        <v>15</v>
      </c>
      <c r="T5976" s="8">
        <v>0.8</v>
      </c>
      <c r="U5976" s="8">
        <v>12.7</v>
      </c>
      <c r="V5976" s="8">
        <v>1</v>
      </c>
      <c r="W5976" s="8">
        <v>0.3</v>
      </c>
      <c r="X5976" s="8">
        <v>171</v>
      </c>
      <c r="Y5976" s="8" t="s">
        <v>26636</v>
      </c>
      <c r="Z5976" s="8" t="s">
        <v>26637</v>
      </c>
    </row>
    <row r="5977" spans="1:26" x14ac:dyDescent="0.2">
      <c r="A5977" s="8">
        <v>5976</v>
      </c>
      <c r="B5977" s="8" t="s">
        <v>26638</v>
      </c>
      <c r="C5977" s="8" t="s">
        <v>26638</v>
      </c>
      <c r="F5977" s="47"/>
      <c r="G5977" s="8">
        <v>18</v>
      </c>
      <c r="H5977" s="8" t="s">
        <v>21</v>
      </c>
      <c r="I5977" s="8" t="s">
        <v>22</v>
      </c>
      <c r="J5977" s="8" t="s">
        <v>22</v>
      </c>
      <c r="K5977" s="8" t="s">
        <v>37</v>
      </c>
      <c r="L5977" s="8" t="s">
        <v>13395</v>
      </c>
      <c r="M5977" s="8" t="s">
        <v>13396</v>
      </c>
      <c r="N5977" s="8" t="s">
        <v>26639</v>
      </c>
      <c r="O5977" s="8">
        <f>15+36/60+47.8/3600</f>
        <v>15.613277777777778</v>
      </c>
      <c r="P5977" s="8" t="s">
        <v>26640</v>
      </c>
      <c r="Q5977" s="8">
        <f>+(59+23/60+54/3600)</f>
        <v>59.398333333333333</v>
      </c>
      <c r="R5977" s="8">
        <v>14.8</v>
      </c>
      <c r="S5977" s="8">
        <v>15.8</v>
      </c>
      <c r="T5977" s="8">
        <v>1</v>
      </c>
      <c r="U5977" s="8">
        <v>13.5</v>
      </c>
      <c r="V5977" s="8">
        <v>0.8</v>
      </c>
      <c r="W5977" s="8">
        <v>0.4</v>
      </c>
      <c r="X5977" s="8">
        <v>119</v>
      </c>
      <c r="Y5977" s="8" t="s">
        <v>7509</v>
      </c>
      <c r="Z5977" s="8" t="s">
        <v>3537</v>
      </c>
    </row>
    <row r="5978" spans="1:26" x14ac:dyDescent="0.2">
      <c r="A5978" s="8">
        <v>5977</v>
      </c>
      <c r="B5978" s="8" t="s">
        <v>26641</v>
      </c>
      <c r="C5978" s="8" t="s">
        <v>26641</v>
      </c>
      <c r="F5978" s="47"/>
      <c r="G5978" s="8">
        <v>19</v>
      </c>
      <c r="H5978" s="8" t="s">
        <v>21</v>
      </c>
      <c r="I5978" s="8" t="s">
        <v>22</v>
      </c>
      <c r="J5978" s="8" t="s">
        <v>22</v>
      </c>
      <c r="K5978" s="8" t="s">
        <v>224</v>
      </c>
      <c r="L5978" s="8" t="s">
        <v>26227</v>
      </c>
      <c r="M5978" s="8" t="s">
        <v>26228</v>
      </c>
      <c r="N5978" s="8" t="s">
        <v>26642</v>
      </c>
      <c r="O5978" s="8">
        <f>15+40/60+33.4/3600</f>
        <v>15.675944444444443</v>
      </c>
      <c r="P5978" s="8" t="s">
        <v>26643</v>
      </c>
      <c r="Q5978" s="8">
        <f>+(17+7/60+43/3600)</f>
        <v>17.128611111111113</v>
      </c>
      <c r="R5978" s="8">
        <v>13.4</v>
      </c>
      <c r="S5978" s="8">
        <v>14.4</v>
      </c>
      <c r="T5978" s="8">
        <v>1</v>
      </c>
      <c r="U5978" s="8">
        <v>13.5</v>
      </c>
      <c r="V5978" s="8">
        <v>1.2</v>
      </c>
      <c r="W5978" s="8">
        <v>1</v>
      </c>
      <c r="X5978" s="8">
        <v>155</v>
      </c>
      <c r="Y5978" s="8" t="s">
        <v>3982</v>
      </c>
      <c r="Z5978" s="8" t="s">
        <v>3983</v>
      </c>
    </row>
    <row r="5979" spans="1:26" x14ac:dyDescent="0.2">
      <c r="A5979" s="8">
        <v>5978</v>
      </c>
      <c r="B5979" s="8" t="s">
        <v>26644</v>
      </c>
      <c r="C5979" s="8" t="s">
        <v>26644</v>
      </c>
      <c r="F5979" s="47"/>
      <c r="G5979" s="8">
        <v>19</v>
      </c>
      <c r="H5979" s="8" t="s">
        <v>21</v>
      </c>
      <c r="I5979" s="8" t="s">
        <v>22</v>
      </c>
      <c r="J5979" s="8" t="s">
        <v>22</v>
      </c>
      <c r="K5979" s="8" t="s">
        <v>91</v>
      </c>
      <c r="L5979" s="8" t="s">
        <v>24948</v>
      </c>
      <c r="M5979" s="8" t="s">
        <v>24949</v>
      </c>
      <c r="N5979" s="8" t="s">
        <v>26645</v>
      </c>
      <c r="O5979" s="8">
        <f>15+42/60+27.1/3600</f>
        <v>15.707527777777777</v>
      </c>
      <c r="P5979" s="8" t="s">
        <v>26646</v>
      </c>
      <c r="Q5979" s="8">
        <f>-(13+14/60+2/3600)</f>
        <v>-13.233888888888888</v>
      </c>
      <c r="R5979" s="8">
        <v>14</v>
      </c>
      <c r="S5979" s="8">
        <v>14.9</v>
      </c>
      <c r="T5979" s="8">
        <v>0.9</v>
      </c>
      <c r="U5979" s="8">
        <v>13.2</v>
      </c>
      <c r="V5979" s="8">
        <v>0.8</v>
      </c>
      <c r="W5979" s="8">
        <v>0.7</v>
      </c>
      <c r="Y5979" s="8" t="s">
        <v>26647</v>
      </c>
      <c r="Z5979" s="8" t="s">
        <v>26648</v>
      </c>
    </row>
    <row r="5980" spans="1:26" x14ac:dyDescent="0.2">
      <c r="A5980" s="8">
        <v>5979</v>
      </c>
      <c r="B5980" s="8" t="s">
        <v>26649</v>
      </c>
      <c r="C5980" s="8" t="s">
        <v>26649</v>
      </c>
      <c r="F5980" s="47"/>
      <c r="G5980" s="8">
        <v>13</v>
      </c>
      <c r="H5980" s="8" t="s">
        <v>21</v>
      </c>
      <c r="I5980" s="8" t="s">
        <v>241</v>
      </c>
      <c r="J5980" s="8" t="s">
        <v>241</v>
      </c>
      <c r="K5980" s="8" t="s">
        <v>241</v>
      </c>
      <c r="L5980" s="8" t="s">
        <v>26039</v>
      </c>
      <c r="M5980" s="8" t="s">
        <v>26040</v>
      </c>
      <c r="N5980" s="8" t="s">
        <v>26650</v>
      </c>
      <c r="O5980" s="8">
        <f>15+47/60+41.1/3600</f>
        <v>15.794750000000001</v>
      </c>
      <c r="P5980" s="8" t="s">
        <v>26651</v>
      </c>
      <c r="Q5980" s="8">
        <f>-(61+13/60+2/3600)</f>
        <v>-61.217222222222226</v>
      </c>
      <c r="R5980" s="8">
        <v>11.5</v>
      </c>
      <c r="S5980" s="8">
        <v>11.8</v>
      </c>
      <c r="T5980" s="8">
        <v>99</v>
      </c>
      <c r="U5980" s="8">
        <v>99</v>
      </c>
      <c r="V5980" s="8">
        <v>0.3</v>
      </c>
      <c r="Y5980" s="8" t="s">
        <v>26652</v>
      </c>
      <c r="Z5980" s="8" t="s">
        <v>26653</v>
      </c>
    </row>
    <row r="5981" spans="1:26" x14ac:dyDescent="0.2">
      <c r="A5981" s="8">
        <v>5980</v>
      </c>
      <c r="B5981" s="8" t="s">
        <v>26654</v>
      </c>
      <c r="C5981" s="8" t="s">
        <v>26654</v>
      </c>
      <c r="F5981" s="47" t="s">
        <v>58106</v>
      </c>
      <c r="G5981" s="8">
        <v>15</v>
      </c>
      <c r="H5981" s="8" t="s">
        <v>21</v>
      </c>
      <c r="I5981" s="8" t="s">
        <v>22</v>
      </c>
      <c r="J5981" s="8" t="s">
        <v>22</v>
      </c>
      <c r="K5981" s="8" t="s">
        <v>160</v>
      </c>
      <c r="L5981" s="8" t="s">
        <v>26227</v>
      </c>
      <c r="M5981" s="8" t="s">
        <v>26228</v>
      </c>
      <c r="N5981" s="8" t="s">
        <v>26655</v>
      </c>
      <c r="O5981" s="8">
        <f>15+41/60+30.5/3600</f>
        <v>15.691805555555556</v>
      </c>
      <c r="P5981" s="8" t="s">
        <v>26656</v>
      </c>
      <c r="Q5981" s="8">
        <f>+(15+47/60+15/3600)</f>
        <v>15.7875</v>
      </c>
      <c r="R5981" s="8">
        <v>12.7</v>
      </c>
      <c r="S5981" s="8">
        <v>13.4</v>
      </c>
      <c r="T5981" s="8">
        <v>0.7</v>
      </c>
      <c r="U5981" s="8">
        <v>12.9</v>
      </c>
      <c r="V5981" s="8">
        <v>1.9</v>
      </c>
      <c r="W5981" s="8">
        <v>0.7</v>
      </c>
      <c r="X5981" s="8">
        <v>13</v>
      </c>
      <c r="Y5981" s="8" t="s">
        <v>26657</v>
      </c>
      <c r="Z5981" s="8" t="s">
        <v>26658</v>
      </c>
    </row>
    <row r="5982" spans="1:26" x14ac:dyDescent="0.2">
      <c r="A5982" s="8">
        <v>5981</v>
      </c>
      <c r="B5982" s="8" t="s">
        <v>26659</v>
      </c>
      <c r="C5982" s="8" t="s">
        <v>26659</v>
      </c>
      <c r="F5982" s="47"/>
      <c r="G5982" s="8">
        <v>12</v>
      </c>
      <c r="H5982" s="8" t="s">
        <v>21</v>
      </c>
      <c r="I5982" s="8" t="s">
        <v>22</v>
      </c>
      <c r="J5982" s="8" t="s">
        <v>22</v>
      </c>
      <c r="K5982" s="8" t="s">
        <v>160</v>
      </c>
      <c r="L5982" s="8" t="s">
        <v>13395</v>
      </c>
      <c r="M5982" s="8" t="s">
        <v>13396</v>
      </c>
      <c r="N5982" s="8" t="s">
        <v>26660</v>
      </c>
      <c r="O5982" s="8">
        <f>15+37/60+53.4/3600</f>
        <v>15.631500000000001</v>
      </c>
      <c r="P5982" s="8" t="s">
        <v>26661</v>
      </c>
      <c r="Q5982" s="8">
        <f>+(59+23/60+29/3600)</f>
        <v>59.391388888888891</v>
      </c>
      <c r="R5982" s="8">
        <v>13</v>
      </c>
      <c r="S5982" s="8">
        <v>13.9</v>
      </c>
      <c r="T5982" s="8">
        <v>0.9</v>
      </c>
      <c r="U5982" s="8">
        <v>13.1</v>
      </c>
      <c r="V5982" s="8">
        <v>2.7</v>
      </c>
      <c r="W5982" s="8">
        <v>0.3</v>
      </c>
      <c r="X5982" s="8">
        <v>140</v>
      </c>
      <c r="Y5982" s="8" t="s">
        <v>5275</v>
      </c>
      <c r="Z5982" s="8" t="s">
        <v>5276</v>
      </c>
    </row>
    <row r="5983" spans="1:26" x14ac:dyDescent="0.2">
      <c r="A5983" s="8">
        <v>5982</v>
      </c>
      <c r="B5983" s="8" t="s">
        <v>26662</v>
      </c>
      <c r="C5983" s="8" t="s">
        <v>26662</v>
      </c>
      <c r="F5983" s="47" t="s">
        <v>58107</v>
      </c>
      <c r="G5983" s="8">
        <v>6</v>
      </c>
      <c r="H5983" s="8" t="s">
        <v>21</v>
      </c>
      <c r="I5983" s="8" t="s">
        <v>22</v>
      </c>
      <c r="J5983" s="8" t="s">
        <v>22</v>
      </c>
      <c r="K5983" s="8" t="s">
        <v>382</v>
      </c>
      <c r="L5983" s="8" t="s">
        <v>13395</v>
      </c>
      <c r="M5983" s="8" t="s">
        <v>13396</v>
      </c>
      <c r="N5983" s="8" t="s">
        <v>26663</v>
      </c>
      <c r="O5983" s="8">
        <f>15+38/60+40/3600</f>
        <v>15.644444444444444</v>
      </c>
      <c r="P5983" s="8" t="s">
        <v>26664</v>
      </c>
      <c r="Q5983" s="8">
        <f>+(59+21/60+22/3600)</f>
        <v>59.356111111111112</v>
      </c>
      <c r="R5983" s="8">
        <v>11.1</v>
      </c>
      <c r="S5983" s="8">
        <v>12</v>
      </c>
      <c r="T5983" s="8">
        <v>0.9</v>
      </c>
      <c r="U5983" s="8">
        <v>12.9</v>
      </c>
      <c r="V5983" s="8">
        <v>2.6</v>
      </c>
      <c r="W5983" s="8">
        <v>1.9</v>
      </c>
      <c r="X5983" s="8">
        <v>110</v>
      </c>
      <c r="Y5983" s="8" t="s">
        <v>26665</v>
      </c>
      <c r="Z5983" s="8" t="s">
        <v>26666</v>
      </c>
    </row>
    <row r="5984" spans="1:26" x14ac:dyDescent="0.2">
      <c r="A5984" s="8">
        <v>5983</v>
      </c>
      <c r="B5984" s="8" t="s">
        <v>26667</v>
      </c>
      <c r="C5984" s="8" t="s">
        <v>26667</v>
      </c>
      <c r="F5984" s="47"/>
      <c r="G5984" s="8">
        <v>18</v>
      </c>
      <c r="H5984" s="8" t="s">
        <v>21</v>
      </c>
      <c r="I5984" s="8" t="s">
        <v>22</v>
      </c>
      <c r="J5984" s="8" t="s">
        <v>22</v>
      </c>
      <c r="K5984" s="8" t="s">
        <v>460</v>
      </c>
      <c r="L5984" s="8" t="s">
        <v>26227</v>
      </c>
      <c r="M5984" s="8" t="s">
        <v>26228</v>
      </c>
      <c r="N5984" s="8" t="s">
        <v>26668</v>
      </c>
      <c r="O5984" s="8">
        <f>15+42/60+45.5/3600</f>
        <v>15.712638888888888</v>
      </c>
      <c r="P5984" s="8" t="s">
        <v>26669</v>
      </c>
      <c r="Q5984" s="8">
        <f>+(8+14/60+30/3600)</f>
        <v>8.2416666666666654</v>
      </c>
      <c r="R5984" s="8">
        <v>13.9</v>
      </c>
      <c r="S5984" s="8">
        <v>14.9</v>
      </c>
      <c r="T5984" s="8">
        <v>1</v>
      </c>
      <c r="U5984" s="8">
        <v>14</v>
      </c>
      <c r="V5984" s="8">
        <v>1</v>
      </c>
      <c r="W5984" s="8">
        <v>1</v>
      </c>
      <c r="Y5984" s="8" t="s">
        <v>26670</v>
      </c>
      <c r="Z5984" s="8" t="s">
        <v>26671</v>
      </c>
    </row>
    <row r="5985" spans="1:26" x14ac:dyDescent="0.2">
      <c r="A5985" s="8">
        <v>5984</v>
      </c>
      <c r="B5985" s="8" t="s">
        <v>26672</v>
      </c>
      <c r="C5985" s="8" t="s">
        <v>26672</v>
      </c>
      <c r="F5985" s="47" t="s">
        <v>58108</v>
      </c>
      <c r="G5985" s="8">
        <v>13</v>
      </c>
      <c r="H5985" s="8" t="s">
        <v>21</v>
      </c>
      <c r="I5985" s="8" t="s">
        <v>22</v>
      </c>
      <c r="J5985" s="8" t="s">
        <v>22</v>
      </c>
      <c r="K5985" s="8" t="s">
        <v>1277</v>
      </c>
      <c r="L5985" s="8" t="s">
        <v>26227</v>
      </c>
      <c r="M5985" s="8" t="s">
        <v>26228</v>
      </c>
      <c r="N5985" s="8" t="s">
        <v>26673</v>
      </c>
      <c r="O5985" s="8">
        <f>15+42/60+53.1/3600</f>
        <v>15.714749999999999</v>
      </c>
      <c r="P5985" s="8" t="s">
        <v>26674</v>
      </c>
      <c r="Q5985" s="8">
        <f>+(14+13/60+56/3600)</f>
        <v>14.232222222222223</v>
      </c>
      <c r="R5985" s="8">
        <v>12.5</v>
      </c>
      <c r="S5985" s="8">
        <v>13.2</v>
      </c>
      <c r="T5985" s="8">
        <v>0.7</v>
      </c>
      <c r="U5985" s="8">
        <v>13.2</v>
      </c>
      <c r="V5985" s="8">
        <v>2.9</v>
      </c>
      <c r="W5985" s="8">
        <v>0.7</v>
      </c>
      <c r="X5985" s="8">
        <v>144</v>
      </c>
      <c r="Y5985" s="8" t="s">
        <v>26675</v>
      </c>
      <c r="Z5985" s="8" t="s">
        <v>26676</v>
      </c>
    </row>
    <row r="5986" spans="1:26" x14ac:dyDescent="0.2">
      <c r="A5986" s="8">
        <v>5985</v>
      </c>
      <c r="B5986" s="8" t="s">
        <v>26677</v>
      </c>
      <c r="C5986" s="8" t="s">
        <v>26677</v>
      </c>
      <c r="F5986" s="47" t="s">
        <v>58109</v>
      </c>
      <c r="G5986" s="8">
        <v>6.5</v>
      </c>
      <c r="H5986" s="8" t="s">
        <v>21</v>
      </c>
      <c r="I5986" s="8" t="s">
        <v>22</v>
      </c>
      <c r="J5986" s="8" t="s">
        <v>22</v>
      </c>
      <c r="K5986" s="8" t="s">
        <v>218</v>
      </c>
      <c r="L5986" s="8" t="s">
        <v>13395</v>
      </c>
      <c r="M5986" s="8" t="s">
        <v>13396</v>
      </c>
      <c r="N5986" s="8" t="s">
        <v>26678</v>
      </c>
      <c r="O5986" s="8">
        <f>15+39/60+37.1/3600</f>
        <v>15.660305555555556</v>
      </c>
      <c r="P5986" s="8" t="s">
        <v>26679</v>
      </c>
      <c r="Q5986" s="8">
        <f>+(59+19/60+55/3600)</f>
        <v>59.331944444444446</v>
      </c>
      <c r="R5986" s="8">
        <v>11.1</v>
      </c>
      <c r="S5986" s="8">
        <v>11.9</v>
      </c>
      <c r="T5986" s="8">
        <v>0.8</v>
      </c>
      <c r="U5986" s="8">
        <v>14</v>
      </c>
      <c r="V5986" s="8">
        <v>5.5</v>
      </c>
      <c r="W5986" s="8">
        <v>3</v>
      </c>
      <c r="X5986" s="8">
        <v>13</v>
      </c>
      <c r="Y5986" s="8" t="s">
        <v>26680</v>
      </c>
      <c r="Z5986" s="8" t="s">
        <v>26681</v>
      </c>
    </row>
    <row r="5987" spans="1:26" x14ac:dyDescent="0.2">
      <c r="A5987" s="8">
        <v>5986</v>
      </c>
      <c r="B5987" s="8" t="s">
        <v>26682</v>
      </c>
      <c r="C5987" s="8" t="s">
        <v>26682</v>
      </c>
      <c r="F5987" s="47"/>
      <c r="G5987" s="8">
        <v>3</v>
      </c>
      <c r="H5987" s="8" t="s">
        <v>21</v>
      </c>
      <c r="I5987" s="8" t="s">
        <v>567</v>
      </c>
      <c r="J5987" s="8" t="s">
        <v>567</v>
      </c>
      <c r="K5987" s="8" t="s">
        <v>25384</v>
      </c>
      <c r="L5987" s="8" t="s">
        <v>24674</v>
      </c>
      <c r="M5987" s="8" t="s">
        <v>24675</v>
      </c>
      <c r="N5987" s="8" t="s">
        <v>26683</v>
      </c>
      <c r="O5987" s="8">
        <f>15+46/60+3.5/3600</f>
        <v>15.767638888888889</v>
      </c>
      <c r="P5987" s="8" t="s">
        <v>26684</v>
      </c>
      <c r="Q5987" s="8">
        <f>-(37+47/60+8/3600)</f>
        <v>-37.785555555555554</v>
      </c>
      <c r="R5987" s="8">
        <v>7.6</v>
      </c>
      <c r="S5987" s="8">
        <v>99</v>
      </c>
      <c r="T5987" s="8">
        <v>99</v>
      </c>
      <c r="U5987" s="8">
        <v>99</v>
      </c>
      <c r="V5987" s="8">
        <v>9.6</v>
      </c>
      <c r="Y5987" s="8" t="s">
        <v>26685</v>
      </c>
      <c r="Z5987" s="8" t="s">
        <v>26686</v>
      </c>
    </row>
    <row r="5988" spans="1:26" x14ac:dyDescent="0.2">
      <c r="A5988" s="8">
        <v>5987</v>
      </c>
      <c r="B5988" s="8" t="s">
        <v>26687</v>
      </c>
      <c r="C5988" s="8" t="s">
        <v>26687</v>
      </c>
      <c r="F5988" s="47" t="s">
        <v>58110</v>
      </c>
      <c r="G5988" s="8">
        <v>15</v>
      </c>
      <c r="H5988" s="8" t="s">
        <v>21</v>
      </c>
      <c r="I5988" s="8" t="s">
        <v>22</v>
      </c>
      <c r="J5988" s="8" t="s">
        <v>22</v>
      </c>
      <c r="K5988" s="8" t="s">
        <v>23</v>
      </c>
      <c r="L5988" s="8" t="s">
        <v>13395</v>
      </c>
      <c r="M5988" s="8" t="s">
        <v>13396</v>
      </c>
      <c r="N5988" s="8" t="s">
        <v>26688</v>
      </c>
      <c r="O5988" s="8">
        <f>15+39/60+56.9/3600</f>
        <v>15.665805555555556</v>
      </c>
      <c r="P5988" s="8" t="s">
        <v>26689</v>
      </c>
      <c r="Q5988" s="8">
        <f>+(58+4/60+47/3600)</f>
        <v>58.079722222222223</v>
      </c>
      <c r="R5988" s="8">
        <v>11.7</v>
      </c>
      <c r="S5988" s="8">
        <v>12.7</v>
      </c>
      <c r="T5988" s="8">
        <v>1</v>
      </c>
      <c r="U5988" s="8">
        <v>13.4</v>
      </c>
      <c r="V5988" s="8">
        <v>4.2</v>
      </c>
      <c r="W5988" s="8">
        <v>1.3</v>
      </c>
      <c r="X5988" s="8">
        <v>65</v>
      </c>
      <c r="Y5988" s="8" t="s">
        <v>26690</v>
      </c>
      <c r="Z5988" s="8" t="s">
        <v>26691</v>
      </c>
    </row>
    <row r="5989" spans="1:26" x14ac:dyDescent="0.2">
      <c r="A5989" s="8">
        <v>5988</v>
      </c>
      <c r="B5989" s="8" t="s">
        <v>26692</v>
      </c>
      <c r="C5989" s="8" t="s">
        <v>26692</v>
      </c>
      <c r="F5989" s="47"/>
      <c r="G5989" s="8">
        <v>19</v>
      </c>
      <c r="H5989" s="8" t="s">
        <v>21</v>
      </c>
      <c r="I5989" s="8" t="s">
        <v>22</v>
      </c>
      <c r="J5989" s="8" t="s">
        <v>22</v>
      </c>
      <c r="K5989" s="8" t="s">
        <v>579</v>
      </c>
      <c r="L5989" s="8" t="s">
        <v>26227</v>
      </c>
      <c r="M5989" s="8" t="s">
        <v>26228</v>
      </c>
      <c r="N5989" s="8" t="s">
        <v>26693</v>
      </c>
      <c r="O5989" s="8">
        <f>15+44/60+33.8/3600</f>
        <v>15.742722222222222</v>
      </c>
      <c r="P5989" s="8" t="s">
        <v>26694</v>
      </c>
      <c r="Q5989" s="8">
        <f>+(10+17/60+35/3600)</f>
        <v>10.293055555555556</v>
      </c>
      <c r="R5989" s="8">
        <v>13.8</v>
      </c>
      <c r="S5989" s="8">
        <v>14.5</v>
      </c>
      <c r="T5989" s="8">
        <v>0.7</v>
      </c>
      <c r="U5989" s="8">
        <v>13.8</v>
      </c>
      <c r="V5989" s="8">
        <v>1.2</v>
      </c>
      <c r="W5989" s="8">
        <v>1</v>
      </c>
      <c r="X5989" s="8">
        <v>115</v>
      </c>
      <c r="Y5989" s="8" t="s">
        <v>26695</v>
      </c>
      <c r="Z5989" s="8" t="s">
        <v>26696</v>
      </c>
    </row>
    <row r="5990" spans="1:26" x14ac:dyDescent="0.2">
      <c r="A5990" s="8">
        <v>5989</v>
      </c>
      <c r="B5990" s="8" t="s">
        <v>26697</v>
      </c>
      <c r="C5990" s="8" t="s">
        <v>26697</v>
      </c>
      <c r="F5990" s="47" t="s">
        <v>58111</v>
      </c>
      <c r="G5990" s="8">
        <v>15</v>
      </c>
      <c r="H5990" s="8" t="s">
        <v>21</v>
      </c>
      <c r="I5990" s="8" t="s">
        <v>22</v>
      </c>
      <c r="J5990" s="8" t="s">
        <v>22</v>
      </c>
      <c r="K5990" s="8" t="s">
        <v>160</v>
      </c>
      <c r="L5990" s="8" t="s">
        <v>13395</v>
      </c>
      <c r="M5990" s="8" t="s">
        <v>13396</v>
      </c>
      <c r="N5990" s="8" t="s">
        <v>26698</v>
      </c>
      <c r="O5990" s="8">
        <f>15+41/60+32.4/3600</f>
        <v>15.692333333333334</v>
      </c>
      <c r="P5990" s="8" t="s">
        <v>26699</v>
      </c>
      <c r="Q5990" s="8">
        <f>+(59+45/60+18/3600)</f>
        <v>59.755000000000003</v>
      </c>
      <c r="R5990" s="8">
        <v>13.1</v>
      </c>
      <c r="S5990" s="8">
        <v>13.8</v>
      </c>
      <c r="T5990" s="8">
        <v>0.7</v>
      </c>
      <c r="U5990" s="8">
        <v>12.7</v>
      </c>
      <c r="V5990" s="8">
        <v>0.9</v>
      </c>
      <c r="W5990" s="8">
        <v>0.9</v>
      </c>
      <c r="Y5990" s="8" t="s">
        <v>282</v>
      </c>
      <c r="Z5990" s="8" t="s">
        <v>283</v>
      </c>
    </row>
    <row r="5991" spans="1:26" x14ac:dyDescent="0.2">
      <c r="A5991" s="8">
        <v>5990</v>
      </c>
      <c r="B5991" s="8" t="s">
        <v>26700</v>
      </c>
      <c r="C5991" s="8" t="s">
        <v>26700</v>
      </c>
      <c r="F5991" s="47" t="s">
        <v>58112</v>
      </c>
      <c r="G5991" s="8">
        <v>15</v>
      </c>
      <c r="H5991" s="8" t="s">
        <v>21</v>
      </c>
      <c r="I5991" s="8" t="s">
        <v>22</v>
      </c>
      <c r="J5991" s="8" t="s">
        <v>22</v>
      </c>
      <c r="K5991" s="8" t="s">
        <v>91</v>
      </c>
      <c r="L5991" s="8" t="s">
        <v>26227</v>
      </c>
      <c r="M5991" s="8" t="s">
        <v>26228</v>
      </c>
      <c r="N5991" s="8" t="s">
        <v>26701</v>
      </c>
      <c r="O5991" s="8">
        <f>15+46/60+16.4/3600</f>
        <v>15.771222222222223</v>
      </c>
      <c r="P5991" s="8" t="s">
        <v>26702</v>
      </c>
      <c r="Q5991" s="8">
        <f>+(2+24/60+56/3600)</f>
        <v>2.4155555555555557</v>
      </c>
      <c r="R5991" s="8">
        <v>12.4</v>
      </c>
      <c r="S5991" s="8">
        <v>13.3</v>
      </c>
      <c r="T5991" s="8">
        <v>0.9</v>
      </c>
      <c r="U5991" s="8">
        <v>12.6</v>
      </c>
      <c r="V5991" s="8">
        <v>1.6</v>
      </c>
      <c r="W5991" s="8">
        <v>0.9</v>
      </c>
      <c r="X5991" s="8">
        <v>115</v>
      </c>
      <c r="Y5991" s="8" t="s">
        <v>1858</v>
      </c>
      <c r="Z5991" s="8" t="s">
        <v>1859</v>
      </c>
    </row>
    <row r="5992" spans="1:26" x14ac:dyDescent="0.2">
      <c r="A5992" s="8">
        <v>5991</v>
      </c>
      <c r="B5992" s="8" t="s">
        <v>26703</v>
      </c>
      <c r="C5992" s="8" t="s">
        <v>26703</v>
      </c>
      <c r="F5992" s="47"/>
      <c r="G5992" s="8">
        <v>19</v>
      </c>
      <c r="H5992" s="8" t="s">
        <v>21</v>
      </c>
      <c r="I5992" s="8" t="s">
        <v>22</v>
      </c>
      <c r="J5992" s="8" t="s">
        <v>22</v>
      </c>
      <c r="K5992" s="8" t="s">
        <v>449</v>
      </c>
      <c r="L5992" s="8" t="s">
        <v>26227</v>
      </c>
      <c r="M5992" s="8" t="s">
        <v>26228</v>
      </c>
      <c r="N5992" s="8" t="s">
        <v>26704</v>
      </c>
      <c r="O5992" s="8">
        <f>15+45/60+16.7/3600</f>
        <v>15.75463888888889</v>
      </c>
      <c r="P5992" s="8" t="s">
        <v>26705</v>
      </c>
      <c r="Q5992" s="8">
        <f>+(24+37/60+52/3600)</f>
        <v>24.63111111111111</v>
      </c>
      <c r="R5992" s="8">
        <v>14</v>
      </c>
      <c r="S5992" s="8">
        <v>14.8</v>
      </c>
      <c r="T5992" s="8">
        <v>0.8</v>
      </c>
      <c r="U5992" s="8">
        <v>13.7</v>
      </c>
      <c r="V5992" s="8">
        <v>1</v>
      </c>
      <c r="W5992" s="8">
        <v>0.9</v>
      </c>
      <c r="X5992" s="8">
        <v>126</v>
      </c>
      <c r="Y5992" s="8" t="s">
        <v>4547</v>
      </c>
      <c r="Z5992" s="8" t="s">
        <v>4548</v>
      </c>
    </row>
    <row r="5993" spans="1:26" x14ac:dyDescent="0.2">
      <c r="A5993" s="8">
        <v>5992</v>
      </c>
      <c r="B5993" s="8" t="s">
        <v>26706</v>
      </c>
      <c r="C5993" s="8" t="s">
        <v>26706</v>
      </c>
      <c r="F5993" s="47" t="s">
        <v>58113</v>
      </c>
      <c r="G5993" s="8">
        <v>15</v>
      </c>
      <c r="H5993" s="8" t="s">
        <v>21</v>
      </c>
      <c r="I5993" s="8" t="s">
        <v>22</v>
      </c>
      <c r="J5993" s="8" t="s">
        <v>22</v>
      </c>
      <c r="K5993" s="8" t="s">
        <v>31</v>
      </c>
      <c r="L5993" s="8" t="s">
        <v>22476</v>
      </c>
      <c r="M5993" s="8" t="s">
        <v>22477</v>
      </c>
      <c r="N5993" s="8" t="s">
        <v>26707</v>
      </c>
      <c r="O5993" s="8">
        <f>15+44/60+21.5/3600</f>
        <v>15.739305555555555</v>
      </c>
      <c r="P5993" s="8" t="s">
        <v>26708</v>
      </c>
      <c r="Q5993" s="8">
        <f>+(41+5/60+9/3600)</f>
        <v>41.085833333333333</v>
      </c>
      <c r="R5993" s="8">
        <v>13.7</v>
      </c>
      <c r="S5993" s="8">
        <v>14.3</v>
      </c>
      <c r="T5993" s="8">
        <v>0.6</v>
      </c>
      <c r="U5993" s="8">
        <v>13.1</v>
      </c>
      <c r="V5993" s="8">
        <v>0.9</v>
      </c>
      <c r="W5993" s="8">
        <v>0.7</v>
      </c>
      <c r="X5993" s="8">
        <v>175</v>
      </c>
      <c r="Y5993" s="8" t="s">
        <v>26709</v>
      </c>
      <c r="Z5993" s="8" t="s">
        <v>26710</v>
      </c>
    </row>
    <row r="5994" spans="1:26" x14ac:dyDescent="0.2">
      <c r="A5994" s="8">
        <v>5993</v>
      </c>
      <c r="B5994" s="8" t="s">
        <v>26711</v>
      </c>
      <c r="C5994" s="8" t="s">
        <v>26711</v>
      </c>
      <c r="F5994" s="47" t="s">
        <v>58114</v>
      </c>
      <c r="G5994" s="8">
        <v>15</v>
      </c>
      <c r="H5994" s="8" t="s">
        <v>21</v>
      </c>
      <c r="I5994" s="8" t="s">
        <v>22</v>
      </c>
      <c r="J5994" s="8" t="s">
        <v>22</v>
      </c>
      <c r="K5994" s="8" t="s">
        <v>218</v>
      </c>
      <c r="L5994" s="8" t="s">
        <v>22476</v>
      </c>
      <c r="M5994" s="8" t="s">
        <v>22477</v>
      </c>
      <c r="N5994" s="8" t="s">
        <v>26712</v>
      </c>
      <c r="O5994" s="8">
        <f>15+44/60+27.6/3600</f>
        <v>15.741</v>
      </c>
      <c r="P5994" s="8" t="s">
        <v>26713</v>
      </c>
      <c r="Q5994" s="8">
        <f>+(41+7/60+15/3600)</f>
        <v>41.120833333333337</v>
      </c>
      <c r="R5994" s="8">
        <v>13.1</v>
      </c>
      <c r="S5994" s="8">
        <v>13.9</v>
      </c>
      <c r="T5994" s="8">
        <v>0.8</v>
      </c>
      <c r="U5994" s="8">
        <v>13</v>
      </c>
      <c r="V5994" s="8">
        <v>1.2</v>
      </c>
      <c r="W5994" s="8">
        <v>0.9</v>
      </c>
      <c r="X5994" s="8">
        <v>140</v>
      </c>
      <c r="Y5994" s="8" t="s">
        <v>26714</v>
      </c>
      <c r="Z5994" s="8" t="s">
        <v>26715</v>
      </c>
    </row>
    <row r="5995" spans="1:26" x14ac:dyDescent="0.2">
      <c r="A5995" s="8">
        <v>5994</v>
      </c>
      <c r="B5995" s="8" t="s">
        <v>26716</v>
      </c>
      <c r="C5995" s="8" t="s">
        <v>26716</v>
      </c>
      <c r="F5995" s="47"/>
      <c r="G5995" s="8">
        <v>19</v>
      </c>
      <c r="H5995" s="8" t="s">
        <v>21</v>
      </c>
      <c r="I5995" s="8" t="s">
        <v>22</v>
      </c>
      <c r="J5995" s="8" t="s">
        <v>22</v>
      </c>
      <c r="K5995" s="8" t="s">
        <v>85</v>
      </c>
      <c r="L5995" s="8" t="s">
        <v>26227</v>
      </c>
      <c r="M5995" s="8" t="s">
        <v>26228</v>
      </c>
      <c r="N5995" s="8" t="s">
        <v>26717</v>
      </c>
      <c r="O5995" s="8">
        <f>15+46/60+53.2/3600</f>
        <v>15.781444444444446</v>
      </c>
      <c r="P5995" s="8" t="s">
        <v>26718</v>
      </c>
      <c r="Q5995" s="8">
        <f>+(17+52/60+23/3600)</f>
        <v>17.873055555555556</v>
      </c>
      <c r="R5995" s="8">
        <v>14.8</v>
      </c>
      <c r="S5995" s="8">
        <v>15.6</v>
      </c>
      <c r="T5995" s="8">
        <v>0.8</v>
      </c>
      <c r="U5995" s="8">
        <v>11.9</v>
      </c>
      <c r="V5995" s="8">
        <v>0.4</v>
      </c>
      <c r="W5995" s="8">
        <v>0.2</v>
      </c>
      <c r="X5995" s="8">
        <v>87</v>
      </c>
      <c r="Y5995" s="8" t="s">
        <v>26719</v>
      </c>
      <c r="Z5995" s="8" t="s">
        <v>26720</v>
      </c>
    </row>
    <row r="5996" spans="1:26" x14ac:dyDescent="0.2">
      <c r="A5996" s="8">
        <v>5995</v>
      </c>
      <c r="B5996" s="8" t="s">
        <v>26721</v>
      </c>
      <c r="C5996" s="8" t="s">
        <v>26721</v>
      </c>
      <c r="F5996" s="47"/>
      <c r="G5996" s="8">
        <v>16</v>
      </c>
      <c r="H5996" s="8" t="s">
        <v>21</v>
      </c>
      <c r="I5996" s="8" t="s">
        <v>22</v>
      </c>
      <c r="J5996" s="8" t="s">
        <v>22</v>
      </c>
      <c r="K5996" s="8" t="s">
        <v>91</v>
      </c>
      <c r="L5996" s="8" t="s">
        <v>24948</v>
      </c>
      <c r="M5996" s="8" t="s">
        <v>24949</v>
      </c>
      <c r="N5996" s="8" t="s">
        <v>26722</v>
      </c>
      <c r="O5996" s="8">
        <f>15+48/60+24.9/3600</f>
        <v>15.806916666666668</v>
      </c>
      <c r="P5996" s="8" t="s">
        <v>26723</v>
      </c>
      <c r="Q5996" s="8">
        <f>-(13+45/60+26/3600)</f>
        <v>-13.757222222222222</v>
      </c>
      <c r="R5996" s="8">
        <v>13.6</v>
      </c>
      <c r="S5996" s="8">
        <v>14.5</v>
      </c>
      <c r="T5996" s="8">
        <v>0.9</v>
      </c>
      <c r="U5996" s="8">
        <v>12.9</v>
      </c>
      <c r="V5996" s="8">
        <v>0.9</v>
      </c>
      <c r="W5996" s="8">
        <v>0.7</v>
      </c>
      <c r="X5996" s="8">
        <v>171</v>
      </c>
      <c r="Y5996" s="8" t="s">
        <v>26724</v>
      </c>
      <c r="Z5996" s="8" t="s">
        <v>26725</v>
      </c>
    </row>
    <row r="5997" spans="1:26" x14ac:dyDescent="0.2">
      <c r="A5997" s="8">
        <v>5996</v>
      </c>
      <c r="B5997" s="8" t="s">
        <v>26726</v>
      </c>
      <c r="C5997" s="8" t="s">
        <v>26726</v>
      </c>
      <c r="F5997" s="47" t="s">
        <v>58115</v>
      </c>
      <c r="G5997" s="8">
        <v>15</v>
      </c>
      <c r="H5997" s="8" t="s">
        <v>21</v>
      </c>
      <c r="I5997" s="8" t="s">
        <v>22</v>
      </c>
      <c r="J5997" s="8" t="s">
        <v>22</v>
      </c>
      <c r="K5997" s="8" t="s">
        <v>160</v>
      </c>
      <c r="L5997" s="8" t="s">
        <v>26227</v>
      </c>
      <c r="M5997" s="8" t="s">
        <v>26228</v>
      </c>
      <c r="N5997" s="8" t="s">
        <v>26727</v>
      </c>
      <c r="O5997" s="8">
        <f>15+46/60+58.9/3600</f>
        <v>15.783027777777779</v>
      </c>
      <c r="P5997" s="8" t="s">
        <v>11153</v>
      </c>
      <c r="Q5997" s="8">
        <f>+(17+53/60+2/3600)</f>
        <v>17.883888888888887</v>
      </c>
      <c r="R5997" s="8">
        <v>12.8</v>
      </c>
      <c r="S5997" s="8">
        <v>13.2</v>
      </c>
      <c r="T5997" s="8">
        <v>0.4</v>
      </c>
      <c r="U5997" s="8">
        <v>13.1</v>
      </c>
      <c r="V5997" s="8">
        <v>1.7</v>
      </c>
      <c r="W5997" s="8">
        <v>0.9</v>
      </c>
      <c r="X5997" s="8">
        <v>33</v>
      </c>
      <c r="Y5997" s="8" t="s">
        <v>26719</v>
      </c>
      <c r="Z5997" s="8" t="s">
        <v>26728</v>
      </c>
    </row>
    <row r="5998" spans="1:26" x14ac:dyDescent="0.2">
      <c r="A5998" s="8">
        <v>5997</v>
      </c>
      <c r="B5998" s="8" t="s">
        <v>26729</v>
      </c>
      <c r="C5998" s="8" t="s">
        <v>26729</v>
      </c>
      <c r="F5998" s="47"/>
      <c r="G5998" s="8">
        <v>18</v>
      </c>
      <c r="H5998" s="8" t="s">
        <v>21</v>
      </c>
      <c r="I5998" s="8" t="s">
        <v>22</v>
      </c>
      <c r="J5998" s="8" t="s">
        <v>22</v>
      </c>
      <c r="K5998" s="8" t="s">
        <v>382</v>
      </c>
      <c r="L5998" s="8" t="s">
        <v>26227</v>
      </c>
      <c r="M5998" s="8" t="s">
        <v>26228</v>
      </c>
      <c r="N5998" s="8" t="s">
        <v>26730</v>
      </c>
      <c r="O5998" s="8">
        <f>15+47/60+27.6/3600</f>
        <v>15.791</v>
      </c>
      <c r="P5998" s="8" t="s">
        <v>26731</v>
      </c>
      <c r="Q5998" s="8">
        <f>+(8+19/60+18/3600)</f>
        <v>8.3216666666666672</v>
      </c>
      <c r="R5998" s="8">
        <v>14.2</v>
      </c>
      <c r="S5998" s="8">
        <v>15.2</v>
      </c>
      <c r="T5998" s="8">
        <v>1</v>
      </c>
      <c r="U5998" s="8">
        <v>12.3</v>
      </c>
      <c r="V5998" s="8">
        <v>0.5</v>
      </c>
      <c r="W5998" s="8">
        <v>0.4</v>
      </c>
      <c r="X5998" s="8">
        <v>90</v>
      </c>
      <c r="Y5998" s="8" t="s">
        <v>26732</v>
      </c>
      <c r="Z5998" s="8" t="s">
        <v>26733</v>
      </c>
    </row>
    <row r="5999" spans="1:26" x14ac:dyDescent="0.2">
      <c r="A5999" s="8">
        <v>5998</v>
      </c>
      <c r="B5999" s="8" t="s">
        <v>26734</v>
      </c>
      <c r="C5999" s="8" t="s">
        <v>26734</v>
      </c>
      <c r="F5999" s="47" t="s">
        <v>58116</v>
      </c>
      <c r="G5999" s="8">
        <v>15</v>
      </c>
      <c r="H5999" s="8" t="s">
        <v>21</v>
      </c>
      <c r="I5999" s="8" t="s">
        <v>72</v>
      </c>
      <c r="J5999" s="8" t="s">
        <v>72</v>
      </c>
      <c r="K5999" s="8" t="s">
        <v>1405</v>
      </c>
      <c r="L5999" s="8" t="s">
        <v>26735</v>
      </c>
      <c r="M5999" s="8" t="s">
        <v>26736</v>
      </c>
      <c r="N5999" s="8" t="s">
        <v>26737</v>
      </c>
      <c r="O5999" s="8">
        <f>15+49/60+30/3600</f>
        <v>15.824999999999999</v>
      </c>
      <c r="P5999" s="8" t="s">
        <v>26738</v>
      </c>
      <c r="Q5999" s="8">
        <f>-(28+36/60+0/3600)</f>
        <v>-28.6</v>
      </c>
      <c r="R5999" s="8">
        <v>99</v>
      </c>
      <c r="S5999" s="8">
        <v>99</v>
      </c>
      <c r="T5999" s="8">
        <v>99</v>
      </c>
      <c r="U5999" s="8">
        <v>99</v>
      </c>
      <c r="V5999" s="8">
        <v>2</v>
      </c>
      <c r="W5999" s="8">
        <v>1</v>
      </c>
      <c r="Y5999" s="8" t="s">
        <v>26739</v>
      </c>
      <c r="Z5999" s="8" t="s">
        <v>26740</v>
      </c>
    </row>
    <row r="6000" spans="1:26" x14ac:dyDescent="0.2">
      <c r="A6000" s="8">
        <v>5999</v>
      </c>
      <c r="B6000" s="8" t="s">
        <v>26741</v>
      </c>
      <c r="C6000" s="8" t="s">
        <v>26741</v>
      </c>
      <c r="F6000" s="47"/>
      <c r="G6000" s="8">
        <v>3</v>
      </c>
      <c r="H6000" s="8" t="s">
        <v>21</v>
      </c>
      <c r="I6000" s="8" t="s">
        <v>557</v>
      </c>
      <c r="J6000" s="8" t="s">
        <v>557</v>
      </c>
      <c r="K6000" s="8" t="s">
        <v>2158</v>
      </c>
      <c r="L6000" s="8" t="s">
        <v>26405</v>
      </c>
      <c r="M6000" s="8" t="s">
        <v>26406</v>
      </c>
      <c r="N6000" s="8" t="s">
        <v>26742</v>
      </c>
      <c r="O6000" s="8">
        <f>15+52/60+8.5/3600</f>
        <v>15.869027777777779</v>
      </c>
      <c r="P6000" s="8" t="s">
        <v>26743</v>
      </c>
      <c r="Q6000" s="8">
        <f>-(56+28/60+22/3600)</f>
        <v>-56.472777777777779</v>
      </c>
      <c r="R6000" s="8">
        <v>9</v>
      </c>
      <c r="S6000" s="8">
        <v>99</v>
      </c>
      <c r="T6000" s="8">
        <v>99</v>
      </c>
      <c r="U6000" s="8">
        <v>99</v>
      </c>
      <c r="V6000" s="8">
        <v>3</v>
      </c>
      <c r="Y6000" s="8" t="s">
        <v>26744</v>
      </c>
      <c r="Z6000" s="8" t="s">
        <v>26745</v>
      </c>
    </row>
    <row r="6001" spans="1:26" x14ac:dyDescent="0.2">
      <c r="A6001" s="8">
        <v>6000</v>
      </c>
      <c r="B6001" s="8" t="s">
        <v>26746</v>
      </c>
      <c r="C6001" s="8" t="s">
        <v>26746</v>
      </c>
      <c r="F6001" s="47"/>
      <c r="G6001" s="8">
        <v>16</v>
      </c>
      <c r="H6001" s="8" t="s">
        <v>21</v>
      </c>
      <c r="I6001" s="8" t="s">
        <v>22</v>
      </c>
      <c r="J6001" s="8" t="s">
        <v>22</v>
      </c>
      <c r="K6001" s="8" t="s">
        <v>85</v>
      </c>
      <c r="L6001" s="8" t="s">
        <v>26735</v>
      </c>
      <c r="M6001" s="8" t="s">
        <v>26736</v>
      </c>
      <c r="N6001" s="8" t="s">
        <v>26747</v>
      </c>
      <c r="O6001" s="8">
        <f>15+49/60+49.4/3600</f>
        <v>15.830388888888889</v>
      </c>
      <c r="P6001" s="8" t="s">
        <v>26748</v>
      </c>
      <c r="Q6001" s="8">
        <f>-(29+23/60+13/3600)</f>
        <v>-29.386944444444445</v>
      </c>
      <c r="R6001" s="8">
        <v>11.9</v>
      </c>
      <c r="S6001" s="8">
        <v>12.7</v>
      </c>
      <c r="T6001" s="8">
        <v>0.8</v>
      </c>
      <c r="U6001" s="8">
        <v>12.9</v>
      </c>
      <c r="V6001" s="8">
        <v>1.9</v>
      </c>
      <c r="W6001" s="8">
        <v>1.6</v>
      </c>
      <c r="X6001" s="8">
        <v>154</v>
      </c>
      <c r="Y6001" s="8" t="s">
        <v>26749</v>
      </c>
      <c r="Z6001" s="8" t="s">
        <v>26750</v>
      </c>
    </row>
    <row r="6002" spans="1:26" x14ac:dyDescent="0.2">
      <c r="A6002" s="8">
        <v>6001</v>
      </c>
      <c r="B6002" s="8" t="s">
        <v>26751</v>
      </c>
      <c r="C6002" s="8" t="s">
        <v>26751</v>
      </c>
      <c r="F6002" s="47" t="s">
        <v>58117</v>
      </c>
      <c r="G6002" s="8">
        <v>15</v>
      </c>
      <c r="H6002" s="8" t="s">
        <v>21</v>
      </c>
      <c r="I6002" s="8" t="s">
        <v>22</v>
      </c>
      <c r="J6002" s="8" t="s">
        <v>22</v>
      </c>
      <c r="K6002" s="8" t="s">
        <v>160</v>
      </c>
      <c r="L6002" s="8" t="s">
        <v>26398</v>
      </c>
      <c r="M6002" s="8" t="s">
        <v>26399</v>
      </c>
      <c r="N6002" s="8" t="s">
        <v>26752</v>
      </c>
      <c r="O6002" s="8">
        <f>15+47/60+45.9/3600</f>
        <v>15.796083333333334</v>
      </c>
      <c r="P6002" s="8" t="s">
        <v>26753</v>
      </c>
      <c r="Q6002" s="8">
        <f>+(28+38/60+30/3600)</f>
        <v>28.641666666666666</v>
      </c>
      <c r="R6002" s="8">
        <v>13.6</v>
      </c>
      <c r="S6002" s="8">
        <v>14.3</v>
      </c>
      <c r="T6002" s="8">
        <v>0.7</v>
      </c>
      <c r="U6002" s="8">
        <v>13.4</v>
      </c>
      <c r="V6002" s="8">
        <v>1</v>
      </c>
      <c r="W6002" s="8">
        <v>1</v>
      </c>
      <c r="Y6002" s="8" t="s">
        <v>170</v>
      </c>
      <c r="Z6002" s="8" t="s">
        <v>171</v>
      </c>
    </row>
    <row r="6003" spans="1:26" x14ac:dyDescent="0.2">
      <c r="A6003" s="8">
        <v>6002</v>
      </c>
      <c r="B6003" s="8" t="s">
        <v>26754</v>
      </c>
      <c r="C6003" s="8" t="s">
        <v>26754</v>
      </c>
      <c r="F6003" s="47"/>
      <c r="G6003" s="8">
        <v>18</v>
      </c>
      <c r="H6003" s="8" t="s">
        <v>21</v>
      </c>
      <c r="I6003" s="8" t="s">
        <v>72</v>
      </c>
      <c r="J6003" s="8" t="s">
        <v>72</v>
      </c>
      <c r="K6003" s="8" t="s">
        <v>20</v>
      </c>
      <c r="L6003" s="8" t="s">
        <v>26398</v>
      </c>
      <c r="M6003" s="8" t="s">
        <v>26399</v>
      </c>
      <c r="N6003" s="8" t="s">
        <v>26755</v>
      </c>
      <c r="O6003" s="8">
        <f>15+47/60+44.3/3600</f>
        <v>15.795638888888888</v>
      </c>
      <c r="P6003" s="8" t="s">
        <v>26756</v>
      </c>
      <c r="Q6003" s="8">
        <f>+(28+36/60+38/3600)</f>
        <v>28.610555555555557</v>
      </c>
      <c r="R6003" s="8">
        <v>99</v>
      </c>
      <c r="S6003" s="8">
        <v>99</v>
      </c>
      <c r="T6003" s="8">
        <v>99</v>
      </c>
      <c r="U6003" s="8">
        <v>99</v>
      </c>
      <c r="Y6003" s="8" t="s">
        <v>26757</v>
      </c>
      <c r="Z6003" s="8" t="s">
        <v>26758</v>
      </c>
    </row>
    <row r="6004" spans="1:26" x14ac:dyDescent="0.2">
      <c r="A6004" s="8">
        <v>6003</v>
      </c>
      <c r="B6004" s="8" t="s">
        <v>26759</v>
      </c>
      <c r="C6004" s="8" t="s">
        <v>26759</v>
      </c>
      <c r="F6004" s="47"/>
      <c r="G6004" s="8">
        <v>19</v>
      </c>
      <c r="H6004" s="8" t="s">
        <v>21</v>
      </c>
      <c r="I6004" s="8" t="s">
        <v>22</v>
      </c>
      <c r="J6004" s="8" t="s">
        <v>22</v>
      </c>
      <c r="K6004" s="8" t="s">
        <v>37</v>
      </c>
      <c r="L6004" s="8" t="s">
        <v>26227</v>
      </c>
      <c r="M6004" s="8" t="s">
        <v>26228</v>
      </c>
      <c r="N6004" s="8" t="s">
        <v>26760</v>
      </c>
      <c r="O6004" s="8">
        <f>15+49/60+25.6/3600</f>
        <v>15.823777777777778</v>
      </c>
      <c r="P6004" s="8" t="s">
        <v>26761</v>
      </c>
      <c r="Q6004" s="8">
        <f>+(19+1/60+57/3600)</f>
        <v>19.032499999999999</v>
      </c>
      <c r="R6004" s="8">
        <v>13.4</v>
      </c>
      <c r="S6004" s="8">
        <v>14.3</v>
      </c>
      <c r="T6004" s="8">
        <v>0.9</v>
      </c>
      <c r="U6004" s="8">
        <v>13</v>
      </c>
      <c r="V6004" s="8">
        <v>0.9</v>
      </c>
      <c r="W6004" s="8">
        <v>0.8</v>
      </c>
      <c r="X6004" s="8">
        <v>126</v>
      </c>
      <c r="Y6004" s="8" t="s">
        <v>26762</v>
      </c>
      <c r="Z6004" s="8" t="s">
        <v>26763</v>
      </c>
    </row>
    <row r="6005" spans="1:26" x14ac:dyDescent="0.2">
      <c r="A6005" s="8">
        <v>6004</v>
      </c>
      <c r="B6005" s="8" t="s">
        <v>26764</v>
      </c>
      <c r="C6005" s="8" t="s">
        <v>26764</v>
      </c>
      <c r="F6005" s="47"/>
      <c r="G6005" s="8">
        <v>19</v>
      </c>
      <c r="H6005" s="8" t="s">
        <v>21</v>
      </c>
      <c r="I6005" s="8" t="s">
        <v>22</v>
      </c>
      <c r="J6005" s="8" t="s">
        <v>22</v>
      </c>
      <c r="K6005" s="8" t="s">
        <v>64</v>
      </c>
      <c r="L6005" s="8" t="s">
        <v>26227</v>
      </c>
      <c r="M6005" s="8" t="s">
        <v>26228</v>
      </c>
      <c r="N6005" s="8" t="s">
        <v>26765</v>
      </c>
      <c r="O6005" s="8">
        <f>15+50/60+22.8/3600</f>
        <v>15.839666666666668</v>
      </c>
      <c r="P6005" s="8" t="s">
        <v>26766</v>
      </c>
      <c r="Q6005" s="8">
        <f>+(18+56/60+22/3600)</f>
        <v>18.939444444444444</v>
      </c>
      <c r="R6005" s="8">
        <v>12.3</v>
      </c>
      <c r="S6005" s="8">
        <v>13</v>
      </c>
      <c r="T6005" s="8">
        <v>0.7</v>
      </c>
      <c r="U6005" s="8">
        <v>13.4</v>
      </c>
      <c r="V6005" s="8">
        <v>1.8</v>
      </c>
      <c r="W6005" s="8">
        <v>1.7</v>
      </c>
      <c r="X6005" s="8">
        <v>105</v>
      </c>
      <c r="Y6005" s="8" t="s">
        <v>26767</v>
      </c>
      <c r="Z6005" s="8" t="s">
        <v>26768</v>
      </c>
    </row>
    <row r="6006" spans="1:26" x14ac:dyDescent="0.2">
      <c r="A6006" s="8">
        <v>6005</v>
      </c>
      <c r="B6006" s="8" t="s">
        <v>26769</v>
      </c>
      <c r="C6006" s="8" t="s">
        <v>26769</v>
      </c>
      <c r="F6006" s="47"/>
      <c r="G6006" s="8">
        <v>3</v>
      </c>
      <c r="H6006" s="8" t="s">
        <v>21</v>
      </c>
      <c r="I6006" s="8" t="s">
        <v>557</v>
      </c>
      <c r="J6006" s="8" t="s">
        <v>557</v>
      </c>
      <c r="K6006" s="8" t="s">
        <v>7705</v>
      </c>
      <c r="L6006" s="8" t="s">
        <v>26405</v>
      </c>
      <c r="M6006" s="8" t="s">
        <v>26406</v>
      </c>
      <c r="N6006" s="8" t="s">
        <v>26770</v>
      </c>
      <c r="O6006" s="8">
        <f>15+55/60+47.4/3600</f>
        <v>15.929833333333333</v>
      </c>
      <c r="P6006" s="8" t="s">
        <v>26771</v>
      </c>
      <c r="Q6006" s="8">
        <f>-(57+26/60+37/3600)</f>
        <v>-57.44361111111111</v>
      </c>
      <c r="R6006" s="8">
        <v>10.7</v>
      </c>
      <c r="S6006" s="8">
        <v>99</v>
      </c>
      <c r="T6006" s="8">
        <v>99</v>
      </c>
      <c r="U6006" s="8">
        <v>99</v>
      </c>
      <c r="V6006" s="8">
        <v>5</v>
      </c>
      <c r="Y6006" s="8" t="s">
        <v>26772</v>
      </c>
      <c r="Z6006" s="8" t="s">
        <v>26773</v>
      </c>
    </row>
    <row r="6007" spans="1:26" x14ac:dyDescent="0.2">
      <c r="A6007" s="8">
        <v>6006</v>
      </c>
      <c r="B6007" s="8" t="s">
        <v>26774</v>
      </c>
      <c r="C6007" s="8" t="s">
        <v>26774</v>
      </c>
      <c r="F6007" s="47"/>
      <c r="G6007" s="8">
        <v>18</v>
      </c>
      <c r="H6007" s="8" t="s">
        <v>21</v>
      </c>
      <c r="I6007" s="8" t="s">
        <v>22</v>
      </c>
      <c r="J6007" s="8" t="s">
        <v>22</v>
      </c>
      <c r="K6007" s="8" t="s">
        <v>382</v>
      </c>
      <c r="L6007" s="8" t="s">
        <v>26227</v>
      </c>
      <c r="M6007" s="8" t="s">
        <v>26228</v>
      </c>
      <c r="N6007" s="8" t="s">
        <v>26775</v>
      </c>
      <c r="O6007" s="8">
        <f>15+53/60+2.5/3600</f>
        <v>15.884027777777778</v>
      </c>
      <c r="P6007" s="8" t="s">
        <v>26776</v>
      </c>
      <c r="Q6007" s="8">
        <f>+(12+0/60+21/3600)</f>
        <v>12.005833333333333</v>
      </c>
      <c r="R6007" s="8">
        <v>14.2</v>
      </c>
      <c r="S6007" s="8">
        <v>15.2</v>
      </c>
      <c r="T6007" s="8">
        <v>1</v>
      </c>
      <c r="U6007" s="8">
        <v>12.7</v>
      </c>
      <c r="V6007" s="8">
        <v>0.6</v>
      </c>
      <c r="W6007" s="8">
        <v>0.4</v>
      </c>
      <c r="X6007" s="8">
        <v>162</v>
      </c>
      <c r="Y6007" s="8" t="s">
        <v>1511</v>
      </c>
      <c r="Z6007" s="8" t="s">
        <v>1512</v>
      </c>
    </row>
    <row r="6008" spans="1:26" x14ac:dyDescent="0.2">
      <c r="A6008" s="8">
        <v>6007</v>
      </c>
      <c r="B6008" s="8" t="s">
        <v>26777</v>
      </c>
      <c r="C6008" s="8" t="s">
        <v>26777</v>
      </c>
      <c r="F6008" s="47"/>
      <c r="G6008" s="8">
        <v>18</v>
      </c>
      <c r="H6008" s="8" t="s">
        <v>21</v>
      </c>
      <c r="I6008" s="8" t="s">
        <v>22</v>
      </c>
      <c r="J6008" s="8" t="s">
        <v>22</v>
      </c>
      <c r="K6008" s="8" t="s">
        <v>1277</v>
      </c>
      <c r="L6008" s="8" t="s">
        <v>26227</v>
      </c>
      <c r="M6008" s="8" t="s">
        <v>26228</v>
      </c>
      <c r="N6008" s="8" t="s">
        <v>26778</v>
      </c>
      <c r="O6008" s="8">
        <f>15+53/60+23.2/3600</f>
        <v>15.889777777777777</v>
      </c>
      <c r="P6008" s="8" t="s">
        <v>26779</v>
      </c>
      <c r="Q6008" s="8">
        <f>+(11+57/60+35/3600)</f>
        <v>11.959722222222222</v>
      </c>
      <c r="R6008" s="8">
        <v>13.2</v>
      </c>
      <c r="S6008" s="8">
        <v>13.8</v>
      </c>
      <c r="T6008" s="8">
        <v>0.6</v>
      </c>
      <c r="U6008" s="8">
        <v>13.8</v>
      </c>
      <c r="V6008" s="8">
        <v>1.7</v>
      </c>
      <c r="W6008" s="8">
        <v>1.2</v>
      </c>
      <c r="X6008" s="8">
        <v>65</v>
      </c>
      <c r="Y6008" s="8" t="s">
        <v>3753</v>
      </c>
      <c r="Z6008" s="8" t="s">
        <v>3754</v>
      </c>
    </row>
    <row r="6009" spans="1:26" x14ac:dyDescent="0.2">
      <c r="A6009" s="8">
        <v>6008</v>
      </c>
      <c r="B6009" s="8" t="s">
        <v>26780</v>
      </c>
      <c r="C6009" s="8" t="s">
        <v>26780</v>
      </c>
      <c r="F6009" s="47"/>
      <c r="G6009" s="8">
        <v>19</v>
      </c>
      <c r="H6009" s="8" t="s">
        <v>21</v>
      </c>
      <c r="I6009" s="8" t="s">
        <v>22</v>
      </c>
      <c r="J6009" s="8" t="s">
        <v>22</v>
      </c>
      <c r="K6009" s="8" t="s">
        <v>218</v>
      </c>
      <c r="L6009" s="8" t="s">
        <v>26227</v>
      </c>
      <c r="M6009" s="8" t="s">
        <v>26228</v>
      </c>
      <c r="N6009" s="8" t="s">
        <v>26781</v>
      </c>
      <c r="O6009" s="8">
        <f>15+52/60+55.9/3600</f>
        <v>15.882194444444444</v>
      </c>
      <c r="P6009" s="8" t="s">
        <v>26782</v>
      </c>
      <c r="Q6009" s="8">
        <f>+(21+6/60+4/3600)</f>
        <v>21.101111111111113</v>
      </c>
      <c r="R6009" s="8">
        <v>12.9</v>
      </c>
      <c r="S6009" s="8">
        <v>13.7</v>
      </c>
      <c r="T6009" s="8">
        <v>0.8</v>
      </c>
      <c r="U6009" s="8">
        <v>13.4</v>
      </c>
      <c r="V6009" s="8">
        <v>1.4</v>
      </c>
      <c r="W6009" s="8">
        <v>1.3</v>
      </c>
      <c r="X6009" s="8">
        <v>63</v>
      </c>
      <c r="Y6009" s="8" t="s">
        <v>26783</v>
      </c>
      <c r="Z6009" s="8" t="s">
        <v>26784</v>
      </c>
    </row>
    <row r="6010" spans="1:26" x14ac:dyDescent="0.2">
      <c r="A6010" s="8">
        <v>6009</v>
      </c>
      <c r="B6010" s="8" t="s">
        <v>26785</v>
      </c>
      <c r="C6010" s="8" t="s">
        <v>26785</v>
      </c>
      <c r="F6010" s="47"/>
      <c r="G6010" s="8">
        <v>18</v>
      </c>
      <c r="H6010" s="8" t="s">
        <v>21</v>
      </c>
      <c r="I6010" s="8" t="s">
        <v>22</v>
      </c>
      <c r="J6010" s="8" t="s">
        <v>22</v>
      </c>
      <c r="K6010" s="8" t="s">
        <v>449</v>
      </c>
      <c r="L6010" s="8" t="s">
        <v>26227</v>
      </c>
      <c r="M6010" s="8" t="s">
        <v>26228</v>
      </c>
      <c r="N6010" s="8" t="s">
        <v>26786</v>
      </c>
      <c r="O6010" s="8">
        <f>15+53/60+24.1/3600</f>
        <v>15.890027777777778</v>
      </c>
      <c r="P6010" s="8" t="s">
        <v>26787</v>
      </c>
      <c r="Q6010" s="8">
        <f>+(12+3/60+30/3600)</f>
        <v>12.058333333333334</v>
      </c>
      <c r="R6010" s="8">
        <v>14.5</v>
      </c>
      <c r="S6010" s="8">
        <v>15.3</v>
      </c>
      <c r="T6010" s="8">
        <v>0.8</v>
      </c>
      <c r="U6010" s="8">
        <v>11.9</v>
      </c>
      <c r="V6010" s="8">
        <v>0.5</v>
      </c>
      <c r="W6010" s="8">
        <v>0.2</v>
      </c>
      <c r="X6010" s="8">
        <v>175</v>
      </c>
      <c r="Y6010" s="8" t="s">
        <v>256</v>
      </c>
      <c r="Z6010" s="8" t="s">
        <v>257</v>
      </c>
    </row>
    <row r="6011" spans="1:26" x14ac:dyDescent="0.2">
      <c r="A6011" s="8">
        <v>6010</v>
      </c>
      <c r="B6011" s="8" t="s">
        <v>26788</v>
      </c>
      <c r="C6011" s="8" t="s">
        <v>26788</v>
      </c>
      <c r="F6011" s="47" t="s">
        <v>58118</v>
      </c>
      <c r="G6011" s="8">
        <v>15</v>
      </c>
      <c r="H6011" s="8" t="s">
        <v>21</v>
      </c>
      <c r="I6011" s="8" t="s">
        <v>22</v>
      </c>
      <c r="J6011" s="8" t="s">
        <v>22</v>
      </c>
      <c r="K6011" s="8" t="s">
        <v>632</v>
      </c>
      <c r="L6011" s="8" t="s">
        <v>26227</v>
      </c>
      <c r="M6011" s="8" t="s">
        <v>26228</v>
      </c>
      <c r="N6011" s="8" t="s">
        <v>26789</v>
      </c>
      <c r="O6011" s="8">
        <f>15+54/60+18.9/3600</f>
        <v>15.905250000000001</v>
      </c>
      <c r="P6011" s="8" t="s">
        <v>26790</v>
      </c>
      <c r="Q6011" s="8">
        <f>+(0+32/60+35/3600)</f>
        <v>0.54305555555555551</v>
      </c>
      <c r="R6011" s="8">
        <v>12.6</v>
      </c>
      <c r="S6011" s="8">
        <v>13.5</v>
      </c>
      <c r="T6011" s="8">
        <v>0.9</v>
      </c>
      <c r="U6011" s="8">
        <v>12.4</v>
      </c>
      <c r="V6011" s="8">
        <v>2</v>
      </c>
      <c r="W6011" s="8">
        <v>0.5</v>
      </c>
      <c r="X6011" s="8">
        <v>102</v>
      </c>
      <c r="Y6011" s="8" t="s">
        <v>26791</v>
      </c>
      <c r="Z6011" s="8" t="s">
        <v>26792</v>
      </c>
    </row>
    <row r="6012" spans="1:26" x14ac:dyDescent="0.2">
      <c r="A6012" s="8">
        <v>6011</v>
      </c>
      <c r="B6012" s="8" t="s">
        <v>26793</v>
      </c>
      <c r="C6012" s="8" t="s">
        <v>26793</v>
      </c>
      <c r="F6012" s="47" t="s">
        <v>58119</v>
      </c>
      <c r="G6012" s="8">
        <v>15</v>
      </c>
      <c r="H6012" s="8" t="s">
        <v>21</v>
      </c>
      <c r="I6012" s="8" t="s">
        <v>22</v>
      </c>
      <c r="J6012" s="8" t="s">
        <v>22</v>
      </c>
      <c r="K6012" s="8" t="s">
        <v>23</v>
      </c>
      <c r="L6012" s="8" t="s">
        <v>14586</v>
      </c>
      <c r="M6012" s="8" t="s">
        <v>14587</v>
      </c>
      <c r="N6012" s="8" t="s">
        <v>26794</v>
      </c>
      <c r="O6012" s="8">
        <f>15+46/60+32.4/3600</f>
        <v>15.775666666666668</v>
      </c>
      <c r="P6012" s="8" t="s">
        <v>26795</v>
      </c>
      <c r="Q6012" s="8">
        <f>+(72+10/60+9/3600)</f>
        <v>72.169166666666669</v>
      </c>
      <c r="R6012" s="8">
        <v>13.5</v>
      </c>
      <c r="S6012" s="8">
        <v>14.3</v>
      </c>
      <c r="T6012" s="8">
        <v>0.8</v>
      </c>
      <c r="U6012" s="8">
        <v>13.7</v>
      </c>
      <c r="V6012" s="8">
        <v>2</v>
      </c>
      <c r="W6012" s="8">
        <v>0.7</v>
      </c>
      <c r="X6012" s="8">
        <v>110</v>
      </c>
      <c r="Y6012" s="8" t="s">
        <v>26796</v>
      </c>
      <c r="Z6012" s="8" t="s">
        <v>26797</v>
      </c>
    </row>
    <row r="6013" spans="1:26" x14ac:dyDescent="0.2">
      <c r="A6013" s="8">
        <v>6012</v>
      </c>
      <c r="B6013" s="8" t="s">
        <v>26798</v>
      </c>
      <c r="C6013" s="8" t="s">
        <v>26798</v>
      </c>
      <c r="F6013" s="47" t="s">
        <v>58120</v>
      </c>
      <c r="G6013" s="8">
        <v>15</v>
      </c>
      <c r="H6013" s="8" t="s">
        <v>21</v>
      </c>
      <c r="I6013" s="8" t="s">
        <v>22</v>
      </c>
      <c r="J6013" s="8" t="s">
        <v>22</v>
      </c>
      <c r="K6013" s="8" t="s">
        <v>406</v>
      </c>
      <c r="L6013" s="8" t="s">
        <v>26227</v>
      </c>
      <c r="M6013" s="8" t="s">
        <v>26228</v>
      </c>
      <c r="N6013" s="8" t="s">
        <v>26799</v>
      </c>
      <c r="O6013" s="8">
        <f>15+54/60+13.6/3600</f>
        <v>15.903777777777778</v>
      </c>
      <c r="P6013" s="8" t="s">
        <v>26800</v>
      </c>
      <c r="Q6013" s="8">
        <f>+(14+36/60+8/3600)</f>
        <v>14.602222222222222</v>
      </c>
      <c r="R6013" s="8">
        <v>12</v>
      </c>
      <c r="S6013" s="8">
        <v>12.7</v>
      </c>
      <c r="T6013" s="8">
        <v>0.7</v>
      </c>
      <c r="U6013" s="8">
        <v>13.1</v>
      </c>
      <c r="V6013" s="8">
        <v>2.1</v>
      </c>
      <c r="W6013" s="8">
        <v>1.5</v>
      </c>
      <c r="X6013" s="8">
        <v>168</v>
      </c>
      <c r="Y6013" s="8" t="s">
        <v>26801</v>
      </c>
      <c r="Z6013" s="8" t="s">
        <v>26802</v>
      </c>
    </row>
    <row r="6014" spans="1:26" x14ac:dyDescent="0.2">
      <c r="A6014" s="8">
        <v>6013</v>
      </c>
      <c r="B6014" s="8" t="s">
        <v>26803</v>
      </c>
      <c r="C6014" s="8" t="s">
        <v>26803</v>
      </c>
      <c r="F6014" s="47"/>
      <c r="G6014" s="8">
        <v>18</v>
      </c>
      <c r="H6014" s="8" t="s">
        <v>21</v>
      </c>
      <c r="I6014" s="8" t="s">
        <v>22</v>
      </c>
      <c r="J6014" s="8" t="s">
        <v>22</v>
      </c>
      <c r="K6014" s="8" t="s">
        <v>218</v>
      </c>
      <c r="L6014" s="8" t="s">
        <v>26804</v>
      </c>
      <c r="M6014" s="8" t="s">
        <v>26805</v>
      </c>
      <c r="N6014" s="8" t="s">
        <v>26806</v>
      </c>
      <c r="O6014" s="8">
        <f>15+52/60+52.9/3600</f>
        <v>15.881361111111111</v>
      </c>
      <c r="P6014" s="8" t="s">
        <v>26807</v>
      </c>
      <c r="Q6014" s="8">
        <f>+(40+38/60+48/3600)</f>
        <v>40.646666666666668</v>
      </c>
      <c r="R6014" s="8">
        <v>13.6</v>
      </c>
      <c r="S6014" s="8">
        <v>14.4</v>
      </c>
      <c r="T6014" s="8">
        <v>0.8</v>
      </c>
      <c r="U6014" s="8">
        <v>13.6</v>
      </c>
      <c r="V6014" s="8">
        <v>1.4</v>
      </c>
      <c r="W6014" s="8">
        <v>0.8</v>
      </c>
      <c r="X6014" s="8">
        <v>174</v>
      </c>
      <c r="Y6014" s="8" t="s">
        <v>26808</v>
      </c>
      <c r="Z6014" s="8" t="s">
        <v>26809</v>
      </c>
    </row>
    <row r="6015" spans="1:26" x14ac:dyDescent="0.2">
      <c r="A6015" s="8">
        <v>6014</v>
      </c>
      <c r="B6015" s="8" t="s">
        <v>26810</v>
      </c>
      <c r="C6015" s="8" t="s">
        <v>26810</v>
      </c>
      <c r="F6015" s="47"/>
      <c r="G6015" s="8">
        <v>16</v>
      </c>
      <c r="H6015" s="8" t="s">
        <v>21</v>
      </c>
      <c r="I6015" s="8" t="s">
        <v>22</v>
      </c>
      <c r="J6015" s="8" t="s">
        <v>22</v>
      </c>
      <c r="K6015" s="8" t="s">
        <v>37</v>
      </c>
      <c r="L6015" s="8" t="s">
        <v>26227</v>
      </c>
      <c r="M6015" s="8" t="s">
        <v>26228</v>
      </c>
      <c r="N6015" s="8" t="s">
        <v>26811</v>
      </c>
      <c r="O6015" s="8">
        <f>15+55/60+57.5/3600</f>
        <v>15.932638888888889</v>
      </c>
      <c r="P6015" s="8" t="s">
        <v>26812</v>
      </c>
      <c r="Q6015" s="8">
        <f>+(5+55/60+54/3600)</f>
        <v>5.9316666666666666</v>
      </c>
      <c r="R6015" s="8">
        <v>12.2</v>
      </c>
      <c r="S6015" s="8">
        <v>13.2</v>
      </c>
      <c r="T6015" s="8">
        <v>1</v>
      </c>
      <c r="U6015" s="8">
        <v>13.2</v>
      </c>
      <c r="V6015" s="8">
        <v>1.7</v>
      </c>
      <c r="W6015" s="8">
        <v>1.6</v>
      </c>
      <c r="X6015" s="8">
        <v>171</v>
      </c>
      <c r="Y6015" s="8" t="s">
        <v>23976</v>
      </c>
      <c r="Z6015" s="8" t="s">
        <v>23977</v>
      </c>
    </row>
    <row r="6016" spans="1:26" x14ac:dyDescent="0.2">
      <c r="A6016" s="8">
        <v>6015</v>
      </c>
      <c r="B6016" s="8" t="s">
        <v>26813</v>
      </c>
      <c r="C6016" s="8" t="s">
        <v>26813</v>
      </c>
      <c r="F6016" s="47" t="s">
        <v>58121</v>
      </c>
      <c r="G6016" s="8">
        <v>6.5</v>
      </c>
      <c r="H6016" s="8" t="s">
        <v>21</v>
      </c>
      <c r="I6016" s="8" t="s">
        <v>22</v>
      </c>
      <c r="J6016" s="8" t="s">
        <v>22</v>
      </c>
      <c r="K6016" s="8" t="s">
        <v>160</v>
      </c>
      <c r="L6016" s="8" t="s">
        <v>13395</v>
      </c>
      <c r="M6016" s="8" t="s">
        <v>13396</v>
      </c>
      <c r="N6016" s="8" t="s">
        <v>26814</v>
      </c>
      <c r="O6016" s="8">
        <f>15+51/60+25.4/3600</f>
        <v>15.857055555555554</v>
      </c>
      <c r="P6016" s="8" t="s">
        <v>26815</v>
      </c>
      <c r="Q6016" s="8">
        <f>+(62+18/60+31/3600)</f>
        <v>62.308611111111105</v>
      </c>
      <c r="R6016" s="8">
        <v>11.1</v>
      </c>
      <c r="S6016" s="8">
        <v>11.7</v>
      </c>
      <c r="T6016" s="8">
        <v>0.6</v>
      </c>
      <c r="U6016" s="8">
        <v>13.6</v>
      </c>
      <c r="V6016" s="8">
        <v>5.4</v>
      </c>
      <c r="W6016" s="8">
        <v>2.1</v>
      </c>
      <c r="X6016" s="8">
        <v>28</v>
      </c>
      <c r="Y6016" s="8" t="s">
        <v>26816</v>
      </c>
      <c r="Z6016" s="8" t="s">
        <v>26817</v>
      </c>
    </row>
    <row r="6017" spans="1:26" x14ac:dyDescent="0.2">
      <c r="A6017" s="8">
        <v>6016</v>
      </c>
      <c r="B6017" s="8" t="s">
        <v>26818</v>
      </c>
      <c r="C6017" s="8" t="s">
        <v>26818</v>
      </c>
      <c r="F6017" s="47"/>
      <c r="G6017" s="8">
        <v>18</v>
      </c>
      <c r="H6017" s="8" t="s">
        <v>21</v>
      </c>
      <c r="I6017" s="8" t="s">
        <v>22</v>
      </c>
      <c r="J6017" s="8" t="s">
        <v>22</v>
      </c>
      <c r="K6017" s="8" t="s">
        <v>64</v>
      </c>
      <c r="L6017" s="8" t="s">
        <v>26398</v>
      </c>
      <c r="M6017" s="8" t="s">
        <v>26399</v>
      </c>
      <c r="N6017" s="8" t="s">
        <v>26819</v>
      </c>
      <c r="O6017" s="8">
        <f>15+55/60+54.9/3600</f>
        <v>15.931916666666666</v>
      </c>
      <c r="P6017" s="8" t="s">
        <v>26820</v>
      </c>
      <c r="Q6017" s="8">
        <f>+(26+58/60+2/3600)</f>
        <v>26.967222222222219</v>
      </c>
      <c r="R6017" s="8">
        <v>14.3</v>
      </c>
      <c r="S6017" s="8">
        <v>15</v>
      </c>
      <c r="T6017" s="8">
        <v>0.7</v>
      </c>
      <c r="U6017" s="8">
        <v>13.4</v>
      </c>
      <c r="V6017" s="8">
        <v>1</v>
      </c>
      <c r="W6017" s="8">
        <v>0.5</v>
      </c>
      <c r="X6017" s="8">
        <v>26</v>
      </c>
      <c r="Y6017" s="8" t="s">
        <v>307</v>
      </c>
      <c r="Z6017" s="8" t="s">
        <v>308</v>
      </c>
    </row>
    <row r="6018" spans="1:26" x14ac:dyDescent="0.2">
      <c r="A6018" s="8">
        <v>6017</v>
      </c>
      <c r="B6018" s="8" t="s">
        <v>26821</v>
      </c>
      <c r="C6018" s="8" t="s">
        <v>26821</v>
      </c>
      <c r="F6018" s="47"/>
      <c r="G6018" s="8">
        <v>16</v>
      </c>
      <c r="H6018" s="8" t="s">
        <v>21</v>
      </c>
      <c r="I6018" s="8" t="s">
        <v>22</v>
      </c>
      <c r="J6018" s="8" t="s">
        <v>22</v>
      </c>
      <c r="K6018" s="8" t="s">
        <v>449</v>
      </c>
      <c r="L6018" s="8" t="s">
        <v>26227</v>
      </c>
      <c r="M6018" s="8" t="s">
        <v>26228</v>
      </c>
      <c r="N6018" s="8" t="s">
        <v>26822</v>
      </c>
      <c r="O6018" s="8">
        <f>15+57/60+15.4/3600</f>
        <v>15.954277777777778</v>
      </c>
      <c r="P6018" s="8" t="s">
        <v>26823</v>
      </c>
      <c r="Q6018" s="8">
        <f>+(5+59/60+56/3600)</f>
        <v>5.9988888888888887</v>
      </c>
      <c r="R6018" s="8">
        <v>13.2</v>
      </c>
      <c r="S6018" s="8">
        <v>14</v>
      </c>
      <c r="T6018" s="8">
        <v>0.8</v>
      </c>
      <c r="U6018" s="8">
        <v>12.4</v>
      </c>
      <c r="V6018" s="8">
        <v>0.8</v>
      </c>
      <c r="W6018" s="8">
        <v>0.7</v>
      </c>
      <c r="X6018" s="8">
        <v>140</v>
      </c>
      <c r="Y6018" s="8" t="s">
        <v>26824</v>
      </c>
      <c r="Z6018" s="8" t="s">
        <v>26825</v>
      </c>
    </row>
    <row r="6019" spans="1:26" x14ac:dyDescent="0.2">
      <c r="A6019" s="8">
        <v>6018</v>
      </c>
      <c r="B6019" s="8" t="s">
        <v>26826</v>
      </c>
      <c r="C6019" s="8" t="s">
        <v>26826</v>
      </c>
      <c r="F6019" s="47" t="s">
        <v>58122</v>
      </c>
      <c r="G6019" s="8">
        <v>15</v>
      </c>
      <c r="H6019" s="8" t="s">
        <v>21</v>
      </c>
      <c r="I6019" s="8" t="s">
        <v>22</v>
      </c>
      <c r="J6019" s="8" t="s">
        <v>22</v>
      </c>
      <c r="K6019" s="8" t="s">
        <v>632</v>
      </c>
      <c r="L6019" s="8" t="s">
        <v>26227</v>
      </c>
      <c r="M6019" s="8" t="s">
        <v>26228</v>
      </c>
      <c r="N6019" s="8" t="s">
        <v>26827</v>
      </c>
      <c r="O6019" s="8">
        <f>15+57/60+29.8/3600</f>
        <v>15.958277777777777</v>
      </c>
      <c r="P6019" s="8" t="s">
        <v>26828</v>
      </c>
      <c r="Q6019" s="8">
        <f>+(15+52/60+22/3600)</f>
        <v>15.872777777777777</v>
      </c>
      <c r="R6019" s="8">
        <v>13.4</v>
      </c>
      <c r="S6019" s="8">
        <v>14.3</v>
      </c>
      <c r="T6019" s="8">
        <v>0.9</v>
      </c>
      <c r="U6019" s="8">
        <v>13.3</v>
      </c>
      <c r="V6019" s="8">
        <v>1.4</v>
      </c>
      <c r="W6019" s="8">
        <v>0.7</v>
      </c>
      <c r="X6019" s="8">
        <v>75</v>
      </c>
      <c r="Y6019" s="8" t="s">
        <v>26829</v>
      </c>
      <c r="Z6019" s="8" t="s">
        <v>26830</v>
      </c>
    </row>
    <row r="6020" spans="1:26" x14ac:dyDescent="0.2">
      <c r="A6020" s="8">
        <v>6019</v>
      </c>
      <c r="B6020" s="8" t="s">
        <v>26831</v>
      </c>
      <c r="C6020" s="8" t="s">
        <v>26831</v>
      </c>
      <c r="F6020" s="47"/>
      <c r="G6020" s="8">
        <v>19</v>
      </c>
      <c r="H6020" s="8" t="s">
        <v>21</v>
      </c>
      <c r="I6020" s="8" t="s">
        <v>22</v>
      </c>
      <c r="J6020" s="8" t="s">
        <v>22</v>
      </c>
      <c r="K6020" s="8" t="s">
        <v>460</v>
      </c>
      <c r="L6020" s="8" t="s">
        <v>13395</v>
      </c>
      <c r="M6020" s="8" t="s">
        <v>13396</v>
      </c>
      <c r="N6020" s="8" t="s">
        <v>26832</v>
      </c>
      <c r="O6020" s="8">
        <f>15+52/60+9.1/3600</f>
        <v>15.869194444444444</v>
      </c>
      <c r="P6020" s="8" t="s">
        <v>26833</v>
      </c>
      <c r="Q6020" s="8">
        <f>+(64+50/60+27/3600)</f>
        <v>64.840833333333322</v>
      </c>
      <c r="R6020" s="8">
        <v>14.7</v>
      </c>
      <c r="S6020" s="8">
        <v>15.7</v>
      </c>
      <c r="T6020" s="8">
        <v>1</v>
      </c>
      <c r="U6020" s="8">
        <v>12.8</v>
      </c>
      <c r="V6020" s="8">
        <v>0.4</v>
      </c>
      <c r="W6020" s="8">
        <v>0.4</v>
      </c>
      <c r="Y6020" s="8" t="s">
        <v>4937</v>
      </c>
      <c r="Z6020" s="8" t="s">
        <v>4938</v>
      </c>
    </row>
    <row r="6021" spans="1:26" x14ac:dyDescent="0.2">
      <c r="A6021" s="8">
        <v>6020</v>
      </c>
      <c r="B6021" s="8" t="s">
        <v>26834</v>
      </c>
      <c r="C6021" s="8" t="s">
        <v>26834</v>
      </c>
      <c r="F6021" s="47"/>
      <c r="G6021" s="8">
        <v>18</v>
      </c>
      <c r="H6021" s="8" t="s">
        <v>21</v>
      </c>
      <c r="I6021" s="8" t="s">
        <v>22</v>
      </c>
      <c r="J6021" s="8" t="s">
        <v>22</v>
      </c>
      <c r="K6021" s="8" t="s">
        <v>382</v>
      </c>
      <c r="L6021" s="8" t="s">
        <v>26227</v>
      </c>
      <c r="M6021" s="8" t="s">
        <v>26228</v>
      </c>
      <c r="N6021" s="8" t="s">
        <v>26835</v>
      </c>
      <c r="O6021" s="8">
        <f>15+57/60+8.1/3600</f>
        <v>15.952249999999999</v>
      </c>
      <c r="P6021" s="8" t="s">
        <v>26836</v>
      </c>
      <c r="Q6021" s="8">
        <f>+(22+24/60+18/3600)</f>
        <v>22.404999999999998</v>
      </c>
      <c r="R6021" s="8">
        <v>12.7</v>
      </c>
      <c r="S6021" s="8">
        <v>13.8</v>
      </c>
      <c r="T6021" s="8">
        <v>1.1000000000000001</v>
      </c>
      <c r="U6021" s="8">
        <v>13.1</v>
      </c>
      <c r="V6021" s="8">
        <v>1.4</v>
      </c>
      <c r="W6021" s="8">
        <v>1</v>
      </c>
      <c r="X6021" s="8">
        <v>140</v>
      </c>
      <c r="Y6021" s="8" t="s">
        <v>26837</v>
      </c>
      <c r="Z6021" s="8" t="s">
        <v>26838</v>
      </c>
    </row>
    <row r="6022" spans="1:26" x14ac:dyDescent="0.2">
      <c r="A6022" s="8">
        <v>6021</v>
      </c>
      <c r="B6022" s="8" t="s">
        <v>26839</v>
      </c>
      <c r="C6022" s="8" t="s">
        <v>26839</v>
      </c>
      <c r="F6022" s="47" t="s">
        <v>58123</v>
      </c>
      <c r="G6022" s="8">
        <v>15</v>
      </c>
      <c r="H6022" s="8" t="s">
        <v>21</v>
      </c>
      <c r="I6022" s="8" t="s">
        <v>22</v>
      </c>
      <c r="J6022" s="8" t="s">
        <v>22</v>
      </c>
      <c r="K6022" s="8" t="s">
        <v>50</v>
      </c>
      <c r="L6022" s="8" t="s">
        <v>26227</v>
      </c>
      <c r="M6022" s="8" t="s">
        <v>26228</v>
      </c>
      <c r="N6022" s="8" t="s">
        <v>26840</v>
      </c>
      <c r="O6022" s="8">
        <f>15+57/60+30.7/3600</f>
        <v>15.958527777777777</v>
      </c>
      <c r="P6022" s="8" t="s">
        <v>26841</v>
      </c>
      <c r="Q6022" s="8">
        <f>+(15+57/60+23/3600)</f>
        <v>15.956388888888888</v>
      </c>
      <c r="R6022" s="8">
        <v>13.1</v>
      </c>
      <c r="S6022" s="8">
        <v>14.2</v>
      </c>
      <c r="T6022" s="8">
        <v>1.1000000000000001</v>
      </c>
      <c r="U6022" s="8">
        <v>13.1</v>
      </c>
      <c r="V6022" s="8">
        <v>1.4</v>
      </c>
      <c r="W6022" s="8">
        <v>0.8</v>
      </c>
      <c r="X6022" s="8">
        <v>160</v>
      </c>
      <c r="Y6022" s="8" t="s">
        <v>26842</v>
      </c>
      <c r="Z6022" s="8" t="s">
        <v>26843</v>
      </c>
    </row>
    <row r="6023" spans="1:26" x14ac:dyDescent="0.2">
      <c r="A6023" s="8">
        <v>6022</v>
      </c>
      <c r="B6023" s="8" t="s">
        <v>26844</v>
      </c>
      <c r="C6023" s="8" t="s">
        <v>26844</v>
      </c>
      <c r="F6023" s="47"/>
      <c r="G6023" s="8">
        <v>19</v>
      </c>
      <c r="H6023" s="8" t="s">
        <v>21</v>
      </c>
      <c r="I6023" s="8" t="s">
        <v>22</v>
      </c>
      <c r="J6023" s="8" t="s">
        <v>22</v>
      </c>
      <c r="K6023" s="8" t="s">
        <v>85</v>
      </c>
      <c r="L6023" s="8" t="s">
        <v>26227</v>
      </c>
      <c r="M6023" s="8" t="s">
        <v>26228</v>
      </c>
      <c r="N6023" s="8" t="s">
        <v>26845</v>
      </c>
      <c r="O6023" s="8">
        <f>15+57/60+47.9/3600</f>
        <v>15.963305555555555</v>
      </c>
      <c r="P6023" s="8" t="s">
        <v>26846</v>
      </c>
      <c r="Q6023" s="8">
        <f>+(16+16/60+58/3600)</f>
        <v>16.282777777777778</v>
      </c>
      <c r="R6023" s="8">
        <v>14.7</v>
      </c>
      <c r="S6023" s="8">
        <v>15.3</v>
      </c>
      <c r="T6023" s="8">
        <v>0.6</v>
      </c>
      <c r="U6023" s="8">
        <v>13.5</v>
      </c>
      <c r="V6023" s="8">
        <v>0.7</v>
      </c>
      <c r="W6023" s="8">
        <v>0.5</v>
      </c>
      <c r="X6023" s="8">
        <v>75</v>
      </c>
      <c r="Y6023" s="8" t="s">
        <v>962</v>
      </c>
      <c r="Z6023" s="8" t="s">
        <v>963</v>
      </c>
    </row>
    <row r="6024" spans="1:26" x14ac:dyDescent="0.2">
      <c r="A6024" s="8">
        <v>6023</v>
      </c>
      <c r="B6024" s="8" t="s">
        <v>26847</v>
      </c>
      <c r="C6024" s="8" t="s">
        <v>26847</v>
      </c>
      <c r="F6024" s="47"/>
      <c r="G6024" s="8">
        <v>19</v>
      </c>
      <c r="H6024" s="8" t="s">
        <v>21</v>
      </c>
      <c r="I6024" s="8" t="s">
        <v>22</v>
      </c>
      <c r="J6024" s="8" t="s">
        <v>22</v>
      </c>
      <c r="K6024" s="8" t="s">
        <v>382</v>
      </c>
      <c r="L6024" s="8" t="s">
        <v>26227</v>
      </c>
      <c r="M6024" s="8" t="s">
        <v>26228</v>
      </c>
      <c r="N6024" s="8" t="s">
        <v>26848</v>
      </c>
      <c r="O6024" s="8">
        <f>15+57/60+49.5/3600</f>
        <v>15.963749999999999</v>
      </c>
      <c r="P6024" s="8" t="s">
        <v>26849</v>
      </c>
      <c r="Q6024" s="8">
        <f>+(16+18/60+38/3600)</f>
        <v>16.310555555555556</v>
      </c>
      <c r="R6024" s="8">
        <v>13.1</v>
      </c>
      <c r="S6024" s="8">
        <v>14.2</v>
      </c>
      <c r="T6024" s="8">
        <v>1.1000000000000001</v>
      </c>
      <c r="U6024" s="8">
        <v>13.3</v>
      </c>
      <c r="V6024" s="8">
        <v>1.4</v>
      </c>
      <c r="W6024" s="8">
        <v>1</v>
      </c>
      <c r="X6024" s="8">
        <v>70</v>
      </c>
      <c r="Y6024" s="8" t="s">
        <v>2641</v>
      </c>
      <c r="Z6024" s="8" t="s">
        <v>2642</v>
      </c>
    </row>
    <row r="6025" spans="1:26" x14ac:dyDescent="0.2">
      <c r="A6025" s="8">
        <v>6024</v>
      </c>
      <c r="B6025" s="8" t="s">
        <v>26850</v>
      </c>
      <c r="C6025" s="8" t="s">
        <v>26850</v>
      </c>
      <c r="F6025" s="47"/>
      <c r="G6025" s="8">
        <v>19</v>
      </c>
      <c r="H6025" s="8" t="s">
        <v>21</v>
      </c>
      <c r="I6025" s="8" t="s">
        <v>22</v>
      </c>
      <c r="J6025" s="8" t="s">
        <v>22</v>
      </c>
      <c r="K6025" s="8" t="s">
        <v>449</v>
      </c>
      <c r="L6025" s="8" t="s">
        <v>13395</v>
      </c>
      <c r="M6025" s="8" t="s">
        <v>13396</v>
      </c>
      <c r="N6025" s="8" t="s">
        <v>26851</v>
      </c>
      <c r="O6025" s="8">
        <f>15+53/60+7.8/3600</f>
        <v>15.8855</v>
      </c>
      <c r="P6025" s="8" t="s">
        <v>26852</v>
      </c>
      <c r="Q6025" s="8">
        <f>+(64+55/60+6/3600)</f>
        <v>64.918333333333337</v>
      </c>
      <c r="R6025" s="8">
        <v>14.2</v>
      </c>
      <c r="S6025" s="8">
        <v>15</v>
      </c>
      <c r="T6025" s="8">
        <v>0.8</v>
      </c>
      <c r="U6025" s="8">
        <v>13.1</v>
      </c>
      <c r="V6025" s="8">
        <v>0.7</v>
      </c>
      <c r="W6025" s="8">
        <v>0.6</v>
      </c>
      <c r="X6025" s="8">
        <v>117</v>
      </c>
      <c r="Y6025" s="8" t="s">
        <v>26853</v>
      </c>
      <c r="Z6025" s="8" t="s">
        <v>26854</v>
      </c>
    </row>
    <row r="6026" spans="1:26" x14ac:dyDescent="0.2">
      <c r="A6026" s="8">
        <v>6025</v>
      </c>
      <c r="B6026" s="8" t="s">
        <v>26855</v>
      </c>
      <c r="C6026" s="8" t="s">
        <v>26855</v>
      </c>
      <c r="F6026" s="47"/>
      <c r="G6026" s="8">
        <v>2</v>
      </c>
      <c r="H6026" s="8" t="s">
        <v>21</v>
      </c>
      <c r="I6026" s="8" t="s">
        <v>557</v>
      </c>
      <c r="J6026" s="8" t="s">
        <v>557</v>
      </c>
      <c r="K6026" s="8" t="s">
        <v>558</v>
      </c>
      <c r="L6026" s="8" t="s">
        <v>26039</v>
      </c>
      <c r="M6026" s="8" t="s">
        <v>26040</v>
      </c>
      <c r="N6026" s="8" t="s">
        <v>26856</v>
      </c>
      <c r="O6026" s="8">
        <f>16+3/60+17.7/3600</f>
        <v>16.054916666666667</v>
      </c>
      <c r="P6026" s="8" t="s">
        <v>26857</v>
      </c>
      <c r="Q6026" s="8">
        <f>-(60+25/60+53/3600)</f>
        <v>-60.43138888888889</v>
      </c>
      <c r="R6026" s="8">
        <v>5.0999999999999996</v>
      </c>
      <c r="S6026" s="8">
        <v>99</v>
      </c>
      <c r="T6026" s="8">
        <v>99</v>
      </c>
      <c r="U6026" s="8">
        <v>99</v>
      </c>
      <c r="V6026" s="8">
        <v>15</v>
      </c>
      <c r="Y6026" s="8" t="s">
        <v>26858</v>
      </c>
      <c r="Z6026" s="8" t="s">
        <v>26859</v>
      </c>
    </row>
    <row r="6027" spans="1:26" x14ac:dyDescent="0.2">
      <c r="A6027" s="8">
        <v>6026</v>
      </c>
      <c r="B6027" s="8" t="s">
        <v>26860</v>
      </c>
      <c r="C6027" s="8" t="s">
        <v>26860</v>
      </c>
      <c r="F6027" s="47"/>
      <c r="G6027" s="8">
        <v>13</v>
      </c>
      <c r="H6027" s="8" t="s">
        <v>21</v>
      </c>
      <c r="I6027" s="8" t="s">
        <v>241</v>
      </c>
      <c r="J6027" s="8" t="s">
        <v>241</v>
      </c>
      <c r="K6027" s="8" t="s">
        <v>241</v>
      </c>
      <c r="L6027" s="8" t="s">
        <v>24674</v>
      </c>
      <c r="M6027" s="8" t="s">
        <v>24675</v>
      </c>
      <c r="N6027" s="8" t="s">
        <v>26861</v>
      </c>
      <c r="O6027" s="8">
        <f>16+1/60+21/3600</f>
        <v>16.022499999999997</v>
      </c>
      <c r="P6027" s="8" t="s">
        <v>26862</v>
      </c>
      <c r="Q6027" s="8">
        <f>-(34+32/60+37/3600)</f>
        <v>-34.543611111111112</v>
      </c>
      <c r="R6027" s="8">
        <v>12.9</v>
      </c>
      <c r="S6027" s="8">
        <v>13.2</v>
      </c>
      <c r="T6027" s="8">
        <v>99</v>
      </c>
      <c r="U6027" s="8">
        <v>99</v>
      </c>
      <c r="V6027" s="8">
        <v>0.67</v>
      </c>
      <c r="Y6027" s="8" t="s">
        <v>26863</v>
      </c>
      <c r="Z6027" s="8" t="s">
        <v>26864</v>
      </c>
    </row>
    <row r="6028" spans="1:26" x14ac:dyDescent="0.2">
      <c r="A6028" s="8">
        <v>6027</v>
      </c>
      <c r="B6028" s="8" t="s">
        <v>26865</v>
      </c>
      <c r="C6028" s="8" t="s">
        <v>26865</v>
      </c>
      <c r="F6028" s="47"/>
      <c r="G6028" s="8">
        <v>11</v>
      </c>
      <c r="H6028" s="8" t="s">
        <v>26866</v>
      </c>
      <c r="I6028" s="8" t="s">
        <v>22</v>
      </c>
      <c r="J6028" s="8" t="s">
        <v>22</v>
      </c>
      <c r="K6028" s="8" t="s">
        <v>37</v>
      </c>
      <c r="L6028" s="8" t="s">
        <v>26227</v>
      </c>
      <c r="M6028" s="8" t="s">
        <v>26228</v>
      </c>
      <c r="N6028" s="8" t="s">
        <v>26867</v>
      </c>
      <c r="O6028" s="8">
        <f>15+59/60+12.5/3600</f>
        <v>15.986805555555554</v>
      </c>
      <c r="P6028" s="8" t="s">
        <v>26868</v>
      </c>
      <c r="Q6028" s="8">
        <f>+(20+45/60+50/3600)</f>
        <v>20.763888888888889</v>
      </c>
      <c r="R6028" s="8">
        <v>13.5</v>
      </c>
      <c r="S6028" s="8">
        <v>14.2</v>
      </c>
      <c r="T6028" s="8">
        <v>0.7</v>
      </c>
      <c r="U6028" s="8">
        <v>12.9</v>
      </c>
      <c r="V6028" s="8">
        <v>1</v>
      </c>
      <c r="W6028" s="8">
        <v>0.7</v>
      </c>
      <c r="X6028" s="8">
        <v>84</v>
      </c>
      <c r="Y6028" s="8" t="s">
        <v>26869</v>
      </c>
      <c r="Z6028" s="8" t="s">
        <v>26870</v>
      </c>
    </row>
    <row r="6029" spans="1:26" x14ac:dyDescent="0.2">
      <c r="A6029" s="8">
        <v>6028</v>
      </c>
      <c r="B6029" s="8" t="s">
        <v>26871</v>
      </c>
      <c r="C6029" s="8" t="s">
        <v>26871</v>
      </c>
      <c r="F6029" s="47"/>
      <c r="G6029" s="8">
        <v>19</v>
      </c>
      <c r="H6029" s="8" t="s">
        <v>21</v>
      </c>
      <c r="I6029" s="8" t="s">
        <v>22</v>
      </c>
      <c r="J6029" s="8" t="s">
        <v>57</v>
      </c>
      <c r="K6029" s="8" t="s">
        <v>632</v>
      </c>
      <c r="L6029" s="8" t="s">
        <v>26804</v>
      </c>
      <c r="M6029" s="8" t="s">
        <v>26805</v>
      </c>
      <c r="N6029" s="8" t="s">
        <v>26872</v>
      </c>
      <c r="O6029" s="8">
        <f>16+1/60+29.1/3600</f>
        <v>16.024749999999997</v>
      </c>
      <c r="P6029" s="8" t="s">
        <v>26873</v>
      </c>
      <c r="Q6029" s="8">
        <f>+(19+21/60+34/3600)</f>
        <v>19.359444444444446</v>
      </c>
      <c r="R6029" s="8">
        <v>13.5</v>
      </c>
      <c r="S6029" s="8">
        <v>14.4</v>
      </c>
      <c r="T6029" s="8">
        <v>0.9</v>
      </c>
      <c r="U6029" s="8">
        <v>13.8</v>
      </c>
      <c r="V6029" s="8">
        <v>1.3</v>
      </c>
      <c r="W6029" s="8">
        <v>1.1000000000000001</v>
      </c>
      <c r="X6029" s="8">
        <v>30</v>
      </c>
      <c r="Y6029" s="8" t="s">
        <v>26874</v>
      </c>
      <c r="Z6029" s="8" t="s">
        <v>26875</v>
      </c>
    </row>
    <row r="6030" spans="1:26" x14ac:dyDescent="0.2">
      <c r="A6030" s="8">
        <v>6029</v>
      </c>
      <c r="B6030" s="8" t="s">
        <v>26876</v>
      </c>
      <c r="C6030" s="8" t="s">
        <v>26876</v>
      </c>
      <c r="F6030" s="47"/>
      <c r="G6030" s="8">
        <v>18</v>
      </c>
      <c r="H6030" s="8" t="s">
        <v>21</v>
      </c>
      <c r="I6030" s="8" t="s">
        <v>22</v>
      </c>
      <c r="J6030" s="8" t="s">
        <v>22</v>
      </c>
      <c r="K6030" s="8" t="s">
        <v>424</v>
      </c>
      <c r="L6030" s="8" t="s">
        <v>26227</v>
      </c>
      <c r="M6030" s="8" t="s">
        <v>26228</v>
      </c>
      <c r="N6030" s="8" t="s">
        <v>26877</v>
      </c>
      <c r="O6030" s="8">
        <f>16+1/60+58.8/3600</f>
        <v>16.032999999999998</v>
      </c>
      <c r="P6030" s="8" t="s">
        <v>26878</v>
      </c>
      <c r="Q6030" s="8">
        <f>+(12+34/60+29/3600)</f>
        <v>12.574722222222222</v>
      </c>
      <c r="R6030" s="8">
        <v>14.7</v>
      </c>
      <c r="S6030" s="8">
        <v>15.7</v>
      </c>
      <c r="T6030" s="8">
        <v>1</v>
      </c>
      <c r="U6030" s="8">
        <v>14.4</v>
      </c>
      <c r="V6030" s="8">
        <v>1.2</v>
      </c>
      <c r="W6030" s="8">
        <v>0.7</v>
      </c>
      <c r="X6030" s="8">
        <v>5</v>
      </c>
      <c r="Y6030" s="8" t="s">
        <v>282</v>
      </c>
      <c r="Z6030" s="8" t="s">
        <v>283</v>
      </c>
    </row>
    <row r="6031" spans="1:26" x14ac:dyDescent="0.2">
      <c r="A6031" s="8">
        <v>6030</v>
      </c>
      <c r="B6031" s="8" t="s">
        <v>26879</v>
      </c>
      <c r="C6031" s="8" t="s">
        <v>26879</v>
      </c>
      <c r="F6031" s="47"/>
      <c r="G6031" s="8">
        <v>19</v>
      </c>
      <c r="H6031" s="8" t="s">
        <v>21</v>
      </c>
      <c r="I6031" s="8" t="s">
        <v>22</v>
      </c>
      <c r="J6031" s="8" t="s">
        <v>22</v>
      </c>
      <c r="K6031" s="8" t="s">
        <v>37</v>
      </c>
      <c r="L6031" s="8" t="s">
        <v>26804</v>
      </c>
      <c r="M6031" s="8" t="s">
        <v>26805</v>
      </c>
      <c r="N6031" s="8" t="s">
        <v>26880</v>
      </c>
      <c r="O6031" s="8">
        <f>16+1/60+51.3/3600</f>
        <v>16.030916666666666</v>
      </c>
      <c r="P6031" s="8" t="s">
        <v>26881</v>
      </c>
      <c r="Q6031" s="8">
        <f>+(17+57/60+27/3600)</f>
        <v>17.9575</v>
      </c>
      <c r="R6031" s="8">
        <v>12.8</v>
      </c>
      <c r="S6031" s="8">
        <v>13.7</v>
      </c>
      <c r="T6031" s="8">
        <v>0.9</v>
      </c>
      <c r="U6031" s="8">
        <v>12.5</v>
      </c>
      <c r="V6031" s="8">
        <v>1.2</v>
      </c>
      <c r="W6031" s="8">
        <v>0.8</v>
      </c>
      <c r="X6031" s="8">
        <v>37</v>
      </c>
      <c r="Y6031" s="8" t="s">
        <v>18110</v>
      </c>
      <c r="Z6031" s="8" t="s">
        <v>18111</v>
      </c>
    </row>
    <row r="6032" spans="1:26" x14ac:dyDescent="0.2">
      <c r="A6032" s="8">
        <v>6031</v>
      </c>
      <c r="B6032" s="8" t="s">
        <v>26882</v>
      </c>
      <c r="C6032" s="8" t="s">
        <v>26882</v>
      </c>
      <c r="F6032" s="47"/>
      <c r="G6032" s="8">
        <v>13</v>
      </c>
      <c r="H6032" s="8" t="s">
        <v>21</v>
      </c>
      <c r="I6032" s="8" t="s">
        <v>557</v>
      </c>
      <c r="J6032" s="8" t="s">
        <v>557</v>
      </c>
      <c r="K6032" s="8" t="s">
        <v>7705</v>
      </c>
      <c r="L6032" s="8" t="s">
        <v>26405</v>
      </c>
      <c r="M6032" s="8" t="s">
        <v>26406</v>
      </c>
      <c r="N6032" s="8" t="s">
        <v>26883</v>
      </c>
      <c r="O6032" s="8">
        <f>16+7/60+34.4/3600</f>
        <v>16.126222222222221</v>
      </c>
      <c r="P6032" s="8" t="s">
        <v>26884</v>
      </c>
      <c r="Q6032" s="8">
        <f>-(54+1/60+0/3600)</f>
        <v>-54.016666666666666</v>
      </c>
      <c r="R6032" s="8">
        <v>8.5</v>
      </c>
      <c r="S6032" s="8">
        <v>99</v>
      </c>
      <c r="T6032" s="8">
        <v>99</v>
      </c>
      <c r="U6032" s="8">
        <v>99</v>
      </c>
      <c r="V6032" s="8">
        <v>3</v>
      </c>
      <c r="Y6032" s="8" t="s">
        <v>26885</v>
      </c>
      <c r="Z6032" s="8" t="s">
        <v>26886</v>
      </c>
    </row>
    <row r="6033" spans="1:26" x14ac:dyDescent="0.2">
      <c r="A6033" s="8">
        <v>6032</v>
      </c>
      <c r="B6033" s="8" t="s">
        <v>26887</v>
      </c>
      <c r="C6033" s="8" t="s">
        <v>26887</v>
      </c>
      <c r="F6033" s="47"/>
      <c r="G6033" s="8">
        <v>19</v>
      </c>
      <c r="H6033" s="8" t="s">
        <v>21</v>
      </c>
      <c r="I6033" s="8" t="s">
        <v>22</v>
      </c>
      <c r="J6033" s="8" t="s">
        <v>22</v>
      </c>
      <c r="K6033" s="8" t="s">
        <v>218</v>
      </c>
      <c r="L6033" s="8" t="s">
        <v>26804</v>
      </c>
      <c r="M6033" s="8" t="s">
        <v>26805</v>
      </c>
      <c r="N6033" s="8" t="s">
        <v>26888</v>
      </c>
      <c r="O6033" s="8">
        <f>16+3/60+1.1/3600</f>
        <v>16.050305555555557</v>
      </c>
      <c r="P6033" s="8" t="s">
        <v>26889</v>
      </c>
      <c r="Q6033" s="8">
        <f>+(20+57/60+21/3600)</f>
        <v>20.955833333333331</v>
      </c>
      <c r="R6033" s="8">
        <v>13.5</v>
      </c>
      <c r="S6033" s="8">
        <v>14.3</v>
      </c>
      <c r="T6033" s="8">
        <v>0.8</v>
      </c>
      <c r="U6033" s="8">
        <v>13.5</v>
      </c>
      <c r="V6033" s="8">
        <v>1.6</v>
      </c>
      <c r="W6033" s="8">
        <v>0.7</v>
      </c>
      <c r="X6033" s="8">
        <v>0</v>
      </c>
      <c r="Y6033" s="8" t="s">
        <v>26890</v>
      </c>
      <c r="Z6033" s="8" t="s">
        <v>26891</v>
      </c>
    </row>
    <row r="6034" spans="1:26" x14ac:dyDescent="0.2">
      <c r="A6034" s="8">
        <v>6033</v>
      </c>
      <c r="B6034" s="8" t="s">
        <v>26892</v>
      </c>
      <c r="C6034" s="8" t="s">
        <v>26892</v>
      </c>
      <c r="F6034" s="47"/>
      <c r="G6034" s="8">
        <v>18</v>
      </c>
      <c r="H6034" s="8" t="s">
        <v>21</v>
      </c>
      <c r="I6034" s="8" t="s">
        <v>22</v>
      </c>
      <c r="J6034" s="8" t="s">
        <v>22</v>
      </c>
      <c r="K6034" s="8" t="s">
        <v>396</v>
      </c>
      <c r="L6034" s="8" t="s">
        <v>26227</v>
      </c>
      <c r="M6034" s="8" t="s">
        <v>26228</v>
      </c>
      <c r="N6034" s="8" t="s">
        <v>26893</v>
      </c>
      <c r="O6034" s="8">
        <f>16+4/60+27.9/3600</f>
        <v>16.074416666666668</v>
      </c>
      <c r="P6034" s="8" t="s">
        <v>18258</v>
      </c>
      <c r="Q6034" s="8">
        <f>-(2+7/60+13/3600)</f>
        <v>-2.1202777777777779</v>
      </c>
      <c r="R6034" s="8">
        <v>13.7</v>
      </c>
      <c r="S6034" s="8">
        <v>14.5</v>
      </c>
      <c r="T6034" s="8">
        <v>0.8</v>
      </c>
      <c r="U6034" s="8">
        <v>13.4</v>
      </c>
      <c r="V6034" s="8">
        <v>1.1000000000000001</v>
      </c>
      <c r="W6034" s="8">
        <v>1</v>
      </c>
      <c r="X6034" s="8">
        <v>90</v>
      </c>
      <c r="Y6034" s="8" t="s">
        <v>26894</v>
      </c>
      <c r="Z6034" s="8" t="s">
        <v>26895</v>
      </c>
    </row>
    <row r="6035" spans="1:26" x14ac:dyDescent="0.2">
      <c r="A6035" s="8">
        <v>6034</v>
      </c>
      <c r="B6035" s="8" t="s">
        <v>26896</v>
      </c>
      <c r="C6035" s="8" t="s">
        <v>26896</v>
      </c>
      <c r="F6035" s="47"/>
      <c r="G6035" s="8">
        <v>19</v>
      </c>
      <c r="H6035" s="8" t="s">
        <v>21</v>
      </c>
      <c r="I6035" s="8" t="s">
        <v>22</v>
      </c>
      <c r="J6035" s="8" t="s">
        <v>22</v>
      </c>
      <c r="K6035" s="8" t="s">
        <v>1136</v>
      </c>
      <c r="L6035" s="8" t="s">
        <v>26804</v>
      </c>
      <c r="M6035" s="8" t="s">
        <v>26805</v>
      </c>
      <c r="N6035" s="8" t="s">
        <v>26897</v>
      </c>
      <c r="O6035" s="8">
        <f>16+3/60+32/3600</f>
        <v>16.058888888888891</v>
      </c>
      <c r="P6035" s="8" t="s">
        <v>26898</v>
      </c>
      <c r="Q6035" s="8">
        <f>+(17+11/60+55/3600)</f>
        <v>17.198611111111113</v>
      </c>
      <c r="R6035" s="8">
        <v>13.5</v>
      </c>
      <c r="S6035" s="8">
        <v>14.6</v>
      </c>
      <c r="T6035" s="8">
        <v>1.1000000000000001</v>
      </c>
      <c r="U6035" s="8">
        <v>13.3</v>
      </c>
      <c r="V6035" s="8">
        <v>1</v>
      </c>
      <c r="W6035" s="8">
        <v>0.8</v>
      </c>
      <c r="X6035" s="8">
        <v>54</v>
      </c>
      <c r="Y6035" s="8" t="s">
        <v>369</v>
      </c>
      <c r="Z6035" s="8" t="s">
        <v>370</v>
      </c>
    </row>
    <row r="6036" spans="1:26" x14ac:dyDescent="0.2">
      <c r="A6036" s="8">
        <v>6035</v>
      </c>
      <c r="B6036" s="8" t="s">
        <v>26899</v>
      </c>
      <c r="C6036" s="8" t="s">
        <v>26899</v>
      </c>
      <c r="F6036" s="47"/>
      <c r="G6036" s="8">
        <v>19</v>
      </c>
      <c r="H6036" s="8" t="s">
        <v>21</v>
      </c>
      <c r="I6036" s="8" t="s">
        <v>22</v>
      </c>
      <c r="J6036" s="8" t="s">
        <v>22</v>
      </c>
      <c r="K6036" s="8" t="s">
        <v>64</v>
      </c>
      <c r="L6036" s="8" t="s">
        <v>26804</v>
      </c>
      <c r="M6036" s="8" t="s">
        <v>26805</v>
      </c>
      <c r="N6036" s="8" t="s">
        <v>26900</v>
      </c>
      <c r="O6036" s="8">
        <f>16+3/60+24.1/3600</f>
        <v>16.056694444444446</v>
      </c>
      <c r="P6036" s="8" t="s">
        <v>26901</v>
      </c>
      <c r="Q6036" s="8">
        <f>+(20+53/60+27/3600)</f>
        <v>20.890833333333333</v>
      </c>
      <c r="R6036" s="8">
        <v>13.5</v>
      </c>
      <c r="S6036" s="8">
        <v>14.2</v>
      </c>
      <c r="T6036" s="8">
        <v>0.7</v>
      </c>
      <c r="U6036" s="8">
        <v>13.1</v>
      </c>
      <c r="V6036" s="8">
        <v>0.9</v>
      </c>
      <c r="W6036" s="8">
        <v>0.9</v>
      </c>
      <c r="Y6036" s="8" t="s">
        <v>26902</v>
      </c>
      <c r="Z6036" s="8" t="s">
        <v>26903</v>
      </c>
    </row>
    <row r="6037" spans="1:26" x14ac:dyDescent="0.2">
      <c r="A6037" s="8">
        <v>6036</v>
      </c>
      <c r="B6037" s="8" t="s">
        <v>26904</v>
      </c>
      <c r="C6037" s="8" t="s">
        <v>26904</v>
      </c>
      <c r="F6037" s="47"/>
      <c r="G6037" s="8">
        <v>18</v>
      </c>
      <c r="H6037" s="8" t="s">
        <v>21</v>
      </c>
      <c r="I6037" s="8" t="s">
        <v>22</v>
      </c>
      <c r="J6037" s="8" t="s">
        <v>22</v>
      </c>
      <c r="K6037" s="8" t="s">
        <v>632</v>
      </c>
      <c r="L6037" s="8" t="s">
        <v>26227</v>
      </c>
      <c r="M6037" s="8" t="s">
        <v>26228</v>
      </c>
      <c r="N6037" s="8" t="s">
        <v>26905</v>
      </c>
      <c r="O6037" s="8">
        <f>16+4/60+30.7/3600</f>
        <v>16.075194444444445</v>
      </c>
      <c r="P6037" s="8" t="s">
        <v>26906</v>
      </c>
      <c r="Q6037" s="8">
        <f>+(3+52/60+5/3600)</f>
        <v>3.8680555555555558</v>
      </c>
      <c r="R6037" s="8">
        <v>13.4</v>
      </c>
      <c r="S6037" s="8">
        <v>14.3</v>
      </c>
      <c r="T6037" s="8">
        <v>0.9</v>
      </c>
      <c r="U6037" s="8">
        <v>13</v>
      </c>
      <c r="V6037" s="8">
        <v>1.1000000000000001</v>
      </c>
      <c r="W6037" s="8">
        <v>0.4</v>
      </c>
      <c r="X6037" s="8">
        <v>146</v>
      </c>
      <c r="Y6037" s="8" t="s">
        <v>25259</v>
      </c>
      <c r="Z6037" s="8" t="s">
        <v>26907</v>
      </c>
    </row>
    <row r="6038" spans="1:26" x14ac:dyDescent="0.2">
      <c r="A6038" s="8">
        <v>6037</v>
      </c>
      <c r="B6038" s="8" t="s">
        <v>26908</v>
      </c>
      <c r="C6038" s="8" t="s">
        <v>26908</v>
      </c>
      <c r="F6038" s="47"/>
      <c r="G6038" s="8">
        <v>18</v>
      </c>
      <c r="H6038" s="8" t="s">
        <v>21</v>
      </c>
      <c r="I6038" s="8" t="s">
        <v>22</v>
      </c>
      <c r="J6038" s="8" t="s">
        <v>22</v>
      </c>
      <c r="K6038" s="8" t="s">
        <v>31</v>
      </c>
      <c r="L6038" s="8" t="s">
        <v>26227</v>
      </c>
      <c r="M6038" s="8" t="s">
        <v>26228</v>
      </c>
      <c r="N6038" s="8" t="s">
        <v>26909</v>
      </c>
      <c r="O6038" s="8">
        <f>16+4/60+29.8/3600</f>
        <v>16.074944444444444</v>
      </c>
      <c r="P6038" s="8" t="s">
        <v>26910</v>
      </c>
      <c r="Q6038" s="8">
        <f>+(3+48/60+56/3600)</f>
        <v>3.8155555555555556</v>
      </c>
      <c r="R6038" s="8">
        <v>14.1</v>
      </c>
      <c r="S6038" s="8">
        <v>14.9</v>
      </c>
      <c r="T6038" s="8">
        <v>0.8</v>
      </c>
      <c r="U6038" s="8">
        <v>13</v>
      </c>
      <c r="V6038" s="8">
        <v>0.7</v>
      </c>
      <c r="W6038" s="8">
        <v>0.6</v>
      </c>
      <c r="X6038" s="8">
        <v>54</v>
      </c>
      <c r="Y6038" s="8" t="s">
        <v>1511</v>
      </c>
      <c r="Z6038" s="8" t="s">
        <v>1512</v>
      </c>
    </row>
    <row r="6039" spans="1:26" x14ac:dyDescent="0.2">
      <c r="A6039" s="8">
        <v>6038</v>
      </c>
      <c r="B6039" s="8" t="s">
        <v>26911</v>
      </c>
      <c r="C6039" s="8" t="s">
        <v>26911</v>
      </c>
      <c r="F6039" s="47" t="s">
        <v>58124</v>
      </c>
      <c r="G6039" s="8">
        <v>15</v>
      </c>
      <c r="H6039" s="8" t="s">
        <v>21</v>
      </c>
      <c r="I6039" s="8" t="s">
        <v>22</v>
      </c>
      <c r="J6039" s="8" t="s">
        <v>22</v>
      </c>
      <c r="K6039" s="8" t="s">
        <v>160</v>
      </c>
      <c r="L6039" s="8" t="s">
        <v>26398</v>
      </c>
      <c r="M6039" s="8" t="s">
        <v>26399</v>
      </c>
      <c r="N6039" s="8" t="s">
        <v>26912</v>
      </c>
      <c r="O6039" s="8">
        <f>16+2/60+40.4/3600</f>
        <v>16.044555555555558</v>
      </c>
      <c r="P6039" s="8" t="s">
        <v>26913</v>
      </c>
      <c r="Q6039" s="8">
        <f>+(37+21/60+34/3600)</f>
        <v>37.359444444444449</v>
      </c>
      <c r="R6039" s="8">
        <v>13.5</v>
      </c>
      <c r="S6039" s="8">
        <v>14.2</v>
      </c>
      <c r="T6039" s="8">
        <v>0.7</v>
      </c>
      <c r="U6039" s="8">
        <v>13.6</v>
      </c>
      <c r="V6039" s="8">
        <v>1.1000000000000001</v>
      </c>
      <c r="W6039" s="8">
        <v>1.1000000000000001</v>
      </c>
      <c r="Y6039" s="8" t="s">
        <v>26914</v>
      </c>
      <c r="Z6039" s="8" t="s">
        <v>26915</v>
      </c>
    </row>
    <row r="6040" spans="1:26" x14ac:dyDescent="0.2">
      <c r="A6040" s="8">
        <v>6039</v>
      </c>
      <c r="B6040" s="8" t="s">
        <v>26916</v>
      </c>
      <c r="C6040" s="8" t="s">
        <v>26916</v>
      </c>
      <c r="F6040" s="47"/>
      <c r="G6040" s="8">
        <v>19</v>
      </c>
      <c r="H6040" s="8" t="s">
        <v>21</v>
      </c>
      <c r="I6040" s="8" t="s">
        <v>22</v>
      </c>
      <c r="J6040" s="8" t="s">
        <v>57</v>
      </c>
      <c r="K6040" s="8" t="s">
        <v>58</v>
      </c>
      <c r="L6040" s="8" t="s">
        <v>26804</v>
      </c>
      <c r="M6040" s="8" t="s">
        <v>26805</v>
      </c>
      <c r="N6040" s="8" t="s">
        <v>26917</v>
      </c>
      <c r="O6040" s="8">
        <f>16+4/60+39.5/3600</f>
        <v>16.077638888888888</v>
      </c>
      <c r="P6040" s="8" t="s">
        <v>26918</v>
      </c>
      <c r="Q6040" s="8">
        <f>+(17+42/60+1/3600)</f>
        <v>17.700277777777778</v>
      </c>
      <c r="R6040" s="8">
        <v>14</v>
      </c>
      <c r="S6040" s="8">
        <v>14.9</v>
      </c>
      <c r="T6040" s="8">
        <v>0.9</v>
      </c>
      <c r="U6040" s="8">
        <v>13.3</v>
      </c>
      <c r="V6040" s="8">
        <v>0.8</v>
      </c>
      <c r="W6040" s="8">
        <v>0.7</v>
      </c>
      <c r="X6040" s="8">
        <v>65</v>
      </c>
      <c r="Y6040" s="8" t="s">
        <v>26919</v>
      </c>
      <c r="Z6040" s="8" t="s">
        <v>26920</v>
      </c>
    </row>
    <row r="6041" spans="1:26" x14ac:dyDescent="0.2">
      <c r="A6041" s="8">
        <v>6040</v>
      </c>
      <c r="B6041" s="8" t="s">
        <v>26921</v>
      </c>
      <c r="C6041" s="8" t="s">
        <v>26921</v>
      </c>
      <c r="D6041" s="8" t="s">
        <v>351</v>
      </c>
      <c r="F6041" s="47"/>
      <c r="G6041" s="8">
        <v>18</v>
      </c>
      <c r="H6041" s="8" t="s">
        <v>21</v>
      </c>
      <c r="I6041" s="8" t="s">
        <v>22</v>
      </c>
      <c r="J6041" s="8" t="s">
        <v>22</v>
      </c>
      <c r="K6041" s="8" t="s">
        <v>64</v>
      </c>
      <c r="L6041" s="8" t="s">
        <v>26804</v>
      </c>
      <c r="M6041" s="8" t="s">
        <v>26805</v>
      </c>
      <c r="N6041" s="8" t="s">
        <v>26922</v>
      </c>
      <c r="O6041" s="8">
        <f>16+4/60+26.7/3600</f>
        <v>16.074083333333334</v>
      </c>
      <c r="P6041" s="8" t="s">
        <v>26923</v>
      </c>
      <c r="Q6041" s="8">
        <f>+(17+45/60+0/3600)</f>
        <v>17.75</v>
      </c>
      <c r="R6041" s="8">
        <v>14.2</v>
      </c>
      <c r="S6041" s="8">
        <v>15.1</v>
      </c>
      <c r="T6041" s="8">
        <v>0.9</v>
      </c>
      <c r="U6041" s="8">
        <v>13.6</v>
      </c>
      <c r="V6041" s="8">
        <v>1.3</v>
      </c>
      <c r="W6041" s="8">
        <v>0.7</v>
      </c>
      <c r="X6041" s="8">
        <v>42</v>
      </c>
      <c r="Y6041" s="8" t="s">
        <v>26924</v>
      </c>
      <c r="Z6041" s="8" t="s">
        <v>26925</v>
      </c>
    </row>
    <row r="6042" spans="1:26" x14ac:dyDescent="0.2">
      <c r="A6042" s="8">
        <v>6041</v>
      </c>
      <c r="B6042" s="8" t="s">
        <v>26926</v>
      </c>
      <c r="C6042" s="8" t="s">
        <v>26926</v>
      </c>
      <c r="D6042" s="8" t="s">
        <v>351</v>
      </c>
      <c r="F6042" s="47"/>
      <c r="G6042" s="8">
        <v>18</v>
      </c>
      <c r="H6042" s="8" t="s">
        <v>21</v>
      </c>
      <c r="I6042" s="8" t="s">
        <v>22</v>
      </c>
      <c r="J6042" s="8" t="s">
        <v>22</v>
      </c>
      <c r="K6042" s="8" t="s">
        <v>58</v>
      </c>
      <c r="L6042" s="8" t="s">
        <v>26804</v>
      </c>
      <c r="M6042" s="8" t="s">
        <v>26805</v>
      </c>
      <c r="N6042" s="8" t="s">
        <v>26927</v>
      </c>
      <c r="O6042" s="8">
        <f>16+4/60+35.8/3600</f>
        <v>16.076611111111109</v>
      </c>
      <c r="P6042" s="8" t="s">
        <v>26928</v>
      </c>
      <c r="Q6042" s="8">
        <f>+(17+43/60+17/3600)</f>
        <v>17.721388888888889</v>
      </c>
      <c r="R6042" s="8">
        <v>13.3</v>
      </c>
      <c r="S6042" s="8">
        <v>14.4</v>
      </c>
      <c r="T6042" s="8">
        <v>1.1000000000000001</v>
      </c>
      <c r="U6042" s="8">
        <v>13.5</v>
      </c>
      <c r="V6042" s="8">
        <v>1.3</v>
      </c>
      <c r="W6042" s="8">
        <v>1.1000000000000001</v>
      </c>
      <c r="X6042" s="8">
        <v>36</v>
      </c>
      <c r="Y6042" s="8" t="s">
        <v>282</v>
      </c>
      <c r="Z6042" s="8" t="s">
        <v>4066</v>
      </c>
    </row>
    <row r="6043" spans="1:26" x14ac:dyDescent="0.2">
      <c r="A6043" s="8">
        <v>6042</v>
      </c>
      <c r="B6043" s="8" t="s">
        <v>26929</v>
      </c>
      <c r="C6043" s="8" t="s">
        <v>26929</v>
      </c>
      <c r="F6043" s="47"/>
      <c r="G6043" s="8">
        <v>18</v>
      </c>
      <c r="H6043" s="8" t="s">
        <v>21</v>
      </c>
      <c r="I6043" s="8" t="s">
        <v>22</v>
      </c>
      <c r="J6043" s="8" t="s">
        <v>22</v>
      </c>
      <c r="K6043" s="8" t="s">
        <v>58</v>
      </c>
      <c r="L6043" s="8" t="s">
        <v>26804</v>
      </c>
      <c r="M6043" s="8" t="s">
        <v>26805</v>
      </c>
      <c r="N6043" s="8" t="s">
        <v>26917</v>
      </c>
      <c r="O6043" s="8">
        <f>16+4/60+39.5/3600</f>
        <v>16.077638888888888</v>
      </c>
      <c r="P6043" s="8" t="s">
        <v>26918</v>
      </c>
      <c r="Q6043" s="8">
        <f>+(17+42/60+1/3600)</f>
        <v>17.700277777777778</v>
      </c>
      <c r="R6043" s="8">
        <v>14</v>
      </c>
      <c r="S6043" s="8">
        <v>14.9</v>
      </c>
      <c r="T6043" s="8">
        <v>0.9</v>
      </c>
      <c r="U6043" s="8">
        <v>13.3</v>
      </c>
      <c r="V6043" s="8">
        <v>0.8</v>
      </c>
      <c r="W6043" s="8">
        <v>0.7</v>
      </c>
      <c r="X6043" s="8">
        <v>65</v>
      </c>
      <c r="Y6043" s="8" t="s">
        <v>26919</v>
      </c>
      <c r="Z6043" s="8" t="s">
        <v>283</v>
      </c>
    </row>
    <row r="6044" spans="1:26" x14ac:dyDescent="0.2">
      <c r="A6044" s="8">
        <v>6043</v>
      </c>
      <c r="B6044" s="8" t="s">
        <v>26930</v>
      </c>
      <c r="C6044" s="8" t="s">
        <v>26930</v>
      </c>
      <c r="D6044" s="8" t="s">
        <v>351</v>
      </c>
      <c r="F6044" s="47"/>
      <c r="G6044" s="8">
        <v>19</v>
      </c>
      <c r="H6044" s="8" t="s">
        <v>21</v>
      </c>
      <c r="I6044" s="8" t="s">
        <v>22</v>
      </c>
      <c r="J6044" s="8" t="s">
        <v>22</v>
      </c>
      <c r="K6044" s="8" t="s">
        <v>224</v>
      </c>
      <c r="L6044" s="8" t="s">
        <v>26804</v>
      </c>
      <c r="M6044" s="8" t="s">
        <v>26805</v>
      </c>
      <c r="N6044" s="8" t="s">
        <v>26931</v>
      </c>
      <c r="O6044" s="8">
        <f>16+5/60+1.5/3600</f>
        <v>16.083749999999998</v>
      </c>
      <c r="P6044" s="8" t="s">
        <v>26932</v>
      </c>
      <c r="Q6044" s="8">
        <f>+(17+46/60+33/3600)</f>
        <v>17.775833333333331</v>
      </c>
      <c r="R6044" s="8">
        <v>14.3</v>
      </c>
      <c r="S6044" s="8">
        <v>15.3</v>
      </c>
      <c r="T6044" s="8">
        <v>1</v>
      </c>
      <c r="U6044" s="8">
        <v>12.8</v>
      </c>
      <c r="V6044" s="8">
        <v>0.7</v>
      </c>
      <c r="W6044" s="8">
        <v>0.4</v>
      </c>
      <c r="X6044" s="8">
        <v>55</v>
      </c>
      <c r="Y6044" s="8" t="s">
        <v>26933</v>
      </c>
      <c r="Z6044" s="8" t="s">
        <v>26934</v>
      </c>
    </row>
    <row r="6045" spans="1:26" x14ac:dyDescent="0.2">
      <c r="A6045" s="8">
        <v>6044</v>
      </c>
      <c r="B6045" s="8" t="s">
        <v>26935</v>
      </c>
      <c r="C6045" s="8" t="s">
        <v>26935</v>
      </c>
      <c r="F6045" s="47"/>
      <c r="G6045" s="8">
        <v>19</v>
      </c>
      <c r="H6045" s="8" t="s">
        <v>21</v>
      </c>
      <c r="I6045" s="8" t="s">
        <v>22</v>
      </c>
      <c r="J6045" s="8" t="s">
        <v>22</v>
      </c>
      <c r="K6045" s="8" t="s">
        <v>37</v>
      </c>
      <c r="L6045" s="8" t="s">
        <v>26804</v>
      </c>
      <c r="M6045" s="8" t="s">
        <v>26805</v>
      </c>
      <c r="N6045" s="8" t="s">
        <v>26936</v>
      </c>
      <c r="O6045" s="8">
        <f>16+4/60+59.6/3600</f>
        <v>16.083222222222222</v>
      </c>
      <c r="P6045" s="8" t="s">
        <v>26937</v>
      </c>
      <c r="Q6045" s="8">
        <f>+(17+52/60+13/3600)</f>
        <v>17.87027777777778</v>
      </c>
      <c r="R6045" s="8">
        <v>14.3</v>
      </c>
      <c r="S6045" s="8">
        <v>15.3</v>
      </c>
      <c r="T6045" s="8">
        <v>1</v>
      </c>
      <c r="U6045" s="8">
        <v>13</v>
      </c>
      <c r="V6045" s="8">
        <v>0.6</v>
      </c>
      <c r="W6045" s="8">
        <v>0.6</v>
      </c>
      <c r="Y6045" s="8" t="s">
        <v>26938</v>
      </c>
      <c r="Z6045" s="8" t="s">
        <v>26939</v>
      </c>
    </row>
    <row r="6046" spans="1:26" x14ac:dyDescent="0.2">
      <c r="A6046" s="8">
        <v>6045</v>
      </c>
      <c r="B6046" s="8" t="s">
        <v>26940</v>
      </c>
      <c r="C6046" s="8" t="s">
        <v>26940</v>
      </c>
      <c r="D6046" s="8" t="s">
        <v>351</v>
      </c>
      <c r="F6046" s="47"/>
      <c r="G6046" s="8">
        <v>19</v>
      </c>
      <c r="H6046" s="8" t="s">
        <v>21</v>
      </c>
      <c r="I6046" s="8" t="s">
        <v>22</v>
      </c>
      <c r="J6046" s="8" t="s">
        <v>22</v>
      </c>
      <c r="K6046" s="8" t="s">
        <v>64</v>
      </c>
      <c r="L6046" s="8" t="s">
        <v>26804</v>
      </c>
      <c r="M6046" s="8" t="s">
        <v>26805</v>
      </c>
      <c r="N6046" s="8" t="s">
        <v>26941</v>
      </c>
      <c r="O6046" s="8">
        <f>16+5/60+8/3600</f>
        <v>16.085555555555555</v>
      </c>
      <c r="P6046" s="8" t="s">
        <v>26942</v>
      </c>
      <c r="Q6046" s="8">
        <f>+(17+45/60+29/3600)</f>
        <v>17.758055555555554</v>
      </c>
      <c r="R6046" s="8">
        <v>13.9</v>
      </c>
      <c r="S6046" s="8">
        <v>14.9</v>
      </c>
      <c r="T6046" s="8">
        <v>1</v>
      </c>
      <c r="U6046" s="8">
        <v>12.8</v>
      </c>
      <c r="V6046" s="8">
        <v>1.3</v>
      </c>
      <c r="W6046" s="8">
        <v>0.3</v>
      </c>
      <c r="X6046" s="8">
        <v>82</v>
      </c>
      <c r="Y6046" s="8" t="s">
        <v>369</v>
      </c>
      <c r="Z6046" s="8" t="s">
        <v>370</v>
      </c>
    </row>
    <row r="6047" spans="1:26" x14ac:dyDescent="0.2">
      <c r="A6047" s="8">
        <v>6046</v>
      </c>
      <c r="B6047" s="8" t="s">
        <v>26943</v>
      </c>
      <c r="C6047" s="8" t="s">
        <v>26943</v>
      </c>
      <c r="F6047" s="47" t="s">
        <v>58125</v>
      </c>
      <c r="G6047" s="8">
        <v>15</v>
      </c>
      <c r="H6047" s="8" t="s">
        <v>21</v>
      </c>
      <c r="I6047" s="8" t="s">
        <v>22</v>
      </c>
      <c r="J6047" s="8" t="s">
        <v>22</v>
      </c>
      <c r="K6047" s="8" t="s">
        <v>632</v>
      </c>
      <c r="L6047" s="8" t="s">
        <v>26804</v>
      </c>
      <c r="M6047" s="8" t="s">
        <v>26805</v>
      </c>
      <c r="N6047" s="8" t="s">
        <v>26872</v>
      </c>
      <c r="O6047" s="8">
        <f>16+1/60+29.1/3600</f>
        <v>16.024749999999997</v>
      </c>
      <c r="P6047" s="8" t="s">
        <v>26873</v>
      </c>
      <c r="Q6047" s="8">
        <f>+(19+21/60+34/3600)</f>
        <v>19.359444444444446</v>
      </c>
      <c r="R6047" s="8">
        <v>13.5</v>
      </c>
      <c r="S6047" s="8">
        <v>14.4</v>
      </c>
      <c r="T6047" s="8">
        <v>0.9</v>
      </c>
      <c r="U6047" s="8">
        <v>13.8</v>
      </c>
      <c r="V6047" s="8">
        <v>1.3</v>
      </c>
      <c r="W6047" s="8">
        <v>1.1000000000000001</v>
      </c>
      <c r="X6047" s="8">
        <v>30</v>
      </c>
      <c r="Y6047" s="8" t="s">
        <v>26874</v>
      </c>
      <c r="Z6047" s="8" t="s">
        <v>26944</v>
      </c>
    </row>
    <row r="6048" spans="1:26" x14ac:dyDescent="0.2">
      <c r="A6048" s="8">
        <v>6047</v>
      </c>
      <c r="B6048" s="8" t="s">
        <v>26945</v>
      </c>
      <c r="C6048" s="8" t="s">
        <v>26945</v>
      </c>
      <c r="F6048" s="47"/>
      <c r="G6048" s="8">
        <v>19</v>
      </c>
      <c r="H6048" s="8" t="s">
        <v>21</v>
      </c>
      <c r="I6048" s="8" t="s">
        <v>22</v>
      </c>
      <c r="J6048" s="8" t="s">
        <v>22</v>
      </c>
      <c r="K6048" s="8" t="s">
        <v>382</v>
      </c>
      <c r="L6048" s="8" t="s">
        <v>26804</v>
      </c>
      <c r="M6048" s="8" t="s">
        <v>26805</v>
      </c>
      <c r="N6048" s="8" t="s">
        <v>26946</v>
      </c>
      <c r="O6048" s="8">
        <f>16+5/60+9/3600</f>
        <v>16.085833333333333</v>
      </c>
      <c r="P6048" s="8" t="s">
        <v>26947</v>
      </c>
      <c r="Q6048" s="8">
        <f>+(17+43/60+47/3600)</f>
        <v>17.729722222222222</v>
      </c>
      <c r="R6048" s="8">
        <v>13.5</v>
      </c>
      <c r="S6048" s="8">
        <v>14.6</v>
      </c>
      <c r="T6048" s="8">
        <v>1.1000000000000001</v>
      </c>
      <c r="U6048" s="8">
        <v>13.4</v>
      </c>
      <c r="V6048" s="8">
        <v>1.1000000000000001</v>
      </c>
      <c r="W6048" s="8">
        <v>0.8</v>
      </c>
      <c r="X6048" s="8">
        <v>90</v>
      </c>
      <c r="Y6048" s="8" t="s">
        <v>26948</v>
      </c>
      <c r="Z6048" s="8" t="s">
        <v>26949</v>
      </c>
    </row>
    <row r="6049" spans="1:26" x14ac:dyDescent="0.2">
      <c r="A6049" s="8">
        <v>6048</v>
      </c>
      <c r="B6049" s="8" t="s">
        <v>26950</v>
      </c>
      <c r="C6049" s="8" t="s">
        <v>26950</v>
      </c>
      <c r="F6049" s="47" t="s">
        <v>58126</v>
      </c>
      <c r="G6049" s="8">
        <v>15</v>
      </c>
      <c r="H6049" s="8" t="s">
        <v>21</v>
      </c>
      <c r="I6049" s="8" t="s">
        <v>22</v>
      </c>
      <c r="J6049" s="8" t="s">
        <v>22</v>
      </c>
      <c r="K6049" s="8" t="s">
        <v>1136</v>
      </c>
      <c r="L6049" s="8" t="s">
        <v>14586</v>
      </c>
      <c r="M6049" s="8" t="s">
        <v>14587</v>
      </c>
      <c r="N6049" s="8" t="s">
        <v>26951</v>
      </c>
      <c r="O6049" s="8">
        <f>15+57/60+30.2/3600</f>
        <v>15.958388888888889</v>
      </c>
      <c r="P6049" s="8" t="s">
        <v>26952</v>
      </c>
      <c r="Q6049" s="8">
        <f>+(70+41/60+20/3600)</f>
        <v>70.688888888888897</v>
      </c>
      <c r="R6049" s="8">
        <v>12.3</v>
      </c>
      <c r="S6049" s="8">
        <v>13.3</v>
      </c>
      <c r="T6049" s="8">
        <v>1</v>
      </c>
      <c r="U6049" s="8">
        <v>13.8</v>
      </c>
      <c r="V6049" s="8">
        <v>2.2000000000000002</v>
      </c>
      <c r="W6049" s="8">
        <v>1.7</v>
      </c>
      <c r="X6049" s="8">
        <v>140</v>
      </c>
      <c r="Y6049" s="8" t="s">
        <v>11395</v>
      </c>
      <c r="Z6049" s="8" t="s">
        <v>11396</v>
      </c>
    </row>
    <row r="6050" spans="1:26" x14ac:dyDescent="0.2">
      <c r="A6050" s="8">
        <v>6049</v>
      </c>
      <c r="B6050" s="8" t="s">
        <v>26953</v>
      </c>
      <c r="C6050" s="8" t="s">
        <v>26953</v>
      </c>
      <c r="F6050" s="47"/>
      <c r="G6050" s="8">
        <v>16</v>
      </c>
      <c r="H6050" s="8" t="s">
        <v>21</v>
      </c>
      <c r="I6050" s="8" t="s">
        <v>72</v>
      </c>
      <c r="J6050" s="8" t="s">
        <v>72</v>
      </c>
      <c r="K6050" s="8" t="s">
        <v>20</v>
      </c>
      <c r="L6050" s="8" t="s">
        <v>26227</v>
      </c>
      <c r="M6050" s="8" t="s">
        <v>26228</v>
      </c>
      <c r="N6050" s="8" t="s">
        <v>26954</v>
      </c>
      <c r="O6050" s="8">
        <f>16+5/60+37.8/3600</f>
        <v>16.093833333333333</v>
      </c>
      <c r="P6050" s="8" t="s">
        <v>26955</v>
      </c>
      <c r="Q6050" s="8">
        <f>+(8+5/60+48/3600)</f>
        <v>8.0966666666666676</v>
      </c>
      <c r="R6050" s="8">
        <v>99</v>
      </c>
      <c r="S6050" s="8">
        <v>6.3</v>
      </c>
      <c r="T6050" s="8">
        <v>99</v>
      </c>
      <c r="U6050" s="8">
        <v>99</v>
      </c>
      <c r="Y6050" s="8" t="s">
        <v>26956</v>
      </c>
      <c r="Z6050" s="8" t="s">
        <v>26957</v>
      </c>
    </row>
    <row r="6051" spans="1:26" x14ac:dyDescent="0.2">
      <c r="A6051" s="8">
        <v>6050</v>
      </c>
      <c r="B6051" s="8" t="s">
        <v>26958</v>
      </c>
      <c r="C6051" s="8" t="s">
        <v>26958</v>
      </c>
      <c r="D6051" s="8" t="s">
        <v>351</v>
      </c>
      <c r="F6051" s="47"/>
      <c r="G6051" s="8">
        <v>19</v>
      </c>
      <c r="H6051" s="8" t="s">
        <v>21</v>
      </c>
      <c r="I6051" s="8" t="s">
        <v>22</v>
      </c>
      <c r="J6051" s="8" t="s">
        <v>22</v>
      </c>
      <c r="K6051" s="8" t="s">
        <v>64</v>
      </c>
      <c r="L6051" s="8" t="s">
        <v>26804</v>
      </c>
      <c r="M6051" s="8" t="s">
        <v>26805</v>
      </c>
      <c r="N6051" s="8" t="s">
        <v>26959</v>
      </c>
      <c r="O6051" s="8">
        <f>16+5/60+23.5/3600</f>
        <v>16.089861111111109</v>
      </c>
      <c r="P6051" s="8" t="s">
        <v>18935</v>
      </c>
      <c r="Q6051" s="8">
        <f>+(17+45/60+26/3600)</f>
        <v>17.757222222222222</v>
      </c>
      <c r="R6051" s="8">
        <v>14.7</v>
      </c>
      <c r="S6051" s="8">
        <v>15.4</v>
      </c>
      <c r="T6051" s="8">
        <v>0.7</v>
      </c>
      <c r="U6051" s="8">
        <v>13.9</v>
      </c>
      <c r="V6051" s="8">
        <v>0.9</v>
      </c>
      <c r="W6051" s="8">
        <v>0.6</v>
      </c>
      <c r="X6051" s="8">
        <v>132</v>
      </c>
      <c r="Y6051" s="8" t="s">
        <v>4937</v>
      </c>
      <c r="Z6051" s="8" t="s">
        <v>4938</v>
      </c>
    </row>
    <row r="6052" spans="1:26" x14ac:dyDescent="0.2">
      <c r="A6052" s="8">
        <v>6051</v>
      </c>
      <c r="B6052" s="8" t="s">
        <v>26960</v>
      </c>
      <c r="C6052" s="8" t="s">
        <v>26960</v>
      </c>
      <c r="F6052" s="47"/>
      <c r="G6052" s="8">
        <v>19</v>
      </c>
      <c r="H6052" s="8" t="s">
        <v>21</v>
      </c>
      <c r="I6052" s="8" t="s">
        <v>22</v>
      </c>
      <c r="J6052" s="8" t="s">
        <v>22</v>
      </c>
      <c r="K6052" s="8" t="s">
        <v>382</v>
      </c>
      <c r="L6052" s="8" t="s">
        <v>26227</v>
      </c>
      <c r="M6052" s="8" t="s">
        <v>26228</v>
      </c>
      <c r="N6052" s="8" t="s">
        <v>26961</v>
      </c>
      <c r="O6052" s="8">
        <f>16+4/60+56.6/3600</f>
        <v>16.08238888888889</v>
      </c>
      <c r="P6052" s="8" t="s">
        <v>26962</v>
      </c>
      <c r="Q6052" s="8">
        <f>+(23+55/60+56/3600)</f>
        <v>23.932222222222222</v>
      </c>
      <c r="R6052" s="8">
        <v>13.1</v>
      </c>
      <c r="S6052" s="8">
        <v>14.2</v>
      </c>
      <c r="T6052" s="8">
        <v>1.1000000000000001</v>
      </c>
      <c r="U6052" s="8">
        <v>13.1</v>
      </c>
      <c r="V6052" s="8">
        <v>1.6</v>
      </c>
      <c r="W6052" s="8">
        <v>1.1000000000000001</v>
      </c>
      <c r="X6052" s="8">
        <v>165</v>
      </c>
      <c r="Y6052" s="8" t="s">
        <v>26963</v>
      </c>
      <c r="Z6052" s="8" t="s">
        <v>26964</v>
      </c>
    </row>
    <row r="6053" spans="1:26" x14ac:dyDescent="0.2">
      <c r="A6053" s="8">
        <v>6052</v>
      </c>
      <c r="B6053" s="8" t="s">
        <v>26965</v>
      </c>
      <c r="C6053" s="8" t="s">
        <v>26965</v>
      </c>
      <c r="E6053" s="8">
        <v>2</v>
      </c>
      <c r="F6053" s="47"/>
      <c r="G6053" s="8">
        <v>13</v>
      </c>
      <c r="H6053" s="8" t="s">
        <v>21</v>
      </c>
      <c r="I6053" s="8" t="s">
        <v>22</v>
      </c>
      <c r="J6053" s="8" t="s">
        <v>57</v>
      </c>
      <c r="K6053" s="8" t="s">
        <v>124</v>
      </c>
      <c r="L6053" s="8" t="s">
        <v>26804</v>
      </c>
      <c r="M6053" s="8" t="s">
        <v>26805</v>
      </c>
      <c r="N6053" s="8" t="s">
        <v>26966</v>
      </c>
      <c r="O6053" s="8">
        <f>16+5/60+13.2/3600</f>
        <v>16.087</v>
      </c>
      <c r="P6053" s="8" t="s">
        <v>26967</v>
      </c>
      <c r="Q6053" s="8">
        <f>+(20+32/60+32/3600)</f>
        <v>20.542222222222225</v>
      </c>
      <c r="R6053" s="8">
        <v>13</v>
      </c>
      <c r="S6053" s="8">
        <v>13.8</v>
      </c>
      <c r="T6053" s="8">
        <v>0.8</v>
      </c>
      <c r="U6053" s="8">
        <v>12.3</v>
      </c>
      <c r="V6053" s="8">
        <v>0.8</v>
      </c>
      <c r="W6053" s="8">
        <v>0.3</v>
      </c>
      <c r="X6053" s="8">
        <v>175</v>
      </c>
      <c r="Y6053" s="8" t="s">
        <v>26968</v>
      </c>
      <c r="Z6053" s="8" t="s">
        <v>26969</v>
      </c>
    </row>
    <row r="6054" spans="1:26" x14ac:dyDescent="0.2">
      <c r="A6054" s="8">
        <v>6053</v>
      </c>
      <c r="B6054" s="8" t="s">
        <v>26970</v>
      </c>
      <c r="C6054" s="8" t="s">
        <v>26970</v>
      </c>
      <c r="F6054" s="47"/>
      <c r="G6054" s="8">
        <v>19</v>
      </c>
      <c r="H6054" s="8" t="s">
        <v>21</v>
      </c>
      <c r="I6054" s="8" t="s">
        <v>22</v>
      </c>
      <c r="J6054" s="8" t="s">
        <v>57</v>
      </c>
      <c r="K6054" s="8" t="s">
        <v>1136</v>
      </c>
      <c r="L6054" s="8" t="s">
        <v>26804</v>
      </c>
      <c r="M6054" s="8" t="s">
        <v>26805</v>
      </c>
      <c r="N6054" s="8" t="s">
        <v>26971</v>
      </c>
      <c r="O6054" s="8">
        <f>16+5/60+39.5/3600</f>
        <v>16.094305555555554</v>
      </c>
      <c r="P6054" s="8" t="s">
        <v>26972</v>
      </c>
      <c r="Q6054" s="8">
        <f>+(18+9/60+53/3600)</f>
        <v>18.16472222222222</v>
      </c>
      <c r="R6054" s="8">
        <v>14.7</v>
      </c>
      <c r="S6054" s="8">
        <v>15.7</v>
      </c>
      <c r="T6054" s="8">
        <v>1</v>
      </c>
      <c r="U6054" s="8">
        <v>13.4</v>
      </c>
      <c r="V6054" s="8">
        <v>0.6</v>
      </c>
      <c r="W6054" s="8">
        <v>0.5</v>
      </c>
      <c r="X6054" s="8">
        <v>159</v>
      </c>
      <c r="Y6054" s="8" t="s">
        <v>4937</v>
      </c>
      <c r="Z6054" s="8" t="s">
        <v>4938</v>
      </c>
    </row>
    <row r="6055" spans="1:26" x14ac:dyDescent="0.2">
      <c r="A6055" s="8">
        <v>6054</v>
      </c>
      <c r="B6055" s="8" t="s">
        <v>26973</v>
      </c>
      <c r="C6055" s="8" t="s">
        <v>26973</v>
      </c>
      <c r="F6055" s="47"/>
      <c r="G6055" s="8">
        <v>19</v>
      </c>
      <c r="H6055" s="8" t="s">
        <v>21</v>
      </c>
      <c r="I6055" s="8" t="s">
        <v>22</v>
      </c>
      <c r="J6055" s="8" t="s">
        <v>22</v>
      </c>
      <c r="K6055" s="8" t="s">
        <v>224</v>
      </c>
      <c r="L6055" s="8" t="s">
        <v>26804</v>
      </c>
      <c r="M6055" s="8" t="s">
        <v>26805</v>
      </c>
      <c r="N6055" s="8" t="s">
        <v>26974</v>
      </c>
      <c r="O6055" s="8">
        <f>16+5/60+38.1/3600</f>
        <v>16.093916666666665</v>
      </c>
      <c r="P6055" s="8" t="s">
        <v>26975</v>
      </c>
      <c r="Q6055" s="8">
        <f>+(17+46/60+3/3600)</f>
        <v>17.767499999999998</v>
      </c>
      <c r="R6055" s="8">
        <v>14.2</v>
      </c>
      <c r="S6055" s="8">
        <v>15.3</v>
      </c>
      <c r="T6055" s="8">
        <v>1.1000000000000001</v>
      </c>
      <c r="U6055" s="8">
        <v>12.9</v>
      </c>
      <c r="V6055" s="8">
        <v>0.8</v>
      </c>
      <c r="W6055" s="8">
        <v>0.4</v>
      </c>
      <c r="X6055" s="8">
        <v>65</v>
      </c>
      <c r="Y6055" s="8" t="s">
        <v>26976</v>
      </c>
      <c r="Z6055" s="8" t="s">
        <v>26977</v>
      </c>
    </row>
    <row r="6056" spans="1:26" x14ac:dyDescent="0.2">
      <c r="A6056" s="8">
        <v>6055</v>
      </c>
      <c r="B6056" s="8" t="s">
        <v>26978</v>
      </c>
      <c r="C6056" s="8" t="s">
        <v>26978</v>
      </c>
      <c r="F6056" s="47"/>
      <c r="G6056" s="8">
        <v>19</v>
      </c>
      <c r="H6056" s="8" t="s">
        <v>21</v>
      </c>
      <c r="I6056" s="8" t="s">
        <v>22</v>
      </c>
      <c r="J6056" s="8" t="s">
        <v>22</v>
      </c>
      <c r="K6056" s="8" t="s">
        <v>224</v>
      </c>
      <c r="L6056" s="8" t="s">
        <v>26804</v>
      </c>
      <c r="M6056" s="8" t="s">
        <v>26805</v>
      </c>
      <c r="N6056" s="8" t="s">
        <v>26979</v>
      </c>
      <c r="O6056" s="8">
        <f>16+5/60+32.7/3600</f>
        <v>16.092416666666665</v>
      </c>
      <c r="P6056" s="8" t="s">
        <v>26980</v>
      </c>
      <c r="Q6056" s="8">
        <f>+(18+9/60+34/3600)</f>
        <v>18.159444444444443</v>
      </c>
      <c r="R6056" s="8">
        <v>13.7</v>
      </c>
      <c r="S6056" s="8">
        <v>14.8</v>
      </c>
      <c r="T6056" s="8">
        <v>1.1000000000000001</v>
      </c>
      <c r="U6056" s="8">
        <v>13</v>
      </c>
      <c r="V6056" s="8">
        <v>1</v>
      </c>
      <c r="W6056" s="8">
        <v>0.6</v>
      </c>
      <c r="X6056" s="8">
        <v>40</v>
      </c>
      <c r="Y6056" s="8" t="s">
        <v>3161</v>
      </c>
      <c r="Z6056" s="8" t="s">
        <v>3162</v>
      </c>
    </row>
    <row r="6057" spans="1:26" x14ac:dyDescent="0.2">
      <c r="A6057" s="8">
        <v>6056</v>
      </c>
      <c r="B6057" s="8" t="s">
        <v>26981</v>
      </c>
      <c r="C6057" s="8" t="s">
        <v>26981</v>
      </c>
      <c r="F6057" s="47"/>
      <c r="G6057" s="8">
        <v>19</v>
      </c>
      <c r="H6057" s="8" t="s">
        <v>21</v>
      </c>
      <c r="I6057" s="8" t="s">
        <v>22</v>
      </c>
      <c r="J6057" s="8" t="s">
        <v>22</v>
      </c>
      <c r="K6057" s="8" t="s">
        <v>435</v>
      </c>
      <c r="L6057" s="8" t="s">
        <v>26804</v>
      </c>
      <c r="M6057" s="8" t="s">
        <v>26805</v>
      </c>
      <c r="N6057" s="8" t="s">
        <v>26982</v>
      </c>
      <c r="O6057" s="8">
        <f>16+5/60+31.1/3600</f>
        <v>16.091972222222221</v>
      </c>
      <c r="P6057" s="8" t="s">
        <v>26983</v>
      </c>
      <c r="Q6057" s="8">
        <f>+(17+57/60+46/3600)</f>
        <v>17.962777777777777</v>
      </c>
      <c r="R6057" s="8">
        <v>13.9</v>
      </c>
      <c r="S6057" s="8">
        <v>15</v>
      </c>
      <c r="T6057" s="8">
        <v>1.1000000000000001</v>
      </c>
      <c r="U6057" s="8">
        <v>12.9</v>
      </c>
      <c r="V6057" s="8">
        <v>0.9</v>
      </c>
      <c r="W6057" s="8">
        <v>0.5</v>
      </c>
      <c r="X6057" s="8">
        <v>56</v>
      </c>
      <c r="Y6057" s="8" t="s">
        <v>26984</v>
      </c>
      <c r="Z6057" s="8" t="s">
        <v>26985</v>
      </c>
    </row>
    <row r="6058" spans="1:26" x14ac:dyDescent="0.2">
      <c r="A6058" s="8">
        <v>6057</v>
      </c>
      <c r="B6058" s="8" t="s">
        <v>26986</v>
      </c>
      <c r="C6058" s="8" t="s">
        <v>26986</v>
      </c>
      <c r="F6058" s="47"/>
      <c r="G6058" s="8">
        <v>19</v>
      </c>
      <c r="H6058" s="8" t="s">
        <v>21</v>
      </c>
      <c r="I6058" s="8" t="s">
        <v>22</v>
      </c>
      <c r="J6058" s="8" t="s">
        <v>22</v>
      </c>
      <c r="K6058" s="8" t="s">
        <v>1136</v>
      </c>
      <c r="L6058" s="8" t="s">
        <v>26804</v>
      </c>
      <c r="M6058" s="8" t="s">
        <v>26805</v>
      </c>
      <c r="N6058" s="8" t="s">
        <v>26971</v>
      </c>
      <c r="O6058" s="8">
        <f>16+5/60+39.5/3600</f>
        <v>16.094305555555554</v>
      </c>
      <c r="P6058" s="8" t="s">
        <v>26972</v>
      </c>
      <c r="Q6058" s="8">
        <f>+(18+9/60+53/3600)</f>
        <v>18.16472222222222</v>
      </c>
      <c r="R6058" s="8">
        <v>14.7</v>
      </c>
      <c r="S6058" s="8">
        <v>15.7</v>
      </c>
      <c r="T6058" s="8">
        <v>1</v>
      </c>
      <c r="U6058" s="8">
        <v>13.4</v>
      </c>
      <c r="V6058" s="8">
        <v>0.6</v>
      </c>
      <c r="W6058" s="8">
        <v>0.5</v>
      </c>
      <c r="X6058" s="8">
        <v>159</v>
      </c>
      <c r="Y6058" s="8" t="s">
        <v>4937</v>
      </c>
      <c r="Z6058" s="8" t="s">
        <v>26987</v>
      </c>
    </row>
    <row r="6059" spans="1:26" x14ac:dyDescent="0.2">
      <c r="A6059" s="8">
        <v>6058</v>
      </c>
      <c r="B6059" s="8" t="s">
        <v>26988</v>
      </c>
      <c r="C6059" s="8" t="s">
        <v>26988</v>
      </c>
      <c r="F6059" s="47" t="s">
        <v>58127</v>
      </c>
      <c r="G6059" s="8">
        <v>6.5</v>
      </c>
      <c r="H6059" s="8" t="s">
        <v>21</v>
      </c>
      <c r="I6059" s="8" t="s">
        <v>241</v>
      </c>
      <c r="J6059" s="8" t="s">
        <v>241</v>
      </c>
      <c r="K6059" s="8" t="s">
        <v>241</v>
      </c>
      <c r="L6059" s="8" t="s">
        <v>26804</v>
      </c>
      <c r="M6059" s="8" t="s">
        <v>26805</v>
      </c>
      <c r="N6059" s="8" t="s">
        <v>26989</v>
      </c>
      <c r="O6059" s="8">
        <f>16+4/60+26.6/3600</f>
        <v>16.074055555555557</v>
      </c>
      <c r="P6059" s="8" t="s">
        <v>26990</v>
      </c>
      <c r="Q6059" s="8">
        <f>+(40+41/60+1/3600)</f>
        <v>40.683611111111105</v>
      </c>
      <c r="R6059" s="8">
        <v>12.9</v>
      </c>
      <c r="S6059" s="8">
        <v>13.3</v>
      </c>
      <c r="T6059" s="8">
        <v>99</v>
      </c>
      <c r="U6059" s="8">
        <v>99</v>
      </c>
      <c r="V6059" s="8">
        <v>0.67</v>
      </c>
      <c r="Y6059" s="8" t="s">
        <v>26991</v>
      </c>
      <c r="Z6059" s="8" t="s">
        <v>26992</v>
      </c>
    </row>
    <row r="6060" spans="1:26" x14ac:dyDescent="0.2">
      <c r="A6060" s="8">
        <v>6059</v>
      </c>
      <c r="B6060" s="8" t="s">
        <v>26993</v>
      </c>
      <c r="C6060" s="8" t="s">
        <v>26993</v>
      </c>
      <c r="F6060" s="47"/>
      <c r="G6060" s="8">
        <v>19</v>
      </c>
      <c r="H6060" s="8" t="s">
        <v>21</v>
      </c>
      <c r="I6060" s="8" t="s">
        <v>329</v>
      </c>
      <c r="J6060" s="8" t="s">
        <v>329</v>
      </c>
      <c r="K6060" s="8" t="s">
        <v>329</v>
      </c>
      <c r="L6060" s="8" t="s">
        <v>26994</v>
      </c>
      <c r="M6060" s="8" t="s">
        <v>26995</v>
      </c>
      <c r="N6060" s="8" t="s">
        <v>26996</v>
      </c>
      <c r="O6060" s="8">
        <f>16+7/60+13.2/3600</f>
        <v>16.120333333333335</v>
      </c>
      <c r="P6060" s="8" t="s">
        <v>26997</v>
      </c>
      <c r="Q6060" s="8">
        <f>-(6+24/60+47/3600)</f>
        <v>-6.4130555555555562</v>
      </c>
      <c r="R6060" s="8">
        <v>99</v>
      </c>
      <c r="S6060" s="8">
        <v>99</v>
      </c>
      <c r="T6060" s="8">
        <v>99</v>
      </c>
      <c r="U6060" s="8">
        <v>99</v>
      </c>
      <c r="Y6060" s="8" t="s">
        <v>170</v>
      </c>
      <c r="Z6060" s="8" t="s">
        <v>171</v>
      </c>
    </row>
    <row r="6061" spans="1:26" x14ac:dyDescent="0.2">
      <c r="A6061" s="8">
        <v>6060</v>
      </c>
      <c r="B6061" s="8" t="s">
        <v>26998</v>
      </c>
      <c r="C6061" s="8" t="s">
        <v>26998</v>
      </c>
      <c r="F6061" s="47"/>
      <c r="G6061" s="8">
        <v>18</v>
      </c>
      <c r="H6061" s="8" t="s">
        <v>21</v>
      </c>
      <c r="I6061" s="8" t="s">
        <v>22</v>
      </c>
      <c r="J6061" s="8" t="s">
        <v>22</v>
      </c>
      <c r="K6061" s="8" t="s">
        <v>64</v>
      </c>
      <c r="L6061" s="8" t="s">
        <v>26804</v>
      </c>
      <c r="M6061" s="8" t="s">
        <v>26805</v>
      </c>
      <c r="N6061" s="8" t="s">
        <v>26999</v>
      </c>
      <c r="O6061" s="8">
        <f>16+5/60+52.2/3600</f>
        <v>16.097833333333334</v>
      </c>
      <c r="P6061" s="8" t="s">
        <v>27000</v>
      </c>
      <c r="Q6061" s="8">
        <f>+(21+29/60+4/3600)</f>
        <v>21.484444444444446</v>
      </c>
      <c r="R6061" s="8">
        <v>13.1</v>
      </c>
      <c r="S6061" s="8">
        <v>13.8</v>
      </c>
      <c r="T6061" s="8">
        <v>0.7</v>
      </c>
      <c r="U6061" s="8">
        <v>13.8</v>
      </c>
      <c r="V6061" s="8">
        <v>2</v>
      </c>
      <c r="W6061" s="8">
        <v>1.1000000000000001</v>
      </c>
      <c r="X6061" s="8">
        <v>105</v>
      </c>
      <c r="Y6061" s="8" t="s">
        <v>27001</v>
      </c>
      <c r="Z6061" s="8" t="s">
        <v>27002</v>
      </c>
    </row>
    <row r="6062" spans="1:26" x14ac:dyDescent="0.2">
      <c r="A6062" s="8">
        <v>6061</v>
      </c>
      <c r="B6062" s="8" t="s">
        <v>27003</v>
      </c>
      <c r="C6062" s="8" t="s">
        <v>27003</v>
      </c>
      <c r="F6062" s="47"/>
      <c r="G6062" s="8">
        <v>19</v>
      </c>
      <c r="H6062" s="8" t="s">
        <v>21</v>
      </c>
      <c r="I6062" s="8" t="s">
        <v>22</v>
      </c>
      <c r="J6062" s="8" t="s">
        <v>22</v>
      </c>
      <c r="K6062" s="8" t="s">
        <v>58</v>
      </c>
      <c r="L6062" s="8" t="s">
        <v>26804</v>
      </c>
      <c r="M6062" s="8" t="s">
        <v>26805</v>
      </c>
      <c r="N6062" s="8" t="s">
        <v>27004</v>
      </c>
      <c r="O6062" s="8">
        <f>16+6/60+16.1/3600</f>
        <v>16.104472222222224</v>
      </c>
      <c r="P6062" s="8" t="s">
        <v>27005</v>
      </c>
      <c r="Q6062" s="8">
        <f>+(18+15/60+0/3600)</f>
        <v>18.25</v>
      </c>
      <c r="R6062" s="8">
        <v>13.6</v>
      </c>
      <c r="S6062" s="8">
        <v>14.7</v>
      </c>
      <c r="T6062" s="8">
        <v>1.1000000000000001</v>
      </c>
      <c r="U6062" s="8">
        <v>13.3</v>
      </c>
      <c r="V6062" s="8">
        <v>1</v>
      </c>
      <c r="W6062" s="8">
        <v>0.8</v>
      </c>
      <c r="X6062" s="8">
        <v>66</v>
      </c>
      <c r="Y6062" s="8" t="s">
        <v>27006</v>
      </c>
      <c r="Z6062" s="8" t="s">
        <v>27007</v>
      </c>
    </row>
    <row r="6063" spans="1:26" x14ac:dyDescent="0.2">
      <c r="A6063" s="8">
        <v>6062</v>
      </c>
      <c r="B6063" s="8" t="s">
        <v>27008</v>
      </c>
      <c r="C6063" s="8" t="s">
        <v>27008</v>
      </c>
      <c r="F6063" s="47"/>
      <c r="G6063" s="8">
        <v>19</v>
      </c>
      <c r="H6063" s="8" t="s">
        <v>21</v>
      </c>
      <c r="I6063" s="8" t="s">
        <v>22</v>
      </c>
      <c r="J6063" s="8" t="s">
        <v>22</v>
      </c>
      <c r="K6063" s="8" t="s">
        <v>85</v>
      </c>
      <c r="L6063" s="8" t="s">
        <v>26804</v>
      </c>
      <c r="M6063" s="8" t="s">
        <v>26805</v>
      </c>
      <c r="N6063" s="8" t="s">
        <v>27009</v>
      </c>
      <c r="O6063" s="8">
        <f>16+6/60+22.9/3600</f>
        <v>16.106361111111113</v>
      </c>
      <c r="P6063" s="8" t="s">
        <v>27010</v>
      </c>
      <c r="Q6063" s="8">
        <f>+(19+46/60+37/3600)</f>
        <v>19.776944444444442</v>
      </c>
      <c r="R6063" s="8">
        <v>13.6</v>
      </c>
      <c r="S6063" s="8">
        <v>14.2</v>
      </c>
      <c r="T6063" s="8">
        <v>0.6</v>
      </c>
      <c r="U6063" s="8">
        <v>13.5</v>
      </c>
      <c r="V6063" s="8">
        <v>1.2</v>
      </c>
      <c r="W6063" s="8">
        <v>0.9</v>
      </c>
      <c r="X6063" s="8">
        <v>10</v>
      </c>
      <c r="Y6063" s="8" t="s">
        <v>27011</v>
      </c>
      <c r="Z6063" s="8" t="s">
        <v>27012</v>
      </c>
    </row>
    <row r="6064" spans="1:26" x14ac:dyDescent="0.2">
      <c r="A6064" s="8">
        <v>6063</v>
      </c>
      <c r="B6064" s="8" t="s">
        <v>27013</v>
      </c>
      <c r="C6064" s="8" t="s">
        <v>27013</v>
      </c>
      <c r="F6064" s="47"/>
      <c r="G6064" s="8">
        <v>19</v>
      </c>
      <c r="H6064" s="8" t="s">
        <v>21</v>
      </c>
      <c r="I6064" s="8" t="s">
        <v>22</v>
      </c>
      <c r="J6064" s="8" t="s">
        <v>22</v>
      </c>
      <c r="K6064" s="8" t="s">
        <v>160</v>
      </c>
      <c r="L6064" s="8" t="s">
        <v>26227</v>
      </c>
      <c r="M6064" s="8" t="s">
        <v>26228</v>
      </c>
      <c r="N6064" s="8" t="s">
        <v>27014</v>
      </c>
      <c r="O6064" s="8">
        <f>16+7/60+13.1/3600</f>
        <v>16.120305555555557</v>
      </c>
      <c r="P6064" s="8" t="s">
        <v>27015</v>
      </c>
      <c r="Q6064" s="8">
        <f>+(7+58/60+46/3600)</f>
        <v>7.9794444444444448</v>
      </c>
      <c r="R6064" s="8">
        <v>13.1</v>
      </c>
      <c r="S6064" s="8">
        <v>13.8</v>
      </c>
      <c r="T6064" s="8">
        <v>0.7</v>
      </c>
      <c r="U6064" s="8">
        <v>13.4</v>
      </c>
      <c r="V6064" s="8">
        <v>1.7</v>
      </c>
      <c r="W6064" s="8">
        <v>0.9</v>
      </c>
      <c r="X6064" s="8">
        <v>159</v>
      </c>
      <c r="Y6064" s="8" t="s">
        <v>9267</v>
      </c>
      <c r="Z6064" s="8" t="s">
        <v>9268</v>
      </c>
    </row>
    <row r="6065" spans="1:26" x14ac:dyDescent="0.2">
      <c r="A6065" s="8">
        <v>6064</v>
      </c>
      <c r="B6065" s="8" t="s">
        <v>27016</v>
      </c>
      <c r="C6065" s="8" t="s">
        <v>27016</v>
      </c>
      <c r="E6065" s="8">
        <v>2</v>
      </c>
      <c r="F6065" s="47" t="s">
        <v>58128</v>
      </c>
      <c r="G6065" s="8">
        <v>15</v>
      </c>
      <c r="H6065" s="8" t="s">
        <v>21</v>
      </c>
      <c r="I6065" s="8" t="s">
        <v>22</v>
      </c>
      <c r="J6065" s="8" t="s">
        <v>22</v>
      </c>
      <c r="K6065" s="8" t="s">
        <v>124</v>
      </c>
      <c r="L6065" s="8" t="s">
        <v>26804</v>
      </c>
      <c r="M6065" s="8" t="s">
        <v>26805</v>
      </c>
      <c r="N6065" s="8" t="s">
        <v>26966</v>
      </c>
      <c r="O6065" s="8">
        <f>16+5/60+13.2/3600</f>
        <v>16.087</v>
      </c>
      <c r="P6065" s="8" t="s">
        <v>26967</v>
      </c>
      <c r="Q6065" s="8">
        <f>+(20+32/60+32/3600)</f>
        <v>20.542222222222225</v>
      </c>
      <c r="R6065" s="8">
        <v>13</v>
      </c>
      <c r="S6065" s="8">
        <v>13.8</v>
      </c>
      <c r="T6065" s="8">
        <v>0.8</v>
      </c>
      <c r="U6065" s="8">
        <v>12.3</v>
      </c>
      <c r="V6065" s="8">
        <v>0.8</v>
      </c>
      <c r="W6065" s="8">
        <v>0.3</v>
      </c>
      <c r="X6065" s="8">
        <v>175</v>
      </c>
      <c r="Y6065" s="8" t="s">
        <v>26968</v>
      </c>
      <c r="Z6065" s="8" t="s">
        <v>27017</v>
      </c>
    </row>
    <row r="6066" spans="1:26" x14ac:dyDescent="0.2">
      <c r="A6066" s="8">
        <v>6065</v>
      </c>
      <c r="B6066" s="8" t="s">
        <v>27018</v>
      </c>
      <c r="C6066" s="8" t="s">
        <v>27018</v>
      </c>
      <c r="F6066" s="47"/>
      <c r="G6066" s="8">
        <v>19</v>
      </c>
      <c r="H6066" s="8" t="s">
        <v>21</v>
      </c>
      <c r="I6066" s="8" t="s">
        <v>22</v>
      </c>
      <c r="J6066" s="8" t="s">
        <v>22</v>
      </c>
      <c r="K6066" s="8" t="s">
        <v>37</v>
      </c>
      <c r="L6066" s="8" t="s">
        <v>26227</v>
      </c>
      <c r="M6066" s="8" t="s">
        <v>26228</v>
      </c>
      <c r="N6066" s="8" t="s">
        <v>27019</v>
      </c>
      <c r="O6066" s="8">
        <f>16+7/60+22.9/3600</f>
        <v>16.123027777777779</v>
      </c>
      <c r="P6066" s="8" t="s">
        <v>27020</v>
      </c>
      <c r="Q6066" s="8">
        <f>+(13+53/60+18/3600)</f>
        <v>13.888333333333334</v>
      </c>
      <c r="R6066" s="8">
        <v>14</v>
      </c>
      <c r="S6066" s="8">
        <v>15</v>
      </c>
      <c r="T6066" s="8">
        <v>1</v>
      </c>
      <c r="U6066" s="8">
        <v>13.1</v>
      </c>
      <c r="V6066" s="8">
        <v>0.8</v>
      </c>
      <c r="W6066" s="8">
        <v>0.6</v>
      </c>
      <c r="X6066" s="8">
        <v>6</v>
      </c>
      <c r="Y6066" s="8" t="s">
        <v>27021</v>
      </c>
      <c r="Z6066" s="8" t="s">
        <v>16281</v>
      </c>
    </row>
    <row r="6067" spans="1:26" x14ac:dyDescent="0.2">
      <c r="A6067" s="8">
        <v>6066</v>
      </c>
      <c r="B6067" s="8" t="s">
        <v>27022</v>
      </c>
      <c r="C6067" s="8" t="s">
        <v>27022</v>
      </c>
      <c r="F6067" s="47"/>
      <c r="G6067" s="8">
        <v>19</v>
      </c>
      <c r="H6067" s="8" t="s">
        <v>21</v>
      </c>
      <c r="I6067" s="8" t="s">
        <v>22</v>
      </c>
      <c r="J6067" s="8" t="s">
        <v>22</v>
      </c>
      <c r="K6067" s="8" t="s">
        <v>2572</v>
      </c>
      <c r="L6067" s="8" t="s">
        <v>26227</v>
      </c>
      <c r="M6067" s="8" t="s">
        <v>26228</v>
      </c>
      <c r="N6067" s="8" t="s">
        <v>27023</v>
      </c>
      <c r="O6067" s="8">
        <f>16+7/60+35.2/3600</f>
        <v>16.126444444444445</v>
      </c>
      <c r="P6067" s="8" t="s">
        <v>27024</v>
      </c>
      <c r="Q6067" s="8">
        <f>+(13+56/60+39/3600)</f>
        <v>13.944166666666668</v>
      </c>
      <c r="R6067" s="8">
        <v>14</v>
      </c>
      <c r="S6067" s="8">
        <v>14.8</v>
      </c>
      <c r="T6067" s="8">
        <v>0.8</v>
      </c>
      <c r="U6067" s="8">
        <v>12.9</v>
      </c>
      <c r="V6067" s="8">
        <v>0.7</v>
      </c>
      <c r="W6067" s="8">
        <v>0.6</v>
      </c>
      <c r="X6067" s="8">
        <v>135</v>
      </c>
      <c r="Y6067" s="8" t="s">
        <v>27025</v>
      </c>
      <c r="Z6067" s="8" t="s">
        <v>27026</v>
      </c>
    </row>
    <row r="6068" spans="1:26" x14ac:dyDescent="0.2">
      <c r="A6068" s="8">
        <v>6067</v>
      </c>
      <c r="B6068" s="8" t="s">
        <v>27027</v>
      </c>
      <c r="C6068" s="8" t="s">
        <v>27027</v>
      </c>
      <c r="F6068" s="47"/>
      <c r="G6068" s="8">
        <v>5</v>
      </c>
      <c r="H6068" s="8" t="s">
        <v>21</v>
      </c>
      <c r="I6068" s="8" t="s">
        <v>557</v>
      </c>
      <c r="J6068" s="8" t="s">
        <v>557</v>
      </c>
      <c r="K6068" s="8" t="s">
        <v>10371</v>
      </c>
      <c r="L6068" s="8" t="s">
        <v>26405</v>
      </c>
      <c r="M6068" s="8" t="s">
        <v>26406</v>
      </c>
      <c r="N6068" s="8" t="s">
        <v>27028</v>
      </c>
      <c r="O6068" s="8">
        <f>16+13/60+10.9/3600</f>
        <v>16.219694444444443</v>
      </c>
      <c r="P6068" s="8" t="s">
        <v>27029</v>
      </c>
      <c r="Q6068" s="8">
        <f>-(54+13/60+8/3600)</f>
        <v>-54.218888888888891</v>
      </c>
      <c r="R6068" s="8">
        <v>5.6</v>
      </c>
      <c r="S6068" s="8">
        <v>99</v>
      </c>
      <c r="T6068" s="8">
        <v>99</v>
      </c>
      <c r="U6068" s="8">
        <v>99</v>
      </c>
      <c r="V6068" s="8">
        <v>15</v>
      </c>
      <c r="Y6068" s="8" t="s">
        <v>27030</v>
      </c>
      <c r="Z6068" s="8" t="s">
        <v>27031</v>
      </c>
    </row>
    <row r="6069" spans="1:26" x14ac:dyDescent="0.2">
      <c r="A6069" s="8">
        <v>6068</v>
      </c>
      <c r="B6069" s="8" t="s">
        <v>27032</v>
      </c>
      <c r="C6069" s="8" t="s">
        <v>27032</v>
      </c>
      <c r="F6069" s="47" t="s">
        <v>58129</v>
      </c>
      <c r="G6069" s="8">
        <v>15</v>
      </c>
      <c r="H6069" s="8" t="s">
        <v>21</v>
      </c>
      <c r="I6069" s="8" t="s">
        <v>22</v>
      </c>
      <c r="J6069" s="8" t="s">
        <v>22</v>
      </c>
      <c r="K6069" s="8" t="s">
        <v>85</v>
      </c>
      <c r="L6069" s="8" t="s">
        <v>14586</v>
      </c>
      <c r="M6069" s="8" t="s">
        <v>14587</v>
      </c>
      <c r="N6069" s="8" t="s">
        <v>27033</v>
      </c>
      <c r="O6069" s="8">
        <f>15+55/60+25.5/3600</f>
        <v>15.92375</v>
      </c>
      <c r="P6069" s="8" t="s">
        <v>27034</v>
      </c>
      <c r="Q6069" s="8">
        <f>+(78+59/60+48/3600)</f>
        <v>78.99666666666667</v>
      </c>
      <c r="R6069" s="8">
        <v>12.8</v>
      </c>
      <c r="S6069" s="8">
        <v>13.6</v>
      </c>
      <c r="T6069" s="8">
        <v>0.8</v>
      </c>
      <c r="U6069" s="8">
        <v>12.4</v>
      </c>
      <c r="V6069" s="8">
        <v>1</v>
      </c>
      <c r="W6069" s="8">
        <v>0.7</v>
      </c>
      <c r="X6069" s="8">
        <v>155</v>
      </c>
      <c r="Y6069" s="8" t="s">
        <v>27035</v>
      </c>
      <c r="Z6069" s="8" t="s">
        <v>27036</v>
      </c>
    </row>
    <row r="6070" spans="1:26" x14ac:dyDescent="0.2">
      <c r="A6070" s="8">
        <v>6069</v>
      </c>
      <c r="B6070" s="8" t="s">
        <v>27037</v>
      </c>
      <c r="C6070" s="8" t="s">
        <v>27037</v>
      </c>
      <c r="F6070" s="47"/>
      <c r="G6070" s="8">
        <v>19</v>
      </c>
      <c r="H6070" s="8" t="s">
        <v>21</v>
      </c>
      <c r="I6070" s="8" t="s">
        <v>22</v>
      </c>
      <c r="J6070" s="8" t="s">
        <v>22</v>
      </c>
      <c r="K6070" s="8" t="s">
        <v>37</v>
      </c>
      <c r="L6070" s="8" t="s">
        <v>26398</v>
      </c>
      <c r="M6070" s="8" t="s">
        <v>26399</v>
      </c>
      <c r="N6070" s="8" t="s">
        <v>27038</v>
      </c>
      <c r="O6070" s="8">
        <f>16+7/60+41.6/3600</f>
        <v>16.128222222222224</v>
      </c>
      <c r="P6070" s="8" t="s">
        <v>27039</v>
      </c>
      <c r="Q6070" s="8">
        <f>+(38+55/60+53/3600)</f>
        <v>38.93138888888889</v>
      </c>
      <c r="R6070" s="8">
        <v>14.3</v>
      </c>
      <c r="S6070" s="8">
        <v>15.3</v>
      </c>
      <c r="T6070" s="8">
        <v>1</v>
      </c>
      <c r="U6070" s="8">
        <v>13.7</v>
      </c>
      <c r="V6070" s="8">
        <v>0.8</v>
      </c>
      <c r="W6070" s="8">
        <v>0.8</v>
      </c>
      <c r="Y6070" s="8" t="s">
        <v>27040</v>
      </c>
      <c r="Z6070" s="8" t="s">
        <v>27041</v>
      </c>
    </row>
    <row r="6071" spans="1:26" x14ac:dyDescent="0.2">
      <c r="A6071" s="8">
        <v>6070</v>
      </c>
      <c r="B6071" s="8" t="s">
        <v>27042</v>
      </c>
      <c r="C6071" s="8" t="s">
        <v>27042</v>
      </c>
      <c r="F6071" s="47" t="s">
        <v>58130</v>
      </c>
      <c r="G6071" s="8">
        <v>6.5</v>
      </c>
      <c r="H6071" s="8" t="s">
        <v>21</v>
      </c>
      <c r="I6071" s="8" t="s">
        <v>22</v>
      </c>
      <c r="J6071" s="8" t="s">
        <v>22</v>
      </c>
      <c r="K6071" s="8" t="s">
        <v>160</v>
      </c>
      <c r="L6071" s="8" t="s">
        <v>26227</v>
      </c>
      <c r="M6071" s="8" t="s">
        <v>26228</v>
      </c>
      <c r="N6071" s="8" t="s">
        <v>27043</v>
      </c>
      <c r="O6071" s="8">
        <f>16+9/60+58.6/3600</f>
        <v>16.166277777777776</v>
      </c>
      <c r="P6071" s="8" t="s">
        <v>27044</v>
      </c>
      <c r="Q6071" s="8">
        <f>+(0+42/60+36/3600)</f>
        <v>0.71</v>
      </c>
      <c r="R6071" s="8">
        <v>11.8</v>
      </c>
      <c r="S6071" s="8">
        <v>12.5</v>
      </c>
      <c r="T6071" s="8">
        <v>0.7</v>
      </c>
      <c r="U6071" s="8">
        <v>13.7</v>
      </c>
      <c r="V6071" s="8">
        <v>3.6</v>
      </c>
      <c r="W6071" s="8">
        <v>1.8</v>
      </c>
      <c r="X6071" s="8">
        <v>62</v>
      </c>
      <c r="Y6071" s="8" t="s">
        <v>27045</v>
      </c>
      <c r="Z6071" s="8" t="s">
        <v>27046</v>
      </c>
    </row>
    <row r="6072" spans="1:26" x14ac:dyDescent="0.2">
      <c r="A6072" s="8">
        <v>6071</v>
      </c>
      <c r="B6072" s="8" t="s">
        <v>27047</v>
      </c>
      <c r="C6072" s="8" t="s">
        <v>27047</v>
      </c>
      <c r="F6072" s="47" t="s">
        <v>58131</v>
      </c>
      <c r="G6072" s="8">
        <v>15</v>
      </c>
      <c r="H6072" s="8" t="s">
        <v>21</v>
      </c>
      <c r="I6072" s="8" t="s">
        <v>22</v>
      </c>
      <c r="J6072" s="8" t="s">
        <v>22</v>
      </c>
      <c r="K6072" s="8" t="s">
        <v>58</v>
      </c>
      <c r="L6072" s="8" t="s">
        <v>14586</v>
      </c>
      <c r="M6072" s="8" t="s">
        <v>14587</v>
      </c>
      <c r="N6072" s="8" t="s">
        <v>27048</v>
      </c>
      <c r="O6072" s="8">
        <f>16+2/60+6.9/3600</f>
        <v>16.035250000000001</v>
      </c>
      <c r="P6072" s="8" t="s">
        <v>27049</v>
      </c>
      <c r="Q6072" s="8">
        <f>+(70+25/60+2/3600)</f>
        <v>70.417222222222222</v>
      </c>
      <c r="R6072" s="8">
        <v>13.9</v>
      </c>
      <c r="S6072" s="8">
        <v>14.9</v>
      </c>
      <c r="T6072" s="8">
        <v>1</v>
      </c>
      <c r="U6072" s="8">
        <v>14</v>
      </c>
      <c r="V6072" s="8">
        <v>1</v>
      </c>
      <c r="W6072" s="8">
        <v>1</v>
      </c>
      <c r="Y6072" s="8" t="s">
        <v>266</v>
      </c>
      <c r="Z6072" s="8" t="s">
        <v>267</v>
      </c>
    </row>
    <row r="6073" spans="1:26" x14ac:dyDescent="0.2">
      <c r="A6073" s="8">
        <v>6072</v>
      </c>
      <c r="B6073" s="8" t="s">
        <v>27050</v>
      </c>
      <c r="C6073" s="8" t="s">
        <v>27050</v>
      </c>
      <c r="F6073" s="47"/>
      <c r="G6073" s="8">
        <v>10</v>
      </c>
      <c r="H6073" s="8" t="s">
        <v>21</v>
      </c>
      <c r="I6073" s="8" t="s">
        <v>241</v>
      </c>
      <c r="J6073" s="8" t="s">
        <v>241</v>
      </c>
      <c r="K6073" s="8" t="s">
        <v>241</v>
      </c>
      <c r="L6073" s="8" t="s">
        <v>26735</v>
      </c>
      <c r="M6073" s="8" t="s">
        <v>26736</v>
      </c>
      <c r="N6073" s="8" t="s">
        <v>27051</v>
      </c>
      <c r="O6073" s="8">
        <f>16+12/60+58.2/3600</f>
        <v>16.216166666666666</v>
      </c>
      <c r="P6073" s="8" t="s">
        <v>27052</v>
      </c>
      <c r="Q6073" s="8">
        <f>-(36+13/60+46/3600)</f>
        <v>-36.229444444444447</v>
      </c>
      <c r="R6073" s="8">
        <v>11.7</v>
      </c>
      <c r="S6073" s="8">
        <v>14.1</v>
      </c>
      <c r="T6073" s="8">
        <v>99</v>
      </c>
      <c r="U6073" s="8">
        <v>99</v>
      </c>
      <c r="V6073" s="8">
        <v>1.63</v>
      </c>
      <c r="Y6073" s="8" t="s">
        <v>27053</v>
      </c>
      <c r="Z6073" s="8" t="s">
        <v>8720</v>
      </c>
    </row>
    <row r="6074" spans="1:26" x14ac:dyDescent="0.2">
      <c r="A6074" s="8">
        <v>6073</v>
      </c>
      <c r="B6074" s="8" t="s">
        <v>27054</v>
      </c>
      <c r="C6074" s="8" t="s">
        <v>27054</v>
      </c>
      <c r="F6074" s="47" t="s">
        <v>58132</v>
      </c>
      <c r="G6074" s="8">
        <v>15</v>
      </c>
      <c r="H6074" s="8" t="s">
        <v>21</v>
      </c>
      <c r="I6074" s="8" t="s">
        <v>22</v>
      </c>
      <c r="J6074" s="8" t="s">
        <v>22</v>
      </c>
      <c r="K6074" s="8" t="s">
        <v>160</v>
      </c>
      <c r="L6074" s="8" t="s">
        <v>26804</v>
      </c>
      <c r="M6074" s="8" t="s">
        <v>26805</v>
      </c>
      <c r="N6074" s="8" t="s">
        <v>27055</v>
      </c>
      <c r="O6074" s="8">
        <f>16+10/60+10.9/3600</f>
        <v>16.169694444444445</v>
      </c>
      <c r="P6074" s="8" t="s">
        <v>27056</v>
      </c>
      <c r="Q6074" s="8">
        <f>+(16+42/60+0/3600)</f>
        <v>16.7</v>
      </c>
      <c r="R6074" s="8">
        <v>13.5</v>
      </c>
      <c r="S6074" s="8">
        <v>14.3</v>
      </c>
      <c r="T6074" s="8">
        <v>0.8</v>
      </c>
      <c r="U6074" s="8">
        <v>13.2</v>
      </c>
      <c r="V6074" s="8">
        <v>1.3</v>
      </c>
      <c r="W6074" s="8">
        <v>0.7</v>
      </c>
      <c r="X6074" s="8">
        <v>130</v>
      </c>
      <c r="Y6074" s="8" t="s">
        <v>27057</v>
      </c>
      <c r="Z6074" s="8" t="s">
        <v>27058</v>
      </c>
    </row>
    <row r="6075" spans="1:26" x14ac:dyDescent="0.2">
      <c r="A6075" s="8">
        <v>6074</v>
      </c>
      <c r="B6075" s="8" t="s">
        <v>27059</v>
      </c>
      <c r="C6075" s="8" t="s">
        <v>27059</v>
      </c>
      <c r="E6075" s="8">
        <v>1</v>
      </c>
      <c r="F6075" s="47"/>
      <c r="G6075" s="8">
        <v>18</v>
      </c>
      <c r="H6075" s="8" t="s">
        <v>21</v>
      </c>
      <c r="I6075" s="8" t="s">
        <v>22</v>
      </c>
      <c r="J6075" s="8" t="s">
        <v>22</v>
      </c>
      <c r="K6075" s="8" t="s">
        <v>449</v>
      </c>
      <c r="L6075" s="8" t="s">
        <v>26804</v>
      </c>
      <c r="M6075" s="8" t="s">
        <v>26805</v>
      </c>
      <c r="N6075" s="8" t="s">
        <v>27060</v>
      </c>
      <c r="O6075" s="8">
        <f>16+11/60+17.3/3600</f>
        <v>16.18813888888889</v>
      </c>
      <c r="P6075" s="8" t="s">
        <v>27061</v>
      </c>
      <c r="Q6075" s="8">
        <f>+(14+15/60+31/3600)</f>
        <v>14.258611111111112</v>
      </c>
      <c r="R6075" s="8">
        <v>14.4</v>
      </c>
      <c r="S6075" s="8">
        <v>15.2</v>
      </c>
      <c r="T6075" s="8">
        <v>0.8</v>
      </c>
      <c r="U6075" s="8">
        <v>12.3</v>
      </c>
      <c r="V6075" s="8">
        <v>0.4</v>
      </c>
      <c r="W6075" s="8">
        <v>0.4</v>
      </c>
      <c r="Y6075" s="8" t="s">
        <v>4165</v>
      </c>
      <c r="Z6075" s="8" t="s">
        <v>4166</v>
      </c>
    </row>
    <row r="6076" spans="1:26" x14ac:dyDescent="0.2">
      <c r="A6076" s="8">
        <v>6075</v>
      </c>
      <c r="B6076" s="8" t="s">
        <v>27062</v>
      </c>
      <c r="C6076" s="8" t="s">
        <v>27062</v>
      </c>
      <c r="F6076" s="47"/>
      <c r="G6076" s="8">
        <v>19</v>
      </c>
      <c r="H6076" s="8" t="s">
        <v>21</v>
      </c>
      <c r="I6076" s="8" t="s">
        <v>22</v>
      </c>
      <c r="J6076" s="8" t="s">
        <v>22</v>
      </c>
      <c r="K6076" s="8" t="s">
        <v>58</v>
      </c>
      <c r="L6076" s="8" t="s">
        <v>26804</v>
      </c>
      <c r="M6076" s="8" t="s">
        <v>26805</v>
      </c>
      <c r="N6076" s="8" t="s">
        <v>27063</v>
      </c>
      <c r="O6076" s="8">
        <f>16+11/60+22.6/3600</f>
        <v>16.189611111111113</v>
      </c>
      <c r="P6076" s="8" t="s">
        <v>27064</v>
      </c>
      <c r="Q6076" s="8">
        <f>+(23+57/60+54/3600)</f>
        <v>23.965</v>
      </c>
      <c r="R6076" s="8">
        <v>13.9</v>
      </c>
      <c r="S6076" s="8">
        <v>14.9</v>
      </c>
      <c r="T6076" s="8">
        <v>1</v>
      </c>
      <c r="U6076" s="8">
        <v>13.5</v>
      </c>
      <c r="V6076" s="8">
        <v>0.9</v>
      </c>
      <c r="W6076" s="8">
        <v>0.7</v>
      </c>
      <c r="X6076" s="8">
        <v>90</v>
      </c>
      <c r="Y6076" s="8" t="s">
        <v>27065</v>
      </c>
      <c r="Z6076" s="8" t="s">
        <v>27066</v>
      </c>
    </row>
    <row r="6077" spans="1:26" x14ac:dyDescent="0.2">
      <c r="A6077" s="8">
        <v>6076</v>
      </c>
      <c r="B6077" s="8" t="s">
        <v>27067</v>
      </c>
      <c r="C6077" s="8" t="s">
        <v>27067</v>
      </c>
      <c r="E6077" s="8">
        <v>1</v>
      </c>
      <c r="F6077" s="47"/>
      <c r="G6077" s="8">
        <v>18</v>
      </c>
      <c r="H6077" s="8" t="s">
        <v>21</v>
      </c>
      <c r="I6077" s="8" t="s">
        <v>22</v>
      </c>
      <c r="J6077" s="8" t="s">
        <v>22</v>
      </c>
      <c r="K6077" s="8" t="s">
        <v>460</v>
      </c>
      <c r="L6077" s="8" t="s">
        <v>26398</v>
      </c>
      <c r="M6077" s="8" t="s">
        <v>26399</v>
      </c>
      <c r="N6077" s="8" t="s">
        <v>27068</v>
      </c>
      <c r="O6077" s="8">
        <f>16+11/60+12.9/3600</f>
        <v>16.186916666666669</v>
      </c>
      <c r="P6077" s="8" t="s">
        <v>27069</v>
      </c>
      <c r="Q6077" s="8">
        <f>+(26+52/60+19/3600)</f>
        <v>26.871944444444445</v>
      </c>
      <c r="R6077" s="8">
        <v>14</v>
      </c>
      <c r="S6077" s="8">
        <v>15</v>
      </c>
      <c r="T6077" s="8">
        <v>1</v>
      </c>
      <c r="U6077" s="8">
        <v>13.1</v>
      </c>
      <c r="V6077" s="8">
        <v>0.4</v>
      </c>
      <c r="W6077" s="8">
        <v>0.4</v>
      </c>
      <c r="Y6077" s="8" t="s">
        <v>307</v>
      </c>
      <c r="Z6077" s="8" t="s">
        <v>308</v>
      </c>
    </row>
    <row r="6078" spans="1:26" x14ac:dyDescent="0.2">
      <c r="A6078" s="8">
        <v>6077</v>
      </c>
      <c r="B6078" s="8" t="s">
        <v>27070</v>
      </c>
      <c r="C6078" s="8" t="s">
        <v>27070</v>
      </c>
      <c r="F6078" s="47"/>
      <c r="G6078" s="8">
        <v>18</v>
      </c>
      <c r="H6078" s="8" t="s">
        <v>21</v>
      </c>
      <c r="I6078" s="8" t="s">
        <v>22</v>
      </c>
      <c r="J6078" s="8" t="s">
        <v>22</v>
      </c>
      <c r="K6078" s="8" t="s">
        <v>183</v>
      </c>
      <c r="L6078" s="8" t="s">
        <v>26398</v>
      </c>
      <c r="M6078" s="8" t="s">
        <v>26399</v>
      </c>
      <c r="N6078" s="8" t="s">
        <v>27071</v>
      </c>
      <c r="O6078" s="8">
        <f>16+11/60+14/3600</f>
        <v>16.187222222222221</v>
      </c>
      <c r="P6078" s="8" t="s">
        <v>27072</v>
      </c>
      <c r="Q6078" s="8">
        <f>+(26+55/60+26/3600)</f>
        <v>26.923888888888889</v>
      </c>
      <c r="R6078" s="8">
        <v>13.3</v>
      </c>
      <c r="S6078" s="8">
        <v>14.3</v>
      </c>
      <c r="T6078" s="8">
        <v>1</v>
      </c>
      <c r="U6078" s="8">
        <v>13.6</v>
      </c>
      <c r="V6078" s="8">
        <v>1.2</v>
      </c>
      <c r="W6078" s="8">
        <v>1.1000000000000001</v>
      </c>
      <c r="X6078" s="8">
        <v>60</v>
      </c>
      <c r="Y6078" s="8" t="s">
        <v>27073</v>
      </c>
      <c r="Z6078" s="8" t="s">
        <v>27074</v>
      </c>
    </row>
    <row r="6079" spans="1:26" x14ac:dyDescent="0.2">
      <c r="A6079" s="8">
        <v>6078</v>
      </c>
      <c r="B6079" s="8" t="s">
        <v>27075</v>
      </c>
      <c r="C6079" s="8" t="s">
        <v>27075</v>
      </c>
      <c r="F6079" s="47"/>
      <c r="G6079" s="8">
        <v>18</v>
      </c>
      <c r="H6079" s="8" t="s">
        <v>21</v>
      </c>
      <c r="I6079" s="8" t="s">
        <v>22</v>
      </c>
      <c r="J6079" s="8" t="s">
        <v>22</v>
      </c>
      <c r="K6079" s="8" t="s">
        <v>460</v>
      </c>
      <c r="L6079" s="8" t="s">
        <v>26804</v>
      </c>
      <c r="M6079" s="8" t="s">
        <v>26805</v>
      </c>
      <c r="N6079" s="8" t="s">
        <v>27076</v>
      </c>
      <c r="O6079" s="8">
        <f>16+12/60+5.4/3600</f>
        <v>16.201499999999999</v>
      </c>
      <c r="P6079" s="8" t="s">
        <v>27077</v>
      </c>
      <c r="Q6079" s="8">
        <f>+(14+12/60+34/3600)</f>
        <v>14.209444444444443</v>
      </c>
      <c r="R6079" s="8">
        <v>15.2</v>
      </c>
      <c r="S6079" s="8">
        <v>16.2</v>
      </c>
      <c r="T6079" s="8">
        <v>1</v>
      </c>
      <c r="U6079" s="8">
        <v>13.8</v>
      </c>
      <c r="V6079" s="8">
        <v>0.5</v>
      </c>
      <c r="W6079" s="8">
        <v>0.5</v>
      </c>
      <c r="Y6079" s="8" t="s">
        <v>4165</v>
      </c>
      <c r="Z6079" s="8" t="s">
        <v>4166</v>
      </c>
    </row>
    <row r="6080" spans="1:26" x14ac:dyDescent="0.2">
      <c r="A6080" s="8">
        <v>6079</v>
      </c>
      <c r="B6080" s="8" t="s">
        <v>27078</v>
      </c>
      <c r="C6080" s="8" t="s">
        <v>27078</v>
      </c>
      <c r="F6080" s="47" t="s">
        <v>58133</v>
      </c>
      <c r="G6080" s="8">
        <v>15</v>
      </c>
      <c r="H6080" s="8" t="s">
        <v>21</v>
      </c>
      <c r="I6080" s="8" t="s">
        <v>22</v>
      </c>
      <c r="J6080" s="8" t="s">
        <v>22</v>
      </c>
      <c r="K6080" s="8" t="s">
        <v>382</v>
      </c>
      <c r="L6080" s="8" t="s">
        <v>13395</v>
      </c>
      <c r="M6080" s="8" t="s">
        <v>13396</v>
      </c>
      <c r="N6080" s="8" t="s">
        <v>27079</v>
      </c>
      <c r="O6080" s="8">
        <f>16+4/60+28.7/3600</f>
        <v>16.074638888888888</v>
      </c>
      <c r="P6080" s="8" t="s">
        <v>27080</v>
      </c>
      <c r="Q6080" s="8">
        <f>+(69+39/60+58/3600)</f>
        <v>69.666111111111121</v>
      </c>
      <c r="R6080" s="8">
        <v>12.7</v>
      </c>
      <c r="S6080" s="8">
        <v>13.7</v>
      </c>
      <c r="T6080" s="8">
        <v>1</v>
      </c>
      <c r="U6080" s="8">
        <v>13.1</v>
      </c>
      <c r="V6080" s="8">
        <v>1.4</v>
      </c>
      <c r="W6080" s="8">
        <v>1</v>
      </c>
      <c r="X6080" s="8">
        <v>150</v>
      </c>
      <c r="Y6080" s="8" t="s">
        <v>282</v>
      </c>
      <c r="Z6080" s="8" t="s">
        <v>283</v>
      </c>
    </row>
    <row r="6081" spans="1:26" x14ac:dyDescent="0.2">
      <c r="A6081" s="8">
        <v>6080</v>
      </c>
      <c r="B6081" s="8" t="s">
        <v>27081</v>
      </c>
      <c r="C6081" s="8" t="s">
        <v>27081</v>
      </c>
      <c r="F6081" s="47"/>
      <c r="G6081" s="8">
        <v>19</v>
      </c>
      <c r="H6081" s="8" t="s">
        <v>21</v>
      </c>
      <c r="I6081" s="8" t="s">
        <v>22</v>
      </c>
      <c r="J6081" s="8" t="s">
        <v>22</v>
      </c>
      <c r="K6081" s="8" t="s">
        <v>31</v>
      </c>
      <c r="L6081" s="8" t="s">
        <v>26227</v>
      </c>
      <c r="M6081" s="8" t="s">
        <v>26228</v>
      </c>
      <c r="N6081" s="8" t="s">
        <v>27082</v>
      </c>
      <c r="O6081" s="8">
        <f>16+12/60+58.5/3600</f>
        <v>16.216249999999999</v>
      </c>
      <c r="P6081" s="8" t="s">
        <v>27083</v>
      </c>
      <c r="Q6081" s="8">
        <f>+(2+10/60+40/3600)</f>
        <v>2.1777777777777776</v>
      </c>
      <c r="R6081" s="8">
        <v>13.6</v>
      </c>
      <c r="S6081" s="8">
        <v>14.4</v>
      </c>
      <c r="T6081" s="8">
        <v>0.8</v>
      </c>
      <c r="U6081" s="8">
        <v>13.5</v>
      </c>
      <c r="V6081" s="8">
        <v>1.2</v>
      </c>
      <c r="W6081" s="8">
        <v>1</v>
      </c>
      <c r="X6081" s="8">
        <v>48</v>
      </c>
      <c r="Y6081" s="8" t="s">
        <v>27084</v>
      </c>
      <c r="Z6081" s="8" t="s">
        <v>27085</v>
      </c>
    </row>
    <row r="6082" spans="1:26" x14ac:dyDescent="0.2">
      <c r="A6082" s="8">
        <v>6081</v>
      </c>
      <c r="B6082" s="8" t="s">
        <v>27086</v>
      </c>
      <c r="C6082" s="8" t="s">
        <v>27086</v>
      </c>
      <c r="F6082" s="47"/>
      <c r="G6082" s="8">
        <v>18</v>
      </c>
      <c r="H6082" s="8" t="s">
        <v>21</v>
      </c>
      <c r="I6082" s="8" t="s">
        <v>22</v>
      </c>
      <c r="J6082" s="8" t="s">
        <v>22</v>
      </c>
      <c r="K6082" s="8" t="s">
        <v>37</v>
      </c>
      <c r="L6082" s="8" t="s">
        <v>26804</v>
      </c>
      <c r="M6082" s="8" t="s">
        <v>26805</v>
      </c>
      <c r="N6082" s="8" t="s">
        <v>27087</v>
      </c>
      <c r="O6082" s="8">
        <f>16+12/60+56.8/3600</f>
        <v>16.215777777777777</v>
      </c>
      <c r="P6082" s="8" t="s">
        <v>27088</v>
      </c>
      <c r="Q6082" s="8">
        <f>+(9+52/60+4/3600)</f>
        <v>9.8677777777777784</v>
      </c>
      <c r="R6082" s="8">
        <v>13.5</v>
      </c>
      <c r="S6082" s="8">
        <v>14.5</v>
      </c>
      <c r="T6082" s="8">
        <v>1</v>
      </c>
      <c r="U6082" s="8">
        <v>13.5</v>
      </c>
      <c r="V6082" s="8">
        <v>1.8</v>
      </c>
      <c r="W6082" s="8">
        <v>0.6</v>
      </c>
      <c r="X6082" s="8">
        <v>131</v>
      </c>
      <c r="Y6082" s="8" t="s">
        <v>2248</v>
      </c>
      <c r="Z6082" s="8" t="s">
        <v>2249</v>
      </c>
    </row>
    <row r="6083" spans="1:26" x14ac:dyDescent="0.2">
      <c r="A6083" s="8">
        <v>6082</v>
      </c>
      <c r="B6083" s="8" t="s">
        <v>27089</v>
      </c>
      <c r="C6083" s="8" t="s">
        <v>27089</v>
      </c>
      <c r="F6083" s="47"/>
      <c r="G6083" s="8">
        <v>16</v>
      </c>
      <c r="H6083" s="8" t="s">
        <v>21</v>
      </c>
      <c r="I6083" s="8" t="s">
        <v>329</v>
      </c>
      <c r="J6083" s="8" t="s">
        <v>329</v>
      </c>
      <c r="K6083" s="8" t="s">
        <v>329</v>
      </c>
      <c r="L6083" s="8" t="s">
        <v>26735</v>
      </c>
      <c r="M6083" s="8" t="s">
        <v>26736</v>
      </c>
      <c r="N6083" s="8" t="s">
        <v>27090</v>
      </c>
      <c r="O6083" s="8">
        <f>16+15/60+36/3600</f>
        <v>16.260000000000002</v>
      </c>
      <c r="P6083" s="8" t="s">
        <v>27091</v>
      </c>
      <c r="Q6083" s="8">
        <f>-(34+14/60+36/3600)</f>
        <v>-34.243333333333332</v>
      </c>
      <c r="R6083" s="8">
        <v>99</v>
      </c>
      <c r="S6083" s="8">
        <v>99</v>
      </c>
      <c r="T6083" s="8">
        <v>99</v>
      </c>
      <c r="U6083" s="8">
        <v>99</v>
      </c>
      <c r="Y6083" s="8" t="s">
        <v>27092</v>
      </c>
      <c r="Z6083" s="8" t="s">
        <v>27093</v>
      </c>
    </row>
    <row r="6084" spans="1:26" x14ac:dyDescent="0.2">
      <c r="A6084" s="8">
        <v>6083</v>
      </c>
      <c r="B6084" s="8" t="s">
        <v>27094</v>
      </c>
      <c r="C6084" s="8" t="s">
        <v>27094</v>
      </c>
      <c r="F6084" s="47"/>
      <c r="G6084" s="8">
        <v>18</v>
      </c>
      <c r="H6084" s="8" t="s">
        <v>21</v>
      </c>
      <c r="I6084" s="8" t="s">
        <v>22</v>
      </c>
      <c r="J6084" s="8" t="s">
        <v>22</v>
      </c>
      <c r="K6084" s="8" t="s">
        <v>23</v>
      </c>
      <c r="L6084" s="8" t="s">
        <v>26804</v>
      </c>
      <c r="M6084" s="8" t="s">
        <v>26805</v>
      </c>
      <c r="N6084" s="8" t="s">
        <v>27095</v>
      </c>
      <c r="O6084" s="8">
        <f>16+13/60+12.6/3600</f>
        <v>16.220166666666664</v>
      </c>
      <c r="P6084" s="8" t="s">
        <v>27096</v>
      </c>
      <c r="Q6084" s="8">
        <f>+(14+11/60+10/3600)</f>
        <v>14.186111111111112</v>
      </c>
      <c r="R6084" s="8">
        <v>14.6</v>
      </c>
      <c r="S6084" s="8">
        <v>15.4</v>
      </c>
      <c r="T6084" s="8">
        <v>0.8</v>
      </c>
      <c r="U6084" s="8">
        <v>13.1</v>
      </c>
      <c r="V6084" s="8">
        <v>0.7</v>
      </c>
      <c r="W6084" s="8">
        <v>0.4</v>
      </c>
      <c r="X6084" s="8">
        <v>42</v>
      </c>
      <c r="Y6084" s="8" t="s">
        <v>27097</v>
      </c>
      <c r="Z6084" s="8" t="s">
        <v>27098</v>
      </c>
    </row>
    <row r="6085" spans="1:26" x14ac:dyDescent="0.2">
      <c r="A6085" s="8">
        <v>6084</v>
      </c>
      <c r="B6085" s="8" t="s">
        <v>27099</v>
      </c>
      <c r="C6085" s="8" t="s">
        <v>27099</v>
      </c>
      <c r="F6085" s="47"/>
      <c r="G6085" s="8">
        <v>19</v>
      </c>
      <c r="H6085" s="8" t="s">
        <v>21</v>
      </c>
      <c r="I6085" s="8" t="s">
        <v>22</v>
      </c>
      <c r="J6085" s="8" t="s">
        <v>22</v>
      </c>
      <c r="K6085" s="8" t="s">
        <v>31</v>
      </c>
      <c r="L6085" s="8" t="s">
        <v>26804</v>
      </c>
      <c r="M6085" s="8" t="s">
        <v>26805</v>
      </c>
      <c r="N6085" s="8" t="s">
        <v>27100</v>
      </c>
      <c r="O6085" s="8">
        <f>16+14/60+16.6/3600</f>
        <v>16.237944444444445</v>
      </c>
      <c r="P6085" s="8" t="s">
        <v>26942</v>
      </c>
      <c r="Q6085" s="8">
        <f>+(17+45/60+29/3600)</f>
        <v>17.758055555555554</v>
      </c>
      <c r="R6085" s="8">
        <v>13.9</v>
      </c>
      <c r="S6085" s="8">
        <v>14.9</v>
      </c>
      <c r="T6085" s="8">
        <v>1</v>
      </c>
      <c r="U6085" s="8">
        <v>13.1</v>
      </c>
      <c r="V6085" s="8">
        <v>1</v>
      </c>
      <c r="W6085" s="8">
        <v>0.5</v>
      </c>
      <c r="X6085" s="8">
        <v>30</v>
      </c>
      <c r="Y6085" s="8" t="s">
        <v>3161</v>
      </c>
      <c r="Z6085" s="8" t="s">
        <v>3162</v>
      </c>
    </row>
    <row r="6086" spans="1:26" x14ac:dyDescent="0.2">
      <c r="A6086" s="8">
        <v>6085</v>
      </c>
      <c r="B6086" s="8" t="s">
        <v>27101</v>
      </c>
      <c r="C6086" s="8" t="s">
        <v>27101</v>
      </c>
      <c r="F6086" s="47"/>
      <c r="G6086" s="8">
        <v>18</v>
      </c>
      <c r="H6086" s="8" t="s">
        <v>21</v>
      </c>
      <c r="I6086" s="8" t="s">
        <v>22</v>
      </c>
      <c r="J6086" s="8" t="s">
        <v>22</v>
      </c>
      <c r="K6086" s="8" t="s">
        <v>91</v>
      </c>
      <c r="L6086" s="8" t="s">
        <v>26398</v>
      </c>
      <c r="M6086" s="8" t="s">
        <v>26399</v>
      </c>
      <c r="N6086" s="8" t="s">
        <v>27102</v>
      </c>
      <c r="O6086" s="8">
        <f>16+12/60+35.1/3600</f>
        <v>16.20975</v>
      </c>
      <c r="P6086" s="8" t="s">
        <v>27103</v>
      </c>
      <c r="Q6086" s="8">
        <f>+(29+21/60+56/3600)</f>
        <v>29.365555555555556</v>
      </c>
      <c r="R6086" s="8">
        <v>13</v>
      </c>
      <c r="S6086" s="8">
        <v>13.9</v>
      </c>
      <c r="T6086" s="8">
        <v>0.9</v>
      </c>
      <c r="U6086" s="8">
        <v>13.5</v>
      </c>
      <c r="V6086" s="8">
        <v>1.5</v>
      </c>
      <c r="W6086" s="8">
        <v>1.2</v>
      </c>
      <c r="X6086" s="8">
        <v>165</v>
      </c>
      <c r="Y6086" s="8" t="s">
        <v>4065</v>
      </c>
      <c r="Z6086" s="8" t="s">
        <v>4066</v>
      </c>
    </row>
    <row r="6087" spans="1:26" x14ac:dyDescent="0.2">
      <c r="A6087" s="8">
        <v>6086</v>
      </c>
      <c r="B6087" s="8" t="s">
        <v>27104</v>
      </c>
      <c r="C6087" s="8" t="s">
        <v>27104</v>
      </c>
      <c r="F6087" s="47"/>
      <c r="G6087" s="8">
        <v>18</v>
      </c>
      <c r="H6087" s="8" t="s">
        <v>21</v>
      </c>
      <c r="I6087" s="8" t="s">
        <v>22</v>
      </c>
      <c r="J6087" s="8" t="s">
        <v>22</v>
      </c>
      <c r="K6087" s="8" t="s">
        <v>382</v>
      </c>
      <c r="L6087" s="8" t="s">
        <v>26398</v>
      </c>
      <c r="M6087" s="8" t="s">
        <v>26399</v>
      </c>
      <c r="N6087" s="8" t="s">
        <v>27105</v>
      </c>
      <c r="O6087" s="8">
        <f>16+12/60+35.6/3600</f>
        <v>16.209888888888887</v>
      </c>
      <c r="P6087" s="8" t="s">
        <v>27106</v>
      </c>
      <c r="Q6087" s="8">
        <f>+(29+29/60+6/3600)</f>
        <v>29.484999999999999</v>
      </c>
      <c r="R6087" s="8">
        <v>12.8</v>
      </c>
      <c r="S6087" s="8">
        <v>13.8</v>
      </c>
      <c r="T6087" s="8">
        <v>1</v>
      </c>
      <c r="U6087" s="8">
        <v>13.5</v>
      </c>
      <c r="V6087" s="8">
        <v>1.7</v>
      </c>
      <c r="W6087" s="8">
        <v>1.2</v>
      </c>
      <c r="X6087" s="8">
        <v>12</v>
      </c>
      <c r="Y6087" s="8" t="s">
        <v>27107</v>
      </c>
      <c r="Z6087" s="8" t="s">
        <v>27108</v>
      </c>
    </row>
    <row r="6088" spans="1:26" x14ac:dyDescent="0.2">
      <c r="A6088" s="8">
        <v>6087</v>
      </c>
      <c r="B6088" s="8" t="s">
        <v>27109</v>
      </c>
      <c r="C6088" s="8" t="s">
        <v>27109</v>
      </c>
      <c r="F6088" s="47"/>
      <c r="G6088" s="8">
        <v>2</v>
      </c>
      <c r="H6088" s="8" t="s">
        <v>27110</v>
      </c>
      <c r="I6088" s="8" t="s">
        <v>557</v>
      </c>
      <c r="J6088" s="8" t="s">
        <v>557</v>
      </c>
      <c r="K6088" s="8" t="s">
        <v>7705</v>
      </c>
      <c r="L6088" s="8" t="s">
        <v>26405</v>
      </c>
      <c r="M6088" s="8" t="s">
        <v>26406</v>
      </c>
      <c r="N6088" s="8" t="s">
        <v>27111</v>
      </c>
      <c r="O6088" s="8">
        <f>16+18/60+51.8/3600</f>
        <v>16.314388888888889</v>
      </c>
      <c r="P6088" s="8" t="s">
        <v>27112</v>
      </c>
      <c r="Q6088" s="8">
        <f>-(57+53/60+59/3600)</f>
        <v>-57.899722222222223</v>
      </c>
      <c r="R6088" s="8">
        <v>5.4</v>
      </c>
      <c r="S6088" s="8">
        <v>99</v>
      </c>
      <c r="T6088" s="8">
        <v>99</v>
      </c>
      <c r="U6088" s="8">
        <v>99</v>
      </c>
      <c r="V6088" s="8">
        <v>15</v>
      </c>
      <c r="Y6088" s="8" t="s">
        <v>27113</v>
      </c>
      <c r="Z6088" s="8" t="s">
        <v>27114</v>
      </c>
    </row>
    <row r="6089" spans="1:26" x14ac:dyDescent="0.2">
      <c r="A6089" s="8">
        <v>6088</v>
      </c>
      <c r="B6089" s="8" t="s">
        <v>27115</v>
      </c>
      <c r="C6089" s="8" t="s">
        <v>27115</v>
      </c>
      <c r="D6089" s="8" t="s">
        <v>1619</v>
      </c>
      <c r="F6089" s="47" t="s">
        <v>58134</v>
      </c>
      <c r="G6089" s="8">
        <v>15</v>
      </c>
      <c r="H6089" s="8" t="s">
        <v>21</v>
      </c>
      <c r="I6089" s="8" t="s">
        <v>22</v>
      </c>
      <c r="J6089" s="8" t="s">
        <v>22</v>
      </c>
      <c r="K6089" s="8" t="s">
        <v>58</v>
      </c>
      <c r="L6089" s="8" t="s">
        <v>13395</v>
      </c>
      <c r="M6089" s="8" t="s">
        <v>13396</v>
      </c>
      <c r="N6089" s="8" t="s">
        <v>27116</v>
      </c>
      <c r="O6089" s="8">
        <f>16+10/60+44.1/3600</f>
        <v>16.178916666666669</v>
      </c>
      <c r="P6089" s="8" t="s">
        <v>27117</v>
      </c>
      <c r="Q6089" s="8">
        <f>+(57+27/60+43/3600)</f>
        <v>57.461944444444448</v>
      </c>
      <c r="R6089" s="8">
        <v>15</v>
      </c>
      <c r="S6089" s="8">
        <v>15.8</v>
      </c>
      <c r="T6089" s="8">
        <v>0.8</v>
      </c>
      <c r="U6089" s="8">
        <v>13.4</v>
      </c>
      <c r="V6089" s="8">
        <v>0.7</v>
      </c>
      <c r="W6089" s="8">
        <v>0.3</v>
      </c>
      <c r="X6089" s="8">
        <v>96</v>
      </c>
      <c r="Y6089" s="8" t="s">
        <v>2500</v>
      </c>
      <c r="Z6089" s="8" t="s">
        <v>2501</v>
      </c>
    </row>
    <row r="6090" spans="1:26" x14ac:dyDescent="0.2">
      <c r="A6090" s="8">
        <v>6089</v>
      </c>
      <c r="B6090" s="8" t="s">
        <v>27118</v>
      </c>
      <c r="C6090" s="8" t="s">
        <v>27118</v>
      </c>
      <c r="E6090" s="8">
        <v>1</v>
      </c>
      <c r="F6090" s="47" t="s">
        <v>58135</v>
      </c>
      <c r="G6090" s="8">
        <v>15</v>
      </c>
      <c r="H6090" s="8" t="s">
        <v>21</v>
      </c>
      <c r="I6090" s="8" t="s">
        <v>22</v>
      </c>
      <c r="J6090" s="8" t="s">
        <v>22</v>
      </c>
      <c r="K6090" s="8" t="s">
        <v>632</v>
      </c>
      <c r="L6090" s="8" t="s">
        <v>26398</v>
      </c>
      <c r="M6090" s="8" t="s">
        <v>26399</v>
      </c>
      <c r="N6090" s="8" t="s">
        <v>27119</v>
      </c>
      <c r="O6090" s="8">
        <f>16+12/60+40.3/3600</f>
        <v>16.211194444444445</v>
      </c>
      <c r="P6090" s="8" t="s">
        <v>27120</v>
      </c>
      <c r="Q6090" s="8">
        <f>+(33+2/60+7/3600)</f>
        <v>33.035277777777779</v>
      </c>
      <c r="R6090" s="8">
        <v>13.8</v>
      </c>
      <c r="S6090" s="8">
        <v>14.7</v>
      </c>
      <c r="T6090" s="8">
        <v>0.9</v>
      </c>
      <c r="U6090" s="8">
        <v>13</v>
      </c>
      <c r="V6090" s="8">
        <v>0.9</v>
      </c>
      <c r="W6090" s="8">
        <v>0.6</v>
      </c>
      <c r="X6090" s="8">
        <v>42</v>
      </c>
      <c r="Y6090" s="8" t="s">
        <v>2248</v>
      </c>
      <c r="Z6090" s="8" t="s">
        <v>2249</v>
      </c>
    </row>
    <row r="6091" spans="1:26" x14ac:dyDescent="0.2">
      <c r="A6091" s="8">
        <v>6090</v>
      </c>
      <c r="B6091" s="8" t="s">
        <v>27121</v>
      </c>
      <c r="C6091" s="8" t="s">
        <v>27121</v>
      </c>
      <c r="F6091" s="47"/>
      <c r="G6091" s="8">
        <v>19</v>
      </c>
      <c r="H6091" s="8" t="s">
        <v>21</v>
      </c>
      <c r="I6091" s="8" t="s">
        <v>22</v>
      </c>
      <c r="J6091" s="8" t="s">
        <v>22</v>
      </c>
      <c r="K6091" s="8" t="s">
        <v>31</v>
      </c>
      <c r="L6091" s="8" t="s">
        <v>13395</v>
      </c>
      <c r="M6091" s="8" t="s">
        <v>13396</v>
      </c>
      <c r="N6091" s="8" t="s">
        <v>27122</v>
      </c>
      <c r="O6091" s="8">
        <f>16+11/60+40.7/3600</f>
        <v>16.194638888888889</v>
      </c>
      <c r="P6091" s="8" t="s">
        <v>27123</v>
      </c>
      <c r="Q6091" s="8">
        <f>+(52+27/60+28/3600)</f>
        <v>52.457777777777778</v>
      </c>
      <c r="R6091" s="8">
        <v>13.7</v>
      </c>
      <c r="S6091" s="8">
        <v>14.5</v>
      </c>
      <c r="T6091" s="8">
        <v>0.8</v>
      </c>
      <c r="U6091" s="8">
        <v>14.5</v>
      </c>
      <c r="V6091" s="8">
        <v>2.4</v>
      </c>
      <c r="W6091" s="8">
        <v>1</v>
      </c>
      <c r="X6091" s="8">
        <v>39</v>
      </c>
      <c r="Y6091" s="8" t="s">
        <v>170</v>
      </c>
      <c r="Z6091" s="8" t="s">
        <v>171</v>
      </c>
    </row>
    <row r="6092" spans="1:26" x14ac:dyDescent="0.2">
      <c r="A6092" s="8">
        <v>6091</v>
      </c>
      <c r="B6092" s="8" t="s">
        <v>27124</v>
      </c>
      <c r="C6092" s="8" t="s">
        <v>27124</v>
      </c>
      <c r="F6092" s="47"/>
      <c r="G6092" s="8">
        <v>19</v>
      </c>
      <c r="H6092" s="8" t="s">
        <v>21</v>
      </c>
      <c r="I6092" s="8" t="s">
        <v>22</v>
      </c>
      <c r="J6092" s="8" t="s">
        <v>22</v>
      </c>
      <c r="K6092" s="8" t="s">
        <v>449</v>
      </c>
      <c r="L6092" s="8" t="s">
        <v>14586</v>
      </c>
      <c r="M6092" s="8" t="s">
        <v>14587</v>
      </c>
      <c r="N6092" s="8" t="s">
        <v>27125</v>
      </c>
      <c r="O6092" s="8">
        <f>16+7/60+52.9/3600</f>
        <v>16.131361111111111</v>
      </c>
      <c r="P6092" s="8" t="s">
        <v>27126</v>
      </c>
      <c r="Q6092" s="8">
        <f>+(69+54/60+19/3600)</f>
        <v>69.905277777777783</v>
      </c>
      <c r="R6092" s="8">
        <v>14.1</v>
      </c>
      <c r="S6092" s="8">
        <v>14.9</v>
      </c>
      <c r="T6092" s="8">
        <v>0.8</v>
      </c>
      <c r="U6092" s="8">
        <v>12.6</v>
      </c>
      <c r="V6092" s="8">
        <v>0.8</v>
      </c>
      <c r="W6092" s="8">
        <v>0.5</v>
      </c>
      <c r="X6092" s="8">
        <v>114</v>
      </c>
      <c r="Y6092" s="8" t="s">
        <v>27127</v>
      </c>
      <c r="Z6092" s="8" t="s">
        <v>27128</v>
      </c>
    </row>
    <row r="6093" spans="1:26" x14ac:dyDescent="0.2">
      <c r="A6093" s="8">
        <v>6092</v>
      </c>
      <c r="B6093" s="8" t="s">
        <v>27129</v>
      </c>
      <c r="C6093" s="8" t="s">
        <v>27129</v>
      </c>
      <c r="F6093" s="47"/>
      <c r="G6093" s="8">
        <v>19</v>
      </c>
      <c r="H6093" s="8" t="s">
        <v>21</v>
      </c>
      <c r="I6093" s="8" t="s">
        <v>72</v>
      </c>
      <c r="J6093" s="8" t="s">
        <v>72</v>
      </c>
      <c r="K6093" s="8" t="s">
        <v>73</v>
      </c>
      <c r="L6093" s="8" t="s">
        <v>26398</v>
      </c>
      <c r="M6093" s="8" t="s">
        <v>26399</v>
      </c>
      <c r="N6093" s="8" t="s">
        <v>27130</v>
      </c>
      <c r="O6093" s="8">
        <f>16+14/60+4.5/3600</f>
        <v>16.234583333333333</v>
      </c>
      <c r="P6093" s="8" t="s">
        <v>27131</v>
      </c>
      <c r="Q6093" s="8">
        <f>+(28+7/60+34/3600)</f>
        <v>28.126111111111111</v>
      </c>
      <c r="R6093" s="8">
        <v>99</v>
      </c>
      <c r="S6093" s="8">
        <v>99</v>
      </c>
      <c r="T6093" s="8">
        <v>99</v>
      </c>
      <c r="U6093" s="8">
        <v>99</v>
      </c>
      <c r="Y6093" s="8" t="s">
        <v>27132</v>
      </c>
      <c r="Z6093" s="8" t="s">
        <v>27133</v>
      </c>
    </row>
    <row r="6094" spans="1:26" x14ac:dyDescent="0.2">
      <c r="A6094" s="8">
        <v>6093</v>
      </c>
      <c r="B6094" s="8" t="s">
        <v>27134</v>
      </c>
      <c r="C6094" s="8" t="s">
        <v>55926</v>
      </c>
      <c r="F6094" s="47"/>
      <c r="G6094" s="8">
        <v>1</v>
      </c>
      <c r="H6094" s="8" t="s">
        <v>21</v>
      </c>
      <c r="I6094" s="8" t="s">
        <v>567</v>
      </c>
      <c r="J6094" s="8" t="s">
        <v>567</v>
      </c>
      <c r="K6094" s="8" t="s">
        <v>5894</v>
      </c>
      <c r="L6094" s="8" t="s">
        <v>26735</v>
      </c>
      <c r="M6094" s="8" t="s">
        <v>26736</v>
      </c>
      <c r="N6094" s="8" t="s">
        <v>27135</v>
      </c>
      <c r="O6094" s="8">
        <f>16+17/60+2.5/3600</f>
        <v>16.28402777777778</v>
      </c>
      <c r="P6094" s="8" t="s">
        <v>27136</v>
      </c>
      <c r="Q6094" s="8">
        <f>-(22+58/60+28/3600)</f>
        <v>-22.974444444444444</v>
      </c>
      <c r="R6094" s="8">
        <v>7.3</v>
      </c>
      <c r="S6094" s="8">
        <v>99</v>
      </c>
      <c r="T6094" s="8">
        <v>99</v>
      </c>
      <c r="U6094" s="8">
        <v>99</v>
      </c>
      <c r="V6094" s="8">
        <v>10</v>
      </c>
      <c r="Y6094" s="8" t="s">
        <v>27137</v>
      </c>
      <c r="Z6094" s="8" t="s">
        <v>27138</v>
      </c>
    </row>
    <row r="6095" spans="1:26" x14ac:dyDescent="0.2">
      <c r="A6095" s="8">
        <v>6094</v>
      </c>
      <c r="B6095" s="8" t="s">
        <v>27139</v>
      </c>
      <c r="C6095" s="8" t="s">
        <v>27139</v>
      </c>
      <c r="F6095" s="47" t="s">
        <v>58136</v>
      </c>
      <c r="G6095" s="8">
        <v>15</v>
      </c>
      <c r="H6095" s="8" t="s">
        <v>21</v>
      </c>
      <c r="I6095" s="8" t="s">
        <v>22</v>
      </c>
      <c r="J6095" s="8" t="s">
        <v>22</v>
      </c>
      <c r="K6095" s="8" t="s">
        <v>37</v>
      </c>
      <c r="L6095" s="8" t="s">
        <v>14586</v>
      </c>
      <c r="M6095" s="8" t="s">
        <v>14587</v>
      </c>
      <c r="N6095" s="8" t="s">
        <v>27140</v>
      </c>
      <c r="O6095" s="8">
        <f>16+6/60+33.8/3600</f>
        <v>16.109388888888891</v>
      </c>
      <c r="P6095" s="8" t="s">
        <v>27141</v>
      </c>
      <c r="Q6095" s="8">
        <f>+(72+29/60+42/3600)</f>
        <v>72.495000000000005</v>
      </c>
      <c r="R6095" s="8">
        <v>13.2</v>
      </c>
      <c r="S6095" s="8">
        <v>14.2</v>
      </c>
      <c r="T6095" s="8">
        <v>1</v>
      </c>
      <c r="U6095" s="8">
        <v>14.1</v>
      </c>
      <c r="V6095" s="8">
        <v>1.8</v>
      </c>
      <c r="W6095" s="8">
        <v>1.4</v>
      </c>
      <c r="X6095" s="8">
        <v>120</v>
      </c>
      <c r="Y6095" s="8" t="s">
        <v>2500</v>
      </c>
      <c r="Z6095" s="8" t="s">
        <v>2501</v>
      </c>
    </row>
    <row r="6096" spans="1:26" x14ac:dyDescent="0.2">
      <c r="A6096" s="8">
        <v>6095</v>
      </c>
      <c r="B6096" s="8" t="s">
        <v>27142</v>
      </c>
      <c r="C6096" s="8" t="s">
        <v>27142</v>
      </c>
      <c r="F6096" s="47"/>
      <c r="G6096" s="8">
        <v>19</v>
      </c>
      <c r="H6096" s="8" t="s">
        <v>21</v>
      </c>
      <c r="I6096" s="8" t="s">
        <v>22</v>
      </c>
      <c r="J6096" s="8" t="s">
        <v>22</v>
      </c>
      <c r="K6096" s="8" t="s">
        <v>58</v>
      </c>
      <c r="L6096" s="8" t="s">
        <v>13395</v>
      </c>
      <c r="M6096" s="8" t="s">
        <v>13396</v>
      </c>
      <c r="N6096" s="8" t="s">
        <v>27143</v>
      </c>
      <c r="O6096" s="8">
        <f>16+11/60+11/3600</f>
        <v>16.186388888888889</v>
      </c>
      <c r="P6096" s="8" t="s">
        <v>27144</v>
      </c>
      <c r="Q6096" s="8">
        <f>+(61+16/60+5/3600)</f>
        <v>61.268055555555556</v>
      </c>
      <c r="R6096" s="8">
        <v>12.6</v>
      </c>
      <c r="S6096" s="8">
        <v>13.6</v>
      </c>
      <c r="T6096" s="8">
        <v>1</v>
      </c>
      <c r="U6096" s="8">
        <v>13.7</v>
      </c>
      <c r="V6096" s="8">
        <v>1.8</v>
      </c>
      <c r="W6096" s="8">
        <v>1.6</v>
      </c>
      <c r="X6096" s="8">
        <v>132</v>
      </c>
      <c r="Y6096" s="8" t="s">
        <v>27145</v>
      </c>
      <c r="Z6096" s="8" t="s">
        <v>27146</v>
      </c>
    </row>
    <row r="6097" spans="1:26" x14ac:dyDescent="0.2">
      <c r="A6097" s="8">
        <v>6096</v>
      </c>
      <c r="B6097" s="8" t="s">
        <v>27147</v>
      </c>
      <c r="C6097" s="8" t="s">
        <v>27147</v>
      </c>
      <c r="F6097" s="47"/>
      <c r="G6097" s="8">
        <v>18</v>
      </c>
      <c r="H6097" s="8" t="s">
        <v>21</v>
      </c>
      <c r="I6097" s="8" t="s">
        <v>22</v>
      </c>
      <c r="J6097" s="8" t="s">
        <v>22</v>
      </c>
      <c r="K6097" s="8" t="s">
        <v>23</v>
      </c>
      <c r="L6097" s="8" t="s">
        <v>26398</v>
      </c>
      <c r="M6097" s="8" t="s">
        <v>26399</v>
      </c>
      <c r="N6097" s="8" t="s">
        <v>27148</v>
      </c>
      <c r="O6097" s="8">
        <f>16+14/60+46.6/3600</f>
        <v>16.246277777777777</v>
      </c>
      <c r="P6097" s="8" t="s">
        <v>27149</v>
      </c>
      <c r="Q6097" s="8">
        <f>+(26+33/60+34/3600)</f>
        <v>26.559444444444445</v>
      </c>
      <c r="R6097" s="8">
        <v>14.3</v>
      </c>
      <c r="S6097" s="8">
        <v>15.1</v>
      </c>
      <c r="T6097" s="8">
        <v>0.8</v>
      </c>
      <c r="U6097" s="8">
        <v>13</v>
      </c>
      <c r="V6097" s="8">
        <v>0.9</v>
      </c>
      <c r="W6097" s="8">
        <v>0.4</v>
      </c>
      <c r="X6097" s="8">
        <v>135</v>
      </c>
      <c r="Y6097" s="8" t="s">
        <v>115</v>
      </c>
      <c r="Z6097" s="8" t="s">
        <v>116</v>
      </c>
    </row>
    <row r="6098" spans="1:26" x14ac:dyDescent="0.2">
      <c r="A6098" s="8">
        <v>6097</v>
      </c>
      <c r="B6098" s="8" t="s">
        <v>27150</v>
      </c>
      <c r="C6098" s="8" t="s">
        <v>27150</v>
      </c>
      <c r="F6098" s="47"/>
      <c r="G6098" s="8">
        <v>19</v>
      </c>
      <c r="H6098" s="8" t="s">
        <v>21</v>
      </c>
      <c r="I6098" s="8" t="s">
        <v>22</v>
      </c>
      <c r="J6098" s="8" t="s">
        <v>22</v>
      </c>
      <c r="K6098" s="8" t="s">
        <v>632</v>
      </c>
      <c r="L6098" s="8" t="s">
        <v>26398</v>
      </c>
      <c r="M6098" s="8" t="s">
        <v>26399</v>
      </c>
      <c r="N6098" s="8" t="s">
        <v>27151</v>
      </c>
      <c r="O6098" s="8">
        <f>16+14/60+26.2/3600</f>
        <v>16.240611111111111</v>
      </c>
      <c r="P6098" s="8" t="s">
        <v>27152</v>
      </c>
      <c r="Q6098" s="8">
        <f>+(35+6/60+33/3600)</f>
        <v>35.109166666666667</v>
      </c>
      <c r="R6098" s="8">
        <v>13.9</v>
      </c>
      <c r="S6098" s="8">
        <v>14.8</v>
      </c>
      <c r="T6098" s="8">
        <v>0.9</v>
      </c>
      <c r="U6098" s="8">
        <v>13.3</v>
      </c>
      <c r="V6098" s="8">
        <v>1.1000000000000001</v>
      </c>
      <c r="W6098" s="8">
        <v>0.6</v>
      </c>
      <c r="X6098" s="8">
        <v>156</v>
      </c>
      <c r="Y6098" s="8" t="s">
        <v>27153</v>
      </c>
      <c r="Z6098" s="8" t="s">
        <v>14153</v>
      </c>
    </row>
    <row r="6099" spans="1:26" x14ac:dyDescent="0.2">
      <c r="A6099" s="8">
        <v>6098</v>
      </c>
      <c r="B6099" s="8" t="s">
        <v>27154</v>
      </c>
      <c r="C6099" s="8" t="s">
        <v>27154</v>
      </c>
      <c r="F6099" s="47"/>
      <c r="G6099" s="8">
        <v>19</v>
      </c>
      <c r="H6099" s="8" t="s">
        <v>21</v>
      </c>
      <c r="I6099" s="8" t="s">
        <v>22</v>
      </c>
      <c r="J6099" s="8" t="s">
        <v>22</v>
      </c>
      <c r="K6099" s="8" t="s">
        <v>382</v>
      </c>
      <c r="L6099" s="8" t="s">
        <v>26804</v>
      </c>
      <c r="M6099" s="8" t="s">
        <v>26805</v>
      </c>
      <c r="N6099" s="8" t="s">
        <v>27155</v>
      </c>
      <c r="O6099" s="8">
        <f>16+15/60+34/3600</f>
        <v>16.259444444444444</v>
      </c>
      <c r="P6099" s="8" t="s">
        <v>27156</v>
      </c>
      <c r="Q6099" s="8">
        <f>+(19+27/60+42/3600)</f>
        <v>19.461666666666666</v>
      </c>
      <c r="R6099" s="8">
        <v>13.4</v>
      </c>
      <c r="S6099" s="8">
        <v>14.4</v>
      </c>
      <c r="T6099" s="8">
        <v>1</v>
      </c>
      <c r="U6099" s="8">
        <v>13.3</v>
      </c>
      <c r="V6099" s="8">
        <v>1</v>
      </c>
      <c r="W6099" s="8">
        <v>0.7</v>
      </c>
      <c r="X6099" s="8">
        <v>141</v>
      </c>
      <c r="Y6099" s="8" t="s">
        <v>27157</v>
      </c>
      <c r="Z6099" s="8" t="s">
        <v>27158</v>
      </c>
    </row>
    <row r="6100" spans="1:26" x14ac:dyDescent="0.2">
      <c r="A6100" s="8">
        <v>6099</v>
      </c>
      <c r="B6100" s="8" t="s">
        <v>27159</v>
      </c>
      <c r="C6100" s="8" t="s">
        <v>27159</v>
      </c>
      <c r="F6100" s="47"/>
      <c r="G6100" s="8">
        <v>19</v>
      </c>
      <c r="H6100" s="8" t="s">
        <v>21</v>
      </c>
      <c r="I6100" s="8" t="s">
        <v>22</v>
      </c>
      <c r="J6100" s="8" t="s">
        <v>22</v>
      </c>
      <c r="K6100" s="8" t="s">
        <v>460</v>
      </c>
      <c r="L6100" s="8" t="s">
        <v>26804</v>
      </c>
      <c r="M6100" s="8" t="s">
        <v>26805</v>
      </c>
      <c r="N6100" s="8" t="s">
        <v>27160</v>
      </c>
      <c r="O6100" s="8">
        <f>16+15/60+35.5/3600</f>
        <v>16.25986111111111</v>
      </c>
      <c r="P6100" s="8" t="s">
        <v>27161</v>
      </c>
      <c r="Q6100" s="8">
        <f>+(19+27/60+14/3600)</f>
        <v>19.453888888888887</v>
      </c>
      <c r="R6100" s="8">
        <v>14.2</v>
      </c>
      <c r="S6100" s="8">
        <v>15.2</v>
      </c>
      <c r="T6100" s="8">
        <v>1</v>
      </c>
      <c r="U6100" s="8">
        <v>14.8</v>
      </c>
      <c r="V6100" s="8">
        <v>1.3</v>
      </c>
      <c r="W6100" s="8">
        <v>1.3</v>
      </c>
      <c r="Y6100" s="8" t="s">
        <v>27162</v>
      </c>
      <c r="Z6100" s="8" t="s">
        <v>27163</v>
      </c>
    </row>
    <row r="6101" spans="1:26" x14ac:dyDescent="0.2">
      <c r="A6101" s="8">
        <v>6100</v>
      </c>
      <c r="B6101" s="8" t="s">
        <v>27164</v>
      </c>
      <c r="C6101" s="8" t="s">
        <v>27164</v>
      </c>
      <c r="F6101" s="47"/>
      <c r="G6101" s="8">
        <v>19</v>
      </c>
      <c r="H6101" s="8" t="s">
        <v>21</v>
      </c>
      <c r="I6101" s="8" t="s">
        <v>22</v>
      </c>
      <c r="J6101" s="8" t="s">
        <v>22</v>
      </c>
      <c r="K6101" s="8" t="s">
        <v>632</v>
      </c>
      <c r="L6101" s="8" t="s">
        <v>26227</v>
      </c>
      <c r="M6101" s="8" t="s">
        <v>26228</v>
      </c>
      <c r="N6101" s="8" t="s">
        <v>27165</v>
      </c>
      <c r="O6101" s="8">
        <f>16+16/60+52.3/3600</f>
        <v>16.281194444444445</v>
      </c>
      <c r="P6101" s="8" t="s">
        <v>27166</v>
      </c>
      <c r="Q6101" s="8">
        <f>+(0+50/60+28/3600)</f>
        <v>0.84111111111111114</v>
      </c>
      <c r="R6101" s="8">
        <v>13</v>
      </c>
      <c r="S6101" s="8">
        <v>13.9</v>
      </c>
      <c r="T6101" s="8">
        <v>0.9</v>
      </c>
      <c r="U6101" s="8">
        <v>13.7</v>
      </c>
      <c r="V6101" s="8">
        <v>1.8</v>
      </c>
      <c r="W6101" s="8">
        <v>1.1000000000000001</v>
      </c>
      <c r="X6101" s="8">
        <v>120</v>
      </c>
      <c r="Y6101" s="8" t="s">
        <v>27167</v>
      </c>
      <c r="Z6101" s="8" t="s">
        <v>27168</v>
      </c>
    </row>
    <row r="6102" spans="1:26" x14ac:dyDescent="0.2">
      <c r="A6102" s="8">
        <v>6101</v>
      </c>
      <c r="B6102" s="8" t="s">
        <v>27169</v>
      </c>
      <c r="C6102" s="8" t="s">
        <v>27169</v>
      </c>
      <c r="F6102" s="47"/>
      <c r="G6102" s="8">
        <v>2</v>
      </c>
      <c r="H6102" s="8" t="s">
        <v>21</v>
      </c>
      <c r="I6102" s="8" t="s">
        <v>567</v>
      </c>
      <c r="J6102" s="8" t="s">
        <v>567</v>
      </c>
      <c r="K6102" s="8" t="s">
        <v>1485</v>
      </c>
      <c r="L6102" s="8" t="s">
        <v>25025</v>
      </c>
      <c r="M6102" s="8" t="s">
        <v>25026</v>
      </c>
      <c r="N6102" s="8" t="s">
        <v>27170</v>
      </c>
      <c r="O6102" s="8">
        <f>16+25/60+48.6/3600</f>
        <v>16.430166666666668</v>
      </c>
      <c r="P6102" s="8" t="s">
        <v>27171</v>
      </c>
      <c r="Q6102" s="8">
        <f>-(72+12/60+4/3600)</f>
        <v>-72.201111111111118</v>
      </c>
      <c r="R6102" s="8">
        <v>9.1999999999999993</v>
      </c>
      <c r="S6102" s="8">
        <v>99</v>
      </c>
      <c r="T6102" s="8">
        <v>99</v>
      </c>
      <c r="U6102" s="8">
        <v>99</v>
      </c>
      <c r="V6102" s="8">
        <v>5</v>
      </c>
      <c r="Y6102" s="8" t="s">
        <v>27172</v>
      </c>
      <c r="Z6102" s="8" t="s">
        <v>27173</v>
      </c>
    </row>
    <row r="6103" spans="1:26" x14ac:dyDescent="0.2">
      <c r="A6103" s="8">
        <v>6102</v>
      </c>
      <c r="B6103" s="8" t="s">
        <v>27174</v>
      </c>
      <c r="C6103" s="8" t="s">
        <v>27174</v>
      </c>
      <c r="F6103" s="47"/>
      <c r="G6103" s="8">
        <v>18</v>
      </c>
      <c r="H6103" s="8" t="s">
        <v>21</v>
      </c>
      <c r="I6103" s="8" t="s">
        <v>22</v>
      </c>
      <c r="J6103" s="8" t="s">
        <v>22</v>
      </c>
      <c r="K6103" s="8" t="s">
        <v>160</v>
      </c>
      <c r="L6103" s="8" t="s">
        <v>26398</v>
      </c>
      <c r="M6103" s="8" t="s">
        <v>26399</v>
      </c>
      <c r="N6103" s="8" t="s">
        <v>27175</v>
      </c>
      <c r="O6103" s="8">
        <f>16+15/60+36.9/3600</f>
        <v>16.260249999999999</v>
      </c>
      <c r="P6103" s="8" t="s">
        <v>27176</v>
      </c>
      <c r="Q6103" s="8">
        <f>+(28+9/60+32/3600)</f>
        <v>28.158888888888889</v>
      </c>
      <c r="R6103" s="8">
        <v>13.9</v>
      </c>
      <c r="S6103" s="8">
        <v>14.6</v>
      </c>
      <c r="T6103" s="8">
        <v>0.7</v>
      </c>
      <c r="U6103" s="8">
        <v>13.7</v>
      </c>
      <c r="V6103" s="8">
        <v>1.2</v>
      </c>
      <c r="W6103" s="8">
        <v>0.8</v>
      </c>
      <c r="X6103" s="8">
        <v>70</v>
      </c>
      <c r="Y6103" s="8" t="s">
        <v>170</v>
      </c>
      <c r="Z6103" s="8" t="s">
        <v>171</v>
      </c>
    </row>
    <row r="6104" spans="1:26" x14ac:dyDescent="0.2">
      <c r="A6104" s="8">
        <v>6103</v>
      </c>
      <c r="B6104" s="8" t="s">
        <v>27177</v>
      </c>
      <c r="C6104" s="8" t="s">
        <v>27177</v>
      </c>
      <c r="F6104" s="47" t="s">
        <v>58137</v>
      </c>
      <c r="G6104" s="8">
        <v>15</v>
      </c>
      <c r="H6104" s="8" t="s">
        <v>21</v>
      </c>
      <c r="I6104" s="8" t="s">
        <v>22</v>
      </c>
      <c r="J6104" s="8" t="s">
        <v>22</v>
      </c>
      <c r="K6104" s="8" t="s">
        <v>396</v>
      </c>
      <c r="L6104" s="8" t="s">
        <v>26398</v>
      </c>
      <c r="M6104" s="8" t="s">
        <v>26399</v>
      </c>
      <c r="N6104" s="8" t="s">
        <v>27178</v>
      </c>
      <c r="O6104" s="8">
        <f>16+15/60+44.5/3600</f>
        <v>16.262361111111112</v>
      </c>
      <c r="P6104" s="8" t="s">
        <v>27179</v>
      </c>
      <c r="Q6104" s="8">
        <f>+(31+57/60+50/3600)</f>
        <v>31.963888888888889</v>
      </c>
      <c r="R6104" s="8">
        <v>13.9</v>
      </c>
      <c r="S6104" s="8">
        <v>14.7</v>
      </c>
      <c r="T6104" s="8">
        <v>0.8</v>
      </c>
      <c r="U6104" s="8">
        <v>12.6</v>
      </c>
      <c r="V6104" s="8">
        <v>0.7</v>
      </c>
      <c r="W6104" s="8">
        <v>0.5</v>
      </c>
      <c r="X6104" s="8">
        <v>80</v>
      </c>
      <c r="Y6104" s="8" t="s">
        <v>7815</v>
      </c>
      <c r="Z6104" s="8" t="s">
        <v>7816</v>
      </c>
    </row>
    <row r="6105" spans="1:26" x14ac:dyDescent="0.2">
      <c r="A6105" s="8">
        <v>6104</v>
      </c>
      <c r="B6105" s="8" t="s">
        <v>27180</v>
      </c>
      <c r="C6105" s="8" t="s">
        <v>27180</v>
      </c>
      <c r="F6105" s="47" t="s">
        <v>58138</v>
      </c>
      <c r="G6105" s="8">
        <v>15</v>
      </c>
      <c r="H6105" s="8" t="s">
        <v>21</v>
      </c>
      <c r="I6105" s="8" t="s">
        <v>22</v>
      </c>
      <c r="J6105" s="8" t="s">
        <v>22</v>
      </c>
      <c r="K6105" s="8" t="s">
        <v>154</v>
      </c>
      <c r="L6105" s="8" t="s">
        <v>26398</v>
      </c>
      <c r="M6105" s="8" t="s">
        <v>26399</v>
      </c>
      <c r="N6105" s="8" t="s">
        <v>27181</v>
      </c>
      <c r="O6105" s="8">
        <f>16+16/60+30.6/3600</f>
        <v>16.275166666666667</v>
      </c>
      <c r="P6105" s="8" t="s">
        <v>27182</v>
      </c>
      <c r="Q6105" s="8">
        <f>+(35+42/60+27/3600)</f>
        <v>35.707500000000003</v>
      </c>
      <c r="R6105" s="8">
        <v>13.3</v>
      </c>
      <c r="S6105" s="8">
        <v>14.2</v>
      </c>
      <c r="T6105" s="8">
        <v>0.9</v>
      </c>
      <c r="U6105" s="8">
        <v>12.5</v>
      </c>
      <c r="V6105" s="8">
        <v>0.8</v>
      </c>
      <c r="W6105" s="8">
        <v>0.7</v>
      </c>
      <c r="X6105" s="8">
        <v>45</v>
      </c>
      <c r="Y6105" s="8" t="s">
        <v>1794</v>
      </c>
      <c r="Z6105" s="8" t="s">
        <v>1795</v>
      </c>
    </row>
    <row r="6106" spans="1:26" x14ac:dyDescent="0.2">
      <c r="A6106" s="8">
        <v>6105</v>
      </c>
      <c r="B6106" s="8" t="s">
        <v>27183</v>
      </c>
      <c r="C6106" s="8" t="s">
        <v>27183</v>
      </c>
      <c r="F6106" s="47"/>
      <c r="G6106" s="8">
        <v>19</v>
      </c>
      <c r="H6106" s="8" t="s">
        <v>21</v>
      </c>
      <c r="I6106" s="8" t="s">
        <v>22</v>
      </c>
      <c r="J6106" s="8" t="s">
        <v>22</v>
      </c>
      <c r="K6106" s="8" t="s">
        <v>154</v>
      </c>
      <c r="L6106" s="8" t="s">
        <v>26398</v>
      </c>
      <c r="M6106" s="8" t="s">
        <v>26399</v>
      </c>
      <c r="N6106" s="8" t="s">
        <v>27184</v>
      </c>
      <c r="O6106" s="8">
        <f>16+17/60+9.2/3600</f>
        <v>16.285888888888891</v>
      </c>
      <c r="P6106" s="8" t="s">
        <v>27185</v>
      </c>
      <c r="Q6106" s="8">
        <f>+(34+52/60+46/3600)</f>
        <v>34.879444444444445</v>
      </c>
      <c r="R6106" s="8">
        <v>14.4</v>
      </c>
      <c r="S6106" s="8">
        <v>15.3</v>
      </c>
      <c r="T6106" s="8">
        <v>0.9</v>
      </c>
      <c r="U6106" s="8">
        <v>12.9</v>
      </c>
      <c r="V6106" s="8">
        <v>0.6</v>
      </c>
      <c r="W6106" s="8">
        <v>0.4</v>
      </c>
      <c r="X6106" s="8">
        <v>138</v>
      </c>
      <c r="Y6106" s="8" t="s">
        <v>27186</v>
      </c>
      <c r="Z6106" s="8" t="s">
        <v>27187</v>
      </c>
    </row>
    <row r="6107" spans="1:26" x14ac:dyDescent="0.2">
      <c r="A6107" s="8">
        <v>6106</v>
      </c>
      <c r="B6107" s="8" t="s">
        <v>27188</v>
      </c>
      <c r="C6107" s="8" t="s">
        <v>27188</v>
      </c>
      <c r="F6107" s="47" t="s">
        <v>58139</v>
      </c>
      <c r="G6107" s="8">
        <v>6.5</v>
      </c>
      <c r="H6107" s="8" t="s">
        <v>21</v>
      </c>
      <c r="I6107" s="8" t="s">
        <v>22</v>
      </c>
      <c r="J6107" s="8" t="s">
        <v>22</v>
      </c>
      <c r="K6107" s="8" t="s">
        <v>160</v>
      </c>
      <c r="L6107" s="8" t="s">
        <v>26804</v>
      </c>
      <c r="M6107" s="8" t="s">
        <v>26805</v>
      </c>
      <c r="N6107" s="8" t="s">
        <v>27189</v>
      </c>
      <c r="O6107" s="8">
        <f>16+18/60+47/3600</f>
        <v>16.313055555555557</v>
      </c>
      <c r="P6107" s="8" t="s">
        <v>27190</v>
      </c>
      <c r="Q6107" s="8">
        <f>+(7+24/60+40/3600)</f>
        <v>7.4111111111111114</v>
      </c>
      <c r="R6107" s="8">
        <v>12.2</v>
      </c>
      <c r="S6107" s="8">
        <v>12.8</v>
      </c>
      <c r="T6107" s="8">
        <v>0.6</v>
      </c>
      <c r="U6107" s="8">
        <v>13.4</v>
      </c>
      <c r="V6107" s="8">
        <v>2.4</v>
      </c>
      <c r="W6107" s="8">
        <v>1.3</v>
      </c>
      <c r="X6107" s="8">
        <v>140</v>
      </c>
      <c r="Y6107" s="8" t="s">
        <v>27191</v>
      </c>
      <c r="Z6107" s="8" t="s">
        <v>27192</v>
      </c>
    </row>
    <row r="6108" spans="1:26" x14ac:dyDescent="0.2">
      <c r="A6108" s="8">
        <v>6107</v>
      </c>
      <c r="B6108" s="8" t="s">
        <v>27193</v>
      </c>
      <c r="C6108" s="8" t="s">
        <v>27193</v>
      </c>
      <c r="F6108" s="47"/>
      <c r="G6108" s="8">
        <v>19</v>
      </c>
      <c r="H6108" s="8" t="s">
        <v>21</v>
      </c>
      <c r="I6108" s="8" t="s">
        <v>22</v>
      </c>
      <c r="J6108" s="8" t="s">
        <v>22</v>
      </c>
      <c r="K6108" s="8" t="s">
        <v>382</v>
      </c>
      <c r="L6108" s="8" t="s">
        <v>26398</v>
      </c>
      <c r="M6108" s="8" t="s">
        <v>26399</v>
      </c>
      <c r="N6108" s="8" t="s">
        <v>27194</v>
      </c>
      <c r="O6108" s="8">
        <f>16+17/60+20.1/3600</f>
        <v>16.288916666666669</v>
      </c>
      <c r="P6108" s="8" t="s">
        <v>27195</v>
      </c>
      <c r="Q6108" s="8">
        <f>+(34+54/60+8/3600)</f>
        <v>34.902222222222221</v>
      </c>
      <c r="R6108" s="8">
        <v>13.8</v>
      </c>
      <c r="S6108" s="8">
        <v>14.9</v>
      </c>
      <c r="T6108" s="8">
        <v>1.1000000000000001</v>
      </c>
      <c r="U6108" s="8">
        <v>13.1</v>
      </c>
      <c r="V6108" s="8">
        <v>1.5</v>
      </c>
      <c r="W6108" s="8">
        <v>1.1000000000000001</v>
      </c>
      <c r="X6108" s="8">
        <v>40</v>
      </c>
      <c r="Y6108" s="8" t="s">
        <v>635</v>
      </c>
      <c r="Z6108" s="8" t="s">
        <v>636</v>
      </c>
    </row>
    <row r="6109" spans="1:26" x14ac:dyDescent="0.2">
      <c r="A6109" s="8">
        <v>6108</v>
      </c>
      <c r="B6109" s="8" t="s">
        <v>27196</v>
      </c>
      <c r="C6109" s="8" t="s">
        <v>27196</v>
      </c>
      <c r="F6109" s="47"/>
      <c r="G6109" s="8">
        <v>19</v>
      </c>
      <c r="H6109" s="8" t="s">
        <v>21</v>
      </c>
      <c r="I6109" s="8" t="s">
        <v>22</v>
      </c>
      <c r="J6109" s="8" t="s">
        <v>22</v>
      </c>
      <c r="K6109" s="8" t="s">
        <v>406</v>
      </c>
      <c r="L6109" s="8" t="s">
        <v>26398</v>
      </c>
      <c r="M6109" s="8" t="s">
        <v>26399</v>
      </c>
      <c r="N6109" s="8" t="s">
        <v>27197</v>
      </c>
      <c r="O6109" s="8">
        <f>16+17/60+25.5/3600</f>
        <v>16.290416666666669</v>
      </c>
      <c r="P6109" s="8" t="s">
        <v>27198</v>
      </c>
      <c r="Q6109" s="8">
        <f>+(35+8/60+9/3600)</f>
        <v>35.135833333333331</v>
      </c>
      <c r="R6109" s="8">
        <v>14.4</v>
      </c>
      <c r="S6109" s="8">
        <v>15.2</v>
      </c>
      <c r="T6109" s="8">
        <v>0.8</v>
      </c>
      <c r="U6109" s="8">
        <v>14.4</v>
      </c>
      <c r="V6109" s="8">
        <v>1.1000000000000001</v>
      </c>
      <c r="W6109" s="8">
        <v>1</v>
      </c>
      <c r="X6109" s="8">
        <v>124</v>
      </c>
      <c r="Y6109" s="8" t="s">
        <v>348</v>
      </c>
      <c r="Z6109" s="8" t="s">
        <v>349</v>
      </c>
    </row>
    <row r="6110" spans="1:26" x14ac:dyDescent="0.2">
      <c r="A6110" s="8">
        <v>6109</v>
      </c>
      <c r="B6110" s="8" t="s">
        <v>27199</v>
      </c>
      <c r="C6110" s="8" t="s">
        <v>27199</v>
      </c>
      <c r="F6110" s="47"/>
      <c r="G6110" s="8">
        <v>19</v>
      </c>
      <c r="H6110" s="8" t="s">
        <v>21</v>
      </c>
      <c r="I6110" s="8" t="s">
        <v>22</v>
      </c>
      <c r="J6110" s="8" t="s">
        <v>22</v>
      </c>
      <c r="K6110" s="8" t="s">
        <v>37</v>
      </c>
      <c r="L6110" s="8" t="s">
        <v>26398</v>
      </c>
      <c r="M6110" s="8" t="s">
        <v>26399</v>
      </c>
      <c r="N6110" s="8" t="s">
        <v>27200</v>
      </c>
      <c r="O6110" s="8">
        <f>16+17/60+40.5/3600</f>
        <v>16.294583333333335</v>
      </c>
      <c r="P6110" s="8" t="s">
        <v>27201</v>
      </c>
      <c r="Q6110" s="8">
        <f>+(35+0/60+15/3600)</f>
        <v>35.00416666666667</v>
      </c>
      <c r="R6110" s="8">
        <v>12.7</v>
      </c>
      <c r="S6110" s="8">
        <v>13.8</v>
      </c>
      <c r="T6110" s="8">
        <v>1.1000000000000001</v>
      </c>
      <c r="U6110" s="8">
        <v>12.7</v>
      </c>
      <c r="V6110" s="8">
        <v>1</v>
      </c>
      <c r="W6110" s="8">
        <v>1</v>
      </c>
      <c r="Y6110" s="8" t="s">
        <v>6420</v>
      </c>
      <c r="Z6110" s="8" t="s">
        <v>6421</v>
      </c>
    </row>
    <row r="6111" spans="1:26" x14ac:dyDescent="0.2">
      <c r="A6111" s="8">
        <v>6110</v>
      </c>
      <c r="B6111" s="8" t="s">
        <v>27202</v>
      </c>
      <c r="C6111" s="8" t="s">
        <v>27202</v>
      </c>
      <c r="F6111" s="47"/>
      <c r="G6111" s="8">
        <v>19</v>
      </c>
      <c r="H6111" s="8" t="s">
        <v>21</v>
      </c>
      <c r="I6111" s="8" t="s">
        <v>22</v>
      </c>
      <c r="J6111" s="8" t="s">
        <v>22</v>
      </c>
      <c r="K6111" s="8" t="s">
        <v>31</v>
      </c>
      <c r="L6111" s="8" t="s">
        <v>26398</v>
      </c>
      <c r="M6111" s="8" t="s">
        <v>26399</v>
      </c>
      <c r="N6111" s="8" t="s">
        <v>27203</v>
      </c>
      <c r="O6111" s="8">
        <f>16+17/60+43.9/3600</f>
        <v>16.295527777777778</v>
      </c>
      <c r="P6111" s="8" t="s">
        <v>27204</v>
      </c>
      <c r="Q6111" s="8">
        <f>+(35+5/60+15/3600)</f>
        <v>35.087500000000006</v>
      </c>
      <c r="R6111" s="8">
        <v>14.8</v>
      </c>
      <c r="S6111" s="8">
        <v>15.6</v>
      </c>
      <c r="T6111" s="8">
        <v>0.8</v>
      </c>
      <c r="U6111" s="8">
        <v>12.8</v>
      </c>
      <c r="V6111" s="8">
        <v>0.6</v>
      </c>
      <c r="W6111" s="8">
        <v>0.3</v>
      </c>
      <c r="X6111" s="8">
        <v>105</v>
      </c>
      <c r="Y6111" s="8" t="s">
        <v>1133</v>
      </c>
      <c r="Z6111" s="8" t="s">
        <v>1134</v>
      </c>
    </row>
    <row r="6112" spans="1:26" x14ac:dyDescent="0.2">
      <c r="A6112" s="8">
        <v>6111</v>
      </c>
      <c r="B6112" s="8" t="s">
        <v>27205</v>
      </c>
      <c r="C6112" s="8" t="s">
        <v>27205</v>
      </c>
      <c r="F6112" s="47"/>
      <c r="G6112" s="8">
        <v>19</v>
      </c>
      <c r="H6112" s="8" t="s">
        <v>21</v>
      </c>
      <c r="I6112" s="8" t="s">
        <v>22</v>
      </c>
      <c r="J6112" s="8" t="s">
        <v>22</v>
      </c>
      <c r="K6112" s="8" t="s">
        <v>818</v>
      </c>
      <c r="L6112" s="8" t="s">
        <v>13395</v>
      </c>
      <c r="M6112" s="8" t="s">
        <v>13396</v>
      </c>
      <c r="N6112" s="8" t="s">
        <v>27206</v>
      </c>
      <c r="O6112" s="8">
        <f>16+14/60+22.7/3600</f>
        <v>16.239638888888891</v>
      </c>
      <c r="P6112" s="8" t="s">
        <v>27207</v>
      </c>
      <c r="Q6112" s="8">
        <f>+(63+15/60+41/3600)</f>
        <v>63.261388888888888</v>
      </c>
      <c r="R6112" s="8">
        <v>14</v>
      </c>
      <c r="S6112" s="8">
        <v>15</v>
      </c>
      <c r="T6112" s="8">
        <v>1</v>
      </c>
      <c r="U6112" s="8">
        <v>13</v>
      </c>
      <c r="V6112" s="8">
        <v>0.7</v>
      </c>
      <c r="W6112" s="8">
        <v>0.6</v>
      </c>
      <c r="X6112" s="8">
        <v>21</v>
      </c>
      <c r="Y6112" s="8" t="s">
        <v>27208</v>
      </c>
      <c r="Z6112" s="8" t="s">
        <v>27209</v>
      </c>
    </row>
    <row r="6113" spans="1:26" x14ac:dyDescent="0.2">
      <c r="A6113" s="8">
        <v>6112</v>
      </c>
      <c r="B6113" s="8" t="s">
        <v>27210</v>
      </c>
      <c r="C6113" s="8" t="s">
        <v>27210</v>
      </c>
      <c r="F6113" s="47"/>
      <c r="G6113" s="8">
        <v>19</v>
      </c>
      <c r="H6113" s="8" t="s">
        <v>21</v>
      </c>
      <c r="I6113" s="8" t="s">
        <v>22</v>
      </c>
      <c r="J6113" s="8" t="s">
        <v>22</v>
      </c>
      <c r="K6113" s="8" t="s">
        <v>1136</v>
      </c>
      <c r="L6113" s="8" t="s">
        <v>26398</v>
      </c>
      <c r="M6113" s="8" t="s">
        <v>26399</v>
      </c>
      <c r="N6113" s="8" t="s">
        <v>27211</v>
      </c>
      <c r="O6113" s="8">
        <f>16+18/60+0.5/3600</f>
        <v>16.300138888888888</v>
      </c>
      <c r="P6113" s="8" t="s">
        <v>27212</v>
      </c>
      <c r="Q6113" s="8">
        <f>+(35+6/60+39/3600)</f>
        <v>35.110833333333332</v>
      </c>
      <c r="R6113" s="8">
        <v>14</v>
      </c>
      <c r="S6113" s="8">
        <v>15</v>
      </c>
      <c r="T6113" s="8">
        <v>1</v>
      </c>
      <c r="U6113" s="8">
        <v>13.6</v>
      </c>
      <c r="V6113" s="8">
        <v>1</v>
      </c>
      <c r="W6113" s="8">
        <v>0.8</v>
      </c>
      <c r="X6113" s="8">
        <v>69</v>
      </c>
      <c r="Y6113" s="8" t="s">
        <v>115</v>
      </c>
      <c r="Z6113" s="8" t="s">
        <v>116</v>
      </c>
    </row>
    <row r="6114" spans="1:26" x14ac:dyDescent="0.2">
      <c r="A6114" s="8">
        <v>6113</v>
      </c>
      <c r="B6114" s="8" t="s">
        <v>27213</v>
      </c>
      <c r="C6114" s="8" t="s">
        <v>27213</v>
      </c>
      <c r="F6114" s="47"/>
      <c r="G6114" s="8">
        <v>19</v>
      </c>
      <c r="H6114" s="8" t="s">
        <v>21</v>
      </c>
      <c r="I6114" s="8" t="s">
        <v>22</v>
      </c>
      <c r="J6114" s="8" t="s">
        <v>22</v>
      </c>
      <c r="K6114" s="8" t="s">
        <v>37</v>
      </c>
      <c r="L6114" s="8" t="s">
        <v>26804</v>
      </c>
      <c r="M6114" s="8" t="s">
        <v>26805</v>
      </c>
      <c r="N6114" s="8" t="s">
        <v>27214</v>
      </c>
      <c r="O6114" s="8">
        <f>16+19/60+10.6/3600</f>
        <v>16.319611111111112</v>
      </c>
      <c r="P6114" s="8" t="s">
        <v>27215</v>
      </c>
      <c r="Q6114" s="8">
        <f>+(14+8/60+1/3600)</f>
        <v>14.13361111111111</v>
      </c>
      <c r="R6114" s="8">
        <v>14.1</v>
      </c>
      <c r="S6114" s="8">
        <v>15.1</v>
      </c>
      <c r="T6114" s="8">
        <v>1</v>
      </c>
      <c r="U6114" s="8">
        <v>12.9</v>
      </c>
      <c r="V6114" s="8">
        <v>0.9</v>
      </c>
      <c r="W6114" s="8">
        <v>0.4</v>
      </c>
      <c r="X6114" s="8">
        <v>147</v>
      </c>
      <c r="Y6114" s="8" t="s">
        <v>170</v>
      </c>
      <c r="Z6114" s="8" t="s">
        <v>171</v>
      </c>
    </row>
    <row r="6115" spans="1:26" x14ac:dyDescent="0.2">
      <c r="A6115" s="8">
        <v>6114</v>
      </c>
      <c r="B6115" s="8" t="s">
        <v>27216</v>
      </c>
      <c r="C6115" s="8" t="s">
        <v>27216</v>
      </c>
      <c r="F6115" s="47"/>
      <c r="G6115" s="8">
        <v>19</v>
      </c>
      <c r="H6115" s="8" t="s">
        <v>21</v>
      </c>
      <c r="I6115" s="8" t="s">
        <v>22</v>
      </c>
      <c r="J6115" s="8" t="s">
        <v>22</v>
      </c>
      <c r="K6115" s="8" t="s">
        <v>396</v>
      </c>
      <c r="L6115" s="8" t="s">
        <v>26398</v>
      </c>
      <c r="M6115" s="8" t="s">
        <v>26399</v>
      </c>
      <c r="N6115" s="8" t="s">
        <v>27217</v>
      </c>
      <c r="O6115" s="8">
        <f>16+18/60+23.5/3600</f>
        <v>16.306527777777777</v>
      </c>
      <c r="P6115" s="8" t="s">
        <v>27218</v>
      </c>
      <c r="Q6115" s="8">
        <f>+(35+10/60+28/3600)</f>
        <v>35.17444444444444</v>
      </c>
      <c r="R6115" s="8">
        <v>14.3</v>
      </c>
      <c r="S6115" s="8">
        <v>15.1</v>
      </c>
      <c r="T6115" s="8">
        <v>0.8</v>
      </c>
      <c r="U6115" s="8">
        <v>13.8</v>
      </c>
      <c r="V6115" s="8">
        <v>1.2</v>
      </c>
      <c r="W6115" s="8">
        <v>0.6</v>
      </c>
      <c r="X6115" s="8">
        <v>100</v>
      </c>
      <c r="Y6115" s="8" t="s">
        <v>27219</v>
      </c>
      <c r="Z6115" s="8" t="s">
        <v>27220</v>
      </c>
    </row>
    <row r="6116" spans="1:26" x14ac:dyDescent="0.2">
      <c r="A6116" s="8">
        <v>6115</v>
      </c>
      <c r="B6116" s="8" t="s">
        <v>27221</v>
      </c>
      <c r="C6116" s="8" t="s">
        <v>27221</v>
      </c>
      <c r="F6116" s="47"/>
      <c r="G6116" s="8">
        <v>16</v>
      </c>
      <c r="H6116" s="8" t="s">
        <v>21</v>
      </c>
      <c r="I6116" s="8" t="s">
        <v>557</v>
      </c>
      <c r="J6116" s="8" t="s">
        <v>557</v>
      </c>
      <c r="K6116" s="8" t="s">
        <v>7705</v>
      </c>
      <c r="L6116" s="8" t="s">
        <v>26405</v>
      </c>
      <c r="M6116" s="8" t="s">
        <v>26406</v>
      </c>
      <c r="N6116" s="8" t="s">
        <v>27222</v>
      </c>
      <c r="O6116" s="8">
        <f>16+24/60+26.8/3600</f>
        <v>16.407444444444444</v>
      </c>
      <c r="P6116" s="8" t="s">
        <v>27223</v>
      </c>
      <c r="Q6116" s="8">
        <f>-(51+57/60+12/3600)</f>
        <v>-51.953333333333333</v>
      </c>
      <c r="R6116" s="8">
        <v>9.8000000000000007</v>
      </c>
      <c r="S6116" s="8">
        <v>99</v>
      </c>
      <c r="T6116" s="8">
        <v>99</v>
      </c>
      <c r="U6116" s="8">
        <v>99</v>
      </c>
      <c r="V6116" s="8">
        <v>3.4</v>
      </c>
      <c r="Y6116" s="8" t="s">
        <v>27224</v>
      </c>
      <c r="Z6116" s="8" t="s">
        <v>27225</v>
      </c>
    </row>
    <row r="6117" spans="1:26" x14ac:dyDescent="0.2">
      <c r="A6117" s="8">
        <v>6116</v>
      </c>
      <c r="B6117" s="8" t="s">
        <v>27226</v>
      </c>
      <c r="C6117" s="8" t="s">
        <v>27226</v>
      </c>
      <c r="F6117" s="47"/>
      <c r="G6117" s="8">
        <v>19</v>
      </c>
      <c r="H6117" s="8" t="s">
        <v>21</v>
      </c>
      <c r="I6117" s="8" t="s">
        <v>22</v>
      </c>
      <c r="J6117" s="8" t="s">
        <v>22</v>
      </c>
      <c r="K6117" s="8" t="s">
        <v>23</v>
      </c>
      <c r="L6117" s="8" t="s">
        <v>26398</v>
      </c>
      <c r="M6117" s="8" t="s">
        <v>26399</v>
      </c>
      <c r="N6117" s="8" t="s">
        <v>27227</v>
      </c>
      <c r="O6117" s="8">
        <f>16+18/60+54.5/3600</f>
        <v>16.315138888888889</v>
      </c>
      <c r="P6117" s="8" t="s">
        <v>27228</v>
      </c>
      <c r="Q6117" s="8">
        <f>+(35+9/60+14/3600)</f>
        <v>35.153888888888886</v>
      </c>
      <c r="R6117" s="8">
        <v>14.3</v>
      </c>
      <c r="S6117" s="8">
        <v>15.1</v>
      </c>
      <c r="T6117" s="8">
        <v>0.8</v>
      </c>
      <c r="U6117" s="8">
        <v>14.9</v>
      </c>
      <c r="V6117" s="8">
        <v>2.2000000000000002</v>
      </c>
      <c r="W6117" s="8">
        <v>0.9</v>
      </c>
      <c r="X6117" s="8">
        <v>17</v>
      </c>
      <c r="Y6117" s="8" t="s">
        <v>1858</v>
      </c>
      <c r="Z6117" s="8" t="s">
        <v>1859</v>
      </c>
    </row>
    <row r="6118" spans="1:26" x14ac:dyDescent="0.2">
      <c r="A6118" s="8">
        <v>6117</v>
      </c>
      <c r="B6118" s="8" t="s">
        <v>27229</v>
      </c>
      <c r="C6118" s="8" t="s">
        <v>27229</v>
      </c>
      <c r="F6118" s="47"/>
      <c r="G6118" s="8">
        <v>18</v>
      </c>
      <c r="H6118" s="8" t="s">
        <v>21</v>
      </c>
      <c r="I6118" s="8" t="s">
        <v>22</v>
      </c>
      <c r="J6118" s="8" t="s">
        <v>22</v>
      </c>
      <c r="K6118" s="8" t="s">
        <v>160</v>
      </c>
      <c r="L6118" s="8" t="s">
        <v>26398</v>
      </c>
      <c r="M6118" s="8" t="s">
        <v>26399</v>
      </c>
      <c r="N6118" s="8" t="s">
        <v>27230</v>
      </c>
      <c r="O6118" s="8">
        <f>16+19/60+18.2/3600</f>
        <v>16.32172222222222</v>
      </c>
      <c r="P6118" s="8" t="s">
        <v>27231</v>
      </c>
      <c r="Q6118" s="8">
        <f>+(37+5/60+43/3600)</f>
        <v>37.095277777777781</v>
      </c>
      <c r="R6118" s="8">
        <v>13.6</v>
      </c>
      <c r="S6118" s="8">
        <v>14.3</v>
      </c>
      <c r="T6118" s="8">
        <v>0.7</v>
      </c>
      <c r="U6118" s="8">
        <v>13.8</v>
      </c>
      <c r="V6118" s="8">
        <v>1.2</v>
      </c>
      <c r="W6118" s="8">
        <v>1.2</v>
      </c>
      <c r="Y6118" s="8" t="s">
        <v>170</v>
      </c>
      <c r="Z6118" s="8" t="s">
        <v>171</v>
      </c>
    </row>
    <row r="6119" spans="1:26" x14ac:dyDescent="0.2">
      <c r="A6119" s="8">
        <v>6118</v>
      </c>
      <c r="B6119" s="8" t="s">
        <v>27232</v>
      </c>
      <c r="C6119" s="8" t="s">
        <v>27232</v>
      </c>
      <c r="F6119" s="47" t="s">
        <v>58140</v>
      </c>
      <c r="G6119" s="8">
        <v>6</v>
      </c>
      <c r="H6119" s="8" t="s">
        <v>21</v>
      </c>
      <c r="I6119" s="8" t="s">
        <v>22</v>
      </c>
      <c r="J6119" s="8" t="s">
        <v>22</v>
      </c>
      <c r="K6119" s="8" t="s">
        <v>160</v>
      </c>
      <c r="L6119" s="8" t="s">
        <v>26227</v>
      </c>
      <c r="M6119" s="8" t="s">
        <v>26228</v>
      </c>
      <c r="N6119" s="8" t="s">
        <v>27233</v>
      </c>
      <c r="O6119" s="8">
        <f>16+21/60+48.7/3600</f>
        <v>16.363527777777779</v>
      </c>
      <c r="P6119" s="8" t="s">
        <v>27234</v>
      </c>
      <c r="Q6119" s="8">
        <f>-(2+17/60+1/3600)</f>
        <v>-2.283611111111111</v>
      </c>
      <c r="R6119" s="8">
        <v>11.7</v>
      </c>
      <c r="S6119" s="8">
        <v>12.4</v>
      </c>
      <c r="T6119" s="8">
        <v>0.7</v>
      </c>
      <c r="U6119" s="8">
        <v>13.9</v>
      </c>
      <c r="V6119" s="8">
        <v>4.7</v>
      </c>
      <c r="W6119" s="8">
        <v>1.9</v>
      </c>
      <c r="X6119" s="8">
        <v>58</v>
      </c>
      <c r="Y6119" s="8" t="s">
        <v>27235</v>
      </c>
      <c r="Z6119" s="8" t="s">
        <v>27236</v>
      </c>
    </row>
    <row r="6120" spans="1:26" x14ac:dyDescent="0.2">
      <c r="A6120" s="8">
        <v>6119</v>
      </c>
      <c r="B6120" s="8" t="s">
        <v>27237</v>
      </c>
      <c r="C6120" s="8" t="s">
        <v>27237</v>
      </c>
      <c r="F6120" s="47"/>
      <c r="G6120" s="8">
        <v>16</v>
      </c>
      <c r="H6120" s="8" t="s">
        <v>21</v>
      </c>
      <c r="I6120" s="8" t="s">
        <v>22</v>
      </c>
      <c r="J6120" s="8" t="s">
        <v>22</v>
      </c>
      <c r="K6120" s="8" t="s">
        <v>160</v>
      </c>
      <c r="L6120" s="8" t="s">
        <v>26398</v>
      </c>
      <c r="M6120" s="8" t="s">
        <v>26399</v>
      </c>
      <c r="N6120" s="8" t="s">
        <v>27238</v>
      </c>
      <c r="O6120" s="8">
        <f>16+19/60+42/3600</f>
        <v>16.328333333333333</v>
      </c>
      <c r="P6120" s="8" t="s">
        <v>27239</v>
      </c>
      <c r="Q6120" s="8">
        <f>+(37+48/60+24/3600)</f>
        <v>37.806666666666665</v>
      </c>
      <c r="R6120" s="8">
        <v>15.3</v>
      </c>
      <c r="S6120" s="8">
        <v>16</v>
      </c>
      <c r="T6120" s="8">
        <v>0.7</v>
      </c>
      <c r="U6120" s="8">
        <v>14</v>
      </c>
      <c r="V6120" s="8">
        <v>0.7</v>
      </c>
      <c r="W6120" s="8">
        <v>0.5</v>
      </c>
      <c r="X6120" s="8">
        <v>87</v>
      </c>
      <c r="Y6120" s="8" t="s">
        <v>27240</v>
      </c>
      <c r="Z6120" s="8" t="s">
        <v>27241</v>
      </c>
    </row>
    <row r="6121" spans="1:26" x14ac:dyDescent="0.2">
      <c r="A6121" s="8">
        <v>6120</v>
      </c>
      <c r="B6121" s="8" t="s">
        <v>27242</v>
      </c>
      <c r="C6121" s="8" t="s">
        <v>27242</v>
      </c>
      <c r="F6121" s="47" t="s">
        <v>58141</v>
      </c>
      <c r="G6121" s="8">
        <v>15</v>
      </c>
      <c r="H6121" s="8" t="s">
        <v>21</v>
      </c>
      <c r="I6121" s="8" t="s">
        <v>22</v>
      </c>
      <c r="J6121" s="8" t="s">
        <v>22</v>
      </c>
      <c r="K6121" s="8" t="s">
        <v>27243</v>
      </c>
      <c r="L6121" s="8" t="s">
        <v>26398</v>
      </c>
      <c r="M6121" s="8" t="s">
        <v>26399</v>
      </c>
      <c r="N6121" s="8" t="s">
        <v>27244</v>
      </c>
      <c r="O6121" s="8">
        <f>16+19/60+48.1/3600</f>
        <v>16.330027777777776</v>
      </c>
      <c r="P6121" s="8" t="s">
        <v>27245</v>
      </c>
      <c r="Q6121" s="8">
        <f>+(37+46/60+27/3600)</f>
        <v>37.774166666666666</v>
      </c>
      <c r="R6121" s="8">
        <v>13.9</v>
      </c>
      <c r="S6121" s="8">
        <v>14.5</v>
      </c>
      <c r="T6121" s="8">
        <v>0.6</v>
      </c>
      <c r="U6121" s="8">
        <v>13.4</v>
      </c>
      <c r="V6121" s="8">
        <v>1</v>
      </c>
      <c r="W6121" s="8">
        <v>0.7</v>
      </c>
      <c r="X6121" s="8">
        <v>18</v>
      </c>
      <c r="Y6121" s="8" t="s">
        <v>27246</v>
      </c>
      <c r="Z6121" s="8" t="s">
        <v>27247</v>
      </c>
    </row>
    <row r="6122" spans="1:26" x14ac:dyDescent="0.2">
      <c r="A6122" s="8">
        <v>6121</v>
      </c>
      <c r="B6122" s="8" t="s">
        <v>27248</v>
      </c>
      <c r="C6122" s="8" t="s">
        <v>55927</v>
      </c>
      <c r="F6122" s="47"/>
      <c r="G6122" s="8">
        <v>1</v>
      </c>
      <c r="H6122" s="8" t="s">
        <v>27249</v>
      </c>
      <c r="I6122" s="8" t="s">
        <v>567</v>
      </c>
      <c r="J6122" s="8" t="s">
        <v>567</v>
      </c>
      <c r="K6122" s="8" t="s">
        <v>26506</v>
      </c>
      <c r="L6122" s="8" t="s">
        <v>26735</v>
      </c>
      <c r="M6122" s="8" t="s">
        <v>26736</v>
      </c>
      <c r="N6122" s="8" t="s">
        <v>27250</v>
      </c>
      <c r="O6122" s="8">
        <f>16+23/60+35.5/3600</f>
        <v>16.393194444444443</v>
      </c>
      <c r="P6122" s="8" t="s">
        <v>27251</v>
      </c>
      <c r="Q6122" s="8">
        <f>-(26+31/60+29/3600)</f>
        <v>-26.52472222222222</v>
      </c>
      <c r="R6122" s="8">
        <v>5.4</v>
      </c>
      <c r="S6122" s="8">
        <v>99</v>
      </c>
      <c r="T6122" s="8">
        <v>99</v>
      </c>
      <c r="U6122" s="8">
        <v>99</v>
      </c>
      <c r="V6122" s="8">
        <v>36</v>
      </c>
      <c r="Y6122" s="8" t="s">
        <v>27252</v>
      </c>
      <c r="Z6122" s="8" t="s">
        <v>27253</v>
      </c>
    </row>
    <row r="6123" spans="1:26" x14ac:dyDescent="0.2">
      <c r="A6123" s="8">
        <v>6122</v>
      </c>
      <c r="B6123" s="8" t="s">
        <v>27254</v>
      </c>
      <c r="C6123" s="8" t="s">
        <v>27254</v>
      </c>
      <c r="F6123" s="47"/>
      <c r="G6123" s="8">
        <v>19</v>
      </c>
      <c r="H6123" s="8" t="s">
        <v>21</v>
      </c>
      <c r="I6123" s="8" t="s">
        <v>22</v>
      </c>
      <c r="J6123" s="8" t="s">
        <v>22</v>
      </c>
      <c r="K6123" s="8" t="s">
        <v>37</v>
      </c>
      <c r="L6123" s="8" t="s">
        <v>26398</v>
      </c>
      <c r="M6123" s="8" t="s">
        <v>26399</v>
      </c>
      <c r="N6123" s="8" t="s">
        <v>27255</v>
      </c>
      <c r="O6123" s="8">
        <f>16+20/60+9.4/3600</f>
        <v>16.335944444444443</v>
      </c>
      <c r="P6123" s="8" t="s">
        <v>27256</v>
      </c>
      <c r="Q6123" s="8">
        <f>+(37+47/60+55/3600)</f>
        <v>37.798611111111107</v>
      </c>
      <c r="R6123" s="8">
        <v>14.6</v>
      </c>
      <c r="S6123" s="8">
        <v>15.6</v>
      </c>
      <c r="T6123" s="8">
        <v>1</v>
      </c>
      <c r="U6123" s="8">
        <v>13.1</v>
      </c>
      <c r="V6123" s="8">
        <v>0.9</v>
      </c>
      <c r="W6123" s="8">
        <v>0.3</v>
      </c>
      <c r="X6123" s="8">
        <v>156</v>
      </c>
      <c r="Y6123" s="8" t="s">
        <v>27257</v>
      </c>
      <c r="Z6123" s="8" t="s">
        <v>27258</v>
      </c>
    </row>
    <row r="6124" spans="1:26" x14ac:dyDescent="0.2">
      <c r="A6124" s="8">
        <v>6123</v>
      </c>
      <c r="B6124" s="8" t="s">
        <v>27259</v>
      </c>
      <c r="C6124" s="8" t="s">
        <v>27259</v>
      </c>
      <c r="F6124" s="47"/>
      <c r="G6124" s="8">
        <v>19</v>
      </c>
      <c r="H6124" s="8" t="s">
        <v>21</v>
      </c>
      <c r="I6124" s="8" t="s">
        <v>22</v>
      </c>
      <c r="J6124" s="8" t="s">
        <v>22</v>
      </c>
      <c r="K6124" s="8" t="s">
        <v>632</v>
      </c>
      <c r="L6124" s="8" t="s">
        <v>13395</v>
      </c>
      <c r="M6124" s="8" t="s">
        <v>13396</v>
      </c>
      <c r="N6124" s="8" t="s">
        <v>27260</v>
      </c>
      <c r="O6124" s="8">
        <f>16+17/60+19.6/3600</f>
        <v>16.288777777777778</v>
      </c>
      <c r="P6124" s="8" t="s">
        <v>27261</v>
      </c>
      <c r="Q6124" s="8">
        <f>+(61+56/60+21/3600)</f>
        <v>61.939166666666665</v>
      </c>
      <c r="R6124" s="8">
        <v>13.7</v>
      </c>
      <c r="S6124" s="8">
        <v>14.6</v>
      </c>
      <c r="T6124" s="8">
        <v>0.9</v>
      </c>
      <c r="U6124" s="8">
        <v>12</v>
      </c>
      <c r="V6124" s="8">
        <v>0.8</v>
      </c>
      <c r="W6124" s="8">
        <v>0.3</v>
      </c>
      <c r="X6124" s="8">
        <v>4</v>
      </c>
      <c r="Y6124" s="8" t="s">
        <v>27262</v>
      </c>
      <c r="Z6124" s="8" t="s">
        <v>27263</v>
      </c>
    </row>
    <row r="6125" spans="1:26" x14ac:dyDescent="0.2">
      <c r="A6125" s="8">
        <v>6124</v>
      </c>
      <c r="B6125" s="8" t="s">
        <v>27264</v>
      </c>
      <c r="C6125" s="8" t="s">
        <v>27264</v>
      </c>
      <c r="F6125" s="47"/>
      <c r="G6125" s="8">
        <v>2</v>
      </c>
      <c r="H6125" s="8" t="s">
        <v>21</v>
      </c>
      <c r="I6125" s="8" t="s">
        <v>557</v>
      </c>
      <c r="J6125" s="8" t="s">
        <v>557</v>
      </c>
      <c r="K6125" s="8" t="s">
        <v>3170</v>
      </c>
      <c r="L6125" s="8" t="s">
        <v>26735</v>
      </c>
      <c r="M6125" s="8" t="s">
        <v>26736</v>
      </c>
      <c r="N6125" s="8" t="s">
        <v>27265</v>
      </c>
      <c r="O6125" s="8">
        <f>16+25/60+17.2/3600</f>
        <v>16.421444444444447</v>
      </c>
      <c r="P6125" s="8" t="s">
        <v>27266</v>
      </c>
      <c r="Q6125" s="8">
        <f>-(40+40/60+1/3600)</f>
        <v>-40.666944444444439</v>
      </c>
      <c r="R6125" s="8">
        <v>5.8</v>
      </c>
      <c r="S6125" s="8">
        <v>99</v>
      </c>
      <c r="T6125" s="8">
        <v>99</v>
      </c>
      <c r="U6125" s="8">
        <v>99</v>
      </c>
      <c r="V6125" s="8">
        <v>40</v>
      </c>
      <c r="Y6125" s="8" t="s">
        <v>27267</v>
      </c>
      <c r="Z6125" s="8" t="s">
        <v>27268</v>
      </c>
    </row>
    <row r="6126" spans="1:26" x14ac:dyDescent="0.2">
      <c r="A6126" s="8">
        <v>6125</v>
      </c>
      <c r="B6126" s="8" t="s">
        <v>27269</v>
      </c>
      <c r="C6126" s="8" t="s">
        <v>27269</v>
      </c>
      <c r="G6126" s="8">
        <v>19</v>
      </c>
      <c r="H6126" s="8" t="s">
        <v>21</v>
      </c>
      <c r="I6126" s="8" t="s">
        <v>22</v>
      </c>
      <c r="J6126" s="8" t="s">
        <v>22</v>
      </c>
      <c r="K6126" s="8" t="s">
        <v>460</v>
      </c>
      <c r="L6126" s="8" t="s">
        <v>13395</v>
      </c>
      <c r="M6126" s="8" t="s">
        <v>13396</v>
      </c>
      <c r="N6126" s="8" t="s">
        <v>27270</v>
      </c>
      <c r="O6126" s="8">
        <f>16+19/60+11.2/3600</f>
        <v>16.319777777777777</v>
      </c>
      <c r="P6126" s="8" t="s">
        <v>27271</v>
      </c>
      <c r="Q6126" s="8">
        <f>+(57+59/60+5/3600)</f>
        <v>57.984722222222224</v>
      </c>
      <c r="R6126" s="8">
        <v>12</v>
      </c>
      <c r="S6126" s="8">
        <v>13</v>
      </c>
      <c r="T6126" s="8">
        <v>1</v>
      </c>
      <c r="U6126" s="8">
        <v>12.7</v>
      </c>
      <c r="V6126" s="8">
        <v>1.4</v>
      </c>
      <c r="W6126" s="8">
        <v>1.4</v>
      </c>
      <c r="Y6126" s="8" t="s">
        <v>10215</v>
      </c>
      <c r="Z6126" s="8" t="s">
        <v>10216</v>
      </c>
    </row>
    <row r="6127" spans="1:26" x14ac:dyDescent="0.2">
      <c r="A6127" s="8">
        <v>6126</v>
      </c>
      <c r="B6127" s="8" t="s">
        <v>27272</v>
      </c>
      <c r="C6127" s="8" t="s">
        <v>27272</v>
      </c>
      <c r="F6127" s="47"/>
      <c r="G6127" s="8">
        <v>19</v>
      </c>
      <c r="H6127" s="8" t="s">
        <v>21</v>
      </c>
      <c r="I6127" s="8" t="s">
        <v>22</v>
      </c>
      <c r="J6127" s="8" t="s">
        <v>22</v>
      </c>
      <c r="K6127" s="8" t="s">
        <v>37</v>
      </c>
      <c r="L6127" s="8" t="s">
        <v>26398</v>
      </c>
      <c r="M6127" s="8" t="s">
        <v>26399</v>
      </c>
      <c r="N6127" s="8" t="s">
        <v>27273</v>
      </c>
      <c r="O6127" s="8">
        <f>16+21/60+27.8/3600</f>
        <v>16.357722222222225</v>
      </c>
      <c r="P6127" s="8" t="s">
        <v>27274</v>
      </c>
      <c r="Q6127" s="8">
        <f>+(36+22/60+38/3600)</f>
        <v>36.377222222222223</v>
      </c>
      <c r="R6127" s="8">
        <v>13.6</v>
      </c>
      <c r="S6127" s="8">
        <v>14.6</v>
      </c>
      <c r="T6127" s="8">
        <v>1</v>
      </c>
      <c r="U6127" s="8">
        <v>13.1</v>
      </c>
      <c r="V6127" s="8">
        <v>1</v>
      </c>
      <c r="W6127" s="8">
        <v>1</v>
      </c>
      <c r="Y6127" s="8" t="s">
        <v>27275</v>
      </c>
      <c r="Z6127" s="8" t="s">
        <v>27276</v>
      </c>
    </row>
    <row r="6128" spans="1:26" x14ac:dyDescent="0.2">
      <c r="A6128" s="8">
        <v>6127</v>
      </c>
      <c r="B6128" s="8" t="s">
        <v>27277</v>
      </c>
      <c r="C6128" s="8" t="s">
        <v>27277</v>
      </c>
      <c r="F6128" s="47"/>
      <c r="G6128" s="8">
        <v>19</v>
      </c>
      <c r="H6128" s="8" t="s">
        <v>21</v>
      </c>
      <c r="I6128" s="8" t="s">
        <v>22</v>
      </c>
      <c r="J6128" s="8" t="s">
        <v>57</v>
      </c>
      <c r="K6128" s="8" t="s">
        <v>460</v>
      </c>
      <c r="L6128" s="8" t="s">
        <v>13395</v>
      </c>
      <c r="M6128" s="8" t="s">
        <v>13396</v>
      </c>
      <c r="N6128" s="8" t="s">
        <v>27270</v>
      </c>
      <c r="O6128" s="8">
        <f>16+19/60+11.2/3600</f>
        <v>16.319777777777777</v>
      </c>
      <c r="P6128" s="8" t="s">
        <v>27271</v>
      </c>
      <c r="Q6128" s="8">
        <f>+(57+59/60+5/3600)</f>
        <v>57.984722222222224</v>
      </c>
      <c r="R6128" s="8">
        <v>12</v>
      </c>
      <c r="S6128" s="8">
        <v>13</v>
      </c>
      <c r="T6128" s="8">
        <v>1</v>
      </c>
      <c r="U6128" s="8">
        <v>12.7</v>
      </c>
      <c r="V6128" s="8">
        <v>1.4</v>
      </c>
      <c r="W6128" s="8">
        <v>1.4</v>
      </c>
      <c r="Y6128" s="8" t="s">
        <v>10215</v>
      </c>
      <c r="Z6128" s="8" t="s">
        <v>27278</v>
      </c>
    </row>
    <row r="6129" spans="1:26" x14ac:dyDescent="0.2">
      <c r="A6129" s="8">
        <v>6128</v>
      </c>
      <c r="B6129" s="8" t="s">
        <v>27279</v>
      </c>
      <c r="C6129" s="8" t="s">
        <v>27279</v>
      </c>
      <c r="F6129" s="47"/>
      <c r="G6129" s="8">
        <v>19</v>
      </c>
      <c r="H6129" s="8" t="s">
        <v>21</v>
      </c>
      <c r="I6129" s="8" t="s">
        <v>22</v>
      </c>
      <c r="J6129" s="8" t="s">
        <v>57</v>
      </c>
      <c r="K6129" s="8" t="s">
        <v>460</v>
      </c>
      <c r="L6129" s="8" t="s">
        <v>13395</v>
      </c>
      <c r="M6129" s="8" t="s">
        <v>13396</v>
      </c>
      <c r="N6129" s="8" t="s">
        <v>27270</v>
      </c>
      <c r="O6129" s="8">
        <f>16+19/60+11.2/3600</f>
        <v>16.319777777777777</v>
      </c>
      <c r="P6129" s="8" t="s">
        <v>27271</v>
      </c>
      <c r="Q6129" s="8">
        <f>+(57+59/60+5/3600)</f>
        <v>57.984722222222224</v>
      </c>
      <c r="R6129" s="8">
        <v>12</v>
      </c>
      <c r="S6129" s="8">
        <v>13</v>
      </c>
      <c r="T6129" s="8">
        <v>1</v>
      </c>
      <c r="U6129" s="8">
        <v>12.7</v>
      </c>
      <c r="V6129" s="8">
        <v>1.4</v>
      </c>
      <c r="W6129" s="8">
        <v>1.4</v>
      </c>
      <c r="Y6129" s="8" t="s">
        <v>10215</v>
      </c>
      <c r="Z6129" s="8" t="s">
        <v>303</v>
      </c>
    </row>
    <row r="6130" spans="1:26" x14ac:dyDescent="0.2">
      <c r="A6130" s="8">
        <v>6129</v>
      </c>
      <c r="B6130" s="8" t="s">
        <v>27280</v>
      </c>
      <c r="C6130" s="8" t="s">
        <v>27280</v>
      </c>
      <c r="F6130" s="47" t="s">
        <v>58142</v>
      </c>
      <c r="G6130" s="8">
        <v>15</v>
      </c>
      <c r="H6130" s="8" t="s">
        <v>21</v>
      </c>
      <c r="I6130" s="8" t="s">
        <v>22</v>
      </c>
      <c r="J6130" s="8" t="s">
        <v>22</v>
      </c>
      <c r="K6130" s="8" t="s">
        <v>37</v>
      </c>
      <c r="L6130" s="8" t="s">
        <v>26398</v>
      </c>
      <c r="M6130" s="8" t="s">
        <v>26399</v>
      </c>
      <c r="N6130" s="8" t="s">
        <v>27281</v>
      </c>
      <c r="O6130" s="8">
        <f>16+21/60+43.2/3600</f>
        <v>16.362000000000002</v>
      </c>
      <c r="P6130" s="8" t="s">
        <v>27282</v>
      </c>
      <c r="Q6130" s="8">
        <f>+(37+59/60+47/3600)</f>
        <v>37.996388888888887</v>
      </c>
      <c r="R6130" s="8">
        <v>14</v>
      </c>
      <c r="S6130" s="8">
        <v>15</v>
      </c>
      <c r="T6130" s="8">
        <v>1</v>
      </c>
      <c r="U6130" s="8">
        <v>13.4</v>
      </c>
      <c r="V6130" s="8">
        <v>0.8</v>
      </c>
      <c r="W6130" s="8">
        <v>0.8</v>
      </c>
      <c r="Y6130" s="8" t="s">
        <v>348</v>
      </c>
      <c r="Z6130" s="8" t="s">
        <v>349</v>
      </c>
    </row>
    <row r="6131" spans="1:26" x14ac:dyDescent="0.2">
      <c r="A6131" s="8">
        <v>6130</v>
      </c>
      <c r="B6131" s="8" t="s">
        <v>27283</v>
      </c>
      <c r="C6131" s="8" t="s">
        <v>27283</v>
      </c>
      <c r="F6131" s="47" t="s">
        <v>58143</v>
      </c>
      <c r="G6131" s="8">
        <v>15</v>
      </c>
      <c r="H6131" s="8" t="s">
        <v>21</v>
      </c>
      <c r="I6131" s="8" t="s">
        <v>22</v>
      </c>
      <c r="J6131" s="8" t="s">
        <v>22</v>
      </c>
      <c r="K6131" s="8" t="s">
        <v>85</v>
      </c>
      <c r="L6131" s="8" t="s">
        <v>13395</v>
      </c>
      <c r="M6131" s="8" t="s">
        <v>13396</v>
      </c>
      <c r="N6131" s="8" t="s">
        <v>27284</v>
      </c>
      <c r="O6131" s="8">
        <f>16+19/60+33.5/3600</f>
        <v>16.325972222222223</v>
      </c>
      <c r="P6131" s="8" t="s">
        <v>27285</v>
      </c>
      <c r="Q6131" s="8">
        <f>+(57+36/60+54/3600)</f>
        <v>57.615000000000002</v>
      </c>
      <c r="R6131" s="8">
        <v>13.5</v>
      </c>
      <c r="S6131" s="8">
        <v>14.3</v>
      </c>
      <c r="T6131" s="8">
        <v>0.8</v>
      </c>
      <c r="U6131" s="8">
        <v>12.9</v>
      </c>
      <c r="V6131" s="8">
        <v>1</v>
      </c>
      <c r="W6131" s="8">
        <v>0.7</v>
      </c>
      <c r="X6131" s="8">
        <v>25</v>
      </c>
      <c r="Y6131" s="8" t="s">
        <v>27286</v>
      </c>
      <c r="Z6131" s="8" t="s">
        <v>27287</v>
      </c>
    </row>
    <row r="6132" spans="1:26" x14ac:dyDescent="0.2">
      <c r="A6132" s="8">
        <v>6131</v>
      </c>
      <c r="B6132" s="8" t="s">
        <v>27288</v>
      </c>
      <c r="C6132" s="8" t="s">
        <v>27288</v>
      </c>
      <c r="F6132" s="47"/>
      <c r="G6132" s="8">
        <v>19</v>
      </c>
      <c r="H6132" s="8" t="s">
        <v>21</v>
      </c>
      <c r="I6132" s="8" t="s">
        <v>22</v>
      </c>
      <c r="J6132" s="8" t="s">
        <v>22</v>
      </c>
      <c r="K6132" s="8" t="s">
        <v>64</v>
      </c>
      <c r="L6132" s="8" t="s">
        <v>26398</v>
      </c>
      <c r="M6132" s="8" t="s">
        <v>26399</v>
      </c>
      <c r="N6132" s="8" t="s">
        <v>27289</v>
      </c>
      <c r="O6132" s="8">
        <f>16+21/60+52.3/3600</f>
        <v>16.364527777777781</v>
      </c>
      <c r="P6132" s="8" t="s">
        <v>27290</v>
      </c>
      <c r="Q6132" s="8">
        <f>+(38+56/60+12/3600)</f>
        <v>38.93666666666666</v>
      </c>
      <c r="R6132" s="8">
        <v>13.3</v>
      </c>
      <c r="S6132" s="8">
        <v>13.8</v>
      </c>
      <c r="T6132" s="8">
        <v>0.5</v>
      </c>
      <c r="U6132" s="8">
        <v>13.2</v>
      </c>
      <c r="V6132" s="8">
        <v>1</v>
      </c>
      <c r="W6132" s="8">
        <v>1</v>
      </c>
      <c r="Y6132" s="8" t="s">
        <v>27291</v>
      </c>
      <c r="Z6132" s="8" t="s">
        <v>27292</v>
      </c>
    </row>
    <row r="6133" spans="1:26" x14ac:dyDescent="0.2">
      <c r="A6133" s="8">
        <v>6132</v>
      </c>
      <c r="B6133" s="8" t="s">
        <v>27293</v>
      </c>
      <c r="C6133" s="8" t="s">
        <v>27293</v>
      </c>
      <c r="F6133" s="47"/>
      <c r="G6133" s="8">
        <v>18</v>
      </c>
      <c r="H6133" s="8" t="s">
        <v>21</v>
      </c>
      <c r="I6133" s="8" t="s">
        <v>22</v>
      </c>
      <c r="J6133" s="8" t="s">
        <v>22</v>
      </c>
      <c r="K6133" s="8" t="s">
        <v>31</v>
      </c>
      <c r="L6133" s="8" t="s">
        <v>26804</v>
      </c>
      <c r="M6133" s="8" t="s">
        <v>26805</v>
      </c>
      <c r="N6133" s="8" t="s">
        <v>27294</v>
      </c>
      <c r="O6133" s="8">
        <f>16+23/60+38.7/3600</f>
        <v>16.394083333333334</v>
      </c>
      <c r="P6133" s="8" t="s">
        <v>27295</v>
      </c>
      <c r="Q6133" s="8">
        <f>+(11+47/60+12/3600)</f>
        <v>11.786666666666667</v>
      </c>
      <c r="R6133" s="8">
        <v>13.6</v>
      </c>
      <c r="S6133" s="8">
        <v>14.4</v>
      </c>
      <c r="T6133" s="8">
        <v>0.8</v>
      </c>
      <c r="U6133" s="8">
        <v>13.2</v>
      </c>
      <c r="V6133" s="8">
        <v>1.5</v>
      </c>
      <c r="W6133" s="8">
        <v>0.5</v>
      </c>
      <c r="X6133" s="8">
        <v>127</v>
      </c>
      <c r="Y6133" s="8" t="s">
        <v>27296</v>
      </c>
      <c r="Z6133" s="8" t="s">
        <v>27297</v>
      </c>
    </row>
    <row r="6134" spans="1:26" x14ac:dyDescent="0.2">
      <c r="A6134" s="8">
        <v>6133</v>
      </c>
      <c r="B6134" s="8" t="s">
        <v>27298</v>
      </c>
      <c r="C6134" s="8" t="s">
        <v>27298</v>
      </c>
      <c r="F6134" s="47"/>
      <c r="G6134" s="8">
        <v>19</v>
      </c>
      <c r="H6134" s="8" t="s">
        <v>21</v>
      </c>
      <c r="I6134" s="8" t="s">
        <v>72</v>
      </c>
      <c r="J6134" s="8" t="s">
        <v>72</v>
      </c>
      <c r="K6134" s="8" t="s">
        <v>1802</v>
      </c>
      <c r="L6134" s="8" t="s">
        <v>13395</v>
      </c>
      <c r="M6134" s="8" t="s">
        <v>13396</v>
      </c>
      <c r="N6134" s="8" t="s">
        <v>27299</v>
      </c>
      <c r="O6134" s="8">
        <f>16+20/60+17/3600</f>
        <v>16.338055555555556</v>
      </c>
      <c r="P6134" s="8" t="s">
        <v>27300</v>
      </c>
      <c r="Q6134" s="8">
        <f>+(56+39/60+12/3600)</f>
        <v>56.653333333333329</v>
      </c>
      <c r="R6134" s="8">
        <v>99</v>
      </c>
      <c r="S6134" s="8">
        <v>99</v>
      </c>
      <c r="T6134" s="8">
        <v>99</v>
      </c>
      <c r="U6134" s="8">
        <v>99</v>
      </c>
      <c r="Y6134" s="8" t="s">
        <v>27301</v>
      </c>
      <c r="Z6134" s="8" t="s">
        <v>27302</v>
      </c>
    </row>
    <row r="6135" spans="1:26" x14ac:dyDescent="0.2">
      <c r="A6135" s="8">
        <v>6134</v>
      </c>
      <c r="B6135" s="8" t="s">
        <v>27303</v>
      </c>
      <c r="C6135" s="8" t="s">
        <v>27303</v>
      </c>
      <c r="F6135" s="47"/>
      <c r="G6135" s="8">
        <v>3</v>
      </c>
      <c r="H6135" s="8" t="s">
        <v>27304</v>
      </c>
      <c r="I6135" s="8" t="s">
        <v>557</v>
      </c>
      <c r="J6135" s="8" t="s">
        <v>557</v>
      </c>
      <c r="K6135" s="8" t="s">
        <v>3170</v>
      </c>
      <c r="L6135" s="8" t="s">
        <v>26405</v>
      </c>
      <c r="M6135" s="8" t="s">
        <v>26406</v>
      </c>
      <c r="N6135" s="8" t="s">
        <v>27305</v>
      </c>
      <c r="O6135" s="8">
        <f>16+27/60+43.6/3600</f>
        <v>16.46211111111111</v>
      </c>
      <c r="P6135" s="8" t="s">
        <v>27306</v>
      </c>
      <c r="Q6135" s="8">
        <f>-(49+9/60+51/3600)</f>
        <v>-49.164166666666667</v>
      </c>
      <c r="R6135" s="8">
        <v>7.2</v>
      </c>
      <c r="S6135" s="8">
        <v>99</v>
      </c>
      <c r="T6135" s="8">
        <v>99</v>
      </c>
      <c r="U6135" s="8">
        <v>99</v>
      </c>
      <c r="V6135" s="8">
        <v>6</v>
      </c>
      <c r="Y6135" s="8" t="s">
        <v>27307</v>
      </c>
      <c r="Z6135" s="8" t="s">
        <v>27308</v>
      </c>
    </row>
    <row r="6136" spans="1:26" x14ac:dyDescent="0.2">
      <c r="A6136" s="8">
        <v>6135</v>
      </c>
      <c r="B6136" s="8" t="s">
        <v>27309</v>
      </c>
      <c r="C6136" s="8" t="s">
        <v>27309</v>
      </c>
      <c r="F6136" s="47"/>
      <c r="G6136" s="8">
        <v>19</v>
      </c>
      <c r="H6136" s="8" t="s">
        <v>21</v>
      </c>
      <c r="I6136" s="8" t="s">
        <v>22</v>
      </c>
      <c r="J6136" s="8" t="s">
        <v>22</v>
      </c>
      <c r="K6136" s="8" t="s">
        <v>449</v>
      </c>
      <c r="L6136" s="8" t="s">
        <v>13395</v>
      </c>
      <c r="M6136" s="8" t="s">
        <v>13396</v>
      </c>
      <c r="N6136" s="8" t="s">
        <v>27310</v>
      </c>
      <c r="O6136" s="8">
        <f>16+14/60+24.9/3600</f>
        <v>16.24025</v>
      </c>
      <c r="P6136" s="8" t="s">
        <v>27311</v>
      </c>
      <c r="Q6136" s="8">
        <f>+(64+59/60+0/3600)</f>
        <v>64.983333333333334</v>
      </c>
      <c r="R6136" s="8">
        <v>14.2</v>
      </c>
      <c r="S6136" s="8">
        <v>15</v>
      </c>
      <c r="T6136" s="8">
        <v>0.8</v>
      </c>
      <c r="U6136" s="8">
        <v>12.6</v>
      </c>
      <c r="V6136" s="8">
        <v>0.9</v>
      </c>
      <c r="W6136" s="8">
        <v>0.3</v>
      </c>
      <c r="X6136" s="8">
        <v>45</v>
      </c>
      <c r="Y6136" s="8" t="s">
        <v>27312</v>
      </c>
      <c r="Z6136" s="8" t="s">
        <v>27313</v>
      </c>
    </row>
    <row r="6137" spans="1:26" x14ac:dyDescent="0.2">
      <c r="A6137" s="8">
        <v>6136</v>
      </c>
      <c r="B6137" s="8" t="s">
        <v>27314</v>
      </c>
      <c r="C6137" s="8" t="s">
        <v>27314</v>
      </c>
      <c r="F6137" s="47"/>
      <c r="G6137" s="8">
        <v>19</v>
      </c>
      <c r="H6137" s="8" t="s">
        <v>21</v>
      </c>
      <c r="I6137" s="8" t="s">
        <v>22</v>
      </c>
      <c r="J6137" s="8" t="s">
        <v>22</v>
      </c>
      <c r="K6137" s="8" t="s">
        <v>160</v>
      </c>
      <c r="L6137" s="8" t="s">
        <v>13395</v>
      </c>
      <c r="M6137" s="8" t="s">
        <v>13396</v>
      </c>
      <c r="N6137" s="8" t="s">
        <v>27315</v>
      </c>
      <c r="O6137" s="8">
        <f>16+20/60+59.4/3600</f>
        <v>16.349833333333333</v>
      </c>
      <c r="P6137" s="8" t="s">
        <v>27316</v>
      </c>
      <c r="Q6137" s="8">
        <f>+(55+58/60+13/3600)</f>
        <v>55.970277777777781</v>
      </c>
      <c r="R6137" s="8">
        <v>14.8</v>
      </c>
      <c r="S6137" s="8">
        <v>15.5</v>
      </c>
      <c r="T6137" s="8">
        <v>0.7</v>
      </c>
      <c r="U6137" s="8">
        <v>13.2</v>
      </c>
      <c r="V6137" s="8">
        <v>0.9</v>
      </c>
      <c r="W6137" s="8">
        <v>0.3</v>
      </c>
      <c r="X6137" s="8">
        <v>95</v>
      </c>
      <c r="Y6137" s="8" t="s">
        <v>4937</v>
      </c>
      <c r="Z6137" s="8" t="s">
        <v>4938</v>
      </c>
    </row>
    <row r="6138" spans="1:26" x14ac:dyDescent="0.2">
      <c r="A6138" s="8">
        <v>6137</v>
      </c>
      <c r="B6138" s="8" t="s">
        <v>27317</v>
      </c>
      <c r="C6138" s="8" t="s">
        <v>27317</v>
      </c>
      <c r="F6138" s="47" t="s">
        <v>58144</v>
      </c>
      <c r="G6138" s="8">
        <v>15</v>
      </c>
      <c r="H6138" s="8" t="s">
        <v>21</v>
      </c>
      <c r="I6138" s="8" t="s">
        <v>22</v>
      </c>
      <c r="J6138" s="8" t="s">
        <v>22</v>
      </c>
      <c r="K6138" s="8" t="s">
        <v>50</v>
      </c>
      <c r="L6138" s="8" t="s">
        <v>26398</v>
      </c>
      <c r="M6138" s="8" t="s">
        <v>26399</v>
      </c>
      <c r="N6138" s="8" t="s">
        <v>27318</v>
      </c>
      <c r="O6138" s="8">
        <f>16+23/60+3.1/3600</f>
        <v>16.384194444444443</v>
      </c>
      <c r="P6138" s="8" t="s">
        <v>27319</v>
      </c>
      <c r="Q6138" s="8">
        <f>+(37+55/60+21/3600)</f>
        <v>37.922499999999999</v>
      </c>
      <c r="R6138" s="8">
        <v>12.4</v>
      </c>
      <c r="S6138" s="8">
        <v>13.4</v>
      </c>
      <c r="T6138" s="8">
        <v>1</v>
      </c>
      <c r="U6138" s="8">
        <v>13.3</v>
      </c>
      <c r="V6138" s="8">
        <v>1.9</v>
      </c>
      <c r="W6138" s="8">
        <v>1.2</v>
      </c>
      <c r="X6138" s="8">
        <v>175</v>
      </c>
      <c r="Y6138" s="8" t="s">
        <v>27320</v>
      </c>
      <c r="Z6138" s="8" t="s">
        <v>27321</v>
      </c>
    </row>
    <row r="6139" spans="1:26" x14ac:dyDescent="0.2">
      <c r="A6139" s="8">
        <v>6138</v>
      </c>
      <c r="B6139" s="8" t="s">
        <v>27322</v>
      </c>
      <c r="C6139" s="8" t="s">
        <v>27322</v>
      </c>
      <c r="F6139" s="47"/>
      <c r="G6139" s="8">
        <v>18</v>
      </c>
      <c r="H6139" s="8" t="s">
        <v>21</v>
      </c>
      <c r="I6139" s="8" t="s">
        <v>22</v>
      </c>
      <c r="J6139" s="8" t="s">
        <v>22</v>
      </c>
      <c r="K6139" s="8" t="s">
        <v>1136</v>
      </c>
      <c r="L6139" s="8" t="s">
        <v>26804</v>
      </c>
      <c r="M6139" s="8" t="s">
        <v>26805</v>
      </c>
      <c r="N6139" s="8" t="s">
        <v>27323</v>
      </c>
      <c r="O6139" s="8">
        <f>17+22/60+39.9/3600</f>
        <v>17.377749999999999</v>
      </c>
      <c r="P6139" s="8" t="s">
        <v>27324</v>
      </c>
      <c r="Q6139" s="8">
        <f>+(41+6/60+8/3600)</f>
        <v>41.102222222222224</v>
      </c>
      <c r="R6139" s="8">
        <v>13.3</v>
      </c>
      <c r="S6139" s="8">
        <v>14.3</v>
      </c>
      <c r="T6139" s="8">
        <v>1</v>
      </c>
      <c r="U6139" s="8">
        <v>13.2</v>
      </c>
      <c r="V6139" s="8">
        <v>1.1000000000000001</v>
      </c>
      <c r="W6139" s="8">
        <v>0.9</v>
      </c>
      <c r="X6139" s="8">
        <v>14</v>
      </c>
      <c r="Y6139" s="8" t="s">
        <v>115</v>
      </c>
      <c r="Z6139" s="8" t="s">
        <v>116</v>
      </c>
    </row>
    <row r="6140" spans="1:26" x14ac:dyDescent="0.2">
      <c r="A6140" s="8">
        <v>6139</v>
      </c>
      <c r="B6140" s="8" t="s">
        <v>27325</v>
      </c>
      <c r="C6140" s="8" t="s">
        <v>27325</v>
      </c>
      <c r="F6140" s="47"/>
      <c r="G6140" s="8">
        <v>3</v>
      </c>
      <c r="H6140" s="8" t="s">
        <v>21</v>
      </c>
      <c r="I6140" s="8" t="s">
        <v>567</v>
      </c>
      <c r="J6140" s="8" t="s">
        <v>567</v>
      </c>
      <c r="K6140" s="8" t="s">
        <v>5894</v>
      </c>
      <c r="L6140" s="8" t="s">
        <v>26735</v>
      </c>
      <c r="M6140" s="8" t="s">
        <v>26736</v>
      </c>
      <c r="N6140" s="8" t="s">
        <v>27326</v>
      </c>
      <c r="O6140" s="8">
        <f>16+27/60+40.4/3600</f>
        <v>16.461222222222222</v>
      </c>
      <c r="P6140" s="8" t="s">
        <v>27327</v>
      </c>
      <c r="Q6140" s="8">
        <f>-(38+50/60+54/3600)</f>
        <v>-38.848333333333336</v>
      </c>
      <c r="R6140" s="8">
        <v>9.1</v>
      </c>
      <c r="S6140" s="8">
        <v>99</v>
      </c>
      <c r="T6140" s="8">
        <v>99</v>
      </c>
      <c r="U6140" s="8">
        <v>99</v>
      </c>
      <c r="V6140" s="8">
        <v>8.1999999999999993</v>
      </c>
      <c r="Y6140" s="8" t="s">
        <v>27328</v>
      </c>
      <c r="Z6140" s="8" t="s">
        <v>27329</v>
      </c>
    </row>
    <row r="6141" spans="1:26" x14ac:dyDescent="0.2">
      <c r="A6141" s="8">
        <v>6140</v>
      </c>
      <c r="B6141" s="8" t="s">
        <v>27330</v>
      </c>
      <c r="C6141" s="8" t="s">
        <v>27330</v>
      </c>
      <c r="F6141" s="47" t="s">
        <v>58145</v>
      </c>
      <c r="G6141" s="8">
        <v>9</v>
      </c>
      <c r="H6141" s="8" t="s">
        <v>21</v>
      </c>
      <c r="I6141" s="8" t="s">
        <v>22</v>
      </c>
      <c r="J6141" s="8" t="s">
        <v>22</v>
      </c>
      <c r="K6141" s="8" t="s">
        <v>520</v>
      </c>
      <c r="L6141" s="8" t="s">
        <v>13395</v>
      </c>
      <c r="M6141" s="8" t="s">
        <v>13396</v>
      </c>
      <c r="N6141" s="8" t="s">
        <v>27331</v>
      </c>
      <c r="O6141" s="8">
        <f>16+20/60+57/3600</f>
        <v>16.349166666666665</v>
      </c>
      <c r="P6141" s="8" t="s">
        <v>27332</v>
      </c>
      <c r="Q6141" s="8">
        <f>+(65+23/60+24/3600)</f>
        <v>65.39</v>
      </c>
      <c r="R6141" s="8">
        <v>11.3</v>
      </c>
      <c r="S6141" s="8">
        <v>11.8</v>
      </c>
      <c r="T6141" s="8">
        <v>0.5</v>
      </c>
      <c r="U6141" s="8">
        <v>14.8</v>
      </c>
      <c r="V6141" s="8">
        <v>6.3</v>
      </c>
      <c r="W6141" s="8">
        <v>4.5999999999999996</v>
      </c>
      <c r="X6141" s="8">
        <v>95</v>
      </c>
      <c r="Y6141" s="8" t="s">
        <v>27333</v>
      </c>
      <c r="Z6141" s="8" t="s">
        <v>27334</v>
      </c>
    </row>
    <row r="6142" spans="1:26" x14ac:dyDescent="0.2">
      <c r="A6142" s="8">
        <v>6141</v>
      </c>
      <c r="B6142" s="8" t="s">
        <v>27335</v>
      </c>
      <c r="C6142" s="8" t="s">
        <v>27335</v>
      </c>
      <c r="F6142" s="47"/>
      <c r="G6142" s="8">
        <v>19</v>
      </c>
      <c r="H6142" s="8" t="s">
        <v>21</v>
      </c>
      <c r="I6142" s="8" t="s">
        <v>22</v>
      </c>
      <c r="J6142" s="8" t="s">
        <v>22</v>
      </c>
      <c r="K6142" s="8" t="s">
        <v>476</v>
      </c>
      <c r="L6142" s="8" t="s">
        <v>26804</v>
      </c>
      <c r="M6142" s="8" t="s">
        <v>26805</v>
      </c>
      <c r="N6142" s="8" t="s">
        <v>27336</v>
      </c>
      <c r="O6142" s="8">
        <f>16+23/60+6.3/3600</f>
        <v>16.385083333333334</v>
      </c>
      <c r="P6142" s="8" t="s">
        <v>27337</v>
      </c>
      <c r="Q6142" s="8">
        <f>+(40+51/60+30/3600)</f>
        <v>40.858333333333334</v>
      </c>
      <c r="R6142" s="8">
        <v>14.9</v>
      </c>
      <c r="S6142" s="8">
        <v>15.8</v>
      </c>
      <c r="T6142" s="8">
        <v>0.9</v>
      </c>
      <c r="U6142" s="8">
        <v>12.1</v>
      </c>
      <c r="V6142" s="8">
        <v>0.3</v>
      </c>
      <c r="W6142" s="8">
        <v>0.3</v>
      </c>
      <c r="Y6142" s="8" t="s">
        <v>26874</v>
      </c>
      <c r="Z6142" s="8" t="s">
        <v>26875</v>
      </c>
    </row>
    <row r="6143" spans="1:26" x14ac:dyDescent="0.2">
      <c r="A6143" s="8">
        <v>6142</v>
      </c>
      <c r="B6143" s="8" t="s">
        <v>27338</v>
      </c>
      <c r="C6143" s="8" t="s">
        <v>27338</v>
      </c>
      <c r="F6143" s="47" t="s">
        <v>58146</v>
      </c>
      <c r="G6143" s="8">
        <v>15</v>
      </c>
      <c r="H6143" s="8" t="s">
        <v>21</v>
      </c>
      <c r="I6143" s="8" t="s">
        <v>22</v>
      </c>
      <c r="J6143" s="8" t="s">
        <v>22</v>
      </c>
      <c r="K6143" s="8" t="s">
        <v>23</v>
      </c>
      <c r="L6143" s="8" t="s">
        <v>26398</v>
      </c>
      <c r="M6143" s="8" t="s">
        <v>26399</v>
      </c>
      <c r="N6143" s="8" t="s">
        <v>27339</v>
      </c>
      <c r="O6143" s="8">
        <f>16+23/60+21/3600</f>
        <v>16.389166666666664</v>
      </c>
      <c r="P6143" s="8" t="s">
        <v>27340</v>
      </c>
      <c r="Q6143" s="8">
        <f>+(37+15/60+30/3600)</f>
        <v>37.258333333333333</v>
      </c>
      <c r="R6143" s="8">
        <v>13.8</v>
      </c>
      <c r="S6143" s="8">
        <v>14.6</v>
      </c>
      <c r="T6143" s="8">
        <v>0.8</v>
      </c>
      <c r="U6143" s="8">
        <v>13.7</v>
      </c>
      <c r="V6143" s="8">
        <v>2</v>
      </c>
      <c r="W6143" s="8">
        <v>0.5</v>
      </c>
      <c r="X6143" s="8">
        <v>165</v>
      </c>
      <c r="Y6143" s="8" t="s">
        <v>21310</v>
      </c>
      <c r="Z6143" s="8" t="s">
        <v>21311</v>
      </c>
    </row>
    <row r="6144" spans="1:26" x14ac:dyDescent="0.2">
      <c r="A6144" s="8">
        <v>6143</v>
      </c>
      <c r="B6144" s="8" t="s">
        <v>27341</v>
      </c>
      <c r="C6144" s="8" t="s">
        <v>27341</v>
      </c>
      <c r="F6144" s="47" t="s">
        <v>58147</v>
      </c>
      <c r="G6144" s="8">
        <v>15</v>
      </c>
      <c r="H6144" s="8" t="s">
        <v>21</v>
      </c>
      <c r="I6144" s="8" t="s">
        <v>22</v>
      </c>
      <c r="J6144" s="8" t="s">
        <v>22</v>
      </c>
      <c r="K6144" s="8" t="s">
        <v>85</v>
      </c>
      <c r="L6144" s="8" t="s">
        <v>13395</v>
      </c>
      <c r="M6144" s="8" t="s">
        <v>13396</v>
      </c>
      <c r="N6144" s="8" t="s">
        <v>27342</v>
      </c>
      <c r="O6144" s="8">
        <f>16+21/60+42.3/3600</f>
        <v>16.361750000000001</v>
      </c>
      <c r="P6144" s="8" t="s">
        <v>27343</v>
      </c>
      <c r="Q6144" s="8">
        <f>+(55+5/60+11/3600)</f>
        <v>55.086388888888891</v>
      </c>
      <c r="R6144" s="8">
        <v>13.1</v>
      </c>
      <c r="S6144" s="8">
        <v>13.9</v>
      </c>
      <c r="T6144" s="8">
        <v>0.8</v>
      </c>
      <c r="U6144" s="8">
        <v>12.8</v>
      </c>
      <c r="V6144" s="8">
        <v>1</v>
      </c>
      <c r="W6144" s="8">
        <v>0.9</v>
      </c>
      <c r="X6144" s="8">
        <v>177</v>
      </c>
      <c r="Y6144" s="8" t="s">
        <v>27344</v>
      </c>
      <c r="Z6144" s="8" t="s">
        <v>27345</v>
      </c>
    </row>
    <row r="6145" spans="1:26" x14ac:dyDescent="0.2">
      <c r="A6145" s="8">
        <v>6144</v>
      </c>
      <c r="B6145" s="8" t="s">
        <v>27346</v>
      </c>
      <c r="C6145" s="8" t="s">
        <v>27346</v>
      </c>
      <c r="F6145" s="47" t="s">
        <v>58148</v>
      </c>
      <c r="G6145" s="8">
        <v>3</v>
      </c>
      <c r="H6145" s="8" t="s">
        <v>21</v>
      </c>
      <c r="I6145" s="8" t="s">
        <v>567</v>
      </c>
      <c r="J6145" s="8" t="s">
        <v>567</v>
      </c>
      <c r="K6145" s="8" t="s">
        <v>22675</v>
      </c>
      <c r="L6145" s="8" t="s">
        <v>26735</v>
      </c>
      <c r="M6145" s="8" t="s">
        <v>26736</v>
      </c>
      <c r="N6145" s="8" t="s">
        <v>27347</v>
      </c>
      <c r="O6145" s="8">
        <f>16+27/60+14.1/3600</f>
        <v>16.453916666666665</v>
      </c>
      <c r="P6145" s="8" t="s">
        <v>27348</v>
      </c>
      <c r="Q6145" s="8">
        <f>-(26+1/60+27/3600)</f>
        <v>-26.024166666666666</v>
      </c>
      <c r="R6145" s="8">
        <v>9</v>
      </c>
      <c r="S6145" s="8">
        <v>99</v>
      </c>
      <c r="T6145" s="8">
        <v>99</v>
      </c>
      <c r="U6145" s="8">
        <v>99</v>
      </c>
      <c r="V6145" s="8">
        <v>7.4</v>
      </c>
      <c r="Y6145" s="8" t="s">
        <v>27349</v>
      </c>
      <c r="Z6145" s="8" t="s">
        <v>27350</v>
      </c>
    </row>
    <row r="6146" spans="1:26" x14ac:dyDescent="0.2">
      <c r="A6146" s="8">
        <v>6145</v>
      </c>
      <c r="B6146" s="8" t="s">
        <v>27351</v>
      </c>
      <c r="C6146" s="8" t="s">
        <v>27351</v>
      </c>
      <c r="F6146" s="47"/>
      <c r="G6146" s="8">
        <v>16</v>
      </c>
      <c r="H6146" s="8" t="s">
        <v>21</v>
      </c>
      <c r="I6146" s="8" t="s">
        <v>22</v>
      </c>
      <c r="J6146" s="8" t="s">
        <v>22</v>
      </c>
      <c r="K6146" s="8" t="s">
        <v>160</v>
      </c>
      <c r="L6146" s="8" t="s">
        <v>26804</v>
      </c>
      <c r="M6146" s="8" t="s">
        <v>26805</v>
      </c>
      <c r="N6146" s="8" t="s">
        <v>27352</v>
      </c>
      <c r="O6146" s="8">
        <f>16+25/60+2.4/3600</f>
        <v>16.417333333333335</v>
      </c>
      <c r="P6146" s="8" t="s">
        <v>15908</v>
      </c>
      <c r="Q6146" s="8">
        <f>+(40+56/60+47/3600)</f>
        <v>40.946388888888883</v>
      </c>
      <c r="R6146" s="8">
        <v>14.2</v>
      </c>
      <c r="S6146" s="8">
        <v>14.9</v>
      </c>
      <c r="T6146" s="8">
        <v>0.7</v>
      </c>
      <c r="U6146" s="8">
        <v>12.8</v>
      </c>
      <c r="V6146" s="8">
        <v>0.8</v>
      </c>
      <c r="W6146" s="8">
        <v>0.4</v>
      </c>
      <c r="X6146" s="8">
        <v>5</v>
      </c>
      <c r="Y6146" s="8" t="s">
        <v>11395</v>
      </c>
      <c r="Z6146" s="8" t="s">
        <v>11396</v>
      </c>
    </row>
    <row r="6147" spans="1:26" x14ac:dyDescent="0.2">
      <c r="A6147" s="8">
        <v>6146</v>
      </c>
      <c r="B6147" s="8" t="s">
        <v>27353</v>
      </c>
      <c r="C6147" s="8" t="s">
        <v>27353</v>
      </c>
      <c r="F6147" s="47" t="s">
        <v>58149</v>
      </c>
      <c r="G6147" s="8">
        <v>15</v>
      </c>
      <c r="H6147" s="8" t="s">
        <v>21</v>
      </c>
      <c r="I6147" s="8" t="s">
        <v>22</v>
      </c>
      <c r="J6147" s="8" t="s">
        <v>22</v>
      </c>
      <c r="K6147" s="8" t="s">
        <v>1136</v>
      </c>
      <c r="L6147" s="8" t="s">
        <v>26804</v>
      </c>
      <c r="M6147" s="8" t="s">
        <v>26805</v>
      </c>
      <c r="N6147" s="8" t="s">
        <v>27354</v>
      </c>
      <c r="O6147" s="8">
        <f>16+25/60+10.2/3600</f>
        <v>16.419500000000003</v>
      </c>
      <c r="P6147" s="8" t="s">
        <v>27355</v>
      </c>
      <c r="Q6147" s="8">
        <f>+(40+53/60+33/3600)</f>
        <v>40.892499999999998</v>
      </c>
      <c r="R6147" s="8">
        <v>12.5</v>
      </c>
      <c r="S6147" s="8">
        <v>13.5</v>
      </c>
      <c r="T6147" s="8">
        <v>1</v>
      </c>
      <c r="U6147" s="8">
        <v>12.8</v>
      </c>
      <c r="V6147" s="8">
        <v>1.3</v>
      </c>
      <c r="W6147" s="8">
        <v>1</v>
      </c>
      <c r="X6147" s="8">
        <v>75</v>
      </c>
      <c r="Y6147" s="8" t="s">
        <v>15316</v>
      </c>
      <c r="Z6147" s="8" t="s">
        <v>15317</v>
      </c>
    </row>
    <row r="6148" spans="1:26" x14ac:dyDescent="0.2">
      <c r="A6148" s="8">
        <v>6147</v>
      </c>
      <c r="B6148" s="8" t="s">
        <v>27356</v>
      </c>
      <c r="C6148" s="8" t="s">
        <v>27356</v>
      </c>
      <c r="F6148" s="47"/>
      <c r="G6148" s="8">
        <v>18</v>
      </c>
      <c r="H6148" s="8" t="s">
        <v>21</v>
      </c>
      <c r="I6148" s="8" t="s">
        <v>22</v>
      </c>
      <c r="J6148" s="8" t="s">
        <v>22</v>
      </c>
      <c r="K6148" s="8" t="s">
        <v>23</v>
      </c>
      <c r="L6148" s="8" t="s">
        <v>26804</v>
      </c>
      <c r="M6148" s="8" t="s">
        <v>26805</v>
      </c>
      <c r="N6148" s="8" t="s">
        <v>27357</v>
      </c>
      <c r="O6148" s="8">
        <f>16+25/60+5.8/3600</f>
        <v>16.418277777777778</v>
      </c>
      <c r="P6148" s="8" t="s">
        <v>27358</v>
      </c>
      <c r="Q6148" s="8">
        <f>+(40+55/60+44/3600)</f>
        <v>40.928888888888885</v>
      </c>
      <c r="R6148" s="8">
        <v>15.1</v>
      </c>
      <c r="S6148" s="8">
        <v>15.9</v>
      </c>
      <c r="T6148" s="8">
        <v>0.8</v>
      </c>
      <c r="U6148" s="8">
        <v>13</v>
      </c>
      <c r="V6148" s="8">
        <v>0.4</v>
      </c>
      <c r="W6148" s="8">
        <v>0.3</v>
      </c>
      <c r="X6148" s="8">
        <v>30</v>
      </c>
      <c r="Y6148" s="8" t="s">
        <v>27359</v>
      </c>
      <c r="Z6148" s="8" t="s">
        <v>27360</v>
      </c>
    </row>
    <row r="6149" spans="1:26" x14ac:dyDescent="0.2">
      <c r="A6149" s="8">
        <v>6148</v>
      </c>
      <c r="B6149" s="8" t="s">
        <v>27361</v>
      </c>
      <c r="C6149" s="8" t="s">
        <v>27361</v>
      </c>
      <c r="F6149" s="47"/>
      <c r="G6149" s="8">
        <v>18</v>
      </c>
      <c r="H6149" s="8" t="s">
        <v>21</v>
      </c>
      <c r="I6149" s="8" t="s">
        <v>22</v>
      </c>
      <c r="J6149" s="8" t="s">
        <v>22</v>
      </c>
      <c r="K6149" s="8" t="s">
        <v>449</v>
      </c>
      <c r="L6149" s="8" t="s">
        <v>26804</v>
      </c>
      <c r="M6149" s="8" t="s">
        <v>26805</v>
      </c>
      <c r="N6149" s="8" t="s">
        <v>27362</v>
      </c>
      <c r="O6149" s="8">
        <f>16+27/60+4/3600</f>
        <v>16.451111111111111</v>
      </c>
      <c r="P6149" s="8" t="s">
        <v>27363</v>
      </c>
      <c r="Q6149" s="8">
        <f>+(24+5/60+34/3600)</f>
        <v>24.092777777777776</v>
      </c>
      <c r="R6149" s="8">
        <v>16.100000000000001</v>
      </c>
      <c r="S6149" s="8">
        <v>16.899999999999999</v>
      </c>
      <c r="T6149" s="8">
        <v>0.8</v>
      </c>
      <c r="U6149" s="8">
        <v>14.1</v>
      </c>
      <c r="V6149" s="8">
        <v>0.6</v>
      </c>
      <c r="W6149" s="8">
        <v>0.3</v>
      </c>
      <c r="X6149" s="8">
        <v>60</v>
      </c>
      <c r="Y6149" s="8" t="s">
        <v>27364</v>
      </c>
      <c r="Z6149" s="8" t="s">
        <v>27365</v>
      </c>
    </row>
    <row r="6150" spans="1:26" x14ac:dyDescent="0.2">
      <c r="A6150" s="8">
        <v>6149</v>
      </c>
      <c r="B6150" s="8" t="s">
        <v>27366</v>
      </c>
      <c r="C6150" s="8" t="s">
        <v>27366</v>
      </c>
      <c r="F6150" s="47"/>
      <c r="G6150" s="8">
        <v>19</v>
      </c>
      <c r="H6150" s="8" t="s">
        <v>21</v>
      </c>
      <c r="I6150" s="8" t="s">
        <v>22</v>
      </c>
      <c r="J6150" s="8" t="s">
        <v>22</v>
      </c>
      <c r="K6150" s="8" t="s">
        <v>37</v>
      </c>
      <c r="L6150" s="8" t="s">
        <v>26804</v>
      </c>
      <c r="M6150" s="8" t="s">
        <v>26805</v>
      </c>
      <c r="N6150" s="8" t="s">
        <v>27367</v>
      </c>
      <c r="O6150" s="8">
        <f>16+27/60+24.3/3600</f>
        <v>16.45675</v>
      </c>
      <c r="P6150" s="8" t="s">
        <v>27368</v>
      </c>
      <c r="Q6150" s="8">
        <f>+(19+35/60+51/3600)</f>
        <v>19.5975</v>
      </c>
      <c r="R6150" s="8">
        <v>13.5</v>
      </c>
      <c r="S6150" s="8">
        <v>14.5</v>
      </c>
      <c r="T6150" s="8">
        <v>1</v>
      </c>
      <c r="U6150" s="8">
        <v>13.2</v>
      </c>
      <c r="V6150" s="8">
        <v>1.1000000000000001</v>
      </c>
      <c r="W6150" s="8">
        <v>0.8</v>
      </c>
      <c r="X6150" s="8">
        <v>22</v>
      </c>
      <c r="Y6150" s="8" t="s">
        <v>27369</v>
      </c>
      <c r="Z6150" s="8" t="s">
        <v>27370</v>
      </c>
    </row>
    <row r="6151" spans="1:26" x14ac:dyDescent="0.2">
      <c r="A6151" s="8">
        <v>6150</v>
      </c>
      <c r="B6151" s="8" t="s">
        <v>27371</v>
      </c>
      <c r="C6151" s="8" t="s">
        <v>27371</v>
      </c>
      <c r="F6151" s="47" t="s">
        <v>58150</v>
      </c>
      <c r="G6151" s="8">
        <v>15</v>
      </c>
      <c r="H6151" s="8" t="s">
        <v>21</v>
      </c>
      <c r="I6151" s="8" t="s">
        <v>22</v>
      </c>
      <c r="J6151" s="8" t="s">
        <v>22</v>
      </c>
      <c r="K6151" s="8" t="s">
        <v>818</v>
      </c>
      <c r="L6151" s="8" t="s">
        <v>26804</v>
      </c>
      <c r="M6151" s="8" t="s">
        <v>26805</v>
      </c>
      <c r="N6151" s="8" t="s">
        <v>27372</v>
      </c>
      <c r="O6151" s="8">
        <f>16+25/60+49.9/3600</f>
        <v>16.43052777777778</v>
      </c>
      <c r="P6151" s="8" t="s">
        <v>27373</v>
      </c>
      <c r="Q6151" s="8">
        <f>+(40+29/60+20/3600)</f>
        <v>40.488888888888887</v>
      </c>
      <c r="R6151" s="8">
        <v>14</v>
      </c>
      <c r="S6151" s="8">
        <v>15</v>
      </c>
      <c r="T6151" s="8">
        <v>1</v>
      </c>
      <c r="U6151" s="8">
        <v>13.6</v>
      </c>
      <c r="V6151" s="8">
        <v>1.3</v>
      </c>
      <c r="W6151" s="8">
        <v>0.5</v>
      </c>
      <c r="X6151" s="8">
        <v>61</v>
      </c>
      <c r="Y6151" s="8" t="s">
        <v>421</v>
      </c>
      <c r="Z6151" s="8" t="s">
        <v>422</v>
      </c>
    </row>
    <row r="6152" spans="1:26" x14ac:dyDescent="0.2">
      <c r="A6152" s="8">
        <v>6151</v>
      </c>
      <c r="B6152" s="8" t="s">
        <v>27374</v>
      </c>
      <c r="C6152" s="8" t="s">
        <v>27374</v>
      </c>
      <c r="F6152" s="47"/>
      <c r="G6152" s="8">
        <v>16</v>
      </c>
      <c r="H6152" s="8" t="s">
        <v>21</v>
      </c>
      <c r="I6152" s="8" t="s">
        <v>72</v>
      </c>
      <c r="J6152" s="8" t="s">
        <v>72</v>
      </c>
      <c r="K6152" s="8" t="s">
        <v>1405</v>
      </c>
      <c r="L6152" s="8" t="s">
        <v>25025</v>
      </c>
      <c r="M6152" s="8" t="s">
        <v>25026</v>
      </c>
      <c r="N6152" s="8" t="s">
        <v>27375</v>
      </c>
      <c r="O6152" s="8">
        <f>16+38/60+24.1/3600</f>
        <v>16.640027777777778</v>
      </c>
      <c r="P6152" s="8" t="s">
        <v>27376</v>
      </c>
      <c r="Q6152" s="8">
        <f>-(73+15/60+7/3600)</f>
        <v>-73.251944444444447</v>
      </c>
      <c r="R6152" s="8">
        <v>99</v>
      </c>
      <c r="S6152" s="8">
        <v>99</v>
      </c>
      <c r="T6152" s="8">
        <v>99</v>
      </c>
      <c r="U6152" s="8">
        <v>99</v>
      </c>
      <c r="V6152" s="8">
        <v>0.5</v>
      </c>
      <c r="Y6152" s="8" t="s">
        <v>27377</v>
      </c>
      <c r="Z6152" s="8" t="s">
        <v>27378</v>
      </c>
    </row>
    <row r="6153" spans="1:26" x14ac:dyDescent="0.2">
      <c r="A6153" s="8">
        <v>6152</v>
      </c>
      <c r="B6153" s="8" t="s">
        <v>27379</v>
      </c>
      <c r="C6153" s="8" t="s">
        <v>27379</v>
      </c>
      <c r="F6153" s="47"/>
      <c r="G6153" s="8">
        <v>8</v>
      </c>
      <c r="H6153" s="8" t="s">
        <v>21</v>
      </c>
      <c r="I6153" s="8" t="s">
        <v>557</v>
      </c>
      <c r="J6153" s="8" t="s">
        <v>557</v>
      </c>
      <c r="K6153" s="8" t="s">
        <v>2722</v>
      </c>
      <c r="L6153" s="8" t="s">
        <v>26405</v>
      </c>
      <c r="M6153" s="8" t="s">
        <v>26406</v>
      </c>
      <c r="N6153" s="8" t="s">
        <v>27380</v>
      </c>
      <c r="O6153" s="8">
        <f>16+32/60+45/3600</f>
        <v>16.545833333333334</v>
      </c>
      <c r="P6153" s="8" t="s">
        <v>27381</v>
      </c>
      <c r="Q6153" s="8">
        <f>-(52+38/60+36/3600)</f>
        <v>-52.643333333333331</v>
      </c>
      <c r="R6153" s="8">
        <v>8.1</v>
      </c>
      <c r="S6153" s="8">
        <v>99</v>
      </c>
      <c r="T6153" s="8">
        <v>99</v>
      </c>
      <c r="U6153" s="8">
        <v>99</v>
      </c>
      <c r="V6153" s="8">
        <v>25</v>
      </c>
      <c r="Y6153" s="8" t="s">
        <v>27382</v>
      </c>
      <c r="Z6153" s="8" t="s">
        <v>27383</v>
      </c>
    </row>
    <row r="6154" spans="1:26" x14ac:dyDescent="0.2">
      <c r="A6154" s="8">
        <v>6153</v>
      </c>
      <c r="B6154" s="8" t="s">
        <v>27384</v>
      </c>
      <c r="C6154" s="8" t="s">
        <v>27384</v>
      </c>
      <c r="F6154" s="47"/>
      <c r="G6154" s="8">
        <v>10</v>
      </c>
      <c r="H6154" s="8" t="s">
        <v>21</v>
      </c>
      <c r="I6154" s="8" t="s">
        <v>241</v>
      </c>
      <c r="J6154" s="8" t="s">
        <v>241</v>
      </c>
      <c r="K6154" s="8" t="s">
        <v>241</v>
      </c>
      <c r="L6154" s="8" t="s">
        <v>26735</v>
      </c>
      <c r="M6154" s="8" t="s">
        <v>26736</v>
      </c>
      <c r="N6154" s="8" t="s">
        <v>27385</v>
      </c>
      <c r="O6154" s="8">
        <f>16+31/60+30.6/3600</f>
        <v>16.525166666666667</v>
      </c>
      <c r="P6154" s="8" t="s">
        <v>27386</v>
      </c>
      <c r="Q6154" s="8">
        <f>-(40+15/60+11/3600)</f>
        <v>-40.253055555555555</v>
      </c>
      <c r="R6154" s="8">
        <v>10.9</v>
      </c>
      <c r="S6154" s="8">
        <v>11.5</v>
      </c>
      <c r="T6154" s="8">
        <v>99</v>
      </c>
      <c r="U6154" s="8">
        <v>99</v>
      </c>
      <c r="V6154" s="8">
        <v>0.4</v>
      </c>
      <c r="Y6154" s="8" t="s">
        <v>27387</v>
      </c>
      <c r="Z6154" s="8" t="s">
        <v>27388</v>
      </c>
    </row>
    <row r="6155" spans="1:26" x14ac:dyDescent="0.2">
      <c r="A6155" s="8">
        <v>6154</v>
      </c>
      <c r="B6155" s="8" t="s">
        <v>27389</v>
      </c>
      <c r="C6155" s="8" t="s">
        <v>27389</v>
      </c>
      <c r="F6155" s="47" t="s">
        <v>58151</v>
      </c>
      <c r="G6155" s="8">
        <v>15</v>
      </c>
      <c r="H6155" s="8" t="s">
        <v>21</v>
      </c>
      <c r="I6155" s="8" t="s">
        <v>22</v>
      </c>
      <c r="J6155" s="8" t="s">
        <v>22</v>
      </c>
      <c r="K6155" s="8" t="s">
        <v>154</v>
      </c>
      <c r="L6155" s="8" t="s">
        <v>26804</v>
      </c>
      <c r="M6155" s="8" t="s">
        <v>26805</v>
      </c>
      <c r="N6155" s="8" t="s">
        <v>27390</v>
      </c>
      <c r="O6155" s="8">
        <f>16+25/60+30.6/3600</f>
        <v>16.425166666666669</v>
      </c>
      <c r="P6155" s="8" t="s">
        <v>27391</v>
      </c>
      <c r="Q6155" s="8">
        <f>+(49+50/60+25/3600)</f>
        <v>49.840277777777779</v>
      </c>
      <c r="R6155" s="8">
        <v>12.7</v>
      </c>
      <c r="S6155" s="8">
        <v>13.6</v>
      </c>
      <c r="T6155" s="8">
        <v>0.9</v>
      </c>
      <c r="U6155" s="8">
        <v>14.1</v>
      </c>
      <c r="V6155" s="8">
        <v>2.1</v>
      </c>
      <c r="W6155" s="8">
        <v>2</v>
      </c>
      <c r="X6155" s="8">
        <v>0</v>
      </c>
      <c r="Y6155" s="8" t="s">
        <v>27392</v>
      </c>
      <c r="Z6155" s="8" t="s">
        <v>27393</v>
      </c>
    </row>
    <row r="6156" spans="1:26" x14ac:dyDescent="0.2">
      <c r="A6156" s="8">
        <v>6155</v>
      </c>
      <c r="B6156" s="8" t="s">
        <v>27394</v>
      </c>
      <c r="C6156" s="8" t="s">
        <v>27394</v>
      </c>
      <c r="F6156" s="47" t="s">
        <v>58152</v>
      </c>
      <c r="G6156" s="8">
        <v>6.5</v>
      </c>
      <c r="H6156" s="8" t="s">
        <v>21</v>
      </c>
      <c r="I6156" s="8" t="s">
        <v>22</v>
      </c>
      <c r="J6156" s="8" t="s">
        <v>22</v>
      </c>
      <c r="K6156" s="8" t="s">
        <v>160</v>
      </c>
      <c r="L6156" s="8" t="s">
        <v>26804</v>
      </c>
      <c r="M6156" s="8" t="s">
        <v>26805</v>
      </c>
      <c r="N6156" s="8" t="s">
        <v>27395</v>
      </c>
      <c r="O6156" s="8">
        <f>16+26/60+8.3/3600</f>
        <v>16.435638888888889</v>
      </c>
      <c r="P6156" s="8" t="s">
        <v>27396</v>
      </c>
      <c r="Q6156" s="8">
        <f>+(48+22/60+3/3600)</f>
        <v>48.3675</v>
      </c>
      <c r="R6156" s="8">
        <v>12.3</v>
      </c>
      <c r="S6156" s="8">
        <v>13</v>
      </c>
      <c r="T6156" s="8">
        <v>0.7</v>
      </c>
      <c r="U6156" s="8">
        <v>12.3</v>
      </c>
      <c r="V6156" s="8">
        <v>1.3</v>
      </c>
      <c r="W6156" s="8">
        <v>0.9</v>
      </c>
      <c r="X6156" s="8">
        <v>145</v>
      </c>
      <c r="Y6156" s="8" t="s">
        <v>27397</v>
      </c>
      <c r="Z6156" s="8" t="s">
        <v>27398</v>
      </c>
    </row>
    <row r="6157" spans="1:26" x14ac:dyDescent="0.2">
      <c r="A6157" s="8">
        <v>6156</v>
      </c>
      <c r="B6157" s="8" t="s">
        <v>27399</v>
      </c>
      <c r="C6157" s="8" t="s">
        <v>27399</v>
      </c>
      <c r="F6157" s="47"/>
      <c r="G6157" s="8">
        <v>16</v>
      </c>
      <c r="H6157" s="8" t="s">
        <v>21</v>
      </c>
      <c r="I6157" s="8" t="s">
        <v>22</v>
      </c>
      <c r="J6157" s="8" t="s">
        <v>22</v>
      </c>
      <c r="K6157" s="8" t="s">
        <v>64</v>
      </c>
      <c r="L6157" s="8" t="s">
        <v>26039</v>
      </c>
      <c r="M6157" s="8" t="s">
        <v>26040</v>
      </c>
      <c r="N6157" s="8" t="s">
        <v>27400</v>
      </c>
      <c r="O6157" s="8">
        <f>16+34/60+52.6/3600</f>
        <v>16.581277777777778</v>
      </c>
      <c r="P6157" s="8" t="s">
        <v>27401</v>
      </c>
      <c r="Q6157" s="8">
        <f>-(60+37/60+9/3600)</f>
        <v>-60.619166666666665</v>
      </c>
      <c r="R6157" s="8">
        <v>11.5</v>
      </c>
      <c r="S6157" s="8">
        <v>12.2</v>
      </c>
      <c r="T6157" s="8">
        <v>0.7</v>
      </c>
      <c r="U6157" s="8">
        <v>12.2</v>
      </c>
      <c r="V6157" s="8">
        <v>1.6</v>
      </c>
      <c r="W6157" s="8">
        <v>1.4</v>
      </c>
      <c r="X6157" s="8">
        <v>0</v>
      </c>
      <c r="Y6157" s="8" t="s">
        <v>27402</v>
      </c>
      <c r="Z6157" s="8" t="s">
        <v>27403</v>
      </c>
    </row>
    <row r="6158" spans="1:26" x14ac:dyDescent="0.2">
      <c r="A6158" s="8">
        <v>6157</v>
      </c>
      <c r="B6158" s="8" t="s">
        <v>27404</v>
      </c>
      <c r="C6158" s="8" t="s">
        <v>27404</v>
      </c>
      <c r="F6158" s="47"/>
      <c r="G6158" s="8">
        <v>19</v>
      </c>
      <c r="H6158" s="8" t="s">
        <v>21</v>
      </c>
      <c r="I6158" s="8" t="s">
        <v>22</v>
      </c>
      <c r="J6158" s="8" t="s">
        <v>22</v>
      </c>
      <c r="K6158" s="8" t="s">
        <v>58</v>
      </c>
      <c r="L6158" s="8" t="s">
        <v>13395</v>
      </c>
      <c r="M6158" s="8" t="s">
        <v>13396</v>
      </c>
      <c r="N6158" s="8" t="s">
        <v>27405</v>
      </c>
      <c r="O6158" s="8">
        <f>16+25/60+48.3/3600</f>
        <v>16.430083333333336</v>
      </c>
      <c r="P6158" s="8" t="s">
        <v>27406</v>
      </c>
      <c r="Q6158" s="8">
        <f>+(55+21/60+40/3600)</f>
        <v>55.361111111111114</v>
      </c>
      <c r="R6158" s="8">
        <v>14.5</v>
      </c>
      <c r="S6158" s="8">
        <v>15.5</v>
      </c>
      <c r="T6158" s="8">
        <v>1</v>
      </c>
      <c r="U6158" s="8">
        <v>13.3</v>
      </c>
      <c r="V6158" s="8">
        <v>0.6</v>
      </c>
      <c r="W6158" s="8">
        <v>0.5</v>
      </c>
      <c r="X6158" s="8">
        <v>9</v>
      </c>
      <c r="Y6158" s="8" t="s">
        <v>3161</v>
      </c>
      <c r="Z6158" s="8" t="s">
        <v>3162</v>
      </c>
    </row>
    <row r="6159" spans="1:26" x14ac:dyDescent="0.2">
      <c r="A6159" s="8">
        <v>6158</v>
      </c>
      <c r="B6159" s="8" t="s">
        <v>27407</v>
      </c>
      <c r="C6159" s="8" t="s">
        <v>27407</v>
      </c>
      <c r="F6159" s="47" t="s">
        <v>58153</v>
      </c>
      <c r="G6159" s="8">
        <v>15</v>
      </c>
      <c r="H6159" s="8" t="s">
        <v>21</v>
      </c>
      <c r="I6159" s="8" t="s">
        <v>22</v>
      </c>
      <c r="J6159" s="8" t="s">
        <v>22</v>
      </c>
      <c r="K6159" s="8" t="s">
        <v>58</v>
      </c>
      <c r="L6159" s="8" t="s">
        <v>26804</v>
      </c>
      <c r="M6159" s="8" t="s">
        <v>26805</v>
      </c>
      <c r="N6159" s="8" t="s">
        <v>27408</v>
      </c>
      <c r="O6159" s="8">
        <f>16+27/60+40.9/3600</f>
        <v>16.46136111111111</v>
      </c>
      <c r="P6159" s="8" t="s">
        <v>27409</v>
      </c>
      <c r="Q6159" s="8">
        <f>+(39+23/60+0/3600)</f>
        <v>39.383333333333333</v>
      </c>
      <c r="R6159" s="8">
        <v>13.7</v>
      </c>
      <c r="S6159" s="8">
        <v>14.7</v>
      </c>
      <c r="T6159" s="8">
        <v>1</v>
      </c>
      <c r="U6159" s="8">
        <v>13.1</v>
      </c>
      <c r="V6159" s="8">
        <v>0.9</v>
      </c>
      <c r="W6159" s="8">
        <v>0.6</v>
      </c>
      <c r="X6159" s="8">
        <v>81</v>
      </c>
      <c r="Y6159" s="8" t="s">
        <v>22305</v>
      </c>
      <c r="Z6159" s="8" t="s">
        <v>22306</v>
      </c>
    </row>
    <row r="6160" spans="1:26" x14ac:dyDescent="0.2">
      <c r="A6160" s="8">
        <v>6159</v>
      </c>
      <c r="B6160" s="8" t="s">
        <v>27410</v>
      </c>
      <c r="C6160" s="8" t="s">
        <v>27410</v>
      </c>
      <c r="F6160" s="47"/>
      <c r="G6160" s="8">
        <v>19</v>
      </c>
      <c r="H6160" s="8" t="s">
        <v>21</v>
      </c>
      <c r="I6160" s="8" t="s">
        <v>22</v>
      </c>
      <c r="J6160" s="8" t="s">
        <v>22</v>
      </c>
      <c r="K6160" s="8" t="s">
        <v>58</v>
      </c>
      <c r="L6160" s="8" t="s">
        <v>26804</v>
      </c>
      <c r="M6160" s="8" t="s">
        <v>26805</v>
      </c>
      <c r="N6160" s="8" t="s">
        <v>27411</v>
      </c>
      <c r="O6160" s="8">
        <f>16+27/60+25.1/3600</f>
        <v>16.456972222222223</v>
      </c>
      <c r="P6160" s="8" t="s">
        <v>27412</v>
      </c>
      <c r="Q6160" s="8">
        <f>+(42+40/60+49/3600)</f>
        <v>42.680277777777775</v>
      </c>
      <c r="R6160" s="8">
        <v>14.2</v>
      </c>
      <c r="S6160" s="8">
        <v>15.2</v>
      </c>
      <c r="T6160" s="8">
        <v>1</v>
      </c>
      <c r="U6160" s="8">
        <v>14.4</v>
      </c>
      <c r="V6160" s="8">
        <v>1.4</v>
      </c>
      <c r="W6160" s="8">
        <v>1</v>
      </c>
      <c r="X6160" s="8">
        <v>142</v>
      </c>
      <c r="Y6160" s="8" t="s">
        <v>16468</v>
      </c>
      <c r="Z6160" s="8" t="s">
        <v>16469</v>
      </c>
    </row>
    <row r="6161" spans="1:26" x14ac:dyDescent="0.2">
      <c r="A6161" s="8">
        <v>6160</v>
      </c>
      <c r="B6161" s="8" t="s">
        <v>27413</v>
      </c>
      <c r="C6161" s="8" t="s">
        <v>27413</v>
      </c>
      <c r="F6161" s="47" t="s">
        <v>58154</v>
      </c>
      <c r="G6161" s="8">
        <v>15</v>
      </c>
      <c r="H6161" s="8" t="s">
        <v>21</v>
      </c>
      <c r="I6161" s="8" t="s">
        <v>22</v>
      </c>
      <c r="J6161" s="8" t="s">
        <v>22</v>
      </c>
      <c r="K6161" s="8" t="s">
        <v>1136</v>
      </c>
      <c r="L6161" s="8" t="s">
        <v>26804</v>
      </c>
      <c r="M6161" s="8" t="s">
        <v>26805</v>
      </c>
      <c r="N6161" s="8" t="s">
        <v>27414</v>
      </c>
      <c r="O6161" s="8">
        <f>16+27/60+41.1/3600</f>
        <v>16.461416666666665</v>
      </c>
      <c r="P6161" s="8" t="s">
        <v>27415</v>
      </c>
      <c r="Q6161" s="8">
        <f>+(40+55/60+39/3600)</f>
        <v>40.927499999999995</v>
      </c>
      <c r="R6161" s="8">
        <v>13.2</v>
      </c>
      <c r="S6161" s="8">
        <v>14.2</v>
      </c>
      <c r="T6161" s="8">
        <v>1</v>
      </c>
      <c r="U6161" s="8">
        <v>14.3</v>
      </c>
      <c r="V6161" s="8">
        <v>1.8</v>
      </c>
      <c r="W6161" s="8">
        <v>1.5</v>
      </c>
      <c r="X6161" s="8">
        <v>65</v>
      </c>
      <c r="Y6161" s="8" t="s">
        <v>27416</v>
      </c>
      <c r="Z6161" s="8" t="s">
        <v>27417</v>
      </c>
    </row>
    <row r="6162" spans="1:26" x14ac:dyDescent="0.2">
      <c r="A6162" s="8">
        <v>6161</v>
      </c>
      <c r="B6162" s="8" t="s">
        <v>27418</v>
      </c>
      <c r="C6162" s="8" t="s">
        <v>27418</v>
      </c>
      <c r="F6162" s="47"/>
      <c r="G6162" s="8">
        <v>18</v>
      </c>
      <c r="H6162" s="8" t="s">
        <v>21</v>
      </c>
      <c r="I6162" s="8" t="s">
        <v>22</v>
      </c>
      <c r="J6162" s="8" t="s">
        <v>22</v>
      </c>
      <c r="K6162" s="8" t="s">
        <v>160</v>
      </c>
      <c r="L6162" s="8" t="s">
        <v>26804</v>
      </c>
      <c r="M6162" s="8" t="s">
        <v>26805</v>
      </c>
      <c r="N6162" s="8" t="s">
        <v>27419</v>
      </c>
      <c r="O6162" s="8">
        <f>16+28/60+20.6/3600</f>
        <v>16.472388888888887</v>
      </c>
      <c r="P6162" s="8" t="s">
        <v>27420</v>
      </c>
      <c r="Q6162" s="8">
        <f>+(32+48/60+37/3600)</f>
        <v>32.810277777777777</v>
      </c>
      <c r="R6162" s="8">
        <v>14.9</v>
      </c>
      <c r="S6162" s="8">
        <v>15.6</v>
      </c>
      <c r="T6162" s="8">
        <v>0.7</v>
      </c>
      <c r="U6162" s="8">
        <v>13.3</v>
      </c>
      <c r="V6162" s="8">
        <v>0.9</v>
      </c>
      <c r="W6162" s="8">
        <v>0.3</v>
      </c>
      <c r="X6162" s="8">
        <v>159</v>
      </c>
      <c r="Y6162" s="8" t="s">
        <v>21497</v>
      </c>
      <c r="Z6162" s="8" t="s">
        <v>21498</v>
      </c>
    </row>
    <row r="6163" spans="1:26" x14ac:dyDescent="0.2">
      <c r="A6163" s="8">
        <v>6162</v>
      </c>
      <c r="B6163" s="8" t="s">
        <v>27421</v>
      </c>
      <c r="C6163" s="8" t="s">
        <v>27421</v>
      </c>
      <c r="F6163" s="47"/>
      <c r="G6163" s="8">
        <v>18</v>
      </c>
      <c r="H6163" s="8" t="s">
        <v>21</v>
      </c>
      <c r="I6163" s="8" t="s">
        <v>22</v>
      </c>
      <c r="J6163" s="8" t="s">
        <v>22</v>
      </c>
      <c r="K6163" s="8" t="s">
        <v>37</v>
      </c>
      <c r="L6163" s="8" t="s">
        <v>26804</v>
      </c>
      <c r="M6163" s="8" t="s">
        <v>26805</v>
      </c>
      <c r="N6163" s="8" t="s">
        <v>27422</v>
      </c>
      <c r="O6163" s="8">
        <f>16+28/60+22.3/3600</f>
        <v>16.472861111111108</v>
      </c>
      <c r="P6163" s="8" t="s">
        <v>27423</v>
      </c>
      <c r="Q6163" s="8">
        <f>+(32+50/60+59/3600)</f>
        <v>32.849722222222226</v>
      </c>
      <c r="R6163" s="8">
        <v>13.6</v>
      </c>
      <c r="S6163" s="8">
        <v>14.6</v>
      </c>
      <c r="T6163" s="8">
        <v>1</v>
      </c>
      <c r="U6163" s="8">
        <v>13</v>
      </c>
      <c r="V6163" s="8">
        <v>0.9</v>
      </c>
      <c r="W6163" s="8">
        <v>0.7</v>
      </c>
      <c r="X6163" s="8">
        <v>30</v>
      </c>
      <c r="Y6163" s="8" t="s">
        <v>12039</v>
      </c>
      <c r="Z6163" s="8" t="s">
        <v>11239</v>
      </c>
    </row>
    <row r="6164" spans="1:26" x14ac:dyDescent="0.2">
      <c r="A6164" s="8">
        <v>6163</v>
      </c>
      <c r="B6164" s="8" t="s">
        <v>27424</v>
      </c>
      <c r="C6164" s="8" t="s">
        <v>27424</v>
      </c>
      <c r="F6164" s="47"/>
      <c r="G6164" s="8">
        <v>18</v>
      </c>
      <c r="H6164" s="8" t="s">
        <v>21</v>
      </c>
      <c r="I6164" s="8" t="s">
        <v>22</v>
      </c>
      <c r="J6164" s="8" t="s">
        <v>22</v>
      </c>
      <c r="K6164" s="8" t="s">
        <v>224</v>
      </c>
      <c r="L6164" s="8" t="s">
        <v>26804</v>
      </c>
      <c r="M6164" s="8" t="s">
        <v>26805</v>
      </c>
      <c r="N6164" s="8" t="s">
        <v>27425</v>
      </c>
      <c r="O6164" s="8">
        <f>16+28/60+27.8/3600</f>
        <v>16.474388888888889</v>
      </c>
      <c r="P6164" s="8" t="s">
        <v>27426</v>
      </c>
      <c r="Q6164" s="8">
        <f>+(32+50/60+49/3600)</f>
        <v>32.846944444444446</v>
      </c>
      <c r="R6164" s="8">
        <v>14.4</v>
      </c>
      <c r="S6164" s="8">
        <v>15.4</v>
      </c>
      <c r="T6164" s="8">
        <v>1</v>
      </c>
      <c r="U6164" s="8">
        <v>13.2</v>
      </c>
      <c r="V6164" s="8">
        <v>0.6</v>
      </c>
      <c r="W6164" s="8">
        <v>0.3</v>
      </c>
      <c r="X6164" s="8">
        <v>54</v>
      </c>
      <c r="Y6164" s="8" t="s">
        <v>21497</v>
      </c>
      <c r="Z6164" s="8" t="s">
        <v>21498</v>
      </c>
    </row>
    <row r="6165" spans="1:26" x14ac:dyDescent="0.2">
      <c r="A6165" s="8">
        <v>6164</v>
      </c>
      <c r="B6165" s="8" t="s">
        <v>27427</v>
      </c>
      <c r="C6165" s="8" t="s">
        <v>27427</v>
      </c>
      <c r="F6165" s="47"/>
      <c r="G6165" s="8">
        <v>10</v>
      </c>
      <c r="H6165" s="8" t="s">
        <v>21</v>
      </c>
      <c r="I6165" s="8" t="s">
        <v>1283</v>
      </c>
      <c r="J6165" s="8" t="s">
        <v>1283</v>
      </c>
      <c r="K6165" s="8" t="s">
        <v>1284</v>
      </c>
      <c r="L6165" s="8" t="s">
        <v>26405</v>
      </c>
      <c r="M6165" s="8" t="s">
        <v>26406</v>
      </c>
      <c r="N6165" s="8" t="s">
        <v>27428</v>
      </c>
      <c r="O6165" s="8">
        <f>16+33/60+41/3600</f>
        <v>16.561388888888889</v>
      </c>
      <c r="P6165" s="8" t="s">
        <v>27429</v>
      </c>
      <c r="Q6165" s="8">
        <f>-(48+4/60+46/3600)</f>
        <v>-48.079444444444448</v>
      </c>
      <c r="R6165" s="8">
        <v>99</v>
      </c>
      <c r="S6165" s="8">
        <v>99</v>
      </c>
      <c r="T6165" s="8">
        <v>99</v>
      </c>
      <c r="U6165" s="8">
        <v>99</v>
      </c>
      <c r="V6165" s="8">
        <v>1</v>
      </c>
      <c r="W6165" s="8">
        <v>0.3</v>
      </c>
      <c r="Y6165" s="8" t="s">
        <v>27430</v>
      </c>
      <c r="Z6165" s="8" t="s">
        <v>27431</v>
      </c>
    </row>
    <row r="6166" spans="1:26" x14ac:dyDescent="0.2">
      <c r="A6166" s="8">
        <v>6165</v>
      </c>
      <c r="B6166" s="8" t="s">
        <v>27432</v>
      </c>
      <c r="C6166" s="8" t="s">
        <v>27432</v>
      </c>
      <c r="F6166" s="47"/>
      <c r="G6166" s="8">
        <v>13</v>
      </c>
      <c r="H6166" s="8" t="s">
        <v>21</v>
      </c>
      <c r="I6166" s="8" t="s">
        <v>1283</v>
      </c>
      <c r="J6166" s="8" t="s">
        <v>1283</v>
      </c>
      <c r="K6166" s="8" t="s">
        <v>1284</v>
      </c>
      <c r="L6166" s="8" t="s">
        <v>26405</v>
      </c>
      <c r="M6166" s="8" t="s">
        <v>26406</v>
      </c>
      <c r="N6166" s="8" t="s">
        <v>27433</v>
      </c>
      <c r="O6166" s="8">
        <f>16+34/60+2/3600</f>
        <v>16.56722222222222</v>
      </c>
      <c r="P6166" s="8" t="s">
        <v>27434</v>
      </c>
      <c r="Q6166" s="8">
        <f>-(48+9/60+4/3600)</f>
        <v>-48.151111111111106</v>
      </c>
      <c r="R6166" s="8">
        <v>99</v>
      </c>
      <c r="S6166" s="8">
        <v>99</v>
      </c>
      <c r="T6166" s="8">
        <v>99</v>
      </c>
      <c r="U6166" s="8">
        <v>99</v>
      </c>
      <c r="V6166" s="8">
        <v>2.5</v>
      </c>
      <c r="W6166" s="8">
        <v>0.5</v>
      </c>
      <c r="Y6166" s="8" t="s">
        <v>27435</v>
      </c>
      <c r="Z6166" s="8" t="s">
        <v>27436</v>
      </c>
    </row>
    <row r="6167" spans="1:26" x14ac:dyDescent="0.2">
      <c r="A6167" s="8">
        <v>6166</v>
      </c>
      <c r="B6167" s="8" t="s">
        <v>27437</v>
      </c>
      <c r="C6167" s="8" t="s">
        <v>27437</v>
      </c>
      <c r="F6167" s="47" t="s">
        <v>58155</v>
      </c>
      <c r="G6167" s="8">
        <v>6.5</v>
      </c>
      <c r="H6167" s="8" t="s">
        <v>21</v>
      </c>
      <c r="I6167" s="8" t="s">
        <v>22</v>
      </c>
      <c r="J6167" s="8" t="s">
        <v>22</v>
      </c>
      <c r="K6167" s="8" t="s">
        <v>382</v>
      </c>
      <c r="L6167" s="8" t="s">
        <v>26804</v>
      </c>
      <c r="M6167" s="8" t="s">
        <v>26805</v>
      </c>
      <c r="N6167" s="8" t="s">
        <v>27438</v>
      </c>
      <c r="O6167" s="8">
        <f>16+28/60+38.5/3600</f>
        <v>16.477361111111108</v>
      </c>
      <c r="P6167" s="8" t="s">
        <v>27439</v>
      </c>
      <c r="Q6167" s="8">
        <f>+(39+33/60+5/3600)</f>
        <v>39.551388888888887</v>
      </c>
      <c r="R6167" s="8">
        <v>11.8</v>
      </c>
      <c r="S6167" s="8">
        <v>12.8</v>
      </c>
      <c r="T6167" s="8">
        <v>1</v>
      </c>
      <c r="U6167" s="8">
        <v>12.9</v>
      </c>
      <c r="V6167" s="8">
        <v>1.9</v>
      </c>
      <c r="W6167" s="8">
        <v>1.4</v>
      </c>
      <c r="X6167" s="8">
        <v>35</v>
      </c>
      <c r="Y6167" s="8" t="s">
        <v>27440</v>
      </c>
      <c r="Z6167" s="8" t="s">
        <v>27441</v>
      </c>
    </row>
    <row r="6168" spans="1:26" x14ac:dyDescent="0.2">
      <c r="A6168" s="8">
        <v>6167</v>
      </c>
      <c r="B6168" s="8" t="s">
        <v>27442</v>
      </c>
      <c r="C6168" s="8" t="s">
        <v>27442</v>
      </c>
      <c r="F6168" s="47"/>
      <c r="G6168" s="8">
        <v>3</v>
      </c>
      <c r="H6168" s="8" t="s">
        <v>21</v>
      </c>
      <c r="I6168" s="8" t="s">
        <v>557</v>
      </c>
      <c r="J6168" s="8" t="s">
        <v>557</v>
      </c>
      <c r="K6168" s="8" t="s">
        <v>3170</v>
      </c>
      <c r="L6168" s="8" t="s">
        <v>26405</v>
      </c>
      <c r="M6168" s="8" t="s">
        <v>26406</v>
      </c>
      <c r="N6168" s="8" t="s">
        <v>27443</v>
      </c>
      <c r="O6168" s="8">
        <f>16+34/60+34.9/3600</f>
        <v>16.576361111111112</v>
      </c>
      <c r="P6168" s="8" t="s">
        <v>27444</v>
      </c>
      <c r="Q6168" s="8">
        <f>-(49+46/60+19/3600)</f>
        <v>-49.771944444444443</v>
      </c>
      <c r="R6168" s="8">
        <v>6.7</v>
      </c>
      <c r="S6168" s="8">
        <v>99</v>
      </c>
      <c r="T6168" s="8">
        <v>99</v>
      </c>
      <c r="U6168" s="8">
        <v>99</v>
      </c>
      <c r="V6168" s="8">
        <v>7</v>
      </c>
      <c r="Y6168" s="8" t="s">
        <v>27445</v>
      </c>
      <c r="Z6168" s="8" t="s">
        <v>27446</v>
      </c>
    </row>
    <row r="6169" spans="1:26" x14ac:dyDescent="0.2">
      <c r="A6169" s="8">
        <v>6168</v>
      </c>
      <c r="B6169" s="8" t="s">
        <v>27447</v>
      </c>
      <c r="C6169" s="8" t="s">
        <v>27447</v>
      </c>
      <c r="F6169" s="47"/>
      <c r="G6169" s="8">
        <v>19</v>
      </c>
      <c r="H6169" s="8" t="s">
        <v>21</v>
      </c>
      <c r="I6169" s="8" t="s">
        <v>22</v>
      </c>
      <c r="J6169" s="8" t="s">
        <v>22</v>
      </c>
      <c r="K6169" s="8" t="s">
        <v>3523</v>
      </c>
      <c r="L6169" s="8" t="s">
        <v>26804</v>
      </c>
      <c r="M6169" s="8" t="s">
        <v>26805</v>
      </c>
      <c r="N6169" s="8" t="s">
        <v>27448</v>
      </c>
      <c r="O6169" s="8">
        <f>16+31/60+21.3/3600</f>
        <v>16.522583333333333</v>
      </c>
      <c r="P6169" s="8" t="s">
        <v>27449</v>
      </c>
      <c r="Q6169" s="8">
        <f>+(20+11/60+6/3600)</f>
        <v>20.184999999999999</v>
      </c>
      <c r="R6169" s="8">
        <v>14.2</v>
      </c>
      <c r="S6169" s="8">
        <v>14.8</v>
      </c>
      <c r="T6169" s="8">
        <v>0.6</v>
      </c>
      <c r="U6169" s="8">
        <v>13.1</v>
      </c>
      <c r="V6169" s="8">
        <v>1.4</v>
      </c>
      <c r="W6169" s="8">
        <v>0.3</v>
      </c>
      <c r="X6169" s="8">
        <v>111</v>
      </c>
      <c r="Y6169" s="8" t="s">
        <v>27450</v>
      </c>
      <c r="Z6169" s="8" t="s">
        <v>27451</v>
      </c>
    </row>
    <row r="6170" spans="1:26" x14ac:dyDescent="0.2">
      <c r="A6170" s="8">
        <v>6169</v>
      </c>
      <c r="B6170" s="8" t="s">
        <v>27452</v>
      </c>
      <c r="C6170" s="8" t="s">
        <v>27452</v>
      </c>
      <c r="F6170" s="47"/>
      <c r="G6170" s="8">
        <v>14</v>
      </c>
      <c r="H6170" s="8" t="s">
        <v>27453</v>
      </c>
      <c r="I6170" s="8" t="s">
        <v>557</v>
      </c>
      <c r="J6170" s="8" t="s">
        <v>557</v>
      </c>
      <c r="K6170" s="8" t="s">
        <v>557</v>
      </c>
      <c r="L6170" s="8" t="s">
        <v>26405</v>
      </c>
      <c r="M6170" s="8" t="s">
        <v>26406</v>
      </c>
      <c r="N6170" s="8" t="s">
        <v>27454</v>
      </c>
      <c r="O6170" s="8">
        <f>16+34/60+5/3600</f>
        <v>16.568055555555556</v>
      </c>
      <c r="P6170" s="8" t="s">
        <v>27455</v>
      </c>
      <c r="Q6170" s="8">
        <f>-(44+2/60+43/3600)</f>
        <v>-44.045277777777777</v>
      </c>
      <c r="R6170" s="8">
        <v>6.6</v>
      </c>
      <c r="S6170" s="8">
        <v>99</v>
      </c>
      <c r="T6170" s="8">
        <v>99</v>
      </c>
      <c r="U6170" s="8">
        <v>99</v>
      </c>
      <c r="V6170" s="8">
        <v>12</v>
      </c>
      <c r="Y6170" s="8" t="s">
        <v>27456</v>
      </c>
      <c r="Z6170" s="8" t="s">
        <v>27457</v>
      </c>
    </row>
    <row r="6171" spans="1:26" x14ac:dyDescent="0.2">
      <c r="A6171" s="8">
        <v>6170</v>
      </c>
      <c r="B6171" s="8" t="s">
        <v>27458</v>
      </c>
      <c r="C6171" s="8" t="s">
        <v>27458</v>
      </c>
      <c r="F6171" s="47"/>
      <c r="G6171" s="8">
        <v>19</v>
      </c>
      <c r="H6171" s="8" t="s">
        <v>21</v>
      </c>
      <c r="I6171" s="8" t="s">
        <v>22</v>
      </c>
      <c r="J6171" s="8" t="s">
        <v>22</v>
      </c>
      <c r="K6171" s="8" t="s">
        <v>58</v>
      </c>
      <c r="L6171" s="8" t="s">
        <v>13395</v>
      </c>
      <c r="M6171" s="8" t="s">
        <v>13396</v>
      </c>
      <c r="N6171" s="8" t="s">
        <v>27459</v>
      </c>
      <c r="O6171" s="8">
        <f>16+27/60+36.4/3600</f>
        <v>16.460111111111111</v>
      </c>
      <c r="P6171" s="8" t="s">
        <v>27460</v>
      </c>
      <c r="Q6171" s="8">
        <f>+(59+33/60+47/3600)</f>
        <v>59.56305555555555</v>
      </c>
      <c r="R6171" s="8">
        <v>13.8</v>
      </c>
      <c r="S6171" s="8">
        <v>14.8</v>
      </c>
      <c r="T6171" s="8">
        <v>1</v>
      </c>
      <c r="U6171" s="8">
        <v>12.9</v>
      </c>
      <c r="V6171" s="8">
        <v>0.7</v>
      </c>
      <c r="W6171" s="8">
        <v>0.6</v>
      </c>
      <c r="X6171" s="8">
        <v>85</v>
      </c>
      <c r="Y6171" s="8" t="s">
        <v>369</v>
      </c>
      <c r="Z6171" s="8" t="s">
        <v>370</v>
      </c>
    </row>
    <row r="6172" spans="1:26" x14ac:dyDescent="0.2">
      <c r="A6172" s="8">
        <v>6171</v>
      </c>
      <c r="B6172" s="8" t="s">
        <v>27461</v>
      </c>
      <c r="C6172" s="8" t="s">
        <v>55928</v>
      </c>
      <c r="F6172" s="47" t="s">
        <v>58156</v>
      </c>
      <c r="G6172" s="8">
        <v>1</v>
      </c>
      <c r="H6172" s="8" t="s">
        <v>27462</v>
      </c>
      <c r="I6172" s="8" t="s">
        <v>567</v>
      </c>
      <c r="J6172" s="8" t="s">
        <v>567</v>
      </c>
      <c r="K6172" s="8" t="s">
        <v>1485</v>
      </c>
      <c r="L6172" s="8" t="s">
        <v>26994</v>
      </c>
      <c r="M6172" s="8" t="s">
        <v>26995</v>
      </c>
      <c r="N6172" s="8" t="s">
        <v>27463</v>
      </c>
      <c r="O6172" s="8">
        <f>16+32/60+31.9/3600</f>
        <v>16.542194444444448</v>
      </c>
      <c r="P6172" s="8" t="s">
        <v>27464</v>
      </c>
      <c r="Q6172" s="8">
        <f>-(13+3/60+11/3600)</f>
        <v>-13.053055555555556</v>
      </c>
      <c r="R6172" s="8">
        <v>7.8</v>
      </c>
      <c r="S6172" s="8">
        <v>99</v>
      </c>
      <c r="T6172" s="8">
        <v>99</v>
      </c>
      <c r="U6172" s="8">
        <v>99</v>
      </c>
      <c r="V6172" s="8">
        <v>13</v>
      </c>
      <c r="Y6172" s="8" t="s">
        <v>27465</v>
      </c>
      <c r="Z6172" s="8" t="s">
        <v>27466</v>
      </c>
    </row>
    <row r="6173" spans="1:26" x14ac:dyDescent="0.2">
      <c r="A6173" s="8">
        <v>6172</v>
      </c>
      <c r="B6173" s="8" t="s">
        <v>27467</v>
      </c>
      <c r="C6173" s="8" t="s">
        <v>27467</v>
      </c>
      <c r="F6173" s="47"/>
      <c r="G6173" s="8">
        <v>19</v>
      </c>
      <c r="H6173" s="8" t="s">
        <v>21</v>
      </c>
      <c r="I6173" s="8" t="s">
        <v>22</v>
      </c>
      <c r="J6173" s="8" t="s">
        <v>22</v>
      </c>
      <c r="K6173" s="8" t="s">
        <v>460</v>
      </c>
      <c r="L6173" s="8" t="s">
        <v>26227</v>
      </c>
      <c r="M6173" s="8" t="s">
        <v>26228</v>
      </c>
      <c r="N6173" s="8" t="s">
        <v>27468</v>
      </c>
      <c r="O6173" s="8">
        <f>16+22/60+10.2/3600</f>
        <v>16.369500000000002</v>
      </c>
      <c r="P6173" s="8" t="s">
        <v>27469</v>
      </c>
      <c r="Q6173" s="8">
        <f>-(1+30/60+51/3600)</f>
        <v>-1.5141666666666667</v>
      </c>
      <c r="R6173" s="8">
        <v>12.8</v>
      </c>
      <c r="S6173" s="8">
        <v>13.8</v>
      </c>
      <c r="T6173" s="8">
        <v>1</v>
      </c>
      <c r="U6173" s="8">
        <v>12.4</v>
      </c>
      <c r="V6173" s="8">
        <v>0.8</v>
      </c>
      <c r="W6173" s="8">
        <v>0.8</v>
      </c>
      <c r="Y6173" s="8" t="s">
        <v>4692</v>
      </c>
      <c r="Z6173" s="8" t="s">
        <v>4693</v>
      </c>
    </row>
    <row r="6174" spans="1:26" x14ac:dyDescent="0.2">
      <c r="A6174" s="8">
        <v>6173</v>
      </c>
      <c r="B6174" s="8" t="s">
        <v>27470</v>
      </c>
      <c r="C6174" s="8" t="s">
        <v>27470</v>
      </c>
      <c r="F6174" s="47" t="s">
        <v>58157</v>
      </c>
      <c r="G6174" s="8">
        <v>15</v>
      </c>
      <c r="H6174" s="8" t="s">
        <v>21</v>
      </c>
      <c r="I6174" s="8" t="s">
        <v>22</v>
      </c>
      <c r="J6174" s="8" t="s">
        <v>22</v>
      </c>
      <c r="K6174" s="8" t="s">
        <v>382</v>
      </c>
      <c r="L6174" s="8" t="s">
        <v>26804</v>
      </c>
      <c r="M6174" s="8" t="s">
        <v>26805</v>
      </c>
      <c r="N6174" s="8" t="s">
        <v>27471</v>
      </c>
      <c r="O6174" s="8">
        <f>16+29/60+45/3600</f>
        <v>16.495833333333334</v>
      </c>
      <c r="P6174" s="8" t="s">
        <v>27472</v>
      </c>
      <c r="Q6174" s="8">
        <f>+(40+48/60+40/3600)</f>
        <v>40.81111111111111</v>
      </c>
      <c r="R6174" s="8">
        <v>12.1</v>
      </c>
      <c r="S6174" s="8">
        <v>13.1</v>
      </c>
      <c r="T6174" s="8">
        <v>1</v>
      </c>
      <c r="U6174" s="8">
        <v>13.2</v>
      </c>
      <c r="V6174" s="8">
        <v>1.9</v>
      </c>
      <c r="W6174" s="8">
        <v>1.4</v>
      </c>
      <c r="X6174" s="8">
        <v>140</v>
      </c>
      <c r="Y6174" s="8" t="s">
        <v>15316</v>
      </c>
      <c r="Z6174" s="8" t="s">
        <v>15317</v>
      </c>
    </row>
    <row r="6175" spans="1:26" x14ac:dyDescent="0.2">
      <c r="A6175" s="8">
        <v>6174</v>
      </c>
      <c r="B6175" s="8" t="s">
        <v>27473</v>
      </c>
      <c r="C6175" s="8" t="s">
        <v>27473</v>
      </c>
      <c r="F6175" s="47"/>
      <c r="G6175" s="8">
        <v>18</v>
      </c>
      <c r="H6175" s="8" t="s">
        <v>21</v>
      </c>
      <c r="I6175" s="8" t="s">
        <v>22</v>
      </c>
      <c r="J6175" s="8" t="s">
        <v>22</v>
      </c>
      <c r="K6175" s="8" t="s">
        <v>58</v>
      </c>
      <c r="L6175" s="8" t="s">
        <v>26804</v>
      </c>
      <c r="M6175" s="8" t="s">
        <v>26805</v>
      </c>
      <c r="N6175" s="8" t="s">
        <v>27474</v>
      </c>
      <c r="O6175" s="8">
        <f>16+29/60+23.8/3600</f>
        <v>16.489944444444447</v>
      </c>
      <c r="P6175" s="8" t="s">
        <v>27475</v>
      </c>
      <c r="Q6175" s="8">
        <f>+(40+52/60+30/3600)</f>
        <v>40.875</v>
      </c>
      <c r="R6175" s="8">
        <v>14</v>
      </c>
      <c r="S6175" s="8">
        <v>15</v>
      </c>
      <c r="T6175" s="8">
        <v>1</v>
      </c>
      <c r="U6175" s="8">
        <v>13</v>
      </c>
      <c r="V6175" s="8">
        <v>0.6</v>
      </c>
      <c r="W6175" s="8">
        <v>0.6</v>
      </c>
      <c r="Y6175" s="8" t="s">
        <v>297</v>
      </c>
      <c r="Z6175" s="8" t="s">
        <v>298</v>
      </c>
    </row>
    <row r="6176" spans="1:26" x14ac:dyDescent="0.2">
      <c r="A6176" s="8">
        <v>6175</v>
      </c>
      <c r="B6176" s="8" t="s">
        <v>27476</v>
      </c>
      <c r="C6176" s="8" t="s">
        <v>27476</v>
      </c>
      <c r="E6176" s="8">
        <v>1</v>
      </c>
      <c r="F6176" s="47" t="s">
        <v>58158</v>
      </c>
      <c r="G6176" s="8">
        <v>15</v>
      </c>
      <c r="H6176" s="8" t="s">
        <v>21</v>
      </c>
      <c r="I6176" s="8" t="s">
        <v>22</v>
      </c>
      <c r="J6176" s="8" t="s">
        <v>22</v>
      </c>
      <c r="K6176" s="8" t="s">
        <v>37</v>
      </c>
      <c r="L6176" s="8" t="s">
        <v>26804</v>
      </c>
      <c r="M6176" s="8" t="s">
        <v>26805</v>
      </c>
      <c r="N6176" s="8" t="s">
        <v>27477</v>
      </c>
      <c r="O6176" s="8">
        <f>16+29/60+57.4/3600</f>
        <v>16.499277777777777</v>
      </c>
      <c r="P6176" s="8" t="s">
        <v>27478</v>
      </c>
      <c r="Q6176" s="8">
        <f>+(40+37/60+49/3600)</f>
        <v>40.630277777777778</v>
      </c>
      <c r="R6176" s="8">
        <v>13.7</v>
      </c>
      <c r="S6176" s="8">
        <v>14.7</v>
      </c>
      <c r="T6176" s="8">
        <v>1</v>
      </c>
      <c r="U6176" s="8">
        <v>13.6</v>
      </c>
      <c r="V6176" s="8">
        <v>1.3</v>
      </c>
      <c r="W6176" s="8">
        <v>0.8</v>
      </c>
      <c r="X6176" s="8">
        <v>92</v>
      </c>
      <c r="Y6176" s="8" t="s">
        <v>421</v>
      </c>
      <c r="Z6176" s="8" t="s">
        <v>422</v>
      </c>
    </row>
    <row r="6177" spans="1:26" x14ac:dyDescent="0.2">
      <c r="A6177" s="8">
        <v>6176</v>
      </c>
      <c r="B6177" s="8" t="s">
        <v>27479</v>
      </c>
      <c r="C6177" s="8" t="s">
        <v>27479</v>
      </c>
      <c r="F6177" s="47"/>
      <c r="G6177" s="8">
        <v>19</v>
      </c>
      <c r="H6177" s="8" t="s">
        <v>21</v>
      </c>
      <c r="I6177" s="8" t="s">
        <v>22</v>
      </c>
      <c r="J6177" s="8" t="s">
        <v>57</v>
      </c>
      <c r="K6177" s="8" t="s">
        <v>58</v>
      </c>
      <c r="L6177" s="8" t="s">
        <v>13395</v>
      </c>
      <c r="M6177" s="8" t="s">
        <v>13396</v>
      </c>
      <c r="N6177" s="8" t="s">
        <v>27459</v>
      </c>
      <c r="O6177" s="8">
        <f>16+27/60+36.4/3600</f>
        <v>16.460111111111111</v>
      </c>
      <c r="P6177" s="8" t="s">
        <v>27460</v>
      </c>
      <c r="Q6177" s="8">
        <f>+(59+33/60+47/3600)</f>
        <v>59.56305555555555</v>
      </c>
      <c r="R6177" s="8">
        <v>13.8</v>
      </c>
      <c r="S6177" s="8">
        <v>14.8</v>
      </c>
      <c r="T6177" s="8">
        <v>1</v>
      </c>
      <c r="U6177" s="8">
        <v>12.9</v>
      </c>
      <c r="V6177" s="8">
        <v>0.7</v>
      </c>
      <c r="W6177" s="8">
        <v>0.6</v>
      </c>
      <c r="X6177" s="8">
        <v>85</v>
      </c>
      <c r="Y6177" s="8" t="s">
        <v>369</v>
      </c>
      <c r="Z6177" s="8" t="s">
        <v>27480</v>
      </c>
    </row>
    <row r="6178" spans="1:26" x14ac:dyDescent="0.2">
      <c r="A6178" s="8">
        <v>6177</v>
      </c>
      <c r="B6178" s="8" t="s">
        <v>27481</v>
      </c>
      <c r="C6178" s="8" t="s">
        <v>27481</v>
      </c>
      <c r="F6178" s="47" t="s">
        <v>58159</v>
      </c>
      <c r="G6178" s="8">
        <v>15</v>
      </c>
      <c r="H6178" s="8" t="s">
        <v>21</v>
      </c>
      <c r="I6178" s="8" t="s">
        <v>22</v>
      </c>
      <c r="J6178" s="8" t="s">
        <v>22</v>
      </c>
      <c r="K6178" s="8" t="s">
        <v>218</v>
      </c>
      <c r="L6178" s="8" t="s">
        <v>26804</v>
      </c>
      <c r="M6178" s="8" t="s">
        <v>26805</v>
      </c>
      <c r="N6178" s="8" t="s">
        <v>27482</v>
      </c>
      <c r="O6178" s="8">
        <f>16+30/60+38.8/3600</f>
        <v>16.510777777777779</v>
      </c>
      <c r="P6178" s="8" t="s">
        <v>27483</v>
      </c>
      <c r="Q6178" s="8">
        <f>+(35+3/60+20/3600)</f>
        <v>35.05555555555555</v>
      </c>
      <c r="R6178" s="8">
        <v>13.6</v>
      </c>
      <c r="S6178" s="8">
        <v>14.4</v>
      </c>
      <c r="T6178" s="8">
        <v>0.8</v>
      </c>
      <c r="U6178" s="8">
        <v>14.2</v>
      </c>
      <c r="V6178" s="8">
        <v>1.7</v>
      </c>
      <c r="W6178" s="8">
        <v>1.2</v>
      </c>
      <c r="X6178" s="8">
        <v>10</v>
      </c>
      <c r="Y6178" s="8" t="s">
        <v>27484</v>
      </c>
      <c r="Z6178" s="8" t="s">
        <v>27485</v>
      </c>
    </row>
    <row r="6179" spans="1:26" x14ac:dyDescent="0.2">
      <c r="A6179" s="8">
        <v>6178</v>
      </c>
      <c r="B6179" s="8" t="s">
        <v>27486</v>
      </c>
      <c r="C6179" s="8" t="s">
        <v>27486</v>
      </c>
      <c r="F6179" s="47"/>
      <c r="G6179" s="8">
        <v>13</v>
      </c>
      <c r="H6179" s="8" t="s">
        <v>21</v>
      </c>
      <c r="I6179" s="8" t="s">
        <v>557</v>
      </c>
      <c r="J6179" s="8" t="s">
        <v>557</v>
      </c>
      <c r="K6179" s="8" t="s">
        <v>3082</v>
      </c>
      <c r="L6179" s="8" t="s">
        <v>26735</v>
      </c>
      <c r="M6179" s="8" t="s">
        <v>26736</v>
      </c>
      <c r="N6179" s="8" t="s">
        <v>27487</v>
      </c>
      <c r="O6179" s="8">
        <f>16+35/60+50.8/3600</f>
        <v>16.597444444444442</v>
      </c>
      <c r="P6179" s="8" t="s">
        <v>27488</v>
      </c>
      <c r="Q6179" s="8">
        <f>-(45+38/60+48/3600)</f>
        <v>-45.646666666666668</v>
      </c>
      <c r="R6179" s="8">
        <v>7.2</v>
      </c>
      <c r="S6179" s="8">
        <v>99</v>
      </c>
      <c r="T6179" s="8">
        <v>99</v>
      </c>
      <c r="U6179" s="8">
        <v>99</v>
      </c>
      <c r="V6179" s="8">
        <v>5</v>
      </c>
      <c r="Y6179" s="8" t="s">
        <v>27489</v>
      </c>
      <c r="Z6179" s="8" t="s">
        <v>27490</v>
      </c>
    </row>
    <row r="6180" spans="1:26" x14ac:dyDescent="0.2">
      <c r="A6180" s="8">
        <v>6179</v>
      </c>
      <c r="B6180" s="8" t="s">
        <v>27491</v>
      </c>
      <c r="C6180" s="8" t="s">
        <v>27491</v>
      </c>
      <c r="F6180" s="47"/>
      <c r="G6180" s="8">
        <v>18</v>
      </c>
      <c r="H6180" s="8" t="s">
        <v>21</v>
      </c>
      <c r="I6180" s="8" t="s">
        <v>22</v>
      </c>
      <c r="J6180" s="8" t="s">
        <v>22</v>
      </c>
      <c r="K6180" s="8" t="s">
        <v>424</v>
      </c>
      <c r="L6180" s="8" t="s">
        <v>26804</v>
      </c>
      <c r="M6180" s="8" t="s">
        <v>26805</v>
      </c>
      <c r="N6180" s="8" t="s">
        <v>27492</v>
      </c>
      <c r="O6180" s="8">
        <f>16+30/60+46.9/3600</f>
        <v>16.513027777777779</v>
      </c>
      <c r="P6180" s="8" t="s">
        <v>27493</v>
      </c>
      <c r="Q6180" s="8">
        <f>+(35+6/60+10/3600)</f>
        <v>35.102777777777781</v>
      </c>
      <c r="R6180" s="8">
        <v>15.3</v>
      </c>
      <c r="S6180" s="8">
        <v>16.3</v>
      </c>
      <c r="T6180" s="8">
        <v>1</v>
      </c>
      <c r="U6180" s="8">
        <v>13.2</v>
      </c>
      <c r="V6180" s="8">
        <v>0.4</v>
      </c>
      <c r="W6180" s="8">
        <v>0.4</v>
      </c>
      <c r="Y6180" s="8" t="s">
        <v>27494</v>
      </c>
      <c r="Z6180" s="8" t="s">
        <v>27495</v>
      </c>
    </row>
    <row r="6181" spans="1:26" x14ac:dyDescent="0.2">
      <c r="A6181" s="8">
        <v>6180</v>
      </c>
      <c r="B6181" s="8" t="s">
        <v>27496</v>
      </c>
      <c r="C6181" s="8" t="s">
        <v>27496</v>
      </c>
      <c r="F6181" s="47"/>
      <c r="G6181" s="8">
        <v>18</v>
      </c>
      <c r="H6181" s="8" t="s">
        <v>21</v>
      </c>
      <c r="I6181" s="8" t="s">
        <v>22</v>
      </c>
      <c r="J6181" s="8" t="s">
        <v>22</v>
      </c>
      <c r="K6181" s="8" t="s">
        <v>818</v>
      </c>
      <c r="L6181" s="8" t="s">
        <v>26804</v>
      </c>
      <c r="M6181" s="8" t="s">
        <v>26805</v>
      </c>
      <c r="N6181" s="8" t="s">
        <v>27497</v>
      </c>
      <c r="O6181" s="8">
        <f>16+30/60+33.9/3600</f>
        <v>16.509416666666667</v>
      </c>
      <c r="P6181" s="8" t="s">
        <v>27498</v>
      </c>
      <c r="Q6181" s="8">
        <f>+(40+32/60+23/3600)</f>
        <v>40.539722222222217</v>
      </c>
      <c r="R6181" s="8">
        <v>14.1</v>
      </c>
      <c r="S6181" s="8">
        <v>15.1</v>
      </c>
      <c r="T6181" s="8">
        <v>1</v>
      </c>
      <c r="U6181" s="8">
        <v>13.5</v>
      </c>
      <c r="V6181" s="8">
        <v>0.9</v>
      </c>
      <c r="W6181" s="8">
        <v>0.6</v>
      </c>
      <c r="X6181" s="8">
        <v>9</v>
      </c>
      <c r="Y6181" s="8" t="s">
        <v>27499</v>
      </c>
      <c r="Z6181" s="8" t="s">
        <v>18738</v>
      </c>
    </row>
    <row r="6182" spans="1:26" x14ac:dyDescent="0.2">
      <c r="A6182" s="8">
        <v>6181</v>
      </c>
      <c r="B6182" s="8" t="s">
        <v>27500</v>
      </c>
      <c r="C6182" s="8" t="s">
        <v>27500</v>
      </c>
      <c r="F6182" s="47" t="s">
        <v>58160</v>
      </c>
      <c r="G6182" s="8">
        <v>6.5</v>
      </c>
      <c r="H6182" s="8" t="s">
        <v>21</v>
      </c>
      <c r="I6182" s="8" t="s">
        <v>22</v>
      </c>
      <c r="J6182" s="8" t="s">
        <v>22</v>
      </c>
      <c r="K6182" s="8" t="s">
        <v>64</v>
      </c>
      <c r="L6182" s="8" t="s">
        <v>26804</v>
      </c>
      <c r="M6182" s="8" t="s">
        <v>26805</v>
      </c>
      <c r="N6182" s="8" t="s">
        <v>27501</v>
      </c>
      <c r="O6182" s="8">
        <f>16+32/60+20.7/3600</f>
        <v>16.539083333333334</v>
      </c>
      <c r="P6182" s="8" t="s">
        <v>27502</v>
      </c>
      <c r="Q6182" s="8">
        <f>+(19+49/60+32/3600)</f>
        <v>19.825555555555557</v>
      </c>
      <c r="R6182" s="8">
        <v>11.9</v>
      </c>
      <c r="S6182" s="8">
        <v>12.5</v>
      </c>
      <c r="T6182" s="8">
        <v>0.6</v>
      </c>
      <c r="U6182" s="8">
        <v>12.8</v>
      </c>
      <c r="V6182" s="8">
        <v>2.5</v>
      </c>
      <c r="W6182" s="8">
        <v>1.1000000000000001</v>
      </c>
      <c r="X6182" s="8">
        <v>175</v>
      </c>
      <c r="Y6182" s="8" t="s">
        <v>27503</v>
      </c>
      <c r="Z6182" s="8" t="s">
        <v>27504</v>
      </c>
    </row>
    <row r="6183" spans="1:26" x14ac:dyDescent="0.2">
      <c r="A6183" s="8">
        <v>6182</v>
      </c>
      <c r="B6183" s="8" t="s">
        <v>27505</v>
      </c>
      <c r="C6183" s="8" t="s">
        <v>27505</v>
      </c>
      <c r="F6183" s="47" t="s">
        <v>58161</v>
      </c>
      <c r="G6183" s="8">
        <v>15</v>
      </c>
      <c r="H6183" s="8" t="s">
        <v>21</v>
      </c>
      <c r="I6183" s="8" t="s">
        <v>22</v>
      </c>
      <c r="J6183" s="8" t="s">
        <v>22</v>
      </c>
      <c r="K6183" s="8" t="s">
        <v>91</v>
      </c>
      <c r="L6183" s="8" t="s">
        <v>13395</v>
      </c>
      <c r="M6183" s="8" t="s">
        <v>13396</v>
      </c>
      <c r="N6183" s="8" t="s">
        <v>27506</v>
      </c>
      <c r="O6183" s="8">
        <f>16+29/60+33.9/3600</f>
        <v>16.492750000000001</v>
      </c>
      <c r="P6183" s="8" t="s">
        <v>26315</v>
      </c>
      <c r="Q6183" s="8">
        <f>+(55+31/60+4/3600)</f>
        <v>55.517777777777773</v>
      </c>
      <c r="R6183" s="8">
        <v>13.5</v>
      </c>
      <c r="S6183" s="8">
        <v>14.4</v>
      </c>
      <c r="T6183" s="8">
        <v>0.9</v>
      </c>
      <c r="U6183" s="8">
        <v>12.8</v>
      </c>
      <c r="V6183" s="8">
        <v>1.4</v>
      </c>
      <c r="W6183" s="8">
        <v>0.4</v>
      </c>
      <c r="X6183" s="8">
        <v>146</v>
      </c>
      <c r="Y6183" s="8" t="s">
        <v>755</v>
      </c>
      <c r="Z6183" s="8" t="s">
        <v>756</v>
      </c>
    </row>
    <row r="6184" spans="1:26" x14ac:dyDescent="0.2">
      <c r="A6184" s="8">
        <v>6183</v>
      </c>
      <c r="B6184" s="8" t="s">
        <v>27507</v>
      </c>
      <c r="C6184" s="8" t="s">
        <v>27507</v>
      </c>
      <c r="F6184" s="47"/>
      <c r="G6184" s="8">
        <v>16</v>
      </c>
      <c r="H6184" s="8" t="s">
        <v>21</v>
      </c>
      <c r="I6184" s="8" t="s">
        <v>22</v>
      </c>
      <c r="J6184" s="8" t="s">
        <v>22</v>
      </c>
      <c r="K6184" s="8" t="s">
        <v>91</v>
      </c>
      <c r="L6184" s="8" t="s">
        <v>26039</v>
      </c>
      <c r="M6184" s="8" t="s">
        <v>26040</v>
      </c>
      <c r="N6184" s="8" t="s">
        <v>27508</v>
      </c>
      <c r="O6184" s="8">
        <f>16+41/60+41.8/3600</f>
        <v>16.694944444444445</v>
      </c>
      <c r="P6184" s="8" t="s">
        <v>27509</v>
      </c>
      <c r="Q6184" s="8">
        <f>-(69+22/60+21/3600)</f>
        <v>-69.372499999999988</v>
      </c>
      <c r="R6184" s="8">
        <v>12.2</v>
      </c>
      <c r="S6184" s="8">
        <v>13.1</v>
      </c>
      <c r="T6184" s="8">
        <v>0.9</v>
      </c>
      <c r="U6184" s="8">
        <v>12.1</v>
      </c>
      <c r="V6184" s="8">
        <v>1.8</v>
      </c>
      <c r="W6184" s="8">
        <v>0.6</v>
      </c>
      <c r="X6184" s="8">
        <v>36</v>
      </c>
      <c r="Y6184" s="8" t="s">
        <v>27510</v>
      </c>
      <c r="Z6184" s="8" t="s">
        <v>27511</v>
      </c>
    </row>
    <row r="6185" spans="1:26" x14ac:dyDescent="0.2">
      <c r="A6185" s="8">
        <v>6184</v>
      </c>
      <c r="B6185" s="8" t="s">
        <v>27512</v>
      </c>
      <c r="C6185" s="8" t="s">
        <v>27512</v>
      </c>
      <c r="F6185" s="47"/>
      <c r="G6185" s="8">
        <v>18</v>
      </c>
      <c r="H6185" s="8" t="s">
        <v>21</v>
      </c>
      <c r="I6185" s="8" t="s">
        <v>22</v>
      </c>
      <c r="J6185" s="8" t="s">
        <v>22</v>
      </c>
      <c r="K6185" s="8" t="s">
        <v>23</v>
      </c>
      <c r="L6185" s="8" t="s">
        <v>26804</v>
      </c>
      <c r="M6185" s="8" t="s">
        <v>26805</v>
      </c>
      <c r="N6185" s="8" t="s">
        <v>27513</v>
      </c>
      <c r="O6185" s="8">
        <f>16+31/60+34.4/3600</f>
        <v>16.52622222222222</v>
      </c>
      <c r="P6185" s="8" t="s">
        <v>27514</v>
      </c>
      <c r="Q6185" s="8">
        <f>+(40+33/60+56/3600)</f>
        <v>40.565555555555555</v>
      </c>
      <c r="R6185" s="8">
        <v>14</v>
      </c>
      <c r="S6185" s="8">
        <v>14.8</v>
      </c>
      <c r="T6185" s="8">
        <v>0.8</v>
      </c>
      <c r="U6185" s="8">
        <v>12.9</v>
      </c>
      <c r="V6185" s="8">
        <v>0.8</v>
      </c>
      <c r="W6185" s="8">
        <v>0.5</v>
      </c>
      <c r="X6185" s="8">
        <v>128</v>
      </c>
      <c r="Y6185" s="8" t="s">
        <v>7083</v>
      </c>
      <c r="Z6185" s="8" t="s">
        <v>7084</v>
      </c>
    </row>
    <row r="6186" spans="1:26" x14ac:dyDescent="0.2">
      <c r="A6186" s="8">
        <v>6185</v>
      </c>
      <c r="B6186" s="8" t="s">
        <v>27515</v>
      </c>
      <c r="C6186" s="8" t="s">
        <v>27515</v>
      </c>
      <c r="F6186" s="47"/>
      <c r="G6186" s="8">
        <v>16</v>
      </c>
      <c r="H6186" s="8" t="s">
        <v>21</v>
      </c>
      <c r="I6186" s="8" t="s">
        <v>22</v>
      </c>
      <c r="J6186" s="8" t="s">
        <v>22</v>
      </c>
      <c r="K6186" s="8" t="s">
        <v>91</v>
      </c>
      <c r="L6186" s="8" t="s">
        <v>26804</v>
      </c>
      <c r="M6186" s="8" t="s">
        <v>26805</v>
      </c>
      <c r="N6186" s="8" t="s">
        <v>27516</v>
      </c>
      <c r="O6186" s="8">
        <f>16+33/60+17.8/3600</f>
        <v>16.554944444444445</v>
      </c>
      <c r="P6186" s="8" t="s">
        <v>27517</v>
      </c>
      <c r="Q6186" s="8">
        <f>+(35+20/60+32/3600)</f>
        <v>35.342222222222226</v>
      </c>
      <c r="R6186" s="8">
        <v>13.4</v>
      </c>
      <c r="S6186" s="8">
        <v>14.3</v>
      </c>
      <c r="T6186" s="8">
        <v>0.9</v>
      </c>
      <c r="U6186" s="8">
        <v>13.4</v>
      </c>
      <c r="V6186" s="8">
        <v>1.2</v>
      </c>
      <c r="W6186" s="8">
        <v>0.9</v>
      </c>
      <c r="X6186" s="8">
        <v>0</v>
      </c>
      <c r="Y6186" s="8" t="s">
        <v>27518</v>
      </c>
      <c r="Z6186" s="8" t="s">
        <v>27519</v>
      </c>
    </row>
    <row r="6187" spans="1:26" x14ac:dyDescent="0.2">
      <c r="A6187" s="8">
        <v>6186</v>
      </c>
      <c r="B6187" s="8" t="s">
        <v>27520</v>
      </c>
      <c r="C6187" s="8" t="s">
        <v>27520</v>
      </c>
      <c r="F6187" s="47" t="s">
        <v>58162</v>
      </c>
      <c r="G6187" s="8">
        <v>15</v>
      </c>
      <c r="H6187" s="8" t="s">
        <v>21</v>
      </c>
      <c r="I6187" s="8" t="s">
        <v>22</v>
      </c>
      <c r="J6187" s="8" t="s">
        <v>22</v>
      </c>
      <c r="K6187" s="8" t="s">
        <v>154</v>
      </c>
      <c r="L6187" s="8" t="s">
        <v>26804</v>
      </c>
      <c r="M6187" s="8" t="s">
        <v>26805</v>
      </c>
      <c r="N6187" s="8" t="s">
        <v>27521</v>
      </c>
      <c r="O6187" s="8">
        <f>16+34/60+25.4/3600</f>
        <v>16.573722222222223</v>
      </c>
      <c r="P6187" s="8" t="s">
        <v>27522</v>
      </c>
      <c r="Q6187" s="8">
        <f>+(21+32/60+29/3600)</f>
        <v>21.541388888888889</v>
      </c>
      <c r="R6187" s="8">
        <v>12.9</v>
      </c>
      <c r="S6187" s="8">
        <v>13.8</v>
      </c>
      <c r="T6187" s="8">
        <v>0.9</v>
      </c>
      <c r="U6187" s="8">
        <v>13.6</v>
      </c>
      <c r="V6187" s="8">
        <v>1.5</v>
      </c>
      <c r="W6187" s="8">
        <v>1.2</v>
      </c>
      <c r="X6187" s="8">
        <v>60</v>
      </c>
      <c r="Y6187" s="8" t="s">
        <v>10948</v>
      </c>
      <c r="Z6187" s="8" t="s">
        <v>10949</v>
      </c>
    </row>
    <row r="6188" spans="1:26" x14ac:dyDescent="0.2">
      <c r="A6188" s="8">
        <v>6187</v>
      </c>
      <c r="B6188" s="8" t="s">
        <v>27523</v>
      </c>
      <c r="C6188" s="8" t="s">
        <v>27523</v>
      </c>
      <c r="F6188" s="47"/>
      <c r="G6188" s="8">
        <v>19</v>
      </c>
      <c r="H6188" s="8" t="s">
        <v>21</v>
      </c>
      <c r="I6188" s="8" t="s">
        <v>22</v>
      </c>
      <c r="J6188" s="8" t="s">
        <v>22</v>
      </c>
      <c r="K6188" s="8" t="s">
        <v>449</v>
      </c>
      <c r="L6188" s="8" t="s">
        <v>13395</v>
      </c>
      <c r="M6188" s="8" t="s">
        <v>13396</v>
      </c>
      <c r="N6188" s="8" t="s">
        <v>27524</v>
      </c>
      <c r="O6188" s="8">
        <f>16+31/60+36.6/3600</f>
        <v>16.526833333333332</v>
      </c>
      <c r="P6188" s="8" t="s">
        <v>27525</v>
      </c>
      <c r="Q6188" s="8">
        <f>+(57+42/60+26/3600)</f>
        <v>57.707222222222228</v>
      </c>
      <c r="R6188" s="8">
        <v>14.4</v>
      </c>
      <c r="S6188" s="8">
        <v>15.2</v>
      </c>
      <c r="T6188" s="8">
        <v>0.8</v>
      </c>
      <c r="U6188" s="8">
        <v>13.1</v>
      </c>
      <c r="V6188" s="8">
        <v>0.4</v>
      </c>
      <c r="W6188" s="8">
        <v>0.3</v>
      </c>
      <c r="X6188" s="8">
        <v>130</v>
      </c>
      <c r="Y6188" s="8" t="s">
        <v>27526</v>
      </c>
      <c r="Z6188" s="8" t="s">
        <v>22882</v>
      </c>
    </row>
    <row r="6189" spans="1:26" x14ac:dyDescent="0.2">
      <c r="A6189" s="8">
        <v>6188</v>
      </c>
      <c r="B6189" s="8" t="s">
        <v>27527</v>
      </c>
      <c r="C6189" s="8" t="s">
        <v>27527</v>
      </c>
      <c r="F6189" s="47"/>
      <c r="G6189" s="8">
        <v>10</v>
      </c>
      <c r="H6189" s="8" t="s">
        <v>27528</v>
      </c>
      <c r="I6189" s="8" t="s">
        <v>1283</v>
      </c>
      <c r="J6189" s="8" t="s">
        <v>1283</v>
      </c>
      <c r="K6189" s="8" t="s">
        <v>9155</v>
      </c>
      <c r="L6189" s="8" t="s">
        <v>27529</v>
      </c>
      <c r="M6189" s="8" t="s">
        <v>27530</v>
      </c>
      <c r="N6189" s="8" t="s">
        <v>27531</v>
      </c>
      <c r="O6189" s="8">
        <f>16+40/60+5/3600</f>
        <v>16.668055555555558</v>
      </c>
      <c r="P6189" s="8" t="s">
        <v>27532</v>
      </c>
      <c r="Q6189" s="8">
        <f>-(48+39/60+42/3600)</f>
        <v>-48.661666666666662</v>
      </c>
      <c r="R6189" s="8">
        <v>99</v>
      </c>
      <c r="S6189" s="8">
        <v>99</v>
      </c>
      <c r="T6189" s="8">
        <v>99</v>
      </c>
      <c r="U6189" s="8">
        <v>99</v>
      </c>
      <c r="V6189" s="8">
        <v>20</v>
      </c>
      <c r="W6189" s="8">
        <v>12</v>
      </c>
      <c r="Y6189" s="8" t="s">
        <v>27533</v>
      </c>
      <c r="Z6189" s="8" t="s">
        <v>27534</v>
      </c>
    </row>
    <row r="6190" spans="1:26" x14ac:dyDescent="0.2">
      <c r="A6190" s="8">
        <v>6189</v>
      </c>
      <c r="B6190" s="8" t="s">
        <v>27535</v>
      </c>
      <c r="C6190" s="8" t="s">
        <v>27535</v>
      </c>
      <c r="F6190" s="47"/>
      <c r="G6190" s="8">
        <v>19</v>
      </c>
      <c r="H6190" s="8" t="s">
        <v>21</v>
      </c>
      <c r="I6190" s="8" t="s">
        <v>22</v>
      </c>
      <c r="J6190" s="8" t="s">
        <v>22</v>
      </c>
      <c r="K6190" s="8" t="s">
        <v>64</v>
      </c>
      <c r="L6190" s="8" t="s">
        <v>13395</v>
      </c>
      <c r="M6190" s="8" t="s">
        <v>13396</v>
      </c>
      <c r="N6190" s="8" t="s">
        <v>27536</v>
      </c>
      <c r="O6190" s="8">
        <f>16+31/60+40.7/3600</f>
        <v>16.527972222222221</v>
      </c>
      <c r="P6190" s="8" t="s">
        <v>27537</v>
      </c>
      <c r="Q6190" s="8">
        <f>+(59+37/60+36/3600)</f>
        <v>59.626666666666665</v>
      </c>
      <c r="R6190" s="8">
        <v>12.7</v>
      </c>
      <c r="S6190" s="8">
        <v>13.4</v>
      </c>
      <c r="T6190" s="8">
        <v>0.7</v>
      </c>
      <c r="U6190" s="8">
        <v>13.1</v>
      </c>
      <c r="V6190" s="8">
        <v>1.9</v>
      </c>
      <c r="W6190" s="8">
        <v>0.9</v>
      </c>
      <c r="X6190" s="8">
        <v>20</v>
      </c>
      <c r="Y6190" s="8" t="s">
        <v>17572</v>
      </c>
      <c r="Z6190" s="8" t="s">
        <v>17573</v>
      </c>
    </row>
    <row r="6191" spans="1:26" x14ac:dyDescent="0.2">
      <c r="A6191" s="8">
        <v>6190</v>
      </c>
      <c r="B6191" s="8" t="s">
        <v>27538</v>
      </c>
      <c r="C6191" s="8" t="s">
        <v>27538</v>
      </c>
      <c r="F6191" s="47"/>
      <c r="G6191" s="8">
        <v>19</v>
      </c>
      <c r="H6191" s="8" t="s">
        <v>21</v>
      </c>
      <c r="I6191" s="8" t="s">
        <v>22</v>
      </c>
      <c r="J6191" s="8" t="s">
        <v>22</v>
      </c>
      <c r="K6191" s="8" t="s">
        <v>160</v>
      </c>
      <c r="L6191" s="8" t="s">
        <v>13395</v>
      </c>
      <c r="M6191" s="8" t="s">
        <v>13396</v>
      </c>
      <c r="N6191" s="8" t="s">
        <v>27539</v>
      </c>
      <c r="O6191" s="8">
        <f>16+32/60+6.4/3600</f>
        <v>16.535111111111114</v>
      </c>
      <c r="P6191" s="8" t="s">
        <v>27540</v>
      </c>
      <c r="Q6191" s="8">
        <f>+(58+26/60+21/3600)</f>
        <v>58.439166666666665</v>
      </c>
      <c r="R6191" s="8">
        <v>12.6</v>
      </c>
      <c r="S6191" s="8">
        <v>13.3</v>
      </c>
      <c r="T6191" s="8">
        <v>0.7</v>
      </c>
      <c r="U6191" s="8">
        <v>13.1</v>
      </c>
      <c r="V6191" s="8">
        <v>1.4</v>
      </c>
      <c r="W6191" s="8">
        <v>1.3</v>
      </c>
      <c r="X6191" s="8">
        <v>60</v>
      </c>
      <c r="Y6191" s="8" t="s">
        <v>27541</v>
      </c>
      <c r="Z6191" s="8" t="s">
        <v>27542</v>
      </c>
    </row>
    <row r="6192" spans="1:26" x14ac:dyDescent="0.2">
      <c r="A6192" s="8">
        <v>6191</v>
      </c>
      <c r="B6192" s="8" t="s">
        <v>27543</v>
      </c>
      <c r="C6192" s="8" t="s">
        <v>27543</v>
      </c>
      <c r="F6192" s="47"/>
      <c r="G6192" s="8">
        <v>19</v>
      </c>
      <c r="H6192" s="8" t="s">
        <v>21</v>
      </c>
      <c r="I6192" s="8" t="s">
        <v>22</v>
      </c>
      <c r="J6192" s="8" t="s">
        <v>57</v>
      </c>
      <c r="K6192" s="8" t="s">
        <v>64</v>
      </c>
      <c r="L6192" s="8" t="s">
        <v>13395</v>
      </c>
      <c r="M6192" s="8" t="s">
        <v>13396</v>
      </c>
      <c r="N6192" s="8" t="s">
        <v>27536</v>
      </c>
      <c r="O6192" s="8">
        <f>16+31/60+40.7/3600</f>
        <v>16.527972222222221</v>
      </c>
      <c r="P6192" s="8" t="s">
        <v>27537</v>
      </c>
      <c r="Q6192" s="8">
        <f>+(59+37/60+36/3600)</f>
        <v>59.626666666666665</v>
      </c>
      <c r="R6192" s="8">
        <v>12.7</v>
      </c>
      <c r="S6192" s="8">
        <v>13.4</v>
      </c>
      <c r="T6192" s="8">
        <v>0.7</v>
      </c>
      <c r="U6192" s="8">
        <v>13.1</v>
      </c>
      <c r="V6192" s="8">
        <v>1.9</v>
      </c>
      <c r="W6192" s="8">
        <v>0.9</v>
      </c>
      <c r="X6192" s="8">
        <v>20</v>
      </c>
      <c r="Y6192" s="8" t="s">
        <v>17572</v>
      </c>
      <c r="Z6192" s="8" t="s">
        <v>27544</v>
      </c>
    </row>
    <row r="6193" spans="1:26" x14ac:dyDescent="0.2">
      <c r="A6193" s="8">
        <v>6192</v>
      </c>
      <c r="B6193" s="8" t="s">
        <v>27545</v>
      </c>
      <c r="C6193" s="8" t="s">
        <v>27545</v>
      </c>
      <c r="F6193" s="47"/>
      <c r="G6193" s="8">
        <v>3</v>
      </c>
      <c r="H6193" s="8" t="s">
        <v>21</v>
      </c>
      <c r="I6193" s="8" t="s">
        <v>557</v>
      </c>
      <c r="J6193" s="8" t="s">
        <v>557</v>
      </c>
      <c r="K6193" s="8" t="s">
        <v>7705</v>
      </c>
      <c r="L6193" s="8" t="s">
        <v>26735</v>
      </c>
      <c r="M6193" s="8" t="s">
        <v>26736</v>
      </c>
      <c r="N6193" s="8" t="s">
        <v>27546</v>
      </c>
      <c r="O6193" s="8">
        <f>16+40/60+20.8/3600</f>
        <v>16.672444444444444</v>
      </c>
      <c r="P6193" s="8" t="s">
        <v>27547</v>
      </c>
      <c r="Q6193" s="8">
        <f>-(43+21/60+55/3600)</f>
        <v>-43.365277777777777</v>
      </c>
      <c r="R6193" s="8">
        <v>8.5</v>
      </c>
      <c r="S6193" s="8">
        <v>99</v>
      </c>
      <c r="T6193" s="8">
        <v>99</v>
      </c>
      <c r="U6193" s="8">
        <v>99</v>
      </c>
      <c r="V6193" s="8">
        <v>9</v>
      </c>
      <c r="Y6193" s="8" t="s">
        <v>27548</v>
      </c>
      <c r="Z6193" s="8" t="s">
        <v>27549</v>
      </c>
    </row>
    <row r="6194" spans="1:26" x14ac:dyDescent="0.2">
      <c r="A6194" s="8">
        <v>6193</v>
      </c>
      <c r="B6194" s="8" t="s">
        <v>27550</v>
      </c>
      <c r="C6194" s="8" t="s">
        <v>27550</v>
      </c>
      <c r="F6194" s="47"/>
      <c r="G6194" s="8">
        <v>2</v>
      </c>
      <c r="H6194" s="8" t="s">
        <v>21</v>
      </c>
      <c r="I6194" s="8" t="s">
        <v>557</v>
      </c>
      <c r="J6194" s="8" t="s">
        <v>557</v>
      </c>
      <c r="K6194" s="8" t="s">
        <v>1840</v>
      </c>
      <c r="L6194" s="8" t="s">
        <v>27529</v>
      </c>
      <c r="M6194" s="8" t="s">
        <v>27530</v>
      </c>
      <c r="N6194" s="8" t="s">
        <v>27551</v>
      </c>
      <c r="O6194" s="8">
        <f>16+41/60+20.3/3600</f>
        <v>16.688972222222223</v>
      </c>
      <c r="P6194" s="8" t="s">
        <v>27552</v>
      </c>
      <c r="Q6194" s="8">
        <f>-(48+45/60+48/3600)</f>
        <v>-48.763333333333335</v>
      </c>
      <c r="R6194" s="8">
        <v>5.2</v>
      </c>
      <c r="S6194" s="8">
        <v>99</v>
      </c>
      <c r="T6194" s="8">
        <v>99</v>
      </c>
      <c r="U6194" s="8">
        <v>99</v>
      </c>
      <c r="V6194" s="8">
        <v>14</v>
      </c>
      <c r="Y6194" s="8" t="s">
        <v>27553</v>
      </c>
      <c r="Z6194" s="8" t="s">
        <v>27554</v>
      </c>
    </row>
    <row r="6195" spans="1:26" x14ac:dyDescent="0.2">
      <c r="A6195" s="8">
        <v>6194</v>
      </c>
      <c r="B6195" s="8" t="s">
        <v>27555</v>
      </c>
      <c r="C6195" s="8" t="s">
        <v>27555</v>
      </c>
      <c r="F6195" s="47"/>
      <c r="G6195" s="8">
        <v>16</v>
      </c>
      <c r="H6195" s="8" t="s">
        <v>21</v>
      </c>
      <c r="I6195" s="8" t="s">
        <v>22</v>
      </c>
      <c r="J6195" s="8" t="s">
        <v>22</v>
      </c>
      <c r="K6195" s="8" t="s">
        <v>58</v>
      </c>
      <c r="L6195" s="8" t="s">
        <v>26804</v>
      </c>
      <c r="M6195" s="8" t="s">
        <v>26805</v>
      </c>
      <c r="N6195" s="8" t="s">
        <v>27556</v>
      </c>
      <c r="O6195" s="8">
        <f>16+36/60+37/3600</f>
        <v>16.610277777777778</v>
      </c>
      <c r="P6195" s="8" t="s">
        <v>27557</v>
      </c>
      <c r="Q6195" s="8">
        <f>+(36+12/60+2/3600)</f>
        <v>36.20055555555556</v>
      </c>
      <c r="R6195" s="8">
        <v>13.8</v>
      </c>
      <c r="S6195" s="8">
        <v>14.8</v>
      </c>
      <c r="T6195" s="8">
        <v>1</v>
      </c>
      <c r="U6195" s="8">
        <v>13.6</v>
      </c>
      <c r="V6195" s="8">
        <v>1</v>
      </c>
      <c r="W6195" s="8">
        <v>0.8</v>
      </c>
      <c r="X6195" s="8">
        <v>105</v>
      </c>
      <c r="Y6195" s="8" t="s">
        <v>27558</v>
      </c>
      <c r="Z6195" s="8" t="s">
        <v>27559</v>
      </c>
    </row>
    <row r="6196" spans="1:26" x14ac:dyDescent="0.2">
      <c r="A6196" s="8">
        <v>6195</v>
      </c>
      <c r="B6196" s="8" t="s">
        <v>27560</v>
      </c>
      <c r="C6196" s="8" t="s">
        <v>27560</v>
      </c>
      <c r="F6196" s="47" t="s">
        <v>58163</v>
      </c>
      <c r="G6196" s="8">
        <v>15</v>
      </c>
      <c r="H6196" s="8" t="s">
        <v>21</v>
      </c>
      <c r="I6196" s="8" t="s">
        <v>22</v>
      </c>
      <c r="J6196" s="8" t="s">
        <v>22</v>
      </c>
      <c r="K6196" s="8" t="s">
        <v>23</v>
      </c>
      <c r="L6196" s="8" t="s">
        <v>26804</v>
      </c>
      <c r="M6196" s="8" t="s">
        <v>26805</v>
      </c>
      <c r="N6196" s="8" t="s">
        <v>27561</v>
      </c>
      <c r="O6196" s="8">
        <f>16+36/60+32.6/3600</f>
        <v>16.609055555555557</v>
      </c>
      <c r="P6196" s="8" t="s">
        <v>27562</v>
      </c>
      <c r="Q6196" s="8">
        <f>+(39+1/60+42/3600)</f>
        <v>39.028333333333329</v>
      </c>
      <c r="R6196" s="8">
        <v>13</v>
      </c>
      <c r="S6196" s="8">
        <v>13.8</v>
      </c>
      <c r="T6196" s="8">
        <v>0.8</v>
      </c>
      <c r="U6196" s="8">
        <v>13.4</v>
      </c>
      <c r="V6196" s="8">
        <v>1.5</v>
      </c>
      <c r="W6196" s="8">
        <v>1.1000000000000001</v>
      </c>
      <c r="X6196" s="8">
        <v>45</v>
      </c>
      <c r="Y6196" s="8" t="s">
        <v>27563</v>
      </c>
      <c r="Z6196" s="8" t="s">
        <v>27564</v>
      </c>
    </row>
    <row r="6197" spans="1:26" x14ac:dyDescent="0.2">
      <c r="A6197" s="8">
        <v>6196</v>
      </c>
      <c r="B6197" s="8" t="s">
        <v>27565</v>
      </c>
      <c r="C6197" s="8" t="s">
        <v>27565</v>
      </c>
      <c r="F6197" s="47"/>
      <c r="G6197" s="8">
        <v>18</v>
      </c>
      <c r="H6197" s="8" t="s">
        <v>21</v>
      </c>
      <c r="I6197" s="8" t="s">
        <v>22</v>
      </c>
      <c r="J6197" s="8" t="s">
        <v>22</v>
      </c>
      <c r="K6197" s="8" t="s">
        <v>58</v>
      </c>
      <c r="L6197" s="8" t="s">
        <v>26804</v>
      </c>
      <c r="M6197" s="8" t="s">
        <v>26805</v>
      </c>
      <c r="N6197" s="8" t="s">
        <v>27566</v>
      </c>
      <c r="O6197" s="8">
        <f>16+37/60+53.8/3600</f>
        <v>16.631611111111113</v>
      </c>
      <c r="P6197" s="8" t="s">
        <v>27567</v>
      </c>
      <c r="Q6197" s="8">
        <f>+(36+4/60+23/3600)</f>
        <v>36.073055555555555</v>
      </c>
      <c r="R6197" s="8">
        <v>12.9</v>
      </c>
      <c r="S6197" s="8">
        <v>13.9</v>
      </c>
      <c r="T6197" s="8">
        <v>1</v>
      </c>
      <c r="U6197" s="8">
        <v>13.7</v>
      </c>
      <c r="V6197" s="8">
        <v>2</v>
      </c>
      <c r="W6197" s="8">
        <v>1.2</v>
      </c>
      <c r="X6197" s="8">
        <v>140</v>
      </c>
      <c r="Y6197" s="8" t="s">
        <v>1948</v>
      </c>
      <c r="Z6197" s="8" t="s">
        <v>1949</v>
      </c>
    </row>
    <row r="6198" spans="1:26" x14ac:dyDescent="0.2">
      <c r="A6198" s="8">
        <v>6197</v>
      </c>
      <c r="B6198" s="8" t="s">
        <v>27568</v>
      </c>
      <c r="C6198" s="8" t="s">
        <v>27568</v>
      </c>
      <c r="F6198" s="47"/>
      <c r="G6198" s="8">
        <v>18</v>
      </c>
      <c r="H6198" s="8" t="s">
        <v>21</v>
      </c>
      <c r="I6198" s="8" t="s">
        <v>22</v>
      </c>
      <c r="J6198" s="8" t="s">
        <v>22</v>
      </c>
      <c r="K6198" s="8" t="s">
        <v>435</v>
      </c>
      <c r="L6198" s="8" t="s">
        <v>26804</v>
      </c>
      <c r="M6198" s="8" t="s">
        <v>26805</v>
      </c>
      <c r="N6198" s="8" t="s">
        <v>27569</v>
      </c>
      <c r="O6198" s="8">
        <f>16+37/60+59.8/3600</f>
        <v>16.633277777777778</v>
      </c>
      <c r="P6198" s="8" t="s">
        <v>27570</v>
      </c>
      <c r="Q6198" s="8">
        <f>+(35+59/60+45/3600)</f>
        <v>35.995833333333337</v>
      </c>
      <c r="R6198" s="8">
        <v>14.6</v>
      </c>
      <c r="S6198" s="8">
        <v>15.5</v>
      </c>
      <c r="T6198" s="8">
        <v>0.9</v>
      </c>
      <c r="U6198" s="8">
        <v>14</v>
      </c>
      <c r="V6198" s="8">
        <v>1.3</v>
      </c>
      <c r="W6198" s="8">
        <v>0.5</v>
      </c>
      <c r="X6198" s="8">
        <v>37</v>
      </c>
      <c r="Y6198" s="8" t="s">
        <v>27571</v>
      </c>
      <c r="Z6198" s="8" t="s">
        <v>27572</v>
      </c>
    </row>
    <row r="6199" spans="1:26" x14ac:dyDescent="0.2">
      <c r="A6199" s="8">
        <v>6198</v>
      </c>
      <c r="B6199" s="8" t="s">
        <v>27573</v>
      </c>
      <c r="C6199" s="8" t="s">
        <v>27573</v>
      </c>
      <c r="F6199" s="47"/>
      <c r="G6199" s="8">
        <v>19</v>
      </c>
      <c r="H6199" s="8" t="s">
        <v>21</v>
      </c>
      <c r="I6199" s="8" t="s">
        <v>22</v>
      </c>
      <c r="J6199" s="8" t="s">
        <v>22</v>
      </c>
      <c r="K6199" s="8" t="s">
        <v>382</v>
      </c>
      <c r="L6199" s="8" t="s">
        <v>13395</v>
      </c>
      <c r="M6199" s="8" t="s">
        <v>13396</v>
      </c>
      <c r="N6199" s="8" t="s">
        <v>27574</v>
      </c>
      <c r="O6199" s="8">
        <f>16+35/60+30.6/3600</f>
        <v>16.591833333333334</v>
      </c>
      <c r="P6199" s="8" t="s">
        <v>27575</v>
      </c>
      <c r="Q6199" s="8">
        <f>+(57+29/60+14/3600)</f>
        <v>57.487222222222222</v>
      </c>
      <c r="R6199" s="8">
        <v>13.6</v>
      </c>
      <c r="S6199" s="8">
        <v>14.6</v>
      </c>
      <c r="T6199" s="8">
        <v>1</v>
      </c>
      <c r="U6199" s="8">
        <v>13.2</v>
      </c>
      <c r="V6199" s="8">
        <v>1</v>
      </c>
      <c r="W6199" s="8">
        <v>0.7</v>
      </c>
      <c r="X6199" s="8">
        <v>90</v>
      </c>
      <c r="Y6199" s="8" t="s">
        <v>27576</v>
      </c>
      <c r="Z6199" s="8" t="s">
        <v>27577</v>
      </c>
    </row>
    <row r="6200" spans="1:26" x14ac:dyDescent="0.2">
      <c r="A6200" s="8">
        <v>6199</v>
      </c>
      <c r="B6200" s="8" t="s">
        <v>27578</v>
      </c>
      <c r="C6200" s="8" t="s">
        <v>27578</v>
      </c>
      <c r="F6200" s="47"/>
      <c r="G6200" s="8">
        <v>18</v>
      </c>
      <c r="H6200" s="8" t="s">
        <v>21</v>
      </c>
      <c r="I6200" s="8" t="s">
        <v>72</v>
      </c>
      <c r="J6200" s="8" t="s">
        <v>72</v>
      </c>
      <c r="K6200" s="8" t="s">
        <v>20</v>
      </c>
      <c r="L6200" s="8" t="s">
        <v>26804</v>
      </c>
      <c r="M6200" s="8" t="s">
        <v>26805</v>
      </c>
      <c r="N6200" s="8" t="s">
        <v>27579</v>
      </c>
      <c r="O6200" s="8">
        <f>16+39/60+28.9/3600</f>
        <v>16.658027777777775</v>
      </c>
      <c r="P6200" s="8" t="s">
        <v>27580</v>
      </c>
      <c r="Q6200" s="8">
        <f>+(36+3/60+34/3600)</f>
        <v>36.059444444444445</v>
      </c>
      <c r="R6200" s="8">
        <v>99</v>
      </c>
      <c r="S6200" s="8">
        <v>14.8</v>
      </c>
      <c r="T6200" s="8">
        <v>99</v>
      </c>
      <c r="U6200" s="8">
        <v>99</v>
      </c>
      <c r="Y6200" s="8" t="s">
        <v>47</v>
      </c>
      <c r="Z6200" s="8" t="s">
        <v>48</v>
      </c>
    </row>
    <row r="6201" spans="1:26" x14ac:dyDescent="0.2">
      <c r="A6201" s="8">
        <v>6200</v>
      </c>
      <c r="B6201" s="8" t="s">
        <v>27581</v>
      </c>
      <c r="C6201" s="8" t="s">
        <v>27581</v>
      </c>
      <c r="F6201" s="47"/>
      <c r="G6201" s="8">
        <v>14</v>
      </c>
      <c r="H6201" s="8" t="s">
        <v>21</v>
      </c>
      <c r="I6201" s="8" t="s">
        <v>557</v>
      </c>
      <c r="J6201" s="8" t="s">
        <v>557</v>
      </c>
      <c r="K6201" s="8" t="s">
        <v>3217</v>
      </c>
      <c r="L6201" s="8" t="s">
        <v>27529</v>
      </c>
      <c r="M6201" s="8" t="s">
        <v>27530</v>
      </c>
      <c r="N6201" s="8" t="s">
        <v>27582</v>
      </c>
      <c r="O6201" s="8">
        <f>16+44/60+8.6/3600</f>
        <v>16.735722222222222</v>
      </c>
      <c r="P6201" s="8" t="s">
        <v>27583</v>
      </c>
      <c r="Q6201" s="8">
        <f>-(47+28/60+11/3600)</f>
        <v>-47.469722222222224</v>
      </c>
      <c r="R6201" s="8">
        <v>7.4</v>
      </c>
      <c r="S6201" s="8">
        <v>99</v>
      </c>
      <c r="T6201" s="8">
        <v>99</v>
      </c>
      <c r="U6201" s="8">
        <v>99</v>
      </c>
      <c r="V6201" s="8">
        <v>15</v>
      </c>
      <c r="Y6201" s="8" t="s">
        <v>27584</v>
      </c>
      <c r="Z6201" s="8" t="s">
        <v>27585</v>
      </c>
    </row>
    <row r="6202" spans="1:26" x14ac:dyDescent="0.2">
      <c r="A6202" s="8">
        <v>6201</v>
      </c>
      <c r="B6202" s="8" t="s">
        <v>27586</v>
      </c>
      <c r="C6202" s="8" t="s">
        <v>27586</v>
      </c>
      <c r="F6202" s="47"/>
      <c r="G6202" s="8">
        <v>18</v>
      </c>
      <c r="H6202" s="8" t="s">
        <v>21</v>
      </c>
      <c r="I6202" s="8" t="s">
        <v>22</v>
      </c>
      <c r="J6202" s="8" t="s">
        <v>22</v>
      </c>
      <c r="K6202" s="8" t="s">
        <v>382</v>
      </c>
      <c r="L6202" s="8" t="s">
        <v>26804</v>
      </c>
      <c r="M6202" s="8" t="s">
        <v>26805</v>
      </c>
      <c r="N6202" s="8" t="s">
        <v>27587</v>
      </c>
      <c r="O6202" s="8">
        <f>16+40/60+14.4/3600</f>
        <v>16.670666666666669</v>
      </c>
      <c r="P6202" s="8" t="s">
        <v>27588</v>
      </c>
      <c r="Q6202" s="8">
        <f>+(23+45/60+55/3600)</f>
        <v>23.765277777777779</v>
      </c>
      <c r="R6202" s="8">
        <v>14.6</v>
      </c>
      <c r="S6202" s="8">
        <v>15.6</v>
      </c>
      <c r="T6202" s="8">
        <v>1</v>
      </c>
      <c r="U6202" s="8">
        <v>11.4</v>
      </c>
      <c r="V6202" s="8">
        <v>0.4</v>
      </c>
      <c r="W6202" s="8">
        <v>0.3</v>
      </c>
      <c r="X6202" s="8">
        <v>21</v>
      </c>
      <c r="Y6202" s="8" t="s">
        <v>266</v>
      </c>
      <c r="Z6202" s="8" t="s">
        <v>267</v>
      </c>
    </row>
    <row r="6203" spans="1:26" x14ac:dyDescent="0.2">
      <c r="A6203" s="8">
        <v>6202</v>
      </c>
      <c r="B6203" s="8" t="s">
        <v>27589</v>
      </c>
      <c r="C6203" s="8" t="s">
        <v>27589</v>
      </c>
      <c r="F6203" s="47"/>
      <c r="G6203" s="8">
        <v>19</v>
      </c>
      <c r="H6203" s="8" t="s">
        <v>21</v>
      </c>
      <c r="I6203" s="8" t="s">
        <v>22</v>
      </c>
      <c r="J6203" s="8" t="s">
        <v>57</v>
      </c>
      <c r="K6203" s="8" t="s">
        <v>124</v>
      </c>
      <c r="L6203" s="8" t="s">
        <v>13395</v>
      </c>
      <c r="M6203" s="8" t="s">
        <v>13396</v>
      </c>
      <c r="N6203" s="8" t="s">
        <v>27590</v>
      </c>
      <c r="O6203" s="8">
        <f>16+43/60+23.2/3600</f>
        <v>16.723111111111109</v>
      </c>
      <c r="P6203" s="8" t="s">
        <v>27591</v>
      </c>
      <c r="Q6203" s="8">
        <f>+(61+59/60+1/3600)</f>
        <v>61.983611111111109</v>
      </c>
      <c r="R6203" s="8">
        <v>13.1</v>
      </c>
      <c r="S6203" s="8">
        <v>14</v>
      </c>
      <c r="T6203" s="8">
        <v>0.9</v>
      </c>
      <c r="U6203" s="8">
        <v>11.7</v>
      </c>
      <c r="V6203" s="8">
        <v>0.8</v>
      </c>
      <c r="W6203" s="8">
        <v>0.4</v>
      </c>
      <c r="X6203" s="8">
        <v>68</v>
      </c>
      <c r="Y6203" s="8" t="s">
        <v>27592</v>
      </c>
      <c r="Z6203" s="8" t="s">
        <v>27593</v>
      </c>
    </row>
    <row r="6204" spans="1:26" x14ac:dyDescent="0.2">
      <c r="A6204" s="8">
        <v>6203</v>
      </c>
      <c r="B6204" s="8" t="s">
        <v>27594</v>
      </c>
      <c r="C6204" s="8" t="s">
        <v>27594</v>
      </c>
      <c r="F6204" s="47"/>
      <c r="G6204" s="8">
        <v>18</v>
      </c>
      <c r="H6204" s="8" t="s">
        <v>21</v>
      </c>
      <c r="I6204" s="8" t="s">
        <v>22</v>
      </c>
      <c r="J6204" s="8" t="s">
        <v>22</v>
      </c>
      <c r="K6204" s="8" t="s">
        <v>37</v>
      </c>
      <c r="L6204" s="8" t="s">
        <v>26804</v>
      </c>
      <c r="M6204" s="8" t="s">
        <v>26805</v>
      </c>
      <c r="N6204" s="8" t="s">
        <v>27595</v>
      </c>
      <c r="O6204" s="8">
        <f>16+40/60+27.3/3600</f>
        <v>16.674250000000001</v>
      </c>
      <c r="P6204" s="8" t="s">
        <v>27596</v>
      </c>
      <c r="Q6204" s="8">
        <f>+(23+46/60+31/3600)</f>
        <v>23.775277777777777</v>
      </c>
      <c r="R6204" s="8">
        <v>14.4</v>
      </c>
      <c r="S6204" s="8">
        <v>15.4</v>
      </c>
      <c r="T6204" s="8">
        <v>1</v>
      </c>
      <c r="U6204" s="8">
        <v>13.2</v>
      </c>
      <c r="V6204" s="8">
        <v>0.6</v>
      </c>
      <c r="W6204" s="8">
        <v>0.6</v>
      </c>
      <c r="Y6204" s="8" t="s">
        <v>266</v>
      </c>
      <c r="Z6204" s="8" t="s">
        <v>267</v>
      </c>
    </row>
    <row r="6205" spans="1:26" x14ac:dyDescent="0.2">
      <c r="A6205" s="8">
        <v>6204</v>
      </c>
      <c r="B6205" s="8" t="s">
        <v>27597</v>
      </c>
      <c r="C6205" s="8" t="s">
        <v>27597</v>
      </c>
      <c r="F6205" s="47"/>
      <c r="G6205" s="8">
        <v>13</v>
      </c>
      <c r="H6205" s="8" t="s">
        <v>21</v>
      </c>
      <c r="I6205" s="8" t="s">
        <v>557</v>
      </c>
      <c r="J6205" s="8" t="s">
        <v>557</v>
      </c>
      <c r="K6205" s="8" t="s">
        <v>7705</v>
      </c>
      <c r="L6205" s="8" t="s">
        <v>27529</v>
      </c>
      <c r="M6205" s="8" t="s">
        <v>27530</v>
      </c>
      <c r="N6205" s="8" t="s">
        <v>27598</v>
      </c>
      <c r="O6205" s="8">
        <f>16+46/60+7.9/3600</f>
        <v>16.768861111111111</v>
      </c>
      <c r="P6205" s="8" t="s">
        <v>27599</v>
      </c>
      <c r="Q6205" s="8">
        <f>-(47+0/60+44/3600)</f>
        <v>-47.012222222222221</v>
      </c>
      <c r="R6205" s="8">
        <v>8.1999999999999993</v>
      </c>
      <c r="S6205" s="8">
        <v>99</v>
      </c>
      <c r="T6205" s="8">
        <v>99</v>
      </c>
      <c r="U6205" s="8">
        <v>99</v>
      </c>
      <c r="V6205" s="8">
        <v>6</v>
      </c>
      <c r="Y6205" s="8" t="s">
        <v>27600</v>
      </c>
      <c r="Z6205" s="8" t="s">
        <v>27601</v>
      </c>
    </row>
    <row r="6206" spans="1:26" x14ac:dyDescent="0.2">
      <c r="A6206" s="8">
        <v>6205</v>
      </c>
      <c r="B6206" s="8" t="s">
        <v>27602</v>
      </c>
      <c r="C6206" s="8" t="s">
        <v>55929</v>
      </c>
      <c r="F6206" s="47"/>
      <c r="G6206" s="8">
        <v>1</v>
      </c>
      <c r="H6206" s="8" t="s">
        <v>27603</v>
      </c>
      <c r="I6206" s="8" t="s">
        <v>567</v>
      </c>
      <c r="J6206" s="8" t="s">
        <v>567</v>
      </c>
      <c r="K6206" s="8" t="s">
        <v>8821</v>
      </c>
      <c r="L6206" s="8" t="s">
        <v>26804</v>
      </c>
      <c r="M6206" s="8" t="s">
        <v>26805</v>
      </c>
      <c r="N6206" s="8" t="s">
        <v>27604</v>
      </c>
      <c r="O6206" s="8">
        <f>16+41/60+41.5/3600</f>
        <v>16.694861111111113</v>
      </c>
      <c r="P6206" s="8" t="s">
        <v>27605</v>
      </c>
      <c r="Q6206" s="8">
        <f>+(36+27/60+39/3600)</f>
        <v>36.460833333333333</v>
      </c>
      <c r="R6206" s="8">
        <v>5.8</v>
      </c>
      <c r="S6206" s="8">
        <v>99</v>
      </c>
      <c r="T6206" s="8">
        <v>99</v>
      </c>
      <c r="U6206" s="8">
        <v>99</v>
      </c>
      <c r="V6206" s="8">
        <v>20</v>
      </c>
      <c r="Y6206" s="8" t="s">
        <v>27606</v>
      </c>
      <c r="Z6206" s="8" t="s">
        <v>27607</v>
      </c>
    </row>
    <row r="6207" spans="1:26" x14ac:dyDescent="0.2">
      <c r="A6207" s="8">
        <v>6206</v>
      </c>
      <c r="B6207" s="8" t="s">
        <v>27608</v>
      </c>
      <c r="C6207" s="8" t="s">
        <v>27608</v>
      </c>
      <c r="F6207" s="47"/>
      <c r="G6207" s="8">
        <v>19</v>
      </c>
      <c r="H6207" s="8" t="s">
        <v>21</v>
      </c>
      <c r="I6207" s="8" t="s">
        <v>22</v>
      </c>
      <c r="J6207" s="8" t="s">
        <v>22</v>
      </c>
      <c r="K6207" s="8" t="s">
        <v>37</v>
      </c>
      <c r="L6207" s="8" t="s">
        <v>13395</v>
      </c>
      <c r="M6207" s="8" t="s">
        <v>13396</v>
      </c>
      <c r="N6207" s="8" t="s">
        <v>27609</v>
      </c>
      <c r="O6207" s="8">
        <f>16+40/60+7.9/3600</f>
        <v>16.668861111111113</v>
      </c>
      <c r="P6207" s="8" t="s">
        <v>27610</v>
      </c>
      <c r="Q6207" s="8">
        <f>+(58+37/60+2/3600)</f>
        <v>58.617222222222225</v>
      </c>
      <c r="R6207" s="8">
        <v>13.6</v>
      </c>
      <c r="S6207" s="8">
        <v>14.6</v>
      </c>
      <c r="T6207" s="8">
        <v>1</v>
      </c>
      <c r="U6207" s="8">
        <v>12.6</v>
      </c>
      <c r="V6207" s="8">
        <v>0.7</v>
      </c>
      <c r="W6207" s="8">
        <v>0.7</v>
      </c>
      <c r="Y6207" s="8" t="s">
        <v>27611</v>
      </c>
      <c r="Z6207" s="8" t="s">
        <v>27612</v>
      </c>
    </row>
    <row r="6208" spans="1:26" x14ac:dyDescent="0.2">
      <c r="A6208" s="8">
        <v>6207</v>
      </c>
      <c r="B6208" s="8" t="s">
        <v>27613</v>
      </c>
      <c r="C6208" s="8" t="s">
        <v>27613</v>
      </c>
      <c r="F6208" s="47" t="s">
        <v>58164</v>
      </c>
      <c r="G6208" s="8">
        <v>6</v>
      </c>
      <c r="H6208" s="8" t="s">
        <v>21</v>
      </c>
      <c r="I6208" s="8" t="s">
        <v>22</v>
      </c>
      <c r="J6208" s="8" t="s">
        <v>22</v>
      </c>
      <c r="K6208" s="8" t="s">
        <v>160</v>
      </c>
      <c r="L6208" s="8" t="s">
        <v>26804</v>
      </c>
      <c r="M6208" s="8" t="s">
        <v>26805</v>
      </c>
      <c r="N6208" s="8" t="s">
        <v>27614</v>
      </c>
      <c r="O6208" s="8">
        <f>16+43/60+3.7/3600</f>
        <v>16.717694444444444</v>
      </c>
      <c r="P6208" s="8" t="s">
        <v>27615</v>
      </c>
      <c r="Q6208" s="8">
        <f>+(36+49/60+55/3600)</f>
        <v>36.831944444444446</v>
      </c>
      <c r="R6208" s="8">
        <v>11.6</v>
      </c>
      <c r="S6208" s="8">
        <v>12.2</v>
      </c>
      <c r="T6208" s="8">
        <v>0.6</v>
      </c>
      <c r="U6208" s="8">
        <v>13</v>
      </c>
      <c r="V6208" s="8">
        <v>3</v>
      </c>
      <c r="W6208" s="8">
        <v>1.2</v>
      </c>
      <c r="X6208" s="8">
        <v>15</v>
      </c>
      <c r="Y6208" s="8" t="s">
        <v>27616</v>
      </c>
      <c r="Z6208" s="8" t="s">
        <v>27617</v>
      </c>
    </row>
    <row r="6209" spans="1:26" x14ac:dyDescent="0.2">
      <c r="A6209" s="8">
        <v>6208</v>
      </c>
      <c r="B6209" s="8" t="s">
        <v>27618</v>
      </c>
      <c r="C6209" s="8" t="s">
        <v>27618</v>
      </c>
      <c r="F6209" s="47"/>
      <c r="G6209" s="8">
        <v>8</v>
      </c>
      <c r="H6209" s="8" t="s">
        <v>21</v>
      </c>
      <c r="I6209" s="8" t="s">
        <v>557</v>
      </c>
      <c r="J6209" s="8" t="s">
        <v>557</v>
      </c>
      <c r="K6209" s="8" t="s">
        <v>7034</v>
      </c>
      <c r="L6209" s="8" t="s">
        <v>27529</v>
      </c>
      <c r="M6209" s="8" t="s">
        <v>27530</v>
      </c>
      <c r="N6209" s="8" t="s">
        <v>27619</v>
      </c>
      <c r="O6209" s="8">
        <f>16+49/60+25.8/3600</f>
        <v>16.823833333333333</v>
      </c>
      <c r="P6209" s="8" t="s">
        <v>27620</v>
      </c>
      <c r="Q6209" s="8">
        <f>-(53+42/60+18/3600)</f>
        <v>-53.705000000000005</v>
      </c>
      <c r="R6209" s="8">
        <v>7.2</v>
      </c>
      <c r="S6209" s="8">
        <v>99</v>
      </c>
      <c r="T6209" s="8">
        <v>99</v>
      </c>
      <c r="U6209" s="8">
        <v>99</v>
      </c>
      <c r="V6209" s="8">
        <v>18</v>
      </c>
      <c r="Y6209" s="8" t="s">
        <v>27621</v>
      </c>
      <c r="Z6209" s="8" t="s">
        <v>27622</v>
      </c>
    </row>
    <row r="6210" spans="1:26" x14ac:dyDescent="0.2">
      <c r="A6210" s="8">
        <v>6209</v>
      </c>
      <c r="B6210" s="8" t="s">
        <v>27623</v>
      </c>
      <c r="C6210" s="8" t="s">
        <v>27623</v>
      </c>
      <c r="F6210" s="47"/>
      <c r="G6210" s="8">
        <v>16</v>
      </c>
      <c r="H6210" s="8" t="s">
        <v>21</v>
      </c>
      <c r="I6210" s="8" t="s">
        <v>22</v>
      </c>
      <c r="J6210" s="8" t="s">
        <v>22</v>
      </c>
      <c r="K6210" s="8" t="s">
        <v>396</v>
      </c>
      <c r="L6210" s="8" t="s">
        <v>25025</v>
      </c>
      <c r="M6210" s="8" t="s">
        <v>25026</v>
      </c>
      <c r="N6210" s="8" t="s">
        <v>27624</v>
      </c>
      <c r="O6210" s="8">
        <f>16+54/60+57.7/3600</f>
        <v>16.916027777777778</v>
      </c>
      <c r="P6210" s="8" t="s">
        <v>27625</v>
      </c>
      <c r="Q6210" s="8">
        <f>-(72+35/60+12/3600)</f>
        <v>-72.586666666666659</v>
      </c>
      <c r="R6210" s="8">
        <v>11.8</v>
      </c>
      <c r="S6210" s="8">
        <v>12.6</v>
      </c>
      <c r="T6210" s="8">
        <v>0.8</v>
      </c>
      <c r="U6210" s="8">
        <v>12.9</v>
      </c>
      <c r="V6210" s="8">
        <v>2</v>
      </c>
      <c r="W6210" s="8">
        <v>1.6</v>
      </c>
      <c r="X6210" s="8">
        <v>10</v>
      </c>
      <c r="Y6210" s="8" t="s">
        <v>27626</v>
      </c>
      <c r="Z6210" s="8" t="s">
        <v>27627</v>
      </c>
    </row>
    <row r="6211" spans="1:26" x14ac:dyDescent="0.2">
      <c r="A6211" s="8">
        <v>6210</v>
      </c>
      <c r="B6211" s="8" t="s">
        <v>27628</v>
      </c>
      <c r="C6211" s="8" t="s">
        <v>27628</v>
      </c>
      <c r="F6211" s="47"/>
      <c r="G6211" s="8">
        <v>5</v>
      </c>
      <c r="H6211" s="8" t="s">
        <v>27629</v>
      </c>
      <c r="I6211" s="8" t="s">
        <v>241</v>
      </c>
      <c r="J6211" s="8" t="s">
        <v>241</v>
      </c>
      <c r="K6211" s="8" t="s">
        <v>241</v>
      </c>
      <c r="L6211" s="8" t="s">
        <v>26804</v>
      </c>
      <c r="M6211" s="8" t="s">
        <v>26805</v>
      </c>
      <c r="N6211" s="8" t="s">
        <v>27630</v>
      </c>
      <c r="O6211" s="8">
        <f>16+44/60+29.5/3600</f>
        <v>16.74152777777778</v>
      </c>
      <c r="P6211" s="8" t="s">
        <v>27631</v>
      </c>
      <c r="Q6211" s="8">
        <f>+(23+48/60+2/3600)</f>
        <v>23.800555555555555</v>
      </c>
      <c r="R6211" s="8">
        <v>8.8000000000000007</v>
      </c>
      <c r="S6211" s="8">
        <v>9.3000000000000007</v>
      </c>
      <c r="T6211" s="8">
        <v>99</v>
      </c>
      <c r="U6211" s="8">
        <v>99</v>
      </c>
      <c r="V6211" s="8">
        <v>0.35</v>
      </c>
      <c r="Y6211" s="8" t="s">
        <v>27632</v>
      </c>
      <c r="Z6211" s="8" t="s">
        <v>27633</v>
      </c>
    </row>
    <row r="6212" spans="1:26" x14ac:dyDescent="0.2">
      <c r="A6212" s="8">
        <v>6211</v>
      </c>
      <c r="B6212" s="8" t="s">
        <v>27634</v>
      </c>
      <c r="C6212" s="8" t="s">
        <v>27634</v>
      </c>
      <c r="F6212" s="47"/>
      <c r="G6212" s="8">
        <v>19</v>
      </c>
      <c r="H6212" s="8" t="s">
        <v>21</v>
      </c>
      <c r="I6212" s="8" t="s">
        <v>22</v>
      </c>
      <c r="J6212" s="8" t="s">
        <v>22</v>
      </c>
      <c r="K6212" s="8" t="s">
        <v>224</v>
      </c>
      <c r="L6212" s="8" t="s">
        <v>13395</v>
      </c>
      <c r="M6212" s="8" t="s">
        <v>13396</v>
      </c>
      <c r="N6212" s="8" t="s">
        <v>27635</v>
      </c>
      <c r="O6212" s="8">
        <f>16+41/60+27.6/3600</f>
        <v>16.690999999999999</v>
      </c>
      <c r="P6212" s="8" t="s">
        <v>27636</v>
      </c>
      <c r="Q6212" s="8">
        <f>+(57+47/60+2/3600)</f>
        <v>57.783888888888889</v>
      </c>
      <c r="R6212" s="8">
        <v>12.6</v>
      </c>
      <c r="S6212" s="8">
        <v>13.6</v>
      </c>
      <c r="T6212" s="8">
        <v>1</v>
      </c>
      <c r="U6212" s="8">
        <v>13.2</v>
      </c>
      <c r="V6212" s="8">
        <v>1.6</v>
      </c>
      <c r="W6212" s="8">
        <v>1.2</v>
      </c>
      <c r="X6212" s="8">
        <v>99</v>
      </c>
      <c r="Y6212" s="8" t="s">
        <v>27637</v>
      </c>
      <c r="Z6212" s="8" t="s">
        <v>27638</v>
      </c>
    </row>
    <row r="6213" spans="1:26" x14ac:dyDescent="0.2">
      <c r="A6213" s="8">
        <v>6212</v>
      </c>
      <c r="B6213" s="8" t="s">
        <v>27639</v>
      </c>
      <c r="C6213" s="8" t="s">
        <v>27639</v>
      </c>
      <c r="F6213" s="47"/>
      <c r="G6213" s="8">
        <v>18</v>
      </c>
      <c r="H6213" s="8" t="s">
        <v>21</v>
      </c>
      <c r="I6213" s="8" t="s">
        <v>22</v>
      </c>
      <c r="J6213" s="8" t="s">
        <v>22</v>
      </c>
      <c r="K6213" s="8" t="s">
        <v>424</v>
      </c>
      <c r="L6213" s="8" t="s">
        <v>26804</v>
      </c>
      <c r="M6213" s="8" t="s">
        <v>26805</v>
      </c>
      <c r="N6213" s="8" t="s">
        <v>27590</v>
      </c>
      <c r="O6213" s="8">
        <f>16+43/60+23.2/3600</f>
        <v>16.723111111111109</v>
      </c>
      <c r="P6213" s="8" t="s">
        <v>27640</v>
      </c>
      <c r="Q6213" s="8">
        <f>+(39+48/60+26/3600)</f>
        <v>39.807222222222222</v>
      </c>
      <c r="R6213" s="8">
        <v>14.2</v>
      </c>
      <c r="S6213" s="8">
        <v>15.2</v>
      </c>
      <c r="T6213" s="8">
        <v>1</v>
      </c>
      <c r="U6213" s="8">
        <v>12.5</v>
      </c>
      <c r="V6213" s="8">
        <v>0.6</v>
      </c>
      <c r="W6213" s="8">
        <v>0.4</v>
      </c>
      <c r="X6213" s="8">
        <v>105</v>
      </c>
      <c r="Y6213" s="8" t="s">
        <v>47</v>
      </c>
      <c r="Z6213" s="8" t="s">
        <v>48</v>
      </c>
    </row>
    <row r="6214" spans="1:26" x14ac:dyDescent="0.2">
      <c r="A6214" s="8">
        <v>6213</v>
      </c>
      <c r="B6214" s="8" t="s">
        <v>27641</v>
      </c>
      <c r="C6214" s="8" t="s">
        <v>27641</v>
      </c>
      <c r="F6214" s="47"/>
      <c r="G6214" s="8">
        <v>19</v>
      </c>
      <c r="H6214" s="8" t="s">
        <v>21</v>
      </c>
      <c r="I6214" s="8" t="s">
        <v>22</v>
      </c>
      <c r="J6214" s="8" t="s">
        <v>22</v>
      </c>
      <c r="K6214" s="8" t="s">
        <v>91</v>
      </c>
      <c r="L6214" s="8" t="s">
        <v>13395</v>
      </c>
      <c r="M6214" s="8" t="s">
        <v>13396</v>
      </c>
      <c r="N6214" s="8" t="s">
        <v>27642</v>
      </c>
      <c r="O6214" s="8">
        <f>16+41/60+37.3/3600</f>
        <v>16.693694444444446</v>
      </c>
      <c r="P6214" s="8" t="s">
        <v>27643</v>
      </c>
      <c r="Q6214" s="8">
        <f>+(57+48/60+54/3600)</f>
        <v>57.814999999999998</v>
      </c>
      <c r="R6214" s="8">
        <v>14.7</v>
      </c>
      <c r="S6214" s="8">
        <v>15.6</v>
      </c>
      <c r="T6214" s="8">
        <v>0.9</v>
      </c>
      <c r="U6214" s="8">
        <v>12.9</v>
      </c>
      <c r="V6214" s="8">
        <v>0.7</v>
      </c>
      <c r="W6214" s="8">
        <v>0.3</v>
      </c>
      <c r="X6214" s="8">
        <v>57</v>
      </c>
      <c r="Y6214" s="8" t="s">
        <v>27644</v>
      </c>
      <c r="Z6214" s="8" t="s">
        <v>27645</v>
      </c>
    </row>
    <row r="6215" spans="1:26" x14ac:dyDescent="0.2">
      <c r="A6215" s="8">
        <v>6214</v>
      </c>
      <c r="B6215" s="8" t="s">
        <v>27646</v>
      </c>
      <c r="C6215" s="8" t="s">
        <v>27646</v>
      </c>
      <c r="F6215" s="47"/>
      <c r="G6215" s="8">
        <v>19</v>
      </c>
      <c r="H6215" s="8" t="s">
        <v>21</v>
      </c>
      <c r="I6215" s="8" t="s">
        <v>22</v>
      </c>
      <c r="J6215" s="8" t="s">
        <v>22</v>
      </c>
      <c r="K6215" s="8" t="s">
        <v>396</v>
      </c>
      <c r="L6215" s="8" t="s">
        <v>13395</v>
      </c>
      <c r="M6215" s="8" t="s">
        <v>13396</v>
      </c>
      <c r="N6215" s="8" t="s">
        <v>27647</v>
      </c>
      <c r="O6215" s="8">
        <f>16+39/60+31.8/3600</f>
        <v>16.65883333333333</v>
      </c>
      <c r="P6215" s="8" t="s">
        <v>27648</v>
      </c>
      <c r="Q6215" s="8">
        <f>+(66+2/60+23/3600)</f>
        <v>66.039722222222224</v>
      </c>
      <c r="R6215" s="8">
        <v>13.5</v>
      </c>
      <c r="S6215" s="8">
        <v>14.3</v>
      </c>
      <c r="T6215" s="8">
        <v>0.8</v>
      </c>
      <c r="U6215" s="8">
        <v>13.1</v>
      </c>
      <c r="V6215" s="8">
        <v>1</v>
      </c>
      <c r="W6215" s="8">
        <v>0.8</v>
      </c>
      <c r="X6215" s="8">
        <v>145</v>
      </c>
      <c r="Y6215" s="8" t="s">
        <v>385</v>
      </c>
      <c r="Z6215" s="8" t="s">
        <v>386</v>
      </c>
    </row>
    <row r="6216" spans="1:26" x14ac:dyDescent="0.2">
      <c r="A6216" s="8">
        <v>6215</v>
      </c>
      <c r="B6216" s="8" t="s">
        <v>27649</v>
      </c>
      <c r="C6216" s="8" t="s">
        <v>27649</v>
      </c>
      <c r="F6216" s="47"/>
      <c r="G6216" s="8">
        <v>13</v>
      </c>
      <c r="H6216" s="8" t="s">
        <v>21</v>
      </c>
      <c r="I6216" s="8" t="s">
        <v>22</v>
      </c>
      <c r="J6216" s="8" t="s">
        <v>22</v>
      </c>
      <c r="K6216" s="8" t="s">
        <v>160</v>
      </c>
      <c r="L6216" s="8" t="s">
        <v>27529</v>
      </c>
      <c r="M6216" s="8" t="s">
        <v>27530</v>
      </c>
      <c r="N6216" s="8" t="s">
        <v>27650</v>
      </c>
      <c r="O6216" s="8">
        <f>16+51/60+7/3600</f>
        <v>16.851944444444445</v>
      </c>
      <c r="P6216" s="8" t="s">
        <v>27651</v>
      </c>
      <c r="Q6216" s="8">
        <f>-(58+59/60+35/3600)</f>
        <v>-58.993055555555557</v>
      </c>
      <c r="R6216" s="8">
        <v>11.5</v>
      </c>
      <c r="S6216" s="8">
        <v>12</v>
      </c>
      <c r="T6216" s="8">
        <v>0.5</v>
      </c>
      <c r="U6216" s="8">
        <v>12.8</v>
      </c>
      <c r="V6216" s="8">
        <v>2.2000000000000002</v>
      </c>
      <c r="W6216" s="8">
        <v>2</v>
      </c>
      <c r="X6216" s="8">
        <v>78</v>
      </c>
      <c r="Y6216" s="8" t="s">
        <v>27652</v>
      </c>
      <c r="Z6216" s="8" t="s">
        <v>27653</v>
      </c>
    </row>
    <row r="6217" spans="1:26" x14ac:dyDescent="0.2">
      <c r="A6217" s="8">
        <v>6216</v>
      </c>
      <c r="B6217" s="8" t="s">
        <v>27654</v>
      </c>
      <c r="C6217" s="8" t="s">
        <v>27654</v>
      </c>
      <c r="F6217" s="47"/>
      <c r="G6217" s="8">
        <v>3</v>
      </c>
      <c r="H6217" s="8" t="s">
        <v>21</v>
      </c>
      <c r="I6217" s="8" t="s">
        <v>557</v>
      </c>
      <c r="J6217" s="8" t="s">
        <v>557</v>
      </c>
      <c r="K6217" s="8" t="s">
        <v>558</v>
      </c>
      <c r="L6217" s="8" t="s">
        <v>26735</v>
      </c>
      <c r="M6217" s="8" t="s">
        <v>26736</v>
      </c>
      <c r="N6217" s="8" t="s">
        <v>27655</v>
      </c>
      <c r="O6217" s="8">
        <f>16+49/60+23.5/3600</f>
        <v>16.823194444444443</v>
      </c>
      <c r="P6217" s="8" t="s">
        <v>27656</v>
      </c>
      <c r="Q6217" s="8">
        <f>-(44+43/60+53/3600)</f>
        <v>-44.731388888888894</v>
      </c>
      <c r="R6217" s="8">
        <v>10.1</v>
      </c>
      <c r="S6217" s="8">
        <v>99</v>
      </c>
      <c r="T6217" s="8">
        <v>99</v>
      </c>
      <c r="U6217" s="8">
        <v>99</v>
      </c>
      <c r="V6217" s="8">
        <v>4</v>
      </c>
      <c r="Y6217" s="8" t="s">
        <v>27657</v>
      </c>
      <c r="Z6217" s="8" t="s">
        <v>27658</v>
      </c>
    </row>
    <row r="6218" spans="1:26" x14ac:dyDescent="0.2">
      <c r="A6218" s="8">
        <v>6217</v>
      </c>
      <c r="B6218" s="8" t="s">
        <v>27659</v>
      </c>
      <c r="C6218" s="8" t="s">
        <v>27659</v>
      </c>
      <c r="F6218" s="47" t="s">
        <v>58165</v>
      </c>
      <c r="G6218" s="8">
        <v>6</v>
      </c>
      <c r="H6218" s="8" t="s">
        <v>21</v>
      </c>
      <c r="I6218" s="8" t="s">
        <v>22</v>
      </c>
      <c r="J6218" s="8" t="s">
        <v>22</v>
      </c>
      <c r="K6218" s="8" t="s">
        <v>85</v>
      </c>
      <c r="L6218" s="8" t="s">
        <v>14586</v>
      </c>
      <c r="M6218" s="8" t="s">
        <v>14587</v>
      </c>
      <c r="N6218" s="8" t="s">
        <v>27660</v>
      </c>
      <c r="O6218" s="8">
        <f>16+32/60+38.7/3600</f>
        <v>16.544083333333337</v>
      </c>
      <c r="P6218" s="8" t="s">
        <v>27661</v>
      </c>
      <c r="Q6218" s="8">
        <f>+(78+11/60+57/3600)</f>
        <v>78.19916666666667</v>
      </c>
      <c r="R6218" s="8">
        <v>11.2</v>
      </c>
      <c r="S6218" s="8">
        <v>11.8</v>
      </c>
      <c r="T6218" s="8">
        <v>0.6</v>
      </c>
      <c r="U6218" s="8">
        <v>13.2</v>
      </c>
      <c r="V6218" s="8">
        <v>3</v>
      </c>
      <c r="W6218" s="8">
        <v>2.5</v>
      </c>
      <c r="X6218" s="8">
        <v>153</v>
      </c>
      <c r="Y6218" s="8" t="s">
        <v>27662</v>
      </c>
      <c r="Z6218" s="8" t="s">
        <v>27663</v>
      </c>
    </row>
    <row r="6219" spans="1:26" x14ac:dyDescent="0.2">
      <c r="A6219" s="8">
        <v>6218</v>
      </c>
      <c r="B6219" s="8" t="s">
        <v>27664</v>
      </c>
      <c r="C6219" s="8" t="s">
        <v>55930</v>
      </c>
      <c r="F6219" s="47"/>
      <c r="G6219" s="8">
        <v>1</v>
      </c>
      <c r="H6219" s="8" t="s">
        <v>27665</v>
      </c>
      <c r="I6219" s="8" t="s">
        <v>567</v>
      </c>
      <c r="J6219" s="8" t="s">
        <v>567</v>
      </c>
      <c r="K6219" s="8" t="s">
        <v>26506</v>
      </c>
      <c r="L6219" s="8" t="s">
        <v>26994</v>
      </c>
      <c r="M6219" s="8" t="s">
        <v>26995</v>
      </c>
      <c r="N6219" s="8" t="s">
        <v>27666</v>
      </c>
      <c r="O6219" s="8">
        <f>16+47/60+14.5/3600</f>
        <v>16.787361111111114</v>
      </c>
      <c r="P6219" s="8" t="s">
        <v>27667</v>
      </c>
      <c r="Q6219" s="8">
        <f>-(1+56/60+50/3600)</f>
        <v>-1.9472222222222222</v>
      </c>
      <c r="R6219" s="8">
        <v>6.1</v>
      </c>
      <c r="S6219" s="8">
        <v>99</v>
      </c>
      <c r="T6219" s="8">
        <v>99</v>
      </c>
      <c r="U6219" s="8">
        <v>99</v>
      </c>
      <c r="V6219" s="8">
        <v>16</v>
      </c>
      <c r="Y6219" s="8" t="s">
        <v>27668</v>
      </c>
      <c r="Z6219" s="8" t="s">
        <v>27669</v>
      </c>
    </row>
    <row r="6220" spans="1:26" x14ac:dyDescent="0.2">
      <c r="A6220" s="8">
        <v>6219</v>
      </c>
      <c r="B6220" s="8" t="s">
        <v>27670</v>
      </c>
      <c r="C6220" s="8" t="s">
        <v>27670</v>
      </c>
      <c r="F6220" s="47"/>
      <c r="G6220" s="8">
        <v>18</v>
      </c>
      <c r="H6220" s="8" t="s">
        <v>21</v>
      </c>
      <c r="I6220" s="8" t="s">
        <v>22</v>
      </c>
      <c r="J6220" s="8" t="s">
        <v>22</v>
      </c>
      <c r="K6220" s="8" t="s">
        <v>37</v>
      </c>
      <c r="L6220" s="8" t="s">
        <v>26804</v>
      </c>
      <c r="M6220" s="8" t="s">
        <v>26805</v>
      </c>
      <c r="N6220" s="8" t="s">
        <v>27671</v>
      </c>
      <c r="O6220" s="8">
        <f>16+46/60+22.6/3600</f>
        <v>16.772944444444445</v>
      </c>
      <c r="P6220" s="8" t="s">
        <v>27672</v>
      </c>
      <c r="Q6220" s="8">
        <f>+(9+2/60+18/3600)</f>
        <v>9.038333333333334</v>
      </c>
      <c r="R6220" s="8">
        <v>14.2</v>
      </c>
      <c r="S6220" s="8">
        <v>15.2</v>
      </c>
      <c r="T6220" s="8">
        <v>1</v>
      </c>
      <c r="U6220" s="8">
        <v>13.3</v>
      </c>
      <c r="V6220" s="8">
        <v>0.7</v>
      </c>
      <c r="W6220" s="8">
        <v>0.7</v>
      </c>
      <c r="Y6220" s="8" t="s">
        <v>4065</v>
      </c>
      <c r="Z6220" s="8" t="s">
        <v>4066</v>
      </c>
    </row>
    <row r="6221" spans="1:26" x14ac:dyDescent="0.2">
      <c r="A6221" s="8">
        <v>6220</v>
      </c>
      <c r="B6221" s="8" t="s">
        <v>27673</v>
      </c>
      <c r="C6221" s="8" t="s">
        <v>27673</v>
      </c>
      <c r="F6221" s="47"/>
      <c r="G6221" s="8">
        <v>19</v>
      </c>
      <c r="H6221" s="8" t="s">
        <v>21</v>
      </c>
      <c r="I6221" s="8" t="s">
        <v>22</v>
      </c>
      <c r="J6221" s="8" t="s">
        <v>22</v>
      </c>
      <c r="K6221" s="8" t="s">
        <v>31</v>
      </c>
      <c r="L6221" s="8" t="s">
        <v>26994</v>
      </c>
      <c r="M6221" s="8" t="s">
        <v>26995</v>
      </c>
      <c r="N6221" s="8" t="s">
        <v>27674</v>
      </c>
      <c r="O6221" s="8">
        <f>16+47/60+13.2/3600</f>
        <v>16.787000000000003</v>
      </c>
      <c r="P6221" s="8" t="s">
        <v>27675</v>
      </c>
      <c r="Q6221" s="8">
        <f>-(0+16/60+30/3600)</f>
        <v>-0.27500000000000002</v>
      </c>
      <c r="R6221" s="8">
        <v>13.7</v>
      </c>
      <c r="S6221" s="8">
        <v>14.5</v>
      </c>
      <c r="T6221" s="8">
        <v>0.8</v>
      </c>
      <c r="U6221" s="8">
        <v>13.9</v>
      </c>
      <c r="V6221" s="8">
        <v>1.7</v>
      </c>
      <c r="W6221" s="8">
        <v>0.9</v>
      </c>
      <c r="X6221" s="8">
        <v>135</v>
      </c>
      <c r="Y6221" s="8" t="s">
        <v>27676</v>
      </c>
      <c r="Z6221" s="8" t="s">
        <v>27677</v>
      </c>
    </row>
    <row r="6222" spans="1:26" x14ac:dyDescent="0.2">
      <c r="A6222" s="8">
        <v>6221</v>
      </c>
      <c r="B6222" s="8" t="s">
        <v>27678</v>
      </c>
      <c r="C6222" s="8" t="s">
        <v>27678</v>
      </c>
      <c r="F6222" s="47"/>
      <c r="G6222" s="8">
        <v>13</v>
      </c>
      <c r="H6222" s="8" t="s">
        <v>21</v>
      </c>
      <c r="I6222" s="8" t="s">
        <v>22</v>
      </c>
      <c r="J6222" s="8" t="s">
        <v>22</v>
      </c>
      <c r="K6222" s="8" t="s">
        <v>64</v>
      </c>
      <c r="L6222" s="8" t="s">
        <v>27529</v>
      </c>
      <c r="M6222" s="8" t="s">
        <v>27530</v>
      </c>
      <c r="N6222" s="8" t="s">
        <v>27679</v>
      </c>
      <c r="O6222" s="8">
        <f>16+52/60+46.1/3600</f>
        <v>16.879472222222223</v>
      </c>
      <c r="P6222" s="8" t="s">
        <v>27680</v>
      </c>
      <c r="Q6222" s="8">
        <f>-(59+13/60+6/3600)</f>
        <v>-59.218333333333334</v>
      </c>
      <c r="R6222" s="8">
        <v>9.9</v>
      </c>
      <c r="S6222" s="8">
        <v>10.7</v>
      </c>
      <c r="T6222" s="8">
        <v>0.8</v>
      </c>
      <c r="U6222" s="8">
        <v>12.1</v>
      </c>
      <c r="V6222" s="8">
        <v>3.5</v>
      </c>
      <c r="W6222" s="8">
        <v>2.5</v>
      </c>
      <c r="X6222" s="8">
        <v>5</v>
      </c>
      <c r="Y6222" s="8" t="s">
        <v>27681</v>
      </c>
      <c r="Z6222" s="8" t="s">
        <v>27682</v>
      </c>
    </row>
    <row r="6223" spans="1:26" x14ac:dyDescent="0.2">
      <c r="A6223" s="8">
        <v>6222</v>
      </c>
      <c r="B6223" s="8" t="s">
        <v>27683</v>
      </c>
      <c r="C6223" s="8" t="s">
        <v>27683</v>
      </c>
      <c r="F6223" s="47"/>
      <c r="G6223" s="8">
        <v>13</v>
      </c>
      <c r="H6223" s="8" t="s">
        <v>21</v>
      </c>
      <c r="I6223" s="8" t="s">
        <v>557</v>
      </c>
      <c r="J6223" s="8" t="s">
        <v>57</v>
      </c>
      <c r="K6223" s="8" t="s">
        <v>3217</v>
      </c>
      <c r="L6223" s="8" t="s">
        <v>26735</v>
      </c>
      <c r="M6223" s="8" t="s">
        <v>26736</v>
      </c>
      <c r="N6223" s="8" t="s">
        <v>27684</v>
      </c>
      <c r="O6223" s="8">
        <f>17+0/60+45.3/3600</f>
        <v>17.012583333333332</v>
      </c>
      <c r="P6223" s="8" t="s">
        <v>27685</v>
      </c>
      <c r="Q6223" s="8">
        <f>-(44+39/60+18/3600)</f>
        <v>-44.655000000000001</v>
      </c>
      <c r="R6223" s="8">
        <v>8</v>
      </c>
      <c r="S6223" s="8">
        <v>99</v>
      </c>
      <c r="T6223" s="8">
        <v>99</v>
      </c>
      <c r="U6223" s="8">
        <v>99</v>
      </c>
      <c r="V6223" s="8">
        <v>15</v>
      </c>
      <c r="Y6223" s="8" t="s">
        <v>27657</v>
      </c>
      <c r="Z6223" s="8" t="s">
        <v>27686</v>
      </c>
    </row>
    <row r="6224" spans="1:26" x14ac:dyDescent="0.2">
      <c r="A6224" s="8">
        <v>6223</v>
      </c>
      <c r="B6224" s="8" t="s">
        <v>27687</v>
      </c>
      <c r="C6224" s="8" t="s">
        <v>27687</v>
      </c>
      <c r="F6224" s="47"/>
      <c r="G6224" s="8">
        <v>18</v>
      </c>
      <c r="H6224" s="8" t="s">
        <v>21</v>
      </c>
      <c r="I6224" s="8" t="s">
        <v>22</v>
      </c>
      <c r="J6224" s="8" t="s">
        <v>22</v>
      </c>
      <c r="K6224" s="8" t="s">
        <v>58</v>
      </c>
      <c r="L6224" s="8" t="s">
        <v>13395</v>
      </c>
      <c r="M6224" s="8" t="s">
        <v>13396</v>
      </c>
      <c r="N6224" s="8" t="s">
        <v>27688</v>
      </c>
      <c r="O6224" s="8">
        <f>16+43/60+4.2/3600</f>
        <v>16.717833333333331</v>
      </c>
      <c r="P6224" s="8" t="s">
        <v>27689</v>
      </c>
      <c r="Q6224" s="8">
        <f>+(61+34/60+43/3600)</f>
        <v>61.578611111111115</v>
      </c>
      <c r="R6224" s="8">
        <v>11.7</v>
      </c>
      <c r="S6224" s="8">
        <v>12.7</v>
      </c>
      <c r="T6224" s="8">
        <v>1</v>
      </c>
      <c r="U6224" s="8">
        <v>14.2</v>
      </c>
      <c r="V6224" s="8">
        <v>3.5</v>
      </c>
      <c r="W6224" s="8">
        <v>2.6</v>
      </c>
      <c r="X6224" s="8">
        <v>88</v>
      </c>
      <c r="Y6224" s="8" t="s">
        <v>232</v>
      </c>
      <c r="Z6224" s="8" t="s">
        <v>233</v>
      </c>
    </row>
    <row r="6225" spans="1:26" x14ac:dyDescent="0.2">
      <c r="A6225" s="8">
        <v>6224</v>
      </c>
      <c r="B6225" s="8" t="s">
        <v>27690</v>
      </c>
      <c r="C6225" s="8" t="s">
        <v>27690</v>
      </c>
      <c r="F6225" s="47"/>
      <c r="G6225" s="8">
        <v>19</v>
      </c>
      <c r="H6225" s="8" t="s">
        <v>21</v>
      </c>
      <c r="I6225" s="8" t="s">
        <v>22</v>
      </c>
      <c r="J6225" s="8" t="s">
        <v>22</v>
      </c>
      <c r="K6225" s="8" t="s">
        <v>58</v>
      </c>
      <c r="L6225" s="8" t="s">
        <v>26804</v>
      </c>
      <c r="M6225" s="8" t="s">
        <v>26805</v>
      </c>
      <c r="N6225" s="8" t="s">
        <v>27691</v>
      </c>
      <c r="O6225" s="8">
        <f>16+48/60+18.5/3600</f>
        <v>16.805138888888891</v>
      </c>
      <c r="P6225" s="8" t="s">
        <v>27692</v>
      </c>
      <c r="Q6225" s="8">
        <f>+(6+18/60+44/3600)</f>
        <v>6.3122222222222222</v>
      </c>
      <c r="R6225" s="8">
        <v>13.5</v>
      </c>
      <c r="S6225" s="8">
        <v>14.5</v>
      </c>
      <c r="T6225" s="8">
        <v>1</v>
      </c>
      <c r="U6225" s="8">
        <v>13.3</v>
      </c>
      <c r="V6225" s="8">
        <v>1</v>
      </c>
      <c r="W6225" s="8">
        <v>1</v>
      </c>
      <c r="Y6225" s="8" t="s">
        <v>27693</v>
      </c>
      <c r="Z6225" s="8" t="s">
        <v>27694</v>
      </c>
    </row>
    <row r="6226" spans="1:26" x14ac:dyDescent="0.2">
      <c r="A6226" s="8">
        <v>6225</v>
      </c>
      <c r="B6226" s="8" t="s">
        <v>27695</v>
      </c>
      <c r="C6226" s="8" t="s">
        <v>27695</v>
      </c>
      <c r="F6226" s="47"/>
      <c r="G6226" s="8">
        <v>19</v>
      </c>
      <c r="H6226" s="8" t="s">
        <v>21</v>
      </c>
      <c r="I6226" s="8" t="s">
        <v>22</v>
      </c>
      <c r="J6226" s="8" t="s">
        <v>22</v>
      </c>
      <c r="K6226" s="8" t="s">
        <v>58</v>
      </c>
      <c r="L6226" s="8" t="s">
        <v>26804</v>
      </c>
      <c r="M6226" s="8" t="s">
        <v>26805</v>
      </c>
      <c r="N6226" s="8" t="s">
        <v>27696</v>
      </c>
      <c r="O6226" s="8">
        <f>16+48/60+21.6/3600</f>
        <v>16.806000000000001</v>
      </c>
      <c r="P6226" s="8" t="s">
        <v>27697</v>
      </c>
      <c r="Q6226" s="8">
        <f>+(6+13/60+23/3600)</f>
        <v>6.2230555555555558</v>
      </c>
      <c r="R6226" s="8">
        <v>13.8</v>
      </c>
      <c r="S6226" s="8">
        <v>14.8</v>
      </c>
      <c r="T6226" s="8">
        <v>1</v>
      </c>
      <c r="U6226" s="8">
        <v>13.2</v>
      </c>
      <c r="V6226" s="8">
        <v>0.9</v>
      </c>
      <c r="W6226" s="8">
        <v>0.6</v>
      </c>
      <c r="X6226" s="8">
        <v>156</v>
      </c>
      <c r="Y6226" s="8" t="s">
        <v>27698</v>
      </c>
      <c r="Z6226" s="8" t="s">
        <v>27699</v>
      </c>
    </row>
    <row r="6227" spans="1:26" x14ac:dyDescent="0.2">
      <c r="A6227" s="8">
        <v>6226</v>
      </c>
      <c r="B6227" s="8" t="s">
        <v>27700</v>
      </c>
      <c r="C6227" s="8" t="s">
        <v>27700</v>
      </c>
      <c r="F6227" s="47"/>
      <c r="G6227" s="8">
        <v>18</v>
      </c>
      <c r="H6227" s="8" t="s">
        <v>21</v>
      </c>
      <c r="I6227" s="8" t="s">
        <v>22</v>
      </c>
      <c r="J6227" s="8" t="s">
        <v>22</v>
      </c>
      <c r="K6227" s="8" t="s">
        <v>124</v>
      </c>
      <c r="L6227" s="8" t="s">
        <v>13395</v>
      </c>
      <c r="M6227" s="8" t="s">
        <v>13396</v>
      </c>
      <c r="N6227" s="8" t="s">
        <v>27590</v>
      </c>
      <c r="O6227" s="8">
        <f>16+43/60+23.2/3600</f>
        <v>16.723111111111109</v>
      </c>
      <c r="P6227" s="8" t="s">
        <v>27591</v>
      </c>
      <c r="Q6227" s="8">
        <f>+(61+59/60+1/3600)</f>
        <v>61.983611111111109</v>
      </c>
      <c r="R6227" s="8">
        <v>13.1</v>
      </c>
      <c r="S6227" s="8">
        <v>14</v>
      </c>
      <c r="T6227" s="8">
        <v>0.9</v>
      </c>
      <c r="U6227" s="8">
        <v>11.7</v>
      </c>
      <c r="V6227" s="8">
        <v>0.8</v>
      </c>
      <c r="W6227" s="8">
        <v>0.4</v>
      </c>
      <c r="X6227" s="8">
        <v>68</v>
      </c>
      <c r="Y6227" s="8" t="s">
        <v>27592</v>
      </c>
      <c r="Z6227" s="8" t="s">
        <v>27701</v>
      </c>
    </row>
    <row r="6228" spans="1:26" x14ac:dyDescent="0.2">
      <c r="A6228" s="8">
        <v>6227</v>
      </c>
      <c r="B6228" s="8" t="s">
        <v>27702</v>
      </c>
      <c r="C6228" s="8" t="s">
        <v>27702</v>
      </c>
      <c r="F6228" s="47"/>
      <c r="G6228" s="8">
        <v>13</v>
      </c>
      <c r="H6228" s="8" t="s">
        <v>21</v>
      </c>
      <c r="I6228" s="8" t="s">
        <v>72</v>
      </c>
      <c r="J6228" s="8" t="s">
        <v>72</v>
      </c>
      <c r="K6228" s="8" t="s">
        <v>10045</v>
      </c>
      <c r="L6228" s="8" t="s">
        <v>26735</v>
      </c>
      <c r="M6228" s="8" t="s">
        <v>26736</v>
      </c>
      <c r="N6228" s="8" t="s">
        <v>27703</v>
      </c>
      <c r="O6228" s="8">
        <f>16+51/60+30/3600</f>
        <v>16.858333333333334</v>
      </c>
      <c r="P6228" s="8" t="s">
        <v>27704</v>
      </c>
      <c r="Q6228" s="8">
        <f>-(40+54/60+0/3600)</f>
        <v>-40.9</v>
      </c>
      <c r="R6228" s="8">
        <v>99</v>
      </c>
      <c r="S6228" s="8">
        <v>99</v>
      </c>
      <c r="T6228" s="8">
        <v>99</v>
      </c>
      <c r="U6228" s="8">
        <v>99</v>
      </c>
      <c r="Y6228" s="8" t="s">
        <v>27705</v>
      </c>
      <c r="Z6228" s="8" t="s">
        <v>27706</v>
      </c>
    </row>
    <row r="6229" spans="1:26" x14ac:dyDescent="0.2">
      <c r="A6229" s="8">
        <v>6228</v>
      </c>
      <c r="B6229" s="8" t="s">
        <v>27707</v>
      </c>
      <c r="C6229" s="8" t="s">
        <v>27707</v>
      </c>
      <c r="F6229" s="47"/>
      <c r="G6229" s="8">
        <v>18</v>
      </c>
      <c r="H6229" s="8" t="s">
        <v>21</v>
      </c>
      <c r="I6229" s="8" t="s">
        <v>22</v>
      </c>
      <c r="J6229" s="8" t="s">
        <v>22</v>
      </c>
      <c r="K6229" s="8" t="s">
        <v>23</v>
      </c>
      <c r="L6229" s="8" t="s">
        <v>26804</v>
      </c>
      <c r="M6229" s="8" t="s">
        <v>26805</v>
      </c>
      <c r="N6229" s="8" t="s">
        <v>27708</v>
      </c>
      <c r="O6229" s="8">
        <f>16+48/60+2.8/3600</f>
        <v>16.800777777777778</v>
      </c>
      <c r="P6229" s="8" t="s">
        <v>27709</v>
      </c>
      <c r="Q6229" s="8">
        <f>+(26+12/60+46/3600)</f>
        <v>26.212777777777777</v>
      </c>
      <c r="R6229" s="8">
        <v>14</v>
      </c>
      <c r="S6229" s="8">
        <v>14.8</v>
      </c>
      <c r="T6229" s="8">
        <v>0.8</v>
      </c>
      <c r="U6229" s="8">
        <v>13</v>
      </c>
      <c r="V6229" s="8">
        <v>1.1000000000000001</v>
      </c>
      <c r="W6229" s="8">
        <v>0.6</v>
      </c>
      <c r="X6229" s="8">
        <v>130</v>
      </c>
      <c r="Y6229" s="8" t="s">
        <v>1511</v>
      </c>
      <c r="Z6229" s="8" t="s">
        <v>1512</v>
      </c>
    </row>
    <row r="6230" spans="1:26" x14ac:dyDescent="0.2">
      <c r="A6230" s="8">
        <v>6229</v>
      </c>
      <c r="B6230" s="8" t="s">
        <v>27710</v>
      </c>
      <c r="C6230" s="8" t="s">
        <v>27710</v>
      </c>
      <c r="F6230" s="47" t="s">
        <v>58166</v>
      </c>
      <c r="G6230" s="8">
        <v>5</v>
      </c>
      <c r="H6230" s="8" t="s">
        <v>27711</v>
      </c>
      <c r="I6230" s="8" t="s">
        <v>567</v>
      </c>
      <c r="J6230" s="8" t="s">
        <v>567</v>
      </c>
      <c r="K6230" s="8" t="s">
        <v>25121</v>
      </c>
      <c r="L6230" s="8" t="s">
        <v>26804</v>
      </c>
      <c r="M6230" s="8" t="s">
        <v>26805</v>
      </c>
      <c r="N6230" s="8" t="s">
        <v>27712</v>
      </c>
      <c r="O6230" s="8">
        <f>16+46/60+58.9/3600</f>
        <v>16.783027777777775</v>
      </c>
      <c r="P6230" s="8" t="s">
        <v>27713</v>
      </c>
      <c r="Q6230" s="8">
        <f>+(47+31/60+42/3600)</f>
        <v>47.528333333333329</v>
      </c>
      <c r="R6230" s="8">
        <v>9.4</v>
      </c>
      <c r="S6230" s="8">
        <v>99</v>
      </c>
      <c r="T6230" s="8">
        <v>99</v>
      </c>
      <c r="U6230" s="8">
        <v>99</v>
      </c>
      <c r="V6230" s="8">
        <v>4.5</v>
      </c>
      <c r="Y6230" s="8" t="s">
        <v>27714</v>
      </c>
      <c r="Z6230" s="8" t="s">
        <v>27715</v>
      </c>
    </row>
    <row r="6231" spans="1:26" x14ac:dyDescent="0.2">
      <c r="A6231" s="8">
        <v>6230</v>
      </c>
      <c r="B6231" s="8" t="s">
        <v>27716</v>
      </c>
      <c r="C6231" s="8" t="s">
        <v>27716</v>
      </c>
      <c r="F6231" s="47"/>
      <c r="G6231" s="8">
        <v>19</v>
      </c>
      <c r="H6231" s="8" t="s">
        <v>21</v>
      </c>
      <c r="I6231" s="8" t="s">
        <v>22</v>
      </c>
      <c r="J6231" s="8" t="s">
        <v>22</v>
      </c>
      <c r="K6231" s="8" t="s">
        <v>183</v>
      </c>
      <c r="L6231" s="8" t="s">
        <v>26804</v>
      </c>
      <c r="M6231" s="8" t="s">
        <v>26805</v>
      </c>
      <c r="N6231" s="8" t="s">
        <v>27717</v>
      </c>
      <c r="O6231" s="8">
        <f>16+50/60+46.8/3600</f>
        <v>16.846333333333334</v>
      </c>
      <c r="P6231" s="8" t="s">
        <v>27718</v>
      </c>
      <c r="Q6231" s="8">
        <f>+(4+36/60+16/3600)</f>
        <v>4.6044444444444439</v>
      </c>
      <c r="R6231" s="8">
        <v>14.4</v>
      </c>
      <c r="S6231" s="8">
        <v>15.4</v>
      </c>
      <c r="T6231" s="8">
        <v>1</v>
      </c>
      <c r="U6231" s="8">
        <v>14.1</v>
      </c>
      <c r="V6231" s="8">
        <v>0.8</v>
      </c>
      <c r="W6231" s="8">
        <v>0.7</v>
      </c>
      <c r="X6231" s="8">
        <v>36</v>
      </c>
      <c r="Y6231" s="8" t="s">
        <v>3161</v>
      </c>
      <c r="Z6231" s="8" t="s">
        <v>3162</v>
      </c>
    </row>
    <row r="6232" spans="1:26" x14ac:dyDescent="0.2">
      <c r="A6232" s="8">
        <v>6231</v>
      </c>
      <c r="B6232" s="8" t="s">
        <v>27719</v>
      </c>
      <c r="C6232" s="8" t="s">
        <v>27719</v>
      </c>
      <c r="F6232" s="47"/>
      <c r="G6232" s="8">
        <v>2</v>
      </c>
      <c r="H6232" s="8" t="s">
        <v>27720</v>
      </c>
      <c r="I6232" s="8" t="s">
        <v>557</v>
      </c>
      <c r="J6232" s="8" t="s">
        <v>557</v>
      </c>
      <c r="K6232" s="8" t="s">
        <v>3082</v>
      </c>
      <c r="L6232" s="8" t="s">
        <v>26735</v>
      </c>
      <c r="M6232" s="8" t="s">
        <v>26736</v>
      </c>
      <c r="N6232" s="8" t="s">
        <v>27721</v>
      </c>
      <c r="O6232" s="8">
        <f>16+54/60+9.8/3600</f>
        <v>16.90272222222222</v>
      </c>
      <c r="P6232" s="8" t="s">
        <v>27722</v>
      </c>
      <c r="Q6232" s="8">
        <f>-(41+49/60+30/3600)</f>
        <v>-41.825000000000003</v>
      </c>
      <c r="R6232" s="8">
        <v>2.6</v>
      </c>
      <c r="S6232" s="8">
        <v>2.8</v>
      </c>
      <c r="T6232" s="8">
        <v>99</v>
      </c>
      <c r="U6232" s="8">
        <v>99</v>
      </c>
      <c r="V6232" s="8">
        <v>14</v>
      </c>
      <c r="Y6232" s="8" t="s">
        <v>27723</v>
      </c>
      <c r="Z6232" s="8" t="s">
        <v>27724</v>
      </c>
    </row>
    <row r="6233" spans="1:26" x14ac:dyDescent="0.2">
      <c r="A6233" s="8">
        <v>6232</v>
      </c>
      <c r="B6233" s="8" t="s">
        <v>27725</v>
      </c>
      <c r="C6233" s="8" t="s">
        <v>27725</v>
      </c>
      <c r="F6233" s="47"/>
      <c r="G6233" s="8">
        <v>19</v>
      </c>
      <c r="H6233" s="8" t="s">
        <v>21</v>
      </c>
      <c r="I6233" s="8" t="s">
        <v>22</v>
      </c>
      <c r="J6233" s="8" t="s">
        <v>22</v>
      </c>
      <c r="K6233" s="8" t="s">
        <v>154</v>
      </c>
      <c r="L6233" s="8" t="s">
        <v>13395</v>
      </c>
      <c r="M6233" s="8" t="s">
        <v>13396</v>
      </c>
      <c r="N6233" s="8" t="s">
        <v>27726</v>
      </c>
      <c r="O6233" s="8">
        <f>16+43/60+19.9/3600</f>
        <v>16.722194444444444</v>
      </c>
      <c r="P6233" s="8" t="s">
        <v>27727</v>
      </c>
      <c r="Q6233" s="8">
        <f>+(70+37/60+57/3600)</f>
        <v>70.632499999999993</v>
      </c>
      <c r="R6233" s="8">
        <v>12.5</v>
      </c>
      <c r="S6233" s="8">
        <v>13.4</v>
      </c>
      <c r="T6233" s="8">
        <v>0.9</v>
      </c>
      <c r="U6233" s="8">
        <v>13.2</v>
      </c>
      <c r="V6233" s="8">
        <v>1.5</v>
      </c>
      <c r="W6233" s="8">
        <v>1.5</v>
      </c>
      <c r="Y6233" s="8" t="s">
        <v>10488</v>
      </c>
      <c r="Z6233" s="8" t="s">
        <v>7772</v>
      </c>
    </row>
    <row r="6234" spans="1:26" x14ac:dyDescent="0.2">
      <c r="A6234" s="8">
        <v>6233</v>
      </c>
      <c r="B6234" s="8" t="s">
        <v>27728</v>
      </c>
      <c r="C6234" s="8" t="s">
        <v>27728</v>
      </c>
      <c r="F6234" s="47"/>
      <c r="G6234" s="8">
        <v>19</v>
      </c>
      <c r="H6234" s="8" t="s">
        <v>21</v>
      </c>
      <c r="I6234" s="8" t="s">
        <v>22</v>
      </c>
      <c r="J6234" s="8" t="s">
        <v>22</v>
      </c>
      <c r="K6234" s="8" t="s">
        <v>37</v>
      </c>
      <c r="L6234" s="8" t="s">
        <v>26804</v>
      </c>
      <c r="M6234" s="8" t="s">
        <v>26805</v>
      </c>
      <c r="N6234" s="8" t="s">
        <v>27729</v>
      </c>
      <c r="O6234" s="8">
        <f>16+50/60+15.6/3600</f>
        <v>16.837666666666667</v>
      </c>
      <c r="P6234" s="8" t="s">
        <v>27730</v>
      </c>
      <c r="Q6234" s="8">
        <f>+(23+34/60+49/3600)</f>
        <v>23.580277777777777</v>
      </c>
      <c r="R6234" s="8">
        <v>13.3</v>
      </c>
      <c r="S6234" s="8">
        <v>14.3</v>
      </c>
      <c r="T6234" s="8">
        <v>1</v>
      </c>
      <c r="U6234" s="8">
        <v>13.5</v>
      </c>
      <c r="V6234" s="8">
        <v>1.4</v>
      </c>
      <c r="W6234" s="8">
        <v>1</v>
      </c>
      <c r="X6234" s="8">
        <v>33</v>
      </c>
      <c r="Y6234" s="8" t="s">
        <v>2186</v>
      </c>
      <c r="Z6234" s="8" t="s">
        <v>2187</v>
      </c>
    </row>
    <row r="6235" spans="1:26" x14ac:dyDescent="0.2">
      <c r="A6235" s="8">
        <v>6234</v>
      </c>
      <c r="B6235" s="8" t="s">
        <v>27731</v>
      </c>
      <c r="C6235" s="8" t="s">
        <v>27731</v>
      </c>
      <c r="F6235" s="47"/>
      <c r="G6235" s="8">
        <v>18</v>
      </c>
      <c r="H6235" s="8" t="s">
        <v>21</v>
      </c>
      <c r="I6235" s="8" t="s">
        <v>22</v>
      </c>
      <c r="J6235" s="8" t="s">
        <v>22</v>
      </c>
      <c r="K6235" s="8" t="s">
        <v>460</v>
      </c>
      <c r="L6235" s="8" t="s">
        <v>26994</v>
      </c>
      <c r="M6235" s="8" t="s">
        <v>26995</v>
      </c>
      <c r="N6235" s="8" t="s">
        <v>27732</v>
      </c>
      <c r="O6235" s="8">
        <f>16+51/60+57.2/3600</f>
        <v>16.86588888888889</v>
      </c>
      <c r="P6235" s="8" t="s">
        <v>27733</v>
      </c>
      <c r="Q6235" s="8">
        <f>+(4+23/60+3/3600)</f>
        <v>4.3841666666666672</v>
      </c>
      <c r="R6235" s="8">
        <v>14.4</v>
      </c>
      <c r="S6235" s="8">
        <v>15.4</v>
      </c>
      <c r="T6235" s="8">
        <v>1</v>
      </c>
      <c r="U6235" s="8">
        <v>12.5</v>
      </c>
      <c r="V6235" s="8">
        <v>0.4</v>
      </c>
      <c r="W6235" s="8">
        <v>0.4</v>
      </c>
      <c r="Y6235" s="8" t="s">
        <v>895</v>
      </c>
      <c r="Z6235" s="8" t="s">
        <v>896</v>
      </c>
    </row>
    <row r="6236" spans="1:26" x14ac:dyDescent="0.2">
      <c r="A6236" s="8">
        <v>6235</v>
      </c>
      <c r="B6236" s="8" t="s">
        <v>27734</v>
      </c>
      <c r="C6236" s="8" t="s">
        <v>27734</v>
      </c>
      <c r="F6236" s="47" t="s">
        <v>58167</v>
      </c>
      <c r="G6236" s="8">
        <v>3</v>
      </c>
      <c r="H6236" s="8" t="s">
        <v>21</v>
      </c>
      <c r="I6236" s="8" t="s">
        <v>567</v>
      </c>
      <c r="J6236" s="8" t="s">
        <v>567</v>
      </c>
      <c r="K6236" s="8" t="s">
        <v>1485</v>
      </c>
      <c r="L6236" s="8" t="s">
        <v>26994</v>
      </c>
      <c r="M6236" s="8" t="s">
        <v>26995</v>
      </c>
      <c r="N6236" s="8" t="s">
        <v>27735</v>
      </c>
      <c r="O6236" s="8">
        <f>16+53/60+25.4/3600</f>
        <v>16.890388888888889</v>
      </c>
      <c r="P6236" s="8" t="s">
        <v>27736</v>
      </c>
      <c r="Q6236" s="8">
        <f>-(22+10/60+36/3600)</f>
        <v>-22.176666666666669</v>
      </c>
      <c r="R6236" s="8">
        <v>8.9</v>
      </c>
      <c r="S6236" s="8">
        <v>99</v>
      </c>
      <c r="T6236" s="8">
        <v>99</v>
      </c>
      <c r="U6236" s="8">
        <v>99</v>
      </c>
      <c r="V6236" s="8">
        <v>5</v>
      </c>
      <c r="Y6236" s="8" t="s">
        <v>27737</v>
      </c>
      <c r="Z6236" s="8" t="s">
        <v>27738</v>
      </c>
    </row>
    <row r="6237" spans="1:26" x14ac:dyDescent="0.2">
      <c r="A6237" s="8">
        <v>6236</v>
      </c>
      <c r="B6237" s="8" t="s">
        <v>27739</v>
      </c>
      <c r="C6237" s="8" t="s">
        <v>27739</v>
      </c>
      <c r="F6237" s="47"/>
      <c r="G6237" s="8">
        <v>19</v>
      </c>
      <c r="H6237" s="8" t="s">
        <v>21</v>
      </c>
      <c r="I6237" s="8" t="s">
        <v>22</v>
      </c>
      <c r="J6237" s="8" t="s">
        <v>22</v>
      </c>
      <c r="K6237" s="8" t="s">
        <v>64</v>
      </c>
      <c r="L6237" s="8" t="s">
        <v>13395</v>
      </c>
      <c r="M6237" s="8" t="s">
        <v>13396</v>
      </c>
      <c r="N6237" s="8" t="s">
        <v>27740</v>
      </c>
      <c r="O6237" s="8">
        <f>16+44/60+34.3/3600</f>
        <v>16.742861111111111</v>
      </c>
      <c r="P6237" s="8" t="s">
        <v>27741</v>
      </c>
      <c r="Q6237" s="8">
        <f>+(70+46/60+48/3600)</f>
        <v>70.78</v>
      </c>
      <c r="R6237" s="8">
        <v>11.9</v>
      </c>
      <c r="S6237" s="8">
        <v>12.6</v>
      </c>
      <c r="T6237" s="8">
        <v>0.7</v>
      </c>
      <c r="U6237" s="8">
        <v>13.4</v>
      </c>
      <c r="V6237" s="8">
        <v>2.9</v>
      </c>
      <c r="W6237" s="8">
        <v>1.6</v>
      </c>
      <c r="X6237" s="8">
        <v>15</v>
      </c>
      <c r="Y6237" s="8" t="s">
        <v>3753</v>
      </c>
      <c r="Z6237" s="8" t="s">
        <v>3754</v>
      </c>
    </row>
    <row r="6238" spans="1:26" x14ac:dyDescent="0.2">
      <c r="A6238" s="8">
        <v>6237</v>
      </c>
      <c r="B6238" s="8" t="s">
        <v>27742</v>
      </c>
      <c r="C6238" s="8" t="s">
        <v>27742</v>
      </c>
      <c r="F6238" s="47"/>
      <c r="G6238" s="8">
        <v>19</v>
      </c>
      <c r="H6238" s="8" t="s">
        <v>21</v>
      </c>
      <c r="I6238" s="8" t="s">
        <v>329</v>
      </c>
      <c r="J6238" s="8" t="s">
        <v>329</v>
      </c>
      <c r="K6238" s="8" t="s">
        <v>329</v>
      </c>
      <c r="L6238" s="8" t="s">
        <v>13395</v>
      </c>
      <c r="M6238" s="8" t="s">
        <v>13396</v>
      </c>
      <c r="N6238" s="8" t="s">
        <v>27743</v>
      </c>
      <c r="O6238" s="8">
        <f>16+44/60+7.4/3600</f>
        <v>16.735388888888888</v>
      </c>
      <c r="P6238" s="8" t="s">
        <v>27744</v>
      </c>
      <c r="Q6238" s="8">
        <f>+(70+38/60+5/3600)</f>
        <v>70.634722222222223</v>
      </c>
      <c r="R6238" s="8">
        <v>99</v>
      </c>
      <c r="S6238" s="8">
        <v>99</v>
      </c>
      <c r="T6238" s="8">
        <v>99</v>
      </c>
      <c r="U6238" s="8">
        <v>99</v>
      </c>
      <c r="Y6238" s="8" t="s">
        <v>905</v>
      </c>
      <c r="Z6238" s="8" t="s">
        <v>906</v>
      </c>
    </row>
    <row r="6239" spans="1:26" x14ac:dyDescent="0.2">
      <c r="A6239" s="8">
        <v>6238</v>
      </c>
      <c r="B6239" s="8" t="s">
        <v>27745</v>
      </c>
      <c r="C6239" s="8" t="s">
        <v>27745</v>
      </c>
      <c r="F6239" s="47"/>
      <c r="G6239" s="8">
        <v>19</v>
      </c>
      <c r="H6239" s="8" t="s">
        <v>21</v>
      </c>
      <c r="I6239" s="8" t="s">
        <v>22</v>
      </c>
      <c r="J6239" s="8" t="s">
        <v>22</v>
      </c>
      <c r="K6239" s="8" t="s">
        <v>538</v>
      </c>
      <c r="L6239" s="8" t="s">
        <v>13395</v>
      </c>
      <c r="M6239" s="8" t="s">
        <v>13396</v>
      </c>
      <c r="N6239" s="8" t="s">
        <v>27746</v>
      </c>
      <c r="O6239" s="8">
        <f>16+47/60+15.9/3600</f>
        <v>16.787750000000003</v>
      </c>
      <c r="P6239" s="8" t="s">
        <v>27747</v>
      </c>
      <c r="Q6239" s="8">
        <f>+(62+8/60+51/3600)</f>
        <v>62.147500000000001</v>
      </c>
      <c r="R6239" s="8">
        <v>13.7</v>
      </c>
      <c r="S6239" s="8">
        <v>14.4</v>
      </c>
      <c r="T6239" s="8">
        <v>0.7</v>
      </c>
      <c r="U6239" s="8">
        <v>12</v>
      </c>
      <c r="V6239" s="8">
        <v>0.6</v>
      </c>
      <c r="W6239" s="8">
        <v>0.4</v>
      </c>
      <c r="X6239" s="8">
        <v>17</v>
      </c>
      <c r="Y6239" s="8" t="s">
        <v>27748</v>
      </c>
      <c r="Z6239" s="8" t="s">
        <v>27749</v>
      </c>
    </row>
    <row r="6240" spans="1:26" x14ac:dyDescent="0.2">
      <c r="A6240" s="8">
        <v>6239</v>
      </c>
      <c r="B6240" s="8" t="s">
        <v>27750</v>
      </c>
      <c r="C6240" s="8" t="s">
        <v>27750</v>
      </c>
      <c r="F6240" s="47" t="s">
        <v>58168</v>
      </c>
      <c r="G6240" s="8">
        <v>6.5</v>
      </c>
      <c r="H6240" s="8" t="s">
        <v>21</v>
      </c>
      <c r="I6240" s="8" t="s">
        <v>22</v>
      </c>
      <c r="J6240" s="8" t="s">
        <v>22</v>
      </c>
      <c r="K6240" s="8" t="s">
        <v>218</v>
      </c>
      <c r="L6240" s="8" t="s">
        <v>26804</v>
      </c>
      <c r="M6240" s="8" t="s">
        <v>26805</v>
      </c>
      <c r="N6240" s="8" t="s">
        <v>27751</v>
      </c>
      <c r="O6240" s="8">
        <f>16+50/60+5.2/3600</f>
        <v>16.834777777777777</v>
      </c>
      <c r="P6240" s="8" t="s">
        <v>27752</v>
      </c>
      <c r="Q6240" s="8">
        <f>+(42+44/60+23/3600)</f>
        <v>42.73972222222222</v>
      </c>
      <c r="R6240" s="8">
        <v>12.5</v>
      </c>
      <c r="S6240" s="8">
        <v>12.9</v>
      </c>
      <c r="T6240" s="8">
        <v>0.4</v>
      </c>
      <c r="U6240" s="8">
        <v>13.5</v>
      </c>
      <c r="V6240" s="8">
        <v>2.4</v>
      </c>
      <c r="W6240" s="8">
        <v>1.1000000000000001</v>
      </c>
      <c r="X6240" s="8">
        <v>118</v>
      </c>
      <c r="Y6240" s="8" t="s">
        <v>27753</v>
      </c>
      <c r="Z6240" s="8" t="s">
        <v>27754</v>
      </c>
    </row>
    <row r="6241" spans="1:26" x14ac:dyDescent="0.2">
      <c r="A6241" s="8">
        <v>6240</v>
      </c>
      <c r="B6241" s="8" t="s">
        <v>27755</v>
      </c>
      <c r="C6241" s="8" t="s">
        <v>27755</v>
      </c>
      <c r="F6241" s="47"/>
      <c r="G6241" s="8">
        <v>18</v>
      </c>
      <c r="H6241" s="8" t="s">
        <v>21</v>
      </c>
      <c r="I6241" s="8" t="s">
        <v>22</v>
      </c>
      <c r="J6241" s="8" t="s">
        <v>22</v>
      </c>
      <c r="K6241" s="8" t="s">
        <v>818</v>
      </c>
      <c r="L6241" s="8" t="s">
        <v>26994</v>
      </c>
      <c r="M6241" s="8" t="s">
        <v>26995</v>
      </c>
      <c r="N6241" s="8" t="s">
        <v>27756</v>
      </c>
      <c r="O6241" s="8">
        <f>16+52/60+58.8/3600</f>
        <v>16.882999999999999</v>
      </c>
      <c r="P6241" s="8" t="s">
        <v>27757</v>
      </c>
      <c r="Q6241" s="8">
        <f>+(2+24/60+11/3600)</f>
        <v>2.4030555555555555</v>
      </c>
      <c r="R6241" s="8">
        <v>12.9</v>
      </c>
      <c r="S6241" s="8">
        <v>13.8</v>
      </c>
      <c r="T6241" s="8">
        <v>0.9</v>
      </c>
      <c r="U6241" s="8">
        <v>13.8</v>
      </c>
      <c r="V6241" s="8">
        <v>2.1</v>
      </c>
      <c r="W6241" s="8">
        <v>1</v>
      </c>
      <c r="X6241" s="8">
        <v>20</v>
      </c>
      <c r="Y6241" s="8" t="s">
        <v>27758</v>
      </c>
      <c r="Z6241" s="8" t="s">
        <v>27759</v>
      </c>
    </row>
    <row r="6242" spans="1:26" x14ac:dyDescent="0.2">
      <c r="A6242" s="8">
        <v>6241</v>
      </c>
      <c r="B6242" s="8" t="s">
        <v>27760</v>
      </c>
      <c r="C6242" s="8" t="s">
        <v>27760</v>
      </c>
      <c r="F6242" s="47" t="s">
        <v>58169</v>
      </c>
      <c r="G6242" s="8">
        <v>15</v>
      </c>
      <c r="H6242" s="8" t="s">
        <v>21</v>
      </c>
      <c r="I6242" s="8" t="s">
        <v>22</v>
      </c>
      <c r="J6242" s="8" t="s">
        <v>22</v>
      </c>
      <c r="K6242" s="8" t="s">
        <v>160</v>
      </c>
      <c r="L6242" s="8" t="s">
        <v>26804</v>
      </c>
      <c r="M6242" s="8" t="s">
        <v>26805</v>
      </c>
      <c r="N6242" s="8" t="s">
        <v>27761</v>
      </c>
      <c r="O6242" s="8">
        <f>16+50/60+11/3600</f>
        <v>16.836388888888887</v>
      </c>
      <c r="P6242" s="8" t="s">
        <v>27762</v>
      </c>
      <c r="Q6242" s="8">
        <f>+(45+25/60+16/3600)</f>
        <v>45.421111111111109</v>
      </c>
      <c r="R6242" s="8">
        <v>14.2</v>
      </c>
      <c r="S6242" s="8">
        <v>14.8</v>
      </c>
      <c r="T6242" s="8">
        <v>0.6</v>
      </c>
      <c r="U6242" s="8">
        <v>14.8</v>
      </c>
      <c r="V6242" s="8">
        <v>1</v>
      </c>
      <c r="W6242" s="8">
        <v>0.8</v>
      </c>
      <c r="X6242" s="8">
        <v>98</v>
      </c>
      <c r="Y6242" s="8" t="s">
        <v>17524</v>
      </c>
      <c r="Z6242" s="8" t="s">
        <v>17525</v>
      </c>
    </row>
    <row r="6243" spans="1:26" x14ac:dyDescent="0.2">
      <c r="A6243" s="8">
        <v>6242</v>
      </c>
      <c r="B6243" s="8" t="s">
        <v>27763</v>
      </c>
      <c r="C6243" s="8" t="s">
        <v>27763</v>
      </c>
      <c r="F6243" s="47"/>
      <c r="G6243" s="8">
        <v>4</v>
      </c>
      <c r="H6243" s="8" t="s">
        <v>21</v>
      </c>
      <c r="I6243" s="8" t="s">
        <v>557</v>
      </c>
      <c r="J6243" s="8" t="s">
        <v>557</v>
      </c>
      <c r="K6243" s="8" t="s">
        <v>2158</v>
      </c>
      <c r="L6243" s="8" t="s">
        <v>26735</v>
      </c>
      <c r="M6243" s="8" t="s">
        <v>26736</v>
      </c>
      <c r="N6243" s="8" t="s">
        <v>27764</v>
      </c>
      <c r="O6243" s="8">
        <f>16+55/60+30.6/3600</f>
        <v>16.925166666666669</v>
      </c>
      <c r="P6243" s="8" t="s">
        <v>27765</v>
      </c>
      <c r="Q6243" s="8">
        <f>-(39+28/60+1/3600)</f>
        <v>-39.466944444444444</v>
      </c>
      <c r="R6243" s="8">
        <v>6.4</v>
      </c>
      <c r="S6243" s="8">
        <v>99</v>
      </c>
      <c r="T6243" s="8">
        <v>99</v>
      </c>
      <c r="U6243" s="8">
        <v>99</v>
      </c>
      <c r="V6243" s="8">
        <v>9</v>
      </c>
      <c r="Y6243" s="8" t="s">
        <v>27766</v>
      </c>
      <c r="Z6243" s="8" t="s">
        <v>27767</v>
      </c>
    </row>
    <row r="6244" spans="1:26" x14ac:dyDescent="0.2">
      <c r="A6244" s="8">
        <v>6243</v>
      </c>
      <c r="B6244" s="8" t="s">
        <v>27768</v>
      </c>
      <c r="C6244" s="8" t="s">
        <v>27768</v>
      </c>
      <c r="F6244" s="47"/>
      <c r="G6244" s="8">
        <v>19</v>
      </c>
      <c r="H6244" s="8" t="s">
        <v>21</v>
      </c>
      <c r="I6244" s="8" t="s">
        <v>22</v>
      </c>
      <c r="J6244" s="8" t="s">
        <v>22</v>
      </c>
      <c r="K6244" s="8" t="s">
        <v>91</v>
      </c>
      <c r="L6244" s="8" t="s">
        <v>26804</v>
      </c>
      <c r="M6244" s="8" t="s">
        <v>26805</v>
      </c>
      <c r="N6244" s="8" t="s">
        <v>27769</v>
      </c>
      <c r="O6244" s="8">
        <f>16+52/60+26.3/3600</f>
        <v>16.873972222222221</v>
      </c>
      <c r="P6244" s="8" t="s">
        <v>27770</v>
      </c>
      <c r="Q6244" s="8">
        <f>+(23+19/60+58/3600)</f>
        <v>23.332777777777778</v>
      </c>
      <c r="R6244" s="8">
        <v>14.1</v>
      </c>
      <c r="S6244" s="8">
        <v>15</v>
      </c>
      <c r="T6244" s="8">
        <v>0.9</v>
      </c>
      <c r="U6244" s="8">
        <v>13.1</v>
      </c>
      <c r="V6244" s="8">
        <v>1</v>
      </c>
      <c r="W6244" s="8">
        <v>0.4</v>
      </c>
      <c r="X6244" s="8">
        <v>154</v>
      </c>
      <c r="Y6244" s="8" t="s">
        <v>27771</v>
      </c>
      <c r="Z6244" s="8" t="s">
        <v>27772</v>
      </c>
    </row>
    <row r="6245" spans="1:26" x14ac:dyDescent="0.2">
      <c r="A6245" s="8">
        <v>6244</v>
      </c>
      <c r="B6245" s="8" t="s">
        <v>27773</v>
      </c>
      <c r="C6245" s="8" t="s">
        <v>27773</v>
      </c>
      <c r="F6245" s="47"/>
      <c r="G6245" s="8">
        <v>19</v>
      </c>
      <c r="H6245" s="8" t="s">
        <v>21</v>
      </c>
      <c r="I6245" s="8" t="s">
        <v>22</v>
      </c>
      <c r="J6245" s="8" t="s">
        <v>22</v>
      </c>
      <c r="K6245" s="8" t="s">
        <v>154</v>
      </c>
      <c r="L6245" s="8" t="s">
        <v>13395</v>
      </c>
      <c r="M6245" s="8" t="s">
        <v>13396</v>
      </c>
      <c r="N6245" s="8" t="s">
        <v>27774</v>
      </c>
      <c r="O6245" s="8">
        <f>16+48/60+3.9/3600</f>
        <v>16.801083333333334</v>
      </c>
      <c r="P6245" s="8" t="s">
        <v>27775</v>
      </c>
      <c r="Q6245" s="8">
        <f>+(62+12/60+2/3600)</f>
        <v>62.20055555555556</v>
      </c>
      <c r="R6245" s="8">
        <v>13.5</v>
      </c>
      <c r="S6245" s="8">
        <v>14.4</v>
      </c>
      <c r="T6245" s="8">
        <v>0.9</v>
      </c>
      <c r="U6245" s="8">
        <v>12.6</v>
      </c>
      <c r="V6245" s="8">
        <v>1.6</v>
      </c>
      <c r="W6245" s="8">
        <v>0.3</v>
      </c>
      <c r="X6245" s="8">
        <v>140</v>
      </c>
      <c r="Y6245" s="8" t="s">
        <v>27776</v>
      </c>
      <c r="Z6245" s="8" t="s">
        <v>27777</v>
      </c>
    </row>
    <row r="6246" spans="1:26" x14ac:dyDescent="0.2">
      <c r="A6246" s="8">
        <v>6245</v>
      </c>
      <c r="B6246" s="8" t="s">
        <v>27778</v>
      </c>
      <c r="C6246" s="8" t="s">
        <v>27778</v>
      </c>
      <c r="F6246" s="47"/>
      <c r="G6246" s="8">
        <v>19</v>
      </c>
      <c r="H6246" s="8" t="s">
        <v>21</v>
      </c>
      <c r="I6246" s="8" t="s">
        <v>329</v>
      </c>
      <c r="J6246" s="8" t="s">
        <v>329</v>
      </c>
      <c r="K6246" s="8" t="s">
        <v>329</v>
      </c>
      <c r="L6246" s="8" t="s">
        <v>13395</v>
      </c>
      <c r="M6246" s="8" t="s">
        <v>13396</v>
      </c>
      <c r="N6246" s="8" t="s">
        <v>27779</v>
      </c>
      <c r="O6246" s="8">
        <f>16+45/60+22.4/3600</f>
        <v>16.756222222222224</v>
      </c>
      <c r="P6246" s="8" t="s">
        <v>27780</v>
      </c>
      <c r="Q6246" s="8">
        <f>+(70+48/60+16/3600)</f>
        <v>70.804444444444442</v>
      </c>
      <c r="R6246" s="8">
        <v>99</v>
      </c>
      <c r="S6246" s="8">
        <v>99</v>
      </c>
      <c r="T6246" s="8">
        <v>99</v>
      </c>
      <c r="U6246" s="8">
        <v>99</v>
      </c>
      <c r="Y6246" s="8" t="s">
        <v>19885</v>
      </c>
      <c r="Z6246" s="8" t="s">
        <v>4076</v>
      </c>
    </row>
    <row r="6247" spans="1:26" x14ac:dyDescent="0.2">
      <c r="A6247" s="8">
        <v>6246</v>
      </c>
      <c r="B6247" s="8" t="s">
        <v>27781</v>
      </c>
      <c r="C6247" s="8" t="s">
        <v>27781</v>
      </c>
      <c r="F6247" s="47"/>
      <c r="G6247" s="8">
        <v>19</v>
      </c>
      <c r="H6247" s="8" t="s">
        <v>21</v>
      </c>
      <c r="I6247" s="8" t="s">
        <v>22</v>
      </c>
      <c r="J6247" s="8" t="s">
        <v>22</v>
      </c>
      <c r="K6247" s="8" t="s">
        <v>218</v>
      </c>
      <c r="L6247" s="8" t="s">
        <v>13395</v>
      </c>
      <c r="M6247" s="8" t="s">
        <v>13396</v>
      </c>
      <c r="N6247" s="8" t="s">
        <v>27782</v>
      </c>
      <c r="O6247" s="8">
        <f>16+49/60+53/3600</f>
        <v>16.831388888888888</v>
      </c>
      <c r="P6247" s="8" t="s">
        <v>27783</v>
      </c>
      <c r="Q6247" s="8">
        <f>+(55+32/60+34/3600)</f>
        <v>55.542777777777779</v>
      </c>
      <c r="R6247" s="8">
        <v>13.6</v>
      </c>
      <c r="S6247" s="8">
        <v>14.4</v>
      </c>
      <c r="T6247" s="8">
        <v>0.8</v>
      </c>
      <c r="U6247" s="8">
        <v>13.4</v>
      </c>
      <c r="V6247" s="8">
        <v>1.5</v>
      </c>
      <c r="W6247" s="8">
        <v>0.6</v>
      </c>
      <c r="X6247" s="8">
        <v>43</v>
      </c>
      <c r="Y6247" s="8" t="s">
        <v>227</v>
      </c>
      <c r="Z6247" s="8" t="s">
        <v>228</v>
      </c>
    </row>
    <row r="6248" spans="1:26" x14ac:dyDescent="0.2">
      <c r="A6248" s="8">
        <v>6247</v>
      </c>
      <c r="B6248" s="8" t="s">
        <v>27784</v>
      </c>
      <c r="C6248" s="8" t="s">
        <v>27784</v>
      </c>
      <c r="F6248" s="47"/>
      <c r="G6248" s="8">
        <v>18</v>
      </c>
      <c r="H6248" s="8" t="s">
        <v>21</v>
      </c>
      <c r="I6248" s="8" t="s">
        <v>22</v>
      </c>
      <c r="J6248" s="8" t="s">
        <v>22</v>
      </c>
      <c r="K6248" s="8" t="s">
        <v>1174</v>
      </c>
      <c r="L6248" s="8" t="s">
        <v>13395</v>
      </c>
      <c r="M6248" s="8" t="s">
        <v>13396</v>
      </c>
      <c r="N6248" s="8" t="s">
        <v>27785</v>
      </c>
      <c r="O6248" s="8">
        <f>16+48/60+19.4/3600</f>
        <v>16.805388888888888</v>
      </c>
      <c r="P6248" s="8" t="s">
        <v>27786</v>
      </c>
      <c r="Q6248" s="8">
        <f>+(62+58/60+38/3600)</f>
        <v>62.977222222222224</v>
      </c>
      <c r="R6248" s="8">
        <v>12.9</v>
      </c>
      <c r="S6248" s="8">
        <v>13.9</v>
      </c>
      <c r="T6248" s="8">
        <v>1</v>
      </c>
      <c r="U6248" s="8">
        <v>11.4</v>
      </c>
      <c r="V6248" s="8">
        <v>1</v>
      </c>
      <c r="W6248" s="8">
        <v>0.3</v>
      </c>
      <c r="X6248" s="8">
        <v>58</v>
      </c>
      <c r="Y6248" s="8" t="s">
        <v>27787</v>
      </c>
      <c r="Z6248" s="8" t="s">
        <v>27788</v>
      </c>
    </row>
    <row r="6249" spans="1:26" x14ac:dyDescent="0.2">
      <c r="A6249" s="8">
        <v>6248</v>
      </c>
      <c r="B6249" s="8" t="s">
        <v>27789</v>
      </c>
      <c r="C6249" s="8" t="s">
        <v>27789</v>
      </c>
      <c r="F6249" s="47"/>
      <c r="G6249" s="8">
        <v>19</v>
      </c>
      <c r="H6249" s="8" t="s">
        <v>21</v>
      </c>
      <c r="I6249" s="8" t="s">
        <v>22</v>
      </c>
      <c r="J6249" s="8" t="s">
        <v>22</v>
      </c>
      <c r="K6249" s="8" t="s">
        <v>1277</v>
      </c>
      <c r="L6249" s="8" t="s">
        <v>13395</v>
      </c>
      <c r="M6249" s="8" t="s">
        <v>13396</v>
      </c>
      <c r="N6249" s="8" t="s">
        <v>27790</v>
      </c>
      <c r="O6249" s="8">
        <f>16+46/60+22.3/3600</f>
        <v>16.772861111111109</v>
      </c>
      <c r="P6249" s="8" t="s">
        <v>27791</v>
      </c>
      <c r="Q6249" s="8">
        <f>+(70+21/60+22/3600)</f>
        <v>70.356111111111105</v>
      </c>
      <c r="R6249" s="8">
        <v>13.1</v>
      </c>
      <c r="S6249" s="8">
        <v>13.8</v>
      </c>
      <c r="T6249" s="8">
        <v>0.7</v>
      </c>
      <c r="U6249" s="8">
        <v>14.4</v>
      </c>
      <c r="V6249" s="8">
        <v>3.1</v>
      </c>
      <c r="W6249" s="8">
        <v>1.2</v>
      </c>
      <c r="X6249" s="8">
        <v>150</v>
      </c>
      <c r="Y6249" s="8" t="s">
        <v>287</v>
      </c>
      <c r="Z6249" s="8" t="s">
        <v>288</v>
      </c>
    </row>
    <row r="6250" spans="1:26" x14ac:dyDescent="0.2">
      <c r="A6250" s="8">
        <v>6249</v>
      </c>
      <c r="B6250" s="8" t="s">
        <v>27792</v>
      </c>
      <c r="C6250" s="8" t="s">
        <v>27792</v>
      </c>
      <c r="F6250" s="47"/>
      <c r="G6250" s="8">
        <v>14</v>
      </c>
      <c r="H6250" s="8" t="s">
        <v>21</v>
      </c>
      <c r="I6250" s="8" t="s">
        <v>557</v>
      </c>
      <c r="J6250" s="8" t="s">
        <v>557</v>
      </c>
      <c r="K6250" s="8" t="s">
        <v>3602</v>
      </c>
      <c r="L6250" s="8" t="s">
        <v>26735</v>
      </c>
      <c r="M6250" s="8" t="s">
        <v>26736</v>
      </c>
      <c r="N6250" s="8" t="s">
        <v>27793</v>
      </c>
      <c r="O6250" s="8">
        <f>16+57/60+41.7/3600</f>
        <v>16.961583333333333</v>
      </c>
      <c r="P6250" s="8" t="s">
        <v>27794</v>
      </c>
      <c r="Q6250" s="8">
        <f>-(44+48/60+17/3600)</f>
        <v>-44.804722222222217</v>
      </c>
      <c r="R6250" s="8">
        <v>8.1999999999999993</v>
      </c>
      <c r="S6250" s="8">
        <v>99</v>
      </c>
      <c r="T6250" s="8">
        <v>99</v>
      </c>
      <c r="U6250" s="8">
        <v>99</v>
      </c>
      <c r="V6250" s="8">
        <v>6</v>
      </c>
      <c r="Y6250" s="8" t="s">
        <v>27795</v>
      </c>
      <c r="Z6250" s="8" t="s">
        <v>27796</v>
      </c>
    </row>
    <row r="6251" spans="1:26" x14ac:dyDescent="0.2">
      <c r="A6251" s="8">
        <v>6250</v>
      </c>
      <c r="B6251" s="8" t="s">
        <v>27797</v>
      </c>
      <c r="C6251" s="8" t="s">
        <v>27797</v>
      </c>
      <c r="F6251" s="47"/>
      <c r="G6251" s="8">
        <v>5</v>
      </c>
      <c r="H6251" s="8" t="s">
        <v>21</v>
      </c>
      <c r="I6251" s="8" t="s">
        <v>557</v>
      </c>
      <c r="J6251" s="8" t="s">
        <v>557</v>
      </c>
      <c r="K6251" s="8" t="s">
        <v>779</v>
      </c>
      <c r="L6251" s="8" t="s">
        <v>27529</v>
      </c>
      <c r="M6251" s="8" t="s">
        <v>27530</v>
      </c>
      <c r="N6251" s="8" t="s">
        <v>27798</v>
      </c>
      <c r="O6251" s="8">
        <f>16+57/60+56/3600</f>
        <v>16.965555555555554</v>
      </c>
      <c r="P6251" s="8" t="s">
        <v>27799</v>
      </c>
      <c r="Q6251" s="8">
        <f>-(45+56/60+12/3600)</f>
        <v>-45.93666666666666</v>
      </c>
      <c r="R6251" s="8">
        <v>5.9</v>
      </c>
      <c r="S6251" s="8">
        <v>99</v>
      </c>
      <c r="T6251" s="8">
        <v>99</v>
      </c>
      <c r="U6251" s="8">
        <v>99</v>
      </c>
      <c r="V6251" s="8">
        <v>16</v>
      </c>
      <c r="Y6251" s="8" t="s">
        <v>27800</v>
      </c>
      <c r="Z6251" s="8" t="s">
        <v>27801</v>
      </c>
    </row>
    <row r="6252" spans="1:26" x14ac:dyDescent="0.2">
      <c r="A6252" s="8">
        <v>6251</v>
      </c>
      <c r="B6252" s="8" t="s">
        <v>27802</v>
      </c>
      <c r="C6252" s="8" t="s">
        <v>27802</v>
      </c>
      <c r="F6252" s="47" t="s">
        <v>58170</v>
      </c>
      <c r="G6252" s="8">
        <v>15</v>
      </c>
      <c r="H6252" s="8" t="s">
        <v>21</v>
      </c>
      <c r="I6252" s="8" t="s">
        <v>22</v>
      </c>
      <c r="J6252" s="8" t="s">
        <v>22</v>
      </c>
      <c r="K6252" s="8" t="s">
        <v>1136</v>
      </c>
      <c r="L6252" s="8" t="s">
        <v>14586</v>
      </c>
      <c r="M6252" s="8" t="s">
        <v>14587</v>
      </c>
      <c r="N6252" s="8" t="s">
        <v>27803</v>
      </c>
      <c r="O6252" s="8">
        <f>16+32/60+31.8/3600</f>
        <v>16.542166666666667</v>
      </c>
      <c r="P6252" s="8" t="s">
        <v>27804</v>
      </c>
      <c r="Q6252" s="8">
        <f>+(82+32/60+18/3600)</f>
        <v>82.538333333333327</v>
      </c>
      <c r="R6252" s="8">
        <v>12.6</v>
      </c>
      <c r="S6252" s="8">
        <v>13.6</v>
      </c>
      <c r="T6252" s="8">
        <v>1</v>
      </c>
      <c r="U6252" s="8">
        <v>13.7</v>
      </c>
      <c r="V6252" s="8">
        <v>1.8</v>
      </c>
      <c r="W6252" s="8">
        <v>1.5</v>
      </c>
      <c r="X6252" s="8">
        <v>36</v>
      </c>
      <c r="Y6252" s="8" t="s">
        <v>27805</v>
      </c>
      <c r="Z6252" s="8" t="s">
        <v>27806</v>
      </c>
    </row>
    <row r="6253" spans="1:26" x14ac:dyDescent="0.2">
      <c r="A6253" s="8">
        <v>6252</v>
      </c>
      <c r="B6253" s="8" t="s">
        <v>27807</v>
      </c>
      <c r="C6253" s="8" t="s">
        <v>27807</v>
      </c>
      <c r="F6253" s="47" t="s">
        <v>58171</v>
      </c>
      <c r="G6253" s="8">
        <v>15</v>
      </c>
      <c r="H6253" s="8" t="s">
        <v>21</v>
      </c>
      <c r="I6253" s="8" t="s">
        <v>22</v>
      </c>
      <c r="J6253" s="8" t="s">
        <v>22</v>
      </c>
      <c r="K6253" s="8" t="s">
        <v>449</v>
      </c>
      <c r="L6253" s="8" t="s">
        <v>14586</v>
      </c>
      <c r="M6253" s="8" t="s">
        <v>14587</v>
      </c>
      <c r="N6253" s="8" t="s">
        <v>27808</v>
      </c>
      <c r="O6253" s="8">
        <f>16+32/60+40.3/3600</f>
        <v>16.54452777777778</v>
      </c>
      <c r="P6253" s="8" t="s">
        <v>27809</v>
      </c>
      <c r="Q6253" s="8">
        <f>+(82+34/60+38/3600)</f>
        <v>82.577222222222218</v>
      </c>
      <c r="R6253" s="8">
        <v>14.2</v>
      </c>
      <c r="S6253" s="8">
        <v>15</v>
      </c>
      <c r="T6253" s="8">
        <v>0.8</v>
      </c>
      <c r="U6253" s="8">
        <v>12.4</v>
      </c>
      <c r="V6253" s="8">
        <v>0.7</v>
      </c>
      <c r="W6253" s="8">
        <v>0.3</v>
      </c>
      <c r="X6253" s="8">
        <v>60</v>
      </c>
      <c r="Y6253" s="8" t="s">
        <v>27810</v>
      </c>
      <c r="Z6253" s="8" t="s">
        <v>21975</v>
      </c>
    </row>
    <row r="6254" spans="1:26" x14ac:dyDescent="0.2">
      <c r="A6254" s="8">
        <v>6253</v>
      </c>
      <c r="B6254" s="8" t="s">
        <v>27811</v>
      </c>
      <c r="C6254" s="8" t="s">
        <v>27811</v>
      </c>
      <c r="F6254" s="47"/>
      <c r="G6254" s="8">
        <v>3</v>
      </c>
      <c r="H6254" s="8" t="s">
        <v>21</v>
      </c>
      <c r="I6254" s="8" t="s">
        <v>557</v>
      </c>
      <c r="J6254" s="8" t="s">
        <v>557</v>
      </c>
      <c r="K6254" s="8" t="s">
        <v>2158</v>
      </c>
      <c r="L6254" s="8" t="s">
        <v>27529</v>
      </c>
      <c r="M6254" s="8" t="s">
        <v>27530</v>
      </c>
      <c r="N6254" s="8" t="s">
        <v>27812</v>
      </c>
      <c r="O6254" s="8">
        <f>16+59/60+6.1/3600</f>
        <v>16.98502777777778</v>
      </c>
      <c r="P6254" s="8" t="s">
        <v>27813</v>
      </c>
      <c r="Q6254" s="8">
        <f>-(52+42/60+57/3600)</f>
        <v>-52.715833333333336</v>
      </c>
      <c r="R6254" s="8">
        <v>10.199999999999999</v>
      </c>
      <c r="S6254" s="8">
        <v>99</v>
      </c>
      <c r="T6254" s="8">
        <v>99</v>
      </c>
      <c r="U6254" s="8">
        <v>99</v>
      </c>
      <c r="V6254" s="8">
        <v>4</v>
      </c>
      <c r="Y6254" s="8" t="s">
        <v>27814</v>
      </c>
      <c r="Z6254" s="8" t="s">
        <v>27815</v>
      </c>
    </row>
    <row r="6255" spans="1:26" x14ac:dyDescent="0.2">
      <c r="A6255" s="8">
        <v>6254</v>
      </c>
      <c r="B6255" s="8" t="s">
        <v>27816</v>
      </c>
      <c r="C6255" s="8" t="s">
        <v>55931</v>
      </c>
      <c r="F6255" s="47"/>
      <c r="G6255" s="8">
        <v>1</v>
      </c>
      <c r="H6255" s="8" t="s">
        <v>21</v>
      </c>
      <c r="I6255" s="8" t="s">
        <v>567</v>
      </c>
      <c r="J6255" s="8" t="s">
        <v>567</v>
      </c>
      <c r="K6255" s="8" t="s">
        <v>25384</v>
      </c>
      <c r="L6255" s="8" t="s">
        <v>26994</v>
      </c>
      <c r="M6255" s="8" t="s">
        <v>26995</v>
      </c>
      <c r="N6255" s="8" t="s">
        <v>27817</v>
      </c>
      <c r="O6255" s="8">
        <f>16+57/60+8.9/3600</f>
        <v>16.952472222222223</v>
      </c>
      <c r="P6255" s="8" t="s">
        <v>27818</v>
      </c>
      <c r="Q6255" s="8">
        <f>-(4+5/60+56/3600)</f>
        <v>-4.0988888888888884</v>
      </c>
      <c r="R6255" s="8">
        <v>6.6</v>
      </c>
      <c r="S6255" s="8">
        <v>99</v>
      </c>
      <c r="T6255" s="8">
        <v>99</v>
      </c>
      <c r="U6255" s="8">
        <v>99</v>
      </c>
      <c r="V6255" s="8">
        <v>20</v>
      </c>
      <c r="Y6255" s="8" t="s">
        <v>27819</v>
      </c>
      <c r="Z6255" s="8" t="s">
        <v>27820</v>
      </c>
    </row>
    <row r="6256" spans="1:26" x14ac:dyDescent="0.2">
      <c r="A6256" s="8">
        <v>6255</v>
      </c>
      <c r="B6256" s="8" t="s">
        <v>27821</v>
      </c>
      <c r="C6256" s="8" t="s">
        <v>27821</v>
      </c>
      <c r="F6256" s="47" t="s">
        <v>58172</v>
      </c>
      <c r="G6256" s="8">
        <v>15</v>
      </c>
      <c r="H6256" s="8" t="s">
        <v>21</v>
      </c>
      <c r="I6256" s="8" t="s">
        <v>22</v>
      </c>
      <c r="J6256" s="8" t="s">
        <v>22</v>
      </c>
      <c r="K6256" s="8" t="s">
        <v>64</v>
      </c>
      <c r="L6256" s="8" t="s">
        <v>26804</v>
      </c>
      <c r="M6256" s="8" t="s">
        <v>26805</v>
      </c>
      <c r="N6256" s="8" t="s">
        <v>27822</v>
      </c>
      <c r="O6256" s="8">
        <f>16+54/60+47.4/3600</f>
        <v>16.913166666666665</v>
      </c>
      <c r="P6256" s="8" t="s">
        <v>27823</v>
      </c>
      <c r="Q6256" s="8">
        <f>+(36+30/60+6/3600)</f>
        <v>36.501666666666665</v>
      </c>
      <c r="R6256" s="8">
        <v>12.8</v>
      </c>
      <c r="S6256" s="8">
        <v>13.5</v>
      </c>
      <c r="T6256" s="8">
        <v>0.7</v>
      </c>
      <c r="U6256" s="8">
        <v>14.5</v>
      </c>
      <c r="V6256" s="8">
        <v>3.6</v>
      </c>
      <c r="W6256" s="8">
        <v>1.5</v>
      </c>
      <c r="X6256" s="8">
        <v>85</v>
      </c>
      <c r="Y6256" s="8" t="s">
        <v>27824</v>
      </c>
      <c r="Z6256" s="8" t="s">
        <v>27825</v>
      </c>
    </row>
    <row r="6257" spans="1:26" x14ac:dyDescent="0.2">
      <c r="A6257" s="8">
        <v>6256</v>
      </c>
      <c r="B6257" s="8" t="s">
        <v>27826</v>
      </c>
      <c r="C6257" s="8" t="s">
        <v>27826</v>
      </c>
      <c r="F6257" s="47"/>
      <c r="G6257" s="8">
        <v>16</v>
      </c>
      <c r="H6257" s="8" t="s">
        <v>21</v>
      </c>
      <c r="I6257" s="8" t="s">
        <v>567</v>
      </c>
      <c r="J6257" s="8" t="s">
        <v>567</v>
      </c>
      <c r="K6257" s="8" t="s">
        <v>567</v>
      </c>
      <c r="L6257" s="8" t="s">
        <v>26735</v>
      </c>
      <c r="M6257" s="8" t="s">
        <v>26736</v>
      </c>
      <c r="N6257" s="8" t="s">
        <v>27827</v>
      </c>
      <c r="O6257" s="8">
        <f>16+59/60+32.6/3600</f>
        <v>16.99238888888889</v>
      </c>
      <c r="P6257" s="8" t="s">
        <v>27828</v>
      </c>
      <c r="Q6257" s="8">
        <f>-(37+7/60+15/3600)</f>
        <v>-37.120833333333337</v>
      </c>
      <c r="R6257" s="8">
        <v>11.3</v>
      </c>
      <c r="S6257" s="8">
        <v>99</v>
      </c>
      <c r="T6257" s="8">
        <v>99</v>
      </c>
      <c r="U6257" s="8">
        <v>99</v>
      </c>
      <c r="V6257" s="8">
        <v>4.0999999999999996</v>
      </c>
      <c r="Y6257" s="8" t="s">
        <v>27829</v>
      </c>
      <c r="Z6257" s="8" t="s">
        <v>27830</v>
      </c>
    </row>
    <row r="6258" spans="1:26" x14ac:dyDescent="0.2">
      <c r="A6258" s="8">
        <v>6257</v>
      </c>
      <c r="B6258" s="8" t="s">
        <v>27831</v>
      </c>
      <c r="C6258" s="8" t="s">
        <v>27831</v>
      </c>
      <c r="F6258" s="47"/>
      <c r="G6258" s="8">
        <v>16</v>
      </c>
      <c r="H6258" s="8" t="s">
        <v>21</v>
      </c>
      <c r="I6258" s="8" t="s">
        <v>329</v>
      </c>
      <c r="J6258" s="8" t="s">
        <v>329</v>
      </c>
      <c r="K6258" s="8" t="s">
        <v>329</v>
      </c>
      <c r="L6258" s="8" t="s">
        <v>26804</v>
      </c>
      <c r="M6258" s="8" t="s">
        <v>26805</v>
      </c>
      <c r="N6258" s="8" t="s">
        <v>27832</v>
      </c>
      <c r="O6258" s="8">
        <f>16+54/60+52.2/3600</f>
        <v>16.9145</v>
      </c>
      <c r="P6258" s="8" t="s">
        <v>27833</v>
      </c>
      <c r="Q6258" s="8">
        <f>+(39+36/60+50/3600)</f>
        <v>39.613888888888887</v>
      </c>
      <c r="R6258" s="8">
        <v>99</v>
      </c>
      <c r="S6258" s="8">
        <v>99</v>
      </c>
      <c r="T6258" s="8">
        <v>99</v>
      </c>
      <c r="U6258" s="8">
        <v>99</v>
      </c>
      <c r="Y6258" s="8" t="s">
        <v>27834</v>
      </c>
      <c r="Z6258" s="8" t="s">
        <v>27835</v>
      </c>
    </row>
    <row r="6259" spans="1:26" x14ac:dyDescent="0.2">
      <c r="A6259" s="8">
        <v>6258</v>
      </c>
      <c r="B6259" s="8" t="s">
        <v>27836</v>
      </c>
      <c r="C6259" s="8" t="s">
        <v>27836</v>
      </c>
      <c r="F6259" s="47"/>
      <c r="G6259" s="8">
        <v>19</v>
      </c>
      <c r="H6259" s="8" t="s">
        <v>21</v>
      </c>
      <c r="I6259" s="8" t="s">
        <v>22</v>
      </c>
      <c r="J6259" s="8" t="s">
        <v>22</v>
      </c>
      <c r="K6259" s="8" t="s">
        <v>1136</v>
      </c>
      <c r="L6259" s="8" t="s">
        <v>13395</v>
      </c>
      <c r="M6259" s="8" t="s">
        <v>13396</v>
      </c>
      <c r="N6259" s="8" t="s">
        <v>27837</v>
      </c>
      <c r="O6259" s="8">
        <f>16+52/60+29.7/3600</f>
        <v>16.874916666666667</v>
      </c>
      <c r="P6259" s="8" t="s">
        <v>27838</v>
      </c>
      <c r="Q6259" s="8">
        <f>+(60+30/60+52/3600)</f>
        <v>60.514444444444443</v>
      </c>
      <c r="R6259" s="8">
        <v>13.4</v>
      </c>
      <c r="S6259" s="8">
        <v>14.4</v>
      </c>
      <c r="T6259" s="8">
        <v>1</v>
      </c>
      <c r="U6259" s="8">
        <v>13</v>
      </c>
      <c r="V6259" s="8">
        <v>0.9</v>
      </c>
      <c r="W6259" s="8">
        <v>0.7</v>
      </c>
      <c r="X6259" s="8">
        <v>70</v>
      </c>
      <c r="Y6259" s="8" t="s">
        <v>27839</v>
      </c>
      <c r="Z6259" s="8" t="s">
        <v>27840</v>
      </c>
    </row>
    <row r="6260" spans="1:26" x14ac:dyDescent="0.2">
      <c r="A6260" s="8">
        <v>6259</v>
      </c>
      <c r="B6260" s="8" t="s">
        <v>27841</v>
      </c>
      <c r="C6260" s="8" t="s">
        <v>27841</v>
      </c>
      <c r="F6260" s="47"/>
      <c r="G6260" s="8">
        <v>7</v>
      </c>
      <c r="H6260" s="8" t="s">
        <v>21</v>
      </c>
      <c r="I6260" s="8" t="s">
        <v>557</v>
      </c>
      <c r="J6260" s="8" t="s">
        <v>557</v>
      </c>
      <c r="K6260" s="8" t="s">
        <v>3217</v>
      </c>
      <c r="L6260" s="8" t="s">
        <v>26735</v>
      </c>
      <c r="M6260" s="8" t="s">
        <v>26736</v>
      </c>
      <c r="N6260" s="8" t="s">
        <v>27684</v>
      </c>
      <c r="O6260" s="8">
        <f>17+0/60+45.3/3600</f>
        <v>17.012583333333332</v>
      </c>
      <c r="P6260" s="8" t="s">
        <v>27685</v>
      </c>
      <c r="Q6260" s="8">
        <f>-(44+39/60+18/3600)</f>
        <v>-44.655000000000001</v>
      </c>
      <c r="R6260" s="8">
        <v>8</v>
      </c>
      <c r="S6260" s="8">
        <v>99</v>
      </c>
      <c r="T6260" s="8">
        <v>99</v>
      </c>
      <c r="U6260" s="8">
        <v>99</v>
      </c>
      <c r="V6260" s="8">
        <v>15</v>
      </c>
      <c r="Y6260" s="8" t="s">
        <v>27842</v>
      </c>
      <c r="Z6260" s="8" t="s">
        <v>27843</v>
      </c>
    </row>
    <row r="6261" spans="1:26" x14ac:dyDescent="0.2">
      <c r="A6261" s="8">
        <v>6260</v>
      </c>
      <c r="B6261" s="8" t="s">
        <v>27844</v>
      </c>
      <c r="C6261" s="8" t="s">
        <v>27844</v>
      </c>
      <c r="F6261" s="47"/>
      <c r="G6261" s="8">
        <v>19</v>
      </c>
      <c r="H6261" s="8" t="s">
        <v>21</v>
      </c>
      <c r="I6261" s="8" t="s">
        <v>22</v>
      </c>
      <c r="J6261" s="8" t="s">
        <v>22</v>
      </c>
      <c r="K6261" s="8" t="s">
        <v>160</v>
      </c>
      <c r="L6261" s="8" t="s">
        <v>13395</v>
      </c>
      <c r="M6261" s="8" t="s">
        <v>13396</v>
      </c>
      <c r="N6261" s="8" t="s">
        <v>27845</v>
      </c>
      <c r="O6261" s="8">
        <f>16+51/60+50.3/3600</f>
        <v>16.863972222222223</v>
      </c>
      <c r="P6261" s="8" t="s">
        <v>27846</v>
      </c>
      <c r="Q6261" s="8">
        <f>+(63+42/60+53/3600)</f>
        <v>63.714722222222228</v>
      </c>
      <c r="R6261" s="8">
        <v>13.9</v>
      </c>
      <c r="S6261" s="8">
        <v>14.6</v>
      </c>
      <c r="T6261" s="8">
        <v>0.7</v>
      </c>
      <c r="U6261" s="8">
        <v>13.3</v>
      </c>
      <c r="V6261" s="8">
        <v>0.8</v>
      </c>
      <c r="W6261" s="8">
        <v>0.8</v>
      </c>
      <c r="Y6261" s="8" t="s">
        <v>27847</v>
      </c>
      <c r="Z6261" s="8" t="s">
        <v>27848</v>
      </c>
    </row>
    <row r="6262" spans="1:26" x14ac:dyDescent="0.2">
      <c r="A6262" s="8">
        <v>6261</v>
      </c>
      <c r="B6262" s="8" t="s">
        <v>27849</v>
      </c>
      <c r="C6262" s="8" t="s">
        <v>27849</v>
      </c>
      <c r="F6262" s="47"/>
      <c r="G6262" s="8">
        <v>19</v>
      </c>
      <c r="H6262" s="8" t="s">
        <v>21</v>
      </c>
      <c r="I6262" s="8" t="s">
        <v>22</v>
      </c>
      <c r="J6262" s="8" t="s">
        <v>22</v>
      </c>
      <c r="K6262" s="8" t="s">
        <v>632</v>
      </c>
      <c r="L6262" s="8" t="s">
        <v>26804</v>
      </c>
      <c r="M6262" s="8" t="s">
        <v>26805</v>
      </c>
      <c r="N6262" s="8" t="s">
        <v>27850</v>
      </c>
      <c r="O6262" s="8">
        <f>16+56/60+30.4/3600</f>
        <v>16.941777777777776</v>
      </c>
      <c r="P6262" s="8" t="s">
        <v>27851</v>
      </c>
      <c r="Q6262" s="8">
        <f>+(27+58/60+41/3600)</f>
        <v>27.978055555555553</v>
      </c>
      <c r="R6262" s="8">
        <v>14</v>
      </c>
      <c r="S6262" s="8">
        <v>14.9</v>
      </c>
      <c r="T6262" s="8">
        <v>0.9</v>
      </c>
      <c r="U6262" s="8">
        <v>13.4</v>
      </c>
      <c r="V6262" s="8">
        <v>1.2</v>
      </c>
      <c r="W6262" s="8">
        <v>0.5</v>
      </c>
      <c r="X6262" s="8">
        <v>88</v>
      </c>
      <c r="Y6262" s="8" t="s">
        <v>4090</v>
      </c>
      <c r="Z6262" s="8" t="s">
        <v>4091</v>
      </c>
    </row>
    <row r="6263" spans="1:26" x14ac:dyDescent="0.2">
      <c r="A6263" s="8">
        <v>6262</v>
      </c>
      <c r="B6263" s="8" t="s">
        <v>27852</v>
      </c>
      <c r="C6263" s="8" t="s">
        <v>27852</v>
      </c>
      <c r="F6263" s="47"/>
      <c r="G6263" s="8">
        <v>19</v>
      </c>
      <c r="H6263" s="8" t="s">
        <v>21</v>
      </c>
      <c r="I6263" s="8" t="s">
        <v>22</v>
      </c>
      <c r="J6263" s="8" t="s">
        <v>22</v>
      </c>
      <c r="K6263" s="8" t="s">
        <v>37</v>
      </c>
      <c r="L6263" s="8" t="s">
        <v>13395</v>
      </c>
      <c r="M6263" s="8" t="s">
        <v>13396</v>
      </c>
      <c r="N6263" s="8" t="s">
        <v>27853</v>
      </c>
      <c r="O6263" s="8">
        <f>16+58/60+42.9/3600</f>
        <v>16.978583333333333</v>
      </c>
      <c r="P6263" s="8" t="s">
        <v>27854</v>
      </c>
      <c r="Q6263" s="8">
        <f>+(57+5/60+57/3600)</f>
        <v>57.099166666666669</v>
      </c>
      <c r="R6263" s="8">
        <v>13.7</v>
      </c>
      <c r="S6263" s="8">
        <v>14.7</v>
      </c>
      <c r="T6263" s="8">
        <v>1</v>
      </c>
      <c r="U6263" s="8">
        <v>12</v>
      </c>
      <c r="V6263" s="8">
        <v>0.6</v>
      </c>
      <c r="W6263" s="8">
        <v>0.4</v>
      </c>
      <c r="X6263" s="8">
        <v>60</v>
      </c>
      <c r="Y6263" s="8" t="s">
        <v>3161</v>
      </c>
      <c r="Z6263" s="8" t="s">
        <v>3162</v>
      </c>
    </row>
    <row r="6264" spans="1:26" x14ac:dyDescent="0.2">
      <c r="A6264" s="8">
        <v>6263</v>
      </c>
      <c r="B6264" s="8" t="s">
        <v>27855</v>
      </c>
      <c r="C6264" s="8" t="s">
        <v>27855</v>
      </c>
      <c r="F6264" s="47"/>
      <c r="G6264" s="8">
        <v>18</v>
      </c>
      <c r="H6264" s="8" t="s">
        <v>21</v>
      </c>
      <c r="I6264" s="8" t="s">
        <v>22</v>
      </c>
      <c r="J6264" s="8" t="s">
        <v>22</v>
      </c>
      <c r="K6264" s="8" t="s">
        <v>460</v>
      </c>
      <c r="L6264" s="8" t="s">
        <v>26804</v>
      </c>
      <c r="M6264" s="8" t="s">
        <v>26805</v>
      </c>
      <c r="N6264" s="8" t="s">
        <v>27856</v>
      </c>
      <c r="O6264" s="8">
        <f>16+56/60+43.1/3600</f>
        <v>16.945305555555557</v>
      </c>
      <c r="P6264" s="8" t="s">
        <v>27857</v>
      </c>
      <c r="Q6264" s="8">
        <f>+(27+49/60+21/3600)</f>
        <v>27.822499999999998</v>
      </c>
      <c r="R6264" s="8">
        <v>13.7</v>
      </c>
      <c r="S6264" s="8">
        <v>14.7</v>
      </c>
      <c r="T6264" s="8">
        <v>1</v>
      </c>
      <c r="U6264" s="8">
        <v>13.4</v>
      </c>
      <c r="V6264" s="8">
        <v>0.9</v>
      </c>
      <c r="W6264" s="8">
        <v>0.9</v>
      </c>
      <c r="Y6264" s="8" t="s">
        <v>421</v>
      </c>
      <c r="Z6264" s="8" t="s">
        <v>422</v>
      </c>
    </row>
    <row r="6265" spans="1:26" x14ac:dyDescent="0.2">
      <c r="A6265" s="8">
        <v>6264</v>
      </c>
      <c r="B6265" s="8" t="s">
        <v>27858</v>
      </c>
      <c r="C6265" s="8" t="s">
        <v>27858</v>
      </c>
      <c r="F6265" s="47"/>
      <c r="G6265" s="8">
        <v>18</v>
      </c>
      <c r="H6265" s="8" t="s">
        <v>21</v>
      </c>
      <c r="I6265" s="8" t="s">
        <v>22</v>
      </c>
      <c r="J6265" s="8" t="s">
        <v>22</v>
      </c>
      <c r="K6265" s="8" t="s">
        <v>218</v>
      </c>
      <c r="L6265" s="8" t="s">
        <v>26804</v>
      </c>
      <c r="M6265" s="8" t="s">
        <v>26805</v>
      </c>
      <c r="N6265" s="8" t="s">
        <v>27859</v>
      </c>
      <c r="O6265" s="8">
        <f>16+57/60+16.1/3600</f>
        <v>16.954472222222222</v>
      </c>
      <c r="P6265" s="8" t="s">
        <v>27860</v>
      </c>
      <c r="Q6265" s="8">
        <f>+(27+50/60+58/3600)</f>
        <v>27.849444444444444</v>
      </c>
      <c r="R6265" s="8">
        <v>14.5</v>
      </c>
      <c r="S6265" s="8">
        <v>15.3</v>
      </c>
      <c r="T6265" s="8">
        <v>0.8</v>
      </c>
      <c r="U6265" s="8">
        <v>13.2</v>
      </c>
      <c r="V6265" s="8">
        <v>0.7</v>
      </c>
      <c r="W6265" s="8">
        <v>0.4</v>
      </c>
      <c r="X6265" s="8">
        <v>15</v>
      </c>
      <c r="Y6265" s="8" t="s">
        <v>266</v>
      </c>
      <c r="Z6265" s="8" t="s">
        <v>267</v>
      </c>
    </row>
    <row r="6266" spans="1:26" x14ac:dyDescent="0.2">
      <c r="A6266" s="8">
        <v>6265</v>
      </c>
      <c r="B6266" s="8" t="s">
        <v>27861</v>
      </c>
      <c r="C6266" s="8" t="s">
        <v>27861</v>
      </c>
      <c r="F6266" s="47"/>
      <c r="G6266" s="8">
        <v>18</v>
      </c>
      <c r="H6266" s="8" t="s">
        <v>21</v>
      </c>
      <c r="I6266" s="8" t="s">
        <v>22</v>
      </c>
      <c r="J6266" s="8" t="s">
        <v>22</v>
      </c>
      <c r="K6266" s="8" t="s">
        <v>37</v>
      </c>
      <c r="L6266" s="8" t="s">
        <v>26804</v>
      </c>
      <c r="M6266" s="8" t="s">
        <v>26805</v>
      </c>
      <c r="N6266" s="8" t="s">
        <v>27862</v>
      </c>
      <c r="O6266" s="8">
        <f>16+57/60+29/3600</f>
        <v>16.958055555555553</v>
      </c>
      <c r="P6266" s="8" t="s">
        <v>27863</v>
      </c>
      <c r="Q6266" s="8">
        <f>+(27+50/60+41/3600)</f>
        <v>27.84472222222222</v>
      </c>
      <c r="R6266" s="8">
        <v>14.2</v>
      </c>
      <c r="S6266" s="8">
        <v>15.2</v>
      </c>
      <c r="T6266" s="8">
        <v>1</v>
      </c>
      <c r="U6266" s="8">
        <v>13.4</v>
      </c>
      <c r="V6266" s="8">
        <v>0.8</v>
      </c>
      <c r="W6266" s="8">
        <v>0.5</v>
      </c>
      <c r="X6266" s="8">
        <v>23</v>
      </c>
      <c r="Y6266" s="8" t="s">
        <v>266</v>
      </c>
      <c r="Z6266" s="8" t="s">
        <v>267</v>
      </c>
    </row>
    <row r="6267" spans="1:26" x14ac:dyDescent="0.2">
      <c r="A6267" s="8">
        <v>6266</v>
      </c>
      <c r="B6267" s="8" t="s">
        <v>27864</v>
      </c>
      <c r="C6267" s="8" t="s">
        <v>55932</v>
      </c>
      <c r="F6267" s="47"/>
      <c r="G6267" s="8">
        <v>1</v>
      </c>
      <c r="H6267" s="8" t="s">
        <v>27865</v>
      </c>
      <c r="I6267" s="8" t="s">
        <v>567</v>
      </c>
      <c r="J6267" s="8" t="s">
        <v>567</v>
      </c>
      <c r="K6267" s="8" t="s">
        <v>25121</v>
      </c>
      <c r="L6267" s="8" t="s">
        <v>26994</v>
      </c>
      <c r="M6267" s="8" t="s">
        <v>26995</v>
      </c>
      <c r="N6267" s="8" t="s">
        <v>27866</v>
      </c>
      <c r="O6267" s="8">
        <f>17+1/60+12.6/3600</f>
        <v>17.020166666666665</v>
      </c>
      <c r="P6267" s="8" t="s">
        <v>27867</v>
      </c>
      <c r="Q6267" s="8">
        <f>-(30+6/60+42/3600)</f>
        <v>-30.111666666666668</v>
      </c>
      <c r="R6267" s="8">
        <v>6.4</v>
      </c>
      <c r="S6267" s="8">
        <v>99</v>
      </c>
      <c r="T6267" s="8">
        <v>99</v>
      </c>
      <c r="U6267" s="8">
        <v>99</v>
      </c>
      <c r="V6267" s="8">
        <v>15</v>
      </c>
      <c r="Y6267" s="8" t="s">
        <v>27868</v>
      </c>
      <c r="Z6267" s="8" t="s">
        <v>27869</v>
      </c>
    </row>
    <row r="6268" spans="1:26" x14ac:dyDescent="0.2">
      <c r="A6268" s="8">
        <v>6267</v>
      </c>
      <c r="B6268" s="8" t="s">
        <v>27870</v>
      </c>
      <c r="C6268" s="8" t="s">
        <v>27870</v>
      </c>
      <c r="F6268" s="47" t="s">
        <v>58173</v>
      </c>
      <c r="G6268" s="8">
        <v>15</v>
      </c>
      <c r="H6268" s="8" t="s">
        <v>21</v>
      </c>
      <c r="I6268" s="8" t="s">
        <v>22</v>
      </c>
      <c r="J6268" s="8" t="s">
        <v>22</v>
      </c>
      <c r="K6268" s="8" t="s">
        <v>64</v>
      </c>
      <c r="L6268" s="8" t="s">
        <v>26804</v>
      </c>
      <c r="M6268" s="8" t="s">
        <v>26805</v>
      </c>
      <c r="N6268" s="8" t="s">
        <v>27871</v>
      </c>
      <c r="O6268" s="8">
        <f>16+58/60+8.7/3600</f>
        <v>16.96908333333333</v>
      </c>
      <c r="P6268" s="8" t="s">
        <v>27872</v>
      </c>
      <c r="Q6268" s="8">
        <f>+(22+59/60+7/3600)</f>
        <v>22.985277777777778</v>
      </c>
      <c r="R6268" s="8">
        <v>13.1</v>
      </c>
      <c r="S6268" s="8">
        <v>13.8</v>
      </c>
      <c r="T6268" s="8">
        <v>0.7</v>
      </c>
      <c r="U6268" s="8">
        <v>13.3</v>
      </c>
      <c r="V6268" s="8">
        <v>1.3</v>
      </c>
      <c r="W6268" s="8">
        <v>1</v>
      </c>
      <c r="X6268" s="8">
        <v>35</v>
      </c>
      <c r="Y6268" s="8" t="s">
        <v>19841</v>
      </c>
      <c r="Z6268" s="8" t="s">
        <v>19842</v>
      </c>
    </row>
    <row r="6269" spans="1:26" x14ac:dyDescent="0.2">
      <c r="A6269" s="8">
        <v>6268</v>
      </c>
      <c r="B6269" s="8" t="s">
        <v>27873</v>
      </c>
      <c r="C6269" s="8" t="s">
        <v>27873</v>
      </c>
      <c r="F6269" s="47"/>
      <c r="G6269" s="8">
        <v>13</v>
      </c>
      <c r="H6269" s="8" t="s">
        <v>21</v>
      </c>
      <c r="I6269" s="8" t="s">
        <v>557</v>
      </c>
      <c r="J6269" s="8" t="s">
        <v>557</v>
      </c>
      <c r="K6269" s="8" t="s">
        <v>558</v>
      </c>
      <c r="L6269" s="8" t="s">
        <v>26735</v>
      </c>
      <c r="M6269" s="8" t="s">
        <v>26736</v>
      </c>
      <c r="N6269" s="8" t="s">
        <v>27874</v>
      </c>
      <c r="O6269" s="8">
        <f>17+2/60+4.1/3600</f>
        <v>17.034472222222224</v>
      </c>
      <c r="P6269" s="8" t="s">
        <v>27875</v>
      </c>
      <c r="Q6269" s="8">
        <f>-(39+43/60+16/3600)</f>
        <v>-39.721111111111114</v>
      </c>
      <c r="R6269" s="8">
        <v>9.5</v>
      </c>
      <c r="S6269" s="8">
        <v>99</v>
      </c>
      <c r="T6269" s="8">
        <v>99</v>
      </c>
      <c r="U6269" s="8">
        <v>99</v>
      </c>
      <c r="V6269" s="8">
        <v>6</v>
      </c>
      <c r="Y6269" s="8" t="s">
        <v>27876</v>
      </c>
      <c r="Z6269" s="8" t="s">
        <v>27877</v>
      </c>
    </row>
    <row r="6270" spans="1:26" x14ac:dyDescent="0.2">
      <c r="A6270" s="8">
        <v>6269</v>
      </c>
      <c r="B6270" s="8" t="s">
        <v>27878</v>
      </c>
      <c r="C6270" s="8" t="s">
        <v>27878</v>
      </c>
      <c r="F6270" s="47"/>
      <c r="G6270" s="8">
        <v>18</v>
      </c>
      <c r="H6270" s="8" t="s">
        <v>21</v>
      </c>
      <c r="I6270" s="8" t="s">
        <v>22</v>
      </c>
      <c r="J6270" s="8" t="s">
        <v>22</v>
      </c>
      <c r="K6270" s="8" t="s">
        <v>1136</v>
      </c>
      <c r="L6270" s="8" t="s">
        <v>26804</v>
      </c>
      <c r="M6270" s="8" t="s">
        <v>26805</v>
      </c>
      <c r="N6270" s="8" t="s">
        <v>27879</v>
      </c>
      <c r="O6270" s="8">
        <f>16+57/60+58/3600</f>
        <v>16.966111111111111</v>
      </c>
      <c r="P6270" s="8" t="s">
        <v>27880</v>
      </c>
      <c r="Q6270" s="8">
        <f>+(27+51/60+18/3600)</f>
        <v>27.855</v>
      </c>
      <c r="R6270" s="8">
        <v>12.2</v>
      </c>
      <c r="S6270" s="8">
        <v>13.3</v>
      </c>
      <c r="T6270" s="8">
        <v>1.1000000000000001</v>
      </c>
      <c r="U6270" s="8">
        <v>13.4</v>
      </c>
      <c r="V6270" s="8">
        <v>2</v>
      </c>
      <c r="W6270" s="8">
        <v>1.6</v>
      </c>
      <c r="X6270" s="8">
        <v>80</v>
      </c>
      <c r="Y6270" s="8" t="s">
        <v>895</v>
      </c>
      <c r="Z6270" s="8" t="s">
        <v>896</v>
      </c>
    </row>
    <row r="6271" spans="1:26" x14ac:dyDescent="0.2">
      <c r="A6271" s="8">
        <v>6270</v>
      </c>
      <c r="B6271" s="8" t="s">
        <v>27881</v>
      </c>
      <c r="C6271" s="8" t="s">
        <v>27881</v>
      </c>
      <c r="F6271" s="47"/>
      <c r="G6271" s="8">
        <v>18</v>
      </c>
      <c r="H6271" s="8" t="s">
        <v>21</v>
      </c>
      <c r="I6271" s="8" t="s">
        <v>22</v>
      </c>
      <c r="J6271" s="8" t="s">
        <v>22</v>
      </c>
      <c r="K6271" s="8" t="s">
        <v>37</v>
      </c>
      <c r="L6271" s="8" t="s">
        <v>26804</v>
      </c>
      <c r="M6271" s="8" t="s">
        <v>26805</v>
      </c>
      <c r="N6271" s="8" t="s">
        <v>27882</v>
      </c>
      <c r="O6271" s="8">
        <f>16+58/60+44.1/3600</f>
        <v>16.978916666666667</v>
      </c>
      <c r="P6271" s="8" t="s">
        <v>27883</v>
      </c>
      <c r="Q6271" s="8">
        <f>+(27+51/60+32/3600)</f>
        <v>27.858888888888892</v>
      </c>
      <c r="R6271" s="8">
        <v>13.3</v>
      </c>
      <c r="S6271" s="8">
        <v>14.3</v>
      </c>
      <c r="T6271" s="8">
        <v>1</v>
      </c>
      <c r="U6271" s="8">
        <v>11.8</v>
      </c>
      <c r="V6271" s="8">
        <v>0.7</v>
      </c>
      <c r="W6271" s="8">
        <v>0.4</v>
      </c>
      <c r="X6271" s="8">
        <v>102</v>
      </c>
      <c r="Y6271" s="8" t="s">
        <v>227</v>
      </c>
      <c r="Z6271" s="8" t="s">
        <v>228</v>
      </c>
    </row>
    <row r="6272" spans="1:26" x14ac:dyDescent="0.2">
      <c r="A6272" s="8">
        <v>6271</v>
      </c>
      <c r="B6272" s="8" t="s">
        <v>27884</v>
      </c>
      <c r="C6272" s="8" t="s">
        <v>27884</v>
      </c>
      <c r="F6272" s="47"/>
      <c r="G6272" s="8">
        <v>18</v>
      </c>
      <c r="H6272" s="8" t="s">
        <v>21</v>
      </c>
      <c r="I6272" s="8" t="s">
        <v>22</v>
      </c>
      <c r="J6272" s="8" t="s">
        <v>22</v>
      </c>
      <c r="K6272" s="8" t="s">
        <v>12036</v>
      </c>
      <c r="L6272" s="8" t="s">
        <v>26804</v>
      </c>
      <c r="M6272" s="8" t="s">
        <v>26805</v>
      </c>
      <c r="N6272" s="8" t="s">
        <v>27885</v>
      </c>
      <c r="O6272" s="8">
        <f>16+58/60+50.7/3600</f>
        <v>16.980749999999997</v>
      </c>
      <c r="P6272" s="8" t="s">
        <v>27886</v>
      </c>
      <c r="Q6272" s="8">
        <f>+(27+57/60+53/3600)</f>
        <v>27.964722222222221</v>
      </c>
      <c r="R6272" s="8">
        <v>14.1</v>
      </c>
      <c r="S6272" s="8">
        <v>15.1</v>
      </c>
      <c r="T6272" s="8">
        <v>1</v>
      </c>
      <c r="U6272" s="8">
        <v>12.8</v>
      </c>
      <c r="V6272" s="8">
        <v>0.8</v>
      </c>
      <c r="W6272" s="8">
        <v>0.6</v>
      </c>
      <c r="X6272" s="8">
        <v>170</v>
      </c>
      <c r="Y6272" s="8" t="s">
        <v>1250</v>
      </c>
      <c r="Z6272" s="8" t="s">
        <v>1251</v>
      </c>
    </row>
    <row r="6273" spans="1:26" x14ac:dyDescent="0.2">
      <c r="A6273" s="8">
        <v>6272</v>
      </c>
      <c r="B6273" s="8" t="s">
        <v>27887</v>
      </c>
      <c r="C6273" s="8" t="s">
        <v>27887</v>
      </c>
      <c r="F6273" s="47"/>
      <c r="G6273" s="8">
        <v>18</v>
      </c>
      <c r="H6273" s="8" t="s">
        <v>21</v>
      </c>
      <c r="I6273" s="8" t="s">
        <v>22</v>
      </c>
      <c r="J6273" s="8" t="s">
        <v>22</v>
      </c>
      <c r="K6273" s="8" t="s">
        <v>31</v>
      </c>
      <c r="L6273" s="8" t="s">
        <v>26804</v>
      </c>
      <c r="M6273" s="8" t="s">
        <v>26805</v>
      </c>
      <c r="N6273" s="8" t="s">
        <v>27888</v>
      </c>
      <c r="O6273" s="8">
        <f>16+58/60+58.2/3600</f>
        <v>16.982833333333332</v>
      </c>
      <c r="P6273" s="8" t="s">
        <v>27889</v>
      </c>
      <c r="Q6273" s="8">
        <f>+(27+55/60+51/3600)</f>
        <v>27.930833333333336</v>
      </c>
      <c r="R6273" s="8">
        <v>14.5</v>
      </c>
      <c r="S6273" s="8">
        <v>15.3</v>
      </c>
      <c r="T6273" s="8">
        <v>0.8</v>
      </c>
      <c r="U6273" s="8">
        <v>11.9</v>
      </c>
      <c r="V6273" s="8">
        <v>0.5</v>
      </c>
      <c r="W6273" s="8">
        <v>0.3</v>
      </c>
      <c r="X6273" s="8">
        <v>167</v>
      </c>
      <c r="Y6273" s="8" t="s">
        <v>297</v>
      </c>
      <c r="Z6273" s="8" t="s">
        <v>298</v>
      </c>
    </row>
    <row r="6274" spans="1:26" x14ac:dyDescent="0.2">
      <c r="A6274" s="8">
        <v>6273</v>
      </c>
      <c r="B6274" s="8" t="s">
        <v>27890</v>
      </c>
      <c r="C6274" s="8" t="s">
        <v>55933</v>
      </c>
      <c r="F6274" s="47"/>
      <c r="G6274" s="8">
        <v>1</v>
      </c>
      <c r="H6274" s="8" t="s">
        <v>21</v>
      </c>
      <c r="I6274" s="8" t="s">
        <v>567</v>
      </c>
      <c r="J6274" s="8" t="s">
        <v>567</v>
      </c>
      <c r="K6274" s="8" t="s">
        <v>21778</v>
      </c>
      <c r="L6274" s="8" t="s">
        <v>26994</v>
      </c>
      <c r="M6274" s="8" t="s">
        <v>26995</v>
      </c>
      <c r="N6274" s="8" t="s">
        <v>27891</v>
      </c>
      <c r="O6274" s="8">
        <f>17+2/60+37.7/3600</f>
        <v>17.043805555555558</v>
      </c>
      <c r="P6274" s="8" t="s">
        <v>27892</v>
      </c>
      <c r="Q6274" s="8">
        <f>-(26+16/60+3/3600)</f>
        <v>-26.267499999999998</v>
      </c>
      <c r="R6274" s="8">
        <v>6.8</v>
      </c>
      <c r="S6274" s="8">
        <v>99</v>
      </c>
      <c r="T6274" s="8">
        <v>99</v>
      </c>
      <c r="U6274" s="8">
        <v>99</v>
      </c>
      <c r="V6274" s="8">
        <v>17</v>
      </c>
      <c r="Y6274" s="8" t="s">
        <v>27893</v>
      </c>
      <c r="Z6274" s="8" t="s">
        <v>27894</v>
      </c>
    </row>
    <row r="6275" spans="1:26" x14ac:dyDescent="0.2">
      <c r="A6275" s="8">
        <v>6274</v>
      </c>
      <c r="B6275" s="8" t="s">
        <v>27895</v>
      </c>
      <c r="C6275" s="8" t="s">
        <v>27895</v>
      </c>
      <c r="E6275" s="8">
        <v>1</v>
      </c>
      <c r="F6275" s="47"/>
      <c r="G6275" s="8">
        <v>18</v>
      </c>
      <c r="H6275" s="8" t="s">
        <v>21</v>
      </c>
      <c r="I6275" s="8" t="s">
        <v>22</v>
      </c>
      <c r="J6275" s="8" t="s">
        <v>22</v>
      </c>
      <c r="K6275" s="8" t="s">
        <v>160</v>
      </c>
      <c r="L6275" s="8" t="s">
        <v>26804</v>
      </c>
      <c r="M6275" s="8" t="s">
        <v>26805</v>
      </c>
      <c r="N6275" s="8" t="s">
        <v>27896</v>
      </c>
      <c r="O6275" s="8">
        <f>16+59/60+20.4/3600</f>
        <v>16.989000000000001</v>
      </c>
      <c r="P6275" s="8" t="s">
        <v>27897</v>
      </c>
      <c r="Q6275" s="8">
        <f>+(29+56/60+47/3600)</f>
        <v>29.94638888888889</v>
      </c>
      <c r="R6275" s="8">
        <v>13.8</v>
      </c>
      <c r="S6275" s="8">
        <v>14.5</v>
      </c>
      <c r="T6275" s="8">
        <v>0.7</v>
      </c>
      <c r="U6275" s="8">
        <v>12.1</v>
      </c>
      <c r="V6275" s="8">
        <v>0.6</v>
      </c>
      <c r="W6275" s="8">
        <v>0.4</v>
      </c>
      <c r="X6275" s="8">
        <v>23</v>
      </c>
      <c r="Y6275" s="8" t="s">
        <v>266</v>
      </c>
      <c r="Z6275" s="8" t="s">
        <v>267</v>
      </c>
    </row>
    <row r="6276" spans="1:26" x14ac:dyDescent="0.2">
      <c r="A6276" s="8">
        <v>6275</v>
      </c>
      <c r="B6276" s="8" t="s">
        <v>27898</v>
      </c>
      <c r="C6276" s="8" t="s">
        <v>27898</v>
      </c>
      <c r="F6276" s="47"/>
      <c r="G6276" s="8">
        <v>19</v>
      </c>
      <c r="H6276" s="8" t="s">
        <v>21</v>
      </c>
      <c r="I6276" s="8" t="s">
        <v>22</v>
      </c>
      <c r="J6276" s="8" t="s">
        <v>22</v>
      </c>
      <c r="K6276" s="8" t="s">
        <v>3003</v>
      </c>
      <c r="L6276" s="8" t="s">
        <v>13395</v>
      </c>
      <c r="M6276" s="8" t="s">
        <v>13396</v>
      </c>
      <c r="N6276" s="8" t="s">
        <v>27899</v>
      </c>
      <c r="O6276" s="8">
        <f>16+55/60+33.6/3600</f>
        <v>16.926000000000002</v>
      </c>
      <c r="P6276" s="8" t="s">
        <v>27900</v>
      </c>
      <c r="Q6276" s="8">
        <f>+(63+14/60+34/3600)</f>
        <v>63.242777777777782</v>
      </c>
      <c r="R6276" s="8">
        <v>14.3</v>
      </c>
      <c r="S6276" s="8">
        <v>15.3</v>
      </c>
      <c r="T6276" s="8">
        <v>1</v>
      </c>
      <c r="U6276" s="8">
        <v>11.8</v>
      </c>
      <c r="V6276" s="8">
        <v>0.4</v>
      </c>
      <c r="W6276" s="8">
        <v>0.3</v>
      </c>
      <c r="X6276" s="8">
        <v>120</v>
      </c>
      <c r="Y6276" s="8" t="s">
        <v>25564</v>
      </c>
      <c r="Z6276" s="8" t="s">
        <v>25565</v>
      </c>
    </row>
    <row r="6277" spans="1:26" x14ac:dyDescent="0.2">
      <c r="A6277" s="8">
        <v>6276</v>
      </c>
      <c r="B6277" s="8" t="s">
        <v>27901</v>
      </c>
      <c r="C6277" s="8" t="s">
        <v>27901</v>
      </c>
      <c r="F6277" s="47"/>
      <c r="G6277" s="8">
        <v>18</v>
      </c>
      <c r="H6277" s="8" t="s">
        <v>21</v>
      </c>
      <c r="I6277" s="8" t="s">
        <v>22</v>
      </c>
      <c r="J6277" s="8" t="s">
        <v>22</v>
      </c>
      <c r="K6277" s="8" t="s">
        <v>37</v>
      </c>
      <c r="L6277" s="8" t="s">
        <v>26804</v>
      </c>
      <c r="M6277" s="8" t="s">
        <v>26805</v>
      </c>
      <c r="N6277" s="8" t="s">
        <v>27902</v>
      </c>
      <c r="O6277" s="8">
        <f>17+0/60+45/3600</f>
        <v>17.012499999999999</v>
      </c>
      <c r="P6277" s="8" t="s">
        <v>27903</v>
      </c>
      <c r="Q6277" s="8">
        <f>+(23+2/60+40/3600)</f>
        <v>23.044444444444448</v>
      </c>
      <c r="R6277" s="8">
        <v>14.6</v>
      </c>
      <c r="S6277" s="8">
        <v>15.6</v>
      </c>
      <c r="T6277" s="8">
        <v>1</v>
      </c>
      <c r="U6277" s="8">
        <v>12.2</v>
      </c>
      <c r="V6277" s="8">
        <v>0.4</v>
      </c>
      <c r="W6277" s="8">
        <v>0.3</v>
      </c>
      <c r="X6277" s="8">
        <v>123</v>
      </c>
      <c r="Y6277" s="8" t="s">
        <v>47</v>
      </c>
      <c r="Z6277" s="8" t="s">
        <v>48</v>
      </c>
    </row>
    <row r="6278" spans="1:26" x14ac:dyDescent="0.2">
      <c r="A6278" s="8">
        <v>6277</v>
      </c>
      <c r="B6278" s="8" t="s">
        <v>27904</v>
      </c>
      <c r="C6278" s="8" t="s">
        <v>27904</v>
      </c>
      <c r="F6278" s="47"/>
      <c r="G6278" s="8">
        <v>18</v>
      </c>
      <c r="H6278" s="8" t="s">
        <v>21</v>
      </c>
      <c r="I6278" s="8" t="s">
        <v>72</v>
      </c>
      <c r="J6278" s="8" t="s">
        <v>72</v>
      </c>
      <c r="K6278" s="8" t="s">
        <v>73</v>
      </c>
      <c r="L6278" s="8" t="s">
        <v>26804</v>
      </c>
      <c r="M6278" s="8" t="s">
        <v>26805</v>
      </c>
      <c r="N6278" s="8" t="s">
        <v>27905</v>
      </c>
      <c r="O6278" s="8">
        <f>17+0/60+48.8/3600</f>
        <v>17.013555555555556</v>
      </c>
      <c r="P6278" s="8" t="s">
        <v>27906</v>
      </c>
      <c r="Q6278" s="8">
        <f>+(23+2/60+24/3600)</f>
        <v>23.040000000000003</v>
      </c>
      <c r="R6278" s="8">
        <v>99</v>
      </c>
      <c r="S6278" s="8">
        <v>99</v>
      </c>
      <c r="T6278" s="8">
        <v>99</v>
      </c>
      <c r="U6278" s="8">
        <v>99</v>
      </c>
      <c r="Y6278" s="8" t="s">
        <v>47</v>
      </c>
      <c r="Z6278" s="8" t="s">
        <v>48</v>
      </c>
    </row>
    <row r="6279" spans="1:26" x14ac:dyDescent="0.2">
      <c r="A6279" s="8">
        <v>6278</v>
      </c>
      <c r="B6279" s="8" t="s">
        <v>27907</v>
      </c>
      <c r="C6279" s="8" t="s">
        <v>27907</v>
      </c>
      <c r="F6279" s="47" t="s">
        <v>58174</v>
      </c>
      <c r="G6279" s="8">
        <v>15</v>
      </c>
      <c r="H6279" s="8" t="s">
        <v>21</v>
      </c>
      <c r="I6279" s="8" t="s">
        <v>22</v>
      </c>
      <c r="J6279" s="8" t="s">
        <v>22</v>
      </c>
      <c r="K6279" s="8" t="s">
        <v>37</v>
      </c>
      <c r="L6279" s="8" t="s">
        <v>26804</v>
      </c>
      <c r="M6279" s="8" t="s">
        <v>26805</v>
      </c>
      <c r="N6279" s="8" t="s">
        <v>27908</v>
      </c>
      <c r="O6279" s="8">
        <f>17+0/60+50.2/3600</f>
        <v>17.013944444444444</v>
      </c>
      <c r="P6279" s="8" t="s">
        <v>27909</v>
      </c>
      <c r="Q6279" s="8">
        <f>+(23+0/60+40/3600)</f>
        <v>23.011111111111113</v>
      </c>
      <c r="R6279" s="8">
        <v>12.4</v>
      </c>
      <c r="S6279" s="8">
        <v>13.4</v>
      </c>
      <c r="T6279" s="8">
        <v>1</v>
      </c>
      <c r="U6279" s="8">
        <v>13.2</v>
      </c>
      <c r="V6279" s="8">
        <v>2.1</v>
      </c>
      <c r="W6279" s="8">
        <v>1.2</v>
      </c>
      <c r="X6279" s="8">
        <v>130</v>
      </c>
      <c r="Y6279" s="8" t="s">
        <v>3344</v>
      </c>
      <c r="Z6279" s="8" t="s">
        <v>3345</v>
      </c>
    </row>
    <row r="6280" spans="1:26" x14ac:dyDescent="0.2">
      <c r="A6280" s="8">
        <v>6279</v>
      </c>
      <c r="B6280" s="8" t="s">
        <v>27910</v>
      </c>
      <c r="C6280" s="8" t="s">
        <v>27910</v>
      </c>
      <c r="F6280" s="47"/>
      <c r="G6280" s="8">
        <v>19</v>
      </c>
      <c r="H6280" s="8" t="s">
        <v>21</v>
      </c>
      <c r="I6280" s="8" t="s">
        <v>22</v>
      </c>
      <c r="J6280" s="8" t="s">
        <v>22</v>
      </c>
      <c r="K6280" s="8" t="s">
        <v>224</v>
      </c>
      <c r="L6280" s="8" t="s">
        <v>26804</v>
      </c>
      <c r="M6280" s="8" t="s">
        <v>26805</v>
      </c>
      <c r="N6280" s="8" t="s">
        <v>27911</v>
      </c>
      <c r="O6280" s="8">
        <f>16+59/60+1.3/3600</f>
        <v>16.983694444444446</v>
      </c>
      <c r="P6280" s="8" t="s">
        <v>27912</v>
      </c>
      <c r="Q6280" s="8">
        <f>+(47+14/60+16/3600)</f>
        <v>47.237777777777779</v>
      </c>
      <c r="R6280" s="8">
        <v>13.6</v>
      </c>
      <c r="S6280" s="8">
        <v>14.6</v>
      </c>
      <c r="T6280" s="8">
        <v>1</v>
      </c>
      <c r="U6280" s="8">
        <v>13.6</v>
      </c>
      <c r="V6280" s="8">
        <v>1.1000000000000001</v>
      </c>
      <c r="W6280" s="8">
        <v>0.9</v>
      </c>
      <c r="X6280" s="8">
        <v>19</v>
      </c>
      <c r="Y6280" s="8" t="s">
        <v>27913</v>
      </c>
      <c r="Z6280" s="8" t="s">
        <v>27914</v>
      </c>
    </row>
    <row r="6281" spans="1:26" x14ac:dyDescent="0.2">
      <c r="A6281" s="8">
        <v>6280</v>
      </c>
      <c r="B6281" s="8" t="s">
        <v>27915</v>
      </c>
      <c r="C6281" s="8" t="s">
        <v>27915</v>
      </c>
      <c r="E6281" s="8">
        <v>1</v>
      </c>
      <c r="F6281" s="47"/>
      <c r="G6281" s="8">
        <v>18</v>
      </c>
      <c r="H6281" s="8" t="s">
        <v>21</v>
      </c>
      <c r="I6281" s="8" t="s">
        <v>22</v>
      </c>
      <c r="J6281" s="8" t="s">
        <v>22</v>
      </c>
      <c r="K6281" s="8" t="s">
        <v>37</v>
      </c>
      <c r="L6281" s="8" t="s">
        <v>26994</v>
      </c>
      <c r="M6281" s="8" t="s">
        <v>26995</v>
      </c>
      <c r="N6281" s="8" t="s">
        <v>27916</v>
      </c>
      <c r="O6281" s="8">
        <f>17+1/60+57.5/3600</f>
        <v>17.032638888888886</v>
      </c>
      <c r="P6281" s="8" t="s">
        <v>27917</v>
      </c>
      <c r="Q6281" s="8">
        <f>+(6+39/60+59/3600)</f>
        <v>6.6663888888888891</v>
      </c>
      <c r="R6281" s="8">
        <v>14.6</v>
      </c>
      <c r="S6281" s="8">
        <v>15.6</v>
      </c>
      <c r="T6281" s="8">
        <v>1</v>
      </c>
      <c r="U6281" s="8">
        <v>12.4</v>
      </c>
      <c r="V6281" s="8">
        <v>0.5</v>
      </c>
      <c r="W6281" s="8">
        <v>0.3</v>
      </c>
      <c r="X6281" s="8">
        <v>144</v>
      </c>
      <c r="Y6281" s="8" t="s">
        <v>19024</v>
      </c>
      <c r="Z6281" s="8" t="s">
        <v>19025</v>
      </c>
    </row>
    <row r="6282" spans="1:26" x14ac:dyDescent="0.2">
      <c r="A6282" s="8">
        <v>6281</v>
      </c>
      <c r="B6282" s="8" t="s">
        <v>27918</v>
      </c>
      <c r="C6282" s="8" t="s">
        <v>27918</v>
      </c>
      <c r="F6282" s="47"/>
      <c r="G6282" s="8">
        <v>5</v>
      </c>
      <c r="H6282" s="8" t="s">
        <v>27919</v>
      </c>
      <c r="I6282" s="8" t="s">
        <v>557</v>
      </c>
      <c r="J6282" s="8" t="s">
        <v>557</v>
      </c>
      <c r="K6282" s="8" t="s">
        <v>558</v>
      </c>
      <c r="L6282" s="8" t="s">
        <v>26735</v>
      </c>
      <c r="M6282" s="8" t="s">
        <v>26736</v>
      </c>
      <c r="N6282" s="8" t="s">
        <v>27920</v>
      </c>
      <c r="O6282" s="8">
        <f>17+4/60+47.2/3600</f>
        <v>17.079777777777778</v>
      </c>
      <c r="P6282" s="8" t="s">
        <v>27921</v>
      </c>
      <c r="Q6282" s="8">
        <f>-(37+53/60+16/3600)</f>
        <v>-37.887777777777778</v>
      </c>
      <c r="R6282" s="8">
        <v>5.4</v>
      </c>
      <c r="S6282" s="8">
        <v>99</v>
      </c>
      <c r="T6282" s="8">
        <v>99</v>
      </c>
      <c r="U6282" s="8">
        <v>99</v>
      </c>
      <c r="V6282" s="8">
        <v>8</v>
      </c>
      <c r="Y6282" s="8" t="s">
        <v>27922</v>
      </c>
      <c r="Z6282" s="8" t="s">
        <v>27923</v>
      </c>
    </row>
    <row r="6283" spans="1:26" x14ac:dyDescent="0.2">
      <c r="A6283" s="8">
        <v>6282</v>
      </c>
      <c r="B6283" s="8" t="s">
        <v>27924</v>
      </c>
      <c r="C6283" s="8" t="s">
        <v>27924</v>
      </c>
      <c r="F6283" s="47"/>
      <c r="G6283" s="8">
        <v>18</v>
      </c>
      <c r="H6283" s="8" t="s">
        <v>21</v>
      </c>
      <c r="I6283" s="8" t="s">
        <v>22</v>
      </c>
      <c r="J6283" s="8" t="s">
        <v>22</v>
      </c>
      <c r="K6283" s="8" t="s">
        <v>85</v>
      </c>
      <c r="L6283" s="8" t="s">
        <v>26804</v>
      </c>
      <c r="M6283" s="8" t="s">
        <v>26805</v>
      </c>
      <c r="N6283" s="8" t="s">
        <v>27925</v>
      </c>
      <c r="O6283" s="8">
        <f>17+0/60+47/3600</f>
        <v>17.013055555555557</v>
      </c>
      <c r="P6283" s="8" t="s">
        <v>27926</v>
      </c>
      <c r="Q6283" s="8">
        <f>+(29+49/60+13/3600)</f>
        <v>29.820277777777779</v>
      </c>
      <c r="R6283" s="8">
        <v>14.4</v>
      </c>
      <c r="S6283" s="8">
        <v>15.2</v>
      </c>
      <c r="T6283" s="8">
        <v>0.8</v>
      </c>
      <c r="U6283" s="8">
        <v>13.1</v>
      </c>
      <c r="V6283" s="8">
        <v>0.7</v>
      </c>
      <c r="W6283" s="8">
        <v>0.5</v>
      </c>
      <c r="X6283" s="8">
        <v>36</v>
      </c>
      <c r="Y6283" s="8" t="s">
        <v>170</v>
      </c>
      <c r="Z6283" s="8" t="s">
        <v>171</v>
      </c>
    </row>
    <row r="6284" spans="1:26" x14ac:dyDescent="0.2">
      <c r="A6284" s="8">
        <v>6283</v>
      </c>
      <c r="B6284" s="8" t="s">
        <v>27927</v>
      </c>
      <c r="C6284" s="8" t="s">
        <v>27927</v>
      </c>
      <c r="F6284" s="47" t="s">
        <v>58175</v>
      </c>
      <c r="G6284" s="8">
        <v>15</v>
      </c>
      <c r="H6284" s="8" t="s">
        <v>21</v>
      </c>
      <c r="I6284" s="8" t="s">
        <v>22</v>
      </c>
      <c r="J6284" s="8" t="s">
        <v>22</v>
      </c>
      <c r="K6284" s="8" t="s">
        <v>449</v>
      </c>
      <c r="L6284" s="8" t="s">
        <v>26804</v>
      </c>
      <c r="M6284" s="8" t="s">
        <v>26805</v>
      </c>
      <c r="N6284" s="8" t="s">
        <v>27928</v>
      </c>
      <c r="O6284" s="8">
        <f>16+59/60+26.5/3600</f>
        <v>16.990694444444447</v>
      </c>
      <c r="P6284" s="8" t="s">
        <v>27929</v>
      </c>
      <c r="Q6284" s="8">
        <f>+(49+55/60+19/3600)</f>
        <v>49.921944444444442</v>
      </c>
      <c r="R6284" s="8">
        <v>12.9</v>
      </c>
      <c r="S6284" s="8">
        <v>13.7</v>
      </c>
      <c r="T6284" s="8">
        <v>0.8</v>
      </c>
      <c r="U6284" s="8">
        <v>13</v>
      </c>
      <c r="V6284" s="8">
        <v>1.1000000000000001</v>
      </c>
      <c r="W6284" s="8">
        <v>1.1000000000000001</v>
      </c>
      <c r="Y6284" s="8" t="s">
        <v>15493</v>
      </c>
      <c r="Z6284" s="8" t="s">
        <v>15494</v>
      </c>
    </row>
    <row r="6285" spans="1:26" x14ac:dyDescent="0.2">
      <c r="A6285" s="8">
        <v>6284</v>
      </c>
      <c r="B6285" s="8" t="s">
        <v>27930</v>
      </c>
      <c r="C6285" s="8" t="s">
        <v>27930</v>
      </c>
      <c r="F6285" s="47" t="s">
        <v>58176</v>
      </c>
      <c r="G6285" s="8">
        <v>3</v>
      </c>
      <c r="H6285" s="8" t="s">
        <v>21</v>
      </c>
      <c r="I6285" s="8" t="s">
        <v>567</v>
      </c>
      <c r="J6285" s="8" t="s">
        <v>567</v>
      </c>
      <c r="K6285" s="8" t="s">
        <v>26506</v>
      </c>
      <c r="L6285" s="8" t="s">
        <v>26994</v>
      </c>
      <c r="M6285" s="8" t="s">
        <v>26995</v>
      </c>
      <c r="N6285" s="8" t="s">
        <v>27931</v>
      </c>
      <c r="O6285" s="8">
        <f>17+4/60+28.8/3600</f>
        <v>17.074666666666666</v>
      </c>
      <c r="P6285" s="8" t="s">
        <v>27932</v>
      </c>
      <c r="Q6285" s="8">
        <f>-(24+45/60+51/3600)</f>
        <v>-24.764166666666668</v>
      </c>
      <c r="R6285" s="8">
        <v>8.9</v>
      </c>
      <c r="S6285" s="8">
        <v>99</v>
      </c>
      <c r="T6285" s="8">
        <v>99</v>
      </c>
      <c r="U6285" s="8">
        <v>99</v>
      </c>
      <c r="V6285" s="8">
        <v>6.2</v>
      </c>
      <c r="Y6285" s="8" t="s">
        <v>27933</v>
      </c>
      <c r="Z6285" s="8" t="s">
        <v>27934</v>
      </c>
    </row>
    <row r="6286" spans="1:26" x14ac:dyDescent="0.2">
      <c r="A6286" s="8">
        <v>6285</v>
      </c>
      <c r="B6286" s="8" t="s">
        <v>27935</v>
      </c>
      <c r="C6286" s="8" t="s">
        <v>27935</v>
      </c>
      <c r="F6286" s="47"/>
      <c r="G6286" s="8">
        <v>19</v>
      </c>
      <c r="H6286" s="8" t="s">
        <v>21</v>
      </c>
      <c r="I6286" s="8" t="s">
        <v>22</v>
      </c>
      <c r="J6286" s="8" t="s">
        <v>22</v>
      </c>
      <c r="K6286" s="8" t="s">
        <v>632</v>
      </c>
      <c r="L6286" s="8" t="s">
        <v>13395</v>
      </c>
      <c r="M6286" s="8" t="s">
        <v>13396</v>
      </c>
      <c r="N6286" s="8" t="s">
        <v>27936</v>
      </c>
      <c r="O6286" s="8">
        <f>16+58/60+23.9/3600</f>
        <v>16.973305555555555</v>
      </c>
      <c r="P6286" s="8" t="s">
        <v>27937</v>
      </c>
      <c r="Q6286" s="8">
        <f>+(58+57/60+21/3600)</f>
        <v>58.955833333333338</v>
      </c>
      <c r="R6286" s="8">
        <v>13.5</v>
      </c>
      <c r="S6286" s="8">
        <v>14.4</v>
      </c>
      <c r="T6286" s="8">
        <v>0.9</v>
      </c>
      <c r="U6286" s="8">
        <v>13.2</v>
      </c>
      <c r="V6286" s="8">
        <v>1.2</v>
      </c>
      <c r="W6286" s="8">
        <v>0.7</v>
      </c>
      <c r="X6286" s="8">
        <v>129</v>
      </c>
      <c r="Y6286" s="8" t="s">
        <v>27938</v>
      </c>
      <c r="Z6286" s="8" t="s">
        <v>27939</v>
      </c>
    </row>
    <row r="6287" spans="1:26" x14ac:dyDescent="0.2">
      <c r="A6287" s="8">
        <v>6286</v>
      </c>
      <c r="B6287" s="8" t="s">
        <v>27940</v>
      </c>
      <c r="C6287" s="8" t="s">
        <v>27940</v>
      </c>
      <c r="F6287" s="47"/>
      <c r="G6287" s="8">
        <v>19</v>
      </c>
      <c r="H6287" s="8" t="s">
        <v>21</v>
      </c>
      <c r="I6287" s="8" t="s">
        <v>22</v>
      </c>
      <c r="J6287" s="8" t="s">
        <v>22</v>
      </c>
      <c r="K6287" s="8" t="s">
        <v>79</v>
      </c>
      <c r="L6287" s="8" t="s">
        <v>13395</v>
      </c>
      <c r="M6287" s="8" t="s">
        <v>13396</v>
      </c>
      <c r="N6287" s="8" t="s">
        <v>27941</v>
      </c>
      <c r="O6287" s="8">
        <f>16+58/60+31.6/3600</f>
        <v>16.975444444444442</v>
      </c>
      <c r="P6287" s="8" t="s">
        <v>27942</v>
      </c>
      <c r="Q6287" s="8">
        <f>+(58+56/60+15/3600)</f>
        <v>58.9375</v>
      </c>
      <c r="R6287" s="8">
        <v>13.3</v>
      </c>
      <c r="S6287" s="8">
        <v>14.1</v>
      </c>
      <c r="T6287" s="8">
        <v>0.8</v>
      </c>
      <c r="U6287" s="8">
        <v>13.6</v>
      </c>
      <c r="V6287" s="8">
        <v>1.3</v>
      </c>
      <c r="W6287" s="8">
        <v>1.2</v>
      </c>
      <c r="X6287" s="8">
        <v>33</v>
      </c>
      <c r="Y6287" s="8" t="s">
        <v>27938</v>
      </c>
      <c r="Z6287" s="8" t="s">
        <v>4171</v>
      </c>
    </row>
    <row r="6288" spans="1:26" x14ac:dyDescent="0.2">
      <c r="A6288" s="8">
        <v>6287</v>
      </c>
      <c r="B6288" s="8" t="s">
        <v>27943</v>
      </c>
      <c r="C6288" s="8" t="s">
        <v>27943</v>
      </c>
      <c r="F6288" s="47" t="s">
        <v>58177</v>
      </c>
      <c r="G6288" s="8">
        <v>3</v>
      </c>
      <c r="H6288" s="8" t="s">
        <v>21</v>
      </c>
      <c r="I6288" s="8" t="s">
        <v>567</v>
      </c>
      <c r="J6288" s="8" t="s">
        <v>567</v>
      </c>
      <c r="K6288" s="8" t="s">
        <v>25384</v>
      </c>
      <c r="L6288" s="8" t="s">
        <v>26994</v>
      </c>
      <c r="M6288" s="8" t="s">
        <v>26995</v>
      </c>
      <c r="N6288" s="8" t="s">
        <v>27944</v>
      </c>
      <c r="O6288" s="8">
        <f>17+5/60+9.4/3600</f>
        <v>17.085944444444443</v>
      </c>
      <c r="P6288" s="8" t="s">
        <v>27945</v>
      </c>
      <c r="Q6288" s="8">
        <f>-(22+42/60+27/3600)</f>
        <v>-22.7075</v>
      </c>
      <c r="R6288" s="8">
        <v>9.3000000000000007</v>
      </c>
      <c r="S6288" s="8">
        <v>99</v>
      </c>
      <c r="T6288" s="8">
        <v>99</v>
      </c>
      <c r="U6288" s="8">
        <v>99</v>
      </c>
      <c r="V6288" s="8">
        <v>4.8</v>
      </c>
      <c r="Y6288" s="8" t="s">
        <v>27946</v>
      </c>
      <c r="Z6288" s="8" t="s">
        <v>27947</v>
      </c>
    </row>
    <row r="6289" spans="1:26" x14ac:dyDescent="0.2">
      <c r="A6289" s="8">
        <v>6288</v>
      </c>
      <c r="B6289" s="8" t="s">
        <v>27948</v>
      </c>
      <c r="C6289" s="8" t="s">
        <v>27948</v>
      </c>
      <c r="F6289" s="47"/>
      <c r="G6289" s="8">
        <v>19</v>
      </c>
      <c r="H6289" s="8" t="s">
        <v>21</v>
      </c>
      <c r="I6289" s="8" t="s">
        <v>22</v>
      </c>
      <c r="J6289" s="8" t="s">
        <v>22</v>
      </c>
      <c r="K6289" s="8" t="s">
        <v>58</v>
      </c>
      <c r="L6289" s="8" t="s">
        <v>13395</v>
      </c>
      <c r="M6289" s="8" t="s">
        <v>13396</v>
      </c>
      <c r="N6289" s="8" t="s">
        <v>27949</v>
      </c>
      <c r="O6289" s="8">
        <f>16+57/60+24.3/3600</f>
        <v>16.95675</v>
      </c>
      <c r="P6289" s="8" t="s">
        <v>27950</v>
      </c>
      <c r="Q6289" s="8">
        <f>+(68+27/60+27/3600)</f>
        <v>68.457499999999996</v>
      </c>
      <c r="R6289" s="8">
        <v>14.5</v>
      </c>
      <c r="S6289" s="8">
        <v>15.5</v>
      </c>
      <c r="T6289" s="8">
        <v>1</v>
      </c>
      <c r="U6289" s="8">
        <v>13.3</v>
      </c>
      <c r="V6289" s="8">
        <v>0.8</v>
      </c>
      <c r="W6289" s="8">
        <v>0.4</v>
      </c>
      <c r="X6289" s="8">
        <v>102</v>
      </c>
      <c r="Y6289" s="8" t="s">
        <v>27951</v>
      </c>
      <c r="Z6289" s="8" t="s">
        <v>27952</v>
      </c>
    </row>
    <row r="6290" spans="1:26" x14ac:dyDescent="0.2">
      <c r="A6290" s="8">
        <v>6289</v>
      </c>
      <c r="B6290" s="8" t="s">
        <v>27953</v>
      </c>
      <c r="C6290" s="8" t="s">
        <v>27953</v>
      </c>
      <c r="F6290" s="47"/>
      <c r="G6290" s="8">
        <v>19</v>
      </c>
      <c r="H6290" s="8" t="s">
        <v>21</v>
      </c>
      <c r="I6290" s="8" t="s">
        <v>22</v>
      </c>
      <c r="J6290" s="8" t="s">
        <v>22</v>
      </c>
      <c r="K6290" s="8" t="s">
        <v>58</v>
      </c>
      <c r="L6290" s="8" t="s">
        <v>13395</v>
      </c>
      <c r="M6290" s="8" t="s">
        <v>13396</v>
      </c>
      <c r="N6290" s="8" t="s">
        <v>27954</v>
      </c>
      <c r="O6290" s="8">
        <f>16+57/60+44.9/3600</f>
        <v>16.962472222222221</v>
      </c>
      <c r="P6290" s="8" t="s">
        <v>27955</v>
      </c>
      <c r="Q6290" s="8">
        <f>+(68+30/60+51/3600)</f>
        <v>68.514166666666668</v>
      </c>
      <c r="R6290" s="8">
        <v>13.8</v>
      </c>
      <c r="S6290" s="8">
        <v>14.8</v>
      </c>
      <c r="T6290" s="8">
        <v>1</v>
      </c>
      <c r="U6290" s="8">
        <v>13.1</v>
      </c>
      <c r="V6290" s="8">
        <v>0.8</v>
      </c>
      <c r="W6290" s="8">
        <v>0.6</v>
      </c>
      <c r="X6290" s="8">
        <v>21</v>
      </c>
      <c r="Y6290" s="8" t="s">
        <v>27956</v>
      </c>
      <c r="Z6290" s="8" t="s">
        <v>27957</v>
      </c>
    </row>
    <row r="6291" spans="1:26" x14ac:dyDescent="0.2">
      <c r="A6291" s="8">
        <v>6290</v>
      </c>
      <c r="B6291" s="8" t="s">
        <v>27958</v>
      </c>
      <c r="C6291" s="8" t="s">
        <v>27958</v>
      </c>
      <c r="F6291" s="47"/>
      <c r="G6291" s="8">
        <v>19</v>
      </c>
      <c r="H6291" s="8" t="s">
        <v>21</v>
      </c>
      <c r="I6291" s="8" t="s">
        <v>22</v>
      </c>
      <c r="J6291" s="8" t="s">
        <v>22</v>
      </c>
      <c r="K6291" s="8" t="s">
        <v>154</v>
      </c>
      <c r="L6291" s="8" t="s">
        <v>13395</v>
      </c>
      <c r="M6291" s="8" t="s">
        <v>13396</v>
      </c>
      <c r="N6291" s="8" t="s">
        <v>27959</v>
      </c>
      <c r="O6291" s="8">
        <f>17+0/60+56.4/3600</f>
        <v>17.015666666666668</v>
      </c>
      <c r="P6291" s="8" t="s">
        <v>27960</v>
      </c>
      <c r="Q6291" s="8">
        <f>+(58+58/60+15/3600)</f>
        <v>58.970833333333339</v>
      </c>
      <c r="R6291" s="8">
        <v>13.5</v>
      </c>
      <c r="S6291" s="8">
        <v>14.5</v>
      </c>
      <c r="T6291" s="8">
        <v>1</v>
      </c>
      <c r="U6291" s="8">
        <v>13.5</v>
      </c>
      <c r="V6291" s="8">
        <v>1.1000000000000001</v>
      </c>
      <c r="W6291" s="8">
        <v>1</v>
      </c>
      <c r="X6291" s="8">
        <v>30</v>
      </c>
      <c r="Y6291" s="8" t="s">
        <v>27961</v>
      </c>
      <c r="Z6291" s="8" t="s">
        <v>27962</v>
      </c>
    </row>
    <row r="6292" spans="1:26" x14ac:dyDescent="0.2">
      <c r="A6292" s="8">
        <v>6291</v>
      </c>
      <c r="B6292" s="8" t="s">
        <v>27963</v>
      </c>
      <c r="C6292" s="8" t="s">
        <v>27963</v>
      </c>
      <c r="F6292" s="47"/>
      <c r="G6292" s="8">
        <v>19</v>
      </c>
      <c r="H6292" s="8" t="s">
        <v>21</v>
      </c>
      <c r="I6292" s="8" t="s">
        <v>22</v>
      </c>
      <c r="J6292" s="8" t="s">
        <v>22</v>
      </c>
      <c r="K6292" s="8" t="s">
        <v>218</v>
      </c>
      <c r="L6292" s="8" t="s">
        <v>13395</v>
      </c>
      <c r="M6292" s="8" t="s">
        <v>13396</v>
      </c>
      <c r="N6292" s="8" t="s">
        <v>27964</v>
      </c>
      <c r="O6292" s="8">
        <f>17+0/60+56/3600</f>
        <v>17.015555555555554</v>
      </c>
      <c r="P6292" s="8" t="s">
        <v>27965</v>
      </c>
      <c r="Q6292" s="8">
        <f>+(58+56/60+16/3600)</f>
        <v>58.937777777777775</v>
      </c>
      <c r="R6292" s="8">
        <v>14</v>
      </c>
      <c r="S6292" s="8">
        <v>14.8</v>
      </c>
      <c r="T6292" s="8">
        <v>0.8</v>
      </c>
      <c r="U6292" s="8">
        <v>12.7</v>
      </c>
      <c r="V6292" s="8">
        <v>0.7</v>
      </c>
      <c r="W6292" s="8">
        <v>0.4</v>
      </c>
      <c r="X6292" s="8">
        <v>45</v>
      </c>
      <c r="Y6292" s="8" t="s">
        <v>27966</v>
      </c>
      <c r="Z6292" s="8" t="s">
        <v>26987</v>
      </c>
    </row>
    <row r="6293" spans="1:26" x14ac:dyDescent="0.2">
      <c r="A6293" s="8">
        <v>6292</v>
      </c>
      <c r="B6293" s="8" t="s">
        <v>27967</v>
      </c>
      <c r="C6293" s="8" t="s">
        <v>27967</v>
      </c>
      <c r="F6293" s="47"/>
      <c r="G6293" s="8">
        <v>19</v>
      </c>
      <c r="H6293" s="8" t="s">
        <v>21</v>
      </c>
      <c r="I6293" s="8" t="s">
        <v>22</v>
      </c>
      <c r="J6293" s="8" t="s">
        <v>22</v>
      </c>
      <c r="K6293" s="8" t="s">
        <v>396</v>
      </c>
      <c r="L6293" s="8" t="s">
        <v>13395</v>
      </c>
      <c r="M6293" s="8" t="s">
        <v>13396</v>
      </c>
      <c r="N6293" s="8" t="s">
        <v>27968</v>
      </c>
      <c r="O6293" s="8">
        <f>17+3/60+3.5/3600</f>
        <v>17.050972222222224</v>
      </c>
      <c r="P6293" s="8" t="s">
        <v>27969</v>
      </c>
      <c r="Q6293" s="8">
        <f>+(61+2/60+38/3600)</f>
        <v>61.043888888888887</v>
      </c>
      <c r="R6293" s="8">
        <v>13.5</v>
      </c>
      <c r="S6293" s="8">
        <v>14.3</v>
      </c>
      <c r="T6293" s="8">
        <v>0.8</v>
      </c>
      <c r="U6293" s="8">
        <v>13.6</v>
      </c>
      <c r="V6293" s="8">
        <v>1.6</v>
      </c>
      <c r="W6293" s="8">
        <v>0.8</v>
      </c>
      <c r="X6293" s="8">
        <v>105</v>
      </c>
      <c r="Y6293" s="8" t="s">
        <v>27970</v>
      </c>
      <c r="Z6293" s="8" t="s">
        <v>27971</v>
      </c>
    </row>
    <row r="6294" spans="1:26" x14ac:dyDescent="0.2">
      <c r="A6294" s="8">
        <v>6293</v>
      </c>
      <c r="B6294" s="8" t="s">
        <v>27972</v>
      </c>
      <c r="C6294" s="8" t="s">
        <v>27972</v>
      </c>
      <c r="F6294" s="47" t="s">
        <v>58178</v>
      </c>
      <c r="G6294" s="8">
        <v>3</v>
      </c>
      <c r="H6294" s="8" t="s">
        <v>21</v>
      </c>
      <c r="I6294" s="8" t="s">
        <v>567</v>
      </c>
      <c r="J6294" s="8" t="s">
        <v>567</v>
      </c>
      <c r="K6294" s="8" t="s">
        <v>25121</v>
      </c>
      <c r="L6294" s="8" t="s">
        <v>26994</v>
      </c>
      <c r="M6294" s="8" t="s">
        <v>26995</v>
      </c>
      <c r="N6294" s="8" t="s">
        <v>27973</v>
      </c>
      <c r="O6294" s="8">
        <f>17+10/60+10.4/3600</f>
        <v>17.169555555555558</v>
      </c>
      <c r="P6294" s="8" t="s">
        <v>27974</v>
      </c>
      <c r="Q6294" s="8">
        <f>-(26+34/60+52/3600)</f>
        <v>-26.58111111111111</v>
      </c>
      <c r="R6294" s="8">
        <v>8.3000000000000007</v>
      </c>
      <c r="S6294" s="8">
        <v>99</v>
      </c>
      <c r="T6294" s="8">
        <v>99</v>
      </c>
      <c r="U6294" s="8">
        <v>99</v>
      </c>
      <c r="V6294" s="8">
        <v>8.1999999999999993</v>
      </c>
      <c r="Y6294" s="8" t="s">
        <v>27975</v>
      </c>
      <c r="Z6294" s="8" t="s">
        <v>27976</v>
      </c>
    </row>
    <row r="6295" spans="1:26" x14ac:dyDescent="0.2">
      <c r="A6295" s="8">
        <v>6294</v>
      </c>
      <c r="B6295" s="8" t="s">
        <v>27977</v>
      </c>
      <c r="C6295" s="8" t="s">
        <v>27977</v>
      </c>
      <c r="F6295" s="47"/>
      <c r="G6295" s="8">
        <v>16</v>
      </c>
      <c r="H6295" s="8" t="s">
        <v>21</v>
      </c>
      <c r="I6295" s="8" t="s">
        <v>72</v>
      </c>
      <c r="J6295" s="8" t="s">
        <v>72</v>
      </c>
      <c r="K6295" s="8" t="s">
        <v>73</v>
      </c>
      <c r="L6295" s="8" t="s">
        <v>26994</v>
      </c>
      <c r="M6295" s="8" t="s">
        <v>26995</v>
      </c>
      <c r="N6295" s="8" t="s">
        <v>27978</v>
      </c>
      <c r="O6295" s="8">
        <f>17+10/60+16.1/3600</f>
        <v>17.171138888888891</v>
      </c>
      <c r="P6295" s="8" t="s">
        <v>27979</v>
      </c>
      <c r="Q6295" s="8">
        <f>-(26+34/60+25/3600)</f>
        <v>-26.573611111111109</v>
      </c>
      <c r="R6295" s="8">
        <v>99</v>
      </c>
      <c r="S6295" s="8">
        <v>99</v>
      </c>
      <c r="T6295" s="8">
        <v>99</v>
      </c>
      <c r="U6295" s="8">
        <v>99</v>
      </c>
      <c r="Y6295" s="8" t="s">
        <v>27980</v>
      </c>
      <c r="Z6295" s="8" t="s">
        <v>27981</v>
      </c>
    </row>
    <row r="6296" spans="1:26" x14ac:dyDescent="0.2">
      <c r="A6296" s="8">
        <v>6295</v>
      </c>
      <c r="B6296" s="8" t="s">
        <v>27982</v>
      </c>
      <c r="C6296" s="8" t="s">
        <v>27982</v>
      </c>
      <c r="F6296" s="47"/>
      <c r="G6296" s="8">
        <v>19</v>
      </c>
      <c r="H6296" s="8" t="s">
        <v>21</v>
      </c>
      <c r="I6296" s="8" t="s">
        <v>22</v>
      </c>
      <c r="J6296" s="8" t="s">
        <v>22</v>
      </c>
      <c r="K6296" s="8" t="s">
        <v>449</v>
      </c>
      <c r="L6296" s="8" t="s">
        <v>13395</v>
      </c>
      <c r="M6296" s="8" t="s">
        <v>13396</v>
      </c>
      <c r="N6296" s="8" t="s">
        <v>27983</v>
      </c>
      <c r="O6296" s="8">
        <f>17+3/60+15.3/3600</f>
        <v>17.05425</v>
      </c>
      <c r="P6296" s="8" t="s">
        <v>27984</v>
      </c>
      <c r="Q6296" s="8">
        <f>+(60+20/60+16/3600)</f>
        <v>60.337777777777781</v>
      </c>
      <c r="R6296" s="8">
        <v>14.8</v>
      </c>
      <c r="S6296" s="8">
        <v>15.7</v>
      </c>
      <c r="T6296" s="8">
        <v>0.9</v>
      </c>
      <c r="U6296" s="8">
        <v>13.7</v>
      </c>
      <c r="V6296" s="8">
        <v>0.9</v>
      </c>
      <c r="W6296" s="8">
        <v>0.4</v>
      </c>
      <c r="X6296" s="8">
        <v>77</v>
      </c>
      <c r="Y6296" s="8" t="s">
        <v>27985</v>
      </c>
      <c r="Z6296" s="8" t="s">
        <v>27986</v>
      </c>
    </row>
    <row r="6297" spans="1:26" x14ac:dyDescent="0.2">
      <c r="A6297" s="8">
        <v>6296</v>
      </c>
      <c r="B6297" s="8" t="s">
        <v>27987</v>
      </c>
      <c r="C6297" s="8" t="s">
        <v>27987</v>
      </c>
      <c r="F6297" s="47"/>
      <c r="G6297" s="8">
        <v>18</v>
      </c>
      <c r="H6297" s="8" t="s">
        <v>21</v>
      </c>
      <c r="I6297" s="8" t="s">
        <v>22</v>
      </c>
      <c r="J6297" s="8" t="s">
        <v>22</v>
      </c>
      <c r="K6297" s="8" t="s">
        <v>85</v>
      </c>
      <c r="L6297" s="8" t="s">
        <v>26994</v>
      </c>
      <c r="M6297" s="8" t="s">
        <v>26995</v>
      </c>
      <c r="N6297" s="8" t="s">
        <v>27988</v>
      </c>
      <c r="O6297" s="8">
        <f>17+8/60+44.6/3600</f>
        <v>17.145722222222222</v>
      </c>
      <c r="P6297" s="8" t="s">
        <v>27989</v>
      </c>
      <c r="Q6297" s="8">
        <f>+(3+53/60+40/3600)</f>
        <v>3.8944444444444444</v>
      </c>
      <c r="R6297" s="8">
        <v>13.4</v>
      </c>
      <c r="S6297" s="8">
        <v>14.2</v>
      </c>
      <c r="T6297" s="8">
        <v>0.8</v>
      </c>
      <c r="U6297" s="8">
        <v>12.7</v>
      </c>
      <c r="V6297" s="8">
        <v>0.9</v>
      </c>
      <c r="W6297" s="8">
        <v>0.7</v>
      </c>
      <c r="X6297" s="8">
        <v>130</v>
      </c>
      <c r="Y6297" s="8" t="s">
        <v>15781</v>
      </c>
      <c r="Z6297" s="8" t="s">
        <v>15782</v>
      </c>
    </row>
    <row r="6298" spans="1:26" x14ac:dyDescent="0.2">
      <c r="A6298" s="8">
        <v>6297</v>
      </c>
      <c r="B6298" s="8" t="s">
        <v>27990</v>
      </c>
      <c r="C6298" s="8" t="s">
        <v>27990</v>
      </c>
      <c r="F6298" s="47"/>
      <c r="G6298" s="8">
        <v>19</v>
      </c>
      <c r="H6298" s="8" t="s">
        <v>21</v>
      </c>
      <c r="I6298" s="8" t="s">
        <v>22</v>
      </c>
      <c r="J6298" s="8" t="s">
        <v>22</v>
      </c>
      <c r="K6298" s="8" t="s">
        <v>37</v>
      </c>
      <c r="L6298" s="8" t="s">
        <v>13395</v>
      </c>
      <c r="M6298" s="8" t="s">
        <v>13396</v>
      </c>
      <c r="N6298" s="8" t="s">
        <v>27991</v>
      </c>
      <c r="O6298" s="8">
        <f>17+3/60+36.4/3600</f>
        <v>17.060111111111112</v>
      </c>
      <c r="P6298" s="8" t="s">
        <v>27992</v>
      </c>
      <c r="Q6298" s="8">
        <f>+(62+1/60+34/3600)</f>
        <v>62.026111111111113</v>
      </c>
      <c r="R6298" s="8">
        <v>13.6</v>
      </c>
      <c r="S6298" s="8">
        <v>14.6</v>
      </c>
      <c r="T6298" s="8">
        <v>1</v>
      </c>
      <c r="U6298" s="8">
        <v>12.3</v>
      </c>
      <c r="V6298" s="8">
        <v>0.7</v>
      </c>
      <c r="W6298" s="8">
        <v>0.5</v>
      </c>
      <c r="X6298" s="8">
        <v>90</v>
      </c>
      <c r="Y6298" s="8" t="s">
        <v>27993</v>
      </c>
      <c r="Z6298" s="8" t="s">
        <v>27994</v>
      </c>
    </row>
    <row r="6299" spans="1:26" x14ac:dyDescent="0.2">
      <c r="A6299" s="8">
        <v>6298</v>
      </c>
      <c r="B6299" s="8" t="s">
        <v>27995</v>
      </c>
      <c r="C6299" s="8" t="s">
        <v>27995</v>
      </c>
      <c r="F6299" s="47"/>
      <c r="G6299" s="8">
        <v>19</v>
      </c>
      <c r="H6299" s="8" t="s">
        <v>21</v>
      </c>
      <c r="I6299" s="8" t="s">
        <v>22</v>
      </c>
      <c r="J6299" s="8" t="s">
        <v>57</v>
      </c>
      <c r="K6299" s="8" t="s">
        <v>37</v>
      </c>
      <c r="L6299" s="8" t="s">
        <v>13395</v>
      </c>
      <c r="M6299" s="8" t="s">
        <v>13396</v>
      </c>
      <c r="N6299" s="8" t="s">
        <v>27991</v>
      </c>
      <c r="O6299" s="8">
        <f>17+3/60+36.4/3600</f>
        <v>17.060111111111112</v>
      </c>
      <c r="P6299" s="8" t="s">
        <v>27992</v>
      </c>
      <c r="Q6299" s="8">
        <f>+(62+1/60+34/3600)</f>
        <v>62.026111111111113</v>
      </c>
      <c r="R6299" s="8">
        <v>13.6</v>
      </c>
      <c r="S6299" s="8">
        <v>14.6</v>
      </c>
      <c r="T6299" s="8">
        <v>1</v>
      </c>
      <c r="U6299" s="8">
        <v>12.3</v>
      </c>
      <c r="V6299" s="8">
        <v>0.7</v>
      </c>
      <c r="W6299" s="8">
        <v>0.5</v>
      </c>
      <c r="X6299" s="8">
        <v>90</v>
      </c>
      <c r="Y6299" s="8" t="s">
        <v>27993</v>
      </c>
      <c r="Z6299" s="8" t="s">
        <v>27996</v>
      </c>
    </row>
    <row r="6300" spans="1:26" x14ac:dyDescent="0.2">
      <c r="A6300" s="8">
        <v>6299</v>
      </c>
      <c r="B6300" s="8" t="s">
        <v>27997</v>
      </c>
      <c r="C6300" s="8" t="s">
        <v>27997</v>
      </c>
      <c r="F6300" s="47"/>
      <c r="G6300" s="8">
        <v>18</v>
      </c>
      <c r="H6300" s="8" t="s">
        <v>21</v>
      </c>
      <c r="I6300" s="8" t="s">
        <v>22</v>
      </c>
      <c r="J6300" s="8" t="s">
        <v>22</v>
      </c>
      <c r="K6300" s="8" t="s">
        <v>460</v>
      </c>
      <c r="L6300" s="8" t="s">
        <v>13395</v>
      </c>
      <c r="M6300" s="8" t="s">
        <v>13396</v>
      </c>
      <c r="N6300" s="8" t="s">
        <v>27998</v>
      </c>
      <c r="O6300" s="8">
        <f>17+5/60+4.3/3600</f>
        <v>17.084527777777776</v>
      </c>
      <c r="P6300" s="8" t="s">
        <v>27999</v>
      </c>
      <c r="Q6300" s="8">
        <f>+(62+27/60+30/3600)</f>
        <v>62.458333333333336</v>
      </c>
      <c r="R6300" s="8">
        <v>14.1</v>
      </c>
      <c r="S6300" s="8">
        <v>15.1</v>
      </c>
      <c r="T6300" s="8">
        <v>1</v>
      </c>
      <c r="U6300" s="8">
        <v>13.1</v>
      </c>
      <c r="V6300" s="8">
        <v>0.6</v>
      </c>
      <c r="W6300" s="8">
        <v>0.6</v>
      </c>
      <c r="Y6300" s="8" t="s">
        <v>421</v>
      </c>
      <c r="Z6300" s="8" t="s">
        <v>422</v>
      </c>
    </row>
    <row r="6301" spans="1:26" x14ac:dyDescent="0.2">
      <c r="A6301" s="8">
        <v>6300</v>
      </c>
      <c r="B6301" s="8" t="s">
        <v>28000</v>
      </c>
      <c r="C6301" s="8" t="s">
        <v>28000</v>
      </c>
      <c r="F6301" s="47"/>
      <c r="G6301" s="8">
        <v>13</v>
      </c>
      <c r="H6301" s="8" t="s">
        <v>21</v>
      </c>
      <c r="I6301" s="8" t="s">
        <v>22</v>
      </c>
      <c r="J6301" s="8" t="s">
        <v>22</v>
      </c>
      <c r="K6301" s="8" t="s">
        <v>218</v>
      </c>
      <c r="L6301" s="8" t="s">
        <v>27529</v>
      </c>
      <c r="M6301" s="8" t="s">
        <v>27530</v>
      </c>
      <c r="N6301" s="8" t="s">
        <v>28001</v>
      </c>
      <c r="O6301" s="8">
        <f>17+16/60+59.7/3600</f>
        <v>17.283249999999999</v>
      </c>
      <c r="P6301" s="8" t="s">
        <v>28002</v>
      </c>
      <c r="Q6301" s="8">
        <f>-(62+49/60+13/3600)</f>
        <v>-62.820277777777783</v>
      </c>
      <c r="R6301" s="8">
        <v>10.199999999999999</v>
      </c>
      <c r="S6301" s="8">
        <v>11</v>
      </c>
      <c r="T6301" s="8">
        <v>0.8</v>
      </c>
      <c r="U6301" s="8">
        <v>12.8</v>
      </c>
      <c r="V6301" s="8">
        <v>4.3</v>
      </c>
      <c r="W6301" s="8">
        <v>2.8</v>
      </c>
      <c r="X6301" s="8">
        <v>118</v>
      </c>
      <c r="Y6301" s="8" t="s">
        <v>28003</v>
      </c>
      <c r="Z6301" s="8" t="s">
        <v>28004</v>
      </c>
    </row>
    <row r="6302" spans="1:26" x14ac:dyDescent="0.2">
      <c r="A6302" s="8">
        <v>6301</v>
      </c>
      <c r="B6302" s="8" t="s">
        <v>28005</v>
      </c>
      <c r="C6302" s="8" t="s">
        <v>28005</v>
      </c>
      <c r="F6302" s="47" t="s">
        <v>58179</v>
      </c>
      <c r="G6302" s="8">
        <v>15</v>
      </c>
      <c r="H6302" s="8" t="s">
        <v>21</v>
      </c>
      <c r="I6302" s="8" t="s">
        <v>22</v>
      </c>
      <c r="J6302" s="8" t="s">
        <v>22</v>
      </c>
      <c r="K6302" s="8" t="s">
        <v>160</v>
      </c>
      <c r="L6302" s="8" t="s">
        <v>26804</v>
      </c>
      <c r="M6302" s="8" t="s">
        <v>26805</v>
      </c>
      <c r="N6302" s="8" t="s">
        <v>28006</v>
      </c>
      <c r="O6302" s="8">
        <f>17+8/60+32.7/3600</f>
        <v>17.142416666666666</v>
      </c>
      <c r="P6302" s="8" t="s">
        <v>28007</v>
      </c>
      <c r="Q6302" s="8">
        <f>+(42+20/60+21/3600)</f>
        <v>42.339166666666671</v>
      </c>
      <c r="R6302" s="8">
        <v>13.4</v>
      </c>
      <c r="S6302" s="8">
        <v>14.1</v>
      </c>
      <c r="T6302" s="8">
        <v>0.7</v>
      </c>
      <c r="U6302" s="8">
        <v>14</v>
      </c>
      <c r="V6302" s="8">
        <v>1.8</v>
      </c>
      <c r="W6302" s="8">
        <v>1.1000000000000001</v>
      </c>
      <c r="X6302" s="8">
        <v>115</v>
      </c>
      <c r="Y6302" s="8" t="s">
        <v>3300</v>
      </c>
      <c r="Z6302" s="8" t="s">
        <v>28008</v>
      </c>
    </row>
    <row r="6303" spans="1:26" x14ac:dyDescent="0.2">
      <c r="A6303" s="8">
        <v>6302</v>
      </c>
      <c r="B6303" s="8" t="s">
        <v>28009</v>
      </c>
      <c r="C6303" s="8" t="s">
        <v>28009</v>
      </c>
      <c r="F6303" s="47"/>
      <c r="G6303" s="8">
        <v>2</v>
      </c>
      <c r="H6303" s="8" t="s">
        <v>28010</v>
      </c>
      <c r="I6303" s="8" t="s">
        <v>241</v>
      </c>
      <c r="J6303" s="8" t="s">
        <v>241</v>
      </c>
      <c r="K6303" s="8" t="s">
        <v>241</v>
      </c>
      <c r="L6303" s="8" t="s">
        <v>26735</v>
      </c>
      <c r="M6303" s="8" t="s">
        <v>26736</v>
      </c>
      <c r="N6303" s="8" t="s">
        <v>28011</v>
      </c>
      <c r="O6303" s="8">
        <f>17+13/60+44.1/3600</f>
        <v>17.228916666666667</v>
      </c>
      <c r="P6303" s="8" t="s">
        <v>6143</v>
      </c>
      <c r="Q6303" s="8">
        <f>-(37+6/60+12/3600)</f>
        <v>-37.103333333333332</v>
      </c>
      <c r="R6303" s="8">
        <v>9.6</v>
      </c>
      <c r="S6303" s="8">
        <v>12.8</v>
      </c>
      <c r="T6303" s="8">
        <v>99</v>
      </c>
      <c r="U6303" s="8">
        <v>99</v>
      </c>
      <c r="V6303" s="8">
        <v>1.48</v>
      </c>
      <c r="Y6303" s="8" t="s">
        <v>28012</v>
      </c>
      <c r="Z6303" s="8" t="s">
        <v>28013</v>
      </c>
    </row>
    <row r="6304" spans="1:26" x14ac:dyDescent="0.2">
      <c r="A6304" s="8">
        <v>6303</v>
      </c>
      <c r="B6304" s="8" t="s">
        <v>28014</v>
      </c>
      <c r="C6304" s="8" t="s">
        <v>28014</v>
      </c>
      <c r="F6304" s="47"/>
      <c r="G6304" s="8">
        <v>19</v>
      </c>
      <c r="H6304" s="8" t="s">
        <v>21</v>
      </c>
      <c r="I6304" s="8" t="s">
        <v>22</v>
      </c>
      <c r="J6304" s="8" t="s">
        <v>22</v>
      </c>
      <c r="K6304" s="8" t="s">
        <v>50</v>
      </c>
      <c r="L6304" s="8" t="s">
        <v>13395</v>
      </c>
      <c r="M6304" s="8" t="s">
        <v>13396</v>
      </c>
      <c r="N6304" s="8" t="s">
        <v>28015</v>
      </c>
      <c r="O6304" s="8">
        <f>17+5/60+2.8/3600</f>
        <v>17.08411111111111</v>
      </c>
      <c r="P6304" s="8" t="s">
        <v>28016</v>
      </c>
      <c r="Q6304" s="8">
        <f>+(68+49/60+40/3600)</f>
        <v>68.827777777777769</v>
      </c>
      <c r="R6304" s="8">
        <v>13.7</v>
      </c>
      <c r="S6304" s="8">
        <v>14.7</v>
      </c>
      <c r="T6304" s="8">
        <v>1</v>
      </c>
      <c r="U6304" s="8">
        <v>13.8</v>
      </c>
      <c r="V6304" s="8">
        <v>1.3</v>
      </c>
      <c r="W6304" s="8">
        <v>0.8</v>
      </c>
      <c r="X6304" s="8">
        <v>60</v>
      </c>
      <c r="Y6304" s="8" t="s">
        <v>28017</v>
      </c>
      <c r="Z6304" s="8" t="s">
        <v>28018</v>
      </c>
    </row>
    <row r="6305" spans="1:26" x14ac:dyDescent="0.2">
      <c r="A6305" s="8">
        <v>6304</v>
      </c>
      <c r="B6305" s="8" t="s">
        <v>28019</v>
      </c>
      <c r="C6305" s="8" t="s">
        <v>28019</v>
      </c>
      <c r="F6305" s="47" t="s">
        <v>58180</v>
      </c>
      <c r="G6305" s="8">
        <v>3</v>
      </c>
      <c r="H6305" s="8" t="s">
        <v>21</v>
      </c>
      <c r="I6305" s="8" t="s">
        <v>567</v>
      </c>
      <c r="J6305" s="8" t="s">
        <v>567</v>
      </c>
      <c r="K6305" s="8" t="s">
        <v>10621</v>
      </c>
      <c r="L6305" s="8" t="s">
        <v>26994</v>
      </c>
      <c r="M6305" s="8" t="s">
        <v>26995</v>
      </c>
      <c r="N6305" s="8" t="s">
        <v>28020</v>
      </c>
      <c r="O6305" s="8">
        <f>17+14/60+32.5/3600</f>
        <v>17.242361111111112</v>
      </c>
      <c r="P6305" s="8" t="s">
        <v>28021</v>
      </c>
      <c r="Q6305" s="8">
        <f>-(29+27/60+42/3600)</f>
        <v>-29.461666666666666</v>
      </c>
      <c r="R6305" s="8">
        <v>8.3000000000000007</v>
      </c>
      <c r="S6305" s="8">
        <v>99</v>
      </c>
      <c r="T6305" s="8">
        <v>99</v>
      </c>
      <c r="U6305" s="8">
        <v>99</v>
      </c>
      <c r="V6305" s="8">
        <v>8</v>
      </c>
      <c r="Y6305" s="8" t="s">
        <v>28022</v>
      </c>
      <c r="Z6305" s="8" t="s">
        <v>28023</v>
      </c>
    </row>
    <row r="6306" spans="1:26" x14ac:dyDescent="0.2">
      <c r="A6306" s="8">
        <v>6305</v>
      </c>
      <c r="B6306" s="8" t="s">
        <v>28024</v>
      </c>
      <c r="C6306" s="8" t="s">
        <v>28024</v>
      </c>
      <c r="F6306" s="47"/>
      <c r="G6306" s="8">
        <v>16</v>
      </c>
      <c r="H6306" s="8" t="s">
        <v>21</v>
      </c>
      <c r="I6306" s="8" t="s">
        <v>22</v>
      </c>
      <c r="J6306" s="8" t="s">
        <v>22</v>
      </c>
      <c r="K6306" s="8" t="s">
        <v>118</v>
      </c>
      <c r="L6306" s="8" t="s">
        <v>27529</v>
      </c>
      <c r="M6306" s="8" t="s">
        <v>27530</v>
      </c>
      <c r="N6306" s="8" t="s">
        <v>28025</v>
      </c>
      <c r="O6306" s="8">
        <f>17+18/60+0.9/3600</f>
        <v>17.300250000000002</v>
      </c>
      <c r="P6306" s="8" t="s">
        <v>28026</v>
      </c>
      <c r="Q6306" s="8">
        <f>-(59+10/60+16/3600)</f>
        <v>-59.171111111111109</v>
      </c>
      <c r="R6306" s="8">
        <v>12.1</v>
      </c>
      <c r="S6306" s="8">
        <v>13.2</v>
      </c>
      <c r="T6306" s="8">
        <v>1.1000000000000001</v>
      </c>
      <c r="U6306" s="8">
        <v>12.7</v>
      </c>
      <c r="V6306" s="8">
        <v>1.4</v>
      </c>
      <c r="W6306" s="8">
        <v>0.8</v>
      </c>
      <c r="X6306" s="8">
        <v>133</v>
      </c>
      <c r="Y6306" s="8" t="s">
        <v>6395</v>
      </c>
      <c r="Z6306" s="8" t="s">
        <v>6396</v>
      </c>
    </row>
    <row r="6307" spans="1:26" x14ac:dyDescent="0.2">
      <c r="A6307" s="8">
        <v>6306</v>
      </c>
      <c r="B6307" s="8" t="s">
        <v>28027</v>
      </c>
      <c r="C6307" s="8" t="s">
        <v>28027</v>
      </c>
      <c r="F6307" s="47"/>
      <c r="G6307" s="8">
        <v>19</v>
      </c>
      <c r="H6307" s="8" t="s">
        <v>21</v>
      </c>
      <c r="I6307" s="8" t="s">
        <v>22</v>
      </c>
      <c r="J6307" s="8" t="s">
        <v>22</v>
      </c>
      <c r="K6307" s="8" t="s">
        <v>4023</v>
      </c>
      <c r="L6307" s="8" t="s">
        <v>13395</v>
      </c>
      <c r="M6307" s="8" t="s">
        <v>13396</v>
      </c>
      <c r="N6307" s="8" t="s">
        <v>28028</v>
      </c>
      <c r="O6307" s="8">
        <f>17+7/60+36.9/3600</f>
        <v>17.126916666666666</v>
      </c>
      <c r="P6307" s="8" t="s">
        <v>28029</v>
      </c>
      <c r="Q6307" s="8">
        <f>+(60+43/60+45/3600)</f>
        <v>60.729166666666671</v>
      </c>
      <c r="R6307" s="8">
        <v>13.7</v>
      </c>
      <c r="S6307" s="8">
        <v>14.4</v>
      </c>
      <c r="T6307" s="8">
        <v>0.7</v>
      </c>
      <c r="U6307" s="8">
        <v>12.2</v>
      </c>
      <c r="V6307" s="8">
        <v>1</v>
      </c>
      <c r="W6307" s="8">
        <v>0.3</v>
      </c>
      <c r="X6307" s="8">
        <v>166</v>
      </c>
      <c r="Y6307" s="8" t="s">
        <v>2500</v>
      </c>
      <c r="Z6307" s="8" t="s">
        <v>2501</v>
      </c>
    </row>
    <row r="6308" spans="1:26" x14ac:dyDescent="0.2">
      <c r="A6308" s="8">
        <v>6307</v>
      </c>
      <c r="B6308" s="8" t="s">
        <v>28030</v>
      </c>
      <c r="C6308" s="8" t="s">
        <v>28030</v>
      </c>
      <c r="F6308" s="47"/>
      <c r="G6308" s="8">
        <v>18</v>
      </c>
      <c r="H6308" s="8" t="s">
        <v>21</v>
      </c>
      <c r="I6308" s="8" t="s">
        <v>22</v>
      </c>
      <c r="J6308" s="8" t="s">
        <v>22</v>
      </c>
      <c r="K6308" s="8" t="s">
        <v>435</v>
      </c>
      <c r="L6308" s="8" t="s">
        <v>13395</v>
      </c>
      <c r="M6308" s="8" t="s">
        <v>13396</v>
      </c>
      <c r="N6308" s="8" t="s">
        <v>28031</v>
      </c>
      <c r="O6308" s="8">
        <f>17+7/60+40.4/3600</f>
        <v>17.12788888888889</v>
      </c>
      <c r="P6308" s="8" t="s">
        <v>28032</v>
      </c>
      <c r="Q6308" s="8">
        <f>+(60+45/60+2/3600)</f>
        <v>60.750555555555557</v>
      </c>
      <c r="R6308" s="8">
        <v>12.9</v>
      </c>
      <c r="S6308" s="8">
        <v>13.8</v>
      </c>
      <c r="T6308" s="8">
        <v>0.9</v>
      </c>
      <c r="U6308" s="8">
        <v>13</v>
      </c>
      <c r="V6308" s="8">
        <v>1.3</v>
      </c>
      <c r="W6308" s="8">
        <v>1</v>
      </c>
      <c r="X6308" s="8">
        <v>145</v>
      </c>
      <c r="Y6308" s="8" t="s">
        <v>28033</v>
      </c>
      <c r="Z6308" s="8" t="s">
        <v>28034</v>
      </c>
    </row>
    <row r="6309" spans="1:26" x14ac:dyDescent="0.2">
      <c r="A6309" s="8">
        <v>6308</v>
      </c>
      <c r="B6309" s="8" t="s">
        <v>28035</v>
      </c>
      <c r="C6309" s="8" t="s">
        <v>28035</v>
      </c>
      <c r="F6309" s="47"/>
      <c r="G6309" s="8">
        <v>18</v>
      </c>
      <c r="H6309" s="8" t="s">
        <v>21</v>
      </c>
      <c r="I6309" s="8" t="s">
        <v>22</v>
      </c>
      <c r="J6309" s="8" t="s">
        <v>22</v>
      </c>
      <c r="K6309" s="8" t="s">
        <v>64</v>
      </c>
      <c r="L6309" s="8" t="s">
        <v>26804</v>
      </c>
      <c r="M6309" s="8" t="s">
        <v>26805</v>
      </c>
      <c r="N6309" s="8" t="s">
        <v>28036</v>
      </c>
      <c r="O6309" s="8">
        <f>17+11/60+59.7/3600</f>
        <v>17.199916666666667</v>
      </c>
      <c r="P6309" s="8" t="s">
        <v>28037</v>
      </c>
      <c r="Q6309" s="8">
        <f>+(23+22/60+46/3600)</f>
        <v>23.379444444444445</v>
      </c>
      <c r="R6309" s="8">
        <v>13.4</v>
      </c>
      <c r="S6309" s="8">
        <v>14.1</v>
      </c>
      <c r="T6309" s="8">
        <v>0.7</v>
      </c>
      <c r="U6309" s="8">
        <v>13.5</v>
      </c>
      <c r="V6309" s="8">
        <v>1.1000000000000001</v>
      </c>
      <c r="W6309" s="8">
        <v>1</v>
      </c>
      <c r="X6309" s="8">
        <v>150</v>
      </c>
      <c r="Y6309" s="8" t="s">
        <v>26749</v>
      </c>
      <c r="Z6309" s="8" t="s">
        <v>26750</v>
      </c>
    </row>
    <row r="6310" spans="1:26" x14ac:dyDescent="0.2">
      <c r="A6310" s="8">
        <v>6309</v>
      </c>
      <c r="B6310" s="8" t="s">
        <v>28038</v>
      </c>
      <c r="C6310" s="8" t="s">
        <v>28038</v>
      </c>
      <c r="F6310" s="47"/>
      <c r="G6310" s="8">
        <v>5</v>
      </c>
      <c r="H6310" s="8" t="s">
        <v>28039</v>
      </c>
      <c r="I6310" s="8" t="s">
        <v>241</v>
      </c>
      <c r="J6310" s="8" t="s">
        <v>241</v>
      </c>
      <c r="K6310" s="8" t="s">
        <v>241</v>
      </c>
      <c r="L6310" s="8" t="s">
        <v>26994</v>
      </c>
      <c r="M6310" s="8" t="s">
        <v>26995</v>
      </c>
      <c r="N6310" s="8" t="s">
        <v>28040</v>
      </c>
      <c r="O6310" s="8">
        <f>17+14/60+4.3/3600</f>
        <v>17.234527777777778</v>
      </c>
      <c r="P6310" s="8" t="s">
        <v>28041</v>
      </c>
      <c r="Q6310" s="8">
        <f>-(12+54/60+37/3600)</f>
        <v>-12.910277777777779</v>
      </c>
      <c r="R6310" s="8">
        <v>11.5</v>
      </c>
      <c r="S6310" s="8">
        <v>10.8</v>
      </c>
      <c r="T6310" s="8">
        <v>99</v>
      </c>
      <c r="U6310" s="8">
        <v>99</v>
      </c>
      <c r="V6310" s="8">
        <v>0.32</v>
      </c>
      <c r="Y6310" s="8" t="s">
        <v>28042</v>
      </c>
      <c r="Z6310" s="8" t="s">
        <v>28043</v>
      </c>
    </row>
    <row r="6311" spans="1:26" x14ac:dyDescent="0.2">
      <c r="A6311" s="8">
        <v>6310</v>
      </c>
      <c r="B6311" s="8" t="s">
        <v>28044</v>
      </c>
      <c r="C6311" s="8" t="s">
        <v>28044</v>
      </c>
      <c r="F6311" s="47"/>
      <c r="G6311" s="8">
        <v>18</v>
      </c>
      <c r="H6311" s="8" t="s">
        <v>21</v>
      </c>
      <c r="I6311" s="8" t="s">
        <v>22</v>
      </c>
      <c r="J6311" s="8" t="s">
        <v>22</v>
      </c>
      <c r="K6311" s="8" t="s">
        <v>23</v>
      </c>
      <c r="L6311" s="8" t="s">
        <v>13395</v>
      </c>
      <c r="M6311" s="8" t="s">
        <v>13396</v>
      </c>
      <c r="N6311" s="8" t="s">
        <v>28045</v>
      </c>
      <c r="O6311" s="8">
        <f>17+7/60+57.3/3600</f>
        <v>17.132583333333333</v>
      </c>
      <c r="P6311" s="8" t="s">
        <v>28046</v>
      </c>
      <c r="Q6311" s="8">
        <f>+(60+59/60+25/3600)</f>
        <v>60.990277777777777</v>
      </c>
      <c r="R6311" s="8">
        <v>13.1</v>
      </c>
      <c r="S6311" s="8">
        <v>13.9</v>
      </c>
      <c r="T6311" s="8">
        <v>0.8</v>
      </c>
      <c r="U6311" s="8">
        <v>12.7</v>
      </c>
      <c r="V6311" s="8">
        <v>1.9</v>
      </c>
      <c r="W6311" s="8">
        <v>0.4</v>
      </c>
      <c r="X6311" s="8">
        <v>69</v>
      </c>
      <c r="Y6311" s="8" t="s">
        <v>7594</v>
      </c>
      <c r="Z6311" s="8" t="s">
        <v>7595</v>
      </c>
    </row>
    <row r="6312" spans="1:26" x14ac:dyDescent="0.2">
      <c r="A6312" s="8">
        <v>6311</v>
      </c>
      <c r="B6312" s="8" t="s">
        <v>28047</v>
      </c>
      <c r="C6312" s="8" t="s">
        <v>28047</v>
      </c>
      <c r="F6312" s="47"/>
      <c r="G6312" s="8">
        <v>18</v>
      </c>
      <c r="H6312" s="8" t="s">
        <v>21</v>
      </c>
      <c r="I6312" s="8" t="s">
        <v>22</v>
      </c>
      <c r="J6312" s="8" t="s">
        <v>22</v>
      </c>
      <c r="K6312" s="8" t="s">
        <v>460</v>
      </c>
      <c r="L6312" s="8" t="s">
        <v>26804</v>
      </c>
      <c r="M6312" s="8" t="s">
        <v>26805</v>
      </c>
      <c r="N6312" s="8" t="s">
        <v>28048</v>
      </c>
      <c r="O6312" s="8">
        <f>17+10/60+43.5/3600</f>
        <v>17.178750000000001</v>
      </c>
      <c r="P6312" s="8" t="s">
        <v>28049</v>
      </c>
      <c r="Q6312" s="8">
        <f>+(41+39/60+4/3600)</f>
        <v>41.651111111111106</v>
      </c>
      <c r="R6312" s="8">
        <v>13.5</v>
      </c>
      <c r="S6312" s="8">
        <v>14.5</v>
      </c>
      <c r="T6312" s="8">
        <v>1</v>
      </c>
      <c r="U6312" s="8">
        <v>13.7</v>
      </c>
      <c r="V6312" s="8">
        <v>1.1000000000000001</v>
      </c>
      <c r="W6312" s="8">
        <v>1.1000000000000001</v>
      </c>
      <c r="Y6312" s="8" t="s">
        <v>12996</v>
      </c>
      <c r="Z6312" s="8" t="s">
        <v>12997</v>
      </c>
    </row>
    <row r="6313" spans="1:26" x14ac:dyDescent="0.2">
      <c r="A6313" s="8">
        <v>6312</v>
      </c>
      <c r="B6313" s="8" t="s">
        <v>28050</v>
      </c>
      <c r="C6313" s="8" t="s">
        <v>28050</v>
      </c>
      <c r="F6313" s="47"/>
      <c r="G6313" s="8">
        <v>19</v>
      </c>
      <c r="H6313" s="8" t="s">
        <v>21</v>
      </c>
      <c r="I6313" s="8" t="s">
        <v>22</v>
      </c>
      <c r="J6313" s="8" t="s">
        <v>22</v>
      </c>
      <c r="K6313" s="8" t="s">
        <v>424</v>
      </c>
      <c r="L6313" s="8" t="s">
        <v>26804</v>
      </c>
      <c r="M6313" s="8" t="s">
        <v>26805</v>
      </c>
      <c r="N6313" s="8" t="s">
        <v>28051</v>
      </c>
      <c r="O6313" s="8">
        <f>17+10/60+48.1/3600</f>
        <v>17.180027777777777</v>
      </c>
      <c r="P6313" s="8" t="s">
        <v>28052</v>
      </c>
      <c r="Q6313" s="8">
        <f>+(42+17/60+17/3600)</f>
        <v>42.288055555555552</v>
      </c>
      <c r="R6313" s="8">
        <v>14.2</v>
      </c>
      <c r="S6313" s="8">
        <v>15.2</v>
      </c>
      <c r="T6313" s="8">
        <v>1</v>
      </c>
      <c r="U6313" s="8">
        <v>13.3</v>
      </c>
      <c r="V6313" s="8">
        <v>0.7</v>
      </c>
      <c r="W6313" s="8">
        <v>0.7</v>
      </c>
      <c r="Y6313" s="8" t="s">
        <v>28053</v>
      </c>
      <c r="Z6313" s="8" t="s">
        <v>28054</v>
      </c>
    </row>
    <row r="6314" spans="1:26" x14ac:dyDescent="0.2">
      <c r="A6314" s="8">
        <v>6313</v>
      </c>
      <c r="B6314" s="8" t="s">
        <v>28055</v>
      </c>
      <c r="C6314" s="8" t="s">
        <v>28055</v>
      </c>
      <c r="F6314" s="47"/>
      <c r="G6314" s="8">
        <v>19</v>
      </c>
      <c r="H6314" s="8" t="s">
        <v>21</v>
      </c>
      <c r="I6314" s="8" t="s">
        <v>22</v>
      </c>
      <c r="J6314" s="8" t="s">
        <v>22</v>
      </c>
      <c r="K6314" s="8" t="s">
        <v>31</v>
      </c>
      <c r="L6314" s="8" t="s">
        <v>26804</v>
      </c>
      <c r="M6314" s="8" t="s">
        <v>26805</v>
      </c>
      <c r="N6314" s="8" t="s">
        <v>28056</v>
      </c>
      <c r="O6314" s="8">
        <f>17+10/60+20.7/3600</f>
        <v>17.172416666666667</v>
      </c>
      <c r="P6314" s="8" t="s">
        <v>28057</v>
      </c>
      <c r="Q6314" s="8">
        <f>+(48+19/60+54/3600)</f>
        <v>48.331666666666671</v>
      </c>
      <c r="R6314" s="8">
        <v>13.9</v>
      </c>
      <c r="S6314" s="8">
        <v>14.7</v>
      </c>
      <c r="T6314" s="8">
        <v>0.8</v>
      </c>
      <c r="U6314" s="8">
        <v>13</v>
      </c>
      <c r="V6314" s="8">
        <v>1.3</v>
      </c>
      <c r="W6314" s="8">
        <v>0.4</v>
      </c>
      <c r="X6314" s="8">
        <v>156</v>
      </c>
      <c r="Y6314" s="8" t="s">
        <v>28058</v>
      </c>
      <c r="Z6314" s="8" t="s">
        <v>28059</v>
      </c>
    </row>
    <row r="6315" spans="1:26" x14ac:dyDescent="0.2">
      <c r="A6315" s="8">
        <v>6314</v>
      </c>
      <c r="B6315" s="8" t="s">
        <v>28060</v>
      </c>
      <c r="C6315" s="8" t="s">
        <v>28060</v>
      </c>
      <c r="F6315" s="47"/>
      <c r="G6315" s="8">
        <v>18</v>
      </c>
      <c r="H6315" s="8" t="s">
        <v>21</v>
      </c>
      <c r="I6315" s="8" t="s">
        <v>22</v>
      </c>
      <c r="J6315" s="8" t="s">
        <v>22</v>
      </c>
      <c r="K6315" s="8" t="s">
        <v>91</v>
      </c>
      <c r="L6315" s="8" t="s">
        <v>26804</v>
      </c>
      <c r="M6315" s="8" t="s">
        <v>26805</v>
      </c>
      <c r="N6315" s="8" t="s">
        <v>28061</v>
      </c>
      <c r="O6315" s="8">
        <f>17+12/60+38.7/3600</f>
        <v>17.210750000000001</v>
      </c>
      <c r="P6315" s="8" t="s">
        <v>28062</v>
      </c>
      <c r="Q6315" s="8">
        <f>+(23+16/60+14/3600)</f>
        <v>23.270555555555553</v>
      </c>
      <c r="R6315" s="8">
        <v>13</v>
      </c>
      <c r="S6315" s="8">
        <v>13.8</v>
      </c>
      <c r="T6315" s="8">
        <v>0.8</v>
      </c>
      <c r="U6315" s="8">
        <v>12.8</v>
      </c>
      <c r="V6315" s="8">
        <v>1.6</v>
      </c>
      <c r="W6315" s="8">
        <v>0.7</v>
      </c>
      <c r="X6315" s="8">
        <v>175</v>
      </c>
      <c r="Y6315" s="8" t="s">
        <v>3952</v>
      </c>
      <c r="Z6315" s="8" t="s">
        <v>3953</v>
      </c>
    </row>
    <row r="6316" spans="1:26" x14ac:dyDescent="0.2">
      <c r="A6316" s="8">
        <v>6315</v>
      </c>
      <c r="B6316" s="8" t="s">
        <v>28063</v>
      </c>
      <c r="C6316" s="8" t="s">
        <v>28063</v>
      </c>
      <c r="F6316" s="47"/>
      <c r="G6316" s="8">
        <v>18</v>
      </c>
      <c r="H6316" s="8" t="s">
        <v>21</v>
      </c>
      <c r="I6316" s="8" t="s">
        <v>22</v>
      </c>
      <c r="J6316" s="8" t="s">
        <v>22</v>
      </c>
      <c r="K6316" s="8" t="s">
        <v>64</v>
      </c>
      <c r="L6316" s="8" t="s">
        <v>26804</v>
      </c>
      <c r="M6316" s="8" t="s">
        <v>26805</v>
      </c>
      <c r="N6316" s="8" t="s">
        <v>28064</v>
      </c>
      <c r="O6316" s="8">
        <f>17+12/60+46/3600</f>
        <v>17.212777777777777</v>
      </c>
      <c r="P6316" s="8" t="s">
        <v>28065</v>
      </c>
      <c r="Q6316" s="8">
        <f>+(23+13/60+25/3600)</f>
        <v>23.223611111111108</v>
      </c>
      <c r="R6316" s="8">
        <v>13.2</v>
      </c>
      <c r="S6316" s="8">
        <v>14.2</v>
      </c>
      <c r="T6316" s="8">
        <v>1</v>
      </c>
      <c r="U6316" s="8">
        <v>12.9</v>
      </c>
      <c r="V6316" s="8">
        <v>0.8</v>
      </c>
      <c r="W6316" s="8">
        <v>0.6</v>
      </c>
      <c r="X6316" s="8">
        <v>36</v>
      </c>
      <c r="Y6316" s="8" t="s">
        <v>745</v>
      </c>
      <c r="Z6316" s="8" t="s">
        <v>746</v>
      </c>
    </row>
    <row r="6317" spans="1:26" x14ac:dyDescent="0.2">
      <c r="A6317" s="8">
        <v>6316</v>
      </c>
      <c r="B6317" s="8" t="s">
        <v>28066</v>
      </c>
      <c r="C6317" s="8" t="s">
        <v>28066</v>
      </c>
      <c r="F6317" s="47" t="s">
        <v>58181</v>
      </c>
      <c r="G6317" s="8">
        <v>3</v>
      </c>
      <c r="H6317" s="8" t="s">
        <v>21</v>
      </c>
      <c r="I6317" s="8" t="s">
        <v>567</v>
      </c>
      <c r="J6317" s="8" t="s">
        <v>567</v>
      </c>
      <c r="K6317" s="8" t="s">
        <v>568</v>
      </c>
      <c r="L6317" s="8" t="s">
        <v>26994</v>
      </c>
      <c r="M6317" s="8" t="s">
        <v>26995</v>
      </c>
      <c r="N6317" s="8" t="s">
        <v>28067</v>
      </c>
      <c r="O6317" s="8">
        <f>17+16/60+37.4/3600</f>
        <v>17.277055555555556</v>
      </c>
      <c r="P6317" s="8" t="s">
        <v>28068</v>
      </c>
      <c r="Q6317" s="8">
        <f>-(28+8/60+22/3600)</f>
        <v>-28.139444444444443</v>
      </c>
      <c r="R6317" s="8">
        <v>8.1</v>
      </c>
      <c r="S6317" s="8">
        <v>99</v>
      </c>
      <c r="T6317" s="8">
        <v>99</v>
      </c>
      <c r="U6317" s="8">
        <v>99</v>
      </c>
      <c r="V6317" s="8">
        <v>5.4</v>
      </c>
      <c r="Y6317" s="8" t="s">
        <v>28069</v>
      </c>
      <c r="Z6317" s="8" t="s">
        <v>28070</v>
      </c>
    </row>
    <row r="6318" spans="1:26" x14ac:dyDescent="0.2">
      <c r="A6318" s="8">
        <v>6317</v>
      </c>
      <c r="B6318" s="8" t="s">
        <v>28071</v>
      </c>
      <c r="C6318" s="8" t="s">
        <v>28071</v>
      </c>
      <c r="F6318" s="47"/>
      <c r="G6318" s="8">
        <v>19</v>
      </c>
      <c r="H6318" s="8" t="s">
        <v>21</v>
      </c>
      <c r="I6318" s="8" t="s">
        <v>22</v>
      </c>
      <c r="J6318" s="8" t="s">
        <v>22</v>
      </c>
      <c r="K6318" s="8" t="s">
        <v>160</v>
      </c>
      <c r="L6318" s="8" t="s">
        <v>13395</v>
      </c>
      <c r="M6318" s="8" t="s">
        <v>13396</v>
      </c>
      <c r="N6318" s="8" t="s">
        <v>28072</v>
      </c>
      <c r="O6318" s="8">
        <f>17+8/60+59.3/3600</f>
        <v>17.149805555555556</v>
      </c>
      <c r="P6318" s="8" t="s">
        <v>28073</v>
      </c>
      <c r="Q6318" s="8">
        <f>+(62+53/60+53/3600)</f>
        <v>62.898055555555558</v>
      </c>
      <c r="R6318" s="8">
        <v>15.1</v>
      </c>
      <c r="S6318" s="8">
        <v>16.100000000000001</v>
      </c>
      <c r="T6318" s="8">
        <v>1</v>
      </c>
      <c r="U6318" s="8">
        <v>14.2</v>
      </c>
      <c r="V6318" s="8">
        <v>1.2</v>
      </c>
      <c r="W6318" s="8">
        <v>0.4</v>
      </c>
      <c r="X6318" s="8">
        <v>51</v>
      </c>
      <c r="Y6318" s="8" t="s">
        <v>28074</v>
      </c>
      <c r="Z6318" s="8" t="s">
        <v>28075</v>
      </c>
    </row>
    <row r="6319" spans="1:26" x14ac:dyDescent="0.2">
      <c r="A6319" s="8">
        <v>6318</v>
      </c>
      <c r="B6319" s="8" t="s">
        <v>28076</v>
      </c>
      <c r="C6319" s="8" t="s">
        <v>28076</v>
      </c>
      <c r="F6319" s="47"/>
      <c r="G6319" s="8">
        <v>3</v>
      </c>
      <c r="H6319" s="8" t="s">
        <v>21</v>
      </c>
      <c r="I6319" s="8" t="s">
        <v>557</v>
      </c>
      <c r="J6319" s="8" t="s">
        <v>557</v>
      </c>
      <c r="K6319" s="8" t="s">
        <v>987</v>
      </c>
      <c r="L6319" s="8" t="s">
        <v>26735</v>
      </c>
      <c r="M6319" s="8" t="s">
        <v>26736</v>
      </c>
      <c r="N6319" s="8" t="s">
        <v>28077</v>
      </c>
      <c r="O6319" s="8">
        <f>17+16/60+13.4/3600</f>
        <v>17.270388888888888</v>
      </c>
      <c r="P6319" s="8" t="s">
        <v>28078</v>
      </c>
      <c r="Q6319" s="8">
        <f>-(39+25/60+26/3600)</f>
        <v>-39.423888888888889</v>
      </c>
      <c r="R6319" s="8">
        <v>11.8</v>
      </c>
      <c r="S6319" s="8">
        <v>99</v>
      </c>
      <c r="T6319" s="8">
        <v>99</v>
      </c>
      <c r="U6319" s="8">
        <v>99</v>
      </c>
      <c r="V6319" s="8">
        <v>5</v>
      </c>
      <c r="Y6319" s="8" t="s">
        <v>28079</v>
      </c>
      <c r="Z6319" s="8" t="s">
        <v>28080</v>
      </c>
    </row>
    <row r="6320" spans="1:26" x14ac:dyDescent="0.2">
      <c r="A6320" s="8">
        <v>6319</v>
      </c>
      <c r="B6320" s="8" t="s">
        <v>28081</v>
      </c>
      <c r="C6320" s="8" t="s">
        <v>28081</v>
      </c>
      <c r="F6320" s="47"/>
      <c r="G6320" s="8">
        <v>19</v>
      </c>
      <c r="H6320" s="8" t="s">
        <v>21</v>
      </c>
      <c r="I6320" s="8" t="s">
        <v>22</v>
      </c>
      <c r="J6320" s="8" t="s">
        <v>22</v>
      </c>
      <c r="K6320" s="8" t="s">
        <v>58</v>
      </c>
      <c r="L6320" s="8" t="s">
        <v>13395</v>
      </c>
      <c r="M6320" s="8" t="s">
        <v>13396</v>
      </c>
      <c r="N6320" s="8" t="s">
        <v>28082</v>
      </c>
      <c r="O6320" s="8">
        <f>17+9/60+44.1/3600</f>
        <v>17.16225</v>
      </c>
      <c r="P6320" s="8" t="s">
        <v>28083</v>
      </c>
      <c r="Q6320" s="8">
        <f>+(62+58/60+23/3600)</f>
        <v>62.973055555555554</v>
      </c>
      <c r="R6320" s="8">
        <v>13.4</v>
      </c>
      <c r="S6320" s="8">
        <v>14.4</v>
      </c>
      <c r="T6320" s="8">
        <v>1</v>
      </c>
      <c r="U6320" s="8">
        <v>13</v>
      </c>
      <c r="V6320" s="8">
        <v>0.8</v>
      </c>
      <c r="W6320" s="8">
        <v>0.8</v>
      </c>
      <c r="Y6320" s="8" t="s">
        <v>28084</v>
      </c>
      <c r="Z6320" s="8" t="s">
        <v>28085</v>
      </c>
    </row>
    <row r="6321" spans="1:26" x14ac:dyDescent="0.2">
      <c r="A6321" s="8">
        <v>6320</v>
      </c>
      <c r="B6321" s="8" t="s">
        <v>28086</v>
      </c>
      <c r="C6321" s="8" t="s">
        <v>28086</v>
      </c>
      <c r="F6321" s="47"/>
      <c r="G6321" s="8">
        <v>18</v>
      </c>
      <c r="H6321" s="8" t="s">
        <v>21</v>
      </c>
      <c r="I6321" s="8" t="s">
        <v>22</v>
      </c>
      <c r="J6321" s="8" t="s">
        <v>22</v>
      </c>
      <c r="K6321" s="8" t="s">
        <v>396</v>
      </c>
      <c r="L6321" s="8" t="s">
        <v>26804</v>
      </c>
      <c r="M6321" s="8" t="s">
        <v>26805</v>
      </c>
      <c r="N6321" s="8" t="s">
        <v>28087</v>
      </c>
      <c r="O6321" s="8">
        <f>17+12/60+55.6/3600</f>
        <v>17.215444444444444</v>
      </c>
      <c r="P6321" s="8" t="s">
        <v>28088</v>
      </c>
      <c r="Q6321" s="8">
        <f>+(40+16/60+2/3600)</f>
        <v>40.267222222222223</v>
      </c>
      <c r="R6321" s="8">
        <v>13.9</v>
      </c>
      <c r="S6321" s="8">
        <v>14.7</v>
      </c>
      <c r="T6321" s="8">
        <v>0.8</v>
      </c>
      <c r="U6321" s="8">
        <v>13.7</v>
      </c>
      <c r="V6321" s="8">
        <v>1.2</v>
      </c>
      <c r="W6321" s="8">
        <v>0.8</v>
      </c>
      <c r="X6321" s="8">
        <v>103</v>
      </c>
      <c r="Y6321" s="8" t="s">
        <v>28089</v>
      </c>
      <c r="Z6321" s="8" t="s">
        <v>28090</v>
      </c>
    </row>
    <row r="6322" spans="1:26" x14ac:dyDescent="0.2">
      <c r="A6322" s="8">
        <v>6321</v>
      </c>
      <c r="B6322" s="8" t="s">
        <v>28091</v>
      </c>
      <c r="C6322" s="8" t="s">
        <v>28091</v>
      </c>
      <c r="F6322" s="47"/>
      <c r="G6322" s="8">
        <v>18</v>
      </c>
      <c r="H6322" s="8" t="s">
        <v>21</v>
      </c>
      <c r="I6322" s="8" t="s">
        <v>22</v>
      </c>
      <c r="J6322" s="8" t="s">
        <v>22</v>
      </c>
      <c r="K6322" s="8" t="s">
        <v>85</v>
      </c>
      <c r="L6322" s="8" t="s">
        <v>26804</v>
      </c>
      <c r="M6322" s="8" t="s">
        <v>26805</v>
      </c>
      <c r="N6322" s="8" t="s">
        <v>28092</v>
      </c>
      <c r="O6322" s="8">
        <f>17+14/60+24.1/3600</f>
        <v>17.24002777777778</v>
      </c>
      <c r="P6322" s="8" t="s">
        <v>28093</v>
      </c>
      <c r="Q6322" s="8">
        <f>+(20+18/60+49/3600)</f>
        <v>20.313611111111111</v>
      </c>
      <c r="R6322" s="8">
        <v>13.4</v>
      </c>
      <c r="S6322" s="8">
        <v>14.2</v>
      </c>
      <c r="T6322" s="8">
        <v>0.8</v>
      </c>
      <c r="U6322" s="8">
        <v>13.4</v>
      </c>
      <c r="V6322" s="8">
        <v>1.1000000000000001</v>
      </c>
      <c r="W6322" s="8">
        <v>1</v>
      </c>
      <c r="X6322" s="8">
        <v>63</v>
      </c>
      <c r="Y6322" s="8" t="s">
        <v>28094</v>
      </c>
      <c r="Z6322" s="8" t="s">
        <v>28095</v>
      </c>
    </row>
    <row r="6323" spans="1:26" x14ac:dyDescent="0.2">
      <c r="A6323" s="8">
        <v>6322</v>
      </c>
      <c r="B6323" s="8" t="s">
        <v>28096</v>
      </c>
      <c r="C6323" s="8" t="s">
        <v>28096</v>
      </c>
      <c r="F6323" s="47"/>
      <c r="G6323" s="8">
        <v>5</v>
      </c>
      <c r="H6323" s="8" t="s">
        <v>21</v>
      </c>
      <c r="I6323" s="8" t="s">
        <v>557</v>
      </c>
      <c r="J6323" s="8" t="s">
        <v>557</v>
      </c>
      <c r="K6323" s="8" t="s">
        <v>7705</v>
      </c>
      <c r="L6323" s="8" t="s">
        <v>26735</v>
      </c>
      <c r="M6323" s="8" t="s">
        <v>26736</v>
      </c>
      <c r="N6323" s="8" t="s">
        <v>28097</v>
      </c>
      <c r="O6323" s="8">
        <f>17+18/60+25.7/3600</f>
        <v>17.30713888888889</v>
      </c>
      <c r="P6323" s="8" t="s">
        <v>28098</v>
      </c>
      <c r="Q6323" s="8">
        <f>-(42+56/60+2/3600)</f>
        <v>-42.933888888888887</v>
      </c>
      <c r="R6323" s="8">
        <v>6</v>
      </c>
      <c r="S6323" s="8">
        <v>99</v>
      </c>
      <c r="T6323" s="8">
        <v>99</v>
      </c>
      <c r="U6323" s="8">
        <v>99</v>
      </c>
      <c r="V6323" s="8">
        <v>5</v>
      </c>
      <c r="Y6323" s="8" t="s">
        <v>28099</v>
      </c>
      <c r="Z6323" s="8" t="s">
        <v>28100</v>
      </c>
    </row>
    <row r="6324" spans="1:26" x14ac:dyDescent="0.2">
      <c r="A6324" s="8">
        <v>6323</v>
      </c>
      <c r="B6324" s="8" t="s">
        <v>28101</v>
      </c>
      <c r="C6324" s="8" t="s">
        <v>28101</v>
      </c>
      <c r="F6324" s="47"/>
      <c r="G6324" s="8">
        <v>18</v>
      </c>
      <c r="H6324" s="8" t="s">
        <v>21</v>
      </c>
      <c r="I6324" s="8" t="s">
        <v>22</v>
      </c>
      <c r="J6324" s="8" t="s">
        <v>22</v>
      </c>
      <c r="K6324" s="8" t="s">
        <v>31</v>
      </c>
      <c r="L6324" s="8" t="s">
        <v>26804</v>
      </c>
      <c r="M6324" s="8" t="s">
        <v>26805</v>
      </c>
      <c r="N6324" s="8" t="s">
        <v>28102</v>
      </c>
      <c r="O6324" s="8">
        <f>17+13/60+17.9/3600</f>
        <v>17.221638888888886</v>
      </c>
      <c r="P6324" s="8" t="s">
        <v>28103</v>
      </c>
      <c r="Q6324" s="8">
        <f>+(43+46/60+56/3600)</f>
        <v>43.782222222222224</v>
      </c>
      <c r="R6324" s="8">
        <v>13.9</v>
      </c>
      <c r="S6324" s="8">
        <v>14.7</v>
      </c>
      <c r="T6324" s="8">
        <v>0.8</v>
      </c>
      <c r="U6324" s="8">
        <v>12.9</v>
      </c>
      <c r="V6324" s="8">
        <v>1.1000000000000001</v>
      </c>
      <c r="W6324" s="8">
        <v>0.4</v>
      </c>
      <c r="X6324" s="8">
        <v>172</v>
      </c>
      <c r="Y6324" s="8" t="s">
        <v>27097</v>
      </c>
      <c r="Z6324" s="8" t="s">
        <v>27098</v>
      </c>
    </row>
    <row r="6325" spans="1:26" x14ac:dyDescent="0.2">
      <c r="A6325" s="8">
        <v>6324</v>
      </c>
      <c r="B6325" s="8" t="s">
        <v>28104</v>
      </c>
      <c r="C6325" s="8" t="s">
        <v>28104</v>
      </c>
      <c r="F6325" s="47" t="s">
        <v>58182</v>
      </c>
      <c r="G6325" s="8">
        <v>15</v>
      </c>
      <c r="H6325" s="8" t="s">
        <v>21</v>
      </c>
      <c r="I6325" s="8" t="s">
        <v>22</v>
      </c>
      <c r="J6325" s="8" t="s">
        <v>22</v>
      </c>
      <c r="K6325" s="8" t="s">
        <v>396</v>
      </c>
      <c r="L6325" s="8" t="s">
        <v>14586</v>
      </c>
      <c r="M6325" s="8" t="s">
        <v>14587</v>
      </c>
      <c r="N6325" s="8" t="s">
        <v>28105</v>
      </c>
      <c r="O6325" s="8">
        <f>17+5/60+25.3/3600</f>
        <v>17.090361111111111</v>
      </c>
      <c r="P6325" s="8" t="s">
        <v>28106</v>
      </c>
      <c r="Q6325" s="8">
        <f>+(75+24/60+28/3600)</f>
        <v>75.407777777777781</v>
      </c>
      <c r="R6325" s="8">
        <v>12.9</v>
      </c>
      <c r="S6325" s="8">
        <v>13.7</v>
      </c>
      <c r="T6325" s="8">
        <v>0.8</v>
      </c>
      <c r="U6325" s="8">
        <v>12.2</v>
      </c>
      <c r="V6325" s="8">
        <v>1</v>
      </c>
      <c r="W6325" s="8">
        <v>0.6</v>
      </c>
      <c r="X6325" s="8">
        <v>72</v>
      </c>
      <c r="Y6325" s="8" t="s">
        <v>28107</v>
      </c>
      <c r="Z6325" s="8" t="s">
        <v>28108</v>
      </c>
    </row>
    <row r="6326" spans="1:26" x14ac:dyDescent="0.2">
      <c r="A6326" s="8">
        <v>6325</v>
      </c>
      <c r="B6326" s="8" t="s">
        <v>28109</v>
      </c>
      <c r="C6326" s="8" t="s">
        <v>28109</v>
      </c>
      <c r="F6326" s="47"/>
      <c r="G6326" s="8">
        <v>13</v>
      </c>
      <c r="H6326" s="8" t="s">
        <v>21</v>
      </c>
      <c r="I6326" s="8" t="s">
        <v>567</v>
      </c>
      <c r="J6326" s="8" t="s">
        <v>567</v>
      </c>
      <c r="K6326" s="8" t="s">
        <v>25121</v>
      </c>
      <c r="L6326" s="8" t="s">
        <v>26994</v>
      </c>
      <c r="M6326" s="8" t="s">
        <v>26995</v>
      </c>
      <c r="N6326" s="8" t="s">
        <v>28110</v>
      </c>
      <c r="O6326" s="8">
        <f>17+17/60+59.2/3600</f>
        <v>17.299777777777781</v>
      </c>
      <c r="P6326" s="8" t="s">
        <v>28111</v>
      </c>
      <c r="Q6326" s="8">
        <f>-(23+45/60+55/3600)</f>
        <v>-23.765277777777779</v>
      </c>
      <c r="R6326" s="8">
        <v>10.199999999999999</v>
      </c>
      <c r="S6326" s="8">
        <v>99</v>
      </c>
      <c r="T6326" s="8">
        <v>99</v>
      </c>
      <c r="U6326" s="8">
        <v>99</v>
      </c>
      <c r="V6326" s="8">
        <v>4.0999999999999996</v>
      </c>
      <c r="Y6326" s="8" t="s">
        <v>28112</v>
      </c>
      <c r="Z6326" s="8" t="s">
        <v>28113</v>
      </c>
    </row>
    <row r="6327" spans="1:26" x14ac:dyDescent="0.2">
      <c r="A6327" s="8">
        <v>6326</v>
      </c>
      <c r="B6327" s="8" t="s">
        <v>28114</v>
      </c>
      <c r="C6327" s="8" t="s">
        <v>28114</v>
      </c>
      <c r="F6327" s="47"/>
      <c r="G6327" s="8">
        <v>13</v>
      </c>
      <c r="H6327" s="8" t="s">
        <v>21</v>
      </c>
      <c r="I6327" s="8" t="s">
        <v>241</v>
      </c>
      <c r="J6327" s="8" t="s">
        <v>241</v>
      </c>
      <c r="K6327" s="8" t="s">
        <v>241</v>
      </c>
      <c r="L6327" s="8" t="s">
        <v>27529</v>
      </c>
      <c r="M6327" s="8" t="s">
        <v>27530</v>
      </c>
      <c r="N6327" s="8" t="s">
        <v>28115</v>
      </c>
      <c r="O6327" s="8">
        <f>17+20/60+46.4/3600</f>
        <v>17.34622222222222</v>
      </c>
      <c r="P6327" s="8" t="s">
        <v>28116</v>
      </c>
      <c r="Q6327" s="8">
        <f>-(51+45/60+14/3600)</f>
        <v>-51.753888888888888</v>
      </c>
      <c r="R6327" s="8">
        <v>99</v>
      </c>
      <c r="S6327" s="8">
        <v>12.2</v>
      </c>
      <c r="T6327" s="8">
        <v>99</v>
      </c>
      <c r="U6327" s="8">
        <v>99</v>
      </c>
      <c r="V6327" s="8">
        <v>0.32</v>
      </c>
      <c r="Y6327" s="8" t="s">
        <v>28117</v>
      </c>
      <c r="Z6327" s="8" t="s">
        <v>28118</v>
      </c>
    </row>
    <row r="6328" spans="1:26" x14ac:dyDescent="0.2">
      <c r="A6328" s="8">
        <v>6327</v>
      </c>
      <c r="B6328" s="8" t="s">
        <v>28119</v>
      </c>
      <c r="C6328" s="8" t="s">
        <v>28119</v>
      </c>
      <c r="F6328" s="47"/>
      <c r="G6328" s="8">
        <v>18</v>
      </c>
      <c r="H6328" s="8" t="s">
        <v>21</v>
      </c>
      <c r="I6328" s="8" t="s">
        <v>22</v>
      </c>
      <c r="J6328" s="8" t="s">
        <v>22</v>
      </c>
      <c r="K6328" s="8" t="s">
        <v>424</v>
      </c>
      <c r="L6328" s="8" t="s">
        <v>26804</v>
      </c>
      <c r="M6328" s="8" t="s">
        <v>26805</v>
      </c>
      <c r="N6328" s="8" t="s">
        <v>28120</v>
      </c>
      <c r="O6328" s="8">
        <f>17+14/60+2.2/3600</f>
        <v>17.233944444444447</v>
      </c>
      <c r="P6328" s="8" t="s">
        <v>28121</v>
      </c>
      <c r="Q6328" s="8">
        <f>+(43+38/60+56/3600)</f>
        <v>43.648888888888891</v>
      </c>
      <c r="R6328" s="8">
        <v>14.9</v>
      </c>
      <c r="S6328" s="8">
        <v>15.9</v>
      </c>
      <c r="T6328" s="8">
        <v>1</v>
      </c>
      <c r="U6328" s="8">
        <v>12.7</v>
      </c>
      <c r="V6328" s="8">
        <v>0.4</v>
      </c>
      <c r="W6328" s="8">
        <v>0.4</v>
      </c>
      <c r="Y6328" s="8" t="s">
        <v>27097</v>
      </c>
      <c r="Z6328" s="8" t="s">
        <v>27098</v>
      </c>
    </row>
    <row r="6329" spans="1:26" x14ac:dyDescent="0.2">
      <c r="A6329" s="8">
        <v>6328</v>
      </c>
      <c r="B6329" s="8" t="s">
        <v>28122</v>
      </c>
      <c r="C6329" s="8" t="s">
        <v>28122</v>
      </c>
      <c r="F6329" s="47"/>
      <c r="G6329" s="8">
        <v>16</v>
      </c>
      <c r="H6329" s="8" t="s">
        <v>21</v>
      </c>
      <c r="I6329" s="8" t="s">
        <v>22</v>
      </c>
      <c r="J6329" s="8" t="s">
        <v>22</v>
      </c>
      <c r="K6329" s="8" t="s">
        <v>406</v>
      </c>
      <c r="L6329" s="8" t="s">
        <v>27529</v>
      </c>
      <c r="M6329" s="8" t="s">
        <v>27530</v>
      </c>
      <c r="N6329" s="8" t="s">
        <v>28123</v>
      </c>
      <c r="O6329" s="8">
        <f>17+23/60+40.9/3600</f>
        <v>17.394694444444443</v>
      </c>
      <c r="P6329" s="8" t="s">
        <v>28124</v>
      </c>
      <c r="Q6329" s="8">
        <f>-(65+0/60+35/3600)</f>
        <v>-65.009722222222223</v>
      </c>
      <c r="R6329" s="8">
        <v>12.1</v>
      </c>
      <c r="S6329" s="8">
        <v>12.9</v>
      </c>
      <c r="T6329" s="8">
        <v>0.8</v>
      </c>
      <c r="U6329" s="8">
        <v>13.2</v>
      </c>
      <c r="V6329" s="8">
        <v>2.4</v>
      </c>
      <c r="W6329" s="8">
        <v>1.4</v>
      </c>
      <c r="X6329" s="8">
        <v>157</v>
      </c>
      <c r="Y6329" s="8" t="s">
        <v>28125</v>
      </c>
      <c r="Z6329" s="8" t="s">
        <v>28126</v>
      </c>
    </row>
    <row r="6330" spans="1:26" x14ac:dyDescent="0.2">
      <c r="A6330" s="8">
        <v>6329</v>
      </c>
      <c r="B6330" s="8" t="s">
        <v>28127</v>
      </c>
      <c r="C6330" s="8" t="s">
        <v>28127</v>
      </c>
      <c r="F6330" s="47"/>
      <c r="G6330" s="8">
        <v>18</v>
      </c>
      <c r="H6330" s="8" t="s">
        <v>21</v>
      </c>
      <c r="I6330" s="8" t="s">
        <v>22</v>
      </c>
      <c r="J6330" s="8" t="s">
        <v>22</v>
      </c>
      <c r="K6330" s="8" t="s">
        <v>460</v>
      </c>
      <c r="L6330" s="8" t="s">
        <v>26804</v>
      </c>
      <c r="M6330" s="8" t="s">
        <v>26805</v>
      </c>
      <c r="N6330" s="8" t="s">
        <v>28128</v>
      </c>
      <c r="O6330" s="8">
        <f>17+14/60+15.1/3600</f>
        <v>17.237527777777778</v>
      </c>
      <c r="P6330" s="8" t="s">
        <v>28129</v>
      </c>
      <c r="Q6330" s="8">
        <f>+(43+41/60+6/3600)</f>
        <v>43.684999999999995</v>
      </c>
      <c r="R6330" s="8">
        <v>12.8</v>
      </c>
      <c r="S6330" s="8">
        <v>13.8</v>
      </c>
      <c r="T6330" s="8">
        <v>1</v>
      </c>
      <c r="U6330" s="8">
        <v>14.1</v>
      </c>
      <c r="V6330" s="8">
        <v>1.8</v>
      </c>
      <c r="W6330" s="8">
        <v>1.8</v>
      </c>
      <c r="Y6330" s="8" t="s">
        <v>115</v>
      </c>
      <c r="Z6330" s="8" t="s">
        <v>116</v>
      </c>
    </row>
    <row r="6331" spans="1:26" x14ac:dyDescent="0.2">
      <c r="A6331" s="8">
        <v>6330</v>
      </c>
      <c r="B6331" s="8" t="s">
        <v>28130</v>
      </c>
      <c r="C6331" s="8" t="s">
        <v>28130</v>
      </c>
      <c r="F6331" s="47"/>
      <c r="G6331" s="8">
        <v>19</v>
      </c>
      <c r="H6331" s="8" t="s">
        <v>21</v>
      </c>
      <c r="I6331" s="8" t="s">
        <v>22</v>
      </c>
      <c r="J6331" s="8" t="s">
        <v>22</v>
      </c>
      <c r="K6331" s="8" t="s">
        <v>218</v>
      </c>
      <c r="L6331" s="8" t="s">
        <v>26804</v>
      </c>
      <c r="M6331" s="8" t="s">
        <v>26805</v>
      </c>
      <c r="N6331" s="8" t="s">
        <v>28131</v>
      </c>
      <c r="O6331" s="8">
        <f>17+15/60+44.4/3600</f>
        <v>17.262333333333334</v>
      </c>
      <c r="P6331" s="8" t="s">
        <v>28132</v>
      </c>
      <c r="Q6331" s="8">
        <f>+(29+24/60+15/3600)</f>
        <v>29.404166666666665</v>
      </c>
      <c r="R6331" s="8">
        <v>14</v>
      </c>
      <c r="S6331" s="8">
        <v>14.8</v>
      </c>
      <c r="T6331" s="8">
        <v>0.8</v>
      </c>
      <c r="U6331" s="8">
        <v>13.5</v>
      </c>
      <c r="V6331" s="8">
        <v>1.5</v>
      </c>
      <c r="W6331" s="8">
        <v>0.6</v>
      </c>
      <c r="X6331" s="8">
        <v>160</v>
      </c>
      <c r="Y6331" s="8" t="s">
        <v>227</v>
      </c>
      <c r="Z6331" s="8" t="s">
        <v>228</v>
      </c>
    </row>
    <row r="6332" spans="1:26" x14ac:dyDescent="0.2">
      <c r="A6332" s="8">
        <v>6331</v>
      </c>
      <c r="B6332" s="8" t="s">
        <v>28133</v>
      </c>
      <c r="C6332" s="8" t="s">
        <v>28133</v>
      </c>
      <c r="F6332" s="47" t="s">
        <v>58183</v>
      </c>
      <c r="G6332" s="8">
        <v>15</v>
      </c>
      <c r="H6332" s="8" t="s">
        <v>21</v>
      </c>
      <c r="I6332" s="8" t="s">
        <v>22</v>
      </c>
      <c r="J6332" s="8" t="s">
        <v>22</v>
      </c>
      <c r="K6332" s="8" t="s">
        <v>382</v>
      </c>
      <c r="L6332" s="8" t="s">
        <v>14586</v>
      </c>
      <c r="M6332" s="8" t="s">
        <v>14587</v>
      </c>
      <c r="N6332" s="8" t="s">
        <v>28134</v>
      </c>
      <c r="O6332" s="8">
        <f>17+3/60+34.3/3600</f>
        <v>17.059527777777777</v>
      </c>
      <c r="P6332" s="8" t="s">
        <v>28135</v>
      </c>
      <c r="Q6332" s="8">
        <f>+(78+37/60+47/3600)</f>
        <v>78.629722222222213</v>
      </c>
      <c r="R6332" s="8">
        <v>14.4</v>
      </c>
      <c r="S6332" s="8">
        <v>15.4</v>
      </c>
      <c r="T6332" s="8">
        <v>1</v>
      </c>
      <c r="U6332" s="8">
        <v>12.9</v>
      </c>
      <c r="V6332" s="8">
        <v>0.6</v>
      </c>
      <c r="W6332" s="8">
        <v>0.4</v>
      </c>
      <c r="X6332" s="8">
        <v>126</v>
      </c>
      <c r="Y6332" s="8" t="s">
        <v>745</v>
      </c>
      <c r="Z6332" s="8" t="s">
        <v>746</v>
      </c>
    </row>
    <row r="6333" spans="1:26" x14ac:dyDescent="0.2">
      <c r="A6333" s="8">
        <v>6332</v>
      </c>
      <c r="B6333" s="8" t="s">
        <v>28136</v>
      </c>
      <c r="C6333" s="8" t="s">
        <v>28136</v>
      </c>
      <c r="F6333" s="47"/>
      <c r="G6333" s="8">
        <v>18</v>
      </c>
      <c r="H6333" s="8" t="s">
        <v>21</v>
      </c>
      <c r="I6333" s="8" t="s">
        <v>22</v>
      </c>
      <c r="J6333" s="8" t="s">
        <v>22</v>
      </c>
      <c r="K6333" s="8" t="s">
        <v>91</v>
      </c>
      <c r="L6333" s="8" t="s">
        <v>26804</v>
      </c>
      <c r="M6333" s="8" t="s">
        <v>26805</v>
      </c>
      <c r="N6333" s="8" t="s">
        <v>28137</v>
      </c>
      <c r="O6333" s="8">
        <f>17+15/60+2.7/3600</f>
        <v>17.25075</v>
      </c>
      <c r="P6333" s="8" t="s">
        <v>28138</v>
      </c>
      <c r="Q6333" s="8">
        <f>+(43+39/60+37/3600)</f>
        <v>43.660277777777779</v>
      </c>
      <c r="R6333" s="8">
        <v>13.6</v>
      </c>
      <c r="S6333" s="8">
        <v>14.5</v>
      </c>
      <c r="T6333" s="8">
        <v>0.9</v>
      </c>
      <c r="U6333" s="8">
        <v>13.7</v>
      </c>
      <c r="V6333" s="8">
        <v>1.6</v>
      </c>
      <c r="W6333" s="8">
        <v>0.8</v>
      </c>
      <c r="X6333" s="8">
        <v>45</v>
      </c>
      <c r="Y6333" s="8" t="s">
        <v>28139</v>
      </c>
      <c r="Z6333" s="8" t="s">
        <v>28140</v>
      </c>
    </row>
    <row r="6334" spans="1:26" x14ac:dyDescent="0.2">
      <c r="A6334" s="8">
        <v>6333</v>
      </c>
      <c r="B6334" s="8" t="s">
        <v>28141</v>
      </c>
      <c r="C6334" s="8" t="s">
        <v>55934</v>
      </c>
      <c r="F6334" s="47"/>
      <c r="G6334" s="8">
        <v>1</v>
      </c>
      <c r="H6334" s="8" t="s">
        <v>21</v>
      </c>
      <c r="I6334" s="8" t="s">
        <v>567</v>
      </c>
      <c r="J6334" s="8" t="s">
        <v>567</v>
      </c>
      <c r="K6334" s="8" t="s">
        <v>21778</v>
      </c>
      <c r="L6334" s="8" t="s">
        <v>26994</v>
      </c>
      <c r="M6334" s="8" t="s">
        <v>26995</v>
      </c>
      <c r="N6334" s="8" t="s">
        <v>28142</v>
      </c>
      <c r="O6334" s="8">
        <f>17+19/60+11.8/3600</f>
        <v>17.319944444444445</v>
      </c>
      <c r="P6334" s="8" t="s">
        <v>28143</v>
      </c>
      <c r="Q6334" s="8">
        <f>-(18+30/60+57/3600)</f>
        <v>-18.515833333333333</v>
      </c>
      <c r="R6334" s="8">
        <v>7.8</v>
      </c>
      <c r="S6334" s="8">
        <v>99</v>
      </c>
      <c r="T6334" s="8">
        <v>99</v>
      </c>
      <c r="U6334" s="8">
        <v>99</v>
      </c>
      <c r="V6334" s="8">
        <v>12</v>
      </c>
      <c r="Y6334" s="8" t="s">
        <v>28144</v>
      </c>
      <c r="Z6334" s="8" t="s">
        <v>28145</v>
      </c>
    </row>
    <row r="6335" spans="1:26" x14ac:dyDescent="0.2">
      <c r="A6335" s="8">
        <v>6334</v>
      </c>
      <c r="B6335" s="8" t="s">
        <v>28146</v>
      </c>
      <c r="C6335" s="8" t="s">
        <v>28146</v>
      </c>
      <c r="F6335" s="47"/>
      <c r="G6335" s="8">
        <v>10</v>
      </c>
      <c r="H6335" s="8" t="s">
        <v>28147</v>
      </c>
      <c r="I6335" s="8" t="s">
        <v>1283</v>
      </c>
      <c r="J6335" s="8" t="s">
        <v>1283</v>
      </c>
      <c r="K6335" s="8" t="s">
        <v>1284</v>
      </c>
      <c r="L6335" s="8" t="s">
        <v>26735</v>
      </c>
      <c r="M6335" s="8" t="s">
        <v>26736</v>
      </c>
      <c r="N6335" s="8" t="s">
        <v>28148</v>
      </c>
      <c r="O6335" s="8">
        <f>17+20/60+48/3600</f>
        <v>17.346666666666664</v>
      </c>
      <c r="P6335" s="8" t="s">
        <v>28149</v>
      </c>
      <c r="Q6335" s="8">
        <f>-(36+6/60+12/3600)</f>
        <v>-36.103333333333332</v>
      </c>
      <c r="R6335" s="8">
        <v>99</v>
      </c>
      <c r="S6335" s="8">
        <v>99</v>
      </c>
      <c r="T6335" s="8">
        <v>99</v>
      </c>
      <c r="U6335" s="8">
        <v>99</v>
      </c>
      <c r="V6335" s="8">
        <v>35</v>
      </c>
      <c r="W6335" s="8">
        <v>20</v>
      </c>
      <c r="Y6335" s="8" t="s">
        <v>28150</v>
      </c>
      <c r="Z6335" s="8" t="s">
        <v>28151</v>
      </c>
    </row>
    <row r="6336" spans="1:26" x14ac:dyDescent="0.2">
      <c r="A6336" s="8">
        <v>6335</v>
      </c>
      <c r="B6336" s="8" t="s">
        <v>28152</v>
      </c>
      <c r="C6336" s="8" t="s">
        <v>28152</v>
      </c>
      <c r="F6336" s="47"/>
      <c r="G6336" s="8">
        <v>16</v>
      </c>
      <c r="H6336" s="8" t="s">
        <v>21</v>
      </c>
      <c r="I6336" s="8" t="s">
        <v>72</v>
      </c>
      <c r="J6336" s="8" t="s">
        <v>72</v>
      </c>
      <c r="K6336" s="8" t="s">
        <v>1405</v>
      </c>
      <c r="L6336" s="8" t="s">
        <v>26735</v>
      </c>
      <c r="M6336" s="8" t="s">
        <v>26736</v>
      </c>
      <c r="N6336" s="8" t="s">
        <v>28153</v>
      </c>
      <c r="O6336" s="8">
        <f>17+19/60+31.8/3600</f>
        <v>17.325499999999998</v>
      </c>
      <c r="P6336" s="8" t="s">
        <v>28154</v>
      </c>
      <c r="Q6336" s="8">
        <f>-(30+9/60+49/3600)</f>
        <v>-30.163611111111109</v>
      </c>
      <c r="R6336" s="8">
        <v>99</v>
      </c>
      <c r="S6336" s="8">
        <v>99</v>
      </c>
      <c r="T6336" s="8">
        <v>99</v>
      </c>
      <c r="U6336" s="8">
        <v>99</v>
      </c>
      <c r="Y6336" s="8" t="s">
        <v>28155</v>
      </c>
      <c r="Z6336" s="8" t="s">
        <v>28156</v>
      </c>
    </row>
    <row r="6337" spans="1:26" x14ac:dyDescent="0.2">
      <c r="A6337" s="8">
        <v>6336</v>
      </c>
      <c r="B6337" s="8" t="s">
        <v>28157</v>
      </c>
      <c r="C6337" s="8" t="s">
        <v>28157</v>
      </c>
      <c r="F6337" s="47"/>
      <c r="G6337" s="8">
        <v>18</v>
      </c>
      <c r="H6337" s="8" t="s">
        <v>21</v>
      </c>
      <c r="I6337" s="8" t="s">
        <v>22</v>
      </c>
      <c r="J6337" s="8" t="s">
        <v>22</v>
      </c>
      <c r="K6337" s="8" t="s">
        <v>154</v>
      </c>
      <c r="L6337" s="8" t="s">
        <v>26804</v>
      </c>
      <c r="M6337" s="8" t="s">
        <v>26805</v>
      </c>
      <c r="N6337" s="8" t="s">
        <v>28158</v>
      </c>
      <c r="O6337" s="8">
        <f>17+16/60+16.5/3600</f>
        <v>17.271249999999998</v>
      </c>
      <c r="P6337" s="8" t="s">
        <v>28159</v>
      </c>
      <c r="Q6337" s="8">
        <f>+(43+49/60+15/3600)</f>
        <v>43.82083333333334</v>
      </c>
      <c r="R6337" s="8">
        <v>13.6</v>
      </c>
      <c r="S6337" s="8">
        <v>14.5</v>
      </c>
      <c r="T6337" s="8">
        <v>0.9</v>
      </c>
      <c r="U6337" s="8">
        <v>12.9</v>
      </c>
      <c r="V6337" s="8">
        <v>0.9</v>
      </c>
      <c r="W6337" s="8">
        <v>0.7</v>
      </c>
      <c r="X6337" s="8">
        <v>170</v>
      </c>
      <c r="Y6337" s="8" t="s">
        <v>115</v>
      </c>
      <c r="Z6337" s="8" t="s">
        <v>116</v>
      </c>
    </row>
    <row r="6338" spans="1:26" x14ac:dyDescent="0.2">
      <c r="A6338" s="8">
        <v>6337</v>
      </c>
      <c r="B6338" s="8" t="s">
        <v>28160</v>
      </c>
      <c r="C6338" s="8" t="s">
        <v>28160</v>
      </c>
      <c r="F6338" s="47"/>
      <c r="G6338" s="8">
        <v>5</v>
      </c>
      <c r="H6338" s="8" t="s">
        <v>28161</v>
      </c>
      <c r="I6338" s="8" t="s">
        <v>241</v>
      </c>
      <c r="J6338" s="8" t="s">
        <v>241</v>
      </c>
      <c r="K6338" s="8" t="s">
        <v>241</v>
      </c>
      <c r="L6338" s="8" t="s">
        <v>26735</v>
      </c>
      <c r="M6338" s="8" t="s">
        <v>26736</v>
      </c>
      <c r="N6338" s="8" t="s">
        <v>28162</v>
      </c>
      <c r="O6338" s="8">
        <f>17+22/60+15.7/3600</f>
        <v>17.37102777777778</v>
      </c>
      <c r="P6338" s="8" t="s">
        <v>28163</v>
      </c>
      <c r="Q6338" s="8">
        <f>-(38+28/60+59/3600)</f>
        <v>-38.483055555555559</v>
      </c>
      <c r="R6338" s="8">
        <v>12.3</v>
      </c>
      <c r="S6338" s="8">
        <v>11.9</v>
      </c>
      <c r="T6338" s="8">
        <v>99</v>
      </c>
      <c r="U6338" s="8">
        <v>99</v>
      </c>
      <c r="V6338" s="8">
        <v>0.85</v>
      </c>
      <c r="Y6338" s="8" t="s">
        <v>28164</v>
      </c>
      <c r="Z6338" s="8" t="s">
        <v>28165</v>
      </c>
    </row>
    <row r="6339" spans="1:26" x14ac:dyDescent="0.2">
      <c r="A6339" s="8">
        <v>6338</v>
      </c>
      <c r="B6339" s="8" t="s">
        <v>28166</v>
      </c>
      <c r="C6339" s="8" t="s">
        <v>28166</v>
      </c>
      <c r="F6339" s="47" t="s">
        <v>58184</v>
      </c>
      <c r="G6339" s="8">
        <v>15</v>
      </c>
      <c r="H6339" s="8" t="s">
        <v>21</v>
      </c>
      <c r="I6339" s="8" t="s">
        <v>22</v>
      </c>
      <c r="J6339" s="8" t="s">
        <v>22</v>
      </c>
      <c r="K6339" s="8" t="s">
        <v>37</v>
      </c>
      <c r="L6339" s="8" t="s">
        <v>13395</v>
      </c>
      <c r="M6339" s="8" t="s">
        <v>13396</v>
      </c>
      <c r="N6339" s="8" t="s">
        <v>28167</v>
      </c>
      <c r="O6339" s="8">
        <f>17+15/60+22.6/3600</f>
        <v>17.256277777777779</v>
      </c>
      <c r="P6339" s="8" t="s">
        <v>28168</v>
      </c>
      <c r="Q6339" s="8">
        <f>+(57+24/60+41/3600)</f>
        <v>57.411388888888887</v>
      </c>
      <c r="R6339" s="8">
        <v>12.3</v>
      </c>
      <c r="S6339" s="8">
        <v>13.4</v>
      </c>
      <c r="T6339" s="8">
        <v>1.1000000000000001</v>
      </c>
      <c r="U6339" s="8">
        <v>12.6</v>
      </c>
      <c r="V6339" s="8">
        <v>1.5</v>
      </c>
      <c r="W6339" s="8">
        <v>1</v>
      </c>
      <c r="X6339" s="8">
        <v>15</v>
      </c>
      <c r="Y6339" s="8" t="s">
        <v>28169</v>
      </c>
      <c r="Z6339" s="8" t="s">
        <v>28170</v>
      </c>
    </row>
    <row r="6340" spans="1:26" x14ac:dyDescent="0.2">
      <c r="A6340" s="8">
        <v>6339</v>
      </c>
      <c r="B6340" s="8" t="s">
        <v>28171</v>
      </c>
      <c r="C6340" s="8" t="s">
        <v>28171</v>
      </c>
      <c r="F6340" s="47"/>
      <c r="G6340" s="8">
        <v>19</v>
      </c>
      <c r="H6340" s="8" t="s">
        <v>21</v>
      </c>
      <c r="I6340" s="8" t="s">
        <v>22</v>
      </c>
      <c r="J6340" s="8" t="s">
        <v>22</v>
      </c>
      <c r="K6340" s="8" t="s">
        <v>1277</v>
      </c>
      <c r="L6340" s="8" t="s">
        <v>26804</v>
      </c>
      <c r="M6340" s="8" t="s">
        <v>26805</v>
      </c>
      <c r="N6340" s="8" t="s">
        <v>28172</v>
      </c>
      <c r="O6340" s="8">
        <f>17+17/60+6.6/3600</f>
        <v>17.285166666666669</v>
      </c>
      <c r="P6340" s="8" t="s">
        <v>28173</v>
      </c>
      <c r="Q6340" s="8">
        <f>+(40+50/60+42/3600)</f>
        <v>40.844999999999999</v>
      </c>
      <c r="R6340" s="8">
        <v>12.7</v>
      </c>
      <c r="S6340" s="8">
        <v>13.4</v>
      </c>
      <c r="T6340" s="8">
        <v>0.7</v>
      </c>
      <c r="U6340" s="8">
        <v>14.3</v>
      </c>
      <c r="V6340" s="8">
        <v>2.9</v>
      </c>
      <c r="W6340" s="8">
        <v>1.7</v>
      </c>
      <c r="X6340" s="8">
        <v>10</v>
      </c>
      <c r="Y6340" s="8" t="s">
        <v>28174</v>
      </c>
      <c r="Z6340" s="8" t="s">
        <v>28175</v>
      </c>
    </row>
    <row r="6341" spans="1:26" x14ac:dyDescent="0.2">
      <c r="A6341" s="8">
        <v>6340</v>
      </c>
      <c r="B6341" s="8" t="s">
        <v>28176</v>
      </c>
      <c r="C6341" s="8" t="s">
        <v>28176</v>
      </c>
      <c r="F6341" s="47" t="s">
        <v>58185</v>
      </c>
      <c r="G6341" s="8">
        <v>6.5</v>
      </c>
      <c r="H6341" s="8" t="s">
        <v>21</v>
      </c>
      <c r="I6341" s="8" t="s">
        <v>22</v>
      </c>
      <c r="J6341" s="8" t="s">
        <v>22</v>
      </c>
      <c r="K6341" s="8" t="s">
        <v>632</v>
      </c>
      <c r="L6341" s="8" t="s">
        <v>13395</v>
      </c>
      <c r="M6341" s="8" t="s">
        <v>13396</v>
      </c>
      <c r="N6341" s="8" t="s">
        <v>28177</v>
      </c>
      <c r="O6341" s="8">
        <f>17+10/60+23.9/3600</f>
        <v>17.173305555555558</v>
      </c>
      <c r="P6341" s="8" t="s">
        <v>28178</v>
      </c>
      <c r="Q6341" s="8">
        <f>+(72+18/60+17/3600)</f>
        <v>72.304722222222225</v>
      </c>
      <c r="R6341" s="8">
        <v>11</v>
      </c>
      <c r="S6341" s="8">
        <v>11.9</v>
      </c>
      <c r="T6341" s="8">
        <v>0.9</v>
      </c>
      <c r="U6341" s="8">
        <v>13.3</v>
      </c>
      <c r="V6341" s="8">
        <v>3</v>
      </c>
      <c r="W6341" s="8">
        <v>2.8</v>
      </c>
      <c r="X6341" s="8">
        <v>120</v>
      </c>
      <c r="Y6341" s="8" t="s">
        <v>28179</v>
      </c>
      <c r="Z6341" s="8" t="s">
        <v>28180</v>
      </c>
    </row>
    <row r="6342" spans="1:26" x14ac:dyDescent="0.2">
      <c r="A6342" s="8">
        <v>6341</v>
      </c>
      <c r="B6342" s="8" t="s">
        <v>28181</v>
      </c>
      <c r="C6342" s="8" t="s">
        <v>55935</v>
      </c>
      <c r="F6342" s="47"/>
      <c r="G6342" s="8">
        <v>1</v>
      </c>
      <c r="H6342" s="8" t="s">
        <v>21</v>
      </c>
      <c r="I6342" s="8" t="s">
        <v>567</v>
      </c>
      <c r="J6342" s="8" t="s">
        <v>567</v>
      </c>
      <c r="K6342" s="8" t="s">
        <v>25121</v>
      </c>
      <c r="L6342" s="8" t="s">
        <v>26804</v>
      </c>
      <c r="M6342" s="8" t="s">
        <v>26805</v>
      </c>
      <c r="N6342" s="8" t="s">
        <v>28182</v>
      </c>
      <c r="O6342" s="8">
        <f>17+17/60+7.3/3600</f>
        <v>17.285361111111111</v>
      </c>
      <c r="P6342" s="8" t="s">
        <v>28183</v>
      </c>
      <c r="Q6342" s="8">
        <f>+(43+8/60+13/3600)</f>
        <v>43.136944444444445</v>
      </c>
      <c r="R6342" s="8">
        <v>6.5</v>
      </c>
      <c r="S6342" s="8">
        <v>99</v>
      </c>
      <c r="T6342" s="8">
        <v>99</v>
      </c>
      <c r="U6342" s="8">
        <v>99</v>
      </c>
      <c r="V6342" s="8">
        <v>14</v>
      </c>
      <c r="Y6342" s="8" t="s">
        <v>28184</v>
      </c>
      <c r="Z6342" s="8" t="s">
        <v>28185</v>
      </c>
    </row>
    <row r="6343" spans="1:26" x14ac:dyDescent="0.2">
      <c r="A6343" s="8">
        <v>6342</v>
      </c>
      <c r="B6343" s="8" t="s">
        <v>28186</v>
      </c>
      <c r="C6343" s="8" t="s">
        <v>28186</v>
      </c>
      <c r="F6343" s="47" t="s">
        <v>58186</v>
      </c>
      <c r="G6343" s="8">
        <v>6</v>
      </c>
      <c r="H6343" s="8" t="s">
        <v>21</v>
      </c>
      <c r="I6343" s="8" t="s">
        <v>567</v>
      </c>
      <c r="J6343" s="8" t="s">
        <v>567</v>
      </c>
      <c r="K6343" s="8" t="s">
        <v>25121</v>
      </c>
      <c r="L6343" s="8" t="s">
        <v>26994</v>
      </c>
      <c r="M6343" s="8" t="s">
        <v>26995</v>
      </c>
      <c r="N6343" s="8" t="s">
        <v>28187</v>
      </c>
      <c r="O6343" s="8">
        <f>17+21/60+10.2/3600</f>
        <v>17.352833333333336</v>
      </c>
      <c r="P6343" s="8" t="s">
        <v>28188</v>
      </c>
      <c r="Q6343" s="8">
        <f>-(19+35/60+12/3600)</f>
        <v>-19.586666666666666</v>
      </c>
      <c r="R6343" s="8">
        <v>9.5</v>
      </c>
      <c r="S6343" s="8">
        <v>99</v>
      </c>
      <c r="T6343" s="8">
        <v>99</v>
      </c>
      <c r="U6343" s="8">
        <v>99</v>
      </c>
      <c r="V6343" s="8">
        <v>4.4000000000000004</v>
      </c>
      <c r="Y6343" s="8" t="s">
        <v>28189</v>
      </c>
      <c r="Z6343" s="8" t="s">
        <v>28190</v>
      </c>
    </row>
    <row r="6344" spans="1:26" x14ac:dyDescent="0.2">
      <c r="A6344" s="8">
        <v>6343</v>
      </c>
      <c r="B6344" s="8" t="s">
        <v>28191</v>
      </c>
      <c r="C6344" s="8" t="s">
        <v>28191</v>
      </c>
      <c r="F6344" s="47"/>
      <c r="G6344" s="8">
        <v>19</v>
      </c>
      <c r="H6344" s="8" t="s">
        <v>21</v>
      </c>
      <c r="I6344" s="8" t="s">
        <v>22</v>
      </c>
      <c r="J6344" s="8" t="s">
        <v>22</v>
      </c>
      <c r="K6344" s="8" t="s">
        <v>424</v>
      </c>
      <c r="L6344" s="8" t="s">
        <v>26804</v>
      </c>
      <c r="M6344" s="8" t="s">
        <v>26805</v>
      </c>
      <c r="N6344" s="8" t="s">
        <v>28192</v>
      </c>
      <c r="O6344" s="8">
        <f>17+17/60+16.2/3600</f>
        <v>17.287833333333335</v>
      </c>
      <c r="P6344" s="8" t="s">
        <v>28193</v>
      </c>
      <c r="Q6344" s="8">
        <f>+(41+3/60+10/3600)</f>
        <v>41.052777777777777</v>
      </c>
      <c r="R6344" s="8">
        <v>13.8</v>
      </c>
      <c r="S6344" s="8">
        <v>14.8</v>
      </c>
      <c r="T6344" s="8">
        <v>1</v>
      </c>
      <c r="U6344" s="8">
        <v>13.9</v>
      </c>
      <c r="V6344" s="8">
        <v>1.1000000000000001</v>
      </c>
      <c r="W6344" s="8">
        <v>1.1000000000000001</v>
      </c>
      <c r="Y6344" s="8" t="s">
        <v>28194</v>
      </c>
      <c r="Z6344" s="8" t="s">
        <v>28195</v>
      </c>
    </row>
    <row r="6345" spans="1:26" x14ac:dyDescent="0.2">
      <c r="A6345" s="8">
        <v>6344</v>
      </c>
      <c r="B6345" s="8" t="s">
        <v>28196</v>
      </c>
      <c r="C6345" s="8" t="s">
        <v>28196</v>
      </c>
      <c r="F6345" s="47"/>
      <c r="G6345" s="8">
        <v>19</v>
      </c>
      <c r="H6345" s="8" t="s">
        <v>21</v>
      </c>
      <c r="I6345" s="8" t="s">
        <v>72</v>
      </c>
      <c r="J6345" s="8" t="s">
        <v>72</v>
      </c>
      <c r="K6345" s="8" t="s">
        <v>73</v>
      </c>
      <c r="L6345" s="8" t="s">
        <v>26804</v>
      </c>
      <c r="M6345" s="8" t="s">
        <v>26805</v>
      </c>
      <c r="N6345" s="8" t="s">
        <v>28197</v>
      </c>
      <c r="O6345" s="8">
        <f>17+17/60+18.1/3600</f>
        <v>17.288361111111112</v>
      </c>
      <c r="P6345" s="8" t="s">
        <v>28198</v>
      </c>
      <c r="Q6345" s="8">
        <f>+(42+26/60+4/3600)</f>
        <v>42.434444444444438</v>
      </c>
      <c r="R6345" s="8">
        <v>99</v>
      </c>
      <c r="S6345" s="8">
        <v>99</v>
      </c>
      <c r="T6345" s="8">
        <v>99</v>
      </c>
      <c r="U6345" s="8">
        <v>99</v>
      </c>
      <c r="Y6345" s="8" t="s">
        <v>28199</v>
      </c>
      <c r="Z6345" s="8" t="s">
        <v>28200</v>
      </c>
    </row>
    <row r="6346" spans="1:26" x14ac:dyDescent="0.2">
      <c r="A6346" s="8">
        <v>6345</v>
      </c>
      <c r="B6346" s="8" t="s">
        <v>28201</v>
      </c>
      <c r="C6346" s="8" t="s">
        <v>28201</v>
      </c>
      <c r="F6346" s="47"/>
      <c r="G6346" s="8">
        <v>19</v>
      </c>
      <c r="H6346" s="8" t="s">
        <v>21</v>
      </c>
      <c r="I6346" s="8" t="s">
        <v>22</v>
      </c>
      <c r="J6346" s="8" t="s">
        <v>22</v>
      </c>
      <c r="K6346" s="8" t="s">
        <v>37</v>
      </c>
      <c r="L6346" s="8" t="s">
        <v>13395</v>
      </c>
      <c r="M6346" s="8" t="s">
        <v>13396</v>
      </c>
      <c r="N6346" s="8" t="s">
        <v>28202</v>
      </c>
      <c r="O6346" s="8">
        <f>17+15/60+23.9/3600</f>
        <v>17.25663888888889</v>
      </c>
      <c r="P6346" s="8" t="s">
        <v>28203</v>
      </c>
      <c r="Q6346" s="8">
        <f>+(57+21/60+2/3600)</f>
        <v>57.350555555555559</v>
      </c>
      <c r="R6346" s="8">
        <v>14.4</v>
      </c>
      <c r="S6346" s="8">
        <v>15.4</v>
      </c>
      <c r="T6346" s="8">
        <v>1</v>
      </c>
      <c r="U6346" s="8">
        <v>12.3</v>
      </c>
      <c r="V6346" s="8">
        <v>0.8</v>
      </c>
      <c r="W6346" s="8">
        <v>0.2</v>
      </c>
      <c r="X6346" s="8">
        <v>33</v>
      </c>
      <c r="Y6346" s="8" t="s">
        <v>28204</v>
      </c>
      <c r="Z6346" s="8" t="s">
        <v>28205</v>
      </c>
    </row>
    <row r="6347" spans="1:26" x14ac:dyDescent="0.2">
      <c r="A6347" s="8">
        <v>6346</v>
      </c>
      <c r="B6347" s="8" t="s">
        <v>28206</v>
      </c>
      <c r="C6347" s="8" t="s">
        <v>28206</v>
      </c>
      <c r="F6347" s="47"/>
      <c r="G6347" s="8">
        <v>19</v>
      </c>
      <c r="H6347" s="8" t="s">
        <v>21</v>
      </c>
      <c r="I6347" s="8" t="s">
        <v>22</v>
      </c>
      <c r="J6347" s="8" t="s">
        <v>22</v>
      </c>
      <c r="K6347" s="8" t="s">
        <v>1136</v>
      </c>
      <c r="L6347" s="8" t="s">
        <v>13395</v>
      </c>
      <c r="M6347" s="8" t="s">
        <v>13396</v>
      </c>
      <c r="N6347" s="8" t="s">
        <v>28207</v>
      </c>
      <c r="O6347" s="8">
        <f>17+15/60+24.3/3600</f>
        <v>17.25675</v>
      </c>
      <c r="P6347" s="8" t="s">
        <v>28208</v>
      </c>
      <c r="Q6347" s="8">
        <f>+(57+19/60+23/3600)</f>
        <v>57.323055555555555</v>
      </c>
      <c r="R6347" s="8">
        <v>14.6</v>
      </c>
      <c r="S6347" s="8">
        <v>15.6</v>
      </c>
      <c r="T6347" s="8">
        <v>1</v>
      </c>
      <c r="U6347" s="8">
        <v>12.9</v>
      </c>
      <c r="V6347" s="8">
        <v>0.5</v>
      </c>
      <c r="W6347" s="8">
        <v>0.4</v>
      </c>
      <c r="X6347" s="8">
        <v>95</v>
      </c>
      <c r="Y6347" s="8" t="s">
        <v>28209</v>
      </c>
      <c r="Z6347" s="8" t="s">
        <v>28210</v>
      </c>
    </row>
    <row r="6348" spans="1:26" x14ac:dyDescent="0.2">
      <c r="A6348" s="8">
        <v>6347</v>
      </c>
      <c r="B6348" s="8" t="s">
        <v>28211</v>
      </c>
      <c r="C6348" s="8" t="s">
        <v>28211</v>
      </c>
      <c r="F6348" s="47"/>
      <c r="G6348" s="8">
        <v>19</v>
      </c>
      <c r="H6348" s="8" t="s">
        <v>21</v>
      </c>
      <c r="I6348" s="8" t="s">
        <v>22</v>
      </c>
      <c r="J6348" s="8" t="s">
        <v>22</v>
      </c>
      <c r="K6348" s="8" t="s">
        <v>218</v>
      </c>
      <c r="L6348" s="8" t="s">
        <v>26804</v>
      </c>
      <c r="M6348" s="8" t="s">
        <v>26805</v>
      </c>
      <c r="N6348" s="8" t="s">
        <v>28212</v>
      </c>
      <c r="O6348" s="8">
        <f>17+19/60+54.6/3600</f>
        <v>17.331833333333332</v>
      </c>
      <c r="P6348" s="8" t="s">
        <v>28213</v>
      </c>
      <c r="Q6348" s="8">
        <f>+(16+39/60+38/3600)</f>
        <v>16.660555555555554</v>
      </c>
      <c r="R6348" s="8">
        <v>13.7</v>
      </c>
      <c r="S6348" s="8">
        <v>14.5</v>
      </c>
      <c r="T6348" s="8">
        <v>0.8</v>
      </c>
      <c r="U6348" s="8">
        <v>13.4</v>
      </c>
      <c r="V6348" s="8">
        <v>1.2</v>
      </c>
      <c r="W6348" s="8">
        <v>0.7</v>
      </c>
      <c r="X6348" s="8">
        <v>100</v>
      </c>
      <c r="Y6348" s="8" t="s">
        <v>28214</v>
      </c>
      <c r="Z6348" s="8" t="s">
        <v>28215</v>
      </c>
    </row>
    <row r="6349" spans="1:26" x14ac:dyDescent="0.2">
      <c r="A6349" s="8">
        <v>6348</v>
      </c>
      <c r="B6349" s="8" t="s">
        <v>28216</v>
      </c>
      <c r="C6349" s="8" t="s">
        <v>28216</v>
      </c>
      <c r="F6349" s="47"/>
      <c r="G6349" s="8">
        <v>19</v>
      </c>
      <c r="H6349" s="8" t="s">
        <v>21</v>
      </c>
      <c r="I6349" s="8" t="s">
        <v>22</v>
      </c>
      <c r="J6349" s="8" t="s">
        <v>22</v>
      </c>
      <c r="K6349" s="8" t="s">
        <v>23</v>
      </c>
      <c r="L6349" s="8" t="s">
        <v>26804</v>
      </c>
      <c r="M6349" s="8" t="s">
        <v>26805</v>
      </c>
      <c r="N6349" s="8" t="s">
        <v>28217</v>
      </c>
      <c r="O6349" s="8">
        <f>17+18/60+21.1/3600</f>
        <v>17.305861111111113</v>
      </c>
      <c r="P6349" s="8" t="s">
        <v>28218</v>
      </c>
      <c r="Q6349" s="8">
        <f>+(41+38/60+53/3600)</f>
        <v>41.648055555555558</v>
      </c>
      <c r="R6349" s="8">
        <v>14.4</v>
      </c>
      <c r="S6349" s="8">
        <v>15.2</v>
      </c>
      <c r="T6349" s="8">
        <v>0.8</v>
      </c>
      <c r="U6349" s="8">
        <v>13.3</v>
      </c>
      <c r="V6349" s="8">
        <v>0.7</v>
      </c>
      <c r="W6349" s="8">
        <v>0.6</v>
      </c>
      <c r="X6349" s="8">
        <v>125</v>
      </c>
      <c r="Y6349" s="8" t="s">
        <v>26808</v>
      </c>
      <c r="Z6349" s="8" t="s">
        <v>26809</v>
      </c>
    </row>
    <row r="6350" spans="1:26" x14ac:dyDescent="0.2">
      <c r="A6350" s="8">
        <v>6349</v>
      </c>
      <c r="B6350" s="8" t="s">
        <v>28219</v>
      </c>
      <c r="C6350" s="8" t="s">
        <v>28219</v>
      </c>
      <c r="F6350" s="47"/>
      <c r="G6350" s="8">
        <v>19</v>
      </c>
      <c r="H6350" s="8" t="s">
        <v>21</v>
      </c>
      <c r="I6350" s="8" t="s">
        <v>22</v>
      </c>
      <c r="J6350" s="8" t="s">
        <v>22</v>
      </c>
      <c r="K6350" s="8" t="s">
        <v>476</v>
      </c>
      <c r="L6350" s="8" t="s">
        <v>26804</v>
      </c>
      <c r="M6350" s="8" t="s">
        <v>26805</v>
      </c>
      <c r="N6350" s="8" t="s">
        <v>28220</v>
      </c>
      <c r="O6350" s="8">
        <f>17+19/60+6.4/3600</f>
        <v>17.318444444444445</v>
      </c>
      <c r="P6350" s="8" t="s">
        <v>28221</v>
      </c>
      <c r="Q6350" s="8">
        <f>+(36+3/60+41/3600)</f>
        <v>36.061388888888885</v>
      </c>
      <c r="R6350" s="8">
        <v>14.3</v>
      </c>
      <c r="S6350" s="8">
        <v>15.2</v>
      </c>
      <c r="T6350" s="8">
        <v>0.9</v>
      </c>
      <c r="U6350" s="8">
        <v>12.2</v>
      </c>
      <c r="V6350" s="8">
        <v>0.8</v>
      </c>
      <c r="W6350" s="8">
        <v>0.2</v>
      </c>
      <c r="X6350" s="8">
        <v>81</v>
      </c>
      <c r="Y6350" s="8" t="s">
        <v>28222</v>
      </c>
      <c r="Z6350" s="8" t="s">
        <v>28223</v>
      </c>
    </row>
    <row r="6351" spans="1:26" x14ac:dyDescent="0.2">
      <c r="A6351" s="8">
        <v>6350</v>
      </c>
      <c r="B6351" s="8" t="s">
        <v>28224</v>
      </c>
      <c r="C6351" s="8" t="s">
        <v>28224</v>
      </c>
      <c r="F6351" s="47"/>
      <c r="G6351" s="8">
        <v>19</v>
      </c>
      <c r="H6351" s="8" t="s">
        <v>21</v>
      </c>
      <c r="I6351" s="8" t="s">
        <v>22</v>
      </c>
      <c r="J6351" s="8" t="s">
        <v>22</v>
      </c>
      <c r="K6351" s="8" t="s">
        <v>37</v>
      </c>
      <c r="L6351" s="8" t="s">
        <v>26804</v>
      </c>
      <c r="M6351" s="8" t="s">
        <v>26805</v>
      </c>
      <c r="N6351" s="8" t="s">
        <v>28225</v>
      </c>
      <c r="O6351" s="8">
        <f>17+18/60+42.2/3600</f>
        <v>17.311722222222222</v>
      </c>
      <c r="P6351" s="8" t="s">
        <v>28226</v>
      </c>
      <c r="Q6351" s="8">
        <f>+(41+41/60+40/3600)</f>
        <v>41.694444444444443</v>
      </c>
      <c r="R6351" s="8">
        <v>13.2</v>
      </c>
      <c r="S6351" s="8">
        <v>14.2</v>
      </c>
      <c r="T6351" s="8">
        <v>1</v>
      </c>
      <c r="U6351" s="8">
        <v>13.1</v>
      </c>
      <c r="V6351" s="8">
        <v>1</v>
      </c>
      <c r="W6351" s="8">
        <v>1</v>
      </c>
      <c r="Y6351" s="8" t="s">
        <v>21639</v>
      </c>
      <c r="Z6351" s="8" t="s">
        <v>21640</v>
      </c>
    </row>
    <row r="6352" spans="1:26" x14ac:dyDescent="0.2">
      <c r="A6352" s="8">
        <v>6351</v>
      </c>
      <c r="B6352" s="8" t="s">
        <v>28227</v>
      </c>
      <c r="C6352" s="8" t="s">
        <v>28227</v>
      </c>
      <c r="F6352" s="47"/>
      <c r="G6352" s="8">
        <v>19</v>
      </c>
      <c r="H6352" s="8" t="s">
        <v>21</v>
      </c>
      <c r="I6352" s="8" t="s">
        <v>22</v>
      </c>
      <c r="J6352" s="8" t="s">
        <v>22</v>
      </c>
      <c r="K6352" s="8" t="s">
        <v>28228</v>
      </c>
      <c r="L6352" s="8" t="s">
        <v>26804</v>
      </c>
      <c r="M6352" s="8" t="s">
        <v>26805</v>
      </c>
      <c r="N6352" s="8" t="s">
        <v>28229</v>
      </c>
      <c r="O6352" s="8">
        <f>17+19/60+10.9/3600</f>
        <v>17.319694444444444</v>
      </c>
      <c r="P6352" s="8" t="s">
        <v>28230</v>
      </c>
      <c r="Q6352" s="8">
        <f>+(36+3/60+36/3600)</f>
        <v>36.059999999999995</v>
      </c>
      <c r="R6352" s="8">
        <v>15.2</v>
      </c>
      <c r="S6352" s="8">
        <v>16</v>
      </c>
      <c r="T6352" s="8">
        <v>0.8</v>
      </c>
      <c r="U6352" s="8">
        <v>13.5</v>
      </c>
      <c r="V6352" s="8">
        <v>0.6</v>
      </c>
      <c r="W6352" s="8">
        <v>0.4</v>
      </c>
      <c r="X6352" s="8">
        <v>80</v>
      </c>
      <c r="Y6352" s="8" t="s">
        <v>28231</v>
      </c>
      <c r="Z6352" s="8" t="s">
        <v>28232</v>
      </c>
    </row>
    <row r="6353" spans="1:26" x14ac:dyDescent="0.2">
      <c r="A6353" s="8">
        <v>6352</v>
      </c>
      <c r="B6353" s="8" t="s">
        <v>28233</v>
      </c>
      <c r="C6353" s="8" t="s">
        <v>28233</v>
      </c>
      <c r="F6353" s="47"/>
      <c r="G6353" s="8">
        <v>2</v>
      </c>
      <c r="H6353" s="8" t="s">
        <v>21</v>
      </c>
      <c r="I6353" s="8" t="s">
        <v>567</v>
      </c>
      <c r="J6353" s="8" t="s">
        <v>567</v>
      </c>
      <c r="K6353" s="8" t="s">
        <v>22675</v>
      </c>
      <c r="L6353" s="8" t="s">
        <v>27529</v>
      </c>
      <c r="M6353" s="8" t="s">
        <v>27530</v>
      </c>
      <c r="N6353" s="8" t="s">
        <v>28234</v>
      </c>
      <c r="O6353" s="8">
        <f>17+25/60+29.2/3600</f>
        <v>17.424777777777781</v>
      </c>
      <c r="P6353" s="8" t="s">
        <v>28235</v>
      </c>
      <c r="Q6353" s="8">
        <f>-(48+25/60+20/3600)</f>
        <v>-48.422222222222217</v>
      </c>
      <c r="R6353" s="8">
        <v>7.8</v>
      </c>
      <c r="S6353" s="8">
        <v>99</v>
      </c>
      <c r="T6353" s="8">
        <v>99</v>
      </c>
      <c r="U6353" s="8">
        <v>99</v>
      </c>
      <c r="V6353" s="8">
        <v>9</v>
      </c>
      <c r="Y6353" s="8" t="s">
        <v>28236</v>
      </c>
      <c r="Z6353" s="8" t="s">
        <v>28237</v>
      </c>
    </row>
    <row r="6354" spans="1:26" x14ac:dyDescent="0.2">
      <c r="A6354" s="8">
        <v>6353</v>
      </c>
      <c r="B6354" s="8" t="s">
        <v>28238</v>
      </c>
      <c r="C6354" s="8" t="s">
        <v>28238</v>
      </c>
      <c r="F6354" s="47"/>
      <c r="G6354" s="8">
        <v>19</v>
      </c>
      <c r="H6354" s="8" t="s">
        <v>21</v>
      </c>
      <c r="I6354" s="8" t="s">
        <v>72</v>
      </c>
      <c r="J6354" s="8" t="s">
        <v>72</v>
      </c>
      <c r="K6354" s="8" t="s">
        <v>1802</v>
      </c>
      <c r="L6354" s="8" t="s">
        <v>26804</v>
      </c>
      <c r="M6354" s="8" t="s">
        <v>26805</v>
      </c>
      <c r="N6354" s="8" t="s">
        <v>28239</v>
      </c>
      <c r="O6354" s="8">
        <f>17+21/60+12.4/3600</f>
        <v>17.353444444444445</v>
      </c>
      <c r="P6354" s="8" t="s">
        <v>28240</v>
      </c>
      <c r="Q6354" s="8">
        <f>+(15+41/60+18/3600)</f>
        <v>15.688333333333334</v>
      </c>
      <c r="R6354" s="8">
        <v>99</v>
      </c>
      <c r="S6354" s="8">
        <v>99</v>
      </c>
      <c r="T6354" s="8">
        <v>99</v>
      </c>
      <c r="U6354" s="8">
        <v>99</v>
      </c>
      <c r="Y6354" s="8" t="s">
        <v>28241</v>
      </c>
      <c r="Z6354" s="8" t="s">
        <v>28242</v>
      </c>
    </row>
    <row r="6355" spans="1:26" x14ac:dyDescent="0.2">
      <c r="A6355" s="8">
        <v>6354</v>
      </c>
      <c r="B6355" s="8" t="s">
        <v>28243</v>
      </c>
      <c r="C6355" s="8" t="s">
        <v>28243</v>
      </c>
      <c r="F6355" s="47"/>
      <c r="G6355" s="8">
        <v>19</v>
      </c>
      <c r="H6355" s="8" t="s">
        <v>21</v>
      </c>
      <c r="I6355" s="8" t="s">
        <v>72</v>
      </c>
      <c r="J6355" s="8" t="s">
        <v>72</v>
      </c>
      <c r="K6355" s="8" t="s">
        <v>5802</v>
      </c>
      <c r="L6355" s="8" t="s">
        <v>26735</v>
      </c>
      <c r="M6355" s="8" t="s">
        <v>26736</v>
      </c>
      <c r="N6355" s="8" t="s">
        <v>28244</v>
      </c>
      <c r="O6355" s="8">
        <f>17+24/60+34/3600</f>
        <v>17.409444444444443</v>
      </c>
      <c r="P6355" s="8" t="s">
        <v>28245</v>
      </c>
      <c r="Q6355" s="8">
        <f>-(38+32/60+30/3600)</f>
        <v>-38.541666666666664</v>
      </c>
      <c r="R6355" s="8">
        <v>99</v>
      </c>
      <c r="S6355" s="8">
        <v>99</v>
      </c>
      <c r="T6355" s="8">
        <v>99</v>
      </c>
      <c r="U6355" s="8">
        <v>99</v>
      </c>
      <c r="Y6355" s="8" t="s">
        <v>745</v>
      </c>
      <c r="Z6355" s="8" t="s">
        <v>746</v>
      </c>
    </row>
    <row r="6356" spans="1:26" x14ac:dyDescent="0.2">
      <c r="A6356" s="8">
        <v>6355</v>
      </c>
      <c r="B6356" s="8" t="s">
        <v>28246</v>
      </c>
      <c r="C6356" s="8" t="s">
        <v>28246</v>
      </c>
      <c r="F6356" s="47" t="s">
        <v>58187</v>
      </c>
      <c r="G6356" s="8">
        <v>6</v>
      </c>
      <c r="H6356" s="8" t="s">
        <v>21</v>
      </c>
      <c r="I6356" s="8" t="s">
        <v>567</v>
      </c>
      <c r="J6356" s="8" t="s">
        <v>567</v>
      </c>
      <c r="K6356" s="8" t="s">
        <v>567</v>
      </c>
      <c r="L6356" s="8" t="s">
        <v>26994</v>
      </c>
      <c r="M6356" s="8" t="s">
        <v>26995</v>
      </c>
      <c r="N6356" s="8" t="s">
        <v>28247</v>
      </c>
      <c r="O6356" s="8">
        <f>17+23/60+58.6/3600</f>
        <v>17.39961111111111</v>
      </c>
      <c r="P6356" s="8" t="s">
        <v>28248</v>
      </c>
      <c r="Q6356" s="8">
        <f>-(26+21/60+11/3600)</f>
        <v>-26.353055555555557</v>
      </c>
      <c r="R6356" s="8">
        <v>8.6</v>
      </c>
      <c r="S6356" s="8">
        <v>99</v>
      </c>
      <c r="T6356" s="8">
        <v>99</v>
      </c>
      <c r="U6356" s="8">
        <v>99</v>
      </c>
      <c r="V6356" s="8">
        <v>4.2</v>
      </c>
      <c r="Y6356" s="8" t="s">
        <v>28249</v>
      </c>
      <c r="Z6356" s="8" t="s">
        <v>28250</v>
      </c>
    </row>
    <row r="6357" spans="1:26" x14ac:dyDescent="0.2">
      <c r="A6357" s="8">
        <v>6356</v>
      </c>
      <c r="B6357" s="8" t="s">
        <v>28251</v>
      </c>
      <c r="C6357" s="8" t="s">
        <v>28251</v>
      </c>
      <c r="F6357" s="47" t="s">
        <v>58188</v>
      </c>
      <c r="G6357" s="8">
        <v>3</v>
      </c>
      <c r="H6357" s="8" t="s">
        <v>21</v>
      </c>
      <c r="I6357" s="8" t="s">
        <v>567</v>
      </c>
      <c r="J6357" s="8" t="s">
        <v>567</v>
      </c>
      <c r="K6357" s="8" t="s">
        <v>5894</v>
      </c>
      <c r="L6357" s="8" t="s">
        <v>26994</v>
      </c>
      <c r="M6357" s="8" t="s">
        <v>26995</v>
      </c>
      <c r="N6357" s="8" t="s">
        <v>28252</v>
      </c>
      <c r="O6357" s="8">
        <f>17+23/60+35/3600</f>
        <v>17.393055555555556</v>
      </c>
      <c r="P6357" s="8" t="s">
        <v>28253</v>
      </c>
      <c r="Q6357" s="8">
        <f>-(17+48/60+45/3600)</f>
        <v>-17.8125</v>
      </c>
      <c r="R6357" s="8">
        <v>8.1999999999999993</v>
      </c>
      <c r="S6357" s="8">
        <v>99</v>
      </c>
      <c r="T6357" s="8">
        <v>99</v>
      </c>
      <c r="U6357" s="8">
        <v>99</v>
      </c>
      <c r="V6357" s="8">
        <v>10</v>
      </c>
      <c r="Y6357" s="8" t="s">
        <v>28254</v>
      </c>
      <c r="Z6357" s="8" t="s">
        <v>28255</v>
      </c>
    </row>
    <row r="6358" spans="1:26" x14ac:dyDescent="0.2">
      <c r="A6358" s="8">
        <v>6357</v>
      </c>
      <c r="B6358" s="8" t="s">
        <v>28256</v>
      </c>
      <c r="C6358" s="8" t="s">
        <v>28256</v>
      </c>
      <c r="F6358" s="47"/>
      <c r="G6358" s="8">
        <v>10</v>
      </c>
      <c r="H6358" s="8" t="s">
        <v>28257</v>
      </c>
      <c r="I6358" s="8" t="s">
        <v>1283</v>
      </c>
      <c r="J6358" s="8" t="s">
        <v>1283</v>
      </c>
      <c r="K6358" s="8" t="s">
        <v>1751</v>
      </c>
      <c r="L6358" s="8" t="s">
        <v>26735</v>
      </c>
      <c r="M6358" s="8" t="s">
        <v>26736</v>
      </c>
      <c r="N6358" s="8" t="s">
        <v>28258</v>
      </c>
      <c r="O6358" s="8">
        <f>17+24/60+43.5/3600</f>
        <v>17.412083333333332</v>
      </c>
      <c r="P6358" s="8" t="s">
        <v>28259</v>
      </c>
      <c r="Q6358" s="8">
        <f>-(34+12/60+5/3600)</f>
        <v>-34.201388888888893</v>
      </c>
      <c r="R6358" s="8">
        <v>99</v>
      </c>
      <c r="S6358" s="8">
        <v>99</v>
      </c>
      <c r="T6358" s="8">
        <v>99</v>
      </c>
      <c r="U6358" s="8">
        <v>99</v>
      </c>
      <c r="V6358" s="8">
        <v>25</v>
      </c>
      <c r="W6358" s="8">
        <v>25</v>
      </c>
      <c r="Y6358" s="8" t="s">
        <v>28260</v>
      </c>
      <c r="Z6358" s="8" t="s">
        <v>28261</v>
      </c>
    </row>
    <row r="6359" spans="1:26" x14ac:dyDescent="0.2">
      <c r="A6359" s="8">
        <v>6358</v>
      </c>
      <c r="B6359" s="8" t="s">
        <v>28262</v>
      </c>
      <c r="C6359" s="8" t="s">
        <v>28262</v>
      </c>
      <c r="F6359" s="47"/>
      <c r="G6359" s="8">
        <v>19</v>
      </c>
      <c r="H6359" s="8" t="s">
        <v>21</v>
      </c>
      <c r="I6359" s="8" t="s">
        <v>22</v>
      </c>
      <c r="J6359" s="8" t="s">
        <v>22</v>
      </c>
      <c r="K6359" s="8" t="s">
        <v>449</v>
      </c>
      <c r="L6359" s="8" t="s">
        <v>13395</v>
      </c>
      <c r="M6359" s="8" t="s">
        <v>13396</v>
      </c>
      <c r="N6359" s="8" t="s">
        <v>28263</v>
      </c>
      <c r="O6359" s="8">
        <f>17+18/60+52.8/3600</f>
        <v>17.314666666666668</v>
      </c>
      <c r="P6359" s="8" t="s">
        <v>28264</v>
      </c>
      <c r="Q6359" s="8">
        <f>+(52+36/60+57/3600)</f>
        <v>52.615833333333335</v>
      </c>
      <c r="R6359" s="8">
        <v>14</v>
      </c>
      <c r="S6359" s="8">
        <v>14.8</v>
      </c>
      <c r="T6359" s="8">
        <v>0.8</v>
      </c>
      <c r="U6359" s="8">
        <v>12.8</v>
      </c>
      <c r="V6359" s="8">
        <v>0.9</v>
      </c>
      <c r="W6359" s="8">
        <v>0.4</v>
      </c>
      <c r="X6359" s="8">
        <v>110</v>
      </c>
      <c r="Y6359" s="8" t="s">
        <v>28265</v>
      </c>
      <c r="Z6359" s="8" t="s">
        <v>28266</v>
      </c>
    </row>
    <row r="6360" spans="1:26" x14ac:dyDescent="0.2">
      <c r="A6360" s="8">
        <v>6359</v>
      </c>
      <c r="B6360" s="8" t="s">
        <v>28267</v>
      </c>
      <c r="C6360" s="8" t="s">
        <v>28267</v>
      </c>
      <c r="F6360" s="47"/>
      <c r="G6360" s="8">
        <v>18</v>
      </c>
      <c r="H6360" s="8" t="s">
        <v>21</v>
      </c>
      <c r="I6360" s="8" t="s">
        <v>22</v>
      </c>
      <c r="J6360" s="8" t="s">
        <v>22</v>
      </c>
      <c r="K6360" s="8" t="s">
        <v>58</v>
      </c>
      <c r="L6360" s="8" t="s">
        <v>13395</v>
      </c>
      <c r="M6360" s="8" t="s">
        <v>13396</v>
      </c>
      <c r="N6360" s="8" t="s">
        <v>28268</v>
      </c>
      <c r="O6360" s="8">
        <f>17+17/60+53/3600</f>
        <v>17.298055555555557</v>
      </c>
      <c r="P6360" s="8" t="s">
        <v>28269</v>
      </c>
      <c r="Q6360" s="8">
        <f>+(61+46/60+51/3600)</f>
        <v>61.780833333333334</v>
      </c>
      <c r="R6360" s="8">
        <v>12.6</v>
      </c>
      <c r="S6360" s="8">
        <v>13.6</v>
      </c>
      <c r="T6360" s="8">
        <v>1</v>
      </c>
      <c r="U6360" s="8">
        <v>12.6</v>
      </c>
      <c r="V6360" s="8">
        <v>1.3</v>
      </c>
      <c r="W6360" s="8">
        <v>0.9</v>
      </c>
      <c r="X6360" s="8">
        <v>145</v>
      </c>
      <c r="Y6360" s="8" t="s">
        <v>28270</v>
      </c>
      <c r="Z6360" s="8" t="s">
        <v>28271</v>
      </c>
    </row>
    <row r="6361" spans="1:26" x14ac:dyDescent="0.2">
      <c r="A6361" s="8">
        <v>6360</v>
      </c>
      <c r="B6361" s="8" t="s">
        <v>28272</v>
      </c>
      <c r="C6361" s="8" t="s">
        <v>28272</v>
      </c>
      <c r="F6361" s="47"/>
      <c r="G6361" s="8">
        <v>16</v>
      </c>
      <c r="H6361" s="8" t="s">
        <v>21</v>
      </c>
      <c r="I6361" s="8" t="s">
        <v>72</v>
      </c>
      <c r="J6361" s="8" t="s">
        <v>72</v>
      </c>
      <c r="K6361" s="8" t="s">
        <v>1405</v>
      </c>
      <c r="L6361" s="8" t="s">
        <v>26994</v>
      </c>
      <c r="M6361" s="8" t="s">
        <v>26995</v>
      </c>
      <c r="N6361" s="8" t="s">
        <v>28273</v>
      </c>
      <c r="O6361" s="8">
        <f>17+24/60+26.5/3600</f>
        <v>17.407361111111111</v>
      </c>
      <c r="P6361" s="8" t="s">
        <v>28274</v>
      </c>
      <c r="Q6361" s="8">
        <f>-(29+51/60+46/3600)</f>
        <v>-29.862777777777779</v>
      </c>
      <c r="R6361" s="8">
        <v>99</v>
      </c>
      <c r="S6361" s="8">
        <v>99</v>
      </c>
      <c r="T6361" s="8">
        <v>99</v>
      </c>
      <c r="U6361" s="8">
        <v>99</v>
      </c>
      <c r="Y6361" s="8" t="s">
        <v>28275</v>
      </c>
      <c r="Z6361" s="8" t="s">
        <v>28276</v>
      </c>
    </row>
    <row r="6362" spans="1:26" x14ac:dyDescent="0.2">
      <c r="A6362" s="8">
        <v>6361</v>
      </c>
      <c r="B6362" s="8" t="s">
        <v>28277</v>
      </c>
      <c r="C6362" s="8" t="s">
        <v>28277</v>
      </c>
      <c r="F6362" s="47"/>
      <c r="G6362" s="8">
        <v>19</v>
      </c>
      <c r="H6362" s="8" t="s">
        <v>21</v>
      </c>
      <c r="I6362" s="8" t="s">
        <v>22</v>
      </c>
      <c r="J6362" s="8" t="s">
        <v>22</v>
      </c>
      <c r="K6362" s="8" t="s">
        <v>23</v>
      </c>
      <c r="L6362" s="8" t="s">
        <v>13395</v>
      </c>
      <c r="M6362" s="8" t="s">
        <v>13396</v>
      </c>
      <c r="N6362" s="8" t="s">
        <v>28278</v>
      </c>
      <c r="O6362" s="8">
        <f>17+18/60+40.9/3600</f>
        <v>17.311361111111111</v>
      </c>
      <c r="P6362" s="8" t="s">
        <v>28279</v>
      </c>
      <c r="Q6362" s="8">
        <f>+(60+36/60+29/3600)</f>
        <v>60.608055555555559</v>
      </c>
      <c r="R6362" s="8">
        <v>13.1</v>
      </c>
      <c r="S6362" s="8">
        <v>13.9</v>
      </c>
      <c r="T6362" s="8">
        <v>0.8</v>
      </c>
      <c r="U6362" s="8">
        <v>13.2</v>
      </c>
      <c r="V6362" s="8">
        <v>2.2000000000000002</v>
      </c>
      <c r="W6362" s="8">
        <v>0.6</v>
      </c>
      <c r="X6362" s="8">
        <v>54</v>
      </c>
      <c r="Y6362" s="8" t="s">
        <v>28280</v>
      </c>
      <c r="Z6362" s="8" t="s">
        <v>28281</v>
      </c>
    </row>
    <row r="6363" spans="1:26" x14ac:dyDescent="0.2">
      <c r="A6363" s="8">
        <v>6362</v>
      </c>
      <c r="B6363" s="8" t="s">
        <v>28282</v>
      </c>
      <c r="C6363" s="8" t="s">
        <v>28282</v>
      </c>
      <c r="F6363" s="47"/>
      <c r="G6363" s="8">
        <v>3</v>
      </c>
      <c r="H6363" s="8" t="s">
        <v>21</v>
      </c>
      <c r="I6363" s="8" t="s">
        <v>567</v>
      </c>
      <c r="J6363" s="8" t="s">
        <v>567</v>
      </c>
      <c r="K6363" s="8" t="s">
        <v>1485</v>
      </c>
      <c r="L6363" s="8" t="s">
        <v>27529</v>
      </c>
      <c r="M6363" s="8" t="s">
        <v>27530</v>
      </c>
      <c r="N6363" s="8" t="s">
        <v>28283</v>
      </c>
      <c r="O6363" s="8">
        <f>17+31/60+54.8/3600</f>
        <v>17.531888888888886</v>
      </c>
      <c r="P6363" s="8" t="s">
        <v>28284</v>
      </c>
      <c r="Q6363" s="8">
        <f>-(67+2/60+51/3600)</f>
        <v>-67.047499999999999</v>
      </c>
      <c r="R6363" s="8">
        <v>8.1</v>
      </c>
      <c r="S6363" s="8">
        <v>99</v>
      </c>
      <c r="T6363" s="8">
        <v>99</v>
      </c>
      <c r="U6363" s="8">
        <v>99</v>
      </c>
      <c r="V6363" s="8">
        <v>15</v>
      </c>
      <c r="Y6363" s="8" t="s">
        <v>28285</v>
      </c>
      <c r="Z6363" s="8" t="s">
        <v>28286</v>
      </c>
    </row>
    <row r="6364" spans="1:26" x14ac:dyDescent="0.2">
      <c r="A6364" s="8">
        <v>6363</v>
      </c>
      <c r="B6364" s="8" t="s">
        <v>28287</v>
      </c>
      <c r="C6364" s="8" t="s">
        <v>28287</v>
      </c>
      <c r="F6364" s="47"/>
      <c r="G6364" s="8">
        <v>19</v>
      </c>
      <c r="H6364" s="8" t="s">
        <v>21</v>
      </c>
      <c r="I6364" s="8" t="s">
        <v>22</v>
      </c>
      <c r="J6364" s="8" t="s">
        <v>57</v>
      </c>
      <c r="K6364" s="8" t="s">
        <v>1136</v>
      </c>
      <c r="L6364" s="8" t="s">
        <v>26804</v>
      </c>
      <c r="M6364" s="8" t="s">
        <v>26805</v>
      </c>
      <c r="N6364" s="8" t="s">
        <v>27323</v>
      </c>
      <c r="O6364" s="8">
        <f>17+22/60+39.9/3600</f>
        <v>17.377749999999999</v>
      </c>
      <c r="P6364" s="8" t="s">
        <v>27324</v>
      </c>
      <c r="Q6364" s="8">
        <f>+(41+6/60+8/3600)</f>
        <v>41.102222222222224</v>
      </c>
      <c r="R6364" s="8">
        <v>13.3</v>
      </c>
      <c r="S6364" s="8">
        <v>14.3</v>
      </c>
      <c r="T6364" s="8">
        <v>1</v>
      </c>
      <c r="U6364" s="8">
        <v>13.2</v>
      </c>
      <c r="V6364" s="8">
        <v>1.1000000000000001</v>
      </c>
      <c r="W6364" s="8">
        <v>0.9</v>
      </c>
      <c r="X6364" s="8">
        <v>14</v>
      </c>
      <c r="Y6364" s="8" t="s">
        <v>750</v>
      </c>
      <c r="Z6364" s="8" t="s">
        <v>751</v>
      </c>
    </row>
    <row r="6365" spans="1:26" x14ac:dyDescent="0.2">
      <c r="A6365" s="8">
        <v>6364</v>
      </c>
      <c r="B6365" s="8" t="s">
        <v>28288</v>
      </c>
      <c r="C6365" s="8" t="s">
        <v>28288</v>
      </c>
      <c r="F6365" s="47"/>
      <c r="G6365" s="8">
        <v>19</v>
      </c>
      <c r="H6365" s="8" t="s">
        <v>21</v>
      </c>
      <c r="I6365" s="8" t="s">
        <v>22</v>
      </c>
      <c r="J6365" s="8" t="s">
        <v>22</v>
      </c>
      <c r="K6365" s="8" t="s">
        <v>37</v>
      </c>
      <c r="L6365" s="8" t="s">
        <v>26804</v>
      </c>
      <c r="M6365" s="8" t="s">
        <v>26805</v>
      </c>
      <c r="N6365" s="8" t="s">
        <v>28289</v>
      </c>
      <c r="O6365" s="8">
        <f>17+24/60+27.3/3600</f>
        <v>17.407583333333331</v>
      </c>
      <c r="P6365" s="8" t="s">
        <v>28290</v>
      </c>
      <c r="Q6365" s="8">
        <f>+(29+23/60+28/3600)</f>
        <v>29.391111111111112</v>
      </c>
      <c r="R6365" s="8">
        <v>12.9</v>
      </c>
      <c r="S6365" s="8">
        <v>13.9</v>
      </c>
      <c r="T6365" s="8">
        <v>1</v>
      </c>
      <c r="U6365" s="8">
        <v>13.4</v>
      </c>
      <c r="V6365" s="8">
        <v>1.5</v>
      </c>
      <c r="W6365" s="8">
        <v>1.2</v>
      </c>
      <c r="X6365" s="8">
        <v>5</v>
      </c>
      <c r="Y6365" s="8" t="s">
        <v>28291</v>
      </c>
      <c r="Z6365" s="8" t="s">
        <v>28292</v>
      </c>
    </row>
    <row r="6366" spans="1:26" x14ac:dyDescent="0.2">
      <c r="A6366" s="8">
        <v>6365</v>
      </c>
      <c r="B6366" s="8" t="s">
        <v>28293</v>
      </c>
      <c r="C6366" s="8" t="s">
        <v>28293</v>
      </c>
      <c r="F6366" s="47"/>
      <c r="G6366" s="8">
        <v>19</v>
      </c>
      <c r="H6366" s="8" t="s">
        <v>21</v>
      </c>
      <c r="I6366" s="8" t="s">
        <v>22</v>
      </c>
      <c r="J6366" s="8" t="s">
        <v>22</v>
      </c>
      <c r="K6366" s="8" t="s">
        <v>3523</v>
      </c>
      <c r="L6366" s="8" t="s">
        <v>13395</v>
      </c>
      <c r="M6366" s="8" t="s">
        <v>13396</v>
      </c>
      <c r="N6366" s="8" t="s">
        <v>28294</v>
      </c>
      <c r="O6366" s="8">
        <f>17+22/60+43.5/3600</f>
        <v>17.37875</v>
      </c>
      <c r="P6366" s="8" t="s">
        <v>28295</v>
      </c>
      <c r="Q6366" s="8">
        <f>+(62+10/60+24/3600)</f>
        <v>62.173333333333332</v>
      </c>
      <c r="R6366" s="8">
        <v>14.2</v>
      </c>
      <c r="S6366" s="8">
        <v>14.8</v>
      </c>
      <c r="T6366" s="8">
        <v>0.6</v>
      </c>
      <c r="U6366" s="8">
        <v>12.4</v>
      </c>
      <c r="V6366" s="8">
        <v>1.1000000000000001</v>
      </c>
      <c r="W6366" s="8">
        <v>0.2</v>
      </c>
      <c r="X6366" s="8">
        <v>31</v>
      </c>
      <c r="Y6366" s="8" t="s">
        <v>28296</v>
      </c>
      <c r="Z6366" s="8" t="s">
        <v>28297</v>
      </c>
    </row>
    <row r="6367" spans="1:26" x14ac:dyDescent="0.2">
      <c r="A6367" s="8">
        <v>6366</v>
      </c>
      <c r="B6367" s="8" t="s">
        <v>28298</v>
      </c>
      <c r="C6367" s="8" t="s">
        <v>28298</v>
      </c>
      <c r="F6367" s="47"/>
      <c r="G6367" s="8">
        <v>7</v>
      </c>
      <c r="H6367" s="8" t="s">
        <v>21</v>
      </c>
      <c r="I6367" s="8" t="s">
        <v>567</v>
      </c>
      <c r="J6367" s="8" t="s">
        <v>567</v>
      </c>
      <c r="K6367" s="8" t="s">
        <v>22675</v>
      </c>
      <c r="L6367" s="8" t="s">
        <v>26994</v>
      </c>
      <c r="M6367" s="8" t="s">
        <v>26995</v>
      </c>
      <c r="N6367" s="8" t="s">
        <v>28299</v>
      </c>
      <c r="O6367" s="8">
        <f>17+27/60+44.3/3600</f>
        <v>17.462305555555556</v>
      </c>
      <c r="P6367" s="8" t="s">
        <v>28300</v>
      </c>
      <c r="Q6367" s="8">
        <f>-(5+4/60+34/3600)</f>
        <v>-5.0761111111111106</v>
      </c>
      <c r="R6367" s="8">
        <v>9.5</v>
      </c>
      <c r="S6367" s="8">
        <v>99</v>
      </c>
      <c r="T6367" s="8">
        <v>99</v>
      </c>
      <c r="U6367" s="8">
        <v>99</v>
      </c>
      <c r="V6367" s="8">
        <v>13</v>
      </c>
      <c r="Y6367" s="8" t="s">
        <v>28301</v>
      </c>
      <c r="Z6367" s="8" t="s">
        <v>28302</v>
      </c>
    </row>
    <row r="6368" spans="1:26" x14ac:dyDescent="0.2">
      <c r="A6368" s="8">
        <v>6367</v>
      </c>
      <c r="B6368" s="8" t="s">
        <v>28303</v>
      </c>
      <c r="C6368" s="8" t="s">
        <v>28303</v>
      </c>
      <c r="F6368" s="47"/>
      <c r="G6368" s="8">
        <v>19</v>
      </c>
      <c r="H6368" s="8" t="s">
        <v>21</v>
      </c>
      <c r="I6368" s="8" t="s">
        <v>22</v>
      </c>
      <c r="J6368" s="8" t="s">
        <v>22</v>
      </c>
      <c r="K6368" s="8" t="s">
        <v>449</v>
      </c>
      <c r="L6368" s="8" t="s">
        <v>26804</v>
      </c>
      <c r="M6368" s="8" t="s">
        <v>26805</v>
      </c>
      <c r="N6368" s="8" t="s">
        <v>28304</v>
      </c>
      <c r="O6368" s="8">
        <f>17+25/60+8.9/3600</f>
        <v>17.419138888888892</v>
      </c>
      <c r="P6368" s="8" t="s">
        <v>28305</v>
      </c>
      <c r="Q6368" s="8">
        <f>+(37+45/60+37/3600)</f>
        <v>37.76027777777778</v>
      </c>
      <c r="R6368" s="8">
        <v>14.2</v>
      </c>
      <c r="S6368" s="8">
        <v>15</v>
      </c>
      <c r="T6368" s="8">
        <v>0.8</v>
      </c>
      <c r="U6368" s="8">
        <v>13.5</v>
      </c>
      <c r="V6368" s="8">
        <v>0.8</v>
      </c>
      <c r="W6368" s="8">
        <v>0.7</v>
      </c>
      <c r="X6368" s="8">
        <v>156</v>
      </c>
      <c r="Y6368" s="8" t="s">
        <v>28306</v>
      </c>
      <c r="Z6368" s="8" t="s">
        <v>27041</v>
      </c>
    </row>
    <row r="6369" spans="1:26" x14ac:dyDescent="0.2">
      <c r="A6369" s="8">
        <v>6368</v>
      </c>
      <c r="B6369" s="8" t="s">
        <v>28307</v>
      </c>
      <c r="C6369" s="8" t="s">
        <v>28307</v>
      </c>
      <c r="F6369" s="47"/>
      <c r="G6369" s="8">
        <v>18</v>
      </c>
      <c r="H6369" s="8" t="s">
        <v>21</v>
      </c>
      <c r="I6369" s="8" t="s">
        <v>22</v>
      </c>
      <c r="J6369" s="8" t="s">
        <v>22</v>
      </c>
      <c r="K6369" s="8" t="s">
        <v>23</v>
      </c>
      <c r="L6369" s="8" t="s">
        <v>26994</v>
      </c>
      <c r="M6369" s="8" t="s">
        <v>26995</v>
      </c>
      <c r="N6369" s="8" t="s">
        <v>28308</v>
      </c>
      <c r="O6369" s="8">
        <f>17+27/60+11.4/3600</f>
        <v>17.453166666666664</v>
      </c>
      <c r="P6369" s="8" t="s">
        <v>28309</v>
      </c>
      <c r="Q6369" s="8">
        <f>+(11+32/60+35/3600)</f>
        <v>11.543055555555556</v>
      </c>
      <c r="R6369" s="8">
        <v>12.3</v>
      </c>
      <c r="S6369" s="8">
        <v>13.1</v>
      </c>
      <c r="T6369" s="8">
        <v>0.8</v>
      </c>
      <c r="U6369" s="8">
        <v>13</v>
      </c>
      <c r="V6369" s="8">
        <v>3.5</v>
      </c>
      <c r="W6369" s="8">
        <v>0.6</v>
      </c>
      <c r="X6369" s="8">
        <v>42</v>
      </c>
      <c r="Y6369" s="8" t="s">
        <v>1664</v>
      </c>
      <c r="Z6369" s="8" t="s">
        <v>1665</v>
      </c>
    </row>
    <row r="6370" spans="1:26" x14ac:dyDescent="0.2">
      <c r="A6370" s="8">
        <v>6369</v>
      </c>
      <c r="B6370" s="8" t="s">
        <v>28310</v>
      </c>
      <c r="C6370" s="8" t="s">
        <v>28310</v>
      </c>
      <c r="F6370" s="47" t="s">
        <v>58189</v>
      </c>
      <c r="G6370" s="8">
        <v>5</v>
      </c>
      <c r="H6370" s="8" t="s">
        <v>28311</v>
      </c>
      <c r="I6370" s="8" t="s">
        <v>241</v>
      </c>
      <c r="J6370" s="8" t="s">
        <v>241</v>
      </c>
      <c r="K6370" s="8" t="s">
        <v>241</v>
      </c>
      <c r="L6370" s="8" t="s">
        <v>26994</v>
      </c>
      <c r="M6370" s="8" t="s">
        <v>26995</v>
      </c>
      <c r="N6370" s="8" t="s">
        <v>28312</v>
      </c>
      <c r="O6370" s="8">
        <f>17+29/60+20.4/3600</f>
        <v>17.489000000000001</v>
      </c>
      <c r="P6370" s="8" t="s">
        <v>28313</v>
      </c>
      <c r="Q6370" s="8">
        <f>-(23+45/60+33/3600)</f>
        <v>-23.759166666666665</v>
      </c>
      <c r="R6370" s="8">
        <v>11.4</v>
      </c>
      <c r="S6370" s="8">
        <v>12.9</v>
      </c>
      <c r="T6370" s="8">
        <v>99</v>
      </c>
      <c r="U6370" s="8">
        <v>99</v>
      </c>
      <c r="V6370" s="8">
        <v>0.63</v>
      </c>
      <c r="Y6370" s="8" t="s">
        <v>28314</v>
      </c>
      <c r="Z6370" s="8" t="s">
        <v>28315</v>
      </c>
    </row>
    <row r="6371" spans="1:26" x14ac:dyDescent="0.2">
      <c r="A6371" s="8">
        <v>6370</v>
      </c>
      <c r="B6371" s="8" t="s">
        <v>28316</v>
      </c>
      <c r="C6371" s="8" t="s">
        <v>28316</v>
      </c>
      <c r="F6371" s="47"/>
      <c r="G6371" s="8">
        <v>19</v>
      </c>
      <c r="H6371" s="8" t="s">
        <v>21</v>
      </c>
      <c r="I6371" s="8" t="s">
        <v>22</v>
      </c>
      <c r="J6371" s="8" t="s">
        <v>22</v>
      </c>
      <c r="K6371" s="8" t="s">
        <v>460</v>
      </c>
      <c r="L6371" s="8" t="s">
        <v>13395</v>
      </c>
      <c r="M6371" s="8" t="s">
        <v>13396</v>
      </c>
      <c r="N6371" s="8" t="s">
        <v>28317</v>
      </c>
      <c r="O6371" s="8">
        <f>17+23/60+25.1/3600</f>
        <v>17.390305555555557</v>
      </c>
      <c r="P6371" s="8" t="s">
        <v>28318</v>
      </c>
      <c r="Q6371" s="8">
        <f>+(56+58/60+30/3600)</f>
        <v>56.975000000000001</v>
      </c>
      <c r="R6371" s="8">
        <v>12.9</v>
      </c>
      <c r="S6371" s="8">
        <v>13.9</v>
      </c>
      <c r="T6371" s="8">
        <v>1</v>
      </c>
      <c r="U6371" s="8">
        <v>13.7</v>
      </c>
      <c r="V6371" s="8">
        <v>1.4</v>
      </c>
      <c r="W6371" s="8">
        <v>1.4</v>
      </c>
      <c r="Y6371" s="8" t="s">
        <v>28319</v>
      </c>
      <c r="Z6371" s="8" t="s">
        <v>28320</v>
      </c>
    </row>
    <row r="6372" spans="1:26" x14ac:dyDescent="0.2">
      <c r="A6372" s="8">
        <v>6371</v>
      </c>
      <c r="B6372" s="8" t="s">
        <v>28321</v>
      </c>
      <c r="C6372" s="8" t="s">
        <v>28321</v>
      </c>
      <c r="F6372" s="47"/>
      <c r="G6372" s="8">
        <v>18</v>
      </c>
      <c r="H6372" s="8" t="s">
        <v>21</v>
      </c>
      <c r="I6372" s="8" t="s">
        <v>22</v>
      </c>
      <c r="J6372" s="8" t="s">
        <v>22</v>
      </c>
      <c r="K6372" s="8" t="s">
        <v>476</v>
      </c>
      <c r="L6372" s="8" t="s">
        <v>26804</v>
      </c>
      <c r="M6372" s="8" t="s">
        <v>26805</v>
      </c>
      <c r="N6372" s="8" t="s">
        <v>28322</v>
      </c>
      <c r="O6372" s="8">
        <f>17+27/60+20.6/3600</f>
        <v>17.455722222222221</v>
      </c>
      <c r="P6372" s="8" t="s">
        <v>28323</v>
      </c>
      <c r="Q6372" s="8">
        <f>+(26+30/60+18/3600)</f>
        <v>26.504999999999999</v>
      </c>
      <c r="R6372" s="8">
        <v>14.3</v>
      </c>
      <c r="S6372" s="8">
        <v>15.2</v>
      </c>
      <c r="T6372" s="8">
        <v>0.9</v>
      </c>
      <c r="U6372" s="8">
        <v>12.6</v>
      </c>
      <c r="V6372" s="8">
        <v>0.8</v>
      </c>
      <c r="W6372" s="8">
        <v>0.3</v>
      </c>
      <c r="X6372" s="8">
        <v>165</v>
      </c>
      <c r="Y6372" s="8" t="s">
        <v>28324</v>
      </c>
      <c r="Z6372" s="8" t="s">
        <v>24926</v>
      </c>
    </row>
    <row r="6373" spans="1:26" x14ac:dyDescent="0.2">
      <c r="A6373" s="8">
        <v>6372</v>
      </c>
      <c r="B6373" s="8" t="s">
        <v>28325</v>
      </c>
      <c r="C6373" s="8" t="s">
        <v>28325</v>
      </c>
      <c r="F6373" s="47" t="s">
        <v>58190</v>
      </c>
      <c r="G6373" s="8">
        <v>15</v>
      </c>
      <c r="H6373" s="8" t="s">
        <v>21</v>
      </c>
      <c r="I6373" s="8" t="s">
        <v>22</v>
      </c>
      <c r="J6373" s="8" t="s">
        <v>22</v>
      </c>
      <c r="K6373" s="8" t="s">
        <v>160</v>
      </c>
      <c r="L6373" s="8" t="s">
        <v>26804</v>
      </c>
      <c r="M6373" s="8" t="s">
        <v>26805</v>
      </c>
      <c r="N6373" s="8" t="s">
        <v>28326</v>
      </c>
      <c r="O6373" s="8">
        <f>17+27/60+31.9/3600</f>
        <v>17.458861111111112</v>
      </c>
      <c r="P6373" s="8" t="s">
        <v>28327</v>
      </c>
      <c r="Q6373" s="8">
        <f>+(26+28/60+29/3600)</f>
        <v>26.474722222222219</v>
      </c>
      <c r="R6373" s="8">
        <v>12.9</v>
      </c>
      <c r="S6373" s="8">
        <v>13.7</v>
      </c>
      <c r="T6373" s="8">
        <v>0.8</v>
      </c>
      <c r="U6373" s="8">
        <v>13.5</v>
      </c>
      <c r="V6373" s="8">
        <v>1.7</v>
      </c>
      <c r="W6373" s="8">
        <v>1.1000000000000001</v>
      </c>
      <c r="X6373" s="8">
        <v>90</v>
      </c>
      <c r="Y6373" s="8" t="s">
        <v>28328</v>
      </c>
      <c r="Z6373" s="8" t="s">
        <v>28329</v>
      </c>
    </row>
    <row r="6374" spans="1:26" x14ac:dyDescent="0.2">
      <c r="A6374" s="8">
        <v>6373</v>
      </c>
      <c r="B6374" s="8" t="s">
        <v>28330</v>
      </c>
      <c r="C6374" s="8" t="s">
        <v>28330</v>
      </c>
      <c r="F6374" s="47"/>
      <c r="G6374" s="8">
        <v>19</v>
      </c>
      <c r="H6374" s="8" t="s">
        <v>21</v>
      </c>
      <c r="I6374" s="8" t="s">
        <v>22</v>
      </c>
      <c r="J6374" s="8" t="s">
        <v>22</v>
      </c>
      <c r="K6374" s="8" t="s">
        <v>64</v>
      </c>
      <c r="L6374" s="8" t="s">
        <v>13395</v>
      </c>
      <c r="M6374" s="8" t="s">
        <v>13396</v>
      </c>
      <c r="N6374" s="8" t="s">
        <v>28331</v>
      </c>
      <c r="O6374" s="8">
        <f>17+24/60+8/3600</f>
        <v>17.402222222222221</v>
      </c>
      <c r="P6374" s="8" t="s">
        <v>28332</v>
      </c>
      <c r="Q6374" s="8">
        <f>+(58+59/60+43/3600)</f>
        <v>58.99527777777778</v>
      </c>
      <c r="R6374" s="8">
        <v>13.6</v>
      </c>
      <c r="S6374" s="8">
        <v>14.3</v>
      </c>
      <c r="T6374" s="8">
        <v>0.7</v>
      </c>
      <c r="U6374" s="8">
        <v>13.7</v>
      </c>
      <c r="V6374" s="8">
        <v>1.3</v>
      </c>
      <c r="W6374" s="8">
        <v>1</v>
      </c>
      <c r="X6374" s="8">
        <v>90</v>
      </c>
      <c r="Y6374" s="8" t="s">
        <v>19732</v>
      </c>
      <c r="Z6374" s="8" t="s">
        <v>19733</v>
      </c>
    </row>
    <row r="6375" spans="1:26" x14ac:dyDescent="0.2">
      <c r="A6375" s="8">
        <v>6374</v>
      </c>
      <c r="B6375" s="8" t="s">
        <v>28333</v>
      </c>
      <c r="C6375" s="8" t="s">
        <v>28333</v>
      </c>
      <c r="F6375" s="47"/>
      <c r="G6375" s="8">
        <v>14</v>
      </c>
      <c r="H6375" s="8" t="s">
        <v>21</v>
      </c>
      <c r="I6375" s="8" t="s">
        <v>557</v>
      </c>
      <c r="J6375" s="8" t="s">
        <v>57</v>
      </c>
      <c r="K6375" s="8" t="s">
        <v>779</v>
      </c>
      <c r="L6375" s="8" t="s">
        <v>26735</v>
      </c>
      <c r="M6375" s="8" t="s">
        <v>26736</v>
      </c>
      <c r="N6375" s="8" t="s">
        <v>28334</v>
      </c>
      <c r="O6375" s="8">
        <f>17+34/60+42.2/3600</f>
        <v>17.578388888888888</v>
      </c>
      <c r="P6375" s="8" t="s">
        <v>28335</v>
      </c>
      <c r="Q6375" s="8">
        <f>-(32+34/60+54/3600)</f>
        <v>-32.581666666666671</v>
      </c>
      <c r="R6375" s="8">
        <v>5.5</v>
      </c>
      <c r="S6375" s="8">
        <v>5.6</v>
      </c>
      <c r="T6375" s="8">
        <v>99</v>
      </c>
      <c r="U6375" s="8">
        <v>99</v>
      </c>
      <c r="V6375" s="8">
        <v>20</v>
      </c>
      <c r="Y6375" s="8" t="s">
        <v>28336</v>
      </c>
      <c r="Z6375" s="8" t="s">
        <v>28337</v>
      </c>
    </row>
    <row r="6376" spans="1:26" x14ac:dyDescent="0.2">
      <c r="A6376" s="8">
        <v>6375</v>
      </c>
      <c r="B6376" s="8" t="s">
        <v>28338</v>
      </c>
      <c r="C6376" s="8" t="s">
        <v>28338</v>
      </c>
      <c r="F6376" s="47"/>
      <c r="G6376" s="8">
        <v>18</v>
      </c>
      <c r="H6376" s="8" t="s">
        <v>21</v>
      </c>
      <c r="I6376" s="8" t="s">
        <v>22</v>
      </c>
      <c r="J6376" s="8" t="s">
        <v>22</v>
      </c>
      <c r="K6376" s="8" t="s">
        <v>460</v>
      </c>
      <c r="L6376" s="8" t="s">
        <v>26804</v>
      </c>
      <c r="M6376" s="8" t="s">
        <v>26805</v>
      </c>
      <c r="N6376" s="8" t="s">
        <v>28339</v>
      </c>
      <c r="O6376" s="8">
        <f>17+29/60+21.8/3600</f>
        <v>17.48938888888889</v>
      </c>
      <c r="P6376" s="8" t="s">
        <v>28340</v>
      </c>
      <c r="Q6376" s="8">
        <f>+(16+12/60+26/3600)</f>
        <v>16.207222222222221</v>
      </c>
      <c r="R6376" s="8">
        <v>13.9</v>
      </c>
      <c r="S6376" s="8">
        <v>14.9</v>
      </c>
      <c r="T6376" s="8">
        <v>1</v>
      </c>
      <c r="U6376" s="8">
        <v>14.9</v>
      </c>
      <c r="V6376" s="8">
        <v>1.6</v>
      </c>
      <c r="W6376" s="8">
        <v>1.6</v>
      </c>
      <c r="Y6376" s="8" t="s">
        <v>2181</v>
      </c>
      <c r="Z6376" s="8" t="s">
        <v>2182</v>
      </c>
    </row>
    <row r="6377" spans="1:26" x14ac:dyDescent="0.2">
      <c r="A6377" s="8">
        <v>6376</v>
      </c>
      <c r="B6377" s="8" t="s">
        <v>28341</v>
      </c>
      <c r="C6377" s="8" t="s">
        <v>28341</v>
      </c>
      <c r="F6377" s="47"/>
      <c r="G6377" s="8">
        <v>19</v>
      </c>
      <c r="H6377" s="8" t="s">
        <v>21</v>
      </c>
      <c r="I6377" s="8" t="s">
        <v>22</v>
      </c>
      <c r="J6377" s="8" t="s">
        <v>22</v>
      </c>
      <c r="K6377" s="8" t="s">
        <v>160</v>
      </c>
      <c r="L6377" s="8" t="s">
        <v>13395</v>
      </c>
      <c r="M6377" s="8" t="s">
        <v>13396</v>
      </c>
      <c r="N6377" s="8" t="s">
        <v>28342</v>
      </c>
      <c r="O6377" s="8">
        <f>17+25/60+19.2/3600</f>
        <v>17.422000000000001</v>
      </c>
      <c r="P6377" s="8" t="s">
        <v>28343</v>
      </c>
      <c r="Q6377" s="8">
        <f>+(58+49/60+2/3600)</f>
        <v>58.817222222222227</v>
      </c>
      <c r="R6377" s="8">
        <v>14.8</v>
      </c>
      <c r="S6377" s="8">
        <v>15.5</v>
      </c>
      <c r="T6377" s="8">
        <v>0.7</v>
      </c>
      <c r="U6377" s="8">
        <v>12.6</v>
      </c>
      <c r="V6377" s="8">
        <v>0.5</v>
      </c>
      <c r="W6377" s="8">
        <v>0.3</v>
      </c>
      <c r="X6377" s="8">
        <v>142</v>
      </c>
      <c r="Y6377" s="8" t="s">
        <v>28344</v>
      </c>
      <c r="Z6377" s="8" t="s">
        <v>28345</v>
      </c>
    </row>
    <row r="6378" spans="1:26" x14ac:dyDescent="0.2">
      <c r="A6378" s="8">
        <v>6377</v>
      </c>
      <c r="B6378" s="8" t="s">
        <v>28346</v>
      </c>
      <c r="C6378" s="8" t="s">
        <v>28346</v>
      </c>
      <c r="F6378" s="47"/>
      <c r="G6378" s="8">
        <v>19</v>
      </c>
      <c r="H6378" s="8" t="s">
        <v>21</v>
      </c>
      <c r="I6378" s="8" t="s">
        <v>22</v>
      </c>
      <c r="J6378" s="8" t="s">
        <v>22</v>
      </c>
      <c r="K6378" s="8" t="s">
        <v>396</v>
      </c>
      <c r="L6378" s="8" t="s">
        <v>13395</v>
      </c>
      <c r="M6378" s="8" t="s">
        <v>13396</v>
      </c>
      <c r="N6378" s="8" t="s">
        <v>28347</v>
      </c>
      <c r="O6378" s="8">
        <f>17+25/60+23/3600</f>
        <v>17.423055555555557</v>
      </c>
      <c r="P6378" s="8" t="s">
        <v>28348</v>
      </c>
      <c r="Q6378" s="8">
        <f>+(58+49/60+22/3600)</f>
        <v>58.82277777777778</v>
      </c>
      <c r="R6378" s="8">
        <v>14.9</v>
      </c>
      <c r="S6378" s="8">
        <v>15.7</v>
      </c>
      <c r="T6378" s="8">
        <v>0.8</v>
      </c>
      <c r="U6378" s="8">
        <v>12.9</v>
      </c>
      <c r="V6378" s="8">
        <v>0.7</v>
      </c>
      <c r="W6378" s="8">
        <v>0.3</v>
      </c>
      <c r="X6378" s="8">
        <v>58</v>
      </c>
      <c r="Y6378" s="8" t="s">
        <v>11813</v>
      </c>
      <c r="Z6378" s="8" t="s">
        <v>11814</v>
      </c>
    </row>
    <row r="6379" spans="1:26" x14ac:dyDescent="0.2">
      <c r="A6379" s="8">
        <v>6378</v>
      </c>
      <c r="B6379" s="8" t="s">
        <v>28349</v>
      </c>
      <c r="C6379" s="8" t="s">
        <v>28349</v>
      </c>
      <c r="F6379" s="47"/>
      <c r="G6379" s="8">
        <v>18</v>
      </c>
      <c r="H6379" s="8" t="s">
        <v>21</v>
      </c>
      <c r="I6379" s="8" t="s">
        <v>22</v>
      </c>
      <c r="J6379" s="8" t="s">
        <v>22</v>
      </c>
      <c r="K6379" s="8" t="s">
        <v>396</v>
      </c>
      <c r="L6379" s="8" t="s">
        <v>26994</v>
      </c>
      <c r="M6379" s="8" t="s">
        <v>26995</v>
      </c>
      <c r="N6379" s="8" t="s">
        <v>28350</v>
      </c>
      <c r="O6379" s="8">
        <f>17+30/60+41.8/3600</f>
        <v>17.511611111111112</v>
      </c>
      <c r="P6379" s="8" t="s">
        <v>28351</v>
      </c>
      <c r="Q6379" s="8">
        <f>+(6+16/60+53/3600)</f>
        <v>6.2813888888888885</v>
      </c>
      <c r="R6379" s="8">
        <v>13.5</v>
      </c>
      <c r="S6379" s="8">
        <v>14.3</v>
      </c>
      <c r="T6379" s="8">
        <v>0.8</v>
      </c>
      <c r="U6379" s="8">
        <v>13.5</v>
      </c>
      <c r="V6379" s="8">
        <v>1.3</v>
      </c>
      <c r="W6379" s="8">
        <v>0.9</v>
      </c>
      <c r="X6379" s="8">
        <v>5</v>
      </c>
      <c r="Y6379" s="8" t="s">
        <v>28352</v>
      </c>
      <c r="Z6379" s="8" t="s">
        <v>28353</v>
      </c>
    </row>
    <row r="6380" spans="1:26" x14ac:dyDescent="0.2">
      <c r="A6380" s="8">
        <v>6379</v>
      </c>
      <c r="B6380" s="8" t="s">
        <v>28354</v>
      </c>
      <c r="C6380" s="8" t="s">
        <v>28354</v>
      </c>
      <c r="F6380" s="47"/>
      <c r="G6380" s="8">
        <v>18</v>
      </c>
      <c r="H6380" s="8" t="s">
        <v>21</v>
      </c>
      <c r="I6380" s="8" t="s">
        <v>22</v>
      </c>
      <c r="J6380" s="8" t="s">
        <v>22</v>
      </c>
      <c r="K6380" s="8" t="s">
        <v>160</v>
      </c>
      <c r="L6380" s="8" t="s">
        <v>26804</v>
      </c>
      <c r="M6380" s="8" t="s">
        <v>26805</v>
      </c>
      <c r="N6380" s="8" t="s">
        <v>28355</v>
      </c>
      <c r="O6380" s="8">
        <f>17+30/60+35/3600</f>
        <v>17.509722222222223</v>
      </c>
      <c r="P6380" s="8" t="s">
        <v>28356</v>
      </c>
      <c r="Q6380" s="8">
        <f>+(16+17/60+19/3600)</f>
        <v>16.288611111111113</v>
      </c>
      <c r="R6380" s="8">
        <v>12.9</v>
      </c>
      <c r="S6380" s="8">
        <v>13.7</v>
      </c>
      <c r="T6380" s="8">
        <v>0.8</v>
      </c>
      <c r="U6380" s="8">
        <v>12.9</v>
      </c>
      <c r="V6380" s="8">
        <v>1.1000000000000001</v>
      </c>
      <c r="W6380" s="8">
        <v>1</v>
      </c>
      <c r="X6380" s="8">
        <v>33</v>
      </c>
      <c r="Y6380" s="8" t="s">
        <v>1225</v>
      </c>
      <c r="Z6380" s="8" t="s">
        <v>1226</v>
      </c>
    </row>
    <row r="6381" spans="1:26" x14ac:dyDescent="0.2">
      <c r="A6381" s="8">
        <v>6380</v>
      </c>
      <c r="B6381" s="8" t="s">
        <v>28357</v>
      </c>
      <c r="C6381" s="8" t="s">
        <v>28357</v>
      </c>
      <c r="F6381" s="47"/>
      <c r="G6381" s="8">
        <v>13</v>
      </c>
      <c r="H6381" s="8" t="s">
        <v>28358</v>
      </c>
      <c r="I6381" s="8" t="s">
        <v>567</v>
      </c>
      <c r="J6381" s="8" t="s">
        <v>567</v>
      </c>
      <c r="K6381" s="8" t="s">
        <v>567</v>
      </c>
      <c r="L6381" s="8" t="s">
        <v>26735</v>
      </c>
      <c r="M6381" s="8" t="s">
        <v>26736</v>
      </c>
      <c r="N6381" s="8" t="s">
        <v>28359</v>
      </c>
      <c r="O6381" s="8">
        <f>17+34/60+28/3600</f>
        <v>17.574444444444445</v>
      </c>
      <c r="P6381" s="8" t="s">
        <v>28360</v>
      </c>
      <c r="Q6381" s="8">
        <f>-(39+4/60+7/3600)</f>
        <v>-39.068611111111117</v>
      </c>
      <c r="R6381" s="8">
        <v>11.5</v>
      </c>
      <c r="S6381" s="8">
        <v>99</v>
      </c>
      <c r="T6381" s="8">
        <v>99</v>
      </c>
      <c r="U6381" s="8">
        <v>99</v>
      </c>
      <c r="V6381" s="8">
        <v>3.6</v>
      </c>
      <c r="Y6381" s="8" t="s">
        <v>28361</v>
      </c>
      <c r="Z6381" s="8" t="s">
        <v>28362</v>
      </c>
    </row>
    <row r="6382" spans="1:26" x14ac:dyDescent="0.2">
      <c r="A6382" s="8">
        <v>6381</v>
      </c>
      <c r="B6382" s="8" t="s">
        <v>28363</v>
      </c>
      <c r="C6382" s="8" t="s">
        <v>28363</v>
      </c>
      <c r="F6382" s="47"/>
      <c r="G6382" s="8">
        <v>19</v>
      </c>
      <c r="H6382" s="8" t="s">
        <v>21</v>
      </c>
      <c r="I6382" s="8" t="s">
        <v>22</v>
      </c>
      <c r="J6382" s="8" t="s">
        <v>22</v>
      </c>
      <c r="K6382" s="8" t="s">
        <v>160</v>
      </c>
      <c r="L6382" s="8" t="s">
        <v>13395</v>
      </c>
      <c r="M6382" s="8" t="s">
        <v>13396</v>
      </c>
      <c r="N6382" s="8" t="s">
        <v>28364</v>
      </c>
      <c r="O6382" s="8">
        <f>17+27/60+16.9/3600</f>
        <v>17.454694444444442</v>
      </c>
      <c r="P6382" s="8" t="s">
        <v>28365</v>
      </c>
      <c r="Q6382" s="8">
        <f>+(60+0/60+50/3600)</f>
        <v>60.013888888888886</v>
      </c>
      <c r="R6382" s="8">
        <v>13</v>
      </c>
      <c r="S6382" s="8">
        <v>13.7</v>
      </c>
      <c r="T6382" s="8">
        <v>0.7</v>
      </c>
      <c r="U6382" s="8">
        <v>13.1</v>
      </c>
      <c r="V6382" s="8">
        <v>1.3</v>
      </c>
      <c r="W6382" s="8">
        <v>1</v>
      </c>
      <c r="X6382" s="8">
        <v>25</v>
      </c>
      <c r="Y6382" s="8" t="s">
        <v>5089</v>
      </c>
      <c r="Z6382" s="8" t="s">
        <v>5090</v>
      </c>
    </row>
    <row r="6383" spans="1:26" x14ac:dyDescent="0.2">
      <c r="A6383" s="8">
        <v>6382</v>
      </c>
      <c r="B6383" s="8" t="s">
        <v>28366</v>
      </c>
      <c r="C6383" s="8" t="s">
        <v>28366</v>
      </c>
      <c r="F6383" s="47"/>
      <c r="G6383" s="8">
        <v>19</v>
      </c>
      <c r="H6383" s="8" t="s">
        <v>21</v>
      </c>
      <c r="I6383" s="8" t="s">
        <v>22</v>
      </c>
      <c r="J6383" s="8" t="s">
        <v>22</v>
      </c>
      <c r="K6383" s="8" t="s">
        <v>2572</v>
      </c>
      <c r="L6383" s="8" t="s">
        <v>13395</v>
      </c>
      <c r="M6383" s="8" t="s">
        <v>13396</v>
      </c>
      <c r="N6383" s="8" t="s">
        <v>28367</v>
      </c>
      <c r="O6383" s="8">
        <f>17+27/60+55.2/3600</f>
        <v>17.465333333333334</v>
      </c>
      <c r="P6383" s="8" t="s">
        <v>28368</v>
      </c>
      <c r="Q6383" s="8">
        <f>+(56+52/60+8/3600)</f>
        <v>56.86888888888889</v>
      </c>
      <c r="R6383" s="8">
        <v>14</v>
      </c>
      <c r="S6383" s="8">
        <v>14.8</v>
      </c>
      <c r="T6383" s="8">
        <v>0.8</v>
      </c>
      <c r="U6383" s="8">
        <v>13.3</v>
      </c>
      <c r="V6383" s="8">
        <v>0.9</v>
      </c>
      <c r="W6383" s="8">
        <v>0.7</v>
      </c>
      <c r="X6383" s="8">
        <v>105</v>
      </c>
      <c r="Y6383" s="8" t="s">
        <v>803</v>
      </c>
      <c r="Z6383" s="8" t="s">
        <v>804</v>
      </c>
    </row>
    <row r="6384" spans="1:26" x14ac:dyDescent="0.2">
      <c r="A6384" s="8">
        <v>6383</v>
      </c>
      <c r="B6384" s="8" t="s">
        <v>28369</v>
      </c>
      <c r="C6384" s="8" t="s">
        <v>28369</v>
      </c>
      <c r="F6384" s="47"/>
      <c r="G6384" s="8">
        <v>5</v>
      </c>
      <c r="H6384" s="8" t="s">
        <v>21</v>
      </c>
      <c r="I6384" s="8" t="s">
        <v>557</v>
      </c>
      <c r="J6384" s="8" t="s">
        <v>557</v>
      </c>
      <c r="K6384" s="8" t="s">
        <v>779</v>
      </c>
      <c r="L6384" s="8" t="s">
        <v>26735</v>
      </c>
      <c r="M6384" s="8" t="s">
        <v>26736</v>
      </c>
      <c r="N6384" s="8" t="s">
        <v>28334</v>
      </c>
      <c r="O6384" s="8">
        <f>17+34/60+42.2/3600</f>
        <v>17.578388888888888</v>
      </c>
      <c r="P6384" s="8" t="s">
        <v>28335</v>
      </c>
      <c r="Q6384" s="8">
        <f>-(32+34/60+54/3600)</f>
        <v>-32.581666666666671</v>
      </c>
      <c r="R6384" s="8">
        <v>5.5</v>
      </c>
      <c r="S6384" s="8">
        <v>5.6</v>
      </c>
      <c r="T6384" s="8">
        <v>99</v>
      </c>
      <c r="U6384" s="8">
        <v>99</v>
      </c>
      <c r="V6384" s="8">
        <v>20</v>
      </c>
      <c r="Y6384" s="8" t="s">
        <v>28336</v>
      </c>
      <c r="Z6384" s="8" t="s">
        <v>28370</v>
      </c>
    </row>
    <row r="6385" spans="1:26" x14ac:dyDescent="0.2">
      <c r="A6385" s="8">
        <v>6384</v>
      </c>
      <c r="B6385" s="8" t="s">
        <v>28371</v>
      </c>
      <c r="C6385" s="8" t="s">
        <v>28371</v>
      </c>
      <c r="F6385" s="47"/>
      <c r="G6385" s="8">
        <v>11</v>
      </c>
      <c r="H6385" s="8" t="s">
        <v>21</v>
      </c>
      <c r="I6385" s="8" t="s">
        <v>22</v>
      </c>
      <c r="J6385" s="8" t="s">
        <v>22</v>
      </c>
      <c r="K6385" s="8" t="s">
        <v>85</v>
      </c>
      <c r="L6385" s="8" t="s">
        <v>26994</v>
      </c>
      <c r="M6385" s="8" t="s">
        <v>26995</v>
      </c>
      <c r="N6385" s="8" t="s">
        <v>28372</v>
      </c>
      <c r="O6385" s="8">
        <f>17+32/60+24.2/3600</f>
        <v>17.540055555555558</v>
      </c>
      <c r="P6385" s="8" t="s">
        <v>28373</v>
      </c>
      <c r="Q6385" s="8">
        <f>+(7+3/60+39/3600)</f>
        <v>7.0608333333333331</v>
      </c>
      <c r="R6385" s="8">
        <v>10.4</v>
      </c>
      <c r="S6385" s="8">
        <v>11.1</v>
      </c>
      <c r="T6385" s="8">
        <v>0.7</v>
      </c>
      <c r="U6385" s="8">
        <v>13.8</v>
      </c>
      <c r="V6385" s="8">
        <v>6.2</v>
      </c>
      <c r="W6385" s="8">
        <v>4.0999999999999996</v>
      </c>
      <c r="X6385" s="8">
        <v>30</v>
      </c>
      <c r="Y6385" s="8" t="s">
        <v>28374</v>
      </c>
      <c r="Z6385" s="8" t="s">
        <v>23345</v>
      </c>
    </row>
    <row r="6386" spans="1:26" x14ac:dyDescent="0.2">
      <c r="A6386" s="8">
        <v>6385</v>
      </c>
      <c r="B6386" s="8" t="s">
        <v>28375</v>
      </c>
      <c r="C6386" s="8" t="s">
        <v>28375</v>
      </c>
      <c r="F6386" s="47"/>
      <c r="G6386" s="8">
        <v>19</v>
      </c>
      <c r="H6386" s="8" t="s">
        <v>21</v>
      </c>
      <c r="I6386" s="8" t="s">
        <v>22</v>
      </c>
      <c r="J6386" s="8" t="s">
        <v>22</v>
      </c>
      <c r="K6386" s="8" t="s">
        <v>154</v>
      </c>
      <c r="L6386" s="8" t="s">
        <v>13395</v>
      </c>
      <c r="M6386" s="8" t="s">
        <v>13396</v>
      </c>
      <c r="N6386" s="8" t="s">
        <v>28376</v>
      </c>
      <c r="O6386" s="8">
        <f>17+28/60+1.5/3600</f>
        <v>17.467083333333331</v>
      </c>
      <c r="P6386" s="8" t="s">
        <v>28377</v>
      </c>
      <c r="Q6386" s="8">
        <f>+(57+31/60+19/3600)</f>
        <v>57.521944444444443</v>
      </c>
      <c r="R6386" s="8">
        <v>13.1</v>
      </c>
      <c r="S6386" s="8">
        <v>14</v>
      </c>
      <c r="T6386" s="8">
        <v>0.9</v>
      </c>
      <c r="U6386" s="8">
        <v>13.5</v>
      </c>
      <c r="V6386" s="8">
        <v>1.3</v>
      </c>
      <c r="W6386" s="8">
        <v>1.3</v>
      </c>
      <c r="Y6386" s="8" t="s">
        <v>28378</v>
      </c>
      <c r="Z6386" s="8" t="s">
        <v>28379</v>
      </c>
    </row>
    <row r="6387" spans="1:26" x14ac:dyDescent="0.2">
      <c r="A6387" s="8">
        <v>6386</v>
      </c>
      <c r="B6387" s="8" t="s">
        <v>28380</v>
      </c>
      <c r="C6387" s="8" t="s">
        <v>28380</v>
      </c>
      <c r="F6387" s="47"/>
      <c r="G6387" s="8">
        <v>19</v>
      </c>
      <c r="H6387" s="8" t="s">
        <v>21</v>
      </c>
      <c r="I6387" s="8" t="s">
        <v>22</v>
      </c>
      <c r="J6387" s="8" t="s">
        <v>22</v>
      </c>
      <c r="K6387" s="8" t="s">
        <v>396</v>
      </c>
      <c r="L6387" s="8" t="s">
        <v>13395</v>
      </c>
      <c r="M6387" s="8" t="s">
        <v>13396</v>
      </c>
      <c r="N6387" s="8" t="s">
        <v>28381</v>
      </c>
      <c r="O6387" s="8">
        <f>17+28/60+51.7/3600</f>
        <v>17.481027777777776</v>
      </c>
      <c r="P6387" s="8" t="s">
        <v>28382</v>
      </c>
      <c r="Q6387" s="8">
        <f>+(52+43/60+26/3600)</f>
        <v>52.723888888888894</v>
      </c>
      <c r="R6387" s="8">
        <v>14.2</v>
      </c>
      <c r="S6387" s="8">
        <v>15</v>
      </c>
      <c r="T6387" s="8">
        <v>0.8</v>
      </c>
      <c r="U6387" s="8">
        <v>14.1</v>
      </c>
      <c r="V6387" s="8">
        <v>1</v>
      </c>
      <c r="W6387" s="8">
        <v>1</v>
      </c>
      <c r="Y6387" s="8" t="s">
        <v>28383</v>
      </c>
      <c r="Z6387" s="8" t="s">
        <v>28384</v>
      </c>
    </row>
    <row r="6388" spans="1:26" x14ac:dyDescent="0.2">
      <c r="A6388" s="8">
        <v>6387</v>
      </c>
      <c r="B6388" s="8" t="s">
        <v>28385</v>
      </c>
      <c r="C6388" s="8" t="s">
        <v>28385</v>
      </c>
      <c r="F6388" s="47"/>
      <c r="G6388" s="8">
        <v>19</v>
      </c>
      <c r="H6388" s="8" t="s">
        <v>21</v>
      </c>
      <c r="I6388" s="8" t="s">
        <v>22</v>
      </c>
      <c r="J6388" s="8" t="s">
        <v>22</v>
      </c>
      <c r="K6388" s="8" t="s">
        <v>424</v>
      </c>
      <c r="L6388" s="8" t="s">
        <v>13395</v>
      </c>
      <c r="M6388" s="8" t="s">
        <v>13396</v>
      </c>
      <c r="N6388" s="8" t="s">
        <v>28386</v>
      </c>
      <c r="O6388" s="8">
        <f>17+28/60+23.9/3600</f>
        <v>17.473305555555555</v>
      </c>
      <c r="P6388" s="8" t="s">
        <v>28387</v>
      </c>
      <c r="Q6388" s="8">
        <f>+(57+32/60+45/3600)</f>
        <v>57.545833333333334</v>
      </c>
      <c r="R6388" s="8">
        <v>15.7</v>
      </c>
      <c r="S6388" s="8">
        <v>16.3</v>
      </c>
      <c r="T6388" s="8">
        <v>0.6</v>
      </c>
      <c r="U6388" s="8">
        <v>12.5</v>
      </c>
      <c r="V6388" s="8">
        <v>0.3</v>
      </c>
      <c r="W6388" s="8">
        <v>0.2</v>
      </c>
      <c r="X6388" s="8">
        <v>95</v>
      </c>
      <c r="Y6388" s="8" t="s">
        <v>227</v>
      </c>
      <c r="Z6388" s="8" t="s">
        <v>228</v>
      </c>
    </row>
    <row r="6389" spans="1:26" x14ac:dyDescent="0.2">
      <c r="A6389" s="8">
        <v>6388</v>
      </c>
      <c r="B6389" s="8" t="s">
        <v>28388</v>
      </c>
      <c r="C6389" s="8" t="s">
        <v>28388</v>
      </c>
      <c r="F6389" s="47"/>
      <c r="G6389" s="8">
        <v>3</v>
      </c>
      <c r="H6389" s="8" t="s">
        <v>21</v>
      </c>
      <c r="I6389" s="8" t="s">
        <v>567</v>
      </c>
      <c r="J6389" s="8" t="s">
        <v>567</v>
      </c>
      <c r="K6389" s="8" t="s">
        <v>568</v>
      </c>
      <c r="L6389" s="8" t="s">
        <v>26735</v>
      </c>
      <c r="M6389" s="8" t="s">
        <v>26736</v>
      </c>
      <c r="N6389" s="8" t="s">
        <v>28389</v>
      </c>
      <c r="O6389" s="8">
        <f>17+36/60+17/3600</f>
        <v>17.604722222222225</v>
      </c>
      <c r="P6389" s="8" t="s">
        <v>28390</v>
      </c>
      <c r="Q6389" s="8">
        <f>-(44+44/60+4/3600)</f>
        <v>-44.734444444444442</v>
      </c>
      <c r="R6389" s="8">
        <v>6.8</v>
      </c>
      <c r="S6389" s="8">
        <v>99</v>
      </c>
      <c r="T6389" s="8">
        <v>99</v>
      </c>
      <c r="U6389" s="8">
        <v>99</v>
      </c>
      <c r="V6389" s="8">
        <v>10.4</v>
      </c>
      <c r="Y6389" s="8" t="s">
        <v>28391</v>
      </c>
      <c r="Z6389" s="8" t="s">
        <v>28392</v>
      </c>
    </row>
    <row r="6390" spans="1:26" x14ac:dyDescent="0.2">
      <c r="A6390" s="8">
        <v>6389</v>
      </c>
      <c r="B6390" s="8" t="s">
        <v>28393</v>
      </c>
      <c r="C6390" s="8" t="s">
        <v>28393</v>
      </c>
      <c r="F6390" s="47" t="s">
        <v>58191</v>
      </c>
      <c r="G6390" s="8">
        <v>15</v>
      </c>
      <c r="H6390" s="8" t="s">
        <v>21</v>
      </c>
      <c r="I6390" s="8" t="s">
        <v>22</v>
      </c>
      <c r="J6390" s="8" t="s">
        <v>22</v>
      </c>
      <c r="K6390" s="8" t="s">
        <v>396</v>
      </c>
      <c r="L6390" s="8" t="s">
        <v>26804</v>
      </c>
      <c r="M6390" s="8" t="s">
        <v>26805</v>
      </c>
      <c r="N6390" s="8" t="s">
        <v>28394</v>
      </c>
      <c r="O6390" s="8">
        <f>17+32/60+39.7/3600</f>
        <v>17.544361111111112</v>
      </c>
      <c r="P6390" s="8" t="s">
        <v>28395</v>
      </c>
      <c r="Q6390" s="8">
        <f>+(16+24/60+7/3600)</f>
        <v>16.401944444444442</v>
      </c>
      <c r="R6390" s="8">
        <v>12.1</v>
      </c>
      <c r="S6390" s="8">
        <v>12.8</v>
      </c>
      <c r="T6390" s="8">
        <v>0.7</v>
      </c>
      <c r="U6390" s="8">
        <v>13.7</v>
      </c>
      <c r="V6390" s="8">
        <v>2.8</v>
      </c>
      <c r="W6390" s="8">
        <v>1.9</v>
      </c>
      <c r="X6390" s="8">
        <v>130</v>
      </c>
      <c r="Y6390" s="8" t="s">
        <v>2903</v>
      </c>
      <c r="Z6390" s="8" t="s">
        <v>2904</v>
      </c>
    </row>
    <row r="6391" spans="1:26" x14ac:dyDescent="0.2">
      <c r="A6391" s="8">
        <v>6390</v>
      </c>
      <c r="B6391" s="8" t="s">
        <v>28396</v>
      </c>
      <c r="C6391" s="8" t="s">
        <v>28396</v>
      </c>
      <c r="F6391" s="47"/>
      <c r="G6391" s="8">
        <v>19</v>
      </c>
      <c r="H6391" s="8" t="s">
        <v>21</v>
      </c>
      <c r="I6391" s="8" t="s">
        <v>22</v>
      </c>
      <c r="J6391" s="8" t="s">
        <v>22</v>
      </c>
      <c r="K6391" s="8" t="s">
        <v>396</v>
      </c>
      <c r="L6391" s="8" t="s">
        <v>13395</v>
      </c>
      <c r="M6391" s="8" t="s">
        <v>13396</v>
      </c>
      <c r="N6391" s="8" t="s">
        <v>28397</v>
      </c>
      <c r="O6391" s="8">
        <f>17+28/60+28.1/3600</f>
        <v>17.474472222222222</v>
      </c>
      <c r="P6391" s="8" t="s">
        <v>28398</v>
      </c>
      <c r="Q6391" s="8">
        <f>+(60+5/60+40/3600)</f>
        <v>60.094444444444449</v>
      </c>
      <c r="R6391" s="8">
        <v>13.8</v>
      </c>
      <c r="S6391" s="8">
        <v>14.6</v>
      </c>
      <c r="T6391" s="8">
        <v>0.8</v>
      </c>
      <c r="U6391" s="8">
        <v>12.8</v>
      </c>
      <c r="V6391" s="8">
        <v>1.6</v>
      </c>
      <c r="W6391" s="8">
        <v>0.4</v>
      </c>
      <c r="X6391" s="8">
        <v>8</v>
      </c>
      <c r="Y6391" s="8" t="s">
        <v>28399</v>
      </c>
      <c r="Z6391" s="8" t="s">
        <v>28400</v>
      </c>
    </row>
    <row r="6392" spans="1:26" x14ac:dyDescent="0.2">
      <c r="A6392" s="8">
        <v>6391</v>
      </c>
      <c r="B6392" s="8" t="s">
        <v>28401</v>
      </c>
      <c r="C6392" s="8" t="s">
        <v>28401</v>
      </c>
      <c r="F6392" s="47"/>
      <c r="G6392" s="8">
        <v>19</v>
      </c>
      <c r="H6392" s="8" t="s">
        <v>21</v>
      </c>
      <c r="I6392" s="8" t="s">
        <v>22</v>
      </c>
      <c r="J6392" s="8" t="s">
        <v>22</v>
      </c>
      <c r="K6392" s="8" t="s">
        <v>58</v>
      </c>
      <c r="L6392" s="8" t="s">
        <v>13395</v>
      </c>
      <c r="M6392" s="8" t="s">
        <v>13396</v>
      </c>
      <c r="N6392" s="8" t="s">
        <v>28402</v>
      </c>
      <c r="O6392" s="8">
        <f>17+28/60+49/3600</f>
        <v>17.480277777777776</v>
      </c>
      <c r="P6392" s="8" t="s">
        <v>28403</v>
      </c>
      <c r="Q6392" s="8">
        <f>+(58+51/60+3/3600)</f>
        <v>58.850833333333334</v>
      </c>
      <c r="R6392" s="8">
        <v>14.5</v>
      </c>
      <c r="S6392" s="8">
        <v>15.5</v>
      </c>
      <c r="T6392" s="8">
        <v>1</v>
      </c>
      <c r="U6392" s="8">
        <v>14.1</v>
      </c>
      <c r="V6392" s="8">
        <v>0.9</v>
      </c>
      <c r="W6392" s="8">
        <v>0.7</v>
      </c>
      <c r="X6392" s="8">
        <v>90</v>
      </c>
      <c r="Y6392" s="8" t="s">
        <v>7292</v>
      </c>
      <c r="Z6392" s="8" t="s">
        <v>7293</v>
      </c>
    </row>
    <row r="6393" spans="1:26" x14ac:dyDescent="0.2">
      <c r="A6393" s="8">
        <v>6392</v>
      </c>
      <c r="B6393" s="8" t="s">
        <v>28404</v>
      </c>
      <c r="C6393" s="8" t="s">
        <v>28404</v>
      </c>
      <c r="F6393" s="47"/>
      <c r="G6393" s="8">
        <v>16</v>
      </c>
      <c r="H6393" s="8" t="s">
        <v>21</v>
      </c>
      <c r="I6393" s="8" t="s">
        <v>22</v>
      </c>
      <c r="J6393" s="8" t="s">
        <v>22</v>
      </c>
      <c r="K6393" s="8" t="s">
        <v>31</v>
      </c>
      <c r="L6393" s="8" t="s">
        <v>25025</v>
      </c>
      <c r="M6393" s="8" t="s">
        <v>25026</v>
      </c>
      <c r="N6393" s="8" t="s">
        <v>28405</v>
      </c>
      <c r="O6393" s="8">
        <f>17+43/60+30.6/3600</f>
        <v>17.725166666666667</v>
      </c>
      <c r="P6393" s="8" t="s">
        <v>28406</v>
      </c>
      <c r="Q6393" s="8">
        <f>-(69+47/60+4/3600)</f>
        <v>-69.784444444444446</v>
      </c>
      <c r="R6393" s="8">
        <v>11.6</v>
      </c>
      <c r="S6393" s="8">
        <v>12.4</v>
      </c>
      <c r="T6393" s="8">
        <v>0.8</v>
      </c>
      <c r="U6393" s="8">
        <v>12</v>
      </c>
      <c r="V6393" s="8">
        <v>1.3</v>
      </c>
      <c r="W6393" s="8">
        <v>1.3</v>
      </c>
      <c r="Y6393" s="8" t="s">
        <v>28407</v>
      </c>
      <c r="Z6393" s="8" t="s">
        <v>28408</v>
      </c>
    </row>
    <row r="6394" spans="1:26" x14ac:dyDescent="0.2">
      <c r="A6394" s="8">
        <v>6393</v>
      </c>
      <c r="B6394" s="8" t="s">
        <v>28409</v>
      </c>
      <c r="C6394" s="8" t="s">
        <v>28409</v>
      </c>
      <c r="F6394" s="47"/>
      <c r="G6394" s="8">
        <v>19</v>
      </c>
      <c r="H6394" s="8" t="s">
        <v>21</v>
      </c>
      <c r="I6394" s="8" t="s">
        <v>22</v>
      </c>
      <c r="J6394" s="8" t="s">
        <v>22</v>
      </c>
      <c r="K6394" s="8" t="s">
        <v>476</v>
      </c>
      <c r="L6394" s="8" t="s">
        <v>13395</v>
      </c>
      <c r="M6394" s="8" t="s">
        <v>13396</v>
      </c>
      <c r="N6394" s="8" t="s">
        <v>28410</v>
      </c>
      <c r="O6394" s="8">
        <f>17+30/60+8.5/3600</f>
        <v>17.50236111111111</v>
      </c>
      <c r="P6394" s="8" t="s">
        <v>28411</v>
      </c>
      <c r="Q6394" s="8">
        <f>+(59+31/60+55/3600)</f>
        <v>59.531944444444441</v>
      </c>
      <c r="R6394" s="8">
        <v>15.7</v>
      </c>
      <c r="S6394" s="8">
        <v>16.5</v>
      </c>
      <c r="T6394" s="8">
        <v>0.8</v>
      </c>
      <c r="U6394" s="8">
        <v>12.9</v>
      </c>
      <c r="V6394" s="8">
        <v>0.3</v>
      </c>
      <c r="W6394" s="8">
        <v>0.3</v>
      </c>
      <c r="Y6394" s="8" t="s">
        <v>28412</v>
      </c>
      <c r="Z6394" s="8" t="s">
        <v>28413</v>
      </c>
    </row>
    <row r="6395" spans="1:26" x14ac:dyDescent="0.2">
      <c r="A6395" s="8">
        <v>6394</v>
      </c>
      <c r="B6395" s="8" t="s">
        <v>28414</v>
      </c>
      <c r="C6395" s="8" t="s">
        <v>28414</v>
      </c>
      <c r="F6395" s="47"/>
      <c r="G6395" s="8">
        <v>12</v>
      </c>
      <c r="H6395" s="8" t="s">
        <v>21</v>
      </c>
      <c r="I6395" s="8" t="s">
        <v>22</v>
      </c>
      <c r="J6395" s="8" t="s">
        <v>22</v>
      </c>
      <c r="K6395" s="8" t="s">
        <v>218</v>
      </c>
      <c r="L6395" s="8" t="s">
        <v>13395</v>
      </c>
      <c r="M6395" s="8" t="s">
        <v>13396</v>
      </c>
      <c r="N6395" s="8" t="s">
        <v>28415</v>
      </c>
      <c r="O6395" s="8">
        <f>17+30/60+21.3/3600</f>
        <v>17.505916666666668</v>
      </c>
      <c r="P6395" s="8" t="s">
        <v>28416</v>
      </c>
      <c r="Q6395" s="8">
        <f>+(59+38/60+24/3600)</f>
        <v>59.64</v>
      </c>
      <c r="R6395" s="8">
        <v>14.5</v>
      </c>
      <c r="S6395" s="8">
        <v>15.3</v>
      </c>
      <c r="T6395" s="8">
        <v>0.8</v>
      </c>
      <c r="U6395" s="8">
        <v>13.7</v>
      </c>
      <c r="V6395" s="8">
        <v>1.4</v>
      </c>
      <c r="W6395" s="8">
        <v>0.4</v>
      </c>
      <c r="X6395" s="8">
        <v>42</v>
      </c>
      <c r="Y6395" s="8" t="s">
        <v>28417</v>
      </c>
      <c r="Z6395" s="8" t="s">
        <v>28418</v>
      </c>
    </row>
    <row r="6396" spans="1:26" x14ac:dyDescent="0.2">
      <c r="A6396" s="8">
        <v>6395</v>
      </c>
      <c r="B6396" s="8" t="s">
        <v>28419</v>
      </c>
      <c r="C6396" s="8" t="s">
        <v>28419</v>
      </c>
      <c r="F6396" s="47"/>
      <c r="G6396" s="8">
        <v>19</v>
      </c>
      <c r="H6396" s="8" t="s">
        <v>21</v>
      </c>
      <c r="I6396" s="8" t="s">
        <v>22</v>
      </c>
      <c r="J6396" s="8" t="s">
        <v>22</v>
      </c>
      <c r="K6396" s="8" t="s">
        <v>538</v>
      </c>
      <c r="L6396" s="8" t="s">
        <v>13395</v>
      </c>
      <c r="M6396" s="8" t="s">
        <v>13396</v>
      </c>
      <c r="N6396" s="8" t="s">
        <v>28420</v>
      </c>
      <c r="O6396" s="8">
        <f>17+26/60+31/3600</f>
        <v>17.441944444444445</v>
      </c>
      <c r="P6396" s="8" t="s">
        <v>28421</v>
      </c>
      <c r="Q6396" s="8">
        <f>+(71+5/60+50/3600)</f>
        <v>71.097222222222214</v>
      </c>
      <c r="R6396" s="8">
        <v>12.3</v>
      </c>
      <c r="S6396" s="8">
        <v>13</v>
      </c>
      <c r="T6396" s="8">
        <v>0.7</v>
      </c>
      <c r="U6396" s="8">
        <v>12.7</v>
      </c>
      <c r="V6396" s="8">
        <v>2.4</v>
      </c>
      <c r="W6396" s="8">
        <v>0.7</v>
      </c>
      <c r="X6396" s="8">
        <v>15</v>
      </c>
      <c r="Y6396" s="8" t="s">
        <v>28422</v>
      </c>
      <c r="Z6396" s="8" t="s">
        <v>28423</v>
      </c>
    </row>
    <row r="6397" spans="1:26" x14ac:dyDescent="0.2">
      <c r="A6397" s="8">
        <v>6396</v>
      </c>
      <c r="B6397" s="8" t="s">
        <v>28424</v>
      </c>
      <c r="C6397" s="8" t="s">
        <v>28424</v>
      </c>
      <c r="F6397" s="47"/>
      <c r="G6397" s="8">
        <v>14</v>
      </c>
      <c r="H6397" s="8" t="s">
        <v>21</v>
      </c>
      <c r="I6397" s="8" t="s">
        <v>557</v>
      </c>
      <c r="J6397" s="8" t="s">
        <v>557</v>
      </c>
      <c r="K6397" s="8" t="s">
        <v>1840</v>
      </c>
      <c r="L6397" s="8" t="s">
        <v>26735</v>
      </c>
      <c r="M6397" s="8" t="s">
        <v>26736</v>
      </c>
      <c r="N6397" s="8" t="s">
        <v>28425</v>
      </c>
      <c r="O6397" s="8">
        <f>17+37/60+36.2/3600</f>
        <v>17.626722222222224</v>
      </c>
      <c r="P6397" s="8" t="s">
        <v>28426</v>
      </c>
      <c r="Q6397" s="8">
        <f>-(35+1/60+33/3600)</f>
        <v>-35.025833333333331</v>
      </c>
      <c r="R6397" s="8">
        <v>8.5</v>
      </c>
      <c r="S6397" s="8">
        <v>99</v>
      </c>
      <c r="T6397" s="8">
        <v>99</v>
      </c>
      <c r="U6397" s="8">
        <v>99</v>
      </c>
      <c r="V6397" s="8">
        <v>3</v>
      </c>
      <c r="Y6397" s="8" t="s">
        <v>28427</v>
      </c>
      <c r="Z6397" s="8" t="s">
        <v>28428</v>
      </c>
    </row>
    <row r="6398" spans="1:26" x14ac:dyDescent="0.2">
      <c r="A6398" s="8">
        <v>6397</v>
      </c>
      <c r="B6398" s="8" t="s">
        <v>28429</v>
      </c>
      <c r="C6398" s="8" t="s">
        <v>28429</v>
      </c>
      <c r="F6398" s="47"/>
      <c r="G6398" s="8">
        <v>2</v>
      </c>
      <c r="H6398" s="8" t="s">
        <v>21</v>
      </c>
      <c r="I6398" s="8" t="s">
        <v>567</v>
      </c>
      <c r="J6398" s="8" t="s">
        <v>567</v>
      </c>
      <c r="K6398" s="8" t="s">
        <v>26506</v>
      </c>
      <c r="L6398" s="8" t="s">
        <v>27529</v>
      </c>
      <c r="M6398" s="8" t="s">
        <v>27530</v>
      </c>
      <c r="N6398" s="8" t="s">
        <v>28430</v>
      </c>
      <c r="O6398" s="8">
        <f>17+40/60+41.3/3600</f>
        <v>17.678138888888888</v>
      </c>
      <c r="P6398" s="8" t="s">
        <v>28431</v>
      </c>
      <c r="Q6398" s="8">
        <f>-(53+40/60+23/3600)</f>
        <v>-53.67305555555555</v>
      </c>
      <c r="R6398" s="8">
        <v>5.3</v>
      </c>
      <c r="S6398" s="8">
        <v>99</v>
      </c>
      <c r="T6398" s="8">
        <v>99</v>
      </c>
      <c r="U6398" s="8">
        <v>99</v>
      </c>
      <c r="V6398" s="8">
        <v>31</v>
      </c>
      <c r="Y6398" s="8" t="s">
        <v>28432</v>
      </c>
      <c r="Z6398" s="8" t="s">
        <v>28433</v>
      </c>
    </row>
    <row r="6399" spans="1:26" x14ac:dyDescent="0.2">
      <c r="A6399" s="8">
        <v>6398</v>
      </c>
      <c r="B6399" s="8" t="s">
        <v>28434</v>
      </c>
      <c r="C6399" s="8" t="s">
        <v>28434</v>
      </c>
      <c r="F6399" s="47"/>
      <c r="G6399" s="8">
        <v>16</v>
      </c>
      <c r="H6399" s="8" t="s">
        <v>21</v>
      </c>
      <c r="I6399" s="8" t="s">
        <v>22</v>
      </c>
      <c r="J6399" s="8" t="s">
        <v>22</v>
      </c>
      <c r="K6399" s="8" t="s">
        <v>154</v>
      </c>
      <c r="L6399" s="8" t="s">
        <v>28435</v>
      </c>
      <c r="M6399" s="8" t="s">
        <v>28436</v>
      </c>
      <c r="N6399" s="8" t="s">
        <v>28437</v>
      </c>
      <c r="O6399" s="8">
        <f>17+42/60+43.9/3600</f>
        <v>17.712194444444442</v>
      </c>
      <c r="P6399" s="8" t="s">
        <v>28438</v>
      </c>
      <c r="Q6399" s="8">
        <f>-(61+41/60+38/3600)</f>
        <v>-61.693888888888885</v>
      </c>
      <c r="R6399" s="8">
        <v>12.7</v>
      </c>
      <c r="S6399" s="8">
        <v>13.6</v>
      </c>
      <c r="T6399" s="8">
        <v>0.9</v>
      </c>
      <c r="U6399" s="8">
        <v>13.9</v>
      </c>
      <c r="V6399" s="8">
        <v>2</v>
      </c>
      <c r="W6399" s="8">
        <v>1.7</v>
      </c>
      <c r="X6399" s="8">
        <v>6</v>
      </c>
      <c r="Y6399" s="8" t="s">
        <v>28439</v>
      </c>
      <c r="Z6399" s="8" t="s">
        <v>4855</v>
      </c>
    </row>
    <row r="6400" spans="1:26" x14ac:dyDescent="0.2">
      <c r="A6400" s="8">
        <v>6399</v>
      </c>
      <c r="B6400" s="8" t="s">
        <v>28440</v>
      </c>
      <c r="C6400" s="8" t="s">
        <v>28440</v>
      </c>
      <c r="F6400" s="47"/>
      <c r="G6400" s="8">
        <v>19</v>
      </c>
      <c r="H6400" s="8" t="s">
        <v>21</v>
      </c>
      <c r="I6400" s="8" t="s">
        <v>22</v>
      </c>
      <c r="J6400" s="8" t="s">
        <v>22</v>
      </c>
      <c r="K6400" s="8" t="s">
        <v>632</v>
      </c>
      <c r="L6400" s="8" t="s">
        <v>13395</v>
      </c>
      <c r="M6400" s="8" t="s">
        <v>13396</v>
      </c>
      <c r="N6400" s="8" t="s">
        <v>28441</v>
      </c>
      <c r="O6400" s="8">
        <f>17+31/60+50.4/3600</f>
        <v>17.530666666666665</v>
      </c>
      <c r="P6400" s="8" t="s">
        <v>19060</v>
      </c>
      <c r="Q6400" s="8">
        <f>+(59+36/60+56/3600)</f>
        <v>59.615555555555559</v>
      </c>
      <c r="R6400" s="8">
        <v>13.7</v>
      </c>
      <c r="S6400" s="8">
        <v>14.6</v>
      </c>
      <c r="T6400" s="8">
        <v>0.9</v>
      </c>
      <c r="U6400" s="8">
        <v>13.4</v>
      </c>
      <c r="V6400" s="8">
        <v>1.1000000000000001</v>
      </c>
      <c r="W6400" s="8">
        <v>0.6</v>
      </c>
      <c r="X6400" s="8">
        <v>5</v>
      </c>
      <c r="Y6400" s="8" t="s">
        <v>385</v>
      </c>
      <c r="Z6400" s="8" t="s">
        <v>386</v>
      </c>
    </row>
    <row r="6401" spans="1:26" x14ac:dyDescent="0.2">
      <c r="A6401" s="8">
        <v>6400</v>
      </c>
      <c r="B6401" s="8" t="s">
        <v>28442</v>
      </c>
      <c r="C6401" s="8" t="s">
        <v>28442</v>
      </c>
      <c r="F6401" s="47"/>
      <c r="G6401" s="8">
        <v>9</v>
      </c>
      <c r="H6401" s="8" t="s">
        <v>28443</v>
      </c>
      <c r="I6401" s="8" t="s">
        <v>557</v>
      </c>
      <c r="J6401" s="8" t="s">
        <v>557</v>
      </c>
      <c r="K6401" s="8" t="s">
        <v>2722</v>
      </c>
      <c r="L6401" s="8" t="s">
        <v>26735</v>
      </c>
      <c r="M6401" s="8" t="s">
        <v>26736</v>
      </c>
      <c r="N6401" s="8" t="s">
        <v>28444</v>
      </c>
      <c r="O6401" s="8">
        <f>17+40/60+12/3600</f>
        <v>17.670000000000002</v>
      </c>
      <c r="P6401" s="8" t="s">
        <v>28445</v>
      </c>
      <c r="Q6401" s="8">
        <f>-(36+57/60+42/3600)</f>
        <v>-36.961666666666666</v>
      </c>
      <c r="R6401" s="8">
        <v>8.8000000000000007</v>
      </c>
      <c r="S6401" s="8">
        <v>99</v>
      </c>
      <c r="T6401" s="8">
        <v>99</v>
      </c>
      <c r="U6401" s="8">
        <v>99</v>
      </c>
      <c r="V6401" s="8">
        <v>12</v>
      </c>
      <c r="Y6401" s="8" t="s">
        <v>28446</v>
      </c>
      <c r="Z6401" s="8" t="s">
        <v>28447</v>
      </c>
    </row>
    <row r="6402" spans="1:26" x14ac:dyDescent="0.2">
      <c r="A6402" s="8">
        <v>6401</v>
      </c>
      <c r="B6402" s="8" t="s">
        <v>28448</v>
      </c>
      <c r="C6402" s="8" t="s">
        <v>28448</v>
      </c>
      <c r="F6402" s="47" t="s">
        <v>58192</v>
      </c>
      <c r="G6402" s="8">
        <v>6</v>
      </c>
      <c r="H6402" s="8" t="s">
        <v>21</v>
      </c>
      <c r="I6402" s="8" t="s">
        <v>567</v>
      </c>
      <c r="J6402" s="8" t="s">
        <v>567</v>
      </c>
      <c r="K6402" s="8" t="s">
        <v>21778</v>
      </c>
      <c r="L6402" s="8" t="s">
        <v>26994</v>
      </c>
      <c r="M6402" s="8" t="s">
        <v>26995</v>
      </c>
      <c r="N6402" s="8" t="s">
        <v>28449</v>
      </c>
      <c r="O6402" s="8">
        <f>17+38/60+36.9/3600</f>
        <v>17.643583333333332</v>
      </c>
      <c r="P6402" s="8" t="s">
        <v>28450</v>
      </c>
      <c r="Q6402" s="8">
        <f>-(23+54/60+30/3600)</f>
        <v>-23.908333333333331</v>
      </c>
      <c r="R6402" s="8">
        <v>7.4</v>
      </c>
      <c r="S6402" s="8">
        <v>99</v>
      </c>
      <c r="T6402" s="8">
        <v>99</v>
      </c>
      <c r="U6402" s="8">
        <v>99</v>
      </c>
      <c r="V6402" s="8">
        <v>4.8</v>
      </c>
      <c r="Y6402" s="8" t="s">
        <v>28451</v>
      </c>
      <c r="Z6402" s="8" t="s">
        <v>28452</v>
      </c>
    </row>
    <row r="6403" spans="1:26" x14ac:dyDescent="0.2">
      <c r="A6403" s="8">
        <v>6402</v>
      </c>
      <c r="B6403" s="8" t="s">
        <v>28453</v>
      </c>
      <c r="C6403" s="8" t="s">
        <v>55936</v>
      </c>
      <c r="F6403" s="47"/>
      <c r="G6403" s="8">
        <v>1</v>
      </c>
      <c r="H6403" s="8" t="s">
        <v>21</v>
      </c>
      <c r="I6403" s="8" t="s">
        <v>567</v>
      </c>
      <c r="J6403" s="8" t="s">
        <v>567</v>
      </c>
      <c r="K6403" s="8" t="s">
        <v>21778</v>
      </c>
      <c r="L6403" s="8" t="s">
        <v>26994</v>
      </c>
      <c r="M6403" s="8" t="s">
        <v>26995</v>
      </c>
      <c r="N6403" s="8" t="s">
        <v>28454</v>
      </c>
      <c r="O6403" s="8">
        <f>17+37/60+36.1/3600</f>
        <v>17.626694444444446</v>
      </c>
      <c r="P6403" s="8" t="s">
        <v>28455</v>
      </c>
      <c r="Q6403" s="8">
        <f>-(3+14/60+43/3600)</f>
        <v>-3.2452777777777779</v>
      </c>
      <c r="R6403" s="8">
        <v>7.6</v>
      </c>
      <c r="S6403" s="8">
        <v>99</v>
      </c>
      <c r="T6403" s="8">
        <v>99</v>
      </c>
      <c r="U6403" s="8">
        <v>99</v>
      </c>
      <c r="V6403" s="8">
        <v>11</v>
      </c>
      <c r="Y6403" s="8" t="s">
        <v>28456</v>
      </c>
      <c r="Z6403" s="8" t="s">
        <v>28457</v>
      </c>
    </row>
    <row r="6404" spans="1:26" x14ac:dyDescent="0.2">
      <c r="A6404" s="8">
        <v>6403</v>
      </c>
      <c r="B6404" s="8" t="s">
        <v>28458</v>
      </c>
      <c r="C6404" s="8" t="s">
        <v>28458</v>
      </c>
      <c r="F6404" s="47"/>
      <c r="G6404" s="8">
        <v>16</v>
      </c>
      <c r="H6404" s="8" t="s">
        <v>21</v>
      </c>
      <c r="I6404" s="8" t="s">
        <v>22</v>
      </c>
      <c r="J6404" s="8" t="s">
        <v>22</v>
      </c>
      <c r="K6404" s="8" t="s">
        <v>37</v>
      </c>
      <c r="L6404" s="8" t="s">
        <v>28435</v>
      </c>
      <c r="M6404" s="8" t="s">
        <v>28436</v>
      </c>
      <c r="N6404" s="8" t="s">
        <v>28459</v>
      </c>
      <c r="O6404" s="8">
        <f>17+43/60+23.6/3600</f>
        <v>17.723222222222219</v>
      </c>
      <c r="P6404" s="8" t="s">
        <v>28460</v>
      </c>
      <c r="Q6404" s="8">
        <f>-(61+40/60+55/3600)</f>
        <v>-61.68194444444444</v>
      </c>
      <c r="R6404" s="8">
        <v>13.5</v>
      </c>
      <c r="S6404" s="8">
        <v>14.5</v>
      </c>
      <c r="T6404" s="8">
        <v>1</v>
      </c>
      <c r="U6404" s="8">
        <v>11.9</v>
      </c>
      <c r="V6404" s="8">
        <v>0.5</v>
      </c>
      <c r="W6404" s="8">
        <v>0.5</v>
      </c>
      <c r="Y6404" s="8" t="s">
        <v>28461</v>
      </c>
      <c r="Z6404" s="8" t="s">
        <v>28462</v>
      </c>
    </row>
    <row r="6405" spans="1:26" x14ac:dyDescent="0.2">
      <c r="A6405" s="8">
        <v>6404</v>
      </c>
      <c r="B6405" s="8" t="s">
        <v>28463</v>
      </c>
      <c r="C6405" s="8" t="s">
        <v>28463</v>
      </c>
      <c r="F6405" s="47"/>
      <c r="G6405" s="8">
        <v>9</v>
      </c>
      <c r="H6405" s="8" t="s">
        <v>21</v>
      </c>
      <c r="I6405" s="8" t="s">
        <v>557</v>
      </c>
      <c r="J6405" s="8" t="s">
        <v>557</v>
      </c>
      <c r="K6405" s="8" t="s">
        <v>8805</v>
      </c>
      <c r="L6405" s="8" t="s">
        <v>26735</v>
      </c>
      <c r="M6405" s="8" t="s">
        <v>26736</v>
      </c>
      <c r="N6405" s="8" t="s">
        <v>28464</v>
      </c>
      <c r="O6405" s="8">
        <f>17+39/60+37.3/3600</f>
        <v>17.660361111111111</v>
      </c>
      <c r="P6405" s="8" t="s">
        <v>28465</v>
      </c>
      <c r="Q6405" s="8">
        <f>-(33+14/60+48/3600)</f>
        <v>-33.24666666666667</v>
      </c>
      <c r="R6405" s="8">
        <v>10.6</v>
      </c>
      <c r="S6405" s="8">
        <v>99</v>
      </c>
      <c r="T6405" s="8">
        <v>99</v>
      </c>
      <c r="U6405" s="8">
        <v>99</v>
      </c>
      <c r="V6405" s="8">
        <v>6</v>
      </c>
      <c r="Y6405" s="8" t="s">
        <v>28466</v>
      </c>
      <c r="Z6405" s="8" t="s">
        <v>28467</v>
      </c>
    </row>
    <row r="6406" spans="1:26" x14ac:dyDescent="0.2">
      <c r="A6406" s="8">
        <v>6405</v>
      </c>
      <c r="B6406" s="8" t="s">
        <v>28468</v>
      </c>
      <c r="C6406" s="8" t="s">
        <v>55937</v>
      </c>
      <c r="F6406" s="47"/>
      <c r="G6406" s="8">
        <v>1</v>
      </c>
      <c r="H6406" s="8" t="s">
        <v>11289</v>
      </c>
      <c r="I6406" s="8" t="s">
        <v>557</v>
      </c>
      <c r="J6406" s="8" t="s">
        <v>557</v>
      </c>
      <c r="K6406" s="8" t="s">
        <v>987</v>
      </c>
      <c r="L6406" s="8" t="s">
        <v>26735</v>
      </c>
      <c r="M6406" s="8" t="s">
        <v>26736</v>
      </c>
      <c r="N6406" s="8" t="s">
        <v>28469</v>
      </c>
      <c r="O6406" s="8">
        <f>17+40/60+20/3600</f>
        <v>17.672222222222224</v>
      </c>
      <c r="P6406" s="8" t="s">
        <v>28470</v>
      </c>
      <c r="Q6406" s="8">
        <f>-(32+15/60+30/3600)</f>
        <v>-32.258333333333333</v>
      </c>
      <c r="R6406" s="8">
        <v>4.2</v>
      </c>
      <c r="S6406" s="8">
        <v>4.5</v>
      </c>
      <c r="T6406" s="8">
        <v>99</v>
      </c>
      <c r="U6406" s="8">
        <v>99</v>
      </c>
      <c r="V6406" s="8">
        <v>33</v>
      </c>
      <c r="Y6406" s="8" t="s">
        <v>28471</v>
      </c>
      <c r="Z6406" s="8" t="s">
        <v>28472</v>
      </c>
    </row>
    <row r="6407" spans="1:26" x14ac:dyDescent="0.2">
      <c r="A6407" s="8">
        <v>6406</v>
      </c>
      <c r="B6407" s="8" t="s">
        <v>28473</v>
      </c>
      <c r="C6407" s="8" t="s">
        <v>28473</v>
      </c>
      <c r="F6407" s="47"/>
      <c r="G6407" s="8">
        <v>19</v>
      </c>
      <c r="H6407" s="8" t="s">
        <v>21</v>
      </c>
      <c r="I6407" s="8" t="s">
        <v>72</v>
      </c>
      <c r="J6407" s="8" t="s">
        <v>72</v>
      </c>
      <c r="K6407" s="8" t="s">
        <v>73</v>
      </c>
      <c r="L6407" s="8" t="s">
        <v>26804</v>
      </c>
      <c r="M6407" s="8" t="s">
        <v>26805</v>
      </c>
      <c r="N6407" s="8" t="s">
        <v>28474</v>
      </c>
      <c r="O6407" s="8">
        <f>17+38/60+19.2/3600</f>
        <v>17.638666666666666</v>
      </c>
      <c r="P6407" s="8" t="s">
        <v>28475</v>
      </c>
      <c r="Q6407" s="8">
        <f>+(18+49/60+58/3600)</f>
        <v>18.832777777777778</v>
      </c>
      <c r="R6407" s="8">
        <v>99</v>
      </c>
      <c r="S6407" s="8">
        <v>99</v>
      </c>
      <c r="T6407" s="8">
        <v>99</v>
      </c>
      <c r="U6407" s="8">
        <v>99</v>
      </c>
      <c r="Y6407" s="8" t="s">
        <v>4787</v>
      </c>
      <c r="Z6407" s="8" t="s">
        <v>2313</v>
      </c>
    </row>
    <row r="6408" spans="1:26" x14ac:dyDescent="0.2">
      <c r="A6408" s="8">
        <v>6407</v>
      </c>
      <c r="B6408" s="8" t="s">
        <v>28476</v>
      </c>
      <c r="C6408" s="8" t="s">
        <v>28476</v>
      </c>
      <c r="F6408" s="47"/>
      <c r="G6408" s="8">
        <v>16</v>
      </c>
      <c r="H6408" s="8" t="s">
        <v>21</v>
      </c>
      <c r="I6408" s="8" t="s">
        <v>22</v>
      </c>
      <c r="J6408" s="8" t="s">
        <v>22</v>
      </c>
      <c r="K6408" s="8" t="s">
        <v>37</v>
      </c>
      <c r="L6408" s="8" t="s">
        <v>28435</v>
      </c>
      <c r="M6408" s="8" t="s">
        <v>28436</v>
      </c>
      <c r="N6408" s="8" t="s">
        <v>28477</v>
      </c>
      <c r="O6408" s="8">
        <f>17+44/60+57.8/3600</f>
        <v>17.749388888888891</v>
      </c>
      <c r="P6408" s="8" t="s">
        <v>28478</v>
      </c>
      <c r="Q6408" s="8">
        <f>-(60+44/60+23/3600)</f>
        <v>-60.73972222222222</v>
      </c>
      <c r="R6408" s="8">
        <v>11.5</v>
      </c>
      <c r="S6408" s="8">
        <v>12.5</v>
      </c>
      <c r="T6408" s="8">
        <v>1</v>
      </c>
      <c r="U6408" s="8">
        <v>12.7</v>
      </c>
      <c r="V6408" s="8">
        <v>2.1</v>
      </c>
      <c r="W6408" s="8">
        <v>1.6</v>
      </c>
      <c r="X6408" s="8">
        <v>60</v>
      </c>
      <c r="Y6408" s="8" t="s">
        <v>28479</v>
      </c>
      <c r="Z6408" s="8" t="s">
        <v>28480</v>
      </c>
    </row>
    <row r="6409" spans="1:26" x14ac:dyDescent="0.2">
      <c r="A6409" s="8">
        <v>6408</v>
      </c>
      <c r="B6409" s="8" t="s">
        <v>28481</v>
      </c>
      <c r="C6409" s="8" t="s">
        <v>28481</v>
      </c>
      <c r="F6409" s="47"/>
      <c r="G6409" s="8">
        <v>18</v>
      </c>
      <c r="H6409" s="8" t="s">
        <v>21</v>
      </c>
      <c r="I6409" s="8" t="s">
        <v>22</v>
      </c>
      <c r="J6409" s="8" t="s">
        <v>22</v>
      </c>
      <c r="K6409" s="8" t="s">
        <v>154</v>
      </c>
      <c r="L6409" s="8" t="s">
        <v>26804</v>
      </c>
      <c r="M6409" s="8" t="s">
        <v>26805</v>
      </c>
      <c r="N6409" s="8" t="s">
        <v>28482</v>
      </c>
      <c r="O6409" s="8">
        <f>17+38/60+47.3/3600</f>
        <v>17.646472222222222</v>
      </c>
      <c r="P6409" s="8" t="s">
        <v>28483</v>
      </c>
      <c r="Q6409" s="8">
        <f>+(18+52/60+42/3600)</f>
        <v>18.878333333333334</v>
      </c>
      <c r="R6409" s="8">
        <v>12.7</v>
      </c>
      <c r="S6409" s="8">
        <v>13.6</v>
      </c>
      <c r="T6409" s="8">
        <v>0.9</v>
      </c>
      <c r="U6409" s="8">
        <v>13.4</v>
      </c>
      <c r="V6409" s="8">
        <v>1.6</v>
      </c>
      <c r="W6409" s="8">
        <v>1.4</v>
      </c>
      <c r="X6409" s="8">
        <v>132</v>
      </c>
      <c r="Y6409" s="8" t="s">
        <v>4613</v>
      </c>
      <c r="Z6409" s="8" t="s">
        <v>4614</v>
      </c>
    </row>
    <row r="6410" spans="1:26" x14ac:dyDescent="0.2">
      <c r="A6410" s="8">
        <v>6409</v>
      </c>
      <c r="B6410" s="8" t="s">
        <v>28484</v>
      </c>
      <c r="C6410" s="8" t="s">
        <v>28484</v>
      </c>
      <c r="F6410" s="47"/>
      <c r="G6410" s="8">
        <v>19</v>
      </c>
      <c r="H6410" s="8" t="s">
        <v>21</v>
      </c>
      <c r="I6410" s="8" t="s">
        <v>22</v>
      </c>
      <c r="J6410" s="8" t="s">
        <v>22</v>
      </c>
      <c r="K6410" s="8" t="s">
        <v>449</v>
      </c>
      <c r="L6410" s="8" t="s">
        <v>13395</v>
      </c>
      <c r="M6410" s="8" t="s">
        <v>13396</v>
      </c>
      <c r="N6410" s="8" t="s">
        <v>28485</v>
      </c>
      <c r="O6410" s="8">
        <f>17+36/60+35.3/3600</f>
        <v>17.609805555555557</v>
      </c>
      <c r="P6410" s="8" t="s">
        <v>28486</v>
      </c>
      <c r="Q6410" s="8">
        <f>+(50+45/60+59/3600)</f>
        <v>50.766388888888891</v>
      </c>
      <c r="R6410" s="8">
        <v>13.8</v>
      </c>
      <c r="S6410" s="8">
        <v>14.8</v>
      </c>
      <c r="T6410" s="8">
        <v>1</v>
      </c>
      <c r="U6410" s="8">
        <v>13.1</v>
      </c>
      <c r="V6410" s="8">
        <v>0.8</v>
      </c>
      <c r="W6410" s="8">
        <v>0.6</v>
      </c>
      <c r="X6410" s="8">
        <v>60</v>
      </c>
      <c r="Y6410" s="8" t="s">
        <v>170</v>
      </c>
      <c r="Z6410" s="8" t="s">
        <v>171</v>
      </c>
    </row>
    <row r="6411" spans="1:26" x14ac:dyDescent="0.2">
      <c r="A6411" s="8">
        <v>6410</v>
      </c>
      <c r="B6411" s="8" t="s">
        <v>28487</v>
      </c>
      <c r="C6411" s="8" t="s">
        <v>28487</v>
      </c>
      <c r="F6411" s="47"/>
      <c r="G6411" s="8">
        <v>19</v>
      </c>
      <c r="H6411" s="8" t="s">
        <v>21</v>
      </c>
      <c r="I6411" s="8" t="s">
        <v>72</v>
      </c>
      <c r="J6411" s="8" t="s">
        <v>72</v>
      </c>
      <c r="K6411" s="8" t="s">
        <v>73</v>
      </c>
      <c r="L6411" s="8" t="s">
        <v>13395</v>
      </c>
      <c r="M6411" s="8" t="s">
        <v>13396</v>
      </c>
      <c r="N6411" s="8" t="s">
        <v>28488</v>
      </c>
      <c r="O6411" s="8">
        <f>17+35/60+20.5/3600</f>
        <v>17.589027777777776</v>
      </c>
      <c r="P6411" s="8" t="s">
        <v>28489</v>
      </c>
      <c r="Q6411" s="8">
        <f>+(60+47/60+32/3600)</f>
        <v>60.792222222222222</v>
      </c>
      <c r="R6411" s="8">
        <v>99</v>
      </c>
      <c r="S6411" s="8">
        <v>99</v>
      </c>
      <c r="T6411" s="8">
        <v>99</v>
      </c>
      <c r="U6411" s="8">
        <v>99</v>
      </c>
      <c r="Y6411" s="8" t="s">
        <v>28490</v>
      </c>
      <c r="Z6411" s="8" t="s">
        <v>28491</v>
      </c>
    </row>
    <row r="6412" spans="1:26" x14ac:dyDescent="0.2">
      <c r="A6412" s="8">
        <v>6411</v>
      </c>
      <c r="B6412" s="8" t="s">
        <v>28492</v>
      </c>
      <c r="C6412" s="8" t="s">
        <v>28492</v>
      </c>
      <c r="F6412" s="47"/>
      <c r="G6412" s="8">
        <v>18</v>
      </c>
      <c r="H6412" s="8" t="s">
        <v>21</v>
      </c>
      <c r="I6412" s="8" t="s">
        <v>22</v>
      </c>
      <c r="J6412" s="8" t="s">
        <v>22</v>
      </c>
      <c r="K6412" s="8" t="s">
        <v>50</v>
      </c>
      <c r="L6412" s="8" t="s">
        <v>13395</v>
      </c>
      <c r="M6412" s="8" t="s">
        <v>13396</v>
      </c>
      <c r="N6412" s="8" t="s">
        <v>28493</v>
      </c>
      <c r="O6412" s="8">
        <f>17+35/60+32.6/3600</f>
        <v>17.592388888888888</v>
      </c>
      <c r="P6412" s="8" t="s">
        <v>28494</v>
      </c>
      <c r="Q6412" s="8">
        <f>+(60+48/60+47/3600)</f>
        <v>60.81305555555555</v>
      </c>
      <c r="R6412" s="8">
        <v>11.9</v>
      </c>
      <c r="S6412" s="8">
        <v>12.8</v>
      </c>
      <c r="T6412" s="8">
        <v>0.9</v>
      </c>
      <c r="U6412" s="8">
        <v>13.4</v>
      </c>
      <c r="V6412" s="8">
        <v>2</v>
      </c>
      <c r="W6412" s="8">
        <v>1.3</v>
      </c>
      <c r="X6412" s="8">
        <v>70</v>
      </c>
      <c r="Y6412" s="8" t="s">
        <v>28495</v>
      </c>
      <c r="Z6412" s="8" t="s">
        <v>28496</v>
      </c>
    </row>
    <row r="6413" spans="1:26" x14ac:dyDescent="0.2">
      <c r="A6413" s="8">
        <v>6412</v>
      </c>
      <c r="B6413" s="8" t="s">
        <v>28497</v>
      </c>
      <c r="C6413" s="8" t="s">
        <v>28497</v>
      </c>
      <c r="F6413" s="47" t="s">
        <v>58193</v>
      </c>
      <c r="G6413" s="8">
        <v>12</v>
      </c>
      <c r="H6413" s="8" t="s">
        <v>21</v>
      </c>
      <c r="I6413" s="8" t="s">
        <v>22</v>
      </c>
      <c r="J6413" s="8" t="s">
        <v>22</v>
      </c>
      <c r="K6413" s="8" t="s">
        <v>64</v>
      </c>
      <c r="L6413" s="8" t="s">
        <v>13395</v>
      </c>
      <c r="M6413" s="8" t="s">
        <v>13396</v>
      </c>
      <c r="N6413" s="8" t="s">
        <v>28498</v>
      </c>
      <c r="O6413" s="8">
        <f>17+29/60+36.9/3600</f>
        <v>17.493583333333333</v>
      </c>
      <c r="P6413" s="8" t="s">
        <v>28499</v>
      </c>
      <c r="Q6413" s="8">
        <f>+(75+42/60+17/3600)</f>
        <v>75.70472222222223</v>
      </c>
      <c r="R6413" s="8">
        <v>11.8</v>
      </c>
      <c r="S6413" s="8">
        <v>12.3</v>
      </c>
      <c r="T6413" s="8">
        <v>0.5</v>
      </c>
      <c r="U6413" s="8">
        <v>13.4</v>
      </c>
      <c r="V6413" s="8">
        <v>2.5</v>
      </c>
      <c r="W6413" s="8">
        <v>2.4</v>
      </c>
      <c r="X6413" s="8">
        <v>120</v>
      </c>
      <c r="Y6413" s="8" t="s">
        <v>28500</v>
      </c>
      <c r="Z6413" s="8" t="s">
        <v>28501</v>
      </c>
    </row>
    <row r="6414" spans="1:26" x14ac:dyDescent="0.2">
      <c r="A6414" s="8">
        <v>6413</v>
      </c>
      <c r="B6414" s="8" t="s">
        <v>28502</v>
      </c>
      <c r="C6414" s="8" t="s">
        <v>28502</v>
      </c>
      <c r="F6414" s="47"/>
      <c r="G6414" s="8">
        <v>18</v>
      </c>
      <c r="H6414" s="8" t="s">
        <v>21</v>
      </c>
      <c r="I6414" s="8" t="s">
        <v>72</v>
      </c>
      <c r="J6414" s="8" t="s">
        <v>72</v>
      </c>
      <c r="K6414" s="8" t="s">
        <v>5802</v>
      </c>
      <c r="L6414" s="8" t="s">
        <v>26994</v>
      </c>
      <c r="M6414" s="8" t="s">
        <v>26995</v>
      </c>
      <c r="N6414" s="8" t="s">
        <v>28503</v>
      </c>
      <c r="O6414" s="8">
        <f>17+40/60+40.7/3600</f>
        <v>17.677972222222223</v>
      </c>
      <c r="P6414" s="8" t="s">
        <v>28504</v>
      </c>
      <c r="Q6414" s="8">
        <f>+(12+37/60+26/3600)</f>
        <v>12.623888888888889</v>
      </c>
      <c r="R6414" s="8">
        <v>99</v>
      </c>
      <c r="S6414" s="8">
        <v>99</v>
      </c>
      <c r="T6414" s="8">
        <v>99</v>
      </c>
      <c r="U6414" s="8">
        <v>99</v>
      </c>
      <c r="Y6414" s="8" t="s">
        <v>28505</v>
      </c>
      <c r="Z6414" s="8" t="s">
        <v>28506</v>
      </c>
    </row>
    <row r="6415" spans="1:26" x14ac:dyDescent="0.2">
      <c r="A6415" s="8">
        <v>6414</v>
      </c>
      <c r="B6415" s="8" t="s">
        <v>28507</v>
      </c>
      <c r="C6415" s="8" t="s">
        <v>28507</v>
      </c>
      <c r="F6415" s="47"/>
      <c r="G6415" s="8">
        <v>19</v>
      </c>
      <c r="H6415" s="8" t="s">
        <v>21</v>
      </c>
      <c r="I6415" s="8" t="s">
        <v>22</v>
      </c>
      <c r="J6415" s="8" t="s">
        <v>22</v>
      </c>
      <c r="K6415" s="8" t="s">
        <v>449</v>
      </c>
      <c r="L6415" s="8" t="s">
        <v>13395</v>
      </c>
      <c r="M6415" s="8" t="s">
        <v>13396</v>
      </c>
      <c r="N6415" s="8" t="s">
        <v>28508</v>
      </c>
      <c r="O6415" s="8">
        <f>17+30/60+36.7/3600</f>
        <v>17.510194444444444</v>
      </c>
      <c r="P6415" s="8" t="s">
        <v>28509</v>
      </c>
      <c r="Q6415" s="8">
        <f>+(74+22/60+36/3600)</f>
        <v>74.376666666666665</v>
      </c>
      <c r="R6415" s="8">
        <v>14.7</v>
      </c>
      <c r="S6415" s="8">
        <v>15.5</v>
      </c>
      <c r="T6415" s="8">
        <v>0.8</v>
      </c>
      <c r="U6415" s="8">
        <v>13.8</v>
      </c>
      <c r="V6415" s="8">
        <v>1</v>
      </c>
      <c r="W6415" s="8">
        <v>0.5</v>
      </c>
      <c r="X6415" s="8">
        <v>145</v>
      </c>
      <c r="Y6415" s="8" t="s">
        <v>24560</v>
      </c>
      <c r="Z6415" s="8" t="s">
        <v>24561</v>
      </c>
    </row>
    <row r="6416" spans="1:26" x14ac:dyDescent="0.2">
      <c r="A6416" s="8">
        <v>6415</v>
      </c>
      <c r="B6416" s="8" t="s">
        <v>28510</v>
      </c>
      <c r="C6416" s="8" t="s">
        <v>28510</v>
      </c>
      <c r="F6416" s="47"/>
      <c r="G6416" s="8">
        <v>16</v>
      </c>
      <c r="H6416" s="8" t="s">
        <v>21</v>
      </c>
      <c r="I6416" s="8" t="s">
        <v>72</v>
      </c>
      <c r="J6416" s="8" t="s">
        <v>72</v>
      </c>
      <c r="K6416" s="8" t="s">
        <v>1405</v>
      </c>
      <c r="L6416" s="8" t="s">
        <v>26735</v>
      </c>
      <c r="M6416" s="8" t="s">
        <v>26736</v>
      </c>
      <c r="N6416" s="8" t="s">
        <v>28511</v>
      </c>
      <c r="O6416" s="8">
        <f>17+44/60+18/3600</f>
        <v>17.738333333333333</v>
      </c>
      <c r="P6416" s="8" t="s">
        <v>28512</v>
      </c>
      <c r="Q6416" s="8">
        <f>-(35+4/60+0/3600)</f>
        <v>-35.06666666666667</v>
      </c>
      <c r="R6416" s="8">
        <v>99</v>
      </c>
      <c r="S6416" s="8">
        <v>99</v>
      </c>
      <c r="T6416" s="8">
        <v>99</v>
      </c>
      <c r="U6416" s="8">
        <v>99</v>
      </c>
      <c r="V6416" s="8">
        <v>23</v>
      </c>
      <c r="Y6416" s="8" t="s">
        <v>28513</v>
      </c>
      <c r="Z6416" s="8" t="s">
        <v>28514</v>
      </c>
    </row>
    <row r="6417" spans="1:26" x14ac:dyDescent="0.2">
      <c r="A6417" s="8">
        <v>6416</v>
      </c>
      <c r="B6417" s="8" t="s">
        <v>28515</v>
      </c>
      <c r="C6417" s="8" t="s">
        <v>28515</v>
      </c>
      <c r="F6417" s="47"/>
      <c r="G6417" s="8">
        <v>5</v>
      </c>
      <c r="H6417" s="8" t="s">
        <v>21</v>
      </c>
      <c r="I6417" s="8" t="s">
        <v>557</v>
      </c>
      <c r="J6417" s="8" t="s">
        <v>557</v>
      </c>
      <c r="K6417" s="8" t="s">
        <v>600</v>
      </c>
      <c r="L6417" s="8" t="s">
        <v>26735</v>
      </c>
      <c r="M6417" s="8" t="s">
        <v>26736</v>
      </c>
      <c r="N6417" s="8" t="s">
        <v>28516</v>
      </c>
      <c r="O6417" s="8">
        <f>17+44/60+19.9/3600</f>
        <v>17.738861111111113</v>
      </c>
      <c r="P6417" s="8" t="s">
        <v>28517</v>
      </c>
      <c r="Q6417" s="8">
        <f>-(32+21/60+40/3600)</f>
        <v>-32.361111111111114</v>
      </c>
      <c r="R6417" s="8">
        <v>5.7</v>
      </c>
      <c r="S6417" s="8">
        <v>99</v>
      </c>
      <c r="T6417" s="8">
        <v>99</v>
      </c>
      <c r="U6417" s="8">
        <v>99</v>
      </c>
      <c r="V6417" s="8">
        <v>15</v>
      </c>
      <c r="Y6417" s="8" t="s">
        <v>28518</v>
      </c>
      <c r="Z6417" s="8" t="s">
        <v>28519</v>
      </c>
    </row>
    <row r="6418" spans="1:26" x14ac:dyDescent="0.2">
      <c r="A6418" s="8">
        <v>6417</v>
      </c>
      <c r="B6418" s="8" t="s">
        <v>28520</v>
      </c>
      <c r="C6418" s="8" t="s">
        <v>28520</v>
      </c>
      <c r="F6418" s="47"/>
      <c r="G6418" s="8">
        <v>18</v>
      </c>
      <c r="H6418" s="8" t="s">
        <v>21</v>
      </c>
      <c r="I6418" s="8" t="s">
        <v>22</v>
      </c>
      <c r="J6418" s="8" t="s">
        <v>22</v>
      </c>
      <c r="K6418" s="8" t="s">
        <v>218</v>
      </c>
      <c r="L6418" s="8" t="s">
        <v>26804</v>
      </c>
      <c r="M6418" s="8" t="s">
        <v>26805</v>
      </c>
      <c r="N6418" s="8" t="s">
        <v>28521</v>
      </c>
      <c r="O6418" s="8">
        <f>17+41/60+47.8/3600</f>
        <v>17.69661111111111</v>
      </c>
      <c r="P6418" s="8" t="s">
        <v>28522</v>
      </c>
      <c r="Q6418" s="8">
        <f>+(23+40/60+18/3600)</f>
        <v>23.671666666666667</v>
      </c>
      <c r="R6418" s="8">
        <v>13.4</v>
      </c>
      <c r="S6418" s="8">
        <v>14.2</v>
      </c>
      <c r="T6418" s="8">
        <v>0.8</v>
      </c>
      <c r="U6418" s="8">
        <v>13.9</v>
      </c>
      <c r="V6418" s="8">
        <v>1.4</v>
      </c>
      <c r="W6418" s="8">
        <v>1.3</v>
      </c>
      <c r="X6418" s="8">
        <v>45</v>
      </c>
      <c r="Y6418" s="8" t="s">
        <v>28523</v>
      </c>
      <c r="Z6418" s="8" t="s">
        <v>28524</v>
      </c>
    </row>
    <row r="6419" spans="1:26" x14ac:dyDescent="0.2">
      <c r="A6419" s="8">
        <v>6418</v>
      </c>
      <c r="B6419" s="8" t="s">
        <v>28525</v>
      </c>
      <c r="C6419" s="8" t="s">
        <v>28525</v>
      </c>
      <c r="F6419" s="47"/>
      <c r="G6419" s="8">
        <v>19</v>
      </c>
      <c r="H6419" s="8" t="s">
        <v>21</v>
      </c>
      <c r="I6419" s="8" t="s">
        <v>22</v>
      </c>
      <c r="J6419" s="8" t="s">
        <v>22</v>
      </c>
      <c r="K6419" s="8" t="s">
        <v>476</v>
      </c>
      <c r="L6419" s="8" t="s">
        <v>13395</v>
      </c>
      <c r="M6419" s="8" t="s">
        <v>13396</v>
      </c>
      <c r="N6419" s="8" t="s">
        <v>28526</v>
      </c>
      <c r="O6419" s="8">
        <f>17+38/60+9.4/3600</f>
        <v>17.635944444444444</v>
      </c>
      <c r="P6419" s="8" t="s">
        <v>28527</v>
      </c>
      <c r="Q6419" s="8">
        <f>+(58+42/60+55/3600)</f>
        <v>58.715277777777779</v>
      </c>
      <c r="R6419" s="8">
        <v>14.4</v>
      </c>
      <c r="S6419" s="8">
        <v>15.3</v>
      </c>
      <c r="T6419" s="8">
        <v>0.9</v>
      </c>
      <c r="U6419" s="8">
        <v>12.5</v>
      </c>
      <c r="V6419" s="8">
        <v>0.5</v>
      </c>
      <c r="W6419" s="8">
        <v>0.4</v>
      </c>
      <c r="X6419" s="8">
        <v>168</v>
      </c>
      <c r="Y6419" s="8" t="s">
        <v>4170</v>
      </c>
      <c r="Z6419" s="8" t="s">
        <v>4171</v>
      </c>
    </row>
    <row r="6420" spans="1:26" x14ac:dyDescent="0.2">
      <c r="A6420" s="8">
        <v>6419</v>
      </c>
      <c r="B6420" s="8" t="s">
        <v>28528</v>
      </c>
      <c r="C6420" s="8" t="s">
        <v>28528</v>
      </c>
      <c r="F6420" s="47"/>
      <c r="G6420" s="8">
        <v>19</v>
      </c>
      <c r="H6420" s="8" t="s">
        <v>21</v>
      </c>
      <c r="I6420" s="8" t="s">
        <v>22</v>
      </c>
      <c r="J6420" s="8" t="s">
        <v>22</v>
      </c>
      <c r="K6420" s="8" t="s">
        <v>91</v>
      </c>
      <c r="L6420" s="8" t="s">
        <v>13395</v>
      </c>
      <c r="M6420" s="8" t="s">
        <v>13396</v>
      </c>
      <c r="N6420" s="8" t="s">
        <v>28529</v>
      </c>
      <c r="O6420" s="8">
        <f>17+36/60+5.6/3600</f>
        <v>17.601555555555557</v>
      </c>
      <c r="P6420" s="8" t="s">
        <v>28530</v>
      </c>
      <c r="Q6420" s="8">
        <f>+(68+9/60+21/3600)</f>
        <v>68.155833333333334</v>
      </c>
      <c r="R6420" s="8">
        <v>14.8</v>
      </c>
      <c r="S6420" s="8">
        <v>15.7</v>
      </c>
      <c r="T6420" s="8">
        <v>0.9</v>
      </c>
      <c r="U6420" s="8">
        <v>13.6</v>
      </c>
      <c r="V6420" s="8">
        <v>1.3</v>
      </c>
      <c r="W6420" s="8">
        <v>0.3</v>
      </c>
      <c r="X6420" s="8">
        <v>131</v>
      </c>
      <c r="Y6420" s="8" t="s">
        <v>28344</v>
      </c>
      <c r="Z6420" s="8" t="s">
        <v>28345</v>
      </c>
    </row>
    <row r="6421" spans="1:26" x14ac:dyDescent="0.2">
      <c r="A6421" s="8">
        <v>6420</v>
      </c>
      <c r="B6421" s="8" t="s">
        <v>28531</v>
      </c>
      <c r="C6421" s="8" t="s">
        <v>28531</v>
      </c>
      <c r="F6421" s="47"/>
      <c r="G6421" s="8">
        <v>19</v>
      </c>
      <c r="H6421" s="8" t="s">
        <v>21</v>
      </c>
      <c r="I6421" s="8" t="s">
        <v>22</v>
      </c>
      <c r="J6421" s="8" t="s">
        <v>22</v>
      </c>
      <c r="K6421" s="8" t="s">
        <v>58</v>
      </c>
      <c r="L6421" s="8" t="s">
        <v>13395</v>
      </c>
      <c r="M6421" s="8" t="s">
        <v>13396</v>
      </c>
      <c r="N6421" s="8" t="s">
        <v>28532</v>
      </c>
      <c r="O6421" s="8">
        <f>17+36/60+16.2/3600</f>
        <v>17.604500000000002</v>
      </c>
      <c r="P6421" s="8" t="s">
        <v>28533</v>
      </c>
      <c r="Q6421" s="8">
        <f>+(68+3/60+9/3600)</f>
        <v>68.052499999999995</v>
      </c>
      <c r="R6421" s="8">
        <v>14.4</v>
      </c>
      <c r="S6421" s="8">
        <v>15.4</v>
      </c>
      <c r="T6421" s="8">
        <v>1</v>
      </c>
      <c r="U6421" s="8">
        <v>13.1</v>
      </c>
      <c r="V6421" s="8">
        <v>0.6</v>
      </c>
      <c r="W6421" s="8">
        <v>0.3</v>
      </c>
      <c r="X6421" s="8">
        <v>54</v>
      </c>
      <c r="Y6421" s="8" t="s">
        <v>28344</v>
      </c>
      <c r="Z6421" s="8" t="s">
        <v>28345</v>
      </c>
    </row>
    <row r="6422" spans="1:26" x14ac:dyDescent="0.2">
      <c r="A6422" s="8">
        <v>6421</v>
      </c>
      <c r="B6422" s="8" t="s">
        <v>28534</v>
      </c>
      <c r="C6422" s="8" t="s">
        <v>28534</v>
      </c>
      <c r="F6422" s="47"/>
      <c r="G6422" s="8">
        <v>16</v>
      </c>
      <c r="H6422" s="8" t="s">
        <v>21</v>
      </c>
      <c r="I6422" s="8" t="s">
        <v>72</v>
      </c>
      <c r="J6422" s="8" t="s">
        <v>72</v>
      </c>
      <c r="K6422" s="8" t="s">
        <v>1405</v>
      </c>
      <c r="L6422" s="8" t="s">
        <v>26735</v>
      </c>
      <c r="M6422" s="8" t="s">
        <v>26736</v>
      </c>
      <c r="N6422" s="8" t="s">
        <v>28535</v>
      </c>
      <c r="O6422" s="8">
        <f>17+45/60+44/3600</f>
        <v>17.762222222222221</v>
      </c>
      <c r="P6422" s="8" t="s">
        <v>28536</v>
      </c>
      <c r="Q6422" s="8">
        <f>-(33+41/60+14/3600)</f>
        <v>-33.687222222222218</v>
      </c>
      <c r="R6422" s="8">
        <v>99</v>
      </c>
      <c r="S6422" s="8">
        <v>14</v>
      </c>
      <c r="T6422" s="8">
        <v>99</v>
      </c>
      <c r="U6422" s="8">
        <v>99</v>
      </c>
      <c r="V6422" s="8">
        <v>45</v>
      </c>
      <c r="Y6422" s="8" t="s">
        <v>28537</v>
      </c>
      <c r="Z6422" s="8" t="s">
        <v>28538</v>
      </c>
    </row>
    <row r="6423" spans="1:26" x14ac:dyDescent="0.2">
      <c r="A6423" s="8">
        <v>6422</v>
      </c>
      <c r="B6423" s="8" t="s">
        <v>28539</v>
      </c>
      <c r="C6423" s="8" t="s">
        <v>28539</v>
      </c>
      <c r="F6423" s="47"/>
      <c r="G6423" s="8">
        <v>19</v>
      </c>
      <c r="H6423" s="8" t="s">
        <v>21</v>
      </c>
      <c r="I6423" s="8" t="s">
        <v>22</v>
      </c>
      <c r="J6423" s="8" t="s">
        <v>22</v>
      </c>
      <c r="K6423" s="8" t="s">
        <v>58</v>
      </c>
      <c r="L6423" s="8" t="s">
        <v>13395</v>
      </c>
      <c r="M6423" s="8" t="s">
        <v>13396</v>
      </c>
      <c r="N6423" s="8" t="s">
        <v>28540</v>
      </c>
      <c r="O6423" s="8">
        <f>17+36/60+29.8/3600</f>
        <v>17.608277777777779</v>
      </c>
      <c r="P6423" s="8" t="s">
        <v>28541</v>
      </c>
      <c r="Q6423" s="8">
        <f>+(68+3/60+30/3600)</f>
        <v>68.058333333333337</v>
      </c>
      <c r="R6423" s="8">
        <v>14.8</v>
      </c>
      <c r="S6423" s="8">
        <v>15.8</v>
      </c>
      <c r="T6423" s="8">
        <v>1</v>
      </c>
      <c r="U6423" s="8">
        <v>13.8</v>
      </c>
      <c r="V6423" s="8">
        <v>0.6</v>
      </c>
      <c r="W6423" s="8">
        <v>0.6</v>
      </c>
      <c r="Y6423" s="8" t="s">
        <v>28542</v>
      </c>
      <c r="Z6423" s="8" t="s">
        <v>28543</v>
      </c>
    </row>
    <row r="6424" spans="1:26" x14ac:dyDescent="0.2">
      <c r="A6424" s="8">
        <v>6423</v>
      </c>
      <c r="B6424" s="8" t="s">
        <v>28544</v>
      </c>
      <c r="C6424" s="8" t="s">
        <v>28544</v>
      </c>
      <c r="F6424" s="47"/>
      <c r="G6424" s="8">
        <v>19</v>
      </c>
      <c r="H6424" s="8" t="s">
        <v>21</v>
      </c>
      <c r="I6424" s="8" t="s">
        <v>22</v>
      </c>
      <c r="J6424" s="8" t="s">
        <v>22</v>
      </c>
      <c r="K6424" s="8" t="s">
        <v>424</v>
      </c>
      <c r="L6424" s="8" t="s">
        <v>13395</v>
      </c>
      <c r="M6424" s="8" t="s">
        <v>13396</v>
      </c>
      <c r="N6424" s="8" t="s">
        <v>28545</v>
      </c>
      <c r="O6424" s="8">
        <f>17+36/60+53.2/3600</f>
        <v>17.614777777777778</v>
      </c>
      <c r="P6424" s="8" t="s">
        <v>28546</v>
      </c>
      <c r="Q6424" s="8">
        <f>+(68+10/60+16/3600)</f>
        <v>68.171111111111117</v>
      </c>
      <c r="R6424" s="8">
        <v>14.7</v>
      </c>
      <c r="S6424" s="8">
        <v>15.7</v>
      </c>
      <c r="T6424" s="8">
        <v>1</v>
      </c>
      <c r="U6424" s="8">
        <v>13.3</v>
      </c>
      <c r="V6424" s="8">
        <v>0.6</v>
      </c>
      <c r="W6424" s="8">
        <v>0.5</v>
      </c>
      <c r="X6424" s="8">
        <v>165</v>
      </c>
      <c r="Y6424" s="8" t="s">
        <v>28547</v>
      </c>
      <c r="Z6424" s="8" t="s">
        <v>28548</v>
      </c>
    </row>
    <row r="6425" spans="1:26" x14ac:dyDescent="0.2">
      <c r="A6425" s="8">
        <v>6424</v>
      </c>
      <c r="B6425" s="8" t="s">
        <v>28549</v>
      </c>
      <c r="C6425" s="8" t="s">
        <v>28549</v>
      </c>
      <c r="F6425" s="47"/>
      <c r="G6425" s="8">
        <v>19</v>
      </c>
      <c r="H6425" s="8" t="s">
        <v>21</v>
      </c>
      <c r="I6425" s="8" t="s">
        <v>22</v>
      </c>
      <c r="J6425" s="8" t="s">
        <v>22</v>
      </c>
      <c r="K6425" s="8" t="s">
        <v>58</v>
      </c>
      <c r="L6425" s="8" t="s">
        <v>13395</v>
      </c>
      <c r="M6425" s="8" t="s">
        <v>13396</v>
      </c>
      <c r="N6425" s="8" t="s">
        <v>28550</v>
      </c>
      <c r="O6425" s="8">
        <f>17+36/60+12/3600</f>
        <v>17.603333333333335</v>
      </c>
      <c r="P6425" s="8" t="s">
        <v>28551</v>
      </c>
      <c r="Q6425" s="8">
        <f>+(69+59/60+22/3600)</f>
        <v>69.989444444444445</v>
      </c>
      <c r="R6425" s="8">
        <v>14.1</v>
      </c>
      <c r="S6425" s="8">
        <v>15.1</v>
      </c>
      <c r="T6425" s="8">
        <v>1</v>
      </c>
      <c r="U6425" s="8">
        <v>13.5</v>
      </c>
      <c r="V6425" s="8">
        <v>0.9</v>
      </c>
      <c r="W6425" s="8">
        <v>0.6</v>
      </c>
      <c r="X6425" s="8">
        <v>81</v>
      </c>
      <c r="Y6425" s="8" t="s">
        <v>237</v>
      </c>
      <c r="Z6425" s="8" t="s">
        <v>238</v>
      </c>
    </row>
    <row r="6426" spans="1:26" x14ac:dyDescent="0.2">
      <c r="A6426" s="8">
        <v>6425</v>
      </c>
      <c r="B6426" s="8" t="s">
        <v>28552</v>
      </c>
      <c r="C6426" s="8" t="s">
        <v>28552</v>
      </c>
      <c r="F6426" s="47"/>
      <c r="G6426" s="8">
        <v>13</v>
      </c>
      <c r="H6426" s="8" t="s">
        <v>21</v>
      </c>
      <c r="I6426" s="8" t="s">
        <v>557</v>
      </c>
      <c r="J6426" s="8" t="s">
        <v>557</v>
      </c>
      <c r="K6426" s="8" t="s">
        <v>13694</v>
      </c>
      <c r="L6426" s="8" t="s">
        <v>26735</v>
      </c>
      <c r="M6426" s="8" t="s">
        <v>26736</v>
      </c>
      <c r="N6426" s="8" t="s">
        <v>28553</v>
      </c>
      <c r="O6426" s="8">
        <f>17+47/60+0/3600</f>
        <v>17.783333333333335</v>
      </c>
      <c r="P6426" s="8" t="s">
        <v>28554</v>
      </c>
      <c r="Q6426" s="8">
        <f>-(31+31/60+48/3600)</f>
        <v>-31.529999999999998</v>
      </c>
      <c r="R6426" s="8">
        <v>7.2</v>
      </c>
      <c r="S6426" s="8">
        <v>99</v>
      </c>
      <c r="T6426" s="8">
        <v>99</v>
      </c>
      <c r="U6426" s="8">
        <v>99</v>
      </c>
      <c r="V6426" s="8">
        <v>10</v>
      </c>
      <c r="Y6426" s="8" t="s">
        <v>28555</v>
      </c>
      <c r="Z6426" s="8" t="s">
        <v>28556</v>
      </c>
    </row>
    <row r="6427" spans="1:26" x14ac:dyDescent="0.2">
      <c r="A6427" s="8">
        <v>6426</v>
      </c>
      <c r="B6427" s="8" t="s">
        <v>28557</v>
      </c>
      <c r="C6427" s="8" t="s">
        <v>28557</v>
      </c>
      <c r="F6427" s="47" t="s">
        <v>58194</v>
      </c>
      <c r="G6427" s="8">
        <v>6</v>
      </c>
      <c r="H6427" s="8" t="s">
        <v>21</v>
      </c>
      <c r="I6427" s="8" t="s">
        <v>567</v>
      </c>
      <c r="J6427" s="8" t="s">
        <v>567</v>
      </c>
      <c r="K6427" s="8" t="s">
        <v>26506</v>
      </c>
      <c r="L6427" s="8" t="s">
        <v>26994</v>
      </c>
      <c r="M6427" s="8" t="s">
        <v>26995</v>
      </c>
      <c r="N6427" s="8" t="s">
        <v>28558</v>
      </c>
      <c r="O6427" s="8">
        <f>17+44/60+54.7/3600</f>
        <v>17.748527777777777</v>
      </c>
      <c r="P6427" s="8" t="s">
        <v>28559</v>
      </c>
      <c r="Q6427" s="8">
        <f>+(3+10/60+15/3600)</f>
        <v>3.1708333333333334</v>
      </c>
      <c r="R6427" s="8">
        <v>10.9</v>
      </c>
      <c r="S6427" s="8">
        <v>99</v>
      </c>
      <c r="T6427" s="8">
        <v>99</v>
      </c>
      <c r="U6427" s="8">
        <v>99</v>
      </c>
      <c r="V6427" s="8">
        <v>4.2</v>
      </c>
      <c r="Y6427" s="8" t="s">
        <v>28560</v>
      </c>
      <c r="Z6427" s="8" t="s">
        <v>28561</v>
      </c>
    </row>
    <row r="6428" spans="1:26" x14ac:dyDescent="0.2">
      <c r="A6428" s="8">
        <v>6427</v>
      </c>
      <c r="B6428" s="8" t="s">
        <v>28562</v>
      </c>
      <c r="C6428" s="8" t="s">
        <v>28562</v>
      </c>
      <c r="F6428" s="47"/>
      <c r="G6428" s="8">
        <v>18</v>
      </c>
      <c r="H6428" s="8" t="s">
        <v>21</v>
      </c>
      <c r="I6428" s="8" t="s">
        <v>22</v>
      </c>
      <c r="J6428" s="8" t="s">
        <v>22</v>
      </c>
      <c r="K6428" s="8" t="s">
        <v>58</v>
      </c>
      <c r="L6428" s="8" t="s">
        <v>26804</v>
      </c>
      <c r="M6428" s="8" t="s">
        <v>26805</v>
      </c>
      <c r="N6428" s="8" t="s">
        <v>28563</v>
      </c>
      <c r="O6428" s="8">
        <f>17+43/60+38.5/3600</f>
        <v>17.727361111111108</v>
      </c>
      <c r="P6428" s="8" t="s">
        <v>28564</v>
      </c>
      <c r="Q6428" s="8">
        <f>+(25+29/60+38/3600)</f>
        <v>25.49388888888889</v>
      </c>
      <c r="R6428" s="8">
        <v>13.3</v>
      </c>
      <c r="S6428" s="8">
        <v>14.3</v>
      </c>
      <c r="T6428" s="8">
        <v>1</v>
      </c>
      <c r="U6428" s="8">
        <v>13.1</v>
      </c>
      <c r="V6428" s="8">
        <v>1.6</v>
      </c>
      <c r="W6428" s="8">
        <v>0.6</v>
      </c>
      <c r="X6428" s="8">
        <v>36</v>
      </c>
      <c r="Y6428" s="8" t="s">
        <v>1948</v>
      </c>
      <c r="Z6428" s="8" t="s">
        <v>1949</v>
      </c>
    </row>
    <row r="6429" spans="1:26" x14ac:dyDescent="0.2">
      <c r="A6429" s="8">
        <v>6428</v>
      </c>
      <c r="B6429" s="8" t="s">
        <v>28565</v>
      </c>
      <c r="C6429" s="8" t="s">
        <v>28565</v>
      </c>
      <c r="F6429" s="47"/>
      <c r="G6429" s="8">
        <v>19</v>
      </c>
      <c r="H6429" s="8" t="s">
        <v>21</v>
      </c>
      <c r="I6429" s="8" t="s">
        <v>72</v>
      </c>
      <c r="J6429" s="8" t="s">
        <v>72</v>
      </c>
      <c r="K6429" s="8" t="s">
        <v>73</v>
      </c>
      <c r="L6429" s="8" t="s">
        <v>26804</v>
      </c>
      <c r="M6429" s="8" t="s">
        <v>26805</v>
      </c>
      <c r="N6429" s="8" t="s">
        <v>28566</v>
      </c>
      <c r="O6429" s="8">
        <f>17+43/60+52.4/3600</f>
        <v>17.731222222222222</v>
      </c>
      <c r="P6429" s="8" t="s">
        <v>28567</v>
      </c>
      <c r="Q6429" s="8">
        <f>+(25+33/60+18/3600)</f>
        <v>25.555</v>
      </c>
      <c r="R6429" s="8">
        <v>99</v>
      </c>
      <c r="S6429" s="8">
        <v>99</v>
      </c>
      <c r="T6429" s="8">
        <v>99</v>
      </c>
      <c r="U6429" s="8">
        <v>99</v>
      </c>
      <c r="Y6429" s="8" t="s">
        <v>12012</v>
      </c>
      <c r="Z6429" s="8" t="s">
        <v>12013</v>
      </c>
    </row>
    <row r="6430" spans="1:26" x14ac:dyDescent="0.2">
      <c r="A6430" s="8">
        <v>6429</v>
      </c>
      <c r="B6430" s="8" t="s">
        <v>28568</v>
      </c>
      <c r="C6430" s="8" t="s">
        <v>28568</v>
      </c>
      <c r="F6430" s="47"/>
      <c r="G6430" s="8">
        <v>18</v>
      </c>
      <c r="H6430" s="8" t="s">
        <v>21</v>
      </c>
      <c r="I6430" s="8" t="s">
        <v>22</v>
      </c>
      <c r="J6430" s="8" t="s">
        <v>22</v>
      </c>
      <c r="K6430" s="8" t="s">
        <v>154</v>
      </c>
      <c r="L6430" s="8" t="s">
        <v>26804</v>
      </c>
      <c r="M6430" s="8" t="s">
        <v>26805</v>
      </c>
      <c r="N6430" s="8" t="s">
        <v>28569</v>
      </c>
      <c r="O6430" s="8">
        <f>17+44/60+5.3/3600</f>
        <v>17.734805555555557</v>
      </c>
      <c r="P6430" s="8" t="s">
        <v>28570</v>
      </c>
      <c r="Q6430" s="8">
        <f>+(25+21/60+3/3600)</f>
        <v>25.350833333333334</v>
      </c>
      <c r="R6430" s="8">
        <v>13.1</v>
      </c>
      <c r="S6430" s="8">
        <v>14</v>
      </c>
      <c r="T6430" s="8">
        <v>0.9</v>
      </c>
      <c r="U6430" s="8">
        <v>13.1</v>
      </c>
      <c r="V6430" s="8">
        <v>1.8</v>
      </c>
      <c r="W6430" s="8">
        <v>0.7</v>
      </c>
      <c r="X6430" s="8">
        <v>23</v>
      </c>
      <c r="Y6430" s="8" t="s">
        <v>2513</v>
      </c>
      <c r="Z6430" s="8" t="s">
        <v>2514</v>
      </c>
    </row>
    <row r="6431" spans="1:26" x14ac:dyDescent="0.2">
      <c r="A6431" s="8">
        <v>6430</v>
      </c>
      <c r="B6431" s="8" t="s">
        <v>28571</v>
      </c>
      <c r="C6431" s="8" t="s">
        <v>28571</v>
      </c>
      <c r="F6431" s="47"/>
      <c r="G6431" s="8">
        <v>18</v>
      </c>
      <c r="H6431" s="8" t="s">
        <v>21</v>
      </c>
      <c r="I6431" s="8" t="s">
        <v>22</v>
      </c>
      <c r="J6431" s="8" t="s">
        <v>22</v>
      </c>
      <c r="K6431" s="8" t="s">
        <v>31</v>
      </c>
      <c r="L6431" s="8" t="s">
        <v>26804</v>
      </c>
      <c r="M6431" s="8" t="s">
        <v>26805</v>
      </c>
      <c r="N6431" s="8" t="s">
        <v>28572</v>
      </c>
      <c r="O6431" s="8">
        <f>17+45/60+14.2/3600</f>
        <v>17.753944444444443</v>
      </c>
      <c r="P6431" s="8" t="s">
        <v>28573</v>
      </c>
      <c r="Q6431" s="8">
        <f>+(18+8/60+20/3600)</f>
        <v>18.138888888888889</v>
      </c>
      <c r="R6431" s="8">
        <v>13.5</v>
      </c>
      <c r="S6431" s="8">
        <v>14.3</v>
      </c>
      <c r="T6431" s="8">
        <v>0.8</v>
      </c>
      <c r="U6431" s="8">
        <v>13.2</v>
      </c>
      <c r="V6431" s="8">
        <v>1.9</v>
      </c>
      <c r="W6431" s="8">
        <v>0.6</v>
      </c>
      <c r="X6431" s="8">
        <v>97</v>
      </c>
      <c r="Y6431" s="8" t="s">
        <v>11661</v>
      </c>
      <c r="Z6431" s="8" t="s">
        <v>11662</v>
      </c>
    </row>
    <row r="6432" spans="1:26" x14ac:dyDescent="0.2">
      <c r="A6432" s="8">
        <v>6431</v>
      </c>
      <c r="B6432" s="8" t="s">
        <v>28574</v>
      </c>
      <c r="C6432" s="8" t="s">
        <v>28574</v>
      </c>
      <c r="F6432" s="47"/>
      <c r="G6432" s="8">
        <v>18</v>
      </c>
      <c r="H6432" s="8" t="s">
        <v>21</v>
      </c>
      <c r="I6432" s="8" t="s">
        <v>22</v>
      </c>
      <c r="J6432" s="8" t="s">
        <v>57</v>
      </c>
      <c r="K6432" s="8" t="s">
        <v>58</v>
      </c>
      <c r="L6432" s="8" t="s">
        <v>26804</v>
      </c>
      <c r="M6432" s="8" t="s">
        <v>26805</v>
      </c>
      <c r="N6432" s="8" t="s">
        <v>28563</v>
      </c>
      <c r="O6432" s="8">
        <f>17+43/60+38.5/3600</f>
        <v>17.727361111111108</v>
      </c>
      <c r="P6432" s="8" t="s">
        <v>28564</v>
      </c>
      <c r="Q6432" s="8">
        <f>+(25+29/60+38/3600)</f>
        <v>25.49388888888889</v>
      </c>
      <c r="R6432" s="8">
        <v>13.3</v>
      </c>
      <c r="S6432" s="8">
        <v>14.3</v>
      </c>
      <c r="T6432" s="8">
        <v>1</v>
      </c>
      <c r="U6432" s="8">
        <v>13.1</v>
      </c>
      <c r="V6432" s="8">
        <v>1.6</v>
      </c>
      <c r="W6432" s="8">
        <v>0.6</v>
      </c>
      <c r="X6432" s="8">
        <v>36</v>
      </c>
      <c r="Y6432" s="8" t="s">
        <v>1948</v>
      </c>
      <c r="Z6432" s="8" t="s">
        <v>422</v>
      </c>
    </row>
    <row r="6433" spans="1:26" x14ac:dyDescent="0.2">
      <c r="A6433" s="8">
        <v>6432</v>
      </c>
      <c r="B6433" s="8" t="s">
        <v>28575</v>
      </c>
      <c r="C6433" s="8" t="s">
        <v>28575</v>
      </c>
      <c r="F6433" s="47"/>
      <c r="G6433" s="8">
        <v>16</v>
      </c>
      <c r="H6433" s="8" t="s">
        <v>21</v>
      </c>
      <c r="I6433" s="8" t="s">
        <v>72</v>
      </c>
      <c r="J6433" s="8" t="s">
        <v>72</v>
      </c>
      <c r="K6433" s="8" t="s">
        <v>5802</v>
      </c>
      <c r="L6433" s="8" t="s">
        <v>28576</v>
      </c>
      <c r="M6433" s="8" t="s">
        <v>28577</v>
      </c>
      <c r="N6433" s="8" t="s">
        <v>28578</v>
      </c>
      <c r="O6433" s="8">
        <f>17+47/60+22.4/3600</f>
        <v>17.789555555555559</v>
      </c>
      <c r="P6433" s="8" t="s">
        <v>28579</v>
      </c>
      <c r="Q6433" s="8">
        <f>-(24+53/60+16/3600)</f>
        <v>-24.887777777777778</v>
      </c>
      <c r="R6433" s="8">
        <v>99</v>
      </c>
      <c r="S6433" s="8">
        <v>99</v>
      </c>
      <c r="T6433" s="8">
        <v>99</v>
      </c>
      <c r="U6433" s="8">
        <v>99</v>
      </c>
      <c r="Y6433" s="8" t="s">
        <v>28580</v>
      </c>
      <c r="Z6433" s="8" t="s">
        <v>28581</v>
      </c>
    </row>
    <row r="6434" spans="1:26" x14ac:dyDescent="0.2">
      <c r="A6434" s="8">
        <v>6433</v>
      </c>
      <c r="B6434" s="8" t="s">
        <v>28582</v>
      </c>
      <c r="C6434" s="8" t="s">
        <v>28582</v>
      </c>
      <c r="F6434" s="47"/>
      <c r="G6434" s="8">
        <v>18</v>
      </c>
      <c r="H6434" s="8" t="s">
        <v>21</v>
      </c>
      <c r="I6434" s="8" t="s">
        <v>22</v>
      </c>
      <c r="J6434" s="8" t="s">
        <v>22</v>
      </c>
      <c r="K6434" s="8" t="s">
        <v>23</v>
      </c>
      <c r="L6434" s="8" t="s">
        <v>26804</v>
      </c>
      <c r="M6434" s="8" t="s">
        <v>26805</v>
      </c>
      <c r="N6434" s="8" t="s">
        <v>28583</v>
      </c>
      <c r="O6434" s="8">
        <f>17+43/60+56.2/3600</f>
        <v>17.732277777777774</v>
      </c>
      <c r="P6434" s="8" t="s">
        <v>28584</v>
      </c>
      <c r="Q6434" s="8">
        <f>+(36+48/60+2/3600)</f>
        <v>36.800555555555555</v>
      </c>
      <c r="R6434" s="8">
        <v>13.3</v>
      </c>
      <c r="S6434" s="8">
        <v>14.1</v>
      </c>
      <c r="T6434" s="8">
        <v>0.8</v>
      </c>
      <c r="U6434" s="8">
        <v>13.2</v>
      </c>
      <c r="V6434" s="8">
        <v>2</v>
      </c>
      <c r="W6434" s="8">
        <v>0.5</v>
      </c>
      <c r="X6434" s="8">
        <v>163</v>
      </c>
      <c r="Y6434" s="8" t="s">
        <v>28585</v>
      </c>
      <c r="Z6434" s="8" t="s">
        <v>28586</v>
      </c>
    </row>
    <row r="6435" spans="1:26" x14ac:dyDescent="0.2">
      <c r="A6435" s="8">
        <v>6434</v>
      </c>
      <c r="B6435" s="8" t="s">
        <v>28587</v>
      </c>
      <c r="C6435" s="8" t="s">
        <v>28587</v>
      </c>
      <c r="F6435" s="47" t="s">
        <v>58195</v>
      </c>
      <c r="G6435" s="8">
        <v>15</v>
      </c>
      <c r="H6435" s="8" t="s">
        <v>21</v>
      </c>
      <c r="I6435" s="8" t="s">
        <v>22</v>
      </c>
      <c r="J6435" s="8" t="s">
        <v>22</v>
      </c>
      <c r="K6435" s="8" t="s">
        <v>85</v>
      </c>
      <c r="L6435" s="8" t="s">
        <v>13395</v>
      </c>
      <c r="M6435" s="8" t="s">
        <v>13396</v>
      </c>
      <c r="N6435" s="8" t="s">
        <v>28588</v>
      </c>
      <c r="O6435" s="8">
        <f>17+36/60+48.8/3600</f>
        <v>17.613555555555557</v>
      </c>
      <c r="P6435" s="8" t="s">
        <v>28589</v>
      </c>
      <c r="Q6435" s="8">
        <f>+(72+5/60+18/3600)</f>
        <v>72.088333333333324</v>
      </c>
      <c r="R6435" s="8">
        <v>12.4</v>
      </c>
      <c r="S6435" s="8">
        <v>13.2</v>
      </c>
      <c r="T6435" s="8">
        <v>0.8</v>
      </c>
      <c r="U6435" s="8">
        <v>13.2</v>
      </c>
      <c r="V6435" s="8">
        <v>2.2999999999999998</v>
      </c>
      <c r="W6435" s="8">
        <v>1</v>
      </c>
      <c r="X6435" s="8">
        <v>100</v>
      </c>
      <c r="Y6435" s="8" t="s">
        <v>28590</v>
      </c>
      <c r="Z6435" s="8" t="s">
        <v>28591</v>
      </c>
    </row>
    <row r="6436" spans="1:26" x14ac:dyDescent="0.2">
      <c r="A6436" s="8">
        <v>6435</v>
      </c>
      <c r="B6436" s="8" t="s">
        <v>28592</v>
      </c>
      <c r="C6436" s="8" t="s">
        <v>28592</v>
      </c>
      <c r="F6436" s="47"/>
      <c r="G6436" s="8">
        <v>19</v>
      </c>
      <c r="H6436" s="8" t="s">
        <v>21</v>
      </c>
      <c r="I6436" s="8" t="s">
        <v>22</v>
      </c>
      <c r="J6436" s="8" t="s">
        <v>22</v>
      </c>
      <c r="K6436" s="8" t="s">
        <v>424</v>
      </c>
      <c r="L6436" s="8" t="s">
        <v>13395</v>
      </c>
      <c r="M6436" s="8" t="s">
        <v>13396</v>
      </c>
      <c r="N6436" s="8" t="s">
        <v>28593</v>
      </c>
      <c r="O6436" s="8">
        <f>17+40/60+11.1/3600</f>
        <v>17.669750000000001</v>
      </c>
      <c r="P6436" s="8" t="s">
        <v>28594</v>
      </c>
      <c r="Q6436" s="8">
        <f>+(62+38/60+31/3600)</f>
        <v>62.641944444444441</v>
      </c>
      <c r="R6436" s="8">
        <v>13.9</v>
      </c>
      <c r="S6436" s="8">
        <v>14.9</v>
      </c>
      <c r="T6436" s="8">
        <v>1</v>
      </c>
      <c r="U6436" s="8">
        <v>13.3</v>
      </c>
      <c r="V6436" s="8">
        <v>1.1000000000000001</v>
      </c>
      <c r="W6436" s="8">
        <v>0.6</v>
      </c>
      <c r="X6436" s="8">
        <v>5</v>
      </c>
      <c r="Y6436" s="8" t="s">
        <v>28595</v>
      </c>
      <c r="Z6436" s="8" t="s">
        <v>28596</v>
      </c>
    </row>
    <row r="6437" spans="1:26" x14ac:dyDescent="0.2">
      <c r="A6437" s="8">
        <v>6436</v>
      </c>
      <c r="B6437" s="8" t="s">
        <v>28597</v>
      </c>
      <c r="C6437" s="8" t="s">
        <v>28597</v>
      </c>
      <c r="F6437" s="47"/>
      <c r="G6437" s="8">
        <v>19</v>
      </c>
      <c r="H6437" s="8" t="s">
        <v>21</v>
      </c>
      <c r="I6437" s="8" t="s">
        <v>22</v>
      </c>
      <c r="J6437" s="8" t="s">
        <v>22</v>
      </c>
      <c r="K6437" s="8" t="s">
        <v>160</v>
      </c>
      <c r="L6437" s="8" t="s">
        <v>13395</v>
      </c>
      <c r="M6437" s="8" t="s">
        <v>13396</v>
      </c>
      <c r="N6437" s="8" t="s">
        <v>28598</v>
      </c>
      <c r="O6437" s="8">
        <f>17+41/60+13.2/3600</f>
        <v>17.687000000000001</v>
      </c>
      <c r="P6437" s="8" t="s">
        <v>28599</v>
      </c>
      <c r="Q6437" s="8">
        <f>+(60+26/60+59/3600)</f>
        <v>60.449722222222221</v>
      </c>
      <c r="R6437" s="8">
        <v>14</v>
      </c>
      <c r="S6437" s="8">
        <v>14.7</v>
      </c>
      <c r="T6437" s="8">
        <v>0.7</v>
      </c>
      <c r="U6437" s="8">
        <v>14</v>
      </c>
      <c r="V6437" s="8">
        <v>1.4</v>
      </c>
      <c r="W6437" s="8">
        <v>0.8</v>
      </c>
      <c r="X6437" s="8">
        <v>177</v>
      </c>
      <c r="Y6437" s="8" t="s">
        <v>28600</v>
      </c>
      <c r="Z6437" s="8" t="s">
        <v>28601</v>
      </c>
    </row>
    <row r="6438" spans="1:26" x14ac:dyDescent="0.2">
      <c r="A6438" s="8">
        <v>6437</v>
      </c>
      <c r="B6438" s="8" t="s">
        <v>28602</v>
      </c>
      <c r="C6438" s="8" t="s">
        <v>28602</v>
      </c>
      <c r="F6438" s="47"/>
      <c r="G6438" s="8">
        <v>16</v>
      </c>
      <c r="H6438" s="8" t="s">
        <v>21</v>
      </c>
      <c r="I6438" s="8" t="s">
        <v>72</v>
      </c>
      <c r="J6438" s="8" t="s">
        <v>72</v>
      </c>
      <c r="K6438" s="8" t="s">
        <v>1405</v>
      </c>
      <c r="L6438" s="8" t="s">
        <v>26735</v>
      </c>
      <c r="M6438" s="8" t="s">
        <v>26736</v>
      </c>
      <c r="N6438" s="8" t="s">
        <v>28603</v>
      </c>
      <c r="O6438" s="8">
        <f>17+48/60+24/3600</f>
        <v>17.806666666666668</v>
      </c>
      <c r="P6438" s="8" t="s">
        <v>28604</v>
      </c>
      <c r="Q6438" s="8">
        <f>-(35+21/60+0/3600)</f>
        <v>-35.35</v>
      </c>
      <c r="R6438" s="8">
        <v>99</v>
      </c>
      <c r="S6438" s="8">
        <v>99</v>
      </c>
      <c r="T6438" s="8">
        <v>99</v>
      </c>
      <c r="U6438" s="8">
        <v>99</v>
      </c>
      <c r="V6438" s="8">
        <v>40</v>
      </c>
      <c r="Y6438" s="8" t="s">
        <v>28605</v>
      </c>
      <c r="Z6438" s="8" t="s">
        <v>28606</v>
      </c>
    </row>
    <row r="6439" spans="1:26" x14ac:dyDescent="0.2">
      <c r="A6439" s="8">
        <v>6438</v>
      </c>
      <c r="B6439" s="8" t="s">
        <v>28607</v>
      </c>
      <c r="C6439" s="8" t="s">
        <v>28607</v>
      </c>
      <c r="F6439" s="47"/>
      <c r="G6439" s="8">
        <v>16</v>
      </c>
      <c r="H6439" s="8" t="s">
        <v>21</v>
      </c>
      <c r="I6439" s="8" t="s">
        <v>22</v>
      </c>
      <c r="J6439" s="8" t="s">
        <v>22</v>
      </c>
      <c r="K6439" s="8" t="s">
        <v>37</v>
      </c>
      <c r="L6439" s="8" t="s">
        <v>11890</v>
      </c>
      <c r="M6439" s="8" t="s">
        <v>11891</v>
      </c>
      <c r="N6439" s="8" t="s">
        <v>28608</v>
      </c>
      <c r="O6439" s="8">
        <f>18+22/60+15.9/3600</f>
        <v>18.371083333333335</v>
      </c>
      <c r="P6439" s="8" t="s">
        <v>28609</v>
      </c>
      <c r="Q6439" s="8">
        <f>-(85+24/60+6/3600)</f>
        <v>-85.401666666666671</v>
      </c>
      <c r="R6439" s="8">
        <v>11.7</v>
      </c>
      <c r="S6439" s="8">
        <v>12.7</v>
      </c>
      <c r="T6439" s="8">
        <v>1</v>
      </c>
      <c r="U6439" s="8">
        <v>12.5</v>
      </c>
      <c r="V6439" s="8">
        <v>1.6</v>
      </c>
      <c r="W6439" s="8">
        <v>1.4</v>
      </c>
      <c r="X6439" s="8">
        <v>156</v>
      </c>
      <c r="Y6439" s="8" t="s">
        <v>28610</v>
      </c>
      <c r="Z6439" s="8" t="s">
        <v>28611</v>
      </c>
    </row>
    <row r="6440" spans="1:26" x14ac:dyDescent="0.2">
      <c r="A6440" s="8">
        <v>6439</v>
      </c>
      <c r="B6440" s="8" t="s">
        <v>28612</v>
      </c>
      <c r="C6440" s="8" t="s">
        <v>28612</v>
      </c>
      <c r="F6440" s="47"/>
      <c r="G6440" s="8">
        <v>13</v>
      </c>
      <c r="H6440" s="8" t="s">
        <v>21</v>
      </c>
      <c r="I6440" s="8" t="s">
        <v>241</v>
      </c>
      <c r="J6440" s="8" t="s">
        <v>241</v>
      </c>
      <c r="K6440" s="8" t="s">
        <v>241</v>
      </c>
      <c r="L6440" s="8" t="s">
        <v>28576</v>
      </c>
      <c r="M6440" s="8" t="s">
        <v>28577</v>
      </c>
      <c r="N6440" s="8" t="s">
        <v>28613</v>
      </c>
      <c r="O6440" s="8">
        <f>17+48/60+19.8/3600</f>
        <v>17.805500000000002</v>
      </c>
      <c r="P6440" s="8" t="s">
        <v>28614</v>
      </c>
      <c r="Q6440" s="8">
        <f>-(16+28/60+44/3600)</f>
        <v>-16.478888888888886</v>
      </c>
      <c r="R6440" s="8">
        <v>12.6</v>
      </c>
      <c r="S6440" s="8">
        <v>13.8</v>
      </c>
      <c r="T6440" s="8">
        <v>99</v>
      </c>
      <c r="U6440" s="8">
        <v>99</v>
      </c>
      <c r="V6440" s="8">
        <v>0.23</v>
      </c>
      <c r="Y6440" s="8" t="s">
        <v>28615</v>
      </c>
      <c r="Z6440" s="8" t="s">
        <v>28616</v>
      </c>
    </row>
    <row r="6441" spans="1:26" x14ac:dyDescent="0.2">
      <c r="A6441" s="8">
        <v>6440</v>
      </c>
      <c r="B6441" s="8" t="s">
        <v>28617</v>
      </c>
      <c r="C6441" s="8" t="s">
        <v>28617</v>
      </c>
      <c r="F6441" s="47" t="s">
        <v>58196</v>
      </c>
      <c r="G6441" s="8">
        <v>3</v>
      </c>
      <c r="H6441" s="8" t="s">
        <v>21</v>
      </c>
      <c r="I6441" s="8" t="s">
        <v>567</v>
      </c>
      <c r="J6441" s="8" t="s">
        <v>567</v>
      </c>
      <c r="K6441" s="8" t="s">
        <v>8821</v>
      </c>
      <c r="L6441" s="8" t="s">
        <v>28576</v>
      </c>
      <c r="M6441" s="8" t="s">
        <v>28577</v>
      </c>
      <c r="N6441" s="8" t="s">
        <v>28618</v>
      </c>
      <c r="O6441" s="8">
        <f>17+48/60+52.6/3600</f>
        <v>17.814611111111113</v>
      </c>
      <c r="P6441" s="8" t="s">
        <v>28619</v>
      </c>
      <c r="Q6441" s="8">
        <f>-(20+21/60+32/3600)</f>
        <v>-20.358888888888892</v>
      </c>
      <c r="R6441" s="8">
        <v>9.3000000000000007</v>
      </c>
      <c r="S6441" s="8">
        <v>99</v>
      </c>
      <c r="T6441" s="8">
        <v>99</v>
      </c>
      <c r="U6441" s="8">
        <v>99</v>
      </c>
      <c r="V6441" s="8">
        <v>4.4000000000000004</v>
      </c>
      <c r="Y6441" s="8" t="s">
        <v>9013</v>
      </c>
      <c r="Z6441" s="8" t="s">
        <v>9014</v>
      </c>
    </row>
    <row r="6442" spans="1:26" x14ac:dyDescent="0.2">
      <c r="A6442" s="8">
        <v>6441</v>
      </c>
      <c r="B6442" s="8" t="s">
        <v>28620</v>
      </c>
      <c r="C6442" s="8" t="s">
        <v>28620</v>
      </c>
      <c r="F6442" s="47"/>
      <c r="G6442" s="8">
        <v>3</v>
      </c>
      <c r="H6442" s="8" t="s">
        <v>28621</v>
      </c>
      <c r="I6442" s="8" t="s">
        <v>567</v>
      </c>
      <c r="J6442" s="8" t="s">
        <v>567</v>
      </c>
      <c r="K6442" s="8" t="s">
        <v>568</v>
      </c>
      <c r="L6442" s="8" t="s">
        <v>26735</v>
      </c>
      <c r="M6442" s="8" t="s">
        <v>26736</v>
      </c>
      <c r="N6442" s="8" t="s">
        <v>28622</v>
      </c>
      <c r="O6442" s="8">
        <f>17+50/60+12.9/3600</f>
        <v>17.836916666666667</v>
      </c>
      <c r="P6442" s="8" t="s">
        <v>28623</v>
      </c>
      <c r="Q6442" s="8">
        <f>-(37+3/60+2/3600)</f>
        <v>-37.050555555555555</v>
      </c>
      <c r="R6442" s="8">
        <v>7.2</v>
      </c>
      <c r="S6442" s="8">
        <v>99</v>
      </c>
      <c r="T6442" s="8">
        <v>99</v>
      </c>
      <c r="U6442" s="8">
        <v>99</v>
      </c>
      <c r="V6442" s="8">
        <v>9.6</v>
      </c>
      <c r="Y6442" s="8" t="s">
        <v>28624</v>
      </c>
      <c r="Z6442" s="8" t="s">
        <v>28625</v>
      </c>
    </row>
    <row r="6443" spans="1:26" x14ac:dyDescent="0.2">
      <c r="A6443" s="8">
        <v>6442</v>
      </c>
      <c r="B6443" s="8" t="s">
        <v>28626</v>
      </c>
      <c r="C6443" s="8" t="s">
        <v>28626</v>
      </c>
      <c r="F6443" s="47"/>
      <c r="G6443" s="8">
        <v>18</v>
      </c>
      <c r="H6443" s="8" t="s">
        <v>21</v>
      </c>
      <c r="I6443" s="8" t="s">
        <v>22</v>
      </c>
      <c r="J6443" s="8" t="s">
        <v>22</v>
      </c>
      <c r="K6443" s="8" t="s">
        <v>183</v>
      </c>
      <c r="L6443" s="8" t="s">
        <v>26804</v>
      </c>
      <c r="M6443" s="8" t="s">
        <v>26805</v>
      </c>
      <c r="N6443" s="8" t="s">
        <v>28627</v>
      </c>
      <c r="O6443" s="8">
        <f>17+46/60+51.3/3600</f>
        <v>17.780916666666666</v>
      </c>
      <c r="P6443" s="8" t="s">
        <v>28628</v>
      </c>
      <c r="Q6443" s="8">
        <f>+(20+45/60+42/3600)</f>
        <v>20.761666666666667</v>
      </c>
      <c r="R6443" s="8">
        <v>12.6</v>
      </c>
      <c r="S6443" s="8">
        <v>13.6</v>
      </c>
      <c r="T6443" s="8">
        <v>1</v>
      </c>
      <c r="U6443" s="8">
        <v>13.7</v>
      </c>
      <c r="V6443" s="8">
        <v>1.8</v>
      </c>
      <c r="W6443" s="8">
        <v>1.6</v>
      </c>
      <c r="X6443" s="8">
        <v>120</v>
      </c>
      <c r="Y6443" s="8" t="s">
        <v>5056</v>
      </c>
      <c r="Z6443" s="8" t="s">
        <v>5057</v>
      </c>
    </row>
    <row r="6444" spans="1:26" x14ac:dyDescent="0.2">
      <c r="A6444" s="8">
        <v>6443</v>
      </c>
      <c r="B6444" s="8" t="s">
        <v>28629</v>
      </c>
      <c r="C6444" s="8" t="s">
        <v>28629</v>
      </c>
      <c r="F6444" s="47"/>
      <c r="G6444" s="8">
        <v>19</v>
      </c>
      <c r="H6444" s="8" t="s">
        <v>21</v>
      </c>
      <c r="I6444" s="8" t="s">
        <v>22</v>
      </c>
      <c r="J6444" s="8" t="s">
        <v>22</v>
      </c>
      <c r="K6444" s="8" t="s">
        <v>31</v>
      </c>
      <c r="L6444" s="8" t="s">
        <v>26804</v>
      </c>
      <c r="M6444" s="8" t="s">
        <v>26805</v>
      </c>
      <c r="N6444" s="8" t="s">
        <v>28630</v>
      </c>
      <c r="O6444" s="8">
        <f>17+44/60+33.7/3600</f>
        <v>17.742694444444446</v>
      </c>
      <c r="P6444" s="8" t="s">
        <v>28631</v>
      </c>
      <c r="Q6444" s="8">
        <f>+(48+6/60+52/3600)</f>
        <v>48.114444444444445</v>
      </c>
      <c r="R6444" s="8">
        <v>13.8</v>
      </c>
      <c r="S6444" s="8">
        <v>14.6</v>
      </c>
      <c r="T6444" s="8">
        <v>0.8</v>
      </c>
      <c r="U6444" s="8">
        <v>13.1</v>
      </c>
      <c r="V6444" s="8">
        <v>1.2</v>
      </c>
      <c r="W6444" s="8">
        <v>0.5</v>
      </c>
      <c r="X6444" s="8">
        <v>128</v>
      </c>
      <c r="Y6444" s="8" t="s">
        <v>1348</v>
      </c>
      <c r="Z6444" s="8" t="s">
        <v>1349</v>
      </c>
    </row>
    <row r="6445" spans="1:26" x14ac:dyDescent="0.2">
      <c r="A6445" s="8">
        <v>6444</v>
      </c>
      <c r="B6445" s="8" t="s">
        <v>28632</v>
      </c>
      <c r="C6445" s="8" t="s">
        <v>28632</v>
      </c>
      <c r="F6445" s="47"/>
      <c r="G6445" s="8">
        <v>9</v>
      </c>
      <c r="H6445" s="8" t="s">
        <v>21</v>
      </c>
      <c r="I6445" s="8" t="s">
        <v>557</v>
      </c>
      <c r="J6445" s="8" t="s">
        <v>557</v>
      </c>
      <c r="K6445" s="8" t="s">
        <v>3217</v>
      </c>
      <c r="L6445" s="8" t="s">
        <v>26735</v>
      </c>
      <c r="M6445" s="8" t="s">
        <v>26736</v>
      </c>
      <c r="N6445" s="8" t="s">
        <v>28633</v>
      </c>
      <c r="O6445" s="8">
        <f>17+49/60+35.1/3600</f>
        <v>17.826416666666667</v>
      </c>
      <c r="P6445" s="8" t="s">
        <v>28634</v>
      </c>
      <c r="Q6445" s="8">
        <f>-(34+49/60+11/3600)</f>
        <v>-34.819722222222225</v>
      </c>
      <c r="R6445" s="8">
        <v>99</v>
      </c>
      <c r="S6445" s="8">
        <v>99</v>
      </c>
      <c r="T6445" s="8">
        <v>99</v>
      </c>
      <c r="U6445" s="8">
        <v>99</v>
      </c>
      <c r="V6445" s="8">
        <v>12</v>
      </c>
      <c r="Y6445" s="8" t="s">
        <v>28635</v>
      </c>
      <c r="Z6445" s="8" t="s">
        <v>28636</v>
      </c>
    </row>
    <row r="6446" spans="1:26" x14ac:dyDescent="0.2">
      <c r="A6446" s="8">
        <v>6445</v>
      </c>
      <c r="B6446" s="8" t="s">
        <v>28637</v>
      </c>
      <c r="C6446" s="8" t="s">
        <v>28637</v>
      </c>
      <c r="F6446" s="47" t="s">
        <v>58197</v>
      </c>
      <c r="G6446" s="8">
        <v>3</v>
      </c>
      <c r="H6446" s="8" t="s">
        <v>28638</v>
      </c>
      <c r="I6446" s="8" t="s">
        <v>241</v>
      </c>
      <c r="J6446" s="8" t="s">
        <v>241</v>
      </c>
      <c r="K6446" s="8" t="s">
        <v>241</v>
      </c>
      <c r="L6446" s="8" t="s">
        <v>28576</v>
      </c>
      <c r="M6446" s="8" t="s">
        <v>28577</v>
      </c>
      <c r="N6446" s="8" t="s">
        <v>28639</v>
      </c>
      <c r="O6446" s="8">
        <f>17+49/60+15.1/3600</f>
        <v>17.82086111111111</v>
      </c>
      <c r="P6446" s="8" t="s">
        <v>28640</v>
      </c>
      <c r="Q6446" s="8">
        <f>-(20+0/60+32/3600)</f>
        <v>-20.00888888888889</v>
      </c>
      <c r="R6446" s="8">
        <v>11.2</v>
      </c>
      <c r="S6446" s="8">
        <v>13.2</v>
      </c>
      <c r="T6446" s="8">
        <v>99</v>
      </c>
      <c r="U6446" s="8">
        <v>99</v>
      </c>
      <c r="V6446" s="8">
        <v>0.73</v>
      </c>
      <c r="Y6446" s="8" t="s">
        <v>28641</v>
      </c>
      <c r="Z6446" s="8" t="s">
        <v>28642</v>
      </c>
    </row>
    <row r="6447" spans="1:26" x14ac:dyDescent="0.2">
      <c r="A6447" s="8">
        <v>6446</v>
      </c>
      <c r="B6447" s="8" t="s">
        <v>28643</v>
      </c>
      <c r="C6447" s="8" t="s">
        <v>28643</v>
      </c>
      <c r="F6447" s="47"/>
      <c r="G6447" s="8">
        <v>18</v>
      </c>
      <c r="H6447" s="8" t="s">
        <v>21</v>
      </c>
      <c r="I6447" s="8" t="s">
        <v>22</v>
      </c>
      <c r="J6447" s="8" t="s">
        <v>22</v>
      </c>
      <c r="K6447" s="8" t="s">
        <v>31</v>
      </c>
      <c r="L6447" s="8" t="s">
        <v>26804</v>
      </c>
      <c r="M6447" s="8" t="s">
        <v>26805</v>
      </c>
      <c r="N6447" s="8" t="s">
        <v>28644</v>
      </c>
      <c r="O6447" s="8">
        <f>17+46/60+7.5/3600</f>
        <v>17.768750000000001</v>
      </c>
      <c r="P6447" s="8" t="s">
        <v>28645</v>
      </c>
      <c r="Q6447" s="8">
        <f>+(35+34/60+10/3600)</f>
        <v>35.56944444444445</v>
      </c>
      <c r="R6447" s="8">
        <v>15.2</v>
      </c>
      <c r="S6447" s="8">
        <v>16</v>
      </c>
      <c r="T6447" s="8">
        <v>0.8</v>
      </c>
      <c r="U6447" s="8">
        <v>14.1</v>
      </c>
      <c r="V6447" s="8">
        <v>0.7</v>
      </c>
      <c r="W6447" s="8">
        <v>0.6</v>
      </c>
      <c r="X6447" s="8">
        <v>9</v>
      </c>
      <c r="Y6447" s="8" t="s">
        <v>4418</v>
      </c>
      <c r="Z6447" s="8" t="s">
        <v>4419</v>
      </c>
    </row>
    <row r="6448" spans="1:26" x14ac:dyDescent="0.2">
      <c r="A6448" s="8">
        <v>6447</v>
      </c>
      <c r="B6448" s="8" t="s">
        <v>28646</v>
      </c>
      <c r="C6448" s="8" t="s">
        <v>28646</v>
      </c>
      <c r="F6448" s="47"/>
      <c r="G6448" s="8">
        <v>18</v>
      </c>
      <c r="H6448" s="8" t="s">
        <v>21</v>
      </c>
      <c r="I6448" s="8" t="s">
        <v>22</v>
      </c>
      <c r="J6448" s="8" t="s">
        <v>22</v>
      </c>
      <c r="K6448" s="8" t="s">
        <v>85</v>
      </c>
      <c r="L6448" s="8" t="s">
        <v>26804</v>
      </c>
      <c r="M6448" s="8" t="s">
        <v>26805</v>
      </c>
      <c r="N6448" s="8" t="s">
        <v>28647</v>
      </c>
      <c r="O6448" s="8">
        <f>17+46/60+17.1/3600</f>
        <v>17.771416666666667</v>
      </c>
      <c r="P6448" s="8" t="s">
        <v>28648</v>
      </c>
      <c r="Q6448" s="8">
        <f>+(35+34/60+20/3600)</f>
        <v>35.572222222222223</v>
      </c>
      <c r="R6448" s="8">
        <v>12.8</v>
      </c>
      <c r="S6448" s="8">
        <v>13.6</v>
      </c>
      <c r="T6448" s="8">
        <v>0.8</v>
      </c>
      <c r="U6448" s="8">
        <v>13.1</v>
      </c>
      <c r="V6448" s="8">
        <v>1.6</v>
      </c>
      <c r="W6448" s="8">
        <v>0.9</v>
      </c>
      <c r="X6448" s="8">
        <v>145</v>
      </c>
      <c r="Y6448" s="8" t="s">
        <v>170</v>
      </c>
      <c r="Z6448" s="8" t="s">
        <v>171</v>
      </c>
    </row>
    <row r="6449" spans="1:26" x14ac:dyDescent="0.2">
      <c r="A6449" s="8">
        <v>6448</v>
      </c>
      <c r="B6449" s="8" t="s">
        <v>28649</v>
      </c>
      <c r="C6449" s="8" t="s">
        <v>28649</v>
      </c>
      <c r="F6449" s="47"/>
      <c r="G6449" s="8">
        <v>19</v>
      </c>
      <c r="H6449" s="8" t="s">
        <v>21</v>
      </c>
      <c r="I6449" s="8" t="s">
        <v>329</v>
      </c>
      <c r="J6449" s="8" t="s">
        <v>329</v>
      </c>
      <c r="K6449" s="8" t="s">
        <v>329</v>
      </c>
      <c r="L6449" s="8" t="s">
        <v>13395</v>
      </c>
      <c r="M6449" s="8" t="s">
        <v>13396</v>
      </c>
      <c r="N6449" s="8" t="s">
        <v>28650</v>
      </c>
      <c r="O6449" s="8">
        <f>17+44/60+20.5/3600</f>
        <v>17.739027777777778</v>
      </c>
      <c r="P6449" s="8" t="s">
        <v>28651</v>
      </c>
      <c r="Q6449" s="8">
        <f>+(53+32/60+25/3600)</f>
        <v>53.540277777777774</v>
      </c>
      <c r="R6449" s="8">
        <v>99</v>
      </c>
      <c r="S6449" s="8">
        <v>99</v>
      </c>
      <c r="T6449" s="8">
        <v>99</v>
      </c>
      <c r="U6449" s="8">
        <v>99</v>
      </c>
      <c r="Y6449" s="8" t="s">
        <v>5343</v>
      </c>
      <c r="Z6449" s="8" t="s">
        <v>4250</v>
      </c>
    </row>
    <row r="6450" spans="1:26" x14ac:dyDescent="0.2">
      <c r="A6450" s="8">
        <v>6449</v>
      </c>
      <c r="B6450" s="8" t="s">
        <v>28652</v>
      </c>
      <c r="C6450" s="8" t="s">
        <v>28652</v>
      </c>
      <c r="F6450" s="47"/>
      <c r="G6450" s="8">
        <v>19</v>
      </c>
      <c r="H6450" s="8" t="s">
        <v>21</v>
      </c>
      <c r="I6450" s="8" t="s">
        <v>22</v>
      </c>
      <c r="J6450" s="8" t="s">
        <v>22</v>
      </c>
      <c r="K6450" s="8" t="s">
        <v>160</v>
      </c>
      <c r="L6450" s="8" t="s">
        <v>13395</v>
      </c>
      <c r="M6450" s="8" t="s">
        <v>13396</v>
      </c>
      <c r="N6450" s="8" t="s">
        <v>28653</v>
      </c>
      <c r="O6450" s="8">
        <f>17+43/60+46.6/3600</f>
        <v>17.729611111111108</v>
      </c>
      <c r="P6450" s="8" t="s">
        <v>28654</v>
      </c>
      <c r="Q6450" s="8">
        <f>+(56+48/60+15/3600)</f>
        <v>56.804166666666667</v>
      </c>
      <c r="R6450" s="8">
        <v>13.8</v>
      </c>
      <c r="S6450" s="8">
        <v>14.5</v>
      </c>
      <c r="T6450" s="8">
        <v>0.7</v>
      </c>
      <c r="U6450" s="8">
        <v>13.4</v>
      </c>
      <c r="V6450" s="8">
        <v>1</v>
      </c>
      <c r="W6450" s="8">
        <v>0.8</v>
      </c>
      <c r="X6450" s="8">
        <v>135</v>
      </c>
      <c r="Y6450" s="8" t="s">
        <v>237</v>
      </c>
      <c r="Z6450" s="8" t="s">
        <v>238</v>
      </c>
    </row>
    <row r="6451" spans="1:26" x14ac:dyDescent="0.2">
      <c r="A6451" s="8">
        <v>6450</v>
      </c>
      <c r="B6451" s="8" t="s">
        <v>28655</v>
      </c>
      <c r="C6451" s="8" t="s">
        <v>28655</v>
      </c>
      <c r="F6451" s="47"/>
      <c r="G6451" s="8">
        <v>19</v>
      </c>
      <c r="H6451" s="8" t="s">
        <v>21</v>
      </c>
      <c r="I6451" s="8" t="s">
        <v>329</v>
      </c>
      <c r="J6451" s="8" t="s">
        <v>329</v>
      </c>
      <c r="K6451" s="8" t="s">
        <v>329</v>
      </c>
      <c r="L6451" s="8" t="s">
        <v>26804</v>
      </c>
      <c r="M6451" s="8" t="s">
        <v>26805</v>
      </c>
      <c r="N6451" s="8" t="s">
        <v>28656</v>
      </c>
      <c r="O6451" s="8">
        <f>17+47/60+32.3/3600</f>
        <v>17.792305555555558</v>
      </c>
      <c r="P6451" s="8" t="s">
        <v>28657</v>
      </c>
      <c r="Q6451" s="8">
        <f>+(18+34/60+31/3600)</f>
        <v>18.575277777777778</v>
      </c>
      <c r="R6451" s="8">
        <v>99</v>
      </c>
      <c r="S6451" s="8">
        <v>99</v>
      </c>
      <c r="T6451" s="8">
        <v>99</v>
      </c>
      <c r="U6451" s="8">
        <v>99</v>
      </c>
      <c r="Y6451" s="8" t="s">
        <v>28658</v>
      </c>
      <c r="Z6451" s="8" t="s">
        <v>28659</v>
      </c>
    </row>
    <row r="6452" spans="1:26" x14ac:dyDescent="0.2">
      <c r="A6452" s="8">
        <v>6451</v>
      </c>
      <c r="B6452" s="8" t="s">
        <v>28660</v>
      </c>
      <c r="C6452" s="8" t="s">
        <v>28660</v>
      </c>
      <c r="F6452" s="47" t="s">
        <v>58198</v>
      </c>
      <c r="G6452" s="8">
        <v>6</v>
      </c>
      <c r="H6452" s="8" t="s">
        <v>28661</v>
      </c>
      <c r="I6452" s="8" t="s">
        <v>557</v>
      </c>
      <c r="J6452" s="8" t="s">
        <v>557</v>
      </c>
      <c r="K6452" s="8" t="s">
        <v>3602</v>
      </c>
      <c r="L6452" s="8" t="s">
        <v>26735</v>
      </c>
      <c r="M6452" s="8" t="s">
        <v>26736</v>
      </c>
      <c r="N6452" s="8" t="s">
        <v>28662</v>
      </c>
      <c r="O6452" s="8">
        <f>17+50/60+40.5/3600</f>
        <v>17.844583333333333</v>
      </c>
      <c r="P6452" s="8" t="s">
        <v>28663</v>
      </c>
      <c r="Q6452" s="8">
        <f>-(30+12/60+42/3600)</f>
        <v>-30.211666666666666</v>
      </c>
      <c r="R6452" s="8">
        <v>8.1999999999999993</v>
      </c>
      <c r="S6452" s="8">
        <v>99</v>
      </c>
      <c r="T6452" s="8">
        <v>99</v>
      </c>
      <c r="U6452" s="8">
        <v>99</v>
      </c>
      <c r="V6452" s="8">
        <v>8</v>
      </c>
      <c r="Y6452" s="8" t="s">
        <v>28664</v>
      </c>
      <c r="Z6452" s="8" t="s">
        <v>28665</v>
      </c>
    </row>
    <row r="6453" spans="1:26" x14ac:dyDescent="0.2">
      <c r="A6453" s="8">
        <v>6452</v>
      </c>
      <c r="B6453" s="8" t="s">
        <v>28666</v>
      </c>
      <c r="C6453" s="8" t="s">
        <v>28666</v>
      </c>
      <c r="F6453" s="47"/>
      <c r="G6453" s="8">
        <v>18</v>
      </c>
      <c r="H6453" s="8" t="s">
        <v>21</v>
      </c>
      <c r="I6453" s="8" t="s">
        <v>22</v>
      </c>
      <c r="J6453" s="8" t="s">
        <v>22</v>
      </c>
      <c r="K6453" s="8" t="s">
        <v>124</v>
      </c>
      <c r="L6453" s="8" t="s">
        <v>26804</v>
      </c>
      <c r="M6453" s="8" t="s">
        <v>26805</v>
      </c>
      <c r="N6453" s="8" t="s">
        <v>28667</v>
      </c>
      <c r="O6453" s="8">
        <f>17+47/60+58.5/3600</f>
        <v>17.799583333333334</v>
      </c>
      <c r="P6453" s="8" t="s">
        <v>28668</v>
      </c>
      <c r="Q6453" s="8">
        <f>+(20+50/60+15/3600)</f>
        <v>20.837499999999999</v>
      </c>
      <c r="R6453" s="8">
        <v>14.4</v>
      </c>
      <c r="S6453" s="8">
        <v>15.3</v>
      </c>
      <c r="T6453" s="8">
        <v>0.9</v>
      </c>
      <c r="U6453" s="8">
        <v>12.7</v>
      </c>
      <c r="V6453" s="8">
        <v>0.5</v>
      </c>
      <c r="W6453" s="8">
        <v>0.5</v>
      </c>
      <c r="Y6453" s="8" t="s">
        <v>15914</v>
      </c>
      <c r="Z6453" s="8" t="s">
        <v>15915</v>
      </c>
    </row>
    <row r="6454" spans="1:26" x14ac:dyDescent="0.2">
      <c r="A6454" s="8">
        <v>6453</v>
      </c>
      <c r="B6454" s="8" t="s">
        <v>28669</v>
      </c>
      <c r="C6454" s="8" t="s">
        <v>28669</v>
      </c>
      <c r="F6454" s="47"/>
      <c r="G6454" s="8">
        <v>10</v>
      </c>
      <c r="H6454" s="8" t="s">
        <v>21</v>
      </c>
      <c r="I6454" s="8" t="s">
        <v>567</v>
      </c>
      <c r="J6454" s="8" t="s">
        <v>567</v>
      </c>
      <c r="K6454" s="8" t="s">
        <v>25121</v>
      </c>
      <c r="L6454" s="8" t="s">
        <v>26735</v>
      </c>
      <c r="M6454" s="8" t="s">
        <v>26736</v>
      </c>
      <c r="N6454" s="8" t="s">
        <v>28670</v>
      </c>
      <c r="O6454" s="8">
        <f>17+50/60+51.8/3600</f>
        <v>17.84772222222222</v>
      </c>
      <c r="P6454" s="8" t="s">
        <v>28671</v>
      </c>
      <c r="Q6454" s="8">
        <f>-(34+35/60+53/3600)</f>
        <v>-34.598055555555561</v>
      </c>
      <c r="R6454" s="8">
        <v>10.199999999999999</v>
      </c>
      <c r="S6454" s="8">
        <v>99</v>
      </c>
      <c r="T6454" s="8">
        <v>99</v>
      </c>
      <c r="U6454" s="8">
        <v>99</v>
      </c>
      <c r="V6454" s="8">
        <v>7.6</v>
      </c>
      <c r="Y6454" s="8" t="s">
        <v>28672</v>
      </c>
      <c r="Z6454" s="8" t="s">
        <v>28673</v>
      </c>
    </row>
    <row r="6455" spans="1:26" x14ac:dyDescent="0.2">
      <c r="A6455" s="8">
        <v>6454</v>
      </c>
      <c r="B6455" s="8" t="s">
        <v>28674</v>
      </c>
      <c r="C6455" s="8" t="s">
        <v>28674</v>
      </c>
      <c r="F6455" s="47"/>
      <c r="G6455" s="8">
        <v>19</v>
      </c>
      <c r="H6455" s="8" t="s">
        <v>21</v>
      </c>
      <c r="I6455" s="8" t="s">
        <v>22</v>
      </c>
      <c r="J6455" s="8" t="s">
        <v>22</v>
      </c>
      <c r="K6455" s="8" t="s">
        <v>2572</v>
      </c>
      <c r="L6455" s="8" t="s">
        <v>13395</v>
      </c>
      <c r="M6455" s="8" t="s">
        <v>13396</v>
      </c>
      <c r="N6455" s="8" t="s">
        <v>28675</v>
      </c>
      <c r="O6455" s="8">
        <f>17+44/60+56.5/3600</f>
        <v>17.74902777777778</v>
      </c>
      <c r="P6455" s="8" t="s">
        <v>28676</v>
      </c>
      <c r="Q6455" s="8">
        <f>+(55+42/60+16/3600)</f>
        <v>55.704444444444448</v>
      </c>
      <c r="R6455" s="8">
        <v>13.6</v>
      </c>
      <c r="S6455" s="8">
        <v>14.4</v>
      </c>
      <c r="T6455" s="8">
        <v>0.8</v>
      </c>
      <c r="U6455" s="8">
        <v>12</v>
      </c>
      <c r="V6455" s="8">
        <v>1</v>
      </c>
      <c r="W6455" s="8">
        <v>0.8</v>
      </c>
      <c r="X6455" s="8">
        <v>171</v>
      </c>
      <c r="Y6455" s="8" t="s">
        <v>5343</v>
      </c>
      <c r="Z6455" s="8" t="s">
        <v>4250</v>
      </c>
    </row>
    <row r="6456" spans="1:26" x14ac:dyDescent="0.2">
      <c r="A6456" s="8">
        <v>6455</v>
      </c>
      <c r="B6456" s="8" t="s">
        <v>28677</v>
      </c>
      <c r="C6456" s="8" t="s">
        <v>28677</v>
      </c>
      <c r="F6456" s="47"/>
      <c r="G6456" s="8">
        <v>16</v>
      </c>
      <c r="H6456" s="8" t="s">
        <v>21</v>
      </c>
      <c r="I6456" s="8" t="s">
        <v>72</v>
      </c>
      <c r="J6456" s="8" t="s">
        <v>72</v>
      </c>
      <c r="K6456" s="8" t="s">
        <v>10045</v>
      </c>
      <c r="L6456" s="8" t="s">
        <v>26735</v>
      </c>
      <c r="M6456" s="8" t="s">
        <v>26736</v>
      </c>
      <c r="N6456" s="8" t="s">
        <v>28678</v>
      </c>
      <c r="O6456" s="8">
        <f>17+51/60+8/3600</f>
        <v>17.852222222222224</v>
      </c>
      <c r="P6456" s="8" t="s">
        <v>28679</v>
      </c>
      <c r="Q6456" s="8">
        <f>-(35+20/60+14/3600)</f>
        <v>-35.337222222222223</v>
      </c>
      <c r="R6456" s="8">
        <v>99</v>
      </c>
      <c r="S6456" s="8">
        <v>99</v>
      </c>
      <c r="T6456" s="8">
        <v>99</v>
      </c>
      <c r="U6456" s="8">
        <v>99</v>
      </c>
      <c r="V6456" s="8">
        <v>1</v>
      </c>
      <c r="Y6456" s="8" t="s">
        <v>28680</v>
      </c>
      <c r="Z6456" s="8" t="s">
        <v>28681</v>
      </c>
    </row>
    <row r="6457" spans="1:26" x14ac:dyDescent="0.2">
      <c r="A6457" s="8">
        <v>6456</v>
      </c>
      <c r="B6457" s="8" t="s">
        <v>28682</v>
      </c>
      <c r="C6457" s="8" t="s">
        <v>28682</v>
      </c>
      <c r="F6457" s="47"/>
      <c r="G6457" s="8">
        <v>19</v>
      </c>
      <c r="H6457" s="8" t="s">
        <v>21</v>
      </c>
      <c r="I6457" s="8" t="s">
        <v>22</v>
      </c>
      <c r="J6457" s="8" t="s">
        <v>22</v>
      </c>
      <c r="K6457" s="8" t="s">
        <v>382</v>
      </c>
      <c r="L6457" s="8" t="s">
        <v>13395</v>
      </c>
      <c r="M6457" s="8" t="s">
        <v>13396</v>
      </c>
      <c r="N6457" s="8" t="s">
        <v>28683</v>
      </c>
      <c r="O6457" s="8">
        <f>17+42/60+31.7/3600</f>
        <v>17.708805555555553</v>
      </c>
      <c r="P6457" s="8" t="s">
        <v>28684</v>
      </c>
      <c r="Q6457" s="8">
        <f>+(67+35/60+32/3600)</f>
        <v>67.592222222222219</v>
      </c>
      <c r="R6457" s="8">
        <v>14.8</v>
      </c>
      <c r="S6457" s="8">
        <v>15.8</v>
      </c>
      <c r="T6457" s="8">
        <v>1</v>
      </c>
      <c r="U6457" s="8">
        <v>13.7</v>
      </c>
      <c r="V6457" s="8">
        <v>0.8</v>
      </c>
      <c r="W6457" s="8">
        <v>0.6</v>
      </c>
      <c r="X6457" s="8">
        <v>45</v>
      </c>
      <c r="Y6457" s="8" t="s">
        <v>28685</v>
      </c>
      <c r="Z6457" s="8" t="s">
        <v>28686</v>
      </c>
    </row>
    <row r="6458" spans="1:26" x14ac:dyDescent="0.2">
      <c r="A6458" s="8">
        <v>6457</v>
      </c>
      <c r="B6458" s="8" t="s">
        <v>28687</v>
      </c>
      <c r="C6458" s="8" t="s">
        <v>28687</v>
      </c>
      <c r="F6458" s="47"/>
      <c r="G6458" s="8">
        <v>19</v>
      </c>
      <c r="H6458" s="8" t="s">
        <v>21</v>
      </c>
      <c r="I6458" s="8" t="s">
        <v>22</v>
      </c>
      <c r="J6458" s="8" t="s">
        <v>22</v>
      </c>
      <c r="K6458" s="8" t="s">
        <v>58</v>
      </c>
      <c r="L6458" s="8" t="s">
        <v>13395</v>
      </c>
      <c r="M6458" s="8" t="s">
        <v>13396</v>
      </c>
      <c r="N6458" s="8" t="s">
        <v>28688</v>
      </c>
      <c r="O6458" s="8">
        <f>17+42/60+52.7/3600</f>
        <v>17.714638888888889</v>
      </c>
      <c r="P6458" s="8" t="s">
        <v>28689</v>
      </c>
      <c r="Q6458" s="8">
        <f>+(66+28/60+34/3600)</f>
        <v>66.476111111111109</v>
      </c>
      <c r="R6458" s="8">
        <v>14.2</v>
      </c>
      <c r="S6458" s="8">
        <v>15.2</v>
      </c>
      <c r="T6458" s="8">
        <v>1</v>
      </c>
      <c r="U6458" s="8">
        <v>14.2</v>
      </c>
      <c r="V6458" s="8">
        <v>1.2</v>
      </c>
      <c r="W6458" s="8">
        <v>0.9</v>
      </c>
      <c r="X6458" s="8">
        <v>140</v>
      </c>
      <c r="Y6458" s="8" t="s">
        <v>3952</v>
      </c>
      <c r="Z6458" s="8" t="s">
        <v>3953</v>
      </c>
    </row>
    <row r="6459" spans="1:26" x14ac:dyDescent="0.2">
      <c r="A6459" s="8">
        <v>6458</v>
      </c>
      <c r="B6459" s="8" t="s">
        <v>28690</v>
      </c>
      <c r="C6459" s="8" t="s">
        <v>28690</v>
      </c>
      <c r="F6459" s="47"/>
      <c r="G6459" s="8">
        <v>18</v>
      </c>
      <c r="H6459" s="8" t="s">
        <v>21</v>
      </c>
      <c r="I6459" s="8" t="s">
        <v>22</v>
      </c>
      <c r="J6459" s="8" t="s">
        <v>22</v>
      </c>
      <c r="K6459" s="8" t="s">
        <v>37</v>
      </c>
      <c r="L6459" s="8" t="s">
        <v>26804</v>
      </c>
      <c r="M6459" s="8" t="s">
        <v>26805</v>
      </c>
      <c r="N6459" s="8" t="s">
        <v>28691</v>
      </c>
      <c r="O6459" s="8">
        <f>17+49/60+10.9/3600</f>
        <v>17.819694444444444</v>
      </c>
      <c r="P6459" s="8" t="s">
        <v>28692</v>
      </c>
      <c r="Q6459" s="8">
        <f>+(20+48/60+17/3600)</f>
        <v>20.804722222222225</v>
      </c>
      <c r="R6459" s="8">
        <v>13.4</v>
      </c>
      <c r="S6459" s="8">
        <v>14.4</v>
      </c>
      <c r="T6459" s="8">
        <v>1</v>
      </c>
      <c r="U6459" s="8">
        <v>13.4</v>
      </c>
      <c r="V6459" s="8">
        <v>1.3</v>
      </c>
      <c r="W6459" s="8">
        <v>0.9</v>
      </c>
      <c r="X6459" s="8">
        <v>155</v>
      </c>
      <c r="Y6459" s="8" t="s">
        <v>2287</v>
      </c>
      <c r="Z6459" s="8" t="s">
        <v>2288</v>
      </c>
    </row>
    <row r="6460" spans="1:26" x14ac:dyDescent="0.2">
      <c r="A6460" s="8">
        <v>6459</v>
      </c>
      <c r="B6460" s="8" t="s">
        <v>28693</v>
      </c>
      <c r="C6460" s="8" t="s">
        <v>28693</v>
      </c>
      <c r="F6460" s="47"/>
      <c r="G6460" s="8">
        <v>19</v>
      </c>
      <c r="H6460" s="8" t="s">
        <v>21</v>
      </c>
      <c r="I6460" s="8" t="s">
        <v>22</v>
      </c>
      <c r="J6460" s="8" t="s">
        <v>22</v>
      </c>
      <c r="K6460" s="8" t="s">
        <v>476</v>
      </c>
      <c r="L6460" s="8" t="s">
        <v>13395</v>
      </c>
      <c r="M6460" s="8" t="s">
        <v>13396</v>
      </c>
      <c r="N6460" s="8" t="s">
        <v>28694</v>
      </c>
      <c r="O6460" s="8">
        <f>17+45/60+47.1/3600</f>
        <v>17.763083333333334</v>
      </c>
      <c r="P6460" s="8" t="s">
        <v>28695</v>
      </c>
      <c r="Q6460" s="8">
        <f>+(55+46/60+37/3600)</f>
        <v>55.776944444444446</v>
      </c>
      <c r="R6460" s="8">
        <v>14.7</v>
      </c>
      <c r="S6460" s="8">
        <v>15.6</v>
      </c>
      <c r="T6460" s="8">
        <v>0.9</v>
      </c>
      <c r="U6460" s="8">
        <v>12.8</v>
      </c>
      <c r="V6460" s="8">
        <v>0.8</v>
      </c>
      <c r="W6460" s="8">
        <v>0.4</v>
      </c>
      <c r="X6460" s="8">
        <v>78</v>
      </c>
      <c r="Y6460" s="8" t="s">
        <v>28696</v>
      </c>
      <c r="Z6460" s="8" t="s">
        <v>28697</v>
      </c>
    </row>
    <row r="6461" spans="1:26" x14ac:dyDescent="0.2">
      <c r="A6461" s="8">
        <v>6460</v>
      </c>
      <c r="B6461" s="8" t="s">
        <v>28698</v>
      </c>
      <c r="C6461" s="8" t="s">
        <v>28698</v>
      </c>
      <c r="F6461" s="47"/>
      <c r="G6461" s="8">
        <v>18</v>
      </c>
      <c r="H6461" s="8" t="s">
        <v>21</v>
      </c>
      <c r="I6461" s="8" t="s">
        <v>22</v>
      </c>
      <c r="J6461" s="8" t="s">
        <v>22</v>
      </c>
      <c r="K6461" s="8" t="s">
        <v>160</v>
      </c>
      <c r="L6461" s="8" t="s">
        <v>26804</v>
      </c>
      <c r="M6461" s="8" t="s">
        <v>26805</v>
      </c>
      <c r="N6461" s="8" t="s">
        <v>28699</v>
      </c>
      <c r="O6461" s="8">
        <f>17+49/60+30.3/3600</f>
        <v>17.825083333333332</v>
      </c>
      <c r="P6461" s="8" t="s">
        <v>28700</v>
      </c>
      <c r="Q6461" s="8">
        <f>+(20+45/60+51/3600)</f>
        <v>20.764166666666668</v>
      </c>
      <c r="R6461" s="8">
        <v>13.1</v>
      </c>
      <c r="S6461" s="8">
        <v>13.8</v>
      </c>
      <c r="T6461" s="8">
        <v>0.7</v>
      </c>
      <c r="U6461" s="8">
        <v>13.8</v>
      </c>
      <c r="V6461" s="8">
        <v>1.9</v>
      </c>
      <c r="W6461" s="8">
        <v>1.1000000000000001</v>
      </c>
      <c r="X6461" s="8">
        <v>157</v>
      </c>
      <c r="Y6461" s="8" t="s">
        <v>13422</v>
      </c>
      <c r="Z6461" s="8" t="s">
        <v>13423</v>
      </c>
    </row>
    <row r="6462" spans="1:26" x14ac:dyDescent="0.2">
      <c r="A6462" s="8">
        <v>6461</v>
      </c>
      <c r="B6462" s="8" t="s">
        <v>28701</v>
      </c>
      <c r="C6462" s="8" t="s">
        <v>28701</v>
      </c>
      <c r="F6462" s="47"/>
      <c r="G6462" s="8">
        <v>19</v>
      </c>
      <c r="H6462" s="8" t="s">
        <v>21</v>
      </c>
      <c r="I6462" s="8" t="s">
        <v>22</v>
      </c>
      <c r="J6462" s="8" t="s">
        <v>22</v>
      </c>
      <c r="K6462" s="8" t="s">
        <v>31</v>
      </c>
      <c r="L6462" s="8" t="s">
        <v>13395</v>
      </c>
      <c r="M6462" s="8" t="s">
        <v>13396</v>
      </c>
      <c r="N6462" s="8" t="s">
        <v>28702</v>
      </c>
      <c r="O6462" s="8">
        <f>17+39/60+56.6/3600</f>
        <v>17.665722222222222</v>
      </c>
      <c r="P6462" s="8" t="s">
        <v>28703</v>
      </c>
      <c r="Q6462" s="8">
        <f>+(74+2/60+2/3600)</f>
        <v>74.033888888888882</v>
      </c>
      <c r="R6462" s="8">
        <v>15.1</v>
      </c>
      <c r="S6462" s="8">
        <v>15.9</v>
      </c>
      <c r="T6462" s="8">
        <v>0.8</v>
      </c>
      <c r="U6462" s="8">
        <v>13.7</v>
      </c>
      <c r="V6462" s="8">
        <v>0.8</v>
      </c>
      <c r="W6462" s="8">
        <v>0.4</v>
      </c>
      <c r="X6462" s="8">
        <v>20</v>
      </c>
      <c r="Y6462" s="8" t="s">
        <v>28704</v>
      </c>
      <c r="Z6462" s="8" t="s">
        <v>28705</v>
      </c>
    </row>
    <row r="6463" spans="1:26" x14ac:dyDescent="0.2">
      <c r="A6463" s="8">
        <v>6462</v>
      </c>
      <c r="B6463" s="8" t="s">
        <v>28706</v>
      </c>
      <c r="C6463" s="8" t="s">
        <v>28706</v>
      </c>
      <c r="F6463" s="47"/>
      <c r="G6463" s="8">
        <v>19</v>
      </c>
      <c r="H6463" s="8" t="s">
        <v>21</v>
      </c>
      <c r="I6463" s="8" t="s">
        <v>22</v>
      </c>
      <c r="J6463" s="8" t="s">
        <v>22</v>
      </c>
      <c r="K6463" s="8" t="s">
        <v>818</v>
      </c>
      <c r="L6463" s="8" t="s">
        <v>13395</v>
      </c>
      <c r="M6463" s="8" t="s">
        <v>13396</v>
      </c>
      <c r="N6463" s="8" t="s">
        <v>28707</v>
      </c>
      <c r="O6463" s="8">
        <f>17+44/60+48.7/3600</f>
        <v>17.746861111111112</v>
      </c>
      <c r="P6463" s="8" t="s">
        <v>28708</v>
      </c>
      <c r="Q6463" s="8">
        <f>+(61+54/60+38/3600)</f>
        <v>61.910555555555554</v>
      </c>
      <c r="R6463" s="8">
        <v>13.9</v>
      </c>
      <c r="S6463" s="8">
        <v>14.9</v>
      </c>
      <c r="T6463" s="8">
        <v>1</v>
      </c>
      <c r="U6463" s="8">
        <v>11.9</v>
      </c>
      <c r="V6463" s="8">
        <v>0.4</v>
      </c>
      <c r="W6463" s="8">
        <v>0.4</v>
      </c>
      <c r="Y6463" s="8" t="s">
        <v>28709</v>
      </c>
      <c r="Z6463" s="8" t="s">
        <v>28710</v>
      </c>
    </row>
    <row r="6464" spans="1:26" x14ac:dyDescent="0.2">
      <c r="A6464" s="8">
        <v>6463</v>
      </c>
      <c r="B6464" s="8" t="s">
        <v>28711</v>
      </c>
      <c r="C6464" s="8" t="s">
        <v>28711</v>
      </c>
      <c r="F6464" s="47"/>
      <c r="G6464" s="8">
        <v>19</v>
      </c>
      <c r="H6464" s="8" t="s">
        <v>21</v>
      </c>
      <c r="I6464" s="8" t="s">
        <v>22</v>
      </c>
      <c r="J6464" s="8" t="s">
        <v>22</v>
      </c>
      <c r="K6464" s="8" t="s">
        <v>58</v>
      </c>
      <c r="L6464" s="8" t="s">
        <v>13395</v>
      </c>
      <c r="M6464" s="8" t="s">
        <v>13396</v>
      </c>
      <c r="N6464" s="8" t="s">
        <v>28712</v>
      </c>
      <c r="O6464" s="8">
        <f>17+43/60+34.2/3600</f>
        <v>17.726166666666664</v>
      </c>
      <c r="P6464" s="8" t="s">
        <v>28713</v>
      </c>
      <c r="Q6464" s="8">
        <f>+(67+36/60+15/3600)</f>
        <v>67.604166666666657</v>
      </c>
      <c r="R6464" s="8">
        <v>14.1</v>
      </c>
      <c r="S6464" s="8">
        <v>15.1</v>
      </c>
      <c r="T6464" s="8">
        <v>1</v>
      </c>
      <c r="U6464" s="8">
        <v>13</v>
      </c>
      <c r="V6464" s="8">
        <v>0.6</v>
      </c>
      <c r="W6464" s="8">
        <v>0.6</v>
      </c>
      <c r="Y6464" s="8" t="s">
        <v>28714</v>
      </c>
      <c r="Z6464" s="8" t="s">
        <v>28715</v>
      </c>
    </row>
    <row r="6465" spans="1:26" x14ac:dyDescent="0.2">
      <c r="A6465" s="8">
        <v>6464</v>
      </c>
      <c r="B6465" s="8" t="s">
        <v>28716</v>
      </c>
      <c r="C6465" s="8" t="s">
        <v>28716</v>
      </c>
      <c r="F6465" s="47"/>
      <c r="G6465" s="8">
        <v>19</v>
      </c>
      <c r="H6465" s="8" t="s">
        <v>21</v>
      </c>
      <c r="I6465" s="8" t="s">
        <v>22</v>
      </c>
      <c r="J6465" s="8" t="s">
        <v>22</v>
      </c>
      <c r="K6465" s="8" t="s">
        <v>160</v>
      </c>
      <c r="L6465" s="8" t="s">
        <v>13395</v>
      </c>
      <c r="M6465" s="8" t="s">
        <v>13396</v>
      </c>
      <c r="N6465" s="8" t="s">
        <v>28717</v>
      </c>
      <c r="O6465" s="8">
        <f>17+45/60+47.6/3600</f>
        <v>17.763222222222222</v>
      </c>
      <c r="P6465" s="8" t="s">
        <v>28718</v>
      </c>
      <c r="Q6465" s="8">
        <f>+(60+53/60+51/3600)</f>
        <v>60.897500000000001</v>
      </c>
      <c r="R6465" s="8">
        <v>14.8</v>
      </c>
      <c r="S6465" s="8">
        <v>15.5</v>
      </c>
      <c r="T6465" s="8">
        <v>0.7</v>
      </c>
      <c r="U6465" s="8">
        <v>13.5</v>
      </c>
      <c r="V6465" s="8">
        <v>0.6</v>
      </c>
      <c r="W6465" s="8">
        <v>0.6</v>
      </c>
      <c r="Y6465" s="8" t="s">
        <v>28719</v>
      </c>
      <c r="Z6465" s="8" t="s">
        <v>28720</v>
      </c>
    </row>
    <row r="6466" spans="1:26" x14ac:dyDescent="0.2">
      <c r="A6466" s="8">
        <v>6465</v>
      </c>
      <c r="B6466" s="8" t="s">
        <v>28721</v>
      </c>
      <c r="C6466" s="8" t="s">
        <v>28721</v>
      </c>
      <c r="F6466" s="47"/>
      <c r="G6466" s="8">
        <v>16</v>
      </c>
      <c r="H6466" s="8" t="s">
        <v>21</v>
      </c>
      <c r="I6466" s="8" t="s">
        <v>72</v>
      </c>
      <c r="J6466" s="8" t="s">
        <v>72</v>
      </c>
      <c r="K6466" s="8" t="s">
        <v>1405</v>
      </c>
      <c r="L6466" s="8" t="s">
        <v>28576</v>
      </c>
      <c r="M6466" s="8" t="s">
        <v>28577</v>
      </c>
      <c r="N6466" s="8" t="s">
        <v>28722</v>
      </c>
      <c r="O6466" s="8">
        <f>17+52/60+55.4/3600</f>
        <v>17.882055555555556</v>
      </c>
      <c r="P6466" s="8" t="s">
        <v>28723</v>
      </c>
      <c r="Q6466" s="8">
        <f>-(25+23/60+50/3600)</f>
        <v>-25.397222222222222</v>
      </c>
      <c r="R6466" s="8">
        <v>99</v>
      </c>
      <c r="S6466" s="8">
        <v>99</v>
      </c>
      <c r="T6466" s="8">
        <v>99</v>
      </c>
      <c r="U6466" s="8">
        <v>99</v>
      </c>
      <c r="Y6466" s="8" t="s">
        <v>28724</v>
      </c>
      <c r="Z6466" s="8" t="s">
        <v>28725</v>
      </c>
    </row>
    <row r="6467" spans="1:26" x14ac:dyDescent="0.2">
      <c r="A6467" s="8">
        <v>6466</v>
      </c>
      <c r="B6467" s="8" t="s">
        <v>28726</v>
      </c>
      <c r="C6467" s="8" t="s">
        <v>28726</v>
      </c>
      <c r="F6467" s="47"/>
      <c r="G6467" s="8">
        <v>19</v>
      </c>
      <c r="H6467" s="8" t="s">
        <v>21</v>
      </c>
      <c r="I6467" s="8" t="s">
        <v>22</v>
      </c>
      <c r="J6467" s="8" t="s">
        <v>22</v>
      </c>
      <c r="K6467" s="8" t="s">
        <v>449</v>
      </c>
      <c r="L6467" s="8" t="s">
        <v>13395</v>
      </c>
      <c r="M6467" s="8" t="s">
        <v>13396</v>
      </c>
      <c r="N6467" s="8" t="s">
        <v>28727</v>
      </c>
      <c r="O6467" s="8">
        <f>17+48/60+8/3600</f>
        <v>17.802222222222223</v>
      </c>
      <c r="P6467" s="8" t="s">
        <v>28728</v>
      </c>
      <c r="Q6467" s="8">
        <f>+(51+23/60+58/3600)</f>
        <v>51.399444444444441</v>
      </c>
      <c r="R6467" s="8">
        <v>14.1</v>
      </c>
      <c r="S6467" s="8">
        <v>14.9</v>
      </c>
      <c r="T6467" s="8">
        <v>0.8</v>
      </c>
      <c r="U6467" s="8">
        <v>12.6</v>
      </c>
      <c r="V6467" s="8">
        <v>0.5</v>
      </c>
      <c r="W6467" s="8">
        <v>0.3</v>
      </c>
      <c r="X6467" s="8">
        <v>111</v>
      </c>
      <c r="Y6467" s="8" t="s">
        <v>7599</v>
      </c>
      <c r="Z6467" s="8" t="s">
        <v>7600</v>
      </c>
    </row>
    <row r="6468" spans="1:26" x14ac:dyDescent="0.2">
      <c r="A6468" s="8">
        <v>6467</v>
      </c>
      <c r="B6468" s="8" t="s">
        <v>28729</v>
      </c>
      <c r="C6468" s="8" t="s">
        <v>28729</v>
      </c>
      <c r="F6468" s="47"/>
      <c r="G6468" s="8">
        <v>18</v>
      </c>
      <c r="H6468" s="8" t="s">
        <v>21</v>
      </c>
      <c r="I6468" s="8" t="s">
        <v>22</v>
      </c>
      <c r="J6468" s="8" t="s">
        <v>22</v>
      </c>
      <c r="K6468" s="8" t="s">
        <v>449</v>
      </c>
      <c r="L6468" s="8" t="s">
        <v>26804</v>
      </c>
      <c r="M6468" s="8" t="s">
        <v>26805</v>
      </c>
      <c r="N6468" s="8" t="s">
        <v>28730</v>
      </c>
      <c r="O6468" s="8">
        <f>17+50/60+40.1/3600</f>
        <v>17.844472222222223</v>
      </c>
      <c r="P6468" s="8" t="s">
        <v>28731</v>
      </c>
      <c r="Q6468" s="8">
        <f>+(17+32/60+18/3600)</f>
        <v>17.538333333333334</v>
      </c>
      <c r="R6468" s="8">
        <v>12.6</v>
      </c>
      <c r="S6468" s="8">
        <v>13.5</v>
      </c>
      <c r="T6468" s="8">
        <v>0.9</v>
      </c>
      <c r="U6468" s="8">
        <v>14.1</v>
      </c>
      <c r="V6468" s="8">
        <v>2.6</v>
      </c>
      <c r="W6468" s="8">
        <v>1.7</v>
      </c>
      <c r="X6468" s="8">
        <v>77</v>
      </c>
      <c r="Y6468" s="8" t="s">
        <v>2500</v>
      </c>
      <c r="Z6468" s="8" t="s">
        <v>2501</v>
      </c>
    </row>
    <row r="6469" spans="1:26" x14ac:dyDescent="0.2">
      <c r="A6469" s="8">
        <v>6468</v>
      </c>
      <c r="B6469" s="8" t="s">
        <v>28732</v>
      </c>
      <c r="C6469" s="8" t="s">
        <v>28732</v>
      </c>
      <c r="F6469" s="47"/>
      <c r="G6469" s="8">
        <v>18</v>
      </c>
      <c r="H6469" s="8" t="s">
        <v>21</v>
      </c>
      <c r="I6469" s="8" t="s">
        <v>22</v>
      </c>
      <c r="J6469" s="8" t="s">
        <v>22</v>
      </c>
      <c r="K6469" s="8" t="s">
        <v>160</v>
      </c>
      <c r="L6469" s="8" t="s">
        <v>26804</v>
      </c>
      <c r="M6469" s="8" t="s">
        <v>26805</v>
      </c>
      <c r="N6469" s="8" t="s">
        <v>28733</v>
      </c>
      <c r="O6469" s="8">
        <f>17+50/60+39.2/3600</f>
        <v>17.844222222222221</v>
      </c>
      <c r="P6469" s="8" t="s">
        <v>28734</v>
      </c>
      <c r="Q6469" s="8">
        <f>+(17+12/60+36/3600)</f>
        <v>17.21</v>
      </c>
      <c r="R6469" s="8">
        <v>14.3</v>
      </c>
      <c r="S6469" s="8">
        <v>15</v>
      </c>
      <c r="T6469" s="8">
        <v>0.7</v>
      </c>
      <c r="U6469" s="8">
        <v>13.3</v>
      </c>
      <c r="V6469" s="8">
        <v>0.7</v>
      </c>
      <c r="W6469" s="8">
        <v>0.5</v>
      </c>
      <c r="X6469" s="8">
        <v>117</v>
      </c>
      <c r="Y6469" s="8" t="s">
        <v>170</v>
      </c>
      <c r="Z6469" s="8" t="s">
        <v>171</v>
      </c>
    </row>
    <row r="6470" spans="1:26" x14ac:dyDescent="0.2">
      <c r="A6470" s="8">
        <v>6469</v>
      </c>
      <c r="B6470" s="8" t="s">
        <v>28735</v>
      </c>
      <c r="C6470" s="8" t="s">
        <v>28735</v>
      </c>
      <c r="F6470" s="47"/>
      <c r="G6470" s="8">
        <v>7</v>
      </c>
      <c r="H6470" s="8" t="s">
        <v>21</v>
      </c>
      <c r="I6470" s="8" t="s">
        <v>557</v>
      </c>
      <c r="J6470" s="8" t="s">
        <v>557</v>
      </c>
      <c r="K6470" s="8" t="s">
        <v>987</v>
      </c>
      <c r="L6470" s="8" t="s">
        <v>28576</v>
      </c>
      <c r="M6470" s="8" t="s">
        <v>28577</v>
      </c>
      <c r="N6470" s="8" t="s">
        <v>28736</v>
      </c>
      <c r="O6470" s="8">
        <f>17+52/60+56.5/3600</f>
        <v>17.882361111111113</v>
      </c>
      <c r="P6470" s="8" t="s">
        <v>28737</v>
      </c>
      <c r="Q6470" s="8">
        <f>-(22+18/60+43/3600)</f>
        <v>-22.311944444444446</v>
      </c>
      <c r="R6470" s="8">
        <v>8.1999999999999993</v>
      </c>
      <c r="S6470" s="8">
        <v>99</v>
      </c>
      <c r="T6470" s="8">
        <v>99</v>
      </c>
      <c r="U6470" s="8">
        <v>99</v>
      </c>
      <c r="V6470" s="8">
        <v>8</v>
      </c>
      <c r="Y6470" s="8" t="s">
        <v>28738</v>
      </c>
      <c r="Z6470" s="8" t="s">
        <v>28739</v>
      </c>
    </row>
    <row r="6471" spans="1:26" x14ac:dyDescent="0.2">
      <c r="A6471" s="8">
        <v>6470</v>
      </c>
      <c r="B6471" s="8" t="s">
        <v>28740</v>
      </c>
      <c r="C6471" s="8" t="s">
        <v>28740</v>
      </c>
      <c r="F6471" s="47"/>
      <c r="G6471" s="8">
        <v>19</v>
      </c>
      <c r="H6471" s="8" t="s">
        <v>21</v>
      </c>
      <c r="I6471" s="8" t="s">
        <v>22</v>
      </c>
      <c r="J6471" s="8" t="s">
        <v>22</v>
      </c>
      <c r="K6471" s="8" t="s">
        <v>160</v>
      </c>
      <c r="L6471" s="8" t="s">
        <v>13395</v>
      </c>
      <c r="M6471" s="8" t="s">
        <v>13396</v>
      </c>
      <c r="N6471" s="8" t="s">
        <v>28741</v>
      </c>
      <c r="O6471" s="8">
        <f>17+44/60+14.7/3600</f>
        <v>17.737416666666668</v>
      </c>
      <c r="P6471" s="8" t="s">
        <v>28742</v>
      </c>
      <c r="Q6471" s="8">
        <f>+(67+37/60+9/3600)</f>
        <v>67.619166666666658</v>
      </c>
      <c r="R6471" s="8">
        <v>14.2</v>
      </c>
      <c r="S6471" s="8">
        <v>14.9</v>
      </c>
      <c r="T6471" s="8">
        <v>0.7</v>
      </c>
      <c r="U6471" s="8">
        <v>13.8</v>
      </c>
      <c r="V6471" s="8">
        <v>1.3</v>
      </c>
      <c r="W6471" s="8">
        <v>0.2</v>
      </c>
      <c r="X6471" s="8">
        <v>173</v>
      </c>
      <c r="Y6471" s="8" t="s">
        <v>28685</v>
      </c>
      <c r="Z6471" s="8" t="s">
        <v>28743</v>
      </c>
    </row>
    <row r="6472" spans="1:26" x14ac:dyDescent="0.2">
      <c r="A6472" s="8">
        <v>6471</v>
      </c>
      <c r="B6472" s="8" t="s">
        <v>28744</v>
      </c>
      <c r="C6472" s="8" t="s">
        <v>28744</v>
      </c>
      <c r="E6472" s="8">
        <v>1</v>
      </c>
      <c r="F6472" s="47"/>
      <c r="G6472" s="8">
        <v>19</v>
      </c>
      <c r="H6472" s="8" t="s">
        <v>21</v>
      </c>
      <c r="I6472" s="8" t="s">
        <v>22</v>
      </c>
      <c r="J6472" s="8" t="s">
        <v>22</v>
      </c>
      <c r="K6472" s="8" t="s">
        <v>160</v>
      </c>
      <c r="L6472" s="8" t="s">
        <v>13395</v>
      </c>
      <c r="M6472" s="8" t="s">
        <v>13396</v>
      </c>
      <c r="N6472" s="8" t="s">
        <v>28745</v>
      </c>
      <c r="O6472" s="8">
        <f>17+44/60+12.6/3600</f>
        <v>17.736833333333333</v>
      </c>
      <c r="P6472" s="8" t="s">
        <v>28746</v>
      </c>
      <c r="Q6472" s="8">
        <f>+(67+35/60+34/3600)</f>
        <v>67.592777777777769</v>
      </c>
      <c r="R6472" s="8">
        <v>14.7</v>
      </c>
      <c r="S6472" s="8">
        <v>15.4</v>
      </c>
      <c r="T6472" s="8">
        <v>0.7</v>
      </c>
      <c r="U6472" s="8">
        <v>13.6</v>
      </c>
      <c r="V6472" s="8">
        <v>1.4</v>
      </c>
      <c r="W6472" s="8">
        <v>0.3</v>
      </c>
      <c r="X6472" s="8">
        <v>173</v>
      </c>
      <c r="Y6472" s="8" t="s">
        <v>28747</v>
      </c>
      <c r="Z6472" s="8" t="s">
        <v>28748</v>
      </c>
    </row>
    <row r="6473" spans="1:26" x14ac:dyDescent="0.2">
      <c r="A6473" s="8">
        <v>6472</v>
      </c>
      <c r="B6473" s="8" t="s">
        <v>28749</v>
      </c>
      <c r="C6473" s="8" t="s">
        <v>28749</v>
      </c>
      <c r="F6473" s="47"/>
      <c r="G6473" s="8">
        <v>19</v>
      </c>
      <c r="H6473" s="8" t="s">
        <v>21</v>
      </c>
      <c r="I6473" s="8" t="s">
        <v>22</v>
      </c>
      <c r="J6473" s="8" t="s">
        <v>22</v>
      </c>
      <c r="K6473" s="8" t="s">
        <v>449</v>
      </c>
      <c r="L6473" s="8" t="s">
        <v>13395</v>
      </c>
      <c r="M6473" s="8" t="s">
        <v>13396</v>
      </c>
      <c r="N6473" s="8" t="s">
        <v>28750</v>
      </c>
      <c r="O6473" s="8">
        <f>17+44/60+3/3600</f>
        <v>17.734166666666667</v>
      </c>
      <c r="P6473" s="8" t="s">
        <v>28751</v>
      </c>
      <c r="Q6473" s="8">
        <f>+(67+37/60+49/3600)</f>
        <v>67.630277777777778</v>
      </c>
      <c r="R6473" s="8">
        <v>15</v>
      </c>
      <c r="S6473" s="8">
        <v>15.8</v>
      </c>
      <c r="T6473" s="8">
        <v>0.8</v>
      </c>
      <c r="U6473" s="8">
        <v>13.2</v>
      </c>
      <c r="V6473" s="8">
        <v>0.3</v>
      </c>
      <c r="W6473" s="8">
        <v>0.2</v>
      </c>
      <c r="X6473" s="8">
        <v>10</v>
      </c>
      <c r="Y6473" s="8" t="s">
        <v>28752</v>
      </c>
      <c r="Z6473" s="8" t="s">
        <v>28753</v>
      </c>
    </row>
    <row r="6474" spans="1:26" x14ac:dyDescent="0.2">
      <c r="A6474" s="8">
        <v>6473</v>
      </c>
      <c r="B6474" s="8" t="s">
        <v>28754</v>
      </c>
      <c r="C6474" s="8" t="s">
        <v>28754</v>
      </c>
      <c r="F6474" s="47"/>
      <c r="G6474" s="8">
        <v>19</v>
      </c>
      <c r="H6474" s="8" t="s">
        <v>21</v>
      </c>
      <c r="I6474" s="8" t="s">
        <v>329</v>
      </c>
      <c r="J6474" s="8" t="s">
        <v>329</v>
      </c>
      <c r="K6474" s="8" t="s">
        <v>329</v>
      </c>
      <c r="L6474" s="8" t="s">
        <v>13395</v>
      </c>
      <c r="M6474" s="8" t="s">
        <v>13396</v>
      </c>
      <c r="N6474" s="8" t="s">
        <v>28755</v>
      </c>
      <c r="O6474" s="8">
        <f>17+46/60+54/3600</f>
        <v>17.781666666666666</v>
      </c>
      <c r="P6474" s="8" t="s">
        <v>28756</v>
      </c>
      <c r="Q6474" s="8">
        <f>+(57+18/60+30/3600)</f>
        <v>57.30833333333333</v>
      </c>
      <c r="R6474" s="8">
        <v>99</v>
      </c>
      <c r="S6474" s="8">
        <v>99</v>
      </c>
      <c r="T6474" s="8">
        <v>99</v>
      </c>
      <c r="U6474" s="8">
        <v>99</v>
      </c>
      <c r="Y6474" s="8" t="s">
        <v>28757</v>
      </c>
      <c r="Z6474" s="8" t="s">
        <v>3862</v>
      </c>
    </row>
    <row r="6475" spans="1:26" x14ac:dyDescent="0.2">
      <c r="A6475" s="8">
        <v>6474</v>
      </c>
      <c r="B6475" s="8" t="s">
        <v>28758</v>
      </c>
      <c r="C6475" s="8" t="s">
        <v>28758</v>
      </c>
      <c r="F6475" s="47"/>
      <c r="G6475" s="8">
        <v>19</v>
      </c>
      <c r="H6475" s="8" t="s">
        <v>21</v>
      </c>
      <c r="I6475" s="8" t="s">
        <v>22</v>
      </c>
      <c r="J6475" s="8" t="s">
        <v>22</v>
      </c>
      <c r="K6475" s="8" t="s">
        <v>396</v>
      </c>
      <c r="L6475" s="8" t="s">
        <v>13395</v>
      </c>
      <c r="M6475" s="8" t="s">
        <v>13396</v>
      </c>
      <c r="N6475" s="8" t="s">
        <v>28759</v>
      </c>
      <c r="O6475" s="8">
        <f>17+47/60+5.5/3600</f>
        <v>17.784861111111113</v>
      </c>
      <c r="P6475" s="8" t="s">
        <v>28760</v>
      </c>
      <c r="Q6475" s="8">
        <f>+(57+18/60+5/3600)</f>
        <v>57.301388888888887</v>
      </c>
      <c r="R6475" s="8">
        <v>14.5</v>
      </c>
      <c r="S6475" s="8">
        <v>15.3</v>
      </c>
      <c r="T6475" s="8">
        <v>0.8</v>
      </c>
      <c r="U6475" s="8">
        <v>13.7</v>
      </c>
      <c r="V6475" s="8">
        <v>0.9</v>
      </c>
      <c r="W6475" s="8">
        <v>0.5</v>
      </c>
      <c r="X6475" s="8">
        <v>75</v>
      </c>
      <c r="Y6475" s="8" t="s">
        <v>28761</v>
      </c>
      <c r="Z6475" s="8" t="s">
        <v>28762</v>
      </c>
    </row>
    <row r="6476" spans="1:26" x14ac:dyDescent="0.2">
      <c r="A6476" s="8">
        <v>6475</v>
      </c>
      <c r="B6476" s="8" t="s">
        <v>28763</v>
      </c>
      <c r="C6476" s="8" t="s">
        <v>55938</v>
      </c>
      <c r="F6476" s="47"/>
      <c r="G6476" s="8">
        <v>1</v>
      </c>
      <c r="H6476" s="8" t="s">
        <v>28764</v>
      </c>
      <c r="I6476" s="8" t="s">
        <v>557</v>
      </c>
      <c r="J6476" s="8" t="s">
        <v>557</v>
      </c>
      <c r="K6476" s="8" t="s">
        <v>981</v>
      </c>
      <c r="L6476" s="8" t="s">
        <v>26735</v>
      </c>
      <c r="M6476" s="8" t="s">
        <v>26736</v>
      </c>
      <c r="N6476" s="8" t="s">
        <v>28765</v>
      </c>
      <c r="O6476" s="8">
        <f>17+53/60+50/3600</f>
        <v>17.897222222222222</v>
      </c>
      <c r="P6476" s="8" t="s">
        <v>28766</v>
      </c>
      <c r="Q6476" s="8">
        <f>-(34+47/60+36/3600)</f>
        <v>-34.793333333333329</v>
      </c>
      <c r="R6476" s="8">
        <v>3.3</v>
      </c>
      <c r="S6476" s="8">
        <v>3.5</v>
      </c>
      <c r="T6476" s="8">
        <v>99</v>
      </c>
      <c r="U6476" s="8">
        <v>99</v>
      </c>
      <c r="V6476" s="8">
        <v>75</v>
      </c>
      <c r="Y6476" s="8" t="s">
        <v>28767</v>
      </c>
      <c r="Z6476" s="8" t="s">
        <v>28768</v>
      </c>
    </row>
    <row r="6477" spans="1:26" x14ac:dyDescent="0.2">
      <c r="A6477" s="8">
        <v>6476</v>
      </c>
      <c r="B6477" s="8" t="s">
        <v>28769</v>
      </c>
      <c r="C6477" s="8" t="s">
        <v>28769</v>
      </c>
      <c r="F6477" s="47"/>
      <c r="G6477" s="8">
        <v>16</v>
      </c>
      <c r="H6477" s="8" t="s">
        <v>21</v>
      </c>
      <c r="I6477" s="8" t="s">
        <v>72</v>
      </c>
      <c r="J6477" s="8" t="s">
        <v>72</v>
      </c>
      <c r="K6477" s="8" t="s">
        <v>10045</v>
      </c>
      <c r="L6477" s="8" t="s">
        <v>28576</v>
      </c>
      <c r="M6477" s="8" t="s">
        <v>28577</v>
      </c>
      <c r="N6477" s="8" t="s">
        <v>28770</v>
      </c>
      <c r="O6477" s="8">
        <f>17+54/60+12/3600</f>
        <v>17.903333333333332</v>
      </c>
      <c r="P6477" s="8" t="s">
        <v>28771</v>
      </c>
      <c r="Q6477" s="8">
        <f>-(29+7/60+12/3600)</f>
        <v>-29.12</v>
      </c>
      <c r="R6477" s="8">
        <v>99</v>
      </c>
      <c r="S6477" s="8">
        <v>99</v>
      </c>
      <c r="T6477" s="8">
        <v>99</v>
      </c>
      <c r="U6477" s="8">
        <v>99</v>
      </c>
      <c r="V6477" s="8">
        <v>20</v>
      </c>
      <c r="Y6477" s="8" t="s">
        <v>28772</v>
      </c>
      <c r="Z6477" s="8" t="s">
        <v>28773</v>
      </c>
    </row>
    <row r="6478" spans="1:26" x14ac:dyDescent="0.2">
      <c r="A6478" s="8">
        <v>6477</v>
      </c>
      <c r="B6478" s="8" t="s">
        <v>28774</v>
      </c>
      <c r="C6478" s="8" t="s">
        <v>28774</v>
      </c>
      <c r="F6478" s="47"/>
      <c r="G6478" s="8">
        <v>19</v>
      </c>
      <c r="H6478" s="8" t="s">
        <v>21</v>
      </c>
      <c r="I6478" s="8" t="s">
        <v>22</v>
      </c>
      <c r="J6478" s="8" t="s">
        <v>22</v>
      </c>
      <c r="K6478" s="8" t="s">
        <v>37</v>
      </c>
      <c r="L6478" s="8" t="s">
        <v>13395</v>
      </c>
      <c r="M6478" s="8" t="s">
        <v>13396</v>
      </c>
      <c r="N6478" s="8" t="s">
        <v>28775</v>
      </c>
      <c r="O6478" s="8">
        <f>17+44/60+29.7/3600</f>
        <v>17.741583333333335</v>
      </c>
      <c r="P6478" s="8" t="s">
        <v>28776</v>
      </c>
      <c r="Q6478" s="8">
        <f>+(67+36/60+39/3600)</f>
        <v>67.610833333333332</v>
      </c>
      <c r="R6478" s="8">
        <v>15.3</v>
      </c>
      <c r="S6478" s="8">
        <v>16.3</v>
      </c>
      <c r="T6478" s="8">
        <v>1</v>
      </c>
      <c r="U6478" s="8">
        <v>12.9</v>
      </c>
      <c r="V6478" s="8">
        <v>0.4</v>
      </c>
      <c r="W6478" s="8">
        <v>0.3</v>
      </c>
      <c r="X6478" s="8">
        <v>110</v>
      </c>
      <c r="Y6478" s="8" t="s">
        <v>28777</v>
      </c>
      <c r="Z6478" s="8" t="s">
        <v>28778</v>
      </c>
    </row>
    <row r="6479" spans="1:26" x14ac:dyDescent="0.2">
      <c r="A6479" s="8">
        <v>6478</v>
      </c>
      <c r="B6479" s="8" t="s">
        <v>28779</v>
      </c>
      <c r="C6479" s="8" t="s">
        <v>28779</v>
      </c>
      <c r="F6479" s="47"/>
      <c r="G6479" s="8">
        <v>19</v>
      </c>
      <c r="H6479" s="8" t="s">
        <v>21</v>
      </c>
      <c r="I6479" s="8" t="s">
        <v>22</v>
      </c>
      <c r="J6479" s="8" t="s">
        <v>22</v>
      </c>
      <c r="K6479" s="8" t="s">
        <v>160</v>
      </c>
      <c r="L6479" s="8" t="s">
        <v>13395</v>
      </c>
      <c r="M6479" s="8" t="s">
        <v>13396</v>
      </c>
      <c r="N6479" s="8" t="s">
        <v>28780</v>
      </c>
      <c r="O6479" s="8">
        <f>17+48/60+38.3/3600</f>
        <v>17.810638888888889</v>
      </c>
      <c r="P6479" s="8" t="s">
        <v>28781</v>
      </c>
      <c r="Q6479" s="8">
        <f>+(51+9/60+24/3600)</f>
        <v>51.156666666666666</v>
      </c>
      <c r="R6479" s="8">
        <v>13.4</v>
      </c>
      <c r="S6479" s="8">
        <v>14.1</v>
      </c>
      <c r="T6479" s="8">
        <v>0.7</v>
      </c>
      <c r="U6479" s="8">
        <v>12.7</v>
      </c>
      <c r="V6479" s="8">
        <v>0.9</v>
      </c>
      <c r="W6479" s="8">
        <v>0.7</v>
      </c>
      <c r="X6479" s="8">
        <v>37</v>
      </c>
      <c r="Y6479" s="8" t="s">
        <v>28782</v>
      </c>
      <c r="Z6479" s="8" t="s">
        <v>28783</v>
      </c>
    </row>
    <row r="6480" spans="1:26" x14ac:dyDescent="0.2">
      <c r="A6480" s="8">
        <v>6479</v>
      </c>
      <c r="B6480" s="8" t="s">
        <v>28784</v>
      </c>
      <c r="C6480" s="8" t="s">
        <v>28784</v>
      </c>
      <c r="F6480" s="47"/>
      <c r="G6480" s="8">
        <v>19</v>
      </c>
      <c r="H6480" s="8" t="s">
        <v>21</v>
      </c>
      <c r="I6480" s="8" t="s">
        <v>22</v>
      </c>
      <c r="J6480" s="8" t="s">
        <v>22</v>
      </c>
      <c r="K6480" s="8" t="s">
        <v>160</v>
      </c>
      <c r="L6480" s="8" t="s">
        <v>13395</v>
      </c>
      <c r="M6480" s="8" t="s">
        <v>13396</v>
      </c>
      <c r="N6480" s="8" t="s">
        <v>28785</v>
      </c>
      <c r="O6480" s="8">
        <f>17+48/60+21.7/3600</f>
        <v>17.806027777777778</v>
      </c>
      <c r="P6480" s="8" t="s">
        <v>28786</v>
      </c>
      <c r="Q6480" s="8">
        <f>+(54+8/60+59/3600)</f>
        <v>54.149722222222223</v>
      </c>
      <c r="R6480" s="8">
        <v>13.7</v>
      </c>
      <c r="S6480" s="8">
        <v>14.4</v>
      </c>
      <c r="T6480" s="8">
        <v>0.7</v>
      </c>
      <c r="U6480" s="8">
        <v>13.4</v>
      </c>
      <c r="V6480" s="8">
        <v>1</v>
      </c>
      <c r="W6480" s="8">
        <v>0.9</v>
      </c>
      <c r="X6480" s="8">
        <v>129</v>
      </c>
      <c r="Y6480" s="8" t="s">
        <v>28787</v>
      </c>
      <c r="Z6480" s="8" t="s">
        <v>28788</v>
      </c>
    </row>
    <row r="6481" spans="1:26" x14ac:dyDescent="0.2">
      <c r="A6481" s="8">
        <v>6480</v>
      </c>
      <c r="B6481" s="8" t="s">
        <v>28789</v>
      </c>
      <c r="C6481" s="8" t="s">
        <v>28789</v>
      </c>
      <c r="F6481" s="47"/>
      <c r="G6481" s="8">
        <v>16</v>
      </c>
      <c r="H6481" s="8" t="s">
        <v>21</v>
      </c>
      <c r="I6481" s="8" t="s">
        <v>72</v>
      </c>
      <c r="J6481" s="8" t="s">
        <v>72</v>
      </c>
      <c r="K6481" s="8" t="s">
        <v>1405</v>
      </c>
      <c r="L6481" s="8" t="s">
        <v>26735</v>
      </c>
      <c r="M6481" s="8" t="s">
        <v>26736</v>
      </c>
      <c r="N6481" s="8" t="s">
        <v>28790</v>
      </c>
      <c r="O6481" s="8">
        <f>17+54/60+26/3600</f>
        <v>17.90722222222222</v>
      </c>
      <c r="P6481" s="8" t="s">
        <v>28791</v>
      </c>
      <c r="Q6481" s="8">
        <f>-(30+27/60+6/3600)</f>
        <v>-30.451666666666664</v>
      </c>
      <c r="R6481" s="8">
        <v>99</v>
      </c>
      <c r="S6481" s="8">
        <v>12</v>
      </c>
      <c r="T6481" s="8">
        <v>99</v>
      </c>
      <c r="U6481" s="8">
        <v>99</v>
      </c>
      <c r="V6481" s="8">
        <v>17</v>
      </c>
      <c r="Y6481" s="8" t="s">
        <v>28772</v>
      </c>
      <c r="Z6481" s="8" t="s">
        <v>28773</v>
      </c>
    </row>
    <row r="6482" spans="1:26" x14ac:dyDescent="0.2">
      <c r="A6482" s="8">
        <v>6481</v>
      </c>
      <c r="B6482" s="8" t="s">
        <v>28792</v>
      </c>
      <c r="C6482" s="8" t="s">
        <v>28792</v>
      </c>
      <c r="F6482" s="47"/>
      <c r="G6482" s="8">
        <v>19</v>
      </c>
      <c r="H6482" s="8" t="s">
        <v>21</v>
      </c>
      <c r="I6482" s="8" t="s">
        <v>72</v>
      </c>
      <c r="J6482" s="8" t="s">
        <v>72</v>
      </c>
      <c r="K6482" s="8" t="s">
        <v>1405</v>
      </c>
      <c r="L6482" s="8" t="s">
        <v>26994</v>
      </c>
      <c r="M6482" s="8" t="s">
        <v>26995</v>
      </c>
      <c r="N6482" s="8" t="s">
        <v>28793</v>
      </c>
      <c r="O6482" s="8">
        <f>17+52/60+49/3600</f>
        <v>17.880277777777778</v>
      </c>
      <c r="P6482" s="8" t="s">
        <v>28794</v>
      </c>
      <c r="Q6482" s="8">
        <f>+(4+10/60+2/3600)</f>
        <v>4.1672222222222226</v>
      </c>
      <c r="R6482" s="8">
        <v>99</v>
      </c>
      <c r="S6482" s="8">
        <v>99</v>
      </c>
      <c r="T6482" s="8">
        <v>99</v>
      </c>
      <c r="U6482" s="8">
        <v>99</v>
      </c>
      <c r="Y6482" s="8" t="s">
        <v>28795</v>
      </c>
      <c r="Z6482" s="8" t="s">
        <v>28796</v>
      </c>
    </row>
    <row r="6483" spans="1:26" x14ac:dyDescent="0.2">
      <c r="A6483" s="8">
        <v>6482</v>
      </c>
      <c r="B6483" s="8" t="s">
        <v>28797</v>
      </c>
      <c r="C6483" s="8" t="s">
        <v>28797</v>
      </c>
      <c r="F6483" s="47"/>
      <c r="G6483" s="8">
        <v>13</v>
      </c>
      <c r="H6483" s="8" t="s">
        <v>21</v>
      </c>
      <c r="I6483" s="8" t="s">
        <v>22</v>
      </c>
      <c r="J6483" s="8" t="s">
        <v>22</v>
      </c>
      <c r="K6483" s="8" t="s">
        <v>183</v>
      </c>
      <c r="L6483" s="8" t="s">
        <v>26804</v>
      </c>
      <c r="M6483" s="8" t="s">
        <v>26805</v>
      </c>
      <c r="N6483" s="8" t="s">
        <v>28798</v>
      </c>
      <c r="O6483" s="8">
        <f>17+51/60+48.7/3600</f>
        <v>17.863527777777779</v>
      </c>
      <c r="P6483" s="8" t="s">
        <v>28799</v>
      </c>
      <c r="Q6483" s="8">
        <f>+(23+4/60+22/3600)</f>
        <v>23.072777777777777</v>
      </c>
      <c r="R6483" s="8">
        <v>11.5</v>
      </c>
      <c r="S6483" s="8">
        <v>12.4</v>
      </c>
      <c r="T6483" s="8">
        <v>0.9</v>
      </c>
      <c r="U6483" s="8">
        <v>12.8</v>
      </c>
      <c r="V6483" s="8">
        <v>2.1</v>
      </c>
      <c r="W6483" s="8">
        <v>1.8</v>
      </c>
      <c r="X6483" s="8">
        <v>70</v>
      </c>
      <c r="Y6483" s="8" t="s">
        <v>28800</v>
      </c>
      <c r="Z6483" s="8" t="s">
        <v>28801</v>
      </c>
    </row>
    <row r="6484" spans="1:26" x14ac:dyDescent="0.2">
      <c r="A6484" s="8">
        <v>6483</v>
      </c>
      <c r="B6484" s="8" t="s">
        <v>28802</v>
      </c>
      <c r="C6484" s="8" t="s">
        <v>28802</v>
      </c>
      <c r="F6484" s="47"/>
      <c r="G6484" s="8">
        <v>16</v>
      </c>
      <c r="H6484" s="8" t="s">
        <v>21</v>
      </c>
      <c r="I6484" s="8" t="s">
        <v>22</v>
      </c>
      <c r="J6484" s="8" t="s">
        <v>22</v>
      </c>
      <c r="K6484" s="8" t="s">
        <v>50</v>
      </c>
      <c r="L6484" s="8" t="s">
        <v>28435</v>
      </c>
      <c r="M6484" s="8" t="s">
        <v>28436</v>
      </c>
      <c r="N6484" s="8" t="s">
        <v>28803</v>
      </c>
      <c r="O6484" s="8">
        <f>17+59/60+30.5/3600</f>
        <v>17.991805555555558</v>
      </c>
      <c r="P6484" s="8" t="s">
        <v>28804</v>
      </c>
      <c r="Q6484" s="8">
        <f>-(63+40/60+7/3600)</f>
        <v>-63.668611111111112</v>
      </c>
      <c r="R6484" s="8">
        <v>11.9</v>
      </c>
      <c r="S6484" s="8">
        <v>13</v>
      </c>
      <c r="T6484" s="8">
        <v>1.1000000000000001</v>
      </c>
      <c r="U6484" s="8">
        <v>12.3</v>
      </c>
      <c r="V6484" s="8">
        <v>1.6</v>
      </c>
      <c r="W6484" s="8">
        <v>0.9</v>
      </c>
      <c r="X6484" s="8">
        <v>122</v>
      </c>
      <c r="Y6484" s="8" t="s">
        <v>28805</v>
      </c>
      <c r="Z6484" s="8" t="s">
        <v>28806</v>
      </c>
    </row>
    <row r="6485" spans="1:26" x14ac:dyDescent="0.2">
      <c r="A6485" s="8">
        <v>6484</v>
      </c>
      <c r="B6485" s="8" t="s">
        <v>28807</v>
      </c>
      <c r="C6485" s="8" t="s">
        <v>28807</v>
      </c>
      <c r="F6485" s="47"/>
      <c r="G6485" s="8">
        <v>18</v>
      </c>
      <c r="H6485" s="8" t="s">
        <v>21</v>
      </c>
      <c r="I6485" s="8" t="s">
        <v>22</v>
      </c>
      <c r="J6485" s="8" t="s">
        <v>22</v>
      </c>
      <c r="K6485" s="8" t="s">
        <v>23</v>
      </c>
      <c r="L6485" s="8" t="s">
        <v>26804</v>
      </c>
      <c r="M6485" s="8" t="s">
        <v>26805</v>
      </c>
      <c r="N6485" s="8" t="s">
        <v>28808</v>
      </c>
      <c r="O6485" s="8">
        <f>17+51/60+46.8/3600</f>
        <v>17.863000000000003</v>
      </c>
      <c r="P6485" s="8" t="s">
        <v>28809</v>
      </c>
      <c r="Q6485" s="8">
        <f>+(24+28/60+59/3600)</f>
        <v>24.483055555555556</v>
      </c>
      <c r="R6485" s="8">
        <v>12.3</v>
      </c>
      <c r="S6485" s="8">
        <v>13.1</v>
      </c>
      <c r="T6485" s="8">
        <v>0.8</v>
      </c>
      <c r="U6485" s="8">
        <v>13.6</v>
      </c>
      <c r="V6485" s="8">
        <v>1.9</v>
      </c>
      <c r="W6485" s="8">
        <v>1.9</v>
      </c>
      <c r="Y6485" s="8" t="s">
        <v>27499</v>
      </c>
      <c r="Z6485" s="8" t="s">
        <v>18738</v>
      </c>
    </row>
    <row r="6486" spans="1:26" x14ac:dyDescent="0.2">
      <c r="A6486" s="8">
        <v>6485</v>
      </c>
      <c r="B6486" s="8" t="s">
        <v>28810</v>
      </c>
      <c r="C6486" s="8" t="s">
        <v>28810</v>
      </c>
      <c r="F6486" s="47"/>
      <c r="G6486" s="8">
        <v>18</v>
      </c>
      <c r="H6486" s="8" t="s">
        <v>21</v>
      </c>
      <c r="I6486" s="8" t="s">
        <v>22</v>
      </c>
      <c r="J6486" s="8" t="s">
        <v>22</v>
      </c>
      <c r="K6486" s="8" t="s">
        <v>396</v>
      </c>
      <c r="L6486" s="8" t="s">
        <v>26804</v>
      </c>
      <c r="M6486" s="8" t="s">
        <v>26805</v>
      </c>
      <c r="N6486" s="8" t="s">
        <v>28811</v>
      </c>
      <c r="O6486" s="8">
        <f>17+51/60+52.8/3600</f>
        <v>17.864666666666668</v>
      </c>
      <c r="P6486" s="8" t="s">
        <v>28812</v>
      </c>
      <c r="Q6486" s="8">
        <f>+(31+27/60+43/3600)</f>
        <v>31.461944444444445</v>
      </c>
      <c r="R6486" s="8">
        <v>12.9</v>
      </c>
      <c r="S6486" s="8">
        <v>13.7</v>
      </c>
      <c r="T6486" s="8">
        <v>0.8</v>
      </c>
      <c r="U6486" s="8">
        <v>13.6</v>
      </c>
      <c r="V6486" s="8">
        <v>1.5</v>
      </c>
      <c r="W6486" s="8">
        <v>1.4</v>
      </c>
      <c r="X6486" s="8">
        <v>24</v>
      </c>
      <c r="Y6486" s="8" t="s">
        <v>421</v>
      </c>
      <c r="Z6486" s="8" t="s">
        <v>422</v>
      </c>
    </row>
    <row r="6487" spans="1:26" x14ac:dyDescent="0.2">
      <c r="A6487" s="8">
        <v>6486</v>
      </c>
      <c r="B6487" s="8" t="s">
        <v>28813</v>
      </c>
      <c r="C6487" s="8" t="s">
        <v>28813</v>
      </c>
      <c r="F6487" s="47"/>
      <c r="G6487" s="8">
        <v>19</v>
      </c>
      <c r="H6487" s="8" t="s">
        <v>21</v>
      </c>
      <c r="I6487" s="8" t="s">
        <v>22</v>
      </c>
      <c r="J6487" s="8" t="s">
        <v>22</v>
      </c>
      <c r="K6487" s="8" t="s">
        <v>58</v>
      </c>
      <c r="L6487" s="8" t="s">
        <v>26804</v>
      </c>
      <c r="M6487" s="8" t="s">
        <v>26805</v>
      </c>
      <c r="N6487" s="8" t="s">
        <v>28814</v>
      </c>
      <c r="O6487" s="8">
        <f>17+52/60+35.2/3600</f>
        <v>17.876444444444445</v>
      </c>
      <c r="P6487" s="8" t="s">
        <v>28815</v>
      </c>
      <c r="Q6487" s="8">
        <f>+(29+49/60+7/3600)</f>
        <v>29.81861111111111</v>
      </c>
      <c r="R6487" s="8">
        <v>14.3</v>
      </c>
      <c r="S6487" s="8">
        <v>15.3</v>
      </c>
      <c r="T6487" s="8">
        <v>1</v>
      </c>
      <c r="U6487" s="8">
        <v>13.9</v>
      </c>
      <c r="V6487" s="8">
        <v>0.8</v>
      </c>
      <c r="W6487" s="8">
        <v>0.8</v>
      </c>
      <c r="Y6487" s="8" t="s">
        <v>28816</v>
      </c>
      <c r="Z6487" s="8" t="s">
        <v>28817</v>
      </c>
    </row>
    <row r="6488" spans="1:26" x14ac:dyDescent="0.2">
      <c r="A6488" s="8">
        <v>6487</v>
      </c>
      <c r="B6488" s="8" t="s">
        <v>28818</v>
      </c>
      <c r="C6488" s="8" t="s">
        <v>28818</v>
      </c>
      <c r="F6488" s="47"/>
      <c r="G6488" s="8">
        <v>19</v>
      </c>
      <c r="H6488" s="8" t="s">
        <v>21</v>
      </c>
      <c r="I6488" s="8" t="s">
        <v>22</v>
      </c>
      <c r="J6488" s="8" t="s">
        <v>22</v>
      </c>
      <c r="K6488" s="8" t="s">
        <v>460</v>
      </c>
      <c r="L6488" s="8" t="s">
        <v>26804</v>
      </c>
      <c r="M6488" s="8" t="s">
        <v>26805</v>
      </c>
      <c r="N6488" s="8" t="s">
        <v>28819</v>
      </c>
      <c r="O6488" s="8">
        <f>17+52/60+41.7/3600</f>
        <v>17.878250000000001</v>
      </c>
      <c r="P6488" s="8" t="s">
        <v>28820</v>
      </c>
      <c r="Q6488" s="8">
        <f>+(29+50/60+19/3600)</f>
        <v>29.83861111111111</v>
      </c>
      <c r="R6488" s="8">
        <v>11.9</v>
      </c>
      <c r="S6488" s="8">
        <v>12.9</v>
      </c>
      <c r="T6488" s="8">
        <v>1</v>
      </c>
      <c r="U6488" s="8">
        <v>13.1</v>
      </c>
      <c r="V6488" s="8">
        <v>1.8</v>
      </c>
      <c r="W6488" s="8">
        <v>1.8</v>
      </c>
      <c r="Y6488" s="8" t="s">
        <v>6420</v>
      </c>
      <c r="Z6488" s="8" t="s">
        <v>6421</v>
      </c>
    </row>
    <row r="6489" spans="1:26" x14ac:dyDescent="0.2">
      <c r="A6489" s="8">
        <v>6488</v>
      </c>
      <c r="B6489" s="8" t="s">
        <v>28821</v>
      </c>
      <c r="C6489" s="8" t="s">
        <v>28821</v>
      </c>
      <c r="F6489" s="47"/>
      <c r="G6489" s="8">
        <v>19</v>
      </c>
      <c r="H6489" s="8" t="s">
        <v>21</v>
      </c>
      <c r="I6489" s="8" t="s">
        <v>22</v>
      </c>
      <c r="J6489" s="8" t="s">
        <v>22</v>
      </c>
      <c r="K6489" s="8" t="s">
        <v>424</v>
      </c>
      <c r="L6489" s="8" t="s">
        <v>13395</v>
      </c>
      <c r="M6489" s="8" t="s">
        <v>13396</v>
      </c>
      <c r="N6489" s="8" t="s">
        <v>28822</v>
      </c>
      <c r="O6489" s="8">
        <f>17+49/60+20.8/3600</f>
        <v>17.822444444444443</v>
      </c>
      <c r="P6489" s="8" t="s">
        <v>28823</v>
      </c>
      <c r="Q6489" s="8">
        <f>+(62+13/60+24/3600)</f>
        <v>62.223333333333336</v>
      </c>
      <c r="R6489" s="8">
        <v>14.5</v>
      </c>
      <c r="S6489" s="8">
        <v>15.5</v>
      </c>
      <c r="T6489" s="8">
        <v>1</v>
      </c>
      <c r="U6489" s="8">
        <v>13.2</v>
      </c>
      <c r="V6489" s="8">
        <v>0.7</v>
      </c>
      <c r="W6489" s="8">
        <v>0.5</v>
      </c>
      <c r="X6489" s="8">
        <v>63</v>
      </c>
      <c r="Y6489" s="8" t="s">
        <v>28824</v>
      </c>
      <c r="Z6489" s="8" t="s">
        <v>28825</v>
      </c>
    </row>
    <row r="6490" spans="1:26" x14ac:dyDescent="0.2">
      <c r="A6490" s="8">
        <v>6489</v>
      </c>
      <c r="B6490" s="8" t="s">
        <v>28826</v>
      </c>
      <c r="C6490" s="8" t="s">
        <v>28826</v>
      </c>
      <c r="F6490" s="47"/>
      <c r="G6490" s="8">
        <v>19</v>
      </c>
      <c r="H6490" s="8" t="s">
        <v>21</v>
      </c>
      <c r="I6490" s="8" t="s">
        <v>22</v>
      </c>
      <c r="J6490" s="8" t="s">
        <v>22</v>
      </c>
      <c r="K6490" s="8" t="s">
        <v>58</v>
      </c>
      <c r="L6490" s="8" t="s">
        <v>13395</v>
      </c>
      <c r="M6490" s="8" t="s">
        <v>13396</v>
      </c>
      <c r="N6490" s="8" t="s">
        <v>28827</v>
      </c>
      <c r="O6490" s="8">
        <f>17+50/60+1.3/3600</f>
        <v>17.833694444444443</v>
      </c>
      <c r="P6490" s="8" t="s">
        <v>28828</v>
      </c>
      <c r="Q6490" s="8">
        <f>+(60+5/60+33/3600)</f>
        <v>60.092500000000001</v>
      </c>
      <c r="R6490" s="8">
        <v>15.3</v>
      </c>
      <c r="S6490" s="8">
        <v>16.3</v>
      </c>
      <c r="T6490" s="8">
        <v>1</v>
      </c>
      <c r="U6490" s="8">
        <v>13.1</v>
      </c>
      <c r="V6490" s="8">
        <v>0.4</v>
      </c>
      <c r="W6490" s="8">
        <v>0.3</v>
      </c>
      <c r="X6490" s="8">
        <v>24</v>
      </c>
      <c r="Y6490" s="8" t="s">
        <v>28829</v>
      </c>
      <c r="Z6490" s="8" t="s">
        <v>28830</v>
      </c>
    </row>
    <row r="6491" spans="1:26" x14ac:dyDescent="0.2">
      <c r="A6491" s="8">
        <v>6490</v>
      </c>
      <c r="B6491" s="8" t="s">
        <v>28831</v>
      </c>
      <c r="C6491" s="8" t="s">
        <v>28831</v>
      </c>
      <c r="F6491" s="47"/>
      <c r="G6491" s="8">
        <v>18</v>
      </c>
      <c r="H6491" s="8" t="s">
        <v>21</v>
      </c>
      <c r="I6491" s="8" t="s">
        <v>22</v>
      </c>
      <c r="J6491" s="8" t="s">
        <v>22</v>
      </c>
      <c r="K6491" s="8" t="s">
        <v>58</v>
      </c>
      <c r="L6491" s="8" t="s">
        <v>26804</v>
      </c>
      <c r="M6491" s="8" t="s">
        <v>26805</v>
      </c>
      <c r="N6491" s="8" t="s">
        <v>28832</v>
      </c>
      <c r="O6491" s="8">
        <f>17+54/60+30.4/3600</f>
        <v>17.908444444444442</v>
      </c>
      <c r="P6491" s="8" t="s">
        <v>28833</v>
      </c>
      <c r="Q6491" s="8">
        <f>+(18+22/60+35/3600)</f>
        <v>18.37638888888889</v>
      </c>
      <c r="R6491" s="8">
        <v>13.5</v>
      </c>
      <c r="S6491" s="8">
        <v>14.5</v>
      </c>
      <c r="T6491" s="8">
        <v>1</v>
      </c>
      <c r="U6491" s="8">
        <v>13.3</v>
      </c>
      <c r="V6491" s="8">
        <v>1</v>
      </c>
      <c r="W6491" s="8">
        <v>0.8</v>
      </c>
      <c r="X6491" s="8">
        <v>115</v>
      </c>
      <c r="Y6491" s="8" t="s">
        <v>1948</v>
      </c>
      <c r="Z6491" s="8" t="s">
        <v>1949</v>
      </c>
    </row>
    <row r="6492" spans="1:26" x14ac:dyDescent="0.2">
      <c r="A6492" s="8">
        <v>6491</v>
      </c>
      <c r="B6492" s="8" t="s">
        <v>28834</v>
      </c>
      <c r="C6492" s="8" t="s">
        <v>28834</v>
      </c>
      <c r="F6492" s="47"/>
      <c r="G6492" s="8">
        <v>19</v>
      </c>
      <c r="H6492" s="8" t="s">
        <v>21</v>
      </c>
      <c r="I6492" s="8" t="s">
        <v>22</v>
      </c>
      <c r="J6492" s="8" t="s">
        <v>22</v>
      </c>
      <c r="K6492" s="8" t="s">
        <v>31</v>
      </c>
      <c r="L6492" s="8" t="s">
        <v>13395</v>
      </c>
      <c r="M6492" s="8" t="s">
        <v>13396</v>
      </c>
      <c r="N6492" s="8" t="s">
        <v>28835</v>
      </c>
      <c r="O6492" s="8">
        <f>17+50/60+0.6/3600</f>
        <v>17.833499999999997</v>
      </c>
      <c r="P6492" s="8" t="s">
        <v>28836</v>
      </c>
      <c r="Q6492" s="8">
        <f>+(61+31/60+55/3600)</f>
        <v>61.531944444444441</v>
      </c>
      <c r="R6492" s="8">
        <v>13.6</v>
      </c>
      <c r="S6492" s="8">
        <v>14.4</v>
      </c>
      <c r="T6492" s="8">
        <v>0.8</v>
      </c>
      <c r="U6492" s="8">
        <v>12.9</v>
      </c>
      <c r="V6492" s="8">
        <v>1.2</v>
      </c>
      <c r="W6492" s="8">
        <v>0.5</v>
      </c>
      <c r="X6492" s="8">
        <v>39</v>
      </c>
      <c r="Y6492" s="8" t="s">
        <v>28837</v>
      </c>
      <c r="Z6492" s="8" t="s">
        <v>28838</v>
      </c>
    </row>
    <row r="6493" spans="1:26" x14ac:dyDescent="0.2">
      <c r="A6493" s="8">
        <v>6492</v>
      </c>
      <c r="B6493" s="8" t="s">
        <v>28839</v>
      </c>
      <c r="C6493" s="8" t="s">
        <v>28839</v>
      </c>
      <c r="F6493" s="47"/>
      <c r="G6493" s="8">
        <v>18</v>
      </c>
      <c r="H6493" s="8" t="s">
        <v>21</v>
      </c>
      <c r="I6493" s="8" t="s">
        <v>22</v>
      </c>
      <c r="J6493" s="8" t="s">
        <v>22</v>
      </c>
      <c r="K6493" s="8" t="s">
        <v>396</v>
      </c>
      <c r="L6493" s="8" t="s">
        <v>28435</v>
      </c>
      <c r="M6493" s="8" t="s">
        <v>28436</v>
      </c>
      <c r="N6493" s="8" t="s">
        <v>28840</v>
      </c>
      <c r="O6493" s="8">
        <f>18+2/60+48.3/3600</f>
        <v>18.046750000000003</v>
      </c>
      <c r="P6493" s="8" t="s">
        <v>28841</v>
      </c>
      <c r="Q6493" s="8">
        <f>-(66+25/60+50/3600)</f>
        <v>-66.430555555555557</v>
      </c>
      <c r="R6493" s="8">
        <v>11.5</v>
      </c>
      <c r="S6493" s="8">
        <v>12.3</v>
      </c>
      <c r="T6493" s="8">
        <v>0.8</v>
      </c>
      <c r="U6493" s="8">
        <v>12.6</v>
      </c>
      <c r="V6493" s="8">
        <v>2.5</v>
      </c>
      <c r="W6493" s="8">
        <v>1.2</v>
      </c>
      <c r="X6493" s="8">
        <v>75</v>
      </c>
      <c r="Y6493" s="8" t="s">
        <v>28842</v>
      </c>
      <c r="Z6493" s="8" t="s">
        <v>28843</v>
      </c>
    </row>
    <row r="6494" spans="1:26" x14ac:dyDescent="0.2">
      <c r="A6494" s="8">
        <v>6493</v>
      </c>
      <c r="B6494" s="8" t="s">
        <v>28844</v>
      </c>
      <c r="C6494" s="8" t="s">
        <v>28844</v>
      </c>
      <c r="F6494" s="47"/>
      <c r="G6494" s="8">
        <v>19</v>
      </c>
      <c r="H6494" s="8" t="s">
        <v>21</v>
      </c>
      <c r="I6494" s="8" t="s">
        <v>22</v>
      </c>
      <c r="J6494" s="8" t="s">
        <v>22</v>
      </c>
      <c r="K6494" s="8" t="s">
        <v>1277</v>
      </c>
      <c r="L6494" s="8" t="s">
        <v>13395</v>
      </c>
      <c r="M6494" s="8" t="s">
        <v>13396</v>
      </c>
      <c r="N6494" s="8" t="s">
        <v>28845</v>
      </c>
      <c r="O6494" s="8">
        <f>17+50/60+22.5/3600</f>
        <v>17.839583333333334</v>
      </c>
      <c r="P6494" s="8" t="s">
        <v>28846</v>
      </c>
      <c r="Q6494" s="8">
        <f>+(61+33/60+34/3600)</f>
        <v>61.559444444444445</v>
      </c>
      <c r="R6494" s="8">
        <v>14.4</v>
      </c>
      <c r="S6494" s="8">
        <v>15.1</v>
      </c>
      <c r="T6494" s="8">
        <v>0.7</v>
      </c>
      <c r="U6494" s="8">
        <v>14.5</v>
      </c>
      <c r="V6494" s="8">
        <v>1.1000000000000001</v>
      </c>
      <c r="W6494" s="8">
        <v>1.1000000000000001</v>
      </c>
      <c r="Y6494" s="8" t="s">
        <v>28837</v>
      </c>
      <c r="Z6494" s="8" t="s">
        <v>28847</v>
      </c>
    </row>
    <row r="6495" spans="1:26" x14ac:dyDescent="0.2">
      <c r="A6495" s="8">
        <v>6494</v>
      </c>
      <c r="B6495" s="8" t="s">
        <v>28848</v>
      </c>
      <c r="C6495" s="8" t="s">
        <v>55939</v>
      </c>
      <c r="F6495" s="47"/>
      <c r="G6495" s="8">
        <v>1</v>
      </c>
      <c r="H6495" s="8" t="s">
        <v>21</v>
      </c>
      <c r="I6495" s="8" t="s">
        <v>557</v>
      </c>
      <c r="J6495" s="8" t="s">
        <v>557</v>
      </c>
      <c r="K6495" s="8" t="s">
        <v>3647</v>
      </c>
      <c r="L6495" s="8" t="s">
        <v>28576</v>
      </c>
      <c r="M6495" s="8" t="s">
        <v>28577</v>
      </c>
      <c r="N6495" s="8" t="s">
        <v>28849</v>
      </c>
      <c r="O6495" s="8">
        <f>17+56/60+56/3600</f>
        <v>17.948888888888888</v>
      </c>
      <c r="P6495" s="8" t="s">
        <v>28850</v>
      </c>
      <c r="Q6495" s="8">
        <f>-(19+0/60+42/3600)</f>
        <v>-19.011666666666667</v>
      </c>
      <c r="R6495" s="8">
        <v>5.5</v>
      </c>
      <c r="S6495" s="8">
        <v>99</v>
      </c>
      <c r="T6495" s="8">
        <v>99</v>
      </c>
      <c r="U6495" s="8">
        <v>99</v>
      </c>
      <c r="V6495" s="8">
        <v>25</v>
      </c>
      <c r="Y6495" s="8" t="s">
        <v>28851</v>
      </c>
      <c r="Z6495" s="8" t="s">
        <v>28852</v>
      </c>
    </row>
    <row r="6496" spans="1:26" x14ac:dyDescent="0.2">
      <c r="A6496" s="8">
        <v>6495</v>
      </c>
      <c r="B6496" s="8" t="s">
        <v>28853</v>
      </c>
      <c r="C6496" s="8" t="s">
        <v>28853</v>
      </c>
      <c r="F6496" s="47"/>
      <c r="G6496" s="8">
        <v>18</v>
      </c>
      <c r="H6496" s="8" t="s">
        <v>21</v>
      </c>
      <c r="I6496" s="8" t="s">
        <v>22</v>
      </c>
      <c r="J6496" s="8" t="s">
        <v>22</v>
      </c>
      <c r="K6496" s="8" t="s">
        <v>183</v>
      </c>
      <c r="L6496" s="8" t="s">
        <v>26804</v>
      </c>
      <c r="M6496" s="8" t="s">
        <v>26805</v>
      </c>
      <c r="N6496" s="8" t="s">
        <v>28854</v>
      </c>
      <c r="O6496" s="8">
        <f>17+54/60+50.7/3600</f>
        <v>17.91408333333333</v>
      </c>
      <c r="P6496" s="8" t="s">
        <v>28855</v>
      </c>
      <c r="Q6496" s="8">
        <f>+(18+19/60+39/3600)</f>
        <v>18.327500000000001</v>
      </c>
      <c r="R6496" s="8">
        <v>12.2</v>
      </c>
      <c r="S6496" s="8">
        <v>13.2</v>
      </c>
      <c r="T6496" s="8">
        <v>1</v>
      </c>
      <c r="U6496" s="8">
        <v>13.5</v>
      </c>
      <c r="V6496" s="8">
        <v>2</v>
      </c>
      <c r="W6496" s="8">
        <v>1.8</v>
      </c>
      <c r="X6496" s="8">
        <v>69</v>
      </c>
      <c r="Y6496" s="8" t="s">
        <v>895</v>
      </c>
      <c r="Z6496" s="8" t="s">
        <v>896</v>
      </c>
    </row>
    <row r="6497" spans="1:26" x14ac:dyDescent="0.2">
      <c r="A6497" s="8">
        <v>6496</v>
      </c>
      <c r="B6497" s="8" t="s">
        <v>28856</v>
      </c>
      <c r="C6497" s="8" t="s">
        <v>28856</v>
      </c>
      <c r="F6497" s="47"/>
      <c r="G6497" s="8">
        <v>3</v>
      </c>
      <c r="H6497" s="8" t="s">
        <v>21</v>
      </c>
      <c r="I6497" s="8" t="s">
        <v>567</v>
      </c>
      <c r="J6497" s="8" t="s">
        <v>567</v>
      </c>
      <c r="K6497" s="8" t="s">
        <v>19801</v>
      </c>
      <c r="L6497" s="8" t="s">
        <v>26735</v>
      </c>
      <c r="M6497" s="8" t="s">
        <v>26736</v>
      </c>
      <c r="N6497" s="8" t="s">
        <v>28857</v>
      </c>
      <c r="O6497" s="8">
        <f>17+59/60+2/3600</f>
        <v>17.983888888888888</v>
      </c>
      <c r="P6497" s="8" t="s">
        <v>28858</v>
      </c>
      <c r="Q6497" s="8">
        <f>-(44+15/60+52/3600)</f>
        <v>-44.264444444444443</v>
      </c>
      <c r="R6497" s="8">
        <v>8.6</v>
      </c>
      <c r="S6497" s="8">
        <v>99</v>
      </c>
      <c r="T6497" s="8">
        <v>99</v>
      </c>
      <c r="U6497" s="8">
        <v>99</v>
      </c>
      <c r="V6497" s="8">
        <v>5.6</v>
      </c>
      <c r="Y6497" s="8" t="s">
        <v>28859</v>
      </c>
      <c r="Z6497" s="8" t="s">
        <v>28860</v>
      </c>
    </row>
    <row r="6498" spans="1:26" x14ac:dyDescent="0.2">
      <c r="A6498" s="8">
        <v>6497</v>
      </c>
      <c r="B6498" s="8" t="s">
        <v>28861</v>
      </c>
      <c r="C6498" s="8" t="s">
        <v>28861</v>
      </c>
      <c r="F6498" s="47"/>
      <c r="G6498" s="8">
        <v>19</v>
      </c>
      <c r="H6498" s="8" t="s">
        <v>21</v>
      </c>
      <c r="I6498" s="8" t="s">
        <v>22</v>
      </c>
      <c r="J6498" s="8" t="s">
        <v>22</v>
      </c>
      <c r="K6498" s="8" t="s">
        <v>218</v>
      </c>
      <c r="L6498" s="8" t="s">
        <v>13395</v>
      </c>
      <c r="M6498" s="8" t="s">
        <v>13396</v>
      </c>
      <c r="N6498" s="8" t="s">
        <v>28862</v>
      </c>
      <c r="O6498" s="8">
        <f>17+51/60+17.8/3600</f>
        <v>17.854944444444445</v>
      </c>
      <c r="P6498" s="8" t="s">
        <v>28863</v>
      </c>
      <c r="Q6498" s="8">
        <f>+(59+28/60+16/3600)</f>
        <v>59.471111111111114</v>
      </c>
      <c r="R6498" s="8">
        <v>13.5</v>
      </c>
      <c r="S6498" s="8">
        <v>14.3</v>
      </c>
      <c r="T6498" s="8">
        <v>0.8</v>
      </c>
      <c r="U6498" s="8">
        <v>13.3</v>
      </c>
      <c r="V6498" s="8">
        <v>1.4</v>
      </c>
      <c r="W6498" s="8">
        <v>0.7</v>
      </c>
      <c r="X6498" s="8">
        <v>113</v>
      </c>
      <c r="Y6498" s="8" t="s">
        <v>28864</v>
      </c>
      <c r="Z6498" s="8" t="s">
        <v>28865</v>
      </c>
    </row>
    <row r="6499" spans="1:26" x14ac:dyDescent="0.2">
      <c r="A6499" s="8">
        <v>6498</v>
      </c>
      <c r="B6499" s="8" t="s">
        <v>28866</v>
      </c>
      <c r="C6499" s="8" t="s">
        <v>28866</v>
      </c>
      <c r="F6499" s="47"/>
      <c r="G6499" s="8">
        <v>19</v>
      </c>
      <c r="H6499" s="8" t="s">
        <v>21</v>
      </c>
      <c r="I6499" s="8" t="s">
        <v>22</v>
      </c>
      <c r="J6499" s="8" t="s">
        <v>57</v>
      </c>
      <c r="K6499" s="8" t="s">
        <v>218</v>
      </c>
      <c r="L6499" s="8" t="s">
        <v>13395</v>
      </c>
      <c r="M6499" s="8" t="s">
        <v>13396</v>
      </c>
      <c r="N6499" s="8" t="s">
        <v>28862</v>
      </c>
      <c r="O6499" s="8">
        <f>17+51/60+17.8/3600</f>
        <v>17.854944444444445</v>
      </c>
      <c r="P6499" s="8" t="s">
        <v>28863</v>
      </c>
      <c r="Q6499" s="8">
        <f>+(59+28/60+16/3600)</f>
        <v>59.471111111111114</v>
      </c>
      <c r="R6499" s="8">
        <v>13.5</v>
      </c>
      <c r="S6499" s="8">
        <v>14.3</v>
      </c>
      <c r="T6499" s="8">
        <v>0.8</v>
      </c>
      <c r="U6499" s="8">
        <v>13.3</v>
      </c>
      <c r="V6499" s="8">
        <v>1.4</v>
      </c>
      <c r="W6499" s="8">
        <v>0.7</v>
      </c>
      <c r="X6499" s="8">
        <v>113</v>
      </c>
      <c r="Y6499" s="8" t="s">
        <v>28864</v>
      </c>
      <c r="Z6499" s="8" t="s">
        <v>28867</v>
      </c>
    </row>
    <row r="6500" spans="1:26" x14ac:dyDescent="0.2">
      <c r="A6500" s="8">
        <v>6499</v>
      </c>
      <c r="B6500" s="8" t="s">
        <v>28868</v>
      </c>
      <c r="C6500" s="8" t="s">
        <v>28868</v>
      </c>
      <c r="F6500" s="47"/>
      <c r="G6500" s="8">
        <v>18</v>
      </c>
      <c r="H6500" s="8" t="s">
        <v>21</v>
      </c>
      <c r="I6500" s="8" t="s">
        <v>72</v>
      </c>
      <c r="J6500" s="8" t="s">
        <v>72</v>
      </c>
      <c r="K6500" s="8" t="s">
        <v>73</v>
      </c>
      <c r="L6500" s="8" t="s">
        <v>26804</v>
      </c>
      <c r="M6500" s="8" t="s">
        <v>26805</v>
      </c>
      <c r="N6500" s="8" t="s">
        <v>28869</v>
      </c>
      <c r="O6500" s="8">
        <f>17+55/60+20/3600</f>
        <v>17.922222222222224</v>
      </c>
      <c r="P6500" s="8" t="s">
        <v>28870</v>
      </c>
      <c r="Q6500" s="8">
        <f>+(18+21/60+34/3600)</f>
        <v>18.359444444444446</v>
      </c>
      <c r="R6500" s="8">
        <v>99</v>
      </c>
      <c r="S6500" s="8">
        <v>99</v>
      </c>
      <c r="T6500" s="8">
        <v>99</v>
      </c>
      <c r="U6500" s="8">
        <v>99</v>
      </c>
      <c r="Y6500" s="8" t="s">
        <v>28871</v>
      </c>
      <c r="Z6500" s="8" t="s">
        <v>28872</v>
      </c>
    </row>
    <row r="6501" spans="1:26" x14ac:dyDescent="0.2">
      <c r="A6501" s="8">
        <v>6500</v>
      </c>
      <c r="B6501" s="8" t="s">
        <v>28873</v>
      </c>
      <c r="C6501" s="8" t="s">
        <v>28873</v>
      </c>
      <c r="F6501" s="47" t="s">
        <v>58199</v>
      </c>
      <c r="G6501" s="8">
        <v>15</v>
      </c>
      <c r="H6501" s="8" t="s">
        <v>21</v>
      </c>
      <c r="I6501" s="8" t="s">
        <v>22</v>
      </c>
      <c r="J6501" s="8" t="s">
        <v>22</v>
      </c>
      <c r="K6501" s="8" t="s">
        <v>31</v>
      </c>
      <c r="L6501" s="8" t="s">
        <v>26804</v>
      </c>
      <c r="M6501" s="8" t="s">
        <v>26805</v>
      </c>
      <c r="N6501" s="8" t="s">
        <v>28874</v>
      </c>
      <c r="O6501" s="8">
        <f>17+55/60+59.7/3600</f>
        <v>17.933250000000001</v>
      </c>
      <c r="P6501" s="8" t="s">
        <v>28875</v>
      </c>
      <c r="Q6501" s="8">
        <f>+(18+20/60+20/3600)</f>
        <v>18.338888888888889</v>
      </c>
      <c r="R6501" s="8">
        <v>12.2</v>
      </c>
      <c r="S6501" s="8">
        <v>13</v>
      </c>
      <c r="T6501" s="8">
        <v>0.8</v>
      </c>
      <c r="U6501" s="8">
        <v>13.4</v>
      </c>
      <c r="V6501" s="8">
        <v>2.2000000000000002</v>
      </c>
      <c r="W6501" s="8">
        <v>1.6</v>
      </c>
      <c r="X6501" s="8">
        <v>50</v>
      </c>
      <c r="Y6501" s="8" t="s">
        <v>2028</v>
      </c>
      <c r="Z6501" s="8" t="s">
        <v>2029</v>
      </c>
    </row>
    <row r="6502" spans="1:26" x14ac:dyDescent="0.2">
      <c r="A6502" s="8">
        <v>6501</v>
      </c>
      <c r="B6502" s="8" t="s">
        <v>28876</v>
      </c>
      <c r="C6502" s="8" t="s">
        <v>28876</v>
      </c>
      <c r="F6502" s="47" t="s">
        <v>58200</v>
      </c>
      <c r="G6502" s="8">
        <v>15</v>
      </c>
      <c r="H6502" s="8" t="s">
        <v>21</v>
      </c>
      <c r="I6502" s="8" t="s">
        <v>22</v>
      </c>
      <c r="J6502" s="8" t="s">
        <v>22</v>
      </c>
      <c r="K6502" s="8" t="s">
        <v>632</v>
      </c>
      <c r="L6502" s="8" t="s">
        <v>26804</v>
      </c>
      <c r="M6502" s="8" t="s">
        <v>26805</v>
      </c>
      <c r="N6502" s="8" t="s">
        <v>28877</v>
      </c>
      <c r="O6502" s="8">
        <f>17+56/60+3.7/3600</f>
        <v>17.934361111111112</v>
      </c>
      <c r="P6502" s="8" t="s">
        <v>28878</v>
      </c>
      <c r="Q6502" s="8">
        <f>+(18+22/60+25/3600)</f>
        <v>18.37361111111111</v>
      </c>
      <c r="R6502" s="8">
        <v>12</v>
      </c>
      <c r="S6502" s="8">
        <v>12.9</v>
      </c>
      <c r="T6502" s="8">
        <v>0.9</v>
      </c>
      <c r="U6502" s="8">
        <v>13.3</v>
      </c>
      <c r="V6502" s="8">
        <v>1.8</v>
      </c>
      <c r="W6502" s="8">
        <v>1.6</v>
      </c>
      <c r="X6502" s="8">
        <v>54</v>
      </c>
      <c r="Y6502" s="8" t="s">
        <v>28879</v>
      </c>
      <c r="Z6502" s="8" t="s">
        <v>28880</v>
      </c>
    </row>
    <row r="6503" spans="1:26" x14ac:dyDescent="0.2">
      <c r="A6503" s="8">
        <v>6502</v>
      </c>
      <c r="B6503" s="8" t="s">
        <v>28881</v>
      </c>
      <c r="C6503" s="8" t="s">
        <v>28881</v>
      </c>
      <c r="F6503" s="47"/>
      <c r="G6503" s="8">
        <v>16</v>
      </c>
      <c r="H6503" s="8" t="s">
        <v>21</v>
      </c>
      <c r="I6503" s="8" t="s">
        <v>22</v>
      </c>
      <c r="J6503" s="8" t="s">
        <v>22</v>
      </c>
      <c r="K6503" s="8" t="s">
        <v>58</v>
      </c>
      <c r="L6503" s="8" t="s">
        <v>28435</v>
      </c>
      <c r="M6503" s="8" t="s">
        <v>28436</v>
      </c>
      <c r="N6503" s="8" t="s">
        <v>28882</v>
      </c>
      <c r="O6503" s="8">
        <f>18+4/60+14/3600</f>
        <v>18.070555555555554</v>
      </c>
      <c r="P6503" s="8" t="s">
        <v>28883</v>
      </c>
      <c r="Q6503" s="8">
        <f>-(65+24/60+35/3600)</f>
        <v>-65.409722222222229</v>
      </c>
      <c r="R6503" s="8">
        <v>12.5</v>
      </c>
      <c r="S6503" s="8">
        <v>13.5</v>
      </c>
      <c r="T6503" s="8">
        <v>1</v>
      </c>
      <c r="U6503" s="8">
        <v>12.7</v>
      </c>
      <c r="V6503" s="8">
        <v>1.3</v>
      </c>
      <c r="W6503" s="8">
        <v>1.1000000000000001</v>
      </c>
      <c r="X6503" s="8">
        <v>42</v>
      </c>
      <c r="Y6503" s="8" t="s">
        <v>28884</v>
      </c>
      <c r="Z6503" s="8" t="s">
        <v>28885</v>
      </c>
    </row>
    <row r="6504" spans="1:26" x14ac:dyDescent="0.2">
      <c r="A6504" s="8">
        <v>6503</v>
      </c>
      <c r="B6504" s="8" t="s">
        <v>28886</v>
      </c>
      <c r="C6504" s="8" t="s">
        <v>28886</v>
      </c>
      <c r="F6504" s="47"/>
      <c r="G6504" s="8">
        <v>7</v>
      </c>
      <c r="H6504" s="8" t="s">
        <v>28887</v>
      </c>
      <c r="I6504" s="8" t="s">
        <v>22</v>
      </c>
      <c r="J6504" s="8" t="s">
        <v>22</v>
      </c>
      <c r="K6504" s="8" t="s">
        <v>160</v>
      </c>
      <c r="L6504" s="8" t="s">
        <v>13395</v>
      </c>
      <c r="M6504" s="8" t="s">
        <v>13396</v>
      </c>
      <c r="N6504" s="8" t="s">
        <v>28888</v>
      </c>
      <c r="O6504" s="8">
        <f>17+49/60+27.5/3600</f>
        <v>17.824305555555554</v>
      </c>
      <c r="P6504" s="8" t="s">
        <v>28889</v>
      </c>
      <c r="Q6504" s="8">
        <f>+(70+8/60+37/3600)</f>
        <v>70.143611111111113</v>
      </c>
      <c r="R6504" s="8">
        <v>10.199999999999999</v>
      </c>
      <c r="S6504" s="8">
        <v>10.9</v>
      </c>
      <c r="T6504" s="8">
        <v>0.7</v>
      </c>
      <c r="U6504" s="8">
        <v>13.1</v>
      </c>
      <c r="V6504" s="8">
        <v>7</v>
      </c>
      <c r="W6504" s="8">
        <v>2.5</v>
      </c>
      <c r="X6504" s="8">
        <v>123</v>
      </c>
      <c r="Y6504" s="8" t="s">
        <v>28890</v>
      </c>
      <c r="Z6504" s="8" t="s">
        <v>28891</v>
      </c>
    </row>
    <row r="6505" spans="1:26" x14ac:dyDescent="0.2">
      <c r="A6505" s="8">
        <v>6504</v>
      </c>
      <c r="B6505" s="8" t="s">
        <v>28892</v>
      </c>
      <c r="C6505" s="8" t="s">
        <v>28892</v>
      </c>
      <c r="F6505" s="47"/>
      <c r="G6505" s="8">
        <v>18</v>
      </c>
      <c r="H6505" s="8" t="s">
        <v>21</v>
      </c>
      <c r="I6505" s="8" t="s">
        <v>22</v>
      </c>
      <c r="J6505" s="8" t="s">
        <v>22</v>
      </c>
      <c r="K6505" s="8" t="s">
        <v>449</v>
      </c>
      <c r="L6505" s="8" t="s">
        <v>26804</v>
      </c>
      <c r="M6505" s="8" t="s">
        <v>26805</v>
      </c>
      <c r="N6505" s="8" t="s">
        <v>28893</v>
      </c>
      <c r="O6505" s="8">
        <f>17+56/60+5.6/3600</f>
        <v>17.934888888888889</v>
      </c>
      <c r="P6505" s="8" t="s">
        <v>28894</v>
      </c>
      <c r="Q6505" s="8">
        <f>+(33+12/60+31/3600)</f>
        <v>33.208611111111111</v>
      </c>
      <c r="R6505" s="8">
        <v>12.6</v>
      </c>
      <c r="S6505" s="8">
        <v>13.5</v>
      </c>
      <c r="T6505" s="8">
        <v>0.9</v>
      </c>
      <c r="U6505" s="8">
        <v>12.6</v>
      </c>
      <c r="V6505" s="8">
        <v>2.2000000000000002</v>
      </c>
      <c r="W6505" s="8">
        <v>0.5</v>
      </c>
      <c r="X6505" s="8">
        <v>94</v>
      </c>
      <c r="Y6505" s="8" t="s">
        <v>28895</v>
      </c>
      <c r="Z6505" s="8" t="s">
        <v>28896</v>
      </c>
    </row>
    <row r="6506" spans="1:26" x14ac:dyDescent="0.2">
      <c r="A6506" s="8">
        <v>6505</v>
      </c>
      <c r="B6506" s="8" t="s">
        <v>28897</v>
      </c>
      <c r="C6506" s="8" t="s">
        <v>28897</v>
      </c>
      <c r="F6506" s="47"/>
      <c r="G6506" s="8">
        <v>19</v>
      </c>
      <c r="H6506" s="8" t="s">
        <v>21</v>
      </c>
      <c r="I6506" s="8" t="s">
        <v>22</v>
      </c>
      <c r="J6506" s="8" t="s">
        <v>22</v>
      </c>
      <c r="K6506" s="8" t="s">
        <v>58</v>
      </c>
      <c r="L6506" s="8" t="s">
        <v>13395</v>
      </c>
      <c r="M6506" s="8" t="s">
        <v>13396</v>
      </c>
      <c r="N6506" s="8" t="s">
        <v>28898</v>
      </c>
      <c r="O6506" s="8">
        <f>17+51/60+7.3/3600</f>
        <v>17.852027777777778</v>
      </c>
      <c r="P6506" s="8" t="s">
        <v>28899</v>
      </c>
      <c r="Q6506" s="8">
        <f>+(65+31/60+53/3600)</f>
        <v>65.531388888888884</v>
      </c>
      <c r="R6506" s="8">
        <v>14.4</v>
      </c>
      <c r="S6506" s="8">
        <v>15.4</v>
      </c>
      <c r="T6506" s="8">
        <v>1</v>
      </c>
      <c r="U6506" s="8">
        <v>14.6</v>
      </c>
      <c r="V6506" s="8">
        <v>1.1000000000000001</v>
      </c>
      <c r="W6506" s="8">
        <v>1</v>
      </c>
      <c r="X6506" s="8">
        <v>126</v>
      </c>
      <c r="Y6506" s="8" t="s">
        <v>15791</v>
      </c>
      <c r="Z6506" s="8" t="s">
        <v>15792</v>
      </c>
    </row>
    <row r="6507" spans="1:26" x14ac:dyDescent="0.2">
      <c r="A6507" s="8">
        <v>6506</v>
      </c>
      <c r="B6507" s="8" t="s">
        <v>28900</v>
      </c>
      <c r="C6507" s="8" t="s">
        <v>28900</v>
      </c>
      <c r="F6507" s="47"/>
      <c r="G6507" s="8">
        <v>16</v>
      </c>
      <c r="H6507" s="8" t="s">
        <v>21</v>
      </c>
      <c r="I6507" s="8" t="s">
        <v>557</v>
      </c>
      <c r="J6507" s="8" t="s">
        <v>557</v>
      </c>
      <c r="K6507" s="8" t="s">
        <v>987</v>
      </c>
      <c r="L6507" s="8" t="s">
        <v>28576</v>
      </c>
      <c r="M6507" s="8" t="s">
        <v>28577</v>
      </c>
      <c r="N6507" s="8" t="s">
        <v>28901</v>
      </c>
      <c r="O6507" s="8">
        <f>17+59/60+53.4/3600</f>
        <v>17.998166666666666</v>
      </c>
      <c r="P6507" s="8" t="s">
        <v>28902</v>
      </c>
      <c r="Q6507" s="8">
        <f>-(24+41/60+7/3600)</f>
        <v>-24.685277777777777</v>
      </c>
      <c r="R6507" s="8">
        <v>99</v>
      </c>
      <c r="S6507" s="8">
        <v>99</v>
      </c>
      <c r="T6507" s="8">
        <v>99</v>
      </c>
      <c r="U6507" s="8">
        <v>99</v>
      </c>
      <c r="Y6507" s="8" t="s">
        <v>28903</v>
      </c>
      <c r="Z6507" s="8" t="s">
        <v>28904</v>
      </c>
    </row>
    <row r="6508" spans="1:26" x14ac:dyDescent="0.2">
      <c r="A6508" s="8">
        <v>6507</v>
      </c>
      <c r="B6508" s="8" t="s">
        <v>28905</v>
      </c>
      <c r="C6508" s="8" t="s">
        <v>28905</v>
      </c>
      <c r="F6508" s="47" t="s">
        <v>58201</v>
      </c>
      <c r="G6508" s="8">
        <v>6.5</v>
      </c>
      <c r="H6508" s="8" t="s">
        <v>21</v>
      </c>
      <c r="I6508" s="8" t="s">
        <v>557</v>
      </c>
      <c r="J6508" s="8" t="s">
        <v>557</v>
      </c>
      <c r="K6508" s="8" t="s">
        <v>693</v>
      </c>
      <c r="L6508" s="8" t="s">
        <v>28576</v>
      </c>
      <c r="M6508" s="8" t="s">
        <v>28577</v>
      </c>
      <c r="N6508" s="8" t="s">
        <v>28906</v>
      </c>
      <c r="O6508" s="8">
        <f>17+59/60+50/3600</f>
        <v>17.997222222222224</v>
      </c>
      <c r="P6508" s="8" t="s">
        <v>28907</v>
      </c>
      <c r="Q6508" s="8">
        <f>-(17+27/60+0/3600)</f>
        <v>-17.45</v>
      </c>
      <c r="R6508" s="8">
        <v>99</v>
      </c>
      <c r="S6508" s="8">
        <v>9.6</v>
      </c>
      <c r="T6508" s="8">
        <v>99</v>
      </c>
      <c r="U6508" s="8">
        <v>99</v>
      </c>
      <c r="V6508" s="8">
        <v>7</v>
      </c>
      <c r="Y6508" s="8" t="s">
        <v>12056</v>
      </c>
      <c r="Z6508" s="8" t="s">
        <v>12057</v>
      </c>
    </row>
    <row r="6509" spans="1:26" x14ac:dyDescent="0.2">
      <c r="A6509" s="8">
        <v>6508</v>
      </c>
      <c r="B6509" s="8" t="s">
        <v>28908</v>
      </c>
      <c r="C6509" s="8" t="s">
        <v>28908</v>
      </c>
      <c r="F6509" s="47"/>
      <c r="G6509" s="8">
        <v>19</v>
      </c>
      <c r="H6509" s="8" t="s">
        <v>21</v>
      </c>
      <c r="I6509" s="8" t="s">
        <v>22</v>
      </c>
      <c r="J6509" s="8" t="s">
        <v>22</v>
      </c>
      <c r="K6509" s="8" t="s">
        <v>460</v>
      </c>
      <c r="L6509" s="8" t="s">
        <v>13395</v>
      </c>
      <c r="M6509" s="8" t="s">
        <v>13396</v>
      </c>
      <c r="N6509" s="8" t="s">
        <v>28909</v>
      </c>
      <c r="O6509" s="8">
        <f>17+49/60+46.3/3600</f>
        <v>17.829527777777777</v>
      </c>
      <c r="P6509" s="8" t="s">
        <v>28910</v>
      </c>
      <c r="Q6509" s="8">
        <f>+(72+1/60+18/3600)</f>
        <v>72.021666666666661</v>
      </c>
      <c r="R6509" s="8">
        <v>12.8</v>
      </c>
      <c r="S6509" s="8">
        <v>13.8</v>
      </c>
      <c r="T6509" s="8">
        <v>1</v>
      </c>
      <c r="U6509" s="8">
        <v>13.3</v>
      </c>
      <c r="V6509" s="8">
        <v>1.3</v>
      </c>
      <c r="W6509" s="8">
        <v>1.3</v>
      </c>
      <c r="Y6509" s="8" t="s">
        <v>597</v>
      </c>
      <c r="Z6509" s="8" t="s">
        <v>598</v>
      </c>
    </row>
    <row r="6510" spans="1:26" x14ac:dyDescent="0.2">
      <c r="A6510" s="8">
        <v>6509</v>
      </c>
      <c r="B6510" s="8" t="s">
        <v>28911</v>
      </c>
      <c r="C6510" s="8" t="s">
        <v>28911</v>
      </c>
      <c r="F6510" s="47"/>
      <c r="G6510" s="8">
        <v>19</v>
      </c>
      <c r="H6510" s="8" t="s">
        <v>21</v>
      </c>
      <c r="I6510" s="8" t="s">
        <v>22</v>
      </c>
      <c r="J6510" s="8" t="s">
        <v>22</v>
      </c>
      <c r="K6510" s="8" t="s">
        <v>1277</v>
      </c>
      <c r="L6510" s="8" t="s">
        <v>26994</v>
      </c>
      <c r="M6510" s="8" t="s">
        <v>26995</v>
      </c>
      <c r="N6510" s="8" t="s">
        <v>28912</v>
      </c>
      <c r="O6510" s="8">
        <f>17+59/60+25.3/3600</f>
        <v>17.990361111111113</v>
      </c>
      <c r="P6510" s="8" t="s">
        <v>28913</v>
      </c>
      <c r="Q6510" s="8">
        <f>+(6+17/60+14/3600)</f>
        <v>6.2872222222222218</v>
      </c>
      <c r="R6510" s="8">
        <v>12.5</v>
      </c>
      <c r="S6510" s="8">
        <v>13.2</v>
      </c>
      <c r="T6510" s="8">
        <v>0.7</v>
      </c>
      <c r="U6510" s="8">
        <v>13.1</v>
      </c>
      <c r="V6510" s="8">
        <v>1.6</v>
      </c>
      <c r="W6510" s="8">
        <v>1.2</v>
      </c>
      <c r="X6510" s="8">
        <v>105</v>
      </c>
      <c r="Y6510" s="8" t="s">
        <v>28914</v>
      </c>
      <c r="Z6510" s="8" t="s">
        <v>28915</v>
      </c>
    </row>
    <row r="6511" spans="1:26" x14ac:dyDescent="0.2">
      <c r="A6511" s="8">
        <v>6510</v>
      </c>
      <c r="B6511" s="8" t="s">
        <v>28916</v>
      </c>
      <c r="C6511" s="8" t="s">
        <v>28916</v>
      </c>
      <c r="F6511" s="47"/>
      <c r="G6511" s="8">
        <v>19</v>
      </c>
      <c r="H6511" s="8" t="s">
        <v>21</v>
      </c>
      <c r="I6511" s="8" t="s">
        <v>22</v>
      </c>
      <c r="J6511" s="8" t="s">
        <v>57</v>
      </c>
      <c r="K6511" s="8" t="s">
        <v>64</v>
      </c>
      <c r="L6511" s="8" t="s">
        <v>13395</v>
      </c>
      <c r="M6511" s="8" t="s">
        <v>13396</v>
      </c>
      <c r="N6511" s="8" t="s">
        <v>28917</v>
      </c>
      <c r="O6511" s="8">
        <f>17+54/60+39.2/3600</f>
        <v>17.910888888888888</v>
      </c>
      <c r="P6511" s="8" t="s">
        <v>28918</v>
      </c>
      <c r="Q6511" s="8">
        <f>+(60+49/60+2/3600)</f>
        <v>60.817222222222227</v>
      </c>
      <c r="R6511" s="8">
        <v>13.7</v>
      </c>
      <c r="S6511" s="8">
        <v>14.4</v>
      </c>
      <c r="T6511" s="8">
        <v>0.7</v>
      </c>
      <c r="U6511" s="8">
        <v>13</v>
      </c>
      <c r="V6511" s="8">
        <v>1</v>
      </c>
      <c r="W6511" s="8">
        <v>0.6</v>
      </c>
      <c r="X6511" s="8">
        <v>30</v>
      </c>
      <c r="Y6511" s="8" t="s">
        <v>28919</v>
      </c>
      <c r="Z6511" s="8" t="s">
        <v>13948</v>
      </c>
    </row>
    <row r="6512" spans="1:26" x14ac:dyDescent="0.2">
      <c r="A6512" s="8">
        <v>6511</v>
      </c>
      <c r="B6512" s="8" t="s">
        <v>28920</v>
      </c>
      <c r="C6512" s="8" t="s">
        <v>28920</v>
      </c>
      <c r="F6512" s="47"/>
      <c r="G6512" s="8">
        <v>19</v>
      </c>
      <c r="H6512" s="8" t="s">
        <v>21</v>
      </c>
      <c r="I6512" s="8" t="s">
        <v>22</v>
      </c>
      <c r="J6512" s="8" t="s">
        <v>22</v>
      </c>
      <c r="K6512" s="8" t="s">
        <v>64</v>
      </c>
      <c r="L6512" s="8" t="s">
        <v>13395</v>
      </c>
      <c r="M6512" s="8" t="s">
        <v>13396</v>
      </c>
      <c r="N6512" s="8" t="s">
        <v>28917</v>
      </c>
      <c r="O6512" s="8">
        <f>17+54/60+39.2/3600</f>
        <v>17.910888888888888</v>
      </c>
      <c r="P6512" s="8" t="s">
        <v>28918</v>
      </c>
      <c r="Q6512" s="8">
        <f>+(60+49/60+2/3600)</f>
        <v>60.817222222222227</v>
      </c>
      <c r="R6512" s="8">
        <v>13.7</v>
      </c>
      <c r="S6512" s="8">
        <v>14.4</v>
      </c>
      <c r="T6512" s="8">
        <v>0.7</v>
      </c>
      <c r="U6512" s="8">
        <v>13</v>
      </c>
      <c r="V6512" s="8">
        <v>1</v>
      </c>
      <c r="W6512" s="8">
        <v>0.6</v>
      </c>
      <c r="X6512" s="8">
        <v>30</v>
      </c>
      <c r="Y6512" s="8" t="s">
        <v>28919</v>
      </c>
      <c r="Z6512" s="8" t="s">
        <v>28921</v>
      </c>
    </row>
    <row r="6513" spans="1:26" x14ac:dyDescent="0.2">
      <c r="A6513" s="8">
        <v>6512</v>
      </c>
      <c r="B6513" s="8" t="s">
        <v>28922</v>
      </c>
      <c r="C6513" s="8" t="s">
        <v>28922</v>
      </c>
      <c r="F6513" s="47"/>
      <c r="G6513" s="8">
        <v>18</v>
      </c>
      <c r="H6513" s="8" t="s">
        <v>21</v>
      </c>
      <c r="I6513" s="8" t="s">
        <v>22</v>
      </c>
      <c r="J6513" s="8" t="s">
        <v>22</v>
      </c>
      <c r="K6513" s="8" t="s">
        <v>58</v>
      </c>
      <c r="L6513" s="8" t="s">
        <v>13395</v>
      </c>
      <c r="M6513" s="8" t="s">
        <v>13396</v>
      </c>
      <c r="N6513" s="8" t="s">
        <v>28923</v>
      </c>
      <c r="O6513" s="8">
        <f>17+54/60+50.2/3600</f>
        <v>17.913944444444443</v>
      </c>
      <c r="P6513" s="8" t="s">
        <v>28924</v>
      </c>
      <c r="Q6513" s="8">
        <f>+(62+38/60+44/3600)</f>
        <v>62.645555555555553</v>
      </c>
      <c r="R6513" s="8">
        <v>13.9</v>
      </c>
      <c r="S6513" s="8">
        <v>14.9</v>
      </c>
      <c r="T6513" s="8">
        <v>1</v>
      </c>
      <c r="U6513" s="8">
        <v>12.2</v>
      </c>
      <c r="V6513" s="8">
        <v>0.5</v>
      </c>
      <c r="W6513" s="8">
        <v>0.4</v>
      </c>
      <c r="X6513" s="8">
        <v>57</v>
      </c>
      <c r="Y6513" s="8" t="s">
        <v>28925</v>
      </c>
      <c r="Z6513" s="8" t="s">
        <v>28926</v>
      </c>
    </row>
    <row r="6514" spans="1:26" x14ac:dyDescent="0.2">
      <c r="A6514" s="8">
        <v>6513</v>
      </c>
      <c r="B6514" s="8" t="s">
        <v>28927</v>
      </c>
      <c r="C6514" s="8" t="s">
        <v>28927</v>
      </c>
      <c r="F6514" s="47"/>
      <c r="G6514" s="8">
        <v>18</v>
      </c>
      <c r="H6514" s="8" t="s">
        <v>21</v>
      </c>
      <c r="I6514" s="8" t="s">
        <v>22</v>
      </c>
      <c r="J6514" s="8" t="s">
        <v>22</v>
      </c>
      <c r="K6514" s="8" t="s">
        <v>224</v>
      </c>
      <c r="L6514" s="8" t="s">
        <v>26804</v>
      </c>
      <c r="M6514" s="8" t="s">
        <v>26805</v>
      </c>
      <c r="N6514" s="8" t="s">
        <v>28928</v>
      </c>
      <c r="O6514" s="8">
        <f>17+59/60+34.3/3600</f>
        <v>17.992861111111111</v>
      </c>
      <c r="P6514" s="8" t="s">
        <v>28929</v>
      </c>
      <c r="Q6514" s="8">
        <f>+(24+53/60+15/3600)</f>
        <v>24.887499999999999</v>
      </c>
      <c r="R6514" s="8">
        <v>13.3</v>
      </c>
      <c r="S6514" s="8">
        <v>14.3</v>
      </c>
      <c r="T6514" s="8">
        <v>1</v>
      </c>
      <c r="U6514" s="8">
        <v>13.1</v>
      </c>
      <c r="V6514" s="8">
        <v>1.2</v>
      </c>
      <c r="W6514" s="8">
        <v>0.9</v>
      </c>
      <c r="X6514" s="8">
        <v>40</v>
      </c>
      <c r="Y6514" s="8" t="s">
        <v>1948</v>
      </c>
      <c r="Z6514" s="8" t="s">
        <v>1949</v>
      </c>
    </row>
    <row r="6515" spans="1:26" x14ac:dyDescent="0.2">
      <c r="A6515" s="8">
        <v>6514</v>
      </c>
      <c r="B6515" s="8" t="s">
        <v>28930</v>
      </c>
      <c r="C6515" s="8" t="s">
        <v>55940</v>
      </c>
      <c r="F6515" s="47" t="s">
        <v>58202</v>
      </c>
      <c r="G6515" s="8">
        <v>1</v>
      </c>
      <c r="H6515" s="8" t="s">
        <v>28931</v>
      </c>
      <c r="I6515" s="8" t="s">
        <v>1283</v>
      </c>
      <c r="J6515" s="8" t="s">
        <v>1283</v>
      </c>
      <c r="K6515" s="8" t="s">
        <v>1751</v>
      </c>
      <c r="L6515" s="8" t="s">
        <v>28576</v>
      </c>
      <c r="M6515" s="8" t="s">
        <v>28577</v>
      </c>
      <c r="N6515" s="8" t="s">
        <v>28932</v>
      </c>
      <c r="O6515" s="8">
        <f>18+3/60+26/3600</f>
        <v>18.057222222222222</v>
      </c>
      <c r="P6515" s="8" t="s">
        <v>28933</v>
      </c>
      <c r="Q6515" s="8">
        <f>-(22+59/60+27/3600)</f>
        <v>-22.990833333333335</v>
      </c>
      <c r="R6515" s="8">
        <v>99</v>
      </c>
      <c r="S6515" s="8">
        <v>8.5</v>
      </c>
      <c r="T6515" s="8">
        <v>99</v>
      </c>
      <c r="U6515" s="8">
        <v>99</v>
      </c>
      <c r="V6515" s="8">
        <v>20</v>
      </c>
      <c r="W6515" s="8">
        <v>20</v>
      </c>
      <c r="Y6515" s="8" t="s">
        <v>28934</v>
      </c>
      <c r="Z6515" s="8" t="s">
        <v>28935</v>
      </c>
    </row>
    <row r="6516" spans="1:26" x14ac:dyDescent="0.2">
      <c r="A6516" s="8">
        <v>6515</v>
      </c>
      <c r="B6516" s="8" t="s">
        <v>28936</v>
      </c>
      <c r="C6516" s="8" t="s">
        <v>28936</v>
      </c>
      <c r="F6516" s="47"/>
      <c r="G6516" s="8">
        <v>19</v>
      </c>
      <c r="H6516" s="8" t="s">
        <v>21</v>
      </c>
      <c r="I6516" s="8" t="s">
        <v>22</v>
      </c>
      <c r="J6516" s="8" t="s">
        <v>22</v>
      </c>
      <c r="K6516" s="8" t="s">
        <v>50</v>
      </c>
      <c r="L6516" s="8" t="s">
        <v>13395</v>
      </c>
      <c r="M6516" s="8" t="s">
        <v>13396</v>
      </c>
      <c r="N6516" s="8" t="s">
        <v>28937</v>
      </c>
      <c r="O6516" s="8">
        <f>17+57/60+25.3/3600</f>
        <v>17.957027777777778</v>
      </c>
      <c r="P6516" s="8" t="s">
        <v>28938</v>
      </c>
      <c r="Q6516" s="8">
        <f>+(50+43/60+39/3600)</f>
        <v>50.727499999999999</v>
      </c>
      <c r="R6516" s="8">
        <v>13</v>
      </c>
      <c r="S6516" s="8">
        <v>14</v>
      </c>
      <c r="T6516" s="8">
        <v>1</v>
      </c>
      <c r="U6516" s="8">
        <v>13.6</v>
      </c>
      <c r="V6516" s="8">
        <v>1.6</v>
      </c>
      <c r="W6516" s="8">
        <v>1</v>
      </c>
      <c r="X6516" s="8">
        <v>10</v>
      </c>
      <c r="Y6516" s="8" t="s">
        <v>28939</v>
      </c>
      <c r="Z6516" s="8" t="s">
        <v>28940</v>
      </c>
    </row>
    <row r="6517" spans="1:26" x14ac:dyDescent="0.2">
      <c r="A6517" s="8">
        <v>6516</v>
      </c>
      <c r="B6517" s="8" t="s">
        <v>28941</v>
      </c>
      <c r="C6517" s="8" t="s">
        <v>28941</v>
      </c>
      <c r="F6517" s="47"/>
      <c r="G6517" s="8">
        <v>18</v>
      </c>
      <c r="H6517" s="8" t="s">
        <v>21</v>
      </c>
      <c r="I6517" s="8" t="s">
        <v>22</v>
      </c>
      <c r="J6517" s="8" t="s">
        <v>22</v>
      </c>
      <c r="K6517" s="8" t="s">
        <v>449</v>
      </c>
      <c r="L6517" s="8" t="s">
        <v>13395</v>
      </c>
      <c r="M6517" s="8" t="s">
        <v>13396</v>
      </c>
      <c r="N6517" s="8" t="s">
        <v>28942</v>
      </c>
      <c r="O6517" s="8">
        <f>17+55/60+16.6/3600</f>
        <v>17.921277777777778</v>
      </c>
      <c r="P6517" s="8" t="s">
        <v>28943</v>
      </c>
      <c r="Q6517" s="8">
        <f>+(62+40/60+10/3600)</f>
        <v>62.669444444444444</v>
      </c>
      <c r="R6517" s="8">
        <v>14.8</v>
      </c>
      <c r="S6517" s="8">
        <v>15.6</v>
      </c>
      <c r="T6517" s="8">
        <v>0.8</v>
      </c>
      <c r="U6517" s="8">
        <v>12.1</v>
      </c>
      <c r="V6517" s="8">
        <v>0.5</v>
      </c>
      <c r="W6517" s="8">
        <v>0.2</v>
      </c>
      <c r="X6517" s="8">
        <v>135</v>
      </c>
      <c r="Y6517" s="8" t="s">
        <v>28944</v>
      </c>
      <c r="Z6517" s="8" t="s">
        <v>28945</v>
      </c>
    </row>
    <row r="6518" spans="1:26" x14ac:dyDescent="0.2">
      <c r="A6518" s="8">
        <v>6517</v>
      </c>
      <c r="B6518" s="8" t="s">
        <v>28946</v>
      </c>
      <c r="C6518" s="8" t="s">
        <v>28946</v>
      </c>
      <c r="F6518" s="47" t="s">
        <v>58203</v>
      </c>
      <c r="G6518" s="8">
        <v>6</v>
      </c>
      <c r="H6518" s="8" t="s">
        <v>21</v>
      </c>
      <c r="I6518" s="8" t="s">
        <v>567</v>
      </c>
      <c r="J6518" s="8" t="s">
        <v>567</v>
      </c>
      <c r="K6518" s="8" t="s">
        <v>25121</v>
      </c>
      <c r="L6518" s="8" t="s">
        <v>26994</v>
      </c>
      <c r="M6518" s="8" t="s">
        <v>26995</v>
      </c>
      <c r="N6518" s="8" t="s">
        <v>28947</v>
      </c>
      <c r="O6518" s="8">
        <f>18+1/60+50.6/3600</f>
        <v>18.03072222222222</v>
      </c>
      <c r="P6518" s="8" t="s">
        <v>28948</v>
      </c>
      <c r="Q6518" s="8">
        <f>-(8+57/60+30/3600)</f>
        <v>-8.9583333333333321</v>
      </c>
      <c r="R6518" s="8">
        <v>10.1</v>
      </c>
      <c r="S6518" s="8">
        <v>99</v>
      </c>
      <c r="T6518" s="8">
        <v>99</v>
      </c>
      <c r="U6518" s="8">
        <v>99</v>
      </c>
      <c r="V6518" s="8">
        <v>4</v>
      </c>
      <c r="Y6518" s="8" t="s">
        <v>28949</v>
      </c>
      <c r="Z6518" s="8" t="s">
        <v>28950</v>
      </c>
    </row>
    <row r="6519" spans="1:26" x14ac:dyDescent="0.2">
      <c r="A6519" s="8">
        <v>6518</v>
      </c>
      <c r="B6519" s="8" t="s">
        <v>28951</v>
      </c>
      <c r="C6519" s="8" t="s">
        <v>28951</v>
      </c>
      <c r="F6519" s="47"/>
      <c r="G6519" s="8">
        <v>19</v>
      </c>
      <c r="H6519" s="8" t="s">
        <v>21</v>
      </c>
      <c r="I6519" s="8" t="s">
        <v>22</v>
      </c>
      <c r="J6519" s="8" t="s">
        <v>22</v>
      </c>
      <c r="K6519" s="8" t="s">
        <v>424</v>
      </c>
      <c r="L6519" s="8" t="s">
        <v>26804</v>
      </c>
      <c r="M6519" s="8" t="s">
        <v>26805</v>
      </c>
      <c r="N6519" s="8" t="s">
        <v>28952</v>
      </c>
      <c r="O6519" s="8">
        <f>17+59/60+43.6/3600</f>
        <v>17.995444444444445</v>
      </c>
      <c r="P6519" s="8" t="s">
        <v>28953</v>
      </c>
      <c r="Q6519" s="8">
        <f>+(28+52/60+2/3600)</f>
        <v>28.867222222222221</v>
      </c>
      <c r="R6519" s="8">
        <v>13.9</v>
      </c>
      <c r="S6519" s="8">
        <v>14.9</v>
      </c>
      <c r="T6519" s="8">
        <v>1</v>
      </c>
      <c r="U6519" s="8">
        <v>11.8</v>
      </c>
      <c r="V6519" s="8">
        <v>0.4</v>
      </c>
      <c r="W6519" s="8">
        <v>0.4</v>
      </c>
      <c r="Y6519" s="8" t="s">
        <v>28954</v>
      </c>
      <c r="Z6519" s="8" t="s">
        <v>28955</v>
      </c>
    </row>
    <row r="6520" spans="1:26" x14ac:dyDescent="0.2">
      <c r="A6520" s="8">
        <v>6519</v>
      </c>
      <c r="B6520" s="8" t="s">
        <v>28956</v>
      </c>
      <c r="C6520" s="8" t="s">
        <v>28956</v>
      </c>
      <c r="F6520" s="47"/>
      <c r="G6520" s="8">
        <v>18</v>
      </c>
      <c r="H6520" s="8" t="s">
        <v>21</v>
      </c>
      <c r="I6520" s="8" t="s">
        <v>72</v>
      </c>
      <c r="J6520" s="8" t="s">
        <v>72</v>
      </c>
      <c r="K6520" s="8" t="s">
        <v>1405</v>
      </c>
      <c r="L6520" s="8" t="s">
        <v>28576</v>
      </c>
      <c r="M6520" s="8" t="s">
        <v>28577</v>
      </c>
      <c r="N6520" s="8" t="s">
        <v>28957</v>
      </c>
      <c r="O6520" s="8">
        <f>18+3/60+20.1/3600</f>
        <v>18.055583333333335</v>
      </c>
      <c r="P6520" s="8" t="s">
        <v>28958</v>
      </c>
      <c r="Q6520" s="8">
        <f>-(29+48/60+14/3600)</f>
        <v>-29.803888888888888</v>
      </c>
      <c r="R6520" s="8">
        <v>99</v>
      </c>
      <c r="S6520" s="8">
        <v>99</v>
      </c>
      <c r="T6520" s="8">
        <v>99</v>
      </c>
      <c r="U6520" s="8">
        <v>99</v>
      </c>
      <c r="Y6520" s="8" t="s">
        <v>28959</v>
      </c>
      <c r="Z6520" s="8" t="s">
        <v>28960</v>
      </c>
    </row>
    <row r="6521" spans="1:26" x14ac:dyDescent="0.2">
      <c r="A6521" s="8">
        <v>6520</v>
      </c>
      <c r="B6521" s="8" t="s">
        <v>28961</v>
      </c>
      <c r="C6521" s="8" t="s">
        <v>28961</v>
      </c>
      <c r="F6521" s="47" t="s">
        <v>58204</v>
      </c>
      <c r="G6521" s="8">
        <v>6</v>
      </c>
      <c r="H6521" s="8" t="s">
        <v>28962</v>
      </c>
      <c r="I6521" s="8" t="s">
        <v>557</v>
      </c>
      <c r="J6521" s="8" t="s">
        <v>557</v>
      </c>
      <c r="K6521" s="8" t="s">
        <v>11168</v>
      </c>
      <c r="L6521" s="8" t="s">
        <v>28576</v>
      </c>
      <c r="M6521" s="8" t="s">
        <v>28577</v>
      </c>
      <c r="N6521" s="8" t="s">
        <v>28963</v>
      </c>
      <c r="O6521" s="8">
        <f>18+3/60+25/3600</f>
        <v>18.056944444444444</v>
      </c>
      <c r="P6521" s="8" t="s">
        <v>28964</v>
      </c>
      <c r="Q6521" s="8">
        <f>-(27+53/60+28/3600)</f>
        <v>-27.891111111111112</v>
      </c>
      <c r="R6521" s="8">
        <v>7.6</v>
      </c>
      <c r="S6521" s="8">
        <v>99</v>
      </c>
      <c r="T6521" s="8">
        <v>99</v>
      </c>
      <c r="U6521" s="8">
        <v>99</v>
      </c>
      <c r="V6521" s="8">
        <v>5</v>
      </c>
      <c r="Y6521" s="8" t="s">
        <v>28965</v>
      </c>
      <c r="Z6521" s="8" t="s">
        <v>28966</v>
      </c>
    </row>
    <row r="6522" spans="1:26" x14ac:dyDescent="0.2">
      <c r="A6522" s="8">
        <v>6521</v>
      </c>
      <c r="B6522" s="8" t="s">
        <v>28967</v>
      </c>
      <c r="C6522" s="8" t="s">
        <v>28967</v>
      </c>
      <c r="F6522" s="47"/>
      <c r="G6522" s="8">
        <v>18</v>
      </c>
      <c r="H6522" s="8" t="s">
        <v>21</v>
      </c>
      <c r="I6522" s="8" t="s">
        <v>22</v>
      </c>
      <c r="J6522" s="8" t="s">
        <v>22</v>
      </c>
      <c r="K6522" s="8" t="s">
        <v>1136</v>
      </c>
      <c r="L6522" s="8" t="s">
        <v>13395</v>
      </c>
      <c r="M6522" s="8" t="s">
        <v>13396</v>
      </c>
      <c r="N6522" s="8" t="s">
        <v>28968</v>
      </c>
      <c r="O6522" s="8">
        <f>17+55/60+48.3/3600</f>
        <v>17.930083333333336</v>
      </c>
      <c r="P6522" s="8" t="s">
        <v>28969</v>
      </c>
      <c r="Q6522" s="8">
        <f>+(62+36/60+42/3600)</f>
        <v>62.611666666666665</v>
      </c>
      <c r="R6522" s="8">
        <v>12.9</v>
      </c>
      <c r="S6522" s="8">
        <v>14</v>
      </c>
      <c r="T6522" s="8">
        <v>1.1000000000000001</v>
      </c>
      <c r="U6522" s="8">
        <v>13.7</v>
      </c>
      <c r="V6522" s="8">
        <v>1.6</v>
      </c>
      <c r="W6522" s="8">
        <v>1.3</v>
      </c>
      <c r="X6522" s="8">
        <v>160</v>
      </c>
      <c r="Y6522" s="8" t="s">
        <v>28970</v>
      </c>
      <c r="Z6522" s="8" t="s">
        <v>28971</v>
      </c>
    </row>
    <row r="6523" spans="1:26" x14ac:dyDescent="0.2">
      <c r="A6523" s="8">
        <v>6522</v>
      </c>
      <c r="B6523" s="8" t="s">
        <v>28972</v>
      </c>
      <c r="C6523" s="8" t="s">
        <v>28972</v>
      </c>
      <c r="F6523" s="47" t="s">
        <v>58205</v>
      </c>
      <c r="G6523" s="8">
        <v>3</v>
      </c>
      <c r="H6523" s="8" t="s">
        <v>28973</v>
      </c>
      <c r="I6523" s="8" t="s">
        <v>567</v>
      </c>
      <c r="J6523" s="8" t="s">
        <v>567</v>
      </c>
      <c r="K6523" s="8" t="s">
        <v>10621</v>
      </c>
      <c r="L6523" s="8" t="s">
        <v>28576</v>
      </c>
      <c r="M6523" s="8" t="s">
        <v>28577</v>
      </c>
      <c r="N6523" s="8" t="s">
        <v>28974</v>
      </c>
      <c r="O6523" s="8">
        <f>18+3/60+34.1/3600</f>
        <v>18.059472222222222</v>
      </c>
      <c r="P6523" s="8" t="s">
        <v>28975</v>
      </c>
      <c r="Q6523" s="8">
        <f>-(30+2/60+0/3600)</f>
        <v>-30.033333333333335</v>
      </c>
      <c r="R6523" s="8">
        <v>9.9</v>
      </c>
      <c r="S6523" s="8">
        <v>99</v>
      </c>
      <c r="T6523" s="8">
        <v>99</v>
      </c>
      <c r="U6523" s="8">
        <v>99</v>
      </c>
      <c r="V6523" s="8">
        <v>9.4</v>
      </c>
      <c r="Y6523" s="8" t="s">
        <v>28976</v>
      </c>
      <c r="Z6523" s="8" t="s">
        <v>28977</v>
      </c>
    </row>
    <row r="6524" spans="1:26" x14ac:dyDescent="0.2">
      <c r="A6524" s="8">
        <v>6523</v>
      </c>
      <c r="B6524" s="8" t="s">
        <v>28978</v>
      </c>
      <c r="C6524" s="8" t="s">
        <v>55941</v>
      </c>
      <c r="F6524" s="47"/>
      <c r="G6524" s="8">
        <v>1</v>
      </c>
      <c r="H6524" s="8" t="s">
        <v>28979</v>
      </c>
      <c r="I6524" s="8" t="s">
        <v>1283</v>
      </c>
      <c r="J6524" s="8" t="s">
        <v>1283</v>
      </c>
      <c r="K6524" s="8" t="s">
        <v>1284</v>
      </c>
      <c r="L6524" s="8" t="s">
        <v>28576</v>
      </c>
      <c r="M6524" s="8" t="s">
        <v>28577</v>
      </c>
      <c r="N6524" s="8" t="s">
        <v>28980</v>
      </c>
      <c r="O6524" s="8">
        <f>18+3/60+42/3600</f>
        <v>18.061666666666667</v>
      </c>
      <c r="P6524" s="8" t="s">
        <v>28981</v>
      </c>
      <c r="Q6524" s="8">
        <f>-(24+22/60+48/3600)</f>
        <v>-24.38</v>
      </c>
      <c r="R6524" s="8">
        <v>99</v>
      </c>
      <c r="S6524" s="8">
        <v>5.8</v>
      </c>
      <c r="T6524" s="8">
        <v>99</v>
      </c>
      <c r="U6524" s="8">
        <v>99</v>
      </c>
      <c r="V6524" s="8">
        <v>45</v>
      </c>
      <c r="W6524" s="8">
        <v>30</v>
      </c>
      <c r="Y6524" s="8" t="s">
        <v>28982</v>
      </c>
      <c r="Z6524" s="8" t="s">
        <v>28983</v>
      </c>
    </row>
    <row r="6525" spans="1:26" x14ac:dyDescent="0.2">
      <c r="A6525" s="8">
        <v>6524</v>
      </c>
      <c r="B6525" s="8" t="s">
        <v>28984</v>
      </c>
      <c r="C6525" s="8" t="s">
        <v>28984</v>
      </c>
      <c r="F6525" s="47"/>
      <c r="G6525" s="8">
        <v>19</v>
      </c>
      <c r="H6525" s="8" t="s">
        <v>21</v>
      </c>
      <c r="I6525" s="8" t="s">
        <v>22</v>
      </c>
      <c r="J6525" s="8" t="s">
        <v>22</v>
      </c>
      <c r="K6525" s="8" t="s">
        <v>58</v>
      </c>
      <c r="L6525" s="8" t="s">
        <v>26804</v>
      </c>
      <c r="M6525" s="8" t="s">
        <v>26805</v>
      </c>
      <c r="N6525" s="8" t="s">
        <v>28985</v>
      </c>
      <c r="O6525" s="8">
        <f>17+59/60+14.8/3600</f>
        <v>17.987444444444446</v>
      </c>
      <c r="P6525" s="8" t="s">
        <v>28986</v>
      </c>
      <c r="Q6525" s="8">
        <f>+(45+53/60+17/3600)</f>
        <v>45.888055555555553</v>
      </c>
      <c r="R6525" s="8">
        <v>12.8</v>
      </c>
      <c r="S6525" s="8">
        <v>13.8</v>
      </c>
      <c r="T6525" s="8">
        <v>1</v>
      </c>
      <c r="U6525" s="8">
        <v>13</v>
      </c>
      <c r="V6525" s="8">
        <v>1.4</v>
      </c>
      <c r="W6525" s="8">
        <v>1</v>
      </c>
      <c r="X6525" s="8">
        <v>155</v>
      </c>
      <c r="Y6525" s="8" t="s">
        <v>10215</v>
      </c>
      <c r="Z6525" s="8" t="s">
        <v>10216</v>
      </c>
    </row>
    <row r="6526" spans="1:26" x14ac:dyDescent="0.2">
      <c r="A6526" s="8">
        <v>6525</v>
      </c>
      <c r="B6526" s="8" t="s">
        <v>28987</v>
      </c>
      <c r="C6526" s="8" t="s">
        <v>28987</v>
      </c>
      <c r="F6526" s="47"/>
      <c r="G6526" s="8">
        <v>16</v>
      </c>
      <c r="H6526" s="8" t="s">
        <v>21</v>
      </c>
      <c r="I6526" s="8" t="s">
        <v>557</v>
      </c>
      <c r="J6526" s="8" t="s">
        <v>557</v>
      </c>
      <c r="K6526" s="8" t="s">
        <v>557</v>
      </c>
      <c r="L6526" s="8" t="s">
        <v>26994</v>
      </c>
      <c r="M6526" s="8" t="s">
        <v>26995</v>
      </c>
      <c r="N6526" s="8" t="s">
        <v>28988</v>
      </c>
      <c r="O6526" s="8">
        <f>18+2/60+6/3600</f>
        <v>18.035</v>
      </c>
      <c r="P6526" s="8" t="s">
        <v>28989</v>
      </c>
      <c r="Q6526" s="8">
        <f>+(11+1/60+31/3600)</f>
        <v>11.025277777777779</v>
      </c>
      <c r="R6526" s="8">
        <v>99</v>
      </c>
      <c r="S6526" s="8">
        <v>99</v>
      </c>
      <c r="T6526" s="8">
        <v>99</v>
      </c>
      <c r="U6526" s="8">
        <v>99</v>
      </c>
      <c r="V6526" s="8">
        <v>4</v>
      </c>
      <c r="Y6526" s="8" t="s">
        <v>28990</v>
      </c>
      <c r="Z6526" s="8" t="s">
        <v>28991</v>
      </c>
    </row>
    <row r="6527" spans="1:26" x14ac:dyDescent="0.2">
      <c r="A6527" s="8">
        <v>6526</v>
      </c>
      <c r="B6527" s="8" t="s">
        <v>28992</v>
      </c>
      <c r="C6527" s="8" t="s">
        <v>28992</v>
      </c>
      <c r="F6527" s="47" t="s">
        <v>58206</v>
      </c>
      <c r="G6527" s="8">
        <v>6.5</v>
      </c>
      <c r="H6527" s="8" t="s">
        <v>21</v>
      </c>
      <c r="I6527" s="8" t="s">
        <v>1075</v>
      </c>
      <c r="J6527" s="8" t="s">
        <v>1075</v>
      </c>
      <c r="K6527" s="8" t="s">
        <v>1284</v>
      </c>
      <c r="L6527" s="8" t="s">
        <v>28576</v>
      </c>
      <c r="M6527" s="8" t="s">
        <v>28577</v>
      </c>
      <c r="N6527" s="8" t="s">
        <v>28993</v>
      </c>
      <c r="O6527" s="8">
        <f>18+4/60+6/3600</f>
        <v>18.068333333333332</v>
      </c>
      <c r="P6527" s="8" t="s">
        <v>28994</v>
      </c>
      <c r="Q6527" s="8">
        <f>-(24+26/60+30/3600)</f>
        <v>-24.441666666666666</v>
      </c>
      <c r="R6527" s="8">
        <v>99</v>
      </c>
      <c r="S6527" s="8">
        <v>99</v>
      </c>
      <c r="T6527" s="8">
        <v>99</v>
      </c>
      <c r="U6527" s="8">
        <v>99</v>
      </c>
      <c r="V6527" s="8">
        <v>6</v>
      </c>
      <c r="W6527" s="8">
        <v>3</v>
      </c>
      <c r="Y6527" s="8" t="s">
        <v>28995</v>
      </c>
      <c r="Z6527" s="8" t="s">
        <v>3590</v>
      </c>
    </row>
    <row r="6528" spans="1:26" x14ac:dyDescent="0.2">
      <c r="A6528" s="8">
        <v>6527</v>
      </c>
      <c r="B6528" s="8" t="s">
        <v>28996</v>
      </c>
      <c r="C6528" s="8" t="s">
        <v>28996</v>
      </c>
      <c r="F6528" s="47"/>
      <c r="G6528" s="8">
        <v>19</v>
      </c>
      <c r="H6528" s="8" t="s">
        <v>21</v>
      </c>
      <c r="I6528" s="8" t="s">
        <v>22</v>
      </c>
      <c r="J6528" s="8" t="s">
        <v>22</v>
      </c>
      <c r="K6528" s="8" t="s">
        <v>91</v>
      </c>
      <c r="L6528" s="8" t="s">
        <v>26804</v>
      </c>
      <c r="M6528" s="8" t="s">
        <v>26805</v>
      </c>
      <c r="N6528" s="8" t="s">
        <v>28997</v>
      </c>
      <c r="O6528" s="8">
        <f>18+1/60+46.2/3600</f>
        <v>18.029499999999999</v>
      </c>
      <c r="P6528" s="8" t="s">
        <v>18460</v>
      </c>
      <c r="Q6528" s="8">
        <f>+(19+43/60+45/3600)</f>
        <v>19.729166666666664</v>
      </c>
      <c r="R6528" s="8">
        <v>13.4</v>
      </c>
      <c r="S6528" s="8">
        <v>14.3</v>
      </c>
      <c r="T6528" s="8">
        <v>0.9</v>
      </c>
      <c r="U6528" s="8">
        <v>13.6</v>
      </c>
      <c r="V6528" s="8">
        <v>1.4</v>
      </c>
      <c r="W6528" s="8">
        <v>1</v>
      </c>
      <c r="X6528" s="8">
        <v>150</v>
      </c>
      <c r="Y6528" s="8" t="s">
        <v>15791</v>
      </c>
      <c r="Z6528" s="8" t="s">
        <v>15792</v>
      </c>
    </row>
    <row r="6529" spans="1:26" x14ac:dyDescent="0.2">
      <c r="A6529" s="8">
        <v>6528</v>
      </c>
      <c r="B6529" s="8" t="s">
        <v>28998</v>
      </c>
      <c r="C6529" s="8" t="s">
        <v>28998</v>
      </c>
      <c r="F6529" s="47" t="s">
        <v>58207</v>
      </c>
      <c r="G6529" s="8">
        <v>3</v>
      </c>
      <c r="H6529" s="8" t="s">
        <v>21</v>
      </c>
      <c r="I6529" s="8" t="s">
        <v>567</v>
      </c>
      <c r="J6529" s="8" t="s">
        <v>567</v>
      </c>
      <c r="K6529" s="8" t="s">
        <v>8821</v>
      </c>
      <c r="L6529" s="8" t="s">
        <v>28576</v>
      </c>
      <c r="M6529" s="8" t="s">
        <v>28577</v>
      </c>
      <c r="N6529" s="8" t="s">
        <v>28999</v>
      </c>
      <c r="O6529" s="8">
        <f>18+4/60+49.6/3600</f>
        <v>18.080444444444446</v>
      </c>
      <c r="P6529" s="8" t="s">
        <v>29000</v>
      </c>
      <c r="Q6529" s="8">
        <f>-(30+3/60+19/3600)</f>
        <v>-30.055277777777778</v>
      </c>
      <c r="R6529" s="8">
        <v>9.6</v>
      </c>
      <c r="S6529" s="8">
        <v>99</v>
      </c>
      <c r="T6529" s="8">
        <v>99</v>
      </c>
      <c r="U6529" s="8">
        <v>99</v>
      </c>
      <c r="V6529" s="8">
        <v>5</v>
      </c>
      <c r="Y6529" s="8" t="s">
        <v>29001</v>
      </c>
      <c r="Z6529" s="8" t="s">
        <v>29002</v>
      </c>
    </row>
    <row r="6530" spans="1:26" x14ac:dyDescent="0.2">
      <c r="A6530" s="8">
        <v>6529</v>
      </c>
      <c r="B6530" s="8" t="s">
        <v>29003</v>
      </c>
      <c r="C6530" s="8" t="s">
        <v>29003</v>
      </c>
      <c r="F6530" s="47"/>
      <c r="G6530" s="8">
        <v>16</v>
      </c>
      <c r="H6530" s="8" t="s">
        <v>21</v>
      </c>
      <c r="I6530" s="8" t="s">
        <v>329</v>
      </c>
      <c r="J6530" s="8" t="s">
        <v>329</v>
      </c>
      <c r="K6530" s="8" t="s">
        <v>329</v>
      </c>
      <c r="L6530" s="8" t="s">
        <v>28576</v>
      </c>
      <c r="M6530" s="8" t="s">
        <v>28577</v>
      </c>
      <c r="N6530" s="8" t="s">
        <v>29004</v>
      </c>
      <c r="O6530" s="8">
        <f>18+5/60+29/3600</f>
        <v>18.091388888888886</v>
      </c>
      <c r="P6530" s="8" t="s">
        <v>29005</v>
      </c>
      <c r="Q6530" s="8">
        <f>-(36+17/60+48/3600)</f>
        <v>-36.296666666666667</v>
      </c>
      <c r="R6530" s="8">
        <v>99</v>
      </c>
      <c r="S6530" s="8">
        <v>99</v>
      </c>
      <c r="T6530" s="8">
        <v>99</v>
      </c>
      <c r="U6530" s="8">
        <v>99</v>
      </c>
      <c r="Y6530" s="8" t="s">
        <v>29006</v>
      </c>
      <c r="Z6530" s="8" t="s">
        <v>29007</v>
      </c>
    </row>
    <row r="6531" spans="1:26" x14ac:dyDescent="0.2">
      <c r="A6531" s="8">
        <v>6530</v>
      </c>
      <c r="B6531" s="8" t="s">
        <v>29008</v>
      </c>
      <c r="C6531" s="8" t="s">
        <v>29008</v>
      </c>
      <c r="F6531" s="47"/>
      <c r="G6531" s="8">
        <v>5</v>
      </c>
      <c r="H6531" s="8" t="s">
        <v>29009</v>
      </c>
      <c r="I6531" s="8" t="s">
        <v>557</v>
      </c>
      <c r="J6531" s="8" t="s">
        <v>557</v>
      </c>
      <c r="K6531" s="8" t="s">
        <v>8768</v>
      </c>
      <c r="L6531" s="8" t="s">
        <v>28576</v>
      </c>
      <c r="M6531" s="8" t="s">
        <v>28577</v>
      </c>
      <c r="N6531" s="8" t="s">
        <v>29010</v>
      </c>
      <c r="O6531" s="8">
        <f>18+4/60+30/3600</f>
        <v>18.074999999999999</v>
      </c>
      <c r="P6531" s="8" t="s">
        <v>29011</v>
      </c>
      <c r="Q6531" s="8">
        <f>-(24+21/60+30/3600)</f>
        <v>-24.358333333333334</v>
      </c>
      <c r="R6531" s="8">
        <v>4.5999999999999996</v>
      </c>
      <c r="S6531" s="8">
        <v>99</v>
      </c>
      <c r="T6531" s="8">
        <v>99</v>
      </c>
      <c r="U6531" s="8">
        <v>99</v>
      </c>
      <c r="V6531" s="8">
        <v>15</v>
      </c>
      <c r="Y6531" s="8" t="s">
        <v>29012</v>
      </c>
      <c r="Z6531" s="8" t="s">
        <v>29013</v>
      </c>
    </row>
    <row r="6532" spans="1:26" x14ac:dyDescent="0.2">
      <c r="A6532" s="8">
        <v>6531</v>
      </c>
      <c r="B6532" s="8" t="s">
        <v>29014</v>
      </c>
      <c r="C6532" s="8" t="s">
        <v>55942</v>
      </c>
      <c r="F6532" s="47"/>
      <c r="G6532" s="8">
        <v>1</v>
      </c>
      <c r="H6532" s="8" t="s">
        <v>29015</v>
      </c>
      <c r="I6532" s="8" t="s">
        <v>557</v>
      </c>
      <c r="J6532" s="8" t="s">
        <v>557</v>
      </c>
      <c r="K6532" s="8" t="s">
        <v>2158</v>
      </c>
      <c r="L6532" s="8" t="s">
        <v>28576</v>
      </c>
      <c r="M6532" s="8" t="s">
        <v>28577</v>
      </c>
      <c r="N6532" s="8" t="s">
        <v>29016</v>
      </c>
      <c r="O6532" s="8">
        <f>18+4/60+13.3/3600</f>
        <v>18.070361111111112</v>
      </c>
      <c r="P6532" s="8" t="s">
        <v>29017</v>
      </c>
      <c r="Q6532" s="8">
        <f>-(22+30/60+0/3600)</f>
        <v>-22.5</v>
      </c>
      <c r="R6532" s="8">
        <v>5.9</v>
      </c>
      <c r="S6532" s="8">
        <v>99</v>
      </c>
      <c r="T6532" s="8">
        <v>99</v>
      </c>
      <c r="U6532" s="8">
        <v>99</v>
      </c>
      <c r="V6532" s="8">
        <v>16</v>
      </c>
      <c r="Y6532" s="8" t="s">
        <v>29018</v>
      </c>
      <c r="Z6532" s="8" t="s">
        <v>29019</v>
      </c>
    </row>
    <row r="6533" spans="1:26" x14ac:dyDescent="0.2">
      <c r="A6533" s="8">
        <v>6532</v>
      </c>
      <c r="B6533" s="8" t="s">
        <v>29020</v>
      </c>
      <c r="C6533" s="8" t="s">
        <v>29020</v>
      </c>
      <c r="F6533" s="47"/>
      <c r="G6533" s="8">
        <v>19</v>
      </c>
      <c r="H6533" s="8" t="s">
        <v>21</v>
      </c>
      <c r="I6533" s="8" t="s">
        <v>22</v>
      </c>
      <c r="J6533" s="8" t="s">
        <v>22</v>
      </c>
      <c r="K6533" s="8" t="s">
        <v>160</v>
      </c>
      <c r="L6533" s="8" t="s">
        <v>13395</v>
      </c>
      <c r="M6533" s="8" t="s">
        <v>13396</v>
      </c>
      <c r="N6533" s="8" t="s">
        <v>29021</v>
      </c>
      <c r="O6533" s="8">
        <f>17+59/60+13.8/3600</f>
        <v>17.987166666666667</v>
      </c>
      <c r="P6533" s="8" t="s">
        <v>29022</v>
      </c>
      <c r="Q6533" s="8">
        <f>+(56+13/60+55/3600)</f>
        <v>56.231944444444444</v>
      </c>
      <c r="R6533" s="8">
        <v>13.9</v>
      </c>
      <c r="S6533" s="8">
        <v>14.6</v>
      </c>
      <c r="T6533" s="8">
        <v>0.7</v>
      </c>
      <c r="U6533" s="8">
        <v>14.3</v>
      </c>
      <c r="V6533" s="8">
        <v>1.8</v>
      </c>
      <c r="W6533" s="8">
        <v>0.9</v>
      </c>
      <c r="X6533" s="8">
        <v>123</v>
      </c>
      <c r="Y6533" s="8" t="s">
        <v>215</v>
      </c>
      <c r="Z6533" s="8" t="s">
        <v>216</v>
      </c>
    </row>
    <row r="6534" spans="1:26" x14ac:dyDescent="0.2">
      <c r="A6534" s="8">
        <v>6533</v>
      </c>
      <c r="B6534" s="8" t="s">
        <v>29023</v>
      </c>
      <c r="C6534" s="8" t="s">
        <v>29023</v>
      </c>
      <c r="F6534" s="47" t="s">
        <v>58208</v>
      </c>
      <c r="G6534" s="8">
        <v>15</v>
      </c>
      <c r="H6534" s="8" t="s">
        <v>21</v>
      </c>
      <c r="I6534" s="8" t="s">
        <v>1283</v>
      </c>
      <c r="J6534" s="8" t="s">
        <v>57</v>
      </c>
      <c r="K6534" s="8" t="s">
        <v>1284</v>
      </c>
      <c r="L6534" s="8" t="s">
        <v>28576</v>
      </c>
      <c r="M6534" s="8" t="s">
        <v>28577</v>
      </c>
      <c r="N6534" s="8" t="s">
        <v>28980</v>
      </c>
      <c r="O6534" s="8">
        <f>18+3/60+42/3600</f>
        <v>18.061666666666667</v>
      </c>
      <c r="P6534" s="8" t="s">
        <v>28981</v>
      </c>
      <c r="Q6534" s="8">
        <f>-(24+22/60+48/3600)</f>
        <v>-24.38</v>
      </c>
      <c r="R6534" s="8">
        <v>99</v>
      </c>
      <c r="S6534" s="8">
        <v>5.8</v>
      </c>
      <c r="T6534" s="8">
        <v>99</v>
      </c>
      <c r="U6534" s="8">
        <v>99</v>
      </c>
      <c r="V6534" s="8">
        <v>45</v>
      </c>
      <c r="W6534" s="8">
        <v>30</v>
      </c>
      <c r="Y6534" s="8" t="s">
        <v>29024</v>
      </c>
      <c r="Z6534" s="8" t="s">
        <v>29025</v>
      </c>
    </row>
    <row r="6535" spans="1:26" x14ac:dyDescent="0.2">
      <c r="A6535" s="8">
        <v>6534</v>
      </c>
      <c r="B6535" s="8" t="s">
        <v>29026</v>
      </c>
      <c r="C6535" s="8" t="s">
        <v>29026</v>
      </c>
      <c r="F6535" s="47"/>
      <c r="G6535" s="8">
        <v>19</v>
      </c>
      <c r="H6535" s="8" t="s">
        <v>21</v>
      </c>
      <c r="I6535" s="8" t="s">
        <v>22</v>
      </c>
      <c r="J6535" s="8" t="s">
        <v>22</v>
      </c>
      <c r="K6535" s="8" t="s">
        <v>424</v>
      </c>
      <c r="L6535" s="8" t="s">
        <v>13395</v>
      </c>
      <c r="M6535" s="8" t="s">
        <v>13396</v>
      </c>
      <c r="N6535" s="8" t="s">
        <v>29027</v>
      </c>
      <c r="O6535" s="8">
        <f>17+54/60+52.5/3600</f>
        <v>17.914583333333333</v>
      </c>
      <c r="P6535" s="8" t="s">
        <v>29028</v>
      </c>
      <c r="Q6535" s="8">
        <f>+(64+24/60+7/3600)</f>
        <v>64.401944444444453</v>
      </c>
      <c r="R6535" s="8">
        <v>14.7</v>
      </c>
      <c r="S6535" s="8">
        <v>15.7</v>
      </c>
      <c r="T6535" s="8">
        <v>1</v>
      </c>
      <c r="U6535" s="8">
        <v>13.7</v>
      </c>
      <c r="V6535" s="8">
        <v>0.7</v>
      </c>
      <c r="Y6535" s="8" t="s">
        <v>215</v>
      </c>
      <c r="Z6535" s="8" t="s">
        <v>216</v>
      </c>
    </row>
    <row r="6536" spans="1:26" x14ac:dyDescent="0.2">
      <c r="A6536" s="8">
        <v>6535</v>
      </c>
      <c r="B6536" s="8" t="s">
        <v>29029</v>
      </c>
      <c r="C6536" s="8" t="s">
        <v>29029</v>
      </c>
      <c r="F6536" s="47"/>
      <c r="G6536" s="8">
        <v>12</v>
      </c>
      <c r="H6536" s="8" t="s">
        <v>21</v>
      </c>
      <c r="I6536" s="8" t="s">
        <v>567</v>
      </c>
      <c r="J6536" s="8" t="s">
        <v>567</v>
      </c>
      <c r="K6536" s="8" t="s">
        <v>22675</v>
      </c>
      <c r="L6536" s="8" t="s">
        <v>26227</v>
      </c>
      <c r="M6536" s="8" t="s">
        <v>26228</v>
      </c>
      <c r="N6536" s="8" t="s">
        <v>29030</v>
      </c>
      <c r="O6536" s="8">
        <f>18+3/60+50.7/3600</f>
        <v>18.064083333333333</v>
      </c>
      <c r="P6536" s="8" t="s">
        <v>29031</v>
      </c>
      <c r="Q6536" s="8">
        <f>-(0+17/60+47/3600)</f>
        <v>-0.29638888888888887</v>
      </c>
      <c r="R6536" s="8">
        <v>9.3000000000000007</v>
      </c>
      <c r="S6536" s="8">
        <v>99</v>
      </c>
      <c r="T6536" s="8">
        <v>99</v>
      </c>
      <c r="U6536" s="8">
        <v>99</v>
      </c>
      <c r="V6536" s="8">
        <v>3.4</v>
      </c>
      <c r="Y6536" s="8" t="s">
        <v>29032</v>
      </c>
      <c r="Z6536" s="8" t="s">
        <v>29033</v>
      </c>
    </row>
    <row r="6537" spans="1:26" x14ac:dyDescent="0.2">
      <c r="A6537" s="8">
        <v>6536</v>
      </c>
      <c r="B6537" s="8" t="s">
        <v>29034</v>
      </c>
      <c r="C6537" s="8" t="s">
        <v>29034</v>
      </c>
      <c r="F6537" s="47"/>
      <c r="G6537" s="8">
        <v>19</v>
      </c>
      <c r="H6537" s="8" t="s">
        <v>21</v>
      </c>
      <c r="I6537" s="8" t="s">
        <v>22</v>
      </c>
      <c r="J6537" s="8" t="s">
        <v>22</v>
      </c>
      <c r="K6537" s="8" t="s">
        <v>218</v>
      </c>
      <c r="L6537" s="8" t="s">
        <v>13395</v>
      </c>
      <c r="M6537" s="8" t="s">
        <v>13396</v>
      </c>
      <c r="N6537" s="8" t="s">
        <v>29035</v>
      </c>
      <c r="O6537" s="8">
        <f>17+57/60+16.3/3600</f>
        <v>17.954527777777777</v>
      </c>
      <c r="P6537" s="8" t="s">
        <v>29036</v>
      </c>
      <c r="Q6537" s="8">
        <f>+(64+56/60+16/3600)</f>
        <v>64.937777777777782</v>
      </c>
      <c r="R6537" s="8">
        <v>13.4</v>
      </c>
      <c r="S6537" s="8">
        <v>14.2</v>
      </c>
      <c r="T6537" s="8">
        <v>0.8</v>
      </c>
      <c r="U6537" s="8">
        <v>13.6</v>
      </c>
      <c r="V6537" s="8">
        <v>1.2</v>
      </c>
      <c r="W6537" s="8">
        <v>1.1000000000000001</v>
      </c>
      <c r="X6537" s="8">
        <v>117</v>
      </c>
      <c r="Y6537" s="8" t="s">
        <v>19885</v>
      </c>
      <c r="Z6537" s="8" t="s">
        <v>4076</v>
      </c>
    </row>
    <row r="6538" spans="1:26" x14ac:dyDescent="0.2">
      <c r="A6538" s="8">
        <v>6537</v>
      </c>
      <c r="B6538" s="8" t="s">
        <v>29037</v>
      </c>
      <c r="C6538" s="8" t="s">
        <v>29037</v>
      </c>
      <c r="F6538" s="47"/>
      <c r="G6538" s="8">
        <v>10</v>
      </c>
      <c r="H6538" s="8" t="s">
        <v>29038</v>
      </c>
      <c r="I6538" s="8" t="s">
        <v>241</v>
      </c>
      <c r="J6538" s="8" t="s">
        <v>241</v>
      </c>
      <c r="K6538" s="8" t="s">
        <v>241</v>
      </c>
      <c r="L6538" s="8" t="s">
        <v>28576</v>
      </c>
      <c r="M6538" s="8" t="s">
        <v>28577</v>
      </c>
      <c r="N6538" s="8" t="s">
        <v>29039</v>
      </c>
      <c r="O6538" s="8">
        <f>18+5/60+13/3600</f>
        <v>18.086944444444445</v>
      </c>
      <c r="P6538" s="8" t="s">
        <v>29040</v>
      </c>
      <c r="Q6538" s="8">
        <f>-(19+50/60+32/3600)</f>
        <v>-19.842222222222222</v>
      </c>
      <c r="R6538" s="8">
        <v>11.6</v>
      </c>
      <c r="S6538" s="8">
        <v>12.5</v>
      </c>
      <c r="T6538" s="8">
        <v>99</v>
      </c>
      <c r="U6538" s="8">
        <v>99</v>
      </c>
      <c r="V6538" s="8">
        <v>0.17</v>
      </c>
      <c r="Y6538" s="8" t="s">
        <v>29041</v>
      </c>
      <c r="Z6538" s="8" t="s">
        <v>29042</v>
      </c>
    </row>
    <row r="6539" spans="1:26" x14ac:dyDescent="0.2">
      <c r="A6539" s="8">
        <v>6538</v>
      </c>
      <c r="B6539" s="8" t="s">
        <v>29043</v>
      </c>
      <c r="C6539" s="8" t="s">
        <v>29043</v>
      </c>
      <c r="F6539" s="47"/>
      <c r="G6539" s="8">
        <v>19</v>
      </c>
      <c r="H6539" s="8" t="s">
        <v>21</v>
      </c>
      <c r="I6539" s="8" t="s">
        <v>22</v>
      </c>
      <c r="J6539" s="8" t="s">
        <v>22</v>
      </c>
      <c r="K6539" s="8" t="s">
        <v>449</v>
      </c>
      <c r="L6539" s="8" t="s">
        <v>13395</v>
      </c>
      <c r="M6539" s="8" t="s">
        <v>13396</v>
      </c>
      <c r="N6539" s="8" t="s">
        <v>29044</v>
      </c>
      <c r="O6539" s="8">
        <f>17+54/60+17.1/3600</f>
        <v>17.90475</v>
      </c>
      <c r="P6539" s="8" t="s">
        <v>29045</v>
      </c>
      <c r="Q6539" s="8">
        <f>+(73+25/60+27/3600)</f>
        <v>73.424166666666665</v>
      </c>
      <c r="R6539" s="8">
        <v>13.3</v>
      </c>
      <c r="S6539" s="8">
        <v>14.2</v>
      </c>
      <c r="T6539" s="8">
        <v>0.9</v>
      </c>
      <c r="U6539" s="8">
        <v>12.4</v>
      </c>
      <c r="V6539" s="8">
        <v>1</v>
      </c>
      <c r="W6539" s="8">
        <v>0.5</v>
      </c>
      <c r="X6539" s="8">
        <v>48</v>
      </c>
      <c r="Y6539" s="8" t="s">
        <v>29046</v>
      </c>
      <c r="Z6539" s="8" t="s">
        <v>29047</v>
      </c>
    </row>
    <row r="6540" spans="1:26" x14ac:dyDescent="0.2">
      <c r="A6540" s="8">
        <v>6539</v>
      </c>
      <c r="B6540" s="8" t="s">
        <v>29048</v>
      </c>
      <c r="C6540" s="8" t="s">
        <v>29048</v>
      </c>
      <c r="F6540" s="47"/>
      <c r="G6540" s="8">
        <v>9</v>
      </c>
      <c r="H6540" s="8" t="s">
        <v>21</v>
      </c>
      <c r="I6540" s="8" t="s">
        <v>567</v>
      </c>
      <c r="J6540" s="8" t="s">
        <v>567</v>
      </c>
      <c r="K6540" s="8" t="s">
        <v>1485</v>
      </c>
      <c r="L6540" s="8" t="s">
        <v>26227</v>
      </c>
      <c r="M6540" s="8" t="s">
        <v>26228</v>
      </c>
      <c r="N6540" s="8" t="s">
        <v>29049</v>
      </c>
      <c r="O6540" s="8">
        <f>18+4/60+49.8/3600</f>
        <v>18.080500000000001</v>
      </c>
      <c r="P6540" s="8" t="s">
        <v>29050</v>
      </c>
      <c r="Q6540" s="8">
        <f>-(7+35/60+7/3600)</f>
        <v>-7.5852777777777778</v>
      </c>
      <c r="R6540" s="8">
        <v>8.9</v>
      </c>
      <c r="S6540" s="8">
        <v>99</v>
      </c>
      <c r="T6540" s="8">
        <v>99</v>
      </c>
      <c r="U6540" s="8">
        <v>99</v>
      </c>
      <c r="V6540" s="8">
        <v>7.9</v>
      </c>
      <c r="Y6540" s="8" t="s">
        <v>29051</v>
      </c>
      <c r="Z6540" s="8" t="s">
        <v>29052</v>
      </c>
    </row>
    <row r="6541" spans="1:26" x14ac:dyDescent="0.2">
      <c r="A6541" s="8">
        <v>6540</v>
      </c>
      <c r="B6541" s="8" t="s">
        <v>29053</v>
      </c>
      <c r="C6541" s="8" t="s">
        <v>29053</v>
      </c>
      <c r="F6541" s="47" t="s">
        <v>58209</v>
      </c>
      <c r="G6541" s="8">
        <v>6</v>
      </c>
      <c r="H6541" s="8" t="s">
        <v>21</v>
      </c>
      <c r="I6541" s="8" t="s">
        <v>567</v>
      </c>
      <c r="J6541" s="8" t="s">
        <v>567</v>
      </c>
      <c r="K6541" s="8" t="s">
        <v>567</v>
      </c>
      <c r="L6541" s="8" t="s">
        <v>28576</v>
      </c>
      <c r="M6541" s="8" t="s">
        <v>28577</v>
      </c>
      <c r="N6541" s="8" t="s">
        <v>29054</v>
      </c>
      <c r="O6541" s="8">
        <f>18+6/60+8.6/3600</f>
        <v>18.102388888888889</v>
      </c>
      <c r="P6541" s="8" t="s">
        <v>29055</v>
      </c>
      <c r="Q6541" s="8">
        <f>-(27+45/60+53/3600)</f>
        <v>-27.764722222222222</v>
      </c>
      <c r="R6541" s="8">
        <v>9.3000000000000007</v>
      </c>
      <c r="S6541" s="8">
        <v>99</v>
      </c>
      <c r="T6541" s="8">
        <v>99</v>
      </c>
      <c r="U6541" s="8">
        <v>99</v>
      </c>
      <c r="V6541" s="8">
        <v>1.5</v>
      </c>
      <c r="Y6541" s="8" t="s">
        <v>29056</v>
      </c>
      <c r="Z6541" s="8" t="s">
        <v>29057</v>
      </c>
    </row>
    <row r="6542" spans="1:26" x14ac:dyDescent="0.2">
      <c r="A6542" s="8">
        <v>6541</v>
      </c>
      <c r="B6542" s="8" t="s">
        <v>29058</v>
      </c>
      <c r="C6542" s="8" t="s">
        <v>29058</v>
      </c>
      <c r="F6542" s="47"/>
      <c r="G6542" s="8">
        <v>2</v>
      </c>
      <c r="H6542" s="8" t="s">
        <v>29059</v>
      </c>
      <c r="I6542" s="8" t="s">
        <v>567</v>
      </c>
      <c r="J6542" s="8" t="s">
        <v>567</v>
      </c>
      <c r="K6542" s="8" t="s">
        <v>568</v>
      </c>
      <c r="L6542" s="8" t="s">
        <v>29060</v>
      </c>
      <c r="M6542" s="8" t="s">
        <v>29061</v>
      </c>
      <c r="N6542" s="8" t="s">
        <v>29062</v>
      </c>
      <c r="O6542" s="8">
        <f>18+8/60+2.2/3600</f>
        <v>18.133944444444445</v>
      </c>
      <c r="P6542" s="8" t="s">
        <v>29063</v>
      </c>
      <c r="Q6542" s="8">
        <f>-(43+42/60+40/3600)</f>
        <v>-43.711111111111116</v>
      </c>
      <c r="R6542" s="8">
        <v>6.3</v>
      </c>
      <c r="S6542" s="8">
        <v>99</v>
      </c>
      <c r="T6542" s="8">
        <v>99</v>
      </c>
      <c r="U6542" s="8">
        <v>99</v>
      </c>
      <c r="V6542" s="8">
        <v>15</v>
      </c>
      <c r="Y6542" s="8" t="s">
        <v>29064</v>
      </c>
      <c r="Z6542" s="8" t="s">
        <v>29065</v>
      </c>
    </row>
    <row r="6543" spans="1:26" x14ac:dyDescent="0.2">
      <c r="A6543" s="8">
        <v>6542</v>
      </c>
      <c r="B6543" s="8" t="s">
        <v>29066</v>
      </c>
      <c r="C6543" s="8" t="s">
        <v>29066</v>
      </c>
      <c r="F6543" s="47"/>
      <c r="G6543" s="8">
        <v>19</v>
      </c>
      <c r="H6543" s="8" t="s">
        <v>21</v>
      </c>
      <c r="I6543" s="8" t="s">
        <v>22</v>
      </c>
      <c r="J6543" s="8" t="s">
        <v>22</v>
      </c>
      <c r="K6543" s="8" t="s">
        <v>632</v>
      </c>
      <c r="L6543" s="8" t="s">
        <v>13395</v>
      </c>
      <c r="M6543" s="8" t="s">
        <v>13396</v>
      </c>
      <c r="N6543" s="8" t="s">
        <v>29067</v>
      </c>
      <c r="O6543" s="8">
        <f>17+59/60+39/3600</f>
        <v>17.994166666666668</v>
      </c>
      <c r="P6543" s="8" t="s">
        <v>29068</v>
      </c>
      <c r="Q6543" s="8">
        <f>+(61+21/60+32/3600)</f>
        <v>61.358888888888892</v>
      </c>
      <c r="R6543" s="8">
        <v>13.3</v>
      </c>
      <c r="S6543" s="8">
        <v>14.2</v>
      </c>
      <c r="T6543" s="8">
        <v>0.9</v>
      </c>
      <c r="U6543" s="8">
        <v>12.5</v>
      </c>
      <c r="V6543" s="8">
        <v>1.3</v>
      </c>
      <c r="W6543" s="8">
        <v>0.4</v>
      </c>
      <c r="X6543" s="8">
        <v>98</v>
      </c>
      <c r="Y6543" s="8" t="s">
        <v>29069</v>
      </c>
      <c r="Z6543" s="8" t="s">
        <v>29070</v>
      </c>
    </row>
    <row r="6544" spans="1:26" x14ac:dyDescent="0.2">
      <c r="A6544" s="8">
        <v>6543</v>
      </c>
      <c r="B6544" s="8" t="s">
        <v>29071</v>
      </c>
      <c r="C6544" s="8" t="s">
        <v>29071</v>
      </c>
      <c r="F6544" s="47" t="s">
        <v>58210</v>
      </c>
      <c r="G6544" s="8">
        <v>2</v>
      </c>
      <c r="H6544" s="8" t="s">
        <v>29072</v>
      </c>
      <c r="I6544" s="8" t="s">
        <v>241</v>
      </c>
      <c r="J6544" s="8" t="s">
        <v>241</v>
      </c>
      <c r="K6544" s="8" t="s">
        <v>241</v>
      </c>
      <c r="L6544" s="8" t="s">
        <v>13395</v>
      </c>
      <c r="M6544" s="8" t="s">
        <v>13396</v>
      </c>
      <c r="N6544" s="8" t="s">
        <v>29073</v>
      </c>
      <c r="O6544" s="8">
        <f>17+58/60+33.4/3600</f>
        <v>17.975944444444444</v>
      </c>
      <c r="P6544" s="8" t="s">
        <v>29074</v>
      </c>
      <c r="Q6544" s="8">
        <f>+(66+38/60+1/3600)</f>
        <v>66.633611111111122</v>
      </c>
      <c r="R6544" s="8">
        <v>8.1</v>
      </c>
      <c r="S6544" s="8">
        <v>8.8000000000000007</v>
      </c>
      <c r="T6544" s="8">
        <v>99</v>
      </c>
      <c r="U6544" s="8">
        <v>99</v>
      </c>
      <c r="V6544" s="8">
        <v>0.33</v>
      </c>
      <c r="Y6544" s="8" t="s">
        <v>29075</v>
      </c>
      <c r="Z6544" s="8" t="s">
        <v>29076</v>
      </c>
    </row>
    <row r="6545" spans="1:26" x14ac:dyDescent="0.2">
      <c r="A6545" s="8">
        <v>6544</v>
      </c>
      <c r="B6545" s="8" t="s">
        <v>29077</v>
      </c>
      <c r="C6545" s="8" t="s">
        <v>29077</v>
      </c>
      <c r="F6545" s="47" t="s">
        <v>58211</v>
      </c>
      <c r="G6545" s="8">
        <v>3</v>
      </c>
      <c r="H6545" s="8" t="s">
        <v>8863</v>
      </c>
      <c r="I6545" s="8" t="s">
        <v>567</v>
      </c>
      <c r="J6545" s="8" t="s">
        <v>567</v>
      </c>
      <c r="K6545" s="8" t="s">
        <v>8821</v>
      </c>
      <c r="L6545" s="8" t="s">
        <v>28576</v>
      </c>
      <c r="M6545" s="8" t="s">
        <v>28577</v>
      </c>
      <c r="N6545" s="8" t="s">
        <v>29078</v>
      </c>
      <c r="O6545" s="8">
        <f>18+7/60+20.6/3600</f>
        <v>18.122388888888889</v>
      </c>
      <c r="P6545" s="8" t="s">
        <v>29079</v>
      </c>
      <c r="Q6545" s="8">
        <f>-(24+59/60+49/3600)</f>
        <v>-24.996944444444445</v>
      </c>
      <c r="R6545" s="8">
        <v>7.5</v>
      </c>
      <c r="S6545" s="8">
        <v>99</v>
      </c>
      <c r="T6545" s="8">
        <v>99</v>
      </c>
      <c r="U6545" s="8">
        <v>99</v>
      </c>
      <c r="V6545" s="8">
        <v>9.1999999999999993</v>
      </c>
      <c r="Y6545" s="8" t="s">
        <v>29080</v>
      </c>
      <c r="Z6545" s="8" t="s">
        <v>29081</v>
      </c>
    </row>
    <row r="6546" spans="1:26" x14ac:dyDescent="0.2">
      <c r="A6546" s="8">
        <v>6545</v>
      </c>
      <c r="B6546" s="8" t="s">
        <v>29082</v>
      </c>
      <c r="C6546" s="8" t="s">
        <v>29082</v>
      </c>
      <c r="F6546" s="47"/>
      <c r="G6546" s="8">
        <v>16</v>
      </c>
      <c r="H6546" s="8" t="s">
        <v>21</v>
      </c>
      <c r="I6546" s="8" t="s">
        <v>22</v>
      </c>
      <c r="J6546" s="8" t="s">
        <v>22</v>
      </c>
      <c r="K6546" s="8" t="s">
        <v>183</v>
      </c>
      <c r="L6546" s="8" t="s">
        <v>28435</v>
      </c>
      <c r="M6546" s="8" t="s">
        <v>28436</v>
      </c>
      <c r="N6546" s="8" t="s">
        <v>29083</v>
      </c>
      <c r="O6546" s="8">
        <f>18+12/60+14.9/3600</f>
        <v>18.204138888888888</v>
      </c>
      <c r="P6546" s="8" t="s">
        <v>29084</v>
      </c>
      <c r="Q6546" s="8">
        <f>-(63+46/60+33/3600)</f>
        <v>-63.775833333333331</v>
      </c>
      <c r="R6546" s="8">
        <v>13.2</v>
      </c>
      <c r="S6546" s="8">
        <v>14.2</v>
      </c>
      <c r="T6546" s="8">
        <v>1</v>
      </c>
      <c r="U6546" s="8">
        <v>13.3</v>
      </c>
      <c r="V6546" s="8">
        <v>1.1000000000000001</v>
      </c>
      <c r="W6546" s="8">
        <v>0.9</v>
      </c>
      <c r="X6546" s="8">
        <v>168</v>
      </c>
      <c r="Y6546" s="8" t="s">
        <v>29085</v>
      </c>
      <c r="Z6546" s="8" t="s">
        <v>29086</v>
      </c>
    </row>
    <row r="6547" spans="1:26" x14ac:dyDescent="0.2">
      <c r="A6547" s="8">
        <v>6546</v>
      </c>
      <c r="B6547" s="8" t="s">
        <v>29087</v>
      </c>
      <c r="C6547" s="8" t="s">
        <v>29087</v>
      </c>
      <c r="F6547" s="47"/>
      <c r="G6547" s="8">
        <v>13</v>
      </c>
      <c r="H6547" s="8" t="s">
        <v>21</v>
      </c>
      <c r="I6547" s="8" t="s">
        <v>557</v>
      </c>
      <c r="J6547" s="8" t="s">
        <v>557</v>
      </c>
      <c r="K6547" s="8" t="s">
        <v>3217</v>
      </c>
      <c r="L6547" s="8" t="s">
        <v>28576</v>
      </c>
      <c r="M6547" s="8" t="s">
        <v>28577</v>
      </c>
      <c r="N6547" s="8" t="s">
        <v>29088</v>
      </c>
      <c r="O6547" s="8">
        <f>18+7/60+22/3600</f>
        <v>18.122777777777777</v>
      </c>
      <c r="P6547" s="8" t="s">
        <v>29089</v>
      </c>
      <c r="Q6547" s="8">
        <f>-(23+17/60+48/3600)</f>
        <v>-23.296666666666667</v>
      </c>
      <c r="R6547" s="8">
        <v>8</v>
      </c>
      <c r="S6547" s="8">
        <v>99</v>
      </c>
      <c r="T6547" s="8">
        <v>99</v>
      </c>
      <c r="U6547" s="8">
        <v>99</v>
      </c>
      <c r="V6547" s="8">
        <v>15</v>
      </c>
      <c r="Y6547" s="8" t="s">
        <v>23700</v>
      </c>
      <c r="Z6547" s="8" t="s">
        <v>23701</v>
      </c>
    </row>
    <row r="6548" spans="1:26" x14ac:dyDescent="0.2">
      <c r="A6548" s="8">
        <v>6547</v>
      </c>
      <c r="B6548" s="8" t="s">
        <v>29090</v>
      </c>
      <c r="C6548" s="8" t="s">
        <v>29090</v>
      </c>
      <c r="F6548" s="47"/>
      <c r="G6548" s="8">
        <v>18</v>
      </c>
      <c r="H6548" s="8" t="s">
        <v>21</v>
      </c>
      <c r="I6548" s="8" t="s">
        <v>22</v>
      </c>
      <c r="J6548" s="8" t="s">
        <v>22</v>
      </c>
      <c r="K6548" s="8" t="s">
        <v>632</v>
      </c>
      <c r="L6548" s="8" t="s">
        <v>26804</v>
      </c>
      <c r="M6548" s="8" t="s">
        <v>26805</v>
      </c>
      <c r="N6548" s="8" t="s">
        <v>29091</v>
      </c>
      <c r="O6548" s="8">
        <f>18+5/60+10/3600</f>
        <v>18.086111111111109</v>
      </c>
      <c r="P6548" s="8" t="s">
        <v>18178</v>
      </c>
      <c r="Q6548" s="8">
        <f>+(25+13/60+58/3600)</f>
        <v>25.232777777777777</v>
      </c>
      <c r="R6548" s="8">
        <v>13.6</v>
      </c>
      <c r="S6548" s="8">
        <v>14.5</v>
      </c>
      <c r="T6548" s="8">
        <v>0.9</v>
      </c>
      <c r="U6548" s="8">
        <v>12.9</v>
      </c>
      <c r="V6548" s="8">
        <v>1.3</v>
      </c>
      <c r="W6548" s="8">
        <v>0.4</v>
      </c>
      <c r="X6548" s="8">
        <v>133</v>
      </c>
      <c r="Y6548" s="8" t="s">
        <v>18296</v>
      </c>
      <c r="Z6548" s="8" t="s">
        <v>18297</v>
      </c>
    </row>
    <row r="6549" spans="1:26" x14ac:dyDescent="0.2">
      <c r="A6549" s="8">
        <v>6548</v>
      </c>
      <c r="B6549" s="8" t="s">
        <v>29092</v>
      </c>
      <c r="C6549" s="8" t="s">
        <v>29092</v>
      </c>
      <c r="F6549" s="47" t="s">
        <v>58212</v>
      </c>
      <c r="G6549" s="8">
        <v>6.5</v>
      </c>
      <c r="H6549" s="8" t="s">
        <v>21</v>
      </c>
      <c r="I6549" s="8" t="s">
        <v>22</v>
      </c>
      <c r="J6549" s="8" t="s">
        <v>22</v>
      </c>
      <c r="K6549" s="8" t="s">
        <v>224</v>
      </c>
      <c r="L6549" s="8" t="s">
        <v>26804</v>
      </c>
      <c r="M6549" s="8" t="s">
        <v>26805</v>
      </c>
      <c r="N6549" s="8" t="s">
        <v>29093</v>
      </c>
      <c r="O6549" s="8">
        <f>18+5/60+59.2/3600</f>
        <v>18.099777777777778</v>
      </c>
      <c r="P6549" s="8" t="s">
        <v>29094</v>
      </c>
      <c r="Q6549" s="8">
        <f>+(18+35/60+14/3600)</f>
        <v>18.58722222222222</v>
      </c>
      <c r="R6549" s="8">
        <v>11.7</v>
      </c>
      <c r="S6549" s="8">
        <v>12.7</v>
      </c>
      <c r="T6549" s="8">
        <v>1</v>
      </c>
      <c r="U6549" s="8">
        <v>13.9</v>
      </c>
      <c r="V6549" s="8">
        <v>2.9</v>
      </c>
      <c r="W6549" s="8">
        <v>2.8</v>
      </c>
      <c r="X6549" s="8">
        <v>60</v>
      </c>
      <c r="Y6549" s="8" t="s">
        <v>16772</v>
      </c>
      <c r="Z6549" s="8" t="s">
        <v>16773</v>
      </c>
    </row>
    <row r="6550" spans="1:26" x14ac:dyDescent="0.2">
      <c r="A6550" s="8">
        <v>6549</v>
      </c>
      <c r="B6550" s="8" t="s">
        <v>29095</v>
      </c>
      <c r="C6550" s="8" t="s">
        <v>29095</v>
      </c>
      <c r="F6550" s="47"/>
      <c r="G6550" s="8">
        <v>18</v>
      </c>
      <c r="H6550" s="8" t="s">
        <v>21</v>
      </c>
      <c r="I6550" s="8" t="s">
        <v>22</v>
      </c>
      <c r="J6550" s="8" t="s">
        <v>22</v>
      </c>
      <c r="K6550" s="8" t="s">
        <v>396</v>
      </c>
      <c r="L6550" s="8" t="s">
        <v>26804</v>
      </c>
      <c r="M6550" s="8" t="s">
        <v>26805</v>
      </c>
      <c r="N6550" s="8" t="s">
        <v>29096</v>
      </c>
      <c r="O6550" s="8">
        <f>18+5/60+49.4/3600</f>
        <v>18.097055555555553</v>
      </c>
      <c r="P6550" s="8" t="s">
        <v>29097</v>
      </c>
      <c r="Q6550" s="8">
        <f>+(18+32/60+16/3600)</f>
        <v>18.53777777777778</v>
      </c>
      <c r="R6550" s="8">
        <v>13.8</v>
      </c>
      <c r="S6550" s="8">
        <v>14.6</v>
      </c>
      <c r="T6550" s="8">
        <v>0.8</v>
      </c>
      <c r="U6550" s="8">
        <v>13</v>
      </c>
      <c r="V6550" s="8">
        <v>1.4</v>
      </c>
      <c r="W6550" s="8">
        <v>0.4</v>
      </c>
      <c r="X6550" s="8">
        <v>53</v>
      </c>
      <c r="Y6550" s="8" t="s">
        <v>29098</v>
      </c>
      <c r="Z6550" s="8" t="s">
        <v>29099</v>
      </c>
    </row>
    <row r="6551" spans="1:26" x14ac:dyDescent="0.2">
      <c r="A6551" s="8">
        <v>6550</v>
      </c>
      <c r="B6551" s="8" t="s">
        <v>29100</v>
      </c>
      <c r="C6551" s="8" t="s">
        <v>29100</v>
      </c>
      <c r="F6551" s="47"/>
      <c r="G6551" s="8">
        <v>19</v>
      </c>
      <c r="H6551" s="8" t="s">
        <v>21</v>
      </c>
      <c r="I6551" s="8" t="s">
        <v>22</v>
      </c>
      <c r="J6551" s="8" t="s">
        <v>57</v>
      </c>
      <c r="K6551" s="8" t="s">
        <v>396</v>
      </c>
      <c r="L6551" s="8" t="s">
        <v>26804</v>
      </c>
      <c r="M6551" s="8" t="s">
        <v>26805</v>
      </c>
      <c r="N6551" s="8" t="s">
        <v>29096</v>
      </c>
      <c r="O6551" s="8">
        <f>18+5/60+49.4/3600</f>
        <v>18.097055555555553</v>
      </c>
      <c r="P6551" s="8" t="s">
        <v>29097</v>
      </c>
      <c r="Q6551" s="8">
        <f>+(18+32/60+16/3600)</f>
        <v>18.53777777777778</v>
      </c>
      <c r="R6551" s="8">
        <v>13.8</v>
      </c>
      <c r="S6551" s="8">
        <v>14.6</v>
      </c>
      <c r="T6551" s="8">
        <v>0.8</v>
      </c>
      <c r="U6551" s="8">
        <v>13</v>
      </c>
      <c r="V6551" s="8">
        <v>1.4</v>
      </c>
      <c r="W6551" s="8">
        <v>0.4</v>
      </c>
      <c r="X6551" s="8">
        <v>53</v>
      </c>
      <c r="Y6551" s="8" t="s">
        <v>29101</v>
      </c>
      <c r="Z6551" s="8" t="s">
        <v>29102</v>
      </c>
    </row>
    <row r="6552" spans="1:26" x14ac:dyDescent="0.2">
      <c r="A6552" s="8">
        <v>6551</v>
      </c>
      <c r="B6552" s="8" t="s">
        <v>29103</v>
      </c>
      <c r="C6552" s="8" t="s">
        <v>29103</v>
      </c>
      <c r="F6552" s="47"/>
      <c r="G6552" s="8">
        <v>19</v>
      </c>
      <c r="H6552" s="8" t="s">
        <v>21</v>
      </c>
      <c r="I6552" s="8" t="s">
        <v>329</v>
      </c>
      <c r="J6552" s="8" t="s">
        <v>329</v>
      </c>
      <c r="K6552" s="8" t="s">
        <v>329</v>
      </c>
      <c r="L6552" s="8" t="s">
        <v>28576</v>
      </c>
      <c r="M6552" s="8" t="s">
        <v>28577</v>
      </c>
      <c r="N6552" s="8" t="s">
        <v>29104</v>
      </c>
      <c r="O6552" s="8">
        <f>18+9/60+0/3600</f>
        <v>18.149999999999999</v>
      </c>
      <c r="P6552" s="8" t="s">
        <v>29105</v>
      </c>
      <c r="Q6552" s="8">
        <f>-(29+33/60+0/3600)</f>
        <v>-29.55</v>
      </c>
      <c r="R6552" s="8">
        <v>99</v>
      </c>
      <c r="S6552" s="8">
        <v>99</v>
      </c>
      <c r="T6552" s="8">
        <v>99</v>
      </c>
      <c r="U6552" s="8">
        <v>99</v>
      </c>
      <c r="Y6552" s="8" t="s">
        <v>29106</v>
      </c>
      <c r="Z6552" s="8" t="s">
        <v>29107</v>
      </c>
    </row>
    <row r="6553" spans="1:26" x14ac:dyDescent="0.2">
      <c r="A6553" s="8">
        <v>6552</v>
      </c>
      <c r="B6553" s="8" t="s">
        <v>29108</v>
      </c>
      <c r="C6553" s="8" t="s">
        <v>29108</v>
      </c>
      <c r="F6553" s="47"/>
      <c r="G6553" s="8">
        <v>18</v>
      </c>
      <c r="H6553" s="8" t="s">
        <v>21</v>
      </c>
      <c r="I6553" s="8" t="s">
        <v>22</v>
      </c>
      <c r="J6553" s="8" t="s">
        <v>22</v>
      </c>
      <c r="K6553" s="8" t="s">
        <v>85</v>
      </c>
      <c r="L6553" s="8" t="s">
        <v>13395</v>
      </c>
      <c r="M6553" s="8" t="s">
        <v>13396</v>
      </c>
      <c r="N6553" s="8" t="s">
        <v>29109</v>
      </c>
      <c r="O6553" s="8">
        <f>18+0/60+7/3600</f>
        <v>18.001944444444444</v>
      </c>
      <c r="P6553" s="8" t="s">
        <v>29110</v>
      </c>
      <c r="Q6553" s="8">
        <f>+(66+36/60+55/3600)</f>
        <v>66.615277777777777</v>
      </c>
      <c r="R6553" s="8">
        <v>13.7</v>
      </c>
      <c r="S6553" s="8">
        <v>14.5</v>
      </c>
      <c r="T6553" s="8">
        <v>0.8</v>
      </c>
      <c r="U6553" s="8">
        <v>13.1</v>
      </c>
      <c r="V6553" s="8">
        <v>1</v>
      </c>
      <c r="W6553" s="8">
        <v>0.7</v>
      </c>
      <c r="X6553" s="8">
        <v>105</v>
      </c>
      <c r="Y6553" s="8" t="s">
        <v>22683</v>
      </c>
      <c r="Z6553" s="8" t="s">
        <v>22684</v>
      </c>
    </row>
    <row r="6554" spans="1:26" x14ac:dyDescent="0.2">
      <c r="A6554" s="8">
        <v>6553</v>
      </c>
      <c r="B6554" s="8" t="s">
        <v>29111</v>
      </c>
      <c r="C6554" s="8" t="s">
        <v>29111</v>
      </c>
      <c r="F6554" s="47" t="s">
        <v>58213</v>
      </c>
      <c r="G6554" s="8">
        <v>3</v>
      </c>
      <c r="H6554" s="8" t="s">
        <v>21</v>
      </c>
      <c r="I6554" s="8" t="s">
        <v>567</v>
      </c>
      <c r="J6554" s="8" t="s">
        <v>567</v>
      </c>
      <c r="K6554" s="8" t="s">
        <v>22675</v>
      </c>
      <c r="L6554" s="8" t="s">
        <v>28576</v>
      </c>
      <c r="M6554" s="8" t="s">
        <v>28577</v>
      </c>
      <c r="N6554" s="8" t="s">
        <v>29112</v>
      </c>
      <c r="O6554" s="8">
        <f>18+9/60+15.6/3600</f>
        <v>18.154333333333334</v>
      </c>
      <c r="P6554" s="8" t="s">
        <v>29113</v>
      </c>
      <c r="Q6554" s="8">
        <f>-(25+54/60+26/3600)</f>
        <v>-25.90722222222222</v>
      </c>
      <c r="R6554" s="8">
        <v>8.3000000000000007</v>
      </c>
      <c r="S6554" s="8">
        <v>99</v>
      </c>
      <c r="T6554" s="8">
        <v>99</v>
      </c>
      <c r="U6554" s="8">
        <v>99</v>
      </c>
      <c r="V6554" s="8">
        <v>9.1999999999999993</v>
      </c>
      <c r="Y6554" s="8" t="s">
        <v>29114</v>
      </c>
      <c r="Z6554" s="8" t="s">
        <v>29115</v>
      </c>
    </row>
    <row r="6555" spans="1:26" x14ac:dyDescent="0.2">
      <c r="A6555" s="8">
        <v>6554</v>
      </c>
      <c r="B6555" s="8" t="s">
        <v>29116</v>
      </c>
      <c r="C6555" s="8" t="s">
        <v>29116</v>
      </c>
      <c r="F6555" s="47"/>
      <c r="G6555" s="8">
        <v>16</v>
      </c>
      <c r="H6555" s="8" t="s">
        <v>21</v>
      </c>
      <c r="I6555" s="8" t="s">
        <v>72</v>
      </c>
      <c r="J6555" s="8" t="s">
        <v>72</v>
      </c>
      <c r="K6555" s="8" t="s">
        <v>1405</v>
      </c>
      <c r="L6555" s="8" t="s">
        <v>28576</v>
      </c>
      <c r="M6555" s="8" t="s">
        <v>28577</v>
      </c>
      <c r="N6555" s="8" t="s">
        <v>29117</v>
      </c>
      <c r="O6555" s="8">
        <f>18+9/60+23/3600</f>
        <v>18.156388888888888</v>
      </c>
      <c r="P6555" s="8" t="s">
        <v>29118</v>
      </c>
      <c r="Q6555" s="8">
        <f>-(18+22/60+42/3600)</f>
        <v>-18.378333333333334</v>
      </c>
      <c r="R6555" s="8">
        <v>99</v>
      </c>
      <c r="S6555" s="8">
        <v>99</v>
      </c>
      <c r="T6555" s="8">
        <v>99</v>
      </c>
      <c r="U6555" s="8">
        <v>99</v>
      </c>
      <c r="V6555" s="8">
        <v>20</v>
      </c>
      <c r="Y6555" s="8" t="s">
        <v>29119</v>
      </c>
      <c r="Z6555" s="8" t="s">
        <v>29120</v>
      </c>
    </row>
    <row r="6556" spans="1:26" x14ac:dyDescent="0.2">
      <c r="A6556" s="8">
        <v>6555</v>
      </c>
      <c r="B6556" s="8" t="s">
        <v>29121</v>
      </c>
      <c r="C6556" s="8" t="s">
        <v>29121</v>
      </c>
      <c r="F6556" s="47" t="s">
        <v>58214</v>
      </c>
      <c r="G6556" s="8">
        <v>15</v>
      </c>
      <c r="H6556" s="8" t="s">
        <v>21</v>
      </c>
      <c r="I6556" s="8" t="s">
        <v>22</v>
      </c>
      <c r="J6556" s="8" t="s">
        <v>22</v>
      </c>
      <c r="K6556" s="8" t="s">
        <v>64</v>
      </c>
      <c r="L6556" s="8" t="s">
        <v>26804</v>
      </c>
      <c r="M6556" s="8" t="s">
        <v>26805</v>
      </c>
      <c r="N6556" s="8" t="s">
        <v>29122</v>
      </c>
      <c r="O6556" s="8">
        <f>18+7/60+49/3600</f>
        <v>18.130277777777778</v>
      </c>
      <c r="P6556" s="8" t="s">
        <v>29123</v>
      </c>
      <c r="Q6556" s="8">
        <f>+(17+36/60+17/3600)</f>
        <v>17.604722222222225</v>
      </c>
      <c r="R6556" s="8">
        <v>12.4</v>
      </c>
      <c r="S6556" s="8">
        <v>13</v>
      </c>
      <c r="T6556" s="8">
        <v>0.6</v>
      </c>
      <c r="U6556" s="8">
        <v>13.5</v>
      </c>
      <c r="V6556" s="8">
        <v>2.1</v>
      </c>
      <c r="W6556" s="8">
        <v>1.7</v>
      </c>
      <c r="X6556" s="8">
        <v>110</v>
      </c>
      <c r="Y6556" s="8" t="s">
        <v>6340</v>
      </c>
      <c r="Z6556" s="8" t="s">
        <v>6341</v>
      </c>
    </row>
    <row r="6557" spans="1:26" x14ac:dyDescent="0.2">
      <c r="A6557" s="8">
        <v>6556</v>
      </c>
      <c r="B6557" s="8" t="s">
        <v>29124</v>
      </c>
      <c r="C6557" s="8" t="s">
        <v>29124</v>
      </c>
      <c r="F6557" s="47"/>
      <c r="G6557" s="8">
        <v>16</v>
      </c>
      <c r="H6557" s="8" t="s">
        <v>21</v>
      </c>
      <c r="I6557" s="8" t="s">
        <v>72</v>
      </c>
      <c r="J6557" s="8" t="s">
        <v>72</v>
      </c>
      <c r="K6557" s="8" t="s">
        <v>1405</v>
      </c>
      <c r="L6557" s="8" t="s">
        <v>28576</v>
      </c>
      <c r="M6557" s="8" t="s">
        <v>28577</v>
      </c>
      <c r="N6557" s="8" t="s">
        <v>29125</v>
      </c>
      <c r="O6557" s="8">
        <f>18+9/60+56/3600</f>
        <v>18.165555555555553</v>
      </c>
      <c r="P6557" s="8" t="s">
        <v>29126</v>
      </c>
      <c r="Q6557" s="8">
        <f>-(27+31/60+27/3600)</f>
        <v>-27.524166666666666</v>
      </c>
      <c r="R6557" s="8">
        <v>99</v>
      </c>
      <c r="S6557" s="8">
        <v>99</v>
      </c>
      <c r="T6557" s="8">
        <v>99</v>
      </c>
      <c r="U6557" s="8">
        <v>99</v>
      </c>
      <c r="Y6557" s="8" t="s">
        <v>29127</v>
      </c>
      <c r="Z6557" s="8" t="s">
        <v>29128</v>
      </c>
    </row>
    <row r="6558" spans="1:26" x14ac:dyDescent="0.2">
      <c r="A6558" s="8">
        <v>6557</v>
      </c>
      <c r="B6558" s="8" t="s">
        <v>29129</v>
      </c>
      <c r="C6558" s="8" t="s">
        <v>29129</v>
      </c>
      <c r="F6558" s="47"/>
      <c r="G6558" s="8">
        <v>16</v>
      </c>
      <c r="H6558" s="8" t="s">
        <v>21</v>
      </c>
      <c r="I6558" s="8" t="s">
        <v>22</v>
      </c>
      <c r="J6558" s="8" t="s">
        <v>22</v>
      </c>
      <c r="K6558" s="8" t="s">
        <v>37</v>
      </c>
      <c r="L6558" s="8" t="s">
        <v>11890</v>
      </c>
      <c r="M6558" s="8" t="s">
        <v>11891</v>
      </c>
      <c r="N6558" s="8" t="s">
        <v>29130</v>
      </c>
      <c r="O6558" s="8">
        <f>18+21/60+24.7/3600</f>
        <v>18.356861111111112</v>
      </c>
      <c r="P6558" s="8" t="s">
        <v>29131</v>
      </c>
      <c r="Q6558" s="8">
        <f>-(76+34/60+58/3600)</f>
        <v>-76.582777777777778</v>
      </c>
      <c r="R6558" s="8">
        <v>12.9</v>
      </c>
      <c r="S6558" s="8">
        <v>13.9</v>
      </c>
      <c r="T6558" s="8">
        <v>1</v>
      </c>
      <c r="U6558" s="8">
        <v>13.4</v>
      </c>
      <c r="V6558" s="8">
        <v>1.6</v>
      </c>
      <c r="W6558" s="8">
        <v>1.1000000000000001</v>
      </c>
      <c r="X6558" s="8">
        <v>80</v>
      </c>
      <c r="Y6558" s="8" t="s">
        <v>6395</v>
      </c>
      <c r="Z6558" s="8" t="s">
        <v>6396</v>
      </c>
    </row>
    <row r="6559" spans="1:26" x14ac:dyDescent="0.2">
      <c r="A6559" s="8">
        <v>6558</v>
      </c>
      <c r="B6559" s="8" t="s">
        <v>29132</v>
      </c>
      <c r="C6559" s="8" t="s">
        <v>29132</v>
      </c>
      <c r="F6559" s="47"/>
      <c r="G6559" s="8">
        <v>9</v>
      </c>
      <c r="H6559" s="8" t="s">
        <v>21</v>
      </c>
      <c r="I6559" s="8" t="s">
        <v>567</v>
      </c>
      <c r="J6559" s="8" t="s">
        <v>567</v>
      </c>
      <c r="K6559" s="8" t="s">
        <v>567</v>
      </c>
      <c r="L6559" s="8" t="s">
        <v>28576</v>
      </c>
      <c r="M6559" s="8" t="s">
        <v>28577</v>
      </c>
      <c r="N6559" s="8" t="s">
        <v>29133</v>
      </c>
      <c r="O6559" s="8">
        <f>18+10/60+18.4/3600</f>
        <v>18.17177777777778</v>
      </c>
      <c r="P6559" s="8" t="s">
        <v>29134</v>
      </c>
      <c r="Q6559" s="8">
        <f>-(31+45/60+47/3600)</f>
        <v>-31.763055555555557</v>
      </c>
      <c r="R6559" s="8">
        <v>8.6</v>
      </c>
      <c r="S6559" s="8">
        <v>99</v>
      </c>
      <c r="T6559" s="8">
        <v>99</v>
      </c>
      <c r="U6559" s="8">
        <v>99</v>
      </c>
      <c r="V6559" s="8">
        <v>4.2</v>
      </c>
      <c r="Y6559" s="8" t="s">
        <v>29135</v>
      </c>
      <c r="Z6559" s="8" t="s">
        <v>29136</v>
      </c>
    </row>
    <row r="6560" spans="1:26" x14ac:dyDescent="0.2">
      <c r="A6560" s="8">
        <v>6559</v>
      </c>
      <c r="B6560" s="8" t="s">
        <v>29137</v>
      </c>
      <c r="C6560" s="8" t="s">
        <v>29137</v>
      </c>
      <c r="F6560" s="47"/>
      <c r="G6560" s="8">
        <v>13</v>
      </c>
      <c r="H6560" s="8" t="s">
        <v>21</v>
      </c>
      <c r="I6560" s="8" t="s">
        <v>1283</v>
      </c>
      <c r="J6560" s="8" t="s">
        <v>1283</v>
      </c>
      <c r="K6560" s="8" t="s">
        <v>1284</v>
      </c>
      <c r="L6560" s="8" t="s">
        <v>28576</v>
      </c>
      <c r="M6560" s="8" t="s">
        <v>28577</v>
      </c>
      <c r="N6560" s="8" t="s">
        <v>29138</v>
      </c>
      <c r="O6560" s="8">
        <f>18+9/60+57.6/3600</f>
        <v>18.165999999999997</v>
      </c>
      <c r="P6560" s="8" t="s">
        <v>29139</v>
      </c>
      <c r="Q6560" s="8">
        <f>-(24+6/60+35/3600)</f>
        <v>-24.109722222222224</v>
      </c>
      <c r="R6560" s="8">
        <v>99</v>
      </c>
      <c r="S6560" s="8">
        <v>99</v>
      </c>
      <c r="T6560" s="8">
        <v>99</v>
      </c>
      <c r="U6560" s="8">
        <v>99</v>
      </c>
      <c r="V6560" s="8">
        <v>8</v>
      </c>
      <c r="W6560" s="8">
        <v>5</v>
      </c>
      <c r="Y6560" s="8" t="s">
        <v>29140</v>
      </c>
      <c r="Z6560" s="8" t="s">
        <v>29141</v>
      </c>
    </row>
    <row r="6561" spans="1:26" x14ac:dyDescent="0.2">
      <c r="A6561" s="8">
        <v>6560</v>
      </c>
      <c r="B6561" s="8" t="s">
        <v>29142</v>
      </c>
      <c r="C6561" s="8" t="s">
        <v>29142</v>
      </c>
      <c r="F6561" s="47"/>
      <c r="G6561" s="8">
        <v>19</v>
      </c>
      <c r="H6561" s="8" t="s">
        <v>21</v>
      </c>
      <c r="I6561" s="8" t="s">
        <v>22</v>
      </c>
      <c r="J6561" s="8" t="s">
        <v>22</v>
      </c>
      <c r="K6561" s="8" t="s">
        <v>85</v>
      </c>
      <c r="L6561" s="8" t="s">
        <v>26804</v>
      </c>
      <c r="M6561" s="8" t="s">
        <v>26805</v>
      </c>
      <c r="N6561" s="8" t="s">
        <v>29143</v>
      </c>
      <c r="O6561" s="8">
        <f>18+5/60+13.8/3600</f>
        <v>18.087166666666665</v>
      </c>
      <c r="P6561" s="8" t="s">
        <v>29144</v>
      </c>
      <c r="Q6561" s="8">
        <f>+(46+52/60+54/3600)</f>
        <v>46.881666666666668</v>
      </c>
      <c r="R6561" s="8">
        <v>13.6</v>
      </c>
      <c r="S6561" s="8">
        <v>14.2</v>
      </c>
      <c r="T6561" s="8">
        <v>0.6</v>
      </c>
      <c r="U6561" s="8">
        <v>13.4</v>
      </c>
      <c r="V6561" s="8">
        <v>1.2</v>
      </c>
      <c r="W6561" s="8">
        <v>0.8</v>
      </c>
      <c r="X6561" s="8">
        <v>55</v>
      </c>
      <c r="Y6561" s="8" t="s">
        <v>29145</v>
      </c>
      <c r="Z6561" s="8" t="s">
        <v>29146</v>
      </c>
    </row>
    <row r="6562" spans="1:26" x14ac:dyDescent="0.2">
      <c r="A6562" s="8">
        <v>6561</v>
      </c>
      <c r="B6562" s="8" t="s">
        <v>29147</v>
      </c>
      <c r="C6562" s="8" t="s">
        <v>29147</v>
      </c>
      <c r="F6562" s="47" t="s">
        <v>58215</v>
      </c>
      <c r="G6562" s="8">
        <v>12</v>
      </c>
      <c r="H6562" s="8" t="s">
        <v>21</v>
      </c>
      <c r="I6562" s="8" t="s">
        <v>72</v>
      </c>
      <c r="J6562" s="8" t="s">
        <v>72</v>
      </c>
      <c r="K6562" s="8" t="s">
        <v>1405</v>
      </c>
      <c r="L6562" s="8" t="s">
        <v>28576</v>
      </c>
      <c r="M6562" s="8" t="s">
        <v>28577</v>
      </c>
      <c r="N6562" s="8" t="s">
        <v>29148</v>
      </c>
      <c r="O6562" s="8">
        <f>18+10/60+33/3600</f>
        <v>18.175833333333333</v>
      </c>
      <c r="P6562" s="8" t="s">
        <v>29149</v>
      </c>
      <c r="Q6562" s="8">
        <f>-(16+44/60+48/3600)</f>
        <v>-16.746666666666666</v>
      </c>
      <c r="R6562" s="8">
        <v>99</v>
      </c>
      <c r="S6562" s="8">
        <v>99</v>
      </c>
      <c r="T6562" s="8">
        <v>99</v>
      </c>
      <c r="U6562" s="8">
        <v>99</v>
      </c>
      <c r="V6562" s="8">
        <v>10</v>
      </c>
      <c r="Y6562" s="8" t="s">
        <v>29150</v>
      </c>
      <c r="Z6562" s="8" t="s">
        <v>29151</v>
      </c>
    </row>
    <row r="6563" spans="1:26" x14ac:dyDescent="0.2">
      <c r="A6563" s="8">
        <v>6562</v>
      </c>
      <c r="B6563" s="8" t="s">
        <v>29152</v>
      </c>
      <c r="C6563" s="8" t="s">
        <v>29152</v>
      </c>
      <c r="F6563" s="47"/>
      <c r="G6563" s="8">
        <v>19</v>
      </c>
      <c r="H6563" s="8" t="s">
        <v>21</v>
      </c>
      <c r="I6563" s="8" t="s">
        <v>22</v>
      </c>
      <c r="J6563" s="8" t="s">
        <v>22</v>
      </c>
      <c r="K6563" s="8" t="s">
        <v>424</v>
      </c>
      <c r="L6563" s="8" t="s">
        <v>13395</v>
      </c>
      <c r="M6563" s="8" t="s">
        <v>13396</v>
      </c>
      <c r="N6563" s="8" t="s">
        <v>29153</v>
      </c>
      <c r="O6563" s="8">
        <f>18+5/60+0.8/3600</f>
        <v>18.083555555555556</v>
      </c>
      <c r="P6563" s="8" t="s">
        <v>29154</v>
      </c>
      <c r="Q6563" s="8">
        <f>+(56+15/60+49/3600)</f>
        <v>56.263611111111111</v>
      </c>
      <c r="R6563" s="8">
        <v>13.9</v>
      </c>
      <c r="S6563" s="8">
        <v>14.9</v>
      </c>
      <c r="T6563" s="8">
        <v>1</v>
      </c>
      <c r="U6563" s="8">
        <v>13</v>
      </c>
      <c r="V6563" s="8">
        <v>0.7</v>
      </c>
      <c r="W6563" s="8">
        <v>0.7</v>
      </c>
      <c r="Y6563" s="8" t="s">
        <v>29155</v>
      </c>
      <c r="Z6563" s="8" t="s">
        <v>29156</v>
      </c>
    </row>
    <row r="6564" spans="1:26" x14ac:dyDescent="0.2">
      <c r="A6564" s="8">
        <v>6563</v>
      </c>
      <c r="B6564" s="8" t="s">
        <v>29157</v>
      </c>
      <c r="C6564" s="8" t="s">
        <v>29157</v>
      </c>
      <c r="F6564" s="47"/>
      <c r="G6564" s="8">
        <v>9</v>
      </c>
      <c r="H6564" s="8" t="s">
        <v>29158</v>
      </c>
      <c r="I6564" s="8" t="s">
        <v>241</v>
      </c>
      <c r="J6564" s="8" t="s">
        <v>241</v>
      </c>
      <c r="K6564" s="8" t="s">
        <v>241</v>
      </c>
      <c r="L6564" s="8" t="s">
        <v>28576</v>
      </c>
      <c r="M6564" s="8" t="s">
        <v>28577</v>
      </c>
      <c r="N6564" s="8" t="s">
        <v>29159</v>
      </c>
      <c r="O6564" s="8">
        <f>18+12/60+2.6/3600</f>
        <v>18.200722222222222</v>
      </c>
      <c r="P6564" s="8" t="s">
        <v>29160</v>
      </c>
      <c r="Q6564" s="8">
        <f>-(33+52/60+4/3600)</f>
        <v>-33.867777777777775</v>
      </c>
      <c r="R6564" s="8">
        <v>11</v>
      </c>
      <c r="S6564" s="8">
        <v>13.8</v>
      </c>
      <c r="T6564" s="8">
        <v>99</v>
      </c>
      <c r="U6564" s="8">
        <v>99</v>
      </c>
      <c r="V6564" s="8">
        <v>0.8</v>
      </c>
      <c r="Y6564" s="8" t="s">
        <v>29161</v>
      </c>
      <c r="Z6564" s="8" t="s">
        <v>29162</v>
      </c>
    </row>
    <row r="6565" spans="1:26" x14ac:dyDescent="0.2">
      <c r="A6565" s="8">
        <v>6564</v>
      </c>
      <c r="B6565" s="8" t="s">
        <v>29163</v>
      </c>
      <c r="C6565" s="8" t="s">
        <v>29163</v>
      </c>
      <c r="F6565" s="47"/>
      <c r="G6565" s="8">
        <v>18</v>
      </c>
      <c r="H6565" s="8" t="s">
        <v>21</v>
      </c>
      <c r="I6565" s="8" t="s">
        <v>72</v>
      </c>
      <c r="J6565" s="8" t="s">
        <v>72</v>
      </c>
      <c r="K6565" s="8" t="s">
        <v>1802</v>
      </c>
      <c r="L6565" s="8" t="s">
        <v>26804</v>
      </c>
      <c r="M6565" s="8" t="s">
        <v>26805</v>
      </c>
      <c r="N6565" s="8" t="s">
        <v>29164</v>
      </c>
      <c r="O6565" s="8">
        <f>18+9/60+2.3/3600</f>
        <v>18.150638888888889</v>
      </c>
      <c r="P6565" s="8" t="s">
        <v>29165</v>
      </c>
      <c r="Q6565" s="8">
        <f>+(17+23/60+40/3600)</f>
        <v>17.394444444444446</v>
      </c>
      <c r="R6565" s="8">
        <v>99</v>
      </c>
      <c r="S6565" s="8">
        <v>99</v>
      </c>
      <c r="T6565" s="8">
        <v>99</v>
      </c>
      <c r="U6565" s="8">
        <v>99</v>
      </c>
      <c r="Y6565" s="8" t="s">
        <v>266</v>
      </c>
      <c r="Z6565" s="8" t="s">
        <v>267</v>
      </c>
    </row>
    <row r="6566" spans="1:26" x14ac:dyDescent="0.2">
      <c r="A6566" s="8">
        <v>6565</v>
      </c>
      <c r="B6566" s="8" t="s">
        <v>29166</v>
      </c>
      <c r="C6566" s="8" t="s">
        <v>29166</v>
      </c>
      <c r="F6566" s="47"/>
      <c r="G6566" s="8">
        <v>13</v>
      </c>
      <c r="H6566" s="8" t="s">
        <v>21</v>
      </c>
      <c r="I6566" s="8" t="s">
        <v>241</v>
      </c>
      <c r="J6566" s="8" t="s">
        <v>241</v>
      </c>
      <c r="K6566" s="8" t="s">
        <v>241</v>
      </c>
      <c r="L6566" s="8" t="s">
        <v>28576</v>
      </c>
      <c r="M6566" s="8" t="s">
        <v>28577</v>
      </c>
      <c r="N6566" s="8" t="s">
        <v>29167</v>
      </c>
      <c r="O6566" s="8">
        <f>18+11/60+52.5/3600</f>
        <v>18.197916666666668</v>
      </c>
      <c r="P6566" s="8" t="s">
        <v>29168</v>
      </c>
      <c r="Q6566" s="8">
        <f>-(28+10/60+41/3600)</f>
        <v>-28.178055555555556</v>
      </c>
      <c r="R6566" s="8">
        <v>11.6</v>
      </c>
      <c r="S6566" s="8">
        <v>13.2</v>
      </c>
      <c r="T6566" s="8">
        <v>99</v>
      </c>
      <c r="U6566" s="8">
        <v>99</v>
      </c>
      <c r="V6566" s="8">
        <v>0.23</v>
      </c>
      <c r="Y6566" s="8" t="s">
        <v>27387</v>
      </c>
      <c r="Z6566" s="8" t="s">
        <v>27388</v>
      </c>
    </row>
    <row r="6567" spans="1:26" x14ac:dyDescent="0.2">
      <c r="A6567" s="8">
        <v>6566</v>
      </c>
      <c r="B6567" s="8" t="s">
        <v>29169</v>
      </c>
      <c r="C6567" s="8" t="s">
        <v>29169</v>
      </c>
      <c r="F6567" s="47"/>
      <c r="G6567" s="8">
        <v>18</v>
      </c>
      <c r="H6567" s="8" t="s">
        <v>21</v>
      </c>
      <c r="I6567" s="8" t="s">
        <v>22</v>
      </c>
      <c r="J6567" s="8" t="s">
        <v>22</v>
      </c>
      <c r="K6567" s="8" t="s">
        <v>818</v>
      </c>
      <c r="L6567" s="8" t="s">
        <v>13395</v>
      </c>
      <c r="M6567" s="8" t="s">
        <v>13396</v>
      </c>
      <c r="N6567" s="8" t="s">
        <v>29170</v>
      </c>
      <c r="O6567" s="8">
        <f>18+7/60+0.7/3600</f>
        <v>18.116861111111113</v>
      </c>
      <c r="P6567" s="8" t="s">
        <v>29171</v>
      </c>
      <c r="Q6567" s="8">
        <f>+(52+15/60+38/3600)</f>
        <v>52.260555555555555</v>
      </c>
      <c r="R6567" s="8">
        <v>14.5</v>
      </c>
      <c r="S6567" s="8">
        <v>15.5</v>
      </c>
      <c r="T6567" s="8">
        <v>1</v>
      </c>
      <c r="U6567" s="8">
        <v>13.5</v>
      </c>
      <c r="V6567" s="8">
        <v>0.6</v>
      </c>
      <c r="W6567" s="8">
        <v>0.6</v>
      </c>
      <c r="Y6567" s="8" t="s">
        <v>29172</v>
      </c>
      <c r="Z6567" s="8" t="s">
        <v>29173</v>
      </c>
    </row>
    <row r="6568" spans="1:26" x14ac:dyDescent="0.2">
      <c r="A6568" s="8">
        <v>6567</v>
      </c>
      <c r="B6568" s="8" t="s">
        <v>29174</v>
      </c>
      <c r="C6568" s="8" t="s">
        <v>29174</v>
      </c>
      <c r="F6568" s="47"/>
      <c r="G6568" s="8">
        <v>5</v>
      </c>
      <c r="H6568" s="8" t="s">
        <v>21</v>
      </c>
      <c r="I6568" s="8" t="s">
        <v>241</v>
      </c>
      <c r="J6568" s="8" t="s">
        <v>241</v>
      </c>
      <c r="K6568" s="8" t="s">
        <v>241</v>
      </c>
      <c r="L6568" s="8" t="s">
        <v>28576</v>
      </c>
      <c r="M6568" s="8" t="s">
        <v>28577</v>
      </c>
      <c r="N6568" s="8" t="s">
        <v>29175</v>
      </c>
      <c r="O6568" s="8">
        <f>18+13/60+45.1/3600</f>
        <v>18.229194444444442</v>
      </c>
      <c r="P6568" s="8" t="s">
        <v>29176</v>
      </c>
      <c r="Q6568" s="8">
        <f>-(19+4/60+32/3600)</f>
        <v>-19.075555555555557</v>
      </c>
      <c r="R6568" s="8">
        <v>11</v>
      </c>
      <c r="S6568" s="8">
        <v>11.7</v>
      </c>
      <c r="T6568" s="8">
        <v>99</v>
      </c>
      <c r="U6568" s="8">
        <v>99</v>
      </c>
      <c r="V6568" s="8">
        <v>0.2</v>
      </c>
      <c r="Y6568" s="8" t="s">
        <v>29177</v>
      </c>
      <c r="Z6568" s="8" t="s">
        <v>29178</v>
      </c>
    </row>
    <row r="6569" spans="1:26" x14ac:dyDescent="0.2">
      <c r="A6569" s="8">
        <v>6568</v>
      </c>
      <c r="B6569" s="8" t="s">
        <v>29179</v>
      </c>
      <c r="C6569" s="8" t="s">
        <v>29179</v>
      </c>
      <c r="F6569" s="47" t="s">
        <v>58216</v>
      </c>
      <c r="G6569" s="8">
        <v>6</v>
      </c>
      <c r="H6569" s="8" t="s">
        <v>21</v>
      </c>
      <c r="I6569" s="8" t="s">
        <v>557</v>
      </c>
      <c r="J6569" s="8" t="s">
        <v>557</v>
      </c>
      <c r="K6569" s="8" t="s">
        <v>3647</v>
      </c>
      <c r="L6569" s="8" t="s">
        <v>28576</v>
      </c>
      <c r="M6569" s="8" t="s">
        <v>28577</v>
      </c>
      <c r="N6569" s="8" t="s">
        <v>29180</v>
      </c>
      <c r="O6569" s="8">
        <f>18+12/60+44/3600</f>
        <v>18.21222222222222</v>
      </c>
      <c r="P6569" s="8" t="s">
        <v>29181</v>
      </c>
      <c r="Q6569" s="8">
        <f>-(21+35/60+0/3600)</f>
        <v>-21.583333333333332</v>
      </c>
      <c r="R6569" s="8">
        <v>8.6</v>
      </c>
      <c r="S6569" s="8">
        <v>99</v>
      </c>
      <c r="T6569" s="8">
        <v>99</v>
      </c>
      <c r="U6569" s="8">
        <v>99</v>
      </c>
      <c r="V6569" s="8">
        <v>12</v>
      </c>
      <c r="Y6569" s="8" t="s">
        <v>29182</v>
      </c>
      <c r="Z6569" s="8" t="s">
        <v>29183</v>
      </c>
    </row>
    <row r="6570" spans="1:26" x14ac:dyDescent="0.2">
      <c r="A6570" s="8">
        <v>6569</v>
      </c>
      <c r="B6570" s="8" t="s">
        <v>29184</v>
      </c>
      <c r="C6570" s="8" t="s">
        <v>29184</v>
      </c>
      <c r="F6570" s="47" t="s">
        <v>58217</v>
      </c>
      <c r="G6570" s="8">
        <v>3</v>
      </c>
      <c r="H6570" s="8" t="s">
        <v>21</v>
      </c>
      <c r="I6570" s="8" t="s">
        <v>567</v>
      </c>
      <c r="J6570" s="8" t="s">
        <v>567</v>
      </c>
      <c r="K6570" s="8" t="s">
        <v>21778</v>
      </c>
      <c r="L6570" s="8" t="s">
        <v>28576</v>
      </c>
      <c r="M6570" s="8" t="s">
        <v>28577</v>
      </c>
      <c r="N6570" s="8" t="s">
        <v>29185</v>
      </c>
      <c r="O6570" s="8">
        <f>18+13/60+38.9/3600</f>
        <v>18.227472222222222</v>
      </c>
      <c r="P6570" s="8" t="s">
        <v>29186</v>
      </c>
      <c r="Q6570" s="8">
        <f>-(31+49/60+33/3600)</f>
        <v>-31.825833333333332</v>
      </c>
      <c r="R6570" s="8">
        <v>8.4</v>
      </c>
      <c r="S6570" s="8">
        <v>99</v>
      </c>
      <c r="T6570" s="8">
        <v>99</v>
      </c>
      <c r="U6570" s="8">
        <v>99</v>
      </c>
      <c r="V6570" s="8">
        <v>6.4</v>
      </c>
      <c r="Y6570" s="8" t="s">
        <v>29187</v>
      </c>
      <c r="Z6570" s="8" t="s">
        <v>29188</v>
      </c>
    </row>
    <row r="6571" spans="1:26" x14ac:dyDescent="0.2">
      <c r="A6571" s="8">
        <v>6570</v>
      </c>
      <c r="B6571" s="8" t="s">
        <v>29189</v>
      </c>
      <c r="C6571" s="8" t="s">
        <v>29189</v>
      </c>
      <c r="F6571" s="47"/>
      <c r="G6571" s="8">
        <v>18</v>
      </c>
      <c r="H6571" s="8" t="s">
        <v>21</v>
      </c>
      <c r="I6571" s="8" t="s">
        <v>22</v>
      </c>
      <c r="J6571" s="8" t="s">
        <v>22</v>
      </c>
      <c r="K6571" s="8" t="s">
        <v>323</v>
      </c>
      <c r="L6571" s="8" t="s">
        <v>26994</v>
      </c>
      <c r="M6571" s="8" t="s">
        <v>26995</v>
      </c>
      <c r="N6571" s="8" t="s">
        <v>29190</v>
      </c>
      <c r="O6571" s="8">
        <f>18+11/60+7.3/3600</f>
        <v>18.18536111111111</v>
      </c>
      <c r="P6571" s="8" t="s">
        <v>29191</v>
      </c>
      <c r="Q6571" s="8">
        <f>+(14+5/60+34/3600)</f>
        <v>14.092777777777778</v>
      </c>
      <c r="R6571" s="8">
        <v>12.7</v>
      </c>
      <c r="S6571" s="8">
        <v>13.3</v>
      </c>
      <c r="T6571" s="8">
        <v>0.6</v>
      </c>
      <c r="U6571" s="8">
        <v>13.3</v>
      </c>
      <c r="V6571" s="8">
        <v>1.9</v>
      </c>
      <c r="W6571" s="8">
        <v>1.1000000000000001</v>
      </c>
      <c r="X6571" s="8">
        <v>30</v>
      </c>
      <c r="Y6571" s="8" t="s">
        <v>22480</v>
      </c>
      <c r="Z6571" s="8" t="s">
        <v>22481</v>
      </c>
    </row>
    <row r="6572" spans="1:26" x14ac:dyDescent="0.2">
      <c r="A6572" s="8">
        <v>6571</v>
      </c>
      <c r="B6572" s="8" t="s">
        <v>29192</v>
      </c>
      <c r="C6572" s="8" t="s">
        <v>29192</v>
      </c>
      <c r="F6572" s="47"/>
      <c r="G6572" s="8">
        <v>18</v>
      </c>
      <c r="H6572" s="8" t="s">
        <v>21</v>
      </c>
      <c r="I6572" s="8" t="s">
        <v>22</v>
      </c>
      <c r="J6572" s="8" t="s">
        <v>22</v>
      </c>
      <c r="K6572" s="8" t="s">
        <v>58</v>
      </c>
      <c r="L6572" s="8" t="s">
        <v>26804</v>
      </c>
      <c r="M6572" s="8" t="s">
        <v>26805</v>
      </c>
      <c r="N6572" s="8" t="s">
        <v>29193</v>
      </c>
      <c r="O6572" s="8">
        <f>18+10/60+49.3/3600</f>
        <v>18.180361111111111</v>
      </c>
      <c r="P6572" s="8" t="s">
        <v>29194</v>
      </c>
      <c r="Q6572" s="8">
        <f>+(21+14/60+21/3600)</f>
        <v>21.239166666666666</v>
      </c>
      <c r="R6572" s="8">
        <v>14.4</v>
      </c>
      <c r="S6572" s="8">
        <v>15.4</v>
      </c>
      <c r="T6572" s="8">
        <v>1</v>
      </c>
      <c r="U6572" s="8">
        <v>12.5</v>
      </c>
      <c r="V6572" s="8">
        <v>0.4</v>
      </c>
      <c r="W6572" s="8">
        <v>0.4</v>
      </c>
      <c r="Y6572" s="8" t="s">
        <v>2287</v>
      </c>
      <c r="Z6572" s="8" t="s">
        <v>29195</v>
      </c>
    </row>
    <row r="6573" spans="1:26" x14ac:dyDescent="0.2">
      <c r="A6573" s="8">
        <v>6572</v>
      </c>
      <c r="B6573" s="8" t="s">
        <v>29196</v>
      </c>
      <c r="C6573" s="8" t="s">
        <v>29196</v>
      </c>
      <c r="F6573" s="47"/>
      <c r="G6573" s="8">
        <v>5</v>
      </c>
      <c r="H6573" s="8" t="s">
        <v>29197</v>
      </c>
      <c r="I6573" s="8" t="s">
        <v>241</v>
      </c>
      <c r="J6573" s="8" t="s">
        <v>241</v>
      </c>
      <c r="K6573" s="8" t="s">
        <v>241</v>
      </c>
      <c r="L6573" s="8" t="s">
        <v>26994</v>
      </c>
      <c r="M6573" s="8" t="s">
        <v>26995</v>
      </c>
      <c r="N6573" s="8" t="s">
        <v>29198</v>
      </c>
      <c r="O6573" s="8">
        <f>18+12/60+6.4/3600</f>
        <v>18.201777777777778</v>
      </c>
      <c r="P6573" s="8" t="s">
        <v>29199</v>
      </c>
      <c r="Q6573" s="8">
        <f>+(6+51/60+15/3600)</f>
        <v>6.8541666666666661</v>
      </c>
      <c r="R6573" s="8">
        <v>8.1</v>
      </c>
      <c r="S6573" s="8">
        <v>9</v>
      </c>
      <c r="T6573" s="8">
        <v>99</v>
      </c>
      <c r="U6573" s="8">
        <v>99</v>
      </c>
      <c r="V6573" s="8">
        <v>0.25</v>
      </c>
      <c r="Y6573" s="8" t="s">
        <v>29200</v>
      </c>
      <c r="Z6573" s="8" t="s">
        <v>29201</v>
      </c>
    </row>
    <row r="6574" spans="1:26" x14ac:dyDescent="0.2">
      <c r="A6574" s="8">
        <v>6573</v>
      </c>
      <c r="B6574" s="8" t="s">
        <v>29202</v>
      </c>
      <c r="C6574" s="8" t="s">
        <v>29202</v>
      </c>
      <c r="F6574" s="47"/>
      <c r="G6574" s="8">
        <v>16</v>
      </c>
      <c r="H6574" s="8" t="s">
        <v>21</v>
      </c>
      <c r="I6574" s="8" t="s">
        <v>72</v>
      </c>
      <c r="J6574" s="8" t="s">
        <v>72</v>
      </c>
      <c r="K6574" s="8" t="s">
        <v>1405</v>
      </c>
      <c r="L6574" s="8" t="s">
        <v>28576</v>
      </c>
      <c r="M6574" s="8" t="s">
        <v>28577</v>
      </c>
      <c r="N6574" s="8" t="s">
        <v>29203</v>
      </c>
      <c r="O6574" s="8">
        <f>18+13/60+41.5/3600</f>
        <v>18.228194444444444</v>
      </c>
      <c r="P6574" s="8" t="s">
        <v>29204</v>
      </c>
      <c r="Q6574" s="8">
        <f>-(22+7/60+8/3600)</f>
        <v>-22.11888888888889</v>
      </c>
      <c r="R6574" s="8">
        <v>99</v>
      </c>
      <c r="S6574" s="8">
        <v>99</v>
      </c>
      <c r="T6574" s="8">
        <v>99</v>
      </c>
      <c r="U6574" s="8">
        <v>99</v>
      </c>
      <c r="V6574" s="8">
        <v>6</v>
      </c>
      <c r="Y6574" s="8" t="s">
        <v>28580</v>
      </c>
      <c r="Z6574" s="8" t="s">
        <v>28581</v>
      </c>
    </row>
    <row r="6575" spans="1:26" x14ac:dyDescent="0.2">
      <c r="A6575" s="8">
        <v>6574</v>
      </c>
      <c r="B6575" s="8" t="s">
        <v>29205</v>
      </c>
      <c r="C6575" s="8" t="s">
        <v>29205</v>
      </c>
      <c r="F6575" s="47"/>
      <c r="G6575" s="8">
        <v>13</v>
      </c>
      <c r="H6575" s="8" t="s">
        <v>21</v>
      </c>
      <c r="I6575" s="8" t="s">
        <v>22</v>
      </c>
      <c r="J6575" s="8" t="s">
        <v>22</v>
      </c>
      <c r="K6575" s="8" t="s">
        <v>85</v>
      </c>
      <c r="L6575" s="8" t="s">
        <v>26804</v>
      </c>
      <c r="M6575" s="8" t="s">
        <v>26805</v>
      </c>
      <c r="N6575" s="8" t="s">
        <v>29206</v>
      </c>
      <c r="O6575" s="8">
        <f>18+11/60+51.2/3600</f>
        <v>18.197555555555557</v>
      </c>
      <c r="P6575" s="8" t="s">
        <v>29207</v>
      </c>
      <c r="Q6575" s="8">
        <f>+(14+58/60+54/3600)</f>
        <v>14.981666666666667</v>
      </c>
      <c r="R6575" s="8">
        <v>12</v>
      </c>
      <c r="S6575" s="8">
        <v>12.8</v>
      </c>
      <c r="T6575" s="8">
        <v>0.8</v>
      </c>
      <c r="U6575" s="8">
        <v>12.3</v>
      </c>
      <c r="V6575" s="8">
        <v>1.5</v>
      </c>
      <c r="W6575" s="8">
        <v>1.1000000000000001</v>
      </c>
      <c r="X6575" s="8">
        <v>160</v>
      </c>
      <c r="Y6575" s="8" t="s">
        <v>13469</v>
      </c>
      <c r="Z6575" s="8" t="s">
        <v>13470</v>
      </c>
    </row>
    <row r="6576" spans="1:26" x14ac:dyDescent="0.2">
      <c r="A6576" s="8">
        <v>6575</v>
      </c>
      <c r="B6576" s="8" t="s">
        <v>29208</v>
      </c>
      <c r="C6576" s="8" t="s">
        <v>29208</v>
      </c>
      <c r="F6576" s="47"/>
      <c r="G6576" s="8">
        <v>19</v>
      </c>
      <c r="H6576" s="8" t="s">
        <v>21</v>
      </c>
      <c r="I6576" s="8" t="s">
        <v>22</v>
      </c>
      <c r="J6576" s="8" t="s">
        <v>22</v>
      </c>
      <c r="K6576" s="8" t="s">
        <v>382</v>
      </c>
      <c r="L6576" s="8" t="s">
        <v>26804</v>
      </c>
      <c r="M6576" s="8" t="s">
        <v>26805</v>
      </c>
      <c r="N6576" s="8" t="s">
        <v>29209</v>
      </c>
      <c r="O6576" s="8">
        <f>18+10/60+57.5/3600</f>
        <v>18.182638888888889</v>
      </c>
      <c r="P6576" s="8" t="s">
        <v>29210</v>
      </c>
      <c r="Q6576" s="8">
        <f>+(31+6/60+58/3600)</f>
        <v>31.116111111111113</v>
      </c>
      <c r="R6576" s="8">
        <v>12.7</v>
      </c>
      <c r="S6576" s="8">
        <v>13.7</v>
      </c>
      <c r="T6576" s="8">
        <v>1</v>
      </c>
      <c r="U6576" s="8">
        <v>13.6</v>
      </c>
      <c r="V6576" s="8">
        <v>1.8</v>
      </c>
      <c r="W6576" s="8">
        <v>1.3</v>
      </c>
      <c r="X6576" s="8">
        <v>65</v>
      </c>
      <c r="Y6576" s="8" t="s">
        <v>13469</v>
      </c>
      <c r="Z6576" s="8" t="s">
        <v>13470</v>
      </c>
    </row>
    <row r="6577" spans="1:26" x14ac:dyDescent="0.2">
      <c r="A6577" s="8">
        <v>6576</v>
      </c>
      <c r="B6577" s="8" t="s">
        <v>29211</v>
      </c>
      <c r="C6577" s="8" t="s">
        <v>29211</v>
      </c>
      <c r="F6577" s="47"/>
      <c r="G6577" s="8">
        <v>18</v>
      </c>
      <c r="H6577" s="8" t="s">
        <v>21</v>
      </c>
      <c r="I6577" s="8" t="s">
        <v>22</v>
      </c>
      <c r="J6577" s="8" t="s">
        <v>22</v>
      </c>
      <c r="K6577" s="8" t="s">
        <v>449</v>
      </c>
      <c r="L6577" s="8" t="s">
        <v>26804</v>
      </c>
      <c r="M6577" s="8" t="s">
        <v>26805</v>
      </c>
      <c r="N6577" s="8" t="s">
        <v>29212</v>
      </c>
      <c r="O6577" s="8">
        <f>18+11/60+47.9/3600</f>
        <v>18.196638888888888</v>
      </c>
      <c r="P6577" s="8" t="s">
        <v>29213</v>
      </c>
      <c r="Q6577" s="8">
        <f>+(21+25/60+44/3600)</f>
        <v>21.428888888888888</v>
      </c>
      <c r="R6577" s="8">
        <v>14.7</v>
      </c>
      <c r="S6577" s="8">
        <v>15.5</v>
      </c>
      <c r="T6577" s="8">
        <v>0.8</v>
      </c>
      <c r="U6577" s="8">
        <v>13.5</v>
      </c>
      <c r="V6577" s="8">
        <v>0.6</v>
      </c>
      <c r="W6577" s="8">
        <v>0.6</v>
      </c>
      <c r="Y6577" s="8" t="s">
        <v>266</v>
      </c>
      <c r="Z6577" s="8" t="s">
        <v>267</v>
      </c>
    </row>
    <row r="6578" spans="1:26" x14ac:dyDescent="0.2">
      <c r="A6578" s="8">
        <v>6577</v>
      </c>
      <c r="B6578" s="8" t="s">
        <v>29214</v>
      </c>
      <c r="C6578" s="8" t="s">
        <v>29214</v>
      </c>
      <c r="F6578" s="47"/>
      <c r="G6578" s="8">
        <v>18</v>
      </c>
      <c r="H6578" s="8" t="s">
        <v>21</v>
      </c>
      <c r="I6578" s="8" t="s">
        <v>22</v>
      </c>
      <c r="J6578" s="8" t="s">
        <v>22</v>
      </c>
      <c r="K6578" s="8" t="s">
        <v>183</v>
      </c>
      <c r="L6578" s="8" t="s">
        <v>26804</v>
      </c>
      <c r="M6578" s="8" t="s">
        <v>26805</v>
      </c>
      <c r="N6578" s="8" t="s">
        <v>29215</v>
      </c>
      <c r="O6578" s="8">
        <f>18+12/60+1.1/3600</f>
        <v>18.200305555555556</v>
      </c>
      <c r="P6578" s="8" t="s">
        <v>29216</v>
      </c>
      <c r="Q6578" s="8">
        <f>+(21+27/60+50/3600)</f>
        <v>21.463888888888889</v>
      </c>
      <c r="R6578" s="8">
        <v>12.6</v>
      </c>
      <c r="S6578" s="8">
        <v>13.7</v>
      </c>
      <c r="T6578" s="8">
        <v>1.1000000000000001</v>
      </c>
      <c r="U6578" s="8">
        <v>13.3</v>
      </c>
      <c r="V6578" s="8">
        <v>1.5</v>
      </c>
      <c r="W6578" s="8">
        <v>1.3</v>
      </c>
      <c r="X6578" s="8">
        <v>6</v>
      </c>
      <c r="Y6578" s="8" t="s">
        <v>1511</v>
      </c>
      <c r="Z6578" s="8" t="s">
        <v>1512</v>
      </c>
    </row>
    <row r="6579" spans="1:26" x14ac:dyDescent="0.2">
      <c r="A6579" s="8">
        <v>6578</v>
      </c>
      <c r="B6579" s="8" t="s">
        <v>29217</v>
      </c>
      <c r="C6579" s="8" t="s">
        <v>29217</v>
      </c>
      <c r="F6579" s="47"/>
      <c r="G6579" s="8">
        <v>13</v>
      </c>
      <c r="H6579" s="8" t="s">
        <v>21</v>
      </c>
      <c r="I6579" s="8" t="s">
        <v>241</v>
      </c>
      <c r="J6579" s="8" t="s">
        <v>241</v>
      </c>
      <c r="K6579" s="8" t="s">
        <v>241</v>
      </c>
      <c r="L6579" s="8" t="s">
        <v>28576</v>
      </c>
      <c r="M6579" s="8" t="s">
        <v>28577</v>
      </c>
      <c r="N6579" s="8" t="s">
        <v>29218</v>
      </c>
      <c r="O6579" s="8">
        <f>18+16/60+16.5/3600</f>
        <v>18.271249999999998</v>
      </c>
      <c r="P6579" s="8" t="s">
        <v>29219</v>
      </c>
      <c r="Q6579" s="8">
        <f>-(20+27/60+0/3600)</f>
        <v>-20.45</v>
      </c>
      <c r="R6579" s="8">
        <v>12.9</v>
      </c>
      <c r="S6579" s="8">
        <v>13.1</v>
      </c>
      <c r="T6579" s="8">
        <v>99</v>
      </c>
      <c r="U6579" s="8">
        <v>99</v>
      </c>
      <c r="V6579" s="8">
        <v>0.18</v>
      </c>
      <c r="Y6579" s="8" t="s">
        <v>29220</v>
      </c>
      <c r="Z6579" s="8" t="s">
        <v>29221</v>
      </c>
    </row>
    <row r="6580" spans="1:26" x14ac:dyDescent="0.2">
      <c r="A6580" s="8">
        <v>6579</v>
      </c>
      <c r="B6580" s="8" t="s">
        <v>29222</v>
      </c>
      <c r="C6580" s="8" t="s">
        <v>29222</v>
      </c>
      <c r="F6580" s="47"/>
      <c r="G6580" s="8">
        <v>18</v>
      </c>
      <c r="H6580" s="8" t="s">
        <v>21</v>
      </c>
      <c r="I6580" s="8" t="s">
        <v>22</v>
      </c>
      <c r="J6580" s="8" t="s">
        <v>22</v>
      </c>
      <c r="K6580" s="8" t="s">
        <v>449</v>
      </c>
      <c r="L6580" s="8" t="s">
        <v>26804</v>
      </c>
      <c r="M6580" s="8" t="s">
        <v>26805</v>
      </c>
      <c r="N6580" s="8" t="s">
        <v>29223</v>
      </c>
      <c r="O6580" s="8">
        <f>18+12/60+31.8/3600</f>
        <v>18.208833333333331</v>
      </c>
      <c r="P6580" s="8" t="s">
        <v>29224</v>
      </c>
      <c r="Q6580" s="8">
        <f>+(21+25/60+14/3600)</f>
        <v>21.420555555555556</v>
      </c>
      <c r="R6580" s="8">
        <v>13.8</v>
      </c>
      <c r="S6580" s="8">
        <v>14.6</v>
      </c>
      <c r="T6580" s="8">
        <v>0.8</v>
      </c>
      <c r="U6580" s="8">
        <v>11.6</v>
      </c>
      <c r="V6580" s="8">
        <v>0.4</v>
      </c>
      <c r="W6580" s="8">
        <v>0.4</v>
      </c>
      <c r="Y6580" s="8" t="s">
        <v>29225</v>
      </c>
      <c r="Z6580" s="8" t="s">
        <v>29226</v>
      </c>
    </row>
    <row r="6581" spans="1:26" x14ac:dyDescent="0.2">
      <c r="A6581" s="8">
        <v>6580</v>
      </c>
      <c r="B6581" s="8" t="s">
        <v>29227</v>
      </c>
      <c r="C6581" s="8" t="s">
        <v>29227</v>
      </c>
      <c r="F6581" s="47"/>
      <c r="G6581" s="8">
        <v>18</v>
      </c>
      <c r="H6581" s="8" t="s">
        <v>21</v>
      </c>
      <c r="I6581" s="8" t="s">
        <v>22</v>
      </c>
      <c r="J6581" s="8" t="s">
        <v>22</v>
      </c>
      <c r="K6581" s="8" t="s">
        <v>818</v>
      </c>
      <c r="L6581" s="8" t="s">
        <v>26804</v>
      </c>
      <c r="M6581" s="8" t="s">
        <v>26805</v>
      </c>
      <c r="N6581" s="8" t="s">
        <v>29228</v>
      </c>
      <c r="O6581" s="8">
        <f>18+12/60+33.7/3600</f>
        <v>18.209361111111111</v>
      </c>
      <c r="P6581" s="8" t="s">
        <v>29229</v>
      </c>
      <c r="Q6581" s="8">
        <f>+(21+25/60+33/3600)</f>
        <v>21.425833333333333</v>
      </c>
      <c r="R6581" s="8">
        <v>13.3</v>
      </c>
      <c r="S6581" s="8">
        <v>14.3</v>
      </c>
      <c r="T6581" s="8">
        <v>1</v>
      </c>
      <c r="U6581" s="8">
        <v>13.2</v>
      </c>
      <c r="V6581" s="8">
        <v>1.3</v>
      </c>
      <c r="W6581" s="8">
        <v>0.7</v>
      </c>
      <c r="X6581" s="8">
        <v>135</v>
      </c>
      <c r="Y6581" s="8" t="s">
        <v>29230</v>
      </c>
      <c r="Z6581" s="8" t="s">
        <v>29231</v>
      </c>
    </row>
    <row r="6582" spans="1:26" x14ac:dyDescent="0.2">
      <c r="A6582" s="8">
        <v>6581</v>
      </c>
      <c r="B6582" s="8" t="s">
        <v>29232</v>
      </c>
      <c r="C6582" s="8" t="s">
        <v>29232</v>
      </c>
      <c r="F6582" s="47"/>
      <c r="G6582" s="8">
        <v>18</v>
      </c>
      <c r="H6582" s="8" t="s">
        <v>21</v>
      </c>
      <c r="I6582" s="8" t="s">
        <v>22</v>
      </c>
      <c r="J6582" s="8" t="s">
        <v>22</v>
      </c>
      <c r="K6582" s="8" t="s">
        <v>424</v>
      </c>
      <c r="L6582" s="8" t="s">
        <v>26804</v>
      </c>
      <c r="M6582" s="8" t="s">
        <v>26805</v>
      </c>
      <c r="N6582" s="8" t="s">
        <v>29233</v>
      </c>
      <c r="O6582" s="8">
        <f>18+12/60+18.3/3600</f>
        <v>18.205083333333334</v>
      </c>
      <c r="P6582" s="8" t="s">
        <v>29234</v>
      </c>
      <c r="Q6582" s="8">
        <f>+(25+39/60+46/3600)</f>
        <v>25.662777777777777</v>
      </c>
      <c r="R6582" s="8">
        <v>14.3</v>
      </c>
      <c r="S6582" s="8">
        <v>15.3</v>
      </c>
      <c r="T6582" s="8">
        <v>1</v>
      </c>
      <c r="U6582" s="8">
        <v>12.2</v>
      </c>
      <c r="V6582" s="8">
        <v>0.4</v>
      </c>
      <c r="W6582" s="8">
        <v>0.4</v>
      </c>
      <c r="Y6582" s="8" t="s">
        <v>29235</v>
      </c>
      <c r="Z6582" s="8" t="s">
        <v>29236</v>
      </c>
    </row>
    <row r="6583" spans="1:26" x14ac:dyDescent="0.2">
      <c r="A6583" s="8">
        <v>6582</v>
      </c>
      <c r="B6583" s="8" t="s">
        <v>29237</v>
      </c>
      <c r="C6583" s="8" t="s">
        <v>29237</v>
      </c>
      <c r="E6583" s="8">
        <v>1</v>
      </c>
      <c r="F6583" s="47"/>
      <c r="G6583" s="8">
        <v>19</v>
      </c>
      <c r="H6583" s="8" t="s">
        <v>21</v>
      </c>
      <c r="I6583" s="8" t="s">
        <v>22</v>
      </c>
      <c r="J6583" s="8" t="s">
        <v>22</v>
      </c>
      <c r="K6583" s="8" t="s">
        <v>58</v>
      </c>
      <c r="L6583" s="8" t="s">
        <v>26804</v>
      </c>
      <c r="M6583" s="8" t="s">
        <v>26805</v>
      </c>
      <c r="N6583" s="8" t="s">
        <v>29238</v>
      </c>
      <c r="O6583" s="8">
        <f>18+11/60+1.8/3600</f>
        <v>18.183833333333332</v>
      </c>
      <c r="P6583" s="8" t="s">
        <v>29239</v>
      </c>
      <c r="Q6583" s="8">
        <f>+(49+54/60+41/3600)</f>
        <v>49.911388888888887</v>
      </c>
      <c r="R6583" s="8">
        <v>13.9</v>
      </c>
      <c r="S6583" s="8">
        <v>14.9</v>
      </c>
      <c r="T6583" s="8">
        <v>1</v>
      </c>
      <c r="U6583" s="8">
        <v>12.9</v>
      </c>
      <c r="V6583" s="8">
        <v>0.6</v>
      </c>
      <c r="W6583" s="8">
        <v>0.6</v>
      </c>
      <c r="Y6583" s="8" t="s">
        <v>215</v>
      </c>
      <c r="Z6583" s="8" t="s">
        <v>216</v>
      </c>
    </row>
    <row r="6584" spans="1:26" x14ac:dyDescent="0.2">
      <c r="A6584" s="8">
        <v>6583</v>
      </c>
      <c r="B6584" s="8" t="s">
        <v>29240</v>
      </c>
      <c r="C6584" s="8" t="s">
        <v>29240</v>
      </c>
      <c r="F6584" s="47" t="s">
        <v>58218</v>
      </c>
      <c r="G6584" s="8">
        <v>6</v>
      </c>
      <c r="H6584" s="8" t="s">
        <v>21</v>
      </c>
      <c r="I6584" s="8" t="s">
        <v>557</v>
      </c>
      <c r="J6584" s="8" t="s">
        <v>557</v>
      </c>
      <c r="K6584" s="8" t="s">
        <v>7034</v>
      </c>
      <c r="L6584" s="8" t="s">
        <v>28576</v>
      </c>
      <c r="M6584" s="8" t="s">
        <v>28577</v>
      </c>
      <c r="N6584" s="8" t="s">
        <v>29241</v>
      </c>
      <c r="O6584" s="8">
        <f>18+15/60+48.8/3600</f>
        <v>18.263555555555556</v>
      </c>
      <c r="P6584" s="8" t="s">
        <v>29242</v>
      </c>
      <c r="Q6584" s="8">
        <f>-(22+8/60+15/3600)</f>
        <v>-22.137499999999999</v>
      </c>
      <c r="R6584" s="8">
        <v>10</v>
      </c>
      <c r="S6584" s="8">
        <v>99</v>
      </c>
      <c r="T6584" s="8">
        <v>99</v>
      </c>
      <c r="U6584" s="8">
        <v>99</v>
      </c>
      <c r="V6584" s="8">
        <v>5</v>
      </c>
      <c r="Y6584" s="8" t="s">
        <v>29243</v>
      </c>
      <c r="Z6584" s="8" t="s">
        <v>29244</v>
      </c>
    </row>
    <row r="6585" spans="1:26" x14ac:dyDescent="0.2">
      <c r="A6585" s="8">
        <v>6584</v>
      </c>
      <c r="B6585" s="8" t="s">
        <v>29245</v>
      </c>
      <c r="C6585" s="8" t="s">
        <v>29245</v>
      </c>
      <c r="F6585" s="47"/>
      <c r="G6585" s="8">
        <v>3</v>
      </c>
      <c r="H6585" s="8" t="s">
        <v>21</v>
      </c>
      <c r="I6585" s="8" t="s">
        <v>567</v>
      </c>
      <c r="J6585" s="8" t="s">
        <v>567</v>
      </c>
      <c r="K6585" s="8" t="s">
        <v>21778</v>
      </c>
      <c r="L6585" s="8" t="s">
        <v>29246</v>
      </c>
      <c r="M6585" s="8" t="s">
        <v>29247</v>
      </c>
      <c r="N6585" s="8" t="s">
        <v>29248</v>
      </c>
      <c r="O6585" s="8">
        <f>18+18/60+37.7/3600</f>
        <v>18.310472222222224</v>
      </c>
      <c r="P6585" s="8" t="s">
        <v>29249</v>
      </c>
      <c r="Q6585" s="8">
        <f>-(52+12/60+52/3600)</f>
        <v>-52.214444444444446</v>
      </c>
      <c r="R6585" s="8">
        <v>7.9</v>
      </c>
      <c r="S6585" s="8">
        <v>99</v>
      </c>
      <c r="T6585" s="8">
        <v>99</v>
      </c>
      <c r="U6585" s="8">
        <v>99</v>
      </c>
      <c r="V6585" s="8">
        <v>6.6</v>
      </c>
      <c r="Y6585" s="8" t="s">
        <v>29250</v>
      </c>
      <c r="Z6585" s="8" t="s">
        <v>29251</v>
      </c>
    </row>
    <row r="6586" spans="1:26" x14ac:dyDescent="0.2">
      <c r="A6586" s="8">
        <v>6585</v>
      </c>
      <c r="B6586" s="8" t="s">
        <v>29252</v>
      </c>
      <c r="C6586" s="8" t="s">
        <v>29252</v>
      </c>
      <c r="F6586" s="47"/>
      <c r="G6586" s="8">
        <v>19</v>
      </c>
      <c r="H6586" s="8" t="s">
        <v>21</v>
      </c>
      <c r="I6586" s="8" t="s">
        <v>22</v>
      </c>
      <c r="J6586" s="8" t="s">
        <v>22</v>
      </c>
      <c r="K6586" s="8" t="s">
        <v>396</v>
      </c>
      <c r="L6586" s="8" t="s">
        <v>26804</v>
      </c>
      <c r="M6586" s="8" t="s">
        <v>26805</v>
      </c>
      <c r="N6586" s="8" t="s">
        <v>29253</v>
      </c>
      <c r="O6586" s="8">
        <f>18+12/60+21.9/3600</f>
        <v>18.206083333333332</v>
      </c>
      <c r="P6586" s="8" t="s">
        <v>29254</v>
      </c>
      <c r="Q6586" s="8">
        <f>+(39+38/60+0/3600)</f>
        <v>39.633333333333333</v>
      </c>
      <c r="R6586" s="8">
        <v>12.9</v>
      </c>
      <c r="S6586" s="8">
        <v>13.7</v>
      </c>
      <c r="T6586" s="8">
        <v>0.8</v>
      </c>
      <c r="U6586" s="8">
        <v>12.5</v>
      </c>
      <c r="V6586" s="8">
        <v>1.9</v>
      </c>
      <c r="W6586" s="8">
        <v>0.4</v>
      </c>
      <c r="X6586" s="8">
        <v>50</v>
      </c>
      <c r="Y6586" s="8" t="s">
        <v>29255</v>
      </c>
      <c r="Z6586" s="8" t="s">
        <v>29256</v>
      </c>
    </row>
    <row r="6587" spans="1:26" x14ac:dyDescent="0.2">
      <c r="A6587" s="8">
        <v>6586</v>
      </c>
      <c r="B6587" s="8" t="s">
        <v>29257</v>
      </c>
      <c r="C6587" s="8" t="s">
        <v>29257</v>
      </c>
      <c r="F6587" s="47"/>
      <c r="G6587" s="8">
        <v>18</v>
      </c>
      <c r="H6587" s="8" t="s">
        <v>21</v>
      </c>
      <c r="I6587" s="8" t="s">
        <v>22</v>
      </c>
      <c r="J6587" s="8" t="s">
        <v>22</v>
      </c>
      <c r="K6587" s="8" t="s">
        <v>449</v>
      </c>
      <c r="L6587" s="8" t="s">
        <v>26804</v>
      </c>
      <c r="M6587" s="8" t="s">
        <v>26805</v>
      </c>
      <c r="N6587" s="8" t="s">
        <v>29258</v>
      </c>
      <c r="O6587" s="8">
        <f>18+13/60+38.4/3600</f>
        <v>18.227333333333331</v>
      </c>
      <c r="P6587" s="8" t="s">
        <v>29259</v>
      </c>
      <c r="Q6587" s="8">
        <f>+(21+5/60+27/3600)</f>
        <v>21.090833333333332</v>
      </c>
      <c r="R6587" s="8">
        <v>13.7</v>
      </c>
      <c r="S6587" s="8">
        <v>14.6</v>
      </c>
      <c r="T6587" s="8">
        <v>0.9</v>
      </c>
      <c r="U6587" s="8">
        <v>12.7</v>
      </c>
      <c r="V6587" s="8">
        <v>0.9</v>
      </c>
      <c r="W6587" s="8">
        <v>0.5</v>
      </c>
      <c r="X6587" s="8">
        <v>105</v>
      </c>
      <c r="Y6587" s="8" t="s">
        <v>227</v>
      </c>
      <c r="Z6587" s="8" t="s">
        <v>228</v>
      </c>
    </row>
    <row r="6588" spans="1:26" x14ac:dyDescent="0.2">
      <c r="A6588" s="8">
        <v>6587</v>
      </c>
      <c r="B6588" s="8" t="s">
        <v>29260</v>
      </c>
      <c r="C6588" s="8" t="s">
        <v>29260</v>
      </c>
      <c r="F6588" s="47"/>
      <c r="G6588" s="8">
        <v>18</v>
      </c>
      <c r="H6588" s="8" t="s">
        <v>21</v>
      </c>
      <c r="I6588" s="8" t="s">
        <v>22</v>
      </c>
      <c r="J6588" s="8" t="s">
        <v>22</v>
      </c>
      <c r="K6588" s="8" t="s">
        <v>118</v>
      </c>
      <c r="L6588" s="8" t="s">
        <v>26804</v>
      </c>
      <c r="M6588" s="8" t="s">
        <v>26805</v>
      </c>
      <c r="N6588" s="8" t="s">
        <v>29261</v>
      </c>
      <c r="O6588" s="8">
        <f>18+13/60+50.8/3600</f>
        <v>18.230777777777774</v>
      </c>
      <c r="P6588" s="8" t="s">
        <v>29262</v>
      </c>
      <c r="Q6588" s="8">
        <f>+(18+49/60+33/3600)</f>
        <v>18.825833333333332</v>
      </c>
      <c r="R6588" s="8">
        <v>12.9</v>
      </c>
      <c r="S6588" s="8">
        <v>13.9</v>
      </c>
      <c r="T6588" s="8">
        <v>1</v>
      </c>
      <c r="U6588" s="8">
        <v>13.2</v>
      </c>
      <c r="V6588" s="8">
        <v>1.3</v>
      </c>
      <c r="W6588" s="8">
        <v>1.1000000000000001</v>
      </c>
      <c r="X6588" s="8">
        <v>21</v>
      </c>
      <c r="Y6588" s="8" t="s">
        <v>5926</v>
      </c>
      <c r="Z6588" s="8" t="s">
        <v>5927</v>
      </c>
    </row>
    <row r="6589" spans="1:26" x14ac:dyDescent="0.2">
      <c r="A6589" s="8">
        <v>6588</v>
      </c>
      <c r="B6589" s="8" t="s">
        <v>29263</v>
      </c>
      <c r="C6589" s="8" t="s">
        <v>29263</v>
      </c>
      <c r="F6589" s="47"/>
      <c r="G6589" s="8">
        <v>16</v>
      </c>
      <c r="H6589" s="8" t="s">
        <v>21</v>
      </c>
      <c r="I6589" s="8" t="s">
        <v>72</v>
      </c>
      <c r="J6589" s="8" t="s">
        <v>72</v>
      </c>
      <c r="K6589" s="8" t="s">
        <v>1405</v>
      </c>
      <c r="L6589" s="8" t="s">
        <v>28435</v>
      </c>
      <c r="M6589" s="8" t="s">
        <v>28436</v>
      </c>
      <c r="N6589" s="8" t="s">
        <v>29264</v>
      </c>
      <c r="O6589" s="8">
        <f>18+21/60+27/3600</f>
        <v>18.357500000000002</v>
      </c>
      <c r="P6589" s="8" t="s">
        <v>29265</v>
      </c>
      <c r="Q6589" s="8">
        <f>-(63+48/60+24/3600)</f>
        <v>-63.806666666666665</v>
      </c>
      <c r="R6589" s="8">
        <v>99</v>
      </c>
      <c r="S6589" s="8">
        <v>99</v>
      </c>
      <c r="T6589" s="8">
        <v>99</v>
      </c>
      <c r="U6589" s="8">
        <v>99</v>
      </c>
      <c r="Y6589" s="8" t="s">
        <v>29266</v>
      </c>
      <c r="Z6589" s="8" t="s">
        <v>29267</v>
      </c>
    </row>
    <row r="6590" spans="1:26" x14ac:dyDescent="0.2">
      <c r="A6590" s="8">
        <v>6589</v>
      </c>
      <c r="B6590" s="8" t="s">
        <v>29268</v>
      </c>
      <c r="C6590" s="8" t="s">
        <v>29268</v>
      </c>
      <c r="F6590" s="47"/>
      <c r="G6590" s="8">
        <v>12</v>
      </c>
      <c r="H6590" s="8" t="s">
        <v>21</v>
      </c>
      <c r="I6590" s="8" t="s">
        <v>1283</v>
      </c>
      <c r="J6590" s="8" t="s">
        <v>1283</v>
      </c>
      <c r="K6590" s="8" t="s">
        <v>6208</v>
      </c>
      <c r="L6590" s="8" t="s">
        <v>28576</v>
      </c>
      <c r="M6590" s="8" t="s">
        <v>28577</v>
      </c>
      <c r="N6590" s="8" t="s">
        <v>29269</v>
      </c>
      <c r="O6590" s="8">
        <f>18+16/60+51.7/3600</f>
        <v>18.281027777777776</v>
      </c>
      <c r="P6590" s="8" t="s">
        <v>29270</v>
      </c>
      <c r="Q6590" s="8">
        <f>-(19+46/60+41/3600)</f>
        <v>-19.778055555555554</v>
      </c>
      <c r="R6590" s="8">
        <v>99</v>
      </c>
      <c r="S6590" s="8">
        <v>99</v>
      </c>
      <c r="T6590" s="8">
        <v>99</v>
      </c>
      <c r="U6590" s="8">
        <v>99</v>
      </c>
      <c r="V6590" s="8">
        <v>5</v>
      </c>
      <c r="W6590" s="8">
        <v>3</v>
      </c>
      <c r="Y6590" s="8" t="s">
        <v>29271</v>
      </c>
      <c r="Z6590" s="8" t="s">
        <v>29272</v>
      </c>
    </row>
    <row r="6591" spans="1:26" x14ac:dyDescent="0.2">
      <c r="A6591" s="8">
        <v>6590</v>
      </c>
      <c r="B6591" s="8" t="s">
        <v>29273</v>
      </c>
      <c r="C6591" s="8" t="s">
        <v>29273</v>
      </c>
      <c r="F6591" s="47"/>
      <c r="G6591" s="8">
        <v>10</v>
      </c>
      <c r="H6591" s="8" t="s">
        <v>21</v>
      </c>
      <c r="I6591" s="8" t="s">
        <v>1283</v>
      </c>
      <c r="J6591" s="8" t="s">
        <v>57</v>
      </c>
      <c r="K6591" s="8" t="s">
        <v>1751</v>
      </c>
      <c r="L6591" s="8" t="s">
        <v>28576</v>
      </c>
      <c r="M6591" s="8" t="s">
        <v>28577</v>
      </c>
      <c r="N6591" s="8" t="s">
        <v>29274</v>
      </c>
      <c r="O6591" s="8">
        <f>18+17/60+4.8/3600</f>
        <v>18.28466666666667</v>
      </c>
      <c r="P6591" s="8" t="s">
        <v>29275</v>
      </c>
      <c r="Q6591" s="8">
        <f>-(19+51/60+58/3600)</f>
        <v>-19.866111111111113</v>
      </c>
      <c r="R6591" s="8">
        <v>99</v>
      </c>
      <c r="S6591" s="8">
        <v>7</v>
      </c>
      <c r="T6591" s="8">
        <v>99</v>
      </c>
      <c r="U6591" s="8">
        <v>99</v>
      </c>
      <c r="V6591" s="8">
        <v>11</v>
      </c>
      <c r="Y6591" s="8" t="s">
        <v>29276</v>
      </c>
      <c r="Z6591" s="8" t="s">
        <v>29277</v>
      </c>
    </row>
    <row r="6592" spans="1:26" x14ac:dyDescent="0.2">
      <c r="A6592" s="8">
        <v>6591</v>
      </c>
      <c r="B6592" s="8" t="s">
        <v>29278</v>
      </c>
      <c r="C6592" s="8" t="s">
        <v>29278</v>
      </c>
      <c r="F6592" s="47"/>
      <c r="G6592" s="8">
        <v>18</v>
      </c>
      <c r="H6592" s="8" t="s">
        <v>21</v>
      </c>
      <c r="I6592" s="8" t="s">
        <v>22</v>
      </c>
      <c r="J6592" s="8" t="s">
        <v>22</v>
      </c>
      <c r="K6592" s="8" t="s">
        <v>449</v>
      </c>
      <c r="L6592" s="8" t="s">
        <v>26804</v>
      </c>
      <c r="M6592" s="8" t="s">
        <v>26805</v>
      </c>
      <c r="N6592" s="8" t="s">
        <v>29279</v>
      </c>
      <c r="O6592" s="8">
        <f>18+14/60+3.7/3600</f>
        <v>18.234361111111113</v>
      </c>
      <c r="P6592" s="8" t="s">
        <v>29280</v>
      </c>
      <c r="Q6592" s="8">
        <f>+(21+3/60+49/3600)</f>
        <v>21.063611111111111</v>
      </c>
      <c r="R6592" s="8">
        <v>15.5</v>
      </c>
      <c r="S6592" s="8">
        <v>16.3</v>
      </c>
      <c r="T6592" s="8">
        <v>0.8</v>
      </c>
      <c r="U6592" s="8">
        <v>11.5</v>
      </c>
      <c r="V6592" s="8">
        <v>0.3</v>
      </c>
      <c r="W6592" s="8">
        <v>0.1</v>
      </c>
      <c r="X6592" s="8">
        <v>95</v>
      </c>
      <c r="Y6592" s="8" t="s">
        <v>29281</v>
      </c>
      <c r="Z6592" s="8" t="s">
        <v>29282</v>
      </c>
    </row>
    <row r="6593" spans="1:26" x14ac:dyDescent="0.2">
      <c r="A6593" s="8">
        <v>6592</v>
      </c>
      <c r="B6593" s="8" t="s">
        <v>29283</v>
      </c>
      <c r="C6593" s="8" t="s">
        <v>29283</v>
      </c>
      <c r="F6593" s="47"/>
      <c r="G6593" s="8">
        <v>19</v>
      </c>
      <c r="H6593" s="8" t="s">
        <v>21</v>
      </c>
      <c r="I6593" s="8" t="s">
        <v>22</v>
      </c>
      <c r="J6593" s="8" t="s">
        <v>22</v>
      </c>
      <c r="K6593" s="8" t="s">
        <v>58</v>
      </c>
      <c r="L6593" s="8" t="s">
        <v>13395</v>
      </c>
      <c r="M6593" s="8" t="s">
        <v>13396</v>
      </c>
      <c r="N6593" s="8" t="s">
        <v>29284</v>
      </c>
      <c r="O6593" s="8">
        <f>18+9/60+50.6/3600</f>
        <v>18.164055555555553</v>
      </c>
      <c r="P6593" s="8" t="s">
        <v>29285</v>
      </c>
      <c r="Q6593" s="8">
        <f>+(61+25/60+21/3600)</f>
        <v>61.422499999999999</v>
      </c>
      <c r="R6593" s="8">
        <v>14.4</v>
      </c>
      <c r="S6593" s="8">
        <v>15.4</v>
      </c>
      <c r="T6593" s="8">
        <v>1</v>
      </c>
      <c r="U6593" s="8">
        <v>13.6</v>
      </c>
      <c r="V6593" s="8">
        <v>0.5</v>
      </c>
      <c r="W6593" s="8">
        <v>0.4</v>
      </c>
      <c r="X6593" s="8">
        <v>126</v>
      </c>
      <c r="Y6593" s="8" t="s">
        <v>421</v>
      </c>
      <c r="Z6593" s="8" t="s">
        <v>422</v>
      </c>
    </row>
    <row r="6594" spans="1:26" x14ac:dyDescent="0.2">
      <c r="A6594" s="8">
        <v>6593</v>
      </c>
      <c r="B6594" s="8" t="s">
        <v>29286</v>
      </c>
      <c r="C6594" s="8" t="s">
        <v>29286</v>
      </c>
      <c r="F6594" s="47"/>
      <c r="G6594" s="8">
        <v>18</v>
      </c>
      <c r="H6594" s="8" t="s">
        <v>21</v>
      </c>
      <c r="I6594" s="8" t="s">
        <v>22</v>
      </c>
      <c r="J6594" s="8" t="s">
        <v>22</v>
      </c>
      <c r="K6594" s="8" t="s">
        <v>58</v>
      </c>
      <c r="L6594" s="8" t="s">
        <v>26804</v>
      </c>
      <c r="M6594" s="8" t="s">
        <v>26805</v>
      </c>
      <c r="N6594" s="8" t="s">
        <v>29287</v>
      </c>
      <c r="O6594" s="8">
        <f>18+14/60+3.6/3600</f>
        <v>18.234333333333336</v>
      </c>
      <c r="P6594" s="8" t="s">
        <v>29288</v>
      </c>
      <c r="Q6594" s="8">
        <f>+(22+17/60+5/3600)</f>
        <v>22.284722222222225</v>
      </c>
      <c r="R6594" s="8">
        <v>14.3</v>
      </c>
      <c r="S6594" s="8">
        <v>15.3</v>
      </c>
      <c r="T6594" s="8">
        <v>1</v>
      </c>
      <c r="U6594" s="8">
        <v>13.1</v>
      </c>
      <c r="V6594" s="8">
        <v>0.8</v>
      </c>
      <c r="W6594" s="8">
        <v>0.4</v>
      </c>
      <c r="X6594" s="8">
        <v>162</v>
      </c>
      <c r="Y6594" s="8" t="s">
        <v>3357</v>
      </c>
      <c r="Z6594" s="8" t="s">
        <v>3358</v>
      </c>
    </row>
    <row r="6595" spans="1:26" x14ac:dyDescent="0.2">
      <c r="A6595" s="8">
        <v>6594</v>
      </c>
      <c r="B6595" s="8" t="s">
        <v>29289</v>
      </c>
      <c r="C6595" s="8" t="s">
        <v>29289</v>
      </c>
      <c r="F6595" s="47"/>
      <c r="G6595" s="8">
        <v>19</v>
      </c>
      <c r="H6595" s="8" t="s">
        <v>21</v>
      </c>
      <c r="I6595" s="8" t="s">
        <v>22</v>
      </c>
      <c r="J6595" s="8" t="s">
        <v>22</v>
      </c>
      <c r="K6595" s="8" t="s">
        <v>449</v>
      </c>
      <c r="L6595" s="8" t="s">
        <v>13395</v>
      </c>
      <c r="M6595" s="8" t="s">
        <v>13396</v>
      </c>
      <c r="N6595" s="8" t="s">
        <v>29290</v>
      </c>
      <c r="O6595" s="8">
        <f>18+10/60+5.6/3600</f>
        <v>18.168222222222223</v>
      </c>
      <c r="P6595" s="8" t="s">
        <v>29291</v>
      </c>
      <c r="Q6595" s="8">
        <f>+(61+8/60+1/3600)</f>
        <v>61.133611111111108</v>
      </c>
      <c r="R6595" s="8">
        <v>14.5</v>
      </c>
      <c r="S6595" s="8">
        <v>15.3</v>
      </c>
      <c r="T6595" s="8">
        <v>0.8</v>
      </c>
      <c r="U6595" s="8">
        <v>14</v>
      </c>
      <c r="V6595" s="8">
        <v>1</v>
      </c>
      <c r="W6595" s="8">
        <v>0.7</v>
      </c>
      <c r="X6595" s="8">
        <v>90</v>
      </c>
      <c r="Y6595" s="8" t="s">
        <v>421</v>
      </c>
      <c r="Z6595" s="8" t="s">
        <v>422</v>
      </c>
    </row>
    <row r="6596" spans="1:26" x14ac:dyDescent="0.2">
      <c r="A6596" s="8">
        <v>6595</v>
      </c>
      <c r="B6596" s="8" t="s">
        <v>29292</v>
      </c>
      <c r="C6596" s="8" t="s">
        <v>29292</v>
      </c>
      <c r="F6596" s="47"/>
      <c r="G6596" s="8">
        <v>14</v>
      </c>
      <c r="H6596" s="8" t="s">
        <v>21</v>
      </c>
      <c r="I6596" s="8" t="s">
        <v>1283</v>
      </c>
      <c r="J6596" s="8" t="s">
        <v>1283</v>
      </c>
      <c r="K6596" s="8" t="s">
        <v>1751</v>
      </c>
      <c r="L6596" s="8" t="s">
        <v>28576</v>
      </c>
      <c r="M6596" s="8" t="s">
        <v>28577</v>
      </c>
      <c r="N6596" s="8" t="s">
        <v>29274</v>
      </c>
      <c r="O6596" s="8">
        <f>18+17/60+4.8/3600</f>
        <v>18.28466666666667</v>
      </c>
      <c r="P6596" s="8" t="s">
        <v>29275</v>
      </c>
      <c r="Q6596" s="8">
        <f>-(19+51/60+58/3600)</f>
        <v>-19.866111111111113</v>
      </c>
      <c r="R6596" s="8">
        <v>99</v>
      </c>
      <c r="S6596" s="8">
        <v>7</v>
      </c>
      <c r="T6596" s="8">
        <v>99</v>
      </c>
      <c r="U6596" s="8">
        <v>99</v>
      </c>
      <c r="V6596" s="8">
        <v>11</v>
      </c>
      <c r="Y6596" s="8" t="s">
        <v>29276</v>
      </c>
      <c r="Z6596" s="8" t="s">
        <v>29293</v>
      </c>
    </row>
    <row r="6597" spans="1:26" x14ac:dyDescent="0.2">
      <c r="A6597" s="8">
        <v>6596</v>
      </c>
      <c r="B6597" s="8" t="s">
        <v>29294</v>
      </c>
      <c r="C6597" s="8" t="s">
        <v>29294</v>
      </c>
      <c r="F6597" s="47" t="s">
        <v>58219</v>
      </c>
      <c r="G6597" s="8">
        <v>6.5</v>
      </c>
      <c r="H6597" s="8" t="s">
        <v>21</v>
      </c>
      <c r="I6597" s="8" t="s">
        <v>557</v>
      </c>
      <c r="J6597" s="8" t="s">
        <v>557</v>
      </c>
      <c r="K6597" s="8" t="s">
        <v>3217</v>
      </c>
      <c r="L6597" s="8" t="s">
        <v>28576</v>
      </c>
      <c r="M6597" s="8" t="s">
        <v>28577</v>
      </c>
      <c r="N6597" s="8" t="s">
        <v>29295</v>
      </c>
      <c r="O6597" s="8">
        <f>18+17/60+33/3600</f>
        <v>18.2925</v>
      </c>
      <c r="P6597" s="8" t="s">
        <v>29296</v>
      </c>
      <c r="Q6597" s="8">
        <f>-(16+39/60+0/3600)</f>
        <v>-16.649999999999999</v>
      </c>
      <c r="R6597" s="8">
        <v>99</v>
      </c>
      <c r="S6597" s="8">
        <v>99</v>
      </c>
      <c r="T6597" s="8">
        <v>99</v>
      </c>
      <c r="U6597" s="8">
        <v>99</v>
      </c>
      <c r="V6597" s="8">
        <v>10</v>
      </c>
      <c r="Y6597" s="8" t="s">
        <v>10878</v>
      </c>
      <c r="Z6597" s="8" t="s">
        <v>10879</v>
      </c>
    </row>
    <row r="6598" spans="1:26" x14ac:dyDescent="0.2">
      <c r="A6598" s="8">
        <v>6597</v>
      </c>
      <c r="B6598" s="8" t="s">
        <v>29297</v>
      </c>
      <c r="C6598" s="8" t="s">
        <v>29297</v>
      </c>
      <c r="F6598" s="47"/>
      <c r="G6598" s="8">
        <v>19</v>
      </c>
      <c r="H6598" s="8" t="s">
        <v>21</v>
      </c>
      <c r="I6598" s="8" t="s">
        <v>22</v>
      </c>
      <c r="J6598" s="8" t="s">
        <v>22</v>
      </c>
      <c r="K6598" s="8" t="s">
        <v>818</v>
      </c>
      <c r="L6598" s="8" t="s">
        <v>13395</v>
      </c>
      <c r="M6598" s="8" t="s">
        <v>13396</v>
      </c>
      <c r="N6598" s="8" t="s">
        <v>29298</v>
      </c>
      <c r="O6598" s="8">
        <f>18+11/60+13.4/3600</f>
        <v>18.187055555555556</v>
      </c>
      <c r="P6598" s="8" t="s">
        <v>29299</v>
      </c>
      <c r="Q6598" s="8">
        <f>+(61+10/60+52/3600)</f>
        <v>61.181111111111107</v>
      </c>
      <c r="R6598" s="8">
        <v>14.8</v>
      </c>
      <c r="S6598" s="8">
        <v>15.8</v>
      </c>
      <c r="T6598" s="8">
        <v>1</v>
      </c>
      <c r="U6598" s="8">
        <v>13.6</v>
      </c>
      <c r="V6598" s="8">
        <v>0.8</v>
      </c>
      <c r="W6598" s="8">
        <v>0.4</v>
      </c>
      <c r="X6598" s="8">
        <v>99</v>
      </c>
      <c r="Y6598" s="8" t="s">
        <v>6827</v>
      </c>
      <c r="Z6598" s="8" t="s">
        <v>6828</v>
      </c>
    </row>
    <row r="6599" spans="1:26" x14ac:dyDescent="0.2">
      <c r="A6599" s="8">
        <v>6598</v>
      </c>
      <c r="B6599" s="8" t="s">
        <v>29300</v>
      </c>
      <c r="C6599" s="8" t="s">
        <v>29300</v>
      </c>
      <c r="F6599" s="47"/>
      <c r="G6599" s="8">
        <v>19</v>
      </c>
      <c r="H6599" s="8" t="s">
        <v>21</v>
      </c>
      <c r="I6599" s="8" t="s">
        <v>22</v>
      </c>
      <c r="J6599" s="8" t="s">
        <v>22</v>
      </c>
      <c r="K6599" s="8" t="s">
        <v>124</v>
      </c>
      <c r="L6599" s="8" t="s">
        <v>13395</v>
      </c>
      <c r="M6599" s="8" t="s">
        <v>13396</v>
      </c>
      <c r="N6599" s="8" t="s">
        <v>29301</v>
      </c>
      <c r="O6599" s="8">
        <f>18+8/60+55.7/3600</f>
        <v>18.148805555555555</v>
      </c>
      <c r="P6599" s="8" t="s">
        <v>29302</v>
      </c>
      <c r="Q6599" s="8">
        <f>+(69+4/60+7/3600)</f>
        <v>69.06861111111111</v>
      </c>
      <c r="R6599" s="8">
        <v>13.3</v>
      </c>
      <c r="S6599" s="8">
        <v>14.2</v>
      </c>
      <c r="T6599" s="8">
        <v>0.9</v>
      </c>
      <c r="U6599" s="8">
        <v>13.7</v>
      </c>
      <c r="V6599" s="8">
        <v>1.5</v>
      </c>
      <c r="W6599" s="8">
        <v>1.1000000000000001</v>
      </c>
      <c r="X6599" s="8">
        <v>40</v>
      </c>
      <c r="Y6599" s="8" t="s">
        <v>4170</v>
      </c>
      <c r="Z6599" s="8" t="s">
        <v>4171</v>
      </c>
    </row>
    <row r="6600" spans="1:26" x14ac:dyDescent="0.2">
      <c r="A6600" s="8">
        <v>6599</v>
      </c>
      <c r="B6600" s="8" t="s">
        <v>29303</v>
      </c>
      <c r="C6600" s="8" t="s">
        <v>29303</v>
      </c>
      <c r="F6600" s="47"/>
      <c r="G6600" s="8">
        <v>19</v>
      </c>
      <c r="H6600" s="8" t="s">
        <v>21</v>
      </c>
      <c r="I6600" s="8" t="s">
        <v>22</v>
      </c>
      <c r="J6600" s="8" t="s">
        <v>57</v>
      </c>
      <c r="K6600" s="8" t="s">
        <v>37</v>
      </c>
      <c r="L6600" s="8" t="s">
        <v>26804</v>
      </c>
      <c r="M6600" s="8" t="s">
        <v>26805</v>
      </c>
      <c r="N6600" s="8" t="s">
        <v>29304</v>
      </c>
      <c r="O6600" s="8">
        <f>18+15/60+42.9/3600</f>
        <v>18.261916666666668</v>
      </c>
      <c r="P6600" s="8" t="s">
        <v>29305</v>
      </c>
      <c r="Q6600" s="8">
        <f>+(24+54/60+47/3600)</f>
        <v>24.913055555555555</v>
      </c>
      <c r="R6600" s="8">
        <v>12.6</v>
      </c>
      <c r="S6600" s="8">
        <v>13.6</v>
      </c>
      <c r="T6600" s="8">
        <v>1</v>
      </c>
      <c r="U6600" s="8">
        <v>13</v>
      </c>
      <c r="V6600" s="8">
        <v>1.3</v>
      </c>
      <c r="W6600" s="8">
        <v>1.2</v>
      </c>
      <c r="X6600" s="8">
        <v>69</v>
      </c>
      <c r="Y6600" s="8" t="s">
        <v>29306</v>
      </c>
      <c r="Z6600" s="8" t="s">
        <v>29307</v>
      </c>
    </row>
    <row r="6601" spans="1:26" x14ac:dyDescent="0.2">
      <c r="A6601" s="8">
        <v>6600</v>
      </c>
      <c r="B6601" s="8" t="s">
        <v>29308</v>
      </c>
      <c r="C6601" s="8" t="s">
        <v>29308</v>
      </c>
      <c r="F6601" s="47"/>
      <c r="G6601" s="8">
        <v>18</v>
      </c>
      <c r="H6601" s="8" t="s">
        <v>21</v>
      </c>
      <c r="I6601" s="8" t="s">
        <v>22</v>
      </c>
      <c r="J6601" s="8" t="s">
        <v>22</v>
      </c>
      <c r="K6601" s="8" t="s">
        <v>37</v>
      </c>
      <c r="L6601" s="8" t="s">
        <v>26804</v>
      </c>
      <c r="M6601" s="8" t="s">
        <v>26805</v>
      </c>
      <c r="N6601" s="8" t="s">
        <v>29304</v>
      </c>
      <c r="O6601" s="8">
        <f>18+15/60+42.9/3600</f>
        <v>18.261916666666668</v>
      </c>
      <c r="P6601" s="8" t="s">
        <v>29305</v>
      </c>
      <c r="Q6601" s="8">
        <f>+(24+54/60+47/3600)</f>
        <v>24.913055555555555</v>
      </c>
      <c r="R6601" s="8">
        <v>12.6</v>
      </c>
      <c r="S6601" s="8">
        <v>13.6</v>
      </c>
      <c r="T6601" s="8">
        <v>1</v>
      </c>
      <c r="U6601" s="8">
        <v>13</v>
      </c>
      <c r="V6601" s="8">
        <v>1.3</v>
      </c>
      <c r="W6601" s="8">
        <v>1.2</v>
      </c>
      <c r="X6601" s="8">
        <v>69</v>
      </c>
      <c r="Y6601" s="8" t="s">
        <v>256</v>
      </c>
      <c r="Z6601" s="8" t="s">
        <v>257</v>
      </c>
    </row>
    <row r="6602" spans="1:26" x14ac:dyDescent="0.2">
      <c r="A6602" s="8">
        <v>6601</v>
      </c>
      <c r="B6602" s="8" t="s">
        <v>29309</v>
      </c>
      <c r="C6602" s="8" t="s">
        <v>29309</v>
      </c>
      <c r="F6602" s="47"/>
      <c r="G6602" s="8">
        <v>19</v>
      </c>
      <c r="H6602" s="8" t="s">
        <v>21</v>
      </c>
      <c r="I6602" s="8" t="s">
        <v>22</v>
      </c>
      <c r="J6602" s="8" t="s">
        <v>22</v>
      </c>
      <c r="K6602" s="8" t="s">
        <v>58</v>
      </c>
      <c r="L6602" s="8" t="s">
        <v>13395</v>
      </c>
      <c r="M6602" s="8" t="s">
        <v>13396</v>
      </c>
      <c r="N6602" s="8" t="s">
        <v>29310</v>
      </c>
      <c r="O6602" s="8">
        <f>18+11/60+44.2/3600</f>
        <v>18.195611111111113</v>
      </c>
      <c r="P6602" s="8" t="s">
        <v>29311</v>
      </c>
      <c r="Q6602" s="8">
        <f>+(61+27/60+11/3600)</f>
        <v>61.453055555555558</v>
      </c>
      <c r="R6602" s="8">
        <v>14.7</v>
      </c>
      <c r="S6602" s="8">
        <v>15.7</v>
      </c>
      <c r="T6602" s="8">
        <v>1</v>
      </c>
      <c r="U6602" s="8">
        <v>12.7</v>
      </c>
      <c r="V6602" s="8">
        <v>0.5</v>
      </c>
      <c r="W6602" s="8">
        <v>0.3</v>
      </c>
      <c r="X6602" s="8">
        <v>42</v>
      </c>
      <c r="Y6602" s="8" t="s">
        <v>4170</v>
      </c>
      <c r="Z6602" s="8" t="s">
        <v>4171</v>
      </c>
    </row>
    <row r="6603" spans="1:26" x14ac:dyDescent="0.2">
      <c r="A6603" s="8">
        <v>6602</v>
      </c>
      <c r="B6603" s="8" t="s">
        <v>29312</v>
      </c>
      <c r="C6603" s="8" t="s">
        <v>29312</v>
      </c>
      <c r="F6603" s="47"/>
      <c r="G6603" s="8">
        <v>19</v>
      </c>
      <c r="H6603" s="8" t="s">
        <v>21</v>
      </c>
      <c r="I6603" s="8" t="s">
        <v>22</v>
      </c>
      <c r="J6603" s="8" t="s">
        <v>22</v>
      </c>
      <c r="K6603" s="8" t="s">
        <v>1445</v>
      </c>
      <c r="L6603" s="8" t="s">
        <v>26804</v>
      </c>
      <c r="M6603" s="8" t="s">
        <v>26805</v>
      </c>
      <c r="N6603" s="8" t="s">
        <v>29313</v>
      </c>
      <c r="O6603" s="8">
        <f>18+16/60+34.2/3600</f>
        <v>18.276166666666665</v>
      </c>
      <c r="P6603" s="8" t="s">
        <v>29314</v>
      </c>
      <c r="Q6603" s="8">
        <f>+(25+2/60+37/3600)</f>
        <v>25.043611111111112</v>
      </c>
      <c r="R6603" s="8">
        <v>13.8</v>
      </c>
      <c r="S6603" s="8">
        <v>14.6</v>
      </c>
      <c r="T6603" s="8">
        <v>0.8</v>
      </c>
      <c r="U6603" s="8">
        <v>13.3</v>
      </c>
      <c r="V6603" s="8">
        <v>1</v>
      </c>
      <c r="W6603" s="8">
        <v>0.7</v>
      </c>
      <c r="X6603" s="8">
        <v>0</v>
      </c>
      <c r="Y6603" s="8" t="s">
        <v>29315</v>
      </c>
      <c r="Z6603" s="8" t="s">
        <v>29316</v>
      </c>
    </row>
    <row r="6604" spans="1:26" x14ac:dyDescent="0.2">
      <c r="A6604" s="8">
        <v>6603</v>
      </c>
      <c r="B6604" s="8" t="s">
        <v>29317</v>
      </c>
      <c r="C6604" s="8" t="s">
        <v>29317</v>
      </c>
      <c r="F6604" s="47"/>
      <c r="G6604" s="8">
        <v>3</v>
      </c>
      <c r="H6604" s="8" t="s">
        <v>21</v>
      </c>
      <c r="I6604" s="8" t="s">
        <v>557</v>
      </c>
      <c r="J6604" s="8" t="s">
        <v>557</v>
      </c>
      <c r="K6604" s="8" t="s">
        <v>29318</v>
      </c>
      <c r="L6604" s="8" t="s">
        <v>28576</v>
      </c>
      <c r="M6604" s="8" t="s">
        <v>28577</v>
      </c>
      <c r="N6604" s="8" t="s">
        <v>29319</v>
      </c>
      <c r="O6604" s="8">
        <f>18+18/60+24/3600</f>
        <v>18.306666666666668</v>
      </c>
      <c r="P6604" s="8" t="s">
        <v>29320</v>
      </c>
      <c r="Q6604" s="8">
        <f>-(18+24/60+24/3600)</f>
        <v>-18.406666666666666</v>
      </c>
      <c r="R6604" s="8">
        <v>11.1</v>
      </c>
      <c r="S6604" s="8">
        <v>99</v>
      </c>
      <c r="T6604" s="8">
        <v>99</v>
      </c>
      <c r="U6604" s="8">
        <v>99</v>
      </c>
      <c r="V6604" s="8">
        <v>4</v>
      </c>
      <c r="Y6604" s="8" t="s">
        <v>29321</v>
      </c>
      <c r="Z6604" s="8" t="s">
        <v>29322</v>
      </c>
    </row>
    <row r="6605" spans="1:26" x14ac:dyDescent="0.2">
      <c r="A6605" s="8">
        <v>6604</v>
      </c>
      <c r="B6605" s="8" t="s">
        <v>29323</v>
      </c>
      <c r="C6605" s="8" t="s">
        <v>29323</v>
      </c>
      <c r="F6605" s="47" t="s">
        <v>58220</v>
      </c>
      <c r="G6605" s="8">
        <v>5</v>
      </c>
      <c r="H6605" s="8" t="s">
        <v>21</v>
      </c>
      <c r="I6605" s="8" t="s">
        <v>557</v>
      </c>
      <c r="J6605" s="8" t="s">
        <v>557</v>
      </c>
      <c r="K6605" s="8" t="s">
        <v>3082</v>
      </c>
      <c r="L6605" s="8" t="s">
        <v>26227</v>
      </c>
      <c r="M6605" s="8" t="s">
        <v>26228</v>
      </c>
      <c r="N6605" s="8" t="s">
        <v>29324</v>
      </c>
      <c r="O6605" s="8">
        <f>18+18/60+6/3600</f>
        <v>18.301666666666666</v>
      </c>
      <c r="P6605" s="8" t="s">
        <v>29325</v>
      </c>
      <c r="Q6605" s="8">
        <f>-(12+13/60+0/3600)</f>
        <v>-12.216666666666667</v>
      </c>
      <c r="R6605" s="8">
        <v>6.5</v>
      </c>
      <c r="S6605" s="8">
        <v>99</v>
      </c>
      <c r="T6605" s="8">
        <v>99</v>
      </c>
      <c r="U6605" s="8">
        <v>99</v>
      </c>
      <c r="V6605" s="8">
        <v>6</v>
      </c>
      <c r="Y6605" s="8" t="s">
        <v>29326</v>
      </c>
      <c r="Z6605" s="8" t="s">
        <v>29327</v>
      </c>
    </row>
    <row r="6606" spans="1:26" x14ac:dyDescent="0.2">
      <c r="A6606" s="8">
        <v>6605</v>
      </c>
      <c r="B6606" s="8" t="s">
        <v>29328</v>
      </c>
      <c r="C6606" s="8" t="s">
        <v>29328</v>
      </c>
      <c r="F6606" s="47"/>
      <c r="G6606" s="8">
        <v>16</v>
      </c>
      <c r="H6606" s="8" t="s">
        <v>21</v>
      </c>
      <c r="I6606" s="8" t="s">
        <v>557</v>
      </c>
      <c r="J6606" s="8" t="s">
        <v>557</v>
      </c>
      <c r="K6606" s="8" t="s">
        <v>557</v>
      </c>
      <c r="L6606" s="8" t="s">
        <v>26227</v>
      </c>
      <c r="M6606" s="8" t="s">
        <v>26228</v>
      </c>
      <c r="N6606" s="8" t="s">
        <v>29329</v>
      </c>
      <c r="O6606" s="8">
        <f>18+16/60+24/3600</f>
        <v>18.273333333333333</v>
      </c>
      <c r="P6606" s="8" t="s">
        <v>29330</v>
      </c>
      <c r="Q6606" s="8">
        <f>-(15+0/60+0/3600)</f>
        <v>-15</v>
      </c>
      <c r="R6606" s="8">
        <v>6</v>
      </c>
      <c r="S6606" s="8">
        <v>99</v>
      </c>
      <c r="T6606" s="8">
        <v>99</v>
      </c>
      <c r="U6606" s="8">
        <v>99</v>
      </c>
      <c r="V6606" s="8">
        <v>29</v>
      </c>
      <c r="Y6606" s="8" t="s">
        <v>29331</v>
      </c>
      <c r="Z6606" s="8" t="s">
        <v>29332</v>
      </c>
    </row>
    <row r="6607" spans="1:26" x14ac:dyDescent="0.2">
      <c r="A6607" s="8">
        <v>6606</v>
      </c>
      <c r="B6607" s="8" t="s">
        <v>29333</v>
      </c>
      <c r="C6607" s="8" t="s">
        <v>29333</v>
      </c>
      <c r="F6607" s="47"/>
      <c r="G6607" s="8">
        <v>19</v>
      </c>
      <c r="H6607" s="8" t="s">
        <v>21</v>
      </c>
      <c r="I6607" s="8" t="s">
        <v>22</v>
      </c>
      <c r="J6607" s="8" t="s">
        <v>22</v>
      </c>
      <c r="K6607" s="8" t="s">
        <v>23</v>
      </c>
      <c r="L6607" s="8" t="s">
        <v>29334</v>
      </c>
      <c r="M6607" s="8" t="s">
        <v>29335</v>
      </c>
      <c r="N6607" s="8" t="s">
        <v>29336</v>
      </c>
      <c r="O6607" s="8">
        <f>18+14/60+41.3/3600</f>
        <v>18.244805555555555</v>
      </c>
      <c r="P6607" s="8" t="s">
        <v>29337</v>
      </c>
      <c r="Q6607" s="8">
        <f>+(43+16/60+7/3600)</f>
        <v>43.268611111111113</v>
      </c>
      <c r="R6607" s="8">
        <v>13.9</v>
      </c>
      <c r="S6607" s="8">
        <v>14.7</v>
      </c>
      <c r="T6607" s="8">
        <v>0.8</v>
      </c>
      <c r="U6607" s="8">
        <v>13.3</v>
      </c>
      <c r="V6607" s="8">
        <v>0.9</v>
      </c>
      <c r="W6607" s="8">
        <v>0.7</v>
      </c>
      <c r="X6607" s="8">
        <v>69</v>
      </c>
      <c r="Y6607" s="8" t="s">
        <v>29338</v>
      </c>
      <c r="Z6607" s="8" t="s">
        <v>29339</v>
      </c>
    </row>
    <row r="6608" spans="1:26" x14ac:dyDescent="0.2">
      <c r="A6608" s="8">
        <v>6607</v>
      </c>
      <c r="B6608" s="8" t="s">
        <v>29340</v>
      </c>
      <c r="C6608" s="8" t="s">
        <v>29340</v>
      </c>
      <c r="F6608" s="47"/>
      <c r="G6608" s="8">
        <v>19</v>
      </c>
      <c r="H6608" s="8" t="s">
        <v>21</v>
      </c>
      <c r="I6608" s="8" t="s">
        <v>22</v>
      </c>
      <c r="J6608" s="8" t="s">
        <v>22</v>
      </c>
      <c r="K6608" s="8" t="s">
        <v>23</v>
      </c>
      <c r="L6608" s="8" t="s">
        <v>13395</v>
      </c>
      <c r="M6608" s="8" t="s">
        <v>13396</v>
      </c>
      <c r="N6608" s="8" t="s">
        <v>29083</v>
      </c>
      <c r="O6608" s="8">
        <f>18+12/60+14.9/3600</f>
        <v>18.204138888888888</v>
      </c>
      <c r="P6608" s="8" t="s">
        <v>29341</v>
      </c>
      <c r="Q6608" s="8">
        <f>+(61+20/60+0/3600)</f>
        <v>61.333333333333336</v>
      </c>
      <c r="R6608" s="8">
        <v>15.3</v>
      </c>
      <c r="S6608" s="8">
        <v>16.100000000000001</v>
      </c>
      <c r="T6608" s="8">
        <v>0.8</v>
      </c>
      <c r="U6608" s="8">
        <v>13.6</v>
      </c>
      <c r="V6608" s="8">
        <v>0.5</v>
      </c>
      <c r="W6608" s="8">
        <v>0.5</v>
      </c>
      <c r="Y6608" s="8" t="s">
        <v>4095</v>
      </c>
      <c r="Z6608" s="8" t="s">
        <v>4096</v>
      </c>
    </row>
    <row r="6609" spans="1:26" x14ac:dyDescent="0.2">
      <c r="A6609" s="8">
        <v>6608</v>
      </c>
      <c r="B6609" s="8" t="s">
        <v>29342</v>
      </c>
      <c r="C6609" s="8" t="s">
        <v>29342</v>
      </c>
      <c r="F6609" s="47"/>
      <c r="G6609" s="8">
        <v>19</v>
      </c>
      <c r="H6609" s="8" t="s">
        <v>21</v>
      </c>
      <c r="I6609" s="8" t="s">
        <v>22</v>
      </c>
      <c r="J6609" s="8" t="s">
        <v>22</v>
      </c>
      <c r="K6609" s="8" t="s">
        <v>579</v>
      </c>
      <c r="L6609" s="8" t="s">
        <v>13395</v>
      </c>
      <c r="M6609" s="8" t="s">
        <v>13396</v>
      </c>
      <c r="N6609" s="8" t="s">
        <v>29343</v>
      </c>
      <c r="O6609" s="8">
        <f>18+12/60+29.2/3600</f>
        <v>18.208111111111112</v>
      </c>
      <c r="P6609" s="8" t="s">
        <v>29344</v>
      </c>
      <c r="Q6609" s="8">
        <f>+(61+17/60+55/3600)</f>
        <v>61.298611111111107</v>
      </c>
      <c r="R6609" s="8">
        <v>15.1</v>
      </c>
      <c r="S6609" s="8">
        <v>15.8</v>
      </c>
      <c r="T6609" s="8">
        <v>0.7</v>
      </c>
      <c r="U6609" s="8">
        <v>12.4</v>
      </c>
      <c r="V6609" s="8">
        <v>1</v>
      </c>
      <c r="W6609" s="8">
        <v>0.1</v>
      </c>
      <c r="X6609" s="8">
        <v>42</v>
      </c>
      <c r="Y6609" s="8" t="s">
        <v>29345</v>
      </c>
      <c r="Z6609" s="8" t="s">
        <v>29346</v>
      </c>
    </row>
    <row r="6610" spans="1:26" x14ac:dyDescent="0.2">
      <c r="A6610" s="8">
        <v>6609</v>
      </c>
      <c r="B6610" s="8" t="s">
        <v>29347</v>
      </c>
      <c r="C6610" s="8" t="s">
        <v>29347</v>
      </c>
      <c r="F6610" s="47"/>
      <c r="G6610" s="8">
        <v>19</v>
      </c>
      <c r="H6610" s="8" t="s">
        <v>21</v>
      </c>
      <c r="I6610" s="8" t="s">
        <v>22</v>
      </c>
      <c r="J6610" s="8" t="s">
        <v>22</v>
      </c>
      <c r="K6610" s="8" t="s">
        <v>476</v>
      </c>
      <c r="L6610" s="8" t="s">
        <v>13395</v>
      </c>
      <c r="M6610" s="8" t="s">
        <v>13396</v>
      </c>
      <c r="N6610" s="8" t="s">
        <v>29348</v>
      </c>
      <c r="O6610" s="8">
        <f>18+12/60+33.6/3600</f>
        <v>18.209333333333333</v>
      </c>
      <c r="P6610" s="8" t="s">
        <v>29349</v>
      </c>
      <c r="Q6610" s="8">
        <f>+(61+19/60+56/3600)</f>
        <v>61.332222222222228</v>
      </c>
      <c r="R6610" s="8">
        <v>14.5</v>
      </c>
      <c r="S6610" s="8">
        <v>15.3</v>
      </c>
      <c r="T6610" s="8">
        <v>0.8</v>
      </c>
      <c r="U6610" s="8">
        <v>13.6</v>
      </c>
      <c r="V6610" s="8">
        <v>0.7</v>
      </c>
      <c r="W6610" s="8">
        <v>0.7</v>
      </c>
      <c r="Y6610" s="8" t="s">
        <v>29345</v>
      </c>
      <c r="Z6610" s="8" t="s">
        <v>29350</v>
      </c>
    </row>
    <row r="6611" spans="1:26" x14ac:dyDescent="0.2">
      <c r="A6611" s="8">
        <v>6610</v>
      </c>
      <c r="B6611" s="8" t="s">
        <v>29351</v>
      </c>
      <c r="C6611" s="8" t="s">
        <v>29351</v>
      </c>
      <c r="F6611" s="47"/>
      <c r="G6611" s="8">
        <v>18</v>
      </c>
      <c r="H6611" s="8" t="s">
        <v>21</v>
      </c>
      <c r="I6611" s="8" t="s">
        <v>22</v>
      </c>
      <c r="J6611" s="8" t="s">
        <v>57</v>
      </c>
      <c r="K6611" s="8" t="s">
        <v>85</v>
      </c>
      <c r="L6611" s="8" t="s">
        <v>26804</v>
      </c>
      <c r="M6611" s="8" t="s">
        <v>26805</v>
      </c>
      <c r="N6611" s="8" t="s">
        <v>29206</v>
      </c>
      <c r="O6611" s="8">
        <f>18+11/60+51.2/3600</f>
        <v>18.197555555555557</v>
      </c>
      <c r="P6611" s="8" t="s">
        <v>29207</v>
      </c>
      <c r="Q6611" s="8">
        <f>+(14+58/60+54/3600)</f>
        <v>14.981666666666667</v>
      </c>
      <c r="R6611" s="8">
        <v>12</v>
      </c>
      <c r="S6611" s="8">
        <v>12.8</v>
      </c>
      <c r="T6611" s="8">
        <v>0.8</v>
      </c>
      <c r="U6611" s="8">
        <v>12.3</v>
      </c>
      <c r="V6611" s="8">
        <v>1.5</v>
      </c>
      <c r="W6611" s="8">
        <v>1.1000000000000001</v>
      </c>
      <c r="X6611" s="8">
        <v>160</v>
      </c>
      <c r="Y6611" s="8" t="s">
        <v>29352</v>
      </c>
      <c r="Z6611" s="8" t="s">
        <v>29353</v>
      </c>
    </row>
    <row r="6612" spans="1:26" x14ac:dyDescent="0.2">
      <c r="A6612" s="8">
        <v>6611</v>
      </c>
      <c r="B6612" s="8" t="s">
        <v>29354</v>
      </c>
      <c r="C6612" s="8" t="s">
        <v>55943</v>
      </c>
      <c r="F6612" s="47"/>
      <c r="G6612" s="8">
        <v>1</v>
      </c>
      <c r="H6612" s="8" t="s">
        <v>29355</v>
      </c>
      <c r="I6612" s="8" t="s">
        <v>557</v>
      </c>
      <c r="J6612" s="8" t="s">
        <v>557</v>
      </c>
      <c r="K6612" s="8" t="s">
        <v>29356</v>
      </c>
      <c r="L6612" s="8" t="s">
        <v>26227</v>
      </c>
      <c r="M6612" s="8" t="s">
        <v>26228</v>
      </c>
      <c r="N6612" s="8" t="s">
        <v>29357</v>
      </c>
      <c r="O6612" s="8">
        <f>18+18/60+45/3600</f>
        <v>18.3125</v>
      </c>
      <c r="P6612" s="8" t="s">
        <v>29358</v>
      </c>
      <c r="Q6612" s="8">
        <f>-(13+47/60+54/3600)</f>
        <v>-13.798333333333334</v>
      </c>
      <c r="R6612" s="8">
        <v>6</v>
      </c>
      <c r="S6612" s="8">
        <v>99</v>
      </c>
      <c r="T6612" s="8">
        <v>99</v>
      </c>
      <c r="U6612" s="8">
        <v>99</v>
      </c>
      <c r="V6612" s="8">
        <v>8</v>
      </c>
      <c r="Y6612" s="8" t="s">
        <v>29359</v>
      </c>
      <c r="Z6612" s="8" t="s">
        <v>29360</v>
      </c>
    </row>
    <row r="6613" spans="1:26" x14ac:dyDescent="0.2">
      <c r="A6613" s="8">
        <v>6612</v>
      </c>
      <c r="B6613" s="8" t="s">
        <v>29361</v>
      </c>
      <c r="C6613" s="8" t="s">
        <v>29361</v>
      </c>
      <c r="F6613" s="47"/>
      <c r="G6613" s="8">
        <v>19</v>
      </c>
      <c r="H6613" s="8" t="s">
        <v>21</v>
      </c>
      <c r="I6613" s="8" t="s">
        <v>22</v>
      </c>
      <c r="J6613" s="8" t="s">
        <v>22</v>
      </c>
      <c r="K6613" s="8" t="s">
        <v>424</v>
      </c>
      <c r="L6613" s="8" t="s">
        <v>29334</v>
      </c>
      <c r="M6613" s="8" t="s">
        <v>29335</v>
      </c>
      <c r="N6613" s="8" t="s">
        <v>29362</v>
      </c>
      <c r="O6613" s="8">
        <f>18+16/60+10.9/3600</f>
        <v>18.269694444444443</v>
      </c>
      <c r="P6613" s="8" t="s">
        <v>29363</v>
      </c>
      <c r="Q6613" s="8">
        <f>+(36+4/60+45/3600)</f>
        <v>36.079166666666673</v>
      </c>
      <c r="R6613" s="8">
        <v>14.2</v>
      </c>
      <c r="S6613" s="8">
        <v>15.2</v>
      </c>
      <c r="T6613" s="8">
        <v>1</v>
      </c>
      <c r="U6613" s="8">
        <v>13.3</v>
      </c>
      <c r="V6613" s="8">
        <v>0.7</v>
      </c>
      <c r="W6613" s="8">
        <v>0.7</v>
      </c>
      <c r="Y6613" s="8" t="s">
        <v>28344</v>
      </c>
      <c r="Z6613" s="8" t="s">
        <v>28345</v>
      </c>
    </row>
    <row r="6614" spans="1:26" x14ac:dyDescent="0.2">
      <c r="A6614" s="8">
        <v>6613</v>
      </c>
      <c r="B6614" s="8" t="s">
        <v>29364</v>
      </c>
      <c r="C6614" s="8" t="s">
        <v>55944</v>
      </c>
      <c r="F6614" s="47"/>
      <c r="G6614" s="8">
        <v>1</v>
      </c>
      <c r="H6614" s="8" t="s">
        <v>29365</v>
      </c>
      <c r="I6614" s="8" t="s">
        <v>557</v>
      </c>
      <c r="J6614" s="8" t="s">
        <v>557</v>
      </c>
      <c r="K6614" s="8" t="s">
        <v>29366</v>
      </c>
      <c r="L6614" s="8" t="s">
        <v>28576</v>
      </c>
      <c r="M6614" s="8" t="s">
        <v>28577</v>
      </c>
      <c r="N6614" s="8" t="s">
        <v>29367</v>
      </c>
      <c r="O6614" s="8">
        <f>18+19/60+58/3600</f>
        <v>18.332777777777778</v>
      </c>
      <c r="P6614" s="8" t="s">
        <v>29368</v>
      </c>
      <c r="Q6614" s="8">
        <f>-(17+6/60+6/3600)</f>
        <v>-17.101666666666667</v>
      </c>
      <c r="R6614" s="8">
        <v>6.9</v>
      </c>
      <c r="S6614" s="8">
        <v>99</v>
      </c>
      <c r="T6614" s="8">
        <v>99</v>
      </c>
      <c r="U6614" s="8">
        <v>99</v>
      </c>
      <c r="V6614" s="8">
        <v>7</v>
      </c>
      <c r="Y6614" s="8" t="s">
        <v>10665</v>
      </c>
      <c r="Z6614" s="8" t="s">
        <v>10666</v>
      </c>
    </row>
    <row r="6615" spans="1:26" x14ac:dyDescent="0.2">
      <c r="A6615" s="8">
        <v>6614</v>
      </c>
      <c r="B6615" s="8" t="s">
        <v>29369</v>
      </c>
      <c r="C6615" s="8" t="s">
        <v>29369</v>
      </c>
      <c r="F6615" s="47"/>
      <c r="G6615" s="8">
        <v>16</v>
      </c>
      <c r="H6615" s="8" t="s">
        <v>21</v>
      </c>
      <c r="I6615" s="8" t="s">
        <v>22</v>
      </c>
      <c r="J6615" s="8" t="s">
        <v>22</v>
      </c>
      <c r="K6615" s="8" t="s">
        <v>118</v>
      </c>
      <c r="L6615" s="8" t="s">
        <v>28435</v>
      </c>
      <c r="M6615" s="8" t="s">
        <v>28436</v>
      </c>
      <c r="N6615" s="8" t="s">
        <v>29370</v>
      </c>
      <c r="O6615" s="8">
        <f>18+25/60+7.3/3600</f>
        <v>18.418694444444444</v>
      </c>
      <c r="P6615" s="8" t="s">
        <v>29371</v>
      </c>
      <c r="Q6615" s="8">
        <f>-(63+14/60+54/3600)</f>
        <v>-63.248333333333335</v>
      </c>
      <c r="R6615" s="8">
        <v>12.5</v>
      </c>
      <c r="S6615" s="8">
        <v>13.5</v>
      </c>
      <c r="T6615" s="8">
        <v>1</v>
      </c>
      <c r="U6615" s="8">
        <v>12.9</v>
      </c>
      <c r="V6615" s="8">
        <v>1.4</v>
      </c>
      <c r="W6615" s="8">
        <v>1.1000000000000001</v>
      </c>
      <c r="X6615" s="8">
        <v>65</v>
      </c>
      <c r="Y6615" s="8" t="s">
        <v>29372</v>
      </c>
      <c r="Z6615" s="8" t="s">
        <v>29373</v>
      </c>
    </row>
    <row r="6616" spans="1:26" x14ac:dyDescent="0.2">
      <c r="A6616" s="8">
        <v>6615</v>
      </c>
      <c r="B6616" s="8" t="s">
        <v>29374</v>
      </c>
      <c r="C6616" s="8" t="s">
        <v>29374</v>
      </c>
      <c r="F6616" s="47"/>
      <c r="G6616" s="8">
        <v>18</v>
      </c>
      <c r="H6616" s="8" t="s">
        <v>21</v>
      </c>
      <c r="I6616" s="8" t="s">
        <v>22</v>
      </c>
      <c r="J6616" s="8" t="s">
        <v>22</v>
      </c>
      <c r="K6616" s="8" t="s">
        <v>435</v>
      </c>
      <c r="L6616" s="8" t="s">
        <v>26994</v>
      </c>
      <c r="M6616" s="8" t="s">
        <v>26995</v>
      </c>
      <c r="N6616" s="8" t="s">
        <v>29375</v>
      </c>
      <c r="O6616" s="8">
        <f>18+18/60+33.4/3600</f>
        <v>18.30927777777778</v>
      </c>
      <c r="P6616" s="8" t="s">
        <v>29376</v>
      </c>
      <c r="Q6616" s="8">
        <f>+(13+15/60+55/3600)</f>
        <v>13.265277777777778</v>
      </c>
      <c r="R6616" s="8">
        <v>13.1</v>
      </c>
      <c r="S6616" s="8">
        <v>14</v>
      </c>
      <c r="T6616" s="8">
        <v>0.9</v>
      </c>
      <c r="U6616" s="8">
        <v>13.1</v>
      </c>
      <c r="V6616" s="8">
        <v>1.3</v>
      </c>
      <c r="W6616" s="8">
        <v>0.9</v>
      </c>
      <c r="X6616" s="8">
        <v>165</v>
      </c>
      <c r="Y6616" s="8" t="s">
        <v>282</v>
      </c>
      <c r="Z6616" s="8" t="s">
        <v>283</v>
      </c>
    </row>
    <row r="6617" spans="1:26" x14ac:dyDescent="0.2">
      <c r="A6617" s="8">
        <v>6616</v>
      </c>
      <c r="B6617" s="8" t="s">
        <v>29377</v>
      </c>
      <c r="C6617" s="8" t="s">
        <v>29377</v>
      </c>
      <c r="F6617" s="47"/>
      <c r="G6617" s="8">
        <v>19</v>
      </c>
      <c r="H6617" s="8" t="s">
        <v>21</v>
      </c>
      <c r="I6617" s="8" t="s">
        <v>22</v>
      </c>
      <c r="J6617" s="8" t="s">
        <v>22</v>
      </c>
      <c r="K6617" s="8" t="s">
        <v>31</v>
      </c>
      <c r="L6617" s="8" t="s">
        <v>26804</v>
      </c>
      <c r="M6617" s="8" t="s">
        <v>26805</v>
      </c>
      <c r="N6617" s="8" t="s">
        <v>29378</v>
      </c>
      <c r="O6617" s="8">
        <f>18+17/60+41/3600</f>
        <v>18.294722222222223</v>
      </c>
      <c r="P6617" s="8" t="s">
        <v>29379</v>
      </c>
      <c r="Q6617" s="8">
        <f>+(22+14/60+16/3600)</f>
        <v>22.237777777777779</v>
      </c>
      <c r="R6617" s="8">
        <v>13.8</v>
      </c>
      <c r="S6617" s="8">
        <v>14.6</v>
      </c>
      <c r="T6617" s="8">
        <v>0.8</v>
      </c>
      <c r="U6617" s="8">
        <v>13.5</v>
      </c>
      <c r="V6617" s="8">
        <v>1.4</v>
      </c>
      <c r="W6617" s="8">
        <v>0.6</v>
      </c>
      <c r="X6617" s="8">
        <v>59</v>
      </c>
      <c r="Y6617" s="8" t="s">
        <v>29380</v>
      </c>
      <c r="Z6617" s="8" t="s">
        <v>29381</v>
      </c>
    </row>
    <row r="6618" spans="1:26" x14ac:dyDescent="0.2">
      <c r="A6618" s="8">
        <v>6617</v>
      </c>
      <c r="B6618" s="8" t="s">
        <v>29382</v>
      </c>
      <c r="C6618" s="8" t="s">
        <v>29382</v>
      </c>
      <c r="F6618" s="47"/>
      <c r="G6618" s="8">
        <v>19</v>
      </c>
      <c r="H6618" s="8" t="s">
        <v>21</v>
      </c>
      <c r="I6618" s="8" t="s">
        <v>22</v>
      </c>
      <c r="J6618" s="8" t="s">
        <v>22</v>
      </c>
      <c r="K6618" s="8" t="s">
        <v>579</v>
      </c>
      <c r="L6618" s="8" t="s">
        <v>13395</v>
      </c>
      <c r="M6618" s="8" t="s">
        <v>13396</v>
      </c>
      <c r="N6618" s="8" t="s">
        <v>29383</v>
      </c>
      <c r="O6618" s="8">
        <f>18+14/60+2.9/3600</f>
        <v>18.234138888888889</v>
      </c>
      <c r="P6618" s="8" t="s">
        <v>29384</v>
      </c>
      <c r="Q6618" s="8">
        <f>+(61+19/60+10/3600)</f>
        <v>61.31944444444445</v>
      </c>
      <c r="R6618" s="8">
        <v>14.6</v>
      </c>
      <c r="S6618" s="8">
        <v>15.3</v>
      </c>
      <c r="T6618" s="8">
        <v>0.7</v>
      </c>
      <c r="U6618" s="8">
        <v>14.2</v>
      </c>
      <c r="V6618" s="8">
        <v>1.1000000000000001</v>
      </c>
      <c r="W6618" s="8">
        <v>0.7</v>
      </c>
      <c r="X6618" s="8">
        <v>80</v>
      </c>
      <c r="Y6618" s="8" t="s">
        <v>287</v>
      </c>
      <c r="Z6618" s="8" t="s">
        <v>288</v>
      </c>
    </row>
    <row r="6619" spans="1:26" x14ac:dyDescent="0.2">
      <c r="A6619" s="8">
        <v>6618</v>
      </c>
      <c r="B6619" s="8" t="s">
        <v>29385</v>
      </c>
      <c r="C6619" s="8" t="s">
        <v>55945</v>
      </c>
      <c r="F6619" s="47"/>
      <c r="G6619" s="8">
        <v>1</v>
      </c>
      <c r="H6619" s="8" t="s">
        <v>29386</v>
      </c>
      <c r="I6619" s="8" t="s">
        <v>1283</v>
      </c>
      <c r="J6619" s="8" t="s">
        <v>1283</v>
      </c>
      <c r="K6619" s="8" t="s">
        <v>1751</v>
      </c>
      <c r="L6619" s="8" t="s">
        <v>28576</v>
      </c>
      <c r="M6619" s="8" t="s">
        <v>28577</v>
      </c>
      <c r="N6619" s="8" t="s">
        <v>29387</v>
      </c>
      <c r="O6619" s="8">
        <f>18+20/60+47/3600</f>
        <v>18.346388888888889</v>
      </c>
      <c r="P6619" s="8" t="s">
        <v>29388</v>
      </c>
      <c r="Q6619" s="8">
        <f>-(16+10/60+18/3600)</f>
        <v>-16.171666666666667</v>
      </c>
      <c r="R6619" s="8">
        <v>99</v>
      </c>
      <c r="S6619" s="8">
        <v>6</v>
      </c>
      <c r="T6619" s="8">
        <v>99</v>
      </c>
      <c r="U6619" s="8">
        <v>99</v>
      </c>
      <c r="V6619" s="8">
        <v>20</v>
      </c>
      <c r="W6619" s="8">
        <v>15</v>
      </c>
      <c r="Y6619" s="8" t="s">
        <v>29389</v>
      </c>
      <c r="Z6619" s="8" t="s">
        <v>29390</v>
      </c>
    </row>
    <row r="6620" spans="1:26" x14ac:dyDescent="0.2">
      <c r="A6620" s="8">
        <v>6619</v>
      </c>
      <c r="B6620" s="8" t="s">
        <v>29391</v>
      </c>
      <c r="C6620" s="8" t="s">
        <v>29391</v>
      </c>
      <c r="F6620" s="47"/>
      <c r="G6620" s="8">
        <v>18</v>
      </c>
      <c r="H6620" s="8" t="s">
        <v>21</v>
      </c>
      <c r="I6620" s="8" t="s">
        <v>22</v>
      </c>
      <c r="J6620" s="8" t="s">
        <v>22</v>
      </c>
      <c r="K6620" s="8" t="s">
        <v>183</v>
      </c>
      <c r="L6620" s="8" t="s">
        <v>26804</v>
      </c>
      <c r="M6620" s="8" t="s">
        <v>26805</v>
      </c>
      <c r="N6620" s="8" t="s">
        <v>29392</v>
      </c>
      <c r="O6620" s="8">
        <f>18+18/60+55.5/3600</f>
        <v>18.315416666666668</v>
      </c>
      <c r="P6620" s="8" t="s">
        <v>29393</v>
      </c>
      <c r="Q6620" s="8">
        <f>+(23+39/60+19/3600)</f>
        <v>23.655277777777776</v>
      </c>
      <c r="R6620" s="8">
        <v>13</v>
      </c>
      <c r="S6620" s="8">
        <v>14</v>
      </c>
      <c r="T6620" s="8">
        <v>1</v>
      </c>
      <c r="U6620" s="8">
        <v>13.3</v>
      </c>
      <c r="V6620" s="8">
        <v>1.2</v>
      </c>
      <c r="W6620" s="8">
        <v>1.1000000000000001</v>
      </c>
      <c r="X6620" s="8">
        <v>102</v>
      </c>
      <c r="Y6620" s="8" t="s">
        <v>1664</v>
      </c>
      <c r="Z6620" s="8" t="s">
        <v>1665</v>
      </c>
    </row>
    <row r="6621" spans="1:26" x14ac:dyDescent="0.2">
      <c r="A6621" s="8">
        <v>6620</v>
      </c>
      <c r="B6621" s="8" t="s">
        <v>29394</v>
      </c>
      <c r="C6621" s="8" t="s">
        <v>29394</v>
      </c>
      <c r="F6621" s="47"/>
      <c r="G6621" s="8">
        <v>13</v>
      </c>
      <c r="H6621" s="8" t="s">
        <v>21</v>
      </c>
      <c r="I6621" s="8" t="s">
        <v>241</v>
      </c>
      <c r="J6621" s="8" t="s">
        <v>241</v>
      </c>
      <c r="K6621" s="8" t="s">
        <v>241</v>
      </c>
      <c r="L6621" s="8" t="s">
        <v>28576</v>
      </c>
      <c r="M6621" s="8" t="s">
        <v>28577</v>
      </c>
      <c r="N6621" s="8" t="s">
        <v>29395</v>
      </c>
      <c r="O6621" s="8">
        <f>18+22/60+54.2/3600</f>
        <v>18.381722222222223</v>
      </c>
      <c r="P6621" s="8" t="s">
        <v>29396</v>
      </c>
      <c r="Q6621" s="8">
        <f>-(26+49/60+16/3600)</f>
        <v>-26.821111111111112</v>
      </c>
      <c r="R6621" s="8">
        <v>12.7</v>
      </c>
      <c r="S6621" s="8">
        <v>15</v>
      </c>
      <c r="T6621" s="8">
        <v>99</v>
      </c>
      <c r="U6621" s="8">
        <v>99</v>
      </c>
      <c r="V6621" s="8">
        <v>0.13</v>
      </c>
      <c r="Y6621" s="8" t="s">
        <v>27387</v>
      </c>
      <c r="Z6621" s="8" t="s">
        <v>27388</v>
      </c>
    </row>
    <row r="6622" spans="1:26" x14ac:dyDescent="0.2">
      <c r="A6622" s="8">
        <v>6621</v>
      </c>
      <c r="B6622" s="8" t="s">
        <v>29397</v>
      </c>
      <c r="C6622" s="8" t="s">
        <v>29397</v>
      </c>
      <c r="F6622" s="47"/>
      <c r="G6622" s="8">
        <v>14</v>
      </c>
      <c r="H6622" s="8" t="s">
        <v>29398</v>
      </c>
      <c r="I6622" s="8" t="s">
        <v>22</v>
      </c>
      <c r="J6622" s="8" t="s">
        <v>22</v>
      </c>
      <c r="K6622" s="8" t="s">
        <v>79</v>
      </c>
      <c r="L6622" s="8" t="s">
        <v>13395</v>
      </c>
      <c r="M6622" s="8" t="s">
        <v>13396</v>
      </c>
      <c r="N6622" s="8" t="s">
        <v>29399</v>
      </c>
      <c r="O6622" s="8">
        <f>18+12/60+55.6/3600</f>
        <v>18.215444444444444</v>
      </c>
      <c r="P6622" s="8" t="s">
        <v>29400</v>
      </c>
      <c r="Q6622" s="8">
        <f>+(68+21/60+47/3600)</f>
        <v>68.363055555555547</v>
      </c>
      <c r="R6622" s="8">
        <v>13.6</v>
      </c>
      <c r="S6622" s="8">
        <v>14.4</v>
      </c>
      <c r="T6622" s="8">
        <v>0.8</v>
      </c>
      <c r="U6622" s="8">
        <v>14</v>
      </c>
      <c r="V6622" s="8">
        <v>2.1</v>
      </c>
      <c r="W6622" s="8">
        <v>0.8</v>
      </c>
      <c r="X6622" s="8">
        <v>145</v>
      </c>
      <c r="Y6622" s="8" t="s">
        <v>29401</v>
      </c>
      <c r="Z6622" s="8" t="s">
        <v>29402</v>
      </c>
    </row>
    <row r="6623" spans="1:26" x14ac:dyDescent="0.2">
      <c r="A6623" s="8">
        <v>6622</v>
      </c>
      <c r="B6623" s="8" t="s">
        <v>29403</v>
      </c>
      <c r="C6623" s="8" t="s">
        <v>29403</v>
      </c>
      <c r="F6623" s="47"/>
      <c r="G6623" s="8">
        <v>14</v>
      </c>
      <c r="H6623" s="8" t="s">
        <v>29398</v>
      </c>
      <c r="I6623" s="8" t="s">
        <v>22</v>
      </c>
      <c r="J6623" s="8" t="s">
        <v>22</v>
      </c>
      <c r="K6623" s="8" t="s">
        <v>396</v>
      </c>
      <c r="L6623" s="8" t="s">
        <v>13395</v>
      </c>
      <c r="M6623" s="8" t="s">
        <v>13396</v>
      </c>
      <c r="N6623" s="8" t="s">
        <v>29404</v>
      </c>
      <c r="O6623" s="8">
        <f>18+12/60+59.9/3600</f>
        <v>18.216638888888887</v>
      </c>
      <c r="P6623" s="8" t="s">
        <v>29405</v>
      </c>
      <c r="Q6623" s="8">
        <f>+(68+21/60+15/3600)</f>
        <v>68.354166666666657</v>
      </c>
      <c r="R6623" s="8">
        <v>15</v>
      </c>
      <c r="S6623" s="8">
        <v>15.8</v>
      </c>
      <c r="T6623" s="8">
        <v>0.8</v>
      </c>
      <c r="U6623" s="8">
        <v>13.7</v>
      </c>
      <c r="V6623" s="8">
        <v>0.9</v>
      </c>
      <c r="W6623" s="8">
        <v>0.4</v>
      </c>
      <c r="X6623" s="8">
        <v>145</v>
      </c>
      <c r="Y6623" s="8" t="s">
        <v>29401</v>
      </c>
      <c r="Z6623" s="8" t="s">
        <v>29406</v>
      </c>
    </row>
    <row r="6624" spans="1:26" x14ac:dyDescent="0.2">
      <c r="A6624" s="8">
        <v>6623</v>
      </c>
      <c r="B6624" s="8" t="s">
        <v>29407</v>
      </c>
      <c r="C6624" s="8" t="s">
        <v>29407</v>
      </c>
      <c r="E6624" s="8">
        <v>1</v>
      </c>
      <c r="F6624" s="47"/>
      <c r="G6624" s="8">
        <v>18</v>
      </c>
      <c r="H6624" s="8" t="s">
        <v>21</v>
      </c>
      <c r="I6624" s="8" t="s">
        <v>22</v>
      </c>
      <c r="J6624" s="8" t="s">
        <v>22</v>
      </c>
      <c r="K6624" s="8" t="s">
        <v>183</v>
      </c>
      <c r="L6624" s="8" t="s">
        <v>26804</v>
      </c>
      <c r="M6624" s="8" t="s">
        <v>26805</v>
      </c>
      <c r="N6624" s="8" t="s">
        <v>29408</v>
      </c>
      <c r="O6624" s="8">
        <f>18+19/60+42.9/3600</f>
        <v>18.328583333333334</v>
      </c>
      <c r="P6624" s="8" t="s">
        <v>29409</v>
      </c>
      <c r="Q6624" s="8">
        <f>+(23+42/60+34/3600)</f>
        <v>23.709444444444443</v>
      </c>
      <c r="R6624" s="8">
        <v>13</v>
      </c>
      <c r="S6624" s="8">
        <v>14</v>
      </c>
      <c r="T6624" s="8">
        <v>1</v>
      </c>
      <c r="U6624" s="8">
        <v>13.5</v>
      </c>
      <c r="V6624" s="8">
        <v>1.3</v>
      </c>
      <c r="W6624" s="8">
        <v>1.2</v>
      </c>
      <c r="X6624" s="8">
        <v>155</v>
      </c>
      <c r="Y6624" s="8" t="s">
        <v>3034</v>
      </c>
      <c r="Z6624" s="8" t="s">
        <v>1899</v>
      </c>
    </row>
    <row r="6625" spans="1:26" x14ac:dyDescent="0.2">
      <c r="A6625" s="8">
        <v>6624</v>
      </c>
      <c r="B6625" s="8" t="s">
        <v>29410</v>
      </c>
      <c r="C6625" s="8" t="s">
        <v>29410</v>
      </c>
      <c r="F6625" s="47" t="s">
        <v>58221</v>
      </c>
      <c r="G6625" s="8">
        <v>3</v>
      </c>
      <c r="H6625" s="8" t="s">
        <v>21</v>
      </c>
      <c r="I6625" s="8" t="s">
        <v>567</v>
      </c>
      <c r="J6625" s="8" t="s">
        <v>567</v>
      </c>
      <c r="K6625" s="8" t="s">
        <v>10621</v>
      </c>
      <c r="L6625" s="8" t="s">
        <v>28576</v>
      </c>
      <c r="M6625" s="8" t="s">
        <v>28577</v>
      </c>
      <c r="N6625" s="8" t="s">
        <v>29411</v>
      </c>
      <c r="O6625" s="8">
        <f>18+23/60+40.5/3600</f>
        <v>18.394583333333333</v>
      </c>
      <c r="P6625" s="8" t="s">
        <v>29412</v>
      </c>
      <c r="Q6625" s="8">
        <f>-(30+21/60+38/3600)</f>
        <v>-30.360555555555557</v>
      </c>
      <c r="R6625" s="8">
        <v>7.6</v>
      </c>
      <c r="S6625" s="8">
        <v>99</v>
      </c>
      <c r="T6625" s="8">
        <v>99</v>
      </c>
      <c r="U6625" s="8">
        <v>99</v>
      </c>
      <c r="V6625" s="8">
        <v>8.8000000000000007</v>
      </c>
      <c r="Y6625" s="8" t="s">
        <v>29413</v>
      </c>
      <c r="Z6625" s="8" t="s">
        <v>29414</v>
      </c>
    </row>
    <row r="6626" spans="1:26" x14ac:dyDescent="0.2">
      <c r="A6626" s="8">
        <v>6625</v>
      </c>
      <c r="B6626" s="8" t="s">
        <v>29415</v>
      </c>
      <c r="C6626" s="8" t="s">
        <v>29415</v>
      </c>
      <c r="F6626" s="47"/>
      <c r="G6626" s="8">
        <v>16</v>
      </c>
      <c r="H6626" s="8" t="s">
        <v>21</v>
      </c>
      <c r="I6626" s="8" t="s">
        <v>557</v>
      </c>
      <c r="J6626" s="8" t="s">
        <v>557</v>
      </c>
      <c r="K6626" s="8" t="s">
        <v>557</v>
      </c>
      <c r="L6626" s="8" t="s">
        <v>29416</v>
      </c>
      <c r="M6626" s="8" t="s">
        <v>29417</v>
      </c>
      <c r="N6626" s="8" t="s">
        <v>29418</v>
      </c>
      <c r="O6626" s="8">
        <f>18+23/60+12.8/3600</f>
        <v>18.386888888888887</v>
      </c>
      <c r="P6626" s="8" t="s">
        <v>29419</v>
      </c>
      <c r="Q6626" s="8">
        <f>-(12+0/60+47/3600)</f>
        <v>-12.013055555555555</v>
      </c>
      <c r="R6626" s="8">
        <v>9</v>
      </c>
      <c r="S6626" s="8">
        <v>99</v>
      </c>
      <c r="T6626" s="8">
        <v>99</v>
      </c>
      <c r="U6626" s="8">
        <v>99</v>
      </c>
      <c r="V6626" s="8">
        <v>39</v>
      </c>
      <c r="Y6626" s="8" t="s">
        <v>29420</v>
      </c>
      <c r="Z6626" s="8" t="s">
        <v>29421</v>
      </c>
    </row>
    <row r="6627" spans="1:26" x14ac:dyDescent="0.2">
      <c r="A6627" s="8">
        <v>6626</v>
      </c>
      <c r="B6627" s="8" t="s">
        <v>29422</v>
      </c>
      <c r="C6627" s="8" t="s">
        <v>55946</v>
      </c>
      <c r="F6627" s="47"/>
      <c r="G6627" s="8">
        <v>1</v>
      </c>
      <c r="H6627" s="8" t="s">
        <v>21</v>
      </c>
      <c r="I6627" s="8" t="s">
        <v>567</v>
      </c>
      <c r="J6627" s="8" t="s">
        <v>567</v>
      </c>
      <c r="K6627" s="8" t="s">
        <v>25121</v>
      </c>
      <c r="L6627" s="8" t="s">
        <v>28576</v>
      </c>
      <c r="M6627" s="8" t="s">
        <v>28577</v>
      </c>
      <c r="N6627" s="8" t="s">
        <v>29423</v>
      </c>
      <c r="O6627" s="8">
        <f>18+24/60+32.9/3600</f>
        <v>18.409138888888886</v>
      </c>
      <c r="P6627" s="8" t="s">
        <v>29424</v>
      </c>
      <c r="Q6627" s="8">
        <f>-(24+52/60+10/3600)</f>
        <v>-24.869444444444444</v>
      </c>
      <c r="R6627" s="8">
        <v>6.9</v>
      </c>
      <c r="S6627" s="8">
        <v>99</v>
      </c>
      <c r="T6627" s="8">
        <v>99</v>
      </c>
      <c r="U6627" s="8">
        <v>99</v>
      </c>
      <c r="V6627" s="8">
        <v>13.8</v>
      </c>
      <c r="Y6627" s="8" t="s">
        <v>29425</v>
      </c>
      <c r="Z6627" s="8" t="s">
        <v>29426</v>
      </c>
    </row>
    <row r="6628" spans="1:26" x14ac:dyDescent="0.2">
      <c r="A6628" s="8">
        <v>6627</v>
      </c>
      <c r="B6628" s="8" t="s">
        <v>29427</v>
      </c>
      <c r="C6628" s="8" t="s">
        <v>29427</v>
      </c>
      <c r="F6628" s="47"/>
      <c r="G6628" s="8">
        <v>18</v>
      </c>
      <c r="H6628" s="8" t="s">
        <v>21</v>
      </c>
      <c r="I6628" s="8" t="s">
        <v>22</v>
      </c>
      <c r="J6628" s="8" t="s">
        <v>22</v>
      </c>
      <c r="K6628" s="8" t="s">
        <v>218</v>
      </c>
      <c r="L6628" s="8" t="s">
        <v>26804</v>
      </c>
      <c r="M6628" s="8" t="s">
        <v>26805</v>
      </c>
      <c r="N6628" s="8" t="s">
        <v>29428</v>
      </c>
      <c r="O6628" s="8">
        <f>18+22/60+38.9/3600</f>
        <v>18.377472222222224</v>
      </c>
      <c r="P6628" s="8" t="s">
        <v>29429</v>
      </c>
      <c r="Q6628" s="8">
        <f>+(15+41/60+54/3600)</f>
        <v>15.698333333333334</v>
      </c>
      <c r="R6628" s="8">
        <v>13.3</v>
      </c>
      <c r="S6628" s="8">
        <v>14.3</v>
      </c>
      <c r="T6628" s="8">
        <v>1</v>
      </c>
      <c r="U6628" s="8">
        <v>13.5</v>
      </c>
      <c r="V6628" s="8">
        <v>1.3</v>
      </c>
      <c r="W6628" s="8">
        <v>1.2</v>
      </c>
      <c r="X6628" s="8">
        <v>70</v>
      </c>
      <c r="Y6628" s="8" t="s">
        <v>1225</v>
      </c>
      <c r="Z6628" s="8" t="s">
        <v>1226</v>
      </c>
    </row>
    <row r="6629" spans="1:26" x14ac:dyDescent="0.2">
      <c r="A6629" s="8">
        <v>6628</v>
      </c>
      <c r="B6629" s="8" t="s">
        <v>29430</v>
      </c>
      <c r="C6629" s="8" t="s">
        <v>29430</v>
      </c>
      <c r="F6629" s="47"/>
      <c r="G6629" s="8">
        <v>18</v>
      </c>
      <c r="H6629" s="8" t="s">
        <v>21</v>
      </c>
      <c r="I6629" s="8" t="s">
        <v>22</v>
      </c>
      <c r="J6629" s="8" t="s">
        <v>22</v>
      </c>
      <c r="K6629" s="8" t="s">
        <v>37</v>
      </c>
      <c r="L6629" s="8" t="s">
        <v>26804</v>
      </c>
      <c r="M6629" s="8" t="s">
        <v>26805</v>
      </c>
      <c r="N6629" s="8" t="s">
        <v>29431</v>
      </c>
      <c r="O6629" s="8">
        <f>18+22/60+21.7/3600</f>
        <v>18.372694444444445</v>
      </c>
      <c r="P6629" s="8" t="s">
        <v>29432</v>
      </c>
      <c r="Q6629" s="8">
        <f>+(23+28/60+39/3600)</f>
        <v>23.477499999999999</v>
      </c>
      <c r="R6629" s="8">
        <v>12.9</v>
      </c>
      <c r="S6629" s="8">
        <v>13.9</v>
      </c>
      <c r="T6629" s="8">
        <v>1</v>
      </c>
      <c r="U6629" s="8">
        <v>13.8</v>
      </c>
      <c r="V6629" s="8">
        <v>1.9</v>
      </c>
      <c r="W6629" s="8">
        <v>1.3</v>
      </c>
      <c r="X6629" s="8">
        <v>87</v>
      </c>
      <c r="Y6629" s="8" t="s">
        <v>29433</v>
      </c>
      <c r="Z6629" s="8" t="s">
        <v>29434</v>
      </c>
    </row>
    <row r="6630" spans="1:26" x14ac:dyDescent="0.2">
      <c r="A6630" s="8">
        <v>6629</v>
      </c>
      <c r="B6630" s="8" t="s">
        <v>29435</v>
      </c>
      <c r="C6630" s="8" t="s">
        <v>29435</v>
      </c>
      <c r="F6630" s="47" t="s">
        <v>58222</v>
      </c>
      <c r="G6630" s="8">
        <v>5</v>
      </c>
      <c r="H6630" s="8" t="s">
        <v>21</v>
      </c>
      <c r="I6630" s="8" t="s">
        <v>241</v>
      </c>
      <c r="J6630" s="8" t="s">
        <v>241</v>
      </c>
      <c r="K6630" s="8" t="s">
        <v>241</v>
      </c>
      <c r="L6630" s="8" t="s">
        <v>28576</v>
      </c>
      <c r="M6630" s="8" t="s">
        <v>28577</v>
      </c>
      <c r="N6630" s="8" t="s">
        <v>29436</v>
      </c>
      <c r="O6630" s="8">
        <f>18+25/60+42.4/3600</f>
        <v>18.428444444444445</v>
      </c>
      <c r="P6630" s="8" t="s">
        <v>29437</v>
      </c>
      <c r="Q6630" s="8">
        <f>-(23+12/60+8/3600)</f>
        <v>-23.202222222222222</v>
      </c>
      <c r="R6630" s="8">
        <v>11.3</v>
      </c>
      <c r="S6630" s="8">
        <v>11.6</v>
      </c>
      <c r="T6630" s="8">
        <v>99</v>
      </c>
      <c r="U6630" s="8">
        <v>99</v>
      </c>
      <c r="V6630" s="8">
        <v>0.27</v>
      </c>
      <c r="Y6630" s="8" t="s">
        <v>29438</v>
      </c>
      <c r="Z6630" s="8" t="s">
        <v>29439</v>
      </c>
    </row>
    <row r="6631" spans="1:26" x14ac:dyDescent="0.2">
      <c r="A6631" s="8">
        <v>6630</v>
      </c>
      <c r="B6631" s="8" t="s">
        <v>29440</v>
      </c>
      <c r="C6631" s="8" t="s">
        <v>29440</v>
      </c>
      <c r="F6631" s="47"/>
      <c r="G6631" s="8">
        <v>13</v>
      </c>
      <c r="H6631" s="8" t="s">
        <v>21</v>
      </c>
      <c r="I6631" s="8" t="s">
        <v>22</v>
      </c>
      <c r="J6631" s="8" t="s">
        <v>22</v>
      </c>
      <c r="K6631" s="8" t="s">
        <v>58</v>
      </c>
      <c r="L6631" s="8" t="s">
        <v>28435</v>
      </c>
      <c r="M6631" s="8" t="s">
        <v>28436</v>
      </c>
      <c r="N6631" s="8" t="s">
        <v>29441</v>
      </c>
      <c r="O6631" s="8">
        <f>18+32/60+34.5/3600</f>
        <v>18.542916666666667</v>
      </c>
      <c r="P6631" s="8" t="s">
        <v>29442</v>
      </c>
      <c r="Q6631" s="8">
        <f>-(63+17/60+31/3600)</f>
        <v>-63.291944444444439</v>
      </c>
      <c r="R6631" s="8">
        <v>13.9</v>
      </c>
      <c r="S6631" s="8">
        <v>14.6</v>
      </c>
      <c r="T6631" s="8">
        <v>0.7</v>
      </c>
      <c r="U6631" s="8">
        <v>13</v>
      </c>
      <c r="V6631" s="8">
        <v>0.8</v>
      </c>
      <c r="W6631" s="8">
        <v>0.7</v>
      </c>
      <c r="Y6631" s="8" t="s">
        <v>2186</v>
      </c>
      <c r="Z6631" s="8" t="s">
        <v>2187</v>
      </c>
    </row>
    <row r="6632" spans="1:26" x14ac:dyDescent="0.2">
      <c r="A6632" s="8">
        <v>6631</v>
      </c>
      <c r="B6632" s="8" t="s">
        <v>29443</v>
      </c>
      <c r="C6632" s="8" t="s">
        <v>29443</v>
      </c>
      <c r="F6632" s="47"/>
      <c r="G6632" s="8">
        <v>14</v>
      </c>
      <c r="H6632" s="8" t="s">
        <v>21</v>
      </c>
      <c r="I6632" s="8" t="s">
        <v>557</v>
      </c>
      <c r="J6632" s="8" t="s">
        <v>557</v>
      </c>
      <c r="K6632" s="8" t="s">
        <v>2722</v>
      </c>
      <c r="L6632" s="8" t="s">
        <v>29416</v>
      </c>
      <c r="M6632" s="8" t="s">
        <v>29417</v>
      </c>
      <c r="N6632" s="8" t="s">
        <v>29444</v>
      </c>
      <c r="O6632" s="8">
        <f>18+27/60+9.5/3600</f>
        <v>18.452638888888888</v>
      </c>
      <c r="P6632" s="8" t="s">
        <v>29445</v>
      </c>
      <c r="Q6632" s="8">
        <f>-(12+1/60+35/3600)</f>
        <v>-12.02638888888889</v>
      </c>
      <c r="R6632" s="8">
        <v>11.7</v>
      </c>
      <c r="S6632" s="8">
        <v>99</v>
      </c>
      <c r="T6632" s="8">
        <v>99</v>
      </c>
      <c r="U6632" s="8">
        <v>99</v>
      </c>
      <c r="V6632" s="8">
        <v>7</v>
      </c>
      <c r="Y6632" s="8" t="s">
        <v>29446</v>
      </c>
      <c r="Z6632" s="8" t="s">
        <v>29447</v>
      </c>
    </row>
    <row r="6633" spans="1:26" x14ac:dyDescent="0.2">
      <c r="A6633" s="8">
        <v>6632</v>
      </c>
      <c r="B6633" s="8" t="s">
        <v>29448</v>
      </c>
      <c r="C6633" s="8" t="s">
        <v>29448</v>
      </c>
      <c r="F6633" s="47"/>
      <c r="G6633" s="8">
        <v>18</v>
      </c>
      <c r="H6633" s="8" t="s">
        <v>21</v>
      </c>
      <c r="I6633" s="8" t="s">
        <v>22</v>
      </c>
      <c r="J6633" s="8" t="s">
        <v>22</v>
      </c>
      <c r="K6633" s="8" t="s">
        <v>396</v>
      </c>
      <c r="L6633" s="8" t="s">
        <v>26804</v>
      </c>
      <c r="M6633" s="8" t="s">
        <v>26805</v>
      </c>
      <c r="N6633" s="8" t="s">
        <v>29449</v>
      </c>
      <c r="O6633" s="8">
        <f>18+25/60+3.1/3600</f>
        <v>18.417527777777778</v>
      </c>
      <c r="P6633" s="8" t="s">
        <v>29450</v>
      </c>
      <c r="Q6633" s="8">
        <f>+(27+32/60+9/3600)</f>
        <v>27.535833333333336</v>
      </c>
      <c r="R6633" s="8">
        <v>12.1</v>
      </c>
      <c r="S6633" s="8">
        <v>12.9</v>
      </c>
      <c r="T6633" s="8">
        <v>0.8</v>
      </c>
      <c r="U6633" s="8">
        <v>13.5</v>
      </c>
      <c r="V6633" s="8">
        <v>3</v>
      </c>
      <c r="W6633" s="8">
        <v>1.4</v>
      </c>
      <c r="X6633" s="8">
        <v>155</v>
      </c>
      <c r="Y6633" s="8" t="s">
        <v>6420</v>
      </c>
      <c r="Z6633" s="8" t="s">
        <v>6421</v>
      </c>
    </row>
    <row r="6634" spans="1:26" x14ac:dyDescent="0.2">
      <c r="A6634" s="8">
        <v>6633</v>
      </c>
      <c r="B6634" s="8" t="s">
        <v>29451</v>
      </c>
      <c r="C6634" s="8" t="s">
        <v>29451</v>
      </c>
      <c r="F6634" s="50" t="s">
        <v>58223</v>
      </c>
      <c r="G6634" s="8">
        <v>5</v>
      </c>
      <c r="H6634" s="8" t="s">
        <v>29452</v>
      </c>
      <c r="I6634" s="8" t="s">
        <v>557</v>
      </c>
      <c r="J6634" s="8" t="s">
        <v>557</v>
      </c>
      <c r="K6634" s="8" t="s">
        <v>3217</v>
      </c>
      <c r="L6634" s="8" t="s">
        <v>26994</v>
      </c>
      <c r="M6634" s="8" t="s">
        <v>26995</v>
      </c>
      <c r="N6634" s="8" t="s">
        <v>29453</v>
      </c>
      <c r="O6634" s="8">
        <f>18+27/60+15.1/3600</f>
        <v>18.454194444444443</v>
      </c>
      <c r="P6634" s="8" t="s">
        <v>29454</v>
      </c>
      <c r="Q6634" s="8">
        <f>+(6+30/60+30/3600)</f>
        <v>6.5083333333333337</v>
      </c>
      <c r="R6634" s="8">
        <v>4.5999999999999996</v>
      </c>
      <c r="S6634" s="8">
        <v>99</v>
      </c>
      <c r="T6634" s="8">
        <v>99</v>
      </c>
      <c r="U6634" s="8">
        <v>99</v>
      </c>
      <c r="V6634" s="8">
        <v>20</v>
      </c>
      <c r="Y6634" s="8" t="s">
        <v>29455</v>
      </c>
      <c r="Z6634" s="8" t="s">
        <v>29456</v>
      </c>
    </row>
    <row r="6635" spans="1:26" x14ac:dyDescent="0.2">
      <c r="A6635" s="8">
        <v>6634</v>
      </c>
      <c r="B6635" s="8" t="s">
        <v>29457</v>
      </c>
      <c r="C6635" s="8" t="s">
        <v>29457</v>
      </c>
      <c r="F6635" s="47"/>
      <c r="G6635" s="8">
        <v>4</v>
      </c>
      <c r="H6635" s="8" t="s">
        <v>21</v>
      </c>
      <c r="I6635" s="8" t="s">
        <v>72</v>
      </c>
      <c r="J6635" s="8" t="s">
        <v>72</v>
      </c>
      <c r="K6635" s="8" t="s">
        <v>1405</v>
      </c>
      <c r="L6635" s="8" t="s">
        <v>28576</v>
      </c>
      <c r="M6635" s="8" t="s">
        <v>28577</v>
      </c>
      <c r="N6635" s="8" t="s">
        <v>29458</v>
      </c>
      <c r="O6635" s="8">
        <f>18+29/60+55.3/3600</f>
        <v>18.498694444444446</v>
      </c>
      <c r="P6635" s="8" t="s">
        <v>29459</v>
      </c>
      <c r="Q6635" s="8">
        <f>-(33+30/60+40/3600)</f>
        <v>-33.511111111111113</v>
      </c>
      <c r="R6635" s="8">
        <v>99</v>
      </c>
      <c r="S6635" s="8">
        <v>99</v>
      </c>
      <c r="T6635" s="8">
        <v>99</v>
      </c>
      <c r="U6635" s="8">
        <v>99</v>
      </c>
      <c r="Y6635" s="8" t="s">
        <v>29460</v>
      </c>
      <c r="Z6635" s="8" t="s">
        <v>29461</v>
      </c>
    </row>
    <row r="6636" spans="1:26" x14ac:dyDescent="0.2">
      <c r="A6636" s="8">
        <v>6635</v>
      </c>
      <c r="B6636" s="8" t="s">
        <v>29462</v>
      </c>
      <c r="C6636" s="8" t="s">
        <v>29462</v>
      </c>
      <c r="F6636" s="47"/>
      <c r="G6636" s="8">
        <v>18</v>
      </c>
      <c r="H6636" s="8" t="s">
        <v>21</v>
      </c>
      <c r="I6636" s="8" t="s">
        <v>22</v>
      </c>
      <c r="J6636" s="8" t="s">
        <v>22</v>
      </c>
      <c r="K6636" s="8" t="s">
        <v>37</v>
      </c>
      <c r="L6636" s="8" t="s">
        <v>26804</v>
      </c>
      <c r="M6636" s="8" t="s">
        <v>26805</v>
      </c>
      <c r="N6636" s="8" t="s">
        <v>29463</v>
      </c>
      <c r="O6636" s="8">
        <f>18+27/60+37/3600</f>
        <v>18.460277777777776</v>
      </c>
      <c r="P6636" s="8" t="s">
        <v>29464</v>
      </c>
      <c r="Q6636" s="8">
        <f>+(14+49/60+7/3600)</f>
        <v>14.81861111111111</v>
      </c>
      <c r="R6636" s="8">
        <v>13.4</v>
      </c>
      <c r="S6636" s="8">
        <v>14.4</v>
      </c>
      <c r="T6636" s="8">
        <v>1</v>
      </c>
      <c r="U6636" s="8">
        <v>13.1</v>
      </c>
      <c r="V6636" s="8">
        <v>1</v>
      </c>
      <c r="W6636" s="8">
        <v>0.9</v>
      </c>
      <c r="X6636" s="8">
        <v>42</v>
      </c>
      <c r="Y6636" s="8" t="s">
        <v>170</v>
      </c>
      <c r="Z6636" s="8" t="s">
        <v>171</v>
      </c>
    </row>
    <row r="6637" spans="1:26" x14ac:dyDescent="0.2">
      <c r="A6637" s="8">
        <v>6636</v>
      </c>
      <c r="B6637" s="8" t="s">
        <v>29465</v>
      </c>
      <c r="C6637" s="8" t="s">
        <v>29465</v>
      </c>
      <c r="E6637" s="8">
        <v>1</v>
      </c>
      <c r="F6637" s="47"/>
      <c r="G6637" s="8">
        <v>19</v>
      </c>
      <c r="H6637" s="8" t="s">
        <v>21</v>
      </c>
      <c r="I6637" s="8" t="s">
        <v>22</v>
      </c>
      <c r="J6637" s="8" t="s">
        <v>22</v>
      </c>
      <c r="K6637" s="8" t="s">
        <v>160</v>
      </c>
      <c r="L6637" s="8" t="s">
        <v>13395</v>
      </c>
      <c r="M6637" s="8" t="s">
        <v>13396</v>
      </c>
      <c r="N6637" s="8" t="s">
        <v>29466</v>
      </c>
      <c r="O6637" s="8">
        <f>18+22/60+2.6/3600</f>
        <v>18.36738888888889</v>
      </c>
      <c r="P6637" s="8" t="s">
        <v>29467</v>
      </c>
      <c r="Q6637" s="8">
        <f>+(66+37/60+3/3600)</f>
        <v>66.617499999999993</v>
      </c>
      <c r="R6637" s="8">
        <v>13.7</v>
      </c>
      <c r="S6637" s="8">
        <v>14.4</v>
      </c>
      <c r="T6637" s="8">
        <v>0.7</v>
      </c>
      <c r="U6637" s="8">
        <v>13.4</v>
      </c>
      <c r="V6637" s="8">
        <v>2.1</v>
      </c>
      <c r="W6637" s="8">
        <v>0.3</v>
      </c>
      <c r="X6637" s="8">
        <v>179</v>
      </c>
      <c r="Y6637" s="8" t="s">
        <v>29468</v>
      </c>
      <c r="Z6637" s="8" t="s">
        <v>29469</v>
      </c>
    </row>
    <row r="6638" spans="1:26" x14ac:dyDescent="0.2">
      <c r="A6638" s="8">
        <v>6637</v>
      </c>
      <c r="B6638" s="8" t="s">
        <v>29470</v>
      </c>
      <c r="C6638" s="8" t="s">
        <v>55947</v>
      </c>
      <c r="F6638" s="47"/>
      <c r="G6638" s="8">
        <v>1</v>
      </c>
      <c r="H6638" s="8" t="s">
        <v>21</v>
      </c>
      <c r="I6638" s="8" t="s">
        <v>567</v>
      </c>
      <c r="J6638" s="8" t="s">
        <v>567</v>
      </c>
      <c r="K6638" s="8" t="s">
        <v>8821</v>
      </c>
      <c r="L6638" s="8" t="s">
        <v>28576</v>
      </c>
      <c r="M6638" s="8" t="s">
        <v>28577</v>
      </c>
      <c r="N6638" s="8" t="s">
        <v>29471</v>
      </c>
      <c r="O6638" s="8">
        <f>18+31/60+23.2/3600</f>
        <v>18.52311111111111</v>
      </c>
      <c r="P6638" s="8" t="s">
        <v>29472</v>
      </c>
      <c r="Q6638" s="8">
        <f>-(32+20/60+51/3600)</f>
        <v>-32.347500000000004</v>
      </c>
      <c r="R6638" s="8">
        <v>8.3000000000000007</v>
      </c>
      <c r="S6638" s="8">
        <v>9.3000000000000007</v>
      </c>
      <c r="T6638" s="8">
        <v>99</v>
      </c>
      <c r="U6638" s="8">
        <v>99</v>
      </c>
      <c r="V6638" s="8">
        <v>7.1</v>
      </c>
      <c r="Y6638" s="8" t="s">
        <v>29473</v>
      </c>
      <c r="Z6638" s="8" t="s">
        <v>29474</v>
      </c>
    </row>
    <row r="6639" spans="1:26" x14ac:dyDescent="0.2">
      <c r="A6639" s="8">
        <v>6638</v>
      </c>
      <c r="B6639" s="8" t="s">
        <v>29475</v>
      </c>
      <c r="C6639" s="8" t="s">
        <v>29475</v>
      </c>
      <c r="F6639" s="47" t="s">
        <v>58224</v>
      </c>
      <c r="G6639" s="8">
        <v>3</v>
      </c>
      <c r="H6639" s="8" t="s">
        <v>21</v>
      </c>
      <c r="I6639" s="8" t="s">
        <v>567</v>
      </c>
      <c r="J6639" s="8" t="s">
        <v>567</v>
      </c>
      <c r="K6639" s="8" t="s">
        <v>10621</v>
      </c>
      <c r="L6639" s="8" t="s">
        <v>28576</v>
      </c>
      <c r="M6639" s="8" t="s">
        <v>28577</v>
      </c>
      <c r="N6639" s="8" t="s">
        <v>29476</v>
      </c>
      <c r="O6639" s="8">
        <f>18+30/60+56.2/3600</f>
        <v>18.515611111111109</v>
      </c>
      <c r="P6639" s="8" t="s">
        <v>29477</v>
      </c>
      <c r="Q6639" s="8">
        <f>-(25+29/60+45/3600)</f>
        <v>-25.495833333333334</v>
      </c>
      <c r="R6639" s="8">
        <v>9.1999999999999993</v>
      </c>
      <c r="S6639" s="8">
        <v>99</v>
      </c>
      <c r="T6639" s="8">
        <v>99</v>
      </c>
      <c r="U6639" s="8">
        <v>99</v>
      </c>
      <c r="V6639" s="8">
        <v>7.3</v>
      </c>
      <c r="Y6639" s="8" t="s">
        <v>29478</v>
      </c>
      <c r="Z6639" s="8" t="s">
        <v>29479</v>
      </c>
    </row>
    <row r="6640" spans="1:26" x14ac:dyDescent="0.2">
      <c r="A6640" s="8">
        <v>6639</v>
      </c>
      <c r="B6640" s="8" t="s">
        <v>29480</v>
      </c>
      <c r="C6640" s="8" t="s">
        <v>29480</v>
      </c>
      <c r="F6640" s="47"/>
      <c r="G6640" s="8">
        <v>16</v>
      </c>
      <c r="H6640" s="8" t="s">
        <v>21</v>
      </c>
      <c r="I6640" s="8" t="s">
        <v>557</v>
      </c>
      <c r="J6640" s="8" t="s">
        <v>557</v>
      </c>
      <c r="K6640" s="8" t="s">
        <v>557</v>
      </c>
      <c r="L6640" s="8" t="s">
        <v>29416</v>
      </c>
      <c r="M6640" s="8" t="s">
        <v>29417</v>
      </c>
      <c r="N6640" s="8" t="s">
        <v>29481</v>
      </c>
      <c r="O6640" s="8">
        <f>18+30/60+57.8/3600</f>
        <v>18.516055555555557</v>
      </c>
      <c r="P6640" s="8" t="s">
        <v>29482</v>
      </c>
      <c r="Q6640" s="8">
        <f>-(13+10/60+14/3600)</f>
        <v>-13.170555555555556</v>
      </c>
      <c r="R6640" s="8">
        <v>99</v>
      </c>
      <c r="S6640" s="8">
        <v>99</v>
      </c>
      <c r="T6640" s="8">
        <v>99</v>
      </c>
      <c r="U6640" s="8">
        <v>99</v>
      </c>
      <c r="V6640" s="8">
        <v>5</v>
      </c>
      <c r="Y6640" s="8" t="s">
        <v>29483</v>
      </c>
      <c r="Z6640" s="8" t="s">
        <v>29484</v>
      </c>
    </row>
    <row r="6641" spans="1:26" x14ac:dyDescent="0.2">
      <c r="A6641" s="8">
        <v>6640</v>
      </c>
      <c r="B6641" s="8" t="s">
        <v>29485</v>
      </c>
      <c r="C6641" s="8" t="s">
        <v>29485</v>
      </c>
      <c r="F6641" s="47"/>
      <c r="G6641" s="8">
        <v>19</v>
      </c>
      <c r="H6641" s="8" t="s">
        <v>21</v>
      </c>
      <c r="I6641" s="8" t="s">
        <v>22</v>
      </c>
      <c r="J6641" s="8" t="s">
        <v>22</v>
      </c>
      <c r="K6641" s="8" t="s">
        <v>160</v>
      </c>
      <c r="L6641" s="8" t="s">
        <v>29334</v>
      </c>
      <c r="M6641" s="8" t="s">
        <v>29335</v>
      </c>
      <c r="N6641" s="8" t="s">
        <v>29486</v>
      </c>
      <c r="O6641" s="8">
        <f>18+28/60+8.1/3600</f>
        <v>18.468916666666665</v>
      </c>
      <c r="P6641" s="8" t="s">
        <v>29487</v>
      </c>
      <c r="Q6641" s="8">
        <f>+(34+18/60+9/3600)</f>
        <v>34.302499999999995</v>
      </c>
      <c r="R6641" s="8">
        <v>13.5</v>
      </c>
      <c r="S6641" s="8">
        <v>14.2</v>
      </c>
      <c r="T6641" s="8">
        <v>0.7</v>
      </c>
      <c r="U6641" s="8">
        <v>13.2</v>
      </c>
      <c r="V6641" s="8">
        <v>1.1000000000000001</v>
      </c>
      <c r="W6641" s="8">
        <v>0.8</v>
      </c>
      <c r="X6641" s="8">
        <v>153</v>
      </c>
      <c r="Y6641" s="8" t="s">
        <v>5445</v>
      </c>
      <c r="Z6641" s="8" t="s">
        <v>577</v>
      </c>
    </row>
    <row r="6642" spans="1:26" x14ac:dyDescent="0.2">
      <c r="A6642" s="8">
        <v>6641</v>
      </c>
      <c r="B6642" s="8" t="s">
        <v>29488</v>
      </c>
      <c r="C6642" s="8" t="s">
        <v>29488</v>
      </c>
      <c r="F6642" s="47"/>
      <c r="G6642" s="8">
        <v>18</v>
      </c>
      <c r="H6642" s="8" t="s">
        <v>21</v>
      </c>
      <c r="I6642" s="8" t="s">
        <v>22</v>
      </c>
      <c r="J6642" s="8" t="s">
        <v>22</v>
      </c>
      <c r="K6642" s="8" t="s">
        <v>449</v>
      </c>
      <c r="L6642" s="8" t="s">
        <v>26804</v>
      </c>
      <c r="M6642" s="8" t="s">
        <v>26805</v>
      </c>
      <c r="N6642" s="8" t="s">
        <v>29489</v>
      </c>
      <c r="O6642" s="8">
        <f>18+28/60+57.3/3600</f>
        <v>18.482583333333331</v>
      </c>
      <c r="P6642" s="8" t="s">
        <v>29490</v>
      </c>
      <c r="Q6642" s="8">
        <f>+(22+54/60+12/3600)</f>
        <v>22.903333333333332</v>
      </c>
      <c r="R6642" s="8">
        <v>13.4</v>
      </c>
      <c r="S6642" s="8">
        <v>14.2</v>
      </c>
      <c r="T6642" s="8">
        <v>0.8</v>
      </c>
      <c r="U6642" s="8">
        <v>12.7</v>
      </c>
      <c r="V6642" s="8">
        <v>0.9</v>
      </c>
      <c r="W6642" s="8">
        <v>0.7</v>
      </c>
      <c r="X6642" s="8">
        <v>102</v>
      </c>
      <c r="Y6642" s="8" t="s">
        <v>115</v>
      </c>
      <c r="Z6642" s="8" t="s">
        <v>116</v>
      </c>
    </row>
    <row r="6643" spans="1:26" x14ac:dyDescent="0.2">
      <c r="A6643" s="8">
        <v>6642</v>
      </c>
      <c r="B6643" s="8" t="s">
        <v>29491</v>
      </c>
      <c r="C6643" s="8" t="s">
        <v>29491</v>
      </c>
      <c r="F6643" s="47" t="s">
        <v>58225</v>
      </c>
      <c r="G6643" s="8">
        <v>3</v>
      </c>
      <c r="H6643" s="8" t="s">
        <v>29492</v>
      </c>
      <c r="I6643" s="8" t="s">
        <v>567</v>
      </c>
      <c r="J6643" s="8" t="s">
        <v>567</v>
      </c>
      <c r="K6643" s="8" t="s">
        <v>25121</v>
      </c>
      <c r="L6643" s="8" t="s">
        <v>28576</v>
      </c>
      <c r="M6643" s="8" t="s">
        <v>28577</v>
      </c>
      <c r="N6643" s="8" t="s">
        <v>29493</v>
      </c>
      <c r="O6643" s="8">
        <f>18+31/60+54.3/3600</f>
        <v>18.531749999999999</v>
      </c>
      <c r="P6643" s="8" t="s">
        <v>10502</v>
      </c>
      <c r="Q6643" s="8">
        <f>-(23+28/60+33/3600)</f>
        <v>-23.47583333333333</v>
      </c>
      <c r="R6643" s="8">
        <v>8.9</v>
      </c>
      <c r="S6643" s="8">
        <v>99</v>
      </c>
      <c r="T6643" s="8">
        <v>99</v>
      </c>
      <c r="U6643" s="8">
        <v>99</v>
      </c>
      <c r="V6643" s="8">
        <v>5.8</v>
      </c>
      <c r="Y6643" s="8" t="s">
        <v>29494</v>
      </c>
      <c r="Z6643" s="8" t="s">
        <v>29495</v>
      </c>
    </row>
    <row r="6644" spans="1:26" x14ac:dyDescent="0.2">
      <c r="A6644" s="8">
        <v>6643</v>
      </c>
      <c r="B6644" s="8" t="s">
        <v>29496</v>
      </c>
      <c r="C6644" s="8" t="s">
        <v>29496</v>
      </c>
      <c r="F6644" s="47"/>
      <c r="G6644" s="8">
        <v>9</v>
      </c>
      <c r="H6644" s="8" t="s">
        <v>21</v>
      </c>
      <c r="I6644" s="8" t="s">
        <v>22</v>
      </c>
      <c r="J6644" s="8" t="s">
        <v>22</v>
      </c>
      <c r="K6644" s="8" t="s">
        <v>160</v>
      </c>
      <c r="L6644" s="8" t="s">
        <v>13395</v>
      </c>
      <c r="M6644" s="8" t="s">
        <v>13396</v>
      </c>
      <c r="N6644" s="8" t="s">
        <v>29497</v>
      </c>
      <c r="O6644" s="8">
        <f>18+19/60+45.6/3600</f>
        <v>18.329333333333334</v>
      </c>
      <c r="P6644" s="8" t="s">
        <v>29498</v>
      </c>
      <c r="Q6644" s="8">
        <f>+(74+34/60+6/3600)</f>
        <v>74.568333333333328</v>
      </c>
      <c r="R6644" s="8">
        <v>11.1</v>
      </c>
      <c r="S6644" s="8">
        <v>11.7</v>
      </c>
      <c r="T6644" s="8">
        <v>0.6</v>
      </c>
      <c r="U6644" s="8">
        <v>13.1</v>
      </c>
      <c r="V6644" s="8">
        <v>3.7</v>
      </c>
      <c r="W6644" s="8">
        <v>1.8</v>
      </c>
      <c r="X6644" s="8">
        <v>38</v>
      </c>
      <c r="Y6644" s="8" t="s">
        <v>29499</v>
      </c>
      <c r="Z6644" s="8" t="s">
        <v>29500</v>
      </c>
    </row>
    <row r="6645" spans="1:26" x14ac:dyDescent="0.2">
      <c r="A6645" s="8">
        <v>6644</v>
      </c>
      <c r="B6645" s="8" t="s">
        <v>29501</v>
      </c>
      <c r="C6645" s="8" t="s">
        <v>29501</v>
      </c>
      <c r="F6645" s="47"/>
      <c r="G6645" s="8">
        <v>5</v>
      </c>
      <c r="H6645" s="8" t="s">
        <v>21</v>
      </c>
      <c r="I6645" s="8" t="s">
        <v>241</v>
      </c>
      <c r="J6645" s="8" t="s">
        <v>241</v>
      </c>
      <c r="K6645" s="8" t="s">
        <v>241</v>
      </c>
      <c r="L6645" s="8" t="s">
        <v>28576</v>
      </c>
      <c r="M6645" s="8" t="s">
        <v>28577</v>
      </c>
      <c r="N6645" s="8" t="s">
        <v>29502</v>
      </c>
      <c r="O6645" s="8">
        <f>18+32/60+34.7/3600</f>
        <v>18.542972222222225</v>
      </c>
      <c r="P6645" s="8" t="s">
        <v>29503</v>
      </c>
      <c r="Q6645" s="8">
        <f>-(25+7/60+42/3600)</f>
        <v>-25.128333333333334</v>
      </c>
      <c r="R6645" s="8">
        <v>10.7</v>
      </c>
      <c r="S6645" s="8">
        <v>12.2</v>
      </c>
      <c r="T6645" s="8">
        <v>99</v>
      </c>
      <c r="U6645" s="8">
        <v>99</v>
      </c>
      <c r="V6645" s="8">
        <v>0.2</v>
      </c>
      <c r="Y6645" s="8" t="s">
        <v>27387</v>
      </c>
      <c r="Z6645" s="8" t="s">
        <v>27388</v>
      </c>
    </row>
    <row r="6646" spans="1:26" x14ac:dyDescent="0.2">
      <c r="A6646" s="8">
        <v>6645</v>
      </c>
      <c r="B6646" s="8" t="s">
        <v>29504</v>
      </c>
      <c r="C6646" s="8" t="s">
        <v>29504</v>
      </c>
      <c r="F6646" s="47" t="s">
        <v>58226</v>
      </c>
      <c r="G6646" s="8">
        <v>6</v>
      </c>
      <c r="H6646" s="8" t="s">
        <v>21</v>
      </c>
      <c r="I6646" s="8" t="s">
        <v>557</v>
      </c>
      <c r="J6646" s="8" t="s">
        <v>557</v>
      </c>
      <c r="K6646" s="8" t="s">
        <v>3647</v>
      </c>
      <c r="L6646" s="8" t="s">
        <v>28576</v>
      </c>
      <c r="M6646" s="8" t="s">
        <v>28577</v>
      </c>
      <c r="N6646" s="8" t="s">
        <v>29505</v>
      </c>
      <c r="O6646" s="8">
        <f>18+32/60+37.8/3600</f>
        <v>18.543833333333335</v>
      </c>
      <c r="P6646" s="8" t="s">
        <v>29506</v>
      </c>
      <c r="Q6646" s="8">
        <f>-(16+53/60+2/3600)</f>
        <v>-16.883888888888887</v>
      </c>
      <c r="R6646" s="8">
        <v>8.5</v>
      </c>
      <c r="S6646" s="8">
        <v>99</v>
      </c>
      <c r="T6646" s="8">
        <v>99</v>
      </c>
      <c r="U6646" s="8">
        <v>99</v>
      </c>
      <c r="V6646" s="8">
        <v>15</v>
      </c>
      <c r="Y6646" s="8" t="s">
        <v>29507</v>
      </c>
      <c r="Z6646" s="8" t="s">
        <v>29508</v>
      </c>
    </row>
    <row r="6647" spans="1:26" x14ac:dyDescent="0.2">
      <c r="A6647" s="8">
        <v>6646</v>
      </c>
      <c r="B6647" s="8" t="s">
        <v>29509</v>
      </c>
      <c r="C6647" s="8" t="s">
        <v>29509</v>
      </c>
      <c r="F6647" s="47" t="s">
        <v>58227</v>
      </c>
      <c r="G6647" s="8">
        <v>15</v>
      </c>
      <c r="H6647" s="8" t="s">
        <v>21</v>
      </c>
      <c r="I6647" s="8" t="s">
        <v>22</v>
      </c>
      <c r="J6647" s="8" t="s">
        <v>22</v>
      </c>
      <c r="K6647" s="8" t="s">
        <v>91</v>
      </c>
      <c r="L6647" s="8" t="s">
        <v>29334</v>
      </c>
      <c r="M6647" s="8" t="s">
        <v>29335</v>
      </c>
      <c r="N6647" s="8" t="s">
        <v>29510</v>
      </c>
      <c r="O6647" s="8">
        <f>18+29/60+38.7/3600</f>
        <v>18.494083333333336</v>
      </c>
      <c r="P6647" s="8" t="s">
        <v>29511</v>
      </c>
      <c r="Q6647" s="8">
        <f>+(39+51/60+54/3600)</f>
        <v>39.865000000000002</v>
      </c>
      <c r="R6647" s="8">
        <v>12.6</v>
      </c>
      <c r="S6647" s="8">
        <v>13.5</v>
      </c>
      <c r="T6647" s="8">
        <v>0.9</v>
      </c>
      <c r="U6647" s="8">
        <v>12.7</v>
      </c>
      <c r="V6647" s="8">
        <v>1.6</v>
      </c>
      <c r="W6647" s="8">
        <v>1.3</v>
      </c>
      <c r="X6647" s="8">
        <v>63</v>
      </c>
      <c r="Y6647" s="8" t="s">
        <v>22305</v>
      </c>
      <c r="Z6647" s="8" t="s">
        <v>22306</v>
      </c>
    </row>
    <row r="6648" spans="1:26" x14ac:dyDescent="0.2">
      <c r="A6648" s="8">
        <v>6647</v>
      </c>
      <c r="B6648" s="8" t="s">
        <v>29512</v>
      </c>
      <c r="C6648" s="8" t="s">
        <v>29512</v>
      </c>
      <c r="F6648" s="47" t="s">
        <v>58228</v>
      </c>
      <c r="G6648" s="8">
        <v>15</v>
      </c>
      <c r="H6648" s="8" t="s">
        <v>21</v>
      </c>
      <c r="I6648" s="8" t="s">
        <v>557</v>
      </c>
      <c r="J6648" s="8" t="s">
        <v>557</v>
      </c>
      <c r="K6648" s="8" t="s">
        <v>557</v>
      </c>
      <c r="L6648" s="8" t="s">
        <v>28576</v>
      </c>
      <c r="M6648" s="8" t="s">
        <v>28577</v>
      </c>
      <c r="N6648" s="8" t="s">
        <v>29513</v>
      </c>
      <c r="O6648" s="8">
        <f>18+32/60+49/3600</f>
        <v>18.546944444444446</v>
      </c>
      <c r="P6648" s="8" t="s">
        <v>29514</v>
      </c>
      <c r="Q6648" s="8">
        <f>-(17+13/60+42/3600)</f>
        <v>-17.228333333333332</v>
      </c>
      <c r="R6648" s="8">
        <v>99</v>
      </c>
      <c r="S6648" s="8">
        <v>8</v>
      </c>
      <c r="T6648" s="8">
        <v>99</v>
      </c>
      <c r="U6648" s="8">
        <v>99</v>
      </c>
      <c r="Y6648" s="8" t="s">
        <v>29515</v>
      </c>
      <c r="Z6648" s="8" t="s">
        <v>29516</v>
      </c>
    </row>
    <row r="6649" spans="1:26" x14ac:dyDescent="0.2">
      <c r="A6649" s="8">
        <v>6648</v>
      </c>
      <c r="B6649" s="8" t="s">
        <v>29517</v>
      </c>
      <c r="C6649" s="8" t="s">
        <v>29517</v>
      </c>
      <c r="F6649" s="47"/>
      <c r="G6649" s="8">
        <v>17</v>
      </c>
      <c r="H6649" s="8" t="s">
        <v>21</v>
      </c>
      <c r="I6649" s="8" t="s">
        <v>72</v>
      </c>
      <c r="J6649" s="8" t="s">
        <v>72</v>
      </c>
      <c r="K6649" s="8" t="s">
        <v>73</v>
      </c>
      <c r="L6649" s="8" t="s">
        <v>13395</v>
      </c>
      <c r="M6649" s="8" t="s">
        <v>13396</v>
      </c>
      <c r="N6649" s="8" t="s">
        <v>29518</v>
      </c>
      <c r="O6649" s="8">
        <f>18+25/60+37.4/3600</f>
        <v>18.427055555555558</v>
      </c>
      <c r="P6649" s="8" t="s">
        <v>29519</v>
      </c>
      <c r="Q6649" s="8">
        <f>+(64+58/60+33/3600)</f>
        <v>64.975833333333341</v>
      </c>
      <c r="R6649" s="8">
        <v>99</v>
      </c>
      <c r="S6649" s="8">
        <v>99</v>
      </c>
      <c r="T6649" s="8">
        <v>99</v>
      </c>
      <c r="U6649" s="8">
        <v>99</v>
      </c>
      <c r="Y6649" s="8" t="s">
        <v>29520</v>
      </c>
      <c r="Z6649" s="8" t="s">
        <v>29521</v>
      </c>
    </row>
    <row r="6650" spans="1:26" x14ac:dyDescent="0.2">
      <c r="A6650" s="8">
        <v>6649</v>
      </c>
      <c r="B6650" s="8" t="s">
        <v>29522</v>
      </c>
      <c r="C6650" s="8" t="s">
        <v>29522</v>
      </c>
      <c r="F6650" s="47"/>
      <c r="G6650" s="8">
        <v>9</v>
      </c>
      <c r="H6650" s="8" t="s">
        <v>21</v>
      </c>
      <c r="I6650" s="8" t="s">
        <v>557</v>
      </c>
      <c r="J6650" s="8" t="s">
        <v>557</v>
      </c>
      <c r="K6650" s="8" t="s">
        <v>2722</v>
      </c>
      <c r="L6650" s="8" t="s">
        <v>29416</v>
      </c>
      <c r="M6650" s="8" t="s">
        <v>29417</v>
      </c>
      <c r="N6650" s="8" t="s">
        <v>29523</v>
      </c>
      <c r="O6650" s="8">
        <f>18+33/60+28.3/3600</f>
        <v>18.557861111111112</v>
      </c>
      <c r="P6650" s="8" t="s">
        <v>29524</v>
      </c>
      <c r="Q6650" s="8">
        <f>-(10+24/60+8/3600)</f>
        <v>-10.402222222222223</v>
      </c>
      <c r="R6650" s="8">
        <v>8.9</v>
      </c>
      <c r="S6650" s="8">
        <v>99</v>
      </c>
      <c r="T6650" s="8">
        <v>99</v>
      </c>
      <c r="U6650" s="8">
        <v>99</v>
      </c>
      <c r="V6650" s="8">
        <v>6</v>
      </c>
      <c r="Y6650" s="8" t="s">
        <v>29525</v>
      </c>
      <c r="Z6650" s="8" t="s">
        <v>29526</v>
      </c>
    </row>
    <row r="6651" spans="1:26" x14ac:dyDescent="0.2">
      <c r="A6651" s="8">
        <v>6650</v>
      </c>
      <c r="B6651" s="8" t="s">
        <v>29527</v>
      </c>
      <c r="C6651" s="8" t="s">
        <v>29527</v>
      </c>
      <c r="F6651" s="47"/>
      <c r="G6651" s="8">
        <v>19</v>
      </c>
      <c r="H6651" s="8" t="s">
        <v>21</v>
      </c>
      <c r="I6651" s="8" t="s">
        <v>22</v>
      </c>
      <c r="J6651" s="8" t="s">
        <v>22</v>
      </c>
      <c r="K6651" s="8" t="s">
        <v>424</v>
      </c>
      <c r="L6651" s="8" t="s">
        <v>13395</v>
      </c>
      <c r="M6651" s="8" t="s">
        <v>13396</v>
      </c>
      <c r="N6651" s="8" t="s">
        <v>29528</v>
      </c>
      <c r="O6651" s="8">
        <f>18+25/60+27.9/3600</f>
        <v>18.424416666666669</v>
      </c>
      <c r="P6651" s="8" t="s">
        <v>29529</v>
      </c>
      <c r="Q6651" s="8">
        <f>+(68+0/60+23/3600)</f>
        <v>68.006388888888893</v>
      </c>
      <c r="R6651" s="8">
        <v>13.9</v>
      </c>
      <c r="S6651" s="8">
        <v>14.9</v>
      </c>
      <c r="T6651" s="8">
        <v>1</v>
      </c>
      <c r="U6651" s="8">
        <v>11.8</v>
      </c>
      <c r="V6651" s="8">
        <v>0.4</v>
      </c>
      <c r="W6651" s="8">
        <v>0.4</v>
      </c>
      <c r="Y6651" s="8" t="s">
        <v>421</v>
      </c>
      <c r="Z6651" s="8" t="s">
        <v>422</v>
      </c>
    </row>
    <row r="6652" spans="1:26" x14ac:dyDescent="0.2">
      <c r="A6652" s="8">
        <v>6651</v>
      </c>
      <c r="B6652" s="8" t="s">
        <v>29530</v>
      </c>
      <c r="C6652" s="8" t="s">
        <v>29530</v>
      </c>
      <c r="F6652" s="47"/>
      <c r="G6652" s="8">
        <v>19</v>
      </c>
      <c r="H6652" s="8" t="s">
        <v>21</v>
      </c>
      <c r="I6652" s="8" t="s">
        <v>22</v>
      </c>
      <c r="J6652" s="8" t="s">
        <v>22</v>
      </c>
      <c r="K6652" s="8" t="s">
        <v>396</v>
      </c>
      <c r="L6652" s="8" t="s">
        <v>13395</v>
      </c>
      <c r="M6652" s="8" t="s">
        <v>13396</v>
      </c>
      <c r="N6652" s="8" t="s">
        <v>29531</v>
      </c>
      <c r="O6652" s="8">
        <f>18+24/60+19.7/3600</f>
        <v>18.405472222222222</v>
      </c>
      <c r="P6652" s="8" t="s">
        <v>29532</v>
      </c>
      <c r="Q6652" s="8">
        <f>+(71+36/60+8/3600)</f>
        <v>71.60222222222221</v>
      </c>
      <c r="R6652" s="8">
        <v>13.1</v>
      </c>
      <c r="S6652" s="8">
        <v>13.9</v>
      </c>
      <c r="T6652" s="8">
        <v>0.8</v>
      </c>
      <c r="U6652" s="8">
        <v>13</v>
      </c>
      <c r="V6652" s="8">
        <v>1.6</v>
      </c>
      <c r="W6652" s="8">
        <v>0.7</v>
      </c>
      <c r="X6652" s="8">
        <v>30</v>
      </c>
      <c r="Y6652" s="8" t="s">
        <v>13947</v>
      </c>
      <c r="Z6652" s="8" t="s">
        <v>13948</v>
      </c>
    </row>
    <row r="6653" spans="1:26" x14ac:dyDescent="0.2">
      <c r="A6653" s="8">
        <v>6652</v>
      </c>
      <c r="B6653" s="8" t="s">
        <v>29533</v>
      </c>
      <c r="C6653" s="8" t="s">
        <v>29533</v>
      </c>
      <c r="F6653" s="47"/>
      <c r="G6653" s="8">
        <v>3</v>
      </c>
      <c r="H6653" s="8" t="s">
        <v>21</v>
      </c>
      <c r="I6653" s="8" t="s">
        <v>567</v>
      </c>
      <c r="J6653" s="8" t="s">
        <v>567</v>
      </c>
      <c r="K6653" s="8" t="s">
        <v>10621</v>
      </c>
      <c r="L6653" s="8" t="s">
        <v>28576</v>
      </c>
      <c r="M6653" s="8" t="s">
        <v>28577</v>
      </c>
      <c r="N6653" s="8" t="s">
        <v>29534</v>
      </c>
      <c r="O6653" s="8">
        <f>18+35/60+45.7/3600</f>
        <v>18.596027777777778</v>
      </c>
      <c r="P6653" s="8" t="s">
        <v>29535</v>
      </c>
      <c r="Q6653" s="8">
        <f>-(32+59/60+23/3600)</f>
        <v>-32.98972222222222</v>
      </c>
      <c r="R6653" s="8">
        <v>8.5</v>
      </c>
      <c r="S6653" s="8">
        <v>99</v>
      </c>
      <c r="T6653" s="8">
        <v>99</v>
      </c>
      <c r="U6653" s="8">
        <v>99</v>
      </c>
      <c r="V6653" s="8">
        <v>6</v>
      </c>
      <c r="Y6653" s="8" t="s">
        <v>29536</v>
      </c>
      <c r="Z6653" s="8" t="s">
        <v>29537</v>
      </c>
    </row>
    <row r="6654" spans="1:26" x14ac:dyDescent="0.2">
      <c r="A6654" s="8">
        <v>6653</v>
      </c>
      <c r="B6654" s="8" t="s">
        <v>29538</v>
      </c>
      <c r="C6654" s="8" t="s">
        <v>29538</v>
      </c>
      <c r="F6654" s="47"/>
      <c r="G6654" s="8">
        <v>16</v>
      </c>
      <c r="H6654" s="8" t="s">
        <v>21</v>
      </c>
      <c r="I6654" s="8" t="s">
        <v>22</v>
      </c>
      <c r="J6654" s="8" t="s">
        <v>22</v>
      </c>
      <c r="K6654" s="8" t="s">
        <v>183</v>
      </c>
      <c r="L6654" s="8" t="s">
        <v>28435</v>
      </c>
      <c r="M6654" s="8" t="s">
        <v>28436</v>
      </c>
      <c r="N6654" s="8" t="s">
        <v>29539</v>
      </c>
      <c r="O6654" s="8">
        <f>18+44/60+38.6/3600</f>
        <v>18.744055555555555</v>
      </c>
      <c r="P6654" s="8" t="s">
        <v>29540</v>
      </c>
      <c r="Q6654" s="8">
        <f>-(73+15/60+47/3600)</f>
        <v>-73.263055555555553</v>
      </c>
      <c r="R6654" s="8">
        <v>12.2</v>
      </c>
      <c r="S6654" s="8">
        <v>13.2</v>
      </c>
      <c r="T6654" s="8">
        <v>1</v>
      </c>
      <c r="U6654" s="8">
        <v>13.2</v>
      </c>
      <c r="V6654" s="8">
        <v>1.7</v>
      </c>
      <c r="W6654" s="8">
        <v>1.5</v>
      </c>
      <c r="Y6654" s="8" t="s">
        <v>6316</v>
      </c>
      <c r="Z6654" s="8" t="s">
        <v>6317</v>
      </c>
    </row>
    <row r="6655" spans="1:26" x14ac:dyDescent="0.2">
      <c r="A6655" s="8">
        <v>6654</v>
      </c>
      <c r="B6655" s="8" t="s">
        <v>29541</v>
      </c>
      <c r="C6655" s="8" t="s">
        <v>29541</v>
      </c>
      <c r="F6655" s="47"/>
      <c r="G6655" s="8">
        <v>19</v>
      </c>
      <c r="H6655" s="8" t="s">
        <v>21</v>
      </c>
      <c r="I6655" s="8" t="s">
        <v>22</v>
      </c>
      <c r="J6655" s="8" t="s">
        <v>22</v>
      </c>
      <c r="K6655" s="8" t="s">
        <v>435</v>
      </c>
      <c r="L6655" s="8" t="s">
        <v>13395</v>
      </c>
      <c r="M6655" s="8" t="s">
        <v>13396</v>
      </c>
      <c r="N6655" s="8" t="s">
        <v>29542</v>
      </c>
      <c r="O6655" s="8">
        <f>18+24/60+7.6/3600</f>
        <v>18.402111111111111</v>
      </c>
      <c r="P6655" s="8" t="s">
        <v>29543</v>
      </c>
      <c r="Q6655" s="8">
        <f>+(73+10/60+58/3600)</f>
        <v>73.182777777777787</v>
      </c>
      <c r="R6655" s="8">
        <v>12</v>
      </c>
      <c r="S6655" s="8">
        <v>13</v>
      </c>
      <c r="T6655" s="8">
        <v>1</v>
      </c>
      <c r="U6655" s="8">
        <v>13.7</v>
      </c>
      <c r="V6655" s="8">
        <v>2.6</v>
      </c>
      <c r="W6655" s="8">
        <v>2.1</v>
      </c>
      <c r="X6655" s="8">
        <v>0</v>
      </c>
      <c r="Y6655" s="8" t="s">
        <v>29544</v>
      </c>
      <c r="Z6655" s="8" t="s">
        <v>29545</v>
      </c>
    </row>
    <row r="6656" spans="1:26" x14ac:dyDescent="0.2">
      <c r="A6656" s="8">
        <v>6655</v>
      </c>
      <c r="B6656" s="8" t="s">
        <v>29546</v>
      </c>
      <c r="C6656" s="8" t="s">
        <v>29546</v>
      </c>
      <c r="F6656" s="47"/>
      <c r="G6656" s="8">
        <v>17</v>
      </c>
      <c r="H6656" s="8" t="s">
        <v>21</v>
      </c>
      <c r="I6656" s="8" t="s">
        <v>72</v>
      </c>
      <c r="J6656" s="8" t="s">
        <v>72</v>
      </c>
      <c r="K6656" s="8" t="s">
        <v>73</v>
      </c>
      <c r="L6656" s="8" t="s">
        <v>29416</v>
      </c>
      <c r="M6656" s="8" t="s">
        <v>29417</v>
      </c>
      <c r="N6656" s="8" t="s">
        <v>29547</v>
      </c>
      <c r="O6656" s="8">
        <f>18+34/60+30.8/3600</f>
        <v>18.575222222222223</v>
      </c>
      <c r="P6656" s="8" t="s">
        <v>29548</v>
      </c>
      <c r="Q6656" s="8">
        <f>-(5+55/60+16/3600)</f>
        <v>-5.9211111111111112</v>
      </c>
      <c r="R6656" s="8">
        <v>99</v>
      </c>
      <c r="S6656" s="8">
        <v>99</v>
      </c>
      <c r="T6656" s="8">
        <v>99</v>
      </c>
      <c r="U6656" s="8">
        <v>99</v>
      </c>
      <c r="Y6656" s="8" t="s">
        <v>29549</v>
      </c>
      <c r="Z6656" s="8" t="s">
        <v>29550</v>
      </c>
    </row>
    <row r="6657" spans="1:26" x14ac:dyDescent="0.2">
      <c r="A6657" s="8">
        <v>6656</v>
      </c>
      <c r="B6657" s="8" t="s">
        <v>29551</v>
      </c>
      <c r="C6657" s="8" t="s">
        <v>55948</v>
      </c>
      <c r="F6657" s="47"/>
      <c r="G6657" s="8">
        <v>1</v>
      </c>
      <c r="H6657" s="8" t="s">
        <v>29552</v>
      </c>
      <c r="I6657" s="8" t="s">
        <v>567</v>
      </c>
      <c r="J6657" s="8" t="s">
        <v>567</v>
      </c>
      <c r="K6657" s="8" t="s">
        <v>25384</v>
      </c>
      <c r="L6657" s="8" t="s">
        <v>28576</v>
      </c>
      <c r="M6657" s="8" t="s">
        <v>28577</v>
      </c>
      <c r="N6657" s="8" t="s">
        <v>29553</v>
      </c>
      <c r="O6657" s="8">
        <f>18+36/60+24.2/3600</f>
        <v>18.606722222222224</v>
      </c>
      <c r="P6657" s="8" t="s">
        <v>29554</v>
      </c>
      <c r="Q6657" s="8">
        <f>-(23+54/60+10/3600)</f>
        <v>-23.902777777777775</v>
      </c>
      <c r="R6657" s="8">
        <v>5.2</v>
      </c>
      <c r="S6657" s="8">
        <v>99</v>
      </c>
      <c r="T6657" s="8">
        <v>99</v>
      </c>
      <c r="U6657" s="8">
        <v>99</v>
      </c>
      <c r="V6657" s="8">
        <v>32</v>
      </c>
      <c r="Y6657" s="8" t="s">
        <v>29555</v>
      </c>
      <c r="Z6657" s="8" t="s">
        <v>29556</v>
      </c>
    </row>
    <row r="6658" spans="1:26" x14ac:dyDescent="0.2">
      <c r="A6658" s="8">
        <v>6657</v>
      </c>
      <c r="B6658" s="8" t="s">
        <v>29557</v>
      </c>
      <c r="C6658" s="8" t="s">
        <v>29557</v>
      </c>
      <c r="F6658" s="47"/>
      <c r="G6658" s="8">
        <v>18</v>
      </c>
      <c r="H6658" s="8" t="s">
        <v>21</v>
      </c>
      <c r="I6658" s="8" t="s">
        <v>22</v>
      </c>
      <c r="J6658" s="8" t="s">
        <v>22</v>
      </c>
      <c r="K6658" s="8" t="s">
        <v>64</v>
      </c>
      <c r="L6658" s="8" t="s">
        <v>29334</v>
      </c>
      <c r="M6658" s="8" t="s">
        <v>29335</v>
      </c>
      <c r="N6658" s="8" t="s">
        <v>29558</v>
      </c>
      <c r="O6658" s="8">
        <f>18+33/60+1.5/3600</f>
        <v>18.550416666666667</v>
      </c>
      <c r="P6658" s="8" t="s">
        <v>29559</v>
      </c>
      <c r="Q6658" s="8">
        <f>+(34+3/60+39/3600)</f>
        <v>34.060833333333328</v>
      </c>
      <c r="R6658" s="8">
        <v>13.5</v>
      </c>
      <c r="S6658" s="8">
        <v>14.2</v>
      </c>
      <c r="T6658" s="8">
        <v>0.7</v>
      </c>
      <c r="U6658" s="8">
        <v>12.8</v>
      </c>
      <c r="V6658" s="8">
        <v>1</v>
      </c>
      <c r="W6658" s="8">
        <v>0.6</v>
      </c>
      <c r="X6658" s="8">
        <v>138</v>
      </c>
      <c r="Y6658" s="8" t="s">
        <v>29560</v>
      </c>
      <c r="Z6658" s="8" t="s">
        <v>29561</v>
      </c>
    </row>
    <row r="6659" spans="1:26" x14ac:dyDescent="0.2">
      <c r="A6659" s="8">
        <v>6658</v>
      </c>
      <c r="B6659" s="8" t="s">
        <v>29562</v>
      </c>
      <c r="C6659" s="8" t="s">
        <v>29562</v>
      </c>
      <c r="F6659" s="47"/>
      <c r="G6659" s="8">
        <v>18</v>
      </c>
      <c r="H6659" s="8" t="s">
        <v>21</v>
      </c>
      <c r="I6659" s="8" t="s">
        <v>22</v>
      </c>
      <c r="J6659" s="8" t="s">
        <v>22</v>
      </c>
      <c r="K6659" s="8" t="s">
        <v>632</v>
      </c>
      <c r="L6659" s="8" t="s">
        <v>26804</v>
      </c>
      <c r="M6659" s="8" t="s">
        <v>26805</v>
      </c>
      <c r="N6659" s="8" t="s">
        <v>29563</v>
      </c>
      <c r="O6659" s="8">
        <f>18+33/60+55.7/3600</f>
        <v>18.565472222222223</v>
      </c>
      <c r="P6659" s="8" t="s">
        <v>29564</v>
      </c>
      <c r="Q6659" s="8">
        <f>+(22+53/60+17/3600)</f>
        <v>22.888055555555557</v>
      </c>
      <c r="R6659" s="8">
        <v>12.9</v>
      </c>
      <c r="S6659" s="8">
        <v>14</v>
      </c>
      <c r="T6659" s="8">
        <v>1.1000000000000001</v>
      </c>
      <c r="U6659" s="8">
        <v>12.3</v>
      </c>
      <c r="V6659" s="8">
        <v>1.6</v>
      </c>
      <c r="W6659" s="8">
        <v>0.3</v>
      </c>
      <c r="X6659" s="8">
        <v>5</v>
      </c>
      <c r="Y6659" s="8" t="s">
        <v>25337</v>
      </c>
      <c r="Z6659" s="8" t="s">
        <v>25338</v>
      </c>
    </row>
    <row r="6660" spans="1:26" x14ac:dyDescent="0.2">
      <c r="A6660" s="8">
        <v>6659</v>
      </c>
      <c r="B6660" s="8" t="s">
        <v>29565</v>
      </c>
      <c r="C6660" s="8" t="s">
        <v>29565</v>
      </c>
      <c r="F6660" s="47"/>
      <c r="G6660" s="8">
        <v>16</v>
      </c>
      <c r="H6660" s="8" t="s">
        <v>21</v>
      </c>
      <c r="I6660" s="8" t="s">
        <v>72</v>
      </c>
      <c r="J6660" s="8" t="s">
        <v>72</v>
      </c>
      <c r="K6660" s="8" t="s">
        <v>1405</v>
      </c>
      <c r="L6660" s="8" t="s">
        <v>26804</v>
      </c>
      <c r="M6660" s="8" t="s">
        <v>26805</v>
      </c>
      <c r="N6660" s="8" t="s">
        <v>29566</v>
      </c>
      <c r="O6660" s="8">
        <f>18+34/60+0/3600</f>
        <v>18.566666666666666</v>
      </c>
      <c r="P6660" s="8" t="s">
        <v>29567</v>
      </c>
      <c r="Q6660" s="8">
        <f>+(23+35/60+42/3600)</f>
        <v>23.594999999999999</v>
      </c>
      <c r="R6660" s="8">
        <v>99</v>
      </c>
      <c r="S6660" s="8">
        <v>99</v>
      </c>
      <c r="T6660" s="8">
        <v>99</v>
      </c>
      <c r="U6660" s="8">
        <v>99</v>
      </c>
      <c r="V6660" s="8">
        <v>7</v>
      </c>
      <c r="W6660" s="8">
        <v>5</v>
      </c>
      <c r="Y6660" s="8" t="s">
        <v>10888</v>
      </c>
      <c r="Z6660" s="8" t="s">
        <v>10889</v>
      </c>
    </row>
    <row r="6661" spans="1:26" x14ac:dyDescent="0.2">
      <c r="A6661" s="8">
        <v>6660</v>
      </c>
      <c r="B6661" s="8" t="s">
        <v>29568</v>
      </c>
      <c r="C6661" s="8" t="s">
        <v>29568</v>
      </c>
      <c r="F6661" s="47"/>
      <c r="G6661" s="8">
        <v>19</v>
      </c>
      <c r="H6661" s="8" t="s">
        <v>21</v>
      </c>
      <c r="I6661" s="8" t="s">
        <v>22</v>
      </c>
      <c r="J6661" s="8" t="s">
        <v>57</v>
      </c>
      <c r="K6661" s="8" t="s">
        <v>632</v>
      </c>
      <c r="L6661" s="8" t="s">
        <v>26804</v>
      </c>
      <c r="M6661" s="8" t="s">
        <v>26805</v>
      </c>
      <c r="N6661" s="8" t="s">
        <v>29569</v>
      </c>
      <c r="O6661" s="8">
        <f>18+34/60+36.7/3600</f>
        <v>18.576861111111111</v>
      </c>
      <c r="P6661" s="8" t="s">
        <v>29570</v>
      </c>
      <c r="Q6661" s="8">
        <f>+(22+54/60+33/3600)</f>
        <v>22.909166666666664</v>
      </c>
      <c r="R6661" s="8">
        <v>12.1</v>
      </c>
      <c r="S6661" s="8">
        <v>13.1</v>
      </c>
      <c r="T6661" s="8">
        <v>1</v>
      </c>
      <c r="U6661" s="8">
        <v>12.6</v>
      </c>
      <c r="V6661" s="8">
        <v>1.8</v>
      </c>
      <c r="W6661" s="8">
        <v>1.1000000000000001</v>
      </c>
      <c r="X6661" s="8">
        <v>145</v>
      </c>
      <c r="Y6661" s="8" t="s">
        <v>29571</v>
      </c>
      <c r="Z6661" s="8" t="s">
        <v>29572</v>
      </c>
    </row>
    <row r="6662" spans="1:26" x14ac:dyDescent="0.2">
      <c r="A6662" s="8">
        <v>6661</v>
      </c>
      <c r="B6662" s="8" t="s">
        <v>29573</v>
      </c>
      <c r="C6662" s="8" t="s">
        <v>29573</v>
      </c>
      <c r="F6662" s="47"/>
      <c r="G6662" s="8">
        <v>18</v>
      </c>
      <c r="H6662" s="8" t="s">
        <v>21</v>
      </c>
      <c r="I6662" s="8" t="s">
        <v>22</v>
      </c>
      <c r="J6662" s="8" t="s">
        <v>22</v>
      </c>
      <c r="K6662" s="8" t="s">
        <v>632</v>
      </c>
      <c r="L6662" s="8" t="s">
        <v>26804</v>
      </c>
      <c r="M6662" s="8" t="s">
        <v>26805</v>
      </c>
      <c r="N6662" s="8" t="s">
        <v>29569</v>
      </c>
      <c r="O6662" s="8">
        <f>18+34/60+36.7/3600</f>
        <v>18.576861111111111</v>
      </c>
      <c r="P6662" s="8" t="s">
        <v>29570</v>
      </c>
      <c r="Q6662" s="8">
        <f>+(22+54/60+33/3600)</f>
        <v>22.909166666666664</v>
      </c>
      <c r="R6662" s="8">
        <v>12.1</v>
      </c>
      <c r="S6662" s="8">
        <v>13.1</v>
      </c>
      <c r="T6662" s="8">
        <v>1</v>
      </c>
      <c r="U6662" s="8">
        <v>12.6</v>
      </c>
      <c r="V6662" s="8">
        <v>1.8</v>
      </c>
      <c r="W6662" s="8">
        <v>1.1000000000000001</v>
      </c>
      <c r="X6662" s="8">
        <v>145</v>
      </c>
      <c r="Y6662" s="8" t="s">
        <v>29571</v>
      </c>
      <c r="Z6662" s="8" t="s">
        <v>531</v>
      </c>
    </row>
    <row r="6663" spans="1:26" x14ac:dyDescent="0.2">
      <c r="A6663" s="8">
        <v>6662</v>
      </c>
      <c r="B6663" s="8" t="s">
        <v>29574</v>
      </c>
      <c r="C6663" s="8" t="s">
        <v>29574</v>
      </c>
      <c r="F6663" s="47"/>
      <c r="G6663" s="8">
        <v>19</v>
      </c>
      <c r="H6663" s="8" t="s">
        <v>21</v>
      </c>
      <c r="I6663" s="8" t="s">
        <v>22</v>
      </c>
      <c r="J6663" s="8" t="s">
        <v>22</v>
      </c>
      <c r="K6663" s="8" t="s">
        <v>406</v>
      </c>
      <c r="L6663" s="8" t="s">
        <v>29334</v>
      </c>
      <c r="M6663" s="8" t="s">
        <v>29335</v>
      </c>
      <c r="N6663" s="8" t="s">
        <v>29575</v>
      </c>
      <c r="O6663" s="8">
        <f>18+34/60+11.2/3600</f>
        <v>18.569777777777777</v>
      </c>
      <c r="P6663" s="8" t="s">
        <v>29576</v>
      </c>
      <c r="Q6663" s="8">
        <f>+(32+3/60+53/3600)</f>
        <v>32.064722222222223</v>
      </c>
      <c r="R6663" s="8">
        <v>13.7</v>
      </c>
      <c r="S6663" s="8">
        <v>14.5</v>
      </c>
      <c r="T6663" s="8">
        <v>0.8</v>
      </c>
      <c r="U6663" s="8">
        <v>13.3</v>
      </c>
      <c r="V6663" s="8">
        <v>1.6</v>
      </c>
      <c r="W6663" s="8">
        <v>0.5</v>
      </c>
      <c r="X6663" s="8">
        <v>20</v>
      </c>
      <c r="Y6663" s="8" t="s">
        <v>29577</v>
      </c>
      <c r="Z6663" s="8" t="s">
        <v>29578</v>
      </c>
    </row>
    <row r="6664" spans="1:26" x14ac:dyDescent="0.2">
      <c r="A6664" s="8">
        <v>6663</v>
      </c>
      <c r="B6664" s="8" t="s">
        <v>29579</v>
      </c>
      <c r="C6664" s="8" t="s">
        <v>29579</v>
      </c>
      <c r="F6664" s="47"/>
      <c r="G6664" s="8">
        <v>19</v>
      </c>
      <c r="H6664" s="8" t="s">
        <v>21</v>
      </c>
      <c r="I6664" s="8" t="s">
        <v>22</v>
      </c>
      <c r="J6664" s="8" t="s">
        <v>22</v>
      </c>
      <c r="K6664" s="8" t="s">
        <v>160</v>
      </c>
      <c r="L6664" s="8" t="s">
        <v>29334</v>
      </c>
      <c r="M6664" s="8" t="s">
        <v>29335</v>
      </c>
      <c r="N6664" s="8" t="s">
        <v>29580</v>
      </c>
      <c r="O6664" s="8">
        <f>18+33/60+33.7/3600</f>
        <v>18.559361111111112</v>
      </c>
      <c r="P6664" s="8" t="s">
        <v>29581</v>
      </c>
      <c r="Q6664" s="8">
        <f>+(40+2/60+57/3600)</f>
        <v>40.049166666666665</v>
      </c>
      <c r="R6664" s="8">
        <v>13.9</v>
      </c>
      <c r="S6664" s="8">
        <v>14.6</v>
      </c>
      <c r="T6664" s="8">
        <v>0.7</v>
      </c>
      <c r="U6664" s="8">
        <v>13.6</v>
      </c>
      <c r="V6664" s="8">
        <v>1</v>
      </c>
      <c r="W6664" s="8">
        <v>0.9</v>
      </c>
      <c r="X6664" s="8">
        <v>140</v>
      </c>
      <c r="Y6664" s="8" t="s">
        <v>3161</v>
      </c>
      <c r="Z6664" s="8" t="s">
        <v>3162</v>
      </c>
    </row>
    <row r="6665" spans="1:26" x14ac:dyDescent="0.2">
      <c r="A6665" s="8">
        <v>6664</v>
      </c>
      <c r="B6665" s="8" t="s">
        <v>29582</v>
      </c>
      <c r="C6665" s="8" t="s">
        <v>29582</v>
      </c>
      <c r="F6665" s="47" t="s">
        <v>58229</v>
      </c>
      <c r="G6665" s="8">
        <v>6</v>
      </c>
      <c r="H6665" s="8" t="s">
        <v>29583</v>
      </c>
      <c r="I6665" s="8" t="s">
        <v>557</v>
      </c>
      <c r="J6665" s="8" t="s">
        <v>557</v>
      </c>
      <c r="K6665" s="8" t="s">
        <v>3217</v>
      </c>
      <c r="L6665" s="8" t="s">
        <v>29416</v>
      </c>
      <c r="M6665" s="8" t="s">
        <v>29417</v>
      </c>
      <c r="N6665" s="8" t="s">
        <v>29584</v>
      </c>
      <c r="O6665" s="8">
        <f>18+36/60+30.6/3600</f>
        <v>18.608500000000003</v>
      </c>
      <c r="P6665" s="8" t="s">
        <v>29585</v>
      </c>
      <c r="Q6665" s="8">
        <f>-(8+11/60+15/3600)</f>
        <v>-8.1875</v>
      </c>
      <c r="R6665" s="8">
        <v>7.8</v>
      </c>
      <c r="S6665" s="8">
        <v>99</v>
      </c>
      <c r="T6665" s="8">
        <v>99</v>
      </c>
      <c r="U6665" s="8">
        <v>99</v>
      </c>
      <c r="V6665" s="8">
        <v>12</v>
      </c>
      <c r="Y6665" s="8" t="s">
        <v>29586</v>
      </c>
      <c r="Z6665" s="8" t="s">
        <v>29587</v>
      </c>
    </row>
    <row r="6666" spans="1:26" x14ac:dyDescent="0.2">
      <c r="A6666" s="8">
        <v>6665</v>
      </c>
      <c r="B6666" s="8" t="s">
        <v>29588</v>
      </c>
      <c r="C6666" s="8" t="s">
        <v>29588</v>
      </c>
      <c r="F6666" s="47"/>
      <c r="G6666" s="8">
        <v>18</v>
      </c>
      <c r="H6666" s="8" t="s">
        <v>21</v>
      </c>
      <c r="I6666" s="8" t="s">
        <v>22</v>
      </c>
      <c r="J6666" s="8" t="s">
        <v>22</v>
      </c>
      <c r="K6666" s="8" t="s">
        <v>160</v>
      </c>
      <c r="L6666" s="8" t="s">
        <v>29334</v>
      </c>
      <c r="M6666" s="8" t="s">
        <v>29335</v>
      </c>
      <c r="N6666" s="8" t="s">
        <v>29589</v>
      </c>
      <c r="O6666" s="8">
        <f>18+34/60+30/3600</f>
        <v>18.574999999999999</v>
      </c>
      <c r="P6666" s="8" t="s">
        <v>29590</v>
      </c>
      <c r="Q6666" s="8">
        <f>+(30+43/60+15/3600)</f>
        <v>30.720833333333331</v>
      </c>
      <c r="R6666" s="8">
        <v>13.9</v>
      </c>
      <c r="S6666" s="8">
        <v>14.6</v>
      </c>
      <c r="T6666" s="8">
        <v>0.7</v>
      </c>
      <c r="U6666" s="8">
        <v>13.3</v>
      </c>
      <c r="V6666" s="8">
        <v>1.1000000000000001</v>
      </c>
      <c r="W6666" s="8">
        <v>0.6</v>
      </c>
      <c r="X6666" s="8">
        <v>0</v>
      </c>
      <c r="Y6666" s="8" t="s">
        <v>282</v>
      </c>
      <c r="Z6666" s="8" t="s">
        <v>283</v>
      </c>
    </row>
    <row r="6667" spans="1:26" x14ac:dyDescent="0.2">
      <c r="A6667" s="8">
        <v>6666</v>
      </c>
      <c r="B6667" s="8" t="s">
        <v>29591</v>
      </c>
      <c r="C6667" s="8" t="s">
        <v>29591</v>
      </c>
      <c r="F6667" s="47"/>
      <c r="G6667" s="8">
        <v>19</v>
      </c>
      <c r="H6667" s="8" t="s">
        <v>21</v>
      </c>
      <c r="I6667" s="8" t="s">
        <v>329</v>
      </c>
      <c r="J6667" s="8" t="s">
        <v>329</v>
      </c>
      <c r="K6667" s="8" t="s">
        <v>329</v>
      </c>
      <c r="L6667" s="8" t="s">
        <v>29334</v>
      </c>
      <c r="M6667" s="8" t="s">
        <v>29335</v>
      </c>
      <c r="N6667" s="8" t="s">
        <v>29592</v>
      </c>
      <c r="O6667" s="8">
        <f>18+34/60+44/3600</f>
        <v>18.578888888888887</v>
      </c>
      <c r="P6667" s="8" t="s">
        <v>29593</v>
      </c>
      <c r="Q6667" s="8">
        <f>+(33+35/60+18/3600)</f>
        <v>33.588333333333338</v>
      </c>
      <c r="R6667" s="8">
        <v>99</v>
      </c>
      <c r="S6667" s="8">
        <v>99</v>
      </c>
      <c r="T6667" s="8">
        <v>99</v>
      </c>
      <c r="U6667" s="8">
        <v>99</v>
      </c>
      <c r="Y6667" s="8" t="s">
        <v>29594</v>
      </c>
      <c r="Z6667" s="8" t="s">
        <v>29595</v>
      </c>
    </row>
    <row r="6668" spans="1:26" x14ac:dyDescent="0.2">
      <c r="A6668" s="8">
        <v>6667</v>
      </c>
      <c r="B6668" s="8" t="s">
        <v>29596</v>
      </c>
      <c r="C6668" s="8" t="s">
        <v>29596</v>
      </c>
      <c r="F6668" s="47"/>
      <c r="G6668" s="8">
        <v>19</v>
      </c>
      <c r="H6668" s="8" t="s">
        <v>21</v>
      </c>
      <c r="I6668" s="8" t="s">
        <v>22</v>
      </c>
      <c r="J6668" s="8" t="s">
        <v>22</v>
      </c>
      <c r="K6668" s="8" t="s">
        <v>4023</v>
      </c>
      <c r="L6668" s="8" t="s">
        <v>13395</v>
      </c>
      <c r="M6668" s="8" t="s">
        <v>13396</v>
      </c>
      <c r="N6668" s="8" t="s">
        <v>29597</v>
      </c>
      <c r="O6668" s="8">
        <f>18+30/60+39.7/3600</f>
        <v>18.511027777777777</v>
      </c>
      <c r="P6668" s="8" t="s">
        <v>29598</v>
      </c>
      <c r="Q6668" s="8">
        <f>+(67+59/60+12/3600)</f>
        <v>67.986666666666665</v>
      </c>
      <c r="R6668" s="8">
        <v>12.7</v>
      </c>
      <c r="S6668" s="8">
        <v>13.5</v>
      </c>
      <c r="T6668" s="8">
        <v>0.8</v>
      </c>
      <c r="U6668" s="8">
        <v>13.5</v>
      </c>
      <c r="V6668" s="8">
        <v>2.4</v>
      </c>
      <c r="W6668" s="8">
        <v>1.1000000000000001</v>
      </c>
      <c r="X6668" s="8">
        <v>105</v>
      </c>
      <c r="Y6668" s="8" t="s">
        <v>29599</v>
      </c>
      <c r="Z6668" s="8" t="s">
        <v>29600</v>
      </c>
    </row>
    <row r="6669" spans="1:26" x14ac:dyDescent="0.2">
      <c r="A6669" s="8">
        <v>6668</v>
      </c>
      <c r="B6669" s="8" t="s">
        <v>29601</v>
      </c>
      <c r="C6669" s="8" t="s">
        <v>29601</v>
      </c>
      <c r="F6669" s="47"/>
      <c r="G6669" s="8">
        <v>19</v>
      </c>
      <c r="H6669" s="8" t="s">
        <v>21</v>
      </c>
      <c r="I6669" s="8" t="s">
        <v>22</v>
      </c>
      <c r="J6669" s="8" t="s">
        <v>57</v>
      </c>
      <c r="K6669" s="8" t="s">
        <v>4023</v>
      </c>
      <c r="L6669" s="8" t="s">
        <v>13395</v>
      </c>
      <c r="M6669" s="8" t="s">
        <v>13396</v>
      </c>
      <c r="N6669" s="8" t="s">
        <v>29597</v>
      </c>
      <c r="O6669" s="8">
        <f>18+30/60+39.7/3600</f>
        <v>18.511027777777777</v>
      </c>
      <c r="P6669" s="8" t="s">
        <v>29598</v>
      </c>
      <c r="Q6669" s="8">
        <f>+(67+59/60+12/3600)</f>
        <v>67.986666666666665</v>
      </c>
      <c r="R6669" s="8">
        <v>12.7</v>
      </c>
      <c r="S6669" s="8">
        <v>13.5</v>
      </c>
      <c r="T6669" s="8">
        <v>0.8</v>
      </c>
      <c r="U6669" s="8">
        <v>13.5</v>
      </c>
      <c r="V6669" s="8">
        <v>2.4</v>
      </c>
      <c r="W6669" s="8">
        <v>1.1000000000000001</v>
      </c>
      <c r="X6669" s="8">
        <v>105</v>
      </c>
      <c r="Y6669" s="8" t="s">
        <v>29599</v>
      </c>
      <c r="Z6669" s="8" t="s">
        <v>29602</v>
      </c>
    </row>
    <row r="6670" spans="1:26" x14ac:dyDescent="0.2">
      <c r="A6670" s="8">
        <v>6669</v>
      </c>
      <c r="B6670" s="8" t="s">
        <v>29603</v>
      </c>
      <c r="C6670" s="8" t="s">
        <v>29603</v>
      </c>
      <c r="F6670" s="47"/>
      <c r="G6670" s="8">
        <v>18</v>
      </c>
      <c r="H6670" s="8" t="s">
        <v>21</v>
      </c>
      <c r="I6670" s="8" t="s">
        <v>72</v>
      </c>
      <c r="J6670" s="8" t="s">
        <v>72</v>
      </c>
      <c r="K6670" s="8" t="s">
        <v>1405</v>
      </c>
      <c r="L6670" s="8" t="s">
        <v>26804</v>
      </c>
      <c r="M6670" s="8" t="s">
        <v>26805</v>
      </c>
      <c r="N6670" s="8" t="s">
        <v>29604</v>
      </c>
      <c r="O6670" s="8">
        <f>18+37/60+15/3600</f>
        <v>18.620833333333334</v>
      </c>
      <c r="P6670" s="8" t="s">
        <v>29605</v>
      </c>
      <c r="Q6670" s="8">
        <f>+(22+11/60+47/3600)</f>
        <v>22.19638888888889</v>
      </c>
      <c r="R6670" s="8">
        <v>99</v>
      </c>
      <c r="S6670" s="8">
        <v>99</v>
      </c>
      <c r="T6670" s="8">
        <v>99</v>
      </c>
      <c r="U6670" s="8">
        <v>99</v>
      </c>
      <c r="Y6670" s="8" t="s">
        <v>3505</v>
      </c>
      <c r="Z6670" s="8" t="s">
        <v>3506</v>
      </c>
    </row>
    <row r="6671" spans="1:26" x14ac:dyDescent="0.2">
      <c r="A6671" s="8">
        <v>6670</v>
      </c>
      <c r="B6671" s="8" t="s">
        <v>29606</v>
      </c>
      <c r="C6671" s="8" t="s">
        <v>29606</v>
      </c>
      <c r="F6671" s="47"/>
      <c r="G6671" s="8">
        <v>19</v>
      </c>
      <c r="H6671" s="8" t="s">
        <v>21</v>
      </c>
      <c r="I6671" s="8" t="s">
        <v>22</v>
      </c>
      <c r="J6671" s="8" t="s">
        <v>22</v>
      </c>
      <c r="K6671" s="8" t="s">
        <v>449</v>
      </c>
      <c r="L6671" s="8" t="s">
        <v>13395</v>
      </c>
      <c r="M6671" s="8" t="s">
        <v>13396</v>
      </c>
      <c r="N6671" s="8" t="s">
        <v>29607</v>
      </c>
      <c r="O6671" s="8">
        <f>18+33/60+33.4/3600</f>
        <v>18.55927777777778</v>
      </c>
      <c r="P6671" s="8" t="s">
        <v>29608</v>
      </c>
      <c r="Q6671" s="8">
        <f>+(59+53/60+16/3600)</f>
        <v>59.887777777777778</v>
      </c>
      <c r="R6671" s="8">
        <v>14.3</v>
      </c>
      <c r="S6671" s="8">
        <v>15.1</v>
      </c>
      <c r="T6671" s="8">
        <v>0.8</v>
      </c>
      <c r="U6671" s="8">
        <v>13.7</v>
      </c>
      <c r="V6671" s="8">
        <v>1.1000000000000001</v>
      </c>
      <c r="W6671" s="8">
        <v>0.6</v>
      </c>
      <c r="X6671" s="8">
        <v>90</v>
      </c>
      <c r="Y6671" s="8" t="s">
        <v>29609</v>
      </c>
      <c r="Z6671" s="8" t="s">
        <v>29610</v>
      </c>
    </row>
    <row r="6672" spans="1:26" x14ac:dyDescent="0.2">
      <c r="A6672" s="8">
        <v>6671</v>
      </c>
      <c r="B6672" s="8" t="s">
        <v>29611</v>
      </c>
      <c r="C6672" s="8" t="s">
        <v>29611</v>
      </c>
      <c r="F6672" s="47"/>
      <c r="G6672" s="8">
        <v>18</v>
      </c>
      <c r="H6672" s="8" t="s">
        <v>21</v>
      </c>
      <c r="I6672" s="8" t="s">
        <v>22</v>
      </c>
      <c r="J6672" s="8" t="s">
        <v>22</v>
      </c>
      <c r="K6672" s="8" t="s">
        <v>449</v>
      </c>
      <c r="L6672" s="8" t="s">
        <v>29334</v>
      </c>
      <c r="M6672" s="8" t="s">
        <v>29335</v>
      </c>
      <c r="N6672" s="8" t="s">
        <v>29612</v>
      </c>
      <c r="O6672" s="8">
        <f>18+37/60+26.2/3600</f>
        <v>18.623944444444444</v>
      </c>
      <c r="P6672" s="8" t="s">
        <v>29613</v>
      </c>
      <c r="Q6672" s="8">
        <f>+(26+25/60+3/3600)</f>
        <v>26.4175</v>
      </c>
      <c r="R6672" s="8">
        <v>12.8</v>
      </c>
      <c r="S6672" s="8">
        <v>13.7</v>
      </c>
      <c r="T6672" s="8">
        <v>0.9</v>
      </c>
      <c r="U6672" s="8">
        <v>13.4</v>
      </c>
      <c r="V6672" s="8">
        <v>1.5</v>
      </c>
      <c r="W6672" s="8">
        <v>1.3</v>
      </c>
      <c r="X6672" s="8">
        <v>27</v>
      </c>
      <c r="Y6672" s="8" t="s">
        <v>11711</v>
      </c>
      <c r="Z6672" s="8" t="s">
        <v>11712</v>
      </c>
    </row>
    <row r="6673" spans="1:26" x14ac:dyDescent="0.2">
      <c r="A6673" s="8">
        <v>6672</v>
      </c>
      <c r="B6673" s="8" t="s">
        <v>29614</v>
      </c>
      <c r="C6673" s="8" t="s">
        <v>29614</v>
      </c>
      <c r="F6673" s="47"/>
      <c r="G6673" s="8">
        <v>19</v>
      </c>
      <c r="H6673" s="8" t="s">
        <v>21</v>
      </c>
      <c r="I6673" s="8" t="s">
        <v>72</v>
      </c>
      <c r="J6673" s="8" t="s">
        <v>72</v>
      </c>
      <c r="K6673" s="8" t="s">
        <v>73</v>
      </c>
      <c r="L6673" s="8" t="s">
        <v>29334</v>
      </c>
      <c r="M6673" s="8" t="s">
        <v>29335</v>
      </c>
      <c r="N6673" s="8" t="s">
        <v>29615</v>
      </c>
      <c r="O6673" s="8">
        <f>18+36/60+14.5/3600</f>
        <v>18.60402777777778</v>
      </c>
      <c r="P6673" s="8" t="s">
        <v>29616</v>
      </c>
      <c r="Q6673" s="8">
        <f>+(42+56/60+49/3600)</f>
        <v>42.946944444444441</v>
      </c>
      <c r="R6673" s="8">
        <v>99</v>
      </c>
      <c r="S6673" s="8">
        <v>99</v>
      </c>
      <c r="T6673" s="8">
        <v>99</v>
      </c>
      <c r="U6673" s="8">
        <v>99</v>
      </c>
      <c r="Y6673" s="8" t="s">
        <v>29617</v>
      </c>
      <c r="Z6673" s="8" t="s">
        <v>29618</v>
      </c>
    </row>
    <row r="6674" spans="1:26" x14ac:dyDescent="0.2">
      <c r="A6674" s="8">
        <v>6673</v>
      </c>
      <c r="B6674" s="8" t="s">
        <v>29619</v>
      </c>
      <c r="C6674" s="8" t="s">
        <v>29619</v>
      </c>
      <c r="F6674" s="47"/>
      <c r="G6674" s="8">
        <v>16</v>
      </c>
      <c r="H6674" s="8" t="s">
        <v>21</v>
      </c>
      <c r="I6674" s="8" t="s">
        <v>22</v>
      </c>
      <c r="J6674" s="8" t="s">
        <v>22</v>
      </c>
      <c r="K6674" s="8" t="s">
        <v>58</v>
      </c>
      <c r="L6674" s="8" t="s">
        <v>28435</v>
      </c>
      <c r="M6674" s="8" t="s">
        <v>28436</v>
      </c>
      <c r="N6674" s="8" t="s">
        <v>29620</v>
      </c>
      <c r="O6674" s="8">
        <f>18+45/60+6.3/3600</f>
        <v>18.751750000000001</v>
      </c>
      <c r="P6674" s="8" t="s">
        <v>29621</v>
      </c>
      <c r="Q6674" s="8">
        <f>-(62+17/60+49/3600)</f>
        <v>-62.296944444444442</v>
      </c>
      <c r="R6674" s="8">
        <v>11.6</v>
      </c>
      <c r="S6674" s="8">
        <v>12.6</v>
      </c>
      <c r="T6674" s="8">
        <v>1</v>
      </c>
      <c r="U6674" s="8">
        <v>12.4</v>
      </c>
      <c r="V6674" s="8">
        <v>2.2000000000000002</v>
      </c>
      <c r="W6674" s="8">
        <v>1</v>
      </c>
      <c r="X6674" s="8">
        <v>26</v>
      </c>
      <c r="Y6674" s="8" t="s">
        <v>29622</v>
      </c>
      <c r="Z6674" s="8" t="s">
        <v>29623</v>
      </c>
    </row>
    <row r="6675" spans="1:26" x14ac:dyDescent="0.2">
      <c r="A6675" s="8">
        <v>6674</v>
      </c>
      <c r="B6675" s="8" t="s">
        <v>29624</v>
      </c>
      <c r="C6675" s="8" t="s">
        <v>29624</v>
      </c>
      <c r="F6675" s="47"/>
      <c r="G6675" s="8">
        <v>18</v>
      </c>
      <c r="H6675" s="8" t="s">
        <v>21</v>
      </c>
      <c r="I6675" s="8" t="s">
        <v>22</v>
      </c>
      <c r="J6675" s="8" t="s">
        <v>22</v>
      </c>
      <c r="K6675" s="8" t="s">
        <v>218</v>
      </c>
      <c r="L6675" s="8" t="s">
        <v>26804</v>
      </c>
      <c r="M6675" s="8" t="s">
        <v>26805</v>
      </c>
      <c r="N6675" s="8" t="s">
        <v>29625</v>
      </c>
      <c r="O6675" s="8">
        <f>18+38/60+33.9/3600</f>
        <v>18.642749999999999</v>
      </c>
      <c r="P6675" s="8" t="s">
        <v>29626</v>
      </c>
      <c r="Q6675" s="8">
        <f>+(25+22/60+28/3600)</f>
        <v>25.374444444444446</v>
      </c>
      <c r="R6675" s="8">
        <v>12.2</v>
      </c>
      <c r="S6675" s="8">
        <v>13</v>
      </c>
      <c r="T6675" s="8">
        <v>0.8</v>
      </c>
      <c r="U6675" s="8">
        <v>14.4</v>
      </c>
      <c r="V6675" s="8">
        <v>4.2</v>
      </c>
      <c r="W6675" s="8">
        <v>2.1</v>
      </c>
      <c r="X6675" s="8">
        <v>143</v>
      </c>
      <c r="Y6675" s="8" t="s">
        <v>9930</v>
      </c>
      <c r="Z6675" s="8" t="s">
        <v>9931</v>
      </c>
    </row>
    <row r="6676" spans="1:26" x14ac:dyDescent="0.2">
      <c r="A6676" s="8">
        <v>6675</v>
      </c>
      <c r="B6676" s="8" t="s">
        <v>29627</v>
      </c>
      <c r="C6676" s="8" t="s">
        <v>29627</v>
      </c>
      <c r="F6676" s="47"/>
      <c r="G6676" s="8">
        <v>18</v>
      </c>
      <c r="H6676" s="8" t="s">
        <v>21</v>
      </c>
      <c r="I6676" s="8" t="s">
        <v>22</v>
      </c>
      <c r="J6676" s="8" t="s">
        <v>22</v>
      </c>
      <c r="K6676" s="8" t="s">
        <v>396</v>
      </c>
      <c r="L6676" s="8" t="s">
        <v>29334</v>
      </c>
      <c r="M6676" s="8" t="s">
        <v>29335</v>
      </c>
      <c r="N6676" s="8" t="s">
        <v>29612</v>
      </c>
      <c r="O6676" s="8">
        <f>18+37/60+26.2/3600</f>
        <v>18.623944444444444</v>
      </c>
      <c r="P6676" s="8" t="s">
        <v>29628</v>
      </c>
      <c r="Q6676" s="8">
        <f>+(40+3/60+28/3600)</f>
        <v>40.057777777777773</v>
      </c>
      <c r="R6676" s="8">
        <v>12.5</v>
      </c>
      <c r="S6676" s="8">
        <v>13.3</v>
      </c>
      <c r="T6676" s="8">
        <v>0.8</v>
      </c>
      <c r="U6676" s="8">
        <v>13.3</v>
      </c>
      <c r="V6676" s="8">
        <v>1.8</v>
      </c>
      <c r="W6676" s="8">
        <v>1.3</v>
      </c>
      <c r="X6676" s="8">
        <v>130</v>
      </c>
      <c r="Y6676" s="8" t="s">
        <v>29629</v>
      </c>
      <c r="Z6676" s="8" t="s">
        <v>29630</v>
      </c>
    </row>
    <row r="6677" spans="1:26" x14ac:dyDescent="0.2">
      <c r="A6677" s="8">
        <v>6676</v>
      </c>
      <c r="B6677" s="8" t="s">
        <v>29631</v>
      </c>
      <c r="C6677" s="8" t="s">
        <v>29631</v>
      </c>
      <c r="F6677" s="47"/>
      <c r="G6677" s="8">
        <v>19</v>
      </c>
      <c r="H6677" s="8" t="s">
        <v>21</v>
      </c>
      <c r="I6677" s="8" t="s">
        <v>22</v>
      </c>
      <c r="J6677" s="8" t="s">
        <v>22</v>
      </c>
      <c r="K6677" s="8" t="s">
        <v>396</v>
      </c>
      <c r="L6677" s="8" t="s">
        <v>13395</v>
      </c>
      <c r="M6677" s="8" t="s">
        <v>13396</v>
      </c>
      <c r="N6677" s="8" t="s">
        <v>29632</v>
      </c>
      <c r="O6677" s="8">
        <f>18+33/60+9.6/3600</f>
        <v>18.552666666666667</v>
      </c>
      <c r="P6677" s="8" t="s">
        <v>29633</v>
      </c>
      <c r="Q6677" s="8">
        <f>+(66+57/60+36/3600)</f>
        <v>66.960000000000008</v>
      </c>
      <c r="R6677" s="8">
        <v>14.4</v>
      </c>
      <c r="S6677" s="8">
        <v>15.2</v>
      </c>
      <c r="T6677" s="8">
        <v>0.8</v>
      </c>
      <c r="U6677" s="8">
        <v>13.5</v>
      </c>
      <c r="V6677" s="8">
        <v>1.6</v>
      </c>
      <c r="W6677" s="8">
        <v>0.3</v>
      </c>
      <c r="X6677" s="8">
        <v>142</v>
      </c>
      <c r="Y6677" s="8" t="s">
        <v>29634</v>
      </c>
      <c r="Z6677" s="8" t="s">
        <v>29635</v>
      </c>
    </row>
    <row r="6678" spans="1:26" x14ac:dyDescent="0.2">
      <c r="A6678" s="8">
        <v>6677</v>
      </c>
      <c r="B6678" s="8" t="s">
        <v>29636</v>
      </c>
      <c r="C6678" s="8" t="s">
        <v>29636</v>
      </c>
      <c r="F6678" s="47"/>
      <c r="G6678" s="8">
        <v>19</v>
      </c>
      <c r="H6678" s="8" t="s">
        <v>21</v>
      </c>
      <c r="I6678" s="8" t="s">
        <v>22</v>
      </c>
      <c r="J6678" s="8" t="s">
        <v>22</v>
      </c>
      <c r="K6678" s="8" t="s">
        <v>424</v>
      </c>
      <c r="L6678" s="8" t="s">
        <v>13395</v>
      </c>
      <c r="M6678" s="8" t="s">
        <v>13396</v>
      </c>
      <c r="N6678" s="8" t="s">
        <v>29637</v>
      </c>
      <c r="O6678" s="8">
        <f>18+33/60+30.4/3600</f>
        <v>18.558444444444444</v>
      </c>
      <c r="P6678" s="8" t="s">
        <v>29638</v>
      </c>
      <c r="Q6678" s="8">
        <f>+(67+8/60+13/3600)</f>
        <v>67.136944444444453</v>
      </c>
      <c r="R6678" s="8">
        <v>13.1</v>
      </c>
      <c r="S6678" s="8">
        <v>14.1</v>
      </c>
      <c r="T6678" s="8">
        <v>1</v>
      </c>
      <c r="U6678" s="8">
        <v>10.6</v>
      </c>
      <c r="V6678" s="8">
        <v>0.4</v>
      </c>
      <c r="W6678" s="8">
        <v>0.3</v>
      </c>
      <c r="X6678" s="8">
        <v>90</v>
      </c>
      <c r="Y6678" s="8" t="s">
        <v>29639</v>
      </c>
      <c r="Z6678" s="8" t="s">
        <v>29640</v>
      </c>
    </row>
    <row r="6679" spans="1:26" x14ac:dyDescent="0.2">
      <c r="A6679" s="8">
        <v>6678</v>
      </c>
      <c r="B6679" s="8" t="s">
        <v>29641</v>
      </c>
      <c r="C6679" s="8" t="s">
        <v>29641</v>
      </c>
      <c r="F6679" s="47"/>
      <c r="G6679" s="8">
        <v>19</v>
      </c>
      <c r="H6679" s="8" t="s">
        <v>21</v>
      </c>
      <c r="I6679" s="8" t="s">
        <v>22</v>
      </c>
      <c r="J6679" s="8" t="s">
        <v>57</v>
      </c>
      <c r="K6679" s="8" t="s">
        <v>4023</v>
      </c>
      <c r="L6679" s="8" t="s">
        <v>13395</v>
      </c>
      <c r="M6679" s="8" t="s">
        <v>13396</v>
      </c>
      <c r="N6679" s="8" t="s">
        <v>29597</v>
      </c>
      <c r="O6679" s="8">
        <f>18+30/60+39.7/3600</f>
        <v>18.511027777777777</v>
      </c>
      <c r="P6679" s="8" t="s">
        <v>29598</v>
      </c>
      <c r="Q6679" s="8">
        <f>+(67+59/60+12/3600)</f>
        <v>67.986666666666665</v>
      </c>
      <c r="R6679" s="8">
        <v>12.7</v>
      </c>
      <c r="S6679" s="8">
        <v>13.5</v>
      </c>
      <c r="T6679" s="8">
        <v>0.8</v>
      </c>
      <c r="U6679" s="8">
        <v>13.5</v>
      </c>
      <c r="V6679" s="8">
        <v>2.4</v>
      </c>
      <c r="W6679" s="8">
        <v>1.1000000000000001</v>
      </c>
      <c r="X6679" s="8">
        <v>105</v>
      </c>
      <c r="Y6679" s="8" t="s">
        <v>29599</v>
      </c>
      <c r="Z6679" s="8" t="s">
        <v>804</v>
      </c>
    </row>
    <row r="6680" spans="1:26" x14ac:dyDescent="0.2">
      <c r="A6680" s="8">
        <v>6679</v>
      </c>
      <c r="B6680" s="8" t="s">
        <v>29642</v>
      </c>
      <c r="C6680" s="8" t="s">
        <v>29642</v>
      </c>
      <c r="F6680" s="47"/>
      <c r="G6680" s="8">
        <v>19</v>
      </c>
      <c r="H6680" s="8" t="s">
        <v>21</v>
      </c>
      <c r="I6680" s="8" t="s">
        <v>22</v>
      </c>
      <c r="J6680" s="8" t="s">
        <v>22</v>
      </c>
      <c r="K6680" s="8" t="s">
        <v>396</v>
      </c>
      <c r="L6680" s="8" t="s">
        <v>13395</v>
      </c>
      <c r="M6680" s="8" t="s">
        <v>13396</v>
      </c>
      <c r="N6680" s="8" t="s">
        <v>29643</v>
      </c>
      <c r="O6680" s="8">
        <f>18+33/60+35.7/3600</f>
        <v>18.559916666666666</v>
      </c>
      <c r="P6680" s="8" t="s">
        <v>29644</v>
      </c>
      <c r="Q6680" s="8">
        <f>+(67+6/60+36/3600)</f>
        <v>67.11</v>
      </c>
      <c r="R6680" s="8">
        <v>13.3</v>
      </c>
      <c r="S6680" s="8">
        <v>14.1</v>
      </c>
      <c r="T6680" s="8">
        <v>0.8</v>
      </c>
      <c r="U6680" s="8">
        <v>12</v>
      </c>
      <c r="V6680" s="8">
        <v>0.9</v>
      </c>
      <c r="W6680" s="8">
        <v>0.4</v>
      </c>
      <c r="X6680" s="8">
        <v>95</v>
      </c>
      <c r="Y6680" s="8" t="s">
        <v>29639</v>
      </c>
      <c r="Z6680" s="8" t="s">
        <v>29645</v>
      </c>
    </row>
    <row r="6681" spans="1:26" x14ac:dyDescent="0.2">
      <c r="A6681" s="8">
        <v>6680</v>
      </c>
      <c r="B6681" s="8" t="s">
        <v>29646</v>
      </c>
      <c r="C6681" s="8" t="s">
        <v>29646</v>
      </c>
      <c r="F6681" s="47"/>
      <c r="G6681" s="8">
        <v>18</v>
      </c>
      <c r="H6681" s="8" t="s">
        <v>21</v>
      </c>
      <c r="I6681" s="8" t="s">
        <v>22</v>
      </c>
      <c r="J6681" s="8" t="s">
        <v>22</v>
      </c>
      <c r="K6681" s="8" t="s">
        <v>449</v>
      </c>
      <c r="L6681" s="8" t="s">
        <v>26804</v>
      </c>
      <c r="M6681" s="8" t="s">
        <v>26805</v>
      </c>
      <c r="N6681" s="8" t="s">
        <v>29647</v>
      </c>
      <c r="O6681" s="8">
        <f>18+39/60+44/3600</f>
        <v>18.662222222222219</v>
      </c>
      <c r="P6681" s="8" t="s">
        <v>29648</v>
      </c>
      <c r="Q6681" s="8">
        <f>+(22+18/60+59/3600)</f>
        <v>22.316388888888891</v>
      </c>
      <c r="R6681" s="8">
        <v>14.6</v>
      </c>
      <c r="S6681" s="8">
        <v>15.4</v>
      </c>
      <c r="T6681" s="8">
        <v>0.8</v>
      </c>
      <c r="U6681" s="8">
        <v>13.3</v>
      </c>
      <c r="V6681" s="8">
        <v>0.7</v>
      </c>
      <c r="W6681" s="8">
        <v>0.5</v>
      </c>
      <c r="X6681" s="8">
        <v>45</v>
      </c>
      <c r="Y6681" s="8" t="s">
        <v>29649</v>
      </c>
      <c r="Z6681" s="8" t="s">
        <v>29650</v>
      </c>
    </row>
    <row r="6682" spans="1:26" x14ac:dyDescent="0.2">
      <c r="A6682" s="8">
        <v>6681</v>
      </c>
      <c r="B6682" s="8" t="s">
        <v>29651</v>
      </c>
      <c r="C6682" s="8" t="s">
        <v>55949</v>
      </c>
      <c r="F6682" s="47"/>
      <c r="G6682" s="8">
        <v>1</v>
      </c>
      <c r="H6682" s="8" t="s">
        <v>21</v>
      </c>
      <c r="I6682" s="8" t="s">
        <v>567</v>
      </c>
      <c r="J6682" s="8" t="s">
        <v>567</v>
      </c>
      <c r="K6682" s="8" t="s">
        <v>8821</v>
      </c>
      <c r="L6682" s="8" t="s">
        <v>28576</v>
      </c>
      <c r="M6682" s="8" t="s">
        <v>28577</v>
      </c>
      <c r="N6682" s="8" t="s">
        <v>29652</v>
      </c>
      <c r="O6682" s="8">
        <f>18+43/60+12.7/3600</f>
        <v>18.720194444444441</v>
      </c>
      <c r="P6682" s="8" t="s">
        <v>29653</v>
      </c>
      <c r="Q6682" s="8">
        <f>-(32+17/60+29/3600)</f>
        <v>-32.291388888888889</v>
      </c>
      <c r="R6682" s="8">
        <v>7.8</v>
      </c>
      <c r="S6682" s="8">
        <v>99</v>
      </c>
      <c r="T6682" s="8">
        <v>99</v>
      </c>
      <c r="U6682" s="8">
        <v>99</v>
      </c>
      <c r="V6682" s="8">
        <v>8</v>
      </c>
      <c r="Y6682" s="8" t="s">
        <v>29654</v>
      </c>
      <c r="Z6682" s="8" t="s">
        <v>29655</v>
      </c>
    </row>
    <row r="6683" spans="1:26" x14ac:dyDescent="0.2">
      <c r="A6683" s="8">
        <v>6682</v>
      </c>
      <c r="B6683" s="8" t="s">
        <v>29656</v>
      </c>
      <c r="C6683" s="8" t="s">
        <v>29656</v>
      </c>
      <c r="F6683" s="47"/>
      <c r="G6683" s="8">
        <v>13</v>
      </c>
      <c r="H6683" s="8" t="s">
        <v>21</v>
      </c>
      <c r="I6683" s="8" t="s">
        <v>72</v>
      </c>
      <c r="J6683" s="8" t="s">
        <v>72</v>
      </c>
      <c r="K6683" s="8" t="s">
        <v>10045</v>
      </c>
      <c r="L6683" s="8" t="s">
        <v>29416</v>
      </c>
      <c r="M6683" s="8" t="s">
        <v>29417</v>
      </c>
      <c r="N6683" s="8" t="s">
        <v>29657</v>
      </c>
      <c r="O6683" s="8">
        <f>18+39/60+37/3600</f>
        <v>18.660277777777775</v>
      </c>
      <c r="P6683" s="8" t="s">
        <v>29658</v>
      </c>
      <c r="Q6683" s="8">
        <f>-(4+48/60+48/3600)</f>
        <v>-4.8133333333333335</v>
      </c>
      <c r="R6683" s="8">
        <v>99</v>
      </c>
      <c r="S6683" s="8">
        <v>99</v>
      </c>
      <c r="T6683" s="8">
        <v>99</v>
      </c>
      <c r="U6683" s="8">
        <v>99</v>
      </c>
      <c r="V6683" s="8">
        <v>47</v>
      </c>
      <c r="Y6683" s="8" t="s">
        <v>29659</v>
      </c>
      <c r="Z6683" s="8" t="s">
        <v>29660</v>
      </c>
    </row>
    <row r="6684" spans="1:26" x14ac:dyDescent="0.2">
      <c r="A6684" s="8">
        <v>6683</v>
      </c>
      <c r="B6684" s="8" t="s">
        <v>29661</v>
      </c>
      <c r="C6684" s="8" t="s">
        <v>29661</v>
      </c>
      <c r="F6684" s="47"/>
      <c r="G6684" s="8">
        <v>13</v>
      </c>
      <c r="H6684" s="8" t="s">
        <v>21</v>
      </c>
      <c r="I6684" s="8" t="s">
        <v>557</v>
      </c>
      <c r="J6684" s="8" t="s">
        <v>557</v>
      </c>
      <c r="K6684" s="8" t="s">
        <v>7705</v>
      </c>
      <c r="L6684" s="8" t="s">
        <v>29416</v>
      </c>
      <c r="M6684" s="8" t="s">
        <v>29417</v>
      </c>
      <c r="N6684" s="8" t="s">
        <v>29662</v>
      </c>
      <c r="O6684" s="8">
        <f>18+42/60+12.7/3600</f>
        <v>18.703527777777776</v>
      </c>
      <c r="P6684" s="8" t="s">
        <v>29663</v>
      </c>
      <c r="Q6684" s="8">
        <f>-(6+12/60+45/3600)</f>
        <v>-6.2125000000000004</v>
      </c>
      <c r="R6684" s="8">
        <v>9.4</v>
      </c>
      <c r="S6684" s="8">
        <v>99</v>
      </c>
      <c r="T6684" s="8">
        <v>99</v>
      </c>
      <c r="U6684" s="8">
        <v>99</v>
      </c>
      <c r="V6684" s="8">
        <v>3</v>
      </c>
      <c r="Y6684" s="8" t="s">
        <v>29664</v>
      </c>
      <c r="Z6684" s="8" t="s">
        <v>29665</v>
      </c>
    </row>
    <row r="6685" spans="1:26" x14ac:dyDescent="0.2">
      <c r="A6685" s="8">
        <v>6684</v>
      </c>
      <c r="B6685" s="8" t="s">
        <v>29666</v>
      </c>
      <c r="C6685" s="8" t="s">
        <v>29666</v>
      </c>
      <c r="F6685" s="47"/>
      <c r="G6685" s="8">
        <v>13</v>
      </c>
      <c r="H6685" s="8" t="s">
        <v>21</v>
      </c>
      <c r="I6685" s="8" t="s">
        <v>22</v>
      </c>
      <c r="J6685" s="8" t="s">
        <v>22</v>
      </c>
      <c r="K6685" s="8" t="s">
        <v>224</v>
      </c>
      <c r="L6685" s="8" t="s">
        <v>28435</v>
      </c>
      <c r="M6685" s="8" t="s">
        <v>28436</v>
      </c>
      <c r="N6685" s="8" t="s">
        <v>29667</v>
      </c>
      <c r="O6685" s="8">
        <f>18+48/60+57.4/3600</f>
        <v>18.815944444444444</v>
      </c>
      <c r="P6685" s="8" t="s">
        <v>29668</v>
      </c>
      <c r="Q6685" s="8">
        <f>-(65+10/60+22/3600)</f>
        <v>-65.172777777777782</v>
      </c>
      <c r="R6685" s="8">
        <v>10.4</v>
      </c>
      <c r="S6685" s="8">
        <v>11.3</v>
      </c>
      <c r="T6685" s="8">
        <v>0.9</v>
      </c>
      <c r="U6685" s="8">
        <v>12.8</v>
      </c>
      <c r="V6685" s="8">
        <v>4.5999999999999996</v>
      </c>
      <c r="W6685" s="8">
        <v>2.9</v>
      </c>
      <c r="X6685" s="8">
        <v>35</v>
      </c>
      <c r="Y6685" s="8" t="s">
        <v>29669</v>
      </c>
      <c r="Z6685" s="8" t="s">
        <v>29670</v>
      </c>
    </row>
    <row r="6686" spans="1:26" x14ac:dyDescent="0.2">
      <c r="A6686" s="8">
        <v>6685</v>
      </c>
      <c r="B6686" s="8" t="s">
        <v>29671</v>
      </c>
      <c r="C6686" s="8" t="s">
        <v>29671</v>
      </c>
      <c r="F6686" s="47"/>
      <c r="G6686" s="8">
        <v>19</v>
      </c>
      <c r="H6686" s="8" t="s">
        <v>21</v>
      </c>
      <c r="I6686" s="8" t="s">
        <v>22</v>
      </c>
      <c r="J6686" s="8" t="s">
        <v>22</v>
      </c>
      <c r="K6686" s="8" t="s">
        <v>58</v>
      </c>
      <c r="L6686" s="8" t="s">
        <v>29334</v>
      </c>
      <c r="M6686" s="8" t="s">
        <v>29335</v>
      </c>
      <c r="N6686" s="8" t="s">
        <v>29672</v>
      </c>
      <c r="O6686" s="8">
        <f>18+39/60+58.6/3600</f>
        <v>18.666277777777776</v>
      </c>
      <c r="P6686" s="8" t="s">
        <v>29673</v>
      </c>
      <c r="Q6686" s="8">
        <f>+(39+58/60+56/3600)</f>
        <v>39.982222222222227</v>
      </c>
      <c r="R6686" s="8">
        <v>13.4</v>
      </c>
      <c r="S6686" s="8">
        <v>14.4</v>
      </c>
      <c r="T6686" s="8">
        <v>1</v>
      </c>
      <c r="U6686" s="8">
        <v>13.5</v>
      </c>
      <c r="V6686" s="8">
        <v>1.1000000000000001</v>
      </c>
      <c r="W6686" s="8">
        <v>0.9</v>
      </c>
      <c r="X6686" s="8">
        <v>30</v>
      </c>
      <c r="Y6686" s="8" t="s">
        <v>29674</v>
      </c>
      <c r="Z6686" s="8" t="s">
        <v>29675</v>
      </c>
    </row>
    <row r="6687" spans="1:26" x14ac:dyDescent="0.2">
      <c r="A6687" s="8">
        <v>6686</v>
      </c>
      <c r="B6687" s="8" t="s">
        <v>29676</v>
      </c>
      <c r="C6687" s="8" t="s">
        <v>29676</v>
      </c>
      <c r="F6687" s="47"/>
      <c r="G6687" s="8">
        <v>19</v>
      </c>
      <c r="H6687" s="8" t="s">
        <v>21</v>
      </c>
      <c r="I6687" s="8" t="s">
        <v>22</v>
      </c>
      <c r="J6687" s="8" t="s">
        <v>22</v>
      </c>
      <c r="K6687" s="8" t="s">
        <v>424</v>
      </c>
      <c r="L6687" s="8" t="s">
        <v>29334</v>
      </c>
      <c r="M6687" s="8" t="s">
        <v>29335</v>
      </c>
      <c r="N6687" s="8" t="s">
        <v>29677</v>
      </c>
      <c r="O6687" s="8">
        <f>18+40/60+6.9/3600</f>
        <v>18.668583333333334</v>
      </c>
      <c r="P6687" s="8" t="s">
        <v>29678</v>
      </c>
      <c r="Q6687" s="8">
        <f>+(40+8/60+17/3600)</f>
        <v>40.138055555555553</v>
      </c>
      <c r="R6687" s="8">
        <v>14.7</v>
      </c>
      <c r="S6687" s="8">
        <v>15.7</v>
      </c>
      <c r="T6687" s="8">
        <v>1</v>
      </c>
      <c r="U6687" s="8">
        <v>14.2</v>
      </c>
      <c r="V6687" s="8">
        <v>0.9</v>
      </c>
      <c r="W6687" s="8">
        <v>0.8</v>
      </c>
      <c r="X6687" s="8">
        <v>84</v>
      </c>
      <c r="Y6687" s="8" t="s">
        <v>29679</v>
      </c>
      <c r="Z6687" s="8" t="s">
        <v>29680</v>
      </c>
    </row>
    <row r="6688" spans="1:26" x14ac:dyDescent="0.2">
      <c r="A6688" s="8">
        <v>6687</v>
      </c>
      <c r="B6688" s="8" t="s">
        <v>29681</v>
      </c>
      <c r="C6688" s="8" t="s">
        <v>29681</v>
      </c>
      <c r="F6688" s="47"/>
      <c r="G6688" s="8">
        <v>19</v>
      </c>
      <c r="H6688" s="8" t="s">
        <v>21</v>
      </c>
      <c r="I6688" s="8" t="s">
        <v>22</v>
      </c>
      <c r="J6688" s="8" t="s">
        <v>22</v>
      </c>
      <c r="K6688" s="8" t="s">
        <v>579</v>
      </c>
      <c r="L6688" s="8" t="s">
        <v>13395</v>
      </c>
      <c r="M6688" s="8" t="s">
        <v>13396</v>
      </c>
      <c r="N6688" s="8" t="s">
        <v>29682</v>
      </c>
      <c r="O6688" s="8">
        <f>18+37/60+22/3600</f>
        <v>18.622777777777777</v>
      </c>
      <c r="P6688" s="8" t="s">
        <v>29683</v>
      </c>
      <c r="Q6688" s="8">
        <f>+(59+38/60+35/3600)</f>
        <v>59.643055555555556</v>
      </c>
      <c r="R6688" s="8">
        <v>14</v>
      </c>
      <c r="S6688" s="8">
        <v>14.7</v>
      </c>
      <c r="T6688" s="8">
        <v>0.7</v>
      </c>
      <c r="U6688" s="8">
        <v>14.5</v>
      </c>
      <c r="V6688" s="8">
        <v>1.3</v>
      </c>
      <c r="W6688" s="8">
        <v>1.2</v>
      </c>
      <c r="X6688" s="8">
        <v>60</v>
      </c>
      <c r="Y6688" s="8" t="s">
        <v>29684</v>
      </c>
      <c r="Z6688" s="8" t="s">
        <v>29685</v>
      </c>
    </row>
    <row r="6689" spans="1:26" x14ac:dyDescent="0.2">
      <c r="A6689" s="8">
        <v>6688</v>
      </c>
      <c r="B6689" s="8" t="s">
        <v>29686</v>
      </c>
      <c r="C6689" s="8" t="s">
        <v>29686</v>
      </c>
      <c r="F6689" s="47"/>
      <c r="G6689" s="8">
        <v>18</v>
      </c>
      <c r="H6689" s="8" t="s">
        <v>21</v>
      </c>
      <c r="I6689" s="8" t="s">
        <v>22</v>
      </c>
      <c r="J6689" s="8" t="s">
        <v>22</v>
      </c>
      <c r="K6689" s="8" t="s">
        <v>632</v>
      </c>
      <c r="L6689" s="8" t="s">
        <v>29334</v>
      </c>
      <c r="M6689" s="8" t="s">
        <v>29335</v>
      </c>
      <c r="N6689" s="8" t="s">
        <v>29687</v>
      </c>
      <c r="O6689" s="8">
        <f>18+40/60+39.9/3600</f>
        <v>18.67775</v>
      </c>
      <c r="P6689" s="8" t="s">
        <v>29688</v>
      </c>
      <c r="Q6689" s="8">
        <f>+(36+17/60+22/3600)</f>
        <v>36.289444444444442</v>
      </c>
      <c r="R6689" s="8">
        <v>12.6</v>
      </c>
      <c r="S6689" s="8">
        <v>13.5</v>
      </c>
      <c r="T6689" s="8">
        <v>0.9</v>
      </c>
      <c r="U6689" s="8">
        <v>13.3</v>
      </c>
      <c r="V6689" s="8">
        <v>1.6</v>
      </c>
      <c r="W6689" s="8">
        <v>1.3</v>
      </c>
      <c r="X6689" s="8">
        <v>75</v>
      </c>
      <c r="Y6689" s="8" t="s">
        <v>2088</v>
      </c>
      <c r="Z6689" s="8" t="s">
        <v>2094</v>
      </c>
    </row>
    <row r="6690" spans="1:26" x14ac:dyDescent="0.2">
      <c r="A6690" s="8">
        <v>6689</v>
      </c>
      <c r="B6690" s="8" t="s">
        <v>29689</v>
      </c>
      <c r="C6690" s="8" t="s">
        <v>29689</v>
      </c>
      <c r="F6690" s="47"/>
      <c r="G6690" s="8">
        <v>18</v>
      </c>
      <c r="H6690" s="8" t="s">
        <v>21</v>
      </c>
      <c r="I6690" s="8" t="s">
        <v>22</v>
      </c>
      <c r="J6690" s="8" t="s">
        <v>22</v>
      </c>
      <c r="K6690" s="8" t="s">
        <v>1277</v>
      </c>
      <c r="L6690" s="8" t="s">
        <v>13395</v>
      </c>
      <c r="M6690" s="8" t="s">
        <v>13396</v>
      </c>
      <c r="N6690" s="8" t="s">
        <v>29690</v>
      </c>
      <c r="O6690" s="8">
        <f>18+34/60+49.9/3600</f>
        <v>18.580527777777778</v>
      </c>
      <c r="P6690" s="8" t="s">
        <v>29691</v>
      </c>
      <c r="Q6690" s="8">
        <f>+(70+31/60+27/3600)</f>
        <v>70.524166666666659</v>
      </c>
      <c r="R6690" s="8">
        <v>12.5</v>
      </c>
      <c r="S6690" s="8">
        <v>13.1</v>
      </c>
      <c r="T6690" s="8">
        <v>0.6</v>
      </c>
      <c r="U6690" s="8">
        <v>14</v>
      </c>
      <c r="V6690" s="8">
        <v>4</v>
      </c>
      <c r="W6690" s="8">
        <v>1.3</v>
      </c>
      <c r="X6690" s="8">
        <v>171</v>
      </c>
      <c r="Y6690" s="8" t="s">
        <v>29692</v>
      </c>
      <c r="Z6690" s="8" t="s">
        <v>29693</v>
      </c>
    </row>
    <row r="6691" spans="1:26" x14ac:dyDescent="0.2">
      <c r="A6691" s="8">
        <v>6690</v>
      </c>
      <c r="B6691" s="8" t="s">
        <v>29694</v>
      </c>
      <c r="C6691" s="8" t="s">
        <v>29694</v>
      </c>
      <c r="F6691" s="47"/>
      <c r="G6691" s="8">
        <v>19</v>
      </c>
      <c r="H6691" s="8" t="s">
        <v>21</v>
      </c>
      <c r="I6691" s="8" t="s">
        <v>22</v>
      </c>
      <c r="J6691" s="8" t="s">
        <v>57</v>
      </c>
      <c r="K6691" s="8" t="s">
        <v>1277</v>
      </c>
      <c r="L6691" s="8" t="s">
        <v>13395</v>
      </c>
      <c r="M6691" s="8" t="s">
        <v>13396</v>
      </c>
      <c r="N6691" s="8" t="s">
        <v>29690</v>
      </c>
      <c r="O6691" s="8">
        <f>18+34/60+49.9/3600</f>
        <v>18.580527777777778</v>
      </c>
      <c r="P6691" s="8" t="s">
        <v>29691</v>
      </c>
      <c r="Q6691" s="8">
        <f>+(70+31/60+27/3600)</f>
        <v>70.524166666666659</v>
      </c>
      <c r="R6691" s="8">
        <v>12.5</v>
      </c>
      <c r="S6691" s="8">
        <v>13.1</v>
      </c>
      <c r="T6691" s="8">
        <v>0.6</v>
      </c>
      <c r="U6691" s="8">
        <v>14</v>
      </c>
      <c r="V6691" s="8">
        <v>4</v>
      </c>
      <c r="W6691" s="8">
        <v>1.3</v>
      </c>
      <c r="X6691" s="8">
        <v>171</v>
      </c>
      <c r="Y6691" s="8" t="s">
        <v>29692</v>
      </c>
      <c r="Z6691" s="8" t="s">
        <v>29695</v>
      </c>
    </row>
    <row r="6692" spans="1:26" x14ac:dyDescent="0.2">
      <c r="A6692" s="8">
        <v>6691</v>
      </c>
      <c r="B6692" s="8" t="s">
        <v>29696</v>
      </c>
      <c r="C6692" s="8" t="s">
        <v>29696</v>
      </c>
      <c r="F6692" s="47"/>
      <c r="G6692" s="8">
        <v>19</v>
      </c>
      <c r="H6692" s="8" t="s">
        <v>21</v>
      </c>
      <c r="I6692" s="8" t="s">
        <v>22</v>
      </c>
      <c r="J6692" s="8" t="s">
        <v>22</v>
      </c>
      <c r="K6692" s="8" t="s">
        <v>85</v>
      </c>
      <c r="L6692" s="8" t="s">
        <v>13395</v>
      </c>
      <c r="M6692" s="8" t="s">
        <v>13396</v>
      </c>
      <c r="N6692" s="8" t="s">
        <v>29697</v>
      </c>
      <c r="O6692" s="8">
        <f>18+39/60+12/3600</f>
        <v>18.653333333333332</v>
      </c>
      <c r="P6692" s="8" t="s">
        <v>29698</v>
      </c>
      <c r="Q6692" s="8">
        <f>+(55+38/60+30/3600)</f>
        <v>55.641666666666666</v>
      </c>
      <c r="R6692" s="8">
        <v>12.9</v>
      </c>
      <c r="S6692" s="8">
        <v>13.6</v>
      </c>
      <c r="T6692" s="8">
        <v>0.7</v>
      </c>
      <c r="U6692" s="8">
        <v>13.6</v>
      </c>
      <c r="V6692" s="8">
        <v>1.6</v>
      </c>
      <c r="W6692" s="8">
        <v>1.5</v>
      </c>
      <c r="X6692" s="8">
        <v>48</v>
      </c>
      <c r="Y6692" s="8" t="s">
        <v>29699</v>
      </c>
      <c r="Z6692" s="8" t="s">
        <v>29700</v>
      </c>
    </row>
    <row r="6693" spans="1:26" x14ac:dyDescent="0.2">
      <c r="A6693" s="8">
        <v>6692</v>
      </c>
      <c r="B6693" s="8" t="s">
        <v>29701</v>
      </c>
      <c r="C6693" s="8" t="s">
        <v>29701</v>
      </c>
      <c r="F6693" s="47"/>
      <c r="G6693" s="8">
        <v>19</v>
      </c>
      <c r="H6693" s="8" t="s">
        <v>21</v>
      </c>
      <c r="I6693" s="8" t="s">
        <v>22</v>
      </c>
      <c r="J6693" s="8" t="s">
        <v>22</v>
      </c>
      <c r="K6693" s="8" t="s">
        <v>58</v>
      </c>
      <c r="L6693" s="8" t="s">
        <v>29334</v>
      </c>
      <c r="M6693" s="8" t="s">
        <v>29335</v>
      </c>
      <c r="N6693" s="8" t="s">
        <v>29702</v>
      </c>
      <c r="O6693" s="8">
        <f>18+41/60+41.5/3600</f>
        <v>18.694861111111113</v>
      </c>
      <c r="P6693" s="8" t="s">
        <v>29703</v>
      </c>
      <c r="Q6693" s="8">
        <f>+(34+50/60+39/3600)</f>
        <v>34.844166666666666</v>
      </c>
      <c r="R6693" s="8">
        <v>13.2</v>
      </c>
      <c r="S6693" s="8">
        <v>14.2</v>
      </c>
      <c r="T6693" s="8">
        <v>1</v>
      </c>
      <c r="U6693" s="8">
        <v>12.9</v>
      </c>
      <c r="V6693" s="8">
        <v>1</v>
      </c>
      <c r="W6693" s="8">
        <v>0.7</v>
      </c>
      <c r="X6693" s="8">
        <v>110</v>
      </c>
      <c r="Y6693" s="8" t="s">
        <v>29704</v>
      </c>
      <c r="Z6693" s="8" t="s">
        <v>29705</v>
      </c>
    </row>
    <row r="6694" spans="1:26" x14ac:dyDescent="0.2">
      <c r="A6694" s="8">
        <v>6693</v>
      </c>
      <c r="B6694" s="8" t="s">
        <v>29706</v>
      </c>
      <c r="C6694" s="8" t="s">
        <v>29706</v>
      </c>
      <c r="F6694" s="47"/>
      <c r="G6694" s="8">
        <v>18</v>
      </c>
      <c r="H6694" s="8" t="s">
        <v>21</v>
      </c>
      <c r="I6694" s="8" t="s">
        <v>329</v>
      </c>
      <c r="J6694" s="8" t="s">
        <v>329</v>
      </c>
      <c r="K6694" s="8" t="s">
        <v>329</v>
      </c>
      <c r="L6694" s="8" t="s">
        <v>29334</v>
      </c>
      <c r="M6694" s="8" t="s">
        <v>29335</v>
      </c>
      <c r="N6694" s="8" t="s">
        <v>29707</v>
      </c>
      <c r="O6694" s="8">
        <f>18+41/60+32/3600</f>
        <v>18.692222222222224</v>
      </c>
      <c r="P6694" s="8" t="s">
        <v>29708</v>
      </c>
      <c r="Q6694" s="8">
        <f>+(36+54/60+54/3600)</f>
        <v>36.914999999999999</v>
      </c>
      <c r="R6694" s="8">
        <v>99</v>
      </c>
      <c r="S6694" s="8">
        <v>99</v>
      </c>
      <c r="T6694" s="8">
        <v>99</v>
      </c>
      <c r="U6694" s="8">
        <v>99</v>
      </c>
      <c r="Y6694" s="8" t="s">
        <v>297</v>
      </c>
      <c r="Z6694" s="8" t="s">
        <v>298</v>
      </c>
    </row>
    <row r="6695" spans="1:26" x14ac:dyDescent="0.2">
      <c r="A6695" s="8">
        <v>6694</v>
      </c>
      <c r="B6695" s="8" t="s">
        <v>29709</v>
      </c>
      <c r="C6695" s="8" t="s">
        <v>55950</v>
      </c>
      <c r="F6695" s="47"/>
      <c r="G6695" s="8">
        <v>1</v>
      </c>
      <c r="H6695" s="8" t="s">
        <v>21</v>
      </c>
      <c r="I6695" s="8" t="s">
        <v>557</v>
      </c>
      <c r="J6695" s="8" t="s">
        <v>557</v>
      </c>
      <c r="K6695" s="8" t="s">
        <v>29710</v>
      </c>
      <c r="L6695" s="8" t="s">
        <v>29416</v>
      </c>
      <c r="M6695" s="8" t="s">
        <v>29417</v>
      </c>
      <c r="N6695" s="8" t="s">
        <v>29711</v>
      </c>
      <c r="O6695" s="8">
        <f>18+45/60+15/3600</f>
        <v>18.754166666666666</v>
      </c>
      <c r="P6695" s="8" t="s">
        <v>29712</v>
      </c>
      <c r="Q6695" s="8">
        <f>-(9+23/60+6/3600)</f>
        <v>-9.3849999999999998</v>
      </c>
      <c r="R6695" s="8">
        <v>8</v>
      </c>
      <c r="S6695" s="8">
        <v>99</v>
      </c>
      <c r="T6695" s="8">
        <v>99</v>
      </c>
      <c r="U6695" s="8">
        <v>99</v>
      </c>
      <c r="V6695" s="8">
        <v>8</v>
      </c>
      <c r="Y6695" s="8" t="s">
        <v>29713</v>
      </c>
      <c r="Z6695" s="8" t="s">
        <v>29714</v>
      </c>
    </row>
    <row r="6696" spans="1:26" x14ac:dyDescent="0.2">
      <c r="A6696" s="8">
        <v>6695</v>
      </c>
      <c r="B6696" s="8" t="s">
        <v>29715</v>
      </c>
      <c r="C6696" s="8" t="s">
        <v>29715</v>
      </c>
      <c r="F6696" s="47"/>
      <c r="G6696" s="8">
        <v>19</v>
      </c>
      <c r="H6696" s="8" t="s">
        <v>21</v>
      </c>
      <c r="I6696" s="8" t="s">
        <v>22</v>
      </c>
      <c r="J6696" s="8" t="s">
        <v>22</v>
      </c>
      <c r="K6696" s="8" t="s">
        <v>218</v>
      </c>
      <c r="L6696" s="8" t="s">
        <v>29334</v>
      </c>
      <c r="M6696" s="8" t="s">
        <v>29335</v>
      </c>
      <c r="N6696" s="8" t="s">
        <v>29716</v>
      </c>
      <c r="O6696" s="8">
        <f>18+42/60+42.8/3600</f>
        <v>18.71188888888889</v>
      </c>
      <c r="P6696" s="8" t="s">
        <v>29717</v>
      </c>
      <c r="Q6696" s="8">
        <f>+(40+22/60+2/3600)</f>
        <v>40.367222222222225</v>
      </c>
      <c r="R6696" s="8">
        <v>13.5</v>
      </c>
      <c r="S6696" s="8">
        <v>14.3</v>
      </c>
      <c r="T6696" s="8">
        <v>0.8</v>
      </c>
      <c r="U6696" s="8">
        <v>13.1</v>
      </c>
      <c r="V6696" s="8">
        <v>1.1000000000000001</v>
      </c>
      <c r="W6696" s="8">
        <v>0.7</v>
      </c>
      <c r="X6696" s="8">
        <v>12</v>
      </c>
      <c r="Y6696" s="8" t="s">
        <v>29718</v>
      </c>
      <c r="Z6696" s="8" t="s">
        <v>29719</v>
      </c>
    </row>
    <row r="6697" spans="1:26" x14ac:dyDescent="0.2">
      <c r="A6697" s="8">
        <v>6696</v>
      </c>
      <c r="B6697" s="8" t="s">
        <v>29720</v>
      </c>
      <c r="C6697" s="8" t="s">
        <v>29720</v>
      </c>
      <c r="F6697" s="47"/>
      <c r="G6697" s="8">
        <v>19</v>
      </c>
      <c r="H6697" s="8" t="s">
        <v>21</v>
      </c>
      <c r="I6697" s="8" t="s">
        <v>22</v>
      </c>
      <c r="J6697" s="8" t="s">
        <v>22</v>
      </c>
      <c r="K6697" s="8" t="s">
        <v>449</v>
      </c>
      <c r="L6697" s="8" t="s">
        <v>13395</v>
      </c>
      <c r="M6697" s="8" t="s">
        <v>13396</v>
      </c>
      <c r="N6697" s="8" t="s">
        <v>29721</v>
      </c>
      <c r="O6697" s="8">
        <f>18+40/60+5/3600</f>
        <v>18.668055555555558</v>
      </c>
      <c r="P6697" s="8" t="s">
        <v>29722</v>
      </c>
      <c r="Q6697" s="8">
        <f>+(59+20/60+0/3600)</f>
        <v>59.333333333333336</v>
      </c>
      <c r="R6697" s="8">
        <v>15.1</v>
      </c>
      <c r="S6697" s="8">
        <v>15.9</v>
      </c>
      <c r="T6697" s="8">
        <v>0.8</v>
      </c>
      <c r="U6697" s="8">
        <v>13</v>
      </c>
      <c r="V6697" s="8">
        <v>0.8</v>
      </c>
      <c r="W6697" s="8">
        <v>0.2</v>
      </c>
      <c r="X6697" s="8">
        <v>0</v>
      </c>
      <c r="Y6697" s="8" t="s">
        <v>19732</v>
      </c>
      <c r="Z6697" s="8" t="s">
        <v>19733</v>
      </c>
    </row>
    <row r="6698" spans="1:26" x14ac:dyDescent="0.2">
      <c r="A6698" s="8">
        <v>6697</v>
      </c>
      <c r="B6698" s="8" t="s">
        <v>29723</v>
      </c>
      <c r="C6698" s="8" t="s">
        <v>29723</v>
      </c>
      <c r="F6698" s="47"/>
      <c r="G6698" s="8">
        <v>18</v>
      </c>
      <c r="H6698" s="8" t="s">
        <v>21</v>
      </c>
      <c r="I6698" s="8" t="s">
        <v>22</v>
      </c>
      <c r="J6698" s="8" t="s">
        <v>22</v>
      </c>
      <c r="K6698" s="8" t="s">
        <v>1136</v>
      </c>
      <c r="L6698" s="8" t="s">
        <v>26804</v>
      </c>
      <c r="M6698" s="8" t="s">
        <v>26805</v>
      </c>
      <c r="N6698" s="8" t="s">
        <v>29724</v>
      </c>
      <c r="O6698" s="8">
        <f>18+45/60+14.9/3600</f>
        <v>18.754138888888889</v>
      </c>
      <c r="P6698" s="8" t="s">
        <v>29725</v>
      </c>
      <c r="Q6698" s="8">
        <f>+(25+30/60+46/3600)</f>
        <v>25.512777777777778</v>
      </c>
      <c r="R6698" s="8">
        <v>12.7</v>
      </c>
      <c r="S6698" s="8">
        <v>13.7</v>
      </c>
      <c r="T6698" s="8">
        <v>1</v>
      </c>
      <c r="U6698" s="8">
        <v>12.9</v>
      </c>
      <c r="V6698" s="8">
        <v>1.2</v>
      </c>
      <c r="W6698" s="8">
        <v>1</v>
      </c>
      <c r="X6698" s="8">
        <v>48</v>
      </c>
      <c r="Y6698" s="8" t="s">
        <v>256</v>
      </c>
      <c r="Z6698" s="8" t="s">
        <v>257</v>
      </c>
    </row>
    <row r="6699" spans="1:26" x14ac:dyDescent="0.2">
      <c r="A6699" s="8">
        <v>6698</v>
      </c>
      <c r="B6699" s="8" t="s">
        <v>29726</v>
      </c>
      <c r="C6699" s="8" t="s">
        <v>29726</v>
      </c>
      <c r="F6699" s="47" t="s">
        <v>58230</v>
      </c>
      <c r="G6699" s="8">
        <v>15</v>
      </c>
      <c r="H6699" s="8" t="s">
        <v>21</v>
      </c>
      <c r="I6699" s="8" t="s">
        <v>72</v>
      </c>
      <c r="J6699" s="8" t="s">
        <v>72</v>
      </c>
      <c r="K6699" s="8" t="s">
        <v>1405</v>
      </c>
      <c r="L6699" s="8" t="s">
        <v>28576</v>
      </c>
      <c r="M6699" s="8" t="s">
        <v>28577</v>
      </c>
      <c r="N6699" s="8" t="s">
        <v>29727</v>
      </c>
      <c r="O6699" s="8">
        <f>18+48/60+10/3600</f>
        <v>18.802777777777777</v>
      </c>
      <c r="P6699" s="8" t="s">
        <v>29728</v>
      </c>
      <c r="Q6699" s="8">
        <f>-(25+53/60+45/3600)</f>
        <v>-25.895833333333332</v>
      </c>
      <c r="R6699" s="8">
        <v>99</v>
      </c>
      <c r="S6699" s="8">
        <v>99</v>
      </c>
      <c r="T6699" s="8">
        <v>99</v>
      </c>
      <c r="U6699" s="8">
        <v>99</v>
      </c>
      <c r="V6699" s="8">
        <v>15</v>
      </c>
      <c r="Y6699" s="8" t="s">
        <v>29729</v>
      </c>
      <c r="Z6699" s="8" t="s">
        <v>29730</v>
      </c>
    </row>
    <row r="6700" spans="1:26" x14ac:dyDescent="0.2">
      <c r="A6700" s="8">
        <v>6699</v>
      </c>
      <c r="B6700" s="8" t="s">
        <v>29731</v>
      </c>
      <c r="C6700" s="8" t="s">
        <v>29731</v>
      </c>
      <c r="F6700" s="47"/>
      <c r="G6700" s="8">
        <v>13</v>
      </c>
      <c r="H6700" s="8" t="s">
        <v>21</v>
      </c>
      <c r="I6700" s="8" t="s">
        <v>22</v>
      </c>
      <c r="J6700" s="8" t="s">
        <v>22</v>
      </c>
      <c r="K6700" s="8" t="s">
        <v>85</v>
      </c>
      <c r="L6700" s="8" t="s">
        <v>28435</v>
      </c>
      <c r="M6700" s="8" t="s">
        <v>28436</v>
      </c>
      <c r="N6700" s="8" t="s">
        <v>29732</v>
      </c>
      <c r="O6700" s="8">
        <f>18+52/60+1.9/3600</f>
        <v>18.867194444444443</v>
      </c>
      <c r="P6700" s="8" t="s">
        <v>29733</v>
      </c>
      <c r="Q6700" s="8">
        <f>-(57+19/60+14/3600)</f>
        <v>-57.320555555555558</v>
      </c>
      <c r="R6700" s="8">
        <v>12</v>
      </c>
      <c r="S6700" s="8">
        <v>12.6</v>
      </c>
      <c r="T6700" s="8">
        <v>0.6</v>
      </c>
      <c r="U6700" s="8">
        <v>12.7</v>
      </c>
      <c r="V6700" s="8">
        <v>1.5</v>
      </c>
      <c r="W6700" s="8">
        <v>1.5</v>
      </c>
      <c r="Y6700" s="8" t="s">
        <v>29734</v>
      </c>
      <c r="Z6700" s="8" t="s">
        <v>29735</v>
      </c>
    </row>
    <row r="6701" spans="1:26" x14ac:dyDescent="0.2">
      <c r="A6701" s="8">
        <v>6700</v>
      </c>
      <c r="B6701" s="8" t="s">
        <v>29736</v>
      </c>
      <c r="C6701" s="8" t="s">
        <v>29736</v>
      </c>
      <c r="F6701" s="47"/>
      <c r="G6701" s="8">
        <v>12</v>
      </c>
      <c r="H6701" s="8" t="s">
        <v>21</v>
      </c>
      <c r="I6701" s="8" t="s">
        <v>22</v>
      </c>
      <c r="J6701" s="8" t="s">
        <v>22</v>
      </c>
      <c r="K6701" s="8" t="s">
        <v>64</v>
      </c>
      <c r="L6701" s="8" t="s">
        <v>29334</v>
      </c>
      <c r="M6701" s="8" t="s">
        <v>29335</v>
      </c>
      <c r="N6701" s="8" t="s">
        <v>29737</v>
      </c>
      <c r="O6701" s="8">
        <f>18+46/60+4.3/3600</f>
        <v>18.76786111111111</v>
      </c>
      <c r="P6701" s="8" t="s">
        <v>29738</v>
      </c>
      <c r="Q6701" s="8">
        <f>+(32+16/60+46/3600)</f>
        <v>32.279444444444444</v>
      </c>
      <c r="R6701" s="8">
        <v>13.1</v>
      </c>
      <c r="S6701" s="8">
        <v>13.8</v>
      </c>
      <c r="T6701" s="8">
        <v>0.7</v>
      </c>
      <c r="U6701" s="8">
        <v>13.3</v>
      </c>
      <c r="V6701" s="8">
        <v>1.4</v>
      </c>
      <c r="W6701" s="8">
        <v>1</v>
      </c>
      <c r="X6701" s="8">
        <v>115</v>
      </c>
      <c r="Y6701" s="8" t="s">
        <v>29739</v>
      </c>
      <c r="Z6701" s="8" t="s">
        <v>29740</v>
      </c>
    </row>
    <row r="6702" spans="1:26" x14ac:dyDescent="0.2">
      <c r="A6702" s="8">
        <v>6701</v>
      </c>
      <c r="B6702" s="8" t="s">
        <v>29741</v>
      </c>
      <c r="C6702" s="8" t="s">
        <v>29741</v>
      </c>
      <c r="F6702" s="47"/>
      <c r="G6702" s="8">
        <v>19</v>
      </c>
      <c r="H6702" s="8" t="s">
        <v>21</v>
      </c>
      <c r="I6702" s="8" t="s">
        <v>22</v>
      </c>
      <c r="J6702" s="8" t="s">
        <v>22</v>
      </c>
      <c r="K6702" s="8" t="s">
        <v>154</v>
      </c>
      <c r="L6702" s="8" t="s">
        <v>13395</v>
      </c>
      <c r="M6702" s="8" t="s">
        <v>13396</v>
      </c>
      <c r="N6702" s="8" t="s">
        <v>29742</v>
      </c>
      <c r="O6702" s="8">
        <f>18+43/60+12.6/3600</f>
        <v>18.720166666666664</v>
      </c>
      <c r="P6702" s="8" t="s">
        <v>29743</v>
      </c>
      <c r="Q6702" s="8">
        <f>+(60+39/60+11/3600)</f>
        <v>60.653055555555554</v>
      </c>
      <c r="R6702" s="8">
        <v>12.1</v>
      </c>
      <c r="S6702" s="8">
        <v>13</v>
      </c>
      <c r="T6702" s="8">
        <v>0.9</v>
      </c>
      <c r="U6702" s="8">
        <v>12.7</v>
      </c>
      <c r="V6702" s="8">
        <v>1.5</v>
      </c>
      <c r="W6702" s="8">
        <v>1.3</v>
      </c>
      <c r="X6702" s="8">
        <v>25</v>
      </c>
      <c r="Y6702" s="8" t="s">
        <v>29744</v>
      </c>
      <c r="Z6702" s="8" t="s">
        <v>29745</v>
      </c>
    </row>
    <row r="6703" spans="1:26" x14ac:dyDescent="0.2">
      <c r="A6703" s="8">
        <v>6702</v>
      </c>
      <c r="B6703" s="8" t="s">
        <v>29746</v>
      </c>
      <c r="C6703" s="8" t="s">
        <v>29746</v>
      </c>
      <c r="F6703" s="47"/>
      <c r="G6703" s="8">
        <v>18</v>
      </c>
      <c r="H6703" s="8" t="s">
        <v>21</v>
      </c>
      <c r="I6703" s="8" t="s">
        <v>22</v>
      </c>
      <c r="J6703" s="8" t="s">
        <v>22</v>
      </c>
      <c r="K6703" s="8" t="s">
        <v>1136</v>
      </c>
      <c r="L6703" s="8" t="s">
        <v>29334</v>
      </c>
      <c r="M6703" s="8" t="s">
        <v>29335</v>
      </c>
      <c r="N6703" s="8" t="s">
        <v>29747</v>
      </c>
      <c r="O6703" s="8">
        <f>18+46/60+57.6/3600</f>
        <v>18.782666666666664</v>
      </c>
      <c r="P6703" s="8" t="s">
        <v>29748</v>
      </c>
      <c r="Q6703" s="8">
        <f>+(45+42/60+22/3600)</f>
        <v>45.706111111111113</v>
      </c>
      <c r="R6703" s="8">
        <v>12.2</v>
      </c>
      <c r="S6703" s="8">
        <v>13.2</v>
      </c>
      <c r="T6703" s="8">
        <v>1</v>
      </c>
      <c r="U6703" s="8">
        <v>13.1</v>
      </c>
      <c r="V6703" s="8">
        <v>1.9</v>
      </c>
      <c r="W6703" s="8">
        <v>1.5</v>
      </c>
      <c r="X6703" s="8">
        <v>65</v>
      </c>
      <c r="Y6703" s="8" t="s">
        <v>21839</v>
      </c>
      <c r="Z6703" s="8" t="s">
        <v>21840</v>
      </c>
    </row>
    <row r="6704" spans="1:26" x14ac:dyDescent="0.2">
      <c r="A6704" s="8">
        <v>6703</v>
      </c>
      <c r="B6704" s="8" t="s">
        <v>29749</v>
      </c>
      <c r="C6704" s="8" t="s">
        <v>29749</v>
      </c>
      <c r="F6704" s="47"/>
      <c r="G6704" s="8">
        <v>13</v>
      </c>
      <c r="H6704" s="8" t="s">
        <v>21</v>
      </c>
      <c r="I6704" s="8" t="s">
        <v>22</v>
      </c>
      <c r="J6704" s="8" t="s">
        <v>22</v>
      </c>
      <c r="K6704" s="8" t="s">
        <v>58</v>
      </c>
      <c r="L6704" s="8" t="s">
        <v>29334</v>
      </c>
      <c r="M6704" s="8" t="s">
        <v>29335</v>
      </c>
      <c r="N6704" s="8" t="s">
        <v>29750</v>
      </c>
      <c r="O6704" s="8">
        <f>18+47/60+18.9/3600</f>
        <v>18.788583333333335</v>
      </c>
      <c r="P6704" s="8" t="s">
        <v>29751</v>
      </c>
      <c r="Q6704" s="8">
        <f>+(45+33/60+3/3600)</f>
        <v>45.55083333333333</v>
      </c>
      <c r="R6704" s="8">
        <v>11.3</v>
      </c>
      <c r="S6704" s="8">
        <v>12.3</v>
      </c>
      <c r="T6704" s="8">
        <v>1</v>
      </c>
      <c r="U6704" s="8">
        <v>13.1</v>
      </c>
      <c r="V6704" s="8">
        <v>2.7</v>
      </c>
      <c r="W6704" s="8">
        <v>2.5</v>
      </c>
      <c r="X6704" s="8">
        <v>0</v>
      </c>
      <c r="Y6704" s="8" t="s">
        <v>29752</v>
      </c>
      <c r="Z6704" s="8" t="s">
        <v>29753</v>
      </c>
    </row>
    <row r="6705" spans="1:26" x14ac:dyDescent="0.2">
      <c r="A6705" s="8">
        <v>6704</v>
      </c>
      <c r="B6705" s="8" t="s">
        <v>29754</v>
      </c>
      <c r="C6705" s="8" t="s">
        <v>29754</v>
      </c>
      <c r="F6705" s="47"/>
      <c r="G6705" s="8">
        <v>7</v>
      </c>
      <c r="H6705" s="8" t="s">
        <v>21</v>
      </c>
      <c r="I6705" s="8" t="s">
        <v>557</v>
      </c>
      <c r="J6705" s="8" t="s">
        <v>557</v>
      </c>
      <c r="K6705" s="8" t="s">
        <v>2158</v>
      </c>
      <c r="L6705" s="8" t="s">
        <v>29416</v>
      </c>
      <c r="M6705" s="8" t="s">
        <v>29417</v>
      </c>
      <c r="N6705" s="8" t="s">
        <v>29755</v>
      </c>
      <c r="O6705" s="8">
        <f>18+50/60+45.8/3600</f>
        <v>18.846055555555555</v>
      </c>
      <c r="P6705" s="8" t="s">
        <v>29756</v>
      </c>
      <c r="Q6705" s="8">
        <f>-(5+12/60+18/3600)</f>
        <v>-5.2050000000000001</v>
      </c>
      <c r="R6705" s="8">
        <v>9.1999999999999993</v>
      </c>
      <c r="S6705" s="8">
        <v>99</v>
      </c>
      <c r="T6705" s="8">
        <v>99</v>
      </c>
      <c r="U6705" s="8">
        <v>99</v>
      </c>
      <c r="V6705" s="8">
        <v>6</v>
      </c>
      <c r="Y6705" s="8" t="s">
        <v>29757</v>
      </c>
      <c r="Z6705" s="8" t="s">
        <v>29758</v>
      </c>
    </row>
    <row r="6706" spans="1:26" x14ac:dyDescent="0.2">
      <c r="A6706" s="8">
        <v>6705</v>
      </c>
      <c r="B6706" s="8" t="s">
        <v>29759</v>
      </c>
      <c r="C6706" s="8" t="s">
        <v>55951</v>
      </c>
      <c r="F6706" s="47"/>
      <c r="G6706" s="8">
        <v>1</v>
      </c>
      <c r="H6706" s="8" t="s">
        <v>29760</v>
      </c>
      <c r="I6706" s="8" t="s">
        <v>557</v>
      </c>
      <c r="J6706" s="8" t="s">
        <v>557</v>
      </c>
      <c r="K6706" s="8" t="s">
        <v>10371</v>
      </c>
      <c r="L6706" s="8" t="s">
        <v>29416</v>
      </c>
      <c r="M6706" s="8" t="s">
        <v>29417</v>
      </c>
      <c r="N6706" s="8" t="s">
        <v>29761</v>
      </c>
      <c r="O6706" s="8">
        <f>18+51/60+5/3600</f>
        <v>18.851388888888891</v>
      </c>
      <c r="P6706" s="8" t="s">
        <v>29762</v>
      </c>
      <c r="Q6706" s="8">
        <f>-(6+16/60+12/3600)</f>
        <v>-6.27</v>
      </c>
      <c r="R6706" s="8">
        <v>5.8</v>
      </c>
      <c r="S6706" s="8">
        <v>99</v>
      </c>
      <c r="T6706" s="8">
        <v>99</v>
      </c>
      <c r="U6706" s="8">
        <v>99</v>
      </c>
      <c r="V6706" s="8">
        <v>11</v>
      </c>
      <c r="Y6706" s="8" t="s">
        <v>29763</v>
      </c>
      <c r="Z6706" s="8" t="s">
        <v>29764</v>
      </c>
    </row>
    <row r="6707" spans="1:26" x14ac:dyDescent="0.2">
      <c r="A6707" s="8">
        <v>6706</v>
      </c>
      <c r="B6707" s="8" t="s">
        <v>29765</v>
      </c>
      <c r="C6707" s="8" t="s">
        <v>29765</v>
      </c>
      <c r="F6707" s="47"/>
      <c r="G6707" s="8">
        <v>16</v>
      </c>
      <c r="H6707" s="8" t="s">
        <v>21</v>
      </c>
      <c r="I6707" s="8" t="s">
        <v>22</v>
      </c>
      <c r="J6707" s="8" t="s">
        <v>22</v>
      </c>
      <c r="K6707" s="8" t="s">
        <v>58</v>
      </c>
      <c r="L6707" s="8" t="s">
        <v>28435</v>
      </c>
      <c r="M6707" s="8" t="s">
        <v>28436</v>
      </c>
      <c r="N6707" s="8" t="s">
        <v>29766</v>
      </c>
      <c r="O6707" s="8">
        <f>18+56/60+51/3600</f>
        <v>18.947500000000002</v>
      </c>
      <c r="P6707" s="8" t="s">
        <v>29767</v>
      </c>
      <c r="Q6707" s="8">
        <f>-(63+9/60+59/3600)</f>
        <v>-63.166388888888889</v>
      </c>
      <c r="R6707" s="8">
        <v>12.9</v>
      </c>
      <c r="S6707" s="8">
        <v>13.9</v>
      </c>
      <c r="T6707" s="8">
        <v>1</v>
      </c>
      <c r="U6707" s="8">
        <v>13</v>
      </c>
      <c r="V6707" s="8">
        <v>1.5</v>
      </c>
      <c r="W6707" s="8">
        <v>0.7</v>
      </c>
      <c r="X6707" s="8">
        <v>123</v>
      </c>
      <c r="Y6707" s="8" t="s">
        <v>29768</v>
      </c>
      <c r="Z6707" s="8" t="s">
        <v>7562</v>
      </c>
    </row>
    <row r="6708" spans="1:26" x14ac:dyDescent="0.2">
      <c r="A6708" s="8">
        <v>6707</v>
      </c>
      <c r="B6708" s="8" t="s">
        <v>29769</v>
      </c>
      <c r="C6708" s="8" t="s">
        <v>29769</v>
      </c>
      <c r="F6708" s="47"/>
      <c r="G6708" s="8">
        <v>16</v>
      </c>
      <c r="H6708" s="8" t="s">
        <v>21</v>
      </c>
      <c r="I6708" s="8" t="s">
        <v>22</v>
      </c>
      <c r="J6708" s="8" t="s">
        <v>22</v>
      </c>
      <c r="K6708" s="8" t="s">
        <v>64</v>
      </c>
      <c r="L6708" s="8" t="s">
        <v>29246</v>
      </c>
      <c r="M6708" s="8" t="s">
        <v>29247</v>
      </c>
      <c r="N6708" s="8" t="s">
        <v>29770</v>
      </c>
      <c r="O6708" s="8">
        <f>18+55/60+21.9/3600</f>
        <v>18.922750000000001</v>
      </c>
      <c r="P6708" s="8" t="s">
        <v>29771</v>
      </c>
      <c r="Q6708" s="8">
        <f>-(53+49/60+9/3600)</f>
        <v>-53.819166666666668</v>
      </c>
      <c r="R6708" s="8">
        <v>12.6</v>
      </c>
      <c r="S6708" s="8">
        <v>13.3</v>
      </c>
      <c r="T6708" s="8">
        <v>0.7</v>
      </c>
      <c r="U6708" s="8">
        <v>13.2</v>
      </c>
      <c r="V6708" s="8">
        <v>2.1</v>
      </c>
      <c r="W6708" s="8">
        <v>1</v>
      </c>
      <c r="X6708" s="8">
        <v>143</v>
      </c>
      <c r="Y6708" s="8" t="s">
        <v>29772</v>
      </c>
      <c r="Z6708" s="8" t="s">
        <v>29773</v>
      </c>
    </row>
    <row r="6709" spans="1:26" x14ac:dyDescent="0.2">
      <c r="A6709" s="8">
        <v>6708</v>
      </c>
      <c r="B6709" s="8" t="s">
        <v>29774</v>
      </c>
      <c r="C6709" s="8" t="s">
        <v>29774</v>
      </c>
      <c r="F6709" s="47"/>
      <c r="G6709" s="8">
        <v>16</v>
      </c>
      <c r="H6709" s="8" t="s">
        <v>21</v>
      </c>
      <c r="I6709" s="8" t="s">
        <v>22</v>
      </c>
      <c r="J6709" s="8" t="s">
        <v>22</v>
      </c>
      <c r="K6709" s="8" t="s">
        <v>23</v>
      </c>
      <c r="L6709" s="8" t="s">
        <v>29246</v>
      </c>
      <c r="M6709" s="8" t="s">
        <v>29247</v>
      </c>
      <c r="N6709" s="8" t="s">
        <v>29775</v>
      </c>
      <c r="O6709" s="8">
        <f>18+55/60+35.6/3600</f>
        <v>18.926555555555556</v>
      </c>
      <c r="P6709" s="8" t="s">
        <v>29776</v>
      </c>
      <c r="Q6709" s="8">
        <f>-(53+43/60+24/3600)</f>
        <v>-53.723333333333336</v>
      </c>
      <c r="R6709" s="8">
        <v>12</v>
      </c>
      <c r="S6709" s="8">
        <v>12.8</v>
      </c>
      <c r="T6709" s="8">
        <v>0.8</v>
      </c>
      <c r="U6709" s="8">
        <v>11.9</v>
      </c>
      <c r="V6709" s="8">
        <v>1.2</v>
      </c>
      <c r="W6709" s="8">
        <v>0.9</v>
      </c>
      <c r="X6709" s="8">
        <v>167</v>
      </c>
      <c r="Y6709" s="8" t="s">
        <v>29777</v>
      </c>
      <c r="Z6709" s="8" t="s">
        <v>29778</v>
      </c>
    </row>
    <row r="6710" spans="1:26" x14ac:dyDescent="0.2">
      <c r="A6710" s="8">
        <v>6709</v>
      </c>
      <c r="B6710" s="8" t="s">
        <v>29779</v>
      </c>
      <c r="C6710" s="8" t="s">
        <v>29779</v>
      </c>
      <c r="F6710" s="47"/>
      <c r="G6710" s="8">
        <v>5</v>
      </c>
      <c r="H6710" s="8" t="s">
        <v>29780</v>
      </c>
      <c r="I6710" s="8" t="s">
        <v>557</v>
      </c>
      <c r="J6710" s="8" t="s">
        <v>557</v>
      </c>
      <c r="K6710" s="8" t="s">
        <v>3217</v>
      </c>
      <c r="L6710" s="8" t="s">
        <v>29781</v>
      </c>
      <c r="M6710" s="8" t="s">
        <v>29782</v>
      </c>
      <c r="N6710" s="8" t="s">
        <v>29783</v>
      </c>
      <c r="O6710" s="8">
        <f>18+51/60+30/3600</f>
        <v>18.858333333333334</v>
      </c>
      <c r="P6710" s="8" t="s">
        <v>29784</v>
      </c>
      <c r="Q6710" s="8">
        <f>+(10+20/60+0/3600)</f>
        <v>10.333333333333334</v>
      </c>
      <c r="R6710" s="8">
        <v>6.7</v>
      </c>
      <c r="S6710" s="8">
        <v>99</v>
      </c>
      <c r="T6710" s="8">
        <v>99</v>
      </c>
      <c r="U6710" s="8">
        <v>99</v>
      </c>
      <c r="V6710" s="8">
        <v>15</v>
      </c>
      <c r="Y6710" s="8" t="s">
        <v>29785</v>
      </c>
      <c r="Z6710" s="8" t="s">
        <v>29786</v>
      </c>
    </row>
    <row r="6711" spans="1:26" x14ac:dyDescent="0.2">
      <c r="A6711" s="8">
        <v>6710</v>
      </c>
      <c r="B6711" s="8" t="s">
        <v>29787</v>
      </c>
      <c r="C6711" s="8" t="s">
        <v>29787</v>
      </c>
      <c r="F6711" s="47"/>
      <c r="G6711" s="8">
        <v>18</v>
      </c>
      <c r="H6711" s="8" t="s">
        <v>21</v>
      </c>
      <c r="I6711" s="8" t="s">
        <v>22</v>
      </c>
      <c r="J6711" s="8" t="s">
        <v>22</v>
      </c>
      <c r="K6711" s="8" t="s">
        <v>632</v>
      </c>
      <c r="L6711" s="8" t="s">
        <v>29334</v>
      </c>
      <c r="M6711" s="8" t="s">
        <v>29335</v>
      </c>
      <c r="N6711" s="8" t="s">
        <v>29788</v>
      </c>
      <c r="O6711" s="8">
        <f>18+50/60+34/3600</f>
        <v>18.842777777777776</v>
      </c>
      <c r="P6711" s="8" t="s">
        <v>29789</v>
      </c>
      <c r="Q6711" s="8">
        <f>+(26+50/60+19/3600)</f>
        <v>26.83861111111111</v>
      </c>
      <c r="R6711" s="8">
        <v>13.1</v>
      </c>
      <c r="S6711" s="8">
        <v>14.1</v>
      </c>
      <c r="T6711" s="8">
        <v>1</v>
      </c>
      <c r="U6711" s="8">
        <v>13.6</v>
      </c>
      <c r="V6711" s="8">
        <v>1.7</v>
      </c>
      <c r="W6711" s="8">
        <v>1</v>
      </c>
      <c r="X6711" s="8">
        <v>40</v>
      </c>
      <c r="Y6711" s="8" t="s">
        <v>2248</v>
      </c>
      <c r="Z6711" s="8" t="s">
        <v>2249</v>
      </c>
    </row>
    <row r="6712" spans="1:26" x14ac:dyDescent="0.2">
      <c r="A6712" s="8">
        <v>6711</v>
      </c>
      <c r="B6712" s="8" t="s">
        <v>29790</v>
      </c>
      <c r="C6712" s="8" t="s">
        <v>29790</v>
      </c>
      <c r="F6712" s="47"/>
      <c r="G6712" s="8">
        <v>19</v>
      </c>
      <c r="H6712" s="8" t="s">
        <v>21</v>
      </c>
      <c r="I6712" s="8" t="s">
        <v>22</v>
      </c>
      <c r="J6712" s="8" t="s">
        <v>22</v>
      </c>
      <c r="K6712" s="8" t="s">
        <v>3407</v>
      </c>
      <c r="L6712" s="8" t="s">
        <v>13395</v>
      </c>
      <c r="M6712" s="8" t="s">
        <v>13396</v>
      </c>
      <c r="N6712" s="8" t="s">
        <v>29791</v>
      </c>
      <c r="O6712" s="8">
        <f>18+49/60+0.9/3600</f>
        <v>18.816916666666668</v>
      </c>
      <c r="P6712" s="8" t="s">
        <v>29792</v>
      </c>
      <c r="Q6712" s="8">
        <f>+(47+39/60+27/3600)</f>
        <v>47.657499999999999</v>
      </c>
      <c r="R6712" s="8">
        <v>12.9</v>
      </c>
      <c r="S6712" s="8">
        <v>13.7</v>
      </c>
      <c r="T6712" s="8">
        <v>0.8</v>
      </c>
      <c r="U6712" s="8">
        <v>13.3</v>
      </c>
      <c r="V6712" s="8">
        <v>1.1000000000000001</v>
      </c>
      <c r="W6712" s="8">
        <v>0.9</v>
      </c>
      <c r="X6712" s="8">
        <v>90</v>
      </c>
      <c r="Y6712" s="8" t="s">
        <v>5343</v>
      </c>
      <c r="Z6712" s="8" t="s">
        <v>4250</v>
      </c>
    </row>
    <row r="6713" spans="1:26" x14ac:dyDescent="0.2">
      <c r="A6713" s="8">
        <v>6712</v>
      </c>
      <c r="B6713" s="8" t="s">
        <v>29793</v>
      </c>
      <c r="C6713" s="8" t="s">
        <v>29793</v>
      </c>
      <c r="F6713" s="47" t="s">
        <v>58231</v>
      </c>
      <c r="G6713" s="8">
        <v>3</v>
      </c>
      <c r="H6713" s="8" t="s">
        <v>21</v>
      </c>
      <c r="I6713" s="8" t="s">
        <v>567</v>
      </c>
      <c r="J6713" s="8" t="s">
        <v>567</v>
      </c>
      <c r="K6713" s="8" t="s">
        <v>26506</v>
      </c>
      <c r="L6713" s="8" t="s">
        <v>29416</v>
      </c>
      <c r="M6713" s="8" t="s">
        <v>29417</v>
      </c>
      <c r="N6713" s="8" t="s">
        <v>29794</v>
      </c>
      <c r="O6713" s="8">
        <f>18+53/60+4.3/3600</f>
        <v>18.884527777777777</v>
      </c>
      <c r="P6713" s="8" t="s">
        <v>29795</v>
      </c>
      <c r="Q6713" s="8">
        <f>-(8+42/60+20/3600)</f>
        <v>-8.7055555555555557</v>
      </c>
      <c r="R6713" s="8">
        <v>8.1</v>
      </c>
      <c r="S6713" s="8">
        <v>99</v>
      </c>
      <c r="T6713" s="8">
        <v>99</v>
      </c>
      <c r="U6713" s="8">
        <v>99</v>
      </c>
      <c r="V6713" s="8">
        <v>9.8000000000000007</v>
      </c>
      <c r="Y6713" s="8" t="s">
        <v>29796</v>
      </c>
      <c r="Z6713" s="8" t="s">
        <v>29797</v>
      </c>
    </row>
    <row r="6714" spans="1:26" x14ac:dyDescent="0.2">
      <c r="A6714" s="8">
        <v>6713</v>
      </c>
      <c r="B6714" s="8" t="s">
        <v>29798</v>
      </c>
      <c r="C6714" s="8" t="s">
        <v>29798</v>
      </c>
      <c r="F6714" s="47"/>
      <c r="G6714" s="8">
        <v>12</v>
      </c>
      <c r="H6714" s="8" t="s">
        <v>21</v>
      </c>
      <c r="I6714" s="8" t="s">
        <v>22</v>
      </c>
      <c r="J6714" s="8" t="s">
        <v>22</v>
      </c>
      <c r="K6714" s="8" t="s">
        <v>37</v>
      </c>
      <c r="L6714" s="8" t="s">
        <v>29334</v>
      </c>
      <c r="M6714" s="8" t="s">
        <v>29335</v>
      </c>
      <c r="N6714" s="8" t="s">
        <v>29799</v>
      </c>
      <c r="O6714" s="8">
        <f>18+50/60+44.2/3600</f>
        <v>18.845611111111111</v>
      </c>
      <c r="P6714" s="8" t="s">
        <v>29800</v>
      </c>
      <c r="Q6714" s="8">
        <f>+(33+57/60+37/3600)</f>
        <v>33.960277777777783</v>
      </c>
      <c r="R6714" s="8">
        <v>13.7</v>
      </c>
      <c r="S6714" s="8">
        <v>14.7</v>
      </c>
      <c r="T6714" s="8">
        <v>1</v>
      </c>
      <c r="U6714" s="8">
        <v>11.6</v>
      </c>
      <c r="V6714" s="8">
        <v>0.4</v>
      </c>
      <c r="W6714" s="8">
        <v>0.3</v>
      </c>
      <c r="X6714" s="8">
        <v>100</v>
      </c>
      <c r="Y6714" s="8" t="s">
        <v>2248</v>
      </c>
      <c r="Z6714" s="8" t="s">
        <v>2249</v>
      </c>
    </row>
    <row r="6715" spans="1:26" x14ac:dyDescent="0.2">
      <c r="A6715" s="8">
        <v>6714</v>
      </c>
      <c r="B6715" s="8" t="s">
        <v>29801</v>
      </c>
      <c r="C6715" s="8" t="s">
        <v>29801</v>
      </c>
      <c r="F6715" s="47"/>
      <c r="G6715" s="8">
        <v>19</v>
      </c>
      <c r="H6715" s="8" t="s">
        <v>21</v>
      </c>
      <c r="I6715" s="8" t="s">
        <v>329</v>
      </c>
      <c r="J6715" s="8" t="s">
        <v>329</v>
      </c>
      <c r="K6715" s="8" t="s">
        <v>329</v>
      </c>
      <c r="L6715" s="8" t="s">
        <v>13395</v>
      </c>
      <c r="M6715" s="8" t="s">
        <v>13396</v>
      </c>
      <c r="N6715" s="8" t="s">
        <v>29802</v>
      </c>
      <c r="O6715" s="8">
        <f>18+45/60+49/3600</f>
        <v>18.763611111111111</v>
      </c>
      <c r="P6715" s="8" t="s">
        <v>29803</v>
      </c>
      <c r="Q6715" s="8">
        <f>+(66+43/60+30/3600)</f>
        <v>66.725000000000009</v>
      </c>
      <c r="R6715" s="8">
        <v>99</v>
      </c>
      <c r="S6715" s="8">
        <v>99</v>
      </c>
      <c r="T6715" s="8">
        <v>99</v>
      </c>
      <c r="U6715" s="8">
        <v>99</v>
      </c>
      <c r="Y6715" s="8" t="s">
        <v>29804</v>
      </c>
      <c r="Z6715" s="8" t="s">
        <v>29805</v>
      </c>
    </row>
    <row r="6716" spans="1:26" x14ac:dyDescent="0.2">
      <c r="A6716" s="8">
        <v>6715</v>
      </c>
      <c r="B6716" s="8" t="s">
        <v>29806</v>
      </c>
      <c r="C6716" s="8" t="s">
        <v>55952</v>
      </c>
      <c r="F6716" s="47"/>
      <c r="G6716" s="8">
        <v>1</v>
      </c>
      <c r="H6716" s="8" t="s">
        <v>21</v>
      </c>
      <c r="I6716" s="8" t="s">
        <v>567</v>
      </c>
      <c r="J6716" s="8" t="s">
        <v>567</v>
      </c>
      <c r="K6716" s="8" t="s">
        <v>568</v>
      </c>
      <c r="L6716" s="8" t="s">
        <v>28576</v>
      </c>
      <c r="M6716" s="8" t="s">
        <v>28577</v>
      </c>
      <c r="N6716" s="8" t="s">
        <v>29807</v>
      </c>
      <c r="O6716" s="8">
        <f>18+55/60+3.3/3600</f>
        <v>18.917583333333333</v>
      </c>
      <c r="P6716" s="8" t="s">
        <v>29808</v>
      </c>
      <c r="Q6716" s="8">
        <f>-(30+28/60+40/3600)</f>
        <v>-30.477777777777778</v>
      </c>
      <c r="R6716" s="8">
        <v>7.7</v>
      </c>
      <c r="S6716" s="8">
        <v>99</v>
      </c>
      <c r="T6716" s="8">
        <v>99</v>
      </c>
      <c r="U6716" s="8">
        <v>99</v>
      </c>
      <c r="V6716" s="8">
        <v>12</v>
      </c>
      <c r="Y6716" s="8" t="s">
        <v>29809</v>
      </c>
      <c r="Z6716" s="8" t="s">
        <v>29810</v>
      </c>
    </row>
    <row r="6717" spans="1:26" x14ac:dyDescent="0.2">
      <c r="A6717" s="8">
        <v>6716</v>
      </c>
      <c r="B6717" s="8" t="s">
        <v>29811</v>
      </c>
      <c r="C6717" s="8" t="s">
        <v>29811</v>
      </c>
      <c r="F6717" s="47"/>
      <c r="G6717" s="8">
        <v>8</v>
      </c>
      <c r="H6717" s="8" t="s">
        <v>21</v>
      </c>
      <c r="I6717" s="8" t="s">
        <v>557</v>
      </c>
      <c r="J6717" s="8" t="s">
        <v>557</v>
      </c>
      <c r="K6717" s="8" t="s">
        <v>600</v>
      </c>
      <c r="L6717" s="8" t="s">
        <v>28576</v>
      </c>
      <c r="M6717" s="8" t="s">
        <v>28577</v>
      </c>
      <c r="N6717" s="8" t="s">
        <v>29812</v>
      </c>
      <c r="O6717" s="8">
        <f>18+54/60+34/3600</f>
        <v>18.909444444444443</v>
      </c>
      <c r="P6717" s="8" t="s">
        <v>29813</v>
      </c>
      <c r="Q6717" s="8">
        <f>-(19+54/60+30/3600)</f>
        <v>-19.908333333333331</v>
      </c>
      <c r="R6717" s="8">
        <v>7.5</v>
      </c>
      <c r="S6717" s="8">
        <v>99</v>
      </c>
      <c r="T6717" s="8">
        <v>99</v>
      </c>
      <c r="U6717" s="8">
        <v>99</v>
      </c>
      <c r="V6717" s="8">
        <v>10</v>
      </c>
      <c r="Y6717" s="8" t="s">
        <v>29814</v>
      </c>
      <c r="Z6717" s="8" t="s">
        <v>29815</v>
      </c>
    </row>
    <row r="6718" spans="1:26" x14ac:dyDescent="0.2">
      <c r="A6718" s="8">
        <v>6717</v>
      </c>
      <c r="B6718" s="8" t="s">
        <v>29816</v>
      </c>
      <c r="C6718" s="8" t="s">
        <v>29816</v>
      </c>
      <c r="F6718" s="47" t="s">
        <v>58232</v>
      </c>
      <c r="G6718" s="8">
        <v>6.5</v>
      </c>
      <c r="H6718" s="8" t="s">
        <v>21</v>
      </c>
      <c r="I6718" s="8" t="s">
        <v>567</v>
      </c>
      <c r="J6718" s="8" t="s">
        <v>567</v>
      </c>
      <c r="K6718" s="8" t="s">
        <v>21778</v>
      </c>
      <c r="L6718" s="8" t="s">
        <v>28576</v>
      </c>
      <c r="M6718" s="8" t="s">
        <v>28577</v>
      </c>
      <c r="N6718" s="8" t="s">
        <v>29817</v>
      </c>
      <c r="O6718" s="8">
        <f>18+55/60+6.2/3600</f>
        <v>18.918388888888892</v>
      </c>
      <c r="P6718" s="8" t="s">
        <v>29818</v>
      </c>
      <c r="Q6718" s="8">
        <f>-(22+42/60+1/3600)</f>
        <v>-22.700277777777778</v>
      </c>
      <c r="R6718" s="8">
        <v>8.4</v>
      </c>
      <c r="S6718" s="8">
        <v>99</v>
      </c>
      <c r="T6718" s="8">
        <v>99</v>
      </c>
      <c r="U6718" s="8">
        <v>99</v>
      </c>
      <c r="V6718" s="8">
        <v>5.4</v>
      </c>
      <c r="Y6718" s="8" t="s">
        <v>29819</v>
      </c>
      <c r="Z6718" s="8" t="s">
        <v>29820</v>
      </c>
    </row>
    <row r="6719" spans="1:26" x14ac:dyDescent="0.2">
      <c r="A6719" s="8">
        <v>6718</v>
      </c>
      <c r="B6719" s="8" t="s">
        <v>29821</v>
      </c>
      <c r="C6719" s="8" t="s">
        <v>29821</v>
      </c>
      <c r="F6719" s="47"/>
      <c r="G6719" s="8">
        <v>16</v>
      </c>
      <c r="H6719" s="8" t="s">
        <v>21</v>
      </c>
      <c r="I6719" s="8" t="s">
        <v>22</v>
      </c>
      <c r="J6719" s="8" t="s">
        <v>22</v>
      </c>
      <c r="K6719" s="8" t="s">
        <v>218</v>
      </c>
      <c r="L6719" s="8" t="s">
        <v>28435</v>
      </c>
      <c r="M6719" s="8" t="s">
        <v>28436</v>
      </c>
      <c r="N6719" s="8" t="s">
        <v>29822</v>
      </c>
      <c r="O6719" s="8">
        <f>19+1/60+28.9/3600</f>
        <v>19.024694444444442</v>
      </c>
      <c r="P6719" s="8" t="s">
        <v>29823</v>
      </c>
      <c r="Q6719" s="8">
        <f>-(66+6/60+37/3600)</f>
        <v>-66.110277777777767</v>
      </c>
      <c r="R6719" s="8">
        <v>13.2</v>
      </c>
      <c r="S6719" s="8">
        <v>14</v>
      </c>
      <c r="T6719" s="8">
        <v>0.8</v>
      </c>
      <c r="U6719" s="8">
        <v>13.2</v>
      </c>
      <c r="V6719" s="8">
        <v>1.4</v>
      </c>
      <c r="W6719" s="8">
        <v>0.8</v>
      </c>
      <c r="X6719" s="8">
        <v>172</v>
      </c>
      <c r="Y6719" s="8" t="s">
        <v>29824</v>
      </c>
      <c r="Z6719" s="8" t="s">
        <v>29825</v>
      </c>
    </row>
    <row r="6720" spans="1:26" x14ac:dyDescent="0.2">
      <c r="A6720" s="8">
        <v>6719</v>
      </c>
      <c r="B6720" s="8" t="s">
        <v>29826</v>
      </c>
      <c r="C6720" s="8" t="s">
        <v>29826</v>
      </c>
      <c r="F6720" s="47"/>
      <c r="G6720" s="8">
        <v>16</v>
      </c>
      <c r="H6720" s="8" t="s">
        <v>21</v>
      </c>
      <c r="I6720" s="8" t="s">
        <v>22</v>
      </c>
      <c r="J6720" s="8" t="s">
        <v>22</v>
      </c>
      <c r="K6720" s="8" t="s">
        <v>160</v>
      </c>
      <c r="L6720" s="8" t="s">
        <v>28435</v>
      </c>
      <c r="M6720" s="8" t="s">
        <v>28436</v>
      </c>
      <c r="N6720" s="8" t="s">
        <v>29827</v>
      </c>
      <c r="O6720" s="8">
        <f>19+3/60+7.3/3600</f>
        <v>19.052027777777777</v>
      </c>
      <c r="P6720" s="8" t="s">
        <v>29828</v>
      </c>
      <c r="Q6720" s="8">
        <f>-(68+35/60+16/3600)</f>
        <v>-68.587777777777774</v>
      </c>
      <c r="R6720" s="8">
        <v>12.8</v>
      </c>
      <c r="S6720" s="8">
        <v>13.5</v>
      </c>
      <c r="T6720" s="8">
        <v>0.7</v>
      </c>
      <c r="U6720" s="8">
        <v>13</v>
      </c>
      <c r="V6720" s="8">
        <v>1.7</v>
      </c>
      <c r="W6720" s="8">
        <v>0.8</v>
      </c>
      <c r="X6720" s="8">
        <v>107</v>
      </c>
      <c r="Y6720" s="8" t="s">
        <v>29829</v>
      </c>
      <c r="Z6720" s="8" t="s">
        <v>16114</v>
      </c>
    </row>
    <row r="6721" spans="1:26" x14ac:dyDescent="0.2">
      <c r="A6721" s="8">
        <v>6720</v>
      </c>
      <c r="B6721" s="8" t="s">
        <v>29830</v>
      </c>
      <c r="C6721" s="8" t="s">
        <v>55953</v>
      </c>
      <c r="F6721" s="47"/>
      <c r="G6721" s="8">
        <v>1</v>
      </c>
      <c r="H6721" s="8" t="s">
        <v>29831</v>
      </c>
      <c r="I6721" s="8" t="s">
        <v>241</v>
      </c>
      <c r="J6721" s="8" t="s">
        <v>241</v>
      </c>
      <c r="K6721" s="8" t="s">
        <v>241</v>
      </c>
      <c r="L6721" s="8" t="s">
        <v>29334</v>
      </c>
      <c r="M6721" s="8" t="s">
        <v>29335</v>
      </c>
      <c r="N6721" s="8" t="s">
        <v>29832</v>
      </c>
      <c r="O6721" s="8">
        <f>18+53/60+35.1/3600</f>
        <v>18.893083333333333</v>
      </c>
      <c r="P6721" s="8" t="s">
        <v>29833</v>
      </c>
      <c r="Q6721" s="8">
        <f>+(33+1/60+47/3600)</f>
        <v>33.029722222222219</v>
      </c>
      <c r="R6721" s="8">
        <v>8.8000000000000007</v>
      </c>
      <c r="S6721" s="8">
        <v>9.6999999999999993</v>
      </c>
      <c r="T6721" s="8">
        <v>99</v>
      </c>
      <c r="U6721" s="8">
        <v>99</v>
      </c>
      <c r="V6721" s="8">
        <v>3</v>
      </c>
      <c r="W6721" s="8">
        <v>2.4</v>
      </c>
      <c r="X6721" s="8">
        <v>55</v>
      </c>
      <c r="Y6721" s="8" t="s">
        <v>29834</v>
      </c>
      <c r="Z6721" s="8" t="s">
        <v>29835</v>
      </c>
    </row>
    <row r="6722" spans="1:26" x14ac:dyDescent="0.2">
      <c r="A6722" s="8">
        <v>6721</v>
      </c>
      <c r="B6722" s="8" t="s">
        <v>29836</v>
      </c>
      <c r="C6722" s="8" t="s">
        <v>29836</v>
      </c>
      <c r="F6722" s="47"/>
      <c r="G6722" s="8">
        <v>13</v>
      </c>
      <c r="H6722" s="8" t="s">
        <v>21</v>
      </c>
      <c r="I6722" s="8" t="s">
        <v>22</v>
      </c>
      <c r="J6722" s="8" t="s">
        <v>22</v>
      </c>
      <c r="K6722" s="8" t="s">
        <v>183</v>
      </c>
      <c r="L6722" s="8" t="s">
        <v>28435</v>
      </c>
      <c r="M6722" s="8" t="s">
        <v>28436</v>
      </c>
      <c r="N6722" s="8" t="s">
        <v>29837</v>
      </c>
      <c r="O6722" s="8">
        <f>19+0/60+50.9/3600</f>
        <v>19.01413888888889</v>
      </c>
      <c r="P6722" s="8" t="s">
        <v>29838</v>
      </c>
      <c r="Q6722" s="8">
        <f>-(57+45/60+34/3600)</f>
        <v>-57.759444444444448</v>
      </c>
      <c r="R6722" s="8">
        <v>12</v>
      </c>
      <c r="S6722" s="8">
        <v>13.1</v>
      </c>
      <c r="T6722" s="8">
        <v>1.1000000000000001</v>
      </c>
      <c r="U6722" s="8">
        <v>12.9</v>
      </c>
      <c r="V6722" s="8">
        <v>1.6</v>
      </c>
      <c r="W6722" s="8">
        <v>1.4</v>
      </c>
      <c r="X6722" s="8">
        <v>155</v>
      </c>
      <c r="Y6722" s="8" t="s">
        <v>29839</v>
      </c>
      <c r="Z6722" s="8" t="s">
        <v>29840</v>
      </c>
    </row>
    <row r="6723" spans="1:26" x14ac:dyDescent="0.2">
      <c r="A6723" s="8">
        <v>6722</v>
      </c>
      <c r="B6723" s="8" t="s">
        <v>29841</v>
      </c>
      <c r="C6723" s="8" t="s">
        <v>29841</v>
      </c>
      <c r="F6723" s="47"/>
      <c r="G6723" s="8">
        <v>16</v>
      </c>
      <c r="H6723" s="8" t="s">
        <v>21</v>
      </c>
      <c r="I6723" s="8" t="s">
        <v>22</v>
      </c>
      <c r="J6723" s="8" t="s">
        <v>22</v>
      </c>
      <c r="K6723" s="8" t="s">
        <v>23</v>
      </c>
      <c r="L6723" s="8" t="s">
        <v>28435</v>
      </c>
      <c r="M6723" s="8" t="s">
        <v>28436</v>
      </c>
      <c r="N6723" s="8" t="s">
        <v>29842</v>
      </c>
      <c r="O6723" s="8">
        <f>19+3/60+40.1/3600</f>
        <v>19.061138888888891</v>
      </c>
      <c r="P6723" s="8" t="s">
        <v>29843</v>
      </c>
      <c r="Q6723" s="8">
        <f>-(64+53/60+42/3600)</f>
        <v>-64.89500000000001</v>
      </c>
      <c r="R6723" s="8">
        <v>12.5</v>
      </c>
      <c r="S6723" s="8">
        <v>13.3</v>
      </c>
      <c r="T6723" s="8">
        <v>0.8</v>
      </c>
      <c r="U6723" s="8">
        <v>12.5</v>
      </c>
      <c r="V6723" s="8">
        <v>2.9</v>
      </c>
      <c r="W6723" s="8">
        <v>0.4</v>
      </c>
      <c r="X6723" s="8">
        <v>166</v>
      </c>
      <c r="Y6723" s="8" t="s">
        <v>29844</v>
      </c>
      <c r="Z6723" s="8" t="s">
        <v>29845</v>
      </c>
    </row>
    <row r="6724" spans="1:26" x14ac:dyDescent="0.2">
      <c r="A6724" s="8">
        <v>6723</v>
      </c>
      <c r="B6724" s="8" t="s">
        <v>29846</v>
      </c>
      <c r="C6724" s="8" t="s">
        <v>29846</v>
      </c>
      <c r="F6724" s="47"/>
      <c r="G6724" s="8">
        <v>3</v>
      </c>
      <c r="H6724" s="8" t="s">
        <v>29847</v>
      </c>
      <c r="I6724" s="8" t="s">
        <v>567</v>
      </c>
      <c r="J6724" s="8" t="s">
        <v>567</v>
      </c>
      <c r="K6724" s="8" t="s">
        <v>25384</v>
      </c>
      <c r="L6724" s="8" t="s">
        <v>28576</v>
      </c>
      <c r="M6724" s="8" t="s">
        <v>28577</v>
      </c>
      <c r="N6724" s="8" t="s">
        <v>29848</v>
      </c>
      <c r="O6724" s="8">
        <f>18+59/60+33.2/3600</f>
        <v>18.992555555555555</v>
      </c>
      <c r="P6724" s="8" t="s">
        <v>29849</v>
      </c>
      <c r="Q6724" s="8">
        <f>-(36+37/60+52/3600)</f>
        <v>-36.63111111111111</v>
      </c>
      <c r="R6724" s="8">
        <v>6.8</v>
      </c>
      <c r="S6724" s="8">
        <v>99</v>
      </c>
      <c r="T6724" s="8">
        <v>99</v>
      </c>
      <c r="U6724" s="8">
        <v>99</v>
      </c>
      <c r="V6724" s="8">
        <v>13</v>
      </c>
      <c r="Y6724" s="8" t="s">
        <v>29850</v>
      </c>
      <c r="Z6724" s="8" t="s">
        <v>29851</v>
      </c>
    </row>
    <row r="6725" spans="1:26" x14ac:dyDescent="0.2">
      <c r="A6725" s="8">
        <v>6724</v>
      </c>
      <c r="B6725" s="8" t="s">
        <v>29852</v>
      </c>
      <c r="C6725" s="8" t="s">
        <v>29852</v>
      </c>
      <c r="F6725" s="47"/>
      <c r="G6725" s="8">
        <v>8.5</v>
      </c>
      <c r="H6725" s="8" t="s">
        <v>21</v>
      </c>
      <c r="I6725" s="8" t="s">
        <v>72</v>
      </c>
      <c r="J6725" s="8" t="s">
        <v>72</v>
      </c>
      <c r="K6725" s="8" t="s">
        <v>1405</v>
      </c>
      <c r="L6725" s="8" t="s">
        <v>29781</v>
      </c>
      <c r="M6725" s="8" t="s">
        <v>29782</v>
      </c>
      <c r="N6725" s="8" t="s">
        <v>29853</v>
      </c>
      <c r="O6725" s="8">
        <f>18+56/60+46/3600</f>
        <v>18.946111111111112</v>
      </c>
      <c r="P6725" s="8" t="s">
        <v>29854</v>
      </c>
      <c r="Q6725" s="8">
        <f>+(10+25/60+42/3600)</f>
        <v>10.428333333333333</v>
      </c>
      <c r="R6725" s="8">
        <v>99</v>
      </c>
      <c r="S6725" s="8">
        <v>99</v>
      </c>
      <c r="T6725" s="8">
        <v>99</v>
      </c>
      <c r="U6725" s="8">
        <v>99</v>
      </c>
      <c r="Y6725" s="8" t="s">
        <v>11441</v>
      </c>
      <c r="Z6725" s="8" t="s">
        <v>29855</v>
      </c>
    </row>
    <row r="6726" spans="1:26" x14ac:dyDescent="0.2">
      <c r="A6726" s="8">
        <v>6725</v>
      </c>
      <c r="B6726" s="8" t="s">
        <v>29856</v>
      </c>
      <c r="C6726" s="8" t="s">
        <v>29856</v>
      </c>
      <c r="F6726" s="47"/>
      <c r="G6726" s="8">
        <v>16</v>
      </c>
      <c r="H6726" s="8" t="s">
        <v>21</v>
      </c>
      <c r="I6726" s="8" t="s">
        <v>22</v>
      </c>
      <c r="J6726" s="8" t="s">
        <v>22</v>
      </c>
      <c r="K6726" s="8" t="s">
        <v>37</v>
      </c>
      <c r="L6726" s="8" t="s">
        <v>29246</v>
      </c>
      <c r="M6726" s="8" t="s">
        <v>29247</v>
      </c>
      <c r="N6726" s="8" t="s">
        <v>29857</v>
      </c>
      <c r="O6726" s="8">
        <f>19+1/60+56.4/3600</f>
        <v>19.032333333333334</v>
      </c>
      <c r="P6726" s="8" t="s">
        <v>29858</v>
      </c>
      <c r="Q6726" s="8">
        <f>-(53+51/60+51/3600)</f>
        <v>-53.864166666666669</v>
      </c>
      <c r="R6726" s="8">
        <v>11.3</v>
      </c>
      <c r="S6726" s="8">
        <v>12.2</v>
      </c>
      <c r="T6726" s="8">
        <v>0.9</v>
      </c>
      <c r="U6726" s="8">
        <v>12.1</v>
      </c>
      <c r="V6726" s="8">
        <v>2.2000000000000002</v>
      </c>
      <c r="W6726" s="8">
        <v>0.5</v>
      </c>
      <c r="X6726" s="8">
        <v>40</v>
      </c>
      <c r="Y6726" s="8" t="s">
        <v>2734</v>
      </c>
      <c r="Z6726" s="8" t="s">
        <v>2735</v>
      </c>
    </row>
    <row r="6727" spans="1:26" x14ac:dyDescent="0.2">
      <c r="A6727" s="8">
        <v>6726</v>
      </c>
      <c r="B6727" s="8" t="s">
        <v>29859</v>
      </c>
      <c r="C6727" s="8" t="s">
        <v>29859</v>
      </c>
      <c r="F6727" s="47"/>
      <c r="G6727" s="8">
        <v>8</v>
      </c>
      <c r="H6727" s="8" t="s">
        <v>21</v>
      </c>
      <c r="I6727" s="8" t="s">
        <v>1283</v>
      </c>
      <c r="J6727" s="8" t="s">
        <v>1283</v>
      </c>
      <c r="K6727" s="8" t="s">
        <v>6208</v>
      </c>
      <c r="L6727" s="8" t="s">
        <v>29060</v>
      </c>
      <c r="M6727" s="8" t="s">
        <v>29061</v>
      </c>
      <c r="N6727" s="8" t="s">
        <v>29860</v>
      </c>
      <c r="O6727" s="8">
        <f>19+1/60+39.2/3600</f>
        <v>19.027555555555555</v>
      </c>
      <c r="P6727" s="8" t="s">
        <v>29861</v>
      </c>
      <c r="Q6727" s="8">
        <f>-(36+53/60+29/3600)</f>
        <v>-36.891388888888891</v>
      </c>
      <c r="R6727" s="8">
        <v>99</v>
      </c>
      <c r="S6727" s="8">
        <v>99</v>
      </c>
      <c r="T6727" s="8">
        <v>99</v>
      </c>
      <c r="U6727" s="8">
        <v>99</v>
      </c>
      <c r="V6727" s="8">
        <v>9</v>
      </c>
      <c r="W6727" s="8">
        <v>7</v>
      </c>
      <c r="Y6727" s="8" t="s">
        <v>29862</v>
      </c>
      <c r="Z6727" s="8" t="s">
        <v>29863</v>
      </c>
    </row>
    <row r="6728" spans="1:26" x14ac:dyDescent="0.2">
      <c r="A6728" s="8">
        <v>6727</v>
      </c>
      <c r="B6728" s="8" t="s">
        <v>29864</v>
      </c>
      <c r="C6728" s="8" t="s">
        <v>29864</v>
      </c>
      <c r="F6728" s="47"/>
      <c r="G6728" s="8">
        <v>11</v>
      </c>
      <c r="H6728" s="8" t="s">
        <v>21</v>
      </c>
      <c r="I6728" s="8" t="s">
        <v>1283</v>
      </c>
      <c r="J6728" s="8" t="s">
        <v>1283</v>
      </c>
      <c r="K6728" s="8" t="s">
        <v>6208</v>
      </c>
      <c r="L6728" s="8" t="s">
        <v>29060</v>
      </c>
      <c r="M6728" s="8" t="s">
        <v>29061</v>
      </c>
      <c r="N6728" s="8" t="s">
        <v>29865</v>
      </c>
      <c r="O6728" s="8">
        <f>19+1/60+42.2/3600</f>
        <v>19.028388888888887</v>
      </c>
      <c r="P6728" s="8" t="s">
        <v>29866</v>
      </c>
      <c r="Q6728" s="8">
        <f>-(36+52/60+35/3600)</f>
        <v>-36.87638888888889</v>
      </c>
      <c r="R6728" s="8">
        <v>99</v>
      </c>
      <c r="S6728" s="8">
        <v>99</v>
      </c>
      <c r="T6728" s="8">
        <v>99</v>
      </c>
      <c r="U6728" s="8">
        <v>99</v>
      </c>
      <c r="V6728" s="8">
        <v>80</v>
      </c>
      <c r="Y6728" s="8" t="s">
        <v>29867</v>
      </c>
      <c r="Z6728" s="8" t="s">
        <v>29868</v>
      </c>
    </row>
    <row r="6729" spans="1:26" x14ac:dyDescent="0.2">
      <c r="A6729" s="8">
        <v>6728</v>
      </c>
      <c r="B6729" s="8" t="s">
        <v>29869</v>
      </c>
      <c r="C6729" s="8" t="s">
        <v>29869</v>
      </c>
      <c r="F6729" s="47" t="s">
        <v>58233</v>
      </c>
      <c r="G6729" s="8">
        <v>15</v>
      </c>
      <c r="H6729" s="8" t="s">
        <v>21</v>
      </c>
      <c r="I6729" s="8" t="s">
        <v>72</v>
      </c>
      <c r="J6729" s="8" t="s">
        <v>72</v>
      </c>
      <c r="K6729" s="8" t="s">
        <v>1405</v>
      </c>
      <c r="L6729" s="8" t="s">
        <v>29416</v>
      </c>
      <c r="M6729" s="8" t="s">
        <v>29417</v>
      </c>
      <c r="N6729" s="8" t="s">
        <v>29870</v>
      </c>
      <c r="O6729" s="8">
        <f>19+0/60+14/3600</f>
        <v>19.003888888888888</v>
      </c>
      <c r="P6729" s="8" t="s">
        <v>29871</v>
      </c>
      <c r="Q6729" s="8">
        <f>-(8+57/60+26/3600)</f>
        <v>-8.9572222222222209</v>
      </c>
      <c r="R6729" s="8">
        <v>99</v>
      </c>
      <c r="S6729" s="8">
        <v>99</v>
      </c>
      <c r="T6729" s="8">
        <v>99</v>
      </c>
      <c r="U6729" s="8">
        <v>99</v>
      </c>
      <c r="Y6729" s="8" t="s">
        <v>29872</v>
      </c>
      <c r="Z6729" s="8" t="s">
        <v>29873</v>
      </c>
    </row>
    <row r="6730" spans="1:26" x14ac:dyDescent="0.2">
      <c r="A6730" s="8">
        <v>6729</v>
      </c>
      <c r="B6730" s="8" t="s">
        <v>29874</v>
      </c>
      <c r="C6730" s="8" t="s">
        <v>29874</v>
      </c>
      <c r="F6730" s="47"/>
      <c r="G6730" s="8">
        <v>2</v>
      </c>
      <c r="H6730" s="8" t="s">
        <v>29875</v>
      </c>
      <c r="I6730" s="8" t="s">
        <v>1283</v>
      </c>
      <c r="J6730" s="8" t="s">
        <v>1283</v>
      </c>
      <c r="K6730" s="8" t="s">
        <v>9155</v>
      </c>
      <c r="L6730" s="8" t="s">
        <v>29060</v>
      </c>
      <c r="M6730" s="8" t="s">
        <v>29061</v>
      </c>
      <c r="N6730" s="8" t="s">
        <v>29876</v>
      </c>
      <c r="O6730" s="8">
        <f>19+1/60+55.3/3600</f>
        <v>19.032027777777778</v>
      </c>
      <c r="P6730" s="8" t="s">
        <v>29877</v>
      </c>
      <c r="Q6730" s="8">
        <f>-(36+57/60+28/3600)</f>
        <v>-36.957777777777778</v>
      </c>
      <c r="R6730" s="8">
        <v>99</v>
      </c>
      <c r="S6730" s="8">
        <v>99</v>
      </c>
      <c r="T6730" s="8">
        <v>99</v>
      </c>
      <c r="U6730" s="8">
        <v>99</v>
      </c>
      <c r="V6730" s="8">
        <v>25</v>
      </c>
      <c r="W6730" s="8">
        <v>20</v>
      </c>
      <c r="Y6730" s="8" t="s">
        <v>29878</v>
      </c>
      <c r="Z6730" s="8" t="s">
        <v>29879</v>
      </c>
    </row>
    <row r="6731" spans="1:26" x14ac:dyDescent="0.2">
      <c r="A6731" s="8">
        <v>6730</v>
      </c>
      <c r="B6731" s="8" t="s">
        <v>29880</v>
      </c>
      <c r="C6731" s="8" t="s">
        <v>29880</v>
      </c>
      <c r="F6731" s="47"/>
      <c r="G6731" s="8">
        <v>16</v>
      </c>
      <c r="H6731" s="8" t="s">
        <v>21</v>
      </c>
      <c r="I6731" s="8" t="s">
        <v>22</v>
      </c>
      <c r="J6731" s="8" t="s">
        <v>22</v>
      </c>
      <c r="K6731" s="8" t="s">
        <v>183</v>
      </c>
      <c r="L6731" s="8" t="s">
        <v>28435</v>
      </c>
      <c r="M6731" s="8" t="s">
        <v>28436</v>
      </c>
      <c r="N6731" s="8" t="s">
        <v>29881</v>
      </c>
      <c r="O6731" s="8">
        <f>19+7/60+33.6/3600</f>
        <v>19.126000000000001</v>
      </c>
      <c r="P6731" s="8" t="s">
        <v>29882</v>
      </c>
      <c r="Q6731" s="8">
        <f>-(68+54/60+44/3600)</f>
        <v>-68.912222222222226</v>
      </c>
      <c r="R6731" s="8">
        <v>11.2</v>
      </c>
      <c r="S6731" s="8">
        <v>12.2</v>
      </c>
      <c r="T6731" s="8">
        <v>1</v>
      </c>
      <c r="U6731" s="8">
        <v>13.2</v>
      </c>
      <c r="V6731" s="8">
        <v>1.8</v>
      </c>
      <c r="W6731" s="8">
        <v>1.5</v>
      </c>
      <c r="X6731" s="8">
        <v>25</v>
      </c>
      <c r="Y6731" s="8" t="s">
        <v>29883</v>
      </c>
      <c r="Z6731" s="8" t="s">
        <v>29884</v>
      </c>
    </row>
    <row r="6732" spans="1:26" x14ac:dyDescent="0.2">
      <c r="A6732" s="8">
        <v>6731</v>
      </c>
      <c r="B6732" s="8" t="s">
        <v>29885</v>
      </c>
      <c r="C6732" s="8" t="s">
        <v>29885</v>
      </c>
      <c r="F6732" s="47"/>
      <c r="G6732" s="8">
        <v>19</v>
      </c>
      <c r="H6732" s="8" t="s">
        <v>21</v>
      </c>
      <c r="I6732" s="8" t="s">
        <v>72</v>
      </c>
      <c r="J6732" s="8" t="s">
        <v>72</v>
      </c>
      <c r="K6732" s="8" t="s">
        <v>1405</v>
      </c>
      <c r="L6732" s="8" t="s">
        <v>29334</v>
      </c>
      <c r="M6732" s="8" t="s">
        <v>29335</v>
      </c>
      <c r="N6732" s="8" t="s">
        <v>29886</v>
      </c>
      <c r="O6732" s="8">
        <f>18+57/60+13.5/3600</f>
        <v>18.953749999999999</v>
      </c>
      <c r="P6732" s="8" t="s">
        <v>29887</v>
      </c>
      <c r="Q6732" s="8">
        <f>+(43+4/60+38/3600)</f>
        <v>43.077222222222225</v>
      </c>
      <c r="R6732" s="8">
        <v>99</v>
      </c>
      <c r="S6732" s="8">
        <v>99</v>
      </c>
      <c r="T6732" s="8">
        <v>99</v>
      </c>
      <c r="U6732" s="8">
        <v>99</v>
      </c>
      <c r="Y6732" s="8" t="s">
        <v>297</v>
      </c>
      <c r="Z6732" s="8" t="s">
        <v>298</v>
      </c>
    </row>
    <row r="6733" spans="1:26" x14ac:dyDescent="0.2">
      <c r="A6733" s="8">
        <v>6732</v>
      </c>
      <c r="B6733" s="8" t="s">
        <v>29888</v>
      </c>
      <c r="C6733" s="8" t="s">
        <v>29888</v>
      </c>
      <c r="E6733" s="8">
        <v>1</v>
      </c>
      <c r="F6733" s="47"/>
      <c r="G6733" s="8">
        <v>19</v>
      </c>
      <c r="H6733" s="8" t="s">
        <v>21</v>
      </c>
      <c r="I6733" s="8" t="s">
        <v>22</v>
      </c>
      <c r="J6733" s="8" t="s">
        <v>22</v>
      </c>
      <c r="K6733" s="8" t="s">
        <v>50</v>
      </c>
      <c r="L6733" s="8" t="s">
        <v>13395</v>
      </c>
      <c r="M6733" s="8" t="s">
        <v>13396</v>
      </c>
      <c r="N6733" s="8" t="s">
        <v>29889</v>
      </c>
      <c r="O6733" s="8">
        <f>18+56/60+24.1/3600</f>
        <v>18.940027777777779</v>
      </c>
      <c r="P6733" s="8" t="s">
        <v>29890</v>
      </c>
      <c r="Q6733" s="8">
        <f>+(52+22/60+39/3600)</f>
        <v>52.377499999999998</v>
      </c>
      <c r="R6733" s="8">
        <v>13.8</v>
      </c>
      <c r="S6733" s="8">
        <v>14.8</v>
      </c>
      <c r="T6733" s="8">
        <v>1</v>
      </c>
      <c r="U6733" s="8">
        <v>13.6</v>
      </c>
      <c r="V6733" s="8">
        <v>1.2</v>
      </c>
      <c r="W6733" s="8">
        <v>0.7</v>
      </c>
      <c r="X6733" s="8">
        <v>100</v>
      </c>
      <c r="Y6733" s="8" t="s">
        <v>29891</v>
      </c>
      <c r="Z6733" s="8" t="s">
        <v>29892</v>
      </c>
    </row>
    <row r="6734" spans="1:26" x14ac:dyDescent="0.2">
      <c r="A6734" s="8">
        <v>6733</v>
      </c>
      <c r="B6734" s="8" t="s">
        <v>29893</v>
      </c>
      <c r="C6734" s="8" t="s">
        <v>29893</v>
      </c>
      <c r="F6734" s="47"/>
      <c r="G6734" s="8">
        <v>16</v>
      </c>
      <c r="H6734" s="8" t="s">
        <v>21</v>
      </c>
      <c r="I6734" s="8" t="s">
        <v>22</v>
      </c>
      <c r="J6734" s="8" t="s">
        <v>22</v>
      </c>
      <c r="K6734" s="8" t="s">
        <v>224</v>
      </c>
      <c r="L6734" s="8" t="s">
        <v>28435</v>
      </c>
      <c r="M6734" s="8" t="s">
        <v>28436</v>
      </c>
      <c r="N6734" s="8" t="s">
        <v>29894</v>
      </c>
      <c r="O6734" s="8">
        <f>19+6/60+10.7/3600</f>
        <v>19.102972222222224</v>
      </c>
      <c r="P6734" s="8" t="s">
        <v>29895</v>
      </c>
      <c r="Q6734" s="8">
        <f>-(62+11/60+48/3600)</f>
        <v>-62.196666666666665</v>
      </c>
      <c r="R6734" s="8">
        <v>12.3</v>
      </c>
      <c r="S6734" s="8">
        <v>13.3</v>
      </c>
      <c r="T6734" s="8">
        <v>1</v>
      </c>
      <c r="U6734" s="8">
        <v>13</v>
      </c>
      <c r="V6734" s="8">
        <v>1.8</v>
      </c>
      <c r="W6734" s="8">
        <v>1.2</v>
      </c>
      <c r="X6734" s="8">
        <v>110</v>
      </c>
      <c r="Y6734" s="8" t="s">
        <v>29896</v>
      </c>
      <c r="Z6734" s="8" t="s">
        <v>29897</v>
      </c>
    </row>
    <row r="6735" spans="1:26" x14ac:dyDescent="0.2">
      <c r="A6735" s="8">
        <v>6734</v>
      </c>
      <c r="B6735" s="8" t="s">
        <v>29898</v>
      </c>
      <c r="C6735" s="8" t="s">
        <v>29898</v>
      </c>
      <c r="F6735" s="47"/>
      <c r="G6735" s="8">
        <v>16</v>
      </c>
      <c r="H6735" s="8" t="s">
        <v>21</v>
      </c>
      <c r="I6735" s="8" t="s">
        <v>22</v>
      </c>
      <c r="J6735" s="8" t="s">
        <v>22</v>
      </c>
      <c r="K6735" s="8" t="s">
        <v>58</v>
      </c>
      <c r="L6735" s="8" t="s">
        <v>28435</v>
      </c>
      <c r="M6735" s="8" t="s">
        <v>28436</v>
      </c>
      <c r="N6735" s="8" t="s">
        <v>29899</v>
      </c>
      <c r="O6735" s="8">
        <f>19+7/60+14.4/3600</f>
        <v>19.120666666666668</v>
      </c>
      <c r="P6735" s="8" t="s">
        <v>29900</v>
      </c>
      <c r="Q6735" s="8">
        <f>-(65+27/60+39/3600)</f>
        <v>-65.460833333333341</v>
      </c>
      <c r="R6735" s="8">
        <v>12.7</v>
      </c>
      <c r="S6735" s="8">
        <v>13.7</v>
      </c>
      <c r="T6735" s="8">
        <v>1</v>
      </c>
      <c r="U6735" s="8">
        <v>12.9</v>
      </c>
      <c r="V6735" s="8">
        <v>1.3</v>
      </c>
      <c r="W6735" s="8">
        <v>1.1000000000000001</v>
      </c>
      <c r="X6735" s="8">
        <v>8</v>
      </c>
      <c r="Y6735" s="8" t="s">
        <v>29901</v>
      </c>
      <c r="Z6735" s="8" t="s">
        <v>29902</v>
      </c>
    </row>
    <row r="6736" spans="1:26" x14ac:dyDescent="0.2">
      <c r="A6736" s="8">
        <v>6735</v>
      </c>
      <c r="B6736" s="8" t="s">
        <v>29903</v>
      </c>
      <c r="C6736" s="8" t="s">
        <v>29903</v>
      </c>
      <c r="F6736" s="47"/>
      <c r="G6736" s="8">
        <v>16</v>
      </c>
      <c r="H6736" s="8" t="s">
        <v>21</v>
      </c>
      <c r="I6736" s="8" t="s">
        <v>72</v>
      </c>
      <c r="J6736" s="8" t="s">
        <v>72</v>
      </c>
      <c r="K6736" s="8" t="s">
        <v>1405</v>
      </c>
      <c r="L6736" s="8" t="s">
        <v>29781</v>
      </c>
      <c r="M6736" s="8" t="s">
        <v>29782</v>
      </c>
      <c r="N6736" s="8" t="s">
        <v>29904</v>
      </c>
      <c r="O6736" s="8">
        <f>19+0/60+45.3/3600</f>
        <v>19.012583333333332</v>
      </c>
      <c r="P6736" s="8" t="s">
        <v>29905</v>
      </c>
      <c r="Q6736" s="8">
        <f>-(0+27/60+21/3600)</f>
        <v>-0.45583333333333337</v>
      </c>
      <c r="R6736" s="8">
        <v>99</v>
      </c>
      <c r="S6736" s="8">
        <v>99</v>
      </c>
      <c r="T6736" s="8">
        <v>99</v>
      </c>
      <c r="U6736" s="8">
        <v>99</v>
      </c>
      <c r="V6736" s="8">
        <v>8</v>
      </c>
      <c r="Y6736" s="8" t="s">
        <v>29906</v>
      </c>
      <c r="Z6736" s="8" t="s">
        <v>29907</v>
      </c>
    </row>
    <row r="6737" spans="1:26" x14ac:dyDescent="0.2">
      <c r="A6737" s="8">
        <v>6736</v>
      </c>
      <c r="B6737" s="8" t="s">
        <v>29908</v>
      </c>
      <c r="C6737" s="8" t="s">
        <v>29908</v>
      </c>
      <c r="F6737" s="47"/>
      <c r="G6737" s="8">
        <v>16</v>
      </c>
      <c r="H6737" s="8" t="s">
        <v>21</v>
      </c>
      <c r="I6737" s="8" t="s">
        <v>22</v>
      </c>
      <c r="J6737" s="8" t="s">
        <v>22</v>
      </c>
      <c r="K6737" s="8" t="s">
        <v>1136</v>
      </c>
      <c r="L6737" s="8" t="s">
        <v>28435</v>
      </c>
      <c r="M6737" s="8" t="s">
        <v>28436</v>
      </c>
      <c r="N6737" s="8" t="s">
        <v>29909</v>
      </c>
      <c r="O6737" s="8">
        <f>19+7/60+29.3/3600</f>
        <v>19.124805555555557</v>
      </c>
      <c r="P6737" s="8" t="s">
        <v>29910</v>
      </c>
      <c r="Q6737" s="8">
        <f>-(65+25/60+43/3600)</f>
        <v>-65.42861111111111</v>
      </c>
      <c r="R6737" s="8">
        <v>13.3</v>
      </c>
      <c r="S6737" s="8">
        <v>14.3</v>
      </c>
      <c r="T6737" s="8">
        <v>1</v>
      </c>
      <c r="U6737" s="8">
        <v>13.4</v>
      </c>
      <c r="V6737" s="8">
        <v>1.1000000000000001</v>
      </c>
      <c r="W6737" s="8">
        <v>0.9</v>
      </c>
      <c r="X6737" s="8">
        <v>73</v>
      </c>
      <c r="Y6737" s="8" t="s">
        <v>29911</v>
      </c>
      <c r="Z6737" s="8" t="s">
        <v>29912</v>
      </c>
    </row>
    <row r="6738" spans="1:26" x14ac:dyDescent="0.2">
      <c r="A6738" s="8">
        <v>6737</v>
      </c>
      <c r="B6738" s="8" t="s">
        <v>29913</v>
      </c>
      <c r="C6738" s="8" t="s">
        <v>29913</v>
      </c>
      <c r="F6738" s="47"/>
      <c r="G6738" s="8">
        <v>16</v>
      </c>
      <c r="H6738" s="8" t="s">
        <v>21</v>
      </c>
      <c r="I6738" s="8" t="s">
        <v>72</v>
      </c>
      <c r="J6738" s="8" t="s">
        <v>72</v>
      </c>
      <c r="K6738" s="8" t="s">
        <v>1405</v>
      </c>
      <c r="L6738" s="8" t="s">
        <v>28576</v>
      </c>
      <c r="M6738" s="8" t="s">
        <v>28577</v>
      </c>
      <c r="N6738" s="8" t="s">
        <v>29914</v>
      </c>
      <c r="O6738" s="8">
        <f>19+2/60+10/3600</f>
        <v>19.036111111111111</v>
      </c>
      <c r="P6738" s="8" t="s">
        <v>29915</v>
      </c>
      <c r="Q6738" s="8">
        <f>-(18+32/60+48/3600)</f>
        <v>-18.546666666666667</v>
      </c>
      <c r="R6738" s="8">
        <v>99</v>
      </c>
      <c r="S6738" s="8">
        <v>99</v>
      </c>
      <c r="T6738" s="8">
        <v>99</v>
      </c>
      <c r="U6738" s="8">
        <v>99</v>
      </c>
      <c r="Y6738" s="8" t="s">
        <v>29916</v>
      </c>
      <c r="Z6738" s="8" t="s">
        <v>29917</v>
      </c>
    </row>
    <row r="6739" spans="1:26" x14ac:dyDescent="0.2">
      <c r="A6739" s="8">
        <v>6738</v>
      </c>
      <c r="B6739" s="8" t="s">
        <v>29918</v>
      </c>
      <c r="C6739" s="8" t="s">
        <v>29918</v>
      </c>
      <c r="F6739" s="47"/>
      <c r="G6739" s="8">
        <v>14</v>
      </c>
      <c r="H6739" s="8" t="s">
        <v>21</v>
      </c>
      <c r="I6739" s="8" t="s">
        <v>72</v>
      </c>
      <c r="J6739" s="8" t="s">
        <v>72</v>
      </c>
      <c r="K6739" s="8" t="s">
        <v>1405</v>
      </c>
      <c r="L6739" s="8" t="s">
        <v>29781</v>
      </c>
      <c r="M6739" s="8" t="s">
        <v>29782</v>
      </c>
      <c r="N6739" s="8" t="s">
        <v>29919</v>
      </c>
      <c r="O6739" s="8">
        <f>19+1/60+20/3600</f>
        <v>19.022222222222222</v>
      </c>
      <c r="P6739" s="8" t="s">
        <v>29920</v>
      </c>
      <c r="Q6739" s="8">
        <f>+(11+36/60+54/3600)</f>
        <v>11.615</v>
      </c>
      <c r="R6739" s="8">
        <v>8.3000000000000007</v>
      </c>
      <c r="S6739" s="8">
        <v>99</v>
      </c>
      <c r="T6739" s="8">
        <v>99</v>
      </c>
      <c r="U6739" s="8">
        <v>99</v>
      </c>
      <c r="V6739" s="8">
        <v>15</v>
      </c>
      <c r="Y6739" s="8" t="s">
        <v>10888</v>
      </c>
      <c r="Z6739" s="8" t="s">
        <v>10889</v>
      </c>
    </row>
    <row r="6740" spans="1:26" x14ac:dyDescent="0.2">
      <c r="A6740" s="8">
        <v>6739</v>
      </c>
      <c r="B6740" s="8" t="s">
        <v>29921</v>
      </c>
      <c r="C6740" s="8" t="s">
        <v>29921</v>
      </c>
      <c r="F6740" s="47"/>
      <c r="G6740" s="8">
        <v>16</v>
      </c>
      <c r="H6740" s="8" t="s">
        <v>21</v>
      </c>
      <c r="I6740" s="8" t="s">
        <v>22</v>
      </c>
      <c r="J6740" s="8" t="s">
        <v>22</v>
      </c>
      <c r="K6740" s="8" t="s">
        <v>37</v>
      </c>
      <c r="L6740" s="8" t="s">
        <v>28435</v>
      </c>
      <c r="M6740" s="8" t="s">
        <v>28436</v>
      </c>
      <c r="N6740" s="8" t="s">
        <v>29922</v>
      </c>
      <c r="O6740" s="8">
        <f>19+7/60+48.7/3600</f>
        <v>19.130194444444445</v>
      </c>
      <c r="P6740" s="8" t="s">
        <v>29923</v>
      </c>
      <c r="Q6740" s="8">
        <f>-(61+22/60+3/3600)</f>
        <v>-61.3675</v>
      </c>
      <c r="R6740" s="8">
        <v>12.2</v>
      </c>
      <c r="S6740" s="8">
        <v>13.2</v>
      </c>
      <c r="T6740" s="8">
        <v>1</v>
      </c>
      <c r="U6740" s="8">
        <v>12.8</v>
      </c>
      <c r="V6740" s="8">
        <v>2.4</v>
      </c>
      <c r="W6740" s="8">
        <v>0.9</v>
      </c>
      <c r="X6740" s="8">
        <v>171</v>
      </c>
      <c r="Y6740" s="8" t="s">
        <v>29924</v>
      </c>
      <c r="Z6740" s="8" t="s">
        <v>29925</v>
      </c>
    </row>
    <row r="6741" spans="1:26" x14ac:dyDescent="0.2">
      <c r="A6741" s="8">
        <v>6740</v>
      </c>
      <c r="B6741" s="8" t="s">
        <v>29926</v>
      </c>
      <c r="C6741" s="8" t="s">
        <v>29926</v>
      </c>
      <c r="F6741" s="47"/>
      <c r="G6741" s="8">
        <v>18</v>
      </c>
      <c r="H6741" s="8" t="s">
        <v>21</v>
      </c>
      <c r="I6741" s="8" t="s">
        <v>22</v>
      </c>
      <c r="J6741" s="8" t="s">
        <v>22</v>
      </c>
      <c r="K6741" s="8" t="s">
        <v>23</v>
      </c>
      <c r="L6741" s="8" t="s">
        <v>29334</v>
      </c>
      <c r="M6741" s="8" t="s">
        <v>29335</v>
      </c>
      <c r="N6741" s="8" t="s">
        <v>29927</v>
      </c>
      <c r="O6741" s="8">
        <f>19+0/60+50.5/3600</f>
        <v>19.014027777777777</v>
      </c>
      <c r="P6741" s="8" t="s">
        <v>29928</v>
      </c>
      <c r="Q6741" s="8">
        <f>+(28+46/60+16/3600)</f>
        <v>28.771111111111111</v>
      </c>
      <c r="R6741" s="8">
        <v>13.9</v>
      </c>
      <c r="S6741" s="8">
        <v>14.7</v>
      </c>
      <c r="T6741" s="8">
        <v>0.8</v>
      </c>
      <c r="U6741" s="8">
        <v>13.3</v>
      </c>
      <c r="V6741" s="8">
        <v>0.9</v>
      </c>
      <c r="W6741" s="8">
        <v>0.8</v>
      </c>
      <c r="X6741" s="8">
        <v>30</v>
      </c>
      <c r="Y6741" s="8" t="s">
        <v>15914</v>
      </c>
      <c r="Z6741" s="8" t="s">
        <v>15915</v>
      </c>
    </row>
    <row r="6742" spans="1:26" x14ac:dyDescent="0.2">
      <c r="A6742" s="8">
        <v>6741</v>
      </c>
      <c r="B6742" s="8" t="s">
        <v>29929</v>
      </c>
      <c r="C6742" s="8" t="s">
        <v>29929</v>
      </c>
      <c r="F6742" s="47"/>
      <c r="G6742" s="8">
        <v>13</v>
      </c>
      <c r="H6742" s="8" t="s">
        <v>29930</v>
      </c>
      <c r="I6742" s="8" t="s">
        <v>241</v>
      </c>
      <c r="J6742" s="8" t="s">
        <v>241</v>
      </c>
      <c r="K6742" s="8" t="s">
        <v>241</v>
      </c>
      <c r="L6742" s="8" t="s">
        <v>29781</v>
      </c>
      <c r="M6742" s="8" t="s">
        <v>29782</v>
      </c>
      <c r="N6742" s="8" t="s">
        <v>29931</v>
      </c>
      <c r="O6742" s="8">
        <f>19+2/60+37/3600</f>
        <v>19.043611111111112</v>
      </c>
      <c r="P6742" s="8" t="s">
        <v>29932</v>
      </c>
      <c r="Q6742" s="8">
        <f>-(0+26/60+56/3600)</f>
        <v>-0.44888888888888889</v>
      </c>
      <c r="R6742" s="8">
        <v>11.5</v>
      </c>
      <c r="S6742" s="8">
        <v>10.8</v>
      </c>
      <c r="T6742" s="8">
        <v>99</v>
      </c>
      <c r="U6742" s="8">
        <v>99</v>
      </c>
      <c r="V6742" s="8">
        <v>0.13</v>
      </c>
      <c r="Y6742" s="8" t="s">
        <v>29933</v>
      </c>
      <c r="Z6742" s="8" t="s">
        <v>27388</v>
      </c>
    </row>
    <row r="6743" spans="1:26" x14ac:dyDescent="0.2">
      <c r="A6743" s="8">
        <v>6742</v>
      </c>
      <c r="B6743" s="8" t="s">
        <v>29934</v>
      </c>
      <c r="C6743" s="8" t="s">
        <v>29934</v>
      </c>
      <c r="F6743" s="47" t="s">
        <v>58234</v>
      </c>
      <c r="G6743" s="8">
        <v>15</v>
      </c>
      <c r="H6743" s="8" t="s">
        <v>21</v>
      </c>
      <c r="I6743" s="8" t="s">
        <v>241</v>
      </c>
      <c r="J6743" s="8" t="s">
        <v>241</v>
      </c>
      <c r="K6743" s="8" t="s">
        <v>241</v>
      </c>
      <c r="L6743" s="8" t="s">
        <v>13395</v>
      </c>
      <c r="M6743" s="8" t="s">
        <v>13396</v>
      </c>
      <c r="N6743" s="8" t="s">
        <v>29935</v>
      </c>
      <c r="O6743" s="8">
        <f>18+59/60+19.8/3600</f>
        <v>18.988833333333336</v>
      </c>
      <c r="P6743" s="8" t="s">
        <v>29936</v>
      </c>
      <c r="Q6743" s="8">
        <f>+(48+27/60+59/3600)</f>
        <v>48.466388888888893</v>
      </c>
      <c r="R6743" s="8">
        <v>13.4</v>
      </c>
      <c r="S6743" s="8">
        <v>15</v>
      </c>
      <c r="T6743" s="8">
        <v>99</v>
      </c>
      <c r="U6743" s="8">
        <v>99</v>
      </c>
      <c r="V6743" s="8">
        <v>0.55000000000000004</v>
      </c>
      <c r="Y6743" s="8" t="s">
        <v>3344</v>
      </c>
      <c r="Z6743" s="8" t="s">
        <v>3345</v>
      </c>
    </row>
    <row r="6744" spans="1:26" x14ac:dyDescent="0.2">
      <c r="A6744" s="8">
        <v>6743</v>
      </c>
      <c r="B6744" s="8" t="s">
        <v>29937</v>
      </c>
      <c r="C6744" s="8" t="s">
        <v>29937</v>
      </c>
      <c r="F6744" s="47"/>
      <c r="G6744" s="8">
        <v>16</v>
      </c>
      <c r="H6744" s="8" t="s">
        <v>21</v>
      </c>
      <c r="I6744" s="8" t="s">
        <v>72</v>
      </c>
      <c r="J6744" s="8" t="s">
        <v>72</v>
      </c>
      <c r="K6744" s="8" t="s">
        <v>1405</v>
      </c>
      <c r="L6744" s="8" t="s">
        <v>29334</v>
      </c>
      <c r="M6744" s="8" t="s">
        <v>29335</v>
      </c>
      <c r="N6744" s="8" t="s">
        <v>29938</v>
      </c>
      <c r="O6744" s="8">
        <f>19+1/60+26.7/3600</f>
        <v>19.024083333333333</v>
      </c>
      <c r="P6744" s="8" t="s">
        <v>29939</v>
      </c>
      <c r="Q6744" s="8">
        <f>+(29+17/60+14/3600)</f>
        <v>29.287222222222223</v>
      </c>
      <c r="R6744" s="8">
        <v>99</v>
      </c>
      <c r="S6744" s="8">
        <v>99</v>
      </c>
      <c r="T6744" s="8">
        <v>99</v>
      </c>
      <c r="U6744" s="8">
        <v>99</v>
      </c>
      <c r="V6744" s="8">
        <v>8</v>
      </c>
      <c r="Y6744" s="8" t="s">
        <v>29940</v>
      </c>
      <c r="Z6744" s="8" t="s">
        <v>29941</v>
      </c>
    </row>
    <row r="6745" spans="1:26" x14ac:dyDescent="0.2">
      <c r="A6745" s="8">
        <v>6744</v>
      </c>
      <c r="B6745" s="8" t="s">
        <v>29942</v>
      </c>
      <c r="C6745" s="8" t="s">
        <v>29942</v>
      </c>
      <c r="F6745" s="47"/>
      <c r="G6745" s="8">
        <v>2</v>
      </c>
      <c r="H6745" s="8" t="s">
        <v>21</v>
      </c>
      <c r="I6745" s="8" t="s">
        <v>22</v>
      </c>
      <c r="J6745" s="8" t="s">
        <v>22</v>
      </c>
      <c r="K6745" s="8" t="s">
        <v>85</v>
      </c>
      <c r="L6745" s="8" t="s">
        <v>28435</v>
      </c>
      <c r="M6745" s="8" t="s">
        <v>28436</v>
      </c>
      <c r="N6745" s="8" t="s">
        <v>29943</v>
      </c>
      <c r="O6745" s="8">
        <f>19+9/60+46.1/3600</f>
        <v>19.162805555555554</v>
      </c>
      <c r="P6745" s="8" t="s">
        <v>29944</v>
      </c>
      <c r="Q6745" s="8">
        <f>-(63+51/60+24/3600)</f>
        <v>-63.856666666666669</v>
      </c>
      <c r="R6745" s="8">
        <v>8.5</v>
      </c>
      <c r="S6745" s="8">
        <v>9.1</v>
      </c>
      <c r="T6745" s="8">
        <v>0.6</v>
      </c>
      <c r="U6745" s="8">
        <v>14.4</v>
      </c>
      <c r="V6745" s="8">
        <v>20.100000000000001</v>
      </c>
      <c r="W6745" s="8">
        <v>12.9</v>
      </c>
      <c r="X6745" s="8">
        <v>15</v>
      </c>
      <c r="Y6745" s="8" t="s">
        <v>29945</v>
      </c>
      <c r="Z6745" s="8" t="s">
        <v>29946</v>
      </c>
    </row>
    <row r="6746" spans="1:26" x14ac:dyDescent="0.2">
      <c r="A6746" s="8">
        <v>6745</v>
      </c>
      <c r="B6746" s="8" t="s">
        <v>29947</v>
      </c>
      <c r="C6746" s="8" t="s">
        <v>29947</v>
      </c>
      <c r="E6746" s="8">
        <v>2</v>
      </c>
      <c r="F6746" s="47"/>
      <c r="G6746" s="8">
        <v>14</v>
      </c>
      <c r="H6746" s="8" t="s">
        <v>29948</v>
      </c>
      <c r="I6746" s="8" t="s">
        <v>22</v>
      </c>
      <c r="J6746" s="8" t="s">
        <v>22</v>
      </c>
      <c r="K6746" s="8" t="s">
        <v>449</v>
      </c>
      <c r="L6746" s="8" t="s">
        <v>29334</v>
      </c>
      <c r="M6746" s="8" t="s">
        <v>29335</v>
      </c>
      <c r="N6746" s="8" t="s">
        <v>29949</v>
      </c>
      <c r="O6746" s="8">
        <f>19+1/60+41.9/3600</f>
        <v>19.028305555555555</v>
      </c>
      <c r="P6746" s="8" t="s">
        <v>29950</v>
      </c>
      <c r="Q6746" s="8">
        <f>+(40+45/60+33/3600)</f>
        <v>40.759166666666665</v>
      </c>
      <c r="R6746" s="8">
        <v>12.5</v>
      </c>
      <c r="S6746" s="8">
        <v>13.3</v>
      </c>
      <c r="T6746" s="8">
        <v>0.8</v>
      </c>
      <c r="U6746" s="8">
        <v>9.6</v>
      </c>
      <c r="V6746" s="8">
        <v>0.4</v>
      </c>
      <c r="W6746" s="8">
        <v>0.2</v>
      </c>
      <c r="X6746" s="8">
        <v>0</v>
      </c>
      <c r="Y6746" s="8" t="s">
        <v>29951</v>
      </c>
      <c r="Z6746" s="8" t="s">
        <v>29952</v>
      </c>
    </row>
    <row r="6747" spans="1:26" x14ac:dyDescent="0.2">
      <c r="A6747" s="8">
        <v>6746</v>
      </c>
      <c r="B6747" s="8" t="s">
        <v>29953</v>
      </c>
      <c r="C6747" s="8" t="s">
        <v>29953</v>
      </c>
      <c r="F6747" s="47"/>
      <c r="G6747" s="8">
        <v>16</v>
      </c>
      <c r="H6747" s="8" t="s">
        <v>21</v>
      </c>
      <c r="I6747" s="8" t="s">
        <v>22</v>
      </c>
      <c r="J6747" s="8" t="s">
        <v>22</v>
      </c>
      <c r="K6747" s="8" t="s">
        <v>58</v>
      </c>
      <c r="L6747" s="8" t="s">
        <v>28435</v>
      </c>
      <c r="M6747" s="8" t="s">
        <v>28436</v>
      </c>
      <c r="N6747" s="8" t="s">
        <v>29954</v>
      </c>
      <c r="O6747" s="8">
        <f>19+10/60+22.3/3600</f>
        <v>19.172861111111111</v>
      </c>
      <c r="P6747" s="8" t="s">
        <v>29955</v>
      </c>
      <c r="Q6747" s="8">
        <f>-(61+58/60+6/3600)</f>
        <v>-61.968333333333334</v>
      </c>
      <c r="R6747" s="8">
        <v>12.6</v>
      </c>
      <c r="S6747" s="8">
        <v>13.1</v>
      </c>
      <c r="T6747" s="8">
        <v>0.5</v>
      </c>
      <c r="U6747" s="8">
        <v>12.7</v>
      </c>
      <c r="V6747" s="8">
        <v>1.4</v>
      </c>
      <c r="W6747" s="8">
        <v>0.9</v>
      </c>
      <c r="X6747" s="8">
        <v>173</v>
      </c>
      <c r="Y6747" s="8" t="s">
        <v>29956</v>
      </c>
      <c r="Z6747" s="8" t="s">
        <v>29957</v>
      </c>
    </row>
    <row r="6748" spans="1:26" x14ac:dyDescent="0.2">
      <c r="A6748" s="8">
        <v>6747</v>
      </c>
      <c r="B6748" s="8" t="s">
        <v>29958</v>
      </c>
      <c r="C6748" s="8" t="s">
        <v>29958</v>
      </c>
      <c r="F6748" s="47"/>
      <c r="G6748" s="8">
        <v>19</v>
      </c>
      <c r="H6748" s="8" t="s">
        <v>21</v>
      </c>
      <c r="I6748" s="8" t="s">
        <v>22</v>
      </c>
      <c r="J6748" s="8" t="s">
        <v>22</v>
      </c>
      <c r="K6748" s="8" t="s">
        <v>1136</v>
      </c>
      <c r="L6748" s="8" t="s">
        <v>13395</v>
      </c>
      <c r="M6748" s="8" t="s">
        <v>13396</v>
      </c>
      <c r="N6748" s="8" t="s">
        <v>29959</v>
      </c>
      <c r="O6748" s="8">
        <f>18+55/60+21.5/3600</f>
        <v>18.922638888888891</v>
      </c>
      <c r="P6748" s="8" t="s">
        <v>29960</v>
      </c>
      <c r="Q6748" s="8">
        <f>+(72+46/60+20/3600)</f>
        <v>72.772222222222226</v>
      </c>
      <c r="R6748" s="8">
        <v>14.1</v>
      </c>
      <c r="S6748" s="8">
        <v>15.1</v>
      </c>
      <c r="T6748" s="8">
        <v>1</v>
      </c>
      <c r="U6748" s="8">
        <v>12.4</v>
      </c>
      <c r="V6748" s="8">
        <v>0.5</v>
      </c>
      <c r="W6748" s="8">
        <v>0.4</v>
      </c>
      <c r="X6748" s="8">
        <v>126</v>
      </c>
      <c r="Y6748" s="8" t="s">
        <v>29961</v>
      </c>
      <c r="Z6748" s="8" t="s">
        <v>29962</v>
      </c>
    </row>
    <row r="6749" spans="1:26" x14ac:dyDescent="0.2">
      <c r="A6749" s="8">
        <v>6748</v>
      </c>
      <c r="B6749" s="8" t="s">
        <v>29963</v>
      </c>
      <c r="C6749" s="8" t="s">
        <v>29963</v>
      </c>
      <c r="F6749" s="47"/>
      <c r="G6749" s="8">
        <v>18</v>
      </c>
      <c r="H6749" s="8" t="s">
        <v>21</v>
      </c>
      <c r="I6749" s="8" t="s">
        <v>241</v>
      </c>
      <c r="J6749" s="8" t="s">
        <v>57</v>
      </c>
      <c r="K6749" s="8" t="s">
        <v>241</v>
      </c>
      <c r="L6749" s="8" t="s">
        <v>29781</v>
      </c>
      <c r="M6749" s="8" t="s">
        <v>29782</v>
      </c>
      <c r="N6749" s="8" t="s">
        <v>29964</v>
      </c>
      <c r="O6749" s="8">
        <f>19+5/60+55.5/3600</f>
        <v>19.098749999999999</v>
      </c>
      <c r="P6749" s="8" t="s">
        <v>29965</v>
      </c>
      <c r="Q6749" s="8">
        <f>-(5+59/60+30/3600)</f>
        <v>-5.9916666666666671</v>
      </c>
      <c r="R6749" s="8">
        <v>11.9</v>
      </c>
      <c r="S6749" s="8">
        <v>12.5</v>
      </c>
      <c r="T6749" s="8">
        <v>99</v>
      </c>
      <c r="U6749" s="8">
        <v>99</v>
      </c>
      <c r="V6749" s="8">
        <v>0.43</v>
      </c>
      <c r="Y6749" s="8" t="s">
        <v>29966</v>
      </c>
      <c r="Z6749" s="8" t="s">
        <v>29967</v>
      </c>
    </row>
    <row r="6750" spans="1:26" x14ac:dyDescent="0.2">
      <c r="A6750" s="8">
        <v>6749</v>
      </c>
      <c r="B6750" s="8" t="s">
        <v>29968</v>
      </c>
      <c r="C6750" s="8" t="s">
        <v>29968</v>
      </c>
      <c r="F6750" s="47"/>
      <c r="G6750" s="8">
        <v>16</v>
      </c>
      <c r="H6750" s="8" t="s">
        <v>21</v>
      </c>
      <c r="I6750" s="8" t="s">
        <v>567</v>
      </c>
      <c r="J6750" s="8" t="s">
        <v>567</v>
      </c>
      <c r="K6750" s="8" t="s">
        <v>567</v>
      </c>
      <c r="L6750" s="8" t="s">
        <v>29781</v>
      </c>
      <c r="M6750" s="8" t="s">
        <v>29782</v>
      </c>
      <c r="N6750" s="8" t="s">
        <v>29969</v>
      </c>
      <c r="O6750" s="8">
        <f>19+5/60+15.3/3600</f>
        <v>19.087583333333331</v>
      </c>
      <c r="P6750" s="8" t="s">
        <v>29970</v>
      </c>
      <c r="Q6750" s="8">
        <f>+(1+54/60+5/3600)</f>
        <v>1.9013888888888888</v>
      </c>
      <c r="R6750" s="8">
        <v>12.4</v>
      </c>
      <c r="S6750" s="8">
        <v>99</v>
      </c>
      <c r="T6750" s="8">
        <v>99</v>
      </c>
      <c r="U6750" s="8">
        <v>99</v>
      </c>
      <c r="V6750" s="8">
        <v>4</v>
      </c>
      <c r="Y6750" s="8" t="s">
        <v>29971</v>
      </c>
      <c r="Z6750" s="8" t="s">
        <v>29972</v>
      </c>
    </row>
    <row r="6751" spans="1:26" x14ac:dyDescent="0.2">
      <c r="A6751" s="8">
        <v>6750</v>
      </c>
      <c r="B6751" s="8" t="s">
        <v>29973</v>
      </c>
      <c r="C6751" s="8" t="s">
        <v>29973</v>
      </c>
      <c r="F6751" s="47"/>
      <c r="G6751" s="8">
        <v>19</v>
      </c>
      <c r="H6751" s="8" t="s">
        <v>21</v>
      </c>
      <c r="I6751" s="8" t="s">
        <v>22</v>
      </c>
      <c r="J6751" s="8" t="s">
        <v>22</v>
      </c>
      <c r="K6751" s="8" t="s">
        <v>160</v>
      </c>
      <c r="L6751" s="8" t="s">
        <v>13395</v>
      </c>
      <c r="M6751" s="8" t="s">
        <v>13396</v>
      </c>
      <c r="N6751" s="8" t="s">
        <v>29974</v>
      </c>
      <c r="O6751" s="8">
        <f>19+0/60+36/3600</f>
        <v>19.010000000000002</v>
      </c>
      <c r="P6751" s="8" t="s">
        <v>29975</v>
      </c>
      <c r="Q6751" s="8">
        <f>+(59+10/60+2/3600)</f>
        <v>59.167222222222222</v>
      </c>
      <c r="R6751" s="8">
        <v>13.1</v>
      </c>
      <c r="S6751" s="8">
        <v>13.8</v>
      </c>
      <c r="T6751" s="8">
        <v>0.7</v>
      </c>
      <c r="U6751" s="8">
        <v>12.4</v>
      </c>
      <c r="V6751" s="8">
        <v>1</v>
      </c>
      <c r="W6751" s="8">
        <v>0.6</v>
      </c>
      <c r="X6751" s="8">
        <v>5</v>
      </c>
      <c r="Y6751" s="8" t="s">
        <v>421</v>
      </c>
      <c r="Z6751" s="8" t="s">
        <v>422</v>
      </c>
    </row>
    <row r="6752" spans="1:26" x14ac:dyDescent="0.2">
      <c r="A6752" s="8">
        <v>6751</v>
      </c>
      <c r="B6752" s="8" t="s">
        <v>29976</v>
      </c>
      <c r="C6752" s="8" t="s">
        <v>29976</v>
      </c>
      <c r="F6752" s="47"/>
      <c r="G6752" s="8">
        <v>7</v>
      </c>
      <c r="H6752" s="8" t="s">
        <v>29977</v>
      </c>
      <c r="I6752" s="8" t="s">
        <v>241</v>
      </c>
      <c r="J6752" s="8" t="s">
        <v>241</v>
      </c>
      <c r="K6752" s="8" t="s">
        <v>241</v>
      </c>
      <c r="L6752" s="8" t="s">
        <v>29781</v>
      </c>
      <c r="M6752" s="8" t="s">
        <v>29782</v>
      </c>
      <c r="N6752" s="8" t="s">
        <v>29964</v>
      </c>
      <c r="O6752" s="8">
        <f>19+5/60+55.5/3600</f>
        <v>19.098749999999999</v>
      </c>
      <c r="P6752" s="8" t="s">
        <v>29965</v>
      </c>
      <c r="Q6752" s="8">
        <f>-(5+59/60+30/3600)</f>
        <v>-5.9916666666666671</v>
      </c>
      <c r="R6752" s="8">
        <v>11.9</v>
      </c>
      <c r="S6752" s="8">
        <v>12.5</v>
      </c>
      <c r="T6752" s="8">
        <v>99</v>
      </c>
      <c r="U6752" s="8">
        <v>99</v>
      </c>
      <c r="V6752" s="8">
        <v>0.43</v>
      </c>
      <c r="Y6752" s="8" t="s">
        <v>22516</v>
      </c>
      <c r="Z6752" s="8" t="s">
        <v>22517</v>
      </c>
    </row>
    <row r="6753" spans="1:26" x14ac:dyDescent="0.2">
      <c r="A6753" s="8">
        <v>6752</v>
      </c>
      <c r="B6753" s="8" t="s">
        <v>29978</v>
      </c>
      <c r="C6753" s="8" t="s">
        <v>29978</v>
      </c>
      <c r="F6753" s="47"/>
      <c r="G6753" s="8">
        <v>2</v>
      </c>
      <c r="H6753" s="8" t="s">
        <v>29979</v>
      </c>
      <c r="I6753" s="8" t="s">
        <v>567</v>
      </c>
      <c r="J6753" s="8" t="s">
        <v>567</v>
      </c>
      <c r="K6753" s="8" t="s">
        <v>10621</v>
      </c>
      <c r="L6753" s="8" t="s">
        <v>28435</v>
      </c>
      <c r="M6753" s="8" t="s">
        <v>28436</v>
      </c>
      <c r="N6753" s="8" t="s">
        <v>29980</v>
      </c>
      <c r="O6753" s="8">
        <f>19+10/60+51.8/3600</f>
        <v>19.181055555555556</v>
      </c>
      <c r="P6753" s="8" t="s">
        <v>29981</v>
      </c>
      <c r="Q6753" s="8">
        <f>-(59+58/60+53/3600)</f>
        <v>-59.981388888888894</v>
      </c>
      <c r="R6753" s="8">
        <v>5.3</v>
      </c>
      <c r="S6753" s="8">
        <v>99</v>
      </c>
      <c r="T6753" s="8">
        <v>99</v>
      </c>
      <c r="U6753" s="8">
        <v>99</v>
      </c>
      <c r="V6753" s="8">
        <v>29</v>
      </c>
      <c r="Y6753" s="8" t="s">
        <v>29982</v>
      </c>
      <c r="Z6753" s="8" t="s">
        <v>29983</v>
      </c>
    </row>
    <row r="6754" spans="1:26" x14ac:dyDescent="0.2">
      <c r="A6754" s="8">
        <v>6753</v>
      </c>
      <c r="B6754" s="8" t="s">
        <v>29984</v>
      </c>
      <c r="C6754" s="8" t="s">
        <v>29984</v>
      </c>
      <c r="F6754" s="47"/>
      <c r="G6754" s="8">
        <v>13</v>
      </c>
      <c r="H6754" s="8" t="s">
        <v>21</v>
      </c>
      <c r="I6754" s="8" t="s">
        <v>22</v>
      </c>
      <c r="J6754" s="8" t="s">
        <v>22</v>
      </c>
      <c r="K6754" s="8" t="s">
        <v>23</v>
      </c>
      <c r="L6754" s="8" t="s">
        <v>28435</v>
      </c>
      <c r="M6754" s="8" t="s">
        <v>28436</v>
      </c>
      <c r="N6754" s="8" t="s">
        <v>29985</v>
      </c>
      <c r="O6754" s="8">
        <f>19+11/60+23.7/3600</f>
        <v>19.189916666666665</v>
      </c>
      <c r="P6754" s="8" t="s">
        <v>29986</v>
      </c>
      <c r="Q6754" s="8">
        <f>-(57+2/60+56/3600)</f>
        <v>-57.048888888888889</v>
      </c>
      <c r="R6754" s="8">
        <v>11.1</v>
      </c>
      <c r="S6754" s="8">
        <v>12</v>
      </c>
      <c r="T6754" s="8">
        <v>0.9</v>
      </c>
      <c r="U6754" s="8">
        <v>12.8</v>
      </c>
      <c r="V6754" s="8">
        <v>2.4</v>
      </c>
      <c r="W6754" s="8">
        <v>2.1</v>
      </c>
      <c r="X6754" s="8">
        <v>30</v>
      </c>
      <c r="Y6754" s="8" t="s">
        <v>2083</v>
      </c>
      <c r="Z6754" s="8" t="s">
        <v>2084</v>
      </c>
    </row>
    <row r="6755" spans="1:26" x14ac:dyDescent="0.2">
      <c r="A6755" s="8">
        <v>6754</v>
      </c>
      <c r="B6755" s="8" t="s">
        <v>29987</v>
      </c>
      <c r="C6755" s="8" t="s">
        <v>29987</v>
      </c>
      <c r="F6755" s="47"/>
      <c r="G6755" s="8">
        <v>13</v>
      </c>
      <c r="H6755" s="8" t="s">
        <v>21</v>
      </c>
      <c r="I6755" s="8" t="s">
        <v>22</v>
      </c>
      <c r="J6755" s="8" t="s">
        <v>22</v>
      </c>
      <c r="K6755" s="8" t="s">
        <v>218</v>
      </c>
      <c r="L6755" s="8" t="s">
        <v>29246</v>
      </c>
      <c r="M6755" s="8" t="s">
        <v>29247</v>
      </c>
      <c r="N6755" s="8" t="s">
        <v>29988</v>
      </c>
      <c r="O6755" s="8">
        <f>19+11/60+25/3600</f>
        <v>19.190277777777776</v>
      </c>
      <c r="P6755" s="8" t="s">
        <v>29989</v>
      </c>
      <c r="Q6755" s="8">
        <f>-(50+38/60+31/3600)</f>
        <v>-50.641944444444441</v>
      </c>
      <c r="R6755" s="8">
        <v>12.1</v>
      </c>
      <c r="S6755" s="8">
        <v>12.9</v>
      </c>
      <c r="T6755" s="8">
        <v>0.8</v>
      </c>
      <c r="U6755" s="8">
        <v>12.6</v>
      </c>
      <c r="V6755" s="8">
        <v>1.8</v>
      </c>
      <c r="W6755" s="8">
        <v>0.9</v>
      </c>
      <c r="X6755" s="8">
        <v>80</v>
      </c>
      <c r="Y6755" s="8" t="s">
        <v>29990</v>
      </c>
      <c r="Z6755" s="8" t="s">
        <v>29991</v>
      </c>
    </row>
    <row r="6756" spans="1:26" x14ac:dyDescent="0.2">
      <c r="A6756" s="8">
        <v>6755</v>
      </c>
      <c r="B6756" s="8" t="s">
        <v>29992</v>
      </c>
      <c r="C6756" s="8" t="s">
        <v>29992</v>
      </c>
      <c r="F6756" s="47" t="s">
        <v>58235</v>
      </c>
      <c r="G6756" s="8">
        <v>6</v>
      </c>
      <c r="H6756" s="8" t="s">
        <v>29993</v>
      </c>
      <c r="I6756" s="8" t="s">
        <v>557</v>
      </c>
      <c r="J6756" s="8" t="s">
        <v>557</v>
      </c>
      <c r="K6756" s="8" t="s">
        <v>11179</v>
      </c>
      <c r="L6756" s="8" t="s">
        <v>29781</v>
      </c>
      <c r="M6756" s="8" t="s">
        <v>29782</v>
      </c>
      <c r="N6756" s="8" t="s">
        <v>29994</v>
      </c>
      <c r="O6756" s="8">
        <f>19+7/60+49/3600</f>
        <v>19.130277777777778</v>
      </c>
      <c r="P6756" s="8" t="s">
        <v>29995</v>
      </c>
      <c r="Q6756" s="8">
        <f>+(4+16/60+0/3600)</f>
        <v>4.2666666666666666</v>
      </c>
      <c r="R6756" s="8">
        <v>7.5</v>
      </c>
      <c r="S6756" s="8">
        <v>99</v>
      </c>
      <c r="T6756" s="8">
        <v>99</v>
      </c>
      <c r="U6756" s="8">
        <v>99</v>
      </c>
      <c r="V6756" s="8">
        <v>15</v>
      </c>
      <c r="Y6756" s="8" t="s">
        <v>29996</v>
      </c>
      <c r="Z6756" s="8" t="s">
        <v>29997</v>
      </c>
    </row>
    <row r="6757" spans="1:26" x14ac:dyDescent="0.2">
      <c r="A6757" s="8">
        <v>6756</v>
      </c>
      <c r="B6757" s="8" t="s">
        <v>29998</v>
      </c>
      <c r="C6757" s="8" t="s">
        <v>29998</v>
      </c>
      <c r="F6757" s="47" t="s">
        <v>58236</v>
      </c>
      <c r="G6757" s="8">
        <v>6</v>
      </c>
      <c r="H6757" s="8" t="s">
        <v>29993</v>
      </c>
      <c r="I6757" s="8" t="s">
        <v>557</v>
      </c>
      <c r="J6757" s="8" t="s">
        <v>557</v>
      </c>
      <c r="K6757" s="8" t="s">
        <v>11168</v>
      </c>
      <c r="L6757" s="8" t="s">
        <v>29781</v>
      </c>
      <c r="M6757" s="8" t="s">
        <v>29782</v>
      </c>
      <c r="N6757" s="8" t="s">
        <v>29999</v>
      </c>
      <c r="O6757" s="8">
        <f>19+8/60+42.5/3600</f>
        <v>19.145138888888887</v>
      </c>
      <c r="P6757" s="8" t="s">
        <v>30000</v>
      </c>
      <c r="Q6757" s="8">
        <f>+(4+42/60+21/3600)</f>
        <v>4.7058333333333335</v>
      </c>
      <c r="R6757" s="8">
        <v>10.6</v>
      </c>
      <c r="S6757" s="8">
        <v>99</v>
      </c>
      <c r="T6757" s="8">
        <v>99</v>
      </c>
      <c r="U6757" s="8">
        <v>99</v>
      </c>
      <c r="V6757" s="8">
        <v>4</v>
      </c>
      <c r="Y6757" s="8" t="s">
        <v>30001</v>
      </c>
      <c r="Z6757" s="8" t="s">
        <v>30002</v>
      </c>
    </row>
    <row r="6758" spans="1:26" x14ac:dyDescent="0.2">
      <c r="A6758" s="8">
        <v>6757</v>
      </c>
      <c r="B6758" s="8" t="s">
        <v>30003</v>
      </c>
      <c r="C6758" s="8" t="s">
        <v>30003</v>
      </c>
      <c r="F6758" s="47"/>
      <c r="G6758" s="8">
        <v>19</v>
      </c>
      <c r="H6758" s="8" t="s">
        <v>21</v>
      </c>
      <c r="I6758" s="8" t="s">
        <v>22</v>
      </c>
      <c r="J6758" s="8" t="s">
        <v>22</v>
      </c>
      <c r="K6758" s="8" t="s">
        <v>435</v>
      </c>
      <c r="L6758" s="8" t="s">
        <v>13395</v>
      </c>
      <c r="M6758" s="8" t="s">
        <v>13396</v>
      </c>
      <c r="N6758" s="8" t="s">
        <v>30004</v>
      </c>
      <c r="O6758" s="8">
        <f>19+5/60+6.1/3600</f>
        <v>19.085027777777778</v>
      </c>
      <c r="P6758" s="8" t="s">
        <v>30005</v>
      </c>
      <c r="Q6758" s="8">
        <f>+(55+43/60+3/3600)</f>
        <v>55.717500000000001</v>
      </c>
      <c r="R6758" s="8">
        <v>13</v>
      </c>
      <c r="S6758" s="8">
        <v>13.9</v>
      </c>
      <c r="T6758" s="8">
        <v>0.9</v>
      </c>
      <c r="U6758" s="8">
        <v>13.2</v>
      </c>
      <c r="V6758" s="8">
        <v>1.4</v>
      </c>
      <c r="W6758" s="8">
        <v>1</v>
      </c>
      <c r="X6758" s="8">
        <v>84</v>
      </c>
      <c r="Y6758" s="8" t="s">
        <v>30006</v>
      </c>
      <c r="Z6758" s="8" t="s">
        <v>30007</v>
      </c>
    </row>
    <row r="6759" spans="1:26" x14ac:dyDescent="0.2">
      <c r="A6759" s="8">
        <v>6758</v>
      </c>
      <c r="B6759" s="8" t="s">
        <v>30008</v>
      </c>
      <c r="C6759" s="8" t="s">
        <v>30008</v>
      </c>
      <c r="F6759" s="47"/>
      <c r="G6759" s="8">
        <v>13</v>
      </c>
      <c r="H6759" s="8" t="s">
        <v>21</v>
      </c>
      <c r="I6759" s="8" t="s">
        <v>22</v>
      </c>
      <c r="J6759" s="8" t="s">
        <v>22</v>
      </c>
      <c r="K6759" s="8" t="s">
        <v>382</v>
      </c>
      <c r="L6759" s="8" t="s">
        <v>29246</v>
      </c>
      <c r="M6759" s="8" t="s">
        <v>29247</v>
      </c>
      <c r="N6759" s="8" t="s">
        <v>30009</v>
      </c>
      <c r="O6759" s="8">
        <f>19+13/60+52.5/3600</f>
        <v>19.231249999999999</v>
      </c>
      <c r="P6759" s="8" t="s">
        <v>30010</v>
      </c>
      <c r="Q6759" s="8">
        <f>-(56+18/60+34/3600)</f>
        <v>-56.309444444444445</v>
      </c>
      <c r="R6759" s="8">
        <v>11.6</v>
      </c>
      <c r="S6759" s="8">
        <v>12.7</v>
      </c>
      <c r="T6759" s="8">
        <v>1.1000000000000001</v>
      </c>
      <c r="U6759" s="8">
        <v>13</v>
      </c>
      <c r="V6759" s="8">
        <v>2.2999999999999998</v>
      </c>
      <c r="W6759" s="8">
        <v>1.7</v>
      </c>
      <c r="X6759" s="8">
        <v>121</v>
      </c>
      <c r="Y6759" s="8" t="s">
        <v>13469</v>
      </c>
      <c r="Z6759" s="8" t="s">
        <v>13470</v>
      </c>
    </row>
    <row r="6760" spans="1:26" x14ac:dyDescent="0.2">
      <c r="A6760" s="8">
        <v>6759</v>
      </c>
      <c r="B6760" s="8" t="s">
        <v>30011</v>
      </c>
      <c r="C6760" s="8" t="s">
        <v>30011</v>
      </c>
      <c r="F6760" s="47"/>
      <c r="G6760" s="8">
        <v>19</v>
      </c>
      <c r="H6760" s="8" t="s">
        <v>21</v>
      </c>
      <c r="I6760" s="8" t="s">
        <v>22</v>
      </c>
      <c r="J6760" s="8" t="s">
        <v>22</v>
      </c>
      <c r="K6760" s="8" t="s">
        <v>449</v>
      </c>
      <c r="L6760" s="8" t="s">
        <v>13395</v>
      </c>
      <c r="M6760" s="8" t="s">
        <v>13396</v>
      </c>
      <c r="N6760" s="8" t="s">
        <v>30012</v>
      </c>
      <c r="O6760" s="8">
        <f>19+6/60+57/3600</f>
        <v>19.115833333333335</v>
      </c>
      <c r="P6760" s="8" t="s">
        <v>30013</v>
      </c>
      <c r="Q6760" s="8">
        <f>+(50+20/60+54/3600)</f>
        <v>50.348333333333336</v>
      </c>
      <c r="R6760" s="8">
        <v>14.3</v>
      </c>
      <c r="S6760" s="8">
        <v>15.1</v>
      </c>
      <c r="T6760" s="8">
        <v>0.8</v>
      </c>
      <c r="U6760" s="8">
        <v>13.8</v>
      </c>
      <c r="V6760" s="8">
        <v>1</v>
      </c>
      <c r="W6760" s="8">
        <v>0.7</v>
      </c>
      <c r="X6760" s="8">
        <v>25</v>
      </c>
      <c r="Y6760" s="8" t="s">
        <v>30014</v>
      </c>
      <c r="Z6760" s="8" t="s">
        <v>30015</v>
      </c>
    </row>
    <row r="6761" spans="1:26" x14ac:dyDescent="0.2">
      <c r="A6761" s="8">
        <v>6760</v>
      </c>
      <c r="B6761" s="8" t="s">
        <v>30016</v>
      </c>
      <c r="C6761" s="8" t="s">
        <v>30016</v>
      </c>
      <c r="F6761" s="47"/>
      <c r="G6761" s="8">
        <v>7</v>
      </c>
      <c r="H6761" s="8" t="s">
        <v>21</v>
      </c>
      <c r="I6761" s="8" t="s">
        <v>567</v>
      </c>
      <c r="J6761" s="8" t="s">
        <v>567</v>
      </c>
      <c r="K6761" s="8" t="s">
        <v>26506</v>
      </c>
      <c r="L6761" s="8" t="s">
        <v>29781</v>
      </c>
      <c r="M6761" s="8" t="s">
        <v>29782</v>
      </c>
      <c r="N6761" s="8" t="s">
        <v>30017</v>
      </c>
      <c r="O6761" s="8">
        <f>19+11/60+12.1/3600</f>
        <v>19.186694444444445</v>
      </c>
      <c r="P6761" s="8" t="s">
        <v>30018</v>
      </c>
      <c r="Q6761" s="8">
        <f>+(1+1/60+52/3600)</f>
        <v>1.0311111111111111</v>
      </c>
      <c r="R6761" s="8">
        <v>9</v>
      </c>
      <c r="S6761" s="8">
        <v>99</v>
      </c>
      <c r="T6761" s="8">
        <v>99</v>
      </c>
      <c r="U6761" s="8">
        <v>99</v>
      </c>
      <c r="V6761" s="8">
        <v>9.6</v>
      </c>
      <c r="Y6761" s="8" t="s">
        <v>30019</v>
      </c>
      <c r="Z6761" s="8" t="s">
        <v>30020</v>
      </c>
    </row>
    <row r="6762" spans="1:26" x14ac:dyDescent="0.2">
      <c r="A6762" s="8">
        <v>6761</v>
      </c>
      <c r="B6762" s="8" t="s">
        <v>30021</v>
      </c>
      <c r="C6762" s="8" t="s">
        <v>30021</v>
      </c>
      <c r="F6762" s="47"/>
      <c r="G6762" s="8">
        <v>16</v>
      </c>
      <c r="H6762" s="8" t="s">
        <v>21</v>
      </c>
      <c r="I6762" s="8" t="s">
        <v>22</v>
      </c>
      <c r="J6762" s="8" t="s">
        <v>22</v>
      </c>
      <c r="K6762" s="8" t="s">
        <v>406</v>
      </c>
      <c r="L6762" s="8" t="s">
        <v>29246</v>
      </c>
      <c r="M6762" s="8" t="s">
        <v>29247</v>
      </c>
      <c r="N6762" s="8" t="s">
        <v>30022</v>
      </c>
      <c r="O6762" s="8">
        <f>19+15/60+4.7/3600</f>
        <v>19.251305555555554</v>
      </c>
      <c r="P6762" s="8" t="s">
        <v>30023</v>
      </c>
      <c r="Q6762" s="8">
        <f>-(50+39/60+25/3600)</f>
        <v>-50.656944444444441</v>
      </c>
      <c r="R6762" s="8">
        <v>13.4</v>
      </c>
      <c r="S6762" s="8">
        <v>14.3</v>
      </c>
      <c r="T6762" s="8">
        <v>0.9</v>
      </c>
      <c r="U6762" s="8">
        <v>14</v>
      </c>
      <c r="V6762" s="8">
        <v>1.6</v>
      </c>
      <c r="W6762" s="8">
        <v>1.2</v>
      </c>
      <c r="X6762" s="8">
        <v>19</v>
      </c>
      <c r="Y6762" s="8" t="s">
        <v>880</v>
      </c>
      <c r="Z6762" s="8" t="s">
        <v>881</v>
      </c>
    </row>
    <row r="6763" spans="1:26" x14ac:dyDescent="0.2">
      <c r="A6763" s="8">
        <v>6762</v>
      </c>
      <c r="B6763" s="8" t="s">
        <v>30024</v>
      </c>
      <c r="C6763" s="8" t="s">
        <v>30024</v>
      </c>
      <c r="F6763" s="47"/>
      <c r="G6763" s="8">
        <v>19</v>
      </c>
      <c r="H6763" s="8" t="s">
        <v>21</v>
      </c>
      <c r="I6763" s="8" t="s">
        <v>22</v>
      </c>
      <c r="J6763" s="8" t="s">
        <v>57</v>
      </c>
      <c r="K6763" s="8" t="s">
        <v>632</v>
      </c>
      <c r="L6763" s="8" t="s">
        <v>13395</v>
      </c>
      <c r="M6763" s="8" t="s">
        <v>13396</v>
      </c>
      <c r="N6763" s="8" t="s">
        <v>30025</v>
      </c>
      <c r="O6763" s="8">
        <f>19+5/60+37/3600</f>
        <v>19.093611111111109</v>
      </c>
      <c r="P6763" s="8" t="s">
        <v>30026</v>
      </c>
      <c r="Q6763" s="8">
        <f>+(63+56/60+3/3600)</f>
        <v>63.934166666666663</v>
      </c>
      <c r="R6763" s="8">
        <v>13.4</v>
      </c>
      <c r="S6763" s="8">
        <v>14.3</v>
      </c>
      <c r="T6763" s="8">
        <v>0.9</v>
      </c>
      <c r="U6763" s="8">
        <v>12.7</v>
      </c>
      <c r="V6763" s="8">
        <v>1.5</v>
      </c>
      <c r="W6763" s="8">
        <v>0.4</v>
      </c>
      <c r="X6763" s="8">
        <v>119</v>
      </c>
      <c r="Y6763" s="8" t="s">
        <v>30027</v>
      </c>
      <c r="Z6763" s="8" t="s">
        <v>30028</v>
      </c>
    </row>
    <row r="6764" spans="1:26" x14ac:dyDescent="0.2">
      <c r="A6764" s="8">
        <v>6763</v>
      </c>
      <c r="B6764" s="8" t="s">
        <v>30029</v>
      </c>
      <c r="C6764" s="8" t="s">
        <v>30029</v>
      </c>
      <c r="F6764" s="47"/>
      <c r="G6764" s="8">
        <v>19</v>
      </c>
      <c r="H6764" s="8" t="s">
        <v>21</v>
      </c>
      <c r="I6764" s="8" t="s">
        <v>22</v>
      </c>
      <c r="J6764" s="8" t="s">
        <v>22</v>
      </c>
      <c r="K6764" s="8" t="s">
        <v>632</v>
      </c>
      <c r="L6764" s="8" t="s">
        <v>13395</v>
      </c>
      <c r="M6764" s="8" t="s">
        <v>13396</v>
      </c>
      <c r="N6764" s="8" t="s">
        <v>30025</v>
      </c>
      <c r="O6764" s="8">
        <f>19+5/60+37/3600</f>
        <v>19.093611111111109</v>
      </c>
      <c r="P6764" s="8" t="s">
        <v>30026</v>
      </c>
      <c r="Q6764" s="8">
        <f>+(63+56/60+3/3600)</f>
        <v>63.934166666666663</v>
      </c>
      <c r="R6764" s="8">
        <v>13.4</v>
      </c>
      <c r="S6764" s="8">
        <v>14.3</v>
      </c>
      <c r="T6764" s="8">
        <v>0.9</v>
      </c>
      <c r="U6764" s="8">
        <v>12.7</v>
      </c>
      <c r="V6764" s="8">
        <v>1.5</v>
      </c>
      <c r="W6764" s="8">
        <v>0.4</v>
      </c>
      <c r="X6764" s="8">
        <v>119</v>
      </c>
      <c r="Y6764" s="8" t="s">
        <v>30027</v>
      </c>
      <c r="Z6764" s="8" t="s">
        <v>30030</v>
      </c>
    </row>
    <row r="6765" spans="1:26" x14ac:dyDescent="0.2">
      <c r="A6765" s="8">
        <v>6764</v>
      </c>
      <c r="B6765" s="8" t="s">
        <v>30031</v>
      </c>
      <c r="C6765" s="8" t="s">
        <v>30031</v>
      </c>
      <c r="F6765" s="47"/>
      <c r="G6765" s="8">
        <v>19</v>
      </c>
      <c r="H6765" s="8" t="s">
        <v>21</v>
      </c>
      <c r="I6765" s="8" t="s">
        <v>22</v>
      </c>
      <c r="J6765" s="8" t="s">
        <v>22</v>
      </c>
      <c r="K6765" s="8" t="s">
        <v>85</v>
      </c>
      <c r="L6765" s="8" t="s">
        <v>30032</v>
      </c>
      <c r="M6765" s="8" t="s">
        <v>30033</v>
      </c>
      <c r="N6765" s="8" t="s">
        <v>30034</v>
      </c>
      <c r="O6765" s="8">
        <f>19+8/60+16.6/3600</f>
        <v>19.137944444444443</v>
      </c>
      <c r="P6765" s="8" t="s">
        <v>30035</v>
      </c>
      <c r="Q6765" s="8">
        <f>+(50+55/60+59/3600)</f>
        <v>50.933055555555555</v>
      </c>
      <c r="R6765" s="8">
        <v>11.9</v>
      </c>
      <c r="S6765" s="8">
        <v>12.6</v>
      </c>
      <c r="T6765" s="8">
        <v>0.7</v>
      </c>
      <c r="U6765" s="8">
        <v>12.9</v>
      </c>
      <c r="V6765" s="8">
        <v>2.2000000000000002</v>
      </c>
      <c r="W6765" s="8">
        <v>1.2</v>
      </c>
      <c r="X6765" s="8">
        <v>62</v>
      </c>
      <c r="Y6765" s="8" t="s">
        <v>30036</v>
      </c>
      <c r="Z6765" s="8" t="s">
        <v>30037</v>
      </c>
    </row>
    <row r="6766" spans="1:26" x14ac:dyDescent="0.2">
      <c r="A6766" s="8">
        <v>6765</v>
      </c>
      <c r="B6766" s="8" t="s">
        <v>30038</v>
      </c>
      <c r="C6766" s="8" t="s">
        <v>30038</v>
      </c>
      <c r="F6766" s="47"/>
      <c r="G6766" s="8">
        <v>18</v>
      </c>
      <c r="H6766" s="8" t="s">
        <v>21</v>
      </c>
      <c r="I6766" s="8" t="s">
        <v>241</v>
      </c>
      <c r="J6766" s="8" t="s">
        <v>241</v>
      </c>
      <c r="K6766" s="8" t="s">
        <v>241</v>
      </c>
      <c r="L6766" s="8" t="s">
        <v>29334</v>
      </c>
      <c r="M6766" s="8" t="s">
        <v>29335</v>
      </c>
      <c r="N6766" s="8" t="s">
        <v>30039</v>
      </c>
      <c r="O6766" s="8">
        <f>19+11/60+6.5/3600</f>
        <v>19.18513888888889</v>
      </c>
      <c r="P6766" s="8" t="s">
        <v>30040</v>
      </c>
      <c r="Q6766" s="8">
        <f>+(30+32/60+47/3600)</f>
        <v>30.546388888888892</v>
      </c>
      <c r="R6766" s="8">
        <v>12.9</v>
      </c>
      <c r="S6766" s="8">
        <v>13.1</v>
      </c>
      <c r="T6766" s="8">
        <v>99</v>
      </c>
      <c r="U6766" s="8">
        <v>99</v>
      </c>
      <c r="V6766" s="8">
        <v>0.67</v>
      </c>
      <c r="Y6766" s="8" t="s">
        <v>1664</v>
      </c>
      <c r="Z6766" s="8" t="s">
        <v>1665</v>
      </c>
    </row>
    <row r="6767" spans="1:26" x14ac:dyDescent="0.2">
      <c r="A6767" s="8">
        <v>6766</v>
      </c>
      <c r="B6767" s="8" t="s">
        <v>30041</v>
      </c>
      <c r="C6767" s="8" t="s">
        <v>30041</v>
      </c>
      <c r="F6767" s="47"/>
      <c r="G6767" s="8">
        <v>19</v>
      </c>
      <c r="H6767" s="8" t="s">
        <v>21</v>
      </c>
      <c r="I6767" s="8" t="s">
        <v>241</v>
      </c>
      <c r="J6767" s="8" t="s">
        <v>241</v>
      </c>
      <c r="K6767" s="8" t="s">
        <v>241</v>
      </c>
      <c r="L6767" s="8" t="s">
        <v>30032</v>
      </c>
      <c r="M6767" s="8" t="s">
        <v>30033</v>
      </c>
      <c r="N6767" s="8" t="s">
        <v>30042</v>
      </c>
      <c r="O6767" s="8">
        <f>20+10/60+23.7/3600</f>
        <v>20.173249999999999</v>
      </c>
      <c r="P6767" s="8" t="s">
        <v>30043</v>
      </c>
      <c r="Q6767" s="8">
        <f>+(46+27/60+42/3600)</f>
        <v>46.461666666666666</v>
      </c>
      <c r="R6767" s="8">
        <v>10.9</v>
      </c>
      <c r="S6767" s="8">
        <v>12.6</v>
      </c>
      <c r="T6767" s="8">
        <v>99</v>
      </c>
      <c r="U6767" s="8">
        <v>99</v>
      </c>
      <c r="V6767" s="8">
        <v>0.25</v>
      </c>
      <c r="Y6767" s="8" t="s">
        <v>27387</v>
      </c>
      <c r="Z6767" s="8" t="s">
        <v>27388</v>
      </c>
    </row>
    <row r="6768" spans="1:26" x14ac:dyDescent="0.2">
      <c r="A6768" s="8">
        <v>6767</v>
      </c>
      <c r="B6768" s="8" t="s">
        <v>30044</v>
      </c>
      <c r="C6768" s="8" t="s">
        <v>30044</v>
      </c>
      <c r="F6768" s="47"/>
      <c r="G6768" s="8">
        <v>19</v>
      </c>
      <c r="H6768" s="8" t="s">
        <v>21</v>
      </c>
      <c r="I6768" s="8" t="s">
        <v>72</v>
      </c>
      <c r="J6768" s="8" t="s">
        <v>72</v>
      </c>
      <c r="K6768" s="8" t="s">
        <v>73</v>
      </c>
      <c r="L6768" s="8" t="s">
        <v>29334</v>
      </c>
      <c r="M6768" s="8" t="s">
        <v>29335</v>
      </c>
      <c r="N6768" s="8" t="s">
        <v>30045</v>
      </c>
      <c r="O6768" s="8">
        <f>19+11/60+34/3600</f>
        <v>19.192777777777778</v>
      </c>
      <c r="P6768" s="8" t="s">
        <v>30046</v>
      </c>
      <c r="Q6768" s="8">
        <f>+(37+43/60+34/3600)</f>
        <v>37.726111111111116</v>
      </c>
      <c r="R6768" s="8">
        <v>99</v>
      </c>
      <c r="S6768" s="8">
        <v>99</v>
      </c>
      <c r="T6768" s="8">
        <v>99</v>
      </c>
      <c r="U6768" s="8">
        <v>99</v>
      </c>
      <c r="Y6768" s="8" t="s">
        <v>30047</v>
      </c>
      <c r="Z6768" s="8" t="s">
        <v>30048</v>
      </c>
    </row>
    <row r="6769" spans="1:26" x14ac:dyDescent="0.2">
      <c r="A6769" s="8">
        <v>6768</v>
      </c>
      <c r="B6769" s="8" t="s">
        <v>30049</v>
      </c>
      <c r="C6769" s="8" t="s">
        <v>30049</v>
      </c>
      <c r="E6769" s="8">
        <v>1</v>
      </c>
      <c r="F6769" s="47"/>
      <c r="G6769" s="8">
        <v>16</v>
      </c>
      <c r="H6769" s="8" t="s">
        <v>21</v>
      </c>
      <c r="I6769" s="8" t="s">
        <v>22</v>
      </c>
      <c r="J6769" s="8" t="s">
        <v>22</v>
      </c>
      <c r="K6769" s="8" t="s">
        <v>50</v>
      </c>
      <c r="L6769" s="8" t="s">
        <v>29060</v>
      </c>
      <c r="M6769" s="8" t="s">
        <v>29061</v>
      </c>
      <c r="N6769" s="8" t="s">
        <v>30050</v>
      </c>
      <c r="O6769" s="8">
        <f>19+16/60+32.7/3600</f>
        <v>19.275749999999999</v>
      </c>
      <c r="P6769" s="8" t="s">
        <v>30051</v>
      </c>
      <c r="Q6769" s="8">
        <f>-(40+12/60+31/3600)</f>
        <v>-40.208611111111111</v>
      </c>
      <c r="R6769" s="8">
        <v>12.2</v>
      </c>
      <c r="S6769" s="8">
        <v>13.2</v>
      </c>
      <c r="T6769" s="8">
        <v>1</v>
      </c>
      <c r="U6769" s="8">
        <v>12.6</v>
      </c>
      <c r="V6769" s="8">
        <v>1.2</v>
      </c>
      <c r="W6769" s="8">
        <v>1.1000000000000001</v>
      </c>
      <c r="X6769" s="8">
        <v>36</v>
      </c>
      <c r="Y6769" s="8" t="s">
        <v>6270</v>
      </c>
      <c r="Z6769" s="8" t="s">
        <v>6271</v>
      </c>
    </row>
    <row r="6770" spans="1:26" x14ac:dyDescent="0.2">
      <c r="A6770" s="8">
        <v>6769</v>
      </c>
      <c r="B6770" s="8" t="s">
        <v>30052</v>
      </c>
      <c r="C6770" s="8" t="s">
        <v>30052</v>
      </c>
      <c r="F6770" s="47"/>
      <c r="G6770" s="8">
        <v>10</v>
      </c>
      <c r="H6770" s="8" t="s">
        <v>21</v>
      </c>
      <c r="I6770" s="8" t="s">
        <v>22</v>
      </c>
      <c r="J6770" s="8" t="s">
        <v>22</v>
      </c>
      <c r="K6770" s="8" t="s">
        <v>5751</v>
      </c>
      <c r="L6770" s="8" t="s">
        <v>28435</v>
      </c>
      <c r="M6770" s="8" t="s">
        <v>28436</v>
      </c>
      <c r="N6770" s="8" t="s">
        <v>30053</v>
      </c>
      <c r="O6770" s="8">
        <f>19+18/60+22.8/3600</f>
        <v>19.306333333333335</v>
      </c>
      <c r="P6770" s="8" t="s">
        <v>30054</v>
      </c>
      <c r="Q6770" s="8">
        <f>-(60+30/60+3/3600)</f>
        <v>-60.500833333333333</v>
      </c>
      <c r="R6770" s="8">
        <v>11.8</v>
      </c>
      <c r="S6770" s="8">
        <v>12.6</v>
      </c>
      <c r="T6770" s="8">
        <v>0.8</v>
      </c>
      <c r="U6770" s="8">
        <v>13</v>
      </c>
      <c r="V6770" s="8">
        <v>2.2000000000000002</v>
      </c>
      <c r="W6770" s="8">
        <v>1.5</v>
      </c>
      <c r="X6770" s="8">
        <v>123</v>
      </c>
      <c r="Y6770" s="8" t="s">
        <v>30055</v>
      </c>
      <c r="Z6770" s="8" t="s">
        <v>30056</v>
      </c>
    </row>
    <row r="6771" spans="1:26" x14ac:dyDescent="0.2">
      <c r="A6771" s="8">
        <v>6770</v>
      </c>
      <c r="B6771" s="8" t="s">
        <v>30057</v>
      </c>
      <c r="C6771" s="8" t="s">
        <v>30057</v>
      </c>
      <c r="F6771" s="47"/>
      <c r="G6771" s="8">
        <v>16</v>
      </c>
      <c r="H6771" s="8" t="s">
        <v>21</v>
      </c>
      <c r="I6771" s="8" t="s">
        <v>22</v>
      </c>
      <c r="J6771" s="8" t="s">
        <v>22</v>
      </c>
      <c r="K6771" s="8" t="s">
        <v>5751</v>
      </c>
      <c r="L6771" s="8" t="s">
        <v>28435</v>
      </c>
      <c r="M6771" s="8" t="s">
        <v>28436</v>
      </c>
      <c r="N6771" s="8" t="s">
        <v>30058</v>
      </c>
      <c r="O6771" s="8">
        <f>19+18/60+37/3600</f>
        <v>19.310277777777777</v>
      </c>
      <c r="P6771" s="8" t="s">
        <v>30059</v>
      </c>
      <c r="Q6771" s="8">
        <f>-(60+29/60+46/3600)</f>
        <v>-60.496111111111112</v>
      </c>
      <c r="R6771" s="8">
        <v>11.9</v>
      </c>
      <c r="S6771" s="8">
        <v>12.8</v>
      </c>
      <c r="T6771" s="8">
        <v>0.9</v>
      </c>
      <c r="U6771" s="8">
        <v>13.2</v>
      </c>
      <c r="V6771" s="8">
        <v>2.2000000000000002</v>
      </c>
      <c r="W6771" s="8">
        <v>1.6</v>
      </c>
      <c r="X6771" s="8">
        <v>20</v>
      </c>
      <c r="Y6771" s="8" t="s">
        <v>30055</v>
      </c>
      <c r="Z6771" s="8" t="s">
        <v>6863</v>
      </c>
    </row>
    <row r="6772" spans="1:26" x14ac:dyDescent="0.2">
      <c r="A6772" s="8">
        <v>6771</v>
      </c>
      <c r="B6772" s="8" t="s">
        <v>30060</v>
      </c>
      <c r="C6772" s="8" t="s">
        <v>30060</v>
      </c>
      <c r="F6772" s="47"/>
      <c r="G6772" s="8">
        <v>16</v>
      </c>
      <c r="H6772" s="8" t="s">
        <v>21</v>
      </c>
      <c r="I6772" s="8" t="s">
        <v>22</v>
      </c>
      <c r="J6772" s="8" t="s">
        <v>22</v>
      </c>
      <c r="K6772" s="8" t="s">
        <v>435</v>
      </c>
      <c r="L6772" s="8" t="s">
        <v>28435</v>
      </c>
      <c r="M6772" s="8" t="s">
        <v>28436</v>
      </c>
      <c r="N6772" s="8" t="s">
        <v>30061</v>
      </c>
      <c r="O6772" s="8">
        <f>19+18/60+39.4/3600</f>
        <v>19.310944444444445</v>
      </c>
      <c r="P6772" s="8" t="s">
        <v>30062</v>
      </c>
      <c r="Q6772" s="8">
        <f>-(60+32/60+47/3600)</f>
        <v>-60.546388888888885</v>
      </c>
      <c r="R6772" s="8">
        <v>12.5</v>
      </c>
      <c r="S6772" s="8">
        <v>13.6</v>
      </c>
      <c r="T6772" s="8">
        <v>1.1000000000000001</v>
      </c>
      <c r="U6772" s="8">
        <v>12.5</v>
      </c>
      <c r="V6772" s="8">
        <v>2.2999999999999998</v>
      </c>
      <c r="W6772" s="8">
        <v>0.5</v>
      </c>
      <c r="X6772" s="8">
        <v>118</v>
      </c>
      <c r="Y6772" s="8" t="s">
        <v>10328</v>
      </c>
      <c r="Z6772" s="8" t="s">
        <v>10329</v>
      </c>
    </row>
    <row r="6773" spans="1:26" x14ac:dyDescent="0.2">
      <c r="A6773" s="8">
        <v>6772</v>
      </c>
      <c r="B6773" s="8" t="s">
        <v>30063</v>
      </c>
      <c r="C6773" s="8" t="s">
        <v>30063</v>
      </c>
      <c r="F6773" s="47" t="s">
        <v>58237</v>
      </c>
      <c r="G6773" s="8">
        <v>6.5</v>
      </c>
      <c r="H6773" s="8" t="s">
        <v>21</v>
      </c>
      <c r="I6773" s="8" t="s">
        <v>241</v>
      </c>
      <c r="J6773" s="8" t="s">
        <v>241</v>
      </c>
      <c r="K6773" s="8" t="s">
        <v>241</v>
      </c>
      <c r="L6773" s="8" t="s">
        <v>29781</v>
      </c>
      <c r="M6773" s="8" t="s">
        <v>29782</v>
      </c>
      <c r="N6773" s="8" t="s">
        <v>30064</v>
      </c>
      <c r="O6773" s="8">
        <f>19+14/60+36.4/3600</f>
        <v>19.243444444444446</v>
      </c>
      <c r="P6773" s="8" t="s">
        <v>30065</v>
      </c>
      <c r="Q6773" s="8">
        <f>-(2+42/60+22/3600)</f>
        <v>-2.7061111111111114</v>
      </c>
      <c r="R6773" s="8">
        <v>12.7</v>
      </c>
      <c r="S6773" s="8">
        <v>14.2</v>
      </c>
      <c r="T6773" s="8">
        <v>99</v>
      </c>
      <c r="U6773" s="8">
        <v>99</v>
      </c>
      <c r="V6773" s="8">
        <v>1.43</v>
      </c>
      <c r="Y6773" s="8" t="s">
        <v>30066</v>
      </c>
      <c r="Z6773" s="8" t="s">
        <v>30067</v>
      </c>
    </row>
    <row r="6774" spans="1:26" x14ac:dyDescent="0.2">
      <c r="A6774" s="8">
        <v>6773</v>
      </c>
      <c r="B6774" s="8" t="s">
        <v>30068</v>
      </c>
      <c r="C6774" s="8" t="s">
        <v>30068</v>
      </c>
      <c r="F6774" s="47"/>
      <c r="G6774" s="8">
        <v>16</v>
      </c>
      <c r="H6774" s="8" t="s">
        <v>21</v>
      </c>
      <c r="I6774" s="8" t="s">
        <v>72</v>
      </c>
      <c r="J6774" s="8" t="s">
        <v>72</v>
      </c>
      <c r="K6774" s="8" t="s">
        <v>1405</v>
      </c>
      <c r="L6774" s="8" t="s">
        <v>29781</v>
      </c>
      <c r="M6774" s="8" t="s">
        <v>29782</v>
      </c>
      <c r="N6774" s="8" t="s">
        <v>30069</v>
      </c>
      <c r="O6774" s="8">
        <f>19+15/60+8/3600</f>
        <v>19.252222222222223</v>
      </c>
      <c r="P6774" s="8" t="s">
        <v>10355</v>
      </c>
      <c r="Q6774" s="8">
        <f>+(4+51/60+24/3600)</f>
        <v>4.8566666666666665</v>
      </c>
      <c r="R6774" s="8">
        <v>99</v>
      </c>
      <c r="S6774" s="8">
        <v>99</v>
      </c>
      <c r="T6774" s="8">
        <v>99</v>
      </c>
      <c r="U6774" s="8">
        <v>99</v>
      </c>
      <c r="Y6774" s="8" t="s">
        <v>10888</v>
      </c>
      <c r="Z6774" s="8" t="s">
        <v>10889</v>
      </c>
    </row>
    <row r="6775" spans="1:26" x14ac:dyDescent="0.2">
      <c r="A6775" s="8">
        <v>6774</v>
      </c>
      <c r="B6775" s="8" t="s">
        <v>30070</v>
      </c>
      <c r="C6775" s="8" t="s">
        <v>30070</v>
      </c>
      <c r="F6775" s="47"/>
      <c r="G6775" s="8">
        <v>13</v>
      </c>
      <c r="H6775" s="8" t="s">
        <v>21</v>
      </c>
      <c r="I6775" s="8" t="s">
        <v>557</v>
      </c>
      <c r="J6775" s="8" t="s">
        <v>557</v>
      </c>
      <c r="K6775" s="8" t="s">
        <v>3217</v>
      </c>
      <c r="L6775" s="8" t="s">
        <v>28576</v>
      </c>
      <c r="M6775" s="8" t="s">
        <v>28577</v>
      </c>
      <c r="N6775" s="8" t="s">
        <v>30071</v>
      </c>
      <c r="O6775" s="8">
        <f>19+16/60+18/3600</f>
        <v>19.271666666666665</v>
      </c>
      <c r="P6775" s="8" t="s">
        <v>30072</v>
      </c>
      <c r="Q6775" s="8">
        <f>-(16+19/60+30/3600)</f>
        <v>-16.324999999999999</v>
      </c>
      <c r="R6775" s="8">
        <v>99</v>
      </c>
      <c r="S6775" s="8">
        <v>99</v>
      </c>
      <c r="T6775" s="8">
        <v>99</v>
      </c>
      <c r="U6775" s="8">
        <v>99</v>
      </c>
      <c r="V6775" s="8">
        <v>20</v>
      </c>
      <c r="Y6775" s="8" t="s">
        <v>29182</v>
      </c>
      <c r="Z6775" s="8" t="s">
        <v>29183</v>
      </c>
    </row>
    <row r="6776" spans="1:26" x14ac:dyDescent="0.2">
      <c r="A6776" s="8">
        <v>6775</v>
      </c>
      <c r="B6776" s="8" t="s">
        <v>30073</v>
      </c>
      <c r="C6776" s="8" t="s">
        <v>30073</v>
      </c>
      <c r="F6776" s="47"/>
      <c r="G6776" s="8">
        <v>16</v>
      </c>
      <c r="H6776" s="8" t="s">
        <v>21</v>
      </c>
      <c r="I6776" s="8" t="s">
        <v>72</v>
      </c>
      <c r="J6776" s="8" t="s">
        <v>72</v>
      </c>
      <c r="K6776" s="8" t="s">
        <v>1405</v>
      </c>
      <c r="L6776" s="8" t="s">
        <v>29781</v>
      </c>
      <c r="M6776" s="8" t="s">
        <v>29782</v>
      </c>
      <c r="N6776" s="8" t="s">
        <v>30074</v>
      </c>
      <c r="O6776" s="8">
        <f>19+16/60+42/3600</f>
        <v>19.278333333333332</v>
      </c>
      <c r="P6776" s="8" t="s">
        <v>2837</v>
      </c>
      <c r="Q6776" s="8">
        <f>-(0+55/60+58/3600)</f>
        <v>-0.93277777777777771</v>
      </c>
      <c r="R6776" s="8">
        <v>99</v>
      </c>
      <c r="S6776" s="8">
        <v>99</v>
      </c>
      <c r="T6776" s="8">
        <v>99</v>
      </c>
      <c r="U6776" s="8">
        <v>99</v>
      </c>
      <c r="V6776" s="8">
        <v>13</v>
      </c>
      <c r="Y6776" s="8" t="s">
        <v>30075</v>
      </c>
      <c r="Z6776" s="8" t="s">
        <v>30076</v>
      </c>
    </row>
    <row r="6777" spans="1:26" x14ac:dyDescent="0.2">
      <c r="A6777" s="8">
        <v>6776</v>
      </c>
      <c r="B6777" s="8" t="s">
        <v>30077</v>
      </c>
      <c r="C6777" s="8" t="s">
        <v>30077</v>
      </c>
      <c r="F6777" s="47"/>
      <c r="G6777" s="8">
        <v>13</v>
      </c>
      <c r="H6777" s="8" t="s">
        <v>30078</v>
      </c>
      <c r="I6777" s="8" t="s">
        <v>22</v>
      </c>
      <c r="J6777" s="8" t="s">
        <v>22</v>
      </c>
      <c r="K6777" s="8" t="s">
        <v>183</v>
      </c>
      <c r="L6777" s="8" t="s">
        <v>28435</v>
      </c>
      <c r="M6777" s="8" t="s">
        <v>28436</v>
      </c>
      <c r="N6777" s="8" t="s">
        <v>30079</v>
      </c>
      <c r="O6777" s="8">
        <f>19+25/60+19.1/3600</f>
        <v>19.421972222222223</v>
      </c>
      <c r="P6777" s="8" t="s">
        <v>30080</v>
      </c>
      <c r="Q6777" s="8">
        <f>-(63+51/60+36/3600)</f>
        <v>-63.86</v>
      </c>
      <c r="R6777" s="8">
        <v>12.1</v>
      </c>
      <c r="S6777" s="8">
        <v>13.1</v>
      </c>
      <c r="T6777" s="8">
        <v>1</v>
      </c>
      <c r="U6777" s="8">
        <v>13.1</v>
      </c>
      <c r="V6777" s="8">
        <v>1.6</v>
      </c>
      <c r="W6777" s="8">
        <v>1.4</v>
      </c>
      <c r="X6777" s="8">
        <v>15</v>
      </c>
      <c r="Y6777" s="8" t="s">
        <v>19295</v>
      </c>
      <c r="Z6777" s="8" t="s">
        <v>19296</v>
      </c>
    </row>
    <row r="6778" spans="1:26" x14ac:dyDescent="0.2">
      <c r="A6778" s="8">
        <v>6777</v>
      </c>
      <c r="B6778" s="8" t="s">
        <v>30081</v>
      </c>
      <c r="C6778" s="8" t="s">
        <v>30081</v>
      </c>
      <c r="F6778" s="47"/>
      <c r="G6778" s="8">
        <v>4</v>
      </c>
      <c r="H6778" s="8" t="s">
        <v>21</v>
      </c>
      <c r="I6778" s="8" t="s">
        <v>72</v>
      </c>
      <c r="J6778" s="8" t="s">
        <v>72</v>
      </c>
      <c r="K6778" s="8" t="s">
        <v>73</v>
      </c>
      <c r="L6778" s="8" t="s">
        <v>28435</v>
      </c>
      <c r="M6778" s="8" t="s">
        <v>28436</v>
      </c>
      <c r="N6778" s="8" t="s">
        <v>30082</v>
      </c>
      <c r="O6778" s="8">
        <f>19+26/60+32/3600</f>
        <v>19.442222222222224</v>
      </c>
      <c r="P6778" s="8" t="s">
        <v>30083</v>
      </c>
      <c r="Q6778" s="8">
        <f>-(71+27/60+52/3600)</f>
        <v>-71.464444444444453</v>
      </c>
      <c r="R6778" s="8">
        <v>99</v>
      </c>
      <c r="S6778" s="8">
        <v>7.7</v>
      </c>
      <c r="T6778" s="8">
        <v>99</v>
      </c>
      <c r="U6778" s="8">
        <v>99</v>
      </c>
      <c r="Y6778" s="8" t="s">
        <v>29982</v>
      </c>
      <c r="Z6778" s="8" t="s">
        <v>30084</v>
      </c>
    </row>
    <row r="6779" spans="1:26" x14ac:dyDescent="0.2">
      <c r="A6779" s="8">
        <v>6778</v>
      </c>
      <c r="B6779" s="8" t="s">
        <v>30085</v>
      </c>
      <c r="C6779" s="8" t="s">
        <v>30085</v>
      </c>
      <c r="F6779" s="47"/>
      <c r="G6779" s="8">
        <v>13</v>
      </c>
      <c r="H6779" s="8" t="s">
        <v>30086</v>
      </c>
      <c r="I6779" s="8" t="s">
        <v>241</v>
      </c>
      <c r="J6779" s="8" t="s">
        <v>57</v>
      </c>
      <c r="K6779" s="8" t="s">
        <v>241</v>
      </c>
      <c r="L6779" s="8" t="s">
        <v>29781</v>
      </c>
      <c r="M6779" s="8" t="s">
        <v>29782</v>
      </c>
      <c r="N6779" s="8" t="s">
        <v>30087</v>
      </c>
      <c r="O6779" s="8">
        <f>19+18/60+24.9/3600</f>
        <v>19.306916666666666</v>
      </c>
      <c r="P6779" s="8" t="s">
        <v>30088</v>
      </c>
      <c r="Q6779" s="8">
        <f>-(1+35/60+45/3600)</f>
        <v>-1.5958333333333334</v>
      </c>
      <c r="R6779" s="8">
        <v>12.3</v>
      </c>
      <c r="S6779" s="8">
        <v>13.3</v>
      </c>
      <c r="T6779" s="8">
        <v>99</v>
      </c>
      <c r="U6779" s="8">
        <v>99</v>
      </c>
      <c r="V6779" s="8">
        <v>0.62</v>
      </c>
      <c r="Y6779" s="8" t="s">
        <v>30089</v>
      </c>
      <c r="Z6779" s="8" t="s">
        <v>30090</v>
      </c>
    </row>
    <row r="6780" spans="1:26" x14ac:dyDescent="0.2">
      <c r="A6780" s="8">
        <v>6779</v>
      </c>
      <c r="B6780" s="8" t="s">
        <v>30091</v>
      </c>
      <c r="C6780" s="8" t="s">
        <v>55954</v>
      </c>
      <c r="F6780" s="47"/>
      <c r="G6780" s="8">
        <v>1</v>
      </c>
      <c r="H6780" s="8" t="s">
        <v>21</v>
      </c>
      <c r="I6780" s="8" t="s">
        <v>567</v>
      </c>
      <c r="J6780" s="8" t="s">
        <v>567</v>
      </c>
      <c r="K6780" s="8" t="s">
        <v>1485</v>
      </c>
      <c r="L6780" s="8" t="s">
        <v>29334</v>
      </c>
      <c r="M6780" s="8" t="s">
        <v>29335</v>
      </c>
      <c r="N6780" s="8" t="s">
        <v>30092</v>
      </c>
      <c r="O6780" s="8">
        <f>19+16/60+35.5/3600</f>
        <v>19.276527777777776</v>
      </c>
      <c r="P6780" s="8" t="s">
        <v>30093</v>
      </c>
      <c r="Q6780" s="8">
        <f>+(30+11/60+7/3600)</f>
        <v>30.185277777777777</v>
      </c>
      <c r="R6780" s="8">
        <v>8.4</v>
      </c>
      <c r="S6780" s="8">
        <v>99</v>
      </c>
      <c r="T6780" s="8">
        <v>99</v>
      </c>
      <c r="U6780" s="8">
        <v>99</v>
      </c>
      <c r="V6780" s="8">
        <v>8.8000000000000007</v>
      </c>
      <c r="Y6780" s="8" t="s">
        <v>30094</v>
      </c>
      <c r="Z6780" s="8" t="s">
        <v>30095</v>
      </c>
    </row>
    <row r="6781" spans="1:26" x14ac:dyDescent="0.2">
      <c r="A6781" s="8">
        <v>6780</v>
      </c>
      <c r="B6781" s="8" t="s">
        <v>30096</v>
      </c>
      <c r="C6781" s="8" t="s">
        <v>30096</v>
      </c>
      <c r="F6781" s="47"/>
      <c r="G6781" s="8">
        <v>13</v>
      </c>
      <c r="H6781" s="8" t="s">
        <v>21</v>
      </c>
      <c r="I6781" s="8" t="s">
        <v>22</v>
      </c>
      <c r="J6781" s="8" t="s">
        <v>22</v>
      </c>
      <c r="K6781" s="8" t="s">
        <v>64</v>
      </c>
      <c r="L6781" s="8" t="s">
        <v>29246</v>
      </c>
      <c r="M6781" s="8" t="s">
        <v>29247</v>
      </c>
      <c r="N6781" s="8" t="s">
        <v>30097</v>
      </c>
      <c r="O6781" s="8">
        <f>19+22/60+50.8/3600</f>
        <v>19.380777777777777</v>
      </c>
      <c r="P6781" s="8" t="s">
        <v>30098</v>
      </c>
      <c r="Q6781" s="8">
        <f>-(55+46/60+33/3600)</f>
        <v>-55.775833333333331</v>
      </c>
      <c r="R6781" s="8">
        <v>12.6</v>
      </c>
      <c r="S6781" s="8">
        <v>13.3</v>
      </c>
      <c r="T6781" s="8">
        <v>0.7</v>
      </c>
      <c r="U6781" s="8">
        <v>13.7</v>
      </c>
      <c r="V6781" s="8">
        <v>1.9</v>
      </c>
      <c r="W6781" s="8">
        <v>1.6</v>
      </c>
      <c r="X6781" s="8">
        <v>168</v>
      </c>
      <c r="Y6781" s="8" t="s">
        <v>813</v>
      </c>
      <c r="Z6781" s="8" t="s">
        <v>814</v>
      </c>
    </row>
    <row r="6782" spans="1:26" x14ac:dyDescent="0.2">
      <c r="A6782" s="8">
        <v>6781</v>
      </c>
      <c r="B6782" s="8" t="s">
        <v>30099</v>
      </c>
      <c r="C6782" s="8" t="s">
        <v>30099</v>
      </c>
      <c r="F6782" s="47" t="s">
        <v>58238</v>
      </c>
      <c r="G6782" s="8">
        <v>5</v>
      </c>
      <c r="H6782" s="8" t="s">
        <v>30100</v>
      </c>
      <c r="I6782" s="8" t="s">
        <v>241</v>
      </c>
      <c r="J6782" s="8" t="s">
        <v>241</v>
      </c>
      <c r="K6782" s="8" t="s">
        <v>241</v>
      </c>
      <c r="L6782" s="8" t="s">
        <v>29781</v>
      </c>
      <c r="M6782" s="8" t="s">
        <v>29782</v>
      </c>
      <c r="N6782" s="8" t="s">
        <v>30101</v>
      </c>
      <c r="O6782" s="8">
        <f>19+18/60+28.3/3600</f>
        <v>19.307861111111112</v>
      </c>
      <c r="P6782" s="8" t="s">
        <v>30102</v>
      </c>
      <c r="Q6782" s="8">
        <f>+(6+32/60+25/3600)</f>
        <v>6.5402777777777779</v>
      </c>
      <c r="R6782" s="8">
        <v>11.4</v>
      </c>
      <c r="S6782" s="8">
        <v>11.8</v>
      </c>
      <c r="T6782" s="8">
        <v>99</v>
      </c>
      <c r="U6782" s="8">
        <v>99</v>
      </c>
      <c r="V6782" s="8">
        <v>1.9</v>
      </c>
      <c r="Y6782" s="8" t="s">
        <v>30103</v>
      </c>
      <c r="Z6782" s="8" t="s">
        <v>30104</v>
      </c>
    </row>
    <row r="6783" spans="1:26" x14ac:dyDescent="0.2">
      <c r="A6783" s="8">
        <v>6782</v>
      </c>
      <c r="B6783" s="8" t="s">
        <v>30105</v>
      </c>
      <c r="C6783" s="8" t="s">
        <v>30105</v>
      </c>
      <c r="F6783" s="47"/>
      <c r="G6783" s="8">
        <v>13</v>
      </c>
      <c r="H6783" s="8" t="s">
        <v>21</v>
      </c>
      <c r="I6783" s="8" t="s">
        <v>22</v>
      </c>
      <c r="J6783" s="8" t="s">
        <v>22</v>
      </c>
      <c r="K6783" s="8" t="s">
        <v>154</v>
      </c>
      <c r="L6783" s="8" t="s">
        <v>28435</v>
      </c>
      <c r="M6783" s="8" t="s">
        <v>28436</v>
      </c>
      <c r="N6783" s="8" t="s">
        <v>30106</v>
      </c>
      <c r="O6783" s="8">
        <f>19+23/60+57.9/3600</f>
        <v>19.399416666666667</v>
      </c>
      <c r="P6783" s="8" t="s">
        <v>30107</v>
      </c>
      <c r="Q6783" s="8">
        <f>-(59+55/60+20/3600)</f>
        <v>-59.922222222222217</v>
      </c>
      <c r="R6783" s="8">
        <v>11</v>
      </c>
      <c r="S6783" s="8">
        <v>11.9</v>
      </c>
      <c r="T6783" s="8">
        <v>0.9</v>
      </c>
      <c r="U6783" s="8">
        <v>12.6</v>
      </c>
      <c r="V6783" s="8">
        <v>2.4</v>
      </c>
      <c r="W6783" s="8">
        <v>2</v>
      </c>
      <c r="X6783" s="8">
        <v>45</v>
      </c>
      <c r="Y6783" s="8" t="s">
        <v>30108</v>
      </c>
      <c r="Z6783" s="8" t="s">
        <v>30109</v>
      </c>
    </row>
    <row r="6784" spans="1:26" x14ac:dyDescent="0.2">
      <c r="A6784" s="8">
        <v>6783</v>
      </c>
      <c r="B6784" s="8" t="s">
        <v>30110</v>
      </c>
      <c r="C6784" s="8" t="s">
        <v>30110</v>
      </c>
      <c r="F6784" s="47"/>
      <c r="G6784" s="8">
        <v>18</v>
      </c>
      <c r="H6784" s="8" t="s">
        <v>21</v>
      </c>
      <c r="I6784" s="8" t="s">
        <v>22</v>
      </c>
      <c r="J6784" s="8" t="s">
        <v>22</v>
      </c>
      <c r="K6784" s="8" t="s">
        <v>424</v>
      </c>
      <c r="L6784" s="8" t="s">
        <v>30032</v>
      </c>
      <c r="M6784" s="8" t="s">
        <v>30033</v>
      </c>
      <c r="N6784" s="8" t="s">
        <v>30111</v>
      </c>
      <c r="O6784" s="8">
        <f>19+16/60+47.5/3600</f>
        <v>19.27986111111111</v>
      </c>
      <c r="P6784" s="8" t="s">
        <v>30112</v>
      </c>
      <c r="Q6784" s="8">
        <f>+(46+1/60+5/3600)</f>
        <v>46.018055555555556</v>
      </c>
      <c r="R6784" s="8">
        <v>14.4</v>
      </c>
      <c r="S6784" s="8">
        <v>15.4</v>
      </c>
      <c r="T6784" s="8">
        <v>1</v>
      </c>
      <c r="U6784" s="8">
        <v>13.1</v>
      </c>
      <c r="V6784" s="8">
        <v>0.6</v>
      </c>
      <c r="W6784" s="8">
        <v>0.6</v>
      </c>
      <c r="Y6784" s="8" t="s">
        <v>2646</v>
      </c>
      <c r="Z6784" s="8" t="s">
        <v>2647</v>
      </c>
    </row>
    <row r="6785" spans="1:26" x14ac:dyDescent="0.2">
      <c r="A6785" s="8">
        <v>6784</v>
      </c>
      <c r="B6785" s="8" t="s">
        <v>30113</v>
      </c>
      <c r="C6785" s="8" t="s">
        <v>30113</v>
      </c>
      <c r="D6785" s="8" t="s">
        <v>351</v>
      </c>
      <c r="F6785" s="47"/>
      <c r="G6785" s="8">
        <v>16</v>
      </c>
      <c r="H6785" s="8" t="s">
        <v>21</v>
      </c>
      <c r="I6785" s="8" t="s">
        <v>22</v>
      </c>
      <c r="J6785" s="8" t="s">
        <v>22</v>
      </c>
      <c r="K6785" s="8" t="s">
        <v>58</v>
      </c>
      <c r="L6785" s="8" t="s">
        <v>28435</v>
      </c>
      <c r="M6785" s="8" t="s">
        <v>28436</v>
      </c>
      <c r="N6785" s="8" t="s">
        <v>30114</v>
      </c>
      <c r="O6785" s="8">
        <f>19+26/60+31.2/3600</f>
        <v>19.442</v>
      </c>
      <c r="P6785" s="8" t="s">
        <v>30115</v>
      </c>
      <c r="Q6785" s="8">
        <f>-(65+37/60+36/3600)</f>
        <v>-65.626666666666665</v>
      </c>
      <c r="R6785" s="8">
        <v>13.8</v>
      </c>
      <c r="S6785" s="8">
        <v>14.8</v>
      </c>
      <c r="T6785" s="8">
        <v>1</v>
      </c>
      <c r="U6785" s="8">
        <v>12.8</v>
      </c>
      <c r="V6785" s="8">
        <v>0.9</v>
      </c>
      <c r="W6785" s="8">
        <v>0.5</v>
      </c>
      <c r="X6785" s="8">
        <v>170</v>
      </c>
      <c r="Y6785" s="8" t="s">
        <v>30116</v>
      </c>
      <c r="Z6785" s="8" t="s">
        <v>30117</v>
      </c>
    </row>
    <row r="6786" spans="1:26" x14ac:dyDescent="0.2">
      <c r="A6786" s="8">
        <v>6785</v>
      </c>
      <c r="B6786" s="8" t="s">
        <v>30118</v>
      </c>
      <c r="C6786" s="8" t="s">
        <v>30118</v>
      </c>
      <c r="F6786" s="47"/>
      <c r="G6786" s="8">
        <v>16</v>
      </c>
      <c r="H6786" s="8" t="s">
        <v>21</v>
      </c>
      <c r="I6786" s="8" t="s">
        <v>241</v>
      </c>
      <c r="J6786" s="8" t="s">
        <v>241</v>
      </c>
      <c r="K6786" s="8" t="s">
        <v>241</v>
      </c>
      <c r="L6786" s="8" t="s">
        <v>29781</v>
      </c>
      <c r="M6786" s="8" t="s">
        <v>29782</v>
      </c>
      <c r="N6786" s="8" t="s">
        <v>30087</v>
      </c>
      <c r="O6786" s="8">
        <f>19+18/60+24.9/3600</f>
        <v>19.306916666666666</v>
      </c>
      <c r="P6786" s="8" t="s">
        <v>30088</v>
      </c>
      <c r="Q6786" s="8">
        <f>-(1+35/60+45/3600)</f>
        <v>-1.5958333333333334</v>
      </c>
      <c r="R6786" s="8">
        <v>12.3</v>
      </c>
      <c r="S6786" s="8">
        <v>13.3</v>
      </c>
      <c r="T6786" s="8">
        <v>99</v>
      </c>
      <c r="U6786" s="8">
        <v>99</v>
      </c>
      <c r="V6786" s="8">
        <v>0.62</v>
      </c>
      <c r="Y6786" s="8" t="s">
        <v>30089</v>
      </c>
      <c r="Z6786" s="8" t="s">
        <v>30119</v>
      </c>
    </row>
    <row r="6787" spans="1:26" x14ac:dyDescent="0.2">
      <c r="A6787" s="8">
        <v>6786</v>
      </c>
      <c r="B6787" s="8" t="s">
        <v>30120</v>
      </c>
      <c r="C6787" s="8" t="s">
        <v>30120</v>
      </c>
      <c r="F6787" s="47"/>
      <c r="G6787" s="8">
        <v>19</v>
      </c>
      <c r="H6787" s="8" t="s">
        <v>21</v>
      </c>
      <c r="I6787" s="8" t="s">
        <v>22</v>
      </c>
      <c r="J6787" s="8" t="s">
        <v>22</v>
      </c>
      <c r="K6787" s="8" t="s">
        <v>85</v>
      </c>
      <c r="L6787" s="8" t="s">
        <v>13395</v>
      </c>
      <c r="M6787" s="8" t="s">
        <v>13396</v>
      </c>
      <c r="N6787" s="8" t="s">
        <v>30121</v>
      </c>
      <c r="O6787" s="8">
        <f>19+10/60+53.8/3600</f>
        <v>19.181611111111113</v>
      </c>
      <c r="P6787" s="8" t="s">
        <v>30122</v>
      </c>
      <c r="Q6787" s="8">
        <f>+(73+24/60+39/3600)</f>
        <v>73.410833333333343</v>
      </c>
      <c r="R6787" s="8">
        <v>12.9</v>
      </c>
      <c r="S6787" s="8">
        <v>13.7</v>
      </c>
      <c r="T6787" s="8">
        <v>0.8</v>
      </c>
      <c r="U6787" s="8">
        <v>12.7</v>
      </c>
      <c r="V6787" s="8">
        <v>1.1000000000000001</v>
      </c>
      <c r="W6787" s="8">
        <v>0.9</v>
      </c>
      <c r="X6787" s="8">
        <v>45</v>
      </c>
      <c r="Y6787" s="8" t="s">
        <v>30123</v>
      </c>
      <c r="Z6787" s="8" t="s">
        <v>30124</v>
      </c>
    </row>
    <row r="6788" spans="1:26" x14ac:dyDescent="0.2">
      <c r="A6788" s="8">
        <v>6787</v>
      </c>
      <c r="B6788" s="8" t="s">
        <v>30125</v>
      </c>
      <c r="C6788" s="8" t="s">
        <v>30125</v>
      </c>
      <c r="F6788" s="47"/>
      <c r="G6788" s="8">
        <v>19</v>
      </c>
      <c r="H6788" s="8" t="s">
        <v>21</v>
      </c>
      <c r="I6788" s="8" t="s">
        <v>22</v>
      </c>
      <c r="J6788" s="8" t="s">
        <v>22</v>
      </c>
      <c r="K6788" s="8" t="s">
        <v>218</v>
      </c>
      <c r="L6788" s="8" t="s">
        <v>13395</v>
      </c>
      <c r="M6788" s="8" t="s">
        <v>13396</v>
      </c>
      <c r="N6788" s="8" t="s">
        <v>30126</v>
      </c>
      <c r="O6788" s="8">
        <f>19+16/60+10.5/3600</f>
        <v>19.269583333333333</v>
      </c>
      <c r="P6788" s="8" t="s">
        <v>30127</v>
      </c>
      <c r="Q6788" s="8">
        <f>+(60+25/60+3/3600)</f>
        <v>60.417499999999997</v>
      </c>
      <c r="R6788" s="8">
        <v>13.9</v>
      </c>
      <c r="S6788" s="8">
        <v>14.7</v>
      </c>
      <c r="T6788" s="8">
        <v>0.8</v>
      </c>
      <c r="U6788" s="8">
        <v>13.9</v>
      </c>
      <c r="V6788" s="8">
        <v>1.2</v>
      </c>
      <c r="W6788" s="8">
        <v>1</v>
      </c>
      <c r="X6788" s="8">
        <v>102</v>
      </c>
      <c r="Y6788" s="8" t="s">
        <v>30128</v>
      </c>
      <c r="Z6788" s="8" t="s">
        <v>30129</v>
      </c>
    </row>
    <row r="6789" spans="1:26" x14ac:dyDescent="0.2">
      <c r="A6789" s="8">
        <v>6788</v>
      </c>
      <c r="B6789" s="8" t="s">
        <v>30130</v>
      </c>
      <c r="C6789" s="8" t="s">
        <v>30130</v>
      </c>
      <c r="F6789" s="47"/>
      <c r="G6789" s="8">
        <v>16</v>
      </c>
      <c r="H6789" s="8" t="s">
        <v>21</v>
      </c>
      <c r="I6789" s="8" t="s">
        <v>22</v>
      </c>
      <c r="J6789" s="8" t="s">
        <v>22</v>
      </c>
      <c r="K6789" s="8" t="s">
        <v>31</v>
      </c>
      <c r="L6789" s="8" t="s">
        <v>29246</v>
      </c>
      <c r="M6789" s="8" t="s">
        <v>29247</v>
      </c>
      <c r="N6789" s="8" t="s">
        <v>30131</v>
      </c>
      <c r="O6789" s="8">
        <f>19+26/60+49.7/3600</f>
        <v>19.44713888888889</v>
      </c>
      <c r="P6789" s="8" t="s">
        <v>30132</v>
      </c>
      <c r="Q6789" s="8">
        <f>-(54+57/60+2/3600)</f>
        <v>-54.95055555555556</v>
      </c>
      <c r="R6789" s="8">
        <v>11.9</v>
      </c>
      <c r="S6789" s="8">
        <v>12.7</v>
      </c>
      <c r="T6789" s="8">
        <v>0.8</v>
      </c>
      <c r="U6789" s="8">
        <v>12.8</v>
      </c>
      <c r="V6789" s="8">
        <v>2.9</v>
      </c>
      <c r="W6789" s="8">
        <v>0.9</v>
      </c>
      <c r="X6789" s="8">
        <v>71</v>
      </c>
      <c r="Y6789" s="8" t="s">
        <v>30133</v>
      </c>
      <c r="Z6789" s="8" t="s">
        <v>30134</v>
      </c>
    </row>
    <row r="6790" spans="1:26" x14ac:dyDescent="0.2">
      <c r="A6790" s="8">
        <v>6789</v>
      </c>
      <c r="B6790" s="8" t="s">
        <v>30135</v>
      </c>
      <c r="C6790" s="8" t="s">
        <v>30135</v>
      </c>
      <c r="F6790" s="47"/>
      <c r="G6790" s="8">
        <v>19</v>
      </c>
      <c r="H6790" s="8" t="s">
        <v>21</v>
      </c>
      <c r="I6790" s="8" t="s">
        <v>22</v>
      </c>
      <c r="J6790" s="8" t="s">
        <v>22</v>
      </c>
      <c r="K6790" s="8" t="s">
        <v>3616</v>
      </c>
      <c r="L6790" s="8" t="s">
        <v>13395</v>
      </c>
      <c r="M6790" s="8" t="s">
        <v>13396</v>
      </c>
      <c r="N6790" s="8" t="s">
        <v>30136</v>
      </c>
      <c r="O6790" s="8">
        <f>19+16/60+41.7/3600</f>
        <v>19.27825</v>
      </c>
      <c r="P6790" s="8" t="s">
        <v>30137</v>
      </c>
      <c r="Q6790" s="8">
        <f>+(63+58/60+19/3600)</f>
        <v>63.971944444444446</v>
      </c>
      <c r="R6790" s="8">
        <v>13.2</v>
      </c>
      <c r="S6790" s="8">
        <v>13.8</v>
      </c>
      <c r="T6790" s="8">
        <v>0.6</v>
      </c>
      <c r="U6790" s="8">
        <v>13.3</v>
      </c>
      <c r="V6790" s="8">
        <v>1.3</v>
      </c>
      <c r="W6790" s="8">
        <v>1</v>
      </c>
      <c r="X6790" s="8">
        <v>60</v>
      </c>
      <c r="Y6790" s="8" t="s">
        <v>287</v>
      </c>
      <c r="Z6790" s="8" t="s">
        <v>288</v>
      </c>
    </row>
    <row r="6791" spans="1:26" x14ac:dyDescent="0.2">
      <c r="A6791" s="8">
        <v>6790</v>
      </c>
      <c r="B6791" s="8" t="s">
        <v>30138</v>
      </c>
      <c r="C6791" s="8" t="s">
        <v>30138</v>
      </c>
      <c r="F6791" s="47"/>
      <c r="G6791" s="8">
        <v>5</v>
      </c>
      <c r="H6791" s="8" t="s">
        <v>21</v>
      </c>
      <c r="I6791" s="8" t="s">
        <v>241</v>
      </c>
      <c r="J6791" s="8" t="s">
        <v>241</v>
      </c>
      <c r="K6791" s="8" t="s">
        <v>241</v>
      </c>
      <c r="L6791" s="8" t="s">
        <v>29781</v>
      </c>
      <c r="M6791" s="8" t="s">
        <v>29782</v>
      </c>
      <c r="N6791" s="8" t="s">
        <v>30139</v>
      </c>
      <c r="O6791" s="8">
        <f>19+22/60+57/3600</f>
        <v>19.3825</v>
      </c>
      <c r="P6791" s="8" t="s">
        <v>30140</v>
      </c>
      <c r="Q6791" s="8">
        <f>+(1+30/60+49/3600)</f>
        <v>1.513611111111111</v>
      </c>
      <c r="R6791" s="8">
        <v>10.5</v>
      </c>
      <c r="S6791" s="8">
        <v>10.199999999999999</v>
      </c>
      <c r="T6791" s="8">
        <v>99</v>
      </c>
      <c r="U6791" s="8">
        <v>99</v>
      </c>
      <c r="V6791" s="8">
        <v>0.17</v>
      </c>
      <c r="Y6791" s="8" t="s">
        <v>30141</v>
      </c>
      <c r="Z6791" s="8" t="s">
        <v>30142</v>
      </c>
    </row>
    <row r="6792" spans="1:26" x14ac:dyDescent="0.2">
      <c r="A6792" s="8">
        <v>6791</v>
      </c>
      <c r="B6792" s="8" t="s">
        <v>30143</v>
      </c>
      <c r="C6792" s="8" t="s">
        <v>30143</v>
      </c>
      <c r="F6792" s="47"/>
      <c r="G6792" s="8">
        <v>9</v>
      </c>
      <c r="H6792" s="8" t="s">
        <v>21</v>
      </c>
      <c r="I6792" s="8" t="s">
        <v>557</v>
      </c>
      <c r="J6792" s="8" t="s">
        <v>557</v>
      </c>
      <c r="K6792" s="8" t="s">
        <v>2951</v>
      </c>
      <c r="L6792" s="8" t="s">
        <v>29334</v>
      </c>
      <c r="M6792" s="8" t="s">
        <v>29335</v>
      </c>
      <c r="N6792" s="8" t="s">
        <v>30144</v>
      </c>
      <c r="O6792" s="8">
        <f>19+20/60+52.7/3600</f>
        <v>19.347972222222221</v>
      </c>
      <c r="P6792" s="8" t="s">
        <v>27245</v>
      </c>
      <c r="Q6792" s="8">
        <f>+(37+46/60+27/3600)</f>
        <v>37.774166666666666</v>
      </c>
      <c r="R6792" s="8">
        <v>9.5</v>
      </c>
      <c r="S6792" s="8">
        <v>99</v>
      </c>
      <c r="T6792" s="8">
        <v>99</v>
      </c>
      <c r="U6792" s="8">
        <v>99</v>
      </c>
      <c r="V6792" s="8">
        <v>10</v>
      </c>
      <c r="Y6792" s="8" t="s">
        <v>30145</v>
      </c>
      <c r="Z6792" s="8" t="s">
        <v>30146</v>
      </c>
    </row>
    <row r="6793" spans="1:26" x14ac:dyDescent="0.2">
      <c r="A6793" s="8">
        <v>6792</v>
      </c>
      <c r="B6793" s="8" t="s">
        <v>30147</v>
      </c>
      <c r="C6793" s="8" t="s">
        <v>30147</v>
      </c>
      <c r="F6793" s="47"/>
      <c r="G6793" s="8">
        <v>19</v>
      </c>
      <c r="H6793" s="8" t="s">
        <v>21</v>
      </c>
      <c r="I6793" s="8" t="s">
        <v>22</v>
      </c>
      <c r="J6793" s="8" t="s">
        <v>22</v>
      </c>
      <c r="K6793" s="8" t="s">
        <v>218</v>
      </c>
      <c r="L6793" s="8" t="s">
        <v>29334</v>
      </c>
      <c r="M6793" s="8" t="s">
        <v>29335</v>
      </c>
      <c r="N6793" s="8" t="s">
        <v>30148</v>
      </c>
      <c r="O6793" s="8">
        <f>19+20/60+57.3/3600</f>
        <v>19.349249999999998</v>
      </c>
      <c r="P6793" s="8" t="s">
        <v>30149</v>
      </c>
      <c r="Q6793" s="8">
        <f>+(43+7/60+56/3600)</f>
        <v>43.132222222222225</v>
      </c>
      <c r="R6793" s="8">
        <v>12.1</v>
      </c>
      <c r="S6793" s="8">
        <v>12.9</v>
      </c>
      <c r="T6793" s="8">
        <v>0.8</v>
      </c>
      <c r="U6793" s="8">
        <v>13.1</v>
      </c>
      <c r="V6793" s="8">
        <v>2.2000000000000002</v>
      </c>
      <c r="W6793" s="8">
        <v>1.3</v>
      </c>
      <c r="X6793" s="8">
        <v>25</v>
      </c>
      <c r="Y6793" s="8" t="s">
        <v>30150</v>
      </c>
      <c r="Z6793" s="8" t="s">
        <v>30151</v>
      </c>
    </row>
    <row r="6794" spans="1:26" x14ac:dyDescent="0.2">
      <c r="A6794" s="8">
        <v>6793</v>
      </c>
      <c r="B6794" s="8" t="s">
        <v>30152</v>
      </c>
      <c r="C6794" s="8" t="s">
        <v>30152</v>
      </c>
      <c r="F6794" s="47" t="s">
        <v>58239</v>
      </c>
      <c r="G6794" s="8">
        <v>6.5</v>
      </c>
      <c r="H6794" s="8" t="s">
        <v>21</v>
      </c>
      <c r="I6794" s="8" t="s">
        <v>557</v>
      </c>
      <c r="J6794" s="8" t="s">
        <v>557</v>
      </c>
      <c r="K6794" s="8" t="s">
        <v>693</v>
      </c>
      <c r="L6794" s="8" t="s">
        <v>30153</v>
      </c>
      <c r="M6794" s="8" t="s">
        <v>30154</v>
      </c>
      <c r="N6794" s="8" t="s">
        <v>30155</v>
      </c>
      <c r="O6794" s="8">
        <f>19+23/60+12.6/3600</f>
        <v>19.386833333333332</v>
      </c>
      <c r="P6794" s="8" t="s">
        <v>30156</v>
      </c>
      <c r="Q6794" s="8">
        <f>+(22+9/60+27/3600)</f>
        <v>22.157499999999999</v>
      </c>
      <c r="R6794" s="8">
        <v>99</v>
      </c>
      <c r="S6794" s="8">
        <v>99</v>
      </c>
      <c r="T6794" s="8">
        <v>99</v>
      </c>
      <c r="U6794" s="8">
        <v>99</v>
      </c>
      <c r="V6794" s="8">
        <v>7</v>
      </c>
      <c r="Y6794" s="8" t="s">
        <v>10888</v>
      </c>
      <c r="Z6794" s="8" t="s">
        <v>10889</v>
      </c>
    </row>
    <row r="6795" spans="1:26" x14ac:dyDescent="0.2">
      <c r="A6795" s="8">
        <v>6794</v>
      </c>
      <c r="B6795" s="8" t="s">
        <v>30157</v>
      </c>
      <c r="C6795" s="8" t="s">
        <v>30157</v>
      </c>
      <c r="F6795" s="47"/>
      <c r="G6795" s="8">
        <v>16</v>
      </c>
      <c r="H6795" s="8" t="s">
        <v>21</v>
      </c>
      <c r="I6795" s="8" t="s">
        <v>22</v>
      </c>
      <c r="J6795" s="8" t="s">
        <v>22</v>
      </c>
      <c r="K6795" s="8" t="s">
        <v>31</v>
      </c>
      <c r="L6795" s="8" t="s">
        <v>28576</v>
      </c>
      <c r="M6795" s="8" t="s">
        <v>28577</v>
      </c>
      <c r="N6795" s="8" t="s">
        <v>30158</v>
      </c>
      <c r="O6795" s="8">
        <f>19+28/60+3.8/3600</f>
        <v>19.467722222222221</v>
      </c>
      <c r="P6795" s="8" t="s">
        <v>30159</v>
      </c>
      <c r="Q6795" s="8">
        <f>-(38+55/60+7/3600)</f>
        <v>-38.918611111111112</v>
      </c>
      <c r="R6795" s="8">
        <v>12.9</v>
      </c>
      <c r="S6795" s="8">
        <v>13.9</v>
      </c>
      <c r="T6795" s="8">
        <v>1</v>
      </c>
      <c r="U6795" s="8">
        <v>13.7</v>
      </c>
      <c r="V6795" s="8">
        <v>1.7</v>
      </c>
      <c r="W6795" s="8">
        <v>1.4</v>
      </c>
      <c r="X6795" s="8">
        <v>80</v>
      </c>
      <c r="Y6795" s="8" t="s">
        <v>30160</v>
      </c>
      <c r="Z6795" s="8" t="s">
        <v>30161</v>
      </c>
    </row>
    <row r="6796" spans="1:26" x14ac:dyDescent="0.2">
      <c r="A6796" s="8">
        <v>6795</v>
      </c>
      <c r="B6796" s="8" t="s">
        <v>30162</v>
      </c>
      <c r="C6796" s="8" t="s">
        <v>30162</v>
      </c>
      <c r="F6796" s="47"/>
      <c r="G6796" s="8">
        <v>16</v>
      </c>
      <c r="H6796" s="8" t="s">
        <v>21</v>
      </c>
      <c r="I6796" s="8" t="s">
        <v>72</v>
      </c>
      <c r="J6796" s="8" t="s">
        <v>72</v>
      </c>
      <c r="K6796" s="8" t="s">
        <v>1802</v>
      </c>
      <c r="L6796" s="8" t="s">
        <v>29781</v>
      </c>
      <c r="M6796" s="8" t="s">
        <v>29782</v>
      </c>
      <c r="N6796" s="8" t="s">
        <v>30163</v>
      </c>
      <c r="O6796" s="8">
        <f>19+26/60+19.2/3600</f>
        <v>19.438666666666666</v>
      </c>
      <c r="P6796" s="8" t="s">
        <v>30164</v>
      </c>
      <c r="Q6796" s="8">
        <f>+(3+30/60+46/3600)</f>
        <v>3.512777777777778</v>
      </c>
      <c r="R6796" s="8">
        <v>99</v>
      </c>
      <c r="S6796" s="8">
        <v>99</v>
      </c>
      <c r="T6796" s="8">
        <v>99</v>
      </c>
      <c r="U6796" s="8">
        <v>99</v>
      </c>
      <c r="Y6796" s="8" t="s">
        <v>30165</v>
      </c>
      <c r="Z6796" s="8" t="s">
        <v>30166</v>
      </c>
    </row>
    <row r="6797" spans="1:26" x14ac:dyDescent="0.2">
      <c r="A6797" s="8">
        <v>6796</v>
      </c>
      <c r="B6797" s="8" t="s">
        <v>30167</v>
      </c>
      <c r="C6797" s="8" t="s">
        <v>30167</v>
      </c>
      <c r="F6797" s="47"/>
      <c r="G6797" s="8">
        <v>19</v>
      </c>
      <c r="H6797" s="8" t="s">
        <v>21</v>
      </c>
      <c r="I6797" s="8" t="s">
        <v>22</v>
      </c>
      <c r="J6797" s="8" t="s">
        <v>22</v>
      </c>
      <c r="K6797" s="8" t="s">
        <v>396</v>
      </c>
      <c r="L6797" s="8" t="s">
        <v>13395</v>
      </c>
      <c r="M6797" s="8" t="s">
        <v>13396</v>
      </c>
      <c r="N6797" s="8" t="s">
        <v>30168</v>
      </c>
      <c r="O6797" s="8">
        <f>19+21/60+31/3600</f>
        <v>19.358611111111113</v>
      </c>
      <c r="P6797" s="8" t="s">
        <v>30169</v>
      </c>
      <c r="Q6797" s="8">
        <f>+(61+8/60+42/3600)</f>
        <v>61.144999999999996</v>
      </c>
      <c r="R6797" s="8">
        <v>12.6</v>
      </c>
      <c r="S6797" s="8">
        <v>13.5</v>
      </c>
      <c r="T6797" s="8">
        <v>0.9</v>
      </c>
      <c r="U6797" s="8">
        <v>12.3</v>
      </c>
      <c r="V6797" s="8">
        <v>1.9</v>
      </c>
      <c r="W6797" s="8">
        <v>0.4</v>
      </c>
      <c r="X6797" s="8">
        <v>179</v>
      </c>
      <c r="Y6797" s="8" t="s">
        <v>30170</v>
      </c>
      <c r="Z6797" s="8" t="s">
        <v>30171</v>
      </c>
    </row>
    <row r="6798" spans="1:26" x14ac:dyDescent="0.2">
      <c r="A6798" s="8">
        <v>6797</v>
      </c>
      <c r="B6798" s="8" t="s">
        <v>30172</v>
      </c>
      <c r="C6798" s="8" t="s">
        <v>30172</v>
      </c>
      <c r="F6798" s="47"/>
      <c r="G6798" s="8">
        <v>19</v>
      </c>
      <c r="H6798" s="8" t="s">
        <v>21</v>
      </c>
      <c r="I6798" s="8" t="s">
        <v>72</v>
      </c>
      <c r="J6798" s="8" t="s">
        <v>72</v>
      </c>
      <c r="K6798" s="8" t="s">
        <v>73</v>
      </c>
      <c r="L6798" s="8" t="s">
        <v>28576</v>
      </c>
      <c r="M6798" s="8" t="s">
        <v>28577</v>
      </c>
      <c r="N6798" s="8" t="s">
        <v>30173</v>
      </c>
      <c r="O6798" s="8">
        <f>19+29/60+0.6/3600</f>
        <v>19.483499999999999</v>
      </c>
      <c r="P6798" s="8" t="s">
        <v>30174</v>
      </c>
      <c r="Q6798" s="8">
        <f>-(25+39/60+59/3600)</f>
        <v>-25.666388888888889</v>
      </c>
      <c r="R6798" s="8">
        <v>99</v>
      </c>
      <c r="S6798" s="8">
        <v>99</v>
      </c>
      <c r="T6798" s="8">
        <v>99</v>
      </c>
      <c r="U6798" s="8">
        <v>99</v>
      </c>
      <c r="Y6798" s="8" t="s">
        <v>30175</v>
      </c>
      <c r="Z6798" s="8" t="s">
        <v>30176</v>
      </c>
    </row>
    <row r="6799" spans="1:26" x14ac:dyDescent="0.2">
      <c r="A6799" s="8">
        <v>6798</v>
      </c>
      <c r="B6799" s="8" t="s">
        <v>30177</v>
      </c>
      <c r="C6799" s="8" t="s">
        <v>30177</v>
      </c>
      <c r="F6799" s="47"/>
      <c r="G6799" s="8">
        <v>19</v>
      </c>
      <c r="H6799" s="8" t="s">
        <v>21</v>
      </c>
      <c r="I6799" s="8" t="s">
        <v>22</v>
      </c>
      <c r="J6799" s="8" t="s">
        <v>22</v>
      </c>
      <c r="K6799" s="8" t="s">
        <v>37</v>
      </c>
      <c r="L6799" s="8" t="s">
        <v>30032</v>
      </c>
      <c r="M6799" s="8" t="s">
        <v>30033</v>
      </c>
      <c r="N6799" s="8" t="s">
        <v>30178</v>
      </c>
      <c r="O6799" s="8">
        <f>19+24/60+3.1/3600</f>
        <v>19.400861111111109</v>
      </c>
      <c r="P6799" s="8" t="s">
        <v>30179</v>
      </c>
      <c r="Q6799" s="8">
        <f>+(53+37/60+27/3600)</f>
        <v>53.624166666666667</v>
      </c>
      <c r="R6799" s="8">
        <v>13.2</v>
      </c>
      <c r="S6799" s="8">
        <v>14.2</v>
      </c>
      <c r="T6799" s="8">
        <v>1</v>
      </c>
      <c r="U6799" s="8">
        <v>13.5</v>
      </c>
      <c r="V6799" s="8">
        <v>1.6</v>
      </c>
      <c r="W6799" s="8">
        <v>0.9</v>
      </c>
      <c r="X6799" s="8">
        <v>141</v>
      </c>
      <c r="Y6799" s="8" t="s">
        <v>30180</v>
      </c>
      <c r="Z6799" s="8" t="s">
        <v>30181</v>
      </c>
    </row>
    <row r="6800" spans="1:26" x14ac:dyDescent="0.2">
      <c r="A6800" s="8">
        <v>6799</v>
      </c>
      <c r="B6800" s="8" t="s">
        <v>30182</v>
      </c>
      <c r="C6800" s="8" t="s">
        <v>30182</v>
      </c>
      <c r="F6800" s="47"/>
      <c r="G6800" s="8">
        <v>16</v>
      </c>
      <c r="H6800" s="8" t="s">
        <v>21</v>
      </c>
      <c r="I6800" s="8" t="s">
        <v>22</v>
      </c>
      <c r="J6800" s="8" t="s">
        <v>22</v>
      </c>
      <c r="K6800" s="8" t="s">
        <v>58</v>
      </c>
      <c r="L6800" s="8" t="s">
        <v>29246</v>
      </c>
      <c r="M6800" s="8" t="s">
        <v>29247</v>
      </c>
      <c r="N6800" s="8" t="s">
        <v>30183</v>
      </c>
      <c r="O6800" s="8">
        <f>19+32/60+16.7/3600</f>
        <v>19.537972222222223</v>
      </c>
      <c r="P6800" s="8" t="s">
        <v>30184</v>
      </c>
      <c r="Q6800" s="8">
        <f>-(55+54/60+28/3600)</f>
        <v>-55.907777777777774</v>
      </c>
      <c r="R6800" s="8">
        <v>12.4</v>
      </c>
      <c r="S6800" s="8">
        <v>13.4</v>
      </c>
      <c r="T6800" s="8">
        <v>1</v>
      </c>
      <c r="U6800" s="8">
        <v>13</v>
      </c>
      <c r="V6800" s="8">
        <v>1.6</v>
      </c>
      <c r="W6800" s="8">
        <v>1.2</v>
      </c>
      <c r="X6800" s="8">
        <v>98</v>
      </c>
      <c r="Y6800" s="8" t="s">
        <v>30185</v>
      </c>
      <c r="Z6800" s="8" t="s">
        <v>30186</v>
      </c>
    </row>
    <row r="6801" spans="1:26" x14ac:dyDescent="0.2">
      <c r="A6801" s="8">
        <v>6800</v>
      </c>
      <c r="B6801" s="8" t="s">
        <v>30187</v>
      </c>
      <c r="C6801" s="8" t="s">
        <v>30187</v>
      </c>
      <c r="F6801" s="47" t="s">
        <v>58240</v>
      </c>
      <c r="G6801" s="8">
        <v>6.5</v>
      </c>
      <c r="H6801" s="8" t="s">
        <v>21</v>
      </c>
      <c r="I6801" s="8" t="s">
        <v>557</v>
      </c>
      <c r="J6801" s="8" t="s">
        <v>557</v>
      </c>
      <c r="K6801" s="8" t="s">
        <v>987</v>
      </c>
      <c r="L6801" s="8" t="s">
        <v>30153</v>
      </c>
      <c r="M6801" s="8" t="s">
        <v>30154</v>
      </c>
      <c r="N6801" s="8" t="s">
        <v>30188</v>
      </c>
      <c r="O6801" s="8">
        <f>19+27/60+0/3600</f>
        <v>19.45</v>
      </c>
      <c r="P6801" s="8" t="s">
        <v>30189</v>
      </c>
      <c r="Q6801" s="8">
        <f>+(25+5/60+30/3600)</f>
        <v>25.091666666666665</v>
      </c>
      <c r="R6801" s="8">
        <v>99</v>
      </c>
      <c r="S6801" s="8">
        <v>99</v>
      </c>
      <c r="T6801" s="8">
        <v>99</v>
      </c>
      <c r="U6801" s="8">
        <v>99</v>
      </c>
      <c r="V6801" s="8">
        <v>5</v>
      </c>
      <c r="Y6801" s="8" t="s">
        <v>30190</v>
      </c>
      <c r="Z6801" s="8" t="s">
        <v>30191</v>
      </c>
    </row>
    <row r="6802" spans="1:26" x14ac:dyDescent="0.2">
      <c r="A6802" s="8">
        <v>6801</v>
      </c>
      <c r="B6802" s="8" t="s">
        <v>30192</v>
      </c>
      <c r="C6802" s="8" t="s">
        <v>30192</v>
      </c>
      <c r="F6802" s="47"/>
      <c r="G6802" s="8">
        <v>19</v>
      </c>
      <c r="H6802" s="8" t="s">
        <v>21</v>
      </c>
      <c r="I6802" s="8" t="s">
        <v>22</v>
      </c>
      <c r="J6802" s="8" t="s">
        <v>22</v>
      </c>
      <c r="K6802" s="8" t="s">
        <v>160</v>
      </c>
      <c r="L6802" s="8" t="s">
        <v>30032</v>
      </c>
      <c r="M6802" s="8" t="s">
        <v>30033</v>
      </c>
      <c r="N6802" s="8" t="s">
        <v>30193</v>
      </c>
      <c r="O6802" s="8">
        <f>19+27/60+35.9/3600</f>
        <v>19.45997222222222</v>
      </c>
      <c r="P6802" s="8" t="s">
        <v>30194</v>
      </c>
      <c r="Q6802" s="8">
        <f>+(54+22/60+21/3600)</f>
        <v>54.372500000000002</v>
      </c>
      <c r="R6802" s="8">
        <v>13.9</v>
      </c>
      <c r="S6802" s="8">
        <v>14.6</v>
      </c>
      <c r="T6802" s="8">
        <v>0.7</v>
      </c>
      <c r="U6802" s="8">
        <v>13.6</v>
      </c>
      <c r="V6802" s="8">
        <v>1.3</v>
      </c>
      <c r="W6802" s="8">
        <v>0.7</v>
      </c>
      <c r="X6802" s="8">
        <v>44</v>
      </c>
      <c r="Y6802" s="8" t="s">
        <v>30195</v>
      </c>
      <c r="Z6802" s="8" t="s">
        <v>30196</v>
      </c>
    </row>
    <row r="6803" spans="1:26" x14ac:dyDescent="0.2">
      <c r="A6803" s="8">
        <v>6802</v>
      </c>
      <c r="B6803" s="8" t="s">
        <v>30197</v>
      </c>
      <c r="C6803" s="8" t="s">
        <v>30197</v>
      </c>
      <c r="F6803" s="47" t="s">
        <v>58241</v>
      </c>
      <c r="G6803" s="8">
        <v>6</v>
      </c>
      <c r="H6803" s="8" t="s">
        <v>21</v>
      </c>
      <c r="I6803" s="8" t="s">
        <v>557</v>
      </c>
      <c r="J6803" s="8" t="s">
        <v>557</v>
      </c>
      <c r="K6803" s="8" t="s">
        <v>3647</v>
      </c>
      <c r="L6803" s="8" t="s">
        <v>30153</v>
      </c>
      <c r="M6803" s="8" t="s">
        <v>30154</v>
      </c>
      <c r="N6803" s="8" t="s">
        <v>30198</v>
      </c>
      <c r="O6803" s="8">
        <f>19+30/60+36/3600</f>
        <v>19.510000000000002</v>
      </c>
      <c r="P6803" s="8" t="s">
        <v>30199</v>
      </c>
      <c r="Q6803" s="8">
        <f>+(20+15/60+42/3600)</f>
        <v>20.261666666666667</v>
      </c>
      <c r="R6803" s="8">
        <v>8.8000000000000007</v>
      </c>
      <c r="S6803" s="8">
        <v>99</v>
      </c>
      <c r="T6803" s="8">
        <v>99</v>
      </c>
      <c r="U6803" s="8">
        <v>99</v>
      </c>
      <c r="V6803" s="8">
        <v>5</v>
      </c>
      <c r="Y6803" s="8" t="s">
        <v>30200</v>
      </c>
      <c r="Z6803" s="8" t="s">
        <v>30201</v>
      </c>
    </row>
    <row r="6804" spans="1:26" x14ac:dyDescent="0.2">
      <c r="A6804" s="8">
        <v>6803</v>
      </c>
      <c r="B6804" s="8" t="s">
        <v>30202</v>
      </c>
      <c r="C6804" s="8" t="s">
        <v>30202</v>
      </c>
      <c r="F6804" s="47"/>
      <c r="G6804" s="8">
        <v>5</v>
      </c>
      <c r="H6804" s="8" t="s">
        <v>21</v>
      </c>
      <c r="I6804" s="8" t="s">
        <v>241</v>
      </c>
      <c r="J6804" s="8" t="s">
        <v>241</v>
      </c>
      <c r="K6804" s="8" t="s">
        <v>241</v>
      </c>
      <c r="L6804" s="8" t="s">
        <v>29781</v>
      </c>
      <c r="M6804" s="8" t="s">
        <v>29782</v>
      </c>
      <c r="N6804" s="8" t="s">
        <v>30203</v>
      </c>
      <c r="O6804" s="8">
        <f>19+31/60+16.3/3600</f>
        <v>19.521194444444443</v>
      </c>
      <c r="P6804" s="8" t="s">
        <v>30204</v>
      </c>
      <c r="Q6804" s="8">
        <f>+(10+3/60+26/3600)</f>
        <v>10.057222222222222</v>
      </c>
      <c r="R6804" s="8">
        <v>11.4</v>
      </c>
      <c r="S6804" s="8">
        <v>11.3</v>
      </c>
      <c r="T6804" s="8">
        <v>99</v>
      </c>
      <c r="U6804" s="8">
        <v>99</v>
      </c>
      <c r="V6804" s="8">
        <v>0.17</v>
      </c>
      <c r="Y6804" s="8" t="s">
        <v>30205</v>
      </c>
      <c r="Z6804" s="8" t="s">
        <v>27388</v>
      </c>
    </row>
    <row r="6805" spans="1:26" x14ac:dyDescent="0.2">
      <c r="A6805" s="8">
        <v>6804</v>
      </c>
      <c r="B6805" s="8" t="s">
        <v>30206</v>
      </c>
      <c r="C6805" s="8" t="s">
        <v>30206</v>
      </c>
      <c r="F6805" s="47" t="s">
        <v>58242</v>
      </c>
      <c r="G6805" s="8">
        <v>5</v>
      </c>
      <c r="H6805" s="8" t="s">
        <v>30207</v>
      </c>
      <c r="I6805" s="8" t="s">
        <v>241</v>
      </c>
      <c r="J6805" s="8" t="s">
        <v>241</v>
      </c>
      <c r="K6805" s="8" t="s">
        <v>241</v>
      </c>
      <c r="L6805" s="8" t="s">
        <v>29781</v>
      </c>
      <c r="M6805" s="8" t="s">
        <v>29782</v>
      </c>
      <c r="N6805" s="8" t="s">
        <v>30208</v>
      </c>
      <c r="O6805" s="8">
        <f>19+31/60+35.4/3600</f>
        <v>19.526499999999999</v>
      </c>
      <c r="P6805" s="8" t="s">
        <v>30209</v>
      </c>
      <c r="Q6805" s="8">
        <f>+(9+13/60+33/3600)</f>
        <v>9.225833333333334</v>
      </c>
      <c r="R6805" s="8">
        <v>12</v>
      </c>
      <c r="S6805" s="8">
        <v>12.2</v>
      </c>
      <c r="T6805" s="8">
        <v>99</v>
      </c>
      <c r="U6805" s="8">
        <v>99</v>
      </c>
      <c r="V6805" s="8">
        <v>1.1000000000000001</v>
      </c>
      <c r="Y6805" s="8" t="s">
        <v>30210</v>
      </c>
      <c r="Z6805" s="8" t="s">
        <v>30211</v>
      </c>
    </row>
    <row r="6806" spans="1:26" x14ac:dyDescent="0.2">
      <c r="A6806" s="8">
        <v>6805</v>
      </c>
      <c r="B6806" s="8" t="s">
        <v>30212</v>
      </c>
      <c r="C6806" s="8" t="s">
        <v>30212</v>
      </c>
      <c r="F6806" s="47"/>
      <c r="G6806" s="8">
        <v>16</v>
      </c>
      <c r="H6806" s="8" t="s">
        <v>21</v>
      </c>
      <c r="I6806" s="8" t="s">
        <v>22</v>
      </c>
      <c r="J6806" s="8" t="s">
        <v>22</v>
      </c>
      <c r="K6806" s="8" t="s">
        <v>183</v>
      </c>
      <c r="L6806" s="8" t="s">
        <v>28576</v>
      </c>
      <c r="M6806" s="8" t="s">
        <v>28577</v>
      </c>
      <c r="N6806" s="8" t="s">
        <v>30213</v>
      </c>
      <c r="O6806" s="8">
        <f>19+36/60+45.8/3600</f>
        <v>19.612722222222224</v>
      </c>
      <c r="P6806" s="8" t="s">
        <v>30214</v>
      </c>
      <c r="Q6806" s="8">
        <f>-(37+33/60+14/3600)</f>
        <v>-37.553888888888885</v>
      </c>
      <c r="R6806" s="8">
        <v>12.8</v>
      </c>
      <c r="S6806" s="8">
        <v>13.8</v>
      </c>
      <c r="T6806" s="8">
        <v>1</v>
      </c>
      <c r="U6806" s="8">
        <v>12.8</v>
      </c>
      <c r="V6806" s="8">
        <v>1.1000000000000001</v>
      </c>
      <c r="W6806" s="8">
        <v>0.9</v>
      </c>
      <c r="X6806" s="8">
        <v>163</v>
      </c>
      <c r="Y6806" s="8" t="s">
        <v>30215</v>
      </c>
      <c r="Z6806" s="8" t="s">
        <v>30216</v>
      </c>
    </row>
    <row r="6807" spans="1:26" x14ac:dyDescent="0.2">
      <c r="A6807" s="8">
        <v>6806</v>
      </c>
      <c r="B6807" s="8" t="s">
        <v>30217</v>
      </c>
      <c r="C6807" s="8" t="s">
        <v>30217</v>
      </c>
      <c r="F6807" s="47"/>
      <c r="G6807" s="8">
        <v>16</v>
      </c>
      <c r="H6807" s="8" t="s">
        <v>21</v>
      </c>
      <c r="I6807" s="8" t="s">
        <v>22</v>
      </c>
      <c r="J6807" s="8" t="s">
        <v>22</v>
      </c>
      <c r="K6807" s="8" t="s">
        <v>64</v>
      </c>
      <c r="L6807" s="8" t="s">
        <v>28576</v>
      </c>
      <c r="M6807" s="8" t="s">
        <v>28577</v>
      </c>
      <c r="N6807" s="8" t="s">
        <v>30218</v>
      </c>
      <c r="O6807" s="8">
        <f>19+37/60+4.8/3600</f>
        <v>19.618000000000002</v>
      </c>
      <c r="P6807" s="8" t="s">
        <v>30219</v>
      </c>
      <c r="Q6807" s="8">
        <f>-(42+17/60+45/3600)</f>
        <v>-42.295833333333334</v>
      </c>
      <c r="R6807" s="8">
        <v>13.2</v>
      </c>
      <c r="S6807" s="8">
        <v>13.7</v>
      </c>
      <c r="T6807" s="8">
        <v>0.5</v>
      </c>
      <c r="U6807" s="8">
        <v>13.5</v>
      </c>
      <c r="V6807" s="8">
        <v>1.2</v>
      </c>
      <c r="W6807" s="8">
        <v>0.8</v>
      </c>
      <c r="X6807" s="8">
        <v>24</v>
      </c>
      <c r="Y6807" s="8" t="s">
        <v>30220</v>
      </c>
      <c r="Z6807" s="8" t="s">
        <v>30221</v>
      </c>
    </row>
    <row r="6808" spans="1:26" x14ac:dyDescent="0.2">
      <c r="A6808" s="8">
        <v>6807</v>
      </c>
      <c r="B6808" s="8" t="s">
        <v>30222</v>
      </c>
      <c r="C6808" s="8" t="s">
        <v>30222</v>
      </c>
      <c r="F6808" s="47"/>
      <c r="G6808" s="8">
        <v>13</v>
      </c>
      <c r="H6808" s="8" t="s">
        <v>21</v>
      </c>
      <c r="I6808" s="8" t="s">
        <v>241</v>
      </c>
      <c r="J6808" s="8" t="s">
        <v>241</v>
      </c>
      <c r="K6808" s="8" t="s">
        <v>241</v>
      </c>
      <c r="L6808" s="8" t="s">
        <v>29781</v>
      </c>
      <c r="M6808" s="8" t="s">
        <v>29782</v>
      </c>
      <c r="N6808" s="8" t="s">
        <v>30223</v>
      </c>
      <c r="O6808" s="8">
        <f>19+34/60+33.5/3600</f>
        <v>19.575972222222223</v>
      </c>
      <c r="P6808" s="8" t="s">
        <v>30224</v>
      </c>
      <c r="Q6808" s="8">
        <f>+(5+41/60+4/3600)</f>
        <v>5.6844444444444449</v>
      </c>
      <c r="R6808" s="8">
        <v>12</v>
      </c>
      <c r="S6808" s="8">
        <v>13.8</v>
      </c>
      <c r="T6808" s="8">
        <v>99</v>
      </c>
      <c r="U6808" s="8">
        <v>99</v>
      </c>
      <c r="V6808" s="8">
        <v>0.13</v>
      </c>
      <c r="Y6808" s="8" t="s">
        <v>27387</v>
      </c>
      <c r="Z6808" s="8" t="s">
        <v>27388</v>
      </c>
    </row>
    <row r="6809" spans="1:26" x14ac:dyDescent="0.2">
      <c r="A6809" s="8">
        <v>6808</v>
      </c>
      <c r="B6809" s="8" t="s">
        <v>30225</v>
      </c>
      <c r="C6809" s="8" t="s">
        <v>30225</v>
      </c>
      <c r="F6809" s="47"/>
      <c r="G6809" s="8">
        <v>13</v>
      </c>
      <c r="H6809" s="8" t="s">
        <v>21</v>
      </c>
      <c r="I6809" s="8" t="s">
        <v>22</v>
      </c>
      <c r="J6809" s="8" t="s">
        <v>22</v>
      </c>
      <c r="K6809" s="8" t="s">
        <v>91</v>
      </c>
      <c r="L6809" s="8" t="s">
        <v>28435</v>
      </c>
      <c r="M6809" s="8" t="s">
        <v>28436</v>
      </c>
      <c r="N6809" s="8" t="s">
        <v>30226</v>
      </c>
      <c r="O6809" s="8">
        <f>19+43/60+54.4/3600</f>
        <v>19.731777777777776</v>
      </c>
      <c r="P6809" s="8" t="s">
        <v>30227</v>
      </c>
      <c r="Q6809" s="8">
        <f>-(70+37/60+56/3600)</f>
        <v>-70.632222222222211</v>
      </c>
      <c r="R6809" s="8">
        <v>11.8</v>
      </c>
      <c r="S6809" s="8">
        <v>12.5</v>
      </c>
      <c r="T6809" s="8">
        <v>0.7</v>
      </c>
      <c r="U6809" s="8">
        <v>12.5</v>
      </c>
      <c r="V6809" s="8">
        <v>1.6</v>
      </c>
      <c r="W6809" s="8">
        <v>0.9</v>
      </c>
      <c r="X6809" s="8">
        <v>40</v>
      </c>
      <c r="Y6809" s="8" t="s">
        <v>30228</v>
      </c>
      <c r="Z6809" s="8" t="s">
        <v>30229</v>
      </c>
    </row>
    <row r="6810" spans="1:26" x14ac:dyDescent="0.2">
      <c r="A6810" s="8">
        <v>6809</v>
      </c>
      <c r="B6810" s="8" t="s">
        <v>30230</v>
      </c>
      <c r="C6810" s="8" t="s">
        <v>55955</v>
      </c>
      <c r="F6810" s="47"/>
      <c r="G6810" s="8">
        <v>1</v>
      </c>
      <c r="H6810" s="8" t="s">
        <v>30231</v>
      </c>
      <c r="I6810" s="8" t="s">
        <v>567</v>
      </c>
      <c r="J6810" s="8" t="s">
        <v>567</v>
      </c>
      <c r="K6810" s="8" t="s">
        <v>22675</v>
      </c>
      <c r="L6810" s="8" t="s">
        <v>28576</v>
      </c>
      <c r="M6810" s="8" t="s">
        <v>28577</v>
      </c>
      <c r="N6810" s="8" t="s">
        <v>30232</v>
      </c>
      <c r="O6810" s="8">
        <f>19+39/60+59.4/3600</f>
        <v>19.666499999999999</v>
      </c>
      <c r="P6810" s="8" t="s">
        <v>30233</v>
      </c>
      <c r="Q6810" s="8">
        <f>-(30+57/60+42/3600)</f>
        <v>-30.961666666666666</v>
      </c>
      <c r="R6810" s="8">
        <v>6.3</v>
      </c>
      <c r="S6810" s="8">
        <v>99</v>
      </c>
      <c r="T6810" s="8">
        <v>99</v>
      </c>
      <c r="U6810" s="8">
        <v>99</v>
      </c>
      <c r="V6810" s="8">
        <v>19</v>
      </c>
      <c r="Y6810" s="8" t="s">
        <v>30234</v>
      </c>
      <c r="Z6810" s="8" t="s">
        <v>30235</v>
      </c>
    </row>
    <row r="6811" spans="1:26" x14ac:dyDescent="0.2">
      <c r="A6811" s="8">
        <v>6810</v>
      </c>
      <c r="B6811" s="8" t="s">
        <v>30236</v>
      </c>
      <c r="C6811" s="8" t="s">
        <v>30236</v>
      </c>
      <c r="F6811" s="47"/>
      <c r="G6811" s="8">
        <v>13</v>
      </c>
      <c r="H6811" s="8" t="s">
        <v>21</v>
      </c>
      <c r="I6811" s="8" t="s">
        <v>22</v>
      </c>
      <c r="J6811" s="8" t="s">
        <v>22</v>
      </c>
      <c r="K6811" s="8" t="s">
        <v>31</v>
      </c>
      <c r="L6811" s="8" t="s">
        <v>28435</v>
      </c>
      <c r="M6811" s="8" t="s">
        <v>28436</v>
      </c>
      <c r="N6811" s="8" t="s">
        <v>30237</v>
      </c>
      <c r="O6811" s="8">
        <f>19+43/60+34.3/3600</f>
        <v>19.726194444444442</v>
      </c>
      <c r="P6811" s="8" t="s">
        <v>30238</v>
      </c>
      <c r="Q6811" s="8">
        <f>-(58+39/60+22/3600)</f>
        <v>-58.656111111111109</v>
      </c>
      <c r="R6811" s="8">
        <v>11.4</v>
      </c>
      <c r="S6811" s="8">
        <v>12.4</v>
      </c>
      <c r="T6811" s="8">
        <v>1</v>
      </c>
      <c r="U6811" s="8">
        <v>12.4</v>
      </c>
      <c r="V6811" s="8">
        <v>1.2</v>
      </c>
      <c r="W6811" s="8">
        <v>0.9</v>
      </c>
      <c r="X6811" s="8">
        <v>176</v>
      </c>
      <c r="Y6811" s="8" t="s">
        <v>30239</v>
      </c>
      <c r="Z6811" s="8" t="s">
        <v>30240</v>
      </c>
    </row>
    <row r="6812" spans="1:26" x14ac:dyDescent="0.2">
      <c r="A6812" s="8">
        <v>6811</v>
      </c>
      <c r="B6812" s="8" t="s">
        <v>30241</v>
      </c>
      <c r="C6812" s="8" t="s">
        <v>30241</v>
      </c>
      <c r="F6812" s="47"/>
      <c r="G6812" s="8">
        <v>5</v>
      </c>
      <c r="H6812" s="8" t="s">
        <v>30242</v>
      </c>
      <c r="I6812" s="8" t="s">
        <v>557</v>
      </c>
      <c r="J6812" s="8" t="s">
        <v>557</v>
      </c>
      <c r="K6812" s="8" t="s">
        <v>779</v>
      </c>
      <c r="L6812" s="8" t="s">
        <v>30032</v>
      </c>
      <c r="M6812" s="8" t="s">
        <v>30033</v>
      </c>
      <c r="N6812" s="8" t="s">
        <v>30243</v>
      </c>
      <c r="O6812" s="8">
        <f>19+37/60+9.6/3600</f>
        <v>19.619333333333334</v>
      </c>
      <c r="P6812" s="8" t="s">
        <v>30244</v>
      </c>
      <c r="Q6812" s="8">
        <f>+(46+22/60+32/3600)</f>
        <v>46.375555555555557</v>
      </c>
      <c r="R6812" s="8">
        <v>6.8</v>
      </c>
      <c r="S6812" s="8">
        <v>99</v>
      </c>
      <c r="T6812" s="8">
        <v>99</v>
      </c>
      <c r="U6812" s="8">
        <v>99</v>
      </c>
      <c r="V6812" s="8">
        <v>15</v>
      </c>
      <c r="Y6812" s="8" t="s">
        <v>30245</v>
      </c>
      <c r="Z6812" s="8" t="s">
        <v>30246</v>
      </c>
    </row>
    <row r="6813" spans="1:26" x14ac:dyDescent="0.2">
      <c r="A6813" s="8">
        <v>6812</v>
      </c>
      <c r="B6813" s="8" t="s">
        <v>30247</v>
      </c>
      <c r="C6813" s="8" t="s">
        <v>30247</v>
      </c>
      <c r="F6813" s="47"/>
      <c r="G6813" s="8">
        <v>16</v>
      </c>
      <c r="H6813" s="8" t="s">
        <v>21</v>
      </c>
      <c r="I6813" s="8" t="s">
        <v>22</v>
      </c>
      <c r="J6813" s="8" t="s">
        <v>22</v>
      </c>
      <c r="K6813" s="8" t="s">
        <v>37</v>
      </c>
      <c r="L6813" s="8" t="s">
        <v>29246</v>
      </c>
      <c r="M6813" s="8" t="s">
        <v>29247</v>
      </c>
      <c r="N6813" s="8" t="s">
        <v>30248</v>
      </c>
      <c r="O6813" s="8">
        <f>19+45/60+23.9/3600</f>
        <v>19.75663888888889</v>
      </c>
      <c r="P6813" s="8" t="s">
        <v>30249</v>
      </c>
      <c r="Q6813" s="8">
        <f>-(55+20/60+49/3600)</f>
        <v>-55.346944444444446</v>
      </c>
      <c r="R6813" s="8">
        <v>12.5</v>
      </c>
      <c r="S6813" s="8">
        <v>13.5</v>
      </c>
      <c r="T6813" s="8">
        <v>1</v>
      </c>
      <c r="U6813" s="8">
        <v>11.9</v>
      </c>
      <c r="V6813" s="8">
        <v>1.1000000000000001</v>
      </c>
      <c r="W6813" s="8">
        <v>0.6</v>
      </c>
      <c r="X6813" s="8">
        <v>94</v>
      </c>
      <c r="Y6813" s="8" t="s">
        <v>30250</v>
      </c>
      <c r="Z6813" s="8" t="s">
        <v>30251</v>
      </c>
    </row>
    <row r="6814" spans="1:26" x14ac:dyDescent="0.2">
      <c r="A6814" s="8">
        <v>6813</v>
      </c>
      <c r="B6814" s="8" t="s">
        <v>30252</v>
      </c>
      <c r="C6814" s="8" t="s">
        <v>30252</v>
      </c>
      <c r="F6814" s="47"/>
      <c r="G6814" s="8">
        <v>18</v>
      </c>
      <c r="H6814" s="8" t="s">
        <v>21</v>
      </c>
      <c r="I6814" s="8" t="s">
        <v>1283</v>
      </c>
      <c r="J6814" s="8" t="s">
        <v>1283</v>
      </c>
      <c r="K6814" s="8" t="s">
        <v>1284</v>
      </c>
      <c r="L6814" s="8" t="s">
        <v>30153</v>
      </c>
      <c r="M6814" s="8" t="s">
        <v>30154</v>
      </c>
      <c r="N6814" s="8" t="s">
        <v>30253</v>
      </c>
      <c r="O6814" s="8">
        <f>19+40/60+24/3600</f>
        <v>19.673333333333336</v>
      </c>
      <c r="P6814" s="8" t="s">
        <v>30254</v>
      </c>
      <c r="Q6814" s="8">
        <f>+(27+18/60+34/3600)</f>
        <v>27.309444444444445</v>
      </c>
      <c r="R6814" s="8">
        <v>99</v>
      </c>
      <c r="S6814" s="8">
        <v>99</v>
      </c>
      <c r="T6814" s="8">
        <v>99</v>
      </c>
      <c r="U6814" s="8">
        <v>99</v>
      </c>
      <c r="V6814" s="8">
        <v>3</v>
      </c>
      <c r="W6814" s="8">
        <v>3</v>
      </c>
      <c r="Y6814" s="8" t="s">
        <v>30255</v>
      </c>
      <c r="Z6814" s="8" t="s">
        <v>30256</v>
      </c>
    </row>
    <row r="6815" spans="1:26" x14ac:dyDescent="0.2">
      <c r="A6815" s="8">
        <v>6814</v>
      </c>
      <c r="B6815" s="8" t="s">
        <v>30257</v>
      </c>
      <c r="C6815" s="8" t="s">
        <v>30257</v>
      </c>
      <c r="F6815" s="47" t="s">
        <v>58243</v>
      </c>
      <c r="G6815" s="8">
        <v>6.5</v>
      </c>
      <c r="H6815" s="8" t="s">
        <v>21</v>
      </c>
      <c r="I6815" s="8" t="s">
        <v>22</v>
      </c>
      <c r="J6815" s="8" t="s">
        <v>22</v>
      </c>
      <c r="K6815" s="8" t="s">
        <v>85</v>
      </c>
      <c r="L6815" s="8" t="s">
        <v>29781</v>
      </c>
      <c r="M6815" s="8" t="s">
        <v>29782</v>
      </c>
      <c r="N6815" s="8" t="s">
        <v>30258</v>
      </c>
      <c r="O6815" s="8">
        <f>19+42/60+40.5/3600</f>
        <v>19.71125</v>
      </c>
      <c r="P6815" s="8" t="s">
        <v>30259</v>
      </c>
      <c r="Q6815" s="8">
        <f>-(10+19/60+28/3600)</f>
        <v>-10.324444444444444</v>
      </c>
      <c r="R6815" s="8">
        <v>11.2</v>
      </c>
      <c r="S6815" s="8">
        <v>12.1</v>
      </c>
      <c r="T6815" s="8">
        <v>0.9</v>
      </c>
      <c r="U6815" s="8">
        <v>13.4</v>
      </c>
      <c r="V6815" s="8">
        <v>3</v>
      </c>
      <c r="W6815" s="8">
        <v>2.8</v>
      </c>
      <c r="Y6815" s="8" t="s">
        <v>21629</v>
      </c>
      <c r="Z6815" s="8" t="s">
        <v>21630</v>
      </c>
    </row>
    <row r="6816" spans="1:26" x14ac:dyDescent="0.2">
      <c r="A6816" s="8">
        <v>6815</v>
      </c>
      <c r="B6816" s="8" t="s">
        <v>30260</v>
      </c>
      <c r="C6816" s="8" t="s">
        <v>30260</v>
      </c>
      <c r="F6816" s="47"/>
      <c r="G6816" s="8">
        <v>13</v>
      </c>
      <c r="H6816" s="8" t="s">
        <v>21</v>
      </c>
      <c r="I6816" s="8" t="s">
        <v>72</v>
      </c>
      <c r="J6816" s="8" t="s">
        <v>72</v>
      </c>
      <c r="K6816" s="8" t="s">
        <v>1405</v>
      </c>
      <c r="L6816" s="8" t="s">
        <v>30153</v>
      </c>
      <c r="M6816" s="8" t="s">
        <v>30154</v>
      </c>
      <c r="N6816" s="8" t="s">
        <v>30261</v>
      </c>
      <c r="O6816" s="8">
        <f>19+40/60+44/3600</f>
        <v>19.678888888888888</v>
      </c>
      <c r="P6816" s="8" t="s">
        <v>30262</v>
      </c>
      <c r="Q6816" s="8">
        <f>+(26+45/60+32/3600)</f>
        <v>26.75888888888889</v>
      </c>
      <c r="R6816" s="8">
        <v>99</v>
      </c>
      <c r="S6816" s="8">
        <v>99</v>
      </c>
      <c r="T6816" s="8">
        <v>99</v>
      </c>
      <c r="U6816" s="8">
        <v>99</v>
      </c>
      <c r="Y6816" s="8" t="s">
        <v>30263</v>
      </c>
      <c r="Z6816" s="8" t="s">
        <v>11664</v>
      </c>
    </row>
    <row r="6817" spans="1:26" x14ac:dyDescent="0.2">
      <c r="A6817" s="8">
        <v>6816</v>
      </c>
      <c r="B6817" s="8" t="s">
        <v>30264</v>
      </c>
      <c r="C6817" s="8" t="s">
        <v>30264</v>
      </c>
      <c r="F6817" s="47"/>
      <c r="G6817" s="8">
        <v>16</v>
      </c>
      <c r="H6817" s="8" t="s">
        <v>21</v>
      </c>
      <c r="I6817" s="8" t="s">
        <v>22</v>
      </c>
      <c r="J6817" s="8" t="s">
        <v>22</v>
      </c>
      <c r="K6817" s="8" t="s">
        <v>58</v>
      </c>
      <c r="L6817" s="8" t="s">
        <v>28576</v>
      </c>
      <c r="M6817" s="8" t="s">
        <v>28577</v>
      </c>
      <c r="N6817" s="8" t="s">
        <v>30265</v>
      </c>
      <c r="O6817" s="8">
        <f>19+44/60+2.4/3600</f>
        <v>19.734000000000002</v>
      </c>
      <c r="P6817" s="8" t="s">
        <v>30266</v>
      </c>
      <c r="Q6817" s="8">
        <f>-(28+24/60+3/3600)</f>
        <v>-28.400833333333331</v>
      </c>
      <c r="R6817" s="8">
        <v>12.9</v>
      </c>
      <c r="S6817" s="8">
        <v>14.1</v>
      </c>
      <c r="T6817" s="8">
        <v>1.2</v>
      </c>
      <c r="U6817" s="8">
        <v>13.5</v>
      </c>
      <c r="V6817" s="8">
        <v>1.2</v>
      </c>
      <c r="W6817" s="8">
        <v>0.8</v>
      </c>
      <c r="X6817" s="8">
        <v>77</v>
      </c>
      <c r="Y6817" s="8" t="s">
        <v>30267</v>
      </c>
      <c r="Z6817" s="8" t="s">
        <v>30268</v>
      </c>
    </row>
    <row r="6818" spans="1:26" x14ac:dyDescent="0.2">
      <c r="A6818" s="8">
        <v>6817</v>
      </c>
      <c r="B6818" s="8" t="s">
        <v>30269</v>
      </c>
      <c r="C6818" s="8" t="s">
        <v>30269</v>
      </c>
      <c r="E6818" s="8">
        <v>1</v>
      </c>
      <c r="F6818" s="47"/>
      <c r="G6818" s="8">
        <v>19</v>
      </c>
      <c r="H6818" s="8" t="s">
        <v>21</v>
      </c>
      <c r="I6818" s="8" t="s">
        <v>22</v>
      </c>
      <c r="J6818" s="8" t="s">
        <v>22</v>
      </c>
      <c r="K6818" s="8" t="s">
        <v>396</v>
      </c>
      <c r="L6818" s="8" t="s">
        <v>13395</v>
      </c>
      <c r="M6818" s="8" t="s">
        <v>13396</v>
      </c>
      <c r="N6818" s="8" t="s">
        <v>30270</v>
      </c>
      <c r="O6818" s="8">
        <f>19+37/60+23.5/3600</f>
        <v>19.623194444444444</v>
      </c>
      <c r="P6818" s="8" t="s">
        <v>30271</v>
      </c>
      <c r="Q6818" s="8">
        <f>+(62+23/60+2/3600)</f>
        <v>62.38388888888889</v>
      </c>
      <c r="R6818" s="8">
        <v>14.9</v>
      </c>
      <c r="S6818" s="8">
        <v>15.7</v>
      </c>
      <c r="T6818" s="8">
        <v>0.8</v>
      </c>
      <c r="U6818" s="8">
        <v>13.8</v>
      </c>
      <c r="V6818" s="8">
        <v>0.7</v>
      </c>
      <c r="W6818" s="8">
        <v>0.6</v>
      </c>
      <c r="X6818" s="8">
        <v>87</v>
      </c>
      <c r="Y6818" s="8" t="s">
        <v>5112</v>
      </c>
      <c r="Z6818" s="8" t="s">
        <v>5113</v>
      </c>
    </row>
    <row r="6819" spans="1:26" x14ac:dyDescent="0.2">
      <c r="A6819" s="8">
        <v>6818</v>
      </c>
      <c r="B6819" s="8" t="s">
        <v>30272</v>
      </c>
      <c r="C6819" s="8" t="s">
        <v>30272</v>
      </c>
      <c r="F6819" s="47" t="s">
        <v>58244</v>
      </c>
      <c r="G6819" s="8">
        <v>3</v>
      </c>
      <c r="H6819" s="8" t="s">
        <v>28638</v>
      </c>
      <c r="I6819" s="8" t="s">
        <v>241</v>
      </c>
      <c r="J6819" s="8" t="s">
        <v>241</v>
      </c>
      <c r="K6819" s="8" t="s">
        <v>241</v>
      </c>
      <c r="L6819" s="8" t="s">
        <v>28576</v>
      </c>
      <c r="M6819" s="8" t="s">
        <v>28577</v>
      </c>
      <c r="N6819" s="8" t="s">
        <v>30273</v>
      </c>
      <c r="O6819" s="8">
        <f>19+43/60+57.8/3600</f>
        <v>19.732722222222222</v>
      </c>
      <c r="P6819" s="8" t="s">
        <v>30274</v>
      </c>
      <c r="Q6819" s="8">
        <f>-(14+9/60+9/3600)</f>
        <v>-14.1525</v>
      </c>
      <c r="R6819" s="8">
        <v>9.3000000000000007</v>
      </c>
      <c r="S6819" s="8">
        <v>9.9</v>
      </c>
      <c r="T6819" s="8">
        <v>99</v>
      </c>
      <c r="U6819" s="8">
        <v>99</v>
      </c>
      <c r="V6819" s="8">
        <v>0.77</v>
      </c>
      <c r="Y6819" s="8" t="s">
        <v>30275</v>
      </c>
      <c r="Z6819" s="8" t="s">
        <v>30276</v>
      </c>
    </row>
    <row r="6820" spans="1:26" x14ac:dyDescent="0.2">
      <c r="A6820" s="8">
        <v>6819</v>
      </c>
      <c r="B6820" s="8" t="s">
        <v>30277</v>
      </c>
      <c r="C6820" s="8" t="s">
        <v>30277</v>
      </c>
      <c r="F6820" s="47"/>
      <c r="G6820" s="8">
        <v>7</v>
      </c>
      <c r="H6820" s="8" t="s">
        <v>30278</v>
      </c>
      <c r="I6820" s="8" t="s">
        <v>557</v>
      </c>
      <c r="J6820" s="8" t="s">
        <v>557</v>
      </c>
      <c r="K6820" s="8" t="s">
        <v>29318</v>
      </c>
      <c r="L6820" s="8" t="s">
        <v>30032</v>
      </c>
      <c r="M6820" s="8" t="s">
        <v>30033</v>
      </c>
      <c r="N6820" s="8" t="s">
        <v>30279</v>
      </c>
      <c r="O6820" s="8">
        <f>19+41/60+18/3600</f>
        <v>19.688333333333333</v>
      </c>
      <c r="P6820" s="8" t="s">
        <v>30280</v>
      </c>
      <c r="Q6820" s="8">
        <f>+(40+11/60+0/3600)</f>
        <v>40.18333333333333</v>
      </c>
      <c r="R6820" s="8">
        <v>7.3</v>
      </c>
      <c r="S6820" s="8">
        <v>99</v>
      </c>
      <c r="T6820" s="8">
        <v>99</v>
      </c>
      <c r="U6820" s="8">
        <v>99</v>
      </c>
      <c r="V6820" s="8">
        <v>5</v>
      </c>
      <c r="Y6820" s="8" t="s">
        <v>30281</v>
      </c>
      <c r="Z6820" s="8" t="s">
        <v>30282</v>
      </c>
    </row>
    <row r="6821" spans="1:26" x14ac:dyDescent="0.2">
      <c r="A6821" s="8">
        <v>6820</v>
      </c>
      <c r="B6821" s="8" t="s">
        <v>30283</v>
      </c>
      <c r="C6821" s="8" t="s">
        <v>30283</v>
      </c>
      <c r="F6821" s="47"/>
      <c r="G6821" s="8">
        <v>9</v>
      </c>
      <c r="H6821" s="8" t="s">
        <v>21</v>
      </c>
      <c r="I6821" s="8" t="s">
        <v>1283</v>
      </c>
      <c r="J6821" s="8" t="s">
        <v>1283</v>
      </c>
      <c r="K6821" s="8" t="s">
        <v>1284</v>
      </c>
      <c r="L6821" s="8" t="s">
        <v>30153</v>
      </c>
      <c r="M6821" s="8" t="s">
        <v>30154</v>
      </c>
      <c r="N6821" s="8" t="s">
        <v>30284</v>
      </c>
      <c r="O6821" s="8">
        <f>19+42/60+28/3600</f>
        <v>19.707777777777778</v>
      </c>
      <c r="P6821" s="8" t="s">
        <v>30285</v>
      </c>
      <c r="Q6821" s="8">
        <f>+(23+5/60+15/3600)</f>
        <v>23.087499999999999</v>
      </c>
      <c r="R6821" s="8">
        <v>99</v>
      </c>
      <c r="S6821" s="8">
        <v>15</v>
      </c>
      <c r="T6821" s="8">
        <v>99</v>
      </c>
      <c r="U6821" s="8">
        <v>99</v>
      </c>
      <c r="V6821" s="8">
        <v>0.5</v>
      </c>
      <c r="W6821" s="8">
        <v>0.5</v>
      </c>
      <c r="Y6821" s="8" t="s">
        <v>2641</v>
      </c>
      <c r="Z6821" s="8" t="s">
        <v>2642</v>
      </c>
    </row>
    <row r="6822" spans="1:26" x14ac:dyDescent="0.2">
      <c r="A6822" s="8">
        <v>6821</v>
      </c>
      <c r="B6822" s="8" t="s">
        <v>30286</v>
      </c>
      <c r="C6822" s="8" t="s">
        <v>30286</v>
      </c>
      <c r="F6822" s="47"/>
      <c r="G6822" s="8">
        <v>18</v>
      </c>
      <c r="H6822" s="8" t="s">
        <v>21</v>
      </c>
      <c r="I6822" s="8" t="s">
        <v>22</v>
      </c>
      <c r="J6822" s="8" t="s">
        <v>22</v>
      </c>
      <c r="K6822" s="8" t="s">
        <v>1277</v>
      </c>
      <c r="L6822" s="8" t="s">
        <v>29781</v>
      </c>
      <c r="M6822" s="8" t="s">
        <v>29782</v>
      </c>
      <c r="N6822" s="8" t="s">
        <v>30287</v>
      </c>
      <c r="O6822" s="8">
        <f>19+44/60+24.2/3600</f>
        <v>19.740055555555557</v>
      </c>
      <c r="P6822" s="8" t="s">
        <v>30288</v>
      </c>
      <c r="Q6822" s="8">
        <f>-(6+50/60+4/3600)</f>
        <v>-6.8344444444444443</v>
      </c>
      <c r="R6822" s="8">
        <v>13.1</v>
      </c>
      <c r="S6822" s="8">
        <v>13.6</v>
      </c>
      <c r="T6822" s="8">
        <v>0.5</v>
      </c>
      <c r="U6822" s="8">
        <v>13.1</v>
      </c>
      <c r="V6822" s="8">
        <v>1.3</v>
      </c>
      <c r="W6822" s="8">
        <v>1.1000000000000001</v>
      </c>
      <c r="X6822" s="8">
        <v>135</v>
      </c>
      <c r="Y6822" s="8" t="s">
        <v>5711</v>
      </c>
      <c r="Z6822" s="8" t="s">
        <v>5712</v>
      </c>
    </row>
    <row r="6823" spans="1:26" x14ac:dyDescent="0.2">
      <c r="A6823" s="8">
        <v>6822</v>
      </c>
      <c r="B6823" s="8" t="s">
        <v>30289</v>
      </c>
      <c r="C6823" s="8" t="s">
        <v>30289</v>
      </c>
      <c r="F6823" s="47"/>
      <c r="G6823" s="8">
        <v>2</v>
      </c>
      <c r="H6823" s="8" t="s">
        <v>30290</v>
      </c>
      <c r="I6823" s="8" t="s">
        <v>22</v>
      </c>
      <c r="J6823" s="8" t="s">
        <v>22</v>
      </c>
      <c r="K6823" s="8" t="s">
        <v>107</v>
      </c>
      <c r="L6823" s="8" t="s">
        <v>28576</v>
      </c>
      <c r="M6823" s="8" t="s">
        <v>28577</v>
      </c>
      <c r="N6823" s="8" t="s">
        <v>30291</v>
      </c>
      <c r="O6823" s="8">
        <f>19+44/60+56.6/3600</f>
        <v>19.749055555555557</v>
      </c>
      <c r="P6823" s="8" t="s">
        <v>30292</v>
      </c>
      <c r="Q6823" s="8">
        <f>-(14+48/60+23/3600)</f>
        <v>-14.80638888888889</v>
      </c>
      <c r="R6823" s="8">
        <v>8.6999999999999993</v>
      </c>
      <c r="S6823" s="8">
        <v>9.3000000000000007</v>
      </c>
      <c r="T6823" s="8">
        <v>0.6</v>
      </c>
      <c r="U6823" s="8">
        <v>14.4</v>
      </c>
      <c r="V6823" s="8">
        <v>15.4</v>
      </c>
      <c r="W6823" s="8">
        <v>14.2</v>
      </c>
      <c r="X6823" s="8">
        <v>5</v>
      </c>
      <c r="Y6823" s="8" t="s">
        <v>30293</v>
      </c>
      <c r="Z6823" s="8" t="s">
        <v>30294</v>
      </c>
    </row>
    <row r="6824" spans="1:26" x14ac:dyDescent="0.2">
      <c r="A6824" s="8">
        <v>6823</v>
      </c>
      <c r="B6824" s="8" t="s">
        <v>30295</v>
      </c>
      <c r="C6824" s="8" t="s">
        <v>30295</v>
      </c>
      <c r="F6824" s="47" t="s">
        <v>58245</v>
      </c>
      <c r="G6824" s="8">
        <v>6</v>
      </c>
      <c r="H6824" s="8" t="s">
        <v>21</v>
      </c>
      <c r="I6824" s="8" t="s">
        <v>557</v>
      </c>
      <c r="J6824" s="8" t="s">
        <v>557</v>
      </c>
      <c r="K6824" s="8" t="s">
        <v>30296</v>
      </c>
      <c r="L6824" s="8" t="s">
        <v>30153</v>
      </c>
      <c r="M6824" s="8" t="s">
        <v>30154</v>
      </c>
      <c r="N6824" s="8" t="s">
        <v>30297</v>
      </c>
      <c r="O6824" s="8">
        <f>19+43/60+10/3600</f>
        <v>19.719444444444441</v>
      </c>
      <c r="P6824" s="8" t="s">
        <v>30298</v>
      </c>
      <c r="Q6824" s="8">
        <f>+(23+18/60+0/3600)</f>
        <v>23.3</v>
      </c>
      <c r="R6824" s="8">
        <v>7.1</v>
      </c>
      <c r="S6824" s="8">
        <v>99</v>
      </c>
      <c r="T6824" s="8">
        <v>99</v>
      </c>
      <c r="U6824" s="8">
        <v>99</v>
      </c>
      <c r="V6824" s="8">
        <v>7</v>
      </c>
      <c r="Y6824" s="8" t="s">
        <v>30299</v>
      </c>
      <c r="Z6824" s="8" t="s">
        <v>30300</v>
      </c>
    </row>
    <row r="6825" spans="1:26" x14ac:dyDescent="0.2">
      <c r="A6825" s="8">
        <v>6824</v>
      </c>
      <c r="B6825" s="8" t="s">
        <v>30301</v>
      </c>
      <c r="C6825" s="8" t="s">
        <v>30301</v>
      </c>
      <c r="F6825" s="47" t="s">
        <v>58246</v>
      </c>
      <c r="G6825" s="8">
        <v>6.5</v>
      </c>
      <c r="H6825" s="8" t="s">
        <v>21</v>
      </c>
      <c r="I6825" s="8" t="s">
        <v>22</v>
      </c>
      <c r="J6825" s="8" t="s">
        <v>22</v>
      </c>
      <c r="K6825" s="8" t="s">
        <v>31</v>
      </c>
      <c r="L6825" s="8" t="s">
        <v>30032</v>
      </c>
      <c r="M6825" s="8" t="s">
        <v>30033</v>
      </c>
      <c r="N6825" s="8" t="s">
        <v>30302</v>
      </c>
      <c r="O6825" s="8">
        <f>19+43/60+40.5/3600</f>
        <v>19.727916666666665</v>
      </c>
      <c r="P6825" s="8" t="s">
        <v>30303</v>
      </c>
      <c r="Q6825" s="8">
        <f>+(56+6/60+32/3600)</f>
        <v>56.108888888888892</v>
      </c>
      <c r="R6825" s="8">
        <v>12.2</v>
      </c>
      <c r="S6825" s="8">
        <v>13</v>
      </c>
      <c r="T6825" s="8">
        <v>0.8</v>
      </c>
      <c r="U6825" s="8">
        <v>12.8</v>
      </c>
      <c r="V6825" s="8">
        <v>1.9</v>
      </c>
      <c r="W6825" s="8">
        <v>1.4</v>
      </c>
      <c r="X6825" s="8">
        <v>60</v>
      </c>
      <c r="Y6825" s="8" t="s">
        <v>30304</v>
      </c>
      <c r="Z6825" s="8" t="s">
        <v>21749</v>
      </c>
    </row>
    <row r="6826" spans="1:26" x14ac:dyDescent="0.2">
      <c r="A6826" s="8">
        <v>6825</v>
      </c>
      <c r="B6826" s="8" t="s">
        <v>30305</v>
      </c>
      <c r="C6826" s="8" t="s">
        <v>30305</v>
      </c>
      <c r="F6826" s="47"/>
      <c r="G6826" s="8">
        <v>19</v>
      </c>
      <c r="H6826" s="8" t="s">
        <v>21</v>
      </c>
      <c r="I6826" s="8" t="s">
        <v>22</v>
      </c>
      <c r="J6826" s="8" t="s">
        <v>22</v>
      </c>
      <c r="K6826" s="8" t="s">
        <v>424</v>
      </c>
      <c r="L6826" s="8" t="s">
        <v>13395</v>
      </c>
      <c r="M6826" s="8" t="s">
        <v>13396</v>
      </c>
      <c r="N6826" s="8" t="s">
        <v>30306</v>
      </c>
      <c r="O6826" s="8">
        <f>19+41/60+54.5/3600</f>
        <v>19.698472222222222</v>
      </c>
      <c r="P6826" s="8" t="s">
        <v>30307</v>
      </c>
      <c r="Q6826" s="8">
        <f>+(64+4/60+24/3600)</f>
        <v>64.073333333333323</v>
      </c>
      <c r="R6826" s="8">
        <v>14.4</v>
      </c>
      <c r="S6826" s="8">
        <v>15.4</v>
      </c>
      <c r="T6826" s="8">
        <v>1</v>
      </c>
      <c r="U6826" s="8">
        <v>12.5</v>
      </c>
      <c r="V6826" s="8">
        <v>0.5</v>
      </c>
      <c r="W6826" s="8">
        <v>0.3</v>
      </c>
      <c r="X6826" s="8">
        <v>174</v>
      </c>
      <c r="Y6826" s="8" t="s">
        <v>30308</v>
      </c>
      <c r="Z6826" s="8" t="s">
        <v>30309</v>
      </c>
    </row>
    <row r="6827" spans="1:26" x14ac:dyDescent="0.2">
      <c r="A6827" s="8">
        <v>6826</v>
      </c>
      <c r="B6827" s="8" t="s">
        <v>30310</v>
      </c>
      <c r="C6827" s="8" t="s">
        <v>30310</v>
      </c>
      <c r="F6827" s="47" t="s">
        <v>58247</v>
      </c>
      <c r="G6827" s="8">
        <v>2</v>
      </c>
      <c r="H6827" s="8" t="s">
        <v>30311</v>
      </c>
      <c r="I6827" s="8" t="s">
        <v>241</v>
      </c>
      <c r="J6827" s="8" t="s">
        <v>241</v>
      </c>
      <c r="K6827" s="8" t="s">
        <v>241</v>
      </c>
      <c r="L6827" s="8" t="s">
        <v>30032</v>
      </c>
      <c r="M6827" s="8" t="s">
        <v>30033</v>
      </c>
      <c r="N6827" s="8" t="s">
        <v>30312</v>
      </c>
      <c r="O6827" s="8">
        <f>19+44/60+48.2/3600</f>
        <v>19.746722222222225</v>
      </c>
      <c r="P6827" s="8" t="s">
        <v>30313</v>
      </c>
      <c r="Q6827" s="8">
        <f>+(50+31/60+32/3600)</f>
        <v>50.525555555555556</v>
      </c>
      <c r="R6827" s="8">
        <v>8.8000000000000007</v>
      </c>
      <c r="S6827" s="8">
        <v>9.8000000000000007</v>
      </c>
      <c r="T6827" s="8">
        <v>99</v>
      </c>
      <c r="U6827" s="8">
        <v>99</v>
      </c>
      <c r="V6827" s="8">
        <v>0.6</v>
      </c>
      <c r="Y6827" s="8" t="s">
        <v>30314</v>
      </c>
      <c r="Z6827" s="8" t="s">
        <v>30315</v>
      </c>
    </row>
    <row r="6828" spans="1:26" x14ac:dyDescent="0.2">
      <c r="A6828" s="8">
        <v>6827</v>
      </c>
      <c r="B6828" s="8" t="s">
        <v>30316</v>
      </c>
      <c r="C6828" s="8" t="s">
        <v>30316</v>
      </c>
      <c r="F6828" s="47"/>
      <c r="G6828" s="8">
        <v>19</v>
      </c>
      <c r="H6828" s="8" t="s">
        <v>21</v>
      </c>
      <c r="I6828" s="8" t="s">
        <v>557</v>
      </c>
      <c r="J6828" s="8" t="s">
        <v>557</v>
      </c>
      <c r="K6828" s="8" t="s">
        <v>29710</v>
      </c>
      <c r="L6828" s="8" t="s">
        <v>30153</v>
      </c>
      <c r="M6828" s="8" t="s">
        <v>30154</v>
      </c>
      <c r="N6828" s="8" t="s">
        <v>30317</v>
      </c>
      <c r="O6828" s="8">
        <f>19+48/60+53.2/3600</f>
        <v>19.814777777777778</v>
      </c>
      <c r="P6828" s="8" t="s">
        <v>30318</v>
      </c>
      <c r="Q6828" s="8">
        <f>+(21+12/60+58/3600)</f>
        <v>21.216111111111111</v>
      </c>
      <c r="R6828" s="8">
        <v>99</v>
      </c>
      <c r="S6828" s="8">
        <v>99</v>
      </c>
      <c r="T6828" s="8">
        <v>99</v>
      </c>
      <c r="U6828" s="8">
        <v>99</v>
      </c>
      <c r="V6828" s="8">
        <v>2</v>
      </c>
      <c r="Y6828" s="8" t="s">
        <v>30319</v>
      </c>
      <c r="Z6828" s="8" t="s">
        <v>30320</v>
      </c>
    </row>
    <row r="6829" spans="1:26" x14ac:dyDescent="0.2">
      <c r="A6829" s="8">
        <v>6828</v>
      </c>
      <c r="B6829" s="8" t="s">
        <v>30321</v>
      </c>
      <c r="C6829" s="8" t="s">
        <v>30321</v>
      </c>
      <c r="F6829" s="47" t="s">
        <v>58248</v>
      </c>
      <c r="G6829" s="8">
        <v>15</v>
      </c>
      <c r="H6829" s="8" t="s">
        <v>21</v>
      </c>
      <c r="I6829" s="8" t="s">
        <v>72</v>
      </c>
      <c r="J6829" s="8" t="s">
        <v>72</v>
      </c>
      <c r="K6829" s="8" t="s">
        <v>1405</v>
      </c>
      <c r="L6829" s="8" t="s">
        <v>29781</v>
      </c>
      <c r="M6829" s="8" t="s">
        <v>29782</v>
      </c>
      <c r="N6829" s="8" t="s">
        <v>30322</v>
      </c>
      <c r="O6829" s="8">
        <f>19+50/60+17/3600</f>
        <v>19.838055555555556</v>
      </c>
      <c r="P6829" s="8" t="s">
        <v>30323</v>
      </c>
      <c r="Q6829" s="8">
        <f>+(7+54/60+14/3600)</f>
        <v>7.903888888888889</v>
      </c>
      <c r="R6829" s="8">
        <v>99</v>
      </c>
      <c r="S6829" s="8">
        <v>99</v>
      </c>
      <c r="T6829" s="8">
        <v>99</v>
      </c>
      <c r="U6829" s="8">
        <v>99</v>
      </c>
      <c r="Y6829" s="8" t="s">
        <v>10888</v>
      </c>
      <c r="Z6829" s="8" t="s">
        <v>10889</v>
      </c>
    </row>
    <row r="6830" spans="1:26" x14ac:dyDescent="0.2">
      <c r="A6830" s="8">
        <v>6829</v>
      </c>
      <c r="B6830" s="8" t="s">
        <v>30324</v>
      </c>
      <c r="C6830" s="8" t="s">
        <v>30324</v>
      </c>
      <c r="F6830" s="47"/>
      <c r="G6830" s="8">
        <v>19</v>
      </c>
      <c r="H6830" s="8" t="s">
        <v>21</v>
      </c>
      <c r="I6830" s="8" t="s">
        <v>22</v>
      </c>
      <c r="J6830" s="8" t="s">
        <v>22</v>
      </c>
      <c r="K6830" s="8" t="s">
        <v>23</v>
      </c>
      <c r="L6830" s="8" t="s">
        <v>13395</v>
      </c>
      <c r="M6830" s="8" t="s">
        <v>13396</v>
      </c>
      <c r="N6830" s="8" t="s">
        <v>30325</v>
      </c>
      <c r="O6830" s="8">
        <f>19+47/60+7.5/3600</f>
        <v>19.78541666666667</v>
      </c>
      <c r="P6830" s="8" t="s">
        <v>30326</v>
      </c>
      <c r="Q6830" s="8">
        <f>+(59+54/60+26/3600)</f>
        <v>59.907222222222224</v>
      </c>
      <c r="R6830" s="8">
        <v>14.1</v>
      </c>
      <c r="S6830" s="8">
        <v>14.9</v>
      </c>
      <c r="T6830" s="8">
        <v>0.8</v>
      </c>
      <c r="U6830" s="8">
        <v>13.5</v>
      </c>
      <c r="V6830" s="8">
        <v>1.6</v>
      </c>
      <c r="W6830" s="8">
        <v>0.4</v>
      </c>
      <c r="X6830" s="8">
        <v>31</v>
      </c>
      <c r="Y6830" s="8" t="s">
        <v>30327</v>
      </c>
      <c r="Z6830" s="8" t="s">
        <v>30328</v>
      </c>
    </row>
    <row r="6831" spans="1:26" x14ac:dyDescent="0.2">
      <c r="A6831" s="8">
        <v>6830</v>
      </c>
      <c r="B6831" s="8" t="s">
        <v>30329</v>
      </c>
      <c r="C6831" s="8" t="s">
        <v>30329</v>
      </c>
      <c r="F6831" s="47" t="s">
        <v>58249</v>
      </c>
      <c r="G6831" s="8">
        <v>6</v>
      </c>
      <c r="H6831" s="8" t="s">
        <v>30330</v>
      </c>
      <c r="I6831" s="8" t="s">
        <v>557</v>
      </c>
      <c r="J6831" s="8" t="s">
        <v>557</v>
      </c>
      <c r="K6831" s="8" t="s">
        <v>558</v>
      </c>
      <c r="L6831" s="8" t="s">
        <v>30153</v>
      </c>
      <c r="M6831" s="8" t="s">
        <v>30154</v>
      </c>
      <c r="N6831" s="8" t="s">
        <v>30331</v>
      </c>
      <c r="O6831" s="8">
        <f>19+51/60+0/3600</f>
        <v>19.850000000000001</v>
      </c>
      <c r="P6831" s="8" t="s">
        <v>30332</v>
      </c>
      <c r="Q6831" s="8">
        <f>+(23+6/60+0/3600)</f>
        <v>23.1</v>
      </c>
      <c r="R6831" s="8">
        <v>7.9</v>
      </c>
      <c r="S6831" s="8">
        <v>99</v>
      </c>
      <c r="T6831" s="8">
        <v>99</v>
      </c>
      <c r="U6831" s="8">
        <v>99</v>
      </c>
      <c r="V6831" s="8">
        <v>6</v>
      </c>
      <c r="Y6831" s="8" t="s">
        <v>30333</v>
      </c>
      <c r="Z6831" s="8" t="s">
        <v>30334</v>
      </c>
    </row>
    <row r="6832" spans="1:26" x14ac:dyDescent="0.2">
      <c r="A6832" s="8">
        <v>6831</v>
      </c>
      <c r="B6832" s="8" t="s">
        <v>30335</v>
      </c>
      <c r="C6832" s="8" t="s">
        <v>30335</v>
      </c>
      <c r="F6832" s="47"/>
      <c r="G6832" s="8">
        <v>19</v>
      </c>
      <c r="H6832" s="8" t="s">
        <v>21</v>
      </c>
      <c r="I6832" s="8" t="s">
        <v>22</v>
      </c>
      <c r="J6832" s="8" t="s">
        <v>22</v>
      </c>
      <c r="K6832" s="8" t="s">
        <v>37</v>
      </c>
      <c r="L6832" s="8" t="s">
        <v>13395</v>
      </c>
      <c r="M6832" s="8" t="s">
        <v>13396</v>
      </c>
      <c r="N6832" s="8" t="s">
        <v>30336</v>
      </c>
      <c r="O6832" s="8">
        <f>19+47/60+57.2/3600</f>
        <v>19.799222222222223</v>
      </c>
      <c r="P6832" s="8" t="s">
        <v>30337</v>
      </c>
      <c r="Q6832" s="8">
        <f>+(59+53/60+35/3600)</f>
        <v>59.893055555555556</v>
      </c>
      <c r="R6832" s="8">
        <v>13.3</v>
      </c>
      <c r="S6832" s="8">
        <v>14.3</v>
      </c>
      <c r="T6832" s="8">
        <v>1</v>
      </c>
      <c r="U6832" s="8">
        <v>13.9</v>
      </c>
      <c r="V6832" s="8">
        <v>1.4</v>
      </c>
      <c r="W6832" s="8">
        <v>1.4</v>
      </c>
      <c r="Y6832" s="8" t="s">
        <v>30338</v>
      </c>
      <c r="Z6832" s="8" t="s">
        <v>5371</v>
      </c>
    </row>
    <row r="6833" spans="1:26" x14ac:dyDescent="0.2">
      <c r="A6833" s="8">
        <v>6832</v>
      </c>
      <c r="B6833" s="8" t="s">
        <v>30339</v>
      </c>
      <c r="C6833" s="8" t="s">
        <v>30339</v>
      </c>
      <c r="F6833" s="47"/>
      <c r="G6833" s="8">
        <v>16</v>
      </c>
      <c r="H6833" s="8" t="s">
        <v>21</v>
      </c>
      <c r="I6833" s="8" t="s">
        <v>72</v>
      </c>
      <c r="J6833" s="8" t="s">
        <v>72</v>
      </c>
      <c r="K6833" s="8" t="s">
        <v>1405</v>
      </c>
      <c r="L6833" s="8" t="s">
        <v>30032</v>
      </c>
      <c r="M6833" s="8" t="s">
        <v>30033</v>
      </c>
      <c r="N6833" s="8" t="s">
        <v>30340</v>
      </c>
      <c r="O6833" s="8">
        <f>19+48/60+15.5/3600</f>
        <v>19.804305555555555</v>
      </c>
      <c r="P6833" s="8" t="s">
        <v>30341</v>
      </c>
      <c r="Q6833" s="8">
        <f>+(59+25/60+22/3600)</f>
        <v>59.422777777777775</v>
      </c>
      <c r="R6833" s="8">
        <v>99</v>
      </c>
      <c r="S6833" s="8">
        <v>99</v>
      </c>
      <c r="T6833" s="8">
        <v>99</v>
      </c>
      <c r="U6833" s="8">
        <v>99</v>
      </c>
      <c r="V6833" s="8">
        <v>12</v>
      </c>
      <c r="Y6833" s="8" t="s">
        <v>30342</v>
      </c>
      <c r="Z6833" s="8" t="s">
        <v>30343</v>
      </c>
    </row>
    <row r="6834" spans="1:26" x14ac:dyDescent="0.2">
      <c r="A6834" s="8">
        <v>6833</v>
      </c>
      <c r="B6834" s="8" t="s">
        <v>30344</v>
      </c>
      <c r="C6834" s="8" t="s">
        <v>30344</v>
      </c>
      <c r="F6834" s="47"/>
      <c r="G6834" s="8">
        <v>13</v>
      </c>
      <c r="H6834" s="8" t="s">
        <v>21</v>
      </c>
      <c r="I6834" s="8" t="s">
        <v>241</v>
      </c>
      <c r="J6834" s="8" t="s">
        <v>241</v>
      </c>
      <c r="K6834" s="8" t="s">
        <v>241</v>
      </c>
      <c r="L6834" s="8" t="s">
        <v>30032</v>
      </c>
      <c r="M6834" s="8" t="s">
        <v>30033</v>
      </c>
      <c r="N6834" s="8" t="s">
        <v>30345</v>
      </c>
      <c r="O6834" s="8">
        <f>19+49/60+46.6/3600</f>
        <v>19.82961111111111</v>
      </c>
      <c r="P6834" s="8" t="s">
        <v>30346</v>
      </c>
      <c r="Q6834" s="8">
        <f>+(48+57/60+42/3600)</f>
        <v>48.961666666666666</v>
      </c>
      <c r="R6834" s="8">
        <v>12.1</v>
      </c>
      <c r="S6834" s="8">
        <v>13.8</v>
      </c>
      <c r="T6834" s="8">
        <v>99</v>
      </c>
      <c r="U6834" s="8">
        <v>99</v>
      </c>
      <c r="V6834" s="8">
        <v>0.18</v>
      </c>
      <c r="Y6834" s="8" t="s">
        <v>27387</v>
      </c>
      <c r="Z6834" s="8" t="s">
        <v>27388</v>
      </c>
    </row>
    <row r="6835" spans="1:26" x14ac:dyDescent="0.2">
      <c r="A6835" s="8">
        <v>6834</v>
      </c>
      <c r="B6835" s="8" t="s">
        <v>30347</v>
      </c>
      <c r="C6835" s="8" t="s">
        <v>30347</v>
      </c>
      <c r="F6835" s="47" t="s">
        <v>58250</v>
      </c>
      <c r="G6835" s="8">
        <v>6</v>
      </c>
      <c r="H6835" s="8" t="s">
        <v>21</v>
      </c>
      <c r="I6835" s="8" t="s">
        <v>557</v>
      </c>
      <c r="J6835" s="8" t="s">
        <v>557</v>
      </c>
      <c r="K6835" s="8" t="s">
        <v>2722</v>
      </c>
      <c r="L6835" s="8" t="s">
        <v>30032</v>
      </c>
      <c r="M6835" s="8" t="s">
        <v>30033</v>
      </c>
      <c r="N6835" s="8" t="s">
        <v>30348</v>
      </c>
      <c r="O6835" s="8">
        <f>19+52/60+12.5/3600</f>
        <v>19.870138888888889</v>
      </c>
      <c r="P6835" s="8" t="s">
        <v>30349</v>
      </c>
      <c r="Q6835" s="8">
        <f>+(29+24/60+29/3600)</f>
        <v>29.408055555555553</v>
      </c>
      <c r="R6835" s="8">
        <v>7.8</v>
      </c>
      <c r="S6835" s="8">
        <v>99</v>
      </c>
      <c r="T6835" s="8">
        <v>99</v>
      </c>
      <c r="U6835" s="8">
        <v>99</v>
      </c>
      <c r="V6835" s="8">
        <v>6</v>
      </c>
      <c r="Y6835" s="8" t="s">
        <v>30350</v>
      </c>
      <c r="Z6835" s="8" t="s">
        <v>30351</v>
      </c>
    </row>
    <row r="6836" spans="1:26" x14ac:dyDescent="0.2">
      <c r="A6836" s="8">
        <v>6835</v>
      </c>
      <c r="B6836" s="8" t="s">
        <v>30352</v>
      </c>
      <c r="C6836" s="8" t="s">
        <v>30352</v>
      </c>
      <c r="F6836" s="47"/>
      <c r="G6836" s="8">
        <v>13</v>
      </c>
      <c r="H6836" s="8" t="s">
        <v>21</v>
      </c>
      <c r="I6836" s="8" t="s">
        <v>22</v>
      </c>
      <c r="J6836" s="8" t="s">
        <v>22</v>
      </c>
      <c r="K6836" s="8" t="s">
        <v>154</v>
      </c>
      <c r="L6836" s="8" t="s">
        <v>28576</v>
      </c>
      <c r="M6836" s="8" t="s">
        <v>28577</v>
      </c>
      <c r="N6836" s="8" t="s">
        <v>30353</v>
      </c>
      <c r="O6836" s="8">
        <f>19+54/60+32.8/3600</f>
        <v>19.909111111111109</v>
      </c>
      <c r="P6836" s="8" t="s">
        <v>30354</v>
      </c>
      <c r="Q6836" s="8">
        <f>-(12+34/60+3/3600)</f>
        <v>-12.567499999999999</v>
      </c>
      <c r="R6836" s="8">
        <v>12.5</v>
      </c>
      <c r="S6836" s="8">
        <v>13.4</v>
      </c>
      <c r="T6836" s="8">
        <v>0.9</v>
      </c>
      <c r="U6836" s="8">
        <v>12.6</v>
      </c>
      <c r="V6836" s="8">
        <v>2.4</v>
      </c>
      <c r="W6836" s="8">
        <v>0.7</v>
      </c>
      <c r="X6836" s="8">
        <v>72</v>
      </c>
      <c r="Y6836" s="8" t="s">
        <v>3123</v>
      </c>
      <c r="Z6836" s="8" t="s">
        <v>3124</v>
      </c>
    </row>
    <row r="6837" spans="1:26" x14ac:dyDescent="0.2">
      <c r="A6837" s="8">
        <v>6836</v>
      </c>
      <c r="B6837" s="8" t="s">
        <v>30355</v>
      </c>
      <c r="C6837" s="8" t="s">
        <v>30355</v>
      </c>
      <c r="F6837" s="47"/>
      <c r="G6837" s="8">
        <v>19</v>
      </c>
      <c r="H6837" s="8" t="s">
        <v>21</v>
      </c>
      <c r="I6837" s="8" t="s">
        <v>22</v>
      </c>
      <c r="J6837" s="8" t="s">
        <v>22</v>
      </c>
      <c r="K6837" s="8" t="s">
        <v>323</v>
      </c>
      <c r="L6837" s="8" t="s">
        <v>28576</v>
      </c>
      <c r="M6837" s="8" t="s">
        <v>28577</v>
      </c>
      <c r="N6837" s="8" t="s">
        <v>30356</v>
      </c>
      <c r="O6837" s="8">
        <f>19+54/60+40.3/3600</f>
        <v>19.911194444444444</v>
      </c>
      <c r="P6837" s="8" t="s">
        <v>30357</v>
      </c>
      <c r="Q6837" s="8">
        <f>-(12+41/60+18/3600)</f>
        <v>-12.688333333333334</v>
      </c>
      <c r="R6837" s="8">
        <v>12.9</v>
      </c>
      <c r="S6837" s="8">
        <v>13.4</v>
      </c>
      <c r="T6837" s="8">
        <v>0.5</v>
      </c>
      <c r="U6837" s="8">
        <v>13.5</v>
      </c>
      <c r="V6837" s="8">
        <v>1.7</v>
      </c>
      <c r="W6837" s="8">
        <v>1.5</v>
      </c>
      <c r="X6837" s="8">
        <v>140</v>
      </c>
      <c r="Y6837" s="8" t="s">
        <v>30358</v>
      </c>
      <c r="Z6837" s="8" t="s">
        <v>30359</v>
      </c>
    </row>
    <row r="6838" spans="1:26" x14ac:dyDescent="0.2">
      <c r="A6838" s="8">
        <v>6837</v>
      </c>
      <c r="B6838" s="8" t="s">
        <v>30360</v>
      </c>
      <c r="C6838" s="8" t="s">
        <v>30360</v>
      </c>
      <c r="F6838" s="47" t="s">
        <v>58251</v>
      </c>
      <c r="G6838" s="8">
        <v>15</v>
      </c>
      <c r="H6838" s="8" t="s">
        <v>21</v>
      </c>
      <c r="I6838" s="8" t="s">
        <v>557</v>
      </c>
      <c r="J6838" s="8" t="s">
        <v>557</v>
      </c>
      <c r="K6838" s="8" t="s">
        <v>557</v>
      </c>
      <c r="L6838" s="8" t="s">
        <v>29781</v>
      </c>
      <c r="M6838" s="8" t="s">
        <v>29782</v>
      </c>
      <c r="N6838" s="8" t="s">
        <v>30361</v>
      </c>
      <c r="O6838" s="8">
        <f>19+53/60+8/3600</f>
        <v>19.885555555555555</v>
      </c>
      <c r="P6838" s="8" t="s">
        <v>30362</v>
      </c>
      <c r="Q6838" s="8">
        <f>+(11+41/60+54/3600)</f>
        <v>11.698333333333334</v>
      </c>
      <c r="R6838" s="8">
        <v>12</v>
      </c>
      <c r="S6838" s="8">
        <v>99</v>
      </c>
      <c r="T6838" s="8">
        <v>99</v>
      </c>
      <c r="U6838" s="8">
        <v>99</v>
      </c>
      <c r="V6838" s="8">
        <v>3</v>
      </c>
      <c r="Y6838" s="8" t="s">
        <v>30363</v>
      </c>
      <c r="Z6838" s="8" t="s">
        <v>30364</v>
      </c>
    </row>
    <row r="6839" spans="1:26" x14ac:dyDescent="0.2">
      <c r="A6839" s="8">
        <v>6838</v>
      </c>
      <c r="B6839" s="8" t="s">
        <v>30365</v>
      </c>
      <c r="C6839" s="8" t="s">
        <v>55956</v>
      </c>
      <c r="F6839" s="47"/>
      <c r="G6839" s="8">
        <v>1</v>
      </c>
      <c r="H6839" s="8" t="s">
        <v>30366</v>
      </c>
      <c r="I6839" s="8" t="s">
        <v>567</v>
      </c>
      <c r="J6839" s="8" t="s">
        <v>567</v>
      </c>
      <c r="K6839" s="8" t="s">
        <v>22675</v>
      </c>
      <c r="L6839" s="8" t="s">
        <v>30367</v>
      </c>
      <c r="M6839" s="8" t="s">
        <v>30368</v>
      </c>
      <c r="N6839" s="8" t="s">
        <v>30369</v>
      </c>
      <c r="O6839" s="8">
        <f>19+53/60+46.1/3600</f>
        <v>19.896138888888888</v>
      </c>
      <c r="P6839" s="8" t="s">
        <v>30370</v>
      </c>
      <c r="Q6839" s="8">
        <f>+(18+46/60+44/3600)</f>
        <v>18.778888888888886</v>
      </c>
      <c r="R6839" s="8">
        <v>8.4</v>
      </c>
      <c r="S6839" s="8">
        <v>99</v>
      </c>
      <c r="T6839" s="8">
        <v>99</v>
      </c>
      <c r="U6839" s="8">
        <v>99</v>
      </c>
      <c r="V6839" s="8">
        <v>7.2</v>
      </c>
      <c r="Y6839" s="8" t="s">
        <v>30371</v>
      </c>
      <c r="Z6839" s="8" t="s">
        <v>30372</v>
      </c>
    </row>
    <row r="6840" spans="1:26" x14ac:dyDescent="0.2">
      <c r="A6840" s="8">
        <v>6839</v>
      </c>
      <c r="B6840" s="8" t="s">
        <v>30373</v>
      </c>
      <c r="C6840" s="8" t="s">
        <v>30373</v>
      </c>
      <c r="F6840" s="47" t="s">
        <v>58252</v>
      </c>
      <c r="G6840" s="8">
        <v>15</v>
      </c>
      <c r="H6840" s="8" t="s">
        <v>21</v>
      </c>
      <c r="I6840" s="8" t="s">
        <v>72</v>
      </c>
      <c r="J6840" s="8" t="s">
        <v>72</v>
      </c>
      <c r="K6840" s="8" t="s">
        <v>1405</v>
      </c>
      <c r="L6840" s="8" t="s">
        <v>30367</v>
      </c>
      <c r="M6840" s="8" t="s">
        <v>30368</v>
      </c>
      <c r="N6840" s="8" t="s">
        <v>30374</v>
      </c>
      <c r="O6840" s="8">
        <f>19+54/60+33/3600</f>
        <v>19.909166666666664</v>
      </c>
      <c r="P6840" s="8" t="s">
        <v>30375</v>
      </c>
      <c r="Q6840" s="8">
        <f>+(17+56/60+20/3600)</f>
        <v>17.93888888888889</v>
      </c>
      <c r="R6840" s="8">
        <v>99</v>
      </c>
      <c r="S6840" s="8">
        <v>99</v>
      </c>
      <c r="T6840" s="8">
        <v>99</v>
      </c>
      <c r="U6840" s="8">
        <v>99</v>
      </c>
      <c r="V6840" s="8">
        <v>4</v>
      </c>
      <c r="Y6840" s="8" t="s">
        <v>30376</v>
      </c>
      <c r="Z6840" s="8" t="s">
        <v>30377</v>
      </c>
    </row>
    <row r="6841" spans="1:26" x14ac:dyDescent="0.2">
      <c r="A6841" s="8">
        <v>6840</v>
      </c>
      <c r="B6841" s="8" t="s">
        <v>30378</v>
      </c>
      <c r="C6841" s="8" t="s">
        <v>30378</v>
      </c>
      <c r="F6841" s="47" t="s">
        <v>58253</v>
      </c>
      <c r="G6841" s="8">
        <v>15</v>
      </c>
      <c r="H6841" s="8" t="s">
        <v>21</v>
      </c>
      <c r="I6841" s="8" t="s">
        <v>72</v>
      </c>
      <c r="J6841" s="8" t="s">
        <v>72</v>
      </c>
      <c r="K6841" s="8" t="s">
        <v>1405</v>
      </c>
      <c r="L6841" s="8" t="s">
        <v>29781</v>
      </c>
      <c r="M6841" s="8" t="s">
        <v>29782</v>
      </c>
      <c r="N6841" s="8" t="s">
        <v>30379</v>
      </c>
      <c r="O6841" s="8">
        <f>19+55/60+17/3600</f>
        <v>19.921388888888892</v>
      </c>
      <c r="P6841" s="8" t="s">
        <v>30380</v>
      </c>
      <c r="Q6841" s="8">
        <f>+(12+7/60+18/3600)</f>
        <v>12.121666666666668</v>
      </c>
      <c r="R6841" s="8">
        <v>99</v>
      </c>
      <c r="S6841" s="8">
        <v>99</v>
      </c>
      <c r="T6841" s="8">
        <v>99</v>
      </c>
      <c r="U6841" s="8">
        <v>99</v>
      </c>
      <c r="V6841" s="8">
        <v>10</v>
      </c>
      <c r="Y6841" s="8" t="s">
        <v>10888</v>
      </c>
      <c r="Z6841" s="8" t="s">
        <v>10889</v>
      </c>
    </row>
    <row r="6842" spans="1:26" x14ac:dyDescent="0.2">
      <c r="A6842" s="8">
        <v>6841</v>
      </c>
      <c r="B6842" s="8" t="s">
        <v>30381</v>
      </c>
      <c r="C6842" s="8" t="s">
        <v>30381</v>
      </c>
      <c r="F6842" s="47"/>
      <c r="G6842" s="8">
        <v>16</v>
      </c>
      <c r="H6842" s="8" t="s">
        <v>21</v>
      </c>
      <c r="I6842" s="8" t="s">
        <v>22</v>
      </c>
      <c r="J6842" s="8" t="s">
        <v>22</v>
      </c>
      <c r="K6842" s="8" t="s">
        <v>183</v>
      </c>
      <c r="L6842" s="8" t="s">
        <v>28576</v>
      </c>
      <c r="M6842" s="8" t="s">
        <v>28577</v>
      </c>
      <c r="N6842" s="8" t="s">
        <v>30382</v>
      </c>
      <c r="O6842" s="8">
        <f>19+57/60+49.1/3600</f>
        <v>19.963638888888887</v>
      </c>
      <c r="P6842" s="8" t="s">
        <v>30383</v>
      </c>
      <c r="Q6842" s="8">
        <f>-(31+48/60+39/3600)</f>
        <v>-31.810833333333335</v>
      </c>
      <c r="R6842" s="8">
        <v>12.7</v>
      </c>
      <c r="S6842" s="8">
        <v>13.8</v>
      </c>
      <c r="T6842" s="8">
        <v>1.1000000000000001</v>
      </c>
      <c r="U6842" s="8">
        <v>13.3</v>
      </c>
      <c r="V6842" s="8">
        <v>1.5</v>
      </c>
      <c r="W6842" s="8">
        <v>1.4</v>
      </c>
      <c r="X6842" s="8">
        <v>149</v>
      </c>
      <c r="Y6842" s="8" t="s">
        <v>11023</v>
      </c>
      <c r="Z6842" s="8" t="s">
        <v>11024</v>
      </c>
    </row>
    <row r="6843" spans="1:26" x14ac:dyDescent="0.2">
      <c r="A6843" s="8">
        <v>6842</v>
      </c>
      <c r="B6843" s="8" t="s">
        <v>30384</v>
      </c>
      <c r="C6843" s="8" t="s">
        <v>30384</v>
      </c>
      <c r="F6843" s="47"/>
      <c r="G6843" s="8">
        <v>11</v>
      </c>
      <c r="H6843" s="8" t="s">
        <v>21</v>
      </c>
      <c r="I6843" s="8" t="s">
        <v>241</v>
      </c>
      <c r="J6843" s="8" t="s">
        <v>57</v>
      </c>
      <c r="K6843" s="8" t="s">
        <v>241</v>
      </c>
      <c r="L6843" s="8" t="s">
        <v>30153</v>
      </c>
      <c r="M6843" s="8" t="s">
        <v>30154</v>
      </c>
      <c r="N6843" s="8" t="s">
        <v>30385</v>
      </c>
      <c r="O6843" s="8">
        <f>19+55/60+2.3/3600</f>
        <v>19.917305555555558</v>
      </c>
      <c r="P6843" s="8" t="s">
        <v>30386</v>
      </c>
      <c r="Q6843" s="8">
        <f>+(29+17/60+23/3600)</f>
        <v>29.289722222222224</v>
      </c>
      <c r="R6843" s="8">
        <v>13.1</v>
      </c>
      <c r="S6843" s="8">
        <v>13.6</v>
      </c>
      <c r="T6843" s="8">
        <v>99</v>
      </c>
      <c r="U6843" s="8">
        <v>99</v>
      </c>
      <c r="V6843" s="8">
        <v>0.95</v>
      </c>
      <c r="Y6843" s="8" t="s">
        <v>30387</v>
      </c>
      <c r="Z6843" s="8" t="s">
        <v>30388</v>
      </c>
    </row>
    <row r="6844" spans="1:26" x14ac:dyDescent="0.2">
      <c r="A6844" s="8">
        <v>6843</v>
      </c>
      <c r="B6844" s="8" t="s">
        <v>30389</v>
      </c>
      <c r="C6844" s="8" t="s">
        <v>30389</v>
      </c>
      <c r="F6844" s="47"/>
      <c r="G6844" s="8">
        <v>16</v>
      </c>
      <c r="H6844" s="8" t="s">
        <v>21</v>
      </c>
      <c r="I6844" s="8" t="s">
        <v>72</v>
      </c>
      <c r="J6844" s="8" t="s">
        <v>72</v>
      </c>
      <c r="K6844" s="8" t="s">
        <v>1405</v>
      </c>
      <c r="L6844" s="8" t="s">
        <v>29781</v>
      </c>
      <c r="M6844" s="8" t="s">
        <v>29782</v>
      </c>
      <c r="N6844" s="8" t="s">
        <v>30390</v>
      </c>
      <c r="O6844" s="8">
        <f>19+56/60+6/3600</f>
        <v>19.934999999999999</v>
      </c>
      <c r="P6844" s="8" t="s">
        <v>30391</v>
      </c>
      <c r="Q6844" s="8">
        <f>+(12+9/60+52/3600)</f>
        <v>12.164444444444445</v>
      </c>
      <c r="R6844" s="8">
        <v>99</v>
      </c>
      <c r="S6844" s="8">
        <v>99</v>
      </c>
      <c r="T6844" s="8">
        <v>99</v>
      </c>
      <c r="U6844" s="8">
        <v>99</v>
      </c>
      <c r="V6844" s="8">
        <v>4</v>
      </c>
      <c r="Y6844" s="8" t="s">
        <v>30363</v>
      </c>
      <c r="Z6844" s="8" t="s">
        <v>30364</v>
      </c>
    </row>
    <row r="6845" spans="1:26" x14ac:dyDescent="0.2">
      <c r="A6845" s="8">
        <v>6844</v>
      </c>
      <c r="B6845" s="8" t="s">
        <v>30392</v>
      </c>
      <c r="C6845" s="8" t="s">
        <v>30392</v>
      </c>
      <c r="F6845" s="47"/>
      <c r="G6845" s="8">
        <v>16</v>
      </c>
      <c r="H6845" s="8" t="s">
        <v>21</v>
      </c>
      <c r="I6845" s="8" t="s">
        <v>22</v>
      </c>
      <c r="J6845" s="8" t="s">
        <v>22</v>
      </c>
      <c r="K6845" s="8" t="s">
        <v>23</v>
      </c>
      <c r="L6845" s="8" t="s">
        <v>28435</v>
      </c>
      <c r="M6845" s="8" t="s">
        <v>28436</v>
      </c>
      <c r="N6845" s="8" t="s">
        <v>30393</v>
      </c>
      <c r="O6845" s="8">
        <f>20+2/60+50/3600</f>
        <v>20.047222222222224</v>
      </c>
      <c r="P6845" s="8" t="s">
        <v>30394</v>
      </c>
      <c r="Q6845" s="8">
        <f>-(65+13/60+44/3600)</f>
        <v>-65.228888888888889</v>
      </c>
      <c r="R6845" s="8">
        <v>12.7</v>
      </c>
      <c r="S6845" s="8">
        <v>13.5</v>
      </c>
      <c r="T6845" s="8">
        <v>0.8</v>
      </c>
      <c r="U6845" s="8">
        <v>13</v>
      </c>
      <c r="V6845" s="8">
        <v>1.4</v>
      </c>
      <c r="W6845" s="8">
        <v>1.1000000000000001</v>
      </c>
      <c r="X6845" s="8">
        <v>0</v>
      </c>
      <c r="Y6845" s="8" t="s">
        <v>30395</v>
      </c>
      <c r="Z6845" s="8" t="s">
        <v>30396</v>
      </c>
    </row>
    <row r="6846" spans="1:26" x14ac:dyDescent="0.2">
      <c r="A6846" s="8">
        <v>6845</v>
      </c>
      <c r="B6846" s="8" t="s">
        <v>30397</v>
      </c>
      <c r="C6846" s="8" t="s">
        <v>30397</v>
      </c>
      <c r="F6846" s="47"/>
      <c r="G6846" s="8">
        <v>14</v>
      </c>
      <c r="H6846" s="8" t="s">
        <v>30398</v>
      </c>
      <c r="I6846" s="8" t="s">
        <v>22</v>
      </c>
      <c r="J6846" s="8" t="s">
        <v>22</v>
      </c>
      <c r="K6846" s="8" t="s">
        <v>218</v>
      </c>
      <c r="L6846" s="8" t="s">
        <v>29246</v>
      </c>
      <c r="M6846" s="8" t="s">
        <v>29247</v>
      </c>
      <c r="N6846" s="8" t="s">
        <v>30399</v>
      </c>
      <c r="O6846" s="8">
        <f>20+0/60+58/3600</f>
        <v>20.016111111111112</v>
      </c>
      <c r="P6846" s="8" t="s">
        <v>30400</v>
      </c>
      <c r="Q6846" s="8">
        <f>-(47+4/60+12/3600)</f>
        <v>-47.07</v>
      </c>
      <c r="R6846" s="8">
        <v>13</v>
      </c>
      <c r="S6846" s="8">
        <v>13.7</v>
      </c>
      <c r="T6846" s="8">
        <v>0.7</v>
      </c>
      <c r="U6846" s="8">
        <v>13.8</v>
      </c>
      <c r="V6846" s="8">
        <v>2.2999999999999998</v>
      </c>
      <c r="W6846" s="8">
        <v>1</v>
      </c>
      <c r="X6846" s="8">
        <v>72</v>
      </c>
      <c r="Y6846" s="8" t="s">
        <v>30401</v>
      </c>
      <c r="Z6846" s="8" t="s">
        <v>30402</v>
      </c>
    </row>
    <row r="6847" spans="1:26" x14ac:dyDescent="0.2">
      <c r="A6847" s="8">
        <v>6846</v>
      </c>
      <c r="B6847" s="8" t="s">
        <v>30403</v>
      </c>
      <c r="C6847" s="8" t="s">
        <v>30403</v>
      </c>
      <c r="F6847" s="47"/>
      <c r="G6847" s="8">
        <v>14</v>
      </c>
      <c r="H6847" s="8" t="s">
        <v>21</v>
      </c>
      <c r="I6847" s="8" t="s">
        <v>557</v>
      </c>
      <c r="J6847" s="8" t="s">
        <v>557</v>
      </c>
      <c r="K6847" s="8" t="s">
        <v>600</v>
      </c>
      <c r="L6847" s="8" t="s">
        <v>30032</v>
      </c>
      <c r="M6847" s="8" t="s">
        <v>30033</v>
      </c>
      <c r="N6847" s="8" t="s">
        <v>30404</v>
      </c>
      <c r="O6847" s="8">
        <f>19+56/60+28.1/3600</f>
        <v>19.94113888888889</v>
      </c>
      <c r="P6847" s="8" t="s">
        <v>1882</v>
      </c>
      <c r="Q6847" s="8">
        <f>+(32+20/60+55/3600)</f>
        <v>32.348611111111111</v>
      </c>
      <c r="R6847" s="8">
        <v>14.2</v>
      </c>
      <c r="S6847" s="8">
        <v>99</v>
      </c>
      <c r="T6847" s="8">
        <v>99</v>
      </c>
      <c r="U6847" s="8">
        <v>99</v>
      </c>
      <c r="V6847" s="8">
        <v>0.8</v>
      </c>
      <c r="Y6847" s="8" t="s">
        <v>30405</v>
      </c>
      <c r="Z6847" s="8" t="s">
        <v>30406</v>
      </c>
    </row>
    <row r="6848" spans="1:26" x14ac:dyDescent="0.2">
      <c r="A6848" s="8">
        <v>6847</v>
      </c>
      <c r="B6848" s="8" t="s">
        <v>30407</v>
      </c>
      <c r="C6848" s="8" t="s">
        <v>30407</v>
      </c>
      <c r="F6848" s="47" t="s">
        <v>58254</v>
      </c>
      <c r="G6848" s="8">
        <v>15</v>
      </c>
      <c r="H6848" s="8" t="s">
        <v>21</v>
      </c>
      <c r="I6848" s="8" t="s">
        <v>241</v>
      </c>
      <c r="J6848" s="8" t="s">
        <v>241</v>
      </c>
      <c r="K6848" s="8" t="s">
        <v>241</v>
      </c>
      <c r="L6848" s="8" t="s">
        <v>30153</v>
      </c>
      <c r="M6848" s="8" t="s">
        <v>30154</v>
      </c>
      <c r="N6848" s="8" t="s">
        <v>30385</v>
      </c>
      <c r="O6848" s="8">
        <f>19+55/60+2.3/3600</f>
        <v>19.917305555555558</v>
      </c>
      <c r="P6848" s="8" t="s">
        <v>30386</v>
      </c>
      <c r="Q6848" s="8">
        <f>+(29+17/60+23/3600)</f>
        <v>29.289722222222224</v>
      </c>
      <c r="R6848" s="8">
        <v>13.1</v>
      </c>
      <c r="S6848" s="8">
        <v>13.6</v>
      </c>
      <c r="T6848" s="8">
        <v>99</v>
      </c>
      <c r="U6848" s="8">
        <v>99</v>
      </c>
      <c r="V6848" s="8">
        <v>0.95</v>
      </c>
      <c r="Y6848" s="8" t="s">
        <v>30408</v>
      </c>
      <c r="Z6848" s="8" t="s">
        <v>30409</v>
      </c>
    </row>
    <row r="6849" spans="1:26" x14ac:dyDescent="0.2">
      <c r="A6849" s="8">
        <v>6848</v>
      </c>
      <c r="B6849" s="8" t="s">
        <v>30410</v>
      </c>
      <c r="C6849" s="8" t="s">
        <v>30410</v>
      </c>
      <c r="F6849" s="47"/>
      <c r="G6849" s="8">
        <v>16</v>
      </c>
      <c r="H6849" s="8" t="s">
        <v>21</v>
      </c>
      <c r="I6849" s="8" t="s">
        <v>22</v>
      </c>
      <c r="J6849" s="8" t="s">
        <v>22</v>
      </c>
      <c r="K6849" s="8" t="s">
        <v>91</v>
      </c>
      <c r="L6849" s="8" t="s">
        <v>29246</v>
      </c>
      <c r="M6849" s="8" t="s">
        <v>29247</v>
      </c>
      <c r="N6849" s="8" t="s">
        <v>30411</v>
      </c>
      <c r="O6849" s="8">
        <f>20+2/60+46.9/3600</f>
        <v>20.046361111111114</v>
      </c>
      <c r="P6849" s="8" t="s">
        <v>30412</v>
      </c>
      <c r="Q6849" s="8">
        <f>-(56+5/60+25/3600)</f>
        <v>-56.090277777777779</v>
      </c>
      <c r="R6849" s="8">
        <v>12.1</v>
      </c>
      <c r="S6849" s="8">
        <v>12.5</v>
      </c>
      <c r="T6849" s="8">
        <v>0.4</v>
      </c>
      <c r="U6849" s="8">
        <v>12.9</v>
      </c>
      <c r="V6849" s="8">
        <v>2.4</v>
      </c>
      <c r="W6849" s="8">
        <v>1</v>
      </c>
      <c r="X6849" s="8">
        <v>157</v>
      </c>
      <c r="Y6849" s="8" t="s">
        <v>30413</v>
      </c>
      <c r="Z6849" s="8" t="s">
        <v>30414</v>
      </c>
    </row>
    <row r="6850" spans="1:26" x14ac:dyDescent="0.2">
      <c r="A6850" s="8">
        <v>6849</v>
      </c>
      <c r="B6850" s="8" t="s">
        <v>30415</v>
      </c>
      <c r="C6850" s="8" t="s">
        <v>30415</v>
      </c>
      <c r="F6850" s="47"/>
      <c r="G6850" s="8">
        <v>16</v>
      </c>
      <c r="H6850" s="8" t="s">
        <v>21</v>
      </c>
      <c r="I6850" s="8" t="s">
        <v>22</v>
      </c>
      <c r="J6850" s="8" t="s">
        <v>22</v>
      </c>
      <c r="K6850" s="8" t="s">
        <v>118</v>
      </c>
      <c r="L6850" s="8" t="s">
        <v>28576</v>
      </c>
      <c r="M6850" s="8" t="s">
        <v>28577</v>
      </c>
      <c r="N6850" s="8" t="s">
        <v>30416</v>
      </c>
      <c r="O6850" s="8">
        <f>20+6/60+15.6/3600</f>
        <v>20.104333333333336</v>
      </c>
      <c r="P6850" s="8" t="s">
        <v>30417</v>
      </c>
      <c r="Q6850" s="8">
        <f>-(40+11/60+54/3600)</f>
        <v>-40.198333333333331</v>
      </c>
      <c r="R6850" s="8">
        <v>12.1</v>
      </c>
      <c r="S6850" s="8">
        <v>13</v>
      </c>
      <c r="T6850" s="8">
        <v>0.9</v>
      </c>
      <c r="U6850" s="8">
        <v>12.7</v>
      </c>
      <c r="V6850" s="8">
        <v>1.9</v>
      </c>
      <c r="W6850" s="8">
        <v>1.1000000000000001</v>
      </c>
      <c r="X6850" s="8">
        <v>18</v>
      </c>
      <c r="Y6850" s="8" t="s">
        <v>30418</v>
      </c>
      <c r="Z6850" s="8" t="s">
        <v>30419</v>
      </c>
    </row>
    <row r="6851" spans="1:26" x14ac:dyDescent="0.2">
      <c r="A6851" s="8">
        <v>6850</v>
      </c>
      <c r="B6851" s="8" t="s">
        <v>30420</v>
      </c>
      <c r="C6851" s="8" t="s">
        <v>30420</v>
      </c>
      <c r="F6851" s="47"/>
      <c r="G6851" s="8">
        <v>16</v>
      </c>
      <c r="H6851" s="8" t="s">
        <v>21</v>
      </c>
      <c r="I6851" s="8" t="s">
        <v>22</v>
      </c>
      <c r="J6851" s="8" t="s">
        <v>22</v>
      </c>
      <c r="K6851" s="8" t="s">
        <v>435</v>
      </c>
      <c r="L6851" s="8" t="s">
        <v>29246</v>
      </c>
      <c r="M6851" s="8" t="s">
        <v>29247</v>
      </c>
      <c r="N6851" s="8" t="s">
        <v>30421</v>
      </c>
      <c r="O6851" s="8">
        <f>20+3/60+29.8/3600</f>
        <v>20.058277777777779</v>
      </c>
      <c r="P6851" s="8" t="s">
        <v>30422</v>
      </c>
      <c r="Q6851" s="8">
        <f>-(54+50/60+43/3600)</f>
        <v>-54.845277777777781</v>
      </c>
      <c r="R6851" s="8">
        <v>12.5</v>
      </c>
      <c r="S6851" s="8">
        <v>13.4</v>
      </c>
      <c r="T6851" s="8">
        <v>0.9</v>
      </c>
      <c r="U6851" s="8">
        <v>13</v>
      </c>
      <c r="V6851" s="8">
        <v>2.1</v>
      </c>
      <c r="W6851" s="8">
        <v>1.1000000000000001</v>
      </c>
      <c r="X6851" s="8">
        <v>153</v>
      </c>
      <c r="Y6851" s="8" t="s">
        <v>2248</v>
      </c>
      <c r="Z6851" s="8" t="s">
        <v>2249</v>
      </c>
    </row>
    <row r="6852" spans="1:26" x14ac:dyDescent="0.2">
      <c r="A6852" s="8">
        <v>6851</v>
      </c>
      <c r="B6852" s="8" t="s">
        <v>30423</v>
      </c>
      <c r="C6852" s="8" t="s">
        <v>30423</v>
      </c>
      <c r="F6852" s="47"/>
      <c r="G6852" s="8">
        <v>13</v>
      </c>
      <c r="H6852" s="8" t="s">
        <v>21</v>
      </c>
      <c r="I6852" s="8" t="s">
        <v>22</v>
      </c>
      <c r="J6852" s="8" t="s">
        <v>22</v>
      </c>
      <c r="K6852" s="8" t="s">
        <v>382</v>
      </c>
      <c r="L6852" s="8" t="s">
        <v>29246</v>
      </c>
      <c r="M6852" s="8" t="s">
        <v>29247</v>
      </c>
      <c r="N6852" s="8" t="s">
        <v>30424</v>
      </c>
      <c r="O6852" s="8">
        <f>20+3/60+34.3/3600</f>
        <v>20.059527777777777</v>
      </c>
      <c r="P6852" s="8" t="s">
        <v>30425</v>
      </c>
      <c r="Q6852" s="8">
        <f>-(48+17/60+4/3600)</f>
        <v>-48.284444444444439</v>
      </c>
      <c r="R6852" s="8">
        <v>11.8</v>
      </c>
      <c r="S6852" s="8">
        <v>12.7</v>
      </c>
      <c r="T6852" s="8">
        <v>0.9</v>
      </c>
      <c r="U6852" s="8">
        <v>13</v>
      </c>
      <c r="V6852" s="8">
        <v>2</v>
      </c>
      <c r="W6852" s="8">
        <v>1.5</v>
      </c>
      <c r="X6852" s="8">
        <v>160</v>
      </c>
      <c r="Y6852" s="8" t="s">
        <v>30426</v>
      </c>
      <c r="Z6852" s="8" t="s">
        <v>30427</v>
      </c>
    </row>
    <row r="6853" spans="1:26" x14ac:dyDescent="0.2">
      <c r="A6853" s="8">
        <v>6852</v>
      </c>
      <c r="B6853" s="8" t="s">
        <v>30428</v>
      </c>
      <c r="C6853" s="8" t="s">
        <v>30428</v>
      </c>
      <c r="F6853" s="47"/>
      <c r="G6853" s="8">
        <v>18</v>
      </c>
      <c r="H6853" s="8" t="s">
        <v>21</v>
      </c>
      <c r="I6853" s="8" t="s">
        <v>241</v>
      </c>
      <c r="J6853" s="8" t="s">
        <v>241</v>
      </c>
      <c r="K6853" s="8" t="s">
        <v>241</v>
      </c>
      <c r="L6853" s="8" t="s">
        <v>29781</v>
      </c>
      <c r="M6853" s="8" t="s">
        <v>29782</v>
      </c>
      <c r="N6853" s="8" t="s">
        <v>30429</v>
      </c>
      <c r="O6853" s="8">
        <f>20+0/60+39.2/3600</f>
        <v>20.010888888888889</v>
      </c>
      <c r="P6853" s="8" t="s">
        <v>30430</v>
      </c>
      <c r="Q6853" s="8">
        <f>+(1+43/60+43/3600)</f>
        <v>1.7286111111111113</v>
      </c>
      <c r="R6853" s="8">
        <v>12.6</v>
      </c>
      <c r="S6853" s="8">
        <v>12.8</v>
      </c>
      <c r="T6853" s="8">
        <v>99</v>
      </c>
      <c r="U6853" s="8">
        <v>99</v>
      </c>
      <c r="V6853" s="8">
        <v>0.47</v>
      </c>
      <c r="Y6853" s="8" t="s">
        <v>30431</v>
      </c>
      <c r="Z6853" s="8" t="s">
        <v>30432</v>
      </c>
    </row>
    <row r="6854" spans="1:26" x14ac:dyDescent="0.2">
      <c r="A6854" s="8">
        <v>6853</v>
      </c>
      <c r="B6854" s="8" t="s">
        <v>30433</v>
      </c>
      <c r="C6854" s="8" t="s">
        <v>55957</v>
      </c>
      <c r="F6854" s="47"/>
      <c r="G6854" s="8">
        <v>1</v>
      </c>
      <c r="H6854" s="8" t="s">
        <v>30434</v>
      </c>
      <c r="I6854" s="8" t="s">
        <v>241</v>
      </c>
      <c r="J6854" s="8" t="s">
        <v>241</v>
      </c>
      <c r="K6854" s="8" t="s">
        <v>241</v>
      </c>
      <c r="L6854" s="8" t="s">
        <v>30153</v>
      </c>
      <c r="M6854" s="8" t="s">
        <v>30154</v>
      </c>
      <c r="N6854" s="8" t="s">
        <v>30435</v>
      </c>
      <c r="O6854" s="8">
        <f>19+59/60+36.3/3600</f>
        <v>19.993416666666668</v>
      </c>
      <c r="P6854" s="8" t="s">
        <v>30436</v>
      </c>
      <c r="Q6854" s="8">
        <f>+(22+43/60+18/3600)</f>
        <v>22.721666666666664</v>
      </c>
      <c r="R6854" s="8">
        <v>7.4</v>
      </c>
      <c r="S6854" s="8">
        <v>7.6</v>
      </c>
      <c r="T6854" s="8">
        <v>99</v>
      </c>
      <c r="U6854" s="8">
        <v>99</v>
      </c>
      <c r="V6854" s="8">
        <v>6.7</v>
      </c>
      <c r="Y6854" s="8" t="s">
        <v>30437</v>
      </c>
      <c r="Z6854" s="8" t="s">
        <v>30438</v>
      </c>
    </row>
    <row r="6855" spans="1:26" x14ac:dyDescent="0.2">
      <c r="A6855" s="8">
        <v>6854</v>
      </c>
      <c r="B6855" s="8" t="s">
        <v>30439</v>
      </c>
      <c r="C6855" s="8" t="s">
        <v>30439</v>
      </c>
      <c r="F6855" s="47"/>
      <c r="G6855" s="8">
        <v>13</v>
      </c>
      <c r="H6855" s="8" t="s">
        <v>21</v>
      </c>
      <c r="I6855" s="8" t="s">
        <v>22</v>
      </c>
      <c r="J6855" s="8" t="s">
        <v>22</v>
      </c>
      <c r="K6855" s="8" t="s">
        <v>118</v>
      </c>
      <c r="L6855" s="8" t="s">
        <v>29246</v>
      </c>
      <c r="M6855" s="8" t="s">
        <v>29247</v>
      </c>
      <c r="N6855" s="8" t="s">
        <v>30440</v>
      </c>
      <c r="O6855" s="8">
        <f>20+5/60+38.6/3600</f>
        <v>20.094055555555553</v>
      </c>
      <c r="P6855" s="8" t="s">
        <v>30441</v>
      </c>
      <c r="Q6855" s="8">
        <f>-(54+22/60+30/3600)</f>
        <v>-54.375</v>
      </c>
      <c r="R6855" s="8">
        <v>12.2</v>
      </c>
      <c r="S6855" s="8">
        <v>13.2</v>
      </c>
      <c r="T6855" s="8">
        <v>1</v>
      </c>
      <c r="U6855" s="8">
        <v>13.1</v>
      </c>
      <c r="V6855" s="8">
        <v>2</v>
      </c>
      <c r="W6855" s="8">
        <v>1.3</v>
      </c>
      <c r="X6855" s="8">
        <v>166</v>
      </c>
      <c r="Y6855" s="8" t="s">
        <v>17431</v>
      </c>
      <c r="Z6855" s="8" t="s">
        <v>17432</v>
      </c>
    </row>
    <row r="6856" spans="1:26" x14ac:dyDescent="0.2">
      <c r="A6856" s="8">
        <v>6855</v>
      </c>
      <c r="B6856" s="8" t="s">
        <v>30442</v>
      </c>
      <c r="C6856" s="8" t="s">
        <v>30442</v>
      </c>
      <c r="F6856" s="47"/>
      <c r="G6856" s="8">
        <v>16</v>
      </c>
      <c r="H6856" s="8" t="s">
        <v>21</v>
      </c>
      <c r="I6856" s="8" t="s">
        <v>22</v>
      </c>
      <c r="J6856" s="8" t="s">
        <v>22</v>
      </c>
      <c r="K6856" s="8" t="s">
        <v>435</v>
      </c>
      <c r="L6856" s="8" t="s">
        <v>29246</v>
      </c>
      <c r="M6856" s="8" t="s">
        <v>29247</v>
      </c>
      <c r="N6856" s="8" t="s">
        <v>30443</v>
      </c>
      <c r="O6856" s="8">
        <f>20+6/60+49.7/3600</f>
        <v>20.113805555555558</v>
      </c>
      <c r="P6856" s="8" t="s">
        <v>30444</v>
      </c>
      <c r="Q6856" s="8">
        <f>-(56+23/60+23/3600)</f>
        <v>-56.389722222222218</v>
      </c>
      <c r="R6856" s="8">
        <v>12.9</v>
      </c>
      <c r="S6856" s="8">
        <v>13.8</v>
      </c>
      <c r="T6856" s="8">
        <v>0.9</v>
      </c>
      <c r="U6856" s="8">
        <v>13.5</v>
      </c>
      <c r="V6856" s="8">
        <v>1.5</v>
      </c>
      <c r="W6856" s="8">
        <v>1.3</v>
      </c>
      <c r="X6856" s="8">
        <v>113</v>
      </c>
      <c r="Y6856" s="8" t="s">
        <v>824</v>
      </c>
      <c r="Z6856" s="8" t="s">
        <v>825</v>
      </c>
    </row>
    <row r="6857" spans="1:26" x14ac:dyDescent="0.2">
      <c r="A6857" s="8">
        <v>6856</v>
      </c>
      <c r="B6857" s="8" t="s">
        <v>30445</v>
      </c>
      <c r="C6857" s="8" t="s">
        <v>30445</v>
      </c>
      <c r="F6857" s="47"/>
      <c r="G6857" s="8">
        <v>16</v>
      </c>
      <c r="H6857" s="8" t="s">
        <v>21</v>
      </c>
      <c r="I6857" s="8" t="s">
        <v>72</v>
      </c>
      <c r="J6857" s="8" t="s">
        <v>72</v>
      </c>
      <c r="K6857" s="8" t="s">
        <v>1405</v>
      </c>
      <c r="L6857" s="8" t="s">
        <v>30032</v>
      </c>
      <c r="M6857" s="8" t="s">
        <v>30033</v>
      </c>
      <c r="N6857" s="8" t="s">
        <v>30446</v>
      </c>
      <c r="O6857" s="8">
        <f>19+59/60+17.1/3600</f>
        <v>19.988083333333336</v>
      </c>
      <c r="P6857" s="8" t="s">
        <v>30447</v>
      </c>
      <c r="Q6857" s="8">
        <f>+(56+7/60+53/3600)</f>
        <v>56.131388888888893</v>
      </c>
      <c r="R6857" s="8">
        <v>99</v>
      </c>
      <c r="S6857" s="8">
        <v>99</v>
      </c>
      <c r="T6857" s="8">
        <v>99</v>
      </c>
      <c r="U6857" s="8">
        <v>99</v>
      </c>
      <c r="V6857" s="8">
        <v>3</v>
      </c>
      <c r="Y6857" s="8" t="s">
        <v>30448</v>
      </c>
      <c r="Z6857" s="8" t="s">
        <v>30449</v>
      </c>
    </row>
    <row r="6858" spans="1:26" x14ac:dyDescent="0.2">
      <c r="A6858" s="8">
        <v>6857</v>
      </c>
      <c r="B6858" s="8" t="s">
        <v>30450</v>
      </c>
      <c r="C6858" s="8" t="s">
        <v>30450</v>
      </c>
      <c r="F6858" s="47" t="s">
        <v>58255</v>
      </c>
      <c r="G6858" s="8">
        <v>6.5</v>
      </c>
      <c r="H6858" s="8" t="s">
        <v>21</v>
      </c>
      <c r="I6858" s="8" t="s">
        <v>1283</v>
      </c>
      <c r="J6858" s="8" t="s">
        <v>1283</v>
      </c>
      <c r="K6858" s="8" t="s">
        <v>1284</v>
      </c>
      <c r="L6858" s="8" t="s">
        <v>30032</v>
      </c>
      <c r="M6858" s="8" t="s">
        <v>30033</v>
      </c>
      <c r="N6858" s="8" t="s">
        <v>30451</v>
      </c>
      <c r="O6858" s="8">
        <f>20+1/60+48/3600</f>
        <v>20.029999999999998</v>
      </c>
      <c r="P6858" s="8" t="s">
        <v>10594</v>
      </c>
      <c r="Q6858" s="8">
        <f>+(33+31/60+30/3600)</f>
        <v>33.524999999999999</v>
      </c>
      <c r="R6858" s="8">
        <v>99</v>
      </c>
      <c r="S6858" s="8">
        <v>11.4</v>
      </c>
      <c r="T6858" s="8">
        <v>99</v>
      </c>
      <c r="U6858" s="8">
        <v>99</v>
      </c>
      <c r="V6858" s="8">
        <v>0.63</v>
      </c>
      <c r="Y6858" s="8" t="s">
        <v>30452</v>
      </c>
      <c r="Z6858" s="8" t="s">
        <v>30453</v>
      </c>
    </row>
    <row r="6859" spans="1:26" x14ac:dyDescent="0.2">
      <c r="A6859" s="8">
        <v>6858</v>
      </c>
      <c r="B6859" s="8" t="s">
        <v>30454</v>
      </c>
      <c r="C6859" s="8" t="s">
        <v>30454</v>
      </c>
      <c r="F6859" s="47"/>
      <c r="G6859" s="8">
        <v>16</v>
      </c>
      <c r="H6859" s="8" t="s">
        <v>21</v>
      </c>
      <c r="I6859" s="8" t="s">
        <v>72</v>
      </c>
      <c r="J6859" s="8" t="s">
        <v>72</v>
      </c>
      <c r="K6859" s="8" t="s">
        <v>1405</v>
      </c>
      <c r="L6859" s="8" t="s">
        <v>29781</v>
      </c>
      <c r="M6859" s="8" t="s">
        <v>29782</v>
      </c>
      <c r="N6859" s="8" t="s">
        <v>30455</v>
      </c>
      <c r="O6859" s="8">
        <f>20+3/60+0/3600</f>
        <v>20.05</v>
      </c>
      <c r="P6859" s="8" t="s">
        <v>30456</v>
      </c>
      <c r="Q6859" s="8">
        <f>+(11+15/60+36/3600)</f>
        <v>11.26</v>
      </c>
      <c r="R6859" s="8">
        <v>99</v>
      </c>
      <c r="S6859" s="8">
        <v>99</v>
      </c>
      <c r="T6859" s="8">
        <v>99</v>
      </c>
      <c r="U6859" s="8">
        <v>99</v>
      </c>
      <c r="V6859" s="8">
        <v>5</v>
      </c>
      <c r="Y6859" s="8" t="s">
        <v>30457</v>
      </c>
      <c r="Z6859" s="8" t="s">
        <v>30458</v>
      </c>
    </row>
    <row r="6860" spans="1:26" x14ac:dyDescent="0.2">
      <c r="A6860" s="8">
        <v>6859</v>
      </c>
      <c r="B6860" s="8" t="s">
        <v>30459</v>
      </c>
      <c r="C6860" s="8" t="s">
        <v>30459</v>
      </c>
      <c r="F6860" s="47"/>
      <c r="G6860" s="8">
        <v>17</v>
      </c>
      <c r="H6860" s="8" t="s">
        <v>21</v>
      </c>
      <c r="I6860" s="8" t="s">
        <v>72</v>
      </c>
      <c r="J6860" s="8" t="s">
        <v>72</v>
      </c>
      <c r="K6860" s="8" t="s">
        <v>1802</v>
      </c>
      <c r="L6860" s="8" t="s">
        <v>29781</v>
      </c>
      <c r="M6860" s="8" t="s">
        <v>29782</v>
      </c>
      <c r="N6860" s="8" t="s">
        <v>30460</v>
      </c>
      <c r="O6860" s="8">
        <f>20+3/60+49.5/3600</f>
        <v>20.063750000000002</v>
      </c>
      <c r="P6860" s="8" t="s">
        <v>30461</v>
      </c>
      <c r="Q6860" s="8">
        <f>+(0+26/60+40/3600)</f>
        <v>0.44444444444444448</v>
      </c>
      <c r="R6860" s="8">
        <v>99</v>
      </c>
      <c r="S6860" s="8">
        <v>99</v>
      </c>
      <c r="T6860" s="8">
        <v>99</v>
      </c>
      <c r="U6860" s="8">
        <v>99</v>
      </c>
      <c r="Y6860" s="8" t="s">
        <v>30462</v>
      </c>
      <c r="Z6860" s="8" t="s">
        <v>30463</v>
      </c>
    </row>
    <row r="6861" spans="1:26" x14ac:dyDescent="0.2">
      <c r="A6861" s="8">
        <v>6860</v>
      </c>
      <c r="B6861" s="8" t="s">
        <v>30464</v>
      </c>
      <c r="C6861" s="8" t="s">
        <v>30464</v>
      </c>
      <c r="F6861" s="47"/>
      <c r="G6861" s="8">
        <v>16</v>
      </c>
      <c r="H6861" s="8" t="s">
        <v>21</v>
      </c>
      <c r="I6861" s="8" t="s">
        <v>22</v>
      </c>
      <c r="J6861" s="8" t="s">
        <v>22</v>
      </c>
      <c r="K6861" s="8" t="s">
        <v>23</v>
      </c>
      <c r="L6861" s="8" t="s">
        <v>28435</v>
      </c>
      <c r="M6861" s="8" t="s">
        <v>28436</v>
      </c>
      <c r="N6861" s="8" t="s">
        <v>30465</v>
      </c>
      <c r="O6861" s="8">
        <f>20+8/60+47.1/3600</f>
        <v>20.146416666666667</v>
      </c>
      <c r="P6861" s="8" t="s">
        <v>30466</v>
      </c>
      <c r="Q6861" s="8">
        <f>-(61+5/60+59/3600)</f>
        <v>-61.099722222222226</v>
      </c>
      <c r="R6861" s="8">
        <v>12.6</v>
      </c>
      <c r="S6861" s="8">
        <v>13.4</v>
      </c>
      <c r="T6861" s="8">
        <v>0.8</v>
      </c>
      <c r="U6861" s="8">
        <v>12.5</v>
      </c>
      <c r="V6861" s="8">
        <v>1.3</v>
      </c>
      <c r="W6861" s="8">
        <v>0.8</v>
      </c>
      <c r="X6861" s="8">
        <v>34</v>
      </c>
      <c r="Y6861" s="8" t="s">
        <v>30467</v>
      </c>
      <c r="Z6861" s="8" t="s">
        <v>30468</v>
      </c>
    </row>
    <row r="6862" spans="1:26" x14ac:dyDescent="0.2">
      <c r="A6862" s="8">
        <v>6861</v>
      </c>
      <c r="B6862" s="8" t="s">
        <v>30469</v>
      </c>
      <c r="C6862" s="8" t="s">
        <v>30469</v>
      </c>
      <c r="F6862" s="47"/>
      <c r="G6862" s="8">
        <v>13</v>
      </c>
      <c r="H6862" s="8" t="s">
        <v>21</v>
      </c>
      <c r="I6862" s="8" t="s">
        <v>22</v>
      </c>
      <c r="J6862" s="8" t="s">
        <v>22</v>
      </c>
      <c r="K6862" s="8" t="s">
        <v>58</v>
      </c>
      <c r="L6862" s="8" t="s">
        <v>29246</v>
      </c>
      <c r="M6862" s="8" t="s">
        <v>29247</v>
      </c>
      <c r="N6862" s="8" t="s">
        <v>30470</v>
      </c>
      <c r="O6862" s="8">
        <f>20+7/60+19.4/3600</f>
        <v>20.122055555555555</v>
      </c>
      <c r="P6862" s="8" t="s">
        <v>30471</v>
      </c>
      <c r="Q6862" s="8">
        <f>-(48+22/60+10/3600)</f>
        <v>-48.369444444444447</v>
      </c>
      <c r="R6862" s="8">
        <v>11.1</v>
      </c>
      <c r="S6862" s="8">
        <v>12.1</v>
      </c>
      <c r="T6862" s="8">
        <v>1</v>
      </c>
      <c r="U6862" s="8">
        <v>12.8</v>
      </c>
      <c r="V6862" s="8">
        <v>3</v>
      </c>
      <c r="W6862" s="8">
        <v>2</v>
      </c>
      <c r="X6862" s="8">
        <v>140</v>
      </c>
      <c r="Y6862" s="8" t="s">
        <v>30472</v>
      </c>
      <c r="Z6862" s="8" t="s">
        <v>30473</v>
      </c>
    </row>
    <row r="6863" spans="1:26" x14ac:dyDescent="0.2">
      <c r="A6863" s="8">
        <v>6862</v>
      </c>
      <c r="B6863" s="8" t="s">
        <v>30474</v>
      </c>
      <c r="C6863" s="8" t="s">
        <v>30474</v>
      </c>
      <c r="F6863" s="47"/>
      <c r="G6863" s="8">
        <v>16</v>
      </c>
      <c r="H6863" s="8" t="s">
        <v>21</v>
      </c>
      <c r="I6863" s="8" t="s">
        <v>22</v>
      </c>
      <c r="J6863" s="8" t="s">
        <v>22</v>
      </c>
      <c r="K6863" s="8" t="s">
        <v>85</v>
      </c>
      <c r="L6863" s="8" t="s">
        <v>29246</v>
      </c>
      <c r="M6863" s="8" t="s">
        <v>29247</v>
      </c>
      <c r="N6863" s="8" t="s">
        <v>30475</v>
      </c>
      <c r="O6863" s="8">
        <f>20+8/60+54.5/3600</f>
        <v>20.148472222222221</v>
      </c>
      <c r="P6863" s="8" t="s">
        <v>30476</v>
      </c>
      <c r="Q6863" s="8">
        <f>-(56+23/60+30/3600)</f>
        <v>-56.391666666666666</v>
      </c>
      <c r="R6863" s="8">
        <v>12.7</v>
      </c>
      <c r="S6863" s="8">
        <v>13.4</v>
      </c>
      <c r="T6863" s="8">
        <v>0.7</v>
      </c>
      <c r="U6863" s="8">
        <v>13.2</v>
      </c>
      <c r="V6863" s="8">
        <v>1.6</v>
      </c>
      <c r="W6863" s="8">
        <v>1.3</v>
      </c>
      <c r="X6863" s="8">
        <v>149</v>
      </c>
      <c r="Y6863" s="8" t="s">
        <v>30477</v>
      </c>
      <c r="Z6863" s="8" t="s">
        <v>30478</v>
      </c>
    </row>
    <row r="6864" spans="1:26" x14ac:dyDescent="0.2">
      <c r="A6864" s="8">
        <v>6863</v>
      </c>
      <c r="B6864" s="8" t="s">
        <v>30479</v>
      </c>
      <c r="C6864" s="8" t="s">
        <v>30479</v>
      </c>
      <c r="F6864" s="47"/>
      <c r="G6864" s="8">
        <v>16</v>
      </c>
      <c r="H6864" s="8" t="s">
        <v>21</v>
      </c>
      <c r="I6864" s="8" t="s">
        <v>72</v>
      </c>
      <c r="J6864" s="8" t="s">
        <v>72</v>
      </c>
      <c r="K6864" s="8" t="s">
        <v>1405</v>
      </c>
      <c r="L6864" s="8" t="s">
        <v>29781</v>
      </c>
      <c r="M6864" s="8" t="s">
        <v>29782</v>
      </c>
      <c r="N6864" s="8" t="s">
        <v>30480</v>
      </c>
      <c r="O6864" s="8">
        <f>20+5/60+7.3/3600</f>
        <v>20.085361111111109</v>
      </c>
      <c r="P6864" s="8" t="s">
        <v>30481</v>
      </c>
      <c r="Q6864" s="8">
        <f>-(3+33/60+13/3600)</f>
        <v>-3.5536111111111111</v>
      </c>
      <c r="R6864" s="8">
        <v>99</v>
      </c>
      <c r="S6864" s="8">
        <v>99</v>
      </c>
      <c r="T6864" s="8">
        <v>99</v>
      </c>
      <c r="U6864" s="8">
        <v>99</v>
      </c>
      <c r="Y6864" s="8" t="s">
        <v>30482</v>
      </c>
      <c r="Z6864" s="8" t="s">
        <v>30483</v>
      </c>
    </row>
    <row r="6865" spans="1:26" x14ac:dyDescent="0.2">
      <c r="A6865" s="8">
        <v>6864</v>
      </c>
      <c r="B6865" s="8" t="s">
        <v>30484</v>
      </c>
      <c r="C6865" s="8" t="s">
        <v>55958</v>
      </c>
      <c r="F6865" s="47"/>
      <c r="G6865" s="8">
        <v>1</v>
      </c>
      <c r="H6865" s="8" t="s">
        <v>21</v>
      </c>
      <c r="I6865" s="8" t="s">
        <v>567</v>
      </c>
      <c r="J6865" s="8" t="s">
        <v>567</v>
      </c>
      <c r="K6865" s="8" t="s">
        <v>12945</v>
      </c>
      <c r="L6865" s="8" t="s">
        <v>28576</v>
      </c>
      <c r="M6865" s="8" t="s">
        <v>28577</v>
      </c>
      <c r="N6865" s="8" t="s">
        <v>30485</v>
      </c>
      <c r="O6865" s="8">
        <f>20+6/60+4.8/3600</f>
        <v>20.101333333333336</v>
      </c>
      <c r="P6865" s="8" t="s">
        <v>30486</v>
      </c>
      <c r="Q6865" s="8">
        <f>-(21+55/60+15/3600)</f>
        <v>-21.920833333333334</v>
      </c>
      <c r="R6865" s="8">
        <v>8.6</v>
      </c>
      <c r="S6865" s="8">
        <v>99</v>
      </c>
      <c r="T6865" s="8">
        <v>99</v>
      </c>
      <c r="U6865" s="8">
        <v>99</v>
      </c>
      <c r="V6865" s="8">
        <v>6.8</v>
      </c>
      <c r="Y6865" s="8" t="s">
        <v>30487</v>
      </c>
      <c r="Z6865" s="8" t="s">
        <v>30488</v>
      </c>
    </row>
    <row r="6866" spans="1:26" x14ac:dyDescent="0.2">
      <c r="A6866" s="8">
        <v>6865</v>
      </c>
      <c r="B6866" s="8" t="s">
        <v>30489</v>
      </c>
      <c r="C6866" s="8" t="s">
        <v>30489</v>
      </c>
      <c r="F6866" s="47"/>
      <c r="G6866" s="8">
        <v>18</v>
      </c>
      <c r="H6866" s="8" t="s">
        <v>21</v>
      </c>
      <c r="I6866" s="8" t="s">
        <v>22</v>
      </c>
      <c r="J6866" s="8" t="s">
        <v>22</v>
      </c>
      <c r="K6866" s="8" t="s">
        <v>37</v>
      </c>
      <c r="L6866" s="8" t="s">
        <v>29781</v>
      </c>
      <c r="M6866" s="8" t="s">
        <v>29782</v>
      </c>
      <c r="N6866" s="8" t="s">
        <v>30490</v>
      </c>
      <c r="O6866" s="8">
        <f>20+5/60+56.4/3600</f>
        <v>20.099</v>
      </c>
      <c r="P6866" s="8" t="s">
        <v>30491</v>
      </c>
      <c r="Q6866" s="8">
        <f>-(9+2/60+26/3600)</f>
        <v>-9.0405555555555548</v>
      </c>
      <c r="R6866" s="8">
        <v>15</v>
      </c>
      <c r="S6866" s="8">
        <v>16</v>
      </c>
      <c r="T6866" s="8">
        <v>1</v>
      </c>
      <c r="U6866" s="8">
        <v>14.1</v>
      </c>
      <c r="V6866" s="8">
        <v>0.8</v>
      </c>
      <c r="W6866" s="8">
        <v>0.6</v>
      </c>
      <c r="X6866" s="8">
        <v>130</v>
      </c>
      <c r="Y6866" s="8" t="s">
        <v>1664</v>
      </c>
      <c r="Z6866" s="8" t="s">
        <v>1665</v>
      </c>
    </row>
    <row r="6867" spans="1:26" x14ac:dyDescent="0.2">
      <c r="A6867" s="8">
        <v>6866</v>
      </c>
      <c r="B6867" s="8" t="s">
        <v>30492</v>
      </c>
      <c r="C6867" s="8" t="s">
        <v>30492</v>
      </c>
      <c r="F6867" s="47" t="s">
        <v>58256</v>
      </c>
      <c r="G6867" s="8">
        <v>6</v>
      </c>
      <c r="H6867" s="8" t="s">
        <v>30493</v>
      </c>
      <c r="I6867" s="8" t="s">
        <v>557</v>
      </c>
      <c r="J6867" s="8" t="s">
        <v>557</v>
      </c>
      <c r="K6867" s="8" t="s">
        <v>2722</v>
      </c>
      <c r="L6867" s="8" t="s">
        <v>30032</v>
      </c>
      <c r="M6867" s="8" t="s">
        <v>30033</v>
      </c>
      <c r="N6867" s="8" t="s">
        <v>30494</v>
      </c>
      <c r="O6867" s="8">
        <f>20+3/60+55.1/3600</f>
        <v>20.065305555555558</v>
      </c>
      <c r="P6867" s="8" t="s">
        <v>30495</v>
      </c>
      <c r="Q6867" s="8">
        <f>+(44+9/60+33/3600)</f>
        <v>44.159166666666664</v>
      </c>
      <c r="R6867" s="8">
        <v>7.6</v>
      </c>
      <c r="S6867" s="8">
        <v>8</v>
      </c>
      <c r="T6867" s="8">
        <v>99</v>
      </c>
      <c r="U6867" s="8">
        <v>99</v>
      </c>
      <c r="V6867" s="8">
        <v>7</v>
      </c>
      <c r="Y6867" s="8" t="s">
        <v>30496</v>
      </c>
      <c r="Z6867" s="8" t="s">
        <v>30497</v>
      </c>
    </row>
    <row r="6868" spans="1:26" x14ac:dyDescent="0.2">
      <c r="A6868" s="8">
        <v>6867</v>
      </c>
      <c r="B6868" s="8" t="s">
        <v>30498</v>
      </c>
      <c r="C6868" s="8" t="s">
        <v>30498</v>
      </c>
      <c r="F6868" s="47"/>
      <c r="G6868" s="8">
        <v>16</v>
      </c>
      <c r="H6868" s="8" t="s">
        <v>21</v>
      </c>
      <c r="I6868" s="8" t="s">
        <v>22</v>
      </c>
      <c r="J6868" s="8" t="s">
        <v>22</v>
      </c>
      <c r="K6868" s="8" t="s">
        <v>85</v>
      </c>
      <c r="L6868" s="8" t="s">
        <v>29246</v>
      </c>
      <c r="M6868" s="8" t="s">
        <v>29247</v>
      </c>
      <c r="N6868" s="8" t="s">
        <v>30499</v>
      </c>
      <c r="O6868" s="8">
        <f>20+10/60+30/3600</f>
        <v>20.175000000000001</v>
      </c>
      <c r="P6868" s="8" t="s">
        <v>30500</v>
      </c>
      <c r="Q6868" s="8">
        <f>-(54+47/60+3/3600)</f>
        <v>-54.784166666666664</v>
      </c>
      <c r="R6868" s="8">
        <v>13.1</v>
      </c>
      <c r="S6868" s="8">
        <v>13.9</v>
      </c>
      <c r="T6868" s="8">
        <v>0.8</v>
      </c>
      <c r="U6868" s="8">
        <v>13.3</v>
      </c>
      <c r="V6868" s="8">
        <v>2</v>
      </c>
      <c r="W6868" s="8">
        <v>0.7</v>
      </c>
      <c r="X6868" s="8">
        <v>156</v>
      </c>
      <c r="Y6868" s="8" t="s">
        <v>30501</v>
      </c>
      <c r="Z6868" s="8" t="s">
        <v>30502</v>
      </c>
    </row>
    <row r="6869" spans="1:26" x14ac:dyDescent="0.2">
      <c r="A6869" s="8">
        <v>6868</v>
      </c>
      <c r="B6869" s="8" t="s">
        <v>30503</v>
      </c>
      <c r="C6869" s="8" t="s">
        <v>30503</v>
      </c>
      <c r="F6869" s="47"/>
      <c r="G6869" s="8">
        <v>13</v>
      </c>
      <c r="H6869" s="8" t="s">
        <v>21</v>
      </c>
      <c r="I6869" s="8" t="s">
        <v>22</v>
      </c>
      <c r="J6869" s="8" t="s">
        <v>22</v>
      </c>
      <c r="K6869" s="8" t="s">
        <v>1136</v>
      </c>
      <c r="L6869" s="8" t="s">
        <v>29246</v>
      </c>
      <c r="M6869" s="8" t="s">
        <v>29247</v>
      </c>
      <c r="N6869" s="8" t="s">
        <v>30504</v>
      </c>
      <c r="O6869" s="8">
        <f>20+9/60+54/3600</f>
        <v>20.164999999999999</v>
      </c>
      <c r="P6869" s="8" t="s">
        <v>30505</v>
      </c>
      <c r="Q6869" s="8">
        <f>-(48+22/60+48/3600)</f>
        <v>-48.38</v>
      </c>
      <c r="R6869" s="8">
        <v>10.7</v>
      </c>
      <c r="S6869" s="8">
        <v>11.7</v>
      </c>
      <c r="T6869" s="8">
        <v>1</v>
      </c>
      <c r="U6869" s="8">
        <v>13.1</v>
      </c>
      <c r="V6869" s="8">
        <v>3.6</v>
      </c>
      <c r="W6869" s="8">
        <v>2.8</v>
      </c>
      <c r="X6869" s="8">
        <v>86</v>
      </c>
      <c r="Y6869" s="8" t="s">
        <v>30506</v>
      </c>
      <c r="Z6869" s="8" t="s">
        <v>30507</v>
      </c>
    </row>
    <row r="6870" spans="1:26" x14ac:dyDescent="0.2">
      <c r="A6870" s="8">
        <v>6869</v>
      </c>
      <c r="B6870" s="8" t="s">
        <v>30508</v>
      </c>
      <c r="C6870" s="8" t="s">
        <v>30508</v>
      </c>
      <c r="F6870" s="47"/>
      <c r="G6870" s="8">
        <v>19</v>
      </c>
      <c r="H6870" s="8" t="s">
        <v>21</v>
      </c>
      <c r="I6870" s="8" t="s">
        <v>22</v>
      </c>
      <c r="J6870" s="8" t="s">
        <v>22</v>
      </c>
      <c r="K6870" s="8" t="s">
        <v>37</v>
      </c>
      <c r="L6870" s="8" t="s">
        <v>13395</v>
      </c>
      <c r="M6870" s="8" t="s">
        <v>13396</v>
      </c>
      <c r="N6870" s="8" t="s">
        <v>30509</v>
      </c>
      <c r="O6870" s="8">
        <f>20+0/60+42.3/3600</f>
        <v>20.011749999999999</v>
      </c>
      <c r="P6870" s="8" t="s">
        <v>30510</v>
      </c>
      <c r="Q6870" s="8">
        <f>+(66+13/60+41/3600)</f>
        <v>66.228055555555557</v>
      </c>
      <c r="R6870" s="8">
        <v>12</v>
      </c>
      <c r="S6870" s="8">
        <v>13.1</v>
      </c>
      <c r="T6870" s="8">
        <v>1.1000000000000001</v>
      </c>
      <c r="U6870" s="8">
        <v>12.7</v>
      </c>
      <c r="V6870" s="8">
        <v>1.6</v>
      </c>
      <c r="W6870" s="8">
        <v>1.3</v>
      </c>
      <c r="X6870" s="8">
        <v>90</v>
      </c>
      <c r="Y6870" s="8" t="s">
        <v>14002</v>
      </c>
      <c r="Z6870" s="8" t="s">
        <v>14003</v>
      </c>
    </row>
    <row r="6871" spans="1:26" x14ac:dyDescent="0.2">
      <c r="A6871" s="8">
        <v>6870</v>
      </c>
      <c r="B6871" s="8" t="s">
        <v>30511</v>
      </c>
      <c r="C6871" s="8" t="s">
        <v>30511</v>
      </c>
      <c r="F6871" s="47"/>
      <c r="G6871" s="8">
        <v>16</v>
      </c>
      <c r="H6871" s="8" t="s">
        <v>21</v>
      </c>
      <c r="I6871" s="8" t="s">
        <v>22</v>
      </c>
      <c r="J6871" s="8" t="s">
        <v>22</v>
      </c>
      <c r="K6871" s="8" t="s">
        <v>31</v>
      </c>
      <c r="L6871" s="8" t="s">
        <v>29246</v>
      </c>
      <c r="M6871" s="8" t="s">
        <v>29247</v>
      </c>
      <c r="N6871" s="8" t="s">
        <v>30512</v>
      </c>
      <c r="O6871" s="8">
        <f>20+10/60+10.4/3600</f>
        <v>20.169555555555558</v>
      </c>
      <c r="P6871" s="8" t="s">
        <v>30513</v>
      </c>
      <c r="Q6871" s="8">
        <f>-(48+17/60+12/3600)</f>
        <v>-48.286666666666662</v>
      </c>
      <c r="R6871" s="8">
        <v>12.3</v>
      </c>
      <c r="S6871" s="8">
        <v>13.2</v>
      </c>
      <c r="T6871" s="8">
        <v>0.9</v>
      </c>
      <c r="U6871" s="8">
        <v>13.4</v>
      </c>
      <c r="V6871" s="8">
        <v>2.6</v>
      </c>
      <c r="W6871" s="8">
        <v>1.3</v>
      </c>
      <c r="X6871" s="8">
        <v>85</v>
      </c>
      <c r="Y6871" s="8" t="s">
        <v>30514</v>
      </c>
      <c r="Z6871" s="8" t="s">
        <v>30515</v>
      </c>
    </row>
    <row r="6872" spans="1:26" x14ac:dyDescent="0.2">
      <c r="A6872" s="8">
        <v>6871</v>
      </c>
      <c r="B6872" s="8" t="s">
        <v>30516</v>
      </c>
      <c r="C6872" s="8" t="s">
        <v>30516</v>
      </c>
      <c r="F6872" s="47"/>
      <c r="G6872" s="8">
        <v>5</v>
      </c>
      <c r="H6872" s="8" t="s">
        <v>21</v>
      </c>
      <c r="I6872" s="8" t="s">
        <v>557</v>
      </c>
      <c r="J6872" s="8" t="s">
        <v>557</v>
      </c>
      <c r="K6872" s="8" t="s">
        <v>779</v>
      </c>
      <c r="L6872" s="8" t="s">
        <v>30032</v>
      </c>
      <c r="M6872" s="8" t="s">
        <v>30033</v>
      </c>
      <c r="N6872" s="8" t="s">
        <v>30517</v>
      </c>
      <c r="O6872" s="8">
        <f>20+6/60+27/3600</f>
        <v>20.107500000000002</v>
      </c>
      <c r="P6872" s="8" t="s">
        <v>30518</v>
      </c>
      <c r="Q6872" s="8">
        <f>+(35+47/60+24/3600)</f>
        <v>35.79</v>
      </c>
      <c r="R6872" s="8">
        <v>5.2</v>
      </c>
      <c r="S6872" s="8">
        <v>99</v>
      </c>
      <c r="T6872" s="8">
        <v>99</v>
      </c>
      <c r="U6872" s="8">
        <v>99</v>
      </c>
      <c r="V6872" s="8">
        <v>30</v>
      </c>
      <c r="Y6872" s="8" t="s">
        <v>30519</v>
      </c>
      <c r="Z6872" s="8" t="s">
        <v>30520</v>
      </c>
    </row>
    <row r="6873" spans="1:26" x14ac:dyDescent="0.2">
      <c r="A6873" s="8">
        <v>6872</v>
      </c>
      <c r="B6873" s="8" t="s">
        <v>30521</v>
      </c>
      <c r="C6873" s="8" t="s">
        <v>30521</v>
      </c>
      <c r="F6873" s="47"/>
      <c r="G6873" s="8">
        <v>14</v>
      </c>
      <c r="H6873" s="8" t="s">
        <v>30522</v>
      </c>
      <c r="I6873" s="8" t="s">
        <v>22</v>
      </c>
      <c r="J6873" s="8" t="s">
        <v>22</v>
      </c>
      <c r="K6873" s="8" t="s">
        <v>5751</v>
      </c>
      <c r="L6873" s="8" t="s">
        <v>28435</v>
      </c>
      <c r="M6873" s="8" t="s">
        <v>28436</v>
      </c>
      <c r="N6873" s="8" t="s">
        <v>30523</v>
      </c>
      <c r="O6873" s="8">
        <f>20+16/60+57/3600</f>
        <v>20.282499999999999</v>
      </c>
      <c r="P6873" s="8" t="s">
        <v>30524</v>
      </c>
      <c r="Q6873" s="8">
        <f>-(70+46/60+4/3600)</f>
        <v>-70.767777777777781</v>
      </c>
      <c r="R6873" s="8">
        <v>11.8</v>
      </c>
      <c r="S6873" s="8">
        <v>12.7</v>
      </c>
      <c r="T6873" s="8">
        <v>0.9</v>
      </c>
      <c r="U6873" s="8">
        <v>14.2</v>
      </c>
      <c r="V6873" s="8">
        <v>6</v>
      </c>
      <c r="W6873" s="8">
        <v>1.5</v>
      </c>
      <c r="X6873" s="8">
        <v>66</v>
      </c>
      <c r="Y6873" s="8" t="s">
        <v>30525</v>
      </c>
      <c r="Z6873" s="8" t="s">
        <v>30526</v>
      </c>
    </row>
    <row r="6874" spans="1:26" x14ac:dyDescent="0.2">
      <c r="A6874" s="8">
        <v>6873</v>
      </c>
      <c r="B6874" s="8" t="s">
        <v>30527</v>
      </c>
      <c r="C6874" s="8" t="s">
        <v>30527</v>
      </c>
      <c r="F6874" s="47"/>
      <c r="G6874" s="8">
        <v>16</v>
      </c>
      <c r="H6874" s="8" t="s">
        <v>21</v>
      </c>
      <c r="I6874" s="8" t="s">
        <v>72</v>
      </c>
      <c r="J6874" s="8" t="s">
        <v>72</v>
      </c>
      <c r="K6874" s="8" t="s">
        <v>1405</v>
      </c>
      <c r="L6874" s="8" t="s">
        <v>30367</v>
      </c>
      <c r="M6874" s="8" t="s">
        <v>30368</v>
      </c>
      <c r="N6874" s="8" t="s">
        <v>30528</v>
      </c>
      <c r="O6874" s="8">
        <f>20+7/60+13/3600</f>
        <v>20.12027777777778</v>
      </c>
      <c r="P6874" s="8" t="s">
        <v>30529</v>
      </c>
      <c r="Q6874" s="8">
        <f>+(21+6/60+8/3600)</f>
        <v>21.102222222222224</v>
      </c>
      <c r="R6874" s="8">
        <v>99</v>
      </c>
      <c r="S6874" s="8">
        <v>99</v>
      </c>
      <c r="T6874" s="8">
        <v>99</v>
      </c>
      <c r="U6874" s="8">
        <v>99</v>
      </c>
      <c r="V6874" s="8">
        <v>14</v>
      </c>
      <c r="Y6874" s="8" t="s">
        <v>30530</v>
      </c>
      <c r="Z6874" s="8" t="s">
        <v>30531</v>
      </c>
    </row>
    <row r="6875" spans="1:26" x14ac:dyDescent="0.2">
      <c r="A6875" s="8">
        <v>6874</v>
      </c>
      <c r="B6875" s="8" t="s">
        <v>30532</v>
      </c>
      <c r="C6875" s="8" t="s">
        <v>30532</v>
      </c>
      <c r="F6875" s="47" t="s">
        <v>58257</v>
      </c>
      <c r="G6875" s="8">
        <v>15</v>
      </c>
      <c r="H6875" s="8" t="s">
        <v>21</v>
      </c>
      <c r="I6875" s="8" t="s">
        <v>557</v>
      </c>
      <c r="J6875" s="8" t="s">
        <v>557</v>
      </c>
      <c r="K6875" s="8" t="s">
        <v>30533</v>
      </c>
      <c r="L6875" s="8" t="s">
        <v>30032</v>
      </c>
      <c r="M6875" s="8" t="s">
        <v>30033</v>
      </c>
      <c r="N6875" s="8" t="s">
        <v>30534</v>
      </c>
      <c r="O6875" s="8">
        <f>20+7/60+48/3600</f>
        <v>20.13</v>
      </c>
      <c r="P6875" s="8" t="s">
        <v>30535</v>
      </c>
      <c r="Q6875" s="8">
        <f>+(38+14/60+0/3600)</f>
        <v>38.233333333333334</v>
      </c>
      <c r="R6875" s="8">
        <v>99</v>
      </c>
      <c r="S6875" s="8">
        <v>99</v>
      </c>
      <c r="T6875" s="8">
        <v>99</v>
      </c>
      <c r="U6875" s="8">
        <v>99</v>
      </c>
      <c r="V6875" s="8">
        <v>7</v>
      </c>
      <c r="Y6875" s="8" t="s">
        <v>10888</v>
      </c>
      <c r="Z6875" s="8" t="s">
        <v>10889</v>
      </c>
    </row>
    <row r="6876" spans="1:26" x14ac:dyDescent="0.2">
      <c r="A6876" s="8">
        <v>6875</v>
      </c>
      <c r="B6876" s="8" t="s">
        <v>30536</v>
      </c>
      <c r="C6876" s="8" t="s">
        <v>30536</v>
      </c>
      <c r="F6876" s="47"/>
      <c r="G6876" s="8">
        <v>13</v>
      </c>
      <c r="H6876" s="8" t="s">
        <v>21</v>
      </c>
      <c r="I6876" s="8" t="s">
        <v>22</v>
      </c>
      <c r="J6876" s="8" t="s">
        <v>22</v>
      </c>
      <c r="K6876" s="8" t="s">
        <v>118</v>
      </c>
      <c r="L6876" s="8" t="s">
        <v>29246</v>
      </c>
      <c r="M6876" s="8" t="s">
        <v>29247</v>
      </c>
      <c r="N6876" s="8" t="s">
        <v>30537</v>
      </c>
      <c r="O6876" s="8">
        <f>20+13/60+12.3/3600</f>
        <v>20.220083333333331</v>
      </c>
      <c r="P6876" s="8" t="s">
        <v>30538</v>
      </c>
      <c r="Q6876" s="8">
        <f>-(46+9/60+41/3600)</f>
        <v>-46.161388888888887</v>
      </c>
      <c r="R6876" s="8">
        <v>12.1</v>
      </c>
      <c r="S6876" s="8">
        <v>13</v>
      </c>
      <c r="T6876" s="8">
        <v>0.9</v>
      </c>
      <c r="U6876" s="8">
        <v>13.1</v>
      </c>
      <c r="V6876" s="8">
        <v>2.4</v>
      </c>
      <c r="W6876" s="8">
        <v>1.4</v>
      </c>
      <c r="X6876" s="8">
        <v>22</v>
      </c>
      <c r="Y6876" s="8" t="s">
        <v>30539</v>
      </c>
      <c r="Z6876" s="8" t="s">
        <v>30540</v>
      </c>
    </row>
    <row r="6877" spans="1:26" x14ac:dyDescent="0.2">
      <c r="A6877" s="8">
        <v>6876</v>
      </c>
      <c r="B6877" s="8" t="s">
        <v>30541</v>
      </c>
      <c r="C6877" s="8" t="s">
        <v>30541</v>
      </c>
      <c r="F6877" s="47"/>
      <c r="G6877" s="8">
        <v>10</v>
      </c>
      <c r="H6877" s="8" t="s">
        <v>21</v>
      </c>
      <c r="I6877" s="8" t="s">
        <v>22</v>
      </c>
      <c r="J6877" s="8" t="s">
        <v>22</v>
      </c>
      <c r="K6877" s="8" t="s">
        <v>382</v>
      </c>
      <c r="L6877" s="8" t="s">
        <v>28435</v>
      </c>
      <c r="M6877" s="8" t="s">
        <v>28436</v>
      </c>
      <c r="N6877" s="8" t="s">
        <v>30542</v>
      </c>
      <c r="O6877" s="8">
        <f>20+18/60+19.1/3600</f>
        <v>20.305305555555556</v>
      </c>
      <c r="P6877" s="8" t="s">
        <v>30543</v>
      </c>
      <c r="Q6877" s="8">
        <f>-(70+51/60+30/3600)</f>
        <v>-70.858333333333334</v>
      </c>
      <c r="R6877" s="8">
        <v>11.3</v>
      </c>
      <c r="S6877" s="8">
        <v>12.1</v>
      </c>
      <c r="T6877" s="8">
        <v>0.8</v>
      </c>
      <c r="U6877" s="8">
        <v>13.2</v>
      </c>
      <c r="V6877" s="8">
        <v>2.7</v>
      </c>
      <c r="W6877" s="8">
        <v>2.4</v>
      </c>
      <c r="X6877" s="8">
        <v>80</v>
      </c>
      <c r="Y6877" s="8" t="s">
        <v>30544</v>
      </c>
      <c r="Z6877" s="8" t="s">
        <v>30545</v>
      </c>
    </row>
    <row r="6878" spans="1:26" x14ac:dyDescent="0.2">
      <c r="A6878" s="8">
        <v>6877</v>
      </c>
      <c r="B6878" s="8" t="s">
        <v>30546</v>
      </c>
      <c r="C6878" s="8" t="s">
        <v>30546</v>
      </c>
      <c r="F6878" s="47"/>
      <c r="G6878" s="8">
        <v>16</v>
      </c>
      <c r="H6878" s="8" t="s">
        <v>21</v>
      </c>
      <c r="I6878" s="8" t="s">
        <v>22</v>
      </c>
      <c r="J6878" s="8" t="s">
        <v>22</v>
      </c>
      <c r="K6878" s="8" t="s">
        <v>3850</v>
      </c>
      <c r="L6878" s="8" t="s">
        <v>28435</v>
      </c>
      <c r="M6878" s="8" t="s">
        <v>28436</v>
      </c>
      <c r="N6878" s="8" t="s">
        <v>30547</v>
      </c>
      <c r="O6878" s="8">
        <f>20+18/60+35.9/3600</f>
        <v>20.309972222222221</v>
      </c>
      <c r="P6878" s="8" t="s">
        <v>30548</v>
      </c>
      <c r="Q6878" s="8">
        <f>-(70+51/60+10/3600)</f>
        <v>-70.852777777777774</v>
      </c>
      <c r="R6878" s="8">
        <v>12.2</v>
      </c>
      <c r="S6878" s="8">
        <v>13.2</v>
      </c>
      <c r="T6878" s="8">
        <v>1</v>
      </c>
      <c r="U6878" s="8">
        <v>12.6</v>
      </c>
      <c r="V6878" s="8">
        <v>1.1000000000000001</v>
      </c>
      <c r="W6878" s="8">
        <v>0.6</v>
      </c>
      <c r="X6878" s="8">
        <v>169</v>
      </c>
      <c r="Y6878" s="8" t="s">
        <v>3425</v>
      </c>
      <c r="Z6878" s="8" t="s">
        <v>3426</v>
      </c>
    </row>
    <row r="6879" spans="1:26" x14ac:dyDescent="0.2">
      <c r="A6879" s="8">
        <v>6878</v>
      </c>
      <c r="B6879" s="8" t="s">
        <v>30549</v>
      </c>
      <c r="C6879" s="8" t="s">
        <v>30549</v>
      </c>
      <c r="F6879" s="47"/>
      <c r="G6879" s="8">
        <v>13</v>
      </c>
      <c r="H6879" s="8" t="s">
        <v>21</v>
      </c>
      <c r="I6879" s="8" t="s">
        <v>22</v>
      </c>
      <c r="J6879" s="8" t="s">
        <v>22</v>
      </c>
      <c r="K6879" s="8" t="s">
        <v>218</v>
      </c>
      <c r="L6879" s="8" t="s">
        <v>28576</v>
      </c>
      <c r="M6879" s="8" t="s">
        <v>28577</v>
      </c>
      <c r="N6879" s="8" t="s">
        <v>30550</v>
      </c>
      <c r="O6879" s="8">
        <f>20+13/60+53.2/3600</f>
        <v>20.231444444444442</v>
      </c>
      <c r="P6879" s="8" t="s">
        <v>30551</v>
      </c>
      <c r="Q6879" s="8">
        <f>-(44+31/60+36/3600)</f>
        <v>-44.526666666666664</v>
      </c>
      <c r="R6879" s="8">
        <v>12.7</v>
      </c>
      <c r="S6879" s="8">
        <v>13.5</v>
      </c>
      <c r="T6879" s="8">
        <v>0.8</v>
      </c>
      <c r="U6879" s="8">
        <v>13.3</v>
      </c>
      <c r="V6879" s="8">
        <v>1.6</v>
      </c>
      <c r="W6879" s="8">
        <v>1.3</v>
      </c>
      <c r="X6879" s="8">
        <v>111</v>
      </c>
      <c r="Y6879" s="8" t="s">
        <v>1973</v>
      </c>
      <c r="Z6879" s="8" t="s">
        <v>1974</v>
      </c>
    </row>
    <row r="6880" spans="1:26" x14ac:dyDescent="0.2">
      <c r="A6880" s="8">
        <v>6879</v>
      </c>
      <c r="B6880" s="8" t="s">
        <v>30552</v>
      </c>
      <c r="C6880" s="8" t="s">
        <v>30552</v>
      </c>
      <c r="F6880" s="47"/>
      <c r="G6880" s="8">
        <v>13</v>
      </c>
      <c r="H6880" s="8" t="s">
        <v>21</v>
      </c>
      <c r="I6880" s="8" t="s">
        <v>241</v>
      </c>
      <c r="J6880" s="8" t="s">
        <v>241</v>
      </c>
      <c r="K6880" s="8" t="s">
        <v>241</v>
      </c>
      <c r="L6880" s="8" t="s">
        <v>30367</v>
      </c>
      <c r="M6880" s="8" t="s">
        <v>30368</v>
      </c>
      <c r="N6880" s="8" t="s">
        <v>30553</v>
      </c>
      <c r="O6880" s="8">
        <f>20+10/60+26.6/3600</f>
        <v>20.174055555555558</v>
      </c>
      <c r="P6880" s="8" t="s">
        <v>30554</v>
      </c>
      <c r="Q6880" s="8">
        <f>+(16+55/60+25/3600)</f>
        <v>16.923611111111111</v>
      </c>
      <c r="R6880" s="8">
        <v>12.5</v>
      </c>
      <c r="S6880" s="8">
        <v>13</v>
      </c>
      <c r="T6880" s="8">
        <v>99</v>
      </c>
      <c r="U6880" s="8">
        <v>99</v>
      </c>
      <c r="V6880" s="8">
        <v>0.15</v>
      </c>
      <c r="Y6880" s="8" t="s">
        <v>30555</v>
      </c>
      <c r="Z6880" s="8" t="s">
        <v>30556</v>
      </c>
    </row>
    <row r="6881" spans="1:26" x14ac:dyDescent="0.2">
      <c r="A6881" s="8">
        <v>6880</v>
      </c>
      <c r="B6881" s="8" t="s">
        <v>30557</v>
      </c>
      <c r="C6881" s="8" t="s">
        <v>30557</v>
      </c>
      <c r="F6881" s="47"/>
      <c r="G6881" s="8">
        <v>16</v>
      </c>
      <c r="H6881" s="8" t="s">
        <v>21</v>
      </c>
      <c r="I6881" s="8" t="s">
        <v>22</v>
      </c>
      <c r="J6881" s="8" t="s">
        <v>22</v>
      </c>
      <c r="K6881" s="8" t="s">
        <v>435</v>
      </c>
      <c r="L6881" s="8" t="s">
        <v>28435</v>
      </c>
      <c r="M6881" s="8" t="s">
        <v>28436</v>
      </c>
      <c r="N6881" s="8" t="s">
        <v>30558</v>
      </c>
      <c r="O6881" s="8">
        <f>20+19/60+29.6/3600</f>
        <v>20.324888888888889</v>
      </c>
      <c r="P6881" s="8" t="s">
        <v>30559</v>
      </c>
      <c r="Q6881" s="8">
        <f>-(70+51/60+34/3600)</f>
        <v>-70.859444444444435</v>
      </c>
      <c r="R6881" s="8">
        <v>12.1</v>
      </c>
      <c r="S6881" s="8">
        <v>13</v>
      </c>
      <c r="T6881" s="8">
        <v>0.9</v>
      </c>
      <c r="U6881" s="8">
        <v>12.6</v>
      </c>
      <c r="V6881" s="8">
        <v>2</v>
      </c>
      <c r="W6881" s="8">
        <v>0.9</v>
      </c>
      <c r="X6881" s="8">
        <v>35</v>
      </c>
      <c r="Y6881" s="8" t="s">
        <v>30560</v>
      </c>
      <c r="Z6881" s="8" t="s">
        <v>30561</v>
      </c>
    </row>
    <row r="6882" spans="1:26" x14ac:dyDescent="0.2">
      <c r="A6882" s="8">
        <v>6881</v>
      </c>
      <c r="B6882" s="8" t="s">
        <v>30562</v>
      </c>
      <c r="C6882" s="8" t="s">
        <v>30562</v>
      </c>
      <c r="F6882" s="47"/>
      <c r="G6882" s="8">
        <v>13</v>
      </c>
      <c r="H6882" s="8" t="s">
        <v>21</v>
      </c>
      <c r="I6882" s="8" t="s">
        <v>241</v>
      </c>
      <c r="J6882" s="8" t="s">
        <v>241</v>
      </c>
      <c r="K6882" s="8" t="s">
        <v>241</v>
      </c>
      <c r="L6882" s="8" t="s">
        <v>30032</v>
      </c>
      <c r="M6882" s="8" t="s">
        <v>30033</v>
      </c>
      <c r="N6882" s="8" t="s">
        <v>30563</v>
      </c>
      <c r="O6882" s="8">
        <f>20+10/60+52.5/3600</f>
        <v>20.181250000000002</v>
      </c>
      <c r="P6882" s="8" t="s">
        <v>30564</v>
      </c>
      <c r="Q6882" s="8">
        <f>+(37+24/60+44/3600)</f>
        <v>37.412222222222219</v>
      </c>
      <c r="R6882" s="8">
        <v>13.9</v>
      </c>
      <c r="S6882" s="8">
        <v>14.3</v>
      </c>
      <c r="T6882" s="8">
        <v>99</v>
      </c>
      <c r="U6882" s="8">
        <v>99</v>
      </c>
      <c r="V6882" s="8">
        <v>0.27</v>
      </c>
      <c r="Y6882" s="8" t="s">
        <v>27387</v>
      </c>
      <c r="Z6882" s="8" t="s">
        <v>27388</v>
      </c>
    </row>
    <row r="6883" spans="1:26" x14ac:dyDescent="0.2">
      <c r="A6883" s="8">
        <v>6882</v>
      </c>
      <c r="B6883" s="8" t="s">
        <v>30565</v>
      </c>
      <c r="C6883" s="8" t="s">
        <v>30565</v>
      </c>
      <c r="F6883" s="47" t="s">
        <v>58258</v>
      </c>
      <c r="G6883" s="8">
        <v>6</v>
      </c>
      <c r="H6883" s="8" t="s">
        <v>21</v>
      </c>
      <c r="I6883" s="8" t="s">
        <v>557</v>
      </c>
      <c r="J6883" s="8" t="s">
        <v>57</v>
      </c>
      <c r="K6883" s="8" t="s">
        <v>987</v>
      </c>
      <c r="L6883" s="8" t="s">
        <v>30153</v>
      </c>
      <c r="M6883" s="8" t="s">
        <v>30154</v>
      </c>
      <c r="N6883" s="8" t="s">
        <v>30566</v>
      </c>
      <c r="O6883" s="8">
        <f>20+11/60+58/3600</f>
        <v>20.199444444444445</v>
      </c>
      <c r="P6883" s="8" t="s">
        <v>30567</v>
      </c>
      <c r="Q6883" s="8">
        <f>+(26+29/60+0/3600)</f>
        <v>26.483333333333334</v>
      </c>
      <c r="R6883" s="8">
        <v>8.1</v>
      </c>
      <c r="S6883" s="8">
        <v>99</v>
      </c>
      <c r="T6883" s="8">
        <v>99</v>
      </c>
      <c r="U6883" s="8">
        <v>99</v>
      </c>
      <c r="V6883" s="8">
        <v>20</v>
      </c>
      <c r="Y6883" s="8" t="s">
        <v>10888</v>
      </c>
      <c r="Z6883" s="8" t="s">
        <v>10889</v>
      </c>
    </row>
    <row r="6884" spans="1:26" x14ac:dyDescent="0.2">
      <c r="A6884" s="8">
        <v>6883</v>
      </c>
      <c r="B6884" s="8" t="s">
        <v>30568</v>
      </c>
      <c r="C6884" s="8" t="s">
        <v>30568</v>
      </c>
      <c r="F6884" s="47"/>
      <c r="G6884" s="8">
        <v>5</v>
      </c>
      <c r="H6884" s="8" t="s">
        <v>21</v>
      </c>
      <c r="I6884" s="8" t="s">
        <v>557</v>
      </c>
      <c r="J6884" s="8" t="s">
        <v>557</v>
      </c>
      <c r="K6884" s="8" t="s">
        <v>3082</v>
      </c>
      <c r="L6884" s="8" t="s">
        <v>30032</v>
      </c>
      <c r="M6884" s="8" t="s">
        <v>30033</v>
      </c>
      <c r="N6884" s="8" t="s">
        <v>30569</v>
      </c>
      <c r="O6884" s="8">
        <f>20+11/60+18/3600</f>
        <v>20.188333333333333</v>
      </c>
      <c r="P6884" s="8" t="s">
        <v>30570</v>
      </c>
      <c r="Q6884" s="8">
        <f>+(35+51/60+0/3600)</f>
        <v>35.85</v>
      </c>
      <c r="R6884" s="8">
        <v>8</v>
      </c>
      <c r="S6884" s="8">
        <v>99</v>
      </c>
      <c r="T6884" s="8">
        <v>99</v>
      </c>
      <c r="U6884" s="8">
        <v>99</v>
      </c>
      <c r="V6884" s="8">
        <v>35</v>
      </c>
      <c r="Y6884" s="8" t="s">
        <v>30571</v>
      </c>
      <c r="Z6884" s="8" t="s">
        <v>30572</v>
      </c>
    </row>
    <row r="6885" spans="1:26" x14ac:dyDescent="0.2">
      <c r="A6885" s="8">
        <v>6884</v>
      </c>
      <c r="B6885" s="8" t="s">
        <v>30573</v>
      </c>
      <c r="C6885" s="8" t="s">
        <v>30573</v>
      </c>
      <c r="F6885" s="47"/>
      <c r="G6885" s="8">
        <v>5</v>
      </c>
      <c r="H6885" s="8" t="s">
        <v>21</v>
      </c>
      <c r="I6885" s="8" t="s">
        <v>241</v>
      </c>
      <c r="J6885" s="8" t="s">
        <v>57</v>
      </c>
      <c r="K6885" s="8" t="s">
        <v>241</v>
      </c>
      <c r="L6885" s="8" t="s">
        <v>30032</v>
      </c>
      <c r="M6885" s="8" t="s">
        <v>30033</v>
      </c>
      <c r="N6885" s="8" t="s">
        <v>30042</v>
      </c>
      <c r="O6885" s="8">
        <f>20+10/60+23.7/3600</f>
        <v>20.173249999999999</v>
      </c>
      <c r="P6885" s="8" t="s">
        <v>30043</v>
      </c>
      <c r="Q6885" s="8">
        <f>+(46+27/60+42/3600)</f>
        <v>46.461666666666666</v>
      </c>
      <c r="R6885" s="8">
        <v>10.9</v>
      </c>
      <c r="S6885" s="8">
        <v>12.6</v>
      </c>
      <c r="T6885" s="8">
        <v>99</v>
      </c>
      <c r="U6885" s="8">
        <v>99</v>
      </c>
      <c r="V6885" s="8">
        <v>0.25</v>
      </c>
      <c r="Y6885" s="8" t="s">
        <v>27387</v>
      </c>
      <c r="Z6885" s="8" t="s">
        <v>27388</v>
      </c>
    </row>
    <row r="6886" spans="1:26" x14ac:dyDescent="0.2">
      <c r="A6886" s="8">
        <v>6885</v>
      </c>
      <c r="B6886" s="8" t="s">
        <v>30574</v>
      </c>
      <c r="C6886" s="8" t="s">
        <v>30574</v>
      </c>
      <c r="F6886" s="47" t="s">
        <v>58259</v>
      </c>
      <c r="G6886" s="8">
        <v>2</v>
      </c>
      <c r="H6886" s="8" t="s">
        <v>30575</v>
      </c>
      <c r="I6886" s="8" t="s">
        <v>557</v>
      </c>
      <c r="J6886" s="8" t="s">
        <v>557</v>
      </c>
      <c r="K6886" s="8" t="s">
        <v>987</v>
      </c>
      <c r="L6886" s="8" t="s">
        <v>30153</v>
      </c>
      <c r="M6886" s="8" t="s">
        <v>30154</v>
      </c>
      <c r="N6886" s="8" t="s">
        <v>30566</v>
      </c>
      <c r="O6886" s="8">
        <f>20+11/60+58/3600</f>
        <v>20.199444444444445</v>
      </c>
      <c r="P6886" s="8" t="s">
        <v>30567</v>
      </c>
      <c r="Q6886" s="8">
        <f>+(26+29/60+0/3600)</f>
        <v>26.483333333333334</v>
      </c>
      <c r="R6886" s="8">
        <v>8.1</v>
      </c>
      <c r="S6886" s="8">
        <v>99</v>
      </c>
      <c r="T6886" s="8">
        <v>99</v>
      </c>
      <c r="U6886" s="8">
        <v>99</v>
      </c>
      <c r="V6886" s="8">
        <v>20</v>
      </c>
      <c r="Y6886" s="8" t="s">
        <v>10888</v>
      </c>
      <c r="Z6886" s="8" t="s">
        <v>30576</v>
      </c>
    </row>
    <row r="6887" spans="1:26" x14ac:dyDescent="0.2">
      <c r="A6887" s="8">
        <v>6886</v>
      </c>
      <c r="B6887" s="8" t="s">
        <v>30577</v>
      </c>
      <c r="C6887" s="8" t="s">
        <v>30577</v>
      </c>
      <c r="F6887" s="47"/>
      <c r="G6887" s="8">
        <v>5</v>
      </c>
      <c r="H6887" s="8" t="s">
        <v>21</v>
      </c>
      <c r="I6887" s="8" t="s">
        <v>241</v>
      </c>
      <c r="J6887" s="8" t="s">
        <v>241</v>
      </c>
      <c r="K6887" s="8" t="s">
        <v>241</v>
      </c>
      <c r="L6887" s="8" t="s">
        <v>30367</v>
      </c>
      <c r="M6887" s="8" t="s">
        <v>30368</v>
      </c>
      <c r="N6887" s="8" t="s">
        <v>30578</v>
      </c>
      <c r="O6887" s="8">
        <f>20+12/60+42.8/3600</f>
        <v>20.21188888888889</v>
      </c>
      <c r="P6887" s="8" t="s">
        <v>30579</v>
      </c>
      <c r="Q6887" s="8">
        <f>+(19+59/60+24/3600)</f>
        <v>19.990000000000002</v>
      </c>
      <c r="R6887" s="8">
        <v>11.4</v>
      </c>
      <c r="S6887" s="8">
        <v>12.2</v>
      </c>
      <c r="T6887" s="8">
        <v>99</v>
      </c>
      <c r="U6887" s="8">
        <v>99</v>
      </c>
      <c r="V6887" s="8">
        <v>0.17</v>
      </c>
      <c r="Y6887" s="8" t="s">
        <v>30580</v>
      </c>
      <c r="Z6887" s="8" t="s">
        <v>30581</v>
      </c>
    </row>
    <row r="6888" spans="1:26" x14ac:dyDescent="0.2">
      <c r="A6888" s="8">
        <v>6887</v>
      </c>
      <c r="B6888" s="8" t="s">
        <v>30582</v>
      </c>
      <c r="C6888" s="8" t="s">
        <v>30582</v>
      </c>
      <c r="F6888" s="47"/>
      <c r="G6888" s="8">
        <v>13</v>
      </c>
      <c r="H6888" s="8" t="s">
        <v>21</v>
      </c>
      <c r="I6888" s="8" t="s">
        <v>22</v>
      </c>
      <c r="J6888" s="8" t="s">
        <v>22</v>
      </c>
      <c r="K6888" s="8" t="s">
        <v>396</v>
      </c>
      <c r="L6888" s="8" t="s">
        <v>29246</v>
      </c>
      <c r="M6888" s="8" t="s">
        <v>29247</v>
      </c>
      <c r="N6888" s="8" t="s">
        <v>30583</v>
      </c>
      <c r="O6888" s="8">
        <f>20+17/60+17/3600</f>
        <v>20.288055555555559</v>
      </c>
      <c r="P6888" s="8" t="s">
        <v>30584</v>
      </c>
      <c r="Q6888" s="8">
        <f>-(52+47/60+50/3600)</f>
        <v>-52.797222222222217</v>
      </c>
      <c r="R6888" s="8">
        <v>12.1</v>
      </c>
      <c r="S6888" s="8">
        <v>12.8</v>
      </c>
      <c r="T6888" s="8">
        <v>0.7</v>
      </c>
      <c r="U6888" s="8">
        <v>13.6</v>
      </c>
      <c r="V6888" s="8">
        <v>3.2</v>
      </c>
      <c r="W6888" s="8">
        <v>1.3</v>
      </c>
      <c r="X6888" s="8">
        <v>102</v>
      </c>
      <c r="Y6888" s="8" t="s">
        <v>30585</v>
      </c>
      <c r="Z6888" s="8" t="s">
        <v>30586</v>
      </c>
    </row>
    <row r="6889" spans="1:26" x14ac:dyDescent="0.2">
      <c r="A6889" s="8">
        <v>6888</v>
      </c>
      <c r="B6889" s="8" t="s">
        <v>30587</v>
      </c>
      <c r="C6889" s="8" t="s">
        <v>30587</v>
      </c>
      <c r="F6889" s="47" t="s">
        <v>58260</v>
      </c>
      <c r="G6889" s="8">
        <v>2</v>
      </c>
      <c r="H6889" s="8" t="s">
        <v>30588</v>
      </c>
      <c r="I6889" s="8" t="s">
        <v>1283</v>
      </c>
      <c r="J6889" s="8" t="s">
        <v>1283</v>
      </c>
      <c r="K6889" s="8" t="s">
        <v>1284</v>
      </c>
      <c r="L6889" s="8" t="s">
        <v>30032</v>
      </c>
      <c r="M6889" s="8" t="s">
        <v>30033</v>
      </c>
      <c r="N6889" s="8" t="s">
        <v>30589</v>
      </c>
      <c r="O6889" s="8">
        <f>20+12/60+6.5/3600</f>
        <v>20.201805555555556</v>
      </c>
      <c r="P6889" s="8" t="s">
        <v>30590</v>
      </c>
      <c r="Q6889" s="8">
        <f>+(38+21/60+18/3600)</f>
        <v>38.355000000000004</v>
      </c>
      <c r="R6889" s="8">
        <v>99</v>
      </c>
      <c r="S6889" s="8">
        <v>10</v>
      </c>
      <c r="T6889" s="8">
        <v>99</v>
      </c>
      <c r="U6889" s="8">
        <v>99</v>
      </c>
      <c r="V6889" s="8">
        <v>18</v>
      </c>
      <c r="W6889" s="8">
        <v>13</v>
      </c>
      <c r="Y6889" s="8" t="s">
        <v>30591</v>
      </c>
      <c r="Z6889" s="8" t="s">
        <v>30592</v>
      </c>
    </row>
    <row r="6890" spans="1:26" x14ac:dyDescent="0.2">
      <c r="A6890" s="8">
        <v>6889</v>
      </c>
      <c r="B6890" s="8" t="s">
        <v>30593</v>
      </c>
      <c r="C6890" s="8" t="s">
        <v>30593</v>
      </c>
      <c r="F6890" s="47"/>
      <c r="G6890" s="8">
        <v>16</v>
      </c>
      <c r="H6890" s="8" t="s">
        <v>21</v>
      </c>
      <c r="I6890" s="8" t="s">
        <v>22</v>
      </c>
      <c r="J6890" s="8" t="s">
        <v>22</v>
      </c>
      <c r="K6890" s="8" t="s">
        <v>85</v>
      </c>
      <c r="L6890" s="8" t="s">
        <v>29246</v>
      </c>
      <c r="M6890" s="8" t="s">
        <v>29247</v>
      </c>
      <c r="N6890" s="8" t="s">
        <v>30594</v>
      </c>
      <c r="O6890" s="8">
        <f>20+18/60+53.3/3600</f>
        <v>20.314805555555555</v>
      </c>
      <c r="P6890" s="8" t="s">
        <v>30595</v>
      </c>
      <c r="Q6890" s="8">
        <f>-(53+57/60+24/3600)</f>
        <v>-53.956666666666671</v>
      </c>
      <c r="R6890" s="8">
        <v>12.9</v>
      </c>
      <c r="S6890" s="8">
        <v>13.7</v>
      </c>
      <c r="T6890" s="8">
        <v>0.8</v>
      </c>
      <c r="U6890" s="8">
        <v>12.2</v>
      </c>
      <c r="V6890" s="8">
        <v>0.9</v>
      </c>
      <c r="W6890" s="8">
        <v>0.7</v>
      </c>
      <c r="X6890" s="8">
        <v>63</v>
      </c>
      <c r="Y6890" s="8" t="s">
        <v>30596</v>
      </c>
      <c r="Z6890" s="8" t="s">
        <v>30597</v>
      </c>
    </row>
    <row r="6891" spans="1:26" x14ac:dyDescent="0.2">
      <c r="A6891" s="8">
        <v>6890</v>
      </c>
      <c r="B6891" s="8" t="s">
        <v>30598</v>
      </c>
      <c r="C6891" s="8" t="s">
        <v>30598</v>
      </c>
      <c r="F6891" s="47"/>
      <c r="G6891" s="8">
        <v>13</v>
      </c>
      <c r="H6891" s="8" t="s">
        <v>21</v>
      </c>
      <c r="I6891" s="8" t="s">
        <v>22</v>
      </c>
      <c r="J6891" s="8" t="s">
        <v>22</v>
      </c>
      <c r="K6891" s="8" t="s">
        <v>218</v>
      </c>
      <c r="L6891" s="8" t="s">
        <v>28576</v>
      </c>
      <c r="M6891" s="8" t="s">
        <v>28577</v>
      </c>
      <c r="N6891" s="8" t="s">
        <v>30599</v>
      </c>
      <c r="O6891" s="8">
        <f>20+18/60+18/3600</f>
        <v>20.305</v>
      </c>
      <c r="P6891" s="8" t="s">
        <v>30600</v>
      </c>
      <c r="Q6891" s="8">
        <f>-(44+48/60+23/3600)</f>
        <v>-44.806388888888883</v>
      </c>
      <c r="R6891" s="8">
        <v>12.3</v>
      </c>
      <c r="S6891" s="8">
        <v>13</v>
      </c>
      <c r="T6891" s="8">
        <v>0.7</v>
      </c>
      <c r="U6891" s="8">
        <v>12.8</v>
      </c>
      <c r="V6891" s="8">
        <v>1.6</v>
      </c>
      <c r="W6891" s="8">
        <v>1.3</v>
      </c>
      <c r="X6891" s="8">
        <v>152</v>
      </c>
      <c r="Y6891" s="8" t="s">
        <v>30601</v>
      </c>
      <c r="Z6891" s="8" t="s">
        <v>30602</v>
      </c>
    </row>
    <row r="6892" spans="1:26" x14ac:dyDescent="0.2">
      <c r="A6892" s="8">
        <v>6891</v>
      </c>
      <c r="B6892" s="8" t="s">
        <v>30603</v>
      </c>
      <c r="C6892" s="8" t="s">
        <v>30603</v>
      </c>
      <c r="F6892" s="47"/>
      <c r="G6892" s="8">
        <v>5</v>
      </c>
      <c r="H6892" s="8" t="s">
        <v>21</v>
      </c>
      <c r="I6892" s="8" t="s">
        <v>241</v>
      </c>
      <c r="J6892" s="8" t="s">
        <v>241</v>
      </c>
      <c r="K6892" s="8" t="s">
        <v>241</v>
      </c>
      <c r="L6892" s="8" t="s">
        <v>30604</v>
      </c>
      <c r="M6892" s="8" t="s">
        <v>30605</v>
      </c>
      <c r="N6892" s="8" t="s">
        <v>30606</v>
      </c>
      <c r="O6892" s="8">
        <f>20+15/60+8.9/3600</f>
        <v>20.252472222222224</v>
      </c>
      <c r="P6892" s="8" t="s">
        <v>30607</v>
      </c>
      <c r="Q6892" s="8">
        <f>+(12+42/60+17/3600)</f>
        <v>12.704722222222221</v>
      </c>
      <c r="R6892" s="8">
        <v>10.5</v>
      </c>
      <c r="S6892" s="8">
        <v>11.7</v>
      </c>
      <c r="T6892" s="8">
        <v>99</v>
      </c>
      <c r="U6892" s="8">
        <v>99</v>
      </c>
      <c r="V6892" s="8">
        <v>0.35</v>
      </c>
      <c r="Y6892" s="8" t="s">
        <v>30608</v>
      </c>
      <c r="Z6892" s="8" t="s">
        <v>30609</v>
      </c>
    </row>
    <row r="6893" spans="1:26" x14ac:dyDescent="0.2">
      <c r="A6893" s="8">
        <v>6892</v>
      </c>
      <c r="B6893" s="8" t="s">
        <v>30610</v>
      </c>
      <c r="C6893" s="8" t="s">
        <v>30610</v>
      </c>
      <c r="F6893" s="47"/>
      <c r="G6893" s="8">
        <v>18</v>
      </c>
      <c r="H6893" s="8" t="s">
        <v>21</v>
      </c>
      <c r="I6893" s="8" t="s">
        <v>72</v>
      </c>
      <c r="J6893" s="8" t="s">
        <v>72</v>
      </c>
      <c r="K6893" s="8" t="s">
        <v>5802</v>
      </c>
      <c r="L6893" s="8" t="s">
        <v>30367</v>
      </c>
      <c r="M6893" s="8" t="s">
        <v>30368</v>
      </c>
      <c r="N6893" s="8" t="s">
        <v>30611</v>
      </c>
      <c r="O6893" s="8">
        <f>20+16/60+57.1/3600</f>
        <v>20.282527777777776</v>
      </c>
      <c r="P6893" s="8" t="s">
        <v>30612</v>
      </c>
      <c r="Q6893" s="8">
        <f>+(18+1/60+12/3600)</f>
        <v>18.02</v>
      </c>
      <c r="R6893" s="8">
        <v>99</v>
      </c>
      <c r="S6893" s="8">
        <v>99</v>
      </c>
      <c r="T6893" s="8">
        <v>99</v>
      </c>
      <c r="U6893" s="8">
        <v>99</v>
      </c>
      <c r="Y6893" s="8" t="s">
        <v>30613</v>
      </c>
      <c r="Z6893" s="8" t="s">
        <v>30614</v>
      </c>
    </row>
    <row r="6894" spans="1:26" x14ac:dyDescent="0.2">
      <c r="A6894" s="8">
        <v>6893</v>
      </c>
      <c r="B6894" s="8" t="s">
        <v>30615</v>
      </c>
      <c r="C6894" s="8" t="s">
        <v>30615</v>
      </c>
      <c r="F6894" s="47"/>
      <c r="G6894" s="8">
        <v>13</v>
      </c>
      <c r="H6894" s="8" t="s">
        <v>21</v>
      </c>
      <c r="I6894" s="8" t="s">
        <v>22</v>
      </c>
      <c r="J6894" s="8" t="s">
        <v>22</v>
      </c>
      <c r="K6894" s="8" t="s">
        <v>224</v>
      </c>
      <c r="L6894" s="8" t="s">
        <v>29246</v>
      </c>
      <c r="M6894" s="8" t="s">
        <v>29247</v>
      </c>
      <c r="N6894" s="8" t="s">
        <v>30616</v>
      </c>
      <c r="O6894" s="8">
        <f>20+20/60+49.6/3600</f>
        <v>20.347111111111111</v>
      </c>
      <c r="P6894" s="8" t="s">
        <v>30617</v>
      </c>
      <c r="Q6894" s="8">
        <f>-(48+14/60+22/3600)</f>
        <v>-48.239444444444445</v>
      </c>
      <c r="R6894" s="8">
        <v>11.8</v>
      </c>
      <c r="S6894" s="8">
        <v>12.8</v>
      </c>
      <c r="T6894" s="8">
        <v>1</v>
      </c>
      <c r="U6894" s="8">
        <v>13.3</v>
      </c>
      <c r="V6894" s="8">
        <v>2.6</v>
      </c>
      <c r="W6894" s="8">
        <v>1.7</v>
      </c>
      <c r="X6894" s="8">
        <v>10</v>
      </c>
      <c r="Y6894" s="8" t="s">
        <v>30618</v>
      </c>
      <c r="Z6894" s="8" t="s">
        <v>30619</v>
      </c>
    </row>
    <row r="6895" spans="1:26" x14ac:dyDescent="0.2">
      <c r="A6895" s="8">
        <v>6894</v>
      </c>
      <c r="B6895" s="8" t="s">
        <v>30620</v>
      </c>
      <c r="C6895" s="8" t="s">
        <v>30620</v>
      </c>
      <c r="F6895" s="47" t="s">
        <v>58261</v>
      </c>
      <c r="G6895" s="8">
        <v>6.5</v>
      </c>
      <c r="H6895" s="8" t="s">
        <v>30621</v>
      </c>
      <c r="I6895" s="8" t="s">
        <v>241</v>
      </c>
      <c r="J6895" s="8" t="s">
        <v>241</v>
      </c>
      <c r="K6895" s="8" t="s">
        <v>241</v>
      </c>
      <c r="L6895" s="8" t="s">
        <v>30032</v>
      </c>
      <c r="M6895" s="8" t="s">
        <v>30033</v>
      </c>
      <c r="N6895" s="8" t="s">
        <v>30622</v>
      </c>
      <c r="O6895" s="8">
        <f>20+16/60+24/3600</f>
        <v>20.273333333333333</v>
      </c>
      <c r="P6895" s="8" t="s">
        <v>30623</v>
      </c>
      <c r="Q6895" s="8">
        <f>+(30+33/60+57/3600)</f>
        <v>30.565833333333334</v>
      </c>
      <c r="R6895" s="8">
        <v>12.3</v>
      </c>
      <c r="S6895" s="8">
        <v>14.4</v>
      </c>
      <c r="T6895" s="8">
        <v>99</v>
      </c>
      <c r="U6895" s="8">
        <v>99</v>
      </c>
      <c r="V6895" s="8">
        <v>0.92</v>
      </c>
      <c r="Y6895" s="8" t="s">
        <v>30624</v>
      </c>
      <c r="Z6895" s="8" t="s">
        <v>30625</v>
      </c>
    </row>
    <row r="6896" spans="1:26" x14ac:dyDescent="0.2">
      <c r="A6896" s="8">
        <v>6895</v>
      </c>
      <c r="B6896" s="8" t="s">
        <v>30626</v>
      </c>
      <c r="C6896" s="8" t="s">
        <v>30626</v>
      </c>
      <c r="F6896" s="47" t="s">
        <v>58262</v>
      </c>
      <c r="G6896" s="8">
        <v>15</v>
      </c>
      <c r="H6896" s="8" t="s">
        <v>21</v>
      </c>
      <c r="I6896" s="8" t="s">
        <v>72</v>
      </c>
      <c r="J6896" s="8" t="s">
        <v>72</v>
      </c>
      <c r="K6896" s="8" t="s">
        <v>1405</v>
      </c>
      <c r="L6896" s="8" t="s">
        <v>30032</v>
      </c>
      <c r="M6896" s="8" t="s">
        <v>30033</v>
      </c>
      <c r="N6896" s="8" t="s">
        <v>30627</v>
      </c>
      <c r="O6896" s="8">
        <f>20+16/60+32/3600</f>
        <v>20.275555555555556</v>
      </c>
      <c r="P6896" s="8" t="s">
        <v>30628</v>
      </c>
      <c r="Q6896" s="8">
        <f>+(50+14/60+24/3600)</f>
        <v>50.24</v>
      </c>
      <c r="R6896" s="8">
        <v>99</v>
      </c>
      <c r="S6896" s="8">
        <v>99</v>
      </c>
      <c r="T6896" s="8">
        <v>99</v>
      </c>
      <c r="U6896" s="8">
        <v>99</v>
      </c>
      <c r="V6896" s="8">
        <v>15</v>
      </c>
      <c r="Y6896" s="8" t="s">
        <v>18457</v>
      </c>
      <c r="Z6896" s="8" t="s">
        <v>16376</v>
      </c>
    </row>
    <row r="6897" spans="1:26" x14ac:dyDescent="0.2">
      <c r="A6897" s="8">
        <v>6896</v>
      </c>
      <c r="B6897" s="8" t="s">
        <v>30629</v>
      </c>
      <c r="C6897" s="8" t="s">
        <v>30629</v>
      </c>
      <c r="F6897" s="47"/>
      <c r="G6897" s="8">
        <v>18</v>
      </c>
      <c r="H6897" s="8" t="s">
        <v>21</v>
      </c>
      <c r="I6897" s="8" t="s">
        <v>72</v>
      </c>
      <c r="J6897" s="8" t="s">
        <v>72</v>
      </c>
      <c r="K6897" s="8" t="s">
        <v>73</v>
      </c>
      <c r="L6897" s="8" t="s">
        <v>30032</v>
      </c>
      <c r="M6897" s="8" t="s">
        <v>30033</v>
      </c>
      <c r="N6897" s="8" t="s">
        <v>30630</v>
      </c>
      <c r="O6897" s="8">
        <f>20+18/60+3.6/3600</f>
        <v>20.301000000000002</v>
      </c>
      <c r="P6897" s="8" t="s">
        <v>30631</v>
      </c>
      <c r="Q6897" s="8">
        <f>+(30+38/60+26/3600)</f>
        <v>30.640555555555554</v>
      </c>
      <c r="R6897" s="8">
        <v>99</v>
      </c>
      <c r="S6897" s="8">
        <v>99</v>
      </c>
      <c r="T6897" s="8">
        <v>99</v>
      </c>
      <c r="U6897" s="8">
        <v>99</v>
      </c>
      <c r="Y6897" s="8" t="s">
        <v>30632</v>
      </c>
      <c r="Z6897" s="8" t="s">
        <v>30633</v>
      </c>
    </row>
    <row r="6898" spans="1:26" x14ac:dyDescent="0.2">
      <c r="A6898" s="8">
        <v>6897</v>
      </c>
      <c r="B6898" s="8" t="s">
        <v>30634</v>
      </c>
      <c r="C6898" s="8" t="s">
        <v>30634</v>
      </c>
      <c r="F6898" s="47"/>
      <c r="G6898" s="8">
        <v>18</v>
      </c>
      <c r="H6898" s="8" t="s">
        <v>21</v>
      </c>
      <c r="I6898" s="8" t="s">
        <v>22</v>
      </c>
      <c r="J6898" s="8" t="s">
        <v>22</v>
      </c>
      <c r="K6898" s="8" t="s">
        <v>396</v>
      </c>
      <c r="L6898" s="8" t="s">
        <v>30635</v>
      </c>
      <c r="M6898" s="8" t="s">
        <v>30636</v>
      </c>
      <c r="N6898" s="8" t="s">
        <v>30637</v>
      </c>
      <c r="O6898" s="8">
        <f>20+21/60+1.3/3600</f>
        <v>20.350361111111113</v>
      </c>
      <c r="P6898" s="8" t="s">
        <v>30638</v>
      </c>
      <c r="Q6898" s="8">
        <f>-(12+15/60+18/3600)</f>
        <v>-12.255000000000001</v>
      </c>
      <c r="R6898" s="8">
        <v>13.8</v>
      </c>
      <c r="S6898" s="8">
        <v>14.6</v>
      </c>
      <c r="T6898" s="8">
        <v>0.8</v>
      </c>
      <c r="U6898" s="8">
        <v>12.7</v>
      </c>
      <c r="V6898" s="8">
        <v>0.9</v>
      </c>
      <c r="W6898" s="8">
        <v>0.5</v>
      </c>
      <c r="X6898" s="8">
        <v>35</v>
      </c>
      <c r="Y6898" s="8" t="s">
        <v>1511</v>
      </c>
      <c r="Z6898" s="8" t="s">
        <v>1512</v>
      </c>
    </row>
    <row r="6899" spans="1:26" x14ac:dyDescent="0.2">
      <c r="A6899" s="8">
        <v>6898</v>
      </c>
      <c r="B6899" s="8" t="s">
        <v>30639</v>
      </c>
      <c r="C6899" s="8" t="s">
        <v>30639</v>
      </c>
      <c r="F6899" s="47"/>
      <c r="G6899" s="8">
        <v>18</v>
      </c>
      <c r="H6899" s="8" t="s">
        <v>21</v>
      </c>
      <c r="I6899" s="8" t="s">
        <v>22</v>
      </c>
      <c r="J6899" s="8" t="s">
        <v>22</v>
      </c>
      <c r="K6899" s="8" t="s">
        <v>91</v>
      </c>
      <c r="L6899" s="8" t="s">
        <v>30635</v>
      </c>
      <c r="M6899" s="8" t="s">
        <v>30636</v>
      </c>
      <c r="N6899" s="8" t="s">
        <v>30640</v>
      </c>
      <c r="O6899" s="8">
        <f>20+21/60+8/3600</f>
        <v>20.352222222222224</v>
      </c>
      <c r="P6899" s="8" t="s">
        <v>30641</v>
      </c>
      <c r="Q6899" s="8">
        <f>-(12+21/60+32/3600)</f>
        <v>-12.358888888888888</v>
      </c>
      <c r="R6899" s="8">
        <v>13.1</v>
      </c>
      <c r="S6899" s="8">
        <v>14</v>
      </c>
      <c r="T6899" s="8">
        <v>0.9</v>
      </c>
      <c r="U6899" s="8">
        <v>12.7</v>
      </c>
      <c r="V6899" s="8">
        <v>1.2</v>
      </c>
      <c r="W6899" s="8">
        <v>0.7</v>
      </c>
      <c r="X6899" s="8">
        <v>140</v>
      </c>
      <c r="Y6899" s="8" t="s">
        <v>24844</v>
      </c>
      <c r="Z6899" s="8" t="s">
        <v>24845</v>
      </c>
    </row>
    <row r="6900" spans="1:26" x14ac:dyDescent="0.2">
      <c r="A6900" s="8">
        <v>6899</v>
      </c>
      <c r="B6900" s="8" t="s">
        <v>30642</v>
      </c>
      <c r="C6900" s="8" t="s">
        <v>30642</v>
      </c>
      <c r="F6900" s="47"/>
      <c r="G6900" s="8">
        <v>16</v>
      </c>
      <c r="H6900" s="8" t="s">
        <v>21</v>
      </c>
      <c r="I6900" s="8" t="s">
        <v>22</v>
      </c>
      <c r="J6900" s="8" t="s">
        <v>22</v>
      </c>
      <c r="K6900" s="8" t="s">
        <v>85</v>
      </c>
      <c r="L6900" s="8" t="s">
        <v>29246</v>
      </c>
      <c r="M6900" s="8" t="s">
        <v>29247</v>
      </c>
      <c r="N6900" s="8" t="s">
        <v>30643</v>
      </c>
      <c r="O6900" s="8">
        <f>20+24/60+22.3/3600</f>
        <v>20.406194444444441</v>
      </c>
      <c r="P6900" s="8" t="s">
        <v>30644</v>
      </c>
      <c r="Q6900" s="8">
        <f>-(50+26/60+1/3600)</f>
        <v>-50.433611111111105</v>
      </c>
      <c r="R6900" s="8">
        <v>12.8</v>
      </c>
      <c r="S6900" s="8">
        <v>13.4</v>
      </c>
      <c r="T6900" s="8">
        <v>0.6</v>
      </c>
      <c r="U6900" s="8">
        <v>13.2</v>
      </c>
      <c r="V6900" s="8">
        <v>1.7</v>
      </c>
      <c r="W6900" s="8">
        <v>1</v>
      </c>
      <c r="X6900" s="8">
        <v>112</v>
      </c>
      <c r="Y6900" s="8" t="s">
        <v>30645</v>
      </c>
      <c r="Z6900" s="8" t="s">
        <v>30646</v>
      </c>
    </row>
    <row r="6901" spans="1:26" x14ac:dyDescent="0.2">
      <c r="A6901" s="8">
        <v>6900</v>
      </c>
      <c r="B6901" s="8" t="s">
        <v>30647</v>
      </c>
      <c r="C6901" s="8" t="s">
        <v>30647</v>
      </c>
      <c r="F6901" s="47"/>
      <c r="G6901" s="8">
        <v>18</v>
      </c>
      <c r="H6901" s="8" t="s">
        <v>21</v>
      </c>
      <c r="I6901" s="8" t="s">
        <v>22</v>
      </c>
      <c r="J6901" s="8" t="s">
        <v>22</v>
      </c>
      <c r="K6901" s="8" t="s">
        <v>23</v>
      </c>
      <c r="L6901" s="8" t="s">
        <v>29781</v>
      </c>
      <c r="M6901" s="8" t="s">
        <v>29782</v>
      </c>
      <c r="N6901" s="8" t="s">
        <v>30648</v>
      </c>
      <c r="O6901" s="8">
        <f>20+21/60+35.1/3600</f>
        <v>20.359750000000002</v>
      </c>
      <c r="P6901" s="8" t="s">
        <v>30649</v>
      </c>
      <c r="Q6901" s="8">
        <f>-(2+34/60+11/3600)</f>
        <v>-2.569722222222222</v>
      </c>
      <c r="R6901" s="8">
        <v>13.5</v>
      </c>
      <c r="S6901" s="8">
        <v>14.3</v>
      </c>
      <c r="T6901" s="8">
        <v>0.8</v>
      </c>
      <c r="U6901" s="8">
        <v>13.1</v>
      </c>
      <c r="V6901" s="8">
        <v>1</v>
      </c>
      <c r="W6901" s="8">
        <v>0.8</v>
      </c>
      <c r="X6901" s="8">
        <v>178</v>
      </c>
      <c r="Y6901" s="8" t="s">
        <v>170</v>
      </c>
      <c r="Z6901" s="8" t="s">
        <v>171</v>
      </c>
    </row>
    <row r="6902" spans="1:26" x14ac:dyDescent="0.2">
      <c r="A6902" s="8">
        <v>6901</v>
      </c>
      <c r="B6902" s="8" t="s">
        <v>30650</v>
      </c>
      <c r="C6902" s="8" t="s">
        <v>30650</v>
      </c>
      <c r="F6902" s="47"/>
      <c r="G6902" s="8">
        <v>18</v>
      </c>
      <c r="H6902" s="8" t="s">
        <v>21</v>
      </c>
      <c r="I6902" s="8" t="s">
        <v>22</v>
      </c>
      <c r="J6902" s="8" t="s">
        <v>22</v>
      </c>
      <c r="K6902" s="8" t="s">
        <v>406</v>
      </c>
      <c r="L6902" s="8" t="s">
        <v>29781</v>
      </c>
      <c r="M6902" s="8" t="s">
        <v>29782</v>
      </c>
      <c r="N6902" s="8" t="s">
        <v>30651</v>
      </c>
      <c r="O6902" s="8">
        <f>20+22/60+21.6/3600</f>
        <v>20.372666666666667</v>
      </c>
      <c r="P6902" s="8" t="s">
        <v>30652</v>
      </c>
      <c r="Q6902" s="8">
        <f>+(6+25/60+47/3600)</f>
        <v>6.4297222222222228</v>
      </c>
      <c r="R6902" s="8">
        <v>13.7</v>
      </c>
      <c r="S6902" s="8">
        <v>14.5</v>
      </c>
      <c r="T6902" s="8">
        <v>0.8</v>
      </c>
      <c r="U6902" s="8">
        <v>13.1</v>
      </c>
      <c r="V6902" s="8">
        <v>1.4</v>
      </c>
      <c r="W6902" s="8">
        <v>0.5</v>
      </c>
      <c r="X6902" s="8">
        <v>63</v>
      </c>
      <c r="Y6902" s="8" t="s">
        <v>47</v>
      </c>
      <c r="Z6902" s="8" t="s">
        <v>48</v>
      </c>
    </row>
    <row r="6903" spans="1:26" x14ac:dyDescent="0.2">
      <c r="A6903" s="8">
        <v>6902</v>
      </c>
      <c r="B6903" s="8" t="s">
        <v>30653</v>
      </c>
      <c r="C6903" s="8" t="s">
        <v>30653</v>
      </c>
      <c r="F6903" s="47"/>
      <c r="G6903" s="8">
        <v>13</v>
      </c>
      <c r="H6903" s="8" t="s">
        <v>21</v>
      </c>
      <c r="I6903" s="8" t="s">
        <v>22</v>
      </c>
      <c r="J6903" s="8" t="s">
        <v>22</v>
      </c>
      <c r="K6903" s="8" t="s">
        <v>154</v>
      </c>
      <c r="L6903" s="8" t="s">
        <v>28576</v>
      </c>
      <c r="M6903" s="8" t="s">
        <v>28577</v>
      </c>
      <c r="N6903" s="8" t="s">
        <v>30654</v>
      </c>
      <c r="O6903" s="8">
        <f>20+24/60+27.9/3600</f>
        <v>20.40775</v>
      </c>
      <c r="P6903" s="8" t="s">
        <v>30655</v>
      </c>
      <c r="Q6903" s="8">
        <f>-(43+39/60+11/3600)</f>
        <v>-43.653055555555554</v>
      </c>
      <c r="R6903" s="8">
        <v>10.9</v>
      </c>
      <c r="S6903" s="8">
        <v>11.6</v>
      </c>
      <c r="T6903" s="8">
        <v>0.7</v>
      </c>
      <c r="U6903" s="8">
        <v>14.1</v>
      </c>
      <c r="V6903" s="8">
        <v>5.6</v>
      </c>
      <c r="W6903" s="8">
        <v>3.9</v>
      </c>
      <c r="X6903" s="8">
        <v>153</v>
      </c>
      <c r="Y6903" s="8" t="s">
        <v>21193</v>
      </c>
      <c r="Z6903" s="8" t="s">
        <v>21194</v>
      </c>
    </row>
    <row r="6904" spans="1:26" x14ac:dyDescent="0.2">
      <c r="A6904" s="8">
        <v>6903</v>
      </c>
      <c r="B6904" s="8" t="s">
        <v>30656</v>
      </c>
      <c r="C6904" s="8" t="s">
        <v>30656</v>
      </c>
      <c r="F6904" s="47"/>
      <c r="G6904" s="8">
        <v>16</v>
      </c>
      <c r="H6904" s="8" t="s">
        <v>21</v>
      </c>
      <c r="I6904" s="8" t="s">
        <v>22</v>
      </c>
      <c r="J6904" s="8" t="s">
        <v>22</v>
      </c>
      <c r="K6904" s="8" t="s">
        <v>118</v>
      </c>
      <c r="L6904" s="8" t="s">
        <v>30635</v>
      </c>
      <c r="M6904" s="8" t="s">
        <v>30636</v>
      </c>
      <c r="N6904" s="8" t="s">
        <v>30657</v>
      </c>
      <c r="O6904" s="8">
        <f>20+23/60+44.9/3600</f>
        <v>20.395805555555555</v>
      </c>
      <c r="P6904" s="8" t="s">
        <v>30658</v>
      </c>
      <c r="Q6904" s="8">
        <f>-(19+19/60+33/3600)</f>
        <v>-19.325833333333332</v>
      </c>
      <c r="R6904" s="8">
        <v>11.9</v>
      </c>
      <c r="S6904" s="8">
        <v>12.9</v>
      </c>
      <c r="T6904" s="8">
        <v>1</v>
      </c>
      <c r="U6904" s="8">
        <v>12.9</v>
      </c>
      <c r="V6904" s="8">
        <v>1.5</v>
      </c>
      <c r="W6904" s="8">
        <v>1.5</v>
      </c>
      <c r="Y6904" s="8" t="s">
        <v>30659</v>
      </c>
      <c r="Z6904" s="8" t="s">
        <v>30660</v>
      </c>
    </row>
    <row r="6905" spans="1:26" x14ac:dyDescent="0.2">
      <c r="A6905" s="8">
        <v>6904</v>
      </c>
      <c r="B6905" s="8" t="s">
        <v>30661</v>
      </c>
      <c r="C6905" s="8" t="s">
        <v>30661</v>
      </c>
      <c r="F6905" s="47"/>
      <c r="G6905" s="8">
        <v>16</v>
      </c>
      <c r="H6905" s="8" t="s">
        <v>21</v>
      </c>
      <c r="I6905" s="8" t="s">
        <v>72</v>
      </c>
      <c r="J6905" s="8" t="s">
        <v>72</v>
      </c>
      <c r="K6905" s="8" t="s">
        <v>1405</v>
      </c>
      <c r="L6905" s="8" t="s">
        <v>30153</v>
      </c>
      <c r="M6905" s="8" t="s">
        <v>30154</v>
      </c>
      <c r="N6905" s="8" t="s">
        <v>30662</v>
      </c>
      <c r="O6905" s="8">
        <f>20+21/60+48.3/3600</f>
        <v>20.363416666666669</v>
      </c>
      <c r="P6905" s="8" t="s">
        <v>11908</v>
      </c>
      <c r="Q6905" s="8">
        <f>+(25+44/60+22/3600)</f>
        <v>25.739444444444445</v>
      </c>
      <c r="R6905" s="8">
        <v>99</v>
      </c>
      <c r="S6905" s="8">
        <v>99</v>
      </c>
      <c r="T6905" s="8">
        <v>99</v>
      </c>
      <c r="U6905" s="8">
        <v>99</v>
      </c>
      <c r="V6905" s="8">
        <v>3</v>
      </c>
      <c r="Y6905" s="8" t="s">
        <v>30663</v>
      </c>
      <c r="Z6905" s="8" t="s">
        <v>30664</v>
      </c>
    </row>
    <row r="6906" spans="1:26" x14ac:dyDescent="0.2">
      <c r="A6906" s="8">
        <v>6905</v>
      </c>
      <c r="B6906" s="8" t="s">
        <v>30665</v>
      </c>
      <c r="C6906" s="8" t="s">
        <v>30665</v>
      </c>
      <c r="F6906" s="47" t="s">
        <v>58263</v>
      </c>
      <c r="G6906" s="8">
        <v>6</v>
      </c>
      <c r="H6906" s="8" t="s">
        <v>30666</v>
      </c>
      <c r="I6906" s="8" t="s">
        <v>241</v>
      </c>
      <c r="J6906" s="8" t="s">
        <v>241</v>
      </c>
      <c r="K6906" s="8" t="s">
        <v>241</v>
      </c>
      <c r="L6906" s="8" t="s">
        <v>30604</v>
      </c>
      <c r="M6906" s="8" t="s">
        <v>30605</v>
      </c>
      <c r="N6906" s="8" t="s">
        <v>30667</v>
      </c>
      <c r="O6906" s="8">
        <f>20+22/60+23/3600</f>
        <v>20.373055555555556</v>
      </c>
      <c r="P6906" s="8" t="s">
        <v>30668</v>
      </c>
      <c r="Q6906" s="8">
        <f>+(20+6/60+18/3600)</f>
        <v>20.105</v>
      </c>
      <c r="R6906" s="8">
        <v>11.1</v>
      </c>
      <c r="S6906" s="8">
        <v>11.9</v>
      </c>
      <c r="T6906" s="8">
        <v>99</v>
      </c>
      <c r="U6906" s="8">
        <v>99</v>
      </c>
      <c r="V6906" s="8">
        <v>1.2</v>
      </c>
      <c r="Y6906" s="8" t="s">
        <v>30669</v>
      </c>
      <c r="Z6906" s="8" t="s">
        <v>30670</v>
      </c>
    </row>
    <row r="6907" spans="1:26" x14ac:dyDescent="0.2">
      <c r="A6907" s="8">
        <v>6906</v>
      </c>
      <c r="B6907" s="8" t="s">
        <v>30671</v>
      </c>
      <c r="C6907" s="8" t="s">
        <v>30671</v>
      </c>
      <c r="F6907" s="47"/>
      <c r="G6907" s="8">
        <v>18</v>
      </c>
      <c r="H6907" s="8" t="s">
        <v>21</v>
      </c>
      <c r="I6907" s="8" t="s">
        <v>22</v>
      </c>
      <c r="J6907" s="8" t="s">
        <v>22</v>
      </c>
      <c r="K6907" s="8" t="s">
        <v>85</v>
      </c>
      <c r="L6907" s="8" t="s">
        <v>29781</v>
      </c>
      <c r="M6907" s="8" t="s">
        <v>29782</v>
      </c>
      <c r="N6907" s="8" t="s">
        <v>30672</v>
      </c>
      <c r="O6907" s="8">
        <f>20+23/60+34/3600</f>
        <v>20.392777777777777</v>
      </c>
      <c r="P6907" s="8" t="s">
        <v>30673</v>
      </c>
      <c r="Q6907" s="8">
        <f>+(6+26/60+40/3600)</f>
        <v>6.4444444444444446</v>
      </c>
      <c r="R6907" s="8">
        <v>12.3</v>
      </c>
      <c r="S6907" s="8">
        <v>13.2</v>
      </c>
      <c r="T6907" s="8">
        <v>0.9</v>
      </c>
      <c r="U6907" s="8">
        <v>12.4</v>
      </c>
      <c r="V6907" s="8">
        <v>1.6</v>
      </c>
      <c r="W6907" s="8">
        <v>0.8</v>
      </c>
      <c r="X6907" s="8">
        <v>36</v>
      </c>
      <c r="Y6907" s="8" t="s">
        <v>22480</v>
      </c>
      <c r="Z6907" s="8" t="s">
        <v>22481</v>
      </c>
    </row>
    <row r="6908" spans="1:26" x14ac:dyDescent="0.2">
      <c r="A6908" s="8">
        <v>6907</v>
      </c>
      <c r="B6908" s="8" t="s">
        <v>30674</v>
      </c>
      <c r="C6908" s="8" t="s">
        <v>30674</v>
      </c>
      <c r="F6908" s="47" t="s">
        <v>58264</v>
      </c>
      <c r="G6908" s="8">
        <v>6.5</v>
      </c>
      <c r="H6908" s="8" t="s">
        <v>30675</v>
      </c>
      <c r="I6908" s="8" t="s">
        <v>22</v>
      </c>
      <c r="J6908" s="8" t="s">
        <v>22</v>
      </c>
      <c r="K6908" s="8" t="s">
        <v>85</v>
      </c>
      <c r="L6908" s="8" t="s">
        <v>30635</v>
      </c>
      <c r="M6908" s="8" t="s">
        <v>30636</v>
      </c>
      <c r="N6908" s="8" t="s">
        <v>30676</v>
      </c>
      <c r="O6908" s="8">
        <f>20+25/60+6.6/3600</f>
        <v>20.418500000000002</v>
      </c>
      <c r="P6908" s="8" t="s">
        <v>30677</v>
      </c>
      <c r="Q6908" s="8">
        <f>-(24+48/60+33/3600)</f>
        <v>-24.809166666666666</v>
      </c>
      <c r="R6908" s="8">
        <v>11.2</v>
      </c>
      <c r="S6908" s="8">
        <v>11.9</v>
      </c>
      <c r="T6908" s="8">
        <v>0.7</v>
      </c>
      <c r="U6908" s="8">
        <v>13.4</v>
      </c>
      <c r="V6908" s="8">
        <v>3.4</v>
      </c>
      <c r="W6908" s="8">
        <v>2.6</v>
      </c>
      <c r="X6908" s="8">
        <v>46</v>
      </c>
      <c r="Y6908" s="8" t="s">
        <v>30678</v>
      </c>
      <c r="Z6908" s="8" t="s">
        <v>30679</v>
      </c>
    </row>
    <row r="6909" spans="1:26" x14ac:dyDescent="0.2">
      <c r="A6909" s="8">
        <v>6908</v>
      </c>
      <c r="B6909" s="8" t="s">
        <v>30680</v>
      </c>
      <c r="C6909" s="8" t="s">
        <v>30680</v>
      </c>
      <c r="F6909" s="47"/>
      <c r="G6909" s="8">
        <v>18</v>
      </c>
      <c r="H6909" s="8" t="s">
        <v>21</v>
      </c>
      <c r="I6909" s="8" t="s">
        <v>22</v>
      </c>
      <c r="J6909" s="8" t="s">
        <v>22</v>
      </c>
      <c r="K6909" s="8" t="s">
        <v>37</v>
      </c>
      <c r="L6909" s="8" t="s">
        <v>30635</v>
      </c>
      <c r="M6909" s="8" t="s">
        <v>30636</v>
      </c>
      <c r="N6909" s="8" t="s">
        <v>30681</v>
      </c>
      <c r="O6909" s="8">
        <f>20+25/60+9/3600</f>
        <v>20.419166666666669</v>
      </c>
      <c r="P6909" s="8" t="s">
        <v>30682</v>
      </c>
      <c r="Q6909" s="8">
        <f>-(24+48/60+10/3600)</f>
        <v>-24.802777777777777</v>
      </c>
      <c r="R6909" s="8">
        <v>14.6</v>
      </c>
      <c r="S6909" s="8">
        <v>15.5</v>
      </c>
      <c r="T6909" s="8">
        <v>0.9</v>
      </c>
      <c r="U6909" s="8">
        <v>10.6</v>
      </c>
      <c r="V6909" s="8">
        <v>0.3</v>
      </c>
      <c r="W6909" s="8">
        <v>0.1</v>
      </c>
      <c r="X6909" s="8">
        <v>0</v>
      </c>
      <c r="Y6909" s="8" t="s">
        <v>30683</v>
      </c>
      <c r="Z6909" s="8" t="s">
        <v>30684</v>
      </c>
    </row>
    <row r="6910" spans="1:26" x14ac:dyDescent="0.2">
      <c r="A6910" s="8">
        <v>6909</v>
      </c>
      <c r="B6910" s="8" t="s">
        <v>30685</v>
      </c>
      <c r="C6910" s="8" t="s">
        <v>30685</v>
      </c>
      <c r="F6910" s="47"/>
      <c r="G6910" s="8">
        <v>13</v>
      </c>
      <c r="H6910" s="8" t="s">
        <v>21</v>
      </c>
      <c r="I6910" s="8" t="s">
        <v>22</v>
      </c>
      <c r="J6910" s="8" t="s">
        <v>22</v>
      </c>
      <c r="K6910" s="8" t="s">
        <v>1068</v>
      </c>
      <c r="L6910" s="8" t="s">
        <v>29246</v>
      </c>
      <c r="M6910" s="8" t="s">
        <v>29247</v>
      </c>
      <c r="N6910" s="8" t="s">
        <v>30686</v>
      </c>
      <c r="O6910" s="8">
        <f>20+27/60+38.8/3600</f>
        <v>20.460777777777778</v>
      </c>
      <c r="P6910" s="8" t="s">
        <v>30687</v>
      </c>
      <c r="Q6910" s="8">
        <f>-(47+1/60+38/3600)</f>
        <v>-47.027222222222221</v>
      </c>
      <c r="R6910" s="8">
        <v>11.7</v>
      </c>
      <c r="S6910" s="8">
        <v>12.6</v>
      </c>
      <c r="T6910" s="8">
        <v>0.9</v>
      </c>
      <c r="U6910" s="8">
        <v>12.6</v>
      </c>
      <c r="V6910" s="8">
        <v>2.2000000000000002</v>
      </c>
      <c r="W6910" s="8">
        <v>1.1000000000000001</v>
      </c>
      <c r="X6910" s="8">
        <v>68</v>
      </c>
      <c r="Y6910" s="8" t="s">
        <v>30688</v>
      </c>
      <c r="Z6910" s="8" t="s">
        <v>30689</v>
      </c>
    </row>
    <row r="6911" spans="1:26" x14ac:dyDescent="0.2">
      <c r="A6911" s="8">
        <v>6910</v>
      </c>
      <c r="B6911" s="8" t="s">
        <v>30690</v>
      </c>
      <c r="C6911" s="8" t="s">
        <v>30690</v>
      </c>
      <c r="F6911" s="47" t="s">
        <v>58265</v>
      </c>
      <c r="G6911" s="8">
        <v>6</v>
      </c>
      <c r="H6911" s="8" t="s">
        <v>30691</v>
      </c>
      <c r="I6911" s="8" t="s">
        <v>557</v>
      </c>
      <c r="J6911" s="8" t="s">
        <v>557</v>
      </c>
      <c r="K6911" s="8" t="s">
        <v>7705</v>
      </c>
      <c r="L6911" s="8" t="s">
        <v>30032</v>
      </c>
      <c r="M6911" s="8" t="s">
        <v>30033</v>
      </c>
      <c r="N6911" s="8" t="s">
        <v>30692</v>
      </c>
      <c r="O6911" s="8">
        <f>20+23/60+12/3600</f>
        <v>20.386666666666667</v>
      </c>
      <c r="P6911" s="8" t="s">
        <v>30693</v>
      </c>
      <c r="Q6911" s="8">
        <f>+(40+46/60+43/3600)</f>
        <v>40.778611111111111</v>
      </c>
      <c r="R6911" s="8">
        <v>7.4</v>
      </c>
      <c r="S6911" s="8">
        <v>99</v>
      </c>
      <c r="T6911" s="8">
        <v>99</v>
      </c>
      <c r="U6911" s="8">
        <v>99</v>
      </c>
      <c r="V6911" s="8">
        <v>10</v>
      </c>
      <c r="Y6911" s="8" t="s">
        <v>30694</v>
      </c>
      <c r="Z6911" s="8" t="s">
        <v>30695</v>
      </c>
    </row>
    <row r="6912" spans="1:26" x14ac:dyDescent="0.2">
      <c r="A6912" s="8">
        <v>6911</v>
      </c>
      <c r="B6912" s="8" t="s">
        <v>30696</v>
      </c>
      <c r="C6912" s="8" t="s">
        <v>30696</v>
      </c>
      <c r="F6912" s="47"/>
      <c r="G6912" s="8">
        <v>19</v>
      </c>
      <c r="H6912" s="8" t="s">
        <v>21</v>
      </c>
      <c r="I6912" s="8" t="s">
        <v>22</v>
      </c>
      <c r="J6912" s="8" t="s">
        <v>22</v>
      </c>
      <c r="K6912" s="8" t="s">
        <v>218</v>
      </c>
      <c r="L6912" s="8" t="s">
        <v>13395</v>
      </c>
      <c r="M6912" s="8" t="s">
        <v>13396</v>
      </c>
      <c r="N6912" s="8" t="s">
        <v>30697</v>
      </c>
      <c r="O6912" s="8">
        <f>20+19/60+38.3/3600</f>
        <v>20.327305555555554</v>
      </c>
      <c r="P6912" s="8" t="s">
        <v>30698</v>
      </c>
      <c r="Q6912" s="8">
        <f>+(66+43/60+44/3600)</f>
        <v>66.728888888888889</v>
      </c>
      <c r="R6912" s="8">
        <v>14.3</v>
      </c>
      <c r="S6912" s="8">
        <v>15.1</v>
      </c>
      <c r="T6912" s="8">
        <v>0.8</v>
      </c>
      <c r="U6912" s="8">
        <v>15</v>
      </c>
      <c r="V6912" s="8">
        <v>1.7</v>
      </c>
      <c r="W6912" s="8">
        <v>1.1000000000000001</v>
      </c>
      <c r="X6912" s="8">
        <v>115</v>
      </c>
      <c r="Y6912" s="8" t="s">
        <v>30699</v>
      </c>
      <c r="Z6912" s="8" t="s">
        <v>30700</v>
      </c>
    </row>
    <row r="6913" spans="1:26" x14ac:dyDescent="0.2">
      <c r="A6913" s="8">
        <v>6912</v>
      </c>
      <c r="B6913" s="8" t="s">
        <v>30701</v>
      </c>
      <c r="C6913" s="8" t="s">
        <v>30701</v>
      </c>
      <c r="F6913" s="47"/>
      <c r="G6913" s="8">
        <v>19</v>
      </c>
      <c r="H6913" s="8" t="s">
        <v>21</v>
      </c>
      <c r="I6913" s="8" t="s">
        <v>22</v>
      </c>
      <c r="J6913" s="8" t="s">
        <v>22</v>
      </c>
      <c r="K6913" s="8" t="s">
        <v>64</v>
      </c>
      <c r="L6913" s="8" t="s">
        <v>30635</v>
      </c>
      <c r="M6913" s="8" t="s">
        <v>30636</v>
      </c>
      <c r="N6913" s="8" t="s">
        <v>30702</v>
      </c>
      <c r="O6913" s="8">
        <f>20+26/60+52.1/3600</f>
        <v>20.447805555555554</v>
      </c>
      <c r="P6913" s="8" t="s">
        <v>30703</v>
      </c>
      <c r="Q6913" s="8">
        <f>-(18+37/60+3/3600)</f>
        <v>-18.6175</v>
      </c>
      <c r="R6913" s="8">
        <v>13.2</v>
      </c>
      <c r="S6913" s="8">
        <v>13.8</v>
      </c>
      <c r="T6913" s="8">
        <v>0.6</v>
      </c>
      <c r="U6913" s="8">
        <v>13.5</v>
      </c>
      <c r="V6913" s="8">
        <v>1.4</v>
      </c>
      <c r="W6913" s="8">
        <v>1.1000000000000001</v>
      </c>
      <c r="X6913" s="8">
        <v>55</v>
      </c>
      <c r="Y6913" s="8" t="s">
        <v>30704</v>
      </c>
      <c r="Z6913" s="8" t="s">
        <v>30705</v>
      </c>
    </row>
    <row r="6914" spans="1:26" x14ac:dyDescent="0.2">
      <c r="A6914" s="8">
        <v>6913</v>
      </c>
      <c r="B6914" s="8" t="s">
        <v>30706</v>
      </c>
      <c r="C6914" s="8" t="s">
        <v>55959</v>
      </c>
      <c r="F6914" s="47"/>
      <c r="G6914" s="8">
        <v>1</v>
      </c>
      <c r="H6914" s="8" t="s">
        <v>30707</v>
      </c>
      <c r="I6914" s="8" t="s">
        <v>557</v>
      </c>
      <c r="J6914" s="8" t="s">
        <v>557</v>
      </c>
      <c r="K6914" s="8" t="s">
        <v>6255</v>
      </c>
      <c r="L6914" s="8" t="s">
        <v>30032</v>
      </c>
      <c r="M6914" s="8" t="s">
        <v>30033</v>
      </c>
      <c r="N6914" s="8" t="s">
        <v>30708</v>
      </c>
      <c r="O6914" s="8">
        <f>20+24/60+6/3600</f>
        <v>20.401666666666664</v>
      </c>
      <c r="P6914" s="8" t="s">
        <v>30709</v>
      </c>
      <c r="Q6914" s="8">
        <f>+(38+29/60+36/3600)</f>
        <v>38.493333333333332</v>
      </c>
      <c r="R6914" s="8">
        <v>6.6</v>
      </c>
      <c r="S6914" s="8">
        <v>99</v>
      </c>
      <c r="T6914" s="8">
        <v>99</v>
      </c>
      <c r="U6914" s="8">
        <v>99</v>
      </c>
      <c r="V6914" s="8">
        <v>10</v>
      </c>
      <c r="Y6914" s="8" t="s">
        <v>30710</v>
      </c>
      <c r="Z6914" s="8" t="s">
        <v>30711</v>
      </c>
    </row>
    <row r="6915" spans="1:26" x14ac:dyDescent="0.2">
      <c r="A6915" s="8">
        <v>6914</v>
      </c>
      <c r="B6915" s="8" t="s">
        <v>30712</v>
      </c>
      <c r="C6915" s="8" t="s">
        <v>30712</v>
      </c>
      <c r="F6915" s="47"/>
      <c r="G6915" s="8">
        <v>13</v>
      </c>
      <c r="H6915" s="8" t="s">
        <v>21</v>
      </c>
      <c r="I6915" s="8" t="s">
        <v>1283</v>
      </c>
      <c r="J6915" s="8" t="s">
        <v>1283</v>
      </c>
      <c r="K6915" s="8" t="s">
        <v>6208</v>
      </c>
      <c r="L6915" s="8" t="s">
        <v>30032</v>
      </c>
      <c r="M6915" s="8" t="s">
        <v>30033</v>
      </c>
      <c r="N6915" s="8" t="s">
        <v>30713</v>
      </c>
      <c r="O6915" s="8">
        <f>20+24/60+43/3600</f>
        <v>20.411944444444444</v>
      </c>
      <c r="P6915" s="8" t="s">
        <v>30714</v>
      </c>
      <c r="Q6915" s="8">
        <f>+(42+29/60+0/3600)</f>
        <v>42.483333333333334</v>
      </c>
      <c r="R6915" s="8">
        <v>99</v>
      </c>
      <c r="S6915" s="8">
        <v>99</v>
      </c>
      <c r="T6915" s="8">
        <v>99</v>
      </c>
      <c r="U6915" s="8">
        <v>99</v>
      </c>
      <c r="V6915" s="8">
        <v>3</v>
      </c>
      <c r="W6915" s="8">
        <v>3</v>
      </c>
      <c r="Y6915" s="8" t="s">
        <v>30715</v>
      </c>
      <c r="Z6915" s="8" t="s">
        <v>30716</v>
      </c>
    </row>
    <row r="6916" spans="1:26" x14ac:dyDescent="0.2">
      <c r="A6916" s="8">
        <v>6915</v>
      </c>
      <c r="B6916" s="8" t="s">
        <v>30717</v>
      </c>
      <c r="C6916" s="8" t="s">
        <v>30717</v>
      </c>
      <c r="F6916" s="47"/>
      <c r="G6916" s="8">
        <v>18</v>
      </c>
      <c r="H6916" s="8" t="s">
        <v>21</v>
      </c>
      <c r="I6916" s="8" t="s">
        <v>22</v>
      </c>
      <c r="J6916" s="8" t="s">
        <v>22</v>
      </c>
      <c r="K6916" s="8" t="s">
        <v>31</v>
      </c>
      <c r="L6916" s="8" t="s">
        <v>29781</v>
      </c>
      <c r="M6916" s="8" t="s">
        <v>29782</v>
      </c>
      <c r="N6916" s="8" t="s">
        <v>30718</v>
      </c>
      <c r="O6916" s="8">
        <f>20+27/60+46/3600</f>
        <v>20.462777777777777</v>
      </c>
      <c r="P6916" s="8" t="s">
        <v>30719</v>
      </c>
      <c r="Q6916" s="8">
        <f>-(3+4/60+36/3600)</f>
        <v>-3.0766666666666667</v>
      </c>
      <c r="R6916" s="8">
        <v>12.2</v>
      </c>
      <c r="S6916" s="8">
        <v>13</v>
      </c>
      <c r="T6916" s="8">
        <v>0.8</v>
      </c>
      <c r="U6916" s="8">
        <v>12.4</v>
      </c>
      <c r="V6916" s="8">
        <v>1.5</v>
      </c>
      <c r="W6916" s="8">
        <v>0.9</v>
      </c>
      <c r="X6916" s="8">
        <v>80</v>
      </c>
      <c r="Y6916" s="8" t="s">
        <v>13469</v>
      </c>
      <c r="Z6916" s="8" t="s">
        <v>13470</v>
      </c>
    </row>
    <row r="6917" spans="1:26" x14ac:dyDescent="0.2">
      <c r="A6917" s="8">
        <v>6916</v>
      </c>
      <c r="B6917" s="8" t="s">
        <v>30720</v>
      </c>
      <c r="C6917" s="8" t="s">
        <v>30720</v>
      </c>
      <c r="F6917" s="47"/>
      <c r="G6917" s="8">
        <v>19</v>
      </c>
      <c r="H6917" s="8" t="s">
        <v>21</v>
      </c>
      <c r="I6917" s="8" t="s">
        <v>22</v>
      </c>
      <c r="J6917" s="8" t="s">
        <v>22</v>
      </c>
      <c r="K6917" s="8" t="s">
        <v>85</v>
      </c>
      <c r="L6917" s="8" t="s">
        <v>30032</v>
      </c>
      <c r="M6917" s="8" t="s">
        <v>30033</v>
      </c>
      <c r="N6917" s="8" t="s">
        <v>30721</v>
      </c>
      <c r="O6917" s="8">
        <f>20+23/60+33.1/3600</f>
        <v>20.392527777777776</v>
      </c>
      <c r="P6917" s="8" t="s">
        <v>30722</v>
      </c>
      <c r="Q6917" s="8">
        <f>+(58+20/60+39/3600)</f>
        <v>58.344166666666666</v>
      </c>
      <c r="R6917" s="8">
        <v>13.5</v>
      </c>
      <c r="S6917" s="8">
        <v>14.3</v>
      </c>
      <c r="T6917" s="8">
        <v>0.8</v>
      </c>
      <c r="U6917" s="8">
        <v>14.1</v>
      </c>
      <c r="V6917" s="8">
        <v>1.8</v>
      </c>
      <c r="W6917" s="8">
        <v>1.2</v>
      </c>
      <c r="X6917" s="8">
        <v>90</v>
      </c>
      <c r="Y6917" s="8" t="s">
        <v>30723</v>
      </c>
      <c r="Z6917" s="8" t="s">
        <v>30724</v>
      </c>
    </row>
    <row r="6918" spans="1:26" x14ac:dyDescent="0.2">
      <c r="A6918" s="8">
        <v>6917</v>
      </c>
      <c r="B6918" s="8" t="s">
        <v>30725</v>
      </c>
      <c r="C6918" s="8" t="s">
        <v>30725</v>
      </c>
      <c r="F6918" s="47"/>
      <c r="G6918" s="8">
        <v>18</v>
      </c>
      <c r="H6918" s="8" t="s">
        <v>21</v>
      </c>
      <c r="I6918" s="8" t="s">
        <v>22</v>
      </c>
      <c r="J6918" s="8" t="s">
        <v>22</v>
      </c>
      <c r="K6918" s="8" t="s">
        <v>449</v>
      </c>
      <c r="L6918" s="8" t="s">
        <v>30604</v>
      </c>
      <c r="M6918" s="8" t="s">
        <v>30605</v>
      </c>
      <c r="N6918" s="8" t="s">
        <v>30726</v>
      </c>
      <c r="O6918" s="8">
        <f>20+27/60+28.4/3600</f>
        <v>20.457888888888888</v>
      </c>
      <c r="P6918" s="8" t="s">
        <v>30727</v>
      </c>
      <c r="Q6918" s="8">
        <f>+(8+5/60+50/3600)</f>
        <v>8.0972222222222232</v>
      </c>
      <c r="R6918" s="8">
        <v>13.4</v>
      </c>
      <c r="S6918" s="8">
        <v>14.3</v>
      </c>
      <c r="T6918" s="8">
        <v>0.9</v>
      </c>
      <c r="U6918" s="8">
        <v>13.6</v>
      </c>
      <c r="V6918" s="8">
        <v>1.4</v>
      </c>
      <c r="W6918" s="8">
        <v>1</v>
      </c>
      <c r="X6918" s="8">
        <v>40</v>
      </c>
      <c r="Y6918" s="8" t="s">
        <v>30728</v>
      </c>
      <c r="Z6918" s="8" t="s">
        <v>30729</v>
      </c>
    </row>
    <row r="6919" spans="1:26" x14ac:dyDescent="0.2">
      <c r="A6919" s="8">
        <v>6918</v>
      </c>
      <c r="B6919" s="8" t="s">
        <v>30730</v>
      </c>
      <c r="C6919" s="8" t="s">
        <v>30730</v>
      </c>
      <c r="F6919" s="47"/>
      <c r="G6919" s="8">
        <v>16</v>
      </c>
      <c r="H6919" s="8" t="s">
        <v>21</v>
      </c>
      <c r="I6919" s="8" t="s">
        <v>22</v>
      </c>
      <c r="J6919" s="8" t="s">
        <v>22</v>
      </c>
      <c r="K6919" s="8" t="s">
        <v>435</v>
      </c>
      <c r="L6919" s="8" t="s">
        <v>30731</v>
      </c>
      <c r="M6919" s="8" t="s">
        <v>30732</v>
      </c>
      <c r="N6919" s="8" t="s">
        <v>30733</v>
      </c>
      <c r="O6919" s="8">
        <f>20+30/60+46.9/3600</f>
        <v>20.513027777777779</v>
      </c>
      <c r="P6919" s="8" t="s">
        <v>30734</v>
      </c>
      <c r="Q6919" s="8">
        <f>-(47+28/60+27/3600)</f>
        <v>-47.474166666666669</v>
      </c>
      <c r="R6919" s="8">
        <v>13.6</v>
      </c>
      <c r="S6919" s="8">
        <v>14.5</v>
      </c>
      <c r="T6919" s="8">
        <v>0.9</v>
      </c>
      <c r="U6919" s="8">
        <v>12.9</v>
      </c>
      <c r="V6919" s="8">
        <v>0.9</v>
      </c>
      <c r="W6919" s="8">
        <v>0.7</v>
      </c>
      <c r="X6919" s="8">
        <v>178</v>
      </c>
      <c r="Y6919" s="8" t="s">
        <v>30735</v>
      </c>
      <c r="Z6919" s="8" t="s">
        <v>30736</v>
      </c>
    </row>
    <row r="6920" spans="1:26" x14ac:dyDescent="0.2">
      <c r="A6920" s="8">
        <v>6919</v>
      </c>
      <c r="B6920" s="8" t="s">
        <v>30737</v>
      </c>
      <c r="C6920" s="8" t="s">
        <v>30737</v>
      </c>
      <c r="F6920" s="47"/>
      <c r="G6920" s="8">
        <v>16</v>
      </c>
      <c r="H6920" s="8" t="s">
        <v>21</v>
      </c>
      <c r="I6920" s="8" t="s">
        <v>22</v>
      </c>
      <c r="J6920" s="8" t="s">
        <v>22</v>
      </c>
      <c r="K6920" s="8" t="s">
        <v>64</v>
      </c>
      <c r="L6920" s="8" t="s">
        <v>30738</v>
      </c>
      <c r="M6920" s="8" t="s">
        <v>30739</v>
      </c>
      <c r="N6920" s="8" t="s">
        <v>30740</v>
      </c>
      <c r="O6920" s="8">
        <f>20+31/60+38/3600</f>
        <v>20.527222222222221</v>
      </c>
      <c r="P6920" s="8" t="s">
        <v>30741</v>
      </c>
      <c r="Q6920" s="8">
        <f>-(44+13/60+0/3600)</f>
        <v>-44.216666666666669</v>
      </c>
      <c r="R6920" s="8">
        <v>13</v>
      </c>
      <c r="S6920" s="8">
        <v>13.6</v>
      </c>
      <c r="T6920" s="8">
        <v>0.6</v>
      </c>
      <c r="U6920" s="8">
        <v>13.6</v>
      </c>
      <c r="V6920" s="8">
        <v>1.6</v>
      </c>
      <c r="W6920" s="8">
        <v>1.2</v>
      </c>
      <c r="X6920" s="8">
        <v>145</v>
      </c>
      <c r="Y6920" s="8" t="s">
        <v>30160</v>
      </c>
      <c r="Z6920" s="8" t="s">
        <v>30161</v>
      </c>
    </row>
    <row r="6921" spans="1:26" x14ac:dyDescent="0.2">
      <c r="A6921" s="8">
        <v>6920</v>
      </c>
      <c r="B6921" s="8" t="s">
        <v>30742</v>
      </c>
      <c r="C6921" s="8" t="s">
        <v>30742</v>
      </c>
      <c r="F6921" s="47"/>
      <c r="G6921" s="8">
        <v>16</v>
      </c>
      <c r="H6921" s="8" t="s">
        <v>21</v>
      </c>
      <c r="I6921" s="8" t="s">
        <v>22</v>
      </c>
      <c r="J6921" s="8" t="s">
        <v>22</v>
      </c>
      <c r="K6921" s="8" t="s">
        <v>37</v>
      </c>
      <c r="L6921" s="8" t="s">
        <v>11890</v>
      </c>
      <c r="M6921" s="8" t="s">
        <v>11891</v>
      </c>
      <c r="N6921" s="8" t="s">
        <v>30743</v>
      </c>
      <c r="O6921" s="8">
        <f>20+43/60+57.1/3600</f>
        <v>20.732527777777776</v>
      </c>
      <c r="P6921" s="8" t="s">
        <v>30744</v>
      </c>
      <c r="Q6921" s="8">
        <f>-(80+0/60+1/3600)</f>
        <v>-80.000277777777782</v>
      </c>
      <c r="R6921" s="8">
        <v>11.2</v>
      </c>
      <c r="S6921" s="8">
        <v>12.4</v>
      </c>
      <c r="T6921" s="8">
        <v>1.2</v>
      </c>
      <c r="U6921" s="8">
        <v>13.3</v>
      </c>
      <c r="V6921" s="8">
        <v>1.8</v>
      </c>
      <c r="W6921" s="8">
        <v>1.5</v>
      </c>
      <c r="X6921" s="8">
        <v>142</v>
      </c>
      <c r="Y6921" s="8" t="s">
        <v>16988</v>
      </c>
      <c r="Z6921" s="8" t="s">
        <v>16989</v>
      </c>
    </row>
    <row r="6922" spans="1:26" x14ac:dyDescent="0.2">
      <c r="A6922" s="8">
        <v>6921</v>
      </c>
      <c r="B6922" s="8" t="s">
        <v>30745</v>
      </c>
      <c r="C6922" s="8" t="s">
        <v>30745</v>
      </c>
      <c r="F6922" s="47"/>
      <c r="G6922" s="8">
        <v>18</v>
      </c>
      <c r="H6922" s="8" t="s">
        <v>21</v>
      </c>
      <c r="I6922" s="8" t="s">
        <v>22</v>
      </c>
      <c r="J6922" s="8" t="s">
        <v>22</v>
      </c>
      <c r="K6922" s="8" t="s">
        <v>632</v>
      </c>
      <c r="L6922" s="8" t="s">
        <v>30153</v>
      </c>
      <c r="M6922" s="8" t="s">
        <v>30154</v>
      </c>
      <c r="N6922" s="8" t="s">
        <v>30746</v>
      </c>
      <c r="O6922" s="8">
        <f>20+28/60+28.9/3600</f>
        <v>20.474694444444442</v>
      </c>
      <c r="P6922" s="8" t="s">
        <v>30747</v>
      </c>
      <c r="Q6922" s="8">
        <f>+(25+43/60+26/3600)</f>
        <v>25.723888888888887</v>
      </c>
      <c r="R6922" s="8">
        <v>13.4</v>
      </c>
      <c r="S6922" s="8">
        <v>14.4</v>
      </c>
      <c r="T6922" s="8">
        <v>1</v>
      </c>
      <c r="U6922" s="8">
        <v>11.4</v>
      </c>
      <c r="V6922" s="8">
        <v>0.9</v>
      </c>
      <c r="W6922" s="8">
        <v>0.2</v>
      </c>
      <c r="X6922" s="8">
        <v>141</v>
      </c>
      <c r="Y6922" s="8" t="s">
        <v>1664</v>
      </c>
      <c r="Z6922" s="8" t="s">
        <v>1665</v>
      </c>
    </row>
    <row r="6923" spans="1:26" x14ac:dyDescent="0.2">
      <c r="A6923" s="8">
        <v>6922</v>
      </c>
      <c r="B6923" s="8" t="s">
        <v>30748</v>
      </c>
      <c r="C6923" s="8" t="s">
        <v>30748</v>
      </c>
      <c r="F6923" s="47"/>
      <c r="G6923" s="8">
        <v>18</v>
      </c>
      <c r="H6923" s="8" t="s">
        <v>21</v>
      </c>
      <c r="I6923" s="8" t="s">
        <v>22</v>
      </c>
      <c r="J6923" s="8" t="s">
        <v>22</v>
      </c>
      <c r="K6923" s="8" t="s">
        <v>160</v>
      </c>
      <c r="L6923" s="8" t="s">
        <v>29781</v>
      </c>
      <c r="M6923" s="8" t="s">
        <v>29782</v>
      </c>
      <c r="N6923" s="8" t="s">
        <v>30749</v>
      </c>
      <c r="O6923" s="8">
        <f>20+29/60+52.8/3600</f>
        <v>20.498000000000001</v>
      </c>
      <c r="P6923" s="8" t="s">
        <v>30750</v>
      </c>
      <c r="Q6923" s="8">
        <f>-(2+11/60+30/3600)</f>
        <v>-2.1916666666666664</v>
      </c>
      <c r="R6923" s="8">
        <v>13.5</v>
      </c>
      <c r="S6923" s="8">
        <v>14</v>
      </c>
      <c r="T6923" s="8">
        <v>0.5</v>
      </c>
      <c r="U6923" s="8">
        <v>13.7</v>
      </c>
      <c r="V6923" s="8">
        <v>1.3</v>
      </c>
      <c r="W6923" s="8">
        <v>1</v>
      </c>
      <c r="X6923" s="8">
        <v>150</v>
      </c>
      <c r="Y6923" s="8" t="s">
        <v>19885</v>
      </c>
      <c r="Z6923" s="8" t="s">
        <v>4076</v>
      </c>
    </row>
    <row r="6924" spans="1:26" x14ac:dyDescent="0.2">
      <c r="A6924" s="8">
        <v>6923</v>
      </c>
      <c r="B6924" s="8" t="s">
        <v>30751</v>
      </c>
      <c r="C6924" s="8" t="s">
        <v>30751</v>
      </c>
      <c r="F6924" s="47"/>
      <c r="G6924" s="8">
        <v>13</v>
      </c>
      <c r="H6924" s="8" t="s">
        <v>21</v>
      </c>
      <c r="I6924" s="8" t="s">
        <v>22</v>
      </c>
      <c r="J6924" s="8" t="s">
        <v>22</v>
      </c>
      <c r="K6924" s="8" t="s">
        <v>218</v>
      </c>
      <c r="L6924" s="8" t="s">
        <v>30738</v>
      </c>
      <c r="M6924" s="8" t="s">
        <v>30739</v>
      </c>
      <c r="N6924" s="8" t="s">
        <v>30752</v>
      </c>
      <c r="O6924" s="8">
        <f>20+31/60+39/3600</f>
        <v>20.5275</v>
      </c>
      <c r="P6924" s="8" t="s">
        <v>30753</v>
      </c>
      <c r="Q6924" s="8">
        <f>-(30+49/60+55/3600)</f>
        <v>-30.831944444444446</v>
      </c>
      <c r="R6924" s="8">
        <v>12</v>
      </c>
      <c r="S6924" s="8">
        <v>12.7</v>
      </c>
      <c r="T6924" s="8">
        <v>0.7</v>
      </c>
      <c r="U6924" s="8">
        <v>13.2</v>
      </c>
      <c r="V6924" s="8">
        <v>2.6</v>
      </c>
      <c r="W6924" s="8">
        <v>1.3</v>
      </c>
      <c r="X6924" s="8">
        <v>78</v>
      </c>
      <c r="Y6924" s="8" t="s">
        <v>30754</v>
      </c>
      <c r="Z6924" s="8" t="s">
        <v>30755</v>
      </c>
    </row>
    <row r="6925" spans="1:26" x14ac:dyDescent="0.2">
      <c r="A6925" s="8">
        <v>6924</v>
      </c>
      <c r="B6925" s="8" t="s">
        <v>30756</v>
      </c>
      <c r="C6925" s="8" t="s">
        <v>30756</v>
      </c>
      <c r="F6925" s="47"/>
      <c r="G6925" s="8">
        <v>19</v>
      </c>
      <c r="H6925" s="8" t="s">
        <v>21</v>
      </c>
      <c r="I6925" s="8" t="s">
        <v>22</v>
      </c>
      <c r="J6925" s="8" t="s">
        <v>22</v>
      </c>
      <c r="K6925" s="8" t="s">
        <v>58</v>
      </c>
      <c r="L6925" s="8" t="s">
        <v>30635</v>
      </c>
      <c r="M6925" s="8" t="s">
        <v>30636</v>
      </c>
      <c r="N6925" s="8" t="s">
        <v>30757</v>
      </c>
      <c r="O6925" s="8">
        <f>20+33/60+19.1/3600</f>
        <v>20.555305555555556</v>
      </c>
      <c r="P6925" s="8" t="s">
        <v>30758</v>
      </c>
      <c r="Q6925" s="8">
        <f>-(25+28/60+28/3600)</f>
        <v>-25.474444444444444</v>
      </c>
      <c r="R6925" s="8">
        <v>12.8</v>
      </c>
      <c r="S6925" s="8">
        <v>13.9</v>
      </c>
      <c r="T6925" s="8">
        <v>1.1000000000000001</v>
      </c>
      <c r="U6925" s="8">
        <v>14</v>
      </c>
      <c r="V6925" s="8">
        <v>2</v>
      </c>
      <c r="W6925" s="8">
        <v>1.7</v>
      </c>
      <c r="X6925" s="8">
        <v>154</v>
      </c>
      <c r="Y6925" s="8" t="s">
        <v>30759</v>
      </c>
      <c r="Z6925" s="8" t="s">
        <v>30760</v>
      </c>
    </row>
    <row r="6926" spans="1:26" x14ac:dyDescent="0.2">
      <c r="A6926" s="8">
        <v>6925</v>
      </c>
      <c r="B6926" s="8" t="s">
        <v>30761</v>
      </c>
      <c r="C6926" s="8" t="s">
        <v>30761</v>
      </c>
      <c r="F6926" s="47"/>
      <c r="G6926" s="8">
        <v>13</v>
      </c>
      <c r="H6926" s="8" t="s">
        <v>21</v>
      </c>
      <c r="I6926" s="8" t="s">
        <v>22</v>
      </c>
      <c r="J6926" s="8" t="s">
        <v>22</v>
      </c>
      <c r="K6926" s="8" t="s">
        <v>396</v>
      </c>
      <c r="L6926" s="8" t="s">
        <v>30738</v>
      </c>
      <c r="M6926" s="8" t="s">
        <v>30739</v>
      </c>
      <c r="N6926" s="8" t="s">
        <v>30762</v>
      </c>
      <c r="O6926" s="8">
        <f>20+34/60+20.5/3600</f>
        <v>20.57236111111111</v>
      </c>
      <c r="P6926" s="8" t="s">
        <v>30763</v>
      </c>
      <c r="Q6926" s="8">
        <f>-(31+58/60+48/3600)</f>
        <v>-31.979999999999997</v>
      </c>
      <c r="R6926" s="8">
        <v>11.3</v>
      </c>
      <c r="S6926" s="8">
        <v>12.1</v>
      </c>
      <c r="T6926" s="8">
        <v>0.8</v>
      </c>
      <c r="U6926" s="8">
        <v>13</v>
      </c>
      <c r="V6926" s="8">
        <v>4.4000000000000004</v>
      </c>
      <c r="W6926" s="8">
        <v>1.1000000000000001</v>
      </c>
      <c r="X6926" s="8">
        <v>5</v>
      </c>
      <c r="Y6926" s="8" t="s">
        <v>30764</v>
      </c>
      <c r="Z6926" s="8" t="s">
        <v>30765</v>
      </c>
    </row>
    <row r="6927" spans="1:26" x14ac:dyDescent="0.2">
      <c r="A6927" s="8">
        <v>6926</v>
      </c>
      <c r="B6927" s="8" t="s">
        <v>30766</v>
      </c>
      <c r="C6927" s="8" t="s">
        <v>30766</v>
      </c>
      <c r="F6927" s="47" t="s">
        <v>58266</v>
      </c>
      <c r="G6927" s="8">
        <v>15</v>
      </c>
      <c r="H6927" s="8" t="s">
        <v>21</v>
      </c>
      <c r="I6927" s="8" t="s">
        <v>22</v>
      </c>
      <c r="J6927" s="8" t="s">
        <v>22</v>
      </c>
      <c r="K6927" s="8" t="s">
        <v>520</v>
      </c>
      <c r="L6927" s="8" t="s">
        <v>29781</v>
      </c>
      <c r="M6927" s="8" t="s">
        <v>29782</v>
      </c>
      <c r="N6927" s="8" t="s">
        <v>30767</v>
      </c>
      <c r="O6927" s="8">
        <f>20+33/60+5.9/3600</f>
        <v>20.551638888888888</v>
      </c>
      <c r="P6927" s="8" t="s">
        <v>30768</v>
      </c>
      <c r="Q6927" s="8">
        <f>-(2+1/60+44/3600)</f>
        <v>-2.028888888888889</v>
      </c>
      <c r="R6927" s="8">
        <v>12.4</v>
      </c>
      <c r="S6927" s="8">
        <v>13.2</v>
      </c>
      <c r="T6927" s="8">
        <v>0.8</v>
      </c>
      <c r="U6927" s="8">
        <v>13.3</v>
      </c>
      <c r="V6927" s="8">
        <v>2</v>
      </c>
      <c r="W6927" s="8">
        <v>1.4</v>
      </c>
      <c r="X6927" s="8">
        <v>0</v>
      </c>
      <c r="Y6927" s="8" t="s">
        <v>30769</v>
      </c>
      <c r="Z6927" s="8" t="s">
        <v>30770</v>
      </c>
    </row>
    <row r="6928" spans="1:26" x14ac:dyDescent="0.2">
      <c r="A6928" s="8">
        <v>6927</v>
      </c>
      <c r="B6928" s="8" t="s">
        <v>30771</v>
      </c>
      <c r="C6928" s="8" t="s">
        <v>30771</v>
      </c>
      <c r="F6928" s="47"/>
      <c r="G6928" s="8">
        <v>18</v>
      </c>
      <c r="H6928" s="8" t="s">
        <v>21</v>
      </c>
      <c r="I6928" s="8" t="s">
        <v>22</v>
      </c>
      <c r="J6928" s="8" t="s">
        <v>22</v>
      </c>
      <c r="K6928" s="8" t="s">
        <v>37</v>
      </c>
      <c r="L6928" s="8" t="s">
        <v>30604</v>
      </c>
      <c r="M6928" s="8" t="s">
        <v>30605</v>
      </c>
      <c r="N6928" s="8" t="s">
        <v>30772</v>
      </c>
      <c r="O6928" s="8">
        <f>20+32/60+38.1/3600</f>
        <v>20.543916666666668</v>
      </c>
      <c r="P6928" s="8" t="s">
        <v>30773</v>
      </c>
      <c r="Q6928" s="8">
        <f>+(9+55/60+1/3600)</f>
        <v>9.916944444444443</v>
      </c>
      <c r="R6928" s="8">
        <v>14.5</v>
      </c>
      <c r="S6928" s="8">
        <v>15.5</v>
      </c>
      <c r="T6928" s="8">
        <v>1</v>
      </c>
      <c r="U6928" s="8">
        <v>13.3</v>
      </c>
      <c r="V6928" s="8">
        <v>0.5</v>
      </c>
      <c r="W6928" s="8">
        <v>0.2</v>
      </c>
      <c r="X6928" s="8">
        <v>5</v>
      </c>
      <c r="Y6928" s="8" t="s">
        <v>2370</v>
      </c>
      <c r="Z6928" s="8" t="s">
        <v>2371</v>
      </c>
    </row>
    <row r="6929" spans="1:26" x14ac:dyDescent="0.2">
      <c r="A6929" s="8">
        <v>6928</v>
      </c>
      <c r="B6929" s="8" t="s">
        <v>30774</v>
      </c>
      <c r="C6929" s="8" t="s">
        <v>30774</v>
      </c>
      <c r="F6929" s="47"/>
      <c r="G6929" s="8">
        <v>12</v>
      </c>
      <c r="H6929" s="8" t="s">
        <v>21</v>
      </c>
      <c r="I6929" s="8" t="s">
        <v>22</v>
      </c>
      <c r="J6929" s="8" t="s">
        <v>22</v>
      </c>
      <c r="K6929" s="8" t="s">
        <v>406</v>
      </c>
      <c r="L6929" s="8" t="s">
        <v>30604</v>
      </c>
      <c r="M6929" s="8" t="s">
        <v>30605</v>
      </c>
      <c r="N6929" s="8" t="s">
        <v>30775</v>
      </c>
      <c r="O6929" s="8">
        <f>20+32/60+50.1/3600</f>
        <v>20.547250000000002</v>
      </c>
      <c r="P6929" s="8" t="s">
        <v>30776</v>
      </c>
      <c r="Q6929" s="8">
        <f>+(9+55/60+39/3600)</f>
        <v>9.9275000000000002</v>
      </c>
      <c r="R6929" s="8">
        <v>12.2</v>
      </c>
      <c r="S6929" s="8">
        <v>13.2</v>
      </c>
      <c r="T6929" s="8">
        <v>1</v>
      </c>
      <c r="U6929" s="8">
        <v>12.4</v>
      </c>
      <c r="V6929" s="8">
        <v>2.1</v>
      </c>
      <c r="W6929" s="8">
        <v>0.6</v>
      </c>
      <c r="X6929" s="8">
        <v>106</v>
      </c>
      <c r="Y6929" s="8" t="s">
        <v>30777</v>
      </c>
      <c r="Z6929" s="8" t="s">
        <v>30778</v>
      </c>
    </row>
    <row r="6930" spans="1:26" x14ac:dyDescent="0.2">
      <c r="A6930" s="8">
        <v>6929</v>
      </c>
      <c r="B6930" s="8" t="s">
        <v>30779</v>
      </c>
      <c r="C6930" s="8" t="s">
        <v>30779</v>
      </c>
      <c r="F6930" s="47"/>
      <c r="G6930" s="8">
        <v>16</v>
      </c>
      <c r="H6930" s="8" t="s">
        <v>21</v>
      </c>
      <c r="I6930" s="8" t="s">
        <v>22</v>
      </c>
      <c r="J6930" s="8" t="s">
        <v>22</v>
      </c>
      <c r="K6930" s="8" t="s">
        <v>632</v>
      </c>
      <c r="L6930" s="8" t="s">
        <v>29781</v>
      </c>
      <c r="M6930" s="8" t="s">
        <v>29782</v>
      </c>
      <c r="N6930" s="8" t="s">
        <v>30780</v>
      </c>
      <c r="O6930" s="8">
        <f>20+33/60+21.6/3600</f>
        <v>20.556000000000001</v>
      </c>
      <c r="P6930" s="8" t="s">
        <v>30781</v>
      </c>
      <c r="Q6930" s="8">
        <f>-(2+2/60+12/3600)</f>
        <v>-2.0366666666666666</v>
      </c>
      <c r="R6930" s="8">
        <v>13.4</v>
      </c>
      <c r="S6930" s="8">
        <v>14.4</v>
      </c>
      <c r="T6930" s="8">
        <v>1</v>
      </c>
      <c r="U6930" s="8">
        <v>12.6</v>
      </c>
      <c r="V6930" s="8">
        <v>0.8</v>
      </c>
      <c r="W6930" s="8">
        <v>0.7</v>
      </c>
      <c r="X6930" s="8">
        <v>77</v>
      </c>
      <c r="Y6930" s="8" t="s">
        <v>30782</v>
      </c>
      <c r="Z6930" s="8" t="s">
        <v>16743</v>
      </c>
    </row>
    <row r="6931" spans="1:26" x14ac:dyDescent="0.2">
      <c r="A6931" s="8">
        <v>6930</v>
      </c>
      <c r="B6931" s="8" t="s">
        <v>30783</v>
      </c>
      <c r="C6931" s="8" t="s">
        <v>30783</v>
      </c>
      <c r="F6931" s="47"/>
      <c r="G6931" s="8">
        <v>18</v>
      </c>
      <c r="H6931" s="8" t="s">
        <v>21</v>
      </c>
      <c r="I6931" s="8" t="s">
        <v>22</v>
      </c>
      <c r="J6931" s="8" t="s">
        <v>22</v>
      </c>
      <c r="K6931" s="8" t="s">
        <v>406</v>
      </c>
      <c r="L6931" s="8" t="s">
        <v>30604</v>
      </c>
      <c r="M6931" s="8" t="s">
        <v>30605</v>
      </c>
      <c r="N6931" s="8" t="s">
        <v>30784</v>
      </c>
      <c r="O6931" s="8">
        <f>20+32/60+58.8/3600</f>
        <v>20.549666666666667</v>
      </c>
      <c r="P6931" s="8" t="s">
        <v>30785</v>
      </c>
      <c r="Q6931" s="8">
        <f>+(9+52/60+26/3600)</f>
        <v>9.8738888888888887</v>
      </c>
      <c r="R6931" s="8">
        <v>12.8</v>
      </c>
      <c r="S6931" s="8">
        <v>13.6</v>
      </c>
      <c r="T6931" s="8">
        <v>0.8</v>
      </c>
      <c r="U6931" s="8">
        <v>12.1</v>
      </c>
      <c r="V6931" s="8">
        <v>1.2</v>
      </c>
      <c r="W6931" s="8">
        <v>0.5</v>
      </c>
      <c r="X6931" s="8">
        <v>8</v>
      </c>
      <c r="Y6931" s="8" t="s">
        <v>5275</v>
      </c>
      <c r="Z6931" s="8" t="s">
        <v>5276</v>
      </c>
    </row>
    <row r="6932" spans="1:26" x14ac:dyDescent="0.2">
      <c r="A6932" s="8">
        <v>6931</v>
      </c>
      <c r="B6932" s="8" t="s">
        <v>30786</v>
      </c>
      <c r="C6932" s="8" t="s">
        <v>30786</v>
      </c>
      <c r="F6932" s="47"/>
      <c r="G6932" s="8">
        <v>19</v>
      </c>
      <c r="H6932" s="8" t="s">
        <v>21</v>
      </c>
      <c r="I6932" s="8" t="s">
        <v>22</v>
      </c>
      <c r="J6932" s="8" t="s">
        <v>22</v>
      </c>
      <c r="K6932" s="8" t="s">
        <v>23</v>
      </c>
      <c r="L6932" s="8" t="s">
        <v>30635</v>
      </c>
      <c r="M6932" s="8" t="s">
        <v>30636</v>
      </c>
      <c r="N6932" s="8" t="s">
        <v>30787</v>
      </c>
      <c r="O6932" s="8">
        <f>20+33/60+41.4/3600</f>
        <v>20.561500000000002</v>
      </c>
      <c r="P6932" s="8" t="s">
        <v>30788</v>
      </c>
      <c r="Q6932" s="8">
        <f>-(11+22/60+8/3600)</f>
        <v>-11.36888888888889</v>
      </c>
      <c r="R6932" s="8">
        <v>13.5</v>
      </c>
      <c r="S6932" s="8">
        <v>14.3</v>
      </c>
      <c r="T6932" s="8">
        <v>0.8</v>
      </c>
      <c r="U6932" s="8">
        <v>12.5</v>
      </c>
      <c r="V6932" s="8">
        <v>1</v>
      </c>
      <c r="W6932" s="8">
        <v>0.4</v>
      </c>
      <c r="X6932" s="8">
        <v>125</v>
      </c>
      <c r="Y6932" s="8" t="s">
        <v>30789</v>
      </c>
      <c r="Z6932" s="8" t="s">
        <v>30790</v>
      </c>
    </row>
    <row r="6933" spans="1:26" x14ac:dyDescent="0.2">
      <c r="A6933" s="8">
        <v>6932</v>
      </c>
      <c r="B6933" s="8" t="s">
        <v>30791</v>
      </c>
      <c r="C6933" s="8" t="s">
        <v>30791</v>
      </c>
      <c r="F6933" s="47"/>
      <c r="G6933" s="8">
        <v>16</v>
      </c>
      <c r="H6933" s="8" t="s">
        <v>21</v>
      </c>
      <c r="I6933" s="8" t="s">
        <v>22</v>
      </c>
      <c r="J6933" s="8" t="s">
        <v>22</v>
      </c>
      <c r="K6933" s="8" t="s">
        <v>224</v>
      </c>
      <c r="L6933" s="8" t="s">
        <v>28435</v>
      </c>
      <c r="M6933" s="8" t="s">
        <v>28436</v>
      </c>
      <c r="N6933" s="8" t="s">
        <v>30792</v>
      </c>
      <c r="O6933" s="8">
        <f>20+42/60+8.6/3600</f>
        <v>20.702388888888887</v>
      </c>
      <c r="P6933" s="8" t="s">
        <v>30793</v>
      </c>
      <c r="Q6933" s="8">
        <f>-(73+37/60+8/3600)</f>
        <v>-73.618888888888875</v>
      </c>
      <c r="R6933" s="8">
        <v>12.3</v>
      </c>
      <c r="S6933" s="8">
        <v>13.2</v>
      </c>
      <c r="T6933" s="8">
        <v>0.9</v>
      </c>
      <c r="U6933" s="8">
        <v>13.4</v>
      </c>
      <c r="V6933" s="8">
        <v>2.2000000000000002</v>
      </c>
      <c r="W6933" s="8">
        <v>1.6</v>
      </c>
      <c r="X6933" s="8">
        <v>115</v>
      </c>
      <c r="Y6933" s="8" t="s">
        <v>30794</v>
      </c>
      <c r="Z6933" s="8" t="s">
        <v>30795</v>
      </c>
    </row>
    <row r="6934" spans="1:26" x14ac:dyDescent="0.2">
      <c r="A6934" s="8">
        <v>6933</v>
      </c>
      <c r="B6934" s="8" t="s">
        <v>30796</v>
      </c>
      <c r="C6934" s="8" t="s">
        <v>30796</v>
      </c>
      <c r="F6934" s="47"/>
      <c r="G6934" s="8">
        <v>18</v>
      </c>
      <c r="H6934" s="8" t="s">
        <v>21</v>
      </c>
      <c r="I6934" s="8" t="s">
        <v>72</v>
      </c>
      <c r="J6934" s="8" t="s">
        <v>72</v>
      </c>
      <c r="K6934" s="8" t="s">
        <v>73</v>
      </c>
      <c r="L6934" s="8" t="s">
        <v>30604</v>
      </c>
      <c r="M6934" s="8" t="s">
        <v>30605</v>
      </c>
      <c r="N6934" s="8" t="s">
        <v>30797</v>
      </c>
      <c r="O6934" s="8">
        <f>20+33/60+38.2/3600</f>
        <v>20.560611111111111</v>
      </c>
      <c r="P6934" s="8" t="s">
        <v>30798</v>
      </c>
      <c r="Q6934" s="8">
        <f>+(7+23/60+16/3600)</f>
        <v>7.387777777777778</v>
      </c>
      <c r="R6934" s="8">
        <v>99</v>
      </c>
      <c r="S6934" s="8">
        <v>99</v>
      </c>
      <c r="T6934" s="8">
        <v>99</v>
      </c>
      <c r="U6934" s="8">
        <v>99</v>
      </c>
      <c r="Y6934" s="8" t="s">
        <v>30799</v>
      </c>
      <c r="Z6934" s="8" t="s">
        <v>30800</v>
      </c>
    </row>
    <row r="6935" spans="1:26" x14ac:dyDescent="0.2">
      <c r="A6935" s="8">
        <v>6934</v>
      </c>
      <c r="B6935" s="8" t="s">
        <v>30801</v>
      </c>
      <c r="C6935" s="8" t="s">
        <v>30801</v>
      </c>
      <c r="F6935" s="47" t="s">
        <v>58267</v>
      </c>
      <c r="G6935" s="8">
        <v>2</v>
      </c>
      <c r="H6935" s="8" t="s">
        <v>21</v>
      </c>
      <c r="I6935" s="8" t="s">
        <v>567</v>
      </c>
      <c r="J6935" s="8" t="s">
        <v>567</v>
      </c>
      <c r="K6935" s="8" t="s">
        <v>21778</v>
      </c>
      <c r="L6935" s="8" t="s">
        <v>30604</v>
      </c>
      <c r="M6935" s="8" t="s">
        <v>30605</v>
      </c>
      <c r="N6935" s="8" t="s">
        <v>30802</v>
      </c>
      <c r="O6935" s="8">
        <f>20+34/60+11.6/3600</f>
        <v>20.56988888888889</v>
      </c>
      <c r="P6935" s="8" t="s">
        <v>30803</v>
      </c>
      <c r="Q6935" s="8">
        <f>+(7+24/60+17/3600)</f>
        <v>7.4047222222222224</v>
      </c>
      <c r="R6935" s="8">
        <v>8.9</v>
      </c>
      <c r="S6935" s="8">
        <v>99</v>
      </c>
      <c r="T6935" s="8">
        <v>99</v>
      </c>
      <c r="U6935" s="8">
        <v>99</v>
      </c>
      <c r="V6935" s="8">
        <v>7.1</v>
      </c>
      <c r="Y6935" s="8" t="s">
        <v>30804</v>
      </c>
      <c r="Z6935" s="8" t="s">
        <v>30805</v>
      </c>
    </row>
    <row r="6936" spans="1:26" x14ac:dyDescent="0.2">
      <c r="A6936" s="8">
        <v>6935</v>
      </c>
      <c r="B6936" s="8" t="s">
        <v>30806</v>
      </c>
      <c r="C6936" s="8" t="s">
        <v>30806</v>
      </c>
      <c r="F6936" s="47"/>
      <c r="G6936" s="8">
        <v>13</v>
      </c>
      <c r="H6936" s="8" t="s">
        <v>21</v>
      </c>
      <c r="I6936" s="8" t="s">
        <v>22</v>
      </c>
      <c r="J6936" s="8" t="s">
        <v>22</v>
      </c>
      <c r="K6936" s="8" t="s">
        <v>154</v>
      </c>
      <c r="L6936" s="8" t="s">
        <v>30731</v>
      </c>
      <c r="M6936" s="8" t="s">
        <v>30732</v>
      </c>
      <c r="N6936" s="8" t="s">
        <v>30807</v>
      </c>
      <c r="O6936" s="8">
        <f>20+38/60+20/3600</f>
        <v>20.638888888888889</v>
      </c>
      <c r="P6936" s="8" t="s">
        <v>30808</v>
      </c>
      <c r="Q6936" s="8">
        <f>-(52+6/60+37/3600)</f>
        <v>-52.110277777777782</v>
      </c>
      <c r="R6936" s="8">
        <v>12</v>
      </c>
      <c r="S6936" s="8">
        <v>12.8</v>
      </c>
      <c r="T6936" s="8">
        <v>0.8</v>
      </c>
      <c r="U6936" s="8">
        <v>13.2</v>
      </c>
      <c r="V6936" s="8">
        <v>2.1</v>
      </c>
      <c r="W6936" s="8">
        <v>1.8</v>
      </c>
      <c r="X6936" s="8">
        <v>8</v>
      </c>
      <c r="Y6936" s="8" t="s">
        <v>30809</v>
      </c>
      <c r="Z6936" s="8" t="s">
        <v>30810</v>
      </c>
    </row>
    <row r="6937" spans="1:26" x14ac:dyDescent="0.2">
      <c r="A6937" s="8">
        <v>6936</v>
      </c>
      <c r="B6937" s="8" t="s">
        <v>30811</v>
      </c>
      <c r="C6937" s="8" t="s">
        <v>30811</v>
      </c>
      <c r="F6937" s="47"/>
      <c r="G6937" s="8">
        <v>19</v>
      </c>
      <c r="H6937" s="8" t="s">
        <v>21</v>
      </c>
      <c r="I6937" s="8" t="s">
        <v>22</v>
      </c>
      <c r="J6937" s="8" t="s">
        <v>22</v>
      </c>
      <c r="K6937" s="8" t="s">
        <v>58</v>
      </c>
      <c r="L6937" s="8" t="s">
        <v>30635</v>
      </c>
      <c r="M6937" s="8" t="s">
        <v>30636</v>
      </c>
      <c r="N6937" s="8" t="s">
        <v>30812</v>
      </c>
      <c r="O6937" s="8">
        <f>20+35/60+56.3/3600</f>
        <v>20.598972222222223</v>
      </c>
      <c r="P6937" s="8" t="s">
        <v>30813</v>
      </c>
      <c r="Q6937" s="8">
        <f>-(25+16/60+48/3600)</f>
        <v>-25.279999999999998</v>
      </c>
      <c r="R6937" s="8">
        <v>12.7</v>
      </c>
      <c r="S6937" s="8">
        <v>13.7</v>
      </c>
      <c r="T6937" s="8">
        <v>1</v>
      </c>
      <c r="U6937" s="8">
        <v>13</v>
      </c>
      <c r="V6937" s="8">
        <v>1.8</v>
      </c>
      <c r="W6937" s="8">
        <v>1</v>
      </c>
      <c r="X6937" s="8">
        <v>4</v>
      </c>
      <c r="Y6937" s="8" t="s">
        <v>30814</v>
      </c>
      <c r="Z6937" s="8" t="s">
        <v>30815</v>
      </c>
    </row>
    <row r="6938" spans="1:26" x14ac:dyDescent="0.2">
      <c r="A6938" s="8">
        <v>6937</v>
      </c>
      <c r="B6938" s="8" t="s">
        <v>30816</v>
      </c>
      <c r="C6938" s="8" t="s">
        <v>30816</v>
      </c>
      <c r="F6938" s="47"/>
      <c r="G6938" s="8">
        <v>16</v>
      </c>
      <c r="H6938" s="8" t="s">
        <v>21</v>
      </c>
      <c r="I6938" s="8" t="s">
        <v>22</v>
      </c>
      <c r="J6938" s="8" t="s">
        <v>22</v>
      </c>
      <c r="K6938" s="8" t="s">
        <v>64</v>
      </c>
      <c r="L6938" s="8" t="s">
        <v>30731</v>
      </c>
      <c r="M6938" s="8" t="s">
        <v>30732</v>
      </c>
      <c r="N6938" s="8" t="s">
        <v>30817</v>
      </c>
      <c r="O6938" s="8">
        <f>20+38/60+45.8/3600</f>
        <v>20.646055555555556</v>
      </c>
      <c r="P6938" s="8" t="s">
        <v>30818</v>
      </c>
      <c r="Q6938" s="8">
        <f>-(52+8/60+38/3600)</f>
        <v>-52.143888888888888</v>
      </c>
      <c r="R6938" s="8">
        <v>12.9</v>
      </c>
      <c r="S6938" s="8">
        <v>13.6</v>
      </c>
      <c r="T6938" s="8">
        <v>0.7</v>
      </c>
      <c r="U6938" s="8">
        <v>14.5</v>
      </c>
      <c r="V6938" s="8">
        <v>2.5</v>
      </c>
      <c r="W6938" s="8">
        <v>2.1</v>
      </c>
      <c r="X6938" s="8">
        <v>51</v>
      </c>
      <c r="Y6938" s="8" t="s">
        <v>30819</v>
      </c>
      <c r="Z6938" s="8" t="s">
        <v>30820</v>
      </c>
    </row>
    <row r="6939" spans="1:26" x14ac:dyDescent="0.2">
      <c r="A6939" s="8">
        <v>6938</v>
      </c>
      <c r="B6939" s="8" t="s">
        <v>30821</v>
      </c>
      <c r="C6939" s="8" t="s">
        <v>30821</v>
      </c>
      <c r="F6939" s="47" t="s">
        <v>58268</v>
      </c>
      <c r="G6939" s="8">
        <v>15</v>
      </c>
      <c r="H6939" s="8" t="s">
        <v>21</v>
      </c>
      <c r="I6939" s="8" t="s">
        <v>72</v>
      </c>
      <c r="J6939" s="8" t="s">
        <v>72</v>
      </c>
      <c r="K6939" s="8" t="s">
        <v>1405</v>
      </c>
      <c r="L6939" s="8" t="s">
        <v>30153</v>
      </c>
      <c r="M6939" s="8" t="s">
        <v>30154</v>
      </c>
      <c r="N6939" s="8" t="s">
        <v>30822</v>
      </c>
      <c r="O6939" s="8">
        <f>20+34/60+42/3600</f>
        <v>20.578333333333333</v>
      </c>
      <c r="P6939" s="8" t="s">
        <v>30823</v>
      </c>
      <c r="Q6939" s="8">
        <f>+(22+13/60+2/3600)</f>
        <v>22.217222222222219</v>
      </c>
      <c r="R6939" s="8">
        <v>99</v>
      </c>
      <c r="S6939" s="8">
        <v>99</v>
      </c>
      <c r="T6939" s="8">
        <v>99</v>
      </c>
      <c r="U6939" s="8">
        <v>99</v>
      </c>
      <c r="V6939" s="8">
        <v>8</v>
      </c>
      <c r="Y6939" s="8" t="s">
        <v>30824</v>
      </c>
      <c r="Z6939" s="8" t="s">
        <v>11132</v>
      </c>
    </row>
    <row r="6940" spans="1:26" x14ac:dyDescent="0.2">
      <c r="A6940" s="8">
        <v>6939</v>
      </c>
      <c r="B6940" s="8" t="s">
        <v>30825</v>
      </c>
      <c r="C6940" s="8" t="s">
        <v>30825</v>
      </c>
      <c r="F6940" s="47" t="s">
        <v>58269</v>
      </c>
      <c r="G6940" s="8">
        <v>6</v>
      </c>
      <c r="H6940" s="8" t="s">
        <v>30826</v>
      </c>
      <c r="I6940" s="8" t="s">
        <v>557</v>
      </c>
      <c r="J6940" s="8" t="s">
        <v>557</v>
      </c>
      <c r="K6940" s="8" t="s">
        <v>29710</v>
      </c>
      <c r="L6940" s="8" t="s">
        <v>242</v>
      </c>
      <c r="M6940" s="8" t="s">
        <v>243</v>
      </c>
      <c r="N6940" s="8" t="s">
        <v>30827</v>
      </c>
      <c r="O6940" s="8">
        <f>20+31/60+30/3600</f>
        <v>20.524999999999999</v>
      </c>
      <c r="P6940" s="8" t="s">
        <v>30828</v>
      </c>
      <c r="Q6940" s="8">
        <f>+(60+39/60+42/3600)</f>
        <v>60.661666666666662</v>
      </c>
      <c r="R6940" s="8">
        <v>7.8</v>
      </c>
      <c r="S6940" s="8">
        <v>99</v>
      </c>
      <c r="T6940" s="8">
        <v>99</v>
      </c>
      <c r="U6940" s="8">
        <v>99</v>
      </c>
      <c r="V6940" s="8">
        <v>10</v>
      </c>
      <c r="Y6940" s="8" t="s">
        <v>30829</v>
      </c>
      <c r="Z6940" s="8" t="s">
        <v>30830</v>
      </c>
    </row>
    <row r="6941" spans="1:26" x14ac:dyDescent="0.2">
      <c r="A6941" s="8">
        <v>6940</v>
      </c>
      <c r="B6941" s="8" t="s">
        <v>30831</v>
      </c>
      <c r="C6941" s="8" t="s">
        <v>30831</v>
      </c>
      <c r="F6941" s="47" t="s">
        <v>58270</v>
      </c>
      <c r="G6941" s="8">
        <v>5</v>
      </c>
      <c r="H6941" s="8" t="s">
        <v>30832</v>
      </c>
      <c r="I6941" s="8" t="s">
        <v>557</v>
      </c>
      <c r="J6941" s="8" t="s">
        <v>557</v>
      </c>
      <c r="K6941" s="8" t="s">
        <v>3217</v>
      </c>
      <c r="L6941" s="8" t="s">
        <v>30153</v>
      </c>
      <c r="M6941" s="8" t="s">
        <v>30154</v>
      </c>
      <c r="N6941" s="8" t="s">
        <v>30833</v>
      </c>
      <c r="O6941" s="8">
        <f>20+34/60+32.3/3600</f>
        <v>20.575638888888889</v>
      </c>
      <c r="P6941" s="8" t="s">
        <v>30834</v>
      </c>
      <c r="Q6941" s="8">
        <f>+(28+16/60+49/3600)</f>
        <v>28.280277777777776</v>
      </c>
      <c r="R6941" s="8">
        <v>6.3</v>
      </c>
      <c r="S6941" s="8">
        <v>99</v>
      </c>
      <c r="T6941" s="8">
        <v>99</v>
      </c>
      <c r="U6941" s="8">
        <v>99</v>
      </c>
      <c r="V6941" s="8">
        <v>25</v>
      </c>
      <c r="Y6941" s="8" t="s">
        <v>30835</v>
      </c>
      <c r="Z6941" s="8" t="s">
        <v>30836</v>
      </c>
    </row>
    <row r="6942" spans="1:26" x14ac:dyDescent="0.2">
      <c r="A6942" s="8">
        <v>6941</v>
      </c>
      <c r="B6942" s="8" t="s">
        <v>30837</v>
      </c>
      <c r="C6942" s="8" t="s">
        <v>30837</v>
      </c>
      <c r="F6942" s="47"/>
      <c r="G6942" s="8">
        <v>18</v>
      </c>
      <c r="H6942" s="8" t="s">
        <v>21</v>
      </c>
      <c r="I6942" s="8" t="s">
        <v>22</v>
      </c>
      <c r="J6942" s="8" t="s">
        <v>22</v>
      </c>
      <c r="K6942" s="8" t="s">
        <v>23</v>
      </c>
      <c r="L6942" s="8" t="s">
        <v>29781</v>
      </c>
      <c r="M6942" s="8" t="s">
        <v>29782</v>
      </c>
      <c r="N6942" s="8" t="s">
        <v>30838</v>
      </c>
      <c r="O6942" s="8">
        <f>20+36/60+23.5/3600</f>
        <v>20.606527777777778</v>
      </c>
      <c r="P6942" s="8" t="s">
        <v>30839</v>
      </c>
      <c r="Q6942" s="8">
        <f>-(4+37/60+8/3600)</f>
        <v>-4.6188888888888897</v>
      </c>
      <c r="R6942" s="8">
        <v>12.8</v>
      </c>
      <c r="S6942" s="8">
        <v>13.6</v>
      </c>
      <c r="T6942" s="8">
        <v>0.8</v>
      </c>
      <c r="U6942" s="8">
        <v>13.8</v>
      </c>
      <c r="V6942" s="8">
        <v>2</v>
      </c>
      <c r="W6942" s="8">
        <v>1.4</v>
      </c>
      <c r="X6942" s="8">
        <v>115</v>
      </c>
      <c r="Y6942" s="8" t="s">
        <v>12784</v>
      </c>
      <c r="Z6942" s="8" t="s">
        <v>12785</v>
      </c>
    </row>
    <row r="6943" spans="1:26" x14ac:dyDescent="0.2">
      <c r="A6943" s="8">
        <v>6942</v>
      </c>
      <c r="B6943" s="8" t="s">
        <v>30840</v>
      </c>
      <c r="C6943" s="8" t="s">
        <v>30840</v>
      </c>
      <c r="F6943" s="47"/>
      <c r="G6943" s="8">
        <v>13</v>
      </c>
      <c r="H6943" s="8" t="s">
        <v>21</v>
      </c>
      <c r="I6943" s="8" t="s">
        <v>22</v>
      </c>
      <c r="J6943" s="8" t="s">
        <v>22</v>
      </c>
      <c r="K6943" s="8" t="s">
        <v>435</v>
      </c>
      <c r="L6943" s="8" t="s">
        <v>30731</v>
      </c>
      <c r="M6943" s="8" t="s">
        <v>30732</v>
      </c>
      <c r="N6943" s="8" t="s">
        <v>30841</v>
      </c>
      <c r="O6943" s="8">
        <f>20+40/60+37.9/3600</f>
        <v>20.677194444444446</v>
      </c>
      <c r="P6943" s="8" t="s">
        <v>30842</v>
      </c>
      <c r="Q6943" s="8">
        <f>-(54+18/60+8/3600)</f>
        <v>-54.30222222222222</v>
      </c>
      <c r="R6943" s="8">
        <v>11.7</v>
      </c>
      <c r="S6943" s="8">
        <v>12.6</v>
      </c>
      <c r="T6943" s="8">
        <v>0.9</v>
      </c>
      <c r="U6943" s="8">
        <v>12.9</v>
      </c>
      <c r="V6943" s="8">
        <v>2.1</v>
      </c>
      <c r="W6943" s="8">
        <v>1.6</v>
      </c>
      <c r="X6943" s="8">
        <v>150</v>
      </c>
      <c r="Y6943" s="8" t="s">
        <v>30843</v>
      </c>
      <c r="Z6943" s="8" t="s">
        <v>30844</v>
      </c>
    </row>
    <row r="6944" spans="1:26" x14ac:dyDescent="0.2">
      <c r="A6944" s="8">
        <v>6943</v>
      </c>
      <c r="B6944" s="8" t="s">
        <v>30845</v>
      </c>
      <c r="C6944" s="8" t="s">
        <v>30845</v>
      </c>
      <c r="F6944" s="47"/>
      <c r="G6944" s="8">
        <v>13</v>
      </c>
      <c r="H6944" s="8" t="s">
        <v>21</v>
      </c>
      <c r="I6944" s="8" t="s">
        <v>22</v>
      </c>
      <c r="J6944" s="8" t="s">
        <v>22</v>
      </c>
      <c r="K6944" s="8" t="s">
        <v>64</v>
      </c>
      <c r="L6944" s="8" t="s">
        <v>28435</v>
      </c>
      <c r="M6944" s="8" t="s">
        <v>28436</v>
      </c>
      <c r="N6944" s="8" t="s">
        <v>30846</v>
      </c>
      <c r="O6944" s="8">
        <f>20+44/60+33.7/3600</f>
        <v>20.742694444444446</v>
      </c>
      <c r="P6944" s="8" t="s">
        <v>30847</v>
      </c>
      <c r="Q6944" s="8">
        <f>-(68+44/60+53/3600)</f>
        <v>-68.748055555555553</v>
      </c>
      <c r="R6944" s="8">
        <v>11.4</v>
      </c>
      <c r="S6944" s="8">
        <v>12.1</v>
      </c>
      <c r="T6944" s="8">
        <v>0.7</v>
      </c>
      <c r="U6944" s="8">
        <v>13.5</v>
      </c>
      <c r="V6944" s="8">
        <v>4</v>
      </c>
      <c r="W6944" s="8">
        <v>2.2000000000000002</v>
      </c>
      <c r="X6944" s="8">
        <v>130</v>
      </c>
      <c r="Y6944" s="8" t="s">
        <v>30848</v>
      </c>
      <c r="Z6944" s="8" t="s">
        <v>30849</v>
      </c>
    </row>
    <row r="6945" spans="1:26" x14ac:dyDescent="0.2">
      <c r="A6945" s="8">
        <v>6944</v>
      </c>
      <c r="B6945" s="8" t="s">
        <v>30850</v>
      </c>
      <c r="C6945" s="8" t="s">
        <v>30850</v>
      </c>
      <c r="F6945" s="47"/>
      <c r="G6945" s="8">
        <v>18</v>
      </c>
      <c r="H6945" s="8" t="s">
        <v>21</v>
      </c>
      <c r="I6945" s="8" t="s">
        <v>22</v>
      </c>
      <c r="J6945" s="8" t="s">
        <v>22</v>
      </c>
      <c r="K6945" s="8" t="s">
        <v>58</v>
      </c>
      <c r="L6945" s="8" t="s">
        <v>30604</v>
      </c>
      <c r="M6945" s="8" t="s">
        <v>30605</v>
      </c>
      <c r="N6945" s="8" t="s">
        <v>30851</v>
      </c>
      <c r="O6945" s="8">
        <f>20+38/60+23.8/3600</f>
        <v>20.639944444444446</v>
      </c>
      <c r="P6945" s="8" t="s">
        <v>30852</v>
      </c>
      <c r="Q6945" s="8">
        <f>+(6+59/60+49/3600)</f>
        <v>6.9969444444444449</v>
      </c>
      <c r="R6945" s="8">
        <v>13.8</v>
      </c>
      <c r="S6945" s="8">
        <v>14.8</v>
      </c>
      <c r="T6945" s="8">
        <v>1</v>
      </c>
      <c r="U6945" s="8">
        <v>13.7</v>
      </c>
      <c r="V6945" s="8">
        <v>1.5</v>
      </c>
      <c r="W6945" s="8">
        <v>0.6</v>
      </c>
      <c r="X6945" s="8">
        <v>57</v>
      </c>
      <c r="Y6945" s="8" t="s">
        <v>824</v>
      </c>
      <c r="Z6945" s="8" t="s">
        <v>825</v>
      </c>
    </row>
    <row r="6946" spans="1:26" x14ac:dyDescent="0.2">
      <c r="A6946" s="8">
        <v>6945</v>
      </c>
      <c r="B6946" s="8" t="s">
        <v>30853</v>
      </c>
      <c r="C6946" s="8" t="s">
        <v>30853</v>
      </c>
      <c r="F6946" s="47"/>
      <c r="G6946" s="8">
        <v>18</v>
      </c>
      <c r="H6946" s="8" t="s">
        <v>21</v>
      </c>
      <c r="I6946" s="8" t="s">
        <v>22</v>
      </c>
      <c r="J6946" s="8" t="s">
        <v>22</v>
      </c>
      <c r="K6946" s="8" t="s">
        <v>58</v>
      </c>
      <c r="L6946" s="8" t="s">
        <v>30854</v>
      </c>
      <c r="M6946" s="8" t="s">
        <v>30855</v>
      </c>
      <c r="N6946" s="8" t="s">
        <v>30856</v>
      </c>
      <c r="O6946" s="8">
        <f>20+39/60+0.5/3600</f>
        <v>20.650138888888886</v>
      </c>
      <c r="P6946" s="8" t="s">
        <v>30857</v>
      </c>
      <c r="Q6946" s="8">
        <f>-(4+58/60+20/3600)</f>
        <v>-4.9722222222222223</v>
      </c>
      <c r="R6946" s="8">
        <v>13.4</v>
      </c>
      <c r="S6946" s="8">
        <v>14.4</v>
      </c>
      <c r="T6946" s="8">
        <v>1</v>
      </c>
      <c r="U6946" s="8">
        <v>13.7</v>
      </c>
      <c r="V6946" s="8">
        <v>1.6</v>
      </c>
      <c r="W6946" s="8">
        <v>0.8</v>
      </c>
      <c r="X6946" s="8">
        <v>126</v>
      </c>
      <c r="Y6946" s="8" t="s">
        <v>30858</v>
      </c>
      <c r="Z6946" s="8" t="s">
        <v>30859</v>
      </c>
    </row>
    <row r="6947" spans="1:26" x14ac:dyDescent="0.2">
      <c r="A6947" s="8">
        <v>6946</v>
      </c>
      <c r="B6947" s="8" t="s">
        <v>30860</v>
      </c>
      <c r="C6947" s="8" t="s">
        <v>30860</v>
      </c>
      <c r="F6947" s="47" t="s">
        <v>58271</v>
      </c>
      <c r="G6947" s="8">
        <v>2</v>
      </c>
      <c r="H6947" s="8" t="s">
        <v>30861</v>
      </c>
      <c r="I6947" s="8" t="s">
        <v>22</v>
      </c>
      <c r="J6947" s="8" t="s">
        <v>22</v>
      </c>
      <c r="K6947" s="8" t="s">
        <v>64</v>
      </c>
      <c r="L6947" s="8" t="s">
        <v>30032</v>
      </c>
      <c r="M6947" s="8" t="s">
        <v>30033</v>
      </c>
      <c r="N6947" s="8" t="s">
        <v>30862</v>
      </c>
      <c r="O6947" s="8">
        <f>20+34/60+52.1/3600</f>
        <v>20.581138888888887</v>
      </c>
      <c r="P6947" s="8" t="s">
        <v>30863</v>
      </c>
      <c r="Q6947" s="8">
        <f>+(60+9/60+12/3600)</f>
        <v>60.153333333333329</v>
      </c>
      <c r="R6947" s="8">
        <v>8.8000000000000007</v>
      </c>
      <c r="S6947" s="8">
        <v>9.6</v>
      </c>
      <c r="T6947" s="8">
        <v>0.8</v>
      </c>
      <c r="U6947" s="8">
        <v>13.8</v>
      </c>
      <c r="V6947" s="8">
        <v>11.5</v>
      </c>
      <c r="W6947" s="8">
        <v>9.8000000000000007</v>
      </c>
      <c r="X6947" s="8">
        <v>57</v>
      </c>
      <c r="Y6947" s="8" t="s">
        <v>30864</v>
      </c>
      <c r="Z6947" s="8" t="s">
        <v>30865</v>
      </c>
    </row>
    <row r="6948" spans="1:26" x14ac:dyDescent="0.2">
      <c r="A6948" s="8">
        <v>6947</v>
      </c>
      <c r="B6948" s="8" t="s">
        <v>30866</v>
      </c>
      <c r="C6948" s="8" t="s">
        <v>30866</v>
      </c>
      <c r="F6948" s="47"/>
      <c r="G6948" s="8">
        <v>16</v>
      </c>
      <c r="H6948" s="8" t="s">
        <v>21</v>
      </c>
      <c r="I6948" s="8" t="s">
        <v>22</v>
      </c>
      <c r="J6948" s="8" t="s">
        <v>22</v>
      </c>
      <c r="K6948" s="8" t="s">
        <v>218</v>
      </c>
      <c r="L6948" s="8" t="s">
        <v>30738</v>
      </c>
      <c r="M6948" s="8" t="s">
        <v>30739</v>
      </c>
      <c r="N6948" s="8" t="s">
        <v>30867</v>
      </c>
      <c r="O6948" s="8">
        <f>20+41/60+15/3600</f>
        <v>20.6875</v>
      </c>
      <c r="P6948" s="8" t="s">
        <v>30868</v>
      </c>
      <c r="Q6948" s="8">
        <f>-(32+29/60+11/3600)</f>
        <v>-32.486388888888889</v>
      </c>
      <c r="R6948" s="8">
        <v>13.5</v>
      </c>
      <c r="S6948" s="8">
        <v>14.3</v>
      </c>
      <c r="T6948" s="8">
        <v>0.8</v>
      </c>
      <c r="U6948" s="8">
        <v>13.9</v>
      </c>
      <c r="V6948" s="8">
        <v>1.6</v>
      </c>
      <c r="W6948" s="8">
        <v>1</v>
      </c>
      <c r="X6948" s="8">
        <v>51</v>
      </c>
      <c r="Y6948" s="8" t="s">
        <v>30869</v>
      </c>
      <c r="Z6948" s="8" t="s">
        <v>30870</v>
      </c>
    </row>
    <row r="6949" spans="1:26" x14ac:dyDescent="0.2">
      <c r="A6949" s="8">
        <v>6948</v>
      </c>
      <c r="B6949" s="8" t="s">
        <v>30871</v>
      </c>
      <c r="C6949" s="8" t="s">
        <v>30871</v>
      </c>
      <c r="F6949" s="47"/>
      <c r="G6949" s="8">
        <v>16</v>
      </c>
      <c r="H6949" s="8" t="s">
        <v>21</v>
      </c>
      <c r="I6949" s="8" t="s">
        <v>22</v>
      </c>
      <c r="J6949" s="8" t="s">
        <v>22</v>
      </c>
      <c r="K6949" s="8" t="s">
        <v>91</v>
      </c>
      <c r="L6949" s="8" t="s">
        <v>30731</v>
      </c>
      <c r="M6949" s="8" t="s">
        <v>30732</v>
      </c>
      <c r="N6949" s="8" t="s">
        <v>30872</v>
      </c>
      <c r="O6949" s="8">
        <f>20+43/60+28.9/3600</f>
        <v>20.724694444444442</v>
      </c>
      <c r="P6949" s="8" t="s">
        <v>30873</v>
      </c>
      <c r="Q6949" s="8">
        <f>-(53+21/60+26/3600)</f>
        <v>-53.357222222222227</v>
      </c>
      <c r="R6949" s="8">
        <v>12.8</v>
      </c>
      <c r="S6949" s="8">
        <v>13.7</v>
      </c>
      <c r="T6949" s="8">
        <v>0.9</v>
      </c>
      <c r="U6949" s="8">
        <v>13.5</v>
      </c>
      <c r="V6949" s="8">
        <v>2.2000000000000002</v>
      </c>
      <c r="W6949" s="8">
        <v>1</v>
      </c>
      <c r="X6949" s="8">
        <v>115</v>
      </c>
      <c r="Y6949" s="8" t="s">
        <v>30874</v>
      </c>
      <c r="Z6949" s="8" t="s">
        <v>30875</v>
      </c>
    </row>
    <row r="6950" spans="1:26" x14ac:dyDescent="0.2">
      <c r="A6950" s="8">
        <v>6949</v>
      </c>
      <c r="B6950" s="8" t="s">
        <v>30876</v>
      </c>
      <c r="C6950" s="8" t="s">
        <v>30876</v>
      </c>
      <c r="F6950" s="47"/>
      <c r="G6950" s="8">
        <v>19</v>
      </c>
      <c r="H6950" s="8" t="s">
        <v>21</v>
      </c>
      <c r="I6950" s="8" t="s">
        <v>22</v>
      </c>
      <c r="J6950" s="8" t="s">
        <v>22</v>
      </c>
      <c r="K6950" s="8" t="s">
        <v>476</v>
      </c>
      <c r="L6950" s="8" t="s">
        <v>242</v>
      </c>
      <c r="M6950" s="8" t="s">
        <v>243</v>
      </c>
      <c r="N6950" s="8" t="s">
        <v>30877</v>
      </c>
      <c r="O6950" s="8">
        <f>20+35/60+7/3600</f>
        <v>20.585277777777776</v>
      </c>
      <c r="P6950" s="8" t="s">
        <v>30878</v>
      </c>
      <c r="Q6950" s="8">
        <f>+(64+48/60+12/3600)</f>
        <v>64.803333333333327</v>
      </c>
      <c r="R6950" s="8">
        <v>13.8</v>
      </c>
      <c r="S6950" s="8">
        <v>14.7</v>
      </c>
      <c r="T6950" s="8">
        <v>0.9</v>
      </c>
      <c r="U6950" s="8">
        <v>14.2</v>
      </c>
      <c r="V6950" s="8">
        <v>1.4</v>
      </c>
      <c r="W6950" s="8">
        <v>1.2</v>
      </c>
      <c r="X6950" s="8">
        <v>6</v>
      </c>
      <c r="Y6950" s="8" t="s">
        <v>11533</v>
      </c>
      <c r="Z6950" s="8" t="s">
        <v>11534</v>
      </c>
    </row>
    <row r="6951" spans="1:26" x14ac:dyDescent="0.2">
      <c r="A6951" s="8">
        <v>6950</v>
      </c>
      <c r="B6951" s="8" t="s">
        <v>30879</v>
      </c>
      <c r="C6951" s="8" t="s">
        <v>30879</v>
      </c>
      <c r="F6951" s="47" t="s">
        <v>58272</v>
      </c>
      <c r="G6951" s="8">
        <v>15</v>
      </c>
      <c r="H6951" s="8" t="s">
        <v>21</v>
      </c>
      <c r="I6951" s="8" t="s">
        <v>72</v>
      </c>
      <c r="J6951" s="8" t="s">
        <v>72</v>
      </c>
      <c r="K6951" s="8" t="s">
        <v>1405</v>
      </c>
      <c r="L6951" s="8" t="s">
        <v>30604</v>
      </c>
      <c r="M6951" s="8" t="s">
        <v>30605</v>
      </c>
      <c r="N6951" s="8" t="s">
        <v>30880</v>
      </c>
      <c r="O6951" s="8">
        <f>20+41/60+5/3600</f>
        <v>20.684722222222224</v>
      </c>
      <c r="P6951" s="8" t="s">
        <v>30881</v>
      </c>
      <c r="Q6951" s="8">
        <f>+(16+37/60+14/3600)</f>
        <v>16.620555555555555</v>
      </c>
      <c r="R6951" s="8">
        <v>99</v>
      </c>
      <c r="S6951" s="8">
        <v>99</v>
      </c>
      <c r="T6951" s="8">
        <v>99</v>
      </c>
      <c r="U6951" s="8">
        <v>99</v>
      </c>
      <c r="V6951" s="8">
        <v>10</v>
      </c>
      <c r="Y6951" s="8" t="s">
        <v>10665</v>
      </c>
      <c r="Z6951" s="8" t="s">
        <v>10666</v>
      </c>
    </row>
    <row r="6952" spans="1:26" x14ac:dyDescent="0.2">
      <c r="A6952" s="8">
        <v>6951</v>
      </c>
      <c r="B6952" s="8" t="s">
        <v>30882</v>
      </c>
      <c r="C6952" s="8" t="s">
        <v>30882</v>
      </c>
      <c r="F6952" s="47"/>
      <c r="G6952" s="8">
        <v>7</v>
      </c>
      <c r="H6952" s="8" t="s">
        <v>21</v>
      </c>
      <c r="I6952" s="8" t="s">
        <v>22</v>
      </c>
      <c r="J6952" s="8" t="s">
        <v>57</v>
      </c>
      <c r="K6952" s="8" t="s">
        <v>85</v>
      </c>
      <c r="L6952" s="8" t="s">
        <v>242</v>
      </c>
      <c r="M6952" s="8" t="s">
        <v>243</v>
      </c>
      <c r="N6952" s="8" t="s">
        <v>30883</v>
      </c>
      <c r="O6952" s="8">
        <f>20+37/60+14/3600</f>
        <v>20.620555555555555</v>
      </c>
      <c r="P6952" s="8" t="s">
        <v>30884</v>
      </c>
      <c r="Q6952" s="8">
        <f>+(66+6/60+21/3600)</f>
        <v>66.105833333333322</v>
      </c>
      <c r="R6952" s="8">
        <v>10.7</v>
      </c>
      <c r="S6952" s="8">
        <v>11.6</v>
      </c>
      <c r="T6952" s="8">
        <v>0.9</v>
      </c>
      <c r="U6952" s="8">
        <v>13.3</v>
      </c>
      <c r="V6952" s="8">
        <v>3.9</v>
      </c>
      <c r="W6952" s="8">
        <v>3.2</v>
      </c>
      <c r="X6952" s="8">
        <v>170</v>
      </c>
      <c r="Y6952" s="8" t="s">
        <v>26174</v>
      </c>
      <c r="Z6952" s="8" t="s">
        <v>26175</v>
      </c>
    </row>
    <row r="6953" spans="1:26" x14ac:dyDescent="0.2">
      <c r="A6953" s="8">
        <v>6952</v>
      </c>
      <c r="B6953" s="8" t="s">
        <v>30885</v>
      </c>
      <c r="C6953" s="8" t="s">
        <v>30885</v>
      </c>
      <c r="F6953" s="47"/>
      <c r="G6953" s="8">
        <v>18</v>
      </c>
      <c r="H6953" s="8" t="s">
        <v>21</v>
      </c>
      <c r="I6953" s="8" t="s">
        <v>22</v>
      </c>
      <c r="J6953" s="8" t="s">
        <v>22</v>
      </c>
      <c r="K6953" s="8" t="s">
        <v>85</v>
      </c>
      <c r="L6953" s="8" t="s">
        <v>242</v>
      </c>
      <c r="M6953" s="8" t="s">
        <v>243</v>
      </c>
      <c r="N6953" s="8" t="s">
        <v>30883</v>
      </c>
      <c r="O6953" s="8">
        <f>20+37/60+14/3600</f>
        <v>20.620555555555555</v>
      </c>
      <c r="P6953" s="8" t="s">
        <v>30884</v>
      </c>
      <c r="Q6953" s="8">
        <f>+(66+6/60+21/3600)</f>
        <v>66.105833333333322</v>
      </c>
      <c r="R6953" s="8">
        <v>10.7</v>
      </c>
      <c r="S6953" s="8">
        <v>11.6</v>
      </c>
      <c r="T6953" s="8">
        <v>0.9</v>
      </c>
      <c r="U6953" s="8">
        <v>13.3</v>
      </c>
      <c r="V6953" s="8">
        <v>3.9</v>
      </c>
      <c r="W6953" s="8">
        <v>3.2</v>
      </c>
      <c r="X6953" s="8">
        <v>170</v>
      </c>
      <c r="Y6953" s="8" t="s">
        <v>26174</v>
      </c>
      <c r="Z6953" s="8" t="s">
        <v>30886</v>
      </c>
    </row>
    <row r="6954" spans="1:26" x14ac:dyDescent="0.2">
      <c r="A6954" s="8">
        <v>6953</v>
      </c>
      <c r="B6954" s="8" t="s">
        <v>30887</v>
      </c>
      <c r="C6954" s="8" t="s">
        <v>30887</v>
      </c>
      <c r="F6954" s="47"/>
      <c r="G6954" s="8">
        <v>19</v>
      </c>
      <c r="H6954" s="8" t="s">
        <v>21</v>
      </c>
      <c r="I6954" s="8" t="s">
        <v>72</v>
      </c>
      <c r="J6954" s="8" t="s">
        <v>72</v>
      </c>
      <c r="K6954" s="8" t="s">
        <v>1405</v>
      </c>
      <c r="L6954" s="8" t="s">
        <v>242</v>
      </c>
      <c r="M6954" s="8" t="s">
        <v>243</v>
      </c>
      <c r="N6954" s="8" t="s">
        <v>30888</v>
      </c>
      <c r="O6954" s="8">
        <f>20+38/60+41/3600</f>
        <v>20.644722222222221</v>
      </c>
      <c r="P6954" s="8" t="s">
        <v>30889</v>
      </c>
      <c r="Q6954" s="8">
        <f>+(65+48/60+12/3600)</f>
        <v>65.803333333333327</v>
      </c>
      <c r="R6954" s="8">
        <v>99</v>
      </c>
      <c r="S6954" s="8">
        <v>99</v>
      </c>
      <c r="T6954" s="8">
        <v>99</v>
      </c>
      <c r="U6954" s="8">
        <v>99</v>
      </c>
      <c r="V6954" s="8">
        <v>1.5</v>
      </c>
      <c r="Y6954" s="8" t="s">
        <v>287</v>
      </c>
      <c r="Z6954" s="8" t="s">
        <v>288</v>
      </c>
    </row>
    <row r="6955" spans="1:26" x14ac:dyDescent="0.2">
      <c r="A6955" s="8">
        <v>6954</v>
      </c>
      <c r="B6955" s="8" t="s">
        <v>30890</v>
      </c>
      <c r="C6955" s="8" t="s">
        <v>30890</v>
      </c>
      <c r="F6955" s="47"/>
      <c r="G6955" s="8">
        <v>18</v>
      </c>
      <c r="H6955" s="8" t="s">
        <v>21</v>
      </c>
      <c r="I6955" s="8" t="s">
        <v>22</v>
      </c>
      <c r="J6955" s="8" t="s">
        <v>22</v>
      </c>
      <c r="K6955" s="8" t="s">
        <v>632</v>
      </c>
      <c r="L6955" s="8" t="s">
        <v>30604</v>
      </c>
      <c r="M6955" s="8" t="s">
        <v>30605</v>
      </c>
      <c r="N6955" s="8" t="s">
        <v>30891</v>
      </c>
      <c r="O6955" s="8">
        <f>20+44/60+3.3/3600</f>
        <v>20.734249999999999</v>
      </c>
      <c r="P6955" s="8" t="s">
        <v>30892</v>
      </c>
      <c r="Q6955" s="8">
        <f>+(3+12/60+34/3600)</f>
        <v>3.2094444444444448</v>
      </c>
      <c r="R6955" s="8">
        <v>13.2</v>
      </c>
      <c r="S6955" s="8">
        <v>14.1</v>
      </c>
      <c r="T6955" s="8">
        <v>0.9</v>
      </c>
      <c r="U6955" s="8">
        <v>12.6</v>
      </c>
      <c r="V6955" s="8">
        <v>1</v>
      </c>
      <c r="W6955" s="8">
        <v>0.6</v>
      </c>
      <c r="X6955" s="8">
        <v>68</v>
      </c>
      <c r="Y6955" s="8" t="s">
        <v>13436</v>
      </c>
      <c r="Z6955" s="8" t="s">
        <v>13437</v>
      </c>
    </row>
    <row r="6956" spans="1:26" x14ac:dyDescent="0.2">
      <c r="A6956" s="8">
        <v>6955</v>
      </c>
      <c r="B6956" s="8" t="s">
        <v>30893</v>
      </c>
      <c r="C6956" s="8" t="s">
        <v>30893</v>
      </c>
      <c r="F6956" s="47"/>
      <c r="G6956" s="8">
        <v>18</v>
      </c>
      <c r="H6956" s="8" t="s">
        <v>21</v>
      </c>
      <c r="I6956" s="8" t="s">
        <v>22</v>
      </c>
      <c r="J6956" s="8" t="s">
        <v>22</v>
      </c>
      <c r="K6956" s="8" t="s">
        <v>396</v>
      </c>
      <c r="L6956" s="8" t="s">
        <v>30604</v>
      </c>
      <c r="M6956" s="8" t="s">
        <v>30605</v>
      </c>
      <c r="N6956" s="8" t="s">
        <v>30894</v>
      </c>
      <c r="O6956" s="8">
        <f>20+44/60+17.9/3600</f>
        <v>20.738305555555556</v>
      </c>
      <c r="P6956" s="8" t="s">
        <v>30895</v>
      </c>
      <c r="Q6956" s="8">
        <f>+(2+35/60+43/3600)</f>
        <v>2.595277777777778</v>
      </c>
      <c r="R6956" s="8">
        <v>13.6</v>
      </c>
      <c r="S6956" s="8">
        <v>14.4</v>
      </c>
      <c r="T6956" s="8">
        <v>0.8</v>
      </c>
      <c r="U6956" s="8">
        <v>14.1</v>
      </c>
      <c r="V6956" s="8">
        <v>1.4</v>
      </c>
      <c r="W6956" s="8">
        <v>1.3</v>
      </c>
      <c r="X6956" s="8">
        <v>30</v>
      </c>
      <c r="Y6956" s="8" t="s">
        <v>2734</v>
      </c>
      <c r="Z6956" s="8" t="s">
        <v>2735</v>
      </c>
    </row>
    <row r="6957" spans="1:26" x14ac:dyDescent="0.2">
      <c r="A6957" s="8">
        <v>6956</v>
      </c>
      <c r="B6957" s="8" t="s">
        <v>30896</v>
      </c>
      <c r="C6957" s="8" t="s">
        <v>30896</v>
      </c>
      <c r="F6957" s="47" t="s">
        <v>58273</v>
      </c>
      <c r="G6957" s="8">
        <v>12</v>
      </c>
      <c r="H6957" s="8" t="s">
        <v>21</v>
      </c>
      <c r="I6957" s="8" t="s">
        <v>22</v>
      </c>
      <c r="J6957" s="8" t="s">
        <v>22</v>
      </c>
      <c r="K6957" s="8" t="s">
        <v>218</v>
      </c>
      <c r="L6957" s="8" t="s">
        <v>30604</v>
      </c>
      <c r="M6957" s="8" t="s">
        <v>30605</v>
      </c>
      <c r="N6957" s="8" t="s">
        <v>30897</v>
      </c>
      <c r="O6957" s="8">
        <f>20+43/60+53.7/3600</f>
        <v>20.731583333333333</v>
      </c>
      <c r="P6957" s="8" t="s">
        <v>30898</v>
      </c>
      <c r="Q6957" s="8">
        <f>+(12+30/60+44/3600)</f>
        <v>12.512222222222222</v>
      </c>
      <c r="R6957" s="8">
        <v>12.3</v>
      </c>
      <c r="S6957" s="8">
        <v>13.1</v>
      </c>
      <c r="T6957" s="8">
        <v>0.8</v>
      </c>
      <c r="U6957" s="8">
        <v>13.6</v>
      </c>
      <c r="V6957" s="8">
        <v>1.9</v>
      </c>
      <c r="W6957" s="8">
        <v>1.9</v>
      </c>
      <c r="Y6957" s="8" t="s">
        <v>30899</v>
      </c>
      <c r="Z6957" s="8" t="s">
        <v>30900</v>
      </c>
    </row>
    <row r="6958" spans="1:26" x14ac:dyDescent="0.2">
      <c r="A6958" s="8">
        <v>6957</v>
      </c>
      <c r="B6958" s="8" t="s">
        <v>30901</v>
      </c>
      <c r="C6958" s="8" t="s">
        <v>30901</v>
      </c>
      <c r="F6958" s="47"/>
      <c r="G6958" s="8">
        <v>18</v>
      </c>
      <c r="H6958" s="8" t="s">
        <v>21</v>
      </c>
      <c r="I6958" s="8" t="s">
        <v>22</v>
      </c>
      <c r="J6958" s="8" t="s">
        <v>22</v>
      </c>
      <c r="K6958" s="8" t="s">
        <v>160</v>
      </c>
      <c r="L6958" s="8" t="s">
        <v>30604</v>
      </c>
      <c r="M6958" s="8" t="s">
        <v>30605</v>
      </c>
      <c r="N6958" s="8" t="s">
        <v>30902</v>
      </c>
      <c r="O6958" s="8">
        <f>20+44/60+47.7/3600</f>
        <v>20.746583333333334</v>
      </c>
      <c r="P6958" s="8" t="s">
        <v>30903</v>
      </c>
      <c r="Q6958" s="8">
        <f>+(2+34/60+50/3600)</f>
        <v>2.5805555555555553</v>
      </c>
      <c r="R6958" s="8">
        <v>14.4</v>
      </c>
      <c r="S6958" s="8">
        <v>15.1</v>
      </c>
      <c r="T6958" s="8">
        <v>0.7</v>
      </c>
      <c r="U6958" s="8">
        <v>12.5</v>
      </c>
      <c r="V6958" s="8">
        <v>0.5</v>
      </c>
      <c r="W6958" s="8">
        <v>0.4</v>
      </c>
      <c r="X6958" s="8">
        <v>171</v>
      </c>
      <c r="Y6958" s="8" t="s">
        <v>170</v>
      </c>
      <c r="Z6958" s="8" t="s">
        <v>171</v>
      </c>
    </row>
    <row r="6959" spans="1:26" x14ac:dyDescent="0.2">
      <c r="A6959" s="8">
        <v>6958</v>
      </c>
      <c r="B6959" s="8" t="s">
        <v>30904</v>
      </c>
      <c r="C6959" s="8" t="s">
        <v>30904</v>
      </c>
      <c r="F6959" s="47"/>
      <c r="G6959" s="8">
        <v>13</v>
      </c>
      <c r="H6959" s="8" t="s">
        <v>21</v>
      </c>
      <c r="I6959" s="8" t="s">
        <v>22</v>
      </c>
      <c r="J6959" s="8" t="s">
        <v>22</v>
      </c>
      <c r="K6959" s="8" t="s">
        <v>58</v>
      </c>
      <c r="L6959" s="8" t="s">
        <v>30738</v>
      </c>
      <c r="M6959" s="8" t="s">
        <v>30739</v>
      </c>
      <c r="N6959" s="8" t="s">
        <v>30905</v>
      </c>
      <c r="O6959" s="8">
        <f>20+48/60+42.6/3600</f>
        <v>20.811833333333333</v>
      </c>
      <c r="P6959" s="8" t="s">
        <v>30906</v>
      </c>
      <c r="Q6959" s="8">
        <f>-(37+59/60+52/3600)</f>
        <v>-37.997777777777777</v>
      </c>
      <c r="R6959" s="8">
        <v>11.4</v>
      </c>
      <c r="S6959" s="8">
        <v>12.3</v>
      </c>
      <c r="T6959" s="8">
        <v>0.9</v>
      </c>
      <c r="U6959" s="8">
        <v>12.7</v>
      </c>
      <c r="V6959" s="8">
        <v>2.5</v>
      </c>
      <c r="W6959" s="8">
        <v>1.9</v>
      </c>
      <c r="X6959" s="8">
        <v>107</v>
      </c>
      <c r="Y6959" s="8" t="s">
        <v>30907</v>
      </c>
      <c r="Z6959" s="8" t="s">
        <v>30908</v>
      </c>
    </row>
    <row r="6960" spans="1:26" x14ac:dyDescent="0.2">
      <c r="A6960" s="8">
        <v>6959</v>
      </c>
      <c r="B6960" s="8" t="s">
        <v>30909</v>
      </c>
      <c r="C6960" s="8" t="s">
        <v>30909</v>
      </c>
      <c r="F6960" s="47"/>
      <c r="G6960" s="8">
        <v>19</v>
      </c>
      <c r="H6960" s="8" t="s">
        <v>21</v>
      </c>
      <c r="I6960" s="8" t="s">
        <v>22</v>
      </c>
      <c r="J6960" s="8" t="s">
        <v>22</v>
      </c>
      <c r="K6960" s="8" t="s">
        <v>37</v>
      </c>
      <c r="L6960" s="8" t="s">
        <v>30854</v>
      </c>
      <c r="M6960" s="8" t="s">
        <v>30855</v>
      </c>
      <c r="N6960" s="8" t="s">
        <v>30910</v>
      </c>
      <c r="O6960" s="8">
        <f>20+47/60+7.2/3600</f>
        <v>20.785333333333334</v>
      </c>
      <c r="P6960" s="8" t="s">
        <v>30911</v>
      </c>
      <c r="Q6960" s="8">
        <f>+(0+25/60+49/3600)</f>
        <v>0.43027777777777781</v>
      </c>
      <c r="R6960" s="8">
        <v>13.7</v>
      </c>
      <c r="S6960" s="8">
        <v>14.7</v>
      </c>
      <c r="T6960" s="8">
        <v>1</v>
      </c>
      <c r="U6960" s="8">
        <v>11.9</v>
      </c>
      <c r="V6960" s="8">
        <v>0.6</v>
      </c>
      <c r="W6960" s="8">
        <v>0.3</v>
      </c>
      <c r="X6960" s="8">
        <v>57</v>
      </c>
      <c r="Y6960" s="8" t="s">
        <v>297</v>
      </c>
      <c r="Z6960" s="8" t="s">
        <v>298</v>
      </c>
    </row>
    <row r="6961" spans="1:26" x14ac:dyDescent="0.2">
      <c r="A6961" s="8">
        <v>6960</v>
      </c>
      <c r="B6961" s="8" t="s">
        <v>30912</v>
      </c>
      <c r="C6961" s="8" t="s">
        <v>30912</v>
      </c>
      <c r="F6961" s="47" t="s">
        <v>58274</v>
      </c>
      <c r="G6961" s="8">
        <v>2</v>
      </c>
      <c r="H6961" s="8" t="s">
        <v>30913</v>
      </c>
      <c r="I6961" s="8" t="s">
        <v>1283</v>
      </c>
      <c r="J6961" s="8" t="s">
        <v>1283</v>
      </c>
      <c r="K6961" s="8" t="s">
        <v>8889</v>
      </c>
      <c r="L6961" s="8" t="s">
        <v>30032</v>
      </c>
      <c r="M6961" s="8" t="s">
        <v>30033</v>
      </c>
      <c r="N6961" s="8" t="s">
        <v>30914</v>
      </c>
      <c r="O6961" s="8">
        <f>20+45/60+42/3600</f>
        <v>20.761666666666667</v>
      </c>
      <c r="P6961" s="8" t="s">
        <v>30915</v>
      </c>
      <c r="Q6961" s="8">
        <f>+(30+43/60+0/3600)</f>
        <v>30.716666666666665</v>
      </c>
      <c r="R6961" s="8">
        <v>99</v>
      </c>
      <c r="S6961" s="8">
        <v>7</v>
      </c>
      <c r="T6961" s="8">
        <v>99</v>
      </c>
      <c r="U6961" s="8">
        <v>99</v>
      </c>
      <c r="V6961" s="8">
        <v>70</v>
      </c>
      <c r="W6961" s="8">
        <v>6</v>
      </c>
      <c r="Y6961" s="8" t="s">
        <v>30916</v>
      </c>
      <c r="Z6961" s="8" t="s">
        <v>30917</v>
      </c>
    </row>
    <row r="6962" spans="1:26" x14ac:dyDescent="0.2">
      <c r="A6962" s="8">
        <v>6961</v>
      </c>
      <c r="B6962" s="8" t="s">
        <v>30918</v>
      </c>
      <c r="C6962" s="8" t="s">
        <v>30918</v>
      </c>
      <c r="F6962" s="47"/>
      <c r="G6962" s="8">
        <v>18</v>
      </c>
      <c r="H6962" s="8" t="s">
        <v>21</v>
      </c>
      <c r="I6962" s="8" t="s">
        <v>22</v>
      </c>
      <c r="J6962" s="8" t="s">
        <v>22</v>
      </c>
      <c r="K6962" s="8" t="s">
        <v>1136</v>
      </c>
      <c r="L6962" s="8" t="s">
        <v>30854</v>
      </c>
      <c r="M6962" s="8" t="s">
        <v>30855</v>
      </c>
      <c r="N6962" s="8" t="s">
        <v>30919</v>
      </c>
      <c r="O6962" s="8">
        <f>20+47/60+10.4/3600</f>
        <v>20.786222222222225</v>
      </c>
      <c r="P6962" s="8" t="s">
        <v>30920</v>
      </c>
      <c r="Q6962" s="8">
        <f>+(0+21/60+50/3600)</f>
        <v>0.36388888888888887</v>
      </c>
      <c r="R6962" s="8">
        <v>13.7</v>
      </c>
      <c r="S6962" s="8">
        <v>14.7</v>
      </c>
      <c r="T6962" s="8">
        <v>1</v>
      </c>
      <c r="U6962" s="8">
        <v>12.4</v>
      </c>
      <c r="V6962" s="8">
        <v>0.6</v>
      </c>
      <c r="W6962" s="8">
        <v>0.5</v>
      </c>
      <c r="X6962" s="8">
        <v>134</v>
      </c>
      <c r="Y6962" s="8" t="s">
        <v>266</v>
      </c>
      <c r="Z6962" s="8" t="s">
        <v>267</v>
      </c>
    </row>
    <row r="6963" spans="1:26" x14ac:dyDescent="0.2">
      <c r="A6963" s="8">
        <v>6962</v>
      </c>
      <c r="B6963" s="8" t="s">
        <v>30921</v>
      </c>
      <c r="C6963" s="8" t="s">
        <v>30921</v>
      </c>
      <c r="F6963" s="47" t="s">
        <v>58275</v>
      </c>
      <c r="G6963" s="8">
        <v>15</v>
      </c>
      <c r="H6963" s="8" t="s">
        <v>21</v>
      </c>
      <c r="I6963" s="8" t="s">
        <v>22</v>
      </c>
      <c r="J6963" s="8" t="s">
        <v>22</v>
      </c>
      <c r="K6963" s="8" t="s">
        <v>406</v>
      </c>
      <c r="L6963" s="8" t="s">
        <v>30854</v>
      </c>
      <c r="M6963" s="8" t="s">
        <v>30855</v>
      </c>
      <c r="N6963" s="8" t="s">
        <v>30922</v>
      </c>
      <c r="O6963" s="8">
        <f>20+47/60+18.9/3600</f>
        <v>20.788583333333335</v>
      </c>
      <c r="P6963" s="8" t="s">
        <v>30923</v>
      </c>
      <c r="Q6963" s="8">
        <f>+(0+19/60+19/3600)</f>
        <v>0.32194444444444442</v>
      </c>
      <c r="R6963" s="8">
        <v>12.1</v>
      </c>
      <c r="S6963" s="8">
        <v>13</v>
      </c>
      <c r="T6963" s="8">
        <v>0.9</v>
      </c>
      <c r="U6963" s="8">
        <v>14</v>
      </c>
      <c r="V6963" s="8">
        <v>2.9</v>
      </c>
      <c r="W6963" s="8">
        <v>2.2000000000000002</v>
      </c>
      <c r="X6963" s="8">
        <v>75</v>
      </c>
      <c r="Y6963" s="8" t="s">
        <v>11841</v>
      </c>
      <c r="Z6963" s="8" t="s">
        <v>11842</v>
      </c>
    </row>
    <row r="6964" spans="1:26" x14ac:dyDescent="0.2">
      <c r="A6964" s="8">
        <v>6963</v>
      </c>
      <c r="B6964" s="8" t="s">
        <v>30924</v>
      </c>
      <c r="C6964" s="8" t="s">
        <v>30924</v>
      </c>
      <c r="F6964" s="47"/>
      <c r="G6964" s="8">
        <v>19</v>
      </c>
      <c r="H6964" s="8" t="s">
        <v>21</v>
      </c>
      <c r="I6964" s="8" t="s">
        <v>72</v>
      </c>
      <c r="J6964" s="8" t="s">
        <v>72</v>
      </c>
      <c r="K6964" s="8" t="s">
        <v>73</v>
      </c>
      <c r="L6964" s="8" t="s">
        <v>30854</v>
      </c>
      <c r="M6964" s="8" t="s">
        <v>30855</v>
      </c>
      <c r="N6964" s="8" t="s">
        <v>30925</v>
      </c>
      <c r="O6964" s="8">
        <f>20+47/60+19/3600</f>
        <v>20.788611111111113</v>
      </c>
      <c r="P6964" s="8" t="s">
        <v>30926</v>
      </c>
      <c r="Q6964" s="8">
        <f>+(0+30/60+33/3600)</f>
        <v>0.50916666666666666</v>
      </c>
      <c r="R6964" s="8">
        <v>99</v>
      </c>
      <c r="S6964" s="8">
        <v>99</v>
      </c>
      <c r="T6964" s="8">
        <v>99</v>
      </c>
      <c r="U6964" s="8">
        <v>99</v>
      </c>
      <c r="Y6964" s="8" t="s">
        <v>30927</v>
      </c>
      <c r="Z6964" s="8" t="s">
        <v>30928</v>
      </c>
    </row>
    <row r="6965" spans="1:26" x14ac:dyDescent="0.2">
      <c r="A6965" s="8">
        <v>6964</v>
      </c>
      <c r="B6965" s="8" t="s">
        <v>30929</v>
      </c>
      <c r="C6965" s="8" t="s">
        <v>30929</v>
      </c>
      <c r="F6965" s="47" t="s">
        <v>58276</v>
      </c>
      <c r="G6965" s="8">
        <v>15</v>
      </c>
      <c r="H6965" s="8" t="s">
        <v>21</v>
      </c>
      <c r="I6965" s="8" t="s">
        <v>22</v>
      </c>
      <c r="J6965" s="8" t="s">
        <v>22</v>
      </c>
      <c r="K6965" s="8" t="s">
        <v>1136</v>
      </c>
      <c r="L6965" s="8" t="s">
        <v>30854</v>
      </c>
      <c r="M6965" s="8" t="s">
        <v>30855</v>
      </c>
      <c r="N6965" s="8" t="s">
        <v>30930</v>
      </c>
      <c r="O6965" s="8">
        <f>20+47/60+24.2/3600</f>
        <v>20.790055555555558</v>
      </c>
      <c r="P6965" s="8" t="s">
        <v>30931</v>
      </c>
      <c r="Q6965" s="8">
        <f>+(0+18/60+5/3600)</f>
        <v>0.30138888888888887</v>
      </c>
      <c r="R6965" s="8">
        <v>13</v>
      </c>
      <c r="S6965" s="8">
        <v>14</v>
      </c>
      <c r="T6965" s="8">
        <v>1</v>
      </c>
      <c r="U6965" s="8">
        <v>13.8</v>
      </c>
      <c r="V6965" s="8">
        <v>1.7</v>
      </c>
      <c r="W6965" s="8">
        <v>1.3</v>
      </c>
      <c r="X6965" s="8">
        <v>168</v>
      </c>
      <c r="Y6965" s="8" t="s">
        <v>30932</v>
      </c>
      <c r="Z6965" s="8" t="s">
        <v>30933</v>
      </c>
    </row>
    <row r="6966" spans="1:26" x14ac:dyDescent="0.2">
      <c r="A6966" s="8">
        <v>6965</v>
      </c>
      <c r="B6966" s="8" t="s">
        <v>30934</v>
      </c>
      <c r="C6966" s="8" t="s">
        <v>30934</v>
      </c>
      <c r="F6966" s="47"/>
      <c r="G6966" s="8">
        <v>18</v>
      </c>
      <c r="H6966" s="8" t="s">
        <v>21</v>
      </c>
      <c r="I6966" s="8" t="s">
        <v>22</v>
      </c>
      <c r="J6966" s="8" t="s">
        <v>22</v>
      </c>
      <c r="K6966" s="8" t="s">
        <v>37</v>
      </c>
      <c r="L6966" s="8" t="s">
        <v>30854</v>
      </c>
      <c r="M6966" s="8" t="s">
        <v>30855</v>
      </c>
      <c r="N6966" s="8" t="s">
        <v>30935</v>
      </c>
      <c r="O6966" s="8">
        <f>20+47/60+20.5/3600</f>
        <v>20.789027777777779</v>
      </c>
      <c r="P6966" s="8" t="s">
        <v>30936</v>
      </c>
      <c r="Q6966" s="8">
        <f>+(0+29/60+3/3600)</f>
        <v>0.48416666666666669</v>
      </c>
      <c r="R6966" s="8">
        <v>14</v>
      </c>
      <c r="S6966" s="8">
        <v>15</v>
      </c>
      <c r="T6966" s="8">
        <v>1</v>
      </c>
      <c r="U6966" s="8">
        <v>13</v>
      </c>
      <c r="V6966" s="8">
        <v>0.6</v>
      </c>
      <c r="W6966" s="8">
        <v>0.4</v>
      </c>
      <c r="X6966" s="8">
        <v>66</v>
      </c>
      <c r="Y6966" s="8" t="s">
        <v>282</v>
      </c>
      <c r="Z6966" s="8" t="s">
        <v>283</v>
      </c>
    </row>
    <row r="6967" spans="1:26" x14ac:dyDescent="0.2">
      <c r="A6967" s="8">
        <v>6966</v>
      </c>
      <c r="B6967" s="8" t="s">
        <v>30937</v>
      </c>
      <c r="C6967" s="8" t="s">
        <v>30937</v>
      </c>
      <c r="F6967" s="47"/>
      <c r="G6967" s="8">
        <v>19</v>
      </c>
      <c r="H6967" s="8" t="s">
        <v>21</v>
      </c>
      <c r="I6967" s="8" t="s">
        <v>72</v>
      </c>
      <c r="J6967" s="8" t="s">
        <v>72</v>
      </c>
      <c r="K6967" s="8" t="s">
        <v>73</v>
      </c>
      <c r="L6967" s="8" t="s">
        <v>30854</v>
      </c>
      <c r="M6967" s="8" t="s">
        <v>30855</v>
      </c>
      <c r="N6967" s="8" t="s">
        <v>30938</v>
      </c>
      <c r="O6967" s="8">
        <f>20+47/60+26.7/3600</f>
        <v>20.790750000000003</v>
      </c>
      <c r="P6967" s="8" t="s">
        <v>30939</v>
      </c>
      <c r="Q6967" s="8">
        <f>+(0+22/60+5/3600)</f>
        <v>0.36805555555555552</v>
      </c>
      <c r="R6967" s="8">
        <v>99</v>
      </c>
      <c r="S6967" s="8">
        <v>99</v>
      </c>
      <c r="T6967" s="8">
        <v>99</v>
      </c>
      <c r="U6967" s="8">
        <v>99</v>
      </c>
      <c r="Y6967" s="8" t="s">
        <v>266</v>
      </c>
      <c r="Z6967" s="8" t="s">
        <v>267</v>
      </c>
    </row>
    <row r="6968" spans="1:26" x14ac:dyDescent="0.2">
      <c r="A6968" s="8">
        <v>6967</v>
      </c>
      <c r="B6968" s="8" t="s">
        <v>30940</v>
      </c>
      <c r="C6968" s="8" t="s">
        <v>30940</v>
      </c>
      <c r="F6968" s="47"/>
      <c r="G6968" s="8">
        <v>18</v>
      </c>
      <c r="H6968" s="8" t="s">
        <v>21</v>
      </c>
      <c r="I6968" s="8" t="s">
        <v>22</v>
      </c>
      <c r="J6968" s="8" t="s">
        <v>22</v>
      </c>
      <c r="K6968" s="8" t="s">
        <v>632</v>
      </c>
      <c r="L6968" s="8" t="s">
        <v>30854</v>
      </c>
      <c r="M6968" s="8" t="s">
        <v>30855</v>
      </c>
      <c r="N6968" s="8" t="s">
        <v>30941</v>
      </c>
      <c r="O6968" s="8">
        <f>20+47/60+34/3600</f>
        <v>20.792777777777779</v>
      </c>
      <c r="P6968" s="8" t="s">
        <v>30942</v>
      </c>
      <c r="Q6968" s="8">
        <f>+(0+24/60+44/3600)</f>
        <v>0.41222222222222227</v>
      </c>
      <c r="R6968" s="8">
        <v>13.1</v>
      </c>
      <c r="S6968" s="8">
        <v>14</v>
      </c>
      <c r="T6968" s="8">
        <v>0.9</v>
      </c>
      <c r="U6968" s="8">
        <v>12.6</v>
      </c>
      <c r="V6968" s="8">
        <v>0.9</v>
      </c>
      <c r="W6968" s="8">
        <v>0.6</v>
      </c>
      <c r="X6968" s="8">
        <v>105</v>
      </c>
      <c r="Y6968" s="8" t="s">
        <v>30943</v>
      </c>
      <c r="Z6968" s="8" t="s">
        <v>30944</v>
      </c>
    </row>
    <row r="6969" spans="1:26" x14ac:dyDescent="0.2">
      <c r="A6969" s="8">
        <v>6968</v>
      </c>
      <c r="B6969" s="8" t="s">
        <v>30945</v>
      </c>
      <c r="C6969" s="8" t="s">
        <v>30945</v>
      </c>
      <c r="F6969" s="47"/>
      <c r="G6969" s="8">
        <v>19</v>
      </c>
      <c r="H6969" s="8" t="s">
        <v>21</v>
      </c>
      <c r="I6969" s="8" t="s">
        <v>22</v>
      </c>
      <c r="J6969" s="8" t="s">
        <v>22</v>
      </c>
      <c r="K6969" s="8" t="s">
        <v>58</v>
      </c>
      <c r="L6969" s="8" t="s">
        <v>30854</v>
      </c>
      <c r="M6969" s="8" t="s">
        <v>30855</v>
      </c>
      <c r="N6969" s="8" t="s">
        <v>30946</v>
      </c>
      <c r="O6969" s="8">
        <f>20+48/60+32.4/3600</f>
        <v>20.809000000000001</v>
      </c>
      <c r="P6969" s="8" t="s">
        <v>30947</v>
      </c>
      <c r="Q6969" s="8">
        <f>-(8+21/60+35/3600)</f>
        <v>-8.3597222222222225</v>
      </c>
      <c r="R6969" s="8">
        <v>13.3</v>
      </c>
      <c r="S6969" s="8">
        <v>14.3</v>
      </c>
      <c r="T6969" s="8">
        <v>1</v>
      </c>
      <c r="U6969" s="8">
        <v>13.9</v>
      </c>
      <c r="V6969" s="8">
        <v>1.5</v>
      </c>
      <c r="W6969" s="8">
        <v>1.1000000000000001</v>
      </c>
      <c r="X6969" s="8">
        <v>144</v>
      </c>
      <c r="Y6969" s="8" t="s">
        <v>30948</v>
      </c>
      <c r="Z6969" s="8" t="s">
        <v>30949</v>
      </c>
    </row>
    <row r="6970" spans="1:26" x14ac:dyDescent="0.2">
      <c r="A6970" s="8">
        <v>6969</v>
      </c>
      <c r="B6970" s="8" t="s">
        <v>30950</v>
      </c>
      <c r="C6970" s="8" t="s">
        <v>30950</v>
      </c>
      <c r="F6970" s="47"/>
      <c r="G6970" s="8">
        <v>18</v>
      </c>
      <c r="H6970" s="8" t="s">
        <v>21</v>
      </c>
      <c r="I6970" s="8" t="s">
        <v>22</v>
      </c>
      <c r="J6970" s="8" t="s">
        <v>22</v>
      </c>
      <c r="K6970" s="8" t="s">
        <v>91</v>
      </c>
      <c r="L6970" s="8" t="s">
        <v>30604</v>
      </c>
      <c r="M6970" s="8" t="s">
        <v>30605</v>
      </c>
      <c r="N6970" s="8" t="s">
        <v>30951</v>
      </c>
      <c r="O6970" s="8">
        <f>20+48/60+27.6/3600</f>
        <v>20.807666666666666</v>
      </c>
      <c r="P6970" s="8" t="s">
        <v>30952</v>
      </c>
      <c r="Q6970" s="8">
        <f>+(7+44/60+25/3600)</f>
        <v>7.740277777777778</v>
      </c>
      <c r="R6970" s="8">
        <v>14.1</v>
      </c>
      <c r="S6970" s="8">
        <v>15</v>
      </c>
      <c r="T6970" s="8">
        <v>0.9</v>
      </c>
      <c r="U6970" s="8">
        <v>12.7</v>
      </c>
      <c r="V6970" s="8">
        <v>1.1000000000000001</v>
      </c>
      <c r="W6970" s="8">
        <v>0.3</v>
      </c>
      <c r="X6970" s="8">
        <v>15</v>
      </c>
      <c r="Y6970" s="8" t="s">
        <v>13281</v>
      </c>
      <c r="Z6970" s="8" t="s">
        <v>13282</v>
      </c>
    </row>
    <row r="6971" spans="1:26" x14ac:dyDescent="0.2">
      <c r="A6971" s="8">
        <v>6970</v>
      </c>
      <c r="B6971" s="8" t="s">
        <v>30953</v>
      </c>
      <c r="C6971" s="8" t="s">
        <v>30953</v>
      </c>
      <c r="F6971" s="47"/>
      <c r="G6971" s="8">
        <v>13</v>
      </c>
      <c r="H6971" s="8" t="s">
        <v>21</v>
      </c>
      <c r="I6971" s="8" t="s">
        <v>22</v>
      </c>
      <c r="J6971" s="8" t="s">
        <v>22</v>
      </c>
      <c r="K6971" s="8" t="s">
        <v>154</v>
      </c>
      <c r="L6971" s="8" t="s">
        <v>30731</v>
      </c>
      <c r="M6971" s="8" t="s">
        <v>30732</v>
      </c>
      <c r="N6971" s="8" t="s">
        <v>30954</v>
      </c>
      <c r="O6971" s="8">
        <f>20+52/60+9.4/3600</f>
        <v>20.869277777777778</v>
      </c>
      <c r="P6971" s="8" t="s">
        <v>30955</v>
      </c>
      <c r="Q6971" s="8">
        <f>-(48+46/60+41/3600)</f>
        <v>-48.778055555555554</v>
      </c>
      <c r="R6971" s="8">
        <v>12.6</v>
      </c>
      <c r="S6971" s="8">
        <v>13.2</v>
      </c>
      <c r="T6971" s="8">
        <v>0.6</v>
      </c>
      <c r="U6971" s="8">
        <v>12.6</v>
      </c>
      <c r="V6971" s="8">
        <v>1</v>
      </c>
      <c r="W6971" s="8">
        <v>0.6</v>
      </c>
      <c r="X6971" s="8">
        <v>123</v>
      </c>
      <c r="Y6971" s="8" t="s">
        <v>30956</v>
      </c>
      <c r="Z6971" s="8" t="s">
        <v>30957</v>
      </c>
    </row>
    <row r="6972" spans="1:26" x14ac:dyDescent="0.2">
      <c r="A6972" s="8">
        <v>6971</v>
      </c>
      <c r="B6972" s="8" t="s">
        <v>30958</v>
      </c>
      <c r="C6972" s="8" t="s">
        <v>30958</v>
      </c>
      <c r="F6972" s="47"/>
      <c r="G6972" s="8">
        <v>18</v>
      </c>
      <c r="H6972" s="8" t="s">
        <v>21</v>
      </c>
      <c r="I6972" s="8" t="s">
        <v>22</v>
      </c>
      <c r="J6972" s="8" t="s">
        <v>22</v>
      </c>
      <c r="K6972" s="8" t="s">
        <v>23</v>
      </c>
      <c r="L6972" s="8" t="s">
        <v>30604</v>
      </c>
      <c r="M6972" s="8" t="s">
        <v>30605</v>
      </c>
      <c r="N6972" s="8" t="s">
        <v>30959</v>
      </c>
      <c r="O6972" s="8">
        <f>20+49/60+23.7/3600</f>
        <v>20.823249999999998</v>
      </c>
      <c r="P6972" s="8" t="s">
        <v>30960</v>
      </c>
      <c r="Q6972" s="8">
        <f>+(5+59/60+43/3600)</f>
        <v>5.9952777777777779</v>
      </c>
      <c r="R6972" s="8">
        <v>13.7</v>
      </c>
      <c r="S6972" s="8">
        <v>14.5</v>
      </c>
      <c r="T6972" s="8">
        <v>0.8</v>
      </c>
      <c r="U6972" s="8">
        <v>13.5</v>
      </c>
      <c r="V6972" s="8">
        <v>1.1000000000000001</v>
      </c>
      <c r="W6972" s="8">
        <v>0.9</v>
      </c>
      <c r="X6972" s="8">
        <v>60</v>
      </c>
      <c r="Y6972" s="8" t="s">
        <v>170</v>
      </c>
      <c r="Z6972" s="8" t="s">
        <v>171</v>
      </c>
    </row>
    <row r="6973" spans="1:26" x14ac:dyDescent="0.2">
      <c r="A6973" s="8">
        <v>6972</v>
      </c>
      <c r="B6973" s="8" t="s">
        <v>30961</v>
      </c>
      <c r="C6973" s="8" t="s">
        <v>30961</v>
      </c>
      <c r="F6973" s="47"/>
      <c r="G6973" s="8">
        <v>18</v>
      </c>
      <c r="H6973" s="8" t="s">
        <v>21</v>
      </c>
      <c r="I6973" s="8" t="s">
        <v>22</v>
      </c>
      <c r="J6973" s="8" t="s">
        <v>22</v>
      </c>
      <c r="K6973" s="8" t="s">
        <v>632</v>
      </c>
      <c r="L6973" s="8" t="s">
        <v>30604</v>
      </c>
      <c r="M6973" s="8" t="s">
        <v>30605</v>
      </c>
      <c r="N6973" s="8" t="s">
        <v>30962</v>
      </c>
      <c r="O6973" s="8">
        <f>20+49/60+58.9/3600</f>
        <v>20.833027777777776</v>
      </c>
      <c r="P6973" s="8" t="s">
        <v>30963</v>
      </c>
      <c r="Q6973" s="8">
        <f>+(9+53/60+59/3600)</f>
        <v>9.8997222222222216</v>
      </c>
      <c r="R6973" s="8">
        <v>13.3</v>
      </c>
      <c r="S6973" s="8">
        <v>14.2</v>
      </c>
      <c r="T6973" s="8">
        <v>0.9</v>
      </c>
      <c r="U6973" s="8">
        <v>12.7</v>
      </c>
      <c r="V6973" s="8">
        <v>1.1000000000000001</v>
      </c>
      <c r="W6973" s="8">
        <v>0.5</v>
      </c>
      <c r="X6973" s="8">
        <v>143</v>
      </c>
      <c r="Y6973" s="8" t="s">
        <v>895</v>
      </c>
      <c r="Z6973" s="8" t="s">
        <v>896</v>
      </c>
    </row>
    <row r="6974" spans="1:26" x14ac:dyDescent="0.2">
      <c r="A6974" s="8">
        <v>6973</v>
      </c>
      <c r="B6974" s="8" t="s">
        <v>30964</v>
      </c>
      <c r="C6974" s="8" t="s">
        <v>30964</v>
      </c>
      <c r="F6974" s="47"/>
      <c r="G6974" s="8">
        <v>19</v>
      </c>
      <c r="H6974" s="8" t="s">
        <v>21</v>
      </c>
      <c r="I6974" s="8" t="s">
        <v>72</v>
      </c>
      <c r="J6974" s="8" t="s">
        <v>72</v>
      </c>
      <c r="K6974" s="8" t="s">
        <v>20</v>
      </c>
      <c r="L6974" s="8" t="s">
        <v>30854</v>
      </c>
      <c r="M6974" s="8" t="s">
        <v>30855</v>
      </c>
      <c r="N6974" s="8" t="s">
        <v>30965</v>
      </c>
      <c r="O6974" s="8">
        <f>20+52/60+6/3600</f>
        <v>20.868333333333332</v>
      </c>
      <c r="P6974" s="8" t="s">
        <v>30966</v>
      </c>
      <c r="Q6974" s="8">
        <f>-(5+53/60+39/3600)</f>
        <v>-5.8941666666666661</v>
      </c>
      <c r="R6974" s="8">
        <v>99</v>
      </c>
      <c r="S6974" s="8">
        <v>15.6</v>
      </c>
      <c r="T6974" s="8">
        <v>99</v>
      </c>
      <c r="U6974" s="8">
        <v>99</v>
      </c>
      <c r="Y6974" s="8" t="s">
        <v>27057</v>
      </c>
      <c r="Z6974" s="8" t="s">
        <v>27058</v>
      </c>
    </row>
    <row r="6975" spans="1:26" x14ac:dyDescent="0.2">
      <c r="A6975" s="8">
        <v>6974</v>
      </c>
      <c r="B6975" s="8" t="s">
        <v>30967</v>
      </c>
      <c r="C6975" s="8" t="s">
        <v>30967</v>
      </c>
      <c r="F6975" s="47"/>
      <c r="G6975" s="8">
        <v>18</v>
      </c>
      <c r="H6975" s="8" t="s">
        <v>21</v>
      </c>
      <c r="I6975" s="8" t="s">
        <v>1283</v>
      </c>
      <c r="J6975" s="8" t="s">
        <v>1283</v>
      </c>
      <c r="K6975" s="8" t="s">
        <v>8889</v>
      </c>
      <c r="L6975" s="8" t="s">
        <v>30032</v>
      </c>
      <c r="M6975" s="8" t="s">
        <v>30033</v>
      </c>
      <c r="N6975" s="8" t="s">
        <v>30968</v>
      </c>
      <c r="O6975" s="8">
        <f>20+51/60+4/3600</f>
        <v>20.851111111111113</v>
      </c>
      <c r="P6975" s="8" t="s">
        <v>30969</v>
      </c>
      <c r="Q6975" s="8">
        <f>+(31+49/60+54/3600)</f>
        <v>31.831666666666667</v>
      </c>
      <c r="R6975" s="8">
        <v>99</v>
      </c>
      <c r="S6975" s="8">
        <v>99</v>
      </c>
      <c r="T6975" s="8">
        <v>99</v>
      </c>
      <c r="U6975" s="8">
        <v>99</v>
      </c>
      <c r="Y6975" s="8" t="s">
        <v>30970</v>
      </c>
      <c r="Z6975" s="8" t="s">
        <v>30971</v>
      </c>
    </row>
    <row r="6976" spans="1:26" x14ac:dyDescent="0.2">
      <c r="A6976" s="8">
        <v>6975</v>
      </c>
      <c r="B6976" s="8" t="s">
        <v>30972</v>
      </c>
      <c r="C6976" s="8" t="s">
        <v>30972</v>
      </c>
      <c r="F6976" s="47"/>
      <c r="G6976" s="8">
        <v>19</v>
      </c>
      <c r="H6976" s="8" t="s">
        <v>21</v>
      </c>
      <c r="I6976" s="8" t="s">
        <v>22</v>
      </c>
      <c r="J6976" s="8" t="s">
        <v>57</v>
      </c>
      <c r="K6976" s="8" t="s">
        <v>396</v>
      </c>
      <c r="L6976" s="8" t="s">
        <v>30854</v>
      </c>
      <c r="M6976" s="8" t="s">
        <v>30855</v>
      </c>
      <c r="N6976" s="8" t="s">
        <v>30973</v>
      </c>
      <c r="O6976" s="8">
        <f>20+52/60+25.9/3600</f>
        <v>20.873861111111111</v>
      </c>
      <c r="P6976" s="8" t="s">
        <v>30974</v>
      </c>
      <c r="Q6976" s="8">
        <f>-(5+46/60+17/3600)</f>
        <v>-5.7713888888888887</v>
      </c>
      <c r="R6976" s="8">
        <v>14</v>
      </c>
      <c r="S6976" s="8">
        <v>14.8</v>
      </c>
      <c r="T6976" s="8">
        <v>0.8</v>
      </c>
      <c r="U6976" s="8">
        <v>13.2</v>
      </c>
      <c r="V6976" s="8">
        <v>0.8</v>
      </c>
      <c r="W6976" s="8">
        <v>0.7</v>
      </c>
      <c r="X6976" s="8">
        <v>5</v>
      </c>
      <c r="Y6976" s="8" t="s">
        <v>30975</v>
      </c>
      <c r="Z6976" s="8" t="s">
        <v>30976</v>
      </c>
    </row>
    <row r="6977" spans="1:26" x14ac:dyDescent="0.2">
      <c r="A6977" s="8">
        <v>6976</v>
      </c>
      <c r="B6977" s="8" t="s">
        <v>30977</v>
      </c>
      <c r="C6977" s="8" t="s">
        <v>30977</v>
      </c>
      <c r="F6977" s="47"/>
      <c r="G6977" s="8">
        <v>18</v>
      </c>
      <c r="H6977" s="8" t="s">
        <v>21</v>
      </c>
      <c r="I6977" s="8" t="s">
        <v>22</v>
      </c>
      <c r="J6977" s="8" t="s">
        <v>22</v>
      </c>
      <c r="K6977" s="8" t="s">
        <v>396</v>
      </c>
      <c r="L6977" s="8" t="s">
        <v>30854</v>
      </c>
      <c r="M6977" s="8" t="s">
        <v>30855</v>
      </c>
      <c r="N6977" s="8" t="s">
        <v>30973</v>
      </c>
      <c r="O6977" s="8">
        <f>20+52/60+25.9/3600</f>
        <v>20.873861111111111</v>
      </c>
      <c r="P6977" s="8" t="s">
        <v>30974</v>
      </c>
      <c r="Q6977" s="8">
        <f>-(5+46/60+17/3600)</f>
        <v>-5.7713888888888887</v>
      </c>
      <c r="R6977" s="8">
        <v>14</v>
      </c>
      <c r="S6977" s="8">
        <v>14.8</v>
      </c>
      <c r="T6977" s="8">
        <v>0.8</v>
      </c>
      <c r="U6977" s="8">
        <v>13.2</v>
      </c>
      <c r="V6977" s="8">
        <v>0.8</v>
      </c>
      <c r="W6977" s="8">
        <v>0.7</v>
      </c>
      <c r="X6977" s="8">
        <v>5</v>
      </c>
      <c r="Y6977" s="8" t="s">
        <v>30975</v>
      </c>
      <c r="Z6977" s="8" t="s">
        <v>30978</v>
      </c>
    </row>
    <row r="6978" spans="1:26" x14ac:dyDescent="0.2">
      <c r="A6978" s="8">
        <v>6977</v>
      </c>
      <c r="B6978" s="8" t="s">
        <v>30979</v>
      </c>
      <c r="C6978" s="8" t="s">
        <v>30979</v>
      </c>
      <c r="F6978" s="47"/>
      <c r="G6978" s="8">
        <v>18</v>
      </c>
      <c r="H6978" s="8" t="s">
        <v>21</v>
      </c>
      <c r="I6978" s="8" t="s">
        <v>22</v>
      </c>
      <c r="J6978" s="8" t="s">
        <v>22</v>
      </c>
      <c r="K6978" s="8" t="s">
        <v>218</v>
      </c>
      <c r="L6978" s="8" t="s">
        <v>30854</v>
      </c>
      <c r="M6978" s="8" t="s">
        <v>30855</v>
      </c>
      <c r="N6978" s="8" t="s">
        <v>30980</v>
      </c>
      <c r="O6978" s="8">
        <f>20+52/60+29.6/3600</f>
        <v>20.87488888888889</v>
      </c>
      <c r="P6978" s="8" t="s">
        <v>30981</v>
      </c>
      <c r="Q6978" s="8">
        <f>-(5+44/60+45/3600)</f>
        <v>-5.7458333333333336</v>
      </c>
      <c r="R6978" s="8">
        <v>13.2</v>
      </c>
      <c r="S6978" s="8">
        <v>14.1</v>
      </c>
      <c r="T6978" s="8">
        <v>0.9</v>
      </c>
      <c r="U6978" s="8">
        <v>13.2</v>
      </c>
      <c r="V6978" s="8">
        <v>1.3</v>
      </c>
      <c r="W6978" s="8">
        <v>0.9</v>
      </c>
      <c r="X6978" s="8">
        <v>162</v>
      </c>
      <c r="Y6978" s="8" t="s">
        <v>1794</v>
      </c>
      <c r="Z6978" s="8" t="s">
        <v>1795</v>
      </c>
    </row>
    <row r="6979" spans="1:26" x14ac:dyDescent="0.2">
      <c r="A6979" s="8">
        <v>6978</v>
      </c>
      <c r="B6979" s="8" t="s">
        <v>30982</v>
      </c>
      <c r="C6979" s="8" t="s">
        <v>30982</v>
      </c>
      <c r="F6979" s="47"/>
      <c r="G6979" s="8">
        <v>18</v>
      </c>
      <c r="H6979" s="8" t="s">
        <v>21</v>
      </c>
      <c r="I6979" s="8" t="s">
        <v>22</v>
      </c>
      <c r="J6979" s="8" t="s">
        <v>22</v>
      </c>
      <c r="K6979" s="8" t="s">
        <v>23</v>
      </c>
      <c r="L6979" s="8" t="s">
        <v>30854</v>
      </c>
      <c r="M6979" s="8" t="s">
        <v>30855</v>
      </c>
      <c r="N6979" s="8" t="s">
        <v>30983</v>
      </c>
      <c r="O6979" s="8">
        <f>20+52/60+35.4/3600</f>
        <v>20.8765</v>
      </c>
      <c r="P6979" s="8" t="s">
        <v>30984</v>
      </c>
      <c r="Q6979" s="8">
        <f>-(5+42/60+40/3600)</f>
        <v>-5.7111111111111112</v>
      </c>
      <c r="R6979" s="8">
        <v>13.3</v>
      </c>
      <c r="S6979" s="8">
        <v>14.1</v>
      </c>
      <c r="T6979" s="8">
        <v>0.8</v>
      </c>
      <c r="U6979" s="8">
        <v>13.2</v>
      </c>
      <c r="V6979" s="8">
        <v>1.5</v>
      </c>
      <c r="W6979" s="8">
        <v>0.7</v>
      </c>
      <c r="X6979" s="8">
        <v>125</v>
      </c>
      <c r="Y6979" s="8" t="s">
        <v>297</v>
      </c>
      <c r="Z6979" s="8" t="s">
        <v>298</v>
      </c>
    </row>
    <row r="6980" spans="1:26" x14ac:dyDescent="0.2">
      <c r="A6980" s="8">
        <v>6979</v>
      </c>
      <c r="B6980" s="8" t="s">
        <v>30985</v>
      </c>
      <c r="C6980" s="8" t="s">
        <v>30985</v>
      </c>
      <c r="F6980" s="47" t="s">
        <v>58277</v>
      </c>
      <c r="G6980" s="8">
        <v>9</v>
      </c>
      <c r="H6980" s="8" t="s">
        <v>30986</v>
      </c>
      <c r="I6980" s="8" t="s">
        <v>1283</v>
      </c>
      <c r="J6980" s="8" t="s">
        <v>1283</v>
      </c>
      <c r="K6980" s="8" t="s">
        <v>8889</v>
      </c>
      <c r="L6980" s="8" t="s">
        <v>30032</v>
      </c>
      <c r="M6980" s="8" t="s">
        <v>30033</v>
      </c>
      <c r="N6980" s="8" t="s">
        <v>30987</v>
      </c>
      <c r="O6980" s="8">
        <f>20+50/60+30/3600</f>
        <v>20.841666666666665</v>
      </c>
      <c r="P6980" s="8" t="s">
        <v>30988</v>
      </c>
      <c r="Q6980" s="8">
        <f>+(32+1/60+36/3600)</f>
        <v>32.026666666666664</v>
      </c>
      <c r="R6980" s="8">
        <v>99</v>
      </c>
      <c r="S6980" s="8">
        <v>99</v>
      </c>
      <c r="T6980" s="8">
        <v>99</v>
      </c>
      <c r="U6980" s="8">
        <v>99</v>
      </c>
      <c r="V6980" s="8">
        <v>7</v>
      </c>
      <c r="W6980" s="8">
        <v>3</v>
      </c>
      <c r="Y6980" s="8" t="s">
        <v>30989</v>
      </c>
      <c r="Z6980" s="8" t="s">
        <v>30990</v>
      </c>
    </row>
    <row r="6981" spans="1:26" x14ac:dyDescent="0.2">
      <c r="A6981" s="8">
        <v>6980</v>
      </c>
      <c r="B6981" s="8" t="s">
        <v>30991</v>
      </c>
      <c r="C6981" s="8" t="s">
        <v>30991</v>
      </c>
      <c r="F6981" s="47"/>
      <c r="G6981" s="8">
        <v>19</v>
      </c>
      <c r="H6981" s="8" t="s">
        <v>21</v>
      </c>
      <c r="I6981" s="8" t="s">
        <v>72</v>
      </c>
      <c r="J6981" s="8" t="s">
        <v>72</v>
      </c>
      <c r="K6981" s="8" t="s">
        <v>20</v>
      </c>
      <c r="L6981" s="8" t="s">
        <v>30854</v>
      </c>
      <c r="M6981" s="8" t="s">
        <v>30855</v>
      </c>
      <c r="N6981" s="8" t="s">
        <v>30992</v>
      </c>
      <c r="O6981" s="8">
        <f>20+52/60+48.9/3600</f>
        <v>20.88025</v>
      </c>
      <c r="P6981" s="8" t="s">
        <v>30993</v>
      </c>
      <c r="Q6981" s="8">
        <f>-(5+50/60+13/3600)</f>
        <v>-5.8369444444444438</v>
      </c>
      <c r="R6981" s="8">
        <v>99</v>
      </c>
      <c r="S6981" s="8">
        <v>15.4</v>
      </c>
      <c r="T6981" s="8">
        <v>99</v>
      </c>
      <c r="U6981" s="8">
        <v>99</v>
      </c>
      <c r="Y6981" s="8" t="s">
        <v>27057</v>
      </c>
      <c r="Z6981" s="8" t="s">
        <v>27058</v>
      </c>
    </row>
    <row r="6982" spans="1:26" x14ac:dyDescent="0.2">
      <c r="A6982" s="8">
        <v>6981</v>
      </c>
      <c r="B6982" s="8" t="s">
        <v>30994</v>
      </c>
      <c r="C6982" s="8" t="s">
        <v>55960</v>
      </c>
      <c r="F6982" s="47"/>
      <c r="G6982" s="8">
        <v>1</v>
      </c>
      <c r="H6982" s="8" t="s">
        <v>21</v>
      </c>
      <c r="I6982" s="8" t="s">
        <v>567</v>
      </c>
      <c r="J6982" s="8" t="s">
        <v>567</v>
      </c>
      <c r="K6982" s="8" t="s">
        <v>26506</v>
      </c>
      <c r="L6982" s="8" t="s">
        <v>30854</v>
      </c>
      <c r="M6982" s="8" t="s">
        <v>30855</v>
      </c>
      <c r="N6982" s="8" t="s">
        <v>30995</v>
      </c>
      <c r="O6982" s="8">
        <f>20+53/60+27.9/3600</f>
        <v>20.891083333333334</v>
      </c>
      <c r="P6982" s="8" t="s">
        <v>30996</v>
      </c>
      <c r="Q6982" s="8">
        <f>-(12+32/60+11/3600)</f>
        <v>-12.536388888888888</v>
      </c>
      <c r="R6982" s="8">
        <v>9.1999999999999993</v>
      </c>
      <c r="S6982" s="8">
        <v>99</v>
      </c>
      <c r="T6982" s="8">
        <v>99</v>
      </c>
      <c r="U6982" s="8">
        <v>99</v>
      </c>
      <c r="V6982" s="8">
        <v>6.6</v>
      </c>
      <c r="Y6982" s="8" t="s">
        <v>30997</v>
      </c>
      <c r="Z6982" s="8" t="s">
        <v>30998</v>
      </c>
    </row>
    <row r="6983" spans="1:26" x14ac:dyDescent="0.2">
      <c r="A6983" s="8">
        <v>6982</v>
      </c>
      <c r="B6983" s="8" t="s">
        <v>30999</v>
      </c>
      <c r="C6983" s="8" t="s">
        <v>30999</v>
      </c>
      <c r="F6983" s="47"/>
      <c r="G6983" s="8">
        <v>16</v>
      </c>
      <c r="H6983" s="8" t="s">
        <v>21</v>
      </c>
      <c r="I6983" s="8" t="s">
        <v>22</v>
      </c>
      <c r="J6983" s="8" t="s">
        <v>22</v>
      </c>
      <c r="K6983" s="8" t="s">
        <v>154</v>
      </c>
      <c r="L6983" s="8" t="s">
        <v>30731</v>
      </c>
      <c r="M6983" s="8" t="s">
        <v>30732</v>
      </c>
      <c r="N6983" s="8" t="s">
        <v>31000</v>
      </c>
      <c r="O6983" s="8">
        <f>20+57/60+18.3/3600</f>
        <v>20.955083333333334</v>
      </c>
      <c r="P6983" s="8" t="s">
        <v>31001</v>
      </c>
      <c r="Q6983" s="8">
        <f>-(51+51/60+46/3600)</f>
        <v>-51.862777777777779</v>
      </c>
      <c r="R6983" s="8">
        <v>13.7</v>
      </c>
      <c r="S6983" s="8">
        <v>14.4</v>
      </c>
      <c r="T6983" s="8">
        <v>0.7</v>
      </c>
      <c r="U6983" s="8">
        <v>13.1</v>
      </c>
      <c r="V6983" s="8">
        <v>1</v>
      </c>
      <c r="W6983" s="8">
        <v>0.7</v>
      </c>
      <c r="X6983" s="8">
        <v>68</v>
      </c>
      <c r="Y6983" s="8" t="s">
        <v>31002</v>
      </c>
      <c r="Z6983" s="8" t="s">
        <v>31003</v>
      </c>
    </row>
    <row r="6984" spans="1:26" x14ac:dyDescent="0.2">
      <c r="A6984" s="8">
        <v>6983</v>
      </c>
      <c r="B6984" s="8" t="s">
        <v>31004</v>
      </c>
      <c r="C6984" s="8" t="s">
        <v>31004</v>
      </c>
      <c r="F6984" s="47"/>
      <c r="G6984" s="8">
        <v>16</v>
      </c>
      <c r="H6984" s="8" t="s">
        <v>21</v>
      </c>
      <c r="I6984" s="8" t="s">
        <v>22</v>
      </c>
      <c r="J6984" s="8" t="s">
        <v>22</v>
      </c>
      <c r="K6984" s="8" t="s">
        <v>31</v>
      </c>
      <c r="L6984" s="8" t="s">
        <v>30738</v>
      </c>
      <c r="M6984" s="8" t="s">
        <v>30739</v>
      </c>
      <c r="N6984" s="8" t="s">
        <v>31005</v>
      </c>
      <c r="O6984" s="8">
        <f>20+56/60+43.5/3600</f>
        <v>20.945416666666667</v>
      </c>
      <c r="P6984" s="8" t="s">
        <v>31006</v>
      </c>
      <c r="Q6984" s="8">
        <f>-(43+59/60+10/3600)</f>
        <v>-43.986111111111114</v>
      </c>
      <c r="R6984" s="8">
        <v>13.4</v>
      </c>
      <c r="S6984" s="8">
        <v>14.2</v>
      </c>
      <c r="T6984" s="8">
        <v>0.8</v>
      </c>
      <c r="U6984" s="8">
        <v>12.5</v>
      </c>
      <c r="V6984" s="8">
        <v>0.8</v>
      </c>
      <c r="W6984" s="8">
        <v>0.6</v>
      </c>
      <c r="X6984" s="8">
        <v>147</v>
      </c>
      <c r="Y6984" s="8" t="s">
        <v>9253</v>
      </c>
      <c r="Z6984" s="8" t="s">
        <v>9254</v>
      </c>
    </row>
    <row r="6985" spans="1:26" x14ac:dyDescent="0.2">
      <c r="A6985" s="8">
        <v>6984</v>
      </c>
      <c r="B6985" s="8" t="s">
        <v>31007</v>
      </c>
      <c r="C6985" s="8" t="s">
        <v>31007</v>
      </c>
      <c r="F6985" s="47"/>
      <c r="G6985" s="8">
        <v>13</v>
      </c>
      <c r="H6985" s="8" t="s">
        <v>21</v>
      </c>
      <c r="I6985" s="8" t="s">
        <v>22</v>
      </c>
      <c r="J6985" s="8" t="s">
        <v>22</v>
      </c>
      <c r="K6985" s="8" t="s">
        <v>64</v>
      </c>
      <c r="L6985" s="8" t="s">
        <v>30731</v>
      </c>
      <c r="M6985" s="8" t="s">
        <v>30732</v>
      </c>
      <c r="N6985" s="8" t="s">
        <v>31008</v>
      </c>
      <c r="O6985" s="8">
        <f>20+57/60+54.2/3600</f>
        <v>20.965055555555555</v>
      </c>
      <c r="P6985" s="8" t="s">
        <v>31009</v>
      </c>
      <c r="Q6985" s="8">
        <f>-(51+52/60+15/3600)</f>
        <v>-51.870833333333337</v>
      </c>
      <c r="R6985" s="8">
        <v>12.7</v>
      </c>
      <c r="S6985" s="8">
        <v>13.2</v>
      </c>
      <c r="T6985" s="8">
        <v>0.5</v>
      </c>
      <c r="U6985" s="8">
        <v>13.4</v>
      </c>
      <c r="V6985" s="8">
        <v>1.8</v>
      </c>
      <c r="W6985" s="8">
        <v>1.2</v>
      </c>
      <c r="X6985" s="8">
        <v>101</v>
      </c>
      <c r="Y6985" s="8" t="s">
        <v>31010</v>
      </c>
      <c r="Z6985" s="8" t="s">
        <v>31011</v>
      </c>
    </row>
    <row r="6986" spans="1:26" x14ac:dyDescent="0.2">
      <c r="A6986" s="8">
        <v>6985</v>
      </c>
      <c r="B6986" s="8" t="s">
        <v>31012</v>
      </c>
      <c r="C6986" s="8" t="s">
        <v>31012</v>
      </c>
      <c r="F6986" s="47"/>
      <c r="G6986" s="8">
        <v>19</v>
      </c>
      <c r="H6986" s="8" t="s">
        <v>21</v>
      </c>
      <c r="I6986" s="8" t="s">
        <v>22</v>
      </c>
      <c r="J6986" s="8" t="s">
        <v>22</v>
      </c>
      <c r="K6986" s="8" t="s">
        <v>91</v>
      </c>
      <c r="L6986" s="8" t="s">
        <v>30854</v>
      </c>
      <c r="M6986" s="8" t="s">
        <v>30855</v>
      </c>
      <c r="N6986" s="8" t="s">
        <v>31013</v>
      </c>
      <c r="O6986" s="8">
        <f>20+45/60+3/3600</f>
        <v>20.750833333333333</v>
      </c>
      <c r="P6986" s="8" t="s">
        <v>31014</v>
      </c>
      <c r="Q6986" s="8">
        <f>-(11+6/60+15/3600)</f>
        <v>-11.104166666666666</v>
      </c>
      <c r="R6986" s="8">
        <v>13.8</v>
      </c>
      <c r="S6986" s="8">
        <v>14.7</v>
      </c>
      <c r="T6986" s="8">
        <v>0.9</v>
      </c>
      <c r="U6986" s="8">
        <v>13.8</v>
      </c>
      <c r="V6986" s="8">
        <v>1.5</v>
      </c>
      <c r="W6986" s="8">
        <v>0.8</v>
      </c>
      <c r="X6986" s="8">
        <v>90</v>
      </c>
      <c r="Y6986" s="8" t="s">
        <v>4418</v>
      </c>
      <c r="Z6986" s="8" t="s">
        <v>4419</v>
      </c>
    </row>
    <row r="6987" spans="1:26" x14ac:dyDescent="0.2">
      <c r="A6987" s="8">
        <v>6986</v>
      </c>
      <c r="B6987" s="8" t="s">
        <v>31015</v>
      </c>
      <c r="C6987" s="8" t="s">
        <v>31015</v>
      </c>
      <c r="F6987" s="47"/>
      <c r="G6987" s="8">
        <v>19</v>
      </c>
      <c r="H6987" s="8" t="s">
        <v>21</v>
      </c>
      <c r="I6987" s="8" t="s">
        <v>22</v>
      </c>
      <c r="J6987" s="8" t="s">
        <v>22</v>
      </c>
      <c r="K6987" s="8" t="s">
        <v>58</v>
      </c>
      <c r="L6987" s="8" t="s">
        <v>30635</v>
      </c>
      <c r="M6987" s="8" t="s">
        <v>30636</v>
      </c>
      <c r="N6987" s="8" t="s">
        <v>31016</v>
      </c>
      <c r="O6987" s="8">
        <f>20+56/60+30.6/3600</f>
        <v>20.941833333333335</v>
      </c>
      <c r="P6987" s="8" t="s">
        <v>31017</v>
      </c>
      <c r="Q6987" s="8">
        <f>-(18+33/60+58/3600)</f>
        <v>-18.566111111111113</v>
      </c>
      <c r="R6987" s="8">
        <v>13.5</v>
      </c>
      <c r="S6987" s="8">
        <v>14.5</v>
      </c>
      <c r="T6987" s="8">
        <v>1</v>
      </c>
      <c r="U6987" s="8">
        <v>12.8</v>
      </c>
      <c r="V6987" s="8">
        <v>1</v>
      </c>
      <c r="W6987" s="8">
        <v>0.6</v>
      </c>
      <c r="X6987" s="8">
        <v>8</v>
      </c>
      <c r="Y6987" s="8" t="s">
        <v>31018</v>
      </c>
      <c r="Z6987" s="8" t="s">
        <v>31019</v>
      </c>
    </row>
    <row r="6988" spans="1:26" x14ac:dyDescent="0.2">
      <c r="A6988" s="8">
        <v>6987</v>
      </c>
      <c r="B6988" s="8" t="s">
        <v>31020</v>
      </c>
      <c r="C6988" s="8" t="s">
        <v>31020</v>
      </c>
      <c r="F6988" s="47"/>
      <c r="G6988" s="8">
        <v>16</v>
      </c>
      <c r="H6988" s="8" t="s">
        <v>21</v>
      </c>
      <c r="I6988" s="8" t="s">
        <v>22</v>
      </c>
      <c r="J6988" s="8" t="s">
        <v>22</v>
      </c>
      <c r="K6988" s="8" t="s">
        <v>183</v>
      </c>
      <c r="L6988" s="8" t="s">
        <v>30731</v>
      </c>
      <c r="M6988" s="8" t="s">
        <v>30732</v>
      </c>
      <c r="N6988" s="8" t="s">
        <v>31021</v>
      </c>
      <c r="O6988" s="8">
        <f>20+58/60+10.4/3600</f>
        <v>20.969555555555555</v>
      </c>
      <c r="P6988" s="8" t="s">
        <v>31022</v>
      </c>
      <c r="Q6988" s="8">
        <f>-(48+37/60+48/3600)</f>
        <v>-48.63</v>
      </c>
      <c r="R6988" s="8">
        <v>12.4</v>
      </c>
      <c r="S6988" s="8">
        <v>13.4</v>
      </c>
      <c r="T6988" s="8">
        <v>1</v>
      </c>
      <c r="U6988" s="8">
        <v>13</v>
      </c>
      <c r="V6988" s="8">
        <v>1.4</v>
      </c>
      <c r="W6988" s="8">
        <v>1.2</v>
      </c>
      <c r="X6988" s="8">
        <v>92</v>
      </c>
      <c r="Y6988" s="8" t="s">
        <v>31023</v>
      </c>
      <c r="Z6988" s="8" t="s">
        <v>31024</v>
      </c>
    </row>
    <row r="6989" spans="1:26" x14ac:dyDescent="0.2">
      <c r="A6989" s="8">
        <v>6988</v>
      </c>
      <c r="B6989" s="8" t="s">
        <v>31025</v>
      </c>
      <c r="C6989" s="8" t="s">
        <v>31025</v>
      </c>
      <c r="F6989" s="47"/>
      <c r="G6989" s="8">
        <v>18</v>
      </c>
      <c r="H6989" s="8" t="s">
        <v>21</v>
      </c>
      <c r="I6989" s="8" t="s">
        <v>22</v>
      </c>
      <c r="J6989" s="8" t="s">
        <v>22</v>
      </c>
      <c r="K6989" s="8" t="s">
        <v>449</v>
      </c>
      <c r="L6989" s="8" t="s">
        <v>30604</v>
      </c>
      <c r="M6989" s="8" t="s">
        <v>30605</v>
      </c>
      <c r="N6989" s="8" t="s">
        <v>31026</v>
      </c>
      <c r="O6989" s="8">
        <f>20+55/60+48.9/3600</f>
        <v>20.930250000000001</v>
      </c>
      <c r="P6989" s="8" t="s">
        <v>31027</v>
      </c>
      <c r="Q6989" s="8">
        <f>+(10+30/60+30/3600)</f>
        <v>10.508333333333333</v>
      </c>
      <c r="R6989" s="8">
        <v>14.6</v>
      </c>
      <c r="S6989" s="8">
        <v>15.2</v>
      </c>
      <c r="T6989" s="8">
        <v>0.6</v>
      </c>
      <c r="U6989" s="8">
        <v>13</v>
      </c>
      <c r="V6989" s="8">
        <v>0.5</v>
      </c>
      <c r="W6989" s="8">
        <v>0.5</v>
      </c>
      <c r="Y6989" s="8" t="s">
        <v>2734</v>
      </c>
      <c r="Z6989" s="8" t="s">
        <v>2735</v>
      </c>
    </row>
    <row r="6990" spans="1:26" x14ac:dyDescent="0.2">
      <c r="A6990" s="8">
        <v>6989</v>
      </c>
      <c r="B6990" s="8" t="s">
        <v>31028</v>
      </c>
      <c r="C6990" s="8" t="s">
        <v>31028</v>
      </c>
      <c r="F6990" s="47" t="s">
        <v>58278</v>
      </c>
      <c r="G6990" s="8">
        <v>15</v>
      </c>
      <c r="H6990" s="8" t="s">
        <v>21</v>
      </c>
      <c r="I6990" s="8" t="s">
        <v>72</v>
      </c>
      <c r="J6990" s="8" t="s">
        <v>72</v>
      </c>
      <c r="K6990" s="8" t="s">
        <v>1405</v>
      </c>
      <c r="L6990" s="8" t="s">
        <v>30032</v>
      </c>
      <c r="M6990" s="8" t="s">
        <v>30033</v>
      </c>
      <c r="N6990" s="8" t="s">
        <v>31029</v>
      </c>
      <c r="O6990" s="8">
        <f>20+54/60+6/3600</f>
        <v>20.901666666666664</v>
      </c>
      <c r="P6990" s="8" t="s">
        <v>31030</v>
      </c>
      <c r="Q6990" s="8">
        <f>+(45+14/60+26/3600)</f>
        <v>45.240555555555559</v>
      </c>
      <c r="R6990" s="8">
        <v>99</v>
      </c>
      <c r="S6990" s="8">
        <v>99</v>
      </c>
      <c r="T6990" s="8">
        <v>99</v>
      </c>
      <c r="U6990" s="8">
        <v>99</v>
      </c>
      <c r="V6990" s="8">
        <v>10</v>
      </c>
      <c r="Y6990" s="8" t="s">
        <v>31031</v>
      </c>
      <c r="Z6990" s="8" t="s">
        <v>31032</v>
      </c>
    </row>
    <row r="6991" spans="1:26" x14ac:dyDescent="0.2">
      <c r="A6991" s="8">
        <v>6990</v>
      </c>
      <c r="B6991" s="8" t="s">
        <v>31033</v>
      </c>
      <c r="C6991" s="8" t="s">
        <v>31033</v>
      </c>
      <c r="F6991" s="47"/>
      <c r="G6991" s="8">
        <v>14</v>
      </c>
      <c r="H6991" s="8" t="s">
        <v>31034</v>
      </c>
      <c r="I6991" s="8" t="s">
        <v>22</v>
      </c>
      <c r="J6991" s="8" t="s">
        <v>22</v>
      </c>
      <c r="K6991" s="8" t="s">
        <v>91</v>
      </c>
      <c r="L6991" s="8" t="s">
        <v>30731</v>
      </c>
      <c r="M6991" s="8" t="s">
        <v>30732</v>
      </c>
      <c r="N6991" s="8" t="s">
        <v>31035</v>
      </c>
      <c r="O6991" s="8">
        <f>20+59/60+57/3600</f>
        <v>20.999166666666667</v>
      </c>
      <c r="P6991" s="8" t="s">
        <v>31036</v>
      </c>
      <c r="Q6991" s="8">
        <f>-(55+33/60+43/3600)</f>
        <v>-55.561944444444443</v>
      </c>
      <c r="R6991" s="8">
        <v>13.2</v>
      </c>
      <c r="S6991" s="8">
        <v>14.1</v>
      </c>
      <c r="T6991" s="8">
        <v>0.9</v>
      </c>
      <c r="U6991" s="8">
        <v>12.4</v>
      </c>
      <c r="V6991" s="8">
        <v>1.2</v>
      </c>
      <c r="W6991" s="8">
        <v>0.5</v>
      </c>
      <c r="X6991" s="8">
        <v>0</v>
      </c>
      <c r="Y6991" s="8" t="s">
        <v>31037</v>
      </c>
      <c r="Z6991" s="8" t="s">
        <v>31038</v>
      </c>
    </row>
    <row r="6992" spans="1:26" x14ac:dyDescent="0.2">
      <c r="A6992" s="8">
        <v>6991</v>
      </c>
      <c r="B6992" s="8" t="s">
        <v>31039</v>
      </c>
      <c r="C6992" s="8" t="s">
        <v>31039</v>
      </c>
      <c r="E6992" s="8">
        <v>1</v>
      </c>
      <c r="F6992" s="47" t="s">
        <v>58279</v>
      </c>
      <c r="G6992" s="8">
        <v>6.5</v>
      </c>
      <c r="H6992" s="8" t="s">
        <v>21</v>
      </c>
      <c r="I6992" s="8" t="s">
        <v>557</v>
      </c>
      <c r="J6992" s="8" t="s">
        <v>557</v>
      </c>
      <c r="K6992" s="8" t="s">
        <v>557</v>
      </c>
      <c r="L6992" s="8" t="s">
        <v>30032</v>
      </c>
      <c r="M6992" s="8" t="s">
        <v>30033</v>
      </c>
      <c r="N6992" s="8" t="s">
        <v>31040</v>
      </c>
      <c r="O6992" s="8">
        <f>20+55/60+39/3600</f>
        <v>20.927500000000002</v>
      </c>
      <c r="P6992" s="8" t="s">
        <v>31041</v>
      </c>
      <c r="Q6992" s="8">
        <f>+(47+26/60+54/3600)</f>
        <v>47.448333333333331</v>
      </c>
      <c r="R6992" s="8">
        <v>99</v>
      </c>
      <c r="S6992" s="8">
        <v>99</v>
      </c>
      <c r="T6992" s="8">
        <v>99</v>
      </c>
      <c r="U6992" s="8">
        <v>99</v>
      </c>
      <c r="Y6992" s="8" t="s">
        <v>31042</v>
      </c>
      <c r="Z6992" s="8" t="s">
        <v>31043</v>
      </c>
    </row>
    <row r="6993" spans="1:26" x14ac:dyDescent="0.2">
      <c r="A6993" s="8">
        <v>6992</v>
      </c>
      <c r="B6993" s="8" t="s">
        <v>31044</v>
      </c>
      <c r="C6993" s="8" t="s">
        <v>31044</v>
      </c>
      <c r="F6993" s="47" t="s">
        <v>58280</v>
      </c>
      <c r="G6993" s="8">
        <v>2</v>
      </c>
      <c r="H6993" s="8" t="s">
        <v>31045</v>
      </c>
      <c r="I6993" s="8" t="s">
        <v>1283</v>
      </c>
      <c r="J6993" s="8" t="s">
        <v>1283</v>
      </c>
      <c r="K6993" s="8" t="s">
        <v>8889</v>
      </c>
      <c r="L6993" s="8" t="s">
        <v>30032</v>
      </c>
      <c r="M6993" s="8" t="s">
        <v>30033</v>
      </c>
      <c r="N6993" s="8" t="s">
        <v>31046</v>
      </c>
      <c r="O6993" s="8">
        <f>20+56/60+18/3600</f>
        <v>20.938333333333333</v>
      </c>
      <c r="P6993" s="8" t="s">
        <v>31047</v>
      </c>
      <c r="Q6993" s="8">
        <f>+(31+44/60+30/3600)</f>
        <v>31.741666666666667</v>
      </c>
      <c r="R6993" s="8">
        <v>99</v>
      </c>
      <c r="S6993" s="8">
        <v>7</v>
      </c>
      <c r="T6993" s="8">
        <v>99</v>
      </c>
      <c r="U6993" s="8">
        <v>99</v>
      </c>
      <c r="V6993" s="8">
        <v>60</v>
      </c>
      <c r="W6993" s="8">
        <v>8</v>
      </c>
      <c r="Y6993" s="8" t="s">
        <v>31048</v>
      </c>
      <c r="Z6993" s="8" t="s">
        <v>31049</v>
      </c>
    </row>
    <row r="6994" spans="1:26" x14ac:dyDescent="0.2">
      <c r="A6994" s="8">
        <v>6993</v>
      </c>
      <c r="B6994" s="8" t="s">
        <v>31050</v>
      </c>
      <c r="C6994" s="8" t="s">
        <v>31050</v>
      </c>
      <c r="F6994" s="47"/>
      <c r="G6994" s="8">
        <v>19</v>
      </c>
      <c r="H6994" s="8" t="s">
        <v>21</v>
      </c>
      <c r="I6994" s="8" t="s">
        <v>22</v>
      </c>
      <c r="J6994" s="8" t="s">
        <v>22</v>
      </c>
      <c r="K6994" s="8" t="s">
        <v>160</v>
      </c>
      <c r="L6994" s="8" t="s">
        <v>30635</v>
      </c>
      <c r="M6994" s="8" t="s">
        <v>30636</v>
      </c>
      <c r="N6994" s="8" t="s">
        <v>31051</v>
      </c>
      <c r="O6994" s="8">
        <f>20+53/60+54/3600</f>
        <v>20.898333333333333</v>
      </c>
      <c r="P6994" s="8" t="s">
        <v>31052</v>
      </c>
      <c r="Q6994" s="8">
        <f>-(25+28/60+20/3600)</f>
        <v>-25.472222222222221</v>
      </c>
      <c r="R6994" s="8">
        <v>13.1</v>
      </c>
      <c r="S6994" s="8">
        <v>13.8</v>
      </c>
      <c r="T6994" s="8">
        <v>0.7</v>
      </c>
      <c r="U6994" s="8">
        <v>13.1</v>
      </c>
      <c r="V6994" s="8">
        <v>1.2</v>
      </c>
      <c r="W6994" s="8">
        <v>1</v>
      </c>
      <c r="X6994" s="8">
        <v>108</v>
      </c>
      <c r="Y6994" s="8" t="s">
        <v>31053</v>
      </c>
      <c r="Z6994" s="8" t="s">
        <v>2637</v>
      </c>
    </row>
    <row r="6995" spans="1:26" x14ac:dyDescent="0.2">
      <c r="A6995" s="8">
        <v>6994</v>
      </c>
      <c r="B6995" s="8" t="s">
        <v>31054</v>
      </c>
      <c r="C6995" s="8" t="s">
        <v>55961</v>
      </c>
      <c r="F6995" s="47"/>
      <c r="G6995" s="8">
        <v>1</v>
      </c>
      <c r="H6995" s="8" t="s">
        <v>21</v>
      </c>
      <c r="I6995" s="8" t="s">
        <v>72</v>
      </c>
      <c r="J6995" s="8" t="s">
        <v>72</v>
      </c>
      <c r="K6995" s="8" t="s">
        <v>5802</v>
      </c>
      <c r="L6995" s="8" t="s">
        <v>30854</v>
      </c>
      <c r="M6995" s="8" t="s">
        <v>30855</v>
      </c>
      <c r="N6995" s="8" t="s">
        <v>31055</v>
      </c>
      <c r="O6995" s="8">
        <f>20+58/60+56/3600</f>
        <v>20.982222222222219</v>
      </c>
      <c r="P6995" s="8" t="s">
        <v>31056</v>
      </c>
      <c r="Q6995" s="8">
        <f>-(12+38/60+0/3600)</f>
        <v>-12.633333333333333</v>
      </c>
      <c r="R6995" s="8">
        <v>8.9</v>
      </c>
      <c r="S6995" s="8">
        <v>99</v>
      </c>
      <c r="T6995" s="8">
        <v>99</v>
      </c>
      <c r="U6995" s="8">
        <v>99</v>
      </c>
      <c r="V6995" s="8">
        <v>1.4</v>
      </c>
      <c r="Y6995" s="8" t="s">
        <v>31057</v>
      </c>
      <c r="Z6995" s="8" t="s">
        <v>31058</v>
      </c>
    </row>
    <row r="6996" spans="1:26" x14ac:dyDescent="0.2">
      <c r="A6996" s="8">
        <v>6995</v>
      </c>
      <c r="B6996" s="8" t="s">
        <v>31059</v>
      </c>
      <c r="C6996" s="8" t="s">
        <v>31059</v>
      </c>
      <c r="F6996" s="47"/>
      <c r="G6996" s="8">
        <v>8</v>
      </c>
      <c r="H6996" s="8" t="s">
        <v>31060</v>
      </c>
      <c r="I6996" s="8" t="s">
        <v>1283</v>
      </c>
      <c r="J6996" s="8" t="s">
        <v>1283</v>
      </c>
      <c r="K6996" s="8" t="s">
        <v>8889</v>
      </c>
      <c r="L6996" s="8" t="s">
        <v>30032</v>
      </c>
      <c r="M6996" s="8" t="s">
        <v>30033</v>
      </c>
      <c r="N6996" s="8" t="s">
        <v>31061</v>
      </c>
      <c r="O6996" s="8">
        <f>20+57/60+10/3600</f>
        <v>20.952777777777776</v>
      </c>
      <c r="P6996" s="8" t="s">
        <v>31062</v>
      </c>
      <c r="Q6996" s="8">
        <f>+(31+14/60+0/3600)</f>
        <v>31.233333333333334</v>
      </c>
      <c r="R6996" s="8">
        <v>99</v>
      </c>
      <c r="S6996" s="8">
        <v>7</v>
      </c>
      <c r="T6996" s="8">
        <v>99</v>
      </c>
      <c r="U6996" s="8">
        <v>99</v>
      </c>
      <c r="V6996" s="8">
        <v>12</v>
      </c>
      <c r="W6996" s="8">
        <v>12</v>
      </c>
      <c r="Y6996" s="8" t="s">
        <v>31063</v>
      </c>
      <c r="Z6996" s="8" t="s">
        <v>31064</v>
      </c>
    </row>
    <row r="6997" spans="1:26" x14ac:dyDescent="0.2">
      <c r="A6997" s="8">
        <v>6996</v>
      </c>
      <c r="B6997" s="8" t="s">
        <v>31065</v>
      </c>
      <c r="C6997" s="8" t="s">
        <v>31065</v>
      </c>
      <c r="F6997" s="47"/>
      <c r="G6997" s="8">
        <v>12</v>
      </c>
      <c r="H6997" s="8" t="s">
        <v>31066</v>
      </c>
      <c r="I6997" s="8" t="s">
        <v>557</v>
      </c>
      <c r="J6997" s="8" t="s">
        <v>557</v>
      </c>
      <c r="K6997" s="8" t="s">
        <v>987</v>
      </c>
      <c r="L6997" s="8" t="s">
        <v>30032</v>
      </c>
      <c r="M6997" s="8" t="s">
        <v>30033</v>
      </c>
      <c r="N6997" s="8" t="s">
        <v>31067</v>
      </c>
      <c r="O6997" s="8">
        <f>20+56/60+30/3600</f>
        <v>20.941666666666666</v>
      </c>
      <c r="P6997" s="8" t="s">
        <v>31068</v>
      </c>
      <c r="Q6997" s="8">
        <f>+(45+28/60+24/3600)</f>
        <v>45.473333333333336</v>
      </c>
      <c r="R6997" s="8">
        <v>10</v>
      </c>
      <c r="S6997" s="8">
        <v>99</v>
      </c>
      <c r="T6997" s="8">
        <v>99</v>
      </c>
      <c r="U6997" s="8">
        <v>99</v>
      </c>
      <c r="V6997" s="8">
        <v>5</v>
      </c>
      <c r="Y6997" s="8" t="s">
        <v>10888</v>
      </c>
      <c r="Z6997" s="8" t="s">
        <v>10889</v>
      </c>
    </row>
    <row r="6998" spans="1:26" x14ac:dyDescent="0.2">
      <c r="A6998" s="8">
        <v>6997</v>
      </c>
      <c r="B6998" s="8" t="s">
        <v>31069</v>
      </c>
      <c r="C6998" s="8" t="s">
        <v>31069</v>
      </c>
      <c r="F6998" s="47" t="s">
        <v>58281</v>
      </c>
      <c r="G6998" s="8">
        <v>6.5</v>
      </c>
      <c r="H6998" s="8" t="s">
        <v>21</v>
      </c>
      <c r="I6998" s="8" t="s">
        <v>557</v>
      </c>
      <c r="J6998" s="8" t="s">
        <v>557</v>
      </c>
      <c r="K6998" s="8" t="s">
        <v>987</v>
      </c>
      <c r="L6998" s="8" t="s">
        <v>30032</v>
      </c>
      <c r="M6998" s="8" t="s">
        <v>30033</v>
      </c>
      <c r="N6998" s="8" t="s">
        <v>31067</v>
      </c>
      <c r="O6998" s="8">
        <f>20+56/60+30/3600</f>
        <v>20.941666666666666</v>
      </c>
      <c r="P6998" s="8" t="s">
        <v>31070</v>
      </c>
      <c r="Q6998" s="8">
        <f>+(44+39/60+0/3600)</f>
        <v>44.65</v>
      </c>
      <c r="R6998" s="8">
        <v>10</v>
      </c>
      <c r="S6998" s="8">
        <v>99</v>
      </c>
      <c r="T6998" s="8">
        <v>99</v>
      </c>
      <c r="U6998" s="8">
        <v>99</v>
      </c>
      <c r="V6998" s="8">
        <v>8</v>
      </c>
      <c r="Y6998" s="8" t="s">
        <v>31071</v>
      </c>
      <c r="Z6998" s="8" t="s">
        <v>31072</v>
      </c>
    </row>
    <row r="6999" spans="1:26" x14ac:dyDescent="0.2">
      <c r="A6999" s="8">
        <v>6998</v>
      </c>
      <c r="B6999" s="8" t="s">
        <v>31073</v>
      </c>
      <c r="C6999" s="8" t="s">
        <v>31073</v>
      </c>
      <c r="F6999" s="47"/>
      <c r="G6999" s="8">
        <v>18</v>
      </c>
      <c r="H6999" s="8" t="s">
        <v>21</v>
      </c>
      <c r="I6999" s="8" t="s">
        <v>22</v>
      </c>
      <c r="J6999" s="8" t="s">
        <v>22</v>
      </c>
      <c r="K6999" s="8" t="s">
        <v>460</v>
      </c>
      <c r="L6999" s="8" t="s">
        <v>30738</v>
      </c>
      <c r="M6999" s="8" t="s">
        <v>30739</v>
      </c>
      <c r="N6999" s="8" t="s">
        <v>31074</v>
      </c>
      <c r="O6999" s="8">
        <f>21+1/60+37.7/3600</f>
        <v>21.027138888888889</v>
      </c>
      <c r="P6999" s="8" t="s">
        <v>31075</v>
      </c>
      <c r="Q6999" s="8">
        <f>-(28+1/60+54/3600)</f>
        <v>-28.031666666666666</v>
      </c>
      <c r="R6999" s="8">
        <v>14</v>
      </c>
      <c r="S6999" s="8">
        <v>15</v>
      </c>
      <c r="T6999" s="8">
        <v>1</v>
      </c>
      <c r="U6999" s="8">
        <v>13</v>
      </c>
      <c r="V6999" s="8">
        <v>0.6</v>
      </c>
      <c r="W6999" s="8">
        <v>0.6</v>
      </c>
      <c r="Y6999" s="8" t="s">
        <v>9230</v>
      </c>
      <c r="Z6999" s="8" t="s">
        <v>9231</v>
      </c>
    </row>
    <row r="7000" spans="1:26" x14ac:dyDescent="0.2">
      <c r="A7000" s="8">
        <v>6999</v>
      </c>
      <c r="B7000" s="8" t="s">
        <v>31076</v>
      </c>
      <c r="C7000" s="8" t="s">
        <v>31076</v>
      </c>
      <c r="F7000" s="47"/>
      <c r="G7000" s="8">
        <v>18</v>
      </c>
      <c r="H7000" s="8" t="s">
        <v>21</v>
      </c>
      <c r="I7000" s="8" t="s">
        <v>22</v>
      </c>
      <c r="J7000" s="8" t="s">
        <v>22</v>
      </c>
      <c r="K7000" s="8" t="s">
        <v>37</v>
      </c>
      <c r="L7000" s="8" t="s">
        <v>30738</v>
      </c>
      <c r="M7000" s="8" t="s">
        <v>30739</v>
      </c>
      <c r="N7000" s="8" t="s">
        <v>31077</v>
      </c>
      <c r="O7000" s="8">
        <f>21+1/60+59.6/3600</f>
        <v>21.033222222222221</v>
      </c>
      <c r="P7000" s="8" t="s">
        <v>31078</v>
      </c>
      <c r="Q7000" s="8">
        <f>-(28+3/60+32/3600)</f>
        <v>-28.058888888888891</v>
      </c>
      <c r="R7000" s="8">
        <v>13.8</v>
      </c>
      <c r="S7000" s="8">
        <v>14.8</v>
      </c>
      <c r="T7000" s="8">
        <v>1</v>
      </c>
      <c r="U7000" s="8">
        <v>12.9</v>
      </c>
      <c r="V7000" s="8">
        <v>0.9</v>
      </c>
      <c r="W7000" s="8">
        <v>0.7</v>
      </c>
      <c r="X7000" s="8">
        <v>179</v>
      </c>
      <c r="Y7000" s="8" t="s">
        <v>9230</v>
      </c>
      <c r="Z7000" s="8" t="s">
        <v>9231</v>
      </c>
    </row>
    <row r="7001" spans="1:26" x14ac:dyDescent="0.2">
      <c r="A7001" s="8">
        <v>7000</v>
      </c>
      <c r="B7001" s="8" t="s">
        <v>31079</v>
      </c>
      <c r="C7001" s="8" t="s">
        <v>31079</v>
      </c>
      <c r="F7001" s="47" t="s">
        <v>58282</v>
      </c>
      <c r="G7001" s="8">
        <v>2</v>
      </c>
      <c r="H7001" s="8" t="s">
        <v>31080</v>
      </c>
      <c r="I7001" s="8" t="s">
        <v>1283</v>
      </c>
      <c r="J7001" s="8" t="s">
        <v>1283</v>
      </c>
      <c r="K7001" s="8" t="s">
        <v>1284</v>
      </c>
      <c r="L7001" s="8" t="s">
        <v>30032</v>
      </c>
      <c r="M7001" s="8" t="s">
        <v>30033</v>
      </c>
      <c r="N7001" s="8" t="s">
        <v>31081</v>
      </c>
      <c r="O7001" s="8">
        <f>20+59/60+18/3600</f>
        <v>20.988333333333333</v>
      </c>
      <c r="P7001" s="8" t="s">
        <v>31082</v>
      </c>
      <c r="Q7001" s="8">
        <f>+(44+31/60+0/3600)</f>
        <v>44.516666666666666</v>
      </c>
      <c r="R7001" s="8">
        <v>5</v>
      </c>
      <c r="S7001" s="8">
        <v>4</v>
      </c>
      <c r="T7001" s="8">
        <v>99</v>
      </c>
      <c r="U7001" s="8">
        <v>99</v>
      </c>
      <c r="V7001" s="8">
        <v>120</v>
      </c>
      <c r="W7001" s="8">
        <v>100</v>
      </c>
      <c r="Y7001" s="8" t="s">
        <v>31083</v>
      </c>
      <c r="Z7001" s="8" t="s">
        <v>31084</v>
      </c>
    </row>
    <row r="7002" spans="1:26" x14ac:dyDescent="0.2">
      <c r="A7002" s="8">
        <v>7001</v>
      </c>
      <c r="B7002" s="8" t="s">
        <v>31085</v>
      </c>
      <c r="C7002" s="8" t="s">
        <v>31085</v>
      </c>
      <c r="F7002" s="47"/>
      <c r="G7002" s="8">
        <v>16</v>
      </c>
      <c r="H7002" s="8" t="s">
        <v>21</v>
      </c>
      <c r="I7002" s="8" t="s">
        <v>22</v>
      </c>
      <c r="J7002" s="8" t="s">
        <v>22</v>
      </c>
      <c r="K7002" s="8" t="s">
        <v>31</v>
      </c>
      <c r="L7002" s="8" t="s">
        <v>30854</v>
      </c>
      <c r="M7002" s="8" t="s">
        <v>30855</v>
      </c>
      <c r="N7002" s="8" t="s">
        <v>31086</v>
      </c>
      <c r="O7002" s="8">
        <f>21+1/60+7.7/3600</f>
        <v>21.018805555555556</v>
      </c>
      <c r="P7002" s="8" t="s">
        <v>31087</v>
      </c>
      <c r="Q7002" s="8">
        <f>-(0+11/60+41/3600)</f>
        <v>-0.19472222222222221</v>
      </c>
      <c r="R7002" s="8">
        <v>12.9</v>
      </c>
      <c r="S7002" s="8">
        <v>13.7</v>
      </c>
      <c r="T7002" s="8">
        <v>0.8</v>
      </c>
      <c r="U7002" s="8">
        <v>13.3</v>
      </c>
      <c r="V7002" s="8">
        <v>1.4</v>
      </c>
      <c r="W7002" s="8">
        <v>1.1000000000000001</v>
      </c>
      <c r="X7002" s="8">
        <v>162</v>
      </c>
      <c r="Y7002" s="8" t="s">
        <v>6832</v>
      </c>
      <c r="Z7002" s="8" t="s">
        <v>6833</v>
      </c>
    </row>
    <row r="7003" spans="1:26" x14ac:dyDescent="0.2">
      <c r="A7003" s="8">
        <v>7002</v>
      </c>
      <c r="B7003" s="8" t="s">
        <v>31088</v>
      </c>
      <c r="C7003" s="8" t="s">
        <v>31088</v>
      </c>
      <c r="F7003" s="47"/>
      <c r="G7003" s="8">
        <v>16</v>
      </c>
      <c r="H7003" s="8" t="s">
        <v>21</v>
      </c>
      <c r="I7003" s="8" t="s">
        <v>22</v>
      </c>
      <c r="J7003" s="8" t="s">
        <v>22</v>
      </c>
      <c r="K7003" s="8" t="s">
        <v>183</v>
      </c>
      <c r="L7003" s="8" t="s">
        <v>30731</v>
      </c>
      <c r="M7003" s="8" t="s">
        <v>30732</v>
      </c>
      <c r="N7003" s="8" t="s">
        <v>31089</v>
      </c>
      <c r="O7003" s="8">
        <f>21+3/60+45/3600</f>
        <v>21.0625</v>
      </c>
      <c r="P7003" s="8" t="s">
        <v>31090</v>
      </c>
      <c r="Q7003" s="8">
        <f>-(49+1/60+45/3600)</f>
        <v>-49.029166666666669</v>
      </c>
      <c r="R7003" s="8">
        <v>12.4</v>
      </c>
      <c r="S7003" s="8">
        <v>13.5</v>
      </c>
      <c r="T7003" s="8">
        <v>1.1000000000000001</v>
      </c>
      <c r="U7003" s="8">
        <v>13</v>
      </c>
      <c r="V7003" s="8">
        <v>1.5</v>
      </c>
      <c r="W7003" s="8">
        <v>1.2</v>
      </c>
      <c r="X7003" s="8">
        <v>3</v>
      </c>
      <c r="Y7003" s="8" t="s">
        <v>3812</v>
      </c>
      <c r="Z7003" s="8" t="s">
        <v>3813</v>
      </c>
    </row>
    <row r="7004" spans="1:26" x14ac:dyDescent="0.2">
      <c r="A7004" s="8">
        <v>7003</v>
      </c>
      <c r="B7004" s="8" t="s">
        <v>31091</v>
      </c>
      <c r="C7004" s="8" t="s">
        <v>31091</v>
      </c>
      <c r="F7004" s="47"/>
      <c r="G7004" s="8">
        <v>18</v>
      </c>
      <c r="H7004" s="8" t="s">
        <v>21</v>
      </c>
      <c r="I7004" s="8" t="s">
        <v>22</v>
      </c>
      <c r="J7004" s="8" t="s">
        <v>22</v>
      </c>
      <c r="K7004" s="8" t="s">
        <v>396</v>
      </c>
      <c r="L7004" s="8" t="s">
        <v>30604</v>
      </c>
      <c r="M7004" s="8" t="s">
        <v>30605</v>
      </c>
      <c r="N7004" s="8" t="s">
        <v>31092</v>
      </c>
      <c r="O7004" s="8">
        <f>21+0/60+42.3/3600</f>
        <v>21.011749999999999</v>
      </c>
      <c r="P7004" s="8" t="s">
        <v>31093</v>
      </c>
      <c r="Q7004" s="8">
        <f>+(17+48/60+17/3600)</f>
        <v>17.804722222222225</v>
      </c>
      <c r="R7004" s="8">
        <v>13</v>
      </c>
      <c r="S7004" s="8">
        <v>13.8</v>
      </c>
      <c r="T7004" s="8">
        <v>0.8</v>
      </c>
      <c r="U7004" s="8">
        <v>12.7</v>
      </c>
      <c r="V7004" s="8">
        <v>1.1000000000000001</v>
      </c>
      <c r="W7004" s="8">
        <v>0.8</v>
      </c>
      <c r="X7004" s="8">
        <v>120</v>
      </c>
      <c r="Y7004" s="8" t="s">
        <v>31094</v>
      </c>
      <c r="Z7004" s="8" t="s">
        <v>31095</v>
      </c>
    </row>
    <row r="7005" spans="1:26" x14ac:dyDescent="0.2">
      <c r="A7005" s="8">
        <v>7004</v>
      </c>
      <c r="B7005" s="8" t="s">
        <v>31096</v>
      </c>
      <c r="C7005" s="8" t="s">
        <v>31096</v>
      </c>
      <c r="F7005" s="47"/>
      <c r="G7005" s="8">
        <v>16</v>
      </c>
      <c r="H7005" s="8" t="s">
        <v>21</v>
      </c>
      <c r="I7005" s="8" t="s">
        <v>22</v>
      </c>
      <c r="J7005" s="8" t="s">
        <v>22</v>
      </c>
      <c r="K7005" s="8" t="s">
        <v>435</v>
      </c>
      <c r="L7005" s="8" t="s">
        <v>30731</v>
      </c>
      <c r="M7005" s="8" t="s">
        <v>30732</v>
      </c>
      <c r="N7005" s="8" t="s">
        <v>31097</v>
      </c>
      <c r="O7005" s="8">
        <f>21+4/60+2/3600</f>
        <v>21.06722222222222</v>
      </c>
      <c r="P7005" s="8" t="s">
        <v>31098</v>
      </c>
      <c r="Q7005" s="8">
        <f>-(49+6/60+51/3600)</f>
        <v>-49.114166666666669</v>
      </c>
      <c r="R7005" s="8">
        <v>12.8</v>
      </c>
      <c r="S7005" s="8">
        <v>13.8</v>
      </c>
      <c r="T7005" s="8">
        <v>1</v>
      </c>
      <c r="U7005" s="8">
        <v>13.4</v>
      </c>
      <c r="V7005" s="8">
        <v>1.3</v>
      </c>
      <c r="W7005" s="8">
        <v>0.6</v>
      </c>
      <c r="X7005" s="8">
        <v>73</v>
      </c>
      <c r="Y7005" s="8" t="s">
        <v>31099</v>
      </c>
      <c r="Z7005" s="8" t="s">
        <v>31100</v>
      </c>
    </row>
    <row r="7006" spans="1:26" x14ac:dyDescent="0.2">
      <c r="A7006" s="8">
        <v>7005</v>
      </c>
      <c r="B7006" s="8" t="s">
        <v>31101</v>
      </c>
      <c r="C7006" s="8" t="s">
        <v>31101</v>
      </c>
      <c r="F7006" s="47"/>
      <c r="G7006" s="8">
        <v>18</v>
      </c>
      <c r="H7006" s="8" t="s">
        <v>21</v>
      </c>
      <c r="I7006" s="8" t="s">
        <v>72</v>
      </c>
      <c r="J7006" s="8" t="s">
        <v>72</v>
      </c>
      <c r="K7006" s="8" t="s">
        <v>1405</v>
      </c>
      <c r="L7006" s="8" t="s">
        <v>30854</v>
      </c>
      <c r="M7006" s="8" t="s">
        <v>30855</v>
      </c>
      <c r="N7006" s="8" t="s">
        <v>31102</v>
      </c>
      <c r="O7006" s="8">
        <f>21+1/60+56/3600</f>
        <v>21.03222222222222</v>
      </c>
      <c r="P7006" s="8" t="s">
        <v>31103</v>
      </c>
      <c r="Q7006" s="8">
        <f>-(12+52/60+39/3600)</f>
        <v>-12.877500000000001</v>
      </c>
      <c r="R7006" s="8">
        <v>99</v>
      </c>
      <c r="S7006" s="8">
        <v>99</v>
      </c>
      <c r="T7006" s="8">
        <v>99</v>
      </c>
      <c r="U7006" s="8">
        <v>99</v>
      </c>
      <c r="V7006" s="8">
        <v>1.8</v>
      </c>
      <c r="Y7006" s="8" t="s">
        <v>31104</v>
      </c>
      <c r="Z7006" s="8" t="s">
        <v>31105</v>
      </c>
    </row>
    <row r="7007" spans="1:26" x14ac:dyDescent="0.2">
      <c r="A7007" s="8">
        <v>7006</v>
      </c>
      <c r="B7007" s="8" t="s">
        <v>31106</v>
      </c>
      <c r="C7007" s="8" t="s">
        <v>31106</v>
      </c>
      <c r="F7007" s="47" t="s">
        <v>58283</v>
      </c>
      <c r="G7007" s="8">
        <v>2</v>
      </c>
      <c r="H7007" s="8" t="s">
        <v>21</v>
      </c>
      <c r="I7007" s="8" t="s">
        <v>567</v>
      </c>
      <c r="J7007" s="8" t="s">
        <v>567</v>
      </c>
      <c r="K7007" s="8" t="s">
        <v>12945</v>
      </c>
      <c r="L7007" s="8" t="s">
        <v>30604</v>
      </c>
      <c r="M7007" s="8" t="s">
        <v>30605</v>
      </c>
      <c r="N7007" s="8" t="s">
        <v>31107</v>
      </c>
      <c r="O7007" s="8">
        <f>21+1/60+29.5/3600</f>
        <v>21.024861111111111</v>
      </c>
      <c r="P7007" s="8" t="s">
        <v>31108</v>
      </c>
      <c r="Q7007" s="8">
        <f>+(16+11/60+17/3600)</f>
        <v>16.188055555555557</v>
      </c>
      <c r="R7007" s="8">
        <v>10.6</v>
      </c>
      <c r="S7007" s="8">
        <v>99</v>
      </c>
      <c r="T7007" s="8">
        <v>99</v>
      </c>
      <c r="U7007" s="8">
        <v>99</v>
      </c>
      <c r="V7007" s="8">
        <v>3.6</v>
      </c>
      <c r="Y7007" s="8" t="s">
        <v>9204</v>
      </c>
      <c r="Z7007" s="8" t="s">
        <v>9205</v>
      </c>
    </row>
    <row r="7008" spans="1:26" x14ac:dyDescent="0.2">
      <c r="A7008" s="8">
        <v>7007</v>
      </c>
      <c r="B7008" s="8" t="s">
        <v>31109</v>
      </c>
      <c r="C7008" s="8" t="s">
        <v>31109</v>
      </c>
      <c r="F7008" s="47"/>
      <c r="G7008" s="8">
        <v>13</v>
      </c>
      <c r="H7008" s="8" t="s">
        <v>21</v>
      </c>
      <c r="I7008" s="8" t="s">
        <v>22</v>
      </c>
      <c r="J7008" s="8" t="s">
        <v>22</v>
      </c>
      <c r="K7008" s="8" t="s">
        <v>58</v>
      </c>
      <c r="L7008" s="8" t="s">
        <v>30731</v>
      </c>
      <c r="M7008" s="8" t="s">
        <v>30732</v>
      </c>
      <c r="N7008" s="8" t="s">
        <v>31110</v>
      </c>
      <c r="O7008" s="8">
        <f>21+5/60+27.8/3600</f>
        <v>21.091055555555556</v>
      </c>
      <c r="P7008" s="8" t="s">
        <v>31111</v>
      </c>
      <c r="Q7008" s="8">
        <f>-(52+33/60+7/3600)</f>
        <v>-52.551944444444445</v>
      </c>
      <c r="R7008" s="8">
        <v>12</v>
      </c>
      <c r="S7008" s="8">
        <v>12.9</v>
      </c>
      <c r="T7008" s="8">
        <v>0.9</v>
      </c>
      <c r="U7008" s="8">
        <v>12.7</v>
      </c>
      <c r="V7008" s="8">
        <v>2</v>
      </c>
      <c r="W7008" s="8">
        <v>1.2</v>
      </c>
      <c r="X7008" s="8">
        <v>2</v>
      </c>
      <c r="Y7008" s="8" t="s">
        <v>31112</v>
      </c>
      <c r="Z7008" s="8" t="s">
        <v>31113</v>
      </c>
    </row>
    <row r="7009" spans="1:26" x14ac:dyDescent="0.2">
      <c r="A7009" s="8">
        <v>7008</v>
      </c>
      <c r="B7009" s="8" t="s">
        <v>31114</v>
      </c>
      <c r="C7009" s="8" t="s">
        <v>31114</v>
      </c>
      <c r="F7009" s="47" t="s">
        <v>58284</v>
      </c>
      <c r="G7009" s="8">
        <v>6</v>
      </c>
      <c r="H7009" s="8" t="s">
        <v>31115</v>
      </c>
      <c r="I7009" s="8" t="s">
        <v>241</v>
      </c>
      <c r="J7009" s="8" t="s">
        <v>241</v>
      </c>
      <c r="K7009" s="8" t="s">
        <v>241</v>
      </c>
      <c r="L7009" s="8" t="s">
        <v>30032</v>
      </c>
      <c r="M7009" s="8" t="s">
        <v>30033</v>
      </c>
      <c r="N7009" s="8" t="s">
        <v>31116</v>
      </c>
      <c r="O7009" s="8">
        <f>21+0/60+32.8/3600</f>
        <v>21.00911111111111</v>
      </c>
      <c r="P7009" s="8" t="s">
        <v>31117</v>
      </c>
      <c r="Q7009" s="8">
        <f>+(54+32/60+38/3600)</f>
        <v>54.543888888888887</v>
      </c>
      <c r="R7009" s="8">
        <v>10.7</v>
      </c>
      <c r="S7009" s="8">
        <v>13.3</v>
      </c>
      <c r="T7009" s="8">
        <v>99</v>
      </c>
      <c r="U7009" s="8">
        <v>99</v>
      </c>
      <c r="V7009" s="8">
        <v>1.43</v>
      </c>
      <c r="Y7009" s="8" t="s">
        <v>31118</v>
      </c>
      <c r="Z7009" s="8" t="s">
        <v>31119</v>
      </c>
    </row>
    <row r="7010" spans="1:26" x14ac:dyDescent="0.2">
      <c r="A7010" s="8">
        <v>7009</v>
      </c>
      <c r="B7010" s="8" t="s">
        <v>31120</v>
      </c>
      <c r="C7010" s="8" t="s">
        <v>31120</v>
      </c>
      <c r="F7010" s="47" t="s">
        <v>58285</v>
      </c>
      <c r="G7010" s="8">
        <v>2</v>
      </c>
      <c r="H7010" s="8" t="s">
        <v>31121</v>
      </c>
      <c r="I7010" s="8" t="s">
        <v>241</v>
      </c>
      <c r="J7010" s="8" t="s">
        <v>241</v>
      </c>
      <c r="K7010" s="8" t="s">
        <v>241</v>
      </c>
      <c r="L7010" s="8" t="s">
        <v>30854</v>
      </c>
      <c r="M7010" s="8" t="s">
        <v>30855</v>
      </c>
      <c r="N7010" s="8" t="s">
        <v>31122</v>
      </c>
      <c r="O7010" s="8">
        <f>21+4/60+10.8/3600</f>
        <v>21.069666666666667</v>
      </c>
      <c r="P7010" s="8" t="s">
        <v>31123</v>
      </c>
      <c r="Q7010" s="8">
        <f>-(11+21/60+47/3600)</f>
        <v>-11.363055555555555</v>
      </c>
      <c r="R7010" s="8">
        <v>8</v>
      </c>
      <c r="S7010" s="8">
        <v>8.3000000000000007</v>
      </c>
      <c r="T7010" s="8">
        <v>99</v>
      </c>
      <c r="U7010" s="8">
        <v>99</v>
      </c>
      <c r="V7010" s="8">
        <v>0.57999999999999996</v>
      </c>
      <c r="Y7010" s="8" t="s">
        <v>31124</v>
      </c>
      <c r="Z7010" s="8" t="s">
        <v>31125</v>
      </c>
    </row>
    <row r="7011" spans="1:26" x14ac:dyDescent="0.2">
      <c r="A7011" s="8">
        <v>7010</v>
      </c>
      <c r="B7011" s="8" t="s">
        <v>31126</v>
      </c>
      <c r="C7011" s="8" t="s">
        <v>31126</v>
      </c>
      <c r="F7011" s="47"/>
      <c r="G7011" s="8">
        <v>16</v>
      </c>
      <c r="H7011" s="8" t="s">
        <v>21</v>
      </c>
      <c r="I7011" s="8" t="s">
        <v>22</v>
      </c>
      <c r="J7011" s="8" t="s">
        <v>22</v>
      </c>
      <c r="K7011" s="8" t="s">
        <v>1068</v>
      </c>
      <c r="L7011" s="8" t="s">
        <v>30854</v>
      </c>
      <c r="M7011" s="8" t="s">
        <v>30855</v>
      </c>
      <c r="N7011" s="8" t="s">
        <v>31127</v>
      </c>
      <c r="O7011" s="8">
        <f>21+4/60+39.4/3600</f>
        <v>21.077611111111111</v>
      </c>
      <c r="P7011" s="8" t="s">
        <v>31128</v>
      </c>
      <c r="Q7011" s="8">
        <f>-(12+20/60+16/3600)</f>
        <v>-12.337777777777779</v>
      </c>
      <c r="R7011" s="8">
        <v>13</v>
      </c>
      <c r="S7011" s="8">
        <v>14</v>
      </c>
      <c r="T7011" s="8">
        <v>1</v>
      </c>
      <c r="U7011" s="8">
        <v>13.8</v>
      </c>
      <c r="V7011" s="8">
        <v>1.9</v>
      </c>
      <c r="W7011" s="8">
        <v>1</v>
      </c>
      <c r="X7011" s="8">
        <v>36</v>
      </c>
      <c r="Y7011" s="8" t="s">
        <v>18390</v>
      </c>
      <c r="Z7011" s="8" t="s">
        <v>18391</v>
      </c>
    </row>
    <row r="7012" spans="1:26" x14ac:dyDescent="0.2">
      <c r="A7012" s="8">
        <v>7011</v>
      </c>
      <c r="B7012" s="8" t="s">
        <v>31129</v>
      </c>
      <c r="C7012" s="8" t="s">
        <v>31129</v>
      </c>
      <c r="F7012" s="47"/>
      <c r="G7012" s="8">
        <v>16</v>
      </c>
      <c r="H7012" s="8" t="s">
        <v>21</v>
      </c>
      <c r="I7012" s="8" t="s">
        <v>72</v>
      </c>
      <c r="J7012" s="8" t="s">
        <v>72</v>
      </c>
      <c r="K7012" s="8" t="s">
        <v>1405</v>
      </c>
      <c r="L7012" s="8" t="s">
        <v>30032</v>
      </c>
      <c r="M7012" s="8" t="s">
        <v>30033</v>
      </c>
      <c r="N7012" s="8" t="s">
        <v>31130</v>
      </c>
      <c r="O7012" s="8">
        <f>21+1/60+50/3600</f>
        <v>21.030555555555555</v>
      </c>
      <c r="P7012" s="8" t="s">
        <v>31131</v>
      </c>
      <c r="Q7012" s="8">
        <f>+(47+21/60+17/3600)</f>
        <v>47.354722222222222</v>
      </c>
      <c r="R7012" s="8">
        <v>99</v>
      </c>
      <c r="S7012" s="8">
        <v>99</v>
      </c>
      <c r="T7012" s="8">
        <v>99</v>
      </c>
      <c r="U7012" s="8">
        <v>99</v>
      </c>
      <c r="V7012" s="8">
        <v>3.8</v>
      </c>
      <c r="Y7012" s="8" t="s">
        <v>31132</v>
      </c>
      <c r="Z7012" s="8" t="s">
        <v>31133</v>
      </c>
    </row>
    <row r="7013" spans="1:26" x14ac:dyDescent="0.2">
      <c r="A7013" s="8">
        <v>7012</v>
      </c>
      <c r="B7013" s="8" t="s">
        <v>31134</v>
      </c>
      <c r="C7013" s="8" t="s">
        <v>31134</v>
      </c>
      <c r="F7013" s="47"/>
      <c r="G7013" s="8">
        <v>16</v>
      </c>
      <c r="H7013" s="8" t="s">
        <v>21</v>
      </c>
      <c r="I7013" s="8" t="s">
        <v>22</v>
      </c>
      <c r="J7013" s="8" t="s">
        <v>22</v>
      </c>
      <c r="K7013" s="8" t="s">
        <v>1068</v>
      </c>
      <c r="L7013" s="8" t="s">
        <v>30738</v>
      </c>
      <c r="M7013" s="8" t="s">
        <v>30739</v>
      </c>
      <c r="N7013" s="8" t="s">
        <v>31135</v>
      </c>
      <c r="O7013" s="8">
        <f>21+6/60+45.5/3600</f>
        <v>21.112638888888892</v>
      </c>
      <c r="P7013" s="8" t="s">
        <v>31136</v>
      </c>
      <c r="Q7013" s="8">
        <f>-(44+48/60+52/3600)</f>
        <v>-44.81444444444444</v>
      </c>
      <c r="R7013" s="8">
        <v>12.6</v>
      </c>
      <c r="S7013" s="8">
        <v>13.6</v>
      </c>
      <c r="T7013" s="8">
        <v>1</v>
      </c>
      <c r="U7013" s="8">
        <v>13.8</v>
      </c>
      <c r="V7013" s="8">
        <v>2.4</v>
      </c>
      <c r="W7013" s="8">
        <v>1.3</v>
      </c>
      <c r="X7013" s="8">
        <v>115</v>
      </c>
      <c r="Y7013" s="8" t="s">
        <v>31137</v>
      </c>
      <c r="Z7013" s="8" t="s">
        <v>31138</v>
      </c>
    </row>
    <row r="7014" spans="1:26" x14ac:dyDescent="0.2">
      <c r="A7014" s="8">
        <v>7013</v>
      </c>
      <c r="B7014" s="8" t="s">
        <v>31139</v>
      </c>
      <c r="C7014" s="8" t="s">
        <v>31139</v>
      </c>
      <c r="F7014" s="47" t="s">
        <v>58286</v>
      </c>
      <c r="G7014" s="8">
        <v>15</v>
      </c>
      <c r="H7014" s="8" t="s">
        <v>21</v>
      </c>
      <c r="I7014" s="8" t="s">
        <v>22</v>
      </c>
      <c r="J7014" s="8" t="s">
        <v>22</v>
      </c>
      <c r="K7014" s="8" t="s">
        <v>632</v>
      </c>
      <c r="L7014" s="8" t="s">
        <v>30032</v>
      </c>
      <c r="M7014" s="8" t="s">
        <v>30033</v>
      </c>
      <c r="N7014" s="8" t="s">
        <v>31140</v>
      </c>
      <c r="O7014" s="8">
        <f>21+3/60+33.6/3600</f>
        <v>21.059333333333335</v>
      </c>
      <c r="P7014" s="8" t="s">
        <v>31141</v>
      </c>
      <c r="Q7014" s="8">
        <f>+(29+53/60+49/3600)</f>
        <v>29.896944444444443</v>
      </c>
      <c r="R7014" s="8">
        <v>11.3</v>
      </c>
      <c r="S7014" s="8">
        <v>12.4</v>
      </c>
      <c r="T7014" s="8">
        <v>1.1000000000000001</v>
      </c>
      <c r="U7014" s="8">
        <v>13.1</v>
      </c>
      <c r="V7014" s="8">
        <v>4</v>
      </c>
      <c r="W7014" s="8">
        <v>1.4</v>
      </c>
      <c r="X7014" s="8">
        <v>157</v>
      </c>
      <c r="Y7014" s="8" t="s">
        <v>31142</v>
      </c>
      <c r="Z7014" s="8" t="s">
        <v>31143</v>
      </c>
    </row>
    <row r="7015" spans="1:26" x14ac:dyDescent="0.2">
      <c r="A7015" s="8">
        <v>7014</v>
      </c>
      <c r="B7015" s="8" t="s">
        <v>31144</v>
      </c>
      <c r="C7015" s="8" t="s">
        <v>31144</v>
      </c>
      <c r="F7015" s="47"/>
      <c r="G7015" s="8">
        <v>13</v>
      </c>
      <c r="H7015" s="8" t="s">
        <v>21</v>
      </c>
      <c r="I7015" s="8" t="s">
        <v>22</v>
      </c>
      <c r="J7015" s="8" t="s">
        <v>22</v>
      </c>
      <c r="K7015" s="8" t="s">
        <v>1136</v>
      </c>
      <c r="L7015" s="8" t="s">
        <v>30731</v>
      </c>
      <c r="M7015" s="8" t="s">
        <v>30732</v>
      </c>
      <c r="N7015" s="8" t="s">
        <v>31145</v>
      </c>
      <c r="O7015" s="8">
        <f>21+7/60+52/3600</f>
        <v>21.13111111111111</v>
      </c>
      <c r="P7015" s="8" t="s">
        <v>31146</v>
      </c>
      <c r="Q7015" s="8">
        <f>-(47+10/60+43/3600)</f>
        <v>-47.17861111111111</v>
      </c>
      <c r="R7015" s="8">
        <v>12.4</v>
      </c>
      <c r="S7015" s="8">
        <v>13.4</v>
      </c>
      <c r="T7015" s="8">
        <v>1</v>
      </c>
      <c r="U7015" s="8">
        <v>13.4</v>
      </c>
      <c r="V7015" s="8">
        <v>1.7</v>
      </c>
      <c r="W7015" s="8">
        <v>1.4</v>
      </c>
      <c r="X7015" s="8">
        <v>130</v>
      </c>
      <c r="Y7015" s="8" t="s">
        <v>31147</v>
      </c>
      <c r="Z7015" s="8" t="s">
        <v>31148</v>
      </c>
    </row>
    <row r="7016" spans="1:26" x14ac:dyDescent="0.2">
      <c r="A7016" s="8">
        <v>7015</v>
      </c>
      <c r="B7016" s="8" t="s">
        <v>31149</v>
      </c>
      <c r="C7016" s="8" t="s">
        <v>31149</v>
      </c>
      <c r="F7016" s="47"/>
      <c r="G7016" s="8">
        <v>9</v>
      </c>
      <c r="H7016" s="8" t="s">
        <v>21</v>
      </c>
      <c r="I7016" s="8" t="s">
        <v>22</v>
      </c>
      <c r="J7016" s="8" t="s">
        <v>22</v>
      </c>
      <c r="K7016" s="8" t="s">
        <v>396</v>
      </c>
      <c r="L7016" s="8" t="s">
        <v>31150</v>
      </c>
      <c r="M7016" s="8" t="s">
        <v>31151</v>
      </c>
      <c r="N7016" s="8" t="s">
        <v>31152</v>
      </c>
      <c r="O7016" s="8">
        <f>21+5/60+37.3/3600</f>
        <v>21.093694444444445</v>
      </c>
      <c r="P7016" s="8" t="s">
        <v>31153</v>
      </c>
      <c r="Q7016" s="8">
        <f>+(11+24/60+49/3600)</f>
        <v>11.413611111111111</v>
      </c>
      <c r="R7016" s="8">
        <v>12.5</v>
      </c>
      <c r="S7016" s="8">
        <v>13.3</v>
      </c>
      <c r="T7016" s="8">
        <v>0.8</v>
      </c>
      <c r="U7016" s="8">
        <v>13.6</v>
      </c>
      <c r="V7016" s="8">
        <v>1.8</v>
      </c>
      <c r="W7016" s="8">
        <v>1.6</v>
      </c>
      <c r="X7016" s="8">
        <v>165</v>
      </c>
      <c r="Y7016" s="8" t="s">
        <v>31154</v>
      </c>
      <c r="Z7016" s="8" t="s">
        <v>31155</v>
      </c>
    </row>
    <row r="7017" spans="1:26" x14ac:dyDescent="0.2">
      <c r="A7017" s="8">
        <v>7016</v>
      </c>
      <c r="B7017" s="8" t="s">
        <v>31156</v>
      </c>
      <c r="C7017" s="8" t="s">
        <v>31156</v>
      </c>
      <c r="F7017" s="47"/>
      <c r="G7017" s="8">
        <v>19</v>
      </c>
      <c r="H7017" s="8" t="s">
        <v>21</v>
      </c>
      <c r="I7017" s="8" t="s">
        <v>22</v>
      </c>
      <c r="J7017" s="8" t="s">
        <v>22</v>
      </c>
      <c r="K7017" s="8" t="s">
        <v>460</v>
      </c>
      <c r="L7017" s="8" t="s">
        <v>30635</v>
      </c>
      <c r="M7017" s="8" t="s">
        <v>30636</v>
      </c>
      <c r="N7017" s="8" t="s">
        <v>31157</v>
      </c>
      <c r="O7017" s="8">
        <f>21+7/60+16.2/3600</f>
        <v>21.121166666666667</v>
      </c>
      <c r="P7017" s="8" t="s">
        <v>31158</v>
      </c>
      <c r="Q7017" s="8">
        <f>-(25+28/60+7/3600)</f>
        <v>-25.468611111111109</v>
      </c>
      <c r="R7017" s="8">
        <v>13.7</v>
      </c>
      <c r="S7017" s="8">
        <v>14.7</v>
      </c>
      <c r="T7017" s="8">
        <v>1</v>
      </c>
      <c r="U7017" s="8">
        <v>13.3</v>
      </c>
      <c r="V7017" s="8">
        <v>0.8</v>
      </c>
      <c r="W7017" s="8">
        <v>0.8</v>
      </c>
      <c r="Y7017" s="8" t="s">
        <v>31159</v>
      </c>
      <c r="Z7017" s="8" t="s">
        <v>31160</v>
      </c>
    </row>
    <row r="7018" spans="1:26" x14ac:dyDescent="0.2">
      <c r="A7018" s="8">
        <v>7017</v>
      </c>
      <c r="B7018" s="8" t="s">
        <v>31161</v>
      </c>
      <c r="C7018" s="8" t="s">
        <v>31161</v>
      </c>
      <c r="F7018" s="47"/>
      <c r="G7018" s="8">
        <v>19</v>
      </c>
      <c r="H7018" s="8" t="s">
        <v>21</v>
      </c>
      <c r="I7018" s="8" t="s">
        <v>22</v>
      </c>
      <c r="J7018" s="8" t="s">
        <v>22</v>
      </c>
      <c r="K7018" s="8" t="s">
        <v>37</v>
      </c>
      <c r="L7018" s="8" t="s">
        <v>30635</v>
      </c>
      <c r="M7018" s="8" t="s">
        <v>30636</v>
      </c>
      <c r="N7018" s="8" t="s">
        <v>31162</v>
      </c>
      <c r="O7018" s="8">
        <f>21+7/60+20.5/3600</f>
        <v>21.122361111111111</v>
      </c>
      <c r="P7018" s="8" t="s">
        <v>31163</v>
      </c>
      <c r="Q7018" s="8">
        <f>-(25+29/60+15/3600)</f>
        <v>-25.487500000000001</v>
      </c>
      <c r="R7018" s="8">
        <v>13.8</v>
      </c>
      <c r="S7018" s="8">
        <v>14.8</v>
      </c>
      <c r="T7018" s="8">
        <v>1</v>
      </c>
      <c r="U7018" s="8">
        <v>12.5</v>
      </c>
      <c r="V7018" s="8">
        <v>0.6</v>
      </c>
      <c r="W7018" s="8">
        <v>0.5</v>
      </c>
      <c r="X7018" s="8">
        <v>90</v>
      </c>
      <c r="Y7018" s="8" t="s">
        <v>31164</v>
      </c>
      <c r="Z7018" s="8" t="s">
        <v>31165</v>
      </c>
    </row>
    <row r="7019" spans="1:26" x14ac:dyDescent="0.2">
      <c r="A7019" s="8">
        <v>7018</v>
      </c>
      <c r="B7019" s="8" t="s">
        <v>31166</v>
      </c>
      <c r="C7019" s="8" t="s">
        <v>31166</v>
      </c>
      <c r="F7019" s="47"/>
      <c r="G7019" s="8">
        <v>19</v>
      </c>
      <c r="H7019" s="8" t="s">
        <v>21</v>
      </c>
      <c r="I7019" s="8" t="s">
        <v>22</v>
      </c>
      <c r="J7019" s="8" t="s">
        <v>22</v>
      </c>
      <c r="K7019" s="8" t="s">
        <v>50</v>
      </c>
      <c r="L7019" s="8" t="s">
        <v>30635</v>
      </c>
      <c r="M7019" s="8" t="s">
        <v>30636</v>
      </c>
      <c r="N7019" s="8" t="s">
        <v>31167</v>
      </c>
      <c r="O7019" s="8">
        <f>21+7/60+25.4/3600</f>
        <v>21.123722222222224</v>
      </c>
      <c r="P7019" s="8" t="s">
        <v>31168</v>
      </c>
      <c r="Q7019" s="8">
        <f>-(25+25/60+45/3600)</f>
        <v>-25.429166666666667</v>
      </c>
      <c r="R7019" s="8">
        <v>13.4</v>
      </c>
      <c r="S7019" s="8">
        <v>14.4</v>
      </c>
      <c r="T7019" s="8">
        <v>1</v>
      </c>
      <c r="U7019" s="8">
        <v>13.7</v>
      </c>
      <c r="V7019" s="8">
        <v>1.3</v>
      </c>
      <c r="W7019" s="8">
        <v>0.8</v>
      </c>
      <c r="X7019" s="8">
        <v>86</v>
      </c>
      <c r="Y7019" s="8" t="s">
        <v>31169</v>
      </c>
      <c r="Z7019" s="8" t="s">
        <v>31170</v>
      </c>
    </row>
    <row r="7020" spans="1:26" x14ac:dyDescent="0.2">
      <c r="A7020" s="8">
        <v>7019</v>
      </c>
      <c r="B7020" s="8" t="s">
        <v>31171</v>
      </c>
      <c r="C7020" s="8" t="s">
        <v>31171</v>
      </c>
      <c r="F7020" s="47"/>
      <c r="G7020" s="8">
        <v>19</v>
      </c>
      <c r="H7020" s="8" t="s">
        <v>21</v>
      </c>
      <c r="I7020" s="8" t="s">
        <v>22</v>
      </c>
      <c r="J7020" s="8" t="s">
        <v>22</v>
      </c>
      <c r="K7020" s="8" t="s">
        <v>218</v>
      </c>
      <c r="L7020" s="8" t="s">
        <v>30635</v>
      </c>
      <c r="M7020" s="8" t="s">
        <v>30636</v>
      </c>
      <c r="N7020" s="8" t="s">
        <v>31172</v>
      </c>
      <c r="O7020" s="8">
        <f>21+6/60+25.8/3600</f>
        <v>21.107166666666668</v>
      </c>
      <c r="P7020" s="8" t="s">
        <v>31173</v>
      </c>
      <c r="Q7020" s="8">
        <f>-(24+24/60+46/3600)</f>
        <v>-24.412777777777777</v>
      </c>
      <c r="R7020" s="8">
        <v>14.2</v>
      </c>
      <c r="S7020" s="8">
        <v>15</v>
      </c>
      <c r="T7020" s="8">
        <v>0.8</v>
      </c>
      <c r="U7020" s="8">
        <v>12.1</v>
      </c>
      <c r="V7020" s="8">
        <v>0.6</v>
      </c>
      <c r="W7020" s="8">
        <v>0.3</v>
      </c>
      <c r="X7020" s="8">
        <v>137</v>
      </c>
      <c r="Y7020" s="8" t="s">
        <v>2636</v>
      </c>
      <c r="Z7020" s="8" t="s">
        <v>2637</v>
      </c>
    </row>
    <row r="7021" spans="1:26" x14ac:dyDescent="0.2">
      <c r="A7021" s="8">
        <v>7020</v>
      </c>
      <c r="B7021" s="8" t="s">
        <v>31174</v>
      </c>
      <c r="C7021" s="8" t="s">
        <v>31174</v>
      </c>
      <c r="F7021" s="47"/>
      <c r="G7021" s="8">
        <v>13</v>
      </c>
      <c r="H7021" s="8" t="s">
        <v>21</v>
      </c>
      <c r="I7021" s="8" t="s">
        <v>22</v>
      </c>
      <c r="J7021" s="8" t="s">
        <v>57</v>
      </c>
      <c r="K7021" s="8" t="s">
        <v>224</v>
      </c>
      <c r="L7021" s="8" t="s">
        <v>28435</v>
      </c>
      <c r="M7021" s="8" t="s">
        <v>28436</v>
      </c>
      <c r="N7021" s="8" t="s">
        <v>31175</v>
      </c>
      <c r="O7021" s="8">
        <f>21+11/60+19.9/3600</f>
        <v>21.188861111111112</v>
      </c>
      <c r="P7021" s="8" t="s">
        <v>31176</v>
      </c>
      <c r="Q7021" s="8">
        <f>-(64+1/60+31/3600)</f>
        <v>-64.025277777777774</v>
      </c>
      <c r="R7021" s="8">
        <v>11.8</v>
      </c>
      <c r="S7021" s="8">
        <v>12.8</v>
      </c>
      <c r="T7021" s="8">
        <v>1</v>
      </c>
      <c r="U7021" s="8">
        <v>13.8</v>
      </c>
      <c r="V7021" s="8">
        <v>3.5</v>
      </c>
      <c r="W7021" s="8">
        <v>1.6</v>
      </c>
      <c r="X7021" s="8">
        <v>165</v>
      </c>
      <c r="Y7021" s="8" t="s">
        <v>31177</v>
      </c>
      <c r="Z7021" s="8" t="s">
        <v>31178</v>
      </c>
    </row>
    <row r="7022" spans="1:26" x14ac:dyDescent="0.2">
      <c r="A7022" s="8">
        <v>7021</v>
      </c>
      <c r="B7022" s="8" t="s">
        <v>31179</v>
      </c>
      <c r="C7022" s="8" t="s">
        <v>31179</v>
      </c>
      <c r="F7022" s="47"/>
      <c r="G7022" s="8">
        <v>16</v>
      </c>
      <c r="H7022" s="8" t="s">
        <v>21</v>
      </c>
      <c r="I7022" s="8" t="s">
        <v>22</v>
      </c>
      <c r="J7022" s="8" t="s">
        <v>22</v>
      </c>
      <c r="K7022" s="8" t="s">
        <v>224</v>
      </c>
      <c r="L7022" s="8" t="s">
        <v>28435</v>
      </c>
      <c r="M7022" s="8" t="s">
        <v>28436</v>
      </c>
      <c r="N7022" s="8" t="s">
        <v>31175</v>
      </c>
      <c r="O7022" s="8">
        <f>21+11/60+19.9/3600</f>
        <v>21.188861111111112</v>
      </c>
      <c r="P7022" s="8" t="s">
        <v>31176</v>
      </c>
      <c r="Q7022" s="8">
        <f>-(64+1/60+31/3600)</f>
        <v>-64.025277777777774</v>
      </c>
      <c r="R7022" s="8">
        <v>11.8</v>
      </c>
      <c r="S7022" s="8">
        <v>12.8</v>
      </c>
      <c r="T7022" s="8">
        <v>1</v>
      </c>
      <c r="U7022" s="8">
        <v>13.8</v>
      </c>
      <c r="V7022" s="8">
        <v>3.5</v>
      </c>
      <c r="W7022" s="8">
        <v>1.6</v>
      </c>
      <c r="X7022" s="8">
        <v>165</v>
      </c>
      <c r="Y7022" s="8" t="s">
        <v>31177</v>
      </c>
      <c r="Z7022" s="8" t="s">
        <v>31180</v>
      </c>
    </row>
    <row r="7023" spans="1:26" x14ac:dyDescent="0.2">
      <c r="A7023" s="8">
        <v>7022</v>
      </c>
      <c r="B7023" s="8" t="s">
        <v>31181</v>
      </c>
      <c r="C7023" s="8" t="s">
        <v>31181</v>
      </c>
      <c r="F7023" s="47"/>
      <c r="G7023" s="8">
        <v>16</v>
      </c>
      <c r="H7023" s="8" t="s">
        <v>21</v>
      </c>
      <c r="I7023" s="8" t="s">
        <v>22</v>
      </c>
      <c r="J7023" s="8" t="s">
        <v>22</v>
      </c>
      <c r="K7023" s="8" t="s">
        <v>224</v>
      </c>
      <c r="L7023" s="8" t="s">
        <v>30731</v>
      </c>
      <c r="M7023" s="8" t="s">
        <v>30732</v>
      </c>
      <c r="N7023" s="8" t="s">
        <v>31182</v>
      </c>
      <c r="O7023" s="8">
        <f>21+9/60+35.1/3600</f>
        <v>21.159749999999999</v>
      </c>
      <c r="P7023" s="8" t="s">
        <v>31183</v>
      </c>
      <c r="Q7023" s="8">
        <f>-(49+18/60+13/3600)</f>
        <v>-49.30361111111111</v>
      </c>
      <c r="R7023" s="8">
        <v>13</v>
      </c>
      <c r="S7023" s="8">
        <v>14</v>
      </c>
      <c r="T7023" s="8">
        <v>1</v>
      </c>
      <c r="U7023" s="8">
        <v>13.4</v>
      </c>
      <c r="V7023" s="8">
        <v>1.5</v>
      </c>
      <c r="W7023" s="8">
        <v>1.1000000000000001</v>
      </c>
      <c r="X7023" s="8">
        <v>16</v>
      </c>
      <c r="Y7023" s="8" t="s">
        <v>31184</v>
      </c>
      <c r="Z7023" s="8" t="s">
        <v>31185</v>
      </c>
    </row>
    <row r="7024" spans="1:26" x14ac:dyDescent="0.2">
      <c r="A7024" s="8">
        <v>7023</v>
      </c>
      <c r="B7024" s="8" t="s">
        <v>31186</v>
      </c>
      <c r="C7024" s="8" t="s">
        <v>31186</v>
      </c>
      <c r="F7024" s="47" t="s">
        <v>58287</v>
      </c>
      <c r="G7024" s="8">
        <v>2</v>
      </c>
      <c r="H7024" s="8" t="s">
        <v>31187</v>
      </c>
      <c r="I7024" s="8" t="s">
        <v>1283</v>
      </c>
      <c r="J7024" s="8" t="s">
        <v>1283</v>
      </c>
      <c r="K7024" s="8" t="s">
        <v>1751</v>
      </c>
      <c r="L7024" s="8" t="s">
        <v>242</v>
      </c>
      <c r="M7024" s="8" t="s">
        <v>243</v>
      </c>
      <c r="N7024" s="8" t="s">
        <v>31188</v>
      </c>
      <c r="O7024" s="8">
        <f>21+1/60+35.5/3600</f>
        <v>21.026527777777776</v>
      </c>
      <c r="P7024" s="8" t="s">
        <v>31189</v>
      </c>
      <c r="Q7024" s="8">
        <f>+(68+10/60+10/3600)</f>
        <v>68.169444444444451</v>
      </c>
      <c r="R7024" s="8">
        <v>99</v>
      </c>
      <c r="S7024" s="8">
        <v>7.1</v>
      </c>
      <c r="T7024" s="8">
        <v>99</v>
      </c>
      <c r="U7024" s="8">
        <v>99</v>
      </c>
      <c r="V7024" s="8">
        <v>10</v>
      </c>
      <c r="W7024" s="8">
        <v>8</v>
      </c>
      <c r="Y7024" s="8" t="s">
        <v>31190</v>
      </c>
      <c r="Z7024" s="8" t="s">
        <v>31191</v>
      </c>
    </row>
    <row r="7025" spans="1:26" x14ac:dyDescent="0.2">
      <c r="A7025" s="8">
        <v>7024</v>
      </c>
      <c r="B7025" s="8" t="s">
        <v>31192</v>
      </c>
      <c r="C7025" s="8" t="s">
        <v>31192</v>
      </c>
      <c r="F7025" s="47" t="s">
        <v>58288</v>
      </c>
      <c r="G7025" s="8">
        <v>15</v>
      </c>
      <c r="H7025" s="8" t="s">
        <v>21</v>
      </c>
      <c r="I7025" s="8" t="s">
        <v>72</v>
      </c>
      <c r="J7025" s="8" t="s">
        <v>72</v>
      </c>
      <c r="K7025" s="8" t="s">
        <v>1405</v>
      </c>
      <c r="L7025" s="8" t="s">
        <v>30032</v>
      </c>
      <c r="M7025" s="8" t="s">
        <v>30033</v>
      </c>
      <c r="N7025" s="8" t="s">
        <v>31193</v>
      </c>
      <c r="O7025" s="8">
        <f>21+6/60+4.8/3600</f>
        <v>21.101333333333336</v>
      </c>
      <c r="P7025" s="8" t="s">
        <v>31194</v>
      </c>
      <c r="Q7025" s="8">
        <f>+(41+29/60+47/3600)</f>
        <v>41.496388888888887</v>
      </c>
      <c r="R7025" s="8">
        <v>99</v>
      </c>
      <c r="S7025" s="8">
        <v>99</v>
      </c>
      <c r="T7025" s="8">
        <v>99</v>
      </c>
      <c r="U7025" s="8">
        <v>99</v>
      </c>
      <c r="V7025" s="8">
        <v>10</v>
      </c>
      <c r="Y7025" s="8" t="s">
        <v>31195</v>
      </c>
      <c r="Z7025" s="8" t="s">
        <v>31196</v>
      </c>
    </row>
    <row r="7026" spans="1:26" x14ac:dyDescent="0.2">
      <c r="A7026" s="8">
        <v>7025</v>
      </c>
      <c r="B7026" s="8" t="s">
        <v>31197</v>
      </c>
      <c r="C7026" s="8" t="s">
        <v>31197</v>
      </c>
      <c r="F7026" s="47"/>
      <c r="G7026" s="8">
        <v>18</v>
      </c>
      <c r="H7026" s="8" t="s">
        <v>21</v>
      </c>
      <c r="I7026" s="8" t="s">
        <v>22</v>
      </c>
      <c r="J7026" s="8" t="s">
        <v>22</v>
      </c>
      <c r="K7026" s="8" t="s">
        <v>91</v>
      </c>
      <c r="L7026" s="8" t="s">
        <v>30604</v>
      </c>
      <c r="M7026" s="8" t="s">
        <v>30605</v>
      </c>
      <c r="N7026" s="8" t="s">
        <v>31198</v>
      </c>
      <c r="O7026" s="8">
        <f>21+7/60+47.4/3600</f>
        <v>21.129833333333334</v>
      </c>
      <c r="P7026" s="8" t="s">
        <v>31199</v>
      </c>
      <c r="Q7026" s="8">
        <f>+(16+20/60+9/3600)</f>
        <v>16.335833333333333</v>
      </c>
      <c r="R7026" s="8">
        <v>12.8</v>
      </c>
      <c r="S7026" s="8">
        <v>13.7</v>
      </c>
      <c r="T7026" s="8">
        <v>0.9</v>
      </c>
      <c r="U7026" s="8">
        <v>13.6</v>
      </c>
      <c r="V7026" s="8">
        <v>1.9</v>
      </c>
      <c r="W7026" s="8">
        <v>1.2</v>
      </c>
      <c r="X7026" s="8">
        <v>33</v>
      </c>
      <c r="Y7026" s="8" t="s">
        <v>25259</v>
      </c>
      <c r="Z7026" s="8" t="s">
        <v>26907</v>
      </c>
    </row>
    <row r="7027" spans="1:26" x14ac:dyDescent="0.2">
      <c r="A7027" s="8">
        <v>7026</v>
      </c>
      <c r="B7027" s="8" t="s">
        <v>31200</v>
      </c>
      <c r="C7027" s="8" t="s">
        <v>31200</v>
      </c>
      <c r="F7027" s="47"/>
      <c r="G7027" s="8">
        <v>9</v>
      </c>
      <c r="H7027" s="8" t="s">
        <v>31201</v>
      </c>
      <c r="I7027" s="8" t="s">
        <v>241</v>
      </c>
      <c r="J7027" s="8" t="s">
        <v>241</v>
      </c>
      <c r="K7027" s="8" t="s">
        <v>241</v>
      </c>
      <c r="L7027" s="8" t="s">
        <v>30032</v>
      </c>
      <c r="M7027" s="8" t="s">
        <v>30033</v>
      </c>
      <c r="N7027" s="8" t="s">
        <v>31202</v>
      </c>
      <c r="O7027" s="8">
        <f>21+6/60+18.6/3600</f>
        <v>21.105166666666669</v>
      </c>
      <c r="P7027" s="8" t="s">
        <v>31203</v>
      </c>
      <c r="Q7027" s="8">
        <f>+(47+51/60+10/3600)</f>
        <v>47.852777777777781</v>
      </c>
      <c r="R7027" s="8">
        <v>10.9</v>
      </c>
      <c r="S7027" s="8">
        <v>12.7</v>
      </c>
      <c r="T7027" s="8">
        <v>99</v>
      </c>
      <c r="U7027" s="8">
        <v>99</v>
      </c>
      <c r="V7027" s="8">
        <v>0.75</v>
      </c>
      <c r="Y7027" s="8" t="s">
        <v>31204</v>
      </c>
      <c r="Z7027" s="8" t="s">
        <v>31205</v>
      </c>
    </row>
    <row r="7028" spans="1:26" x14ac:dyDescent="0.2">
      <c r="A7028" s="8">
        <v>7027</v>
      </c>
      <c r="B7028" s="8" t="s">
        <v>31206</v>
      </c>
      <c r="C7028" s="8" t="s">
        <v>31206</v>
      </c>
      <c r="F7028" s="47"/>
      <c r="G7028" s="8">
        <v>7</v>
      </c>
      <c r="H7028" s="8" t="s">
        <v>31207</v>
      </c>
      <c r="I7028" s="8" t="s">
        <v>241</v>
      </c>
      <c r="J7028" s="8" t="s">
        <v>241</v>
      </c>
      <c r="K7028" s="8" t="s">
        <v>241</v>
      </c>
      <c r="L7028" s="8" t="s">
        <v>30032</v>
      </c>
      <c r="M7028" s="8" t="s">
        <v>30033</v>
      </c>
      <c r="N7028" s="8" t="s">
        <v>31208</v>
      </c>
      <c r="O7028" s="8">
        <f>21+7/60+1.7/3600</f>
        <v>21.117138888888888</v>
      </c>
      <c r="P7028" s="8" t="s">
        <v>31209</v>
      </c>
      <c r="Q7028" s="8">
        <f>+(42+14/60+12/3600)</f>
        <v>42.236666666666665</v>
      </c>
      <c r="R7028" s="8">
        <v>8.5</v>
      </c>
      <c r="S7028" s="8">
        <v>10.4</v>
      </c>
      <c r="T7028" s="8">
        <v>99</v>
      </c>
      <c r="U7028" s="8">
        <v>99</v>
      </c>
      <c r="V7028" s="8">
        <v>0.3</v>
      </c>
      <c r="W7028" s="8">
        <v>0.2</v>
      </c>
      <c r="Y7028" s="8" t="s">
        <v>31210</v>
      </c>
      <c r="Z7028" s="8" t="s">
        <v>31211</v>
      </c>
    </row>
    <row r="7029" spans="1:26" x14ac:dyDescent="0.2">
      <c r="A7029" s="8">
        <v>7028</v>
      </c>
      <c r="B7029" s="8" t="s">
        <v>31212</v>
      </c>
      <c r="C7029" s="8" t="s">
        <v>31212</v>
      </c>
      <c r="F7029" s="47"/>
      <c r="G7029" s="8">
        <v>18</v>
      </c>
      <c r="H7029" s="8" t="s">
        <v>21</v>
      </c>
      <c r="I7029" s="8" t="s">
        <v>329</v>
      </c>
      <c r="J7029" s="8" t="s">
        <v>329</v>
      </c>
      <c r="K7029" s="8" t="s">
        <v>329</v>
      </c>
      <c r="L7029" s="8" t="s">
        <v>30604</v>
      </c>
      <c r="M7029" s="8" t="s">
        <v>30605</v>
      </c>
      <c r="N7029" s="8" t="s">
        <v>31213</v>
      </c>
      <c r="O7029" s="8">
        <f>21+8/60+15/3600</f>
        <v>21.137499999999999</v>
      </c>
      <c r="P7029" s="8" t="s">
        <v>31214</v>
      </c>
      <c r="Q7029" s="8">
        <f>+(18+28/60+48/3600)</f>
        <v>18.479999999999997</v>
      </c>
      <c r="R7029" s="8">
        <v>99</v>
      </c>
      <c r="S7029" s="8">
        <v>99</v>
      </c>
      <c r="T7029" s="8">
        <v>99</v>
      </c>
      <c r="U7029" s="8">
        <v>99</v>
      </c>
      <c r="Y7029" s="8" t="s">
        <v>6793</v>
      </c>
      <c r="Z7029" s="8" t="s">
        <v>6794</v>
      </c>
    </row>
    <row r="7030" spans="1:26" x14ac:dyDescent="0.2">
      <c r="A7030" s="8">
        <v>7029</v>
      </c>
      <c r="B7030" s="8" t="s">
        <v>31215</v>
      </c>
      <c r="C7030" s="8" t="s">
        <v>31215</v>
      </c>
      <c r="F7030" s="47"/>
      <c r="G7030" s="8">
        <v>13</v>
      </c>
      <c r="H7030" s="8" t="s">
        <v>21</v>
      </c>
      <c r="I7030" s="8" t="s">
        <v>22</v>
      </c>
      <c r="J7030" s="8" t="s">
        <v>22</v>
      </c>
      <c r="K7030" s="8" t="s">
        <v>3850</v>
      </c>
      <c r="L7030" s="8" t="s">
        <v>30731</v>
      </c>
      <c r="M7030" s="8" t="s">
        <v>30732</v>
      </c>
      <c r="N7030" s="8" t="s">
        <v>31216</v>
      </c>
      <c r="O7030" s="8">
        <f>21+11/60+51.7/3600</f>
        <v>21.197694444444444</v>
      </c>
      <c r="P7030" s="8" t="s">
        <v>31217</v>
      </c>
      <c r="Q7030" s="8">
        <f>-(49+17/60+1/3600)</f>
        <v>-49.283611111111107</v>
      </c>
      <c r="R7030" s="8">
        <v>11.5</v>
      </c>
      <c r="S7030" s="8">
        <v>12.4</v>
      </c>
      <c r="T7030" s="8">
        <v>0.9</v>
      </c>
      <c r="U7030" s="8">
        <v>12.9</v>
      </c>
      <c r="V7030" s="8">
        <v>2.5</v>
      </c>
      <c r="W7030" s="8">
        <v>1.4</v>
      </c>
      <c r="X7030" s="8">
        <v>71</v>
      </c>
      <c r="Y7030" s="8" t="s">
        <v>31218</v>
      </c>
      <c r="Z7030" s="8" t="s">
        <v>31219</v>
      </c>
    </row>
    <row r="7031" spans="1:26" x14ac:dyDescent="0.2">
      <c r="A7031" s="8">
        <v>7030</v>
      </c>
      <c r="B7031" s="8" t="s">
        <v>31220</v>
      </c>
      <c r="C7031" s="8" t="s">
        <v>31220</v>
      </c>
      <c r="F7031" s="47"/>
      <c r="G7031" s="8">
        <v>19</v>
      </c>
      <c r="H7031" s="8" t="s">
        <v>21</v>
      </c>
      <c r="I7031" s="8" t="s">
        <v>22</v>
      </c>
      <c r="J7031" s="8" t="s">
        <v>22</v>
      </c>
      <c r="K7031" s="8" t="s">
        <v>406</v>
      </c>
      <c r="L7031" s="8" t="s">
        <v>30635</v>
      </c>
      <c r="M7031" s="8" t="s">
        <v>30636</v>
      </c>
      <c r="N7031" s="8" t="s">
        <v>31221</v>
      </c>
      <c r="O7031" s="8">
        <f>21+11/60+13.3/3600</f>
        <v>21.187027777777779</v>
      </c>
      <c r="P7031" s="8" t="s">
        <v>31222</v>
      </c>
      <c r="Q7031" s="8">
        <f>-(20+29/60+12/3600)</f>
        <v>-20.486666666666668</v>
      </c>
      <c r="R7031" s="8">
        <v>13.7</v>
      </c>
      <c r="S7031" s="8">
        <v>14.5</v>
      </c>
      <c r="T7031" s="8">
        <v>0.8</v>
      </c>
      <c r="U7031" s="8">
        <v>13</v>
      </c>
      <c r="V7031" s="8">
        <v>0.9</v>
      </c>
      <c r="W7031" s="8">
        <v>0.7</v>
      </c>
      <c r="X7031" s="8">
        <v>70</v>
      </c>
      <c r="Y7031" s="8" t="s">
        <v>4761</v>
      </c>
      <c r="Z7031" s="8" t="s">
        <v>4762</v>
      </c>
    </row>
    <row r="7032" spans="1:26" x14ac:dyDescent="0.2">
      <c r="A7032" s="8">
        <v>7031</v>
      </c>
      <c r="B7032" s="8" t="s">
        <v>31223</v>
      </c>
      <c r="C7032" s="8" t="s">
        <v>31223</v>
      </c>
      <c r="F7032" s="47" t="s">
        <v>58289</v>
      </c>
      <c r="G7032" s="8">
        <v>6.5</v>
      </c>
      <c r="H7032" s="8" t="s">
        <v>21</v>
      </c>
      <c r="I7032" s="8" t="s">
        <v>557</v>
      </c>
      <c r="J7032" s="8" t="s">
        <v>557</v>
      </c>
      <c r="K7032" s="8" t="s">
        <v>600</v>
      </c>
      <c r="L7032" s="8" t="s">
        <v>30032</v>
      </c>
      <c r="M7032" s="8" t="s">
        <v>30033</v>
      </c>
      <c r="N7032" s="8" t="s">
        <v>31224</v>
      </c>
      <c r="O7032" s="8">
        <f>21+6/60+52/3600</f>
        <v>21.114444444444445</v>
      </c>
      <c r="P7032" s="8" t="s">
        <v>31225</v>
      </c>
      <c r="Q7032" s="8">
        <f>+(50+50/60+36/3600)</f>
        <v>50.843333333333334</v>
      </c>
      <c r="R7032" s="8">
        <v>9.1</v>
      </c>
      <c r="S7032" s="8">
        <v>99</v>
      </c>
      <c r="T7032" s="8">
        <v>99</v>
      </c>
      <c r="U7032" s="8">
        <v>99</v>
      </c>
      <c r="V7032" s="8">
        <v>15</v>
      </c>
      <c r="Y7032" s="8" t="s">
        <v>31226</v>
      </c>
      <c r="Z7032" s="8" t="s">
        <v>31227</v>
      </c>
    </row>
    <row r="7033" spans="1:26" x14ac:dyDescent="0.2">
      <c r="A7033" s="8">
        <v>7032</v>
      </c>
      <c r="B7033" s="8" t="s">
        <v>31228</v>
      </c>
      <c r="C7033" s="8" t="s">
        <v>31228</v>
      </c>
      <c r="F7033" s="47"/>
      <c r="G7033" s="8">
        <v>16</v>
      </c>
      <c r="H7033" s="8" t="s">
        <v>21</v>
      </c>
      <c r="I7033" s="8" t="s">
        <v>22</v>
      </c>
      <c r="J7033" s="8" t="s">
        <v>22</v>
      </c>
      <c r="K7033" s="8" t="s">
        <v>160</v>
      </c>
      <c r="L7033" s="8" t="s">
        <v>28435</v>
      </c>
      <c r="M7033" s="8" t="s">
        <v>28436</v>
      </c>
      <c r="N7033" s="8" t="s">
        <v>31229</v>
      </c>
      <c r="O7033" s="8">
        <f>21+15/60+22.9/3600</f>
        <v>21.256361111111111</v>
      </c>
      <c r="P7033" s="8" t="s">
        <v>31230</v>
      </c>
      <c r="Q7033" s="8">
        <f>-(68+17/60+15/3600)</f>
        <v>-68.287499999999994</v>
      </c>
      <c r="R7033" s="8">
        <v>13.1</v>
      </c>
      <c r="S7033" s="8">
        <v>13.8</v>
      </c>
      <c r="T7033" s="8">
        <v>0.7</v>
      </c>
      <c r="U7033" s="8">
        <v>13</v>
      </c>
      <c r="V7033" s="8">
        <v>1.1000000000000001</v>
      </c>
      <c r="W7033" s="8">
        <v>1</v>
      </c>
      <c r="X7033" s="8">
        <v>85</v>
      </c>
      <c r="Y7033" s="8" t="s">
        <v>21110</v>
      </c>
      <c r="Z7033" s="8" t="s">
        <v>21111</v>
      </c>
    </row>
    <row r="7034" spans="1:26" x14ac:dyDescent="0.2">
      <c r="A7034" s="8">
        <v>7033</v>
      </c>
      <c r="B7034" s="8" t="s">
        <v>31231</v>
      </c>
      <c r="C7034" s="8" t="s">
        <v>31231</v>
      </c>
      <c r="F7034" s="47"/>
      <c r="G7034" s="8">
        <v>18</v>
      </c>
      <c r="H7034" s="8" t="s">
        <v>21</v>
      </c>
      <c r="I7034" s="8" t="s">
        <v>22</v>
      </c>
      <c r="J7034" s="8" t="s">
        <v>22</v>
      </c>
      <c r="K7034" s="8" t="s">
        <v>58</v>
      </c>
      <c r="L7034" s="8" t="s">
        <v>24</v>
      </c>
      <c r="M7034" s="8" t="s">
        <v>25</v>
      </c>
      <c r="N7034" s="8" t="s">
        <v>31232</v>
      </c>
      <c r="O7034" s="8">
        <f>21+9/60+36.2/3600</f>
        <v>21.160055555555555</v>
      </c>
      <c r="P7034" s="8" t="s">
        <v>31233</v>
      </c>
      <c r="Q7034" s="8">
        <f>+(15+7/60+31/3600)</f>
        <v>15.125277777777779</v>
      </c>
      <c r="R7034" s="8">
        <v>14.2</v>
      </c>
      <c r="S7034" s="8">
        <v>15.2</v>
      </c>
      <c r="T7034" s="8">
        <v>1</v>
      </c>
      <c r="U7034" s="8">
        <v>13.3</v>
      </c>
      <c r="V7034" s="8">
        <v>0.8</v>
      </c>
      <c r="W7034" s="8">
        <v>0.5</v>
      </c>
      <c r="X7034" s="8">
        <v>23</v>
      </c>
      <c r="Y7034" s="8" t="s">
        <v>170</v>
      </c>
      <c r="Z7034" s="8" t="s">
        <v>171</v>
      </c>
    </row>
    <row r="7035" spans="1:26" x14ac:dyDescent="0.2">
      <c r="A7035" s="8">
        <v>7034</v>
      </c>
      <c r="B7035" s="8" t="s">
        <v>31234</v>
      </c>
      <c r="C7035" s="8" t="s">
        <v>31234</v>
      </c>
      <c r="F7035" s="47"/>
      <c r="G7035" s="8">
        <v>18</v>
      </c>
      <c r="H7035" s="8" t="s">
        <v>21</v>
      </c>
      <c r="I7035" s="8" t="s">
        <v>22</v>
      </c>
      <c r="J7035" s="8" t="s">
        <v>22</v>
      </c>
      <c r="K7035" s="8" t="s">
        <v>382</v>
      </c>
      <c r="L7035" s="8" t="s">
        <v>24</v>
      </c>
      <c r="M7035" s="8" t="s">
        <v>25</v>
      </c>
      <c r="N7035" s="8" t="s">
        <v>31235</v>
      </c>
      <c r="O7035" s="8">
        <f>21+9/60+38.1/3600</f>
        <v>21.160583333333332</v>
      </c>
      <c r="P7035" s="8" t="s">
        <v>31236</v>
      </c>
      <c r="Q7035" s="8">
        <f>+(15+9/60+4/3600)</f>
        <v>15.151111111111112</v>
      </c>
      <c r="R7035" s="8">
        <v>13.8</v>
      </c>
      <c r="S7035" s="8">
        <v>14.8</v>
      </c>
      <c r="T7035" s="8">
        <v>1</v>
      </c>
      <c r="U7035" s="8">
        <v>13.3</v>
      </c>
      <c r="V7035" s="8">
        <v>1</v>
      </c>
      <c r="W7035" s="8">
        <v>0.7</v>
      </c>
      <c r="X7035" s="8">
        <v>125</v>
      </c>
      <c r="Y7035" s="8" t="s">
        <v>421</v>
      </c>
      <c r="Z7035" s="8" t="s">
        <v>422</v>
      </c>
    </row>
    <row r="7036" spans="1:26" x14ac:dyDescent="0.2">
      <c r="A7036" s="8">
        <v>7035</v>
      </c>
      <c r="B7036" s="8" t="s">
        <v>31237</v>
      </c>
      <c r="C7036" s="8" t="s">
        <v>31237</v>
      </c>
      <c r="D7036" s="8" t="s">
        <v>351</v>
      </c>
      <c r="F7036" s="47"/>
      <c r="G7036" s="8">
        <v>19</v>
      </c>
      <c r="H7036" s="8" t="s">
        <v>21</v>
      </c>
      <c r="I7036" s="8" t="s">
        <v>22</v>
      </c>
      <c r="J7036" s="8" t="s">
        <v>22</v>
      </c>
      <c r="K7036" s="8" t="s">
        <v>224</v>
      </c>
      <c r="L7036" s="8" t="s">
        <v>30635</v>
      </c>
      <c r="M7036" s="8" t="s">
        <v>30636</v>
      </c>
      <c r="N7036" s="8" t="s">
        <v>31238</v>
      </c>
      <c r="O7036" s="8">
        <f>21+10/60+45.5/3600</f>
        <v>21.179305555555558</v>
      </c>
      <c r="P7036" s="8" t="s">
        <v>31239</v>
      </c>
      <c r="Q7036" s="8">
        <f>-(23+8/60+7/3600)</f>
        <v>-23.135277777777777</v>
      </c>
      <c r="R7036" s="8">
        <v>14.2</v>
      </c>
      <c r="S7036" s="8">
        <v>15.2</v>
      </c>
      <c r="T7036" s="8">
        <v>1</v>
      </c>
      <c r="U7036" s="8">
        <v>13.7</v>
      </c>
      <c r="V7036" s="8">
        <v>1</v>
      </c>
      <c r="W7036" s="8">
        <v>0.7</v>
      </c>
      <c r="X7036" s="8">
        <v>105</v>
      </c>
      <c r="Y7036" s="8" t="s">
        <v>14218</v>
      </c>
      <c r="Z7036" s="8" t="s">
        <v>14219</v>
      </c>
    </row>
    <row r="7037" spans="1:26" x14ac:dyDescent="0.2">
      <c r="A7037" s="8">
        <v>7036</v>
      </c>
      <c r="B7037" s="8" t="s">
        <v>31240</v>
      </c>
      <c r="C7037" s="8" t="s">
        <v>31240</v>
      </c>
      <c r="F7037" s="47"/>
      <c r="G7037" s="8">
        <v>16</v>
      </c>
      <c r="H7037" s="8" t="s">
        <v>21</v>
      </c>
      <c r="I7037" s="8" t="s">
        <v>72</v>
      </c>
      <c r="J7037" s="8" t="s">
        <v>72</v>
      </c>
      <c r="K7037" s="8" t="s">
        <v>1802</v>
      </c>
      <c r="L7037" s="8" t="s">
        <v>24</v>
      </c>
      <c r="M7037" s="8" t="s">
        <v>25</v>
      </c>
      <c r="N7037" s="8" t="s">
        <v>31241</v>
      </c>
      <c r="O7037" s="8">
        <f>21+10/60+12/3600</f>
        <v>21.17</v>
      </c>
      <c r="P7037" s="8" t="s">
        <v>31242</v>
      </c>
      <c r="Q7037" s="8">
        <f>+(15+22/60+36/3600)</f>
        <v>15.376666666666667</v>
      </c>
      <c r="R7037" s="8">
        <v>99</v>
      </c>
      <c r="S7037" s="8">
        <v>99</v>
      </c>
      <c r="T7037" s="8">
        <v>99</v>
      </c>
      <c r="U7037" s="8">
        <v>99</v>
      </c>
      <c r="Y7037" s="8" t="s">
        <v>10878</v>
      </c>
      <c r="Z7037" s="8" t="s">
        <v>10879</v>
      </c>
    </row>
    <row r="7038" spans="1:26" x14ac:dyDescent="0.2">
      <c r="A7038" s="8">
        <v>7037</v>
      </c>
      <c r="B7038" s="8" t="s">
        <v>31243</v>
      </c>
      <c r="C7038" s="8" t="s">
        <v>31243</v>
      </c>
      <c r="F7038" s="47"/>
      <c r="G7038" s="8">
        <v>16</v>
      </c>
      <c r="H7038" s="8" t="s">
        <v>21</v>
      </c>
      <c r="I7038" s="8" t="s">
        <v>72</v>
      </c>
      <c r="J7038" s="8" t="s">
        <v>72</v>
      </c>
      <c r="K7038" s="8" t="s">
        <v>1405</v>
      </c>
      <c r="L7038" s="8" t="s">
        <v>30032</v>
      </c>
      <c r="M7038" s="8" t="s">
        <v>30033</v>
      </c>
      <c r="N7038" s="8" t="s">
        <v>31244</v>
      </c>
      <c r="O7038" s="8">
        <f>21+10/60+48/3600</f>
        <v>21.18</v>
      </c>
      <c r="P7038" s="8" t="s">
        <v>31245</v>
      </c>
      <c r="Q7038" s="8">
        <f>+(33+44/60+48/3600)</f>
        <v>33.74666666666667</v>
      </c>
      <c r="R7038" s="8">
        <v>99</v>
      </c>
      <c r="S7038" s="8">
        <v>99</v>
      </c>
      <c r="T7038" s="8">
        <v>99</v>
      </c>
      <c r="U7038" s="8">
        <v>99</v>
      </c>
      <c r="Y7038" s="8" t="s">
        <v>31246</v>
      </c>
      <c r="Z7038" s="8" t="s">
        <v>31247</v>
      </c>
    </row>
    <row r="7039" spans="1:26" x14ac:dyDescent="0.2">
      <c r="A7039" s="8">
        <v>7038</v>
      </c>
      <c r="B7039" s="8" t="s">
        <v>31248</v>
      </c>
      <c r="C7039" s="8" t="s">
        <v>31248</v>
      </c>
      <c r="F7039" s="47"/>
      <c r="G7039" s="8">
        <v>13</v>
      </c>
      <c r="H7039" s="8" t="s">
        <v>21</v>
      </c>
      <c r="I7039" s="8" t="s">
        <v>22</v>
      </c>
      <c r="J7039" s="8" t="s">
        <v>22</v>
      </c>
      <c r="K7039" s="8" t="s">
        <v>64</v>
      </c>
      <c r="L7039" s="8" t="s">
        <v>30731</v>
      </c>
      <c r="M7039" s="8" t="s">
        <v>30732</v>
      </c>
      <c r="N7039" s="8" t="s">
        <v>31249</v>
      </c>
      <c r="O7039" s="8">
        <f>21+15/60+7.5/3600</f>
        <v>21.252083333333335</v>
      </c>
      <c r="P7039" s="8" t="s">
        <v>31250</v>
      </c>
      <c r="Q7039" s="8">
        <f>-(47+13/60+13/3600)</f>
        <v>-47.220277777777781</v>
      </c>
      <c r="R7039" s="8">
        <v>11.6</v>
      </c>
      <c r="S7039" s="8">
        <v>12.3</v>
      </c>
      <c r="T7039" s="8">
        <v>0.7</v>
      </c>
      <c r="U7039" s="8">
        <v>13.3</v>
      </c>
      <c r="V7039" s="8">
        <v>3.1</v>
      </c>
      <c r="W7039" s="8">
        <v>1.4</v>
      </c>
      <c r="X7039" s="8">
        <v>127</v>
      </c>
      <c r="Y7039" s="8" t="s">
        <v>10743</v>
      </c>
      <c r="Z7039" s="8" t="s">
        <v>10744</v>
      </c>
    </row>
    <row r="7040" spans="1:26" x14ac:dyDescent="0.2">
      <c r="A7040" s="8">
        <v>7039</v>
      </c>
      <c r="B7040" s="8" t="s">
        <v>31251</v>
      </c>
      <c r="C7040" s="8" t="s">
        <v>31251</v>
      </c>
      <c r="F7040" s="47"/>
      <c r="G7040" s="8">
        <v>14</v>
      </c>
      <c r="H7040" s="8" t="s">
        <v>21</v>
      </c>
      <c r="I7040" s="8" t="s">
        <v>557</v>
      </c>
      <c r="J7040" s="8" t="s">
        <v>557</v>
      </c>
      <c r="K7040" s="8" t="s">
        <v>987</v>
      </c>
      <c r="L7040" s="8" t="s">
        <v>30032</v>
      </c>
      <c r="M7040" s="8" t="s">
        <v>30033</v>
      </c>
      <c r="N7040" s="8" t="s">
        <v>31252</v>
      </c>
      <c r="O7040" s="8">
        <f>21+11/60+12/3600</f>
        <v>21.186666666666667</v>
      </c>
      <c r="P7040" s="8" t="s">
        <v>31253</v>
      </c>
      <c r="Q7040" s="8">
        <f>+(45+39/60+0/3600)</f>
        <v>45.65</v>
      </c>
      <c r="R7040" s="8">
        <v>7.6</v>
      </c>
      <c r="S7040" s="8">
        <v>99</v>
      </c>
      <c r="T7040" s="8">
        <v>99</v>
      </c>
      <c r="U7040" s="8">
        <v>99</v>
      </c>
      <c r="V7040" s="8">
        <v>15</v>
      </c>
      <c r="Y7040" s="8" t="s">
        <v>31254</v>
      </c>
      <c r="Z7040" s="8" t="s">
        <v>31255</v>
      </c>
    </row>
    <row r="7041" spans="1:26" x14ac:dyDescent="0.2">
      <c r="A7041" s="8">
        <v>7040</v>
      </c>
      <c r="B7041" s="8" t="s">
        <v>31256</v>
      </c>
      <c r="C7041" s="8" t="s">
        <v>31256</v>
      </c>
      <c r="F7041" s="47"/>
      <c r="G7041" s="8">
        <v>19</v>
      </c>
      <c r="H7041" s="8" t="s">
        <v>21</v>
      </c>
      <c r="I7041" s="8" t="s">
        <v>22</v>
      </c>
      <c r="J7041" s="8" t="s">
        <v>22</v>
      </c>
      <c r="K7041" s="8" t="s">
        <v>476</v>
      </c>
      <c r="L7041" s="8" t="s">
        <v>31150</v>
      </c>
      <c r="M7041" s="8" t="s">
        <v>31151</v>
      </c>
      <c r="N7041" s="8" t="s">
        <v>31257</v>
      </c>
      <c r="O7041" s="8">
        <f>21+13/60+16.5/3600</f>
        <v>21.221249999999998</v>
      </c>
      <c r="P7041" s="8" t="s">
        <v>31258</v>
      </c>
      <c r="Q7041" s="8">
        <f>+(8+51/60+54/3600)</f>
        <v>8.8650000000000002</v>
      </c>
      <c r="R7041" s="8">
        <v>14</v>
      </c>
      <c r="S7041" s="8">
        <v>14.9</v>
      </c>
      <c r="T7041" s="8">
        <v>0.9</v>
      </c>
      <c r="U7041" s="8">
        <v>13.5</v>
      </c>
      <c r="V7041" s="8">
        <v>0.9</v>
      </c>
      <c r="W7041" s="8">
        <v>0.8</v>
      </c>
      <c r="X7041" s="8">
        <v>150</v>
      </c>
      <c r="Y7041" s="8" t="s">
        <v>31259</v>
      </c>
      <c r="Z7041" s="8" t="s">
        <v>31260</v>
      </c>
    </row>
    <row r="7042" spans="1:26" x14ac:dyDescent="0.2">
      <c r="A7042" s="8">
        <v>7041</v>
      </c>
      <c r="B7042" s="8" t="s">
        <v>31261</v>
      </c>
      <c r="C7042" s="8" t="s">
        <v>31261</v>
      </c>
      <c r="F7042" s="47"/>
      <c r="G7042" s="8">
        <v>13</v>
      </c>
      <c r="H7042" s="8" t="s">
        <v>21</v>
      </c>
      <c r="I7042" s="8" t="s">
        <v>22</v>
      </c>
      <c r="J7042" s="8" t="s">
        <v>22</v>
      </c>
      <c r="K7042" s="8" t="s">
        <v>58</v>
      </c>
      <c r="L7042" s="8" t="s">
        <v>30731</v>
      </c>
      <c r="M7042" s="8" t="s">
        <v>30732</v>
      </c>
      <c r="N7042" s="8" t="s">
        <v>31262</v>
      </c>
      <c r="O7042" s="8">
        <f>21+16/60+32.1/3600</f>
        <v>21.275583333333334</v>
      </c>
      <c r="P7042" s="8" t="s">
        <v>31263</v>
      </c>
      <c r="Q7042" s="8">
        <f>-(48+21/60+47/3600)</f>
        <v>-48.363055555555555</v>
      </c>
      <c r="R7042" s="8">
        <v>11.2</v>
      </c>
      <c r="S7042" s="8">
        <v>12.1</v>
      </c>
      <c r="T7042" s="8">
        <v>0.9</v>
      </c>
      <c r="U7042" s="8">
        <v>12.9</v>
      </c>
      <c r="V7042" s="8">
        <v>3.6</v>
      </c>
      <c r="W7042" s="8">
        <v>1.5</v>
      </c>
      <c r="X7042" s="8">
        <v>85</v>
      </c>
      <c r="Y7042" s="8" t="s">
        <v>31264</v>
      </c>
      <c r="Z7042" s="8" t="s">
        <v>31265</v>
      </c>
    </row>
    <row r="7043" spans="1:26" x14ac:dyDescent="0.2">
      <c r="A7043" s="8">
        <v>7042</v>
      </c>
      <c r="B7043" s="8" t="s">
        <v>31266</v>
      </c>
      <c r="C7043" s="8" t="s">
        <v>31266</v>
      </c>
      <c r="F7043" s="47" t="s">
        <v>58290</v>
      </c>
      <c r="G7043" s="8">
        <v>6.5</v>
      </c>
      <c r="H7043" s="8" t="s">
        <v>21</v>
      </c>
      <c r="I7043" s="8" t="s">
        <v>22</v>
      </c>
      <c r="J7043" s="8" t="s">
        <v>22</v>
      </c>
      <c r="K7043" s="8" t="s">
        <v>23</v>
      </c>
      <c r="L7043" s="8" t="s">
        <v>24</v>
      </c>
      <c r="M7043" s="8" t="s">
        <v>25</v>
      </c>
      <c r="N7043" s="8" t="s">
        <v>31267</v>
      </c>
      <c r="O7043" s="8">
        <f>21+13/60+45.7/3600</f>
        <v>21.22936111111111</v>
      </c>
      <c r="P7043" s="8" t="s">
        <v>31268</v>
      </c>
      <c r="Q7043" s="8">
        <f>+(13+34/60+30/3600)</f>
        <v>13.574999999999999</v>
      </c>
      <c r="R7043" s="8">
        <v>12</v>
      </c>
      <c r="S7043" s="8">
        <v>12.8</v>
      </c>
      <c r="T7043" s="8">
        <v>0.8</v>
      </c>
      <c r="U7043" s="8">
        <v>13.2</v>
      </c>
      <c r="V7043" s="8">
        <v>2</v>
      </c>
      <c r="W7043" s="8">
        <v>1.8</v>
      </c>
      <c r="X7043" s="8">
        <v>140</v>
      </c>
      <c r="Y7043" s="8" t="s">
        <v>170</v>
      </c>
      <c r="Z7043" s="8" t="s">
        <v>171</v>
      </c>
    </row>
    <row r="7044" spans="1:26" x14ac:dyDescent="0.2">
      <c r="A7044" s="8">
        <v>7043</v>
      </c>
      <c r="B7044" s="8" t="s">
        <v>31269</v>
      </c>
      <c r="C7044" s="8" t="s">
        <v>31269</v>
      </c>
      <c r="F7044" s="47"/>
      <c r="G7044" s="8">
        <v>18</v>
      </c>
      <c r="H7044" s="8" t="s">
        <v>21</v>
      </c>
      <c r="I7044" s="8" t="s">
        <v>22</v>
      </c>
      <c r="J7044" s="8" t="s">
        <v>22</v>
      </c>
      <c r="K7044" s="8" t="s">
        <v>154</v>
      </c>
      <c r="L7044" s="8" t="s">
        <v>24</v>
      </c>
      <c r="M7044" s="8" t="s">
        <v>25</v>
      </c>
      <c r="N7044" s="8" t="s">
        <v>31270</v>
      </c>
      <c r="O7044" s="8">
        <f>21+14/60+4.2/3600</f>
        <v>21.234500000000001</v>
      </c>
      <c r="P7044" s="8" t="s">
        <v>31271</v>
      </c>
      <c r="Q7044" s="8">
        <f>+(13+37/60+35/3600)</f>
        <v>13.62638888888889</v>
      </c>
      <c r="R7044" s="8">
        <v>13.7</v>
      </c>
      <c r="S7044" s="8">
        <v>14.6</v>
      </c>
      <c r="T7044" s="8">
        <v>0.9</v>
      </c>
      <c r="U7044" s="8">
        <v>13.8</v>
      </c>
      <c r="V7044" s="8">
        <v>1.3</v>
      </c>
      <c r="W7044" s="8">
        <v>1</v>
      </c>
      <c r="X7044" s="8">
        <v>135</v>
      </c>
      <c r="Y7044" s="8" t="s">
        <v>170</v>
      </c>
      <c r="Z7044" s="8" t="s">
        <v>171</v>
      </c>
    </row>
    <row r="7045" spans="1:26" x14ac:dyDescent="0.2">
      <c r="A7045" s="8">
        <v>7044</v>
      </c>
      <c r="B7045" s="8" t="s">
        <v>31272</v>
      </c>
      <c r="C7045" s="8" t="s">
        <v>31272</v>
      </c>
      <c r="F7045" s="47" t="s">
        <v>58291</v>
      </c>
      <c r="G7045" s="8">
        <v>6</v>
      </c>
      <c r="H7045" s="8" t="s">
        <v>21</v>
      </c>
      <c r="I7045" s="8" t="s">
        <v>557</v>
      </c>
      <c r="J7045" s="8" t="s">
        <v>557</v>
      </c>
      <c r="K7045" s="8" t="s">
        <v>981</v>
      </c>
      <c r="L7045" s="8" t="s">
        <v>30032</v>
      </c>
      <c r="M7045" s="8" t="s">
        <v>30033</v>
      </c>
      <c r="N7045" s="8" t="s">
        <v>31273</v>
      </c>
      <c r="O7045" s="8">
        <f>21+13/60+9.4/3600</f>
        <v>21.219277777777776</v>
      </c>
      <c r="P7045" s="8" t="s">
        <v>31274</v>
      </c>
      <c r="Q7045" s="8">
        <f>+(42+29/60+46/3600)</f>
        <v>42.496111111111112</v>
      </c>
      <c r="R7045" s="8">
        <v>12</v>
      </c>
      <c r="S7045" s="8">
        <v>99</v>
      </c>
      <c r="T7045" s="8">
        <v>99</v>
      </c>
      <c r="U7045" s="8">
        <v>99</v>
      </c>
      <c r="V7045" s="8">
        <v>7</v>
      </c>
      <c r="Y7045" s="8" t="s">
        <v>31275</v>
      </c>
      <c r="Z7045" s="8" t="s">
        <v>31276</v>
      </c>
    </row>
    <row r="7046" spans="1:26" x14ac:dyDescent="0.2">
      <c r="A7046" s="8">
        <v>7045</v>
      </c>
      <c r="B7046" s="8" t="s">
        <v>31277</v>
      </c>
      <c r="C7046" s="8" t="s">
        <v>31277</v>
      </c>
      <c r="F7046" s="47"/>
      <c r="G7046" s="8">
        <v>16</v>
      </c>
      <c r="H7046" s="8" t="s">
        <v>21</v>
      </c>
      <c r="I7046" s="8" t="s">
        <v>72</v>
      </c>
      <c r="J7046" s="8" t="s">
        <v>72</v>
      </c>
      <c r="K7046" s="8" t="s">
        <v>73</v>
      </c>
      <c r="L7046" s="8" t="s">
        <v>31150</v>
      </c>
      <c r="M7046" s="8" t="s">
        <v>31151</v>
      </c>
      <c r="N7046" s="8" t="s">
        <v>31278</v>
      </c>
      <c r="O7046" s="8">
        <f>21+14/60+50.3/3600</f>
        <v>21.247305555555556</v>
      </c>
      <c r="P7046" s="8" t="s">
        <v>31279</v>
      </c>
      <c r="Q7046" s="8">
        <f>+(4+30/60+28/3600)</f>
        <v>4.5077777777777781</v>
      </c>
      <c r="R7046" s="8">
        <v>99</v>
      </c>
      <c r="S7046" s="8">
        <v>99</v>
      </c>
      <c r="T7046" s="8">
        <v>99</v>
      </c>
      <c r="U7046" s="8">
        <v>99</v>
      </c>
      <c r="Y7046" s="8" t="s">
        <v>47</v>
      </c>
      <c r="Z7046" s="8" t="s">
        <v>48</v>
      </c>
    </row>
    <row r="7047" spans="1:26" x14ac:dyDescent="0.2">
      <c r="A7047" s="8">
        <v>7046</v>
      </c>
      <c r="B7047" s="8" t="s">
        <v>31280</v>
      </c>
      <c r="C7047" s="8" t="s">
        <v>31280</v>
      </c>
      <c r="F7047" s="47" t="s">
        <v>58292</v>
      </c>
      <c r="G7047" s="8">
        <v>15</v>
      </c>
      <c r="H7047" s="8" t="s">
        <v>21</v>
      </c>
      <c r="I7047" s="8" t="s">
        <v>22</v>
      </c>
      <c r="J7047" s="8" t="s">
        <v>22</v>
      </c>
      <c r="K7047" s="8" t="s">
        <v>64</v>
      </c>
      <c r="L7047" s="8" t="s">
        <v>31150</v>
      </c>
      <c r="M7047" s="8" t="s">
        <v>31151</v>
      </c>
      <c r="N7047" s="8" t="s">
        <v>31281</v>
      </c>
      <c r="O7047" s="8">
        <f>21+14/60+56/3600</f>
        <v>21.248888888888889</v>
      </c>
      <c r="P7047" s="8" t="s">
        <v>31282</v>
      </c>
      <c r="Q7047" s="8">
        <f>+(2+50/60+4/3600)</f>
        <v>2.8344444444444448</v>
      </c>
      <c r="R7047" s="8">
        <v>13.1</v>
      </c>
      <c r="S7047" s="8">
        <v>13.8</v>
      </c>
      <c r="T7047" s="8">
        <v>0.7</v>
      </c>
      <c r="U7047" s="8">
        <v>13.9</v>
      </c>
      <c r="V7047" s="8">
        <v>1.9</v>
      </c>
      <c r="W7047" s="8">
        <v>1.4</v>
      </c>
      <c r="X7047" s="8">
        <v>115</v>
      </c>
      <c r="Y7047" s="8" t="s">
        <v>7726</v>
      </c>
      <c r="Z7047" s="8" t="s">
        <v>7727</v>
      </c>
    </row>
    <row r="7048" spans="1:26" x14ac:dyDescent="0.2">
      <c r="A7048" s="8">
        <v>7047</v>
      </c>
      <c r="B7048" s="8" t="s">
        <v>31283</v>
      </c>
      <c r="C7048" s="8" t="s">
        <v>31283</v>
      </c>
      <c r="F7048" s="47"/>
      <c r="G7048" s="8">
        <v>18</v>
      </c>
      <c r="H7048" s="8" t="s">
        <v>21</v>
      </c>
      <c r="I7048" s="8" t="s">
        <v>22</v>
      </c>
      <c r="J7048" s="8" t="s">
        <v>22</v>
      </c>
      <c r="K7048" s="8" t="s">
        <v>218</v>
      </c>
      <c r="L7048" s="8" t="s">
        <v>30854</v>
      </c>
      <c r="M7048" s="8" t="s">
        <v>30855</v>
      </c>
      <c r="N7048" s="8" t="s">
        <v>31284</v>
      </c>
      <c r="O7048" s="8">
        <f>21+16/60+27.4/3600</f>
        <v>21.274277777777776</v>
      </c>
      <c r="P7048" s="8" t="s">
        <v>31285</v>
      </c>
      <c r="Q7048" s="8">
        <f>-(0+49/60+35/3600)</f>
        <v>-0.82638888888888884</v>
      </c>
      <c r="R7048" s="8">
        <v>13.4</v>
      </c>
      <c r="S7048" s="8">
        <v>14.2</v>
      </c>
      <c r="T7048" s="8">
        <v>0.8</v>
      </c>
      <c r="U7048" s="8">
        <v>13.1</v>
      </c>
      <c r="V7048" s="8">
        <v>1.2</v>
      </c>
      <c r="W7048" s="8">
        <v>0.7</v>
      </c>
      <c r="X7048" s="8">
        <v>107</v>
      </c>
      <c r="Y7048" s="8" t="s">
        <v>31286</v>
      </c>
      <c r="Z7048" s="8" t="s">
        <v>31287</v>
      </c>
    </row>
    <row r="7049" spans="1:26" x14ac:dyDescent="0.2">
      <c r="A7049" s="8">
        <v>7048</v>
      </c>
      <c r="B7049" s="8" t="s">
        <v>31288</v>
      </c>
      <c r="C7049" s="8" t="s">
        <v>31288</v>
      </c>
      <c r="F7049" s="47"/>
      <c r="G7049" s="8">
        <v>7</v>
      </c>
      <c r="H7049" s="8" t="s">
        <v>31289</v>
      </c>
      <c r="I7049" s="8" t="s">
        <v>241</v>
      </c>
      <c r="J7049" s="8" t="s">
        <v>241</v>
      </c>
      <c r="K7049" s="8" t="s">
        <v>241</v>
      </c>
      <c r="L7049" s="8" t="s">
        <v>30032</v>
      </c>
      <c r="M7049" s="8" t="s">
        <v>30033</v>
      </c>
      <c r="N7049" s="8" t="s">
        <v>31290</v>
      </c>
      <c r="O7049" s="8">
        <f>21+14/60+15.2/3600</f>
        <v>21.237555555555556</v>
      </c>
      <c r="P7049" s="8" t="s">
        <v>31291</v>
      </c>
      <c r="Q7049" s="8">
        <f>+(46+17/60+21/3600)</f>
        <v>46.289166666666667</v>
      </c>
      <c r="R7049" s="8">
        <v>12.1</v>
      </c>
      <c r="S7049" s="8">
        <v>11.3</v>
      </c>
      <c r="T7049" s="8">
        <v>99</v>
      </c>
      <c r="U7049" s="8">
        <v>99</v>
      </c>
      <c r="V7049" s="8">
        <v>1.02</v>
      </c>
      <c r="Y7049" s="8" t="s">
        <v>31292</v>
      </c>
      <c r="Z7049" s="8" t="s">
        <v>31293</v>
      </c>
    </row>
    <row r="7050" spans="1:26" x14ac:dyDescent="0.2">
      <c r="A7050" s="8">
        <v>7049</v>
      </c>
      <c r="B7050" s="8" t="s">
        <v>31294</v>
      </c>
      <c r="C7050" s="8" t="s">
        <v>31294</v>
      </c>
      <c r="F7050" s="47"/>
      <c r="G7050" s="8">
        <v>13</v>
      </c>
      <c r="H7050" s="8" t="s">
        <v>21</v>
      </c>
      <c r="I7050" s="8" t="s">
        <v>22</v>
      </c>
      <c r="J7050" s="8" t="s">
        <v>22</v>
      </c>
      <c r="K7050" s="8" t="s">
        <v>37</v>
      </c>
      <c r="L7050" s="8" t="s">
        <v>30731</v>
      </c>
      <c r="M7050" s="8" t="s">
        <v>30732</v>
      </c>
      <c r="N7050" s="8" t="s">
        <v>31295</v>
      </c>
      <c r="O7050" s="8">
        <f>21+19/60+0.2/3600</f>
        <v>21.316722222222221</v>
      </c>
      <c r="P7050" s="8" t="s">
        <v>31296</v>
      </c>
      <c r="Q7050" s="8">
        <f>-(48+33/60+41/3600)</f>
        <v>-48.561388888888885</v>
      </c>
      <c r="R7050" s="8">
        <v>10.6</v>
      </c>
      <c r="S7050" s="8">
        <v>11.7</v>
      </c>
      <c r="T7050" s="8">
        <v>1.1000000000000001</v>
      </c>
      <c r="U7050" s="8">
        <v>13.2</v>
      </c>
      <c r="V7050" s="8">
        <v>4.5</v>
      </c>
      <c r="W7050" s="8">
        <v>3</v>
      </c>
      <c r="X7050" s="8">
        <v>57</v>
      </c>
      <c r="Y7050" s="8" t="s">
        <v>31297</v>
      </c>
      <c r="Z7050" s="8" t="s">
        <v>31298</v>
      </c>
    </row>
    <row r="7051" spans="1:26" x14ac:dyDescent="0.2">
      <c r="A7051" s="8">
        <v>7050</v>
      </c>
      <c r="B7051" s="8" t="s">
        <v>31299</v>
      </c>
      <c r="C7051" s="8" t="s">
        <v>31299</v>
      </c>
      <c r="F7051" s="47"/>
      <c r="G7051" s="8">
        <v>16</v>
      </c>
      <c r="H7051" s="8" t="s">
        <v>21</v>
      </c>
      <c r="I7051" s="8" t="s">
        <v>72</v>
      </c>
      <c r="J7051" s="8" t="s">
        <v>72</v>
      </c>
      <c r="K7051" s="8" t="s">
        <v>1405</v>
      </c>
      <c r="L7051" s="8" t="s">
        <v>30032</v>
      </c>
      <c r="M7051" s="8" t="s">
        <v>30033</v>
      </c>
      <c r="N7051" s="8" t="s">
        <v>31300</v>
      </c>
      <c r="O7051" s="8">
        <f>21+15/60+16.8/3600</f>
        <v>21.254666666666665</v>
      </c>
      <c r="P7051" s="8" t="s">
        <v>31301</v>
      </c>
      <c r="Q7051" s="8">
        <f>+(36+10/60+18/3600)</f>
        <v>36.171666666666667</v>
      </c>
      <c r="R7051" s="8">
        <v>99</v>
      </c>
      <c r="S7051" s="8">
        <v>99</v>
      </c>
      <c r="T7051" s="8">
        <v>99</v>
      </c>
      <c r="U7051" s="8">
        <v>99</v>
      </c>
      <c r="Y7051" s="8" t="s">
        <v>31132</v>
      </c>
      <c r="Z7051" s="8" t="s">
        <v>31133</v>
      </c>
    </row>
    <row r="7052" spans="1:26" x14ac:dyDescent="0.2">
      <c r="A7052" s="8">
        <v>7051</v>
      </c>
      <c r="B7052" s="8" t="s">
        <v>31302</v>
      </c>
      <c r="C7052" s="8" t="s">
        <v>31302</v>
      </c>
      <c r="F7052" s="47"/>
      <c r="G7052" s="8">
        <v>16</v>
      </c>
      <c r="H7052" s="8" t="s">
        <v>21</v>
      </c>
      <c r="I7052" s="8" t="s">
        <v>22</v>
      </c>
      <c r="J7052" s="8" t="s">
        <v>22</v>
      </c>
      <c r="K7052" s="8" t="s">
        <v>91</v>
      </c>
      <c r="L7052" s="8" t="s">
        <v>30854</v>
      </c>
      <c r="M7052" s="8" t="s">
        <v>30855</v>
      </c>
      <c r="N7052" s="8" t="s">
        <v>31303</v>
      </c>
      <c r="O7052" s="8">
        <f>21+19/60+51.3/3600</f>
        <v>21.330916666666667</v>
      </c>
      <c r="P7052" s="8" t="s">
        <v>31304</v>
      </c>
      <c r="Q7052" s="8">
        <f>-(8+46/60+57/3600)</f>
        <v>-8.7825000000000006</v>
      </c>
      <c r="R7052" s="8">
        <v>13</v>
      </c>
      <c r="S7052" s="8">
        <v>13.9</v>
      </c>
      <c r="T7052" s="8">
        <v>0.9</v>
      </c>
      <c r="U7052" s="8">
        <v>13.3</v>
      </c>
      <c r="V7052" s="8">
        <v>1.4</v>
      </c>
      <c r="W7052" s="8">
        <v>1.1000000000000001</v>
      </c>
      <c r="X7052" s="8">
        <v>162</v>
      </c>
      <c r="Y7052" s="8" t="s">
        <v>31305</v>
      </c>
      <c r="Z7052" s="8" t="s">
        <v>31306</v>
      </c>
    </row>
    <row r="7053" spans="1:26" x14ac:dyDescent="0.2">
      <c r="A7053" s="8">
        <v>7052</v>
      </c>
      <c r="B7053" s="8" t="s">
        <v>31307</v>
      </c>
      <c r="C7053" s="8" t="s">
        <v>31307</v>
      </c>
      <c r="F7053" s="47" t="s">
        <v>58293</v>
      </c>
      <c r="G7053" s="8">
        <v>15</v>
      </c>
      <c r="H7053" s="8" t="s">
        <v>21</v>
      </c>
      <c r="I7053" s="8" t="s">
        <v>22</v>
      </c>
      <c r="J7053" s="8" t="s">
        <v>22</v>
      </c>
      <c r="K7053" s="8" t="s">
        <v>1068</v>
      </c>
      <c r="L7053" s="8" t="s">
        <v>30153</v>
      </c>
      <c r="M7053" s="8" t="s">
        <v>30154</v>
      </c>
      <c r="N7053" s="8" t="s">
        <v>31308</v>
      </c>
      <c r="O7053" s="8">
        <f>21+18/60+33/3600</f>
        <v>21.309166666666666</v>
      </c>
      <c r="P7053" s="8" t="s">
        <v>31309</v>
      </c>
      <c r="Q7053" s="8">
        <f>+(26+26/60+50/3600)</f>
        <v>26.447222222222223</v>
      </c>
      <c r="R7053" s="8">
        <v>12.6</v>
      </c>
      <c r="S7053" s="8">
        <v>13.6</v>
      </c>
      <c r="T7053" s="8">
        <v>1</v>
      </c>
      <c r="U7053" s="8">
        <v>13.6</v>
      </c>
      <c r="V7053" s="8">
        <v>2.1</v>
      </c>
      <c r="W7053" s="8">
        <v>1.1000000000000001</v>
      </c>
      <c r="X7053" s="8">
        <v>64</v>
      </c>
      <c r="Y7053" s="8" t="s">
        <v>31310</v>
      </c>
      <c r="Z7053" s="8" t="s">
        <v>31311</v>
      </c>
    </row>
    <row r="7054" spans="1:26" x14ac:dyDescent="0.2">
      <c r="A7054" s="8">
        <v>7053</v>
      </c>
      <c r="B7054" s="8" t="s">
        <v>31312</v>
      </c>
      <c r="C7054" s="8" t="s">
        <v>31312</v>
      </c>
      <c r="F7054" s="47"/>
      <c r="G7054" s="8">
        <v>18</v>
      </c>
      <c r="H7054" s="8" t="s">
        <v>21</v>
      </c>
      <c r="I7054" s="8" t="s">
        <v>22</v>
      </c>
      <c r="J7054" s="8" t="s">
        <v>22</v>
      </c>
      <c r="K7054" s="8" t="s">
        <v>424</v>
      </c>
      <c r="L7054" s="8" t="s">
        <v>24</v>
      </c>
      <c r="M7054" s="8" t="s">
        <v>25</v>
      </c>
      <c r="N7054" s="8" t="s">
        <v>31313</v>
      </c>
      <c r="O7054" s="8">
        <f>21+21/60+7.5/3600</f>
        <v>21.352083333333336</v>
      </c>
      <c r="P7054" s="8" t="s">
        <v>31314</v>
      </c>
      <c r="Q7054" s="8">
        <f>+(23+5/60+7/3600)</f>
        <v>23.085277777777776</v>
      </c>
      <c r="R7054" s="8">
        <v>13.1</v>
      </c>
      <c r="S7054" s="8">
        <v>14.1</v>
      </c>
      <c r="T7054" s="8">
        <v>1</v>
      </c>
      <c r="U7054" s="8">
        <v>13.6</v>
      </c>
      <c r="V7054" s="8">
        <v>1.4</v>
      </c>
      <c r="W7054" s="8">
        <v>1.3</v>
      </c>
      <c r="X7054" s="8">
        <v>27</v>
      </c>
      <c r="Y7054" s="8" t="s">
        <v>28374</v>
      </c>
      <c r="Z7054" s="8" t="s">
        <v>23345</v>
      </c>
    </row>
    <row r="7055" spans="1:26" x14ac:dyDescent="0.2">
      <c r="A7055" s="8">
        <v>7054</v>
      </c>
      <c r="B7055" s="8" t="s">
        <v>31315</v>
      </c>
      <c r="C7055" s="8" t="s">
        <v>31315</v>
      </c>
      <c r="F7055" s="47"/>
      <c r="G7055" s="8">
        <v>18</v>
      </c>
      <c r="H7055" s="8" t="s">
        <v>21</v>
      </c>
      <c r="I7055" s="8" t="s">
        <v>329</v>
      </c>
      <c r="J7055" s="8" t="s">
        <v>329</v>
      </c>
      <c r="K7055" s="8" t="s">
        <v>329</v>
      </c>
      <c r="L7055" s="8" t="s">
        <v>30032</v>
      </c>
      <c r="M7055" s="8" t="s">
        <v>30033</v>
      </c>
      <c r="N7055" s="8" t="s">
        <v>31316</v>
      </c>
      <c r="O7055" s="8">
        <f>21+20/60+43.5/3600</f>
        <v>21.345416666666665</v>
      </c>
      <c r="P7055" s="8" t="s">
        <v>31317</v>
      </c>
      <c r="Q7055" s="8">
        <f>+(39+10/60+18/3600)</f>
        <v>39.171666666666667</v>
      </c>
      <c r="R7055" s="8">
        <v>99</v>
      </c>
      <c r="S7055" s="8">
        <v>99</v>
      </c>
      <c r="T7055" s="8">
        <v>99</v>
      </c>
      <c r="U7055" s="8">
        <v>99</v>
      </c>
      <c r="Y7055" s="8" t="s">
        <v>31318</v>
      </c>
      <c r="Z7055" s="8" t="s">
        <v>31319</v>
      </c>
    </row>
    <row r="7056" spans="1:26" x14ac:dyDescent="0.2">
      <c r="A7056" s="8">
        <v>7055</v>
      </c>
      <c r="B7056" s="8" t="s">
        <v>31320</v>
      </c>
      <c r="C7056" s="8" t="s">
        <v>31320</v>
      </c>
      <c r="F7056" s="47"/>
      <c r="G7056" s="8">
        <v>16</v>
      </c>
      <c r="H7056" s="8" t="s">
        <v>21</v>
      </c>
      <c r="I7056" s="8" t="s">
        <v>72</v>
      </c>
      <c r="J7056" s="8" t="s">
        <v>72</v>
      </c>
      <c r="K7056" s="8" t="s">
        <v>1405</v>
      </c>
      <c r="L7056" s="8" t="s">
        <v>242</v>
      </c>
      <c r="M7056" s="8" t="s">
        <v>243</v>
      </c>
      <c r="N7056" s="8" t="s">
        <v>31321</v>
      </c>
      <c r="O7056" s="8">
        <f>21+19/60+25.8/3600</f>
        <v>21.323833333333333</v>
      </c>
      <c r="P7056" s="8" t="s">
        <v>31322</v>
      </c>
      <c r="Q7056" s="8">
        <f>+(57+35/60+25/3600)</f>
        <v>57.590277777777779</v>
      </c>
      <c r="R7056" s="8">
        <v>99</v>
      </c>
      <c r="S7056" s="8">
        <v>99</v>
      </c>
      <c r="T7056" s="8">
        <v>99</v>
      </c>
      <c r="U7056" s="8">
        <v>99</v>
      </c>
      <c r="V7056" s="8">
        <v>4</v>
      </c>
      <c r="Y7056" s="8" t="s">
        <v>31323</v>
      </c>
      <c r="Z7056" s="8" t="s">
        <v>31324</v>
      </c>
    </row>
    <row r="7057" spans="1:26" x14ac:dyDescent="0.2">
      <c r="A7057" s="8">
        <v>7056</v>
      </c>
      <c r="B7057" s="8" t="s">
        <v>31325</v>
      </c>
      <c r="C7057" s="8" t="s">
        <v>31325</v>
      </c>
      <c r="F7057" s="47"/>
      <c r="G7057" s="8">
        <v>18</v>
      </c>
      <c r="H7057" s="8" t="s">
        <v>21</v>
      </c>
      <c r="I7057" s="8" t="s">
        <v>22</v>
      </c>
      <c r="J7057" s="8" t="s">
        <v>22</v>
      </c>
      <c r="K7057" s="8" t="s">
        <v>85</v>
      </c>
      <c r="L7057" s="8" t="s">
        <v>24</v>
      </c>
      <c r="M7057" s="8" t="s">
        <v>25</v>
      </c>
      <c r="N7057" s="8" t="s">
        <v>31326</v>
      </c>
      <c r="O7057" s="8">
        <f>21+22/60+7.5/3600</f>
        <v>21.368750000000002</v>
      </c>
      <c r="P7057" s="8" t="s">
        <v>31327</v>
      </c>
      <c r="Q7057" s="8">
        <f>+(18+39/60+56/3600)</f>
        <v>18.665555555555553</v>
      </c>
      <c r="R7057" s="8">
        <v>12.9</v>
      </c>
      <c r="S7057" s="8">
        <v>13.7</v>
      </c>
      <c r="T7057" s="8">
        <v>0.8</v>
      </c>
      <c r="U7057" s="8">
        <v>12.7</v>
      </c>
      <c r="V7057" s="8">
        <v>1.5</v>
      </c>
      <c r="W7057" s="8">
        <v>0.9</v>
      </c>
      <c r="X7057" s="8">
        <v>57</v>
      </c>
      <c r="Y7057" s="8" t="s">
        <v>824</v>
      </c>
      <c r="Z7057" s="8" t="s">
        <v>825</v>
      </c>
    </row>
    <row r="7058" spans="1:26" x14ac:dyDescent="0.2">
      <c r="A7058" s="8">
        <v>7057</v>
      </c>
      <c r="B7058" s="8" t="s">
        <v>31328</v>
      </c>
      <c r="C7058" s="8" t="s">
        <v>31328</v>
      </c>
      <c r="F7058" s="47"/>
      <c r="G7058" s="8">
        <v>16</v>
      </c>
      <c r="H7058" s="8" t="s">
        <v>21</v>
      </c>
      <c r="I7058" s="8" t="s">
        <v>22</v>
      </c>
      <c r="J7058" s="8" t="s">
        <v>22</v>
      </c>
      <c r="K7058" s="8" t="s">
        <v>58</v>
      </c>
      <c r="L7058" s="8" t="s">
        <v>30738</v>
      </c>
      <c r="M7058" s="8" t="s">
        <v>30739</v>
      </c>
      <c r="N7058" s="8" t="s">
        <v>31329</v>
      </c>
      <c r="O7058" s="8">
        <f>21+24/60+58.5/3600</f>
        <v>21.416249999999998</v>
      </c>
      <c r="P7058" s="8" t="s">
        <v>31330</v>
      </c>
      <c r="Q7058" s="8">
        <f>-(42+27/60+37/3600)</f>
        <v>-42.460277777777783</v>
      </c>
      <c r="R7058" s="8">
        <v>12.6</v>
      </c>
      <c r="S7058" s="8">
        <v>13.7</v>
      </c>
      <c r="T7058" s="8">
        <v>1.1000000000000001</v>
      </c>
      <c r="U7058" s="8">
        <v>12.8</v>
      </c>
      <c r="V7058" s="8">
        <v>1.4</v>
      </c>
      <c r="W7058" s="8">
        <v>1</v>
      </c>
      <c r="X7058" s="8">
        <v>151</v>
      </c>
      <c r="Y7058" s="8" t="s">
        <v>31331</v>
      </c>
      <c r="Z7058" s="8" t="s">
        <v>31332</v>
      </c>
    </row>
    <row r="7059" spans="1:26" x14ac:dyDescent="0.2">
      <c r="A7059" s="8">
        <v>7058</v>
      </c>
      <c r="B7059" s="8" t="s">
        <v>31333</v>
      </c>
      <c r="C7059" s="8" t="s">
        <v>31333</v>
      </c>
      <c r="F7059" s="47"/>
      <c r="G7059" s="8">
        <v>16</v>
      </c>
      <c r="H7059" s="8" t="s">
        <v>21</v>
      </c>
      <c r="I7059" s="8" t="s">
        <v>72</v>
      </c>
      <c r="J7059" s="8" t="s">
        <v>72</v>
      </c>
      <c r="K7059" s="8" t="s">
        <v>1405</v>
      </c>
      <c r="L7059" s="8" t="s">
        <v>30032</v>
      </c>
      <c r="M7059" s="8" t="s">
        <v>30033</v>
      </c>
      <c r="N7059" s="8" t="s">
        <v>31334</v>
      </c>
      <c r="O7059" s="8">
        <f>21+21/60+48.3/3600</f>
        <v>21.363416666666669</v>
      </c>
      <c r="P7059" s="8" t="s">
        <v>31335</v>
      </c>
      <c r="Q7059" s="8">
        <f>+(50+48/60+28/3600)</f>
        <v>50.807777777777773</v>
      </c>
      <c r="R7059" s="8">
        <v>99</v>
      </c>
      <c r="S7059" s="8">
        <v>99</v>
      </c>
      <c r="T7059" s="8">
        <v>99</v>
      </c>
      <c r="U7059" s="8">
        <v>99</v>
      </c>
      <c r="V7059" s="8">
        <v>10</v>
      </c>
      <c r="Y7059" s="8" t="s">
        <v>10888</v>
      </c>
      <c r="Z7059" s="8" t="s">
        <v>10889</v>
      </c>
    </row>
    <row r="7060" spans="1:26" x14ac:dyDescent="0.2">
      <c r="A7060" s="8">
        <v>7059</v>
      </c>
      <c r="B7060" s="8" t="s">
        <v>31336</v>
      </c>
      <c r="C7060" s="8" t="s">
        <v>31336</v>
      </c>
      <c r="F7060" s="47"/>
      <c r="G7060" s="8">
        <v>16</v>
      </c>
      <c r="H7060" s="8" t="s">
        <v>21</v>
      </c>
      <c r="I7060" s="8" t="s">
        <v>22</v>
      </c>
      <c r="J7060" s="8" t="s">
        <v>22</v>
      </c>
      <c r="K7060" s="8" t="s">
        <v>64</v>
      </c>
      <c r="L7060" s="8" t="s">
        <v>28435</v>
      </c>
      <c r="M7060" s="8" t="s">
        <v>28436</v>
      </c>
      <c r="N7060" s="8" t="s">
        <v>31337</v>
      </c>
      <c r="O7060" s="8">
        <f>21+27/60+21.7/3600</f>
        <v>21.456027777777777</v>
      </c>
      <c r="P7060" s="8" t="s">
        <v>31338</v>
      </c>
      <c r="Q7060" s="8">
        <f>-(60+0/60+53/3600)</f>
        <v>-60.014722222222225</v>
      </c>
      <c r="R7060" s="8">
        <v>11.9</v>
      </c>
      <c r="S7060" s="8">
        <v>12.4</v>
      </c>
      <c r="T7060" s="8">
        <v>0.5</v>
      </c>
      <c r="U7060" s="8">
        <v>13.6</v>
      </c>
      <c r="V7060" s="8">
        <v>3.3</v>
      </c>
      <c r="W7060" s="8">
        <v>1.7</v>
      </c>
      <c r="X7060" s="8">
        <v>98</v>
      </c>
      <c r="Y7060" s="8" t="s">
        <v>31339</v>
      </c>
      <c r="Z7060" s="8" t="s">
        <v>31340</v>
      </c>
    </row>
    <row r="7061" spans="1:26" x14ac:dyDescent="0.2">
      <c r="A7061" s="8">
        <v>7060</v>
      </c>
      <c r="B7061" s="8" t="s">
        <v>31341</v>
      </c>
      <c r="C7061" s="8" t="s">
        <v>31341</v>
      </c>
      <c r="F7061" s="47"/>
      <c r="G7061" s="8">
        <v>16</v>
      </c>
      <c r="H7061" s="8" t="s">
        <v>21</v>
      </c>
      <c r="I7061" s="8" t="s">
        <v>22</v>
      </c>
      <c r="J7061" s="8" t="s">
        <v>22</v>
      </c>
      <c r="K7061" s="8" t="s">
        <v>154</v>
      </c>
      <c r="L7061" s="8" t="s">
        <v>30738</v>
      </c>
      <c r="M7061" s="8" t="s">
        <v>30739</v>
      </c>
      <c r="N7061" s="8" t="s">
        <v>31342</v>
      </c>
      <c r="O7061" s="8">
        <f>21+25/60+53.5/3600</f>
        <v>21.431527777777777</v>
      </c>
      <c r="P7061" s="8" t="s">
        <v>31343</v>
      </c>
      <c r="Q7061" s="8">
        <f>-(42+24/60+39/3600)</f>
        <v>-42.410833333333329</v>
      </c>
      <c r="R7061" s="8">
        <v>12.9</v>
      </c>
      <c r="S7061" s="8">
        <v>13.7</v>
      </c>
      <c r="T7061" s="8">
        <v>0.8</v>
      </c>
      <c r="U7061" s="8">
        <v>13.2</v>
      </c>
      <c r="V7061" s="8">
        <v>2</v>
      </c>
      <c r="W7061" s="8">
        <v>1.2</v>
      </c>
      <c r="X7061" s="8">
        <v>120</v>
      </c>
      <c r="Y7061" s="8" t="s">
        <v>31344</v>
      </c>
      <c r="Z7061" s="8" t="s">
        <v>31345</v>
      </c>
    </row>
    <row r="7062" spans="1:26" x14ac:dyDescent="0.2">
      <c r="A7062" s="8">
        <v>7061</v>
      </c>
      <c r="B7062" s="8" t="s">
        <v>31346</v>
      </c>
      <c r="C7062" s="8" t="s">
        <v>31346</v>
      </c>
      <c r="F7062" s="47"/>
      <c r="G7062" s="8">
        <v>16</v>
      </c>
      <c r="H7062" s="8" t="s">
        <v>21</v>
      </c>
      <c r="I7062" s="8" t="s">
        <v>22</v>
      </c>
      <c r="J7062" s="8" t="s">
        <v>22</v>
      </c>
      <c r="K7062" s="8" t="s">
        <v>50</v>
      </c>
      <c r="L7062" s="8" t="s">
        <v>30731</v>
      </c>
      <c r="M7062" s="8" t="s">
        <v>30732</v>
      </c>
      <c r="N7062" s="8" t="s">
        <v>31347</v>
      </c>
      <c r="O7062" s="8">
        <f>21+27/60+26.7/3600</f>
        <v>21.457416666666667</v>
      </c>
      <c r="P7062" s="8" t="s">
        <v>31348</v>
      </c>
      <c r="Q7062" s="8">
        <f>-(49+3/60+48/3600)</f>
        <v>-49.063333333333333</v>
      </c>
      <c r="R7062" s="8">
        <v>13.3</v>
      </c>
      <c r="S7062" s="8">
        <v>14.3</v>
      </c>
      <c r="T7062" s="8">
        <v>1</v>
      </c>
      <c r="U7062" s="8">
        <v>13.1</v>
      </c>
      <c r="V7062" s="8">
        <v>1.2</v>
      </c>
      <c r="W7062" s="8">
        <v>0.7</v>
      </c>
      <c r="X7062" s="8">
        <v>137</v>
      </c>
      <c r="Y7062" s="8" t="s">
        <v>15791</v>
      </c>
      <c r="Z7062" s="8" t="s">
        <v>15792</v>
      </c>
    </row>
    <row r="7063" spans="1:26" x14ac:dyDescent="0.2">
      <c r="A7063" s="8">
        <v>7062</v>
      </c>
      <c r="B7063" s="8" t="s">
        <v>31349</v>
      </c>
      <c r="C7063" s="8" t="s">
        <v>31349</v>
      </c>
      <c r="F7063" s="47" t="s">
        <v>58294</v>
      </c>
      <c r="G7063" s="8">
        <v>6</v>
      </c>
      <c r="H7063" s="8" t="s">
        <v>21</v>
      </c>
      <c r="I7063" s="8" t="s">
        <v>557</v>
      </c>
      <c r="J7063" s="8" t="s">
        <v>557</v>
      </c>
      <c r="K7063" s="8" t="s">
        <v>1168</v>
      </c>
      <c r="L7063" s="8" t="s">
        <v>30032</v>
      </c>
      <c r="M7063" s="8" t="s">
        <v>30033</v>
      </c>
      <c r="N7063" s="8" t="s">
        <v>31350</v>
      </c>
      <c r="O7063" s="8">
        <f>21+23/60+27.4/3600</f>
        <v>21.390944444444443</v>
      </c>
      <c r="P7063" s="8" t="s">
        <v>31351</v>
      </c>
      <c r="Q7063" s="8">
        <f>+(46+22/60+43/3600)</f>
        <v>46.378611111111113</v>
      </c>
      <c r="R7063" s="8">
        <v>8.3000000000000007</v>
      </c>
      <c r="S7063" s="8">
        <v>99</v>
      </c>
      <c r="T7063" s="8">
        <v>99</v>
      </c>
      <c r="U7063" s="8">
        <v>99</v>
      </c>
      <c r="V7063" s="8">
        <v>5</v>
      </c>
      <c r="Y7063" s="8" t="s">
        <v>31352</v>
      </c>
      <c r="Z7063" s="8" t="s">
        <v>31353</v>
      </c>
    </row>
    <row r="7064" spans="1:26" x14ac:dyDescent="0.2">
      <c r="A7064" s="8">
        <v>7063</v>
      </c>
      <c r="B7064" s="8" t="s">
        <v>31354</v>
      </c>
      <c r="C7064" s="8" t="s">
        <v>31354</v>
      </c>
      <c r="F7064" s="47"/>
      <c r="G7064" s="8">
        <v>8</v>
      </c>
      <c r="H7064" s="8" t="s">
        <v>21</v>
      </c>
      <c r="I7064" s="8" t="s">
        <v>557</v>
      </c>
      <c r="J7064" s="8" t="s">
        <v>557</v>
      </c>
      <c r="K7064" s="8" t="s">
        <v>987</v>
      </c>
      <c r="L7064" s="8" t="s">
        <v>30032</v>
      </c>
      <c r="M7064" s="8" t="s">
        <v>30033</v>
      </c>
      <c r="N7064" s="8" t="s">
        <v>31355</v>
      </c>
      <c r="O7064" s="8">
        <f>21+24/60+22/3600</f>
        <v>21.406111111111109</v>
      </c>
      <c r="P7064" s="8" t="s">
        <v>31356</v>
      </c>
      <c r="Q7064" s="8">
        <f>+(36+29/60+12/3600)</f>
        <v>36.486666666666665</v>
      </c>
      <c r="R7064" s="8">
        <v>7</v>
      </c>
      <c r="S7064" s="8">
        <v>99</v>
      </c>
      <c r="T7064" s="8">
        <v>99</v>
      </c>
      <c r="U7064" s="8">
        <v>99</v>
      </c>
      <c r="V7064" s="8">
        <v>9</v>
      </c>
      <c r="Y7064" s="8" t="s">
        <v>31357</v>
      </c>
      <c r="Z7064" s="8" t="s">
        <v>31358</v>
      </c>
    </row>
    <row r="7065" spans="1:26" x14ac:dyDescent="0.2">
      <c r="A7065" s="8">
        <v>7064</v>
      </c>
      <c r="B7065" s="8" t="s">
        <v>31359</v>
      </c>
      <c r="C7065" s="8" t="s">
        <v>31359</v>
      </c>
      <c r="F7065" s="47"/>
      <c r="G7065" s="8">
        <v>13</v>
      </c>
      <c r="H7065" s="8" t="s">
        <v>21</v>
      </c>
      <c r="I7065" s="8" t="s">
        <v>22</v>
      </c>
      <c r="J7065" s="8" t="s">
        <v>22</v>
      </c>
      <c r="K7065" s="8" t="s">
        <v>64</v>
      </c>
      <c r="L7065" s="8" t="s">
        <v>30731</v>
      </c>
      <c r="M7065" s="8" t="s">
        <v>30732</v>
      </c>
      <c r="N7065" s="8" t="s">
        <v>31360</v>
      </c>
      <c r="O7065" s="8">
        <f>21+29/60+3.2/3600</f>
        <v>21.484222222222222</v>
      </c>
      <c r="P7065" s="8" t="s">
        <v>31361</v>
      </c>
      <c r="Q7065" s="8">
        <f>-(52+46/60+2/3600)</f>
        <v>-52.767222222222223</v>
      </c>
      <c r="R7065" s="8">
        <v>12.5</v>
      </c>
      <c r="S7065" s="8">
        <v>13.1</v>
      </c>
      <c r="T7065" s="8">
        <v>0.6</v>
      </c>
      <c r="U7065" s="8">
        <v>13.3</v>
      </c>
      <c r="V7065" s="8">
        <v>3.8</v>
      </c>
      <c r="W7065" s="8">
        <v>0.7</v>
      </c>
      <c r="X7065" s="8">
        <v>91</v>
      </c>
      <c r="Y7065" s="8" t="s">
        <v>31362</v>
      </c>
      <c r="Z7065" s="8" t="s">
        <v>31363</v>
      </c>
    </row>
    <row r="7066" spans="1:26" x14ac:dyDescent="0.2">
      <c r="A7066" s="8">
        <v>7065</v>
      </c>
      <c r="B7066" s="8" t="s">
        <v>31364</v>
      </c>
      <c r="C7066" s="8" t="s">
        <v>31364</v>
      </c>
      <c r="F7066" s="47"/>
      <c r="G7066" s="8">
        <v>18</v>
      </c>
      <c r="H7066" s="8" t="s">
        <v>21</v>
      </c>
      <c r="I7066" s="8" t="s">
        <v>22</v>
      </c>
      <c r="J7066" s="8" t="s">
        <v>22</v>
      </c>
      <c r="K7066" s="8" t="s">
        <v>406</v>
      </c>
      <c r="L7066" s="8" t="s">
        <v>30854</v>
      </c>
      <c r="M7066" s="8" t="s">
        <v>30855</v>
      </c>
      <c r="N7066" s="8" t="s">
        <v>31365</v>
      </c>
      <c r="O7066" s="8">
        <f>21+26/60+42.2/3600</f>
        <v>21.445055555555555</v>
      </c>
      <c r="P7066" s="8" t="s">
        <v>31366</v>
      </c>
      <c r="Q7066" s="8">
        <f>-(6+59/60+41/3600)</f>
        <v>-6.9947222222222223</v>
      </c>
      <c r="R7066" s="8">
        <v>13.4</v>
      </c>
      <c r="S7066" s="8">
        <v>14.2</v>
      </c>
      <c r="T7066" s="8">
        <v>0.8</v>
      </c>
      <c r="U7066" s="8">
        <v>13</v>
      </c>
      <c r="V7066" s="8">
        <v>1.1000000000000001</v>
      </c>
      <c r="W7066" s="8">
        <v>0.9</v>
      </c>
      <c r="X7066" s="8">
        <v>25</v>
      </c>
      <c r="Y7066" s="8" t="s">
        <v>31367</v>
      </c>
      <c r="Z7066" s="8" t="s">
        <v>31368</v>
      </c>
    </row>
    <row r="7067" spans="1:26" x14ac:dyDescent="0.2">
      <c r="A7067" s="8">
        <v>7066</v>
      </c>
      <c r="B7067" s="8" t="s">
        <v>31369</v>
      </c>
      <c r="C7067" s="8" t="s">
        <v>31369</v>
      </c>
      <c r="F7067" s="47"/>
      <c r="G7067" s="8">
        <v>19</v>
      </c>
      <c r="H7067" s="8" t="s">
        <v>21</v>
      </c>
      <c r="I7067" s="8" t="s">
        <v>22</v>
      </c>
      <c r="J7067" s="8" t="s">
        <v>22</v>
      </c>
      <c r="K7067" s="8" t="s">
        <v>23</v>
      </c>
      <c r="L7067" s="8" t="s">
        <v>24</v>
      </c>
      <c r="M7067" s="8" t="s">
        <v>25</v>
      </c>
      <c r="N7067" s="8" t="s">
        <v>31370</v>
      </c>
      <c r="O7067" s="8">
        <f>21+26/60+13.7/3600</f>
        <v>21.437138888888889</v>
      </c>
      <c r="P7067" s="8" t="s">
        <v>31371</v>
      </c>
      <c r="Q7067" s="8">
        <f>+(14+10/60+59/3600)</f>
        <v>14.183055555555555</v>
      </c>
      <c r="R7067" s="8">
        <v>14.2</v>
      </c>
      <c r="S7067" s="8">
        <v>15</v>
      </c>
      <c r="T7067" s="8">
        <v>0.8</v>
      </c>
      <c r="U7067" s="8">
        <v>13.8</v>
      </c>
      <c r="V7067" s="8">
        <v>0.9</v>
      </c>
      <c r="W7067" s="8">
        <v>0.9</v>
      </c>
      <c r="Y7067" s="8" t="s">
        <v>31372</v>
      </c>
      <c r="Z7067" s="8" t="s">
        <v>31373</v>
      </c>
    </row>
    <row r="7068" spans="1:26" x14ac:dyDescent="0.2">
      <c r="A7068" s="8">
        <v>7067</v>
      </c>
      <c r="B7068" s="8" t="s">
        <v>31374</v>
      </c>
      <c r="C7068" s="8" t="s">
        <v>31374</v>
      </c>
      <c r="F7068" s="47" t="s">
        <v>58295</v>
      </c>
      <c r="G7068" s="8">
        <v>6.5</v>
      </c>
      <c r="H7068" s="8" t="s">
        <v>21</v>
      </c>
      <c r="I7068" s="8" t="s">
        <v>557</v>
      </c>
      <c r="J7068" s="8" t="s">
        <v>557</v>
      </c>
      <c r="K7068" s="8" t="s">
        <v>558</v>
      </c>
      <c r="L7068" s="8" t="s">
        <v>30032</v>
      </c>
      <c r="M7068" s="8" t="s">
        <v>30033</v>
      </c>
      <c r="N7068" s="8" t="s">
        <v>31375</v>
      </c>
      <c r="O7068" s="8">
        <f>21+24/60+12.3/3600</f>
        <v>21.403416666666665</v>
      </c>
      <c r="P7068" s="8" t="s">
        <v>31376</v>
      </c>
      <c r="Q7068" s="8">
        <f>+(48+0/60+41/3600)</f>
        <v>48.011388888888888</v>
      </c>
      <c r="R7068" s="8">
        <v>9.6999999999999993</v>
      </c>
      <c r="S7068" s="8">
        <v>99</v>
      </c>
      <c r="T7068" s="8">
        <v>99</v>
      </c>
      <c r="U7068" s="8">
        <v>99</v>
      </c>
      <c r="V7068" s="8">
        <v>3</v>
      </c>
      <c r="Y7068" s="8" t="s">
        <v>31377</v>
      </c>
      <c r="Z7068" s="8" t="s">
        <v>31378</v>
      </c>
    </row>
    <row r="7069" spans="1:26" x14ac:dyDescent="0.2">
      <c r="A7069" s="8">
        <v>7068</v>
      </c>
      <c r="B7069" s="8" t="s">
        <v>31379</v>
      </c>
      <c r="C7069" s="8" t="s">
        <v>31379</v>
      </c>
      <c r="F7069" s="47"/>
      <c r="G7069" s="8">
        <v>18</v>
      </c>
      <c r="H7069" s="8" t="s">
        <v>21</v>
      </c>
      <c r="I7069" s="8" t="s">
        <v>22</v>
      </c>
      <c r="J7069" s="8" t="s">
        <v>22</v>
      </c>
      <c r="K7069" s="8" t="s">
        <v>476</v>
      </c>
      <c r="L7069" s="8" t="s">
        <v>24</v>
      </c>
      <c r="M7069" s="8" t="s">
        <v>25</v>
      </c>
      <c r="N7069" s="8" t="s">
        <v>31380</v>
      </c>
      <c r="O7069" s="8">
        <f>21+26/60+32.3/3600</f>
        <v>21.442305555555556</v>
      </c>
      <c r="P7069" s="8" t="s">
        <v>31381</v>
      </c>
      <c r="Q7069" s="8">
        <f>+(12+11/60+4/3600)</f>
        <v>12.184444444444445</v>
      </c>
      <c r="R7069" s="8">
        <v>14</v>
      </c>
      <c r="S7069" s="8">
        <v>14.9</v>
      </c>
      <c r="T7069" s="8">
        <v>0.9</v>
      </c>
      <c r="U7069" s="8">
        <v>12.2</v>
      </c>
      <c r="V7069" s="8">
        <v>0.7</v>
      </c>
      <c r="W7069" s="8">
        <v>0.3</v>
      </c>
      <c r="X7069" s="8">
        <v>165</v>
      </c>
      <c r="Y7069" s="8" t="s">
        <v>31382</v>
      </c>
      <c r="Z7069" s="8" t="s">
        <v>31383</v>
      </c>
    </row>
    <row r="7070" spans="1:26" x14ac:dyDescent="0.2">
      <c r="A7070" s="8">
        <v>7069</v>
      </c>
      <c r="B7070" s="8" t="s">
        <v>31384</v>
      </c>
      <c r="C7070" s="8" t="s">
        <v>31384</v>
      </c>
      <c r="F7070" s="47"/>
      <c r="G7070" s="8">
        <v>18</v>
      </c>
      <c r="H7070" s="8" t="s">
        <v>21</v>
      </c>
      <c r="I7070" s="8" t="s">
        <v>22</v>
      </c>
      <c r="J7070" s="8" t="s">
        <v>22</v>
      </c>
      <c r="K7070" s="8" t="s">
        <v>58</v>
      </c>
      <c r="L7070" s="8" t="s">
        <v>30854</v>
      </c>
      <c r="M7070" s="8" t="s">
        <v>30855</v>
      </c>
      <c r="N7070" s="8" t="s">
        <v>31385</v>
      </c>
      <c r="O7070" s="8">
        <f>21+28/60+5.8/3600</f>
        <v>21.468277777777775</v>
      </c>
      <c r="P7070" s="8" t="s">
        <v>31386</v>
      </c>
      <c r="Q7070" s="8">
        <f>-(1+38/60+47/3600)</f>
        <v>-1.6463888888888889</v>
      </c>
      <c r="R7070" s="8">
        <v>13.4</v>
      </c>
      <c r="S7070" s="8">
        <v>14.4</v>
      </c>
      <c r="T7070" s="8">
        <v>1</v>
      </c>
      <c r="U7070" s="8">
        <v>13.4</v>
      </c>
      <c r="V7070" s="8">
        <v>1.3</v>
      </c>
      <c r="W7070" s="8">
        <v>0.8</v>
      </c>
      <c r="X7070" s="8">
        <v>20</v>
      </c>
      <c r="Y7070" s="8" t="s">
        <v>22393</v>
      </c>
      <c r="Z7070" s="8" t="s">
        <v>31387</v>
      </c>
    </row>
    <row r="7071" spans="1:26" x14ac:dyDescent="0.2">
      <c r="A7071" s="8">
        <v>7070</v>
      </c>
      <c r="B7071" s="8" t="s">
        <v>31388</v>
      </c>
      <c r="C7071" s="8" t="s">
        <v>31388</v>
      </c>
      <c r="F7071" s="47"/>
      <c r="G7071" s="8">
        <v>13</v>
      </c>
      <c r="H7071" s="8" t="s">
        <v>21</v>
      </c>
      <c r="I7071" s="8" t="s">
        <v>22</v>
      </c>
      <c r="J7071" s="8" t="s">
        <v>22</v>
      </c>
      <c r="K7071" s="8" t="s">
        <v>64</v>
      </c>
      <c r="L7071" s="8" t="s">
        <v>31389</v>
      </c>
      <c r="M7071" s="8" t="s">
        <v>31390</v>
      </c>
      <c r="N7071" s="8" t="s">
        <v>31391</v>
      </c>
      <c r="O7071" s="8">
        <f>21+30/60+25.2/3600</f>
        <v>21.507000000000001</v>
      </c>
      <c r="P7071" s="8" t="s">
        <v>31392</v>
      </c>
      <c r="Q7071" s="8">
        <f>-(43+5/60+12/3600)</f>
        <v>-43.086666666666666</v>
      </c>
      <c r="R7071" s="8">
        <v>12.3</v>
      </c>
      <c r="S7071" s="8">
        <v>12.8</v>
      </c>
      <c r="T7071" s="8">
        <v>0.5</v>
      </c>
      <c r="U7071" s="8">
        <v>13.7</v>
      </c>
      <c r="V7071" s="8">
        <v>2.4</v>
      </c>
      <c r="W7071" s="8">
        <v>1.9</v>
      </c>
      <c r="X7071" s="8">
        <v>22</v>
      </c>
      <c r="Y7071" s="8" t="s">
        <v>31393</v>
      </c>
      <c r="Z7071" s="8" t="s">
        <v>31394</v>
      </c>
    </row>
    <row r="7072" spans="1:26" x14ac:dyDescent="0.2">
      <c r="A7072" s="8">
        <v>7071</v>
      </c>
      <c r="B7072" s="8" t="s">
        <v>31395</v>
      </c>
      <c r="C7072" s="8" t="s">
        <v>31395</v>
      </c>
      <c r="F7072" s="47"/>
      <c r="G7072" s="8">
        <v>16</v>
      </c>
      <c r="H7072" s="8" t="s">
        <v>21</v>
      </c>
      <c r="I7072" s="8" t="s">
        <v>72</v>
      </c>
      <c r="J7072" s="8" t="s">
        <v>72</v>
      </c>
      <c r="K7072" s="8" t="s">
        <v>1405</v>
      </c>
      <c r="L7072" s="8" t="s">
        <v>30032</v>
      </c>
      <c r="M7072" s="8" t="s">
        <v>30033</v>
      </c>
      <c r="N7072" s="8" t="s">
        <v>31396</v>
      </c>
      <c r="O7072" s="8">
        <f>21+26/60+40/3600</f>
        <v>21.444444444444446</v>
      </c>
      <c r="P7072" s="8" t="s">
        <v>31397</v>
      </c>
      <c r="Q7072" s="8">
        <f>+(47+55/60+22/3600)</f>
        <v>47.922777777777775</v>
      </c>
      <c r="R7072" s="8">
        <v>99</v>
      </c>
      <c r="S7072" s="8">
        <v>99</v>
      </c>
      <c r="T7072" s="8">
        <v>99</v>
      </c>
      <c r="U7072" s="8">
        <v>99</v>
      </c>
      <c r="V7072" s="8">
        <v>4</v>
      </c>
      <c r="Y7072" s="8" t="s">
        <v>31398</v>
      </c>
      <c r="Z7072" s="8" t="s">
        <v>31399</v>
      </c>
    </row>
    <row r="7073" spans="1:26" x14ac:dyDescent="0.2">
      <c r="A7073" s="8">
        <v>7072</v>
      </c>
      <c r="B7073" s="8" t="s">
        <v>31400</v>
      </c>
      <c r="C7073" s="8" t="s">
        <v>31400</v>
      </c>
      <c r="F7073" s="47"/>
      <c r="G7073" s="8">
        <v>16</v>
      </c>
      <c r="H7073" s="8" t="s">
        <v>21</v>
      </c>
      <c r="I7073" s="8" t="s">
        <v>22</v>
      </c>
      <c r="J7073" s="8" t="s">
        <v>22</v>
      </c>
      <c r="K7073" s="8" t="s">
        <v>1277</v>
      </c>
      <c r="L7073" s="8" t="s">
        <v>31389</v>
      </c>
      <c r="M7073" s="8" t="s">
        <v>31390</v>
      </c>
      <c r="N7073" s="8" t="s">
        <v>31401</v>
      </c>
      <c r="O7073" s="8">
        <f>21+30/60+37/3600</f>
        <v>21.510277777777777</v>
      </c>
      <c r="P7073" s="8" t="s">
        <v>31402</v>
      </c>
      <c r="Q7073" s="8">
        <f>-(43+9/60+9/3600)</f>
        <v>-43.152499999999996</v>
      </c>
      <c r="R7073" s="8">
        <v>13.5</v>
      </c>
      <c r="S7073" s="8">
        <v>14.2</v>
      </c>
      <c r="T7073" s="8">
        <v>0.7</v>
      </c>
      <c r="U7073" s="8">
        <v>12.8</v>
      </c>
      <c r="V7073" s="8">
        <v>0.9</v>
      </c>
      <c r="W7073" s="8">
        <v>0.7</v>
      </c>
      <c r="X7073" s="8">
        <v>90</v>
      </c>
      <c r="Y7073" s="8" t="s">
        <v>31403</v>
      </c>
      <c r="Z7073" s="8" t="s">
        <v>31404</v>
      </c>
    </row>
    <row r="7074" spans="1:26" x14ac:dyDescent="0.2">
      <c r="A7074" s="8">
        <v>7073</v>
      </c>
      <c r="B7074" s="8" t="s">
        <v>31405</v>
      </c>
      <c r="C7074" s="8" t="s">
        <v>31405</v>
      </c>
      <c r="F7074" s="47"/>
      <c r="G7074" s="8">
        <v>18</v>
      </c>
      <c r="H7074" s="8" t="s">
        <v>21</v>
      </c>
      <c r="I7074" s="8" t="s">
        <v>22</v>
      </c>
      <c r="J7074" s="8" t="s">
        <v>22</v>
      </c>
      <c r="K7074" s="8" t="s">
        <v>396</v>
      </c>
      <c r="L7074" s="8" t="s">
        <v>30635</v>
      </c>
      <c r="M7074" s="8" t="s">
        <v>30636</v>
      </c>
      <c r="N7074" s="8" t="s">
        <v>31406</v>
      </c>
      <c r="O7074" s="8">
        <f>21+29/60+26/3600</f>
        <v>21.490555555555556</v>
      </c>
      <c r="P7074" s="8" t="s">
        <v>31407</v>
      </c>
      <c r="Q7074" s="8">
        <f>-(11+29/60+19/3600)</f>
        <v>-11.48861111111111</v>
      </c>
      <c r="R7074" s="8">
        <v>13.5</v>
      </c>
      <c r="S7074" s="8">
        <v>14.3</v>
      </c>
      <c r="T7074" s="8">
        <v>0.8</v>
      </c>
      <c r="U7074" s="8">
        <v>13</v>
      </c>
      <c r="V7074" s="8">
        <v>0.9</v>
      </c>
      <c r="W7074" s="8">
        <v>0.8</v>
      </c>
      <c r="Y7074" s="8" t="s">
        <v>755</v>
      </c>
      <c r="Z7074" s="8" t="s">
        <v>756</v>
      </c>
    </row>
    <row r="7075" spans="1:26" x14ac:dyDescent="0.2">
      <c r="A7075" s="8">
        <v>7074</v>
      </c>
      <c r="B7075" s="8" t="s">
        <v>31408</v>
      </c>
      <c r="C7075" s="8" t="s">
        <v>31408</v>
      </c>
      <c r="F7075" s="47"/>
      <c r="G7075" s="8">
        <v>18</v>
      </c>
      <c r="H7075" s="8" t="s">
        <v>21</v>
      </c>
      <c r="I7075" s="8" t="s">
        <v>22</v>
      </c>
      <c r="J7075" s="8" t="s">
        <v>22</v>
      </c>
      <c r="K7075" s="8" t="s">
        <v>424</v>
      </c>
      <c r="L7075" s="8" t="s">
        <v>24</v>
      </c>
      <c r="M7075" s="8" t="s">
        <v>25</v>
      </c>
      <c r="N7075" s="8" t="s">
        <v>31409</v>
      </c>
      <c r="O7075" s="8">
        <f>21+29/60+38.8/3600</f>
        <v>21.494111111111113</v>
      </c>
      <c r="P7075" s="8" t="s">
        <v>31410</v>
      </c>
      <c r="Q7075" s="8">
        <f>+(6+40/60+56/3600)</f>
        <v>6.6822222222222223</v>
      </c>
      <c r="R7075" s="8">
        <v>14</v>
      </c>
      <c r="S7075" s="8">
        <v>15</v>
      </c>
      <c r="T7075" s="8">
        <v>1</v>
      </c>
      <c r="U7075" s="8">
        <v>12.2</v>
      </c>
      <c r="V7075" s="8">
        <v>0.7</v>
      </c>
      <c r="W7075" s="8">
        <v>0.3</v>
      </c>
      <c r="X7075" s="8">
        <v>111</v>
      </c>
      <c r="Y7075" s="8" t="s">
        <v>307</v>
      </c>
      <c r="Z7075" s="8" t="s">
        <v>308</v>
      </c>
    </row>
    <row r="7076" spans="1:26" x14ac:dyDescent="0.2">
      <c r="A7076" s="8">
        <v>7075</v>
      </c>
      <c r="B7076" s="8" t="s">
        <v>31411</v>
      </c>
      <c r="C7076" s="8" t="s">
        <v>31411</v>
      </c>
      <c r="F7076" s="47"/>
      <c r="G7076" s="8">
        <v>16</v>
      </c>
      <c r="H7076" s="8" t="s">
        <v>21</v>
      </c>
      <c r="I7076" s="8" t="s">
        <v>22</v>
      </c>
      <c r="J7076" s="8" t="s">
        <v>22</v>
      </c>
      <c r="K7076" s="8" t="s">
        <v>382</v>
      </c>
      <c r="L7076" s="8" t="s">
        <v>31389</v>
      </c>
      <c r="M7076" s="8" t="s">
        <v>31390</v>
      </c>
      <c r="N7076" s="8" t="s">
        <v>31412</v>
      </c>
      <c r="O7076" s="8">
        <f>21+31/60+32.9/3600</f>
        <v>21.525805555555554</v>
      </c>
      <c r="P7076" s="8" t="s">
        <v>31413</v>
      </c>
      <c r="Q7076" s="8">
        <f>-(38+37/60+5/3600)</f>
        <v>-38.618055555555557</v>
      </c>
      <c r="R7076" s="8">
        <v>12.7</v>
      </c>
      <c r="S7076" s="8">
        <v>13.8</v>
      </c>
      <c r="T7076" s="8">
        <v>1.1000000000000001</v>
      </c>
      <c r="U7076" s="8">
        <v>12.6</v>
      </c>
      <c r="V7076" s="8">
        <v>1.2</v>
      </c>
      <c r="W7076" s="8">
        <v>0.9</v>
      </c>
      <c r="X7076" s="8">
        <v>116</v>
      </c>
      <c r="Y7076" s="8" t="s">
        <v>31414</v>
      </c>
      <c r="Z7076" s="8" t="s">
        <v>31415</v>
      </c>
    </row>
    <row r="7077" spans="1:26" x14ac:dyDescent="0.2">
      <c r="A7077" s="8">
        <v>7076</v>
      </c>
      <c r="B7077" s="8" t="s">
        <v>31416</v>
      </c>
      <c r="C7077" s="8" t="s">
        <v>31416</v>
      </c>
      <c r="F7077" s="47" t="s">
        <v>58296</v>
      </c>
      <c r="G7077" s="8">
        <v>15</v>
      </c>
      <c r="H7077" s="8" t="s">
        <v>21</v>
      </c>
      <c r="I7077" s="8" t="s">
        <v>241</v>
      </c>
      <c r="J7077" s="8" t="s">
        <v>241</v>
      </c>
      <c r="K7077" s="8" t="s">
        <v>241</v>
      </c>
      <c r="L7077" s="8" t="s">
        <v>242</v>
      </c>
      <c r="M7077" s="8" t="s">
        <v>243</v>
      </c>
      <c r="N7077" s="8" t="s">
        <v>31417</v>
      </c>
      <c r="O7077" s="8">
        <f>21+26/60+24.1/3600</f>
        <v>21.440027777777779</v>
      </c>
      <c r="P7077" s="8" t="s">
        <v>31418</v>
      </c>
      <c r="Q7077" s="8">
        <f>+(62+53/60+30/3600)</f>
        <v>62.891666666666666</v>
      </c>
      <c r="R7077" s="8">
        <v>13.5</v>
      </c>
      <c r="S7077" s="8">
        <v>14.5</v>
      </c>
      <c r="T7077" s="8">
        <v>99</v>
      </c>
      <c r="U7077" s="8">
        <v>99</v>
      </c>
      <c r="V7077" s="8">
        <v>0.93</v>
      </c>
      <c r="Y7077" s="8" t="s">
        <v>31419</v>
      </c>
      <c r="Z7077" s="8" t="s">
        <v>31420</v>
      </c>
    </row>
    <row r="7078" spans="1:26" x14ac:dyDescent="0.2">
      <c r="A7078" s="8">
        <v>7077</v>
      </c>
      <c r="B7078" s="8" t="s">
        <v>31421</v>
      </c>
      <c r="C7078" s="8" t="s">
        <v>31421</v>
      </c>
      <c r="F7078" s="47"/>
      <c r="G7078" s="8">
        <v>18</v>
      </c>
      <c r="H7078" s="8" t="s">
        <v>21</v>
      </c>
      <c r="I7078" s="8" t="s">
        <v>22</v>
      </c>
      <c r="J7078" s="8" t="s">
        <v>22</v>
      </c>
      <c r="K7078" s="8" t="s">
        <v>183</v>
      </c>
      <c r="L7078" s="8" t="s">
        <v>30854</v>
      </c>
      <c r="M7078" s="8" t="s">
        <v>30855</v>
      </c>
      <c r="N7078" s="8" t="s">
        <v>31422</v>
      </c>
      <c r="O7078" s="8">
        <f>21+29/60+59.5/3600</f>
        <v>21.499861111111112</v>
      </c>
      <c r="P7078" s="8" t="s">
        <v>31423</v>
      </c>
      <c r="Q7078" s="8">
        <f>+(2+24/60+53/3600)</f>
        <v>2.4147222222222222</v>
      </c>
      <c r="R7078" s="8">
        <v>13.1</v>
      </c>
      <c r="S7078" s="8">
        <v>14.1</v>
      </c>
      <c r="T7078" s="8">
        <v>1</v>
      </c>
      <c r="U7078" s="8">
        <v>12.4</v>
      </c>
      <c r="V7078" s="8">
        <v>0.8</v>
      </c>
      <c r="W7078" s="8">
        <v>0.7</v>
      </c>
      <c r="X7078" s="8">
        <v>37</v>
      </c>
      <c r="Y7078" s="8" t="s">
        <v>2802</v>
      </c>
      <c r="Z7078" s="8" t="s">
        <v>1021</v>
      </c>
    </row>
    <row r="7079" spans="1:26" x14ac:dyDescent="0.2">
      <c r="A7079" s="8">
        <v>7078</v>
      </c>
      <c r="B7079" s="8" t="s">
        <v>31424</v>
      </c>
      <c r="C7079" s="8" t="s">
        <v>55962</v>
      </c>
      <c r="F7079" s="47"/>
      <c r="G7079" s="8">
        <v>1</v>
      </c>
      <c r="H7079" s="8" t="s">
        <v>31425</v>
      </c>
      <c r="I7079" s="8" t="s">
        <v>567</v>
      </c>
      <c r="J7079" s="8" t="s">
        <v>567</v>
      </c>
      <c r="K7079" s="8" t="s">
        <v>25121</v>
      </c>
      <c r="L7079" s="8" t="s">
        <v>24</v>
      </c>
      <c r="M7079" s="8" t="s">
        <v>25</v>
      </c>
      <c r="N7079" s="8" t="s">
        <v>31426</v>
      </c>
      <c r="O7079" s="8">
        <f>21+29/60+58.3/3600</f>
        <v>21.499527777777779</v>
      </c>
      <c r="P7079" s="8" t="s">
        <v>31427</v>
      </c>
      <c r="Q7079" s="8">
        <f>+(12+10/60+3/3600)</f>
        <v>12.167499999999999</v>
      </c>
      <c r="R7079" s="8">
        <v>6.3</v>
      </c>
      <c r="S7079" s="8">
        <v>99</v>
      </c>
      <c r="T7079" s="8">
        <v>99</v>
      </c>
      <c r="U7079" s="8">
        <v>99</v>
      </c>
      <c r="V7079" s="8">
        <v>18</v>
      </c>
      <c r="Y7079" s="8" t="s">
        <v>31428</v>
      </c>
      <c r="Z7079" s="8" t="s">
        <v>31429</v>
      </c>
    </row>
    <row r="7080" spans="1:26" x14ac:dyDescent="0.2">
      <c r="A7080" s="8">
        <v>7079</v>
      </c>
      <c r="B7080" s="8" t="s">
        <v>31430</v>
      </c>
      <c r="C7080" s="8" t="s">
        <v>31430</v>
      </c>
      <c r="F7080" s="47"/>
      <c r="G7080" s="8">
        <v>13</v>
      </c>
      <c r="H7080" s="8" t="s">
        <v>21</v>
      </c>
      <c r="I7080" s="8" t="s">
        <v>22</v>
      </c>
      <c r="J7080" s="8" t="s">
        <v>22</v>
      </c>
      <c r="K7080" s="8" t="s">
        <v>224</v>
      </c>
      <c r="L7080" s="8" t="s">
        <v>31389</v>
      </c>
      <c r="M7080" s="8" t="s">
        <v>31390</v>
      </c>
      <c r="N7080" s="8" t="s">
        <v>31431</v>
      </c>
      <c r="O7080" s="8">
        <f>21+32/60+35/3600</f>
        <v>21.543055555555558</v>
      </c>
      <c r="P7080" s="8" t="s">
        <v>31432</v>
      </c>
      <c r="Q7080" s="8">
        <f>-(44+4/60+3/3600)</f>
        <v>-44.067500000000003</v>
      </c>
      <c r="R7080" s="8">
        <v>11.6</v>
      </c>
      <c r="S7080" s="8">
        <v>12.5</v>
      </c>
      <c r="T7080" s="8">
        <v>0.9</v>
      </c>
      <c r="U7080" s="8">
        <v>12.6</v>
      </c>
      <c r="V7080" s="8">
        <v>2</v>
      </c>
      <c r="W7080" s="8">
        <v>1.2</v>
      </c>
      <c r="X7080" s="8">
        <v>82</v>
      </c>
      <c r="Y7080" s="8" t="s">
        <v>31433</v>
      </c>
      <c r="Z7080" s="8" t="s">
        <v>31434</v>
      </c>
    </row>
    <row r="7081" spans="1:26" x14ac:dyDescent="0.2">
      <c r="A7081" s="8">
        <v>7080</v>
      </c>
      <c r="B7081" s="8" t="s">
        <v>31435</v>
      </c>
      <c r="C7081" s="8" t="s">
        <v>31435</v>
      </c>
      <c r="F7081" s="47"/>
      <c r="G7081" s="8">
        <v>18</v>
      </c>
      <c r="H7081" s="8" t="s">
        <v>21</v>
      </c>
      <c r="I7081" s="8" t="s">
        <v>22</v>
      </c>
      <c r="J7081" s="8" t="s">
        <v>22</v>
      </c>
      <c r="K7081" s="8" t="s">
        <v>218</v>
      </c>
      <c r="L7081" s="8" t="s">
        <v>30153</v>
      </c>
      <c r="M7081" s="8" t="s">
        <v>30154</v>
      </c>
      <c r="N7081" s="8" t="s">
        <v>31436</v>
      </c>
      <c r="O7081" s="8">
        <f>21+30/60+1.9/3600</f>
        <v>21.500527777777776</v>
      </c>
      <c r="P7081" s="8" t="s">
        <v>31437</v>
      </c>
      <c r="Q7081" s="8">
        <f>+(26+43/60+6/3600)</f>
        <v>26.71833333333333</v>
      </c>
      <c r="R7081" s="8">
        <v>12.3</v>
      </c>
      <c r="S7081" s="8">
        <v>13.1</v>
      </c>
      <c r="T7081" s="8">
        <v>0.8</v>
      </c>
      <c r="U7081" s="8">
        <v>13.4</v>
      </c>
      <c r="V7081" s="8">
        <v>1.8</v>
      </c>
      <c r="W7081" s="8">
        <v>1.7</v>
      </c>
      <c r="X7081" s="8">
        <v>50</v>
      </c>
      <c r="Y7081" s="8" t="s">
        <v>31318</v>
      </c>
      <c r="Z7081" s="8" t="s">
        <v>6794</v>
      </c>
    </row>
    <row r="7082" spans="1:26" x14ac:dyDescent="0.2">
      <c r="A7082" s="8">
        <v>7081</v>
      </c>
      <c r="B7082" s="8" t="s">
        <v>31438</v>
      </c>
      <c r="C7082" s="8" t="s">
        <v>31438</v>
      </c>
      <c r="F7082" s="47" t="s">
        <v>58297</v>
      </c>
      <c r="G7082" s="8">
        <v>15</v>
      </c>
      <c r="H7082" s="8" t="s">
        <v>21</v>
      </c>
      <c r="I7082" s="8" t="s">
        <v>22</v>
      </c>
      <c r="J7082" s="8" t="s">
        <v>22</v>
      </c>
      <c r="K7082" s="8" t="s">
        <v>23</v>
      </c>
      <c r="L7082" s="8" t="s">
        <v>30854</v>
      </c>
      <c r="M7082" s="8" t="s">
        <v>30855</v>
      </c>
      <c r="N7082" s="8" t="s">
        <v>31439</v>
      </c>
      <c r="O7082" s="8">
        <f>21+31/60+24.3/3600</f>
        <v>21.523416666666666</v>
      </c>
      <c r="P7082" s="8" t="s">
        <v>31440</v>
      </c>
      <c r="Q7082" s="8">
        <f>+(2+29/60+28/3600)</f>
        <v>2.4911111111111111</v>
      </c>
      <c r="R7082" s="8">
        <v>12.7</v>
      </c>
      <c r="S7082" s="8">
        <v>13.5</v>
      </c>
      <c r="T7082" s="8">
        <v>0.8</v>
      </c>
      <c r="U7082" s="8">
        <v>13.1</v>
      </c>
      <c r="V7082" s="8">
        <v>1.3</v>
      </c>
      <c r="W7082" s="8">
        <v>1.3</v>
      </c>
      <c r="Y7082" s="8" t="s">
        <v>31441</v>
      </c>
      <c r="Z7082" s="8" t="s">
        <v>31442</v>
      </c>
    </row>
    <row r="7083" spans="1:26" x14ac:dyDescent="0.2">
      <c r="A7083" s="8">
        <v>7082</v>
      </c>
      <c r="B7083" s="8" t="s">
        <v>31443</v>
      </c>
      <c r="C7083" s="8" t="s">
        <v>31443</v>
      </c>
      <c r="F7083" s="47" t="s">
        <v>58298</v>
      </c>
      <c r="G7083" s="8">
        <v>6.5</v>
      </c>
      <c r="H7083" s="8" t="s">
        <v>21</v>
      </c>
      <c r="I7083" s="8" t="s">
        <v>557</v>
      </c>
      <c r="J7083" s="8" t="s">
        <v>557</v>
      </c>
      <c r="K7083" s="8" t="s">
        <v>693</v>
      </c>
      <c r="L7083" s="8" t="s">
        <v>30032</v>
      </c>
      <c r="M7083" s="8" t="s">
        <v>30033</v>
      </c>
      <c r="N7083" s="8" t="s">
        <v>31444</v>
      </c>
      <c r="O7083" s="8">
        <f>21+29/60+17/3600</f>
        <v>21.488055555555558</v>
      </c>
      <c r="P7083" s="8" t="s">
        <v>31445</v>
      </c>
      <c r="Q7083" s="8">
        <f>+(47+7/60+36/3600)</f>
        <v>47.126666666666665</v>
      </c>
      <c r="R7083" s="8">
        <v>7.2</v>
      </c>
      <c r="S7083" s="8">
        <v>99</v>
      </c>
      <c r="T7083" s="8">
        <v>99</v>
      </c>
      <c r="U7083" s="8">
        <v>99</v>
      </c>
      <c r="V7083" s="8">
        <v>24</v>
      </c>
      <c r="Y7083" s="8" t="s">
        <v>31446</v>
      </c>
      <c r="Z7083" s="8" t="s">
        <v>31447</v>
      </c>
    </row>
    <row r="7084" spans="1:26" x14ac:dyDescent="0.2">
      <c r="A7084" s="8">
        <v>7083</v>
      </c>
      <c r="B7084" s="8" t="s">
        <v>31448</v>
      </c>
      <c r="C7084" s="8" t="s">
        <v>31448</v>
      </c>
      <c r="F7084" s="47"/>
      <c r="G7084" s="8">
        <v>13</v>
      </c>
      <c r="H7084" s="8" t="s">
        <v>21</v>
      </c>
      <c r="I7084" s="8" t="s">
        <v>22</v>
      </c>
      <c r="J7084" s="8" t="s">
        <v>22</v>
      </c>
      <c r="K7084" s="8" t="s">
        <v>396</v>
      </c>
      <c r="L7084" s="8" t="s">
        <v>30731</v>
      </c>
      <c r="M7084" s="8" t="s">
        <v>30732</v>
      </c>
      <c r="N7084" s="8" t="s">
        <v>31449</v>
      </c>
      <c r="O7084" s="8">
        <f>21+35/60+44.6/3600</f>
        <v>21.595722222222221</v>
      </c>
      <c r="P7084" s="8" t="s">
        <v>31450</v>
      </c>
      <c r="Q7084" s="8">
        <f>-(63+54/60+12/3600)</f>
        <v>-63.903333333333329</v>
      </c>
      <c r="R7084" s="8">
        <v>11.2</v>
      </c>
      <c r="S7084" s="8">
        <v>11.9</v>
      </c>
      <c r="T7084" s="8">
        <v>0.7</v>
      </c>
      <c r="U7084" s="8">
        <v>13.5</v>
      </c>
      <c r="V7084" s="8">
        <v>3.9</v>
      </c>
      <c r="W7084" s="8">
        <v>2.2999999999999998</v>
      </c>
      <c r="X7084" s="8">
        <v>5</v>
      </c>
      <c r="Y7084" s="8" t="s">
        <v>31451</v>
      </c>
      <c r="Z7084" s="8" t="s">
        <v>31452</v>
      </c>
    </row>
    <row r="7085" spans="1:26" x14ac:dyDescent="0.2">
      <c r="A7085" s="8">
        <v>7084</v>
      </c>
      <c r="B7085" s="8" t="s">
        <v>31453</v>
      </c>
      <c r="C7085" s="8" t="s">
        <v>31453</v>
      </c>
      <c r="F7085" s="47"/>
      <c r="G7085" s="8">
        <v>16</v>
      </c>
      <c r="H7085" s="8" t="s">
        <v>21</v>
      </c>
      <c r="I7085" s="8" t="s">
        <v>72</v>
      </c>
      <c r="J7085" s="8" t="s">
        <v>72</v>
      </c>
      <c r="K7085" s="8" t="s">
        <v>1405</v>
      </c>
      <c r="L7085" s="8" t="s">
        <v>24</v>
      </c>
      <c r="M7085" s="8" t="s">
        <v>25</v>
      </c>
      <c r="N7085" s="8" t="s">
        <v>31454</v>
      </c>
      <c r="O7085" s="8">
        <f>21+32/60+33/3600</f>
        <v>21.5425</v>
      </c>
      <c r="P7085" s="8" t="s">
        <v>31455</v>
      </c>
      <c r="Q7085" s="8">
        <f>+(17+30/60+30/3600)</f>
        <v>17.508333333333333</v>
      </c>
      <c r="R7085" s="8">
        <v>99</v>
      </c>
      <c r="S7085" s="8">
        <v>99</v>
      </c>
      <c r="T7085" s="8">
        <v>99</v>
      </c>
      <c r="U7085" s="8">
        <v>99</v>
      </c>
      <c r="V7085" s="8">
        <v>18</v>
      </c>
      <c r="Y7085" s="8" t="s">
        <v>10878</v>
      </c>
      <c r="Z7085" s="8" t="s">
        <v>10879</v>
      </c>
    </row>
    <row r="7086" spans="1:26" x14ac:dyDescent="0.2">
      <c r="A7086" s="8">
        <v>7085</v>
      </c>
      <c r="B7086" s="8" t="s">
        <v>31456</v>
      </c>
      <c r="C7086" s="8" t="s">
        <v>31456</v>
      </c>
      <c r="F7086" s="47"/>
      <c r="G7086" s="8">
        <v>18</v>
      </c>
      <c r="H7086" s="8" t="s">
        <v>21</v>
      </c>
      <c r="I7086" s="8" t="s">
        <v>22</v>
      </c>
      <c r="J7086" s="8" t="s">
        <v>22</v>
      </c>
      <c r="K7086" s="8" t="s">
        <v>23</v>
      </c>
      <c r="L7086" s="8" t="s">
        <v>24</v>
      </c>
      <c r="M7086" s="8" t="s">
        <v>25</v>
      </c>
      <c r="N7086" s="8" t="s">
        <v>31457</v>
      </c>
      <c r="O7086" s="8">
        <f>21+32/60+25.1/3600</f>
        <v>21.540305555555559</v>
      </c>
      <c r="P7086" s="8" t="s">
        <v>31458</v>
      </c>
      <c r="Q7086" s="8">
        <f>+(6+34/60+54/3600)</f>
        <v>6.5816666666666661</v>
      </c>
      <c r="R7086" s="8">
        <v>14.5</v>
      </c>
      <c r="S7086" s="8">
        <v>15.3</v>
      </c>
      <c r="T7086" s="8">
        <v>0.8</v>
      </c>
      <c r="U7086" s="8">
        <v>14.2</v>
      </c>
      <c r="V7086" s="8">
        <v>1.2</v>
      </c>
      <c r="W7086" s="8">
        <v>0.7</v>
      </c>
      <c r="X7086" s="8">
        <v>147</v>
      </c>
      <c r="Y7086" s="8" t="s">
        <v>905</v>
      </c>
      <c r="Z7086" s="8" t="s">
        <v>906</v>
      </c>
    </row>
    <row r="7087" spans="1:26" x14ac:dyDescent="0.2">
      <c r="A7087" s="8">
        <v>7086</v>
      </c>
      <c r="B7087" s="8" t="s">
        <v>31459</v>
      </c>
      <c r="C7087" s="8" t="s">
        <v>31459</v>
      </c>
      <c r="F7087" s="47" t="s">
        <v>58299</v>
      </c>
      <c r="G7087" s="8">
        <v>6</v>
      </c>
      <c r="H7087" s="8" t="s">
        <v>21</v>
      </c>
      <c r="I7087" s="8" t="s">
        <v>557</v>
      </c>
      <c r="J7087" s="8" t="s">
        <v>557</v>
      </c>
      <c r="K7087" s="8" t="s">
        <v>2722</v>
      </c>
      <c r="L7087" s="8" t="s">
        <v>30032</v>
      </c>
      <c r="M7087" s="8" t="s">
        <v>30033</v>
      </c>
      <c r="N7087" s="8" t="s">
        <v>31460</v>
      </c>
      <c r="O7087" s="8">
        <f>21+30/60+27.5/3600</f>
        <v>21.507638888888888</v>
      </c>
      <c r="P7087" s="8" t="s">
        <v>31461</v>
      </c>
      <c r="Q7087" s="8">
        <f>+(51+36/60+2/3600)</f>
        <v>51.600555555555559</v>
      </c>
      <c r="R7087" s="8">
        <v>8.4</v>
      </c>
      <c r="S7087" s="8">
        <v>99</v>
      </c>
      <c r="T7087" s="8">
        <v>99</v>
      </c>
      <c r="U7087" s="8">
        <v>99</v>
      </c>
      <c r="V7087" s="8">
        <v>12</v>
      </c>
      <c r="Y7087" s="8" t="s">
        <v>31462</v>
      </c>
      <c r="Z7087" s="8" t="s">
        <v>31463</v>
      </c>
    </row>
    <row r="7088" spans="1:26" x14ac:dyDescent="0.2">
      <c r="A7088" s="8">
        <v>7087</v>
      </c>
      <c r="B7088" s="8" t="s">
        <v>31464</v>
      </c>
      <c r="C7088" s="8" t="s">
        <v>31464</v>
      </c>
      <c r="F7088" s="47"/>
      <c r="G7088" s="8">
        <v>16</v>
      </c>
      <c r="H7088" s="8" t="s">
        <v>21</v>
      </c>
      <c r="I7088" s="8" t="s">
        <v>22</v>
      </c>
      <c r="J7088" s="8" t="s">
        <v>22</v>
      </c>
      <c r="K7088" s="8" t="s">
        <v>31</v>
      </c>
      <c r="L7088" s="8" t="s">
        <v>31389</v>
      </c>
      <c r="M7088" s="8" t="s">
        <v>31390</v>
      </c>
      <c r="N7088" s="8" t="s">
        <v>31465</v>
      </c>
      <c r="O7088" s="8">
        <f>21+34/60+33.4/3600</f>
        <v>21.575944444444445</v>
      </c>
      <c r="P7088" s="8" t="s">
        <v>31466</v>
      </c>
      <c r="Q7088" s="8">
        <f>-(40+49/60+6/3600)</f>
        <v>-40.818333333333335</v>
      </c>
      <c r="R7088" s="8">
        <v>13</v>
      </c>
      <c r="S7088" s="8">
        <v>13.7</v>
      </c>
      <c r="T7088" s="8">
        <v>0.7</v>
      </c>
      <c r="U7088" s="8">
        <v>12.5</v>
      </c>
      <c r="V7088" s="8">
        <v>1.1000000000000001</v>
      </c>
      <c r="W7088" s="8">
        <v>0.6</v>
      </c>
      <c r="X7088" s="8">
        <v>39</v>
      </c>
      <c r="Y7088" s="8" t="s">
        <v>21248</v>
      </c>
      <c r="Z7088" s="8" t="s">
        <v>21249</v>
      </c>
    </row>
    <row r="7089" spans="1:26" x14ac:dyDescent="0.2">
      <c r="A7089" s="8">
        <v>7088</v>
      </c>
      <c r="B7089" s="8" t="s">
        <v>31467</v>
      </c>
      <c r="C7089" s="8" t="s">
        <v>31467</v>
      </c>
      <c r="F7089" s="47"/>
      <c r="G7089" s="8">
        <v>14</v>
      </c>
      <c r="H7089" s="8" t="s">
        <v>31468</v>
      </c>
      <c r="I7089" s="8" t="s">
        <v>329</v>
      </c>
      <c r="J7089" s="8" t="s">
        <v>329</v>
      </c>
      <c r="K7089" s="8" t="s">
        <v>329</v>
      </c>
      <c r="L7089" s="8" t="s">
        <v>30854</v>
      </c>
      <c r="M7089" s="8" t="s">
        <v>30855</v>
      </c>
      <c r="N7089" s="8" t="s">
        <v>31469</v>
      </c>
      <c r="O7089" s="8">
        <f>21+33/60+22/3600</f>
        <v>21.556111111111111</v>
      </c>
      <c r="P7089" s="8" t="s">
        <v>31470</v>
      </c>
      <c r="Q7089" s="8">
        <f>-(0+23/60+0/3600)</f>
        <v>-0.38333333333333336</v>
      </c>
      <c r="R7089" s="8">
        <v>99</v>
      </c>
      <c r="S7089" s="8">
        <v>99</v>
      </c>
      <c r="T7089" s="8">
        <v>99</v>
      </c>
      <c r="U7089" s="8">
        <v>99</v>
      </c>
      <c r="Y7089" s="8" t="s">
        <v>31471</v>
      </c>
      <c r="Z7089" s="8" t="s">
        <v>31472</v>
      </c>
    </row>
    <row r="7090" spans="1:26" x14ac:dyDescent="0.2">
      <c r="A7090" s="8">
        <v>7089</v>
      </c>
      <c r="B7090" s="8" t="s">
        <v>31473</v>
      </c>
      <c r="C7090" s="8" t="s">
        <v>55963</v>
      </c>
      <c r="F7090" s="47"/>
      <c r="G7090" s="8">
        <v>1</v>
      </c>
      <c r="H7090" s="8" t="s">
        <v>21</v>
      </c>
      <c r="I7090" s="8" t="s">
        <v>567</v>
      </c>
      <c r="J7090" s="8" t="s">
        <v>567</v>
      </c>
      <c r="K7090" s="8" t="s">
        <v>5894</v>
      </c>
      <c r="L7090" s="8" t="s">
        <v>30854</v>
      </c>
      <c r="M7090" s="8" t="s">
        <v>30855</v>
      </c>
      <c r="N7090" s="8" t="s">
        <v>31474</v>
      </c>
      <c r="O7090" s="8">
        <f>21+33/60+27.2/3600</f>
        <v>21.557555555555556</v>
      </c>
      <c r="P7090" s="8" t="s">
        <v>31475</v>
      </c>
      <c r="Q7090" s="8">
        <f>-(0+49/60+22/3600)</f>
        <v>-0.82277777777777772</v>
      </c>
      <c r="R7090" s="8">
        <v>6.6</v>
      </c>
      <c r="S7090" s="8">
        <v>99</v>
      </c>
      <c r="T7090" s="8">
        <v>99</v>
      </c>
      <c r="U7090" s="8">
        <v>99</v>
      </c>
      <c r="V7090" s="8">
        <v>16</v>
      </c>
      <c r="Y7090" s="8" t="s">
        <v>31476</v>
      </c>
      <c r="Z7090" s="8" t="s">
        <v>31477</v>
      </c>
    </row>
    <row r="7091" spans="1:26" x14ac:dyDescent="0.2">
      <c r="A7091" s="8">
        <v>7090</v>
      </c>
      <c r="B7091" s="8" t="s">
        <v>31478</v>
      </c>
      <c r="C7091" s="8" t="s">
        <v>31478</v>
      </c>
      <c r="F7091" s="47"/>
      <c r="G7091" s="8">
        <v>13</v>
      </c>
      <c r="H7091" s="8" t="s">
        <v>21</v>
      </c>
      <c r="I7091" s="8" t="s">
        <v>22</v>
      </c>
      <c r="J7091" s="8" t="s">
        <v>22</v>
      </c>
      <c r="K7091" s="8" t="s">
        <v>64</v>
      </c>
      <c r="L7091" s="8" t="s">
        <v>30731</v>
      </c>
      <c r="M7091" s="8" t="s">
        <v>30732</v>
      </c>
      <c r="N7091" s="8" t="s">
        <v>31479</v>
      </c>
      <c r="O7091" s="8">
        <f>21+36/60+27.7/3600</f>
        <v>21.607694444444444</v>
      </c>
      <c r="P7091" s="8" t="s">
        <v>31480</v>
      </c>
      <c r="Q7091" s="8">
        <f>-(54+33/60+18/3600)</f>
        <v>-54.555</v>
      </c>
      <c r="R7091" s="8">
        <v>10.7</v>
      </c>
      <c r="S7091" s="8">
        <v>11.3</v>
      </c>
      <c r="T7091" s="8">
        <v>0.6</v>
      </c>
      <c r="U7091" s="8">
        <v>13</v>
      </c>
      <c r="V7091" s="8">
        <v>7.3</v>
      </c>
      <c r="W7091" s="8">
        <v>1.2</v>
      </c>
      <c r="X7091" s="8">
        <v>127</v>
      </c>
      <c r="Y7091" s="8" t="s">
        <v>31481</v>
      </c>
      <c r="Z7091" s="8" t="s">
        <v>31482</v>
      </c>
    </row>
    <row r="7092" spans="1:26" x14ac:dyDescent="0.2">
      <c r="A7092" s="8">
        <v>7091</v>
      </c>
      <c r="B7092" s="8" t="s">
        <v>31483</v>
      </c>
      <c r="C7092" s="8" t="s">
        <v>31483</v>
      </c>
      <c r="F7092" s="47"/>
      <c r="G7092" s="8">
        <v>16</v>
      </c>
      <c r="H7092" s="8" t="s">
        <v>21</v>
      </c>
      <c r="I7092" s="8" t="s">
        <v>22</v>
      </c>
      <c r="J7092" s="8" t="s">
        <v>22</v>
      </c>
      <c r="K7092" s="8" t="s">
        <v>269</v>
      </c>
      <c r="L7092" s="8" t="s">
        <v>31389</v>
      </c>
      <c r="M7092" s="8" t="s">
        <v>31390</v>
      </c>
      <c r="N7092" s="8" t="s">
        <v>31484</v>
      </c>
      <c r="O7092" s="8">
        <f>21+34/60+7.7/3600</f>
        <v>21.568805555555556</v>
      </c>
      <c r="P7092" s="8" t="s">
        <v>31485</v>
      </c>
      <c r="Q7092" s="8">
        <f>-(36+39/60+14/3600)</f>
        <v>-36.653888888888886</v>
      </c>
      <c r="R7092" s="8">
        <v>12.6</v>
      </c>
      <c r="S7092" s="8">
        <v>13.2</v>
      </c>
      <c r="T7092" s="8">
        <v>0.6</v>
      </c>
      <c r="U7092" s="8">
        <v>13.9</v>
      </c>
      <c r="V7092" s="8">
        <v>2.1</v>
      </c>
      <c r="W7092" s="8">
        <v>1.7</v>
      </c>
      <c r="X7092" s="8">
        <v>78</v>
      </c>
      <c r="Y7092" s="8" t="s">
        <v>31486</v>
      </c>
      <c r="Z7092" s="8" t="s">
        <v>31487</v>
      </c>
    </row>
    <row r="7093" spans="1:26" x14ac:dyDescent="0.2">
      <c r="A7093" s="8">
        <v>7092</v>
      </c>
      <c r="B7093" s="8" t="s">
        <v>31488</v>
      </c>
      <c r="C7093" s="8" t="s">
        <v>55964</v>
      </c>
      <c r="F7093" s="47"/>
      <c r="G7093" s="8">
        <v>1</v>
      </c>
      <c r="H7093" s="8" t="s">
        <v>21</v>
      </c>
      <c r="I7093" s="8" t="s">
        <v>557</v>
      </c>
      <c r="J7093" s="8" t="s">
        <v>557</v>
      </c>
      <c r="K7093" s="8" t="s">
        <v>987</v>
      </c>
      <c r="L7093" s="8" t="s">
        <v>30032</v>
      </c>
      <c r="M7093" s="8" t="s">
        <v>30033</v>
      </c>
      <c r="N7093" s="8" t="s">
        <v>31489</v>
      </c>
      <c r="O7093" s="8">
        <f>21+31/60+52/3600</f>
        <v>21.531111111111109</v>
      </c>
      <c r="P7093" s="8" t="s">
        <v>31490</v>
      </c>
      <c r="Q7093" s="8">
        <f>+(48+25/60+30/3600)</f>
        <v>48.424999999999997</v>
      </c>
      <c r="R7093" s="8">
        <v>4.5999999999999996</v>
      </c>
      <c r="S7093" s="8">
        <v>99</v>
      </c>
      <c r="T7093" s="8">
        <v>99</v>
      </c>
      <c r="U7093" s="8">
        <v>99</v>
      </c>
      <c r="V7093" s="8">
        <v>31</v>
      </c>
      <c r="Y7093" s="8" t="s">
        <v>31491</v>
      </c>
      <c r="Z7093" s="8" t="s">
        <v>31492</v>
      </c>
    </row>
    <row r="7094" spans="1:26" x14ac:dyDescent="0.2">
      <c r="A7094" s="8">
        <v>7093</v>
      </c>
      <c r="B7094" s="8" t="s">
        <v>31493</v>
      </c>
      <c r="C7094" s="8" t="s">
        <v>31493</v>
      </c>
      <c r="F7094" s="47"/>
      <c r="G7094" s="8">
        <v>16</v>
      </c>
      <c r="H7094" s="8" t="s">
        <v>21</v>
      </c>
      <c r="I7094" s="8" t="s">
        <v>72</v>
      </c>
      <c r="J7094" s="8" t="s">
        <v>72</v>
      </c>
      <c r="K7094" s="8" t="s">
        <v>1405</v>
      </c>
      <c r="L7094" s="8" t="s">
        <v>30032</v>
      </c>
      <c r="M7094" s="8" t="s">
        <v>30033</v>
      </c>
      <c r="N7094" s="8" t="s">
        <v>31494</v>
      </c>
      <c r="O7094" s="8">
        <f>21+34/60+35.8/3600</f>
        <v>21.576611111111109</v>
      </c>
      <c r="P7094" s="8" t="s">
        <v>31495</v>
      </c>
      <c r="Q7094" s="8">
        <f>+(45+59/60+31/3600)</f>
        <v>45.991944444444442</v>
      </c>
      <c r="R7094" s="8">
        <v>99</v>
      </c>
      <c r="S7094" s="8">
        <v>99</v>
      </c>
      <c r="T7094" s="8">
        <v>99</v>
      </c>
      <c r="U7094" s="8">
        <v>99</v>
      </c>
      <c r="V7094" s="8">
        <v>6</v>
      </c>
      <c r="Y7094" s="8" t="s">
        <v>10888</v>
      </c>
      <c r="Z7094" s="8" t="s">
        <v>10889</v>
      </c>
    </row>
    <row r="7095" spans="1:26" x14ac:dyDescent="0.2">
      <c r="A7095" s="8">
        <v>7094</v>
      </c>
      <c r="B7095" s="8" t="s">
        <v>31496</v>
      </c>
      <c r="C7095" s="8" t="s">
        <v>31496</v>
      </c>
      <c r="F7095" s="47"/>
      <c r="G7095" s="8">
        <v>19</v>
      </c>
      <c r="H7095" s="8" t="s">
        <v>21</v>
      </c>
      <c r="I7095" s="8" t="s">
        <v>241</v>
      </c>
      <c r="J7095" s="8" t="s">
        <v>241</v>
      </c>
      <c r="K7095" s="8" t="s">
        <v>241</v>
      </c>
      <c r="L7095" s="8" t="s">
        <v>24</v>
      </c>
      <c r="M7095" s="8" t="s">
        <v>25</v>
      </c>
      <c r="N7095" s="8" t="s">
        <v>31497</v>
      </c>
      <c r="O7095" s="8">
        <f>21+36/60+53/3600</f>
        <v>21.614722222222223</v>
      </c>
      <c r="P7095" s="8" t="s">
        <v>31498</v>
      </c>
      <c r="Q7095" s="8">
        <f>+(12+47/60+22/3600)</f>
        <v>12.789444444444444</v>
      </c>
      <c r="R7095" s="8">
        <v>13.4</v>
      </c>
      <c r="S7095" s="8">
        <v>13.6</v>
      </c>
      <c r="T7095" s="8">
        <v>99</v>
      </c>
      <c r="U7095" s="8">
        <v>99</v>
      </c>
      <c r="V7095" s="8">
        <v>1.57</v>
      </c>
      <c r="Y7095" s="8" t="s">
        <v>31499</v>
      </c>
      <c r="Z7095" s="8" t="s">
        <v>31500</v>
      </c>
    </row>
    <row r="7096" spans="1:26" x14ac:dyDescent="0.2">
      <c r="A7096" s="8">
        <v>7095</v>
      </c>
      <c r="B7096" s="8" t="s">
        <v>31501</v>
      </c>
      <c r="C7096" s="8" t="s">
        <v>31501</v>
      </c>
      <c r="F7096" s="47"/>
      <c r="G7096" s="8">
        <v>16</v>
      </c>
      <c r="H7096" s="8" t="s">
        <v>21</v>
      </c>
      <c r="I7096" s="8" t="s">
        <v>22</v>
      </c>
      <c r="J7096" s="8" t="s">
        <v>22</v>
      </c>
      <c r="K7096" s="8" t="s">
        <v>160</v>
      </c>
      <c r="L7096" s="8" t="s">
        <v>11890</v>
      </c>
      <c r="M7096" s="8" t="s">
        <v>11891</v>
      </c>
      <c r="N7096" s="8" t="s">
        <v>31502</v>
      </c>
      <c r="O7096" s="8">
        <f>21+52/60+24.8/3600</f>
        <v>21.873555555555555</v>
      </c>
      <c r="P7096" s="8" t="s">
        <v>31503</v>
      </c>
      <c r="Q7096" s="8">
        <f>-(81+31/60+53/3600)</f>
        <v>-81.531388888888884</v>
      </c>
      <c r="R7096" s="8">
        <v>11.5</v>
      </c>
      <c r="S7096" s="8">
        <v>12.2</v>
      </c>
      <c r="T7096" s="8">
        <v>0.7</v>
      </c>
      <c r="U7096" s="8">
        <v>13.6</v>
      </c>
      <c r="V7096" s="8">
        <v>4</v>
      </c>
      <c r="W7096" s="8">
        <v>3.3</v>
      </c>
      <c r="Y7096" s="8" t="s">
        <v>31504</v>
      </c>
      <c r="Z7096" s="8" t="s">
        <v>31505</v>
      </c>
    </row>
    <row r="7097" spans="1:26" x14ac:dyDescent="0.2">
      <c r="A7097" s="8">
        <v>7096</v>
      </c>
      <c r="B7097" s="8" t="s">
        <v>31506</v>
      </c>
      <c r="C7097" s="8" t="s">
        <v>31506</v>
      </c>
      <c r="F7097" s="47"/>
      <c r="G7097" s="8">
        <v>13</v>
      </c>
      <c r="H7097" s="8" t="s">
        <v>21</v>
      </c>
      <c r="I7097" s="8" t="s">
        <v>22</v>
      </c>
      <c r="J7097" s="8" t="s">
        <v>22</v>
      </c>
      <c r="K7097" s="8" t="s">
        <v>91</v>
      </c>
      <c r="L7097" s="8" t="s">
        <v>30731</v>
      </c>
      <c r="M7097" s="8" t="s">
        <v>30732</v>
      </c>
      <c r="N7097" s="8" t="s">
        <v>31507</v>
      </c>
      <c r="O7097" s="8">
        <f>21+41/60+19.1/3600</f>
        <v>21.688638888888889</v>
      </c>
      <c r="P7097" s="8" t="s">
        <v>31508</v>
      </c>
      <c r="Q7097" s="8">
        <f>-(63+54/60+30/3600)</f>
        <v>-63.908333333333331</v>
      </c>
      <c r="R7097" s="8">
        <v>11.9</v>
      </c>
      <c r="S7097" s="8">
        <v>12.8</v>
      </c>
      <c r="T7097" s="8">
        <v>0.9</v>
      </c>
      <c r="U7097" s="8">
        <v>13</v>
      </c>
      <c r="V7097" s="8">
        <v>1.8</v>
      </c>
      <c r="W7097" s="8">
        <v>1.6</v>
      </c>
      <c r="X7097" s="8">
        <v>130</v>
      </c>
      <c r="Y7097" s="8" t="s">
        <v>31509</v>
      </c>
      <c r="Z7097" s="8" t="s">
        <v>31510</v>
      </c>
    </row>
    <row r="7098" spans="1:26" x14ac:dyDescent="0.2">
      <c r="A7098" s="8">
        <v>7097</v>
      </c>
      <c r="B7098" s="8" t="s">
        <v>31511</v>
      </c>
      <c r="C7098" s="8" t="s">
        <v>31511</v>
      </c>
      <c r="F7098" s="47"/>
      <c r="G7098" s="8">
        <v>13</v>
      </c>
      <c r="H7098" s="8" t="s">
        <v>21</v>
      </c>
      <c r="I7098" s="8" t="s">
        <v>22</v>
      </c>
      <c r="J7098" s="8" t="s">
        <v>22</v>
      </c>
      <c r="K7098" s="8" t="s">
        <v>1068</v>
      </c>
      <c r="L7098" s="8" t="s">
        <v>31389</v>
      </c>
      <c r="M7098" s="8" t="s">
        <v>31390</v>
      </c>
      <c r="N7098" s="8" t="s">
        <v>31512</v>
      </c>
      <c r="O7098" s="8">
        <f>21+40/60+12.8/3600</f>
        <v>21.670222222222222</v>
      </c>
      <c r="P7098" s="8" t="s">
        <v>31513</v>
      </c>
      <c r="Q7098" s="8">
        <f>-(42+32/60+21/3600)</f>
        <v>-42.539166666666667</v>
      </c>
      <c r="R7098" s="8">
        <v>11.7</v>
      </c>
      <c r="S7098" s="8">
        <v>12.6</v>
      </c>
      <c r="T7098" s="8">
        <v>0.9</v>
      </c>
      <c r="U7098" s="8">
        <v>12.7</v>
      </c>
      <c r="V7098" s="8">
        <v>1.8</v>
      </c>
      <c r="W7098" s="8">
        <v>1.2</v>
      </c>
      <c r="X7098" s="8">
        <v>20</v>
      </c>
      <c r="Y7098" s="8" t="s">
        <v>31514</v>
      </c>
      <c r="Z7098" s="8" t="s">
        <v>31515</v>
      </c>
    </row>
    <row r="7099" spans="1:26" x14ac:dyDescent="0.2">
      <c r="A7099" s="8">
        <v>7098</v>
      </c>
      <c r="B7099" s="8" t="s">
        <v>31516</v>
      </c>
      <c r="C7099" s="8" t="s">
        <v>31516</v>
      </c>
      <c r="F7099" s="47"/>
      <c r="G7099" s="8">
        <v>16</v>
      </c>
      <c r="H7099" s="8" t="s">
        <v>21</v>
      </c>
      <c r="I7099" s="8" t="s">
        <v>22</v>
      </c>
      <c r="J7099" s="8" t="s">
        <v>22</v>
      </c>
      <c r="K7099" s="8" t="s">
        <v>154</v>
      </c>
      <c r="L7099" s="8" t="s">
        <v>11890</v>
      </c>
      <c r="M7099" s="8" t="s">
        <v>11891</v>
      </c>
      <c r="N7099" s="8" t="s">
        <v>31517</v>
      </c>
      <c r="O7099" s="8">
        <f>21+44/60+16/3600</f>
        <v>21.737777777777779</v>
      </c>
      <c r="P7099" s="8" t="s">
        <v>31518</v>
      </c>
      <c r="Q7099" s="8">
        <f>-(75+6/60+39/3600)</f>
        <v>-75.110833333333332</v>
      </c>
      <c r="R7099" s="8">
        <v>11.3</v>
      </c>
      <c r="S7099" s="8">
        <v>12.2</v>
      </c>
      <c r="T7099" s="8">
        <v>0.9</v>
      </c>
      <c r="U7099" s="8">
        <v>13.7</v>
      </c>
      <c r="V7099" s="8">
        <v>4</v>
      </c>
      <c r="W7099" s="8">
        <v>2.6</v>
      </c>
      <c r="X7099" s="8">
        <v>74</v>
      </c>
      <c r="Y7099" s="8" t="s">
        <v>31519</v>
      </c>
      <c r="Z7099" s="8" t="s">
        <v>31520</v>
      </c>
    </row>
    <row r="7100" spans="1:26" x14ac:dyDescent="0.2">
      <c r="A7100" s="8">
        <v>7099</v>
      </c>
      <c r="B7100" s="8" t="s">
        <v>31521</v>
      </c>
      <c r="C7100" s="8" t="s">
        <v>55965</v>
      </c>
      <c r="F7100" s="47"/>
      <c r="G7100" s="8">
        <v>1</v>
      </c>
      <c r="H7100" s="8" t="s">
        <v>31522</v>
      </c>
      <c r="I7100" s="8" t="s">
        <v>567</v>
      </c>
      <c r="J7100" s="8" t="s">
        <v>567</v>
      </c>
      <c r="K7100" s="8" t="s">
        <v>8821</v>
      </c>
      <c r="L7100" s="8" t="s">
        <v>30635</v>
      </c>
      <c r="M7100" s="8" t="s">
        <v>30636</v>
      </c>
      <c r="N7100" s="8" t="s">
        <v>31523</v>
      </c>
      <c r="O7100" s="8">
        <f>21+40/60+22/3600</f>
        <v>21.672777777777778</v>
      </c>
      <c r="P7100" s="8" t="s">
        <v>31524</v>
      </c>
      <c r="Q7100" s="8">
        <f>-(23+10/60+43/3600)</f>
        <v>-23.178611111111113</v>
      </c>
      <c r="R7100" s="8">
        <v>6.9</v>
      </c>
      <c r="S7100" s="8">
        <v>99</v>
      </c>
      <c r="T7100" s="8">
        <v>99</v>
      </c>
      <c r="U7100" s="8">
        <v>99</v>
      </c>
      <c r="V7100" s="8">
        <v>12</v>
      </c>
      <c r="Y7100" s="8" t="s">
        <v>31525</v>
      </c>
      <c r="Z7100" s="8" t="s">
        <v>31526</v>
      </c>
    </row>
    <row r="7101" spans="1:26" x14ac:dyDescent="0.2">
      <c r="A7101" s="8">
        <v>7100</v>
      </c>
      <c r="B7101" s="8" t="s">
        <v>31527</v>
      </c>
      <c r="C7101" s="8" t="s">
        <v>31527</v>
      </c>
      <c r="F7101" s="47"/>
      <c r="G7101" s="8">
        <v>19</v>
      </c>
      <c r="H7101" s="8" t="s">
        <v>21</v>
      </c>
      <c r="I7101" s="8" t="s">
        <v>72</v>
      </c>
      <c r="J7101" s="8" t="s">
        <v>72</v>
      </c>
      <c r="K7101" s="8" t="s">
        <v>20</v>
      </c>
      <c r="L7101" s="8" t="s">
        <v>24</v>
      </c>
      <c r="M7101" s="8" t="s">
        <v>25</v>
      </c>
      <c r="N7101" s="8" t="s">
        <v>31528</v>
      </c>
      <c r="O7101" s="8">
        <f>21+39/60+6.9/3600</f>
        <v>21.651916666666665</v>
      </c>
      <c r="P7101" s="8" t="s">
        <v>31529</v>
      </c>
      <c r="Q7101" s="8">
        <f>+(8+57/60+2/3600)</f>
        <v>8.9505555555555549</v>
      </c>
      <c r="R7101" s="8">
        <v>99</v>
      </c>
      <c r="S7101" s="8">
        <v>99</v>
      </c>
      <c r="T7101" s="8">
        <v>99</v>
      </c>
      <c r="U7101" s="8">
        <v>99</v>
      </c>
      <c r="Y7101" s="8" t="s">
        <v>17693</v>
      </c>
      <c r="Z7101" s="8" t="s">
        <v>17694</v>
      </c>
    </row>
    <row r="7102" spans="1:26" x14ac:dyDescent="0.2">
      <c r="A7102" s="8">
        <v>7101</v>
      </c>
      <c r="B7102" s="8" t="s">
        <v>31530</v>
      </c>
      <c r="C7102" s="8" t="s">
        <v>31530</v>
      </c>
      <c r="F7102" s="47"/>
      <c r="G7102" s="8">
        <v>18</v>
      </c>
      <c r="H7102" s="8" t="s">
        <v>21</v>
      </c>
      <c r="I7102" s="8" t="s">
        <v>22</v>
      </c>
      <c r="J7102" s="8" t="s">
        <v>22</v>
      </c>
      <c r="K7102" s="8" t="s">
        <v>424</v>
      </c>
      <c r="L7102" s="8" t="s">
        <v>24</v>
      </c>
      <c r="M7102" s="8" t="s">
        <v>25</v>
      </c>
      <c r="N7102" s="8" t="s">
        <v>31531</v>
      </c>
      <c r="O7102" s="8">
        <f>21+39/60+34.5/3600</f>
        <v>21.65958333333333</v>
      </c>
      <c r="P7102" s="8" t="s">
        <v>31532</v>
      </c>
      <c r="Q7102" s="8">
        <f>+(8+52/60+38/3600)</f>
        <v>8.8772222222222226</v>
      </c>
      <c r="R7102" s="8">
        <v>13.5</v>
      </c>
      <c r="S7102" s="8">
        <v>14.5</v>
      </c>
      <c r="T7102" s="8">
        <v>1</v>
      </c>
      <c r="U7102" s="8">
        <v>11.8</v>
      </c>
      <c r="V7102" s="8">
        <v>0.5</v>
      </c>
      <c r="W7102" s="8">
        <v>0.5</v>
      </c>
      <c r="Y7102" s="8" t="s">
        <v>5926</v>
      </c>
      <c r="Z7102" s="8" t="s">
        <v>5927</v>
      </c>
    </row>
    <row r="7103" spans="1:26" x14ac:dyDescent="0.2">
      <c r="A7103" s="8">
        <v>7102</v>
      </c>
      <c r="B7103" s="8" t="s">
        <v>31533</v>
      </c>
      <c r="C7103" s="8" t="s">
        <v>31533</v>
      </c>
      <c r="F7103" s="47"/>
      <c r="G7103" s="8">
        <v>18</v>
      </c>
      <c r="H7103" s="8" t="s">
        <v>21</v>
      </c>
      <c r="I7103" s="8" t="s">
        <v>22</v>
      </c>
      <c r="J7103" s="8" t="s">
        <v>22</v>
      </c>
      <c r="K7103" s="8" t="s">
        <v>218</v>
      </c>
      <c r="L7103" s="8" t="s">
        <v>24</v>
      </c>
      <c r="M7103" s="8" t="s">
        <v>25</v>
      </c>
      <c r="N7103" s="8" t="s">
        <v>31534</v>
      </c>
      <c r="O7103" s="8">
        <f>21+39/60+44.5/3600</f>
        <v>21.66236111111111</v>
      </c>
      <c r="P7103" s="8" t="s">
        <v>31535</v>
      </c>
      <c r="Q7103" s="8">
        <f>+(6+17/60+9/3600)</f>
        <v>6.2858333333333336</v>
      </c>
      <c r="R7103" s="8">
        <v>13.5</v>
      </c>
      <c r="S7103" s="8">
        <v>14.5</v>
      </c>
      <c r="T7103" s="8">
        <v>1</v>
      </c>
      <c r="U7103" s="8">
        <v>14</v>
      </c>
      <c r="V7103" s="8">
        <v>1.6</v>
      </c>
      <c r="W7103" s="8">
        <v>0.9</v>
      </c>
      <c r="X7103" s="8">
        <v>153</v>
      </c>
      <c r="Y7103" s="8" t="s">
        <v>5711</v>
      </c>
      <c r="Z7103" s="8" t="s">
        <v>5712</v>
      </c>
    </row>
    <row r="7104" spans="1:26" x14ac:dyDescent="0.2">
      <c r="A7104" s="8">
        <v>7103</v>
      </c>
      <c r="B7104" s="8" t="s">
        <v>31536</v>
      </c>
      <c r="C7104" s="8" t="s">
        <v>31536</v>
      </c>
      <c r="F7104" s="47"/>
      <c r="G7104" s="8">
        <v>19</v>
      </c>
      <c r="H7104" s="8" t="s">
        <v>21</v>
      </c>
      <c r="I7104" s="8" t="s">
        <v>22</v>
      </c>
      <c r="J7104" s="8" t="s">
        <v>22</v>
      </c>
      <c r="K7104" s="8" t="s">
        <v>183</v>
      </c>
      <c r="L7104" s="8" t="s">
        <v>30635</v>
      </c>
      <c r="M7104" s="8" t="s">
        <v>30636</v>
      </c>
      <c r="N7104" s="8" t="s">
        <v>31537</v>
      </c>
      <c r="O7104" s="8">
        <f>21+39/60+51.3/3600</f>
        <v>21.664249999999999</v>
      </c>
      <c r="P7104" s="8" t="s">
        <v>31538</v>
      </c>
      <c r="Q7104" s="8">
        <f>-(22+28/60+24/3600)</f>
        <v>-22.473333333333333</v>
      </c>
      <c r="R7104" s="8">
        <v>14.2</v>
      </c>
      <c r="S7104" s="8">
        <v>15.2</v>
      </c>
      <c r="T7104" s="8">
        <v>1</v>
      </c>
      <c r="U7104" s="8">
        <v>14.7</v>
      </c>
      <c r="V7104" s="8">
        <v>1.4</v>
      </c>
      <c r="W7104" s="8">
        <v>1.2</v>
      </c>
      <c r="X7104" s="8">
        <v>63</v>
      </c>
      <c r="Y7104" s="8" t="s">
        <v>31539</v>
      </c>
      <c r="Z7104" s="8" t="s">
        <v>31540</v>
      </c>
    </row>
    <row r="7105" spans="1:26" x14ac:dyDescent="0.2">
      <c r="A7105" s="8">
        <v>7104</v>
      </c>
      <c r="B7105" s="8" t="s">
        <v>31541</v>
      </c>
      <c r="C7105" s="8" t="s">
        <v>31541</v>
      </c>
      <c r="F7105" s="47"/>
      <c r="G7105" s="8">
        <v>19</v>
      </c>
      <c r="H7105" s="8" t="s">
        <v>21</v>
      </c>
      <c r="I7105" s="8" t="s">
        <v>22</v>
      </c>
      <c r="J7105" s="8" t="s">
        <v>22</v>
      </c>
      <c r="K7105" s="8" t="s">
        <v>183</v>
      </c>
      <c r="L7105" s="8" t="s">
        <v>30635</v>
      </c>
      <c r="M7105" s="8" t="s">
        <v>30636</v>
      </c>
      <c r="N7105" s="8" t="s">
        <v>31542</v>
      </c>
      <c r="O7105" s="8">
        <f>21+40/60+3.2/3600</f>
        <v>21.667555555555555</v>
      </c>
      <c r="P7105" s="8" t="s">
        <v>31543</v>
      </c>
      <c r="Q7105" s="8">
        <f>-(22+25/60+28/3600)</f>
        <v>-22.424444444444447</v>
      </c>
      <c r="R7105" s="8">
        <v>14.2</v>
      </c>
      <c r="S7105" s="8">
        <v>15.2</v>
      </c>
      <c r="T7105" s="8">
        <v>1</v>
      </c>
      <c r="U7105" s="8">
        <v>13.7</v>
      </c>
      <c r="V7105" s="8">
        <v>0.7</v>
      </c>
      <c r="W7105" s="8">
        <v>0.6</v>
      </c>
      <c r="X7105" s="8">
        <v>51</v>
      </c>
      <c r="Y7105" s="8" t="s">
        <v>31544</v>
      </c>
      <c r="Z7105" s="8" t="s">
        <v>31545</v>
      </c>
    </row>
    <row r="7106" spans="1:26" x14ac:dyDescent="0.2">
      <c r="A7106" s="8">
        <v>7105</v>
      </c>
      <c r="B7106" s="8" t="s">
        <v>31546</v>
      </c>
      <c r="C7106" s="8" t="s">
        <v>31546</v>
      </c>
      <c r="F7106" s="47"/>
      <c r="G7106" s="8">
        <v>19</v>
      </c>
      <c r="H7106" s="8" t="s">
        <v>21</v>
      </c>
      <c r="I7106" s="8" t="s">
        <v>22</v>
      </c>
      <c r="J7106" s="8" t="s">
        <v>22</v>
      </c>
      <c r="K7106" s="8" t="s">
        <v>37</v>
      </c>
      <c r="L7106" s="8" t="s">
        <v>30635</v>
      </c>
      <c r="M7106" s="8" t="s">
        <v>30636</v>
      </c>
      <c r="N7106" s="8" t="s">
        <v>31547</v>
      </c>
      <c r="O7106" s="8">
        <f>21+41/60+41.3/3600</f>
        <v>21.694805555555554</v>
      </c>
      <c r="P7106" s="8" t="s">
        <v>31548</v>
      </c>
      <c r="Q7106" s="8">
        <f>-(10+38/60+6/3600)</f>
        <v>-10.635</v>
      </c>
      <c r="R7106" s="8">
        <v>13.3</v>
      </c>
      <c r="S7106" s="8">
        <v>14.3</v>
      </c>
      <c r="T7106" s="8">
        <v>1</v>
      </c>
      <c r="U7106" s="8">
        <v>12.4</v>
      </c>
      <c r="V7106" s="8">
        <v>1</v>
      </c>
      <c r="W7106" s="8">
        <v>0.5</v>
      </c>
      <c r="X7106" s="8">
        <v>130</v>
      </c>
      <c r="Y7106" s="8" t="s">
        <v>31549</v>
      </c>
      <c r="Z7106" s="8" t="s">
        <v>31550</v>
      </c>
    </row>
    <row r="7107" spans="1:26" x14ac:dyDescent="0.2">
      <c r="A7107" s="8">
        <v>7106</v>
      </c>
      <c r="B7107" s="8" t="s">
        <v>31551</v>
      </c>
      <c r="C7107" s="8" t="s">
        <v>31551</v>
      </c>
      <c r="F7107" s="47"/>
      <c r="G7107" s="8">
        <v>16</v>
      </c>
      <c r="H7107" s="8" t="s">
        <v>21</v>
      </c>
      <c r="I7107" s="8" t="s">
        <v>22</v>
      </c>
      <c r="J7107" s="8" t="s">
        <v>22</v>
      </c>
      <c r="K7107" s="8" t="s">
        <v>64</v>
      </c>
      <c r="L7107" s="8" t="s">
        <v>30731</v>
      </c>
      <c r="M7107" s="8" t="s">
        <v>30732</v>
      </c>
      <c r="N7107" s="8" t="s">
        <v>31552</v>
      </c>
      <c r="O7107" s="8">
        <f>21+42/60+36.5/3600</f>
        <v>21.710138888888888</v>
      </c>
      <c r="P7107" s="8" t="s">
        <v>31553</v>
      </c>
      <c r="Q7107" s="8">
        <f>-(52+41/60+57/3600)</f>
        <v>-52.699166666666663</v>
      </c>
      <c r="R7107" s="8">
        <v>13.4</v>
      </c>
      <c r="S7107" s="8">
        <v>13.9</v>
      </c>
      <c r="T7107" s="8">
        <v>0.5</v>
      </c>
      <c r="U7107" s="8">
        <v>13.8</v>
      </c>
      <c r="V7107" s="8">
        <v>1.7</v>
      </c>
      <c r="W7107" s="8">
        <v>1</v>
      </c>
      <c r="X7107" s="8">
        <v>81</v>
      </c>
      <c r="Y7107" s="8" t="s">
        <v>31554</v>
      </c>
      <c r="Z7107" s="8" t="s">
        <v>31555</v>
      </c>
    </row>
    <row r="7108" spans="1:26" x14ac:dyDescent="0.2">
      <c r="A7108" s="8">
        <v>7107</v>
      </c>
      <c r="B7108" s="8" t="s">
        <v>31556</v>
      </c>
      <c r="C7108" s="8" t="s">
        <v>31556</v>
      </c>
      <c r="F7108" s="47"/>
      <c r="G7108" s="8">
        <v>13</v>
      </c>
      <c r="H7108" s="8" t="s">
        <v>21</v>
      </c>
      <c r="I7108" s="8" t="s">
        <v>22</v>
      </c>
      <c r="J7108" s="8" t="s">
        <v>22</v>
      </c>
      <c r="K7108" s="8" t="s">
        <v>773</v>
      </c>
      <c r="L7108" s="8" t="s">
        <v>31389</v>
      </c>
      <c r="M7108" s="8" t="s">
        <v>31390</v>
      </c>
      <c r="N7108" s="8" t="s">
        <v>31557</v>
      </c>
      <c r="O7108" s="8">
        <f>21+42/60+26.5/3600</f>
        <v>21.707361111111112</v>
      </c>
      <c r="P7108" s="8" t="s">
        <v>31558</v>
      </c>
      <c r="Q7108" s="8">
        <f>-(44+47/60+31/3600)</f>
        <v>-44.791944444444439</v>
      </c>
      <c r="R7108" s="8">
        <v>12.6</v>
      </c>
      <c r="S7108" s="8">
        <v>13.2</v>
      </c>
      <c r="T7108" s="8">
        <v>0.6</v>
      </c>
      <c r="U7108" s="8">
        <v>13.7</v>
      </c>
      <c r="V7108" s="8">
        <v>2.1</v>
      </c>
      <c r="W7108" s="8">
        <v>1.5</v>
      </c>
      <c r="X7108" s="8">
        <v>128</v>
      </c>
      <c r="Y7108" s="8" t="s">
        <v>31559</v>
      </c>
      <c r="Z7108" s="8" t="s">
        <v>31560</v>
      </c>
    </row>
    <row r="7109" spans="1:26" x14ac:dyDescent="0.2">
      <c r="A7109" s="8">
        <v>7108</v>
      </c>
      <c r="B7109" s="8" t="s">
        <v>31561</v>
      </c>
      <c r="C7109" s="8" t="s">
        <v>31561</v>
      </c>
      <c r="F7109" s="47"/>
      <c r="G7109" s="8">
        <v>18</v>
      </c>
      <c r="H7109" s="8" t="s">
        <v>21</v>
      </c>
      <c r="I7109" s="8" t="s">
        <v>22</v>
      </c>
      <c r="J7109" s="8" t="s">
        <v>22</v>
      </c>
      <c r="K7109" s="8" t="s">
        <v>818</v>
      </c>
      <c r="L7109" s="8" t="s">
        <v>30854</v>
      </c>
      <c r="M7109" s="8" t="s">
        <v>30855</v>
      </c>
      <c r="N7109" s="8" t="s">
        <v>31562</v>
      </c>
      <c r="O7109" s="8">
        <f>21+41/60+53.7/3600</f>
        <v>21.698250000000002</v>
      </c>
      <c r="P7109" s="8" t="s">
        <v>31563</v>
      </c>
      <c r="Q7109" s="8">
        <f>-(6+42/60+31/3600)</f>
        <v>-6.7086111111111109</v>
      </c>
      <c r="R7109" s="8">
        <v>14.1</v>
      </c>
      <c r="S7109" s="8">
        <v>15.1</v>
      </c>
      <c r="T7109" s="8">
        <v>1</v>
      </c>
      <c r="U7109" s="8">
        <v>14.4</v>
      </c>
      <c r="V7109" s="8">
        <v>1.4</v>
      </c>
      <c r="W7109" s="8">
        <v>0.9</v>
      </c>
      <c r="X7109" s="8">
        <v>35</v>
      </c>
      <c r="Y7109" s="8" t="s">
        <v>22393</v>
      </c>
      <c r="Z7109" s="8" t="s">
        <v>31387</v>
      </c>
    </row>
    <row r="7110" spans="1:26" x14ac:dyDescent="0.2">
      <c r="A7110" s="8">
        <v>7109</v>
      </c>
      <c r="B7110" s="8" t="s">
        <v>31564</v>
      </c>
      <c r="C7110" s="8" t="s">
        <v>31564</v>
      </c>
      <c r="F7110" s="47"/>
      <c r="G7110" s="8">
        <v>16</v>
      </c>
      <c r="H7110" s="8" t="s">
        <v>21</v>
      </c>
      <c r="I7110" s="8" t="s">
        <v>22</v>
      </c>
      <c r="J7110" s="8" t="s">
        <v>22</v>
      </c>
      <c r="K7110" s="8" t="s">
        <v>460</v>
      </c>
      <c r="L7110" s="8" t="s">
        <v>31565</v>
      </c>
      <c r="M7110" s="8" t="s">
        <v>31566</v>
      </c>
      <c r="N7110" s="8" t="s">
        <v>31567</v>
      </c>
      <c r="O7110" s="8">
        <f>21+41/60+58.5/3600</f>
        <v>21.699583333333333</v>
      </c>
      <c r="P7110" s="8" t="s">
        <v>31568</v>
      </c>
      <c r="Q7110" s="8">
        <f>-(34+26/60+46/3600)</f>
        <v>-34.446111111111108</v>
      </c>
      <c r="R7110" s="8">
        <v>13.3</v>
      </c>
      <c r="S7110" s="8">
        <v>14.3</v>
      </c>
      <c r="T7110" s="8">
        <v>1</v>
      </c>
      <c r="U7110" s="8">
        <v>12.6</v>
      </c>
      <c r="V7110" s="8">
        <v>0.7</v>
      </c>
      <c r="W7110" s="8">
        <v>0.7</v>
      </c>
      <c r="Y7110" s="8" t="s">
        <v>31569</v>
      </c>
      <c r="Z7110" s="8" t="s">
        <v>31570</v>
      </c>
    </row>
    <row r="7111" spans="1:26" x14ac:dyDescent="0.2">
      <c r="A7111" s="8">
        <v>7110</v>
      </c>
      <c r="B7111" s="8" t="s">
        <v>31571</v>
      </c>
      <c r="C7111" s="8" t="s">
        <v>31571</v>
      </c>
      <c r="F7111" s="47"/>
      <c r="G7111" s="8">
        <v>16</v>
      </c>
      <c r="H7111" s="8" t="s">
        <v>21</v>
      </c>
      <c r="I7111" s="8" t="s">
        <v>22</v>
      </c>
      <c r="J7111" s="8" t="s">
        <v>22</v>
      </c>
      <c r="K7111" s="8" t="s">
        <v>218</v>
      </c>
      <c r="L7111" s="8" t="s">
        <v>31565</v>
      </c>
      <c r="M7111" s="8" t="s">
        <v>31566</v>
      </c>
      <c r="N7111" s="8" t="s">
        <v>31572</v>
      </c>
      <c r="O7111" s="8">
        <f>21+42/60+12/3600</f>
        <v>21.703333333333333</v>
      </c>
      <c r="P7111" s="8" t="s">
        <v>31573</v>
      </c>
      <c r="Q7111" s="8">
        <f>-(34+9/60+46/3600)</f>
        <v>-34.162777777777777</v>
      </c>
      <c r="R7111" s="8">
        <v>13.2</v>
      </c>
      <c r="S7111" s="8">
        <v>14</v>
      </c>
      <c r="T7111" s="8">
        <v>0.8</v>
      </c>
      <c r="U7111" s="8">
        <v>12.7</v>
      </c>
      <c r="V7111" s="8">
        <v>1.3</v>
      </c>
      <c r="W7111" s="8">
        <v>0.6</v>
      </c>
      <c r="X7111" s="8">
        <v>76</v>
      </c>
      <c r="Y7111" s="8" t="s">
        <v>2641</v>
      </c>
      <c r="Z7111" s="8" t="s">
        <v>2642</v>
      </c>
    </row>
    <row r="7112" spans="1:26" x14ac:dyDescent="0.2">
      <c r="A7112" s="8">
        <v>7111</v>
      </c>
      <c r="B7112" s="8" t="s">
        <v>31574</v>
      </c>
      <c r="C7112" s="8" t="s">
        <v>31574</v>
      </c>
      <c r="F7112" s="47"/>
      <c r="G7112" s="8">
        <v>18</v>
      </c>
      <c r="H7112" s="8" t="s">
        <v>21</v>
      </c>
      <c r="I7112" s="8" t="s">
        <v>22</v>
      </c>
      <c r="J7112" s="8" t="s">
        <v>57</v>
      </c>
      <c r="K7112" s="8" t="s">
        <v>818</v>
      </c>
      <c r="L7112" s="8" t="s">
        <v>30854</v>
      </c>
      <c r="M7112" s="8" t="s">
        <v>30855</v>
      </c>
      <c r="N7112" s="8" t="s">
        <v>31562</v>
      </c>
      <c r="O7112" s="8">
        <f>21+41/60+53.7/3600</f>
        <v>21.698250000000002</v>
      </c>
      <c r="P7112" s="8" t="s">
        <v>31563</v>
      </c>
      <c r="Q7112" s="8">
        <f>-(6+42/60+31/3600)</f>
        <v>-6.7086111111111109</v>
      </c>
      <c r="R7112" s="8">
        <v>14.1</v>
      </c>
      <c r="S7112" s="8">
        <v>15.1</v>
      </c>
      <c r="T7112" s="8">
        <v>1</v>
      </c>
      <c r="U7112" s="8">
        <v>14.4</v>
      </c>
      <c r="V7112" s="8">
        <v>1.4</v>
      </c>
      <c r="W7112" s="8">
        <v>0.9</v>
      </c>
      <c r="X7112" s="8">
        <v>35</v>
      </c>
      <c r="Y7112" s="8" t="s">
        <v>22393</v>
      </c>
      <c r="Z7112" s="8" t="s">
        <v>18636</v>
      </c>
    </row>
    <row r="7113" spans="1:26" x14ac:dyDescent="0.2">
      <c r="A7113" s="8">
        <v>7112</v>
      </c>
      <c r="B7113" s="8" t="s">
        <v>31575</v>
      </c>
      <c r="C7113" s="8" t="s">
        <v>31575</v>
      </c>
      <c r="F7113" s="47"/>
      <c r="G7113" s="8">
        <v>19</v>
      </c>
      <c r="H7113" s="8" t="s">
        <v>21</v>
      </c>
      <c r="I7113" s="8" t="s">
        <v>22</v>
      </c>
      <c r="J7113" s="8" t="s">
        <v>57</v>
      </c>
      <c r="K7113" s="8" t="s">
        <v>460</v>
      </c>
      <c r="L7113" s="8" t="s">
        <v>24</v>
      </c>
      <c r="M7113" s="8" t="s">
        <v>25</v>
      </c>
      <c r="N7113" s="8" t="s">
        <v>31557</v>
      </c>
      <c r="O7113" s="8">
        <f>21+42/60+26.5/3600</f>
        <v>21.707361111111112</v>
      </c>
      <c r="P7113" s="8" t="s">
        <v>31576</v>
      </c>
      <c r="Q7113" s="8">
        <f>+(12+34/60+9/3600)</f>
        <v>12.569166666666666</v>
      </c>
      <c r="R7113" s="8">
        <v>14.2</v>
      </c>
      <c r="S7113" s="8">
        <v>15.2</v>
      </c>
      <c r="T7113" s="8">
        <v>1</v>
      </c>
      <c r="U7113" s="8">
        <v>15</v>
      </c>
      <c r="V7113" s="8">
        <v>1.4</v>
      </c>
      <c r="W7113" s="8">
        <v>1.4</v>
      </c>
      <c r="Y7113" s="8" t="s">
        <v>31577</v>
      </c>
      <c r="Z7113" s="8" t="s">
        <v>31578</v>
      </c>
    </row>
    <row r="7114" spans="1:26" x14ac:dyDescent="0.2">
      <c r="A7114" s="8">
        <v>7113</v>
      </c>
      <c r="B7114" s="8" t="s">
        <v>31579</v>
      </c>
      <c r="C7114" s="8" t="s">
        <v>31579</v>
      </c>
      <c r="F7114" s="47"/>
      <c r="G7114" s="8">
        <v>18</v>
      </c>
      <c r="H7114" s="8" t="s">
        <v>21</v>
      </c>
      <c r="I7114" s="8" t="s">
        <v>22</v>
      </c>
      <c r="J7114" s="8" t="s">
        <v>22</v>
      </c>
      <c r="K7114" s="8" t="s">
        <v>460</v>
      </c>
      <c r="L7114" s="8" t="s">
        <v>24</v>
      </c>
      <c r="M7114" s="8" t="s">
        <v>25</v>
      </c>
      <c r="N7114" s="8" t="s">
        <v>31557</v>
      </c>
      <c r="O7114" s="8">
        <f>21+42/60+26.5/3600</f>
        <v>21.707361111111112</v>
      </c>
      <c r="P7114" s="8" t="s">
        <v>31576</v>
      </c>
      <c r="Q7114" s="8">
        <f>+(12+34/60+9/3600)</f>
        <v>12.569166666666666</v>
      </c>
      <c r="R7114" s="8">
        <v>14.2</v>
      </c>
      <c r="S7114" s="8">
        <v>15.2</v>
      </c>
      <c r="T7114" s="8">
        <v>1</v>
      </c>
      <c r="U7114" s="8">
        <v>15</v>
      </c>
      <c r="V7114" s="8">
        <v>1.4</v>
      </c>
      <c r="W7114" s="8">
        <v>1.4</v>
      </c>
      <c r="Y7114" s="8" t="s">
        <v>31577</v>
      </c>
      <c r="Z7114" s="8" t="s">
        <v>31580</v>
      </c>
    </row>
    <row r="7115" spans="1:26" x14ac:dyDescent="0.2">
      <c r="A7115" s="8">
        <v>7114</v>
      </c>
      <c r="B7115" s="8" t="s">
        <v>31581</v>
      </c>
      <c r="C7115" s="8" t="s">
        <v>31581</v>
      </c>
      <c r="F7115" s="47"/>
      <c r="G7115" s="8">
        <v>19</v>
      </c>
      <c r="H7115" s="8" t="s">
        <v>21</v>
      </c>
      <c r="I7115" s="8" t="s">
        <v>72</v>
      </c>
      <c r="J7115" s="8" t="s">
        <v>72</v>
      </c>
      <c r="K7115" s="8" t="s">
        <v>31582</v>
      </c>
      <c r="L7115" s="8" t="s">
        <v>30032</v>
      </c>
      <c r="M7115" s="8" t="s">
        <v>30033</v>
      </c>
      <c r="N7115" s="8" t="s">
        <v>31583</v>
      </c>
      <c r="O7115" s="8">
        <f>21+41/60+44/3600</f>
        <v>21.695555555555554</v>
      </c>
      <c r="P7115" s="8" t="s">
        <v>31584</v>
      </c>
      <c r="Q7115" s="8">
        <f>+(42+50/60+31/3600)</f>
        <v>42.841944444444444</v>
      </c>
      <c r="R7115" s="8">
        <v>99</v>
      </c>
      <c r="S7115" s="8">
        <v>99</v>
      </c>
      <c r="T7115" s="8">
        <v>99</v>
      </c>
      <c r="U7115" s="8">
        <v>99</v>
      </c>
      <c r="Y7115" s="8" t="s">
        <v>31585</v>
      </c>
      <c r="Z7115" s="8" t="s">
        <v>31586</v>
      </c>
    </row>
    <row r="7116" spans="1:26" x14ac:dyDescent="0.2">
      <c r="A7116" s="8">
        <v>7115</v>
      </c>
      <c r="B7116" s="8" t="s">
        <v>31587</v>
      </c>
      <c r="C7116" s="8" t="s">
        <v>31587</v>
      </c>
      <c r="F7116" s="47"/>
      <c r="G7116" s="8">
        <v>19</v>
      </c>
      <c r="H7116" s="8" t="s">
        <v>21</v>
      </c>
      <c r="I7116" s="8" t="s">
        <v>22</v>
      </c>
      <c r="J7116" s="8" t="s">
        <v>22</v>
      </c>
      <c r="K7116" s="8" t="s">
        <v>23</v>
      </c>
      <c r="L7116" s="8" t="s">
        <v>31565</v>
      </c>
      <c r="M7116" s="8" t="s">
        <v>31566</v>
      </c>
      <c r="N7116" s="8" t="s">
        <v>31588</v>
      </c>
      <c r="O7116" s="8">
        <f>21+43/60+39.2/3600</f>
        <v>21.727555555555554</v>
      </c>
      <c r="P7116" s="8" t="s">
        <v>31589</v>
      </c>
      <c r="Q7116" s="8">
        <f>-(25+21/60+4/3600)</f>
        <v>-25.351111111111113</v>
      </c>
      <c r="R7116" s="8">
        <v>13.4</v>
      </c>
      <c r="S7116" s="8">
        <v>14.2</v>
      </c>
      <c r="T7116" s="8">
        <v>0.8</v>
      </c>
      <c r="U7116" s="8">
        <v>13.2</v>
      </c>
      <c r="V7116" s="8">
        <v>1.7</v>
      </c>
      <c r="W7116" s="8">
        <v>0.4</v>
      </c>
      <c r="X7116" s="8">
        <v>66</v>
      </c>
      <c r="Y7116" s="8" t="s">
        <v>31590</v>
      </c>
      <c r="Z7116" s="8" t="s">
        <v>31591</v>
      </c>
    </row>
    <row r="7117" spans="1:26" x14ac:dyDescent="0.2">
      <c r="A7117" s="8">
        <v>7116</v>
      </c>
      <c r="B7117" s="8" t="s">
        <v>31592</v>
      </c>
      <c r="C7117" s="8" t="s">
        <v>31592</v>
      </c>
      <c r="F7117" s="47"/>
      <c r="G7117" s="8">
        <v>18</v>
      </c>
      <c r="H7117" s="8" t="s">
        <v>21</v>
      </c>
      <c r="I7117" s="8" t="s">
        <v>22</v>
      </c>
      <c r="J7117" s="8" t="s">
        <v>22</v>
      </c>
      <c r="K7117" s="8" t="s">
        <v>396</v>
      </c>
      <c r="L7117" s="8" t="s">
        <v>30032</v>
      </c>
      <c r="M7117" s="8" t="s">
        <v>30033</v>
      </c>
      <c r="N7117" s="8" t="s">
        <v>31593</v>
      </c>
      <c r="O7117" s="8">
        <f>21+42/60+40.4/3600</f>
        <v>21.711222222222222</v>
      </c>
      <c r="P7117" s="8" t="s">
        <v>31594</v>
      </c>
      <c r="Q7117" s="8">
        <f>+(28+56/60+48/3600)</f>
        <v>28.946666666666665</v>
      </c>
      <c r="R7117" s="8">
        <v>13.4</v>
      </c>
      <c r="S7117" s="8">
        <v>14.2</v>
      </c>
      <c r="T7117" s="8">
        <v>0.8</v>
      </c>
      <c r="U7117" s="8">
        <v>12.4</v>
      </c>
      <c r="V7117" s="8">
        <v>1.1000000000000001</v>
      </c>
      <c r="W7117" s="8">
        <v>0.4</v>
      </c>
      <c r="X7117" s="8">
        <v>105</v>
      </c>
      <c r="Y7117" s="8" t="s">
        <v>16028</v>
      </c>
      <c r="Z7117" s="8" t="s">
        <v>13248</v>
      </c>
    </row>
    <row r="7118" spans="1:26" x14ac:dyDescent="0.2">
      <c r="A7118" s="8">
        <v>7117</v>
      </c>
      <c r="B7118" s="8" t="s">
        <v>31595</v>
      </c>
      <c r="C7118" s="8" t="s">
        <v>31595</v>
      </c>
      <c r="F7118" s="47"/>
      <c r="G7118" s="8">
        <v>16</v>
      </c>
      <c r="H7118" s="8" t="s">
        <v>21</v>
      </c>
      <c r="I7118" s="8" t="s">
        <v>22</v>
      </c>
      <c r="J7118" s="8" t="s">
        <v>22</v>
      </c>
      <c r="K7118" s="8" t="s">
        <v>58</v>
      </c>
      <c r="L7118" s="8" t="s">
        <v>31389</v>
      </c>
      <c r="M7118" s="8" t="s">
        <v>31390</v>
      </c>
      <c r="N7118" s="8" t="s">
        <v>31596</v>
      </c>
      <c r="O7118" s="8">
        <f>21+45/60+47/3600</f>
        <v>21.763055555555557</v>
      </c>
      <c r="P7118" s="8" t="s">
        <v>31597</v>
      </c>
      <c r="Q7118" s="8">
        <f>-(48+25/60+16/3600)</f>
        <v>-48.421111111111109</v>
      </c>
      <c r="R7118" s="8">
        <v>12.8</v>
      </c>
      <c r="S7118" s="8">
        <v>13.8</v>
      </c>
      <c r="T7118" s="8">
        <v>1</v>
      </c>
      <c r="U7118" s="8">
        <v>12.9</v>
      </c>
      <c r="V7118" s="8">
        <v>1.4</v>
      </c>
      <c r="W7118" s="8">
        <v>0.8</v>
      </c>
      <c r="X7118" s="8">
        <v>27</v>
      </c>
      <c r="Y7118" s="8" t="s">
        <v>31598</v>
      </c>
      <c r="Z7118" s="8" t="s">
        <v>31599</v>
      </c>
    </row>
    <row r="7119" spans="1:26" x14ac:dyDescent="0.2">
      <c r="A7119" s="8">
        <v>7118</v>
      </c>
      <c r="B7119" s="8" t="s">
        <v>31600</v>
      </c>
      <c r="C7119" s="8" t="s">
        <v>31600</v>
      </c>
      <c r="F7119" s="47"/>
      <c r="G7119" s="8">
        <v>16</v>
      </c>
      <c r="H7119" s="8" t="s">
        <v>21</v>
      </c>
      <c r="I7119" s="8" t="s">
        <v>22</v>
      </c>
      <c r="J7119" s="8" t="s">
        <v>22</v>
      </c>
      <c r="K7119" s="8" t="s">
        <v>58</v>
      </c>
      <c r="L7119" s="8" t="s">
        <v>31389</v>
      </c>
      <c r="M7119" s="8" t="s">
        <v>31390</v>
      </c>
      <c r="N7119" s="8" t="s">
        <v>31601</v>
      </c>
      <c r="O7119" s="8">
        <f>21+46/60+9.8/3600</f>
        <v>21.769388888888887</v>
      </c>
      <c r="P7119" s="8" t="s">
        <v>31602</v>
      </c>
      <c r="Q7119" s="8">
        <f>-(48+21/60+12/3600)</f>
        <v>-48.353333333333332</v>
      </c>
      <c r="R7119" s="8">
        <v>12.6</v>
      </c>
      <c r="S7119" s="8">
        <v>13.5</v>
      </c>
      <c r="T7119" s="8">
        <v>0.9</v>
      </c>
      <c r="U7119" s="8">
        <v>13</v>
      </c>
      <c r="V7119" s="8">
        <v>1.4</v>
      </c>
      <c r="W7119" s="8">
        <v>1.1000000000000001</v>
      </c>
      <c r="X7119" s="8">
        <v>50</v>
      </c>
      <c r="Y7119" s="8" t="s">
        <v>31603</v>
      </c>
      <c r="Z7119" s="8" t="s">
        <v>8392</v>
      </c>
    </row>
    <row r="7120" spans="1:26" x14ac:dyDescent="0.2">
      <c r="A7120" s="8">
        <v>7119</v>
      </c>
      <c r="B7120" s="8" t="s">
        <v>31604</v>
      </c>
      <c r="C7120" s="8" t="s">
        <v>31604</v>
      </c>
      <c r="D7120" s="8" t="s">
        <v>351</v>
      </c>
      <c r="F7120" s="47"/>
      <c r="G7120" s="8">
        <v>13</v>
      </c>
      <c r="H7120" s="8" t="s">
        <v>21</v>
      </c>
      <c r="I7120" s="8" t="s">
        <v>22</v>
      </c>
      <c r="J7120" s="8" t="s">
        <v>22</v>
      </c>
      <c r="K7120" s="8" t="s">
        <v>85</v>
      </c>
      <c r="L7120" s="8" t="s">
        <v>31389</v>
      </c>
      <c r="M7120" s="8" t="s">
        <v>31390</v>
      </c>
      <c r="N7120" s="8" t="s">
        <v>31605</v>
      </c>
      <c r="O7120" s="8">
        <f>21+46/60+15.7/3600</f>
        <v>21.771027777777778</v>
      </c>
      <c r="P7120" s="8" t="s">
        <v>31606</v>
      </c>
      <c r="Q7120" s="8">
        <f>-(46+30/60+56/3600)</f>
        <v>-46.515555555555558</v>
      </c>
      <c r="R7120" s="8">
        <v>12.8</v>
      </c>
      <c r="S7120" s="8">
        <v>13.6</v>
      </c>
      <c r="T7120" s="8">
        <v>0.8</v>
      </c>
      <c r="U7120" s="8">
        <v>12.7</v>
      </c>
      <c r="V7120" s="8">
        <v>1.2</v>
      </c>
      <c r="W7120" s="8">
        <v>0.9</v>
      </c>
      <c r="X7120" s="8">
        <v>130</v>
      </c>
      <c r="Y7120" s="8" t="s">
        <v>6420</v>
      </c>
      <c r="Z7120" s="8" t="s">
        <v>6421</v>
      </c>
    </row>
    <row r="7121" spans="1:26" x14ac:dyDescent="0.2">
      <c r="A7121" s="8">
        <v>7120</v>
      </c>
      <c r="B7121" s="8" t="s">
        <v>31607</v>
      </c>
      <c r="C7121" s="8" t="s">
        <v>31607</v>
      </c>
      <c r="F7121" s="47"/>
      <c r="G7121" s="8">
        <v>18</v>
      </c>
      <c r="H7121" s="8" t="s">
        <v>21</v>
      </c>
      <c r="I7121" s="8" t="s">
        <v>22</v>
      </c>
      <c r="J7121" s="8" t="s">
        <v>22</v>
      </c>
      <c r="K7121" s="8" t="s">
        <v>23</v>
      </c>
      <c r="L7121" s="8" t="s">
        <v>30854</v>
      </c>
      <c r="M7121" s="8" t="s">
        <v>30855</v>
      </c>
      <c r="N7121" s="8" t="s">
        <v>31608</v>
      </c>
      <c r="O7121" s="8">
        <f>21+44/60+33.2/3600</f>
        <v>21.742555555555555</v>
      </c>
      <c r="P7121" s="8" t="s">
        <v>31609</v>
      </c>
      <c r="Q7121" s="8">
        <f>-(6+31/60+23/3600)</f>
        <v>-6.5230555555555556</v>
      </c>
      <c r="R7121" s="8">
        <v>14</v>
      </c>
      <c r="S7121" s="8">
        <v>14.8</v>
      </c>
      <c r="T7121" s="8">
        <v>0.8</v>
      </c>
      <c r="U7121" s="8">
        <v>12.6</v>
      </c>
      <c r="V7121" s="8">
        <v>0.8</v>
      </c>
      <c r="W7121" s="8">
        <v>0.4</v>
      </c>
      <c r="X7121" s="8">
        <v>137</v>
      </c>
      <c r="Y7121" s="8" t="s">
        <v>6793</v>
      </c>
      <c r="Z7121" s="8" t="s">
        <v>6794</v>
      </c>
    </row>
    <row r="7122" spans="1:26" x14ac:dyDescent="0.2">
      <c r="A7122" s="8">
        <v>7121</v>
      </c>
      <c r="B7122" s="8" t="s">
        <v>31610</v>
      </c>
      <c r="C7122" s="8" t="s">
        <v>31610</v>
      </c>
      <c r="F7122" s="47"/>
      <c r="G7122" s="8">
        <v>18</v>
      </c>
      <c r="H7122" s="8" t="s">
        <v>21</v>
      </c>
      <c r="I7122" s="8" t="s">
        <v>22</v>
      </c>
      <c r="J7122" s="8" t="s">
        <v>22</v>
      </c>
      <c r="K7122" s="8" t="s">
        <v>396</v>
      </c>
      <c r="L7122" s="8" t="s">
        <v>30854</v>
      </c>
      <c r="M7122" s="8" t="s">
        <v>30855</v>
      </c>
      <c r="N7122" s="8" t="s">
        <v>31611</v>
      </c>
      <c r="O7122" s="8">
        <f>21+44/60+52.6/3600</f>
        <v>21.747944444444446</v>
      </c>
      <c r="P7122" s="8" t="s">
        <v>31612</v>
      </c>
      <c r="Q7122" s="8">
        <f>-(3+37/60+11/3600)</f>
        <v>-3.6197222222222223</v>
      </c>
      <c r="R7122" s="8">
        <v>13.4</v>
      </c>
      <c r="S7122" s="8">
        <v>14.2</v>
      </c>
      <c r="T7122" s="8">
        <v>0.8</v>
      </c>
      <c r="U7122" s="8">
        <v>12.6</v>
      </c>
      <c r="V7122" s="8">
        <v>1.1000000000000001</v>
      </c>
      <c r="W7122" s="8">
        <v>0.6</v>
      </c>
      <c r="X7122" s="8">
        <v>12</v>
      </c>
      <c r="Y7122" s="8" t="s">
        <v>2233</v>
      </c>
      <c r="Z7122" s="8" t="s">
        <v>2234</v>
      </c>
    </row>
    <row r="7123" spans="1:26" x14ac:dyDescent="0.2">
      <c r="A7123" s="8">
        <v>7122</v>
      </c>
      <c r="B7123" s="8" t="s">
        <v>31613</v>
      </c>
      <c r="C7123" s="8" t="s">
        <v>31613</v>
      </c>
      <c r="F7123" s="47"/>
      <c r="G7123" s="8">
        <v>17</v>
      </c>
      <c r="H7123" s="8" t="s">
        <v>21</v>
      </c>
      <c r="I7123" s="8" t="s">
        <v>72</v>
      </c>
      <c r="J7123" s="8" t="s">
        <v>72</v>
      </c>
      <c r="K7123" s="8" t="s">
        <v>73</v>
      </c>
      <c r="L7123" s="8" t="s">
        <v>30635</v>
      </c>
      <c r="M7123" s="8" t="s">
        <v>30636</v>
      </c>
      <c r="N7123" s="8" t="s">
        <v>31614</v>
      </c>
      <c r="O7123" s="8">
        <f>21+45/60+47.8/3600</f>
        <v>21.763277777777777</v>
      </c>
      <c r="P7123" s="8" t="s">
        <v>31615</v>
      </c>
      <c r="Q7123" s="8">
        <f>-(8+49/60+47/3600)</f>
        <v>-8.8297222222222214</v>
      </c>
      <c r="R7123" s="8">
        <v>99</v>
      </c>
      <c r="S7123" s="8">
        <v>99</v>
      </c>
      <c r="T7123" s="8">
        <v>99</v>
      </c>
      <c r="U7123" s="8">
        <v>99</v>
      </c>
      <c r="Y7123" s="8" t="s">
        <v>31616</v>
      </c>
      <c r="Z7123" s="8" t="s">
        <v>31617</v>
      </c>
    </row>
    <row r="7124" spans="1:26" x14ac:dyDescent="0.2">
      <c r="A7124" s="8">
        <v>7123</v>
      </c>
      <c r="B7124" s="8" t="s">
        <v>31618</v>
      </c>
      <c r="C7124" s="8" t="s">
        <v>31618</v>
      </c>
      <c r="F7124" s="47"/>
      <c r="G7124" s="8">
        <v>16</v>
      </c>
      <c r="H7124" s="8" t="s">
        <v>21</v>
      </c>
      <c r="I7124" s="8" t="s">
        <v>22</v>
      </c>
      <c r="J7124" s="8" t="s">
        <v>22</v>
      </c>
      <c r="K7124" s="8" t="s">
        <v>91</v>
      </c>
      <c r="L7124" s="8" t="s">
        <v>30731</v>
      </c>
      <c r="M7124" s="8" t="s">
        <v>30732</v>
      </c>
      <c r="N7124" s="8" t="s">
        <v>31619</v>
      </c>
      <c r="O7124" s="8">
        <f>21+50/60+46.4/3600</f>
        <v>21.84622222222222</v>
      </c>
      <c r="P7124" s="8" t="s">
        <v>31620</v>
      </c>
      <c r="Q7124" s="8">
        <f>-(70+20/60+2/3600)</f>
        <v>-70.333888888888879</v>
      </c>
      <c r="R7124" s="8">
        <v>12.2</v>
      </c>
      <c r="S7124" s="8">
        <v>12.6</v>
      </c>
      <c r="T7124" s="8">
        <v>0.4</v>
      </c>
      <c r="U7124" s="8">
        <v>13.4</v>
      </c>
      <c r="V7124" s="8">
        <v>3</v>
      </c>
      <c r="W7124" s="8">
        <v>1.1000000000000001</v>
      </c>
      <c r="X7124" s="8">
        <v>146</v>
      </c>
      <c r="Y7124" s="8" t="s">
        <v>31621</v>
      </c>
      <c r="Z7124" s="8" t="s">
        <v>31622</v>
      </c>
    </row>
    <row r="7125" spans="1:26" x14ac:dyDescent="0.2">
      <c r="A7125" s="8">
        <v>7124</v>
      </c>
      <c r="B7125" s="8" t="s">
        <v>31623</v>
      </c>
      <c r="C7125" s="8" t="s">
        <v>31623</v>
      </c>
      <c r="F7125" s="47"/>
      <c r="G7125" s="8">
        <v>13</v>
      </c>
      <c r="H7125" s="8" t="s">
        <v>21</v>
      </c>
      <c r="I7125" s="8" t="s">
        <v>22</v>
      </c>
      <c r="J7125" s="8" t="s">
        <v>22</v>
      </c>
      <c r="K7125" s="8" t="s">
        <v>85</v>
      </c>
      <c r="L7125" s="8" t="s">
        <v>30731</v>
      </c>
      <c r="M7125" s="8" t="s">
        <v>30732</v>
      </c>
      <c r="N7125" s="8" t="s">
        <v>31624</v>
      </c>
      <c r="O7125" s="8">
        <f>21+48/60+5.3/3600</f>
        <v>21.801472222222223</v>
      </c>
      <c r="P7125" s="8" t="s">
        <v>31625</v>
      </c>
      <c r="Q7125" s="8">
        <f>-(50+33/60+56/3600)</f>
        <v>-50.565555555555555</v>
      </c>
      <c r="R7125" s="8">
        <v>12.3</v>
      </c>
      <c r="S7125" s="8">
        <v>13.2</v>
      </c>
      <c r="T7125" s="8">
        <v>0.9</v>
      </c>
      <c r="U7125" s="8">
        <v>13.7</v>
      </c>
      <c r="V7125" s="8">
        <v>2.8</v>
      </c>
      <c r="W7125" s="8">
        <v>1.1000000000000001</v>
      </c>
      <c r="X7125" s="8">
        <v>143</v>
      </c>
      <c r="Y7125" s="8" t="s">
        <v>31626</v>
      </c>
      <c r="Z7125" s="8" t="s">
        <v>31627</v>
      </c>
    </row>
    <row r="7126" spans="1:26" x14ac:dyDescent="0.2">
      <c r="A7126" s="8">
        <v>7125</v>
      </c>
      <c r="B7126" s="8" t="s">
        <v>31628</v>
      </c>
      <c r="C7126" s="8" t="s">
        <v>31628</v>
      </c>
      <c r="F7126" s="47"/>
      <c r="G7126" s="8">
        <v>13</v>
      </c>
      <c r="H7126" s="8" t="s">
        <v>21</v>
      </c>
      <c r="I7126" s="8" t="s">
        <v>22</v>
      </c>
      <c r="J7126" s="8" t="s">
        <v>22</v>
      </c>
      <c r="K7126" s="8" t="s">
        <v>64</v>
      </c>
      <c r="L7126" s="8" t="s">
        <v>30731</v>
      </c>
      <c r="M7126" s="8" t="s">
        <v>30732</v>
      </c>
      <c r="N7126" s="8" t="s">
        <v>31629</v>
      </c>
      <c r="O7126" s="8">
        <f>21+49/60+16.2/3600</f>
        <v>21.821166666666667</v>
      </c>
      <c r="P7126" s="8" t="s">
        <v>31630</v>
      </c>
      <c r="Q7126" s="8">
        <f>-(60+42/60+45/3600)</f>
        <v>-60.712500000000006</v>
      </c>
      <c r="R7126" s="8">
        <v>12.4</v>
      </c>
      <c r="S7126" s="8">
        <v>12.8</v>
      </c>
      <c r="T7126" s="8">
        <v>0.4</v>
      </c>
      <c r="U7126" s="8">
        <v>14.3</v>
      </c>
      <c r="V7126" s="8">
        <v>3</v>
      </c>
      <c r="W7126" s="8">
        <v>2.1</v>
      </c>
      <c r="X7126" s="8">
        <v>110</v>
      </c>
      <c r="Y7126" s="8" t="s">
        <v>31631</v>
      </c>
      <c r="Z7126" s="8" t="s">
        <v>31632</v>
      </c>
    </row>
    <row r="7127" spans="1:26" x14ac:dyDescent="0.2">
      <c r="A7127" s="8">
        <v>7126</v>
      </c>
      <c r="B7127" s="8" t="s">
        <v>31633</v>
      </c>
      <c r="C7127" s="8" t="s">
        <v>31633</v>
      </c>
      <c r="F7127" s="47"/>
      <c r="G7127" s="8">
        <v>13</v>
      </c>
      <c r="H7127" s="8" t="s">
        <v>21</v>
      </c>
      <c r="I7127" s="8" t="s">
        <v>22</v>
      </c>
      <c r="J7127" s="8" t="s">
        <v>22</v>
      </c>
      <c r="K7127" s="8" t="s">
        <v>160</v>
      </c>
      <c r="L7127" s="8" t="s">
        <v>30731</v>
      </c>
      <c r="M7127" s="8" t="s">
        <v>30732</v>
      </c>
      <c r="N7127" s="8" t="s">
        <v>31634</v>
      </c>
      <c r="O7127" s="8">
        <f>21+49/60+18.3/3600</f>
        <v>21.821750000000002</v>
      </c>
      <c r="P7127" s="8" t="s">
        <v>31635</v>
      </c>
      <c r="Q7127" s="8">
        <f>-(60+36/60+34/3600)</f>
        <v>-60.609444444444449</v>
      </c>
      <c r="R7127" s="8">
        <v>12.2</v>
      </c>
      <c r="S7127" s="8">
        <v>12.9</v>
      </c>
      <c r="T7127" s="8">
        <v>0.7</v>
      </c>
      <c r="U7127" s="8">
        <v>13.5</v>
      </c>
      <c r="V7127" s="8">
        <v>2.8</v>
      </c>
      <c r="W7127" s="8">
        <v>1.3</v>
      </c>
      <c r="X7127" s="8">
        <v>71</v>
      </c>
      <c r="Y7127" s="8" t="s">
        <v>31636</v>
      </c>
      <c r="Z7127" s="8" t="s">
        <v>31637</v>
      </c>
    </row>
    <row r="7128" spans="1:26" x14ac:dyDescent="0.2">
      <c r="A7128" s="8">
        <v>7127</v>
      </c>
      <c r="B7128" s="8" t="s">
        <v>31638</v>
      </c>
      <c r="C7128" s="8" t="s">
        <v>31638</v>
      </c>
      <c r="F7128" s="47"/>
      <c r="G7128" s="8">
        <v>13</v>
      </c>
      <c r="H7128" s="8" t="s">
        <v>21</v>
      </c>
      <c r="I7128" s="8" t="s">
        <v>557</v>
      </c>
      <c r="J7128" s="8" t="s">
        <v>557</v>
      </c>
      <c r="K7128" s="8" t="s">
        <v>600</v>
      </c>
      <c r="L7128" s="8" t="s">
        <v>30032</v>
      </c>
      <c r="M7128" s="8" t="s">
        <v>30033</v>
      </c>
      <c r="N7128" s="8" t="s">
        <v>31639</v>
      </c>
      <c r="O7128" s="8">
        <f>21+43/60+52.9/3600</f>
        <v>21.731361111111109</v>
      </c>
      <c r="P7128" s="8" t="s">
        <v>31640</v>
      </c>
      <c r="Q7128" s="8">
        <f>+(54+35/60+46/3600)</f>
        <v>54.596111111111114</v>
      </c>
      <c r="R7128" s="8">
        <v>99</v>
      </c>
      <c r="S7128" s="8">
        <v>99</v>
      </c>
      <c r="T7128" s="8">
        <v>99</v>
      </c>
      <c r="U7128" s="8">
        <v>99</v>
      </c>
      <c r="V7128" s="8">
        <v>6</v>
      </c>
      <c r="Y7128" s="8" t="s">
        <v>10933</v>
      </c>
      <c r="Z7128" s="8" t="s">
        <v>10934</v>
      </c>
    </row>
    <row r="7129" spans="1:26" x14ac:dyDescent="0.2">
      <c r="A7129" s="8">
        <v>7128</v>
      </c>
      <c r="B7129" s="8" t="s">
        <v>31641</v>
      </c>
      <c r="C7129" s="8" t="s">
        <v>31641</v>
      </c>
      <c r="F7129" s="47" t="s">
        <v>58300</v>
      </c>
      <c r="G7129" s="8">
        <v>6</v>
      </c>
      <c r="H7129" s="8" t="s">
        <v>21</v>
      </c>
      <c r="I7129" s="8" t="s">
        <v>557</v>
      </c>
      <c r="J7129" s="8" t="s">
        <v>557</v>
      </c>
      <c r="K7129" s="8" t="s">
        <v>3170</v>
      </c>
      <c r="L7129" s="8" t="s">
        <v>30032</v>
      </c>
      <c r="M7129" s="8" t="s">
        <v>30033</v>
      </c>
      <c r="N7129" s="8" t="s">
        <v>31642</v>
      </c>
      <c r="O7129" s="8">
        <f>21+43/60+57.7/3600</f>
        <v>21.732694444444444</v>
      </c>
      <c r="P7129" s="8" t="s">
        <v>31643</v>
      </c>
      <c r="Q7129" s="8">
        <f>+(53+42/60+55/3600)</f>
        <v>53.715277777777779</v>
      </c>
      <c r="R7129" s="8">
        <v>9.6999999999999993</v>
      </c>
      <c r="S7129" s="8">
        <v>99</v>
      </c>
      <c r="T7129" s="8">
        <v>99</v>
      </c>
      <c r="U7129" s="8">
        <v>99</v>
      </c>
      <c r="V7129" s="8">
        <v>4</v>
      </c>
      <c r="Y7129" s="8" t="s">
        <v>31644</v>
      </c>
      <c r="Z7129" s="8" t="s">
        <v>31645</v>
      </c>
    </row>
    <row r="7130" spans="1:26" x14ac:dyDescent="0.2">
      <c r="A7130" s="8">
        <v>7129</v>
      </c>
      <c r="B7130" s="8" t="s">
        <v>31646</v>
      </c>
      <c r="C7130" s="8" t="s">
        <v>31646</v>
      </c>
      <c r="F7130" s="47" t="s">
        <v>58301</v>
      </c>
      <c r="G7130" s="8">
        <v>6.5</v>
      </c>
      <c r="H7130" s="8" t="s">
        <v>31647</v>
      </c>
      <c r="I7130" s="8" t="s">
        <v>1283</v>
      </c>
      <c r="J7130" s="8" t="s">
        <v>1283</v>
      </c>
      <c r="K7130" s="8" t="s">
        <v>1751</v>
      </c>
      <c r="L7130" s="8" t="s">
        <v>242</v>
      </c>
      <c r="M7130" s="8" t="s">
        <v>243</v>
      </c>
      <c r="N7130" s="8" t="s">
        <v>31648</v>
      </c>
      <c r="O7130" s="8">
        <f>21+42/60+58.9/3600</f>
        <v>21.716361111111109</v>
      </c>
      <c r="P7130" s="8" t="s">
        <v>31649</v>
      </c>
      <c r="Q7130" s="8">
        <f>+(66+6/60+47/3600)</f>
        <v>66.113055555555547</v>
      </c>
      <c r="R7130" s="8">
        <v>99</v>
      </c>
      <c r="S7130" s="8">
        <v>11.5</v>
      </c>
      <c r="T7130" s="8">
        <v>99</v>
      </c>
      <c r="U7130" s="8">
        <v>99</v>
      </c>
      <c r="V7130" s="8">
        <v>7</v>
      </c>
      <c r="W7130" s="8">
        <v>7</v>
      </c>
      <c r="Y7130" s="8" t="s">
        <v>31650</v>
      </c>
      <c r="Z7130" s="8" t="s">
        <v>31651</v>
      </c>
    </row>
    <row r="7131" spans="1:26" x14ac:dyDescent="0.2">
      <c r="A7131" s="8">
        <v>7130</v>
      </c>
      <c r="B7131" s="8" t="s">
        <v>31652</v>
      </c>
      <c r="C7131" s="8" t="s">
        <v>31652</v>
      </c>
      <c r="F7131" s="47"/>
      <c r="G7131" s="8">
        <v>16</v>
      </c>
      <c r="H7131" s="8" t="s">
        <v>21</v>
      </c>
      <c r="I7131" s="8" t="s">
        <v>22</v>
      </c>
      <c r="J7131" s="8" t="s">
        <v>22</v>
      </c>
      <c r="K7131" s="8" t="s">
        <v>91</v>
      </c>
      <c r="L7131" s="8" t="s">
        <v>31565</v>
      </c>
      <c r="M7131" s="8" t="s">
        <v>31566</v>
      </c>
      <c r="N7131" s="8" t="s">
        <v>31653</v>
      </c>
      <c r="O7131" s="8">
        <f>21+48/60+19.3/3600</f>
        <v>21.805361111111111</v>
      </c>
      <c r="P7131" s="8" t="s">
        <v>31654</v>
      </c>
      <c r="Q7131" s="8">
        <f>-(34+57/60+10/3600)</f>
        <v>-34.952777777777783</v>
      </c>
      <c r="R7131" s="8">
        <v>12.1</v>
      </c>
      <c r="S7131" s="8">
        <v>13</v>
      </c>
      <c r="T7131" s="8">
        <v>0.9</v>
      </c>
      <c r="U7131" s="8">
        <v>12.9</v>
      </c>
      <c r="V7131" s="8">
        <v>1.6</v>
      </c>
      <c r="W7131" s="8">
        <v>1.5</v>
      </c>
      <c r="X7131" s="8">
        <v>105</v>
      </c>
      <c r="Y7131" s="8" t="s">
        <v>9055</v>
      </c>
      <c r="Z7131" s="8" t="s">
        <v>9056</v>
      </c>
    </row>
    <row r="7132" spans="1:26" x14ac:dyDescent="0.2">
      <c r="A7132" s="8">
        <v>7131</v>
      </c>
      <c r="B7132" s="8" t="s">
        <v>31655</v>
      </c>
      <c r="C7132" s="8" t="s">
        <v>31655</v>
      </c>
      <c r="F7132" s="47"/>
      <c r="G7132" s="8">
        <v>18</v>
      </c>
      <c r="H7132" s="8" t="s">
        <v>21</v>
      </c>
      <c r="I7132" s="8" t="s">
        <v>22</v>
      </c>
      <c r="J7132" s="8" t="s">
        <v>22</v>
      </c>
      <c r="K7132" s="8" t="s">
        <v>37</v>
      </c>
      <c r="L7132" s="8" t="s">
        <v>30635</v>
      </c>
      <c r="M7132" s="8" t="s">
        <v>30636</v>
      </c>
      <c r="N7132" s="8" t="s">
        <v>31656</v>
      </c>
      <c r="O7132" s="8">
        <f>21+47/60+36/3600</f>
        <v>21.793333333333337</v>
      </c>
      <c r="P7132" s="8" t="s">
        <v>31657</v>
      </c>
      <c r="Q7132" s="8">
        <f>-(13+10/60+56/3600)</f>
        <v>-13.182222222222222</v>
      </c>
      <c r="R7132" s="8">
        <v>13.9</v>
      </c>
      <c r="S7132" s="8">
        <v>14.9</v>
      </c>
      <c r="T7132" s="8">
        <v>1</v>
      </c>
      <c r="U7132" s="8">
        <v>14.4</v>
      </c>
      <c r="V7132" s="8">
        <v>1.7</v>
      </c>
      <c r="W7132" s="8">
        <v>1</v>
      </c>
      <c r="X7132" s="8">
        <v>115</v>
      </c>
      <c r="Y7132" s="8" t="s">
        <v>31658</v>
      </c>
      <c r="Z7132" s="8" t="s">
        <v>31659</v>
      </c>
    </row>
    <row r="7133" spans="1:26" x14ac:dyDescent="0.2">
      <c r="A7133" s="8">
        <v>7132</v>
      </c>
      <c r="B7133" s="8" t="s">
        <v>31660</v>
      </c>
      <c r="C7133" s="8" t="s">
        <v>31660</v>
      </c>
      <c r="F7133" s="47"/>
      <c r="G7133" s="8">
        <v>19</v>
      </c>
      <c r="H7133" s="8" t="s">
        <v>21</v>
      </c>
      <c r="I7133" s="8" t="s">
        <v>22</v>
      </c>
      <c r="J7133" s="8" t="s">
        <v>22</v>
      </c>
      <c r="K7133" s="8" t="s">
        <v>160</v>
      </c>
      <c r="L7133" s="8" t="s">
        <v>24</v>
      </c>
      <c r="M7133" s="8" t="s">
        <v>25</v>
      </c>
      <c r="N7133" s="8" t="s">
        <v>31661</v>
      </c>
      <c r="O7133" s="8">
        <f>21+47/60+16.4/3600</f>
        <v>21.78788888888889</v>
      </c>
      <c r="P7133" s="8" t="s">
        <v>31662</v>
      </c>
      <c r="Q7133" s="8">
        <f>+(10+14/60+29/3600)</f>
        <v>10.241388888888888</v>
      </c>
      <c r="R7133" s="8">
        <v>14.2</v>
      </c>
      <c r="S7133" s="8">
        <v>14.9</v>
      </c>
      <c r="T7133" s="8">
        <v>0.7</v>
      </c>
      <c r="U7133" s="8">
        <v>13.8</v>
      </c>
      <c r="V7133" s="8">
        <v>1.1000000000000001</v>
      </c>
      <c r="W7133" s="8">
        <v>0.7</v>
      </c>
      <c r="X7133" s="8">
        <v>114</v>
      </c>
      <c r="Y7133" s="8" t="s">
        <v>31663</v>
      </c>
      <c r="Z7133" s="8" t="s">
        <v>31664</v>
      </c>
    </row>
    <row r="7134" spans="1:26" x14ac:dyDescent="0.2">
      <c r="A7134" s="8">
        <v>7133</v>
      </c>
      <c r="B7134" s="8" t="s">
        <v>31665</v>
      </c>
      <c r="C7134" s="8" t="s">
        <v>31665</v>
      </c>
      <c r="F7134" s="47"/>
      <c r="G7134" s="8">
        <v>13</v>
      </c>
      <c r="H7134" s="8" t="s">
        <v>21</v>
      </c>
      <c r="I7134" s="8" t="s">
        <v>329</v>
      </c>
      <c r="J7134" s="8" t="s">
        <v>329</v>
      </c>
      <c r="K7134" s="8" t="s">
        <v>329</v>
      </c>
      <c r="L7134" s="8" t="s">
        <v>242</v>
      </c>
      <c r="M7134" s="8" t="s">
        <v>243</v>
      </c>
      <c r="N7134" s="8" t="s">
        <v>31666</v>
      </c>
      <c r="O7134" s="8">
        <f>21+44/60+26.6/3600</f>
        <v>21.740722222222225</v>
      </c>
      <c r="P7134" s="8" t="s">
        <v>31667</v>
      </c>
      <c r="Q7134" s="8">
        <f>+(66+10/60+6/3600)</f>
        <v>66.168333333333337</v>
      </c>
      <c r="R7134" s="8">
        <v>99</v>
      </c>
      <c r="S7134" s="8">
        <v>99</v>
      </c>
      <c r="T7134" s="8">
        <v>99</v>
      </c>
      <c r="U7134" s="8">
        <v>99</v>
      </c>
      <c r="Y7134" s="8" t="s">
        <v>1225</v>
      </c>
      <c r="Z7134" s="8" t="s">
        <v>1226</v>
      </c>
    </row>
    <row r="7135" spans="1:26" x14ac:dyDescent="0.2">
      <c r="A7135" s="8">
        <v>7134</v>
      </c>
      <c r="B7135" s="8" t="s">
        <v>31668</v>
      </c>
      <c r="C7135" s="8" t="s">
        <v>31668</v>
      </c>
      <c r="F7135" s="47"/>
      <c r="G7135" s="8">
        <v>19</v>
      </c>
      <c r="H7135" s="8" t="s">
        <v>21</v>
      </c>
      <c r="I7135" s="8" t="s">
        <v>72</v>
      </c>
      <c r="J7135" s="8" t="s">
        <v>72</v>
      </c>
      <c r="K7135" s="8" t="s">
        <v>1405</v>
      </c>
      <c r="L7135" s="8" t="s">
        <v>30635</v>
      </c>
      <c r="M7135" s="8" t="s">
        <v>30636</v>
      </c>
      <c r="N7135" s="8" t="s">
        <v>31669</v>
      </c>
      <c r="O7135" s="8">
        <f>21+48/60+56/3600</f>
        <v>21.815555555555555</v>
      </c>
      <c r="P7135" s="8" t="s">
        <v>31670</v>
      </c>
      <c r="Q7135" s="8">
        <f>-(12+58/60+13/3600)</f>
        <v>-12.970277777777778</v>
      </c>
      <c r="R7135" s="8">
        <v>99</v>
      </c>
      <c r="S7135" s="8">
        <v>99</v>
      </c>
      <c r="T7135" s="8">
        <v>99</v>
      </c>
      <c r="U7135" s="8">
        <v>99</v>
      </c>
      <c r="Y7135" s="8" t="s">
        <v>31671</v>
      </c>
      <c r="Z7135" s="8" t="s">
        <v>31672</v>
      </c>
    </row>
    <row r="7136" spans="1:26" x14ac:dyDescent="0.2">
      <c r="A7136" s="8">
        <v>7135</v>
      </c>
      <c r="B7136" s="8" t="s">
        <v>31673</v>
      </c>
      <c r="C7136" s="8" t="s">
        <v>31673</v>
      </c>
      <c r="F7136" s="47"/>
      <c r="G7136" s="8">
        <v>13</v>
      </c>
      <c r="H7136" s="8" t="s">
        <v>21</v>
      </c>
      <c r="I7136" s="8" t="s">
        <v>22</v>
      </c>
      <c r="J7136" s="8" t="s">
        <v>22</v>
      </c>
      <c r="K7136" s="8" t="s">
        <v>58</v>
      </c>
      <c r="L7136" s="8" t="s">
        <v>31565</v>
      </c>
      <c r="M7136" s="8" t="s">
        <v>31566</v>
      </c>
      <c r="N7136" s="8" t="s">
        <v>31674</v>
      </c>
      <c r="O7136" s="8">
        <f>21+49/60+46/3600</f>
        <v>21.829444444444444</v>
      </c>
      <c r="P7136" s="8" t="s">
        <v>31675</v>
      </c>
      <c r="Q7136" s="8">
        <f>-(34+52/60+34/3600)</f>
        <v>-34.876111111111115</v>
      </c>
      <c r="R7136" s="8">
        <v>11.7</v>
      </c>
      <c r="S7136" s="8">
        <v>12.7</v>
      </c>
      <c r="T7136" s="8">
        <v>1</v>
      </c>
      <c r="U7136" s="8">
        <v>13.5</v>
      </c>
      <c r="V7136" s="8">
        <v>2.1</v>
      </c>
      <c r="W7136" s="8">
        <v>1.8</v>
      </c>
      <c r="X7136" s="8">
        <v>47</v>
      </c>
      <c r="Y7136" s="8" t="s">
        <v>31676</v>
      </c>
      <c r="Z7136" s="8" t="s">
        <v>31677</v>
      </c>
    </row>
    <row r="7137" spans="1:26" x14ac:dyDescent="0.2">
      <c r="A7137" s="8">
        <v>7136</v>
      </c>
      <c r="B7137" s="8" t="s">
        <v>31678</v>
      </c>
      <c r="C7137" s="8" t="s">
        <v>31678</v>
      </c>
      <c r="F7137" s="47"/>
      <c r="G7137" s="8">
        <v>19</v>
      </c>
      <c r="H7137" s="8" t="s">
        <v>21</v>
      </c>
      <c r="I7137" s="8" t="s">
        <v>72</v>
      </c>
      <c r="J7137" s="8" t="s">
        <v>72</v>
      </c>
      <c r="K7137" s="8" t="s">
        <v>73</v>
      </c>
      <c r="L7137" s="8" t="s">
        <v>30635</v>
      </c>
      <c r="M7137" s="8" t="s">
        <v>30636</v>
      </c>
      <c r="N7137" s="8" t="s">
        <v>31679</v>
      </c>
      <c r="O7137" s="8">
        <f>21+49/60+43.3/3600</f>
        <v>21.828694444444444</v>
      </c>
      <c r="P7137" s="8" t="s">
        <v>31680</v>
      </c>
      <c r="Q7137" s="8">
        <f>-(11+47/60+34/3600)</f>
        <v>-11.792777777777777</v>
      </c>
      <c r="R7137" s="8">
        <v>99</v>
      </c>
      <c r="S7137" s="8">
        <v>99</v>
      </c>
      <c r="T7137" s="8">
        <v>99</v>
      </c>
      <c r="U7137" s="8">
        <v>99</v>
      </c>
      <c r="Y7137" s="8" t="s">
        <v>31681</v>
      </c>
      <c r="Z7137" s="8" t="s">
        <v>31682</v>
      </c>
    </row>
    <row r="7138" spans="1:26" x14ac:dyDescent="0.2">
      <c r="A7138" s="8">
        <v>7137</v>
      </c>
      <c r="B7138" s="8" t="s">
        <v>31683</v>
      </c>
      <c r="C7138" s="8" t="s">
        <v>31683</v>
      </c>
      <c r="F7138" s="47" t="s">
        <v>58302</v>
      </c>
      <c r="G7138" s="8">
        <v>13</v>
      </c>
      <c r="H7138" s="8" t="s">
        <v>21</v>
      </c>
      <c r="I7138" s="8" t="s">
        <v>22</v>
      </c>
      <c r="J7138" s="8" t="s">
        <v>22</v>
      </c>
      <c r="K7138" s="8" t="s">
        <v>64</v>
      </c>
      <c r="L7138" s="8" t="s">
        <v>24</v>
      </c>
      <c r="M7138" s="8" t="s">
        <v>25</v>
      </c>
      <c r="N7138" s="8" t="s">
        <v>31684</v>
      </c>
      <c r="O7138" s="8">
        <f>21+48/60+13/3600</f>
        <v>21.803611111111113</v>
      </c>
      <c r="P7138" s="8" t="s">
        <v>31685</v>
      </c>
      <c r="Q7138" s="8">
        <f>+(22+9/60+35/3600)</f>
        <v>22.159722222222221</v>
      </c>
      <c r="R7138" s="8">
        <v>12.4</v>
      </c>
      <c r="S7138" s="8">
        <v>13.1</v>
      </c>
      <c r="T7138" s="8">
        <v>0.7</v>
      </c>
      <c r="U7138" s="8">
        <v>13.2</v>
      </c>
      <c r="V7138" s="8">
        <v>1.6</v>
      </c>
      <c r="W7138" s="8">
        <v>1.4</v>
      </c>
      <c r="X7138" s="8">
        <v>36</v>
      </c>
      <c r="Y7138" s="8" t="s">
        <v>31686</v>
      </c>
      <c r="Z7138" s="8" t="s">
        <v>31687</v>
      </c>
    </row>
    <row r="7139" spans="1:26" x14ac:dyDescent="0.2">
      <c r="A7139" s="8">
        <v>7138</v>
      </c>
      <c r="B7139" s="8" t="s">
        <v>31688</v>
      </c>
      <c r="C7139" s="8" t="s">
        <v>31688</v>
      </c>
      <c r="F7139" s="47"/>
      <c r="G7139" s="8">
        <v>18</v>
      </c>
      <c r="H7139" s="8" t="s">
        <v>21</v>
      </c>
      <c r="I7139" s="8" t="s">
        <v>22</v>
      </c>
      <c r="J7139" s="8" t="s">
        <v>22</v>
      </c>
      <c r="K7139" s="8" t="s">
        <v>154</v>
      </c>
      <c r="L7139" s="8" t="s">
        <v>24</v>
      </c>
      <c r="M7139" s="8" t="s">
        <v>25</v>
      </c>
      <c r="N7139" s="8" t="s">
        <v>31689</v>
      </c>
      <c r="O7139" s="8">
        <f>21+49/60+1/3600</f>
        <v>21.816944444444445</v>
      </c>
      <c r="P7139" s="8" t="s">
        <v>31690</v>
      </c>
      <c r="Q7139" s="8">
        <f>+(12+30/60+50/3600)</f>
        <v>12.513888888888889</v>
      </c>
      <c r="R7139" s="8">
        <v>14.2</v>
      </c>
      <c r="S7139" s="8">
        <v>15.1</v>
      </c>
      <c r="T7139" s="8">
        <v>0.9</v>
      </c>
      <c r="U7139" s="8">
        <v>13.5</v>
      </c>
      <c r="V7139" s="8">
        <v>1.2</v>
      </c>
      <c r="W7139" s="8">
        <v>0.5</v>
      </c>
      <c r="X7139" s="8">
        <v>177</v>
      </c>
      <c r="Y7139" s="8" t="s">
        <v>1948</v>
      </c>
      <c r="Z7139" s="8" t="s">
        <v>24023</v>
      </c>
    </row>
    <row r="7140" spans="1:26" x14ac:dyDescent="0.2">
      <c r="A7140" s="8">
        <v>7139</v>
      </c>
      <c r="B7140" s="8" t="s">
        <v>31691</v>
      </c>
      <c r="C7140" s="8" t="s">
        <v>31691</v>
      </c>
      <c r="F7140" s="47" t="s">
        <v>58303</v>
      </c>
      <c r="G7140" s="8">
        <v>6.5</v>
      </c>
      <c r="H7140" s="8" t="s">
        <v>21</v>
      </c>
      <c r="I7140" s="8" t="s">
        <v>241</v>
      </c>
      <c r="J7140" s="8" t="s">
        <v>241</v>
      </c>
      <c r="K7140" s="8" t="s">
        <v>241</v>
      </c>
      <c r="L7140" s="8" t="s">
        <v>242</v>
      </c>
      <c r="M7140" s="8" t="s">
        <v>243</v>
      </c>
      <c r="N7140" s="8" t="s">
        <v>31692</v>
      </c>
      <c r="O7140" s="8">
        <f>21+46/60+8.4/3600</f>
        <v>21.768999999999998</v>
      </c>
      <c r="P7140" s="8" t="s">
        <v>31693</v>
      </c>
      <c r="Q7140" s="8">
        <f>+(63+47/60+32/3600)</f>
        <v>63.792222222222222</v>
      </c>
      <c r="R7140" s="8">
        <v>13.3</v>
      </c>
      <c r="S7140" s="8">
        <v>13</v>
      </c>
      <c r="T7140" s="8">
        <v>99</v>
      </c>
      <c r="U7140" s="8">
        <v>99</v>
      </c>
      <c r="V7140" s="8">
        <v>1.28</v>
      </c>
      <c r="Y7140" s="8" t="s">
        <v>31694</v>
      </c>
      <c r="Z7140" s="8" t="s">
        <v>19767</v>
      </c>
    </row>
    <row r="7141" spans="1:26" x14ac:dyDescent="0.2">
      <c r="A7141" s="8">
        <v>7140</v>
      </c>
      <c r="B7141" s="8" t="s">
        <v>31695</v>
      </c>
      <c r="C7141" s="8" t="s">
        <v>31695</v>
      </c>
      <c r="F7141" s="47"/>
      <c r="G7141" s="8">
        <v>16</v>
      </c>
      <c r="H7141" s="8" t="s">
        <v>21</v>
      </c>
      <c r="I7141" s="8" t="s">
        <v>22</v>
      </c>
      <c r="J7141" s="8" t="s">
        <v>22</v>
      </c>
      <c r="K7141" s="8" t="s">
        <v>85</v>
      </c>
      <c r="L7141" s="8" t="s">
        <v>30731</v>
      </c>
      <c r="M7141" s="8" t="s">
        <v>30732</v>
      </c>
      <c r="N7141" s="8" t="s">
        <v>31696</v>
      </c>
      <c r="O7141" s="8">
        <f>21+52/60+15.1/3600</f>
        <v>21.870861111111111</v>
      </c>
      <c r="P7141" s="8" t="s">
        <v>31697</v>
      </c>
      <c r="Q7141" s="8">
        <f>-(55+34/60+11/3600)</f>
        <v>-55.569722222222225</v>
      </c>
      <c r="R7141" s="8">
        <v>11.5</v>
      </c>
      <c r="S7141" s="8">
        <v>12.2</v>
      </c>
      <c r="T7141" s="8">
        <v>0.7</v>
      </c>
      <c r="U7141" s="8">
        <v>14.1</v>
      </c>
      <c r="V7141" s="8">
        <v>4.0999999999999996</v>
      </c>
      <c r="W7141" s="8">
        <v>3</v>
      </c>
      <c r="X7141" s="8">
        <v>18</v>
      </c>
      <c r="Y7141" s="8" t="s">
        <v>20532</v>
      </c>
      <c r="Z7141" s="8" t="s">
        <v>20533</v>
      </c>
    </row>
    <row r="7142" spans="1:26" x14ac:dyDescent="0.2">
      <c r="A7142" s="8">
        <v>7141</v>
      </c>
      <c r="B7142" s="8" t="s">
        <v>31698</v>
      </c>
      <c r="C7142" s="8" t="s">
        <v>31698</v>
      </c>
      <c r="F7142" s="47"/>
      <c r="G7142" s="8">
        <v>16</v>
      </c>
      <c r="H7142" s="8" t="s">
        <v>21</v>
      </c>
      <c r="I7142" s="8" t="s">
        <v>22</v>
      </c>
      <c r="J7142" s="8" t="s">
        <v>57</v>
      </c>
      <c r="K7142" s="8" t="s">
        <v>85</v>
      </c>
      <c r="L7142" s="8" t="s">
        <v>30731</v>
      </c>
      <c r="M7142" s="8" t="s">
        <v>30732</v>
      </c>
      <c r="N7142" s="8" t="s">
        <v>31696</v>
      </c>
      <c r="O7142" s="8">
        <f>21+52/60+15.1/3600</f>
        <v>21.870861111111111</v>
      </c>
      <c r="P7142" s="8" t="s">
        <v>31697</v>
      </c>
      <c r="Q7142" s="8">
        <f>-(55+34/60+11/3600)</f>
        <v>-55.569722222222225</v>
      </c>
      <c r="R7142" s="8">
        <v>11.5</v>
      </c>
      <c r="S7142" s="8">
        <v>12.2</v>
      </c>
      <c r="T7142" s="8">
        <v>0.7</v>
      </c>
      <c r="U7142" s="8">
        <v>14.1</v>
      </c>
      <c r="V7142" s="8">
        <v>4.0999999999999996</v>
      </c>
      <c r="W7142" s="8">
        <v>3</v>
      </c>
      <c r="X7142" s="8">
        <v>18</v>
      </c>
      <c r="Y7142" s="8" t="s">
        <v>20532</v>
      </c>
      <c r="Z7142" s="8" t="s">
        <v>31699</v>
      </c>
    </row>
    <row r="7143" spans="1:26" x14ac:dyDescent="0.2">
      <c r="A7143" s="8">
        <v>7142</v>
      </c>
      <c r="B7143" s="8" t="s">
        <v>31700</v>
      </c>
      <c r="C7143" s="8" t="s">
        <v>31700</v>
      </c>
      <c r="F7143" s="47" t="s">
        <v>58304</v>
      </c>
      <c r="G7143" s="8">
        <v>6</v>
      </c>
      <c r="H7143" s="8" t="s">
        <v>21</v>
      </c>
      <c r="I7143" s="8" t="s">
        <v>557</v>
      </c>
      <c r="J7143" s="8" t="s">
        <v>557</v>
      </c>
      <c r="K7143" s="8" t="s">
        <v>981</v>
      </c>
      <c r="L7143" s="8" t="s">
        <v>242</v>
      </c>
      <c r="M7143" s="8" t="s">
        <v>243</v>
      </c>
      <c r="N7143" s="8" t="s">
        <v>31701</v>
      </c>
      <c r="O7143" s="8">
        <f>21+45/60+9.4/3600</f>
        <v>21.752611111111111</v>
      </c>
      <c r="P7143" s="8" t="s">
        <v>31702</v>
      </c>
      <c r="Q7143" s="8">
        <f>+(65+46/60+28/3600)</f>
        <v>65.774444444444441</v>
      </c>
      <c r="R7143" s="8">
        <v>9.3000000000000007</v>
      </c>
      <c r="S7143" s="8">
        <v>99</v>
      </c>
      <c r="T7143" s="8">
        <v>99</v>
      </c>
      <c r="U7143" s="8">
        <v>99</v>
      </c>
      <c r="V7143" s="8">
        <v>12</v>
      </c>
      <c r="Y7143" s="8" t="s">
        <v>31703</v>
      </c>
      <c r="Z7143" s="8" t="s">
        <v>31704</v>
      </c>
    </row>
    <row r="7144" spans="1:26" x14ac:dyDescent="0.2">
      <c r="A7144" s="8">
        <v>7143</v>
      </c>
      <c r="B7144" s="8" t="s">
        <v>31705</v>
      </c>
      <c r="C7144" s="8" t="s">
        <v>31705</v>
      </c>
      <c r="F7144" s="47"/>
      <c r="G7144" s="8">
        <v>16</v>
      </c>
      <c r="H7144" s="8" t="s">
        <v>21</v>
      </c>
      <c r="I7144" s="8" t="s">
        <v>72</v>
      </c>
      <c r="J7144" s="8" t="s">
        <v>72</v>
      </c>
      <c r="K7144" s="8" t="s">
        <v>73</v>
      </c>
      <c r="L7144" s="8" t="s">
        <v>30032</v>
      </c>
      <c r="M7144" s="8" t="s">
        <v>30033</v>
      </c>
      <c r="N7144" s="8" t="s">
        <v>31706</v>
      </c>
      <c r="O7144" s="8">
        <f>21+48/60+53.9/3600</f>
        <v>21.814972222222224</v>
      </c>
      <c r="P7144" s="8" t="s">
        <v>31707</v>
      </c>
      <c r="Q7144" s="8">
        <f>+(29+57/60+26/3600)</f>
        <v>29.957222222222221</v>
      </c>
      <c r="R7144" s="8">
        <v>99</v>
      </c>
      <c r="S7144" s="8">
        <v>99</v>
      </c>
      <c r="T7144" s="8">
        <v>99</v>
      </c>
      <c r="U7144" s="8">
        <v>99</v>
      </c>
      <c r="Y7144" s="8" t="s">
        <v>31708</v>
      </c>
      <c r="Z7144" s="8" t="s">
        <v>31709</v>
      </c>
    </row>
    <row r="7145" spans="1:26" x14ac:dyDescent="0.2">
      <c r="A7145" s="8">
        <v>7144</v>
      </c>
      <c r="B7145" s="8" t="s">
        <v>31710</v>
      </c>
      <c r="C7145" s="8" t="s">
        <v>31710</v>
      </c>
      <c r="F7145" s="47"/>
      <c r="G7145" s="8">
        <v>13</v>
      </c>
      <c r="H7145" s="8" t="s">
        <v>21</v>
      </c>
      <c r="I7145" s="8" t="s">
        <v>22</v>
      </c>
      <c r="J7145" s="8" t="s">
        <v>22</v>
      </c>
      <c r="K7145" s="8" t="s">
        <v>460</v>
      </c>
      <c r="L7145" s="8" t="s">
        <v>31389</v>
      </c>
      <c r="M7145" s="8" t="s">
        <v>31390</v>
      </c>
      <c r="N7145" s="8" t="s">
        <v>31711</v>
      </c>
      <c r="O7145" s="8">
        <f>21+52/60+42.6/3600</f>
        <v>21.878499999999999</v>
      </c>
      <c r="P7145" s="8" t="s">
        <v>7288</v>
      </c>
      <c r="Q7145" s="8">
        <f>-(48+15/60+17/3600)</f>
        <v>-48.25472222222222</v>
      </c>
      <c r="R7145" s="8">
        <v>10.8</v>
      </c>
      <c r="S7145" s="8">
        <v>11.7</v>
      </c>
      <c r="T7145" s="8">
        <v>0.9</v>
      </c>
      <c r="U7145" s="8">
        <v>13.6</v>
      </c>
      <c r="V7145" s="8">
        <v>3.7</v>
      </c>
      <c r="W7145" s="8">
        <v>3.6</v>
      </c>
      <c r="Y7145" s="8" t="s">
        <v>31712</v>
      </c>
      <c r="Z7145" s="8" t="s">
        <v>31713</v>
      </c>
    </row>
    <row r="7146" spans="1:26" x14ac:dyDescent="0.2">
      <c r="A7146" s="8">
        <v>7145</v>
      </c>
      <c r="B7146" s="8" t="s">
        <v>31714</v>
      </c>
      <c r="C7146" s="8" t="s">
        <v>31714</v>
      </c>
      <c r="F7146" s="47"/>
      <c r="G7146" s="8">
        <v>13</v>
      </c>
      <c r="H7146" s="8" t="s">
        <v>21</v>
      </c>
      <c r="I7146" s="8" t="s">
        <v>22</v>
      </c>
      <c r="J7146" s="8" t="s">
        <v>22</v>
      </c>
      <c r="K7146" s="8" t="s">
        <v>183</v>
      </c>
      <c r="L7146" s="8" t="s">
        <v>31389</v>
      </c>
      <c r="M7146" s="8" t="s">
        <v>31390</v>
      </c>
      <c r="N7146" s="8" t="s">
        <v>31715</v>
      </c>
      <c r="O7146" s="8">
        <f>21+53/60+20.5/3600</f>
        <v>21.889027777777777</v>
      </c>
      <c r="P7146" s="8" t="s">
        <v>31716</v>
      </c>
      <c r="Q7146" s="8">
        <f>-(47+52/60+57/3600)</f>
        <v>-47.8825</v>
      </c>
      <c r="R7146" s="8">
        <v>11.2</v>
      </c>
      <c r="S7146" s="8">
        <v>12</v>
      </c>
      <c r="T7146" s="8">
        <v>0.8</v>
      </c>
      <c r="U7146" s="8">
        <v>13.1</v>
      </c>
      <c r="V7146" s="8">
        <v>2.5</v>
      </c>
      <c r="W7146" s="8">
        <v>2.2999999999999998</v>
      </c>
      <c r="X7146" s="8">
        <v>173</v>
      </c>
      <c r="Y7146" s="8" t="s">
        <v>31717</v>
      </c>
      <c r="Z7146" s="8" t="s">
        <v>31718</v>
      </c>
    </row>
    <row r="7147" spans="1:26" x14ac:dyDescent="0.2">
      <c r="A7147" s="8">
        <v>7146</v>
      </c>
      <c r="B7147" s="8" t="s">
        <v>31719</v>
      </c>
      <c r="C7147" s="8" t="s">
        <v>31719</v>
      </c>
      <c r="F7147" s="47"/>
      <c r="G7147" s="8">
        <v>18</v>
      </c>
      <c r="H7147" s="8" t="s">
        <v>21</v>
      </c>
      <c r="I7147" s="8" t="s">
        <v>22</v>
      </c>
      <c r="J7147" s="8" t="s">
        <v>22</v>
      </c>
      <c r="K7147" s="8" t="s">
        <v>406</v>
      </c>
      <c r="L7147" s="8" t="s">
        <v>24</v>
      </c>
      <c r="M7147" s="8" t="s">
        <v>25</v>
      </c>
      <c r="N7147" s="8" t="s">
        <v>31720</v>
      </c>
      <c r="O7147" s="8">
        <f>21+51/60+47.4/3600</f>
        <v>21.863166666666668</v>
      </c>
      <c r="P7147" s="8" t="s">
        <v>31721</v>
      </c>
      <c r="Q7147" s="8">
        <f>+(3+1/60+2/3600)</f>
        <v>3.0172222222222222</v>
      </c>
      <c r="R7147" s="8">
        <v>14.3</v>
      </c>
      <c r="S7147" s="8">
        <v>15.1</v>
      </c>
      <c r="T7147" s="8">
        <v>0.8</v>
      </c>
      <c r="U7147" s="8">
        <v>13.4</v>
      </c>
      <c r="V7147" s="8">
        <v>1</v>
      </c>
      <c r="W7147" s="8">
        <v>0.6</v>
      </c>
      <c r="X7147" s="8">
        <v>80</v>
      </c>
      <c r="Y7147" s="8" t="s">
        <v>12871</v>
      </c>
      <c r="Z7147" s="8" t="s">
        <v>12872</v>
      </c>
    </row>
    <row r="7148" spans="1:26" x14ac:dyDescent="0.2">
      <c r="A7148" s="8">
        <v>7147</v>
      </c>
      <c r="B7148" s="8" t="s">
        <v>31722</v>
      </c>
      <c r="C7148" s="8" t="s">
        <v>31722</v>
      </c>
      <c r="F7148" s="47"/>
      <c r="G7148" s="8">
        <v>18</v>
      </c>
      <c r="H7148" s="8" t="s">
        <v>21</v>
      </c>
      <c r="I7148" s="8" t="s">
        <v>22</v>
      </c>
      <c r="J7148" s="8" t="s">
        <v>22</v>
      </c>
      <c r="K7148" s="8" t="s">
        <v>435</v>
      </c>
      <c r="L7148" s="8" t="s">
        <v>24</v>
      </c>
      <c r="M7148" s="8" t="s">
        <v>25</v>
      </c>
      <c r="N7148" s="8" t="s">
        <v>31723</v>
      </c>
      <c r="O7148" s="8">
        <f>21+51/60+58.3/3600</f>
        <v>21.866194444444446</v>
      </c>
      <c r="P7148" s="8" t="s">
        <v>31724</v>
      </c>
      <c r="Q7148" s="8">
        <f>+(3+4/60+20/3600)</f>
        <v>3.0722222222222224</v>
      </c>
      <c r="R7148" s="8">
        <v>13.5</v>
      </c>
      <c r="S7148" s="8">
        <v>14.4</v>
      </c>
      <c r="T7148" s="8">
        <v>0.9</v>
      </c>
      <c r="U7148" s="8">
        <v>13.3</v>
      </c>
      <c r="V7148" s="8">
        <v>1</v>
      </c>
      <c r="W7148" s="8">
        <v>0.9</v>
      </c>
      <c r="X7148" s="8">
        <v>5</v>
      </c>
      <c r="Y7148" s="8" t="s">
        <v>3253</v>
      </c>
      <c r="Z7148" s="8" t="s">
        <v>3254</v>
      </c>
    </row>
    <row r="7149" spans="1:26" x14ac:dyDescent="0.2">
      <c r="A7149" s="8">
        <v>7148</v>
      </c>
      <c r="B7149" s="8" t="s">
        <v>31725</v>
      </c>
      <c r="C7149" s="8" t="s">
        <v>31725</v>
      </c>
      <c r="F7149" s="47"/>
      <c r="G7149" s="8">
        <v>18</v>
      </c>
      <c r="H7149" s="8" t="s">
        <v>21</v>
      </c>
      <c r="I7149" s="8" t="s">
        <v>72</v>
      </c>
      <c r="J7149" s="8" t="s">
        <v>72</v>
      </c>
      <c r="K7149" s="8" t="s">
        <v>73</v>
      </c>
      <c r="L7149" s="8" t="s">
        <v>24</v>
      </c>
      <c r="M7149" s="8" t="s">
        <v>25</v>
      </c>
      <c r="N7149" s="8" t="s">
        <v>31726</v>
      </c>
      <c r="O7149" s="8">
        <f>21+52/60+8.4/3600</f>
        <v>21.869</v>
      </c>
      <c r="P7149" s="8" t="s">
        <v>31727</v>
      </c>
      <c r="Q7149" s="8">
        <f>+(3+20/60+31/3600)</f>
        <v>3.3419444444444446</v>
      </c>
      <c r="R7149" s="8">
        <v>99</v>
      </c>
      <c r="S7149" s="8">
        <v>99</v>
      </c>
      <c r="T7149" s="8">
        <v>99</v>
      </c>
      <c r="U7149" s="8">
        <v>99</v>
      </c>
      <c r="Y7149" s="8" t="s">
        <v>421</v>
      </c>
      <c r="Z7149" s="8" t="s">
        <v>422</v>
      </c>
    </row>
    <row r="7150" spans="1:26" x14ac:dyDescent="0.2">
      <c r="A7150" s="8">
        <v>7149</v>
      </c>
      <c r="B7150" s="8" t="s">
        <v>31728</v>
      </c>
      <c r="C7150" s="8" t="s">
        <v>31728</v>
      </c>
      <c r="F7150" s="47"/>
      <c r="G7150" s="8">
        <v>18</v>
      </c>
      <c r="H7150" s="8" t="s">
        <v>21</v>
      </c>
      <c r="I7150" s="8" t="s">
        <v>22</v>
      </c>
      <c r="J7150" s="8" t="s">
        <v>22</v>
      </c>
      <c r="K7150" s="8" t="s">
        <v>382</v>
      </c>
      <c r="L7150" s="8" t="s">
        <v>24</v>
      </c>
      <c r="M7150" s="8" t="s">
        <v>25</v>
      </c>
      <c r="N7150" s="8" t="s">
        <v>31729</v>
      </c>
      <c r="O7150" s="8">
        <f>21+52/60+11.6/3600</f>
        <v>21.869888888888891</v>
      </c>
      <c r="P7150" s="8" t="s">
        <v>31730</v>
      </c>
      <c r="Q7150" s="8">
        <f>+(3+18/60+6/3600)</f>
        <v>3.3016666666666663</v>
      </c>
      <c r="R7150" s="8">
        <v>13.2</v>
      </c>
      <c r="S7150" s="8">
        <v>14.2</v>
      </c>
      <c r="T7150" s="8">
        <v>1</v>
      </c>
      <c r="U7150" s="8">
        <v>13.4</v>
      </c>
      <c r="V7150" s="8">
        <v>1.3</v>
      </c>
      <c r="W7150" s="8">
        <v>0.9</v>
      </c>
      <c r="X7150" s="8">
        <v>25</v>
      </c>
      <c r="Y7150" s="8" t="s">
        <v>421</v>
      </c>
      <c r="Z7150" s="8" t="s">
        <v>422</v>
      </c>
    </row>
    <row r="7151" spans="1:26" x14ac:dyDescent="0.2">
      <c r="A7151" s="8">
        <v>7150</v>
      </c>
      <c r="B7151" s="8" t="s">
        <v>31731</v>
      </c>
      <c r="C7151" s="8" t="s">
        <v>31731</v>
      </c>
      <c r="F7151" s="47"/>
      <c r="G7151" s="8">
        <v>18</v>
      </c>
      <c r="H7151" s="8" t="s">
        <v>21</v>
      </c>
      <c r="I7151" s="8" t="s">
        <v>72</v>
      </c>
      <c r="J7151" s="8" t="s">
        <v>72</v>
      </c>
      <c r="K7151" s="8" t="s">
        <v>1405</v>
      </c>
      <c r="L7151" s="8" t="s">
        <v>30032</v>
      </c>
      <c r="M7151" s="8" t="s">
        <v>30033</v>
      </c>
      <c r="N7151" s="8" t="s">
        <v>31732</v>
      </c>
      <c r="O7151" s="8">
        <f>21+50/60+23/3600</f>
        <v>21.839722222222221</v>
      </c>
      <c r="P7151" s="8" t="s">
        <v>31733</v>
      </c>
      <c r="Q7151" s="8">
        <f>+(49+45/60+22/3600)</f>
        <v>49.75611111111111</v>
      </c>
      <c r="R7151" s="8">
        <v>99</v>
      </c>
      <c r="S7151" s="8">
        <v>99</v>
      </c>
      <c r="T7151" s="8">
        <v>99</v>
      </c>
      <c r="U7151" s="8">
        <v>99</v>
      </c>
      <c r="Y7151" s="8" t="s">
        <v>31734</v>
      </c>
      <c r="Z7151" s="8" t="s">
        <v>14374</v>
      </c>
    </row>
    <row r="7152" spans="1:26" x14ac:dyDescent="0.2">
      <c r="A7152" s="8">
        <v>7151</v>
      </c>
      <c r="B7152" s="8" t="s">
        <v>31735</v>
      </c>
      <c r="C7152" s="8" t="s">
        <v>31735</v>
      </c>
      <c r="F7152" s="47"/>
      <c r="G7152" s="8">
        <v>16</v>
      </c>
      <c r="H7152" s="8" t="s">
        <v>21</v>
      </c>
      <c r="I7152" s="8" t="s">
        <v>22</v>
      </c>
      <c r="J7152" s="8" t="s">
        <v>22</v>
      </c>
      <c r="K7152" s="8" t="s">
        <v>64</v>
      </c>
      <c r="L7152" s="8" t="s">
        <v>30731</v>
      </c>
      <c r="M7152" s="8" t="s">
        <v>30732</v>
      </c>
      <c r="N7152" s="8" t="s">
        <v>31736</v>
      </c>
      <c r="O7152" s="8">
        <f>21+55/60+4/3600</f>
        <v>21.917777777777779</v>
      </c>
      <c r="P7152" s="8" t="s">
        <v>31737</v>
      </c>
      <c r="Q7152" s="8">
        <f>-(50+39/60+29/3600)</f>
        <v>-50.658055555555556</v>
      </c>
      <c r="R7152" s="8">
        <v>12.7</v>
      </c>
      <c r="S7152" s="8">
        <v>13.4</v>
      </c>
      <c r="T7152" s="8">
        <v>0.7</v>
      </c>
      <c r="U7152" s="8">
        <v>13.9</v>
      </c>
      <c r="V7152" s="8">
        <v>2.9</v>
      </c>
      <c r="W7152" s="8">
        <v>1.1000000000000001</v>
      </c>
      <c r="X7152" s="8">
        <v>75</v>
      </c>
      <c r="Y7152" s="8" t="s">
        <v>31738</v>
      </c>
      <c r="Z7152" s="8" t="s">
        <v>31739</v>
      </c>
    </row>
    <row r="7153" spans="1:26" x14ac:dyDescent="0.2">
      <c r="A7153" s="8">
        <v>7152</v>
      </c>
      <c r="B7153" s="8" t="s">
        <v>31740</v>
      </c>
      <c r="C7153" s="8" t="s">
        <v>31740</v>
      </c>
      <c r="F7153" s="47"/>
      <c r="G7153" s="8">
        <v>16</v>
      </c>
      <c r="H7153" s="8" t="s">
        <v>21</v>
      </c>
      <c r="I7153" s="8" t="s">
        <v>22</v>
      </c>
      <c r="J7153" s="8" t="s">
        <v>22</v>
      </c>
      <c r="K7153" s="8" t="s">
        <v>218</v>
      </c>
      <c r="L7153" s="8" t="s">
        <v>31565</v>
      </c>
      <c r="M7153" s="8" t="s">
        <v>31566</v>
      </c>
      <c r="N7153" s="8" t="s">
        <v>31741</v>
      </c>
      <c r="O7153" s="8">
        <f>21+53/60+59/3600</f>
        <v>21.899722222222223</v>
      </c>
      <c r="P7153" s="8" t="s">
        <v>31742</v>
      </c>
      <c r="Q7153" s="8">
        <f>-(29+17/60+21/3600)</f>
        <v>-29.289166666666667</v>
      </c>
      <c r="R7153" s="8">
        <v>13.6</v>
      </c>
      <c r="S7153" s="8">
        <v>14.4</v>
      </c>
      <c r="T7153" s="8">
        <v>0.8</v>
      </c>
      <c r="U7153" s="8">
        <v>13.1</v>
      </c>
      <c r="V7153" s="8">
        <v>1.2</v>
      </c>
      <c r="W7153" s="8">
        <v>0.6</v>
      </c>
      <c r="X7153" s="8">
        <v>17</v>
      </c>
      <c r="Y7153" s="8" t="s">
        <v>31743</v>
      </c>
      <c r="Z7153" s="8" t="s">
        <v>31744</v>
      </c>
    </row>
    <row r="7154" spans="1:26" x14ac:dyDescent="0.2">
      <c r="A7154" s="8">
        <v>7153</v>
      </c>
      <c r="B7154" s="8" t="s">
        <v>31745</v>
      </c>
      <c r="C7154" s="8" t="s">
        <v>31745</v>
      </c>
      <c r="F7154" s="47"/>
      <c r="G7154" s="8">
        <v>16</v>
      </c>
      <c r="H7154" s="8" t="s">
        <v>21</v>
      </c>
      <c r="I7154" s="8" t="s">
        <v>22</v>
      </c>
      <c r="J7154" s="8" t="s">
        <v>22</v>
      </c>
      <c r="K7154" s="8" t="s">
        <v>23</v>
      </c>
      <c r="L7154" s="8" t="s">
        <v>31565</v>
      </c>
      <c r="M7154" s="8" t="s">
        <v>31566</v>
      </c>
      <c r="N7154" s="8" t="s">
        <v>31746</v>
      </c>
      <c r="O7154" s="8">
        <f>21+54/60+35.3/3600</f>
        <v>21.909805555555554</v>
      </c>
      <c r="P7154" s="8" t="s">
        <v>31747</v>
      </c>
      <c r="Q7154" s="8">
        <f>-(29+3/60+50/3600)</f>
        <v>-29.06388888888889</v>
      </c>
      <c r="R7154" s="8">
        <v>13.2</v>
      </c>
      <c r="S7154" s="8">
        <v>14</v>
      </c>
      <c r="T7154" s="8">
        <v>0.8</v>
      </c>
      <c r="U7154" s="8">
        <v>12.5</v>
      </c>
      <c r="V7154" s="8">
        <v>1.9</v>
      </c>
      <c r="W7154" s="8">
        <v>0.3</v>
      </c>
      <c r="X7154" s="8">
        <v>68</v>
      </c>
      <c r="Y7154" s="8" t="s">
        <v>31748</v>
      </c>
      <c r="Z7154" s="8" t="s">
        <v>31749</v>
      </c>
    </row>
    <row r="7155" spans="1:26" x14ac:dyDescent="0.2">
      <c r="A7155" s="8">
        <v>7154</v>
      </c>
      <c r="B7155" s="8" t="s">
        <v>31750</v>
      </c>
      <c r="C7155" s="8" t="s">
        <v>31750</v>
      </c>
      <c r="F7155" s="47"/>
      <c r="G7155" s="8">
        <v>13</v>
      </c>
      <c r="H7155" s="8" t="s">
        <v>21</v>
      </c>
      <c r="I7155" s="8" t="s">
        <v>22</v>
      </c>
      <c r="J7155" s="8" t="s">
        <v>22</v>
      </c>
      <c r="K7155" s="8" t="s">
        <v>323</v>
      </c>
      <c r="L7155" s="8" t="s">
        <v>31565</v>
      </c>
      <c r="M7155" s="8" t="s">
        <v>31566</v>
      </c>
      <c r="N7155" s="8" t="s">
        <v>31751</v>
      </c>
      <c r="O7155" s="8">
        <f>21+55/60+21.1/3600</f>
        <v>21.92252777777778</v>
      </c>
      <c r="P7155" s="8" t="s">
        <v>31752</v>
      </c>
      <c r="Q7155" s="8">
        <f>-(34+48/60+50/3600)</f>
        <v>-34.813888888888883</v>
      </c>
      <c r="R7155" s="8">
        <v>12.4</v>
      </c>
      <c r="S7155" s="8">
        <v>12.9</v>
      </c>
      <c r="T7155" s="8">
        <v>0.5</v>
      </c>
      <c r="U7155" s="8">
        <v>13.6</v>
      </c>
      <c r="V7155" s="8">
        <v>2.2000000000000002</v>
      </c>
      <c r="W7155" s="8">
        <v>1.8</v>
      </c>
      <c r="X7155" s="8">
        <v>102</v>
      </c>
      <c r="Y7155" s="8" t="s">
        <v>31753</v>
      </c>
      <c r="Z7155" s="8" t="s">
        <v>31754</v>
      </c>
    </row>
    <row r="7156" spans="1:26" x14ac:dyDescent="0.2">
      <c r="A7156" s="8">
        <v>7155</v>
      </c>
      <c r="B7156" s="8" t="s">
        <v>31755</v>
      </c>
      <c r="C7156" s="8" t="s">
        <v>31755</v>
      </c>
      <c r="F7156" s="47"/>
      <c r="G7156" s="8">
        <v>13</v>
      </c>
      <c r="H7156" s="8" t="s">
        <v>21</v>
      </c>
      <c r="I7156" s="8" t="s">
        <v>22</v>
      </c>
      <c r="J7156" s="8" t="s">
        <v>22</v>
      </c>
      <c r="K7156" s="8" t="s">
        <v>224</v>
      </c>
      <c r="L7156" s="8" t="s">
        <v>30731</v>
      </c>
      <c r="M7156" s="8" t="s">
        <v>30732</v>
      </c>
      <c r="N7156" s="8" t="s">
        <v>31756</v>
      </c>
      <c r="O7156" s="8">
        <f>21+56/60+9.8/3600</f>
        <v>21.936055555555555</v>
      </c>
      <c r="P7156" s="8" t="s">
        <v>31757</v>
      </c>
      <c r="Q7156" s="8">
        <f>-(49+31/60+19/3600)</f>
        <v>-49.521944444444443</v>
      </c>
      <c r="R7156" s="8">
        <v>12.2</v>
      </c>
      <c r="S7156" s="8">
        <v>13.1</v>
      </c>
      <c r="T7156" s="8">
        <v>0.9</v>
      </c>
      <c r="U7156" s="8">
        <v>13.5</v>
      </c>
      <c r="V7156" s="8">
        <v>2.2999999999999998</v>
      </c>
      <c r="W7156" s="8">
        <v>2</v>
      </c>
      <c r="X7156" s="8">
        <v>4</v>
      </c>
      <c r="Y7156" s="8" t="s">
        <v>16526</v>
      </c>
      <c r="Z7156" s="8" t="s">
        <v>16527</v>
      </c>
    </row>
    <row r="7157" spans="1:26" x14ac:dyDescent="0.2">
      <c r="A7157" s="8">
        <v>7156</v>
      </c>
      <c r="B7157" s="8" t="s">
        <v>31758</v>
      </c>
      <c r="C7157" s="8" t="s">
        <v>31758</v>
      </c>
      <c r="F7157" s="47" t="s">
        <v>58305</v>
      </c>
      <c r="G7157" s="8">
        <v>6.5</v>
      </c>
      <c r="H7157" s="8" t="s">
        <v>21</v>
      </c>
      <c r="I7157" s="8" t="s">
        <v>22</v>
      </c>
      <c r="J7157" s="8" t="s">
        <v>22</v>
      </c>
      <c r="K7157" s="8" t="s">
        <v>64</v>
      </c>
      <c r="L7157" s="8" t="s">
        <v>24</v>
      </c>
      <c r="M7157" s="8" t="s">
        <v>25</v>
      </c>
      <c r="N7157" s="8" t="s">
        <v>31759</v>
      </c>
      <c r="O7157" s="8">
        <f>21+54/60+33.5/3600</f>
        <v>21.909305555555555</v>
      </c>
      <c r="P7157" s="8" t="s">
        <v>31760</v>
      </c>
      <c r="Q7157" s="8">
        <f>+(2+56/60+32/3600)</f>
        <v>2.9422222222222225</v>
      </c>
      <c r="R7157" s="8">
        <v>12.5</v>
      </c>
      <c r="S7157" s="8">
        <v>13.1</v>
      </c>
      <c r="T7157" s="8">
        <v>0.6</v>
      </c>
      <c r="U7157" s="8">
        <v>13.3</v>
      </c>
      <c r="V7157" s="8">
        <v>1.7</v>
      </c>
      <c r="W7157" s="8">
        <v>1.4</v>
      </c>
      <c r="X7157" s="8">
        <v>96</v>
      </c>
      <c r="Y7157" s="8" t="s">
        <v>20434</v>
      </c>
      <c r="Z7157" s="8" t="s">
        <v>20435</v>
      </c>
    </row>
    <row r="7158" spans="1:26" x14ac:dyDescent="0.2">
      <c r="A7158" s="8">
        <v>7157</v>
      </c>
      <c r="B7158" s="8" t="s">
        <v>31761</v>
      </c>
      <c r="C7158" s="8" t="s">
        <v>31761</v>
      </c>
      <c r="F7158" s="47"/>
      <c r="G7158" s="8">
        <v>19</v>
      </c>
      <c r="H7158" s="8" t="s">
        <v>21</v>
      </c>
      <c r="I7158" s="8" t="s">
        <v>22</v>
      </c>
      <c r="J7158" s="8" t="s">
        <v>22</v>
      </c>
      <c r="K7158" s="8" t="s">
        <v>154</v>
      </c>
      <c r="L7158" s="8" t="s">
        <v>31565</v>
      </c>
      <c r="M7158" s="8" t="s">
        <v>31566</v>
      </c>
      <c r="N7158" s="8" t="s">
        <v>31762</v>
      </c>
      <c r="O7158" s="8">
        <f>21+56/60+56.7/3600</f>
        <v>21.949083333333334</v>
      </c>
      <c r="P7158" s="8" t="s">
        <v>31763</v>
      </c>
      <c r="Q7158" s="8">
        <f>-(25+21/60+3/3600)</f>
        <v>-25.350833333333334</v>
      </c>
      <c r="R7158" s="8">
        <v>14</v>
      </c>
      <c r="S7158" s="8">
        <v>14.9</v>
      </c>
      <c r="T7158" s="8">
        <v>0.9</v>
      </c>
      <c r="U7158" s="8">
        <v>13.2</v>
      </c>
      <c r="V7158" s="8">
        <v>1.1000000000000001</v>
      </c>
      <c r="W7158" s="8">
        <v>0.5</v>
      </c>
      <c r="X7158" s="8">
        <v>5</v>
      </c>
      <c r="Y7158" s="8" t="s">
        <v>31764</v>
      </c>
      <c r="Z7158" s="8" t="s">
        <v>31765</v>
      </c>
    </row>
    <row r="7159" spans="1:26" x14ac:dyDescent="0.2">
      <c r="A7159" s="8">
        <v>7158</v>
      </c>
      <c r="B7159" s="8" t="s">
        <v>31766</v>
      </c>
      <c r="C7159" s="8" t="s">
        <v>31766</v>
      </c>
      <c r="F7159" s="47"/>
      <c r="G7159" s="8">
        <v>19</v>
      </c>
      <c r="H7159" s="8" t="s">
        <v>21</v>
      </c>
      <c r="I7159" s="8" t="s">
        <v>72</v>
      </c>
      <c r="J7159" s="8" t="s">
        <v>72</v>
      </c>
      <c r="K7159" s="8" t="s">
        <v>1802</v>
      </c>
      <c r="L7159" s="8" t="s">
        <v>30635</v>
      </c>
      <c r="M7159" s="8" t="s">
        <v>30636</v>
      </c>
      <c r="N7159" s="8" t="s">
        <v>31767</v>
      </c>
      <c r="O7159" s="8">
        <f>21+57/60+28/3600</f>
        <v>21.957777777777778</v>
      </c>
      <c r="P7159" s="8" t="s">
        <v>31768</v>
      </c>
      <c r="Q7159" s="8">
        <f>-(11+35/60+31/3600)</f>
        <v>-11.591944444444445</v>
      </c>
      <c r="R7159" s="8">
        <v>99</v>
      </c>
      <c r="S7159" s="8">
        <v>99</v>
      </c>
      <c r="T7159" s="8">
        <v>99</v>
      </c>
      <c r="U7159" s="8">
        <v>99</v>
      </c>
      <c r="Y7159" s="8" t="s">
        <v>31769</v>
      </c>
      <c r="Z7159" s="8" t="s">
        <v>31770</v>
      </c>
    </row>
    <row r="7160" spans="1:26" x14ac:dyDescent="0.2">
      <c r="A7160" s="8">
        <v>7159</v>
      </c>
      <c r="B7160" s="8" t="s">
        <v>31771</v>
      </c>
      <c r="C7160" s="8" t="s">
        <v>31771</v>
      </c>
      <c r="F7160" s="47"/>
      <c r="G7160" s="8">
        <v>19</v>
      </c>
      <c r="H7160" s="8" t="s">
        <v>21</v>
      </c>
      <c r="I7160" s="8" t="s">
        <v>22</v>
      </c>
      <c r="J7160" s="8" t="s">
        <v>22</v>
      </c>
      <c r="K7160" s="8" t="s">
        <v>449</v>
      </c>
      <c r="L7160" s="8" t="s">
        <v>24</v>
      </c>
      <c r="M7160" s="8" t="s">
        <v>25</v>
      </c>
      <c r="N7160" s="8" t="s">
        <v>31772</v>
      </c>
      <c r="O7160" s="8">
        <f>21+56/60+25.6/3600</f>
        <v>21.940444444444445</v>
      </c>
      <c r="P7160" s="8" t="s">
        <v>31773</v>
      </c>
      <c r="Q7160" s="8">
        <f>+(13+33/60+47/3600)</f>
        <v>13.563055555555556</v>
      </c>
      <c r="R7160" s="8">
        <v>14.3</v>
      </c>
      <c r="S7160" s="8">
        <v>15.3</v>
      </c>
      <c r="T7160" s="8">
        <v>1</v>
      </c>
      <c r="U7160" s="8">
        <v>12.8</v>
      </c>
      <c r="V7160" s="8">
        <v>0.6</v>
      </c>
      <c r="W7160" s="8">
        <v>0.5</v>
      </c>
      <c r="X7160" s="8">
        <v>168</v>
      </c>
      <c r="Y7160" s="8" t="s">
        <v>31774</v>
      </c>
      <c r="Z7160" s="8" t="s">
        <v>31775</v>
      </c>
    </row>
    <row r="7161" spans="1:26" x14ac:dyDescent="0.2">
      <c r="A7161" s="8">
        <v>7160</v>
      </c>
      <c r="B7161" s="8" t="s">
        <v>31776</v>
      </c>
      <c r="C7161" s="8" t="s">
        <v>31776</v>
      </c>
      <c r="F7161" s="47" t="s">
        <v>58306</v>
      </c>
      <c r="G7161" s="8">
        <v>5</v>
      </c>
      <c r="H7161" s="8" t="s">
        <v>31777</v>
      </c>
      <c r="I7161" s="8" t="s">
        <v>557</v>
      </c>
      <c r="J7161" s="8" t="s">
        <v>557</v>
      </c>
      <c r="K7161" s="8" t="s">
        <v>1840</v>
      </c>
      <c r="L7161" s="8" t="s">
        <v>242</v>
      </c>
      <c r="M7161" s="8" t="s">
        <v>243</v>
      </c>
      <c r="N7161" s="8" t="s">
        <v>31778</v>
      </c>
      <c r="O7161" s="8">
        <f>21+53/60+40.2/3600</f>
        <v>21.894500000000001</v>
      </c>
      <c r="P7161" s="8" t="s">
        <v>31779</v>
      </c>
      <c r="Q7161" s="8">
        <f>+(62+36/60+12/3600)</f>
        <v>62.603333333333332</v>
      </c>
      <c r="R7161" s="8">
        <v>6.1</v>
      </c>
      <c r="S7161" s="8">
        <v>99</v>
      </c>
      <c r="T7161" s="8">
        <v>99</v>
      </c>
      <c r="U7161" s="8">
        <v>99</v>
      </c>
      <c r="V7161" s="8">
        <v>5</v>
      </c>
      <c r="Y7161" s="8" t="s">
        <v>10665</v>
      </c>
      <c r="Z7161" s="8" t="s">
        <v>10666</v>
      </c>
    </row>
    <row r="7162" spans="1:26" x14ac:dyDescent="0.2">
      <c r="A7162" s="8">
        <v>7161</v>
      </c>
      <c r="B7162" s="8" t="s">
        <v>31780</v>
      </c>
      <c r="C7162" s="8" t="s">
        <v>31780</v>
      </c>
      <c r="F7162" s="47"/>
      <c r="G7162" s="8">
        <v>18</v>
      </c>
      <c r="H7162" s="8" t="s">
        <v>21</v>
      </c>
      <c r="I7162" s="8" t="s">
        <v>72</v>
      </c>
      <c r="J7162" s="8" t="s">
        <v>72</v>
      </c>
      <c r="K7162" s="8" t="s">
        <v>73</v>
      </c>
      <c r="L7162" s="8" t="s">
        <v>24</v>
      </c>
      <c r="M7162" s="8" t="s">
        <v>25</v>
      </c>
      <c r="N7162" s="8" t="s">
        <v>31781</v>
      </c>
      <c r="O7162" s="8">
        <f>21+56/60+57.9/3600</f>
        <v>21.949416666666668</v>
      </c>
      <c r="P7162" s="8" t="s">
        <v>31782</v>
      </c>
      <c r="Q7162" s="8">
        <f>+(2+55/60+0/3600)</f>
        <v>2.9166666666666665</v>
      </c>
      <c r="R7162" s="8">
        <v>99</v>
      </c>
      <c r="S7162" s="8">
        <v>99</v>
      </c>
      <c r="T7162" s="8">
        <v>99</v>
      </c>
      <c r="U7162" s="8">
        <v>99</v>
      </c>
      <c r="Y7162" s="8" t="s">
        <v>31783</v>
      </c>
      <c r="Z7162" s="8" t="s">
        <v>31784</v>
      </c>
    </row>
    <row r="7163" spans="1:26" x14ac:dyDescent="0.2">
      <c r="A7163" s="8">
        <v>7162</v>
      </c>
      <c r="B7163" s="8" t="s">
        <v>31785</v>
      </c>
      <c r="C7163" s="8" t="s">
        <v>31785</v>
      </c>
      <c r="F7163" s="47"/>
      <c r="G7163" s="8">
        <v>13</v>
      </c>
      <c r="H7163" s="8" t="s">
        <v>21</v>
      </c>
      <c r="I7163" s="8" t="s">
        <v>22</v>
      </c>
      <c r="J7163" s="8" t="s">
        <v>22</v>
      </c>
      <c r="K7163" s="8" t="s">
        <v>160</v>
      </c>
      <c r="L7163" s="8" t="s">
        <v>31389</v>
      </c>
      <c r="M7163" s="8" t="s">
        <v>31390</v>
      </c>
      <c r="N7163" s="8" t="s">
        <v>31786</v>
      </c>
      <c r="O7163" s="8">
        <f>21+59/60+38.8/3600</f>
        <v>21.994111111111113</v>
      </c>
      <c r="P7163" s="8" t="s">
        <v>31787</v>
      </c>
      <c r="Q7163" s="8">
        <f>-(43+18/60+16/3600)</f>
        <v>-43.304444444444442</v>
      </c>
      <c r="R7163" s="8">
        <v>12.7</v>
      </c>
      <c r="S7163" s="8">
        <v>13.3</v>
      </c>
      <c r="T7163" s="8">
        <v>0.6</v>
      </c>
      <c r="U7163" s="8">
        <v>13.7</v>
      </c>
      <c r="V7163" s="8">
        <v>2.8</v>
      </c>
      <c r="W7163" s="8">
        <v>1</v>
      </c>
      <c r="X7163" s="8">
        <v>10</v>
      </c>
      <c r="Y7163" s="8" t="s">
        <v>31788</v>
      </c>
      <c r="Z7163" s="8" t="s">
        <v>31789</v>
      </c>
    </row>
    <row r="7164" spans="1:26" x14ac:dyDescent="0.2">
      <c r="A7164" s="8">
        <v>7163</v>
      </c>
      <c r="B7164" s="8" t="s">
        <v>31790</v>
      </c>
      <c r="C7164" s="8" t="s">
        <v>31790</v>
      </c>
      <c r="F7164" s="47"/>
      <c r="G7164" s="8">
        <v>16</v>
      </c>
      <c r="H7164" s="8" t="s">
        <v>21</v>
      </c>
      <c r="I7164" s="8" t="s">
        <v>22</v>
      </c>
      <c r="J7164" s="8" t="s">
        <v>22</v>
      </c>
      <c r="K7164" s="8" t="s">
        <v>406</v>
      </c>
      <c r="L7164" s="8" t="s">
        <v>31565</v>
      </c>
      <c r="M7164" s="8" t="s">
        <v>31566</v>
      </c>
      <c r="N7164" s="8" t="s">
        <v>31791</v>
      </c>
      <c r="O7164" s="8">
        <f>21+59/60+20.3/3600</f>
        <v>21.988972222222223</v>
      </c>
      <c r="P7164" s="8" t="s">
        <v>31792</v>
      </c>
      <c r="Q7164" s="8">
        <f>-(31+53/60+1/3600)</f>
        <v>-31.883611111111112</v>
      </c>
      <c r="R7164" s="8">
        <v>13.3</v>
      </c>
      <c r="S7164" s="8">
        <v>14.5</v>
      </c>
      <c r="T7164" s="8">
        <v>1.2</v>
      </c>
      <c r="U7164" s="8">
        <v>13.9</v>
      </c>
      <c r="V7164" s="8">
        <v>1.9</v>
      </c>
      <c r="W7164" s="8">
        <v>1.1000000000000001</v>
      </c>
      <c r="X7164" s="8">
        <v>101</v>
      </c>
      <c r="Y7164" s="8" t="s">
        <v>23232</v>
      </c>
      <c r="Z7164" s="8" t="s">
        <v>23233</v>
      </c>
    </row>
    <row r="7165" spans="1:26" x14ac:dyDescent="0.2">
      <c r="A7165" s="8">
        <v>7164</v>
      </c>
      <c r="B7165" s="8" t="s">
        <v>31793</v>
      </c>
      <c r="C7165" s="8" t="s">
        <v>31793</v>
      </c>
      <c r="F7165" s="47"/>
      <c r="G7165" s="8">
        <v>19</v>
      </c>
      <c r="H7165" s="8" t="s">
        <v>21</v>
      </c>
      <c r="I7165" s="8" t="s">
        <v>22</v>
      </c>
      <c r="J7165" s="8" t="s">
        <v>22</v>
      </c>
      <c r="K7165" s="8" t="s">
        <v>632</v>
      </c>
      <c r="L7165" s="8" t="s">
        <v>30854</v>
      </c>
      <c r="M7165" s="8" t="s">
        <v>30855</v>
      </c>
      <c r="N7165" s="8" t="s">
        <v>31794</v>
      </c>
      <c r="O7165" s="8">
        <f>21+56/60+23.5/3600</f>
        <v>21.93986111111111</v>
      </c>
      <c r="P7165" s="8" t="s">
        <v>31795</v>
      </c>
      <c r="Q7165" s="8">
        <f>+(1+21/60+52/3600)</f>
        <v>1.3644444444444446</v>
      </c>
      <c r="R7165" s="8">
        <v>14.2</v>
      </c>
      <c r="S7165" s="8">
        <v>15.1</v>
      </c>
      <c r="T7165" s="8">
        <v>0.9</v>
      </c>
      <c r="U7165" s="8">
        <v>13.6</v>
      </c>
      <c r="V7165" s="8">
        <v>0.7</v>
      </c>
      <c r="W7165" s="8">
        <v>0.5</v>
      </c>
      <c r="X7165" s="8">
        <v>118</v>
      </c>
      <c r="Y7165" s="8" t="s">
        <v>31796</v>
      </c>
      <c r="Z7165" s="8" t="s">
        <v>31797</v>
      </c>
    </row>
    <row r="7166" spans="1:26" x14ac:dyDescent="0.2">
      <c r="A7166" s="8">
        <v>7165</v>
      </c>
      <c r="B7166" s="8" t="s">
        <v>31798</v>
      </c>
      <c r="C7166" s="8" t="s">
        <v>31798</v>
      </c>
      <c r="F7166" s="47" t="s">
        <v>58307</v>
      </c>
      <c r="G7166" s="8">
        <v>15</v>
      </c>
      <c r="H7166" s="8" t="s">
        <v>21</v>
      </c>
      <c r="I7166" s="8" t="s">
        <v>22</v>
      </c>
      <c r="J7166" s="8" t="s">
        <v>22</v>
      </c>
      <c r="K7166" s="8" t="s">
        <v>31</v>
      </c>
      <c r="L7166" s="8" t="s">
        <v>30854</v>
      </c>
      <c r="M7166" s="8" t="s">
        <v>30855</v>
      </c>
      <c r="N7166" s="8" t="s">
        <v>31799</v>
      </c>
      <c r="O7166" s="8">
        <f>21+59/60+26.1/3600</f>
        <v>21.990583333333333</v>
      </c>
      <c r="P7166" s="8" t="s">
        <v>31800</v>
      </c>
      <c r="Q7166" s="8">
        <f>-(16+30/60+46/3600)</f>
        <v>-16.512777777777778</v>
      </c>
      <c r="R7166" s="8">
        <v>13.7</v>
      </c>
      <c r="S7166" s="8">
        <v>14.5</v>
      </c>
      <c r="T7166" s="8">
        <v>0.8</v>
      </c>
      <c r="U7166" s="8">
        <v>13.2</v>
      </c>
      <c r="V7166" s="8">
        <v>0.9</v>
      </c>
      <c r="W7166" s="8">
        <v>0.8</v>
      </c>
      <c r="X7166" s="8">
        <v>67</v>
      </c>
      <c r="Y7166" s="8" t="s">
        <v>47</v>
      </c>
      <c r="Z7166" s="8" t="s">
        <v>48</v>
      </c>
    </row>
    <row r="7167" spans="1:26" x14ac:dyDescent="0.2">
      <c r="A7167" s="8">
        <v>7166</v>
      </c>
      <c r="B7167" s="8" t="s">
        <v>31801</v>
      </c>
      <c r="C7167" s="8" t="s">
        <v>31801</v>
      </c>
      <c r="F7167" s="47"/>
      <c r="G7167" s="8">
        <v>13</v>
      </c>
      <c r="H7167" s="8" t="s">
        <v>21</v>
      </c>
      <c r="I7167" s="8" t="s">
        <v>22</v>
      </c>
      <c r="J7167" s="8" t="s">
        <v>22</v>
      </c>
      <c r="K7167" s="8" t="s">
        <v>58</v>
      </c>
      <c r="L7167" s="8" t="s">
        <v>31389</v>
      </c>
      <c r="M7167" s="8" t="s">
        <v>31390</v>
      </c>
      <c r="N7167" s="8" t="s">
        <v>31802</v>
      </c>
      <c r="O7167" s="8">
        <f>22+0/60+32.7/3600</f>
        <v>22.009083333333333</v>
      </c>
      <c r="P7167" s="8" t="s">
        <v>31803</v>
      </c>
      <c r="Q7167" s="8">
        <f>-(43+23/60+24/3600)</f>
        <v>-43.39</v>
      </c>
      <c r="R7167" s="8">
        <v>11.9</v>
      </c>
      <c r="S7167" s="8">
        <v>12.9</v>
      </c>
      <c r="T7167" s="8">
        <v>1</v>
      </c>
      <c r="U7167" s="8">
        <v>12.6</v>
      </c>
      <c r="V7167" s="8">
        <v>2.4</v>
      </c>
      <c r="W7167" s="8">
        <v>0.9</v>
      </c>
      <c r="X7167" s="8">
        <v>14</v>
      </c>
      <c r="Y7167" s="8" t="s">
        <v>31804</v>
      </c>
      <c r="Z7167" s="8" t="s">
        <v>31805</v>
      </c>
    </row>
    <row r="7168" spans="1:26" x14ac:dyDescent="0.2">
      <c r="A7168" s="8">
        <v>7167</v>
      </c>
      <c r="B7168" s="8" t="s">
        <v>31806</v>
      </c>
      <c r="C7168" s="8" t="s">
        <v>31806</v>
      </c>
      <c r="F7168" s="47"/>
      <c r="G7168" s="8">
        <v>16</v>
      </c>
      <c r="H7168" s="8" t="s">
        <v>21</v>
      </c>
      <c r="I7168" s="8" t="s">
        <v>22</v>
      </c>
      <c r="J7168" s="8" t="s">
        <v>22</v>
      </c>
      <c r="K7168" s="8" t="s">
        <v>64</v>
      </c>
      <c r="L7168" s="8" t="s">
        <v>30854</v>
      </c>
      <c r="M7168" s="8" t="s">
        <v>30855</v>
      </c>
      <c r="N7168" s="8" t="s">
        <v>31807</v>
      </c>
      <c r="O7168" s="8">
        <f>22+0/60+30.8/3600</f>
        <v>22.008555555555557</v>
      </c>
      <c r="P7168" s="8" t="s">
        <v>31808</v>
      </c>
      <c r="Q7168" s="8">
        <f>-(24+37/60+59/3600)</f>
        <v>-24.633055555555558</v>
      </c>
      <c r="R7168" s="8">
        <v>12.5</v>
      </c>
      <c r="S7168" s="8">
        <v>13.2</v>
      </c>
      <c r="T7168" s="8">
        <v>0.7</v>
      </c>
      <c r="U7168" s="8">
        <v>13.4</v>
      </c>
      <c r="V7168" s="8">
        <v>1.7</v>
      </c>
      <c r="W7168" s="8">
        <v>1.3</v>
      </c>
      <c r="X7168" s="8">
        <v>145</v>
      </c>
      <c r="Y7168" s="8" t="s">
        <v>31809</v>
      </c>
      <c r="Z7168" s="8" t="s">
        <v>31810</v>
      </c>
    </row>
    <row r="7169" spans="1:26" x14ac:dyDescent="0.2">
      <c r="A7169" s="8">
        <v>7168</v>
      </c>
      <c r="B7169" s="8" t="s">
        <v>31811</v>
      </c>
      <c r="C7169" s="8" t="s">
        <v>31811</v>
      </c>
      <c r="F7169" s="47"/>
      <c r="G7169" s="8">
        <v>13</v>
      </c>
      <c r="H7169" s="8" t="s">
        <v>21</v>
      </c>
      <c r="I7169" s="8" t="s">
        <v>22</v>
      </c>
      <c r="J7169" s="8" t="s">
        <v>22</v>
      </c>
      <c r="K7169" s="8" t="s">
        <v>382</v>
      </c>
      <c r="L7169" s="8" t="s">
        <v>30731</v>
      </c>
      <c r="M7169" s="8" t="s">
        <v>30732</v>
      </c>
      <c r="N7169" s="8" t="s">
        <v>31812</v>
      </c>
      <c r="O7169" s="8">
        <f>22+2/60+7.3/3600</f>
        <v>22.035361111111111</v>
      </c>
      <c r="P7169" s="8" t="s">
        <v>31813</v>
      </c>
      <c r="Q7169" s="8">
        <f>-(51+44/60+36/3600)</f>
        <v>-51.743333333333332</v>
      </c>
      <c r="R7169" s="8">
        <v>11.9</v>
      </c>
      <c r="S7169" s="8">
        <v>12.9</v>
      </c>
      <c r="T7169" s="8">
        <v>1</v>
      </c>
      <c r="U7169" s="8">
        <v>13.2</v>
      </c>
      <c r="V7169" s="8">
        <v>1.9</v>
      </c>
      <c r="W7169" s="8">
        <v>1.4</v>
      </c>
      <c r="X7169" s="8">
        <v>68</v>
      </c>
      <c r="Y7169" s="8" t="s">
        <v>3061</v>
      </c>
      <c r="Z7169" s="8" t="s">
        <v>3062</v>
      </c>
    </row>
    <row r="7170" spans="1:26" x14ac:dyDescent="0.2">
      <c r="A7170" s="8">
        <v>7169</v>
      </c>
      <c r="B7170" s="8" t="s">
        <v>31814</v>
      </c>
      <c r="C7170" s="8" t="s">
        <v>31814</v>
      </c>
      <c r="F7170" s="47"/>
      <c r="G7170" s="8">
        <v>16</v>
      </c>
      <c r="H7170" s="8" t="s">
        <v>21</v>
      </c>
      <c r="I7170" s="8" t="s">
        <v>22</v>
      </c>
      <c r="J7170" s="8" t="s">
        <v>22</v>
      </c>
      <c r="K7170" s="8" t="s">
        <v>118</v>
      </c>
      <c r="L7170" s="8" t="s">
        <v>31389</v>
      </c>
      <c r="M7170" s="8" t="s">
        <v>31390</v>
      </c>
      <c r="N7170" s="8" t="s">
        <v>31815</v>
      </c>
      <c r="O7170" s="8">
        <f>22+2/60+48.7/3600</f>
        <v>22.046861111111113</v>
      </c>
      <c r="P7170" s="8" t="s">
        <v>31816</v>
      </c>
      <c r="Q7170" s="8">
        <f>-(47+41/60+51/3600)</f>
        <v>-47.697499999999998</v>
      </c>
      <c r="R7170" s="8">
        <v>13.6</v>
      </c>
      <c r="S7170" s="8">
        <v>14.6</v>
      </c>
      <c r="T7170" s="8">
        <v>1</v>
      </c>
      <c r="U7170" s="8">
        <v>12.7</v>
      </c>
      <c r="V7170" s="8">
        <v>1</v>
      </c>
      <c r="W7170" s="8">
        <v>0.5</v>
      </c>
      <c r="X7170" s="8">
        <v>78</v>
      </c>
      <c r="Y7170" s="8" t="s">
        <v>31817</v>
      </c>
      <c r="Z7170" s="8" t="s">
        <v>31818</v>
      </c>
    </row>
    <row r="7171" spans="1:26" x14ac:dyDescent="0.2">
      <c r="A7171" s="8">
        <v>7170</v>
      </c>
      <c r="B7171" s="8" t="s">
        <v>31819</v>
      </c>
      <c r="C7171" s="8" t="s">
        <v>31819</v>
      </c>
      <c r="F7171" s="47"/>
      <c r="G7171" s="8">
        <v>19</v>
      </c>
      <c r="H7171" s="8" t="s">
        <v>21</v>
      </c>
      <c r="I7171" s="8" t="s">
        <v>22</v>
      </c>
      <c r="J7171" s="8" t="s">
        <v>22</v>
      </c>
      <c r="K7171" s="8" t="s">
        <v>58</v>
      </c>
      <c r="L7171" s="8" t="s">
        <v>30854</v>
      </c>
      <c r="M7171" s="8" t="s">
        <v>30855</v>
      </c>
      <c r="N7171" s="8" t="s">
        <v>31820</v>
      </c>
      <c r="O7171" s="8">
        <f>22+1/60+26.3/3600</f>
        <v>22.02397222222222</v>
      </c>
      <c r="P7171" s="8" t="s">
        <v>31821</v>
      </c>
      <c r="Q7171" s="8">
        <f>-(5+25/60+56/3600)</f>
        <v>-5.4322222222222223</v>
      </c>
      <c r="R7171" s="8">
        <v>13.8</v>
      </c>
      <c r="S7171" s="8">
        <v>14.8</v>
      </c>
      <c r="T7171" s="8">
        <v>1</v>
      </c>
      <c r="U7171" s="8">
        <v>13.6</v>
      </c>
      <c r="V7171" s="8">
        <v>1.2</v>
      </c>
      <c r="W7171" s="8">
        <v>0.8</v>
      </c>
      <c r="X7171" s="8">
        <v>165</v>
      </c>
      <c r="Y7171" s="8" t="s">
        <v>31822</v>
      </c>
      <c r="Z7171" s="8" t="s">
        <v>31823</v>
      </c>
    </row>
    <row r="7172" spans="1:26" x14ac:dyDescent="0.2">
      <c r="A7172" s="8">
        <v>7171</v>
      </c>
      <c r="B7172" s="8" t="s">
        <v>31824</v>
      </c>
      <c r="C7172" s="8" t="s">
        <v>31824</v>
      </c>
      <c r="F7172" s="47" t="s">
        <v>58308</v>
      </c>
      <c r="G7172" s="8">
        <v>6.5</v>
      </c>
      <c r="H7172" s="8" t="s">
        <v>21</v>
      </c>
      <c r="I7172" s="8" t="s">
        <v>22</v>
      </c>
      <c r="J7172" s="8" t="s">
        <v>22</v>
      </c>
      <c r="K7172" s="8" t="s">
        <v>218</v>
      </c>
      <c r="L7172" s="8" t="s">
        <v>30854</v>
      </c>
      <c r="M7172" s="8" t="s">
        <v>30855</v>
      </c>
      <c r="N7172" s="8" t="s">
        <v>31825</v>
      </c>
      <c r="O7172" s="8">
        <f>22+1/60+1.9/3600</f>
        <v>22.017194444444442</v>
      </c>
      <c r="P7172" s="8" t="s">
        <v>31826</v>
      </c>
      <c r="Q7172" s="8">
        <f>-(13+16/60+11/3600)</f>
        <v>-13.269722222222223</v>
      </c>
      <c r="R7172" s="8">
        <v>12.2</v>
      </c>
      <c r="S7172" s="8">
        <v>12.9</v>
      </c>
      <c r="T7172" s="8">
        <v>0.7</v>
      </c>
      <c r="U7172" s="8">
        <v>13.5</v>
      </c>
      <c r="V7172" s="8">
        <v>2.6</v>
      </c>
      <c r="W7172" s="8">
        <v>1.5</v>
      </c>
      <c r="X7172" s="8">
        <v>125</v>
      </c>
      <c r="Y7172" s="8" t="s">
        <v>31827</v>
      </c>
      <c r="Z7172" s="8" t="s">
        <v>31828</v>
      </c>
    </row>
    <row r="7173" spans="1:26" x14ac:dyDescent="0.2">
      <c r="A7173" s="8">
        <v>7172</v>
      </c>
      <c r="B7173" s="8" t="s">
        <v>31829</v>
      </c>
      <c r="C7173" s="8" t="s">
        <v>31829</v>
      </c>
      <c r="F7173" s="47"/>
      <c r="G7173" s="8">
        <v>13</v>
      </c>
      <c r="H7173" s="8" t="s">
        <v>21</v>
      </c>
      <c r="I7173" s="8" t="s">
        <v>22</v>
      </c>
      <c r="J7173" s="8" t="s">
        <v>22</v>
      </c>
      <c r="K7173" s="8" t="s">
        <v>91</v>
      </c>
      <c r="L7173" s="8" t="s">
        <v>31565</v>
      </c>
      <c r="M7173" s="8" t="s">
        <v>31566</v>
      </c>
      <c r="N7173" s="8" t="s">
        <v>31830</v>
      </c>
      <c r="O7173" s="8">
        <f>22+2/60+1.7/3600</f>
        <v>22.033805555555556</v>
      </c>
      <c r="P7173" s="8" t="s">
        <v>31831</v>
      </c>
      <c r="Q7173" s="8">
        <f>-(31+52/60+12/3600)</f>
        <v>-31.87</v>
      </c>
      <c r="R7173" s="8">
        <v>11.9</v>
      </c>
      <c r="S7173" s="8">
        <v>12.9</v>
      </c>
      <c r="T7173" s="8">
        <v>1</v>
      </c>
      <c r="U7173" s="8">
        <v>13.1</v>
      </c>
      <c r="V7173" s="8">
        <v>2.4</v>
      </c>
      <c r="W7173" s="8">
        <v>1.3</v>
      </c>
      <c r="X7173" s="8">
        <v>100</v>
      </c>
      <c r="Y7173" s="8" t="s">
        <v>31832</v>
      </c>
      <c r="Z7173" s="8" t="s">
        <v>31833</v>
      </c>
    </row>
    <row r="7174" spans="1:26" x14ac:dyDescent="0.2">
      <c r="A7174" s="8">
        <v>7173</v>
      </c>
      <c r="B7174" s="8" t="s">
        <v>31834</v>
      </c>
      <c r="C7174" s="8" t="s">
        <v>31834</v>
      </c>
      <c r="F7174" s="47"/>
      <c r="G7174" s="8">
        <v>16</v>
      </c>
      <c r="H7174" s="8" t="s">
        <v>21</v>
      </c>
      <c r="I7174" s="8" t="s">
        <v>22</v>
      </c>
      <c r="J7174" s="8" t="s">
        <v>22</v>
      </c>
      <c r="K7174" s="8" t="s">
        <v>382</v>
      </c>
      <c r="L7174" s="8" t="s">
        <v>31565</v>
      </c>
      <c r="M7174" s="8" t="s">
        <v>31566</v>
      </c>
      <c r="N7174" s="8" t="s">
        <v>31835</v>
      </c>
      <c r="O7174" s="8">
        <f>22+2/60+3.1/3600</f>
        <v>22.034194444444445</v>
      </c>
      <c r="P7174" s="8" t="s">
        <v>31836</v>
      </c>
      <c r="Q7174" s="8">
        <f>-(31+58/60+23/3600)</f>
        <v>-31.973055555555554</v>
      </c>
      <c r="R7174" s="8">
        <v>12</v>
      </c>
      <c r="S7174" s="8">
        <v>13</v>
      </c>
      <c r="T7174" s="8">
        <v>1</v>
      </c>
      <c r="U7174" s="8">
        <v>12</v>
      </c>
      <c r="V7174" s="8">
        <v>1.2</v>
      </c>
      <c r="W7174" s="8">
        <v>0.9</v>
      </c>
      <c r="X7174" s="8">
        <v>143</v>
      </c>
      <c r="Y7174" s="8" t="s">
        <v>31837</v>
      </c>
      <c r="Z7174" s="8" t="s">
        <v>31838</v>
      </c>
    </row>
    <row r="7175" spans="1:26" x14ac:dyDescent="0.2">
      <c r="A7175" s="8">
        <v>7174</v>
      </c>
      <c r="B7175" s="8" t="s">
        <v>31839</v>
      </c>
      <c r="C7175" s="8" t="s">
        <v>31839</v>
      </c>
      <c r="F7175" s="47"/>
      <c r="G7175" s="8">
        <v>9</v>
      </c>
      <c r="H7175" s="8" t="s">
        <v>21</v>
      </c>
      <c r="I7175" s="8" t="s">
        <v>22</v>
      </c>
      <c r="J7175" s="8" t="s">
        <v>22</v>
      </c>
      <c r="K7175" s="8" t="s">
        <v>31</v>
      </c>
      <c r="L7175" s="8" t="s">
        <v>31565</v>
      </c>
      <c r="M7175" s="8" t="s">
        <v>31566</v>
      </c>
      <c r="N7175" s="8" t="s">
        <v>31840</v>
      </c>
      <c r="O7175" s="8">
        <f>22+2/60+5.9/3600</f>
        <v>22.034972222222223</v>
      </c>
      <c r="P7175" s="8" t="s">
        <v>31841</v>
      </c>
      <c r="Q7175" s="8">
        <f>-(31+59/60+33/3600)</f>
        <v>-31.9925</v>
      </c>
      <c r="R7175" s="8">
        <v>13.3</v>
      </c>
      <c r="S7175" s="8">
        <v>14.2</v>
      </c>
      <c r="T7175" s="8">
        <v>0.9</v>
      </c>
      <c r="U7175" s="8">
        <v>14.3</v>
      </c>
      <c r="V7175" s="8">
        <v>2.2999999999999998</v>
      </c>
      <c r="W7175" s="8">
        <v>1.2</v>
      </c>
      <c r="X7175" s="8">
        <v>88</v>
      </c>
      <c r="Y7175" s="8" t="s">
        <v>31842</v>
      </c>
      <c r="Z7175" s="8" t="s">
        <v>31843</v>
      </c>
    </row>
    <row r="7176" spans="1:26" x14ac:dyDescent="0.2">
      <c r="A7176" s="8">
        <v>7175</v>
      </c>
      <c r="B7176" s="8" t="s">
        <v>31844</v>
      </c>
      <c r="C7176" s="8" t="s">
        <v>31844</v>
      </c>
      <c r="F7176" s="47"/>
      <c r="G7176" s="8">
        <v>16</v>
      </c>
      <c r="H7176" s="8" t="s">
        <v>21</v>
      </c>
      <c r="I7176" s="8" t="s">
        <v>72</v>
      </c>
      <c r="J7176" s="8" t="s">
        <v>72</v>
      </c>
      <c r="K7176" s="8" t="s">
        <v>1405</v>
      </c>
      <c r="L7176" s="8" t="s">
        <v>30032</v>
      </c>
      <c r="M7176" s="8" t="s">
        <v>30033</v>
      </c>
      <c r="N7176" s="8" t="s">
        <v>31845</v>
      </c>
      <c r="O7176" s="8">
        <f>21+58/60+50/3600</f>
        <v>21.980555555555554</v>
      </c>
      <c r="P7176" s="8" t="s">
        <v>31846</v>
      </c>
      <c r="Q7176" s="8">
        <f>+(54+31/60+30/3600)</f>
        <v>54.524999999999999</v>
      </c>
      <c r="R7176" s="8">
        <v>99</v>
      </c>
      <c r="S7176" s="8">
        <v>99</v>
      </c>
      <c r="T7176" s="8">
        <v>99</v>
      </c>
      <c r="U7176" s="8">
        <v>99</v>
      </c>
      <c r="V7176" s="8">
        <v>20</v>
      </c>
      <c r="Y7176" s="8" t="s">
        <v>31847</v>
      </c>
      <c r="Z7176" s="8" t="s">
        <v>31848</v>
      </c>
    </row>
    <row r="7177" spans="1:26" x14ac:dyDescent="0.2">
      <c r="A7177" s="8">
        <v>7176</v>
      </c>
      <c r="B7177" s="8" t="s">
        <v>31849</v>
      </c>
      <c r="C7177" s="8" t="s">
        <v>31849</v>
      </c>
      <c r="F7177" s="47"/>
      <c r="G7177" s="8">
        <v>9</v>
      </c>
      <c r="H7177" s="8" t="s">
        <v>21</v>
      </c>
      <c r="I7177" s="8" t="s">
        <v>22</v>
      </c>
      <c r="J7177" s="8" t="s">
        <v>22</v>
      </c>
      <c r="K7177" s="8" t="s">
        <v>460</v>
      </c>
      <c r="L7177" s="8" t="s">
        <v>31565</v>
      </c>
      <c r="M7177" s="8" t="s">
        <v>31566</v>
      </c>
      <c r="N7177" s="8" t="s">
        <v>31850</v>
      </c>
      <c r="O7177" s="8">
        <f>22+2/60+8.2/3600</f>
        <v>22.035611111111113</v>
      </c>
      <c r="P7177" s="8" t="s">
        <v>31851</v>
      </c>
      <c r="Q7177" s="8">
        <f>-(31+59/60+26/3600)</f>
        <v>-31.990555555555556</v>
      </c>
      <c r="R7177" s="8">
        <v>11.4</v>
      </c>
      <c r="S7177" s="8">
        <v>12.5</v>
      </c>
      <c r="T7177" s="8">
        <v>1.1000000000000001</v>
      </c>
      <c r="U7177" s="8">
        <v>11</v>
      </c>
      <c r="V7177" s="8">
        <v>0.8</v>
      </c>
      <c r="W7177" s="8">
        <v>0.8</v>
      </c>
      <c r="Y7177" s="8" t="s">
        <v>31852</v>
      </c>
      <c r="Z7177" s="8" t="s">
        <v>31853</v>
      </c>
    </row>
    <row r="7178" spans="1:26" x14ac:dyDescent="0.2">
      <c r="A7178" s="8">
        <v>7177</v>
      </c>
      <c r="B7178" s="8" t="s">
        <v>31854</v>
      </c>
      <c r="C7178" s="8" t="s">
        <v>31854</v>
      </c>
      <c r="F7178" s="47" t="s">
        <v>58309</v>
      </c>
      <c r="G7178" s="8">
        <v>6.5</v>
      </c>
      <c r="H7178" s="8" t="s">
        <v>21</v>
      </c>
      <c r="I7178" s="8" t="s">
        <v>22</v>
      </c>
      <c r="J7178" s="8" t="s">
        <v>22</v>
      </c>
      <c r="K7178" s="8" t="s">
        <v>218</v>
      </c>
      <c r="L7178" s="8" t="s">
        <v>24</v>
      </c>
      <c r="M7178" s="8" t="s">
        <v>25</v>
      </c>
      <c r="N7178" s="8" t="s">
        <v>31855</v>
      </c>
      <c r="O7178" s="8">
        <f>22+0/60+41.2/3600</f>
        <v>22.011444444444443</v>
      </c>
      <c r="P7178" s="8" t="s">
        <v>31856</v>
      </c>
      <c r="Q7178" s="8">
        <f>+(17+44/60+14/3600)</f>
        <v>17.737222222222222</v>
      </c>
      <c r="R7178" s="8">
        <v>11.2</v>
      </c>
      <c r="S7178" s="8">
        <v>12</v>
      </c>
      <c r="T7178" s="8">
        <v>0.8</v>
      </c>
      <c r="U7178" s="8">
        <v>13</v>
      </c>
      <c r="V7178" s="8">
        <v>3.2</v>
      </c>
      <c r="W7178" s="8">
        <v>2.1</v>
      </c>
      <c r="X7178" s="8">
        <v>93</v>
      </c>
      <c r="Y7178" s="8" t="s">
        <v>31857</v>
      </c>
      <c r="Z7178" s="8" t="s">
        <v>31858</v>
      </c>
    </row>
    <row r="7179" spans="1:26" x14ac:dyDescent="0.2">
      <c r="A7179" s="8">
        <v>7178</v>
      </c>
      <c r="B7179" s="8" t="s">
        <v>31859</v>
      </c>
      <c r="C7179" s="8" t="s">
        <v>31859</v>
      </c>
      <c r="F7179" s="47"/>
      <c r="G7179" s="8">
        <v>16</v>
      </c>
      <c r="H7179" s="8" t="s">
        <v>21</v>
      </c>
      <c r="I7179" s="8" t="s">
        <v>22</v>
      </c>
      <c r="J7179" s="8" t="s">
        <v>22</v>
      </c>
      <c r="K7179" s="8" t="s">
        <v>218</v>
      </c>
      <c r="L7179" s="8" t="s">
        <v>31565</v>
      </c>
      <c r="M7179" s="8" t="s">
        <v>31566</v>
      </c>
      <c r="N7179" s="8" t="s">
        <v>31860</v>
      </c>
      <c r="O7179" s="8">
        <f>22+2/60+25.1/3600</f>
        <v>22.040305555555559</v>
      </c>
      <c r="P7179" s="8" t="s">
        <v>31861</v>
      </c>
      <c r="Q7179" s="8">
        <f>-(35+47/60+27/3600)</f>
        <v>-35.790833333333332</v>
      </c>
      <c r="R7179" s="8">
        <v>14.1</v>
      </c>
      <c r="S7179" s="8">
        <v>14.9</v>
      </c>
      <c r="T7179" s="8">
        <v>0.8</v>
      </c>
      <c r="U7179" s="8">
        <v>13.4</v>
      </c>
      <c r="V7179" s="8">
        <v>1.1000000000000001</v>
      </c>
      <c r="W7179" s="8">
        <v>0.5</v>
      </c>
      <c r="X7179" s="8">
        <v>172</v>
      </c>
      <c r="Y7179" s="8" t="s">
        <v>31862</v>
      </c>
      <c r="Z7179" s="8" t="s">
        <v>31863</v>
      </c>
    </row>
    <row r="7180" spans="1:26" x14ac:dyDescent="0.2">
      <c r="A7180" s="8">
        <v>7179</v>
      </c>
      <c r="B7180" s="8" t="s">
        <v>31864</v>
      </c>
      <c r="C7180" s="8" t="s">
        <v>31864</v>
      </c>
      <c r="F7180" s="47"/>
      <c r="G7180" s="8">
        <v>16</v>
      </c>
      <c r="H7180" s="8" t="s">
        <v>21</v>
      </c>
      <c r="I7180" s="8" t="s">
        <v>22</v>
      </c>
      <c r="J7180" s="8" t="s">
        <v>22</v>
      </c>
      <c r="K7180" s="8" t="s">
        <v>85</v>
      </c>
      <c r="L7180" s="8" t="s">
        <v>30731</v>
      </c>
      <c r="M7180" s="8" t="s">
        <v>30732</v>
      </c>
      <c r="N7180" s="8" t="s">
        <v>31865</v>
      </c>
      <c r="O7180" s="8">
        <f>22+4/60+49/3600</f>
        <v>22.080277777777777</v>
      </c>
      <c r="P7180" s="8" t="s">
        <v>31866</v>
      </c>
      <c r="Q7180" s="8">
        <f>-(64+2/60+49/3600)</f>
        <v>-64.046944444444449</v>
      </c>
      <c r="R7180" s="8">
        <v>12.8</v>
      </c>
      <c r="S7180" s="8">
        <v>13.3</v>
      </c>
      <c r="T7180" s="8">
        <v>0.5</v>
      </c>
      <c r="U7180" s="8">
        <v>13.2</v>
      </c>
      <c r="V7180" s="8">
        <v>2</v>
      </c>
      <c r="W7180" s="8">
        <v>0.8</v>
      </c>
      <c r="X7180" s="8">
        <v>48</v>
      </c>
      <c r="Y7180" s="8" t="s">
        <v>31867</v>
      </c>
      <c r="Z7180" s="8" t="s">
        <v>31868</v>
      </c>
    </row>
    <row r="7181" spans="1:26" x14ac:dyDescent="0.2">
      <c r="A7181" s="8">
        <v>7180</v>
      </c>
      <c r="B7181" s="8" t="s">
        <v>31869</v>
      </c>
      <c r="C7181" s="8" t="s">
        <v>31869</v>
      </c>
      <c r="F7181" s="51"/>
      <c r="G7181" s="8">
        <v>16</v>
      </c>
      <c r="H7181" s="8" t="s">
        <v>21</v>
      </c>
      <c r="I7181" s="8" t="s">
        <v>22</v>
      </c>
      <c r="J7181" s="8" t="s">
        <v>22</v>
      </c>
      <c r="K7181" s="8" t="s">
        <v>37</v>
      </c>
      <c r="L7181" s="8" t="s">
        <v>30854</v>
      </c>
      <c r="M7181" s="8" t="s">
        <v>30855</v>
      </c>
      <c r="N7181" s="8" t="s">
        <v>31870</v>
      </c>
      <c r="O7181" s="8">
        <f>22+2/60+18.5/3600</f>
        <v>22.038472222222225</v>
      </c>
      <c r="P7181" s="8" t="s">
        <v>31871</v>
      </c>
      <c r="Q7181" s="8">
        <f>-(20+32/60+52/3600)</f>
        <v>-20.547777777777778</v>
      </c>
      <c r="R7181" s="8">
        <v>12.6</v>
      </c>
      <c r="S7181" s="8">
        <v>13.6</v>
      </c>
      <c r="T7181" s="8">
        <v>1</v>
      </c>
      <c r="U7181" s="8">
        <v>12.6</v>
      </c>
      <c r="V7181" s="8">
        <v>1.5</v>
      </c>
      <c r="W7181" s="8">
        <v>0.7</v>
      </c>
      <c r="X7181" s="8">
        <v>68</v>
      </c>
      <c r="Y7181" s="8" t="s">
        <v>31872</v>
      </c>
      <c r="Z7181" s="8" t="s">
        <v>31873</v>
      </c>
    </row>
    <row r="7182" spans="1:26" x14ac:dyDescent="0.2">
      <c r="A7182" s="8">
        <v>7181</v>
      </c>
      <c r="B7182" s="8" t="s">
        <v>31874</v>
      </c>
      <c r="C7182" s="8" t="s">
        <v>31874</v>
      </c>
      <c r="F7182" s="47"/>
      <c r="G7182" s="8">
        <v>18</v>
      </c>
      <c r="H7182" s="8" t="s">
        <v>21</v>
      </c>
      <c r="I7182" s="8" t="s">
        <v>22</v>
      </c>
      <c r="J7182" s="8" t="s">
        <v>22</v>
      </c>
      <c r="K7182" s="8" t="s">
        <v>37</v>
      </c>
      <c r="L7182" s="8" t="s">
        <v>30854</v>
      </c>
      <c r="M7182" s="8" t="s">
        <v>30855</v>
      </c>
      <c r="N7182" s="8" t="s">
        <v>31875</v>
      </c>
      <c r="O7182" s="8">
        <f>22+1/60+43.4/3600</f>
        <v>22.028722222222221</v>
      </c>
      <c r="P7182" s="8" t="s">
        <v>31876</v>
      </c>
      <c r="Q7182" s="8">
        <f>-(1+57/60+36/3600)</f>
        <v>-1.96</v>
      </c>
      <c r="R7182" s="8">
        <v>14</v>
      </c>
      <c r="S7182" s="8">
        <v>15</v>
      </c>
      <c r="T7182" s="8">
        <v>1</v>
      </c>
      <c r="U7182" s="8">
        <v>13.7</v>
      </c>
      <c r="V7182" s="8">
        <v>1</v>
      </c>
      <c r="W7182" s="8">
        <v>0.8</v>
      </c>
      <c r="X7182" s="8">
        <v>95</v>
      </c>
      <c r="Y7182" s="8" t="s">
        <v>2287</v>
      </c>
      <c r="Z7182" s="8" t="s">
        <v>2288</v>
      </c>
    </row>
    <row r="7183" spans="1:26" x14ac:dyDescent="0.2">
      <c r="A7183" s="8">
        <v>7182</v>
      </c>
      <c r="B7183" s="8" t="s">
        <v>31877</v>
      </c>
      <c r="C7183" s="8" t="s">
        <v>31877</v>
      </c>
      <c r="F7183" s="47"/>
      <c r="G7183" s="8">
        <v>18</v>
      </c>
      <c r="H7183" s="8" t="s">
        <v>21</v>
      </c>
      <c r="I7183" s="8" t="s">
        <v>22</v>
      </c>
      <c r="J7183" s="8" t="s">
        <v>22</v>
      </c>
      <c r="K7183" s="8" t="s">
        <v>632</v>
      </c>
      <c r="L7183" s="8" t="s">
        <v>30854</v>
      </c>
      <c r="M7183" s="8" t="s">
        <v>30855</v>
      </c>
      <c r="N7183" s="8" t="s">
        <v>31878</v>
      </c>
      <c r="O7183" s="8">
        <f>22+1/60+51.6/3600</f>
        <v>22.030999999999999</v>
      </c>
      <c r="P7183" s="8" t="s">
        <v>31879</v>
      </c>
      <c r="Q7183" s="8">
        <f>-(2+11/60+46/3600)</f>
        <v>-2.1961111111111111</v>
      </c>
      <c r="R7183" s="8">
        <v>14.4</v>
      </c>
      <c r="S7183" s="8">
        <v>15.3</v>
      </c>
      <c r="T7183" s="8">
        <v>0.9</v>
      </c>
      <c r="U7183" s="8">
        <v>13.2</v>
      </c>
      <c r="V7183" s="8">
        <v>0.9</v>
      </c>
      <c r="W7183" s="8">
        <v>0.4</v>
      </c>
      <c r="X7183" s="8">
        <v>71</v>
      </c>
      <c r="Y7183" s="8" t="s">
        <v>2287</v>
      </c>
      <c r="Z7183" s="8" t="s">
        <v>2288</v>
      </c>
    </row>
    <row r="7184" spans="1:26" x14ac:dyDescent="0.2">
      <c r="A7184" s="8">
        <v>7183</v>
      </c>
      <c r="B7184" s="8" t="s">
        <v>31880</v>
      </c>
      <c r="C7184" s="8" t="s">
        <v>31880</v>
      </c>
      <c r="F7184" s="47" t="s">
        <v>58310</v>
      </c>
      <c r="G7184" s="8">
        <v>15</v>
      </c>
      <c r="H7184" s="8" t="s">
        <v>21</v>
      </c>
      <c r="I7184" s="8" t="s">
        <v>22</v>
      </c>
      <c r="J7184" s="8" t="s">
        <v>22</v>
      </c>
      <c r="K7184" s="8" t="s">
        <v>632</v>
      </c>
      <c r="L7184" s="8" t="s">
        <v>30854</v>
      </c>
      <c r="M7184" s="8" t="s">
        <v>30855</v>
      </c>
      <c r="N7184" s="8" t="s">
        <v>31881</v>
      </c>
      <c r="O7184" s="8">
        <f>22+2/60+21.2/3600</f>
        <v>22.039222222222225</v>
      </c>
      <c r="P7184" s="8" t="s">
        <v>31882</v>
      </c>
      <c r="Q7184" s="8">
        <f>-(18+54/60+56/3600)</f>
        <v>-18.915555555555553</v>
      </c>
      <c r="R7184" s="8">
        <v>12</v>
      </c>
      <c r="S7184" s="8">
        <v>12.9</v>
      </c>
      <c r="T7184" s="8">
        <v>0.9</v>
      </c>
      <c r="U7184" s="8">
        <v>13.4</v>
      </c>
      <c r="V7184" s="8">
        <v>3.8</v>
      </c>
      <c r="W7184" s="8">
        <v>1.1000000000000001</v>
      </c>
      <c r="X7184" s="8">
        <v>77</v>
      </c>
      <c r="Y7184" s="8" t="s">
        <v>31883</v>
      </c>
      <c r="Z7184" s="8" t="s">
        <v>31884</v>
      </c>
    </row>
    <row r="7185" spans="1:26" x14ac:dyDescent="0.2">
      <c r="A7185" s="8">
        <v>7184</v>
      </c>
      <c r="B7185" s="8" t="s">
        <v>31885</v>
      </c>
      <c r="C7185" s="8" t="s">
        <v>31885</v>
      </c>
      <c r="F7185" s="47" t="s">
        <v>58311</v>
      </c>
      <c r="G7185" s="8">
        <v>6.5</v>
      </c>
      <c r="H7185" s="8" t="s">
        <v>21</v>
      </c>
      <c r="I7185" s="8" t="s">
        <v>22</v>
      </c>
      <c r="J7185" s="8" t="s">
        <v>22</v>
      </c>
      <c r="K7185" s="8" t="s">
        <v>64</v>
      </c>
      <c r="L7185" s="8" t="s">
        <v>30854</v>
      </c>
      <c r="M7185" s="8" t="s">
        <v>30855</v>
      </c>
      <c r="N7185" s="8" t="s">
        <v>31886</v>
      </c>
      <c r="O7185" s="8">
        <f>22+2/60+39.9/3600</f>
        <v>22.044416666666667</v>
      </c>
      <c r="P7185" s="8" t="s">
        <v>31887</v>
      </c>
      <c r="Q7185" s="8">
        <f>-(20+48/60+45/3600)</f>
        <v>-20.8125</v>
      </c>
      <c r="R7185" s="8">
        <v>10.9</v>
      </c>
      <c r="S7185" s="8">
        <v>11.7</v>
      </c>
      <c r="T7185" s="8">
        <v>0.8</v>
      </c>
      <c r="U7185" s="8">
        <v>13.1</v>
      </c>
      <c r="V7185" s="8">
        <v>5.9</v>
      </c>
      <c r="W7185" s="8">
        <v>1.3</v>
      </c>
      <c r="X7185" s="8">
        <v>62</v>
      </c>
      <c r="Y7185" s="8" t="s">
        <v>31888</v>
      </c>
      <c r="Z7185" s="8" t="s">
        <v>31889</v>
      </c>
    </row>
    <row r="7186" spans="1:26" x14ac:dyDescent="0.2">
      <c r="A7186" s="8">
        <v>7185</v>
      </c>
      <c r="B7186" s="8" t="s">
        <v>31890</v>
      </c>
      <c r="C7186" s="8" t="s">
        <v>31890</v>
      </c>
      <c r="F7186" s="47" t="s">
        <v>58312</v>
      </c>
      <c r="G7186" s="8">
        <v>15</v>
      </c>
      <c r="H7186" s="8" t="s">
        <v>21</v>
      </c>
      <c r="I7186" s="8" t="s">
        <v>22</v>
      </c>
      <c r="J7186" s="8" t="s">
        <v>22</v>
      </c>
      <c r="K7186" s="8" t="s">
        <v>118</v>
      </c>
      <c r="L7186" s="8" t="s">
        <v>30854</v>
      </c>
      <c r="M7186" s="8" t="s">
        <v>30855</v>
      </c>
      <c r="N7186" s="8" t="s">
        <v>31891</v>
      </c>
      <c r="O7186" s="8">
        <f>22+2/60+56.6/3600</f>
        <v>22.049055555555558</v>
      </c>
      <c r="P7186" s="8" t="s">
        <v>31892</v>
      </c>
      <c r="Q7186" s="8">
        <f>-(20+28/60+17/3600)</f>
        <v>-20.471388888888889</v>
      </c>
      <c r="R7186" s="8">
        <v>12.6</v>
      </c>
      <c r="S7186" s="8">
        <v>13.4</v>
      </c>
      <c r="T7186" s="8">
        <v>0.8</v>
      </c>
      <c r="U7186" s="8">
        <v>13.8</v>
      </c>
      <c r="V7186" s="8">
        <v>2.2999999999999998</v>
      </c>
      <c r="W7186" s="8">
        <v>1.5</v>
      </c>
      <c r="X7186" s="8">
        <v>15</v>
      </c>
      <c r="Y7186" s="8" t="s">
        <v>31893</v>
      </c>
      <c r="Z7186" s="8" t="s">
        <v>31894</v>
      </c>
    </row>
    <row r="7187" spans="1:26" x14ac:dyDescent="0.2">
      <c r="A7187" s="8">
        <v>7186</v>
      </c>
      <c r="B7187" s="8" t="s">
        <v>31895</v>
      </c>
      <c r="C7187" s="8" t="s">
        <v>31895</v>
      </c>
      <c r="F7187" s="47" t="s">
        <v>58313</v>
      </c>
      <c r="G7187" s="8">
        <v>15</v>
      </c>
      <c r="H7187" s="8" t="s">
        <v>21</v>
      </c>
      <c r="I7187" s="8" t="s">
        <v>72</v>
      </c>
      <c r="J7187" s="8" t="s">
        <v>72</v>
      </c>
      <c r="K7187" s="8" t="s">
        <v>1405</v>
      </c>
      <c r="L7187" s="8" t="s">
        <v>24</v>
      </c>
      <c r="M7187" s="8" t="s">
        <v>25</v>
      </c>
      <c r="N7187" s="8" t="s">
        <v>31896</v>
      </c>
      <c r="O7187" s="8">
        <f>22+1/60+5/3600</f>
        <v>22.018055555555556</v>
      </c>
      <c r="P7187" s="8" t="s">
        <v>31897</v>
      </c>
      <c r="Q7187" s="8">
        <f>+(35+4/60+42/3600)</f>
        <v>35.078333333333333</v>
      </c>
      <c r="R7187" s="8">
        <v>99</v>
      </c>
      <c r="S7187" s="8">
        <v>99</v>
      </c>
      <c r="T7187" s="8">
        <v>99</v>
      </c>
      <c r="U7187" s="8">
        <v>99</v>
      </c>
      <c r="Y7187" s="8" t="s">
        <v>31898</v>
      </c>
      <c r="Z7187" s="8" t="s">
        <v>31899</v>
      </c>
    </row>
    <row r="7188" spans="1:26" x14ac:dyDescent="0.2">
      <c r="A7188" s="8">
        <v>7187</v>
      </c>
      <c r="B7188" s="8" t="s">
        <v>31900</v>
      </c>
      <c r="C7188" s="8" t="s">
        <v>31900</v>
      </c>
      <c r="F7188" s="47"/>
      <c r="G7188" s="8">
        <v>19</v>
      </c>
      <c r="H7188" s="8" t="s">
        <v>21</v>
      </c>
      <c r="I7188" s="8" t="s">
        <v>22</v>
      </c>
      <c r="J7188" s="8" t="s">
        <v>22</v>
      </c>
      <c r="K7188" s="8" t="s">
        <v>37</v>
      </c>
      <c r="L7188" s="8" t="s">
        <v>31565</v>
      </c>
      <c r="M7188" s="8" t="s">
        <v>31566</v>
      </c>
      <c r="N7188" s="8" t="s">
        <v>31901</v>
      </c>
      <c r="O7188" s="8">
        <f>22+2/60+44.4/3600</f>
        <v>22.045666666666669</v>
      </c>
      <c r="P7188" s="8" t="s">
        <v>31902</v>
      </c>
      <c r="Q7188" s="8">
        <f>-(32+48/60+12/3600)</f>
        <v>-32.803333333333327</v>
      </c>
      <c r="R7188" s="8">
        <v>12.5</v>
      </c>
      <c r="S7188" s="8">
        <v>13.5</v>
      </c>
      <c r="T7188" s="8">
        <v>1</v>
      </c>
      <c r="U7188" s="8">
        <v>13</v>
      </c>
      <c r="V7188" s="8">
        <v>1.3</v>
      </c>
      <c r="W7188" s="8">
        <v>1.2</v>
      </c>
      <c r="X7188" s="8">
        <v>171</v>
      </c>
      <c r="Y7188" s="8" t="s">
        <v>13326</v>
      </c>
      <c r="Z7188" s="8" t="s">
        <v>4130</v>
      </c>
    </row>
    <row r="7189" spans="1:26" x14ac:dyDescent="0.2">
      <c r="A7189" s="8">
        <v>7188</v>
      </c>
      <c r="B7189" s="8" t="s">
        <v>31903</v>
      </c>
      <c r="C7189" s="8" t="s">
        <v>31903</v>
      </c>
      <c r="F7189" s="47"/>
      <c r="G7189" s="8">
        <v>19</v>
      </c>
      <c r="H7189" s="8" t="s">
        <v>21</v>
      </c>
      <c r="I7189" s="8" t="s">
        <v>22</v>
      </c>
      <c r="J7189" s="8" t="s">
        <v>22</v>
      </c>
      <c r="K7189" s="8" t="s">
        <v>85</v>
      </c>
      <c r="L7189" s="8" t="s">
        <v>30854</v>
      </c>
      <c r="M7189" s="8" t="s">
        <v>30855</v>
      </c>
      <c r="N7189" s="8" t="s">
        <v>31904</v>
      </c>
      <c r="O7189" s="8">
        <f>22+3/60+29/3600</f>
        <v>22.058055555555555</v>
      </c>
      <c r="P7189" s="8" t="s">
        <v>31905</v>
      </c>
      <c r="Q7189" s="8">
        <f>-(20+19/60+3/3600)</f>
        <v>-20.317499999999999</v>
      </c>
      <c r="R7189" s="8">
        <v>13.2</v>
      </c>
      <c r="S7189" s="8">
        <v>14</v>
      </c>
      <c r="T7189" s="8">
        <v>0.8</v>
      </c>
      <c r="U7189" s="8">
        <v>13.3</v>
      </c>
      <c r="V7189" s="8">
        <v>1.6</v>
      </c>
      <c r="W7189" s="8">
        <v>0.8</v>
      </c>
      <c r="X7189" s="8">
        <v>44</v>
      </c>
      <c r="Y7189" s="8" t="s">
        <v>31906</v>
      </c>
      <c r="Z7189" s="8" t="s">
        <v>31907</v>
      </c>
    </row>
    <row r="7190" spans="1:26" x14ac:dyDescent="0.2">
      <c r="A7190" s="8">
        <v>7189</v>
      </c>
      <c r="B7190" s="8" t="s">
        <v>31908</v>
      </c>
      <c r="C7190" s="8" t="s">
        <v>31908</v>
      </c>
      <c r="F7190" s="47"/>
      <c r="G7190" s="8">
        <v>18</v>
      </c>
      <c r="H7190" s="8" t="s">
        <v>21</v>
      </c>
      <c r="I7190" s="8" t="s">
        <v>22</v>
      </c>
      <c r="J7190" s="8" t="s">
        <v>22</v>
      </c>
      <c r="K7190" s="8" t="s">
        <v>218</v>
      </c>
      <c r="L7190" s="8" t="s">
        <v>30854</v>
      </c>
      <c r="M7190" s="8" t="s">
        <v>30855</v>
      </c>
      <c r="N7190" s="8" t="s">
        <v>31909</v>
      </c>
      <c r="O7190" s="8">
        <f>22+3/60+15.9/3600</f>
        <v>22.054416666666668</v>
      </c>
      <c r="P7190" s="8" t="s">
        <v>31910</v>
      </c>
      <c r="Q7190" s="8">
        <f>+(0+34/60+17/3600)</f>
        <v>0.57138888888888884</v>
      </c>
      <c r="R7190" s="8">
        <v>13.5</v>
      </c>
      <c r="S7190" s="8">
        <v>14.3</v>
      </c>
      <c r="T7190" s="8">
        <v>0.8</v>
      </c>
      <c r="U7190" s="8">
        <v>13</v>
      </c>
      <c r="V7190" s="8">
        <v>1</v>
      </c>
      <c r="W7190" s="8">
        <v>0.7</v>
      </c>
      <c r="X7190" s="8">
        <v>115</v>
      </c>
      <c r="Y7190" s="8" t="s">
        <v>3253</v>
      </c>
      <c r="Z7190" s="8" t="s">
        <v>3254</v>
      </c>
    </row>
    <row r="7191" spans="1:26" x14ac:dyDescent="0.2">
      <c r="A7191" s="8">
        <v>7190</v>
      </c>
      <c r="B7191" s="8" t="s">
        <v>31911</v>
      </c>
      <c r="C7191" s="8" t="s">
        <v>31911</v>
      </c>
      <c r="F7191" s="47"/>
      <c r="G7191" s="8">
        <v>18</v>
      </c>
      <c r="H7191" s="8" t="s">
        <v>21</v>
      </c>
      <c r="I7191" s="8" t="s">
        <v>22</v>
      </c>
      <c r="J7191" s="8" t="s">
        <v>22</v>
      </c>
      <c r="K7191" s="8" t="s">
        <v>632</v>
      </c>
      <c r="L7191" s="8" t="s">
        <v>24</v>
      </c>
      <c r="M7191" s="8" t="s">
        <v>25</v>
      </c>
      <c r="N7191" s="8" t="s">
        <v>31912</v>
      </c>
      <c r="O7191" s="8">
        <f>22+3/60+6.6/3600</f>
        <v>22.051833333333335</v>
      </c>
      <c r="P7191" s="8" t="s">
        <v>31913</v>
      </c>
      <c r="Q7191" s="8">
        <f>+(11+11/60+59/3600)</f>
        <v>11.199722222222222</v>
      </c>
      <c r="R7191" s="8">
        <v>13.8</v>
      </c>
      <c r="S7191" s="8">
        <v>14.7</v>
      </c>
      <c r="T7191" s="8">
        <v>0.9</v>
      </c>
      <c r="U7191" s="8">
        <v>12.9</v>
      </c>
      <c r="V7191" s="8">
        <v>0.9</v>
      </c>
      <c r="W7191" s="8">
        <v>0.5</v>
      </c>
      <c r="X7191" s="8">
        <v>66</v>
      </c>
      <c r="Y7191" s="8" t="s">
        <v>26808</v>
      </c>
      <c r="Z7191" s="8" t="s">
        <v>26809</v>
      </c>
    </row>
    <row r="7192" spans="1:26" x14ac:dyDescent="0.2">
      <c r="A7192" s="8">
        <v>7191</v>
      </c>
      <c r="B7192" s="8" t="s">
        <v>31914</v>
      </c>
      <c r="C7192" s="8" t="s">
        <v>31914</v>
      </c>
      <c r="F7192" s="47"/>
      <c r="G7192" s="8">
        <v>16</v>
      </c>
      <c r="H7192" s="8" t="s">
        <v>21</v>
      </c>
      <c r="I7192" s="8" t="s">
        <v>22</v>
      </c>
      <c r="J7192" s="8" t="s">
        <v>22</v>
      </c>
      <c r="K7192" s="8" t="s">
        <v>64</v>
      </c>
      <c r="L7192" s="8" t="s">
        <v>30731</v>
      </c>
      <c r="M7192" s="8" t="s">
        <v>30732</v>
      </c>
      <c r="N7192" s="8" t="s">
        <v>31915</v>
      </c>
      <c r="O7192" s="8">
        <f>22+6/60+51.2/3600</f>
        <v>22.114222222222224</v>
      </c>
      <c r="P7192" s="8" t="s">
        <v>31916</v>
      </c>
      <c r="Q7192" s="8">
        <f>-(64+38/60+1/3600)</f>
        <v>-64.633611111111122</v>
      </c>
      <c r="R7192" s="8">
        <v>12.9</v>
      </c>
      <c r="S7192" s="8">
        <v>13.6</v>
      </c>
      <c r="T7192" s="8">
        <v>0.7</v>
      </c>
      <c r="U7192" s="8">
        <v>12.7</v>
      </c>
      <c r="V7192" s="8">
        <v>1.6</v>
      </c>
      <c r="W7192" s="8">
        <v>0.6</v>
      </c>
      <c r="X7192" s="8">
        <v>136</v>
      </c>
      <c r="Y7192" s="8" t="s">
        <v>31917</v>
      </c>
      <c r="Z7192" s="8" t="s">
        <v>31918</v>
      </c>
    </row>
    <row r="7193" spans="1:26" x14ac:dyDescent="0.2">
      <c r="A7193" s="8">
        <v>7192</v>
      </c>
      <c r="B7193" s="8" t="s">
        <v>31919</v>
      </c>
      <c r="C7193" s="8" t="s">
        <v>31919</v>
      </c>
      <c r="F7193" s="47"/>
      <c r="G7193" s="8">
        <v>13</v>
      </c>
      <c r="H7193" s="8" t="s">
        <v>21</v>
      </c>
      <c r="I7193" s="8" t="s">
        <v>22</v>
      </c>
      <c r="J7193" s="8" t="s">
        <v>22</v>
      </c>
      <c r="K7193" s="8" t="s">
        <v>183</v>
      </c>
      <c r="L7193" s="8" t="s">
        <v>30731</v>
      </c>
      <c r="M7193" s="8" t="s">
        <v>30732</v>
      </c>
      <c r="N7193" s="8" t="s">
        <v>31920</v>
      </c>
      <c r="O7193" s="8">
        <f>22+6/60+49.9/3600</f>
        <v>22.113861111111113</v>
      </c>
      <c r="P7193" s="8" t="s">
        <v>31921</v>
      </c>
      <c r="Q7193" s="8">
        <f>-(64+18/60+58/3600)</f>
        <v>-64.316111111111113</v>
      </c>
      <c r="R7193" s="8">
        <v>11.2</v>
      </c>
      <c r="S7193" s="8">
        <v>12.2</v>
      </c>
      <c r="T7193" s="8">
        <v>1</v>
      </c>
      <c r="U7193" s="8">
        <v>12.7</v>
      </c>
      <c r="V7193" s="8">
        <v>1.9</v>
      </c>
      <c r="W7193" s="8">
        <v>1.8</v>
      </c>
      <c r="X7193" s="8">
        <v>27</v>
      </c>
      <c r="Y7193" s="8" t="s">
        <v>31922</v>
      </c>
      <c r="Z7193" s="8" t="s">
        <v>31923</v>
      </c>
    </row>
    <row r="7194" spans="1:26" x14ac:dyDescent="0.2">
      <c r="A7194" s="8">
        <v>7193</v>
      </c>
      <c r="B7194" s="8" t="s">
        <v>31924</v>
      </c>
      <c r="C7194" s="8" t="s">
        <v>31924</v>
      </c>
      <c r="F7194" s="47"/>
      <c r="G7194" s="8">
        <v>16</v>
      </c>
      <c r="H7194" s="8" t="s">
        <v>21</v>
      </c>
      <c r="I7194" s="8" t="s">
        <v>72</v>
      </c>
      <c r="J7194" s="8" t="s">
        <v>72</v>
      </c>
      <c r="K7194" s="8" t="s">
        <v>1405</v>
      </c>
      <c r="L7194" s="8" t="s">
        <v>24</v>
      </c>
      <c r="M7194" s="8" t="s">
        <v>25</v>
      </c>
      <c r="N7194" s="8" t="s">
        <v>31925</v>
      </c>
      <c r="O7194" s="8">
        <f>22+3/60+3.8/3600</f>
        <v>22.051055555555557</v>
      </c>
      <c r="P7194" s="8" t="s">
        <v>31926</v>
      </c>
      <c r="Q7194" s="8">
        <f>+(10+48/60+8/3600)</f>
        <v>10.802222222222223</v>
      </c>
      <c r="R7194" s="8">
        <v>99</v>
      </c>
      <c r="S7194" s="8">
        <v>99</v>
      </c>
      <c r="T7194" s="8">
        <v>99</v>
      </c>
      <c r="U7194" s="8">
        <v>99</v>
      </c>
      <c r="V7194" s="8">
        <v>5</v>
      </c>
      <c r="W7194" s="8">
        <v>5</v>
      </c>
      <c r="Y7194" s="8" t="s">
        <v>31927</v>
      </c>
      <c r="Z7194" s="8" t="s">
        <v>31928</v>
      </c>
    </row>
    <row r="7195" spans="1:26" x14ac:dyDescent="0.2">
      <c r="A7195" s="8">
        <v>7194</v>
      </c>
      <c r="B7195" s="8" t="s">
        <v>31929</v>
      </c>
      <c r="C7195" s="8" t="s">
        <v>31929</v>
      </c>
      <c r="F7195" s="47"/>
      <c r="G7195" s="8">
        <v>19</v>
      </c>
      <c r="H7195" s="8" t="s">
        <v>21</v>
      </c>
      <c r="I7195" s="8" t="s">
        <v>22</v>
      </c>
      <c r="J7195" s="8" t="s">
        <v>22</v>
      </c>
      <c r="K7195" s="8" t="s">
        <v>382</v>
      </c>
      <c r="L7195" s="8" t="s">
        <v>24</v>
      </c>
      <c r="M7195" s="8" t="s">
        <v>25</v>
      </c>
      <c r="N7195" s="8" t="s">
        <v>31930</v>
      </c>
      <c r="O7195" s="8">
        <f>22+3/60+30.9/3600</f>
        <v>22.058583333333335</v>
      </c>
      <c r="P7195" s="8" t="s">
        <v>31931</v>
      </c>
      <c r="Q7195" s="8">
        <f>+(12+38/60+13/3600)</f>
        <v>12.636944444444444</v>
      </c>
      <c r="R7195" s="8">
        <v>13.1</v>
      </c>
      <c r="S7195" s="8">
        <v>14.1</v>
      </c>
      <c r="T7195" s="8">
        <v>1</v>
      </c>
      <c r="U7195" s="8">
        <v>13.1</v>
      </c>
      <c r="V7195" s="8">
        <v>1.1000000000000001</v>
      </c>
      <c r="W7195" s="8">
        <v>0.8</v>
      </c>
      <c r="X7195" s="8">
        <v>20</v>
      </c>
      <c r="Y7195" s="8" t="s">
        <v>3357</v>
      </c>
      <c r="Z7195" s="8" t="s">
        <v>3358</v>
      </c>
    </row>
    <row r="7196" spans="1:26" x14ac:dyDescent="0.2">
      <c r="A7196" s="8">
        <v>7195</v>
      </c>
      <c r="B7196" s="8" t="s">
        <v>31932</v>
      </c>
      <c r="C7196" s="8" t="s">
        <v>31932</v>
      </c>
      <c r="F7196" s="47"/>
      <c r="G7196" s="8">
        <v>19</v>
      </c>
      <c r="H7196" s="8" t="s">
        <v>21</v>
      </c>
      <c r="I7196" s="8" t="s">
        <v>22</v>
      </c>
      <c r="J7196" s="8" t="s">
        <v>22</v>
      </c>
      <c r="K7196" s="8" t="s">
        <v>449</v>
      </c>
      <c r="L7196" s="8" t="s">
        <v>24</v>
      </c>
      <c r="M7196" s="8" t="s">
        <v>25</v>
      </c>
      <c r="N7196" s="8" t="s">
        <v>31933</v>
      </c>
      <c r="O7196" s="8">
        <f>22+3/60+30.2/3600</f>
        <v>22.058388888888889</v>
      </c>
      <c r="P7196" s="8" t="s">
        <v>31934</v>
      </c>
      <c r="Q7196" s="8">
        <f>+(12+39/60+41/3600)</f>
        <v>12.661388888888888</v>
      </c>
      <c r="R7196" s="8">
        <v>14.7</v>
      </c>
      <c r="S7196" s="8">
        <v>15.5</v>
      </c>
      <c r="T7196" s="8">
        <v>0.8</v>
      </c>
      <c r="U7196" s="8">
        <v>12.2</v>
      </c>
      <c r="V7196" s="8">
        <v>0.4</v>
      </c>
      <c r="W7196" s="8">
        <v>0.3</v>
      </c>
      <c r="X7196" s="8">
        <v>81</v>
      </c>
      <c r="Y7196" s="8" t="s">
        <v>31935</v>
      </c>
      <c r="Z7196" s="8" t="s">
        <v>31936</v>
      </c>
    </row>
    <row r="7197" spans="1:26" x14ac:dyDescent="0.2">
      <c r="A7197" s="8">
        <v>7196</v>
      </c>
      <c r="B7197" s="8" t="s">
        <v>31937</v>
      </c>
      <c r="C7197" s="8" t="s">
        <v>31937</v>
      </c>
      <c r="F7197" s="47"/>
      <c r="G7197" s="8">
        <v>13</v>
      </c>
      <c r="H7197" s="8" t="s">
        <v>21</v>
      </c>
      <c r="I7197" s="8" t="s">
        <v>22</v>
      </c>
      <c r="J7197" s="8" t="s">
        <v>22</v>
      </c>
      <c r="K7197" s="8" t="s">
        <v>1136</v>
      </c>
      <c r="L7197" s="8" t="s">
        <v>30731</v>
      </c>
      <c r="M7197" s="8" t="s">
        <v>30732</v>
      </c>
      <c r="N7197" s="8" t="s">
        <v>31938</v>
      </c>
      <c r="O7197" s="8">
        <f>22+5/60+54.8/3600</f>
        <v>22.098555555555553</v>
      </c>
      <c r="P7197" s="8" t="s">
        <v>31939</v>
      </c>
      <c r="Q7197" s="8">
        <f>-(50+7/60+9/3600)</f>
        <v>-50.119166666666665</v>
      </c>
      <c r="R7197" s="8">
        <v>11.5</v>
      </c>
      <c r="S7197" s="8">
        <v>12.4</v>
      </c>
      <c r="T7197" s="8">
        <v>0.9</v>
      </c>
      <c r="U7197" s="8">
        <v>13.1</v>
      </c>
      <c r="V7197" s="8">
        <v>2.5</v>
      </c>
      <c r="W7197" s="8">
        <v>1.9</v>
      </c>
      <c r="X7197" s="8">
        <v>53</v>
      </c>
      <c r="Y7197" s="8" t="s">
        <v>31940</v>
      </c>
      <c r="Z7197" s="8" t="s">
        <v>31941</v>
      </c>
    </row>
    <row r="7198" spans="1:26" x14ac:dyDescent="0.2">
      <c r="A7198" s="8">
        <v>7197</v>
      </c>
      <c r="B7198" s="8" t="s">
        <v>31942</v>
      </c>
      <c r="C7198" s="8" t="s">
        <v>31942</v>
      </c>
      <c r="F7198" s="47" t="s">
        <v>58314</v>
      </c>
      <c r="G7198" s="8">
        <v>15</v>
      </c>
      <c r="H7198" s="8" t="s">
        <v>21</v>
      </c>
      <c r="I7198" s="8" t="s">
        <v>22</v>
      </c>
      <c r="J7198" s="8" t="s">
        <v>22</v>
      </c>
      <c r="K7198" s="8" t="s">
        <v>91</v>
      </c>
      <c r="L7198" s="8" t="s">
        <v>31943</v>
      </c>
      <c r="M7198" s="8" t="s">
        <v>31944</v>
      </c>
      <c r="N7198" s="8" t="s">
        <v>31945</v>
      </c>
      <c r="O7198" s="8">
        <f>22+2/60+57.9/3600</f>
        <v>22.049416666666669</v>
      </c>
      <c r="P7198" s="8" t="s">
        <v>31946</v>
      </c>
      <c r="Q7198" s="8">
        <f>+(41+3/60+34/3600)</f>
        <v>41.059444444444445</v>
      </c>
      <c r="R7198" s="8">
        <v>12.8</v>
      </c>
      <c r="S7198" s="8">
        <v>13.7</v>
      </c>
      <c r="T7198" s="8">
        <v>0.9</v>
      </c>
      <c r="U7198" s="8">
        <v>12.9</v>
      </c>
      <c r="V7198" s="8">
        <v>1.6</v>
      </c>
      <c r="W7198" s="8">
        <v>0.8</v>
      </c>
      <c r="X7198" s="8">
        <v>112</v>
      </c>
      <c r="Y7198" s="8" t="s">
        <v>31947</v>
      </c>
      <c r="Z7198" s="8" t="s">
        <v>31948</v>
      </c>
    </row>
    <row r="7199" spans="1:26" x14ac:dyDescent="0.2">
      <c r="A7199" s="8">
        <v>7198</v>
      </c>
      <c r="B7199" s="8" t="s">
        <v>31949</v>
      </c>
      <c r="C7199" s="8" t="s">
        <v>31949</v>
      </c>
      <c r="F7199" s="47"/>
      <c r="G7199" s="8">
        <v>18</v>
      </c>
      <c r="H7199" s="8" t="s">
        <v>21</v>
      </c>
      <c r="I7199" s="8" t="s">
        <v>22</v>
      </c>
      <c r="J7199" s="8" t="s">
        <v>22</v>
      </c>
      <c r="K7199" s="8" t="s">
        <v>643</v>
      </c>
      <c r="L7199" s="8" t="s">
        <v>30854</v>
      </c>
      <c r="M7199" s="8" t="s">
        <v>30855</v>
      </c>
      <c r="N7199" s="8" t="s">
        <v>31950</v>
      </c>
      <c r="O7199" s="8">
        <f>22+5/60+14.1/3600</f>
        <v>22.087249999999997</v>
      </c>
      <c r="P7199" s="8" t="s">
        <v>31951</v>
      </c>
      <c r="Q7199" s="8">
        <f>-(0+38/60+52/3600)</f>
        <v>-0.64777777777777779</v>
      </c>
      <c r="R7199" s="8">
        <v>13.3</v>
      </c>
      <c r="S7199" s="8">
        <v>14.3</v>
      </c>
      <c r="T7199" s="8">
        <v>1</v>
      </c>
      <c r="U7199" s="8">
        <v>13.6</v>
      </c>
      <c r="V7199" s="8">
        <v>1.5</v>
      </c>
      <c r="W7199" s="8">
        <v>1</v>
      </c>
      <c r="X7199" s="8">
        <v>5</v>
      </c>
      <c r="Y7199" s="8" t="s">
        <v>2287</v>
      </c>
      <c r="Z7199" s="8" t="s">
        <v>2288</v>
      </c>
    </row>
    <row r="7200" spans="1:26" x14ac:dyDescent="0.2">
      <c r="A7200" s="8">
        <v>7199</v>
      </c>
      <c r="B7200" s="8" t="s">
        <v>31952</v>
      </c>
      <c r="C7200" s="8" t="s">
        <v>31952</v>
      </c>
      <c r="F7200" s="47"/>
      <c r="G7200" s="8">
        <v>16</v>
      </c>
      <c r="H7200" s="8" t="s">
        <v>21</v>
      </c>
      <c r="I7200" s="8" t="s">
        <v>22</v>
      </c>
      <c r="J7200" s="8" t="s">
        <v>22</v>
      </c>
      <c r="K7200" s="8" t="s">
        <v>154</v>
      </c>
      <c r="L7200" s="8" t="s">
        <v>30731</v>
      </c>
      <c r="M7200" s="8" t="s">
        <v>30732</v>
      </c>
      <c r="N7200" s="8" t="s">
        <v>31953</v>
      </c>
      <c r="O7200" s="8">
        <f>22+8/60+30.1/3600</f>
        <v>22.141694444444443</v>
      </c>
      <c r="P7200" s="8" t="s">
        <v>31954</v>
      </c>
      <c r="Q7200" s="8">
        <f>-(64+42/60+22/3600)</f>
        <v>-64.706111111111113</v>
      </c>
      <c r="R7200" s="8">
        <v>13.1</v>
      </c>
      <c r="S7200" s="8">
        <v>13.9</v>
      </c>
      <c r="T7200" s="8">
        <v>0.8</v>
      </c>
      <c r="U7200" s="8">
        <v>12.9</v>
      </c>
      <c r="V7200" s="8">
        <v>1.1000000000000001</v>
      </c>
      <c r="W7200" s="8">
        <v>0.8</v>
      </c>
      <c r="X7200" s="8">
        <v>30</v>
      </c>
      <c r="Y7200" s="8" t="s">
        <v>31955</v>
      </c>
      <c r="Z7200" s="8" t="s">
        <v>31956</v>
      </c>
    </row>
    <row r="7201" spans="1:26" x14ac:dyDescent="0.2">
      <c r="A7201" s="8">
        <v>7200</v>
      </c>
      <c r="B7201" s="8" t="s">
        <v>31957</v>
      </c>
      <c r="C7201" s="8" t="s">
        <v>31957</v>
      </c>
      <c r="F7201" s="47"/>
      <c r="G7201" s="8">
        <v>16</v>
      </c>
      <c r="H7201" s="8" t="s">
        <v>21</v>
      </c>
      <c r="I7201" s="8" t="s">
        <v>22</v>
      </c>
      <c r="J7201" s="8" t="s">
        <v>22</v>
      </c>
      <c r="K7201" s="8" t="s">
        <v>382</v>
      </c>
      <c r="L7201" s="8" t="s">
        <v>30731</v>
      </c>
      <c r="M7201" s="8" t="s">
        <v>30732</v>
      </c>
      <c r="N7201" s="8" t="s">
        <v>31958</v>
      </c>
      <c r="O7201" s="8">
        <f>22+7/60+9.6/3600</f>
        <v>22.119333333333334</v>
      </c>
      <c r="P7201" s="8" t="s">
        <v>31959</v>
      </c>
      <c r="Q7201" s="8">
        <f>-(49+59/60+44/3600)</f>
        <v>-49.995555555555555</v>
      </c>
      <c r="R7201" s="8">
        <v>12.9</v>
      </c>
      <c r="S7201" s="8">
        <v>13.8</v>
      </c>
      <c r="T7201" s="8">
        <v>0.9</v>
      </c>
      <c r="U7201" s="8">
        <v>13.5</v>
      </c>
      <c r="V7201" s="8">
        <v>1.2</v>
      </c>
      <c r="W7201" s="8">
        <v>0.8</v>
      </c>
      <c r="X7201" s="8">
        <v>33</v>
      </c>
      <c r="Y7201" s="8" t="s">
        <v>31960</v>
      </c>
      <c r="Z7201" s="8" t="s">
        <v>31961</v>
      </c>
    </row>
    <row r="7202" spans="1:26" x14ac:dyDescent="0.2">
      <c r="A7202" s="8">
        <v>7201</v>
      </c>
      <c r="B7202" s="8" t="s">
        <v>31962</v>
      </c>
      <c r="C7202" s="8" t="s">
        <v>31962</v>
      </c>
      <c r="F7202" s="47"/>
      <c r="G7202" s="8">
        <v>16</v>
      </c>
      <c r="H7202" s="8" t="s">
        <v>21</v>
      </c>
      <c r="I7202" s="8" t="s">
        <v>22</v>
      </c>
      <c r="J7202" s="8" t="s">
        <v>22</v>
      </c>
      <c r="K7202" s="8" t="s">
        <v>91</v>
      </c>
      <c r="L7202" s="8" t="s">
        <v>31565</v>
      </c>
      <c r="M7202" s="8" t="s">
        <v>31566</v>
      </c>
      <c r="N7202" s="8" t="s">
        <v>31963</v>
      </c>
      <c r="O7202" s="8">
        <f>22+6/60+32/3600</f>
        <v>22.108888888888892</v>
      </c>
      <c r="P7202" s="8" t="s">
        <v>31964</v>
      </c>
      <c r="Q7202" s="8">
        <f>-(31+15/60+50/3600)</f>
        <v>-31.263888888888889</v>
      </c>
      <c r="R7202" s="8">
        <v>12.9</v>
      </c>
      <c r="S7202" s="8">
        <v>13.8</v>
      </c>
      <c r="T7202" s="8">
        <v>0.9</v>
      </c>
      <c r="U7202" s="8">
        <v>12.5</v>
      </c>
      <c r="V7202" s="8">
        <v>1.6</v>
      </c>
      <c r="W7202" s="8">
        <v>0.5</v>
      </c>
      <c r="X7202" s="8">
        <v>128</v>
      </c>
      <c r="Y7202" s="8" t="s">
        <v>31965</v>
      </c>
      <c r="Z7202" s="8" t="s">
        <v>31966</v>
      </c>
    </row>
    <row r="7203" spans="1:26" x14ac:dyDescent="0.2">
      <c r="A7203" s="8">
        <v>7202</v>
      </c>
      <c r="B7203" s="8" t="s">
        <v>31967</v>
      </c>
      <c r="C7203" s="8" t="s">
        <v>31967</v>
      </c>
      <c r="F7203" s="47"/>
      <c r="G7203" s="8">
        <v>16</v>
      </c>
      <c r="H7203" s="8" t="s">
        <v>21</v>
      </c>
      <c r="I7203" s="8" t="s">
        <v>72</v>
      </c>
      <c r="J7203" s="8" t="s">
        <v>72</v>
      </c>
      <c r="K7203" s="8" t="s">
        <v>20</v>
      </c>
      <c r="L7203" s="8" t="s">
        <v>31565</v>
      </c>
      <c r="M7203" s="8" t="s">
        <v>31566</v>
      </c>
      <c r="N7203" s="8" t="s">
        <v>31968</v>
      </c>
      <c r="O7203" s="8">
        <f>22+6/60+43.3/3600</f>
        <v>22.112027777777779</v>
      </c>
      <c r="P7203" s="8" t="s">
        <v>31969</v>
      </c>
      <c r="Q7203" s="8">
        <f>-(31+13/60+7/3600)</f>
        <v>-31.218611111111109</v>
      </c>
      <c r="R7203" s="8">
        <v>99</v>
      </c>
      <c r="S7203" s="8">
        <v>14.4</v>
      </c>
      <c r="T7203" s="8">
        <v>99</v>
      </c>
      <c r="U7203" s="8">
        <v>99</v>
      </c>
      <c r="Y7203" s="8" t="s">
        <v>31970</v>
      </c>
      <c r="Z7203" s="8" t="s">
        <v>31971</v>
      </c>
    </row>
    <row r="7204" spans="1:26" x14ac:dyDescent="0.2">
      <c r="A7204" s="8">
        <v>7203</v>
      </c>
      <c r="B7204" s="8" t="s">
        <v>31972</v>
      </c>
      <c r="C7204" s="8" t="s">
        <v>31972</v>
      </c>
      <c r="F7204" s="47"/>
      <c r="G7204" s="8">
        <v>16</v>
      </c>
      <c r="H7204" s="8" t="s">
        <v>21</v>
      </c>
      <c r="I7204" s="8" t="s">
        <v>22</v>
      </c>
      <c r="J7204" s="8" t="s">
        <v>22</v>
      </c>
      <c r="K7204" s="8" t="s">
        <v>435</v>
      </c>
      <c r="L7204" s="8" t="s">
        <v>31565</v>
      </c>
      <c r="M7204" s="8" t="s">
        <v>31566</v>
      </c>
      <c r="N7204" s="8" t="s">
        <v>31973</v>
      </c>
      <c r="O7204" s="8">
        <f>22+6/60+43.8/3600</f>
        <v>22.112166666666667</v>
      </c>
      <c r="P7204" s="8" t="s">
        <v>31974</v>
      </c>
      <c r="Q7204" s="8">
        <f>-(31+9/60+48/3600)</f>
        <v>-31.16333333333333</v>
      </c>
      <c r="R7204" s="8">
        <v>12.7</v>
      </c>
      <c r="S7204" s="8">
        <v>13.6</v>
      </c>
      <c r="T7204" s="8">
        <v>0.9</v>
      </c>
      <c r="U7204" s="8">
        <v>12.9</v>
      </c>
      <c r="V7204" s="8">
        <v>1.6</v>
      </c>
      <c r="W7204" s="8">
        <v>0.9</v>
      </c>
      <c r="X7204" s="8">
        <v>72</v>
      </c>
      <c r="Y7204" s="8" t="s">
        <v>31975</v>
      </c>
      <c r="Z7204" s="8" t="s">
        <v>31976</v>
      </c>
    </row>
    <row r="7205" spans="1:26" x14ac:dyDescent="0.2">
      <c r="A7205" s="8">
        <v>7204</v>
      </c>
      <c r="B7205" s="8" t="s">
        <v>31977</v>
      </c>
      <c r="C7205" s="8" t="s">
        <v>31977</v>
      </c>
      <c r="D7205" s="8" t="s">
        <v>351</v>
      </c>
      <c r="F7205" s="47"/>
      <c r="G7205" s="8">
        <v>16</v>
      </c>
      <c r="H7205" s="8" t="s">
        <v>21</v>
      </c>
      <c r="I7205" s="8" t="s">
        <v>22</v>
      </c>
      <c r="J7205" s="8" t="s">
        <v>22</v>
      </c>
      <c r="K7205" s="8" t="s">
        <v>632</v>
      </c>
      <c r="L7205" s="8" t="s">
        <v>31565</v>
      </c>
      <c r="M7205" s="8" t="s">
        <v>31566</v>
      </c>
      <c r="N7205" s="8" t="s">
        <v>31978</v>
      </c>
      <c r="O7205" s="8">
        <f>22+6/60+53.1/3600</f>
        <v>22.114750000000001</v>
      </c>
      <c r="P7205" s="8" t="s">
        <v>31979</v>
      </c>
      <c r="Q7205" s="8">
        <f>-(31+3/60+0/3600)</f>
        <v>-31.05</v>
      </c>
      <c r="R7205" s="8">
        <v>13.6</v>
      </c>
      <c r="S7205" s="8">
        <v>14.5</v>
      </c>
      <c r="T7205" s="8">
        <v>0.9</v>
      </c>
      <c r="U7205" s="8">
        <v>13.8</v>
      </c>
      <c r="V7205" s="8">
        <v>1.6</v>
      </c>
      <c r="W7205" s="8">
        <v>0.8</v>
      </c>
      <c r="X7205" s="8">
        <v>91</v>
      </c>
      <c r="Y7205" s="8" t="s">
        <v>31980</v>
      </c>
      <c r="Z7205" s="8" t="s">
        <v>31981</v>
      </c>
    </row>
    <row r="7206" spans="1:26" x14ac:dyDescent="0.2">
      <c r="A7206" s="8">
        <v>7205</v>
      </c>
      <c r="B7206" s="8" t="s">
        <v>31982</v>
      </c>
      <c r="C7206" s="8" t="s">
        <v>31982</v>
      </c>
      <c r="F7206" s="47"/>
      <c r="G7206" s="8">
        <v>13</v>
      </c>
      <c r="H7206" s="8" t="s">
        <v>21</v>
      </c>
      <c r="I7206" s="8" t="s">
        <v>22</v>
      </c>
      <c r="J7206" s="8" t="s">
        <v>22</v>
      </c>
      <c r="K7206" s="8" t="s">
        <v>396</v>
      </c>
      <c r="L7206" s="8" t="s">
        <v>310</v>
      </c>
      <c r="M7206" s="8" t="s">
        <v>311</v>
      </c>
      <c r="N7206" s="8" t="s">
        <v>31983</v>
      </c>
      <c r="O7206" s="8">
        <f>22+8/60+33.2/3600</f>
        <v>22.142555555555553</v>
      </c>
      <c r="P7206" s="8" t="s">
        <v>31984</v>
      </c>
      <c r="Q7206" s="8">
        <f>-(57+26/60+33/3600)</f>
        <v>-57.442499999999995</v>
      </c>
      <c r="R7206" s="8">
        <v>11</v>
      </c>
      <c r="S7206" s="8">
        <v>11.6</v>
      </c>
      <c r="T7206" s="8">
        <v>0.6</v>
      </c>
      <c r="U7206" s="8">
        <v>13.1</v>
      </c>
      <c r="V7206" s="8">
        <v>4</v>
      </c>
      <c r="W7206" s="8">
        <v>2</v>
      </c>
      <c r="X7206" s="8">
        <v>73</v>
      </c>
      <c r="Y7206" s="8" t="s">
        <v>31985</v>
      </c>
      <c r="Z7206" s="8" t="s">
        <v>31986</v>
      </c>
    </row>
    <row r="7207" spans="1:26" x14ac:dyDescent="0.2">
      <c r="A7207" s="8">
        <v>7206</v>
      </c>
      <c r="B7207" s="8" t="s">
        <v>31987</v>
      </c>
      <c r="C7207" s="8" t="s">
        <v>31987</v>
      </c>
      <c r="F7207" s="47"/>
      <c r="G7207" s="8">
        <v>18</v>
      </c>
      <c r="H7207" s="8" t="s">
        <v>21</v>
      </c>
      <c r="I7207" s="8" t="s">
        <v>22</v>
      </c>
      <c r="J7207" s="8" t="s">
        <v>22</v>
      </c>
      <c r="K7207" s="8" t="s">
        <v>37</v>
      </c>
      <c r="L7207" s="8" t="s">
        <v>24</v>
      </c>
      <c r="M7207" s="8" t="s">
        <v>25</v>
      </c>
      <c r="N7207" s="8" t="s">
        <v>31988</v>
      </c>
      <c r="O7207" s="8">
        <f>22+5/60+40.9/3600</f>
        <v>22.094694444444443</v>
      </c>
      <c r="P7207" s="8" t="s">
        <v>31989</v>
      </c>
      <c r="Q7207" s="8">
        <f>+(16+47/60+7/3600)</f>
        <v>16.785277777777779</v>
      </c>
      <c r="R7207" s="8">
        <v>13.3</v>
      </c>
      <c r="S7207" s="8">
        <v>14.3</v>
      </c>
      <c r="T7207" s="8">
        <v>1</v>
      </c>
      <c r="U7207" s="8">
        <v>12.8</v>
      </c>
      <c r="V7207" s="8">
        <v>1</v>
      </c>
      <c r="W7207" s="8">
        <v>0.7</v>
      </c>
      <c r="X7207" s="8">
        <v>147</v>
      </c>
      <c r="Y7207" s="8" t="s">
        <v>31990</v>
      </c>
      <c r="Z7207" s="8" t="s">
        <v>31991</v>
      </c>
    </row>
    <row r="7208" spans="1:26" x14ac:dyDescent="0.2">
      <c r="A7208" s="8">
        <v>7207</v>
      </c>
      <c r="B7208" s="8" t="s">
        <v>31992</v>
      </c>
      <c r="C7208" s="8" t="s">
        <v>31992</v>
      </c>
      <c r="F7208" s="47"/>
      <c r="G7208" s="8">
        <v>18</v>
      </c>
      <c r="H7208" s="8" t="s">
        <v>21</v>
      </c>
      <c r="I7208" s="8" t="s">
        <v>22</v>
      </c>
      <c r="J7208" s="8" t="s">
        <v>22</v>
      </c>
      <c r="K7208" s="8" t="s">
        <v>37</v>
      </c>
      <c r="L7208" s="8" t="s">
        <v>24</v>
      </c>
      <c r="M7208" s="8" t="s">
        <v>25</v>
      </c>
      <c r="N7208" s="8" t="s">
        <v>31993</v>
      </c>
      <c r="O7208" s="8">
        <f>22+5/60+45.6/3600</f>
        <v>22.096</v>
      </c>
      <c r="P7208" s="8" t="s">
        <v>31994</v>
      </c>
      <c r="Q7208" s="8">
        <f>+(16+46/60+4/3600)</f>
        <v>16.767777777777777</v>
      </c>
      <c r="R7208" s="8">
        <v>14.8</v>
      </c>
      <c r="S7208" s="8">
        <v>15.8</v>
      </c>
      <c r="T7208" s="8">
        <v>1</v>
      </c>
      <c r="U7208" s="8">
        <v>12.4</v>
      </c>
      <c r="V7208" s="8">
        <v>0.6</v>
      </c>
      <c r="W7208" s="8">
        <v>0.2</v>
      </c>
      <c r="X7208" s="8">
        <v>93</v>
      </c>
      <c r="Y7208" s="8" t="s">
        <v>1511</v>
      </c>
      <c r="Z7208" s="8" t="s">
        <v>1512</v>
      </c>
    </row>
    <row r="7209" spans="1:26" x14ac:dyDescent="0.2">
      <c r="A7209" s="8">
        <v>7208</v>
      </c>
      <c r="B7209" s="8" t="s">
        <v>31995</v>
      </c>
      <c r="C7209" s="8" t="s">
        <v>31995</v>
      </c>
      <c r="F7209" s="47"/>
      <c r="G7209" s="8">
        <v>16</v>
      </c>
      <c r="H7209" s="8" t="s">
        <v>21</v>
      </c>
      <c r="I7209" s="8" t="s">
        <v>22</v>
      </c>
      <c r="J7209" s="8" t="s">
        <v>22</v>
      </c>
      <c r="K7209" s="8" t="s">
        <v>224</v>
      </c>
      <c r="L7209" s="8" t="s">
        <v>31565</v>
      </c>
      <c r="M7209" s="8" t="s">
        <v>31566</v>
      </c>
      <c r="N7209" s="8" t="s">
        <v>31996</v>
      </c>
      <c r="O7209" s="8">
        <f>22+8/60+24.7/3600</f>
        <v>22.140194444444443</v>
      </c>
      <c r="P7209" s="8" t="s">
        <v>31997</v>
      </c>
      <c r="Q7209" s="8">
        <f>-(29+3/60+5/3600)</f>
        <v>-29.051388888888891</v>
      </c>
      <c r="R7209" s="8">
        <v>13.1</v>
      </c>
      <c r="S7209" s="8">
        <v>14.1</v>
      </c>
      <c r="T7209" s="8">
        <v>1</v>
      </c>
      <c r="U7209" s="8">
        <v>12.1</v>
      </c>
      <c r="V7209" s="8">
        <v>0.9</v>
      </c>
      <c r="W7209" s="8">
        <v>0.6</v>
      </c>
      <c r="X7209" s="8">
        <v>142</v>
      </c>
      <c r="Y7209" s="8" t="s">
        <v>31998</v>
      </c>
      <c r="Z7209" s="8" t="s">
        <v>31999</v>
      </c>
    </row>
    <row r="7210" spans="1:26" x14ac:dyDescent="0.2">
      <c r="A7210" s="8">
        <v>7209</v>
      </c>
      <c r="B7210" s="8" t="s">
        <v>32000</v>
      </c>
      <c r="C7210" s="8" t="s">
        <v>32000</v>
      </c>
      <c r="F7210" s="47" t="s">
        <v>58315</v>
      </c>
      <c r="G7210" s="8">
        <v>5</v>
      </c>
      <c r="H7210" s="8" t="s">
        <v>32001</v>
      </c>
      <c r="I7210" s="8" t="s">
        <v>557</v>
      </c>
      <c r="J7210" s="8" t="s">
        <v>557</v>
      </c>
      <c r="K7210" s="8" t="s">
        <v>1168</v>
      </c>
      <c r="L7210" s="8" t="s">
        <v>31943</v>
      </c>
      <c r="M7210" s="8" t="s">
        <v>31944</v>
      </c>
      <c r="N7210" s="8" t="s">
        <v>32002</v>
      </c>
      <c r="O7210" s="8">
        <f>22+5/60+8/3600</f>
        <v>22.085555555555555</v>
      </c>
      <c r="P7210" s="8" t="s">
        <v>32003</v>
      </c>
      <c r="Q7210" s="8">
        <f>+(46+29/60+0/3600)</f>
        <v>46.483333333333334</v>
      </c>
      <c r="R7210" s="8">
        <v>7.7</v>
      </c>
      <c r="S7210" s="8">
        <v>99</v>
      </c>
      <c r="T7210" s="8">
        <v>99</v>
      </c>
      <c r="U7210" s="8">
        <v>99</v>
      </c>
      <c r="V7210" s="8">
        <v>15</v>
      </c>
      <c r="Y7210" s="8" t="s">
        <v>32004</v>
      </c>
      <c r="Z7210" s="8" t="s">
        <v>32005</v>
      </c>
    </row>
    <row r="7211" spans="1:26" x14ac:dyDescent="0.2">
      <c r="A7211" s="8">
        <v>7210</v>
      </c>
      <c r="B7211" s="8" t="s">
        <v>32006</v>
      </c>
      <c r="C7211" s="8" t="s">
        <v>32006</v>
      </c>
      <c r="F7211" s="47"/>
      <c r="G7211" s="8">
        <v>16</v>
      </c>
      <c r="H7211" s="8" t="s">
        <v>21</v>
      </c>
      <c r="I7211" s="8" t="s">
        <v>22</v>
      </c>
      <c r="J7211" s="8" t="s">
        <v>22</v>
      </c>
      <c r="K7211" s="8" t="s">
        <v>58</v>
      </c>
      <c r="L7211" s="8" t="s">
        <v>24</v>
      </c>
      <c r="M7211" s="8" t="s">
        <v>25</v>
      </c>
      <c r="N7211" s="8" t="s">
        <v>32007</v>
      </c>
      <c r="O7211" s="8">
        <f>23+6/60+50.5/3600</f>
        <v>23.114027777777778</v>
      </c>
      <c r="P7211" s="8" t="s">
        <v>32008</v>
      </c>
      <c r="Q7211" s="8">
        <f>+(28+10/60+46/3600)</f>
        <v>28.179444444444446</v>
      </c>
      <c r="R7211" s="8">
        <v>13.5</v>
      </c>
      <c r="S7211" s="8">
        <v>14.5</v>
      </c>
      <c r="T7211" s="8">
        <v>1</v>
      </c>
      <c r="U7211" s="8">
        <v>14.8</v>
      </c>
      <c r="V7211" s="8">
        <v>2</v>
      </c>
      <c r="W7211" s="8">
        <v>1.8</v>
      </c>
      <c r="X7211" s="8">
        <v>141</v>
      </c>
      <c r="Y7211" s="8" t="s">
        <v>32009</v>
      </c>
      <c r="Z7211" s="8" t="s">
        <v>32010</v>
      </c>
    </row>
    <row r="7212" spans="1:26" x14ac:dyDescent="0.2">
      <c r="A7212" s="8">
        <v>7211</v>
      </c>
      <c r="B7212" s="8" t="s">
        <v>32011</v>
      </c>
      <c r="C7212" s="8" t="s">
        <v>32011</v>
      </c>
      <c r="F7212" s="47"/>
      <c r="G7212" s="8">
        <v>18</v>
      </c>
      <c r="H7212" s="8" t="s">
        <v>21</v>
      </c>
      <c r="I7212" s="8" t="s">
        <v>22</v>
      </c>
      <c r="J7212" s="8" t="s">
        <v>22</v>
      </c>
      <c r="K7212" s="8" t="s">
        <v>37</v>
      </c>
      <c r="L7212" s="8" t="s">
        <v>30854</v>
      </c>
      <c r="M7212" s="8" t="s">
        <v>30855</v>
      </c>
      <c r="N7212" s="8" t="s">
        <v>32012</v>
      </c>
      <c r="O7212" s="8">
        <f>22+6/60+21.8/3600</f>
        <v>22.106055555555557</v>
      </c>
      <c r="P7212" s="8" t="s">
        <v>32013</v>
      </c>
      <c r="Q7212" s="8">
        <f>-(8+5/60+22/3600)</f>
        <v>-8.0894444444444442</v>
      </c>
      <c r="R7212" s="8">
        <v>14.3</v>
      </c>
      <c r="S7212" s="8">
        <v>15.3</v>
      </c>
      <c r="T7212" s="8">
        <v>1</v>
      </c>
      <c r="U7212" s="8">
        <v>13.8</v>
      </c>
      <c r="V7212" s="8">
        <v>1</v>
      </c>
      <c r="W7212" s="8">
        <v>0.7</v>
      </c>
      <c r="X7212" s="8">
        <v>39</v>
      </c>
      <c r="Y7212" s="8" t="s">
        <v>12566</v>
      </c>
      <c r="Z7212" s="8" t="s">
        <v>12567</v>
      </c>
    </row>
    <row r="7213" spans="1:26" x14ac:dyDescent="0.2">
      <c r="A7213" s="8">
        <v>7212</v>
      </c>
      <c r="B7213" s="8" t="s">
        <v>32014</v>
      </c>
      <c r="C7213" s="8" t="s">
        <v>32014</v>
      </c>
      <c r="F7213" s="47"/>
      <c r="G7213" s="8">
        <v>19</v>
      </c>
      <c r="H7213" s="8" t="s">
        <v>21</v>
      </c>
      <c r="I7213" s="8" t="s">
        <v>22</v>
      </c>
      <c r="J7213" s="8" t="s">
        <v>22</v>
      </c>
      <c r="K7213" s="8" t="s">
        <v>23</v>
      </c>
      <c r="L7213" s="8" t="s">
        <v>24</v>
      </c>
      <c r="M7213" s="8" t="s">
        <v>25</v>
      </c>
      <c r="N7213" s="8" t="s">
        <v>32015</v>
      </c>
      <c r="O7213" s="8">
        <f>22+7/60+2.2/3600</f>
        <v>22.11727777777778</v>
      </c>
      <c r="P7213" s="8" t="s">
        <v>32016</v>
      </c>
      <c r="Q7213" s="8">
        <f>+(10+14/60+5/3600)</f>
        <v>10.234722222222221</v>
      </c>
      <c r="R7213" s="8">
        <v>13.9</v>
      </c>
      <c r="S7213" s="8">
        <v>14.7</v>
      </c>
      <c r="T7213" s="8">
        <v>0.8</v>
      </c>
      <c r="U7213" s="8">
        <v>13.5</v>
      </c>
      <c r="V7213" s="8">
        <v>1.2</v>
      </c>
      <c r="W7213" s="8">
        <v>0.6</v>
      </c>
      <c r="X7213" s="8">
        <v>33</v>
      </c>
      <c r="Y7213" s="8" t="s">
        <v>1123</v>
      </c>
      <c r="Z7213" s="8" t="s">
        <v>1124</v>
      </c>
    </row>
    <row r="7214" spans="1:26" x14ac:dyDescent="0.2">
      <c r="A7214" s="8">
        <v>7213</v>
      </c>
      <c r="B7214" s="8" t="s">
        <v>32017</v>
      </c>
      <c r="C7214" s="8" t="s">
        <v>32017</v>
      </c>
      <c r="F7214" s="47"/>
      <c r="G7214" s="8">
        <v>13</v>
      </c>
      <c r="H7214" s="8" t="s">
        <v>21</v>
      </c>
      <c r="I7214" s="8" t="s">
        <v>22</v>
      </c>
      <c r="J7214" s="8" t="s">
        <v>22</v>
      </c>
      <c r="K7214" s="8" t="s">
        <v>91</v>
      </c>
      <c r="L7214" s="8" t="s">
        <v>31389</v>
      </c>
      <c r="M7214" s="8" t="s">
        <v>31390</v>
      </c>
      <c r="N7214" s="8" t="s">
        <v>32018</v>
      </c>
      <c r="O7214" s="8">
        <f>22+9/60+16.2/3600</f>
        <v>22.154499999999999</v>
      </c>
      <c r="P7214" s="8" t="s">
        <v>32019</v>
      </c>
      <c r="Q7214" s="8">
        <f>-(47+10/60+1/3600)</f>
        <v>-47.166944444444439</v>
      </c>
      <c r="R7214" s="8">
        <v>10.1</v>
      </c>
      <c r="S7214" s="8">
        <v>11</v>
      </c>
      <c r="T7214" s="8">
        <v>0.9</v>
      </c>
      <c r="U7214" s="8">
        <v>12.3</v>
      </c>
      <c r="V7214" s="8">
        <v>3.1</v>
      </c>
      <c r="W7214" s="8">
        <v>2.8</v>
      </c>
      <c r="X7214" s="8">
        <v>124</v>
      </c>
      <c r="Y7214" s="8" t="s">
        <v>32020</v>
      </c>
      <c r="Z7214" s="8" t="s">
        <v>32021</v>
      </c>
    </row>
    <row r="7215" spans="1:26" x14ac:dyDescent="0.2">
      <c r="A7215" s="8">
        <v>7214</v>
      </c>
      <c r="B7215" s="8" t="s">
        <v>32022</v>
      </c>
      <c r="C7215" s="8" t="s">
        <v>32022</v>
      </c>
      <c r="F7215" s="47"/>
      <c r="G7215" s="8">
        <v>16</v>
      </c>
      <c r="H7215" s="8" t="s">
        <v>21</v>
      </c>
      <c r="I7215" s="8" t="s">
        <v>22</v>
      </c>
      <c r="J7215" s="8" t="s">
        <v>22</v>
      </c>
      <c r="K7215" s="8" t="s">
        <v>520</v>
      </c>
      <c r="L7215" s="8" t="s">
        <v>31565</v>
      </c>
      <c r="M7215" s="8" t="s">
        <v>31566</v>
      </c>
      <c r="N7215" s="8" t="s">
        <v>32023</v>
      </c>
      <c r="O7215" s="8">
        <f>22+9/60+7.6/3600</f>
        <v>22.152111111111111</v>
      </c>
      <c r="P7215" s="8" t="s">
        <v>32024</v>
      </c>
      <c r="Q7215" s="8">
        <f>-(27+48/60+35/3600)</f>
        <v>-27.809722222222224</v>
      </c>
      <c r="R7215" s="8">
        <v>12.7</v>
      </c>
      <c r="S7215" s="8">
        <v>13.3</v>
      </c>
      <c r="T7215" s="8">
        <v>0.6</v>
      </c>
      <c r="U7215" s="8">
        <v>13.8</v>
      </c>
      <c r="V7215" s="8">
        <v>2.2000000000000002</v>
      </c>
      <c r="W7215" s="8">
        <v>1.4</v>
      </c>
      <c r="X7215" s="8">
        <v>105</v>
      </c>
      <c r="Y7215" s="8" t="s">
        <v>32025</v>
      </c>
      <c r="Z7215" s="8" t="s">
        <v>32026</v>
      </c>
    </row>
    <row r="7216" spans="1:26" x14ac:dyDescent="0.2">
      <c r="A7216" s="8">
        <v>7215</v>
      </c>
      <c r="B7216" s="8" t="s">
        <v>32027</v>
      </c>
      <c r="C7216" s="8" t="s">
        <v>32027</v>
      </c>
      <c r="F7216" s="47"/>
      <c r="G7216" s="8">
        <v>18</v>
      </c>
      <c r="H7216" s="8" t="s">
        <v>21</v>
      </c>
      <c r="I7216" s="8" t="s">
        <v>22</v>
      </c>
      <c r="J7216" s="8" t="s">
        <v>22</v>
      </c>
      <c r="K7216" s="8" t="s">
        <v>37</v>
      </c>
      <c r="L7216" s="8" t="s">
        <v>30854</v>
      </c>
      <c r="M7216" s="8" t="s">
        <v>30855</v>
      </c>
      <c r="N7216" s="8" t="s">
        <v>32028</v>
      </c>
      <c r="O7216" s="8">
        <f>22+8/60+34.5/3600</f>
        <v>22.142916666666665</v>
      </c>
      <c r="P7216" s="8" t="s">
        <v>32029</v>
      </c>
      <c r="Q7216" s="8">
        <f>+(0+30/60+44/3600)</f>
        <v>0.51222222222222225</v>
      </c>
      <c r="R7216" s="8">
        <v>13.9</v>
      </c>
      <c r="S7216" s="8">
        <v>14.9</v>
      </c>
      <c r="T7216" s="8">
        <v>1</v>
      </c>
      <c r="U7216" s="8">
        <v>13.1</v>
      </c>
      <c r="V7216" s="8">
        <v>1.1000000000000001</v>
      </c>
      <c r="W7216" s="8">
        <v>0.4</v>
      </c>
      <c r="X7216" s="8">
        <v>88</v>
      </c>
      <c r="Y7216" s="8" t="s">
        <v>307</v>
      </c>
      <c r="Z7216" s="8" t="s">
        <v>308</v>
      </c>
    </row>
    <row r="7217" spans="1:26" x14ac:dyDescent="0.2">
      <c r="A7217" s="8">
        <v>7216</v>
      </c>
      <c r="B7217" s="8" t="s">
        <v>32030</v>
      </c>
      <c r="C7217" s="8" t="s">
        <v>32030</v>
      </c>
      <c r="F7217" s="47"/>
      <c r="G7217" s="8">
        <v>16</v>
      </c>
      <c r="H7217" s="8" t="s">
        <v>21</v>
      </c>
      <c r="I7217" s="8" t="s">
        <v>22</v>
      </c>
      <c r="J7217" s="8" t="s">
        <v>22</v>
      </c>
      <c r="K7217" s="8" t="s">
        <v>58</v>
      </c>
      <c r="L7217" s="8" t="s">
        <v>30731</v>
      </c>
      <c r="M7217" s="8" t="s">
        <v>30732</v>
      </c>
      <c r="N7217" s="8" t="s">
        <v>32031</v>
      </c>
      <c r="O7217" s="8">
        <f>22+12/60+36/3600</f>
        <v>22.21</v>
      </c>
      <c r="P7217" s="8" t="s">
        <v>32032</v>
      </c>
      <c r="Q7217" s="8">
        <f>-(68+39/60+43/3600)</f>
        <v>-68.661944444444444</v>
      </c>
      <c r="R7217" s="8">
        <v>12.6</v>
      </c>
      <c r="S7217" s="8">
        <v>13.5</v>
      </c>
      <c r="T7217" s="8">
        <v>0.9</v>
      </c>
      <c r="U7217" s="8">
        <v>13.1</v>
      </c>
      <c r="V7217" s="8">
        <v>1.7</v>
      </c>
      <c r="W7217" s="8">
        <v>1</v>
      </c>
      <c r="X7217" s="8">
        <v>133</v>
      </c>
      <c r="Y7217" s="8" t="s">
        <v>2186</v>
      </c>
      <c r="Z7217" s="8" t="s">
        <v>2187</v>
      </c>
    </row>
    <row r="7218" spans="1:26" x14ac:dyDescent="0.2">
      <c r="A7218" s="8">
        <v>7217</v>
      </c>
      <c r="B7218" s="8" t="s">
        <v>32033</v>
      </c>
      <c r="C7218" s="8" t="s">
        <v>32033</v>
      </c>
      <c r="F7218" s="47" t="s">
        <v>58316</v>
      </c>
      <c r="G7218" s="8">
        <v>6</v>
      </c>
      <c r="H7218" s="8" t="s">
        <v>21</v>
      </c>
      <c r="I7218" s="8" t="s">
        <v>22</v>
      </c>
      <c r="J7218" s="8" t="s">
        <v>22</v>
      </c>
      <c r="K7218" s="8" t="s">
        <v>23</v>
      </c>
      <c r="L7218" s="8" t="s">
        <v>24</v>
      </c>
      <c r="M7218" s="8" t="s">
        <v>25</v>
      </c>
      <c r="N7218" s="8" t="s">
        <v>32034</v>
      </c>
      <c r="O7218" s="8">
        <f>22+7/60+52.1/3600</f>
        <v>22.131138888888888</v>
      </c>
      <c r="P7218" s="8" t="s">
        <v>32035</v>
      </c>
      <c r="Q7218" s="8">
        <f>+(31+21/60+34/3600)</f>
        <v>31.359444444444446</v>
      </c>
      <c r="R7218" s="8">
        <v>10.1</v>
      </c>
      <c r="S7218" s="8">
        <v>11</v>
      </c>
      <c r="T7218" s="8">
        <v>0.9</v>
      </c>
      <c r="U7218" s="8">
        <v>12.7</v>
      </c>
      <c r="V7218" s="8">
        <v>4</v>
      </c>
      <c r="W7218" s="8">
        <v>3.4</v>
      </c>
      <c r="X7218" s="8">
        <v>83</v>
      </c>
      <c r="Y7218" s="8" t="s">
        <v>32036</v>
      </c>
      <c r="Z7218" s="8" t="s">
        <v>32037</v>
      </c>
    </row>
    <row r="7219" spans="1:26" x14ac:dyDescent="0.2">
      <c r="A7219" s="8">
        <v>7218</v>
      </c>
      <c r="B7219" s="8" t="s">
        <v>32038</v>
      </c>
      <c r="C7219" s="8" t="s">
        <v>32038</v>
      </c>
      <c r="F7219" s="47" t="s">
        <v>58317</v>
      </c>
      <c r="G7219" s="8">
        <v>6.5</v>
      </c>
      <c r="H7219" s="8" t="s">
        <v>21</v>
      </c>
      <c r="I7219" s="8" t="s">
        <v>22</v>
      </c>
      <c r="J7219" s="8" t="s">
        <v>22</v>
      </c>
      <c r="K7219" s="8" t="s">
        <v>64</v>
      </c>
      <c r="L7219" s="8" t="s">
        <v>30854</v>
      </c>
      <c r="M7219" s="8" t="s">
        <v>30855</v>
      </c>
      <c r="N7219" s="8" t="s">
        <v>32039</v>
      </c>
      <c r="O7219" s="8">
        <f>22+10/60+11.5/3600</f>
        <v>22.169861111111111</v>
      </c>
      <c r="P7219" s="8" t="s">
        <v>32040</v>
      </c>
      <c r="Q7219" s="8">
        <f>-(16+39/60+38/3600)</f>
        <v>-16.660555555555554</v>
      </c>
      <c r="R7219" s="8">
        <v>12</v>
      </c>
      <c r="S7219" s="8">
        <v>12.7</v>
      </c>
      <c r="T7219" s="8">
        <v>0.7</v>
      </c>
      <c r="U7219" s="8">
        <v>13</v>
      </c>
      <c r="V7219" s="8">
        <v>2.6</v>
      </c>
      <c r="W7219" s="8">
        <v>1.1000000000000001</v>
      </c>
      <c r="X7219" s="8">
        <v>24</v>
      </c>
      <c r="Y7219" s="8" t="s">
        <v>32041</v>
      </c>
      <c r="Z7219" s="8" t="s">
        <v>32042</v>
      </c>
    </row>
    <row r="7220" spans="1:26" x14ac:dyDescent="0.2">
      <c r="A7220" s="8">
        <v>7219</v>
      </c>
      <c r="B7220" s="8" t="s">
        <v>32043</v>
      </c>
      <c r="C7220" s="8" t="s">
        <v>32043</v>
      </c>
      <c r="F7220" s="47"/>
      <c r="G7220" s="8">
        <v>16</v>
      </c>
      <c r="H7220" s="8" t="s">
        <v>21</v>
      </c>
      <c r="I7220" s="8" t="s">
        <v>22</v>
      </c>
      <c r="J7220" s="8" t="s">
        <v>22</v>
      </c>
      <c r="K7220" s="8" t="s">
        <v>154</v>
      </c>
      <c r="L7220" s="8" t="s">
        <v>310</v>
      </c>
      <c r="M7220" s="8" t="s">
        <v>311</v>
      </c>
      <c r="N7220" s="8" t="s">
        <v>32044</v>
      </c>
      <c r="O7220" s="8">
        <f>22+13/60+8.9/3600</f>
        <v>22.219138888888889</v>
      </c>
      <c r="P7220" s="8" t="s">
        <v>32045</v>
      </c>
      <c r="Q7220" s="8">
        <f>-(64+50/60+56/3600)</f>
        <v>-64.848888888888879</v>
      </c>
      <c r="R7220" s="8">
        <v>12.5</v>
      </c>
      <c r="S7220" s="8">
        <v>13.3</v>
      </c>
      <c r="T7220" s="8">
        <v>0.8</v>
      </c>
      <c r="U7220" s="8">
        <v>13</v>
      </c>
      <c r="V7220" s="8">
        <v>1.7</v>
      </c>
      <c r="W7220" s="8">
        <v>1</v>
      </c>
      <c r="X7220" s="8">
        <v>27</v>
      </c>
      <c r="Y7220" s="8" t="s">
        <v>32046</v>
      </c>
      <c r="Z7220" s="8" t="s">
        <v>32047</v>
      </c>
    </row>
    <row r="7221" spans="1:26" x14ac:dyDescent="0.2">
      <c r="A7221" s="8">
        <v>7220</v>
      </c>
      <c r="B7221" s="8" t="s">
        <v>32048</v>
      </c>
      <c r="C7221" s="8" t="s">
        <v>32048</v>
      </c>
      <c r="F7221" s="47"/>
      <c r="G7221" s="8">
        <v>19</v>
      </c>
      <c r="H7221" s="8" t="s">
        <v>21</v>
      </c>
      <c r="I7221" s="8" t="s">
        <v>22</v>
      </c>
      <c r="J7221" s="8" t="s">
        <v>22</v>
      </c>
      <c r="K7221" s="8" t="s">
        <v>224</v>
      </c>
      <c r="L7221" s="8" t="s">
        <v>30854</v>
      </c>
      <c r="M7221" s="8" t="s">
        <v>30855</v>
      </c>
      <c r="N7221" s="8" t="s">
        <v>32049</v>
      </c>
      <c r="O7221" s="8">
        <f>22+11/60+30.9/3600</f>
        <v>22.191916666666668</v>
      </c>
      <c r="P7221" s="8" t="s">
        <v>32050</v>
      </c>
      <c r="Q7221" s="8">
        <f>-(22+57/60+11/3600)</f>
        <v>-22.953055555555554</v>
      </c>
      <c r="R7221" s="8">
        <v>13.5</v>
      </c>
      <c r="S7221" s="8">
        <v>14.5</v>
      </c>
      <c r="T7221" s="8">
        <v>1</v>
      </c>
      <c r="U7221" s="8">
        <v>12.8</v>
      </c>
      <c r="V7221" s="8">
        <v>0.9</v>
      </c>
      <c r="W7221" s="8">
        <v>0.7</v>
      </c>
      <c r="X7221" s="8">
        <v>3</v>
      </c>
      <c r="Y7221" s="8" t="s">
        <v>32051</v>
      </c>
      <c r="Z7221" s="8" t="s">
        <v>32052</v>
      </c>
    </row>
    <row r="7222" spans="1:26" x14ac:dyDescent="0.2">
      <c r="A7222" s="8">
        <v>7221</v>
      </c>
      <c r="B7222" s="8" t="s">
        <v>32053</v>
      </c>
      <c r="C7222" s="8" t="s">
        <v>32053</v>
      </c>
      <c r="F7222" s="47"/>
      <c r="G7222" s="8">
        <v>16</v>
      </c>
      <c r="H7222" s="8" t="s">
        <v>21</v>
      </c>
      <c r="I7222" s="8" t="s">
        <v>22</v>
      </c>
      <c r="J7222" s="8" t="s">
        <v>22</v>
      </c>
      <c r="K7222" s="8" t="s">
        <v>85</v>
      </c>
      <c r="L7222" s="8" t="s">
        <v>31565</v>
      </c>
      <c r="M7222" s="8" t="s">
        <v>31566</v>
      </c>
      <c r="N7222" s="8" t="s">
        <v>32054</v>
      </c>
      <c r="O7222" s="8">
        <f>22+11/60+15.1/3600</f>
        <v>22.187527777777778</v>
      </c>
      <c r="P7222" s="8" t="s">
        <v>32055</v>
      </c>
      <c r="Q7222" s="8">
        <f>-(30+33/60+48/3600)</f>
        <v>-30.563333333333333</v>
      </c>
      <c r="R7222" s="8">
        <v>12.1</v>
      </c>
      <c r="S7222" s="8">
        <v>12.8</v>
      </c>
      <c r="T7222" s="8">
        <v>0.7</v>
      </c>
      <c r="U7222" s="8">
        <v>13.3</v>
      </c>
      <c r="V7222" s="8">
        <v>2</v>
      </c>
      <c r="W7222" s="8">
        <v>1.6</v>
      </c>
      <c r="X7222" s="8">
        <v>10</v>
      </c>
      <c r="Y7222" s="8" t="s">
        <v>32056</v>
      </c>
      <c r="Z7222" s="8" t="s">
        <v>32057</v>
      </c>
    </row>
    <row r="7223" spans="1:26" x14ac:dyDescent="0.2">
      <c r="A7223" s="8">
        <v>7222</v>
      </c>
      <c r="B7223" s="8" t="s">
        <v>32058</v>
      </c>
      <c r="C7223" s="8" t="s">
        <v>32058</v>
      </c>
      <c r="F7223" s="47"/>
      <c r="G7223" s="8">
        <v>18</v>
      </c>
      <c r="H7223" s="8" t="s">
        <v>21</v>
      </c>
      <c r="I7223" s="8" t="s">
        <v>22</v>
      </c>
      <c r="J7223" s="8" t="s">
        <v>22</v>
      </c>
      <c r="K7223" s="8" t="s">
        <v>218</v>
      </c>
      <c r="L7223" s="8" t="s">
        <v>30854</v>
      </c>
      <c r="M7223" s="8" t="s">
        <v>30855</v>
      </c>
      <c r="N7223" s="8" t="s">
        <v>32059</v>
      </c>
      <c r="O7223" s="8">
        <f>22+10/60+51.7/3600</f>
        <v>22.181027777777778</v>
      </c>
      <c r="P7223" s="8" t="s">
        <v>32060</v>
      </c>
      <c r="Q7223" s="8">
        <f>+(2+6/60+23/3600)</f>
        <v>2.1063888888888891</v>
      </c>
      <c r="R7223" s="8">
        <v>13.8</v>
      </c>
      <c r="S7223" s="8">
        <v>14.6</v>
      </c>
      <c r="T7223" s="8">
        <v>0.8</v>
      </c>
      <c r="U7223" s="8">
        <v>14</v>
      </c>
      <c r="V7223" s="8">
        <v>1.2</v>
      </c>
      <c r="W7223" s="8">
        <v>1.2</v>
      </c>
      <c r="Y7223" s="8" t="s">
        <v>1511</v>
      </c>
      <c r="Z7223" s="8" t="s">
        <v>1512</v>
      </c>
    </row>
    <row r="7224" spans="1:26" x14ac:dyDescent="0.2">
      <c r="A7224" s="8">
        <v>7223</v>
      </c>
      <c r="B7224" s="8" t="s">
        <v>32061</v>
      </c>
      <c r="C7224" s="8" t="s">
        <v>32061</v>
      </c>
      <c r="F7224" s="47" t="s">
        <v>58318</v>
      </c>
      <c r="G7224" s="8">
        <v>15</v>
      </c>
      <c r="H7224" s="8" t="s">
        <v>21</v>
      </c>
      <c r="I7224" s="8" t="s">
        <v>22</v>
      </c>
      <c r="J7224" s="8" t="s">
        <v>22</v>
      </c>
      <c r="K7224" s="8" t="s">
        <v>64</v>
      </c>
      <c r="L7224" s="8" t="s">
        <v>31943</v>
      </c>
      <c r="M7224" s="8" t="s">
        <v>31944</v>
      </c>
      <c r="N7224" s="8" t="s">
        <v>32062</v>
      </c>
      <c r="O7224" s="8">
        <f>22+10/60+9.2/3600</f>
        <v>22.169222222222224</v>
      </c>
      <c r="P7224" s="8" t="s">
        <v>32063</v>
      </c>
      <c r="Q7224" s="8">
        <f>+(41+1/60+2/3600)</f>
        <v>41.017222222222223</v>
      </c>
      <c r="R7224" s="8">
        <v>12.2</v>
      </c>
      <c r="S7224" s="8">
        <v>12.9</v>
      </c>
      <c r="T7224" s="8">
        <v>0.7</v>
      </c>
      <c r="U7224" s="8">
        <v>12.5</v>
      </c>
      <c r="V7224" s="8">
        <v>1.4</v>
      </c>
      <c r="W7224" s="8">
        <v>1.1000000000000001</v>
      </c>
      <c r="X7224" s="8">
        <v>144</v>
      </c>
      <c r="Y7224" s="8" t="s">
        <v>32064</v>
      </c>
      <c r="Z7224" s="8" t="s">
        <v>32065</v>
      </c>
    </row>
    <row r="7225" spans="1:26" x14ac:dyDescent="0.2">
      <c r="A7225" s="8">
        <v>7224</v>
      </c>
      <c r="B7225" s="8" t="s">
        <v>32066</v>
      </c>
      <c r="C7225" s="8" t="s">
        <v>32066</v>
      </c>
      <c r="F7225" s="47"/>
      <c r="G7225" s="8">
        <v>18</v>
      </c>
      <c r="H7225" s="8" t="s">
        <v>21</v>
      </c>
      <c r="I7225" s="8" t="s">
        <v>22</v>
      </c>
      <c r="J7225" s="8" t="s">
        <v>22</v>
      </c>
      <c r="K7225" s="8" t="s">
        <v>50</v>
      </c>
      <c r="L7225" s="8" t="s">
        <v>24</v>
      </c>
      <c r="M7225" s="8" t="s">
        <v>25</v>
      </c>
      <c r="N7225" s="8" t="s">
        <v>32067</v>
      </c>
      <c r="O7225" s="8">
        <f>22+11/60+35.3/3600</f>
        <v>22.193138888888889</v>
      </c>
      <c r="P7225" s="8" t="s">
        <v>32068</v>
      </c>
      <c r="Q7225" s="8">
        <f>+(25+51/60+54/3600)</f>
        <v>25.865000000000002</v>
      </c>
      <c r="R7225" s="8">
        <v>13.2</v>
      </c>
      <c r="S7225" s="8">
        <v>14.2</v>
      </c>
      <c r="T7225" s="8">
        <v>1</v>
      </c>
      <c r="U7225" s="8">
        <v>13.7</v>
      </c>
      <c r="V7225" s="8">
        <v>1.6</v>
      </c>
      <c r="W7225" s="8">
        <v>1</v>
      </c>
      <c r="X7225" s="8">
        <v>110</v>
      </c>
      <c r="Y7225" s="8" t="s">
        <v>895</v>
      </c>
      <c r="Z7225" s="8" t="s">
        <v>896</v>
      </c>
    </row>
    <row r="7226" spans="1:26" x14ac:dyDescent="0.2">
      <c r="A7226" s="8">
        <v>7225</v>
      </c>
      <c r="B7226" s="8" t="s">
        <v>32069</v>
      </c>
      <c r="C7226" s="8" t="s">
        <v>32069</v>
      </c>
      <c r="F7226" s="47"/>
      <c r="G7226" s="8">
        <v>16</v>
      </c>
      <c r="H7226" s="8" t="s">
        <v>21</v>
      </c>
      <c r="I7226" s="8" t="s">
        <v>22</v>
      </c>
      <c r="J7226" s="8" t="s">
        <v>22</v>
      </c>
      <c r="K7226" s="8" t="s">
        <v>1157</v>
      </c>
      <c r="L7226" s="8" t="s">
        <v>31565</v>
      </c>
      <c r="M7226" s="8" t="s">
        <v>31566</v>
      </c>
      <c r="N7226" s="8" t="s">
        <v>32070</v>
      </c>
      <c r="O7226" s="8">
        <f>22+13/60+7.8/3600</f>
        <v>22.218833333333333</v>
      </c>
      <c r="P7226" s="8" t="s">
        <v>32071</v>
      </c>
      <c r="Q7226" s="8">
        <f>-(26+8/60+54/3600)</f>
        <v>-26.148333333333333</v>
      </c>
      <c r="R7226" s="8">
        <v>12.3</v>
      </c>
      <c r="S7226" s="8">
        <v>13.2</v>
      </c>
      <c r="T7226" s="8">
        <v>0.9</v>
      </c>
      <c r="U7226" s="8">
        <v>12.9</v>
      </c>
      <c r="V7226" s="8">
        <v>2</v>
      </c>
      <c r="W7226" s="8">
        <v>1</v>
      </c>
      <c r="X7226" s="8">
        <v>147</v>
      </c>
      <c r="Y7226" s="8" t="s">
        <v>6632</v>
      </c>
      <c r="Z7226" s="8" t="s">
        <v>6633</v>
      </c>
    </row>
    <row r="7227" spans="1:26" x14ac:dyDescent="0.2">
      <c r="A7227" s="8">
        <v>7226</v>
      </c>
      <c r="B7227" s="8" t="s">
        <v>32072</v>
      </c>
      <c r="C7227" s="8" t="s">
        <v>32072</v>
      </c>
      <c r="F7227" s="47"/>
      <c r="G7227" s="8">
        <v>14</v>
      </c>
      <c r="H7227" s="8" t="s">
        <v>21</v>
      </c>
      <c r="I7227" s="8" t="s">
        <v>557</v>
      </c>
      <c r="J7227" s="8" t="s">
        <v>557</v>
      </c>
      <c r="K7227" s="8" t="s">
        <v>13694</v>
      </c>
      <c r="L7227" s="8" t="s">
        <v>242</v>
      </c>
      <c r="M7227" s="8" t="s">
        <v>243</v>
      </c>
      <c r="N7227" s="8" t="s">
        <v>32073</v>
      </c>
      <c r="O7227" s="8">
        <f>22+10/60+27/3600</f>
        <v>22.174166666666668</v>
      </c>
      <c r="P7227" s="8" t="s">
        <v>32074</v>
      </c>
      <c r="Q7227" s="8">
        <f>+(55+23/60+55/3600)</f>
        <v>55.398611111111109</v>
      </c>
      <c r="R7227" s="8">
        <v>9.6</v>
      </c>
      <c r="S7227" s="8">
        <v>99</v>
      </c>
      <c r="T7227" s="8">
        <v>99</v>
      </c>
      <c r="U7227" s="8">
        <v>99</v>
      </c>
      <c r="V7227" s="8">
        <v>2</v>
      </c>
      <c r="Y7227" s="8" t="s">
        <v>32075</v>
      </c>
      <c r="Z7227" s="8" t="s">
        <v>32076</v>
      </c>
    </row>
    <row r="7228" spans="1:26" x14ac:dyDescent="0.2">
      <c r="A7228" s="8">
        <v>7227</v>
      </c>
      <c r="B7228" s="8" t="s">
        <v>32077</v>
      </c>
      <c r="C7228" s="8" t="s">
        <v>32077</v>
      </c>
      <c r="F7228" s="47"/>
      <c r="G7228" s="8">
        <v>18</v>
      </c>
      <c r="H7228" s="8" t="s">
        <v>21</v>
      </c>
      <c r="I7228" s="8" t="s">
        <v>22</v>
      </c>
      <c r="J7228" s="8" t="s">
        <v>22</v>
      </c>
      <c r="K7228" s="8" t="s">
        <v>37</v>
      </c>
      <c r="L7228" s="8" t="s">
        <v>31943</v>
      </c>
      <c r="M7228" s="8" t="s">
        <v>31944</v>
      </c>
      <c r="N7228" s="8" t="s">
        <v>32078</v>
      </c>
      <c r="O7228" s="8">
        <f>22+11/60+31.3/3600</f>
        <v>22.192027777777778</v>
      </c>
      <c r="P7228" s="8" t="s">
        <v>32079</v>
      </c>
      <c r="Q7228" s="8">
        <f>+(38+43/60+15/3600)</f>
        <v>38.720833333333339</v>
      </c>
      <c r="R7228" s="8">
        <v>13.5</v>
      </c>
      <c r="S7228" s="8">
        <v>14.5</v>
      </c>
      <c r="T7228" s="8">
        <v>1</v>
      </c>
      <c r="U7228" s="8">
        <v>13.1</v>
      </c>
      <c r="V7228" s="8">
        <v>1.3</v>
      </c>
      <c r="W7228" s="8">
        <v>0.6</v>
      </c>
      <c r="X7228" s="8">
        <v>8</v>
      </c>
      <c r="Y7228" s="8" t="s">
        <v>32080</v>
      </c>
      <c r="Z7228" s="8" t="s">
        <v>32081</v>
      </c>
    </row>
    <row r="7229" spans="1:26" x14ac:dyDescent="0.2">
      <c r="A7229" s="8">
        <v>7228</v>
      </c>
      <c r="B7229" s="8" t="s">
        <v>32082</v>
      </c>
      <c r="C7229" s="8" t="s">
        <v>32082</v>
      </c>
      <c r="F7229" s="47"/>
      <c r="G7229" s="8">
        <v>18</v>
      </c>
      <c r="H7229" s="8" t="s">
        <v>21</v>
      </c>
      <c r="I7229" s="8" t="s">
        <v>22</v>
      </c>
      <c r="J7229" s="8" t="s">
        <v>22</v>
      </c>
      <c r="K7229" s="8" t="s">
        <v>154</v>
      </c>
      <c r="L7229" s="8" t="s">
        <v>31943</v>
      </c>
      <c r="M7229" s="8" t="s">
        <v>31944</v>
      </c>
      <c r="N7229" s="8" t="s">
        <v>32083</v>
      </c>
      <c r="O7229" s="8">
        <f>22+11/60+48.6/3600</f>
        <v>22.196833333333334</v>
      </c>
      <c r="P7229" s="8" t="s">
        <v>32084</v>
      </c>
      <c r="Q7229" s="8">
        <f>+(38+41/60+56/3600)</f>
        <v>38.698888888888888</v>
      </c>
      <c r="R7229" s="8">
        <v>13.5</v>
      </c>
      <c r="S7229" s="8">
        <v>14.4</v>
      </c>
      <c r="T7229" s="8">
        <v>0.9</v>
      </c>
      <c r="U7229" s="8">
        <v>14.4</v>
      </c>
      <c r="V7229" s="8">
        <v>2.1</v>
      </c>
      <c r="W7229" s="8">
        <v>1.2</v>
      </c>
      <c r="X7229" s="8">
        <v>156</v>
      </c>
      <c r="Y7229" s="8" t="s">
        <v>32085</v>
      </c>
      <c r="Z7229" s="8" t="s">
        <v>32086</v>
      </c>
    </row>
    <row r="7230" spans="1:26" x14ac:dyDescent="0.2">
      <c r="A7230" s="8">
        <v>7229</v>
      </c>
      <c r="B7230" s="8" t="s">
        <v>32087</v>
      </c>
      <c r="C7230" s="8" t="s">
        <v>32087</v>
      </c>
      <c r="F7230" s="47"/>
      <c r="G7230" s="8">
        <v>16</v>
      </c>
      <c r="H7230" s="8" t="s">
        <v>21</v>
      </c>
      <c r="I7230" s="8" t="s">
        <v>22</v>
      </c>
      <c r="J7230" s="8" t="s">
        <v>22</v>
      </c>
      <c r="K7230" s="8" t="s">
        <v>64</v>
      </c>
      <c r="L7230" s="8" t="s">
        <v>31565</v>
      </c>
      <c r="M7230" s="8" t="s">
        <v>31566</v>
      </c>
      <c r="N7230" s="8" t="s">
        <v>32088</v>
      </c>
      <c r="O7230" s="8">
        <f>22+14/60+3.3/3600</f>
        <v>22.234249999999999</v>
      </c>
      <c r="P7230" s="8" t="s">
        <v>32089</v>
      </c>
      <c r="Q7230" s="8">
        <f>-(29+23/60+0/3600)</f>
        <v>-29.383333333333333</v>
      </c>
      <c r="R7230" s="8">
        <v>12.5</v>
      </c>
      <c r="S7230" s="8">
        <v>13.1</v>
      </c>
      <c r="T7230" s="8">
        <v>0.6</v>
      </c>
      <c r="U7230" s="8">
        <v>13.5</v>
      </c>
      <c r="V7230" s="8">
        <v>1.8</v>
      </c>
      <c r="W7230" s="8">
        <v>1.5</v>
      </c>
      <c r="X7230" s="8">
        <v>157</v>
      </c>
      <c r="Y7230" s="8" t="s">
        <v>4196</v>
      </c>
      <c r="Z7230" s="8" t="s">
        <v>4197</v>
      </c>
    </row>
    <row r="7231" spans="1:26" x14ac:dyDescent="0.2">
      <c r="A7231" s="8">
        <v>7230</v>
      </c>
      <c r="B7231" s="8" t="s">
        <v>32090</v>
      </c>
      <c r="C7231" s="8" t="s">
        <v>32090</v>
      </c>
      <c r="F7231" s="47" t="s">
        <v>58319</v>
      </c>
      <c r="G7231" s="8">
        <v>15</v>
      </c>
      <c r="H7231" s="8" t="s">
        <v>21</v>
      </c>
      <c r="I7231" s="8" t="s">
        <v>22</v>
      </c>
      <c r="J7231" s="8" t="s">
        <v>22</v>
      </c>
      <c r="K7231" s="8" t="s">
        <v>85</v>
      </c>
      <c r="L7231" s="8" t="s">
        <v>30854</v>
      </c>
      <c r="M7231" s="8" t="s">
        <v>30855</v>
      </c>
      <c r="N7231" s="8" t="s">
        <v>32091</v>
      </c>
      <c r="O7231" s="8">
        <f>22+14/60+13.1/3600</f>
        <v>22.236972222222224</v>
      </c>
      <c r="P7231" s="8" t="s">
        <v>32092</v>
      </c>
      <c r="Q7231" s="8">
        <f>-(17+4/60+28/3600)</f>
        <v>-17.074444444444445</v>
      </c>
      <c r="R7231" s="8">
        <v>14.1</v>
      </c>
      <c r="S7231" s="8">
        <v>14.9</v>
      </c>
      <c r="T7231" s="8">
        <v>0.8</v>
      </c>
      <c r="U7231" s="8">
        <v>13.7</v>
      </c>
      <c r="V7231" s="8">
        <v>0.9</v>
      </c>
      <c r="W7231" s="8">
        <v>0.9</v>
      </c>
      <c r="Y7231" s="8" t="s">
        <v>2248</v>
      </c>
      <c r="Z7231" s="8" t="s">
        <v>2249</v>
      </c>
    </row>
    <row r="7232" spans="1:26" x14ac:dyDescent="0.2">
      <c r="A7232" s="8">
        <v>7231</v>
      </c>
      <c r="B7232" s="8" t="s">
        <v>32093</v>
      </c>
      <c r="C7232" s="8" t="s">
        <v>32093</v>
      </c>
      <c r="F7232" s="47" t="s">
        <v>58320</v>
      </c>
      <c r="G7232" s="8">
        <v>15</v>
      </c>
      <c r="H7232" s="8" t="s">
        <v>21</v>
      </c>
      <c r="I7232" s="8" t="s">
        <v>22</v>
      </c>
      <c r="J7232" s="8" t="s">
        <v>22</v>
      </c>
      <c r="K7232" s="8" t="s">
        <v>154</v>
      </c>
      <c r="L7232" s="8" t="s">
        <v>31943</v>
      </c>
      <c r="M7232" s="8" t="s">
        <v>31944</v>
      </c>
      <c r="N7232" s="8" t="s">
        <v>32094</v>
      </c>
      <c r="O7232" s="8">
        <f>22+12/60+30.3/3600</f>
        <v>22.208416666666665</v>
      </c>
      <c r="P7232" s="8" t="s">
        <v>32095</v>
      </c>
      <c r="Q7232" s="8">
        <f>+(45+19/60+43/3600)</f>
        <v>45.328611111111115</v>
      </c>
      <c r="R7232" s="8">
        <v>13</v>
      </c>
      <c r="S7232" s="8">
        <v>13.9</v>
      </c>
      <c r="T7232" s="8">
        <v>0.9</v>
      </c>
      <c r="U7232" s="8">
        <v>13.2</v>
      </c>
      <c r="V7232" s="8">
        <v>1.9</v>
      </c>
      <c r="W7232" s="8">
        <v>0.7</v>
      </c>
      <c r="X7232" s="8">
        <v>88</v>
      </c>
      <c r="Y7232" s="8" t="s">
        <v>32096</v>
      </c>
      <c r="Z7232" s="8" t="s">
        <v>32097</v>
      </c>
    </row>
    <row r="7233" spans="1:26" x14ac:dyDescent="0.2">
      <c r="A7233" s="8">
        <v>7232</v>
      </c>
      <c r="B7233" s="8" t="s">
        <v>32098</v>
      </c>
      <c r="C7233" s="8" t="s">
        <v>32098</v>
      </c>
      <c r="F7233" s="47"/>
      <c r="G7233" s="8">
        <v>13</v>
      </c>
      <c r="H7233" s="8" t="s">
        <v>21</v>
      </c>
      <c r="I7233" s="8" t="s">
        <v>22</v>
      </c>
      <c r="J7233" s="8" t="s">
        <v>22</v>
      </c>
      <c r="K7233" s="8" t="s">
        <v>154</v>
      </c>
      <c r="L7233" s="8" t="s">
        <v>31389</v>
      </c>
      <c r="M7233" s="8" t="s">
        <v>31390</v>
      </c>
      <c r="N7233" s="8" t="s">
        <v>32099</v>
      </c>
      <c r="O7233" s="8">
        <f>22+15/60+37.6/3600</f>
        <v>22.260444444444445</v>
      </c>
      <c r="P7233" s="8" t="s">
        <v>32100</v>
      </c>
      <c r="Q7233" s="8">
        <f>-(45+51/60+1/3600)</f>
        <v>-45.850277777777777</v>
      </c>
      <c r="R7233" s="8">
        <v>12</v>
      </c>
      <c r="S7233" s="8">
        <v>13</v>
      </c>
      <c r="T7233" s="8">
        <v>1</v>
      </c>
      <c r="U7233" s="8">
        <v>12.7</v>
      </c>
      <c r="V7233" s="8">
        <v>2.6</v>
      </c>
      <c r="W7233" s="8">
        <v>1</v>
      </c>
      <c r="X7233" s="8">
        <v>99</v>
      </c>
      <c r="Y7233" s="8" t="s">
        <v>32101</v>
      </c>
      <c r="Z7233" s="8" t="s">
        <v>32102</v>
      </c>
    </row>
    <row r="7234" spans="1:26" x14ac:dyDescent="0.2">
      <c r="A7234" s="8">
        <v>7233</v>
      </c>
      <c r="B7234" s="8" t="s">
        <v>32103</v>
      </c>
      <c r="C7234" s="8" t="s">
        <v>32103</v>
      </c>
      <c r="F7234" s="47"/>
      <c r="G7234" s="8">
        <v>13</v>
      </c>
      <c r="H7234" s="8" t="s">
        <v>21</v>
      </c>
      <c r="I7234" s="8" t="s">
        <v>22</v>
      </c>
      <c r="J7234" s="8" t="s">
        <v>22</v>
      </c>
      <c r="K7234" s="8" t="s">
        <v>435</v>
      </c>
      <c r="L7234" s="8" t="s">
        <v>31389</v>
      </c>
      <c r="M7234" s="8" t="s">
        <v>31390</v>
      </c>
      <c r="N7234" s="8" t="s">
        <v>32104</v>
      </c>
      <c r="O7234" s="8">
        <f>22+15/60+49/3600</f>
        <v>22.263611111111111</v>
      </c>
      <c r="P7234" s="8" t="s">
        <v>32105</v>
      </c>
      <c r="Q7234" s="8">
        <f>-(45+50/60+47/3600)</f>
        <v>-45.846388888888889</v>
      </c>
      <c r="R7234" s="8">
        <v>12.5</v>
      </c>
      <c r="S7234" s="8">
        <v>13.1</v>
      </c>
      <c r="T7234" s="8">
        <v>0.6</v>
      </c>
      <c r="U7234" s="8">
        <v>13.2</v>
      </c>
      <c r="V7234" s="8">
        <v>1.7</v>
      </c>
      <c r="W7234" s="8">
        <v>1.3</v>
      </c>
      <c r="X7234" s="8">
        <v>133</v>
      </c>
      <c r="Y7234" s="8" t="s">
        <v>32106</v>
      </c>
      <c r="Z7234" s="8" t="s">
        <v>32107</v>
      </c>
    </row>
    <row r="7235" spans="1:26" x14ac:dyDescent="0.2">
      <c r="A7235" s="8">
        <v>7234</v>
      </c>
      <c r="B7235" s="8" t="s">
        <v>32108</v>
      </c>
      <c r="C7235" s="8" t="s">
        <v>32108</v>
      </c>
      <c r="F7235" s="47" t="s">
        <v>58321</v>
      </c>
      <c r="G7235" s="8">
        <v>15</v>
      </c>
      <c r="H7235" s="8" t="s">
        <v>21</v>
      </c>
      <c r="I7235" s="8" t="s">
        <v>557</v>
      </c>
      <c r="J7235" s="8" t="s">
        <v>557</v>
      </c>
      <c r="K7235" s="8" t="s">
        <v>3170</v>
      </c>
      <c r="L7235" s="8" t="s">
        <v>242</v>
      </c>
      <c r="M7235" s="8" t="s">
        <v>243</v>
      </c>
      <c r="N7235" s="8" t="s">
        <v>32109</v>
      </c>
      <c r="O7235" s="8">
        <f>22+12/60+24/3600</f>
        <v>22.206666666666667</v>
      </c>
      <c r="P7235" s="8" t="s">
        <v>32110</v>
      </c>
      <c r="Q7235" s="8">
        <f>+(57+16/60+24/3600)</f>
        <v>57.273333333333333</v>
      </c>
      <c r="R7235" s="8">
        <v>7.7</v>
      </c>
      <c r="S7235" s="8">
        <v>8.6</v>
      </c>
      <c r="T7235" s="8">
        <v>99</v>
      </c>
      <c r="U7235" s="8">
        <v>99</v>
      </c>
      <c r="V7235" s="8">
        <v>6</v>
      </c>
      <c r="Y7235" s="8" t="s">
        <v>10933</v>
      </c>
      <c r="Z7235" s="8" t="s">
        <v>10934</v>
      </c>
    </row>
    <row r="7236" spans="1:26" x14ac:dyDescent="0.2">
      <c r="A7236" s="8">
        <v>7235</v>
      </c>
      <c r="B7236" s="8" t="s">
        <v>32111</v>
      </c>
      <c r="C7236" s="8" t="s">
        <v>32111</v>
      </c>
      <c r="F7236" s="47"/>
      <c r="G7236" s="8">
        <v>8</v>
      </c>
      <c r="H7236" s="8" t="s">
        <v>21</v>
      </c>
      <c r="I7236" s="8" t="s">
        <v>557</v>
      </c>
      <c r="J7236" s="8" t="s">
        <v>57</v>
      </c>
      <c r="K7236" s="8" t="s">
        <v>3170</v>
      </c>
      <c r="L7236" s="8" t="s">
        <v>242</v>
      </c>
      <c r="M7236" s="8" t="s">
        <v>243</v>
      </c>
      <c r="N7236" s="8" t="s">
        <v>32109</v>
      </c>
      <c r="O7236" s="8">
        <f>22+12/60+24/3600</f>
        <v>22.206666666666667</v>
      </c>
      <c r="P7236" s="8" t="s">
        <v>32110</v>
      </c>
      <c r="Q7236" s="8">
        <f>+(57+16/60+24/3600)</f>
        <v>57.273333333333333</v>
      </c>
      <c r="R7236" s="8">
        <v>7.7</v>
      </c>
      <c r="S7236" s="8">
        <v>8.6</v>
      </c>
      <c r="T7236" s="8">
        <v>99</v>
      </c>
      <c r="U7236" s="8">
        <v>99</v>
      </c>
      <c r="V7236" s="8">
        <v>6</v>
      </c>
      <c r="Y7236" s="8" t="s">
        <v>10933</v>
      </c>
      <c r="Z7236" s="8" t="s">
        <v>32112</v>
      </c>
    </row>
    <row r="7237" spans="1:26" x14ac:dyDescent="0.2">
      <c r="A7237" s="8">
        <v>7236</v>
      </c>
      <c r="B7237" s="8" t="s">
        <v>32113</v>
      </c>
      <c r="C7237" s="8" t="s">
        <v>32113</v>
      </c>
      <c r="F7237" s="47"/>
      <c r="G7237" s="8">
        <v>18</v>
      </c>
      <c r="H7237" s="8" t="s">
        <v>21</v>
      </c>
      <c r="I7237" s="8" t="s">
        <v>22</v>
      </c>
      <c r="J7237" s="8" t="s">
        <v>22</v>
      </c>
      <c r="K7237" s="8" t="s">
        <v>58</v>
      </c>
      <c r="L7237" s="8" t="s">
        <v>24</v>
      </c>
      <c r="M7237" s="8" t="s">
        <v>25</v>
      </c>
      <c r="N7237" s="8" t="s">
        <v>32114</v>
      </c>
      <c r="O7237" s="8">
        <f>22+14/60+45/3600</f>
        <v>22.245833333333334</v>
      </c>
      <c r="P7237" s="8" t="s">
        <v>32115</v>
      </c>
      <c r="Q7237" s="8">
        <f>+(13+50/60+47/3600)</f>
        <v>13.846388888888889</v>
      </c>
      <c r="R7237" s="8">
        <v>13.6</v>
      </c>
      <c r="S7237" s="8">
        <v>14.6</v>
      </c>
      <c r="T7237" s="8">
        <v>1</v>
      </c>
      <c r="U7237" s="8">
        <v>12.6</v>
      </c>
      <c r="V7237" s="8">
        <v>0.6</v>
      </c>
      <c r="W7237" s="8">
        <v>0.6</v>
      </c>
      <c r="Y7237" s="8" t="s">
        <v>12012</v>
      </c>
      <c r="Z7237" s="8" t="s">
        <v>12013</v>
      </c>
    </row>
    <row r="7238" spans="1:26" x14ac:dyDescent="0.2">
      <c r="A7238" s="8">
        <v>7237</v>
      </c>
      <c r="B7238" s="8" t="s">
        <v>32116</v>
      </c>
      <c r="C7238" s="8" t="s">
        <v>32116</v>
      </c>
      <c r="F7238" s="47"/>
      <c r="G7238" s="8">
        <v>18</v>
      </c>
      <c r="H7238" s="8" t="s">
        <v>21</v>
      </c>
      <c r="I7238" s="8" t="s">
        <v>22</v>
      </c>
      <c r="J7238" s="8" t="s">
        <v>22</v>
      </c>
      <c r="K7238" s="8" t="s">
        <v>58</v>
      </c>
      <c r="L7238" s="8" t="s">
        <v>24</v>
      </c>
      <c r="M7238" s="8" t="s">
        <v>25</v>
      </c>
      <c r="N7238" s="8" t="s">
        <v>32117</v>
      </c>
      <c r="O7238" s="8">
        <f>22+14/60+46.9/3600</f>
        <v>22.246361111111113</v>
      </c>
      <c r="P7238" s="8" t="s">
        <v>32118</v>
      </c>
      <c r="Q7238" s="8">
        <f>+(13+50/60+27/3600)</f>
        <v>13.840833333333334</v>
      </c>
      <c r="R7238" s="8">
        <v>13.6</v>
      </c>
      <c r="S7238" s="8">
        <v>14.6</v>
      </c>
      <c r="T7238" s="8">
        <v>1</v>
      </c>
      <c r="U7238" s="8">
        <v>11.8</v>
      </c>
      <c r="V7238" s="8">
        <v>0.6</v>
      </c>
      <c r="W7238" s="8">
        <v>0.6</v>
      </c>
      <c r="Y7238" s="8" t="s">
        <v>12012</v>
      </c>
      <c r="Z7238" s="8" t="s">
        <v>12013</v>
      </c>
    </row>
    <row r="7239" spans="1:26" x14ac:dyDescent="0.2">
      <c r="A7239" s="8">
        <v>7238</v>
      </c>
      <c r="B7239" s="8" t="s">
        <v>32119</v>
      </c>
      <c r="C7239" s="8" t="s">
        <v>32119</v>
      </c>
      <c r="F7239" s="47"/>
      <c r="G7239" s="8">
        <v>19</v>
      </c>
      <c r="H7239" s="8" t="s">
        <v>21</v>
      </c>
      <c r="I7239" s="8" t="s">
        <v>329</v>
      </c>
      <c r="J7239" s="8" t="s">
        <v>329</v>
      </c>
      <c r="K7239" s="8" t="s">
        <v>329</v>
      </c>
      <c r="L7239" s="8" t="s">
        <v>24</v>
      </c>
      <c r="M7239" s="8" t="s">
        <v>25</v>
      </c>
      <c r="N7239" s="8" t="s">
        <v>32120</v>
      </c>
      <c r="O7239" s="8">
        <f>22+15/60+20.5/3600</f>
        <v>22.255694444444444</v>
      </c>
      <c r="P7239" s="8" t="s">
        <v>32121</v>
      </c>
      <c r="Q7239" s="8">
        <f>+(22+31/60+10/3600)</f>
        <v>22.519444444444442</v>
      </c>
      <c r="R7239" s="8">
        <v>99</v>
      </c>
      <c r="S7239" s="8">
        <v>99</v>
      </c>
      <c r="T7239" s="8">
        <v>99</v>
      </c>
      <c r="U7239" s="8">
        <v>99</v>
      </c>
      <c r="Y7239" s="8" t="s">
        <v>32122</v>
      </c>
      <c r="Z7239" s="8" t="s">
        <v>32123</v>
      </c>
    </row>
    <row r="7240" spans="1:26" x14ac:dyDescent="0.2">
      <c r="A7240" s="8">
        <v>7239</v>
      </c>
      <c r="B7240" s="8" t="s">
        <v>32124</v>
      </c>
      <c r="C7240" s="8" t="s">
        <v>32124</v>
      </c>
      <c r="F7240" s="47"/>
      <c r="G7240" s="8">
        <v>18</v>
      </c>
      <c r="H7240" s="8" t="s">
        <v>21</v>
      </c>
      <c r="I7240" s="8" t="s">
        <v>22</v>
      </c>
      <c r="J7240" s="8" t="s">
        <v>22</v>
      </c>
      <c r="K7240" s="8" t="s">
        <v>58</v>
      </c>
      <c r="L7240" s="8" t="s">
        <v>30854</v>
      </c>
      <c r="M7240" s="8" t="s">
        <v>30855</v>
      </c>
      <c r="N7240" s="8" t="s">
        <v>32125</v>
      </c>
      <c r="O7240" s="8">
        <f>22+15/60+1.3/3600</f>
        <v>22.250361111111111</v>
      </c>
      <c r="P7240" s="8" t="s">
        <v>32126</v>
      </c>
      <c r="Q7240" s="8">
        <f>-(5+3/60+10/3600)</f>
        <v>-5.052777777777778</v>
      </c>
      <c r="R7240" s="8">
        <v>13.8</v>
      </c>
      <c r="S7240" s="8">
        <v>14.8</v>
      </c>
      <c r="T7240" s="8">
        <v>1</v>
      </c>
      <c r="U7240" s="8">
        <v>13.6</v>
      </c>
      <c r="V7240" s="8">
        <v>1.1000000000000001</v>
      </c>
      <c r="W7240" s="8">
        <v>0.7</v>
      </c>
      <c r="X7240" s="8">
        <v>75</v>
      </c>
      <c r="Y7240" s="8" t="s">
        <v>266</v>
      </c>
      <c r="Z7240" s="8" t="s">
        <v>267</v>
      </c>
    </row>
    <row r="7241" spans="1:26" x14ac:dyDescent="0.2">
      <c r="A7241" s="8">
        <v>7240</v>
      </c>
      <c r="B7241" s="8" t="s">
        <v>32127</v>
      </c>
      <c r="C7241" s="8" t="s">
        <v>32127</v>
      </c>
      <c r="F7241" s="47"/>
      <c r="G7241" s="8">
        <v>18</v>
      </c>
      <c r="H7241" s="8" t="s">
        <v>21</v>
      </c>
      <c r="I7241" s="8" t="s">
        <v>22</v>
      </c>
      <c r="J7241" s="8" t="s">
        <v>22</v>
      </c>
      <c r="K7241" s="8" t="s">
        <v>58</v>
      </c>
      <c r="L7241" s="8" t="s">
        <v>31943</v>
      </c>
      <c r="M7241" s="8" t="s">
        <v>31944</v>
      </c>
      <c r="N7241" s="8" t="s">
        <v>32128</v>
      </c>
      <c r="O7241" s="8">
        <f>22+15/60+22.7/3600</f>
        <v>22.256305555555556</v>
      </c>
      <c r="P7241" s="8" t="s">
        <v>32129</v>
      </c>
      <c r="Q7241" s="8">
        <f>+(37+16/60+50/3600)</f>
        <v>37.280555555555551</v>
      </c>
      <c r="R7241" s="8">
        <v>14.2</v>
      </c>
      <c r="S7241" s="8">
        <v>15.2</v>
      </c>
      <c r="T7241" s="8">
        <v>1</v>
      </c>
      <c r="U7241" s="8">
        <v>13.4</v>
      </c>
      <c r="V7241" s="8">
        <v>0.6</v>
      </c>
      <c r="W7241" s="8">
        <v>0.6</v>
      </c>
      <c r="Y7241" s="8" t="s">
        <v>32130</v>
      </c>
      <c r="Z7241" s="8" t="s">
        <v>32131</v>
      </c>
    </row>
    <row r="7242" spans="1:26" x14ac:dyDescent="0.2">
      <c r="A7242" s="8">
        <v>7241</v>
      </c>
      <c r="B7242" s="8" t="s">
        <v>32132</v>
      </c>
      <c r="C7242" s="8" t="s">
        <v>32132</v>
      </c>
      <c r="F7242" s="47"/>
      <c r="G7242" s="8">
        <v>18</v>
      </c>
      <c r="H7242" s="8" t="s">
        <v>21</v>
      </c>
      <c r="I7242" s="8" t="s">
        <v>22</v>
      </c>
      <c r="J7242" s="8" t="s">
        <v>22</v>
      </c>
      <c r="K7242" s="8" t="s">
        <v>3407</v>
      </c>
      <c r="L7242" s="8" t="s">
        <v>24</v>
      </c>
      <c r="M7242" s="8" t="s">
        <v>25</v>
      </c>
      <c r="N7242" s="8" t="s">
        <v>32133</v>
      </c>
      <c r="O7242" s="8">
        <f>22+15/60+49.7/3600</f>
        <v>22.263805555555557</v>
      </c>
      <c r="P7242" s="8" t="s">
        <v>32134</v>
      </c>
      <c r="Q7242" s="8">
        <f>+(19+13/60+53/3600)</f>
        <v>19.231388888888887</v>
      </c>
      <c r="R7242" s="8">
        <v>12.6</v>
      </c>
      <c r="S7242" s="8">
        <v>13.4</v>
      </c>
      <c r="T7242" s="8">
        <v>0.8</v>
      </c>
      <c r="U7242" s="8">
        <v>13.9</v>
      </c>
      <c r="V7242" s="8">
        <v>3.4</v>
      </c>
      <c r="W7242" s="8">
        <v>1.1000000000000001</v>
      </c>
      <c r="X7242" s="8">
        <v>20</v>
      </c>
      <c r="Y7242" s="8" t="s">
        <v>32135</v>
      </c>
      <c r="Z7242" s="8" t="s">
        <v>32136</v>
      </c>
    </row>
    <row r="7243" spans="1:26" x14ac:dyDescent="0.2">
      <c r="A7243" s="8">
        <v>7242</v>
      </c>
      <c r="B7243" s="8" t="s">
        <v>32137</v>
      </c>
      <c r="C7243" s="8" t="s">
        <v>32137</v>
      </c>
      <c r="F7243" s="47"/>
      <c r="G7243" s="8">
        <v>18</v>
      </c>
      <c r="H7243" s="8" t="s">
        <v>21</v>
      </c>
      <c r="I7243" s="8" t="s">
        <v>22</v>
      </c>
      <c r="J7243" s="8" t="s">
        <v>22</v>
      </c>
      <c r="K7243" s="8" t="s">
        <v>382</v>
      </c>
      <c r="L7243" s="8" t="s">
        <v>31943</v>
      </c>
      <c r="M7243" s="8" t="s">
        <v>31944</v>
      </c>
      <c r="N7243" s="8" t="s">
        <v>32138</v>
      </c>
      <c r="O7243" s="8">
        <f>22+15/60+39.3/3600</f>
        <v>22.260916666666667</v>
      </c>
      <c r="P7243" s="8" t="s">
        <v>32139</v>
      </c>
      <c r="Q7243" s="8">
        <f>+(37+17/60+52/3600)</f>
        <v>37.297777777777775</v>
      </c>
      <c r="R7243" s="8">
        <v>13.2</v>
      </c>
      <c r="S7243" s="8">
        <v>14.2</v>
      </c>
      <c r="T7243" s="8">
        <v>1</v>
      </c>
      <c r="U7243" s="8">
        <v>14.6</v>
      </c>
      <c r="V7243" s="8">
        <v>2.2999999999999998</v>
      </c>
      <c r="W7243" s="8">
        <v>1.7</v>
      </c>
      <c r="X7243" s="8">
        <v>30</v>
      </c>
      <c r="Y7243" s="8" t="s">
        <v>32140</v>
      </c>
      <c r="Z7243" s="8" t="s">
        <v>32141</v>
      </c>
    </row>
    <row r="7244" spans="1:26" x14ac:dyDescent="0.2">
      <c r="A7244" s="8">
        <v>7243</v>
      </c>
      <c r="B7244" s="8" t="s">
        <v>32142</v>
      </c>
      <c r="C7244" s="8" t="s">
        <v>32142</v>
      </c>
      <c r="F7244" s="47" t="s">
        <v>58322</v>
      </c>
      <c r="G7244" s="8">
        <v>2</v>
      </c>
      <c r="H7244" s="8" t="s">
        <v>21</v>
      </c>
      <c r="I7244" s="8" t="s">
        <v>557</v>
      </c>
      <c r="J7244" s="8" t="s">
        <v>557</v>
      </c>
      <c r="K7244" s="8" t="s">
        <v>693</v>
      </c>
      <c r="L7244" s="8" t="s">
        <v>31943</v>
      </c>
      <c r="M7244" s="8" t="s">
        <v>31944</v>
      </c>
      <c r="N7244" s="8" t="s">
        <v>32143</v>
      </c>
      <c r="O7244" s="8">
        <f>22+15/60+8.5/3600</f>
        <v>22.25236111111111</v>
      </c>
      <c r="P7244" s="8" t="s">
        <v>32144</v>
      </c>
      <c r="Q7244" s="8">
        <f>+(49+53/60+51/3600)</f>
        <v>49.897500000000001</v>
      </c>
      <c r="R7244" s="8">
        <v>6.4</v>
      </c>
      <c r="S7244" s="8">
        <v>99</v>
      </c>
      <c r="T7244" s="8">
        <v>99</v>
      </c>
      <c r="U7244" s="8">
        <v>99</v>
      </c>
      <c r="V7244" s="8">
        <v>30</v>
      </c>
      <c r="Y7244" s="8" t="s">
        <v>32145</v>
      </c>
      <c r="Z7244" s="8" t="s">
        <v>32146</v>
      </c>
    </row>
    <row r="7245" spans="1:26" x14ac:dyDescent="0.2">
      <c r="A7245" s="8">
        <v>7244</v>
      </c>
      <c r="B7245" s="8" t="s">
        <v>32147</v>
      </c>
      <c r="C7245" s="8" t="s">
        <v>32147</v>
      </c>
      <c r="F7245" s="47"/>
      <c r="G7245" s="8">
        <v>18</v>
      </c>
      <c r="H7245" s="8" t="s">
        <v>21</v>
      </c>
      <c r="I7245" s="8" t="s">
        <v>22</v>
      </c>
      <c r="J7245" s="8" t="s">
        <v>22</v>
      </c>
      <c r="K7245" s="8" t="s">
        <v>160</v>
      </c>
      <c r="L7245" s="8" t="s">
        <v>24</v>
      </c>
      <c r="M7245" s="8" t="s">
        <v>25</v>
      </c>
      <c r="N7245" s="8" t="s">
        <v>32148</v>
      </c>
      <c r="O7245" s="8">
        <f>22+16/60+26.7/3600</f>
        <v>22.274083333333333</v>
      </c>
      <c r="P7245" s="8" t="s">
        <v>32149</v>
      </c>
      <c r="Q7245" s="8">
        <f>+(16+28/60+18/3600)</f>
        <v>16.471666666666664</v>
      </c>
      <c r="R7245" s="8">
        <v>13.8</v>
      </c>
      <c r="S7245" s="8">
        <v>14.3</v>
      </c>
      <c r="T7245" s="8">
        <v>0.5</v>
      </c>
      <c r="U7245" s="8">
        <v>12</v>
      </c>
      <c r="V7245" s="8">
        <v>0.7</v>
      </c>
      <c r="W7245" s="8">
        <v>0.4</v>
      </c>
      <c r="X7245" s="8">
        <v>174</v>
      </c>
      <c r="Y7245" s="8" t="s">
        <v>18635</v>
      </c>
      <c r="Z7245" s="8" t="s">
        <v>18636</v>
      </c>
    </row>
    <row r="7246" spans="1:26" x14ac:dyDescent="0.2">
      <c r="A7246" s="8">
        <v>7245</v>
      </c>
      <c r="B7246" s="8" t="s">
        <v>32150</v>
      </c>
      <c r="C7246" s="8" t="s">
        <v>32150</v>
      </c>
      <c r="F7246" s="47" t="s">
        <v>58323</v>
      </c>
      <c r="G7246" s="8">
        <v>6.5</v>
      </c>
      <c r="H7246" s="8" t="s">
        <v>21</v>
      </c>
      <c r="I7246" s="8" t="s">
        <v>557</v>
      </c>
      <c r="J7246" s="8" t="s">
        <v>557</v>
      </c>
      <c r="K7246" s="8" t="s">
        <v>3602</v>
      </c>
      <c r="L7246" s="8" t="s">
        <v>31943</v>
      </c>
      <c r="M7246" s="8" t="s">
        <v>31944</v>
      </c>
      <c r="N7246" s="8" t="s">
        <v>32151</v>
      </c>
      <c r="O7246" s="8">
        <f>22+15/60+12/3600</f>
        <v>22.253333333333334</v>
      </c>
      <c r="P7246" s="8" t="s">
        <v>32152</v>
      </c>
      <c r="Q7246" s="8">
        <f>+(54+20/60+36/3600)</f>
        <v>54.343333333333334</v>
      </c>
      <c r="R7246" s="8">
        <v>9.1999999999999993</v>
      </c>
      <c r="S7246" s="8">
        <v>99</v>
      </c>
      <c r="T7246" s="8">
        <v>99</v>
      </c>
      <c r="U7246" s="8">
        <v>99</v>
      </c>
      <c r="V7246" s="8">
        <v>5</v>
      </c>
      <c r="Y7246" s="8" t="s">
        <v>32153</v>
      </c>
      <c r="Z7246" s="8" t="s">
        <v>32154</v>
      </c>
    </row>
    <row r="7247" spans="1:26" x14ac:dyDescent="0.2">
      <c r="A7247" s="8">
        <v>7246</v>
      </c>
      <c r="B7247" s="8" t="s">
        <v>32155</v>
      </c>
      <c r="C7247" s="8" t="s">
        <v>32155</v>
      </c>
      <c r="F7247" s="47" t="s">
        <v>58324</v>
      </c>
      <c r="G7247" s="8">
        <v>15</v>
      </c>
      <c r="H7247" s="8" t="s">
        <v>21</v>
      </c>
      <c r="I7247" s="8" t="s">
        <v>22</v>
      </c>
      <c r="J7247" s="8" t="s">
        <v>22</v>
      </c>
      <c r="K7247" s="8" t="s">
        <v>91</v>
      </c>
      <c r="L7247" s="8" t="s">
        <v>30854</v>
      </c>
      <c r="M7247" s="8" t="s">
        <v>30855</v>
      </c>
      <c r="N7247" s="8" t="s">
        <v>32156</v>
      </c>
      <c r="O7247" s="8">
        <f>22+17/60+42.6/3600</f>
        <v>22.295166666666667</v>
      </c>
      <c r="P7247" s="8" t="s">
        <v>32157</v>
      </c>
      <c r="Q7247" s="8">
        <f>-(15+34/60+12/3600)</f>
        <v>-15.57</v>
      </c>
      <c r="R7247" s="8">
        <v>14.5</v>
      </c>
      <c r="S7247" s="8">
        <v>15.4</v>
      </c>
      <c r="T7247" s="8">
        <v>0.9</v>
      </c>
      <c r="U7247" s="8">
        <v>14.5</v>
      </c>
      <c r="V7247" s="8">
        <v>1.5</v>
      </c>
      <c r="W7247" s="8">
        <v>0.8</v>
      </c>
      <c r="X7247" s="8">
        <v>162</v>
      </c>
      <c r="Y7247" s="8" t="s">
        <v>32158</v>
      </c>
      <c r="Z7247" s="8" t="s">
        <v>32159</v>
      </c>
    </row>
    <row r="7248" spans="1:26" x14ac:dyDescent="0.2">
      <c r="A7248" s="8">
        <v>7247</v>
      </c>
      <c r="B7248" s="8" t="s">
        <v>32160</v>
      </c>
      <c r="C7248" s="8" t="s">
        <v>32160</v>
      </c>
      <c r="F7248" s="47"/>
      <c r="G7248" s="8">
        <v>19</v>
      </c>
      <c r="H7248" s="8" t="s">
        <v>21</v>
      </c>
      <c r="I7248" s="8" t="s">
        <v>22</v>
      </c>
      <c r="J7248" s="8" t="s">
        <v>22</v>
      </c>
      <c r="K7248" s="8" t="s">
        <v>218</v>
      </c>
      <c r="L7248" s="8" t="s">
        <v>30854</v>
      </c>
      <c r="M7248" s="8" t="s">
        <v>30855</v>
      </c>
      <c r="N7248" s="8" t="s">
        <v>32161</v>
      </c>
      <c r="O7248" s="8">
        <f>22+17/60+41.1/3600</f>
        <v>22.294750000000001</v>
      </c>
      <c r="P7248" s="8" t="s">
        <v>32162</v>
      </c>
      <c r="Q7248" s="8">
        <f>-(23+43/60+50/3600)</f>
        <v>-23.730555555555554</v>
      </c>
      <c r="R7248" s="8">
        <v>12.6</v>
      </c>
      <c r="S7248" s="8">
        <v>13.4</v>
      </c>
      <c r="T7248" s="8">
        <v>0.8</v>
      </c>
      <c r="U7248" s="8">
        <v>12.6</v>
      </c>
      <c r="V7248" s="8">
        <v>1.4</v>
      </c>
      <c r="W7248" s="8">
        <v>0.8</v>
      </c>
      <c r="X7248" s="8">
        <v>2</v>
      </c>
      <c r="Y7248" s="8" t="s">
        <v>32163</v>
      </c>
      <c r="Z7248" s="8" t="s">
        <v>32164</v>
      </c>
    </row>
    <row r="7249" spans="1:26" x14ac:dyDescent="0.2">
      <c r="A7249" s="8">
        <v>7248</v>
      </c>
      <c r="B7249" s="8" t="s">
        <v>32165</v>
      </c>
      <c r="C7249" s="8" t="s">
        <v>32165</v>
      </c>
      <c r="F7249" s="47" t="s">
        <v>58325</v>
      </c>
      <c r="G7249" s="8">
        <v>15</v>
      </c>
      <c r="H7249" s="8" t="s">
        <v>21</v>
      </c>
      <c r="I7249" s="8" t="s">
        <v>22</v>
      </c>
      <c r="J7249" s="8" t="s">
        <v>22</v>
      </c>
      <c r="K7249" s="8" t="s">
        <v>37</v>
      </c>
      <c r="L7249" s="8" t="s">
        <v>31943</v>
      </c>
      <c r="M7249" s="8" t="s">
        <v>31944</v>
      </c>
      <c r="N7249" s="8" t="s">
        <v>32166</v>
      </c>
      <c r="O7249" s="8">
        <f>22+16/60+52.5/3600</f>
        <v>22.28125</v>
      </c>
      <c r="P7249" s="8" t="s">
        <v>32167</v>
      </c>
      <c r="Q7249" s="8">
        <f>+(40+30/60+19/3600)</f>
        <v>40.505277777777778</v>
      </c>
      <c r="R7249" s="8">
        <v>12.4</v>
      </c>
      <c r="S7249" s="8">
        <v>13.5</v>
      </c>
      <c r="T7249" s="8">
        <v>1.1000000000000001</v>
      </c>
      <c r="U7249" s="8">
        <v>12.7</v>
      </c>
      <c r="V7249" s="8">
        <v>1.8</v>
      </c>
      <c r="W7249" s="8">
        <v>0.9</v>
      </c>
      <c r="X7249" s="8">
        <v>133</v>
      </c>
      <c r="Y7249" s="8" t="s">
        <v>5916</v>
      </c>
      <c r="Z7249" s="8" t="s">
        <v>5917</v>
      </c>
    </row>
    <row r="7250" spans="1:26" x14ac:dyDescent="0.2">
      <c r="A7250" s="8">
        <v>7249</v>
      </c>
      <c r="B7250" s="8" t="s">
        <v>32168</v>
      </c>
      <c r="C7250" s="8" t="s">
        <v>32168</v>
      </c>
      <c r="F7250" s="47"/>
      <c r="G7250" s="8">
        <v>16</v>
      </c>
      <c r="H7250" s="8" t="s">
        <v>21</v>
      </c>
      <c r="I7250" s="8" t="s">
        <v>22</v>
      </c>
      <c r="J7250" s="8" t="s">
        <v>22</v>
      </c>
      <c r="K7250" s="8" t="s">
        <v>37</v>
      </c>
      <c r="L7250" s="8" t="s">
        <v>31389</v>
      </c>
      <c r="M7250" s="8" t="s">
        <v>31390</v>
      </c>
      <c r="N7250" s="8" t="s">
        <v>32169</v>
      </c>
      <c r="O7250" s="8">
        <f>22+20/60+30.9/3600</f>
        <v>22.341916666666666</v>
      </c>
      <c r="P7250" s="8" t="s">
        <v>32170</v>
      </c>
      <c r="Q7250" s="8">
        <f>-(55+7/60+29/3600)</f>
        <v>-55.124722222222225</v>
      </c>
      <c r="R7250" s="8">
        <v>13.4</v>
      </c>
      <c r="S7250" s="8">
        <v>14.4</v>
      </c>
      <c r="T7250" s="8">
        <v>1</v>
      </c>
      <c r="U7250" s="8">
        <v>13.1</v>
      </c>
      <c r="V7250" s="8">
        <v>1.1000000000000001</v>
      </c>
      <c r="W7250" s="8">
        <v>0.8</v>
      </c>
      <c r="X7250" s="8">
        <v>136</v>
      </c>
      <c r="Y7250" s="8" t="s">
        <v>32171</v>
      </c>
      <c r="Z7250" s="8" t="s">
        <v>32172</v>
      </c>
    </row>
    <row r="7251" spans="1:26" x14ac:dyDescent="0.2">
      <c r="A7251" s="8">
        <v>7250</v>
      </c>
      <c r="B7251" s="8" t="s">
        <v>32173</v>
      </c>
      <c r="C7251" s="8" t="s">
        <v>32173</v>
      </c>
      <c r="F7251" s="47" t="s">
        <v>58326</v>
      </c>
      <c r="G7251" s="8">
        <v>15</v>
      </c>
      <c r="H7251" s="8" t="s">
        <v>21</v>
      </c>
      <c r="I7251" s="8" t="s">
        <v>22</v>
      </c>
      <c r="J7251" s="8" t="s">
        <v>22</v>
      </c>
      <c r="K7251" s="8" t="s">
        <v>3523</v>
      </c>
      <c r="L7251" s="8" t="s">
        <v>31943</v>
      </c>
      <c r="M7251" s="8" t="s">
        <v>31944</v>
      </c>
      <c r="N7251" s="8" t="s">
        <v>32174</v>
      </c>
      <c r="O7251" s="8">
        <f>22+18/60+17.7/3600</f>
        <v>22.304916666666667</v>
      </c>
      <c r="P7251" s="8" t="s">
        <v>32175</v>
      </c>
      <c r="Q7251" s="8">
        <f>+(40+33/60+47/3600)</f>
        <v>40.56305555555555</v>
      </c>
      <c r="R7251" s="8">
        <v>12.6</v>
      </c>
      <c r="S7251" s="8">
        <v>13.2</v>
      </c>
      <c r="T7251" s="8">
        <v>0.6</v>
      </c>
      <c r="U7251" s="8">
        <v>12.8</v>
      </c>
      <c r="V7251" s="8">
        <v>1.7</v>
      </c>
      <c r="W7251" s="8">
        <v>0.8</v>
      </c>
      <c r="X7251" s="8">
        <v>157</v>
      </c>
      <c r="Y7251" s="8" t="s">
        <v>32176</v>
      </c>
      <c r="Z7251" s="8" t="s">
        <v>32177</v>
      </c>
    </row>
    <row r="7252" spans="1:26" x14ac:dyDescent="0.2">
      <c r="A7252" s="8">
        <v>7251</v>
      </c>
      <c r="B7252" s="8" t="s">
        <v>32178</v>
      </c>
      <c r="C7252" s="8" t="s">
        <v>32178</v>
      </c>
      <c r="F7252" s="47" t="s">
        <v>58327</v>
      </c>
      <c r="G7252" s="8">
        <v>15</v>
      </c>
      <c r="H7252" s="8" t="s">
        <v>21</v>
      </c>
      <c r="I7252" s="8" t="s">
        <v>22</v>
      </c>
      <c r="J7252" s="8" t="s">
        <v>22</v>
      </c>
      <c r="K7252" s="8" t="s">
        <v>91</v>
      </c>
      <c r="L7252" s="8" t="s">
        <v>30854</v>
      </c>
      <c r="M7252" s="8" t="s">
        <v>30855</v>
      </c>
      <c r="N7252" s="8" t="s">
        <v>32179</v>
      </c>
      <c r="O7252" s="8">
        <f>22+20/60+27.2/3600</f>
        <v>22.340888888888887</v>
      </c>
      <c r="P7252" s="8" t="s">
        <v>32180</v>
      </c>
      <c r="Q7252" s="8">
        <f>-(15+46/60+23/3600)</f>
        <v>-15.773055555555556</v>
      </c>
      <c r="R7252" s="8">
        <v>12.6</v>
      </c>
      <c r="S7252" s="8">
        <v>13.5</v>
      </c>
      <c r="T7252" s="8">
        <v>0.9</v>
      </c>
      <c r="U7252" s="8">
        <v>13.7</v>
      </c>
      <c r="V7252" s="8">
        <v>1.9</v>
      </c>
      <c r="W7252" s="8">
        <v>1.7</v>
      </c>
      <c r="X7252" s="8">
        <v>0</v>
      </c>
      <c r="Y7252" s="8" t="s">
        <v>32181</v>
      </c>
      <c r="Z7252" s="8" t="s">
        <v>32182</v>
      </c>
    </row>
    <row r="7253" spans="1:26" x14ac:dyDescent="0.2">
      <c r="A7253" s="8">
        <v>7252</v>
      </c>
      <c r="B7253" s="8" t="s">
        <v>32183</v>
      </c>
      <c r="C7253" s="8" t="s">
        <v>32183</v>
      </c>
      <c r="F7253" s="47" t="s">
        <v>58328</v>
      </c>
      <c r="G7253" s="8">
        <v>13</v>
      </c>
      <c r="H7253" s="8" t="s">
        <v>32184</v>
      </c>
      <c r="I7253" s="8" t="s">
        <v>22</v>
      </c>
      <c r="J7253" s="8" t="s">
        <v>22</v>
      </c>
      <c r="K7253" s="8" t="s">
        <v>224</v>
      </c>
      <c r="L7253" s="8" t="s">
        <v>30854</v>
      </c>
      <c r="M7253" s="8" t="s">
        <v>30855</v>
      </c>
      <c r="N7253" s="8" t="s">
        <v>32185</v>
      </c>
      <c r="O7253" s="8">
        <f>22+20/60+44.8/3600</f>
        <v>22.345777777777776</v>
      </c>
      <c r="P7253" s="8" t="s">
        <v>32186</v>
      </c>
      <c r="Q7253" s="8">
        <f>-(24+40/60+42/3600)</f>
        <v>-24.678333333333335</v>
      </c>
      <c r="R7253" s="8">
        <v>11.4</v>
      </c>
      <c r="S7253" s="8">
        <v>12.1</v>
      </c>
      <c r="T7253" s="8">
        <v>0.7</v>
      </c>
      <c r="U7253" s="8">
        <v>13.2</v>
      </c>
      <c r="V7253" s="8">
        <v>2.1</v>
      </c>
      <c r="W7253" s="8">
        <v>1.7</v>
      </c>
      <c r="X7253" s="8">
        <v>119</v>
      </c>
      <c r="Y7253" s="8" t="s">
        <v>32187</v>
      </c>
      <c r="Z7253" s="8" t="s">
        <v>32188</v>
      </c>
    </row>
    <row r="7254" spans="1:26" x14ac:dyDescent="0.2">
      <c r="A7254" s="8">
        <v>7253</v>
      </c>
      <c r="B7254" s="8" t="s">
        <v>32189</v>
      </c>
      <c r="C7254" s="8" t="s">
        <v>32189</v>
      </c>
      <c r="D7254" s="8" t="s">
        <v>351</v>
      </c>
      <c r="F7254" s="47"/>
      <c r="G7254" s="8">
        <v>18</v>
      </c>
      <c r="H7254" s="8" t="s">
        <v>21</v>
      </c>
      <c r="I7254" s="8" t="s">
        <v>22</v>
      </c>
      <c r="J7254" s="8" t="s">
        <v>22</v>
      </c>
      <c r="K7254" s="8" t="s">
        <v>64</v>
      </c>
      <c r="L7254" s="8" t="s">
        <v>24</v>
      </c>
      <c r="M7254" s="8" t="s">
        <v>25</v>
      </c>
      <c r="N7254" s="8" t="s">
        <v>32190</v>
      </c>
      <c r="O7254" s="8">
        <f>22+19/60+27.3/3600</f>
        <v>22.324249999999999</v>
      </c>
      <c r="P7254" s="8" t="s">
        <v>32191</v>
      </c>
      <c r="Q7254" s="8">
        <f>+(29+23/60+49/3600)</f>
        <v>29.396944444444443</v>
      </c>
      <c r="R7254" s="8">
        <v>13.2</v>
      </c>
      <c r="S7254" s="8">
        <v>13.9</v>
      </c>
      <c r="T7254" s="8">
        <v>0.7</v>
      </c>
      <c r="U7254" s="8">
        <v>13.4</v>
      </c>
      <c r="V7254" s="8">
        <v>1.7</v>
      </c>
      <c r="W7254" s="8">
        <v>0.8</v>
      </c>
      <c r="X7254" s="8">
        <v>116</v>
      </c>
      <c r="Y7254" s="8" t="s">
        <v>32192</v>
      </c>
      <c r="Z7254" s="8" t="s">
        <v>32193</v>
      </c>
    </row>
    <row r="7255" spans="1:26" x14ac:dyDescent="0.2">
      <c r="A7255" s="8">
        <v>7254</v>
      </c>
      <c r="B7255" s="8" t="s">
        <v>32194</v>
      </c>
      <c r="C7255" s="8" t="s">
        <v>32194</v>
      </c>
      <c r="F7255" s="47"/>
      <c r="G7255" s="8">
        <v>19</v>
      </c>
      <c r="H7255" s="8" t="s">
        <v>21</v>
      </c>
      <c r="I7255" s="8" t="s">
        <v>22</v>
      </c>
      <c r="J7255" s="8" t="s">
        <v>57</v>
      </c>
      <c r="K7255" s="8" t="s">
        <v>218</v>
      </c>
      <c r="L7255" s="8" t="s">
        <v>30854</v>
      </c>
      <c r="M7255" s="8" t="s">
        <v>30855</v>
      </c>
      <c r="N7255" s="8" t="s">
        <v>32195</v>
      </c>
      <c r="O7255" s="8">
        <f>22+22/60+36/3600</f>
        <v>22.376666666666669</v>
      </c>
      <c r="P7255" s="8" t="s">
        <v>32196</v>
      </c>
      <c r="Q7255" s="8">
        <f>-(21+44/60+5/3600)</f>
        <v>-21.734722222222224</v>
      </c>
      <c r="R7255" s="8">
        <v>13.2</v>
      </c>
      <c r="S7255" s="8">
        <v>14</v>
      </c>
      <c r="T7255" s="8">
        <v>0.8</v>
      </c>
      <c r="U7255" s="8">
        <v>12.8</v>
      </c>
      <c r="V7255" s="8">
        <v>1.3</v>
      </c>
      <c r="W7255" s="8">
        <v>0.6</v>
      </c>
      <c r="X7255" s="8">
        <v>122</v>
      </c>
      <c r="Y7255" s="8" t="s">
        <v>32197</v>
      </c>
      <c r="Z7255" s="8" t="s">
        <v>32198</v>
      </c>
    </row>
    <row r="7256" spans="1:26" x14ac:dyDescent="0.2">
      <c r="A7256" s="8">
        <v>7255</v>
      </c>
      <c r="B7256" s="8" t="s">
        <v>32199</v>
      </c>
      <c r="C7256" s="8" t="s">
        <v>32199</v>
      </c>
      <c r="F7256" s="47"/>
      <c r="G7256" s="8">
        <v>19</v>
      </c>
      <c r="H7256" s="8" t="s">
        <v>21</v>
      </c>
      <c r="I7256" s="8" t="s">
        <v>22</v>
      </c>
      <c r="J7256" s="8" t="s">
        <v>22</v>
      </c>
      <c r="K7256" s="8" t="s">
        <v>632</v>
      </c>
      <c r="L7256" s="8" t="s">
        <v>30854</v>
      </c>
      <c r="M7256" s="8" t="s">
        <v>30855</v>
      </c>
      <c r="N7256" s="8" t="s">
        <v>32200</v>
      </c>
      <c r="O7256" s="8">
        <f>22+23/60+8/3600</f>
        <v>22.385555555555555</v>
      </c>
      <c r="P7256" s="8" t="s">
        <v>32201</v>
      </c>
      <c r="Q7256" s="8">
        <f>-(15+32/60+28/3600)</f>
        <v>-15.54111111111111</v>
      </c>
      <c r="R7256" s="8">
        <v>14.1</v>
      </c>
      <c r="S7256" s="8">
        <v>15</v>
      </c>
      <c r="T7256" s="8">
        <v>0.9</v>
      </c>
      <c r="U7256" s="8">
        <v>13.3</v>
      </c>
      <c r="V7256" s="8">
        <v>1.3</v>
      </c>
      <c r="W7256" s="8">
        <v>0.4</v>
      </c>
      <c r="X7256" s="8">
        <v>123</v>
      </c>
      <c r="Y7256" s="8" t="s">
        <v>32202</v>
      </c>
      <c r="Z7256" s="8" t="s">
        <v>32203</v>
      </c>
    </row>
    <row r="7257" spans="1:26" x14ac:dyDescent="0.2">
      <c r="A7257" s="8">
        <v>7256</v>
      </c>
      <c r="B7257" s="8" t="s">
        <v>32204</v>
      </c>
      <c r="C7257" s="8" t="s">
        <v>32204</v>
      </c>
      <c r="F7257" s="47"/>
      <c r="G7257" s="8">
        <v>18</v>
      </c>
      <c r="H7257" s="8" t="s">
        <v>21</v>
      </c>
      <c r="I7257" s="8" t="s">
        <v>22</v>
      </c>
      <c r="J7257" s="8" t="s">
        <v>22</v>
      </c>
      <c r="K7257" s="8" t="s">
        <v>218</v>
      </c>
      <c r="L7257" s="8" t="s">
        <v>30854</v>
      </c>
      <c r="M7257" s="8" t="s">
        <v>30855</v>
      </c>
      <c r="N7257" s="8" t="s">
        <v>32195</v>
      </c>
      <c r="O7257" s="8">
        <f>22+22/60+36/3600</f>
        <v>22.376666666666669</v>
      </c>
      <c r="P7257" s="8" t="s">
        <v>32196</v>
      </c>
      <c r="Q7257" s="8">
        <f>-(21+44/60+5/3600)</f>
        <v>-21.734722222222224</v>
      </c>
      <c r="R7257" s="8">
        <v>13.2</v>
      </c>
      <c r="S7257" s="8">
        <v>14</v>
      </c>
      <c r="T7257" s="8">
        <v>0.8</v>
      </c>
      <c r="U7257" s="8">
        <v>12.8</v>
      </c>
      <c r="V7257" s="8">
        <v>1.3</v>
      </c>
      <c r="W7257" s="8">
        <v>0.6</v>
      </c>
      <c r="X7257" s="8">
        <v>122</v>
      </c>
      <c r="Y7257" s="8" t="s">
        <v>32197</v>
      </c>
      <c r="Z7257" s="8" t="s">
        <v>32205</v>
      </c>
    </row>
    <row r="7258" spans="1:26" x14ac:dyDescent="0.2">
      <c r="A7258" s="8">
        <v>7257</v>
      </c>
      <c r="B7258" s="8" t="s">
        <v>32206</v>
      </c>
      <c r="C7258" s="8" t="s">
        <v>32206</v>
      </c>
      <c r="F7258" s="47"/>
      <c r="G7258" s="8">
        <v>18</v>
      </c>
      <c r="H7258" s="8" t="s">
        <v>21</v>
      </c>
      <c r="I7258" s="8" t="s">
        <v>22</v>
      </c>
      <c r="J7258" s="8" t="s">
        <v>22</v>
      </c>
      <c r="K7258" s="8" t="s">
        <v>85</v>
      </c>
      <c r="L7258" s="8" t="s">
        <v>30854</v>
      </c>
      <c r="M7258" s="8" t="s">
        <v>30855</v>
      </c>
      <c r="N7258" s="8" t="s">
        <v>32207</v>
      </c>
      <c r="O7258" s="8">
        <f>22+22/60+36.5/3600</f>
        <v>22.376805555555556</v>
      </c>
      <c r="P7258" s="8" t="s">
        <v>32208</v>
      </c>
      <c r="Q7258" s="8">
        <f>-(4+7/60+15/3600)</f>
        <v>-4.1208333333333327</v>
      </c>
      <c r="R7258" s="8">
        <v>12.7</v>
      </c>
      <c r="S7258" s="8">
        <v>13.5</v>
      </c>
      <c r="T7258" s="8">
        <v>0.8</v>
      </c>
      <c r="U7258" s="8">
        <v>13.6</v>
      </c>
      <c r="V7258" s="8">
        <v>1.9</v>
      </c>
      <c r="W7258" s="8">
        <v>1.4</v>
      </c>
      <c r="X7258" s="8">
        <v>33</v>
      </c>
      <c r="Y7258" s="8" t="s">
        <v>25337</v>
      </c>
      <c r="Z7258" s="8" t="s">
        <v>25338</v>
      </c>
    </row>
    <row r="7259" spans="1:26" x14ac:dyDescent="0.2">
      <c r="A7259" s="8">
        <v>7258</v>
      </c>
      <c r="B7259" s="8" t="s">
        <v>32209</v>
      </c>
      <c r="C7259" s="8" t="s">
        <v>32209</v>
      </c>
      <c r="F7259" s="47"/>
      <c r="G7259" s="8">
        <v>16</v>
      </c>
      <c r="H7259" s="8" t="s">
        <v>21</v>
      </c>
      <c r="I7259" s="8" t="s">
        <v>22</v>
      </c>
      <c r="J7259" s="8" t="s">
        <v>22</v>
      </c>
      <c r="K7259" s="8" t="s">
        <v>23</v>
      </c>
      <c r="L7259" s="8" t="s">
        <v>31565</v>
      </c>
      <c r="M7259" s="8" t="s">
        <v>31566</v>
      </c>
      <c r="N7259" s="8" t="s">
        <v>32210</v>
      </c>
      <c r="O7259" s="8">
        <f>22+22/60+58.1/3600</f>
        <v>22.382805555555557</v>
      </c>
      <c r="P7259" s="8" t="s">
        <v>32211</v>
      </c>
      <c r="Q7259" s="8">
        <f>-(28+20/60+43/3600)</f>
        <v>-28.345277777777778</v>
      </c>
      <c r="R7259" s="8">
        <v>13.2</v>
      </c>
      <c r="S7259" s="8">
        <v>14</v>
      </c>
      <c r="T7259" s="8">
        <v>0.8</v>
      </c>
      <c r="U7259" s="8">
        <v>12.8</v>
      </c>
      <c r="V7259" s="8">
        <v>1.4</v>
      </c>
      <c r="W7259" s="8">
        <v>0.6</v>
      </c>
      <c r="X7259" s="8">
        <v>141</v>
      </c>
      <c r="Y7259" s="8" t="s">
        <v>32212</v>
      </c>
      <c r="Z7259" s="8" t="s">
        <v>32213</v>
      </c>
    </row>
    <row r="7260" spans="1:26" x14ac:dyDescent="0.2">
      <c r="A7260" s="8">
        <v>7259</v>
      </c>
      <c r="B7260" s="8" t="s">
        <v>32214</v>
      </c>
      <c r="C7260" s="8" t="s">
        <v>32214</v>
      </c>
      <c r="F7260" s="47"/>
      <c r="G7260" s="8">
        <v>16</v>
      </c>
      <c r="H7260" s="8" t="s">
        <v>21</v>
      </c>
      <c r="I7260" s="8" t="s">
        <v>22</v>
      </c>
      <c r="J7260" s="8" t="s">
        <v>22</v>
      </c>
      <c r="K7260" s="8" t="s">
        <v>23</v>
      </c>
      <c r="L7260" s="8" t="s">
        <v>31565</v>
      </c>
      <c r="M7260" s="8" t="s">
        <v>31566</v>
      </c>
      <c r="N7260" s="8" t="s">
        <v>32215</v>
      </c>
      <c r="O7260" s="8">
        <f>22+23/60+5.6/3600</f>
        <v>22.384888888888888</v>
      </c>
      <c r="P7260" s="8" t="s">
        <v>32216</v>
      </c>
      <c r="Q7260" s="8">
        <f>-(28+57/60+16/3600)</f>
        <v>-28.954444444444444</v>
      </c>
      <c r="R7260" s="8">
        <v>13.1</v>
      </c>
      <c r="S7260" s="8">
        <v>13.9</v>
      </c>
      <c r="T7260" s="8">
        <v>0.8</v>
      </c>
      <c r="U7260" s="8">
        <v>12.9</v>
      </c>
      <c r="V7260" s="8">
        <v>1.1000000000000001</v>
      </c>
      <c r="W7260" s="8">
        <v>0.9</v>
      </c>
      <c r="X7260" s="8">
        <v>49</v>
      </c>
      <c r="Y7260" s="8" t="s">
        <v>32217</v>
      </c>
      <c r="Z7260" s="8" t="s">
        <v>9305</v>
      </c>
    </row>
    <row r="7261" spans="1:26" x14ac:dyDescent="0.2">
      <c r="A7261" s="8">
        <v>7260</v>
      </c>
      <c r="B7261" s="8" t="s">
        <v>32218</v>
      </c>
      <c r="C7261" s="8" t="s">
        <v>32218</v>
      </c>
      <c r="F7261" s="47"/>
      <c r="G7261" s="8">
        <v>18</v>
      </c>
      <c r="H7261" s="8" t="s">
        <v>21</v>
      </c>
      <c r="I7261" s="8" t="s">
        <v>22</v>
      </c>
      <c r="J7261" s="8" t="s">
        <v>57</v>
      </c>
      <c r="K7261" s="8" t="s">
        <v>85</v>
      </c>
      <c r="L7261" s="8" t="s">
        <v>30854</v>
      </c>
      <c r="M7261" s="8" t="s">
        <v>30855</v>
      </c>
      <c r="N7261" s="8" t="s">
        <v>32207</v>
      </c>
      <c r="O7261" s="8">
        <f>22+22/60+36.5/3600</f>
        <v>22.376805555555556</v>
      </c>
      <c r="P7261" s="8" t="s">
        <v>32208</v>
      </c>
      <c r="Q7261" s="8">
        <f>-(4+7/60+15/3600)</f>
        <v>-4.1208333333333327</v>
      </c>
      <c r="R7261" s="8">
        <v>12.7</v>
      </c>
      <c r="S7261" s="8">
        <v>13.5</v>
      </c>
      <c r="T7261" s="8">
        <v>0.8</v>
      </c>
      <c r="U7261" s="8">
        <v>13.6</v>
      </c>
      <c r="V7261" s="8">
        <v>1.9</v>
      </c>
      <c r="W7261" s="8">
        <v>1.4</v>
      </c>
      <c r="X7261" s="8">
        <v>33</v>
      </c>
      <c r="Y7261" s="8" t="s">
        <v>25337</v>
      </c>
      <c r="Z7261" s="8" t="s">
        <v>11534</v>
      </c>
    </row>
    <row r="7262" spans="1:26" x14ac:dyDescent="0.2">
      <c r="A7262" s="8">
        <v>7261</v>
      </c>
      <c r="B7262" s="8" t="s">
        <v>32219</v>
      </c>
      <c r="C7262" s="8" t="s">
        <v>32219</v>
      </c>
      <c r="F7262" s="47"/>
      <c r="G7262" s="8">
        <v>13</v>
      </c>
      <c r="H7262" s="8" t="s">
        <v>21</v>
      </c>
      <c r="I7262" s="8" t="s">
        <v>557</v>
      </c>
      <c r="J7262" s="8" t="s">
        <v>557</v>
      </c>
      <c r="K7262" s="8" t="s">
        <v>1168</v>
      </c>
      <c r="L7262" s="8" t="s">
        <v>242</v>
      </c>
      <c r="M7262" s="8" t="s">
        <v>243</v>
      </c>
      <c r="N7262" s="8" t="s">
        <v>32220</v>
      </c>
      <c r="O7262" s="8">
        <f>22+20/60+10/3600</f>
        <v>22.336111111111109</v>
      </c>
      <c r="P7262" s="8" t="s">
        <v>32221</v>
      </c>
      <c r="Q7262" s="8">
        <f>+(58+6/60+36/3600)</f>
        <v>58.11</v>
      </c>
      <c r="R7262" s="8">
        <v>8.4</v>
      </c>
      <c r="S7262" s="8">
        <v>99</v>
      </c>
      <c r="T7262" s="8">
        <v>99</v>
      </c>
      <c r="U7262" s="8">
        <v>99</v>
      </c>
      <c r="V7262" s="8">
        <v>6</v>
      </c>
      <c r="Y7262" s="8" t="s">
        <v>10198</v>
      </c>
      <c r="Z7262" s="8" t="s">
        <v>10199</v>
      </c>
    </row>
    <row r="7263" spans="1:26" x14ac:dyDescent="0.2">
      <c r="A7263" s="8">
        <v>7262</v>
      </c>
      <c r="B7263" s="8" t="s">
        <v>32222</v>
      </c>
      <c r="C7263" s="8" t="s">
        <v>32222</v>
      </c>
      <c r="F7263" s="47"/>
      <c r="G7263" s="8">
        <v>16</v>
      </c>
      <c r="H7263" s="8" t="s">
        <v>21</v>
      </c>
      <c r="I7263" s="8" t="s">
        <v>22</v>
      </c>
      <c r="J7263" s="8" t="s">
        <v>22</v>
      </c>
      <c r="K7263" s="8" t="s">
        <v>37</v>
      </c>
      <c r="L7263" s="8" t="s">
        <v>31565</v>
      </c>
      <c r="M7263" s="8" t="s">
        <v>31566</v>
      </c>
      <c r="N7263" s="8" t="s">
        <v>32223</v>
      </c>
      <c r="O7263" s="8">
        <f>22+23/60+28.4/3600</f>
        <v>22.391222222222222</v>
      </c>
      <c r="P7263" s="8" t="s">
        <v>32224</v>
      </c>
      <c r="Q7263" s="8">
        <f>-(32+21/60+53/3600)</f>
        <v>-32.364722222222227</v>
      </c>
      <c r="R7263" s="8">
        <v>14.1</v>
      </c>
      <c r="S7263" s="8">
        <v>15.1</v>
      </c>
      <c r="T7263" s="8">
        <v>1</v>
      </c>
      <c r="U7263" s="8">
        <v>13.3</v>
      </c>
      <c r="V7263" s="8">
        <v>0.8</v>
      </c>
      <c r="W7263" s="8">
        <v>0.7</v>
      </c>
      <c r="X7263" s="8">
        <v>96</v>
      </c>
      <c r="Y7263" s="8" t="s">
        <v>3982</v>
      </c>
      <c r="Z7263" s="8" t="s">
        <v>3983</v>
      </c>
    </row>
    <row r="7264" spans="1:26" x14ac:dyDescent="0.2">
      <c r="A7264" s="8">
        <v>7263</v>
      </c>
      <c r="B7264" s="8" t="s">
        <v>32225</v>
      </c>
      <c r="C7264" s="8" t="s">
        <v>32225</v>
      </c>
      <c r="E7264" s="8">
        <v>1</v>
      </c>
      <c r="F7264" s="47"/>
      <c r="G7264" s="8">
        <v>18</v>
      </c>
      <c r="H7264" s="8" t="s">
        <v>21</v>
      </c>
      <c r="I7264" s="8" t="s">
        <v>22</v>
      </c>
      <c r="J7264" s="8" t="s">
        <v>22</v>
      </c>
      <c r="K7264" s="8" t="s">
        <v>632</v>
      </c>
      <c r="L7264" s="8" t="s">
        <v>31943</v>
      </c>
      <c r="M7264" s="8" t="s">
        <v>31944</v>
      </c>
      <c r="N7264" s="8" t="s">
        <v>32226</v>
      </c>
      <c r="O7264" s="8">
        <f>22+21/60+45.2/3600</f>
        <v>22.362555555555556</v>
      </c>
      <c r="P7264" s="8" t="s">
        <v>32227</v>
      </c>
      <c r="Q7264" s="8">
        <f>+(36+20/60+59/3600)</f>
        <v>36.349722222222226</v>
      </c>
      <c r="R7264" s="8">
        <v>14.6</v>
      </c>
      <c r="S7264" s="8">
        <v>15.5</v>
      </c>
      <c r="T7264" s="8">
        <v>0.9</v>
      </c>
      <c r="U7264" s="8">
        <v>13.8</v>
      </c>
      <c r="V7264" s="8">
        <v>0.8</v>
      </c>
      <c r="W7264" s="8">
        <v>0.7</v>
      </c>
      <c r="X7264" s="8">
        <v>60</v>
      </c>
      <c r="Y7264" s="8" t="s">
        <v>895</v>
      </c>
      <c r="Z7264" s="8" t="s">
        <v>896</v>
      </c>
    </row>
    <row r="7265" spans="1:26" x14ac:dyDescent="0.2">
      <c r="A7265" s="8">
        <v>7264</v>
      </c>
      <c r="B7265" s="8" t="s">
        <v>32228</v>
      </c>
      <c r="C7265" s="8" t="s">
        <v>32228</v>
      </c>
      <c r="F7265" s="47"/>
      <c r="G7265" s="8">
        <v>18</v>
      </c>
      <c r="H7265" s="8" t="s">
        <v>21</v>
      </c>
      <c r="I7265" s="8" t="s">
        <v>22</v>
      </c>
      <c r="J7265" s="8" t="s">
        <v>22</v>
      </c>
      <c r="K7265" s="8" t="s">
        <v>23</v>
      </c>
      <c r="L7265" s="8" t="s">
        <v>31943</v>
      </c>
      <c r="M7265" s="8" t="s">
        <v>31944</v>
      </c>
      <c r="N7265" s="8" t="s">
        <v>32229</v>
      </c>
      <c r="O7265" s="8">
        <f>22+22/60+13.5/3600</f>
        <v>22.370416666666667</v>
      </c>
      <c r="P7265" s="8" t="s">
        <v>32230</v>
      </c>
      <c r="Q7265" s="8">
        <f>+(36+23/60+13/3600)</f>
        <v>36.386944444444445</v>
      </c>
      <c r="R7265" s="8">
        <v>13.8</v>
      </c>
      <c r="S7265" s="8">
        <v>14.6</v>
      </c>
      <c r="T7265" s="8">
        <v>0.8</v>
      </c>
      <c r="U7265" s="8">
        <v>13.2</v>
      </c>
      <c r="V7265" s="8">
        <v>2.2000000000000002</v>
      </c>
      <c r="W7265" s="8">
        <v>0.3</v>
      </c>
      <c r="X7265" s="8">
        <v>57</v>
      </c>
      <c r="Y7265" s="8" t="s">
        <v>546</v>
      </c>
      <c r="Z7265" s="8" t="s">
        <v>547</v>
      </c>
    </row>
    <row r="7266" spans="1:26" x14ac:dyDescent="0.2">
      <c r="A7266" s="8">
        <v>7265</v>
      </c>
      <c r="B7266" s="8" t="s">
        <v>32231</v>
      </c>
      <c r="C7266" s="8" t="s">
        <v>32231</v>
      </c>
      <c r="F7266" s="47"/>
      <c r="G7266" s="8">
        <v>18</v>
      </c>
      <c r="H7266" s="8" t="s">
        <v>21</v>
      </c>
      <c r="I7266" s="8" t="s">
        <v>22</v>
      </c>
      <c r="J7266" s="8" t="s">
        <v>22</v>
      </c>
      <c r="K7266" s="8" t="s">
        <v>58</v>
      </c>
      <c r="L7266" s="8" t="s">
        <v>31943</v>
      </c>
      <c r="M7266" s="8" t="s">
        <v>31944</v>
      </c>
      <c r="N7266" s="8" t="s">
        <v>32232</v>
      </c>
      <c r="O7266" s="8">
        <f>22+22/60+27.5/3600</f>
        <v>22.374305555555555</v>
      </c>
      <c r="P7266" s="8" t="s">
        <v>32233</v>
      </c>
      <c r="Q7266" s="8">
        <f>+(36+12/60+37/3600)</f>
        <v>36.210277777777783</v>
      </c>
      <c r="R7266" s="8">
        <v>12.1</v>
      </c>
      <c r="S7266" s="8">
        <v>13.2</v>
      </c>
      <c r="T7266" s="8">
        <v>1.1000000000000001</v>
      </c>
      <c r="U7266" s="8">
        <v>13.7</v>
      </c>
      <c r="V7266" s="8">
        <v>2.4</v>
      </c>
      <c r="W7266" s="8">
        <v>1.9</v>
      </c>
      <c r="X7266" s="8">
        <v>170</v>
      </c>
      <c r="Y7266" s="8" t="s">
        <v>7479</v>
      </c>
      <c r="Z7266" s="8" t="s">
        <v>7480</v>
      </c>
    </row>
    <row r="7267" spans="1:26" x14ac:dyDescent="0.2">
      <c r="A7267" s="8">
        <v>7266</v>
      </c>
      <c r="B7267" s="8" t="s">
        <v>32234</v>
      </c>
      <c r="C7267" s="8" t="s">
        <v>32234</v>
      </c>
      <c r="F7267" s="47"/>
      <c r="G7267" s="8">
        <v>18</v>
      </c>
      <c r="H7267" s="8" t="s">
        <v>21</v>
      </c>
      <c r="I7267" s="8" t="s">
        <v>22</v>
      </c>
      <c r="J7267" s="8" t="s">
        <v>22</v>
      </c>
      <c r="K7267" s="8" t="s">
        <v>91</v>
      </c>
      <c r="L7267" s="8" t="s">
        <v>30854</v>
      </c>
      <c r="M7267" s="8" t="s">
        <v>30855</v>
      </c>
      <c r="N7267" s="8" t="s">
        <v>32235</v>
      </c>
      <c r="O7267" s="8">
        <f>22+23/60+59/3600</f>
        <v>22.399722222222223</v>
      </c>
      <c r="P7267" s="8" t="s">
        <v>32236</v>
      </c>
      <c r="Q7267" s="8">
        <f>-(4+4/60+23/3600)</f>
        <v>-4.0730555555555554</v>
      </c>
      <c r="R7267" s="8">
        <v>13.4</v>
      </c>
      <c r="S7267" s="8">
        <v>14.3</v>
      </c>
      <c r="T7267" s="8">
        <v>0.9</v>
      </c>
      <c r="U7267" s="8">
        <v>12.4</v>
      </c>
      <c r="V7267" s="8">
        <v>0.9</v>
      </c>
      <c r="W7267" s="8">
        <v>0.7</v>
      </c>
      <c r="X7267" s="8">
        <v>95</v>
      </c>
      <c r="Y7267" s="8" t="s">
        <v>42</v>
      </c>
      <c r="Z7267" s="8" t="s">
        <v>32237</v>
      </c>
    </row>
    <row r="7268" spans="1:26" x14ac:dyDescent="0.2">
      <c r="A7268" s="8">
        <v>7267</v>
      </c>
      <c r="B7268" s="8" t="s">
        <v>32238</v>
      </c>
      <c r="C7268" s="8" t="s">
        <v>32238</v>
      </c>
      <c r="F7268" s="47"/>
      <c r="G7268" s="8">
        <v>16</v>
      </c>
      <c r="H7268" s="8" t="s">
        <v>21</v>
      </c>
      <c r="I7268" s="8" t="s">
        <v>22</v>
      </c>
      <c r="J7268" s="8" t="s">
        <v>22</v>
      </c>
      <c r="K7268" s="8" t="s">
        <v>154</v>
      </c>
      <c r="L7268" s="8" t="s">
        <v>31565</v>
      </c>
      <c r="M7268" s="8" t="s">
        <v>31566</v>
      </c>
      <c r="N7268" s="8" t="s">
        <v>32239</v>
      </c>
      <c r="O7268" s="8">
        <f>22+24/60+21.5/3600</f>
        <v>22.405972222222221</v>
      </c>
      <c r="P7268" s="8" t="s">
        <v>32240</v>
      </c>
      <c r="Q7268" s="8">
        <f>-(33+41/60+36/3600)</f>
        <v>-33.693333333333328</v>
      </c>
      <c r="R7268" s="8">
        <v>12.2</v>
      </c>
      <c r="S7268" s="8">
        <v>12.9</v>
      </c>
      <c r="T7268" s="8">
        <v>0.7</v>
      </c>
      <c r="U7268" s="8">
        <v>13</v>
      </c>
      <c r="V7268" s="8">
        <v>1.6</v>
      </c>
      <c r="W7268" s="8">
        <v>1.4</v>
      </c>
      <c r="X7268" s="8">
        <v>6</v>
      </c>
      <c r="Y7268" s="8" t="s">
        <v>32241</v>
      </c>
      <c r="Z7268" s="8" t="s">
        <v>32242</v>
      </c>
    </row>
    <row r="7269" spans="1:26" x14ac:dyDescent="0.2">
      <c r="A7269" s="8">
        <v>7268</v>
      </c>
      <c r="B7269" s="8" t="s">
        <v>32243</v>
      </c>
      <c r="C7269" s="8" t="s">
        <v>32243</v>
      </c>
      <c r="F7269" s="47"/>
      <c r="G7269" s="8">
        <v>16</v>
      </c>
      <c r="H7269" s="8" t="s">
        <v>21</v>
      </c>
      <c r="I7269" s="8" t="s">
        <v>22</v>
      </c>
      <c r="J7269" s="8" t="s">
        <v>22</v>
      </c>
      <c r="K7269" s="8" t="s">
        <v>224</v>
      </c>
      <c r="L7269" s="8" t="s">
        <v>31565</v>
      </c>
      <c r="M7269" s="8" t="s">
        <v>31566</v>
      </c>
      <c r="N7269" s="8" t="s">
        <v>32244</v>
      </c>
      <c r="O7269" s="8">
        <f>22+25/60+40.6/3600</f>
        <v>22.427944444444446</v>
      </c>
      <c r="P7269" s="8" t="s">
        <v>32245</v>
      </c>
      <c r="Q7269" s="8">
        <f>-(31+12/60+4/3600)</f>
        <v>-31.201111111111111</v>
      </c>
      <c r="R7269" s="8">
        <v>13.2</v>
      </c>
      <c r="S7269" s="8">
        <v>14.2</v>
      </c>
      <c r="T7269" s="8">
        <v>1</v>
      </c>
      <c r="U7269" s="8">
        <v>12.6</v>
      </c>
      <c r="V7269" s="8">
        <v>1.1000000000000001</v>
      </c>
      <c r="W7269" s="8">
        <v>0.6</v>
      </c>
      <c r="X7269" s="8">
        <v>83</v>
      </c>
      <c r="Y7269" s="8" t="s">
        <v>32246</v>
      </c>
      <c r="Z7269" s="8" t="s">
        <v>32247</v>
      </c>
    </row>
    <row r="7270" spans="1:26" x14ac:dyDescent="0.2">
      <c r="A7270" s="8">
        <v>7269</v>
      </c>
      <c r="B7270" s="8" t="s">
        <v>32248</v>
      </c>
      <c r="C7270" s="8" t="s">
        <v>32248</v>
      </c>
      <c r="F7270" s="47"/>
      <c r="G7270" s="8">
        <v>19</v>
      </c>
      <c r="H7270" s="8" t="s">
        <v>21</v>
      </c>
      <c r="I7270" s="8" t="s">
        <v>22</v>
      </c>
      <c r="J7270" s="8" t="s">
        <v>22</v>
      </c>
      <c r="K7270" s="8" t="s">
        <v>23</v>
      </c>
      <c r="L7270" s="8" t="s">
        <v>30854</v>
      </c>
      <c r="M7270" s="8" t="s">
        <v>30855</v>
      </c>
      <c r="N7270" s="8" t="s">
        <v>32249</v>
      </c>
      <c r="O7270" s="8">
        <f>22+25/60+46.8/3600</f>
        <v>22.42966666666667</v>
      </c>
      <c r="P7270" s="8" t="s">
        <v>32250</v>
      </c>
      <c r="Q7270" s="8">
        <f>-(13+10/60+1/3600)</f>
        <v>-13.166944444444443</v>
      </c>
      <c r="R7270" s="8">
        <v>13.7</v>
      </c>
      <c r="S7270" s="8">
        <v>14.5</v>
      </c>
      <c r="T7270" s="8">
        <v>0.8</v>
      </c>
      <c r="U7270" s="8">
        <v>13.2</v>
      </c>
      <c r="V7270" s="8">
        <v>1</v>
      </c>
      <c r="W7270" s="8">
        <v>0.7</v>
      </c>
      <c r="X7270" s="8">
        <v>140</v>
      </c>
      <c r="Y7270" s="8" t="s">
        <v>18440</v>
      </c>
      <c r="Z7270" s="8" t="s">
        <v>18441</v>
      </c>
    </row>
    <row r="7271" spans="1:26" x14ac:dyDescent="0.2">
      <c r="A7271" s="8">
        <v>7270</v>
      </c>
      <c r="B7271" s="8" t="s">
        <v>32251</v>
      </c>
      <c r="C7271" s="8" t="s">
        <v>32251</v>
      </c>
      <c r="F7271" s="47"/>
      <c r="G7271" s="8">
        <v>18</v>
      </c>
      <c r="H7271" s="8" t="s">
        <v>21</v>
      </c>
      <c r="I7271" s="8" t="s">
        <v>22</v>
      </c>
      <c r="J7271" s="8" t="s">
        <v>22</v>
      </c>
      <c r="K7271" s="8" t="s">
        <v>160</v>
      </c>
      <c r="L7271" s="8" t="s">
        <v>24</v>
      </c>
      <c r="M7271" s="8" t="s">
        <v>25</v>
      </c>
      <c r="N7271" s="8" t="s">
        <v>32252</v>
      </c>
      <c r="O7271" s="8">
        <f>22+23/60+47.5/3600</f>
        <v>22.396527777777777</v>
      </c>
      <c r="P7271" s="8" t="s">
        <v>32253</v>
      </c>
      <c r="Q7271" s="8">
        <f>+(32+24/60+11/3600)</f>
        <v>32.403055555555554</v>
      </c>
      <c r="R7271" s="8">
        <v>14</v>
      </c>
      <c r="S7271" s="8">
        <v>14.7</v>
      </c>
      <c r="T7271" s="8">
        <v>0.7</v>
      </c>
      <c r="U7271" s="8">
        <v>13.3</v>
      </c>
      <c r="V7271" s="8">
        <v>0.9</v>
      </c>
      <c r="W7271" s="8">
        <v>0.6</v>
      </c>
      <c r="X7271" s="8">
        <v>93</v>
      </c>
      <c r="Y7271" s="8" t="s">
        <v>307</v>
      </c>
      <c r="Z7271" s="8" t="s">
        <v>308</v>
      </c>
    </row>
    <row r="7272" spans="1:26" x14ac:dyDescent="0.2">
      <c r="A7272" s="8">
        <v>7271</v>
      </c>
      <c r="B7272" s="8" t="s">
        <v>32254</v>
      </c>
      <c r="C7272" s="8" t="s">
        <v>32254</v>
      </c>
      <c r="F7272" s="47"/>
      <c r="G7272" s="8">
        <v>18</v>
      </c>
      <c r="H7272" s="8" t="s">
        <v>21</v>
      </c>
      <c r="I7272" s="8" t="s">
        <v>22</v>
      </c>
      <c r="J7272" s="8" t="s">
        <v>22</v>
      </c>
      <c r="K7272" s="8" t="s">
        <v>37</v>
      </c>
      <c r="L7272" s="8" t="s">
        <v>24</v>
      </c>
      <c r="M7272" s="8" t="s">
        <v>25</v>
      </c>
      <c r="N7272" s="8" t="s">
        <v>32255</v>
      </c>
      <c r="O7272" s="8">
        <f>22+23/60+57.5/3600</f>
        <v>22.399305555555554</v>
      </c>
      <c r="P7272" s="8" t="s">
        <v>32256</v>
      </c>
      <c r="Q7272" s="8">
        <f>+(32+22/60+3/3600)</f>
        <v>32.3675</v>
      </c>
      <c r="R7272" s="8">
        <v>15.6</v>
      </c>
      <c r="S7272" s="8">
        <v>16.600000000000001</v>
      </c>
      <c r="T7272" s="8">
        <v>1</v>
      </c>
      <c r="U7272" s="8">
        <v>13.8</v>
      </c>
      <c r="V7272" s="8">
        <v>0.7</v>
      </c>
      <c r="W7272" s="8">
        <v>0.3</v>
      </c>
      <c r="X7272" s="8">
        <v>117</v>
      </c>
      <c r="Y7272" s="8" t="s">
        <v>6793</v>
      </c>
      <c r="Z7272" s="8" t="s">
        <v>6794</v>
      </c>
    </row>
    <row r="7273" spans="1:26" x14ac:dyDescent="0.2">
      <c r="A7273" s="8">
        <v>7272</v>
      </c>
      <c r="B7273" s="8" t="s">
        <v>32257</v>
      </c>
      <c r="C7273" s="8" t="s">
        <v>32257</v>
      </c>
      <c r="F7273" s="47"/>
      <c r="G7273" s="8">
        <v>18</v>
      </c>
      <c r="H7273" s="8" t="s">
        <v>21</v>
      </c>
      <c r="I7273" s="8" t="s">
        <v>22</v>
      </c>
      <c r="J7273" s="8" t="s">
        <v>22</v>
      </c>
      <c r="K7273" s="8" t="s">
        <v>154</v>
      </c>
      <c r="L7273" s="8" t="s">
        <v>24</v>
      </c>
      <c r="M7273" s="8" t="s">
        <v>25</v>
      </c>
      <c r="N7273" s="8" t="s">
        <v>32258</v>
      </c>
      <c r="O7273" s="8">
        <f>22+24/60+31.6/3600</f>
        <v>22.408777777777775</v>
      </c>
      <c r="P7273" s="8" t="s">
        <v>32259</v>
      </c>
      <c r="Q7273" s="8">
        <f>+(16+35/60+19/3600)</f>
        <v>16.58861111111111</v>
      </c>
      <c r="R7273" s="8">
        <v>13.6</v>
      </c>
      <c r="S7273" s="8">
        <v>14.5</v>
      </c>
      <c r="T7273" s="8">
        <v>0.9</v>
      </c>
      <c r="U7273" s="8">
        <v>13.1</v>
      </c>
      <c r="V7273" s="8">
        <v>0.9</v>
      </c>
      <c r="W7273" s="8">
        <v>0.8</v>
      </c>
      <c r="X7273" s="8">
        <v>39</v>
      </c>
      <c r="Y7273" s="8" t="s">
        <v>1794</v>
      </c>
      <c r="Z7273" s="8" t="s">
        <v>1795</v>
      </c>
    </row>
    <row r="7274" spans="1:26" x14ac:dyDescent="0.2">
      <c r="A7274" s="8">
        <v>7273</v>
      </c>
      <c r="B7274" s="8" t="s">
        <v>32260</v>
      </c>
      <c r="C7274" s="8" t="s">
        <v>32260</v>
      </c>
      <c r="F7274" s="47"/>
      <c r="G7274" s="8">
        <v>18</v>
      </c>
      <c r="H7274" s="8" t="s">
        <v>21</v>
      </c>
      <c r="I7274" s="8" t="s">
        <v>22</v>
      </c>
      <c r="J7274" s="8" t="s">
        <v>22</v>
      </c>
      <c r="K7274" s="8" t="s">
        <v>37</v>
      </c>
      <c r="L7274" s="8" t="s">
        <v>31943</v>
      </c>
      <c r="M7274" s="8" t="s">
        <v>31944</v>
      </c>
      <c r="N7274" s="8" t="s">
        <v>32261</v>
      </c>
      <c r="O7274" s="8">
        <f>22+24/60+9.1/3600</f>
        <v>22.402527777777777</v>
      </c>
      <c r="P7274" s="8" t="s">
        <v>32262</v>
      </c>
      <c r="Q7274" s="8">
        <f>+(36+12/60+1/3600)</f>
        <v>36.200277777777778</v>
      </c>
      <c r="R7274" s="8">
        <v>13.8</v>
      </c>
      <c r="S7274" s="8">
        <v>14.8</v>
      </c>
      <c r="T7274" s="8">
        <v>1</v>
      </c>
      <c r="U7274" s="8">
        <v>12.7</v>
      </c>
      <c r="V7274" s="8">
        <v>0.8</v>
      </c>
      <c r="W7274" s="8">
        <v>0.5</v>
      </c>
      <c r="X7274" s="8">
        <v>3</v>
      </c>
      <c r="Y7274" s="8" t="s">
        <v>7479</v>
      </c>
      <c r="Z7274" s="8" t="s">
        <v>7480</v>
      </c>
    </row>
    <row r="7275" spans="1:26" x14ac:dyDescent="0.2">
      <c r="A7275" s="8">
        <v>7274</v>
      </c>
      <c r="B7275" s="8" t="s">
        <v>32263</v>
      </c>
      <c r="C7275" s="8" t="s">
        <v>32263</v>
      </c>
      <c r="F7275" s="47"/>
      <c r="G7275" s="8">
        <v>18</v>
      </c>
      <c r="H7275" s="8" t="s">
        <v>21</v>
      </c>
      <c r="I7275" s="8" t="s">
        <v>22</v>
      </c>
      <c r="J7275" s="8" t="s">
        <v>22</v>
      </c>
      <c r="K7275" s="8" t="s">
        <v>460</v>
      </c>
      <c r="L7275" s="8" t="s">
        <v>31943</v>
      </c>
      <c r="M7275" s="8" t="s">
        <v>31944</v>
      </c>
      <c r="N7275" s="8" t="s">
        <v>32264</v>
      </c>
      <c r="O7275" s="8">
        <f>22+24/60+11/3600</f>
        <v>22.403055555555554</v>
      </c>
      <c r="P7275" s="8" t="s">
        <v>32265</v>
      </c>
      <c r="Q7275" s="8">
        <f>+(36+7/60+35/3600)</f>
        <v>36.12638888888889</v>
      </c>
      <c r="R7275" s="8">
        <v>12.8</v>
      </c>
      <c r="S7275" s="8">
        <v>13.8</v>
      </c>
      <c r="T7275" s="8">
        <v>1</v>
      </c>
      <c r="U7275" s="8">
        <v>13.6</v>
      </c>
      <c r="V7275" s="8">
        <v>1.5</v>
      </c>
      <c r="W7275" s="8">
        <v>1.5</v>
      </c>
      <c r="Y7275" s="8" t="s">
        <v>12424</v>
      </c>
      <c r="Z7275" s="8" t="s">
        <v>12425</v>
      </c>
    </row>
    <row r="7276" spans="1:26" x14ac:dyDescent="0.2">
      <c r="A7276" s="8">
        <v>7275</v>
      </c>
      <c r="B7276" s="8" t="s">
        <v>32266</v>
      </c>
      <c r="C7276" s="8" t="s">
        <v>32266</v>
      </c>
      <c r="F7276" s="47"/>
      <c r="G7276" s="8">
        <v>18</v>
      </c>
      <c r="H7276" s="8" t="s">
        <v>21</v>
      </c>
      <c r="I7276" s="8" t="s">
        <v>22</v>
      </c>
      <c r="J7276" s="8" t="s">
        <v>22</v>
      </c>
      <c r="K7276" s="8" t="s">
        <v>91</v>
      </c>
      <c r="L7276" s="8" t="s">
        <v>24</v>
      </c>
      <c r="M7276" s="8" t="s">
        <v>25</v>
      </c>
      <c r="N7276" s="8" t="s">
        <v>32267</v>
      </c>
      <c r="O7276" s="8">
        <f>22+24/60+17.3/3600</f>
        <v>22.404805555555555</v>
      </c>
      <c r="P7276" s="8" t="s">
        <v>32268</v>
      </c>
      <c r="Q7276" s="8">
        <f>+(32+26/60+49/3600)</f>
        <v>32.446944444444441</v>
      </c>
      <c r="R7276" s="8">
        <v>14.3</v>
      </c>
      <c r="S7276" s="8">
        <v>15.2</v>
      </c>
      <c r="T7276" s="8">
        <v>0.9</v>
      </c>
      <c r="U7276" s="8">
        <v>12.3</v>
      </c>
      <c r="V7276" s="8">
        <v>0.9</v>
      </c>
      <c r="W7276" s="8">
        <v>0.2</v>
      </c>
      <c r="X7276" s="8">
        <v>37</v>
      </c>
      <c r="Y7276" s="8" t="s">
        <v>32269</v>
      </c>
      <c r="Z7276" s="8" t="s">
        <v>32270</v>
      </c>
    </row>
    <row r="7277" spans="1:26" x14ac:dyDescent="0.2">
      <c r="A7277" s="8">
        <v>7276</v>
      </c>
      <c r="B7277" s="8" t="s">
        <v>32271</v>
      </c>
      <c r="C7277" s="8" t="s">
        <v>32271</v>
      </c>
      <c r="F7277" s="47"/>
      <c r="G7277" s="8">
        <v>18</v>
      </c>
      <c r="H7277" s="8" t="s">
        <v>21</v>
      </c>
      <c r="I7277" s="8" t="s">
        <v>22</v>
      </c>
      <c r="J7277" s="8" t="s">
        <v>22</v>
      </c>
      <c r="K7277" s="8" t="s">
        <v>460</v>
      </c>
      <c r="L7277" s="8" t="s">
        <v>31943</v>
      </c>
      <c r="M7277" s="8" t="s">
        <v>31944</v>
      </c>
      <c r="N7277" s="8" t="s">
        <v>32272</v>
      </c>
      <c r="O7277" s="8">
        <f>22+24/60+14.3/3600</f>
        <v>22.403972222222222</v>
      </c>
      <c r="P7277" s="8" t="s">
        <v>32273</v>
      </c>
      <c r="Q7277" s="8">
        <f>+(36+5/60+17/3600)</f>
        <v>36.088055555555556</v>
      </c>
      <c r="R7277" s="8">
        <v>13.9</v>
      </c>
      <c r="S7277" s="8">
        <v>14.9</v>
      </c>
      <c r="T7277" s="8">
        <v>1</v>
      </c>
      <c r="U7277" s="8">
        <v>13.7</v>
      </c>
      <c r="V7277" s="8">
        <v>0.9</v>
      </c>
      <c r="W7277" s="8">
        <v>0.9</v>
      </c>
      <c r="Y7277" s="8" t="s">
        <v>5916</v>
      </c>
      <c r="Z7277" s="8" t="s">
        <v>5917</v>
      </c>
    </row>
    <row r="7278" spans="1:26" x14ac:dyDescent="0.2">
      <c r="A7278" s="8">
        <v>7277</v>
      </c>
      <c r="B7278" s="8" t="s">
        <v>32274</v>
      </c>
      <c r="C7278" s="8" t="s">
        <v>32274</v>
      </c>
      <c r="F7278" s="47"/>
      <c r="G7278" s="8">
        <v>16</v>
      </c>
      <c r="H7278" s="8" t="s">
        <v>21</v>
      </c>
      <c r="I7278" s="8" t="s">
        <v>22</v>
      </c>
      <c r="J7278" s="8" t="s">
        <v>22</v>
      </c>
      <c r="K7278" s="8" t="s">
        <v>23</v>
      </c>
      <c r="L7278" s="8" t="s">
        <v>31565</v>
      </c>
      <c r="M7278" s="8" t="s">
        <v>31566</v>
      </c>
      <c r="N7278" s="8" t="s">
        <v>32275</v>
      </c>
      <c r="O7278" s="8">
        <f>22+26/60+10.9/3600</f>
        <v>22.436361111111111</v>
      </c>
      <c r="P7278" s="8" t="s">
        <v>32276</v>
      </c>
      <c r="Q7278" s="8">
        <f>-(31+8/60+45/3600)</f>
        <v>-31.145833333333332</v>
      </c>
      <c r="R7278" s="8">
        <v>13.3</v>
      </c>
      <c r="S7278" s="8">
        <v>14.1</v>
      </c>
      <c r="T7278" s="8">
        <v>0.8</v>
      </c>
      <c r="U7278" s="8">
        <v>13</v>
      </c>
      <c r="V7278" s="8">
        <v>1.5</v>
      </c>
      <c r="W7278" s="8">
        <v>0.6</v>
      </c>
      <c r="X7278" s="8">
        <v>125</v>
      </c>
      <c r="Y7278" s="8" t="s">
        <v>32277</v>
      </c>
      <c r="Z7278" s="8" t="s">
        <v>32278</v>
      </c>
    </row>
    <row r="7279" spans="1:26" x14ac:dyDescent="0.2">
      <c r="A7279" s="8">
        <v>7278</v>
      </c>
      <c r="B7279" s="8" t="s">
        <v>32279</v>
      </c>
      <c r="C7279" s="8" t="s">
        <v>32279</v>
      </c>
      <c r="F7279" s="47"/>
      <c r="G7279" s="8">
        <v>16</v>
      </c>
      <c r="H7279" s="8" t="s">
        <v>21</v>
      </c>
      <c r="I7279" s="8" t="s">
        <v>22</v>
      </c>
      <c r="J7279" s="8" t="s">
        <v>22</v>
      </c>
      <c r="K7279" s="8" t="s">
        <v>64</v>
      </c>
      <c r="L7279" s="8" t="s">
        <v>310</v>
      </c>
      <c r="M7279" s="8" t="s">
        <v>311</v>
      </c>
      <c r="N7279" s="8" t="s">
        <v>32280</v>
      </c>
      <c r="O7279" s="8">
        <f>22+28/60+22.6/3600</f>
        <v>22.472944444444444</v>
      </c>
      <c r="P7279" s="8" t="s">
        <v>32281</v>
      </c>
      <c r="Q7279" s="8">
        <f>-(60+10/60+10/3600)</f>
        <v>-60.169444444444444</v>
      </c>
      <c r="R7279" s="8">
        <v>14.4</v>
      </c>
      <c r="S7279" s="8">
        <v>15.1</v>
      </c>
      <c r="T7279" s="8">
        <v>0.7</v>
      </c>
      <c r="U7279" s="8">
        <v>13.3</v>
      </c>
      <c r="V7279" s="8">
        <v>0.8</v>
      </c>
      <c r="W7279" s="8">
        <v>0.5</v>
      </c>
      <c r="X7279" s="8">
        <v>4</v>
      </c>
      <c r="Y7279" s="8" t="s">
        <v>32282</v>
      </c>
      <c r="Z7279" s="8" t="s">
        <v>32283</v>
      </c>
    </row>
    <row r="7280" spans="1:26" x14ac:dyDescent="0.2">
      <c r="A7280" s="8">
        <v>7279</v>
      </c>
      <c r="B7280" s="8" t="s">
        <v>32284</v>
      </c>
      <c r="C7280" s="8" t="s">
        <v>32284</v>
      </c>
      <c r="F7280" s="47"/>
      <c r="G7280" s="8">
        <v>16</v>
      </c>
      <c r="H7280" s="8" t="s">
        <v>21</v>
      </c>
      <c r="I7280" s="8" t="s">
        <v>22</v>
      </c>
      <c r="J7280" s="8" t="s">
        <v>22</v>
      </c>
      <c r="K7280" s="8" t="s">
        <v>64</v>
      </c>
      <c r="L7280" s="8" t="s">
        <v>31565</v>
      </c>
      <c r="M7280" s="8" t="s">
        <v>31566</v>
      </c>
      <c r="N7280" s="8" t="s">
        <v>32285</v>
      </c>
      <c r="O7280" s="8">
        <f>22+27/60+12.6/3600</f>
        <v>22.453499999999998</v>
      </c>
      <c r="P7280" s="8" t="s">
        <v>32286</v>
      </c>
      <c r="Q7280" s="8">
        <f>-(35+8/60+24/3600)</f>
        <v>-35.14</v>
      </c>
      <c r="R7280" s="8">
        <v>13.8</v>
      </c>
      <c r="S7280" s="8">
        <v>14.3</v>
      </c>
      <c r="T7280" s="8">
        <v>0.5</v>
      </c>
      <c r="U7280" s="8">
        <v>13.5</v>
      </c>
      <c r="V7280" s="8">
        <v>1.2</v>
      </c>
      <c r="W7280" s="8">
        <v>0.8</v>
      </c>
      <c r="X7280" s="8">
        <v>68</v>
      </c>
      <c r="Y7280" s="8" t="s">
        <v>32287</v>
      </c>
      <c r="Z7280" s="8" t="s">
        <v>32288</v>
      </c>
    </row>
    <row r="7281" spans="1:26" x14ac:dyDescent="0.2">
      <c r="A7281" s="8">
        <v>7280</v>
      </c>
      <c r="B7281" s="8" t="s">
        <v>32289</v>
      </c>
      <c r="C7281" s="8" t="s">
        <v>32289</v>
      </c>
      <c r="F7281" s="47" t="s">
        <v>58329</v>
      </c>
      <c r="G7281" s="8">
        <v>15</v>
      </c>
      <c r="H7281" s="8" t="s">
        <v>21</v>
      </c>
      <c r="I7281" s="8" t="s">
        <v>22</v>
      </c>
      <c r="J7281" s="8" t="s">
        <v>22</v>
      </c>
      <c r="K7281" s="8" t="s">
        <v>435</v>
      </c>
      <c r="L7281" s="8" t="s">
        <v>24</v>
      </c>
      <c r="M7281" s="8" t="s">
        <v>25</v>
      </c>
      <c r="N7281" s="8" t="s">
        <v>32290</v>
      </c>
      <c r="O7281" s="8">
        <f>22+26/60+27.6/3600</f>
        <v>22.440999999999999</v>
      </c>
      <c r="P7281" s="8" t="s">
        <v>32291</v>
      </c>
      <c r="Q7281" s="8">
        <f>+(16+8/60+54/3600)</f>
        <v>16.148333333333333</v>
      </c>
      <c r="R7281" s="8">
        <v>12.1</v>
      </c>
      <c r="S7281" s="8">
        <v>13</v>
      </c>
      <c r="T7281" s="8">
        <v>0.9</v>
      </c>
      <c r="U7281" s="8">
        <v>13.2</v>
      </c>
      <c r="V7281" s="8">
        <v>2.1</v>
      </c>
      <c r="W7281" s="8">
        <v>1.5</v>
      </c>
      <c r="X7281" s="8">
        <v>78</v>
      </c>
      <c r="Y7281" s="8" t="s">
        <v>32292</v>
      </c>
      <c r="Z7281" s="8" t="s">
        <v>32293</v>
      </c>
    </row>
    <row r="7282" spans="1:26" x14ac:dyDescent="0.2">
      <c r="A7282" s="8">
        <v>7281</v>
      </c>
      <c r="B7282" s="8" t="s">
        <v>32294</v>
      </c>
      <c r="C7282" s="8" t="s">
        <v>32294</v>
      </c>
      <c r="F7282" s="47"/>
      <c r="G7282" s="8">
        <v>13</v>
      </c>
      <c r="H7282" s="8" t="s">
        <v>21</v>
      </c>
      <c r="I7282" s="8" t="s">
        <v>557</v>
      </c>
      <c r="J7282" s="8" t="s">
        <v>557</v>
      </c>
      <c r="K7282" s="8" t="s">
        <v>693</v>
      </c>
      <c r="L7282" s="8" t="s">
        <v>242</v>
      </c>
      <c r="M7282" s="8" t="s">
        <v>243</v>
      </c>
      <c r="N7282" s="8" t="s">
        <v>32295</v>
      </c>
      <c r="O7282" s="8">
        <f>22+24/60+55.7/3600</f>
        <v>22.41547222222222</v>
      </c>
      <c r="P7282" s="8" t="s">
        <v>32296</v>
      </c>
      <c r="Q7282" s="8">
        <f>+(57+50/60+25/3600)</f>
        <v>57.840277777777779</v>
      </c>
      <c r="R7282" s="8">
        <v>99</v>
      </c>
      <c r="S7282" s="8">
        <v>99</v>
      </c>
      <c r="T7282" s="8">
        <v>99</v>
      </c>
      <c r="U7282" s="8">
        <v>99</v>
      </c>
      <c r="V7282" s="8">
        <v>12</v>
      </c>
      <c r="Y7282" s="8" t="s">
        <v>32297</v>
      </c>
      <c r="Z7282" s="8" t="s">
        <v>32298</v>
      </c>
    </row>
    <row r="7283" spans="1:26" x14ac:dyDescent="0.2">
      <c r="A7283" s="8">
        <v>7282</v>
      </c>
      <c r="B7283" s="8" t="s">
        <v>32299</v>
      </c>
      <c r="C7283" s="8" t="s">
        <v>32299</v>
      </c>
      <c r="F7283" s="47"/>
      <c r="G7283" s="8">
        <v>19</v>
      </c>
      <c r="H7283" s="8" t="s">
        <v>21</v>
      </c>
      <c r="I7283" s="8" t="s">
        <v>22</v>
      </c>
      <c r="J7283" s="8" t="s">
        <v>22</v>
      </c>
      <c r="K7283" s="8" t="s">
        <v>218</v>
      </c>
      <c r="L7283" s="8" t="s">
        <v>31943</v>
      </c>
      <c r="M7283" s="8" t="s">
        <v>31944</v>
      </c>
      <c r="N7283" s="8" t="s">
        <v>32300</v>
      </c>
      <c r="O7283" s="8">
        <f>22+25/60+53.9/3600</f>
        <v>22.431638888888891</v>
      </c>
      <c r="P7283" s="8" t="s">
        <v>32301</v>
      </c>
      <c r="Q7283" s="8">
        <f>+(40+18/60+56/3600)</f>
        <v>40.315555555555555</v>
      </c>
      <c r="R7283" s="8">
        <v>13.7</v>
      </c>
      <c r="S7283" s="8">
        <v>14.5</v>
      </c>
      <c r="T7283" s="8">
        <v>0.8</v>
      </c>
      <c r="U7283" s="8">
        <v>14.5</v>
      </c>
      <c r="V7283" s="8">
        <v>2.5</v>
      </c>
      <c r="W7283" s="8">
        <v>1</v>
      </c>
      <c r="X7283" s="8">
        <v>15</v>
      </c>
      <c r="Y7283" s="8" t="s">
        <v>32302</v>
      </c>
      <c r="Z7283" s="8" t="s">
        <v>32303</v>
      </c>
    </row>
    <row r="7284" spans="1:26" x14ac:dyDescent="0.2">
      <c r="A7284" s="8">
        <v>7283</v>
      </c>
      <c r="B7284" s="8" t="s">
        <v>32304</v>
      </c>
      <c r="C7284" s="8" t="s">
        <v>32304</v>
      </c>
      <c r="F7284" s="47"/>
      <c r="G7284" s="8">
        <v>18</v>
      </c>
      <c r="H7284" s="8" t="s">
        <v>21</v>
      </c>
      <c r="I7284" s="8" t="s">
        <v>22</v>
      </c>
      <c r="J7284" s="8" t="s">
        <v>22</v>
      </c>
      <c r="K7284" s="8" t="s">
        <v>23</v>
      </c>
      <c r="L7284" s="8" t="s">
        <v>24</v>
      </c>
      <c r="M7284" s="8" t="s">
        <v>25</v>
      </c>
      <c r="N7284" s="8" t="s">
        <v>32305</v>
      </c>
      <c r="O7284" s="8">
        <f>22+28/60+32.7/3600</f>
        <v>22.475749999999998</v>
      </c>
      <c r="P7284" s="8" t="s">
        <v>32306</v>
      </c>
      <c r="Q7284" s="8">
        <f>+(17+28/60+15/3600)</f>
        <v>17.470833333333331</v>
      </c>
      <c r="R7284" s="8">
        <v>14.5</v>
      </c>
      <c r="S7284" s="8">
        <v>15.3</v>
      </c>
      <c r="T7284" s="8">
        <v>0.8</v>
      </c>
      <c r="U7284" s="8">
        <v>13.2</v>
      </c>
      <c r="V7284" s="8">
        <v>0.9</v>
      </c>
      <c r="W7284" s="8">
        <v>0.4</v>
      </c>
      <c r="X7284" s="8">
        <v>9</v>
      </c>
      <c r="Y7284" s="8" t="s">
        <v>421</v>
      </c>
      <c r="Z7284" s="8" t="s">
        <v>422</v>
      </c>
    </row>
    <row r="7285" spans="1:26" x14ac:dyDescent="0.2">
      <c r="A7285" s="8">
        <v>7284</v>
      </c>
      <c r="B7285" s="8" t="s">
        <v>32307</v>
      </c>
      <c r="C7285" s="8" t="s">
        <v>32307</v>
      </c>
      <c r="F7285" s="47" t="s">
        <v>58330</v>
      </c>
      <c r="G7285" s="8">
        <v>15</v>
      </c>
      <c r="H7285" s="8" t="s">
        <v>21</v>
      </c>
      <c r="I7285" s="8" t="s">
        <v>22</v>
      </c>
      <c r="J7285" s="8" t="s">
        <v>22</v>
      </c>
      <c r="K7285" s="8" t="s">
        <v>224</v>
      </c>
      <c r="L7285" s="8" t="s">
        <v>30854</v>
      </c>
      <c r="M7285" s="8" t="s">
        <v>30855</v>
      </c>
      <c r="N7285" s="8" t="s">
        <v>32308</v>
      </c>
      <c r="O7285" s="8">
        <f>22+28/60+35.8/3600</f>
        <v>22.476611111111108</v>
      </c>
      <c r="P7285" s="8" t="s">
        <v>32309</v>
      </c>
      <c r="Q7285" s="8">
        <f>-(24+50/60+40/3600)</f>
        <v>-24.844444444444445</v>
      </c>
      <c r="R7285" s="8">
        <v>12.1</v>
      </c>
      <c r="S7285" s="8">
        <v>13.1</v>
      </c>
      <c r="T7285" s="8">
        <v>1</v>
      </c>
      <c r="U7285" s="8">
        <v>13.2</v>
      </c>
      <c r="V7285" s="8">
        <v>2.2999999999999998</v>
      </c>
      <c r="W7285" s="8">
        <v>1.6</v>
      </c>
      <c r="X7285" s="8">
        <v>133</v>
      </c>
      <c r="Y7285" s="8" t="s">
        <v>32310</v>
      </c>
      <c r="Z7285" s="8" t="s">
        <v>32311</v>
      </c>
    </row>
    <row r="7286" spans="1:26" x14ac:dyDescent="0.2">
      <c r="A7286" s="8">
        <v>7285</v>
      </c>
      <c r="B7286" s="8" t="s">
        <v>32312</v>
      </c>
      <c r="C7286" s="8" t="s">
        <v>32312</v>
      </c>
      <c r="F7286" s="47"/>
      <c r="G7286" s="8">
        <v>18</v>
      </c>
      <c r="H7286" s="8" t="s">
        <v>21</v>
      </c>
      <c r="I7286" s="8" t="s">
        <v>22</v>
      </c>
      <c r="J7286" s="8" t="s">
        <v>22</v>
      </c>
      <c r="K7286" s="8" t="s">
        <v>154</v>
      </c>
      <c r="L7286" s="8" t="s">
        <v>30854</v>
      </c>
      <c r="M7286" s="8" t="s">
        <v>30855</v>
      </c>
      <c r="N7286" s="8" t="s">
        <v>32313</v>
      </c>
      <c r="O7286" s="8">
        <f>22+28/60+37.8/3600</f>
        <v>22.477166666666665</v>
      </c>
      <c r="P7286" s="8" t="s">
        <v>32314</v>
      </c>
      <c r="Q7286" s="8">
        <f>-(24+50/60+26/3600)</f>
        <v>-24.840555555555554</v>
      </c>
      <c r="R7286" s="8">
        <v>11.9</v>
      </c>
      <c r="S7286" s="8">
        <v>12.8</v>
      </c>
      <c r="T7286" s="8">
        <v>0.9</v>
      </c>
      <c r="U7286" s="8">
        <v>13</v>
      </c>
      <c r="V7286" s="8">
        <v>2.1</v>
      </c>
      <c r="W7286" s="8">
        <v>1.5</v>
      </c>
      <c r="X7286" s="8">
        <v>100</v>
      </c>
      <c r="Y7286" s="8" t="s">
        <v>32310</v>
      </c>
      <c r="Z7286" s="8" t="s">
        <v>32315</v>
      </c>
    </row>
    <row r="7287" spans="1:26" x14ac:dyDescent="0.2">
      <c r="A7287" s="8">
        <v>7286</v>
      </c>
      <c r="B7287" s="8" t="s">
        <v>32316</v>
      </c>
      <c r="C7287" s="8" t="s">
        <v>32316</v>
      </c>
      <c r="F7287" s="47"/>
      <c r="G7287" s="8">
        <v>16</v>
      </c>
      <c r="H7287" s="8" t="s">
        <v>21</v>
      </c>
      <c r="I7287" s="8" t="s">
        <v>22</v>
      </c>
      <c r="J7287" s="8" t="s">
        <v>22</v>
      </c>
      <c r="K7287" s="8" t="s">
        <v>632</v>
      </c>
      <c r="L7287" s="8" t="s">
        <v>24</v>
      </c>
      <c r="M7287" s="8" t="s">
        <v>25</v>
      </c>
      <c r="N7287" s="8" t="s">
        <v>32317</v>
      </c>
      <c r="O7287" s="8">
        <f>22+27/60+50.5/3600</f>
        <v>22.464027777777776</v>
      </c>
      <c r="P7287" s="8" t="s">
        <v>32318</v>
      </c>
      <c r="Q7287" s="8">
        <f>+(29+5/60+48/3600)</f>
        <v>29.096666666666664</v>
      </c>
      <c r="R7287" s="8">
        <v>12.5</v>
      </c>
      <c r="S7287" s="8">
        <v>13.4</v>
      </c>
      <c r="T7287" s="8">
        <v>0.9</v>
      </c>
      <c r="U7287" s="8">
        <v>12.5</v>
      </c>
      <c r="V7287" s="8">
        <v>1.6</v>
      </c>
      <c r="W7287" s="8">
        <v>0.7</v>
      </c>
      <c r="X7287" s="8">
        <v>98</v>
      </c>
      <c r="Y7287" s="8" t="s">
        <v>32319</v>
      </c>
      <c r="Z7287" s="8" t="s">
        <v>32320</v>
      </c>
    </row>
    <row r="7288" spans="1:26" x14ac:dyDescent="0.2">
      <c r="A7288" s="8">
        <v>7287</v>
      </c>
      <c r="B7288" s="8" t="s">
        <v>32321</v>
      </c>
      <c r="C7288" s="8" t="s">
        <v>32321</v>
      </c>
      <c r="F7288" s="47"/>
      <c r="G7288" s="8">
        <v>19</v>
      </c>
      <c r="H7288" s="8" t="s">
        <v>21</v>
      </c>
      <c r="I7288" s="8" t="s">
        <v>72</v>
      </c>
      <c r="J7288" s="8" t="s">
        <v>72</v>
      </c>
      <c r="K7288" s="8" t="s">
        <v>73</v>
      </c>
      <c r="L7288" s="8" t="s">
        <v>30854</v>
      </c>
      <c r="M7288" s="8" t="s">
        <v>30855</v>
      </c>
      <c r="N7288" s="8" t="s">
        <v>32322</v>
      </c>
      <c r="O7288" s="8">
        <f>22+28/60+32/3600</f>
        <v>22.475555555555555</v>
      </c>
      <c r="P7288" s="8" t="s">
        <v>32323</v>
      </c>
      <c r="Q7288" s="8">
        <f>-(22+8/60+0/3600)</f>
        <v>-22.133333333333333</v>
      </c>
      <c r="R7288" s="8">
        <v>99</v>
      </c>
      <c r="S7288" s="8">
        <v>99</v>
      </c>
      <c r="T7288" s="8">
        <v>99</v>
      </c>
      <c r="U7288" s="8">
        <v>99</v>
      </c>
      <c r="Y7288" s="8" t="s">
        <v>32324</v>
      </c>
      <c r="Z7288" s="8" t="s">
        <v>32325</v>
      </c>
    </row>
    <row r="7289" spans="1:26" x14ac:dyDescent="0.2">
      <c r="A7289" s="8">
        <v>7288</v>
      </c>
      <c r="B7289" s="8" t="s">
        <v>32326</v>
      </c>
      <c r="C7289" s="8" t="s">
        <v>32326</v>
      </c>
      <c r="F7289" s="47"/>
      <c r="G7289" s="8">
        <v>18</v>
      </c>
      <c r="H7289" s="8" t="s">
        <v>21</v>
      </c>
      <c r="I7289" s="8" t="s">
        <v>22</v>
      </c>
      <c r="J7289" s="8" t="s">
        <v>22</v>
      </c>
      <c r="K7289" s="8" t="s">
        <v>632</v>
      </c>
      <c r="L7289" s="8" t="s">
        <v>30854</v>
      </c>
      <c r="M7289" s="8" t="s">
        <v>30855</v>
      </c>
      <c r="N7289" s="8" t="s">
        <v>32327</v>
      </c>
      <c r="O7289" s="8">
        <f>22+28/60+14.9/3600</f>
        <v>22.470805555555554</v>
      </c>
      <c r="P7289" s="8" t="s">
        <v>32328</v>
      </c>
      <c r="Q7289" s="8">
        <f>-(2+53/60+5/3600)</f>
        <v>-2.8847222222222224</v>
      </c>
      <c r="R7289" s="8">
        <v>13</v>
      </c>
      <c r="S7289" s="8">
        <v>13.9</v>
      </c>
      <c r="T7289" s="8">
        <v>0.9</v>
      </c>
      <c r="U7289" s="8">
        <v>14.2</v>
      </c>
      <c r="V7289" s="8">
        <v>2.2999999999999998</v>
      </c>
      <c r="W7289" s="8">
        <v>1.5</v>
      </c>
      <c r="X7289" s="8">
        <v>95</v>
      </c>
      <c r="Y7289" s="8" t="s">
        <v>4787</v>
      </c>
      <c r="Z7289" s="8" t="s">
        <v>2313</v>
      </c>
    </row>
    <row r="7290" spans="1:26" x14ac:dyDescent="0.2">
      <c r="A7290" s="8">
        <v>7289</v>
      </c>
      <c r="B7290" s="8" t="s">
        <v>32329</v>
      </c>
      <c r="C7290" s="8" t="s">
        <v>32329</v>
      </c>
      <c r="F7290" s="47"/>
      <c r="G7290" s="8">
        <v>16</v>
      </c>
      <c r="H7290" s="8" t="s">
        <v>21</v>
      </c>
      <c r="I7290" s="8" t="s">
        <v>22</v>
      </c>
      <c r="J7290" s="8" t="s">
        <v>22</v>
      </c>
      <c r="K7290" s="8" t="s">
        <v>37</v>
      </c>
      <c r="L7290" s="8" t="s">
        <v>31565</v>
      </c>
      <c r="M7290" s="8" t="s">
        <v>31566</v>
      </c>
      <c r="N7290" s="8" t="s">
        <v>32330</v>
      </c>
      <c r="O7290" s="8">
        <f>22+29/60+20.1/3600</f>
        <v>22.488916666666668</v>
      </c>
      <c r="P7290" s="8" t="s">
        <v>32331</v>
      </c>
      <c r="Q7290" s="8">
        <f>-(35+28/60+19/3600)</f>
        <v>-35.471944444444446</v>
      </c>
      <c r="R7290" s="8">
        <v>13.1</v>
      </c>
      <c r="S7290" s="8">
        <v>14.1</v>
      </c>
      <c r="T7290" s="8">
        <v>1</v>
      </c>
      <c r="U7290" s="8">
        <v>13.5</v>
      </c>
      <c r="V7290" s="8">
        <v>1.3</v>
      </c>
      <c r="W7290" s="8">
        <v>1</v>
      </c>
      <c r="X7290" s="8">
        <v>165</v>
      </c>
      <c r="Y7290" s="8" t="s">
        <v>750</v>
      </c>
      <c r="Z7290" s="8" t="s">
        <v>751</v>
      </c>
    </row>
    <row r="7291" spans="1:26" x14ac:dyDescent="0.2">
      <c r="A7291" s="8">
        <v>7290</v>
      </c>
      <c r="B7291" s="8" t="s">
        <v>32332</v>
      </c>
      <c r="C7291" s="8" t="s">
        <v>32332</v>
      </c>
      <c r="F7291" s="47"/>
      <c r="G7291" s="8">
        <v>18</v>
      </c>
      <c r="H7291" s="8" t="s">
        <v>21</v>
      </c>
      <c r="I7291" s="8" t="s">
        <v>22</v>
      </c>
      <c r="J7291" s="8" t="s">
        <v>22</v>
      </c>
      <c r="K7291" s="8" t="s">
        <v>396</v>
      </c>
      <c r="L7291" s="8" t="s">
        <v>24</v>
      </c>
      <c r="M7291" s="8" t="s">
        <v>25</v>
      </c>
      <c r="N7291" s="8" t="s">
        <v>32333</v>
      </c>
      <c r="O7291" s="8">
        <f>22+28/60+26.5/3600</f>
        <v>22.474027777777778</v>
      </c>
      <c r="P7291" s="8" t="s">
        <v>32334</v>
      </c>
      <c r="Q7291" s="8">
        <f>+(17+8/60+52/3600)</f>
        <v>17.147777777777776</v>
      </c>
      <c r="R7291" s="8">
        <v>13.3</v>
      </c>
      <c r="S7291" s="8">
        <v>13.9</v>
      </c>
      <c r="T7291" s="8">
        <v>0.6</v>
      </c>
      <c r="U7291" s="8">
        <v>13.6</v>
      </c>
      <c r="V7291" s="8">
        <v>1.6</v>
      </c>
      <c r="W7291" s="8">
        <v>1</v>
      </c>
      <c r="X7291" s="8">
        <v>161</v>
      </c>
      <c r="Y7291" s="8" t="s">
        <v>17255</v>
      </c>
      <c r="Z7291" s="8" t="s">
        <v>17256</v>
      </c>
    </row>
    <row r="7292" spans="1:26" x14ac:dyDescent="0.2">
      <c r="A7292" s="8">
        <v>7291</v>
      </c>
      <c r="B7292" s="8" t="s">
        <v>32335</v>
      </c>
      <c r="C7292" s="8" t="s">
        <v>32335</v>
      </c>
      <c r="F7292" s="47"/>
      <c r="G7292" s="8">
        <v>18</v>
      </c>
      <c r="H7292" s="8" t="s">
        <v>21</v>
      </c>
      <c r="I7292" s="8" t="s">
        <v>22</v>
      </c>
      <c r="J7292" s="8" t="s">
        <v>22</v>
      </c>
      <c r="K7292" s="8" t="s">
        <v>37</v>
      </c>
      <c r="L7292" s="8" t="s">
        <v>24</v>
      </c>
      <c r="M7292" s="8" t="s">
        <v>25</v>
      </c>
      <c r="N7292" s="8" t="s">
        <v>32336</v>
      </c>
      <c r="O7292" s="8">
        <f>22+28/60+29.4/3600</f>
        <v>22.474833333333333</v>
      </c>
      <c r="P7292" s="8" t="s">
        <v>32337</v>
      </c>
      <c r="Q7292" s="8">
        <f>+(16+47/60+1/3600)</f>
        <v>16.783611111111114</v>
      </c>
      <c r="R7292" s="8">
        <v>13.1</v>
      </c>
      <c r="S7292" s="8">
        <v>14.1</v>
      </c>
      <c r="T7292" s="8">
        <v>1</v>
      </c>
      <c r="U7292" s="8">
        <v>14.2</v>
      </c>
      <c r="V7292" s="8">
        <v>1.8</v>
      </c>
      <c r="W7292" s="8">
        <v>1.7</v>
      </c>
      <c r="X7292" s="8">
        <v>54</v>
      </c>
      <c r="Y7292" s="8" t="s">
        <v>32338</v>
      </c>
      <c r="Z7292" s="8" t="s">
        <v>32339</v>
      </c>
    </row>
    <row r="7293" spans="1:26" x14ac:dyDescent="0.2">
      <c r="A7293" s="8">
        <v>7292</v>
      </c>
      <c r="B7293" s="8" t="s">
        <v>32340</v>
      </c>
      <c r="C7293" s="8" t="s">
        <v>32340</v>
      </c>
      <c r="F7293" s="47"/>
      <c r="G7293" s="8">
        <v>18</v>
      </c>
      <c r="H7293" s="8" t="s">
        <v>21</v>
      </c>
      <c r="I7293" s="8" t="s">
        <v>22</v>
      </c>
      <c r="J7293" s="8" t="s">
        <v>22</v>
      </c>
      <c r="K7293" s="8" t="s">
        <v>107</v>
      </c>
      <c r="L7293" s="8" t="s">
        <v>24</v>
      </c>
      <c r="M7293" s="8" t="s">
        <v>25</v>
      </c>
      <c r="N7293" s="8" t="s">
        <v>32341</v>
      </c>
      <c r="O7293" s="8">
        <f>22+28/60+25.7/3600</f>
        <v>22.473805555555554</v>
      </c>
      <c r="P7293" s="8" t="s">
        <v>32342</v>
      </c>
      <c r="Q7293" s="8">
        <f>+(30+17/60+35/3600)</f>
        <v>30.293055555555558</v>
      </c>
      <c r="R7293" s="8">
        <v>12.5</v>
      </c>
      <c r="S7293" s="8">
        <v>13</v>
      </c>
      <c r="T7293" s="8">
        <v>0.5</v>
      </c>
      <c r="U7293" s="8">
        <v>13.8</v>
      </c>
      <c r="V7293" s="8">
        <v>2.1</v>
      </c>
      <c r="W7293" s="8">
        <v>1.6</v>
      </c>
      <c r="X7293" s="8">
        <v>117</v>
      </c>
      <c r="Y7293" s="8" t="s">
        <v>32343</v>
      </c>
      <c r="Z7293" s="8" t="s">
        <v>32344</v>
      </c>
    </row>
    <row r="7294" spans="1:26" x14ac:dyDescent="0.2">
      <c r="A7294" s="8">
        <v>7293</v>
      </c>
      <c r="B7294" s="8" t="s">
        <v>32345</v>
      </c>
      <c r="C7294" s="8" t="s">
        <v>32345</v>
      </c>
      <c r="F7294" s="47"/>
      <c r="G7294" s="8">
        <v>2</v>
      </c>
      <c r="H7294" s="8" t="s">
        <v>32346</v>
      </c>
      <c r="I7294" s="8" t="s">
        <v>241</v>
      </c>
      <c r="J7294" s="8" t="s">
        <v>241</v>
      </c>
      <c r="K7294" s="8" t="s">
        <v>241</v>
      </c>
      <c r="L7294" s="8" t="s">
        <v>30854</v>
      </c>
      <c r="M7294" s="8" t="s">
        <v>30855</v>
      </c>
      <c r="N7294" s="8" t="s">
        <v>32347</v>
      </c>
      <c r="O7294" s="8">
        <f>22+29/60+38.4/3600</f>
        <v>22.494</v>
      </c>
      <c r="P7294" s="8" t="s">
        <v>32348</v>
      </c>
      <c r="Q7294" s="8">
        <f>-(20+50/60+11/3600)</f>
        <v>-20.836388888888887</v>
      </c>
      <c r="R7294" s="8">
        <v>7.3</v>
      </c>
      <c r="S7294" s="8">
        <v>7.5</v>
      </c>
      <c r="T7294" s="8">
        <v>99</v>
      </c>
      <c r="U7294" s="8">
        <v>99</v>
      </c>
      <c r="V7294" s="8">
        <v>17.57</v>
      </c>
      <c r="Y7294" s="8" t="s">
        <v>32349</v>
      </c>
      <c r="Z7294" s="8" t="s">
        <v>32350</v>
      </c>
    </row>
    <row r="7295" spans="1:26" x14ac:dyDescent="0.2">
      <c r="A7295" s="8">
        <v>7294</v>
      </c>
      <c r="B7295" s="8" t="s">
        <v>32351</v>
      </c>
      <c r="C7295" s="8" t="s">
        <v>32351</v>
      </c>
      <c r="F7295" s="47"/>
      <c r="G7295" s="8">
        <v>19</v>
      </c>
      <c r="H7295" s="8" t="s">
        <v>21</v>
      </c>
      <c r="I7295" s="8" t="s">
        <v>22</v>
      </c>
      <c r="J7295" s="8" t="s">
        <v>22</v>
      </c>
      <c r="K7295" s="8" t="s">
        <v>224</v>
      </c>
      <c r="L7295" s="8" t="s">
        <v>31565</v>
      </c>
      <c r="M7295" s="8" t="s">
        <v>31566</v>
      </c>
      <c r="N7295" s="8" t="s">
        <v>32352</v>
      </c>
      <c r="O7295" s="8">
        <f>22+32/60+7.8/3600</f>
        <v>22.535500000000003</v>
      </c>
      <c r="P7295" s="8" t="s">
        <v>32353</v>
      </c>
      <c r="Q7295" s="8">
        <f>-(25+23/60+53/3600)</f>
        <v>-25.398055555555555</v>
      </c>
      <c r="R7295" s="8">
        <v>12.5</v>
      </c>
      <c r="S7295" s="8">
        <v>13.5</v>
      </c>
      <c r="T7295" s="8">
        <v>1</v>
      </c>
      <c r="U7295" s="8">
        <v>13.3</v>
      </c>
      <c r="V7295" s="8">
        <v>2</v>
      </c>
      <c r="W7295" s="8">
        <v>1.2</v>
      </c>
      <c r="X7295" s="8">
        <v>47</v>
      </c>
      <c r="Y7295" s="8" t="s">
        <v>421</v>
      </c>
      <c r="Z7295" s="8" t="s">
        <v>422</v>
      </c>
    </row>
    <row r="7296" spans="1:26" x14ac:dyDescent="0.2">
      <c r="A7296" s="8">
        <v>7295</v>
      </c>
      <c r="B7296" s="8" t="s">
        <v>32354</v>
      </c>
      <c r="C7296" s="8" t="s">
        <v>32354</v>
      </c>
      <c r="F7296" s="47"/>
      <c r="G7296" s="8">
        <v>16</v>
      </c>
      <c r="H7296" s="8" t="s">
        <v>21</v>
      </c>
      <c r="I7296" s="8" t="s">
        <v>557</v>
      </c>
      <c r="J7296" s="8" t="s">
        <v>57</v>
      </c>
      <c r="K7296" s="8" t="s">
        <v>557</v>
      </c>
      <c r="L7296" s="8" t="s">
        <v>31943</v>
      </c>
      <c r="M7296" s="8" t="s">
        <v>31944</v>
      </c>
      <c r="N7296" s="8" t="s">
        <v>32355</v>
      </c>
      <c r="O7296" s="8">
        <f>22+28/60+2/3600</f>
        <v>22.467222222222219</v>
      </c>
      <c r="P7296" s="8" t="s">
        <v>32356</v>
      </c>
      <c r="Q7296" s="8">
        <f>+(52+17/60+18/3600)</f>
        <v>52.288333333333334</v>
      </c>
      <c r="R7296" s="8">
        <v>99</v>
      </c>
      <c r="S7296" s="8">
        <v>9.6999999999999993</v>
      </c>
      <c r="T7296" s="8">
        <v>99</v>
      </c>
      <c r="U7296" s="8">
        <v>99</v>
      </c>
      <c r="V7296" s="8">
        <v>4</v>
      </c>
      <c r="Y7296" s="8" t="s">
        <v>32357</v>
      </c>
      <c r="Z7296" s="8" t="s">
        <v>32358</v>
      </c>
    </row>
    <row r="7297" spans="1:26" x14ac:dyDescent="0.2">
      <c r="A7297" s="8">
        <v>7296</v>
      </c>
      <c r="B7297" s="8" t="s">
        <v>32359</v>
      </c>
      <c r="C7297" s="8" t="s">
        <v>32359</v>
      </c>
      <c r="F7297" s="47" t="s">
        <v>58331</v>
      </c>
      <c r="G7297" s="8">
        <v>6</v>
      </c>
      <c r="H7297" s="8" t="s">
        <v>21</v>
      </c>
      <c r="I7297" s="8" t="s">
        <v>557</v>
      </c>
      <c r="J7297" s="8" t="s">
        <v>557</v>
      </c>
      <c r="K7297" s="8" t="s">
        <v>557</v>
      </c>
      <c r="L7297" s="8" t="s">
        <v>31943</v>
      </c>
      <c r="M7297" s="8" t="s">
        <v>31944</v>
      </c>
      <c r="N7297" s="8" t="s">
        <v>32355</v>
      </c>
      <c r="O7297" s="8">
        <f>22+28/60+2/3600</f>
        <v>22.467222222222219</v>
      </c>
      <c r="P7297" s="8" t="s">
        <v>32356</v>
      </c>
      <c r="Q7297" s="8">
        <f>+(52+17/60+18/3600)</f>
        <v>52.288333333333334</v>
      </c>
      <c r="R7297" s="8">
        <v>99</v>
      </c>
      <c r="S7297" s="8">
        <v>9.6999999999999993</v>
      </c>
      <c r="T7297" s="8">
        <v>99</v>
      </c>
      <c r="U7297" s="8">
        <v>99</v>
      </c>
      <c r="V7297" s="8">
        <v>4</v>
      </c>
      <c r="Y7297" s="8" t="s">
        <v>32357</v>
      </c>
      <c r="Z7297" s="8" t="s">
        <v>32360</v>
      </c>
    </row>
    <row r="7298" spans="1:26" x14ac:dyDescent="0.2">
      <c r="A7298" s="8">
        <v>7297</v>
      </c>
      <c r="B7298" s="8" t="s">
        <v>32361</v>
      </c>
      <c r="C7298" s="8" t="s">
        <v>32361</v>
      </c>
      <c r="F7298" s="47"/>
      <c r="G7298" s="8">
        <v>16</v>
      </c>
      <c r="H7298" s="8" t="s">
        <v>21</v>
      </c>
      <c r="I7298" s="8" t="s">
        <v>22</v>
      </c>
      <c r="J7298" s="8" t="s">
        <v>22</v>
      </c>
      <c r="K7298" s="8" t="s">
        <v>396</v>
      </c>
      <c r="L7298" s="8" t="s">
        <v>31389</v>
      </c>
      <c r="M7298" s="8" t="s">
        <v>31390</v>
      </c>
      <c r="N7298" s="8" t="s">
        <v>32362</v>
      </c>
      <c r="O7298" s="8">
        <f>22+31/60+10.2/3600</f>
        <v>22.519500000000001</v>
      </c>
      <c r="P7298" s="8" t="s">
        <v>32363</v>
      </c>
      <c r="Q7298" s="8">
        <f>-(37+49/60+37/3600)</f>
        <v>-37.82694444444445</v>
      </c>
      <c r="R7298" s="8">
        <v>13.2</v>
      </c>
      <c r="S7298" s="8">
        <v>14</v>
      </c>
      <c r="T7298" s="8">
        <v>0.8</v>
      </c>
      <c r="U7298" s="8">
        <v>12.3</v>
      </c>
      <c r="V7298" s="8">
        <v>0.9</v>
      </c>
      <c r="W7298" s="8">
        <v>0.6</v>
      </c>
      <c r="X7298" s="8">
        <v>130</v>
      </c>
      <c r="Y7298" s="8" t="s">
        <v>13454</v>
      </c>
      <c r="Z7298" s="8" t="s">
        <v>4855</v>
      </c>
    </row>
    <row r="7299" spans="1:26" x14ac:dyDescent="0.2">
      <c r="A7299" s="8">
        <v>7298</v>
      </c>
      <c r="B7299" s="8" t="s">
        <v>32364</v>
      </c>
      <c r="C7299" s="8" t="s">
        <v>32364</v>
      </c>
      <c r="F7299" s="47"/>
      <c r="G7299" s="8">
        <v>18</v>
      </c>
      <c r="H7299" s="8" t="s">
        <v>21</v>
      </c>
      <c r="I7299" s="8" t="s">
        <v>22</v>
      </c>
      <c r="J7299" s="8" t="s">
        <v>22</v>
      </c>
      <c r="K7299" s="8" t="s">
        <v>160</v>
      </c>
      <c r="L7299" s="8" t="s">
        <v>30854</v>
      </c>
      <c r="M7299" s="8" t="s">
        <v>30855</v>
      </c>
      <c r="N7299" s="8" t="s">
        <v>32365</v>
      </c>
      <c r="O7299" s="8">
        <f>22+30/60+50.6/3600</f>
        <v>22.514055555555554</v>
      </c>
      <c r="P7299" s="8" t="s">
        <v>32366</v>
      </c>
      <c r="Q7299" s="8">
        <f>-(14+11/60+19/3600)</f>
        <v>-14.188611111111111</v>
      </c>
      <c r="R7299" s="8">
        <v>13.7</v>
      </c>
      <c r="S7299" s="8">
        <v>14.3</v>
      </c>
      <c r="T7299" s="8">
        <v>0.6</v>
      </c>
      <c r="U7299" s="8">
        <v>14</v>
      </c>
      <c r="V7299" s="8">
        <v>1.3</v>
      </c>
      <c r="W7299" s="8">
        <v>1.1000000000000001</v>
      </c>
      <c r="X7299" s="8">
        <v>5</v>
      </c>
      <c r="Y7299" s="8" t="s">
        <v>13422</v>
      </c>
      <c r="Z7299" s="8" t="s">
        <v>13423</v>
      </c>
    </row>
    <row r="7300" spans="1:26" x14ac:dyDescent="0.2">
      <c r="A7300" s="8">
        <v>7299</v>
      </c>
      <c r="B7300" s="8" t="s">
        <v>32367</v>
      </c>
      <c r="C7300" s="8" t="s">
        <v>32367</v>
      </c>
      <c r="F7300" s="47"/>
      <c r="G7300" s="8">
        <v>16</v>
      </c>
      <c r="H7300" s="8" t="s">
        <v>21</v>
      </c>
      <c r="I7300" s="8" t="s">
        <v>22</v>
      </c>
      <c r="J7300" s="8" t="s">
        <v>22</v>
      </c>
      <c r="K7300" s="8" t="s">
        <v>64</v>
      </c>
      <c r="L7300" s="8" t="s">
        <v>31389</v>
      </c>
      <c r="M7300" s="8" t="s">
        <v>31390</v>
      </c>
      <c r="N7300" s="8" t="s">
        <v>32368</v>
      </c>
      <c r="O7300" s="8">
        <f>22+31/60+33/3600</f>
        <v>22.525833333333331</v>
      </c>
      <c r="P7300" s="8" t="s">
        <v>32369</v>
      </c>
      <c r="Q7300" s="8">
        <f>-(37+48/60+35/3600)</f>
        <v>-37.80972222222222</v>
      </c>
      <c r="R7300" s="8">
        <v>14.1</v>
      </c>
      <c r="S7300" s="8">
        <v>14.8</v>
      </c>
      <c r="T7300" s="8">
        <v>0.7</v>
      </c>
      <c r="U7300" s="8">
        <v>13.2</v>
      </c>
      <c r="V7300" s="8">
        <v>0.7</v>
      </c>
      <c r="W7300" s="8">
        <v>0.7</v>
      </c>
      <c r="Y7300" s="8" t="s">
        <v>30338</v>
      </c>
      <c r="Z7300" s="8" t="s">
        <v>5371</v>
      </c>
    </row>
    <row r="7301" spans="1:26" x14ac:dyDescent="0.2">
      <c r="A7301" s="8">
        <v>7300</v>
      </c>
      <c r="B7301" s="8" t="s">
        <v>32370</v>
      </c>
      <c r="C7301" s="8" t="s">
        <v>32370</v>
      </c>
      <c r="F7301" s="47"/>
      <c r="G7301" s="8">
        <v>13</v>
      </c>
      <c r="H7301" s="8" t="s">
        <v>21</v>
      </c>
      <c r="I7301" s="8" t="s">
        <v>22</v>
      </c>
      <c r="J7301" s="8" t="s">
        <v>22</v>
      </c>
      <c r="K7301" s="8" t="s">
        <v>218</v>
      </c>
      <c r="L7301" s="8" t="s">
        <v>30854</v>
      </c>
      <c r="M7301" s="8" t="s">
        <v>30855</v>
      </c>
      <c r="N7301" s="8" t="s">
        <v>32371</v>
      </c>
      <c r="O7301" s="8">
        <f>22+30/60+59.9/3600</f>
        <v>22.516638888888888</v>
      </c>
      <c r="P7301" s="8" t="s">
        <v>32372</v>
      </c>
      <c r="Q7301" s="8">
        <f>-(14+0/60+11/3600)</f>
        <v>-14.003055555555555</v>
      </c>
      <c r="R7301" s="8">
        <v>12.9</v>
      </c>
      <c r="S7301" s="8">
        <v>13.6</v>
      </c>
      <c r="T7301" s="8">
        <v>0.7</v>
      </c>
      <c r="U7301" s="8">
        <v>13.5</v>
      </c>
      <c r="V7301" s="8">
        <v>2.1</v>
      </c>
      <c r="W7301" s="8">
        <v>1</v>
      </c>
      <c r="X7301" s="8">
        <v>160</v>
      </c>
      <c r="Y7301" s="8" t="s">
        <v>32373</v>
      </c>
      <c r="Z7301" s="8" t="s">
        <v>32374</v>
      </c>
    </row>
    <row r="7302" spans="1:26" x14ac:dyDescent="0.2">
      <c r="A7302" s="8">
        <v>7301</v>
      </c>
      <c r="B7302" s="8" t="s">
        <v>32375</v>
      </c>
      <c r="C7302" s="8" t="s">
        <v>32375</v>
      </c>
      <c r="F7302" s="47"/>
      <c r="G7302" s="8">
        <v>19</v>
      </c>
      <c r="H7302" s="8" t="s">
        <v>21</v>
      </c>
      <c r="I7302" s="8" t="s">
        <v>22</v>
      </c>
      <c r="J7302" s="8" t="s">
        <v>22</v>
      </c>
      <c r="K7302" s="8" t="s">
        <v>406</v>
      </c>
      <c r="L7302" s="8" t="s">
        <v>30854</v>
      </c>
      <c r="M7302" s="8" t="s">
        <v>30855</v>
      </c>
      <c r="N7302" s="8" t="s">
        <v>32376</v>
      </c>
      <c r="O7302" s="8">
        <f>22+30/60+34.8/3600</f>
        <v>22.509666666666668</v>
      </c>
      <c r="P7302" s="8" t="s">
        <v>32377</v>
      </c>
      <c r="Q7302" s="8">
        <f>-(17+34/60+25/3600)</f>
        <v>-17.573611111111109</v>
      </c>
      <c r="R7302" s="8">
        <v>13.4</v>
      </c>
      <c r="S7302" s="8">
        <v>14.2</v>
      </c>
      <c r="T7302" s="8">
        <v>0.8</v>
      </c>
      <c r="U7302" s="8">
        <v>12.4</v>
      </c>
      <c r="V7302" s="8">
        <v>1</v>
      </c>
      <c r="W7302" s="8">
        <v>0.5</v>
      </c>
      <c r="X7302" s="8">
        <v>1</v>
      </c>
      <c r="Y7302" s="8" t="s">
        <v>1230</v>
      </c>
      <c r="Z7302" s="8" t="s">
        <v>25754</v>
      </c>
    </row>
    <row r="7303" spans="1:26" x14ac:dyDescent="0.2">
      <c r="A7303" s="8">
        <v>7302</v>
      </c>
      <c r="B7303" s="8" t="s">
        <v>32378</v>
      </c>
      <c r="C7303" s="8" t="s">
        <v>32378</v>
      </c>
      <c r="F7303" s="47" t="s">
        <v>58332</v>
      </c>
      <c r="G7303" s="8">
        <v>13</v>
      </c>
      <c r="H7303" s="8" t="s">
        <v>21</v>
      </c>
      <c r="I7303" s="8" t="s">
        <v>22</v>
      </c>
      <c r="J7303" s="8" t="s">
        <v>22</v>
      </c>
      <c r="K7303" s="8" t="s">
        <v>58</v>
      </c>
      <c r="L7303" s="8" t="s">
        <v>30854</v>
      </c>
      <c r="M7303" s="8" t="s">
        <v>30855</v>
      </c>
      <c r="N7303" s="8" t="s">
        <v>32379</v>
      </c>
      <c r="O7303" s="8">
        <f>22+32/60+23.9/3600</f>
        <v>22.539972222222225</v>
      </c>
      <c r="P7303" s="8" t="s">
        <v>32380</v>
      </c>
      <c r="Q7303" s="8">
        <f>-(14+7/60+15/3600)</f>
        <v>-14.120833333333334</v>
      </c>
      <c r="R7303" s="8">
        <v>12.3</v>
      </c>
      <c r="S7303" s="8">
        <v>13.2</v>
      </c>
      <c r="T7303" s="8">
        <v>0.9</v>
      </c>
      <c r="U7303" s="8">
        <v>12.9</v>
      </c>
      <c r="V7303" s="8">
        <v>1.8</v>
      </c>
      <c r="W7303" s="8">
        <v>1.1000000000000001</v>
      </c>
      <c r="X7303" s="8">
        <v>97</v>
      </c>
      <c r="Y7303" s="8" t="s">
        <v>32381</v>
      </c>
      <c r="Z7303" s="8" t="s">
        <v>32382</v>
      </c>
    </row>
    <row r="7304" spans="1:26" x14ac:dyDescent="0.2">
      <c r="A7304" s="8">
        <v>7303</v>
      </c>
      <c r="B7304" s="8" t="s">
        <v>32383</v>
      </c>
      <c r="C7304" s="8" t="s">
        <v>32383</v>
      </c>
      <c r="F7304" s="47"/>
      <c r="G7304" s="8">
        <v>16</v>
      </c>
      <c r="H7304" s="8" t="s">
        <v>21</v>
      </c>
      <c r="I7304" s="8" t="s">
        <v>22</v>
      </c>
      <c r="J7304" s="8" t="s">
        <v>22</v>
      </c>
      <c r="K7304" s="8" t="s">
        <v>396</v>
      </c>
      <c r="L7304" s="8" t="s">
        <v>24</v>
      </c>
      <c r="M7304" s="8" t="s">
        <v>25</v>
      </c>
      <c r="N7304" s="8" t="s">
        <v>32368</v>
      </c>
      <c r="O7304" s="8">
        <f>22+31/60+33/3600</f>
        <v>22.525833333333331</v>
      </c>
      <c r="P7304" s="8" t="s">
        <v>32384</v>
      </c>
      <c r="Q7304" s="8">
        <f>+(30+57/60+24/3600)</f>
        <v>30.956666666666667</v>
      </c>
      <c r="R7304" s="8">
        <v>12.8</v>
      </c>
      <c r="S7304" s="8">
        <v>13.6</v>
      </c>
      <c r="T7304" s="8">
        <v>0.8</v>
      </c>
      <c r="U7304" s="8">
        <v>13.2</v>
      </c>
      <c r="V7304" s="8">
        <v>1.5</v>
      </c>
      <c r="W7304" s="8">
        <v>1.1000000000000001</v>
      </c>
      <c r="X7304" s="8">
        <v>125</v>
      </c>
      <c r="Y7304" s="8" t="s">
        <v>32385</v>
      </c>
      <c r="Z7304" s="8" t="s">
        <v>32386</v>
      </c>
    </row>
    <row r="7305" spans="1:26" x14ac:dyDescent="0.2">
      <c r="A7305" s="8">
        <v>7304</v>
      </c>
      <c r="B7305" s="8" t="s">
        <v>32387</v>
      </c>
      <c r="C7305" s="8" t="s">
        <v>32387</v>
      </c>
      <c r="F7305" s="47"/>
      <c r="G7305" s="8">
        <v>18</v>
      </c>
      <c r="H7305" s="8" t="s">
        <v>21</v>
      </c>
      <c r="I7305" s="8" t="s">
        <v>72</v>
      </c>
      <c r="J7305" s="8" t="s">
        <v>72</v>
      </c>
      <c r="K7305" s="8" t="s">
        <v>1802</v>
      </c>
      <c r="L7305" s="8" t="s">
        <v>24</v>
      </c>
      <c r="M7305" s="8" t="s">
        <v>25</v>
      </c>
      <c r="N7305" s="8" t="s">
        <v>32388</v>
      </c>
      <c r="O7305" s="8">
        <f>22+31/60+44.4/3600</f>
        <v>22.529</v>
      </c>
      <c r="P7305" s="8" t="s">
        <v>32389</v>
      </c>
      <c r="Q7305" s="8">
        <f>+(30+58/60+49/3600)</f>
        <v>30.980277777777776</v>
      </c>
      <c r="R7305" s="8">
        <v>99</v>
      </c>
      <c r="S7305" s="8">
        <v>99</v>
      </c>
      <c r="T7305" s="8">
        <v>99</v>
      </c>
      <c r="U7305" s="8">
        <v>99</v>
      </c>
      <c r="Y7305" s="8" t="s">
        <v>32390</v>
      </c>
      <c r="Z7305" s="8" t="s">
        <v>32391</v>
      </c>
    </row>
    <row r="7306" spans="1:26" x14ac:dyDescent="0.2">
      <c r="A7306" s="8">
        <v>7305</v>
      </c>
      <c r="B7306" s="8" t="s">
        <v>32392</v>
      </c>
      <c r="C7306" s="8" t="s">
        <v>32392</v>
      </c>
      <c r="F7306" s="47"/>
      <c r="G7306" s="8">
        <v>19</v>
      </c>
      <c r="H7306" s="8" t="s">
        <v>21</v>
      </c>
      <c r="I7306" s="8" t="s">
        <v>22</v>
      </c>
      <c r="J7306" s="8" t="s">
        <v>22</v>
      </c>
      <c r="K7306" s="8" t="s">
        <v>58</v>
      </c>
      <c r="L7306" s="8" t="s">
        <v>24</v>
      </c>
      <c r="M7306" s="8" t="s">
        <v>25</v>
      </c>
      <c r="N7306" s="8" t="s">
        <v>32393</v>
      </c>
      <c r="O7306" s="8">
        <f>22+32/60+13.9/3600</f>
        <v>22.537194444444445</v>
      </c>
      <c r="P7306" s="8" t="s">
        <v>32394</v>
      </c>
      <c r="Q7306" s="8">
        <f>+(11+42/60+46/3600)</f>
        <v>11.712777777777777</v>
      </c>
      <c r="R7306" s="8">
        <v>14.1</v>
      </c>
      <c r="S7306" s="8">
        <v>15.1</v>
      </c>
      <c r="T7306" s="8">
        <v>1</v>
      </c>
      <c r="U7306" s="8">
        <v>13.2</v>
      </c>
      <c r="V7306" s="8">
        <v>0.7</v>
      </c>
      <c r="W7306" s="8">
        <v>0.6</v>
      </c>
      <c r="X7306" s="8">
        <v>15</v>
      </c>
      <c r="Y7306" s="8" t="s">
        <v>32395</v>
      </c>
      <c r="Z7306" s="8" t="s">
        <v>32396</v>
      </c>
    </row>
    <row r="7307" spans="1:26" x14ac:dyDescent="0.2">
      <c r="A7307" s="8">
        <v>7306</v>
      </c>
      <c r="B7307" s="8" t="s">
        <v>32397</v>
      </c>
      <c r="C7307" s="8" t="s">
        <v>32397</v>
      </c>
      <c r="F7307" s="47"/>
      <c r="G7307" s="8">
        <v>16</v>
      </c>
      <c r="H7307" s="8" t="s">
        <v>21</v>
      </c>
      <c r="I7307" s="8" t="s">
        <v>22</v>
      </c>
      <c r="J7307" s="8" t="s">
        <v>22</v>
      </c>
      <c r="K7307" s="8" t="s">
        <v>23</v>
      </c>
      <c r="L7307" s="8" t="s">
        <v>31565</v>
      </c>
      <c r="M7307" s="8" t="s">
        <v>31566</v>
      </c>
      <c r="N7307" s="8" t="s">
        <v>32398</v>
      </c>
      <c r="O7307" s="8">
        <f>22+33/60+16.4/3600</f>
        <v>22.554555555555556</v>
      </c>
      <c r="P7307" s="8" t="s">
        <v>32399</v>
      </c>
      <c r="Q7307" s="8">
        <f>-(27+14/60+45/3600)</f>
        <v>-27.245833333333334</v>
      </c>
      <c r="R7307" s="8">
        <v>12.9</v>
      </c>
      <c r="S7307" s="8">
        <v>13.7</v>
      </c>
      <c r="T7307" s="8">
        <v>0.8</v>
      </c>
      <c r="U7307" s="8">
        <v>12.9</v>
      </c>
      <c r="V7307" s="8">
        <v>1.7</v>
      </c>
      <c r="W7307" s="8">
        <v>0.7</v>
      </c>
      <c r="X7307" s="8">
        <v>60</v>
      </c>
      <c r="Y7307" s="8" t="s">
        <v>32400</v>
      </c>
      <c r="Z7307" s="8" t="s">
        <v>32401</v>
      </c>
    </row>
    <row r="7308" spans="1:26" x14ac:dyDescent="0.2">
      <c r="A7308" s="8">
        <v>7307</v>
      </c>
      <c r="B7308" s="8" t="s">
        <v>32402</v>
      </c>
      <c r="C7308" s="8" t="s">
        <v>32402</v>
      </c>
      <c r="F7308" s="47"/>
      <c r="G7308" s="8">
        <v>13</v>
      </c>
      <c r="H7308" s="8" t="s">
        <v>21</v>
      </c>
      <c r="I7308" s="8" t="s">
        <v>22</v>
      </c>
      <c r="J7308" s="8" t="s">
        <v>22</v>
      </c>
      <c r="K7308" s="8" t="s">
        <v>520</v>
      </c>
      <c r="L7308" s="8" t="s">
        <v>31389</v>
      </c>
      <c r="M7308" s="8" t="s">
        <v>31390</v>
      </c>
      <c r="N7308" s="8" t="s">
        <v>32403</v>
      </c>
      <c r="O7308" s="8">
        <f>22+33/60+52.4/3600</f>
        <v>22.564555555555557</v>
      </c>
      <c r="P7308" s="8" t="s">
        <v>32404</v>
      </c>
      <c r="Q7308" s="8">
        <f>-(40+56/60+5/3600)</f>
        <v>-40.93472222222222</v>
      </c>
      <c r="R7308" s="8">
        <v>12.6</v>
      </c>
      <c r="S7308" s="8">
        <v>12.9</v>
      </c>
      <c r="T7308" s="8">
        <v>0.3</v>
      </c>
      <c r="U7308" s="8">
        <v>13.7</v>
      </c>
      <c r="V7308" s="8">
        <v>3.4</v>
      </c>
      <c r="W7308" s="8">
        <v>1</v>
      </c>
      <c r="X7308" s="8">
        <v>9</v>
      </c>
      <c r="Y7308" s="8" t="s">
        <v>32405</v>
      </c>
      <c r="Z7308" s="8" t="s">
        <v>32406</v>
      </c>
    </row>
    <row r="7309" spans="1:26" x14ac:dyDescent="0.2">
      <c r="A7309" s="8">
        <v>7308</v>
      </c>
      <c r="B7309" s="8" t="s">
        <v>32407</v>
      </c>
      <c r="C7309" s="8" t="s">
        <v>32407</v>
      </c>
      <c r="F7309" s="47"/>
      <c r="G7309" s="8">
        <v>19</v>
      </c>
      <c r="H7309" s="8" t="s">
        <v>21</v>
      </c>
      <c r="I7309" s="8" t="s">
        <v>22</v>
      </c>
      <c r="J7309" s="8" t="s">
        <v>22</v>
      </c>
      <c r="K7309" s="8" t="s">
        <v>58</v>
      </c>
      <c r="L7309" s="8" t="s">
        <v>30854</v>
      </c>
      <c r="M7309" s="8" t="s">
        <v>30855</v>
      </c>
      <c r="N7309" s="8" t="s">
        <v>32408</v>
      </c>
      <c r="O7309" s="8">
        <f>22+34/60+32/3600</f>
        <v>22.575555555555557</v>
      </c>
      <c r="P7309" s="8" t="s">
        <v>32409</v>
      </c>
      <c r="Q7309" s="8">
        <f>-(12+56/60+1/3600)</f>
        <v>-12.933611111111111</v>
      </c>
      <c r="R7309" s="8">
        <v>13.7</v>
      </c>
      <c r="S7309" s="8">
        <v>14.7</v>
      </c>
      <c r="T7309" s="8">
        <v>1</v>
      </c>
      <c r="U7309" s="8">
        <v>13.9</v>
      </c>
      <c r="V7309" s="8">
        <v>1.2</v>
      </c>
      <c r="W7309" s="8">
        <v>0.9</v>
      </c>
      <c r="X7309" s="8">
        <v>145</v>
      </c>
      <c r="Y7309" s="8" t="s">
        <v>12996</v>
      </c>
      <c r="Z7309" s="8" t="s">
        <v>12997</v>
      </c>
    </row>
    <row r="7310" spans="1:26" x14ac:dyDescent="0.2">
      <c r="A7310" s="8">
        <v>7309</v>
      </c>
      <c r="B7310" s="8" t="s">
        <v>32410</v>
      </c>
      <c r="C7310" s="8" t="s">
        <v>32410</v>
      </c>
      <c r="F7310" s="47" t="s">
        <v>58333</v>
      </c>
      <c r="G7310" s="8">
        <v>13</v>
      </c>
      <c r="H7310" s="8" t="s">
        <v>21</v>
      </c>
      <c r="I7310" s="8" t="s">
        <v>22</v>
      </c>
      <c r="J7310" s="8" t="s">
        <v>22</v>
      </c>
      <c r="K7310" s="8" t="s">
        <v>64</v>
      </c>
      <c r="L7310" s="8" t="s">
        <v>30854</v>
      </c>
      <c r="M7310" s="8" t="s">
        <v>30855</v>
      </c>
      <c r="N7310" s="8" t="s">
        <v>32411</v>
      </c>
      <c r="O7310" s="8">
        <f>22+34/60+20.6/3600</f>
        <v>22.572388888888888</v>
      </c>
      <c r="P7310" s="8" t="s">
        <v>32412</v>
      </c>
      <c r="Q7310" s="8">
        <f>-(10+21/60+22/3600)</f>
        <v>-10.35611111111111</v>
      </c>
      <c r="R7310" s="8">
        <v>12.5</v>
      </c>
      <c r="S7310" s="8">
        <v>13</v>
      </c>
      <c r="T7310" s="8">
        <v>0.5</v>
      </c>
      <c r="U7310" s="8">
        <v>13.7</v>
      </c>
      <c r="V7310" s="8">
        <v>2</v>
      </c>
      <c r="W7310" s="8">
        <v>1.7</v>
      </c>
      <c r="X7310" s="8">
        <v>32</v>
      </c>
      <c r="Y7310" s="8" t="s">
        <v>32413</v>
      </c>
      <c r="Z7310" s="8" t="s">
        <v>32414</v>
      </c>
    </row>
    <row r="7311" spans="1:26" x14ac:dyDescent="0.2">
      <c r="A7311" s="8">
        <v>7310</v>
      </c>
      <c r="B7311" s="8" t="s">
        <v>32415</v>
      </c>
      <c r="C7311" s="8" t="s">
        <v>32415</v>
      </c>
      <c r="F7311" s="47"/>
      <c r="G7311" s="8">
        <v>19</v>
      </c>
      <c r="H7311" s="8" t="s">
        <v>21</v>
      </c>
      <c r="I7311" s="8" t="s">
        <v>22</v>
      </c>
      <c r="J7311" s="8" t="s">
        <v>22</v>
      </c>
      <c r="K7311" s="8" t="s">
        <v>85</v>
      </c>
      <c r="L7311" s="8" t="s">
        <v>30854</v>
      </c>
      <c r="M7311" s="8" t="s">
        <v>30855</v>
      </c>
      <c r="N7311" s="8" t="s">
        <v>32416</v>
      </c>
      <c r="O7311" s="8">
        <f>22+34/60+36.8/3600</f>
        <v>22.576888888888888</v>
      </c>
      <c r="P7311" s="8" t="s">
        <v>32417</v>
      </c>
      <c r="Q7311" s="8">
        <f>-(22+29/60+6/3600)</f>
        <v>-22.484999999999999</v>
      </c>
      <c r="R7311" s="8">
        <v>13.8</v>
      </c>
      <c r="S7311" s="8">
        <v>14.6</v>
      </c>
      <c r="T7311" s="8">
        <v>0.8</v>
      </c>
      <c r="U7311" s="8">
        <v>13.2</v>
      </c>
      <c r="V7311" s="8">
        <v>0.9</v>
      </c>
      <c r="W7311" s="8">
        <v>0.7</v>
      </c>
      <c r="X7311" s="8">
        <v>36</v>
      </c>
      <c r="Y7311" s="8" t="s">
        <v>32418</v>
      </c>
      <c r="Z7311" s="8" t="s">
        <v>32419</v>
      </c>
    </row>
    <row r="7312" spans="1:26" x14ac:dyDescent="0.2">
      <c r="A7312" s="8">
        <v>7311</v>
      </c>
      <c r="B7312" s="8" t="s">
        <v>32420</v>
      </c>
      <c r="C7312" s="8" t="s">
        <v>32420</v>
      </c>
      <c r="F7312" s="47" t="s">
        <v>58334</v>
      </c>
      <c r="G7312" s="8">
        <v>15</v>
      </c>
      <c r="H7312" s="8" t="s">
        <v>21</v>
      </c>
      <c r="I7312" s="8" t="s">
        <v>22</v>
      </c>
      <c r="J7312" s="8" t="s">
        <v>22</v>
      </c>
      <c r="K7312" s="8" t="s">
        <v>31</v>
      </c>
      <c r="L7312" s="8" t="s">
        <v>24</v>
      </c>
      <c r="M7312" s="8" t="s">
        <v>25</v>
      </c>
      <c r="N7312" s="8" t="s">
        <v>32421</v>
      </c>
      <c r="O7312" s="8">
        <f>22+34/60+6.7/3600</f>
        <v>22.568527777777778</v>
      </c>
      <c r="P7312" s="8" t="s">
        <v>32422</v>
      </c>
      <c r="Q7312" s="8">
        <f>+(5+34/60+12/3600)</f>
        <v>5.5699999999999994</v>
      </c>
      <c r="R7312" s="8">
        <v>12.5</v>
      </c>
      <c r="S7312" s="8">
        <v>13.3</v>
      </c>
      <c r="T7312" s="8">
        <v>0.8</v>
      </c>
      <c r="U7312" s="8">
        <v>12.6</v>
      </c>
      <c r="V7312" s="8">
        <v>1.6</v>
      </c>
      <c r="W7312" s="8">
        <v>0.8</v>
      </c>
      <c r="X7312" s="8">
        <v>10</v>
      </c>
      <c r="Y7312" s="8" t="s">
        <v>32423</v>
      </c>
      <c r="Z7312" s="8" t="s">
        <v>29623</v>
      </c>
    </row>
    <row r="7313" spans="1:26" x14ac:dyDescent="0.2">
      <c r="A7313" s="8">
        <v>7312</v>
      </c>
      <c r="B7313" s="8" t="s">
        <v>32424</v>
      </c>
      <c r="C7313" s="8" t="s">
        <v>32424</v>
      </c>
      <c r="F7313" s="47"/>
      <c r="G7313" s="8">
        <v>18</v>
      </c>
      <c r="H7313" s="8" t="s">
        <v>21</v>
      </c>
      <c r="I7313" s="8" t="s">
        <v>22</v>
      </c>
      <c r="J7313" s="8" t="s">
        <v>22</v>
      </c>
      <c r="K7313" s="8" t="s">
        <v>218</v>
      </c>
      <c r="L7313" s="8" t="s">
        <v>24</v>
      </c>
      <c r="M7313" s="8" t="s">
        <v>25</v>
      </c>
      <c r="N7313" s="8" t="s">
        <v>32425</v>
      </c>
      <c r="O7313" s="8">
        <f>22+34/60+34.9/3600</f>
        <v>22.576361111111112</v>
      </c>
      <c r="P7313" s="8" t="s">
        <v>32426</v>
      </c>
      <c r="Q7313" s="8">
        <f>+(5+49/60+3/3600)</f>
        <v>5.8174999999999999</v>
      </c>
      <c r="R7313" s="8">
        <v>13.4</v>
      </c>
      <c r="S7313" s="8">
        <v>14.2</v>
      </c>
      <c r="T7313" s="8">
        <v>0.8</v>
      </c>
      <c r="U7313" s="8">
        <v>13.4</v>
      </c>
      <c r="V7313" s="8">
        <v>1.5</v>
      </c>
      <c r="W7313" s="8">
        <v>0.8</v>
      </c>
      <c r="X7313" s="8">
        <v>83</v>
      </c>
      <c r="Y7313" s="8" t="s">
        <v>4065</v>
      </c>
      <c r="Z7313" s="8" t="s">
        <v>4066</v>
      </c>
    </row>
    <row r="7314" spans="1:26" x14ac:dyDescent="0.2">
      <c r="A7314" s="8">
        <v>7313</v>
      </c>
      <c r="B7314" s="8" t="s">
        <v>32427</v>
      </c>
      <c r="C7314" s="8" t="s">
        <v>32427</v>
      </c>
      <c r="F7314" s="47"/>
      <c r="G7314" s="8">
        <v>18</v>
      </c>
      <c r="H7314" s="8" t="s">
        <v>21</v>
      </c>
      <c r="I7314" s="8" t="s">
        <v>22</v>
      </c>
      <c r="J7314" s="8" t="s">
        <v>22</v>
      </c>
      <c r="K7314" s="8" t="s">
        <v>218</v>
      </c>
      <c r="L7314" s="8" t="s">
        <v>31565</v>
      </c>
      <c r="M7314" s="8" t="s">
        <v>31566</v>
      </c>
      <c r="N7314" s="8" t="s">
        <v>32428</v>
      </c>
      <c r="O7314" s="8">
        <f>22+35/60+32.4/3600</f>
        <v>22.592333333333332</v>
      </c>
      <c r="P7314" s="8" t="s">
        <v>32429</v>
      </c>
      <c r="Q7314" s="8">
        <f>-(26+6/60+7/3600)</f>
        <v>-26.101944444444445</v>
      </c>
      <c r="R7314" s="8">
        <v>14.4</v>
      </c>
      <c r="S7314" s="8">
        <v>15.2</v>
      </c>
      <c r="T7314" s="8">
        <v>0.8</v>
      </c>
      <c r="U7314" s="8">
        <v>12.7</v>
      </c>
      <c r="V7314" s="8">
        <v>0.7</v>
      </c>
      <c r="W7314" s="8">
        <v>0.5</v>
      </c>
      <c r="X7314" s="8">
        <v>170</v>
      </c>
      <c r="Y7314" s="8" t="s">
        <v>32430</v>
      </c>
      <c r="Z7314" s="8" t="s">
        <v>32431</v>
      </c>
    </row>
    <row r="7315" spans="1:26" x14ac:dyDescent="0.2">
      <c r="A7315" s="8">
        <v>7314</v>
      </c>
      <c r="B7315" s="8" t="s">
        <v>32432</v>
      </c>
      <c r="C7315" s="8" t="s">
        <v>32432</v>
      </c>
      <c r="F7315" s="47"/>
      <c r="G7315" s="8">
        <v>9</v>
      </c>
      <c r="H7315" s="8" t="s">
        <v>21</v>
      </c>
      <c r="I7315" s="8" t="s">
        <v>22</v>
      </c>
      <c r="J7315" s="8" t="s">
        <v>22</v>
      </c>
      <c r="K7315" s="8" t="s">
        <v>85</v>
      </c>
      <c r="L7315" s="8" t="s">
        <v>31565</v>
      </c>
      <c r="M7315" s="8" t="s">
        <v>31566</v>
      </c>
      <c r="N7315" s="8" t="s">
        <v>32433</v>
      </c>
      <c r="O7315" s="8">
        <f>22+35/60+45.9/3600</f>
        <v>22.596083333333333</v>
      </c>
      <c r="P7315" s="8" t="s">
        <v>32434</v>
      </c>
      <c r="Q7315" s="8">
        <f>-(26+3/60+1/3600)</f>
        <v>-26.050277777777779</v>
      </c>
      <c r="R7315" s="8">
        <v>11</v>
      </c>
      <c r="S7315" s="8">
        <v>11.6</v>
      </c>
      <c r="T7315" s="8">
        <v>0.6</v>
      </c>
      <c r="U7315" s="8">
        <v>13.3</v>
      </c>
      <c r="V7315" s="8">
        <v>4.5999999999999996</v>
      </c>
      <c r="W7315" s="8">
        <v>2</v>
      </c>
      <c r="X7315" s="8">
        <v>3</v>
      </c>
      <c r="Y7315" s="8" t="s">
        <v>32435</v>
      </c>
      <c r="Z7315" s="8" t="s">
        <v>32436</v>
      </c>
    </row>
    <row r="7316" spans="1:26" x14ac:dyDescent="0.2">
      <c r="A7316" s="8">
        <v>7315</v>
      </c>
      <c r="B7316" s="8" t="s">
        <v>32437</v>
      </c>
      <c r="C7316" s="8" t="s">
        <v>32437</v>
      </c>
      <c r="F7316" s="47"/>
      <c r="G7316" s="8">
        <v>18</v>
      </c>
      <c r="H7316" s="8" t="s">
        <v>21</v>
      </c>
      <c r="I7316" s="8" t="s">
        <v>22</v>
      </c>
      <c r="J7316" s="8" t="s">
        <v>22</v>
      </c>
      <c r="K7316" s="8" t="s">
        <v>37</v>
      </c>
      <c r="L7316" s="8" t="s">
        <v>24</v>
      </c>
      <c r="M7316" s="8" t="s">
        <v>25</v>
      </c>
      <c r="N7316" s="8" t="s">
        <v>32438</v>
      </c>
      <c r="O7316" s="8">
        <f>22+35/60+31.6/3600</f>
        <v>22.592111111111109</v>
      </c>
      <c r="P7316" s="8" t="s">
        <v>32439</v>
      </c>
      <c r="Q7316" s="8">
        <f>+(34+48/60+14/3600)</f>
        <v>34.803888888888885</v>
      </c>
      <c r="R7316" s="8">
        <v>12.5</v>
      </c>
      <c r="S7316" s="8">
        <v>13.5</v>
      </c>
      <c r="T7316" s="8">
        <v>1</v>
      </c>
      <c r="U7316" s="8">
        <v>13.4</v>
      </c>
      <c r="V7316" s="8">
        <v>1.6</v>
      </c>
      <c r="W7316" s="8">
        <v>1.6</v>
      </c>
      <c r="Y7316" s="8" t="s">
        <v>4692</v>
      </c>
      <c r="Z7316" s="8" t="s">
        <v>4693</v>
      </c>
    </row>
    <row r="7317" spans="1:26" x14ac:dyDescent="0.2">
      <c r="A7317" s="8">
        <v>7316</v>
      </c>
      <c r="B7317" s="8" t="s">
        <v>32440</v>
      </c>
      <c r="C7317" s="8" t="s">
        <v>32440</v>
      </c>
      <c r="F7317" s="47" t="s">
        <v>58335</v>
      </c>
      <c r="G7317" s="8">
        <v>15</v>
      </c>
      <c r="H7317" s="8" t="s">
        <v>21</v>
      </c>
      <c r="I7317" s="8" t="s">
        <v>22</v>
      </c>
      <c r="J7317" s="8" t="s">
        <v>22</v>
      </c>
      <c r="K7317" s="8" t="s">
        <v>160</v>
      </c>
      <c r="L7317" s="8" t="s">
        <v>24</v>
      </c>
      <c r="M7317" s="8" t="s">
        <v>25</v>
      </c>
      <c r="N7317" s="8" t="s">
        <v>32441</v>
      </c>
      <c r="O7317" s="8">
        <f>22+35/60+56.2/3600</f>
        <v>22.598944444444442</v>
      </c>
      <c r="P7317" s="8" t="s">
        <v>32442</v>
      </c>
      <c r="Q7317" s="8">
        <f>+(20+19/60+20/3600)</f>
        <v>20.322222222222223</v>
      </c>
      <c r="R7317" s="8">
        <v>13</v>
      </c>
      <c r="S7317" s="8">
        <v>13.6</v>
      </c>
      <c r="T7317" s="8">
        <v>0.6</v>
      </c>
      <c r="U7317" s="8">
        <v>12.8</v>
      </c>
      <c r="V7317" s="8">
        <v>1.1000000000000001</v>
      </c>
      <c r="W7317" s="8">
        <v>0.9</v>
      </c>
      <c r="X7317" s="8">
        <v>60</v>
      </c>
      <c r="Y7317" s="8" t="s">
        <v>32443</v>
      </c>
      <c r="Z7317" s="8" t="s">
        <v>32444</v>
      </c>
    </row>
    <row r="7318" spans="1:26" x14ac:dyDescent="0.2">
      <c r="A7318" s="8">
        <v>7317</v>
      </c>
      <c r="B7318" s="8" t="s">
        <v>32445</v>
      </c>
      <c r="C7318" s="8" t="s">
        <v>32445</v>
      </c>
      <c r="F7318" s="47"/>
      <c r="G7318" s="8">
        <v>14</v>
      </c>
      <c r="H7318" s="8" t="s">
        <v>32446</v>
      </c>
      <c r="I7318" s="8" t="s">
        <v>22</v>
      </c>
      <c r="J7318" s="8" t="s">
        <v>22</v>
      </c>
      <c r="K7318" s="8" t="s">
        <v>50</v>
      </c>
      <c r="L7318" s="8" t="s">
        <v>24</v>
      </c>
      <c r="M7318" s="8" t="s">
        <v>25</v>
      </c>
      <c r="N7318" s="8" t="s">
        <v>32447</v>
      </c>
      <c r="O7318" s="8">
        <f>22+35/60+51.9/3600</f>
        <v>22.597749999999998</v>
      </c>
      <c r="P7318" s="8" t="s">
        <v>32448</v>
      </c>
      <c r="Q7318" s="8">
        <f>+(33+56/60+43/3600)</f>
        <v>33.945277777777775</v>
      </c>
      <c r="R7318" s="8">
        <v>13.6</v>
      </c>
      <c r="S7318" s="8">
        <v>14.6</v>
      </c>
      <c r="T7318" s="8">
        <v>1</v>
      </c>
      <c r="U7318" s="8">
        <v>13.8</v>
      </c>
      <c r="V7318" s="8">
        <v>0.4</v>
      </c>
      <c r="W7318" s="8">
        <v>0.4</v>
      </c>
      <c r="Y7318" s="8" t="s">
        <v>282</v>
      </c>
      <c r="Z7318" s="8" t="s">
        <v>283</v>
      </c>
    </row>
    <row r="7319" spans="1:26" x14ac:dyDescent="0.2">
      <c r="A7319" s="8">
        <v>7318</v>
      </c>
      <c r="B7319" s="8" t="s">
        <v>32449</v>
      </c>
      <c r="C7319" s="8" t="s">
        <v>32449</v>
      </c>
      <c r="D7319" s="8" t="s">
        <v>351</v>
      </c>
      <c r="F7319" s="47"/>
      <c r="G7319" s="8">
        <v>14</v>
      </c>
      <c r="H7319" s="8" t="s">
        <v>32446</v>
      </c>
      <c r="I7319" s="8" t="s">
        <v>22</v>
      </c>
      <c r="J7319" s="8" t="s">
        <v>22</v>
      </c>
      <c r="K7319" s="8" t="s">
        <v>10655</v>
      </c>
      <c r="L7319" s="8" t="s">
        <v>24</v>
      </c>
      <c r="M7319" s="8" t="s">
        <v>25</v>
      </c>
      <c r="N7319" s="8" t="s">
        <v>32450</v>
      </c>
      <c r="O7319" s="8">
        <f>22+35/60+56.7/3600</f>
        <v>22.599083333333333</v>
      </c>
      <c r="P7319" s="8" t="s">
        <v>32451</v>
      </c>
      <c r="Q7319" s="8">
        <f>+(33+57/60+58/3600)</f>
        <v>33.966111111111111</v>
      </c>
      <c r="R7319" s="8">
        <v>13.4</v>
      </c>
      <c r="S7319" s="8">
        <v>14.3</v>
      </c>
      <c r="T7319" s="8">
        <v>0.9</v>
      </c>
      <c r="U7319" s="8">
        <v>13.1</v>
      </c>
      <c r="V7319" s="8">
        <v>1.2</v>
      </c>
      <c r="W7319" s="8">
        <v>1</v>
      </c>
      <c r="X7319" s="8">
        <v>5</v>
      </c>
      <c r="Y7319" s="8" t="s">
        <v>282</v>
      </c>
      <c r="Z7319" s="8" t="s">
        <v>963</v>
      </c>
    </row>
    <row r="7320" spans="1:26" x14ac:dyDescent="0.2">
      <c r="A7320" s="8">
        <v>7319</v>
      </c>
      <c r="B7320" s="8" t="s">
        <v>32452</v>
      </c>
      <c r="C7320" s="8" t="s">
        <v>32452</v>
      </c>
      <c r="F7320" s="47"/>
      <c r="G7320" s="8">
        <v>14</v>
      </c>
      <c r="H7320" s="8" t="s">
        <v>32446</v>
      </c>
      <c r="I7320" s="8" t="s">
        <v>22</v>
      </c>
      <c r="J7320" s="8" t="s">
        <v>22</v>
      </c>
      <c r="K7320" s="8" t="s">
        <v>85</v>
      </c>
      <c r="L7320" s="8" t="s">
        <v>24</v>
      </c>
      <c r="M7320" s="8" t="s">
        <v>25</v>
      </c>
      <c r="N7320" s="8" t="s">
        <v>32453</v>
      </c>
      <c r="O7320" s="8">
        <f>22+36/60+3.5/3600</f>
        <v>22.600972222222225</v>
      </c>
      <c r="P7320" s="8" t="s">
        <v>32454</v>
      </c>
      <c r="Q7320" s="8">
        <f>+(33+58/60+35/3600)</f>
        <v>33.976388888888891</v>
      </c>
      <c r="R7320" s="8">
        <v>13.1</v>
      </c>
      <c r="S7320" s="8">
        <v>14.1</v>
      </c>
      <c r="T7320" s="8">
        <v>1</v>
      </c>
      <c r="U7320" s="8">
        <v>13.8</v>
      </c>
      <c r="V7320" s="8">
        <v>1.4</v>
      </c>
      <c r="W7320" s="8">
        <v>1.1000000000000001</v>
      </c>
      <c r="X7320" s="8">
        <v>52</v>
      </c>
      <c r="Y7320" s="8" t="s">
        <v>962</v>
      </c>
      <c r="Z7320" s="8" t="s">
        <v>963</v>
      </c>
    </row>
    <row r="7321" spans="1:26" x14ac:dyDescent="0.2">
      <c r="A7321" s="8">
        <v>7320</v>
      </c>
      <c r="B7321" s="8" t="s">
        <v>32455</v>
      </c>
      <c r="C7321" s="8" t="s">
        <v>32455</v>
      </c>
      <c r="F7321" s="47"/>
      <c r="G7321" s="8">
        <v>7</v>
      </c>
      <c r="H7321" s="8" t="s">
        <v>32446</v>
      </c>
      <c r="I7321" s="8" t="s">
        <v>22</v>
      </c>
      <c r="J7321" s="8" t="s">
        <v>22</v>
      </c>
      <c r="K7321" s="8" t="s">
        <v>579</v>
      </c>
      <c r="L7321" s="8" t="s">
        <v>24</v>
      </c>
      <c r="M7321" s="8" t="s">
        <v>25</v>
      </c>
      <c r="N7321" s="8" t="s">
        <v>32453</v>
      </c>
      <c r="O7321" s="8">
        <f>22+36/60+3.5/3600</f>
        <v>22.600972222222225</v>
      </c>
      <c r="P7321" s="8" t="s">
        <v>32456</v>
      </c>
      <c r="Q7321" s="8">
        <f>+(33+56/60+54/3600)</f>
        <v>33.948333333333331</v>
      </c>
      <c r="R7321" s="8">
        <v>12.6</v>
      </c>
      <c r="S7321" s="8">
        <v>13.2</v>
      </c>
      <c r="T7321" s="8">
        <v>0.6</v>
      </c>
      <c r="U7321" s="8">
        <v>13.5</v>
      </c>
      <c r="V7321" s="8">
        <v>2.2000000000000002</v>
      </c>
      <c r="W7321" s="8">
        <v>1.1000000000000001</v>
      </c>
      <c r="X7321" s="8">
        <v>132</v>
      </c>
      <c r="Y7321" s="8" t="s">
        <v>635</v>
      </c>
      <c r="Z7321" s="8" t="s">
        <v>636</v>
      </c>
    </row>
    <row r="7322" spans="1:26" x14ac:dyDescent="0.2">
      <c r="A7322" s="8">
        <v>7321</v>
      </c>
      <c r="B7322" s="8" t="s">
        <v>32457</v>
      </c>
      <c r="C7322" s="8" t="s">
        <v>32457</v>
      </c>
      <c r="F7322" s="47" t="s">
        <v>58336</v>
      </c>
      <c r="G7322" s="8">
        <v>15</v>
      </c>
      <c r="H7322" s="8" t="s">
        <v>21</v>
      </c>
      <c r="I7322" s="8" t="s">
        <v>22</v>
      </c>
      <c r="J7322" s="8" t="s">
        <v>22</v>
      </c>
      <c r="K7322" s="8" t="s">
        <v>218</v>
      </c>
      <c r="L7322" s="8" t="s">
        <v>24</v>
      </c>
      <c r="M7322" s="8" t="s">
        <v>25</v>
      </c>
      <c r="N7322" s="8" t="s">
        <v>32458</v>
      </c>
      <c r="O7322" s="8">
        <f>22+36/60+27.9/3600</f>
        <v>22.607750000000003</v>
      </c>
      <c r="P7322" s="8" t="s">
        <v>32459</v>
      </c>
      <c r="Q7322" s="8">
        <f>+(21+37/60+19/3600)</f>
        <v>21.621944444444445</v>
      </c>
      <c r="R7322" s="8">
        <v>12.9</v>
      </c>
      <c r="S7322" s="8">
        <v>13.7</v>
      </c>
      <c r="T7322" s="8">
        <v>0.8</v>
      </c>
      <c r="U7322" s="8">
        <v>13.4</v>
      </c>
      <c r="V7322" s="8">
        <v>1.6</v>
      </c>
      <c r="W7322" s="8">
        <v>1.1000000000000001</v>
      </c>
      <c r="X7322" s="8">
        <v>12</v>
      </c>
      <c r="Y7322" s="8" t="s">
        <v>32460</v>
      </c>
      <c r="Z7322" s="8" t="s">
        <v>32461</v>
      </c>
    </row>
    <row r="7323" spans="1:26" x14ac:dyDescent="0.2">
      <c r="A7323" s="8">
        <v>7322</v>
      </c>
      <c r="B7323" s="8" t="s">
        <v>32462</v>
      </c>
      <c r="C7323" s="8" t="s">
        <v>32462</v>
      </c>
      <c r="F7323" s="47"/>
      <c r="G7323" s="8">
        <v>16</v>
      </c>
      <c r="H7323" s="8" t="s">
        <v>21</v>
      </c>
      <c r="I7323" s="8" t="s">
        <v>22</v>
      </c>
      <c r="J7323" s="8" t="s">
        <v>22</v>
      </c>
      <c r="K7323" s="8" t="s">
        <v>632</v>
      </c>
      <c r="L7323" s="8" t="s">
        <v>31389</v>
      </c>
      <c r="M7323" s="8" t="s">
        <v>31390</v>
      </c>
      <c r="N7323" s="8" t="s">
        <v>32463</v>
      </c>
      <c r="O7323" s="8">
        <f>22+37/60+51.4/3600</f>
        <v>22.630944444444445</v>
      </c>
      <c r="P7323" s="8" t="s">
        <v>32464</v>
      </c>
      <c r="Q7323" s="8">
        <f>-(37+13/60+53/3600)</f>
        <v>-37.231388888888894</v>
      </c>
      <c r="R7323" s="8">
        <v>13.6</v>
      </c>
      <c r="S7323" s="8">
        <v>14.5</v>
      </c>
      <c r="T7323" s="8">
        <v>0.9</v>
      </c>
      <c r="U7323" s="8">
        <v>12.8</v>
      </c>
      <c r="V7323" s="8">
        <v>0.9</v>
      </c>
      <c r="W7323" s="8">
        <v>0.6</v>
      </c>
      <c r="X7323" s="8">
        <v>114</v>
      </c>
      <c r="Y7323" s="8" t="s">
        <v>6226</v>
      </c>
      <c r="Z7323" s="8" t="s">
        <v>6227</v>
      </c>
    </row>
    <row r="7324" spans="1:26" x14ac:dyDescent="0.2">
      <c r="A7324" s="8">
        <v>7323</v>
      </c>
      <c r="B7324" s="8" t="s">
        <v>32465</v>
      </c>
      <c r="C7324" s="8" t="s">
        <v>32465</v>
      </c>
      <c r="F7324" s="47"/>
      <c r="G7324" s="8">
        <v>18</v>
      </c>
      <c r="H7324" s="8" t="s">
        <v>21</v>
      </c>
      <c r="I7324" s="8" t="s">
        <v>22</v>
      </c>
      <c r="J7324" s="8" t="s">
        <v>22</v>
      </c>
      <c r="K7324" s="8" t="s">
        <v>23</v>
      </c>
      <c r="L7324" s="8" t="s">
        <v>24</v>
      </c>
      <c r="M7324" s="8" t="s">
        <v>25</v>
      </c>
      <c r="N7324" s="8" t="s">
        <v>32466</v>
      </c>
      <c r="O7324" s="8">
        <f>22+36/60+53.5/3600</f>
        <v>22.614861111111111</v>
      </c>
      <c r="P7324" s="8" t="s">
        <v>32467</v>
      </c>
      <c r="Q7324" s="8">
        <f>+(19+8/60+40/3600)</f>
        <v>19.144444444444446</v>
      </c>
      <c r="R7324" s="8">
        <v>12.9</v>
      </c>
      <c r="S7324" s="8">
        <v>13.7</v>
      </c>
      <c r="T7324" s="8">
        <v>0.8</v>
      </c>
      <c r="U7324" s="8">
        <v>13.3</v>
      </c>
      <c r="V7324" s="8">
        <v>1.4</v>
      </c>
      <c r="W7324" s="8">
        <v>1.1000000000000001</v>
      </c>
      <c r="X7324" s="8">
        <v>170</v>
      </c>
      <c r="Y7324" s="8" t="s">
        <v>32468</v>
      </c>
      <c r="Z7324" s="8" t="s">
        <v>32469</v>
      </c>
    </row>
    <row r="7325" spans="1:26" x14ac:dyDescent="0.2">
      <c r="A7325" s="8">
        <v>7324</v>
      </c>
      <c r="B7325" s="8" t="s">
        <v>32470</v>
      </c>
      <c r="C7325" s="8" t="s">
        <v>32470</v>
      </c>
      <c r="F7325" s="47"/>
      <c r="G7325" s="8">
        <v>18</v>
      </c>
      <c r="H7325" s="8" t="s">
        <v>21</v>
      </c>
      <c r="I7325" s="8" t="s">
        <v>22</v>
      </c>
      <c r="J7325" s="8" t="s">
        <v>22</v>
      </c>
      <c r="K7325" s="8" t="s">
        <v>58</v>
      </c>
      <c r="L7325" s="8" t="s">
        <v>24</v>
      </c>
      <c r="M7325" s="8" t="s">
        <v>25</v>
      </c>
      <c r="N7325" s="8" t="s">
        <v>32471</v>
      </c>
      <c r="O7325" s="8">
        <f>22+37/60+1/3600</f>
        <v>22.616944444444446</v>
      </c>
      <c r="P7325" s="8" t="s">
        <v>32472</v>
      </c>
      <c r="Q7325" s="8">
        <f>+(19+8/60+48/3600)</f>
        <v>19.146666666666665</v>
      </c>
      <c r="R7325" s="8">
        <v>13.9</v>
      </c>
      <c r="S7325" s="8">
        <v>14.9</v>
      </c>
      <c r="T7325" s="8">
        <v>1</v>
      </c>
      <c r="U7325" s="8">
        <v>13.7</v>
      </c>
      <c r="V7325" s="8">
        <v>1</v>
      </c>
      <c r="W7325" s="8">
        <v>0.8</v>
      </c>
      <c r="X7325" s="8">
        <v>168</v>
      </c>
      <c r="Y7325" s="8" t="s">
        <v>32473</v>
      </c>
      <c r="Z7325" s="8" t="s">
        <v>32474</v>
      </c>
    </row>
    <row r="7326" spans="1:26" x14ac:dyDescent="0.2">
      <c r="A7326" s="8">
        <v>7325</v>
      </c>
      <c r="B7326" s="8" t="s">
        <v>32475</v>
      </c>
      <c r="C7326" s="8" t="s">
        <v>32475</v>
      </c>
      <c r="F7326" s="47"/>
      <c r="G7326" s="8">
        <v>18</v>
      </c>
      <c r="H7326" s="8" t="s">
        <v>21</v>
      </c>
      <c r="I7326" s="8" t="s">
        <v>72</v>
      </c>
      <c r="J7326" s="8" t="s">
        <v>72</v>
      </c>
      <c r="K7326" s="8" t="s">
        <v>73</v>
      </c>
      <c r="L7326" s="8" t="s">
        <v>24</v>
      </c>
      <c r="M7326" s="8" t="s">
        <v>25</v>
      </c>
      <c r="N7326" s="8" t="s">
        <v>32476</v>
      </c>
      <c r="O7326" s="8">
        <f>22+36/60+48.6/3600</f>
        <v>22.613500000000002</v>
      </c>
      <c r="P7326" s="8" t="s">
        <v>32477</v>
      </c>
      <c r="Q7326" s="8">
        <f>+(34+22/60+2/3600)</f>
        <v>34.367222222222225</v>
      </c>
      <c r="R7326" s="8">
        <v>99</v>
      </c>
      <c r="S7326" s="8">
        <v>99</v>
      </c>
      <c r="T7326" s="8">
        <v>99</v>
      </c>
      <c r="U7326" s="8">
        <v>99</v>
      </c>
      <c r="Y7326" s="8" t="s">
        <v>32478</v>
      </c>
      <c r="Z7326" s="8" t="s">
        <v>32479</v>
      </c>
    </row>
    <row r="7327" spans="1:26" x14ac:dyDescent="0.2">
      <c r="A7327" s="8">
        <v>7326</v>
      </c>
      <c r="B7327" s="8" t="s">
        <v>32480</v>
      </c>
      <c r="C7327" s="8" t="s">
        <v>32480</v>
      </c>
      <c r="F7327" s="47"/>
      <c r="G7327" s="8">
        <v>18</v>
      </c>
      <c r="H7327" s="8" t="s">
        <v>21</v>
      </c>
      <c r="I7327" s="8" t="s">
        <v>72</v>
      </c>
      <c r="J7327" s="8" t="s">
        <v>72</v>
      </c>
      <c r="K7327" s="8" t="s">
        <v>73</v>
      </c>
      <c r="L7327" s="8" t="s">
        <v>24</v>
      </c>
      <c r="M7327" s="8" t="s">
        <v>25</v>
      </c>
      <c r="N7327" s="8" t="s">
        <v>32481</v>
      </c>
      <c r="O7327" s="8">
        <f>22+36/60+52.1/3600</f>
        <v>22.614472222222222</v>
      </c>
      <c r="P7327" s="8" t="s">
        <v>32482</v>
      </c>
      <c r="Q7327" s="8">
        <f>+(34+25/60+25/3600)</f>
        <v>34.423611111111107</v>
      </c>
      <c r="R7327" s="8">
        <v>99</v>
      </c>
      <c r="S7327" s="8">
        <v>99</v>
      </c>
      <c r="T7327" s="8">
        <v>99</v>
      </c>
      <c r="U7327" s="8">
        <v>99</v>
      </c>
      <c r="Y7327" s="8" t="s">
        <v>32483</v>
      </c>
      <c r="Z7327" s="8" t="s">
        <v>32484</v>
      </c>
    </row>
    <row r="7328" spans="1:26" x14ac:dyDescent="0.2">
      <c r="A7328" s="8">
        <v>7327</v>
      </c>
      <c r="B7328" s="8" t="s">
        <v>32485</v>
      </c>
      <c r="C7328" s="8" t="s">
        <v>32485</v>
      </c>
      <c r="F7328" s="47"/>
      <c r="G7328" s="8">
        <v>19</v>
      </c>
      <c r="H7328" s="8" t="s">
        <v>21</v>
      </c>
      <c r="I7328" s="8" t="s">
        <v>72</v>
      </c>
      <c r="J7328" s="8" t="s">
        <v>72</v>
      </c>
      <c r="K7328" s="8" t="s">
        <v>20</v>
      </c>
      <c r="L7328" s="8" t="s">
        <v>24</v>
      </c>
      <c r="M7328" s="8" t="s">
        <v>25</v>
      </c>
      <c r="N7328" s="8" t="s">
        <v>32486</v>
      </c>
      <c r="O7328" s="8">
        <f>22+37/60+24.6/3600</f>
        <v>22.6235</v>
      </c>
      <c r="P7328" s="8" t="s">
        <v>32487</v>
      </c>
      <c r="Q7328" s="8">
        <f>+(34+25/60+42/3600)</f>
        <v>34.428333333333327</v>
      </c>
      <c r="R7328" s="8">
        <v>99</v>
      </c>
      <c r="S7328" s="8">
        <v>12.2</v>
      </c>
      <c r="T7328" s="8">
        <v>99</v>
      </c>
      <c r="U7328" s="8">
        <v>99</v>
      </c>
      <c r="Y7328" s="8" t="s">
        <v>32488</v>
      </c>
      <c r="Z7328" s="8" t="s">
        <v>32489</v>
      </c>
    </row>
    <row r="7329" spans="1:26" x14ac:dyDescent="0.2">
      <c r="A7329" s="8">
        <v>7328</v>
      </c>
      <c r="B7329" s="8" t="s">
        <v>32490</v>
      </c>
      <c r="C7329" s="8" t="s">
        <v>32490</v>
      </c>
      <c r="F7329" s="47"/>
      <c r="G7329" s="8">
        <v>16</v>
      </c>
      <c r="H7329" s="8" t="s">
        <v>21</v>
      </c>
      <c r="I7329" s="8" t="s">
        <v>22</v>
      </c>
      <c r="J7329" s="8" t="s">
        <v>22</v>
      </c>
      <c r="K7329" s="8" t="s">
        <v>31</v>
      </c>
      <c r="L7329" s="8" t="s">
        <v>24</v>
      </c>
      <c r="M7329" s="8" t="s">
        <v>25</v>
      </c>
      <c r="N7329" s="8" t="s">
        <v>32491</v>
      </c>
      <c r="O7329" s="8">
        <f>22+37/60+29.2/3600</f>
        <v>22.62477777777778</v>
      </c>
      <c r="P7329" s="8" t="s">
        <v>32492</v>
      </c>
      <c r="Q7329" s="8">
        <f>+(10+31/60+54/3600)</f>
        <v>10.531666666666668</v>
      </c>
      <c r="R7329" s="8">
        <v>13.1</v>
      </c>
      <c r="S7329" s="8">
        <v>13.9</v>
      </c>
      <c r="T7329" s="8">
        <v>0.8</v>
      </c>
      <c r="U7329" s="8">
        <v>13.3</v>
      </c>
      <c r="V7329" s="8">
        <v>2</v>
      </c>
      <c r="W7329" s="8">
        <v>0.7</v>
      </c>
      <c r="X7329" s="8">
        <v>88</v>
      </c>
      <c r="Y7329" s="8" t="s">
        <v>32493</v>
      </c>
      <c r="Z7329" s="8" t="s">
        <v>32494</v>
      </c>
    </row>
    <row r="7330" spans="1:26" x14ac:dyDescent="0.2">
      <c r="A7330" s="8">
        <v>7329</v>
      </c>
      <c r="B7330" s="8" t="s">
        <v>32495</v>
      </c>
      <c r="C7330" s="8" t="s">
        <v>32495</v>
      </c>
      <c r="F7330" s="47"/>
      <c r="G7330" s="8">
        <v>13</v>
      </c>
      <c r="H7330" s="8" t="s">
        <v>21</v>
      </c>
      <c r="I7330" s="8" t="s">
        <v>22</v>
      </c>
      <c r="J7330" s="8" t="s">
        <v>22</v>
      </c>
      <c r="K7330" s="8" t="s">
        <v>85</v>
      </c>
      <c r="L7330" s="8" t="s">
        <v>310</v>
      </c>
      <c r="M7330" s="8" t="s">
        <v>311</v>
      </c>
      <c r="N7330" s="8" t="s">
        <v>32496</v>
      </c>
      <c r="O7330" s="8">
        <f>22+40/60+24.2/3600</f>
        <v>22.673388888888891</v>
      </c>
      <c r="P7330" s="8" t="s">
        <v>8160</v>
      </c>
      <c r="Q7330" s="8">
        <f>-(66+28/60+45/3600)</f>
        <v>-66.479166666666671</v>
      </c>
      <c r="R7330" s="8">
        <v>11.3</v>
      </c>
      <c r="S7330" s="8">
        <v>12.1</v>
      </c>
      <c r="T7330" s="8">
        <v>0.8</v>
      </c>
      <c r="U7330" s="8">
        <v>13.7</v>
      </c>
      <c r="V7330" s="8">
        <v>3.7</v>
      </c>
      <c r="W7330" s="8">
        <v>2.7</v>
      </c>
      <c r="X7330" s="8">
        <v>107</v>
      </c>
      <c r="Y7330" s="8" t="s">
        <v>32497</v>
      </c>
      <c r="Z7330" s="8" t="s">
        <v>32498</v>
      </c>
    </row>
    <row r="7331" spans="1:26" x14ac:dyDescent="0.2">
      <c r="A7331" s="8">
        <v>7330</v>
      </c>
      <c r="B7331" s="8" t="s">
        <v>32499</v>
      </c>
      <c r="C7331" s="8" t="s">
        <v>32499</v>
      </c>
      <c r="F7331" s="47"/>
      <c r="G7331" s="8">
        <v>18</v>
      </c>
      <c r="H7331" s="8" t="s">
        <v>21</v>
      </c>
      <c r="I7331" s="8" t="s">
        <v>22</v>
      </c>
      <c r="J7331" s="8" t="s">
        <v>22</v>
      </c>
      <c r="K7331" s="8" t="s">
        <v>460</v>
      </c>
      <c r="L7331" s="8" t="s">
        <v>31943</v>
      </c>
      <c r="M7331" s="8" t="s">
        <v>31944</v>
      </c>
      <c r="N7331" s="8" t="s">
        <v>32500</v>
      </c>
      <c r="O7331" s="8">
        <f>22+36/60+56.1/3600</f>
        <v>22.615583333333333</v>
      </c>
      <c r="P7331" s="8" t="s">
        <v>32501</v>
      </c>
      <c r="Q7331" s="8">
        <f>+(38+32/60+53/3600)</f>
        <v>38.548055555555557</v>
      </c>
      <c r="R7331" s="8">
        <v>12.2</v>
      </c>
      <c r="S7331" s="8">
        <v>13.2</v>
      </c>
      <c r="T7331" s="8">
        <v>1</v>
      </c>
      <c r="U7331" s="8">
        <v>13</v>
      </c>
      <c r="V7331" s="8">
        <v>1.4</v>
      </c>
      <c r="W7331" s="8">
        <v>1.4</v>
      </c>
      <c r="Y7331" s="8" t="s">
        <v>18371</v>
      </c>
      <c r="Z7331" s="8" t="s">
        <v>18372</v>
      </c>
    </row>
    <row r="7332" spans="1:26" x14ac:dyDescent="0.2">
      <c r="A7332" s="8">
        <v>7331</v>
      </c>
      <c r="B7332" s="8" t="s">
        <v>32502</v>
      </c>
      <c r="C7332" s="8" t="s">
        <v>32502</v>
      </c>
      <c r="F7332" s="47" t="s">
        <v>58337</v>
      </c>
      <c r="G7332" s="8">
        <v>2</v>
      </c>
      <c r="H7332" s="8" t="s">
        <v>32503</v>
      </c>
      <c r="I7332" s="8" t="s">
        <v>22</v>
      </c>
      <c r="J7332" s="8" t="s">
        <v>22</v>
      </c>
      <c r="K7332" s="8" t="s">
        <v>396</v>
      </c>
      <c r="L7332" s="8" t="s">
        <v>24</v>
      </c>
      <c r="M7332" s="8" t="s">
        <v>25</v>
      </c>
      <c r="N7332" s="8" t="s">
        <v>32504</v>
      </c>
      <c r="O7332" s="8">
        <f>22+37/60+5.1/3600</f>
        <v>22.618083333333335</v>
      </c>
      <c r="P7332" s="8" t="s">
        <v>32505</v>
      </c>
      <c r="Q7332" s="8">
        <f>+(34+25/60+13/3600)</f>
        <v>34.420277777777777</v>
      </c>
      <c r="R7332" s="8">
        <v>9.5</v>
      </c>
      <c r="S7332" s="8">
        <v>10.4</v>
      </c>
      <c r="T7332" s="8">
        <v>0.9</v>
      </c>
      <c r="U7332" s="8">
        <v>13.3</v>
      </c>
      <c r="V7332" s="8">
        <v>10.199999999999999</v>
      </c>
      <c r="W7332" s="8">
        <v>4.2</v>
      </c>
      <c r="X7332" s="8">
        <v>171</v>
      </c>
      <c r="Y7332" s="8" t="s">
        <v>32506</v>
      </c>
      <c r="Z7332" s="8" t="s">
        <v>32507</v>
      </c>
    </row>
    <row r="7333" spans="1:26" x14ac:dyDescent="0.2">
      <c r="A7333" s="8">
        <v>7332</v>
      </c>
      <c r="B7333" s="8" t="s">
        <v>32508</v>
      </c>
      <c r="C7333" s="8" t="s">
        <v>32508</v>
      </c>
      <c r="F7333" s="47" t="s">
        <v>58338</v>
      </c>
      <c r="G7333" s="8">
        <v>6.5</v>
      </c>
      <c r="H7333" s="8" t="s">
        <v>21</v>
      </c>
      <c r="I7333" s="8" t="s">
        <v>22</v>
      </c>
      <c r="J7333" s="8" t="s">
        <v>22</v>
      </c>
      <c r="K7333" s="8" t="s">
        <v>643</v>
      </c>
      <c r="L7333" s="8" t="s">
        <v>24</v>
      </c>
      <c r="M7333" s="8" t="s">
        <v>25</v>
      </c>
      <c r="N7333" s="8" t="s">
        <v>32486</v>
      </c>
      <c r="O7333" s="8">
        <f>22+37/60+24.6/3600</f>
        <v>22.6235</v>
      </c>
      <c r="P7333" s="8" t="s">
        <v>32509</v>
      </c>
      <c r="Q7333" s="8">
        <f>+(23+47/60+53/3600)</f>
        <v>23.798055555555557</v>
      </c>
      <c r="R7333" s="8">
        <v>11.1</v>
      </c>
      <c r="S7333" s="8">
        <v>12</v>
      </c>
      <c r="T7333" s="8">
        <v>0.9</v>
      </c>
      <c r="U7333" s="8">
        <v>12.6</v>
      </c>
      <c r="V7333" s="8">
        <v>4.0999999999999996</v>
      </c>
      <c r="W7333" s="8">
        <v>1.1000000000000001</v>
      </c>
      <c r="X7333" s="8">
        <v>155</v>
      </c>
      <c r="Y7333" s="8" t="s">
        <v>32510</v>
      </c>
      <c r="Z7333" s="8" t="s">
        <v>32511</v>
      </c>
    </row>
    <row r="7334" spans="1:26" x14ac:dyDescent="0.2">
      <c r="A7334" s="8">
        <v>7333</v>
      </c>
      <c r="B7334" s="8" t="s">
        <v>32512</v>
      </c>
      <c r="C7334" s="8" t="s">
        <v>32512</v>
      </c>
      <c r="F7334" s="47"/>
      <c r="G7334" s="8">
        <v>12</v>
      </c>
      <c r="H7334" s="8" t="s">
        <v>21</v>
      </c>
      <c r="I7334" s="8" t="s">
        <v>72</v>
      </c>
      <c r="J7334" s="8" t="s">
        <v>72</v>
      </c>
      <c r="K7334" s="8" t="s">
        <v>20</v>
      </c>
      <c r="L7334" s="8" t="s">
        <v>24</v>
      </c>
      <c r="M7334" s="8" t="s">
        <v>25</v>
      </c>
      <c r="N7334" s="8" t="s">
        <v>32513</v>
      </c>
      <c r="O7334" s="8">
        <f>22+37/60+11.7/3600</f>
        <v>22.619916666666668</v>
      </c>
      <c r="P7334" s="8" t="s">
        <v>32514</v>
      </c>
      <c r="Q7334" s="8">
        <f>+(34+26/60+15/3600)</f>
        <v>34.4375</v>
      </c>
      <c r="R7334" s="8">
        <v>99</v>
      </c>
      <c r="S7334" s="8">
        <v>14.8</v>
      </c>
      <c r="T7334" s="8">
        <v>99</v>
      </c>
      <c r="U7334" s="8">
        <v>99</v>
      </c>
      <c r="Y7334" s="8" t="s">
        <v>32515</v>
      </c>
      <c r="Z7334" s="8" t="s">
        <v>32516</v>
      </c>
    </row>
    <row r="7335" spans="1:26" x14ac:dyDescent="0.2">
      <c r="A7335" s="8">
        <v>7334</v>
      </c>
      <c r="B7335" s="8" t="s">
        <v>32517</v>
      </c>
      <c r="C7335" s="8" t="s">
        <v>32517</v>
      </c>
      <c r="F7335" s="47"/>
      <c r="G7335" s="8">
        <v>18</v>
      </c>
      <c r="H7335" s="8" t="s">
        <v>21</v>
      </c>
      <c r="I7335" s="8" t="s">
        <v>22</v>
      </c>
      <c r="J7335" s="8" t="s">
        <v>57</v>
      </c>
      <c r="K7335" s="8" t="s">
        <v>632</v>
      </c>
      <c r="L7335" s="8" t="s">
        <v>31389</v>
      </c>
      <c r="M7335" s="8" t="s">
        <v>31390</v>
      </c>
      <c r="N7335" s="8" t="s">
        <v>32463</v>
      </c>
      <c r="O7335" s="8">
        <f>22+37/60+51.4/3600</f>
        <v>22.630944444444445</v>
      </c>
      <c r="P7335" s="8" t="s">
        <v>32464</v>
      </c>
      <c r="Q7335" s="8">
        <f>-(37+13/60+53/3600)</f>
        <v>-37.231388888888894</v>
      </c>
      <c r="R7335" s="8">
        <v>13.6</v>
      </c>
      <c r="S7335" s="8">
        <v>14.5</v>
      </c>
      <c r="T7335" s="8">
        <v>0.9</v>
      </c>
      <c r="U7335" s="8">
        <v>12.8</v>
      </c>
      <c r="V7335" s="8">
        <v>0.9</v>
      </c>
      <c r="W7335" s="8">
        <v>0.6</v>
      </c>
      <c r="X7335" s="8">
        <v>114</v>
      </c>
      <c r="Y7335" s="8" t="s">
        <v>6226</v>
      </c>
      <c r="Z7335" s="8" t="s">
        <v>32518</v>
      </c>
    </row>
    <row r="7336" spans="1:26" x14ac:dyDescent="0.2">
      <c r="A7336" s="8">
        <v>7335</v>
      </c>
      <c r="B7336" s="8" t="s">
        <v>32519</v>
      </c>
      <c r="C7336" s="8" t="s">
        <v>32519</v>
      </c>
      <c r="F7336" s="47" t="s">
        <v>58339</v>
      </c>
      <c r="G7336" s="8">
        <v>12</v>
      </c>
      <c r="H7336" s="8" t="s">
        <v>21</v>
      </c>
      <c r="I7336" s="8" t="s">
        <v>22</v>
      </c>
      <c r="J7336" s="8" t="s">
        <v>22</v>
      </c>
      <c r="K7336" s="8" t="s">
        <v>632</v>
      </c>
      <c r="L7336" s="8" t="s">
        <v>24</v>
      </c>
      <c r="M7336" s="8" t="s">
        <v>25</v>
      </c>
      <c r="N7336" s="8" t="s">
        <v>32520</v>
      </c>
      <c r="O7336" s="8">
        <f>22+37/60+19.5/3600</f>
        <v>22.622083333333332</v>
      </c>
      <c r="P7336" s="8" t="s">
        <v>32521</v>
      </c>
      <c r="Q7336" s="8">
        <f>+(34+26/60+54/3600)</f>
        <v>34.448333333333331</v>
      </c>
      <c r="R7336" s="8">
        <v>13.3</v>
      </c>
      <c r="S7336" s="8">
        <v>14.4</v>
      </c>
      <c r="T7336" s="8">
        <v>1.1000000000000001</v>
      </c>
      <c r="U7336" s="8">
        <v>13</v>
      </c>
      <c r="V7336" s="8">
        <v>1.2</v>
      </c>
      <c r="W7336" s="8">
        <v>0.6</v>
      </c>
      <c r="X7336" s="8">
        <v>151</v>
      </c>
      <c r="Y7336" s="8" t="s">
        <v>32522</v>
      </c>
      <c r="Z7336" s="8" t="s">
        <v>32523</v>
      </c>
    </row>
    <row r="7337" spans="1:26" x14ac:dyDescent="0.2">
      <c r="A7337" s="8">
        <v>7336</v>
      </c>
      <c r="B7337" s="8" t="s">
        <v>32524</v>
      </c>
      <c r="C7337" s="8" t="s">
        <v>32524</v>
      </c>
      <c r="F7337" s="47"/>
      <c r="G7337" s="8">
        <v>12</v>
      </c>
      <c r="H7337" s="8" t="s">
        <v>21</v>
      </c>
      <c r="I7337" s="8" t="s">
        <v>22</v>
      </c>
      <c r="J7337" s="8" t="s">
        <v>22</v>
      </c>
      <c r="K7337" s="8" t="s">
        <v>449</v>
      </c>
      <c r="L7337" s="8" t="s">
        <v>24</v>
      </c>
      <c r="M7337" s="8" t="s">
        <v>25</v>
      </c>
      <c r="N7337" s="8" t="s">
        <v>32525</v>
      </c>
      <c r="O7337" s="8">
        <f>22+37/60+21.9/3600</f>
        <v>22.62275</v>
      </c>
      <c r="P7337" s="8" t="s">
        <v>32526</v>
      </c>
      <c r="Q7337" s="8">
        <f>+(34+28/60+56/3600)</f>
        <v>34.482222222222227</v>
      </c>
      <c r="R7337" s="8">
        <v>14.5</v>
      </c>
      <c r="S7337" s="8">
        <v>15.3</v>
      </c>
      <c r="T7337" s="8">
        <v>0.8</v>
      </c>
      <c r="U7337" s="8">
        <v>13.1</v>
      </c>
      <c r="V7337" s="8">
        <v>0.8</v>
      </c>
      <c r="W7337" s="8">
        <v>0.4</v>
      </c>
      <c r="X7337" s="8">
        <v>139</v>
      </c>
      <c r="Y7337" s="8" t="s">
        <v>32527</v>
      </c>
      <c r="Z7337" s="8" t="s">
        <v>32528</v>
      </c>
    </row>
    <row r="7338" spans="1:26" x14ac:dyDescent="0.2">
      <c r="A7338" s="8">
        <v>7337</v>
      </c>
      <c r="B7338" s="8" t="s">
        <v>32529</v>
      </c>
      <c r="C7338" s="8" t="s">
        <v>32529</v>
      </c>
      <c r="F7338" s="47"/>
      <c r="G7338" s="8">
        <v>12</v>
      </c>
      <c r="H7338" s="8" t="s">
        <v>21</v>
      </c>
      <c r="I7338" s="8" t="s">
        <v>22</v>
      </c>
      <c r="J7338" s="8" t="s">
        <v>22</v>
      </c>
      <c r="K7338" s="8" t="s">
        <v>406</v>
      </c>
      <c r="L7338" s="8" t="s">
        <v>24</v>
      </c>
      <c r="M7338" s="8" t="s">
        <v>25</v>
      </c>
      <c r="N7338" s="8" t="s">
        <v>32530</v>
      </c>
      <c r="O7338" s="8">
        <f>22+37/60+26.6/3600</f>
        <v>22.624055555555557</v>
      </c>
      <c r="P7338" s="8" t="s">
        <v>32531</v>
      </c>
      <c r="Q7338" s="8">
        <f>+(34+22/60+26/3600)</f>
        <v>34.373888888888892</v>
      </c>
      <c r="R7338" s="8">
        <v>14.4</v>
      </c>
      <c r="S7338" s="8">
        <v>15.2</v>
      </c>
      <c r="T7338" s="8">
        <v>0.8</v>
      </c>
      <c r="U7338" s="8">
        <v>14</v>
      </c>
      <c r="V7338" s="8">
        <v>1</v>
      </c>
      <c r="W7338" s="8">
        <v>0.8</v>
      </c>
      <c r="X7338" s="8">
        <v>177</v>
      </c>
      <c r="Y7338" s="8" t="s">
        <v>32532</v>
      </c>
      <c r="Z7338" s="8" t="s">
        <v>32533</v>
      </c>
    </row>
    <row r="7339" spans="1:26" x14ac:dyDescent="0.2">
      <c r="A7339" s="8">
        <v>7338</v>
      </c>
      <c r="B7339" s="8" t="s">
        <v>32534</v>
      </c>
      <c r="C7339" s="8" t="s">
        <v>32534</v>
      </c>
      <c r="F7339" s="47"/>
      <c r="G7339" s="8">
        <v>19</v>
      </c>
      <c r="H7339" s="8" t="s">
        <v>21</v>
      </c>
      <c r="I7339" s="8" t="s">
        <v>72</v>
      </c>
      <c r="J7339" s="8" t="s">
        <v>72</v>
      </c>
      <c r="K7339" s="8" t="s">
        <v>20</v>
      </c>
      <c r="L7339" s="8" t="s">
        <v>24</v>
      </c>
      <c r="M7339" s="8" t="s">
        <v>25</v>
      </c>
      <c r="N7339" s="8" t="s">
        <v>32535</v>
      </c>
      <c r="O7339" s="8">
        <f>22+36/60+46.8/3600</f>
        <v>22.613000000000003</v>
      </c>
      <c r="P7339" s="8" t="s">
        <v>32536</v>
      </c>
      <c r="Q7339" s="8">
        <f>+(34+27/60+47/3600)</f>
        <v>34.463055555555556</v>
      </c>
      <c r="R7339" s="8">
        <v>99</v>
      </c>
      <c r="S7339" s="8">
        <v>12.3</v>
      </c>
      <c r="T7339" s="8">
        <v>99</v>
      </c>
      <c r="U7339" s="8">
        <v>99</v>
      </c>
      <c r="Y7339" s="8" t="s">
        <v>32537</v>
      </c>
      <c r="Z7339" s="8" t="s">
        <v>32538</v>
      </c>
    </row>
    <row r="7340" spans="1:26" x14ac:dyDescent="0.2">
      <c r="A7340" s="8">
        <v>7339</v>
      </c>
      <c r="B7340" s="8" t="s">
        <v>32539</v>
      </c>
      <c r="C7340" s="8" t="s">
        <v>32539</v>
      </c>
      <c r="F7340" s="47" t="s">
        <v>58340</v>
      </c>
      <c r="G7340" s="8">
        <v>15</v>
      </c>
      <c r="H7340" s="8" t="s">
        <v>21</v>
      </c>
      <c r="I7340" s="8" t="s">
        <v>22</v>
      </c>
      <c r="J7340" s="8" t="s">
        <v>22</v>
      </c>
      <c r="K7340" s="8" t="s">
        <v>85</v>
      </c>
      <c r="L7340" s="8" t="s">
        <v>24</v>
      </c>
      <c r="M7340" s="8" t="s">
        <v>25</v>
      </c>
      <c r="N7340" s="8" t="s">
        <v>32540</v>
      </c>
      <c r="O7340" s="8">
        <f>22+37/60+47/3600</f>
        <v>22.629722222222224</v>
      </c>
      <c r="P7340" s="8" t="s">
        <v>32541</v>
      </c>
      <c r="Q7340" s="8">
        <f>+(23+47/60+11/3600)</f>
        <v>23.78638888888889</v>
      </c>
      <c r="R7340" s="8">
        <v>12.2</v>
      </c>
      <c r="S7340" s="8">
        <v>13.1</v>
      </c>
      <c r="T7340" s="8">
        <v>0.9</v>
      </c>
      <c r="U7340" s="8">
        <v>13</v>
      </c>
      <c r="V7340" s="8">
        <v>2.8</v>
      </c>
      <c r="W7340" s="8">
        <v>0.7</v>
      </c>
      <c r="X7340" s="8">
        <v>93</v>
      </c>
      <c r="Y7340" s="8" t="s">
        <v>32542</v>
      </c>
      <c r="Z7340" s="8" t="s">
        <v>32543</v>
      </c>
    </row>
    <row r="7341" spans="1:26" x14ac:dyDescent="0.2">
      <c r="A7341" s="8">
        <v>7340</v>
      </c>
      <c r="B7341" s="8" t="s">
        <v>32544</v>
      </c>
      <c r="C7341" s="8" t="s">
        <v>32544</v>
      </c>
      <c r="F7341" s="47"/>
      <c r="G7341" s="8">
        <v>12</v>
      </c>
      <c r="H7341" s="8" t="s">
        <v>21</v>
      </c>
      <c r="I7341" s="8" t="s">
        <v>22</v>
      </c>
      <c r="J7341" s="8" t="s">
        <v>22</v>
      </c>
      <c r="K7341" s="8" t="s">
        <v>818</v>
      </c>
      <c r="L7341" s="8" t="s">
        <v>24</v>
      </c>
      <c r="M7341" s="8" t="s">
        <v>25</v>
      </c>
      <c r="N7341" s="8" t="s">
        <v>32545</v>
      </c>
      <c r="O7341" s="8">
        <f>22+37/60+44.1/3600</f>
        <v>22.628916666666669</v>
      </c>
      <c r="P7341" s="8" t="s">
        <v>32546</v>
      </c>
      <c r="Q7341" s="8">
        <f>+(34+24/60+38/3600)</f>
        <v>34.410555555555554</v>
      </c>
      <c r="R7341" s="8">
        <v>13.7</v>
      </c>
      <c r="S7341" s="8">
        <v>14.7</v>
      </c>
      <c r="T7341" s="8">
        <v>1</v>
      </c>
      <c r="U7341" s="8">
        <v>13</v>
      </c>
      <c r="V7341" s="8">
        <v>0.9</v>
      </c>
      <c r="W7341" s="8">
        <v>0.6</v>
      </c>
      <c r="X7341" s="8">
        <v>162</v>
      </c>
      <c r="Y7341" s="8" t="s">
        <v>32547</v>
      </c>
      <c r="Z7341" s="8" t="s">
        <v>32548</v>
      </c>
    </row>
    <row r="7342" spans="1:26" x14ac:dyDescent="0.2">
      <c r="A7342" s="8">
        <v>7341</v>
      </c>
      <c r="B7342" s="8" t="s">
        <v>32549</v>
      </c>
      <c r="C7342" s="8" t="s">
        <v>32549</v>
      </c>
      <c r="F7342" s="47"/>
      <c r="G7342" s="8">
        <v>19</v>
      </c>
      <c r="H7342" s="8" t="s">
        <v>21</v>
      </c>
      <c r="I7342" s="8" t="s">
        <v>22</v>
      </c>
      <c r="J7342" s="8" t="s">
        <v>22</v>
      </c>
      <c r="K7342" s="8" t="s">
        <v>406</v>
      </c>
      <c r="L7342" s="8" t="s">
        <v>30854</v>
      </c>
      <c r="M7342" s="8" t="s">
        <v>30855</v>
      </c>
      <c r="N7342" s="8" t="s">
        <v>32550</v>
      </c>
      <c r="O7342" s="8">
        <f>22+39/60+5.6/3600</f>
        <v>22.651555555555554</v>
      </c>
      <c r="P7342" s="8" t="s">
        <v>32551</v>
      </c>
      <c r="Q7342" s="8">
        <f>-(22+39/60+59/3600)</f>
        <v>-22.666388888888889</v>
      </c>
      <c r="R7342" s="8">
        <v>12.3</v>
      </c>
      <c r="S7342" s="8">
        <v>13.1</v>
      </c>
      <c r="T7342" s="8">
        <v>0.8</v>
      </c>
      <c r="U7342" s="8">
        <v>13.1</v>
      </c>
      <c r="V7342" s="8">
        <v>2.4</v>
      </c>
      <c r="W7342" s="8">
        <v>1</v>
      </c>
      <c r="X7342" s="8">
        <v>94</v>
      </c>
      <c r="Y7342" s="8" t="s">
        <v>32552</v>
      </c>
      <c r="Z7342" s="8" t="s">
        <v>32553</v>
      </c>
    </row>
    <row r="7343" spans="1:26" x14ac:dyDescent="0.2">
      <c r="A7343" s="8">
        <v>7342</v>
      </c>
      <c r="B7343" s="8" t="s">
        <v>32554</v>
      </c>
      <c r="C7343" s="8" t="s">
        <v>32554</v>
      </c>
      <c r="F7343" s="47"/>
      <c r="G7343" s="8">
        <v>18</v>
      </c>
      <c r="H7343" s="8" t="s">
        <v>21</v>
      </c>
      <c r="I7343" s="8" t="s">
        <v>22</v>
      </c>
      <c r="J7343" s="8" t="s">
        <v>22</v>
      </c>
      <c r="K7343" s="8" t="s">
        <v>154</v>
      </c>
      <c r="L7343" s="8" t="s">
        <v>24</v>
      </c>
      <c r="M7343" s="8" t="s">
        <v>25</v>
      </c>
      <c r="N7343" s="8" t="s">
        <v>32555</v>
      </c>
      <c r="O7343" s="8">
        <f>22+38/60+13.2/3600</f>
        <v>22.637</v>
      </c>
      <c r="P7343" s="8" t="s">
        <v>32556</v>
      </c>
      <c r="Q7343" s="8">
        <f>+(35+29/60+55/3600)</f>
        <v>35.49861111111111</v>
      </c>
      <c r="R7343" s="8">
        <v>13.9</v>
      </c>
      <c r="S7343" s="8">
        <v>14.8</v>
      </c>
      <c r="T7343" s="8">
        <v>0.9</v>
      </c>
      <c r="U7343" s="8">
        <v>14.3</v>
      </c>
      <c r="V7343" s="8">
        <v>1.3</v>
      </c>
      <c r="W7343" s="8">
        <v>1.3</v>
      </c>
      <c r="Y7343" s="8" t="s">
        <v>266</v>
      </c>
      <c r="Z7343" s="8" t="s">
        <v>267</v>
      </c>
    </row>
    <row r="7344" spans="1:26" x14ac:dyDescent="0.2">
      <c r="A7344" s="8">
        <v>7343</v>
      </c>
      <c r="B7344" s="8" t="s">
        <v>32557</v>
      </c>
      <c r="C7344" s="8" t="s">
        <v>32557</v>
      </c>
      <c r="F7344" s="47"/>
      <c r="G7344" s="8">
        <v>18</v>
      </c>
      <c r="H7344" s="8" t="s">
        <v>21</v>
      </c>
      <c r="I7344" s="8" t="s">
        <v>22</v>
      </c>
      <c r="J7344" s="8" t="s">
        <v>22</v>
      </c>
      <c r="K7344" s="8" t="s">
        <v>85</v>
      </c>
      <c r="L7344" s="8" t="s">
        <v>24</v>
      </c>
      <c r="M7344" s="8" t="s">
        <v>25</v>
      </c>
      <c r="N7344" s="8" t="s">
        <v>32558</v>
      </c>
      <c r="O7344" s="8">
        <f>22+38/60+37.8/3600</f>
        <v>22.643833333333333</v>
      </c>
      <c r="P7344" s="8" t="s">
        <v>32559</v>
      </c>
      <c r="Q7344" s="8">
        <f>+(34+4/60+18/3600)</f>
        <v>34.071666666666673</v>
      </c>
      <c r="R7344" s="8">
        <v>13.5</v>
      </c>
      <c r="S7344" s="8">
        <v>14.4</v>
      </c>
      <c r="T7344" s="8">
        <v>0.9</v>
      </c>
      <c r="U7344" s="8">
        <v>13.3</v>
      </c>
      <c r="V7344" s="8">
        <v>1</v>
      </c>
      <c r="W7344" s="8">
        <v>0.8</v>
      </c>
      <c r="X7344" s="8">
        <v>160</v>
      </c>
      <c r="Y7344" s="8" t="s">
        <v>32560</v>
      </c>
      <c r="Z7344" s="8" t="s">
        <v>32561</v>
      </c>
    </row>
    <row r="7345" spans="1:26" x14ac:dyDescent="0.2">
      <c r="A7345" s="8">
        <v>7344</v>
      </c>
      <c r="B7345" s="8" t="s">
        <v>32562</v>
      </c>
      <c r="C7345" s="8" t="s">
        <v>32562</v>
      </c>
      <c r="F7345" s="47"/>
      <c r="G7345" s="8">
        <v>18</v>
      </c>
      <c r="H7345" s="8" t="s">
        <v>21</v>
      </c>
      <c r="I7345" s="8" t="s">
        <v>22</v>
      </c>
      <c r="J7345" s="8" t="s">
        <v>22</v>
      </c>
      <c r="K7345" s="8" t="s">
        <v>31</v>
      </c>
      <c r="L7345" s="8" t="s">
        <v>30854</v>
      </c>
      <c r="M7345" s="8" t="s">
        <v>30855</v>
      </c>
      <c r="N7345" s="8" t="s">
        <v>32563</v>
      </c>
      <c r="O7345" s="8">
        <f>22+39/60+36.1/3600</f>
        <v>22.660027777777778</v>
      </c>
      <c r="P7345" s="8" t="s">
        <v>32564</v>
      </c>
      <c r="Q7345" s="8">
        <f>-(4+9/60+32/3600)</f>
        <v>-4.1588888888888889</v>
      </c>
      <c r="R7345" s="8">
        <v>13.7</v>
      </c>
      <c r="S7345" s="8">
        <v>14.5</v>
      </c>
      <c r="T7345" s="8">
        <v>0.8</v>
      </c>
      <c r="U7345" s="8">
        <v>13.7</v>
      </c>
      <c r="V7345" s="8">
        <v>1.5</v>
      </c>
      <c r="W7345" s="8">
        <v>0.8</v>
      </c>
      <c r="X7345" s="8">
        <v>15</v>
      </c>
      <c r="Y7345" s="8" t="s">
        <v>32565</v>
      </c>
      <c r="Z7345" s="8" t="s">
        <v>27278</v>
      </c>
    </row>
    <row r="7346" spans="1:26" x14ac:dyDescent="0.2">
      <c r="A7346" s="8">
        <v>7345</v>
      </c>
      <c r="B7346" s="8" t="s">
        <v>32566</v>
      </c>
      <c r="C7346" s="8" t="s">
        <v>32566</v>
      </c>
      <c r="F7346" s="47"/>
      <c r="G7346" s="8">
        <v>18</v>
      </c>
      <c r="H7346" s="8" t="s">
        <v>21</v>
      </c>
      <c r="I7346" s="8" t="s">
        <v>22</v>
      </c>
      <c r="J7346" s="8" t="s">
        <v>22</v>
      </c>
      <c r="K7346" s="8" t="s">
        <v>91</v>
      </c>
      <c r="L7346" s="8" t="s">
        <v>24</v>
      </c>
      <c r="M7346" s="8" t="s">
        <v>25</v>
      </c>
      <c r="N7346" s="8" t="s">
        <v>32567</v>
      </c>
      <c r="O7346" s="8">
        <f>22+38/60+44.9/3600</f>
        <v>22.645805555555555</v>
      </c>
      <c r="P7346" s="8" t="s">
        <v>32568</v>
      </c>
      <c r="Q7346" s="8">
        <f>+(35+32/60+26/3600)</f>
        <v>35.540555555555557</v>
      </c>
      <c r="R7346" s="8">
        <v>14.3</v>
      </c>
      <c r="S7346" s="8">
        <v>15.2</v>
      </c>
      <c r="T7346" s="8">
        <v>0.9</v>
      </c>
      <c r="U7346" s="8">
        <v>12.6</v>
      </c>
      <c r="V7346" s="8">
        <v>1.2</v>
      </c>
      <c r="W7346" s="8">
        <v>0.2</v>
      </c>
      <c r="X7346" s="8">
        <v>39</v>
      </c>
      <c r="Y7346" s="8" t="s">
        <v>266</v>
      </c>
      <c r="Z7346" s="8" t="s">
        <v>267</v>
      </c>
    </row>
    <row r="7347" spans="1:26" x14ac:dyDescent="0.2">
      <c r="A7347" s="8">
        <v>7346</v>
      </c>
      <c r="B7347" s="8" t="s">
        <v>32569</v>
      </c>
      <c r="C7347" s="8" t="s">
        <v>32569</v>
      </c>
      <c r="F7347" s="47"/>
      <c r="G7347" s="8">
        <v>18</v>
      </c>
      <c r="H7347" s="8" t="s">
        <v>21</v>
      </c>
      <c r="I7347" s="8" t="s">
        <v>22</v>
      </c>
      <c r="J7347" s="8" t="s">
        <v>22</v>
      </c>
      <c r="K7347" s="8" t="s">
        <v>382</v>
      </c>
      <c r="L7347" s="8" t="s">
        <v>24</v>
      </c>
      <c r="M7347" s="8" t="s">
        <v>25</v>
      </c>
      <c r="N7347" s="8" t="s">
        <v>32570</v>
      </c>
      <c r="O7347" s="8">
        <f>22+39/60+35.4/3600</f>
        <v>22.659833333333331</v>
      </c>
      <c r="P7347" s="8" t="s">
        <v>32571</v>
      </c>
      <c r="Q7347" s="8">
        <f>+(11+5/60+2/3600)</f>
        <v>11.08388888888889</v>
      </c>
      <c r="R7347" s="8">
        <v>14.6</v>
      </c>
      <c r="S7347" s="8">
        <v>15.6</v>
      </c>
      <c r="T7347" s="8">
        <v>1</v>
      </c>
      <c r="U7347" s="8">
        <v>13.1</v>
      </c>
      <c r="V7347" s="8">
        <v>0.4</v>
      </c>
      <c r="W7347" s="8">
        <v>0.3</v>
      </c>
      <c r="X7347" s="8">
        <v>48</v>
      </c>
      <c r="Y7347" s="8" t="s">
        <v>2287</v>
      </c>
      <c r="Z7347" s="8" t="s">
        <v>2288</v>
      </c>
    </row>
    <row r="7348" spans="1:26" x14ac:dyDescent="0.2">
      <c r="A7348" s="8">
        <v>7347</v>
      </c>
      <c r="B7348" s="8" t="s">
        <v>32572</v>
      </c>
      <c r="C7348" s="8" t="s">
        <v>32572</v>
      </c>
      <c r="F7348" s="47"/>
      <c r="G7348" s="8">
        <v>16</v>
      </c>
      <c r="H7348" s="8" t="s">
        <v>21</v>
      </c>
      <c r="I7348" s="8" t="s">
        <v>22</v>
      </c>
      <c r="J7348" s="8" t="s">
        <v>22</v>
      </c>
      <c r="K7348" s="8" t="s">
        <v>160</v>
      </c>
      <c r="L7348" s="8" t="s">
        <v>24</v>
      </c>
      <c r="M7348" s="8" t="s">
        <v>25</v>
      </c>
      <c r="N7348" s="8" t="s">
        <v>32573</v>
      </c>
      <c r="O7348" s="8">
        <f>22+39/60+56/3600</f>
        <v>22.665555555555553</v>
      </c>
      <c r="P7348" s="8" t="s">
        <v>32574</v>
      </c>
      <c r="Q7348" s="8">
        <f>+(11+1/60+40/3600)</f>
        <v>11.027777777777779</v>
      </c>
      <c r="R7348" s="8">
        <v>13.7</v>
      </c>
      <c r="S7348" s="8">
        <v>14.4</v>
      </c>
      <c r="T7348" s="8">
        <v>0.7</v>
      </c>
      <c r="U7348" s="8">
        <v>12.7</v>
      </c>
      <c r="V7348" s="8">
        <v>1.5</v>
      </c>
      <c r="W7348" s="8">
        <v>0.3</v>
      </c>
      <c r="X7348" s="8">
        <v>133</v>
      </c>
      <c r="Y7348" s="8" t="s">
        <v>32575</v>
      </c>
      <c r="Z7348" s="8" t="s">
        <v>32576</v>
      </c>
    </row>
    <row r="7349" spans="1:26" x14ac:dyDescent="0.2">
      <c r="A7349" s="8">
        <v>7348</v>
      </c>
      <c r="B7349" s="8" t="s">
        <v>32577</v>
      </c>
      <c r="C7349" s="8" t="s">
        <v>32577</v>
      </c>
      <c r="F7349" s="47"/>
      <c r="G7349" s="8">
        <v>18</v>
      </c>
      <c r="H7349" s="8" t="s">
        <v>21</v>
      </c>
      <c r="I7349" s="8" t="s">
        <v>22</v>
      </c>
      <c r="J7349" s="8" t="s">
        <v>22</v>
      </c>
      <c r="K7349" s="8" t="s">
        <v>64</v>
      </c>
      <c r="L7349" s="8" t="s">
        <v>24</v>
      </c>
      <c r="M7349" s="8" t="s">
        <v>25</v>
      </c>
      <c r="N7349" s="8" t="s">
        <v>32578</v>
      </c>
      <c r="O7349" s="8">
        <f>22+40/60+36.2/3600</f>
        <v>22.676722222222224</v>
      </c>
      <c r="P7349" s="8" t="s">
        <v>32579</v>
      </c>
      <c r="Q7349" s="8">
        <f>+(11+54/60+22/3600)</f>
        <v>11.906111111111111</v>
      </c>
      <c r="R7349" s="8">
        <v>13.8</v>
      </c>
      <c r="S7349" s="8">
        <v>14.5</v>
      </c>
      <c r="T7349" s="8">
        <v>0.7</v>
      </c>
      <c r="U7349" s="8">
        <v>13.2</v>
      </c>
      <c r="V7349" s="8">
        <v>1.1000000000000001</v>
      </c>
      <c r="W7349" s="8">
        <v>0.6</v>
      </c>
      <c r="X7349" s="8">
        <v>12</v>
      </c>
      <c r="Y7349" s="8" t="s">
        <v>13422</v>
      </c>
      <c r="Z7349" s="8" t="s">
        <v>13423</v>
      </c>
    </row>
    <row r="7350" spans="1:26" x14ac:dyDescent="0.2">
      <c r="A7350" s="8">
        <v>7349</v>
      </c>
      <c r="B7350" s="8" t="s">
        <v>32580</v>
      </c>
      <c r="C7350" s="8" t="s">
        <v>32580</v>
      </c>
      <c r="F7350" s="47"/>
      <c r="G7350" s="8">
        <v>19</v>
      </c>
      <c r="H7350" s="8" t="s">
        <v>21</v>
      </c>
      <c r="I7350" s="8" t="s">
        <v>22</v>
      </c>
      <c r="J7350" s="8" t="s">
        <v>22</v>
      </c>
      <c r="K7350" s="8" t="s">
        <v>218</v>
      </c>
      <c r="L7350" s="8" t="s">
        <v>30854</v>
      </c>
      <c r="M7350" s="8" t="s">
        <v>30855</v>
      </c>
      <c r="N7350" s="8" t="s">
        <v>32581</v>
      </c>
      <c r="O7350" s="8">
        <f>22+41/60+14.7/3600</f>
        <v>22.687416666666667</v>
      </c>
      <c r="P7350" s="8" t="s">
        <v>32582</v>
      </c>
      <c r="Q7350" s="8">
        <f>-(21+47/60+48/3600)</f>
        <v>-21.796666666666667</v>
      </c>
      <c r="R7350" s="8">
        <v>14.3</v>
      </c>
      <c r="S7350" s="8">
        <v>15.1</v>
      </c>
      <c r="T7350" s="8">
        <v>0.8</v>
      </c>
      <c r="U7350" s="8">
        <v>13.4</v>
      </c>
      <c r="V7350" s="8">
        <v>1</v>
      </c>
      <c r="W7350" s="8">
        <v>0.5</v>
      </c>
      <c r="X7350" s="8">
        <v>166</v>
      </c>
      <c r="Y7350" s="8" t="s">
        <v>32583</v>
      </c>
      <c r="Z7350" s="8" t="s">
        <v>32584</v>
      </c>
    </row>
    <row r="7351" spans="1:26" x14ac:dyDescent="0.2">
      <c r="A7351" s="8">
        <v>7350</v>
      </c>
      <c r="B7351" s="8" t="s">
        <v>32585</v>
      </c>
      <c r="C7351" s="8" t="s">
        <v>32585</v>
      </c>
      <c r="F7351" s="47"/>
      <c r="G7351" s="8">
        <v>18</v>
      </c>
      <c r="H7351" s="8" t="s">
        <v>21</v>
      </c>
      <c r="I7351" s="8" t="s">
        <v>72</v>
      </c>
      <c r="J7351" s="8" t="s">
        <v>72</v>
      </c>
      <c r="K7351" s="8" t="s">
        <v>73</v>
      </c>
      <c r="L7351" s="8" t="s">
        <v>24</v>
      </c>
      <c r="M7351" s="8" t="s">
        <v>25</v>
      </c>
      <c r="N7351" s="8" t="s">
        <v>32586</v>
      </c>
      <c r="O7351" s="8">
        <f>22+40/60+48.2/3600</f>
        <v>22.680055555555558</v>
      </c>
      <c r="P7351" s="8" t="s">
        <v>32587</v>
      </c>
      <c r="Q7351" s="8">
        <f>+(12+0/60+25/3600)</f>
        <v>12.006944444444445</v>
      </c>
      <c r="R7351" s="8">
        <v>99</v>
      </c>
      <c r="S7351" s="8">
        <v>99</v>
      </c>
      <c r="T7351" s="8">
        <v>99</v>
      </c>
      <c r="U7351" s="8">
        <v>99</v>
      </c>
      <c r="Y7351" s="8" t="s">
        <v>297</v>
      </c>
      <c r="Z7351" s="8" t="s">
        <v>298</v>
      </c>
    </row>
    <row r="7352" spans="1:26" x14ac:dyDescent="0.2">
      <c r="A7352" s="8">
        <v>7351</v>
      </c>
      <c r="B7352" s="8" t="s">
        <v>32588</v>
      </c>
      <c r="C7352" s="8" t="s">
        <v>32588</v>
      </c>
      <c r="F7352" s="47"/>
      <c r="G7352" s="8">
        <v>19</v>
      </c>
      <c r="H7352" s="8" t="s">
        <v>21</v>
      </c>
      <c r="I7352" s="8" t="s">
        <v>22</v>
      </c>
      <c r="J7352" s="8" t="s">
        <v>22</v>
      </c>
      <c r="K7352" s="8" t="s">
        <v>37</v>
      </c>
      <c r="L7352" s="8" t="s">
        <v>30854</v>
      </c>
      <c r="M7352" s="8" t="s">
        <v>30855</v>
      </c>
      <c r="N7352" s="8" t="s">
        <v>32589</v>
      </c>
      <c r="O7352" s="8">
        <f>22+41/60+26.9/3600</f>
        <v>22.690805555555556</v>
      </c>
      <c r="P7352" s="8" t="s">
        <v>32590</v>
      </c>
      <c r="Q7352" s="8">
        <f>-(4+26/60+39/3600)</f>
        <v>-4.4441666666666668</v>
      </c>
      <c r="R7352" s="8">
        <v>12.9</v>
      </c>
      <c r="S7352" s="8">
        <v>13.9</v>
      </c>
      <c r="T7352" s="8">
        <v>1</v>
      </c>
      <c r="U7352" s="8">
        <v>13.4</v>
      </c>
      <c r="V7352" s="8">
        <v>1.8</v>
      </c>
      <c r="W7352" s="8">
        <v>1</v>
      </c>
      <c r="X7352" s="8">
        <v>177</v>
      </c>
      <c r="Y7352" s="8" t="s">
        <v>32591</v>
      </c>
      <c r="Z7352" s="8" t="s">
        <v>32592</v>
      </c>
    </row>
    <row r="7353" spans="1:26" x14ac:dyDescent="0.2">
      <c r="A7353" s="8">
        <v>7352</v>
      </c>
      <c r="B7353" s="8" t="s">
        <v>32593</v>
      </c>
      <c r="C7353" s="8" t="s">
        <v>32593</v>
      </c>
      <c r="F7353" s="47"/>
      <c r="G7353" s="8">
        <v>16</v>
      </c>
      <c r="H7353" s="8" t="s">
        <v>21</v>
      </c>
      <c r="I7353" s="8" t="s">
        <v>72</v>
      </c>
      <c r="J7353" s="8" t="s">
        <v>72</v>
      </c>
      <c r="K7353" s="8" t="s">
        <v>1405</v>
      </c>
      <c r="L7353" s="8" t="s">
        <v>242</v>
      </c>
      <c r="M7353" s="8" t="s">
        <v>243</v>
      </c>
      <c r="N7353" s="8" t="s">
        <v>32594</v>
      </c>
      <c r="O7353" s="8">
        <f>22+39/60+44.2/3600</f>
        <v>22.662277777777778</v>
      </c>
      <c r="P7353" s="8" t="s">
        <v>32595</v>
      </c>
      <c r="Q7353" s="8">
        <f>+(57+23/60+6/3600)</f>
        <v>57.384999999999998</v>
      </c>
      <c r="R7353" s="8">
        <v>99</v>
      </c>
      <c r="S7353" s="8">
        <v>99</v>
      </c>
      <c r="T7353" s="8">
        <v>99</v>
      </c>
      <c r="U7353" s="8">
        <v>99</v>
      </c>
      <c r="V7353" s="8">
        <v>5</v>
      </c>
      <c r="Y7353" s="8" t="s">
        <v>32596</v>
      </c>
      <c r="Z7353" s="8" t="s">
        <v>32597</v>
      </c>
    </row>
    <row r="7354" spans="1:26" x14ac:dyDescent="0.2">
      <c r="A7354" s="8">
        <v>7353</v>
      </c>
      <c r="B7354" s="8" t="s">
        <v>32598</v>
      </c>
      <c r="C7354" s="8" t="s">
        <v>32598</v>
      </c>
      <c r="F7354" s="47"/>
      <c r="G7354" s="8">
        <v>18</v>
      </c>
      <c r="H7354" s="8" t="s">
        <v>21</v>
      </c>
      <c r="I7354" s="8" t="s">
        <v>22</v>
      </c>
      <c r="J7354" s="8" t="s">
        <v>22</v>
      </c>
      <c r="K7354" s="8" t="s">
        <v>476</v>
      </c>
      <c r="L7354" s="8" t="s">
        <v>24</v>
      </c>
      <c r="M7354" s="8" t="s">
        <v>25</v>
      </c>
      <c r="N7354" s="8" t="s">
        <v>32599</v>
      </c>
      <c r="O7354" s="8">
        <f>22+42/60+12.5/3600</f>
        <v>22.703472222222221</v>
      </c>
      <c r="P7354" s="8" t="s">
        <v>25182</v>
      </c>
      <c r="Q7354" s="8">
        <f>+(11+52/60+38/3600)</f>
        <v>11.877222222222223</v>
      </c>
      <c r="R7354" s="8">
        <v>15.1</v>
      </c>
      <c r="S7354" s="8">
        <v>15.9</v>
      </c>
      <c r="T7354" s="8">
        <v>0.8</v>
      </c>
      <c r="U7354" s="8">
        <v>13.6</v>
      </c>
      <c r="V7354" s="8">
        <v>0.6</v>
      </c>
      <c r="W7354" s="8">
        <v>0.5</v>
      </c>
      <c r="Y7354" s="8" t="s">
        <v>47</v>
      </c>
      <c r="Z7354" s="8" t="s">
        <v>48</v>
      </c>
    </row>
    <row r="7355" spans="1:26" x14ac:dyDescent="0.2">
      <c r="A7355" s="8">
        <v>7354</v>
      </c>
      <c r="B7355" s="8" t="s">
        <v>32600</v>
      </c>
      <c r="C7355" s="8" t="s">
        <v>32600</v>
      </c>
      <c r="F7355" s="47" t="s">
        <v>58341</v>
      </c>
      <c r="G7355" s="8">
        <v>6.5</v>
      </c>
      <c r="H7355" s="8" t="s">
        <v>21</v>
      </c>
      <c r="I7355" s="8" t="s">
        <v>241</v>
      </c>
      <c r="J7355" s="8" t="s">
        <v>241</v>
      </c>
      <c r="K7355" s="8" t="s">
        <v>241</v>
      </c>
      <c r="L7355" s="8" t="s">
        <v>242</v>
      </c>
      <c r="M7355" s="8" t="s">
        <v>243</v>
      </c>
      <c r="N7355" s="8" t="s">
        <v>32601</v>
      </c>
      <c r="O7355" s="8">
        <f>22+40/60+20/3600</f>
        <v>22.672222222222224</v>
      </c>
      <c r="P7355" s="8" t="s">
        <v>32602</v>
      </c>
      <c r="Q7355" s="8">
        <f>+(61+17/60+10/3600)</f>
        <v>61.286111111111111</v>
      </c>
      <c r="R7355" s="8">
        <v>12.2</v>
      </c>
      <c r="S7355" s="8">
        <v>12.9</v>
      </c>
      <c r="T7355" s="8">
        <v>99</v>
      </c>
      <c r="U7355" s="8">
        <v>99</v>
      </c>
      <c r="V7355" s="8">
        <v>0.6</v>
      </c>
      <c r="Y7355" s="8" t="s">
        <v>32603</v>
      </c>
      <c r="Z7355" s="8" t="s">
        <v>32604</v>
      </c>
    </row>
    <row r="7356" spans="1:26" x14ac:dyDescent="0.2">
      <c r="A7356" s="8">
        <v>7355</v>
      </c>
      <c r="B7356" s="8" t="s">
        <v>32605</v>
      </c>
      <c r="C7356" s="8" t="s">
        <v>32605</v>
      </c>
      <c r="F7356" s="47"/>
      <c r="G7356" s="8">
        <v>16</v>
      </c>
      <c r="H7356" s="8" t="s">
        <v>21</v>
      </c>
      <c r="I7356" s="8" t="s">
        <v>22</v>
      </c>
      <c r="J7356" s="8" t="s">
        <v>22</v>
      </c>
      <c r="K7356" s="8" t="s">
        <v>23</v>
      </c>
      <c r="L7356" s="8" t="s">
        <v>31389</v>
      </c>
      <c r="M7356" s="8" t="s">
        <v>31390</v>
      </c>
      <c r="N7356" s="8" t="s">
        <v>32606</v>
      </c>
      <c r="O7356" s="8">
        <f>22+43/60+30.4/3600</f>
        <v>22.725111111111108</v>
      </c>
      <c r="P7356" s="8" t="s">
        <v>32607</v>
      </c>
      <c r="Q7356" s="8">
        <f>-(36+51/60+55/3600)</f>
        <v>-36.865277777777777</v>
      </c>
      <c r="R7356" s="8">
        <v>14.3</v>
      </c>
      <c r="S7356" s="8">
        <v>15.1</v>
      </c>
      <c r="T7356" s="8">
        <v>0.8</v>
      </c>
      <c r="U7356" s="8">
        <v>13.2</v>
      </c>
      <c r="V7356" s="8">
        <v>1</v>
      </c>
      <c r="W7356" s="8">
        <v>0.4</v>
      </c>
      <c r="X7356" s="8">
        <v>43</v>
      </c>
      <c r="Y7356" s="8" t="s">
        <v>32608</v>
      </c>
      <c r="Z7356" s="8" t="s">
        <v>32609</v>
      </c>
    </row>
    <row r="7357" spans="1:26" x14ac:dyDescent="0.2">
      <c r="A7357" s="8">
        <v>7356</v>
      </c>
      <c r="B7357" s="8" t="s">
        <v>32610</v>
      </c>
      <c r="C7357" s="8" t="s">
        <v>32610</v>
      </c>
      <c r="F7357" s="47"/>
      <c r="G7357" s="8">
        <v>19</v>
      </c>
      <c r="H7357" s="8" t="s">
        <v>21</v>
      </c>
      <c r="I7357" s="8" t="s">
        <v>22</v>
      </c>
      <c r="J7357" s="8" t="s">
        <v>22</v>
      </c>
      <c r="K7357" s="8" t="s">
        <v>396</v>
      </c>
      <c r="L7357" s="8" t="s">
        <v>24</v>
      </c>
      <c r="M7357" s="8" t="s">
        <v>25</v>
      </c>
      <c r="N7357" s="8" t="s">
        <v>32611</v>
      </c>
      <c r="O7357" s="8">
        <f>22+42/60+2.3/3600</f>
        <v>22.700638888888889</v>
      </c>
      <c r="P7357" s="8" t="s">
        <v>32612</v>
      </c>
      <c r="Q7357" s="8">
        <f>+(30+42/60+34/3600)</f>
        <v>30.709444444444443</v>
      </c>
      <c r="R7357" s="8">
        <v>14</v>
      </c>
      <c r="S7357" s="8">
        <v>14.8</v>
      </c>
      <c r="T7357" s="8">
        <v>0.8</v>
      </c>
      <c r="U7357" s="8">
        <v>13.3</v>
      </c>
      <c r="V7357" s="8">
        <v>1.1000000000000001</v>
      </c>
      <c r="W7357" s="8">
        <v>0.5</v>
      </c>
      <c r="X7357" s="8">
        <v>76</v>
      </c>
      <c r="Y7357" s="8" t="s">
        <v>32613</v>
      </c>
      <c r="Z7357" s="8" t="s">
        <v>32614</v>
      </c>
    </row>
    <row r="7358" spans="1:26" x14ac:dyDescent="0.2">
      <c r="A7358" s="8">
        <v>7357</v>
      </c>
      <c r="B7358" s="8" t="s">
        <v>32615</v>
      </c>
      <c r="C7358" s="8" t="s">
        <v>32615</v>
      </c>
      <c r="F7358" s="47"/>
      <c r="G7358" s="8">
        <v>19</v>
      </c>
      <c r="H7358" s="8" t="s">
        <v>21</v>
      </c>
      <c r="I7358" s="8" t="s">
        <v>22</v>
      </c>
      <c r="J7358" s="8" t="s">
        <v>22</v>
      </c>
      <c r="K7358" s="8" t="s">
        <v>23</v>
      </c>
      <c r="L7358" s="8" t="s">
        <v>24</v>
      </c>
      <c r="M7358" s="8" t="s">
        <v>25</v>
      </c>
      <c r="N7358" s="8" t="s">
        <v>32616</v>
      </c>
      <c r="O7358" s="8">
        <f>22+42/60+23.9/3600</f>
        <v>22.706638888888889</v>
      </c>
      <c r="P7358" s="8" t="s">
        <v>32617</v>
      </c>
      <c r="Q7358" s="8">
        <f>+(30+10/60+19/3600)</f>
        <v>30.171944444444446</v>
      </c>
      <c r="R7358" s="8">
        <v>14</v>
      </c>
      <c r="S7358" s="8">
        <v>14.8</v>
      </c>
      <c r="T7358" s="8">
        <v>0.8</v>
      </c>
      <c r="U7358" s="8">
        <v>13.9</v>
      </c>
      <c r="V7358" s="8">
        <v>1.5</v>
      </c>
      <c r="W7358" s="8">
        <v>0.7</v>
      </c>
      <c r="X7358" s="8">
        <v>120</v>
      </c>
      <c r="Y7358" s="8" t="s">
        <v>32618</v>
      </c>
      <c r="Z7358" s="8" t="s">
        <v>32619</v>
      </c>
    </row>
    <row r="7359" spans="1:26" x14ac:dyDescent="0.2">
      <c r="A7359" s="8">
        <v>7358</v>
      </c>
      <c r="B7359" s="8" t="s">
        <v>32620</v>
      </c>
      <c r="C7359" s="8" t="s">
        <v>32620</v>
      </c>
      <c r="F7359" s="47"/>
      <c r="G7359" s="8">
        <v>16</v>
      </c>
      <c r="H7359" s="8" t="s">
        <v>21</v>
      </c>
      <c r="I7359" s="8" t="s">
        <v>22</v>
      </c>
      <c r="J7359" s="8" t="s">
        <v>22</v>
      </c>
      <c r="K7359" s="8" t="s">
        <v>37</v>
      </c>
      <c r="L7359" s="8" t="s">
        <v>310</v>
      </c>
      <c r="M7359" s="8" t="s">
        <v>311</v>
      </c>
      <c r="N7359" s="8" t="s">
        <v>32621</v>
      </c>
      <c r="O7359" s="8">
        <f>22+45/60+36.3/3600</f>
        <v>22.760083333333334</v>
      </c>
      <c r="P7359" s="8" t="s">
        <v>32622</v>
      </c>
      <c r="Q7359" s="8">
        <f>-(65+7/60+18/3600)</f>
        <v>-65.121666666666655</v>
      </c>
      <c r="R7359" s="8">
        <v>12.8</v>
      </c>
      <c r="S7359" s="8">
        <v>13.8</v>
      </c>
      <c r="T7359" s="8">
        <v>1</v>
      </c>
      <c r="U7359" s="8">
        <v>12.6</v>
      </c>
      <c r="V7359" s="8">
        <v>1.9</v>
      </c>
      <c r="W7359" s="8">
        <v>0.5</v>
      </c>
      <c r="X7359" s="8">
        <v>176</v>
      </c>
      <c r="Y7359" s="8" t="s">
        <v>2641</v>
      </c>
      <c r="Z7359" s="8" t="s">
        <v>2642</v>
      </c>
    </row>
    <row r="7360" spans="1:26" x14ac:dyDescent="0.2">
      <c r="A7360" s="8">
        <v>7359</v>
      </c>
      <c r="B7360" s="8" t="s">
        <v>32623</v>
      </c>
      <c r="C7360" s="8" t="s">
        <v>32623</v>
      </c>
      <c r="F7360" s="47"/>
      <c r="G7360" s="8">
        <v>19</v>
      </c>
      <c r="H7360" s="8" t="s">
        <v>21</v>
      </c>
      <c r="I7360" s="8" t="s">
        <v>22</v>
      </c>
      <c r="J7360" s="8" t="s">
        <v>22</v>
      </c>
      <c r="K7360" s="8" t="s">
        <v>37</v>
      </c>
      <c r="L7360" s="8" t="s">
        <v>30854</v>
      </c>
      <c r="M7360" s="8" t="s">
        <v>30855</v>
      </c>
      <c r="N7360" s="8" t="s">
        <v>32624</v>
      </c>
      <c r="O7360" s="8">
        <f>22+44/60+47.9/3600</f>
        <v>22.746638888888889</v>
      </c>
      <c r="P7360" s="8" t="s">
        <v>32625</v>
      </c>
      <c r="Q7360" s="8">
        <f>-(23+41/60+17/3600)</f>
        <v>-23.688055555555557</v>
      </c>
      <c r="R7360" s="8">
        <v>12.5</v>
      </c>
      <c r="S7360" s="8">
        <v>13.5</v>
      </c>
      <c r="T7360" s="8">
        <v>1</v>
      </c>
      <c r="U7360" s="8">
        <v>12.7</v>
      </c>
      <c r="V7360" s="8">
        <v>2.4</v>
      </c>
      <c r="W7360" s="8">
        <v>0.6</v>
      </c>
      <c r="X7360" s="8">
        <v>55</v>
      </c>
      <c r="Y7360" s="8" t="s">
        <v>32626</v>
      </c>
      <c r="Z7360" s="8" t="s">
        <v>32627</v>
      </c>
    </row>
    <row r="7361" spans="1:26" x14ac:dyDescent="0.2">
      <c r="A7361" s="8">
        <v>7360</v>
      </c>
      <c r="B7361" s="8" t="s">
        <v>32628</v>
      </c>
      <c r="C7361" s="8" t="s">
        <v>32628</v>
      </c>
      <c r="F7361" s="47"/>
      <c r="G7361" s="8">
        <v>18</v>
      </c>
      <c r="H7361" s="8" t="s">
        <v>21</v>
      </c>
      <c r="I7361" s="8" t="s">
        <v>22</v>
      </c>
      <c r="J7361" s="8" t="s">
        <v>22</v>
      </c>
      <c r="K7361" s="8" t="s">
        <v>449</v>
      </c>
      <c r="L7361" s="8" t="s">
        <v>24</v>
      </c>
      <c r="M7361" s="8" t="s">
        <v>25</v>
      </c>
      <c r="N7361" s="8" t="s">
        <v>32629</v>
      </c>
      <c r="O7361" s="8">
        <f>22+43/60+34.1/3600</f>
        <v>22.726138888888887</v>
      </c>
      <c r="P7361" s="8" t="s">
        <v>32630</v>
      </c>
      <c r="Q7361" s="8">
        <f>+(4+9/60+7/3600)</f>
        <v>4.1519444444444451</v>
      </c>
      <c r="R7361" s="8">
        <v>13.7</v>
      </c>
      <c r="S7361" s="8">
        <v>14.5</v>
      </c>
      <c r="T7361" s="8">
        <v>0.8</v>
      </c>
      <c r="U7361" s="8">
        <v>11.9</v>
      </c>
      <c r="V7361" s="8">
        <v>0.7</v>
      </c>
      <c r="W7361" s="8">
        <v>0.4</v>
      </c>
      <c r="X7361" s="8">
        <v>153</v>
      </c>
      <c r="Y7361" s="8" t="s">
        <v>266</v>
      </c>
      <c r="Z7361" s="8" t="s">
        <v>267</v>
      </c>
    </row>
    <row r="7362" spans="1:26" x14ac:dyDescent="0.2">
      <c r="A7362" s="8">
        <v>7361</v>
      </c>
      <c r="B7362" s="8" t="s">
        <v>32631</v>
      </c>
      <c r="C7362" s="8" t="s">
        <v>32631</v>
      </c>
      <c r="F7362" s="47"/>
      <c r="G7362" s="8">
        <v>13</v>
      </c>
      <c r="H7362" s="8" t="s">
        <v>21</v>
      </c>
      <c r="I7362" s="8" t="s">
        <v>22</v>
      </c>
      <c r="J7362" s="8" t="s">
        <v>22</v>
      </c>
      <c r="K7362" s="8" t="s">
        <v>160</v>
      </c>
      <c r="L7362" s="8" t="s">
        <v>31565</v>
      </c>
      <c r="M7362" s="8" t="s">
        <v>31566</v>
      </c>
      <c r="N7362" s="8" t="s">
        <v>32632</v>
      </c>
      <c r="O7362" s="8">
        <f>22+42/60+17.9/3600</f>
        <v>22.704972222222221</v>
      </c>
      <c r="P7362" s="8" t="s">
        <v>32633</v>
      </c>
      <c r="Q7362" s="8">
        <f>-(30+3/60+27/3600)</f>
        <v>-30.057500000000001</v>
      </c>
      <c r="R7362" s="8">
        <v>12.3</v>
      </c>
      <c r="S7362" s="8">
        <v>12.7</v>
      </c>
      <c r="T7362" s="8">
        <v>0.4</v>
      </c>
      <c r="U7362" s="8">
        <v>13.5</v>
      </c>
      <c r="V7362" s="8">
        <v>3.9</v>
      </c>
      <c r="W7362" s="8">
        <v>1</v>
      </c>
      <c r="X7362" s="8">
        <v>4</v>
      </c>
      <c r="Y7362" s="8" t="s">
        <v>32634</v>
      </c>
      <c r="Z7362" s="8" t="s">
        <v>32635</v>
      </c>
    </row>
    <row r="7363" spans="1:26" x14ac:dyDescent="0.2">
      <c r="A7363" s="8">
        <v>7362</v>
      </c>
      <c r="B7363" s="8" t="s">
        <v>32636</v>
      </c>
      <c r="C7363" s="8" t="s">
        <v>32636</v>
      </c>
      <c r="F7363" s="47"/>
      <c r="G7363" s="8">
        <v>19</v>
      </c>
      <c r="H7363" s="8" t="s">
        <v>21</v>
      </c>
      <c r="I7363" s="8" t="s">
        <v>22</v>
      </c>
      <c r="J7363" s="8" t="s">
        <v>22</v>
      </c>
      <c r="K7363" s="8" t="s">
        <v>382</v>
      </c>
      <c r="L7363" s="8" t="s">
        <v>24</v>
      </c>
      <c r="M7363" s="8" t="s">
        <v>25</v>
      </c>
      <c r="N7363" s="8" t="s">
        <v>32637</v>
      </c>
      <c r="O7363" s="8">
        <f>22+43/60+49.2/3600</f>
        <v>22.730333333333331</v>
      </c>
      <c r="P7363" s="8" t="s">
        <v>32638</v>
      </c>
      <c r="Q7363" s="8">
        <f>+(8+42/60+21/3600)</f>
        <v>8.7058333333333326</v>
      </c>
      <c r="R7363" s="8">
        <v>12.6</v>
      </c>
      <c r="S7363" s="8">
        <v>13.8</v>
      </c>
      <c r="T7363" s="8">
        <v>1.2</v>
      </c>
      <c r="U7363" s="8">
        <v>12.5</v>
      </c>
      <c r="V7363" s="8">
        <v>1.1000000000000001</v>
      </c>
      <c r="W7363" s="8">
        <v>0.8</v>
      </c>
      <c r="X7363" s="8">
        <v>175</v>
      </c>
      <c r="Y7363" s="8" t="s">
        <v>10836</v>
      </c>
      <c r="Z7363" s="8" t="s">
        <v>10837</v>
      </c>
    </row>
    <row r="7364" spans="1:26" x14ac:dyDescent="0.2">
      <c r="A7364" s="8">
        <v>7363</v>
      </c>
      <c r="B7364" s="8" t="s">
        <v>32639</v>
      </c>
      <c r="C7364" s="8" t="s">
        <v>32639</v>
      </c>
      <c r="F7364" s="47"/>
      <c r="G7364" s="8">
        <v>18</v>
      </c>
      <c r="H7364" s="8" t="s">
        <v>21</v>
      </c>
      <c r="I7364" s="8" t="s">
        <v>22</v>
      </c>
      <c r="J7364" s="8" t="s">
        <v>22</v>
      </c>
      <c r="K7364" s="8" t="s">
        <v>1277</v>
      </c>
      <c r="L7364" s="8" t="s">
        <v>24</v>
      </c>
      <c r="M7364" s="8" t="s">
        <v>25</v>
      </c>
      <c r="N7364" s="8" t="s">
        <v>32640</v>
      </c>
      <c r="O7364" s="8">
        <f>22+43/60+18.5/3600</f>
        <v>22.721805555555555</v>
      </c>
      <c r="P7364" s="8" t="s">
        <v>32641</v>
      </c>
      <c r="Q7364" s="8">
        <f>+(33+59/60+55/3600)</f>
        <v>33.99861111111111</v>
      </c>
      <c r="R7364" s="8">
        <v>13.8</v>
      </c>
      <c r="S7364" s="8">
        <v>14.5</v>
      </c>
      <c r="T7364" s="8">
        <v>0.7</v>
      </c>
      <c r="U7364" s="8">
        <v>13.6</v>
      </c>
      <c r="V7364" s="8">
        <v>1.1000000000000001</v>
      </c>
      <c r="W7364" s="8">
        <v>0.9</v>
      </c>
      <c r="X7364" s="8">
        <v>91</v>
      </c>
      <c r="Y7364" s="8" t="s">
        <v>32642</v>
      </c>
      <c r="Z7364" s="8" t="s">
        <v>32643</v>
      </c>
    </row>
    <row r="7365" spans="1:26" x14ac:dyDescent="0.2">
      <c r="A7365" s="8">
        <v>7364</v>
      </c>
      <c r="B7365" s="8" t="s">
        <v>32644</v>
      </c>
      <c r="C7365" s="8" t="s">
        <v>32644</v>
      </c>
      <c r="F7365" s="47" t="s">
        <v>58342</v>
      </c>
      <c r="G7365" s="8">
        <v>15</v>
      </c>
      <c r="H7365" s="8" t="s">
        <v>21</v>
      </c>
      <c r="I7365" s="8" t="s">
        <v>22</v>
      </c>
      <c r="J7365" s="8" t="s">
        <v>22</v>
      </c>
      <c r="K7365" s="8" t="s">
        <v>632</v>
      </c>
      <c r="L7365" s="8" t="s">
        <v>30854</v>
      </c>
      <c r="M7365" s="8" t="s">
        <v>30855</v>
      </c>
      <c r="N7365" s="8" t="s">
        <v>32645</v>
      </c>
      <c r="O7365" s="8">
        <f>22+44/60+24.2/3600</f>
        <v>22.740055555555557</v>
      </c>
      <c r="P7365" s="8" t="s">
        <v>32646</v>
      </c>
      <c r="Q7365" s="8">
        <f>-(0+9/60+45/3600)</f>
        <v>-0.16250000000000001</v>
      </c>
      <c r="R7365" s="8">
        <v>12.6</v>
      </c>
      <c r="S7365" s="8">
        <v>13.5</v>
      </c>
      <c r="T7365" s="8">
        <v>0.9</v>
      </c>
      <c r="U7365" s="8">
        <v>13</v>
      </c>
      <c r="V7365" s="8">
        <v>1.8</v>
      </c>
      <c r="W7365" s="8">
        <v>1.1000000000000001</v>
      </c>
      <c r="X7365" s="8">
        <v>65</v>
      </c>
      <c r="Y7365" s="8" t="s">
        <v>446</v>
      </c>
      <c r="Z7365" s="8" t="s">
        <v>447</v>
      </c>
    </row>
    <row r="7366" spans="1:26" x14ac:dyDescent="0.2">
      <c r="A7366" s="8">
        <v>7365</v>
      </c>
      <c r="B7366" s="8" t="s">
        <v>32647</v>
      </c>
      <c r="C7366" s="8" t="s">
        <v>32647</v>
      </c>
      <c r="F7366" s="47"/>
      <c r="G7366" s="8">
        <v>19</v>
      </c>
      <c r="H7366" s="8" t="s">
        <v>21</v>
      </c>
      <c r="I7366" s="8" t="s">
        <v>22</v>
      </c>
      <c r="J7366" s="8" t="s">
        <v>22</v>
      </c>
      <c r="K7366" s="8" t="s">
        <v>58</v>
      </c>
      <c r="L7366" s="8" t="s">
        <v>30854</v>
      </c>
      <c r="M7366" s="8" t="s">
        <v>30855</v>
      </c>
      <c r="N7366" s="8" t="s">
        <v>32648</v>
      </c>
      <c r="O7366" s="8">
        <f>22+45/60+10/3600</f>
        <v>22.752777777777776</v>
      </c>
      <c r="P7366" s="8" t="s">
        <v>32649</v>
      </c>
      <c r="Q7366" s="8">
        <f>-(19+57/60+6/3600)</f>
        <v>-19.951666666666664</v>
      </c>
      <c r="R7366" s="8">
        <v>12.9</v>
      </c>
      <c r="S7366" s="8">
        <v>13.7</v>
      </c>
      <c r="T7366" s="8">
        <v>0.8</v>
      </c>
      <c r="U7366" s="8">
        <v>13.2</v>
      </c>
      <c r="V7366" s="8">
        <v>1.5</v>
      </c>
      <c r="W7366" s="8">
        <v>1</v>
      </c>
      <c r="X7366" s="8">
        <v>34</v>
      </c>
      <c r="Y7366" s="8" t="s">
        <v>32650</v>
      </c>
      <c r="Z7366" s="8" t="s">
        <v>32651</v>
      </c>
    </row>
    <row r="7367" spans="1:26" x14ac:dyDescent="0.2">
      <c r="A7367" s="8">
        <v>7366</v>
      </c>
      <c r="B7367" s="8" t="s">
        <v>32652</v>
      </c>
      <c r="C7367" s="8" t="s">
        <v>32652</v>
      </c>
      <c r="F7367" s="47"/>
      <c r="G7367" s="8">
        <v>18</v>
      </c>
      <c r="H7367" s="8" t="s">
        <v>21</v>
      </c>
      <c r="I7367" s="8" t="s">
        <v>22</v>
      </c>
      <c r="J7367" s="8" t="s">
        <v>22</v>
      </c>
      <c r="K7367" s="8" t="s">
        <v>449</v>
      </c>
      <c r="L7367" s="8" t="s">
        <v>24</v>
      </c>
      <c r="M7367" s="8" t="s">
        <v>25</v>
      </c>
      <c r="N7367" s="8" t="s">
        <v>32653</v>
      </c>
      <c r="O7367" s="8">
        <f>22+44/60+26.6/3600</f>
        <v>22.740722222222225</v>
      </c>
      <c r="P7367" s="8" t="s">
        <v>32654</v>
      </c>
      <c r="Q7367" s="8">
        <f>+(10+46/60+55/3600)</f>
        <v>10.781944444444445</v>
      </c>
      <c r="R7367" s="8">
        <v>14.3</v>
      </c>
      <c r="S7367" s="8">
        <v>15.1</v>
      </c>
      <c r="T7367" s="8">
        <v>0.8</v>
      </c>
      <c r="U7367" s="8">
        <v>12.1</v>
      </c>
      <c r="V7367" s="8">
        <v>0.4</v>
      </c>
      <c r="W7367" s="8">
        <v>0.4</v>
      </c>
      <c r="Y7367" s="8" t="s">
        <v>12566</v>
      </c>
      <c r="Z7367" s="8" t="s">
        <v>12567</v>
      </c>
    </row>
    <row r="7368" spans="1:26" x14ac:dyDescent="0.2">
      <c r="A7368" s="8">
        <v>7367</v>
      </c>
      <c r="B7368" s="8" t="s">
        <v>32655</v>
      </c>
      <c r="C7368" s="8" t="s">
        <v>32655</v>
      </c>
      <c r="F7368" s="47"/>
      <c r="G7368" s="8">
        <v>18</v>
      </c>
      <c r="H7368" s="8" t="s">
        <v>21</v>
      </c>
      <c r="I7368" s="8" t="s">
        <v>22</v>
      </c>
      <c r="J7368" s="8" t="s">
        <v>22</v>
      </c>
      <c r="K7368" s="8" t="s">
        <v>31</v>
      </c>
      <c r="L7368" s="8" t="s">
        <v>24</v>
      </c>
      <c r="M7368" s="8" t="s">
        <v>25</v>
      </c>
      <c r="N7368" s="8" t="s">
        <v>32656</v>
      </c>
      <c r="O7368" s="8">
        <f>22+44/60+34.2/3600</f>
        <v>22.742833333333333</v>
      </c>
      <c r="P7368" s="8" t="s">
        <v>32657</v>
      </c>
      <c r="Q7368" s="8">
        <f>+(3+38/60+47/3600)</f>
        <v>3.6463888888888887</v>
      </c>
      <c r="R7368" s="8">
        <v>13.8</v>
      </c>
      <c r="S7368" s="8">
        <v>14.6</v>
      </c>
      <c r="T7368" s="8">
        <v>0.8</v>
      </c>
      <c r="U7368" s="8">
        <v>13.1</v>
      </c>
      <c r="V7368" s="8">
        <v>1.6</v>
      </c>
      <c r="W7368" s="8">
        <v>0.4</v>
      </c>
      <c r="X7368" s="8">
        <v>128</v>
      </c>
      <c r="Y7368" s="8" t="s">
        <v>17572</v>
      </c>
      <c r="Z7368" s="8" t="s">
        <v>17573</v>
      </c>
    </row>
    <row r="7369" spans="1:26" x14ac:dyDescent="0.2">
      <c r="A7369" s="8">
        <v>7368</v>
      </c>
      <c r="B7369" s="8" t="s">
        <v>32658</v>
      </c>
      <c r="C7369" s="8" t="s">
        <v>32658</v>
      </c>
      <c r="F7369" s="47"/>
      <c r="G7369" s="8">
        <v>16</v>
      </c>
      <c r="H7369" s="8" t="s">
        <v>21</v>
      </c>
      <c r="I7369" s="8" t="s">
        <v>22</v>
      </c>
      <c r="J7369" s="8" t="s">
        <v>22</v>
      </c>
      <c r="K7369" s="8" t="s">
        <v>218</v>
      </c>
      <c r="L7369" s="8" t="s">
        <v>31389</v>
      </c>
      <c r="M7369" s="8" t="s">
        <v>31390</v>
      </c>
      <c r="N7369" s="8" t="s">
        <v>32659</v>
      </c>
      <c r="O7369" s="8">
        <f>22+45/60+31.4/3600</f>
        <v>22.758722222222222</v>
      </c>
      <c r="P7369" s="8" t="s">
        <v>32660</v>
      </c>
      <c r="Q7369" s="8">
        <f>-(39+20/60+31/3600)</f>
        <v>-39.341944444444444</v>
      </c>
      <c r="R7369" s="8">
        <v>12</v>
      </c>
      <c r="S7369" s="8">
        <v>12.8</v>
      </c>
      <c r="T7369" s="8">
        <v>0.8</v>
      </c>
      <c r="U7369" s="8">
        <v>12.5</v>
      </c>
      <c r="V7369" s="8">
        <v>2.9</v>
      </c>
      <c r="W7369" s="8">
        <v>0.6</v>
      </c>
      <c r="X7369" s="8">
        <v>130</v>
      </c>
      <c r="Y7369" s="8" t="s">
        <v>32661</v>
      </c>
      <c r="Z7369" s="8" t="s">
        <v>32662</v>
      </c>
    </row>
    <row r="7370" spans="1:26" x14ac:dyDescent="0.2">
      <c r="A7370" s="8">
        <v>7369</v>
      </c>
      <c r="B7370" s="8" t="s">
        <v>32663</v>
      </c>
      <c r="C7370" s="8" t="s">
        <v>32663</v>
      </c>
      <c r="F7370" s="47"/>
      <c r="G7370" s="8">
        <v>18</v>
      </c>
      <c r="H7370" s="8" t="s">
        <v>21</v>
      </c>
      <c r="I7370" s="8" t="s">
        <v>22</v>
      </c>
      <c r="J7370" s="8" t="s">
        <v>22</v>
      </c>
      <c r="K7370" s="8" t="s">
        <v>160</v>
      </c>
      <c r="L7370" s="8" t="s">
        <v>24</v>
      </c>
      <c r="M7370" s="8" t="s">
        <v>25</v>
      </c>
      <c r="N7370" s="8" t="s">
        <v>32664</v>
      </c>
      <c r="O7370" s="8">
        <f>22+44/60+12.2/3600</f>
        <v>22.736722222222223</v>
      </c>
      <c r="P7370" s="8" t="s">
        <v>32665</v>
      </c>
      <c r="Q7370" s="8">
        <f>+(34+21/60+6/3600)</f>
        <v>34.351666666666667</v>
      </c>
      <c r="R7370" s="8">
        <v>13.7</v>
      </c>
      <c r="S7370" s="8">
        <v>14.4</v>
      </c>
      <c r="T7370" s="8">
        <v>0.7</v>
      </c>
      <c r="U7370" s="8">
        <v>14.1</v>
      </c>
      <c r="V7370" s="8">
        <v>1.4</v>
      </c>
      <c r="W7370" s="8">
        <v>1.1000000000000001</v>
      </c>
      <c r="X7370" s="8">
        <v>26</v>
      </c>
      <c r="Y7370" s="8" t="s">
        <v>32666</v>
      </c>
      <c r="Z7370" s="8" t="s">
        <v>32667</v>
      </c>
    </row>
    <row r="7371" spans="1:26" x14ac:dyDescent="0.2">
      <c r="A7371" s="8">
        <v>7370</v>
      </c>
      <c r="B7371" s="8" t="s">
        <v>32668</v>
      </c>
      <c r="C7371" s="8" t="s">
        <v>32668</v>
      </c>
      <c r="F7371" s="47"/>
      <c r="G7371" s="8">
        <v>18</v>
      </c>
      <c r="H7371" s="8" t="s">
        <v>21</v>
      </c>
      <c r="I7371" s="8" t="s">
        <v>22</v>
      </c>
      <c r="J7371" s="8" t="s">
        <v>22</v>
      </c>
      <c r="K7371" s="8" t="s">
        <v>449</v>
      </c>
      <c r="L7371" s="8" t="s">
        <v>24</v>
      </c>
      <c r="M7371" s="8" t="s">
        <v>25</v>
      </c>
      <c r="N7371" s="8" t="s">
        <v>32669</v>
      </c>
      <c r="O7371" s="8">
        <f>22+45/60+37.1/3600</f>
        <v>22.760305555555554</v>
      </c>
      <c r="P7371" s="8" t="s">
        <v>32670</v>
      </c>
      <c r="Q7371" s="8">
        <f>+(11+3/60+30/3600)</f>
        <v>11.058333333333334</v>
      </c>
      <c r="R7371" s="8">
        <v>15.3</v>
      </c>
      <c r="S7371" s="8">
        <v>16.100000000000001</v>
      </c>
      <c r="T7371" s="8">
        <v>0.8</v>
      </c>
      <c r="U7371" s="8">
        <v>12.7</v>
      </c>
      <c r="V7371" s="8">
        <v>0.5</v>
      </c>
      <c r="W7371" s="8">
        <v>0.2</v>
      </c>
      <c r="X7371" s="8">
        <v>132</v>
      </c>
      <c r="Y7371" s="8" t="s">
        <v>266</v>
      </c>
      <c r="Z7371" s="8" t="s">
        <v>267</v>
      </c>
    </row>
    <row r="7372" spans="1:26" x14ac:dyDescent="0.2">
      <c r="A7372" s="8">
        <v>7371</v>
      </c>
      <c r="B7372" s="8" t="s">
        <v>32671</v>
      </c>
      <c r="C7372" s="8" t="s">
        <v>32671</v>
      </c>
      <c r="F7372" s="47" t="s">
        <v>58343</v>
      </c>
      <c r="G7372" s="8">
        <v>13</v>
      </c>
      <c r="H7372" s="8" t="s">
        <v>21</v>
      </c>
      <c r="I7372" s="8" t="s">
        <v>22</v>
      </c>
      <c r="J7372" s="8" t="s">
        <v>22</v>
      </c>
      <c r="K7372" s="8" t="s">
        <v>435</v>
      </c>
      <c r="L7372" s="8" t="s">
        <v>30854</v>
      </c>
      <c r="M7372" s="8" t="s">
        <v>30855</v>
      </c>
      <c r="N7372" s="8" t="s">
        <v>32672</v>
      </c>
      <c r="O7372" s="8">
        <f>22+46/60+3.6/3600</f>
        <v>22.767666666666667</v>
      </c>
      <c r="P7372" s="8" t="s">
        <v>32673</v>
      </c>
      <c r="Q7372" s="8">
        <f>-(11+0/60+2/3600)</f>
        <v>-11.000555555555556</v>
      </c>
      <c r="R7372" s="8">
        <v>11.5</v>
      </c>
      <c r="S7372" s="8">
        <v>12.3</v>
      </c>
      <c r="T7372" s="8">
        <v>0.8</v>
      </c>
      <c r="U7372" s="8">
        <v>13</v>
      </c>
      <c r="V7372" s="8">
        <v>2</v>
      </c>
      <c r="W7372" s="8">
        <v>2</v>
      </c>
      <c r="Y7372" s="8" t="s">
        <v>19841</v>
      </c>
      <c r="Z7372" s="8" t="s">
        <v>19842</v>
      </c>
    </row>
    <row r="7373" spans="1:26" x14ac:dyDescent="0.2">
      <c r="A7373" s="8">
        <v>7372</v>
      </c>
      <c r="B7373" s="8" t="s">
        <v>32674</v>
      </c>
      <c r="C7373" s="8" t="s">
        <v>32674</v>
      </c>
      <c r="F7373" s="47"/>
      <c r="G7373" s="8">
        <v>18</v>
      </c>
      <c r="H7373" s="8" t="s">
        <v>21</v>
      </c>
      <c r="I7373" s="8" t="s">
        <v>22</v>
      </c>
      <c r="J7373" s="8" t="s">
        <v>22</v>
      </c>
      <c r="K7373" s="8" t="s">
        <v>396</v>
      </c>
      <c r="L7373" s="8" t="s">
        <v>24</v>
      </c>
      <c r="M7373" s="8" t="s">
        <v>25</v>
      </c>
      <c r="N7373" s="8" t="s">
        <v>32675</v>
      </c>
      <c r="O7373" s="8">
        <f>22+45/60+46/3600</f>
        <v>22.762777777777778</v>
      </c>
      <c r="P7373" s="8" t="s">
        <v>32676</v>
      </c>
      <c r="Q7373" s="8">
        <f>+(11+7/60+53/3600)</f>
        <v>11.131388888888889</v>
      </c>
      <c r="R7373" s="8">
        <v>13.5</v>
      </c>
      <c r="S7373" s="8">
        <v>14.3</v>
      </c>
      <c r="T7373" s="8">
        <v>0.8</v>
      </c>
      <c r="U7373" s="8">
        <v>13.2</v>
      </c>
      <c r="V7373" s="8">
        <v>1</v>
      </c>
      <c r="W7373" s="8">
        <v>0.9</v>
      </c>
      <c r="X7373" s="8">
        <v>78</v>
      </c>
      <c r="Y7373" s="8" t="s">
        <v>24844</v>
      </c>
      <c r="Z7373" s="8" t="s">
        <v>24845</v>
      </c>
    </row>
    <row r="7374" spans="1:26" x14ac:dyDescent="0.2">
      <c r="A7374" s="8">
        <v>7373</v>
      </c>
      <c r="B7374" s="8" t="s">
        <v>32677</v>
      </c>
      <c r="C7374" s="8" t="s">
        <v>32677</v>
      </c>
      <c r="F7374" s="47"/>
      <c r="G7374" s="8">
        <v>18</v>
      </c>
      <c r="H7374" s="8" t="s">
        <v>21</v>
      </c>
      <c r="I7374" s="8" t="s">
        <v>22</v>
      </c>
      <c r="J7374" s="8" t="s">
        <v>22</v>
      </c>
      <c r="K7374" s="8" t="s">
        <v>37</v>
      </c>
      <c r="L7374" s="8" t="s">
        <v>24</v>
      </c>
      <c r="M7374" s="8" t="s">
        <v>25</v>
      </c>
      <c r="N7374" s="8" t="s">
        <v>32678</v>
      </c>
      <c r="O7374" s="8">
        <f>22+46/60+19.4/3600</f>
        <v>22.772055555555553</v>
      </c>
      <c r="P7374" s="8" t="s">
        <v>32679</v>
      </c>
      <c r="Q7374" s="8">
        <f>+(3+12/60+36/3600)</f>
        <v>3.21</v>
      </c>
      <c r="R7374" s="8">
        <v>13.6</v>
      </c>
      <c r="S7374" s="8">
        <v>14.6</v>
      </c>
      <c r="T7374" s="8">
        <v>1</v>
      </c>
      <c r="U7374" s="8">
        <v>13</v>
      </c>
      <c r="V7374" s="8">
        <v>1.3</v>
      </c>
      <c r="W7374" s="8">
        <v>0.5</v>
      </c>
      <c r="X7374" s="8">
        <v>16</v>
      </c>
      <c r="Y7374" s="8" t="s">
        <v>32680</v>
      </c>
      <c r="Z7374" s="8" t="s">
        <v>32681</v>
      </c>
    </row>
    <row r="7375" spans="1:26" x14ac:dyDescent="0.2">
      <c r="A7375" s="8">
        <v>7374</v>
      </c>
      <c r="B7375" s="8" t="s">
        <v>32682</v>
      </c>
      <c r="C7375" s="8" t="s">
        <v>32682</v>
      </c>
      <c r="F7375" s="47"/>
      <c r="G7375" s="8">
        <v>18</v>
      </c>
      <c r="H7375" s="8" t="s">
        <v>21</v>
      </c>
      <c r="I7375" s="8" t="s">
        <v>22</v>
      </c>
      <c r="J7375" s="8" t="s">
        <v>22</v>
      </c>
      <c r="K7375" s="8" t="s">
        <v>396</v>
      </c>
      <c r="L7375" s="8" t="s">
        <v>24</v>
      </c>
      <c r="M7375" s="8" t="s">
        <v>25</v>
      </c>
      <c r="N7375" s="8" t="s">
        <v>32683</v>
      </c>
      <c r="O7375" s="8">
        <f>22+46/60+1.1/3600</f>
        <v>22.766972222222222</v>
      </c>
      <c r="P7375" s="8" t="s">
        <v>32684</v>
      </c>
      <c r="Q7375" s="8">
        <f>+(10+51/60+13/3600)</f>
        <v>10.85361111111111</v>
      </c>
      <c r="R7375" s="8">
        <v>13.8</v>
      </c>
      <c r="S7375" s="8">
        <v>14.6</v>
      </c>
      <c r="T7375" s="8">
        <v>0.8</v>
      </c>
      <c r="U7375" s="8">
        <v>13.1</v>
      </c>
      <c r="V7375" s="8">
        <v>0.9</v>
      </c>
      <c r="W7375" s="8">
        <v>0.7</v>
      </c>
      <c r="X7375" s="8">
        <v>93</v>
      </c>
      <c r="Y7375" s="8" t="s">
        <v>19885</v>
      </c>
      <c r="Z7375" s="8" t="s">
        <v>4076</v>
      </c>
    </row>
    <row r="7376" spans="1:26" x14ac:dyDescent="0.2">
      <c r="A7376" s="8">
        <v>7375</v>
      </c>
      <c r="B7376" s="8" t="s">
        <v>32685</v>
      </c>
      <c r="C7376" s="8" t="s">
        <v>32685</v>
      </c>
      <c r="F7376" s="47"/>
      <c r="G7376" s="8">
        <v>19</v>
      </c>
      <c r="H7376" s="8" t="s">
        <v>21</v>
      </c>
      <c r="I7376" s="8" t="s">
        <v>22</v>
      </c>
      <c r="J7376" s="8" t="s">
        <v>22</v>
      </c>
      <c r="K7376" s="8" t="s">
        <v>632</v>
      </c>
      <c r="L7376" s="8" t="s">
        <v>24</v>
      </c>
      <c r="M7376" s="8" t="s">
        <v>25</v>
      </c>
      <c r="N7376" s="8" t="s">
        <v>32686</v>
      </c>
      <c r="O7376" s="8">
        <f>22+46/60+32/3600</f>
        <v>22.775555555555556</v>
      </c>
      <c r="P7376" s="8" t="s">
        <v>32687</v>
      </c>
      <c r="Q7376" s="8">
        <f>+(21+5/60+3/3600)</f>
        <v>21.084166666666665</v>
      </c>
      <c r="R7376" s="8">
        <v>13.7</v>
      </c>
      <c r="S7376" s="8">
        <v>14.6</v>
      </c>
      <c r="T7376" s="8">
        <v>0.9</v>
      </c>
      <c r="U7376" s="8">
        <v>12.8</v>
      </c>
      <c r="V7376" s="8">
        <v>0.8</v>
      </c>
      <c r="W7376" s="8">
        <v>0.6</v>
      </c>
      <c r="X7376" s="8">
        <v>60</v>
      </c>
      <c r="Y7376" s="8" t="s">
        <v>385</v>
      </c>
      <c r="Z7376" s="8" t="s">
        <v>386</v>
      </c>
    </row>
    <row r="7377" spans="1:26" x14ac:dyDescent="0.2">
      <c r="A7377" s="8">
        <v>7376</v>
      </c>
      <c r="B7377" s="8" t="s">
        <v>32688</v>
      </c>
      <c r="C7377" s="8" t="s">
        <v>32688</v>
      </c>
      <c r="F7377" s="47"/>
      <c r="G7377" s="8">
        <v>18</v>
      </c>
      <c r="H7377" s="8" t="s">
        <v>21</v>
      </c>
      <c r="I7377" s="8" t="s">
        <v>22</v>
      </c>
      <c r="J7377" s="8" t="s">
        <v>22</v>
      </c>
      <c r="K7377" s="8" t="s">
        <v>632</v>
      </c>
      <c r="L7377" s="8" t="s">
        <v>24</v>
      </c>
      <c r="M7377" s="8" t="s">
        <v>25</v>
      </c>
      <c r="N7377" s="8" t="s">
        <v>32689</v>
      </c>
      <c r="O7377" s="8">
        <f>22+47/60+17.5/3600</f>
        <v>22.788194444444446</v>
      </c>
      <c r="P7377" s="8" t="s">
        <v>32690</v>
      </c>
      <c r="Q7377" s="8">
        <f>+(3+38/60+43/3600)</f>
        <v>3.6452777777777778</v>
      </c>
      <c r="R7377" s="8">
        <v>14.4</v>
      </c>
      <c r="S7377" s="8">
        <v>15.3</v>
      </c>
      <c r="T7377" s="8">
        <v>0.9</v>
      </c>
      <c r="U7377" s="8">
        <v>12.7</v>
      </c>
      <c r="V7377" s="8">
        <v>0.7</v>
      </c>
      <c r="W7377" s="8">
        <v>0.5</v>
      </c>
      <c r="X7377" s="8">
        <v>142</v>
      </c>
      <c r="Y7377" s="8" t="s">
        <v>385</v>
      </c>
      <c r="Z7377" s="8" t="s">
        <v>386</v>
      </c>
    </row>
    <row r="7378" spans="1:26" x14ac:dyDescent="0.2">
      <c r="A7378" s="8">
        <v>7377</v>
      </c>
      <c r="B7378" s="8" t="s">
        <v>32691</v>
      </c>
      <c r="C7378" s="8" t="s">
        <v>32691</v>
      </c>
      <c r="F7378" s="47" t="s">
        <v>58344</v>
      </c>
      <c r="G7378" s="8">
        <v>6.5</v>
      </c>
      <c r="H7378" s="8" t="s">
        <v>21</v>
      </c>
      <c r="I7378" s="8" t="s">
        <v>22</v>
      </c>
      <c r="J7378" s="8" t="s">
        <v>22</v>
      </c>
      <c r="K7378" s="8" t="s">
        <v>435</v>
      </c>
      <c r="L7378" s="8" t="s">
        <v>30854</v>
      </c>
      <c r="M7378" s="8" t="s">
        <v>30855</v>
      </c>
      <c r="N7378" s="8" t="s">
        <v>32692</v>
      </c>
      <c r="O7378" s="8">
        <f>22+47/60+47.4/3600</f>
        <v>22.796500000000002</v>
      </c>
      <c r="P7378" s="8" t="s">
        <v>32693</v>
      </c>
      <c r="Q7378" s="8">
        <f>-(22+18/60+41/3600)</f>
        <v>-22.311388888888889</v>
      </c>
      <c r="R7378" s="8">
        <v>11.1</v>
      </c>
      <c r="S7378" s="8">
        <v>12.1</v>
      </c>
      <c r="T7378" s="8">
        <v>1</v>
      </c>
      <c r="U7378" s="8">
        <v>13.1</v>
      </c>
      <c r="V7378" s="8">
        <v>3</v>
      </c>
      <c r="W7378" s="8">
        <v>2.5</v>
      </c>
      <c r="X7378" s="8">
        <v>101</v>
      </c>
      <c r="Y7378" s="8" t="s">
        <v>32694</v>
      </c>
      <c r="Z7378" s="8" t="s">
        <v>32695</v>
      </c>
    </row>
    <row r="7379" spans="1:26" x14ac:dyDescent="0.2">
      <c r="A7379" s="8">
        <v>7378</v>
      </c>
      <c r="B7379" s="8" t="s">
        <v>32696</v>
      </c>
      <c r="C7379" s="8" t="s">
        <v>32696</v>
      </c>
      <c r="F7379" s="47"/>
      <c r="G7379" s="8">
        <v>19</v>
      </c>
      <c r="H7379" s="8" t="s">
        <v>21</v>
      </c>
      <c r="I7379" s="8" t="s">
        <v>22</v>
      </c>
      <c r="J7379" s="8" t="s">
        <v>22</v>
      </c>
      <c r="K7379" s="8" t="s">
        <v>406</v>
      </c>
      <c r="L7379" s="8" t="s">
        <v>30854</v>
      </c>
      <c r="M7379" s="8" t="s">
        <v>30855</v>
      </c>
      <c r="N7379" s="8" t="s">
        <v>32697</v>
      </c>
      <c r="O7379" s="8">
        <f>22+47/60+47.5/3600</f>
        <v>22.796527777777779</v>
      </c>
      <c r="P7379" s="8" t="s">
        <v>32698</v>
      </c>
      <c r="Q7379" s="8">
        <f>-(11+49/60+0/3600)</f>
        <v>-11.816666666666666</v>
      </c>
      <c r="R7379" s="8">
        <v>12.7</v>
      </c>
      <c r="S7379" s="8">
        <v>13.5</v>
      </c>
      <c r="T7379" s="8">
        <v>0.8</v>
      </c>
      <c r="U7379" s="8">
        <v>12.9</v>
      </c>
      <c r="V7379" s="8">
        <v>1.5</v>
      </c>
      <c r="W7379" s="8">
        <v>0.9</v>
      </c>
      <c r="X7379" s="8">
        <v>175</v>
      </c>
      <c r="Y7379" s="8" t="s">
        <v>1225</v>
      </c>
      <c r="Z7379" s="8" t="s">
        <v>1226</v>
      </c>
    </row>
    <row r="7380" spans="1:26" x14ac:dyDescent="0.2">
      <c r="A7380" s="8">
        <v>7379</v>
      </c>
      <c r="B7380" s="8" t="s">
        <v>32699</v>
      </c>
      <c r="C7380" s="8" t="s">
        <v>32699</v>
      </c>
      <c r="F7380" s="47"/>
      <c r="G7380" s="8">
        <v>18</v>
      </c>
      <c r="H7380" s="8" t="s">
        <v>21</v>
      </c>
      <c r="I7380" s="8" t="s">
        <v>22</v>
      </c>
      <c r="J7380" s="8" t="s">
        <v>22</v>
      </c>
      <c r="K7380" s="8" t="s">
        <v>154</v>
      </c>
      <c r="L7380" s="8" t="s">
        <v>31943</v>
      </c>
      <c r="M7380" s="8" t="s">
        <v>31944</v>
      </c>
      <c r="N7380" s="8" t="s">
        <v>32700</v>
      </c>
      <c r="O7380" s="8">
        <f>22+47/60+32.9/3600</f>
        <v>22.792472222222223</v>
      </c>
      <c r="P7380" s="8" t="s">
        <v>32701</v>
      </c>
      <c r="Q7380" s="8">
        <f>+(40+14/60+21/3600)</f>
        <v>40.239166666666669</v>
      </c>
      <c r="R7380" s="8">
        <v>13.4</v>
      </c>
      <c r="S7380" s="8">
        <v>14.3</v>
      </c>
      <c r="T7380" s="8">
        <v>0.9</v>
      </c>
      <c r="U7380" s="8">
        <v>13.1</v>
      </c>
      <c r="V7380" s="8">
        <v>1.1000000000000001</v>
      </c>
      <c r="W7380" s="8">
        <v>0.8</v>
      </c>
      <c r="X7380" s="8">
        <v>81</v>
      </c>
      <c r="Y7380" s="8" t="s">
        <v>3982</v>
      </c>
      <c r="Z7380" s="8" t="s">
        <v>3983</v>
      </c>
    </row>
    <row r="7381" spans="1:26" x14ac:dyDescent="0.2">
      <c r="A7381" s="8">
        <v>7380</v>
      </c>
      <c r="B7381" s="8" t="s">
        <v>32702</v>
      </c>
      <c r="C7381" s="8" t="s">
        <v>32702</v>
      </c>
      <c r="F7381" s="47" t="s">
        <v>58345</v>
      </c>
      <c r="G7381" s="8">
        <v>6</v>
      </c>
      <c r="H7381" s="8" t="s">
        <v>32703</v>
      </c>
      <c r="I7381" s="8" t="s">
        <v>557</v>
      </c>
      <c r="J7381" s="8" t="s">
        <v>557</v>
      </c>
      <c r="K7381" s="8" t="s">
        <v>32704</v>
      </c>
      <c r="L7381" s="8" t="s">
        <v>242</v>
      </c>
      <c r="M7381" s="8" t="s">
        <v>243</v>
      </c>
      <c r="N7381" s="8" t="s">
        <v>32705</v>
      </c>
      <c r="O7381" s="8">
        <f>22+47/60+21/3600</f>
        <v>22.789166666666667</v>
      </c>
      <c r="P7381" s="8" t="s">
        <v>32706</v>
      </c>
      <c r="Q7381" s="8">
        <f>+(58+7/60+54/3600)</f>
        <v>58.131666666666668</v>
      </c>
      <c r="R7381" s="8">
        <v>7.2</v>
      </c>
      <c r="S7381" s="8">
        <v>99</v>
      </c>
      <c r="T7381" s="8">
        <v>99</v>
      </c>
      <c r="U7381" s="8">
        <v>99</v>
      </c>
      <c r="V7381" s="8">
        <v>20</v>
      </c>
      <c r="Y7381" s="8" t="s">
        <v>32707</v>
      </c>
      <c r="Z7381" s="8" t="s">
        <v>32708</v>
      </c>
    </row>
    <row r="7382" spans="1:26" x14ac:dyDescent="0.2">
      <c r="A7382" s="8">
        <v>7381</v>
      </c>
      <c r="B7382" s="8" t="s">
        <v>32709</v>
      </c>
      <c r="C7382" s="8" t="s">
        <v>32709</v>
      </c>
      <c r="F7382" s="47"/>
      <c r="G7382" s="8">
        <v>19</v>
      </c>
      <c r="H7382" s="8" t="s">
        <v>21</v>
      </c>
      <c r="I7382" s="8" t="s">
        <v>22</v>
      </c>
      <c r="J7382" s="8" t="s">
        <v>22</v>
      </c>
      <c r="K7382" s="8" t="s">
        <v>579</v>
      </c>
      <c r="L7382" s="8" t="s">
        <v>30854</v>
      </c>
      <c r="M7382" s="8" t="s">
        <v>30855</v>
      </c>
      <c r="N7382" s="8" t="s">
        <v>32710</v>
      </c>
      <c r="O7382" s="8">
        <f>22+50/60+8.1/3600</f>
        <v>22.835583333333332</v>
      </c>
      <c r="P7382" s="8" t="s">
        <v>32711</v>
      </c>
      <c r="Q7382" s="8">
        <f>-(19+43/60+29/3600)</f>
        <v>-19.724722222222219</v>
      </c>
      <c r="R7382" s="8">
        <v>14.2</v>
      </c>
      <c r="S7382" s="8">
        <v>14.9</v>
      </c>
      <c r="T7382" s="8">
        <v>0.7</v>
      </c>
      <c r="U7382" s="8">
        <v>12.9</v>
      </c>
      <c r="V7382" s="8">
        <v>0.7</v>
      </c>
      <c r="W7382" s="8">
        <v>0.5</v>
      </c>
      <c r="X7382" s="8">
        <v>123</v>
      </c>
      <c r="Y7382" s="8" t="s">
        <v>1133</v>
      </c>
      <c r="Z7382" s="8" t="s">
        <v>1134</v>
      </c>
    </row>
    <row r="7383" spans="1:26" x14ac:dyDescent="0.2">
      <c r="A7383" s="8">
        <v>7382</v>
      </c>
      <c r="B7383" s="8" t="s">
        <v>32712</v>
      </c>
      <c r="C7383" s="8" t="s">
        <v>32712</v>
      </c>
      <c r="F7383" s="47"/>
      <c r="G7383" s="8">
        <v>16</v>
      </c>
      <c r="H7383" s="8" t="s">
        <v>21</v>
      </c>
      <c r="I7383" s="8" t="s">
        <v>22</v>
      </c>
      <c r="J7383" s="8" t="s">
        <v>22</v>
      </c>
      <c r="K7383" s="8" t="s">
        <v>91</v>
      </c>
      <c r="L7383" s="8" t="s">
        <v>31389</v>
      </c>
      <c r="M7383" s="8" t="s">
        <v>31390</v>
      </c>
      <c r="N7383" s="8" t="s">
        <v>32713</v>
      </c>
      <c r="O7383" s="8">
        <f>22+50/60+23.8/3600</f>
        <v>22.839944444444445</v>
      </c>
      <c r="P7383" s="8" t="s">
        <v>32714</v>
      </c>
      <c r="Q7383" s="8">
        <f>-(36+51/60+25/3600)</f>
        <v>-36.856944444444444</v>
      </c>
      <c r="R7383" s="8">
        <v>13.3</v>
      </c>
      <c r="S7383" s="8">
        <v>14.2</v>
      </c>
      <c r="T7383" s="8">
        <v>0.9</v>
      </c>
      <c r="U7383" s="8">
        <v>12</v>
      </c>
      <c r="V7383" s="8">
        <v>1.2</v>
      </c>
      <c r="W7383" s="8">
        <v>0.4</v>
      </c>
      <c r="X7383" s="8">
        <v>109</v>
      </c>
      <c r="Y7383" s="8" t="s">
        <v>32715</v>
      </c>
      <c r="Z7383" s="8" t="s">
        <v>32716</v>
      </c>
    </row>
    <row r="7384" spans="1:26" x14ac:dyDescent="0.2">
      <c r="A7384" s="8">
        <v>7383</v>
      </c>
      <c r="B7384" s="8" t="s">
        <v>32717</v>
      </c>
      <c r="C7384" s="8" t="s">
        <v>32717</v>
      </c>
      <c r="F7384" s="47"/>
      <c r="G7384" s="8">
        <v>18</v>
      </c>
      <c r="H7384" s="8" t="s">
        <v>21</v>
      </c>
      <c r="I7384" s="8" t="s">
        <v>22</v>
      </c>
      <c r="J7384" s="8" t="s">
        <v>22</v>
      </c>
      <c r="K7384" s="8" t="s">
        <v>224</v>
      </c>
      <c r="L7384" s="8" t="s">
        <v>24</v>
      </c>
      <c r="M7384" s="8" t="s">
        <v>25</v>
      </c>
      <c r="N7384" s="8" t="s">
        <v>32718</v>
      </c>
      <c r="O7384" s="8">
        <f>22+49/60+35.5/3600</f>
        <v>22.826527777777777</v>
      </c>
      <c r="P7384" s="8" t="s">
        <v>32719</v>
      </c>
      <c r="Q7384" s="8">
        <f>+(11+33/60+25/3600)</f>
        <v>11.556944444444445</v>
      </c>
      <c r="R7384" s="8">
        <v>13.7</v>
      </c>
      <c r="S7384" s="8">
        <v>14.7</v>
      </c>
      <c r="T7384" s="8">
        <v>1</v>
      </c>
      <c r="U7384" s="8">
        <v>13</v>
      </c>
      <c r="V7384" s="8">
        <v>0.8</v>
      </c>
      <c r="W7384" s="8">
        <v>0.7</v>
      </c>
      <c r="X7384" s="8">
        <v>174</v>
      </c>
      <c r="Y7384" s="8" t="s">
        <v>32720</v>
      </c>
      <c r="Z7384" s="8" t="s">
        <v>32721</v>
      </c>
    </row>
    <row r="7385" spans="1:26" x14ac:dyDescent="0.2">
      <c r="A7385" s="8">
        <v>7384</v>
      </c>
      <c r="B7385" s="8" t="s">
        <v>32722</v>
      </c>
      <c r="C7385" s="8" t="s">
        <v>32722</v>
      </c>
      <c r="F7385" s="47"/>
      <c r="G7385" s="8">
        <v>19</v>
      </c>
      <c r="H7385" s="8" t="s">
        <v>21</v>
      </c>
      <c r="I7385" s="8" t="s">
        <v>72</v>
      </c>
      <c r="J7385" s="8" t="s">
        <v>72</v>
      </c>
      <c r="K7385" s="8" t="s">
        <v>20</v>
      </c>
      <c r="L7385" s="8" t="s">
        <v>24</v>
      </c>
      <c r="M7385" s="8" t="s">
        <v>25</v>
      </c>
      <c r="N7385" s="8" t="s">
        <v>32723</v>
      </c>
      <c r="O7385" s="8">
        <f>22+49/60+42.5/3600</f>
        <v>22.828472222222221</v>
      </c>
      <c r="P7385" s="8" t="s">
        <v>32724</v>
      </c>
      <c r="Q7385" s="8">
        <f>+(11+29/60+17/3600)</f>
        <v>11.488055555555555</v>
      </c>
      <c r="R7385" s="8">
        <v>99</v>
      </c>
      <c r="S7385" s="8">
        <v>99</v>
      </c>
      <c r="T7385" s="8">
        <v>99</v>
      </c>
      <c r="U7385" s="8">
        <v>99</v>
      </c>
      <c r="Y7385" s="8" t="s">
        <v>32725</v>
      </c>
      <c r="Z7385" s="8" t="s">
        <v>32726</v>
      </c>
    </row>
    <row r="7386" spans="1:26" x14ac:dyDescent="0.2">
      <c r="A7386" s="8">
        <v>7385</v>
      </c>
      <c r="B7386" s="8" t="s">
        <v>32727</v>
      </c>
      <c r="C7386" s="8" t="s">
        <v>32727</v>
      </c>
      <c r="F7386" s="47" t="s">
        <v>58346</v>
      </c>
      <c r="G7386" s="8">
        <v>14</v>
      </c>
      <c r="H7386" s="8" t="s">
        <v>32728</v>
      </c>
      <c r="I7386" s="8" t="s">
        <v>22</v>
      </c>
      <c r="J7386" s="8" t="s">
        <v>22</v>
      </c>
      <c r="K7386" s="8" t="s">
        <v>1136</v>
      </c>
      <c r="L7386" s="8" t="s">
        <v>24</v>
      </c>
      <c r="M7386" s="8" t="s">
        <v>25</v>
      </c>
      <c r="N7386" s="8" t="s">
        <v>32729</v>
      </c>
      <c r="O7386" s="8">
        <f>22+49/60+54.6/3600</f>
        <v>22.831833333333332</v>
      </c>
      <c r="P7386" s="8" t="s">
        <v>32730</v>
      </c>
      <c r="Q7386" s="8">
        <f>+(11+36/60+29/3600)</f>
        <v>11.608055555555556</v>
      </c>
      <c r="R7386" s="8">
        <v>12</v>
      </c>
      <c r="S7386" s="8">
        <v>13.1</v>
      </c>
      <c r="T7386" s="8">
        <v>1.1000000000000001</v>
      </c>
      <c r="U7386" s="8">
        <v>12.8</v>
      </c>
      <c r="V7386" s="8">
        <v>1.3</v>
      </c>
      <c r="W7386" s="8">
        <v>1.1000000000000001</v>
      </c>
      <c r="X7386" s="8">
        <v>36</v>
      </c>
      <c r="Y7386" s="8" t="s">
        <v>32731</v>
      </c>
      <c r="Z7386" s="8" t="s">
        <v>32732</v>
      </c>
    </row>
    <row r="7387" spans="1:26" x14ac:dyDescent="0.2">
      <c r="A7387" s="8">
        <v>7386</v>
      </c>
      <c r="B7387" s="8" t="s">
        <v>32733</v>
      </c>
      <c r="C7387" s="8" t="s">
        <v>32733</v>
      </c>
      <c r="F7387" s="47" t="s">
        <v>58347</v>
      </c>
      <c r="G7387" s="8">
        <v>15</v>
      </c>
      <c r="H7387" s="8" t="s">
        <v>21</v>
      </c>
      <c r="I7387" s="8" t="s">
        <v>22</v>
      </c>
      <c r="J7387" s="8" t="s">
        <v>22</v>
      </c>
      <c r="K7387" s="8" t="s">
        <v>37</v>
      </c>
      <c r="L7387" s="8" t="s">
        <v>24</v>
      </c>
      <c r="M7387" s="8" t="s">
        <v>25</v>
      </c>
      <c r="N7387" s="8" t="s">
        <v>32734</v>
      </c>
      <c r="O7387" s="8">
        <f>22+50/60+2/3600</f>
        <v>22.833888888888886</v>
      </c>
      <c r="P7387" s="8" t="s">
        <v>32735</v>
      </c>
      <c r="Q7387" s="8">
        <f>+(11+41/60+53/3600)</f>
        <v>11.698055555555555</v>
      </c>
      <c r="R7387" s="8">
        <v>12.3</v>
      </c>
      <c r="S7387" s="8">
        <v>13.3</v>
      </c>
      <c r="T7387" s="8">
        <v>1</v>
      </c>
      <c r="U7387" s="8">
        <v>12.8</v>
      </c>
      <c r="V7387" s="8">
        <v>1.8</v>
      </c>
      <c r="W7387" s="8">
        <v>1.1000000000000001</v>
      </c>
      <c r="X7387" s="8">
        <v>150</v>
      </c>
      <c r="Y7387" s="8" t="s">
        <v>32736</v>
      </c>
      <c r="Z7387" s="8" t="s">
        <v>32737</v>
      </c>
    </row>
    <row r="7388" spans="1:26" x14ac:dyDescent="0.2">
      <c r="A7388" s="8">
        <v>7387</v>
      </c>
      <c r="B7388" s="8" t="s">
        <v>32738</v>
      </c>
      <c r="C7388" s="8" t="s">
        <v>32738</v>
      </c>
      <c r="F7388" s="47"/>
      <c r="G7388" s="8">
        <v>18</v>
      </c>
      <c r="H7388" s="8" t="s">
        <v>21</v>
      </c>
      <c r="I7388" s="8" t="s">
        <v>22</v>
      </c>
      <c r="J7388" s="8" t="s">
        <v>22</v>
      </c>
      <c r="K7388" s="8" t="s">
        <v>37</v>
      </c>
      <c r="L7388" s="8" t="s">
        <v>24</v>
      </c>
      <c r="M7388" s="8" t="s">
        <v>25</v>
      </c>
      <c r="N7388" s="8" t="s">
        <v>32739</v>
      </c>
      <c r="O7388" s="8">
        <f>22+50/60+17.6/3600</f>
        <v>22.838222222222221</v>
      </c>
      <c r="P7388" s="8" t="s">
        <v>32740</v>
      </c>
      <c r="Q7388" s="8">
        <f>+(11+38/60+14/3600)</f>
        <v>11.637222222222222</v>
      </c>
      <c r="R7388" s="8">
        <v>14</v>
      </c>
      <c r="S7388" s="8">
        <v>15</v>
      </c>
      <c r="T7388" s="8">
        <v>1</v>
      </c>
      <c r="U7388" s="8">
        <v>12.5</v>
      </c>
      <c r="V7388" s="8">
        <v>0.7</v>
      </c>
      <c r="W7388" s="8">
        <v>0.4</v>
      </c>
      <c r="X7388" s="8">
        <v>48</v>
      </c>
      <c r="Y7388" s="8" t="s">
        <v>32741</v>
      </c>
      <c r="Z7388" s="8" t="s">
        <v>32742</v>
      </c>
    </row>
    <row r="7389" spans="1:26" x14ac:dyDescent="0.2">
      <c r="A7389" s="8">
        <v>7388</v>
      </c>
      <c r="B7389" s="8" t="s">
        <v>32743</v>
      </c>
      <c r="C7389" s="8" t="s">
        <v>32743</v>
      </c>
      <c r="F7389" s="47"/>
      <c r="G7389" s="8">
        <v>18</v>
      </c>
      <c r="H7389" s="8" t="s">
        <v>21</v>
      </c>
      <c r="I7389" s="8" t="s">
        <v>72</v>
      </c>
      <c r="J7389" s="8" t="s">
        <v>72</v>
      </c>
      <c r="K7389" s="8" t="s">
        <v>20</v>
      </c>
      <c r="L7389" s="8" t="s">
        <v>24</v>
      </c>
      <c r="M7389" s="8" t="s">
        <v>25</v>
      </c>
      <c r="N7389" s="8" t="s">
        <v>32744</v>
      </c>
      <c r="O7389" s="8">
        <f>22+50/60+21/3600</f>
        <v>22.839166666666664</v>
      </c>
      <c r="P7389" s="8" t="s">
        <v>32745</v>
      </c>
      <c r="Q7389" s="8">
        <f>+(11+42/60+41/3600)</f>
        <v>11.711388888888887</v>
      </c>
      <c r="R7389" s="8">
        <v>99</v>
      </c>
      <c r="S7389" s="8">
        <v>99</v>
      </c>
      <c r="T7389" s="8">
        <v>99</v>
      </c>
      <c r="U7389" s="8">
        <v>99</v>
      </c>
      <c r="Y7389" s="8" t="s">
        <v>32746</v>
      </c>
      <c r="Z7389" s="8" t="s">
        <v>32747</v>
      </c>
    </row>
    <row r="7390" spans="1:26" x14ac:dyDescent="0.2">
      <c r="A7390" s="8">
        <v>7389</v>
      </c>
      <c r="B7390" s="8" t="s">
        <v>32748</v>
      </c>
      <c r="C7390" s="8" t="s">
        <v>32748</v>
      </c>
      <c r="F7390" s="47"/>
      <c r="G7390" s="8">
        <v>18</v>
      </c>
      <c r="H7390" s="8" t="s">
        <v>21</v>
      </c>
      <c r="I7390" s="8" t="s">
        <v>22</v>
      </c>
      <c r="J7390" s="8" t="s">
        <v>22</v>
      </c>
      <c r="K7390" s="8" t="s">
        <v>224</v>
      </c>
      <c r="L7390" s="8" t="s">
        <v>24</v>
      </c>
      <c r="M7390" s="8" t="s">
        <v>25</v>
      </c>
      <c r="N7390" s="8" t="s">
        <v>32749</v>
      </c>
      <c r="O7390" s="8">
        <f>22+50/60+16/3600</f>
        <v>22.837777777777777</v>
      </c>
      <c r="P7390" s="8" t="s">
        <v>32750</v>
      </c>
      <c r="Q7390" s="8">
        <f>+(11+34/60+0/3600)</f>
        <v>11.566666666666666</v>
      </c>
      <c r="R7390" s="8">
        <v>13.9</v>
      </c>
      <c r="S7390" s="8">
        <v>14.8</v>
      </c>
      <c r="T7390" s="8">
        <v>0.9</v>
      </c>
      <c r="U7390" s="8">
        <v>14</v>
      </c>
      <c r="V7390" s="8">
        <v>1.4</v>
      </c>
      <c r="W7390" s="8">
        <v>0.9</v>
      </c>
      <c r="X7390" s="8">
        <v>144</v>
      </c>
      <c r="Y7390" s="8" t="s">
        <v>1250</v>
      </c>
      <c r="Z7390" s="8" t="s">
        <v>1251</v>
      </c>
    </row>
    <row r="7391" spans="1:26" x14ac:dyDescent="0.2">
      <c r="A7391" s="8">
        <v>7390</v>
      </c>
      <c r="B7391" s="8" t="s">
        <v>32751</v>
      </c>
      <c r="C7391" s="8" t="s">
        <v>32751</v>
      </c>
      <c r="F7391" s="47"/>
      <c r="G7391" s="8">
        <v>19</v>
      </c>
      <c r="H7391" s="8" t="s">
        <v>21</v>
      </c>
      <c r="I7391" s="8" t="s">
        <v>22</v>
      </c>
      <c r="J7391" s="8" t="s">
        <v>22</v>
      </c>
      <c r="K7391" s="8" t="s">
        <v>37</v>
      </c>
      <c r="L7391" s="8" t="s">
        <v>24</v>
      </c>
      <c r="M7391" s="8" t="s">
        <v>25</v>
      </c>
      <c r="N7391" s="8" t="s">
        <v>32752</v>
      </c>
      <c r="O7391" s="8">
        <f>22+50/60+19.5/3600</f>
        <v>22.838749999999997</v>
      </c>
      <c r="P7391" s="8" t="s">
        <v>32753</v>
      </c>
      <c r="Q7391" s="8">
        <f>+(11+31/60+52/3600)</f>
        <v>11.531111111111112</v>
      </c>
      <c r="R7391" s="8">
        <v>14.2</v>
      </c>
      <c r="S7391" s="8">
        <v>15.2</v>
      </c>
      <c r="T7391" s="8">
        <v>1</v>
      </c>
      <c r="U7391" s="8">
        <v>13.6</v>
      </c>
      <c r="V7391" s="8">
        <v>1</v>
      </c>
      <c r="W7391" s="8">
        <v>0.7</v>
      </c>
      <c r="X7391" s="8">
        <v>177</v>
      </c>
      <c r="Y7391" s="8" t="s">
        <v>32754</v>
      </c>
      <c r="Z7391" s="8" t="s">
        <v>32755</v>
      </c>
    </row>
    <row r="7392" spans="1:26" x14ac:dyDescent="0.2">
      <c r="A7392" s="8">
        <v>7391</v>
      </c>
      <c r="B7392" s="8" t="s">
        <v>32756</v>
      </c>
      <c r="C7392" s="8" t="s">
        <v>32756</v>
      </c>
      <c r="F7392" s="47" t="s">
        <v>58348</v>
      </c>
      <c r="G7392" s="8">
        <v>15</v>
      </c>
      <c r="H7392" s="8" t="s">
        <v>21</v>
      </c>
      <c r="I7392" s="8" t="s">
        <v>22</v>
      </c>
      <c r="J7392" s="8" t="s">
        <v>22</v>
      </c>
      <c r="K7392" s="8" t="s">
        <v>183</v>
      </c>
      <c r="L7392" s="8" t="s">
        <v>30854</v>
      </c>
      <c r="M7392" s="8" t="s">
        <v>30855</v>
      </c>
      <c r="N7392" s="8" t="s">
        <v>32757</v>
      </c>
      <c r="O7392" s="8">
        <f>22+50/60+36/3600</f>
        <v>22.843333333333334</v>
      </c>
      <c r="P7392" s="8" t="s">
        <v>32758</v>
      </c>
      <c r="Q7392" s="8">
        <f>-(1+32/60+41/3600)</f>
        <v>-1.5447222222222221</v>
      </c>
      <c r="R7392" s="8">
        <v>11.9</v>
      </c>
      <c r="S7392" s="8">
        <v>13.1</v>
      </c>
      <c r="T7392" s="8">
        <v>1.2</v>
      </c>
      <c r="U7392" s="8">
        <v>13</v>
      </c>
      <c r="V7392" s="8">
        <v>1.7</v>
      </c>
      <c r="W7392" s="8">
        <v>1.5</v>
      </c>
      <c r="X7392" s="8">
        <v>70</v>
      </c>
      <c r="Y7392" s="8" t="s">
        <v>32759</v>
      </c>
      <c r="Z7392" s="8" t="s">
        <v>32760</v>
      </c>
    </row>
    <row r="7393" spans="1:26" x14ac:dyDescent="0.2">
      <c r="A7393" s="8">
        <v>7392</v>
      </c>
      <c r="B7393" s="8" t="s">
        <v>32761</v>
      </c>
      <c r="C7393" s="8" t="s">
        <v>32761</v>
      </c>
      <c r="F7393" s="47" t="s">
        <v>58349</v>
      </c>
      <c r="G7393" s="8">
        <v>6.5</v>
      </c>
      <c r="H7393" s="8" t="s">
        <v>21</v>
      </c>
      <c r="I7393" s="8" t="s">
        <v>22</v>
      </c>
      <c r="J7393" s="8" t="s">
        <v>22</v>
      </c>
      <c r="K7393" s="8" t="s">
        <v>85</v>
      </c>
      <c r="L7393" s="8" t="s">
        <v>30854</v>
      </c>
      <c r="M7393" s="8" t="s">
        <v>30855</v>
      </c>
      <c r="N7393" s="8" t="s">
        <v>32762</v>
      </c>
      <c r="O7393" s="8">
        <f>22+51/60+48.6/3600</f>
        <v>22.863500000000002</v>
      </c>
      <c r="P7393" s="8" t="s">
        <v>32763</v>
      </c>
      <c r="Q7393" s="8">
        <f>-(20+36/60+31/3600)</f>
        <v>-20.608611111111113</v>
      </c>
      <c r="R7393" s="8">
        <v>11.9</v>
      </c>
      <c r="S7393" s="8">
        <v>12.6</v>
      </c>
      <c r="T7393" s="8">
        <v>0.7</v>
      </c>
      <c r="U7393" s="8">
        <v>12.8</v>
      </c>
      <c r="V7393" s="8">
        <v>2.2000000000000002</v>
      </c>
      <c r="W7393" s="8">
        <v>1.4</v>
      </c>
      <c r="X7393" s="8">
        <v>123</v>
      </c>
      <c r="Y7393" s="8" t="s">
        <v>32764</v>
      </c>
      <c r="Z7393" s="8" t="s">
        <v>32765</v>
      </c>
    </row>
    <row r="7394" spans="1:26" x14ac:dyDescent="0.2">
      <c r="A7394" s="8">
        <v>7393</v>
      </c>
      <c r="B7394" s="8" t="s">
        <v>32766</v>
      </c>
      <c r="C7394" s="8" t="s">
        <v>32766</v>
      </c>
      <c r="F7394" s="47" t="s">
        <v>58350</v>
      </c>
      <c r="G7394" s="8">
        <v>15</v>
      </c>
      <c r="H7394" s="8" t="s">
        <v>21</v>
      </c>
      <c r="I7394" s="8" t="s">
        <v>22</v>
      </c>
      <c r="J7394" s="8" t="s">
        <v>22</v>
      </c>
      <c r="K7394" s="8" t="s">
        <v>520</v>
      </c>
      <c r="L7394" s="8" t="s">
        <v>30854</v>
      </c>
      <c r="M7394" s="8" t="s">
        <v>30855</v>
      </c>
      <c r="N7394" s="8" t="s">
        <v>32767</v>
      </c>
      <c r="O7394" s="8">
        <f>22+51/60+38.2/3600</f>
        <v>22.860611111111112</v>
      </c>
      <c r="P7394" s="8" t="s">
        <v>32768</v>
      </c>
      <c r="Q7394" s="8">
        <f>-(5+33/60+26/3600)</f>
        <v>-5.5572222222222223</v>
      </c>
      <c r="R7394" s="8">
        <v>12.9</v>
      </c>
      <c r="S7394" s="8">
        <v>13.6</v>
      </c>
      <c r="T7394" s="8">
        <v>0.7</v>
      </c>
      <c r="U7394" s="8">
        <v>13.4</v>
      </c>
      <c r="V7394" s="8">
        <v>2</v>
      </c>
      <c r="W7394" s="8">
        <v>0.9</v>
      </c>
      <c r="X7394" s="8">
        <v>88</v>
      </c>
      <c r="Y7394" s="8" t="s">
        <v>31738</v>
      </c>
      <c r="Z7394" s="8" t="s">
        <v>31739</v>
      </c>
    </row>
    <row r="7395" spans="1:26" x14ac:dyDescent="0.2">
      <c r="A7395" s="8">
        <v>7394</v>
      </c>
      <c r="B7395" s="8" t="s">
        <v>32769</v>
      </c>
      <c r="C7395" s="8" t="s">
        <v>32769</v>
      </c>
      <c r="F7395" s="47"/>
      <c r="G7395" s="8">
        <v>12</v>
      </c>
      <c r="H7395" s="8" t="s">
        <v>21</v>
      </c>
      <c r="I7395" s="8" t="s">
        <v>72</v>
      </c>
      <c r="J7395" s="8" t="s">
        <v>72</v>
      </c>
      <c r="K7395" s="8" t="s">
        <v>1405</v>
      </c>
      <c r="L7395" s="8" t="s">
        <v>31943</v>
      </c>
      <c r="M7395" s="8" t="s">
        <v>31944</v>
      </c>
      <c r="N7395" s="8" t="s">
        <v>32770</v>
      </c>
      <c r="O7395" s="8">
        <f>22+50/60+12/3600</f>
        <v>22.836666666666666</v>
      </c>
      <c r="P7395" s="8" t="s">
        <v>32771</v>
      </c>
      <c r="Q7395" s="8">
        <f>+(52+10/60+8/3600)</f>
        <v>52.168888888888887</v>
      </c>
      <c r="R7395" s="8">
        <v>99</v>
      </c>
      <c r="S7395" s="8">
        <v>99</v>
      </c>
      <c r="T7395" s="8">
        <v>99</v>
      </c>
      <c r="U7395" s="8">
        <v>99</v>
      </c>
      <c r="V7395" s="8">
        <v>8</v>
      </c>
      <c r="W7395" s="8">
        <v>5</v>
      </c>
      <c r="Y7395" s="8" t="s">
        <v>32772</v>
      </c>
      <c r="Z7395" s="8" t="s">
        <v>32773</v>
      </c>
    </row>
    <row r="7396" spans="1:26" x14ac:dyDescent="0.2">
      <c r="A7396" s="8">
        <v>7395</v>
      </c>
      <c r="B7396" s="8" t="s">
        <v>32774</v>
      </c>
      <c r="C7396" s="8" t="s">
        <v>32774</v>
      </c>
      <c r="F7396" s="47"/>
      <c r="G7396" s="8">
        <v>18</v>
      </c>
      <c r="H7396" s="8" t="s">
        <v>21</v>
      </c>
      <c r="I7396" s="8" t="s">
        <v>22</v>
      </c>
      <c r="J7396" s="8" t="s">
        <v>22</v>
      </c>
      <c r="K7396" s="8" t="s">
        <v>37</v>
      </c>
      <c r="L7396" s="8" t="s">
        <v>31943</v>
      </c>
      <c r="M7396" s="8" t="s">
        <v>31944</v>
      </c>
      <c r="N7396" s="8" t="s">
        <v>32775</v>
      </c>
      <c r="O7396" s="8">
        <f>22+51/60+2.8/3600</f>
        <v>22.850777777777779</v>
      </c>
      <c r="P7396" s="8" t="s">
        <v>32776</v>
      </c>
      <c r="Q7396" s="8">
        <f>+(37+5/60+18/3600)</f>
        <v>37.088333333333338</v>
      </c>
      <c r="R7396" s="8">
        <v>13.8</v>
      </c>
      <c r="S7396" s="8">
        <v>14.8</v>
      </c>
      <c r="T7396" s="8">
        <v>1</v>
      </c>
      <c r="U7396" s="8">
        <v>14</v>
      </c>
      <c r="V7396" s="8">
        <v>1.2</v>
      </c>
      <c r="W7396" s="8">
        <v>1.1000000000000001</v>
      </c>
      <c r="X7396" s="8">
        <v>123</v>
      </c>
      <c r="Y7396" s="8" t="s">
        <v>4165</v>
      </c>
      <c r="Z7396" s="8" t="s">
        <v>4166</v>
      </c>
    </row>
    <row r="7397" spans="1:26" x14ac:dyDescent="0.2">
      <c r="A7397" s="8">
        <v>7396</v>
      </c>
      <c r="B7397" s="8" t="s">
        <v>32777</v>
      </c>
      <c r="C7397" s="8" t="s">
        <v>32777</v>
      </c>
      <c r="F7397" s="47"/>
      <c r="G7397" s="8">
        <v>16</v>
      </c>
      <c r="H7397" s="8" t="s">
        <v>21</v>
      </c>
      <c r="I7397" s="8" t="s">
        <v>22</v>
      </c>
      <c r="J7397" s="8" t="s">
        <v>22</v>
      </c>
      <c r="K7397" s="8" t="s">
        <v>91</v>
      </c>
      <c r="L7397" s="8" t="s">
        <v>38</v>
      </c>
      <c r="M7397" s="8" t="s">
        <v>39</v>
      </c>
      <c r="N7397" s="8" t="s">
        <v>32778</v>
      </c>
      <c r="O7397" s="8">
        <f>22+52/60+22.6/3600</f>
        <v>22.872944444444446</v>
      </c>
      <c r="P7397" s="8" t="s">
        <v>32779</v>
      </c>
      <c r="Q7397" s="8">
        <f>+(1+5/60+32/3600)</f>
        <v>1.0922222222222222</v>
      </c>
      <c r="R7397" s="8">
        <v>12.9</v>
      </c>
      <c r="S7397" s="8">
        <v>13.8</v>
      </c>
      <c r="T7397" s="8">
        <v>0.9</v>
      </c>
      <c r="U7397" s="8">
        <v>14.2</v>
      </c>
      <c r="V7397" s="8">
        <v>2.4</v>
      </c>
      <c r="W7397" s="8">
        <v>1.6</v>
      </c>
      <c r="X7397" s="8">
        <v>103</v>
      </c>
      <c r="Y7397" s="8" t="s">
        <v>3243</v>
      </c>
      <c r="Z7397" s="8" t="s">
        <v>3244</v>
      </c>
    </row>
    <row r="7398" spans="1:26" x14ac:dyDescent="0.2">
      <c r="A7398" s="8">
        <v>7397</v>
      </c>
      <c r="B7398" s="8" t="s">
        <v>32780</v>
      </c>
      <c r="C7398" s="8" t="s">
        <v>32780</v>
      </c>
      <c r="F7398" s="47"/>
      <c r="G7398" s="8">
        <v>18</v>
      </c>
      <c r="H7398" s="8" t="s">
        <v>21</v>
      </c>
      <c r="I7398" s="8" t="s">
        <v>22</v>
      </c>
      <c r="J7398" s="8" t="s">
        <v>22</v>
      </c>
      <c r="K7398" s="8" t="s">
        <v>435</v>
      </c>
      <c r="L7398" s="8" t="s">
        <v>38</v>
      </c>
      <c r="M7398" s="8" t="s">
        <v>39</v>
      </c>
      <c r="N7398" s="8" t="s">
        <v>32781</v>
      </c>
      <c r="O7398" s="8">
        <f>22+52/60+46.6/3600</f>
        <v>22.87961111111111</v>
      </c>
      <c r="P7398" s="8" t="s">
        <v>32782</v>
      </c>
      <c r="Q7398" s="8">
        <f>+(1+7/60+57/3600)</f>
        <v>1.1325000000000001</v>
      </c>
      <c r="R7398" s="8">
        <v>14.2</v>
      </c>
      <c r="S7398" s="8">
        <v>15.1</v>
      </c>
      <c r="T7398" s="8">
        <v>0.9</v>
      </c>
      <c r="U7398" s="8">
        <v>12.9</v>
      </c>
      <c r="V7398" s="8">
        <v>0.7</v>
      </c>
      <c r="W7398" s="8">
        <v>0.5</v>
      </c>
      <c r="X7398" s="8">
        <v>159</v>
      </c>
      <c r="Y7398" s="8" t="s">
        <v>266</v>
      </c>
      <c r="Z7398" s="8" t="s">
        <v>267</v>
      </c>
    </row>
    <row r="7399" spans="1:26" x14ac:dyDescent="0.2">
      <c r="A7399" s="8">
        <v>7398</v>
      </c>
      <c r="B7399" s="8" t="s">
        <v>32783</v>
      </c>
      <c r="C7399" s="8" t="s">
        <v>32783</v>
      </c>
      <c r="F7399" s="47"/>
      <c r="G7399" s="8">
        <v>18</v>
      </c>
      <c r="H7399" s="8" t="s">
        <v>21</v>
      </c>
      <c r="I7399" s="8" t="s">
        <v>22</v>
      </c>
      <c r="J7399" s="8" t="s">
        <v>22</v>
      </c>
      <c r="K7399" s="8" t="s">
        <v>91</v>
      </c>
      <c r="L7399" s="8" t="s">
        <v>38</v>
      </c>
      <c r="M7399" s="8" t="s">
        <v>39</v>
      </c>
      <c r="N7399" s="8" t="s">
        <v>32784</v>
      </c>
      <c r="O7399" s="8">
        <f>22+52/60+49.2/3600</f>
        <v>22.880333333333333</v>
      </c>
      <c r="P7399" s="8" t="s">
        <v>32785</v>
      </c>
      <c r="Q7399" s="8">
        <f>+(1+12/60+6/3600)</f>
        <v>1.2016666666666667</v>
      </c>
      <c r="R7399" s="8">
        <v>13.6</v>
      </c>
      <c r="S7399" s="8">
        <v>14.5</v>
      </c>
      <c r="T7399" s="8">
        <v>0.9</v>
      </c>
      <c r="U7399" s="8">
        <v>13.4</v>
      </c>
      <c r="V7399" s="8">
        <v>1.2</v>
      </c>
      <c r="W7399" s="8">
        <v>0.8</v>
      </c>
      <c r="X7399" s="8">
        <v>75</v>
      </c>
      <c r="Y7399" s="8" t="s">
        <v>1225</v>
      </c>
      <c r="Z7399" s="8" t="s">
        <v>1226</v>
      </c>
    </row>
    <row r="7400" spans="1:26" x14ac:dyDescent="0.2">
      <c r="A7400" s="8">
        <v>7399</v>
      </c>
      <c r="B7400" s="8" t="s">
        <v>32786</v>
      </c>
      <c r="C7400" s="8" t="s">
        <v>32786</v>
      </c>
      <c r="F7400" s="47"/>
      <c r="G7400" s="8">
        <v>19</v>
      </c>
      <c r="H7400" s="8" t="s">
        <v>21</v>
      </c>
      <c r="I7400" s="8" t="s">
        <v>22</v>
      </c>
      <c r="J7400" s="8" t="s">
        <v>22</v>
      </c>
      <c r="K7400" s="8" t="s">
        <v>632</v>
      </c>
      <c r="L7400" s="8" t="s">
        <v>30854</v>
      </c>
      <c r="M7400" s="8" t="s">
        <v>30855</v>
      </c>
      <c r="N7400" s="8" t="s">
        <v>32787</v>
      </c>
      <c r="O7400" s="8">
        <f>22+52/60+39.3/3600</f>
        <v>22.877583333333334</v>
      </c>
      <c r="P7400" s="8" t="s">
        <v>32788</v>
      </c>
      <c r="Q7400" s="8">
        <f>-(9+16/60+3/3600)</f>
        <v>-9.2675000000000001</v>
      </c>
      <c r="R7400" s="8">
        <v>13.7</v>
      </c>
      <c r="S7400" s="8">
        <v>14.6</v>
      </c>
      <c r="T7400" s="8">
        <v>0.9</v>
      </c>
      <c r="U7400" s="8">
        <v>12.5</v>
      </c>
      <c r="V7400" s="8">
        <v>0.9</v>
      </c>
      <c r="W7400" s="8">
        <v>0.4</v>
      </c>
      <c r="X7400" s="8">
        <v>150</v>
      </c>
      <c r="Y7400" s="8" t="s">
        <v>3505</v>
      </c>
      <c r="Z7400" s="8" t="s">
        <v>3506</v>
      </c>
    </row>
    <row r="7401" spans="1:26" x14ac:dyDescent="0.2">
      <c r="A7401" s="8">
        <v>7400</v>
      </c>
      <c r="B7401" s="8" t="s">
        <v>32789</v>
      </c>
      <c r="C7401" s="8" t="s">
        <v>32789</v>
      </c>
      <c r="F7401" s="47"/>
      <c r="G7401" s="8">
        <v>16</v>
      </c>
      <c r="H7401" s="8" t="s">
        <v>21</v>
      </c>
      <c r="I7401" s="8" t="s">
        <v>22</v>
      </c>
      <c r="J7401" s="8" t="s">
        <v>22</v>
      </c>
      <c r="K7401" s="8" t="s">
        <v>396</v>
      </c>
      <c r="L7401" s="8" t="s">
        <v>31389</v>
      </c>
      <c r="M7401" s="8" t="s">
        <v>31390</v>
      </c>
      <c r="N7401" s="8" t="s">
        <v>32790</v>
      </c>
      <c r="O7401" s="8">
        <f>22+54/60+20.8/3600</f>
        <v>22.905777777777775</v>
      </c>
      <c r="P7401" s="8" t="s">
        <v>32791</v>
      </c>
      <c r="Q7401" s="8">
        <f>-(45+20/60+50/3600)</f>
        <v>-45.347222222222221</v>
      </c>
      <c r="R7401" s="8">
        <v>12.9</v>
      </c>
      <c r="S7401" s="8">
        <v>13.7</v>
      </c>
      <c r="T7401" s="8">
        <v>0.8</v>
      </c>
      <c r="U7401" s="8">
        <v>13</v>
      </c>
      <c r="V7401" s="8">
        <v>2.7</v>
      </c>
      <c r="W7401" s="8">
        <v>0.5</v>
      </c>
      <c r="X7401" s="8">
        <v>2</v>
      </c>
      <c r="Y7401" s="8" t="s">
        <v>32792</v>
      </c>
      <c r="Z7401" s="8" t="s">
        <v>32793</v>
      </c>
    </row>
    <row r="7402" spans="1:26" x14ac:dyDescent="0.2">
      <c r="A7402" s="8">
        <v>7401</v>
      </c>
      <c r="B7402" s="8" t="s">
        <v>32794</v>
      </c>
      <c r="C7402" s="8" t="s">
        <v>32794</v>
      </c>
      <c r="F7402" s="47"/>
      <c r="G7402" s="8">
        <v>18</v>
      </c>
      <c r="H7402" s="8" t="s">
        <v>21</v>
      </c>
      <c r="I7402" s="8" t="s">
        <v>22</v>
      </c>
      <c r="J7402" s="8" t="s">
        <v>22</v>
      </c>
      <c r="K7402" s="8" t="s">
        <v>91</v>
      </c>
      <c r="L7402" s="8" t="s">
        <v>38</v>
      </c>
      <c r="M7402" s="8" t="s">
        <v>39</v>
      </c>
      <c r="N7402" s="8" t="s">
        <v>32795</v>
      </c>
      <c r="O7402" s="8">
        <f>22+52/60+58.5/3600</f>
        <v>22.882916666666667</v>
      </c>
      <c r="P7402" s="8" t="s">
        <v>32796</v>
      </c>
      <c r="Q7402" s="8">
        <f>+(1+8/60+33/3600)</f>
        <v>1.1425000000000001</v>
      </c>
      <c r="R7402" s="8">
        <v>14.9</v>
      </c>
      <c r="S7402" s="8">
        <v>15.8</v>
      </c>
      <c r="T7402" s="8">
        <v>0.9</v>
      </c>
      <c r="U7402" s="8">
        <v>14.2</v>
      </c>
      <c r="V7402" s="8">
        <v>1</v>
      </c>
      <c r="W7402" s="8">
        <v>0.6</v>
      </c>
      <c r="X7402" s="8">
        <v>84</v>
      </c>
      <c r="Y7402" s="8" t="s">
        <v>266</v>
      </c>
      <c r="Z7402" s="8" t="s">
        <v>267</v>
      </c>
    </row>
    <row r="7403" spans="1:26" x14ac:dyDescent="0.2">
      <c r="A7403" s="8">
        <v>7402</v>
      </c>
      <c r="B7403" s="8" t="s">
        <v>32797</v>
      </c>
      <c r="C7403" s="8" t="s">
        <v>32797</v>
      </c>
      <c r="F7403" s="47"/>
      <c r="G7403" s="8">
        <v>19</v>
      </c>
      <c r="H7403" s="8" t="s">
        <v>21</v>
      </c>
      <c r="I7403" s="8" t="s">
        <v>22</v>
      </c>
      <c r="J7403" s="8" t="s">
        <v>22</v>
      </c>
      <c r="K7403" s="8" t="s">
        <v>37</v>
      </c>
      <c r="L7403" s="8" t="s">
        <v>38</v>
      </c>
      <c r="M7403" s="8" t="s">
        <v>39</v>
      </c>
      <c r="N7403" s="8" t="s">
        <v>32798</v>
      </c>
      <c r="O7403" s="8">
        <f>22+53/60+4.4/3600</f>
        <v>22.884555555555554</v>
      </c>
      <c r="P7403" s="8" t="s">
        <v>32799</v>
      </c>
      <c r="Q7403" s="8">
        <f>+(1+8/60+42/3600)</f>
        <v>1.145</v>
      </c>
      <c r="R7403" s="8">
        <v>14.5</v>
      </c>
      <c r="S7403" s="8">
        <v>15.5</v>
      </c>
      <c r="T7403" s="8">
        <v>1</v>
      </c>
      <c r="U7403" s="8">
        <v>13.2</v>
      </c>
      <c r="V7403" s="8">
        <v>0.7</v>
      </c>
      <c r="W7403" s="8">
        <v>0.5</v>
      </c>
      <c r="X7403" s="8">
        <v>50</v>
      </c>
      <c r="Y7403" s="8" t="s">
        <v>266</v>
      </c>
      <c r="Z7403" s="8" t="s">
        <v>267</v>
      </c>
    </row>
    <row r="7404" spans="1:26" x14ac:dyDescent="0.2">
      <c r="A7404" s="8">
        <v>7403</v>
      </c>
      <c r="B7404" s="8" t="s">
        <v>32800</v>
      </c>
      <c r="C7404" s="8" t="s">
        <v>32800</v>
      </c>
      <c r="F7404" s="47"/>
      <c r="G7404" s="8">
        <v>18</v>
      </c>
      <c r="H7404" s="8" t="s">
        <v>21</v>
      </c>
      <c r="I7404" s="8" t="s">
        <v>72</v>
      </c>
      <c r="J7404" s="8" t="s">
        <v>72</v>
      </c>
      <c r="K7404" s="8" t="s">
        <v>20</v>
      </c>
      <c r="L7404" s="8" t="s">
        <v>38</v>
      </c>
      <c r="M7404" s="8" t="s">
        <v>39</v>
      </c>
      <c r="N7404" s="8" t="s">
        <v>32801</v>
      </c>
      <c r="O7404" s="8">
        <f>22+53/60+6.3/3600</f>
        <v>22.885083333333334</v>
      </c>
      <c r="P7404" s="8" t="s">
        <v>32802</v>
      </c>
      <c r="Q7404" s="8">
        <f>+(1+28/60+56/3600)</f>
        <v>1.4822222222222223</v>
      </c>
      <c r="R7404" s="8">
        <v>99</v>
      </c>
      <c r="S7404" s="8">
        <v>13.9</v>
      </c>
      <c r="T7404" s="8">
        <v>99</v>
      </c>
      <c r="U7404" s="8">
        <v>99</v>
      </c>
      <c r="Y7404" s="8" t="s">
        <v>32803</v>
      </c>
      <c r="Z7404" s="8" t="s">
        <v>32804</v>
      </c>
    </row>
    <row r="7405" spans="1:26" x14ac:dyDescent="0.2">
      <c r="A7405" s="8">
        <v>7404</v>
      </c>
      <c r="B7405" s="8" t="s">
        <v>32805</v>
      </c>
      <c r="C7405" s="8" t="s">
        <v>32805</v>
      </c>
      <c r="F7405" s="47"/>
      <c r="G7405" s="8">
        <v>16</v>
      </c>
      <c r="H7405" s="8" t="s">
        <v>21</v>
      </c>
      <c r="I7405" s="8" t="s">
        <v>22</v>
      </c>
      <c r="J7405" s="8" t="s">
        <v>22</v>
      </c>
      <c r="K7405" s="8" t="s">
        <v>118</v>
      </c>
      <c r="L7405" s="8" t="s">
        <v>31389</v>
      </c>
      <c r="M7405" s="8" t="s">
        <v>31390</v>
      </c>
      <c r="N7405" s="8" t="s">
        <v>32806</v>
      </c>
      <c r="O7405" s="8">
        <f>22+54/60+18.6/3600</f>
        <v>22.905166666666666</v>
      </c>
      <c r="P7405" s="8" t="s">
        <v>32807</v>
      </c>
      <c r="Q7405" s="8">
        <f>-(39+18/60+53/3600)</f>
        <v>-39.314722222222223</v>
      </c>
      <c r="R7405" s="8">
        <v>12.8</v>
      </c>
      <c r="S7405" s="8">
        <v>13.7</v>
      </c>
      <c r="T7405" s="8">
        <v>0.9</v>
      </c>
      <c r="U7405" s="8">
        <v>13.1</v>
      </c>
      <c r="V7405" s="8">
        <v>1.5</v>
      </c>
      <c r="W7405" s="8">
        <v>0.8</v>
      </c>
      <c r="X7405" s="8">
        <v>2</v>
      </c>
      <c r="Y7405" s="8" t="s">
        <v>170</v>
      </c>
      <c r="Z7405" s="8" t="s">
        <v>171</v>
      </c>
    </row>
    <row r="7406" spans="1:26" x14ac:dyDescent="0.2">
      <c r="A7406" s="8">
        <v>7405</v>
      </c>
      <c r="B7406" s="8" t="s">
        <v>32808</v>
      </c>
      <c r="C7406" s="8" t="s">
        <v>32808</v>
      </c>
      <c r="F7406" s="47"/>
      <c r="G7406" s="8">
        <v>18</v>
      </c>
      <c r="H7406" s="8" t="s">
        <v>21</v>
      </c>
      <c r="I7406" s="8" t="s">
        <v>329</v>
      </c>
      <c r="J7406" s="8" t="s">
        <v>329</v>
      </c>
      <c r="K7406" s="8" t="s">
        <v>329</v>
      </c>
      <c r="L7406" s="8" t="s">
        <v>24</v>
      </c>
      <c r="M7406" s="8" t="s">
        <v>25</v>
      </c>
      <c r="N7406" s="8" t="s">
        <v>32809</v>
      </c>
      <c r="O7406" s="8">
        <f>22+53/60+36/3600</f>
        <v>22.893333333333334</v>
      </c>
      <c r="P7406" s="8" t="s">
        <v>32810</v>
      </c>
      <c r="Q7406" s="8">
        <f>+(12+28/60+36/3600)</f>
        <v>12.476666666666667</v>
      </c>
      <c r="R7406" s="8">
        <v>99</v>
      </c>
      <c r="S7406" s="8">
        <v>99</v>
      </c>
      <c r="T7406" s="8">
        <v>99</v>
      </c>
      <c r="U7406" s="8">
        <v>99</v>
      </c>
      <c r="Y7406" s="8" t="s">
        <v>227</v>
      </c>
      <c r="Z7406" s="8" t="s">
        <v>228</v>
      </c>
    </row>
    <row r="7407" spans="1:26" x14ac:dyDescent="0.2">
      <c r="A7407" s="8">
        <v>7406</v>
      </c>
      <c r="B7407" s="8" t="s">
        <v>32811</v>
      </c>
      <c r="C7407" s="8" t="s">
        <v>32811</v>
      </c>
      <c r="F7407" s="47"/>
      <c r="G7407" s="8">
        <v>18</v>
      </c>
      <c r="H7407" s="8" t="s">
        <v>21</v>
      </c>
      <c r="I7407" s="8" t="s">
        <v>22</v>
      </c>
      <c r="J7407" s="8" t="s">
        <v>22</v>
      </c>
      <c r="K7407" s="8" t="s">
        <v>476</v>
      </c>
      <c r="L7407" s="8" t="s">
        <v>30854</v>
      </c>
      <c r="M7407" s="8" t="s">
        <v>30855</v>
      </c>
      <c r="N7407" s="8" t="s">
        <v>32812</v>
      </c>
      <c r="O7407" s="8">
        <f>22+53/60+56.4/3600</f>
        <v>22.899000000000001</v>
      </c>
      <c r="P7407" s="8" t="s">
        <v>32813</v>
      </c>
      <c r="Q7407" s="8">
        <f>-(6+34/60+44/3600)</f>
        <v>-6.5788888888888888</v>
      </c>
      <c r="R7407" s="8">
        <v>13.6</v>
      </c>
      <c r="S7407" s="8">
        <v>14.5</v>
      </c>
      <c r="T7407" s="8">
        <v>0.9</v>
      </c>
      <c r="U7407" s="8">
        <v>13</v>
      </c>
      <c r="V7407" s="8">
        <v>1.1000000000000001</v>
      </c>
      <c r="W7407" s="8">
        <v>0.6</v>
      </c>
      <c r="X7407" s="8">
        <v>75</v>
      </c>
      <c r="Y7407" s="8" t="s">
        <v>3253</v>
      </c>
      <c r="Z7407" s="8" t="s">
        <v>3254</v>
      </c>
    </row>
    <row r="7408" spans="1:26" x14ac:dyDescent="0.2">
      <c r="A7408" s="8">
        <v>7407</v>
      </c>
      <c r="B7408" s="8" t="s">
        <v>32814</v>
      </c>
      <c r="C7408" s="8" t="s">
        <v>32814</v>
      </c>
      <c r="F7408" s="47"/>
      <c r="G7408" s="8">
        <v>18</v>
      </c>
      <c r="H7408" s="8" t="s">
        <v>21</v>
      </c>
      <c r="I7408" s="8" t="s">
        <v>22</v>
      </c>
      <c r="J7408" s="8" t="s">
        <v>22</v>
      </c>
      <c r="K7408" s="8" t="s">
        <v>160</v>
      </c>
      <c r="L7408" s="8" t="s">
        <v>24</v>
      </c>
      <c r="M7408" s="8" t="s">
        <v>25</v>
      </c>
      <c r="N7408" s="8" t="s">
        <v>32815</v>
      </c>
      <c r="O7408" s="8">
        <f>22+53/60+21/3600</f>
        <v>22.889166666666664</v>
      </c>
      <c r="P7408" s="8" t="s">
        <v>32816</v>
      </c>
      <c r="Q7408" s="8">
        <f>+(32+7/60+47/3600)</f>
        <v>32.12972222222222</v>
      </c>
      <c r="R7408" s="8">
        <v>13.1</v>
      </c>
      <c r="S7408" s="8">
        <v>13.8</v>
      </c>
      <c r="T7408" s="8">
        <v>0.7</v>
      </c>
      <c r="U7408" s="8">
        <v>13.6</v>
      </c>
      <c r="V7408" s="8">
        <v>2</v>
      </c>
      <c r="W7408" s="8">
        <v>0.9</v>
      </c>
      <c r="X7408" s="8">
        <v>152</v>
      </c>
      <c r="Y7408" s="8" t="s">
        <v>266</v>
      </c>
      <c r="Z7408" s="8" t="s">
        <v>267</v>
      </c>
    </row>
    <row r="7409" spans="1:26" x14ac:dyDescent="0.2">
      <c r="A7409" s="8">
        <v>7408</v>
      </c>
      <c r="B7409" s="8" t="s">
        <v>32817</v>
      </c>
      <c r="C7409" s="8" t="s">
        <v>32817</v>
      </c>
      <c r="F7409" s="47"/>
      <c r="G7409" s="8">
        <v>16</v>
      </c>
      <c r="H7409" s="8" t="s">
        <v>21</v>
      </c>
      <c r="I7409" s="8" t="s">
        <v>22</v>
      </c>
      <c r="J7409" s="8" t="s">
        <v>22</v>
      </c>
      <c r="K7409" s="8" t="s">
        <v>64</v>
      </c>
      <c r="L7409" s="8" t="s">
        <v>310</v>
      </c>
      <c r="M7409" s="8" t="s">
        <v>311</v>
      </c>
      <c r="N7409" s="8" t="s">
        <v>32818</v>
      </c>
      <c r="O7409" s="8">
        <f>22+55/60+56.7/3600</f>
        <v>22.932416666666668</v>
      </c>
      <c r="P7409" s="8" t="s">
        <v>32819</v>
      </c>
      <c r="Q7409" s="8">
        <f>-(63+41/60+43/3600)</f>
        <v>-63.695277777777775</v>
      </c>
      <c r="R7409" s="8">
        <v>12.6</v>
      </c>
      <c r="S7409" s="8">
        <v>13.3</v>
      </c>
      <c r="T7409" s="8">
        <v>0.7</v>
      </c>
      <c r="U7409" s="8">
        <v>13.2</v>
      </c>
      <c r="V7409" s="8">
        <v>1.6</v>
      </c>
      <c r="W7409" s="8">
        <v>1.2</v>
      </c>
      <c r="X7409" s="8">
        <v>167</v>
      </c>
      <c r="Y7409" s="8" t="s">
        <v>32820</v>
      </c>
      <c r="Z7409" s="8" t="s">
        <v>32821</v>
      </c>
    </row>
    <row r="7410" spans="1:26" x14ac:dyDescent="0.2">
      <c r="A7410" s="8">
        <v>7409</v>
      </c>
      <c r="B7410" s="8" t="s">
        <v>32822</v>
      </c>
      <c r="C7410" s="8" t="s">
        <v>32822</v>
      </c>
      <c r="F7410" s="47"/>
      <c r="G7410" s="8">
        <v>18</v>
      </c>
      <c r="H7410" s="8" t="s">
        <v>21</v>
      </c>
      <c r="I7410" s="8" t="s">
        <v>22</v>
      </c>
      <c r="J7410" s="8" t="s">
        <v>22</v>
      </c>
      <c r="K7410" s="8" t="s">
        <v>224</v>
      </c>
      <c r="L7410" s="8" t="s">
        <v>24</v>
      </c>
      <c r="M7410" s="8" t="s">
        <v>25</v>
      </c>
      <c r="N7410" s="8" t="s">
        <v>32823</v>
      </c>
      <c r="O7410" s="8">
        <f>22+53/60+48/3600</f>
        <v>22.896666666666665</v>
      </c>
      <c r="P7410" s="8" t="s">
        <v>32824</v>
      </c>
      <c r="Q7410" s="8">
        <f>+(20+12/60+39/3600)</f>
        <v>20.210833333333333</v>
      </c>
      <c r="R7410" s="8">
        <v>14.4</v>
      </c>
      <c r="S7410" s="8">
        <v>15.4</v>
      </c>
      <c r="T7410" s="8">
        <v>1</v>
      </c>
      <c r="U7410" s="8">
        <v>12.7</v>
      </c>
      <c r="V7410" s="8">
        <v>0.6</v>
      </c>
      <c r="W7410" s="8">
        <v>0.4</v>
      </c>
      <c r="X7410" s="8">
        <v>162</v>
      </c>
      <c r="Y7410" s="8" t="s">
        <v>47</v>
      </c>
      <c r="Z7410" s="8" t="s">
        <v>48</v>
      </c>
    </row>
    <row r="7411" spans="1:26" x14ac:dyDescent="0.2">
      <c r="A7411" s="8">
        <v>7410</v>
      </c>
      <c r="B7411" s="8" t="s">
        <v>32825</v>
      </c>
      <c r="C7411" s="8" t="s">
        <v>32825</v>
      </c>
      <c r="F7411" s="47"/>
      <c r="G7411" s="8">
        <v>3</v>
      </c>
      <c r="H7411" s="8" t="s">
        <v>21</v>
      </c>
      <c r="I7411" s="8" t="s">
        <v>22</v>
      </c>
      <c r="J7411" s="8" t="s">
        <v>22</v>
      </c>
      <c r="K7411" s="8" t="s">
        <v>154</v>
      </c>
      <c r="L7411" s="8" t="s">
        <v>31389</v>
      </c>
      <c r="M7411" s="8" t="s">
        <v>31390</v>
      </c>
      <c r="N7411" s="8" t="s">
        <v>32826</v>
      </c>
      <c r="O7411" s="8">
        <f>22+55/60+0.6/3600</f>
        <v>22.916833333333333</v>
      </c>
      <c r="P7411" s="8" t="s">
        <v>32827</v>
      </c>
      <c r="Q7411" s="8">
        <f>-(39+39/60+44/3600)</f>
        <v>-39.662222222222219</v>
      </c>
      <c r="R7411" s="8">
        <v>10.3</v>
      </c>
      <c r="S7411" s="8">
        <v>11.2</v>
      </c>
      <c r="T7411" s="8">
        <v>0.9</v>
      </c>
      <c r="U7411" s="8">
        <v>12.5</v>
      </c>
      <c r="V7411" s="8">
        <v>5.2</v>
      </c>
      <c r="W7411" s="8">
        <v>1.6</v>
      </c>
      <c r="X7411" s="8">
        <v>45</v>
      </c>
      <c r="Y7411" s="8" t="s">
        <v>32828</v>
      </c>
      <c r="Z7411" s="8" t="s">
        <v>32829</v>
      </c>
    </row>
    <row r="7412" spans="1:26" x14ac:dyDescent="0.2">
      <c r="A7412" s="8">
        <v>7411</v>
      </c>
      <c r="B7412" s="8" t="s">
        <v>32830</v>
      </c>
      <c r="C7412" s="8" t="s">
        <v>32830</v>
      </c>
      <c r="F7412" s="47"/>
      <c r="G7412" s="8">
        <v>18</v>
      </c>
      <c r="H7412" s="8" t="s">
        <v>21</v>
      </c>
      <c r="I7412" s="8" t="s">
        <v>22</v>
      </c>
      <c r="J7412" s="8" t="s">
        <v>22</v>
      </c>
      <c r="K7412" s="8" t="s">
        <v>460</v>
      </c>
      <c r="L7412" s="8" t="s">
        <v>24</v>
      </c>
      <c r="M7412" s="8" t="s">
        <v>25</v>
      </c>
      <c r="N7412" s="8" t="s">
        <v>32831</v>
      </c>
      <c r="O7412" s="8">
        <f>22+54/60+34.8/3600</f>
        <v>22.909666666666666</v>
      </c>
      <c r="P7412" s="8" t="s">
        <v>32832</v>
      </c>
      <c r="Q7412" s="8">
        <f>+(20+14/60+12/3600)</f>
        <v>20.236666666666668</v>
      </c>
      <c r="R7412" s="8">
        <v>13.4</v>
      </c>
      <c r="S7412" s="8">
        <v>14.4</v>
      </c>
      <c r="T7412" s="8">
        <v>1</v>
      </c>
      <c r="U7412" s="8">
        <v>13.2</v>
      </c>
      <c r="V7412" s="8">
        <v>0.9</v>
      </c>
      <c r="W7412" s="8">
        <v>0.9</v>
      </c>
      <c r="Y7412" s="8" t="s">
        <v>282</v>
      </c>
      <c r="Z7412" s="8" t="s">
        <v>283</v>
      </c>
    </row>
    <row r="7413" spans="1:26" x14ac:dyDescent="0.2">
      <c r="A7413" s="8">
        <v>7412</v>
      </c>
      <c r="B7413" s="8" t="s">
        <v>32833</v>
      </c>
      <c r="C7413" s="8" t="s">
        <v>32833</v>
      </c>
      <c r="F7413" s="47"/>
      <c r="G7413" s="8">
        <v>13</v>
      </c>
      <c r="H7413" s="8" t="s">
        <v>21</v>
      </c>
      <c r="I7413" s="8" t="s">
        <v>22</v>
      </c>
      <c r="J7413" s="8" t="s">
        <v>22</v>
      </c>
      <c r="K7413" s="8" t="s">
        <v>218</v>
      </c>
      <c r="L7413" s="8" t="s">
        <v>31389</v>
      </c>
      <c r="M7413" s="8" t="s">
        <v>31390</v>
      </c>
      <c r="N7413" s="8" t="s">
        <v>32834</v>
      </c>
      <c r="O7413" s="8">
        <f>22+55/60+46.1/3600</f>
        <v>22.929472222222223</v>
      </c>
      <c r="P7413" s="8" t="s">
        <v>32835</v>
      </c>
      <c r="Q7413" s="8">
        <f>-(42+38/60+29/3600)</f>
        <v>-42.641388888888891</v>
      </c>
      <c r="R7413" s="8">
        <v>11.4</v>
      </c>
      <c r="S7413" s="8">
        <v>11.9</v>
      </c>
      <c r="T7413" s="8">
        <v>0.5</v>
      </c>
      <c r="U7413" s="8">
        <v>13.8</v>
      </c>
      <c r="V7413" s="8">
        <v>3.8</v>
      </c>
      <c r="W7413" s="8">
        <v>2.8</v>
      </c>
      <c r="X7413" s="8">
        <v>75</v>
      </c>
      <c r="Y7413" s="8" t="s">
        <v>32836</v>
      </c>
      <c r="Z7413" s="8" t="s">
        <v>32837</v>
      </c>
    </row>
    <row r="7414" spans="1:26" x14ac:dyDescent="0.2">
      <c r="A7414" s="8">
        <v>7413</v>
      </c>
      <c r="B7414" s="8" t="s">
        <v>32838</v>
      </c>
      <c r="C7414" s="8" t="s">
        <v>32838</v>
      </c>
      <c r="F7414" s="47"/>
      <c r="G7414" s="8">
        <v>19</v>
      </c>
      <c r="H7414" s="8" t="s">
        <v>21</v>
      </c>
      <c r="I7414" s="8" t="s">
        <v>22</v>
      </c>
      <c r="J7414" s="8" t="s">
        <v>22</v>
      </c>
      <c r="K7414" s="8" t="s">
        <v>58</v>
      </c>
      <c r="L7414" s="8" t="s">
        <v>24</v>
      </c>
      <c r="M7414" s="8" t="s">
        <v>25</v>
      </c>
      <c r="N7414" s="8" t="s">
        <v>32839</v>
      </c>
      <c r="O7414" s="8">
        <f>22+55/60+3/3600</f>
        <v>22.9175</v>
      </c>
      <c r="P7414" s="8" t="s">
        <v>32840</v>
      </c>
      <c r="Q7414" s="8">
        <f>+(13+13/60+16/3600)</f>
        <v>13.221111111111112</v>
      </c>
      <c r="R7414" s="8">
        <v>14.1</v>
      </c>
      <c r="S7414" s="8">
        <v>15.1</v>
      </c>
      <c r="T7414" s="8">
        <v>1</v>
      </c>
      <c r="U7414" s="8">
        <v>13.8</v>
      </c>
      <c r="V7414" s="8">
        <v>1</v>
      </c>
      <c r="W7414" s="8">
        <v>0.7</v>
      </c>
      <c r="X7414" s="8">
        <v>81</v>
      </c>
      <c r="Y7414" s="8" t="s">
        <v>32841</v>
      </c>
      <c r="Z7414" s="8" t="s">
        <v>32842</v>
      </c>
    </row>
    <row r="7415" spans="1:26" x14ac:dyDescent="0.2">
      <c r="A7415" s="8">
        <v>7414</v>
      </c>
      <c r="B7415" s="8" t="s">
        <v>32843</v>
      </c>
      <c r="C7415" s="8" t="s">
        <v>32843</v>
      </c>
      <c r="F7415" s="47"/>
      <c r="G7415" s="8">
        <v>19</v>
      </c>
      <c r="H7415" s="8" t="s">
        <v>21</v>
      </c>
      <c r="I7415" s="8" t="s">
        <v>22</v>
      </c>
      <c r="J7415" s="8" t="s">
        <v>22</v>
      </c>
      <c r="K7415" s="8" t="s">
        <v>37</v>
      </c>
      <c r="L7415" s="8" t="s">
        <v>24</v>
      </c>
      <c r="M7415" s="8" t="s">
        <v>25</v>
      </c>
      <c r="N7415" s="8" t="s">
        <v>32844</v>
      </c>
      <c r="O7415" s="8">
        <f>22+55/60+24.3/3600</f>
        <v>22.923416666666668</v>
      </c>
      <c r="P7415" s="8" t="s">
        <v>32845</v>
      </c>
      <c r="Q7415" s="8">
        <f>+(13+14/60+56/3600)</f>
        <v>13.248888888888889</v>
      </c>
      <c r="R7415" s="8">
        <v>16</v>
      </c>
      <c r="S7415" s="8">
        <v>17</v>
      </c>
      <c r="T7415" s="8">
        <v>1</v>
      </c>
      <c r="U7415" s="8">
        <v>13.3</v>
      </c>
      <c r="V7415" s="8">
        <v>0.4</v>
      </c>
      <c r="W7415" s="8">
        <v>0.2</v>
      </c>
      <c r="X7415" s="8">
        <v>174</v>
      </c>
      <c r="Y7415" s="8" t="s">
        <v>32846</v>
      </c>
      <c r="Z7415" s="8" t="s">
        <v>32847</v>
      </c>
    </row>
    <row r="7416" spans="1:26" x14ac:dyDescent="0.2">
      <c r="A7416" s="8">
        <v>7415</v>
      </c>
      <c r="B7416" s="8" t="s">
        <v>32848</v>
      </c>
      <c r="C7416" s="8" t="s">
        <v>32848</v>
      </c>
      <c r="E7416" s="8">
        <v>1</v>
      </c>
      <c r="F7416" s="47"/>
      <c r="G7416" s="8">
        <v>18</v>
      </c>
      <c r="H7416" s="8" t="s">
        <v>21</v>
      </c>
      <c r="I7416" s="8" t="s">
        <v>22</v>
      </c>
      <c r="J7416" s="8" t="s">
        <v>22</v>
      </c>
      <c r="K7416" s="8" t="s">
        <v>31</v>
      </c>
      <c r="L7416" s="8" t="s">
        <v>24</v>
      </c>
      <c r="M7416" s="8" t="s">
        <v>25</v>
      </c>
      <c r="N7416" s="8" t="s">
        <v>32849</v>
      </c>
      <c r="O7416" s="8">
        <f>22+54/60+51.7/3600</f>
        <v>22.914361111111109</v>
      </c>
      <c r="P7416" s="8" t="s">
        <v>32850</v>
      </c>
      <c r="Q7416" s="8">
        <f>+(20+15/60+44/3600)</f>
        <v>20.262222222222221</v>
      </c>
      <c r="R7416" s="8">
        <v>14.7</v>
      </c>
      <c r="S7416" s="8">
        <v>15.5</v>
      </c>
      <c r="T7416" s="8">
        <v>0.8</v>
      </c>
      <c r="U7416" s="8">
        <v>12.9</v>
      </c>
      <c r="V7416" s="8">
        <v>1.1000000000000001</v>
      </c>
      <c r="W7416" s="8">
        <v>0.2</v>
      </c>
      <c r="X7416" s="8">
        <v>128</v>
      </c>
      <c r="Y7416" s="8" t="s">
        <v>47</v>
      </c>
      <c r="Z7416" s="8" t="s">
        <v>48</v>
      </c>
    </row>
    <row r="7417" spans="1:26" x14ac:dyDescent="0.2">
      <c r="A7417" s="8">
        <v>7416</v>
      </c>
      <c r="B7417" s="8" t="s">
        <v>32851</v>
      </c>
      <c r="C7417" s="8" t="s">
        <v>32851</v>
      </c>
      <c r="F7417" s="47"/>
      <c r="G7417" s="8">
        <v>18</v>
      </c>
      <c r="H7417" s="8" t="s">
        <v>21</v>
      </c>
      <c r="I7417" s="8" t="s">
        <v>22</v>
      </c>
      <c r="J7417" s="8" t="s">
        <v>22</v>
      </c>
      <c r="K7417" s="8" t="s">
        <v>218</v>
      </c>
      <c r="L7417" s="8" t="s">
        <v>30854</v>
      </c>
      <c r="M7417" s="8" t="s">
        <v>30855</v>
      </c>
      <c r="N7417" s="8" t="s">
        <v>32852</v>
      </c>
      <c r="O7417" s="8">
        <f>22+55/60+41.6/3600</f>
        <v>22.928222222222225</v>
      </c>
      <c r="P7417" s="8" t="s">
        <v>32853</v>
      </c>
      <c r="Q7417" s="8">
        <f>-(5+29/60+42/3600)</f>
        <v>-5.4950000000000001</v>
      </c>
      <c r="R7417" s="8">
        <v>12.4</v>
      </c>
      <c r="S7417" s="8">
        <v>13.2</v>
      </c>
      <c r="T7417" s="8">
        <v>0.8</v>
      </c>
      <c r="U7417" s="8">
        <v>13.3</v>
      </c>
      <c r="V7417" s="8">
        <v>3.2</v>
      </c>
      <c r="W7417" s="8">
        <v>0.7</v>
      </c>
      <c r="X7417" s="8">
        <v>115</v>
      </c>
      <c r="Y7417" s="8" t="s">
        <v>32854</v>
      </c>
      <c r="Z7417" s="8" t="s">
        <v>32855</v>
      </c>
    </row>
    <row r="7418" spans="1:26" x14ac:dyDescent="0.2">
      <c r="A7418" s="8">
        <v>7417</v>
      </c>
      <c r="B7418" s="8" t="s">
        <v>32856</v>
      </c>
      <c r="C7418" s="8" t="s">
        <v>32856</v>
      </c>
      <c r="F7418" s="47"/>
      <c r="G7418" s="8">
        <v>16</v>
      </c>
      <c r="H7418" s="8" t="s">
        <v>21</v>
      </c>
      <c r="I7418" s="8" t="s">
        <v>22</v>
      </c>
      <c r="J7418" s="8" t="s">
        <v>22</v>
      </c>
      <c r="K7418" s="8" t="s">
        <v>406</v>
      </c>
      <c r="L7418" s="8" t="s">
        <v>310</v>
      </c>
      <c r="M7418" s="8" t="s">
        <v>311</v>
      </c>
      <c r="N7418" s="8" t="s">
        <v>32857</v>
      </c>
      <c r="O7418" s="8">
        <f>22+57/60+49.1/3600</f>
        <v>22.963638888888887</v>
      </c>
      <c r="P7418" s="8" t="s">
        <v>32858</v>
      </c>
      <c r="Q7418" s="8">
        <f>-(65+2/60+18/3600)</f>
        <v>-65.038333333333327</v>
      </c>
      <c r="R7418" s="8">
        <v>12.3</v>
      </c>
      <c r="S7418" s="8">
        <v>13.2</v>
      </c>
      <c r="T7418" s="8">
        <v>0.9</v>
      </c>
      <c r="U7418" s="8">
        <v>13.1</v>
      </c>
      <c r="V7418" s="8">
        <v>2.4</v>
      </c>
      <c r="W7418" s="8">
        <v>1.6</v>
      </c>
      <c r="X7418" s="8">
        <v>2</v>
      </c>
      <c r="Y7418" s="8" t="s">
        <v>32859</v>
      </c>
      <c r="Z7418" s="8" t="s">
        <v>32860</v>
      </c>
    </row>
    <row r="7419" spans="1:26" x14ac:dyDescent="0.2">
      <c r="A7419" s="8">
        <v>7418</v>
      </c>
      <c r="B7419" s="8" t="s">
        <v>32861</v>
      </c>
      <c r="C7419" s="8" t="s">
        <v>32861</v>
      </c>
      <c r="F7419" s="47"/>
      <c r="G7419" s="8">
        <v>11</v>
      </c>
      <c r="H7419" s="8" t="s">
        <v>21</v>
      </c>
      <c r="I7419" s="8" t="s">
        <v>22</v>
      </c>
      <c r="J7419" s="8" t="s">
        <v>22</v>
      </c>
      <c r="K7419" s="8" t="s">
        <v>64</v>
      </c>
      <c r="L7419" s="8" t="s">
        <v>31389</v>
      </c>
      <c r="M7419" s="8" t="s">
        <v>31390</v>
      </c>
      <c r="N7419" s="8" t="s">
        <v>32862</v>
      </c>
      <c r="O7419" s="8">
        <f>22+56/60+35.9/3600</f>
        <v>22.943305555555554</v>
      </c>
      <c r="P7419" s="8" t="s">
        <v>32863</v>
      </c>
      <c r="Q7419" s="8">
        <f>-(37+1/60+44/3600)</f>
        <v>-37.028888888888886</v>
      </c>
      <c r="R7419" s="8">
        <v>11.1</v>
      </c>
      <c r="S7419" s="8">
        <v>11.8</v>
      </c>
      <c r="T7419" s="8">
        <v>0.7</v>
      </c>
      <c r="U7419" s="8">
        <v>13.3</v>
      </c>
      <c r="V7419" s="8">
        <v>3.5</v>
      </c>
      <c r="W7419" s="8">
        <v>2.6</v>
      </c>
      <c r="X7419" s="8">
        <v>139</v>
      </c>
      <c r="Y7419" s="8" t="s">
        <v>32864</v>
      </c>
      <c r="Z7419" s="8" t="s">
        <v>32865</v>
      </c>
    </row>
    <row r="7420" spans="1:26" x14ac:dyDescent="0.2">
      <c r="A7420" s="8">
        <v>7419</v>
      </c>
      <c r="B7420" s="8" t="s">
        <v>32866</v>
      </c>
      <c r="C7420" s="8" t="s">
        <v>32866</v>
      </c>
      <c r="F7420" s="47" t="s">
        <v>58351</v>
      </c>
      <c r="G7420" s="8">
        <v>6.5</v>
      </c>
      <c r="H7420" s="8" t="s">
        <v>21</v>
      </c>
      <c r="I7420" s="8" t="s">
        <v>557</v>
      </c>
      <c r="J7420" s="8" t="s">
        <v>557</v>
      </c>
      <c r="K7420" s="8" t="s">
        <v>2951</v>
      </c>
      <c r="L7420" s="8" t="s">
        <v>242</v>
      </c>
      <c r="M7420" s="8" t="s">
        <v>243</v>
      </c>
      <c r="N7420" s="8" t="s">
        <v>32867</v>
      </c>
      <c r="O7420" s="8">
        <f>22+54/60+20/3600</f>
        <v>22.905555555555555</v>
      </c>
      <c r="P7420" s="8" t="s">
        <v>32868</v>
      </c>
      <c r="Q7420" s="8">
        <f>+(60+48/60+56/3600)</f>
        <v>60.815555555555555</v>
      </c>
      <c r="R7420" s="8">
        <v>13</v>
      </c>
      <c r="S7420" s="8">
        <v>99</v>
      </c>
      <c r="T7420" s="8">
        <v>99</v>
      </c>
      <c r="U7420" s="8">
        <v>99</v>
      </c>
      <c r="V7420" s="8">
        <v>6</v>
      </c>
      <c r="Y7420" s="8" t="s">
        <v>32869</v>
      </c>
      <c r="Z7420" s="8" t="s">
        <v>32870</v>
      </c>
    </row>
    <row r="7421" spans="1:26" x14ac:dyDescent="0.2">
      <c r="A7421" s="8">
        <v>7420</v>
      </c>
      <c r="B7421" s="8" t="s">
        <v>32871</v>
      </c>
      <c r="C7421" s="8" t="s">
        <v>32871</v>
      </c>
      <c r="F7421" s="47"/>
      <c r="G7421" s="8">
        <v>18</v>
      </c>
      <c r="H7421" s="8" t="s">
        <v>21</v>
      </c>
      <c r="I7421" s="8" t="s">
        <v>22</v>
      </c>
      <c r="J7421" s="8" t="s">
        <v>22</v>
      </c>
      <c r="K7421" s="8" t="s">
        <v>160</v>
      </c>
      <c r="L7421" s="8" t="s">
        <v>24</v>
      </c>
      <c r="M7421" s="8" t="s">
        <v>25</v>
      </c>
      <c r="N7421" s="8" t="s">
        <v>32872</v>
      </c>
      <c r="O7421" s="8">
        <f>22+55/60+32/3600</f>
        <v>22.925555555555558</v>
      </c>
      <c r="P7421" s="8" t="s">
        <v>32873</v>
      </c>
      <c r="Q7421" s="8">
        <f>+(29+48/60+20/3600)</f>
        <v>29.805555555555557</v>
      </c>
      <c r="R7421" s="8">
        <v>13.9</v>
      </c>
      <c r="S7421" s="8">
        <v>14.6</v>
      </c>
      <c r="T7421" s="8">
        <v>0.7</v>
      </c>
      <c r="U7421" s="8">
        <v>13</v>
      </c>
      <c r="V7421" s="8">
        <v>0.8</v>
      </c>
      <c r="W7421" s="8">
        <v>0.6</v>
      </c>
      <c r="X7421" s="8">
        <v>45</v>
      </c>
      <c r="Y7421" s="8" t="s">
        <v>1511</v>
      </c>
      <c r="Z7421" s="8" t="s">
        <v>1512</v>
      </c>
    </row>
    <row r="7422" spans="1:26" x14ac:dyDescent="0.2">
      <c r="A7422" s="8">
        <v>7421</v>
      </c>
      <c r="B7422" s="8" t="s">
        <v>32874</v>
      </c>
      <c r="C7422" s="8" t="s">
        <v>32874</v>
      </c>
      <c r="F7422" s="47"/>
      <c r="G7422" s="8">
        <v>13</v>
      </c>
      <c r="H7422" s="8" t="s">
        <v>21</v>
      </c>
      <c r="I7422" s="8" t="s">
        <v>22</v>
      </c>
      <c r="J7422" s="8" t="s">
        <v>22</v>
      </c>
      <c r="K7422" s="8" t="s">
        <v>85</v>
      </c>
      <c r="L7422" s="8" t="s">
        <v>31389</v>
      </c>
      <c r="M7422" s="8" t="s">
        <v>31390</v>
      </c>
      <c r="N7422" s="8" t="s">
        <v>32875</v>
      </c>
      <c r="O7422" s="8">
        <f>22+56/60+54.6/3600</f>
        <v>22.948499999999999</v>
      </c>
      <c r="P7422" s="8" t="s">
        <v>32876</v>
      </c>
      <c r="Q7422" s="8">
        <f>-(37+20/60+42/3600)</f>
        <v>-37.344999999999999</v>
      </c>
      <c r="R7422" s="8">
        <v>11.9</v>
      </c>
      <c r="S7422" s="8">
        <v>12.6</v>
      </c>
      <c r="T7422" s="8">
        <v>0.7</v>
      </c>
      <c r="U7422" s="8">
        <v>13.2</v>
      </c>
      <c r="V7422" s="8">
        <v>2</v>
      </c>
      <c r="W7422" s="8">
        <v>1.9</v>
      </c>
      <c r="X7422" s="8">
        <v>78</v>
      </c>
      <c r="Y7422" s="8" t="s">
        <v>32877</v>
      </c>
      <c r="Z7422" s="8" t="s">
        <v>32878</v>
      </c>
    </row>
    <row r="7423" spans="1:26" x14ac:dyDescent="0.2">
      <c r="A7423" s="8">
        <v>7422</v>
      </c>
      <c r="B7423" s="8" t="s">
        <v>32879</v>
      </c>
      <c r="C7423" s="8" t="s">
        <v>32879</v>
      </c>
      <c r="F7423" s="47"/>
      <c r="G7423" s="8">
        <v>18</v>
      </c>
      <c r="H7423" s="8" t="s">
        <v>21</v>
      </c>
      <c r="I7423" s="8" t="s">
        <v>22</v>
      </c>
      <c r="J7423" s="8" t="s">
        <v>22</v>
      </c>
      <c r="K7423" s="8" t="s">
        <v>23</v>
      </c>
      <c r="L7423" s="8" t="s">
        <v>38</v>
      </c>
      <c r="M7423" s="8" t="s">
        <v>39</v>
      </c>
      <c r="N7423" s="8" t="s">
        <v>32880</v>
      </c>
      <c r="O7423" s="8">
        <f>22+56/60+12.3/3600</f>
        <v>22.93675</v>
      </c>
      <c r="P7423" s="8" t="s">
        <v>32881</v>
      </c>
      <c r="Q7423" s="8">
        <f>+(3+55/60+37/3600)</f>
        <v>3.9269444444444441</v>
      </c>
      <c r="R7423" s="8">
        <v>13.4</v>
      </c>
      <c r="S7423" s="8">
        <v>14.2</v>
      </c>
      <c r="T7423" s="8">
        <v>0.8</v>
      </c>
      <c r="U7423" s="8">
        <v>12.9</v>
      </c>
      <c r="V7423" s="8">
        <v>1</v>
      </c>
      <c r="W7423" s="8">
        <v>0.8</v>
      </c>
      <c r="X7423" s="8">
        <v>140</v>
      </c>
      <c r="Y7423" s="8" t="s">
        <v>3663</v>
      </c>
      <c r="Z7423" s="8" t="s">
        <v>3664</v>
      </c>
    </row>
    <row r="7424" spans="1:26" x14ac:dyDescent="0.2">
      <c r="A7424" s="8">
        <v>7423</v>
      </c>
      <c r="B7424" s="8" t="s">
        <v>32882</v>
      </c>
      <c r="C7424" s="8" t="s">
        <v>32882</v>
      </c>
      <c r="F7424" s="47" t="s">
        <v>58352</v>
      </c>
      <c r="G7424" s="8">
        <v>9</v>
      </c>
      <c r="H7424" s="8" t="s">
        <v>21</v>
      </c>
      <c r="I7424" s="8" t="s">
        <v>557</v>
      </c>
      <c r="J7424" s="8" t="s">
        <v>557</v>
      </c>
      <c r="K7424" s="8" t="s">
        <v>3170</v>
      </c>
      <c r="L7424" s="8" t="s">
        <v>242</v>
      </c>
      <c r="M7424" s="8" t="s">
        <v>243</v>
      </c>
      <c r="N7424" s="8" t="s">
        <v>32883</v>
      </c>
      <c r="O7424" s="8">
        <f>22+55/60+6.5/3600</f>
        <v>22.918472222222224</v>
      </c>
      <c r="P7424" s="8" t="s">
        <v>32884</v>
      </c>
      <c r="Q7424" s="8">
        <f>+(57+5/60+41/3600)</f>
        <v>57.094722222222224</v>
      </c>
      <c r="R7424" s="8">
        <v>99</v>
      </c>
      <c r="S7424" s="8">
        <v>99</v>
      </c>
      <c r="T7424" s="8">
        <v>99</v>
      </c>
      <c r="U7424" s="8">
        <v>99</v>
      </c>
      <c r="V7424" s="8">
        <v>5</v>
      </c>
      <c r="Y7424" s="8" t="s">
        <v>32885</v>
      </c>
      <c r="Z7424" s="8" t="s">
        <v>32886</v>
      </c>
    </row>
    <row r="7425" spans="1:26" x14ac:dyDescent="0.2">
      <c r="A7425" s="8">
        <v>7424</v>
      </c>
      <c r="B7425" s="8" t="s">
        <v>32887</v>
      </c>
      <c r="C7425" s="8" t="s">
        <v>32887</v>
      </c>
      <c r="F7425" s="47"/>
      <c r="G7425" s="8">
        <v>10</v>
      </c>
      <c r="H7425" s="8" t="s">
        <v>32888</v>
      </c>
      <c r="I7425" s="8" t="s">
        <v>22</v>
      </c>
      <c r="J7425" s="8" t="s">
        <v>22</v>
      </c>
      <c r="K7425" s="8" t="s">
        <v>64</v>
      </c>
      <c r="L7425" s="8" t="s">
        <v>31389</v>
      </c>
      <c r="M7425" s="8" t="s">
        <v>31390</v>
      </c>
      <c r="N7425" s="8" t="s">
        <v>32889</v>
      </c>
      <c r="O7425" s="8">
        <f>22+57/60+18.4/3600</f>
        <v>22.955111111111112</v>
      </c>
      <c r="P7425" s="8" t="s">
        <v>32890</v>
      </c>
      <c r="Q7425" s="8">
        <f>-(41+4/60+15/3600)</f>
        <v>-41.07083333333334</v>
      </c>
      <c r="R7425" s="8">
        <v>10.5</v>
      </c>
      <c r="S7425" s="8">
        <v>11</v>
      </c>
      <c r="T7425" s="8">
        <v>0.5</v>
      </c>
      <c r="U7425" s="8">
        <v>15</v>
      </c>
      <c r="V7425" s="8">
        <v>9.5</v>
      </c>
      <c r="W7425" s="8">
        <v>8.1</v>
      </c>
      <c r="X7425" s="8">
        <v>101</v>
      </c>
      <c r="Y7425" s="8" t="s">
        <v>32891</v>
      </c>
      <c r="Z7425" s="8" t="s">
        <v>32892</v>
      </c>
    </row>
    <row r="7426" spans="1:26" x14ac:dyDescent="0.2">
      <c r="A7426" s="8">
        <v>7425</v>
      </c>
      <c r="B7426" s="8" t="s">
        <v>32893</v>
      </c>
      <c r="C7426" s="8" t="s">
        <v>32893</v>
      </c>
      <c r="F7426" s="47"/>
      <c r="G7426" s="8">
        <v>19</v>
      </c>
      <c r="H7426" s="8" t="s">
        <v>21</v>
      </c>
      <c r="I7426" s="8" t="s">
        <v>22</v>
      </c>
      <c r="J7426" s="8" t="s">
        <v>22</v>
      </c>
      <c r="K7426" s="8" t="s">
        <v>435</v>
      </c>
      <c r="L7426" s="8" t="s">
        <v>30854</v>
      </c>
      <c r="M7426" s="8" t="s">
        <v>30855</v>
      </c>
      <c r="N7426" s="8" t="s">
        <v>32894</v>
      </c>
      <c r="O7426" s="8">
        <f>22+57/60+15.6/3600</f>
        <v>22.954333333333334</v>
      </c>
      <c r="P7426" s="8" t="s">
        <v>32895</v>
      </c>
      <c r="Q7426" s="8">
        <f>-(10+57/60+0/3600)</f>
        <v>-10.95</v>
      </c>
      <c r="R7426" s="8">
        <v>14.2</v>
      </c>
      <c r="S7426" s="8">
        <v>15.1</v>
      </c>
      <c r="T7426" s="8">
        <v>0.9</v>
      </c>
      <c r="U7426" s="8">
        <v>13.4</v>
      </c>
      <c r="V7426" s="8">
        <v>0.9</v>
      </c>
      <c r="W7426" s="8">
        <v>0.6</v>
      </c>
      <c r="X7426" s="8">
        <v>60</v>
      </c>
      <c r="Y7426" s="8" t="s">
        <v>32896</v>
      </c>
      <c r="Z7426" s="8" t="s">
        <v>32897</v>
      </c>
    </row>
    <row r="7427" spans="1:26" x14ac:dyDescent="0.2">
      <c r="A7427" s="8">
        <v>7426</v>
      </c>
      <c r="B7427" s="8" t="s">
        <v>32898</v>
      </c>
      <c r="C7427" s="8" t="s">
        <v>32898</v>
      </c>
      <c r="F7427" s="47" t="s">
        <v>58353</v>
      </c>
      <c r="G7427" s="8">
        <v>15</v>
      </c>
      <c r="H7427" s="8" t="s">
        <v>21</v>
      </c>
      <c r="I7427" s="8" t="s">
        <v>22</v>
      </c>
      <c r="J7427" s="8" t="s">
        <v>22</v>
      </c>
      <c r="K7427" s="8" t="s">
        <v>1136</v>
      </c>
      <c r="L7427" s="8" t="s">
        <v>31943</v>
      </c>
      <c r="M7427" s="8" t="s">
        <v>31944</v>
      </c>
      <c r="N7427" s="8" t="s">
        <v>32899</v>
      </c>
      <c r="O7427" s="8">
        <f>22+56/60+3/3600</f>
        <v>22.934166666666666</v>
      </c>
      <c r="P7427" s="8" t="s">
        <v>32900</v>
      </c>
      <c r="Q7427" s="8">
        <f>+(36+21/60+44/3600)</f>
        <v>36.362222222222222</v>
      </c>
      <c r="R7427" s="8">
        <v>12.3</v>
      </c>
      <c r="S7427" s="8">
        <v>13.3</v>
      </c>
      <c r="T7427" s="8">
        <v>1</v>
      </c>
      <c r="U7427" s="8">
        <v>13.2</v>
      </c>
      <c r="V7427" s="8">
        <v>1.7</v>
      </c>
      <c r="W7427" s="8">
        <v>1.4</v>
      </c>
      <c r="X7427" s="8">
        <v>72</v>
      </c>
      <c r="Y7427" s="8" t="s">
        <v>32901</v>
      </c>
      <c r="Z7427" s="8" t="s">
        <v>32902</v>
      </c>
    </row>
    <row r="7428" spans="1:26" x14ac:dyDescent="0.2">
      <c r="A7428" s="8">
        <v>7427</v>
      </c>
      <c r="B7428" s="8" t="s">
        <v>32903</v>
      </c>
      <c r="C7428" s="8" t="s">
        <v>32903</v>
      </c>
      <c r="F7428" s="47"/>
      <c r="G7428" s="8">
        <v>18</v>
      </c>
      <c r="H7428" s="8" t="s">
        <v>21</v>
      </c>
      <c r="I7428" s="8" t="s">
        <v>22</v>
      </c>
      <c r="J7428" s="8" t="s">
        <v>22</v>
      </c>
      <c r="K7428" s="8" t="s">
        <v>37</v>
      </c>
      <c r="L7428" s="8" t="s">
        <v>24</v>
      </c>
      <c r="M7428" s="8" t="s">
        <v>25</v>
      </c>
      <c r="N7428" s="8" t="s">
        <v>32904</v>
      </c>
      <c r="O7428" s="8">
        <f>22+57/60+9.8/3600</f>
        <v>22.952722222222221</v>
      </c>
      <c r="P7428" s="8" t="s">
        <v>32905</v>
      </c>
      <c r="Q7428" s="8">
        <f>+(8+30/60+22/3600)</f>
        <v>8.5061111111111103</v>
      </c>
      <c r="R7428" s="8">
        <v>15.1</v>
      </c>
      <c r="S7428" s="8">
        <v>16.100000000000001</v>
      </c>
      <c r="T7428" s="8">
        <v>1</v>
      </c>
      <c r="U7428" s="8">
        <v>14.2</v>
      </c>
      <c r="V7428" s="8">
        <v>0.7</v>
      </c>
      <c r="W7428" s="8">
        <v>0.7</v>
      </c>
      <c r="Y7428" s="8" t="s">
        <v>32906</v>
      </c>
      <c r="Z7428" s="8" t="s">
        <v>32907</v>
      </c>
    </row>
    <row r="7429" spans="1:26" x14ac:dyDescent="0.2">
      <c r="A7429" s="8">
        <v>7428</v>
      </c>
      <c r="B7429" s="8" t="s">
        <v>32908</v>
      </c>
      <c r="C7429" s="8" t="s">
        <v>32908</v>
      </c>
      <c r="F7429" s="47"/>
      <c r="G7429" s="8">
        <v>18</v>
      </c>
      <c r="H7429" s="8" t="s">
        <v>21</v>
      </c>
      <c r="I7429" s="8" t="s">
        <v>22</v>
      </c>
      <c r="J7429" s="8" t="s">
        <v>22</v>
      </c>
      <c r="K7429" s="8" t="s">
        <v>154</v>
      </c>
      <c r="L7429" s="8" t="s">
        <v>38</v>
      </c>
      <c r="M7429" s="8" t="s">
        <v>39</v>
      </c>
      <c r="N7429" s="8" t="s">
        <v>32909</v>
      </c>
      <c r="O7429" s="8">
        <f>22+57/60+19.5/3600</f>
        <v>22.955416666666665</v>
      </c>
      <c r="P7429" s="8" t="s">
        <v>32910</v>
      </c>
      <c r="Q7429" s="8">
        <f>-(1+2/60+57/3600)</f>
        <v>-1.0491666666666668</v>
      </c>
      <c r="R7429" s="8">
        <v>12.5</v>
      </c>
      <c r="S7429" s="8">
        <v>13.4</v>
      </c>
      <c r="T7429" s="8">
        <v>0.9</v>
      </c>
      <c r="U7429" s="8">
        <v>13.6</v>
      </c>
      <c r="V7429" s="8">
        <v>2.4</v>
      </c>
      <c r="W7429" s="8">
        <v>1.4</v>
      </c>
      <c r="X7429" s="8">
        <v>160</v>
      </c>
      <c r="Y7429" s="8" t="s">
        <v>3952</v>
      </c>
      <c r="Z7429" s="8" t="s">
        <v>3953</v>
      </c>
    </row>
    <row r="7430" spans="1:26" x14ac:dyDescent="0.2">
      <c r="A7430" s="8">
        <v>7429</v>
      </c>
      <c r="B7430" s="8" t="s">
        <v>32911</v>
      </c>
      <c r="C7430" s="8" t="s">
        <v>32911</v>
      </c>
      <c r="F7430" s="47"/>
      <c r="G7430" s="8">
        <v>16</v>
      </c>
      <c r="H7430" s="8" t="s">
        <v>21</v>
      </c>
      <c r="I7430" s="8" t="s">
        <v>557</v>
      </c>
      <c r="J7430" s="8" t="s">
        <v>557</v>
      </c>
      <c r="K7430" s="8" t="s">
        <v>987</v>
      </c>
      <c r="L7430" s="8" t="s">
        <v>242</v>
      </c>
      <c r="M7430" s="8" t="s">
        <v>243</v>
      </c>
      <c r="N7430" s="8" t="s">
        <v>32912</v>
      </c>
      <c r="O7430" s="8">
        <f>22+56/60+0/3600</f>
        <v>22.933333333333334</v>
      </c>
      <c r="P7430" s="8" t="s">
        <v>32913</v>
      </c>
      <c r="Q7430" s="8">
        <f>+(59+58/60+24/3600)</f>
        <v>59.973333333333336</v>
      </c>
      <c r="R7430" s="8">
        <v>99</v>
      </c>
      <c r="S7430" s="8">
        <v>99</v>
      </c>
      <c r="T7430" s="8">
        <v>99</v>
      </c>
      <c r="U7430" s="8">
        <v>99</v>
      </c>
      <c r="V7430" s="8">
        <v>15</v>
      </c>
      <c r="Y7430" s="8" t="s">
        <v>32914</v>
      </c>
      <c r="Z7430" s="8" t="s">
        <v>32915</v>
      </c>
    </row>
    <row r="7431" spans="1:26" x14ac:dyDescent="0.2">
      <c r="A7431" s="8">
        <v>7430</v>
      </c>
      <c r="B7431" s="8" t="s">
        <v>32916</v>
      </c>
      <c r="C7431" s="8" t="s">
        <v>32916</v>
      </c>
      <c r="F7431" s="47"/>
      <c r="G7431" s="8">
        <v>18</v>
      </c>
      <c r="H7431" s="8" t="s">
        <v>21</v>
      </c>
      <c r="I7431" s="8" t="s">
        <v>22</v>
      </c>
      <c r="J7431" s="8" t="s">
        <v>22</v>
      </c>
      <c r="K7431" s="8" t="s">
        <v>449</v>
      </c>
      <c r="L7431" s="8" t="s">
        <v>24</v>
      </c>
      <c r="M7431" s="8" t="s">
        <v>25</v>
      </c>
      <c r="N7431" s="8" t="s">
        <v>32917</v>
      </c>
      <c r="O7431" s="8">
        <f>22+57/60+29.7/3600</f>
        <v>22.95825</v>
      </c>
      <c r="P7431" s="8" t="s">
        <v>32918</v>
      </c>
      <c r="Q7431" s="8">
        <f>+(8+47/60+40/3600)</f>
        <v>8.7944444444444443</v>
      </c>
      <c r="R7431" s="8">
        <v>14.3</v>
      </c>
      <c r="S7431" s="8">
        <v>15.1</v>
      </c>
      <c r="T7431" s="8">
        <v>0.8</v>
      </c>
      <c r="U7431" s="8">
        <v>12.3</v>
      </c>
      <c r="V7431" s="8">
        <v>0.4</v>
      </c>
      <c r="W7431" s="8">
        <v>0.2</v>
      </c>
      <c r="X7431" s="8">
        <v>60</v>
      </c>
      <c r="Y7431" s="8" t="s">
        <v>266</v>
      </c>
      <c r="Z7431" s="8" t="s">
        <v>267</v>
      </c>
    </row>
    <row r="7432" spans="1:26" x14ac:dyDescent="0.2">
      <c r="A7432" s="8">
        <v>7431</v>
      </c>
      <c r="B7432" s="8" t="s">
        <v>32919</v>
      </c>
      <c r="C7432" s="8" t="s">
        <v>32919</v>
      </c>
      <c r="F7432" s="47"/>
      <c r="G7432" s="8">
        <v>19</v>
      </c>
      <c r="H7432" s="8" t="s">
        <v>21</v>
      </c>
      <c r="I7432" s="8" t="s">
        <v>22</v>
      </c>
      <c r="J7432" s="8" t="s">
        <v>22</v>
      </c>
      <c r="K7432" s="8" t="s">
        <v>32920</v>
      </c>
      <c r="L7432" s="8" t="s">
        <v>24</v>
      </c>
      <c r="M7432" s="8" t="s">
        <v>25</v>
      </c>
      <c r="N7432" s="8" t="s">
        <v>32921</v>
      </c>
      <c r="O7432" s="8">
        <f>22+57/60+38.8/3600</f>
        <v>22.960777777777778</v>
      </c>
      <c r="P7432" s="8" t="s">
        <v>32922</v>
      </c>
      <c r="Q7432" s="8">
        <f>+(26+9/60+52/3600)</f>
        <v>26.164444444444442</v>
      </c>
      <c r="R7432" s="8">
        <v>15</v>
      </c>
      <c r="S7432" s="8">
        <v>16</v>
      </c>
      <c r="T7432" s="8">
        <v>1</v>
      </c>
      <c r="U7432" s="8">
        <v>12.1</v>
      </c>
      <c r="V7432" s="8">
        <v>0.4</v>
      </c>
      <c r="W7432" s="8">
        <v>0.2</v>
      </c>
      <c r="X7432" s="8">
        <v>95</v>
      </c>
      <c r="Y7432" s="8" t="s">
        <v>266</v>
      </c>
      <c r="Z7432" s="8" t="s">
        <v>267</v>
      </c>
    </row>
    <row r="7433" spans="1:26" x14ac:dyDescent="0.2">
      <c r="A7433" s="8">
        <v>7432</v>
      </c>
      <c r="B7433" s="8" t="s">
        <v>32923</v>
      </c>
      <c r="C7433" s="8" t="s">
        <v>32923</v>
      </c>
      <c r="F7433" s="47" t="s">
        <v>58354</v>
      </c>
      <c r="G7433" s="8">
        <v>15</v>
      </c>
      <c r="H7433" s="8" t="s">
        <v>21</v>
      </c>
      <c r="I7433" s="8" t="s">
        <v>22</v>
      </c>
      <c r="J7433" s="8" t="s">
        <v>22</v>
      </c>
      <c r="K7433" s="8" t="s">
        <v>382</v>
      </c>
      <c r="L7433" s="8" t="s">
        <v>24</v>
      </c>
      <c r="M7433" s="8" t="s">
        <v>25</v>
      </c>
      <c r="N7433" s="8" t="s">
        <v>32924</v>
      </c>
      <c r="O7433" s="8">
        <f>22+58/60+2.2/3600</f>
        <v>22.967277777777777</v>
      </c>
      <c r="P7433" s="8" t="s">
        <v>32925</v>
      </c>
      <c r="Q7433" s="8">
        <f>+(13+8/60+4/3600)</f>
        <v>13.134444444444444</v>
      </c>
      <c r="R7433" s="8">
        <v>13.3</v>
      </c>
      <c r="S7433" s="8">
        <v>14.3</v>
      </c>
      <c r="T7433" s="8">
        <v>1</v>
      </c>
      <c r="U7433" s="8">
        <v>13.9</v>
      </c>
      <c r="V7433" s="8">
        <v>1.6</v>
      </c>
      <c r="W7433" s="8">
        <v>1.2</v>
      </c>
      <c r="X7433" s="8">
        <v>40</v>
      </c>
      <c r="Y7433" s="8" t="s">
        <v>227</v>
      </c>
      <c r="Z7433" s="8" t="s">
        <v>228</v>
      </c>
    </row>
    <row r="7434" spans="1:26" x14ac:dyDescent="0.2">
      <c r="A7434" s="8">
        <v>7433</v>
      </c>
      <c r="B7434" s="8" t="s">
        <v>32926</v>
      </c>
      <c r="C7434" s="8" t="s">
        <v>32926</v>
      </c>
      <c r="F7434" s="47"/>
      <c r="G7434" s="8">
        <v>18</v>
      </c>
      <c r="H7434" s="8" t="s">
        <v>21</v>
      </c>
      <c r="I7434" s="8" t="s">
        <v>22</v>
      </c>
      <c r="J7434" s="8" t="s">
        <v>22</v>
      </c>
      <c r="K7434" s="8" t="s">
        <v>476</v>
      </c>
      <c r="L7434" s="8" t="s">
        <v>24</v>
      </c>
      <c r="M7434" s="8" t="s">
        <v>25</v>
      </c>
      <c r="N7434" s="8" t="s">
        <v>32927</v>
      </c>
      <c r="O7434" s="8">
        <f>22+57/60+51.7/3600</f>
        <v>22.96436111111111</v>
      </c>
      <c r="P7434" s="8" t="s">
        <v>32928</v>
      </c>
      <c r="Q7434" s="8">
        <f>+(26+9/60+44/3600)</f>
        <v>26.162222222222219</v>
      </c>
      <c r="R7434" s="8">
        <v>14.9</v>
      </c>
      <c r="S7434" s="8">
        <v>15.7</v>
      </c>
      <c r="T7434" s="8">
        <v>0.8</v>
      </c>
      <c r="U7434" s="8">
        <v>12.6</v>
      </c>
      <c r="V7434" s="8">
        <v>0.7</v>
      </c>
      <c r="W7434" s="8">
        <v>0.2</v>
      </c>
      <c r="X7434" s="8">
        <v>45</v>
      </c>
      <c r="Y7434" s="8" t="s">
        <v>32929</v>
      </c>
      <c r="Z7434" s="8" t="s">
        <v>32930</v>
      </c>
    </row>
    <row r="7435" spans="1:26" x14ac:dyDescent="0.2">
      <c r="A7435" s="8">
        <v>7434</v>
      </c>
      <c r="B7435" s="8" t="s">
        <v>32931</v>
      </c>
      <c r="C7435" s="8" t="s">
        <v>32931</v>
      </c>
      <c r="F7435" s="47"/>
      <c r="G7435" s="8">
        <v>18</v>
      </c>
      <c r="H7435" s="8" t="s">
        <v>21</v>
      </c>
      <c r="I7435" s="8" t="s">
        <v>22</v>
      </c>
      <c r="J7435" s="8" t="s">
        <v>22</v>
      </c>
      <c r="K7435" s="8" t="s">
        <v>58</v>
      </c>
      <c r="L7435" s="8" t="s">
        <v>38</v>
      </c>
      <c r="M7435" s="8" t="s">
        <v>39</v>
      </c>
      <c r="N7435" s="8" t="s">
        <v>32932</v>
      </c>
      <c r="O7435" s="8">
        <f>22+58/60+21.4/3600</f>
        <v>22.97261111111111</v>
      </c>
      <c r="P7435" s="8" t="s">
        <v>32933</v>
      </c>
      <c r="Q7435" s="8">
        <f>-(1+11/60+0/3600)</f>
        <v>-1.1833333333333333</v>
      </c>
      <c r="R7435" s="8">
        <v>15.1</v>
      </c>
      <c r="S7435" s="8">
        <v>16.100000000000001</v>
      </c>
      <c r="T7435" s="8">
        <v>1</v>
      </c>
      <c r="U7435" s="8">
        <v>13.3</v>
      </c>
      <c r="V7435" s="8">
        <v>0.6</v>
      </c>
      <c r="W7435" s="8">
        <v>0.3</v>
      </c>
      <c r="X7435" s="8">
        <v>62</v>
      </c>
      <c r="Y7435" s="8" t="s">
        <v>25259</v>
      </c>
      <c r="Z7435" s="8" t="s">
        <v>25260</v>
      </c>
    </row>
    <row r="7436" spans="1:26" x14ac:dyDescent="0.2">
      <c r="A7436" s="8">
        <v>7435</v>
      </c>
      <c r="B7436" s="8" t="s">
        <v>32934</v>
      </c>
      <c r="C7436" s="8" t="s">
        <v>32934</v>
      </c>
      <c r="F7436" s="47"/>
      <c r="G7436" s="8">
        <v>18</v>
      </c>
      <c r="H7436" s="8" t="s">
        <v>21</v>
      </c>
      <c r="I7436" s="8" t="s">
        <v>22</v>
      </c>
      <c r="J7436" s="8" t="s">
        <v>22</v>
      </c>
      <c r="K7436" s="8" t="s">
        <v>154</v>
      </c>
      <c r="L7436" s="8" t="s">
        <v>24</v>
      </c>
      <c r="M7436" s="8" t="s">
        <v>25</v>
      </c>
      <c r="N7436" s="8" t="s">
        <v>32935</v>
      </c>
      <c r="O7436" s="8">
        <f>22+57/60+54.4/3600</f>
        <v>22.96511111111111</v>
      </c>
      <c r="P7436" s="8" t="s">
        <v>32936</v>
      </c>
      <c r="Q7436" s="8">
        <f>+(26+8/60+20/3600)</f>
        <v>26.138888888888889</v>
      </c>
      <c r="R7436" s="8">
        <v>14.2</v>
      </c>
      <c r="S7436" s="8">
        <v>15.1</v>
      </c>
      <c r="T7436" s="8">
        <v>0.9</v>
      </c>
      <c r="U7436" s="8">
        <v>13.8</v>
      </c>
      <c r="V7436" s="8">
        <v>1.2</v>
      </c>
      <c r="W7436" s="8">
        <v>0.7</v>
      </c>
      <c r="X7436" s="8">
        <v>120</v>
      </c>
      <c r="Y7436" s="8" t="s">
        <v>32937</v>
      </c>
      <c r="Z7436" s="8" t="s">
        <v>32938</v>
      </c>
    </row>
    <row r="7437" spans="1:26" x14ac:dyDescent="0.2">
      <c r="A7437" s="8">
        <v>7436</v>
      </c>
      <c r="B7437" s="8" t="s">
        <v>32939</v>
      </c>
      <c r="C7437" s="8" t="s">
        <v>32939</v>
      </c>
      <c r="F7437" s="47" t="s">
        <v>58355</v>
      </c>
      <c r="G7437" s="8">
        <v>15</v>
      </c>
      <c r="H7437" s="8" t="s">
        <v>21</v>
      </c>
      <c r="I7437" s="8" t="s">
        <v>22</v>
      </c>
      <c r="J7437" s="8" t="s">
        <v>22</v>
      </c>
      <c r="K7437" s="8" t="s">
        <v>460</v>
      </c>
      <c r="L7437" s="8" t="s">
        <v>24</v>
      </c>
      <c r="M7437" s="8" t="s">
        <v>25</v>
      </c>
      <c r="N7437" s="8" t="s">
        <v>32940</v>
      </c>
      <c r="O7437" s="8">
        <f>22+57/60+56.2/3600</f>
        <v>22.965611111111109</v>
      </c>
      <c r="P7437" s="8" t="s">
        <v>32941</v>
      </c>
      <c r="Q7437" s="8">
        <f>+(26+8/60+59/3600)</f>
        <v>26.149722222222223</v>
      </c>
      <c r="R7437" s="8">
        <v>12.6</v>
      </c>
      <c r="S7437" s="8">
        <v>13.6</v>
      </c>
      <c r="T7437" s="8">
        <v>1</v>
      </c>
      <c r="U7437" s="8">
        <v>14.1</v>
      </c>
      <c r="V7437" s="8">
        <v>2</v>
      </c>
      <c r="W7437" s="8">
        <v>2</v>
      </c>
      <c r="Y7437" s="8" t="s">
        <v>32942</v>
      </c>
      <c r="Z7437" s="8" t="s">
        <v>32943</v>
      </c>
    </row>
    <row r="7438" spans="1:26" x14ac:dyDescent="0.2">
      <c r="A7438" s="8">
        <v>7437</v>
      </c>
      <c r="B7438" s="8" t="s">
        <v>32944</v>
      </c>
      <c r="C7438" s="8" t="s">
        <v>32944</v>
      </c>
      <c r="F7438" s="47"/>
      <c r="G7438" s="8">
        <v>19</v>
      </c>
      <c r="H7438" s="8" t="s">
        <v>21</v>
      </c>
      <c r="I7438" s="8" t="s">
        <v>22</v>
      </c>
      <c r="J7438" s="8" t="s">
        <v>22</v>
      </c>
      <c r="K7438" s="8" t="s">
        <v>579</v>
      </c>
      <c r="L7438" s="8" t="s">
        <v>24</v>
      </c>
      <c r="M7438" s="8" t="s">
        <v>25</v>
      </c>
      <c r="N7438" s="8" t="s">
        <v>32945</v>
      </c>
      <c r="O7438" s="8">
        <f>22+58/60+10.1/3600</f>
        <v>22.969472222222219</v>
      </c>
      <c r="P7438" s="8" t="s">
        <v>32946</v>
      </c>
      <c r="Q7438" s="8">
        <f>+(14+18/60+31/3600)</f>
        <v>14.308611111111112</v>
      </c>
      <c r="R7438" s="8">
        <v>13.3</v>
      </c>
      <c r="S7438" s="8">
        <v>14</v>
      </c>
      <c r="T7438" s="8">
        <v>0.7</v>
      </c>
      <c r="U7438" s="8">
        <v>14.4</v>
      </c>
      <c r="V7438" s="8">
        <v>1.8</v>
      </c>
      <c r="W7438" s="8">
        <v>1.8</v>
      </c>
      <c r="Y7438" s="8" t="s">
        <v>32947</v>
      </c>
      <c r="Z7438" s="8" t="s">
        <v>32948</v>
      </c>
    </row>
    <row r="7439" spans="1:26" x14ac:dyDescent="0.2">
      <c r="A7439" s="8">
        <v>7438</v>
      </c>
      <c r="B7439" s="8" t="s">
        <v>32949</v>
      </c>
      <c r="C7439" s="8" t="s">
        <v>32949</v>
      </c>
      <c r="F7439" s="47"/>
      <c r="G7439" s="8">
        <v>16</v>
      </c>
      <c r="H7439" s="8" t="s">
        <v>21</v>
      </c>
      <c r="I7439" s="8" t="s">
        <v>72</v>
      </c>
      <c r="J7439" s="8" t="s">
        <v>72</v>
      </c>
      <c r="K7439" s="8" t="s">
        <v>1405</v>
      </c>
      <c r="L7439" s="8" t="s">
        <v>559</v>
      </c>
      <c r="M7439" s="8" t="s">
        <v>560</v>
      </c>
      <c r="N7439" s="8" t="s">
        <v>32950</v>
      </c>
      <c r="O7439" s="8">
        <f>22+57/60+20/3600</f>
        <v>22.955555555555556</v>
      </c>
      <c r="P7439" s="8" t="s">
        <v>32951</v>
      </c>
      <c r="Q7439" s="8">
        <f>+(54+18/60+38/3600)</f>
        <v>54.310555555555553</v>
      </c>
      <c r="R7439" s="8">
        <v>99</v>
      </c>
      <c r="S7439" s="8">
        <v>99</v>
      </c>
      <c r="T7439" s="8">
        <v>99</v>
      </c>
      <c r="U7439" s="8">
        <v>99</v>
      </c>
      <c r="V7439" s="8">
        <v>20</v>
      </c>
      <c r="Y7439" s="8" t="s">
        <v>32952</v>
      </c>
      <c r="Z7439" s="8" t="s">
        <v>32953</v>
      </c>
    </row>
    <row r="7440" spans="1:26" x14ac:dyDescent="0.2">
      <c r="A7440" s="8">
        <v>7439</v>
      </c>
      <c r="B7440" s="8" t="s">
        <v>32954</v>
      </c>
      <c r="C7440" s="8" t="s">
        <v>32954</v>
      </c>
      <c r="F7440" s="47"/>
      <c r="G7440" s="8">
        <v>18</v>
      </c>
      <c r="H7440" s="8" t="s">
        <v>21</v>
      </c>
      <c r="I7440" s="8" t="s">
        <v>22</v>
      </c>
      <c r="J7440" s="8" t="s">
        <v>22</v>
      </c>
      <c r="K7440" s="8" t="s">
        <v>224</v>
      </c>
      <c r="L7440" s="8" t="s">
        <v>24</v>
      </c>
      <c r="M7440" s="8" t="s">
        <v>25</v>
      </c>
      <c r="N7440" s="8" t="s">
        <v>32955</v>
      </c>
      <c r="O7440" s="8">
        <f>22+58/60+9.9/3600</f>
        <v>22.969416666666664</v>
      </c>
      <c r="P7440" s="8" t="s">
        <v>32956</v>
      </c>
      <c r="Q7440" s="8">
        <f>+(29+13/60+44/3600)</f>
        <v>29.228888888888886</v>
      </c>
      <c r="R7440" s="8">
        <v>14</v>
      </c>
      <c r="S7440" s="8">
        <v>15</v>
      </c>
      <c r="T7440" s="8">
        <v>1</v>
      </c>
      <c r="U7440" s="8">
        <v>13.6</v>
      </c>
      <c r="V7440" s="8">
        <v>1</v>
      </c>
      <c r="W7440" s="8">
        <v>0.6</v>
      </c>
      <c r="X7440" s="8">
        <v>150</v>
      </c>
      <c r="Y7440" s="8" t="s">
        <v>32957</v>
      </c>
      <c r="Z7440" s="8" t="s">
        <v>32958</v>
      </c>
    </row>
    <row r="7441" spans="1:26" x14ac:dyDescent="0.2">
      <c r="A7441" s="8">
        <v>7440</v>
      </c>
      <c r="B7441" s="8" t="s">
        <v>32959</v>
      </c>
      <c r="C7441" s="8" t="s">
        <v>32959</v>
      </c>
      <c r="F7441" s="47"/>
      <c r="G7441" s="8">
        <v>18</v>
      </c>
      <c r="H7441" s="8" t="s">
        <v>21</v>
      </c>
      <c r="I7441" s="8" t="s">
        <v>22</v>
      </c>
      <c r="J7441" s="8" t="s">
        <v>22</v>
      </c>
      <c r="K7441" s="8" t="s">
        <v>154</v>
      </c>
      <c r="L7441" s="8" t="s">
        <v>51</v>
      </c>
      <c r="M7441" s="8" t="s">
        <v>52</v>
      </c>
      <c r="N7441" s="8" t="s">
        <v>32960</v>
      </c>
      <c r="O7441" s="8">
        <f>22+58/60+32.5/3600</f>
        <v>22.975694444444443</v>
      </c>
      <c r="P7441" s="8" t="s">
        <v>32961</v>
      </c>
      <c r="Q7441" s="8">
        <f>+(35+48/60+11/3600)</f>
        <v>35.803055555555552</v>
      </c>
      <c r="R7441" s="8">
        <v>13.5</v>
      </c>
      <c r="S7441" s="8">
        <v>14.4</v>
      </c>
      <c r="T7441" s="8">
        <v>0.9</v>
      </c>
      <c r="U7441" s="8">
        <v>13.8</v>
      </c>
      <c r="V7441" s="8">
        <v>1.4</v>
      </c>
      <c r="W7441" s="8">
        <v>1.1000000000000001</v>
      </c>
      <c r="X7441" s="8">
        <v>84</v>
      </c>
      <c r="Y7441" s="8" t="s">
        <v>14218</v>
      </c>
      <c r="Z7441" s="8" t="s">
        <v>32962</v>
      </c>
    </row>
    <row r="7442" spans="1:26" x14ac:dyDescent="0.2">
      <c r="A7442" s="8">
        <v>7441</v>
      </c>
      <c r="B7442" s="8" t="s">
        <v>32963</v>
      </c>
      <c r="C7442" s="8" t="s">
        <v>32963</v>
      </c>
      <c r="F7442" s="47"/>
      <c r="G7442" s="8">
        <v>19</v>
      </c>
      <c r="H7442" s="8" t="s">
        <v>21</v>
      </c>
      <c r="I7442" s="8" t="s">
        <v>22</v>
      </c>
      <c r="J7442" s="8" t="s">
        <v>22</v>
      </c>
      <c r="K7442" s="8" t="s">
        <v>160</v>
      </c>
      <c r="L7442" s="8" t="s">
        <v>30854</v>
      </c>
      <c r="M7442" s="8" t="s">
        <v>30855</v>
      </c>
      <c r="N7442" s="8" t="s">
        <v>32964</v>
      </c>
      <c r="O7442" s="8">
        <f>22+56/60+41.4/3600</f>
        <v>22.944833333333335</v>
      </c>
      <c r="P7442" s="8" t="s">
        <v>32965</v>
      </c>
      <c r="Q7442" s="8">
        <f>-(7+22/60+47/3600)</f>
        <v>-7.3797222222222221</v>
      </c>
      <c r="R7442" s="8">
        <v>13.8</v>
      </c>
      <c r="S7442" s="8">
        <v>14.5</v>
      </c>
      <c r="T7442" s="8">
        <v>0.7</v>
      </c>
      <c r="U7442" s="8">
        <v>13.7</v>
      </c>
      <c r="V7442" s="8">
        <v>1.3</v>
      </c>
      <c r="W7442" s="8">
        <v>0.8</v>
      </c>
      <c r="X7442" s="8">
        <v>144</v>
      </c>
      <c r="Y7442" s="8" t="s">
        <v>32966</v>
      </c>
      <c r="Z7442" s="8" t="s">
        <v>32967</v>
      </c>
    </row>
    <row r="7443" spans="1:26" x14ac:dyDescent="0.2">
      <c r="A7443" s="8">
        <v>7442</v>
      </c>
      <c r="B7443" s="8" t="s">
        <v>32968</v>
      </c>
      <c r="C7443" s="8" t="s">
        <v>32968</v>
      </c>
      <c r="F7443" s="47"/>
      <c r="G7443" s="8">
        <v>18</v>
      </c>
      <c r="H7443" s="8" t="s">
        <v>21</v>
      </c>
      <c r="I7443" s="8" t="s">
        <v>22</v>
      </c>
      <c r="J7443" s="8" t="s">
        <v>22</v>
      </c>
      <c r="K7443" s="8" t="s">
        <v>160</v>
      </c>
      <c r="L7443" s="8" t="s">
        <v>24</v>
      </c>
      <c r="M7443" s="8" t="s">
        <v>25</v>
      </c>
      <c r="N7443" s="8" t="s">
        <v>32969</v>
      </c>
      <c r="O7443" s="8">
        <f>22+59/60+26.6/3600</f>
        <v>22.990722222222225</v>
      </c>
      <c r="P7443" s="8" t="s">
        <v>32970</v>
      </c>
      <c r="Q7443" s="8">
        <f>+(15+32/60+54/3600)</f>
        <v>15.548333333333334</v>
      </c>
      <c r="R7443" s="8">
        <v>13.5</v>
      </c>
      <c r="S7443" s="8">
        <v>14.2</v>
      </c>
      <c r="T7443" s="8">
        <v>0.7</v>
      </c>
      <c r="U7443" s="8">
        <v>13.6</v>
      </c>
      <c r="V7443" s="8">
        <v>1.1000000000000001</v>
      </c>
      <c r="W7443" s="8">
        <v>1.1000000000000001</v>
      </c>
      <c r="Y7443" s="8" t="s">
        <v>32971</v>
      </c>
      <c r="Z7443" s="8" t="s">
        <v>32972</v>
      </c>
    </row>
    <row r="7444" spans="1:26" x14ac:dyDescent="0.2">
      <c r="A7444" s="8">
        <v>7443</v>
      </c>
      <c r="B7444" s="8" t="s">
        <v>32973</v>
      </c>
      <c r="C7444" s="8" t="s">
        <v>32973</v>
      </c>
      <c r="F7444" s="47" t="s">
        <v>58356</v>
      </c>
      <c r="G7444" s="8">
        <v>15</v>
      </c>
      <c r="H7444" s="8" t="s">
        <v>21</v>
      </c>
      <c r="I7444" s="8" t="s">
        <v>22</v>
      </c>
      <c r="J7444" s="8" t="s">
        <v>22</v>
      </c>
      <c r="K7444" s="8" t="s">
        <v>632</v>
      </c>
      <c r="L7444" s="8" t="s">
        <v>30854</v>
      </c>
      <c r="M7444" s="8" t="s">
        <v>30855</v>
      </c>
      <c r="N7444" s="8" t="s">
        <v>32974</v>
      </c>
      <c r="O7444" s="8">
        <f>23+0/60+8.7/3600</f>
        <v>23.002416666666665</v>
      </c>
      <c r="P7444" s="8" t="s">
        <v>32975</v>
      </c>
      <c r="Q7444" s="8">
        <f>-(12+48/60+28/3600)</f>
        <v>-12.807777777777778</v>
      </c>
      <c r="R7444" s="8">
        <v>11.6</v>
      </c>
      <c r="S7444" s="8">
        <v>12.6</v>
      </c>
      <c r="T7444" s="8">
        <v>1</v>
      </c>
      <c r="U7444" s="8">
        <v>12.2</v>
      </c>
      <c r="V7444" s="8">
        <v>1.4</v>
      </c>
      <c r="W7444" s="8">
        <v>0.5</v>
      </c>
      <c r="X7444" s="8">
        <v>36</v>
      </c>
      <c r="Y7444" s="8" t="s">
        <v>32976</v>
      </c>
      <c r="Z7444" s="8" t="s">
        <v>32977</v>
      </c>
    </row>
    <row r="7445" spans="1:26" x14ac:dyDescent="0.2">
      <c r="A7445" s="8">
        <v>7444</v>
      </c>
      <c r="B7445" s="8" t="s">
        <v>32978</v>
      </c>
      <c r="C7445" s="8" t="s">
        <v>32978</v>
      </c>
      <c r="F7445" s="47" t="s">
        <v>58357</v>
      </c>
      <c r="G7445" s="8">
        <v>15</v>
      </c>
      <c r="H7445" s="8" t="s">
        <v>21</v>
      </c>
      <c r="I7445" s="8" t="s">
        <v>22</v>
      </c>
      <c r="J7445" s="8" t="s">
        <v>22</v>
      </c>
      <c r="K7445" s="8" t="s">
        <v>37</v>
      </c>
      <c r="L7445" s="8" t="s">
        <v>30854</v>
      </c>
      <c r="M7445" s="8" t="s">
        <v>30855</v>
      </c>
      <c r="N7445" s="8" t="s">
        <v>32979</v>
      </c>
      <c r="O7445" s="8">
        <f>23+0/60+8.8/3600</f>
        <v>23.002444444444443</v>
      </c>
      <c r="P7445" s="8" t="s">
        <v>32980</v>
      </c>
      <c r="Q7445" s="8">
        <f>-(12+50/60+3/3600)</f>
        <v>-12.834166666666667</v>
      </c>
      <c r="R7445" s="8">
        <v>12.9</v>
      </c>
      <c r="S7445" s="8">
        <v>13.9</v>
      </c>
      <c r="T7445" s="8">
        <v>1</v>
      </c>
      <c r="U7445" s="8">
        <v>12.9</v>
      </c>
      <c r="V7445" s="8">
        <v>1.7</v>
      </c>
      <c r="W7445" s="8">
        <v>0.6</v>
      </c>
      <c r="X7445" s="8">
        <v>1</v>
      </c>
      <c r="Y7445" s="8" t="s">
        <v>32981</v>
      </c>
      <c r="Z7445" s="8" t="s">
        <v>32982</v>
      </c>
    </row>
    <row r="7446" spans="1:26" x14ac:dyDescent="0.2">
      <c r="A7446" s="8">
        <v>7445</v>
      </c>
      <c r="B7446" s="8" t="s">
        <v>32983</v>
      </c>
      <c r="C7446" s="8" t="s">
        <v>32983</v>
      </c>
      <c r="F7446" s="47"/>
      <c r="G7446" s="8">
        <v>19</v>
      </c>
      <c r="H7446" s="8" t="s">
        <v>21</v>
      </c>
      <c r="I7446" s="8" t="s">
        <v>22</v>
      </c>
      <c r="J7446" s="8" t="s">
        <v>22</v>
      </c>
      <c r="K7446" s="8" t="s">
        <v>58</v>
      </c>
      <c r="L7446" s="8" t="s">
        <v>51</v>
      </c>
      <c r="M7446" s="8" t="s">
        <v>52</v>
      </c>
      <c r="N7446" s="8" t="s">
        <v>32984</v>
      </c>
      <c r="O7446" s="8">
        <f>22+59/60+22.4/3600</f>
        <v>22.989555555555558</v>
      </c>
      <c r="P7446" s="8" t="s">
        <v>32985</v>
      </c>
      <c r="Q7446" s="8">
        <f>+(39+6/60+29/3600)</f>
        <v>39.108055555555559</v>
      </c>
      <c r="R7446" s="8">
        <v>14.6</v>
      </c>
      <c r="S7446" s="8">
        <v>15.6</v>
      </c>
      <c r="T7446" s="8">
        <v>1</v>
      </c>
      <c r="U7446" s="8">
        <v>12.5</v>
      </c>
      <c r="V7446" s="8">
        <v>0.7</v>
      </c>
      <c r="W7446" s="8">
        <v>0.2</v>
      </c>
      <c r="X7446" s="8">
        <v>88</v>
      </c>
      <c r="Y7446" s="8" t="s">
        <v>266</v>
      </c>
      <c r="Z7446" s="8" t="s">
        <v>267</v>
      </c>
    </row>
    <row r="7447" spans="1:26" x14ac:dyDescent="0.2">
      <c r="A7447" s="8">
        <v>7446</v>
      </c>
      <c r="B7447" s="8" t="s">
        <v>32986</v>
      </c>
      <c r="C7447" s="8" t="s">
        <v>32986</v>
      </c>
      <c r="F7447" s="47"/>
      <c r="G7447" s="8">
        <v>19</v>
      </c>
      <c r="H7447" s="8" t="s">
        <v>21</v>
      </c>
      <c r="I7447" s="8" t="s">
        <v>22</v>
      </c>
      <c r="J7447" s="8" t="s">
        <v>22</v>
      </c>
      <c r="K7447" s="8" t="s">
        <v>460</v>
      </c>
      <c r="L7447" s="8" t="s">
        <v>51</v>
      </c>
      <c r="M7447" s="8" t="s">
        <v>52</v>
      </c>
      <c r="N7447" s="8" t="s">
        <v>32987</v>
      </c>
      <c r="O7447" s="8">
        <f>22+59/60+28.9/3600</f>
        <v>22.991361111111111</v>
      </c>
      <c r="P7447" s="8" t="s">
        <v>32988</v>
      </c>
      <c r="Q7447" s="8">
        <f>+(39+5/60+0/3600)</f>
        <v>39.083333333333336</v>
      </c>
      <c r="R7447" s="8">
        <v>13.8</v>
      </c>
      <c r="S7447" s="8">
        <v>14.8</v>
      </c>
      <c r="T7447" s="8">
        <v>1</v>
      </c>
      <c r="U7447" s="8">
        <v>13.2</v>
      </c>
      <c r="V7447" s="8">
        <v>0.8</v>
      </c>
      <c r="W7447" s="8">
        <v>0.8</v>
      </c>
      <c r="Y7447" s="8" t="s">
        <v>32989</v>
      </c>
      <c r="Z7447" s="8" t="s">
        <v>32990</v>
      </c>
    </row>
    <row r="7448" spans="1:26" x14ac:dyDescent="0.2">
      <c r="A7448" s="8">
        <v>7447</v>
      </c>
      <c r="B7448" s="8" t="s">
        <v>32991</v>
      </c>
      <c r="C7448" s="8" t="s">
        <v>32991</v>
      </c>
      <c r="F7448" s="47"/>
      <c r="G7448" s="8">
        <v>17</v>
      </c>
      <c r="H7448" s="8" t="s">
        <v>21</v>
      </c>
      <c r="I7448" s="8" t="s">
        <v>329</v>
      </c>
      <c r="J7448" s="8" t="s">
        <v>329</v>
      </c>
      <c r="K7448" s="8" t="s">
        <v>329</v>
      </c>
      <c r="L7448" s="8" t="s">
        <v>30854</v>
      </c>
      <c r="M7448" s="8" t="s">
        <v>30855</v>
      </c>
      <c r="N7448" s="8" t="s">
        <v>32992</v>
      </c>
      <c r="O7448" s="8">
        <f>23+0/60+26/3600</f>
        <v>23.007222222222222</v>
      </c>
      <c r="P7448" s="8" t="s">
        <v>32993</v>
      </c>
      <c r="Q7448" s="8">
        <f>-(10+31/60+39/3600)</f>
        <v>-10.527500000000002</v>
      </c>
      <c r="R7448" s="8">
        <v>99</v>
      </c>
      <c r="S7448" s="8">
        <v>99</v>
      </c>
      <c r="T7448" s="8">
        <v>99</v>
      </c>
      <c r="U7448" s="8">
        <v>99</v>
      </c>
      <c r="Y7448" s="8" t="s">
        <v>32994</v>
      </c>
      <c r="Z7448" s="8" t="s">
        <v>32995</v>
      </c>
    </row>
    <row r="7449" spans="1:26" x14ac:dyDescent="0.2">
      <c r="A7449" s="8">
        <v>7448</v>
      </c>
      <c r="B7449" s="8" t="s">
        <v>32996</v>
      </c>
      <c r="C7449" s="8" t="s">
        <v>32996</v>
      </c>
      <c r="F7449" s="47" t="s">
        <v>58358</v>
      </c>
      <c r="G7449" s="8">
        <v>6</v>
      </c>
      <c r="H7449" s="8" t="s">
        <v>21</v>
      </c>
      <c r="I7449" s="8" t="s">
        <v>22</v>
      </c>
      <c r="J7449" s="8" t="s">
        <v>22</v>
      </c>
      <c r="K7449" s="8" t="s">
        <v>396</v>
      </c>
      <c r="L7449" s="8" t="s">
        <v>24</v>
      </c>
      <c r="M7449" s="8" t="s">
        <v>25</v>
      </c>
      <c r="N7449" s="8" t="s">
        <v>32997</v>
      </c>
      <c r="O7449" s="8">
        <f>23+0/60+3.6/3600</f>
        <v>23.001000000000001</v>
      </c>
      <c r="P7449" s="8" t="s">
        <v>32998</v>
      </c>
      <c r="Q7449" s="8">
        <f>+(15+58/60+48/3600)</f>
        <v>15.98</v>
      </c>
      <c r="R7449" s="8">
        <v>11.7</v>
      </c>
      <c r="S7449" s="8">
        <v>12.2</v>
      </c>
      <c r="T7449" s="8">
        <v>0.5</v>
      </c>
      <c r="U7449" s="8">
        <v>12.9</v>
      </c>
      <c r="V7449" s="8">
        <v>2.6</v>
      </c>
      <c r="W7449" s="8">
        <v>1.2</v>
      </c>
      <c r="X7449" s="8">
        <v>170</v>
      </c>
      <c r="Y7449" s="8" t="s">
        <v>32999</v>
      </c>
      <c r="Z7449" s="8" t="s">
        <v>33000</v>
      </c>
    </row>
    <row r="7450" spans="1:26" x14ac:dyDescent="0.2">
      <c r="A7450" s="8">
        <v>7449</v>
      </c>
      <c r="B7450" s="8" t="s">
        <v>33001</v>
      </c>
      <c r="C7450" s="8" t="s">
        <v>33001</v>
      </c>
      <c r="F7450" s="47"/>
      <c r="G7450" s="8">
        <v>19</v>
      </c>
      <c r="H7450" s="8" t="s">
        <v>21</v>
      </c>
      <c r="I7450" s="8" t="s">
        <v>22</v>
      </c>
      <c r="J7450" s="8" t="s">
        <v>22</v>
      </c>
      <c r="K7450" s="8" t="s">
        <v>382</v>
      </c>
      <c r="L7450" s="8" t="s">
        <v>51</v>
      </c>
      <c r="M7450" s="8" t="s">
        <v>52</v>
      </c>
      <c r="N7450" s="8" t="s">
        <v>33002</v>
      </c>
      <c r="O7450" s="8">
        <f>22+59/60+37.6/3600</f>
        <v>22.99377777777778</v>
      </c>
      <c r="P7450" s="8" t="s">
        <v>33003</v>
      </c>
      <c r="Q7450" s="8">
        <f>+(39+8/60+45/3600)</f>
        <v>39.145833333333336</v>
      </c>
      <c r="R7450" s="8">
        <v>14</v>
      </c>
      <c r="S7450" s="8">
        <v>15</v>
      </c>
      <c r="T7450" s="8">
        <v>1</v>
      </c>
      <c r="U7450" s="8">
        <v>13.7</v>
      </c>
      <c r="V7450" s="8">
        <v>1</v>
      </c>
      <c r="W7450" s="8">
        <v>0.7</v>
      </c>
      <c r="X7450" s="8">
        <v>130</v>
      </c>
      <c r="Y7450" s="8" t="s">
        <v>33004</v>
      </c>
      <c r="Z7450" s="8" t="s">
        <v>33005</v>
      </c>
    </row>
    <row r="7451" spans="1:26" x14ac:dyDescent="0.2">
      <c r="A7451" s="8">
        <v>7450</v>
      </c>
      <c r="B7451" s="8" t="s">
        <v>33006</v>
      </c>
      <c r="C7451" s="8" t="s">
        <v>33006</v>
      </c>
      <c r="F7451" s="47"/>
      <c r="G7451" s="8">
        <v>18</v>
      </c>
      <c r="H7451" s="8" t="s">
        <v>21</v>
      </c>
      <c r="I7451" s="8" t="s">
        <v>22</v>
      </c>
      <c r="J7451" s="8" t="s">
        <v>22</v>
      </c>
      <c r="K7451" s="8" t="s">
        <v>632</v>
      </c>
      <c r="L7451" s="8" t="s">
        <v>30854</v>
      </c>
      <c r="M7451" s="8" t="s">
        <v>30855</v>
      </c>
      <c r="N7451" s="8" t="s">
        <v>33007</v>
      </c>
      <c r="O7451" s="8">
        <f>23+0/60+47.7/3600</f>
        <v>23.013249999999999</v>
      </c>
      <c r="P7451" s="8" t="s">
        <v>33008</v>
      </c>
      <c r="Q7451" s="8">
        <f>-(12+55/60+4/3600)</f>
        <v>-12.917777777777777</v>
      </c>
      <c r="R7451" s="8">
        <v>13.1</v>
      </c>
      <c r="S7451" s="8">
        <v>14</v>
      </c>
      <c r="T7451" s="8">
        <v>0.9</v>
      </c>
      <c r="U7451" s="8">
        <v>14.3</v>
      </c>
      <c r="V7451" s="8">
        <v>1.8</v>
      </c>
      <c r="W7451" s="8">
        <v>1.8</v>
      </c>
      <c r="Y7451" s="8" t="s">
        <v>1511</v>
      </c>
      <c r="Z7451" s="8" t="s">
        <v>1512</v>
      </c>
    </row>
    <row r="7452" spans="1:26" x14ac:dyDescent="0.2">
      <c r="A7452" s="8">
        <v>7451</v>
      </c>
      <c r="B7452" s="8" t="s">
        <v>33009</v>
      </c>
      <c r="C7452" s="8" t="s">
        <v>33009</v>
      </c>
      <c r="F7452" s="47"/>
      <c r="G7452" s="8">
        <v>18</v>
      </c>
      <c r="H7452" s="8" t="s">
        <v>21</v>
      </c>
      <c r="I7452" s="8" t="s">
        <v>22</v>
      </c>
      <c r="J7452" s="8" t="s">
        <v>22</v>
      </c>
      <c r="K7452" s="8" t="s">
        <v>85</v>
      </c>
      <c r="L7452" s="8" t="s">
        <v>24</v>
      </c>
      <c r="M7452" s="8" t="s">
        <v>25</v>
      </c>
      <c r="N7452" s="8" t="s">
        <v>33010</v>
      </c>
      <c r="O7452" s="8">
        <f>23+0/60+40.6/3600</f>
        <v>23.011277777777778</v>
      </c>
      <c r="P7452" s="8" t="s">
        <v>33011</v>
      </c>
      <c r="Q7452" s="8">
        <f>+(8+28/60+3/3600)</f>
        <v>8.4674999999999994</v>
      </c>
      <c r="R7452" s="8">
        <v>14.1</v>
      </c>
      <c r="S7452" s="8">
        <v>14.9</v>
      </c>
      <c r="T7452" s="8">
        <v>0.8</v>
      </c>
      <c r="U7452" s="8">
        <v>13.2</v>
      </c>
      <c r="V7452" s="8">
        <v>1</v>
      </c>
      <c r="W7452" s="8">
        <v>0.5</v>
      </c>
      <c r="X7452" s="8">
        <v>67</v>
      </c>
      <c r="Y7452" s="8" t="s">
        <v>33012</v>
      </c>
      <c r="Z7452" s="8" t="s">
        <v>33013</v>
      </c>
    </row>
    <row r="7453" spans="1:26" x14ac:dyDescent="0.2">
      <c r="A7453" s="8">
        <v>7452</v>
      </c>
      <c r="B7453" s="8" t="s">
        <v>33014</v>
      </c>
      <c r="C7453" s="8" t="s">
        <v>33014</v>
      </c>
      <c r="F7453" s="47"/>
      <c r="G7453" s="8">
        <v>19</v>
      </c>
      <c r="H7453" s="8" t="s">
        <v>21</v>
      </c>
      <c r="I7453" s="8" t="s">
        <v>22</v>
      </c>
      <c r="J7453" s="8" t="s">
        <v>22</v>
      </c>
      <c r="K7453" s="8" t="s">
        <v>37</v>
      </c>
      <c r="L7453" s="8" t="s">
        <v>38</v>
      </c>
      <c r="M7453" s="8" t="s">
        <v>39</v>
      </c>
      <c r="N7453" s="8" t="s">
        <v>33015</v>
      </c>
      <c r="O7453" s="8">
        <f>23+0/60+47.5/3600</f>
        <v>23.013194444444444</v>
      </c>
      <c r="P7453" s="8" t="s">
        <v>33016</v>
      </c>
      <c r="Q7453" s="8">
        <f>+(6+44/60+45/3600)</f>
        <v>6.7458333333333336</v>
      </c>
      <c r="R7453" s="8">
        <v>15.5</v>
      </c>
      <c r="S7453" s="8">
        <v>16.5</v>
      </c>
      <c r="T7453" s="8">
        <v>1</v>
      </c>
      <c r="U7453" s="8">
        <v>13.1</v>
      </c>
      <c r="V7453" s="8">
        <v>0.4</v>
      </c>
      <c r="W7453" s="8">
        <v>0.3</v>
      </c>
      <c r="X7453" s="8">
        <v>30</v>
      </c>
      <c r="Y7453" s="8" t="s">
        <v>287</v>
      </c>
      <c r="Z7453" s="8" t="s">
        <v>288</v>
      </c>
    </row>
    <row r="7454" spans="1:26" x14ac:dyDescent="0.2">
      <c r="A7454" s="8">
        <v>7453</v>
      </c>
      <c r="B7454" s="8" t="s">
        <v>33017</v>
      </c>
      <c r="C7454" s="8" t="s">
        <v>33017</v>
      </c>
      <c r="F7454" s="47"/>
      <c r="G7454" s="8">
        <v>19</v>
      </c>
      <c r="H7454" s="8" t="s">
        <v>21</v>
      </c>
      <c r="I7454" s="8" t="s">
        <v>72</v>
      </c>
      <c r="J7454" s="8" t="s">
        <v>72</v>
      </c>
      <c r="K7454" s="8" t="s">
        <v>1802</v>
      </c>
      <c r="L7454" s="8" t="s">
        <v>30854</v>
      </c>
      <c r="M7454" s="8" t="s">
        <v>30855</v>
      </c>
      <c r="N7454" s="8" t="s">
        <v>33018</v>
      </c>
      <c r="O7454" s="8">
        <f>23+1/60+25.6/3600</f>
        <v>23.023777777777777</v>
      </c>
      <c r="P7454" s="8" t="s">
        <v>33019</v>
      </c>
      <c r="Q7454" s="8">
        <f>-(6+21/60+14/3600)</f>
        <v>-6.3538888888888883</v>
      </c>
      <c r="R7454" s="8">
        <v>99</v>
      </c>
      <c r="S7454" s="8">
        <v>99</v>
      </c>
      <c r="T7454" s="8">
        <v>99</v>
      </c>
      <c r="U7454" s="8">
        <v>99</v>
      </c>
      <c r="V7454" s="8">
        <v>0.3</v>
      </c>
      <c r="Y7454" s="8" t="s">
        <v>33020</v>
      </c>
      <c r="Z7454" s="8" t="s">
        <v>33021</v>
      </c>
    </row>
    <row r="7455" spans="1:26" x14ac:dyDescent="0.2">
      <c r="A7455" s="8">
        <v>7454</v>
      </c>
      <c r="B7455" s="8" t="s">
        <v>33022</v>
      </c>
      <c r="C7455" s="8" t="s">
        <v>33022</v>
      </c>
      <c r="F7455" s="47" t="s">
        <v>58359</v>
      </c>
      <c r="G7455" s="8">
        <v>13</v>
      </c>
      <c r="H7455" s="8" t="s">
        <v>21</v>
      </c>
      <c r="I7455" s="8" t="s">
        <v>22</v>
      </c>
      <c r="J7455" s="8" t="s">
        <v>22</v>
      </c>
      <c r="K7455" s="8" t="s">
        <v>50</v>
      </c>
      <c r="L7455" s="8" t="s">
        <v>24</v>
      </c>
      <c r="M7455" s="8" t="s">
        <v>25</v>
      </c>
      <c r="N7455" s="8" t="s">
        <v>33023</v>
      </c>
      <c r="O7455" s="8">
        <f>23+1/60+6.6/3600</f>
        <v>23.0185</v>
      </c>
      <c r="P7455" s="8" t="s">
        <v>33024</v>
      </c>
      <c r="Q7455" s="8">
        <f>+(16+23/60+21/3600)</f>
        <v>16.389166666666664</v>
      </c>
      <c r="R7455" s="8">
        <v>11.8</v>
      </c>
      <c r="S7455" s="8">
        <v>12.8</v>
      </c>
      <c r="T7455" s="8">
        <v>1</v>
      </c>
      <c r="U7455" s="8">
        <v>13.2</v>
      </c>
      <c r="V7455" s="8">
        <v>2.2000000000000002</v>
      </c>
      <c r="W7455" s="8">
        <v>1.6</v>
      </c>
      <c r="X7455" s="8">
        <v>150</v>
      </c>
      <c r="Y7455" s="8" t="s">
        <v>33025</v>
      </c>
      <c r="Z7455" s="8" t="s">
        <v>33026</v>
      </c>
    </row>
    <row r="7456" spans="1:26" x14ac:dyDescent="0.2">
      <c r="A7456" s="8">
        <v>7455</v>
      </c>
      <c r="B7456" s="8" t="s">
        <v>33027</v>
      </c>
      <c r="C7456" s="8" t="s">
        <v>33027</v>
      </c>
      <c r="F7456" s="47"/>
      <c r="G7456" s="8">
        <v>19</v>
      </c>
      <c r="H7456" s="8" t="s">
        <v>21</v>
      </c>
      <c r="I7456" s="8" t="s">
        <v>22</v>
      </c>
      <c r="J7456" s="8" t="s">
        <v>22</v>
      </c>
      <c r="K7456" s="8" t="s">
        <v>91</v>
      </c>
      <c r="L7456" s="8" t="s">
        <v>38</v>
      </c>
      <c r="M7456" s="8" t="s">
        <v>39</v>
      </c>
      <c r="N7456" s="8" t="s">
        <v>33028</v>
      </c>
      <c r="O7456" s="8">
        <f>23+0/60+40.9/3600</f>
        <v>23.01136111111111</v>
      </c>
      <c r="P7456" s="8" t="s">
        <v>33029</v>
      </c>
      <c r="Q7456" s="8">
        <f>+(7+18/60+12/3600)</f>
        <v>7.3033333333333328</v>
      </c>
      <c r="R7456" s="8">
        <v>14.4</v>
      </c>
      <c r="S7456" s="8">
        <v>15.3</v>
      </c>
      <c r="T7456" s="8">
        <v>0.9</v>
      </c>
      <c r="U7456" s="8">
        <v>12.7</v>
      </c>
      <c r="V7456" s="8">
        <v>0.6</v>
      </c>
      <c r="W7456" s="8">
        <v>0.4</v>
      </c>
      <c r="X7456" s="8">
        <v>174</v>
      </c>
      <c r="Y7456" s="8" t="s">
        <v>33030</v>
      </c>
      <c r="Z7456" s="8" t="s">
        <v>33031</v>
      </c>
    </row>
    <row r="7457" spans="1:26" x14ac:dyDescent="0.2">
      <c r="A7457" s="8">
        <v>7456</v>
      </c>
      <c r="B7457" s="8" t="s">
        <v>33032</v>
      </c>
      <c r="C7457" s="8" t="s">
        <v>33032</v>
      </c>
      <c r="F7457" s="47"/>
      <c r="G7457" s="8">
        <v>10</v>
      </c>
      <c r="H7457" s="8" t="s">
        <v>21</v>
      </c>
      <c r="I7457" s="8" t="s">
        <v>22</v>
      </c>
      <c r="J7457" s="8" t="s">
        <v>22</v>
      </c>
      <c r="K7457" s="8" t="s">
        <v>160</v>
      </c>
      <c r="L7457" s="8" t="s">
        <v>31389</v>
      </c>
      <c r="M7457" s="8" t="s">
        <v>31390</v>
      </c>
      <c r="N7457" s="8" t="s">
        <v>33033</v>
      </c>
      <c r="O7457" s="8">
        <f>23+2/60+10.1/3600</f>
        <v>23.036138888888889</v>
      </c>
      <c r="P7457" s="8" t="s">
        <v>33034</v>
      </c>
      <c r="Q7457" s="8">
        <f>-(39+34/60+9/3600)</f>
        <v>-39.569166666666668</v>
      </c>
      <c r="R7457" s="8">
        <v>11.8</v>
      </c>
      <c r="S7457" s="8">
        <v>12.4</v>
      </c>
      <c r="T7457" s="8">
        <v>0.6</v>
      </c>
      <c r="U7457" s="8">
        <v>14.1</v>
      </c>
      <c r="V7457" s="8">
        <v>5.5</v>
      </c>
      <c r="W7457" s="8">
        <v>1.6</v>
      </c>
      <c r="X7457" s="8">
        <v>23</v>
      </c>
      <c r="Y7457" s="8" t="s">
        <v>33035</v>
      </c>
      <c r="Z7457" s="8" t="s">
        <v>33036</v>
      </c>
    </row>
    <row r="7458" spans="1:26" x14ac:dyDescent="0.2">
      <c r="A7458" s="8">
        <v>7457</v>
      </c>
      <c r="B7458" s="8" t="s">
        <v>33037</v>
      </c>
      <c r="C7458" s="8" t="s">
        <v>33037</v>
      </c>
      <c r="F7458" s="47" t="s">
        <v>58360</v>
      </c>
      <c r="G7458" s="8">
        <v>6.5</v>
      </c>
      <c r="H7458" s="8" t="s">
        <v>21</v>
      </c>
      <c r="I7458" s="8" t="s">
        <v>22</v>
      </c>
      <c r="J7458" s="8" t="s">
        <v>22</v>
      </c>
      <c r="K7458" s="8" t="s">
        <v>58</v>
      </c>
      <c r="L7458" s="8" t="s">
        <v>24</v>
      </c>
      <c r="M7458" s="8" t="s">
        <v>25</v>
      </c>
      <c r="N7458" s="8" t="s">
        <v>33038</v>
      </c>
      <c r="O7458" s="8">
        <f>23+0/60+59.8/3600</f>
        <v>23.016611111111111</v>
      </c>
      <c r="P7458" s="8" t="s">
        <v>33039</v>
      </c>
      <c r="Q7458" s="8">
        <f>+(30+8/60+41/3600)</f>
        <v>30.144722222222221</v>
      </c>
      <c r="R7458" s="8">
        <v>11.2</v>
      </c>
      <c r="S7458" s="8">
        <v>12.1</v>
      </c>
      <c r="T7458" s="8">
        <v>0.9</v>
      </c>
      <c r="U7458" s="8">
        <v>13.5</v>
      </c>
      <c r="V7458" s="8">
        <v>4.3</v>
      </c>
      <c r="W7458" s="8">
        <v>2.2999999999999998</v>
      </c>
      <c r="X7458" s="8">
        <v>130</v>
      </c>
      <c r="Y7458" s="8" t="s">
        <v>33040</v>
      </c>
      <c r="Z7458" s="8" t="s">
        <v>33041</v>
      </c>
    </row>
    <row r="7459" spans="1:26" x14ac:dyDescent="0.2">
      <c r="A7459" s="8">
        <v>7458</v>
      </c>
      <c r="B7459" s="8" t="s">
        <v>33042</v>
      </c>
      <c r="C7459" s="8" t="s">
        <v>33042</v>
      </c>
      <c r="F7459" s="47" t="s">
        <v>58361</v>
      </c>
      <c r="G7459" s="8">
        <v>15</v>
      </c>
      <c r="H7459" s="8" t="s">
        <v>21</v>
      </c>
      <c r="I7459" s="8" t="s">
        <v>22</v>
      </c>
      <c r="J7459" s="8" t="s">
        <v>22</v>
      </c>
      <c r="K7459" s="8" t="s">
        <v>183</v>
      </c>
      <c r="L7459" s="8" t="s">
        <v>38</v>
      </c>
      <c r="M7459" s="8" t="s">
        <v>39</v>
      </c>
      <c r="N7459" s="8" t="s">
        <v>33043</v>
      </c>
      <c r="O7459" s="8">
        <f>23+1/60+28.5/3600</f>
        <v>23.024583333333332</v>
      </c>
      <c r="P7459" s="8" t="s">
        <v>33044</v>
      </c>
      <c r="Q7459" s="8">
        <f>+(1+45/60+12/3600)</f>
        <v>1.7533333333333334</v>
      </c>
      <c r="R7459" s="8">
        <v>12.5</v>
      </c>
      <c r="S7459" s="8">
        <v>13.6</v>
      </c>
      <c r="T7459" s="8">
        <v>1.1000000000000001</v>
      </c>
      <c r="U7459" s="8">
        <v>13</v>
      </c>
      <c r="V7459" s="8">
        <v>1.4</v>
      </c>
      <c r="W7459" s="8">
        <v>1.2</v>
      </c>
      <c r="X7459" s="8">
        <v>15</v>
      </c>
      <c r="Y7459" s="8" t="s">
        <v>33045</v>
      </c>
      <c r="Z7459" s="8" t="s">
        <v>33046</v>
      </c>
    </row>
    <row r="7460" spans="1:26" x14ac:dyDescent="0.2">
      <c r="A7460" s="8">
        <v>7459</v>
      </c>
      <c r="B7460" s="8" t="s">
        <v>33047</v>
      </c>
      <c r="C7460" s="8" t="s">
        <v>33047</v>
      </c>
      <c r="E7460" s="8">
        <v>1</v>
      </c>
      <c r="F7460" s="47"/>
      <c r="G7460" s="8">
        <v>19</v>
      </c>
      <c r="H7460" s="8" t="s">
        <v>21</v>
      </c>
      <c r="I7460" s="8" t="s">
        <v>22</v>
      </c>
      <c r="J7460" s="8" t="s">
        <v>22</v>
      </c>
      <c r="K7460" s="8" t="s">
        <v>449</v>
      </c>
      <c r="L7460" s="8" t="s">
        <v>38</v>
      </c>
      <c r="M7460" s="8" t="s">
        <v>39</v>
      </c>
      <c r="N7460" s="8" t="s">
        <v>33048</v>
      </c>
      <c r="O7460" s="8">
        <f>23+0/60+59.6/3600</f>
        <v>23.016555555555556</v>
      </c>
      <c r="P7460" s="8" t="s">
        <v>33049</v>
      </c>
      <c r="Q7460" s="8">
        <f>+(6+44/60+58/3600)</f>
        <v>6.7494444444444444</v>
      </c>
      <c r="R7460" s="8">
        <v>15.2</v>
      </c>
      <c r="S7460" s="8">
        <v>16</v>
      </c>
      <c r="T7460" s="8">
        <v>0.8</v>
      </c>
      <c r="U7460" s="8">
        <v>13.1</v>
      </c>
      <c r="V7460" s="8">
        <v>0.4</v>
      </c>
      <c r="W7460" s="8">
        <v>0.4</v>
      </c>
      <c r="Y7460" s="8" t="s">
        <v>33050</v>
      </c>
      <c r="Z7460" s="8" t="s">
        <v>33051</v>
      </c>
    </row>
    <row r="7461" spans="1:26" x14ac:dyDescent="0.2">
      <c r="A7461" s="8">
        <v>7460</v>
      </c>
      <c r="B7461" s="8" t="s">
        <v>33052</v>
      </c>
      <c r="C7461" s="8" t="s">
        <v>33052</v>
      </c>
      <c r="F7461" s="47"/>
      <c r="G7461" s="8">
        <v>18</v>
      </c>
      <c r="H7461" s="8" t="s">
        <v>21</v>
      </c>
      <c r="I7461" s="8" t="s">
        <v>22</v>
      </c>
      <c r="J7461" s="8" t="s">
        <v>22</v>
      </c>
      <c r="K7461" s="8" t="s">
        <v>79</v>
      </c>
      <c r="L7461" s="8" t="s">
        <v>38</v>
      </c>
      <c r="M7461" s="8" t="s">
        <v>39</v>
      </c>
      <c r="N7461" s="8" t="s">
        <v>33053</v>
      </c>
      <c r="O7461" s="8">
        <f>23+1/60+42.7/3600</f>
        <v>23.028527777777779</v>
      </c>
      <c r="P7461" s="8" t="s">
        <v>33054</v>
      </c>
      <c r="Q7461" s="8">
        <f>+(2+15/60+49/3600)</f>
        <v>2.263611111111111</v>
      </c>
      <c r="R7461" s="8">
        <v>13</v>
      </c>
      <c r="S7461" s="8">
        <v>13.6</v>
      </c>
      <c r="T7461" s="8">
        <v>0.6</v>
      </c>
      <c r="U7461" s="8">
        <v>13.3</v>
      </c>
      <c r="V7461" s="8">
        <v>1.5</v>
      </c>
      <c r="W7461" s="8">
        <v>1.1000000000000001</v>
      </c>
      <c r="X7461" s="8">
        <v>37</v>
      </c>
      <c r="Y7461" s="8" t="s">
        <v>2734</v>
      </c>
      <c r="Z7461" s="8" t="s">
        <v>2735</v>
      </c>
    </row>
    <row r="7462" spans="1:26" x14ac:dyDescent="0.2">
      <c r="A7462" s="8">
        <v>7461</v>
      </c>
      <c r="B7462" s="8" t="s">
        <v>33055</v>
      </c>
      <c r="C7462" s="8" t="s">
        <v>33055</v>
      </c>
      <c r="F7462" s="47"/>
      <c r="G7462" s="8">
        <v>18</v>
      </c>
      <c r="H7462" s="8" t="s">
        <v>21</v>
      </c>
      <c r="I7462" s="8" t="s">
        <v>22</v>
      </c>
      <c r="J7462" s="8" t="s">
        <v>22</v>
      </c>
      <c r="K7462" s="8" t="s">
        <v>224</v>
      </c>
      <c r="L7462" s="8" t="s">
        <v>24</v>
      </c>
      <c r="M7462" s="8" t="s">
        <v>25</v>
      </c>
      <c r="N7462" s="8" t="s">
        <v>33056</v>
      </c>
      <c r="O7462" s="8">
        <f>23+1/60+48.1/3600</f>
        <v>23.030027777777775</v>
      </c>
      <c r="P7462" s="8" t="s">
        <v>33057</v>
      </c>
      <c r="Q7462" s="8">
        <f>+(15+34/60+57/3600)</f>
        <v>15.5825</v>
      </c>
      <c r="R7462" s="8">
        <v>13.5</v>
      </c>
      <c r="S7462" s="8">
        <v>14.5</v>
      </c>
      <c r="T7462" s="8">
        <v>1</v>
      </c>
      <c r="U7462" s="8">
        <v>12.8</v>
      </c>
      <c r="V7462" s="8">
        <v>0.9</v>
      </c>
      <c r="W7462" s="8">
        <v>0.7</v>
      </c>
      <c r="X7462" s="8">
        <v>150</v>
      </c>
      <c r="Y7462" s="8" t="s">
        <v>14112</v>
      </c>
      <c r="Z7462" s="8" t="s">
        <v>14113</v>
      </c>
    </row>
    <row r="7463" spans="1:26" x14ac:dyDescent="0.2">
      <c r="A7463" s="8">
        <v>7462</v>
      </c>
      <c r="B7463" s="8" t="s">
        <v>33058</v>
      </c>
      <c r="C7463" s="8" t="s">
        <v>33058</v>
      </c>
      <c r="F7463" s="47"/>
      <c r="G7463" s="8">
        <v>13</v>
      </c>
      <c r="H7463" s="8" t="s">
        <v>21</v>
      </c>
      <c r="I7463" s="8" t="s">
        <v>22</v>
      </c>
      <c r="J7463" s="8" t="s">
        <v>22</v>
      </c>
      <c r="K7463" s="8" t="s">
        <v>85</v>
      </c>
      <c r="L7463" s="8" t="s">
        <v>31389</v>
      </c>
      <c r="M7463" s="8" t="s">
        <v>31390</v>
      </c>
      <c r="N7463" s="8" t="s">
        <v>33059</v>
      </c>
      <c r="O7463" s="8">
        <f>23+2/60+46.2/3600</f>
        <v>23.046166666666668</v>
      </c>
      <c r="P7463" s="8" t="s">
        <v>33060</v>
      </c>
      <c r="Q7463" s="8">
        <f>-(40+50/60+8/3600)</f>
        <v>-40.835555555555558</v>
      </c>
      <c r="R7463" s="8">
        <v>11.4</v>
      </c>
      <c r="S7463" s="8">
        <v>12.2</v>
      </c>
      <c r="T7463" s="8">
        <v>0.8</v>
      </c>
      <c r="U7463" s="8">
        <v>12.6</v>
      </c>
      <c r="V7463" s="8">
        <v>4.3</v>
      </c>
      <c r="W7463" s="8">
        <v>0.8</v>
      </c>
      <c r="X7463" s="8">
        <v>75</v>
      </c>
      <c r="Y7463" s="8" t="s">
        <v>33061</v>
      </c>
      <c r="Z7463" s="8" t="s">
        <v>33062</v>
      </c>
    </row>
    <row r="7464" spans="1:26" x14ac:dyDescent="0.2">
      <c r="A7464" s="8">
        <v>7463</v>
      </c>
      <c r="B7464" s="8" t="s">
        <v>33063</v>
      </c>
      <c r="C7464" s="8" t="s">
        <v>33063</v>
      </c>
      <c r="F7464" s="47" t="s">
        <v>58362</v>
      </c>
      <c r="G7464" s="8">
        <v>6.5</v>
      </c>
      <c r="H7464" s="8" t="s">
        <v>21</v>
      </c>
      <c r="I7464" s="8" t="s">
        <v>22</v>
      </c>
      <c r="J7464" s="8" t="s">
        <v>22</v>
      </c>
      <c r="K7464" s="8" t="s">
        <v>5751</v>
      </c>
      <c r="L7464" s="8" t="s">
        <v>24</v>
      </c>
      <c r="M7464" s="8" t="s">
        <v>25</v>
      </c>
      <c r="N7464" s="8" t="s">
        <v>33064</v>
      </c>
      <c r="O7464" s="8">
        <f>23+1/60+51.8/3600</f>
        <v>23.031055555555554</v>
      </c>
      <c r="P7464" s="8" t="s">
        <v>33065</v>
      </c>
      <c r="Q7464" s="8">
        <f>+(15+58/60+55/3600)</f>
        <v>15.981944444444444</v>
      </c>
      <c r="R7464" s="8">
        <v>13.2</v>
      </c>
      <c r="S7464" s="8">
        <v>13.8</v>
      </c>
      <c r="T7464" s="8">
        <v>0.6</v>
      </c>
      <c r="U7464" s="8">
        <v>13.8</v>
      </c>
      <c r="V7464" s="8">
        <v>2.6</v>
      </c>
      <c r="W7464" s="8">
        <v>0.6</v>
      </c>
      <c r="X7464" s="8">
        <v>90</v>
      </c>
      <c r="Y7464" s="8" t="s">
        <v>26829</v>
      </c>
      <c r="Z7464" s="8" t="s">
        <v>26830</v>
      </c>
    </row>
    <row r="7465" spans="1:26" x14ac:dyDescent="0.2">
      <c r="A7465" s="8">
        <v>7464</v>
      </c>
      <c r="B7465" s="8" t="s">
        <v>33066</v>
      </c>
      <c r="C7465" s="8" t="s">
        <v>33066</v>
      </c>
      <c r="F7465" s="47"/>
      <c r="G7465" s="8">
        <v>18</v>
      </c>
      <c r="H7465" s="8" t="s">
        <v>21</v>
      </c>
      <c r="I7465" s="8" t="s">
        <v>22</v>
      </c>
      <c r="J7465" s="8" t="s">
        <v>22</v>
      </c>
      <c r="K7465" s="8" t="s">
        <v>183</v>
      </c>
      <c r="L7465" s="8" t="s">
        <v>24</v>
      </c>
      <c r="M7465" s="8" t="s">
        <v>25</v>
      </c>
      <c r="N7465" s="8" t="s">
        <v>33067</v>
      </c>
      <c r="O7465" s="8">
        <f>23+1/60+53.8/3600</f>
        <v>23.031611111111111</v>
      </c>
      <c r="P7465" s="8" t="s">
        <v>33068</v>
      </c>
      <c r="Q7465" s="8">
        <f>+(15+58/60+28/3600)</f>
        <v>15.974444444444444</v>
      </c>
      <c r="R7465" s="8">
        <v>13.3</v>
      </c>
      <c r="S7465" s="8">
        <v>14.3</v>
      </c>
      <c r="T7465" s="8">
        <v>1</v>
      </c>
      <c r="U7465" s="8">
        <v>11.9</v>
      </c>
      <c r="V7465" s="8">
        <v>0.5</v>
      </c>
      <c r="W7465" s="8">
        <v>0.5</v>
      </c>
      <c r="Y7465" s="8" t="s">
        <v>33069</v>
      </c>
      <c r="Z7465" s="8" t="s">
        <v>33070</v>
      </c>
    </row>
    <row r="7466" spans="1:26" x14ac:dyDescent="0.2">
      <c r="A7466" s="8">
        <v>7465</v>
      </c>
      <c r="B7466" s="8" t="s">
        <v>33071</v>
      </c>
      <c r="C7466" s="8" t="s">
        <v>33071</v>
      </c>
      <c r="F7466" s="47" t="s">
        <v>58363</v>
      </c>
      <c r="G7466" s="8">
        <v>6.5</v>
      </c>
      <c r="H7466" s="8" t="s">
        <v>21</v>
      </c>
      <c r="I7466" s="8" t="s">
        <v>22</v>
      </c>
      <c r="J7466" s="8" t="s">
        <v>22</v>
      </c>
      <c r="K7466" s="8" t="s">
        <v>224</v>
      </c>
      <c r="L7466" s="8" t="s">
        <v>24</v>
      </c>
      <c r="M7466" s="8" t="s">
        <v>25</v>
      </c>
      <c r="N7466" s="8" t="s">
        <v>33072</v>
      </c>
      <c r="O7466" s="8">
        <f>23+2/60+0.9/3600</f>
        <v>23.033583333333336</v>
      </c>
      <c r="P7466" s="8" t="s">
        <v>33073</v>
      </c>
      <c r="Q7466" s="8">
        <f>+(15+57/60+55/3600)</f>
        <v>15.965277777777777</v>
      </c>
      <c r="R7466" s="8">
        <v>12.6</v>
      </c>
      <c r="S7466" s="8">
        <v>13.3</v>
      </c>
      <c r="T7466" s="8">
        <v>0.7</v>
      </c>
      <c r="U7466" s="8">
        <v>12.4</v>
      </c>
      <c r="V7466" s="8">
        <v>2.2000000000000002</v>
      </c>
      <c r="W7466" s="8">
        <v>1.8</v>
      </c>
      <c r="X7466" s="8">
        <v>42</v>
      </c>
      <c r="Y7466" s="8" t="s">
        <v>27810</v>
      </c>
      <c r="Z7466" s="8" t="s">
        <v>21975</v>
      </c>
    </row>
    <row r="7467" spans="1:26" x14ac:dyDescent="0.2">
      <c r="A7467" s="8">
        <v>7466</v>
      </c>
      <c r="B7467" s="8" t="s">
        <v>33074</v>
      </c>
      <c r="C7467" s="8" t="s">
        <v>33074</v>
      </c>
      <c r="F7467" s="47"/>
      <c r="G7467" s="8">
        <v>18</v>
      </c>
      <c r="H7467" s="8" t="s">
        <v>21</v>
      </c>
      <c r="I7467" s="8" t="s">
        <v>22</v>
      </c>
      <c r="J7467" s="8" t="s">
        <v>22</v>
      </c>
      <c r="K7467" s="8" t="s">
        <v>23</v>
      </c>
      <c r="L7467" s="8" t="s">
        <v>24</v>
      </c>
      <c r="M7467" s="8" t="s">
        <v>25</v>
      </c>
      <c r="N7467" s="8" t="s">
        <v>33075</v>
      </c>
      <c r="O7467" s="8">
        <f>23+2/60+3.4/3600</f>
        <v>23.034277777777781</v>
      </c>
      <c r="P7467" s="8" t="s">
        <v>33076</v>
      </c>
      <c r="Q7467" s="8">
        <f>+(27+3/60+11/3600)</f>
        <v>27.053055555555556</v>
      </c>
      <c r="R7467" s="8">
        <v>13.5</v>
      </c>
      <c r="S7467" s="8">
        <v>14.3</v>
      </c>
      <c r="T7467" s="8">
        <v>0.8</v>
      </c>
      <c r="U7467" s="8">
        <v>13.1</v>
      </c>
      <c r="V7467" s="8">
        <v>1.5</v>
      </c>
      <c r="W7467" s="8">
        <v>0.5</v>
      </c>
      <c r="X7467" s="8">
        <v>26</v>
      </c>
      <c r="Y7467" s="8" t="s">
        <v>33077</v>
      </c>
      <c r="Z7467" s="8" t="s">
        <v>33078</v>
      </c>
    </row>
    <row r="7468" spans="1:26" x14ac:dyDescent="0.2">
      <c r="A7468" s="8">
        <v>7467</v>
      </c>
      <c r="B7468" s="8" t="s">
        <v>33079</v>
      </c>
      <c r="C7468" s="8" t="s">
        <v>33079</v>
      </c>
      <c r="F7468" s="47"/>
      <c r="G7468" s="8">
        <v>18</v>
      </c>
      <c r="H7468" s="8" t="s">
        <v>21</v>
      </c>
      <c r="I7468" s="8" t="s">
        <v>22</v>
      </c>
      <c r="J7468" s="8" t="s">
        <v>22</v>
      </c>
      <c r="K7468" s="8" t="s">
        <v>818</v>
      </c>
      <c r="L7468" s="8" t="s">
        <v>24</v>
      </c>
      <c r="M7468" s="8" t="s">
        <v>25</v>
      </c>
      <c r="N7468" s="8" t="s">
        <v>33080</v>
      </c>
      <c r="O7468" s="8">
        <f>23+2/60+27.4/3600</f>
        <v>23.040944444444445</v>
      </c>
      <c r="P7468" s="8" t="s">
        <v>33081</v>
      </c>
      <c r="Q7468" s="8">
        <f>+(15+33/60+17/3600)</f>
        <v>15.554722222222223</v>
      </c>
      <c r="R7468" s="8">
        <v>14.5</v>
      </c>
      <c r="S7468" s="8">
        <v>15.5</v>
      </c>
      <c r="T7468" s="8">
        <v>1</v>
      </c>
      <c r="U7468" s="8">
        <v>12.3</v>
      </c>
      <c r="V7468" s="8">
        <v>0.4</v>
      </c>
      <c r="W7468" s="8">
        <v>0.3</v>
      </c>
      <c r="X7468" s="8">
        <v>33</v>
      </c>
      <c r="Y7468" s="8" t="s">
        <v>266</v>
      </c>
      <c r="Z7468" s="8" t="s">
        <v>267</v>
      </c>
    </row>
    <row r="7469" spans="1:26" x14ac:dyDescent="0.2">
      <c r="A7469" s="8">
        <v>7468</v>
      </c>
      <c r="B7469" s="8" t="s">
        <v>33082</v>
      </c>
      <c r="C7469" s="8" t="s">
        <v>33082</v>
      </c>
      <c r="F7469" s="47" t="s">
        <v>58364</v>
      </c>
      <c r="G7469" s="8">
        <v>15</v>
      </c>
      <c r="H7469" s="8" t="s">
        <v>21</v>
      </c>
      <c r="I7469" s="8" t="s">
        <v>22</v>
      </c>
      <c r="J7469" s="8" t="s">
        <v>22</v>
      </c>
      <c r="K7469" s="8" t="s">
        <v>4262</v>
      </c>
      <c r="L7469" s="8" t="s">
        <v>24</v>
      </c>
      <c r="M7469" s="8" t="s">
        <v>25</v>
      </c>
      <c r="N7469" s="8" t="s">
        <v>33083</v>
      </c>
      <c r="O7469" s="8">
        <f>23+2/60+59.2/3600</f>
        <v>23.049777777777781</v>
      </c>
      <c r="P7469" s="8" t="s">
        <v>33084</v>
      </c>
      <c r="Q7469" s="8">
        <f>+(16+36/60+16/3600)</f>
        <v>16.604444444444447</v>
      </c>
      <c r="R7469" s="8">
        <v>13.7</v>
      </c>
      <c r="S7469" s="8">
        <v>14.2</v>
      </c>
      <c r="T7469" s="8">
        <v>0.5</v>
      </c>
      <c r="U7469" s="8">
        <v>13</v>
      </c>
      <c r="V7469" s="8">
        <v>0.9</v>
      </c>
      <c r="W7469" s="8">
        <v>0.6</v>
      </c>
      <c r="X7469" s="8">
        <v>25</v>
      </c>
      <c r="Y7469" s="8" t="s">
        <v>266</v>
      </c>
      <c r="Z7469" s="8" t="s">
        <v>267</v>
      </c>
    </row>
    <row r="7470" spans="1:26" x14ac:dyDescent="0.2">
      <c r="A7470" s="8">
        <v>7469</v>
      </c>
      <c r="B7470" s="8" t="s">
        <v>33085</v>
      </c>
      <c r="C7470" s="8" t="s">
        <v>33085</v>
      </c>
      <c r="F7470" s="47" t="s">
        <v>58365</v>
      </c>
      <c r="G7470" s="8">
        <v>13</v>
      </c>
      <c r="H7470" s="8" t="s">
        <v>21</v>
      </c>
      <c r="I7470" s="8" t="s">
        <v>22</v>
      </c>
      <c r="J7470" s="8" t="s">
        <v>22</v>
      </c>
      <c r="K7470" s="8" t="s">
        <v>154</v>
      </c>
      <c r="L7470" s="8" t="s">
        <v>24</v>
      </c>
      <c r="M7470" s="8" t="s">
        <v>25</v>
      </c>
      <c r="N7470" s="8" t="s">
        <v>33086</v>
      </c>
      <c r="O7470" s="8">
        <f>23+3/60+15.5/3600</f>
        <v>23.054305555555555</v>
      </c>
      <c r="P7470" s="8" t="s">
        <v>33087</v>
      </c>
      <c r="Q7470" s="8">
        <f>+(8+52/60+26/3600)</f>
        <v>8.8738888888888887</v>
      </c>
      <c r="R7470" s="8">
        <v>12.3</v>
      </c>
      <c r="S7470" s="8">
        <v>13</v>
      </c>
      <c r="T7470" s="8">
        <v>0.7</v>
      </c>
      <c r="U7470" s="8">
        <v>12.7</v>
      </c>
      <c r="V7470" s="8">
        <v>1.4</v>
      </c>
      <c r="W7470" s="8">
        <v>1</v>
      </c>
      <c r="X7470" s="8">
        <v>125</v>
      </c>
      <c r="Y7470" s="8" t="s">
        <v>33088</v>
      </c>
      <c r="Z7470" s="8" t="s">
        <v>33089</v>
      </c>
    </row>
    <row r="7471" spans="1:26" x14ac:dyDescent="0.2">
      <c r="A7471" s="8">
        <v>7470</v>
      </c>
      <c r="B7471" s="8" t="s">
        <v>33090</v>
      </c>
      <c r="C7471" s="8" t="s">
        <v>33090</v>
      </c>
      <c r="F7471" s="47"/>
      <c r="G7471" s="8">
        <v>16</v>
      </c>
      <c r="H7471" s="8" t="s">
        <v>21</v>
      </c>
      <c r="I7471" s="8" t="s">
        <v>22</v>
      </c>
      <c r="J7471" s="8" t="s">
        <v>22</v>
      </c>
      <c r="K7471" s="8" t="s">
        <v>396</v>
      </c>
      <c r="L7471" s="8" t="s">
        <v>31389</v>
      </c>
      <c r="M7471" s="8" t="s">
        <v>31390</v>
      </c>
      <c r="N7471" s="8" t="s">
        <v>33091</v>
      </c>
      <c r="O7471" s="8">
        <f>23+5/60+13.9/3600</f>
        <v>23.087194444444442</v>
      </c>
      <c r="P7471" s="8" t="s">
        <v>33092</v>
      </c>
      <c r="Q7471" s="8">
        <f>-(50+6/60+42/3600)</f>
        <v>-50.111666666666665</v>
      </c>
      <c r="R7471" s="8">
        <v>13.9</v>
      </c>
      <c r="S7471" s="8">
        <v>14.8</v>
      </c>
      <c r="T7471" s="8">
        <v>0.9</v>
      </c>
      <c r="U7471" s="8">
        <v>14</v>
      </c>
      <c r="V7471" s="8">
        <v>1.4</v>
      </c>
      <c r="W7471" s="8">
        <v>0.9</v>
      </c>
      <c r="X7471" s="8">
        <v>84</v>
      </c>
      <c r="Y7471" s="8" t="s">
        <v>33093</v>
      </c>
      <c r="Z7471" s="8" t="s">
        <v>33094</v>
      </c>
    </row>
    <row r="7472" spans="1:26" x14ac:dyDescent="0.2">
      <c r="A7472" s="8">
        <v>7471</v>
      </c>
      <c r="B7472" s="8" t="s">
        <v>33095</v>
      </c>
      <c r="C7472" s="8" t="s">
        <v>33095</v>
      </c>
      <c r="F7472" s="47"/>
      <c r="G7472" s="8">
        <v>19</v>
      </c>
      <c r="H7472" s="8" t="s">
        <v>21</v>
      </c>
      <c r="I7472" s="8" t="s">
        <v>329</v>
      </c>
      <c r="J7472" s="8" t="s">
        <v>329</v>
      </c>
      <c r="K7472" s="8" t="s">
        <v>329</v>
      </c>
      <c r="L7472" s="8" t="s">
        <v>30854</v>
      </c>
      <c r="M7472" s="8" t="s">
        <v>30855</v>
      </c>
      <c r="N7472" s="8" t="s">
        <v>33096</v>
      </c>
      <c r="O7472" s="8">
        <f>23+3/60+53/3600</f>
        <v>23.064722222222223</v>
      </c>
      <c r="P7472" s="8" t="s">
        <v>33097</v>
      </c>
      <c r="Q7472" s="8">
        <f>-(22+54/60+24/3600)</f>
        <v>-22.906666666666666</v>
      </c>
      <c r="R7472" s="8">
        <v>99</v>
      </c>
      <c r="S7472" s="8">
        <v>99</v>
      </c>
      <c r="T7472" s="8">
        <v>99</v>
      </c>
      <c r="U7472" s="8">
        <v>99</v>
      </c>
      <c r="Y7472" s="8" t="s">
        <v>33098</v>
      </c>
      <c r="Z7472" s="8" t="s">
        <v>33099</v>
      </c>
    </row>
    <row r="7473" spans="1:26" x14ac:dyDescent="0.2">
      <c r="A7473" s="8">
        <v>7472</v>
      </c>
      <c r="B7473" s="8" t="s">
        <v>33100</v>
      </c>
      <c r="C7473" s="8" t="s">
        <v>33100</v>
      </c>
      <c r="F7473" s="47"/>
      <c r="G7473" s="8">
        <v>18</v>
      </c>
      <c r="H7473" s="8" t="s">
        <v>21</v>
      </c>
      <c r="I7473" s="8" t="s">
        <v>22</v>
      </c>
      <c r="J7473" s="8" t="s">
        <v>57</v>
      </c>
      <c r="K7473" s="8" t="s">
        <v>382</v>
      </c>
      <c r="L7473" s="8" t="s">
        <v>38</v>
      </c>
      <c r="M7473" s="8" t="s">
        <v>39</v>
      </c>
      <c r="N7473" s="8" t="s">
        <v>33101</v>
      </c>
      <c r="O7473" s="8">
        <f>23+5/60+38.6/3600</f>
        <v>23.094055555555553</v>
      </c>
      <c r="P7473" s="8" t="s">
        <v>33102</v>
      </c>
      <c r="Q7473" s="8">
        <f>+(3+3/60+32/3600)</f>
        <v>3.0588888888888888</v>
      </c>
      <c r="R7473" s="8">
        <v>13.6</v>
      </c>
      <c r="S7473" s="8">
        <v>14.6</v>
      </c>
      <c r="T7473" s="8">
        <v>1</v>
      </c>
      <c r="U7473" s="8">
        <v>12.5</v>
      </c>
      <c r="V7473" s="8">
        <v>0.6</v>
      </c>
      <c r="W7473" s="8">
        <v>0.4</v>
      </c>
      <c r="X7473" s="8">
        <v>41</v>
      </c>
      <c r="Y7473" s="8" t="s">
        <v>33103</v>
      </c>
      <c r="Z7473" s="8" t="s">
        <v>33104</v>
      </c>
    </row>
    <row r="7474" spans="1:26" x14ac:dyDescent="0.2">
      <c r="A7474" s="8">
        <v>7473</v>
      </c>
      <c r="B7474" s="8" t="s">
        <v>33105</v>
      </c>
      <c r="C7474" s="8" t="s">
        <v>33105</v>
      </c>
      <c r="F7474" s="47"/>
      <c r="G7474" s="8">
        <v>18</v>
      </c>
      <c r="H7474" s="8" t="s">
        <v>21</v>
      </c>
      <c r="I7474" s="8" t="s">
        <v>22</v>
      </c>
      <c r="J7474" s="8" t="s">
        <v>22</v>
      </c>
      <c r="K7474" s="8" t="s">
        <v>224</v>
      </c>
      <c r="L7474" s="8" t="s">
        <v>24</v>
      </c>
      <c r="M7474" s="8" t="s">
        <v>25</v>
      </c>
      <c r="N7474" s="8" t="s">
        <v>33106</v>
      </c>
      <c r="O7474" s="8">
        <f>23+3/60+57.1/3600</f>
        <v>23.065861111111111</v>
      </c>
      <c r="P7474" s="8" t="s">
        <v>33107</v>
      </c>
      <c r="Q7474" s="8">
        <f>+(30+9/60+36/3600)</f>
        <v>30.16</v>
      </c>
      <c r="R7474" s="8">
        <v>13.7</v>
      </c>
      <c r="S7474" s="8">
        <v>14.7</v>
      </c>
      <c r="T7474" s="8">
        <v>1</v>
      </c>
      <c r="U7474" s="8">
        <v>12.9</v>
      </c>
      <c r="V7474" s="8">
        <v>1.1000000000000001</v>
      </c>
      <c r="W7474" s="8">
        <v>0.5</v>
      </c>
      <c r="X7474" s="8">
        <v>45</v>
      </c>
      <c r="Y7474" s="8" t="s">
        <v>170</v>
      </c>
      <c r="Z7474" s="8" t="s">
        <v>171</v>
      </c>
    </row>
    <row r="7475" spans="1:26" x14ac:dyDescent="0.2">
      <c r="A7475" s="8">
        <v>7474</v>
      </c>
      <c r="B7475" s="8" t="s">
        <v>33108</v>
      </c>
      <c r="C7475" s="8" t="s">
        <v>33108</v>
      </c>
      <c r="F7475" s="47"/>
      <c r="G7475" s="8">
        <v>18</v>
      </c>
      <c r="H7475" s="8" t="s">
        <v>21</v>
      </c>
      <c r="I7475" s="8" t="s">
        <v>22</v>
      </c>
      <c r="J7475" s="8" t="s">
        <v>22</v>
      </c>
      <c r="K7475" s="8" t="s">
        <v>37</v>
      </c>
      <c r="L7475" s="8" t="s">
        <v>24</v>
      </c>
      <c r="M7475" s="8" t="s">
        <v>25</v>
      </c>
      <c r="N7475" s="8" t="s">
        <v>33109</v>
      </c>
      <c r="O7475" s="8">
        <f>23+4/60+4.3/3600</f>
        <v>23.06786111111111</v>
      </c>
      <c r="P7475" s="8" t="s">
        <v>33110</v>
      </c>
      <c r="Q7475" s="8">
        <f>+(20+4/60+4/3600)</f>
        <v>20.067777777777778</v>
      </c>
      <c r="R7475" s="8">
        <v>14.5</v>
      </c>
      <c r="S7475" s="8">
        <v>15.5</v>
      </c>
      <c r="T7475" s="8">
        <v>1</v>
      </c>
      <c r="U7475" s="8">
        <v>12.9</v>
      </c>
      <c r="V7475" s="8">
        <v>0.5</v>
      </c>
      <c r="W7475" s="8">
        <v>0.5</v>
      </c>
      <c r="Y7475" s="8" t="s">
        <v>266</v>
      </c>
      <c r="Z7475" s="8" t="s">
        <v>267</v>
      </c>
    </row>
    <row r="7476" spans="1:26" x14ac:dyDescent="0.2">
      <c r="A7476" s="8">
        <v>7475</v>
      </c>
      <c r="B7476" s="8" t="s">
        <v>33111</v>
      </c>
      <c r="C7476" s="8" t="s">
        <v>33111</v>
      </c>
      <c r="E7476" s="8">
        <v>1</v>
      </c>
      <c r="F7476" s="47"/>
      <c r="G7476" s="8">
        <v>18</v>
      </c>
      <c r="H7476" s="8" t="s">
        <v>21</v>
      </c>
      <c r="I7476" s="8" t="s">
        <v>22</v>
      </c>
      <c r="J7476" s="8" t="s">
        <v>22</v>
      </c>
      <c r="K7476" s="8" t="s">
        <v>1136</v>
      </c>
      <c r="L7476" s="8" t="s">
        <v>24</v>
      </c>
      <c r="M7476" s="8" t="s">
        <v>25</v>
      </c>
      <c r="N7476" s="8" t="s">
        <v>33112</v>
      </c>
      <c r="O7476" s="8">
        <f>23+4/60+10.1/3600</f>
        <v>23.06947222222222</v>
      </c>
      <c r="P7476" s="8" t="s">
        <v>33113</v>
      </c>
      <c r="Q7476" s="8">
        <f>+(20+4/60+45/3600)</f>
        <v>20.079166666666666</v>
      </c>
      <c r="R7476" s="8">
        <v>13.5</v>
      </c>
      <c r="S7476" s="8">
        <v>14.5</v>
      </c>
      <c r="T7476" s="8">
        <v>1</v>
      </c>
      <c r="U7476" s="8">
        <v>13.3</v>
      </c>
      <c r="V7476" s="8">
        <v>1.1000000000000001</v>
      </c>
      <c r="W7476" s="8">
        <v>0.9</v>
      </c>
      <c r="X7476" s="8">
        <v>54</v>
      </c>
      <c r="Y7476" s="8" t="s">
        <v>1511</v>
      </c>
      <c r="Z7476" s="8" t="s">
        <v>1512</v>
      </c>
    </row>
    <row r="7477" spans="1:26" x14ac:dyDescent="0.2">
      <c r="A7477" s="8">
        <v>7476</v>
      </c>
      <c r="B7477" s="8" t="s">
        <v>33114</v>
      </c>
      <c r="C7477" s="8" t="s">
        <v>33114</v>
      </c>
      <c r="F7477" s="47"/>
      <c r="G7477" s="8">
        <v>16</v>
      </c>
      <c r="H7477" s="8" t="s">
        <v>21</v>
      </c>
      <c r="I7477" s="8" t="s">
        <v>22</v>
      </c>
      <c r="J7477" s="8" t="s">
        <v>22</v>
      </c>
      <c r="K7477" s="8" t="s">
        <v>406</v>
      </c>
      <c r="L7477" s="8" t="s">
        <v>31389</v>
      </c>
      <c r="M7477" s="8" t="s">
        <v>31390</v>
      </c>
      <c r="N7477" s="8" t="s">
        <v>33115</v>
      </c>
      <c r="O7477" s="8">
        <f>23+5/60+12/3600</f>
        <v>23.086666666666666</v>
      </c>
      <c r="P7477" s="8" t="s">
        <v>33116</v>
      </c>
      <c r="Q7477" s="8">
        <f>-(43+5/60+53/3600)</f>
        <v>-43.098055555555561</v>
      </c>
      <c r="R7477" s="8">
        <v>12.8</v>
      </c>
      <c r="S7477" s="8">
        <v>13.6</v>
      </c>
      <c r="T7477" s="8">
        <v>0.8</v>
      </c>
      <c r="U7477" s="8">
        <v>13</v>
      </c>
      <c r="V7477" s="8">
        <v>1.4</v>
      </c>
      <c r="W7477" s="8">
        <v>1</v>
      </c>
      <c r="X7477" s="8">
        <v>175</v>
      </c>
      <c r="Y7477" s="8" t="s">
        <v>33117</v>
      </c>
      <c r="Z7477" s="8" t="s">
        <v>33118</v>
      </c>
    </row>
    <row r="7478" spans="1:26" x14ac:dyDescent="0.2">
      <c r="A7478" s="8">
        <v>7477</v>
      </c>
      <c r="B7478" s="8" t="s">
        <v>33119</v>
      </c>
      <c r="C7478" s="8" t="s">
        <v>33119</v>
      </c>
      <c r="F7478" s="47"/>
      <c r="G7478" s="8">
        <v>18</v>
      </c>
      <c r="H7478" s="8" t="s">
        <v>21</v>
      </c>
      <c r="I7478" s="8" t="s">
        <v>22</v>
      </c>
      <c r="J7478" s="8" t="s">
        <v>22</v>
      </c>
      <c r="K7478" s="8" t="s">
        <v>449</v>
      </c>
      <c r="L7478" s="8" t="s">
        <v>38</v>
      </c>
      <c r="M7478" s="8" t="s">
        <v>39</v>
      </c>
      <c r="N7478" s="8" t="s">
        <v>33120</v>
      </c>
      <c r="O7478" s="8">
        <f>23+4/60+40.7/3600</f>
        <v>23.077972222222222</v>
      </c>
      <c r="P7478" s="8" t="s">
        <v>33121</v>
      </c>
      <c r="Q7478" s="8">
        <f>+(3+7/60+6/3600)</f>
        <v>3.1183333333333332</v>
      </c>
      <c r="R7478" s="8">
        <v>15.7</v>
      </c>
      <c r="S7478" s="8">
        <v>16.5</v>
      </c>
      <c r="T7478" s="8">
        <v>0.8</v>
      </c>
      <c r="U7478" s="8">
        <v>12.5</v>
      </c>
      <c r="V7478" s="8">
        <v>0.3</v>
      </c>
      <c r="W7478" s="8">
        <v>0.2</v>
      </c>
      <c r="X7478" s="8">
        <v>15</v>
      </c>
      <c r="Y7478" s="8" t="s">
        <v>33122</v>
      </c>
      <c r="Z7478" s="8" t="s">
        <v>33123</v>
      </c>
    </row>
    <row r="7479" spans="1:26" x14ac:dyDescent="0.2">
      <c r="A7479" s="8">
        <v>7478</v>
      </c>
      <c r="B7479" s="8" t="s">
        <v>33124</v>
      </c>
      <c r="C7479" s="8" t="s">
        <v>33124</v>
      </c>
      <c r="F7479" s="47"/>
      <c r="G7479" s="8">
        <v>18</v>
      </c>
      <c r="H7479" s="8" t="s">
        <v>21</v>
      </c>
      <c r="I7479" s="8" t="s">
        <v>22</v>
      </c>
      <c r="J7479" s="8" t="s">
        <v>22</v>
      </c>
      <c r="K7479" s="8" t="s">
        <v>91</v>
      </c>
      <c r="L7479" s="8" t="s">
        <v>38</v>
      </c>
      <c r="M7479" s="8" t="s">
        <v>39</v>
      </c>
      <c r="N7479" s="8" t="s">
        <v>33125</v>
      </c>
      <c r="O7479" s="8">
        <f>23+4/60+56.5/3600</f>
        <v>23.082361111111112</v>
      </c>
      <c r="P7479" s="8" t="s">
        <v>33126</v>
      </c>
      <c r="Q7479" s="8">
        <f>+(2+34/60+39/3600)</f>
        <v>2.5774999999999997</v>
      </c>
      <c r="R7479" s="8">
        <v>15.4</v>
      </c>
      <c r="S7479" s="8">
        <v>16.3</v>
      </c>
      <c r="T7479" s="8">
        <v>0.9</v>
      </c>
      <c r="U7479" s="8">
        <v>13.3</v>
      </c>
      <c r="V7479" s="8">
        <v>0.4</v>
      </c>
      <c r="W7479" s="8">
        <v>0.3</v>
      </c>
      <c r="X7479" s="8">
        <v>0</v>
      </c>
      <c r="Y7479" s="8" t="s">
        <v>32430</v>
      </c>
      <c r="Z7479" s="8" t="s">
        <v>32431</v>
      </c>
    </row>
    <row r="7480" spans="1:26" x14ac:dyDescent="0.2">
      <c r="A7480" s="8">
        <v>7479</v>
      </c>
      <c r="B7480" s="8" t="s">
        <v>33127</v>
      </c>
      <c r="C7480" s="8" t="s">
        <v>33127</v>
      </c>
      <c r="F7480" s="47" t="s">
        <v>58366</v>
      </c>
      <c r="G7480" s="8">
        <v>2</v>
      </c>
      <c r="H7480" s="8" t="s">
        <v>33128</v>
      </c>
      <c r="I7480" s="8" t="s">
        <v>22</v>
      </c>
      <c r="J7480" s="8" t="s">
        <v>22</v>
      </c>
      <c r="K7480" s="8" t="s">
        <v>64</v>
      </c>
      <c r="L7480" s="8" t="s">
        <v>24</v>
      </c>
      <c r="M7480" s="8" t="s">
        <v>25</v>
      </c>
      <c r="N7480" s="8" t="s">
        <v>33129</v>
      </c>
      <c r="O7480" s="8">
        <f>23+4/60+56.7/3600</f>
        <v>23.082416666666667</v>
      </c>
      <c r="P7480" s="8" t="s">
        <v>33130</v>
      </c>
      <c r="Q7480" s="8">
        <f>+(12+19/60+20/3600)</f>
        <v>12.322222222222223</v>
      </c>
      <c r="R7480" s="8">
        <v>10.9</v>
      </c>
      <c r="S7480" s="8">
        <v>11.6</v>
      </c>
      <c r="T7480" s="8">
        <v>0.7</v>
      </c>
      <c r="U7480" s="8">
        <v>13.5</v>
      </c>
      <c r="V7480" s="8">
        <v>4</v>
      </c>
      <c r="W7480" s="8">
        <v>3.1</v>
      </c>
      <c r="X7480" s="8">
        <v>25</v>
      </c>
      <c r="Y7480" s="8" t="s">
        <v>33131</v>
      </c>
      <c r="Z7480" s="8" t="s">
        <v>33132</v>
      </c>
    </row>
    <row r="7481" spans="1:26" x14ac:dyDescent="0.2">
      <c r="A7481" s="8">
        <v>7480</v>
      </c>
      <c r="B7481" s="8" t="s">
        <v>33133</v>
      </c>
      <c r="C7481" s="8" t="s">
        <v>33133</v>
      </c>
      <c r="F7481" s="47"/>
      <c r="G7481" s="8">
        <v>18</v>
      </c>
      <c r="H7481" s="8" t="s">
        <v>21</v>
      </c>
      <c r="I7481" s="8" t="s">
        <v>22</v>
      </c>
      <c r="J7481" s="8" t="s">
        <v>22</v>
      </c>
      <c r="K7481" s="8" t="s">
        <v>632</v>
      </c>
      <c r="L7481" s="8" t="s">
        <v>38</v>
      </c>
      <c r="M7481" s="8" t="s">
        <v>39</v>
      </c>
      <c r="N7481" s="8" t="s">
        <v>33134</v>
      </c>
      <c r="O7481" s="8">
        <f>23+5/60+13.5/3600</f>
        <v>23.087083333333332</v>
      </c>
      <c r="P7481" s="8" t="s">
        <v>33135</v>
      </c>
      <c r="Q7481" s="8">
        <f>+(2+32/60+58/3600)</f>
        <v>2.5494444444444442</v>
      </c>
      <c r="R7481" s="8">
        <v>14</v>
      </c>
      <c r="S7481" s="8">
        <v>14.9</v>
      </c>
      <c r="T7481" s="8">
        <v>0.9</v>
      </c>
      <c r="U7481" s="8">
        <v>12.9</v>
      </c>
      <c r="V7481" s="8">
        <v>1.3</v>
      </c>
      <c r="W7481" s="8">
        <v>0.3</v>
      </c>
      <c r="X7481" s="8">
        <v>105</v>
      </c>
      <c r="Y7481" s="8" t="s">
        <v>33136</v>
      </c>
      <c r="Z7481" s="8" t="s">
        <v>33137</v>
      </c>
    </row>
    <row r="7482" spans="1:26" x14ac:dyDescent="0.2">
      <c r="A7482" s="8">
        <v>7481</v>
      </c>
      <c r="B7482" s="8" t="s">
        <v>33138</v>
      </c>
      <c r="C7482" s="8" t="s">
        <v>33138</v>
      </c>
      <c r="F7482" s="47"/>
      <c r="G7482" s="8">
        <v>19</v>
      </c>
      <c r="H7482" s="8" t="s">
        <v>21</v>
      </c>
      <c r="I7482" s="8" t="s">
        <v>329</v>
      </c>
      <c r="J7482" s="8" t="s">
        <v>329</v>
      </c>
      <c r="K7482" s="8" t="s">
        <v>329</v>
      </c>
      <c r="L7482" s="8" t="s">
        <v>30854</v>
      </c>
      <c r="M7482" s="8" t="s">
        <v>30855</v>
      </c>
      <c r="N7482" s="8" t="s">
        <v>33139</v>
      </c>
      <c r="O7482" s="8">
        <f>23+5/60+51/3600</f>
        <v>23.0975</v>
      </c>
      <c r="P7482" s="8" t="s">
        <v>33140</v>
      </c>
      <c r="Q7482" s="8">
        <f>-(19+56/60+24/3600)</f>
        <v>-19.940000000000001</v>
      </c>
      <c r="R7482" s="8">
        <v>99</v>
      </c>
      <c r="S7482" s="8">
        <v>99</v>
      </c>
      <c r="T7482" s="8">
        <v>99</v>
      </c>
      <c r="U7482" s="8">
        <v>99</v>
      </c>
      <c r="Y7482" s="8" t="s">
        <v>1858</v>
      </c>
      <c r="Z7482" s="8" t="s">
        <v>1859</v>
      </c>
    </row>
    <row r="7483" spans="1:26" x14ac:dyDescent="0.2">
      <c r="A7483" s="8">
        <v>7482</v>
      </c>
      <c r="B7483" s="8" t="s">
        <v>33141</v>
      </c>
      <c r="C7483" s="8" t="s">
        <v>33141</v>
      </c>
      <c r="F7483" s="47"/>
      <c r="G7483" s="8">
        <v>18</v>
      </c>
      <c r="H7483" s="8" t="s">
        <v>21</v>
      </c>
      <c r="I7483" s="8" t="s">
        <v>22</v>
      </c>
      <c r="J7483" s="8" t="s">
        <v>22</v>
      </c>
      <c r="K7483" s="8" t="s">
        <v>382</v>
      </c>
      <c r="L7483" s="8" t="s">
        <v>38</v>
      </c>
      <c r="M7483" s="8" t="s">
        <v>39</v>
      </c>
      <c r="N7483" s="8" t="s">
        <v>33101</v>
      </c>
      <c r="O7483" s="8">
        <f>23+5/60+38.6/3600</f>
        <v>23.094055555555553</v>
      </c>
      <c r="P7483" s="8" t="s">
        <v>33102</v>
      </c>
      <c r="Q7483" s="8">
        <f>+(3+3/60+32/3600)</f>
        <v>3.0588888888888888</v>
      </c>
      <c r="R7483" s="8">
        <v>13.6</v>
      </c>
      <c r="S7483" s="8">
        <v>14.6</v>
      </c>
      <c r="T7483" s="8">
        <v>1</v>
      </c>
      <c r="U7483" s="8">
        <v>12.5</v>
      </c>
      <c r="V7483" s="8">
        <v>0.6</v>
      </c>
      <c r="W7483" s="8">
        <v>0.4</v>
      </c>
      <c r="X7483" s="8">
        <v>41</v>
      </c>
      <c r="Y7483" s="8" t="s">
        <v>33103</v>
      </c>
      <c r="Z7483" s="8" t="s">
        <v>2209</v>
      </c>
    </row>
    <row r="7484" spans="1:26" x14ac:dyDescent="0.2">
      <c r="A7484" s="8">
        <v>7483</v>
      </c>
      <c r="B7484" s="8" t="s">
        <v>33142</v>
      </c>
      <c r="C7484" s="8" t="s">
        <v>33142</v>
      </c>
      <c r="F7484" s="47"/>
      <c r="G7484" s="8">
        <v>16</v>
      </c>
      <c r="H7484" s="8" t="s">
        <v>21</v>
      </c>
      <c r="I7484" s="8" t="s">
        <v>22</v>
      </c>
      <c r="J7484" s="8" t="s">
        <v>22</v>
      </c>
      <c r="K7484" s="8" t="s">
        <v>154</v>
      </c>
      <c r="L7484" s="8" t="s">
        <v>38</v>
      </c>
      <c r="M7484" s="8" t="s">
        <v>39</v>
      </c>
      <c r="N7484" s="8" t="s">
        <v>33143</v>
      </c>
      <c r="O7484" s="8">
        <f>23+5/60+48.2/3600</f>
        <v>23.096722222222223</v>
      </c>
      <c r="P7484" s="8" t="s">
        <v>33144</v>
      </c>
      <c r="Q7484" s="8">
        <f>+(3+32/60+43/3600)</f>
        <v>3.5452777777777778</v>
      </c>
      <c r="R7484" s="8">
        <v>13</v>
      </c>
      <c r="S7484" s="8">
        <v>13.9</v>
      </c>
      <c r="T7484" s="8">
        <v>0.9</v>
      </c>
      <c r="U7484" s="8">
        <v>13.5</v>
      </c>
      <c r="V7484" s="8">
        <v>1.6</v>
      </c>
      <c r="W7484" s="8">
        <v>1.1000000000000001</v>
      </c>
      <c r="X7484" s="8">
        <v>110</v>
      </c>
      <c r="Y7484" s="8" t="s">
        <v>33145</v>
      </c>
      <c r="Z7484" s="8" t="s">
        <v>33146</v>
      </c>
    </row>
    <row r="7485" spans="1:26" x14ac:dyDescent="0.2">
      <c r="A7485" s="8">
        <v>7484</v>
      </c>
      <c r="B7485" s="8" t="s">
        <v>33147</v>
      </c>
      <c r="C7485" s="8" t="s">
        <v>33147</v>
      </c>
      <c r="F7485" s="47"/>
      <c r="G7485" s="8">
        <v>16</v>
      </c>
      <c r="H7485" s="8" t="s">
        <v>21</v>
      </c>
      <c r="I7485" s="8" t="s">
        <v>22</v>
      </c>
      <c r="J7485" s="8" t="s">
        <v>22</v>
      </c>
      <c r="K7485" s="8" t="s">
        <v>183</v>
      </c>
      <c r="L7485" s="8" t="s">
        <v>65</v>
      </c>
      <c r="M7485" s="8" t="s">
        <v>66</v>
      </c>
      <c r="N7485" s="8" t="s">
        <v>33148</v>
      </c>
      <c r="O7485" s="8">
        <f>23+7/60+4.9/3600</f>
        <v>23.11802777777778</v>
      </c>
      <c r="P7485" s="8" t="s">
        <v>33149</v>
      </c>
      <c r="Q7485" s="8">
        <f>-(36+16/60+22/3600)</f>
        <v>-36.272777777777776</v>
      </c>
      <c r="R7485" s="8">
        <v>11.8</v>
      </c>
      <c r="S7485" s="8">
        <v>12.8</v>
      </c>
      <c r="T7485" s="8">
        <v>1</v>
      </c>
      <c r="U7485" s="8">
        <v>13</v>
      </c>
      <c r="V7485" s="8">
        <v>1.8</v>
      </c>
      <c r="W7485" s="8">
        <v>1.7</v>
      </c>
      <c r="X7485" s="8">
        <v>56</v>
      </c>
      <c r="Y7485" s="8" t="s">
        <v>33150</v>
      </c>
      <c r="Z7485" s="8" t="s">
        <v>33151</v>
      </c>
    </row>
    <row r="7486" spans="1:26" x14ac:dyDescent="0.2">
      <c r="A7486" s="8">
        <v>7485</v>
      </c>
      <c r="B7486" s="8" t="s">
        <v>33152</v>
      </c>
      <c r="C7486" s="8" t="s">
        <v>33152</v>
      </c>
      <c r="F7486" s="47"/>
      <c r="G7486" s="8">
        <v>16</v>
      </c>
      <c r="H7486" s="8" t="s">
        <v>21</v>
      </c>
      <c r="I7486" s="8" t="s">
        <v>22</v>
      </c>
      <c r="J7486" s="8" t="s">
        <v>22</v>
      </c>
      <c r="K7486" s="8" t="s">
        <v>37</v>
      </c>
      <c r="L7486" s="8" t="s">
        <v>24</v>
      </c>
      <c r="M7486" s="8" t="s">
        <v>25</v>
      </c>
      <c r="N7486" s="8" t="s">
        <v>33153</v>
      </c>
      <c r="O7486" s="8">
        <f>23+6/60+4.8/3600</f>
        <v>23.101333333333336</v>
      </c>
      <c r="P7486" s="8" t="s">
        <v>33154</v>
      </c>
      <c r="Q7486" s="8">
        <f>+(34+6/60+29/3600)</f>
        <v>34.108055555555559</v>
      </c>
      <c r="R7486" s="8">
        <v>13.1</v>
      </c>
      <c r="S7486" s="8">
        <v>14.1</v>
      </c>
      <c r="T7486" s="8">
        <v>1</v>
      </c>
      <c r="U7486" s="8">
        <v>12.7</v>
      </c>
      <c r="V7486" s="8">
        <v>1.2</v>
      </c>
      <c r="W7486" s="8">
        <v>0.6</v>
      </c>
      <c r="X7486" s="8">
        <v>146</v>
      </c>
      <c r="Y7486" s="8" t="s">
        <v>33155</v>
      </c>
      <c r="Z7486" s="8" t="s">
        <v>33156</v>
      </c>
    </row>
    <row r="7487" spans="1:26" x14ac:dyDescent="0.2">
      <c r="A7487" s="8">
        <v>7486</v>
      </c>
      <c r="B7487" s="8" t="s">
        <v>33157</v>
      </c>
      <c r="C7487" s="8" t="s">
        <v>33157</v>
      </c>
      <c r="F7487" s="47"/>
      <c r="G7487" s="8">
        <v>18</v>
      </c>
      <c r="H7487" s="8" t="s">
        <v>21</v>
      </c>
      <c r="I7487" s="8" t="s">
        <v>72</v>
      </c>
      <c r="J7487" s="8" t="s">
        <v>72</v>
      </c>
      <c r="K7487" s="8" t="s">
        <v>73</v>
      </c>
      <c r="L7487" s="8" t="s">
        <v>24</v>
      </c>
      <c r="M7487" s="8" t="s">
        <v>25</v>
      </c>
      <c r="N7487" s="8" t="s">
        <v>33158</v>
      </c>
      <c r="O7487" s="8">
        <f>23+6/60+13.4/3600</f>
        <v>23.103722222222224</v>
      </c>
      <c r="P7487" s="8" t="s">
        <v>33159</v>
      </c>
      <c r="Q7487" s="8">
        <f>+(34+6/60+8/3600)</f>
        <v>34.102222222222224</v>
      </c>
      <c r="R7487" s="8">
        <v>99</v>
      </c>
      <c r="S7487" s="8">
        <v>99</v>
      </c>
      <c r="T7487" s="8">
        <v>99</v>
      </c>
      <c r="U7487" s="8">
        <v>99</v>
      </c>
      <c r="Y7487" s="8" t="s">
        <v>33160</v>
      </c>
      <c r="Z7487" s="8" t="s">
        <v>33161</v>
      </c>
    </row>
    <row r="7488" spans="1:26" x14ac:dyDescent="0.2">
      <c r="A7488" s="8">
        <v>7487</v>
      </c>
      <c r="B7488" s="8" t="s">
        <v>33162</v>
      </c>
      <c r="C7488" s="8" t="s">
        <v>33162</v>
      </c>
      <c r="F7488" s="47"/>
      <c r="G7488" s="8">
        <v>19</v>
      </c>
      <c r="H7488" s="8" t="s">
        <v>21</v>
      </c>
      <c r="I7488" s="8" t="s">
        <v>22</v>
      </c>
      <c r="J7488" s="8" t="s">
        <v>57</v>
      </c>
      <c r="K7488" s="8" t="s">
        <v>58</v>
      </c>
      <c r="L7488" s="8" t="s">
        <v>24</v>
      </c>
      <c r="M7488" s="8" t="s">
        <v>25</v>
      </c>
      <c r="N7488" s="8" t="s">
        <v>32007</v>
      </c>
      <c r="O7488" s="8">
        <f>23+6/60+50.5/3600</f>
        <v>23.114027777777778</v>
      </c>
      <c r="P7488" s="8" t="s">
        <v>32008</v>
      </c>
      <c r="Q7488" s="8">
        <f>+(28+10/60+46/3600)</f>
        <v>28.179444444444446</v>
      </c>
      <c r="R7488" s="8">
        <v>13.5</v>
      </c>
      <c r="S7488" s="8">
        <v>14.5</v>
      </c>
      <c r="T7488" s="8">
        <v>1</v>
      </c>
      <c r="U7488" s="8">
        <v>14.8</v>
      </c>
      <c r="V7488" s="8">
        <v>2</v>
      </c>
      <c r="W7488" s="8">
        <v>1.8</v>
      </c>
      <c r="X7488" s="8">
        <v>141</v>
      </c>
      <c r="Y7488" s="8" t="s">
        <v>170</v>
      </c>
      <c r="Z7488" s="8" t="s">
        <v>171</v>
      </c>
    </row>
    <row r="7489" spans="1:26" x14ac:dyDescent="0.2">
      <c r="A7489" s="8">
        <v>7488</v>
      </c>
      <c r="B7489" s="8" t="s">
        <v>33163</v>
      </c>
      <c r="C7489" s="8" t="s">
        <v>33163</v>
      </c>
      <c r="F7489" s="47"/>
      <c r="G7489" s="8">
        <v>18</v>
      </c>
      <c r="H7489" s="8" t="s">
        <v>21</v>
      </c>
      <c r="I7489" s="8" t="s">
        <v>22</v>
      </c>
      <c r="J7489" s="8" t="s">
        <v>22</v>
      </c>
      <c r="K7489" s="8" t="s">
        <v>58</v>
      </c>
      <c r="L7489" s="8" t="s">
        <v>38</v>
      </c>
      <c r="M7489" s="8" t="s">
        <v>39</v>
      </c>
      <c r="N7489" s="8" t="s">
        <v>33164</v>
      </c>
      <c r="O7489" s="8">
        <f>23+7/60+48.9/3600</f>
        <v>23.13025</v>
      </c>
      <c r="P7489" s="8" t="s">
        <v>33165</v>
      </c>
      <c r="Q7489" s="8">
        <f>+(0+56/60+28/3600)</f>
        <v>0.94111111111111112</v>
      </c>
      <c r="R7489" s="8">
        <v>13.8</v>
      </c>
      <c r="S7489" s="8">
        <v>14.8</v>
      </c>
      <c r="T7489" s="8">
        <v>1</v>
      </c>
      <c r="U7489" s="8">
        <v>12.6</v>
      </c>
      <c r="V7489" s="8">
        <v>0.6</v>
      </c>
      <c r="W7489" s="8">
        <v>0.5</v>
      </c>
      <c r="X7489" s="8">
        <v>24</v>
      </c>
      <c r="Y7489" s="8" t="s">
        <v>1948</v>
      </c>
      <c r="Z7489" s="8" t="s">
        <v>1949</v>
      </c>
    </row>
    <row r="7490" spans="1:26" x14ac:dyDescent="0.2">
      <c r="A7490" s="8">
        <v>7489</v>
      </c>
      <c r="B7490" s="8" t="s">
        <v>33166</v>
      </c>
      <c r="C7490" s="8" t="s">
        <v>33166</v>
      </c>
      <c r="F7490" s="47"/>
      <c r="G7490" s="8">
        <v>18</v>
      </c>
      <c r="H7490" s="8" t="s">
        <v>21</v>
      </c>
      <c r="I7490" s="8" t="s">
        <v>22</v>
      </c>
      <c r="J7490" s="8" t="s">
        <v>22</v>
      </c>
      <c r="K7490" s="8" t="s">
        <v>579</v>
      </c>
      <c r="L7490" s="8" t="s">
        <v>24</v>
      </c>
      <c r="M7490" s="8" t="s">
        <v>25</v>
      </c>
      <c r="N7490" s="8" t="s">
        <v>33167</v>
      </c>
      <c r="O7490" s="8">
        <f>23+7/60+32.5/3600</f>
        <v>23.125694444444445</v>
      </c>
      <c r="P7490" s="8" t="s">
        <v>33168</v>
      </c>
      <c r="Q7490" s="8">
        <f>+(22+59/60+52/3600)</f>
        <v>22.997777777777777</v>
      </c>
      <c r="R7490" s="8">
        <v>13.4</v>
      </c>
      <c r="S7490" s="8">
        <v>14.1</v>
      </c>
      <c r="T7490" s="8">
        <v>0.7</v>
      </c>
      <c r="U7490" s="8">
        <v>14.2</v>
      </c>
      <c r="V7490" s="8">
        <v>2.1</v>
      </c>
      <c r="W7490" s="8">
        <v>1.1000000000000001</v>
      </c>
      <c r="X7490" s="8">
        <v>170</v>
      </c>
      <c r="Y7490" s="8" t="s">
        <v>895</v>
      </c>
      <c r="Z7490" s="8" t="s">
        <v>896</v>
      </c>
    </row>
    <row r="7491" spans="1:26" x14ac:dyDescent="0.2">
      <c r="A7491" s="8">
        <v>7490</v>
      </c>
      <c r="B7491" s="8" t="s">
        <v>33169</v>
      </c>
      <c r="C7491" s="8" t="s">
        <v>33169</v>
      </c>
      <c r="F7491" s="47"/>
      <c r="G7491" s="8">
        <v>19</v>
      </c>
      <c r="H7491" s="8" t="s">
        <v>21</v>
      </c>
      <c r="I7491" s="8" t="s">
        <v>22</v>
      </c>
      <c r="J7491" s="8" t="s">
        <v>22</v>
      </c>
      <c r="K7491" s="8" t="s">
        <v>396</v>
      </c>
      <c r="L7491" s="8" t="s">
        <v>24</v>
      </c>
      <c r="M7491" s="8" t="s">
        <v>25</v>
      </c>
      <c r="N7491" s="8" t="s">
        <v>33170</v>
      </c>
      <c r="O7491" s="8">
        <f>23+7/60+25.1/3600</f>
        <v>23.123638888888891</v>
      </c>
      <c r="P7491" s="8" t="s">
        <v>33171</v>
      </c>
      <c r="Q7491" s="8">
        <f>+(32+22/60+32/3600)</f>
        <v>32.375555555555557</v>
      </c>
      <c r="R7491" s="8">
        <v>12.3</v>
      </c>
      <c r="S7491" s="8">
        <v>13.1</v>
      </c>
      <c r="T7491" s="8">
        <v>0.8</v>
      </c>
      <c r="U7491" s="8">
        <v>14.3</v>
      </c>
      <c r="V7491" s="8">
        <v>2.7</v>
      </c>
      <c r="W7491" s="8">
        <v>2.6</v>
      </c>
      <c r="X7491" s="8">
        <v>60</v>
      </c>
      <c r="Y7491" s="8" t="s">
        <v>33172</v>
      </c>
      <c r="Z7491" s="8" t="s">
        <v>33173</v>
      </c>
    </row>
    <row r="7492" spans="1:26" x14ac:dyDescent="0.2">
      <c r="A7492" s="8">
        <v>7491</v>
      </c>
      <c r="B7492" s="8" t="s">
        <v>33174</v>
      </c>
      <c r="C7492" s="8" t="s">
        <v>33174</v>
      </c>
      <c r="F7492" s="47"/>
      <c r="G7492" s="8">
        <v>19</v>
      </c>
      <c r="H7492" s="8" t="s">
        <v>21</v>
      </c>
      <c r="I7492" s="8" t="s">
        <v>22</v>
      </c>
      <c r="J7492" s="8" t="s">
        <v>22</v>
      </c>
      <c r="K7492" s="8" t="s">
        <v>396</v>
      </c>
      <c r="L7492" s="8" t="s">
        <v>30854</v>
      </c>
      <c r="M7492" s="8" t="s">
        <v>30855</v>
      </c>
      <c r="N7492" s="8" t="s">
        <v>33175</v>
      </c>
      <c r="O7492" s="8">
        <f>23+8/60+6/3600</f>
        <v>23.134999999999998</v>
      </c>
      <c r="P7492" s="8" t="s">
        <v>33176</v>
      </c>
      <c r="Q7492" s="8">
        <f>-(5+57/60+59/3600)</f>
        <v>-5.966388888888889</v>
      </c>
      <c r="R7492" s="8">
        <v>13.8</v>
      </c>
      <c r="S7492" s="8">
        <v>14.6</v>
      </c>
      <c r="T7492" s="8">
        <v>0.8</v>
      </c>
      <c r="U7492" s="8">
        <v>13.3</v>
      </c>
      <c r="V7492" s="8">
        <v>1</v>
      </c>
      <c r="W7492" s="8">
        <v>0.7</v>
      </c>
      <c r="X7492" s="8">
        <v>172</v>
      </c>
      <c r="Y7492" s="8" t="s">
        <v>576</v>
      </c>
      <c r="Z7492" s="8" t="s">
        <v>577</v>
      </c>
    </row>
    <row r="7493" spans="1:26" x14ac:dyDescent="0.2">
      <c r="A7493" s="8">
        <v>7492</v>
      </c>
      <c r="B7493" s="8" t="s">
        <v>33177</v>
      </c>
      <c r="C7493" s="8" t="s">
        <v>33177</v>
      </c>
      <c r="F7493" s="47" t="s">
        <v>58367</v>
      </c>
      <c r="G7493" s="8">
        <v>13</v>
      </c>
      <c r="H7493" s="8" t="s">
        <v>21</v>
      </c>
      <c r="I7493" s="8" t="s">
        <v>567</v>
      </c>
      <c r="J7493" s="8" t="s">
        <v>567</v>
      </c>
      <c r="K7493" s="8" t="s">
        <v>19801</v>
      </c>
      <c r="L7493" s="8" t="s">
        <v>30854</v>
      </c>
      <c r="M7493" s="8" t="s">
        <v>30855</v>
      </c>
      <c r="N7493" s="8" t="s">
        <v>33178</v>
      </c>
      <c r="O7493" s="8">
        <f>23+8/60+26.7/3600</f>
        <v>23.140750000000001</v>
      </c>
      <c r="P7493" s="8" t="s">
        <v>33179</v>
      </c>
      <c r="Q7493" s="8">
        <f>-(15+36/60+39/3600)</f>
        <v>-15.610833333333334</v>
      </c>
      <c r="R7493" s="8">
        <v>11.2</v>
      </c>
      <c r="S7493" s="8">
        <v>99</v>
      </c>
      <c r="T7493" s="8">
        <v>99</v>
      </c>
      <c r="U7493" s="8">
        <v>99</v>
      </c>
      <c r="V7493" s="8">
        <v>4.2</v>
      </c>
      <c r="Y7493" s="8" t="s">
        <v>33180</v>
      </c>
      <c r="Z7493" s="8" t="s">
        <v>33181</v>
      </c>
    </row>
    <row r="7494" spans="1:26" x14ac:dyDescent="0.2">
      <c r="A7494" s="8">
        <v>7493</v>
      </c>
      <c r="B7494" s="8" t="s">
        <v>33182</v>
      </c>
      <c r="C7494" s="8" t="s">
        <v>33182</v>
      </c>
      <c r="F7494" s="47"/>
      <c r="G7494" s="8">
        <v>19</v>
      </c>
      <c r="H7494" s="8" t="s">
        <v>21</v>
      </c>
      <c r="I7494" s="8" t="s">
        <v>72</v>
      </c>
      <c r="J7494" s="8" t="s">
        <v>72</v>
      </c>
      <c r="K7494" s="8" t="s">
        <v>20</v>
      </c>
      <c r="L7494" s="8" t="s">
        <v>38</v>
      </c>
      <c r="M7494" s="8" t="s">
        <v>39</v>
      </c>
      <c r="N7494" s="8" t="s">
        <v>33183</v>
      </c>
      <c r="O7494" s="8">
        <f>23+8/60+31.6/3600</f>
        <v>23.14211111111111</v>
      </c>
      <c r="P7494" s="8" t="s">
        <v>33184</v>
      </c>
      <c r="Q7494" s="8">
        <f>+(0+54/60+36/3600)</f>
        <v>0.91</v>
      </c>
      <c r="R7494" s="8">
        <v>99</v>
      </c>
      <c r="S7494" s="8">
        <v>14.9</v>
      </c>
      <c r="T7494" s="8">
        <v>99</v>
      </c>
      <c r="U7494" s="8">
        <v>99</v>
      </c>
      <c r="Y7494" s="8" t="s">
        <v>3344</v>
      </c>
      <c r="Z7494" s="8" t="s">
        <v>3345</v>
      </c>
    </row>
    <row r="7495" spans="1:26" x14ac:dyDescent="0.2">
      <c r="A7495" s="8">
        <v>7494</v>
      </c>
      <c r="B7495" s="8" t="s">
        <v>33185</v>
      </c>
      <c r="C7495" s="8" t="s">
        <v>33185</v>
      </c>
      <c r="F7495" s="47"/>
      <c r="G7495" s="8">
        <v>18</v>
      </c>
      <c r="H7495" s="8" t="s">
        <v>21</v>
      </c>
      <c r="I7495" s="8" t="s">
        <v>22</v>
      </c>
      <c r="J7495" s="8" t="s">
        <v>22</v>
      </c>
      <c r="K7495" s="8" t="s">
        <v>183</v>
      </c>
      <c r="L7495" s="8" t="s">
        <v>30854</v>
      </c>
      <c r="M7495" s="8" t="s">
        <v>30855</v>
      </c>
      <c r="N7495" s="8" t="s">
        <v>33186</v>
      </c>
      <c r="O7495" s="8">
        <f>23+8/60+58.4/3600</f>
        <v>23.149555555555555</v>
      </c>
      <c r="P7495" s="8" t="s">
        <v>33187</v>
      </c>
      <c r="Q7495" s="8">
        <f>-(24+22/60+9/3600)</f>
        <v>-24.369166666666668</v>
      </c>
      <c r="R7495" s="8">
        <v>14.6</v>
      </c>
      <c r="S7495" s="8">
        <v>15.6</v>
      </c>
      <c r="T7495" s="8">
        <v>1</v>
      </c>
      <c r="U7495" s="8">
        <v>13.4</v>
      </c>
      <c r="V7495" s="8">
        <v>0.8</v>
      </c>
      <c r="W7495" s="8">
        <v>0.7</v>
      </c>
      <c r="X7495" s="8">
        <v>81</v>
      </c>
      <c r="Y7495" s="8" t="s">
        <v>2287</v>
      </c>
      <c r="Z7495" s="8" t="s">
        <v>2288</v>
      </c>
    </row>
    <row r="7496" spans="1:26" x14ac:dyDescent="0.2">
      <c r="A7496" s="8">
        <v>7495</v>
      </c>
      <c r="B7496" s="8" t="s">
        <v>33188</v>
      </c>
      <c r="C7496" s="8" t="s">
        <v>33188</v>
      </c>
      <c r="F7496" s="47"/>
      <c r="G7496" s="8">
        <v>19</v>
      </c>
      <c r="H7496" s="8" t="s">
        <v>21</v>
      </c>
      <c r="I7496" s="8" t="s">
        <v>22</v>
      </c>
      <c r="J7496" s="8" t="s">
        <v>22</v>
      </c>
      <c r="K7496" s="8" t="s">
        <v>160</v>
      </c>
      <c r="L7496" s="8" t="s">
        <v>24</v>
      </c>
      <c r="M7496" s="8" t="s">
        <v>25</v>
      </c>
      <c r="N7496" s="8" t="s">
        <v>33189</v>
      </c>
      <c r="O7496" s="8">
        <f>23+8/60+57.4/3600</f>
        <v>23.149277777777776</v>
      </c>
      <c r="P7496" s="8" t="s">
        <v>33190</v>
      </c>
      <c r="Q7496" s="8">
        <f>+(12+2/60+53/3600)</f>
        <v>12.048055555555555</v>
      </c>
      <c r="R7496" s="8">
        <v>13.1</v>
      </c>
      <c r="S7496" s="8">
        <v>13.7</v>
      </c>
      <c r="T7496" s="8">
        <v>0.6</v>
      </c>
      <c r="U7496" s="8">
        <v>14.1</v>
      </c>
      <c r="V7496" s="8">
        <v>1.8</v>
      </c>
      <c r="W7496" s="8">
        <v>1.6</v>
      </c>
      <c r="X7496" s="8">
        <v>5</v>
      </c>
      <c r="Y7496" s="8" t="s">
        <v>33191</v>
      </c>
      <c r="Z7496" s="8" t="s">
        <v>33192</v>
      </c>
    </row>
    <row r="7497" spans="1:26" x14ac:dyDescent="0.2">
      <c r="A7497" s="8">
        <v>7496</v>
      </c>
      <c r="B7497" s="8" t="s">
        <v>33193</v>
      </c>
      <c r="C7497" s="8" t="s">
        <v>33193</v>
      </c>
      <c r="F7497" s="47"/>
      <c r="G7497" s="8">
        <v>13</v>
      </c>
      <c r="H7497" s="8" t="s">
        <v>21</v>
      </c>
      <c r="I7497" s="8" t="s">
        <v>22</v>
      </c>
      <c r="J7497" s="8" t="s">
        <v>22</v>
      </c>
      <c r="K7497" s="8" t="s">
        <v>218</v>
      </c>
      <c r="L7497" s="8" t="s">
        <v>31389</v>
      </c>
      <c r="M7497" s="8" t="s">
        <v>31390</v>
      </c>
      <c r="N7497" s="8" t="s">
        <v>33194</v>
      </c>
      <c r="O7497" s="8">
        <f>23+9/60+46.9/3600</f>
        <v>23.163027777777778</v>
      </c>
      <c r="P7497" s="8" t="s">
        <v>33195</v>
      </c>
      <c r="Q7497" s="8">
        <f>-(43+25/60+39/3600)</f>
        <v>-43.427499999999995</v>
      </c>
      <c r="R7497" s="8">
        <v>11.4</v>
      </c>
      <c r="S7497" s="8">
        <v>12.2</v>
      </c>
      <c r="T7497" s="8">
        <v>0.8</v>
      </c>
      <c r="U7497" s="8">
        <v>13.7</v>
      </c>
      <c r="V7497" s="8">
        <v>3.3</v>
      </c>
      <c r="W7497" s="8">
        <v>3.1</v>
      </c>
      <c r="X7497" s="8">
        <v>2</v>
      </c>
      <c r="Y7497" s="8" t="s">
        <v>33196</v>
      </c>
      <c r="Z7497" s="8" t="s">
        <v>33197</v>
      </c>
    </row>
    <row r="7498" spans="1:26" x14ac:dyDescent="0.2">
      <c r="A7498" s="8">
        <v>7497</v>
      </c>
      <c r="B7498" s="8" t="s">
        <v>33198</v>
      </c>
      <c r="C7498" s="8" t="s">
        <v>33198</v>
      </c>
      <c r="F7498" s="47" t="s">
        <v>58368</v>
      </c>
      <c r="G7498" s="8">
        <v>15</v>
      </c>
      <c r="H7498" s="8" t="s">
        <v>21</v>
      </c>
      <c r="I7498" s="8" t="s">
        <v>22</v>
      </c>
      <c r="J7498" s="8" t="s">
        <v>22</v>
      </c>
      <c r="K7498" s="8" t="s">
        <v>64</v>
      </c>
      <c r="L7498" s="8" t="s">
        <v>24</v>
      </c>
      <c r="M7498" s="8" t="s">
        <v>25</v>
      </c>
      <c r="N7498" s="8" t="s">
        <v>33199</v>
      </c>
      <c r="O7498" s="8">
        <f>23+9/60+3.5/3600</f>
        <v>23.150972222222222</v>
      </c>
      <c r="P7498" s="8" t="s">
        <v>33200</v>
      </c>
      <c r="Q7498" s="8">
        <f>+(18+10/60+39/3600)</f>
        <v>18.177500000000002</v>
      </c>
      <c r="R7498" s="8">
        <v>12.2</v>
      </c>
      <c r="S7498" s="8">
        <v>13</v>
      </c>
      <c r="T7498" s="8">
        <v>0.8</v>
      </c>
      <c r="U7498" s="8">
        <v>14</v>
      </c>
      <c r="V7498" s="8">
        <v>4.4000000000000004</v>
      </c>
      <c r="W7498" s="8">
        <v>1.7</v>
      </c>
      <c r="X7498" s="8">
        <v>48</v>
      </c>
      <c r="Y7498" s="8" t="s">
        <v>33201</v>
      </c>
      <c r="Z7498" s="8" t="s">
        <v>33202</v>
      </c>
    </row>
    <row r="7499" spans="1:26" x14ac:dyDescent="0.2">
      <c r="A7499" s="8">
        <v>7498</v>
      </c>
      <c r="B7499" s="8" t="s">
        <v>33203</v>
      </c>
      <c r="C7499" s="8" t="s">
        <v>33203</v>
      </c>
      <c r="F7499" s="47"/>
      <c r="G7499" s="8">
        <v>18</v>
      </c>
      <c r="H7499" s="8" t="s">
        <v>21</v>
      </c>
      <c r="I7499" s="8" t="s">
        <v>22</v>
      </c>
      <c r="J7499" s="8" t="s">
        <v>22</v>
      </c>
      <c r="K7499" s="8" t="s">
        <v>31</v>
      </c>
      <c r="L7499" s="8" t="s">
        <v>30854</v>
      </c>
      <c r="M7499" s="8" t="s">
        <v>30855</v>
      </c>
      <c r="N7499" s="8" t="s">
        <v>33204</v>
      </c>
      <c r="O7499" s="8">
        <f>23+9/60+56/3600</f>
        <v>23.165555555555553</v>
      </c>
      <c r="P7499" s="8" t="s">
        <v>33205</v>
      </c>
      <c r="Q7499" s="8">
        <f>-(24+25/60+28/3600)</f>
        <v>-24.424444444444447</v>
      </c>
      <c r="R7499" s="8">
        <v>14.4</v>
      </c>
      <c r="S7499" s="8">
        <v>15.2</v>
      </c>
      <c r="T7499" s="8">
        <v>0.8</v>
      </c>
      <c r="U7499" s="8">
        <v>13.1</v>
      </c>
      <c r="V7499" s="8">
        <v>0.9</v>
      </c>
      <c r="W7499" s="8">
        <v>0.4</v>
      </c>
      <c r="X7499" s="8">
        <v>177</v>
      </c>
      <c r="Y7499" s="8" t="s">
        <v>1794</v>
      </c>
      <c r="Z7499" s="8" t="s">
        <v>1795</v>
      </c>
    </row>
    <row r="7500" spans="1:26" x14ac:dyDescent="0.2">
      <c r="A7500" s="8">
        <v>7499</v>
      </c>
      <c r="B7500" s="8" t="s">
        <v>33206</v>
      </c>
      <c r="C7500" s="8" t="s">
        <v>33206</v>
      </c>
      <c r="F7500" s="47"/>
      <c r="G7500" s="8">
        <v>18</v>
      </c>
      <c r="H7500" s="8" t="s">
        <v>21</v>
      </c>
      <c r="I7500" s="8" t="s">
        <v>22</v>
      </c>
      <c r="J7500" s="8" t="s">
        <v>22</v>
      </c>
      <c r="K7500" s="8" t="s">
        <v>37</v>
      </c>
      <c r="L7500" s="8" t="s">
        <v>38</v>
      </c>
      <c r="M7500" s="8" t="s">
        <v>39</v>
      </c>
      <c r="N7500" s="8" t="s">
        <v>33207</v>
      </c>
      <c r="O7500" s="8">
        <f>23+10/60+22.3/3600</f>
        <v>23.172861111111111</v>
      </c>
      <c r="P7500" s="8" t="s">
        <v>33208</v>
      </c>
      <c r="Q7500" s="8">
        <f>+(7+34/60+52/3600)</f>
        <v>7.5811111111111105</v>
      </c>
      <c r="R7500" s="8">
        <v>12.8</v>
      </c>
      <c r="S7500" s="8">
        <v>13.9</v>
      </c>
      <c r="T7500" s="8">
        <v>1.1000000000000001</v>
      </c>
      <c r="U7500" s="8">
        <v>12.4</v>
      </c>
      <c r="V7500" s="8">
        <v>1.2</v>
      </c>
      <c r="W7500" s="8">
        <v>0.7</v>
      </c>
      <c r="X7500" s="8">
        <v>10</v>
      </c>
      <c r="Y7500" s="8" t="s">
        <v>1948</v>
      </c>
      <c r="Z7500" s="8" t="s">
        <v>1949</v>
      </c>
    </row>
    <row r="7501" spans="1:26" x14ac:dyDescent="0.2">
      <c r="A7501" s="8">
        <v>7500</v>
      </c>
      <c r="B7501" s="8" t="s">
        <v>33209</v>
      </c>
      <c r="C7501" s="8" t="s">
        <v>33209</v>
      </c>
      <c r="F7501" s="47"/>
      <c r="G7501" s="8">
        <v>19</v>
      </c>
      <c r="H7501" s="8" t="s">
        <v>21</v>
      </c>
      <c r="I7501" s="8" t="s">
        <v>22</v>
      </c>
      <c r="J7501" s="8" t="s">
        <v>22</v>
      </c>
      <c r="K7501" s="8" t="s">
        <v>37</v>
      </c>
      <c r="L7501" s="8" t="s">
        <v>24</v>
      </c>
      <c r="M7501" s="8" t="s">
        <v>25</v>
      </c>
      <c r="N7501" s="8" t="s">
        <v>33210</v>
      </c>
      <c r="O7501" s="8">
        <f>23+10/60+29.7/3600</f>
        <v>23.174916666666668</v>
      </c>
      <c r="P7501" s="8" t="s">
        <v>33211</v>
      </c>
      <c r="Q7501" s="8">
        <f>+(11+0/60+46/3600)</f>
        <v>11.012777777777778</v>
      </c>
      <c r="R7501" s="8">
        <v>13.3</v>
      </c>
      <c r="S7501" s="8">
        <v>14.3</v>
      </c>
      <c r="T7501" s="8">
        <v>1</v>
      </c>
      <c r="U7501" s="8">
        <v>14</v>
      </c>
      <c r="V7501" s="8">
        <v>2.1</v>
      </c>
      <c r="W7501" s="8">
        <v>1.1000000000000001</v>
      </c>
      <c r="X7501" s="8">
        <v>125</v>
      </c>
      <c r="Y7501" s="8" t="s">
        <v>385</v>
      </c>
      <c r="Z7501" s="8" t="s">
        <v>386</v>
      </c>
    </row>
    <row r="7502" spans="1:26" x14ac:dyDescent="0.2">
      <c r="A7502" s="8">
        <v>7501</v>
      </c>
      <c r="B7502" s="8" t="s">
        <v>33212</v>
      </c>
      <c r="C7502" s="8" t="s">
        <v>33212</v>
      </c>
      <c r="F7502" s="47"/>
      <c r="G7502" s="8">
        <v>18</v>
      </c>
      <c r="H7502" s="8" t="s">
        <v>21</v>
      </c>
      <c r="I7502" s="8" t="s">
        <v>22</v>
      </c>
      <c r="J7502" s="8" t="s">
        <v>22</v>
      </c>
      <c r="K7502" s="8" t="s">
        <v>183</v>
      </c>
      <c r="L7502" s="8" t="s">
        <v>38</v>
      </c>
      <c r="M7502" s="8" t="s">
        <v>39</v>
      </c>
      <c r="N7502" s="8" t="s">
        <v>33213</v>
      </c>
      <c r="O7502" s="8">
        <f>23+10/60+30.3/3600</f>
        <v>23.175083333333333</v>
      </c>
      <c r="P7502" s="8" t="s">
        <v>33214</v>
      </c>
      <c r="Q7502" s="8">
        <f>+(7+35/60+22/3600)</f>
        <v>7.5894444444444442</v>
      </c>
      <c r="R7502" s="8">
        <v>13.4</v>
      </c>
      <c r="S7502" s="8">
        <v>14.6</v>
      </c>
      <c r="T7502" s="8">
        <v>1.2</v>
      </c>
      <c r="U7502" s="8">
        <v>13.4</v>
      </c>
      <c r="V7502" s="8">
        <v>0.5</v>
      </c>
      <c r="W7502" s="8">
        <v>0.5</v>
      </c>
      <c r="Y7502" s="8" t="s">
        <v>47</v>
      </c>
      <c r="Z7502" s="8" t="s">
        <v>48</v>
      </c>
    </row>
    <row r="7503" spans="1:26" x14ac:dyDescent="0.2">
      <c r="A7503" s="8">
        <v>7502</v>
      </c>
      <c r="B7503" s="8" t="s">
        <v>33215</v>
      </c>
      <c r="C7503" s="8" t="s">
        <v>33215</v>
      </c>
      <c r="F7503" s="47"/>
      <c r="G7503" s="8">
        <v>19</v>
      </c>
      <c r="H7503" s="8" t="s">
        <v>21</v>
      </c>
      <c r="I7503" s="8" t="s">
        <v>72</v>
      </c>
      <c r="J7503" s="8" t="s">
        <v>72</v>
      </c>
      <c r="K7503" s="8" t="s">
        <v>73</v>
      </c>
      <c r="L7503" s="8" t="s">
        <v>30854</v>
      </c>
      <c r="M7503" s="8" t="s">
        <v>30855</v>
      </c>
      <c r="N7503" s="8" t="s">
        <v>33216</v>
      </c>
      <c r="O7503" s="8">
        <f>23+10/60+19.7/3600</f>
        <v>23.172138888888892</v>
      </c>
      <c r="P7503" s="8" t="s">
        <v>33217</v>
      </c>
      <c r="Q7503" s="8">
        <f>-(21+44/60+11/3600)</f>
        <v>-21.736388888888889</v>
      </c>
      <c r="R7503" s="8">
        <v>99</v>
      </c>
      <c r="S7503" s="8">
        <v>99</v>
      </c>
      <c r="T7503" s="8">
        <v>99</v>
      </c>
      <c r="U7503" s="8">
        <v>99</v>
      </c>
      <c r="Y7503" s="8" t="s">
        <v>33218</v>
      </c>
      <c r="Z7503" s="8" t="s">
        <v>33219</v>
      </c>
    </row>
    <row r="7504" spans="1:26" x14ac:dyDescent="0.2">
      <c r="A7504" s="8">
        <v>7503</v>
      </c>
      <c r="B7504" s="8" t="s">
        <v>33220</v>
      </c>
      <c r="C7504" s="8" t="s">
        <v>33220</v>
      </c>
      <c r="F7504" s="47"/>
      <c r="G7504" s="8">
        <v>18</v>
      </c>
      <c r="H7504" s="8" t="s">
        <v>21</v>
      </c>
      <c r="I7504" s="8" t="s">
        <v>22</v>
      </c>
      <c r="J7504" s="8" t="s">
        <v>22</v>
      </c>
      <c r="K7504" s="8" t="s">
        <v>1136</v>
      </c>
      <c r="L7504" s="8" t="s">
        <v>38</v>
      </c>
      <c r="M7504" s="8" t="s">
        <v>39</v>
      </c>
      <c r="N7504" s="8" t="s">
        <v>33221</v>
      </c>
      <c r="O7504" s="8">
        <f>23+10/60+42.2/3600</f>
        <v>23.17838888888889</v>
      </c>
      <c r="P7504" s="8" t="s">
        <v>33222</v>
      </c>
      <c r="Q7504" s="8">
        <f>+(7+34/60+5/3600)</f>
        <v>7.5680555555555555</v>
      </c>
      <c r="R7504" s="8">
        <v>13.2</v>
      </c>
      <c r="S7504" s="8">
        <v>14.3</v>
      </c>
      <c r="T7504" s="8">
        <v>1.1000000000000001</v>
      </c>
      <c r="U7504" s="8">
        <v>13.4</v>
      </c>
      <c r="V7504" s="8">
        <v>0.8</v>
      </c>
      <c r="W7504" s="8">
        <v>0.8</v>
      </c>
      <c r="Y7504" s="8" t="s">
        <v>12012</v>
      </c>
      <c r="Z7504" s="8" t="s">
        <v>12013</v>
      </c>
    </row>
    <row r="7505" spans="1:26" x14ac:dyDescent="0.2">
      <c r="A7505" s="8">
        <v>7504</v>
      </c>
      <c r="B7505" s="8" t="s">
        <v>33223</v>
      </c>
      <c r="C7505" s="8" t="s">
        <v>33223</v>
      </c>
      <c r="F7505" s="47"/>
      <c r="G7505" s="8">
        <v>18</v>
      </c>
      <c r="H7505" s="8" t="s">
        <v>21</v>
      </c>
      <c r="I7505" s="8" t="s">
        <v>72</v>
      </c>
      <c r="J7505" s="8" t="s">
        <v>72</v>
      </c>
      <c r="K7505" s="8" t="s">
        <v>20</v>
      </c>
      <c r="L7505" s="8" t="s">
        <v>24</v>
      </c>
      <c r="M7505" s="8" t="s">
        <v>25</v>
      </c>
      <c r="N7505" s="8" t="s">
        <v>33224</v>
      </c>
      <c r="O7505" s="8">
        <f>23+10/60+41.1/3600</f>
        <v>23.178083333333333</v>
      </c>
      <c r="P7505" s="8" t="s">
        <v>33225</v>
      </c>
      <c r="Q7505" s="8">
        <f>+(14+23/60+10/3600)</f>
        <v>14.386111111111111</v>
      </c>
      <c r="R7505" s="8">
        <v>99</v>
      </c>
      <c r="S7505" s="8">
        <v>13.1</v>
      </c>
      <c r="T7505" s="8">
        <v>99</v>
      </c>
      <c r="U7505" s="8">
        <v>99</v>
      </c>
      <c r="Y7505" s="8" t="s">
        <v>12012</v>
      </c>
      <c r="Z7505" s="8" t="s">
        <v>12013</v>
      </c>
    </row>
    <row r="7506" spans="1:26" x14ac:dyDescent="0.2">
      <c r="A7506" s="8">
        <v>7505</v>
      </c>
      <c r="B7506" s="8" t="s">
        <v>33226</v>
      </c>
      <c r="C7506" s="8" t="s">
        <v>33226</v>
      </c>
      <c r="F7506" s="47"/>
      <c r="G7506" s="8">
        <v>19</v>
      </c>
      <c r="H7506" s="8" t="s">
        <v>21</v>
      </c>
      <c r="I7506" s="8" t="s">
        <v>22</v>
      </c>
      <c r="J7506" s="8" t="s">
        <v>22</v>
      </c>
      <c r="K7506" s="8" t="s">
        <v>449</v>
      </c>
      <c r="L7506" s="8" t="s">
        <v>24</v>
      </c>
      <c r="M7506" s="8" t="s">
        <v>25</v>
      </c>
      <c r="N7506" s="8" t="s">
        <v>33227</v>
      </c>
      <c r="O7506" s="8">
        <f>23+11/60+0.7/3600</f>
        <v>23.18352777777778</v>
      </c>
      <c r="P7506" s="8" t="s">
        <v>33228</v>
      </c>
      <c r="Q7506" s="8">
        <f>+(13+37/60+53/3600)</f>
        <v>13.631388888888889</v>
      </c>
      <c r="R7506" s="8">
        <v>14.7</v>
      </c>
      <c r="S7506" s="8">
        <v>15.5</v>
      </c>
      <c r="T7506" s="8">
        <v>0.8</v>
      </c>
      <c r="U7506" s="8">
        <v>12.7</v>
      </c>
      <c r="V7506" s="8">
        <v>0.8</v>
      </c>
      <c r="W7506" s="8">
        <v>0.2</v>
      </c>
      <c r="X7506" s="8">
        <v>111</v>
      </c>
      <c r="Y7506" s="8" t="s">
        <v>33229</v>
      </c>
      <c r="Z7506" s="8" t="s">
        <v>33230</v>
      </c>
    </row>
    <row r="7507" spans="1:26" x14ac:dyDescent="0.2">
      <c r="A7507" s="8">
        <v>7506</v>
      </c>
      <c r="B7507" s="8" t="s">
        <v>33231</v>
      </c>
      <c r="C7507" s="8" t="s">
        <v>33231</v>
      </c>
      <c r="F7507" s="47" t="s">
        <v>58369</v>
      </c>
      <c r="G7507" s="8">
        <v>15</v>
      </c>
      <c r="H7507" s="8" t="s">
        <v>21</v>
      </c>
      <c r="I7507" s="8" t="s">
        <v>22</v>
      </c>
      <c r="J7507" s="8" t="s">
        <v>22</v>
      </c>
      <c r="K7507" s="8" t="s">
        <v>632</v>
      </c>
      <c r="L7507" s="8" t="s">
        <v>38</v>
      </c>
      <c r="M7507" s="8" t="s">
        <v>39</v>
      </c>
      <c r="N7507" s="8" t="s">
        <v>33232</v>
      </c>
      <c r="O7507" s="8">
        <f>23+11/60+41/3600</f>
        <v>23.194722222222222</v>
      </c>
      <c r="P7507" s="8" t="s">
        <v>33233</v>
      </c>
      <c r="Q7507" s="8">
        <f>-(2+9/60+35/3600)</f>
        <v>-2.1597222222222223</v>
      </c>
      <c r="R7507" s="8">
        <v>12.9</v>
      </c>
      <c r="S7507" s="8">
        <v>13.8</v>
      </c>
      <c r="T7507" s="8">
        <v>0.9</v>
      </c>
      <c r="U7507" s="8">
        <v>13.4</v>
      </c>
      <c r="V7507" s="8">
        <v>1.7</v>
      </c>
      <c r="W7507" s="8">
        <v>1.1000000000000001</v>
      </c>
      <c r="X7507" s="8">
        <v>103</v>
      </c>
      <c r="Y7507" s="8" t="s">
        <v>33234</v>
      </c>
      <c r="Z7507" s="8" t="s">
        <v>33235</v>
      </c>
    </row>
    <row r="7508" spans="1:26" x14ac:dyDescent="0.2">
      <c r="A7508" s="8">
        <v>7507</v>
      </c>
      <c r="B7508" s="8" t="s">
        <v>33236</v>
      </c>
      <c r="C7508" s="8" t="s">
        <v>33236</v>
      </c>
      <c r="F7508" s="47" t="s">
        <v>58370</v>
      </c>
      <c r="G7508" s="8">
        <v>6.5</v>
      </c>
      <c r="H7508" s="8" t="s">
        <v>21</v>
      </c>
      <c r="I7508" s="8" t="s">
        <v>22</v>
      </c>
      <c r="J7508" s="8" t="s">
        <v>22</v>
      </c>
      <c r="K7508" s="8" t="s">
        <v>460</v>
      </c>
      <c r="L7508" s="8" t="s">
        <v>65</v>
      </c>
      <c r="M7508" s="8" t="s">
        <v>66</v>
      </c>
      <c r="N7508" s="8" t="s">
        <v>33237</v>
      </c>
      <c r="O7508" s="8">
        <f>23+12/60+7.5/3600</f>
        <v>23.202083333333334</v>
      </c>
      <c r="P7508" s="8" t="s">
        <v>33238</v>
      </c>
      <c r="Q7508" s="8">
        <f>-(28+32/60+19/3600)</f>
        <v>-28.538611111111113</v>
      </c>
      <c r="R7508" s="8">
        <v>10.4</v>
      </c>
      <c r="S7508" s="8">
        <v>11.4</v>
      </c>
      <c r="T7508" s="8">
        <v>1</v>
      </c>
      <c r="U7508" s="8">
        <v>12.6</v>
      </c>
      <c r="V7508" s="8">
        <v>2.8</v>
      </c>
      <c r="W7508" s="8">
        <v>2.7</v>
      </c>
      <c r="Y7508" s="8" t="s">
        <v>33239</v>
      </c>
      <c r="Z7508" s="8" t="s">
        <v>33240</v>
      </c>
    </row>
    <row r="7509" spans="1:26" x14ac:dyDescent="0.2">
      <c r="A7509" s="8">
        <v>7508</v>
      </c>
      <c r="B7509" s="8" t="s">
        <v>33241</v>
      </c>
      <c r="C7509" s="8" t="s">
        <v>33241</v>
      </c>
      <c r="F7509" s="47"/>
      <c r="G7509" s="8">
        <v>16</v>
      </c>
      <c r="H7509" s="8" t="s">
        <v>21</v>
      </c>
      <c r="I7509" s="8" t="s">
        <v>22</v>
      </c>
      <c r="J7509" s="8" t="s">
        <v>22</v>
      </c>
      <c r="K7509" s="8" t="s">
        <v>449</v>
      </c>
      <c r="L7509" s="8" t="s">
        <v>24</v>
      </c>
      <c r="M7509" s="8" t="s">
        <v>25</v>
      </c>
      <c r="N7509" s="8" t="s">
        <v>33242</v>
      </c>
      <c r="O7509" s="8">
        <f>23+11/60+49.2/3600</f>
        <v>23.196999999999999</v>
      </c>
      <c r="P7509" s="8" t="s">
        <v>33243</v>
      </c>
      <c r="Q7509" s="8">
        <f>+(12+56/60+28/3600)</f>
        <v>12.941111111111111</v>
      </c>
      <c r="R7509" s="8">
        <v>14.8</v>
      </c>
      <c r="S7509" s="8">
        <v>15.6</v>
      </c>
      <c r="T7509" s="8">
        <v>0.8</v>
      </c>
      <c r="U7509" s="8">
        <v>13.3</v>
      </c>
      <c r="V7509" s="8">
        <v>1</v>
      </c>
      <c r="W7509" s="8">
        <v>0.3</v>
      </c>
      <c r="X7509" s="8">
        <v>160</v>
      </c>
      <c r="Y7509" s="8" t="s">
        <v>33244</v>
      </c>
      <c r="Z7509" s="8" t="s">
        <v>33245</v>
      </c>
    </row>
    <row r="7510" spans="1:26" x14ac:dyDescent="0.2">
      <c r="A7510" s="8">
        <v>7509</v>
      </c>
      <c r="B7510" s="8" t="s">
        <v>33246</v>
      </c>
      <c r="C7510" s="8" t="s">
        <v>33246</v>
      </c>
      <c r="F7510" s="47"/>
      <c r="G7510" s="8">
        <v>19</v>
      </c>
      <c r="H7510" s="8" t="s">
        <v>21</v>
      </c>
      <c r="I7510" s="8" t="s">
        <v>22</v>
      </c>
      <c r="J7510" s="8" t="s">
        <v>22</v>
      </c>
      <c r="K7510" s="8" t="s">
        <v>460</v>
      </c>
      <c r="L7510" s="8" t="s">
        <v>24</v>
      </c>
      <c r="M7510" s="8" t="s">
        <v>25</v>
      </c>
      <c r="N7510" s="8" t="s">
        <v>33247</v>
      </c>
      <c r="O7510" s="8">
        <f>23+12/60+21.3/3600</f>
        <v>23.205916666666667</v>
      </c>
      <c r="P7510" s="8" t="s">
        <v>33248</v>
      </c>
      <c r="Q7510" s="8">
        <f>+(14+36/60+35/3600)</f>
        <v>14.609722222222222</v>
      </c>
      <c r="R7510" s="8">
        <v>13.4</v>
      </c>
      <c r="S7510" s="8">
        <v>14.4</v>
      </c>
      <c r="T7510" s="8">
        <v>1</v>
      </c>
      <c r="U7510" s="8">
        <v>13.4</v>
      </c>
      <c r="V7510" s="8">
        <v>1.1000000000000001</v>
      </c>
      <c r="W7510" s="8">
        <v>1.1000000000000001</v>
      </c>
      <c r="Y7510" s="8" t="s">
        <v>20537</v>
      </c>
      <c r="Z7510" s="8" t="s">
        <v>20538</v>
      </c>
    </row>
    <row r="7511" spans="1:26" x14ac:dyDescent="0.2">
      <c r="A7511" s="8">
        <v>7510</v>
      </c>
      <c r="B7511" s="8" t="s">
        <v>33249</v>
      </c>
      <c r="C7511" s="8" t="s">
        <v>33249</v>
      </c>
      <c r="F7511" s="47" t="s">
        <v>58371</v>
      </c>
      <c r="G7511" s="8">
        <v>6</v>
      </c>
      <c r="H7511" s="8" t="s">
        <v>33250</v>
      </c>
      <c r="I7511" s="8" t="s">
        <v>557</v>
      </c>
      <c r="J7511" s="8" t="s">
        <v>557</v>
      </c>
      <c r="K7511" s="8" t="s">
        <v>2722</v>
      </c>
      <c r="L7511" s="8" t="s">
        <v>242</v>
      </c>
      <c r="M7511" s="8" t="s">
        <v>243</v>
      </c>
      <c r="N7511" s="8" t="s">
        <v>33251</v>
      </c>
      <c r="O7511" s="8">
        <f>23+11/60+4.2/3600</f>
        <v>23.1845</v>
      </c>
      <c r="P7511" s="8" t="s">
        <v>33252</v>
      </c>
      <c r="Q7511" s="8">
        <f>+(60+34/60+8/3600)</f>
        <v>60.568888888888893</v>
      </c>
      <c r="R7511" s="8">
        <v>7.9</v>
      </c>
      <c r="S7511" s="8">
        <v>99</v>
      </c>
      <c r="T7511" s="8">
        <v>99</v>
      </c>
      <c r="U7511" s="8">
        <v>99</v>
      </c>
      <c r="V7511" s="8">
        <v>7</v>
      </c>
      <c r="Y7511" s="8" t="s">
        <v>33253</v>
      </c>
      <c r="Z7511" s="8" t="s">
        <v>33254</v>
      </c>
    </row>
    <row r="7512" spans="1:26" x14ac:dyDescent="0.2">
      <c r="A7512" s="8">
        <v>7511</v>
      </c>
      <c r="B7512" s="8" t="s">
        <v>33255</v>
      </c>
      <c r="C7512" s="8" t="s">
        <v>33255</v>
      </c>
      <c r="F7512" s="47"/>
      <c r="G7512" s="8">
        <v>19</v>
      </c>
      <c r="H7512" s="8" t="s">
        <v>21</v>
      </c>
      <c r="I7512" s="8" t="s">
        <v>22</v>
      </c>
      <c r="J7512" s="8" t="s">
        <v>22</v>
      </c>
      <c r="K7512" s="8" t="s">
        <v>476</v>
      </c>
      <c r="L7512" s="8" t="s">
        <v>24</v>
      </c>
      <c r="M7512" s="8" t="s">
        <v>25</v>
      </c>
      <c r="N7512" s="8" t="s">
        <v>33256</v>
      </c>
      <c r="O7512" s="8">
        <f>23+12/60+26.3/3600</f>
        <v>23.207305555555553</v>
      </c>
      <c r="P7512" s="8" t="s">
        <v>33257</v>
      </c>
      <c r="Q7512" s="8">
        <f>+(13+43/60+37/3600)</f>
        <v>13.726944444444445</v>
      </c>
      <c r="R7512" s="8">
        <v>13.9</v>
      </c>
      <c r="S7512" s="8">
        <v>14.8</v>
      </c>
      <c r="T7512" s="8">
        <v>0.9</v>
      </c>
      <c r="U7512" s="8">
        <v>13</v>
      </c>
      <c r="V7512" s="8">
        <v>1.1000000000000001</v>
      </c>
      <c r="W7512" s="8">
        <v>0.5</v>
      </c>
      <c r="X7512" s="8">
        <v>133</v>
      </c>
      <c r="Y7512" s="8" t="s">
        <v>33258</v>
      </c>
      <c r="Z7512" s="8" t="s">
        <v>33259</v>
      </c>
    </row>
    <row r="7513" spans="1:26" x14ac:dyDescent="0.2">
      <c r="A7513" s="8">
        <v>7512</v>
      </c>
      <c r="B7513" s="8" t="s">
        <v>33260</v>
      </c>
      <c r="C7513" s="8" t="s">
        <v>33260</v>
      </c>
      <c r="F7513" s="47"/>
      <c r="G7513" s="8">
        <v>19</v>
      </c>
      <c r="H7513" s="8" t="s">
        <v>21</v>
      </c>
      <c r="I7513" s="8" t="s">
        <v>22</v>
      </c>
      <c r="J7513" s="8" t="s">
        <v>22</v>
      </c>
      <c r="K7513" s="8" t="s">
        <v>382</v>
      </c>
      <c r="L7513" s="8" t="s">
        <v>24</v>
      </c>
      <c r="M7513" s="8" t="s">
        <v>25</v>
      </c>
      <c r="N7513" s="8" t="s">
        <v>33261</v>
      </c>
      <c r="O7513" s="8">
        <f>23+12/60+20.9/3600</f>
        <v>23.205805555555553</v>
      </c>
      <c r="P7513" s="8" t="s">
        <v>33262</v>
      </c>
      <c r="Q7513" s="8">
        <f>+(31+7/60+32/3600)</f>
        <v>31.125555555555557</v>
      </c>
      <c r="R7513" s="8">
        <v>12.7</v>
      </c>
      <c r="S7513" s="8">
        <v>13.7</v>
      </c>
      <c r="T7513" s="8">
        <v>1</v>
      </c>
      <c r="U7513" s="8">
        <v>13.2</v>
      </c>
      <c r="V7513" s="8">
        <v>1.5</v>
      </c>
      <c r="W7513" s="8">
        <v>1</v>
      </c>
      <c r="X7513" s="8">
        <v>30</v>
      </c>
      <c r="Y7513" s="8" t="s">
        <v>33263</v>
      </c>
      <c r="Z7513" s="8" t="s">
        <v>33264</v>
      </c>
    </row>
    <row r="7514" spans="1:26" x14ac:dyDescent="0.2">
      <c r="A7514" s="8">
        <v>7513</v>
      </c>
      <c r="B7514" s="8" t="s">
        <v>33265</v>
      </c>
      <c r="C7514" s="8" t="s">
        <v>33265</v>
      </c>
      <c r="F7514" s="47"/>
      <c r="G7514" s="8">
        <v>18</v>
      </c>
      <c r="H7514" s="8" t="s">
        <v>21</v>
      </c>
      <c r="I7514" s="8" t="s">
        <v>22</v>
      </c>
      <c r="J7514" s="8" t="s">
        <v>22</v>
      </c>
      <c r="K7514" s="8" t="s">
        <v>5751</v>
      </c>
      <c r="L7514" s="8" t="s">
        <v>65</v>
      </c>
      <c r="M7514" s="8" t="s">
        <v>66</v>
      </c>
      <c r="N7514" s="8" t="s">
        <v>33266</v>
      </c>
      <c r="O7514" s="8">
        <f>23+13/60+13.7/3600</f>
        <v>23.22047222222222</v>
      </c>
      <c r="P7514" s="8" t="s">
        <v>33267</v>
      </c>
      <c r="Q7514" s="8">
        <f>-(28+21/60+29/3600)</f>
        <v>-28.358055555555556</v>
      </c>
      <c r="R7514" s="8">
        <v>10.6</v>
      </c>
      <c r="S7514" s="8">
        <v>11.4</v>
      </c>
      <c r="T7514" s="8">
        <v>0.8</v>
      </c>
      <c r="U7514" s="8">
        <v>13.3</v>
      </c>
      <c r="V7514" s="8">
        <v>3.2</v>
      </c>
      <c r="W7514" s="8">
        <v>2.1</v>
      </c>
      <c r="X7514" s="8">
        <v>108</v>
      </c>
      <c r="Y7514" s="8" t="s">
        <v>33268</v>
      </c>
      <c r="Z7514" s="8" t="s">
        <v>33269</v>
      </c>
    </row>
    <row r="7515" spans="1:26" x14ac:dyDescent="0.2">
      <c r="A7515" s="8">
        <v>7514</v>
      </c>
      <c r="B7515" s="8" t="s">
        <v>33270</v>
      </c>
      <c r="C7515" s="8" t="s">
        <v>33270</v>
      </c>
      <c r="F7515" s="47"/>
      <c r="G7515" s="8">
        <v>18</v>
      </c>
      <c r="H7515" s="8" t="s">
        <v>21</v>
      </c>
      <c r="I7515" s="8" t="s">
        <v>22</v>
      </c>
      <c r="J7515" s="8" t="s">
        <v>22</v>
      </c>
      <c r="K7515" s="8" t="s">
        <v>396</v>
      </c>
      <c r="L7515" s="8" t="s">
        <v>24</v>
      </c>
      <c r="M7515" s="8" t="s">
        <v>25</v>
      </c>
      <c r="N7515" s="8" t="s">
        <v>33271</v>
      </c>
      <c r="O7515" s="8">
        <f>23+12/60+25.5/3600</f>
        <v>23.207083333333333</v>
      </c>
      <c r="P7515" s="8" t="s">
        <v>33272</v>
      </c>
      <c r="Q7515" s="8">
        <f>+(34+52/60+52/3600)</f>
        <v>34.88111111111111</v>
      </c>
      <c r="R7515" s="8">
        <v>12.6</v>
      </c>
      <c r="S7515" s="8">
        <v>13.4</v>
      </c>
      <c r="T7515" s="8">
        <v>0.8</v>
      </c>
      <c r="U7515" s="8">
        <v>12.7</v>
      </c>
      <c r="V7515" s="8">
        <v>1.4</v>
      </c>
      <c r="W7515" s="8">
        <v>0.9</v>
      </c>
      <c r="X7515" s="8">
        <v>132</v>
      </c>
      <c r="Y7515" s="8" t="s">
        <v>2792</v>
      </c>
      <c r="Z7515" s="8" t="s">
        <v>2793</v>
      </c>
    </row>
    <row r="7516" spans="1:26" x14ac:dyDescent="0.2">
      <c r="A7516" s="8">
        <v>7515</v>
      </c>
      <c r="B7516" s="8" t="s">
        <v>33273</v>
      </c>
      <c r="C7516" s="8" t="s">
        <v>33273</v>
      </c>
      <c r="F7516" s="47" t="s">
        <v>58372</v>
      </c>
      <c r="G7516" s="8">
        <v>15</v>
      </c>
      <c r="H7516" s="8" t="s">
        <v>21</v>
      </c>
      <c r="I7516" s="8" t="s">
        <v>22</v>
      </c>
      <c r="J7516" s="8" t="s">
        <v>22</v>
      </c>
      <c r="K7516" s="8" t="s">
        <v>160</v>
      </c>
      <c r="L7516" s="8" t="s">
        <v>24</v>
      </c>
      <c r="M7516" s="8" t="s">
        <v>25</v>
      </c>
      <c r="N7516" s="8" t="s">
        <v>33274</v>
      </c>
      <c r="O7516" s="8">
        <f>23+12/60+48.6/3600</f>
        <v>23.2135</v>
      </c>
      <c r="P7516" s="8" t="s">
        <v>33275</v>
      </c>
      <c r="Q7516" s="8">
        <f>+(12+40/60+47/3600)</f>
        <v>12.679722222222221</v>
      </c>
      <c r="R7516" s="8">
        <v>12.4</v>
      </c>
      <c r="S7516" s="8">
        <v>13.2</v>
      </c>
      <c r="T7516" s="8">
        <v>0.8</v>
      </c>
      <c r="U7516" s="8">
        <v>13.4</v>
      </c>
      <c r="V7516" s="8">
        <v>1.7</v>
      </c>
      <c r="W7516" s="8">
        <v>1.6</v>
      </c>
      <c r="X7516" s="8">
        <v>15</v>
      </c>
      <c r="Y7516" s="8" t="s">
        <v>33276</v>
      </c>
      <c r="Z7516" s="8" t="s">
        <v>33277</v>
      </c>
    </row>
    <row r="7517" spans="1:26" x14ac:dyDescent="0.2">
      <c r="A7517" s="8">
        <v>7516</v>
      </c>
      <c r="B7517" s="8" t="s">
        <v>33278</v>
      </c>
      <c r="C7517" s="8" t="s">
        <v>33278</v>
      </c>
      <c r="F7517" s="47"/>
      <c r="G7517" s="8">
        <v>18</v>
      </c>
      <c r="H7517" s="8" t="s">
        <v>21</v>
      </c>
      <c r="I7517" s="8" t="s">
        <v>22</v>
      </c>
      <c r="J7517" s="8" t="s">
        <v>22</v>
      </c>
      <c r="K7517" s="8" t="s">
        <v>37</v>
      </c>
      <c r="L7517" s="8" t="s">
        <v>24</v>
      </c>
      <c r="M7517" s="8" t="s">
        <v>25</v>
      </c>
      <c r="N7517" s="8" t="s">
        <v>33279</v>
      </c>
      <c r="O7517" s="8">
        <f>23+12/60+51.8/3600</f>
        <v>23.214388888888887</v>
      </c>
      <c r="P7517" s="8" t="s">
        <v>33280</v>
      </c>
      <c r="Q7517" s="8">
        <f>+(20+14/60+56/3600)</f>
        <v>20.248888888888889</v>
      </c>
      <c r="R7517" s="8">
        <v>13.3</v>
      </c>
      <c r="S7517" s="8">
        <v>14.3</v>
      </c>
      <c r="T7517" s="8">
        <v>1</v>
      </c>
      <c r="U7517" s="8">
        <v>13.2</v>
      </c>
      <c r="V7517" s="8">
        <v>1.1000000000000001</v>
      </c>
      <c r="W7517" s="8">
        <v>1</v>
      </c>
      <c r="X7517" s="8">
        <v>110</v>
      </c>
      <c r="Y7517" s="8" t="s">
        <v>256</v>
      </c>
      <c r="Z7517" s="8" t="s">
        <v>2209</v>
      </c>
    </row>
    <row r="7518" spans="1:26" x14ac:dyDescent="0.2">
      <c r="A7518" s="8">
        <v>7517</v>
      </c>
      <c r="B7518" s="8" t="s">
        <v>33281</v>
      </c>
      <c r="C7518" s="8" t="s">
        <v>33281</v>
      </c>
      <c r="F7518" s="47"/>
      <c r="G7518" s="8">
        <v>18</v>
      </c>
      <c r="H7518" s="8" t="s">
        <v>21</v>
      </c>
      <c r="I7518" s="8" t="s">
        <v>22</v>
      </c>
      <c r="J7518" s="8" t="s">
        <v>22</v>
      </c>
      <c r="K7518" s="8" t="s">
        <v>1068</v>
      </c>
      <c r="L7518" s="8" t="s">
        <v>38</v>
      </c>
      <c r="M7518" s="8" t="s">
        <v>39</v>
      </c>
      <c r="N7518" s="8" t="s">
        <v>33282</v>
      </c>
      <c r="O7518" s="8">
        <f>23+13/60+13.8/3600</f>
        <v>23.220499999999998</v>
      </c>
      <c r="P7518" s="8" t="s">
        <v>33283</v>
      </c>
      <c r="Q7518" s="8">
        <f>-(2+6/60+0/3600)</f>
        <v>-2.1</v>
      </c>
      <c r="R7518" s="8">
        <v>14.4</v>
      </c>
      <c r="S7518" s="8">
        <v>15.4</v>
      </c>
      <c r="T7518" s="8">
        <v>1</v>
      </c>
      <c r="U7518" s="8">
        <v>12.6</v>
      </c>
      <c r="V7518" s="8">
        <v>0.6</v>
      </c>
      <c r="W7518" s="8">
        <v>0.3</v>
      </c>
      <c r="X7518" s="8">
        <v>155</v>
      </c>
      <c r="Y7518" s="8" t="s">
        <v>1948</v>
      </c>
      <c r="Z7518" s="8" t="s">
        <v>1949</v>
      </c>
    </row>
    <row r="7519" spans="1:26" x14ac:dyDescent="0.2">
      <c r="A7519" s="8">
        <v>7518</v>
      </c>
      <c r="B7519" s="8" t="s">
        <v>33284</v>
      </c>
      <c r="C7519" s="8" t="s">
        <v>33284</v>
      </c>
      <c r="F7519" s="47"/>
      <c r="G7519" s="8">
        <v>18</v>
      </c>
      <c r="H7519" s="8" t="s">
        <v>21</v>
      </c>
      <c r="I7519" s="8" t="s">
        <v>22</v>
      </c>
      <c r="J7519" s="8" t="s">
        <v>22</v>
      </c>
      <c r="K7519" s="8" t="s">
        <v>91</v>
      </c>
      <c r="L7519" s="8" t="s">
        <v>38</v>
      </c>
      <c r="M7519" s="8" t="s">
        <v>39</v>
      </c>
      <c r="N7519" s="8" t="s">
        <v>33285</v>
      </c>
      <c r="O7519" s="8">
        <f>23+13/60+12.8/3600</f>
        <v>23.220222222222219</v>
      </c>
      <c r="P7519" s="8" t="s">
        <v>33286</v>
      </c>
      <c r="Q7519" s="8">
        <f>+(6+19/60+18/3600)</f>
        <v>6.3216666666666663</v>
      </c>
      <c r="R7519" s="8">
        <v>13.4</v>
      </c>
      <c r="S7519" s="8">
        <v>14.2</v>
      </c>
      <c r="T7519" s="8">
        <v>0.8</v>
      </c>
      <c r="U7519" s="8">
        <v>13.7</v>
      </c>
      <c r="V7519" s="8">
        <v>1.4</v>
      </c>
      <c r="W7519" s="8">
        <v>1</v>
      </c>
      <c r="X7519" s="8">
        <v>126</v>
      </c>
      <c r="Y7519" s="8" t="s">
        <v>170</v>
      </c>
      <c r="Z7519" s="8" t="s">
        <v>171</v>
      </c>
    </row>
    <row r="7520" spans="1:26" x14ac:dyDescent="0.2">
      <c r="A7520" s="8">
        <v>7519</v>
      </c>
      <c r="B7520" s="8" t="s">
        <v>33287</v>
      </c>
      <c r="C7520" s="8" t="s">
        <v>33287</v>
      </c>
      <c r="F7520" s="47"/>
      <c r="G7520" s="8">
        <v>18</v>
      </c>
      <c r="H7520" s="8" t="s">
        <v>21</v>
      </c>
      <c r="I7520" s="8" t="s">
        <v>22</v>
      </c>
      <c r="J7520" s="8" t="s">
        <v>22</v>
      </c>
      <c r="K7520" s="8" t="s">
        <v>23</v>
      </c>
      <c r="L7520" s="8" t="s">
        <v>24</v>
      </c>
      <c r="M7520" s="8" t="s">
        <v>25</v>
      </c>
      <c r="N7520" s="8" t="s">
        <v>33288</v>
      </c>
      <c r="O7520" s="8">
        <f>23+13/60+11.2/3600</f>
        <v>23.219777777777775</v>
      </c>
      <c r="P7520" s="8" t="s">
        <v>33289</v>
      </c>
      <c r="Q7520" s="8">
        <f>+(10+46/60+18/3600)</f>
        <v>10.771666666666668</v>
      </c>
      <c r="R7520" s="8">
        <v>14</v>
      </c>
      <c r="S7520" s="8">
        <v>14.8</v>
      </c>
      <c r="T7520" s="8">
        <v>0.8</v>
      </c>
      <c r="U7520" s="8">
        <v>14.2</v>
      </c>
      <c r="V7520" s="8">
        <v>1.3</v>
      </c>
      <c r="W7520" s="8">
        <v>1.1000000000000001</v>
      </c>
      <c r="X7520" s="8">
        <v>165</v>
      </c>
      <c r="Y7520" s="8" t="s">
        <v>1225</v>
      </c>
      <c r="Z7520" s="8" t="s">
        <v>1226</v>
      </c>
    </row>
    <row r="7521" spans="1:26" x14ac:dyDescent="0.2">
      <c r="A7521" s="8">
        <v>7520</v>
      </c>
      <c r="B7521" s="8" t="s">
        <v>33290</v>
      </c>
      <c r="C7521" s="8" t="s">
        <v>33290</v>
      </c>
      <c r="F7521" s="47"/>
      <c r="G7521" s="8">
        <v>18</v>
      </c>
      <c r="H7521" s="8" t="s">
        <v>21</v>
      </c>
      <c r="I7521" s="8" t="s">
        <v>22</v>
      </c>
      <c r="J7521" s="8" t="s">
        <v>22</v>
      </c>
      <c r="K7521" s="8" t="s">
        <v>91</v>
      </c>
      <c r="L7521" s="8" t="s">
        <v>30854</v>
      </c>
      <c r="M7521" s="8" t="s">
        <v>30855</v>
      </c>
      <c r="N7521" s="8" t="s">
        <v>33291</v>
      </c>
      <c r="O7521" s="8">
        <f>23+12/60+53.1/3600</f>
        <v>23.214749999999999</v>
      </c>
      <c r="P7521" s="8" t="s">
        <v>33292</v>
      </c>
      <c r="Q7521" s="8">
        <f>-(23+28/60+8/3600)</f>
        <v>-23.468888888888888</v>
      </c>
      <c r="R7521" s="8">
        <v>13.2</v>
      </c>
      <c r="S7521" s="8">
        <v>14.1</v>
      </c>
      <c r="T7521" s="8">
        <v>0.9</v>
      </c>
      <c r="U7521" s="8">
        <v>13.1</v>
      </c>
      <c r="V7521" s="8">
        <v>1.3</v>
      </c>
      <c r="W7521" s="8">
        <v>0.8</v>
      </c>
      <c r="X7521" s="8">
        <v>66</v>
      </c>
      <c r="Y7521" s="8" t="s">
        <v>33293</v>
      </c>
      <c r="Z7521" s="8" t="s">
        <v>33294</v>
      </c>
    </row>
    <row r="7522" spans="1:26" x14ac:dyDescent="0.2">
      <c r="A7522" s="8">
        <v>7521</v>
      </c>
      <c r="B7522" s="8" t="s">
        <v>33295</v>
      </c>
      <c r="C7522" s="8" t="s">
        <v>33295</v>
      </c>
      <c r="F7522" s="47"/>
      <c r="G7522" s="8">
        <v>18</v>
      </c>
      <c r="H7522" s="8" t="s">
        <v>21</v>
      </c>
      <c r="I7522" s="8" t="s">
        <v>22</v>
      </c>
      <c r="J7522" s="8" t="s">
        <v>22</v>
      </c>
      <c r="K7522" s="8" t="s">
        <v>224</v>
      </c>
      <c r="L7522" s="8" t="s">
        <v>38</v>
      </c>
      <c r="M7522" s="8" t="s">
        <v>39</v>
      </c>
      <c r="N7522" s="8" t="s">
        <v>33296</v>
      </c>
      <c r="O7522" s="8">
        <f>23+13/60+35.3/3600</f>
        <v>23.22647222222222</v>
      </c>
      <c r="P7522" s="8" t="s">
        <v>33297</v>
      </c>
      <c r="Q7522" s="8">
        <f>-(1+43/60+50/3600)</f>
        <v>-1.7305555555555556</v>
      </c>
      <c r="R7522" s="8">
        <v>13.9</v>
      </c>
      <c r="S7522" s="8">
        <v>14.9</v>
      </c>
      <c r="T7522" s="8">
        <v>1</v>
      </c>
      <c r="U7522" s="8">
        <v>12.5</v>
      </c>
      <c r="V7522" s="8">
        <v>0.6</v>
      </c>
      <c r="W7522" s="8">
        <v>0.5</v>
      </c>
      <c r="X7522" s="8">
        <v>168</v>
      </c>
      <c r="Y7522" s="8" t="s">
        <v>33298</v>
      </c>
      <c r="Z7522" s="8" t="s">
        <v>33299</v>
      </c>
    </row>
    <row r="7523" spans="1:26" x14ac:dyDescent="0.2">
      <c r="A7523" s="8">
        <v>7522</v>
      </c>
      <c r="B7523" s="8" t="s">
        <v>33300</v>
      </c>
      <c r="C7523" s="8" t="s">
        <v>33300</v>
      </c>
      <c r="F7523" s="47"/>
      <c r="G7523" s="8">
        <v>19</v>
      </c>
      <c r="H7523" s="8" t="s">
        <v>21</v>
      </c>
      <c r="I7523" s="8" t="s">
        <v>72</v>
      </c>
      <c r="J7523" s="8" t="s">
        <v>72</v>
      </c>
      <c r="K7523" s="8" t="s">
        <v>20</v>
      </c>
      <c r="L7523" s="8" t="s">
        <v>30854</v>
      </c>
      <c r="M7523" s="8" t="s">
        <v>30855</v>
      </c>
      <c r="N7523" s="8" t="s">
        <v>33301</v>
      </c>
      <c r="O7523" s="8">
        <f>23+15/60+36.3/3600</f>
        <v>23.260083333333334</v>
      </c>
      <c r="P7523" s="8" t="s">
        <v>33302</v>
      </c>
      <c r="Q7523" s="8">
        <f>-(22+53/60+40/3600)</f>
        <v>-22.894444444444446</v>
      </c>
      <c r="R7523" s="8">
        <v>99</v>
      </c>
      <c r="S7523" s="8">
        <v>99</v>
      </c>
      <c r="T7523" s="8">
        <v>99</v>
      </c>
      <c r="U7523" s="8">
        <v>99</v>
      </c>
      <c r="Y7523" s="8" t="s">
        <v>33303</v>
      </c>
      <c r="Z7523" s="8" t="s">
        <v>33304</v>
      </c>
    </row>
    <row r="7524" spans="1:26" x14ac:dyDescent="0.2">
      <c r="A7524" s="8">
        <v>7523</v>
      </c>
      <c r="B7524" s="8" t="s">
        <v>33305</v>
      </c>
      <c r="C7524" s="8" t="s">
        <v>33305</v>
      </c>
      <c r="F7524" s="47"/>
      <c r="G7524" s="8">
        <v>18</v>
      </c>
      <c r="H7524" s="8" t="s">
        <v>21</v>
      </c>
      <c r="I7524" s="8" t="s">
        <v>22</v>
      </c>
      <c r="J7524" s="8" t="s">
        <v>22</v>
      </c>
      <c r="K7524" s="8" t="s">
        <v>449</v>
      </c>
      <c r="L7524" s="8" t="s">
        <v>24</v>
      </c>
      <c r="M7524" s="8" t="s">
        <v>25</v>
      </c>
      <c r="N7524" s="8" t="s">
        <v>33306</v>
      </c>
      <c r="O7524" s="8">
        <f>23+13/60+34.7/3600</f>
        <v>23.226305555555555</v>
      </c>
      <c r="P7524" s="8" t="s">
        <v>33307</v>
      </c>
      <c r="Q7524" s="8">
        <f>+(13+59/60+12/3600)</f>
        <v>13.986666666666666</v>
      </c>
      <c r="R7524" s="8">
        <v>14.8</v>
      </c>
      <c r="S7524" s="8">
        <v>15.6</v>
      </c>
      <c r="T7524" s="8">
        <v>0.8</v>
      </c>
      <c r="U7524" s="8">
        <v>13.4</v>
      </c>
      <c r="V7524" s="8">
        <v>1</v>
      </c>
      <c r="W7524" s="8">
        <v>0.2</v>
      </c>
      <c r="X7524" s="8">
        <v>3</v>
      </c>
      <c r="Y7524" s="8" t="s">
        <v>33308</v>
      </c>
      <c r="Z7524" s="8" t="s">
        <v>33309</v>
      </c>
    </row>
    <row r="7525" spans="1:26" x14ac:dyDescent="0.2">
      <c r="A7525" s="8">
        <v>7524</v>
      </c>
      <c r="B7525" s="8" t="s">
        <v>33310</v>
      </c>
      <c r="C7525" s="8" t="s">
        <v>33310</v>
      </c>
      <c r="F7525" s="47"/>
      <c r="G7525" s="8">
        <v>18</v>
      </c>
      <c r="H7525" s="8" t="s">
        <v>21</v>
      </c>
      <c r="I7525" s="8" t="s">
        <v>22</v>
      </c>
      <c r="J7525" s="8" t="s">
        <v>22</v>
      </c>
      <c r="K7525" s="8" t="s">
        <v>632</v>
      </c>
      <c r="L7525" s="8" t="s">
        <v>38</v>
      </c>
      <c r="M7525" s="8" t="s">
        <v>39</v>
      </c>
      <c r="N7525" s="8" t="s">
        <v>33311</v>
      </c>
      <c r="O7525" s="8">
        <f>23+13/60+46.5/3600</f>
        <v>23.229583333333331</v>
      </c>
      <c r="P7525" s="8" t="s">
        <v>33297</v>
      </c>
      <c r="Q7525" s="8">
        <f>-(1+43/60+50/3600)</f>
        <v>-1.7305555555555556</v>
      </c>
      <c r="R7525" s="8">
        <v>15.1</v>
      </c>
      <c r="S7525" s="8">
        <v>16</v>
      </c>
      <c r="T7525" s="8">
        <v>0.9</v>
      </c>
      <c r="U7525" s="8">
        <v>13.4</v>
      </c>
      <c r="V7525" s="8">
        <v>0.8</v>
      </c>
      <c r="W7525" s="8">
        <v>0.3</v>
      </c>
      <c r="X7525" s="8">
        <v>172</v>
      </c>
      <c r="Y7525" s="8" t="s">
        <v>266</v>
      </c>
      <c r="Z7525" s="8" t="s">
        <v>267</v>
      </c>
    </row>
    <row r="7526" spans="1:26" x14ac:dyDescent="0.2">
      <c r="A7526" s="8">
        <v>7525</v>
      </c>
      <c r="B7526" s="8" t="s">
        <v>33312</v>
      </c>
      <c r="C7526" s="8" t="s">
        <v>33312</v>
      </c>
      <c r="E7526" s="8">
        <v>1</v>
      </c>
      <c r="F7526" s="47"/>
      <c r="G7526" s="8">
        <v>18</v>
      </c>
      <c r="H7526" s="8" t="s">
        <v>21</v>
      </c>
      <c r="I7526" s="8" t="s">
        <v>22</v>
      </c>
      <c r="J7526" s="8" t="s">
        <v>22</v>
      </c>
      <c r="K7526" s="8" t="s">
        <v>460</v>
      </c>
      <c r="L7526" s="8" t="s">
        <v>24</v>
      </c>
      <c r="M7526" s="8" t="s">
        <v>25</v>
      </c>
      <c r="N7526" s="8" t="s">
        <v>33313</v>
      </c>
      <c r="O7526" s="8">
        <f>23+13/60+40.4/3600</f>
        <v>23.227888888888888</v>
      </c>
      <c r="P7526" s="8" t="s">
        <v>33314</v>
      </c>
      <c r="Q7526" s="8">
        <f>+(14+1/60+17/3600)</f>
        <v>14.02138888888889</v>
      </c>
      <c r="R7526" s="8">
        <v>14.2</v>
      </c>
      <c r="S7526" s="8">
        <v>15.2</v>
      </c>
      <c r="T7526" s="8">
        <v>1</v>
      </c>
      <c r="U7526" s="8">
        <v>13.2</v>
      </c>
      <c r="V7526" s="8">
        <v>0.6</v>
      </c>
      <c r="W7526" s="8">
        <v>0.6</v>
      </c>
      <c r="Y7526" s="8" t="s">
        <v>33315</v>
      </c>
      <c r="Z7526" s="8" t="s">
        <v>33316</v>
      </c>
    </row>
    <row r="7527" spans="1:26" x14ac:dyDescent="0.2">
      <c r="A7527" s="8">
        <v>7526</v>
      </c>
      <c r="B7527" s="8" t="s">
        <v>33317</v>
      </c>
      <c r="C7527" s="8" t="s">
        <v>33317</v>
      </c>
      <c r="F7527" s="47" t="s">
        <v>58373</v>
      </c>
      <c r="G7527" s="8">
        <v>15</v>
      </c>
      <c r="H7527" s="8" t="s">
        <v>21</v>
      </c>
      <c r="I7527" s="8" t="s">
        <v>72</v>
      </c>
      <c r="J7527" s="8" t="s">
        <v>72</v>
      </c>
      <c r="K7527" s="8" t="s">
        <v>1802</v>
      </c>
      <c r="L7527" s="8" t="s">
        <v>30854</v>
      </c>
      <c r="M7527" s="8" t="s">
        <v>30855</v>
      </c>
      <c r="N7527" s="8" t="s">
        <v>33318</v>
      </c>
      <c r="O7527" s="8">
        <f>23+14/60+2.3/3600</f>
        <v>23.233972222222224</v>
      </c>
      <c r="P7527" s="8" t="s">
        <v>33319</v>
      </c>
      <c r="Q7527" s="8">
        <f>-(9+13/60+15/3600)</f>
        <v>-9.2208333333333332</v>
      </c>
      <c r="R7527" s="8">
        <v>99</v>
      </c>
      <c r="S7527" s="8">
        <v>99</v>
      </c>
      <c r="T7527" s="8">
        <v>99</v>
      </c>
      <c r="U7527" s="8">
        <v>99</v>
      </c>
      <c r="Y7527" s="8" t="s">
        <v>266</v>
      </c>
      <c r="Z7527" s="8" t="s">
        <v>267</v>
      </c>
    </row>
    <row r="7528" spans="1:26" x14ac:dyDescent="0.2">
      <c r="A7528" s="8">
        <v>7527</v>
      </c>
      <c r="B7528" s="8" t="s">
        <v>33320</v>
      </c>
      <c r="C7528" s="8" t="s">
        <v>33320</v>
      </c>
      <c r="F7528" s="47"/>
      <c r="G7528" s="8">
        <v>18</v>
      </c>
      <c r="H7528" s="8" t="s">
        <v>21</v>
      </c>
      <c r="I7528" s="8" t="s">
        <v>22</v>
      </c>
      <c r="J7528" s="8" t="s">
        <v>22</v>
      </c>
      <c r="K7528" s="8" t="s">
        <v>382</v>
      </c>
      <c r="L7528" s="8" t="s">
        <v>24</v>
      </c>
      <c r="M7528" s="8" t="s">
        <v>25</v>
      </c>
      <c r="N7528" s="8" t="s">
        <v>33321</v>
      </c>
      <c r="O7528" s="8">
        <f>23+13/60+41.7/3600</f>
        <v>23.228249999999999</v>
      </c>
      <c r="P7528" s="8" t="s">
        <v>33322</v>
      </c>
      <c r="Q7528" s="8">
        <f>+(24+54/60+10/3600)</f>
        <v>24.902777777777775</v>
      </c>
      <c r="R7528" s="8">
        <v>13.3</v>
      </c>
      <c r="S7528" s="8">
        <v>14.3</v>
      </c>
      <c r="T7528" s="8">
        <v>1</v>
      </c>
      <c r="U7528" s="8">
        <v>13.5</v>
      </c>
      <c r="V7528" s="8">
        <v>1.3</v>
      </c>
      <c r="W7528" s="8">
        <v>0.9</v>
      </c>
      <c r="X7528" s="8">
        <v>165</v>
      </c>
      <c r="Y7528" s="8" t="s">
        <v>1948</v>
      </c>
      <c r="Z7528" s="8" t="s">
        <v>1949</v>
      </c>
    </row>
    <row r="7529" spans="1:26" x14ac:dyDescent="0.2">
      <c r="A7529" s="8">
        <v>7528</v>
      </c>
      <c r="B7529" s="8" t="s">
        <v>33323</v>
      </c>
      <c r="C7529" s="8" t="s">
        <v>33323</v>
      </c>
      <c r="F7529" s="47"/>
      <c r="G7529" s="8">
        <v>19</v>
      </c>
      <c r="H7529" s="8" t="s">
        <v>21</v>
      </c>
      <c r="I7529" s="8" t="s">
        <v>22</v>
      </c>
      <c r="J7529" s="8" t="s">
        <v>22</v>
      </c>
      <c r="K7529" s="8" t="s">
        <v>382</v>
      </c>
      <c r="L7529" s="8" t="s">
        <v>24</v>
      </c>
      <c r="M7529" s="8" t="s">
        <v>25</v>
      </c>
      <c r="N7529" s="8" t="s">
        <v>33324</v>
      </c>
      <c r="O7529" s="8">
        <f>23+14/60+20/3600</f>
        <v>23.238888888888891</v>
      </c>
      <c r="P7529" s="8" t="s">
        <v>33325</v>
      </c>
      <c r="Q7529" s="8">
        <f>+(10+13/60+52/3600)</f>
        <v>10.231111111111112</v>
      </c>
      <c r="R7529" s="8">
        <v>15.1</v>
      </c>
      <c r="S7529" s="8">
        <v>16.100000000000001</v>
      </c>
      <c r="T7529" s="8">
        <v>1</v>
      </c>
      <c r="U7529" s="8">
        <v>12.9</v>
      </c>
      <c r="V7529" s="8">
        <v>0.4</v>
      </c>
      <c r="W7529" s="8">
        <v>0.3</v>
      </c>
      <c r="X7529" s="8">
        <v>10</v>
      </c>
      <c r="Y7529" s="8" t="s">
        <v>4065</v>
      </c>
      <c r="Z7529" s="8" t="s">
        <v>4066</v>
      </c>
    </row>
    <row r="7530" spans="1:26" x14ac:dyDescent="0.2">
      <c r="A7530" s="8">
        <v>7529</v>
      </c>
      <c r="B7530" s="8" t="s">
        <v>33326</v>
      </c>
      <c r="C7530" s="8" t="s">
        <v>33326</v>
      </c>
      <c r="F7530" s="47"/>
      <c r="G7530" s="8">
        <v>19</v>
      </c>
      <c r="H7530" s="8" t="s">
        <v>21</v>
      </c>
      <c r="I7530" s="8" t="s">
        <v>22</v>
      </c>
      <c r="J7530" s="8" t="s">
        <v>22</v>
      </c>
      <c r="K7530" s="8" t="s">
        <v>396</v>
      </c>
      <c r="L7530" s="8" t="s">
        <v>24</v>
      </c>
      <c r="M7530" s="8" t="s">
        <v>25</v>
      </c>
      <c r="N7530" s="8" t="s">
        <v>33327</v>
      </c>
      <c r="O7530" s="8">
        <f>23+14/60+3.1/3600</f>
        <v>23.234194444444444</v>
      </c>
      <c r="P7530" s="8" t="s">
        <v>33328</v>
      </c>
      <c r="Q7530" s="8">
        <f>+(8+59/60+32/3600)</f>
        <v>8.992222222222221</v>
      </c>
      <c r="R7530" s="8">
        <v>14.1</v>
      </c>
      <c r="S7530" s="8">
        <v>14.6</v>
      </c>
      <c r="T7530" s="8">
        <v>0.5</v>
      </c>
      <c r="U7530" s="8">
        <v>13.6</v>
      </c>
      <c r="V7530" s="8">
        <v>0.9</v>
      </c>
      <c r="W7530" s="8">
        <v>0.8</v>
      </c>
      <c r="X7530" s="8">
        <v>75</v>
      </c>
      <c r="Y7530" s="8" t="s">
        <v>297</v>
      </c>
      <c r="Z7530" s="8" t="s">
        <v>298</v>
      </c>
    </row>
    <row r="7531" spans="1:26" x14ac:dyDescent="0.2">
      <c r="A7531" s="8">
        <v>7530</v>
      </c>
      <c r="B7531" s="8" t="s">
        <v>33329</v>
      </c>
      <c r="C7531" s="8" t="s">
        <v>33329</v>
      </c>
      <c r="F7531" s="47"/>
      <c r="G7531" s="8">
        <v>18</v>
      </c>
      <c r="H7531" s="8" t="s">
        <v>21</v>
      </c>
      <c r="I7531" s="8" t="s">
        <v>22</v>
      </c>
      <c r="J7531" s="8" t="s">
        <v>22</v>
      </c>
      <c r="K7531" s="8" t="s">
        <v>632</v>
      </c>
      <c r="L7531" s="8" t="s">
        <v>38</v>
      </c>
      <c r="M7531" s="8" t="s">
        <v>39</v>
      </c>
      <c r="N7531" s="8" t="s">
        <v>33330</v>
      </c>
      <c r="O7531" s="8">
        <f>23+14/60+11.7/3600</f>
        <v>23.236583333333336</v>
      </c>
      <c r="P7531" s="8" t="s">
        <v>33331</v>
      </c>
      <c r="Q7531" s="8">
        <f>-(2+46/60+44/3600)</f>
        <v>-2.778888888888889</v>
      </c>
      <c r="R7531" s="8">
        <v>14.6</v>
      </c>
      <c r="S7531" s="8">
        <v>15.5</v>
      </c>
      <c r="T7531" s="8">
        <v>0.9</v>
      </c>
      <c r="U7531" s="8">
        <v>13.6</v>
      </c>
      <c r="V7531" s="8">
        <v>0.9</v>
      </c>
      <c r="W7531" s="8">
        <v>0.5</v>
      </c>
      <c r="X7531" s="8">
        <v>120</v>
      </c>
      <c r="Y7531" s="8" t="s">
        <v>15331</v>
      </c>
      <c r="Z7531" s="8" t="s">
        <v>15332</v>
      </c>
    </row>
    <row r="7532" spans="1:26" x14ac:dyDescent="0.2">
      <c r="A7532" s="8">
        <v>7531</v>
      </c>
      <c r="B7532" s="8" t="s">
        <v>33332</v>
      </c>
      <c r="C7532" s="8" t="s">
        <v>33332</v>
      </c>
      <c r="F7532" s="47"/>
      <c r="G7532" s="8">
        <v>13</v>
      </c>
      <c r="H7532" s="8" t="s">
        <v>21</v>
      </c>
      <c r="I7532" s="8" t="s">
        <v>22</v>
      </c>
      <c r="J7532" s="8" t="s">
        <v>22</v>
      </c>
      <c r="K7532" s="8" t="s">
        <v>396</v>
      </c>
      <c r="L7532" s="8" t="s">
        <v>31389</v>
      </c>
      <c r="M7532" s="8" t="s">
        <v>31390</v>
      </c>
      <c r="N7532" s="8" t="s">
        <v>33333</v>
      </c>
      <c r="O7532" s="8">
        <f>23+14/60+48.4/3600</f>
        <v>23.24677777777778</v>
      </c>
      <c r="P7532" s="8" t="s">
        <v>33334</v>
      </c>
      <c r="Q7532" s="8">
        <f>-(43+35/60+56/3600)</f>
        <v>-43.598888888888894</v>
      </c>
      <c r="R7532" s="8">
        <v>11.3</v>
      </c>
      <c r="S7532" s="8">
        <v>12</v>
      </c>
      <c r="T7532" s="8">
        <v>0.7</v>
      </c>
      <c r="U7532" s="8">
        <v>13.4</v>
      </c>
      <c r="V7532" s="8">
        <v>4.5</v>
      </c>
      <c r="W7532" s="8">
        <v>1.7</v>
      </c>
      <c r="X7532" s="8">
        <v>15</v>
      </c>
      <c r="Y7532" s="8" t="s">
        <v>17749</v>
      </c>
      <c r="Z7532" s="8" t="s">
        <v>17750</v>
      </c>
    </row>
    <row r="7533" spans="1:26" x14ac:dyDescent="0.2">
      <c r="A7533" s="8">
        <v>7532</v>
      </c>
      <c r="B7533" s="8" t="s">
        <v>33335</v>
      </c>
      <c r="C7533" s="8" t="s">
        <v>33335</v>
      </c>
      <c r="F7533" s="47"/>
      <c r="G7533" s="8">
        <v>18</v>
      </c>
      <c r="H7533" s="8" t="s">
        <v>21</v>
      </c>
      <c r="I7533" s="8" t="s">
        <v>22</v>
      </c>
      <c r="J7533" s="8" t="s">
        <v>22</v>
      </c>
      <c r="K7533" s="8" t="s">
        <v>435</v>
      </c>
      <c r="L7533" s="8" t="s">
        <v>38</v>
      </c>
      <c r="M7533" s="8" t="s">
        <v>39</v>
      </c>
      <c r="N7533" s="8" t="s">
        <v>33336</v>
      </c>
      <c r="O7533" s="8">
        <f>23+14/60+22.2/3600</f>
        <v>23.2395</v>
      </c>
      <c r="P7533" s="8" t="s">
        <v>33337</v>
      </c>
      <c r="Q7533" s="8">
        <f>-(2+43/60+40/3600)</f>
        <v>-2.7277777777777779</v>
      </c>
      <c r="R7533" s="8">
        <v>13.8</v>
      </c>
      <c r="S7533" s="8">
        <v>14.7</v>
      </c>
      <c r="T7533" s="8">
        <v>0.9</v>
      </c>
      <c r="U7533" s="8">
        <v>13.6</v>
      </c>
      <c r="V7533" s="8">
        <v>1.4</v>
      </c>
      <c r="W7533" s="8">
        <v>0.7</v>
      </c>
      <c r="X7533" s="8">
        <v>150</v>
      </c>
      <c r="Y7533" s="8" t="s">
        <v>2500</v>
      </c>
      <c r="Z7533" s="8" t="s">
        <v>2501</v>
      </c>
    </row>
    <row r="7534" spans="1:26" x14ac:dyDescent="0.2">
      <c r="A7534" s="8">
        <v>7533</v>
      </c>
      <c r="B7534" s="8" t="s">
        <v>33338</v>
      </c>
      <c r="C7534" s="8" t="s">
        <v>33338</v>
      </c>
      <c r="F7534" s="47"/>
      <c r="G7534" s="8">
        <v>18</v>
      </c>
      <c r="H7534" s="8" t="s">
        <v>21</v>
      </c>
      <c r="I7534" s="8" t="s">
        <v>22</v>
      </c>
      <c r="J7534" s="8" t="s">
        <v>22</v>
      </c>
      <c r="K7534" s="8" t="s">
        <v>632</v>
      </c>
      <c r="L7534" s="8" t="s">
        <v>38</v>
      </c>
      <c r="M7534" s="8" t="s">
        <v>39</v>
      </c>
      <c r="N7534" s="8" t="s">
        <v>33339</v>
      </c>
      <c r="O7534" s="8">
        <f>23+14/60+22/3600</f>
        <v>23.239444444444445</v>
      </c>
      <c r="P7534" s="8" t="s">
        <v>33340</v>
      </c>
      <c r="Q7534" s="8">
        <f>-(2+2/60+0/3600)</f>
        <v>-2.0333333333333332</v>
      </c>
      <c r="R7534" s="8">
        <v>15.1</v>
      </c>
      <c r="S7534" s="8">
        <v>16</v>
      </c>
      <c r="T7534" s="8">
        <v>0.9</v>
      </c>
      <c r="U7534" s="8">
        <v>13.3</v>
      </c>
      <c r="V7534" s="8">
        <v>0.7</v>
      </c>
      <c r="W7534" s="8">
        <v>0.3</v>
      </c>
      <c r="X7534" s="8">
        <v>134</v>
      </c>
      <c r="Y7534" s="8" t="s">
        <v>895</v>
      </c>
      <c r="Z7534" s="8" t="s">
        <v>896</v>
      </c>
    </row>
    <row r="7535" spans="1:26" x14ac:dyDescent="0.2">
      <c r="A7535" s="8">
        <v>7534</v>
      </c>
      <c r="B7535" s="8" t="s">
        <v>33341</v>
      </c>
      <c r="C7535" s="8" t="s">
        <v>33341</v>
      </c>
      <c r="F7535" s="47"/>
      <c r="G7535" s="8">
        <v>18</v>
      </c>
      <c r="H7535" s="8" t="s">
        <v>21</v>
      </c>
      <c r="I7535" s="8" t="s">
        <v>22</v>
      </c>
      <c r="J7535" s="8" t="s">
        <v>22</v>
      </c>
      <c r="K7535" s="8" t="s">
        <v>107</v>
      </c>
      <c r="L7535" s="8" t="s">
        <v>38</v>
      </c>
      <c r="M7535" s="8" t="s">
        <v>39</v>
      </c>
      <c r="N7535" s="8" t="s">
        <v>33342</v>
      </c>
      <c r="O7535" s="8">
        <f>23+14/60+26.5/3600</f>
        <v>23.240694444444447</v>
      </c>
      <c r="P7535" s="8" t="s">
        <v>33343</v>
      </c>
      <c r="Q7535" s="8">
        <f>-(2+41/60+58/3600)</f>
        <v>-2.6994444444444445</v>
      </c>
      <c r="R7535" s="8">
        <v>13.8</v>
      </c>
      <c r="S7535" s="8">
        <v>14.4</v>
      </c>
      <c r="T7535" s="8">
        <v>0.6</v>
      </c>
      <c r="U7535" s="8">
        <v>13.1</v>
      </c>
      <c r="V7535" s="8">
        <v>1</v>
      </c>
      <c r="W7535" s="8">
        <v>0.7</v>
      </c>
      <c r="X7535" s="8">
        <v>12</v>
      </c>
      <c r="Y7535" s="8" t="s">
        <v>1123</v>
      </c>
      <c r="Z7535" s="8" t="s">
        <v>1124</v>
      </c>
    </row>
    <row r="7536" spans="1:26" x14ac:dyDescent="0.2">
      <c r="A7536" s="8">
        <v>7535</v>
      </c>
      <c r="B7536" s="8" t="s">
        <v>33344</v>
      </c>
      <c r="C7536" s="8" t="s">
        <v>33344</v>
      </c>
      <c r="F7536" s="47"/>
      <c r="G7536" s="8">
        <v>19</v>
      </c>
      <c r="H7536" s="8" t="s">
        <v>21</v>
      </c>
      <c r="I7536" s="8" t="s">
        <v>22</v>
      </c>
      <c r="J7536" s="8" t="s">
        <v>22</v>
      </c>
      <c r="K7536" s="8" t="s">
        <v>579</v>
      </c>
      <c r="L7536" s="8" t="s">
        <v>24</v>
      </c>
      <c r="M7536" s="8" t="s">
        <v>25</v>
      </c>
      <c r="N7536" s="8" t="s">
        <v>33345</v>
      </c>
      <c r="O7536" s="8">
        <f>23+14/60+12.8/3600</f>
        <v>23.236888888888888</v>
      </c>
      <c r="P7536" s="8" t="s">
        <v>33346</v>
      </c>
      <c r="Q7536" s="8">
        <f>+(13+34/60+56/3600)</f>
        <v>13.582222222222223</v>
      </c>
      <c r="R7536" s="8">
        <v>13.7</v>
      </c>
      <c r="S7536" s="8">
        <v>14.2</v>
      </c>
      <c r="T7536" s="8">
        <v>0.5</v>
      </c>
      <c r="U7536" s="8">
        <v>14.4</v>
      </c>
      <c r="V7536" s="8">
        <v>1.5</v>
      </c>
      <c r="W7536" s="8">
        <v>1.5</v>
      </c>
      <c r="Y7536" s="8" t="s">
        <v>33347</v>
      </c>
      <c r="Z7536" s="8" t="s">
        <v>33348</v>
      </c>
    </row>
    <row r="7537" spans="1:26" x14ac:dyDescent="0.2">
      <c r="A7537" s="8">
        <v>7536</v>
      </c>
      <c r="B7537" s="8" t="s">
        <v>33349</v>
      </c>
      <c r="C7537" s="8" t="s">
        <v>33349</v>
      </c>
      <c r="F7537" s="47"/>
      <c r="G7537" s="8">
        <v>19</v>
      </c>
      <c r="H7537" s="8" t="s">
        <v>21</v>
      </c>
      <c r="I7537" s="8" t="s">
        <v>22</v>
      </c>
      <c r="J7537" s="8" t="s">
        <v>22</v>
      </c>
      <c r="K7537" s="8" t="s">
        <v>85</v>
      </c>
      <c r="L7537" s="8" t="s">
        <v>24</v>
      </c>
      <c r="M7537" s="8" t="s">
        <v>25</v>
      </c>
      <c r="N7537" s="8" t="s">
        <v>33350</v>
      </c>
      <c r="O7537" s="8">
        <f>23+14/60+13.1/3600</f>
        <v>23.236972222222224</v>
      </c>
      <c r="P7537" s="8" t="s">
        <v>33351</v>
      </c>
      <c r="Q7537" s="8">
        <f>+(13+25/60+36/3600)</f>
        <v>13.426666666666666</v>
      </c>
      <c r="R7537" s="8">
        <v>13.4</v>
      </c>
      <c r="S7537" s="8">
        <v>14.1</v>
      </c>
      <c r="T7537" s="8">
        <v>0.7</v>
      </c>
      <c r="U7537" s="8">
        <v>13.6</v>
      </c>
      <c r="V7537" s="8">
        <v>1.9</v>
      </c>
      <c r="W7537" s="8">
        <v>0.7</v>
      </c>
      <c r="X7537" s="8">
        <v>56</v>
      </c>
      <c r="Y7537" s="8" t="s">
        <v>33352</v>
      </c>
      <c r="Z7537" s="8" t="s">
        <v>33353</v>
      </c>
    </row>
    <row r="7538" spans="1:26" x14ac:dyDescent="0.2">
      <c r="A7538" s="8">
        <v>7537</v>
      </c>
      <c r="B7538" s="8" t="s">
        <v>33354</v>
      </c>
      <c r="C7538" s="8" t="s">
        <v>33354</v>
      </c>
      <c r="F7538" s="47" t="s">
        <v>58374</v>
      </c>
      <c r="G7538" s="8">
        <v>15</v>
      </c>
      <c r="H7538" s="8" t="s">
        <v>21</v>
      </c>
      <c r="I7538" s="8" t="s">
        <v>22</v>
      </c>
      <c r="J7538" s="8" t="s">
        <v>22</v>
      </c>
      <c r="K7538" s="8" t="s">
        <v>396</v>
      </c>
      <c r="L7538" s="8" t="s">
        <v>38</v>
      </c>
      <c r="M7538" s="8" t="s">
        <v>39</v>
      </c>
      <c r="N7538" s="8" t="s">
        <v>33355</v>
      </c>
      <c r="O7538" s="8">
        <f>23+14/60+34.6/3600</f>
        <v>23.242944444444447</v>
      </c>
      <c r="P7538" s="8" t="s">
        <v>33356</v>
      </c>
      <c r="Q7538" s="8">
        <f>+(4+29/60+56/3600)</f>
        <v>4.4988888888888887</v>
      </c>
      <c r="R7538" s="8">
        <v>13.2</v>
      </c>
      <c r="S7538" s="8">
        <v>13.9</v>
      </c>
      <c r="T7538" s="8">
        <v>0.7</v>
      </c>
      <c r="U7538" s="8">
        <v>13.3</v>
      </c>
      <c r="V7538" s="8">
        <v>2.1</v>
      </c>
      <c r="W7538" s="8">
        <v>0.5</v>
      </c>
      <c r="X7538" s="8">
        <v>79</v>
      </c>
      <c r="Y7538" s="8" t="s">
        <v>22863</v>
      </c>
      <c r="Z7538" s="8" t="s">
        <v>22864</v>
      </c>
    </row>
    <row r="7539" spans="1:26" x14ac:dyDescent="0.2">
      <c r="A7539" s="8">
        <v>7538</v>
      </c>
      <c r="B7539" s="8" t="s">
        <v>33357</v>
      </c>
      <c r="C7539" s="8" t="s">
        <v>33357</v>
      </c>
      <c r="F7539" s="47" t="s">
        <v>58375</v>
      </c>
      <c r="G7539" s="8">
        <v>13</v>
      </c>
      <c r="H7539" s="8" t="s">
        <v>33358</v>
      </c>
      <c r="I7539" s="8" t="s">
        <v>1283</v>
      </c>
      <c r="J7539" s="8" t="s">
        <v>1283</v>
      </c>
      <c r="K7539" s="8" t="s">
        <v>1284</v>
      </c>
      <c r="L7539" s="8" t="s">
        <v>242</v>
      </c>
      <c r="M7539" s="8" t="s">
        <v>243</v>
      </c>
      <c r="N7539" s="8" t="s">
        <v>33359</v>
      </c>
      <c r="O7539" s="8">
        <f>23+13/60+38/3600</f>
        <v>23.22722222222222</v>
      </c>
      <c r="P7539" s="8" t="s">
        <v>33360</v>
      </c>
      <c r="Q7539" s="8">
        <f>+(61+30/60+42/3600)</f>
        <v>61.511666666666663</v>
      </c>
      <c r="R7539" s="8">
        <v>99</v>
      </c>
      <c r="S7539" s="8">
        <v>99</v>
      </c>
      <c r="T7539" s="8">
        <v>99</v>
      </c>
      <c r="U7539" s="8">
        <v>99</v>
      </c>
      <c r="V7539" s="8">
        <v>9</v>
      </c>
      <c r="W7539" s="8">
        <v>6</v>
      </c>
      <c r="Y7539" s="8" t="s">
        <v>33361</v>
      </c>
      <c r="Z7539" s="8" t="s">
        <v>33362</v>
      </c>
    </row>
    <row r="7540" spans="1:26" x14ac:dyDescent="0.2">
      <c r="A7540" s="8">
        <v>7539</v>
      </c>
      <c r="B7540" s="8" t="s">
        <v>33363</v>
      </c>
      <c r="C7540" s="8" t="s">
        <v>33363</v>
      </c>
      <c r="F7540" s="47"/>
      <c r="G7540" s="8">
        <v>16</v>
      </c>
      <c r="H7540" s="8" t="s">
        <v>21</v>
      </c>
      <c r="I7540" s="8" t="s">
        <v>22</v>
      </c>
      <c r="J7540" s="8" t="s">
        <v>22</v>
      </c>
      <c r="K7540" s="8" t="s">
        <v>37</v>
      </c>
      <c r="L7540" s="8" t="s">
        <v>24</v>
      </c>
      <c r="M7540" s="8" t="s">
        <v>25</v>
      </c>
      <c r="N7540" s="8" t="s">
        <v>33364</v>
      </c>
      <c r="O7540" s="8">
        <f>23+14/60+29.4/3600</f>
        <v>23.241500000000002</v>
      </c>
      <c r="P7540" s="8" t="s">
        <v>33365</v>
      </c>
      <c r="Q7540" s="8">
        <f>+(23+41/60+5/3600)</f>
        <v>23.684722222222224</v>
      </c>
      <c r="R7540" s="8">
        <v>12.5</v>
      </c>
      <c r="S7540" s="8">
        <v>13.5</v>
      </c>
      <c r="T7540" s="8">
        <v>1</v>
      </c>
      <c r="U7540" s="8">
        <v>12.8</v>
      </c>
      <c r="V7540" s="8">
        <v>1.5</v>
      </c>
      <c r="W7540" s="8">
        <v>1.2</v>
      </c>
      <c r="X7540" s="8">
        <v>165</v>
      </c>
      <c r="Y7540" s="8" t="s">
        <v>446</v>
      </c>
      <c r="Z7540" s="8" t="s">
        <v>447</v>
      </c>
    </row>
    <row r="7541" spans="1:26" x14ac:dyDescent="0.2">
      <c r="A7541" s="8">
        <v>7540</v>
      </c>
      <c r="B7541" s="8" t="s">
        <v>33366</v>
      </c>
      <c r="C7541" s="8" t="s">
        <v>33366</v>
      </c>
      <c r="E7541" s="8">
        <v>1</v>
      </c>
      <c r="F7541" s="47"/>
      <c r="G7541" s="8">
        <v>18</v>
      </c>
      <c r="H7541" s="8" t="s">
        <v>21</v>
      </c>
      <c r="I7541" s="8" t="s">
        <v>22</v>
      </c>
      <c r="J7541" s="8" t="s">
        <v>22</v>
      </c>
      <c r="K7541" s="8" t="s">
        <v>50</v>
      </c>
      <c r="L7541" s="8" t="s">
        <v>24</v>
      </c>
      <c r="M7541" s="8" t="s">
        <v>25</v>
      </c>
      <c r="N7541" s="8" t="s">
        <v>33367</v>
      </c>
      <c r="O7541" s="8">
        <f>23+14/60+36.1/3600</f>
        <v>23.243361111111113</v>
      </c>
      <c r="P7541" s="8" t="s">
        <v>33368</v>
      </c>
      <c r="Q7541" s="8">
        <f>+(15+57/60+1/3600)</f>
        <v>15.950277777777776</v>
      </c>
      <c r="R7541" s="8">
        <v>14.7</v>
      </c>
      <c r="S7541" s="8">
        <v>15.7</v>
      </c>
      <c r="T7541" s="8">
        <v>1</v>
      </c>
      <c r="U7541" s="8">
        <v>12.7</v>
      </c>
      <c r="V7541" s="8">
        <v>0.5</v>
      </c>
      <c r="W7541" s="8">
        <v>0.3</v>
      </c>
      <c r="X7541" s="8">
        <v>160</v>
      </c>
      <c r="Y7541" s="8" t="s">
        <v>256</v>
      </c>
      <c r="Z7541" s="8" t="s">
        <v>2209</v>
      </c>
    </row>
    <row r="7542" spans="1:26" x14ac:dyDescent="0.2">
      <c r="A7542" s="8">
        <v>7541</v>
      </c>
      <c r="B7542" s="8" t="s">
        <v>33369</v>
      </c>
      <c r="C7542" s="8" t="s">
        <v>33369</v>
      </c>
      <c r="F7542" s="47" t="s">
        <v>58376</v>
      </c>
      <c r="G7542" s="8">
        <v>6.5</v>
      </c>
      <c r="H7542" s="8" t="s">
        <v>21</v>
      </c>
      <c r="I7542" s="8" t="s">
        <v>22</v>
      </c>
      <c r="J7542" s="8" t="s">
        <v>22</v>
      </c>
      <c r="K7542" s="8" t="s">
        <v>64</v>
      </c>
      <c r="L7542" s="8" t="s">
        <v>38</v>
      </c>
      <c r="M7542" s="8" t="s">
        <v>39</v>
      </c>
      <c r="N7542" s="8" t="s">
        <v>33370</v>
      </c>
      <c r="O7542" s="8">
        <f>23+14/60+43.2/3600</f>
        <v>23.245333333333335</v>
      </c>
      <c r="P7542" s="8" t="s">
        <v>33371</v>
      </c>
      <c r="Q7542" s="8">
        <f>+(4+32/60+4/3600)</f>
        <v>4.5344444444444445</v>
      </c>
      <c r="R7542" s="8">
        <v>11.7</v>
      </c>
      <c r="S7542" s="8">
        <v>12.4</v>
      </c>
      <c r="T7542" s="8">
        <v>0.7</v>
      </c>
      <c r="U7542" s="8">
        <v>13.2</v>
      </c>
      <c r="V7542" s="8">
        <v>3.5</v>
      </c>
      <c r="W7542" s="8">
        <v>1.2</v>
      </c>
      <c r="X7542" s="8">
        <v>102</v>
      </c>
      <c r="Y7542" s="8" t="s">
        <v>33372</v>
      </c>
      <c r="Z7542" s="8" t="s">
        <v>33373</v>
      </c>
    </row>
    <row r="7543" spans="1:26" x14ac:dyDescent="0.2">
      <c r="A7543" s="8">
        <v>7542</v>
      </c>
      <c r="B7543" s="8" t="s">
        <v>33374</v>
      </c>
      <c r="C7543" s="8" t="s">
        <v>33374</v>
      </c>
      <c r="F7543" s="47"/>
      <c r="G7543" s="8">
        <v>18</v>
      </c>
      <c r="H7543" s="8" t="s">
        <v>21</v>
      </c>
      <c r="I7543" s="8" t="s">
        <v>22</v>
      </c>
      <c r="J7543" s="8" t="s">
        <v>22</v>
      </c>
      <c r="K7543" s="8" t="s">
        <v>449</v>
      </c>
      <c r="L7543" s="8" t="s">
        <v>24</v>
      </c>
      <c r="M7543" s="8" t="s">
        <v>25</v>
      </c>
      <c r="N7543" s="8" t="s">
        <v>33375</v>
      </c>
      <c r="O7543" s="8">
        <f>23+14/60+41.7/3600</f>
        <v>23.244916666666668</v>
      </c>
      <c r="P7543" s="8" t="s">
        <v>33376</v>
      </c>
      <c r="Q7543" s="8">
        <f>+(10+38/60+36/3600)</f>
        <v>10.643333333333333</v>
      </c>
      <c r="R7543" s="8">
        <v>14.5</v>
      </c>
      <c r="S7543" s="8">
        <v>15.3</v>
      </c>
      <c r="T7543" s="8">
        <v>0.8</v>
      </c>
      <c r="U7543" s="8">
        <v>12.8</v>
      </c>
      <c r="V7543" s="8">
        <v>0.8</v>
      </c>
      <c r="W7543" s="8">
        <v>0.5</v>
      </c>
      <c r="X7543" s="8">
        <v>117</v>
      </c>
      <c r="Y7543" s="8" t="s">
        <v>11909</v>
      </c>
      <c r="Z7543" s="8" t="s">
        <v>11910</v>
      </c>
    </row>
    <row r="7544" spans="1:26" x14ac:dyDescent="0.2">
      <c r="A7544" s="8">
        <v>7543</v>
      </c>
      <c r="B7544" s="8" t="s">
        <v>33377</v>
      </c>
      <c r="C7544" s="8" t="s">
        <v>33377</v>
      </c>
      <c r="F7544" s="47"/>
      <c r="G7544" s="8">
        <v>19</v>
      </c>
      <c r="H7544" s="8" t="s">
        <v>21</v>
      </c>
      <c r="I7544" s="8" t="s">
        <v>22</v>
      </c>
      <c r="J7544" s="8" t="s">
        <v>22</v>
      </c>
      <c r="K7544" s="8" t="s">
        <v>396</v>
      </c>
      <c r="L7544" s="8" t="s">
        <v>24</v>
      </c>
      <c r="M7544" s="8" t="s">
        <v>25</v>
      </c>
      <c r="N7544" s="8" t="s">
        <v>33378</v>
      </c>
      <c r="O7544" s="8">
        <f>23+14/60+34.5/3600</f>
        <v>23.242916666666666</v>
      </c>
      <c r="P7544" s="8" t="s">
        <v>33379</v>
      </c>
      <c r="Q7544" s="8">
        <f>+(28+19/60+40/3600)</f>
        <v>28.327777777777779</v>
      </c>
      <c r="R7544" s="8">
        <v>13.2</v>
      </c>
      <c r="S7544" s="8">
        <v>14</v>
      </c>
      <c r="T7544" s="8">
        <v>0.8</v>
      </c>
      <c r="U7544" s="8">
        <v>13</v>
      </c>
      <c r="V7544" s="8">
        <v>1.1000000000000001</v>
      </c>
      <c r="W7544" s="8">
        <v>0.9</v>
      </c>
      <c r="X7544" s="8">
        <v>140</v>
      </c>
      <c r="Y7544" s="8" t="s">
        <v>10836</v>
      </c>
      <c r="Z7544" s="8" t="s">
        <v>10837</v>
      </c>
    </row>
    <row r="7545" spans="1:26" x14ac:dyDescent="0.2">
      <c r="A7545" s="8">
        <v>7544</v>
      </c>
      <c r="B7545" s="8" t="s">
        <v>33380</v>
      </c>
      <c r="C7545" s="8" t="s">
        <v>33380</v>
      </c>
      <c r="F7545" s="47"/>
      <c r="G7545" s="8">
        <v>18</v>
      </c>
      <c r="H7545" s="8" t="s">
        <v>21</v>
      </c>
      <c r="I7545" s="8" t="s">
        <v>22</v>
      </c>
      <c r="J7545" s="8" t="s">
        <v>22</v>
      </c>
      <c r="K7545" s="8" t="s">
        <v>37</v>
      </c>
      <c r="L7545" s="8" t="s">
        <v>38</v>
      </c>
      <c r="M7545" s="8" t="s">
        <v>39</v>
      </c>
      <c r="N7545" s="8" t="s">
        <v>33381</v>
      </c>
      <c r="O7545" s="8">
        <f>23+14/60+56.9/3600</f>
        <v>23.24913888888889</v>
      </c>
      <c r="P7545" s="8" t="s">
        <v>33382</v>
      </c>
      <c r="Q7545" s="8">
        <f>-(2+11/60+56/3600)</f>
        <v>-2.1988888888888889</v>
      </c>
      <c r="R7545" s="8">
        <v>15.1</v>
      </c>
      <c r="S7545" s="8">
        <v>16.100000000000001</v>
      </c>
      <c r="T7545" s="8">
        <v>1</v>
      </c>
      <c r="U7545" s="8">
        <v>13</v>
      </c>
      <c r="V7545" s="8">
        <v>0.8</v>
      </c>
      <c r="W7545" s="8">
        <v>0.2</v>
      </c>
      <c r="X7545" s="8">
        <v>58</v>
      </c>
      <c r="Y7545" s="8" t="s">
        <v>266</v>
      </c>
      <c r="Z7545" s="8" t="s">
        <v>267</v>
      </c>
    </row>
    <row r="7546" spans="1:26" x14ac:dyDescent="0.2">
      <c r="A7546" s="8">
        <v>7545</v>
      </c>
      <c r="B7546" s="8" t="s">
        <v>33383</v>
      </c>
      <c r="C7546" s="8" t="s">
        <v>33383</v>
      </c>
      <c r="F7546" s="47"/>
      <c r="G7546" s="8">
        <v>16</v>
      </c>
      <c r="H7546" s="8" t="s">
        <v>21</v>
      </c>
      <c r="I7546" s="8" t="s">
        <v>22</v>
      </c>
      <c r="J7546" s="8" t="s">
        <v>22</v>
      </c>
      <c r="K7546" s="8" t="s">
        <v>218</v>
      </c>
      <c r="L7546" s="8" t="s">
        <v>31389</v>
      </c>
      <c r="M7546" s="8" t="s">
        <v>31390</v>
      </c>
      <c r="N7546" s="8" t="s">
        <v>33384</v>
      </c>
      <c r="O7546" s="8">
        <f>23+15/60+32.3/3600</f>
        <v>23.258972222222223</v>
      </c>
      <c r="P7546" s="8" t="s">
        <v>33385</v>
      </c>
      <c r="Q7546" s="8">
        <f>-(38+32/60+6/3600)</f>
        <v>-38.534999999999997</v>
      </c>
      <c r="R7546" s="8">
        <v>13.1</v>
      </c>
      <c r="S7546" s="8">
        <v>13.9</v>
      </c>
      <c r="T7546" s="8">
        <v>0.8</v>
      </c>
      <c r="U7546" s="8">
        <v>12.7</v>
      </c>
      <c r="V7546" s="8">
        <v>1.1000000000000001</v>
      </c>
      <c r="W7546" s="8">
        <v>0.7</v>
      </c>
      <c r="X7546" s="8">
        <v>80</v>
      </c>
      <c r="Y7546" s="8" t="s">
        <v>33386</v>
      </c>
      <c r="Z7546" s="8" t="s">
        <v>33387</v>
      </c>
    </row>
    <row r="7547" spans="1:26" x14ac:dyDescent="0.2">
      <c r="A7547" s="8">
        <v>7546</v>
      </c>
      <c r="B7547" s="8" t="s">
        <v>33388</v>
      </c>
      <c r="C7547" s="8" t="s">
        <v>33388</v>
      </c>
      <c r="F7547" s="47"/>
      <c r="G7547" s="8">
        <v>18</v>
      </c>
      <c r="H7547" s="8" t="s">
        <v>21</v>
      </c>
      <c r="I7547" s="8" t="s">
        <v>22</v>
      </c>
      <c r="J7547" s="8" t="s">
        <v>22</v>
      </c>
      <c r="K7547" s="8" t="s">
        <v>85</v>
      </c>
      <c r="L7547" s="8" t="s">
        <v>38</v>
      </c>
      <c r="M7547" s="8" t="s">
        <v>39</v>
      </c>
      <c r="N7547" s="8" t="s">
        <v>33389</v>
      </c>
      <c r="O7547" s="8">
        <f>23+15/60+5.5/3600</f>
        <v>23.251527777777778</v>
      </c>
      <c r="P7547" s="8" t="s">
        <v>33390</v>
      </c>
      <c r="Q7547" s="8">
        <f>-(2+19/60+32/3600)</f>
        <v>-2.3255555555555554</v>
      </c>
      <c r="R7547" s="8">
        <v>15.1</v>
      </c>
      <c r="S7547" s="8">
        <v>15.9</v>
      </c>
      <c r="T7547" s="8">
        <v>0.8</v>
      </c>
      <c r="U7547" s="8">
        <v>14.9</v>
      </c>
      <c r="V7547" s="8">
        <v>1.1000000000000001</v>
      </c>
      <c r="W7547" s="8">
        <v>0.9</v>
      </c>
      <c r="X7547" s="8">
        <v>5</v>
      </c>
      <c r="Y7547" s="8" t="s">
        <v>146</v>
      </c>
      <c r="Z7547" s="8" t="s">
        <v>147</v>
      </c>
    </row>
    <row r="7548" spans="1:26" x14ac:dyDescent="0.2">
      <c r="A7548" s="8">
        <v>7547</v>
      </c>
      <c r="B7548" s="8" t="s">
        <v>33391</v>
      </c>
      <c r="C7548" s="8" t="s">
        <v>33391</v>
      </c>
      <c r="F7548" s="47"/>
      <c r="G7548" s="8">
        <v>16</v>
      </c>
      <c r="H7548" s="8" t="s">
        <v>21</v>
      </c>
      <c r="I7548" s="8" t="s">
        <v>22</v>
      </c>
      <c r="J7548" s="8" t="s">
        <v>22</v>
      </c>
      <c r="K7548" s="8" t="s">
        <v>7975</v>
      </c>
      <c r="L7548" s="8" t="s">
        <v>24</v>
      </c>
      <c r="M7548" s="8" t="s">
        <v>25</v>
      </c>
      <c r="N7548" s="8" t="s">
        <v>33392</v>
      </c>
      <c r="O7548" s="8">
        <f>23+15/60+3.4/3600</f>
        <v>23.250944444444446</v>
      </c>
      <c r="P7548" s="8" t="s">
        <v>33393</v>
      </c>
      <c r="Q7548" s="8">
        <f>+(18+58/60+25/3600)</f>
        <v>18.973611111111108</v>
      </c>
      <c r="R7548" s="8">
        <v>13.7</v>
      </c>
      <c r="S7548" s="8">
        <v>14.6</v>
      </c>
      <c r="T7548" s="8">
        <v>0.9</v>
      </c>
      <c r="U7548" s="8">
        <v>12.6</v>
      </c>
      <c r="V7548" s="8">
        <v>1.1000000000000001</v>
      </c>
      <c r="W7548" s="8">
        <v>0.5</v>
      </c>
      <c r="X7548" s="8">
        <v>98</v>
      </c>
      <c r="Y7548" s="8" t="s">
        <v>1794</v>
      </c>
      <c r="Z7548" s="8" t="s">
        <v>1795</v>
      </c>
    </row>
    <row r="7549" spans="1:26" x14ac:dyDescent="0.2">
      <c r="A7549" s="8">
        <v>7548</v>
      </c>
      <c r="B7549" s="8" t="s">
        <v>33394</v>
      </c>
      <c r="C7549" s="8" t="s">
        <v>33394</v>
      </c>
      <c r="F7549" s="47"/>
      <c r="G7549" s="8">
        <v>17</v>
      </c>
      <c r="H7549" s="8" t="s">
        <v>21</v>
      </c>
      <c r="I7549" s="8" t="s">
        <v>22</v>
      </c>
      <c r="J7549" s="8" t="s">
        <v>22</v>
      </c>
      <c r="K7549" s="8" t="s">
        <v>224</v>
      </c>
      <c r="L7549" s="8" t="s">
        <v>24</v>
      </c>
      <c r="M7549" s="8" t="s">
        <v>25</v>
      </c>
      <c r="N7549" s="8" t="s">
        <v>33395</v>
      </c>
      <c r="O7549" s="8">
        <f>23+15/60+11.1/3600</f>
        <v>23.253083333333333</v>
      </c>
      <c r="P7549" s="8" t="s">
        <v>33396</v>
      </c>
      <c r="Q7549" s="8">
        <f>+(25+16/60+55/3600)</f>
        <v>25.281944444444445</v>
      </c>
      <c r="R7549" s="8">
        <v>13.3</v>
      </c>
      <c r="S7549" s="8">
        <v>14.3</v>
      </c>
      <c r="T7549" s="8">
        <v>1</v>
      </c>
      <c r="U7549" s="8">
        <v>13.2</v>
      </c>
      <c r="V7549" s="8">
        <v>1.1000000000000001</v>
      </c>
      <c r="W7549" s="8">
        <v>0.9</v>
      </c>
      <c r="X7549" s="8">
        <v>15</v>
      </c>
      <c r="Y7549" s="8" t="s">
        <v>33397</v>
      </c>
      <c r="Z7549" s="8" t="s">
        <v>33398</v>
      </c>
    </row>
    <row r="7550" spans="1:26" x14ac:dyDescent="0.2">
      <c r="A7550" s="8">
        <v>7549</v>
      </c>
      <c r="B7550" s="8" t="s">
        <v>33399</v>
      </c>
      <c r="C7550" s="8" t="s">
        <v>33399</v>
      </c>
      <c r="F7550" s="47"/>
      <c r="G7550" s="8">
        <v>18</v>
      </c>
      <c r="H7550" s="8" t="s">
        <v>21</v>
      </c>
      <c r="I7550" s="8" t="s">
        <v>22</v>
      </c>
      <c r="J7550" s="8" t="s">
        <v>22</v>
      </c>
      <c r="K7550" s="8" t="s">
        <v>520</v>
      </c>
      <c r="L7550" s="8" t="s">
        <v>24</v>
      </c>
      <c r="M7550" s="8" t="s">
        <v>25</v>
      </c>
      <c r="N7550" s="8" t="s">
        <v>33400</v>
      </c>
      <c r="O7550" s="8">
        <f>23+15/60+17.1/3600</f>
        <v>23.254750000000001</v>
      </c>
      <c r="P7550" s="8" t="s">
        <v>33401</v>
      </c>
      <c r="Q7550" s="8">
        <f>+(19+2/60+29/3600)</f>
        <v>19.041388888888889</v>
      </c>
      <c r="R7550" s="8">
        <v>13</v>
      </c>
      <c r="S7550" s="8">
        <v>13.7</v>
      </c>
      <c r="T7550" s="8">
        <v>0.7</v>
      </c>
      <c r="U7550" s="8">
        <v>13.8</v>
      </c>
      <c r="V7550" s="8">
        <v>2.8</v>
      </c>
      <c r="W7550" s="8">
        <v>0.7</v>
      </c>
      <c r="X7550" s="8">
        <v>8</v>
      </c>
      <c r="Y7550" s="8" t="s">
        <v>33402</v>
      </c>
      <c r="Z7550" s="8" t="s">
        <v>33403</v>
      </c>
    </row>
    <row r="7551" spans="1:26" x14ac:dyDescent="0.2">
      <c r="A7551" s="8">
        <v>7550</v>
      </c>
      <c r="B7551" s="8" t="s">
        <v>33404</v>
      </c>
      <c r="C7551" s="8" t="s">
        <v>33404</v>
      </c>
      <c r="F7551" s="47" t="s">
        <v>58377</v>
      </c>
      <c r="G7551" s="8">
        <v>15</v>
      </c>
      <c r="H7551" s="8" t="s">
        <v>21</v>
      </c>
      <c r="I7551" s="8" t="s">
        <v>22</v>
      </c>
      <c r="J7551" s="8" t="s">
        <v>22</v>
      </c>
      <c r="K7551" s="8" t="s">
        <v>58</v>
      </c>
      <c r="L7551" s="8" t="s">
        <v>24</v>
      </c>
      <c r="M7551" s="8" t="s">
        <v>25</v>
      </c>
      <c r="N7551" s="8" t="s">
        <v>33405</v>
      </c>
      <c r="O7551" s="8">
        <f>23+15/60+16/3600</f>
        <v>23.254444444444445</v>
      </c>
      <c r="P7551" s="8" t="s">
        <v>33406</v>
      </c>
      <c r="Q7551" s="8">
        <f>+(18+57/60+39/3600)</f>
        <v>18.960833333333333</v>
      </c>
      <c r="R7551" s="8">
        <v>12.2</v>
      </c>
      <c r="S7551" s="8">
        <v>13.2</v>
      </c>
      <c r="T7551" s="8">
        <v>1</v>
      </c>
      <c r="U7551" s="8">
        <v>12.6</v>
      </c>
      <c r="V7551" s="8">
        <v>1.4</v>
      </c>
      <c r="W7551" s="8">
        <v>1.2</v>
      </c>
      <c r="X7551" s="8">
        <v>171</v>
      </c>
      <c r="Y7551" s="8" t="s">
        <v>1932</v>
      </c>
      <c r="Z7551" s="8" t="s">
        <v>1933</v>
      </c>
    </row>
    <row r="7552" spans="1:26" x14ac:dyDescent="0.2">
      <c r="A7552" s="8">
        <v>7551</v>
      </c>
      <c r="B7552" s="8" t="s">
        <v>33407</v>
      </c>
      <c r="C7552" s="8" t="s">
        <v>33407</v>
      </c>
      <c r="F7552" s="47"/>
      <c r="G7552" s="8">
        <v>18</v>
      </c>
      <c r="H7552" s="8" t="s">
        <v>21</v>
      </c>
      <c r="I7552" s="8" t="s">
        <v>22</v>
      </c>
      <c r="J7552" s="8" t="s">
        <v>22</v>
      </c>
      <c r="K7552" s="8" t="s">
        <v>449</v>
      </c>
      <c r="L7552" s="8" t="s">
        <v>24</v>
      </c>
      <c r="M7552" s="8" t="s">
        <v>25</v>
      </c>
      <c r="N7552" s="8" t="s">
        <v>33408</v>
      </c>
      <c r="O7552" s="8">
        <f>23+15/60+22/3600</f>
        <v>23.25611111111111</v>
      </c>
      <c r="P7552" s="8" t="s">
        <v>33409</v>
      </c>
      <c r="Q7552" s="8">
        <f>+(15+56/60+27/3600)</f>
        <v>15.940833333333334</v>
      </c>
      <c r="R7552" s="8">
        <v>16.2</v>
      </c>
      <c r="S7552" s="8">
        <v>17</v>
      </c>
      <c r="T7552" s="8">
        <v>0.8</v>
      </c>
      <c r="U7552" s="8">
        <v>13</v>
      </c>
      <c r="V7552" s="8">
        <v>0.3</v>
      </c>
      <c r="W7552" s="8">
        <v>0.2</v>
      </c>
      <c r="X7552" s="8">
        <v>150</v>
      </c>
      <c r="Y7552" s="8" t="s">
        <v>27153</v>
      </c>
      <c r="Z7552" s="8" t="s">
        <v>14153</v>
      </c>
    </row>
    <row r="7553" spans="1:26" x14ac:dyDescent="0.2">
      <c r="A7553" s="8">
        <v>7552</v>
      </c>
      <c r="B7553" s="8" t="s">
        <v>33410</v>
      </c>
      <c r="C7553" s="8" t="s">
        <v>33410</v>
      </c>
      <c r="F7553" s="47"/>
      <c r="G7553" s="8">
        <v>10</v>
      </c>
      <c r="H7553" s="8" t="s">
        <v>33411</v>
      </c>
      <c r="I7553" s="8" t="s">
        <v>22</v>
      </c>
      <c r="J7553" s="8" t="s">
        <v>22</v>
      </c>
      <c r="K7553" s="8" t="s">
        <v>406</v>
      </c>
      <c r="L7553" s="8" t="s">
        <v>31389</v>
      </c>
      <c r="M7553" s="8" t="s">
        <v>31390</v>
      </c>
      <c r="N7553" s="8" t="s">
        <v>33412</v>
      </c>
      <c r="O7553" s="8">
        <f>23+16/60+10.6/3600</f>
        <v>23.269611111111111</v>
      </c>
      <c r="P7553" s="8" t="s">
        <v>33413</v>
      </c>
      <c r="Q7553" s="8">
        <f>-(42+35/60+5/3600)</f>
        <v>-42.584722222222226</v>
      </c>
      <c r="R7553" s="8">
        <v>10.6</v>
      </c>
      <c r="S7553" s="8">
        <v>11.3</v>
      </c>
      <c r="T7553" s="8">
        <v>0.7</v>
      </c>
      <c r="U7553" s="8">
        <v>12.9</v>
      </c>
      <c r="V7553" s="8">
        <v>3.4</v>
      </c>
      <c r="W7553" s="8">
        <v>2.7</v>
      </c>
      <c r="X7553" s="8">
        <v>1</v>
      </c>
      <c r="Y7553" s="8" t="s">
        <v>33414</v>
      </c>
      <c r="Z7553" s="8" t="s">
        <v>33415</v>
      </c>
    </row>
    <row r="7554" spans="1:26" x14ac:dyDescent="0.2">
      <c r="A7554" s="8">
        <v>7553</v>
      </c>
      <c r="B7554" s="8" t="s">
        <v>33416</v>
      </c>
      <c r="C7554" s="8" t="s">
        <v>33416</v>
      </c>
      <c r="F7554" s="47"/>
      <c r="G7554" s="8">
        <v>18</v>
      </c>
      <c r="H7554" s="8" t="s">
        <v>21</v>
      </c>
      <c r="I7554" s="8" t="s">
        <v>22</v>
      </c>
      <c r="J7554" s="8" t="s">
        <v>22</v>
      </c>
      <c r="K7554" s="8" t="s">
        <v>818</v>
      </c>
      <c r="L7554" s="8" t="s">
        <v>24</v>
      </c>
      <c r="M7554" s="8" t="s">
        <v>25</v>
      </c>
      <c r="N7554" s="8" t="s">
        <v>33417</v>
      </c>
      <c r="O7554" s="8">
        <f>23+15/60+33/3600</f>
        <v>23.259166666666665</v>
      </c>
      <c r="P7554" s="8" t="s">
        <v>33418</v>
      </c>
      <c r="Q7554" s="8">
        <f>+(19+2/60+55/3600)</f>
        <v>19.048611111111114</v>
      </c>
      <c r="R7554" s="8">
        <v>14.4</v>
      </c>
      <c r="S7554" s="8">
        <v>15.4</v>
      </c>
      <c r="T7554" s="8">
        <v>1</v>
      </c>
      <c r="U7554" s="8">
        <v>12.3</v>
      </c>
      <c r="V7554" s="8">
        <v>0.4</v>
      </c>
      <c r="W7554" s="8">
        <v>0.4</v>
      </c>
      <c r="Y7554" s="8" t="s">
        <v>421</v>
      </c>
      <c r="Z7554" s="8" t="s">
        <v>422</v>
      </c>
    </row>
    <row r="7555" spans="1:26" x14ac:dyDescent="0.2">
      <c r="A7555" s="8">
        <v>7554</v>
      </c>
      <c r="B7555" s="8" t="s">
        <v>33419</v>
      </c>
      <c r="C7555" s="8" t="s">
        <v>33419</v>
      </c>
      <c r="F7555" s="47"/>
      <c r="G7555" s="8">
        <v>18</v>
      </c>
      <c r="H7555" s="8" t="s">
        <v>21</v>
      </c>
      <c r="I7555" s="8" t="s">
        <v>22</v>
      </c>
      <c r="J7555" s="8" t="s">
        <v>22</v>
      </c>
      <c r="K7555" s="8" t="s">
        <v>460</v>
      </c>
      <c r="L7555" s="8" t="s">
        <v>38</v>
      </c>
      <c r="M7555" s="8" t="s">
        <v>39</v>
      </c>
      <c r="N7555" s="8" t="s">
        <v>33420</v>
      </c>
      <c r="O7555" s="8">
        <f>23+15/60+41.3/3600</f>
        <v>23.261472222222221</v>
      </c>
      <c r="P7555" s="8" t="s">
        <v>33421</v>
      </c>
      <c r="Q7555" s="8">
        <f>-(2+22/60+41/3600)</f>
        <v>-2.3780555555555556</v>
      </c>
      <c r="R7555" s="8">
        <v>14.9</v>
      </c>
      <c r="S7555" s="8">
        <v>15.9</v>
      </c>
      <c r="T7555" s="8">
        <v>1</v>
      </c>
      <c r="U7555" s="8">
        <v>13</v>
      </c>
      <c r="V7555" s="8">
        <v>0.4</v>
      </c>
      <c r="W7555" s="8">
        <v>0.4</v>
      </c>
      <c r="Y7555" s="8" t="s">
        <v>33422</v>
      </c>
      <c r="Z7555" s="8" t="s">
        <v>33423</v>
      </c>
    </row>
    <row r="7556" spans="1:26" x14ac:dyDescent="0.2">
      <c r="A7556" s="8">
        <v>7555</v>
      </c>
      <c r="B7556" s="8" t="s">
        <v>33424</v>
      </c>
      <c r="C7556" s="8" t="s">
        <v>33424</v>
      </c>
      <c r="F7556" s="47"/>
      <c r="G7556" s="8">
        <v>16</v>
      </c>
      <c r="H7556" s="8" t="s">
        <v>21</v>
      </c>
      <c r="I7556" s="8" t="s">
        <v>329</v>
      </c>
      <c r="J7556" s="8" t="s">
        <v>329</v>
      </c>
      <c r="K7556" s="8" t="s">
        <v>329</v>
      </c>
      <c r="L7556" s="8" t="s">
        <v>24</v>
      </c>
      <c r="M7556" s="8" t="s">
        <v>25</v>
      </c>
      <c r="N7556" s="8" t="s">
        <v>33425</v>
      </c>
      <c r="O7556" s="8">
        <f>23+15/60+30/3600</f>
        <v>23.258333333333333</v>
      </c>
      <c r="P7556" s="8" t="s">
        <v>33426</v>
      </c>
      <c r="Q7556" s="8">
        <f>+(12+34/60+0/3600)</f>
        <v>12.566666666666666</v>
      </c>
      <c r="R7556" s="8">
        <v>99</v>
      </c>
      <c r="S7556" s="8">
        <v>99</v>
      </c>
      <c r="T7556" s="8">
        <v>99</v>
      </c>
      <c r="U7556" s="8">
        <v>99</v>
      </c>
      <c r="Y7556" s="8" t="s">
        <v>33427</v>
      </c>
      <c r="Z7556" s="8" t="s">
        <v>33428</v>
      </c>
    </row>
    <row r="7557" spans="1:26" x14ac:dyDescent="0.2">
      <c r="A7557" s="8">
        <v>7556</v>
      </c>
      <c r="B7557" s="8" t="s">
        <v>33429</v>
      </c>
      <c r="C7557" s="8" t="s">
        <v>33429</v>
      </c>
      <c r="F7557" s="47" t="s">
        <v>58378</v>
      </c>
      <c r="G7557" s="8">
        <v>15</v>
      </c>
      <c r="H7557" s="8" t="s">
        <v>21</v>
      </c>
      <c r="I7557" s="8" t="s">
        <v>22</v>
      </c>
      <c r="J7557" s="8" t="s">
        <v>22</v>
      </c>
      <c r="K7557" s="8" t="s">
        <v>58</v>
      </c>
      <c r="L7557" s="8" t="s">
        <v>38</v>
      </c>
      <c r="M7557" s="8" t="s">
        <v>39</v>
      </c>
      <c r="N7557" s="8" t="s">
        <v>33430</v>
      </c>
      <c r="O7557" s="8">
        <f>23+15/60+44.4/3600</f>
        <v>23.262333333333334</v>
      </c>
      <c r="P7557" s="8" t="s">
        <v>33431</v>
      </c>
      <c r="Q7557" s="8">
        <f>-(2+22/60+53/3600)</f>
        <v>-2.381388888888889</v>
      </c>
      <c r="R7557" s="8">
        <v>12.7</v>
      </c>
      <c r="S7557" s="8">
        <v>13.7</v>
      </c>
      <c r="T7557" s="8">
        <v>1</v>
      </c>
      <c r="U7557" s="8">
        <v>14.3</v>
      </c>
      <c r="V7557" s="8">
        <v>2.5</v>
      </c>
      <c r="W7557" s="8">
        <v>1.6</v>
      </c>
      <c r="X7557" s="8">
        <v>123</v>
      </c>
      <c r="Y7557" s="8" t="s">
        <v>33432</v>
      </c>
      <c r="Z7557" s="8" t="s">
        <v>33433</v>
      </c>
    </row>
    <row r="7558" spans="1:26" x14ac:dyDescent="0.2">
      <c r="A7558" s="8">
        <v>7557</v>
      </c>
      <c r="B7558" s="8" t="s">
        <v>33434</v>
      </c>
      <c r="C7558" s="8" t="s">
        <v>33434</v>
      </c>
      <c r="F7558" s="47"/>
      <c r="G7558" s="8">
        <v>18</v>
      </c>
      <c r="H7558" s="8" t="s">
        <v>21</v>
      </c>
      <c r="I7558" s="8" t="s">
        <v>22</v>
      </c>
      <c r="J7558" s="8" t="s">
        <v>22</v>
      </c>
      <c r="K7558" s="8" t="s">
        <v>449</v>
      </c>
      <c r="L7558" s="8" t="s">
        <v>38</v>
      </c>
      <c r="M7558" s="8" t="s">
        <v>39</v>
      </c>
      <c r="N7558" s="8" t="s">
        <v>33435</v>
      </c>
      <c r="O7558" s="8">
        <f>23+15/60+39.7/3600</f>
        <v>23.261027777777777</v>
      </c>
      <c r="P7558" s="8" t="s">
        <v>33436</v>
      </c>
      <c r="Q7558" s="8">
        <f>+(6+42/60+32/3600)</f>
        <v>6.7088888888888887</v>
      </c>
      <c r="R7558" s="8">
        <v>14.2</v>
      </c>
      <c r="S7558" s="8">
        <v>15.2</v>
      </c>
      <c r="T7558" s="8">
        <v>1</v>
      </c>
      <c r="U7558" s="8">
        <v>13.1</v>
      </c>
      <c r="V7558" s="8">
        <v>0.6</v>
      </c>
      <c r="W7558" s="8">
        <v>0.6</v>
      </c>
      <c r="Y7558" s="8" t="s">
        <v>3093</v>
      </c>
      <c r="Z7558" s="8" t="s">
        <v>3094</v>
      </c>
    </row>
    <row r="7559" spans="1:26" x14ac:dyDescent="0.2">
      <c r="A7559" s="8">
        <v>7558</v>
      </c>
      <c r="B7559" s="8" t="s">
        <v>33437</v>
      </c>
      <c r="C7559" s="8" t="s">
        <v>33437</v>
      </c>
      <c r="F7559" s="47"/>
      <c r="G7559" s="8">
        <v>18</v>
      </c>
      <c r="H7559" s="8" t="s">
        <v>21</v>
      </c>
      <c r="I7559" s="8" t="s">
        <v>22</v>
      </c>
      <c r="J7559" s="8" t="s">
        <v>22</v>
      </c>
      <c r="K7559" s="8" t="s">
        <v>58</v>
      </c>
      <c r="L7559" s="8" t="s">
        <v>24</v>
      </c>
      <c r="M7559" s="8" t="s">
        <v>25</v>
      </c>
      <c r="N7559" s="8" t="s">
        <v>33438</v>
      </c>
      <c r="O7559" s="8">
        <f>23+15/60+38.2/3600</f>
        <v>23.26061111111111</v>
      </c>
      <c r="P7559" s="8" t="s">
        <v>33439</v>
      </c>
      <c r="Q7559" s="8">
        <f>+(18+55/60+13/3600)</f>
        <v>18.92027777777778</v>
      </c>
      <c r="R7559" s="8">
        <v>14.9</v>
      </c>
      <c r="S7559" s="8">
        <v>15.9</v>
      </c>
      <c r="T7559" s="8">
        <v>1</v>
      </c>
      <c r="U7559" s="8">
        <v>12.9</v>
      </c>
      <c r="V7559" s="8">
        <v>0.4</v>
      </c>
      <c r="W7559" s="8">
        <v>0.4</v>
      </c>
      <c r="Y7559" s="8" t="s">
        <v>33440</v>
      </c>
      <c r="Z7559" s="8" t="s">
        <v>33441</v>
      </c>
    </row>
    <row r="7560" spans="1:26" x14ac:dyDescent="0.2">
      <c r="A7560" s="8">
        <v>7559</v>
      </c>
      <c r="B7560" s="8" t="s">
        <v>33442</v>
      </c>
      <c r="C7560" s="8" t="s">
        <v>33442</v>
      </c>
      <c r="D7560" s="8" t="s">
        <v>351</v>
      </c>
      <c r="F7560" s="47" t="s">
        <v>58379</v>
      </c>
      <c r="G7560" s="8">
        <v>15</v>
      </c>
      <c r="H7560" s="8" t="s">
        <v>21</v>
      </c>
      <c r="I7560" s="8" t="s">
        <v>22</v>
      </c>
      <c r="J7560" s="8" t="s">
        <v>22</v>
      </c>
      <c r="K7560" s="8" t="s">
        <v>58</v>
      </c>
      <c r="L7560" s="8" t="s">
        <v>24</v>
      </c>
      <c r="M7560" s="8" t="s">
        <v>25</v>
      </c>
      <c r="N7560" s="8" t="s">
        <v>33443</v>
      </c>
      <c r="O7560" s="8">
        <f>23+15/60+46.5/3600</f>
        <v>23.262916666666666</v>
      </c>
      <c r="P7560" s="8" t="s">
        <v>33444</v>
      </c>
      <c r="Q7560" s="8">
        <f>+(13+17/60+25/3600)</f>
        <v>13.290277777777778</v>
      </c>
      <c r="R7560" s="8">
        <v>13.7</v>
      </c>
      <c r="S7560" s="8">
        <v>14.7</v>
      </c>
      <c r="T7560" s="8">
        <v>1</v>
      </c>
      <c r="U7560" s="8">
        <v>13.5</v>
      </c>
      <c r="V7560" s="8">
        <v>1</v>
      </c>
      <c r="W7560" s="8">
        <v>0.8</v>
      </c>
      <c r="X7560" s="8">
        <v>67</v>
      </c>
      <c r="Y7560" s="8" t="s">
        <v>33445</v>
      </c>
      <c r="Z7560" s="8" t="s">
        <v>33446</v>
      </c>
    </row>
    <row r="7561" spans="1:26" x14ac:dyDescent="0.2">
      <c r="A7561" s="8">
        <v>7560</v>
      </c>
      <c r="B7561" s="8" t="s">
        <v>33447</v>
      </c>
      <c r="C7561" s="8" t="s">
        <v>33447</v>
      </c>
      <c r="F7561" s="47"/>
      <c r="G7561" s="8">
        <v>18</v>
      </c>
      <c r="H7561" s="8" t="s">
        <v>21</v>
      </c>
      <c r="I7561" s="8" t="s">
        <v>72</v>
      </c>
      <c r="J7561" s="8" t="s">
        <v>72</v>
      </c>
      <c r="K7561" s="8" t="s">
        <v>73</v>
      </c>
      <c r="L7561" s="8" t="s">
        <v>38</v>
      </c>
      <c r="M7561" s="8" t="s">
        <v>39</v>
      </c>
      <c r="N7561" s="8" t="s">
        <v>33448</v>
      </c>
      <c r="O7561" s="8">
        <f>23+15/60+53.8/3600</f>
        <v>23.264944444444446</v>
      </c>
      <c r="P7561" s="8" t="s">
        <v>33449</v>
      </c>
      <c r="Q7561" s="8">
        <f>+(4+29/60+45/3600)</f>
        <v>4.4958333333333336</v>
      </c>
      <c r="R7561" s="8">
        <v>99</v>
      </c>
      <c r="S7561" s="8">
        <v>99</v>
      </c>
      <c r="T7561" s="8">
        <v>99</v>
      </c>
      <c r="U7561" s="8">
        <v>99</v>
      </c>
      <c r="Y7561" s="8" t="s">
        <v>33450</v>
      </c>
      <c r="Z7561" s="8" t="s">
        <v>33451</v>
      </c>
    </row>
    <row r="7562" spans="1:26" x14ac:dyDescent="0.2">
      <c r="A7562" s="8">
        <v>7561</v>
      </c>
      <c r="B7562" s="8" t="s">
        <v>33452</v>
      </c>
      <c r="C7562" s="8" t="s">
        <v>33452</v>
      </c>
      <c r="F7562" s="47"/>
      <c r="G7562" s="8">
        <v>18</v>
      </c>
      <c r="H7562" s="8" t="s">
        <v>21</v>
      </c>
      <c r="I7562" s="8" t="s">
        <v>72</v>
      </c>
      <c r="J7562" s="8" t="s">
        <v>72</v>
      </c>
      <c r="K7562" s="8" t="s">
        <v>20</v>
      </c>
      <c r="L7562" s="8" t="s">
        <v>38</v>
      </c>
      <c r="M7562" s="8" t="s">
        <v>39</v>
      </c>
      <c r="N7562" s="8" t="s">
        <v>33453</v>
      </c>
      <c r="O7562" s="8">
        <f>23+15/60+57.5/3600</f>
        <v>23.265972222222221</v>
      </c>
      <c r="P7562" s="8" t="s">
        <v>33454</v>
      </c>
      <c r="Q7562" s="8">
        <f>+(4+31/60+21/3600)</f>
        <v>4.5225</v>
      </c>
      <c r="R7562" s="8">
        <v>99</v>
      </c>
      <c r="S7562" s="8">
        <v>13.9</v>
      </c>
      <c r="T7562" s="8">
        <v>99</v>
      </c>
      <c r="U7562" s="8">
        <v>99</v>
      </c>
      <c r="Y7562" s="8" t="s">
        <v>33455</v>
      </c>
      <c r="Z7562" s="8" t="s">
        <v>33456</v>
      </c>
    </row>
    <row r="7563" spans="1:26" x14ac:dyDescent="0.2">
      <c r="A7563" s="8">
        <v>7562</v>
      </c>
      <c r="B7563" s="8" t="s">
        <v>33457</v>
      </c>
      <c r="C7563" s="8" t="s">
        <v>33457</v>
      </c>
      <c r="F7563" s="47" t="s">
        <v>58380</v>
      </c>
      <c r="G7563" s="8">
        <v>6.5</v>
      </c>
      <c r="H7563" s="8" t="s">
        <v>21</v>
      </c>
      <c r="I7563" s="8" t="s">
        <v>22</v>
      </c>
      <c r="J7563" s="8" t="s">
        <v>22</v>
      </c>
      <c r="K7563" s="8" t="s">
        <v>1136</v>
      </c>
      <c r="L7563" s="8" t="s">
        <v>38</v>
      </c>
      <c r="M7563" s="8" t="s">
        <v>39</v>
      </c>
      <c r="N7563" s="8" t="s">
        <v>33458</v>
      </c>
      <c r="O7563" s="8">
        <f>23+15/60+57.6/3600</f>
        <v>23.265999999999998</v>
      </c>
      <c r="P7563" s="8" t="s">
        <v>33459</v>
      </c>
      <c r="Q7563" s="8">
        <f>+(6+41/60+14/3600)</f>
        <v>6.6872222222222222</v>
      </c>
      <c r="R7563" s="8">
        <v>11.5</v>
      </c>
      <c r="S7563" s="8">
        <v>12.6</v>
      </c>
      <c r="T7563" s="8">
        <v>1.1000000000000001</v>
      </c>
      <c r="U7563" s="8">
        <v>12.8</v>
      </c>
      <c r="V7563" s="8">
        <v>2.2000000000000002</v>
      </c>
      <c r="W7563" s="8">
        <v>1.7</v>
      </c>
      <c r="X7563" s="8">
        <v>83</v>
      </c>
      <c r="Y7563" s="8" t="s">
        <v>33460</v>
      </c>
      <c r="Z7563" s="8" t="s">
        <v>33461</v>
      </c>
    </row>
    <row r="7564" spans="1:26" x14ac:dyDescent="0.2">
      <c r="A7564" s="8">
        <v>7563</v>
      </c>
      <c r="B7564" s="8" t="s">
        <v>33462</v>
      </c>
      <c r="C7564" s="8" t="s">
        <v>33462</v>
      </c>
      <c r="F7564" s="47" t="s">
        <v>58381</v>
      </c>
      <c r="G7564" s="8">
        <v>15</v>
      </c>
      <c r="H7564" s="8" t="s">
        <v>21</v>
      </c>
      <c r="I7564" s="8" t="s">
        <v>22</v>
      </c>
      <c r="J7564" s="8" t="s">
        <v>22</v>
      </c>
      <c r="K7564" s="8" t="s">
        <v>154</v>
      </c>
      <c r="L7564" s="8" t="s">
        <v>24</v>
      </c>
      <c r="M7564" s="8" t="s">
        <v>25</v>
      </c>
      <c r="N7564" s="8" t="s">
        <v>33463</v>
      </c>
      <c r="O7564" s="8">
        <f>23+15/60+55.9/3600</f>
        <v>23.265527777777777</v>
      </c>
      <c r="P7564" s="8" t="s">
        <v>33464</v>
      </c>
      <c r="Q7564" s="8">
        <f>+(13+11/60+48/3600)</f>
        <v>13.196666666666667</v>
      </c>
      <c r="R7564" s="8">
        <v>12.8</v>
      </c>
      <c r="S7564" s="8">
        <v>13.9</v>
      </c>
      <c r="T7564" s="8">
        <v>1.1000000000000001</v>
      </c>
      <c r="U7564" s="8">
        <v>13.3</v>
      </c>
      <c r="V7564" s="8">
        <v>1.9</v>
      </c>
      <c r="W7564" s="8">
        <v>0.9</v>
      </c>
      <c r="X7564" s="8">
        <v>155</v>
      </c>
      <c r="Y7564" s="8" t="s">
        <v>33465</v>
      </c>
      <c r="Z7564" s="8" t="s">
        <v>33466</v>
      </c>
    </row>
    <row r="7565" spans="1:26" x14ac:dyDescent="0.2">
      <c r="A7565" s="8">
        <v>7564</v>
      </c>
      <c r="B7565" s="8" t="s">
        <v>33467</v>
      </c>
      <c r="C7565" s="8" t="s">
        <v>33467</v>
      </c>
      <c r="F7565" s="47"/>
      <c r="G7565" s="8">
        <v>19</v>
      </c>
      <c r="H7565" s="8" t="s">
        <v>21</v>
      </c>
      <c r="I7565" s="8" t="s">
        <v>72</v>
      </c>
      <c r="J7565" s="8" t="s">
        <v>72</v>
      </c>
      <c r="K7565" s="8" t="s">
        <v>20</v>
      </c>
      <c r="L7565" s="8" t="s">
        <v>38</v>
      </c>
      <c r="M7565" s="8" t="s">
        <v>39</v>
      </c>
      <c r="N7565" s="8" t="s">
        <v>33468</v>
      </c>
      <c r="O7565" s="8">
        <f>23+16/60+1.1/3600</f>
        <v>23.266972222222222</v>
      </c>
      <c r="P7565" s="8" t="s">
        <v>33469</v>
      </c>
      <c r="Q7565" s="8">
        <f>+(7+20/60+54/3600)</f>
        <v>7.3483333333333327</v>
      </c>
      <c r="R7565" s="8">
        <v>99</v>
      </c>
      <c r="S7565" s="8">
        <v>14.3</v>
      </c>
      <c r="T7565" s="8">
        <v>99</v>
      </c>
      <c r="U7565" s="8">
        <v>99</v>
      </c>
      <c r="Y7565" s="8" t="s">
        <v>33470</v>
      </c>
      <c r="Z7565" s="8" t="s">
        <v>33471</v>
      </c>
    </row>
    <row r="7566" spans="1:26" x14ac:dyDescent="0.2">
      <c r="A7566" s="8">
        <v>7565</v>
      </c>
      <c r="B7566" s="8" t="s">
        <v>33472</v>
      </c>
      <c r="C7566" s="8" t="s">
        <v>33472</v>
      </c>
      <c r="F7566" s="47"/>
      <c r="G7566" s="8">
        <v>18</v>
      </c>
      <c r="H7566" s="8" t="s">
        <v>21</v>
      </c>
      <c r="I7566" s="8" t="s">
        <v>329</v>
      </c>
      <c r="J7566" s="8" t="s">
        <v>329</v>
      </c>
      <c r="K7566" s="8" t="s">
        <v>329</v>
      </c>
      <c r="L7566" s="8" t="s">
        <v>38</v>
      </c>
      <c r="M7566" s="8" t="s">
        <v>39</v>
      </c>
      <c r="N7566" s="8" t="s">
        <v>33473</v>
      </c>
      <c r="O7566" s="8">
        <f>23+16/60+19/3600</f>
        <v>23.271944444444443</v>
      </c>
      <c r="P7566" s="8" t="s">
        <v>33474</v>
      </c>
      <c r="Q7566" s="8">
        <f>-(0+3/60+30/3600)</f>
        <v>-5.8333333333333334E-2</v>
      </c>
      <c r="R7566" s="8">
        <v>99</v>
      </c>
      <c r="S7566" s="8">
        <v>99</v>
      </c>
      <c r="T7566" s="8">
        <v>99</v>
      </c>
      <c r="U7566" s="8">
        <v>99</v>
      </c>
      <c r="Y7566" s="8" t="s">
        <v>297</v>
      </c>
      <c r="Z7566" s="8" t="s">
        <v>298</v>
      </c>
    </row>
    <row r="7567" spans="1:26" x14ac:dyDescent="0.2">
      <c r="A7567" s="8">
        <v>7566</v>
      </c>
      <c r="B7567" s="8" t="s">
        <v>33475</v>
      </c>
      <c r="C7567" s="8" t="s">
        <v>33475</v>
      </c>
      <c r="F7567" s="47" t="s">
        <v>58382</v>
      </c>
      <c r="G7567" s="8">
        <v>15</v>
      </c>
      <c r="H7567" s="8" t="s">
        <v>21</v>
      </c>
      <c r="I7567" s="8" t="s">
        <v>22</v>
      </c>
      <c r="J7567" s="8" t="s">
        <v>22</v>
      </c>
      <c r="K7567" s="8" t="s">
        <v>91</v>
      </c>
      <c r="L7567" s="8" t="s">
        <v>38</v>
      </c>
      <c r="M7567" s="8" t="s">
        <v>39</v>
      </c>
      <c r="N7567" s="8" t="s">
        <v>33476</v>
      </c>
      <c r="O7567" s="8">
        <f>23+16/60+37.4/3600</f>
        <v>23.277055555555556</v>
      </c>
      <c r="P7567" s="8" t="s">
        <v>33477</v>
      </c>
      <c r="Q7567" s="8">
        <f>-(2+19/60+49/3600)</f>
        <v>-2.3302777777777774</v>
      </c>
      <c r="R7567" s="8">
        <v>13.3</v>
      </c>
      <c r="S7567" s="8">
        <v>14.2</v>
      </c>
      <c r="T7567" s="8">
        <v>0.9</v>
      </c>
      <c r="U7567" s="8">
        <v>13</v>
      </c>
      <c r="V7567" s="8">
        <v>1.4</v>
      </c>
      <c r="W7567" s="8">
        <v>0.7</v>
      </c>
      <c r="X7567" s="8">
        <v>115</v>
      </c>
      <c r="Y7567" s="8" t="s">
        <v>33478</v>
      </c>
      <c r="Z7567" s="8" t="s">
        <v>33479</v>
      </c>
    </row>
    <row r="7568" spans="1:26" x14ac:dyDescent="0.2">
      <c r="A7568" s="8">
        <v>7567</v>
      </c>
      <c r="B7568" s="8" t="s">
        <v>33480</v>
      </c>
      <c r="C7568" s="8" t="s">
        <v>33480</v>
      </c>
      <c r="F7568" s="47"/>
      <c r="G7568" s="8">
        <v>18</v>
      </c>
      <c r="H7568" s="8" t="s">
        <v>21</v>
      </c>
      <c r="I7568" s="8" t="s">
        <v>22</v>
      </c>
      <c r="J7568" s="8" t="s">
        <v>22</v>
      </c>
      <c r="K7568" s="8" t="s">
        <v>579</v>
      </c>
      <c r="L7568" s="8" t="s">
        <v>24</v>
      </c>
      <c r="M7568" s="8" t="s">
        <v>25</v>
      </c>
      <c r="N7568" s="8" t="s">
        <v>33481</v>
      </c>
      <c r="O7568" s="8">
        <f>23+16/60+10.8/3600</f>
        <v>23.269666666666666</v>
      </c>
      <c r="P7568" s="8" t="s">
        <v>33482</v>
      </c>
      <c r="Q7568" s="8">
        <f>+(15+51/60+4/3600)</f>
        <v>15.851111111111111</v>
      </c>
      <c r="R7568" s="8">
        <v>14.8</v>
      </c>
      <c r="S7568" s="8">
        <v>15.5</v>
      </c>
      <c r="T7568" s="8">
        <v>0.7</v>
      </c>
      <c r="U7568" s="8">
        <v>12.8</v>
      </c>
      <c r="V7568" s="8">
        <v>0.9</v>
      </c>
      <c r="W7568" s="8">
        <v>0.2</v>
      </c>
      <c r="X7568" s="8">
        <v>76</v>
      </c>
      <c r="Y7568" s="8" t="s">
        <v>33483</v>
      </c>
      <c r="Z7568" s="8" t="s">
        <v>33484</v>
      </c>
    </row>
    <row r="7569" spans="1:26" x14ac:dyDescent="0.2">
      <c r="A7569" s="8">
        <v>7568</v>
      </c>
      <c r="B7569" s="8" t="s">
        <v>33485</v>
      </c>
      <c r="C7569" s="8" t="s">
        <v>33485</v>
      </c>
      <c r="F7569" s="47"/>
      <c r="G7569" s="8">
        <v>18</v>
      </c>
      <c r="H7569" s="8" t="s">
        <v>21</v>
      </c>
      <c r="I7569" s="8" t="s">
        <v>22</v>
      </c>
      <c r="J7569" s="8" t="s">
        <v>57</v>
      </c>
      <c r="K7569" s="8" t="s">
        <v>476</v>
      </c>
      <c r="L7569" s="8" t="s">
        <v>24</v>
      </c>
      <c r="M7569" s="8" t="s">
        <v>25</v>
      </c>
      <c r="N7569" s="8" t="s">
        <v>33486</v>
      </c>
      <c r="O7569" s="8">
        <f>23+16/60+24.9/3600</f>
        <v>23.273583333333331</v>
      </c>
      <c r="P7569" s="8" t="s">
        <v>33487</v>
      </c>
      <c r="Q7569" s="8">
        <f>+(24+29/60+50/3600)</f>
        <v>24.497222222222224</v>
      </c>
      <c r="R7569" s="8">
        <v>13.6</v>
      </c>
      <c r="S7569" s="8">
        <v>14.5</v>
      </c>
      <c r="T7569" s="8">
        <v>0.9</v>
      </c>
      <c r="U7569" s="8">
        <v>12.8</v>
      </c>
      <c r="V7569" s="8">
        <v>0.9</v>
      </c>
      <c r="W7569" s="8">
        <v>0.6</v>
      </c>
      <c r="X7569" s="8">
        <v>120</v>
      </c>
      <c r="Y7569" s="8" t="s">
        <v>33488</v>
      </c>
      <c r="Z7569" s="8" t="s">
        <v>33489</v>
      </c>
    </row>
    <row r="7570" spans="1:26" x14ac:dyDescent="0.2">
      <c r="A7570" s="8">
        <v>7569</v>
      </c>
      <c r="B7570" s="8" t="s">
        <v>33490</v>
      </c>
      <c r="C7570" s="8" t="s">
        <v>33490</v>
      </c>
      <c r="F7570" s="47"/>
      <c r="G7570" s="8">
        <v>19</v>
      </c>
      <c r="H7570" s="8" t="s">
        <v>21</v>
      </c>
      <c r="I7570" s="8" t="s">
        <v>22</v>
      </c>
      <c r="J7570" s="8" t="s">
        <v>22</v>
      </c>
      <c r="K7570" s="8" t="s">
        <v>643</v>
      </c>
      <c r="L7570" s="8" t="s">
        <v>24</v>
      </c>
      <c r="M7570" s="8" t="s">
        <v>25</v>
      </c>
      <c r="N7570" s="8" t="s">
        <v>33491</v>
      </c>
      <c r="O7570" s="8">
        <f>23+16/60+44.5/3600</f>
        <v>23.279027777777777</v>
      </c>
      <c r="P7570" s="8" t="s">
        <v>33492</v>
      </c>
      <c r="Q7570" s="8">
        <f>+(8+54/60+24/3600)</f>
        <v>8.9066666666666663</v>
      </c>
      <c r="R7570" s="8">
        <v>13.3</v>
      </c>
      <c r="S7570" s="8">
        <v>14.3</v>
      </c>
      <c r="T7570" s="8">
        <v>1</v>
      </c>
      <c r="U7570" s="8">
        <v>12.8</v>
      </c>
      <c r="V7570" s="8">
        <v>1</v>
      </c>
      <c r="W7570" s="8">
        <v>0.7</v>
      </c>
      <c r="X7570" s="8">
        <v>88</v>
      </c>
      <c r="Y7570" s="8" t="s">
        <v>33493</v>
      </c>
      <c r="Z7570" s="8" t="s">
        <v>33494</v>
      </c>
    </row>
    <row r="7571" spans="1:26" x14ac:dyDescent="0.2">
      <c r="A7571" s="8">
        <v>7570</v>
      </c>
      <c r="B7571" s="8" t="s">
        <v>33495</v>
      </c>
      <c r="C7571" s="8" t="s">
        <v>33495</v>
      </c>
      <c r="F7571" s="47" t="s">
        <v>58383</v>
      </c>
      <c r="G7571" s="8">
        <v>15</v>
      </c>
      <c r="H7571" s="8" t="s">
        <v>21</v>
      </c>
      <c r="I7571" s="8" t="s">
        <v>22</v>
      </c>
      <c r="J7571" s="8" t="s">
        <v>22</v>
      </c>
      <c r="K7571" s="8" t="s">
        <v>154</v>
      </c>
      <c r="L7571" s="8" t="s">
        <v>24</v>
      </c>
      <c r="M7571" s="8" t="s">
        <v>25</v>
      </c>
      <c r="N7571" s="8" t="s">
        <v>33496</v>
      </c>
      <c r="O7571" s="8">
        <f>23+16/60+44.7/3600</f>
        <v>23.279083333333332</v>
      </c>
      <c r="P7571" s="8" t="s">
        <v>33497</v>
      </c>
      <c r="Q7571" s="8">
        <f>+(13+29/60+0/3600)</f>
        <v>13.483333333333333</v>
      </c>
      <c r="R7571" s="8">
        <v>13.2</v>
      </c>
      <c r="S7571" s="8">
        <v>13.9</v>
      </c>
      <c r="T7571" s="8">
        <v>0.7</v>
      </c>
      <c r="U7571" s="8">
        <v>13.4</v>
      </c>
      <c r="V7571" s="8">
        <v>1.6</v>
      </c>
      <c r="W7571" s="8">
        <v>0.9</v>
      </c>
      <c r="X7571" s="8">
        <v>30</v>
      </c>
      <c r="Y7571" s="8" t="s">
        <v>962</v>
      </c>
      <c r="Z7571" s="8" t="s">
        <v>963</v>
      </c>
    </row>
    <row r="7572" spans="1:26" x14ac:dyDescent="0.2">
      <c r="A7572" s="8">
        <v>7571</v>
      </c>
      <c r="B7572" s="8" t="s">
        <v>33498</v>
      </c>
      <c r="C7572" s="8" t="s">
        <v>33498</v>
      </c>
      <c r="F7572" s="47"/>
      <c r="G7572" s="8">
        <v>18</v>
      </c>
      <c r="H7572" s="8" t="s">
        <v>21</v>
      </c>
      <c r="I7572" s="8" t="s">
        <v>22</v>
      </c>
      <c r="J7572" s="8" t="s">
        <v>57</v>
      </c>
      <c r="K7572" s="8" t="s">
        <v>37</v>
      </c>
      <c r="L7572" s="8" t="s">
        <v>24</v>
      </c>
      <c r="M7572" s="8" t="s">
        <v>25</v>
      </c>
      <c r="N7572" s="8" t="s">
        <v>33499</v>
      </c>
      <c r="O7572" s="8">
        <f>23+18/60+30.3/3600</f>
        <v>23.308416666666666</v>
      </c>
      <c r="P7572" s="8" t="s">
        <v>33500</v>
      </c>
      <c r="Q7572" s="8">
        <f>+(18+41/60+18/3600)</f>
        <v>18.688333333333333</v>
      </c>
      <c r="R7572" s="8">
        <v>14</v>
      </c>
      <c r="S7572" s="8">
        <v>15</v>
      </c>
      <c r="T7572" s="8">
        <v>1</v>
      </c>
      <c r="U7572" s="8">
        <v>13.9</v>
      </c>
      <c r="V7572" s="8">
        <v>1</v>
      </c>
      <c r="W7572" s="8">
        <v>1</v>
      </c>
      <c r="Y7572" s="8" t="s">
        <v>33501</v>
      </c>
      <c r="Z7572" s="8" t="s">
        <v>33502</v>
      </c>
    </row>
    <row r="7573" spans="1:26" x14ac:dyDescent="0.2">
      <c r="A7573" s="8">
        <v>7572</v>
      </c>
      <c r="B7573" s="8" t="s">
        <v>33503</v>
      </c>
      <c r="C7573" s="8" t="s">
        <v>33503</v>
      </c>
      <c r="F7573" s="47"/>
      <c r="G7573" s="8">
        <v>18</v>
      </c>
      <c r="H7573" s="8" t="s">
        <v>21</v>
      </c>
      <c r="I7573" s="8" t="s">
        <v>22</v>
      </c>
      <c r="J7573" s="8" t="s">
        <v>22</v>
      </c>
      <c r="K7573" s="8" t="s">
        <v>632</v>
      </c>
      <c r="L7573" s="8" t="s">
        <v>24</v>
      </c>
      <c r="M7573" s="8" t="s">
        <v>25</v>
      </c>
      <c r="N7573" s="8" t="s">
        <v>33504</v>
      </c>
      <c r="O7573" s="8">
        <f>23+16/60+50.3/3600</f>
        <v>23.280638888888888</v>
      </c>
      <c r="P7573" s="8" t="s">
        <v>33505</v>
      </c>
      <c r="Q7573" s="8">
        <f>+(18+29/60+0/3600)</f>
        <v>18.483333333333334</v>
      </c>
      <c r="R7573" s="8">
        <v>14.4</v>
      </c>
      <c r="S7573" s="8">
        <v>15.3</v>
      </c>
      <c r="T7573" s="8">
        <v>0.9</v>
      </c>
      <c r="U7573" s="8">
        <v>12.3</v>
      </c>
      <c r="V7573" s="8">
        <v>0.8</v>
      </c>
      <c r="W7573" s="8">
        <v>0.2</v>
      </c>
      <c r="X7573" s="8">
        <v>162</v>
      </c>
      <c r="Y7573" s="8" t="s">
        <v>33506</v>
      </c>
      <c r="Z7573" s="8" t="s">
        <v>33507</v>
      </c>
    </row>
    <row r="7574" spans="1:26" x14ac:dyDescent="0.2">
      <c r="A7574" s="8">
        <v>7573</v>
      </c>
      <c r="B7574" s="8" t="s">
        <v>33508</v>
      </c>
      <c r="C7574" s="8" t="s">
        <v>33508</v>
      </c>
      <c r="F7574" s="47"/>
      <c r="G7574" s="8">
        <v>19</v>
      </c>
      <c r="H7574" s="8" t="s">
        <v>21</v>
      </c>
      <c r="I7574" s="8" t="s">
        <v>22</v>
      </c>
      <c r="J7574" s="8" t="s">
        <v>22</v>
      </c>
      <c r="K7574" s="8" t="s">
        <v>64</v>
      </c>
      <c r="L7574" s="8" t="s">
        <v>30854</v>
      </c>
      <c r="M7574" s="8" t="s">
        <v>30855</v>
      </c>
      <c r="N7574" s="8" t="s">
        <v>33509</v>
      </c>
      <c r="O7574" s="8">
        <f>23+16/60+26.3/3600</f>
        <v>23.27397222222222</v>
      </c>
      <c r="P7574" s="8" t="s">
        <v>33510</v>
      </c>
      <c r="Q7574" s="8">
        <f>-(22+9/60+14/3600)</f>
        <v>-22.153888888888886</v>
      </c>
      <c r="R7574" s="8">
        <v>13.7</v>
      </c>
      <c r="S7574" s="8">
        <v>14.5</v>
      </c>
      <c r="T7574" s="8">
        <v>0.8</v>
      </c>
      <c r="U7574" s="8">
        <v>13.7</v>
      </c>
      <c r="V7574" s="8">
        <v>1.3</v>
      </c>
      <c r="W7574" s="8">
        <v>1.1000000000000001</v>
      </c>
      <c r="X7574" s="8">
        <v>42</v>
      </c>
      <c r="Y7574" s="8" t="s">
        <v>33511</v>
      </c>
      <c r="Z7574" s="8" t="s">
        <v>33512</v>
      </c>
    </row>
    <row r="7575" spans="1:26" x14ac:dyDescent="0.2">
      <c r="A7575" s="8">
        <v>7574</v>
      </c>
      <c r="B7575" s="8" t="s">
        <v>33513</v>
      </c>
      <c r="C7575" s="8" t="s">
        <v>33513</v>
      </c>
      <c r="F7575" s="47"/>
      <c r="G7575" s="8">
        <v>18</v>
      </c>
      <c r="H7575" s="8" t="s">
        <v>21</v>
      </c>
      <c r="I7575" s="8" t="s">
        <v>22</v>
      </c>
      <c r="J7575" s="8" t="s">
        <v>22</v>
      </c>
      <c r="K7575" s="8" t="s">
        <v>476</v>
      </c>
      <c r="L7575" s="8" t="s">
        <v>24</v>
      </c>
      <c r="M7575" s="8" t="s">
        <v>25</v>
      </c>
      <c r="N7575" s="8" t="s">
        <v>33486</v>
      </c>
      <c r="O7575" s="8">
        <f>23+16/60+24.9/3600</f>
        <v>23.273583333333331</v>
      </c>
      <c r="P7575" s="8" t="s">
        <v>33487</v>
      </c>
      <c r="Q7575" s="8">
        <f>+(24+29/60+50/3600)</f>
        <v>24.497222222222224</v>
      </c>
      <c r="R7575" s="8">
        <v>13.6</v>
      </c>
      <c r="S7575" s="8">
        <v>14.5</v>
      </c>
      <c r="T7575" s="8">
        <v>0.9</v>
      </c>
      <c r="U7575" s="8">
        <v>12.8</v>
      </c>
      <c r="V7575" s="8">
        <v>0.9</v>
      </c>
      <c r="W7575" s="8">
        <v>0.6</v>
      </c>
      <c r="X7575" s="8">
        <v>120</v>
      </c>
      <c r="Y7575" s="8" t="s">
        <v>33488</v>
      </c>
      <c r="Z7575" s="8" t="s">
        <v>33514</v>
      </c>
    </row>
    <row r="7576" spans="1:26" x14ac:dyDescent="0.2">
      <c r="A7576" s="8">
        <v>7575</v>
      </c>
      <c r="B7576" s="8" t="s">
        <v>33515</v>
      </c>
      <c r="C7576" s="8" t="s">
        <v>33515</v>
      </c>
      <c r="F7576" s="47"/>
      <c r="G7576" s="8">
        <v>18</v>
      </c>
      <c r="H7576" s="8" t="s">
        <v>21</v>
      </c>
      <c r="I7576" s="8" t="s">
        <v>22</v>
      </c>
      <c r="J7576" s="8" t="s">
        <v>22</v>
      </c>
      <c r="K7576" s="8" t="s">
        <v>37</v>
      </c>
      <c r="L7576" s="8" t="s">
        <v>38</v>
      </c>
      <c r="M7576" s="8" t="s">
        <v>39</v>
      </c>
      <c r="N7576" s="8" t="s">
        <v>33516</v>
      </c>
      <c r="O7576" s="8">
        <f>23+17/60+20.9/3600</f>
        <v>23.289138888888889</v>
      </c>
      <c r="P7576" s="8" t="s">
        <v>33517</v>
      </c>
      <c r="Q7576" s="8">
        <f>+(5+39/60+41/3600)</f>
        <v>5.6613888888888892</v>
      </c>
      <c r="R7576" s="8">
        <v>14.2</v>
      </c>
      <c r="S7576" s="8">
        <v>15.1</v>
      </c>
      <c r="T7576" s="8">
        <v>0.9</v>
      </c>
      <c r="U7576" s="8">
        <v>12.8</v>
      </c>
      <c r="V7576" s="8">
        <v>0.5</v>
      </c>
      <c r="W7576" s="8">
        <v>0.3</v>
      </c>
      <c r="X7576" s="8">
        <v>105</v>
      </c>
      <c r="Y7576" s="8" t="s">
        <v>13436</v>
      </c>
      <c r="Z7576" s="8" t="s">
        <v>13437</v>
      </c>
    </row>
    <row r="7577" spans="1:26" x14ac:dyDescent="0.2">
      <c r="A7577" s="8">
        <v>7576</v>
      </c>
      <c r="B7577" s="8" t="s">
        <v>33518</v>
      </c>
      <c r="C7577" s="8" t="s">
        <v>33518</v>
      </c>
      <c r="F7577" s="47" t="s">
        <v>58384</v>
      </c>
      <c r="G7577" s="8">
        <v>15</v>
      </c>
      <c r="H7577" s="8" t="s">
        <v>21</v>
      </c>
      <c r="I7577" s="8" t="s">
        <v>22</v>
      </c>
      <c r="J7577" s="8" t="s">
        <v>22</v>
      </c>
      <c r="K7577" s="8" t="s">
        <v>632</v>
      </c>
      <c r="L7577" s="8" t="s">
        <v>30854</v>
      </c>
      <c r="M7577" s="8" t="s">
        <v>30855</v>
      </c>
      <c r="N7577" s="8" t="s">
        <v>33519</v>
      </c>
      <c r="O7577" s="8">
        <f>23+17/60+22.7/3600</f>
        <v>23.289638888888891</v>
      </c>
      <c r="P7577" s="8" t="s">
        <v>33520</v>
      </c>
      <c r="Q7577" s="8">
        <f>-(4+43/60+40/3600)</f>
        <v>-4.7277777777777779</v>
      </c>
      <c r="R7577" s="8">
        <v>12.9</v>
      </c>
      <c r="S7577" s="8">
        <v>13.7</v>
      </c>
      <c r="T7577" s="8">
        <v>0.8</v>
      </c>
      <c r="U7577" s="8">
        <v>12.9</v>
      </c>
      <c r="V7577" s="8">
        <v>1.3</v>
      </c>
      <c r="W7577" s="8">
        <v>0.9</v>
      </c>
      <c r="X7577" s="8">
        <v>165</v>
      </c>
      <c r="Y7577" s="8" t="s">
        <v>33521</v>
      </c>
      <c r="Z7577" s="8" t="s">
        <v>33522</v>
      </c>
    </row>
    <row r="7578" spans="1:26" x14ac:dyDescent="0.2">
      <c r="A7578" s="8">
        <v>7577</v>
      </c>
      <c r="B7578" s="8" t="s">
        <v>33523</v>
      </c>
      <c r="C7578" s="8" t="s">
        <v>33523</v>
      </c>
      <c r="F7578" s="47"/>
      <c r="G7578" s="8">
        <v>19</v>
      </c>
      <c r="H7578" s="8" t="s">
        <v>21</v>
      </c>
      <c r="I7578" s="8" t="s">
        <v>22</v>
      </c>
      <c r="J7578" s="8" t="s">
        <v>22</v>
      </c>
      <c r="K7578" s="8" t="s">
        <v>449</v>
      </c>
      <c r="L7578" s="8" t="s">
        <v>38</v>
      </c>
      <c r="M7578" s="8" t="s">
        <v>39</v>
      </c>
      <c r="N7578" s="8" t="s">
        <v>33524</v>
      </c>
      <c r="O7578" s="8">
        <f>23+17/60+17.1/3600</f>
        <v>23.288083333333336</v>
      </c>
      <c r="P7578" s="8" t="s">
        <v>33525</v>
      </c>
      <c r="Q7578" s="8">
        <f>+(7+21/60+57/3600)</f>
        <v>7.3658333333333328</v>
      </c>
      <c r="R7578" s="8">
        <v>15.7</v>
      </c>
      <c r="S7578" s="8">
        <v>16.5</v>
      </c>
      <c r="T7578" s="8">
        <v>0.8</v>
      </c>
      <c r="U7578" s="8">
        <v>12.5</v>
      </c>
      <c r="V7578" s="8">
        <v>0.3</v>
      </c>
      <c r="W7578" s="8">
        <v>0.2</v>
      </c>
      <c r="X7578" s="8">
        <v>48</v>
      </c>
      <c r="Y7578" s="8" t="s">
        <v>33526</v>
      </c>
      <c r="Z7578" s="8" t="s">
        <v>33527</v>
      </c>
    </row>
    <row r="7579" spans="1:26" x14ac:dyDescent="0.2">
      <c r="A7579" s="8">
        <v>7578</v>
      </c>
      <c r="B7579" s="8" t="s">
        <v>33528</v>
      </c>
      <c r="C7579" s="8" t="s">
        <v>33528</v>
      </c>
      <c r="D7579" s="8" t="s">
        <v>351</v>
      </c>
      <c r="F7579" s="47" t="s">
        <v>58385</v>
      </c>
      <c r="G7579" s="8">
        <v>15</v>
      </c>
      <c r="H7579" s="8" t="s">
        <v>21</v>
      </c>
      <c r="I7579" s="8" t="s">
        <v>22</v>
      </c>
      <c r="J7579" s="8" t="s">
        <v>22</v>
      </c>
      <c r="K7579" s="8" t="s">
        <v>37</v>
      </c>
      <c r="L7579" s="8" t="s">
        <v>24</v>
      </c>
      <c r="M7579" s="8" t="s">
        <v>25</v>
      </c>
      <c r="N7579" s="8" t="s">
        <v>33529</v>
      </c>
      <c r="O7579" s="8">
        <f>23+17/60+11.9/3600</f>
        <v>23.286638888888891</v>
      </c>
      <c r="P7579" s="8" t="s">
        <v>33530</v>
      </c>
      <c r="Q7579" s="8">
        <f>+(18+42/60+5/3600)</f>
        <v>18.701388888888889</v>
      </c>
      <c r="R7579" s="8">
        <v>13.9</v>
      </c>
      <c r="S7579" s="8">
        <v>14.9</v>
      </c>
      <c r="T7579" s="8">
        <v>1</v>
      </c>
      <c r="U7579" s="8">
        <v>13.3</v>
      </c>
      <c r="V7579" s="8">
        <v>0.8</v>
      </c>
      <c r="W7579" s="8">
        <v>0.8</v>
      </c>
      <c r="Y7579" s="8" t="s">
        <v>33531</v>
      </c>
      <c r="Z7579" s="8" t="s">
        <v>33532</v>
      </c>
    </row>
    <row r="7580" spans="1:26" x14ac:dyDescent="0.2">
      <c r="A7580" s="8">
        <v>7579</v>
      </c>
      <c r="B7580" s="8" t="s">
        <v>33533</v>
      </c>
      <c r="C7580" s="8" t="s">
        <v>33533</v>
      </c>
      <c r="F7580" s="47"/>
      <c r="G7580" s="8">
        <v>18</v>
      </c>
      <c r="H7580" s="8" t="s">
        <v>21</v>
      </c>
      <c r="I7580" s="8" t="s">
        <v>22</v>
      </c>
      <c r="J7580" s="8" t="s">
        <v>22</v>
      </c>
      <c r="K7580" s="8" t="s">
        <v>424</v>
      </c>
      <c r="L7580" s="8" t="s">
        <v>24</v>
      </c>
      <c r="M7580" s="8" t="s">
        <v>25</v>
      </c>
      <c r="N7580" s="8" t="s">
        <v>33534</v>
      </c>
      <c r="O7580" s="8">
        <f>23+17/60+38.8/3600</f>
        <v>23.294111111111114</v>
      </c>
      <c r="P7580" s="8" t="s">
        <v>33535</v>
      </c>
      <c r="Q7580" s="8">
        <f>+(9+26/60+2/3600)</f>
        <v>9.4338888888888892</v>
      </c>
      <c r="R7580" s="8">
        <v>14.1</v>
      </c>
      <c r="S7580" s="8">
        <v>15.1</v>
      </c>
      <c r="T7580" s="8">
        <v>1</v>
      </c>
      <c r="U7580" s="8">
        <v>12.2</v>
      </c>
      <c r="V7580" s="8">
        <v>0.5</v>
      </c>
      <c r="W7580" s="8">
        <v>0.4</v>
      </c>
      <c r="X7580" s="8">
        <v>10</v>
      </c>
      <c r="Y7580" s="8" t="s">
        <v>2287</v>
      </c>
      <c r="Z7580" s="8" t="s">
        <v>2288</v>
      </c>
    </row>
    <row r="7581" spans="1:26" x14ac:dyDescent="0.2">
      <c r="A7581" s="8">
        <v>7580</v>
      </c>
      <c r="B7581" s="8" t="s">
        <v>33536</v>
      </c>
      <c r="C7581" s="8" t="s">
        <v>33536</v>
      </c>
      <c r="F7581" s="47"/>
      <c r="G7581" s="8">
        <v>19</v>
      </c>
      <c r="H7581" s="8" t="s">
        <v>21</v>
      </c>
      <c r="I7581" s="8" t="s">
        <v>22</v>
      </c>
      <c r="J7581" s="8" t="s">
        <v>22</v>
      </c>
      <c r="K7581" s="8" t="s">
        <v>476</v>
      </c>
      <c r="L7581" s="8" t="s">
        <v>24</v>
      </c>
      <c r="M7581" s="8" t="s">
        <v>25</v>
      </c>
      <c r="N7581" s="8" t="s">
        <v>33537</v>
      </c>
      <c r="O7581" s="8">
        <f>23+17/60+36.6/3600</f>
        <v>23.293500000000002</v>
      </c>
      <c r="P7581" s="8" t="s">
        <v>33538</v>
      </c>
      <c r="Q7581" s="8">
        <f>+(14+0/60+5/3600)</f>
        <v>14.001388888888888</v>
      </c>
      <c r="R7581" s="8">
        <v>13.7</v>
      </c>
      <c r="S7581" s="8">
        <v>14.3</v>
      </c>
      <c r="T7581" s="8">
        <v>0.6</v>
      </c>
      <c r="U7581" s="8">
        <v>12.8</v>
      </c>
      <c r="V7581" s="8">
        <v>0.8</v>
      </c>
      <c r="W7581" s="8">
        <v>0.6</v>
      </c>
      <c r="X7581" s="8">
        <v>45</v>
      </c>
      <c r="Y7581" s="8" t="s">
        <v>33539</v>
      </c>
      <c r="Z7581" s="8" t="s">
        <v>33540</v>
      </c>
    </row>
    <row r="7582" spans="1:26" x14ac:dyDescent="0.2">
      <c r="A7582" s="8">
        <v>7581</v>
      </c>
      <c r="B7582" s="8" t="s">
        <v>33541</v>
      </c>
      <c r="C7582" s="8" t="s">
        <v>33541</v>
      </c>
      <c r="F7582" s="47"/>
      <c r="G7582" s="8">
        <v>18</v>
      </c>
      <c r="H7582" s="8" t="s">
        <v>21</v>
      </c>
      <c r="I7582" s="8" t="s">
        <v>22</v>
      </c>
      <c r="J7582" s="8" t="s">
        <v>57</v>
      </c>
      <c r="K7582" s="8" t="s">
        <v>64</v>
      </c>
      <c r="L7582" s="8" t="s">
        <v>38</v>
      </c>
      <c r="M7582" s="8" t="s">
        <v>39</v>
      </c>
      <c r="N7582" s="8" t="s">
        <v>33370</v>
      </c>
      <c r="O7582" s="8">
        <f>23+14/60+43.2/3600</f>
        <v>23.245333333333335</v>
      </c>
      <c r="P7582" s="8" t="s">
        <v>33371</v>
      </c>
      <c r="Q7582" s="8">
        <f>+(4+32/60+4/3600)</f>
        <v>4.5344444444444445</v>
      </c>
      <c r="R7582" s="8">
        <v>11.7</v>
      </c>
      <c r="S7582" s="8">
        <v>12.4</v>
      </c>
      <c r="T7582" s="8">
        <v>0.7</v>
      </c>
      <c r="U7582" s="8">
        <v>13.2</v>
      </c>
      <c r="V7582" s="8">
        <v>3.5</v>
      </c>
      <c r="W7582" s="8">
        <v>1.2</v>
      </c>
      <c r="X7582" s="8">
        <v>102</v>
      </c>
      <c r="Y7582" s="8" t="s">
        <v>33542</v>
      </c>
      <c r="Z7582" s="8" t="s">
        <v>33543</v>
      </c>
    </row>
    <row r="7583" spans="1:26" x14ac:dyDescent="0.2">
      <c r="A7583" s="8">
        <v>7582</v>
      </c>
      <c r="B7583" s="8" t="s">
        <v>33544</v>
      </c>
      <c r="C7583" s="8" t="s">
        <v>33544</v>
      </c>
      <c r="F7583" s="47"/>
      <c r="G7583" s="8">
        <v>10</v>
      </c>
      <c r="H7583" s="8" t="s">
        <v>33411</v>
      </c>
      <c r="I7583" s="8" t="s">
        <v>22</v>
      </c>
      <c r="J7583" s="8" t="s">
        <v>22</v>
      </c>
      <c r="K7583" s="8" t="s">
        <v>406</v>
      </c>
      <c r="L7583" s="8" t="s">
        <v>31389</v>
      </c>
      <c r="M7583" s="8" t="s">
        <v>31390</v>
      </c>
      <c r="N7583" s="8" t="s">
        <v>33545</v>
      </c>
      <c r="O7583" s="8">
        <f>23+18/60+23.5/3600</f>
        <v>23.306527777777777</v>
      </c>
      <c r="P7583" s="8" t="s">
        <v>33546</v>
      </c>
      <c r="Q7583" s="8">
        <f>-(42+22/60+11/3600)</f>
        <v>-42.369722222222222</v>
      </c>
      <c r="R7583" s="8">
        <v>10.6</v>
      </c>
      <c r="S7583" s="8">
        <v>11.4</v>
      </c>
      <c r="T7583" s="8">
        <v>0.8</v>
      </c>
      <c r="U7583" s="8">
        <v>13</v>
      </c>
      <c r="V7583" s="8">
        <v>5</v>
      </c>
      <c r="W7583" s="8">
        <v>2.2999999999999998</v>
      </c>
      <c r="X7583" s="8">
        <v>157</v>
      </c>
      <c r="Y7583" s="8" t="s">
        <v>33547</v>
      </c>
      <c r="Z7583" s="8" t="s">
        <v>33548</v>
      </c>
    </row>
    <row r="7584" spans="1:26" x14ac:dyDescent="0.2">
      <c r="A7584" s="8">
        <v>7583</v>
      </c>
      <c r="B7584" s="8" t="s">
        <v>33549</v>
      </c>
      <c r="C7584" s="8" t="s">
        <v>33549</v>
      </c>
      <c r="F7584" s="47"/>
      <c r="G7584" s="8">
        <v>18</v>
      </c>
      <c r="H7584" s="8" t="s">
        <v>21</v>
      </c>
      <c r="I7584" s="8" t="s">
        <v>22</v>
      </c>
      <c r="J7584" s="8" t="s">
        <v>22</v>
      </c>
      <c r="K7584" s="8" t="s">
        <v>449</v>
      </c>
      <c r="L7584" s="8" t="s">
        <v>38</v>
      </c>
      <c r="M7584" s="8" t="s">
        <v>39</v>
      </c>
      <c r="N7584" s="8" t="s">
        <v>33550</v>
      </c>
      <c r="O7584" s="8">
        <f>23+17/60+52.8/3600</f>
        <v>23.298000000000002</v>
      </c>
      <c r="P7584" s="8" t="s">
        <v>33551</v>
      </c>
      <c r="Q7584" s="8">
        <f>+(7+22/60+46/3600)</f>
        <v>7.3794444444444443</v>
      </c>
      <c r="R7584" s="8">
        <v>13.8</v>
      </c>
      <c r="S7584" s="8">
        <v>14.6</v>
      </c>
      <c r="T7584" s="8">
        <v>0.8</v>
      </c>
      <c r="U7584" s="8">
        <v>12.9</v>
      </c>
      <c r="V7584" s="8">
        <v>0.7</v>
      </c>
      <c r="W7584" s="8">
        <v>0.7</v>
      </c>
      <c r="Y7584" s="8" t="s">
        <v>282</v>
      </c>
      <c r="Z7584" s="8" t="s">
        <v>283</v>
      </c>
    </row>
    <row r="7585" spans="1:26" x14ac:dyDescent="0.2">
      <c r="A7585" s="8">
        <v>7584</v>
      </c>
      <c r="B7585" s="8" t="s">
        <v>33552</v>
      </c>
      <c r="C7585" s="8" t="s">
        <v>33552</v>
      </c>
      <c r="F7585" s="47"/>
      <c r="G7585" s="8">
        <v>18</v>
      </c>
      <c r="H7585" s="8" t="s">
        <v>21</v>
      </c>
      <c r="I7585" s="8" t="s">
        <v>22</v>
      </c>
      <c r="J7585" s="8" t="s">
        <v>22</v>
      </c>
      <c r="K7585" s="8" t="s">
        <v>37</v>
      </c>
      <c r="L7585" s="8" t="s">
        <v>24</v>
      </c>
      <c r="M7585" s="8" t="s">
        <v>25</v>
      </c>
      <c r="N7585" s="8" t="s">
        <v>33553</v>
      </c>
      <c r="O7585" s="8">
        <f>23+17/60+53.1/3600</f>
        <v>23.298083333333334</v>
      </c>
      <c r="P7585" s="8" t="s">
        <v>33554</v>
      </c>
      <c r="Q7585" s="8">
        <f>+(9+26/60+1/3600)</f>
        <v>9.4336111111111105</v>
      </c>
      <c r="R7585" s="8">
        <v>14.4</v>
      </c>
      <c r="S7585" s="8">
        <v>15.4</v>
      </c>
      <c r="T7585" s="8">
        <v>1</v>
      </c>
      <c r="U7585" s="8">
        <v>12.3</v>
      </c>
      <c r="V7585" s="8">
        <v>0.4</v>
      </c>
      <c r="W7585" s="8">
        <v>0.4</v>
      </c>
      <c r="Y7585" s="8" t="s">
        <v>2287</v>
      </c>
      <c r="Z7585" s="8" t="s">
        <v>2288</v>
      </c>
    </row>
    <row r="7586" spans="1:26" x14ac:dyDescent="0.2">
      <c r="A7586" s="8">
        <v>7585</v>
      </c>
      <c r="B7586" s="8" t="s">
        <v>33555</v>
      </c>
      <c r="C7586" s="8" t="s">
        <v>33555</v>
      </c>
      <c r="F7586" s="47" t="s">
        <v>58386</v>
      </c>
      <c r="G7586" s="8">
        <v>13</v>
      </c>
      <c r="H7586" s="8" t="s">
        <v>21</v>
      </c>
      <c r="I7586" s="8" t="s">
        <v>22</v>
      </c>
      <c r="J7586" s="8" t="s">
        <v>22</v>
      </c>
      <c r="K7586" s="8" t="s">
        <v>632</v>
      </c>
      <c r="L7586" s="8" t="s">
        <v>30854</v>
      </c>
      <c r="M7586" s="8" t="s">
        <v>30855</v>
      </c>
      <c r="N7586" s="8" t="s">
        <v>33556</v>
      </c>
      <c r="O7586" s="8">
        <f>23+18/60+1.3/3600</f>
        <v>23.300361111111112</v>
      </c>
      <c r="P7586" s="8" t="s">
        <v>33557</v>
      </c>
      <c r="Q7586" s="8">
        <f>-(4+39/60+1/3600)</f>
        <v>-4.6502777777777782</v>
      </c>
      <c r="R7586" s="8">
        <v>11.4</v>
      </c>
      <c r="S7586" s="8">
        <v>12.3</v>
      </c>
      <c r="T7586" s="8">
        <v>0.9</v>
      </c>
      <c r="U7586" s="8">
        <v>13</v>
      </c>
      <c r="V7586" s="8">
        <v>2.2999999999999998</v>
      </c>
      <c r="W7586" s="8">
        <v>2</v>
      </c>
      <c r="X7586" s="8">
        <v>105</v>
      </c>
      <c r="Y7586" s="8" t="s">
        <v>33558</v>
      </c>
      <c r="Z7586" s="8" t="s">
        <v>33559</v>
      </c>
    </row>
    <row r="7587" spans="1:26" x14ac:dyDescent="0.2">
      <c r="A7587" s="8">
        <v>7586</v>
      </c>
      <c r="B7587" s="8" t="s">
        <v>33560</v>
      </c>
      <c r="C7587" s="8" t="s">
        <v>33560</v>
      </c>
      <c r="F7587" s="47"/>
      <c r="G7587" s="8">
        <v>18</v>
      </c>
      <c r="H7587" s="8" t="s">
        <v>21</v>
      </c>
      <c r="I7587" s="8" t="s">
        <v>22</v>
      </c>
      <c r="J7587" s="8" t="s">
        <v>22</v>
      </c>
      <c r="K7587" s="8" t="s">
        <v>37</v>
      </c>
      <c r="L7587" s="8" t="s">
        <v>24</v>
      </c>
      <c r="M7587" s="8" t="s">
        <v>25</v>
      </c>
      <c r="N7587" s="8" t="s">
        <v>33561</v>
      </c>
      <c r="O7587" s="8">
        <f>23+17/60+55.5/3600</f>
        <v>23.298750000000002</v>
      </c>
      <c r="P7587" s="8" t="s">
        <v>33562</v>
      </c>
      <c r="Q7587" s="8">
        <f>+(8+35/60+4/3600)</f>
        <v>8.5844444444444452</v>
      </c>
      <c r="R7587" s="8">
        <v>15.5</v>
      </c>
      <c r="S7587" s="8">
        <v>16.5</v>
      </c>
      <c r="T7587" s="8">
        <v>1</v>
      </c>
      <c r="U7587" s="8">
        <v>13.1</v>
      </c>
      <c r="V7587" s="8">
        <v>0.4</v>
      </c>
      <c r="W7587" s="8">
        <v>0.3</v>
      </c>
      <c r="X7587" s="8">
        <v>160</v>
      </c>
      <c r="Y7587" s="8" t="s">
        <v>15331</v>
      </c>
      <c r="Z7587" s="8" t="s">
        <v>15332</v>
      </c>
    </row>
    <row r="7588" spans="1:26" x14ac:dyDescent="0.2">
      <c r="A7588" s="8">
        <v>7587</v>
      </c>
      <c r="B7588" s="8" t="s">
        <v>33563</v>
      </c>
      <c r="C7588" s="8" t="s">
        <v>33563</v>
      </c>
      <c r="F7588" s="47"/>
      <c r="G7588" s="8">
        <v>18</v>
      </c>
      <c r="H7588" s="8" t="s">
        <v>21</v>
      </c>
      <c r="I7588" s="8" t="s">
        <v>22</v>
      </c>
      <c r="J7588" s="8" t="s">
        <v>22</v>
      </c>
      <c r="K7588" s="8" t="s">
        <v>406</v>
      </c>
      <c r="L7588" s="8" t="s">
        <v>24</v>
      </c>
      <c r="M7588" s="8" t="s">
        <v>25</v>
      </c>
      <c r="N7588" s="8" t="s">
        <v>33564</v>
      </c>
      <c r="O7588" s="8">
        <f>23+17/60+59.1/3600</f>
        <v>23.299750000000003</v>
      </c>
      <c r="P7588" s="8" t="s">
        <v>33565</v>
      </c>
      <c r="Q7588" s="8">
        <f>+(9+40/60+49/3600)</f>
        <v>9.6802777777777766</v>
      </c>
      <c r="R7588" s="8">
        <v>13.9</v>
      </c>
      <c r="S7588" s="8">
        <v>14.7</v>
      </c>
      <c r="T7588" s="8">
        <v>0.8</v>
      </c>
      <c r="U7588" s="8">
        <v>13</v>
      </c>
      <c r="V7588" s="8">
        <v>1.2</v>
      </c>
      <c r="W7588" s="8">
        <v>0.3</v>
      </c>
      <c r="X7588" s="8">
        <v>123</v>
      </c>
      <c r="Y7588" s="8" t="s">
        <v>33566</v>
      </c>
      <c r="Z7588" s="8" t="s">
        <v>33567</v>
      </c>
    </row>
    <row r="7589" spans="1:26" x14ac:dyDescent="0.2">
      <c r="A7589" s="8">
        <v>7588</v>
      </c>
      <c r="B7589" s="8" t="s">
        <v>33568</v>
      </c>
      <c r="C7589" s="8" t="s">
        <v>33568</v>
      </c>
      <c r="F7589" s="47"/>
      <c r="G7589" s="8">
        <v>18</v>
      </c>
      <c r="H7589" s="8" t="s">
        <v>21</v>
      </c>
      <c r="I7589" s="8" t="s">
        <v>22</v>
      </c>
      <c r="J7589" s="8" t="s">
        <v>22</v>
      </c>
      <c r="K7589" s="8" t="s">
        <v>449</v>
      </c>
      <c r="L7589" s="8" t="s">
        <v>24</v>
      </c>
      <c r="M7589" s="8" t="s">
        <v>25</v>
      </c>
      <c r="N7589" s="8" t="s">
        <v>33569</v>
      </c>
      <c r="O7589" s="8">
        <f>23+17/60+57.7/3600</f>
        <v>23.299361111111114</v>
      </c>
      <c r="P7589" s="8" t="s">
        <v>33570</v>
      </c>
      <c r="Q7589" s="8">
        <f>+(18+45/60+10/3600)</f>
        <v>18.752777777777776</v>
      </c>
      <c r="R7589" s="8">
        <v>14.8</v>
      </c>
      <c r="S7589" s="8">
        <v>15.6</v>
      </c>
      <c r="T7589" s="8">
        <v>0.8</v>
      </c>
      <c r="U7589" s="8">
        <v>12.6</v>
      </c>
      <c r="V7589" s="8">
        <v>0.3</v>
      </c>
      <c r="W7589" s="8">
        <v>0.2</v>
      </c>
      <c r="X7589" s="8">
        <v>99</v>
      </c>
      <c r="Y7589" s="8" t="s">
        <v>962</v>
      </c>
      <c r="Z7589" s="8" t="s">
        <v>963</v>
      </c>
    </row>
    <row r="7590" spans="1:26" x14ac:dyDescent="0.2">
      <c r="A7590" s="8">
        <v>7589</v>
      </c>
      <c r="B7590" s="8" t="s">
        <v>33571</v>
      </c>
      <c r="C7590" s="8" t="s">
        <v>33571</v>
      </c>
      <c r="F7590" s="47"/>
      <c r="G7590" s="8">
        <v>18</v>
      </c>
      <c r="H7590" s="8" t="s">
        <v>21</v>
      </c>
      <c r="I7590" s="8" t="s">
        <v>22</v>
      </c>
      <c r="J7590" s="8" t="s">
        <v>22</v>
      </c>
      <c r="K7590" s="8" t="s">
        <v>91</v>
      </c>
      <c r="L7590" s="8" t="s">
        <v>38</v>
      </c>
      <c r="M7590" s="8" t="s">
        <v>39</v>
      </c>
      <c r="N7590" s="8" t="s">
        <v>33572</v>
      </c>
      <c r="O7590" s="8">
        <f>23+18/60+15.6/3600</f>
        <v>23.304333333333336</v>
      </c>
      <c r="P7590" s="8" t="s">
        <v>33573</v>
      </c>
      <c r="Q7590" s="8">
        <f>+(0+15/60+42/3600)</f>
        <v>0.26166666666666666</v>
      </c>
      <c r="R7590" s="8">
        <v>14.1</v>
      </c>
      <c r="S7590" s="8">
        <v>15</v>
      </c>
      <c r="T7590" s="8">
        <v>0.9</v>
      </c>
      <c r="U7590" s="8">
        <v>13.7</v>
      </c>
      <c r="V7590" s="8">
        <v>1.1000000000000001</v>
      </c>
      <c r="W7590" s="8">
        <v>0.7</v>
      </c>
      <c r="X7590" s="8">
        <v>102</v>
      </c>
      <c r="Y7590" s="8" t="s">
        <v>266</v>
      </c>
      <c r="Z7590" s="8" t="s">
        <v>267</v>
      </c>
    </row>
    <row r="7591" spans="1:26" x14ac:dyDescent="0.2">
      <c r="A7591" s="8">
        <v>7590</v>
      </c>
      <c r="B7591" s="8" t="s">
        <v>33574</v>
      </c>
      <c r="C7591" s="8" t="s">
        <v>33574</v>
      </c>
      <c r="F7591" s="47"/>
      <c r="G7591" s="8">
        <v>10</v>
      </c>
      <c r="H7591" s="8" t="s">
        <v>33411</v>
      </c>
      <c r="I7591" s="8" t="s">
        <v>22</v>
      </c>
      <c r="J7591" s="8" t="s">
        <v>22</v>
      </c>
      <c r="K7591" s="8" t="s">
        <v>396</v>
      </c>
      <c r="L7591" s="8" t="s">
        <v>31389</v>
      </c>
      <c r="M7591" s="8" t="s">
        <v>31390</v>
      </c>
      <c r="N7591" s="8" t="s">
        <v>33575</v>
      </c>
      <c r="O7591" s="8">
        <f>23+18/60+54.6/3600</f>
        <v>23.315166666666666</v>
      </c>
      <c r="P7591" s="8" t="s">
        <v>33576</v>
      </c>
      <c r="Q7591" s="8">
        <f>-(42+14/60+21/3600)</f>
        <v>-42.239166666666669</v>
      </c>
      <c r="R7591" s="8">
        <v>11.5</v>
      </c>
      <c r="S7591" s="8">
        <v>12.1</v>
      </c>
      <c r="T7591" s="8">
        <v>0.6</v>
      </c>
      <c r="U7591" s="8">
        <v>12.5</v>
      </c>
      <c r="V7591" s="8">
        <v>2.6</v>
      </c>
      <c r="W7591" s="8">
        <v>1</v>
      </c>
      <c r="X7591" s="8">
        <v>36</v>
      </c>
      <c r="Y7591" s="8" t="s">
        <v>33577</v>
      </c>
      <c r="Z7591" s="8" t="s">
        <v>33578</v>
      </c>
    </row>
    <row r="7592" spans="1:26" x14ac:dyDescent="0.2">
      <c r="A7592" s="8">
        <v>7591</v>
      </c>
      <c r="B7592" s="8" t="s">
        <v>33579</v>
      </c>
      <c r="C7592" s="8" t="s">
        <v>33579</v>
      </c>
      <c r="F7592" s="47"/>
      <c r="G7592" s="8">
        <v>18</v>
      </c>
      <c r="H7592" s="8" t="s">
        <v>21</v>
      </c>
      <c r="I7592" s="8" t="s">
        <v>22</v>
      </c>
      <c r="J7592" s="8" t="s">
        <v>22</v>
      </c>
      <c r="K7592" s="8" t="s">
        <v>85</v>
      </c>
      <c r="L7592" s="8" t="s">
        <v>38</v>
      </c>
      <c r="M7592" s="8" t="s">
        <v>39</v>
      </c>
      <c r="N7592" s="8" t="s">
        <v>33580</v>
      </c>
      <c r="O7592" s="8">
        <f>23+18/60+16.2/3600</f>
        <v>23.304500000000001</v>
      </c>
      <c r="P7592" s="8" t="s">
        <v>33581</v>
      </c>
      <c r="Q7592" s="8">
        <f>+(6+35/60+10/3600)</f>
        <v>6.5861111111111112</v>
      </c>
      <c r="R7592" s="8">
        <v>13</v>
      </c>
      <c r="S7592" s="8">
        <v>13.9</v>
      </c>
      <c r="T7592" s="8">
        <v>0.9</v>
      </c>
      <c r="U7592" s="8">
        <v>13.3</v>
      </c>
      <c r="V7592" s="8">
        <v>1.9</v>
      </c>
      <c r="W7592" s="8">
        <v>0.8</v>
      </c>
      <c r="X7592" s="8">
        <v>145</v>
      </c>
      <c r="Y7592" s="8" t="s">
        <v>33582</v>
      </c>
      <c r="Z7592" s="8" t="s">
        <v>33583</v>
      </c>
    </row>
    <row r="7593" spans="1:26" x14ac:dyDescent="0.2">
      <c r="A7593" s="8">
        <v>7592</v>
      </c>
      <c r="B7593" s="8" t="s">
        <v>33584</v>
      </c>
      <c r="C7593" s="8" t="s">
        <v>33584</v>
      </c>
      <c r="F7593" s="47" t="s">
        <v>58387</v>
      </c>
      <c r="G7593" s="8">
        <v>15</v>
      </c>
      <c r="H7593" s="8" t="s">
        <v>21</v>
      </c>
      <c r="I7593" s="8" t="s">
        <v>22</v>
      </c>
      <c r="J7593" s="8" t="s">
        <v>22</v>
      </c>
      <c r="K7593" s="8" t="s">
        <v>632</v>
      </c>
      <c r="L7593" s="8" t="s">
        <v>30854</v>
      </c>
      <c r="M7593" s="8" t="s">
        <v>30855</v>
      </c>
      <c r="N7593" s="8" t="s">
        <v>33585</v>
      </c>
      <c r="O7593" s="8">
        <f>23+18/60+22/3600</f>
        <v>23.306111111111111</v>
      </c>
      <c r="P7593" s="8" t="s">
        <v>33586</v>
      </c>
      <c r="Q7593" s="8">
        <f>-(4+24/60+59/3600)</f>
        <v>-4.4163888888888891</v>
      </c>
      <c r="R7593" s="8">
        <v>13.5</v>
      </c>
      <c r="S7593" s="8">
        <v>14.4</v>
      </c>
      <c r="T7593" s="8">
        <v>0.9</v>
      </c>
      <c r="U7593" s="8">
        <v>13.4</v>
      </c>
      <c r="V7593" s="8">
        <v>1.1000000000000001</v>
      </c>
      <c r="W7593" s="8">
        <v>0.9</v>
      </c>
      <c r="X7593" s="8">
        <v>57</v>
      </c>
      <c r="Y7593" s="8" t="s">
        <v>266</v>
      </c>
      <c r="Z7593" s="8" t="s">
        <v>267</v>
      </c>
    </row>
    <row r="7594" spans="1:26" x14ac:dyDescent="0.2">
      <c r="A7594" s="8">
        <v>7593</v>
      </c>
      <c r="B7594" s="8" t="s">
        <v>33587</v>
      </c>
      <c r="C7594" s="8" t="s">
        <v>33587</v>
      </c>
      <c r="F7594" s="47"/>
      <c r="G7594" s="8">
        <v>18</v>
      </c>
      <c r="H7594" s="8" t="s">
        <v>21</v>
      </c>
      <c r="I7594" s="8" t="s">
        <v>22</v>
      </c>
      <c r="J7594" s="8" t="s">
        <v>22</v>
      </c>
      <c r="K7594" s="8" t="s">
        <v>396</v>
      </c>
      <c r="L7594" s="8" t="s">
        <v>24</v>
      </c>
      <c r="M7594" s="8" t="s">
        <v>25</v>
      </c>
      <c r="N7594" s="8" t="s">
        <v>33588</v>
      </c>
      <c r="O7594" s="8">
        <f>23+17/60+56.9/3600</f>
        <v>23.299138888888891</v>
      </c>
      <c r="P7594" s="8" t="s">
        <v>33589</v>
      </c>
      <c r="Q7594" s="8">
        <f>+(11+20/60+56/3600)</f>
        <v>11.34888888888889</v>
      </c>
      <c r="R7594" s="8">
        <v>13.6</v>
      </c>
      <c r="S7594" s="8">
        <v>14.3</v>
      </c>
      <c r="T7594" s="8">
        <v>0.7</v>
      </c>
      <c r="U7594" s="8">
        <v>12.9</v>
      </c>
      <c r="V7594" s="8">
        <v>1</v>
      </c>
      <c r="W7594" s="8">
        <v>0.6</v>
      </c>
      <c r="X7594" s="8">
        <v>104</v>
      </c>
      <c r="Y7594" s="8" t="s">
        <v>895</v>
      </c>
      <c r="Z7594" s="8" t="s">
        <v>896</v>
      </c>
    </row>
    <row r="7595" spans="1:26" x14ac:dyDescent="0.2">
      <c r="A7595" s="8">
        <v>7594</v>
      </c>
      <c r="B7595" s="8" t="s">
        <v>33590</v>
      </c>
      <c r="C7595" s="8" t="s">
        <v>33590</v>
      </c>
      <c r="F7595" s="47"/>
      <c r="G7595" s="8">
        <v>19</v>
      </c>
      <c r="H7595" s="8" t="s">
        <v>21</v>
      </c>
      <c r="I7595" s="8" t="s">
        <v>22</v>
      </c>
      <c r="J7595" s="8" t="s">
        <v>22</v>
      </c>
      <c r="K7595" s="8" t="s">
        <v>23</v>
      </c>
      <c r="L7595" s="8" t="s">
        <v>24</v>
      </c>
      <c r="M7595" s="8" t="s">
        <v>25</v>
      </c>
      <c r="N7595" s="8" t="s">
        <v>33591</v>
      </c>
      <c r="O7595" s="8">
        <f>23+18/60+13.9/3600</f>
        <v>23.303861111111111</v>
      </c>
      <c r="P7595" s="8" t="s">
        <v>33592</v>
      </c>
      <c r="Q7595" s="8">
        <f>+(10+17/60+52/3600)</f>
        <v>10.297777777777778</v>
      </c>
      <c r="R7595" s="8">
        <v>13.7</v>
      </c>
      <c r="S7595" s="8">
        <v>14.6</v>
      </c>
      <c r="T7595" s="8">
        <v>0.9</v>
      </c>
      <c r="U7595" s="8">
        <v>13.9</v>
      </c>
      <c r="V7595" s="8">
        <v>1.4</v>
      </c>
      <c r="W7595" s="8">
        <v>0.9</v>
      </c>
      <c r="X7595" s="8">
        <v>30</v>
      </c>
      <c r="Y7595" s="8" t="s">
        <v>33593</v>
      </c>
      <c r="Z7595" s="8" t="s">
        <v>33594</v>
      </c>
    </row>
    <row r="7596" spans="1:26" x14ac:dyDescent="0.2">
      <c r="A7596" s="8">
        <v>7595</v>
      </c>
      <c r="B7596" s="8" t="s">
        <v>33595</v>
      </c>
      <c r="C7596" s="8" t="s">
        <v>33595</v>
      </c>
      <c r="F7596" s="47"/>
      <c r="G7596" s="8">
        <v>19</v>
      </c>
      <c r="H7596" s="8" t="s">
        <v>21</v>
      </c>
      <c r="I7596" s="8" t="s">
        <v>22</v>
      </c>
      <c r="J7596" s="8" t="s">
        <v>22</v>
      </c>
      <c r="K7596" s="8" t="s">
        <v>460</v>
      </c>
      <c r="L7596" s="8" t="s">
        <v>24</v>
      </c>
      <c r="M7596" s="8" t="s">
        <v>25</v>
      </c>
      <c r="N7596" s="8" t="s">
        <v>33596</v>
      </c>
      <c r="O7596" s="8">
        <f>23+18/60+30.2/3600</f>
        <v>23.308388888888889</v>
      </c>
      <c r="P7596" s="8" t="s">
        <v>33597</v>
      </c>
      <c r="Q7596" s="8">
        <f>+(9+55/60+56/3600)</f>
        <v>9.9322222222222223</v>
      </c>
      <c r="R7596" s="8">
        <v>14.9</v>
      </c>
      <c r="S7596" s="8">
        <v>15.9</v>
      </c>
      <c r="T7596" s="8">
        <v>1</v>
      </c>
      <c r="U7596" s="8">
        <v>13.5</v>
      </c>
      <c r="V7596" s="8">
        <v>0.5</v>
      </c>
      <c r="W7596" s="8">
        <v>0.5</v>
      </c>
      <c r="Y7596" s="8" t="s">
        <v>3300</v>
      </c>
      <c r="Z7596" s="8" t="s">
        <v>28008</v>
      </c>
    </row>
    <row r="7597" spans="1:26" x14ac:dyDescent="0.2">
      <c r="A7597" s="8">
        <v>7596</v>
      </c>
      <c r="B7597" s="8" t="s">
        <v>33598</v>
      </c>
      <c r="C7597" s="8" t="s">
        <v>33598</v>
      </c>
      <c r="F7597" s="47"/>
      <c r="G7597" s="8">
        <v>19</v>
      </c>
      <c r="H7597" s="8" t="s">
        <v>21</v>
      </c>
      <c r="I7597" s="8" t="s">
        <v>22</v>
      </c>
      <c r="J7597" s="8" t="s">
        <v>22</v>
      </c>
      <c r="K7597" s="8" t="s">
        <v>37</v>
      </c>
      <c r="L7597" s="8" t="s">
        <v>30854</v>
      </c>
      <c r="M7597" s="8" t="s">
        <v>30855</v>
      </c>
      <c r="N7597" s="8" t="s">
        <v>33599</v>
      </c>
      <c r="O7597" s="8">
        <f>23+17/60+12/3600</f>
        <v>23.286666666666669</v>
      </c>
      <c r="P7597" s="8" t="s">
        <v>33600</v>
      </c>
      <c r="Q7597" s="8">
        <f>-(6+54/60+42/3600)</f>
        <v>-6.9116666666666671</v>
      </c>
      <c r="R7597" s="8">
        <v>14.2</v>
      </c>
      <c r="S7597" s="8">
        <v>15.2</v>
      </c>
      <c r="T7597" s="8">
        <v>1</v>
      </c>
      <c r="U7597" s="8">
        <v>13.3</v>
      </c>
      <c r="V7597" s="8">
        <v>1</v>
      </c>
      <c r="W7597" s="8">
        <v>0.5</v>
      </c>
      <c r="X7597" s="8">
        <v>34</v>
      </c>
      <c r="Y7597" s="8" t="s">
        <v>33601</v>
      </c>
      <c r="Z7597" s="8" t="s">
        <v>33602</v>
      </c>
    </row>
    <row r="7598" spans="1:26" x14ac:dyDescent="0.2">
      <c r="A7598" s="8">
        <v>7597</v>
      </c>
      <c r="B7598" s="8" t="s">
        <v>33603</v>
      </c>
      <c r="C7598" s="8" t="s">
        <v>33603</v>
      </c>
      <c r="F7598" s="47"/>
      <c r="G7598" s="8">
        <v>18</v>
      </c>
      <c r="H7598" s="8" t="s">
        <v>21</v>
      </c>
      <c r="I7598" s="8" t="s">
        <v>22</v>
      </c>
      <c r="J7598" s="8" t="s">
        <v>22</v>
      </c>
      <c r="K7598" s="8" t="s">
        <v>37</v>
      </c>
      <c r="L7598" s="8" t="s">
        <v>24</v>
      </c>
      <c r="M7598" s="8" t="s">
        <v>25</v>
      </c>
      <c r="N7598" s="8" t="s">
        <v>33499</v>
      </c>
      <c r="O7598" s="8">
        <f>23+18/60+30.3/3600</f>
        <v>23.308416666666666</v>
      </c>
      <c r="P7598" s="8" t="s">
        <v>33500</v>
      </c>
      <c r="Q7598" s="8">
        <f>+(18+41/60+18/3600)</f>
        <v>18.688333333333333</v>
      </c>
      <c r="R7598" s="8">
        <v>14</v>
      </c>
      <c r="S7598" s="8">
        <v>15</v>
      </c>
      <c r="T7598" s="8">
        <v>1</v>
      </c>
      <c r="U7598" s="8">
        <v>13.9</v>
      </c>
      <c r="V7598" s="8">
        <v>1</v>
      </c>
      <c r="W7598" s="8">
        <v>1</v>
      </c>
      <c r="Y7598" s="8" t="s">
        <v>33501</v>
      </c>
      <c r="Z7598" s="8" t="s">
        <v>33604</v>
      </c>
    </row>
    <row r="7599" spans="1:26" x14ac:dyDescent="0.2">
      <c r="A7599" s="8">
        <v>7598</v>
      </c>
      <c r="B7599" s="8" t="s">
        <v>33605</v>
      </c>
      <c r="C7599" s="8" t="s">
        <v>33605</v>
      </c>
      <c r="F7599" s="47"/>
      <c r="G7599" s="8">
        <v>18</v>
      </c>
      <c r="H7599" s="8" t="s">
        <v>21</v>
      </c>
      <c r="I7599" s="8" t="s">
        <v>22</v>
      </c>
      <c r="J7599" s="8" t="s">
        <v>22</v>
      </c>
      <c r="K7599" s="8" t="s">
        <v>2572</v>
      </c>
      <c r="L7599" s="8" t="s">
        <v>24</v>
      </c>
      <c r="M7599" s="8" t="s">
        <v>25</v>
      </c>
      <c r="N7599" s="8" t="s">
        <v>33606</v>
      </c>
      <c r="O7599" s="8">
        <f>23+18/60+33.3/3600</f>
        <v>23.309250000000002</v>
      </c>
      <c r="P7599" s="8" t="s">
        <v>33607</v>
      </c>
      <c r="Q7599" s="8">
        <f>+(18+44/60+59/3600)</f>
        <v>18.749722222222225</v>
      </c>
      <c r="R7599" s="8">
        <v>14.9</v>
      </c>
      <c r="S7599" s="8">
        <v>15.9</v>
      </c>
      <c r="T7599" s="8">
        <v>1</v>
      </c>
      <c r="U7599" s="8">
        <v>11.7</v>
      </c>
      <c r="V7599" s="8">
        <v>0.3</v>
      </c>
      <c r="W7599" s="8">
        <v>0.2</v>
      </c>
      <c r="X7599" s="8">
        <v>110</v>
      </c>
      <c r="Y7599" s="8" t="s">
        <v>11909</v>
      </c>
      <c r="Z7599" s="8" t="s">
        <v>11910</v>
      </c>
    </row>
    <row r="7600" spans="1:26" x14ac:dyDescent="0.2">
      <c r="A7600" s="8">
        <v>7599</v>
      </c>
      <c r="B7600" s="8" t="s">
        <v>33608</v>
      </c>
      <c r="C7600" s="8" t="s">
        <v>33608</v>
      </c>
      <c r="F7600" s="47"/>
      <c r="G7600" s="8">
        <v>10</v>
      </c>
      <c r="H7600" s="8" t="s">
        <v>33411</v>
      </c>
      <c r="I7600" s="8" t="s">
        <v>22</v>
      </c>
      <c r="J7600" s="8" t="s">
        <v>22</v>
      </c>
      <c r="K7600" s="8" t="s">
        <v>64</v>
      </c>
      <c r="L7600" s="8" t="s">
        <v>31389</v>
      </c>
      <c r="M7600" s="8" t="s">
        <v>31390</v>
      </c>
      <c r="N7600" s="8" t="s">
        <v>33609</v>
      </c>
      <c r="O7600" s="8">
        <f>23+19/60+20.8/3600</f>
        <v>23.322444444444443</v>
      </c>
      <c r="P7600" s="8" t="s">
        <v>33610</v>
      </c>
      <c r="Q7600" s="8">
        <f>-(42+15/60+29/3600)</f>
        <v>-42.258055555555558</v>
      </c>
      <c r="R7600" s="8">
        <v>11.5</v>
      </c>
      <c r="S7600" s="8">
        <v>12.1</v>
      </c>
      <c r="T7600" s="8">
        <v>0.6</v>
      </c>
      <c r="U7600" s="8">
        <v>13.3</v>
      </c>
      <c r="V7600" s="8">
        <v>4.4000000000000004</v>
      </c>
      <c r="W7600" s="8">
        <v>1.4</v>
      </c>
      <c r="X7600" s="8">
        <v>57</v>
      </c>
      <c r="Y7600" s="8" t="s">
        <v>33611</v>
      </c>
      <c r="Z7600" s="8" t="s">
        <v>33612</v>
      </c>
    </row>
    <row r="7601" spans="1:26" x14ac:dyDescent="0.2">
      <c r="A7601" s="8">
        <v>7600</v>
      </c>
      <c r="B7601" s="8" t="s">
        <v>33613</v>
      </c>
      <c r="C7601" s="8" t="s">
        <v>33613</v>
      </c>
      <c r="F7601" s="47" t="s">
        <v>58388</v>
      </c>
      <c r="G7601" s="8">
        <v>6.5</v>
      </c>
      <c r="H7601" s="8" t="s">
        <v>21</v>
      </c>
      <c r="I7601" s="8" t="s">
        <v>22</v>
      </c>
      <c r="J7601" s="8" t="s">
        <v>22</v>
      </c>
      <c r="K7601" s="8" t="s">
        <v>58</v>
      </c>
      <c r="L7601" s="8" t="s">
        <v>30854</v>
      </c>
      <c r="M7601" s="8" t="s">
        <v>30855</v>
      </c>
      <c r="N7601" s="8" t="s">
        <v>33614</v>
      </c>
      <c r="O7601" s="8">
        <f>23+18/60+53.8/3600</f>
        <v>23.314944444444446</v>
      </c>
      <c r="P7601" s="8" t="s">
        <v>33615</v>
      </c>
      <c r="Q7601" s="8">
        <f>-(7+34/60+48/3600)</f>
        <v>-7.58</v>
      </c>
      <c r="R7601" s="8">
        <v>12</v>
      </c>
      <c r="S7601" s="8">
        <v>12.9</v>
      </c>
      <c r="T7601" s="8">
        <v>0.9</v>
      </c>
      <c r="U7601" s="8">
        <v>12.9</v>
      </c>
      <c r="V7601" s="8">
        <v>2.5</v>
      </c>
      <c r="W7601" s="8">
        <v>1</v>
      </c>
      <c r="X7601" s="8">
        <v>70</v>
      </c>
      <c r="Y7601" s="8" t="s">
        <v>33616</v>
      </c>
      <c r="Z7601" s="8" t="s">
        <v>33617</v>
      </c>
    </row>
    <row r="7602" spans="1:26" x14ac:dyDescent="0.2">
      <c r="A7602" s="8">
        <v>7601</v>
      </c>
      <c r="B7602" s="8" t="s">
        <v>33618</v>
      </c>
      <c r="C7602" s="8" t="s">
        <v>33618</v>
      </c>
      <c r="F7602" s="47"/>
      <c r="G7602" s="8">
        <v>19</v>
      </c>
      <c r="H7602" s="8" t="s">
        <v>21</v>
      </c>
      <c r="I7602" s="8" t="s">
        <v>22</v>
      </c>
      <c r="J7602" s="8" t="s">
        <v>22</v>
      </c>
      <c r="K7602" s="8" t="s">
        <v>85</v>
      </c>
      <c r="L7602" s="8" t="s">
        <v>24</v>
      </c>
      <c r="M7602" s="8" t="s">
        <v>25</v>
      </c>
      <c r="N7602" s="8" t="s">
        <v>33619</v>
      </c>
      <c r="O7602" s="8">
        <f>23+18/60+47.1/3600</f>
        <v>23.313083333333335</v>
      </c>
      <c r="P7602" s="8" t="s">
        <v>33620</v>
      </c>
      <c r="Q7602" s="8">
        <f>+(9+14/60+1/3600)</f>
        <v>9.2336111111111094</v>
      </c>
      <c r="R7602" s="8">
        <v>14</v>
      </c>
      <c r="S7602" s="8">
        <v>14.6</v>
      </c>
      <c r="T7602" s="8">
        <v>0.6</v>
      </c>
      <c r="U7602" s="8">
        <v>14</v>
      </c>
      <c r="V7602" s="8">
        <v>1.1000000000000001</v>
      </c>
      <c r="W7602" s="8">
        <v>0.9</v>
      </c>
      <c r="X7602" s="8">
        <v>96</v>
      </c>
      <c r="Y7602" s="8" t="s">
        <v>33621</v>
      </c>
      <c r="Z7602" s="8" t="s">
        <v>33622</v>
      </c>
    </row>
    <row r="7603" spans="1:26" x14ac:dyDescent="0.2">
      <c r="A7603" s="8">
        <v>7602</v>
      </c>
      <c r="B7603" s="8" t="s">
        <v>33623</v>
      </c>
      <c r="C7603" s="8" t="s">
        <v>33623</v>
      </c>
      <c r="F7603" s="47"/>
      <c r="G7603" s="8">
        <v>18</v>
      </c>
      <c r="H7603" s="8" t="s">
        <v>21</v>
      </c>
      <c r="I7603" s="8" t="s">
        <v>22</v>
      </c>
      <c r="J7603" s="8" t="s">
        <v>22</v>
      </c>
      <c r="K7603" s="8" t="s">
        <v>632</v>
      </c>
      <c r="L7603" s="8" t="s">
        <v>24</v>
      </c>
      <c r="M7603" s="8" t="s">
        <v>25</v>
      </c>
      <c r="N7603" s="8" t="s">
        <v>33624</v>
      </c>
      <c r="O7603" s="8">
        <f>23+18/60+43.5/3600</f>
        <v>23.312083333333334</v>
      </c>
      <c r="P7603" s="8" t="s">
        <v>33625</v>
      </c>
      <c r="Q7603" s="8">
        <f>+(18+41/60+56/3600)</f>
        <v>18.698888888888888</v>
      </c>
      <c r="R7603" s="8">
        <v>14.4</v>
      </c>
      <c r="S7603" s="8">
        <v>15.3</v>
      </c>
      <c r="T7603" s="8">
        <v>0.9</v>
      </c>
      <c r="U7603" s="8">
        <v>13.2</v>
      </c>
      <c r="V7603" s="8">
        <v>0.6</v>
      </c>
      <c r="W7603" s="8">
        <v>0.6</v>
      </c>
      <c r="Y7603" s="8" t="s">
        <v>11909</v>
      </c>
      <c r="Z7603" s="8" t="s">
        <v>11910</v>
      </c>
    </row>
    <row r="7604" spans="1:26" x14ac:dyDescent="0.2">
      <c r="A7604" s="8">
        <v>7603</v>
      </c>
      <c r="B7604" s="8" t="s">
        <v>33626</v>
      </c>
      <c r="C7604" s="8" t="s">
        <v>33626</v>
      </c>
      <c r="F7604" s="47"/>
      <c r="G7604" s="8">
        <v>18</v>
      </c>
      <c r="H7604" s="8" t="s">
        <v>21</v>
      </c>
      <c r="I7604" s="8" t="s">
        <v>22</v>
      </c>
      <c r="J7604" s="8" t="s">
        <v>22</v>
      </c>
      <c r="K7604" s="8" t="s">
        <v>79</v>
      </c>
      <c r="L7604" s="8" t="s">
        <v>38</v>
      </c>
      <c r="M7604" s="8" t="s">
        <v>39</v>
      </c>
      <c r="N7604" s="8" t="s">
        <v>33627</v>
      </c>
      <c r="O7604" s="8">
        <f>23+18/60+56.4/3600</f>
        <v>23.315666666666669</v>
      </c>
      <c r="P7604" s="8" t="s">
        <v>33628</v>
      </c>
      <c r="Q7604" s="8">
        <f>+(0+14/60+39/3600)</f>
        <v>0.24416666666666667</v>
      </c>
      <c r="R7604" s="8">
        <v>13.2</v>
      </c>
      <c r="S7604" s="8">
        <v>14</v>
      </c>
      <c r="T7604" s="8">
        <v>0.8</v>
      </c>
      <c r="U7604" s="8">
        <v>13.5</v>
      </c>
      <c r="V7604" s="8">
        <v>1.6</v>
      </c>
      <c r="W7604" s="8">
        <v>1</v>
      </c>
      <c r="X7604" s="8">
        <v>165</v>
      </c>
      <c r="Y7604" s="8" t="s">
        <v>256</v>
      </c>
      <c r="Z7604" s="8" t="s">
        <v>2209</v>
      </c>
    </row>
    <row r="7605" spans="1:26" x14ac:dyDescent="0.2">
      <c r="A7605" s="8">
        <v>7604</v>
      </c>
      <c r="B7605" s="8" t="s">
        <v>33629</v>
      </c>
      <c r="C7605" s="8" t="s">
        <v>33629</v>
      </c>
      <c r="F7605" s="47"/>
      <c r="G7605" s="8">
        <v>18</v>
      </c>
      <c r="H7605" s="8" t="s">
        <v>21</v>
      </c>
      <c r="I7605" s="8" t="s">
        <v>22</v>
      </c>
      <c r="J7605" s="8" t="s">
        <v>22</v>
      </c>
      <c r="K7605" s="8" t="s">
        <v>37</v>
      </c>
      <c r="L7605" s="8" t="s">
        <v>38</v>
      </c>
      <c r="M7605" s="8" t="s">
        <v>39</v>
      </c>
      <c r="N7605" s="8" t="s">
        <v>33630</v>
      </c>
      <c r="O7605" s="8">
        <f>23+17/60+51.9/3600</f>
        <v>23.297750000000001</v>
      </c>
      <c r="P7605" s="8" t="s">
        <v>33631</v>
      </c>
      <c r="Q7605" s="8">
        <f>+(7+25/60+48/3600)</f>
        <v>7.4300000000000006</v>
      </c>
      <c r="R7605" s="8">
        <v>14.5</v>
      </c>
      <c r="S7605" s="8">
        <v>15.5</v>
      </c>
      <c r="T7605" s="8">
        <v>1</v>
      </c>
      <c r="U7605" s="8">
        <v>11.3</v>
      </c>
      <c r="V7605" s="8">
        <v>0.3</v>
      </c>
      <c r="W7605" s="8">
        <v>0.2</v>
      </c>
      <c r="X7605" s="8">
        <v>90</v>
      </c>
      <c r="Y7605" s="8" t="s">
        <v>24854</v>
      </c>
      <c r="Z7605" s="8" t="s">
        <v>24855</v>
      </c>
    </row>
    <row r="7606" spans="1:26" x14ac:dyDescent="0.2">
      <c r="A7606" s="8">
        <v>7605</v>
      </c>
      <c r="B7606" s="8" t="s">
        <v>33632</v>
      </c>
      <c r="C7606" s="8" t="s">
        <v>33632</v>
      </c>
      <c r="F7606" s="47"/>
      <c r="G7606" s="8">
        <v>18</v>
      </c>
      <c r="H7606" s="8" t="s">
        <v>21</v>
      </c>
      <c r="I7606" s="8" t="s">
        <v>22</v>
      </c>
      <c r="J7606" s="8" t="s">
        <v>57</v>
      </c>
      <c r="K7606" s="8" t="s">
        <v>449</v>
      </c>
      <c r="L7606" s="8" t="s">
        <v>38</v>
      </c>
      <c r="M7606" s="8" t="s">
        <v>39</v>
      </c>
      <c r="N7606" s="8" t="s">
        <v>33550</v>
      </c>
      <c r="O7606" s="8">
        <f>23+17/60+52.8/3600</f>
        <v>23.298000000000002</v>
      </c>
      <c r="P7606" s="8" t="s">
        <v>33551</v>
      </c>
      <c r="Q7606" s="8">
        <f>+(7+22/60+46/3600)</f>
        <v>7.3794444444444443</v>
      </c>
      <c r="R7606" s="8">
        <v>13.8</v>
      </c>
      <c r="S7606" s="8">
        <v>14.6</v>
      </c>
      <c r="T7606" s="8">
        <v>0.8</v>
      </c>
      <c r="U7606" s="8">
        <v>12.9</v>
      </c>
      <c r="V7606" s="8">
        <v>0.7</v>
      </c>
      <c r="W7606" s="8">
        <v>0.7</v>
      </c>
      <c r="Y7606" s="8" t="s">
        <v>2067</v>
      </c>
      <c r="Z7606" s="8" t="s">
        <v>2068</v>
      </c>
    </row>
    <row r="7607" spans="1:26" x14ac:dyDescent="0.2">
      <c r="A7607" s="8">
        <v>7606</v>
      </c>
      <c r="B7607" s="8" t="s">
        <v>33633</v>
      </c>
      <c r="C7607" s="8" t="s">
        <v>33633</v>
      </c>
      <c r="F7607" s="47" t="s">
        <v>58389</v>
      </c>
      <c r="G7607" s="8">
        <v>6</v>
      </c>
      <c r="H7607" s="8" t="s">
        <v>21</v>
      </c>
      <c r="I7607" s="8" t="s">
        <v>22</v>
      </c>
      <c r="J7607" s="8" t="s">
        <v>22</v>
      </c>
      <c r="K7607" s="8" t="s">
        <v>23</v>
      </c>
      <c r="L7607" s="8" t="s">
        <v>30854</v>
      </c>
      <c r="M7607" s="8" t="s">
        <v>30855</v>
      </c>
      <c r="N7607" s="8" t="s">
        <v>33634</v>
      </c>
      <c r="O7607" s="8">
        <f>23+19/60+4.8/3600</f>
        <v>23.318000000000001</v>
      </c>
      <c r="P7607" s="8" t="s">
        <v>33635</v>
      </c>
      <c r="Q7607" s="8">
        <f>-(8+29/60+11/3600)</f>
        <v>-8.4863888888888876</v>
      </c>
      <c r="R7607" s="8">
        <v>10.8</v>
      </c>
      <c r="S7607" s="8">
        <v>11.5</v>
      </c>
      <c r="T7607" s="8">
        <v>0.7</v>
      </c>
      <c r="U7607" s="8">
        <v>13.2</v>
      </c>
      <c r="V7607" s="8">
        <v>5.4</v>
      </c>
      <c r="W7607" s="8">
        <v>2.1</v>
      </c>
      <c r="X7607" s="8">
        <v>145</v>
      </c>
      <c r="Y7607" s="8" t="s">
        <v>33636</v>
      </c>
      <c r="Z7607" s="8" t="s">
        <v>33637</v>
      </c>
    </row>
    <row r="7608" spans="1:26" x14ac:dyDescent="0.2">
      <c r="A7608" s="8">
        <v>7607</v>
      </c>
      <c r="B7608" s="8" t="s">
        <v>33638</v>
      </c>
      <c r="C7608" s="8" t="s">
        <v>33638</v>
      </c>
      <c r="F7608" s="47"/>
      <c r="G7608" s="8">
        <v>19</v>
      </c>
      <c r="H7608" s="8" t="s">
        <v>21</v>
      </c>
      <c r="I7608" s="8" t="s">
        <v>72</v>
      </c>
      <c r="J7608" s="8" t="s">
        <v>72</v>
      </c>
      <c r="K7608" s="8" t="s">
        <v>73</v>
      </c>
      <c r="L7608" s="8" t="s">
        <v>24</v>
      </c>
      <c r="M7608" s="8" t="s">
        <v>25</v>
      </c>
      <c r="N7608" s="8" t="s">
        <v>33639</v>
      </c>
      <c r="O7608" s="8">
        <f>23+18/60+59.3/3600</f>
        <v>23.316472222222224</v>
      </c>
      <c r="P7608" s="8" t="s">
        <v>33640</v>
      </c>
      <c r="Q7608" s="8">
        <f>+(11+20/60+30/3600)</f>
        <v>11.341666666666667</v>
      </c>
      <c r="R7608" s="8">
        <v>99</v>
      </c>
      <c r="S7608" s="8">
        <v>99</v>
      </c>
      <c r="T7608" s="8">
        <v>99</v>
      </c>
      <c r="U7608" s="8">
        <v>99</v>
      </c>
      <c r="Y7608" s="8" t="s">
        <v>33641</v>
      </c>
      <c r="Z7608" s="8" t="s">
        <v>33642</v>
      </c>
    </row>
    <row r="7609" spans="1:26" x14ac:dyDescent="0.2">
      <c r="A7609" s="8">
        <v>7608</v>
      </c>
      <c r="B7609" s="8" t="s">
        <v>33643</v>
      </c>
      <c r="C7609" s="8" t="s">
        <v>33643</v>
      </c>
      <c r="F7609" s="47"/>
      <c r="G7609" s="8">
        <v>18</v>
      </c>
      <c r="H7609" s="8" t="s">
        <v>21</v>
      </c>
      <c r="I7609" s="8" t="s">
        <v>22</v>
      </c>
      <c r="J7609" s="8" t="s">
        <v>22</v>
      </c>
      <c r="K7609" s="8" t="s">
        <v>396</v>
      </c>
      <c r="L7609" s="8" t="s">
        <v>24</v>
      </c>
      <c r="M7609" s="8" t="s">
        <v>25</v>
      </c>
      <c r="N7609" s="8" t="s">
        <v>33644</v>
      </c>
      <c r="O7609" s="8">
        <f>23+19/60+15.3/3600</f>
        <v>23.320916666666665</v>
      </c>
      <c r="P7609" s="8" t="s">
        <v>33645</v>
      </c>
      <c r="Q7609" s="8">
        <f>+(8+21/60+1/3600)</f>
        <v>8.3502777777777766</v>
      </c>
      <c r="R7609" s="8">
        <v>14.2</v>
      </c>
      <c r="S7609" s="8">
        <v>15</v>
      </c>
      <c r="T7609" s="8">
        <v>0.8</v>
      </c>
      <c r="U7609" s="8">
        <v>13.5</v>
      </c>
      <c r="V7609" s="8">
        <v>1.5</v>
      </c>
      <c r="W7609" s="8">
        <v>0.4</v>
      </c>
      <c r="X7609" s="8">
        <v>20</v>
      </c>
      <c r="Y7609" s="8" t="s">
        <v>1230</v>
      </c>
      <c r="Z7609" s="8" t="s">
        <v>25754</v>
      </c>
    </row>
    <row r="7610" spans="1:26" x14ac:dyDescent="0.2">
      <c r="A7610" s="8">
        <v>7609</v>
      </c>
      <c r="B7610" s="8" t="s">
        <v>33646</v>
      </c>
      <c r="C7610" s="8" t="s">
        <v>33646</v>
      </c>
      <c r="F7610" s="47"/>
      <c r="G7610" s="8">
        <v>18</v>
      </c>
      <c r="H7610" s="8" t="s">
        <v>21</v>
      </c>
      <c r="I7610" s="8" t="s">
        <v>22</v>
      </c>
      <c r="J7610" s="8" t="s">
        <v>22</v>
      </c>
      <c r="K7610" s="8" t="s">
        <v>58</v>
      </c>
      <c r="L7610" s="8" t="s">
        <v>24</v>
      </c>
      <c r="M7610" s="8" t="s">
        <v>25</v>
      </c>
      <c r="N7610" s="8" t="s">
        <v>33647</v>
      </c>
      <c r="O7610" s="8">
        <f>23+19/60+30/3600</f>
        <v>23.324999999999999</v>
      </c>
      <c r="P7610" s="8" t="s">
        <v>33648</v>
      </c>
      <c r="Q7610" s="8">
        <f>+(9+30/60+31/3600)</f>
        <v>9.5086111111111116</v>
      </c>
      <c r="R7610" s="8">
        <v>14.2</v>
      </c>
      <c r="S7610" s="8">
        <v>15.1</v>
      </c>
      <c r="T7610" s="8">
        <v>0.9</v>
      </c>
      <c r="U7610" s="8">
        <v>14.7</v>
      </c>
      <c r="V7610" s="8">
        <v>1.3</v>
      </c>
      <c r="W7610" s="8">
        <v>1.1000000000000001</v>
      </c>
      <c r="X7610" s="8">
        <v>135</v>
      </c>
      <c r="Y7610" s="8" t="s">
        <v>1748</v>
      </c>
      <c r="Z7610" s="8" t="s">
        <v>1749</v>
      </c>
    </row>
    <row r="7611" spans="1:26" x14ac:dyDescent="0.2">
      <c r="A7611" s="8">
        <v>7610</v>
      </c>
      <c r="B7611" s="8" t="s">
        <v>33649</v>
      </c>
      <c r="C7611" s="8" t="s">
        <v>33649</v>
      </c>
      <c r="F7611" s="47"/>
      <c r="G7611" s="8">
        <v>19</v>
      </c>
      <c r="H7611" s="8" t="s">
        <v>21</v>
      </c>
      <c r="I7611" s="8" t="s">
        <v>22</v>
      </c>
      <c r="J7611" s="8" t="s">
        <v>22</v>
      </c>
      <c r="K7611" s="8" t="s">
        <v>64</v>
      </c>
      <c r="L7611" s="8" t="s">
        <v>24</v>
      </c>
      <c r="M7611" s="8" t="s">
        <v>25</v>
      </c>
      <c r="N7611" s="8" t="s">
        <v>33650</v>
      </c>
      <c r="O7611" s="8">
        <f>23+19/60+41.6/3600</f>
        <v>23.328222222222223</v>
      </c>
      <c r="P7611" s="8" t="s">
        <v>33651</v>
      </c>
      <c r="Q7611" s="8">
        <f>+(10+11/60+4/3600)</f>
        <v>10.184444444444445</v>
      </c>
      <c r="R7611" s="8">
        <v>13</v>
      </c>
      <c r="S7611" s="8">
        <v>13.4</v>
      </c>
      <c r="T7611" s="8">
        <v>0.4</v>
      </c>
      <c r="U7611" s="8">
        <v>14.5</v>
      </c>
      <c r="V7611" s="8">
        <v>2.5</v>
      </c>
      <c r="W7611" s="8">
        <v>1.9</v>
      </c>
      <c r="X7611" s="8">
        <v>45</v>
      </c>
      <c r="Y7611" s="8" t="s">
        <v>33652</v>
      </c>
      <c r="Z7611" s="8" t="s">
        <v>33653</v>
      </c>
    </row>
    <row r="7612" spans="1:26" x14ac:dyDescent="0.2">
      <c r="A7612" s="8">
        <v>7611</v>
      </c>
      <c r="B7612" s="8" t="s">
        <v>33654</v>
      </c>
      <c r="C7612" s="8" t="s">
        <v>33654</v>
      </c>
      <c r="F7612" s="47"/>
      <c r="G7612" s="8">
        <v>18</v>
      </c>
      <c r="H7612" s="8" t="s">
        <v>21</v>
      </c>
      <c r="I7612" s="8" t="s">
        <v>22</v>
      </c>
      <c r="J7612" s="8" t="s">
        <v>22</v>
      </c>
      <c r="K7612" s="8" t="s">
        <v>435</v>
      </c>
      <c r="L7612" s="8" t="s">
        <v>38</v>
      </c>
      <c r="M7612" s="8" t="s">
        <v>39</v>
      </c>
      <c r="N7612" s="8" t="s">
        <v>33655</v>
      </c>
      <c r="O7612" s="8">
        <f>23+19/60+36.5/3600</f>
        <v>23.326805555555556</v>
      </c>
      <c r="P7612" s="8" t="s">
        <v>33656</v>
      </c>
      <c r="Q7612" s="8">
        <f>+(8+3/60+49/3600)</f>
        <v>8.0636111111111113</v>
      </c>
      <c r="R7612" s="8">
        <v>12.5</v>
      </c>
      <c r="S7612" s="8">
        <v>13.5</v>
      </c>
      <c r="T7612" s="8">
        <v>1</v>
      </c>
      <c r="U7612" s="8">
        <v>12.3</v>
      </c>
      <c r="V7612" s="8">
        <v>1.5</v>
      </c>
      <c r="W7612" s="8">
        <v>0.7</v>
      </c>
      <c r="X7612" s="8">
        <v>139</v>
      </c>
      <c r="Y7612" s="8" t="s">
        <v>33657</v>
      </c>
      <c r="Z7612" s="8" t="s">
        <v>33658</v>
      </c>
    </row>
    <row r="7613" spans="1:26" x14ac:dyDescent="0.2">
      <c r="A7613" s="8">
        <v>7612</v>
      </c>
      <c r="B7613" s="8" t="s">
        <v>33659</v>
      </c>
      <c r="C7613" s="8" t="s">
        <v>33659</v>
      </c>
      <c r="F7613" s="47"/>
      <c r="G7613" s="8">
        <v>18</v>
      </c>
      <c r="H7613" s="8" t="s">
        <v>21</v>
      </c>
      <c r="I7613" s="8" t="s">
        <v>22</v>
      </c>
      <c r="J7613" s="8" t="s">
        <v>22</v>
      </c>
      <c r="K7613" s="8" t="s">
        <v>37</v>
      </c>
      <c r="L7613" s="8" t="s">
        <v>24</v>
      </c>
      <c r="M7613" s="8" t="s">
        <v>25</v>
      </c>
      <c r="N7613" s="8" t="s">
        <v>33660</v>
      </c>
      <c r="O7613" s="8">
        <f>23+19/60+44.1/3600</f>
        <v>23.328916666666668</v>
      </c>
      <c r="P7613" s="8" t="s">
        <v>33661</v>
      </c>
      <c r="Q7613" s="8">
        <f>+(8+34/60+37/3600)</f>
        <v>8.5769444444444449</v>
      </c>
      <c r="R7613" s="8">
        <v>12.8</v>
      </c>
      <c r="S7613" s="8">
        <v>13.7</v>
      </c>
      <c r="T7613" s="8">
        <v>0.9</v>
      </c>
      <c r="U7613" s="8">
        <v>12.9</v>
      </c>
      <c r="V7613" s="8">
        <v>1.6</v>
      </c>
      <c r="W7613" s="8">
        <v>0.8</v>
      </c>
      <c r="X7613" s="8">
        <v>2</v>
      </c>
      <c r="Y7613" s="8" t="s">
        <v>8732</v>
      </c>
      <c r="Z7613" s="8" t="s">
        <v>8733</v>
      </c>
    </row>
    <row r="7614" spans="1:26" x14ac:dyDescent="0.2">
      <c r="A7614" s="8">
        <v>7613</v>
      </c>
      <c r="B7614" s="8" t="s">
        <v>33662</v>
      </c>
      <c r="C7614" s="8" t="s">
        <v>33662</v>
      </c>
      <c r="F7614" s="47"/>
      <c r="G7614" s="8">
        <v>18</v>
      </c>
      <c r="H7614" s="8" t="s">
        <v>21</v>
      </c>
      <c r="I7614" s="8" t="s">
        <v>329</v>
      </c>
      <c r="J7614" s="8" t="s">
        <v>329</v>
      </c>
      <c r="K7614" s="8" t="s">
        <v>329</v>
      </c>
      <c r="L7614" s="8" t="s">
        <v>38</v>
      </c>
      <c r="M7614" s="8" t="s">
        <v>39</v>
      </c>
      <c r="N7614" s="8" t="s">
        <v>33663</v>
      </c>
      <c r="O7614" s="8">
        <f>23+19/60+51/3600</f>
        <v>23.330833333333334</v>
      </c>
      <c r="P7614" s="8" t="s">
        <v>33664</v>
      </c>
      <c r="Q7614" s="8">
        <f>+(0+11/60+54/3600)</f>
        <v>0.19833333333333331</v>
      </c>
      <c r="R7614" s="8">
        <v>99</v>
      </c>
      <c r="S7614" s="8">
        <v>99</v>
      </c>
      <c r="T7614" s="8">
        <v>99</v>
      </c>
      <c r="U7614" s="8">
        <v>99</v>
      </c>
      <c r="Y7614" s="8" t="s">
        <v>297</v>
      </c>
      <c r="Z7614" s="8" t="s">
        <v>298</v>
      </c>
    </row>
    <row r="7615" spans="1:26" x14ac:dyDescent="0.2">
      <c r="A7615" s="8">
        <v>7614</v>
      </c>
      <c r="B7615" s="8" t="s">
        <v>33665</v>
      </c>
      <c r="C7615" s="8" t="s">
        <v>33665</v>
      </c>
      <c r="F7615" s="47"/>
      <c r="G7615" s="8">
        <v>18</v>
      </c>
      <c r="H7615" s="8" t="s">
        <v>21</v>
      </c>
      <c r="I7615" s="8" t="s">
        <v>72</v>
      </c>
      <c r="J7615" s="8" t="s">
        <v>72</v>
      </c>
      <c r="K7615" s="8" t="s">
        <v>5802</v>
      </c>
      <c r="L7615" s="8" t="s">
        <v>38</v>
      </c>
      <c r="M7615" s="8" t="s">
        <v>39</v>
      </c>
      <c r="N7615" s="8" t="s">
        <v>33666</v>
      </c>
      <c r="O7615" s="8">
        <f>23+19/60+52.6/3600</f>
        <v>23.331277777777778</v>
      </c>
      <c r="P7615" s="8" t="s">
        <v>33667</v>
      </c>
      <c r="Q7615" s="8">
        <f>+(0+10/60+56/3600)</f>
        <v>0.1822222222222222</v>
      </c>
      <c r="R7615" s="8">
        <v>99</v>
      </c>
      <c r="S7615" s="8">
        <v>99</v>
      </c>
      <c r="T7615" s="8">
        <v>99</v>
      </c>
      <c r="U7615" s="8">
        <v>99</v>
      </c>
      <c r="Y7615" s="8" t="s">
        <v>33668</v>
      </c>
      <c r="Z7615" s="8" t="s">
        <v>33669</v>
      </c>
    </row>
    <row r="7616" spans="1:26" x14ac:dyDescent="0.2">
      <c r="A7616" s="8">
        <v>7615</v>
      </c>
      <c r="B7616" s="8" t="s">
        <v>33670</v>
      </c>
      <c r="C7616" s="8" t="s">
        <v>33670</v>
      </c>
      <c r="F7616" s="47"/>
      <c r="G7616" s="8">
        <v>16</v>
      </c>
      <c r="H7616" s="8" t="s">
        <v>21</v>
      </c>
      <c r="I7616" s="8" t="s">
        <v>22</v>
      </c>
      <c r="J7616" s="8" t="s">
        <v>22</v>
      </c>
      <c r="K7616" s="8" t="s">
        <v>23</v>
      </c>
      <c r="L7616" s="8" t="s">
        <v>24</v>
      </c>
      <c r="M7616" s="8" t="s">
        <v>25</v>
      </c>
      <c r="N7616" s="8" t="s">
        <v>33671</v>
      </c>
      <c r="O7616" s="8">
        <f>23+19/60+54.4/3600</f>
        <v>23.331777777777777</v>
      </c>
      <c r="P7616" s="8" t="s">
        <v>33672</v>
      </c>
      <c r="Q7616" s="8">
        <f>+(8+23/60+58/3600)</f>
        <v>8.3994444444444447</v>
      </c>
      <c r="R7616" s="8">
        <v>14.3</v>
      </c>
      <c r="S7616" s="8">
        <v>15.1</v>
      </c>
      <c r="T7616" s="8">
        <v>0.8</v>
      </c>
      <c r="U7616" s="8">
        <v>13.4</v>
      </c>
      <c r="V7616" s="8">
        <v>0.9</v>
      </c>
      <c r="W7616" s="8">
        <v>0.4</v>
      </c>
      <c r="X7616" s="8">
        <v>152</v>
      </c>
      <c r="Y7616" s="8" t="s">
        <v>962</v>
      </c>
      <c r="Z7616" s="8" t="s">
        <v>33673</v>
      </c>
    </row>
    <row r="7617" spans="1:26" x14ac:dyDescent="0.2">
      <c r="A7617" s="8">
        <v>7616</v>
      </c>
      <c r="B7617" s="8" t="s">
        <v>33674</v>
      </c>
      <c r="C7617" s="8" t="s">
        <v>33674</v>
      </c>
      <c r="F7617" s="47"/>
      <c r="G7617" s="8">
        <v>19</v>
      </c>
      <c r="H7617" s="8" t="s">
        <v>21</v>
      </c>
      <c r="I7617" s="8" t="s">
        <v>22</v>
      </c>
      <c r="J7617" s="8" t="s">
        <v>57</v>
      </c>
      <c r="K7617" s="8" t="s">
        <v>64</v>
      </c>
      <c r="L7617" s="8" t="s">
        <v>24</v>
      </c>
      <c r="M7617" s="8" t="s">
        <v>25</v>
      </c>
      <c r="N7617" s="8" t="s">
        <v>33650</v>
      </c>
      <c r="O7617" s="8">
        <f>23+19/60+41.6/3600</f>
        <v>23.328222222222223</v>
      </c>
      <c r="P7617" s="8" t="s">
        <v>33651</v>
      </c>
      <c r="Q7617" s="8">
        <f>+(10+11/60+4/3600)</f>
        <v>10.184444444444445</v>
      </c>
      <c r="R7617" s="8">
        <v>13</v>
      </c>
      <c r="S7617" s="8">
        <v>13.4</v>
      </c>
      <c r="T7617" s="8">
        <v>0.4</v>
      </c>
      <c r="U7617" s="8">
        <v>14.5</v>
      </c>
      <c r="V7617" s="8">
        <v>2.5</v>
      </c>
      <c r="W7617" s="8">
        <v>1.9</v>
      </c>
      <c r="X7617" s="8">
        <v>45</v>
      </c>
      <c r="Y7617" s="8" t="s">
        <v>33652</v>
      </c>
      <c r="Z7617" s="8" t="s">
        <v>33675</v>
      </c>
    </row>
    <row r="7618" spans="1:26" x14ac:dyDescent="0.2">
      <c r="A7618" s="8">
        <v>7617</v>
      </c>
      <c r="B7618" s="8" t="s">
        <v>33676</v>
      </c>
      <c r="C7618" s="8" t="s">
        <v>33676</v>
      </c>
      <c r="F7618" s="47"/>
      <c r="G7618" s="8">
        <v>18</v>
      </c>
      <c r="H7618" s="8" t="s">
        <v>21</v>
      </c>
      <c r="I7618" s="8" t="s">
        <v>22</v>
      </c>
      <c r="J7618" s="8" t="s">
        <v>22</v>
      </c>
      <c r="K7618" s="8" t="s">
        <v>37</v>
      </c>
      <c r="L7618" s="8" t="s">
        <v>38</v>
      </c>
      <c r="M7618" s="8" t="s">
        <v>39</v>
      </c>
      <c r="N7618" s="8" t="s">
        <v>33677</v>
      </c>
      <c r="O7618" s="8">
        <f>23+20/60+8.9/3600</f>
        <v>23.335805555555556</v>
      </c>
      <c r="P7618" s="8" t="s">
        <v>33678</v>
      </c>
      <c r="Q7618" s="8">
        <f>+(8+9/60+58/3600)</f>
        <v>8.1661111111111122</v>
      </c>
      <c r="R7618" s="8">
        <v>13.8</v>
      </c>
      <c r="S7618" s="8">
        <v>14.8</v>
      </c>
      <c r="T7618" s="8">
        <v>1</v>
      </c>
      <c r="U7618" s="8">
        <v>13.2</v>
      </c>
      <c r="V7618" s="8">
        <v>0.9</v>
      </c>
      <c r="W7618" s="8">
        <v>0.7</v>
      </c>
      <c r="X7618" s="8">
        <v>42</v>
      </c>
      <c r="Y7618" s="8" t="s">
        <v>266</v>
      </c>
      <c r="Z7618" s="8" t="s">
        <v>267</v>
      </c>
    </row>
    <row r="7619" spans="1:26" x14ac:dyDescent="0.2">
      <c r="A7619" s="8">
        <v>7618</v>
      </c>
      <c r="B7619" s="8" t="s">
        <v>33679</v>
      </c>
      <c r="C7619" s="8" t="s">
        <v>33679</v>
      </c>
      <c r="F7619" s="47"/>
      <c r="G7619" s="8">
        <v>19</v>
      </c>
      <c r="H7619" s="8" t="s">
        <v>21</v>
      </c>
      <c r="I7619" s="8" t="s">
        <v>22</v>
      </c>
      <c r="J7619" s="8" t="s">
        <v>22</v>
      </c>
      <c r="K7619" s="8" t="s">
        <v>1136</v>
      </c>
      <c r="L7619" s="8" t="s">
        <v>51</v>
      </c>
      <c r="M7619" s="8" t="s">
        <v>52</v>
      </c>
      <c r="N7619" s="8" t="s">
        <v>33680</v>
      </c>
      <c r="O7619" s="8">
        <f>23+19/60+47.3/3600</f>
        <v>23.329805555555556</v>
      </c>
      <c r="P7619" s="8" t="s">
        <v>33681</v>
      </c>
      <c r="Q7619" s="8">
        <f>+(42+51/60+10/3600)</f>
        <v>42.852777777777781</v>
      </c>
      <c r="R7619" s="8">
        <v>13</v>
      </c>
      <c r="S7619" s="8">
        <v>14</v>
      </c>
      <c r="T7619" s="8">
        <v>1</v>
      </c>
      <c r="U7619" s="8">
        <v>13.2</v>
      </c>
      <c r="V7619" s="8">
        <v>1.2</v>
      </c>
      <c r="W7619" s="8">
        <v>1</v>
      </c>
      <c r="X7619" s="8">
        <v>5</v>
      </c>
      <c r="Y7619" s="8" t="s">
        <v>6420</v>
      </c>
      <c r="Z7619" s="8" t="s">
        <v>6421</v>
      </c>
    </row>
    <row r="7620" spans="1:26" x14ac:dyDescent="0.2">
      <c r="A7620" s="8">
        <v>7619</v>
      </c>
      <c r="B7620" s="8" t="s">
        <v>33682</v>
      </c>
      <c r="C7620" s="8" t="s">
        <v>33682</v>
      </c>
      <c r="F7620" s="47" t="s">
        <v>58390</v>
      </c>
      <c r="G7620" s="8">
        <v>6.5</v>
      </c>
      <c r="H7620" s="8" t="s">
        <v>21</v>
      </c>
      <c r="I7620" s="8" t="s">
        <v>22</v>
      </c>
      <c r="J7620" s="8" t="s">
        <v>22</v>
      </c>
      <c r="K7620" s="8" t="s">
        <v>183</v>
      </c>
      <c r="L7620" s="8" t="s">
        <v>24</v>
      </c>
      <c r="M7620" s="8" t="s">
        <v>25</v>
      </c>
      <c r="N7620" s="8" t="s">
        <v>33683</v>
      </c>
      <c r="O7620" s="8">
        <f>23+20/60+14.6/3600</f>
        <v>23.337388888888889</v>
      </c>
      <c r="P7620" s="8" t="s">
        <v>33684</v>
      </c>
      <c r="Q7620" s="8">
        <f>+(8+12/60+25/3600)</f>
        <v>8.2069444444444439</v>
      </c>
      <c r="R7620" s="8">
        <v>11.1</v>
      </c>
      <c r="S7620" s="8">
        <v>12.1</v>
      </c>
      <c r="T7620" s="8">
        <v>1</v>
      </c>
      <c r="U7620" s="8">
        <v>12.9</v>
      </c>
      <c r="V7620" s="8">
        <v>2.5</v>
      </c>
      <c r="W7620" s="8">
        <v>2.2999999999999998</v>
      </c>
      <c r="X7620" s="8">
        <v>30</v>
      </c>
      <c r="Y7620" s="8" t="s">
        <v>33685</v>
      </c>
      <c r="Z7620" s="8" t="s">
        <v>33686</v>
      </c>
    </row>
    <row r="7621" spans="1:26" x14ac:dyDescent="0.2">
      <c r="A7621" s="8">
        <v>7620</v>
      </c>
      <c r="B7621" s="8" t="s">
        <v>33687</v>
      </c>
      <c r="C7621" s="8" t="s">
        <v>33687</v>
      </c>
      <c r="F7621" s="47"/>
      <c r="G7621" s="8">
        <v>18</v>
      </c>
      <c r="H7621" s="8" t="s">
        <v>21</v>
      </c>
      <c r="I7621" s="8" t="s">
        <v>22</v>
      </c>
      <c r="J7621" s="8" t="s">
        <v>22</v>
      </c>
      <c r="K7621" s="8" t="s">
        <v>160</v>
      </c>
      <c r="L7621" s="8" t="s">
        <v>24</v>
      </c>
      <c r="M7621" s="8" t="s">
        <v>25</v>
      </c>
      <c r="N7621" s="8" t="s">
        <v>33688</v>
      </c>
      <c r="O7621" s="8">
        <f>23+20/60+5.6/3600</f>
        <v>23.334888888888887</v>
      </c>
      <c r="P7621" s="8" t="s">
        <v>33689</v>
      </c>
      <c r="Q7621" s="8">
        <f>+(24+13/60+15/3600)</f>
        <v>24.220833333333331</v>
      </c>
      <c r="R7621" s="8">
        <v>13.1</v>
      </c>
      <c r="S7621" s="8">
        <v>13.6</v>
      </c>
      <c r="T7621" s="8">
        <v>0.5</v>
      </c>
      <c r="U7621" s="8">
        <v>13.2</v>
      </c>
      <c r="V7621" s="8">
        <v>1.1000000000000001</v>
      </c>
      <c r="W7621" s="8">
        <v>1.1000000000000001</v>
      </c>
      <c r="Y7621" s="8" t="s">
        <v>13436</v>
      </c>
      <c r="Z7621" s="8" t="s">
        <v>13437</v>
      </c>
    </row>
    <row r="7622" spans="1:26" x14ac:dyDescent="0.2">
      <c r="A7622" s="8">
        <v>7621</v>
      </c>
      <c r="B7622" s="8" t="s">
        <v>33690</v>
      </c>
      <c r="C7622" s="8" t="s">
        <v>33690</v>
      </c>
      <c r="F7622" s="47"/>
      <c r="G7622" s="8">
        <v>18</v>
      </c>
      <c r="H7622" s="8" t="s">
        <v>21</v>
      </c>
      <c r="I7622" s="8" t="s">
        <v>22</v>
      </c>
      <c r="J7622" s="8" t="s">
        <v>22</v>
      </c>
      <c r="K7622" s="8" t="s">
        <v>449</v>
      </c>
      <c r="L7622" s="8" t="s">
        <v>24</v>
      </c>
      <c r="M7622" s="8" t="s">
        <v>25</v>
      </c>
      <c r="N7622" s="8" t="s">
        <v>33691</v>
      </c>
      <c r="O7622" s="8">
        <f>23+20/60+24.7/3600</f>
        <v>23.340194444444442</v>
      </c>
      <c r="P7622" s="8" t="s">
        <v>33692</v>
      </c>
      <c r="Q7622" s="8">
        <f>+(8+22/60+0/3600)</f>
        <v>8.3666666666666671</v>
      </c>
      <c r="R7622" s="8">
        <v>14.9</v>
      </c>
      <c r="S7622" s="8">
        <v>15.7</v>
      </c>
      <c r="T7622" s="8">
        <v>0.8</v>
      </c>
      <c r="U7622" s="8">
        <v>12.6</v>
      </c>
      <c r="V7622" s="8">
        <v>0.7</v>
      </c>
      <c r="W7622" s="8">
        <v>0.2</v>
      </c>
      <c r="X7622" s="8">
        <v>177</v>
      </c>
      <c r="Y7622" s="8" t="s">
        <v>2287</v>
      </c>
      <c r="Z7622" s="8" t="s">
        <v>2288</v>
      </c>
    </row>
    <row r="7623" spans="1:26" x14ac:dyDescent="0.2">
      <c r="A7623" s="8">
        <v>7622</v>
      </c>
      <c r="B7623" s="8" t="s">
        <v>33693</v>
      </c>
      <c r="C7623" s="8" t="s">
        <v>33693</v>
      </c>
      <c r="F7623" s="47"/>
      <c r="G7623" s="8">
        <v>16</v>
      </c>
      <c r="H7623" s="8" t="s">
        <v>21</v>
      </c>
      <c r="I7623" s="8" t="s">
        <v>22</v>
      </c>
      <c r="J7623" s="8" t="s">
        <v>22</v>
      </c>
      <c r="K7623" s="8" t="s">
        <v>118</v>
      </c>
      <c r="L7623" s="8" t="s">
        <v>310</v>
      </c>
      <c r="M7623" s="8" t="s">
        <v>311</v>
      </c>
      <c r="N7623" s="8" t="s">
        <v>33694</v>
      </c>
      <c r="O7623" s="8">
        <f>23+21/60+38.5/3600</f>
        <v>23.360694444444444</v>
      </c>
      <c r="P7623" s="8" t="s">
        <v>33695</v>
      </c>
      <c r="Q7623" s="8">
        <f>-(62+7/60+3/3600)</f>
        <v>-62.1175</v>
      </c>
      <c r="R7623" s="8">
        <v>13.4</v>
      </c>
      <c r="S7623" s="8">
        <v>14.4</v>
      </c>
      <c r="T7623" s="8">
        <v>1</v>
      </c>
      <c r="U7623" s="8">
        <v>12.3</v>
      </c>
      <c r="V7623" s="8">
        <v>1.2</v>
      </c>
      <c r="W7623" s="8">
        <v>0.4</v>
      </c>
      <c r="X7623" s="8">
        <v>60</v>
      </c>
      <c r="Y7623" s="8" t="s">
        <v>33696</v>
      </c>
      <c r="Z7623" s="8" t="s">
        <v>33697</v>
      </c>
    </row>
    <row r="7624" spans="1:26" x14ac:dyDescent="0.2">
      <c r="A7624" s="8">
        <v>7623</v>
      </c>
      <c r="B7624" s="8" t="s">
        <v>33698</v>
      </c>
      <c r="C7624" s="8" t="s">
        <v>33698</v>
      </c>
      <c r="F7624" s="47" t="s">
        <v>58391</v>
      </c>
      <c r="G7624" s="8">
        <v>6.5</v>
      </c>
      <c r="H7624" s="8" t="s">
        <v>21</v>
      </c>
      <c r="I7624" s="8" t="s">
        <v>22</v>
      </c>
      <c r="J7624" s="8" t="s">
        <v>22</v>
      </c>
      <c r="K7624" s="8" t="s">
        <v>37</v>
      </c>
      <c r="L7624" s="8" t="s">
        <v>24</v>
      </c>
      <c r="M7624" s="8" t="s">
        <v>25</v>
      </c>
      <c r="N7624" s="8" t="s">
        <v>33699</v>
      </c>
      <c r="O7624" s="8">
        <f>23+20/60+29.9/3600</f>
        <v>23.341638888888887</v>
      </c>
      <c r="P7624" s="8" t="s">
        <v>33700</v>
      </c>
      <c r="Q7624" s="8">
        <f>+(8+23/60+47/3600)</f>
        <v>8.3963888888888878</v>
      </c>
      <c r="R7624" s="8">
        <v>12.9</v>
      </c>
      <c r="S7624" s="8">
        <v>13.9</v>
      </c>
      <c r="T7624" s="8">
        <v>1</v>
      </c>
      <c r="U7624" s="8">
        <v>12.8</v>
      </c>
      <c r="V7624" s="8">
        <v>1.3</v>
      </c>
      <c r="W7624" s="8">
        <v>0.9</v>
      </c>
      <c r="X7624" s="8">
        <v>165</v>
      </c>
      <c r="Y7624" s="8" t="s">
        <v>23833</v>
      </c>
      <c r="Z7624" s="8" t="s">
        <v>23834</v>
      </c>
    </row>
    <row r="7625" spans="1:26" x14ac:dyDescent="0.2">
      <c r="A7625" s="8">
        <v>7624</v>
      </c>
      <c r="B7625" s="8" t="s">
        <v>33701</v>
      </c>
      <c r="C7625" s="8" t="s">
        <v>33701</v>
      </c>
      <c r="F7625" s="47"/>
      <c r="G7625" s="8">
        <v>19</v>
      </c>
      <c r="H7625" s="8" t="s">
        <v>21</v>
      </c>
      <c r="I7625" s="8" t="s">
        <v>22</v>
      </c>
      <c r="J7625" s="8" t="s">
        <v>22</v>
      </c>
      <c r="K7625" s="8" t="s">
        <v>64</v>
      </c>
      <c r="L7625" s="8" t="s">
        <v>24</v>
      </c>
      <c r="M7625" s="8" t="s">
        <v>25</v>
      </c>
      <c r="N7625" s="8" t="s">
        <v>33702</v>
      </c>
      <c r="O7625" s="8">
        <f>23+20/60+22.6/3600</f>
        <v>23.339611111111111</v>
      </c>
      <c r="P7625" s="8" t="s">
        <v>33703</v>
      </c>
      <c r="Q7625" s="8">
        <f>+(27+18/60+53/3600)</f>
        <v>27.314722222222223</v>
      </c>
      <c r="R7625" s="8">
        <v>13.1</v>
      </c>
      <c r="S7625" s="8">
        <v>13.8</v>
      </c>
      <c r="T7625" s="8">
        <v>0.7</v>
      </c>
      <c r="U7625" s="8">
        <v>12.6</v>
      </c>
      <c r="V7625" s="8">
        <v>1</v>
      </c>
      <c r="W7625" s="8">
        <v>0.7</v>
      </c>
      <c r="X7625" s="8">
        <v>30</v>
      </c>
      <c r="Y7625" s="8" t="s">
        <v>33704</v>
      </c>
      <c r="Z7625" s="8" t="s">
        <v>33705</v>
      </c>
    </row>
    <row r="7626" spans="1:26" x14ac:dyDescent="0.2">
      <c r="A7626" s="8">
        <v>7625</v>
      </c>
      <c r="B7626" s="8" t="s">
        <v>33706</v>
      </c>
      <c r="C7626" s="8" t="s">
        <v>33706</v>
      </c>
      <c r="F7626" s="47" t="s">
        <v>58392</v>
      </c>
      <c r="G7626" s="8">
        <v>13</v>
      </c>
      <c r="H7626" s="8" t="s">
        <v>21</v>
      </c>
      <c r="I7626" s="8" t="s">
        <v>22</v>
      </c>
      <c r="J7626" s="8" t="s">
        <v>22</v>
      </c>
      <c r="K7626" s="8" t="s">
        <v>91</v>
      </c>
      <c r="L7626" s="8" t="s">
        <v>24</v>
      </c>
      <c r="M7626" s="8" t="s">
        <v>25</v>
      </c>
      <c r="N7626" s="8" t="s">
        <v>33707</v>
      </c>
      <c r="O7626" s="8">
        <f>23+20/60+30.2/3600</f>
        <v>23.34172222222222</v>
      </c>
      <c r="P7626" s="8" t="s">
        <v>33708</v>
      </c>
      <c r="Q7626" s="8">
        <f>+(17+13/60+36/3600)</f>
        <v>17.226666666666667</v>
      </c>
      <c r="R7626" s="8">
        <v>12.1</v>
      </c>
      <c r="S7626" s="8">
        <v>12.8</v>
      </c>
      <c r="T7626" s="8">
        <v>0.7</v>
      </c>
      <c r="U7626" s="8">
        <v>12.8</v>
      </c>
      <c r="V7626" s="8">
        <v>1.6</v>
      </c>
      <c r="W7626" s="8">
        <v>1.4</v>
      </c>
      <c r="X7626" s="8">
        <v>60</v>
      </c>
      <c r="Y7626" s="8" t="s">
        <v>22288</v>
      </c>
      <c r="Z7626" s="8" t="s">
        <v>22289</v>
      </c>
    </row>
    <row r="7627" spans="1:26" x14ac:dyDescent="0.2">
      <c r="A7627" s="8">
        <v>7626</v>
      </c>
      <c r="B7627" s="8" t="s">
        <v>33709</v>
      </c>
      <c r="C7627" s="8" t="s">
        <v>33709</v>
      </c>
      <c r="F7627" s="47" t="s">
        <v>58393</v>
      </c>
      <c r="G7627" s="8">
        <v>6.5</v>
      </c>
      <c r="H7627" s="8" t="s">
        <v>21</v>
      </c>
      <c r="I7627" s="8" t="s">
        <v>22</v>
      </c>
      <c r="J7627" s="8" t="s">
        <v>22</v>
      </c>
      <c r="K7627" s="8" t="s">
        <v>183</v>
      </c>
      <c r="L7627" s="8" t="s">
        <v>24</v>
      </c>
      <c r="M7627" s="8" t="s">
        <v>25</v>
      </c>
      <c r="N7627" s="8" t="s">
        <v>33710</v>
      </c>
      <c r="O7627" s="8">
        <f>23+20/60+42.6/3600</f>
        <v>23.345166666666664</v>
      </c>
      <c r="P7627" s="8" t="s">
        <v>33711</v>
      </c>
      <c r="Q7627" s="8">
        <f>+(8+13/60+1/3600)</f>
        <v>8.2169444444444437</v>
      </c>
      <c r="R7627" s="8">
        <v>11.1</v>
      </c>
      <c r="S7627" s="8">
        <v>12.2</v>
      </c>
      <c r="T7627" s="8">
        <v>1.1000000000000001</v>
      </c>
      <c r="U7627" s="8">
        <v>13</v>
      </c>
      <c r="V7627" s="8">
        <v>2.6</v>
      </c>
      <c r="W7627" s="8">
        <v>2.2999999999999998</v>
      </c>
      <c r="X7627" s="8">
        <v>9</v>
      </c>
      <c r="Y7627" s="8" t="s">
        <v>33685</v>
      </c>
      <c r="Z7627" s="8" t="s">
        <v>33686</v>
      </c>
    </row>
    <row r="7628" spans="1:26" x14ac:dyDescent="0.2">
      <c r="A7628" s="8">
        <v>7627</v>
      </c>
      <c r="B7628" s="8" t="s">
        <v>33712</v>
      </c>
      <c r="C7628" s="8" t="s">
        <v>33712</v>
      </c>
      <c r="F7628" s="47"/>
      <c r="G7628" s="8">
        <v>19</v>
      </c>
      <c r="H7628" s="8" t="s">
        <v>21</v>
      </c>
      <c r="I7628" s="8" t="s">
        <v>22</v>
      </c>
      <c r="J7628" s="8" t="s">
        <v>57</v>
      </c>
      <c r="K7628" s="8" t="s">
        <v>91</v>
      </c>
      <c r="L7628" s="8" t="s">
        <v>24</v>
      </c>
      <c r="M7628" s="8" t="s">
        <v>25</v>
      </c>
      <c r="N7628" s="8" t="s">
        <v>33713</v>
      </c>
      <c r="O7628" s="8">
        <f>23+22/60+30.8/3600</f>
        <v>23.375222222222224</v>
      </c>
      <c r="P7628" s="8" t="s">
        <v>33714</v>
      </c>
      <c r="Q7628" s="8">
        <f>+(11+53/60+37/3600)</f>
        <v>11.893611111111111</v>
      </c>
      <c r="R7628" s="8">
        <v>13.9</v>
      </c>
      <c r="S7628" s="8">
        <v>14.8</v>
      </c>
      <c r="T7628" s="8">
        <v>0.9</v>
      </c>
      <c r="U7628" s="8">
        <v>13.6</v>
      </c>
      <c r="V7628" s="8">
        <v>1.7</v>
      </c>
      <c r="W7628" s="8">
        <v>0.5</v>
      </c>
      <c r="X7628" s="8">
        <v>133</v>
      </c>
      <c r="Y7628" s="8" t="s">
        <v>33715</v>
      </c>
      <c r="Z7628" s="8" t="s">
        <v>33716</v>
      </c>
    </row>
    <row r="7629" spans="1:26" x14ac:dyDescent="0.2">
      <c r="A7629" s="8">
        <v>7628</v>
      </c>
      <c r="B7629" s="8" t="s">
        <v>33717</v>
      </c>
      <c r="C7629" s="8" t="s">
        <v>33717</v>
      </c>
      <c r="F7629" s="47"/>
      <c r="G7629" s="8">
        <v>19</v>
      </c>
      <c r="H7629" s="8" t="s">
        <v>21</v>
      </c>
      <c r="I7629" s="8" t="s">
        <v>22</v>
      </c>
      <c r="J7629" s="8" t="s">
        <v>22</v>
      </c>
      <c r="K7629" s="8" t="s">
        <v>1136</v>
      </c>
      <c r="L7629" s="8" t="s">
        <v>24</v>
      </c>
      <c r="M7629" s="8" t="s">
        <v>25</v>
      </c>
      <c r="N7629" s="8" t="s">
        <v>33718</v>
      </c>
      <c r="O7629" s="8">
        <f>23+20/60+55/3600</f>
        <v>23.348611111111111</v>
      </c>
      <c r="P7629" s="8" t="s">
        <v>33719</v>
      </c>
      <c r="Q7629" s="8">
        <f>+(25+53/60+55/3600)</f>
        <v>25.898611111111112</v>
      </c>
      <c r="R7629" s="8">
        <v>12.7</v>
      </c>
      <c r="S7629" s="8">
        <v>13.7</v>
      </c>
      <c r="T7629" s="8">
        <v>1</v>
      </c>
      <c r="U7629" s="8">
        <v>12.7</v>
      </c>
      <c r="V7629" s="8">
        <v>1.1000000000000001</v>
      </c>
      <c r="W7629" s="8">
        <v>0.9</v>
      </c>
      <c r="X7629" s="8">
        <v>117</v>
      </c>
      <c r="Y7629" s="8" t="s">
        <v>2248</v>
      </c>
      <c r="Z7629" s="8" t="s">
        <v>2249</v>
      </c>
    </row>
    <row r="7630" spans="1:26" x14ac:dyDescent="0.2">
      <c r="A7630" s="8">
        <v>7629</v>
      </c>
      <c r="B7630" s="8" t="s">
        <v>33720</v>
      </c>
      <c r="C7630" s="8" t="s">
        <v>33720</v>
      </c>
      <c r="F7630" s="47"/>
      <c r="G7630" s="8">
        <v>18</v>
      </c>
      <c r="H7630" s="8" t="s">
        <v>21</v>
      </c>
      <c r="I7630" s="8" t="s">
        <v>22</v>
      </c>
      <c r="J7630" s="8" t="s">
        <v>22</v>
      </c>
      <c r="K7630" s="8" t="s">
        <v>37</v>
      </c>
      <c r="L7630" s="8" t="s">
        <v>38</v>
      </c>
      <c r="M7630" s="8" t="s">
        <v>39</v>
      </c>
      <c r="N7630" s="8" t="s">
        <v>33721</v>
      </c>
      <c r="O7630" s="8">
        <f>23+21/60+19.3/3600</f>
        <v>23.355361111111112</v>
      </c>
      <c r="P7630" s="8" t="s">
        <v>33722</v>
      </c>
      <c r="Q7630" s="8">
        <f>+(1+24/60+13/3600)</f>
        <v>1.4036111111111109</v>
      </c>
      <c r="R7630" s="8">
        <v>13.8</v>
      </c>
      <c r="S7630" s="8">
        <v>14.8</v>
      </c>
      <c r="T7630" s="8">
        <v>1</v>
      </c>
      <c r="U7630" s="8">
        <v>13.4</v>
      </c>
      <c r="V7630" s="8">
        <v>1</v>
      </c>
      <c r="W7630" s="8">
        <v>0.8</v>
      </c>
      <c r="X7630" s="8">
        <v>179</v>
      </c>
      <c r="Y7630" s="8" t="s">
        <v>1948</v>
      </c>
      <c r="Z7630" s="8" t="s">
        <v>1949</v>
      </c>
    </row>
    <row r="7631" spans="1:26" x14ac:dyDescent="0.2">
      <c r="A7631" s="8">
        <v>7630</v>
      </c>
      <c r="B7631" s="8" t="s">
        <v>33723</v>
      </c>
      <c r="C7631" s="8" t="s">
        <v>33723</v>
      </c>
      <c r="F7631" s="47"/>
      <c r="G7631" s="8">
        <v>19</v>
      </c>
      <c r="H7631" s="8" t="s">
        <v>21</v>
      </c>
      <c r="I7631" s="8" t="s">
        <v>22</v>
      </c>
      <c r="J7631" s="8" t="s">
        <v>22</v>
      </c>
      <c r="K7631" s="8" t="s">
        <v>476</v>
      </c>
      <c r="L7631" s="8" t="s">
        <v>24</v>
      </c>
      <c r="M7631" s="8" t="s">
        <v>25</v>
      </c>
      <c r="N7631" s="8" t="s">
        <v>33724</v>
      </c>
      <c r="O7631" s="8">
        <f>23+21/60+16.3/3600</f>
        <v>23.354527777777779</v>
      </c>
      <c r="P7631" s="8" t="s">
        <v>33725</v>
      </c>
      <c r="Q7631" s="8">
        <f>+(11+23/60+51/3600)</f>
        <v>11.397499999999999</v>
      </c>
      <c r="R7631" s="8">
        <v>14.3</v>
      </c>
      <c r="S7631" s="8">
        <v>15.2</v>
      </c>
      <c r="T7631" s="8">
        <v>0.9</v>
      </c>
      <c r="U7631" s="8">
        <v>13.3</v>
      </c>
      <c r="V7631" s="8">
        <v>1.1000000000000001</v>
      </c>
      <c r="W7631" s="8">
        <v>0.4</v>
      </c>
      <c r="X7631" s="8">
        <v>162</v>
      </c>
      <c r="Y7631" s="8" t="s">
        <v>4065</v>
      </c>
      <c r="Z7631" s="8" t="s">
        <v>4066</v>
      </c>
    </row>
    <row r="7632" spans="1:26" x14ac:dyDescent="0.2">
      <c r="A7632" s="8">
        <v>7631</v>
      </c>
      <c r="B7632" s="8" t="s">
        <v>33726</v>
      </c>
      <c r="C7632" s="8" t="s">
        <v>33726</v>
      </c>
      <c r="F7632" s="47"/>
      <c r="G7632" s="8">
        <v>18</v>
      </c>
      <c r="H7632" s="8" t="s">
        <v>21</v>
      </c>
      <c r="I7632" s="8" t="s">
        <v>22</v>
      </c>
      <c r="J7632" s="8" t="s">
        <v>22</v>
      </c>
      <c r="K7632" s="8" t="s">
        <v>23</v>
      </c>
      <c r="L7632" s="8" t="s">
        <v>24</v>
      </c>
      <c r="M7632" s="8" t="s">
        <v>25</v>
      </c>
      <c r="N7632" s="8" t="s">
        <v>33727</v>
      </c>
      <c r="O7632" s="8">
        <f>23+21/60+26.7/3600</f>
        <v>23.357416666666669</v>
      </c>
      <c r="P7632" s="8" t="s">
        <v>33728</v>
      </c>
      <c r="Q7632" s="8">
        <f>+(8+13/60+3/3600)</f>
        <v>8.2174999999999994</v>
      </c>
      <c r="R7632" s="8">
        <v>13.1</v>
      </c>
      <c r="S7632" s="8">
        <v>13.9</v>
      </c>
      <c r="T7632" s="8">
        <v>0.8</v>
      </c>
      <c r="U7632" s="8">
        <v>13.2</v>
      </c>
      <c r="V7632" s="8">
        <v>1.7</v>
      </c>
      <c r="W7632" s="8">
        <v>0.7</v>
      </c>
      <c r="X7632" s="8">
        <v>79</v>
      </c>
      <c r="Y7632" s="8" t="s">
        <v>282</v>
      </c>
      <c r="Z7632" s="8" t="s">
        <v>283</v>
      </c>
    </row>
    <row r="7633" spans="1:26" x14ac:dyDescent="0.2">
      <c r="A7633" s="8">
        <v>7632</v>
      </c>
      <c r="B7633" s="8" t="s">
        <v>33729</v>
      </c>
      <c r="C7633" s="8" t="s">
        <v>33729</v>
      </c>
      <c r="F7633" s="47"/>
      <c r="G7633" s="8">
        <v>16</v>
      </c>
      <c r="H7633" s="8" t="s">
        <v>21</v>
      </c>
      <c r="I7633" s="8" t="s">
        <v>22</v>
      </c>
      <c r="J7633" s="8" t="s">
        <v>22</v>
      </c>
      <c r="K7633" s="8" t="s">
        <v>224</v>
      </c>
      <c r="L7633" s="8" t="s">
        <v>31389</v>
      </c>
      <c r="M7633" s="8" t="s">
        <v>31390</v>
      </c>
      <c r="N7633" s="8" t="s">
        <v>33730</v>
      </c>
      <c r="O7633" s="8">
        <f>23+22/60+0.9/3600</f>
        <v>23.366916666666668</v>
      </c>
      <c r="P7633" s="8" t="s">
        <v>33731</v>
      </c>
      <c r="Q7633" s="8">
        <f>-(42+28/60+49/3600)</f>
        <v>-42.480277777777779</v>
      </c>
      <c r="R7633" s="8">
        <v>12.1</v>
      </c>
      <c r="S7633" s="8">
        <v>13</v>
      </c>
      <c r="T7633" s="8">
        <v>0.9</v>
      </c>
      <c r="U7633" s="8">
        <v>12.9</v>
      </c>
      <c r="V7633" s="8">
        <v>2.4</v>
      </c>
      <c r="W7633" s="8">
        <v>1.2</v>
      </c>
      <c r="X7633" s="8">
        <v>92</v>
      </c>
      <c r="Y7633" s="8" t="s">
        <v>972</v>
      </c>
      <c r="Z7633" s="8" t="s">
        <v>973</v>
      </c>
    </row>
    <row r="7634" spans="1:26" x14ac:dyDescent="0.2">
      <c r="A7634" s="8">
        <v>7633</v>
      </c>
      <c r="B7634" s="8" t="s">
        <v>33732</v>
      </c>
      <c r="C7634" s="8" t="s">
        <v>33732</v>
      </c>
      <c r="F7634" s="47"/>
      <c r="G7634" s="8">
        <v>16</v>
      </c>
      <c r="H7634" s="8" t="s">
        <v>21</v>
      </c>
      <c r="I7634" s="8" t="s">
        <v>22</v>
      </c>
      <c r="J7634" s="8" t="s">
        <v>22</v>
      </c>
      <c r="K7634" s="8" t="s">
        <v>435</v>
      </c>
      <c r="L7634" s="8" t="s">
        <v>30731</v>
      </c>
      <c r="M7634" s="8" t="s">
        <v>30732</v>
      </c>
      <c r="N7634" s="8" t="s">
        <v>33733</v>
      </c>
      <c r="O7634" s="8">
        <f>23+23/60+3.1/3600</f>
        <v>23.384194444444443</v>
      </c>
      <c r="P7634" s="8" t="s">
        <v>33734</v>
      </c>
      <c r="Q7634" s="8">
        <f>-(67+39/60+13/3600)</f>
        <v>-67.653611111111118</v>
      </c>
      <c r="R7634" s="8">
        <v>12.4</v>
      </c>
      <c r="S7634" s="8">
        <v>13.3</v>
      </c>
      <c r="T7634" s="8">
        <v>0.9</v>
      </c>
      <c r="U7634" s="8">
        <v>13.9</v>
      </c>
      <c r="V7634" s="8">
        <v>2.2999999999999998</v>
      </c>
      <c r="W7634" s="8">
        <v>2</v>
      </c>
      <c r="X7634" s="8">
        <v>142</v>
      </c>
      <c r="Y7634" s="8" t="s">
        <v>33735</v>
      </c>
      <c r="Z7634" s="8" t="s">
        <v>33736</v>
      </c>
    </row>
    <row r="7635" spans="1:26" x14ac:dyDescent="0.2">
      <c r="A7635" s="8">
        <v>7634</v>
      </c>
      <c r="B7635" s="8" t="s">
        <v>33737</v>
      </c>
      <c r="C7635" s="8" t="s">
        <v>33737</v>
      </c>
      <c r="F7635" s="47" t="s">
        <v>58394</v>
      </c>
      <c r="G7635" s="8">
        <v>15</v>
      </c>
      <c r="H7635" s="8" t="s">
        <v>21</v>
      </c>
      <c r="I7635" s="8" t="s">
        <v>22</v>
      </c>
      <c r="J7635" s="8" t="s">
        <v>22</v>
      </c>
      <c r="K7635" s="8" t="s">
        <v>224</v>
      </c>
      <c r="L7635" s="8" t="s">
        <v>24</v>
      </c>
      <c r="M7635" s="8" t="s">
        <v>25</v>
      </c>
      <c r="N7635" s="8" t="s">
        <v>33738</v>
      </c>
      <c r="O7635" s="8">
        <f>23+21/60+41.7/3600</f>
        <v>23.361583333333336</v>
      </c>
      <c r="P7635" s="8" t="s">
        <v>33739</v>
      </c>
      <c r="Q7635" s="8">
        <f>+(8+53/60+15/3600)</f>
        <v>8.8874999999999993</v>
      </c>
      <c r="R7635" s="8">
        <v>12.6</v>
      </c>
      <c r="S7635" s="8">
        <v>13.6</v>
      </c>
      <c r="T7635" s="8">
        <v>1</v>
      </c>
      <c r="U7635" s="8">
        <v>12.5</v>
      </c>
      <c r="V7635" s="8">
        <v>1.2</v>
      </c>
      <c r="W7635" s="8">
        <v>0.9</v>
      </c>
      <c r="X7635" s="8">
        <v>95</v>
      </c>
      <c r="Y7635" s="8" t="s">
        <v>33740</v>
      </c>
      <c r="Z7635" s="8" t="s">
        <v>33741</v>
      </c>
    </row>
    <row r="7636" spans="1:26" x14ac:dyDescent="0.2">
      <c r="A7636" s="8">
        <v>7635</v>
      </c>
      <c r="B7636" s="8" t="s">
        <v>33742</v>
      </c>
      <c r="C7636" s="8" t="s">
        <v>33742</v>
      </c>
      <c r="F7636" s="47" t="s">
        <v>58395</v>
      </c>
      <c r="G7636" s="8">
        <v>2</v>
      </c>
      <c r="H7636" s="8" t="s">
        <v>33743</v>
      </c>
      <c r="I7636" s="8" t="s">
        <v>1283</v>
      </c>
      <c r="J7636" s="8" t="s">
        <v>1283</v>
      </c>
      <c r="K7636" s="8" t="s">
        <v>1284</v>
      </c>
      <c r="L7636" s="8" t="s">
        <v>559</v>
      </c>
      <c r="M7636" s="8" t="s">
        <v>560</v>
      </c>
      <c r="N7636" s="8" t="s">
        <v>33744</v>
      </c>
      <c r="O7636" s="8">
        <f>23+20/60+45/3600</f>
        <v>23.345833333333331</v>
      </c>
      <c r="P7636" s="8" t="s">
        <v>33745</v>
      </c>
      <c r="Q7636" s="8">
        <f>+(61+12/60+42/3600)</f>
        <v>61.211666666666666</v>
      </c>
      <c r="R7636" s="8">
        <v>99</v>
      </c>
      <c r="S7636" s="8">
        <v>11</v>
      </c>
      <c r="T7636" s="8">
        <v>99</v>
      </c>
      <c r="U7636" s="8">
        <v>99</v>
      </c>
      <c r="V7636" s="8">
        <v>15</v>
      </c>
      <c r="W7636" s="8">
        <v>8</v>
      </c>
      <c r="Y7636" s="8" t="s">
        <v>33746</v>
      </c>
      <c r="Z7636" s="8" t="s">
        <v>33747</v>
      </c>
    </row>
    <row r="7637" spans="1:26" x14ac:dyDescent="0.2">
      <c r="A7637" s="8">
        <v>7636</v>
      </c>
      <c r="B7637" s="8" t="s">
        <v>33748</v>
      </c>
      <c r="C7637" s="8" t="s">
        <v>33748</v>
      </c>
      <c r="F7637" s="47"/>
      <c r="G7637" s="8">
        <v>16</v>
      </c>
      <c r="H7637" s="8" t="s">
        <v>21</v>
      </c>
      <c r="I7637" s="8" t="s">
        <v>22</v>
      </c>
      <c r="J7637" s="8" t="s">
        <v>22</v>
      </c>
      <c r="K7637" s="8" t="s">
        <v>37</v>
      </c>
      <c r="L7637" s="8" t="s">
        <v>65</v>
      </c>
      <c r="M7637" s="8" t="s">
        <v>66</v>
      </c>
      <c r="N7637" s="8" t="s">
        <v>33749</v>
      </c>
      <c r="O7637" s="8">
        <f>23+22/60+33.1/3600</f>
        <v>23.37586111111111</v>
      </c>
      <c r="P7637" s="8" t="s">
        <v>33750</v>
      </c>
      <c r="Q7637" s="8">
        <f>-(29+16/60+51/3600)</f>
        <v>-29.280833333333334</v>
      </c>
      <c r="R7637" s="8">
        <v>13.6</v>
      </c>
      <c r="S7637" s="8">
        <v>14.6</v>
      </c>
      <c r="T7637" s="8">
        <v>1</v>
      </c>
      <c r="U7637" s="8">
        <v>12.5</v>
      </c>
      <c r="V7637" s="8">
        <v>0.9</v>
      </c>
      <c r="W7637" s="8">
        <v>0.6</v>
      </c>
      <c r="X7637" s="8">
        <v>30</v>
      </c>
      <c r="Y7637" s="8" t="s">
        <v>33751</v>
      </c>
      <c r="Z7637" s="8" t="s">
        <v>33752</v>
      </c>
    </row>
    <row r="7638" spans="1:26" x14ac:dyDescent="0.2">
      <c r="A7638" s="8">
        <v>7637</v>
      </c>
      <c r="B7638" s="8" t="s">
        <v>33753</v>
      </c>
      <c r="C7638" s="8" t="s">
        <v>33753</v>
      </c>
      <c r="F7638" s="47"/>
      <c r="G7638" s="8">
        <v>16</v>
      </c>
      <c r="H7638" s="8" t="s">
        <v>21</v>
      </c>
      <c r="I7638" s="8" t="s">
        <v>22</v>
      </c>
      <c r="J7638" s="8" t="s">
        <v>22</v>
      </c>
      <c r="K7638" s="8" t="s">
        <v>160</v>
      </c>
      <c r="L7638" s="8" t="s">
        <v>11890</v>
      </c>
      <c r="M7638" s="8" t="s">
        <v>11891</v>
      </c>
      <c r="N7638" s="8" t="s">
        <v>33754</v>
      </c>
      <c r="O7638" s="8">
        <f>23+26/60+28.3/3600</f>
        <v>23.441194444444445</v>
      </c>
      <c r="P7638" s="8" t="s">
        <v>33755</v>
      </c>
      <c r="Q7638" s="8">
        <f>-(81+54/60+40/3600)</f>
        <v>-81.911111111111111</v>
      </c>
      <c r="R7638" s="8">
        <v>12.5</v>
      </c>
      <c r="S7638" s="8">
        <v>13.2</v>
      </c>
      <c r="T7638" s="8">
        <v>0.7</v>
      </c>
      <c r="U7638" s="8">
        <v>13.9</v>
      </c>
      <c r="V7638" s="8">
        <v>2.1</v>
      </c>
      <c r="W7638" s="8">
        <v>1.9</v>
      </c>
      <c r="X7638" s="8">
        <v>36</v>
      </c>
      <c r="Y7638" s="8" t="s">
        <v>33756</v>
      </c>
      <c r="Z7638" s="8" t="s">
        <v>33757</v>
      </c>
    </row>
    <row r="7639" spans="1:26" x14ac:dyDescent="0.2">
      <c r="A7639" s="8">
        <v>7638</v>
      </c>
      <c r="B7639" s="8" t="s">
        <v>33758</v>
      </c>
      <c r="C7639" s="8" t="s">
        <v>33758</v>
      </c>
      <c r="F7639" s="47"/>
      <c r="G7639" s="8">
        <v>19</v>
      </c>
      <c r="H7639" s="8" t="s">
        <v>21</v>
      </c>
      <c r="I7639" s="8" t="s">
        <v>22</v>
      </c>
      <c r="J7639" s="8" t="s">
        <v>22</v>
      </c>
      <c r="K7639" s="8" t="s">
        <v>449</v>
      </c>
      <c r="L7639" s="8" t="s">
        <v>24</v>
      </c>
      <c r="M7639" s="8" t="s">
        <v>25</v>
      </c>
      <c r="N7639" s="8" t="s">
        <v>33759</v>
      </c>
      <c r="O7639" s="8">
        <f>23+22/60+33/3600</f>
        <v>23.375833333333333</v>
      </c>
      <c r="P7639" s="8" t="s">
        <v>33760</v>
      </c>
      <c r="Q7639" s="8">
        <f>+(11+19/60+46/3600)</f>
        <v>11.329444444444444</v>
      </c>
      <c r="R7639" s="8">
        <v>14.9</v>
      </c>
      <c r="S7639" s="8">
        <v>15.7</v>
      </c>
      <c r="T7639" s="8">
        <v>0.8</v>
      </c>
      <c r="U7639" s="8">
        <v>13.6</v>
      </c>
      <c r="V7639" s="8">
        <v>0.6</v>
      </c>
      <c r="W7639" s="8">
        <v>0.6</v>
      </c>
      <c r="Y7639" s="8" t="s">
        <v>33761</v>
      </c>
      <c r="Z7639" s="8" t="s">
        <v>33762</v>
      </c>
    </row>
    <row r="7640" spans="1:26" x14ac:dyDescent="0.2">
      <c r="A7640" s="8">
        <v>7639</v>
      </c>
      <c r="B7640" s="8" t="s">
        <v>33763</v>
      </c>
      <c r="C7640" s="8" t="s">
        <v>33763</v>
      </c>
      <c r="F7640" s="47"/>
      <c r="G7640" s="8">
        <v>19</v>
      </c>
      <c r="H7640" s="8" t="s">
        <v>21</v>
      </c>
      <c r="I7640" s="8" t="s">
        <v>22</v>
      </c>
      <c r="J7640" s="8" t="s">
        <v>22</v>
      </c>
      <c r="K7640" s="8" t="s">
        <v>58</v>
      </c>
      <c r="L7640" s="8" t="s">
        <v>24</v>
      </c>
      <c r="M7640" s="8" t="s">
        <v>25</v>
      </c>
      <c r="N7640" s="8" t="s">
        <v>33764</v>
      </c>
      <c r="O7640" s="8">
        <f>23+22/60+48.2/3600</f>
        <v>23.380055555555558</v>
      </c>
      <c r="P7640" s="8" t="s">
        <v>33765</v>
      </c>
      <c r="Q7640" s="8">
        <f>+(11+22/60+24/3600)</f>
        <v>11.373333333333333</v>
      </c>
      <c r="R7640" s="8">
        <v>14.6</v>
      </c>
      <c r="S7640" s="8">
        <v>15.6</v>
      </c>
      <c r="T7640" s="8">
        <v>1</v>
      </c>
      <c r="U7640" s="8">
        <v>12.9</v>
      </c>
      <c r="V7640" s="8">
        <v>0.5</v>
      </c>
      <c r="W7640" s="8">
        <v>0.4</v>
      </c>
      <c r="X7640" s="8">
        <v>123</v>
      </c>
      <c r="Y7640" s="8" t="s">
        <v>33761</v>
      </c>
      <c r="Z7640" s="8" t="s">
        <v>33762</v>
      </c>
    </row>
    <row r="7641" spans="1:26" x14ac:dyDescent="0.2">
      <c r="A7641" s="8">
        <v>7640</v>
      </c>
      <c r="B7641" s="8" t="s">
        <v>33766</v>
      </c>
      <c r="C7641" s="8" t="s">
        <v>33766</v>
      </c>
      <c r="F7641" s="47" t="s">
        <v>58396</v>
      </c>
      <c r="G7641" s="8">
        <v>6.5</v>
      </c>
      <c r="H7641" s="8" t="s">
        <v>21</v>
      </c>
      <c r="I7641" s="8" t="s">
        <v>22</v>
      </c>
      <c r="J7641" s="8" t="s">
        <v>22</v>
      </c>
      <c r="K7641" s="8" t="s">
        <v>64</v>
      </c>
      <c r="L7641" s="8" t="s">
        <v>51</v>
      </c>
      <c r="M7641" s="8" t="s">
        <v>52</v>
      </c>
      <c r="N7641" s="8" t="s">
        <v>33767</v>
      </c>
      <c r="O7641" s="8">
        <f>23+22/60+6.6/3600</f>
        <v>23.368500000000001</v>
      </c>
      <c r="P7641" s="8" t="s">
        <v>28173</v>
      </c>
      <c r="Q7641" s="8">
        <f>+(40+50/60+42/3600)</f>
        <v>40.844999999999999</v>
      </c>
      <c r="R7641" s="8">
        <v>11.3</v>
      </c>
      <c r="S7641" s="8">
        <v>11.9</v>
      </c>
      <c r="T7641" s="8">
        <v>0.6</v>
      </c>
      <c r="U7641" s="8">
        <v>14.5</v>
      </c>
      <c r="V7641" s="8">
        <v>10.5</v>
      </c>
      <c r="W7641" s="8">
        <v>1.8</v>
      </c>
      <c r="X7641" s="8">
        <v>167</v>
      </c>
      <c r="Y7641" s="8" t="s">
        <v>33768</v>
      </c>
      <c r="Z7641" s="8" t="s">
        <v>33769</v>
      </c>
    </row>
    <row r="7642" spans="1:26" x14ac:dyDescent="0.2">
      <c r="A7642" s="8">
        <v>7641</v>
      </c>
      <c r="B7642" s="8" t="s">
        <v>33770</v>
      </c>
      <c r="C7642" s="8" t="s">
        <v>33770</v>
      </c>
      <c r="F7642" s="47"/>
      <c r="G7642" s="8">
        <v>18</v>
      </c>
      <c r="H7642" s="8" t="s">
        <v>21</v>
      </c>
      <c r="I7642" s="8" t="s">
        <v>22</v>
      </c>
      <c r="J7642" s="8" t="s">
        <v>22</v>
      </c>
      <c r="K7642" s="8" t="s">
        <v>91</v>
      </c>
      <c r="L7642" s="8" t="s">
        <v>24</v>
      </c>
      <c r="M7642" s="8" t="s">
        <v>25</v>
      </c>
      <c r="N7642" s="8" t="s">
        <v>33713</v>
      </c>
      <c r="O7642" s="8">
        <f>23+22/60+30.8/3600</f>
        <v>23.375222222222224</v>
      </c>
      <c r="P7642" s="8" t="s">
        <v>33714</v>
      </c>
      <c r="Q7642" s="8">
        <f>+(11+53/60+37/3600)</f>
        <v>11.893611111111111</v>
      </c>
      <c r="R7642" s="8">
        <v>13.9</v>
      </c>
      <c r="S7642" s="8">
        <v>14.8</v>
      </c>
      <c r="T7642" s="8">
        <v>0.9</v>
      </c>
      <c r="U7642" s="8">
        <v>13.6</v>
      </c>
      <c r="V7642" s="8">
        <v>1.7</v>
      </c>
      <c r="W7642" s="8">
        <v>0.5</v>
      </c>
      <c r="X7642" s="8">
        <v>133</v>
      </c>
      <c r="Y7642" s="8" t="s">
        <v>33715</v>
      </c>
      <c r="Z7642" s="8" t="s">
        <v>33771</v>
      </c>
    </row>
    <row r="7643" spans="1:26" x14ac:dyDescent="0.2">
      <c r="A7643" s="8">
        <v>7642</v>
      </c>
      <c r="B7643" s="8" t="s">
        <v>33772</v>
      </c>
      <c r="C7643" s="8" t="s">
        <v>33772</v>
      </c>
      <c r="F7643" s="47"/>
      <c r="G7643" s="8">
        <v>18</v>
      </c>
      <c r="H7643" s="8" t="s">
        <v>21</v>
      </c>
      <c r="I7643" s="8" t="s">
        <v>22</v>
      </c>
      <c r="J7643" s="8" t="s">
        <v>22</v>
      </c>
      <c r="K7643" s="8" t="s">
        <v>91</v>
      </c>
      <c r="L7643" s="8" t="s">
        <v>38</v>
      </c>
      <c r="M7643" s="8" t="s">
        <v>39</v>
      </c>
      <c r="N7643" s="8" t="s">
        <v>33773</v>
      </c>
      <c r="O7643" s="8">
        <f>23+22/60+53.4/3600</f>
        <v>23.381499999999999</v>
      </c>
      <c r="P7643" s="8" t="s">
        <v>33774</v>
      </c>
      <c r="Q7643" s="8">
        <f>+(1+26/60+34/3600)</f>
        <v>1.4427777777777777</v>
      </c>
      <c r="R7643" s="8">
        <v>13.7</v>
      </c>
      <c r="S7643" s="8">
        <v>14.6</v>
      </c>
      <c r="T7643" s="8">
        <v>0.9</v>
      </c>
      <c r="U7643" s="8">
        <v>12.2</v>
      </c>
      <c r="V7643" s="8">
        <v>0.6</v>
      </c>
      <c r="W7643" s="8">
        <v>0.5</v>
      </c>
      <c r="X7643" s="8">
        <v>175</v>
      </c>
      <c r="Y7643" s="8" t="s">
        <v>7702</v>
      </c>
      <c r="Z7643" s="8" t="s">
        <v>7703</v>
      </c>
    </row>
    <row r="7644" spans="1:26" x14ac:dyDescent="0.2">
      <c r="A7644" s="8">
        <v>7643</v>
      </c>
      <c r="B7644" s="8" t="s">
        <v>33775</v>
      </c>
      <c r="C7644" s="8" t="s">
        <v>33775</v>
      </c>
      <c r="F7644" s="47"/>
      <c r="G7644" s="8">
        <v>18</v>
      </c>
      <c r="H7644" s="8" t="s">
        <v>21</v>
      </c>
      <c r="I7644" s="8" t="s">
        <v>22</v>
      </c>
      <c r="J7644" s="8" t="s">
        <v>22</v>
      </c>
      <c r="K7644" s="8" t="s">
        <v>476</v>
      </c>
      <c r="L7644" s="8" t="s">
        <v>24</v>
      </c>
      <c r="M7644" s="8" t="s">
        <v>25</v>
      </c>
      <c r="N7644" s="8" t="s">
        <v>33776</v>
      </c>
      <c r="O7644" s="8">
        <f>23+22/60+50.4/3600</f>
        <v>23.380666666666666</v>
      </c>
      <c r="P7644" s="8" t="s">
        <v>33777</v>
      </c>
      <c r="Q7644" s="8">
        <f>+(11+59/60+19/3600)</f>
        <v>11.98861111111111</v>
      </c>
      <c r="R7644" s="8">
        <v>13.2</v>
      </c>
      <c r="S7644" s="8">
        <v>14.1</v>
      </c>
      <c r="T7644" s="8">
        <v>0.9</v>
      </c>
      <c r="U7644" s="8">
        <v>13.1</v>
      </c>
      <c r="V7644" s="8">
        <v>1.4</v>
      </c>
      <c r="W7644" s="8">
        <v>0.7</v>
      </c>
      <c r="X7644" s="8">
        <v>45</v>
      </c>
      <c r="Y7644" s="8" t="s">
        <v>33778</v>
      </c>
      <c r="Z7644" s="8" t="s">
        <v>33779</v>
      </c>
    </row>
    <row r="7645" spans="1:26" x14ac:dyDescent="0.2">
      <c r="A7645" s="8">
        <v>7644</v>
      </c>
      <c r="B7645" s="8" t="s">
        <v>33780</v>
      </c>
      <c r="C7645" s="8" t="s">
        <v>33780</v>
      </c>
      <c r="F7645" s="47"/>
      <c r="G7645" s="8">
        <v>19</v>
      </c>
      <c r="H7645" s="8" t="s">
        <v>21</v>
      </c>
      <c r="I7645" s="8" t="s">
        <v>22</v>
      </c>
      <c r="J7645" s="8" t="s">
        <v>57</v>
      </c>
      <c r="K7645" s="8" t="s">
        <v>476</v>
      </c>
      <c r="L7645" s="8" t="s">
        <v>24</v>
      </c>
      <c r="M7645" s="8" t="s">
        <v>25</v>
      </c>
      <c r="N7645" s="8" t="s">
        <v>33776</v>
      </c>
      <c r="O7645" s="8">
        <f>23+22/60+50.4/3600</f>
        <v>23.380666666666666</v>
      </c>
      <c r="P7645" s="8" t="s">
        <v>33777</v>
      </c>
      <c r="Q7645" s="8">
        <f>+(11+59/60+19/3600)</f>
        <v>11.98861111111111</v>
      </c>
      <c r="R7645" s="8">
        <v>13.2</v>
      </c>
      <c r="S7645" s="8">
        <v>14.1</v>
      </c>
      <c r="T7645" s="8">
        <v>0.9</v>
      </c>
      <c r="U7645" s="8">
        <v>13.1</v>
      </c>
      <c r="V7645" s="8">
        <v>1.4</v>
      </c>
      <c r="W7645" s="8">
        <v>0.7</v>
      </c>
      <c r="X7645" s="8">
        <v>45</v>
      </c>
      <c r="Y7645" s="8" t="s">
        <v>33778</v>
      </c>
      <c r="Z7645" s="8" t="s">
        <v>17573</v>
      </c>
    </row>
    <row r="7646" spans="1:26" x14ac:dyDescent="0.2">
      <c r="A7646" s="8">
        <v>7645</v>
      </c>
      <c r="B7646" s="8" t="s">
        <v>33781</v>
      </c>
      <c r="C7646" s="8" t="s">
        <v>33781</v>
      </c>
      <c r="F7646" s="47"/>
      <c r="G7646" s="8">
        <v>16</v>
      </c>
      <c r="H7646" s="8" t="s">
        <v>21</v>
      </c>
      <c r="I7646" s="8" t="s">
        <v>22</v>
      </c>
      <c r="J7646" s="8" t="s">
        <v>22</v>
      </c>
      <c r="K7646" s="8" t="s">
        <v>64</v>
      </c>
      <c r="L7646" s="8" t="s">
        <v>65</v>
      </c>
      <c r="M7646" s="8" t="s">
        <v>66</v>
      </c>
      <c r="N7646" s="8" t="s">
        <v>33782</v>
      </c>
      <c r="O7646" s="8">
        <f>23+23/60+47.4/3600</f>
        <v>23.3965</v>
      </c>
      <c r="P7646" s="8" t="s">
        <v>33783</v>
      </c>
      <c r="Q7646" s="8">
        <f>-(29+23/60+17/3600)</f>
        <v>-29.388055555555557</v>
      </c>
      <c r="R7646" s="8">
        <v>12.9</v>
      </c>
      <c r="S7646" s="8">
        <v>13.6</v>
      </c>
      <c r="T7646" s="8">
        <v>0.7</v>
      </c>
      <c r="U7646" s="8">
        <v>13.3</v>
      </c>
      <c r="V7646" s="8">
        <v>1.5</v>
      </c>
      <c r="W7646" s="8">
        <v>1.2</v>
      </c>
      <c r="X7646" s="8">
        <v>165</v>
      </c>
      <c r="Y7646" s="8" t="s">
        <v>2067</v>
      </c>
      <c r="Z7646" s="8" t="s">
        <v>2068</v>
      </c>
    </row>
    <row r="7647" spans="1:26" x14ac:dyDescent="0.2">
      <c r="A7647" s="8">
        <v>7646</v>
      </c>
      <c r="B7647" s="8" t="s">
        <v>33784</v>
      </c>
      <c r="C7647" s="8" t="s">
        <v>33784</v>
      </c>
      <c r="F7647" s="47"/>
      <c r="G7647" s="8">
        <v>19</v>
      </c>
      <c r="H7647" s="8" t="s">
        <v>21</v>
      </c>
      <c r="I7647" s="8" t="s">
        <v>22</v>
      </c>
      <c r="J7647" s="8" t="s">
        <v>22</v>
      </c>
      <c r="K7647" s="8" t="s">
        <v>160</v>
      </c>
      <c r="L7647" s="8" t="s">
        <v>30854</v>
      </c>
      <c r="M7647" s="8" t="s">
        <v>30855</v>
      </c>
      <c r="N7647" s="8" t="s">
        <v>33785</v>
      </c>
      <c r="O7647" s="8">
        <f>23+24/60+6.9/3600</f>
        <v>23.401916666666665</v>
      </c>
      <c r="P7647" s="8" t="s">
        <v>33786</v>
      </c>
      <c r="Q7647" s="8">
        <f>-(11+51/60+37/3600)</f>
        <v>-11.860277777777778</v>
      </c>
      <c r="R7647" s="8">
        <v>13.3</v>
      </c>
      <c r="S7647" s="8">
        <v>14</v>
      </c>
      <c r="T7647" s="8">
        <v>0.7</v>
      </c>
      <c r="U7647" s="8">
        <v>12.6</v>
      </c>
      <c r="V7647" s="8">
        <v>0.9</v>
      </c>
      <c r="W7647" s="8">
        <v>0.6</v>
      </c>
      <c r="X7647" s="8">
        <v>135</v>
      </c>
      <c r="Y7647" s="8" t="s">
        <v>33787</v>
      </c>
      <c r="Z7647" s="8" t="s">
        <v>33788</v>
      </c>
    </row>
    <row r="7648" spans="1:26" x14ac:dyDescent="0.2">
      <c r="A7648" s="8">
        <v>7647</v>
      </c>
      <c r="B7648" s="8" t="s">
        <v>33789</v>
      </c>
      <c r="C7648" s="8" t="s">
        <v>33789</v>
      </c>
      <c r="F7648" s="47" t="s">
        <v>58397</v>
      </c>
      <c r="G7648" s="8">
        <v>15</v>
      </c>
      <c r="H7648" s="8" t="s">
        <v>21</v>
      </c>
      <c r="I7648" s="8" t="s">
        <v>22</v>
      </c>
      <c r="J7648" s="8" t="s">
        <v>22</v>
      </c>
      <c r="K7648" s="8" t="s">
        <v>382</v>
      </c>
      <c r="L7648" s="8" t="s">
        <v>24</v>
      </c>
      <c r="M7648" s="8" t="s">
        <v>25</v>
      </c>
      <c r="N7648" s="8" t="s">
        <v>33790</v>
      </c>
      <c r="O7648" s="8">
        <f>23+23/60+57.4/3600</f>
        <v>23.399277777777776</v>
      </c>
      <c r="P7648" s="8" t="s">
        <v>33791</v>
      </c>
      <c r="Q7648" s="8">
        <f>+(16+46/60+40/3600)</f>
        <v>16.777777777777779</v>
      </c>
      <c r="R7648" s="8">
        <v>13.6</v>
      </c>
      <c r="S7648" s="8">
        <v>14.6</v>
      </c>
      <c r="T7648" s="8">
        <v>1</v>
      </c>
      <c r="U7648" s="8">
        <v>13.9</v>
      </c>
      <c r="V7648" s="8">
        <v>1.4</v>
      </c>
      <c r="W7648" s="8">
        <v>1</v>
      </c>
      <c r="X7648" s="8">
        <v>14</v>
      </c>
      <c r="Y7648" s="8" t="s">
        <v>33792</v>
      </c>
      <c r="Z7648" s="8" t="s">
        <v>33793</v>
      </c>
    </row>
    <row r="7649" spans="1:26" x14ac:dyDescent="0.2">
      <c r="A7649" s="8">
        <v>7648</v>
      </c>
      <c r="B7649" s="8" t="s">
        <v>33794</v>
      </c>
      <c r="C7649" s="8" t="s">
        <v>33794</v>
      </c>
      <c r="F7649" s="47" t="s">
        <v>58398</v>
      </c>
      <c r="G7649" s="8">
        <v>15</v>
      </c>
      <c r="H7649" s="8" t="s">
        <v>21</v>
      </c>
      <c r="I7649" s="8" t="s">
        <v>22</v>
      </c>
      <c r="J7649" s="8" t="s">
        <v>22</v>
      </c>
      <c r="K7649" s="8" t="s">
        <v>37</v>
      </c>
      <c r="L7649" s="8" t="s">
        <v>24</v>
      </c>
      <c r="M7649" s="8" t="s">
        <v>25</v>
      </c>
      <c r="N7649" s="8" t="s">
        <v>33795</v>
      </c>
      <c r="O7649" s="8">
        <f>23+23/60+54.2/3600</f>
        <v>23.398388888888888</v>
      </c>
      <c r="P7649" s="8" t="s">
        <v>33796</v>
      </c>
      <c r="Q7649" s="8">
        <f>+(9+40/60+6/3600)</f>
        <v>9.668333333333333</v>
      </c>
      <c r="R7649" s="8">
        <v>13</v>
      </c>
      <c r="S7649" s="8">
        <v>13.8</v>
      </c>
      <c r="T7649" s="8">
        <v>0.8</v>
      </c>
      <c r="U7649" s="8">
        <v>13.4</v>
      </c>
      <c r="V7649" s="8">
        <v>1.6</v>
      </c>
      <c r="W7649" s="8">
        <v>1</v>
      </c>
      <c r="X7649" s="8">
        <v>85</v>
      </c>
      <c r="Y7649" s="8" t="s">
        <v>33797</v>
      </c>
      <c r="Z7649" s="8" t="s">
        <v>33798</v>
      </c>
    </row>
    <row r="7650" spans="1:26" x14ac:dyDescent="0.2">
      <c r="A7650" s="8">
        <v>7649</v>
      </c>
      <c r="B7650" s="8" t="s">
        <v>33799</v>
      </c>
      <c r="C7650" s="8" t="s">
        <v>33799</v>
      </c>
      <c r="F7650" s="47"/>
      <c r="G7650" s="8">
        <v>19</v>
      </c>
      <c r="H7650" s="8" t="s">
        <v>21</v>
      </c>
      <c r="I7650" s="8" t="s">
        <v>22</v>
      </c>
      <c r="J7650" s="8" t="s">
        <v>22</v>
      </c>
      <c r="K7650" s="8" t="s">
        <v>1136</v>
      </c>
      <c r="L7650" s="8" t="s">
        <v>24</v>
      </c>
      <c r="M7650" s="8" t="s">
        <v>25</v>
      </c>
      <c r="N7650" s="8" t="s">
        <v>33800</v>
      </c>
      <c r="O7650" s="8">
        <f>23+24/60+20.1/3600</f>
        <v>23.405583333333333</v>
      </c>
      <c r="P7650" s="8" t="s">
        <v>33801</v>
      </c>
      <c r="Q7650" s="8">
        <f>+(14+38/60+49/3600)</f>
        <v>14.646944444444443</v>
      </c>
      <c r="R7650" s="8">
        <v>14</v>
      </c>
      <c r="S7650" s="8">
        <v>15</v>
      </c>
      <c r="T7650" s="8">
        <v>1</v>
      </c>
      <c r="U7650" s="8">
        <v>14.1</v>
      </c>
      <c r="V7650" s="8">
        <v>1.3</v>
      </c>
      <c r="W7650" s="8">
        <v>1</v>
      </c>
      <c r="X7650" s="8">
        <v>80</v>
      </c>
      <c r="Y7650" s="8" t="s">
        <v>19885</v>
      </c>
      <c r="Z7650" s="8" t="s">
        <v>4076</v>
      </c>
    </row>
    <row r="7651" spans="1:26" x14ac:dyDescent="0.2">
      <c r="A7651" s="8">
        <v>7650</v>
      </c>
      <c r="B7651" s="8" t="s">
        <v>33802</v>
      </c>
      <c r="C7651" s="8" t="s">
        <v>33802</v>
      </c>
      <c r="F7651" s="47"/>
      <c r="G7651" s="8">
        <v>16</v>
      </c>
      <c r="H7651" s="8" t="s">
        <v>21</v>
      </c>
      <c r="I7651" s="8" t="s">
        <v>22</v>
      </c>
      <c r="J7651" s="8" t="s">
        <v>22</v>
      </c>
      <c r="K7651" s="8" t="s">
        <v>64</v>
      </c>
      <c r="L7651" s="8" t="s">
        <v>310</v>
      </c>
      <c r="M7651" s="8" t="s">
        <v>311</v>
      </c>
      <c r="N7651" s="8" t="s">
        <v>33803</v>
      </c>
      <c r="O7651" s="8">
        <f>23+25/60+20.9/3600</f>
        <v>23.422472222222222</v>
      </c>
      <c r="P7651" s="8" t="s">
        <v>33804</v>
      </c>
      <c r="Q7651" s="8">
        <f>-(57+47/60+28/3600)</f>
        <v>-57.791111111111107</v>
      </c>
      <c r="R7651" s="8">
        <v>12.7</v>
      </c>
      <c r="S7651" s="8">
        <v>13.1</v>
      </c>
      <c r="T7651" s="8">
        <v>0.4</v>
      </c>
      <c r="U7651" s="8">
        <v>13.1</v>
      </c>
      <c r="V7651" s="8">
        <v>1.4</v>
      </c>
      <c r="W7651" s="8">
        <v>1.1000000000000001</v>
      </c>
      <c r="X7651" s="8">
        <v>126</v>
      </c>
      <c r="Y7651" s="8" t="s">
        <v>33805</v>
      </c>
      <c r="Z7651" s="8" t="s">
        <v>33806</v>
      </c>
    </row>
    <row r="7652" spans="1:26" x14ac:dyDescent="0.2">
      <c r="A7652" s="8">
        <v>7651</v>
      </c>
      <c r="B7652" s="8" t="s">
        <v>33807</v>
      </c>
      <c r="C7652" s="8" t="s">
        <v>33807</v>
      </c>
      <c r="E7652" s="8">
        <v>2</v>
      </c>
      <c r="F7652" s="47"/>
      <c r="G7652" s="8">
        <v>19</v>
      </c>
      <c r="H7652" s="8" t="s">
        <v>21</v>
      </c>
      <c r="I7652" s="8" t="s">
        <v>22</v>
      </c>
      <c r="J7652" s="8" t="s">
        <v>22</v>
      </c>
      <c r="K7652" s="8" t="s">
        <v>449</v>
      </c>
      <c r="L7652" s="8" t="s">
        <v>24</v>
      </c>
      <c r="M7652" s="8" t="s">
        <v>25</v>
      </c>
      <c r="N7652" s="8" t="s">
        <v>33808</v>
      </c>
      <c r="O7652" s="8">
        <f>23+24/60+25.6/3600</f>
        <v>23.40711111111111</v>
      </c>
      <c r="P7652" s="8" t="s">
        <v>33809</v>
      </c>
      <c r="Q7652" s="8">
        <f>+(13+58/60+2/3600)</f>
        <v>13.967222222222222</v>
      </c>
      <c r="R7652" s="8">
        <v>14.7</v>
      </c>
      <c r="S7652" s="8">
        <v>15.5</v>
      </c>
      <c r="T7652" s="8">
        <v>0.8</v>
      </c>
      <c r="U7652" s="8">
        <v>11.8</v>
      </c>
      <c r="V7652" s="8">
        <v>0.4</v>
      </c>
      <c r="W7652" s="8">
        <v>0.2</v>
      </c>
      <c r="X7652" s="8">
        <v>25</v>
      </c>
      <c r="Y7652" s="8" t="s">
        <v>227</v>
      </c>
      <c r="Z7652" s="8" t="s">
        <v>228</v>
      </c>
    </row>
    <row r="7653" spans="1:26" x14ac:dyDescent="0.2">
      <c r="A7653" s="8">
        <v>7652</v>
      </c>
      <c r="B7653" s="8" t="s">
        <v>33810</v>
      </c>
      <c r="C7653" s="8" t="s">
        <v>33810</v>
      </c>
      <c r="F7653" s="47"/>
      <c r="G7653" s="8">
        <v>16</v>
      </c>
      <c r="H7653" s="8" t="s">
        <v>21</v>
      </c>
      <c r="I7653" s="8" t="s">
        <v>22</v>
      </c>
      <c r="J7653" s="8" t="s">
        <v>22</v>
      </c>
      <c r="K7653" s="8" t="s">
        <v>91</v>
      </c>
      <c r="L7653" s="8" t="s">
        <v>310</v>
      </c>
      <c r="M7653" s="8" t="s">
        <v>311</v>
      </c>
      <c r="N7653" s="8" t="s">
        <v>33811</v>
      </c>
      <c r="O7653" s="8">
        <f>23+25/60+37.6/3600</f>
        <v>23.427111111111113</v>
      </c>
      <c r="P7653" s="8" t="s">
        <v>33812</v>
      </c>
      <c r="Q7653" s="8">
        <f>-(57+53/60+15/3600)</f>
        <v>-57.887500000000003</v>
      </c>
      <c r="R7653" s="8">
        <v>13.5</v>
      </c>
      <c r="S7653" s="8">
        <v>14.4</v>
      </c>
      <c r="T7653" s="8">
        <v>0.9</v>
      </c>
      <c r="U7653" s="8">
        <v>12.9</v>
      </c>
      <c r="V7653" s="8">
        <v>1.2</v>
      </c>
      <c r="W7653" s="8">
        <v>0.7</v>
      </c>
      <c r="X7653" s="8">
        <v>106</v>
      </c>
      <c r="Y7653" s="8" t="s">
        <v>33813</v>
      </c>
      <c r="Z7653" s="8" t="s">
        <v>33814</v>
      </c>
    </row>
    <row r="7654" spans="1:26" x14ac:dyDescent="0.2">
      <c r="A7654" s="8">
        <v>7653</v>
      </c>
      <c r="B7654" s="8" t="s">
        <v>33815</v>
      </c>
      <c r="C7654" s="8" t="s">
        <v>33815</v>
      </c>
      <c r="F7654" s="47"/>
      <c r="G7654" s="8">
        <v>16</v>
      </c>
      <c r="H7654" s="8" t="s">
        <v>21</v>
      </c>
      <c r="I7654" s="8" t="s">
        <v>22</v>
      </c>
      <c r="J7654" s="8" t="s">
        <v>22</v>
      </c>
      <c r="K7654" s="8" t="s">
        <v>23</v>
      </c>
      <c r="L7654" s="8" t="s">
        <v>24</v>
      </c>
      <c r="M7654" s="8" t="s">
        <v>25</v>
      </c>
      <c r="N7654" s="8" t="s">
        <v>33816</v>
      </c>
      <c r="O7654" s="8">
        <f>23+24/60+49.1/3600</f>
        <v>23.413638888888887</v>
      </c>
      <c r="P7654" s="8" t="s">
        <v>33817</v>
      </c>
      <c r="Q7654" s="8">
        <f>+(15+16/60+32/3600)</f>
        <v>15.275555555555556</v>
      </c>
      <c r="R7654" s="8">
        <v>12.7</v>
      </c>
      <c r="S7654" s="8">
        <v>13.4</v>
      </c>
      <c r="T7654" s="8">
        <v>0.7</v>
      </c>
      <c r="U7654" s="8">
        <v>13.5</v>
      </c>
      <c r="V7654" s="8">
        <v>1.6</v>
      </c>
      <c r="W7654" s="8">
        <v>1.5</v>
      </c>
      <c r="X7654" s="8">
        <v>132</v>
      </c>
      <c r="Y7654" s="8" t="s">
        <v>2304</v>
      </c>
      <c r="Z7654" s="8" t="s">
        <v>2305</v>
      </c>
    </row>
    <row r="7655" spans="1:26" x14ac:dyDescent="0.2">
      <c r="A7655" s="8">
        <v>7654</v>
      </c>
      <c r="B7655" s="8" t="s">
        <v>33818</v>
      </c>
      <c r="C7655" s="8" t="s">
        <v>55966</v>
      </c>
      <c r="F7655" s="47"/>
      <c r="G7655" s="8">
        <v>1</v>
      </c>
      <c r="H7655" s="8" t="s">
        <v>33819</v>
      </c>
      <c r="I7655" s="8" t="s">
        <v>557</v>
      </c>
      <c r="J7655" s="8" t="s">
        <v>557</v>
      </c>
      <c r="K7655" s="8" t="s">
        <v>10371</v>
      </c>
      <c r="L7655" s="8" t="s">
        <v>559</v>
      </c>
      <c r="M7655" s="8" t="s">
        <v>560</v>
      </c>
      <c r="N7655" s="8" t="s">
        <v>33820</v>
      </c>
      <c r="O7655" s="8">
        <f>23+24/60+48/3600</f>
        <v>23.41333333333333</v>
      </c>
      <c r="P7655" s="8" t="s">
        <v>33821</v>
      </c>
      <c r="Q7655" s="8">
        <f>+(61+36/60+0/3600)</f>
        <v>61.6</v>
      </c>
      <c r="R7655" s="8">
        <v>6.9</v>
      </c>
      <c r="S7655" s="8">
        <v>99</v>
      </c>
      <c r="T7655" s="8">
        <v>99</v>
      </c>
      <c r="U7655" s="8">
        <v>99</v>
      </c>
      <c r="V7655" s="8">
        <v>16</v>
      </c>
      <c r="Y7655" s="8" t="s">
        <v>33822</v>
      </c>
      <c r="Z7655" s="8" t="s">
        <v>33823</v>
      </c>
    </row>
    <row r="7656" spans="1:26" x14ac:dyDescent="0.2">
      <c r="A7656" s="8">
        <v>7655</v>
      </c>
      <c r="B7656" s="8" t="s">
        <v>33824</v>
      </c>
      <c r="C7656" s="8" t="s">
        <v>33824</v>
      </c>
      <c r="F7656" s="47"/>
      <c r="G7656" s="8">
        <v>16</v>
      </c>
      <c r="H7656" s="8" t="s">
        <v>21</v>
      </c>
      <c r="I7656" s="8" t="s">
        <v>22</v>
      </c>
      <c r="J7656" s="8" t="s">
        <v>22</v>
      </c>
      <c r="K7656" s="8" t="s">
        <v>37</v>
      </c>
      <c r="L7656" s="8" t="s">
        <v>30731</v>
      </c>
      <c r="M7656" s="8" t="s">
        <v>30732</v>
      </c>
      <c r="N7656" s="8" t="s">
        <v>33825</v>
      </c>
      <c r="O7656" s="8">
        <f>23+26/60+45.9/3600</f>
        <v>23.446083333333334</v>
      </c>
      <c r="P7656" s="8" t="s">
        <v>33826</v>
      </c>
      <c r="Q7656" s="8">
        <f>-(68+1/60+39/3600)</f>
        <v>-68.027500000000003</v>
      </c>
      <c r="R7656" s="8">
        <v>13.2</v>
      </c>
      <c r="S7656" s="8">
        <v>14.2</v>
      </c>
      <c r="T7656" s="8">
        <v>1</v>
      </c>
      <c r="U7656" s="8">
        <v>12.3</v>
      </c>
      <c r="V7656" s="8">
        <v>0.8</v>
      </c>
      <c r="W7656" s="8">
        <v>0.6</v>
      </c>
      <c r="X7656" s="8">
        <v>75</v>
      </c>
      <c r="Y7656" s="8" t="s">
        <v>33827</v>
      </c>
      <c r="Z7656" s="8" t="s">
        <v>33828</v>
      </c>
    </row>
    <row r="7657" spans="1:26" x14ac:dyDescent="0.2">
      <c r="A7657" s="8">
        <v>7656</v>
      </c>
      <c r="B7657" s="8" t="s">
        <v>33829</v>
      </c>
      <c r="C7657" s="8" t="s">
        <v>33829</v>
      </c>
      <c r="F7657" s="47"/>
      <c r="G7657" s="8">
        <v>19</v>
      </c>
      <c r="H7657" s="8" t="s">
        <v>21</v>
      </c>
      <c r="I7657" s="8" t="s">
        <v>22</v>
      </c>
      <c r="J7657" s="8" t="s">
        <v>22</v>
      </c>
      <c r="K7657" s="8" t="s">
        <v>37</v>
      </c>
      <c r="L7657" s="8" t="s">
        <v>30854</v>
      </c>
      <c r="M7657" s="8" t="s">
        <v>30855</v>
      </c>
      <c r="N7657" s="8" t="s">
        <v>33830</v>
      </c>
      <c r="O7657" s="8">
        <f>23+24/60+31.5/3600</f>
        <v>23.408749999999998</v>
      </c>
      <c r="P7657" s="8" t="s">
        <v>33831</v>
      </c>
      <c r="Q7657" s="8">
        <f>-(19+3/60+33/3600)</f>
        <v>-19.059166666666666</v>
      </c>
      <c r="R7657" s="8">
        <v>13.5</v>
      </c>
      <c r="S7657" s="8">
        <v>14.5</v>
      </c>
      <c r="T7657" s="8">
        <v>1</v>
      </c>
      <c r="U7657" s="8">
        <v>13.5</v>
      </c>
      <c r="V7657" s="8">
        <v>1.2</v>
      </c>
      <c r="W7657" s="8">
        <v>1.1000000000000001</v>
      </c>
      <c r="X7657" s="8">
        <v>50</v>
      </c>
      <c r="Y7657" s="8" t="s">
        <v>4698</v>
      </c>
      <c r="Z7657" s="8" t="s">
        <v>4699</v>
      </c>
    </row>
    <row r="7658" spans="1:26" x14ac:dyDescent="0.2">
      <c r="A7658" s="8">
        <v>7657</v>
      </c>
      <c r="B7658" s="8" t="s">
        <v>33832</v>
      </c>
      <c r="C7658" s="8" t="s">
        <v>33832</v>
      </c>
      <c r="F7658" s="47"/>
      <c r="G7658" s="8">
        <v>16</v>
      </c>
      <c r="H7658" s="8" t="s">
        <v>21</v>
      </c>
      <c r="I7658" s="8" t="s">
        <v>22</v>
      </c>
      <c r="J7658" s="8" t="s">
        <v>22</v>
      </c>
      <c r="K7658" s="8" t="s">
        <v>269</v>
      </c>
      <c r="L7658" s="8" t="s">
        <v>310</v>
      </c>
      <c r="M7658" s="8" t="s">
        <v>311</v>
      </c>
      <c r="N7658" s="8" t="s">
        <v>33833</v>
      </c>
      <c r="O7658" s="8">
        <f>23+26/60+47.1/3600</f>
        <v>23.446416666666668</v>
      </c>
      <c r="P7658" s="8" t="s">
        <v>33834</v>
      </c>
      <c r="Q7658" s="8">
        <f>-(57+48/60+19/3600)</f>
        <v>-57.805277777777775</v>
      </c>
      <c r="R7658" s="8">
        <v>14.1</v>
      </c>
      <c r="S7658" s="8">
        <v>14.7</v>
      </c>
      <c r="T7658" s="8">
        <v>0.6</v>
      </c>
      <c r="U7658" s="8">
        <v>13.3</v>
      </c>
      <c r="V7658" s="8">
        <v>1.4</v>
      </c>
      <c r="W7658" s="8">
        <v>0.4</v>
      </c>
      <c r="X7658" s="8">
        <v>106</v>
      </c>
      <c r="Y7658" s="8" t="s">
        <v>11371</v>
      </c>
      <c r="Z7658" s="8" t="s">
        <v>11372</v>
      </c>
    </row>
    <row r="7659" spans="1:26" x14ac:dyDescent="0.2">
      <c r="A7659" s="8">
        <v>7658</v>
      </c>
      <c r="B7659" s="8" t="s">
        <v>33835</v>
      </c>
      <c r="C7659" s="8" t="s">
        <v>33835</v>
      </c>
      <c r="D7659" s="8" t="s">
        <v>1619</v>
      </c>
      <c r="F7659" s="47"/>
      <c r="G7659" s="8">
        <v>16</v>
      </c>
      <c r="H7659" s="8" t="s">
        <v>21</v>
      </c>
      <c r="I7659" s="8" t="s">
        <v>22</v>
      </c>
      <c r="J7659" s="8" t="s">
        <v>22</v>
      </c>
      <c r="K7659" s="8" t="s">
        <v>37</v>
      </c>
      <c r="L7659" s="8" t="s">
        <v>31389</v>
      </c>
      <c r="M7659" s="8" t="s">
        <v>31390</v>
      </c>
      <c r="N7659" s="8" t="s">
        <v>33836</v>
      </c>
      <c r="O7659" s="8">
        <f>23+26/60+24.9/3600</f>
        <v>23.440249999999999</v>
      </c>
      <c r="P7659" s="8" t="s">
        <v>33837</v>
      </c>
      <c r="Q7659" s="8">
        <f>-(39+13/60+37/3600)</f>
        <v>-39.226944444444449</v>
      </c>
      <c r="R7659" s="8">
        <v>13.9</v>
      </c>
      <c r="S7659" s="8">
        <v>14.9</v>
      </c>
      <c r="T7659" s="8">
        <v>1</v>
      </c>
      <c r="U7659" s="8">
        <v>12.2</v>
      </c>
      <c r="V7659" s="8">
        <v>0.8</v>
      </c>
      <c r="W7659" s="8">
        <v>0.3</v>
      </c>
      <c r="X7659" s="8">
        <v>128</v>
      </c>
      <c r="Y7659" s="8" t="s">
        <v>33838</v>
      </c>
      <c r="Z7659" s="8" t="s">
        <v>33839</v>
      </c>
    </row>
    <row r="7660" spans="1:26" x14ac:dyDescent="0.2">
      <c r="A7660" s="8">
        <v>7659</v>
      </c>
      <c r="B7660" s="8" t="s">
        <v>33840</v>
      </c>
      <c r="C7660" s="8" t="s">
        <v>33840</v>
      </c>
      <c r="F7660" s="47" t="s">
        <v>58399</v>
      </c>
      <c r="G7660" s="8">
        <v>15</v>
      </c>
      <c r="H7660" s="8" t="s">
        <v>21</v>
      </c>
      <c r="I7660" s="8" t="s">
        <v>22</v>
      </c>
      <c r="J7660" s="8" t="s">
        <v>22</v>
      </c>
      <c r="K7660" s="8" t="s">
        <v>632</v>
      </c>
      <c r="L7660" s="8" t="s">
        <v>24</v>
      </c>
      <c r="M7660" s="8" t="s">
        <v>25</v>
      </c>
      <c r="N7660" s="8" t="s">
        <v>33841</v>
      </c>
      <c r="O7660" s="8">
        <f>23+25/60+55.5/3600</f>
        <v>23.432083333333335</v>
      </c>
      <c r="P7660" s="8" t="s">
        <v>33842</v>
      </c>
      <c r="Q7660" s="8">
        <f>+(14+12/60+35/3600)</f>
        <v>14.209722222222222</v>
      </c>
      <c r="R7660" s="8">
        <v>14</v>
      </c>
      <c r="S7660" s="8">
        <v>14.9</v>
      </c>
      <c r="T7660" s="8">
        <v>0.9</v>
      </c>
      <c r="U7660" s="8">
        <v>12.8</v>
      </c>
      <c r="V7660" s="8">
        <v>0.8</v>
      </c>
      <c r="W7660" s="8">
        <v>0.3</v>
      </c>
      <c r="X7660" s="8">
        <v>110</v>
      </c>
      <c r="Y7660" s="8" t="s">
        <v>18435</v>
      </c>
      <c r="Z7660" s="8" t="s">
        <v>18436</v>
      </c>
    </row>
    <row r="7661" spans="1:26" x14ac:dyDescent="0.2">
      <c r="A7661" s="8">
        <v>7660</v>
      </c>
      <c r="B7661" s="8" t="s">
        <v>33843</v>
      </c>
      <c r="C7661" s="8" t="s">
        <v>33843</v>
      </c>
      <c r="F7661" s="47"/>
      <c r="G7661" s="8">
        <v>16</v>
      </c>
      <c r="H7661" s="8" t="s">
        <v>21</v>
      </c>
      <c r="I7661" s="8" t="s">
        <v>22</v>
      </c>
      <c r="J7661" s="8" t="s">
        <v>22</v>
      </c>
      <c r="K7661" s="8" t="s">
        <v>1136</v>
      </c>
      <c r="L7661" s="8" t="s">
        <v>24</v>
      </c>
      <c r="M7661" s="8" t="s">
        <v>25</v>
      </c>
      <c r="N7661" s="8" t="s">
        <v>33844</v>
      </c>
      <c r="O7661" s="8">
        <f>23+25/60+48.7/3600</f>
        <v>23.430194444444446</v>
      </c>
      <c r="P7661" s="8" t="s">
        <v>33845</v>
      </c>
      <c r="Q7661" s="8">
        <f>+(27+1/60+47/3600)</f>
        <v>27.029722222222222</v>
      </c>
      <c r="R7661" s="8">
        <v>12.7</v>
      </c>
      <c r="S7661" s="8">
        <v>13.8</v>
      </c>
      <c r="T7661" s="8">
        <v>1.1000000000000001</v>
      </c>
      <c r="U7661" s="8">
        <v>13</v>
      </c>
      <c r="V7661" s="8">
        <v>1.4</v>
      </c>
      <c r="W7661" s="8">
        <v>1.1000000000000001</v>
      </c>
      <c r="X7661" s="8">
        <v>35</v>
      </c>
      <c r="Y7661" s="8" t="s">
        <v>33846</v>
      </c>
      <c r="Z7661" s="8" t="s">
        <v>33847</v>
      </c>
    </row>
    <row r="7662" spans="1:26" x14ac:dyDescent="0.2">
      <c r="A7662" s="8">
        <v>7661</v>
      </c>
      <c r="B7662" s="8" t="s">
        <v>33848</v>
      </c>
      <c r="C7662" s="8" t="s">
        <v>33848</v>
      </c>
      <c r="F7662" s="47"/>
      <c r="G7662" s="8">
        <v>16</v>
      </c>
      <c r="H7662" s="8" t="s">
        <v>21</v>
      </c>
      <c r="I7662" s="8" t="s">
        <v>22</v>
      </c>
      <c r="J7662" s="8" t="s">
        <v>22</v>
      </c>
      <c r="K7662" s="8" t="s">
        <v>64</v>
      </c>
      <c r="L7662" s="8" t="s">
        <v>310</v>
      </c>
      <c r="M7662" s="8" t="s">
        <v>311</v>
      </c>
      <c r="N7662" s="8" t="s">
        <v>33849</v>
      </c>
      <c r="O7662" s="8">
        <f>23+27/60+14.5/3600</f>
        <v>23.454027777777778</v>
      </c>
      <c r="P7662" s="8" t="s">
        <v>33850</v>
      </c>
      <c r="Q7662" s="8">
        <f>-(65+16/60+18/3600)</f>
        <v>-65.271666666666661</v>
      </c>
      <c r="R7662" s="8">
        <v>13.4</v>
      </c>
      <c r="S7662" s="8">
        <v>14.1</v>
      </c>
      <c r="T7662" s="8">
        <v>0.7</v>
      </c>
      <c r="U7662" s="8">
        <v>14.1</v>
      </c>
      <c r="V7662" s="8">
        <v>1.8</v>
      </c>
      <c r="W7662" s="8">
        <v>1.2</v>
      </c>
      <c r="X7662" s="8">
        <v>25</v>
      </c>
      <c r="Y7662" s="8" t="s">
        <v>33851</v>
      </c>
      <c r="Z7662" s="8" t="s">
        <v>33852</v>
      </c>
    </row>
    <row r="7663" spans="1:26" x14ac:dyDescent="0.2">
      <c r="A7663" s="8">
        <v>7662</v>
      </c>
      <c r="B7663" s="8" t="s">
        <v>33853</v>
      </c>
      <c r="C7663" s="8" t="s">
        <v>33853</v>
      </c>
      <c r="F7663" s="47" t="s">
        <v>58400</v>
      </c>
      <c r="G7663" s="8">
        <v>2</v>
      </c>
      <c r="H7663" s="8" t="s">
        <v>33854</v>
      </c>
      <c r="I7663" s="8" t="s">
        <v>241</v>
      </c>
      <c r="J7663" s="8" t="s">
        <v>241</v>
      </c>
      <c r="K7663" s="8" t="s">
        <v>241</v>
      </c>
      <c r="L7663" s="8" t="s">
        <v>51</v>
      </c>
      <c r="M7663" s="8" t="s">
        <v>52</v>
      </c>
      <c r="N7663" s="8" t="s">
        <v>33855</v>
      </c>
      <c r="O7663" s="8">
        <f>23+25/60+53.9/3600</f>
        <v>23.431638888888891</v>
      </c>
      <c r="P7663" s="8" t="s">
        <v>33856</v>
      </c>
      <c r="Q7663" s="8">
        <f>+(42+32/60+8/3600)</f>
        <v>42.535555555555554</v>
      </c>
      <c r="R7663" s="8">
        <v>8.3000000000000007</v>
      </c>
      <c r="S7663" s="8">
        <v>9.1999999999999993</v>
      </c>
      <c r="T7663" s="8">
        <v>99</v>
      </c>
      <c r="U7663" s="8">
        <v>99</v>
      </c>
      <c r="V7663" s="8">
        <v>0.62</v>
      </c>
      <c r="Y7663" s="8" t="s">
        <v>33857</v>
      </c>
      <c r="Z7663" s="8" t="s">
        <v>33858</v>
      </c>
    </row>
    <row r="7664" spans="1:26" x14ac:dyDescent="0.2">
      <c r="A7664" s="8">
        <v>7663</v>
      </c>
      <c r="B7664" s="8" t="s">
        <v>33859</v>
      </c>
      <c r="C7664" s="8" t="s">
        <v>33859</v>
      </c>
      <c r="F7664" s="47"/>
      <c r="G7664" s="8">
        <v>18</v>
      </c>
      <c r="H7664" s="8" t="s">
        <v>21</v>
      </c>
      <c r="I7664" s="8" t="s">
        <v>329</v>
      </c>
      <c r="J7664" s="8" t="s">
        <v>329</v>
      </c>
      <c r="K7664" s="8" t="s">
        <v>329</v>
      </c>
      <c r="L7664" s="8" t="s">
        <v>30854</v>
      </c>
      <c r="M7664" s="8" t="s">
        <v>30855</v>
      </c>
      <c r="N7664" s="8" t="s">
        <v>33860</v>
      </c>
      <c r="O7664" s="8">
        <f>23+26/60+40/3600</f>
        <v>23.444444444444446</v>
      </c>
      <c r="P7664" s="8" t="s">
        <v>33861</v>
      </c>
      <c r="Q7664" s="8">
        <f>-(4+45/60+12/3600)</f>
        <v>-4.753333333333333</v>
      </c>
      <c r="R7664" s="8">
        <v>99</v>
      </c>
      <c r="S7664" s="8">
        <v>99</v>
      </c>
      <c r="T7664" s="8">
        <v>99</v>
      </c>
      <c r="U7664" s="8">
        <v>99</v>
      </c>
      <c r="Y7664" s="8" t="s">
        <v>297</v>
      </c>
      <c r="Z7664" s="8" t="s">
        <v>298</v>
      </c>
    </row>
    <row r="7665" spans="1:26" x14ac:dyDescent="0.2">
      <c r="A7665" s="8">
        <v>7664</v>
      </c>
      <c r="B7665" s="8" t="s">
        <v>33862</v>
      </c>
      <c r="C7665" s="8" t="s">
        <v>33862</v>
      </c>
      <c r="F7665" s="47"/>
      <c r="G7665" s="8">
        <v>18</v>
      </c>
      <c r="H7665" s="8" t="s">
        <v>21</v>
      </c>
      <c r="I7665" s="8" t="s">
        <v>22</v>
      </c>
      <c r="J7665" s="8" t="s">
        <v>22</v>
      </c>
      <c r="K7665" s="8" t="s">
        <v>160</v>
      </c>
      <c r="L7665" s="8" t="s">
        <v>24</v>
      </c>
      <c r="M7665" s="8" t="s">
        <v>25</v>
      </c>
      <c r="N7665" s="8" t="s">
        <v>33863</v>
      </c>
      <c r="O7665" s="8">
        <f>23+26/60+39.7/3600</f>
        <v>23.44436111111111</v>
      </c>
      <c r="P7665" s="8" t="s">
        <v>33864</v>
      </c>
      <c r="Q7665" s="8">
        <f>+(25+4/60+49/3600)</f>
        <v>25.080277777777777</v>
      </c>
      <c r="R7665" s="8">
        <v>12.7</v>
      </c>
      <c r="S7665" s="8">
        <v>13.4</v>
      </c>
      <c r="T7665" s="8">
        <v>0.7</v>
      </c>
      <c r="U7665" s="8">
        <v>14</v>
      </c>
      <c r="V7665" s="8">
        <v>2.6</v>
      </c>
      <c r="W7665" s="8">
        <v>1.5</v>
      </c>
      <c r="X7665" s="8">
        <v>90</v>
      </c>
      <c r="Y7665" s="8" t="s">
        <v>33865</v>
      </c>
      <c r="Z7665" s="8" t="s">
        <v>33866</v>
      </c>
    </row>
    <row r="7666" spans="1:26" x14ac:dyDescent="0.2">
      <c r="A7666" s="8">
        <v>7665</v>
      </c>
      <c r="B7666" s="8" t="s">
        <v>33867</v>
      </c>
      <c r="C7666" s="8" t="s">
        <v>33867</v>
      </c>
      <c r="F7666" s="47" t="s">
        <v>58401</v>
      </c>
      <c r="G7666" s="8">
        <v>15</v>
      </c>
      <c r="H7666" s="8" t="s">
        <v>21</v>
      </c>
      <c r="I7666" s="8" t="s">
        <v>22</v>
      </c>
      <c r="J7666" s="8" t="s">
        <v>22</v>
      </c>
      <c r="K7666" s="8" t="s">
        <v>4103</v>
      </c>
      <c r="L7666" s="8" t="s">
        <v>30854</v>
      </c>
      <c r="M7666" s="8" t="s">
        <v>30855</v>
      </c>
      <c r="N7666" s="8" t="s">
        <v>33868</v>
      </c>
      <c r="O7666" s="8">
        <f>23+27/60+14.8/3600</f>
        <v>23.454111111111111</v>
      </c>
      <c r="P7666" s="8" t="s">
        <v>33869</v>
      </c>
      <c r="Q7666" s="8">
        <f>-(9+23/60+11/3600)</f>
        <v>-9.386388888888888</v>
      </c>
      <c r="R7666" s="8">
        <v>13.3</v>
      </c>
      <c r="S7666" s="8">
        <v>13.9</v>
      </c>
      <c r="T7666" s="8">
        <v>0.6</v>
      </c>
      <c r="U7666" s="8">
        <v>12.4</v>
      </c>
      <c r="V7666" s="8">
        <v>0.7</v>
      </c>
      <c r="W7666" s="8">
        <v>0.7</v>
      </c>
      <c r="Y7666" s="8" t="s">
        <v>12566</v>
      </c>
      <c r="Z7666" s="8" t="s">
        <v>12567</v>
      </c>
    </row>
    <row r="7667" spans="1:26" x14ac:dyDescent="0.2">
      <c r="A7667" s="8">
        <v>7666</v>
      </c>
      <c r="B7667" s="8" t="s">
        <v>33870</v>
      </c>
      <c r="C7667" s="8" t="s">
        <v>33870</v>
      </c>
      <c r="F7667" s="47"/>
      <c r="G7667" s="8">
        <v>18</v>
      </c>
      <c r="H7667" s="8" t="s">
        <v>21</v>
      </c>
      <c r="I7667" s="8" t="s">
        <v>329</v>
      </c>
      <c r="J7667" s="8" t="s">
        <v>329</v>
      </c>
      <c r="K7667" s="8" t="s">
        <v>329</v>
      </c>
      <c r="L7667" s="8" t="s">
        <v>30854</v>
      </c>
      <c r="M7667" s="8" t="s">
        <v>30855</v>
      </c>
      <c r="N7667" s="8" t="s">
        <v>33871</v>
      </c>
      <c r="O7667" s="8">
        <f>23+27/60+24/3600</f>
        <v>23.456666666666667</v>
      </c>
      <c r="P7667" s="8" t="s">
        <v>33872</v>
      </c>
      <c r="Q7667" s="8">
        <f>-(4+11/60+0/3600)</f>
        <v>-4.1833333333333336</v>
      </c>
      <c r="R7667" s="8">
        <v>99</v>
      </c>
      <c r="S7667" s="8">
        <v>99</v>
      </c>
      <c r="T7667" s="8">
        <v>99</v>
      </c>
      <c r="U7667" s="8">
        <v>99</v>
      </c>
      <c r="Y7667" s="8" t="s">
        <v>297</v>
      </c>
      <c r="Z7667" s="8" t="s">
        <v>298</v>
      </c>
    </row>
    <row r="7668" spans="1:26" x14ac:dyDescent="0.2">
      <c r="A7668" s="8">
        <v>7667</v>
      </c>
      <c r="B7668" s="8" t="s">
        <v>33873</v>
      </c>
      <c r="C7668" s="8" t="s">
        <v>33873</v>
      </c>
      <c r="F7668" s="47"/>
      <c r="G7668" s="8">
        <v>18</v>
      </c>
      <c r="H7668" s="8" t="s">
        <v>21</v>
      </c>
      <c r="I7668" s="8" t="s">
        <v>22</v>
      </c>
      <c r="J7668" s="8" t="s">
        <v>22</v>
      </c>
      <c r="K7668" s="8" t="s">
        <v>4103</v>
      </c>
      <c r="L7668" s="8" t="s">
        <v>38</v>
      </c>
      <c r="M7668" s="8" t="s">
        <v>39</v>
      </c>
      <c r="N7668" s="8" t="s">
        <v>33874</v>
      </c>
      <c r="O7668" s="8">
        <f>23+24/60+23.1/3600</f>
        <v>23.406416666666665</v>
      </c>
      <c r="P7668" s="8" t="s">
        <v>33875</v>
      </c>
      <c r="Q7668" s="8">
        <f>-(0+6/60+31/3600)</f>
        <v>-0.10861111111111112</v>
      </c>
      <c r="R7668" s="8">
        <v>13.9</v>
      </c>
      <c r="S7668" s="8">
        <v>14.5</v>
      </c>
      <c r="T7668" s="8">
        <v>0.6</v>
      </c>
      <c r="U7668" s="8">
        <v>14.4</v>
      </c>
      <c r="V7668" s="8">
        <v>1.6</v>
      </c>
      <c r="W7668" s="8">
        <v>1.1000000000000001</v>
      </c>
      <c r="X7668" s="8">
        <v>79</v>
      </c>
      <c r="Y7668" s="8" t="s">
        <v>297</v>
      </c>
      <c r="Z7668" s="8" t="s">
        <v>298</v>
      </c>
    </row>
    <row r="7669" spans="1:26" x14ac:dyDescent="0.2">
      <c r="A7669" s="8">
        <v>7668</v>
      </c>
      <c r="B7669" s="8" t="s">
        <v>33876</v>
      </c>
      <c r="C7669" s="8" t="s">
        <v>33876</v>
      </c>
      <c r="F7669" s="47"/>
      <c r="G7669" s="8">
        <v>18</v>
      </c>
      <c r="H7669" s="8" t="s">
        <v>21</v>
      </c>
      <c r="I7669" s="8" t="s">
        <v>329</v>
      </c>
      <c r="J7669" s="8" t="s">
        <v>329</v>
      </c>
      <c r="K7669" s="8" t="s">
        <v>329</v>
      </c>
      <c r="L7669" s="8" t="s">
        <v>38</v>
      </c>
      <c r="M7669" s="8" t="s">
        <v>39</v>
      </c>
      <c r="N7669" s="8" t="s">
        <v>33877</v>
      </c>
      <c r="O7669" s="8">
        <f>23+26/60+41.7/3600</f>
        <v>23.444916666666668</v>
      </c>
      <c r="P7669" s="8" t="s">
        <v>33878</v>
      </c>
      <c r="Q7669" s="8">
        <f>-(0+11/60+29/3600)</f>
        <v>-0.19138888888888889</v>
      </c>
      <c r="R7669" s="8">
        <v>99</v>
      </c>
      <c r="S7669" s="8">
        <v>99</v>
      </c>
      <c r="T7669" s="8">
        <v>99</v>
      </c>
      <c r="U7669" s="8">
        <v>99</v>
      </c>
      <c r="Y7669" s="8" t="s">
        <v>33879</v>
      </c>
      <c r="Z7669" s="8" t="s">
        <v>33880</v>
      </c>
    </row>
    <row r="7670" spans="1:26" x14ac:dyDescent="0.2">
      <c r="A7670" s="8">
        <v>7669</v>
      </c>
      <c r="B7670" s="8" t="s">
        <v>33881</v>
      </c>
      <c r="C7670" s="8" t="s">
        <v>33881</v>
      </c>
      <c r="F7670" s="47"/>
      <c r="G7670" s="8">
        <v>18</v>
      </c>
      <c r="H7670" s="8" t="s">
        <v>21</v>
      </c>
      <c r="I7670" s="8" t="s">
        <v>329</v>
      </c>
      <c r="J7670" s="8" t="s">
        <v>329</v>
      </c>
      <c r="K7670" s="8" t="s">
        <v>329</v>
      </c>
      <c r="L7670" s="8" t="s">
        <v>38</v>
      </c>
      <c r="M7670" s="8" t="s">
        <v>39</v>
      </c>
      <c r="N7670" s="8" t="s">
        <v>33877</v>
      </c>
      <c r="O7670" s="8">
        <f>23+26/60+41.7/3600</f>
        <v>23.444916666666668</v>
      </c>
      <c r="P7670" s="8" t="s">
        <v>33878</v>
      </c>
      <c r="Q7670" s="8">
        <f>-(0+11/60+29/3600)</f>
        <v>-0.19138888888888889</v>
      </c>
      <c r="R7670" s="8">
        <v>99</v>
      </c>
      <c r="S7670" s="8">
        <v>99</v>
      </c>
      <c r="T7670" s="8">
        <v>99</v>
      </c>
      <c r="U7670" s="8">
        <v>99</v>
      </c>
      <c r="Y7670" s="8" t="s">
        <v>33879</v>
      </c>
      <c r="Z7670" s="8" t="s">
        <v>33880</v>
      </c>
    </row>
    <row r="7671" spans="1:26" x14ac:dyDescent="0.2">
      <c r="A7671" s="8">
        <v>7670</v>
      </c>
      <c r="B7671" s="8" t="s">
        <v>33882</v>
      </c>
      <c r="C7671" s="8" t="s">
        <v>33882</v>
      </c>
      <c r="F7671" s="47"/>
      <c r="G7671" s="8">
        <v>18</v>
      </c>
      <c r="H7671" s="8" t="s">
        <v>21</v>
      </c>
      <c r="I7671" s="8" t="s">
        <v>329</v>
      </c>
      <c r="J7671" s="8" t="s">
        <v>329</v>
      </c>
      <c r="K7671" s="8" t="s">
        <v>329</v>
      </c>
      <c r="L7671" s="8" t="s">
        <v>38</v>
      </c>
      <c r="M7671" s="8" t="s">
        <v>39</v>
      </c>
      <c r="N7671" s="8" t="s">
        <v>33877</v>
      </c>
      <c r="O7671" s="8">
        <f>23+26/60+41.7/3600</f>
        <v>23.444916666666668</v>
      </c>
      <c r="P7671" s="8" t="s">
        <v>33878</v>
      </c>
      <c r="Q7671" s="8">
        <f>-(0+11/60+29/3600)</f>
        <v>-0.19138888888888889</v>
      </c>
      <c r="R7671" s="8">
        <v>99</v>
      </c>
      <c r="S7671" s="8">
        <v>99</v>
      </c>
      <c r="T7671" s="8">
        <v>99</v>
      </c>
      <c r="U7671" s="8">
        <v>99</v>
      </c>
      <c r="Y7671" s="8" t="s">
        <v>33879</v>
      </c>
      <c r="Z7671" s="8" t="s">
        <v>33880</v>
      </c>
    </row>
    <row r="7672" spans="1:26" x14ac:dyDescent="0.2">
      <c r="A7672" s="8">
        <v>7671</v>
      </c>
      <c r="B7672" s="8" t="s">
        <v>33883</v>
      </c>
      <c r="C7672" s="8" t="s">
        <v>33883</v>
      </c>
      <c r="F7672" s="47" t="s">
        <v>58402</v>
      </c>
      <c r="G7672" s="8">
        <v>15</v>
      </c>
      <c r="H7672" s="8" t="s">
        <v>21</v>
      </c>
      <c r="I7672" s="8" t="s">
        <v>22</v>
      </c>
      <c r="J7672" s="8" t="s">
        <v>22</v>
      </c>
      <c r="K7672" s="8" t="s">
        <v>37</v>
      </c>
      <c r="L7672" s="8" t="s">
        <v>24</v>
      </c>
      <c r="M7672" s="8" t="s">
        <v>25</v>
      </c>
      <c r="N7672" s="8" t="s">
        <v>33884</v>
      </c>
      <c r="O7672" s="8">
        <f>23+27/60+19.3/3600</f>
        <v>23.45536111111111</v>
      </c>
      <c r="P7672" s="8" t="s">
        <v>33885</v>
      </c>
      <c r="Q7672" s="8">
        <f>+(12+28/60+4/3600)</f>
        <v>12.467777777777778</v>
      </c>
      <c r="R7672" s="8">
        <v>12.8</v>
      </c>
      <c r="S7672" s="8">
        <v>13.8</v>
      </c>
      <c r="T7672" s="8">
        <v>1</v>
      </c>
      <c r="U7672" s="8">
        <v>12.8</v>
      </c>
      <c r="V7672" s="8">
        <v>1.4</v>
      </c>
      <c r="W7672" s="8">
        <v>0.8</v>
      </c>
      <c r="X7672" s="8">
        <v>138</v>
      </c>
      <c r="Y7672" s="8" t="s">
        <v>33886</v>
      </c>
      <c r="Z7672" s="8" t="s">
        <v>33887</v>
      </c>
    </row>
    <row r="7673" spans="1:26" x14ac:dyDescent="0.2">
      <c r="A7673" s="8">
        <v>7672</v>
      </c>
      <c r="B7673" s="8" t="s">
        <v>33888</v>
      </c>
      <c r="C7673" s="8" t="s">
        <v>33888</v>
      </c>
      <c r="F7673" s="47"/>
      <c r="G7673" s="8">
        <v>18</v>
      </c>
      <c r="H7673" s="8" t="s">
        <v>21</v>
      </c>
      <c r="I7673" s="8" t="s">
        <v>22</v>
      </c>
      <c r="J7673" s="8" t="s">
        <v>22</v>
      </c>
      <c r="K7673" s="8" t="s">
        <v>23</v>
      </c>
      <c r="L7673" s="8" t="s">
        <v>24</v>
      </c>
      <c r="M7673" s="8" t="s">
        <v>25</v>
      </c>
      <c r="N7673" s="8" t="s">
        <v>33889</v>
      </c>
      <c r="O7673" s="8">
        <f>23+27/60+31.4/3600</f>
        <v>23.458722222222221</v>
      </c>
      <c r="P7673" s="8" t="s">
        <v>33890</v>
      </c>
      <c r="Q7673" s="8">
        <f>+(12+23/60+6/3600)</f>
        <v>12.385</v>
      </c>
      <c r="R7673" s="8">
        <v>13.9</v>
      </c>
      <c r="S7673" s="8">
        <v>14.7</v>
      </c>
      <c r="T7673" s="8">
        <v>0.8</v>
      </c>
      <c r="U7673" s="8">
        <v>13.9</v>
      </c>
      <c r="V7673" s="8">
        <v>0.8</v>
      </c>
      <c r="W7673" s="8">
        <v>0.6</v>
      </c>
      <c r="X7673" s="8">
        <v>36</v>
      </c>
      <c r="Y7673" s="8" t="s">
        <v>33891</v>
      </c>
      <c r="Z7673" s="8" t="s">
        <v>33892</v>
      </c>
    </row>
    <row r="7674" spans="1:26" x14ac:dyDescent="0.2">
      <c r="A7674" s="8">
        <v>7673</v>
      </c>
      <c r="B7674" s="8" t="s">
        <v>33893</v>
      </c>
      <c r="C7674" s="8" t="s">
        <v>33893</v>
      </c>
      <c r="F7674" s="47"/>
      <c r="G7674" s="8">
        <v>18</v>
      </c>
      <c r="H7674" s="8" t="s">
        <v>21</v>
      </c>
      <c r="I7674" s="8" t="s">
        <v>22</v>
      </c>
      <c r="J7674" s="8" t="s">
        <v>22</v>
      </c>
      <c r="K7674" s="8" t="s">
        <v>538</v>
      </c>
      <c r="L7674" s="8" t="s">
        <v>24</v>
      </c>
      <c r="M7674" s="8" t="s">
        <v>25</v>
      </c>
      <c r="N7674" s="8" t="s">
        <v>33894</v>
      </c>
      <c r="O7674" s="8">
        <f>23+27/60+41.2/3600</f>
        <v>23.461444444444442</v>
      </c>
      <c r="P7674" s="8" t="s">
        <v>33895</v>
      </c>
      <c r="Q7674" s="8">
        <f>+(23+35/60+21/3600)</f>
        <v>23.589166666666664</v>
      </c>
      <c r="R7674" s="8">
        <v>12.8</v>
      </c>
      <c r="S7674" s="8">
        <v>13.2</v>
      </c>
      <c r="T7674" s="8">
        <v>0.4</v>
      </c>
      <c r="U7674" s="8">
        <v>13.1</v>
      </c>
      <c r="V7674" s="8">
        <v>1.3</v>
      </c>
      <c r="W7674" s="8">
        <v>1.2</v>
      </c>
      <c r="X7674" s="8">
        <v>57</v>
      </c>
      <c r="Y7674" s="8" t="s">
        <v>895</v>
      </c>
      <c r="Z7674" s="8" t="s">
        <v>896</v>
      </c>
    </row>
    <row r="7675" spans="1:26" x14ac:dyDescent="0.2">
      <c r="A7675" s="8">
        <v>7674</v>
      </c>
      <c r="B7675" s="8" t="s">
        <v>33896</v>
      </c>
      <c r="C7675" s="8" t="s">
        <v>33896</v>
      </c>
      <c r="F7675" s="47"/>
      <c r="G7675" s="8">
        <v>16</v>
      </c>
      <c r="H7675" s="8" t="s">
        <v>21</v>
      </c>
      <c r="I7675" s="8" t="s">
        <v>22</v>
      </c>
      <c r="J7675" s="8" t="s">
        <v>22</v>
      </c>
      <c r="K7675" s="8" t="s">
        <v>85</v>
      </c>
      <c r="L7675" s="8" t="s">
        <v>24</v>
      </c>
      <c r="M7675" s="8" t="s">
        <v>25</v>
      </c>
      <c r="N7675" s="8" t="s">
        <v>33897</v>
      </c>
      <c r="O7675" s="8">
        <f>23+27/60+56.7/3600</f>
        <v>23.46575</v>
      </c>
      <c r="P7675" s="8" t="s">
        <v>33898</v>
      </c>
      <c r="Q7675" s="8">
        <f>+(8+46/60+43/3600)</f>
        <v>8.7786111111111111</v>
      </c>
      <c r="R7675" s="8">
        <v>13.2</v>
      </c>
      <c r="S7675" s="8">
        <v>13.9</v>
      </c>
      <c r="T7675" s="8">
        <v>0.7</v>
      </c>
      <c r="U7675" s="8">
        <v>13.3</v>
      </c>
      <c r="V7675" s="8">
        <v>1.1000000000000001</v>
      </c>
      <c r="W7675" s="8">
        <v>1</v>
      </c>
      <c r="X7675" s="8">
        <v>150</v>
      </c>
      <c r="Y7675" s="8" t="s">
        <v>33899</v>
      </c>
      <c r="Z7675" s="8" t="s">
        <v>33900</v>
      </c>
    </row>
    <row r="7676" spans="1:26" x14ac:dyDescent="0.2">
      <c r="A7676" s="8">
        <v>7675</v>
      </c>
      <c r="B7676" s="8" t="s">
        <v>33901</v>
      </c>
      <c r="C7676" s="8" t="s">
        <v>33901</v>
      </c>
      <c r="F7676" s="47"/>
      <c r="G7676" s="8">
        <v>16</v>
      </c>
      <c r="H7676" s="8" t="s">
        <v>21</v>
      </c>
      <c r="I7676" s="8" t="s">
        <v>22</v>
      </c>
      <c r="J7676" s="8" t="s">
        <v>22</v>
      </c>
      <c r="K7676" s="8" t="s">
        <v>118</v>
      </c>
      <c r="L7676" s="8" t="s">
        <v>24</v>
      </c>
      <c r="M7676" s="8" t="s">
        <v>25</v>
      </c>
      <c r="N7676" s="8" t="s">
        <v>33902</v>
      </c>
      <c r="O7676" s="8">
        <f>23+28/60+5.8/3600</f>
        <v>23.468277777777775</v>
      </c>
      <c r="P7676" s="8" t="s">
        <v>33903</v>
      </c>
      <c r="Q7676" s="8">
        <f>+(8+46/60+9/3600)</f>
        <v>8.769166666666667</v>
      </c>
      <c r="R7676" s="8">
        <v>14.9</v>
      </c>
      <c r="S7676" s="8">
        <v>16</v>
      </c>
      <c r="T7676" s="8">
        <v>1.1000000000000001</v>
      </c>
      <c r="U7676" s="8">
        <v>13.4</v>
      </c>
      <c r="V7676" s="8">
        <v>0.6</v>
      </c>
      <c r="W7676" s="8">
        <v>0.4</v>
      </c>
      <c r="X7676" s="8">
        <v>25</v>
      </c>
      <c r="Y7676" s="8" t="s">
        <v>33904</v>
      </c>
      <c r="Z7676" s="8" t="s">
        <v>33905</v>
      </c>
    </row>
    <row r="7677" spans="1:26" x14ac:dyDescent="0.2">
      <c r="A7677" s="8">
        <v>7676</v>
      </c>
      <c r="B7677" s="8" t="s">
        <v>33906</v>
      </c>
      <c r="C7677" s="8" t="s">
        <v>33906</v>
      </c>
      <c r="F7677" s="47"/>
      <c r="G7677" s="8">
        <v>16</v>
      </c>
      <c r="H7677" s="8" t="s">
        <v>21</v>
      </c>
      <c r="I7677" s="8" t="s">
        <v>22</v>
      </c>
      <c r="J7677" s="8" t="s">
        <v>22</v>
      </c>
      <c r="K7677" s="8" t="s">
        <v>58</v>
      </c>
      <c r="L7677" s="8" t="s">
        <v>310</v>
      </c>
      <c r="M7677" s="8" t="s">
        <v>311</v>
      </c>
      <c r="N7677" s="8" t="s">
        <v>33907</v>
      </c>
      <c r="O7677" s="8">
        <f>23+29/60+1.7/3600</f>
        <v>23.483805555555556</v>
      </c>
      <c r="P7677" s="8" t="s">
        <v>33908</v>
      </c>
      <c r="Q7677" s="8">
        <f>-(59+43/60+0/3600)</f>
        <v>-59.716666666666669</v>
      </c>
      <c r="R7677" s="8">
        <v>11.5</v>
      </c>
      <c r="S7677" s="8">
        <v>12.5</v>
      </c>
      <c r="T7677" s="8">
        <v>1</v>
      </c>
      <c r="U7677" s="8">
        <v>12.8</v>
      </c>
      <c r="V7677" s="8">
        <v>1.6</v>
      </c>
      <c r="W7677" s="8">
        <v>0.9</v>
      </c>
      <c r="X7677" s="8">
        <v>85</v>
      </c>
      <c r="Y7677" s="8" t="s">
        <v>33909</v>
      </c>
      <c r="Z7677" s="8" t="s">
        <v>33910</v>
      </c>
    </row>
    <row r="7678" spans="1:26" x14ac:dyDescent="0.2">
      <c r="A7678" s="8">
        <v>7677</v>
      </c>
      <c r="B7678" s="8" t="s">
        <v>33911</v>
      </c>
      <c r="C7678" s="8" t="s">
        <v>33911</v>
      </c>
      <c r="F7678" s="47"/>
      <c r="G7678" s="8">
        <v>18</v>
      </c>
      <c r="H7678" s="8" t="s">
        <v>21</v>
      </c>
      <c r="I7678" s="8" t="s">
        <v>22</v>
      </c>
      <c r="J7678" s="8" t="s">
        <v>22</v>
      </c>
      <c r="K7678" s="8" t="s">
        <v>85</v>
      </c>
      <c r="L7678" s="8" t="s">
        <v>24</v>
      </c>
      <c r="M7678" s="8" t="s">
        <v>25</v>
      </c>
      <c r="N7678" s="8" t="s">
        <v>33912</v>
      </c>
      <c r="O7678" s="8">
        <f>23+28/60+6.1/3600</f>
        <v>23.468361111111111</v>
      </c>
      <c r="P7678" s="8" t="s">
        <v>33913</v>
      </c>
      <c r="Q7678" s="8">
        <f>+(23+31/60+53/3600)</f>
        <v>23.531388888888888</v>
      </c>
      <c r="R7678" s="8">
        <v>13.2</v>
      </c>
      <c r="S7678" s="8">
        <v>13.9</v>
      </c>
      <c r="T7678" s="8">
        <v>0.7</v>
      </c>
      <c r="U7678" s="8">
        <v>13.6</v>
      </c>
      <c r="V7678" s="8">
        <v>1.6</v>
      </c>
      <c r="W7678" s="8">
        <v>1</v>
      </c>
      <c r="X7678" s="8">
        <v>35</v>
      </c>
      <c r="Y7678" s="8" t="s">
        <v>2287</v>
      </c>
      <c r="Z7678" s="8" t="s">
        <v>29195</v>
      </c>
    </row>
    <row r="7679" spans="1:26" x14ac:dyDescent="0.2">
      <c r="A7679" s="8">
        <v>7678</v>
      </c>
      <c r="B7679" s="8" t="s">
        <v>33914</v>
      </c>
      <c r="C7679" s="8" t="s">
        <v>33914</v>
      </c>
      <c r="F7679" s="47" t="s">
        <v>58403</v>
      </c>
      <c r="G7679" s="8">
        <v>13</v>
      </c>
      <c r="H7679" s="8" t="s">
        <v>21</v>
      </c>
      <c r="I7679" s="8" t="s">
        <v>22</v>
      </c>
      <c r="J7679" s="8" t="s">
        <v>22</v>
      </c>
      <c r="K7679" s="8" t="s">
        <v>64</v>
      </c>
      <c r="L7679" s="8" t="s">
        <v>24</v>
      </c>
      <c r="M7679" s="8" t="s">
        <v>25</v>
      </c>
      <c r="N7679" s="8" t="s">
        <v>33915</v>
      </c>
      <c r="O7679" s="8">
        <f>23+28/60+27.8/3600</f>
        <v>23.474388888888889</v>
      </c>
      <c r="P7679" s="8" t="s">
        <v>33916</v>
      </c>
      <c r="Q7679" s="8">
        <f>+(22+25/60+16/3600)</f>
        <v>22.421111111111113</v>
      </c>
      <c r="R7679" s="8">
        <v>11.8</v>
      </c>
      <c r="S7679" s="8">
        <v>12.4</v>
      </c>
      <c r="T7679" s="8">
        <v>0.6</v>
      </c>
      <c r="U7679" s="8">
        <v>13.2</v>
      </c>
      <c r="V7679" s="8">
        <v>2.5</v>
      </c>
      <c r="W7679" s="8">
        <v>1.7</v>
      </c>
      <c r="X7679" s="8">
        <v>5</v>
      </c>
      <c r="Y7679" s="8" t="s">
        <v>33917</v>
      </c>
      <c r="Z7679" s="8" t="s">
        <v>33918</v>
      </c>
    </row>
    <row r="7680" spans="1:26" x14ac:dyDescent="0.2">
      <c r="A7680" s="8">
        <v>7679</v>
      </c>
      <c r="B7680" s="8" t="s">
        <v>33919</v>
      </c>
      <c r="C7680" s="8" t="s">
        <v>33919</v>
      </c>
      <c r="F7680" s="47"/>
      <c r="G7680" s="8">
        <v>13</v>
      </c>
      <c r="H7680" s="8" t="s">
        <v>21</v>
      </c>
      <c r="I7680" s="8" t="s">
        <v>22</v>
      </c>
      <c r="J7680" s="8" t="s">
        <v>22</v>
      </c>
      <c r="K7680" s="8" t="s">
        <v>224</v>
      </c>
      <c r="L7680" s="8" t="s">
        <v>38</v>
      </c>
      <c r="M7680" s="8" t="s">
        <v>39</v>
      </c>
      <c r="N7680" s="8" t="s">
        <v>33920</v>
      </c>
      <c r="O7680" s="8">
        <f>23+28/60+46.5/3600</f>
        <v>23.479583333333331</v>
      </c>
      <c r="P7680" s="8" t="s">
        <v>33921</v>
      </c>
      <c r="Q7680" s="8">
        <f>+(3+30/60+39/3600)</f>
        <v>3.5108333333333333</v>
      </c>
      <c r="R7680" s="8">
        <v>12.9</v>
      </c>
      <c r="S7680" s="8">
        <v>13.5</v>
      </c>
      <c r="T7680" s="8">
        <v>0.6</v>
      </c>
      <c r="U7680" s="8">
        <v>13</v>
      </c>
      <c r="V7680" s="8">
        <v>1.7</v>
      </c>
      <c r="W7680" s="8">
        <v>0.9</v>
      </c>
      <c r="X7680" s="8">
        <v>90</v>
      </c>
      <c r="Y7680" s="8" t="s">
        <v>33922</v>
      </c>
      <c r="Z7680" s="8" t="s">
        <v>33923</v>
      </c>
    </row>
    <row r="7681" spans="1:26" x14ac:dyDescent="0.2">
      <c r="A7681" s="8">
        <v>7680</v>
      </c>
      <c r="B7681" s="8" t="s">
        <v>33924</v>
      </c>
      <c r="C7681" s="8" t="s">
        <v>33924</v>
      </c>
      <c r="E7681" s="8">
        <v>1</v>
      </c>
      <c r="F7681" s="47" t="s">
        <v>58404</v>
      </c>
      <c r="G7681" s="8">
        <v>15</v>
      </c>
      <c r="H7681" s="8" t="s">
        <v>21</v>
      </c>
      <c r="I7681" s="8" t="s">
        <v>22</v>
      </c>
      <c r="J7681" s="8" t="s">
        <v>22</v>
      </c>
      <c r="K7681" s="8" t="s">
        <v>58</v>
      </c>
      <c r="L7681" s="8" t="s">
        <v>24</v>
      </c>
      <c r="M7681" s="8" t="s">
        <v>25</v>
      </c>
      <c r="N7681" s="8" t="s">
        <v>33925</v>
      </c>
      <c r="O7681" s="8">
        <f>23+28/60+35.2/3600</f>
        <v>23.476444444444443</v>
      </c>
      <c r="P7681" s="8" t="s">
        <v>33926</v>
      </c>
      <c r="Q7681" s="8">
        <f>+(32+24/60+56/3600)</f>
        <v>32.415555555555557</v>
      </c>
      <c r="R7681" s="8">
        <v>12.6</v>
      </c>
      <c r="S7681" s="8">
        <v>13.7</v>
      </c>
      <c r="T7681" s="8">
        <v>1.1000000000000001</v>
      </c>
      <c r="U7681" s="8">
        <v>13.8</v>
      </c>
      <c r="V7681" s="8">
        <v>1.9</v>
      </c>
      <c r="W7681" s="8">
        <v>1.9</v>
      </c>
      <c r="Y7681" s="8" t="s">
        <v>33927</v>
      </c>
      <c r="Z7681" s="8" t="s">
        <v>33928</v>
      </c>
    </row>
    <row r="7682" spans="1:26" x14ac:dyDescent="0.2">
      <c r="A7682" s="8">
        <v>7681</v>
      </c>
      <c r="B7682" s="8" t="s">
        <v>33929</v>
      </c>
      <c r="C7682" s="8" t="s">
        <v>33929</v>
      </c>
      <c r="F7682" s="47" t="s">
        <v>58405</v>
      </c>
      <c r="G7682" s="8">
        <v>15</v>
      </c>
      <c r="H7682" s="8" t="s">
        <v>21</v>
      </c>
      <c r="I7682" s="8" t="s">
        <v>22</v>
      </c>
      <c r="J7682" s="8" t="s">
        <v>22</v>
      </c>
      <c r="K7682" s="8" t="s">
        <v>37</v>
      </c>
      <c r="L7682" s="8" t="s">
        <v>24</v>
      </c>
      <c r="M7682" s="8" t="s">
        <v>25</v>
      </c>
      <c r="N7682" s="8" t="s">
        <v>33930</v>
      </c>
      <c r="O7682" s="8">
        <f>23+28/60+54.8/3600</f>
        <v>23.481888888888886</v>
      </c>
      <c r="P7682" s="8" t="s">
        <v>33931</v>
      </c>
      <c r="Q7682" s="8">
        <f>+(17+18/60+34/3600)</f>
        <v>17.309444444444445</v>
      </c>
      <c r="R7682" s="8">
        <v>14.8</v>
      </c>
      <c r="S7682" s="8">
        <v>15.7</v>
      </c>
      <c r="T7682" s="8">
        <v>0.9</v>
      </c>
      <c r="U7682" s="8">
        <v>15.7</v>
      </c>
      <c r="V7682" s="8">
        <v>1.8</v>
      </c>
      <c r="W7682" s="8">
        <v>1.5</v>
      </c>
      <c r="X7682" s="8">
        <v>42</v>
      </c>
      <c r="Y7682" s="8" t="s">
        <v>33932</v>
      </c>
      <c r="Z7682" s="8" t="s">
        <v>33933</v>
      </c>
    </row>
    <row r="7683" spans="1:26" x14ac:dyDescent="0.2">
      <c r="A7683" s="8">
        <v>7682</v>
      </c>
      <c r="B7683" s="8" t="s">
        <v>33934</v>
      </c>
      <c r="C7683" s="8" t="s">
        <v>33934</v>
      </c>
      <c r="F7683" s="47"/>
      <c r="G7683" s="8">
        <v>18</v>
      </c>
      <c r="H7683" s="8" t="s">
        <v>21</v>
      </c>
      <c r="I7683" s="8" t="s">
        <v>22</v>
      </c>
      <c r="J7683" s="8" t="s">
        <v>22</v>
      </c>
      <c r="K7683" s="8" t="s">
        <v>406</v>
      </c>
      <c r="L7683" s="8" t="s">
        <v>38</v>
      </c>
      <c r="M7683" s="8" t="s">
        <v>39</v>
      </c>
      <c r="N7683" s="8" t="s">
        <v>33935</v>
      </c>
      <c r="O7683" s="8">
        <f>23+29/60+3.8/3600</f>
        <v>23.484388888888891</v>
      </c>
      <c r="P7683" s="8" t="s">
        <v>33936</v>
      </c>
      <c r="Q7683" s="8">
        <f>+(3+32/60+2/3600)</f>
        <v>3.5338888888888889</v>
      </c>
      <c r="R7683" s="8">
        <v>13.2</v>
      </c>
      <c r="S7683" s="8">
        <v>14.1</v>
      </c>
      <c r="T7683" s="8">
        <v>0.9</v>
      </c>
      <c r="U7683" s="8">
        <v>13.3</v>
      </c>
      <c r="V7683" s="8">
        <v>1.2</v>
      </c>
      <c r="W7683" s="8">
        <v>1.1000000000000001</v>
      </c>
      <c r="X7683" s="8">
        <v>153</v>
      </c>
      <c r="Y7683" s="8" t="s">
        <v>33922</v>
      </c>
      <c r="Z7683" s="8" t="s">
        <v>33937</v>
      </c>
    </row>
    <row r="7684" spans="1:26" x14ac:dyDescent="0.2">
      <c r="A7684" s="8">
        <v>7683</v>
      </c>
      <c r="B7684" s="8" t="s">
        <v>33938</v>
      </c>
      <c r="C7684" s="8" t="s">
        <v>33938</v>
      </c>
      <c r="F7684" s="47"/>
      <c r="G7684" s="8">
        <v>18</v>
      </c>
      <c r="H7684" s="8" t="s">
        <v>21</v>
      </c>
      <c r="I7684" s="8" t="s">
        <v>22</v>
      </c>
      <c r="J7684" s="8" t="s">
        <v>22</v>
      </c>
      <c r="K7684" s="8" t="s">
        <v>37</v>
      </c>
      <c r="L7684" s="8" t="s">
        <v>24</v>
      </c>
      <c r="M7684" s="8" t="s">
        <v>25</v>
      </c>
      <c r="N7684" s="8" t="s">
        <v>33935</v>
      </c>
      <c r="O7684" s="8">
        <f>23+29/60+3.8/3600</f>
        <v>23.484388888888891</v>
      </c>
      <c r="P7684" s="8" t="s">
        <v>33939</v>
      </c>
      <c r="Q7684" s="8">
        <f>+(11+26/60+43/3600)</f>
        <v>11.445277777777777</v>
      </c>
      <c r="R7684" s="8">
        <v>12.5</v>
      </c>
      <c r="S7684" s="8">
        <v>13.6</v>
      </c>
      <c r="T7684" s="8">
        <v>1.1000000000000001</v>
      </c>
      <c r="U7684" s="8">
        <v>13</v>
      </c>
      <c r="V7684" s="8">
        <v>1.9</v>
      </c>
      <c r="W7684" s="8">
        <v>0.9</v>
      </c>
      <c r="X7684" s="8">
        <v>140</v>
      </c>
      <c r="Y7684" s="8" t="s">
        <v>33940</v>
      </c>
      <c r="Z7684" s="8" t="s">
        <v>33941</v>
      </c>
    </row>
    <row r="7685" spans="1:26" x14ac:dyDescent="0.2">
      <c r="A7685" s="8">
        <v>7684</v>
      </c>
      <c r="B7685" s="8" t="s">
        <v>33942</v>
      </c>
      <c r="C7685" s="8" t="s">
        <v>33942</v>
      </c>
      <c r="F7685" s="47"/>
      <c r="G7685" s="8">
        <v>18</v>
      </c>
      <c r="H7685" s="8" t="s">
        <v>21</v>
      </c>
      <c r="I7685" s="8" t="s">
        <v>22</v>
      </c>
      <c r="J7685" s="8" t="s">
        <v>22</v>
      </c>
      <c r="K7685" s="8" t="s">
        <v>632</v>
      </c>
      <c r="L7685" s="8" t="s">
        <v>38</v>
      </c>
      <c r="M7685" s="8" t="s">
        <v>39</v>
      </c>
      <c r="N7685" s="8" t="s">
        <v>33943</v>
      </c>
      <c r="O7685" s="8">
        <f>23+30/60+32/3600</f>
        <v>23.50888888888889</v>
      </c>
      <c r="P7685" s="8" t="s">
        <v>33944</v>
      </c>
      <c r="Q7685" s="8">
        <f>+(0+4/60+53/3600)</f>
        <v>8.1388888888888886E-2</v>
      </c>
      <c r="R7685" s="8">
        <v>13.6</v>
      </c>
      <c r="S7685" s="8">
        <v>14.5</v>
      </c>
      <c r="T7685" s="8">
        <v>0.9</v>
      </c>
      <c r="U7685" s="8">
        <v>12.8</v>
      </c>
      <c r="V7685" s="8">
        <v>1.5</v>
      </c>
      <c r="W7685" s="8">
        <v>0.4</v>
      </c>
      <c r="X7685" s="8">
        <v>21</v>
      </c>
      <c r="Y7685" s="8" t="s">
        <v>256</v>
      </c>
      <c r="Z7685" s="8" t="s">
        <v>257</v>
      </c>
    </row>
    <row r="7686" spans="1:26" x14ac:dyDescent="0.2">
      <c r="A7686" s="8">
        <v>7685</v>
      </c>
      <c r="B7686" s="8" t="s">
        <v>33945</v>
      </c>
      <c r="C7686" s="8" t="s">
        <v>33945</v>
      </c>
      <c r="F7686" s="47" t="s">
        <v>58406</v>
      </c>
      <c r="G7686" s="8">
        <v>15</v>
      </c>
      <c r="H7686" s="8" t="s">
        <v>21</v>
      </c>
      <c r="I7686" s="8" t="s">
        <v>22</v>
      </c>
      <c r="J7686" s="8" t="s">
        <v>22</v>
      </c>
      <c r="K7686" s="8" t="s">
        <v>64</v>
      </c>
      <c r="L7686" s="8" t="s">
        <v>38</v>
      </c>
      <c r="M7686" s="8" t="s">
        <v>39</v>
      </c>
      <c r="N7686" s="8" t="s">
        <v>33946</v>
      </c>
      <c r="O7686" s="8">
        <f>23+30/60+33.3/3600</f>
        <v>23.509250000000002</v>
      </c>
      <c r="P7686" s="8" t="s">
        <v>33947</v>
      </c>
      <c r="Q7686" s="8">
        <f>+(3+54/60+6/3600)</f>
        <v>3.9016666666666664</v>
      </c>
      <c r="R7686" s="8">
        <v>13.2</v>
      </c>
      <c r="S7686" s="8">
        <v>13.8</v>
      </c>
      <c r="T7686" s="8">
        <v>0.6</v>
      </c>
      <c r="U7686" s="8">
        <v>14.1</v>
      </c>
      <c r="V7686" s="8">
        <v>1.9</v>
      </c>
      <c r="W7686" s="8">
        <v>1.5</v>
      </c>
      <c r="X7686" s="8">
        <v>170</v>
      </c>
      <c r="Y7686" s="8" t="s">
        <v>33948</v>
      </c>
      <c r="Z7686" s="8" t="s">
        <v>33949</v>
      </c>
    </row>
    <row r="7687" spans="1:26" x14ac:dyDescent="0.2">
      <c r="A7687" s="8">
        <v>7686</v>
      </c>
      <c r="B7687" s="8" t="s">
        <v>33950</v>
      </c>
      <c r="C7687" s="8" t="s">
        <v>33950</v>
      </c>
      <c r="F7687" s="47" t="s">
        <v>58407</v>
      </c>
      <c r="G7687" s="8">
        <v>5</v>
      </c>
      <c r="H7687" s="8" t="s">
        <v>21</v>
      </c>
      <c r="I7687" s="8" t="s">
        <v>557</v>
      </c>
      <c r="J7687" s="8" t="s">
        <v>557</v>
      </c>
      <c r="K7687" s="8" t="s">
        <v>600</v>
      </c>
      <c r="L7687" s="8" t="s">
        <v>51</v>
      </c>
      <c r="M7687" s="8" t="s">
        <v>52</v>
      </c>
      <c r="N7687" s="8" t="s">
        <v>33951</v>
      </c>
      <c r="O7687" s="8">
        <f>23+30/60+7.3/3600</f>
        <v>23.502027777777776</v>
      </c>
      <c r="P7687" s="8" t="s">
        <v>33952</v>
      </c>
      <c r="Q7687" s="8">
        <f>+(49+8/60+3/3600)</f>
        <v>49.134166666666665</v>
      </c>
      <c r="R7687" s="8">
        <v>5.6</v>
      </c>
      <c r="S7687" s="8">
        <v>99</v>
      </c>
      <c r="T7687" s="8">
        <v>99</v>
      </c>
      <c r="U7687" s="8">
        <v>99</v>
      </c>
      <c r="V7687" s="8">
        <v>15</v>
      </c>
      <c r="Y7687" s="8" t="s">
        <v>33953</v>
      </c>
      <c r="Z7687" s="8" t="s">
        <v>33954</v>
      </c>
    </row>
    <row r="7688" spans="1:26" x14ac:dyDescent="0.2">
      <c r="A7688" s="8">
        <v>7687</v>
      </c>
      <c r="B7688" s="8" t="s">
        <v>33955</v>
      </c>
      <c r="C7688" s="8" t="s">
        <v>33955</v>
      </c>
      <c r="F7688" s="47"/>
      <c r="G7688" s="8">
        <v>18</v>
      </c>
      <c r="H7688" s="8" t="s">
        <v>21</v>
      </c>
      <c r="I7688" s="8" t="s">
        <v>22</v>
      </c>
      <c r="J7688" s="8" t="s">
        <v>22</v>
      </c>
      <c r="K7688" s="8" t="s">
        <v>37</v>
      </c>
      <c r="L7688" s="8" t="s">
        <v>38</v>
      </c>
      <c r="M7688" s="8" t="s">
        <v>39</v>
      </c>
      <c r="N7688" s="8" t="s">
        <v>33956</v>
      </c>
      <c r="O7688" s="8">
        <f>23+30/60+54.4/3600</f>
        <v>23.515111111111111</v>
      </c>
      <c r="P7688" s="8" t="s">
        <v>33957</v>
      </c>
      <c r="Q7688" s="8">
        <f>+(3+32/60+50/3600)</f>
        <v>3.5472222222222221</v>
      </c>
      <c r="R7688" s="8">
        <v>13.4</v>
      </c>
      <c r="S7688" s="8">
        <v>14.4</v>
      </c>
      <c r="T7688" s="8">
        <v>1</v>
      </c>
      <c r="U7688" s="8">
        <v>13.6</v>
      </c>
      <c r="V7688" s="8">
        <v>1.3</v>
      </c>
      <c r="W7688" s="8">
        <v>1</v>
      </c>
      <c r="X7688" s="8">
        <v>75</v>
      </c>
      <c r="Y7688" s="8" t="s">
        <v>33958</v>
      </c>
      <c r="Z7688" s="8" t="s">
        <v>33959</v>
      </c>
    </row>
    <row r="7689" spans="1:26" x14ac:dyDescent="0.2">
      <c r="A7689" s="8">
        <v>7688</v>
      </c>
      <c r="B7689" s="8" t="s">
        <v>33960</v>
      </c>
      <c r="C7689" s="8" t="s">
        <v>33960</v>
      </c>
      <c r="F7689" s="47"/>
      <c r="G7689" s="8">
        <v>18</v>
      </c>
      <c r="H7689" s="8" t="s">
        <v>21</v>
      </c>
      <c r="I7689" s="8" t="s">
        <v>22</v>
      </c>
      <c r="J7689" s="8" t="s">
        <v>22</v>
      </c>
      <c r="K7689" s="8" t="s">
        <v>37</v>
      </c>
      <c r="L7689" s="8" t="s">
        <v>24</v>
      </c>
      <c r="M7689" s="8" t="s">
        <v>25</v>
      </c>
      <c r="N7689" s="8" t="s">
        <v>33961</v>
      </c>
      <c r="O7689" s="8">
        <f>23+31/60+5.4/3600</f>
        <v>23.518166666666666</v>
      </c>
      <c r="P7689" s="8" t="s">
        <v>33962</v>
      </c>
      <c r="Q7689" s="8">
        <f>+(21+24/60+43/3600)</f>
        <v>21.411944444444444</v>
      </c>
      <c r="R7689" s="8">
        <v>14</v>
      </c>
      <c r="S7689" s="8">
        <v>15</v>
      </c>
      <c r="T7689" s="8">
        <v>1</v>
      </c>
      <c r="U7689" s="8">
        <v>11.9</v>
      </c>
      <c r="V7689" s="8">
        <v>0.4</v>
      </c>
      <c r="W7689" s="8">
        <v>0.3</v>
      </c>
      <c r="X7689" s="8">
        <v>95</v>
      </c>
      <c r="Y7689" s="8" t="s">
        <v>33963</v>
      </c>
      <c r="Z7689" s="8" t="s">
        <v>33964</v>
      </c>
    </row>
    <row r="7690" spans="1:26" x14ac:dyDescent="0.2">
      <c r="A7690" s="8">
        <v>7689</v>
      </c>
      <c r="B7690" s="8" t="s">
        <v>33965</v>
      </c>
      <c r="C7690" s="8" t="s">
        <v>33965</v>
      </c>
      <c r="F7690" s="47"/>
      <c r="G7690" s="8">
        <v>13</v>
      </c>
      <c r="H7690" s="8" t="s">
        <v>21</v>
      </c>
      <c r="I7690" s="8" t="s">
        <v>22</v>
      </c>
      <c r="J7690" s="8" t="s">
        <v>22</v>
      </c>
      <c r="K7690" s="8" t="s">
        <v>64</v>
      </c>
      <c r="L7690" s="8" t="s">
        <v>166</v>
      </c>
      <c r="M7690" s="8" t="s">
        <v>167</v>
      </c>
      <c r="N7690" s="8" t="s">
        <v>33966</v>
      </c>
      <c r="O7690" s="8">
        <f>23+33/60+16.4/3600</f>
        <v>23.554555555555556</v>
      </c>
      <c r="P7690" s="8" t="s">
        <v>33967</v>
      </c>
      <c r="Q7690" s="8">
        <f>-(54+5/60+39/3600)</f>
        <v>-54.094166666666666</v>
      </c>
      <c r="R7690" s="8">
        <v>11.5</v>
      </c>
      <c r="S7690" s="8">
        <v>12.2</v>
      </c>
      <c r="T7690" s="8">
        <v>0.7</v>
      </c>
      <c r="U7690" s="8">
        <v>13.2</v>
      </c>
      <c r="V7690" s="8">
        <v>2.8</v>
      </c>
      <c r="W7690" s="8">
        <v>1.9</v>
      </c>
      <c r="X7690" s="8">
        <v>135</v>
      </c>
      <c r="Y7690" s="8" t="s">
        <v>2270</v>
      </c>
      <c r="Z7690" s="8" t="s">
        <v>2271</v>
      </c>
    </row>
    <row r="7691" spans="1:26" x14ac:dyDescent="0.2">
      <c r="A7691" s="8">
        <v>7690</v>
      </c>
      <c r="B7691" s="8" t="s">
        <v>33968</v>
      </c>
      <c r="C7691" s="8" t="s">
        <v>33968</v>
      </c>
      <c r="F7691" s="47"/>
      <c r="G7691" s="8">
        <v>13</v>
      </c>
      <c r="H7691" s="8" t="s">
        <v>21</v>
      </c>
      <c r="I7691" s="8" t="s">
        <v>22</v>
      </c>
      <c r="J7691" s="8" t="s">
        <v>22</v>
      </c>
      <c r="K7691" s="8" t="s">
        <v>23</v>
      </c>
      <c r="L7691" s="8" t="s">
        <v>166</v>
      </c>
      <c r="M7691" s="8" t="s">
        <v>167</v>
      </c>
      <c r="N7691" s="8" t="s">
        <v>33969</v>
      </c>
      <c r="O7691" s="8">
        <f>23+33/60+2.4/3600</f>
        <v>23.550666666666668</v>
      </c>
      <c r="P7691" s="8" t="s">
        <v>33970</v>
      </c>
      <c r="Q7691" s="8">
        <f>-(51+41/60+54/3600)</f>
        <v>-51.698333333333331</v>
      </c>
      <c r="R7691" s="8">
        <v>12.4</v>
      </c>
      <c r="S7691" s="8">
        <v>13</v>
      </c>
      <c r="T7691" s="8">
        <v>0.6</v>
      </c>
      <c r="U7691" s="8">
        <v>12.9</v>
      </c>
      <c r="V7691" s="8">
        <v>2.1</v>
      </c>
      <c r="W7691" s="8">
        <v>0.8</v>
      </c>
      <c r="X7691" s="8">
        <v>132</v>
      </c>
      <c r="Y7691" s="8" t="s">
        <v>33971</v>
      </c>
      <c r="Z7691" s="8" t="s">
        <v>33972</v>
      </c>
    </row>
    <row r="7692" spans="1:26" x14ac:dyDescent="0.2">
      <c r="A7692" s="8">
        <v>7691</v>
      </c>
      <c r="B7692" s="8" t="s">
        <v>33973</v>
      </c>
      <c r="C7692" s="8" t="s">
        <v>33973</v>
      </c>
      <c r="F7692" s="47" t="s">
        <v>58408</v>
      </c>
      <c r="G7692" s="8">
        <v>15</v>
      </c>
      <c r="H7692" s="8" t="s">
        <v>21</v>
      </c>
      <c r="I7692" s="8" t="s">
        <v>22</v>
      </c>
      <c r="J7692" s="8" t="s">
        <v>22</v>
      </c>
      <c r="K7692" s="8" t="s">
        <v>85</v>
      </c>
      <c r="L7692" s="8" t="s">
        <v>24</v>
      </c>
      <c r="M7692" s="8" t="s">
        <v>25</v>
      </c>
      <c r="N7692" s="8" t="s">
        <v>33974</v>
      </c>
      <c r="O7692" s="8">
        <f>23+32/60+24.6/3600</f>
        <v>23.540166666666668</v>
      </c>
      <c r="P7692" s="8" t="s">
        <v>33975</v>
      </c>
      <c r="Q7692" s="8">
        <f>+(15+50/60+56/3600)</f>
        <v>15.84888888888889</v>
      </c>
      <c r="R7692" s="8">
        <v>12.9</v>
      </c>
      <c r="S7692" s="8">
        <v>13.7</v>
      </c>
      <c r="T7692" s="8">
        <v>0.8</v>
      </c>
      <c r="U7692" s="8">
        <v>14.1</v>
      </c>
      <c r="V7692" s="8">
        <v>2.1</v>
      </c>
      <c r="W7692" s="8">
        <v>1.6</v>
      </c>
      <c r="X7692" s="8">
        <v>175</v>
      </c>
      <c r="Y7692" s="8" t="s">
        <v>33976</v>
      </c>
      <c r="Z7692" s="8" t="s">
        <v>33977</v>
      </c>
    </row>
    <row r="7693" spans="1:26" x14ac:dyDescent="0.2">
      <c r="A7693" s="8">
        <v>7692</v>
      </c>
      <c r="B7693" s="8" t="s">
        <v>33978</v>
      </c>
      <c r="C7693" s="8" t="s">
        <v>33978</v>
      </c>
      <c r="F7693" s="47"/>
      <c r="G7693" s="8">
        <v>18</v>
      </c>
      <c r="H7693" s="8" t="s">
        <v>21</v>
      </c>
      <c r="I7693" s="8" t="s">
        <v>22</v>
      </c>
      <c r="J7693" s="8" t="s">
        <v>22</v>
      </c>
      <c r="K7693" s="8" t="s">
        <v>4219</v>
      </c>
      <c r="L7693" s="8" t="s">
        <v>30854</v>
      </c>
      <c r="M7693" s="8" t="s">
        <v>30855</v>
      </c>
      <c r="N7693" s="8" t="s">
        <v>33979</v>
      </c>
      <c r="O7693" s="8">
        <f>23+32/60+46.7/3600</f>
        <v>23.546305555555556</v>
      </c>
      <c r="P7693" s="8" t="s">
        <v>33980</v>
      </c>
      <c r="Q7693" s="8">
        <f>-(5+35/60+46/3600)</f>
        <v>-5.596111111111111</v>
      </c>
      <c r="R7693" s="8">
        <v>14.8</v>
      </c>
      <c r="S7693" s="8">
        <v>15.4</v>
      </c>
      <c r="T7693" s="8">
        <v>0.6</v>
      </c>
      <c r="U7693" s="8">
        <v>12.9</v>
      </c>
      <c r="V7693" s="8">
        <v>0.5</v>
      </c>
      <c r="W7693" s="8">
        <v>0.4</v>
      </c>
      <c r="X7693" s="8">
        <v>100</v>
      </c>
      <c r="Y7693" s="8" t="s">
        <v>33981</v>
      </c>
      <c r="Z7693" s="8" t="s">
        <v>33982</v>
      </c>
    </row>
    <row r="7694" spans="1:26" x14ac:dyDescent="0.2">
      <c r="A7694" s="8">
        <v>7693</v>
      </c>
      <c r="B7694" s="8" t="s">
        <v>33983</v>
      </c>
      <c r="C7694" s="8" t="s">
        <v>33983</v>
      </c>
      <c r="F7694" s="47"/>
      <c r="G7694" s="8">
        <v>19</v>
      </c>
      <c r="H7694" s="8" t="s">
        <v>21</v>
      </c>
      <c r="I7694" s="8" t="s">
        <v>22</v>
      </c>
      <c r="J7694" s="8" t="s">
        <v>22</v>
      </c>
      <c r="K7694" s="8" t="s">
        <v>632</v>
      </c>
      <c r="L7694" s="8" t="s">
        <v>38</v>
      </c>
      <c r="M7694" s="8" t="s">
        <v>39</v>
      </c>
      <c r="N7694" s="8" t="s">
        <v>33984</v>
      </c>
      <c r="O7694" s="8">
        <f>23+33/60+10.4/3600</f>
        <v>23.552888888888891</v>
      </c>
      <c r="P7694" s="8" t="s">
        <v>33985</v>
      </c>
      <c r="Q7694" s="8">
        <f>-(1+17/60+29/3600)</f>
        <v>-1.2913888888888887</v>
      </c>
      <c r="R7694" s="8">
        <v>13.4</v>
      </c>
      <c r="S7694" s="8">
        <v>14.3</v>
      </c>
      <c r="T7694" s="8">
        <v>0.9</v>
      </c>
      <c r="U7694" s="8">
        <v>13.2</v>
      </c>
      <c r="V7694" s="8">
        <v>1.2</v>
      </c>
      <c r="W7694" s="8">
        <v>0.8</v>
      </c>
      <c r="X7694" s="8">
        <v>156</v>
      </c>
      <c r="Y7694" s="8" t="s">
        <v>33986</v>
      </c>
      <c r="Z7694" s="8" t="s">
        <v>33987</v>
      </c>
    </row>
    <row r="7695" spans="1:26" x14ac:dyDescent="0.2">
      <c r="A7695" s="8">
        <v>7694</v>
      </c>
      <c r="B7695" s="8" t="s">
        <v>33988</v>
      </c>
      <c r="C7695" s="8" t="s">
        <v>33988</v>
      </c>
      <c r="F7695" s="47" t="s">
        <v>58409</v>
      </c>
      <c r="G7695" s="8">
        <v>15</v>
      </c>
      <c r="H7695" s="8" t="s">
        <v>21</v>
      </c>
      <c r="I7695" s="8" t="s">
        <v>22</v>
      </c>
      <c r="J7695" s="8" t="s">
        <v>22</v>
      </c>
      <c r="K7695" s="8" t="s">
        <v>3616</v>
      </c>
      <c r="L7695" s="8" t="s">
        <v>38</v>
      </c>
      <c r="M7695" s="8" t="s">
        <v>39</v>
      </c>
      <c r="N7695" s="8" t="s">
        <v>33989</v>
      </c>
      <c r="O7695" s="8">
        <f>23+33/60+16.1/3600</f>
        <v>23.554472222222223</v>
      </c>
      <c r="P7695" s="8" t="s">
        <v>33990</v>
      </c>
      <c r="Q7695" s="8">
        <f>-(2+42/60+13/3600)</f>
        <v>-2.7036111111111114</v>
      </c>
      <c r="R7695" s="8">
        <v>13.4</v>
      </c>
      <c r="S7695" s="8">
        <v>14</v>
      </c>
      <c r="T7695" s="8">
        <v>0.6</v>
      </c>
      <c r="U7695" s="8">
        <v>13.6</v>
      </c>
      <c r="V7695" s="8">
        <v>1.6</v>
      </c>
      <c r="W7695" s="8">
        <v>0.9</v>
      </c>
      <c r="X7695" s="8">
        <v>85</v>
      </c>
      <c r="Y7695" s="8" t="s">
        <v>33991</v>
      </c>
      <c r="Z7695" s="8" t="s">
        <v>33992</v>
      </c>
    </row>
    <row r="7696" spans="1:26" x14ac:dyDescent="0.2">
      <c r="A7696" s="8">
        <v>7695</v>
      </c>
      <c r="B7696" s="8" t="s">
        <v>33993</v>
      </c>
      <c r="C7696" s="8" t="s">
        <v>33993</v>
      </c>
      <c r="F7696" s="47"/>
      <c r="G7696" s="8">
        <v>18</v>
      </c>
      <c r="H7696" s="8" t="s">
        <v>21</v>
      </c>
      <c r="I7696" s="8" t="s">
        <v>22</v>
      </c>
      <c r="J7696" s="8" t="s">
        <v>22</v>
      </c>
      <c r="K7696" s="8" t="s">
        <v>37</v>
      </c>
      <c r="L7696" s="8" t="s">
        <v>38</v>
      </c>
      <c r="M7696" s="8" t="s">
        <v>39</v>
      </c>
      <c r="N7696" s="8" t="s">
        <v>33994</v>
      </c>
      <c r="O7696" s="8">
        <f>23+33/60+14.9/3600</f>
        <v>23.55413888888889</v>
      </c>
      <c r="P7696" s="8" t="s">
        <v>33995</v>
      </c>
      <c r="Q7696" s="8">
        <f>-(2+43/60+11/3600)</f>
        <v>-2.7197222222222224</v>
      </c>
      <c r="R7696" s="8">
        <v>15.1</v>
      </c>
      <c r="S7696" s="8">
        <v>16.100000000000001</v>
      </c>
      <c r="T7696" s="8">
        <v>1</v>
      </c>
      <c r="U7696" s="8">
        <v>13.1</v>
      </c>
      <c r="V7696" s="8">
        <v>0.6</v>
      </c>
      <c r="W7696" s="8">
        <v>0.3</v>
      </c>
      <c r="X7696" s="8">
        <v>81</v>
      </c>
      <c r="Y7696" s="8" t="s">
        <v>33996</v>
      </c>
      <c r="Z7696" s="8" t="s">
        <v>33997</v>
      </c>
    </row>
    <row r="7697" spans="1:26" x14ac:dyDescent="0.2">
      <c r="A7697" s="8">
        <v>7696</v>
      </c>
      <c r="B7697" s="8" t="s">
        <v>33998</v>
      </c>
      <c r="C7697" s="8" t="s">
        <v>33998</v>
      </c>
      <c r="F7697" s="47"/>
      <c r="G7697" s="8">
        <v>18</v>
      </c>
      <c r="H7697" s="8" t="s">
        <v>21</v>
      </c>
      <c r="I7697" s="8" t="s">
        <v>22</v>
      </c>
      <c r="J7697" s="8" t="s">
        <v>22</v>
      </c>
      <c r="K7697" s="8" t="s">
        <v>449</v>
      </c>
      <c r="L7697" s="8" t="s">
        <v>38</v>
      </c>
      <c r="M7697" s="8" t="s">
        <v>39</v>
      </c>
      <c r="N7697" s="8" t="s">
        <v>33999</v>
      </c>
      <c r="O7697" s="8">
        <f>23+33/60+50.2/3600</f>
        <v>23.563944444444445</v>
      </c>
      <c r="P7697" s="8" t="s">
        <v>34000</v>
      </c>
      <c r="Q7697" s="8">
        <f>+(4+52/60+17/3600)</f>
        <v>4.8713888888888892</v>
      </c>
      <c r="R7697" s="8">
        <v>13.9</v>
      </c>
      <c r="S7697" s="8">
        <v>14.7</v>
      </c>
      <c r="T7697" s="8">
        <v>0.8</v>
      </c>
      <c r="U7697" s="8">
        <v>13.5</v>
      </c>
      <c r="V7697" s="8">
        <v>1.3</v>
      </c>
      <c r="W7697" s="8">
        <v>0.6</v>
      </c>
      <c r="X7697" s="8">
        <v>96</v>
      </c>
      <c r="Y7697" s="8" t="s">
        <v>3253</v>
      </c>
      <c r="Z7697" s="8" t="s">
        <v>3254</v>
      </c>
    </row>
    <row r="7698" spans="1:26" x14ac:dyDescent="0.2">
      <c r="A7698" s="8">
        <v>7697</v>
      </c>
      <c r="B7698" s="8" t="s">
        <v>34001</v>
      </c>
      <c r="C7698" s="8" t="s">
        <v>34001</v>
      </c>
      <c r="F7698" s="47"/>
      <c r="G7698" s="8">
        <v>16</v>
      </c>
      <c r="H7698" s="8" t="s">
        <v>21</v>
      </c>
      <c r="I7698" s="8" t="s">
        <v>22</v>
      </c>
      <c r="J7698" s="8" t="s">
        <v>22</v>
      </c>
      <c r="K7698" s="8" t="s">
        <v>23</v>
      </c>
      <c r="L7698" s="8" t="s">
        <v>310</v>
      </c>
      <c r="M7698" s="8" t="s">
        <v>311</v>
      </c>
      <c r="N7698" s="8" t="s">
        <v>34002</v>
      </c>
      <c r="O7698" s="8">
        <f>23+34/60+52.3/3600</f>
        <v>23.581194444444446</v>
      </c>
      <c r="P7698" s="8" t="s">
        <v>34003</v>
      </c>
      <c r="Q7698" s="8">
        <f>-(65+23/60+46/3600)</f>
        <v>-65.396111111111111</v>
      </c>
      <c r="R7698" s="8">
        <v>13.5</v>
      </c>
      <c r="S7698" s="8">
        <v>14.3</v>
      </c>
      <c r="T7698" s="8">
        <v>0.8</v>
      </c>
      <c r="U7698" s="8">
        <v>12.6</v>
      </c>
      <c r="V7698" s="8">
        <v>1.6</v>
      </c>
      <c r="W7698" s="8">
        <v>0.3</v>
      </c>
      <c r="X7698" s="8">
        <v>87</v>
      </c>
      <c r="Y7698" s="8" t="s">
        <v>34004</v>
      </c>
      <c r="Z7698" s="8" t="s">
        <v>34005</v>
      </c>
    </row>
    <row r="7699" spans="1:26" x14ac:dyDescent="0.2">
      <c r="A7699" s="8">
        <v>7698</v>
      </c>
      <c r="B7699" s="8" t="s">
        <v>34006</v>
      </c>
      <c r="C7699" s="8" t="s">
        <v>34006</v>
      </c>
      <c r="F7699" s="47"/>
      <c r="G7699" s="8">
        <v>19</v>
      </c>
      <c r="H7699" s="8" t="s">
        <v>21</v>
      </c>
      <c r="I7699" s="8" t="s">
        <v>22</v>
      </c>
      <c r="J7699" s="8" t="s">
        <v>22</v>
      </c>
      <c r="K7699" s="8" t="s">
        <v>37</v>
      </c>
      <c r="L7699" s="8" t="s">
        <v>24</v>
      </c>
      <c r="M7699" s="8" t="s">
        <v>25</v>
      </c>
      <c r="N7699" s="8" t="s">
        <v>34007</v>
      </c>
      <c r="O7699" s="8">
        <f>23+34/60+1.5/3600</f>
        <v>23.567083333333333</v>
      </c>
      <c r="P7699" s="8" t="s">
        <v>34008</v>
      </c>
      <c r="Q7699" s="8">
        <f>+(24+56/60+43/3600)</f>
        <v>24.945277777777779</v>
      </c>
      <c r="R7699" s="8">
        <v>13.3</v>
      </c>
      <c r="S7699" s="8">
        <v>14.3</v>
      </c>
      <c r="T7699" s="8">
        <v>1</v>
      </c>
      <c r="U7699" s="8">
        <v>13</v>
      </c>
      <c r="V7699" s="8">
        <v>1</v>
      </c>
      <c r="W7699" s="8">
        <v>0.8</v>
      </c>
      <c r="X7699" s="8">
        <v>170</v>
      </c>
      <c r="Y7699" s="8" t="s">
        <v>34009</v>
      </c>
      <c r="Z7699" s="8" t="s">
        <v>34010</v>
      </c>
    </row>
    <row r="7700" spans="1:26" x14ac:dyDescent="0.2">
      <c r="A7700" s="8">
        <v>7699</v>
      </c>
      <c r="B7700" s="8" t="s">
        <v>34011</v>
      </c>
      <c r="C7700" s="8" t="s">
        <v>34011</v>
      </c>
      <c r="F7700" s="47"/>
      <c r="G7700" s="8">
        <v>18</v>
      </c>
      <c r="H7700" s="8" t="s">
        <v>21</v>
      </c>
      <c r="I7700" s="8" t="s">
        <v>22</v>
      </c>
      <c r="J7700" s="8" t="s">
        <v>22</v>
      </c>
      <c r="K7700" s="8" t="s">
        <v>91</v>
      </c>
      <c r="L7700" s="8" t="s">
        <v>38</v>
      </c>
      <c r="M7700" s="8" t="s">
        <v>39</v>
      </c>
      <c r="N7700" s="8" t="s">
        <v>34012</v>
      </c>
      <c r="O7700" s="8">
        <f>23+34/60+27/3600</f>
        <v>23.574166666666667</v>
      </c>
      <c r="P7700" s="8" t="s">
        <v>34013</v>
      </c>
      <c r="Q7700" s="8">
        <f>-(2+54/60+0/3600)</f>
        <v>-2.9</v>
      </c>
      <c r="R7700" s="8">
        <v>15</v>
      </c>
      <c r="S7700" s="8">
        <v>15.9</v>
      </c>
      <c r="T7700" s="8">
        <v>0.9</v>
      </c>
      <c r="U7700" s="8">
        <v>13</v>
      </c>
      <c r="V7700" s="8">
        <v>0.6</v>
      </c>
      <c r="W7700" s="8">
        <v>0.3</v>
      </c>
      <c r="X7700" s="8">
        <v>109</v>
      </c>
      <c r="Y7700" s="8" t="s">
        <v>266</v>
      </c>
      <c r="Z7700" s="8" t="s">
        <v>267</v>
      </c>
    </row>
    <row r="7701" spans="1:26" x14ac:dyDescent="0.2">
      <c r="A7701" s="8">
        <v>7700</v>
      </c>
      <c r="B7701" s="8" t="s">
        <v>34014</v>
      </c>
      <c r="C7701" s="8" t="s">
        <v>34014</v>
      </c>
      <c r="F7701" s="47"/>
      <c r="G7701" s="8">
        <v>18</v>
      </c>
      <c r="H7701" s="8" t="s">
        <v>21</v>
      </c>
      <c r="I7701" s="8" t="s">
        <v>22</v>
      </c>
      <c r="J7701" s="8" t="s">
        <v>22</v>
      </c>
      <c r="K7701" s="8" t="s">
        <v>632</v>
      </c>
      <c r="L7701" s="8" t="s">
        <v>38</v>
      </c>
      <c r="M7701" s="8" t="s">
        <v>39</v>
      </c>
      <c r="N7701" s="8" t="s">
        <v>34015</v>
      </c>
      <c r="O7701" s="8">
        <f>23+34/60+30.2/3600</f>
        <v>23.575055555555554</v>
      </c>
      <c r="P7701" s="8" t="s">
        <v>34016</v>
      </c>
      <c r="Q7701" s="8">
        <f>-(2+57/60+12/3600)</f>
        <v>-2.9533333333333336</v>
      </c>
      <c r="R7701" s="8">
        <v>13.3</v>
      </c>
      <c r="S7701" s="8">
        <v>14.2</v>
      </c>
      <c r="T7701" s="8">
        <v>0.9</v>
      </c>
      <c r="U7701" s="8">
        <v>13.4</v>
      </c>
      <c r="V7701" s="8">
        <v>1.3</v>
      </c>
      <c r="W7701" s="8">
        <v>1</v>
      </c>
      <c r="X7701" s="8">
        <v>154</v>
      </c>
      <c r="Y7701" s="8" t="s">
        <v>4787</v>
      </c>
      <c r="Z7701" s="8" t="s">
        <v>2313</v>
      </c>
    </row>
    <row r="7702" spans="1:26" x14ac:dyDescent="0.2">
      <c r="A7702" s="8">
        <v>7701</v>
      </c>
      <c r="B7702" s="8" t="s">
        <v>34017</v>
      </c>
      <c r="C7702" s="8" t="s">
        <v>34017</v>
      </c>
      <c r="F7702" s="47" t="s">
        <v>58410</v>
      </c>
      <c r="G7702" s="8">
        <v>15</v>
      </c>
      <c r="H7702" s="8" t="s">
        <v>21</v>
      </c>
      <c r="I7702" s="8" t="s">
        <v>22</v>
      </c>
      <c r="J7702" s="8" t="s">
        <v>22</v>
      </c>
      <c r="K7702" s="8" t="s">
        <v>23</v>
      </c>
      <c r="L7702" s="8" t="s">
        <v>38</v>
      </c>
      <c r="M7702" s="8" t="s">
        <v>39</v>
      </c>
      <c r="N7702" s="8" t="s">
        <v>34018</v>
      </c>
      <c r="O7702" s="8">
        <f>23+34/60+31.5/3600</f>
        <v>23.575416666666666</v>
      </c>
      <c r="P7702" s="8" t="s">
        <v>34019</v>
      </c>
      <c r="Q7702" s="8">
        <f>-(2+51/60+18/3600)</f>
        <v>-2.855</v>
      </c>
      <c r="R7702" s="8">
        <v>13.8</v>
      </c>
      <c r="S7702" s="8">
        <v>14.6</v>
      </c>
      <c r="T7702" s="8">
        <v>0.8</v>
      </c>
      <c r="U7702" s="8">
        <v>13.2</v>
      </c>
      <c r="V7702" s="8">
        <v>1.6</v>
      </c>
      <c r="W7702" s="8">
        <v>0.4</v>
      </c>
      <c r="X7702" s="8">
        <v>155</v>
      </c>
      <c r="Y7702" s="8" t="s">
        <v>34020</v>
      </c>
      <c r="Z7702" s="8" t="s">
        <v>34021</v>
      </c>
    </row>
    <row r="7703" spans="1:26" x14ac:dyDescent="0.2">
      <c r="A7703" s="8">
        <v>7702</v>
      </c>
      <c r="B7703" s="8" t="s">
        <v>34022</v>
      </c>
      <c r="C7703" s="8" t="s">
        <v>34022</v>
      </c>
      <c r="F7703" s="47"/>
      <c r="G7703" s="8">
        <v>13</v>
      </c>
      <c r="H7703" s="8" t="s">
        <v>21</v>
      </c>
      <c r="I7703" s="8" t="s">
        <v>22</v>
      </c>
      <c r="J7703" s="8" t="s">
        <v>22</v>
      </c>
      <c r="K7703" s="8" t="s">
        <v>37</v>
      </c>
      <c r="L7703" s="8" t="s">
        <v>166</v>
      </c>
      <c r="M7703" s="8" t="s">
        <v>167</v>
      </c>
      <c r="N7703" s="8" t="s">
        <v>34023</v>
      </c>
      <c r="O7703" s="8">
        <f>23+35/60+28.8/3600</f>
        <v>23.591333333333331</v>
      </c>
      <c r="P7703" s="8" t="s">
        <v>34024</v>
      </c>
      <c r="Q7703" s="8">
        <f>-(56+0/60+43/3600)</f>
        <v>-56.011944444444445</v>
      </c>
      <c r="R7703" s="8">
        <v>12.2</v>
      </c>
      <c r="S7703" s="8">
        <v>13.1</v>
      </c>
      <c r="T7703" s="8">
        <v>0.9</v>
      </c>
      <c r="U7703" s="8">
        <v>13.1</v>
      </c>
      <c r="V7703" s="8">
        <v>2.1</v>
      </c>
      <c r="W7703" s="8">
        <v>1.2</v>
      </c>
      <c r="X7703" s="8">
        <v>117</v>
      </c>
      <c r="Y7703" s="8" t="s">
        <v>34025</v>
      </c>
      <c r="Z7703" s="8" t="s">
        <v>34026</v>
      </c>
    </row>
    <row r="7704" spans="1:26" x14ac:dyDescent="0.2">
      <c r="A7704" s="8">
        <v>7703</v>
      </c>
      <c r="B7704" s="8" t="s">
        <v>34027</v>
      </c>
      <c r="C7704" s="8" t="s">
        <v>34027</v>
      </c>
      <c r="F7704" s="47"/>
      <c r="G7704" s="8">
        <v>16</v>
      </c>
      <c r="H7704" s="8" t="s">
        <v>21</v>
      </c>
      <c r="I7704" s="8" t="s">
        <v>22</v>
      </c>
      <c r="J7704" s="8" t="s">
        <v>22</v>
      </c>
      <c r="K7704" s="8" t="s">
        <v>37</v>
      </c>
      <c r="L7704" s="8" t="s">
        <v>24</v>
      </c>
      <c r="M7704" s="8" t="s">
        <v>25</v>
      </c>
      <c r="N7704" s="8" t="s">
        <v>34028</v>
      </c>
      <c r="O7704" s="8">
        <f>23+34/60+46.8/3600</f>
        <v>23.579666666666668</v>
      </c>
      <c r="P7704" s="8" t="s">
        <v>34029</v>
      </c>
      <c r="Q7704" s="8">
        <f>+(16+4/60+33/3600)</f>
        <v>16.075833333333332</v>
      </c>
      <c r="R7704" s="8">
        <v>13.4</v>
      </c>
      <c r="S7704" s="8">
        <v>14.4</v>
      </c>
      <c r="T7704" s="8">
        <v>1</v>
      </c>
      <c r="U7704" s="8">
        <v>13.4</v>
      </c>
      <c r="V7704" s="8">
        <v>2.2000000000000002</v>
      </c>
      <c r="W7704" s="8">
        <v>0.5</v>
      </c>
      <c r="X7704" s="8">
        <v>147</v>
      </c>
      <c r="Y7704" s="8" t="s">
        <v>34030</v>
      </c>
      <c r="Z7704" s="8" t="s">
        <v>34031</v>
      </c>
    </row>
    <row r="7705" spans="1:26" x14ac:dyDescent="0.2">
      <c r="A7705" s="8">
        <v>7704</v>
      </c>
      <c r="B7705" s="8" t="s">
        <v>34032</v>
      </c>
      <c r="C7705" s="8" t="s">
        <v>34032</v>
      </c>
      <c r="F7705" s="47"/>
      <c r="G7705" s="8">
        <v>16</v>
      </c>
      <c r="H7705" s="8" t="s">
        <v>21</v>
      </c>
      <c r="I7705" s="8" t="s">
        <v>22</v>
      </c>
      <c r="J7705" s="8" t="s">
        <v>22</v>
      </c>
      <c r="K7705" s="8" t="s">
        <v>58</v>
      </c>
      <c r="L7705" s="8" t="s">
        <v>38</v>
      </c>
      <c r="M7705" s="8" t="s">
        <v>39</v>
      </c>
      <c r="N7705" s="8" t="s">
        <v>34033</v>
      </c>
      <c r="O7705" s="8">
        <f>23+35/60+0.9/3600</f>
        <v>23.583583333333333</v>
      </c>
      <c r="P7705" s="8" t="s">
        <v>34034</v>
      </c>
      <c r="Q7705" s="8">
        <f>+(4+53/60+53/3600)</f>
        <v>4.8980555555555547</v>
      </c>
      <c r="R7705" s="8">
        <v>13.4</v>
      </c>
      <c r="S7705" s="8">
        <v>14.4</v>
      </c>
      <c r="T7705" s="8">
        <v>1</v>
      </c>
      <c r="U7705" s="8">
        <v>13.3</v>
      </c>
      <c r="V7705" s="8">
        <v>1.1000000000000001</v>
      </c>
      <c r="W7705" s="8">
        <v>0.9</v>
      </c>
      <c r="X7705" s="8">
        <v>67</v>
      </c>
      <c r="Y7705" s="8" t="s">
        <v>34035</v>
      </c>
      <c r="Z7705" s="8" t="s">
        <v>34036</v>
      </c>
    </row>
    <row r="7706" spans="1:26" x14ac:dyDescent="0.2">
      <c r="A7706" s="8">
        <v>7705</v>
      </c>
      <c r="B7706" s="8" t="s">
        <v>34037</v>
      </c>
      <c r="C7706" s="8" t="s">
        <v>34037</v>
      </c>
      <c r="F7706" s="47"/>
      <c r="G7706" s="8">
        <v>18</v>
      </c>
      <c r="H7706" s="8" t="s">
        <v>21</v>
      </c>
      <c r="I7706" s="8" t="s">
        <v>22</v>
      </c>
      <c r="J7706" s="8" t="s">
        <v>22</v>
      </c>
      <c r="K7706" s="8" t="s">
        <v>224</v>
      </c>
      <c r="L7706" s="8" t="s">
        <v>38</v>
      </c>
      <c r="M7706" s="8" t="s">
        <v>39</v>
      </c>
      <c r="N7706" s="8" t="s">
        <v>34038</v>
      </c>
      <c r="O7706" s="8">
        <f>23+35/60+2.4/3600</f>
        <v>23.584</v>
      </c>
      <c r="P7706" s="8" t="s">
        <v>34039</v>
      </c>
      <c r="Q7706" s="8">
        <f>+(4+48/60+16/3600)</f>
        <v>4.8044444444444441</v>
      </c>
      <c r="R7706" s="8">
        <v>14.4</v>
      </c>
      <c r="S7706" s="8">
        <v>15.4</v>
      </c>
      <c r="T7706" s="8">
        <v>1</v>
      </c>
      <c r="U7706" s="8">
        <v>13</v>
      </c>
      <c r="V7706" s="8">
        <v>0.6</v>
      </c>
      <c r="W7706" s="8">
        <v>0.5</v>
      </c>
      <c r="X7706" s="8">
        <v>30</v>
      </c>
      <c r="Y7706" s="8" t="s">
        <v>47</v>
      </c>
      <c r="Z7706" s="8" t="s">
        <v>48</v>
      </c>
    </row>
    <row r="7707" spans="1:26" x14ac:dyDescent="0.2">
      <c r="A7707" s="8">
        <v>7706</v>
      </c>
      <c r="B7707" s="8" t="s">
        <v>34040</v>
      </c>
      <c r="C7707" s="8" t="s">
        <v>34040</v>
      </c>
      <c r="F7707" s="47"/>
      <c r="G7707" s="8">
        <v>16</v>
      </c>
      <c r="H7707" s="8" t="s">
        <v>21</v>
      </c>
      <c r="I7707" s="8" t="s">
        <v>22</v>
      </c>
      <c r="J7707" s="8" t="s">
        <v>22</v>
      </c>
      <c r="K7707" s="8" t="s">
        <v>37</v>
      </c>
      <c r="L7707" s="8" t="s">
        <v>38</v>
      </c>
      <c r="M7707" s="8" t="s">
        <v>39</v>
      </c>
      <c r="N7707" s="8" t="s">
        <v>34041</v>
      </c>
      <c r="O7707" s="8">
        <f>23+35/60+10.4/3600</f>
        <v>23.586222222222222</v>
      </c>
      <c r="P7707" s="8" t="s">
        <v>34042</v>
      </c>
      <c r="Q7707" s="8">
        <f>+(4+57/60+53/3600)</f>
        <v>4.964722222222222</v>
      </c>
      <c r="R7707" s="8">
        <v>13.2</v>
      </c>
      <c r="S7707" s="8">
        <v>14.2</v>
      </c>
      <c r="T7707" s="8">
        <v>1</v>
      </c>
      <c r="U7707" s="8">
        <v>13.1</v>
      </c>
      <c r="V7707" s="8">
        <v>1.2</v>
      </c>
      <c r="W7707" s="8">
        <v>1</v>
      </c>
      <c r="X7707" s="8">
        <v>120</v>
      </c>
      <c r="Y7707" s="8" t="s">
        <v>34043</v>
      </c>
      <c r="Z7707" s="8" t="s">
        <v>34044</v>
      </c>
    </row>
    <row r="7708" spans="1:26" x14ac:dyDescent="0.2">
      <c r="A7708" s="8">
        <v>7707</v>
      </c>
      <c r="B7708" s="8" t="s">
        <v>34045</v>
      </c>
      <c r="C7708" s="8" t="s">
        <v>34045</v>
      </c>
      <c r="F7708" s="47" t="s">
        <v>58411</v>
      </c>
      <c r="G7708" s="8">
        <v>15</v>
      </c>
      <c r="H7708" s="8" t="s">
        <v>21</v>
      </c>
      <c r="I7708" s="8" t="s">
        <v>22</v>
      </c>
      <c r="J7708" s="8" t="s">
        <v>22</v>
      </c>
      <c r="K7708" s="8" t="s">
        <v>58</v>
      </c>
      <c r="L7708" s="8" t="s">
        <v>51</v>
      </c>
      <c r="M7708" s="8" t="s">
        <v>52</v>
      </c>
      <c r="N7708" s="8" t="s">
        <v>34046</v>
      </c>
      <c r="O7708" s="8">
        <f>23+34/60+51.3/3600</f>
        <v>23.580916666666667</v>
      </c>
      <c r="P7708" s="8" t="s">
        <v>34047</v>
      </c>
      <c r="Q7708" s="8">
        <f>+(44+18/60+17/3600)</f>
        <v>44.304722222222217</v>
      </c>
      <c r="R7708" s="8">
        <v>13.4</v>
      </c>
      <c r="S7708" s="8">
        <v>14.4</v>
      </c>
      <c r="T7708" s="8">
        <v>1</v>
      </c>
      <c r="U7708" s="8">
        <v>13.7</v>
      </c>
      <c r="V7708" s="8">
        <v>1.3</v>
      </c>
      <c r="W7708" s="8">
        <v>1.1000000000000001</v>
      </c>
      <c r="X7708" s="8">
        <v>45</v>
      </c>
      <c r="Y7708" s="8" t="s">
        <v>34048</v>
      </c>
      <c r="Z7708" s="8" t="s">
        <v>34049</v>
      </c>
    </row>
    <row r="7709" spans="1:26" x14ac:dyDescent="0.2">
      <c r="A7709" s="8">
        <v>7708</v>
      </c>
      <c r="B7709" s="8" t="s">
        <v>34050</v>
      </c>
      <c r="C7709" s="8" t="s">
        <v>34050</v>
      </c>
      <c r="F7709" s="47" t="s">
        <v>58412</v>
      </c>
      <c r="G7709" s="8">
        <v>15</v>
      </c>
      <c r="H7709" s="8" t="s">
        <v>21</v>
      </c>
      <c r="I7709" s="8" t="s">
        <v>72</v>
      </c>
      <c r="J7709" s="8" t="s">
        <v>72</v>
      </c>
      <c r="K7709" s="8" t="s">
        <v>1405</v>
      </c>
      <c r="L7709" s="8" t="s">
        <v>242</v>
      </c>
      <c r="M7709" s="8" t="s">
        <v>243</v>
      </c>
      <c r="N7709" s="8" t="s">
        <v>34051</v>
      </c>
      <c r="O7709" s="8">
        <f>23+35/60+0/3600</f>
        <v>23.583333333333332</v>
      </c>
      <c r="P7709" s="8" t="s">
        <v>34052</v>
      </c>
      <c r="Q7709" s="8">
        <f>+(72+50/60+0/3600)</f>
        <v>72.833333333333329</v>
      </c>
      <c r="R7709" s="8">
        <v>99</v>
      </c>
      <c r="S7709" s="8">
        <v>99</v>
      </c>
      <c r="T7709" s="8">
        <v>99</v>
      </c>
      <c r="U7709" s="8">
        <v>99</v>
      </c>
      <c r="V7709" s="8">
        <v>30</v>
      </c>
      <c r="Y7709" s="8" t="s">
        <v>34053</v>
      </c>
      <c r="Z7709" s="8" t="s">
        <v>34054</v>
      </c>
    </row>
    <row r="7710" spans="1:26" x14ac:dyDescent="0.2">
      <c r="A7710" s="8">
        <v>7709</v>
      </c>
      <c r="B7710" s="8" t="s">
        <v>34055</v>
      </c>
      <c r="C7710" s="8" t="s">
        <v>34055</v>
      </c>
      <c r="F7710" s="47"/>
      <c r="G7710" s="8">
        <v>19</v>
      </c>
      <c r="H7710" s="8" t="s">
        <v>21</v>
      </c>
      <c r="I7710" s="8" t="s">
        <v>22</v>
      </c>
      <c r="J7710" s="8" t="s">
        <v>22</v>
      </c>
      <c r="K7710" s="8" t="s">
        <v>224</v>
      </c>
      <c r="L7710" s="8" t="s">
        <v>30854</v>
      </c>
      <c r="M7710" s="8" t="s">
        <v>30855</v>
      </c>
      <c r="N7710" s="8" t="s">
        <v>34056</v>
      </c>
      <c r="O7710" s="8">
        <f>23+35/60+27.2/3600</f>
        <v>23.590888888888887</v>
      </c>
      <c r="P7710" s="8" t="s">
        <v>34057</v>
      </c>
      <c r="Q7710" s="8">
        <f>-(16+42/60+20/3600)</f>
        <v>-16.705555555555556</v>
      </c>
      <c r="R7710" s="8">
        <v>12.6</v>
      </c>
      <c r="S7710" s="8">
        <v>13.6</v>
      </c>
      <c r="T7710" s="8">
        <v>1</v>
      </c>
      <c r="U7710" s="8">
        <v>12.8</v>
      </c>
      <c r="V7710" s="8">
        <v>2.2999999999999998</v>
      </c>
      <c r="W7710" s="8">
        <v>0.6</v>
      </c>
      <c r="X7710" s="8">
        <v>55</v>
      </c>
      <c r="Y7710" s="8" t="s">
        <v>7484</v>
      </c>
      <c r="Z7710" s="8" t="s">
        <v>7485</v>
      </c>
    </row>
    <row r="7711" spans="1:26" x14ac:dyDescent="0.2">
      <c r="A7711" s="8">
        <v>7710</v>
      </c>
      <c r="B7711" s="8" t="s">
        <v>34058</v>
      </c>
      <c r="C7711" s="8" t="s">
        <v>34058</v>
      </c>
      <c r="F7711" s="47"/>
      <c r="G7711" s="8">
        <v>18</v>
      </c>
      <c r="H7711" s="8" t="s">
        <v>21</v>
      </c>
      <c r="I7711" s="8" t="s">
        <v>22</v>
      </c>
      <c r="J7711" s="8" t="s">
        <v>22</v>
      </c>
      <c r="K7711" s="8" t="s">
        <v>643</v>
      </c>
      <c r="L7711" s="8" t="s">
        <v>38</v>
      </c>
      <c r="M7711" s="8" t="s">
        <v>39</v>
      </c>
      <c r="N7711" s="8" t="s">
        <v>34059</v>
      </c>
      <c r="O7711" s="8">
        <f>23+35/60+46.1/3600</f>
        <v>23.596138888888888</v>
      </c>
      <c r="P7711" s="8" t="s">
        <v>34060</v>
      </c>
      <c r="Q7711" s="8">
        <f>-(2+52/60+51/3600)</f>
        <v>-2.8808333333333334</v>
      </c>
      <c r="R7711" s="8">
        <v>13.9</v>
      </c>
      <c r="S7711" s="8">
        <v>14.9</v>
      </c>
      <c r="T7711" s="8">
        <v>1</v>
      </c>
      <c r="U7711" s="8">
        <v>13.2</v>
      </c>
      <c r="V7711" s="8">
        <v>1.2</v>
      </c>
      <c r="W7711" s="8">
        <v>0.5</v>
      </c>
      <c r="X7711" s="8">
        <v>135</v>
      </c>
      <c r="Y7711" s="8" t="s">
        <v>18323</v>
      </c>
      <c r="Z7711" s="8" t="s">
        <v>18324</v>
      </c>
    </row>
    <row r="7712" spans="1:26" x14ac:dyDescent="0.2">
      <c r="A7712" s="8">
        <v>7711</v>
      </c>
      <c r="B7712" s="8" t="s">
        <v>34061</v>
      </c>
      <c r="C7712" s="8" t="s">
        <v>34061</v>
      </c>
      <c r="F7712" s="47" t="s">
        <v>58413</v>
      </c>
      <c r="G7712" s="8">
        <v>15</v>
      </c>
      <c r="H7712" s="8" t="s">
        <v>21</v>
      </c>
      <c r="I7712" s="8" t="s">
        <v>22</v>
      </c>
      <c r="J7712" s="8" t="s">
        <v>22</v>
      </c>
      <c r="K7712" s="8" t="s">
        <v>37</v>
      </c>
      <c r="L7712" s="8" t="s">
        <v>24</v>
      </c>
      <c r="M7712" s="8" t="s">
        <v>25</v>
      </c>
      <c r="N7712" s="8" t="s">
        <v>34062</v>
      </c>
      <c r="O7712" s="8">
        <f>23+35/60+39.4/3600</f>
        <v>23.594277777777776</v>
      </c>
      <c r="P7712" s="8" t="s">
        <v>34063</v>
      </c>
      <c r="Q7712" s="8">
        <f>+(15+18/60+6/3600)</f>
        <v>15.301666666666668</v>
      </c>
      <c r="R7712" s="8">
        <v>12.2</v>
      </c>
      <c r="S7712" s="8">
        <v>13.1</v>
      </c>
      <c r="T7712" s="8">
        <v>0.9</v>
      </c>
      <c r="U7712" s="8">
        <v>13.3</v>
      </c>
      <c r="V7712" s="8">
        <v>2.6</v>
      </c>
      <c r="W7712" s="8">
        <v>1.3</v>
      </c>
      <c r="X7712" s="8">
        <v>95</v>
      </c>
      <c r="Y7712" s="8" t="s">
        <v>34064</v>
      </c>
      <c r="Z7712" s="8" t="s">
        <v>34065</v>
      </c>
    </row>
    <row r="7713" spans="1:26" x14ac:dyDescent="0.2">
      <c r="A7713" s="8">
        <v>7712</v>
      </c>
      <c r="B7713" s="8" t="s">
        <v>34066</v>
      </c>
      <c r="C7713" s="8" t="s">
        <v>34066</v>
      </c>
      <c r="F7713" s="47"/>
      <c r="G7713" s="8">
        <v>18</v>
      </c>
      <c r="H7713" s="8" t="s">
        <v>21</v>
      </c>
      <c r="I7713" s="8" t="s">
        <v>22</v>
      </c>
      <c r="J7713" s="8" t="s">
        <v>22</v>
      </c>
      <c r="K7713" s="8" t="s">
        <v>449</v>
      </c>
      <c r="L7713" s="8" t="s">
        <v>24</v>
      </c>
      <c r="M7713" s="8" t="s">
        <v>25</v>
      </c>
      <c r="N7713" s="8" t="s">
        <v>34067</v>
      </c>
      <c r="O7713" s="8">
        <f>23+35/60+51.5/3600</f>
        <v>23.597638888888888</v>
      </c>
      <c r="P7713" s="8" t="s">
        <v>34068</v>
      </c>
      <c r="Q7713" s="8">
        <f>+(23+37/60+6/3600)</f>
        <v>23.618333333333332</v>
      </c>
      <c r="R7713" s="8">
        <v>12.7</v>
      </c>
      <c r="S7713" s="8">
        <v>13.7</v>
      </c>
      <c r="T7713" s="8">
        <v>1</v>
      </c>
      <c r="U7713" s="8">
        <v>12.4</v>
      </c>
      <c r="V7713" s="8">
        <v>0.9</v>
      </c>
      <c r="W7713" s="8">
        <v>0.8</v>
      </c>
      <c r="X7713" s="8">
        <v>120</v>
      </c>
      <c r="Y7713" s="8" t="s">
        <v>297</v>
      </c>
      <c r="Z7713" s="8" t="s">
        <v>298</v>
      </c>
    </row>
    <row r="7714" spans="1:26" x14ac:dyDescent="0.2">
      <c r="A7714" s="8">
        <v>7713</v>
      </c>
      <c r="B7714" s="8" t="s">
        <v>34069</v>
      </c>
      <c r="C7714" s="8" t="s">
        <v>34069</v>
      </c>
      <c r="F7714" s="47"/>
      <c r="G7714" s="8">
        <v>13</v>
      </c>
      <c r="H7714" s="8" t="s">
        <v>21</v>
      </c>
      <c r="I7714" s="8" t="s">
        <v>22</v>
      </c>
      <c r="J7714" s="8" t="s">
        <v>22</v>
      </c>
      <c r="K7714" s="8" t="s">
        <v>1277</v>
      </c>
      <c r="L7714" s="8" t="s">
        <v>65</v>
      </c>
      <c r="M7714" s="8" t="s">
        <v>66</v>
      </c>
      <c r="N7714" s="8" t="s">
        <v>34070</v>
      </c>
      <c r="O7714" s="8">
        <f>23+36/60+15.3/3600</f>
        <v>23.60425</v>
      </c>
      <c r="P7714" s="8" t="s">
        <v>34071</v>
      </c>
      <c r="Q7714" s="8">
        <f>-(37+56/60+20/3600)</f>
        <v>-37.938888888888883</v>
      </c>
      <c r="R7714" s="8">
        <v>11.2</v>
      </c>
      <c r="S7714" s="8">
        <v>11.5</v>
      </c>
      <c r="T7714" s="8">
        <v>0.3</v>
      </c>
      <c r="U7714" s="8">
        <v>13.3</v>
      </c>
      <c r="V7714" s="8">
        <v>4.5</v>
      </c>
      <c r="W7714" s="8">
        <v>1.8</v>
      </c>
      <c r="X7714" s="8">
        <v>168</v>
      </c>
      <c r="Y7714" s="8" t="s">
        <v>34072</v>
      </c>
      <c r="Z7714" s="8" t="s">
        <v>34073</v>
      </c>
    </row>
    <row r="7715" spans="1:26" x14ac:dyDescent="0.2">
      <c r="A7715" s="8">
        <v>7714</v>
      </c>
      <c r="B7715" s="8" t="s">
        <v>34074</v>
      </c>
      <c r="C7715" s="8" t="s">
        <v>34074</v>
      </c>
      <c r="F7715" s="47"/>
      <c r="G7715" s="8">
        <v>16</v>
      </c>
      <c r="H7715" s="8" t="s">
        <v>21</v>
      </c>
      <c r="I7715" s="8" t="s">
        <v>22</v>
      </c>
      <c r="J7715" s="8" t="s">
        <v>22</v>
      </c>
      <c r="K7715" s="8" t="s">
        <v>5751</v>
      </c>
      <c r="L7715" s="8" t="s">
        <v>38</v>
      </c>
      <c r="M7715" s="8" t="s">
        <v>39</v>
      </c>
      <c r="N7715" s="8" t="s">
        <v>34075</v>
      </c>
      <c r="O7715" s="8">
        <f>23+36/60+14.1/3600</f>
        <v>23.603916666666667</v>
      </c>
      <c r="P7715" s="8" t="s">
        <v>34076</v>
      </c>
      <c r="Q7715" s="8">
        <f>+(2+9/60+17/3600)</f>
        <v>2.154722222222222</v>
      </c>
      <c r="R7715" s="8">
        <v>12.5</v>
      </c>
      <c r="S7715" s="8">
        <v>13</v>
      </c>
      <c r="T7715" s="8">
        <v>0.5</v>
      </c>
      <c r="U7715" s="8">
        <v>13.4</v>
      </c>
      <c r="V7715" s="8">
        <v>1.9</v>
      </c>
      <c r="W7715" s="8">
        <v>1.4</v>
      </c>
      <c r="X7715" s="8">
        <v>79</v>
      </c>
      <c r="Y7715" s="8" t="s">
        <v>34077</v>
      </c>
      <c r="Z7715" s="8" t="s">
        <v>34078</v>
      </c>
    </row>
    <row r="7716" spans="1:26" x14ac:dyDescent="0.2">
      <c r="A7716" s="8">
        <v>7715</v>
      </c>
      <c r="B7716" s="8" t="s">
        <v>34079</v>
      </c>
      <c r="C7716" s="8" t="s">
        <v>34079</v>
      </c>
      <c r="F7716" s="47"/>
      <c r="G7716" s="8">
        <v>18</v>
      </c>
      <c r="H7716" s="8" t="s">
        <v>21</v>
      </c>
      <c r="I7716" s="8" t="s">
        <v>22</v>
      </c>
      <c r="J7716" s="8" t="s">
        <v>22</v>
      </c>
      <c r="K7716" s="8" t="s">
        <v>18185</v>
      </c>
      <c r="L7716" s="8" t="s">
        <v>38</v>
      </c>
      <c r="M7716" s="8" t="s">
        <v>39</v>
      </c>
      <c r="N7716" s="8" t="s">
        <v>34080</v>
      </c>
      <c r="O7716" s="8">
        <f>23+36/60+21.7/3600</f>
        <v>23.606027777777779</v>
      </c>
      <c r="P7716" s="8" t="s">
        <v>34081</v>
      </c>
      <c r="Q7716" s="8">
        <f>+(2+9/60+23/3600)</f>
        <v>2.1563888888888889</v>
      </c>
      <c r="R7716" s="8">
        <v>14.2</v>
      </c>
      <c r="S7716" s="8">
        <v>14.7</v>
      </c>
      <c r="T7716" s="8">
        <v>0.5</v>
      </c>
      <c r="U7716" s="8">
        <v>14.3</v>
      </c>
      <c r="V7716" s="8">
        <v>2.7</v>
      </c>
      <c r="W7716" s="8">
        <v>0.4</v>
      </c>
      <c r="X7716" s="8">
        <v>73</v>
      </c>
      <c r="Y7716" s="8" t="s">
        <v>34077</v>
      </c>
      <c r="Z7716" s="8" t="s">
        <v>2735</v>
      </c>
    </row>
    <row r="7717" spans="1:26" x14ac:dyDescent="0.2">
      <c r="A7717" s="8">
        <v>7716</v>
      </c>
      <c r="B7717" s="8" t="s">
        <v>34082</v>
      </c>
      <c r="C7717" s="8" t="s">
        <v>34082</v>
      </c>
      <c r="F7717" s="47"/>
      <c r="G7717" s="8">
        <v>13</v>
      </c>
      <c r="H7717" s="8" t="s">
        <v>21</v>
      </c>
      <c r="I7717" s="8" t="s">
        <v>22</v>
      </c>
      <c r="J7717" s="8" t="s">
        <v>22</v>
      </c>
      <c r="K7717" s="8" t="s">
        <v>218</v>
      </c>
      <c r="L7717" s="8" t="s">
        <v>38</v>
      </c>
      <c r="M7717" s="8" t="s">
        <v>39</v>
      </c>
      <c r="N7717" s="8" t="s">
        <v>34083</v>
      </c>
      <c r="O7717" s="8">
        <f>23+36/60+31.3/3600</f>
        <v>23.608694444444446</v>
      </c>
      <c r="P7717" s="8" t="s">
        <v>34084</v>
      </c>
      <c r="Q7717" s="8">
        <f>+(0+17/60+51/3600)</f>
        <v>0.29749999999999999</v>
      </c>
      <c r="R7717" s="8">
        <v>12.1</v>
      </c>
      <c r="S7717" s="8">
        <v>12.8</v>
      </c>
      <c r="T7717" s="8">
        <v>0.7</v>
      </c>
      <c r="U7717" s="8">
        <v>13.4</v>
      </c>
      <c r="V7717" s="8">
        <v>2.2000000000000002</v>
      </c>
      <c r="W7717" s="8">
        <v>1.8</v>
      </c>
      <c r="X7717" s="8">
        <v>35</v>
      </c>
      <c r="Y7717" s="8" t="s">
        <v>34085</v>
      </c>
      <c r="Z7717" s="8" t="s">
        <v>34086</v>
      </c>
    </row>
    <row r="7718" spans="1:26" x14ac:dyDescent="0.2">
      <c r="A7718" s="8">
        <v>7717</v>
      </c>
      <c r="B7718" s="8" t="s">
        <v>34087</v>
      </c>
      <c r="C7718" s="8" t="s">
        <v>34087</v>
      </c>
      <c r="F7718" s="47"/>
      <c r="G7718" s="8">
        <v>18</v>
      </c>
      <c r="H7718" s="8" t="s">
        <v>21</v>
      </c>
      <c r="I7718" s="8" t="s">
        <v>22</v>
      </c>
      <c r="J7718" s="8" t="s">
        <v>22</v>
      </c>
      <c r="K7718" s="8" t="s">
        <v>435</v>
      </c>
      <c r="L7718" s="8" t="s">
        <v>30854</v>
      </c>
      <c r="M7718" s="8" t="s">
        <v>30855</v>
      </c>
      <c r="N7718" s="8" t="s">
        <v>34088</v>
      </c>
      <c r="O7718" s="8">
        <f>23+37/60+43.6/3600</f>
        <v>23.628777777777778</v>
      </c>
      <c r="P7718" s="8" t="s">
        <v>34089</v>
      </c>
      <c r="Q7718" s="8">
        <f>-(15+7/60+7/3600)</f>
        <v>-15.118611111111111</v>
      </c>
      <c r="R7718" s="8">
        <v>12.8</v>
      </c>
      <c r="S7718" s="8">
        <v>13.7</v>
      </c>
      <c r="T7718" s="8">
        <v>0.9</v>
      </c>
      <c r="U7718" s="8">
        <v>13.2</v>
      </c>
      <c r="V7718" s="8">
        <v>1.4</v>
      </c>
      <c r="W7718" s="8">
        <v>1.2</v>
      </c>
      <c r="X7718" s="8">
        <v>8</v>
      </c>
      <c r="Y7718" s="8" t="s">
        <v>1511</v>
      </c>
      <c r="Z7718" s="8" t="s">
        <v>1512</v>
      </c>
    </row>
    <row r="7719" spans="1:26" x14ac:dyDescent="0.2">
      <c r="A7719" s="8">
        <v>7718</v>
      </c>
      <c r="B7719" s="8" t="s">
        <v>34090</v>
      </c>
      <c r="C7719" s="8" t="s">
        <v>34090</v>
      </c>
      <c r="F7719" s="47"/>
      <c r="G7719" s="8">
        <v>18</v>
      </c>
      <c r="H7719" s="8" t="s">
        <v>21</v>
      </c>
      <c r="I7719" s="8" t="s">
        <v>22</v>
      </c>
      <c r="J7719" s="8" t="s">
        <v>22</v>
      </c>
      <c r="K7719" s="8" t="s">
        <v>476</v>
      </c>
      <c r="L7719" s="8" t="s">
        <v>24</v>
      </c>
      <c r="M7719" s="8" t="s">
        <v>25</v>
      </c>
      <c r="N7719" s="8" t="s">
        <v>34091</v>
      </c>
      <c r="O7719" s="8">
        <f>23+38/60+4.9/3600</f>
        <v>23.634694444444445</v>
      </c>
      <c r="P7719" s="8" t="s">
        <v>34092</v>
      </c>
      <c r="Q7719" s="8">
        <f>+(25+43/60+11/3600)</f>
        <v>25.71972222222222</v>
      </c>
      <c r="R7719" s="8">
        <v>14.1</v>
      </c>
      <c r="S7719" s="8">
        <v>15</v>
      </c>
      <c r="T7719" s="8">
        <v>0.9</v>
      </c>
      <c r="U7719" s="8">
        <v>13.8</v>
      </c>
      <c r="V7719" s="8">
        <v>0.9</v>
      </c>
      <c r="W7719" s="8">
        <v>0.6</v>
      </c>
      <c r="X7719" s="8">
        <v>151</v>
      </c>
      <c r="Y7719" s="8" t="s">
        <v>170</v>
      </c>
      <c r="Z7719" s="8" t="s">
        <v>171</v>
      </c>
    </row>
    <row r="7720" spans="1:26" x14ac:dyDescent="0.2">
      <c r="A7720" s="8">
        <v>7719</v>
      </c>
      <c r="B7720" s="8" t="s">
        <v>34093</v>
      </c>
      <c r="C7720" s="8" t="s">
        <v>34093</v>
      </c>
      <c r="E7720" s="8">
        <v>1</v>
      </c>
      <c r="F7720" s="47"/>
      <c r="G7720" s="8">
        <v>19</v>
      </c>
      <c r="H7720" s="8" t="s">
        <v>21</v>
      </c>
      <c r="I7720" s="8" t="s">
        <v>22</v>
      </c>
      <c r="J7720" s="8" t="s">
        <v>22</v>
      </c>
      <c r="K7720" s="8" t="s">
        <v>31</v>
      </c>
      <c r="L7720" s="8" t="s">
        <v>30854</v>
      </c>
      <c r="M7720" s="8" t="s">
        <v>30855</v>
      </c>
      <c r="N7720" s="8" t="s">
        <v>34094</v>
      </c>
      <c r="O7720" s="8">
        <f>23+38/60+2.6/3600</f>
        <v>23.634055555555555</v>
      </c>
      <c r="P7720" s="8" t="s">
        <v>34095</v>
      </c>
      <c r="Q7720" s="8">
        <f>-(22+58/60+29/3600)</f>
        <v>-22.974722222222219</v>
      </c>
      <c r="R7720" s="8">
        <v>14.2</v>
      </c>
      <c r="S7720" s="8">
        <v>15</v>
      </c>
      <c r="T7720" s="8">
        <v>0.8</v>
      </c>
      <c r="U7720" s="8">
        <v>13.5</v>
      </c>
      <c r="V7720" s="8">
        <v>0.9</v>
      </c>
      <c r="W7720" s="8">
        <v>0.7</v>
      </c>
      <c r="Y7720" s="8" t="s">
        <v>385</v>
      </c>
      <c r="Z7720" s="8" t="s">
        <v>386</v>
      </c>
    </row>
    <row r="7721" spans="1:26" x14ac:dyDescent="0.2">
      <c r="A7721" s="8">
        <v>7720</v>
      </c>
      <c r="B7721" s="8" t="s">
        <v>34096</v>
      </c>
      <c r="C7721" s="8" t="s">
        <v>34096</v>
      </c>
      <c r="E7721" s="8">
        <v>1</v>
      </c>
      <c r="F7721" s="47" t="s">
        <v>58414</v>
      </c>
      <c r="G7721" s="8">
        <v>15</v>
      </c>
      <c r="H7721" s="8" t="s">
        <v>21</v>
      </c>
      <c r="I7721" s="8" t="s">
        <v>22</v>
      </c>
      <c r="J7721" s="8" t="s">
        <v>22</v>
      </c>
      <c r="K7721" s="8" t="s">
        <v>1136</v>
      </c>
      <c r="L7721" s="8" t="s">
        <v>24</v>
      </c>
      <c r="M7721" s="8" t="s">
        <v>25</v>
      </c>
      <c r="N7721" s="8" t="s">
        <v>34097</v>
      </c>
      <c r="O7721" s="8">
        <f>23+38/60+29.3/3600</f>
        <v>23.641472222222223</v>
      </c>
      <c r="P7721" s="8" t="s">
        <v>34098</v>
      </c>
      <c r="Q7721" s="8">
        <f>+(27+1/60+52/3600)</f>
        <v>27.031111111111109</v>
      </c>
      <c r="R7721" s="8">
        <v>12.3</v>
      </c>
      <c r="S7721" s="8">
        <v>13.4</v>
      </c>
      <c r="T7721" s="8">
        <v>1.1000000000000001</v>
      </c>
      <c r="U7721" s="8">
        <v>13.1</v>
      </c>
      <c r="V7721" s="8">
        <v>1.6</v>
      </c>
      <c r="W7721" s="8">
        <v>1.3</v>
      </c>
      <c r="X7721" s="8">
        <v>18</v>
      </c>
      <c r="Y7721" s="8" t="s">
        <v>34099</v>
      </c>
      <c r="Z7721" s="8" t="s">
        <v>34100</v>
      </c>
    </row>
    <row r="7722" spans="1:26" x14ac:dyDescent="0.2">
      <c r="A7722" s="8">
        <v>7721</v>
      </c>
      <c r="B7722" s="8" t="s">
        <v>34101</v>
      </c>
      <c r="C7722" s="8" t="s">
        <v>34101</v>
      </c>
      <c r="F7722" s="47" t="s">
        <v>58415</v>
      </c>
      <c r="G7722" s="8">
        <v>13</v>
      </c>
      <c r="H7722" s="8" t="s">
        <v>21</v>
      </c>
      <c r="I7722" s="8" t="s">
        <v>22</v>
      </c>
      <c r="J7722" s="8" t="s">
        <v>22</v>
      </c>
      <c r="K7722" s="8" t="s">
        <v>160</v>
      </c>
      <c r="L7722" s="8" t="s">
        <v>30854</v>
      </c>
      <c r="M7722" s="8" t="s">
        <v>30855</v>
      </c>
      <c r="N7722" s="8" t="s">
        <v>34102</v>
      </c>
      <c r="O7722" s="8">
        <f>23+38/60+48.6/3600</f>
        <v>23.646833333333333</v>
      </c>
      <c r="P7722" s="8" t="s">
        <v>34103</v>
      </c>
      <c r="Q7722" s="8">
        <f>-(6+31/60+4/3600)</f>
        <v>-6.5177777777777779</v>
      </c>
      <c r="R7722" s="8">
        <v>11.6</v>
      </c>
      <c r="S7722" s="8">
        <v>12.2</v>
      </c>
      <c r="T7722" s="8">
        <v>0.6</v>
      </c>
      <c r="U7722" s="8">
        <v>13.2</v>
      </c>
      <c r="V7722" s="8">
        <v>2.8</v>
      </c>
      <c r="W7722" s="8">
        <v>1.1000000000000001</v>
      </c>
      <c r="X7722" s="8">
        <v>15</v>
      </c>
      <c r="Y7722" s="8" t="s">
        <v>34104</v>
      </c>
      <c r="Z7722" s="8" t="s">
        <v>34105</v>
      </c>
    </row>
    <row r="7723" spans="1:26" x14ac:dyDescent="0.2">
      <c r="A7723" s="8">
        <v>7722</v>
      </c>
      <c r="B7723" s="8" t="s">
        <v>34106</v>
      </c>
      <c r="C7723" s="8" t="s">
        <v>34106</v>
      </c>
      <c r="F7723" s="47"/>
      <c r="G7723" s="8">
        <v>18</v>
      </c>
      <c r="H7723" s="8" t="s">
        <v>21</v>
      </c>
      <c r="I7723" s="8" t="s">
        <v>22</v>
      </c>
      <c r="J7723" s="8" t="s">
        <v>22</v>
      </c>
      <c r="K7723" s="8" t="s">
        <v>632</v>
      </c>
      <c r="L7723" s="8" t="s">
        <v>24</v>
      </c>
      <c r="M7723" s="8" t="s">
        <v>25</v>
      </c>
      <c r="N7723" s="8" t="s">
        <v>34107</v>
      </c>
      <c r="O7723" s="8">
        <f>23+38/60+40.9/3600</f>
        <v>23.644694444444443</v>
      </c>
      <c r="P7723" s="8" t="s">
        <v>34108</v>
      </c>
      <c r="Q7723" s="8">
        <f>+(15+57/60+17/3600)</f>
        <v>15.954722222222221</v>
      </c>
      <c r="R7723" s="8">
        <v>12.4</v>
      </c>
      <c r="S7723" s="8">
        <v>13.3</v>
      </c>
      <c r="T7723" s="8">
        <v>0.9</v>
      </c>
      <c r="U7723" s="8">
        <v>13.2</v>
      </c>
      <c r="V7723" s="8">
        <v>1.7</v>
      </c>
      <c r="W7723" s="8">
        <v>1.4</v>
      </c>
      <c r="X7723" s="8">
        <v>150</v>
      </c>
      <c r="Y7723" s="8" t="s">
        <v>34109</v>
      </c>
      <c r="Z7723" s="8" t="s">
        <v>34110</v>
      </c>
    </row>
    <row r="7724" spans="1:26" x14ac:dyDescent="0.2">
      <c r="A7724" s="8">
        <v>7723</v>
      </c>
      <c r="B7724" s="8" t="s">
        <v>34111</v>
      </c>
      <c r="C7724" s="8" t="s">
        <v>34111</v>
      </c>
      <c r="F7724" s="47" t="s">
        <v>58416</v>
      </c>
      <c r="G7724" s="8">
        <v>6</v>
      </c>
      <c r="H7724" s="8" t="s">
        <v>21</v>
      </c>
      <c r="I7724" s="8" t="s">
        <v>22</v>
      </c>
      <c r="J7724" s="8" t="s">
        <v>22</v>
      </c>
      <c r="K7724" s="8" t="s">
        <v>218</v>
      </c>
      <c r="L7724" s="8" t="s">
        <v>30854</v>
      </c>
      <c r="M7724" s="8" t="s">
        <v>30855</v>
      </c>
      <c r="N7724" s="8" t="s">
        <v>34112</v>
      </c>
      <c r="O7724" s="8">
        <f>23+38/60+57/3600</f>
        <v>23.649166666666666</v>
      </c>
      <c r="P7724" s="8" t="s">
        <v>34113</v>
      </c>
      <c r="Q7724" s="8">
        <f>-(12+57/60+40/3600)</f>
        <v>-12.96111111111111</v>
      </c>
      <c r="R7724" s="8">
        <v>11.2</v>
      </c>
      <c r="S7724" s="8">
        <v>11.9</v>
      </c>
      <c r="T7724" s="8">
        <v>0.7</v>
      </c>
      <c r="U7724" s="8">
        <v>13.3</v>
      </c>
      <c r="V7724" s="8">
        <v>3.5</v>
      </c>
      <c r="W7724" s="8">
        <v>2.2000000000000002</v>
      </c>
      <c r="X7724" s="8">
        <v>40</v>
      </c>
      <c r="Y7724" s="8" t="s">
        <v>34114</v>
      </c>
      <c r="Z7724" s="8" t="s">
        <v>34115</v>
      </c>
    </row>
    <row r="7725" spans="1:26" x14ac:dyDescent="0.2">
      <c r="A7725" s="8">
        <v>7724</v>
      </c>
      <c r="B7725" s="8" t="s">
        <v>34116</v>
      </c>
      <c r="C7725" s="8" t="s">
        <v>34116</v>
      </c>
      <c r="F7725" s="47"/>
      <c r="G7725" s="8">
        <v>18</v>
      </c>
      <c r="H7725" s="8" t="s">
        <v>21</v>
      </c>
      <c r="I7725" s="8" t="s">
        <v>22</v>
      </c>
      <c r="J7725" s="8" t="s">
        <v>22</v>
      </c>
      <c r="K7725" s="8" t="s">
        <v>23</v>
      </c>
      <c r="L7725" s="8" t="s">
        <v>30854</v>
      </c>
      <c r="M7725" s="8" t="s">
        <v>30855</v>
      </c>
      <c r="N7725" s="8" t="s">
        <v>34117</v>
      </c>
      <c r="O7725" s="8">
        <f>23+39/60+7/3600</f>
        <v>23.651944444444442</v>
      </c>
      <c r="P7725" s="8" t="s">
        <v>34118</v>
      </c>
      <c r="Q7725" s="8">
        <f>-(12+13/60+27/3600)</f>
        <v>-12.224166666666667</v>
      </c>
      <c r="R7725" s="8">
        <v>12.9</v>
      </c>
      <c r="S7725" s="8">
        <v>13.7</v>
      </c>
      <c r="T7725" s="8">
        <v>0.8</v>
      </c>
      <c r="U7725" s="8">
        <v>13.1</v>
      </c>
      <c r="V7725" s="8">
        <v>1.5</v>
      </c>
      <c r="W7725" s="8">
        <v>1</v>
      </c>
      <c r="X7725" s="8">
        <v>37</v>
      </c>
      <c r="Y7725" s="8" t="s">
        <v>2792</v>
      </c>
      <c r="Z7725" s="8" t="s">
        <v>2793</v>
      </c>
    </row>
    <row r="7726" spans="1:26" x14ac:dyDescent="0.2">
      <c r="A7726" s="8">
        <v>7725</v>
      </c>
      <c r="B7726" s="8" t="s">
        <v>34119</v>
      </c>
      <c r="C7726" s="8" t="s">
        <v>34119</v>
      </c>
      <c r="F7726" s="47" t="s">
        <v>58417</v>
      </c>
      <c r="G7726" s="8">
        <v>15</v>
      </c>
      <c r="H7726" s="8" t="s">
        <v>21</v>
      </c>
      <c r="I7726" s="8" t="s">
        <v>22</v>
      </c>
      <c r="J7726" s="8" t="s">
        <v>22</v>
      </c>
      <c r="K7726" s="8" t="s">
        <v>37</v>
      </c>
      <c r="L7726" s="8" t="s">
        <v>30854</v>
      </c>
      <c r="M7726" s="8" t="s">
        <v>30855</v>
      </c>
      <c r="N7726" s="8" t="s">
        <v>34120</v>
      </c>
      <c r="O7726" s="8">
        <f>23+39/60+14.7/3600</f>
        <v>23.654083333333332</v>
      </c>
      <c r="P7726" s="8" t="s">
        <v>34121</v>
      </c>
      <c r="Q7726" s="8">
        <f>-(4+32/60+20/3600)</f>
        <v>-4.5388888888888888</v>
      </c>
      <c r="R7726" s="8">
        <v>13.8</v>
      </c>
      <c r="S7726" s="8">
        <v>14.8</v>
      </c>
      <c r="T7726" s="8">
        <v>1</v>
      </c>
      <c r="U7726" s="8">
        <v>13.1</v>
      </c>
      <c r="V7726" s="8">
        <v>0.8</v>
      </c>
      <c r="W7726" s="8">
        <v>0.7</v>
      </c>
      <c r="X7726" s="8">
        <v>123</v>
      </c>
      <c r="Y7726" s="8" t="s">
        <v>2908</v>
      </c>
      <c r="Z7726" s="8" t="s">
        <v>2909</v>
      </c>
    </row>
    <row r="7727" spans="1:26" x14ac:dyDescent="0.2">
      <c r="A7727" s="8">
        <v>7726</v>
      </c>
      <c r="B7727" s="8" t="s">
        <v>34122</v>
      </c>
      <c r="C7727" s="8" t="s">
        <v>34122</v>
      </c>
      <c r="F7727" s="47"/>
      <c r="G7727" s="8">
        <v>19</v>
      </c>
      <c r="H7727" s="8" t="s">
        <v>21</v>
      </c>
      <c r="I7727" s="8" t="s">
        <v>22</v>
      </c>
      <c r="J7727" s="8" t="s">
        <v>22</v>
      </c>
      <c r="K7727" s="8" t="s">
        <v>218</v>
      </c>
      <c r="L7727" s="8" t="s">
        <v>24</v>
      </c>
      <c r="M7727" s="8" t="s">
        <v>25</v>
      </c>
      <c r="N7727" s="8" t="s">
        <v>34123</v>
      </c>
      <c r="O7727" s="8">
        <f>23+39/60+11.9/3600</f>
        <v>23.653305555555555</v>
      </c>
      <c r="P7727" s="8" t="s">
        <v>34124</v>
      </c>
      <c r="Q7727" s="8">
        <f>+(27+6/60+54/3600)</f>
        <v>27.115000000000002</v>
      </c>
      <c r="R7727" s="8">
        <v>14.2</v>
      </c>
      <c r="S7727" s="8">
        <v>15</v>
      </c>
      <c r="T7727" s="8">
        <v>0.8</v>
      </c>
      <c r="U7727" s="8">
        <v>13.8</v>
      </c>
      <c r="V7727" s="8">
        <v>1.5</v>
      </c>
      <c r="W7727" s="8">
        <v>0.6</v>
      </c>
      <c r="X7727" s="8">
        <v>60</v>
      </c>
      <c r="Y7727" s="8" t="s">
        <v>3161</v>
      </c>
      <c r="Z7727" s="8" t="s">
        <v>3162</v>
      </c>
    </row>
    <row r="7728" spans="1:26" x14ac:dyDescent="0.2">
      <c r="A7728" s="8">
        <v>7727</v>
      </c>
      <c r="B7728" s="8" t="s">
        <v>34125</v>
      </c>
      <c r="C7728" s="8" t="s">
        <v>34125</v>
      </c>
      <c r="F7728" s="47" t="s">
        <v>58418</v>
      </c>
      <c r="G7728" s="8">
        <v>6</v>
      </c>
      <c r="H7728" s="8" t="s">
        <v>21</v>
      </c>
      <c r="I7728" s="8" t="s">
        <v>22</v>
      </c>
      <c r="J7728" s="8" t="s">
        <v>22</v>
      </c>
      <c r="K7728" s="8" t="s">
        <v>7975</v>
      </c>
      <c r="L7728" s="8" t="s">
        <v>30854</v>
      </c>
      <c r="M7728" s="8" t="s">
        <v>30855</v>
      </c>
      <c r="N7728" s="8" t="s">
        <v>34126</v>
      </c>
      <c r="O7728" s="8">
        <f>23+39/60+53.7/3600</f>
        <v>23.664916666666667</v>
      </c>
      <c r="P7728" s="8" t="s">
        <v>34127</v>
      </c>
      <c r="Q7728" s="8">
        <f>-(12+17/60+34/3600)</f>
        <v>-12.292777777777777</v>
      </c>
      <c r="R7728" s="8">
        <v>10.6</v>
      </c>
      <c r="S7728" s="8">
        <v>11.5</v>
      </c>
      <c r="T7728" s="8">
        <v>0.9</v>
      </c>
      <c r="U7728" s="8">
        <v>13.5</v>
      </c>
      <c r="V7728" s="8">
        <v>4.7</v>
      </c>
      <c r="W7728" s="8">
        <v>3.5</v>
      </c>
      <c r="X7728" s="8">
        <v>39</v>
      </c>
      <c r="Y7728" s="8" t="s">
        <v>12330</v>
      </c>
      <c r="Z7728" s="8" t="s">
        <v>12331</v>
      </c>
    </row>
    <row r="7729" spans="1:26" x14ac:dyDescent="0.2">
      <c r="A7729" s="8">
        <v>7728</v>
      </c>
      <c r="B7729" s="8" t="s">
        <v>34128</v>
      </c>
      <c r="C7729" s="8" t="s">
        <v>34128</v>
      </c>
      <c r="F7729" s="47"/>
      <c r="G7729" s="8">
        <v>18</v>
      </c>
      <c r="H7729" s="8" t="s">
        <v>21</v>
      </c>
      <c r="I7729" s="8" t="s">
        <v>22</v>
      </c>
      <c r="J7729" s="8" t="s">
        <v>22</v>
      </c>
      <c r="K7729" s="8" t="s">
        <v>1136</v>
      </c>
      <c r="L7729" s="8" t="s">
        <v>24</v>
      </c>
      <c r="M7729" s="8" t="s">
        <v>25</v>
      </c>
      <c r="N7729" s="8" t="s">
        <v>34129</v>
      </c>
      <c r="O7729" s="8">
        <f>23+40/60+0.7/3600</f>
        <v>23.666861111111114</v>
      </c>
      <c r="P7729" s="8" t="s">
        <v>34130</v>
      </c>
      <c r="Q7729" s="8">
        <f>+(27+8/60+0/3600)</f>
        <v>27.133333333333333</v>
      </c>
      <c r="R7729" s="8">
        <v>13.1</v>
      </c>
      <c r="S7729" s="8">
        <v>14.1</v>
      </c>
      <c r="T7729" s="8">
        <v>1</v>
      </c>
      <c r="U7729" s="8">
        <v>12.9</v>
      </c>
      <c r="V7729" s="8">
        <v>1</v>
      </c>
      <c r="W7729" s="8">
        <v>0.8</v>
      </c>
      <c r="X7729" s="8">
        <v>75</v>
      </c>
      <c r="Y7729" s="8" t="s">
        <v>34131</v>
      </c>
      <c r="Z7729" s="8" t="s">
        <v>34132</v>
      </c>
    </row>
    <row r="7730" spans="1:26" x14ac:dyDescent="0.2">
      <c r="A7730" s="8">
        <v>7729</v>
      </c>
      <c r="B7730" s="8" t="s">
        <v>34133</v>
      </c>
      <c r="C7730" s="8" t="s">
        <v>34133</v>
      </c>
      <c r="F7730" s="47"/>
      <c r="G7730" s="8">
        <v>19</v>
      </c>
      <c r="H7730" s="8" t="s">
        <v>21</v>
      </c>
      <c r="I7730" s="8" t="s">
        <v>22</v>
      </c>
      <c r="J7730" s="8" t="s">
        <v>22</v>
      </c>
      <c r="K7730" s="8" t="s">
        <v>154</v>
      </c>
      <c r="L7730" s="8" t="s">
        <v>24</v>
      </c>
      <c r="M7730" s="8" t="s">
        <v>25</v>
      </c>
      <c r="N7730" s="8" t="s">
        <v>34134</v>
      </c>
      <c r="O7730" s="8">
        <f>23+40/60+33.6/3600</f>
        <v>23.676000000000002</v>
      </c>
      <c r="P7730" s="8" t="s">
        <v>34135</v>
      </c>
      <c r="Q7730" s="8">
        <f>+(29+11/60+17/3600)</f>
        <v>29.188055555555557</v>
      </c>
      <c r="R7730" s="8">
        <v>13.5</v>
      </c>
      <c r="S7730" s="8">
        <v>14.4</v>
      </c>
      <c r="T7730" s="8">
        <v>0.9</v>
      </c>
      <c r="U7730" s="8">
        <v>13.4</v>
      </c>
      <c r="V7730" s="8">
        <v>1.8</v>
      </c>
      <c r="W7730" s="8">
        <v>0.6</v>
      </c>
      <c r="X7730" s="8">
        <v>7</v>
      </c>
      <c r="Y7730" s="8" t="s">
        <v>34136</v>
      </c>
      <c r="Z7730" s="8" t="s">
        <v>34137</v>
      </c>
    </row>
    <row r="7731" spans="1:26" x14ac:dyDescent="0.2">
      <c r="A7731" s="8">
        <v>7730</v>
      </c>
      <c r="B7731" s="8" t="s">
        <v>34138</v>
      </c>
      <c r="C7731" s="8" t="s">
        <v>34138</v>
      </c>
      <c r="F7731" s="47"/>
      <c r="G7731" s="8">
        <v>18</v>
      </c>
      <c r="H7731" s="8" t="s">
        <v>21</v>
      </c>
      <c r="I7731" s="8" t="s">
        <v>22</v>
      </c>
      <c r="J7731" s="8" t="s">
        <v>22</v>
      </c>
      <c r="K7731" s="8" t="s">
        <v>160</v>
      </c>
      <c r="L7731" s="8" t="s">
        <v>30854</v>
      </c>
      <c r="M7731" s="8" t="s">
        <v>30855</v>
      </c>
      <c r="N7731" s="8" t="s">
        <v>34139</v>
      </c>
      <c r="O7731" s="8">
        <f>23+40/60+45.8/3600</f>
        <v>23.679388888888891</v>
      </c>
      <c r="P7731" s="8" t="s">
        <v>34140</v>
      </c>
      <c r="Q7731" s="8">
        <f>-(20+30/60+32/3600)</f>
        <v>-20.50888888888889</v>
      </c>
      <c r="R7731" s="8">
        <v>14</v>
      </c>
      <c r="S7731" s="8">
        <v>14.9</v>
      </c>
      <c r="T7731" s="8">
        <v>0.9</v>
      </c>
      <c r="U7731" s="8">
        <v>13.2</v>
      </c>
      <c r="V7731" s="8">
        <v>0.7</v>
      </c>
      <c r="W7731" s="8">
        <v>0.6</v>
      </c>
      <c r="X7731" s="8">
        <v>129</v>
      </c>
      <c r="Y7731" s="8" t="s">
        <v>23976</v>
      </c>
      <c r="Z7731" s="8" t="s">
        <v>23977</v>
      </c>
    </row>
    <row r="7732" spans="1:26" x14ac:dyDescent="0.2">
      <c r="A7732" s="8">
        <v>7731</v>
      </c>
      <c r="B7732" s="8" t="s">
        <v>34141</v>
      </c>
      <c r="C7732" s="8" t="s">
        <v>34141</v>
      </c>
      <c r="F7732" s="47"/>
      <c r="G7732" s="8">
        <v>18</v>
      </c>
      <c r="H7732" s="8" t="s">
        <v>21</v>
      </c>
      <c r="I7732" s="8" t="s">
        <v>22</v>
      </c>
      <c r="J7732" s="8" t="s">
        <v>22</v>
      </c>
      <c r="K7732" s="8" t="s">
        <v>154</v>
      </c>
      <c r="L7732" s="8" t="s">
        <v>38</v>
      </c>
      <c r="M7732" s="8" t="s">
        <v>39</v>
      </c>
      <c r="N7732" s="8" t="s">
        <v>34142</v>
      </c>
      <c r="O7732" s="8">
        <f>23+41/60+29/3600</f>
        <v>23.691388888888888</v>
      </c>
      <c r="P7732" s="8" t="s">
        <v>34143</v>
      </c>
      <c r="Q7732" s="8">
        <f>+(3+44/60+26/3600)</f>
        <v>3.7405555555555554</v>
      </c>
      <c r="R7732" s="8">
        <v>12.8</v>
      </c>
      <c r="S7732" s="8">
        <v>13.5</v>
      </c>
      <c r="T7732" s="8">
        <v>0.7</v>
      </c>
      <c r="U7732" s="8">
        <v>13.9</v>
      </c>
      <c r="V7732" s="8">
        <v>1.4</v>
      </c>
      <c r="W7732" s="8">
        <v>1.1000000000000001</v>
      </c>
      <c r="X7732" s="8">
        <v>95</v>
      </c>
      <c r="Y7732" s="8" t="s">
        <v>4065</v>
      </c>
      <c r="Z7732" s="8" t="s">
        <v>4066</v>
      </c>
    </row>
    <row r="7733" spans="1:26" x14ac:dyDescent="0.2">
      <c r="A7733" s="8">
        <v>7732</v>
      </c>
      <c r="B7733" s="8" t="s">
        <v>34144</v>
      </c>
      <c r="C7733" s="8" t="s">
        <v>34144</v>
      </c>
      <c r="F7733" s="47"/>
      <c r="G7733" s="8">
        <v>18</v>
      </c>
      <c r="H7733" s="8" t="s">
        <v>21</v>
      </c>
      <c r="I7733" s="8" t="s">
        <v>22</v>
      </c>
      <c r="J7733" s="8" t="s">
        <v>22</v>
      </c>
      <c r="K7733" s="8" t="s">
        <v>579</v>
      </c>
      <c r="L7733" s="8" t="s">
        <v>38</v>
      </c>
      <c r="M7733" s="8" t="s">
        <v>39</v>
      </c>
      <c r="N7733" s="8" t="s">
        <v>34145</v>
      </c>
      <c r="O7733" s="8">
        <f>23+41/60+34/3600</f>
        <v>23.692777777777778</v>
      </c>
      <c r="P7733" s="8" t="s">
        <v>34146</v>
      </c>
      <c r="Q7733" s="8">
        <f>+(3+43/60+30/3600)</f>
        <v>3.7250000000000001</v>
      </c>
      <c r="R7733" s="8">
        <v>13.8</v>
      </c>
      <c r="S7733" s="8">
        <v>14.3</v>
      </c>
      <c r="T7733" s="8">
        <v>0.5</v>
      </c>
      <c r="U7733" s="8">
        <v>13.8</v>
      </c>
      <c r="V7733" s="8">
        <v>2</v>
      </c>
      <c r="W7733" s="8">
        <v>0.6</v>
      </c>
      <c r="X7733" s="8">
        <v>96</v>
      </c>
      <c r="Y7733" s="8" t="s">
        <v>1225</v>
      </c>
      <c r="Z7733" s="8" t="s">
        <v>1226</v>
      </c>
    </row>
    <row r="7734" spans="1:26" x14ac:dyDescent="0.2">
      <c r="A7734" s="8">
        <v>7733</v>
      </c>
      <c r="B7734" s="8" t="s">
        <v>34147</v>
      </c>
      <c r="C7734" s="8" t="s">
        <v>34147</v>
      </c>
      <c r="F7734" s="47"/>
      <c r="G7734" s="8">
        <v>16</v>
      </c>
      <c r="H7734" s="8" t="s">
        <v>21</v>
      </c>
      <c r="I7734" s="8" t="s">
        <v>22</v>
      </c>
      <c r="J7734" s="8" t="s">
        <v>22</v>
      </c>
      <c r="K7734" s="8" t="s">
        <v>218</v>
      </c>
      <c r="L7734" s="8" t="s">
        <v>310</v>
      </c>
      <c r="M7734" s="8" t="s">
        <v>311</v>
      </c>
      <c r="N7734" s="8" t="s">
        <v>34148</v>
      </c>
      <c r="O7734" s="8">
        <f>23+42/60+32.9/3600</f>
        <v>23.709138888888887</v>
      </c>
      <c r="P7734" s="8" t="s">
        <v>34149</v>
      </c>
      <c r="Q7734" s="8">
        <f>-(65+57/60+22/3600)</f>
        <v>-65.956111111111113</v>
      </c>
      <c r="R7734" s="8">
        <v>13.6</v>
      </c>
      <c r="S7734" s="8">
        <v>14.3</v>
      </c>
      <c r="T7734" s="8">
        <v>0.7</v>
      </c>
      <c r="U7734" s="8">
        <v>13.5</v>
      </c>
      <c r="V7734" s="8">
        <v>1.3</v>
      </c>
      <c r="W7734" s="8">
        <v>0.8</v>
      </c>
      <c r="X7734" s="8">
        <v>107</v>
      </c>
      <c r="Y7734" s="8" t="s">
        <v>13454</v>
      </c>
      <c r="Z7734" s="8" t="s">
        <v>4855</v>
      </c>
    </row>
    <row r="7735" spans="1:26" x14ac:dyDescent="0.2">
      <c r="A7735" s="8">
        <v>7734</v>
      </c>
      <c r="B7735" s="8" t="s">
        <v>34150</v>
      </c>
      <c r="C7735" s="8" t="s">
        <v>34150</v>
      </c>
      <c r="F7735" s="47"/>
      <c r="G7735" s="8">
        <v>16</v>
      </c>
      <c r="H7735" s="8" t="s">
        <v>21</v>
      </c>
      <c r="I7735" s="8" t="s">
        <v>22</v>
      </c>
      <c r="J7735" s="8" t="s">
        <v>22</v>
      </c>
      <c r="K7735" s="8" t="s">
        <v>218</v>
      </c>
      <c r="L7735" s="8" t="s">
        <v>310</v>
      </c>
      <c r="M7735" s="8" t="s">
        <v>311</v>
      </c>
      <c r="N7735" s="8" t="s">
        <v>34151</v>
      </c>
      <c r="O7735" s="8">
        <f>23+42/60+43/3600</f>
        <v>23.711944444444445</v>
      </c>
      <c r="P7735" s="8" t="s">
        <v>34152</v>
      </c>
      <c r="Q7735" s="8">
        <f>-(65+56/60+39/3600)</f>
        <v>-65.944166666666675</v>
      </c>
      <c r="R7735" s="8">
        <v>13.1</v>
      </c>
      <c r="S7735" s="8">
        <v>13.9</v>
      </c>
      <c r="T7735" s="8">
        <v>0.8</v>
      </c>
      <c r="U7735" s="8">
        <v>13.5</v>
      </c>
      <c r="V7735" s="8">
        <v>1.4</v>
      </c>
      <c r="W7735" s="8">
        <v>1.2</v>
      </c>
      <c r="X7735" s="8">
        <v>119</v>
      </c>
      <c r="Y7735" s="8" t="s">
        <v>34153</v>
      </c>
      <c r="Z7735" s="8" t="s">
        <v>34154</v>
      </c>
    </row>
    <row r="7736" spans="1:26" x14ac:dyDescent="0.2">
      <c r="A7736" s="8">
        <v>7735</v>
      </c>
      <c r="B7736" s="8" t="s">
        <v>34155</v>
      </c>
      <c r="C7736" s="8" t="s">
        <v>34155</v>
      </c>
      <c r="F7736" s="47"/>
      <c r="G7736" s="8">
        <v>16</v>
      </c>
      <c r="H7736" s="8" t="s">
        <v>21</v>
      </c>
      <c r="I7736" s="8" t="s">
        <v>22</v>
      </c>
      <c r="J7736" s="8" t="s">
        <v>22</v>
      </c>
      <c r="K7736" s="8" t="s">
        <v>382</v>
      </c>
      <c r="L7736" s="8" t="s">
        <v>24</v>
      </c>
      <c r="M7736" s="8" t="s">
        <v>25</v>
      </c>
      <c r="N7736" s="8" t="s">
        <v>34156</v>
      </c>
      <c r="O7736" s="8">
        <f>23+42/60+17.3/3600</f>
        <v>23.704805555555556</v>
      </c>
      <c r="P7736" s="8" t="s">
        <v>34157</v>
      </c>
      <c r="Q7736" s="8">
        <f>+(26+13/60+56/3600)</f>
        <v>26.232222222222219</v>
      </c>
      <c r="R7736" s="8">
        <v>13.6</v>
      </c>
      <c r="S7736" s="8">
        <v>14.6</v>
      </c>
      <c r="T7736" s="8">
        <v>1</v>
      </c>
      <c r="U7736" s="8">
        <v>13.7</v>
      </c>
      <c r="V7736" s="8">
        <v>1.3</v>
      </c>
      <c r="W7736" s="8">
        <v>0.9</v>
      </c>
      <c r="X7736" s="8">
        <v>90</v>
      </c>
      <c r="Y7736" s="8" t="s">
        <v>34158</v>
      </c>
      <c r="Z7736" s="8" t="s">
        <v>34159</v>
      </c>
    </row>
    <row r="7737" spans="1:26" x14ac:dyDescent="0.2">
      <c r="A7737" s="8">
        <v>7736</v>
      </c>
      <c r="B7737" s="8" t="s">
        <v>34160</v>
      </c>
      <c r="C7737" s="8" t="s">
        <v>34160</v>
      </c>
      <c r="F7737" s="47"/>
      <c r="G7737" s="8">
        <v>19</v>
      </c>
      <c r="H7737" s="8" t="s">
        <v>21</v>
      </c>
      <c r="I7737" s="8" t="s">
        <v>22</v>
      </c>
      <c r="J7737" s="8" t="s">
        <v>22</v>
      </c>
      <c r="K7737" s="8" t="s">
        <v>37</v>
      </c>
      <c r="L7737" s="8" t="s">
        <v>30854</v>
      </c>
      <c r="M7737" s="8" t="s">
        <v>30855</v>
      </c>
      <c r="N7737" s="8" t="s">
        <v>34161</v>
      </c>
      <c r="O7737" s="8">
        <f>23+42/60+25.7/3600</f>
        <v>23.707138888888888</v>
      </c>
      <c r="P7737" s="8" t="s">
        <v>34162</v>
      </c>
      <c r="Q7737" s="8">
        <f>-(19+27/60+9/3600)</f>
        <v>-19.452500000000001</v>
      </c>
      <c r="R7737" s="8">
        <v>12.9</v>
      </c>
      <c r="S7737" s="8">
        <v>13.9</v>
      </c>
      <c r="T7737" s="8">
        <v>1</v>
      </c>
      <c r="U7737" s="8">
        <v>13.8</v>
      </c>
      <c r="V7737" s="8">
        <v>1.7</v>
      </c>
      <c r="W7737" s="8">
        <v>1.5</v>
      </c>
      <c r="Y7737" s="8" t="s">
        <v>34163</v>
      </c>
      <c r="Z7737" s="8" t="s">
        <v>34164</v>
      </c>
    </row>
    <row r="7738" spans="1:26" x14ac:dyDescent="0.2">
      <c r="A7738" s="8">
        <v>7737</v>
      </c>
      <c r="B7738" s="8" t="s">
        <v>34165</v>
      </c>
      <c r="C7738" s="8" t="s">
        <v>34165</v>
      </c>
      <c r="F7738" s="47"/>
      <c r="G7738" s="8">
        <v>19</v>
      </c>
      <c r="H7738" s="8" t="s">
        <v>21</v>
      </c>
      <c r="I7738" s="8" t="s">
        <v>22</v>
      </c>
      <c r="J7738" s="8" t="s">
        <v>22</v>
      </c>
      <c r="K7738" s="8" t="s">
        <v>632</v>
      </c>
      <c r="L7738" s="8" t="s">
        <v>24</v>
      </c>
      <c r="M7738" s="8" t="s">
        <v>25</v>
      </c>
      <c r="N7738" s="8" t="s">
        <v>34166</v>
      </c>
      <c r="O7738" s="8">
        <f>23+42/60+46.3/3600</f>
        <v>23.71286111111111</v>
      </c>
      <c r="P7738" s="8" t="s">
        <v>34167</v>
      </c>
      <c r="Q7738" s="8">
        <f>+(27+3/60+9/3600)</f>
        <v>27.052500000000002</v>
      </c>
      <c r="R7738" s="8">
        <v>13.8</v>
      </c>
      <c r="S7738" s="8">
        <v>14.7</v>
      </c>
      <c r="T7738" s="8">
        <v>0.9</v>
      </c>
      <c r="U7738" s="8">
        <v>13</v>
      </c>
      <c r="V7738" s="8">
        <v>0.9</v>
      </c>
      <c r="W7738" s="8">
        <v>0.4</v>
      </c>
      <c r="X7738" s="8">
        <v>147</v>
      </c>
      <c r="Y7738" s="8" t="s">
        <v>34168</v>
      </c>
      <c r="Z7738" s="8" t="s">
        <v>34169</v>
      </c>
    </row>
    <row r="7739" spans="1:26" x14ac:dyDescent="0.2">
      <c r="A7739" s="8">
        <v>7738</v>
      </c>
      <c r="B7739" s="8" t="s">
        <v>34170</v>
      </c>
      <c r="C7739" s="8" t="s">
        <v>34170</v>
      </c>
      <c r="F7739" s="47"/>
      <c r="G7739" s="8">
        <v>18</v>
      </c>
      <c r="H7739" s="8" t="s">
        <v>21</v>
      </c>
      <c r="I7739" s="8" t="s">
        <v>22</v>
      </c>
      <c r="J7739" s="8" t="s">
        <v>22</v>
      </c>
      <c r="K7739" s="8" t="s">
        <v>218</v>
      </c>
      <c r="L7739" s="8" t="s">
        <v>38</v>
      </c>
      <c r="M7739" s="8" t="s">
        <v>39</v>
      </c>
      <c r="N7739" s="8" t="s">
        <v>34171</v>
      </c>
      <c r="O7739" s="8">
        <f>23+44/60+2/3600</f>
        <v>23.733888888888888</v>
      </c>
      <c r="P7739" s="8" t="s">
        <v>34172</v>
      </c>
      <c r="Q7739" s="8">
        <f>+(0+31/60+3/3600)</f>
        <v>0.51750000000000007</v>
      </c>
      <c r="R7739" s="8">
        <v>13.1</v>
      </c>
      <c r="S7739" s="8">
        <v>13.9</v>
      </c>
      <c r="T7739" s="8">
        <v>0.8</v>
      </c>
      <c r="U7739" s="8">
        <v>14.1</v>
      </c>
      <c r="V7739" s="8">
        <v>2</v>
      </c>
      <c r="W7739" s="8">
        <v>1.5</v>
      </c>
      <c r="X7739" s="8">
        <v>80</v>
      </c>
      <c r="Y7739" s="8" t="s">
        <v>34173</v>
      </c>
      <c r="Z7739" s="8" t="s">
        <v>34174</v>
      </c>
    </row>
    <row r="7740" spans="1:26" x14ac:dyDescent="0.2">
      <c r="A7740" s="8">
        <v>7739</v>
      </c>
      <c r="B7740" s="8" t="s">
        <v>34175</v>
      </c>
      <c r="C7740" s="8" t="s">
        <v>34175</v>
      </c>
      <c r="F7740" s="47"/>
      <c r="G7740" s="8">
        <v>18</v>
      </c>
      <c r="H7740" s="8" t="s">
        <v>21</v>
      </c>
      <c r="I7740" s="8" t="s">
        <v>22</v>
      </c>
      <c r="J7740" s="8" t="s">
        <v>22</v>
      </c>
      <c r="K7740" s="8" t="s">
        <v>1136</v>
      </c>
      <c r="L7740" s="8" t="s">
        <v>38</v>
      </c>
      <c r="M7740" s="8" t="s">
        <v>39</v>
      </c>
      <c r="N7740" s="8" t="s">
        <v>34176</v>
      </c>
      <c r="O7740" s="8">
        <f>23+44/60+30/3600</f>
        <v>23.741666666666667</v>
      </c>
      <c r="P7740" s="8" t="s">
        <v>34177</v>
      </c>
      <c r="Q7740" s="8">
        <f>+(0+19/60+16/3600)</f>
        <v>0.32111111111111107</v>
      </c>
      <c r="R7740" s="8">
        <v>13.6</v>
      </c>
      <c r="S7740" s="8">
        <v>14.6</v>
      </c>
      <c r="T7740" s="8">
        <v>1</v>
      </c>
      <c r="U7740" s="8">
        <v>13.7</v>
      </c>
      <c r="V7740" s="8">
        <v>1.1000000000000001</v>
      </c>
      <c r="W7740" s="8">
        <v>0.9</v>
      </c>
      <c r="X7740" s="8">
        <v>90</v>
      </c>
      <c r="Y7740" s="8" t="s">
        <v>34178</v>
      </c>
      <c r="Z7740" s="8" t="s">
        <v>34179</v>
      </c>
    </row>
    <row r="7741" spans="1:26" x14ac:dyDescent="0.2">
      <c r="A7741" s="8">
        <v>7740</v>
      </c>
      <c r="B7741" s="8" t="s">
        <v>34180</v>
      </c>
      <c r="C7741" s="8" t="s">
        <v>34180</v>
      </c>
      <c r="F7741" s="47"/>
      <c r="G7741" s="8">
        <v>19</v>
      </c>
      <c r="H7741" s="8" t="s">
        <v>21</v>
      </c>
      <c r="I7741" s="8" t="s">
        <v>22</v>
      </c>
      <c r="J7741" s="8" t="s">
        <v>22</v>
      </c>
      <c r="K7741" s="8" t="s">
        <v>37</v>
      </c>
      <c r="L7741" s="8" t="s">
        <v>24</v>
      </c>
      <c r="M7741" s="8" t="s">
        <v>25</v>
      </c>
      <c r="N7741" s="8" t="s">
        <v>34181</v>
      </c>
      <c r="O7741" s="8">
        <f>23+43/60+32.2/3600</f>
        <v>23.72561111111111</v>
      </c>
      <c r="P7741" s="8" t="s">
        <v>34182</v>
      </c>
      <c r="Q7741" s="8">
        <f>+(27+18/60+45/3600)</f>
        <v>27.3125</v>
      </c>
      <c r="R7741" s="8">
        <v>14</v>
      </c>
      <c r="S7741" s="8">
        <v>15</v>
      </c>
      <c r="T7741" s="8">
        <v>1</v>
      </c>
      <c r="U7741" s="8">
        <v>13.1</v>
      </c>
      <c r="V7741" s="8">
        <v>0.8</v>
      </c>
      <c r="W7741" s="8">
        <v>0.5</v>
      </c>
      <c r="X7741" s="8">
        <v>140</v>
      </c>
      <c r="Y7741" s="8" t="s">
        <v>34183</v>
      </c>
      <c r="Z7741" s="8" t="s">
        <v>34184</v>
      </c>
    </row>
    <row r="7742" spans="1:26" x14ac:dyDescent="0.2">
      <c r="A7742" s="8">
        <v>7741</v>
      </c>
      <c r="B7742" s="8" t="s">
        <v>34185</v>
      </c>
      <c r="C7742" s="8" t="s">
        <v>34185</v>
      </c>
      <c r="F7742" s="47" t="s">
        <v>58419</v>
      </c>
      <c r="G7742" s="8">
        <v>13</v>
      </c>
      <c r="H7742" s="8" t="s">
        <v>21</v>
      </c>
      <c r="I7742" s="8" t="s">
        <v>22</v>
      </c>
      <c r="J7742" s="8" t="s">
        <v>22</v>
      </c>
      <c r="K7742" s="8" t="s">
        <v>64</v>
      </c>
      <c r="L7742" s="8" t="s">
        <v>24</v>
      </c>
      <c r="M7742" s="8" t="s">
        <v>25</v>
      </c>
      <c r="N7742" s="8" t="s">
        <v>34186</v>
      </c>
      <c r="O7742" s="8">
        <f>23+43/60+54.3/3600</f>
        <v>23.731749999999998</v>
      </c>
      <c r="P7742" s="8" t="s">
        <v>34187</v>
      </c>
      <c r="Q7742" s="8">
        <f>+(26+4/60+31/3600)</f>
        <v>26.075277777777778</v>
      </c>
      <c r="R7742" s="8">
        <v>11.3</v>
      </c>
      <c r="S7742" s="8">
        <v>11.8</v>
      </c>
      <c r="T7742" s="8">
        <v>0.5</v>
      </c>
      <c r="U7742" s="8">
        <v>13.9</v>
      </c>
      <c r="V7742" s="8">
        <v>4.5</v>
      </c>
      <c r="W7742" s="8">
        <v>2.9</v>
      </c>
      <c r="X7742" s="8">
        <v>170</v>
      </c>
      <c r="Y7742" s="8" t="s">
        <v>34188</v>
      </c>
      <c r="Z7742" s="8" t="s">
        <v>34189</v>
      </c>
    </row>
    <row r="7743" spans="1:26" x14ac:dyDescent="0.2">
      <c r="A7743" s="8">
        <v>7742</v>
      </c>
      <c r="B7743" s="8" t="s">
        <v>34190</v>
      </c>
      <c r="C7743" s="8" t="s">
        <v>34190</v>
      </c>
      <c r="F7743" s="47" t="s">
        <v>58420</v>
      </c>
      <c r="G7743" s="8">
        <v>6.5</v>
      </c>
      <c r="H7743" s="8" t="s">
        <v>34191</v>
      </c>
      <c r="I7743" s="8" t="s">
        <v>22</v>
      </c>
      <c r="J7743" s="8" t="s">
        <v>22</v>
      </c>
      <c r="K7743" s="8" t="s">
        <v>23</v>
      </c>
      <c r="L7743" s="8" t="s">
        <v>24</v>
      </c>
      <c r="M7743" s="8" t="s">
        <v>25</v>
      </c>
      <c r="N7743" s="8" t="s">
        <v>34192</v>
      </c>
      <c r="O7743" s="8">
        <f>23+44/60+15.7/3600</f>
        <v>23.737694444444447</v>
      </c>
      <c r="P7743" s="8" t="s">
        <v>34193</v>
      </c>
      <c r="Q7743" s="8">
        <f>+(10+46/60+1/3600)</f>
        <v>10.766944444444444</v>
      </c>
      <c r="R7743" s="8">
        <v>11.6</v>
      </c>
      <c r="S7743" s="8">
        <v>12.4</v>
      </c>
      <c r="T7743" s="8">
        <v>0.8</v>
      </c>
      <c r="U7743" s="8">
        <v>12.7</v>
      </c>
      <c r="V7743" s="8">
        <v>1.7</v>
      </c>
      <c r="W7743" s="8">
        <v>1.7</v>
      </c>
      <c r="Y7743" s="8" t="s">
        <v>34194</v>
      </c>
      <c r="Z7743" s="8" t="s">
        <v>34195</v>
      </c>
    </row>
    <row r="7744" spans="1:26" x14ac:dyDescent="0.2">
      <c r="A7744" s="8">
        <v>7743</v>
      </c>
      <c r="B7744" s="8" t="s">
        <v>34196</v>
      </c>
      <c r="C7744" s="8" t="s">
        <v>34196</v>
      </c>
      <c r="F7744" s="47" t="s">
        <v>58421</v>
      </c>
      <c r="G7744" s="8">
        <v>13</v>
      </c>
      <c r="H7744" s="8" t="s">
        <v>21</v>
      </c>
      <c r="I7744" s="8" t="s">
        <v>22</v>
      </c>
      <c r="J7744" s="8" t="s">
        <v>22</v>
      </c>
      <c r="K7744" s="8" t="s">
        <v>435</v>
      </c>
      <c r="L7744" s="8" t="s">
        <v>24</v>
      </c>
      <c r="M7744" s="8" t="s">
        <v>25</v>
      </c>
      <c r="N7744" s="8" t="s">
        <v>34197</v>
      </c>
      <c r="O7744" s="8">
        <f>23+44/60+21.1/3600</f>
        <v>23.739194444444447</v>
      </c>
      <c r="P7744" s="8" t="s">
        <v>34198</v>
      </c>
      <c r="Q7744" s="8">
        <f>+(9+56/60+2/3600)</f>
        <v>9.9338888888888892</v>
      </c>
      <c r="R7744" s="8">
        <v>11.5</v>
      </c>
      <c r="S7744" s="8">
        <v>12.4</v>
      </c>
      <c r="T7744" s="8">
        <v>0.9</v>
      </c>
      <c r="U7744" s="8">
        <v>13.6</v>
      </c>
      <c r="V7744" s="8">
        <v>2.8</v>
      </c>
      <c r="W7744" s="8">
        <v>2.4</v>
      </c>
      <c r="X7744" s="8">
        <v>80</v>
      </c>
      <c r="Y7744" s="8" t="s">
        <v>34199</v>
      </c>
      <c r="Z7744" s="8" t="s">
        <v>34200</v>
      </c>
    </row>
    <row r="7745" spans="1:26" x14ac:dyDescent="0.2">
      <c r="A7745" s="8">
        <v>7744</v>
      </c>
      <c r="B7745" s="8" t="s">
        <v>34201</v>
      </c>
      <c r="C7745" s="8" t="s">
        <v>34201</v>
      </c>
      <c r="F7745" s="47"/>
      <c r="G7745" s="8">
        <v>13</v>
      </c>
      <c r="H7745" s="8" t="s">
        <v>21</v>
      </c>
      <c r="I7745" s="8" t="s">
        <v>22</v>
      </c>
      <c r="J7745" s="8" t="s">
        <v>22</v>
      </c>
      <c r="K7745" s="8" t="s">
        <v>118</v>
      </c>
      <c r="L7745" s="8" t="s">
        <v>166</v>
      </c>
      <c r="M7745" s="8" t="s">
        <v>167</v>
      </c>
      <c r="N7745" s="8" t="s">
        <v>34202</v>
      </c>
      <c r="O7745" s="8">
        <f>23+44/60+59.2/3600</f>
        <v>23.74977777777778</v>
      </c>
      <c r="P7745" s="8" t="s">
        <v>34203</v>
      </c>
      <c r="Q7745" s="8">
        <f>-(42+54/60+36/3600)</f>
        <v>-42.91</v>
      </c>
      <c r="R7745" s="8">
        <v>11.9</v>
      </c>
      <c r="S7745" s="8">
        <v>12.9</v>
      </c>
      <c r="T7745" s="8">
        <v>1</v>
      </c>
      <c r="U7745" s="8">
        <v>13.2</v>
      </c>
      <c r="V7745" s="8">
        <v>2.2000000000000002</v>
      </c>
      <c r="W7745" s="8">
        <v>1.8</v>
      </c>
      <c r="X7745" s="8">
        <v>105</v>
      </c>
      <c r="Y7745" s="8" t="s">
        <v>34204</v>
      </c>
      <c r="Z7745" s="8" t="s">
        <v>34205</v>
      </c>
    </row>
    <row r="7746" spans="1:26" x14ac:dyDescent="0.2">
      <c r="A7746" s="8">
        <v>7745</v>
      </c>
      <c r="B7746" s="8" t="s">
        <v>34206</v>
      </c>
      <c r="C7746" s="8" t="s">
        <v>34206</v>
      </c>
      <c r="F7746" s="47"/>
      <c r="G7746" s="8">
        <v>18</v>
      </c>
      <c r="H7746" s="8" t="s">
        <v>21</v>
      </c>
      <c r="I7746" s="8" t="s">
        <v>22</v>
      </c>
      <c r="J7746" s="8" t="s">
        <v>22</v>
      </c>
      <c r="K7746" s="8" t="s">
        <v>460</v>
      </c>
      <c r="L7746" s="8" t="s">
        <v>24</v>
      </c>
      <c r="M7746" s="8" t="s">
        <v>25</v>
      </c>
      <c r="N7746" s="8" t="s">
        <v>34207</v>
      </c>
      <c r="O7746" s="8">
        <f>23+44/60+45.7/3600</f>
        <v>23.74602777777778</v>
      </c>
      <c r="P7746" s="8" t="s">
        <v>34208</v>
      </c>
      <c r="Q7746" s="8">
        <f>+(25+54/60+34/3600)</f>
        <v>25.909444444444443</v>
      </c>
      <c r="R7746" s="8">
        <v>14.2</v>
      </c>
      <c r="S7746" s="8">
        <v>15.2</v>
      </c>
      <c r="T7746" s="8">
        <v>1</v>
      </c>
      <c r="U7746" s="8">
        <v>13.5</v>
      </c>
      <c r="V7746" s="8">
        <v>0.7</v>
      </c>
      <c r="W7746" s="8">
        <v>0.7</v>
      </c>
      <c r="Y7746" s="8" t="s">
        <v>47</v>
      </c>
      <c r="Z7746" s="8" t="s">
        <v>48</v>
      </c>
    </row>
    <row r="7747" spans="1:26" x14ac:dyDescent="0.2">
      <c r="A7747" s="8">
        <v>7746</v>
      </c>
      <c r="B7747" s="8" t="s">
        <v>34209</v>
      </c>
      <c r="C7747" s="8" t="s">
        <v>34209</v>
      </c>
      <c r="F7747" s="47"/>
      <c r="G7747" s="8">
        <v>19</v>
      </c>
      <c r="H7747" s="8" t="s">
        <v>21</v>
      </c>
      <c r="I7747" s="8" t="s">
        <v>22</v>
      </c>
      <c r="J7747" s="8" t="s">
        <v>22</v>
      </c>
      <c r="K7747" s="8" t="s">
        <v>37</v>
      </c>
      <c r="L7747" s="8" t="s">
        <v>38</v>
      </c>
      <c r="M7747" s="8" t="s">
        <v>39</v>
      </c>
      <c r="N7747" s="8" t="s">
        <v>34210</v>
      </c>
      <c r="O7747" s="8">
        <f>23+45/60+19.9/3600</f>
        <v>23.755527777777779</v>
      </c>
      <c r="P7747" s="8" t="s">
        <v>34211</v>
      </c>
      <c r="Q7747" s="8">
        <f>-(1+41/60+4/3600)</f>
        <v>-1.6844444444444444</v>
      </c>
      <c r="R7747" s="8">
        <v>13.1</v>
      </c>
      <c r="S7747" s="8">
        <v>14.1</v>
      </c>
      <c r="T7747" s="8">
        <v>1</v>
      </c>
      <c r="U7747" s="8">
        <v>13.4</v>
      </c>
      <c r="V7747" s="8">
        <v>1.4</v>
      </c>
      <c r="W7747" s="8">
        <v>1.1000000000000001</v>
      </c>
      <c r="X7747" s="8">
        <v>154</v>
      </c>
      <c r="Y7747" s="8" t="s">
        <v>34212</v>
      </c>
      <c r="Z7747" s="8" t="s">
        <v>34213</v>
      </c>
    </row>
    <row r="7748" spans="1:26" x14ac:dyDescent="0.2">
      <c r="A7748" s="8">
        <v>7747</v>
      </c>
      <c r="B7748" s="8" t="s">
        <v>34214</v>
      </c>
      <c r="C7748" s="8" t="s">
        <v>34214</v>
      </c>
      <c r="F7748" s="47"/>
      <c r="G7748" s="8">
        <v>18</v>
      </c>
      <c r="H7748" s="8" t="s">
        <v>21</v>
      </c>
      <c r="I7748" s="8" t="s">
        <v>22</v>
      </c>
      <c r="J7748" s="8" t="s">
        <v>22</v>
      </c>
      <c r="K7748" s="8" t="s">
        <v>218</v>
      </c>
      <c r="L7748" s="8" t="s">
        <v>24</v>
      </c>
      <c r="M7748" s="8" t="s">
        <v>25</v>
      </c>
      <c r="N7748" s="8" t="s">
        <v>34215</v>
      </c>
      <c r="O7748" s="8">
        <f>23+45/60+32.5/3600</f>
        <v>23.759027777777778</v>
      </c>
      <c r="P7748" s="8" t="s">
        <v>34216</v>
      </c>
      <c r="Q7748" s="8">
        <f>+(27+21/60+38/3600)</f>
        <v>27.360555555555557</v>
      </c>
      <c r="R7748" s="8">
        <v>13.6</v>
      </c>
      <c r="S7748" s="8">
        <v>14.4</v>
      </c>
      <c r="T7748" s="8">
        <v>0.8</v>
      </c>
      <c r="U7748" s="8">
        <v>13.1</v>
      </c>
      <c r="V7748" s="8">
        <v>1.5</v>
      </c>
      <c r="W7748" s="8">
        <v>0.5</v>
      </c>
      <c r="X7748" s="8">
        <v>36</v>
      </c>
      <c r="Y7748" s="8" t="s">
        <v>755</v>
      </c>
      <c r="Z7748" s="8" t="s">
        <v>756</v>
      </c>
    </row>
    <row r="7749" spans="1:26" x14ac:dyDescent="0.2">
      <c r="A7749" s="8">
        <v>7748</v>
      </c>
      <c r="B7749" s="8" t="s">
        <v>34217</v>
      </c>
      <c r="C7749" s="8" t="s">
        <v>34217</v>
      </c>
      <c r="F7749" s="47"/>
      <c r="G7749" s="8">
        <v>16</v>
      </c>
      <c r="H7749" s="8" t="s">
        <v>21</v>
      </c>
      <c r="I7749" s="8" t="s">
        <v>72</v>
      </c>
      <c r="J7749" s="8" t="s">
        <v>72</v>
      </c>
      <c r="K7749" s="8" t="s">
        <v>20</v>
      </c>
      <c r="L7749" s="8" t="s">
        <v>242</v>
      </c>
      <c r="M7749" s="8" t="s">
        <v>243</v>
      </c>
      <c r="N7749" s="8" t="s">
        <v>34218</v>
      </c>
      <c r="O7749" s="8">
        <f>23+44/60+56.5/3600</f>
        <v>23.74902777777778</v>
      </c>
      <c r="P7749" s="8" t="s">
        <v>34219</v>
      </c>
      <c r="Q7749" s="8">
        <f>+(69+45/60+19/3600)</f>
        <v>69.755277777777778</v>
      </c>
      <c r="R7749" s="8">
        <v>99</v>
      </c>
      <c r="S7749" s="8">
        <v>7.2</v>
      </c>
      <c r="T7749" s="8">
        <v>99</v>
      </c>
      <c r="U7749" s="8">
        <v>99</v>
      </c>
      <c r="Y7749" s="8" t="s">
        <v>34220</v>
      </c>
      <c r="Z7749" s="8" t="s">
        <v>34221</v>
      </c>
    </row>
    <row r="7750" spans="1:26" x14ac:dyDescent="0.2">
      <c r="A7750" s="8">
        <v>7749</v>
      </c>
      <c r="B7750" s="8" t="s">
        <v>34222</v>
      </c>
      <c r="C7750" s="8" t="s">
        <v>34222</v>
      </c>
      <c r="F7750" s="47"/>
      <c r="G7750" s="8">
        <v>16</v>
      </c>
      <c r="H7750" s="8" t="s">
        <v>21</v>
      </c>
      <c r="I7750" s="8" t="s">
        <v>22</v>
      </c>
      <c r="J7750" s="8" t="s">
        <v>22</v>
      </c>
      <c r="K7750" s="8" t="s">
        <v>37</v>
      </c>
      <c r="L7750" s="8" t="s">
        <v>65</v>
      </c>
      <c r="M7750" s="8" t="s">
        <v>66</v>
      </c>
      <c r="N7750" s="8" t="s">
        <v>34223</v>
      </c>
      <c r="O7750" s="8">
        <f>23+45/60+47.5/3600</f>
        <v>23.763194444444444</v>
      </c>
      <c r="P7750" s="8" t="s">
        <v>34224</v>
      </c>
      <c r="Q7750" s="8">
        <f>-(29+31/60+4/3600)</f>
        <v>-29.517777777777777</v>
      </c>
      <c r="R7750" s="8">
        <v>12.8</v>
      </c>
      <c r="S7750" s="8">
        <v>13.8</v>
      </c>
      <c r="T7750" s="8">
        <v>1</v>
      </c>
      <c r="U7750" s="8">
        <v>13.3</v>
      </c>
      <c r="V7750" s="8">
        <v>1.6</v>
      </c>
      <c r="W7750" s="8">
        <v>1.1000000000000001</v>
      </c>
      <c r="X7750" s="8">
        <v>28</v>
      </c>
      <c r="Y7750" s="8" t="s">
        <v>34225</v>
      </c>
      <c r="Z7750" s="8" t="s">
        <v>34226</v>
      </c>
    </row>
    <row r="7751" spans="1:26" x14ac:dyDescent="0.2">
      <c r="A7751" s="8">
        <v>7750</v>
      </c>
      <c r="B7751" s="8" t="s">
        <v>34227</v>
      </c>
      <c r="C7751" s="8" t="s">
        <v>34227</v>
      </c>
      <c r="F7751" s="47" t="s">
        <v>58422</v>
      </c>
      <c r="G7751" s="8">
        <v>15</v>
      </c>
      <c r="H7751" s="8" t="s">
        <v>21</v>
      </c>
      <c r="I7751" s="8" t="s">
        <v>22</v>
      </c>
      <c r="J7751" s="8" t="s">
        <v>22</v>
      </c>
      <c r="K7751" s="8" t="s">
        <v>520</v>
      </c>
      <c r="L7751" s="8" t="s">
        <v>38</v>
      </c>
      <c r="M7751" s="8" t="s">
        <v>39</v>
      </c>
      <c r="N7751" s="8" t="s">
        <v>34228</v>
      </c>
      <c r="O7751" s="8">
        <f>23+46/60+37.8/3600</f>
        <v>23.777166666666666</v>
      </c>
      <c r="P7751" s="8" t="s">
        <v>34229</v>
      </c>
      <c r="Q7751" s="8">
        <f>+(3+47/60+59/3600)</f>
        <v>3.799722222222222</v>
      </c>
      <c r="R7751" s="8">
        <v>12.9</v>
      </c>
      <c r="S7751" s="8">
        <v>13.5</v>
      </c>
      <c r="T7751" s="8">
        <v>0.6</v>
      </c>
      <c r="U7751" s="8">
        <v>13</v>
      </c>
      <c r="V7751" s="8">
        <v>1.6</v>
      </c>
      <c r="W7751" s="8">
        <v>0.8</v>
      </c>
      <c r="X7751" s="8">
        <v>171</v>
      </c>
      <c r="Y7751" s="8" t="s">
        <v>34230</v>
      </c>
      <c r="Z7751" s="8" t="s">
        <v>34231</v>
      </c>
    </row>
    <row r="7752" spans="1:26" x14ac:dyDescent="0.2">
      <c r="A7752" s="8">
        <v>7751</v>
      </c>
      <c r="B7752" s="8" t="s">
        <v>34232</v>
      </c>
      <c r="C7752" s="8" t="s">
        <v>34232</v>
      </c>
      <c r="F7752" s="47" t="s">
        <v>58423</v>
      </c>
      <c r="G7752" s="8">
        <v>15</v>
      </c>
      <c r="H7752" s="8" t="s">
        <v>21</v>
      </c>
      <c r="I7752" s="8" t="s">
        <v>22</v>
      </c>
      <c r="J7752" s="8" t="s">
        <v>22</v>
      </c>
      <c r="K7752" s="8" t="s">
        <v>449</v>
      </c>
      <c r="L7752" s="8" t="s">
        <v>38</v>
      </c>
      <c r="M7752" s="8" t="s">
        <v>39</v>
      </c>
      <c r="N7752" s="8" t="s">
        <v>34233</v>
      </c>
      <c r="O7752" s="8">
        <f>23+46/60+58.4/3600</f>
        <v>23.782888888888888</v>
      </c>
      <c r="P7752" s="8" t="s">
        <v>34234</v>
      </c>
      <c r="Q7752" s="8">
        <f>+(6+51/60+43/3600)</f>
        <v>6.8619444444444442</v>
      </c>
      <c r="R7752" s="8">
        <v>13.1</v>
      </c>
      <c r="S7752" s="8">
        <v>13.9</v>
      </c>
      <c r="T7752" s="8">
        <v>0.8</v>
      </c>
      <c r="U7752" s="8">
        <v>13</v>
      </c>
      <c r="V7752" s="8">
        <v>1</v>
      </c>
      <c r="W7752" s="8">
        <v>1</v>
      </c>
      <c r="Y7752" s="8" t="s">
        <v>34235</v>
      </c>
      <c r="Z7752" s="8" t="s">
        <v>34236</v>
      </c>
    </row>
    <row r="7753" spans="1:26" x14ac:dyDescent="0.2">
      <c r="A7753" s="8">
        <v>7752</v>
      </c>
      <c r="B7753" s="8" t="s">
        <v>34237</v>
      </c>
      <c r="C7753" s="8" t="s">
        <v>34237</v>
      </c>
      <c r="F7753" s="47"/>
      <c r="G7753" s="8">
        <v>18</v>
      </c>
      <c r="H7753" s="8" t="s">
        <v>21</v>
      </c>
      <c r="I7753" s="8" t="s">
        <v>22</v>
      </c>
      <c r="J7753" s="8" t="s">
        <v>22</v>
      </c>
      <c r="K7753" s="8" t="s">
        <v>58</v>
      </c>
      <c r="L7753" s="8" t="s">
        <v>24</v>
      </c>
      <c r="M7753" s="8" t="s">
        <v>25</v>
      </c>
      <c r="N7753" s="8" t="s">
        <v>34238</v>
      </c>
      <c r="O7753" s="8">
        <f>23+46/60+58.5/3600</f>
        <v>23.782916666666665</v>
      </c>
      <c r="P7753" s="8" t="s">
        <v>34239</v>
      </c>
      <c r="Q7753" s="8">
        <f>+(29+27/60+34/3600)</f>
        <v>29.459444444444443</v>
      </c>
      <c r="R7753" s="8">
        <v>14.3</v>
      </c>
      <c r="S7753" s="8">
        <v>15</v>
      </c>
      <c r="T7753" s="8">
        <v>0.7</v>
      </c>
      <c r="U7753" s="8">
        <v>13.5</v>
      </c>
      <c r="V7753" s="8">
        <v>0.9</v>
      </c>
      <c r="W7753" s="8">
        <v>0.5</v>
      </c>
      <c r="X7753" s="8">
        <v>113</v>
      </c>
      <c r="Y7753" s="8" t="s">
        <v>34240</v>
      </c>
      <c r="Z7753" s="8" t="s">
        <v>34241</v>
      </c>
    </row>
    <row r="7754" spans="1:26" x14ac:dyDescent="0.2">
      <c r="A7754" s="8">
        <v>7753</v>
      </c>
      <c r="B7754" s="8" t="s">
        <v>34242</v>
      </c>
      <c r="C7754" s="8" t="s">
        <v>34242</v>
      </c>
      <c r="F7754" s="47" t="s">
        <v>58424</v>
      </c>
      <c r="G7754" s="8">
        <v>15</v>
      </c>
      <c r="H7754" s="8" t="s">
        <v>21</v>
      </c>
      <c r="I7754" s="8" t="s">
        <v>22</v>
      </c>
      <c r="J7754" s="8" t="s">
        <v>22</v>
      </c>
      <c r="K7754" s="8" t="s">
        <v>85</v>
      </c>
      <c r="L7754" s="8" t="s">
        <v>24</v>
      </c>
      <c r="M7754" s="8" t="s">
        <v>25</v>
      </c>
      <c r="N7754" s="8" t="s">
        <v>34243</v>
      </c>
      <c r="O7754" s="8">
        <f>23+47/60+4.8/3600</f>
        <v>23.78466666666667</v>
      </c>
      <c r="P7754" s="8" t="s">
        <v>34244</v>
      </c>
      <c r="Q7754" s="8">
        <f>+(29+29/60+2/3600)</f>
        <v>29.483888888888888</v>
      </c>
      <c r="R7754" s="8">
        <v>12</v>
      </c>
      <c r="S7754" s="8">
        <v>12.8</v>
      </c>
      <c r="T7754" s="8">
        <v>0.8</v>
      </c>
      <c r="U7754" s="8">
        <v>14</v>
      </c>
      <c r="V7754" s="8">
        <v>3.3</v>
      </c>
      <c r="W7754" s="8">
        <v>2.1</v>
      </c>
      <c r="X7754" s="8">
        <v>50</v>
      </c>
      <c r="Y7754" s="8" t="s">
        <v>34240</v>
      </c>
      <c r="Z7754" s="8" t="s">
        <v>34245</v>
      </c>
    </row>
    <row r="7755" spans="1:26" x14ac:dyDescent="0.2">
      <c r="A7755" s="8">
        <v>7754</v>
      </c>
      <c r="B7755" s="8" t="s">
        <v>34246</v>
      </c>
      <c r="C7755" s="8" t="s">
        <v>34246</v>
      </c>
      <c r="F7755" s="47"/>
      <c r="G7755" s="8">
        <v>19</v>
      </c>
      <c r="H7755" s="8" t="s">
        <v>21</v>
      </c>
      <c r="I7755" s="8" t="s">
        <v>22</v>
      </c>
      <c r="J7755" s="8" t="s">
        <v>22</v>
      </c>
      <c r="K7755" s="8" t="s">
        <v>91</v>
      </c>
      <c r="L7755" s="8" t="s">
        <v>30854</v>
      </c>
      <c r="M7755" s="8" t="s">
        <v>30855</v>
      </c>
      <c r="N7755" s="8" t="s">
        <v>34247</v>
      </c>
      <c r="O7755" s="8">
        <f>23+49/60+11.2/3600</f>
        <v>23.819777777777777</v>
      </c>
      <c r="P7755" s="8" t="s">
        <v>34248</v>
      </c>
      <c r="Q7755" s="8">
        <f>-(16+36/60+2/3600)</f>
        <v>-16.600555555555555</v>
      </c>
      <c r="R7755" s="8">
        <v>14.5</v>
      </c>
      <c r="S7755" s="8">
        <v>15.4</v>
      </c>
      <c r="T7755" s="8">
        <v>0.9</v>
      </c>
      <c r="U7755" s="8">
        <v>12.5</v>
      </c>
      <c r="V7755" s="8">
        <v>0.6</v>
      </c>
      <c r="W7755" s="8">
        <v>0.3</v>
      </c>
      <c r="X7755" s="8">
        <v>128</v>
      </c>
      <c r="Y7755" s="8" t="s">
        <v>266</v>
      </c>
      <c r="Z7755" s="8" t="s">
        <v>267</v>
      </c>
    </row>
    <row r="7756" spans="1:26" x14ac:dyDescent="0.2">
      <c r="A7756" s="8">
        <v>7755</v>
      </c>
      <c r="B7756" s="8" t="s">
        <v>34249</v>
      </c>
      <c r="C7756" s="8" t="s">
        <v>34249</v>
      </c>
      <c r="F7756" s="47"/>
      <c r="G7756" s="8">
        <v>13</v>
      </c>
      <c r="H7756" s="8" t="s">
        <v>21</v>
      </c>
      <c r="I7756" s="8" t="s">
        <v>22</v>
      </c>
      <c r="J7756" s="8" t="s">
        <v>22</v>
      </c>
      <c r="K7756" s="8" t="s">
        <v>64</v>
      </c>
      <c r="L7756" s="8" t="s">
        <v>65</v>
      </c>
      <c r="M7756" s="8" t="s">
        <v>66</v>
      </c>
      <c r="N7756" s="8" t="s">
        <v>34250</v>
      </c>
      <c r="O7756" s="8">
        <f>23+47/60+51.9/3600</f>
        <v>23.797750000000001</v>
      </c>
      <c r="P7756" s="8" t="s">
        <v>34251</v>
      </c>
      <c r="Q7756" s="8">
        <f>-(30+31/60+25/3600)</f>
        <v>-30.523611111111109</v>
      </c>
      <c r="R7756" s="8">
        <v>11.9</v>
      </c>
      <c r="S7756" s="8">
        <v>12.6</v>
      </c>
      <c r="T7756" s="8">
        <v>0.7</v>
      </c>
      <c r="U7756" s="8">
        <v>14.3</v>
      </c>
      <c r="V7756" s="8">
        <v>3.8</v>
      </c>
      <c r="W7756" s="8">
        <v>2.8</v>
      </c>
      <c r="X7756" s="8">
        <v>20</v>
      </c>
      <c r="Y7756" s="8" t="s">
        <v>34252</v>
      </c>
      <c r="Z7756" s="8" t="s">
        <v>34253</v>
      </c>
    </row>
    <row r="7757" spans="1:26" x14ac:dyDescent="0.2">
      <c r="A7757" s="8">
        <v>7756</v>
      </c>
      <c r="B7757" s="8" t="s">
        <v>34254</v>
      </c>
      <c r="C7757" s="8" t="s">
        <v>34254</v>
      </c>
      <c r="F7757" s="47"/>
      <c r="G7757" s="8">
        <v>19</v>
      </c>
      <c r="H7757" s="8" t="s">
        <v>21</v>
      </c>
      <c r="I7757" s="8" t="s">
        <v>72</v>
      </c>
      <c r="J7757" s="8" t="s">
        <v>72</v>
      </c>
      <c r="K7757" s="8" t="s">
        <v>20</v>
      </c>
      <c r="L7757" s="8" t="s">
        <v>38</v>
      </c>
      <c r="M7757" s="8" t="s">
        <v>39</v>
      </c>
      <c r="N7757" s="8" t="s">
        <v>34255</v>
      </c>
      <c r="O7757" s="8">
        <f>23+48/60+28.5/3600</f>
        <v>23.807916666666667</v>
      </c>
      <c r="P7757" s="8" t="s">
        <v>34256</v>
      </c>
      <c r="Q7757" s="8">
        <f>+(4+7/60+32/3600)</f>
        <v>4.1255555555555548</v>
      </c>
      <c r="R7757" s="8">
        <v>99</v>
      </c>
      <c r="S7757" s="8">
        <v>12.8</v>
      </c>
      <c r="T7757" s="8">
        <v>99</v>
      </c>
      <c r="U7757" s="8">
        <v>99</v>
      </c>
      <c r="Y7757" s="8" t="s">
        <v>34257</v>
      </c>
      <c r="Z7757" s="8" t="s">
        <v>34258</v>
      </c>
    </row>
    <row r="7758" spans="1:26" x14ac:dyDescent="0.2">
      <c r="A7758" s="8">
        <v>7757</v>
      </c>
      <c r="B7758" s="8" t="s">
        <v>34259</v>
      </c>
      <c r="C7758" s="8" t="s">
        <v>34259</v>
      </c>
      <c r="F7758" s="47"/>
      <c r="G7758" s="8">
        <v>16</v>
      </c>
      <c r="H7758" s="8" t="s">
        <v>21</v>
      </c>
      <c r="I7758" s="8" t="s">
        <v>22</v>
      </c>
      <c r="J7758" s="8" t="s">
        <v>22</v>
      </c>
      <c r="K7758" s="8" t="s">
        <v>160</v>
      </c>
      <c r="L7758" s="8" t="s">
        <v>38</v>
      </c>
      <c r="M7758" s="8" t="s">
        <v>39</v>
      </c>
      <c r="N7758" s="8" t="s">
        <v>34260</v>
      </c>
      <c r="O7758" s="8">
        <f>23+48/60+45.5/3600</f>
        <v>23.812638888888891</v>
      </c>
      <c r="P7758" s="8" t="s">
        <v>34261</v>
      </c>
      <c r="Q7758" s="8">
        <f>+(4+10/60+17/3600)</f>
        <v>4.171388888888889</v>
      </c>
      <c r="R7758" s="8">
        <v>12.7</v>
      </c>
      <c r="S7758" s="8">
        <v>13.1</v>
      </c>
      <c r="T7758" s="8">
        <v>0.4</v>
      </c>
      <c r="U7758" s="8">
        <v>14.2</v>
      </c>
      <c r="V7758" s="8">
        <v>2.4</v>
      </c>
      <c r="W7758" s="8">
        <v>1.7</v>
      </c>
      <c r="X7758" s="8">
        <v>115</v>
      </c>
      <c r="Y7758" s="8" t="s">
        <v>34262</v>
      </c>
      <c r="Z7758" s="8" t="s">
        <v>34263</v>
      </c>
    </row>
    <row r="7759" spans="1:26" x14ac:dyDescent="0.2">
      <c r="A7759" s="8">
        <v>7758</v>
      </c>
      <c r="B7759" s="8" t="s">
        <v>34264</v>
      </c>
      <c r="C7759" s="8" t="s">
        <v>34264</v>
      </c>
      <c r="F7759" s="47"/>
      <c r="G7759" s="8">
        <v>19</v>
      </c>
      <c r="H7759" s="8" t="s">
        <v>21</v>
      </c>
      <c r="I7759" s="8" t="s">
        <v>22</v>
      </c>
      <c r="J7759" s="8" t="s">
        <v>22</v>
      </c>
      <c r="K7759" s="8" t="s">
        <v>118</v>
      </c>
      <c r="L7759" s="8" t="s">
        <v>30854</v>
      </c>
      <c r="M7759" s="8" t="s">
        <v>30855</v>
      </c>
      <c r="N7759" s="8" t="s">
        <v>34265</v>
      </c>
      <c r="O7759" s="8">
        <f>23+48/60+55.1/3600</f>
        <v>23.815305555555558</v>
      </c>
      <c r="P7759" s="8" t="s">
        <v>34266</v>
      </c>
      <c r="Q7759" s="8">
        <f>-(22+1/60+27/3600)</f>
        <v>-22.024166666666666</v>
      </c>
      <c r="R7759" s="8">
        <v>14.1</v>
      </c>
      <c r="S7759" s="8">
        <v>15.1</v>
      </c>
      <c r="T7759" s="8">
        <v>1</v>
      </c>
      <c r="U7759" s="8">
        <v>12.9</v>
      </c>
      <c r="V7759" s="8">
        <v>0.7</v>
      </c>
      <c r="W7759" s="8">
        <v>0.5</v>
      </c>
      <c r="X7759" s="8">
        <v>118</v>
      </c>
      <c r="Y7759" s="8" t="s">
        <v>34267</v>
      </c>
      <c r="Z7759" s="8" t="s">
        <v>34268</v>
      </c>
    </row>
    <row r="7760" spans="1:26" x14ac:dyDescent="0.2">
      <c r="A7760" s="8">
        <v>7759</v>
      </c>
      <c r="B7760" s="8" t="s">
        <v>34269</v>
      </c>
      <c r="C7760" s="8" t="s">
        <v>34269</v>
      </c>
      <c r="F7760" s="47"/>
      <c r="G7760" s="8">
        <v>19</v>
      </c>
      <c r="H7760" s="8" t="s">
        <v>21</v>
      </c>
      <c r="I7760" s="8" t="s">
        <v>22</v>
      </c>
      <c r="J7760" s="8" t="s">
        <v>22</v>
      </c>
      <c r="K7760" s="8" t="s">
        <v>224</v>
      </c>
      <c r="L7760" s="8" t="s">
        <v>30854</v>
      </c>
      <c r="M7760" s="8" t="s">
        <v>30855</v>
      </c>
      <c r="N7760" s="8" t="s">
        <v>34270</v>
      </c>
      <c r="O7760" s="8">
        <f>23+48/60+54.6/3600</f>
        <v>23.815166666666666</v>
      </c>
      <c r="P7760" s="8" t="s">
        <v>34271</v>
      </c>
      <c r="Q7760" s="8">
        <f>-(16+32/60+27/3600)</f>
        <v>-16.540833333333335</v>
      </c>
      <c r="R7760" s="8">
        <v>13</v>
      </c>
      <c r="S7760" s="8">
        <v>14</v>
      </c>
      <c r="T7760" s="8">
        <v>1</v>
      </c>
      <c r="U7760" s="8">
        <v>12.9</v>
      </c>
      <c r="V7760" s="8">
        <v>1.3</v>
      </c>
      <c r="W7760" s="8">
        <v>0.9</v>
      </c>
      <c r="X7760" s="8">
        <v>141</v>
      </c>
      <c r="Y7760" s="8" t="s">
        <v>34272</v>
      </c>
      <c r="Z7760" s="8" t="s">
        <v>34273</v>
      </c>
    </row>
    <row r="7761" spans="1:26" x14ac:dyDescent="0.2">
      <c r="A7761" s="8">
        <v>7760</v>
      </c>
      <c r="B7761" s="8" t="s">
        <v>34274</v>
      </c>
      <c r="C7761" s="8" t="s">
        <v>34274</v>
      </c>
      <c r="F7761" s="47" t="s">
        <v>58425</v>
      </c>
      <c r="G7761" s="8">
        <v>15</v>
      </c>
      <c r="H7761" s="8" t="s">
        <v>21</v>
      </c>
      <c r="I7761" s="8" t="s">
        <v>22</v>
      </c>
      <c r="J7761" s="8" t="s">
        <v>22</v>
      </c>
      <c r="K7761" s="8" t="s">
        <v>818</v>
      </c>
      <c r="L7761" s="8" t="s">
        <v>24</v>
      </c>
      <c r="M7761" s="8" t="s">
        <v>25</v>
      </c>
      <c r="N7761" s="8" t="s">
        <v>34275</v>
      </c>
      <c r="O7761" s="8">
        <f>23+49/60+11.9/3600</f>
        <v>23.819972222222223</v>
      </c>
      <c r="P7761" s="8" t="s">
        <v>34276</v>
      </c>
      <c r="Q7761" s="8">
        <f>+(30+58/60+59/3600)</f>
        <v>30.983055555555556</v>
      </c>
      <c r="R7761" s="8">
        <v>13.4</v>
      </c>
      <c r="S7761" s="8">
        <v>14.4</v>
      </c>
      <c r="T7761" s="8">
        <v>1</v>
      </c>
      <c r="U7761" s="8">
        <v>13.3</v>
      </c>
      <c r="V7761" s="8">
        <v>0.9</v>
      </c>
      <c r="W7761" s="8">
        <v>0.9</v>
      </c>
      <c r="Y7761" s="8" t="s">
        <v>34277</v>
      </c>
      <c r="Z7761" s="8" t="s">
        <v>34278</v>
      </c>
    </row>
    <row r="7762" spans="1:26" x14ac:dyDescent="0.2">
      <c r="A7762" s="8">
        <v>7761</v>
      </c>
      <c r="B7762" s="8" t="s">
        <v>34279</v>
      </c>
      <c r="C7762" s="8" t="s">
        <v>34279</v>
      </c>
      <c r="F7762" s="47"/>
      <c r="G7762" s="8">
        <v>19</v>
      </c>
      <c r="H7762" s="8" t="s">
        <v>21</v>
      </c>
      <c r="I7762" s="8" t="s">
        <v>22</v>
      </c>
      <c r="J7762" s="8" t="s">
        <v>22</v>
      </c>
      <c r="K7762" s="8" t="s">
        <v>37</v>
      </c>
      <c r="L7762" s="8" t="s">
        <v>30854</v>
      </c>
      <c r="M7762" s="8" t="s">
        <v>30855</v>
      </c>
      <c r="N7762" s="8" t="s">
        <v>34280</v>
      </c>
      <c r="O7762" s="8">
        <f>23+51/60+28.8/3600</f>
        <v>23.858000000000001</v>
      </c>
      <c r="P7762" s="8" t="s">
        <v>34281</v>
      </c>
      <c r="Q7762" s="8">
        <f>-(13+22/60+52/3600)</f>
        <v>-13.381111111111112</v>
      </c>
      <c r="R7762" s="8">
        <v>13.1</v>
      </c>
      <c r="S7762" s="8">
        <v>14.1</v>
      </c>
      <c r="T7762" s="8">
        <v>1</v>
      </c>
      <c r="U7762" s="8">
        <v>13.4</v>
      </c>
      <c r="V7762" s="8">
        <v>1.2</v>
      </c>
      <c r="W7762" s="8">
        <v>1.2</v>
      </c>
      <c r="Y7762" s="8" t="s">
        <v>34282</v>
      </c>
      <c r="Z7762" s="8" t="s">
        <v>34283</v>
      </c>
    </row>
    <row r="7763" spans="1:26" x14ac:dyDescent="0.2">
      <c r="A7763" s="8">
        <v>7762</v>
      </c>
      <c r="B7763" s="8" t="s">
        <v>34284</v>
      </c>
      <c r="C7763" s="8" t="s">
        <v>34284</v>
      </c>
      <c r="F7763" s="47" t="s">
        <v>58426</v>
      </c>
      <c r="G7763" s="8">
        <v>6.5</v>
      </c>
      <c r="H7763" s="8" t="s">
        <v>21</v>
      </c>
      <c r="I7763" s="8" t="s">
        <v>557</v>
      </c>
      <c r="J7763" s="8" t="s">
        <v>557</v>
      </c>
      <c r="K7763" s="8" t="s">
        <v>558</v>
      </c>
      <c r="L7763" s="8" t="s">
        <v>242</v>
      </c>
      <c r="M7763" s="8" t="s">
        <v>243</v>
      </c>
      <c r="N7763" s="8" t="s">
        <v>34285</v>
      </c>
      <c r="O7763" s="8">
        <f>23+50/60+0/3600</f>
        <v>23.833333333333332</v>
      </c>
      <c r="P7763" s="8" t="s">
        <v>34286</v>
      </c>
      <c r="Q7763" s="8">
        <f>+(68+2/60+18/3600)</f>
        <v>68.038333333333327</v>
      </c>
      <c r="R7763" s="8">
        <v>10</v>
      </c>
      <c r="S7763" s="8">
        <v>99</v>
      </c>
      <c r="T7763" s="8">
        <v>99</v>
      </c>
      <c r="U7763" s="8">
        <v>99</v>
      </c>
      <c r="V7763" s="8">
        <v>15</v>
      </c>
      <c r="Y7763" s="8" t="s">
        <v>34287</v>
      </c>
      <c r="Z7763" s="8" t="s">
        <v>34288</v>
      </c>
    </row>
    <row r="7764" spans="1:26" x14ac:dyDescent="0.2">
      <c r="A7764" s="8">
        <v>7763</v>
      </c>
      <c r="B7764" s="8" t="s">
        <v>34289</v>
      </c>
      <c r="C7764" s="8" t="s">
        <v>34289</v>
      </c>
      <c r="F7764" s="47"/>
      <c r="G7764" s="8">
        <v>19</v>
      </c>
      <c r="H7764" s="8" t="s">
        <v>21</v>
      </c>
      <c r="I7764" s="8" t="s">
        <v>22</v>
      </c>
      <c r="J7764" s="8" t="s">
        <v>22</v>
      </c>
      <c r="K7764" s="8" t="s">
        <v>58</v>
      </c>
      <c r="L7764" s="8" t="s">
        <v>30854</v>
      </c>
      <c r="M7764" s="8" t="s">
        <v>30855</v>
      </c>
      <c r="N7764" s="8" t="s">
        <v>34290</v>
      </c>
      <c r="O7764" s="8">
        <f>23+50/60+15.7/3600</f>
        <v>23.837694444444445</v>
      </c>
      <c r="P7764" s="8" t="s">
        <v>34291</v>
      </c>
      <c r="Q7764" s="8">
        <f>-(16+35/60+23/3600)</f>
        <v>-16.589722222222221</v>
      </c>
      <c r="R7764" s="8">
        <v>14.3</v>
      </c>
      <c r="S7764" s="8">
        <v>15.3</v>
      </c>
      <c r="T7764" s="8">
        <v>1</v>
      </c>
      <c r="U7764" s="8">
        <v>13</v>
      </c>
      <c r="V7764" s="8">
        <v>0.7</v>
      </c>
      <c r="W7764" s="8">
        <v>0.4</v>
      </c>
      <c r="X7764" s="8">
        <v>163</v>
      </c>
      <c r="Y7764" s="8" t="s">
        <v>34292</v>
      </c>
      <c r="Z7764" s="8" t="s">
        <v>34293</v>
      </c>
    </row>
    <row r="7765" spans="1:26" x14ac:dyDescent="0.2">
      <c r="A7765" s="8">
        <v>7764</v>
      </c>
      <c r="B7765" s="8" t="s">
        <v>34294</v>
      </c>
      <c r="C7765" s="8" t="s">
        <v>34294</v>
      </c>
      <c r="F7765" s="47"/>
      <c r="G7765" s="8">
        <v>13</v>
      </c>
      <c r="H7765" s="8" t="s">
        <v>21</v>
      </c>
      <c r="I7765" s="8" t="s">
        <v>22</v>
      </c>
      <c r="J7765" s="8" t="s">
        <v>22</v>
      </c>
      <c r="K7765" s="8" t="s">
        <v>323</v>
      </c>
      <c r="L7765" s="8" t="s">
        <v>166</v>
      </c>
      <c r="M7765" s="8" t="s">
        <v>167</v>
      </c>
      <c r="N7765" s="8" t="s">
        <v>34295</v>
      </c>
      <c r="O7765" s="8">
        <f>23+50/60+53.6/3600</f>
        <v>23.848222222222223</v>
      </c>
      <c r="P7765" s="8" t="s">
        <v>34296</v>
      </c>
      <c r="Q7765" s="8">
        <f>-(40+43/60+48/3600)</f>
        <v>-40.730000000000004</v>
      </c>
      <c r="R7765" s="8">
        <v>12.2</v>
      </c>
      <c r="S7765" s="8">
        <v>12.6</v>
      </c>
      <c r="T7765" s="8">
        <v>0.4</v>
      </c>
      <c r="U7765" s="8">
        <v>13.1</v>
      </c>
      <c r="V7765" s="8">
        <v>2</v>
      </c>
      <c r="W7765" s="8">
        <v>1.5</v>
      </c>
      <c r="X7765" s="8">
        <v>148</v>
      </c>
      <c r="Y7765" s="8" t="s">
        <v>9204</v>
      </c>
      <c r="Z7765" s="8" t="s">
        <v>9205</v>
      </c>
    </row>
    <row r="7766" spans="1:26" x14ac:dyDescent="0.2">
      <c r="A7766" s="8">
        <v>7765</v>
      </c>
      <c r="B7766" s="8" t="s">
        <v>34297</v>
      </c>
      <c r="C7766" s="8" t="s">
        <v>34297</v>
      </c>
      <c r="F7766" s="47"/>
      <c r="G7766" s="8">
        <v>18</v>
      </c>
      <c r="H7766" s="8" t="s">
        <v>21</v>
      </c>
      <c r="I7766" s="8" t="s">
        <v>22</v>
      </c>
      <c r="J7766" s="8" t="s">
        <v>22</v>
      </c>
      <c r="K7766" s="8" t="s">
        <v>1445</v>
      </c>
      <c r="L7766" s="8" t="s">
        <v>24</v>
      </c>
      <c r="M7766" s="8" t="s">
        <v>25</v>
      </c>
      <c r="N7766" s="8" t="s">
        <v>34298</v>
      </c>
      <c r="O7766" s="8">
        <f>23+50/60+52.4/3600</f>
        <v>23.847888888888889</v>
      </c>
      <c r="P7766" s="8" t="s">
        <v>34299</v>
      </c>
      <c r="Q7766" s="8">
        <f>+(27+9/60+57/3600)</f>
        <v>27.165833333333332</v>
      </c>
      <c r="R7766" s="8">
        <v>14.6</v>
      </c>
      <c r="S7766" s="8">
        <v>15.4</v>
      </c>
      <c r="T7766" s="8">
        <v>0.8</v>
      </c>
      <c r="U7766" s="8">
        <v>13.6</v>
      </c>
      <c r="V7766" s="8">
        <v>0.7</v>
      </c>
      <c r="W7766" s="8">
        <v>0.7</v>
      </c>
      <c r="Y7766" s="8" t="s">
        <v>34300</v>
      </c>
      <c r="Z7766" s="8" t="s">
        <v>34301</v>
      </c>
    </row>
    <row r="7767" spans="1:26" x14ac:dyDescent="0.2">
      <c r="A7767" s="8">
        <v>7766</v>
      </c>
      <c r="B7767" s="8" t="s">
        <v>34302</v>
      </c>
      <c r="C7767" s="8" t="s">
        <v>34302</v>
      </c>
      <c r="F7767" s="47"/>
      <c r="G7767" s="8">
        <v>18</v>
      </c>
      <c r="H7767" s="8" t="s">
        <v>21</v>
      </c>
      <c r="I7767" s="8" t="s">
        <v>22</v>
      </c>
      <c r="J7767" s="8" t="s">
        <v>22</v>
      </c>
      <c r="K7767" s="8" t="s">
        <v>37</v>
      </c>
      <c r="L7767" s="8" t="s">
        <v>24</v>
      </c>
      <c r="M7767" s="8" t="s">
        <v>25</v>
      </c>
      <c r="N7767" s="8" t="s">
        <v>34303</v>
      </c>
      <c r="O7767" s="8">
        <f>23+50/60+55.8/3600</f>
        <v>23.848833333333332</v>
      </c>
      <c r="P7767" s="8" t="s">
        <v>34304</v>
      </c>
      <c r="Q7767" s="8">
        <f>+(27+7/60+37/3600)</f>
        <v>27.126944444444444</v>
      </c>
      <c r="R7767" s="8">
        <v>15.5</v>
      </c>
      <c r="S7767" s="8">
        <v>16.5</v>
      </c>
      <c r="T7767" s="8">
        <v>1</v>
      </c>
      <c r="U7767" s="8">
        <v>12.9</v>
      </c>
      <c r="V7767" s="8">
        <v>0.5</v>
      </c>
      <c r="W7767" s="8">
        <v>0.2</v>
      </c>
      <c r="X7767" s="8">
        <v>43</v>
      </c>
      <c r="Y7767" s="8" t="s">
        <v>34305</v>
      </c>
      <c r="Z7767" s="8" t="s">
        <v>34306</v>
      </c>
    </row>
    <row r="7768" spans="1:26" x14ac:dyDescent="0.2">
      <c r="A7768" s="8">
        <v>7767</v>
      </c>
      <c r="B7768" s="8" t="s">
        <v>34307</v>
      </c>
      <c r="C7768" s="8" t="s">
        <v>34307</v>
      </c>
      <c r="F7768" s="47"/>
      <c r="G7768" s="8">
        <v>18</v>
      </c>
      <c r="H7768" s="8" t="s">
        <v>21</v>
      </c>
      <c r="I7768" s="8" t="s">
        <v>22</v>
      </c>
      <c r="J7768" s="8" t="s">
        <v>22</v>
      </c>
      <c r="K7768" s="8" t="s">
        <v>632</v>
      </c>
      <c r="L7768" s="8" t="s">
        <v>24</v>
      </c>
      <c r="M7768" s="8" t="s">
        <v>25</v>
      </c>
      <c r="N7768" s="8" t="s">
        <v>34308</v>
      </c>
      <c r="O7768" s="8">
        <f>23+50/60+56.5/3600</f>
        <v>23.849027777777778</v>
      </c>
      <c r="P7768" s="8" t="s">
        <v>34309</v>
      </c>
      <c r="Q7768" s="8">
        <f>+(27+5/60+12/3600)</f>
        <v>27.086666666666666</v>
      </c>
      <c r="R7768" s="8">
        <v>13.5</v>
      </c>
      <c r="S7768" s="8">
        <v>14.4</v>
      </c>
      <c r="T7768" s="8">
        <v>0.9</v>
      </c>
      <c r="U7768" s="8">
        <v>11.6</v>
      </c>
      <c r="V7768" s="8">
        <v>1</v>
      </c>
      <c r="W7768" s="8">
        <v>0.2</v>
      </c>
      <c r="X7768" s="8">
        <v>142</v>
      </c>
      <c r="Y7768" s="8" t="s">
        <v>34310</v>
      </c>
      <c r="Z7768" s="8" t="s">
        <v>34311</v>
      </c>
    </row>
    <row r="7769" spans="1:26" x14ac:dyDescent="0.2">
      <c r="A7769" s="8">
        <v>7768</v>
      </c>
      <c r="B7769" s="8" t="s">
        <v>34312</v>
      </c>
      <c r="C7769" s="8" t="s">
        <v>34312</v>
      </c>
      <c r="F7769" s="47"/>
      <c r="G7769" s="8">
        <v>16</v>
      </c>
      <c r="H7769" s="8" t="s">
        <v>21</v>
      </c>
      <c r="I7769" s="8" t="s">
        <v>22</v>
      </c>
      <c r="J7769" s="8" t="s">
        <v>22</v>
      </c>
      <c r="K7769" s="8" t="s">
        <v>1136</v>
      </c>
      <c r="L7769" s="8" t="s">
        <v>24</v>
      </c>
      <c r="M7769" s="8" t="s">
        <v>25</v>
      </c>
      <c r="N7769" s="8" t="s">
        <v>34313</v>
      </c>
      <c r="O7769" s="8">
        <f>23+50/60+58.4/3600</f>
        <v>23.849555555555554</v>
      </c>
      <c r="P7769" s="8" t="s">
        <v>34314</v>
      </c>
      <c r="Q7769" s="8">
        <f>+(27+8/60+52/3600)</f>
        <v>27.147777777777776</v>
      </c>
      <c r="R7769" s="8">
        <v>12.3</v>
      </c>
      <c r="S7769" s="8">
        <v>13.2</v>
      </c>
      <c r="T7769" s="8">
        <v>0.9</v>
      </c>
      <c r="U7769" s="8">
        <v>13.1</v>
      </c>
      <c r="V7769" s="8">
        <v>1.6</v>
      </c>
      <c r="W7769" s="8">
        <v>1.3</v>
      </c>
      <c r="X7769" s="8">
        <v>60</v>
      </c>
      <c r="Y7769" s="8" t="s">
        <v>34315</v>
      </c>
      <c r="Z7769" s="8" t="s">
        <v>34316</v>
      </c>
    </row>
    <row r="7770" spans="1:26" x14ac:dyDescent="0.2">
      <c r="A7770" s="8">
        <v>7769</v>
      </c>
      <c r="B7770" s="8" t="s">
        <v>34317</v>
      </c>
      <c r="C7770" s="8" t="s">
        <v>34317</v>
      </c>
      <c r="F7770" s="47" t="s">
        <v>58427</v>
      </c>
      <c r="G7770" s="8">
        <v>13</v>
      </c>
      <c r="H7770" s="8" t="s">
        <v>21</v>
      </c>
      <c r="I7770" s="8" t="s">
        <v>22</v>
      </c>
      <c r="J7770" s="8" t="s">
        <v>22</v>
      </c>
      <c r="K7770" s="8" t="s">
        <v>23</v>
      </c>
      <c r="L7770" s="8" t="s">
        <v>24</v>
      </c>
      <c r="M7770" s="8" t="s">
        <v>25</v>
      </c>
      <c r="N7770" s="8" t="s">
        <v>34318</v>
      </c>
      <c r="O7770" s="8">
        <f>23+51/60+4.1/3600</f>
        <v>23.85113888888889</v>
      </c>
      <c r="P7770" s="8" t="s">
        <v>34319</v>
      </c>
      <c r="Q7770" s="8">
        <f>+(20+9/60+2/3600)</f>
        <v>20.150555555555552</v>
      </c>
      <c r="R7770" s="8">
        <v>12</v>
      </c>
      <c r="S7770" s="8">
        <v>12.8</v>
      </c>
      <c r="T7770" s="8">
        <v>0.8</v>
      </c>
      <c r="U7770" s="8">
        <v>14.2</v>
      </c>
      <c r="V7770" s="8">
        <v>3.2</v>
      </c>
      <c r="W7770" s="8">
        <v>2.7</v>
      </c>
      <c r="X7770" s="8">
        <v>170</v>
      </c>
      <c r="Y7770" s="8" t="s">
        <v>21533</v>
      </c>
      <c r="Z7770" s="8" t="s">
        <v>21396</v>
      </c>
    </row>
    <row r="7771" spans="1:26" x14ac:dyDescent="0.2">
      <c r="A7771" s="8">
        <v>7770</v>
      </c>
      <c r="B7771" s="8" t="s">
        <v>34320</v>
      </c>
      <c r="C7771" s="8" t="s">
        <v>34320</v>
      </c>
      <c r="F7771" s="47"/>
      <c r="G7771" s="8">
        <v>18</v>
      </c>
      <c r="H7771" s="8" t="s">
        <v>21</v>
      </c>
      <c r="I7771" s="8" t="s">
        <v>22</v>
      </c>
      <c r="J7771" s="8" t="s">
        <v>22</v>
      </c>
      <c r="K7771" s="8" t="s">
        <v>632</v>
      </c>
      <c r="L7771" s="8" t="s">
        <v>24</v>
      </c>
      <c r="M7771" s="8" t="s">
        <v>25</v>
      </c>
      <c r="N7771" s="8" t="s">
        <v>34321</v>
      </c>
      <c r="O7771" s="8">
        <f>23+51/60+22.5/3600</f>
        <v>23.856250000000003</v>
      </c>
      <c r="P7771" s="8" t="s">
        <v>34322</v>
      </c>
      <c r="Q7771" s="8">
        <f>+(20+5/60+49/3600)</f>
        <v>20.096944444444443</v>
      </c>
      <c r="R7771" s="8">
        <v>13.8</v>
      </c>
      <c r="S7771" s="8">
        <v>14.4</v>
      </c>
      <c r="T7771" s="8">
        <v>0.6</v>
      </c>
      <c r="U7771" s="8">
        <v>13.1</v>
      </c>
      <c r="V7771" s="8">
        <v>0.7</v>
      </c>
      <c r="W7771" s="8">
        <v>0.4</v>
      </c>
      <c r="X7771" s="8">
        <v>17</v>
      </c>
      <c r="Y7771" s="8" t="s">
        <v>34323</v>
      </c>
      <c r="Z7771" s="8" t="s">
        <v>34324</v>
      </c>
    </row>
    <row r="7772" spans="1:26" x14ac:dyDescent="0.2">
      <c r="A7772" s="8">
        <v>7771</v>
      </c>
      <c r="B7772" s="8" t="s">
        <v>34325</v>
      </c>
      <c r="C7772" s="8" t="s">
        <v>34325</v>
      </c>
      <c r="F7772" s="47" t="s">
        <v>58428</v>
      </c>
      <c r="G7772" s="8">
        <v>15</v>
      </c>
      <c r="H7772" s="8" t="s">
        <v>21</v>
      </c>
      <c r="I7772" s="8" t="s">
        <v>22</v>
      </c>
      <c r="J7772" s="8" t="s">
        <v>22</v>
      </c>
      <c r="K7772" s="8" t="s">
        <v>154</v>
      </c>
      <c r="L7772" s="8" t="s">
        <v>24</v>
      </c>
      <c r="M7772" s="8" t="s">
        <v>25</v>
      </c>
      <c r="N7772" s="8" t="s">
        <v>34326</v>
      </c>
      <c r="O7772" s="8">
        <f>23+51/60+24.6/3600</f>
        <v>23.856833333333334</v>
      </c>
      <c r="P7772" s="8" t="s">
        <v>34327</v>
      </c>
      <c r="Q7772" s="8">
        <f>+(20+6/60+44/3600)</f>
        <v>20.112222222222222</v>
      </c>
      <c r="R7772" s="8">
        <v>12.3</v>
      </c>
      <c r="S7772" s="8">
        <v>13.1</v>
      </c>
      <c r="T7772" s="8">
        <v>0.8</v>
      </c>
      <c r="U7772" s="8">
        <v>13.1</v>
      </c>
      <c r="V7772" s="8">
        <v>2.4</v>
      </c>
      <c r="W7772" s="8">
        <v>1.1000000000000001</v>
      </c>
      <c r="X7772" s="8">
        <v>68</v>
      </c>
      <c r="Y7772" s="8" t="s">
        <v>34328</v>
      </c>
      <c r="Z7772" s="8" t="s">
        <v>34329</v>
      </c>
    </row>
    <row r="7773" spans="1:26" x14ac:dyDescent="0.2">
      <c r="A7773" s="8">
        <v>7772</v>
      </c>
      <c r="B7773" s="8" t="s">
        <v>34330</v>
      </c>
      <c r="C7773" s="8" t="s">
        <v>34330</v>
      </c>
      <c r="F7773" s="47"/>
      <c r="G7773" s="8">
        <v>12</v>
      </c>
      <c r="H7773" s="8" t="s">
        <v>21</v>
      </c>
      <c r="I7773" s="8" t="s">
        <v>557</v>
      </c>
      <c r="J7773" s="8" t="s">
        <v>557</v>
      </c>
      <c r="K7773" s="8" t="s">
        <v>1168</v>
      </c>
      <c r="L7773" s="8" t="s">
        <v>24</v>
      </c>
      <c r="M7773" s="8" t="s">
        <v>25</v>
      </c>
      <c r="N7773" s="8" t="s">
        <v>34331</v>
      </c>
      <c r="O7773" s="8">
        <f>23+51/60+45/3600</f>
        <v>23.862500000000001</v>
      </c>
      <c r="P7773" s="8" t="s">
        <v>34332</v>
      </c>
      <c r="Q7773" s="8">
        <f>+(16+14/60+54/3600)</f>
        <v>16.248333333333335</v>
      </c>
      <c r="R7773" s="8">
        <v>99</v>
      </c>
      <c r="S7773" s="8">
        <v>99</v>
      </c>
      <c r="T7773" s="8">
        <v>99</v>
      </c>
      <c r="U7773" s="8">
        <v>99</v>
      </c>
      <c r="V7773" s="8">
        <v>5</v>
      </c>
      <c r="Y7773" s="8" t="s">
        <v>34333</v>
      </c>
      <c r="Z7773" s="8" t="s">
        <v>34334</v>
      </c>
    </row>
    <row r="7774" spans="1:26" x14ac:dyDescent="0.2">
      <c r="A7774" s="8">
        <v>7773</v>
      </c>
      <c r="B7774" s="8" t="s">
        <v>34335</v>
      </c>
      <c r="C7774" s="8" t="s">
        <v>34335</v>
      </c>
      <c r="F7774" s="47" t="s">
        <v>58429</v>
      </c>
      <c r="G7774" s="8">
        <v>15</v>
      </c>
      <c r="H7774" s="8" t="s">
        <v>21</v>
      </c>
      <c r="I7774" s="8" t="s">
        <v>22</v>
      </c>
      <c r="J7774" s="8" t="s">
        <v>22</v>
      </c>
      <c r="K7774" s="8" t="s">
        <v>85</v>
      </c>
      <c r="L7774" s="8" t="s">
        <v>24</v>
      </c>
      <c r="M7774" s="8" t="s">
        <v>25</v>
      </c>
      <c r="N7774" s="8" t="s">
        <v>34336</v>
      </c>
      <c r="O7774" s="8">
        <f>23+52/60+10/3600</f>
        <v>23.869444444444444</v>
      </c>
      <c r="P7774" s="8" t="s">
        <v>34337</v>
      </c>
      <c r="Q7774" s="8">
        <f>+(31+16/60+37/3600)</f>
        <v>31.276944444444442</v>
      </c>
      <c r="R7774" s="8">
        <v>13.4</v>
      </c>
      <c r="S7774" s="8">
        <v>14.2</v>
      </c>
      <c r="T7774" s="8">
        <v>0.8</v>
      </c>
      <c r="U7774" s="8">
        <v>13.7</v>
      </c>
      <c r="V7774" s="8">
        <v>1.2</v>
      </c>
      <c r="W7774" s="8">
        <v>1.2</v>
      </c>
      <c r="Y7774" s="8" t="s">
        <v>34338</v>
      </c>
      <c r="Z7774" s="8" t="s">
        <v>34339</v>
      </c>
    </row>
    <row r="7775" spans="1:26" x14ac:dyDescent="0.2">
      <c r="A7775" s="8">
        <v>7774</v>
      </c>
      <c r="B7775" s="8" t="s">
        <v>34340</v>
      </c>
      <c r="C7775" s="8" t="s">
        <v>34340</v>
      </c>
      <c r="F7775" s="47"/>
      <c r="G7775" s="8">
        <v>19</v>
      </c>
      <c r="H7775" s="8" t="s">
        <v>21</v>
      </c>
      <c r="I7775" s="8" t="s">
        <v>22</v>
      </c>
      <c r="J7775" s="8" t="s">
        <v>22</v>
      </c>
      <c r="K7775" s="8" t="s">
        <v>1554</v>
      </c>
      <c r="L7775" s="8" t="s">
        <v>24</v>
      </c>
      <c r="M7775" s="8" t="s">
        <v>25</v>
      </c>
      <c r="N7775" s="8" t="s">
        <v>34341</v>
      </c>
      <c r="O7775" s="8">
        <f>23+52/60+10.6/3600</f>
        <v>23.869611111111112</v>
      </c>
      <c r="P7775" s="8" t="s">
        <v>17425</v>
      </c>
      <c r="Q7775" s="8">
        <f>+(11+28/60+13/3600)</f>
        <v>11.470277777777778</v>
      </c>
      <c r="R7775" s="8">
        <v>13.2</v>
      </c>
      <c r="S7775" s="8">
        <v>14.2</v>
      </c>
      <c r="T7775" s="8">
        <v>1</v>
      </c>
      <c r="U7775" s="8">
        <v>12.7</v>
      </c>
      <c r="V7775" s="8">
        <v>1</v>
      </c>
      <c r="W7775" s="8">
        <v>0.6</v>
      </c>
      <c r="X7775" s="8">
        <v>93</v>
      </c>
      <c r="Y7775" s="8" t="s">
        <v>34342</v>
      </c>
      <c r="Z7775" s="8" t="s">
        <v>34343</v>
      </c>
    </row>
    <row r="7776" spans="1:26" x14ac:dyDescent="0.2">
      <c r="A7776" s="8">
        <v>7775</v>
      </c>
      <c r="B7776" s="8" t="s">
        <v>34344</v>
      </c>
      <c r="C7776" s="8" t="s">
        <v>34344</v>
      </c>
      <c r="F7776" s="47"/>
      <c r="G7776" s="8">
        <v>19</v>
      </c>
      <c r="H7776" s="8" t="s">
        <v>21</v>
      </c>
      <c r="I7776" s="8" t="s">
        <v>22</v>
      </c>
      <c r="J7776" s="8" t="s">
        <v>22</v>
      </c>
      <c r="K7776" s="8" t="s">
        <v>64</v>
      </c>
      <c r="L7776" s="8" t="s">
        <v>24</v>
      </c>
      <c r="M7776" s="8" t="s">
        <v>25</v>
      </c>
      <c r="N7776" s="8" t="s">
        <v>34345</v>
      </c>
      <c r="O7776" s="8">
        <f>23+52/60+24.4/3600</f>
        <v>23.873444444444445</v>
      </c>
      <c r="P7776" s="8" t="s">
        <v>34346</v>
      </c>
      <c r="Q7776" s="8">
        <f>+(28+46/60+21/3600)</f>
        <v>28.772499999999997</v>
      </c>
      <c r="R7776" s="8">
        <v>13.3</v>
      </c>
      <c r="S7776" s="8">
        <v>14</v>
      </c>
      <c r="T7776" s="8">
        <v>0.7</v>
      </c>
      <c r="U7776" s="8">
        <v>12.8</v>
      </c>
      <c r="V7776" s="8">
        <v>0.9</v>
      </c>
      <c r="W7776" s="8">
        <v>0.8</v>
      </c>
      <c r="X7776" s="8">
        <v>20</v>
      </c>
      <c r="Y7776" s="8" t="s">
        <v>14157</v>
      </c>
      <c r="Z7776" s="8" t="s">
        <v>34347</v>
      </c>
    </row>
    <row r="7777" spans="1:26" x14ac:dyDescent="0.2">
      <c r="A7777" s="8">
        <v>7776</v>
      </c>
      <c r="B7777" s="8" t="s">
        <v>34348</v>
      </c>
      <c r="C7777" s="8" t="s">
        <v>34348</v>
      </c>
      <c r="F7777" s="47"/>
      <c r="G7777" s="8">
        <v>19</v>
      </c>
      <c r="H7777" s="8" t="s">
        <v>21</v>
      </c>
      <c r="I7777" s="8" t="s">
        <v>22</v>
      </c>
      <c r="J7777" s="8" t="s">
        <v>22</v>
      </c>
      <c r="K7777" s="8" t="s">
        <v>91</v>
      </c>
      <c r="L7777" s="8" t="s">
        <v>30854</v>
      </c>
      <c r="M7777" s="8" t="s">
        <v>30855</v>
      </c>
      <c r="N7777" s="8" t="s">
        <v>34349</v>
      </c>
      <c r="O7777" s="8">
        <f>23+54/60+16.5/3600</f>
        <v>23.904583333333331</v>
      </c>
      <c r="P7777" s="8" t="s">
        <v>34350</v>
      </c>
      <c r="Q7777" s="8">
        <f>-(13+35/60+11/3600)</f>
        <v>-13.586388888888889</v>
      </c>
      <c r="R7777" s="8">
        <v>13.9</v>
      </c>
      <c r="S7777" s="8">
        <v>14.8</v>
      </c>
      <c r="T7777" s="8">
        <v>0.9</v>
      </c>
      <c r="U7777" s="8">
        <v>12.5</v>
      </c>
      <c r="V7777" s="8">
        <v>0.9</v>
      </c>
      <c r="W7777" s="8">
        <v>0.3</v>
      </c>
      <c r="X7777" s="8">
        <v>153</v>
      </c>
      <c r="Y7777" s="8" t="s">
        <v>34351</v>
      </c>
      <c r="Z7777" s="8" t="s">
        <v>34352</v>
      </c>
    </row>
    <row r="7778" spans="1:26" x14ac:dyDescent="0.2">
      <c r="A7778" s="8">
        <v>7777</v>
      </c>
      <c r="B7778" s="8" t="s">
        <v>34353</v>
      </c>
      <c r="C7778" s="8" t="s">
        <v>34353</v>
      </c>
      <c r="F7778" s="47"/>
      <c r="G7778" s="8">
        <v>18</v>
      </c>
      <c r="H7778" s="8" t="s">
        <v>21</v>
      </c>
      <c r="I7778" s="8" t="s">
        <v>22</v>
      </c>
      <c r="J7778" s="8" t="s">
        <v>22</v>
      </c>
      <c r="K7778" s="8" t="s">
        <v>37</v>
      </c>
      <c r="L7778" s="8" t="s">
        <v>24</v>
      </c>
      <c r="M7778" s="8" t="s">
        <v>25</v>
      </c>
      <c r="N7778" s="8" t="s">
        <v>34354</v>
      </c>
      <c r="O7778" s="8">
        <f>23+53/60+12.5/3600</f>
        <v>23.886805555555554</v>
      </c>
      <c r="P7778" s="8" t="s">
        <v>34355</v>
      </c>
      <c r="Q7778" s="8">
        <f>+(28+17/60+2/3600)</f>
        <v>28.283888888888889</v>
      </c>
      <c r="R7778" s="8">
        <v>13.3</v>
      </c>
      <c r="S7778" s="8">
        <v>14.3</v>
      </c>
      <c r="T7778" s="8">
        <v>1</v>
      </c>
      <c r="U7778" s="8">
        <v>13.1</v>
      </c>
      <c r="V7778" s="8">
        <v>1.2</v>
      </c>
      <c r="W7778" s="8">
        <v>0.8</v>
      </c>
      <c r="X7778" s="8">
        <v>48</v>
      </c>
      <c r="Y7778" s="8" t="s">
        <v>115</v>
      </c>
      <c r="Z7778" s="8" t="s">
        <v>116</v>
      </c>
    </row>
    <row r="7779" spans="1:26" x14ac:dyDescent="0.2">
      <c r="A7779" s="8">
        <v>7778</v>
      </c>
      <c r="B7779" s="8" t="s">
        <v>34356</v>
      </c>
      <c r="C7779" s="8" t="s">
        <v>34356</v>
      </c>
      <c r="F7779" s="47" t="s">
        <v>58430</v>
      </c>
      <c r="G7779" s="8">
        <v>15</v>
      </c>
      <c r="H7779" s="8" t="s">
        <v>21</v>
      </c>
      <c r="I7779" s="8" t="s">
        <v>22</v>
      </c>
      <c r="J7779" s="8" t="s">
        <v>22</v>
      </c>
      <c r="K7779" s="8" t="s">
        <v>460</v>
      </c>
      <c r="L7779" s="8" t="s">
        <v>38</v>
      </c>
      <c r="M7779" s="8" t="s">
        <v>39</v>
      </c>
      <c r="N7779" s="8" t="s">
        <v>34357</v>
      </c>
      <c r="O7779" s="8">
        <f>23+53/60+19.5/3600</f>
        <v>23.888749999999998</v>
      </c>
      <c r="P7779" s="8" t="s">
        <v>34358</v>
      </c>
      <c r="Q7779" s="8">
        <f>+(7+52/60+14/3600)</f>
        <v>7.8705555555555557</v>
      </c>
      <c r="R7779" s="8">
        <v>12.7</v>
      </c>
      <c r="S7779" s="8">
        <v>13.7</v>
      </c>
      <c r="T7779" s="8">
        <v>1</v>
      </c>
      <c r="U7779" s="8">
        <v>12.7</v>
      </c>
      <c r="V7779" s="8">
        <v>1</v>
      </c>
      <c r="W7779" s="8">
        <v>1</v>
      </c>
      <c r="Y7779" s="8" t="s">
        <v>34359</v>
      </c>
      <c r="Z7779" s="8" t="s">
        <v>34360</v>
      </c>
    </row>
    <row r="7780" spans="1:26" x14ac:dyDescent="0.2">
      <c r="A7780" s="8">
        <v>7779</v>
      </c>
      <c r="B7780" s="8" t="s">
        <v>34361</v>
      </c>
      <c r="C7780" s="8" t="s">
        <v>34361</v>
      </c>
      <c r="F7780" s="47" t="s">
        <v>58431</v>
      </c>
      <c r="G7780" s="8">
        <v>15</v>
      </c>
      <c r="H7780" s="8" t="s">
        <v>21</v>
      </c>
      <c r="I7780" s="8" t="s">
        <v>22</v>
      </c>
      <c r="J7780" s="8" t="s">
        <v>22</v>
      </c>
      <c r="K7780" s="8" t="s">
        <v>632</v>
      </c>
      <c r="L7780" s="8" t="s">
        <v>38</v>
      </c>
      <c r="M7780" s="8" t="s">
        <v>39</v>
      </c>
      <c r="N7780" s="8" t="s">
        <v>34362</v>
      </c>
      <c r="O7780" s="8">
        <f>23+53/60+26.6/3600</f>
        <v>23.890722222222223</v>
      </c>
      <c r="P7780" s="8" t="s">
        <v>34363</v>
      </c>
      <c r="Q7780" s="8">
        <f>+(7+52/60+34/3600)</f>
        <v>7.8761111111111113</v>
      </c>
      <c r="R7780" s="8">
        <v>12.7</v>
      </c>
      <c r="S7780" s="8">
        <v>13.7</v>
      </c>
      <c r="T7780" s="8">
        <v>1</v>
      </c>
      <c r="U7780" s="8">
        <v>13</v>
      </c>
      <c r="V7780" s="8">
        <v>1.4</v>
      </c>
      <c r="W7780" s="8">
        <v>1.1000000000000001</v>
      </c>
      <c r="X7780" s="8">
        <v>10</v>
      </c>
      <c r="Y7780" s="8" t="s">
        <v>34364</v>
      </c>
      <c r="Z7780" s="8" t="s">
        <v>34365</v>
      </c>
    </row>
    <row r="7781" spans="1:26" x14ac:dyDescent="0.2">
      <c r="A7781" s="8">
        <v>7780</v>
      </c>
      <c r="B7781" s="8" t="s">
        <v>34366</v>
      </c>
      <c r="C7781" s="8" t="s">
        <v>34366</v>
      </c>
      <c r="F7781" s="47"/>
      <c r="G7781" s="8">
        <v>19</v>
      </c>
      <c r="H7781" s="8" t="s">
        <v>21</v>
      </c>
      <c r="I7781" s="8" t="s">
        <v>22</v>
      </c>
      <c r="J7781" s="8" t="s">
        <v>22</v>
      </c>
      <c r="K7781" s="8" t="s">
        <v>406</v>
      </c>
      <c r="L7781" s="8" t="s">
        <v>38</v>
      </c>
      <c r="M7781" s="8" t="s">
        <v>39</v>
      </c>
      <c r="N7781" s="8" t="s">
        <v>34367</v>
      </c>
      <c r="O7781" s="8">
        <f>23+53/60+32.1/3600</f>
        <v>23.892250000000001</v>
      </c>
      <c r="P7781" s="8" t="s">
        <v>34368</v>
      </c>
      <c r="Q7781" s="8">
        <f>+(8+7/60+6/3600)</f>
        <v>8.1183333333333341</v>
      </c>
      <c r="R7781" s="8">
        <v>13.9</v>
      </c>
      <c r="S7781" s="8">
        <v>14.8</v>
      </c>
      <c r="T7781" s="8">
        <v>0.9</v>
      </c>
      <c r="U7781" s="8">
        <v>13</v>
      </c>
      <c r="V7781" s="8">
        <v>0.9</v>
      </c>
      <c r="W7781" s="8">
        <v>0.5</v>
      </c>
      <c r="X7781" s="8">
        <v>3</v>
      </c>
      <c r="Y7781" s="8" t="s">
        <v>34369</v>
      </c>
      <c r="Z7781" s="8" t="s">
        <v>34370</v>
      </c>
    </row>
    <row r="7782" spans="1:26" x14ac:dyDescent="0.2">
      <c r="A7782" s="8">
        <v>7781</v>
      </c>
      <c r="B7782" s="8" t="s">
        <v>34371</v>
      </c>
      <c r="C7782" s="8" t="s">
        <v>34371</v>
      </c>
      <c r="F7782" s="47"/>
      <c r="G7782" s="8">
        <v>16</v>
      </c>
      <c r="H7782" s="8" t="s">
        <v>21</v>
      </c>
      <c r="I7782" s="8" t="s">
        <v>22</v>
      </c>
      <c r="J7782" s="8" t="s">
        <v>22</v>
      </c>
      <c r="K7782" s="8" t="s">
        <v>449</v>
      </c>
      <c r="L7782" s="8" t="s">
        <v>38</v>
      </c>
      <c r="M7782" s="8" t="s">
        <v>39</v>
      </c>
      <c r="N7782" s="8" t="s">
        <v>34372</v>
      </c>
      <c r="O7782" s="8">
        <f>23+53/60+45.9/3600</f>
        <v>23.896083333333333</v>
      </c>
      <c r="P7782" s="8" t="s">
        <v>34373</v>
      </c>
      <c r="Q7782" s="8">
        <f>+(7+51/60+39/3600)</f>
        <v>7.8608333333333329</v>
      </c>
      <c r="R7782" s="8">
        <v>13.9</v>
      </c>
      <c r="S7782" s="8">
        <v>15</v>
      </c>
      <c r="T7782" s="8">
        <v>1.1000000000000001</v>
      </c>
      <c r="U7782" s="8">
        <v>11.9</v>
      </c>
      <c r="V7782" s="8">
        <v>0.8</v>
      </c>
      <c r="W7782" s="8">
        <v>0.2</v>
      </c>
      <c r="X7782" s="8">
        <v>13</v>
      </c>
      <c r="Y7782" s="8" t="s">
        <v>34374</v>
      </c>
      <c r="Z7782" s="8" t="s">
        <v>34375</v>
      </c>
    </row>
    <row r="7783" spans="1:26" x14ac:dyDescent="0.2">
      <c r="A7783" s="8">
        <v>7782</v>
      </c>
      <c r="B7783" s="8" t="s">
        <v>34376</v>
      </c>
      <c r="C7783" s="8" t="s">
        <v>34376</v>
      </c>
      <c r="F7783" s="47" t="s">
        <v>58432</v>
      </c>
      <c r="G7783" s="8">
        <v>13</v>
      </c>
      <c r="H7783" s="8" t="s">
        <v>21</v>
      </c>
      <c r="I7783" s="8" t="s">
        <v>22</v>
      </c>
      <c r="J7783" s="8" t="s">
        <v>22</v>
      </c>
      <c r="K7783" s="8" t="s">
        <v>23</v>
      </c>
      <c r="L7783" s="8" t="s">
        <v>38</v>
      </c>
      <c r="M7783" s="8" t="s">
        <v>39</v>
      </c>
      <c r="N7783" s="8" t="s">
        <v>34377</v>
      </c>
      <c r="O7783" s="8">
        <f>23+53/60+53.9/3600</f>
        <v>23.898305555555556</v>
      </c>
      <c r="P7783" s="8" t="s">
        <v>34378</v>
      </c>
      <c r="Q7783" s="8">
        <f>+(7+58/60+14/3600)</f>
        <v>7.9705555555555554</v>
      </c>
      <c r="R7783" s="8">
        <v>12.2</v>
      </c>
      <c r="S7783" s="8">
        <v>13.1</v>
      </c>
      <c r="T7783" s="8">
        <v>0.9</v>
      </c>
      <c r="U7783" s="8">
        <v>13.3</v>
      </c>
      <c r="V7783" s="8">
        <v>2.2000000000000002</v>
      </c>
      <c r="W7783" s="8">
        <v>1.3</v>
      </c>
      <c r="X7783" s="8">
        <v>1</v>
      </c>
      <c r="Y7783" s="8" t="s">
        <v>34379</v>
      </c>
      <c r="Z7783" s="8" t="s">
        <v>34380</v>
      </c>
    </row>
    <row r="7784" spans="1:26" x14ac:dyDescent="0.2">
      <c r="A7784" s="8">
        <v>7783</v>
      </c>
      <c r="B7784" s="8" t="s">
        <v>34381</v>
      </c>
      <c r="C7784" s="8" t="s">
        <v>34381</v>
      </c>
      <c r="D7784" s="8" t="s">
        <v>351</v>
      </c>
      <c r="F7784" s="47"/>
      <c r="G7784" s="8">
        <v>18</v>
      </c>
      <c r="H7784" s="8" t="s">
        <v>21</v>
      </c>
      <c r="I7784" s="8" t="s">
        <v>22</v>
      </c>
      <c r="J7784" s="8" t="s">
        <v>22</v>
      </c>
      <c r="K7784" s="8" t="s">
        <v>37</v>
      </c>
      <c r="L7784" s="8" t="s">
        <v>38</v>
      </c>
      <c r="M7784" s="8" t="s">
        <v>39</v>
      </c>
      <c r="N7784" s="8" t="s">
        <v>34382</v>
      </c>
      <c r="O7784" s="8">
        <f>23+54/60+10.1/3600</f>
        <v>23.902805555555553</v>
      </c>
      <c r="P7784" s="8" t="s">
        <v>34383</v>
      </c>
      <c r="Q7784" s="8">
        <f>+(0+23/60+0/3600)</f>
        <v>0.38333333333333336</v>
      </c>
      <c r="R7784" s="8">
        <v>13</v>
      </c>
      <c r="S7784" s="8">
        <v>14</v>
      </c>
      <c r="T7784" s="8">
        <v>1</v>
      </c>
      <c r="U7784" s="8">
        <v>12.6</v>
      </c>
      <c r="V7784" s="8">
        <v>1.3</v>
      </c>
      <c r="W7784" s="8">
        <v>0.6</v>
      </c>
      <c r="X7784" s="8">
        <v>100</v>
      </c>
      <c r="Y7784" s="8" t="s">
        <v>3253</v>
      </c>
      <c r="Z7784" s="8" t="s">
        <v>3254</v>
      </c>
    </row>
    <row r="7785" spans="1:26" x14ac:dyDescent="0.2">
      <c r="A7785" s="8">
        <v>7784</v>
      </c>
      <c r="B7785" s="8" t="s">
        <v>34384</v>
      </c>
      <c r="C7785" s="8" t="s">
        <v>34384</v>
      </c>
      <c r="F7785" s="47"/>
      <c r="G7785" s="8">
        <v>19</v>
      </c>
      <c r="H7785" s="8" t="s">
        <v>21</v>
      </c>
      <c r="I7785" s="8" t="s">
        <v>22</v>
      </c>
      <c r="J7785" s="8" t="s">
        <v>22</v>
      </c>
      <c r="K7785" s="8" t="s">
        <v>424</v>
      </c>
      <c r="L7785" s="8" t="s">
        <v>24</v>
      </c>
      <c r="M7785" s="8" t="s">
        <v>25</v>
      </c>
      <c r="N7785" s="8" t="s">
        <v>34385</v>
      </c>
      <c r="O7785" s="8">
        <f>23+55/60+13.6/3600</f>
        <v>23.920444444444446</v>
      </c>
      <c r="P7785" s="8" t="s">
        <v>34386</v>
      </c>
      <c r="Q7785" s="8">
        <f>+(21+45/60+46/3600)</f>
        <v>21.762777777777778</v>
      </c>
      <c r="R7785" s="8">
        <v>14.5</v>
      </c>
      <c r="S7785" s="8">
        <v>15.5</v>
      </c>
      <c r="T7785" s="8">
        <v>1</v>
      </c>
      <c r="U7785" s="8">
        <v>12.8</v>
      </c>
      <c r="V7785" s="8">
        <v>0.5</v>
      </c>
      <c r="W7785" s="8">
        <v>0.5</v>
      </c>
      <c r="Y7785" s="8" t="s">
        <v>34387</v>
      </c>
      <c r="Z7785" s="8" t="s">
        <v>34388</v>
      </c>
    </row>
    <row r="7786" spans="1:26" x14ac:dyDescent="0.2">
      <c r="A7786" s="8">
        <v>7785</v>
      </c>
      <c r="B7786" s="8" t="s">
        <v>34389</v>
      </c>
      <c r="C7786" s="8" t="s">
        <v>34389</v>
      </c>
      <c r="F7786" s="47" t="s">
        <v>58433</v>
      </c>
      <c r="G7786" s="8">
        <v>6.5</v>
      </c>
      <c r="H7786" s="8" t="s">
        <v>21</v>
      </c>
      <c r="I7786" s="8" t="s">
        <v>22</v>
      </c>
      <c r="J7786" s="8" t="s">
        <v>22</v>
      </c>
      <c r="K7786" s="8" t="s">
        <v>1068</v>
      </c>
      <c r="L7786" s="8" t="s">
        <v>38</v>
      </c>
      <c r="M7786" s="8" t="s">
        <v>39</v>
      </c>
      <c r="N7786" s="8" t="s">
        <v>34390</v>
      </c>
      <c r="O7786" s="8">
        <f>23+55/60+18.9/3600</f>
        <v>23.921916666666668</v>
      </c>
      <c r="P7786" s="8" t="s">
        <v>34391</v>
      </c>
      <c r="Q7786" s="8">
        <f>+(5+54/60+58/3600)</f>
        <v>5.9161111111111113</v>
      </c>
      <c r="R7786" s="8">
        <v>11.6</v>
      </c>
      <c r="S7786" s="8">
        <v>12.6</v>
      </c>
      <c r="T7786" s="8">
        <v>1</v>
      </c>
      <c r="U7786" s="8">
        <v>12.9</v>
      </c>
      <c r="V7786" s="8">
        <v>2.5</v>
      </c>
      <c r="W7786" s="8">
        <v>1.3</v>
      </c>
      <c r="X7786" s="8">
        <v>143</v>
      </c>
      <c r="Y7786" s="8" t="s">
        <v>34392</v>
      </c>
      <c r="Z7786" s="8" t="s">
        <v>34393</v>
      </c>
    </row>
    <row r="7787" spans="1:26" x14ac:dyDescent="0.2">
      <c r="A7787" s="8">
        <v>7786</v>
      </c>
      <c r="B7787" s="8" t="s">
        <v>34394</v>
      </c>
      <c r="C7787" s="8" t="s">
        <v>34394</v>
      </c>
      <c r="F7787" s="47"/>
      <c r="G7787" s="8">
        <v>19</v>
      </c>
      <c r="H7787" s="8" t="s">
        <v>21</v>
      </c>
      <c r="I7787" s="8" t="s">
        <v>22</v>
      </c>
      <c r="J7787" s="8" t="s">
        <v>22</v>
      </c>
      <c r="K7787" s="8" t="s">
        <v>449</v>
      </c>
      <c r="L7787" s="8" t="s">
        <v>24</v>
      </c>
      <c r="M7787" s="8" t="s">
        <v>25</v>
      </c>
      <c r="N7787" s="8" t="s">
        <v>34395</v>
      </c>
      <c r="O7787" s="8">
        <f>23+55/60+21.7/3600</f>
        <v>23.922694444444446</v>
      </c>
      <c r="P7787" s="8" t="s">
        <v>34396</v>
      </c>
      <c r="Q7787" s="8">
        <f>+(21+35/60+19/3600)</f>
        <v>21.58861111111111</v>
      </c>
      <c r="R7787" s="8">
        <v>13.3</v>
      </c>
      <c r="S7787" s="8">
        <v>14.1</v>
      </c>
      <c r="T7787" s="8">
        <v>0.8</v>
      </c>
      <c r="U7787" s="8">
        <v>12.8</v>
      </c>
      <c r="V7787" s="8">
        <v>1</v>
      </c>
      <c r="W7787" s="8">
        <v>0.7</v>
      </c>
      <c r="X7787" s="8">
        <v>2</v>
      </c>
      <c r="Y7787" s="8" t="s">
        <v>34397</v>
      </c>
      <c r="Z7787" s="8" t="s">
        <v>34398</v>
      </c>
    </row>
    <row r="7788" spans="1:26" x14ac:dyDescent="0.2">
      <c r="A7788" s="8">
        <v>7787</v>
      </c>
      <c r="B7788" s="8" t="s">
        <v>34399</v>
      </c>
      <c r="C7788" s="8" t="s">
        <v>34399</v>
      </c>
      <c r="F7788" s="47"/>
      <c r="G7788" s="8">
        <v>18</v>
      </c>
      <c r="H7788" s="8" t="s">
        <v>21</v>
      </c>
      <c r="I7788" s="8" t="s">
        <v>22</v>
      </c>
      <c r="J7788" s="8" t="s">
        <v>22</v>
      </c>
      <c r="K7788" s="8" t="s">
        <v>424</v>
      </c>
      <c r="L7788" s="8" t="s">
        <v>38</v>
      </c>
      <c r="M7788" s="8" t="s">
        <v>39</v>
      </c>
      <c r="N7788" s="8" t="s">
        <v>34400</v>
      </c>
      <c r="O7788" s="8">
        <f>23+55/60+52/3600</f>
        <v>23.931111111111111</v>
      </c>
      <c r="P7788" s="8" t="s">
        <v>34401</v>
      </c>
      <c r="Q7788" s="8">
        <f>+(0+33/60+28/3600)</f>
        <v>0.55777777777777782</v>
      </c>
      <c r="R7788" s="8">
        <v>14</v>
      </c>
      <c r="S7788" s="8">
        <v>15</v>
      </c>
      <c r="T7788" s="8">
        <v>1</v>
      </c>
      <c r="U7788" s="8">
        <v>13</v>
      </c>
      <c r="V7788" s="8">
        <v>0.7</v>
      </c>
      <c r="W7788" s="8">
        <v>0.6</v>
      </c>
      <c r="Y7788" s="8" t="s">
        <v>170</v>
      </c>
      <c r="Z7788" s="8" t="s">
        <v>171</v>
      </c>
    </row>
    <row r="7789" spans="1:26" x14ac:dyDescent="0.2">
      <c r="A7789" s="8">
        <v>7788</v>
      </c>
      <c r="B7789" s="8" t="s">
        <v>34402</v>
      </c>
      <c r="C7789" s="8" t="s">
        <v>34402</v>
      </c>
      <c r="F7789" s="47"/>
      <c r="G7789" s="8">
        <v>7</v>
      </c>
      <c r="H7789" s="8" t="s">
        <v>21</v>
      </c>
      <c r="I7789" s="8" t="s">
        <v>557</v>
      </c>
      <c r="J7789" s="8" t="s">
        <v>557</v>
      </c>
      <c r="K7789" s="8" t="s">
        <v>7705</v>
      </c>
      <c r="L7789" s="8" t="s">
        <v>559</v>
      </c>
      <c r="M7789" s="8" t="s">
        <v>560</v>
      </c>
      <c r="N7789" s="8" t="s">
        <v>34403</v>
      </c>
      <c r="O7789" s="8">
        <f>23+56/60+46/3600</f>
        <v>23.946111111111112</v>
      </c>
      <c r="P7789" s="8" t="s">
        <v>34404</v>
      </c>
      <c r="Q7789" s="8">
        <f>+(61+24/60+0/3600)</f>
        <v>61.4</v>
      </c>
      <c r="R7789" s="8">
        <v>9.4</v>
      </c>
      <c r="S7789" s="8">
        <v>99</v>
      </c>
      <c r="T7789" s="8">
        <v>99</v>
      </c>
      <c r="U7789" s="8">
        <v>99</v>
      </c>
      <c r="V7789" s="8">
        <v>4</v>
      </c>
      <c r="Y7789" s="8" t="s">
        <v>34405</v>
      </c>
      <c r="Z7789" s="8" t="s">
        <v>34406</v>
      </c>
    </row>
    <row r="7790" spans="1:26" x14ac:dyDescent="0.2">
      <c r="A7790" s="8">
        <v>7789</v>
      </c>
      <c r="B7790" s="8" t="s">
        <v>34407</v>
      </c>
      <c r="C7790" s="8" t="s">
        <v>34407</v>
      </c>
      <c r="F7790" s="47" t="s">
        <v>58434</v>
      </c>
      <c r="G7790" s="8">
        <v>5</v>
      </c>
      <c r="H7790" s="8" t="s">
        <v>34408</v>
      </c>
      <c r="I7790" s="8" t="s">
        <v>557</v>
      </c>
      <c r="J7790" s="8" t="s">
        <v>557</v>
      </c>
      <c r="K7790" s="8" t="s">
        <v>981</v>
      </c>
      <c r="L7790" s="8" t="s">
        <v>559</v>
      </c>
      <c r="M7790" s="8" t="s">
        <v>560</v>
      </c>
      <c r="N7790" s="8" t="s">
        <v>34409</v>
      </c>
      <c r="O7790" s="8">
        <f>23+57/60+28.6/3600</f>
        <v>23.957944444444443</v>
      </c>
      <c r="P7790" s="8" t="s">
        <v>34410</v>
      </c>
      <c r="Q7790" s="8">
        <f>+(56+42/60+52/3600)</f>
        <v>56.714444444444446</v>
      </c>
      <c r="R7790" s="8">
        <v>6.7</v>
      </c>
      <c r="S7790" s="8">
        <v>99</v>
      </c>
      <c r="T7790" s="8">
        <v>99</v>
      </c>
      <c r="U7790" s="8">
        <v>99</v>
      </c>
      <c r="V7790" s="8">
        <v>25</v>
      </c>
      <c r="Y7790" s="8" t="s">
        <v>34411</v>
      </c>
      <c r="Z7790" s="8" t="s">
        <v>34412</v>
      </c>
    </row>
    <row r="7791" spans="1:26" x14ac:dyDescent="0.2">
      <c r="A7791" s="8">
        <v>7790</v>
      </c>
      <c r="B7791" s="8" t="s">
        <v>34413</v>
      </c>
      <c r="C7791" s="8" t="s">
        <v>34413</v>
      </c>
      <c r="F7791" s="47" t="s">
        <v>58435</v>
      </c>
      <c r="G7791" s="8">
        <v>6</v>
      </c>
      <c r="H7791" s="8" t="s">
        <v>34414</v>
      </c>
      <c r="I7791" s="8" t="s">
        <v>557</v>
      </c>
      <c r="J7791" s="8" t="s">
        <v>557</v>
      </c>
      <c r="K7791" s="8" t="s">
        <v>987</v>
      </c>
      <c r="L7791" s="8" t="s">
        <v>559</v>
      </c>
      <c r="M7791" s="8" t="s">
        <v>560</v>
      </c>
      <c r="N7791" s="8" t="s">
        <v>34415</v>
      </c>
      <c r="O7791" s="8">
        <f>23+58/60+24.2/3600</f>
        <v>23.973388888888888</v>
      </c>
      <c r="P7791" s="8" t="s">
        <v>34416</v>
      </c>
      <c r="Q7791" s="8">
        <f>+(61+12/60+30/3600)</f>
        <v>61.208333333333336</v>
      </c>
      <c r="R7791" s="8">
        <v>8.5</v>
      </c>
      <c r="S7791" s="8">
        <v>99</v>
      </c>
      <c r="T7791" s="8">
        <v>99</v>
      </c>
      <c r="U7791" s="8">
        <v>99</v>
      </c>
      <c r="V7791" s="8">
        <v>5</v>
      </c>
      <c r="Y7791" s="8" t="s">
        <v>10860</v>
      </c>
      <c r="Z7791" s="8" t="s">
        <v>10861</v>
      </c>
    </row>
    <row r="7792" spans="1:26" x14ac:dyDescent="0.2">
      <c r="A7792" s="8">
        <v>7791</v>
      </c>
      <c r="B7792" s="8" t="s">
        <v>34417</v>
      </c>
      <c r="C7792" s="8" t="s">
        <v>34417</v>
      </c>
      <c r="F7792" s="47"/>
      <c r="G7792" s="8">
        <v>16</v>
      </c>
      <c r="H7792" s="8" t="s">
        <v>21</v>
      </c>
      <c r="I7792" s="8" t="s">
        <v>72</v>
      </c>
      <c r="J7792" s="8" t="s">
        <v>72</v>
      </c>
      <c r="K7792" s="8" t="s">
        <v>73</v>
      </c>
      <c r="L7792" s="8" t="s">
        <v>24</v>
      </c>
      <c r="M7792" s="8" t="s">
        <v>25</v>
      </c>
      <c r="N7792" s="8" t="s">
        <v>34418</v>
      </c>
      <c r="O7792" s="8">
        <f>23+57/60+57.2/3600</f>
        <v>23.965888888888887</v>
      </c>
      <c r="P7792" s="8" t="s">
        <v>34419</v>
      </c>
      <c r="Q7792" s="8">
        <f>+(10+45/60+58/3600)</f>
        <v>10.766111111111112</v>
      </c>
      <c r="R7792" s="8">
        <v>99</v>
      </c>
      <c r="S7792" s="8">
        <v>99</v>
      </c>
      <c r="T7792" s="8">
        <v>99</v>
      </c>
      <c r="U7792" s="8">
        <v>99</v>
      </c>
      <c r="Y7792" s="8" t="s">
        <v>34420</v>
      </c>
      <c r="Z7792" s="8" t="s">
        <v>34421</v>
      </c>
    </row>
    <row r="7793" spans="1:26" x14ac:dyDescent="0.2">
      <c r="A7793" s="8">
        <v>7792</v>
      </c>
      <c r="B7793" s="8" t="s">
        <v>34422</v>
      </c>
      <c r="C7793" s="8" t="s">
        <v>34422</v>
      </c>
      <c r="F7793" s="47"/>
      <c r="G7793" s="8">
        <v>18</v>
      </c>
      <c r="H7793" s="8" t="s">
        <v>21</v>
      </c>
      <c r="I7793" s="8" t="s">
        <v>22</v>
      </c>
      <c r="J7793" s="8" t="s">
        <v>22</v>
      </c>
      <c r="K7793" s="8" t="s">
        <v>23</v>
      </c>
      <c r="L7793" s="8" t="s">
        <v>24</v>
      </c>
      <c r="M7793" s="8" t="s">
        <v>25</v>
      </c>
      <c r="N7793" s="8" t="s">
        <v>34423</v>
      </c>
      <c r="O7793" s="8">
        <f>23+58/60+3.6/3600</f>
        <v>23.967666666666666</v>
      </c>
      <c r="P7793" s="8" t="s">
        <v>34424</v>
      </c>
      <c r="Q7793" s="8">
        <f>+(16+30/60+7/3600)</f>
        <v>16.501944444444444</v>
      </c>
      <c r="R7793" s="8">
        <v>14.1</v>
      </c>
      <c r="S7793" s="8">
        <v>14.9</v>
      </c>
      <c r="T7793" s="8">
        <v>0.8</v>
      </c>
      <c r="U7793" s="8">
        <v>13.7</v>
      </c>
      <c r="V7793" s="8">
        <v>1</v>
      </c>
      <c r="W7793" s="8">
        <v>0.8</v>
      </c>
      <c r="X7793" s="8">
        <v>3</v>
      </c>
      <c r="Y7793" s="8" t="s">
        <v>33077</v>
      </c>
      <c r="Z7793" s="8" t="s">
        <v>33078</v>
      </c>
    </row>
    <row r="7794" spans="1:26" x14ac:dyDescent="0.2">
      <c r="A7794" s="8">
        <v>7793</v>
      </c>
      <c r="B7794" s="8" t="s">
        <v>34425</v>
      </c>
      <c r="C7794" s="8" t="s">
        <v>34425</v>
      </c>
      <c r="F7794" s="47"/>
      <c r="G7794" s="8">
        <v>3</v>
      </c>
      <c r="H7794" s="8" t="s">
        <v>34426</v>
      </c>
      <c r="I7794" s="8" t="s">
        <v>22</v>
      </c>
      <c r="J7794" s="8" t="s">
        <v>22</v>
      </c>
      <c r="K7794" s="8" t="s">
        <v>579</v>
      </c>
      <c r="L7794" s="8" t="s">
        <v>65</v>
      </c>
      <c r="M7794" s="8" t="s">
        <v>66</v>
      </c>
      <c r="N7794" s="8" t="s">
        <v>34427</v>
      </c>
      <c r="O7794" s="8">
        <f>23+57/60+49.2/3600</f>
        <v>23.963666666666665</v>
      </c>
      <c r="P7794" s="8" t="s">
        <v>34428</v>
      </c>
      <c r="Q7794" s="8">
        <f>-(32+35/60+30/3600)</f>
        <v>-32.591666666666669</v>
      </c>
      <c r="R7794" s="8">
        <v>9.1</v>
      </c>
      <c r="S7794" s="8">
        <v>9.6</v>
      </c>
      <c r="T7794" s="8">
        <v>0.5</v>
      </c>
      <c r="U7794" s="8">
        <v>13.4</v>
      </c>
      <c r="V7794" s="8">
        <v>9.3000000000000007</v>
      </c>
      <c r="W7794" s="8">
        <v>6.3</v>
      </c>
      <c r="X7794" s="8">
        <v>98</v>
      </c>
      <c r="Y7794" s="8" t="s">
        <v>34429</v>
      </c>
      <c r="Z7794" s="8" t="s">
        <v>34430</v>
      </c>
    </row>
    <row r="7795" spans="1:26" x14ac:dyDescent="0.2">
      <c r="A7795" s="8">
        <v>7794</v>
      </c>
      <c r="B7795" s="8" t="s">
        <v>34431</v>
      </c>
      <c r="C7795" s="8" t="s">
        <v>34431</v>
      </c>
      <c r="F7795" s="47" t="s">
        <v>58436</v>
      </c>
      <c r="G7795" s="8">
        <v>15</v>
      </c>
      <c r="H7795" s="8" t="s">
        <v>21</v>
      </c>
      <c r="I7795" s="8" t="s">
        <v>22</v>
      </c>
      <c r="J7795" s="8" t="s">
        <v>22</v>
      </c>
      <c r="K7795" s="8" t="s">
        <v>396</v>
      </c>
      <c r="L7795" s="8" t="s">
        <v>24</v>
      </c>
      <c r="M7795" s="8" t="s">
        <v>25</v>
      </c>
      <c r="N7795" s="8" t="s">
        <v>34432</v>
      </c>
      <c r="O7795" s="8">
        <f>23+58/60+34.1/3600</f>
        <v>23.976138888888887</v>
      </c>
      <c r="P7795" s="8" t="s">
        <v>34433</v>
      </c>
      <c r="Q7795" s="8">
        <f>+(10+43/60+42/3600)</f>
        <v>10.728333333333333</v>
      </c>
      <c r="R7795" s="8">
        <v>12.6</v>
      </c>
      <c r="S7795" s="8">
        <v>13.4</v>
      </c>
      <c r="T7795" s="8">
        <v>0.8</v>
      </c>
      <c r="U7795" s="8">
        <v>12.8</v>
      </c>
      <c r="V7795" s="8">
        <v>1.3</v>
      </c>
      <c r="W7795" s="8">
        <v>1</v>
      </c>
      <c r="X7795" s="8">
        <v>0</v>
      </c>
      <c r="Y7795" s="8" t="s">
        <v>880</v>
      </c>
      <c r="Z7795" s="8" t="s">
        <v>881</v>
      </c>
    </row>
    <row r="7796" spans="1:26" x14ac:dyDescent="0.2">
      <c r="A7796" s="8">
        <v>7795</v>
      </c>
      <c r="B7796" s="8" t="s">
        <v>34434</v>
      </c>
      <c r="C7796" s="8" t="s">
        <v>34434</v>
      </c>
      <c r="F7796" s="47"/>
      <c r="G7796" s="8">
        <v>16</v>
      </c>
      <c r="H7796" s="8" t="s">
        <v>21</v>
      </c>
      <c r="I7796" s="8" t="s">
        <v>72</v>
      </c>
      <c r="J7796" s="8" t="s">
        <v>72</v>
      </c>
      <c r="K7796" s="8" t="s">
        <v>1405</v>
      </c>
      <c r="L7796" s="8" t="s">
        <v>559</v>
      </c>
      <c r="M7796" s="8" t="s">
        <v>560</v>
      </c>
      <c r="N7796" s="8" t="s">
        <v>34435</v>
      </c>
      <c r="O7796" s="8">
        <f>23+58/60+34.5/3600</f>
        <v>23.976249999999997</v>
      </c>
      <c r="P7796" s="8" t="s">
        <v>34436</v>
      </c>
      <c r="Q7796" s="8">
        <f>+(60+1/60+25/3600)</f>
        <v>60.023611111111109</v>
      </c>
      <c r="R7796" s="8">
        <v>99</v>
      </c>
      <c r="S7796" s="8">
        <v>99</v>
      </c>
      <c r="T7796" s="8">
        <v>99</v>
      </c>
      <c r="U7796" s="8">
        <v>99</v>
      </c>
      <c r="V7796" s="8">
        <v>16</v>
      </c>
      <c r="Y7796" s="8" t="s">
        <v>34437</v>
      </c>
      <c r="Z7796" s="8" t="s">
        <v>34438</v>
      </c>
    </row>
    <row r="7797" spans="1:26" x14ac:dyDescent="0.2">
      <c r="A7797" s="8">
        <v>7796</v>
      </c>
      <c r="B7797" s="8" t="s">
        <v>34439</v>
      </c>
      <c r="C7797" s="8" t="s">
        <v>34439</v>
      </c>
      <c r="F7797" s="47"/>
      <c r="G7797" s="8">
        <v>13</v>
      </c>
      <c r="H7797" s="8" t="s">
        <v>21</v>
      </c>
      <c r="I7797" s="8" t="s">
        <v>22</v>
      </c>
      <c r="J7797" s="8" t="s">
        <v>22</v>
      </c>
      <c r="K7797" s="8" t="s">
        <v>183</v>
      </c>
      <c r="L7797" s="8" t="s">
        <v>166</v>
      </c>
      <c r="M7797" s="8" t="s">
        <v>167</v>
      </c>
      <c r="N7797" s="8" t="s">
        <v>34440</v>
      </c>
      <c r="O7797" s="8">
        <f>23+58/60+59.7/3600</f>
        <v>23.983249999999998</v>
      </c>
      <c r="P7797" s="8" t="s">
        <v>34441</v>
      </c>
      <c r="Q7797" s="8">
        <f>-(55+27/60+29/3600)</f>
        <v>-55.458055555555561</v>
      </c>
      <c r="R7797" s="8">
        <v>11.5</v>
      </c>
      <c r="S7797" s="8">
        <v>12.5</v>
      </c>
      <c r="T7797" s="8">
        <v>1</v>
      </c>
      <c r="U7797" s="8">
        <v>12.9</v>
      </c>
      <c r="V7797" s="8">
        <v>2.2000000000000002</v>
      </c>
      <c r="W7797" s="8">
        <v>1.9</v>
      </c>
      <c r="X7797" s="8">
        <v>168</v>
      </c>
      <c r="Y7797" s="8" t="s">
        <v>34442</v>
      </c>
      <c r="Z7797" s="8" t="s">
        <v>34443</v>
      </c>
    </row>
    <row r="7798" spans="1:26" x14ac:dyDescent="0.2">
      <c r="A7798" s="8">
        <v>7797</v>
      </c>
      <c r="B7798" s="8" t="s">
        <v>34444</v>
      </c>
      <c r="C7798" s="8" t="s">
        <v>34444</v>
      </c>
      <c r="F7798" s="47" t="s">
        <v>58437</v>
      </c>
      <c r="G7798" s="8">
        <v>15</v>
      </c>
      <c r="H7798" s="8" t="s">
        <v>21</v>
      </c>
      <c r="I7798" s="8" t="s">
        <v>22</v>
      </c>
      <c r="J7798" s="8" t="s">
        <v>22</v>
      </c>
      <c r="K7798" s="8" t="s">
        <v>396</v>
      </c>
      <c r="L7798" s="8" t="s">
        <v>38</v>
      </c>
      <c r="M7798" s="8" t="s">
        <v>39</v>
      </c>
      <c r="N7798" s="8" t="s">
        <v>34445</v>
      </c>
      <c r="O7798" s="8">
        <f>23+58/60+58.8/3600</f>
        <v>23.982999999999997</v>
      </c>
      <c r="P7798" s="8" t="s">
        <v>34446</v>
      </c>
      <c r="Q7798" s="8">
        <f>+(3+38/60+3/3600)</f>
        <v>3.6341666666666668</v>
      </c>
      <c r="R7798" s="8">
        <v>13.7</v>
      </c>
      <c r="S7798" s="8">
        <v>14.5</v>
      </c>
      <c r="T7798" s="8">
        <v>0.8</v>
      </c>
      <c r="U7798" s="8">
        <v>13.4</v>
      </c>
      <c r="V7798" s="8">
        <v>1</v>
      </c>
      <c r="W7798" s="8">
        <v>0.9</v>
      </c>
      <c r="X7798" s="8">
        <v>13</v>
      </c>
      <c r="Y7798" s="8" t="s">
        <v>34447</v>
      </c>
      <c r="Z7798" s="8" t="s">
        <v>34448</v>
      </c>
    </row>
    <row r="7799" spans="1:26" x14ac:dyDescent="0.2">
      <c r="A7799" s="8">
        <v>7798</v>
      </c>
      <c r="B7799" s="8" t="s">
        <v>34449</v>
      </c>
      <c r="C7799" s="8" t="s">
        <v>34449</v>
      </c>
      <c r="F7799" s="47" t="s">
        <v>58438</v>
      </c>
      <c r="G7799" s="8">
        <v>15</v>
      </c>
      <c r="H7799" s="8" t="s">
        <v>21</v>
      </c>
      <c r="I7799" s="8" t="s">
        <v>22</v>
      </c>
      <c r="J7799" s="8" t="s">
        <v>22</v>
      </c>
      <c r="K7799" s="8" t="s">
        <v>160</v>
      </c>
      <c r="L7799" s="8" t="s">
        <v>24</v>
      </c>
      <c r="M7799" s="8" t="s">
        <v>25</v>
      </c>
      <c r="N7799" s="8" t="s">
        <v>34450</v>
      </c>
      <c r="O7799" s="8">
        <f>23+59/60+25.6/3600</f>
        <v>23.990444444444446</v>
      </c>
      <c r="P7799" s="8" t="s">
        <v>34451</v>
      </c>
      <c r="Q7799" s="8">
        <f>+(20+45/60+0/3600)</f>
        <v>20.75</v>
      </c>
      <c r="R7799" s="8">
        <v>12.4</v>
      </c>
      <c r="S7799" s="8">
        <v>13</v>
      </c>
      <c r="T7799" s="8">
        <v>0.6</v>
      </c>
      <c r="U7799" s="8">
        <v>12.8</v>
      </c>
      <c r="V7799" s="8">
        <v>1.4</v>
      </c>
      <c r="W7799" s="8">
        <v>1.3</v>
      </c>
      <c r="X7799" s="8">
        <v>51</v>
      </c>
      <c r="Y7799" s="8" t="s">
        <v>34452</v>
      </c>
      <c r="Z7799" s="8" t="s">
        <v>34453</v>
      </c>
    </row>
    <row r="7800" spans="1:26" x14ac:dyDescent="0.2">
      <c r="A7800" s="8">
        <v>7799</v>
      </c>
      <c r="B7800" s="8" t="s">
        <v>34454</v>
      </c>
      <c r="C7800" s="8" t="s">
        <v>34454</v>
      </c>
      <c r="F7800" s="47"/>
      <c r="G7800" s="8">
        <v>18</v>
      </c>
      <c r="H7800" s="8" t="s">
        <v>21</v>
      </c>
      <c r="I7800" s="8" t="s">
        <v>72</v>
      </c>
      <c r="J7800" s="8" t="s">
        <v>72</v>
      </c>
      <c r="K7800" s="8" t="s">
        <v>20</v>
      </c>
      <c r="L7800" s="8" t="s">
        <v>24</v>
      </c>
      <c r="M7800" s="8" t="s">
        <v>25</v>
      </c>
      <c r="N7800" s="8" t="s">
        <v>34455</v>
      </c>
      <c r="O7800" s="8">
        <f>23+59/60+31.5/3600</f>
        <v>23.992083333333333</v>
      </c>
      <c r="P7800" s="8" t="s">
        <v>34456</v>
      </c>
      <c r="Q7800" s="8">
        <f>+(31+17/60+46/3600)</f>
        <v>31.296111111111113</v>
      </c>
      <c r="R7800" s="8">
        <v>99</v>
      </c>
      <c r="S7800" s="8">
        <v>14.9</v>
      </c>
      <c r="T7800" s="8">
        <v>99</v>
      </c>
      <c r="U7800" s="8">
        <v>99</v>
      </c>
      <c r="Y7800" s="8" t="s">
        <v>34457</v>
      </c>
      <c r="Z7800" s="8" t="s">
        <v>34458</v>
      </c>
    </row>
    <row r="7801" spans="1:26" x14ac:dyDescent="0.2">
      <c r="A7801" s="8">
        <v>7800</v>
      </c>
      <c r="B7801" s="8" t="s">
        <v>34459</v>
      </c>
      <c r="C7801" s="8" t="s">
        <v>34459</v>
      </c>
      <c r="F7801" s="47" t="s">
        <v>58439</v>
      </c>
      <c r="G7801" s="8">
        <v>15</v>
      </c>
      <c r="H7801" s="8" t="s">
        <v>21</v>
      </c>
      <c r="I7801" s="8" t="s">
        <v>22</v>
      </c>
      <c r="J7801" s="8" t="s">
        <v>22</v>
      </c>
      <c r="K7801" s="8" t="s">
        <v>3616</v>
      </c>
      <c r="L7801" s="8" t="s">
        <v>24</v>
      </c>
      <c r="M7801" s="8" t="s">
        <v>25</v>
      </c>
      <c r="N7801" s="8" t="s">
        <v>34460</v>
      </c>
      <c r="O7801" s="8">
        <f>23+59/60+37/3600</f>
        <v>23.993611111111111</v>
      </c>
      <c r="P7801" s="8" t="s">
        <v>34461</v>
      </c>
      <c r="Q7801" s="8">
        <f>+(14+48/60+27/3600)</f>
        <v>14.807500000000001</v>
      </c>
      <c r="R7801" s="8">
        <v>12.5</v>
      </c>
      <c r="S7801" s="8">
        <v>13.1</v>
      </c>
      <c r="T7801" s="8">
        <v>0.6</v>
      </c>
      <c r="U7801" s="8">
        <v>13.7</v>
      </c>
      <c r="V7801" s="8">
        <v>2.2999999999999998</v>
      </c>
      <c r="W7801" s="8">
        <v>1.6</v>
      </c>
      <c r="X7801" s="8">
        <v>42</v>
      </c>
      <c r="Y7801" s="8" t="s">
        <v>34462</v>
      </c>
      <c r="Z7801" s="8" t="s">
        <v>34463</v>
      </c>
    </row>
    <row r="7802" spans="1:26" x14ac:dyDescent="0.2">
      <c r="A7802" s="8">
        <v>7801</v>
      </c>
      <c r="B7802" s="8" t="s">
        <v>34464</v>
      </c>
      <c r="C7802" s="8" t="s">
        <v>34464</v>
      </c>
      <c r="F7802" s="47"/>
      <c r="G7802" s="8">
        <v>16</v>
      </c>
      <c r="H7802" s="8" t="s">
        <v>21</v>
      </c>
      <c r="I7802" s="8" t="s">
        <v>72</v>
      </c>
      <c r="J7802" s="8" t="s">
        <v>72</v>
      </c>
      <c r="K7802" s="8" t="s">
        <v>1405</v>
      </c>
      <c r="L7802" s="8" t="s">
        <v>559</v>
      </c>
      <c r="M7802" s="8" t="s">
        <v>560</v>
      </c>
      <c r="N7802" s="8" t="s">
        <v>34465</v>
      </c>
      <c r="O7802" s="8">
        <f>0+0/60+23/3600</f>
        <v>6.3888888888888893E-3</v>
      </c>
      <c r="P7802" s="8" t="s">
        <v>34466</v>
      </c>
      <c r="Q7802" s="8">
        <f>+(50+44/60+24/3600)</f>
        <v>50.74</v>
      </c>
      <c r="R7802" s="8">
        <v>99</v>
      </c>
      <c r="S7802" s="8">
        <v>99</v>
      </c>
      <c r="T7802" s="8">
        <v>99</v>
      </c>
      <c r="U7802" s="8">
        <v>99</v>
      </c>
      <c r="Y7802" s="8" t="s">
        <v>34467</v>
      </c>
      <c r="Z7802" s="8" t="s">
        <v>34468</v>
      </c>
    </row>
    <row r="7803" spans="1:26" x14ac:dyDescent="0.2">
      <c r="A7803" s="8">
        <v>7802</v>
      </c>
      <c r="B7803" s="8" t="s">
        <v>34469</v>
      </c>
      <c r="C7803" s="8" t="s">
        <v>34469</v>
      </c>
      <c r="F7803" s="47"/>
      <c r="G7803" s="8">
        <v>16</v>
      </c>
      <c r="H7803" s="8" t="s">
        <v>21</v>
      </c>
      <c r="I7803" s="8" t="s">
        <v>22</v>
      </c>
      <c r="J7803" s="8" t="s">
        <v>22</v>
      </c>
      <c r="K7803" s="8" t="s">
        <v>37</v>
      </c>
      <c r="L7803" s="8" t="s">
        <v>38</v>
      </c>
      <c r="M7803" s="8" t="s">
        <v>39</v>
      </c>
      <c r="N7803" s="8" t="s">
        <v>34470</v>
      </c>
      <c r="O7803" s="8">
        <f>0+1/60+0.5/3600</f>
        <v>1.6805555555555556E-2</v>
      </c>
      <c r="P7803" s="8" t="s">
        <v>34471</v>
      </c>
      <c r="Q7803" s="8">
        <f>+(6+14/60+30/3600)</f>
        <v>6.2416666666666671</v>
      </c>
      <c r="R7803" s="8">
        <v>13.5</v>
      </c>
      <c r="S7803" s="8">
        <v>14.5</v>
      </c>
      <c r="T7803" s="8">
        <v>1</v>
      </c>
      <c r="U7803" s="8">
        <v>12.9</v>
      </c>
      <c r="V7803" s="8">
        <v>1.1000000000000001</v>
      </c>
      <c r="W7803" s="8">
        <v>0.6</v>
      </c>
      <c r="X7803" s="8">
        <v>52</v>
      </c>
      <c r="Y7803" s="8" t="s">
        <v>11023</v>
      </c>
      <c r="Z7803" s="8" t="s">
        <v>11024</v>
      </c>
    </row>
    <row r="7804" spans="1:26" x14ac:dyDescent="0.2">
      <c r="A7804" s="8">
        <v>7803</v>
      </c>
      <c r="B7804" s="8" t="s">
        <v>34472</v>
      </c>
      <c r="C7804" s="8" t="s">
        <v>34472</v>
      </c>
      <c r="F7804" s="47"/>
      <c r="G7804" s="8">
        <v>19</v>
      </c>
      <c r="H7804" s="8" t="s">
        <v>21</v>
      </c>
      <c r="I7804" s="8" t="s">
        <v>22</v>
      </c>
      <c r="J7804" s="8" t="s">
        <v>22</v>
      </c>
      <c r="K7804" s="8" t="s">
        <v>632</v>
      </c>
      <c r="L7804" s="8" t="s">
        <v>24</v>
      </c>
      <c r="M7804" s="8" t="s">
        <v>25</v>
      </c>
      <c r="N7804" s="8" t="s">
        <v>34473</v>
      </c>
      <c r="O7804" s="8">
        <f>0+1/60+20/3600</f>
        <v>2.2222222222222223E-2</v>
      </c>
      <c r="P7804" s="8" t="s">
        <v>34474</v>
      </c>
      <c r="Q7804" s="8">
        <f>+(13+6/60+41/3600)</f>
        <v>13.111388888888888</v>
      </c>
      <c r="R7804" s="8">
        <v>13.1</v>
      </c>
      <c r="S7804" s="8">
        <v>14.1</v>
      </c>
      <c r="T7804" s="8">
        <v>1</v>
      </c>
      <c r="U7804" s="8">
        <v>12.4</v>
      </c>
      <c r="V7804" s="8">
        <v>1</v>
      </c>
      <c r="W7804" s="8">
        <v>0.6</v>
      </c>
      <c r="X7804" s="8">
        <v>85</v>
      </c>
      <c r="Y7804" s="8" t="s">
        <v>34475</v>
      </c>
      <c r="Z7804" s="8" t="s">
        <v>34476</v>
      </c>
    </row>
    <row r="7805" spans="1:26" x14ac:dyDescent="0.2">
      <c r="A7805" s="8">
        <v>7804</v>
      </c>
      <c r="B7805" s="8" t="s">
        <v>34477</v>
      </c>
      <c r="C7805" s="8" t="s">
        <v>34477</v>
      </c>
      <c r="F7805" s="47"/>
      <c r="G7805" s="8">
        <v>18</v>
      </c>
      <c r="H7805" s="8" t="s">
        <v>21</v>
      </c>
      <c r="I7805" s="8" t="s">
        <v>72</v>
      </c>
      <c r="J7805" s="8" t="s">
        <v>72</v>
      </c>
      <c r="K7805" s="8" t="s">
        <v>73</v>
      </c>
      <c r="L7805" s="8" t="s">
        <v>38</v>
      </c>
      <c r="M7805" s="8" t="s">
        <v>39</v>
      </c>
      <c r="N7805" s="8" t="s">
        <v>34478</v>
      </c>
      <c r="O7805" s="8">
        <f>0+1/60+18.8/3600</f>
        <v>2.1888888888888888E-2</v>
      </c>
      <c r="P7805" s="8" t="s">
        <v>34479</v>
      </c>
      <c r="Q7805" s="8">
        <f>+(7+44/60+55/3600)</f>
        <v>7.7486111111111109</v>
      </c>
      <c r="R7805" s="8">
        <v>99</v>
      </c>
      <c r="S7805" s="8">
        <v>99</v>
      </c>
      <c r="T7805" s="8">
        <v>99</v>
      </c>
      <c r="U7805" s="8">
        <v>99</v>
      </c>
      <c r="Y7805" s="8" t="s">
        <v>34480</v>
      </c>
      <c r="Z7805" s="8" t="s">
        <v>34481</v>
      </c>
    </row>
    <row r="7806" spans="1:26" x14ac:dyDescent="0.2">
      <c r="A7806" s="8">
        <v>7805</v>
      </c>
      <c r="B7806" s="8" t="s">
        <v>34482</v>
      </c>
      <c r="C7806" s="8" t="s">
        <v>34482</v>
      </c>
      <c r="F7806" s="47" t="s">
        <v>58440</v>
      </c>
      <c r="G7806" s="8">
        <v>15</v>
      </c>
      <c r="H7806" s="8" t="s">
        <v>21</v>
      </c>
      <c r="I7806" s="8" t="s">
        <v>22</v>
      </c>
      <c r="J7806" s="8" t="s">
        <v>22</v>
      </c>
      <c r="K7806" s="8" t="s">
        <v>224</v>
      </c>
      <c r="L7806" s="8" t="s">
        <v>24</v>
      </c>
      <c r="M7806" s="8" t="s">
        <v>25</v>
      </c>
      <c r="N7806" s="8" t="s">
        <v>34483</v>
      </c>
      <c r="O7806" s="8">
        <f>0+1/60+26.7/3600</f>
        <v>2.4083333333333332E-2</v>
      </c>
      <c r="P7806" s="8" t="s">
        <v>34484</v>
      </c>
      <c r="Q7806" s="8">
        <f>+(31+26/60+1/3600)</f>
        <v>31.433611111111112</v>
      </c>
      <c r="R7806" s="8">
        <v>13.3</v>
      </c>
      <c r="S7806" s="8">
        <v>14.2</v>
      </c>
      <c r="T7806" s="8">
        <v>0.9</v>
      </c>
      <c r="U7806" s="8">
        <v>13.2</v>
      </c>
      <c r="V7806" s="8">
        <v>1.2</v>
      </c>
      <c r="W7806" s="8">
        <v>0.9</v>
      </c>
      <c r="X7806" s="8">
        <v>45</v>
      </c>
      <c r="Y7806" s="8" t="s">
        <v>34485</v>
      </c>
      <c r="Z7806" s="8" t="s">
        <v>34486</v>
      </c>
    </row>
    <row r="7807" spans="1:26" x14ac:dyDescent="0.2">
      <c r="A7807" s="8">
        <v>7806</v>
      </c>
      <c r="B7807" s="8" t="s">
        <v>34487</v>
      </c>
      <c r="C7807" s="8" t="s">
        <v>34487</v>
      </c>
      <c r="F7807" s="47" t="s">
        <v>58441</v>
      </c>
      <c r="G7807" s="8">
        <v>15</v>
      </c>
      <c r="H7807" s="8" t="s">
        <v>21</v>
      </c>
      <c r="I7807" s="8" t="s">
        <v>22</v>
      </c>
      <c r="J7807" s="8" t="s">
        <v>22</v>
      </c>
      <c r="K7807" s="8" t="s">
        <v>79</v>
      </c>
      <c r="L7807" s="8" t="s">
        <v>24</v>
      </c>
      <c r="M7807" s="8" t="s">
        <v>25</v>
      </c>
      <c r="N7807" s="8" t="s">
        <v>34488</v>
      </c>
      <c r="O7807" s="8">
        <f>0+1/60+30.1/3600</f>
        <v>2.5027777777777777E-2</v>
      </c>
      <c r="P7807" s="8" t="s">
        <v>34489</v>
      </c>
      <c r="Q7807" s="8">
        <f>+(31+26/60+31/3600)</f>
        <v>31.441944444444445</v>
      </c>
      <c r="R7807" s="8">
        <v>13.5</v>
      </c>
      <c r="S7807" s="8">
        <v>14.3</v>
      </c>
      <c r="T7807" s="8">
        <v>0.8</v>
      </c>
      <c r="U7807" s="8">
        <v>13.2</v>
      </c>
      <c r="V7807" s="8">
        <v>1.1000000000000001</v>
      </c>
      <c r="W7807" s="8">
        <v>0.8</v>
      </c>
      <c r="X7807" s="8">
        <v>20</v>
      </c>
      <c r="Y7807" s="8" t="s">
        <v>34485</v>
      </c>
      <c r="Z7807" s="8" t="s">
        <v>34490</v>
      </c>
    </row>
    <row r="7808" spans="1:26" x14ac:dyDescent="0.2">
      <c r="A7808" s="8">
        <v>7807</v>
      </c>
      <c r="B7808" s="8" t="s">
        <v>34491</v>
      </c>
      <c r="C7808" s="8" t="s">
        <v>34491</v>
      </c>
      <c r="F7808" s="47"/>
      <c r="G7808" s="8">
        <v>19</v>
      </c>
      <c r="H7808" s="8" t="s">
        <v>21</v>
      </c>
      <c r="I7808" s="8" t="s">
        <v>22</v>
      </c>
      <c r="J7808" s="8" t="s">
        <v>22</v>
      </c>
      <c r="K7808" s="8" t="s">
        <v>406</v>
      </c>
      <c r="L7808" s="8" t="s">
        <v>125</v>
      </c>
      <c r="M7808" s="8" t="s">
        <v>126</v>
      </c>
      <c r="N7808" s="8" t="s">
        <v>34492</v>
      </c>
      <c r="O7808" s="8">
        <f>0+0/60+26.6/3600</f>
        <v>7.3888888888888893E-3</v>
      </c>
      <c r="P7808" s="8" t="s">
        <v>34493</v>
      </c>
      <c r="Q7808" s="8">
        <f>-(18+50/60+31/3600)</f>
        <v>-18.841944444444444</v>
      </c>
      <c r="R7808" s="8">
        <v>14.6</v>
      </c>
      <c r="S7808" s="8">
        <v>15.4</v>
      </c>
      <c r="T7808" s="8">
        <v>0.8</v>
      </c>
      <c r="U7808" s="8">
        <v>13.3</v>
      </c>
      <c r="V7808" s="8">
        <v>0.7</v>
      </c>
      <c r="W7808" s="8">
        <v>0.5</v>
      </c>
      <c r="X7808" s="8">
        <v>27</v>
      </c>
      <c r="Y7808" s="8" t="s">
        <v>25800</v>
      </c>
      <c r="Z7808" s="8" t="s">
        <v>25801</v>
      </c>
    </row>
    <row r="7809" spans="1:26" x14ac:dyDescent="0.2">
      <c r="A7809" s="8">
        <v>7808</v>
      </c>
      <c r="B7809" s="8" t="s">
        <v>34494</v>
      </c>
      <c r="C7809" s="8" t="s">
        <v>34494</v>
      </c>
      <c r="F7809" s="47"/>
      <c r="G7809" s="8">
        <v>19</v>
      </c>
      <c r="H7809" s="8" t="s">
        <v>21</v>
      </c>
      <c r="I7809" s="8" t="s">
        <v>22</v>
      </c>
      <c r="J7809" s="8" t="s">
        <v>22</v>
      </c>
      <c r="K7809" s="8" t="s">
        <v>37</v>
      </c>
      <c r="L7809" s="8" t="s">
        <v>125</v>
      </c>
      <c r="M7809" s="8" t="s">
        <v>126</v>
      </c>
      <c r="N7809" s="8" t="s">
        <v>34495</v>
      </c>
      <c r="O7809" s="8">
        <f>0+3/60+32.1/3600</f>
        <v>5.8916666666666673E-2</v>
      </c>
      <c r="P7809" s="8" t="s">
        <v>34496</v>
      </c>
      <c r="Q7809" s="8">
        <f>-(10+44/60+39/3600)</f>
        <v>-10.744166666666667</v>
      </c>
      <c r="R7809" s="8">
        <v>13.2</v>
      </c>
      <c r="S7809" s="8">
        <v>14.1</v>
      </c>
      <c r="T7809" s="8">
        <v>0.9</v>
      </c>
      <c r="U7809" s="8">
        <v>13.7</v>
      </c>
      <c r="V7809" s="8">
        <v>1.3</v>
      </c>
      <c r="W7809" s="8">
        <v>1.3</v>
      </c>
      <c r="Y7809" s="8" t="s">
        <v>34497</v>
      </c>
      <c r="Z7809" s="8" t="s">
        <v>34498</v>
      </c>
    </row>
    <row r="7810" spans="1:26" x14ac:dyDescent="0.2">
      <c r="A7810" s="8">
        <v>7809</v>
      </c>
      <c r="B7810" s="8" t="s">
        <v>34499</v>
      </c>
      <c r="C7810" s="8" t="s">
        <v>34499</v>
      </c>
      <c r="F7810" s="47"/>
      <c r="G7810" s="8">
        <v>18</v>
      </c>
      <c r="H7810" s="8" t="s">
        <v>21</v>
      </c>
      <c r="I7810" s="8" t="s">
        <v>22</v>
      </c>
      <c r="J7810" s="8" t="s">
        <v>22</v>
      </c>
      <c r="K7810" s="8" t="s">
        <v>3616</v>
      </c>
      <c r="L7810" s="8" t="s">
        <v>38</v>
      </c>
      <c r="M7810" s="8" t="s">
        <v>39</v>
      </c>
      <c r="N7810" s="8" t="s">
        <v>34500</v>
      </c>
      <c r="O7810" s="8">
        <f>0+2/60+9.4/3600</f>
        <v>3.5944444444444446E-2</v>
      </c>
      <c r="P7810" s="8" t="s">
        <v>34501</v>
      </c>
      <c r="Q7810" s="8">
        <f>+(2+56/60+26/3600)</f>
        <v>2.9405555555555556</v>
      </c>
      <c r="R7810" s="8">
        <v>14.5</v>
      </c>
      <c r="S7810" s="8">
        <v>15.1</v>
      </c>
      <c r="T7810" s="8">
        <v>0.6</v>
      </c>
      <c r="U7810" s="8">
        <v>12.6</v>
      </c>
      <c r="V7810" s="8">
        <v>0.5</v>
      </c>
      <c r="W7810" s="8">
        <v>0.4</v>
      </c>
      <c r="X7810" s="8">
        <v>95</v>
      </c>
      <c r="Y7810" s="8" t="s">
        <v>266</v>
      </c>
      <c r="Z7810" s="8" t="s">
        <v>267</v>
      </c>
    </row>
    <row r="7811" spans="1:26" x14ac:dyDescent="0.2">
      <c r="A7811" s="8">
        <v>7810</v>
      </c>
      <c r="B7811" s="8" t="s">
        <v>34502</v>
      </c>
      <c r="C7811" s="8" t="s">
        <v>34502</v>
      </c>
      <c r="F7811" s="47" t="s">
        <v>58442</v>
      </c>
      <c r="G7811" s="8">
        <v>16</v>
      </c>
      <c r="H7811" s="8" t="s">
        <v>21</v>
      </c>
      <c r="I7811" s="8" t="s">
        <v>22</v>
      </c>
      <c r="J7811" s="8" t="s">
        <v>22</v>
      </c>
      <c r="K7811" s="8" t="s">
        <v>37</v>
      </c>
      <c r="L7811" s="8" t="s">
        <v>24</v>
      </c>
      <c r="M7811" s="8" t="s">
        <v>25</v>
      </c>
      <c r="N7811" s="8" t="s">
        <v>34503</v>
      </c>
      <c r="O7811" s="8">
        <f>0+2/60+19.1/3600</f>
        <v>3.8638888888888889E-2</v>
      </c>
      <c r="P7811" s="8" t="s">
        <v>34504</v>
      </c>
      <c r="Q7811" s="8">
        <f>+(12+58/60+18/3600)</f>
        <v>12.971666666666668</v>
      </c>
      <c r="R7811" s="8">
        <v>13</v>
      </c>
      <c r="S7811" s="8">
        <v>14</v>
      </c>
      <c r="T7811" s="8">
        <v>1</v>
      </c>
      <c r="U7811" s="8">
        <v>12.5</v>
      </c>
      <c r="V7811" s="8">
        <v>1.2</v>
      </c>
      <c r="W7811" s="8">
        <v>0.9</v>
      </c>
      <c r="X7811" s="8">
        <v>80</v>
      </c>
      <c r="Y7811" s="8" t="s">
        <v>34505</v>
      </c>
      <c r="Z7811" s="8" t="s">
        <v>34506</v>
      </c>
    </row>
    <row r="7812" spans="1:26" x14ac:dyDescent="0.2">
      <c r="A7812" s="8">
        <v>7811</v>
      </c>
      <c r="B7812" s="8" t="s">
        <v>34507</v>
      </c>
      <c r="C7812" s="8" t="s">
        <v>34507</v>
      </c>
      <c r="F7812" s="47"/>
      <c r="G7812" s="8">
        <v>18</v>
      </c>
      <c r="H7812" s="8" t="s">
        <v>21</v>
      </c>
      <c r="I7812" s="8" t="s">
        <v>22</v>
      </c>
      <c r="J7812" s="8" t="s">
        <v>22</v>
      </c>
      <c r="K7812" s="8" t="s">
        <v>449</v>
      </c>
      <c r="L7812" s="8" t="s">
        <v>38</v>
      </c>
      <c r="M7812" s="8" t="s">
        <v>39</v>
      </c>
      <c r="N7812" s="8" t="s">
        <v>34508</v>
      </c>
      <c r="O7812" s="8">
        <f>0+2/60+26.4/3600</f>
        <v>4.0666666666666663E-2</v>
      </c>
      <c r="P7812" s="8" t="s">
        <v>34509</v>
      </c>
      <c r="Q7812" s="8">
        <f>+(3+21/60+7/3600)</f>
        <v>3.3519444444444444</v>
      </c>
      <c r="R7812" s="8">
        <v>14.5</v>
      </c>
      <c r="S7812" s="8">
        <v>15.1</v>
      </c>
      <c r="T7812" s="8">
        <v>0.6</v>
      </c>
      <c r="U7812" s="8">
        <v>12.4</v>
      </c>
      <c r="V7812" s="8">
        <v>0.4</v>
      </c>
      <c r="W7812" s="8">
        <v>0.4</v>
      </c>
      <c r="Y7812" s="8" t="s">
        <v>22393</v>
      </c>
      <c r="Z7812" s="8" t="s">
        <v>22394</v>
      </c>
    </row>
    <row r="7813" spans="1:26" x14ac:dyDescent="0.2">
      <c r="A7813" s="8">
        <v>7812</v>
      </c>
      <c r="B7813" s="8" t="s">
        <v>34510</v>
      </c>
      <c r="C7813" s="8" t="s">
        <v>34510</v>
      </c>
      <c r="F7813" s="47"/>
      <c r="G7813" s="8">
        <v>16</v>
      </c>
      <c r="H7813" s="8" t="s">
        <v>21</v>
      </c>
      <c r="I7813" s="8" t="s">
        <v>22</v>
      </c>
      <c r="J7813" s="8" t="s">
        <v>22</v>
      </c>
      <c r="K7813" s="8" t="s">
        <v>23</v>
      </c>
      <c r="L7813" s="8" t="s">
        <v>65</v>
      </c>
      <c r="M7813" s="8" t="s">
        <v>66</v>
      </c>
      <c r="N7813" s="8" t="s">
        <v>34511</v>
      </c>
      <c r="O7813" s="8">
        <f>0+2/60+54.2/3600</f>
        <v>4.8388888888888891E-2</v>
      </c>
      <c r="P7813" s="8" t="s">
        <v>34512</v>
      </c>
      <c r="Q7813" s="8">
        <f>-(34+14/60+9/3600)</f>
        <v>-34.235833333333332</v>
      </c>
      <c r="R7813" s="8">
        <v>13.2</v>
      </c>
      <c r="S7813" s="8">
        <v>14</v>
      </c>
      <c r="T7813" s="8">
        <v>0.8</v>
      </c>
      <c r="U7813" s="8">
        <v>13.1</v>
      </c>
      <c r="V7813" s="8">
        <v>1.1000000000000001</v>
      </c>
      <c r="W7813" s="8">
        <v>0.7</v>
      </c>
      <c r="X7813" s="8">
        <v>146</v>
      </c>
      <c r="Y7813" s="8" t="s">
        <v>32319</v>
      </c>
      <c r="Z7813" s="8" t="s">
        <v>32320</v>
      </c>
    </row>
    <row r="7814" spans="1:26" x14ac:dyDescent="0.2">
      <c r="A7814" s="8">
        <v>7813</v>
      </c>
      <c r="B7814" s="8" t="s">
        <v>34513</v>
      </c>
      <c r="C7814" s="8" t="s">
        <v>34513</v>
      </c>
      <c r="F7814" s="47"/>
      <c r="G7814" s="8">
        <v>19</v>
      </c>
      <c r="H7814" s="8" t="s">
        <v>21</v>
      </c>
      <c r="I7814" s="8" t="s">
        <v>22</v>
      </c>
      <c r="J7814" s="8" t="s">
        <v>22</v>
      </c>
      <c r="K7814" s="8" t="s">
        <v>23</v>
      </c>
      <c r="L7814" s="8" t="s">
        <v>125</v>
      </c>
      <c r="M7814" s="8" t="s">
        <v>126</v>
      </c>
      <c r="N7814" s="8" t="s">
        <v>34514</v>
      </c>
      <c r="O7814" s="8">
        <f>0+4/60+9.2/3600</f>
        <v>6.9222222222222227E-2</v>
      </c>
      <c r="P7814" s="8" t="s">
        <v>34515</v>
      </c>
      <c r="Q7814" s="8">
        <f>-(11+59/60+2/3600)</f>
        <v>-11.983888888888888</v>
      </c>
      <c r="R7814" s="8">
        <v>14.2</v>
      </c>
      <c r="S7814" s="8">
        <v>15</v>
      </c>
      <c r="T7814" s="8">
        <v>0.8</v>
      </c>
      <c r="U7814" s="8">
        <v>12.5</v>
      </c>
      <c r="V7814" s="8">
        <v>0.8</v>
      </c>
      <c r="W7814" s="8">
        <v>0.3</v>
      </c>
      <c r="X7814" s="8">
        <v>158</v>
      </c>
      <c r="Y7814" s="8" t="s">
        <v>34516</v>
      </c>
      <c r="Z7814" s="8" t="s">
        <v>34517</v>
      </c>
    </row>
    <row r="7815" spans="1:26" x14ac:dyDescent="0.2">
      <c r="A7815" s="8">
        <v>7814</v>
      </c>
      <c r="B7815" s="8" t="s">
        <v>34518</v>
      </c>
      <c r="C7815" s="8" t="s">
        <v>34518</v>
      </c>
      <c r="F7815" s="47" t="s">
        <v>58443</v>
      </c>
      <c r="G7815" s="8">
        <v>2</v>
      </c>
      <c r="H7815" s="8" t="s">
        <v>34519</v>
      </c>
      <c r="I7815" s="8" t="s">
        <v>22</v>
      </c>
      <c r="J7815" s="8" t="s">
        <v>22</v>
      </c>
      <c r="K7815" s="8" t="s">
        <v>31</v>
      </c>
      <c r="L7815" s="8" t="s">
        <v>24</v>
      </c>
      <c r="M7815" s="8" t="s">
        <v>25</v>
      </c>
      <c r="N7815" s="8" t="s">
        <v>34520</v>
      </c>
      <c r="O7815" s="8">
        <f>0+3/60+14.8/3600</f>
        <v>5.4111111111111117E-2</v>
      </c>
      <c r="P7815" s="8" t="s">
        <v>34521</v>
      </c>
      <c r="Q7815" s="8">
        <f>+(16+8/60+43/3600)</f>
        <v>16.145277777777778</v>
      </c>
      <c r="R7815" s="8">
        <v>10.6</v>
      </c>
      <c r="S7815" s="8">
        <v>11.6</v>
      </c>
      <c r="T7815" s="8">
        <v>1</v>
      </c>
      <c r="U7815" s="8">
        <v>13.2</v>
      </c>
      <c r="V7815" s="8">
        <v>5.5</v>
      </c>
      <c r="W7815" s="8">
        <v>2.2999999999999998</v>
      </c>
      <c r="X7815" s="8">
        <v>135</v>
      </c>
      <c r="Y7815" s="8" t="s">
        <v>34522</v>
      </c>
      <c r="Z7815" s="8" t="s">
        <v>34523</v>
      </c>
    </row>
    <row r="7816" spans="1:26" x14ac:dyDescent="0.2">
      <c r="A7816" s="8">
        <v>7815</v>
      </c>
      <c r="B7816" s="8" t="s">
        <v>34524</v>
      </c>
      <c r="C7816" s="8" t="s">
        <v>34524</v>
      </c>
      <c r="F7816" s="47"/>
      <c r="G7816" s="8">
        <v>18</v>
      </c>
      <c r="H7816" s="8" t="s">
        <v>21</v>
      </c>
      <c r="I7816" s="8" t="s">
        <v>72</v>
      </c>
      <c r="J7816" s="8" t="s">
        <v>72</v>
      </c>
      <c r="K7816" s="8" t="s">
        <v>20</v>
      </c>
      <c r="L7816" s="8" t="s">
        <v>24</v>
      </c>
      <c r="M7816" s="8" t="s">
        <v>25</v>
      </c>
      <c r="N7816" s="8" t="s">
        <v>34525</v>
      </c>
      <c r="O7816" s="8">
        <f>0+3/60+24.9/3600</f>
        <v>5.6916666666666671E-2</v>
      </c>
      <c r="P7816" s="8" t="s">
        <v>34526</v>
      </c>
      <c r="Q7816" s="8">
        <f>+(20+42/60+11/3600)</f>
        <v>20.703055555555554</v>
      </c>
      <c r="R7816" s="8">
        <v>99</v>
      </c>
      <c r="S7816" s="8">
        <v>14.4</v>
      </c>
      <c r="T7816" s="8">
        <v>99</v>
      </c>
      <c r="U7816" s="8">
        <v>99</v>
      </c>
      <c r="Y7816" s="8" t="s">
        <v>34527</v>
      </c>
      <c r="Z7816" s="8" t="s">
        <v>34528</v>
      </c>
    </row>
    <row r="7817" spans="1:26" x14ac:dyDescent="0.2">
      <c r="A7817" s="8">
        <v>7816</v>
      </c>
      <c r="B7817" s="8" t="s">
        <v>34529</v>
      </c>
      <c r="C7817" s="8" t="s">
        <v>34529</v>
      </c>
      <c r="F7817" s="47" t="s">
        <v>58444</v>
      </c>
      <c r="G7817" s="8">
        <v>15</v>
      </c>
      <c r="H7817" s="8" t="s">
        <v>21</v>
      </c>
      <c r="I7817" s="8" t="s">
        <v>22</v>
      </c>
      <c r="J7817" s="8" t="s">
        <v>22</v>
      </c>
      <c r="K7817" s="8" t="s">
        <v>396</v>
      </c>
      <c r="L7817" s="8" t="s">
        <v>38</v>
      </c>
      <c r="M7817" s="8" t="s">
        <v>39</v>
      </c>
      <c r="N7817" s="8" t="s">
        <v>34530</v>
      </c>
      <c r="O7817" s="8">
        <f>0+3/60+49/3600</f>
        <v>6.3611111111111118E-2</v>
      </c>
      <c r="P7817" s="8" t="s">
        <v>34531</v>
      </c>
      <c r="Q7817" s="8">
        <f>+(7+28/60+42/3600)</f>
        <v>7.4783333333333335</v>
      </c>
      <c r="R7817" s="8">
        <v>12.8</v>
      </c>
      <c r="S7817" s="8">
        <v>13.6</v>
      </c>
      <c r="T7817" s="8">
        <v>0.8</v>
      </c>
      <c r="U7817" s="8">
        <v>13.7</v>
      </c>
      <c r="V7817" s="8">
        <v>1.7</v>
      </c>
      <c r="W7817" s="8">
        <v>1.5</v>
      </c>
      <c r="X7817" s="8">
        <v>171</v>
      </c>
      <c r="Y7817" s="8" t="s">
        <v>541</v>
      </c>
      <c r="Z7817" s="8" t="s">
        <v>542</v>
      </c>
    </row>
    <row r="7818" spans="1:26" x14ac:dyDescent="0.2">
      <c r="A7818" s="8">
        <v>7817</v>
      </c>
      <c r="B7818" s="8" t="s">
        <v>34532</v>
      </c>
      <c r="C7818" s="8" t="s">
        <v>34532</v>
      </c>
      <c r="F7818" s="47" t="s">
        <v>58445</v>
      </c>
      <c r="G7818" s="8">
        <v>15</v>
      </c>
      <c r="H7818" s="8" t="s">
        <v>21</v>
      </c>
      <c r="I7818" s="8" t="s">
        <v>22</v>
      </c>
      <c r="J7818" s="8" t="s">
        <v>22</v>
      </c>
      <c r="K7818" s="8" t="s">
        <v>396</v>
      </c>
      <c r="L7818" s="8" t="s">
        <v>24</v>
      </c>
      <c r="M7818" s="8" t="s">
        <v>25</v>
      </c>
      <c r="N7818" s="8" t="s">
        <v>34533</v>
      </c>
      <c r="O7818" s="8">
        <f>0+3/60+58.5/3600</f>
        <v>6.6250000000000003E-2</v>
      </c>
      <c r="P7818" s="8" t="s">
        <v>34534</v>
      </c>
      <c r="Q7818" s="8">
        <f>+(20+45/60+2/3600)</f>
        <v>20.750555555555554</v>
      </c>
      <c r="R7818" s="8">
        <v>11.8</v>
      </c>
      <c r="S7818" s="8">
        <v>12.6</v>
      </c>
      <c r="T7818" s="8">
        <v>0.8</v>
      </c>
      <c r="U7818" s="8">
        <v>13</v>
      </c>
      <c r="V7818" s="8">
        <v>3.5</v>
      </c>
      <c r="W7818" s="8">
        <v>1</v>
      </c>
      <c r="X7818" s="8">
        <v>45</v>
      </c>
      <c r="Y7818" s="8" t="s">
        <v>34535</v>
      </c>
      <c r="Z7818" s="8" t="s">
        <v>34536</v>
      </c>
    </row>
    <row r="7819" spans="1:26" x14ac:dyDescent="0.2">
      <c r="A7819" s="8">
        <v>7818</v>
      </c>
      <c r="B7819" s="8" t="s">
        <v>34537</v>
      </c>
      <c r="C7819" s="8" t="s">
        <v>34537</v>
      </c>
      <c r="F7819" s="47"/>
      <c r="G7819" s="8">
        <v>19</v>
      </c>
      <c r="H7819" s="8" t="s">
        <v>21</v>
      </c>
      <c r="I7819" s="8" t="s">
        <v>22</v>
      </c>
      <c r="J7819" s="8" t="s">
        <v>22</v>
      </c>
      <c r="K7819" s="8" t="s">
        <v>160</v>
      </c>
      <c r="L7819" s="8" t="s">
        <v>38</v>
      </c>
      <c r="M7819" s="8" t="s">
        <v>39</v>
      </c>
      <c r="N7819" s="8" t="s">
        <v>34538</v>
      </c>
      <c r="O7819" s="8">
        <f>0+4/60+9/3600</f>
        <v>6.9166666666666668E-2</v>
      </c>
      <c r="P7819" s="8" t="s">
        <v>34539</v>
      </c>
      <c r="Q7819" s="8">
        <f>+(7+22/60+45/3600)</f>
        <v>7.3791666666666664</v>
      </c>
      <c r="R7819" s="8">
        <v>14</v>
      </c>
      <c r="S7819" s="8">
        <v>14.7</v>
      </c>
      <c r="T7819" s="8">
        <v>0.7</v>
      </c>
      <c r="U7819" s="8">
        <v>13.8</v>
      </c>
      <c r="V7819" s="8">
        <v>1</v>
      </c>
      <c r="W7819" s="8">
        <v>1</v>
      </c>
      <c r="Y7819" s="8" t="s">
        <v>34540</v>
      </c>
      <c r="Z7819" s="8" t="s">
        <v>34541</v>
      </c>
    </row>
    <row r="7820" spans="1:26" x14ac:dyDescent="0.2">
      <c r="A7820" s="8">
        <v>7819</v>
      </c>
      <c r="B7820" s="8" t="s">
        <v>34542</v>
      </c>
      <c r="C7820" s="8" t="s">
        <v>34542</v>
      </c>
      <c r="F7820" s="47"/>
      <c r="G7820" s="8">
        <v>18</v>
      </c>
      <c r="H7820" s="8" t="s">
        <v>21</v>
      </c>
      <c r="I7820" s="8" t="s">
        <v>22</v>
      </c>
      <c r="J7820" s="8" t="s">
        <v>22</v>
      </c>
      <c r="K7820" s="8" t="s">
        <v>218</v>
      </c>
      <c r="L7820" s="8" t="s">
        <v>24</v>
      </c>
      <c r="M7820" s="8" t="s">
        <v>25</v>
      </c>
      <c r="N7820" s="8" t="s">
        <v>34543</v>
      </c>
      <c r="O7820" s="8">
        <f>0+4/60+24.5/3600</f>
        <v>7.3472222222222217E-2</v>
      </c>
      <c r="P7820" s="8" t="s">
        <v>34544</v>
      </c>
      <c r="Q7820" s="8">
        <f>+(31+28/60+21/3600)</f>
        <v>31.472499999999997</v>
      </c>
      <c r="R7820" s="8">
        <v>13.5</v>
      </c>
      <c r="S7820" s="8">
        <v>14.2</v>
      </c>
      <c r="T7820" s="8">
        <v>0.7</v>
      </c>
      <c r="U7820" s="8">
        <v>14</v>
      </c>
      <c r="V7820" s="8">
        <v>1.5</v>
      </c>
      <c r="W7820" s="8">
        <v>1.2</v>
      </c>
      <c r="X7820" s="8">
        <v>109</v>
      </c>
      <c r="Y7820" s="8" t="s">
        <v>20475</v>
      </c>
      <c r="Z7820" s="8" t="s">
        <v>20476</v>
      </c>
    </row>
    <row r="7821" spans="1:26" x14ac:dyDescent="0.2">
      <c r="A7821" s="8">
        <v>7820</v>
      </c>
      <c r="B7821" s="8" t="s">
        <v>34545</v>
      </c>
      <c r="C7821" s="8" t="s">
        <v>34545</v>
      </c>
      <c r="F7821" s="47"/>
      <c r="G7821" s="8">
        <v>16</v>
      </c>
      <c r="H7821" s="8" t="s">
        <v>21</v>
      </c>
      <c r="I7821" s="8" t="s">
        <v>22</v>
      </c>
      <c r="J7821" s="8" t="s">
        <v>22</v>
      </c>
      <c r="K7821" s="8" t="s">
        <v>632</v>
      </c>
      <c r="L7821" s="8" t="s">
        <v>38</v>
      </c>
      <c r="M7821" s="8" t="s">
        <v>39</v>
      </c>
      <c r="N7821" s="8" t="s">
        <v>34546</v>
      </c>
      <c r="O7821" s="8">
        <f>0+4/60+30.9/3600</f>
        <v>7.5249999999999997E-2</v>
      </c>
      <c r="P7821" s="8" t="s">
        <v>34547</v>
      </c>
      <c r="Q7821" s="8">
        <f>+(5+11/60+59/3600)</f>
        <v>5.1997222222222224</v>
      </c>
      <c r="R7821" s="8">
        <v>12.9</v>
      </c>
      <c r="S7821" s="8">
        <v>13.8</v>
      </c>
      <c r="T7821" s="8">
        <v>0.9</v>
      </c>
      <c r="U7821" s="8">
        <v>12.5</v>
      </c>
      <c r="V7821" s="8">
        <v>1.3</v>
      </c>
      <c r="W7821" s="8">
        <v>0.6</v>
      </c>
      <c r="X7821" s="8">
        <v>165</v>
      </c>
      <c r="Y7821" s="8" t="s">
        <v>34548</v>
      </c>
      <c r="Z7821" s="8" t="s">
        <v>34549</v>
      </c>
    </row>
    <row r="7822" spans="1:26" x14ac:dyDescent="0.2">
      <c r="A7822" s="8">
        <v>7821</v>
      </c>
      <c r="B7822" s="8" t="s">
        <v>34550</v>
      </c>
      <c r="C7822" s="8" t="s">
        <v>34550</v>
      </c>
      <c r="F7822" s="47"/>
      <c r="G7822" s="8">
        <v>19</v>
      </c>
      <c r="H7822" s="8" t="s">
        <v>21</v>
      </c>
      <c r="I7822" s="8" t="s">
        <v>22</v>
      </c>
      <c r="J7822" s="8" t="s">
        <v>22</v>
      </c>
      <c r="K7822" s="8" t="s">
        <v>160</v>
      </c>
      <c r="L7822" s="8" t="s">
        <v>125</v>
      </c>
      <c r="M7822" s="8" t="s">
        <v>126</v>
      </c>
      <c r="N7822" s="8" t="s">
        <v>34551</v>
      </c>
      <c r="O7822" s="8">
        <f>0+5/60+16.5/3600</f>
        <v>8.7916666666666657E-2</v>
      </c>
      <c r="P7822" s="8" t="s">
        <v>34552</v>
      </c>
      <c r="Q7822" s="8">
        <f>-(16+28/60+35/3600)</f>
        <v>-16.476388888888888</v>
      </c>
      <c r="R7822" s="8">
        <v>13.1</v>
      </c>
      <c r="S7822" s="8">
        <v>13.8</v>
      </c>
      <c r="T7822" s="8">
        <v>0.7</v>
      </c>
      <c r="U7822" s="8">
        <v>12.6</v>
      </c>
      <c r="V7822" s="8">
        <v>1.4</v>
      </c>
      <c r="W7822" s="8">
        <v>0.5</v>
      </c>
      <c r="X7822" s="8">
        <v>111</v>
      </c>
      <c r="Y7822" s="8" t="s">
        <v>34553</v>
      </c>
      <c r="Z7822" s="8" t="s">
        <v>34554</v>
      </c>
    </row>
    <row r="7823" spans="1:26" x14ac:dyDescent="0.2">
      <c r="A7823" s="8">
        <v>7822</v>
      </c>
      <c r="B7823" s="8" t="s">
        <v>34555</v>
      </c>
      <c r="C7823" s="8" t="s">
        <v>34555</v>
      </c>
      <c r="F7823" s="47"/>
      <c r="G7823" s="8">
        <v>13</v>
      </c>
      <c r="H7823" s="8" t="s">
        <v>21</v>
      </c>
      <c r="I7823" s="8" t="s">
        <v>1283</v>
      </c>
      <c r="J7823" s="8" t="s">
        <v>1283</v>
      </c>
      <c r="K7823" s="8" t="s">
        <v>1284</v>
      </c>
      <c r="L7823" s="8" t="s">
        <v>242</v>
      </c>
      <c r="M7823" s="8" t="s">
        <v>243</v>
      </c>
      <c r="N7823" s="8" t="s">
        <v>34556</v>
      </c>
      <c r="O7823" s="8">
        <f>0+3/60+36/3600</f>
        <v>6.0000000000000005E-2</v>
      </c>
      <c r="P7823" s="8" t="s">
        <v>34557</v>
      </c>
      <c r="Q7823" s="8">
        <f>+(67+9/60+0/3600)</f>
        <v>67.150000000000006</v>
      </c>
      <c r="R7823" s="8">
        <v>99</v>
      </c>
      <c r="S7823" s="8">
        <v>99</v>
      </c>
      <c r="T7823" s="8">
        <v>99</v>
      </c>
      <c r="U7823" s="8">
        <v>99</v>
      </c>
      <c r="V7823" s="8">
        <v>100</v>
      </c>
      <c r="Y7823" s="8" t="s">
        <v>34558</v>
      </c>
      <c r="Z7823" s="8" t="s">
        <v>34559</v>
      </c>
    </row>
    <row r="7824" spans="1:26" x14ac:dyDescent="0.2">
      <c r="A7824" s="8">
        <v>7823</v>
      </c>
      <c r="B7824" s="8" t="s">
        <v>34560</v>
      </c>
      <c r="C7824" s="8" t="s">
        <v>34560</v>
      </c>
      <c r="F7824" s="47"/>
      <c r="G7824" s="8">
        <v>16</v>
      </c>
      <c r="H7824" s="8" t="s">
        <v>21</v>
      </c>
      <c r="I7824" s="8" t="s">
        <v>22</v>
      </c>
      <c r="J7824" s="8" t="s">
        <v>22</v>
      </c>
      <c r="K7824" s="8" t="s">
        <v>85</v>
      </c>
      <c r="L7824" s="8" t="s">
        <v>310</v>
      </c>
      <c r="M7824" s="8" t="s">
        <v>311</v>
      </c>
      <c r="N7824" s="8" t="s">
        <v>34561</v>
      </c>
      <c r="O7824" s="8">
        <f>0+4/60+45.8/3600</f>
        <v>7.9388888888888884E-2</v>
      </c>
      <c r="P7824" s="8" t="s">
        <v>34562</v>
      </c>
      <c r="Q7824" s="8">
        <f>-(62+3/60+40/3600)</f>
        <v>-62.06111111111111</v>
      </c>
      <c r="R7824" s="8">
        <v>12.6</v>
      </c>
      <c r="S7824" s="8">
        <v>13.4</v>
      </c>
      <c r="T7824" s="8">
        <v>0.8</v>
      </c>
      <c r="U7824" s="8">
        <v>12.6</v>
      </c>
      <c r="V7824" s="8">
        <v>1.1000000000000001</v>
      </c>
      <c r="W7824" s="8">
        <v>1</v>
      </c>
      <c r="X7824" s="8">
        <v>21</v>
      </c>
      <c r="Y7824" s="8" t="s">
        <v>6420</v>
      </c>
      <c r="Z7824" s="8" t="s">
        <v>6421</v>
      </c>
    </row>
    <row r="7825" spans="1:26" x14ac:dyDescent="0.2">
      <c r="A7825" s="8">
        <v>7824</v>
      </c>
      <c r="B7825" s="8" t="s">
        <v>34563</v>
      </c>
      <c r="C7825" s="8" t="s">
        <v>34563</v>
      </c>
      <c r="F7825" s="47"/>
      <c r="G7825" s="8">
        <v>16</v>
      </c>
      <c r="H7825" s="8" t="s">
        <v>21</v>
      </c>
      <c r="I7825" s="8" t="s">
        <v>22</v>
      </c>
      <c r="J7825" s="8" t="s">
        <v>22</v>
      </c>
      <c r="K7825" s="8" t="s">
        <v>31</v>
      </c>
      <c r="L7825" s="8" t="s">
        <v>38</v>
      </c>
      <c r="M7825" s="8" t="s">
        <v>39</v>
      </c>
      <c r="N7825" s="8" t="s">
        <v>34564</v>
      </c>
      <c r="O7825" s="8">
        <f>0+5/60+6.2/3600</f>
        <v>8.5055555555555551E-2</v>
      </c>
      <c r="P7825" s="8" t="s">
        <v>34565</v>
      </c>
      <c r="Q7825" s="8">
        <f>+(6+55/60+14/3600)</f>
        <v>6.9205555555555556</v>
      </c>
      <c r="R7825" s="8">
        <v>13.2</v>
      </c>
      <c r="S7825" s="8">
        <v>14</v>
      </c>
      <c r="T7825" s="8">
        <v>0.8</v>
      </c>
      <c r="U7825" s="8">
        <v>13.7</v>
      </c>
      <c r="V7825" s="8">
        <v>1.6</v>
      </c>
      <c r="W7825" s="8">
        <v>1.2</v>
      </c>
      <c r="X7825" s="8">
        <v>145</v>
      </c>
      <c r="Y7825" s="8" t="s">
        <v>34566</v>
      </c>
      <c r="Z7825" s="8" t="s">
        <v>34567</v>
      </c>
    </row>
    <row r="7826" spans="1:26" x14ac:dyDescent="0.2">
      <c r="A7826" s="8">
        <v>7825</v>
      </c>
      <c r="B7826" s="8" t="s">
        <v>34568</v>
      </c>
      <c r="C7826" s="8" t="s">
        <v>34568</v>
      </c>
      <c r="F7826" s="47"/>
      <c r="G7826" s="8">
        <v>16</v>
      </c>
      <c r="H7826" s="8" t="s">
        <v>21</v>
      </c>
      <c r="I7826" s="8" t="s">
        <v>22</v>
      </c>
      <c r="J7826" s="8" t="s">
        <v>22</v>
      </c>
      <c r="K7826" s="8" t="s">
        <v>218</v>
      </c>
      <c r="L7826" s="8" t="s">
        <v>38</v>
      </c>
      <c r="M7826" s="8" t="s">
        <v>39</v>
      </c>
      <c r="N7826" s="8" t="s">
        <v>34569</v>
      </c>
      <c r="O7826" s="8">
        <f>0+5/60+6.7/3600</f>
        <v>8.5194444444444434E-2</v>
      </c>
      <c r="P7826" s="8" t="s">
        <v>34570</v>
      </c>
      <c r="Q7826" s="8">
        <f>+(5+12/60+11/3600)</f>
        <v>5.2030555555555553</v>
      </c>
      <c r="R7826" s="8">
        <v>13.6</v>
      </c>
      <c r="S7826" s="8">
        <v>14.4</v>
      </c>
      <c r="T7826" s="8">
        <v>0.8</v>
      </c>
      <c r="U7826" s="8">
        <v>12.7</v>
      </c>
      <c r="V7826" s="8">
        <v>1</v>
      </c>
      <c r="W7826" s="8">
        <v>0.5</v>
      </c>
      <c r="X7826" s="8">
        <v>135</v>
      </c>
      <c r="Y7826" s="8" t="s">
        <v>3056</v>
      </c>
      <c r="Z7826" s="8" t="s">
        <v>3057</v>
      </c>
    </row>
    <row r="7827" spans="1:26" x14ac:dyDescent="0.2">
      <c r="A7827" s="8">
        <v>7826</v>
      </c>
      <c r="B7827" s="8" t="s">
        <v>34571</v>
      </c>
      <c r="C7827" s="8" t="s">
        <v>34571</v>
      </c>
      <c r="F7827" s="47" t="s">
        <v>58446</v>
      </c>
      <c r="G7827" s="8">
        <v>15</v>
      </c>
      <c r="H7827" s="8" t="s">
        <v>21</v>
      </c>
      <c r="I7827" s="8" t="s">
        <v>72</v>
      </c>
      <c r="J7827" s="8" t="s">
        <v>72</v>
      </c>
      <c r="K7827" s="8" t="s">
        <v>1405</v>
      </c>
      <c r="L7827" s="8" t="s">
        <v>125</v>
      </c>
      <c r="M7827" s="8" t="s">
        <v>126</v>
      </c>
      <c r="N7827" s="8" t="s">
        <v>34572</v>
      </c>
      <c r="O7827" s="8">
        <f>0+5/60+15/3600</f>
        <v>8.7499999999999994E-2</v>
      </c>
      <c r="P7827" s="8" t="s">
        <v>34573</v>
      </c>
      <c r="Q7827" s="8">
        <f>-(20+42/60+54/3600)</f>
        <v>-20.715</v>
      </c>
      <c r="R7827" s="8">
        <v>99</v>
      </c>
      <c r="S7827" s="8">
        <v>99</v>
      </c>
      <c r="T7827" s="8">
        <v>99</v>
      </c>
      <c r="U7827" s="8">
        <v>99</v>
      </c>
      <c r="V7827" s="8">
        <v>12</v>
      </c>
      <c r="Y7827" s="8" t="s">
        <v>34574</v>
      </c>
      <c r="Z7827" s="8" t="s">
        <v>34575</v>
      </c>
    </row>
    <row r="7828" spans="1:26" x14ac:dyDescent="0.2">
      <c r="A7828" s="8">
        <v>7827</v>
      </c>
      <c r="B7828" s="8" t="s">
        <v>34576</v>
      </c>
      <c r="C7828" s="8" t="s">
        <v>34576</v>
      </c>
      <c r="F7828" s="47"/>
      <c r="G7828" s="8">
        <v>16</v>
      </c>
      <c r="H7828" s="8" t="s">
        <v>21</v>
      </c>
      <c r="I7828" s="8" t="s">
        <v>22</v>
      </c>
      <c r="J7828" s="8" t="s">
        <v>22</v>
      </c>
      <c r="K7828" s="8" t="s">
        <v>224</v>
      </c>
      <c r="L7828" s="8" t="s">
        <v>38</v>
      </c>
      <c r="M7828" s="8" t="s">
        <v>39</v>
      </c>
      <c r="N7828" s="8" t="s">
        <v>34577</v>
      </c>
      <c r="O7828" s="8">
        <f>0+5/60+27.7/3600</f>
        <v>9.1027777777777777E-2</v>
      </c>
      <c r="P7828" s="8" t="s">
        <v>34578</v>
      </c>
      <c r="Q7828" s="8">
        <f>+(5+13/60+19/3600)</f>
        <v>5.2219444444444445</v>
      </c>
      <c r="R7828" s="8">
        <v>13.9</v>
      </c>
      <c r="S7828" s="8">
        <v>14.9</v>
      </c>
      <c r="T7828" s="8">
        <v>1</v>
      </c>
      <c r="U7828" s="8">
        <v>13.9</v>
      </c>
      <c r="V7828" s="8">
        <v>1.2</v>
      </c>
      <c r="W7828" s="8">
        <v>0.9</v>
      </c>
      <c r="X7828" s="8">
        <v>45</v>
      </c>
      <c r="Y7828" s="8" t="s">
        <v>34579</v>
      </c>
      <c r="Z7828" s="8" t="s">
        <v>34580</v>
      </c>
    </row>
    <row r="7829" spans="1:26" x14ac:dyDescent="0.2">
      <c r="A7829" s="8">
        <v>7828</v>
      </c>
      <c r="B7829" s="8" t="s">
        <v>34581</v>
      </c>
      <c r="C7829" s="8" t="s">
        <v>34581</v>
      </c>
      <c r="F7829" s="47"/>
      <c r="G7829" s="8">
        <v>19</v>
      </c>
      <c r="H7829" s="8" t="s">
        <v>21</v>
      </c>
      <c r="I7829" s="8" t="s">
        <v>22</v>
      </c>
      <c r="J7829" s="8" t="s">
        <v>22</v>
      </c>
      <c r="K7829" s="8" t="s">
        <v>5364</v>
      </c>
      <c r="L7829" s="8" t="s">
        <v>125</v>
      </c>
      <c r="M7829" s="8" t="s">
        <v>126</v>
      </c>
      <c r="N7829" s="8" t="s">
        <v>34582</v>
      </c>
      <c r="O7829" s="8">
        <f>0+6/60+27.1/3600</f>
        <v>0.10752777777777778</v>
      </c>
      <c r="P7829" s="8" t="s">
        <v>34583</v>
      </c>
      <c r="Q7829" s="8">
        <f>-(13+24/60+57/3600)</f>
        <v>-13.415833333333333</v>
      </c>
      <c r="R7829" s="8">
        <v>13.9</v>
      </c>
      <c r="S7829" s="8">
        <v>14.4</v>
      </c>
      <c r="T7829" s="8">
        <v>0.5</v>
      </c>
      <c r="U7829" s="8">
        <v>12.7</v>
      </c>
      <c r="V7829" s="8">
        <v>1</v>
      </c>
      <c r="W7829" s="8">
        <v>0.5</v>
      </c>
      <c r="X7829" s="8">
        <v>140</v>
      </c>
      <c r="Y7829" s="8" t="s">
        <v>34584</v>
      </c>
      <c r="Z7829" s="8" t="s">
        <v>34585</v>
      </c>
    </row>
    <row r="7830" spans="1:26" x14ac:dyDescent="0.2">
      <c r="A7830" s="8">
        <v>7829</v>
      </c>
      <c r="B7830" s="8" t="s">
        <v>34586</v>
      </c>
      <c r="C7830" s="8" t="s">
        <v>34586</v>
      </c>
      <c r="F7830" s="47"/>
      <c r="G7830" s="8">
        <v>19</v>
      </c>
      <c r="H7830" s="8" t="s">
        <v>21</v>
      </c>
      <c r="I7830" s="8" t="s">
        <v>22</v>
      </c>
      <c r="J7830" s="8" t="s">
        <v>22</v>
      </c>
      <c r="K7830" s="8" t="s">
        <v>5358</v>
      </c>
      <c r="L7830" s="8" t="s">
        <v>125</v>
      </c>
      <c r="M7830" s="8" t="s">
        <v>126</v>
      </c>
      <c r="N7830" s="8" t="s">
        <v>34587</v>
      </c>
      <c r="O7830" s="8">
        <f>0+6/60+29.1/3600</f>
        <v>0.10808333333333334</v>
      </c>
      <c r="P7830" s="8" t="s">
        <v>34588</v>
      </c>
      <c r="Q7830" s="8">
        <f>-(13+25/60+16/3600)</f>
        <v>-13.421111111111111</v>
      </c>
      <c r="R7830" s="8">
        <v>13.9</v>
      </c>
      <c r="S7830" s="8">
        <v>14.6</v>
      </c>
      <c r="T7830" s="8">
        <v>0.7</v>
      </c>
      <c r="U7830" s="8">
        <v>12.9</v>
      </c>
      <c r="V7830" s="8">
        <v>1.1000000000000001</v>
      </c>
      <c r="W7830" s="8">
        <v>0.7</v>
      </c>
      <c r="X7830" s="8">
        <v>130</v>
      </c>
      <c r="Y7830" s="8" t="s">
        <v>34584</v>
      </c>
      <c r="Z7830" s="8" t="s">
        <v>34589</v>
      </c>
    </row>
    <row r="7831" spans="1:26" x14ac:dyDescent="0.2">
      <c r="A7831" s="8">
        <v>7830</v>
      </c>
      <c r="B7831" s="8" t="s">
        <v>34590</v>
      </c>
      <c r="C7831" s="8" t="s">
        <v>34590</v>
      </c>
      <c r="F7831" s="47"/>
      <c r="G7831" s="8">
        <v>18</v>
      </c>
      <c r="H7831" s="8" t="s">
        <v>21</v>
      </c>
      <c r="I7831" s="8" t="s">
        <v>72</v>
      </c>
      <c r="J7831" s="8" t="s">
        <v>72</v>
      </c>
      <c r="K7831" s="8" t="s">
        <v>20</v>
      </c>
      <c r="L7831" s="8" t="s">
        <v>38</v>
      </c>
      <c r="M7831" s="8" t="s">
        <v>39</v>
      </c>
      <c r="N7831" s="8" t="s">
        <v>34591</v>
      </c>
      <c r="O7831" s="8">
        <f>0+6/60+2.2/3600</f>
        <v>0.10061111111111112</v>
      </c>
      <c r="P7831" s="8" t="s">
        <v>34592</v>
      </c>
      <c r="Q7831" s="8">
        <f>+(8+20/60+34/3600)</f>
        <v>8.3427777777777781</v>
      </c>
      <c r="R7831" s="8">
        <v>99</v>
      </c>
      <c r="S7831" s="8">
        <v>12.7</v>
      </c>
      <c r="T7831" s="8">
        <v>99</v>
      </c>
      <c r="U7831" s="8">
        <v>99</v>
      </c>
      <c r="Y7831" s="8" t="s">
        <v>34593</v>
      </c>
      <c r="Z7831" s="8" t="s">
        <v>34594</v>
      </c>
    </row>
    <row r="7832" spans="1:26" x14ac:dyDescent="0.2">
      <c r="A7832" s="8">
        <v>7831</v>
      </c>
      <c r="B7832" s="8" t="s">
        <v>34595</v>
      </c>
      <c r="C7832" s="8" t="s">
        <v>34595</v>
      </c>
      <c r="F7832" s="47"/>
      <c r="G7832" s="8">
        <v>19</v>
      </c>
      <c r="H7832" s="8" t="s">
        <v>21</v>
      </c>
      <c r="I7832" s="8" t="s">
        <v>22</v>
      </c>
      <c r="J7832" s="8" t="s">
        <v>22</v>
      </c>
      <c r="K7832" s="8" t="s">
        <v>23</v>
      </c>
      <c r="L7832" s="8" t="s">
        <v>51</v>
      </c>
      <c r="M7832" s="8" t="s">
        <v>52</v>
      </c>
      <c r="N7832" s="8" t="s">
        <v>34596</v>
      </c>
      <c r="O7832" s="8">
        <f>0+7/60+19.3/3600</f>
        <v>0.12202777777777778</v>
      </c>
      <c r="P7832" s="8" t="s">
        <v>34597</v>
      </c>
      <c r="Q7832" s="8">
        <f>+(32+36/60+33/3600)</f>
        <v>32.609166666666667</v>
      </c>
      <c r="R7832" s="8">
        <v>12.8</v>
      </c>
      <c r="S7832" s="8">
        <v>13.6</v>
      </c>
      <c r="T7832" s="8">
        <v>0.8</v>
      </c>
      <c r="U7832" s="8">
        <v>11.8</v>
      </c>
      <c r="V7832" s="8">
        <v>1.5</v>
      </c>
      <c r="W7832" s="8">
        <v>0.3</v>
      </c>
      <c r="X7832" s="8">
        <v>38</v>
      </c>
      <c r="Y7832" s="8" t="s">
        <v>34598</v>
      </c>
      <c r="Z7832" s="8" t="s">
        <v>34599</v>
      </c>
    </row>
    <row r="7833" spans="1:26" x14ac:dyDescent="0.2">
      <c r="A7833" s="8">
        <v>7832</v>
      </c>
      <c r="B7833" s="8" t="s">
        <v>34600</v>
      </c>
      <c r="C7833" s="8" t="s">
        <v>34600</v>
      </c>
      <c r="F7833" s="47" t="s">
        <v>58447</v>
      </c>
      <c r="G7833" s="8">
        <v>6.5</v>
      </c>
      <c r="H7833" s="8" t="s">
        <v>21</v>
      </c>
      <c r="I7833" s="8" t="s">
        <v>22</v>
      </c>
      <c r="J7833" s="8" t="s">
        <v>22</v>
      </c>
      <c r="K7833" s="8" t="s">
        <v>1068</v>
      </c>
      <c r="L7833" s="8" t="s">
        <v>38</v>
      </c>
      <c r="M7833" s="8" t="s">
        <v>39</v>
      </c>
      <c r="N7833" s="8" t="s">
        <v>34601</v>
      </c>
      <c r="O7833" s="8">
        <f>0+6/60+28.4/3600</f>
        <v>0.1078888888888889</v>
      </c>
      <c r="P7833" s="8" t="s">
        <v>34602</v>
      </c>
      <c r="Q7833" s="8">
        <f>-(3+43/60+0/3600)</f>
        <v>-3.7166666666666668</v>
      </c>
      <c r="R7833" s="8">
        <v>13.2</v>
      </c>
      <c r="S7833" s="8">
        <v>14.2</v>
      </c>
      <c r="T7833" s="8">
        <v>1</v>
      </c>
      <c r="U7833" s="8">
        <v>14</v>
      </c>
      <c r="V7833" s="8">
        <v>1.9</v>
      </c>
      <c r="W7833" s="8">
        <v>1</v>
      </c>
      <c r="X7833" s="8">
        <v>25</v>
      </c>
      <c r="Y7833" s="8" t="s">
        <v>34603</v>
      </c>
      <c r="Z7833" s="8" t="s">
        <v>34604</v>
      </c>
    </row>
    <row r="7834" spans="1:26" x14ac:dyDescent="0.2">
      <c r="A7834" s="8">
        <v>7833</v>
      </c>
      <c r="B7834" s="8" t="s">
        <v>34605</v>
      </c>
      <c r="C7834" s="8" t="s">
        <v>34605</v>
      </c>
      <c r="F7834" s="47"/>
      <c r="G7834" s="8">
        <v>19</v>
      </c>
      <c r="H7834" s="8" t="s">
        <v>21</v>
      </c>
      <c r="I7834" s="8" t="s">
        <v>72</v>
      </c>
      <c r="J7834" s="8" t="s">
        <v>72</v>
      </c>
      <c r="K7834" s="8" t="s">
        <v>5802</v>
      </c>
      <c r="L7834" s="8" t="s">
        <v>24</v>
      </c>
      <c r="M7834" s="8" t="s">
        <v>25</v>
      </c>
      <c r="N7834" s="8" t="s">
        <v>34606</v>
      </c>
      <c r="O7834" s="8">
        <f>0+6/60+32.6/3600</f>
        <v>0.10905555555555556</v>
      </c>
      <c r="P7834" s="8" t="s">
        <v>34607</v>
      </c>
      <c r="Q7834" s="8">
        <f>+(27+38/60+48/3600)</f>
        <v>27.646666666666665</v>
      </c>
      <c r="R7834" s="8">
        <v>99</v>
      </c>
      <c r="S7834" s="8">
        <v>99</v>
      </c>
      <c r="T7834" s="8">
        <v>99</v>
      </c>
      <c r="U7834" s="8">
        <v>99</v>
      </c>
      <c r="Y7834" s="8" t="s">
        <v>34608</v>
      </c>
      <c r="Z7834" s="8" t="s">
        <v>34609</v>
      </c>
    </row>
    <row r="7835" spans="1:26" x14ac:dyDescent="0.2">
      <c r="A7835" s="8">
        <v>7834</v>
      </c>
      <c r="B7835" s="8" t="s">
        <v>34610</v>
      </c>
      <c r="C7835" s="8" t="s">
        <v>34610</v>
      </c>
      <c r="F7835" s="47"/>
      <c r="G7835" s="8">
        <v>18</v>
      </c>
      <c r="H7835" s="8" t="s">
        <v>21</v>
      </c>
      <c r="I7835" s="8" t="s">
        <v>22</v>
      </c>
      <c r="J7835" s="8" t="s">
        <v>22</v>
      </c>
      <c r="K7835" s="8" t="s">
        <v>160</v>
      </c>
      <c r="L7835" s="8" t="s">
        <v>38</v>
      </c>
      <c r="M7835" s="8" t="s">
        <v>39</v>
      </c>
      <c r="N7835" s="8" t="s">
        <v>34611</v>
      </c>
      <c r="O7835" s="8">
        <f>0+6/60+37.9/3600</f>
        <v>0.11052777777777778</v>
      </c>
      <c r="P7835" s="8" t="s">
        <v>34612</v>
      </c>
      <c r="Q7835" s="8">
        <f>+(8+22/60+8/3600)</f>
        <v>8.3688888888888897</v>
      </c>
      <c r="R7835" s="8">
        <v>14.3</v>
      </c>
      <c r="S7835" s="8">
        <v>15</v>
      </c>
      <c r="T7835" s="8">
        <v>0.7</v>
      </c>
      <c r="U7835" s="8">
        <v>14.1</v>
      </c>
      <c r="V7835" s="8">
        <v>1.1000000000000001</v>
      </c>
      <c r="W7835" s="8">
        <v>0.8</v>
      </c>
      <c r="X7835" s="8">
        <v>18</v>
      </c>
      <c r="Y7835" s="8" t="s">
        <v>9230</v>
      </c>
      <c r="Z7835" s="8" t="s">
        <v>9231</v>
      </c>
    </row>
    <row r="7836" spans="1:26" x14ac:dyDescent="0.2">
      <c r="A7836" s="8">
        <v>7835</v>
      </c>
      <c r="B7836" s="8" t="s">
        <v>34613</v>
      </c>
      <c r="C7836" s="8" t="s">
        <v>34613</v>
      </c>
      <c r="F7836" s="47"/>
      <c r="G7836" s="8">
        <v>18</v>
      </c>
      <c r="H7836" s="8" t="s">
        <v>21</v>
      </c>
      <c r="I7836" s="8" t="s">
        <v>22</v>
      </c>
      <c r="J7836" s="8" t="s">
        <v>22</v>
      </c>
      <c r="K7836" s="8" t="s">
        <v>476</v>
      </c>
      <c r="L7836" s="8" t="s">
        <v>38</v>
      </c>
      <c r="M7836" s="8" t="s">
        <v>39</v>
      </c>
      <c r="N7836" s="8" t="s">
        <v>34614</v>
      </c>
      <c r="O7836" s="8">
        <f>0+6/60+46.7/3600</f>
        <v>0.11297222222222222</v>
      </c>
      <c r="P7836" s="8" t="s">
        <v>34615</v>
      </c>
      <c r="Q7836" s="8">
        <f>+(8+25/60+38/3600)</f>
        <v>8.4272222222222215</v>
      </c>
      <c r="R7836" s="8">
        <v>14.6</v>
      </c>
      <c r="S7836" s="8">
        <v>15.5</v>
      </c>
      <c r="T7836" s="8">
        <v>0.9</v>
      </c>
      <c r="U7836" s="8">
        <v>12.4</v>
      </c>
      <c r="V7836" s="8">
        <v>0.5</v>
      </c>
      <c r="W7836" s="8">
        <v>0.3</v>
      </c>
      <c r="X7836" s="8">
        <v>162</v>
      </c>
      <c r="Y7836" s="8" t="s">
        <v>227</v>
      </c>
      <c r="Z7836" s="8" t="s">
        <v>228</v>
      </c>
    </row>
    <row r="7837" spans="1:26" x14ac:dyDescent="0.2">
      <c r="A7837" s="8">
        <v>7836</v>
      </c>
      <c r="B7837" s="8" t="s">
        <v>34616</v>
      </c>
      <c r="C7837" s="8" t="s">
        <v>34616</v>
      </c>
      <c r="F7837" s="47"/>
      <c r="G7837" s="8">
        <v>19</v>
      </c>
      <c r="H7837" s="8" t="s">
        <v>21</v>
      </c>
      <c r="I7837" s="8" t="s">
        <v>22</v>
      </c>
      <c r="J7837" s="8" t="s">
        <v>22</v>
      </c>
      <c r="K7837" s="8" t="s">
        <v>4219</v>
      </c>
      <c r="L7837" s="8" t="s">
        <v>51</v>
      </c>
      <c r="M7837" s="8" t="s">
        <v>52</v>
      </c>
      <c r="N7837" s="8" t="s">
        <v>34617</v>
      </c>
      <c r="O7837" s="8">
        <f>0+8/60+1.6/3600</f>
        <v>0.13377777777777777</v>
      </c>
      <c r="P7837" s="8" t="s">
        <v>34618</v>
      </c>
      <c r="Q7837" s="8">
        <f>+(33+4/60+17/3600)</f>
        <v>33.07138888888889</v>
      </c>
      <c r="R7837" s="8">
        <v>13.7</v>
      </c>
      <c r="S7837" s="8">
        <v>14.4</v>
      </c>
      <c r="T7837" s="8">
        <v>0.7</v>
      </c>
      <c r="U7837" s="8">
        <v>12.7</v>
      </c>
      <c r="V7837" s="8">
        <v>0.9</v>
      </c>
      <c r="W7837" s="8">
        <v>0.5</v>
      </c>
      <c r="X7837" s="8">
        <v>133</v>
      </c>
      <c r="Y7837" s="8" t="s">
        <v>7599</v>
      </c>
      <c r="Z7837" s="8" t="s">
        <v>7600</v>
      </c>
    </row>
    <row r="7838" spans="1:26" x14ac:dyDescent="0.2">
      <c r="A7838" s="8">
        <v>7837</v>
      </c>
      <c r="B7838" s="8" t="s">
        <v>34619</v>
      </c>
      <c r="C7838" s="8" t="s">
        <v>34619</v>
      </c>
      <c r="F7838" s="47"/>
      <c r="G7838" s="8">
        <v>18</v>
      </c>
      <c r="H7838" s="8" t="s">
        <v>21</v>
      </c>
      <c r="I7838" s="8" t="s">
        <v>22</v>
      </c>
      <c r="J7838" s="8" t="s">
        <v>22</v>
      </c>
      <c r="K7838" s="8" t="s">
        <v>476</v>
      </c>
      <c r="L7838" s="8" t="s">
        <v>38</v>
      </c>
      <c r="M7838" s="8" t="s">
        <v>39</v>
      </c>
      <c r="N7838" s="8" t="s">
        <v>34620</v>
      </c>
      <c r="O7838" s="8">
        <f>0+6/60+51.4/3600</f>
        <v>0.11427777777777778</v>
      </c>
      <c r="P7838" s="8" t="s">
        <v>34621</v>
      </c>
      <c r="Q7838" s="8">
        <f>+(8+21/60+7/3600)</f>
        <v>8.3519444444444435</v>
      </c>
      <c r="R7838" s="8">
        <v>15.6</v>
      </c>
      <c r="S7838" s="8">
        <v>16.5</v>
      </c>
      <c r="T7838" s="8">
        <v>0.9</v>
      </c>
      <c r="U7838" s="8">
        <v>13.3</v>
      </c>
      <c r="V7838" s="8">
        <v>0.4</v>
      </c>
      <c r="W7838" s="8">
        <v>0.3</v>
      </c>
      <c r="X7838" s="8">
        <v>171</v>
      </c>
      <c r="Y7838" s="8" t="s">
        <v>34622</v>
      </c>
      <c r="Z7838" s="8" t="s">
        <v>34623</v>
      </c>
    </row>
    <row r="7839" spans="1:26" x14ac:dyDescent="0.2">
      <c r="A7839" s="8">
        <v>7838</v>
      </c>
      <c r="B7839" s="8" t="s">
        <v>34624</v>
      </c>
      <c r="C7839" s="8" t="s">
        <v>34624</v>
      </c>
      <c r="F7839" s="47"/>
      <c r="G7839" s="8">
        <v>18</v>
      </c>
      <c r="H7839" s="8" t="s">
        <v>21</v>
      </c>
      <c r="I7839" s="8" t="s">
        <v>22</v>
      </c>
      <c r="J7839" s="8" t="s">
        <v>22</v>
      </c>
      <c r="K7839" s="8" t="s">
        <v>476</v>
      </c>
      <c r="L7839" s="8" t="s">
        <v>38</v>
      </c>
      <c r="M7839" s="8" t="s">
        <v>39</v>
      </c>
      <c r="N7839" s="8" t="s">
        <v>34625</v>
      </c>
      <c r="O7839" s="8">
        <f>0+6/60+53.9/3600</f>
        <v>0.11497222222222223</v>
      </c>
      <c r="P7839" s="8" t="s">
        <v>34621</v>
      </c>
      <c r="Q7839" s="8">
        <f>+(8+21/60+7/3600)</f>
        <v>8.3519444444444435</v>
      </c>
      <c r="R7839" s="8">
        <v>14.6</v>
      </c>
      <c r="S7839" s="8">
        <v>15.5</v>
      </c>
      <c r="T7839" s="8">
        <v>0.9</v>
      </c>
      <c r="U7839" s="8">
        <v>12.8</v>
      </c>
      <c r="V7839" s="8">
        <v>0.7</v>
      </c>
      <c r="W7839" s="8">
        <v>0.3</v>
      </c>
      <c r="X7839" s="8">
        <v>93</v>
      </c>
      <c r="Y7839" s="8" t="s">
        <v>34622</v>
      </c>
      <c r="Z7839" s="8" t="s">
        <v>34626</v>
      </c>
    </row>
    <row r="7840" spans="1:26" x14ac:dyDescent="0.2">
      <c r="A7840" s="8">
        <v>7839</v>
      </c>
      <c r="B7840" s="8" t="s">
        <v>34627</v>
      </c>
      <c r="C7840" s="8" t="s">
        <v>34627</v>
      </c>
      <c r="F7840" s="47"/>
      <c r="G7840" s="8">
        <v>19</v>
      </c>
      <c r="H7840" s="8" t="s">
        <v>21</v>
      </c>
      <c r="I7840" s="8" t="s">
        <v>72</v>
      </c>
      <c r="J7840" s="8" t="s">
        <v>72</v>
      </c>
      <c r="K7840" s="8" t="s">
        <v>73</v>
      </c>
      <c r="L7840" s="8" t="s">
        <v>24</v>
      </c>
      <c r="M7840" s="8" t="s">
        <v>25</v>
      </c>
      <c r="N7840" s="8" t="s">
        <v>34628</v>
      </c>
      <c r="O7840" s="8">
        <f>0+7/60+0.7/3600</f>
        <v>0.11686111111111111</v>
      </c>
      <c r="P7840" s="8" t="s">
        <v>34629</v>
      </c>
      <c r="Q7840" s="8">
        <f>+(27+38/60+10/3600)</f>
        <v>27.636111111111109</v>
      </c>
      <c r="R7840" s="8">
        <v>99</v>
      </c>
      <c r="S7840" s="8">
        <v>99</v>
      </c>
      <c r="T7840" s="8">
        <v>99</v>
      </c>
      <c r="U7840" s="8">
        <v>99</v>
      </c>
      <c r="Y7840" s="8" t="s">
        <v>34630</v>
      </c>
      <c r="Z7840" s="8" t="s">
        <v>34631</v>
      </c>
    </row>
    <row r="7841" spans="1:26" x14ac:dyDescent="0.2">
      <c r="A7841" s="8">
        <v>7840</v>
      </c>
      <c r="B7841" s="8" t="s">
        <v>34632</v>
      </c>
      <c r="C7841" s="8" t="s">
        <v>34632</v>
      </c>
      <c r="F7841" s="47"/>
      <c r="G7841" s="8">
        <v>18</v>
      </c>
      <c r="H7841" s="8" t="s">
        <v>21</v>
      </c>
      <c r="I7841" s="8" t="s">
        <v>22</v>
      </c>
      <c r="J7841" s="8" t="s">
        <v>22</v>
      </c>
      <c r="K7841" s="8" t="s">
        <v>449</v>
      </c>
      <c r="L7841" s="8" t="s">
        <v>38</v>
      </c>
      <c r="M7841" s="8" t="s">
        <v>39</v>
      </c>
      <c r="N7841" s="8" t="s">
        <v>34633</v>
      </c>
      <c r="O7841" s="8">
        <f>0+7/60+8.8/3600</f>
        <v>0.11911111111111111</v>
      </c>
      <c r="P7841" s="8" t="s">
        <v>34634</v>
      </c>
      <c r="Q7841" s="8">
        <f>+(8+23/60+5/3600)</f>
        <v>8.3847222222222211</v>
      </c>
      <c r="R7841" s="8">
        <v>15.2</v>
      </c>
      <c r="S7841" s="8">
        <v>16</v>
      </c>
      <c r="T7841" s="8">
        <v>0.8</v>
      </c>
      <c r="U7841" s="8">
        <v>12.7</v>
      </c>
      <c r="V7841" s="8">
        <v>0.4</v>
      </c>
      <c r="W7841" s="8">
        <v>0.3</v>
      </c>
      <c r="X7841" s="8">
        <v>125</v>
      </c>
      <c r="Y7841" s="8" t="s">
        <v>745</v>
      </c>
      <c r="Z7841" s="8" t="s">
        <v>746</v>
      </c>
    </row>
    <row r="7842" spans="1:26" x14ac:dyDescent="0.2">
      <c r="A7842" s="8">
        <v>7841</v>
      </c>
      <c r="B7842" s="8" t="s">
        <v>34635</v>
      </c>
      <c r="C7842" s="8" t="s">
        <v>34635</v>
      </c>
      <c r="G7842" s="8">
        <v>20</v>
      </c>
      <c r="H7842" s="8" t="s">
        <v>21</v>
      </c>
      <c r="I7842" s="8" t="s">
        <v>72</v>
      </c>
      <c r="J7842" s="8" t="s">
        <v>72</v>
      </c>
      <c r="K7842" s="8" t="s">
        <v>73</v>
      </c>
      <c r="L7842" s="8" t="s">
        <v>24</v>
      </c>
      <c r="M7842" s="8" t="s">
        <v>25</v>
      </c>
      <c r="N7842" s="8" t="s">
        <v>34636</v>
      </c>
      <c r="O7842" s="8">
        <f>0+8/60+27.3/3600</f>
        <v>0.14091666666666666</v>
      </c>
      <c r="P7842" s="8" t="s">
        <v>34637</v>
      </c>
      <c r="Q7842" s="8">
        <f>+(27+43/60+9/3600)</f>
        <v>27.719166666666666</v>
      </c>
      <c r="R7842" s="8">
        <v>99</v>
      </c>
      <c r="S7842" s="8">
        <v>99</v>
      </c>
      <c r="T7842" s="8">
        <v>99</v>
      </c>
      <c r="U7842" s="8">
        <v>99</v>
      </c>
      <c r="Y7842" s="8" t="s">
        <v>34638</v>
      </c>
      <c r="Z7842" s="8" t="s">
        <v>34639</v>
      </c>
    </row>
    <row r="7843" spans="1:26" x14ac:dyDescent="0.2">
      <c r="A7843" s="8">
        <v>7842</v>
      </c>
      <c r="B7843" s="8" t="s">
        <v>34640</v>
      </c>
      <c r="C7843" s="8" t="s">
        <v>34640</v>
      </c>
      <c r="G7843" s="8">
        <v>20</v>
      </c>
      <c r="H7843" s="8" t="s">
        <v>21</v>
      </c>
      <c r="I7843" s="8" t="s">
        <v>22</v>
      </c>
      <c r="J7843" s="8" t="s">
        <v>22</v>
      </c>
      <c r="K7843" s="8" t="s">
        <v>476</v>
      </c>
      <c r="L7843" s="8" t="s">
        <v>125</v>
      </c>
      <c r="M7843" s="8" t="s">
        <v>126</v>
      </c>
      <c r="N7843" s="8" t="s">
        <v>34641</v>
      </c>
      <c r="O7843" s="8">
        <f>0+11/60+0.8/3600</f>
        <v>0.18355555555555556</v>
      </c>
      <c r="P7843" s="8" t="s">
        <v>34642</v>
      </c>
      <c r="Q7843" s="8">
        <f>-(12+49/60+20/3600)</f>
        <v>-12.822222222222223</v>
      </c>
      <c r="R7843" s="8">
        <v>14.7</v>
      </c>
      <c r="S7843" s="8">
        <v>15.6</v>
      </c>
      <c r="T7843" s="8">
        <v>0.9</v>
      </c>
      <c r="U7843" s="8">
        <v>12.6</v>
      </c>
      <c r="V7843" s="8">
        <v>0.8</v>
      </c>
      <c r="W7843" s="8">
        <v>0.2</v>
      </c>
      <c r="X7843" s="8">
        <v>141</v>
      </c>
      <c r="Y7843" s="8" t="s">
        <v>4430</v>
      </c>
      <c r="Z7843" s="8" t="s">
        <v>4431</v>
      </c>
    </row>
    <row r="7844" spans="1:26" x14ac:dyDescent="0.2">
      <c r="A7844" s="8">
        <v>7843</v>
      </c>
      <c r="B7844" s="8" t="s">
        <v>34643</v>
      </c>
      <c r="C7844" s="8" t="s">
        <v>34643</v>
      </c>
      <c r="G7844" s="8">
        <v>20</v>
      </c>
      <c r="H7844" s="8" t="s">
        <v>21</v>
      </c>
      <c r="I7844" s="8" t="s">
        <v>22</v>
      </c>
      <c r="J7844" s="8" t="s">
        <v>22</v>
      </c>
      <c r="K7844" s="8" t="s">
        <v>58</v>
      </c>
      <c r="L7844" s="8" t="s">
        <v>38</v>
      </c>
      <c r="M7844" s="8" t="s">
        <v>39</v>
      </c>
      <c r="N7844" s="8" t="s">
        <v>34644</v>
      </c>
      <c r="O7844" s="8">
        <f>0+12/60+6/3600</f>
        <v>0.20166666666666669</v>
      </c>
      <c r="P7844" s="8" t="s">
        <v>34645</v>
      </c>
      <c r="Q7844" s="8">
        <f>-(0+24/60+53/3600)</f>
        <v>-0.41472222222222227</v>
      </c>
      <c r="R7844" s="8">
        <v>13.8</v>
      </c>
      <c r="S7844" s="8">
        <v>14.8</v>
      </c>
      <c r="T7844" s="8">
        <v>1</v>
      </c>
      <c r="U7844" s="8">
        <v>12.7</v>
      </c>
      <c r="V7844" s="8">
        <v>0.6</v>
      </c>
      <c r="W7844" s="8">
        <v>0.3</v>
      </c>
      <c r="X7844" s="8">
        <v>55</v>
      </c>
      <c r="Y7844" s="8" t="s">
        <v>34646</v>
      </c>
      <c r="Z7844" s="8" t="s">
        <v>34647</v>
      </c>
    </row>
    <row r="7845" spans="1:26" x14ac:dyDescent="0.2">
      <c r="A7845" s="8">
        <v>7844</v>
      </c>
      <c r="B7845" s="8" t="s">
        <v>34648</v>
      </c>
      <c r="C7845" s="8" t="s">
        <v>34648</v>
      </c>
      <c r="G7845" s="8">
        <v>20</v>
      </c>
      <c r="H7845" s="8" t="s">
        <v>21</v>
      </c>
      <c r="I7845" s="8" t="s">
        <v>22</v>
      </c>
      <c r="J7845" s="8" t="s">
        <v>22</v>
      </c>
      <c r="K7845" s="8" t="s">
        <v>160</v>
      </c>
      <c r="L7845" s="8" t="s">
        <v>24</v>
      </c>
      <c r="M7845" s="8" t="s">
        <v>25</v>
      </c>
      <c r="N7845" s="8" t="s">
        <v>34649</v>
      </c>
      <c r="O7845" s="8">
        <f>0+13/60+27/3600</f>
        <v>0.22416666666666668</v>
      </c>
      <c r="P7845" s="8" t="s">
        <v>34650</v>
      </c>
      <c r="Q7845" s="8">
        <f>+(17+29/60+9/3600)</f>
        <v>17.485833333333336</v>
      </c>
      <c r="R7845" s="8">
        <v>13.1</v>
      </c>
      <c r="S7845" s="8">
        <v>13.8</v>
      </c>
      <c r="T7845" s="8">
        <v>0.7</v>
      </c>
      <c r="U7845" s="8">
        <v>12.9</v>
      </c>
      <c r="V7845" s="8">
        <v>1</v>
      </c>
      <c r="W7845" s="8">
        <v>0.9</v>
      </c>
      <c r="X7845" s="8">
        <v>10</v>
      </c>
      <c r="Y7845" s="8" t="s">
        <v>421</v>
      </c>
      <c r="Z7845" s="8" t="s">
        <v>422</v>
      </c>
    </row>
    <row r="7846" spans="1:26" x14ac:dyDescent="0.2">
      <c r="A7846" s="8">
        <v>7845</v>
      </c>
      <c r="B7846" s="8" t="s">
        <v>34651</v>
      </c>
      <c r="C7846" s="8" t="s">
        <v>34651</v>
      </c>
      <c r="G7846" s="8">
        <v>20</v>
      </c>
      <c r="H7846" s="8" t="s">
        <v>21</v>
      </c>
      <c r="I7846" s="8" t="s">
        <v>22</v>
      </c>
      <c r="J7846" s="8" t="s">
        <v>22</v>
      </c>
      <c r="K7846" s="8" t="s">
        <v>382</v>
      </c>
      <c r="L7846" s="8" t="s">
        <v>125</v>
      </c>
      <c r="M7846" s="8" t="s">
        <v>126</v>
      </c>
      <c r="N7846" s="8" t="s">
        <v>34652</v>
      </c>
      <c r="O7846" s="8">
        <f>0+17/60+34.9/3600</f>
        <v>0.29302777777777778</v>
      </c>
      <c r="P7846" s="8" t="s">
        <v>34653</v>
      </c>
      <c r="Q7846" s="8">
        <f>-(9+32/60+34/3600)</f>
        <v>-9.5427777777777774</v>
      </c>
      <c r="R7846" s="8">
        <v>13.8</v>
      </c>
      <c r="S7846" s="8">
        <v>14.8</v>
      </c>
      <c r="T7846" s="8">
        <v>1</v>
      </c>
      <c r="U7846" s="8">
        <v>13.2</v>
      </c>
      <c r="V7846" s="8">
        <v>0.9</v>
      </c>
      <c r="W7846" s="8">
        <v>0.6</v>
      </c>
      <c r="X7846" s="8">
        <v>9</v>
      </c>
      <c r="Y7846" s="8" t="s">
        <v>34638</v>
      </c>
      <c r="Z7846" s="8" t="s">
        <v>34654</v>
      </c>
    </row>
    <row r="7847" spans="1:26" x14ac:dyDescent="0.2">
      <c r="A7847" s="8">
        <v>7846</v>
      </c>
      <c r="B7847" s="8" t="s">
        <v>34655</v>
      </c>
      <c r="C7847" s="8" t="s">
        <v>34655</v>
      </c>
      <c r="G7847" s="8">
        <v>20</v>
      </c>
      <c r="H7847" s="8" t="s">
        <v>21</v>
      </c>
      <c r="I7847" s="8" t="s">
        <v>22</v>
      </c>
      <c r="J7847" s="8" t="s">
        <v>22</v>
      </c>
      <c r="K7847" s="8" t="s">
        <v>460</v>
      </c>
      <c r="L7847" s="8" t="s">
        <v>38</v>
      </c>
      <c r="M7847" s="8" t="s">
        <v>39</v>
      </c>
      <c r="N7847" s="8" t="s">
        <v>34656</v>
      </c>
      <c r="O7847" s="8">
        <f>0+18/60+54.9/3600</f>
        <v>0.31524999999999997</v>
      </c>
      <c r="P7847" s="8" t="s">
        <v>34657</v>
      </c>
      <c r="Q7847" s="8">
        <f>-(3+16/60+34/3600)</f>
        <v>-3.2761111111111112</v>
      </c>
      <c r="R7847" s="8">
        <v>13.5</v>
      </c>
      <c r="S7847" s="8">
        <v>14.5</v>
      </c>
      <c r="T7847" s="8">
        <v>1</v>
      </c>
      <c r="U7847" s="8">
        <v>13.1</v>
      </c>
      <c r="V7847" s="8">
        <v>0.8</v>
      </c>
      <c r="W7847" s="8">
        <v>0.8</v>
      </c>
      <c r="Y7847" s="8" t="s">
        <v>34658</v>
      </c>
      <c r="Z7847" s="8" t="s">
        <v>34659</v>
      </c>
    </row>
    <row r="7848" spans="1:26" x14ac:dyDescent="0.2">
      <c r="A7848" s="8">
        <v>7847</v>
      </c>
      <c r="B7848" s="8" t="s">
        <v>34660</v>
      </c>
      <c r="C7848" s="8" t="s">
        <v>34660</v>
      </c>
      <c r="G7848" s="8">
        <v>20</v>
      </c>
      <c r="H7848" s="8" t="s">
        <v>21</v>
      </c>
      <c r="I7848" s="8" t="s">
        <v>22</v>
      </c>
      <c r="J7848" s="8" t="s">
        <v>22</v>
      </c>
      <c r="K7848" s="8" t="s">
        <v>818</v>
      </c>
      <c r="L7848" s="8" t="s">
        <v>38</v>
      </c>
      <c r="M7848" s="8" t="s">
        <v>39</v>
      </c>
      <c r="N7848" s="8" t="s">
        <v>34661</v>
      </c>
      <c r="O7848" s="8">
        <f>0+18/60+53/3600</f>
        <v>0.31472222222222224</v>
      </c>
      <c r="P7848" s="8" t="s">
        <v>34662</v>
      </c>
      <c r="Q7848" s="8">
        <f>+(10+35/60+43/3600)</f>
        <v>10.595277777777778</v>
      </c>
      <c r="R7848" s="8">
        <v>13.8</v>
      </c>
      <c r="S7848" s="8">
        <v>14.8</v>
      </c>
      <c r="T7848" s="8">
        <v>1</v>
      </c>
      <c r="U7848" s="8">
        <v>12.9</v>
      </c>
      <c r="V7848" s="8">
        <v>0.7</v>
      </c>
      <c r="W7848" s="8">
        <v>0.6</v>
      </c>
      <c r="X7848" s="8">
        <v>0</v>
      </c>
      <c r="Y7848" s="8" t="s">
        <v>34663</v>
      </c>
      <c r="Z7848" s="8" t="s">
        <v>34664</v>
      </c>
    </row>
    <row r="7849" spans="1:26" x14ac:dyDescent="0.2">
      <c r="A7849" s="8">
        <v>7848</v>
      </c>
      <c r="B7849" s="8" t="s">
        <v>34665</v>
      </c>
      <c r="C7849" s="8" t="s">
        <v>34665</v>
      </c>
      <c r="G7849" s="8">
        <v>20</v>
      </c>
      <c r="H7849" s="8" t="s">
        <v>21</v>
      </c>
      <c r="I7849" s="8" t="s">
        <v>22</v>
      </c>
      <c r="J7849" s="8" t="s">
        <v>22</v>
      </c>
      <c r="K7849" s="8" t="s">
        <v>160</v>
      </c>
      <c r="L7849" s="8" t="s">
        <v>38</v>
      </c>
      <c r="M7849" s="8" t="s">
        <v>39</v>
      </c>
      <c r="N7849" s="8" t="s">
        <v>34666</v>
      </c>
      <c r="O7849" s="8">
        <f>0+19/60+2.6/3600</f>
        <v>0.31738888888888889</v>
      </c>
      <c r="P7849" s="8" t="s">
        <v>34667</v>
      </c>
      <c r="Q7849" s="8">
        <f>-(3+13/60+19/3600)</f>
        <v>-3.2219444444444445</v>
      </c>
      <c r="R7849" s="8">
        <v>14.4</v>
      </c>
      <c r="S7849" s="8">
        <v>15.1</v>
      </c>
      <c r="T7849" s="8">
        <v>0.7</v>
      </c>
      <c r="U7849" s="8">
        <v>13</v>
      </c>
      <c r="V7849" s="8">
        <v>0.8</v>
      </c>
      <c r="W7849" s="8">
        <v>0.4</v>
      </c>
      <c r="X7849" s="8">
        <v>128</v>
      </c>
      <c r="Y7849" s="8" t="s">
        <v>34668</v>
      </c>
      <c r="Z7849" s="8" t="s">
        <v>34669</v>
      </c>
    </row>
    <row r="7850" spans="1:26" x14ac:dyDescent="0.2">
      <c r="A7850" s="8">
        <v>7849</v>
      </c>
      <c r="B7850" s="8" t="s">
        <v>34670</v>
      </c>
      <c r="C7850" s="8" t="s">
        <v>34670</v>
      </c>
      <c r="G7850" s="8">
        <v>20</v>
      </c>
      <c r="H7850" s="8" t="s">
        <v>21</v>
      </c>
      <c r="I7850" s="8" t="s">
        <v>22</v>
      </c>
      <c r="J7850" s="8" t="s">
        <v>22</v>
      </c>
      <c r="K7850" s="8" t="s">
        <v>23</v>
      </c>
      <c r="L7850" s="8" t="s">
        <v>125</v>
      </c>
      <c r="M7850" s="8" t="s">
        <v>126</v>
      </c>
      <c r="N7850" s="8" t="s">
        <v>34671</v>
      </c>
      <c r="O7850" s="8">
        <f>0+19/60+44.2/3600</f>
        <v>0.32894444444444443</v>
      </c>
      <c r="P7850" s="8" t="s">
        <v>34672</v>
      </c>
      <c r="Q7850" s="8">
        <f>-(14+7/60+17/3600)</f>
        <v>-14.121388888888889</v>
      </c>
      <c r="R7850" s="8">
        <v>14.4</v>
      </c>
      <c r="S7850" s="8">
        <v>15.4</v>
      </c>
      <c r="T7850" s="8">
        <v>1</v>
      </c>
      <c r="U7850" s="8">
        <v>12.7</v>
      </c>
      <c r="V7850" s="8">
        <v>0.4</v>
      </c>
      <c r="W7850" s="8">
        <v>0.3</v>
      </c>
      <c r="X7850" s="8">
        <v>129</v>
      </c>
      <c r="Y7850" s="8" t="s">
        <v>19885</v>
      </c>
      <c r="Z7850" s="8" t="s">
        <v>4076</v>
      </c>
    </row>
    <row r="7851" spans="1:26" x14ac:dyDescent="0.2">
      <c r="A7851" s="8">
        <v>7850</v>
      </c>
      <c r="B7851" s="8" t="s">
        <v>34673</v>
      </c>
      <c r="C7851" s="8" t="s">
        <v>34673</v>
      </c>
      <c r="G7851" s="8">
        <v>9</v>
      </c>
      <c r="H7851" s="8" t="s">
        <v>34674</v>
      </c>
      <c r="I7851" s="8" t="s">
        <v>22</v>
      </c>
      <c r="J7851" s="8" t="s">
        <v>22</v>
      </c>
      <c r="K7851" s="8" t="s">
        <v>107</v>
      </c>
      <c r="L7851" s="8" t="s">
        <v>559</v>
      </c>
      <c r="M7851" s="8" t="s">
        <v>560</v>
      </c>
      <c r="N7851" s="8" t="s">
        <v>34675</v>
      </c>
      <c r="O7851" s="8">
        <f>0+20/60+24.5/3600</f>
        <v>0.34013888888888888</v>
      </c>
      <c r="P7851" s="8" t="s">
        <v>34676</v>
      </c>
      <c r="Q7851" s="8">
        <f>+(59+17/60+33/3600)</f>
        <v>59.292499999999997</v>
      </c>
      <c r="R7851" s="8">
        <v>10.4</v>
      </c>
      <c r="S7851" s="8">
        <v>11.8</v>
      </c>
      <c r="T7851" s="8">
        <v>1.4</v>
      </c>
      <c r="U7851" s="8">
        <v>14</v>
      </c>
      <c r="V7851" s="8">
        <v>6.4</v>
      </c>
      <c r="W7851" s="8">
        <v>5.3</v>
      </c>
      <c r="X7851" s="8">
        <v>135</v>
      </c>
      <c r="Y7851" s="8" t="s">
        <v>34677</v>
      </c>
      <c r="Z7851" s="8" t="s">
        <v>34678</v>
      </c>
    </row>
    <row r="7852" spans="1:26" x14ac:dyDescent="0.2">
      <c r="A7852" s="8">
        <v>7851</v>
      </c>
      <c r="B7852" s="8" t="s">
        <v>34679</v>
      </c>
      <c r="C7852" s="8" t="s">
        <v>34679</v>
      </c>
      <c r="G7852" s="8">
        <v>20</v>
      </c>
      <c r="H7852" s="8" t="s">
        <v>21</v>
      </c>
      <c r="I7852" s="8" t="s">
        <v>1283</v>
      </c>
      <c r="J7852" s="8" t="s">
        <v>57</v>
      </c>
      <c r="K7852" s="8" t="s">
        <v>1284</v>
      </c>
      <c r="L7852" s="8" t="s">
        <v>559</v>
      </c>
      <c r="M7852" s="8" t="s">
        <v>560</v>
      </c>
      <c r="N7852" s="8" t="s">
        <v>1452</v>
      </c>
      <c r="O7852" s="8">
        <f>0+52/60+53.8/3600</f>
        <v>0.88161111111111112</v>
      </c>
      <c r="P7852" s="8" t="s">
        <v>1453</v>
      </c>
      <c r="Q7852" s="8">
        <f>+(56+37/60+30/3600)</f>
        <v>56.625</v>
      </c>
      <c r="R7852" s="8">
        <v>99</v>
      </c>
      <c r="S7852" s="8">
        <v>99</v>
      </c>
      <c r="T7852" s="8">
        <v>99</v>
      </c>
      <c r="U7852" s="8">
        <v>99</v>
      </c>
      <c r="V7852" s="8">
        <v>35</v>
      </c>
      <c r="W7852" s="8">
        <v>30</v>
      </c>
      <c r="Y7852" s="8" t="s">
        <v>34680</v>
      </c>
      <c r="Z7852" s="8" t="s">
        <v>34681</v>
      </c>
    </row>
    <row r="7853" spans="1:26" x14ac:dyDescent="0.2">
      <c r="A7853" s="8">
        <v>7852</v>
      </c>
      <c r="B7853" s="8" t="s">
        <v>34682</v>
      </c>
      <c r="C7853" s="8" t="s">
        <v>34682</v>
      </c>
      <c r="G7853" s="8">
        <v>20</v>
      </c>
      <c r="H7853" s="8" t="s">
        <v>21</v>
      </c>
      <c r="I7853" s="8" t="s">
        <v>22</v>
      </c>
      <c r="J7853" s="8" t="s">
        <v>22</v>
      </c>
      <c r="K7853" s="8" t="s">
        <v>23</v>
      </c>
      <c r="L7853" s="8" t="s">
        <v>38</v>
      </c>
      <c r="M7853" s="8" t="s">
        <v>39</v>
      </c>
      <c r="N7853" s="8" t="s">
        <v>34683</v>
      </c>
      <c r="O7853" s="8">
        <f>0+20/60+15.2/3600</f>
        <v>0.33755555555555555</v>
      </c>
      <c r="P7853" s="8" t="s">
        <v>34684</v>
      </c>
      <c r="Q7853" s="8">
        <f>-(2+39/60+12/3600)</f>
        <v>-2.6533333333333333</v>
      </c>
      <c r="R7853" s="8">
        <v>14.9</v>
      </c>
      <c r="S7853" s="8">
        <v>15.7</v>
      </c>
      <c r="T7853" s="8">
        <v>0.8</v>
      </c>
      <c r="U7853" s="8">
        <v>13.2</v>
      </c>
      <c r="V7853" s="8">
        <v>0.8</v>
      </c>
      <c r="W7853" s="8">
        <v>0.3</v>
      </c>
      <c r="X7853" s="8">
        <v>15</v>
      </c>
      <c r="Y7853" s="8" t="s">
        <v>34685</v>
      </c>
      <c r="Z7853" s="8" t="s">
        <v>34686</v>
      </c>
    </row>
    <row r="7854" spans="1:26" x14ac:dyDescent="0.2">
      <c r="A7854" s="8">
        <v>7853</v>
      </c>
      <c r="B7854" s="8" t="s">
        <v>34687</v>
      </c>
      <c r="C7854" s="8" t="s">
        <v>34687</v>
      </c>
      <c r="G7854" s="8">
        <v>20</v>
      </c>
      <c r="H7854" s="8" t="s">
        <v>21</v>
      </c>
      <c r="I7854" s="8" t="s">
        <v>22</v>
      </c>
      <c r="J7854" s="8" t="s">
        <v>22</v>
      </c>
      <c r="K7854" s="8" t="s">
        <v>396</v>
      </c>
      <c r="L7854" s="8" t="s">
        <v>38</v>
      </c>
      <c r="M7854" s="8" t="s">
        <v>39</v>
      </c>
      <c r="N7854" s="8" t="s">
        <v>34688</v>
      </c>
      <c r="O7854" s="8">
        <f>0+20/60+20.1/3600</f>
        <v>0.33891666666666664</v>
      </c>
      <c r="P7854" s="8" t="s">
        <v>34689</v>
      </c>
      <c r="Q7854" s="8">
        <f>+(7+42/60+2/3600)</f>
        <v>7.7005555555555558</v>
      </c>
      <c r="R7854" s="8">
        <v>14</v>
      </c>
      <c r="S7854" s="8">
        <v>14.8</v>
      </c>
      <c r="T7854" s="8">
        <v>0.8</v>
      </c>
      <c r="U7854" s="8">
        <v>13.5</v>
      </c>
      <c r="V7854" s="8">
        <v>1.4</v>
      </c>
      <c r="W7854" s="8">
        <v>0.5</v>
      </c>
      <c r="X7854" s="8">
        <v>163</v>
      </c>
      <c r="Y7854" s="8" t="s">
        <v>34690</v>
      </c>
      <c r="Z7854" s="8" t="s">
        <v>34691</v>
      </c>
    </row>
    <row r="7855" spans="1:26" x14ac:dyDescent="0.2">
      <c r="A7855" s="8">
        <v>7854</v>
      </c>
      <c r="B7855" s="8" t="s">
        <v>34692</v>
      </c>
      <c r="C7855" s="8" t="s">
        <v>34692</v>
      </c>
      <c r="G7855" s="8">
        <v>20</v>
      </c>
      <c r="H7855" s="8" t="s">
        <v>21</v>
      </c>
      <c r="I7855" s="8" t="s">
        <v>72</v>
      </c>
      <c r="J7855" s="8" t="s">
        <v>72</v>
      </c>
      <c r="K7855" s="8" t="s">
        <v>73</v>
      </c>
      <c r="L7855" s="8" t="s">
        <v>38</v>
      </c>
      <c r="M7855" s="8" t="s">
        <v>39</v>
      </c>
      <c r="N7855" s="8" t="s">
        <v>34693</v>
      </c>
      <c r="O7855" s="8">
        <f>0+22/60+31.3/3600</f>
        <v>0.37536111111111109</v>
      </c>
      <c r="P7855" s="8" t="s">
        <v>34694</v>
      </c>
      <c r="Q7855" s="8">
        <f>+(10+29/60+25/3600)</f>
        <v>10.490277777777777</v>
      </c>
      <c r="R7855" s="8">
        <v>99</v>
      </c>
      <c r="S7855" s="8">
        <v>99</v>
      </c>
      <c r="T7855" s="8">
        <v>99</v>
      </c>
      <c r="U7855" s="8">
        <v>99</v>
      </c>
      <c r="Y7855" s="8" t="s">
        <v>34695</v>
      </c>
      <c r="Z7855" s="8" t="s">
        <v>34696</v>
      </c>
    </row>
    <row r="7856" spans="1:26" x14ac:dyDescent="0.2">
      <c r="A7856" s="8">
        <v>7855</v>
      </c>
      <c r="B7856" s="8" t="s">
        <v>34697</v>
      </c>
      <c r="C7856" s="8" t="s">
        <v>34697</v>
      </c>
      <c r="G7856" s="8">
        <v>20</v>
      </c>
      <c r="H7856" s="8" t="s">
        <v>21</v>
      </c>
      <c r="I7856" s="8" t="s">
        <v>22</v>
      </c>
      <c r="J7856" s="8" t="s">
        <v>22</v>
      </c>
      <c r="K7856" s="8" t="s">
        <v>460</v>
      </c>
      <c r="L7856" s="8" t="s">
        <v>125</v>
      </c>
      <c r="M7856" s="8" t="s">
        <v>126</v>
      </c>
      <c r="N7856" s="8" t="s">
        <v>34698</v>
      </c>
      <c r="O7856" s="8">
        <f>0+27/60+57.5/3600</f>
        <v>0.46597222222222223</v>
      </c>
      <c r="P7856" s="8" t="s">
        <v>34699</v>
      </c>
      <c r="Q7856" s="8">
        <f>-(0+3/60+41/3600)</f>
        <v>-6.1388888888888896E-2</v>
      </c>
      <c r="R7856" s="8">
        <v>15</v>
      </c>
      <c r="S7856" s="8">
        <v>16</v>
      </c>
      <c r="T7856" s="8">
        <v>1</v>
      </c>
      <c r="U7856" s="8">
        <v>13.1</v>
      </c>
      <c r="V7856" s="8">
        <v>0.4</v>
      </c>
      <c r="W7856" s="8">
        <v>0.4</v>
      </c>
      <c r="Y7856" s="8" t="s">
        <v>34700</v>
      </c>
      <c r="Z7856" s="8" t="s">
        <v>34701</v>
      </c>
    </row>
    <row r="7857" spans="1:26" x14ac:dyDescent="0.2">
      <c r="A7857" s="8">
        <v>7856</v>
      </c>
      <c r="B7857" s="8" t="s">
        <v>34702</v>
      </c>
      <c r="C7857" s="8" t="s">
        <v>34702</v>
      </c>
      <c r="G7857" s="8">
        <v>20</v>
      </c>
      <c r="H7857" s="8" t="s">
        <v>21</v>
      </c>
      <c r="I7857" s="8" t="s">
        <v>22</v>
      </c>
      <c r="J7857" s="8" t="s">
        <v>22</v>
      </c>
      <c r="K7857" s="8" t="s">
        <v>476</v>
      </c>
      <c r="L7857" s="8" t="s">
        <v>125</v>
      </c>
      <c r="M7857" s="8" t="s">
        <v>126</v>
      </c>
      <c r="N7857" s="8" t="s">
        <v>34703</v>
      </c>
      <c r="O7857" s="8">
        <f>0+28/60+7.7/3600</f>
        <v>0.46880555555555559</v>
      </c>
      <c r="P7857" s="8" t="s">
        <v>34704</v>
      </c>
      <c r="Q7857" s="8">
        <f>-(13+5/60+39/3600)</f>
        <v>-13.094166666666668</v>
      </c>
      <c r="R7857" s="8">
        <v>14.6</v>
      </c>
      <c r="S7857" s="8">
        <v>15.5</v>
      </c>
      <c r="T7857" s="8">
        <v>0.9</v>
      </c>
      <c r="U7857" s="8">
        <v>12.4</v>
      </c>
      <c r="V7857" s="8">
        <v>0.5</v>
      </c>
      <c r="W7857" s="8">
        <v>0.3</v>
      </c>
      <c r="X7857" s="8">
        <v>51</v>
      </c>
      <c r="Y7857" s="8" t="s">
        <v>3569</v>
      </c>
      <c r="Z7857" s="8" t="s">
        <v>3570</v>
      </c>
    </row>
    <row r="7858" spans="1:26" x14ac:dyDescent="0.2">
      <c r="A7858" s="8">
        <v>7857</v>
      </c>
      <c r="B7858" s="8" t="s">
        <v>34705</v>
      </c>
      <c r="C7858" s="8" t="s">
        <v>34705</v>
      </c>
      <c r="G7858" s="8">
        <v>20</v>
      </c>
      <c r="H7858" s="8" t="s">
        <v>21</v>
      </c>
      <c r="I7858" s="8" t="s">
        <v>22</v>
      </c>
      <c r="J7858" s="8" t="s">
        <v>22</v>
      </c>
      <c r="K7858" s="8" t="s">
        <v>396</v>
      </c>
      <c r="L7858" s="8" t="s">
        <v>125</v>
      </c>
      <c r="M7858" s="8" t="s">
        <v>126</v>
      </c>
      <c r="N7858" s="8" t="s">
        <v>34706</v>
      </c>
      <c r="O7858" s="8">
        <f>0+28/60+29.7/3600</f>
        <v>0.47491666666666665</v>
      </c>
      <c r="P7858" s="8" t="s">
        <v>34707</v>
      </c>
      <c r="Q7858" s="8">
        <f>+(2+38/60+55/3600)</f>
        <v>2.6486111111111112</v>
      </c>
      <c r="R7858" s="8">
        <v>15.1</v>
      </c>
      <c r="S7858" s="8">
        <v>15.9</v>
      </c>
      <c r="T7858" s="8">
        <v>0.8</v>
      </c>
      <c r="U7858" s="8">
        <v>13.4</v>
      </c>
      <c r="V7858" s="8">
        <v>0.5</v>
      </c>
      <c r="W7858" s="8">
        <v>0.5</v>
      </c>
      <c r="Y7858" s="8" t="s">
        <v>34708</v>
      </c>
      <c r="Z7858" s="8" t="s">
        <v>34709</v>
      </c>
    </row>
    <row r="7859" spans="1:26" x14ac:dyDescent="0.2">
      <c r="A7859" s="8">
        <v>7858</v>
      </c>
      <c r="B7859" s="8" t="s">
        <v>34710</v>
      </c>
      <c r="C7859" s="8" t="s">
        <v>34710</v>
      </c>
      <c r="G7859" s="8">
        <v>20</v>
      </c>
      <c r="H7859" s="8" t="s">
        <v>21</v>
      </c>
      <c r="I7859" s="8" t="s">
        <v>22</v>
      </c>
      <c r="J7859" s="8" t="s">
        <v>22</v>
      </c>
      <c r="K7859" s="8" t="s">
        <v>218</v>
      </c>
      <c r="L7859" s="8" t="s">
        <v>125</v>
      </c>
      <c r="M7859" s="8" t="s">
        <v>126</v>
      </c>
      <c r="N7859" s="8" t="s">
        <v>34711</v>
      </c>
      <c r="O7859" s="8">
        <f>0+28/60+35/3600</f>
        <v>0.47638888888888892</v>
      </c>
      <c r="P7859" s="8" t="s">
        <v>34712</v>
      </c>
      <c r="Q7859" s="8">
        <f>-(11+35/60+11/3600)</f>
        <v>-11.586388888888889</v>
      </c>
      <c r="R7859" s="8">
        <v>14.6</v>
      </c>
      <c r="S7859" s="8">
        <v>15.4</v>
      </c>
      <c r="T7859" s="8">
        <v>0.8</v>
      </c>
      <c r="U7859" s="8">
        <v>14</v>
      </c>
      <c r="V7859" s="8">
        <v>1.1000000000000001</v>
      </c>
      <c r="W7859" s="8">
        <v>0.6</v>
      </c>
      <c r="X7859" s="8">
        <v>15</v>
      </c>
      <c r="Y7859" s="8" t="s">
        <v>34713</v>
      </c>
      <c r="Z7859" s="8" t="s">
        <v>34714</v>
      </c>
    </row>
    <row r="7860" spans="1:26" x14ac:dyDescent="0.2">
      <c r="A7860" s="8">
        <v>7859</v>
      </c>
      <c r="B7860" s="8" t="s">
        <v>34715</v>
      </c>
      <c r="C7860" s="8" t="s">
        <v>34715</v>
      </c>
      <c r="G7860" s="8">
        <v>20</v>
      </c>
      <c r="H7860" s="8" t="s">
        <v>21</v>
      </c>
      <c r="I7860" s="8" t="s">
        <v>22</v>
      </c>
      <c r="J7860" s="8" t="s">
        <v>22</v>
      </c>
      <c r="K7860" s="8" t="s">
        <v>50</v>
      </c>
      <c r="L7860" s="8" t="s">
        <v>125</v>
      </c>
      <c r="M7860" s="8" t="s">
        <v>126</v>
      </c>
      <c r="N7860" s="8" t="s">
        <v>34716</v>
      </c>
      <c r="O7860" s="8">
        <f>0+28/60+39.4/3600</f>
        <v>0.4776111111111111</v>
      </c>
      <c r="P7860" s="8" t="s">
        <v>34717</v>
      </c>
      <c r="Q7860" s="8">
        <f>-(11+38/60+25/3600)</f>
        <v>-11.640277777777778</v>
      </c>
      <c r="R7860" s="8">
        <v>14.1</v>
      </c>
      <c r="S7860" s="8">
        <v>15.1</v>
      </c>
      <c r="T7860" s="8">
        <v>1</v>
      </c>
      <c r="U7860" s="8">
        <v>13.2</v>
      </c>
      <c r="V7860" s="8">
        <v>0.8</v>
      </c>
      <c r="W7860" s="8">
        <v>0.5</v>
      </c>
      <c r="X7860" s="8">
        <v>27</v>
      </c>
      <c r="Y7860" s="8" t="s">
        <v>34713</v>
      </c>
      <c r="Z7860" s="8" t="s">
        <v>34718</v>
      </c>
    </row>
    <row r="7861" spans="1:26" x14ac:dyDescent="0.2">
      <c r="A7861" s="8">
        <v>7860</v>
      </c>
      <c r="B7861" s="8" t="s">
        <v>34719</v>
      </c>
      <c r="C7861" s="8" t="s">
        <v>34719</v>
      </c>
      <c r="G7861" s="8">
        <v>20</v>
      </c>
      <c r="H7861" s="8" t="s">
        <v>21</v>
      </c>
      <c r="I7861" s="8" t="s">
        <v>22</v>
      </c>
      <c r="J7861" s="8" t="s">
        <v>22</v>
      </c>
      <c r="K7861" s="8" t="s">
        <v>37</v>
      </c>
      <c r="L7861" s="8" t="s">
        <v>125</v>
      </c>
      <c r="M7861" s="8" t="s">
        <v>126</v>
      </c>
      <c r="N7861" s="8" t="s">
        <v>34720</v>
      </c>
      <c r="O7861" s="8">
        <f>0+28/60+39.6/3600</f>
        <v>0.47766666666666668</v>
      </c>
      <c r="P7861" s="8" t="s">
        <v>34721</v>
      </c>
      <c r="Q7861" s="8">
        <f>-(13+0/60+35/3600)</f>
        <v>-13.009722222222223</v>
      </c>
      <c r="R7861" s="8">
        <v>13.8</v>
      </c>
      <c r="S7861" s="8">
        <v>14.8</v>
      </c>
      <c r="T7861" s="8">
        <v>1</v>
      </c>
      <c r="U7861" s="8">
        <v>12.6</v>
      </c>
      <c r="V7861" s="8">
        <v>0.6</v>
      </c>
      <c r="W7861" s="8">
        <v>0.6</v>
      </c>
      <c r="Y7861" s="8" t="s">
        <v>21483</v>
      </c>
      <c r="Z7861" s="8" t="s">
        <v>21484</v>
      </c>
    </row>
    <row r="7862" spans="1:26" x14ac:dyDescent="0.2">
      <c r="A7862" s="8">
        <v>7861</v>
      </c>
      <c r="B7862" s="8" t="s">
        <v>34722</v>
      </c>
      <c r="C7862" s="8" t="s">
        <v>34722</v>
      </c>
      <c r="G7862" s="8">
        <v>20</v>
      </c>
      <c r="H7862" s="8" t="s">
        <v>21</v>
      </c>
      <c r="I7862" s="8" t="s">
        <v>22</v>
      </c>
      <c r="J7862" s="8" t="s">
        <v>22</v>
      </c>
      <c r="K7862" s="8" t="s">
        <v>476</v>
      </c>
      <c r="L7862" s="8" t="s">
        <v>125</v>
      </c>
      <c r="M7862" s="8" t="s">
        <v>126</v>
      </c>
      <c r="N7862" s="8" t="s">
        <v>34723</v>
      </c>
      <c r="O7862" s="8">
        <f>0+29/60+10.4/3600</f>
        <v>0.48622222222222222</v>
      </c>
      <c r="P7862" s="8" t="s">
        <v>34724</v>
      </c>
      <c r="Q7862" s="8">
        <f>-(0+9/60+49/3600)</f>
        <v>-0.1636111111111111</v>
      </c>
      <c r="R7862" s="8">
        <v>15.2</v>
      </c>
      <c r="S7862" s="8">
        <v>16</v>
      </c>
      <c r="T7862" s="8">
        <v>0.8</v>
      </c>
      <c r="U7862" s="8">
        <v>13.3</v>
      </c>
      <c r="V7862" s="8">
        <v>0.5</v>
      </c>
      <c r="W7862" s="8">
        <v>0.4</v>
      </c>
      <c r="Y7862" s="8" t="s">
        <v>34725</v>
      </c>
      <c r="Z7862" s="8" t="s">
        <v>34726</v>
      </c>
    </row>
    <row r="7863" spans="1:26" x14ac:dyDescent="0.2">
      <c r="A7863" s="8">
        <v>7862</v>
      </c>
      <c r="B7863" s="8" t="s">
        <v>34727</v>
      </c>
      <c r="C7863" s="8" t="s">
        <v>34727</v>
      </c>
      <c r="G7863" s="8">
        <v>20</v>
      </c>
      <c r="H7863" s="8" t="s">
        <v>21</v>
      </c>
      <c r="I7863" s="8" t="s">
        <v>22</v>
      </c>
      <c r="J7863" s="8" t="s">
        <v>22</v>
      </c>
      <c r="K7863" s="8" t="s">
        <v>58</v>
      </c>
      <c r="L7863" s="8" t="s">
        <v>125</v>
      </c>
      <c r="M7863" s="8" t="s">
        <v>126</v>
      </c>
      <c r="N7863" s="8" t="s">
        <v>34728</v>
      </c>
      <c r="O7863" s="8">
        <f>0+29/60+33.1/3600</f>
        <v>0.49252777777777779</v>
      </c>
      <c r="P7863" s="8" t="s">
        <v>34729</v>
      </c>
      <c r="Q7863" s="8">
        <f>-(9+4/60+49/3600)</f>
        <v>-9.080277777777777</v>
      </c>
      <c r="R7863" s="8">
        <v>13.9</v>
      </c>
      <c r="S7863" s="8">
        <v>14.9</v>
      </c>
      <c r="T7863" s="8">
        <v>1</v>
      </c>
      <c r="U7863" s="8">
        <v>12.3</v>
      </c>
      <c r="V7863" s="8">
        <v>0.7</v>
      </c>
      <c r="W7863" s="8">
        <v>0.3</v>
      </c>
      <c r="X7863" s="8">
        <v>45</v>
      </c>
      <c r="Y7863" s="8" t="s">
        <v>34730</v>
      </c>
      <c r="Z7863" s="8" t="s">
        <v>34731</v>
      </c>
    </row>
    <row r="7864" spans="1:26" x14ac:dyDescent="0.2">
      <c r="A7864" s="8">
        <v>7863</v>
      </c>
      <c r="B7864" s="8" t="s">
        <v>34732</v>
      </c>
      <c r="C7864" s="8" t="s">
        <v>34732</v>
      </c>
      <c r="G7864" s="8">
        <v>20</v>
      </c>
      <c r="H7864" s="8" t="s">
        <v>21</v>
      </c>
      <c r="I7864" s="8" t="s">
        <v>22</v>
      </c>
      <c r="J7864" s="8" t="s">
        <v>22</v>
      </c>
      <c r="K7864" s="8" t="s">
        <v>460</v>
      </c>
      <c r="L7864" s="8" t="s">
        <v>125</v>
      </c>
      <c r="M7864" s="8" t="s">
        <v>126</v>
      </c>
      <c r="N7864" s="8" t="s">
        <v>34733</v>
      </c>
      <c r="O7864" s="8">
        <f>0+30/60+50.7/3600</f>
        <v>0.51408333333333334</v>
      </c>
      <c r="P7864" s="8" t="s">
        <v>34734</v>
      </c>
      <c r="Q7864" s="8">
        <f>-(12+43/60+11/3600)</f>
        <v>-12.719722222222222</v>
      </c>
      <c r="R7864" s="8">
        <v>14</v>
      </c>
      <c r="S7864" s="8">
        <v>15</v>
      </c>
      <c r="T7864" s="8">
        <v>1</v>
      </c>
      <c r="U7864" s="8">
        <v>13.3</v>
      </c>
      <c r="V7864" s="8">
        <v>0.7</v>
      </c>
      <c r="W7864" s="8">
        <v>0.7</v>
      </c>
      <c r="Y7864" s="8" t="s">
        <v>121</v>
      </c>
      <c r="Z7864" s="8" t="s">
        <v>122</v>
      </c>
    </row>
    <row r="7865" spans="1:26" x14ac:dyDescent="0.2">
      <c r="A7865" s="8">
        <v>7864</v>
      </c>
      <c r="B7865" s="8" t="s">
        <v>34735</v>
      </c>
      <c r="C7865" s="8" t="s">
        <v>34735</v>
      </c>
      <c r="G7865" s="8">
        <v>20</v>
      </c>
      <c r="H7865" s="8" t="s">
        <v>21</v>
      </c>
      <c r="I7865" s="8" t="s">
        <v>72</v>
      </c>
      <c r="J7865" s="8" t="s">
        <v>72</v>
      </c>
      <c r="K7865" s="8" t="s">
        <v>73</v>
      </c>
      <c r="L7865" s="8" t="s">
        <v>51</v>
      </c>
      <c r="M7865" s="8" t="s">
        <v>52</v>
      </c>
      <c r="N7865" s="8" t="s">
        <v>34736</v>
      </c>
      <c r="O7865" s="8">
        <f>0+31/60+16.7/3600</f>
        <v>0.52130555555555558</v>
      </c>
      <c r="P7865" s="8" t="s">
        <v>34737</v>
      </c>
      <c r="Q7865" s="8">
        <f>+(30+50/60+26/3600)</f>
        <v>30.840555555555554</v>
      </c>
      <c r="R7865" s="8">
        <v>99</v>
      </c>
      <c r="S7865" s="8">
        <v>99</v>
      </c>
      <c r="T7865" s="8">
        <v>99</v>
      </c>
      <c r="U7865" s="8">
        <v>99</v>
      </c>
      <c r="Y7865" s="8" t="s">
        <v>34738</v>
      </c>
      <c r="Z7865" s="8" t="s">
        <v>34739</v>
      </c>
    </row>
    <row r="7866" spans="1:26" x14ac:dyDescent="0.2">
      <c r="A7866" s="8">
        <v>7865</v>
      </c>
      <c r="B7866" s="8" t="s">
        <v>34740</v>
      </c>
      <c r="C7866" s="8" t="s">
        <v>34740</v>
      </c>
      <c r="G7866" s="8">
        <v>20</v>
      </c>
      <c r="H7866" s="8" t="s">
        <v>21</v>
      </c>
      <c r="I7866" s="8" t="s">
        <v>22</v>
      </c>
      <c r="J7866" s="8" t="s">
        <v>22</v>
      </c>
      <c r="K7866" s="8" t="s">
        <v>37</v>
      </c>
      <c r="L7866" s="8" t="s">
        <v>125</v>
      </c>
      <c r="M7866" s="8" t="s">
        <v>126</v>
      </c>
      <c r="N7866" s="8" t="s">
        <v>34741</v>
      </c>
      <c r="O7866" s="8">
        <f>0+31/60+12.2/3600</f>
        <v>0.5200555555555556</v>
      </c>
      <c r="P7866" s="8" t="s">
        <v>34742</v>
      </c>
      <c r="Q7866" s="8">
        <f>-(0+24/60+27/3600)</f>
        <v>-0.40750000000000003</v>
      </c>
      <c r="R7866" s="8">
        <v>14.3</v>
      </c>
      <c r="S7866" s="8">
        <v>15.3</v>
      </c>
      <c r="T7866" s="8">
        <v>1</v>
      </c>
      <c r="U7866" s="8">
        <v>14.1</v>
      </c>
      <c r="V7866" s="8">
        <v>1</v>
      </c>
      <c r="W7866" s="8">
        <v>0.9</v>
      </c>
      <c r="X7866" s="8">
        <v>39</v>
      </c>
      <c r="Y7866" s="8" t="s">
        <v>34743</v>
      </c>
      <c r="Z7866" s="8" t="s">
        <v>34744</v>
      </c>
    </row>
    <row r="7867" spans="1:26" x14ac:dyDescent="0.2">
      <c r="A7867" s="8">
        <v>7866</v>
      </c>
      <c r="B7867" s="8" t="s">
        <v>34745</v>
      </c>
      <c r="C7867" s="8" t="s">
        <v>34745</v>
      </c>
      <c r="G7867" s="8">
        <v>20</v>
      </c>
      <c r="H7867" s="8" t="s">
        <v>21</v>
      </c>
      <c r="I7867" s="8" t="s">
        <v>22</v>
      </c>
      <c r="J7867" s="8" t="s">
        <v>57</v>
      </c>
      <c r="K7867" s="8" t="s">
        <v>449</v>
      </c>
      <c r="L7867" s="8" t="s">
        <v>125</v>
      </c>
      <c r="M7867" s="8" t="s">
        <v>126</v>
      </c>
      <c r="N7867" s="8" t="s">
        <v>725</v>
      </c>
      <c r="O7867" s="8">
        <f>0+31/60+45.9/3600</f>
        <v>0.52941666666666676</v>
      </c>
      <c r="P7867" s="8" t="s">
        <v>726</v>
      </c>
      <c r="Q7867" s="8">
        <f>-(13+20/60+16/3600)</f>
        <v>-13.337777777777779</v>
      </c>
      <c r="R7867" s="8">
        <v>15.1</v>
      </c>
      <c r="S7867" s="8">
        <v>15.9</v>
      </c>
      <c r="T7867" s="8">
        <v>0.8</v>
      </c>
      <c r="U7867" s="8">
        <v>13.4</v>
      </c>
      <c r="V7867" s="8">
        <v>0.5</v>
      </c>
      <c r="W7867" s="8">
        <v>0.5</v>
      </c>
      <c r="Y7867" s="8" t="s">
        <v>6420</v>
      </c>
      <c r="Z7867" s="8" t="s">
        <v>6421</v>
      </c>
    </row>
    <row r="7868" spans="1:26" x14ac:dyDescent="0.2">
      <c r="A7868" s="8">
        <v>7867</v>
      </c>
      <c r="B7868" s="8" t="s">
        <v>34746</v>
      </c>
      <c r="C7868" s="8" t="s">
        <v>34746</v>
      </c>
      <c r="G7868" s="8">
        <v>20</v>
      </c>
      <c r="H7868" s="8" t="s">
        <v>21</v>
      </c>
      <c r="I7868" s="8" t="s">
        <v>22</v>
      </c>
      <c r="J7868" s="8" t="s">
        <v>22</v>
      </c>
      <c r="K7868" s="8" t="s">
        <v>449</v>
      </c>
      <c r="L7868" s="8" t="s">
        <v>125</v>
      </c>
      <c r="M7868" s="8" t="s">
        <v>126</v>
      </c>
      <c r="N7868" s="8" t="s">
        <v>34747</v>
      </c>
      <c r="O7868" s="8">
        <f>0+33/60+6.2/3600</f>
        <v>0.55172222222222222</v>
      </c>
      <c r="P7868" s="8" t="s">
        <v>34748</v>
      </c>
      <c r="Q7868" s="8">
        <f>-(13+22/60+16/3600)</f>
        <v>-13.371111111111112</v>
      </c>
      <c r="R7868" s="8">
        <v>14.8</v>
      </c>
      <c r="S7868" s="8">
        <v>15.6</v>
      </c>
      <c r="T7868" s="8">
        <v>0.8</v>
      </c>
      <c r="U7868" s="8">
        <v>13.2</v>
      </c>
      <c r="V7868" s="8">
        <v>0.6</v>
      </c>
      <c r="W7868" s="8">
        <v>0.6</v>
      </c>
      <c r="Y7868" s="8" t="s">
        <v>34749</v>
      </c>
      <c r="Z7868" s="8" t="s">
        <v>34750</v>
      </c>
    </row>
    <row r="7869" spans="1:26" x14ac:dyDescent="0.2">
      <c r="A7869" s="8">
        <v>7868</v>
      </c>
      <c r="B7869" s="8" t="s">
        <v>34751</v>
      </c>
      <c r="C7869" s="8" t="s">
        <v>34751</v>
      </c>
      <c r="G7869" s="8">
        <v>20</v>
      </c>
      <c r="H7869" s="8" t="s">
        <v>21</v>
      </c>
      <c r="I7869" s="8" t="s">
        <v>22</v>
      </c>
      <c r="J7869" s="8" t="s">
        <v>22</v>
      </c>
      <c r="K7869" s="8" t="s">
        <v>449</v>
      </c>
      <c r="L7869" s="8" t="s">
        <v>125</v>
      </c>
      <c r="M7869" s="8" t="s">
        <v>126</v>
      </c>
      <c r="N7869" s="8" t="s">
        <v>34752</v>
      </c>
      <c r="O7869" s="8">
        <f>0+33/60+8.6/3600</f>
        <v>0.55238888888888893</v>
      </c>
      <c r="P7869" s="8" t="s">
        <v>34753</v>
      </c>
      <c r="Q7869" s="8">
        <f>-(13+27/60+21/3600)</f>
        <v>-13.455833333333333</v>
      </c>
      <c r="R7869" s="8">
        <v>14.9</v>
      </c>
      <c r="S7869" s="8">
        <v>15.7</v>
      </c>
      <c r="T7869" s="8">
        <v>0.8</v>
      </c>
      <c r="U7869" s="8">
        <v>13.4</v>
      </c>
      <c r="V7869" s="8">
        <v>0.6</v>
      </c>
      <c r="W7869" s="8">
        <v>0.5</v>
      </c>
      <c r="X7869" s="8">
        <v>90</v>
      </c>
      <c r="Y7869" s="8" t="s">
        <v>34754</v>
      </c>
      <c r="Z7869" s="8" t="s">
        <v>34755</v>
      </c>
    </row>
    <row r="7870" spans="1:26" x14ac:dyDescent="0.2">
      <c r="A7870" s="8">
        <v>7869</v>
      </c>
      <c r="B7870" s="8" t="s">
        <v>34756</v>
      </c>
      <c r="C7870" s="8" t="s">
        <v>34756</v>
      </c>
      <c r="G7870" s="8">
        <v>20</v>
      </c>
      <c r="H7870" s="8" t="s">
        <v>21</v>
      </c>
      <c r="I7870" s="8" t="s">
        <v>22</v>
      </c>
      <c r="J7870" s="8" t="s">
        <v>22</v>
      </c>
      <c r="K7870" s="8" t="s">
        <v>424</v>
      </c>
      <c r="L7870" s="8" t="s">
        <v>125</v>
      </c>
      <c r="M7870" s="8" t="s">
        <v>126</v>
      </c>
      <c r="N7870" s="8" t="s">
        <v>34757</v>
      </c>
      <c r="O7870" s="8">
        <f>0+34/60+10.7/3600</f>
        <v>0.56963888888888892</v>
      </c>
      <c r="P7870" s="8" t="s">
        <v>34758</v>
      </c>
      <c r="Q7870" s="8">
        <f>-(2+10/60+37/3600)</f>
        <v>-2.1769444444444441</v>
      </c>
      <c r="R7870" s="8">
        <v>15.1</v>
      </c>
      <c r="S7870" s="8">
        <v>16.100000000000001</v>
      </c>
      <c r="T7870" s="8">
        <v>1</v>
      </c>
      <c r="U7870" s="8">
        <v>14.2</v>
      </c>
      <c r="V7870" s="8">
        <v>0.7</v>
      </c>
      <c r="W7870" s="8">
        <v>0.7</v>
      </c>
      <c r="Y7870" s="8" t="s">
        <v>10836</v>
      </c>
      <c r="Z7870" s="8" t="s">
        <v>10837</v>
      </c>
    </row>
    <row r="7871" spans="1:26" x14ac:dyDescent="0.2">
      <c r="A7871" s="8">
        <v>7870</v>
      </c>
      <c r="B7871" s="8" t="s">
        <v>34759</v>
      </c>
      <c r="C7871" s="8" t="s">
        <v>34759</v>
      </c>
      <c r="G7871" s="8">
        <v>20</v>
      </c>
      <c r="H7871" s="8" t="s">
        <v>21</v>
      </c>
      <c r="I7871" s="8" t="s">
        <v>22</v>
      </c>
      <c r="J7871" s="8" t="s">
        <v>22</v>
      </c>
      <c r="K7871" s="8" t="s">
        <v>449</v>
      </c>
      <c r="L7871" s="8" t="s">
        <v>125</v>
      </c>
      <c r="M7871" s="8" t="s">
        <v>126</v>
      </c>
      <c r="N7871" s="8" t="s">
        <v>34760</v>
      </c>
      <c r="O7871" s="8">
        <f>0+34/60+14.7/3600</f>
        <v>0.57074999999999998</v>
      </c>
      <c r="P7871" s="8" t="s">
        <v>34761</v>
      </c>
      <c r="Q7871" s="8">
        <f>-(2+5/60+5/3600)</f>
        <v>-2.0847222222222226</v>
      </c>
      <c r="R7871" s="8">
        <v>15.9</v>
      </c>
      <c r="S7871" s="8">
        <v>16.7</v>
      </c>
      <c r="T7871" s="8">
        <v>0.8</v>
      </c>
      <c r="U7871" s="8">
        <v>14.4</v>
      </c>
      <c r="V7871" s="8">
        <v>0.7</v>
      </c>
      <c r="W7871" s="8">
        <v>0.4</v>
      </c>
      <c r="X7871" s="8">
        <v>21</v>
      </c>
      <c r="Y7871" s="8" t="s">
        <v>10836</v>
      </c>
      <c r="Z7871" s="8" t="s">
        <v>10837</v>
      </c>
    </row>
    <row r="7872" spans="1:26" x14ac:dyDescent="0.2">
      <c r="A7872" s="8">
        <v>7871</v>
      </c>
      <c r="B7872" s="8" t="s">
        <v>34762</v>
      </c>
      <c r="C7872" s="8" t="s">
        <v>34762</v>
      </c>
      <c r="G7872" s="8">
        <v>20</v>
      </c>
      <c r="H7872" s="8" t="s">
        <v>21</v>
      </c>
      <c r="I7872" s="8" t="s">
        <v>22</v>
      </c>
      <c r="J7872" s="8" t="s">
        <v>22</v>
      </c>
      <c r="K7872" s="8" t="s">
        <v>91</v>
      </c>
      <c r="L7872" s="8" t="s">
        <v>38</v>
      </c>
      <c r="M7872" s="8" t="s">
        <v>39</v>
      </c>
      <c r="N7872" s="8" t="s">
        <v>34763</v>
      </c>
      <c r="O7872" s="8">
        <f>0+34/60+24.6/3600</f>
        <v>0.57350000000000001</v>
      </c>
      <c r="P7872" s="8" t="s">
        <v>34764</v>
      </c>
      <c r="Q7872" s="8">
        <f>+(12+16/60+7/3600)</f>
        <v>12.268611111111111</v>
      </c>
      <c r="R7872" s="8">
        <v>14.3</v>
      </c>
      <c r="S7872" s="8">
        <v>15.2</v>
      </c>
      <c r="T7872" s="8">
        <v>0.9</v>
      </c>
      <c r="U7872" s="8">
        <v>13.4</v>
      </c>
      <c r="V7872" s="8">
        <v>1.6</v>
      </c>
      <c r="W7872" s="8">
        <v>0.3</v>
      </c>
      <c r="X7872" s="8">
        <v>89</v>
      </c>
      <c r="Y7872" s="8" t="s">
        <v>34765</v>
      </c>
      <c r="Z7872" s="8" t="s">
        <v>34766</v>
      </c>
    </row>
    <row r="7873" spans="1:26" x14ac:dyDescent="0.2">
      <c r="A7873" s="8">
        <v>7872</v>
      </c>
      <c r="B7873" s="8" t="s">
        <v>34767</v>
      </c>
      <c r="C7873" s="8" t="s">
        <v>34767</v>
      </c>
      <c r="G7873" s="8">
        <v>20</v>
      </c>
      <c r="H7873" s="8" t="s">
        <v>21</v>
      </c>
      <c r="I7873" s="8" t="s">
        <v>22</v>
      </c>
      <c r="J7873" s="8" t="s">
        <v>22</v>
      </c>
      <c r="K7873" s="8" t="s">
        <v>449</v>
      </c>
      <c r="L7873" s="8" t="s">
        <v>125</v>
      </c>
      <c r="M7873" s="8" t="s">
        <v>126</v>
      </c>
      <c r="N7873" s="8" t="s">
        <v>34768</v>
      </c>
      <c r="O7873" s="8">
        <f>0+35/60+1.6/3600</f>
        <v>0.58377777777777784</v>
      </c>
      <c r="P7873" s="8" t="s">
        <v>34769</v>
      </c>
      <c r="Q7873" s="8">
        <f>-(2+8/60+28/3600)</f>
        <v>-2.141111111111111</v>
      </c>
      <c r="R7873" s="8">
        <v>14.9</v>
      </c>
      <c r="S7873" s="8">
        <v>15.7</v>
      </c>
      <c r="T7873" s="8">
        <v>0.8</v>
      </c>
      <c r="U7873" s="8">
        <v>12.8</v>
      </c>
      <c r="V7873" s="8">
        <v>0.4</v>
      </c>
      <c r="W7873" s="8">
        <v>0.4</v>
      </c>
      <c r="Y7873" s="8" t="s">
        <v>3357</v>
      </c>
      <c r="Z7873" s="8" t="s">
        <v>3358</v>
      </c>
    </row>
    <row r="7874" spans="1:26" x14ac:dyDescent="0.2">
      <c r="A7874" s="8">
        <v>7873</v>
      </c>
      <c r="B7874" s="8" t="s">
        <v>34770</v>
      </c>
      <c r="C7874" s="8" t="s">
        <v>34770</v>
      </c>
      <c r="G7874" s="8">
        <v>20</v>
      </c>
      <c r="H7874" s="8" t="s">
        <v>21</v>
      </c>
      <c r="I7874" s="8" t="s">
        <v>22</v>
      </c>
      <c r="J7874" s="8" t="s">
        <v>22</v>
      </c>
      <c r="K7874" s="8" t="s">
        <v>37</v>
      </c>
      <c r="L7874" s="8" t="s">
        <v>125</v>
      </c>
      <c r="M7874" s="8" t="s">
        <v>126</v>
      </c>
      <c r="N7874" s="8" t="s">
        <v>34771</v>
      </c>
      <c r="O7874" s="8">
        <f>0+35/60+5/3600</f>
        <v>0.58472222222222225</v>
      </c>
      <c r="P7874" s="8" t="s">
        <v>34772</v>
      </c>
      <c r="Q7874" s="8">
        <f>-(2+8/60+16/3600)</f>
        <v>-2.1377777777777776</v>
      </c>
      <c r="R7874" s="8">
        <v>14.5</v>
      </c>
      <c r="S7874" s="8">
        <v>15.5</v>
      </c>
      <c r="T7874" s="8">
        <v>1</v>
      </c>
      <c r="U7874" s="8">
        <v>13.3</v>
      </c>
      <c r="V7874" s="8">
        <v>0.7</v>
      </c>
      <c r="W7874" s="8">
        <v>0.5</v>
      </c>
      <c r="Y7874" s="8" t="s">
        <v>3357</v>
      </c>
      <c r="Z7874" s="8" t="s">
        <v>34773</v>
      </c>
    </row>
    <row r="7875" spans="1:26" x14ac:dyDescent="0.2">
      <c r="A7875" s="8">
        <v>7874</v>
      </c>
      <c r="B7875" s="8" t="s">
        <v>34774</v>
      </c>
      <c r="C7875" s="8" t="s">
        <v>34774</v>
      </c>
      <c r="G7875" s="8">
        <v>20</v>
      </c>
      <c r="H7875" s="8" t="s">
        <v>21</v>
      </c>
      <c r="I7875" s="8" t="s">
        <v>22</v>
      </c>
      <c r="J7875" s="8" t="s">
        <v>22</v>
      </c>
      <c r="K7875" s="8" t="s">
        <v>154</v>
      </c>
      <c r="L7875" s="8" t="s">
        <v>38</v>
      </c>
      <c r="M7875" s="8" t="s">
        <v>39</v>
      </c>
      <c r="N7875" s="8" t="s">
        <v>34775</v>
      </c>
      <c r="O7875" s="8">
        <f>0+35/60+36.4/3600</f>
        <v>0.59344444444444444</v>
      </c>
      <c r="P7875" s="8" t="s">
        <v>34776</v>
      </c>
      <c r="Q7875" s="8">
        <f>+(9+7/60+30/3600)</f>
        <v>9.125</v>
      </c>
      <c r="R7875" s="8">
        <v>12.6</v>
      </c>
      <c r="S7875" s="8">
        <v>13.5</v>
      </c>
      <c r="T7875" s="8">
        <v>0.9</v>
      </c>
      <c r="U7875" s="8">
        <v>13.2</v>
      </c>
      <c r="V7875" s="8">
        <v>2.4</v>
      </c>
      <c r="W7875" s="8">
        <v>0.8</v>
      </c>
      <c r="X7875" s="8">
        <v>156</v>
      </c>
      <c r="Y7875" s="8" t="s">
        <v>17572</v>
      </c>
      <c r="Z7875" s="8" t="s">
        <v>17573</v>
      </c>
    </row>
    <row r="7876" spans="1:26" x14ac:dyDescent="0.2">
      <c r="A7876" s="8">
        <v>7875</v>
      </c>
      <c r="B7876" s="8" t="s">
        <v>34777</v>
      </c>
      <c r="C7876" s="8" t="s">
        <v>34777</v>
      </c>
      <c r="G7876" s="8">
        <v>20</v>
      </c>
      <c r="H7876" s="8" t="s">
        <v>21</v>
      </c>
      <c r="I7876" s="8" t="s">
        <v>22</v>
      </c>
      <c r="J7876" s="8" t="s">
        <v>22</v>
      </c>
      <c r="K7876" s="8" t="s">
        <v>160</v>
      </c>
      <c r="L7876" s="8" t="s">
        <v>38</v>
      </c>
      <c r="M7876" s="8" t="s">
        <v>39</v>
      </c>
      <c r="N7876" s="8" t="s">
        <v>34778</v>
      </c>
      <c r="O7876" s="8">
        <f>0+37/60+39.9/3600</f>
        <v>0.62775000000000003</v>
      </c>
      <c r="P7876" s="8" t="s">
        <v>34779</v>
      </c>
      <c r="Q7876" s="8">
        <f>+(10+21/60+27/3600)</f>
        <v>10.3575</v>
      </c>
      <c r="R7876" s="8">
        <v>14</v>
      </c>
      <c r="S7876" s="8">
        <v>14.7</v>
      </c>
      <c r="T7876" s="8">
        <v>0.7</v>
      </c>
      <c r="U7876" s="8">
        <v>13.2</v>
      </c>
      <c r="V7876" s="8">
        <v>1</v>
      </c>
      <c r="W7876" s="8">
        <v>0.8</v>
      </c>
      <c r="X7876" s="8">
        <v>33</v>
      </c>
      <c r="Y7876" s="8" t="s">
        <v>34780</v>
      </c>
      <c r="Z7876" s="8" t="s">
        <v>34781</v>
      </c>
    </row>
    <row r="7877" spans="1:26" x14ac:dyDescent="0.2">
      <c r="A7877" s="8">
        <v>7876</v>
      </c>
      <c r="B7877" s="8" t="s">
        <v>34782</v>
      </c>
      <c r="C7877" s="8" t="s">
        <v>34782</v>
      </c>
      <c r="G7877" s="8">
        <v>20</v>
      </c>
      <c r="H7877" s="8" t="s">
        <v>21</v>
      </c>
      <c r="I7877" s="8" t="s">
        <v>22</v>
      </c>
      <c r="J7877" s="8" t="s">
        <v>22</v>
      </c>
      <c r="K7877" s="8" t="s">
        <v>424</v>
      </c>
      <c r="L7877" s="8" t="s">
        <v>125</v>
      </c>
      <c r="M7877" s="8" t="s">
        <v>126</v>
      </c>
      <c r="N7877" s="8" t="s">
        <v>34783</v>
      </c>
      <c r="O7877" s="8">
        <f>0+37/60+49.6/3600</f>
        <v>0.63044444444444447</v>
      </c>
      <c r="P7877" s="8" t="s">
        <v>34784</v>
      </c>
      <c r="Q7877" s="8">
        <f>-(15+26/60+27/3600)</f>
        <v>-15.440833333333334</v>
      </c>
      <c r="R7877" s="8">
        <v>14.5</v>
      </c>
      <c r="S7877" s="8">
        <v>15.5</v>
      </c>
      <c r="T7877" s="8">
        <v>1</v>
      </c>
      <c r="U7877" s="8">
        <v>13.2</v>
      </c>
      <c r="V7877" s="8">
        <v>0.6</v>
      </c>
      <c r="W7877" s="8">
        <v>0.6</v>
      </c>
      <c r="Y7877" s="8" t="s">
        <v>5775</v>
      </c>
      <c r="Z7877" s="8" t="s">
        <v>34785</v>
      </c>
    </row>
    <row r="7878" spans="1:26" x14ac:dyDescent="0.2">
      <c r="A7878" s="8">
        <v>7877</v>
      </c>
      <c r="B7878" s="8" t="s">
        <v>34786</v>
      </c>
      <c r="C7878" s="8" t="s">
        <v>34786</v>
      </c>
      <c r="G7878" s="8">
        <v>20</v>
      </c>
      <c r="H7878" s="8" t="s">
        <v>21</v>
      </c>
      <c r="I7878" s="8" t="s">
        <v>22</v>
      </c>
      <c r="J7878" s="8" t="s">
        <v>22</v>
      </c>
      <c r="K7878" s="8" t="s">
        <v>218</v>
      </c>
      <c r="L7878" s="8" t="s">
        <v>125</v>
      </c>
      <c r="M7878" s="8" t="s">
        <v>126</v>
      </c>
      <c r="N7878" s="8" t="s">
        <v>34787</v>
      </c>
      <c r="O7878" s="8">
        <f>0+38/60+34.2/3600</f>
        <v>0.64283333333333326</v>
      </c>
      <c r="P7878" s="8" t="s">
        <v>34788</v>
      </c>
      <c r="Q7878" s="8">
        <f>-(15+21/60+31/3600)</f>
        <v>-15.358611111111111</v>
      </c>
      <c r="R7878" s="8">
        <v>14.9</v>
      </c>
      <c r="S7878" s="8">
        <v>15.7</v>
      </c>
      <c r="T7878" s="8">
        <v>0.8</v>
      </c>
      <c r="U7878" s="8">
        <v>13.5</v>
      </c>
      <c r="V7878" s="8">
        <v>0.8</v>
      </c>
      <c r="W7878" s="8">
        <v>0.4</v>
      </c>
      <c r="X7878" s="8">
        <v>171</v>
      </c>
      <c r="Y7878" s="8" t="s">
        <v>34789</v>
      </c>
      <c r="Z7878" s="8" t="s">
        <v>34790</v>
      </c>
    </row>
    <row r="7879" spans="1:26" x14ac:dyDescent="0.2">
      <c r="A7879" s="8">
        <v>7878</v>
      </c>
      <c r="B7879" s="8" t="s">
        <v>34791</v>
      </c>
      <c r="C7879" s="8" t="s">
        <v>34791</v>
      </c>
      <c r="G7879" s="8">
        <v>20</v>
      </c>
      <c r="H7879" s="8" t="s">
        <v>21</v>
      </c>
      <c r="I7879" s="8" t="s">
        <v>22</v>
      </c>
      <c r="J7879" s="8" t="s">
        <v>22</v>
      </c>
      <c r="K7879" s="8" t="s">
        <v>23</v>
      </c>
      <c r="L7879" s="8" t="s">
        <v>125</v>
      </c>
      <c r="M7879" s="8" t="s">
        <v>126</v>
      </c>
      <c r="N7879" s="8" t="s">
        <v>34792</v>
      </c>
      <c r="O7879" s="8">
        <f>0+38/60+38.8/3600</f>
        <v>0.64411111111111108</v>
      </c>
      <c r="P7879" s="8" t="s">
        <v>34793</v>
      </c>
      <c r="Q7879" s="8">
        <f>-(15+25/60+9/3600)</f>
        <v>-15.419166666666666</v>
      </c>
      <c r="R7879" s="8">
        <v>14</v>
      </c>
      <c r="S7879" s="8">
        <v>14.8</v>
      </c>
      <c r="T7879" s="8">
        <v>0.8</v>
      </c>
      <c r="U7879" s="8">
        <v>13.3</v>
      </c>
      <c r="V7879" s="8">
        <v>0.9</v>
      </c>
      <c r="W7879" s="8">
        <v>0.7</v>
      </c>
      <c r="X7879" s="8">
        <v>84</v>
      </c>
      <c r="Y7879" s="8" t="s">
        <v>895</v>
      </c>
      <c r="Z7879" s="8" t="s">
        <v>896</v>
      </c>
    </row>
    <row r="7880" spans="1:26" x14ac:dyDescent="0.2">
      <c r="A7880" s="8">
        <v>7879</v>
      </c>
      <c r="B7880" s="8" t="s">
        <v>34794</v>
      </c>
      <c r="C7880" s="8" t="s">
        <v>34794</v>
      </c>
      <c r="G7880" s="8">
        <v>20</v>
      </c>
      <c r="H7880" s="8" t="s">
        <v>21</v>
      </c>
      <c r="I7880" s="8" t="s">
        <v>22</v>
      </c>
      <c r="J7880" s="8" t="s">
        <v>57</v>
      </c>
      <c r="K7880" s="8" t="s">
        <v>79</v>
      </c>
      <c r="L7880" s="8" t="s">
        <v>125</v>
      </c>
      <c r="M7880" s="8" t="s">
        <v>126</v>
      </c>
      <c r="N7880" s="8" t="s">
        <v>930</v>
      </c>
      <c r="O7880" s="8">
        <f>0+39/60+8.4/3600</f>
        <v>0.65233333333333332</v>
      </c>
      <c r="P7880" s="8" t="s">
        <v>931</v>
      </c>
      <c r="Q7880" s="8">
        <f>-(14+10/60+20/3600)</f>
        <v>-14.172222222222222</v>
      </c>
      <c r="R7880" s="8">
        <v>12.6</v>
      </c>
      <c r="S7880" s="8">
        <v>13.1</v>
      </c>
      <c r="T7880" s="8">
        <v>0.5</v>
      </c>
      <c r="U7880" s="8">
        <v>13.2</v>
      </c>
      <c r="V7880" s="8">
        <v>2.1</v>
      </c>
      <c r="W7880" s="8">
        <v>0.9</v>
      </c>
      <c r="X7880" s="8">
        <v>178</v>
      </c>
      <c r="Y7880" s="8" t="s">
        <v>34795</v>
      </c>
      <c r="Z7880" s="8" t="s">
        <v>34796</v>
      </c>
    </row>
    <row r="7881" spans="1:26" x14ac:dyDescent="0.2">
      <c r="A7881" s="8">
        <v>7880</v>
      </c>
      <c r="B7881" s="8" t="s">
        <v>34797</v>
      </c>
      <c r="C7881" s="8" t="s">
        <v>34797</v>
      </c>
      <c r="G7881" s="8">
        <v>20</v>
      </c>
      <c r="H7881" s="8" t="s">
        <v>21</v>
      </c>
      <c r="I7881" s="8" t="s">
        <v>22</v>
      </c>
      <c r="J7881" s="8" t="s">
        <v>22</v>
      </c>
      <c r="K7881" s="8" t="s">
        <v>396</v>
      </c>
      <c r="L7881" s="8" t="s">
        <v>125</v>
      </c>
      <c r="M7881" s="8" t="s">
        <v>126</v>
      </c>
      <c r="N7881" s="8" t="s">
        <v>34798</v>
      </c>
      <c r="O7881" s="8">
        <f>0+39/60+21.3/3600</f>
        <v>0.6559166666666667</v>
      </c>
      <c r="P7881" s="8" t="s">
        <v>34799</v>
      </c>
      <c r="Q7881" s="8">
        <f>+(2+27/60+22/3600)</f>
        <v>2.4561111111111114</v>
      </c>
      <c r="R7881" s="8">
        <v>14.4</v>
      </c>
      <c r="S7881" s="8">
        <v>15.2</v>
      </c>
      <c r="T7881" s="8">
        <v>0.8</v>
      </c>
      <c r="U7881" s="8">
        <v>13.6</v>
      </c>
      <c r="V7881" s="8">
        <v>1</v>
      </c>
      <c r="W7881" s="8">
        <v>0.5</v>
      </c>
      <c r="X7881" s="8">
        <v>13</v>
      </c>
      <c r="Y7881" s="8" t="s">
        <v>34800</v>
      </c>
      <c r="Z7881" s="8" t="s">
        <v>34801</v>
      </c>
    </row>
    <row r="7882" spans="1:26" x14ac:dyDescent="0.2">
      <c r="A7882" s="8">
        <v>7881</v>
      </c>
      <c r="B7882" s="8" t="s">
        <v>34802</v>
      </c>
      <c r="C7882" s="8" t="s">
        <v>34802</v>
      </c>
      <c r="G7882" s="8">
        <v>20</v>
      </c>
      <c r="H7882" s="8" t="s">
        <v>21</v>
      </c>
      <c r="I7882" s="8" t="s">
        <v>22</v>
      </c>
      <c r="J7882" s="8" t="s">
        <v>22</v>
      </c>
      <c r="K7882" s="8" t="s">
        <v>28228</v>
      </c>
      <c r="L7882" s="8" t="s">
        <v>125</v>
      </c>
      <c r="M7882" s="8" t="s">
        <v>126</v>
      </c>
      <c r="N7882" s="8" t="s">
        <v>34803</v>
      </c>
      <c r="O7882" s="8">
        <f>0+39/60+40.3/3600</f>
        <v>0.66119444444444442</v>
      </c>
      <c r="P7882" s="8" t="s">
        <v>34804</v>
      </c>
      <c r="Q7882" s="8">
        <f>-(14+10/60+26/3600)</f>
        <v>-14.173888888888888</v>
      </c>
      <c r="R7882" s="8">
        <v>14.7</v>
      </c>
      <c r="S7882" s="8">
        <v>15.5</v>
      </c>
      <c r="T7882" s="8">
        <v>0.8</v>
      </c>
      <c r="U7882" s="8">
        <v>12.6</v>
      </c>
      <c r="V7882" s="8">
        <v>0.4</v>
      </c>
      <c r="W7882" s="8">
        <v>0.4</v>
      </c>
      <c r="Y7882" s="8" t="s">
        <v>17508</v>
      </c>
      <c r="Z7882" s="8" t="s">
        <v>17509</v>
      </c>
    </row>
    <row r="7883" spans="1:26" x14ac:dyDescent="0.2">
      <c r="A7883" s="8">
        <v>7882</v>
      </c>
      <c r="B7883" s="8" t="s">
        <v>34805</v>
      </c>
      <c r="C7883" s="8" t="s">
        <v>34805</v>
      </c>
      <c r="G7883" s="8">
        <v>20</v>
      </c>
      <c r="H7883" s="8" t="s">
        <v>21</v>
      </c>
      <c r="I7883" s="8" t="s">
        <v>22</v>
      </c>
      <c r="J7883" s="8" t="s">
        <v>22</v>
      </c>
      <c r="K7883" s="8" t="s">
        <v>64</v>
      </c>
      <c r="L7883" s="8" t="s">
        <v>125</v>
      </c>
      <c r="M7883" s="8" t="s">
        <v>126</v>
      </c>
      <c r="N7883" s="8" t="s">
        <v>34806</v>
      </c>
      <c r="O7883" s="8">
        <f>0+41/60+5.9/3600</f>
        <v>0.6849722222222222</v>
      </c>
      <c r="P7883" s="8" t="s">
        <v>34807</v>
      </c>
      <c r="Q7883" s="8">
        <f>-(15+25/60+42/3600)</f>
        <v>-15.428333333333333</v>
      </c>
      <c r="R7883" s="8">
        <v>14.8</v>
      </c>
      <c r="S7883" s="8">
        <v>15.5</v>
      </c>
      <c r="T7883" s="8">
        <v>0.7</v>
      </c>
      <c r="U7883" s="8">
        <v>13.3</v>
      </c>
      <c r="V7883" s="8">
        <v>0.7</v>
      </c>
      <c r="W7883" s="8">
        <v>0.4</v>
      </c>
      <c r="X7883" s="8">
        <v>45</v>
      </c>
      <c r="Y7883" s="8" t="s">
        <v>34808</v>
      </c>
      <c r="Z7883" s="8" t="s">
        <v>34809</v>
      </c>
    </row>
    <row r="7884" spans="1:26" x14ac:dyDescent="0.2">
      <c r="A7884" s="8">
        <v>7883</v>
      </c>
      <c r="B7884" s="8" t="s">
        <v>34810</v>
      </c>
      <c r="C7884" s="8" t="s">
        <v>34810</v>
      </c>
      <c r="G7884" s="8">
        <v>20</v>
      </c>
      <c r="H7884" s="8" t="s">
        <v>21</v>
      </c>
      <c r="I7884" s="8" t="s">
        <v>22</v>
      </c>
      <c r="J7884" s="8" t="s">
        <v>22</v>
      </c>
      <c r="K7884" s="8" t="s">
        <v>160</v>
      </c>
      <c r="L7884" s="8" t="s">
        <v>51</v>
      </c>
      <c r="M7884" s="8" t="s">
        <v>52</v>
      </c>
      <c r="N7884" s="8" t="s">
        <v>34811</v>
      </c>
      <c r="O7884" s="8">
        <f>0+42/60+22/3600</f>
        <v>0.70611111111111102</v>
      </c>
      <c r="P7884" s="8" t="s">
        <v>34812</v>
      </c>
      <c r="Q7884" s="8">
        <f>+(29+38/60+31/3600)</f>
        <v>29.641944444444444</v>
      </c>
      <c r="R7884" s="8">
        <v>13.2</v>
      </c>
      <c r="S7884" s="8">
        <v>13.9</v>
      </c>
      <c r="T7884" s="8">
        <v>0.7</v>
      </c>
      <c r="U7884" s="8">
        <v>14</v>
      </c>
      <c r="V7884" s="8">
        <v>1.6</v>
      </c>
      <c r="W7884" s="8">
        <v>1.4</v>
      </c>
      <c r="X7884" s="8">
        <v>117</v>
      </c>
      <c r="Y7884" s="8" t="s">
        <v>13176</v>
      </c>
      <c r="Z7884" s="8" t="s">
        <v>13177</v>
      </c>
    </row>
    <row r="7885" spans="1:26" x14ac:dyDescent="0.2">
      <c r="A7885" s="8">
        <v>7884</v>
      </c>
      <c r="B7885" s="8" t="s">
        <v>34813</v>
      </c>
      <c r="C7885" s="8" t="s">
        <v>34813</v>
      </c>
      <c r="G7885" s="8">
        <v>20</v>
      </c>
      <c r="H7885" s="8" t="s">
        <v>21</v>
      </c>
      <c r="I7885" s="8" t="s">
        <v>22</v>
      </c>
      <c r="J7885" s="8" t="s">
        <v>57</v>
      </c>
      <c r="K7885" s="8" t="s">
        <v>1157</v>
      </c>
      <c r="L7885" s="8" t="s">
        <v>125</v>
      </c>
      <c r="M7885" s="8" t="s">
        <v>126</v>
      </c>
      <c r="N7885" s="8" t="s">
        <v>1158</v>
      </c>
      <c r="O7885" s="8">
        <f>0+42/60+15.9/3600</f>
        <v>0.70441666666666658</v>
      </c>
      <c r="P7885" s="8" t="s">
        <v>1159</v>
      </c>
      <c r="Q7885" s="8">
        <f>+(0+50/60+46/3600)</f>
        <v>0.84611111111111115</v>
      </c>
      <c r="R7885" s="8">
        <v>13.2</v>
      </c>
      <c r="S7885" s="8">
        <v>14.1</v>
      </c>
      <c r="T7885" s="8">
        <v>0.9</v>
      </c>
      <c r="U7885" s="8">
        <v>13.2</v>
      </c>
      <c r="V7885" s="8">
        <v>1.3</v>
      </c>
      <c r="W7885" s="8">
        <v>0.9</v>
      </c>
      <c r="X7885" s="8">
        <v>62</v>
      </c>
      <c r="Y7885" s="8" t="s">
        <v>34814</v>
      </c>
      <c r="Z7885" s="8" t="s">
        <v>16728</v>
      </c>
    </row>
    <row r="7886" spans="1:26" x14ac:dyDescent="0.2">
      <c r="A7886" s="8">
        <v>7885</v>
      </c>
      <c r="B7886" s="8" t="s">
        <v>34815</v>
      </c>
      <c r="C7886" s="8" t="s">
        <v>34815</v>
      </c>
      <c r="G7886" s="8">
        <v>20</v>
      </c>
      <c r="H7886" s="8" t="s">
        <v>21</v>
      </c>
      <c r="I7886" s="8" t="s">
        <v>72</v>
      </c>
      <c r="J7886" s="8" t="s">
        <v>72</v>
      </c>
      <c r="K7886" s="8" t="s">
        <v>73</v>
      </c>
      <c r="L7886" s="8" t="s">
        <v>51</v>
      </c>
      <c r="M7886" s="8" t="s">
        <v>52</v>
      </c>
      <c r="N7886" s="8" t="s">
        <v>34816</v>
      </c>
      <c r="O7886" s="8">
        <f>0+42/60+36.5/3600</f>
        <v>0.71013888888888888</v>
      </c>
      <c r="P7886" s="8" t="s">
        <v>34817</v>
      </c>
      <c r="Q7886" s="8">
        <f>+(29+39/60+21/3600)</f>
        <v>29.65583333333333</v>
      </c>
      <c r="R7886" s="8">
        <v>99</v>
      </c>
      <c r="S7886" s="8">
        <v>99</v>
      </c>
      <c r="T7886" s="8">
        <v>99</v>
      </c>
      <c r="U7886" s="8">
        <v>99</v>
      </c>
      <c r="Y7886" s="8" t="s">
        <v>34695</v>
      </c>
      <c r="Z7886" s="8" t="s">
        <v>34818</v>
      </c>
    </row>
    <row r="7887" spans="1:26" x14ac:dyDescent="0.2">
      <c r="A7887" s="8">
        <v>7886</v>
      </c>
      <c r="B7887" s="8" t="s">
        <v>34819</v>
      </c>
      <c r="C7887" s="8" t="s">
        <v>34819</v>
      </c>
      <c r="G7887" s="8">
        <v>20</v>
      </c>
      <c r="H7887" s="8" t="s">
        <v>21</v>
      </c>
      <c r="I7887" s="8" t="s">
        <v>22</v>
      </c>
      <c r="J7887" s="8" t="s">
        <v>22</v>
      </c>
      <c r="K7887" s="8" t="s">
        <v>818</v>
      </c>
      <c r="L7887" s="8" t="s">
        <v>51</v>
      </c>
      <c r="M7887" s="8" t="s">
        <v>52</v>
      </c>
      <c r="N7887" s="8" t="s">
        <v>34820</v>
      </c>
      <c r="O7887" s="8">
        <f>0+42/60+57.9/3600</f>
        <v>0.71608333333333329</v>
      </c>
      <c r="P7887" s="8" t="s">
        <v>34821</v>
      </c>
      <c r="Q7887" s="8">
        <f>+(27+15/60+14/3600)</f>
        <v>27.253888888888888</v>
      </c>
      <c r="R7887" s="8">
        <v>13.9</v>
      </c>
      <c r="S7887" s="8">
        <v>14.9</v>
      </c>
      <c r="T7887" s="8">
        <v>1</v>
      </c>
      <c r="U7887" s="8">
        <v>12.3</v>
      </c>
      <c r="V7887" s="8">
        <v>0.6</v>
      </c>
      <c r="W7887" s="8">
        <v>0.5</v>
      </c>
      <c r="X7887" s="8">
        <v>87</v>
      </c>
      <c r="Y7887" s="8" t="s">
        <v>121</v>
      </c>
      <c r="Z7887" s="8" t="s">
        <v>122</v>
      </c>
    </row>
    <row r="7888" spans="1:26" x14ac:dyDescent="0.2">
      <c r="A7888" s="8">
        <v>7887</v>
      </c>
      <c r="B7888" s="8" t="s">
        <v>34822</v>
      </c>
      <c r="C7888" s="8" t="s">
        <v>34822</v>
      </c>
      <c r="G7888" s="8">
        <v>20</v>
      </c>
      <c r="H7888" s="8" t="s">
        <v>21</v>
      </c>
      <c r="I7888" s="8" t="s">
        <v>22</v>
      </c>
      <c r="J7888" s="8" t="s">
        <v>22</v>
      </c>
      <c r="K7888" s="8" t="s">
        <v>449</v>
      </c>
      <c r="L7888" s="8" t="s">
        <v>125</v>
      </c>
      <c r="M7888" s="8" t="s">
        <v>126</v>
      </c>
      <c r="N7888" s="8" t="s">
        <v>34823</v>
      </c>
      <c r="O7888" s="8">
        <f>0+42/60+54.9/3600</f>
        <v>0.71524999999999994</v>
      </c>
      <c r="P7888" s="8" t="s">
        <v>34824</v>
      </c>
      <c r="Q7888" s="8">
        <f>-(13+44/60+25/3600)</f>
        <v>-13.740277777777777</v>
      </c>
      <c r="R7888" s="8">
        <v>15.3</v>
      </c>
      <c r="S7888" s="8">
        <v>16.100000000000001</v>
      </c>
      <c r="T7888" s="8">
        <v>0.8</v>
      </c>
      <c r="U7888" s="8">
        <v>13.1</v>
      </c>
      <c r="V7888" s="8">
        <v>0.5</v>
      </c>
      <c r="W7888" s="8">
        <v>0.3</v>
      </c>
      <c r="X7888" s="8">
        <v>100</v>
      </c>
      <c r="Y7888" s="8" t="s">
        <v>34825</v>
      </c>
      <c r="Z7888" s="8" t="s">
        <v>34826</v>
      </c>
    </row>
    <row r="7889" spans="1:26" x14ac:dyDescent="0.2">
      <c r="A7889" s="8">
        <v>7888</v>
      </c>
      <c r="B7889" s="8" t="s">
        <v>34827</v>
      </c>
      <c r="C7889" s="8" t="s">
        <v>34827</v>
      </c>
      <c r="G7889" s="8">
        <v>20</v>
      </c>
      <c r="H7889" s="8" t="s">
        <v>21</v>
      </c>
      <c r="I7889" s="8" t="s">
        <v>22</v>
      </c>
      <c r="J7889" s="8" t="s">
        <v>22</v>
      </c>
      <c r="K7889" s="8" t="s">
        <v>37</v>
      </c>
      <c r="L7889" s="8" t="s">
        <v>125</v>
      </c>
      <c r="M7889" s="8" t="s">
        <v>126</v>
      </c>
      <c r="N7889" s="8" t="s">
        <v>34828</v>
      </c>
      <c r="O7889" s="8">
        <f>0+43/60+34.4/3600</f>
        <v>0.72622222222222221</v>
      </c>
      <c r="P7889" s="8" t="s">
        <v>34829</v>
      </c>
      <c r="Q7889" s="8">
        <f>-(8+11/60+8/3600)</f>
        <v>-8.1855555555555561</v>
      </c>
      <c r="R7889" s="8">
        <v>13.1</v>
      </c>
      <c r="S7889" s="8">
        <v>14</v>
      </c>
      <c r="T7889" s="8">
        <v>0.9</v>
      </c>
      <c r="U7889" s="8">
        <v>12.7</v>
      </c>
      <c r="V7889" s="8">
        <v>1</v>
      </c>
      <c r="W7889" s="8">
        <v>0.8</v>
      </c>
      <c r="X7889" s="8">
        <v>25</v>
      </c>
      <c r="Y7889" s="8" t="s">
        <v>34830</v>
      </c>
      <c r="Z7889" s="8" t="s">
        <v>34831</v>
      </c>
    </row>
    <row r="7890" spans="1:26" x14ac:dyDescent="0.2">
      <c r="A7890" s="8">
        <v>7889</v>
      </c>
      <c r="B7890" s="8" t="s">
        <v>34832</v>
      </c>
      <c r="C7890" s="8" t="s">
        <v>34832</v>
      </c>
      <c r="G7890" s="8">
        <v>20</v>
      </c>
      <c r="H7890" s="8" t="s">
        <v>21</v>
      </c>
      <c r="I7890" s="8" t="s">
        <v>22</v>
      </c>
      <c r="J7890" s="8" t="s">
        <v>22</v>
      </c>
      <c r="K7890" s="8" t="s">
        <v>160</v>
      </c>
      <c r="L7890" s="8" t="s">
        <v>125</v>
      </c>
      <c r="M7890" s="8" t="s">
        <v>126</v>
      </c>
      <c r="N7890" s="8" t="s">
        <v>34833</v>
      </c>
      <c r="O7890" s="8">
        <f>0+43/60+56.2/3600</f>
        <v>0.73227777777777781</v>
      </c>
      <c r="P7890" s="8" t="s">
        <v>34834</v>
      </c>
      <c r="Q7890" s="8">
        <f>+(1+51/60+2/3600)</f>
        <v>1.8505555555555557</v>
      </c>
      <c r="R7890" s="8">
        <v>13.7</v>
      </c>
      <c r="S7890" s="8">
        <v>14.2</v>
      </c>
      <c r="T7890" s="8">
        <v>0.5</v>
      </c>
      <c r="U7890" s="8">
        <v>14.3</v>
      </c>
      <c r="V7890" s="8">
        <v>1.5</v>
      </c>
      <c r="W7890" s="8">
        <v>1.3</v>
      </c>
      <c r="X7890" s="8">
        <v>95</v>
      </c>
      <c r="Y7890" s="8" t="s">
        <v>34835</v>
      </c>
      <c r="Z7890" s="8" t="s">
        <v>34836</v>
      </c>
    </row>
    <row r="7891" spans="1:26" x14ac:dyDescent="0.2">
      <c r="A7891" s="8">
        <v>7890</v>
      </c>
      <c r="B7891" s="8" t="s">
        <v>34837</v>
      </c>
      <c r="C7891" s="8" t="s">
        <v>34837</v>
      </c>
      <c r="G7891" s="8">
        <v>20</v>
      </c>
      <c r="H7891" s="8" t="s">
        <v>21</v>
      </c>
      <c r="I7891" s="8" t="s">
        <v>22</v>
      </c>
      <c r="J7891" s="8" t="s">
        <v>22</v>
      </c>
      <c r="K7891" s="8" t="s">
        <v>460</v>
      </c>
      <c r="L7891" s="8" t="s">
        <v>125</v>
      </c>
      <c r="M7891" s="8" t="s">
        <v>126</v>
      </c>
      <c r="N7891" s="8" t="s">
        <v>34838</v>
      </c>
      <c r="O7891" s="8">
        <f>0+46/60+5.7/3600</f>
        <v>0.7682500000000001</v>
      </c>
      <c r="P7891" s="8" t="s">
        <v>34839</v>
      </c>
      <c r="Q7891" s="8">
        <f>-(9+30/60+12/3600)</f>
        <v>-9.5033333333333339</v>
      </c>
      <c r="R7891" s="8">
        <v>14.1</v>
      </c>
      <c r="S7891" s="8">
        <v>15.1</v>
      </c>
      <c r="T7891" s="8">
        <v>1</v>
      </c>
      <c r="U7891" s="8">
        <v>13.4</v>
      </c>
      <c r="V7891" s="8">
        <v>0.7</v>
      </c>
      <c r="W7891" s="8">
        <v>0.7</v>
      </c>
      <c r="Y7891" s="8" t="s">
        <v>34840</v>
      </c>
      <c r="Z7891" s="8" t="s">
        <v>34841</v>
      </c>
    </row>
    <row r="7892" spans="1:26" x14ac:dyDescent="0.2">
      <c r="A7892" s="8">
        <v>7891</v>
      </c>
      <c r="B7892" s="8" t="s">
        <v>34842</v>
      </c>
      <c r="C7892" s="8" t="s">
        <v>34842</v>
      </c>
      <c r="G7892" s="8">
        <v>20</v>
      </c>
      <c r="H7892" s="8" t="s">
        <v>21</v>
      </c>
      <c r="I7892" s="8" t="s">
        <v>22</v>
      </c>
      <c r="J7892" s="8" t="s">
        <v>22</v>
      </c>
      <c r="K7892" s="8" t="s">
        <v>37</v>
      </c>
      <c r="L7892" s="8" t="s">
        <v>125</v>
      </c>
      <c r="M7892" s="8" t="s">
        <v>126</v>
      </c>
      <c r="N7892" s="8" t="s">
        <v>34843</v>
      </c>
      <c r="O7892" s="8">
        <f>0+46/60+24.2/3600</f>
        <v>0.7733888888888889</v>
      </c>
      <c r="P7892" s="8" t="s">
        <v>34844</v>
      </c>
      <c r="Q7892" s="8">
        <f>-(13+26/60+29/3600)</f>
        <v>-13.441388888888889</v>
      </c>
      <c r="R7892" s="8">
        <v>12.8</v>
      </c>
      <c r="S7892" s="8">
        <v>13.8</v>
      </c>
      <c r="T7892" s="8">
        <v>1</v>
      </c>
      <c r="U7892" s="8">
        <v>13.3</v>
      </c>
      <c r="V7892" s="8">
        <v>1.4</v>
      </c>
      <c r="W7892" s="8">
        <v>1.3</v>
      </c>
      <c r="X7892" s="8">
        <v>30</v>
      </c>
      <c r="Y7892" s="8" t="s">
        <v>34845</v>
      </c>
      <c r="Z7892" s="8" t="s">
        <v>34846</v>
      </c>
    </row>
    <row r="7893" spans="1:26" x14ac:dyDescent="0.2">
      <c r="A7893" s="8">
        <v>7892</v>
      </c>
      <c r="B7893" s="8" t="s">
        <v>34847</v>
      </c>
      <c r="C7893" s="8" t="s">
        <v>34847</v>
      </c>
      <c r="G7893" s="8">
        <v>20</v>
      </c>
      <c r="H7893" s="8" t="s">
        <v>21</v>
      </c>
      <c r="I7893" s="8" t="s">
        <v>22</v>
      </c>
      <c r="J7893" s="8" t="s">
        <v>22</v>
      </c>
      <c r="K7893" s="8" t="s">
        <v>476</v>
      </c>
      <c r="L7893" s="8" t="s">
        <v>38</v>
      </c>
      <c r="M7893" s="8" t="s">
        <v>39</v>
      </c>
      <c r="N7893" s="8" t="s">
        <v>34848</v>
      </c>
      <c r="O7893" s="8">
        <f>0+48/60+23.7/3600</f>
        <v>0.80658333333333343</v>
      </c>
      <c r="P7893" s="8" t="s">
        <v>34849</v>
      </c>
      <c r="Q7893" s="8">
        <f>+(4+5/60+31/3600)</f>
        <v>4.0919444444444437</v>
      </c>
      <c r="R7893" s="8">
        <v>14.5</v>
      </c>
      <c r="S7893" s="8">
        <v>15.3</v>
      </c>
      <c r="T7893" s="8">
        <v>0.8</v>
      </c>
      <c r="U7893" s="8">
        <v>13.4</v>
      </c>
      <c r="V7893" s="8">
        <v>1</v>
      </c>
      <c r="W7893" s="8">
        <v>0.4</v>
      </c>
      <c r="X7893" s="8">
        <v>97</v>
      </c>
      <c r="Y7893" s="8" t="s">
        <v>23575</v>
      </c>
      <c r="Z7893" s="8" t="s">
        <v>23576</v>
      </c>
    </row>
    <row r="7894" spans="1:26" x14ac:dyDescent="0.2">
      <c r="A7894" s="8">
        <v>7893</v>
      </c>
      <c r="B7894" s="8" t="s">
        <v>34850</v>
      </c>
      <c r="C7894" s="8" t="s">
        <v>34850</v>
      </c>
      <c r="G7894" s="8">
        <v>20</v>
      </c>
      <c r="H7894" s="8" t="s">
        <v>21</v>
      </c>
      <c r="I7894" s="8" t="s">
        <v>22</v>
      </c>
      <c r="J7894" s="8" t="s">
        <v>22</v>
      </c>
      <c r="K7894" s="8" t="s">
        <v>58</v>
      </c>
      <c r="L7894" s="8" t="s">
        <v>38</v>
      </c>
      <c r="M7894" s="8" t="s">
        <v>39</v>
      </c>
      <c r="N7894" s="8" t="s">
        <v>34851</v>
      </c>
      <c r="O7894" s="8">
        <f>0+50/60+40.7/3600</f>
        <v>0.84463888888888894</v>
      </c>
      <c r="P7894" s="8" t="s">
        <v>34852</v>
      </c>
      <c r="Q7894" s="8">
        <f>+(10+36/60+3/3600)</f>
        <v>10.600833333333332</v>
      </c>
      <c r="R7894" s="8">
        <v>13.9</v>
      </c>
      <c r="S7894" s="8">
        <v>14.9</v>
      </c>
      <c r="T7894" s="8">
        <v>1</v>
      </c>
      <c r="U7894" s="8">
        <v>12.3</v>
      </c>
      <c r="V7894" s="8">
        <v>0.5</v>
      </c>
      <c r="W7894" s="8">
        <v>0.5</v>
      </c>
      <c r="Y7894" s="8" t="s">
        <v>34853</v>
      </c>
      <c r="Z7894" s="8" t="s">
        <v>34854</v>
      </c>
    </row>
    <row r="7895" spans="1:26" x14ac:dyDescent="0.2">
      <c r="A7895" s="8">
        <v>7894</v>
      </c>
      <c r="B7895" s="8" t="s">
        <v>34855</v>
      </c>
      <c r="C7895" s="8" t="s">
        <v>34855</v>
      </c>
      <c r="G7895" s="8">
        <v>20</v>
      </c>
      <c r="H7895" s="8" t="s">
        <v>21</v>
      </c>
      <c r="I7895" s="8" t="s">
        <v>72</v>
      </c>
      <c r="J7895" s="8" t="s">
        <v>72</v>
      </c>
      <c r="K7895" s="8" t="s">
        <v>73</v>
      </c>
      <c r="L7895" s="8" t="s">
        <v>125</v>
      </c>
      <c r="M7895" s="8" t="s">
        <v>126</v>
      </c>
      <c r="N7895" s="8" t="s">
        <v>34856</v>
      </c>
      <c r="O7895" s="8">
        <f>0+50/60+46.8/3600</f>
        <v>0.84633333333333338</v>
      </c>
      <c r="P7895" s="8" t="s">
        <v>34857</v>
      </c>
      <c r="Q7895" s="8">
        <f>-(2+17/60+19/3600)</f>
        <v>-2.2886111111111109</v>
      </c>
      <c r="R7895" s="8">
        <v>99</v>
      </c>
      <c r="S7895" s="8">
        <v>99</v>
      </c>
      <c r="T7895" s="8">
        <v>99</v>
      </c>
      <c r="U7895" s="8">
        <v>99</v>
      </c>
      <c r="Y7895" s="8" t="s">
        <v>34858</v>
      </c>
      <c r="Z7895" s="8" t="s">
        <v>34859</v>
      </c>
    </row>
    <row r="7896" spans="1:26" x14ac:dyDescent="0.2">
      <c r="A7896" s="8">
        <v>7895</v>
      </c>
      <c r="B7896" s="8" t="s">
        <v>34860</v>
      </c>
      <c r="C7896" s="8" t="s">
        <v>34860</v>
      </c>
      <c r="G7896" s="8">
        <v>20</v>
      </c>
      <c r="H7896" s="8" t="s">
        <v>21</v>
      </c>
      <c r="I7896" s="8" t="s">
        <v>22</v>
      </c>
      <c r="J7896" s="8" t="s">
        <v>22</v>
      </c>
      <c r="K7896" s="8" t="s">
        <v>476</v>
      </c>
      <c r="L7896" s="8" t="s">
        <v>38</v>
      </c>
      <c r="M7896" s="8" t="s">
        <v>39</v>
      </c>
      <c r="N7896" s="8" t="s">
        <v>34861</v>
      </c>
      <c r="O7896" s="8">
        <f>0+51/60+42.3/3600</f>
        <v>0.86175000000000002</v>
      </c>
      <c r="P7896" s="8" t="s">
        <v>34862</v>
      </c>
      <c r="Q7896" s="8">
        <f>+(7+43/60+9/3600)</f>
        <v>7.7191666666666672</v>
      </c>
      <c r="R7896" s="8">
        <v>14.1</v>
      </c>
      <c r="S7896" s="8">
        <v>15</v>
      </c>
      <c r="T7896" s="8">
        <v>0.9</v>
      </c>
      <c r="U7896" s="8">
        <v>12.3</v>
      </c>
      <c r="V7896" s="8">
        <v>0.7</v>
      </c>
      <c r="W7896" s="8">
        <v>0.3</v>
      </c>
      <c r="X7896" s="8">
        <v>177</v>
      </c>
      <c r="Y7896" s="8" t="s">
        <v>34863</v>
      </c>
      <c r="Z7896" s="8" t="s">
        <v>34864</v>
      </c>
    </row>
    <row r="7897" spans="1:26" x14ac:dyDescent="0.2">
      <c r="A7897" s="8">
        <v>7896</v>
      </c>
      <c r="B7897" s="8" t="s">
        <v>34865</v>
      </c>
      <c r="C7897" s="8" t="s">
        <v>34865</v>
      </c>
      <c r="G7897" s="8">
        <v>20</v>
      </c>
      <c r="H7897" s="8" t="s">
        <v>21</v>
      </c>
      <c r="I7897" s="8" t="s">
        <v>22</v>
      </c>
      <c r="J7897" s="8" t="s">
        <v>22</v>
      </c>
      <c r="K7897" s="8" t="s">
        <v>160</v>
      </c>
      <c r="L7897" s="8" t="s">
        <v>125</v>
      </c>
      <c r="M7897" s="8" t="s">
        <v>126</v>
      </c>
      <c r="N7897" s="8" t="s">
        <v>34866</v>
      </c>
      <c r="O7897" s="8">
        <f>0+51/60+30/3600</f>
        <v>0.85833333333333328</v>
      </c>
      <c r="P7897" s="8" t="s">
        <v>34867</v>
      </c>
      <c r="Q7897" s="8">
        <f>-(12+50/60+40/3600)</f>
        <v>-12.844444444444445</v>
      </c>
      <c r="R7897" s="8">
        <v>14.3</v>
      </c>
      <c r="S7897" s="8">
        <v>15</v>
      </c>
      <c r="T7897" s="8">
        <v>0.7</v>
      </c>
      <c r="U7897" s="8">
        <v>13.2</v>
      </c>
      <c r="V7897" s="8">
        <v>0.7</v>
      </c>
      <c r="W7897" s="8">
        <v>0.6</v>
      </c>
      <c r="X7897" s="8">
        <v>9</v>
      </c>
      <c r="Y7897" s="8" t="s">
        <v>21497</v>
      </c>
      <c r="Z7897" s="8" t="s">
        <v>21498</v>
      </c>
    </row>
    <row r="7898" spans="1:26" x14ac:dyDescent="0.2">
      <c r="A7898" s="8">
        <v>7897</v>
      </c>
      <c r="B7898" s="8" t="s">
        <v>34868</v>
      </c>
      <c r="C7898" s="8" t="s">
        <v>34868</v>
      </c>
      <c r="G7898" s="8">
        <v>20</v>
      </c>
      <c r="H7898" s="8" t="s">
        <v>21</v>
      </c>
      <c r="I7898" s="8" t="s">
        <v>22</v>
      </c>
      <c r="J7898" s="8" t="s">
        <v>22</v>
      </c>
      <c r="K7898" s="8" t="s">
        <v>37</v>
      </c>
      <c r="L7898" s="8" t="s">
        <v>38</v>
      </c>
      <c r="M7898" s="8" t="s">
        <v>39</v>
      </c>
      <c r="N7898" s="8" t="s">
        <v>34869</v>
      </c>
      <c r="O7898" s="8">
        <f>0+54/60+48.4/3600</f>
        <v>0.9134444444444445</v>
      </c>
      <c r="P7898" s="8" t="s">
        <v>34870</v>
      </c>
      <c r="Q7898" s="8">
        <f>+(11+50/60+30/3600)</f>
        <v>11.841666666666667</v>
      </c>
      <c r="R7898" s="8">
        <v>14.5</v>
      </c>
      <c r="S7898" s="8">
        <v>15.5</v>
      </c>
      <c r="T7898" s="8">
        <v>1</v>
      </c>
      <c r="U7898" s="8">
        <v>13.6</v>
      </c>
      <c r="V7898" s="8">
        <v>0.7</v>
      </c>
      <c r="W7898" s="8">
        <v>0.7</v>
      </c>
      <c r="Y7898" s="8" t="s">
        <v>34871</v>
      </c>
      <c r="Z7898" s="8" t="s">
        <v>34872</v>
      </c>
    </row>
    <row r="7899" spans="1:26" x14ac:dyDescent="0.2">
      <c r="A7899" s="8">
        <v>7898</v>
      </c>
      <c r="B7899" s="8" t="s">
        <v>34873</v>
      </c>
      <c r="C7899" s="8" t="s">
        <v>34873</v>
      </c>
      <c r="G7899" s="8">
        <v>20</v>
      </c>
      <c r="H7899" s="8" t="s">
        <v>21</v>
      </c>
      <c r="I7899" s="8" t="s">
        <v>22</v>
      </c>
      <c r="J7899" s="8" t="s">
        <v>22</v>
      </c>
      <c r="K7899" s="8" t="s">
        <v>1068</v>
      </c>
      <c r="L7899" s="8" t="s">
        <v>125</v>
      </c>
      <c r="M7899" s="8" t="s">
        <v>126</v>
      </c>
      <c r="N7899" s="8" t="s">
        <v>34874</v>
      </c>
      <c r="O7899" s="8">
        <f>0+55/60+2.4/3600</f>
        <v>0.91733333333333333</v>
      </c>
      <c r="P7899" s="8" t="s">
        <v>34875</v>
      </c>
      <c r="Q7899" s="8">
        <f>-(13+40/60+39/3600)</f>
        <v>-13.6775</v>
      </c>
      <c r="R7899" s="8">
        <v>14.4</v>
      </c>
      <c r="S7899" s="8">
        <v>15.4</v>
      </c>
      <c r="T7899" s="8">
        <v>1</v>
      </c>
      <c r="U7899" s="8">
        <v>13.2</v>
      </c>
      <c r="V7899" s="8">
        <v>0.8</v>
      </c>
      <c r="W7899" s="8">
        <v>0.4</v>
      </c>
      <c r="X7899" s="8">
        <v>111</v>
      </c>
      <c r="Y7899" s="8" t="s">
        <v>34876</v>
      </c>
      <c r="Z7899" s="8" t="s">
        <v>34877</v>
      </c>
    </row>
    <row r="7900" spans="1:26" x14ac:dyDescent="0.2">
      <c r="A7900" s="8">
        <v>7899</v>
      </c>
      <c r="B7900" s="8" t="s">
        <v>34878</v>
      </c>
      <c r="C7900" s="8" t="s">
        <v>34878</v>
      </c>
      <c r="G7900" s="8">
        <v>12</v>
      </c>
      <c r="H7900" s="8" t="s">
        <v>34879</v>
      </c>
      <c r="I7900" s="8" t="s">
        <v>1283</v>
      </c>
      <c r="J7900" s="8" t="s">
        <v>1283</v>
      </c>
      <c r="K7900" s="8" t="s">
        <v>1284</v>
      </c>
      <c r="L7900" s="8" t="s">
        <v>559</v>
      </c>
      <c r="M7900" s="8" t="s">
        <v>560</v>
      </c>
      <c r="N7900" s="8" t="s">
        <v>34880</v>
      </c>
      <c r="O7900" s="8">
        <f>0+57/60+28.5/3600</f>
        <v>0.95791666666666664</v>
      </c>
      <c r="P7900" s="8" t="s">
        <v>34881</v>
      </c>
      <c r="Q7900" s="8">
        <f>+(61+8/60+37/3600)</f>
        <v>61.143611111111113</v>
      </c>
      <c r="R7900" s="8">
        <v>99</v>
      </c>
      <c r="S7900" s="8">
        <v>99</v>
      </c>
      <c r="T7900" s="8">
        <v>99</v>
      </c>
      <c r="U7900" s="8">
        <v>99</v>
      </c>
      <c r="V7900" s="8">
        <v>10</v>
      </c>
      <c r="W7900" s="8">
        <v>5</v>
      </c>
      <c r="Y7900" s="8" t="s">
        <v>34882</v>
      </c>
      <c r="Z7900" s="8" t="s">
        <v>34883</v>
      </c>
    </row>
    <row r="7901" spans="1:26" x14ac:dyDescent="0.2">
      <c r="A7901" s="8">
        <v>7900</v>
      </c>
      <c r="B7901" s="8" t="s">
        <v>34884</v>
      </c>
      <c r="C7901" s="8" t="s">
        <v>34884</v>
      </c>
      <c r="G7901" s="8">
        <v>20</v>
      </c>
      <c r="H7901" s="8" t="s">
        <v>21</v>
      </c>
      <c r="I7901" s="8" t="s">
        <v>22</v>
      </c>
      <c r="J7901" s="8" t="s">
        <v>22</v>
      </c>
      <c r="K7901" s="8" t="s">
        <v>449</v>
      </c>
      <c r="L7901" s="8" t="s">
        <v>125</v>
      </c>
      <c r="M7901" s="8" t="s">
        <v>126</v>
      </c>
      <c r="N7901" s="8" t="s">
        <v>34885</v>
      </c>
      <c r="O7901" s="8">
        <f>0+56/60+4.2/3600</f>
        <v>0.9345</v>
      </c>
      <c r="P7901" s="8" t="s">
        <v>34886</v>
      </c>
      <c r="Q7901" s="8">
        <f>-(13+21/60+27/3600)</f>
        <v>-13.3575</v>
      </c>
      <c r="R7901" s="8">
        <v>14.5</v>
      </c>
      <c r="S7901" s="8">
        <v>15.3</v>
      </c>
      <c r="T7901" s="8">
        <v>0.8</v>
      </c>
      <c r="U7901" s="8">
        <v>13.4</v>
      </c>
      <c r="V7901" s="8">
        <v>0.5</v>
      </c>
      <c r="W7901" s="8">
        <v>0.4</v>
      </c>
      <c r="X7901" s="8">
        <v>60</v>
      </c>
      <c r="Y7901" s="8" t="s">
        <v>34887</v>
      </c>
      <c r="Z7901" s="8" t="s">
        <v>34888</v>
      </c>
    </row>
    <row r="7902" spans="1:26" x14ac:dyDescent="0.2">
      <c r="A7902" s="8">
        <v>7901</v>
      </c>
      <c r="B7902" s="8" t="s">
        <v>34889</v>
      </c>
      <c r="C7902" s="8" t="s">
        <v>34889</v>
      </c>
      <c r="G7902" s="8">
        <v>20</v>
      </c>
      <c r="H7902" s="8" t="s">
        <v>21</v>
      </c>
      <c r="I7902" s="8" t="s">
        <v>22</v>
      </c>
      <c r="J7902" s="8" t="s">
        <v>22</v>
      </c>
      <c r="K7902" s="8" t="s">
        <v>424</v>
      </c>
      <c r="L7902" s="8" t="s">
        <v>38</v>
      </c>
      <c r="M7902" s="8" t="s">
        <v>39</v>
      </c>
      <c r="N7902" s="8" t="s">
        <v>34890</v>
      </c>
      <c r="O7902" s="8">
        <f>0+57/60+7.2/3600</f>
        <v>0.95199999999999996</v>
      </c>
      <c r="P7902" s="8" t="s">
        <v>34891</v>
      </c>
      <c r="Q7902" s="8">
        <f>+(7+30/60+26/3600)</f>
        <v>7.5072222222222225</v>
      </c>
      <c r="R7902" s="8">
        <v>13.9</v>
      </c>
      <c r="S7902" s="8">
        <v>14.9</v>
      </c>
      <c r="T7902" s="8">
        <v>1</v>
      </c>
      <c r="U7902" s="8">
        <v>13.7</v>
      </c>
      <c r="V7902" s="8">
        <v>1.2</v>
      </c>
      <c r="W7902" s="8">
        <v>0.8</v>
      </c>
      <c r="X7902" s="8">
        <v>174</v>
      </c>
      <c r="Y7902" s="8" t="s">
        <v>34892</v>
      </c>
      <c r="Z7902" s="8" t="s">
        <v>34893</v>
      </c>
    </row>
    <row r="7903" spans="1:26" x14ac:dyDescent="0.2">
      <c r="A7903" s="8">
        <v>7902</v>
      </c>
      <c r="B7903" s="8" t="s">
        <v>34894</v>
      </c>
      <c r="C7903" s="8" t="s">
        <v>34894</v>
      </c>
      <c r="G7903" s="8">
        <v>20</v>
      </c>
      <c r="H7903" s="8" t="s">
        <v>21</v>
      </c>
      <c r="I7903" s="8" t="s">
        <v>22</v>
      </c>
      <c r="J7903" s="8" t="s">
        <v>22</v>
      </c>
      <c r="K7903" s="8" t="s">
        <v>449</v>
      </c>
      <c r="L7903" s="8" t="s">
        <v>38</v>
      </c>
      <c r="M7903" s="8" t="s">
        <v>39</v>
      </c>
      <c r="N7903" s="8" t="s">
        <v>34895</v>
      </c>
      <c r="O7903" s="8">
        <f>0+58/60+44/3600</f>
        <v>0.97888888888888892</v>
      </c>
      <c r="P7903" s="8" t="s">
        <v>34896</v>
      </c>
      <c r="Q7903" s="8">
        <f>+(11+48/60+30/3600)</f>
        <v>11.808333333333334</v>
      </c>
      <c r="R7903" s="8">
        <v>14.1</v>
      </c>
      <c r="S7903" s="8">
        <v>15</v>
      </c>
      <c r="T7903" s="8">
        <v>0.9</v>
      </c>
      <c r="U7903" s="8">
        <v>13.3</v>
      </c>
      <c r="V7903" s="8">
        <v>0.9</v>
      </c>
      <c r="W7903" s="8">
        <v>0.6</v>
      </c>
      <c r="X7903" s="8">
        <v>25</v>
      </c>
      <c r="Y7903" s="8" t="s">
        <v>34897</v>
      </c>
      <c r="Z7903" s="8" t="s">
        <v>34898</v>
      </c>
    </row>
    <row r="7904" spans="1:26" x14ac:dyDescent="0.2">
      <c r="A7904" s="8">
        <v>7903</v>
      </c>
      <c r="B7904" s="8" t="s">
        <v>34899</v>
      </c>
      <c r="C7904" s="8" t="s">
        <v>34899</v>
      </c>
      <c r="G7904" s="8">
        <v>12</v>
      </c>
      <c r="H7904" s="8" t="s">
        <v>34879</v>
      </c>
      <c r="I7904" s="8" t="s">
        <v>1283</v>
      </c>
      <c r="J7904" s="8" t="s">
        <v>1283</v>
      </c>
      <c r="K7904" s="8" t="s">
        <v>1284</v>
      </c>
      <c r="L7904" s="8" t="s">
        <v>559</v>
      </c>
      <c r="M7904" s="8" t="s">
        <v>560</v>
      </c>
      <c r="N7904" s="8" t="s">
        <v>34900</v>
      </c>
      <c r="O7904" s="8">
        <f>0+59/60+29/3600</f>
        <v>0.99138888888888888</v>
      </c>
      <c r="P7904" s="8" t="s">
        <v>34901</v>
      </c>
      <c r="Q7904" s="8">
        <f>+(60+54/60+40/3600)</f>
        <v>60.911111111111111</v>
      </c>
      <c r="R7904" s="8">
        <v>99</v>
      </c>
      <c r="S7904" s="8">
        <v>99</v>
      </c>
      <c r="T7904" s="8">
        <v>99</v>
      </c>
      <c r="U7904" s="8">
        <v>99</v>
      </c>
      <c r="V7904" s="8">
        <v>10</v>
      </c>
      <c r="W7904" s="8">
        <v>3</v>
      </c>
      <c r="Y7904" s="8" t="s">
        <v>34902</v>
      </c>
      <c r="Z7904" s="8" t="s">
        <v>34903</v>
      </c>
    </row>
    <row r="7905" spans="1:26" x14ac:dyDescent="0.2">
      <c r="A7905" s="8">
        <v>7904</v>
      </c>
      <c r="B7905" s="8" t="s">
        <v>34904</v>
      </c>
      <c r="C7905" s="8" t="s">
        <v>34904</v>
      </c>
      <c r="G7905" s="8">
        <v>20</v>
      </c>
      <c r="H7905" s="8" t="s">
        <v>21</v>
      </c>
      <c r="I7905" s="8" t="s">
        <v>22</v>
      </c>
      <c r="J7905" s="8" t="s">
        <v>22</v>
      </c>
      <c r="K7905" s="8" t="s">
        <v>58</v>
      </c>
      <c r="L7905" s="8" t="s">
        <v>38</v>
      </c>
      <c r="M7905" s="8" t="s">
        <v>39</v>
      </c>
      <c r="N7905" s="8" t="s">
        <v>34905</v>
      </c>
      <c r="O7905" s="8">
        <f>0+59/60+24.4/3600</f>
        <v>0.99011111111111105</v>
      </c>
      <c r="P7905" s="8" t="s">
        <v>34906</v>
      </c>
      <c r="Q7905" s="8">
        <f>+(27+3/60+34/3600)</f>
        <v>27.059444444444445</v>
      </c>
      <c r="R7905" s="8">
        <v>14</v>
      </c>
      <c r="S7905" s="8">
        <v>15</v>
      </c>
      <c r="T7905" s="8">
        <v>1</v>
      </c>
      <c r="U7905" s="8">
        <v>13.8</v>
      </c>
      <c r="V7905" s="8">
        <v>1.1000000000000001</v>
      </c>
      <c r="W7905" s="8">
        <v>0.7</v>
      </c>
      <c r="X7905" s="8">
        <v>147</v>
      </c>
      <c r="Y7905" s="8" t="s">
        <v>15498</v>
      </c>
      <c r="Z7905" s="8" t="s">
        <v>15499</v>
      </c>
    </row>
    <row r="7906" spans="1:26" x14ac:dyDescent="0.2">
      <c r="A7906" s="8">
        <v>7905</v>
      </c>
      <c r="B7906" s="8" t="s">
        <v>34907</v>
      </c>
      <c r="C7906" s="8" t="s">
        <v>34907</v>
      </c>
      <c r="G7906" s="8">
        <v>20</v>
      </c>
      <c r="H7906" s="8" t="s">
        <v>21</v>
      </c>
      <c r="I7906" s="8" t="s">
        <v>22</v>
      </c>
      <c r="J7906" s="8" t="s">
        <v>22</v>
      </c>
      <c r="K7906" s="8" t="s">
        <v>85</v>
      </c>
      <c r="L7906" s="8" t="s">
        <v>51</v>
      </c>
      <c r="M7906" s="8" t="s">
        <v>52</v>
      </c>
      <c r="N7906" s="8" t="s">
        <v>34908</v>
      </c>
      <c r="O7906" s="8">
        <f>1+0/60+55.3/3600</f>
        <v>1.0153611111111112</v>
      </c>
      <c r="P7906" s="8" t="s">
        <v>34909</v>
      </c>
      <c r="Q7906" s="8">
        <f>+(47+40/60+54/3600)</f>
        <v>47.681666666666665</v>
      </c>
      <c r="R7906" s="8">
        <v>12.9</v>
      </c>
      <c r="S7906" s="8">
        <v>13.5</v>
      </c>
      <c r="T7906" s="8">
        <v>0.6</v>
      </c>
      <c r="U7906" s="8">
        <v>13.9</v>
      </c>
      <c r="V7906" s="8">
        <v>3</v>
      </c>
      <c r="W7906" s="8">
        <v>0.9</v>
      </c>
      <c r="X7906" s="8">
        <v>155</v>
      </c>
      <c r="Y7906" s="8" t="s">
        <v>34910</v>
      </c>
      <c r="Z7906" s="8" t="s">
        <v>34911</v>
      </c>
    </row>
    <row r="7907" spans="1:26" x14ac:dyDescent="0.2">
      <c r="A7907" s="8">
        <v>7906</v>
      </c>
      <c r="B7907" s="8" t="s">
        <v>34912</v>
      </c>
      <c r="C7907" s="8" t="s">
        <v>34912</v>
      </c>
      <c r="G7907" s="8">
        <v>20</v>
      </c>
      <c r="H7907" s="8" t="s">
        <v>21</v>
      </c>
      <c r="I7907" s="8" t="s">
        <v>22</v>
      </c>
      <c r="J7907" s="8" t="s">
        <v>22</v>
      </c>
      <c r="K7907" s="8" t="s">
        <v>91</v>
      </c>
      <c r="L7907" s="8" t="s">
        <v>38</v>
      </c>
      <c r="M7907" s="8" t="s">
        <v>39</v>
      </c>
      <c r="N7907" s="8" t="s">
        <v>34913</v>
      </c>
      <c r="O7907" s="8">
        <f>1+0/60+32.4/3600</f>
        <v>1.0089999999999999</v>
      </c>
      <c r="P7907" s="8" t="s">
        <v>34914</v>
      </c>
      <c r="Q7907" s="8">
        <f>+(30+47/60+48/3600)</f>
        <v>30.796666666666667</v>
      </c>
      <c r="R7907" s="8">
        <v>14.1</v>
      </c>
      <c r="S7907" s="8">
        <v>14.9</v>
      </c>
      <c r="T7907" s="8">
        <v>0.8</v>
      </c>
      <c r="U7907" s="8">
        <v>13.1</v>
      </c>
      <c r="V7907" s="8">
        <v>1.2</v>
      </c>
      <c r="W7907" s="8">
        <v>0.5</v>
      </c>
      <c r="X7907" s="8">
        <v>125</v>
      </c>
      <c r="Y7907" s="8" t="s">
        <v>34915</v>
      </c>
      <c r="Z7907" s="8" t="s">
        <v>34916</v>
      </c>
    </row>
    <row r="7908" spans="1:26" x14ac:dyDescent="0.2">
      <c r="A7908" s="8">
        <v>7907</v>
      </c>
      <c r="B7908" s="8" t="s">
        <v>34917</v>
      </c>
      <c r="C7908" s="8" t="s">
        <v>34917</v>
      </c>
      <c r="G7908" s="8">
        <v>20</v>
      </c>
      <c r="H7908" s="8" t="s">
        <v>21</v>
      </c>
      <c r="I7908" s="8" t="s">
        <v>329</v>
      </c>
      <c r="J7908" s="8" t="s">
        <v>329</v>
      </c>
      <c r="K7908" s="8" t="s">
        <v>329</v>
      </c>
      <c r="L7908" s="8" t="s">
        <v>125</v>
      </c>
      <c r="M7908" s="8" t="s">
        <v>126</v>
      </c>
      <c r="N7908" s="8" t="s">
        <v>34918</v>
      </c>
      <c r="O7908" s="8">
        <f>1+0/60+17.6/3600</f>
        <v>1.0048888888888889</v>
      </c>
      <c r="P7908" s="8" t="s">
        <v>34919</v>
      </c>
      <c r="Q7908" s="8">
        <f>-(6+54/60+39/3600)</f>
        <v>-6.9108333333333336</v>
      </c>
      <c r="R7908" s="8">
        <v>99</v>
      </c>
      <c r="S7908" s="8">
        <v>99</v>
      </c>
      <c r="T7908" s="8">
        <v>99</v>
      </c>
      <c r="U7908" s="8">
        <v>99</v>
      </c>
      <c r="Y7908" s="8" t="s">
        <v>34920</v>
      </c>
      <c r="Z7908" s="8" t="s">
        <v>34921</v>
      </c>
    </row>
    <row r="7909" spans="1:26" x14ac:dyDescent="0.2">
      <c r="A7909" s="8">
        <v>7908</v>
      </c>
      <c r="B7909" s="8" t="s">
        <v>34922</v>
      </c>
      <c r="C7909" s="8" t="s">
        <v>34922</v>
      </c>
      <c r="G7909" s="8">
        <v>20</v>
      </c>
      <c r="H7909" s="8" t="s">
        <v>21</v>
      </c>
      <c r="I7909" s="8" t="s">
        <v>329</v>
      </c>
      <c r="J7909" s="8" t="s">
        <v>329</v>
      </c>
      <c r="K7909" s="8" t="s">
        <v>329</v>
      </c>
      <c r="L7909" s="8" t="s">
        <v>125</v>
      </c>
      <c r="M7909" s="8" t="s">
        <v>126</v>
      </c>
      <c r="N7909" s="8" t="s">
        <v>34923</v>
      </c>
      <c r="O7909" s="8">
        <f>1+0/60+21.6/3600</f>
        <v>1.006</v>
      </c>
      <c r="P7909" s="8" t="s">
        <v>34924</v>
      </c>
      <c r="Q7909" s="8">
        <f>-(6+56/60+39/3600)</f>
        <v>-6.9441666666666668</v>
      </c>
      <c r="R7909" s="8">
        <v>99</v>
      </c>
      <c r="S7909" s="8">
        <v>99</v>
      </c>
      <c r="T7909" s="8">
        <v>99</v>
      </c>
      <c r="U7909" s="8">
        <v>99</v>
      </c>
      <c r="Y7909" s="8" t="s">
        <v>34920</v>
      </c>
      <c r="Z7909" s="8" t="s">
        <v>34921</v>
      </c>
    </row>
    <row r="7910" spans="1:26" x14ac:dyDescent="0.2">
      <c r="A7910" s="8">
        <v>7909</v>
      </c>
      <c r="B7910" s="8" t="s">
        <v>34925</v>
      </c>
      <c r="C7910" s="8" t="s">
        <v>34925</v>
      </c>
      <c r="G7910" s="8">
        <v>20</v>
      </c>
      <c r="H7910" s="8" t="s">
        <v>21</v>
      </c>
      <c r="I7910" s="8" t="s">
        <v>22</v>
      </c>
      <c r="J7910" s="8" t="s">
        <v>22</v>
      </c>
      <c r="K7910" s="8" t="s">
        <v>396</v>
      </c>
      <c r="L7910" s="8" t="s">
        <v>38</v>
      </c>
      <c r="M7910" s="8" t="s">
        <v>39</v>
      </c>
      <c r="N7910" s="8" t="s">
        <v>34926</v>
      </c>
      <c r="O7910" s="8">
        <f>1+1/60+23.6/3600</f>
        <v>1.0232222222222223</v>
      </c>
      <c r="P7910" s="8" t="s">
        <v>34927</v>
      </c>
      <c r="Q7910" s="8">
        <f>+(31+2/60+28/3600)</f>
        <v>31.041111111111114</v>
      </c>
      <c r="R7910" s="8">
        <v>13.7</v>
      </c>
      <c r="S7910" s="8">
        <v>14.5</v>
      </c>
      <c r="T7910" s="8">
        <v>0.8</v>
      </c>
      <c r="U7910" s="8">
        <v>13.2</v>
      </c>
      <c r="V7910" s="8">
        <v>0.9</v>
      </c>
      <c r="W7910" s="8">
        <v>0.8</v>
      </c>
      <c r="X7910" s="8">
        <v>66</v>
      </c>
      <c r="Y7910" s="8" t="s">
        <v>735</v>
      </c>
      <c r="Z7910" s="8" t="s">
        <v>736</v>
      </c>
    </row>
    <row r="7911" spans="1:26" x14ac:dyDescent="0.2">
      <c r="A7911" s="8">
        <v>7910</v>
      </c>
      <c r="B7911" s="8" t="s">
        <v>34928</v>
      </c>
      <c r="C7911" s="8" t="s">
        <v>34928</v>
      </c>
      <c r="G7911" s="8">
        <v>20</v>
      </c>
      <c r="H7911" s="8" t="s">
        <v>21</v>
      </c>
      <c r="I7911" s="8" t="s">
        <v>22</v>
      </c>
      <c r="J7911" s="8" t="s">
        <v>22</v>
      </c>
      <c r="K7911" s="8" t="s">
        <v>449</v>
      </c>
      <c r="L7911" s="8" t="s">
        <v>125</v>
      </c>
      <c r="M7911" s="8" t="s">
        <v>126</v>
      </c>
      <c r="N7911" s="8" t="s">
        <v>34929</v>
      </c>
      <c r="O7911" s="8">
        <f>1+1/60+3.9/3600</f>
        <v>1.0177499999999999</v>
      </c>
      <c r="P7911" s="8" t="s">
        <v>34930</v>
      </c>
      <c r="Q7911" s="8">
        <f>+(0+3/60+5/3600)</f>
        <v>5.1388888888888894E-2</v>
      </c>
      <c r="R7911" s="8">
        <v>16.3</v>
      </c>
      <c r="S7911" s="8">
        <v>17.100000000000001</v>
      </c>
      <c r="T7911" s="8">
        <v>0.8</v>
      </c>
      <c r="U7911" s="8">
        <v>13.1</v>
      </c>
      <c r="V7911" s="8">
        <v>0.3</v>
      </c>
      <c r="W7911" s="8">
        <v>0.2</v>
      </c>
      <c r="X7911" s="8">
        <v>140</v>
      </c>
      <c r="Y7911" s="8" t="s">
        <v>27526</v>
      </c>
      <c r="Z7911" s="8" t="s">
        <v>22882</v>
      </c>
    </row>
    <row r="7912" spans="1:26" x14ac:dyDescent="0.2">
      <c r="A7912" s="8">
        <v>7911</v>
      </c>
      <c r="B7912" s="8" t="s">
        <v>34931</v>
      </c>
      <c r="C7912" s="8" t="s">
        <v>34931</v>
      </c>
      <c r="G7912" s="8">
        <v>20</v>
      </c>
      <c r="H7912" s="8" t="s">
        <v>21</v>
      </c>
      <c r="I7912" s="8" t="s">
        <v>329</v>
      </c>
      <c r="J7912" s="8" t="s">
        <v>329</v>
      </c>
      <c r="K7912" s="8" t="s">
        <v>329</v>
      </c>
      <c r="L7912" s="8" t="s">
        <v>125</v>
      </c>
      <c r="M7912" s="8" t="s">
        <v>126</v>
      </c>
      <c r="N7912" s="8" t="s">
        <v>34932</v>
      </c>
      <c r="O7912" s="8">
        <f>1+1/60+19.2/3600</f>
        <v>1.022</v>
      </c>
      <c r="P7912" s="8" t="s">
        <v>34933</v>
      </c>
      <c r="Q7912" s="8">
        <f>-(6+46/60+2/3600)</f>
        <v>-6.7672222222222222</v>
      </c>
      <c r="R7912" s="8">
        <v>99</v>
      </c>
      <c r="S7912" s="8">
        <v>99</v>
      </c>
      <c r="T7912" s="8">
        <v>99</v>
      </c>
      <c r="U7912" s="8">
        <v>99</v>
      </c>
      <c r="Y7912" s="8" t="s">
        <v>34920</v>
      </c>
      <c r="Z7912" s="8" t="s">
        <v>34921</v>
      </c>
    </row>
    <row r="7913" spans="1:26" x14ac:dyDescent="0.2">
      <c r="A7913" s="8">
        <v>7912</v>
      </c>
      <c r="B7913" s="8" t="s">
        <v>34934</v>
      </c>
      <c r="C7913" s="8" t="s">
        <v>34934</v>
      </c>
      <c r="G7913" s="8">
        <v>20</v>
      </c>
      <c r="H7913" s="8" t="s">
        <v>21</v>
      </c>
      <c r="I7913" s="8" t="s">
        <v>329</v>
      </c>
      <c r="J7913" s="8" t="s">
        <v>329</v>
      </c>
      <c r="K7913" s="8" t="s">
        <v>329</v>
      </c>
      <c r="L7913" s="8" t="s">
        <v>125</v>
      </c>
      <c r="M7913" s="8" t="s">
        <v>126</v>
      </c>
      <c r="N7913" s="8" t="s">
        <v>34935</v>
      </c>
      <c r="O7913" s="8">
        <f>1+1/60+34.6/3600</f>
        <v>1.0262777777777776</v>
      </c>
      <c r="P7913" s="8" t="s">
        <v>34936</v>
      </c>
      <c r="Q7913" s="8">
        <f>-(6+46/60+41/3600)</f>
        <v>-6.7780555555555555</v>
      </c>
      <c r="R7913" s="8">
        <v>99</v>
      </c>
      <c r="S7913" s="8">
        <v>99</v>
      </c>
      <c r="T7913" s="8">
        <v>99</v>
      </c>
      <c r="U7913" s="8">
        <v>99</v>
      </c>
      <c r="Y7913" s="8" t="s">
        <v>34937</v>
      </c>
      <c r="Z7913" s="8" t="s">
        <v>34938</v>
      </c>
    </row>
    <row r="7914" spans="1:26" x14ac:dyDescent="0.2">
      <c r="A7914" s="8">
        <v>7913</v>
      </c>
      <c r="B7914" s="8" t="s">
        <v>34939</v>
      </c>
      <c r="C7914" s="8" t="s">
        <v>34939</v>
      </c>
      <c r="G7914" s="8">
        <v>20</v>
      </c>
      <c r="H7914" s="8" t="s">
        <v>21</v>
      </c>
      <c r="I7914" s="8" t="s">
        <v>22</v>
      </c>
      <c r="J7914" s="8" t="s">
        <v>22</v>
      </c>
      <c r="K7914" s="8" t="s">
        <v>449</v>
      </c>
      <c r="L7914" s="8" t="s">
        <v>38</v>
      </c>
      <c r="M7914" s="8" t="s">
        <v>39</v>
      </c>
      <c r="N7914" s="8" t="s">
        <v>34940</v>
      </c>
      <c r="O7914" s="8">
        <f>1+4/60+53.1/3600</f>
        <v>1.0814166666666667</v>
      </c>
      <c r="P7914" s="8" t="s">
        <v>34941</v>
      </c>
      <c r="Q7914" s="8">
        <f>+(4+46/60+2/3600)</f>
        <v>4.7672222222222222</v>
      </c>
      <c r="R7914" s="8">
        <v>14.6</v>
      </c>
      <c r="S7914" s="8">
        <v>15.4</v>
      </c>
      <c r="T7914" s="8">
        <v>0.8</v>
      </c>
      <c r="U7914" s="8">
        <v>13.6</v>
      </c>
      <c r="V7914" s="8">
        <v>0.9</v>
      </c>
      <c r="W7914" s="8">
        <v>0.5</v>
      </c>
      <c r="X7914" s="8">
        <v>160</v>
      </c>
      <c r="Y7914" s="8" t="s">
        <v>34897</v>
      </c>
      <c r="Z7914" s="8" t="s">
        <v>34898</v>
      </c>
    </row>
    <row r="7915" spans="1:26" x14ac:dyDescent="0.2">
      <c r="A7915" s="8">
        <v>7914</v>
      </c>
      <c r="B7915" s="8" t="s">
        <v>34942</v>
      </c>
      <c r="C7915" s="8" t="s">
        <v>34942</v>
      </c>
      <c r="G7915" s="8">
        <v>20</v>
      </c>
      <c r="H7915" s="8" t="s">
        <v>21</v>
      </c>
      <c r="I7915" s="8" t="s">
        <v>22</v>
      </c>
      <c r="J7915" s="8" t="s">
        <v>22</v>
      </c>
      <c r="K7915" s="8" t="s">
        <v>818</v>
      </c>
      <c r="L7915" s="8" t="s">
        <v>38</v>
      </c>
      <c r="M7915" s="8" t="s">
        <v>39</v>
      </c>
      <c r="N7915" s="8" t="s">
        <v>34943</v>
      </c>
      <c r="O7915" s="8">
        <f>1+5/60+55.9/3600</f>
        <v>1.0988611111111111</v>
      </c>
      <c r="P7915" s="8" t="s">
        <v>34944</v>
      </c>
      <c r="Q7915" s="8">
        <f>+(4+5/60+27/3600)</f>
        <v>4.0908333333333333</v>
      </c>
      <c r="R7915" s="8">
        <v>14.8</v>
      </c>
      <c r="S7915" s="8">
        <v>15.8</v>
      </c>
      <c r="T7915" s="8">
        <v>1</v>
      </c>
      <c r="U7915" s="8">
        <v>12.6</v>
      </c>
      <c r="V7915" s="8">
        <v>0.4</v>
      </c>
      <c r="W7915" s="8">
        <v>0.3</v>
      </c>
      <c r="X7915" s="8">
        <v>15</v>
      </c>
      <c r="Y7915" s="8" t="s">
        <v>12012</v>
      </c>
      <c r="Z7915" s="8" t="s">
        <v>12013</v>
      </c>
    </row>
    <row r="7916" spans="1:26" x14ac:dyDescent="0.2">
      <c r="A7916" s="8">
        <v>7915</v>
      </c>
      <c r="B7916" s="8" t="s">
        <v>34945</v>
      </c>
      <c r="C7916" s="8" t="s">
        <v>34945</v>
      </c>
      <c r="G7916" s="8">
        <v>20</v>
      </c>
      <c r="H7916" s="8" t="s">
        <v>21</v>
      </c>
      <c r="I7916" s="8" t="s">
        <v>22</v>
      </c>
      <c r="J7916" s="8" t="s">
        <v>22</v>
      </c>
      <c r="K7916" s="8" t="s">
        <v>23</v>
      </c>
      <c r="L7916" s="8" t="s">
        <v>38</v>
      </c>
      <c r="M7916" s="8" t="s">
        <v>39</v>
      </c>
      <c r="N7916" s="8" t="s">
        <v>34946</v>
      </c>
      <c r="O7916" s="8">
        <f>1+7/60+11.5/3600</f>
        <v>1.1198611111111112</v>
      </c>
      <c r="P7916" s="8" t="s">
        <v>34947</v>
      </c>
      <c r="Q7916" s="8">
        <f>+(10+50/60+14/3600)</f>
        <v>10.837222222222223</v>
      </c>
      <c r="R7916" s="8">
        <v>13.9</v>
      </c>
      <c r="S7916" s="8">
        <v>14.7</v>
      </c>
      <c r="T7916" s="8">
        <v>0.8</v>
      </c>
      <c r="U7916" s="8">
        <v>14</v>
      </c>
      <c r="V7916" s="8">
        <v>1.3</v>
      </c>
      <c r="W7916" s="8">
        <v>1</v>
      </c>
      <c r="X7916" s="8">
        <v>30</v>
      </c>
      <c r="Y7916" s="8" t="s">
        <v>34948</v>
      </c>
      <c r="Z7916" s="8" t="s">
        <v>34949</v>
      </c>
    </row>
    <row r="7917" spans="1:26" x14ac:dyDescent="0.2">
      <c r="A7917" s="8">
        <v>7916</v>
      </c>
      <c r="B7917" s="8" t="s">
        <v>34950</v>
      </c>
      <c r="C7917" s="8" t="s">
        <v>34950</v>
      </c>
      <c r="G7917" s="8">
        <v>20</v>
      </c>
      <c r="H7917" s="8" t="s">
        <v>21</v>
      </c>
      <c r="I7917" s="8" t="s">
        <v>22</v>
      </c>
      <c r="J7917" s="8" t="s">
        <v>22</v>
      </c>
      <c r="K7917" s="8" t="s">
        <v>476</v>
      </c>
      <c r="L7917" s="8" t="s">
        <v>125</v>
      </c>
      <c r="M7917" s="8" t="s">
        <v>126</v>
      </c>
      <c r="N7917" s="8" t="s">
        <v>34951</v>
      </c>
      <c r="O7917" s="8">
        <f>1+8/60+11.6/3600</f>
        <v>1.1365555555555555</v>
      </c>
      <c r="P7917" s="8" t="s">
        <v>34952</v>
      </c>
      <c r="Q7917" s="8">
        <f>-(4+33/60+16/3600)</f>
        <v>-4.5544444444444441</v>
      </c>
      <c r="R7917" s="8">
        <v>15.6</v>
      </c>
      <c r="S7917" s="8">
        <v>16.399999999999999</v>
      </c>
      <c r="T7917" s="8">
        <v>0.8</v>
      </c>
      <c r="U7917" s="8">
        <v>14.3</v>
      </c>
      <c r="V7917" s="8">
        <v>0.9</v>
      </c>
      <c r="W7917" s="8">
        <v>0.4</v>
      </c>
      <c r="X7917" s="8">
        <v>120</v>
      </c>
      <c r="Y7917" s="8" t="s">
        <v>1212</v>
      </c>
      <c r="Z7917" s="8" t="s">
        <v>1213</v>
      </c>
    </row>
    <row r="7918" spans="1:26" x14ac:dyDescent="0.2">
      <c r="A7918" s="8">
        <v>7917</v>
      </c>
      <c r="B7918" s="8" t="s">
        <v>34953</v>
      </c>
      <c r="C7918" s="8" t="s">
        <v>34953</v>
      </c>
      <c r="G7918" s="8">
        <v>20</v>
      </c>
      <c r="H7918" s="8" t="s">
        <v>21</v>
      </c>
      <c r="I7918" s="8" t="s">
        <v>22</v>
      </c>
      <c r="J7918" s="8" t="s">
        <v>22</v>
      </c>
      <c r="K7918" s="8" t="s">
        <v>2572</v>
      </c>
      <c r="L7918" s="8" t="s">
        <v>125</v>
      </c>
      <c r="M7918" s="8" t="s">
        <v>126</v>
      </c>
      <c r="N7918" s="8" t="s">
        <v>34954</v>
      </c>
      <c r="O7918" s="8">
        <f>1+8/60+43.7/3600</f>
        <v>1.1454722222222222</v>
      </c>
      <c r="P7918" s="8" t="s">
        <v>34955</v>
      </c>
      <c r="Q7918" s="8">
        <f>-(15+25/60+15/3600)</f>
        <v>-15.420833333333333</v>
      </c>
      <c r="R7918" s="8">
        <v>14.9</v>
      </c>
      <c r="S7918" s="8">
        <v>15.5</v>
      </c>
      <c r="T7918" s="8">
        <v>0.6</v>
      </c>
      <c r="U7918" s="8">
        <v>12.8</v>
      </c>
      <c r="V7918" s="8">
        <v>0.5</v>
      </c>
      <c r="W7918" s="8">
        <v>0.4</v>
      </c>
      <c r="X7918" s="8">
        <v>90</v>
      </c>
      <c r="Y7918" s="8" t="s">
        <v>34956</v>
      </c>
      <c r="Z7918" s="8" t="s">
        <v>34957</v>
      </c>
    </row>
    <row r="7919" spans="1:26" x14ac:dyDescent="0.2">
      <c r="A7919" s="8">
        <v>7918</v>
      </c>
      <c r="B7919" s="8" t="s">
        <v>34958</v>
      </c>
      <c r="C7919" s="8" t="s">
        <v>34958</v>
      </c>
      <c r="G7919" s="8">
        <v>20</v>
      </c>
      <c r="H7919" s="8" t="s">
        <v>21</v>
      </c>
      <c r="I7919" s="8" t="s">
        <v>22</v>
      </c>
      <c r="J7919" s="8" t="s">
        <v>22</v>
      </c>
      <c r="K7919" s="8" t="s">
        <v>91</v>
      </c>
      <c r="L7919" s="8" t="s">
        <v>125</v>
      </c>
      <c r="M7919" s="8" t="s">
        <v>126</v>
      </c>
      <c r="N7919" s="8" t="s">
        <v>34959</v>
      </c>
      <c r="O7919" s="8">
        <f>1+8/60+47.6/3600</f>
        <v>1.1465555555555556</v>
      </c>
      <c r="P7919" s="8" t="s">
        <v>34960</v>
      </c>
      <c r="Q7919" s="8">
        <f>-(15+50/60+41/3600)</f>
        <v>-15.844722222222222</v>
      </c>
      <c r="R7919" s="8">
        <v>13.5</v>
      </c>
      <c r="S7919" s="8">
        <v>14.4</v>
      </c>
      <c r="T7919" s="8">
        <v>0.9</v>
      </c>
      <c r="U7919" s="8">
        <v>13.5</v>
      </c>
      <c r="V7919" s="8">
        <v>1.7</v>
      </c>
      <c r="W7919" s="8">
        <v>0.7</v>
      </c>
      <c r="X7919" s="8">
        <v>133</v>
      </c>
      <c r="Y7919" s="8" t="s">
        <v>34730</v>
      </c>
      <c r="Z7919" s="8" t="s">
        <v>34731</v>
      </c>
    </row>
    <row r="7920" spans="1:26" x14ac:dyDescent="0.2">
      <c r="A7920" s="8">
        <v>7919</v>
      </c>
      <c r="B7920" s="8" t="s">
        <v>34961</v>
      </c>
      <c r="C7920" s="8" t="s">
        <v>34961</v>
      </c>
      <c r="G7920" s="8">
        <v>20</v>
      </c>
      <c r="H7920" s="8" t="s">
        <v>21</v>
      </c>
      <c r="I7920" s="8" t="s">
        <v>22</v>
      </c>
      <c r="J7920" s="8" t="s">
        <v>22</v>
      </c>
      <c r="K7920" s="8" t="s">
        <v>58</v>
      </c>
      <c r="L7920" s="8" t="s">
        <v>125</v>
      </c>
      <c r="M7920" s="8" t="s">
        <v>126</v>
      </c>
      <c r="N7920" s="8" t="s">
        <v>34962</v>
      </c>
      <c r="O7920" s="8">
        <f>1+8/60+49.7/3600</f>
        <v>1.1471388888888889</v>
      </c>
      <c r="P7920" s="8" t="s">
        <v>34963</v>
      </c>
      <c r="Q7920" s="8">
        <f>-(15+56/60+54/3600)</f>
        <v>-15.948333333333334</v>
      </c>
      <c r="R7920" s="8">
        <v>14.2</v>
      </c>
      <c r="S7920" s="8">
        <v>15.2</v>
      </c>
      <c r="T7920" s="8">
        <v>1</v>
      </c>
      <c r="U7920" s="8">
        <v>13.8</v>
      </c>
      <c r="V7920" s="8">
        <v>0.9</v>
      </c>
      <c r="W7920" s="8">
        <v>0.7</v>
      </c>
      <c r="X7920" s="8">
        <v>155</v>
      </c>
      <c r="Y7920" s="8" t="s">
        <v>34964</v>
      </c>
      <c r="Z7920" s="8" t="s">
        <v>34965</v>
      </c>
    </row>
    <row r="7921" spans="1:26" x14ac:dyDescent="0.2">
      <c r="A7921" s="8">
        <v>7920</v>
      </c>
      <c r="B7921" s="8" t="s">
        <v>34966</v>
      </c>
      <c r="C7921" s="8" t="s">
        <v>34966</v>
      </c>
      <c r="D7921" s="8" t="s">
        <v>351</v>
      </c>
      <c r="G7921" s="8">
        <v>20</v>
      </c>
      <c r="H7921" s="8" t="s">
        <v>21</v>
      </c>
      <c r="I7921" s="8" t="s">
        <v>22</v>
      </c>
      <c r="J7921" s="8" t="s">
        <v>22</v>
      </c>
      <c r="K7921" s="8" t="s">
        <v>476</v>
      </c>
      <c r="L7921" s="8" t="s">
        <v>125</v>
      </c>
      <c r="M7921" s="8" t="s">
        <v>126</v>
      </c>
      <c r="N7921" s="8" t="s">
        <v>34967</v>
      </c>
      <c r="O7921" s="8">
        <f>1+8/60+51.1/3600</f>
        <v>1.1475277777777777</v>
      </c>
      <c r="P7921" s="8" t="s">
        <v>34968</v>
      </c>
      <c r="Q7921" s="8">
        <f>-(15+24/60+23/3600)</f>
        <v>-15.406388888888889</v>
      </c>
      <c r="R7921" s="8">
        <v>14.1</v>
      </c>
      <c r="S7921" s="8">
        <v>15</v>
      </c>
      <c r="T7921" s="8">
        <v>0.9</v>
      </c>
      <c r="U7921" s="8">
        <v>11.9</v>
      </c>
      <c r="V7921" s="8">
        <v>0.5</v>
      </c>
      <c r="W7921" s="8">
        <v>0.3</v>
      </c>
      <c r="X7921" s="8">
        <v>57</v>
      </c>
      <c r="Y7921" s="8" t="s">
        <v>750</v>
      </c>
      <c r="Z7921" s="8" t="s">
        <v>751</v>
      </c>
    </row>
    <row r="7922" spans="1:26" x14ac:dyDescent="0.2">
      <c r="A7922" s="8">
        <v>7921</v>
      </c>
      <c r="B7922" s="8" t="s">
        <v>34969</v>
      </c>
      <c r="C7922" s="8" t="s">
        <v>34969</v>
      </c>
      <c r="G7922" s="8">
        <v>20</v>
      </c>
      <c r="H7922" s="8" t="s">
        <v>21</v>
      </c>
      <c r="I7922" s="8" t="s">
        <v>22</v>
      </c>
      <c r="J7922" s="8" t="s">
        <v>22</v>
      </c>
      <c r="K7922" s="8" t="s">
        <v>396</v>
      </c>
      <c r="L7922" s="8" t="s">
        <v>125</v>
      </c>
      <c r="M7922" s="8" t="s">
        <v>126</v>
      </c>
      <c r="N7922" s="8" t="s">
        <v>34970</v>
      </c>
      <c r="O7922" s="8">
        <f>1+9/60+22.4/3600</f>
        <v>1.156222222222222</v>
      </c>
      <c r="P7922" s="8" t="s">
        <v>34971</v>
      </c>
      <c r="Q7922" s="8">
        <f>-(1+41/60+42/3600)</f>
        <v>-1.6950000000000001</v>
      </c>
      <c r="R7922" s="8">
        <v>13.8</v>
      </c>
      <c r="S7922" s="8">
        <v>14.6</v>
      </c>
      <c r="T7922" s="8">
        <v>0.8</v>
      </c>
      <c r="U7922" s="8">
        <v>13.4</v>
      </c>
      <c r="V7922" s="8">
        <v>1</v>
      </c>
      <c r="W7922" s="8">
        <v>0.9</v>
      </c>
      <c r="X7922" s="8">
        <v>126</v>
      </c>
      <c r="Y7922" s="8" t="s">
        <v>34972</v>
      </c>
      <c r="Z7922" s="8" t="s">
        <v>34973</v>
      </c>
    </row>
    <row r="7923" spans="1:26" x14ac:dyDescent="0.2">
      <c r="A7923" s="8">
        <v>7922</v>
      </c>
      <c r="B7923" s="8" t="s">
        <v>34974</v>
      </c>
      <c r="C7923" s="8" t="s">
        <v>34974</v>
      </c>
      <c r="G7923" s="8">
        <v>20</v>
      </c>
      <c r="H7923" s="8" t="s">
        <v>21</v>
      </c>
      <c r="I7923" s="8" t="s">
        <v>22</v>
      </c>
      <c r="J7923" s="8" t="s">
        <v>22</v>
      </c>
      <c r="K7923" s="8" t="s">
        <v>23</v>
      </c>
      <c r="L7923" s="8" t="s">
        <v>125</v>
      </c>
      <c r="M7923" s="8" t="s">
        <v>126</v>
      </c>
      <c r="N7923" s="8" t="s">
        <v>34975</v>
      </c>
      <c r="O7923" s="8">
        <f>1+9/60+5.8/3600</f>
        <v>1.1516111111111109</v>
      </c>
      <c r="P7923" s="8" t="s">
        <v>34976</v>
      </c>
      <c r="Q7923" s="8">
        <f>-(16+0/60+1/3600)</f>
        <v>-16.000277777777779</v>
      </c>
      <c r="R7923" s="8">
        <v>13.8</v>
      </c>
      <c r="S7923" s="8">
        <v>14.6</v>
      </c>
      <c r="T7923" s="8">
        <v>0.8</v>
      </c>
      <c r="U7923" s="8">
        <v>13</v>
      </c>
      <c r="V7923" s="8">
        <v>0.8</v>
      </c>
      <c r="W7923" s="8">
        <v>0.7</v>
      </c>
      <c r="X7923" s="8">
        <v>111</v>
      </c>
      <c r="Y7923" s="8" t="s">
        <v>34977</v>
      </c>
      <c r="Z7923" s="8" t="s">
        <v>34978</v>
      </c>
    </row>
    <row r="7924" spans="1:26" x14ac:dyDescent="0.2">
      <c r="A7924" s="8">
        <v>7923</v>
      </c>
      <c r="B7924" s="8" t="s">
        <v>34979</v>
      </c>
      <c r="C7924" s="8" t="s">
        <v>34979</v>
      </c>
      <c r="G7924" s="8">
        <v>20</v>
      </c>
      <c r="H7924" s="8" t="s">
        <v>21</v>
      </c>
      <c r="I7924" s="8" t="s">
        <v>22</v>
      </c>
      <c r="J7924" s="8" t="s">
        <v>22</v>
      </c>
      <c r="K7924" s="8" t="s">
        <v>449</v>
      </c>
      <c r="L7924" s="8" t="s">
        <v>125</v>
      </c>
      <c r="M7924" s="8" t="s">
        <v>126</v>
      </c>
      <c r="N7924" s="8" t="s">
        <v>34980</v>
      </c>
      <c r="O7924" s="8">
        <f>1+10/60+29.7/3600</f>
        <v>1.1749166666666668</v>
      </c>
      <c r="P7924" s="8" t="s">
        <v>34981</v>
      </c>
      <c r="Q7924" s="8">
        <f>+(1+41/60+21/3600)</f>
        <v>1.6891666666666667</v>
      </c>
      <c r="R7924" s="8">
        <v>14.6</v>
      </c>
      <c r="S7924" s="8">
        <v>15.4</v>
      </c>
      <c r="T7924" s="8">
        <v>0.8</v>
      </c>
      <c r="U7924" s="8">
        <v>13.1</v>
      </c>
      <c r="V7924" s="8">
        <v>0.7</v>
      </c>
      <c r="W7924" s="8">
        <v>0.4</v>
      </c>
      <c r="X7924" s="8">
        <v>105</v>
      </c>
      <c r="Y7924" s="8" t="s">
        <v>34982</v>
      </c>
      <c r="Z7924" s="8" t="s">
        <v>34983</v>
      </c>
    </row>
    <row r="7925" spans="1:26" x14ac:dyDescent="0.2">
      <c r="A7925" s="8">
        <v>7924</v>
      </c>
      <c r="B7925" s="8" t="s">
        <v>34984</v>
      </c>
      <c r="C7925" s="8" t="s">
        <v>34984</v>
      </c>
      <c r="G7925" s="8">
        <v>20</v>
      </c>
      <c r="H7925" s="8" t="s">
        <v>21</v>
      </c>
      <c r="I7925" s="8" t="s">
        <v>22</v>
      </c>
      <c r="J7925" s="8" t="s">
        <v>22</v>
      </c>
      <c r="K7925" s="8" t="s">
        <v>37</v>
      </c>
      <c r="L7925" s="8" t="s">
        <v>125</v>
      </c>
      <c r="M7925" s="8" t="s">
        <v>126</v>
      </c>
      <c r="N7925" s="8" t="s">
        <v>34985</v>
      </c>
      <c r="O7925" s="8">
        <f>1+11/60+25.5/3600</f>
        <v>1.1904166666666667</v>
      </c>
      <c r="P7925" s="8" t="s">
        <v>34986</v>
      </c>
      <c r="Q7925" s="8">
        <f>+(1+38/60+27/3600)</f>
        <v>1.6408333333333334</v>
      </c>
      <c r="R7925" s="8">
        <v>14.6</v>
      </c>
      <c r="S7925" s="8">
        <v>15.6</v>
      </c>
      <c r="T7925" s="8">
        <v>1</v>
      </c>
      <c r="U7925" s="8">
        <v>13.5</v>
      </c>
      <c r="V7925" s="8">
        <v>0.8</v>
      </c>
      <c r="W7925" s="8">
        <v>0.5</v>
      </c>
      <c r="X7925" s="8">
        <v>12</v>
      </c>
      <c r="Y7925" s="8" t="s">
        <v>34987</v>
      </c>
      <c r="Z7925" s="8" t="s">
        <v>17902</v>
      </c>
    </row>
    <row r="7926" spans="1:26" x14ac:dyDescent="0.2">
      <c r="A7926" s="8">
        <v>7925</v>
      </c>
      <c r="B7926" s="8" t="s">
        <v>34988</v>
      </c>
      <c r="C7926" s="8" t="s">
        <v>34988</v>
      </c>
      <c r="G7926" s="8">
        <v>20</v>
      </c>
      <c r="H7926" s="8" t="s">
        <v>21</v>
      </c>
      <c r="I7926" s="8" t="s">
        <v>329</v>
      </c>
      <c r="J7926" s="8" t="s">
        <v>329</v>
      </c>
      <c r="K7926" s="8" t="s">
        <v>329</v>
      </c>
      <c r="L7926" s="8" t="s">
        <v>125</v>
      </c>
      <c r="M7926" s="8" t="s">
        <v>126</v>
      </c>
      <c r="N7926" s="8" t="s">
        <v>34989</v>
      </c>
      <c r="O7926" s="8">
        <f>1+11/60+49.5/3600</f>
        <v>1.1970833333333333</v>
      </c>
      <c r="P7926" s="8" t="s">
        <v>34990</v>
      </c>
      <c r="Q7926" s="8">
        <f>-(0+27/60+9/3600)</f>
        <v>-0.45250000000000001</v>
      </c>
      <c r="R7926" s="8">
        <v>99</v>
      </c>
      <c r="S7926" s="8">
        <v>99</v>
      </c>
      <c r="T7926" s="8">
        <v>99</v>
      </c>
      <c r="U7926" s="8">
        <v>99</v>
      </c>
      <c r="Y7926" s="8" t="s">
        <v>34991</v>
      </c>
      <c r="Z7926" s="8" t="s">
        <v>34992</v>
      </c>
    </row>
    <row r="7927" spans="1:26" x14ac:dyDescent="0.2">
      <c r="A7927" s="8">
        <v>7926</v>
      </c>
      <c r="B7927" s="8" t="s">
        <v>34993</v>
      </c>
      <c r="C7927" s="8" t="s">
        <v>34993</v>
      </c>
      <c r="G7927" s="8">
        <v>20</v>
      </c>
      <c r="H7927" s="8" t="s">
        <v>21</v>
      </c>
      <c r="I7927" s="8" t="s">
        <v>22</v>
      </c>
      <c r="J7927" s="8" t="s">
        <v>22</v>
      </c>
      <c r="K7927" s="8" t="s">
        <v>449</v>
      </c>
      <c r="L7927" s="8" t="s">
        <v>125</v>
      </c>
      <c r="M7927" s="8" t="s">
        <v>126</v>
      </c>
      <c r="N7927" s="8" t="s">
        <v>34994</v>
      </c>
      <c r="O7927" s="8">
        <f>1+13/60+28.4/3600</f>
        <v>1.2245555555555556</v>
      </c>
      <c r="P7927" s="8" t="s">
        <v>34995</v>
      </c>
      <c r="Q7927" s="8">
        <f>-(16+14/60+28/3600)</f>
        <v>-16.241111111111113</v>
      </c>
      <c r="R7927" s="8">
        <v>14.7</v>
      </c>
      <c r="S7927" s="8">
        <v>15.5</v>
      </c>
      <c r="T7927" s="8">
        <v>0.8</v>
      </c>
      <c r="U7927" s="8">
        <v>12.9</v>
      </c>
      <c r="V7927" s="8">
        <v>0.7</v>
      </c>
      <c r="W7927" s="8">
        <v>0.3</v>
      </c>
      <c r="X7927" s="8">
        <v>140</v>
      </c>
      <c r="Y7927" s="8" t="s">
        <v>27073</v>
      </c>
      <c r="Z7927" s="8" t="s">
        <v>27074</v>
      </c>
    </row>
    <row r="7928" spans="1:26" x14ac:dyDescent="0.2">
      <c r="A7928" s="8">
        <v>7927</v>
      </c>
      <c r="B7928" s="8" t="s">
        <v>34996</v>
      </c>
      <c r="C7928" s="8" t="s">
        <v>34996</v>
      </c>
      <c r="G7928" s="8">
        <v>20</v>
      </c>
      <c r="H7928" s="8" t="s">
        <v>21</v>
      </c>
      <c r="I7928" s="8" t="s">
        <v>22</v>
      </c>
      <c r="J7928" s="8" t="s">
        <v>22</v>
      </c>
      <c r="K7928" s="8" t="s">
        <v>1445</v>
      </c>
      <c r="L7928" s="8" t="s">
        <v>125</v>
      </c>
      <c r="M7928" s="8" t="s">
        <v>126</v>
      </c>
      <c r="N7928" s="8" t="s">
        <v>34997</v>
      </c>
      <c r="O7928" s="8">
        <f>1+14/60+15.8/3600</f>
        <v>1.2377222222222224</v>
      </c>
      <c r="P7928" s="8" t="s">
        <v>34998</v>
      </c>
      <c r="Q7928" s="8">
        <f>+(0+45/60+57/3600)</f>
        <v>0.76583333333333337</v>
      </c>
      <c r="R7928" s="8">
        <v>14.4</v>
      </c>
      <c r="S7928" s="8">
        <v>15.2</v>
      </c>
      <c r="T7928" s="8">
        <v>0.8</v>
      </c>
      <c r="U7928" s="8">
        <v>13</v>
      </c>
      <c r="V7928" s="8">
        <v>0.6</v>
      </c>
      <c r="W7928" s="8">
        <v>0.5</v>
      </c>
      <c r="X7928" s="8">
        <v>6</v>
      </c>
      <c r="Y7928" s="8" t="s">
        <v>34999</v>
      </c>
      <c r="Z7928" s="8" t="s">
        <v>35000</v>
      </c>
    </row>
    <row r="7929" spans="1:26" x14ac:dyDescent="0.2">
      <c r="A7929" s="8">
        <v>7928</v>
      </c>
      <c r="B7929" s="8" t="s">
        <v>35001</v>
      </c>
      <c r="C7929" s="8" t="s">
        <v>35001</v>
      </c>
      <c r="G7929" s="8">
        <v>20</v>
      </c>
      <c r="H7929" s="8" t="s">
        <v>21</v>
      </c>
      <c r="I7929" s="8" t="s">
        <v>22</v>
      </c>
      <c r="J7929" s="8" t="s">
        <v>22</v>
      </c>
      <c r="K7929" s="8" t="s">
        <v>449</v>
      </c>
      <c r="L7929" s="8" t="s">
        <v>125</v>
      </c>
      <c r="M7929" s="8" t="s">
        <v>126</v>
      </c>
      <c r="N7929" s="8" t="s">
        <v>35002</v>
      </c>
      <c r="O7929" s="8">
        <f>1+14/60+31.3/3600</f>
        <v>1.2420277777777777</v>
      </c>
      <c r="P7929" s="8" t="s">
        <v>35003</v>
      </c>
      <c r="Q7929" s="8">
        <f>+(0+47/60+30/3600)</f>
        <v>0.79166666666666663</v>
      </c>
      <c r="R7929" s="8">
        <v>15.3</v>
      </c>
      <c r="S7929" s="8">
        <v>16.100000000000001</v>
      </c>
      <c r="T7929" s="8">
        <v>0.8</v>
      </c>
      <c r="U7929" s="8">
        <v>13.2</v>
      </c>
      <c r="V7929" s="8">
        <v>0.4</v>
      </c>
      <c r="W7929" s="8">
        <v>0.4</v>
      </c>
      <c r="Y7929" s="8" t="s">
        <v>35004</v>
      </c>
      <c r="Z7929" s="8" t="s">
        <v>35005</v>
      </c>
    </row>
    <row r="7930" spans="1:26" x14ac:dyDescent="0.2">
      <c r="A7930" s="8">
        <v>7929</v>
      </c>
      <c r="B7930" s="8" t="s">
        <v>35006</v>
      </c>
      <c r="C7930" s="8" t="s">
        <v>35006</v>
      </c>
      <c r="G7930" s="8">
        <v>20</v>
      </c>
      <c r="H7930" s="8" t="s">
        <v>21</v>
      </c>
      <c r="I7930" s="8" t="s">
        <v>22</v>
      </c>
      <c r="J7930" s="8" t="s">
        <v>57</v>
      </c>
      <c r="K7930" s="8" t="s">
        <v>224</v>
      </c>
      <c r="L7930" s="8" t="s">
        <v>38</v>
      </c>
      <c r="M7930" s="8" t="s">
        <v>39</v>
      </c>
      <c r="N7930" s="8" t="s">
        <v>2207</v>
      </c>
      <c r="O7930" s="8">
        <f>1+16/60+3.7/3600</f>
        <v>1.2676944444444445</v>
      </c>
      <c r="P7930" s="8" t="s">
        <v>2208</v>
      </c>
      <c r="Q7930" s="8">
        <f>+(4+17/60+40/3600)</f>
        <v>4.2944444444444443</v>
      </c>
      <c r="R7930" s="8">
        <v>12.4</v>
      </c>
      <c r="S7930" s="8">
        <v>13.4</v>
      </c>
      <c r="T7930" s="8">
        <v>1</v>
      </c>
      <c r="U7930" s="8">
        <v>13.5</v>
      </c>
      <c r="V7930" s="8">
        <v>2</v>
      </c>
      <c r="W7930" s="8">
        <v>1.6</v>
      </c>
      <c r="X7930" s="8">
        <v>54</v>
      </c>
      <c r="Y7930" s="8" t="s">
        <v>35007</v>
      </c>
      <c r="Z7930" s="8" t="s">
        <v>35008</v>
      </c>
    </row>
    <row r="7931" spans="1:26" x14ac:dyDescent="0.2">
      <c r="A7931" s="8">
        <v>7930</v>
      </c>
      <c r="B7931" s="8" t="s">
        <v>35009</v>
      </c>
      <c r="C7931" s="8" t="s">
        <v>35009</v>
      </c>
      <c r="G7931" s="8">
        <v>20</v>
      </c>
      <c r="H7931" s="8" t="s">
        <v>21</v>
      </c>
      <c r="I7931" s="8" t="s">
        <v>22</v>
      </c>
      <c r="J7931" s="8" t="s">
        <v>22</v>
      </c>
      <c r="K7931" s="8" t="s">
        <v>1136</v>
      </c>
      <c r="L7931" s="8" t="s">
        <v>125</v>
      </c>
      <c r="M7931" s="8" t="s">
        <v>126</v>
      </c>
      <c r="N7931" s="8" t="s">
        <v>35010</v>
      </c>
      <c r="O7931" s="8">
        <f>1+16/60+30.3/3600</f>
        <v>1.2750833333333333</v>
      </c>
      <c r="P7931" s="8" t="s">
        <v>35011</v>
      </c>
      <c r="Q7931" s="8">
        <f>-(7+58/60+36/3600)</f>
        <v>-7.9766666666666666</v>
      </c>
      <c r="R7931" s="8">
        <v>13.6</v>
      </c>
      <c r="S7931" s="8">
        <v>14.6</v>
      </c>
      <c r="T7931" s="8">
        <v>1</v>
      </c>
      <c r="U7931" s="8">
        <v>13.2</v>
      </c>
      <c r="V7931" s="8">
        <v>0.9</v>
      </c>
      <c r="W7931" s="8">
        <v>0.7</v>
      </c>
      <c r="X7931" s="8">
        <v>144</v>
      </c>
      <c r="Y7931" s="8" t="s">
        <v>35012</v>
      </c>
      <c r="Z7931" s="8" t="s">
        <v>35013</v>
      </c>
    </row>
    <row r="7932" spans="1:26" x14ac:dyDescent="0.2">
      <c r="A7932" s="8">
        <v>7931</v>
      </c>
      <c r="B7932" s="8" t="s">
        <v>35014</v>
      </c>
      <c r="C7932" s="8" t="s">
        <v>35014</v>
      </c>
      <c r="G7932" s="8">
        <v>20</v>
      </c>
      <c r="H7932" s="8" t="s">
        <v>21</v>
      </c>
      <c r="I7932" s="8" t="s">
        <v>22</v>
      </c>
      <c r="J7932" s="8" t="s">
        <v>22</v>
      </c>
      <c r="K7932" s="8" t="s">
        <v>449</v>
      </c>
      <c r="L7932" s="8" t="s">
        <v>125</v>
      </c>
      <c r="M7932" s="8" t="s">
        <v>126</v>
      </c>
      <c r="N7932" s="8" t="s">
        <v>35015</v>
      </c>
      <c r="O7932" s="8">
        <f>1+18/60+39.4/3600</f>
        <v>1.3109444444444445</v>
      </c>
      <c r="P7932" s="8" t="s">
        <v>35016</v>
      </c>
      <c r="Q7932" s="8">
        <f>+(2+33/60+15/3600)</f>
        <v>2.5541666666666667</v>
      </c>
      <c r="R7932" s="8">
        <v>15.7</v>
      </c>
      <c r="S7932" s="8">
        <v>16.5</v>
      </c>
      <c r="T7932" s="8">
        <v>0.8</v>
      </c>
      <c r="U7932" s="8">
        <v>13.1</v>
      </c>
      <c r="V7932" s="8">
        <v>0.5</v>
      </c>
      <c r="W7932" s="8">
        <v>0.2</v>
      </c>
      <c r="X7932" s="8">
        <v>60</v>
      </c>
      <c r="Y7932" s="8" t="s">
        <v>35017</v>
      </c>
      <c r="Z7932" s="8" t="s">
        <v>35018</v>
      </c>
    </row>
    <row r="7933" spans="1:26" x14ac:dyDescent="0.2">
      <c r="A7933" s="8">
        <v>7932</v>
      </c>
      <c r="B7933" s="8" t="s">
        <v>35019</v>
      </c>
      <c r="C7933" s="8" t="s">
        <v>35019</v>
      </c>
      <c r="G7933" s="8">
        <v>20</v>
      </c>
      <c r="H7933" s="8" t="s">
        <v>21</v>
      </c>
      <c r="I7933" s="8" t="s">
        <v>22</v>
      </c>
      <c r="J7933" s="8" t="s">
        <v>57</v>
      </c>
      <c r="K7933" s="8" t="s">
        <v>632</v>
      </c>
      <c r="L7933" s="8" t="s">
        <v>38</v>
      </c>
      <c r="M7933" s="8" t="s">
        <v>39</v>
      </c>
      <c r="N7933" s="8" t="s">
        <v>2310</v>
      </c>
      <c r="O7933" s="8">
        <f>1+19/60+48.4/3600</f>
        <v>1.330111111111111</v>
      </c>
      <c r="P7933" s="8" t="s">
        <v>2311</v>
      </c>
      <c r="Q7933" s="8">
        <f>+(32+46/60+2/3600)</f>
        <v>32.767222222222223</v>
      </c>
      <c r="R7933" s="8">
        <v>14.3</v>
      </c>
      <c r="S7933" s="8">
        <v>15.2</v>
      </c>
      <c r="T7933" s="8">
        <v>0.9</v>
      </c>
      <c r="U7933" s="8">
        <v>13.2</v>
      </c>
      <c r="V7933" s="8">
        <v>0.7</v>
      </c>
      <c r="W7933" s="8">
        <v>0.4</v>
      </c>
      <c r="X7933" s="8">
        <v>171</v>
      </c>
      <c r="Y7933" s="8" t="s">
        <v>35020</v>
      </c>
      <c r="Z7933" s="8" t="s">
        <v>35021</v>
      </c>
    </row>
    <row r="7934" spans="1:26" x14ac:dyDescent="0.2">
      <c r="A7934" s="8">
        <v>7933</v>
      </c>
      <c r="B7934" s="8" t="s">
        <v>35022</v>
      </c>
      <c r="C7934" s="8" t="s">
        <v>35022</v>
      </c>
      <c r="G7934" s="8">
        <v>20</v>
      </c>
      <c r="H7934" s="8" t="s">
        <v>21</v>
      </c>
      <c r="I7934" s="8" t="s">
        <v>22</v>
      </c>
      <c r="J7934" s="8" t="s">
        <v>22</v>
      </c>
      <c r="K7934" s="8" t="s">
        <v>23</v>
      </c>
      <c r="L7934" s="8" t="s">
        <v>125</v>
      </c>
      <c r="M7934" s="8" t="s">
        <v>126</v>
      </c>
      <c r="N7934" s="8" t="s">
        <v>35023</v>
      </c>
      <c r="O7934" s="8">
        <f>1+19/60+2.2/3600</f>
        <v>1.3172777777777778</v>
      </c>
      <c r="P7934" s="8" t="s">
        <v>35024</v>
      </c>
      <c r="Q7934" s="8">
        <f>-(17+3/60+40/3600)</f>
        <v>-17.061111111111114</v>
      </c>
      <c r="R7934" s="8">
        <v>13.2</v>
      </c>
      <c r="S7934" s="8">
        <v>14</v>
      </c>
      <c r="T7934" s="8">
        <v>0.8</v>
      </c>
      <c r="U7934" s="8">
        <v>12.8</v>
      </c>
      <c r="V7934" s="8">
        <v>1.3</v>
      </c>
      <c r="W7934" s="8">
        <v>0.6</v>
      </c>
      <c r="X7934" s="8">
        <v>170</v>
      </c>
      <c r="Y7934" s="8" t="s">
        <v>35025</v>
      </c>
      <c r="Z7934" s="8" t="s">
        <v>35026</v>
      </c>
    </row>
    <row r="7935" spans="1:26" x14ac:dyDescent="0.2">
      <c r="A7935" s="8">
        <v>7934</v>
      </c>
      <c r="B7935" s="8" t="s">
        <v>35027</v>
      </c>
      <c r="C7935" s="8" t="s">
        <v>35027</v>
      </c>
      <c r="G7935" s="8">
        <v>20</v>
      </c>
      <c r="H7935" s="8" t="s">
        <v>21</v>
      </c>
      <c r="I7935" s="8" t="s">
        <v>72</v>
      </c>
      <c r="J7935" s="8" t="s">
        <v>72</v>
      </c>
      <c r="K7935" s="8" t="s">
        <v>20</v>
      </c>
      <c r="L7935" s="8" t="s">
        <v>38</v>
      </c>
      <c r="M7935" s="8" t="s">
        <v>39</v>
      </c>
      <c r="N7935" s="8" t="s">
        <v>35028</v>
      </c>
      <c r="O7935" s="8">
        <f>1+20/60+5.5/3600</f>
        <v>1.3348611111111111</v>
      </c>
      <c r="P7935" s="8" t="s">
        <v>35029</v>
      </c>
      <c r="Q7935" s="8">
        <f>+(32+43/60+2/3600)</f>
        <v>32.717222222222226</v>
      </c>
      <c r="R7935" s="8">
        <v>99</v>
      </c>
      <c r="S7935" s="8">
        <v>14.9</v>
      </c>
      <c r="T7935" s="8">
        <v>99</v>
      </c>
      <c r="U7935" s="8">
        <v>99</v>
      </c>
      <c r="Y7935" s="8" t="s">
        <v>35030</v>
      </c>
      <c r="Z7935" s="8" t="s">
        <v>35031</v>
      </c>
    </row>
    <row r="7936" spans="1:26" x14ac:dyDescent="0.2">
      <c r="A7936" s="8">
        <v>7935</v>
      </c>
      <c r="B7936" s="8" t="s">
        <v>35032</v>
      </c>
      <c r="C7936" s="8" t="s">
        <v>35032</v>
      </c>
      <c r="G7936" s="8">
        <v>20</v>
      </c>
      <c r="H7936" s="8" t="s">
        <v>21</v>
      </c>
      <c r="I7936" s="8" t="s">
        <v>22</v>
      </c>
      <c r="J7936" s="8" t="s">
        <v>22</v>
      </c>
      <c r="K7936" s="8" t="s">
        <v>460</v>
      </c>
      <c r="L7936" s="8" t="s">
        <v>125</v>
      </c>
      <c r="M7936" s="8" t="s">
        <v>126</v>
      </c>
      <c r="N7936" s="8" t="s">
        <v>35033</v>
      </c>
      <c r="O7936" s="8">
        <f>1+19/60+17.8/3600</f>
        <v>1.3216111111111111</v>
      </c>
      <c r="P7936" s="8" t="s">
        <v>35034</v>
      </c>
      <c r="Q7936" s="8">
        <f>-(12+34/60+25/3600)</f>
        <v>-12.573611111111111</v>
      </c>
      <c r="R7936" s="8">
        <v>15.5</v>
      </c>
      <c r="S7936" s="8">
        <v>16.5</v>
      </c>
      <c r="T7936" s="8">
        <v>1</v>
      </c>
      <c r="U7936" s="8">
        <v>13.6</v>
      </c>
      <c r="V7936" s="8">
        <v>0.4</v>
      </c>
      <c r="W7936" s="8">
        <v>0.4</v>
      </c>
      <c r="Y7936" s="8" t="s">
        <v>35035</v>
      </c>
      <c r="Z7936" s="8" t="s">
        <v>35036</v>
      </c>
    </row>
    <row r="7937" spans="1:26" x14ac:dyDescent="0.2">
      <c r="A7937" s="8">
        <v>7936</v>
      </c>
      <c r="B7937" s="8" t="s">
        <v>35037</v>
      </c>
      <c r="C7937" s="8" t="s">
        <v>35037</v>
      </c>
      <c r="G7937" s="8">
        <v>20</v>
      </c>
      <c r="H7937" s="8" t="s">
        <v>21</v>
      </c>
      <c r="I7937" s="8" t="s">
        <v>22</v>
      </c>
      <c r="J7937" s="8" t="s">
        <v>22</v>
      </c>
      <c r="K7937" s="8" t="s">
        <v>396</v>
      </c>
      <c r="L7937" s="8" t="s">
        <v>38</v>
      </c>
      <c r="M7937" s="8" t="s">
        <v>39</v>
      </c>
      <c r="N7937" s="8" t="s">
        <v>35038</v>
      </c>
      <c r="O7937" s="8">
        <f>1+20/60+33.3/3600</f>
        <v>1.3425833333333332</v>
      </c>
      <c r="P7937" s="8" t="s">
        <v>35039</v>
      </c>
      <c r="Q7937" s="8">
        <f>+(29+36/60+59/3600)</f>
        <v>29.616388888888892</v>
      </c>
      <c r="R7937" s="8">
        <v>13.9</v>
      </c>
      <c r="S7937" s="8">
        <v>14.7</v>
      </c>
      <c r="T7937" s="8">
        <v>0.8</v>
      </c>
      <c r="U7937" s="8">
        <v>12.3</v>
      </c>
      <c r="V7937" s="8">
        <v>0.8</v>
      </c>
      <c r="W7937" s="8">
        <v>0.4</v>
      </c>
      <c r="X7937" s="8">
        <v>48</v>
      </c>
      <c r="Y7937" s="8" t="s">
        <v>35040</v>
      </c>
      <c r="Z7937" s="8" t="s">
        <v>35041</v>
      </c>
    </row>
    <row r="7938" spans="1:26" x14ac:dyDescent="0.2">
      <c r="A7938" s="8">
        <v>7937</v>
      </c>
      <c r="B7938" s="8" t="s">
        <v>35042</v>
      </c>
      <c r="C7938" s="8" t="s">
        <v>35042</v>
      </c>
      <c r="G7938" s="8">
        <v>20</v>
      </c>
      <c r="H7938" s="8" t="s">
        <v>21</v>
      </c>
      <c r="I7938" s="8" t="s">
        <v>22</v>
      </c>
      <c r="J7938" s="8" t="s">
        <v>57</v>
      </c>
      <c r="K7938" s="8" t="s">
        <v>460</v>
      </c>
      <c r="L7938" s="8" t="s">
        <v>38</v>
      </c>
      <c r="M7938" s="8" t="s">
        <v>39</v>
      </c>
      <c r="N7938" s="8" t="s">
        <v>2339</v>
      </c>
      <c r="O7938" s="8">
        <f>1+20/60+1.9/3600</f>
        <v>1.3338611111111109</v>
      </c>
      <c r="P7938" s="8" t="s">
        <v>2340</v>
      </c>
      <c r="Q7938" s="8">
        <f>+(14+51/60+42/3600)</f>
        <v>14.861666666666666</v>
      </c>
      <c r="R7938" s="8">
        <v>15</v>
      </c>
      <c r="S7938" s="8">
        <v>16</v>
      </c>
      <c r="T7938" s="8">
        <v>1</v>
      </c>
      <c r="U7938" s="8">
        <v>13.1</v>
      </c>
      <c r="V7938" s="8">
        <v>0.4</v>
      </c>
      <c r="W7938" s="8">
        <v>0.4</v>
      </c>
      <c r="Y7938" s="8" t="s">
        <v>35043</v>
      </c>
      <c r="Z7938" s="8" t="s">
        <v>35044</v>
      </c>
    </row>
    <row r="7939" spans="1:26" x14ac:dyDescent="0.2">
      <c r="A7939" s="8">
        <v>7938</v>
      </c>
      <c r="B7939" s="8" t="s">
        <v>35045</v>
      </c>
      <c r="C7939" s="8" t="s">
        <v>35045</v>
      </c>
      <c r="G7939" s="8">
        <v>20</v>
      </c>
      <c r="H7939" s="8" t="s">
        <v>21</v>
      </c>
      <c r="I7939" s="8" t="s">
        <v>22</v>
      </c>
      <c r="J7939" s="8" t="s">
        <v>22</v>
      </c>
      <c r="K7939" s="8" t="s">
        <v>460</v>
      </c>
      <c r="L7939" s="8" t="s">
        <v>125</v>
      </c>
      <c r="M7939" s="8" t="s">
        <v>126</v>
      </c>
      <c r="N7939" s="8" t="s">
        <v>35046</v>
      </c>
      <c r="O7939" s="8">
        <f>1+20/60+54.8/3600</f>
        <v>1.3485555555555555</v>
      </c>
      <c r="P7939" s="8" t="s">
        <v>35047</v>
      </c>
      <c r="Q7939" s="8">
        <f>-(12+36/60+15/3600)</f>
        <v>-12.604166666666666</v>
      </c>
      <c r="R7939" s="8">
        <v>14.8</v>
      </c>
      <c r="S7939" s="8">
        <v>15.8</v>
      </c>
      <c r="T7939" s="8">
        <v>1</v>
      </c>
      <c r="U7939" s="8">
        <v>13.8</v>
      </c>
      <c r="V7939" s="8">
        <v>0.7</v>
      </c>
      <c r="W7939" s="8">
        <v>0.7</v>
      </c>
      <c r="Y7939" s="8" t="s">
        <v>1719</v>
      </c>
      <c r="Z7939" s="8" t="s">
        <v>1720</v>
      </c>
    </row>
    <row r="7940" spans="1:26" x14ac:dyDescent="0.2">
      <c r="A7940" s="8">
        <v>7939</v>
      </c>
      <c r="B7940" s="8" t="s">
        <v>35048</v>
      </c>
      <c r="C7940" s="8" t="s">
        <v>35048</v>
      </c>
      <c r="G7940" s="8">
        <v>20</v>
      </c>
      <c r="H7940" s="8" t="s">
        <v>21</v>
      </c>
      <c r="I7940" s="8" t="s">
        <v>22</v>
      </c>
      <c r="J7940" s="8" t="s">
        <v>22</v>
      </c>
      <c r="K7940" s="8" t="s">
        <v>160</v>
      </c>
      <c r="L7940" s="8" t="s">
        <v>125</v>
      </c>
      <c r="M7940" s="8" t="s">
        <v>126</v>
      </c>
      <c r="N7940" s="8" t="s">
        <v>35049</v>
      </c>
      <c r="O7940" s="8">
        <f>1+22/60+27.3/3600</f>
        <v>1.37425</v>
      </c>
      <c r="P7940" s="8" t="s">
        <v>35050</v>
      </c>
      <c r="Q7940" s="8">
        <f>-(12+57/60+9/3600)</f>
        <v>-12.952499999999999</v>
      </c>
      <c r="R7940" s="8">
        <v>14.7</v>
      </c>
      <c r="S7940" s="8">
        <v>15.4</v>
      </c>
      <c r="T7940" s="8">
        <v>0.7</v>
      </c>
      <c r="U7940" s="8">
        <v>13</v>
      </c>
      <c r="V7940" s="8">
        <v>0.5</v>
      </c>
      <c r="W7940" s="8">
        <v>0.5</v>
      </c>
      <c r="Y7940" s="8" t="s">
        <v>21497</v>
      </c>
      <c r="Z7940" s="8" t="s">
        <v>21498</v>
      </c>
    </row>
    <row r="7941" spans="1:26" x14ac:dyDescent="0.2">
      <c r="A7941" s="8">
        <v>7940</v>
      </c>
      <c r="B7941" s="8" t="s">
        <v>35051</v>
      </c>
      <c r="C7941" s="8" t="s">
        <v>35051</v>
      </c>
      <c r="G7941" s="8">
        <v>20</v>
      </c>
      <c r="H7941" s="8" t="s">
        <v>21</v>
      </c>
      <c r="I7941" s="8" t="s">
        <v>22</v>
      </c>
      <c r="J7941" s="8" t="s">
        <v>22</v>
      </c>
      <c r="K7941" s="8" t="s">
        <v>58</v>
      </c>
      <c r="L7941" s="8" t="s">
        <v>125</v>
      </c>
      <c r="M7941" s="8" t="s">
        <v>126</v>
      </c>
      <c r="N7941" s="8" t="s">
        <v>35052</v>
      </c>
      <c r="O7941" s="8">
        <f>1+22/60+53.9/3600</f>
        <v>1.3816388888888889</v>
      </c>
      <c r="P7941" s="8" t="s">
        <v>35053</v>
      </c>
      <c r="Q7941" s="8">
        <f>-(4+38/60+33/3600)</f>
        <v>-4.6424999999999992</v>
      </c>
      <c r="R7941" s="8">
        <v>13.7</v>
      </c>
      <c r="S7941" s="8">
        <v>14.7</v>
      </c>
      <c r="T7941" s="8">
        <v>1</v>
      </c>
      <c r="U7941" s="8">
        <v>13.6</v>
      </c>
      <c r="V7941" s="8">
        <v>1.1000000000000001</v>
      </c>
      <c r="W7941" s="8">
        <v>0.8</v>
      </c>
      <c r="X7941" s="8">
        <v>99</v>
      </c>
      <c r="Y7941" s="8" t="s">
        <v>35054</v>
      </c>
      <c r="Z7941" s="8" t="s">
        <v>35055</v>
      </c>
    </row>
    <row r="7942" spans="1:26" x14ac:dyDescent="0.2">
      <c r="A7942" s="8">
        <v>7941</v>
      </c>
      <c r="B7942" s="8" t="s">
        <v>35056</v>
      </c>
      <c r="C7942" s="8" t="s">
        <v>35056</v>
      </c>
      <c r="G7942" s="8">
        <v>20</v>
      </c>
      <c r="H7942" s="8" t="s">
        <v>21</v>
      </c>
      <c r="I7942" s="8" t="s">
        <v>22</v>
      </c>
      <c r="J7942" s="8" t="s">
        <v>22</v>
      </c>
      <c r="K7942" s="8" t="s">
        <v>23</v>
      </c>
      <c r="L7942" s="8" t="s">
        <v>38</v>
      </c>
      <c r="M7942" s="8" t="s">
        <v>39</v>
      </c>
      <c r="N7942" s="8" t="s">
        <v>35057</v>
      </c>
      <c r="O7942" s="8">
        <f>1+24/60+8.5/3600</f>
        <v>1.4023611111111109</v>
      </c>
      <c r="P7942" s="8" t="s">
        <v>35058</v>
      </c>
      <c r="Q7942" s="8">
        <f>+(9+55/60+50/3600)</f>
        <v>9.9305555555555554</v>
      </c>
      <c r="R7942" s="8">
        <v>14</v>
      </c>
      <c r="S7942" s="8">
        <v>14.8</v>
      </c>
      <c r="T7942" s="8">
        <v>0.8</v>
      </c>
      <c r="U7942" s="8">
        <v>13.7</v>
      </c>
      <c r="V7942" s="8">
        <v>1.4</v>
      </c>
      <c r="W7942" s="8">
        <v>0.6</v>
      </c>
      <c r="X7942" s="8">
        <v>127</v>
      </c>
      <c r="Y7942" s="8" t="s">
        <v>35059</v>
      </c>
      <c r="Z7942" s="8" t="s">
        <v>35060</v>
      </c>
    </row>
    <row r="7943" spans="1:26" x14ac:dyDescent="0.2">
      <c r="A7943" s="8">
        <v>7942</v>
      </c>
      <c r="B7943" s="8" t="s">
        <v>35061</v>
      </c>
      <c r="C7943" s="8" t="s">
        <v>35061</v>
      </c>
      <c r="G7943" s="8">
        <v>20</v>
      </c>
      <c r="H7943" s="8" t="s">
        <v>21</v>
      </c>
      <c r="I7943" s="8" t="s">
        <v>22</v>
      </c>
      <c r="J7943" s="8" t="s">
        <v>22</v>
      </c>
      <c r="K7943" s="8" t="s">
        <v>632</v>
      </c>
      <c r="L7943" s="8" t="s">
        <v>38</v>
      </c>
      <c r="M7943" s="8" t="s">
        <v>39</v>
      </c>
      <c r="N7943" s="8" t="s">
        <v>35062</v>
      </c>
      <c r="O7943" s="8">
        <f>1+24/60+26.3/3600</f>
        <v>1.4073055555555554</v>
      </c>
      <c r="P7943" s="8" t="s">
        <v>35063</v>
      </c>
      <c r="Q7943" s="8">
        <f>+(9+53/60+14/3600)</f>
        <v>9.8872222222222224</v>
      </c>
      <c r="R7943" s="8">
        <v>14.7</v>
      </c>
      <c r="S7943" s="8">
        <v>15.6</v>
      </c>
      <c r="T7943" s="8">
        <v>0.9</v>
      </c>
      <c r="U7943" s="8">
        <v>13.2</v>
      </c>
      <c r="V7943" s="8">
        <v>0.9</v>
      </c>
      <c r="W7943" s="8">
        <v>0.3</v>
      </c>
      <c r="X7943" s="8">
        <v>92</v>
      </c>
      <c r="Y7943" s="8" t="s">
        <v>35064</v>
      </c>
      <c r="Z7943" s="8" t="s">
        <v>35065</v>
      </c>
    </row>
    <row r="7944" spans="1:26" x14ac:dyDescent="0.2">
      <c r="A7944" s="8">
        <v>7943</v>
      </c>
      <c r="B7944" s="8" t="s">
        <v>35066</v>
      </c>
      <c r="C7944" s="8" t="s">
        <v>35066</v>
      </c>
      <c r="G7944" s="8">
        <v>20</v>
      </c>
      <c r="H7944" s="8" t="s">
        <v>21</v>
      </c>
      <c r="I7944" s="8" t="s">
        <v>22</v>
      </c>
      <c r="J7944" s="8" t="s">
        <v>22</v>
      </c>
      <c r="K7944" s="8" t="s">
        <v>58</v>
      </c>
      <c r="L7944" s="8" t="s">
        <v>125</v>
      </c>
      <c r="M7944" s="8" t="s">
        <v>126</v>
      </c>
      <c r="N7944" s="8" t="s">
        <v>35067</v>
      </c>
      <c r="O7944" s="8">
        <f>1+24/60+36.4/3600</f>
        <v>1.4101111111111111</v>
      </c>
      <c r="P7944" s="8" t="s">
        <v>35068</v>
      </c>
      <c r="Q7944" s="8">
        <f>+(2+2/60+41/3600)</f>
        <v>2.0447222222222221</v>
      </c>
      <c r="R7944" s="8">
        <v>14</v>
      </c>
      <c r="S7944" s="8">
        <v>15</v>
      </c>
      <c r="T7944" s="8">
        <v>1</v>
      </c>
      <c r="U7944" s="8">
        <v>13.2</v>
      </c>
      <c r="V7944" s="8">
        <v>0.9</v>
      </c>
      <c r="W7944" s="8">
        <v>0.5</v>
      </c>
      <c r="X7944" s="8">
        <v>124</v>
      </c>
      <c r="Y7944" s="8" t="s">
        <v>2181</v>
      </c>
      <c r="Z7944" s="8" t="s">
        <v>2182</v>
      </c>
    </row>
    <row r="7945" spans="1:26" x14ac:dyDescent="0.2">
      <c r="A7945" s="8">
        <v>7944</v>
      </c>
      <c r="B7945" s="8" t="s">
        <v>35069</v>
      </c>
      <c r="C7945" s="8" t="s">
        <v>35069</v>
      </c>
      <c r="G7945" s="8">
        <v>20</v>
      </c>
      <c r="H7945" s="8" t="s">
        <v>21</v>
      </c>
      <c r="I7945" s="8" t="s">
        <v>72</v>
      </c>
      <c r="J7945" s="8" t="s">
        <v>72</v>
      </c>
      <c r="K7945" s="8" t="s">
        <v>73</v>
      </c>
      <c r="L7945" s="8" t="s">
        <v>125</v>
      </c>
      <c r="M7945" s="8" t="s">
        <v>126</v>
      </c>
      <c r="N7945" s="8" t="s">
        <v>35070</v>
      </c>
      <c r="O7945" s="8">
        <f>1+24/60+33.4/3600</f>
        <v>1.4092777777777776</v>
      </c>
      <c r="P7945" s="8" t="s">
        <v>35071</v>
      </c>
      <c r="Q7945" s="8">
        <f>-(1+27/60+21/3600)</f>
        <v>-1.4558333333333333</v>
      </c>
      <c r="R7945" s="8">
        <v>99</v>
      </c>
      <c r="S7945" s="8">
        <v>99</v>
      </c>
      <c r="T7945" s="8">
        <v>99</v>
      </c>
      <c r="U7945" s="8">
        <v>99</v>
      </c>
      <c r="Y7945" s="8" t="s">
        <v>35072</v>
      </c>
      <c r="Z7945" s="8" t="s">
        <v>35073</v>
      </c>
    </row>
    <row r="7946" spans="1:26" x14ac:dyDescent="0.2">
      <c r="A7946" s="8">
        <v>7945</v>
      </c>
      <c r="B7946" s="8" t="s">
        <v>35074</v>
      </c>
      <c r="C7946" s="8" t="s">
        <v>35074</v>
      </c>
      <c r="G7946" s="8">
        <v>20</v>
      </c>
      <c r="H7946" s="8" t="s">
        <v>21</v>
      </c>
      <c r="I7946" s="8" t="s">
        <v>22</v>
      </c>
      <c r="J7946" s="8" t="s">
        <v>22</v>
      </c>
      <c r="K7946" s="8" t="s">
        <v>449</v>
      </c>
      <c r="L7946" s="8" t="s">
        <v>125</v>
      </c>
      <c r="M7946" s="8" t="s">
        <v>126</v>
      </c>
      <c r="N7946" s="8" t="s">
        <v>35075</v>
      </c>
      <c r="O7946" s="8">
        <f>1+24/60+46.2/3600</f>
        <v>1.4128333333333332</v>
      </c>
      <c r="P7946" s="8" t="s">
        <v>35076</v>
      </c>
      <c r="Q7946" s="8">
        <f>+(2+4/60+30/3600)</f>
        <v>2.0750000000000002</v>
      </c>
      <c r="R7946" s="8">
        <v>14.7</v>
      </c>
      <c r="S7946" s="8">
        <v>15.5</v>
      </c>
      <c r="T7946" s="8">
        <v>0.8</v>
      </c>
      <c r="U7946" s="8">
        <v>13.2</v>
      </c>
      <c r="V7946" s="8">
        <v>0.7</v>
      </c>
      <c r="W7946" s="8">
        <v>0.4</v>
      </c>
      <c r="X7946" s="8">
        <v>40</v>
      </c>
      <c r="Y7946" s="8" t="s">
        <v>35077</v>
      </c>
      <c r="Z7946" s="8" t="s">
        <v>35078</v>
      </c>
    </row>
    <row r="7947" spans="1:26" x14ac:dyDescent="0.2">
      <c r="A7947" s="8">
        <v>7946</v>
      </c>
      <c r="B7947" s="8" t="s">
        <v>35079</v>
      </c>
      <c r="C7947" s="8" t="s">
        <v>35079</v>
      </c>
      <c r="G7947" s="8">
        <v>20</v>
      </c>
      <c r="H7947" s="8" t="s">
        <v>21</v>
      </c>
      <c r="I7947" s="8" t="s">
        <v>22</v>
      </c>
      <c r="J7947" s="8" t="s">
        <v>57</v>
      </c>
      <c r="K7947" s="8" t="s">
        <v>632</v>
      </c>
      <c r="L7947" s="8" t="s">
        <v>125</v>
      </c>
      <c r="M7947" s="8" t="s">
        <v>126</v>
      </c>
      <c r="N7947" s="8" t="s">
        <v>2593</v>
      </c>
      <c r="O7947" s="8">
        <f>1+24/60+41.7/3600</f>
        <v>1.4115833333333332</v>
      </c>
      <c r="P7947" s="8" t="s">
        <v>2594</v>
      </c>
      <c r="Q7947" s="8">
        <f>-(1+35/60+13/3600)</f>
        <v>-1.5869444444444445</v>
      </c>
      <c r="R7947" s="8">
        <v>13</v>
      </c>
      <c r="S7947" s="8">
        <v>13.9</v>
      </c>
      <c r="T7947" s="8">
        <v>0.9</v>
      </c>
      <c r="U7947" s="8">
        <v>12.3</v>
      </c>
      <c r="V7947" s="8">
        <v>1.5</v>
      </c>
      <c r="W7947" s="8">
        <v>0.4</v>
      </c>
      <c r="X7947" s="8">
        <v>134</v>
      </c>
      <c r="Y7947" s="8" t="s">
        <v>35080</v>
      </c>
      <c r="Z7947" s="8" t="s">
        <v>35081</v>
      </c>
    </row>
    <row r="7948" spans="1:26" x14ac:dyDescent="0.2">
      <c r="A7948" s="8">
        <v>7947</v>
      </c>
      <c r="B7948" s="8" t="s">
        <v>35082</v>
      </c>
      <c r="C7948" s="8" t="s">
        <v>35082</v>
      </c>
      <c r="G7948" s="8">
        <v>20</v>
      </c>
      <c r="H7948" s="8" t="s">
        <v>21</v>
      </c>
      <c r="I7948" s="8" t="s">
        <v>22</v>
      </c>
      <c r="J7948" s="8" t="s">
        <v>22</v>
      </c>
      <c r="K7948" s="8" t="s">
        <v>382</v>
      </c>
      <c r="L7948" s="8" t="s">
        <v>38</v>
      </c>
      <c r="M7948" s="8" t="s">
        <v>39</v>
      </c>
      <c r="N7948" s="8" t="s">
        <v>35083</v>
      </c>
      <c r="O7948" s="8">
        <f>1+25/60+24.7/3600</f>
        <v>1.4235277777777779</v>
      </c>
      <c r="P7948" s="8" t="s">
        <v>35084</v>
      </c>
      <c r="Q7948" s="8">
        <f>+(14+51/60+53/3600)</f>
        <v>14.864722222222222</v>
      </c>
      <c r="R7948" s="8">
        <v>12.9</v>
      </c>
      <c r="S7948" s="8">
        <v>13.9</v>
      </c>
      <c r="T7948" s="8">
        <v>1</v>
      </c>
      <c r="U7948" s="8">
        <v>12.6</v>
      </c>
      <c r="V7948" s="8">
        <v>1</v>
      </c>
      <c r="W7948" s="8">
        <v>0.7</v>
      </c>
      <c r="X7948" s="8">
        <v>27</v>
      </c>
      <c r="Y7948" s="8" t="s">
        <v>35085</v>
      </c>
      <c r="Z7948" s="8" t="s">
        <v>35086</v>
      </c>
    </row>
    <row r="7949" spans="1:26" x14ac:dyDescent="0.2">
      <c r="A7949" s="8">
        <v>7948</v>
      </c>
      <c r="B7949" s="8" t="s">
        <v>35087</v>
      </c>
      <c r="C7949" s="8" t="s">
        <v>35087</v>
      </c>
      <c r="G7949" s="8">
        <v>20</v>
      </c>
      <c r="H7949" s="8" t="s">
        <v>21</v>
      </c>
      <c r="I7949" s="8" t="s">
        <v>22</v>
      </c>
      <c r="J7949" s="8" t="s">
        <v>22</v>
      </c>
      <c r="K7949" s="8" t="s">
        <v>632</v>
      </c>
      <c r="L7949" s="8" t="s">
        <v>125</v>
      </c>
      <c r="M7949" s="8" t="s">
        <v>126</v>
      </c>
      <c r="N7949" s="8" t="s">
        <v>35088</v>
      </c>
      <c r="O7949" s="8">
        <f>1+24/60+39/3600</f>
        <v>1.4108333333333332</v>
      </c>
      <c r="P7949" s="8" t="s">
        <v>35089</v>
      </c>
      <c r="Q7949" s="8">
        <f>-(12+38/60+8/3600)</f>
        <v>-12.635555555555555</v>
      </c>
      <c r="R7949" s="8">
        <v>14.2</v>
      </c>
      <c r="S7949" s="8">
        <v>15.2</v>
      </c>
      <c r="T7949" s="8">
        <v>1</v>
      </c>
      <c r="U7949" s="8">
        <v>12.7</v>
      </c>
      <c r="V7949" s="8">
        <v>0.9</v>
      </c>
      <c r="W7949" s="8">
        <v>0.2</v>
      </c>
      <c r="X7949" s="8">
        <v>3</v>
      </c>
      <c r="Y7949" s="8" t="s">
        <v>35090</v>
      </c>
      <c r="Z7949" s="8" t="s">
        <v>35091</v>
      </c>
    </row>
    <row r="7950" spans="1:26" x14ac:dyDescent="0.2">
      <c r="A7950" s="8">
        <v>7949</v>
      </c>
      <c r="B7950" s="8" t="s">
        <v>35092</v>
      </c>
      <c r="C7950" s="8" t="s">
        <v>35092</v>
      </c>
      <c r="G7950" s="8">
        <v>20</v>
      </c>
      <c r="H7950" s="8" t="s">
        <v>21</v>
      </c>
      <c r="I7950" s="8" t="s">
        <v>22</v>
      </c>
      <c r="J7950" s="8" t="s">
        <v>22</v>
      </c>
      <c r="K7950" s="8" t="s">
        <v>224</v>
      </c>
      <c r="L7950" s="8" t="s">
        <v>125</v>
      </c>
      <c r="M7950" s="8" t="s">
        <v>126</v>
      </c>
      <c r="N7950" s="8" t="s">
        <v>35093</v>
      </c>
      <c r="O7950" s="8">
        <f>1+25/60+12.9/3600</f>
        <v>1.42025</v>
      </c>
      <c r="P7950" s="8" t="s">
        <v>35094</v>
      </c>
      <c r="Q7950" s="8">
        <f>+(2+4/60+3/3600)</f>
        <v>2.0675000000000003</v>
      </c>
      <c r="R7950" s="8">
        <v>13.5</v>
      </c>
      <c r="S7950" s="8">
        <v>14.5</v>
      </c>
      <c r="T7950" s="8">
        <v>1</v>
      </c>
      <c r="U7950" s="8">
        <v>12.9</v>
      </c>
      <c r="V7950" s="8">
        <v>1.1000000000000001</v>
      </c>
      <c r="W7950" s="8">
        <v>0.9</v>
      </c>
      <c r="X7950" s="8">
        <v>99</v>
      </c>
      <c r="Y7950" s="8" t="s">
        <v>12996</v>
      </c>
      <c r="Z7950" s="8" t="s">
        <v>12997</v>
      </c>
    </row>
    <row r="7951" spans="1:26" x14ac:dyDescent="0.2">
      <c r="A7951" s="8">
        <v>7950</v>
      </c>
      <c r="B7951" s="8" t="s">
        <v>35095</v>
      </c>
      <c r="C7951" s="8" t="s">
        <v>35095</v>
      </c>
      <c r="G7951" s="8">
        <v>20</v>
      </c>
      <c r="H7951" s="8" t="s">
        <v>21</v>
      </c>
      <c r="I7951" s="8" t="s">
        <v>72</v>
      </c>
      <c r="J7951" s="8" t="s">
        <v>72</v>
      </c>
      <c r="K7951" s="8" t="s">
        <v>73</v>
      </c>
      <c r="L7951" s="8" t="s">
        <v>38</v>
      </c>
      <c r="M7951" s="8" t="s">
        <v>39</v>
      </c>
      <c r="N7951" s="8" t="s">
        <v>2649</v>
      </c>
      <c r="O7951" s="8">
        <f>1+25/60+50/3600</f>
        <v>1.4305555555555556</v>
      </c>
      <c r="P7951" s="8" t="s">
        <v>35096</v>
      </c>
      <c r="Q7951" s="8">
        <f>+(33+31/60+36/3600)</f>
        <v>33.526666666666664</v>
      </c>
      <c r="R7951" s="8">
        <v>99</v>
      </c>
      <c r="S7951" s="8">
        <v>99</v>
      </c>
      <c r="T7951" s="8">
        <v>99</v>
      </c>
      <c r="U7951" s="8">
        <v>99</v>
      </c>
      <c r="Y7951" s="8" t="s">
        <v>297</v>
      </c>
      <c r="Z7951" s="8" t="s">
        <v>298</v>
      </c>
    </row>
    <row r="7952" spans="1:26" x14ac:dyDescent="0.2">
      <c r="A7952" s="8">
        <v>7951</v>
      </c>
      <c r="B7952" s="8" t="s">
        <v>35097</v>
      </c>
      <c r="C7952" s="8" t="s">
        <v>35097</v>
      </c>
      <c r="G7952" s="8">
        <v>20</v>
      </c>
      <c r="H7952" s="8" t="s">
        <v>21</v>
      </c>
      <c r="I7952" s="8" t="s">
        <v>329</v>
      </c>
      <c r="J7952" s="8" t="s">
        <v>329</v>
      </c>
      <c r="K7952" s="8" t="s">
        <v>329</v>
      </c>
      <c r="L7952" s="8" t="s">
        <v>38</v>
      </c>
      <c r="M7952" s="8" t="s">
        <v>39</v>
      </c>
      <c r="N7952" s="8" t="s">
        <v>35098</v>
      </c>
      <c r="O7952" s="8">
        <f>1+25/60+49.2/3600</f>
        <v>1.4303333333333335</v>
      </c>
      <c r="P7952" s="8" t="s">
        <v>35099</v>
      </c>
      <c r="Q7952" s="8">
        <f>+(33+30/60+16/3600)</f>
        <v>33.504444444444445</v>
      </c>
      <c r="R7952" s="8">
        <v>99</v>
      </c>
      <c r="S7952" s="8">
        <v>99</v>
      </c>
      <c r="T7952" s="8">
        <v>99</v>
      </c>
      <c r="U7952" s="8">
        <v>99</v>
      </c>
      <c r="Y7952" s="8" t="s">
        <v>35100</v>
      </c>
      <c r="Z7952" s="8" t="s">
        <v>35101</v>
      </c>
    </row>
    <row r="7953" spans="1:26" x14ac:dyDescent="0.2">
      <c r="A7953" s="8">
        <v>7952</v>
      </c>
      <c r="B7953" s="8" t="s">
        <v>35102</v>
      </c>
      <c r="C7953" s="8" t="s">
        <v>35102</v>
      </c>
      <c r="G7953" s="8">
        <v>20</v>
      </c>
      <c r="H7953" s="8" t="s">
        <v>21</v>
      </c>
      <c r="I7953" s="8" t="s">
        <v>22</v>
      </c>
      <c r="J7953" s="8" t="s">
        <v>22</v>
      </c>
      <c r="K7953" s="8" t="s">
        <v>3523</v>
      </c>
      <c r="L7953" s="8" t="s">
        <v>38</v>
      </c>
      <c r="M7953" s="8" t="s">
        <v>39</v>
      </c>
      <c r="N7953" s="8" t="s">
        <v>35103</v>
      </c>
      <c r="O7953" s="8">
        <f>1+26/60+2.9/3600</f>
        <v>1.4341388888888889</v>
      </c>
      <c r="P7953" s="8" t="s">
        <v>35104</v>
      </c>
      <c r="Q7953" s="8">
        <f>+(11+26/60+35/3600)</f>
        <v>11.443055555555556</v>
      </c>
      <c r="R7953" s="8">
        <v>13.8</v>
      </c>
      <c r="S7953" s="8">
        <v>14.4</v>
      </c>
      <c r="T7953" s="8">
        <v>0.6</v>
      </c>
      <c r="U7953" s="8">
        <v>12.4</v>
      </c>
      <c r="V7953" s="8">
        <v>0.8</v>
      </c>
      <c r="W7953" s="8">
        <v>0.4</v>
      </c>
      <c r="X7953" s="8">
        <v>128</v>
      </c>
      <c r="Y7953" s="8" t="s">
        <v>35105</v>
      </c>
      <c r="Z7953" s="8" t="s">
        <v>35106</v>
      </c>
    </row>
    <row r="7954" spans="1:26" x14ac:dyDescent="0.2">
      <c r="A7954" s="8">
        <v>7953</v>
      </c>
      <c r="B7954" s="8" t="s">
        <v>35107</v>
      </c>
      <c r="C7954" s="8" t="s">
        <v>35107</v>
      </c>
      <c r="G7954" s="8">
        <v>20</v>
      </c>
      <c r="H7954" s="8" t="s">
        <v>21</v>
      </c>
      <c r="I7954" s="8" t="s">
        <v>22</v>
      </c>
      <c r="J7954" s="8" t="s">
        <v>22</v>
      </c>
      <c r="K7954" s="8" t="s">
        <v>460</v>
      </c>
      <c r="L7954" s="8" t="s">
        <v>38</v>
      </c>
      <c r="M7954" s="8" t="s">
        <v>39</v>
      </c>
      <c r="N7954" s="8" t="s">
        <v>35108</v>
      </c>
      <c r="O7954" s="8">
        <f>1+26/60+25.5/3600</f>
        <v>1.4404166666666667</v>
      </c>
      <c r="P7954" s="8" t="s">
        <v>35109</v>
      </c>
      <c r="Q7954" s="8">
        <f>+(19+11/60+31/3600)</f>
        <v>19.191944444444445</v>
      </c>
      <c r="R7954" s="8">
        <v>15</v>
      </c>
      <c r="S7954" s="8">
        <v>16</v>
      </c>
      <c r="T7954" s="8">
        <v>1</v>
      </c>
      <c r="U7954" s="8">
        <v>13.1</v>
      </c>
      <c r="V7954" s="8">
        <v>0.4</v>
      </c>
      <c r="W7954" s="8">
        <v>0.4</v>
      </c>
      <c r="Y7954" s="8" t="s">
        <v>35110</v>
      </c>
      <c r="Z7954" s="8" t="s">
        <v>35111</v>
      </c>
    </row>
    <row r="7955" spans="1:26" x14ac:dyDescent="0.2">
      <c r="A7955" s="8">
        <v>7954</v>
      </c>
      <c r="B7955" s="8" t="s">
        <v>35112</v>
      </c>
      <c r="C7955" s="8" t="s">
        <v>35112</v>
      </c>
      <c r="G7955" s="8">
        <v>20</v>
      </c>
      <c r="H7955" s="8" t="s">
        <v>21</v>
      </c>
      <c r="I7955" s="8" t="s">
        <v>22</v>
      </c>
      <c r="J7955" s="8" t="s">
        <v>22</v>
      </c>
      <c r="K7955" s="8" t="s">
        <v>37</v>
      </c>
      <c r="L7955" s="8" t="s">
        <v>38</v>
      </c>
      <c r="M7955" s="8" t="s">
        <v>39</v>
      </c>
      <c r="N7955" s="8" t="s">
        <v>35113</v>
      </c>
      <c r="O7955" s="8">
        <f>1+26/60+22.5/3600</f>
        <v>1.4395833333333334</v>
      </c>
      <c r="P7955" s="8" t="s">
        <v>35114</v>
      </c>
      <c r="Q7955" s="8">
        <f>+(9+54/60+37/3600)</f>
        <v>9.9102777777777789</v>
      </c>
      <c r="R7955" s="8">
        <v>14.2</v>
      </c>
      <c r="S7955" s="8">
        <v>15.2</v>
      </c>
      <c r="T7955" s="8">
        <v>1</v>
      </c>
      <c r="U7955" s="8">
        <v>13.8</v>
      </c>
      <c r="V7955" s="8">
        <v>1.3</v>
      </c>
      <c r="W7955" s="8">
        <v>0.6</v>
      </c>
      <c r="X7955" s="8">
        <v>150</v>
      </c>
      <c r="Y7955" s="8" t="s">
        <v>385</v>
      </c>
      <c r="Z7955" s="8" t="s">
        <v>386</v>
      </c>
    </row>
    <row r="7956" spans="1:26" x14ac:dyDescent="0.2">
      <c r="A7956" s="8">
        <v>7955</v>
      </c>
      <c r="B7956" s="8" t="s">
        <v>35115</v>
      </c>
      <c r="C7956" s="8" t="s">
        <v>35115</v>
      </c>
      <c r="G7956" s="8">
        <v>20</v>
      </c>
      <c r="H7956" s="8" t="s">
        <v>21</v>
      </c>
      <c r="I7956" s="8" t="s">
        <v>22</v>
      </c>
      <c r="J7956" s="8" t="s">
        <v>22</v>
      </c>
      <c r="K7956" s="8" t="s">
        <v>37</v>
      </c>
      <c r="L7956" s="8" t="s">
        <v>38</v>
      </c>
      <c r="M7956" s="8" t="s">
        <v>39</v>
      </c>
      <c r="N7956" s="8" t="s">
        <v>35116</v>
      </c>
      <c r="O7956" s="8">
        <f>1+26/60+54.5/3600</f>
        <v>1.4484722222222222</v>
      </c>
      <c r="P7956" s="8" t="s">
        <v>35117</v>
      </c>
      <c r="Q7956" s="8">
        <f>+(19+12/60+52/3600)</f>
        <v>19.214444444444442</v>
      </c>
      <c r="R7956" s="8">
        <v>14</v>
      </c>
      <c r="S7956" s="8">
        <v>15.2</v>
      </c>
      <c r="T7956" s="8">
        <v>1.2</v>
      </c>
      <c r="U7956" s="8">
        <v>13</v>
      </c>
      <c r="V7956" s="8">
        <v>0.5</v>
      </c>
      <c r="W7956" s="8">
        <v>0.5</v>
      </c>
      <c r="Y7956" s="8" t="s">
        <v>35118</v>
      </c>
      <c r="Z7956" s="8" t="s">
        <v>35119</v>
      </c>
    </row>
    <row r="7957" spans="1:26" x14ac:dyDescent="0.2">
      <c r="A7957" s="8">
        <v>7956</v>
      </c>
      <c r="B7957" s="8" t="s">
        <v>35120</v>
      </c>
      <c r="C7957" s="8" t="s">
        <v>35120</v>
      </c>
      <c r="G7957" s="8">
        <v>20</v>
      </c>
      <c r="H7957" s="8" t="s">
        <v>21</v>
      </c>
      <c r="I7957" s="8" t="s">
        <v>22</v>
      </c>
      <c r="J7957" s="8" t="s">
        <v>22</v>
      </c>
      <c r="K7957" s="8" t="s">
        <v>160</v>
      </c>
      <c r="L7957" s="8" t="s">
        <v>125</v>
      </c>
      <c r="M7957" s="8" t="s">
        <v>126</v>
      </c>
      <c r="N7957" s="8" t="s">
        <v>35121</v>
      </c>
      <c r="O7957" s="8">
        <f>1+26/60+50.5/3600</f>
        <v>1.4473611111111111</v>
      </c>
      <c r="P7957" s="8" t="s">
        <v>35122</v>
      </c>
      <c r="Q7957" s="8">
        <f>-(4+58/60+56/3600)</f>
        <v>-4.9822222222222221</v>
      </c>
      <c r="R7957" s="8">
        <v>13.7</v>
      </c>
      <c r="S7957" s="8">
        <v>14.4</v>
      </c>
      <c r="T7957" s="8">
        <v>0.7</v>
      </c>
      <c r="U7957" s="8">
        <v>12.7</v>
      </c>
      <c r="V7957" s="8">
        <v>0.9</v>
      </c>
      <c r="W7957" s="8">
        <v>0.6</v>
      </c>
      <c r="X7957" s="8">
        <v>129</v>
      </c>
      <c r="Y7957" s="8" t="s">
        <v>972</v>
      </c>
      <c r="Z7957" s="8" t="s">
        <v>973</v>
      </c>
    </row>
    <row r="7958" spans="1:26" x14ac:dyDescent="0.2">
      <c r="A7958" s="8">
        <v>7957</v>
      </c>
      <c r="B7958" s="8" t="s">
        <v>35123</v>
      </c>
      <c r="C7958" s="8" t="s">
        <v>35123</v>
      </c>
      <c r="G7958" s="8">
        <v>20</v>
      </c>
      <c r="H7958" s="8" t="s">
        <v>21</v>
      </c>
      <c r="I7958" s="8" t="s">
        <v>329</v>
      </c>
      <c r="J7958" s="8" t="s">
        <v>329</v>
      </c>
      <c r="K7958" s="8" t="s">
        <v>329</v>
      </c>
      <c r="L7958" s="8" t="s">
        <v>125</v>
      </c>
      <c r="M7958" s="8" t="s">
        <v>126</v>
      </c>
      <c r="N7958" s="8" t="s">
        <v>35124</v>
      </c>
      <c r="O7958" s="8">
        <f>1+27/60+21/3600</f>
        <v>1.4558333333333333</v>
      </c>
      <c r="P7958" s="8" t="s">
        <v>35125</v>
      </c>
      <c r="Q7958" s="8">
        <f>-(1+51/60+52/3600)</f>
        <v>-1.8644444444444446</v>
      </c>
      <c r="R7958" s="8">
        <v>99</v>
      </c>
      <c r="S7958" s="8">
        <v>99</v>
      </c>
      <c r="T7958" s="8">
        <v>99</v>
      </c>
      <c r="U7958" s="8">
        <v>99</v>
      </c>
      <c r="Y7958" s="8" t="s">
        <v>35126</v>
      </c>
      <c r="Z7958" s="8" t="s">
        <v>35127</v>
      </c>
    </row>
    <row r="7959" spans="1:26" x14ac:dyDescent="0.2">
      <c r="A7959" s="8">
        <v>7958</v>
      </c>
      <c r="B7959" s="8" t="s">
        <v>35128</v>
      </c>
      <c r="C7959" s="8" t="s">
        <v>35128</v>
      </c>
      <c r="G7959" s="8">
        <v>20</v>
      </c>
      <c r="H7959" s="8" t="s">
        <v>21</v>
      </c>
      <c r="I7959" s="8" t="s">
        <v>22</v>
      </c>
      <c r="J7959" s="8" t="s">
        <v>22</v>
      </c>
      <c r="K7959" s="8" t="s">
        <v>460</v>
      </c>
      <c r="L7959" s="8" t="s">
        <v>125</v>
      </c>
      <c r="M7959" s="8" t="s">
        <v>126</v>
      </c>
      <c r="N7959" s="8" t="s">
        <v>35129</v>
      </c>
      <c r="O7959" s="8">
        <f>1+27/60+36/3600</f>
        <v>1.46</v>
      </c>
      <c r="P7959" s="8" t="s">
        <v>35130</v>
      </c>
      <c r="Q7959" s="8">
        <f>-(4+59/60+49/3600)</f>
        <v>-4.9969444444444449</v>
      </c>
      <c r="R7959" s="8">
        <v>15.1</v>
      </c>
      <c r="S7959" s="8">
        <v>16.100000000000001</v>
      </c>
      <c r="T7959" s="8">
        <v>1</v>
      </c>
      <c r="U7959" s="8">
        <v>13.7</v>
      </c>
      <c r="V7959" s="8">
        <v>0.5</v>
      </c>
      <c r="W7959" s="8">
        <v>0.5</v>
      </c>
      <c r="Y7959" s="8" t="s">
        <v>3357</v>
      </c>
      <c r="Z7959" s="8" t="s">
        <v>3358</v>
      </c>
    </row>
    <row r="7960" spans="1:26" x14ac:dyDescent="0.2">
      <c r="A7960" s="8">
        <v>7959</v>
      </c>
      <c r="B7960" s="8" t="s">
        <v>35131</v>
      </c>
      <c r="C7960" s="8" t="s">
        <v>35131</v>
      </c>
      <c r="G7960" s="8">
        <v>20</v>
      </c>
      <c r="H7960" s="8" t="s">
        <v>21</v>
      </c>
      <c r="I7960" s="8" t="s">
        <v>22</v>
      </c>
      <c r="J7960" s="8" t="s">
        <v>22</v>
      </c>
      <c r="K7960" s="8" t="s">
        <v>435</v>
      </c>
      <c r="L7960" s="8" t="s">
        <v>125</v>
      </c>
      <c r="M7960" s="8" t="s">
        <v>126</v>
      </c>
      <c r="N7960" s="8" t="s">
        <v>35132</v>
      </c>
      <c r="O7960" s="8">
        <f>1+27/60+54.9/3600</f>
        <v>1.4652499999999999</v>
      </c>
      <c r="P7960" s="8" t="s">
        <v>35133</v>
      </c>
      <c r="Q7960" s="8">
        <f>-(2+2/60+24/3600)</f>
        <v>-2.04</v>
      </c>
      <c r="R7960" s="8">
        <v>13.7</v>
      </c>
      <c r="S7960" s="8">
        <v>14.6</v>
      </c>
      <c r="T7960" s="8">
        <v>0.9</v>
      </c>
      <c r="U7960" s="8">
        <v>13</v>
      </c>
      <c r="V7960" s="8">
        <v>1.3</v>
      </c>
      <c r="W7960" s="8">
        <v>0.6</v>
      </c>
      <c r="X7960" s="8">
        <v>77</v>
      </c>
      <c r="Y7960" s="8" t="s">
        <v>35134</v>
      </c>
      <c r="Z7960" s="8" t="s">
        <v>35135</v>
      </c>
    </row>
    <row r="7961" spans="1:26" x14ac:dyDescent="0.2">
      <c r="A7961" s="8">
        <v>7960</v>
      </c>
      <c r="B7961" s="8" t="s">
        <v>35136</v>
      </c>
      <c r="C7961" s="8" t="s">
        <v>35136</v>
      </c>
      <c r="G7961" s="8">
        <v>20</v>
      </c>
      <c r="H7961" s="8" t="s">
        <v>21</v>
      </c>
      <c r="I7961" s="8" t="s">
        <v>22</v>
      </c>
      <c r="J7961" s="8" t="s">
        <v>22</v>
      </c>
      <c r="K7961" s="8" t="s">
        <v>37</v>
      </c>
      <c r="L7961" s="8" t="s">
        <v>125</v>
      </c>
      <c r="M7961" s="8" t="s">
        <v>126</v>
      </c>
      <c r="N7961" s="8" t="s">
        <v>35137</v>
      </c>
      <c r="O7961" s="8">
        <f>1+28/60+12.8/3600</f>
        <v>1.4702222222222223</v>
      </c>
      <c r="P7961" s="8" t="s">
        <v>35138</v>
      </c>
      <c r="Q7961" s="8">
        <f>-(1+54/60+54/3600)</f>
        <v>-1.9149999999999998</v>
      </c>
      <c r="R7961" s="8">
        <v>14.3</v>
      </c>
      <c r="S7961" s="8">
        <v>15.3</v>
      </c>
      <c r="T7961" s="8">
        <v>1</v>
      </c>
      <c r="U7961" s="8">
        <v>12.3</v>
      </c>
      <c r="V7961" s="8">
        <v>0.9</v>
      </c>
      <c r="W7961" s="8">
        <v>0.2</v>
      </c>
      <c r="X7961" s="8">
        <v>135</v>
      </c>
      <c r="Y7961" s="8" t="s">
        <v>33652</v>
      </c>
      <c r="Z7961" s="8" t="s">
        <v>33653</v>
      </c>
    </row>
    <row r="7962" spans="1:26" x14ac:dyDescent="0.2">
      <c r="A7962" s="8">
        <v>7961</v>
      </c>
      <c r="B7962" s="8" t="s">
        <v>35139</v>
      </c>
      <c r="C7962" s="8" t="s">
        <v>35139</v>
      </c>
      <c r="G7962" s="8">
        <v>20</v>
      </c>
      <c r="H7962" s="8" t="s">
        <v>21</v>
      </c>
      <c r="I7962" s="8" t="s">
        <v>22</v>
      </c>
      <c r="J7962" s="8" t="s">
        <v>22</v>
      </c>
      <c r="K7962" s="8" t="s">
        <v>396</v>
      </c>
      <c r="L7962" s="8" t="s">
        <v>125</v>
      </c>
      <c r="M7962" s="8" t="s">
        <v>126</v>
      </c>
      <c r="N7962" s="8" t="s">
        <v>35140</v>
      </c>
      <c r="O7962" s="8">
        <f>1+28/60+21.7/3600</f>
        <v>1.4726944444444445</v>
      </c>
      <c r="P7962" s="8" t="s">
        <v>35141</v>
      </c>
      <c r="Q7962" s="8">
        <f>+(2+30/60+46/3600)</f>
        <v>2.512777777777778</v>
      </c>
      <c r="R7962" s="8">
        <v>13.5</v>
      </c>
      <c r="S7962" s="8">
        <v>14.3</v>
      </c>
      <c r="T7962" s="8">
        <v>0.8</v>
      </c>
      <c r="U7962" s="8">
        <v>12.5</v>
      </c>
      <c r="V7962" s="8">
        <v>0.9</v>
      </c>
      <c r="W7962" s="8">
        <v>0.5</v>
      </c>
      <c r="X7962" s="8">
        <v>108</v>
      </c>
      <c r="Y7962" s="8" t="s">
        <v>6420</v>
      </c>
      <c r="Z7962" s="8" t="s">
        <v>6421</v>
      </c>
    </row>
    <row r="7963" spans="1:26" x14ac:dyDescent="0.2">
      <c r="A7963" s="8">
        <v>7962</v>
      </c>
      <c r="B7963" s="8" t="s">
        <v>35142</v>
      </c>
      <c r="C7963" s="8" t="s">
        <v>35142</v>
      </c>
      <c r="G7963" s="8">
        <v>20</v>
      </c>
      <c r="H7963" s="8" t="s">
        <v>21</v>
      </c>
      <c r="I7963" s="8" t="s">
        <v>22</v>
      </c>
      <c r="J7963" s="8" t="s">
        <v>22</v>
      </c>
      <c r="K7963" s="8" t="s">
        <v>37</v>
      </c>
      <c r="L7963" s="8" t="s">
        <v>125</v>
      </c>
      <c r="M7963" s="8" t="s">
        <v>126</v>
      </c>
      <c r="N7963" s="8" t="s">
        <v>35143</v>
      </c>
      <c r="O7963" s="8">
        <f>1+28/60+13.1/3600</f>
        <v>1.4703055555555558</v>
      </c>
      <c r="P7963" s="8" t="s">
        <v>35144</v>
      </c>
      <c r="Q7963" s="8">
        <f>-(14+50/60+20/3600)</f>
        <v>-14.83888888888889</v>
      </c>
      <c r="R7963" s="8">
        <v>15</v>
      </c>
      <c r="S7963" s="8">
        <v>16</v>
      </c>
      <c r="T7963" s="8">
        <v>1</v>
      </c>
      <c r="U7963" s="8">
        <v>12.4</v>
      </c>
      <c r="V7963" s="8">
        <v>0.5</v>
      </c>
      <c r="W7963" s="8">
        <v>0.2</v>
      </c>
      <c r="X7963" s="8">
        <v>10</v>
      </c>
      <c r="Y7963" s="8" t="s">
        <v>17761</v>
      </c>
      <c r="Z7963" s="8" t="s">
        <v>17762</v>
      </c>
    </row>
    <row r="7964" spans="1:26" x14ac:dyDescent="0.2">
      <c r="A7964" s="8">
        <v>7963</v>
      </c>
      <c r="B7964" s="8" t="s">
        <v>35145</v>
      </c>
      <c r="C7964" s="8" t="s">
        <v>35145</v>
      </c>
      <c r="G7964" s="8">
        <v>20</v>
      </c>
      <c r="H7964" s="8" t="s">
        <v>21</v>
      </c>
      <c r="I7964" s="8" t="s">
        <v>22</v>
      </c>
      <c r="J7964" s="8" t="s">
        <v>22</v>
      </c>
      <c r="K7964" s="8" t="s">
        <v>449</v>
      </c>
      <c r="L7964" s="8" t="s">
        <v>125</v>
      </c>
      <c r="M7964" s="8" t="s">
        <v>126</v>
      </c>
      <c r="N7964" s="8" t="s">
        <v>35146</v>
      </c>
      <c r="O7964" s="8">
        <f>1+28/60+51.4/3600</f>
        <v>1.4809444444444446</v>
      </c>
      <c r="P7964" s="8" t="s">
        <v>35147</v>
      </c>
      <c r="Q7964" s="8">
        <f>+(2+26/60+49/3600)</f>
        <v>2.4469444444444446</v>
      </c>
      <c r="R7964" s="8">
        <v>14.3</v>
      </c>
      <c r="S7964" s="8">
        <v>15.1</v>
      </c>
      <c r="T7964" s="8">
        <v>0.8</v>
      </c>
      <c r="U7964" s="8">
        <v>11.8</v>
      </c>
      <c r="V7964" s="8">
        <v>0.4</v>
      </c>
      <c r="W7964" s="8">
        <v>0.3</v>
      </c>
      <c r="X7964" s="8">
        <v>36</v>
      </c>
      <c r="Y7964" s="8" t="s">
        <v>337</v>
      </c>
      <c r="Z7964" s="8" t="s">
        <v>338</v>
      </c>
    </row>
    <row r="7965" spans="1:26" x14ac:dyDescent="0.2">
      <c r="A7965" s="8">
        <v>7964</v>
      </c>
      <c r="B7965" s="8" t="s">
        <v>35148</v>
      </c>
      <c r="C7965" s="8" t="s">
        <v>35148</v>
      </c>
      <c r="G7965" s="8">
        <v>20</v>
      </c>
      <c r="H7965" s="8" t="s">
        <v>21</v>
      </c>
      <c r="I7965" s="8" t="s">
        <v>72</v>
      </c>
      <c r="J7965" s="8" t="s">
        <v>72</v>
      </c>
      <c r="K7965" s="8" t="s">
        <v>20</v>
      </c>
      <c r="L7965" s="8" t="s">
        <v>125</v>
      </c>
      <c r="M7965" s="8" t="s">
        <v>126</v>
      </c>
      <c r="N7965" s="8" t="s">
        <v>35149</v>
      </c>
      <c r="O7965" s="8">
        <f>1+29/60+9/3600</f>
        <v>1.4858333333333333</v>
      </c>
      <c r="P7965" s="8" t="s">
        <v>35150</v>
      </c>
      <c r="Q7965" s="8">
        <f>-(1+56/60+13/3600)</f>
        <v>-1.9369444444444444</v>
      </c>
      <c r="R7965" s="8">
        <v>99</v>
      </c>
      <c r="S7965" s="8">
        <v>99</v>
      </c>
      <c r="T7965" s="8">
        <v>99</v>
      </c>
      <c r="U7965" s="8">
        <v>99</v>
      </c>
      <c r="Y7965" s="8" t="s">
        <v>35151</v>
      </c>
      <c r="Z7965" s="8" t="s">
        <v>35152</v>
      </c>
    </row>
    <row r="7966" spans="1:26" x14ac:dyDescent="0.2">
      <c r="A7966" s="8">
        <v>7965</v>
      </c>
      <c r="B7966" s="8" t="s">
        <v>35153</v>
      </c>
      <c r="C7966" s="8" t="s">
        <v>35153</v>
      </c>
      <c r="G7966" s="8">
        <v>20</v>
      </c>
      <c r="H7966" s="8" t="s">
        <v>21</v>
      </c>
      <c r="I7966" s="8" t="s">
        <v>22</v>
      </c>
      <c r="J7966" s="8" t="s">
        <v>22</v>
      </c>
      <c r="K7966" s="8" t="s">
        <v>449</v>
      </c>
      <c r="L7966" s="8" t="s">
        <v>125</v>
      </c>
      <c r="M7966" s="8" t="s">
        <v>126</v>
      </c>
      <c r="N7966" s="8" t="s">
        <v>35154</v>
      </c>
      <c r="O7966" s="8">
        <f>1+29/60+18.3/3600</f>
        <v>1.4884166666666667</v>
      </c>
      <c r="P7966" s="8" t="s">
        <v>35155</v>
      </c>
      <c r="Q7966" s="8">
        <f>-(13+16/60+46/3600)</f>
        <v>-13.279444444444445</v>
      </c>
      <c r="R7966" s="8">
        <v>15.4</v>
      </c>
      <c r="S7966" s="8">
        <v>16.2</v>
      </c>
      <c r="T7966" s="8">
        <v>0.8</v>
      </c>
      <c r="U7966" s="8">
        <v>13.7</v>
      </c>
      <c r="V7966" s="8">
        <v>0.5</v>
      </c>
      <c r="W7966" s="8">
        <v>0.5</v>
      </c>
      <c r="Y7966" s="8" t="s">
        <v>3357</v>
      </c>
      <c r="Z7966" s="8" t="s">
        <v>3358</v>
      </c>
    </row>
    <row r="7967" spans="1:26" x14ac:dyDescent="0.2">
      <c r="A7967" s="8">
        <v>7966</v>
      </c>
      <c r="B7967" s="8" t="s">
        <v>35156</v>
      </c>
      <c r="C7967" s="8" t="s">
        <v>35156</v>
      </c>
      <c r="G7967" s="8">
        <v>20</v>
      </c>
      <c r="H7967" s="8" t="s">
        <v>21</v>
      </c>
      <c r="I7967" s="8" t="s">
        <v>22</v>
      </c>
      <c r="J7967" s="8" t="s">
        <v>22</v>
      </c>
      <c r="K7967" s="8" t="s">
        <v>449</v>
      </c>
      <c r="L7967" s="8" t="s">
        <v>125</v>
      </c>
      <c r="M7967" s="8" t="s">
        <v>126</v>
      </c>
      <c r="N7967" s="8" t="s">
        <v>35157</v>
      </c>
      <c r="O7967" s="8">
        <f>1+29/60+47.7/3600</f>
        <v>1.4965833333333334</v>
      </c>
      <c r="P7967" s="8" t="s">
        <v>35158</v>
      </c>
      <c r="Q7967" s="8">
        <f>-(1+59/60+0/3600)</f>
        <v>-1.9833333333333334</v>
      </c>
      <c r="R7967" s="8">
        <v>14.4</v>
      </c>
      <c r="S7967" s="8">
        <v>15.2</v>
      </c>
      <c r="T7967" s="8">
        <v>0.8</v>
      </c>
      <c r="U7967" s="8">
        <v>14</v>
      </c>
      <c r="V7967" s="8">
        <v>0.9</v>
      </c>
      <c r="W7967" s="8">
        <v>0.9</v>
      </c>
      <c r="Y7967" s="8" t="s">
        <v>35159</v>
      </c>
      <c r="Z7967" s="8" t="s">
        <v>35160</v>
      </c>
    </row>
    <row r="7968" spans="1:26" x14ac:dyDescent="0.2">
      <c r="A7968" s="8">
        <v>7967</v>
      </c>
      <c r="B7968" s="8" t="s">
        <v>35161</v>
      </c>
      <c r="C7968" s="8" t="s">
        <v>35161</v>
      </c>
      <c r="G7968" s="8">
        <v>20</v>
      </c>
      <c r="H7968" s="8" t="s">
        <v>21</v>
      </c>
      <c r="I7968" s="8" t="s">
        <v>22</v>
      </c>
      <c r="J7968" s="8" t="s">
        <v>22</v>
      </c>
      <c r="K7968" s="8" t="s">
        <v>23</v>
      </c>
      <c r="L7968" s="8" t="s">
        <v>125</v>
      </c>
      <c r="M7968" s="8" t="s">
        <v>126</v>
      </c>
      <c r="N7968" s="8" t="s">
        <v>35162</v>
      </c>
      <c r="O7968" s="8">
        <f>1+29/60+47.4/3600</f>
        <v>1.4965000000000002</v>
      </c>
      <c r="P7968" s="8" t="s">
        <v>35163</v>
      </c>
      <c r="Q7968" s="8">
        <f>-(6+58/60+47/3600)</f>
        <v>-6.9797222222222226</v>
      </c>
      <c r="R7968" s="8">
        <v>13.7</v>
      </c>
      <c r="S7968" s="8">
        <v>14.5</v>
      </c>
      <c r="T7968" s="8">
        <v>0.8</v>
      </c>
      <c r="U7968" s="8">
        <v>13.1</v>
      </c>
      <c r="V7968" s="8">
        <v>1.6</v>
      </c>
      <c r="W7968" s="8">
        <v>0.4</v>
      </c>
      <c r="X7968" s="8">
        <v>125</v>
      </c>
      <c r="Y7968" s="8" t="s">
        <v>35164</v>
      </c>
      <c r="Z7968" s="8" t="s">
        <v>35165</v>
      </c>
    </row>
    <row r="7969" spans="1:26" x14ac:dyDescent="0.2">
      <c r="A7969" s="8">
        <v>7968</v>
      </c>
      <c r="B7969" s="8" t="s">
        <v>35166</v>
      </c>
      <c r="C7969" s="8" t="s">
        <v>35166</v>
      </c>
      <c r="G7969" s="8">
        <v>20</v>
      </c>
      <c r="H7969" s="8" t="s">
        <v>21</v>
      </c>
      <c r="I7969" s="8" t="s">
        <v>22</v>
      </c>
      <c r="J7969" s="8" t="s">
        <v>22</v>
      </c>
      <c r="K7969" s="8" t="s">
        <v>64</v>
      </c>
      <c r="L7969" s="8" t="s">
        <v>125</v>
      </c>
      <c r="M7969" s="8" t="s">
        <v>126</v>
      </c>
      <c r="N7969" s="8" t="s">
        <v>35167</v>
      </c>
      <c r="O7969" s="8">
        <f>1+31/60+23.9/3600</f>
        <v>1.5233055555555555</v>
      </c>
      <c r="P7969" s="8" t="s">
        <v>35168</v>
      </c>
      <c r="Q7969" s="8">
        <f>-(12+37/60+28/3600)</f>
        <v>-12.624444444444444</v>
      </c>
      <c r="R7969" s="8">
        <v>14.6</v>
      </c>
      <c r="S7969" s="8">
        <v>15.3</v>
      </c>
      <c r="T7969" s="8">
        <v>0.7</v>
      </c>
      <c r="U7969" s="8">
        <v>13.9</v>
      </c>
      <c r="V7969" s="8">
        <v>0.9</v>
      </c>
      <c r="W7969" s="8">
        <v>0.7</v>
      </c>
      <c r="X7969" s="8">
        <v>165</v>
      </c>
      <c r="Y7969" s="8" t="s">
        <v>35169</v>
      </c>
      <c r="Z7969" s="8" t="s">
        <v>35170</v>
      </c>
    </row>
    <row r="7970" spans="1:26" x14ac:dyDescent="0.2">
      <c r="A7970" s="8">
        <v>7969</v>
      </c>
      <c r="B7970" s="8" t="s">
        <v>35171</v>
      </c>
      <c r="C7970" s="8" t="s">
        <v>35171</v>
      </c>
      <c r="G7970" s="8">
        <v>20</v>
      </c>
      <c r="H7970" s="8" t="s">
        <v>21</v>
      </c>
      <c r="I7970" s="8" t="s">
        <v>22</v>
      </c>
      <c r="J7970" s="8" t="s">
        <v>22</v>
      </c>
      <c r="K7970" s="8" t="s">
        <v>632</v>
      </c>
      <c r="L7970" s="8" t="s">
        <v>125</v>
      </c>
      <c r="M7970" s="8" t="s">
        <v>126</v>
      </c>
      <c r="N7970" s="8" t="s">
        <v>35172</v>
      </c>
      <c r="O7970" s="8">
        <f>1+31/60+31.2/3600</f>
        <v>1.5253333333333332</v>
      </c>
      <c r="P7970" s="8" t="s">
        <v>35173</v>
      </c>
      <c r="Q7970" s="8">
        <f>-(12+39/60+14/3600)</f>
        <v>-12.65388888888889</v>
      </c>
      <c r="R7970" s="8">
        <v>14.1</v>
      </c>
      <c r="S7970" s="8">
        <v>15</v>
      </c>
      <c r="T7970" s="8">
        <v>0.9</v>
      </c>
      <c r="U7970" s="8">
        <v>14.2</v>
      </c>
      <c r="V7970" s="8">
        <v>1.4</v>
      </c>
      <c r="W7970" s="8">
        <v>0.9</v>
      </c>
      <c r="X7970" s="8">
        <v>60</v>
      </c>
      <c r="Y7970" s="8" t="s">
        <v>35174</v>
      </c>
      <c r="Z7970" s="8" t="s">
        <v>35175</v>
      </c>
    </row>
    <row r="7971" spans="1:26" x14ac:dyDescent="0.2">
      <c r="A7971" s="8">
        <v>7970</v>
      </c>
      <c r="B7971" s="8" t="s">
        <v>35176</v>
      </c>
      <c r="C7971" s="8" t="s">
        <v>35176</v>
      </c>
      <c r="G7971" s="8">
        <v>20</v>
      </c>
      <c r="H7971" s="8" t="s">
        <v>21</v>
      </c>
      <c r="I7971" s="8" t="s">
        <v>22</v>
      </c>
      <c r="J7971" s="8" t="s">
        <v>22</v>
      </c>
      <c r="K7971" s="8" t="s">
        <v>37</v>
      </c>
      <c r="L7971" s="8" t="s">
        <v>125</v>
      </c>
      <c r="M7971" s="8" t="s">
        <v>126</v>
      </c>
      <c r="N7971" s="8" t="s">
        <v>35177</v>
      </c>
      <c r="O7971" s="8">
        <f>1+31/60+28.7/3600</f>
        <v>1.5246388888888889</v>
      </c>
      <c r="P7971" s="8" t="s">
        <v>35178</v>
      </c>
      <c r="Q7971" s="8">
        <f>-(15+35/60+28/3600)</f>
        <v>-15.591111111111111</v>
      </c>
      <c r="R7971" s="8">
        <v>14.2</v>
      </c>
      <c r="S7971" s="8">
        <v>15.3</v>
      </c>
      <c r="T7971" s="8">
        <v>1.1000000000000001</v>
      </c>
      <c r="U7971" s="8">
        <v>12.6</v>
      </c>
      <c r="V7971" s="8">
        <v>0.5</v>
      </c>
      <c r="W7971" s="8">
        <v>0.5</v>
      </c>
      <c r="Y7971" s="8" t="s">
        <v>17508</v>
      </c>
      <c r="Z7971" s="8" t="s">
        <v>17509</v>
      </c>
    </row>
    <row r="7972" spans="1:26" x14ac:dyDescent="0.2">
      <c r="A7972" s="8">
        <v>7971</v>
      </c>
      <c r="B7972" s="8" t="s">
        <v>35179</v>
      </c>
      <c r="C7972" s="8" t="s">
        <v>35179</v>
      </c>
      <c r="G7972" s="8">
        <v>20</v>
      </c>
      <c r="H7972" s="8" t="s">
        <v>21</v>
      </c>
      <c r="I7972" s="8" t="s">
        <v>1075</v>
      </c>
      <c r="J7972" s="8" t="s">
        <v>1075</v>
      </c>
      <c r="K7972" s="8" t="s">
        <v>1075</v>
      </c>
      <c r="L7972" s="8" t="s">
        <v>2809</v>
      </c>
      <c r="M7972" s="8" t="s">
        <v>2810</v>
      </c>
      <c r="N7972" s="8" t="s">
        <v>35180</v>
      </c>
      <c r="O7972" s="8">
        <f>1+33/60+11.1/3600</f>
        <v>1.5530833333333334</v>
      </c>
      <c r="P7972" s="8" t="s">
        <v>35181</v>
      </c>
      <c r="Q7972" s="8">
        <f>+(30+45/60+10/3600)</f>
        <v>30.752777777777776</v>
      </c>
      <c r="R7972" s="8">
        <v>14</v>
      </c>
      <c r="S7972" s="8">
        <v>99</v>
      </c>
      <c r="T7972" s="8">
        <v>99</v>
      </c>
      <c r="U7972" s="8">
        <v>99</v>
      </c>
      <c r="V7972" s="8">
        <v>0.3</v>
      </c>
      <c r="Y7972" s="8" t="s">
        <v>35182</v>
      </c>
      <c r="Z7972" s="8" t="s">
        <v>35183</v>
      </c>
    </row>
    <row r="7973" spans="1:26" x14ac:dyDescent="0.2">
      <c r="A7973" s="8">
        <v>7972</v>
      </c>
      <c r="B7973" s="8" t="s">
        <v>35184</v>
      </c>
      <c r="C7973" s="8" t="s">
        <v>35184</v>
      </c>
      <c r="G7973" s="8">
        <v>20</v>
      </c>
      <c r="H7973" s="8" t="s">
        <v>21</v>
      </c>
      <c r="I7973" s="8" t="s">
        <v>1075</v>
      </c>
      <c r="J7973" s="8" t="s">
        <v>1075</v>
      </c>
      <c r="K7973" s="8" t="s">
        <v>1075</v>
      </c>
      <c r="L7973" s="8" t="s">
        <v>2809</v>
      </c>
      <c r="M7973" s="8" t="s">
        <v>2810</v>
      </c>
      <c r="N7973" s="8" t="s">
        <v>35185</v>
      </c>
      <c r="O7973" s="8">
        <f>1+33/60+16/3600</f>
        <v>1.5544444444444445</v>
      </c>
      <c r="P7973" s="8" t="s">
        <v>35186</v>
      </c>
      <c r="Q7973" s="8">
        <f>+(30+56/60+42/3600)</f>
        <v>30.945</v>
      </c>
      <c r="R7973" s="8">
        <v>13.5</v>
      </c>
      <c r="S7973" s="8">
        <v>99</v>
      </c>
      <c r="T7973" s="8">
        <v>99</v>
      </c>
      <c r="U7973" s="8">
        <v>99</v>
      </c>
      <c r="V7973" s="8">
        <v>0.7</v>
      </c>
      <c r="Y7973" s="8" t="s">
        <v>35187</v>
      </c>
      <c r="Z7973" s="8" t="s">
        <v>35188</v>
      </c>
    </row>
    <row r="7974" spans="1:26" x14ac:dyDescent="0.2">
      <c r="A7974" s="8">
        <v>7973</v>
      </c>
      <c r="B7974" s="8" t="s">
        <v>35189</v>
      </c>
      <c r="C7974" s="8" t="s">
        <v>35189</v>
      </c>
      <c r="G7974" s="8">
        <v>20</v>
      </c>
      <c r="H7974" s="8" t="s">
        <v>21</v>
      </c>
      <c r="I7974" s="8" t="s">
        <v>1075</v>
      </c>
      <c r="J7974" s="8" t="s">
        <v>1075</v>
      </c>
      <c r="K7974" s="8" t="s">
        <v>1075</v>
      </c>
      <c r="L7974" s="8" t="s">
        <v>2809</v>
      </c>
      <c r="M7974" s="8" t="s">
        <v>2810</v>
      </c>
      <c r="N7974" s="8" t="s">
        <v>35190</v>
      </c>
      <c r="O7974" s="8">
        <f>1+33/60+15.8/3600</f>
        <v>1.554388888888889</v>
      </c>
      <c r="P7974" s="8" t="s">
        <v>35191</v>
      </c>
      <c r="Q7974" s="8">
        <f>+(30+53/60+5/3600)</f>
        <v>30.884722222222223</v>
      </c>
      <c r="R7974" s="8">
        <v>14</v>
      </c>
      <c r="S7974" s="8">
        <v>99</v>
      </c>
      <c r="T7974" s="8">
        <v>99</v>
      </c>
      <c r="U7974" s="8">
        <v>99</v>
      </c>
      <c r="V7974" s="8">
        <v>0.4</v>
      </c>
      <c r="Y7974" s="8" t="s">
        <v>35192</v>
      </c>
      <c r="Z7974" s="8" t="s">
        <v>35193</v>
      </c>
    </row>
    <row r="7975" spans="1:26" x14ac:dyDescent="0.2">
      <c r="A7975" s="8">
        <v>7974</v>
      </c>
      <c r="B7975" s="8" t="s">
        <v>35194</v>
      </c>
      <c r="C7975" s="8" t="s">
        <v>35194</v>
      </c>
      <c r="G7975" s="8">
        <v>20</v>
      </c>
      <c r="H7975" s="8" t="s">
        <v>21</v>
      </c>
      <c r="I7975" s="8" t="s">
        <v>72</v>
      </c>
      <c r="J7975" s="8" t="s">
        <v>72</v>
      </c>
      <c r="K7975" s="8" t="s">
        <v>20</v>
      </c>
      <c r="L7975" s="8" t="s">
        <v>2809</v>
      </c>
      <c r="M7975" s="8" t="s">
        <v>2810</v>
      </c>
      <c r="N7975" s="8" t="s">
        <v>35195</v>
      </c>
      <c r="O7975" s="8">
        <f>1+33/60+25.2/3600</f>
        <v>1.5569999999999999</v>
      </c>
      <c r="P7975" s="8" t="s">
        <v>35196</v>
      </c>
      <c r="Q7975" s="8">
        <f>+(30+53/60+58/3600)</f>
        <v>30.899444444444445</v>
      </c>
      <c r="R7975" s="8">
        <v>99</v>
      </c>
      <c r="S7975" s="8">
        <v>99</v>
      </c>
      <c r="T7975" s="8">
        <v>99</v>
      </c>
      <c r="U7975" s="8">
        <v>99</v>
      </c>
      <c r="Y7975" s="8" t="s">
        <v>35197</v>
      </c>
      <c r="Z7975" s="8" t="s">
        <v>35198</v>
      </c>
    </row>
    <row r="7976" spans="1:26" x14ac:dyDescent="0.2">
      <c r="A7976" s="8">
        <v>7975</v>
      </c>
      <c r="B7976" s="8" t="s">
        <v>35199</v>
      </c>
      <c r="C7976" s="8" t="s">
        <v>35199</v>
      </c>
      <c r="G7976" s="8">
        <v>20</v>
      </c>
      <c r="H7976" s="8" t="s">
        <v>21</v>
      </c>
      <c r="I7976" s="8" t="s">
        <v>1075</v>
      </c>
      <c r="J7976" s="8" t="s">
        <v>1075</v>
      </c>
      <c r="K7976" s="8" t="s">
        <v>1075</v>
      </c>
      <c r="L7976" s="8" t="s">
        <v>2809</v>
      </c>
      <c r="M7976" s="8" t="s">
        <v>2810</v>
      </c>
      <c r="N7976" s="8" t="s">
        <v>35200</v>
      </c>
      <c r="O7976" s="8">
        <f>1+34/60+15.5/3600</f>
        <v>1.5709722222222222</v>
      </c>
      <c r="P7976" s="8" t="s">
        <v>35201</v>
      </c>
      <c r="Q7976" s="8">
        <f>+(30+37/60+10/3600)</f>
        <v>30.619444444444444</v>
      </c>
      <c r="R7976" s="8">
        <v>14</v>
      </c>
      <c r="S7976" s="8">
        <v>99</v>
      </c>
      <c r="T7976" s="8">
        <v>99</v>
      </c>
      <c r="U7976" s="8">
        <v>99</v>
      </c>
      <c r="V7976" s="8">
        <v>0.4</v>
      </c>
      <c r="Y7976" s="8" t="s">
        <v>297</v>
      </c>
      <c r="Z7976" s="8" t="s">
        <v>298</v>
      </c>
    </row>
    <row r="7977" spans="1:26" x14ac:dyDescent="0.2">
      <c r="A7977" s="8">
        <v>7976</v>
      </c>
      <c r="B7977" s="8" t="s">
        <v>35202</v>
      </c>
      <c r="C7977" s="8" t="s">
        <v>35202</v>
      </c>
      <c r="G7977" s="8">
        <v>20</v>
      </c>
      <c r="H7977" s="8" t="s">
        <v>21</v>
      </c>
      <c r="I7977" s="8" t="s">
        <v>1075</v>
      </c>
      <c r="J7977" s="8" t="s">
        <v>1075</v>
      </c>
      <c r="K7977" s="8" t="s">
        <v>1075</v>
      </c>
      <c r="L7977" s="8" t="s">
        <v>2809</v>
      </c>
      <c r="M7977" s="8" t="s">
        <v>2810</v>
      </c>
      <c r="N7977" s="8" t="s">
        <v>35203</v>
      </c>
      <c r="O7977" s="8">
        <f>1+34/60+13.5/3600</f>
        <v>1.5704166666666666</v>
      </c>
      <c r="P7977" s="8" t="s">
        <v>35204</v>
      </c>
      <c r="Q7977" s="8">
        <f>+(30+33/60+40/3600)</f>
        <v>30.561111111111114</v>
      </c>
      <c r="R7977" s="8">
        <v>14.5</v>
      </c>
      <c r="S7977" s="8">
        <v>99</v>
      </c>
      <c r="T7977" s="8">
        <v>99</v>
      </c>
      <c r="U7977" s="8">
        <v>99</v>
      </c>
      <c r="V7977" s="8">
        <v>0.3</v>
      </c>
      <c r="Y7977" s="8" t="s">
        <v>35205</v>
      </c>
      <c r="Z7977" s="8" t="s">
        <v>35206</v>
      </c>
    </row>
    <row r="7978" spans="1:26" x14ac:dyDescent="0.2">
      <c r="A7978" s="8">
        <v>7977</v>
      </c>
      <c r="B7978" s="8" t="s">
        <v>35207</v>
      </c>
      <c r="C7978" s="8" t="s">
        <v>35207</v>
      </c>
      <c r="G7978" s="8">
        <v>20</v>
      </c>
      <c r="H7978" s="8" t="s">
        <v>21</v>
      </c>
      <c r="I7978" s="8" t="s">
        <v>1075</v>
      </c>
      <c r="J7978" s="8" t="s">
        <v>1075</v>
      </c>
      <c r="K7978" s="8" t="s">
        <v>1075</v>
      </c>
      <c r="L7978" s="8" t="s">
        <v>2809</v>
      </c>
      <c r="M7978" s="8" t="s">
        <v>2810</v>
      </c>
      <c r="N7978" s="8" t="s">
        <v>35208</v>
      </c>
      <c r="O7978" s="8">
        <f>1+33/60+38.8/3600</f>
        <v>1.5607777777777778</v>
      </c>
      <c r="P7978" s="8" t="s">
        <v>35209</v>
      </c>
      <c r="Q7978" s="8">
        <f>+(30+31/60+23/3600)</f>
        <v>30.523055555555555</v>
      </c>
      <c r="R7978" s="8">
        <v>14</v>
      </c>
      <c r="S7978" s="8">
        <v>99</v>
      </c>
      <c r="T7978" s="8">
        <v>99</v>
      </c>
      <c r="U7978" s="8">
        <v>99</v>
      </c>
      <c r="V7978" s="8">
        <v>0.6</v>
      </c>
      <c r="Y7978" s="8" t="s">
        <v>34897</v>
      </c>
      <c r="Z7978" s="8" t="s">
        <v>34898</v>
      </c>
    </row>
    <row r="7979" spans="1:26" x14ac:dyDescent="0.2">
      <c r="A7979" s="8">
        <v>7978</v>
      </c>
      <c r="B7979" s="8" t="s">
        <v>35210</v>
      </c>
      <c r="C7979" s="8" t="s">
        <v>35210</v>
      </c>
      <c r="G7979" s="8">
        <v>20</v>
      </c>
      <c r="H7979" s="8" t="s">
        <v>21</v>
      </c>
      <c r="I7979" s="8" t="s">
        <v>22</v>
      </c>
      <c r="J7979" s="8" t="s">
        <v>22</v>
      </c>
      <c r="K7979" s="8" t="s">
        <v>160</v>
      </c>
      <c r="L7979" s="8" t="s">
        <v>125</v>
      </c>
      <c r="M7979" s="8" t="s">
        <v>126</v>
      </c>
      <c r="N7979" s="8" t="s">
        <v>35211</v>
      </c>
      <c r="O7979" s="8">
        <f>1+33/60+2/3600</f>
        <v>1.5505555555555557</v>
      </c>
      <c r="P7979" s="8" t="s">
        <v>35212</v>
      </c>
      <c r="Q7979" s="8">
        <f>-(0+41/60+23/3600)</f>
        <v>-0.68972222222222224</v>
      </c>
      <c r="R7979" s="8">
        <v>13.9</v>
      </c>
      <c r="S7979" s="8">
        <v>14.6</v>
      </c>
      <c r="T7979" s="8">
        <v>0.7</v>
      </c>
      <c r="U7979" s="8">
        <v>13.4</v>
      </c>
      <c r="V7979" s="8">
        <v>1.1000000000000001</v>
      </c>
      <c r="W7979" s="8">
        <v>0.8</v>
      </c>
      <c r="X7979" s="8">
        <v>30</v>
      </c>
      <c r="Y7979" s="8" t="s">
        <v>1694</v>
      </c>
      <c r="Z7979" s="8" t="s">
        <v>1695</v>
      </c>
    </row>
    <row r="7980" spans="1:26" x14ac:dyDescent="0.2">
      <c r="A7980" s="8">
        <v>7979</v>
      </c>
      <c r="B7980" s="8" t="s">
        <v>35213</v>
      </c>
      <c r="C7980" s="8" t="s">
        <v>35213</v>
      </c>
      <c r="G7980" s="8">
        <v>20</v>
      </c>
      <c r="H7980" s="8" t="s">
        <v>21</v>
      </c>
      <c r="I7980" s="8" t="s">
        <v>1075</v>
      </c>
      <c r="J7980" s="8" t="s">
        <v>1075</v>
      </c>
      <c r="K7980" s="8" t="s">
        <v>1075</v>
      </c>
      <c r="L7980" s="8" t="s">
        <v>2809</v>
      </c>
      <c r="M7980" s="8" t="s">
        <v>2810</v>
      </c>
      <c r="N7980" s="8" t="s">
        <v>35214</v>
      </c>
      <c r="O7980" s="8">
        <f>1+33/60+59.3/3600</f>
        <v>1.5664722222222223</v>
      </c>
      <c r="P7980" s="8" t="s">
        <v>35215</v>
      </c>
      <c r="Q7980" s="8">
        <f>+(30+34/60+33/3600)</f>
        <v>30.575833333333332</v>
      </c>
      <c r="R7980" s="8">
        <v>14</v>
      </c>
      <c r="S7980" s="8">
        <v>99</v>
      </c>
      <c r="T7980" s="8">
        <v>99</v>
      </c>
      <c r="U7980" s="8">
        <v>99</v>
      </c>
      <c r="V7980" s="8">
        <v>0.5</v>
      </c>
      <c r="Y7980" s="8" t="s">
        <v>35216</v>
      </c>
      <c r="Z7980" s="8" t="s">
        <v>35217</v>
      </c>
    </row>
    <row r="7981" spans="1:26" x14ac:dyDescent="0.2">
      <c r="A7981" s="8">
        <v>7980</v>
      </c>
      <c r="B7981" s="8" t="s">
        <v>35218</v>
      </c>
      <c r="C7981" s="8" t="s">
        <v>35218</v>
      </c>
      <c r="G7981" s="8">
        <v>20</v>
      </c>
      <c r="H7981" s="8" t="s">
        <v>21</v>
      </c>
      <c r="I7981" s="8" t="s">
        <v>1075</v>
      </c>
      <c r="J7981" s="8" t="s">
        <v>1075</v>
      </c>
      <c r="K7981" s="8" t="s">
        <v>1075</v>
      </c>
      <c r="L7981" s="8" t="s">
        <v>2809</v>
      </c>
      <c r="M7981" s="8" t="s">
        <v>2810</v>
      </c>
      <c r="N7981" s="8" t="s">
        <v>35219</v>
      </c>
      <c r="O7981" s="8">
        <f>1+33/60+58.1/3600</f>
        <v>1.566138888888889</v>
      </c>
      <c r="P7981" s="8" t="s">
        <v>35220</v>
      </c>
      <c r="Q7981" s="8">
        <f>+(30+33/60+2/3600)</f>
        <v>30.550555555555555</v>
      </c>
      <c r="R7981" s="8">
        <v>13</v>
      </c>
      <c r="S7981" s="8">
        <v>99</v>
      </c>
      <c r="T7981" s="8">
        <v>99</v>
      </c>
      <c r="U7981" s="8">
        <v>99</v>
      </c>
      <c r="V7981" s="8">
        <v>0.5</v>
      </c>
      <c r="Y7981" s="8" t="s">
        <v>17353</v>
      </c>
      <c r="Z7981" s="8" t="s">
        <v>17354</v>
      </c>
    </row>
    <row r="7982" spans="1:26" x14ac:dyDescent="0.2">
      <c r="A7982" s="8">
        <v>7981</v>
      </c>
      <c r="B7982" s="8" t="s">
        <v>35221</v>
      </c>
      <c r="C7982" s="8" t="s">
        <v>35221</v>
      </c>
      <c r="G7982" s="8">
        <v>20</v>
      </c>
      <c r="H7982" s="8" t="s">
        <v>21</v>
      </c>
      <c r="I7982" s="8" t="s">
        <v>22</v>
      </c>
      <c r="J7982" s="8" t="s">
        <v>22</v>
      </c>
      <c r="K7982" s="8" t="s">
        <v>85</v>
      </c>
      <c r="L7982" s="8" t="s">
        <v>125</v>
      </c>
      <c r="M7982" s="8" t="s">
        <v>126</v>
      </c>
      <c r="N7982" s="8" t="s">
        <v>35222</v>
      </c>
      <c r="O7982" s="8">
        <f>1+32/60+51.7/3600</f>
        <v>1.5476944444444443</v>
      </c>
      <c r="P7982" s="8" t="s">
        <v>35223</v>
      </c>
      <c r="Q7982" s="8">
        <f>-(14+48/60+53/3600)</f>
        <v>-14.814722222222223</v>
      </c>
      <c r="R7982" s="8">
        <v>13.6</v>
      </c>
      <c r="S7982" s="8">
        <v>14.4</v>
      </c>
      <c r="T7982" s="8">
        <v>0.8</v>
      </c>
      <c r="U7982" s="8">
        <v>13.7</v>
      </c>
      <c r="V7982" s="8">
        <v>1.3</v>
      </c>
      <c r="W7982" s="8">
        <v>1</v>
      </c>
      <c r="Y7982" s="8" t="s">
        <v>35224</v>
      </c>
      <c r="Z7982" s="8" t="s">
        <v>35225</v>
      </c>
    </row>
    <row r="7983" spans="1:26" x14ac:dyDescent="0.2">
      <c r="A7983" s="8">
        <v>7982</v>
      </c>
      <c r="B7983" s="8" t="s">
        <v>35226</v>
      </c>
      <c r="C7983" s="8" t="s">
        <v>35226</v>
      </c>
      <c r="G7983" s="8">
        <v>20</v>
      </c>
      <c r="H7983" s="8" t="s">
        <v>21</v>
      </c>
      <c r="I7983" s="8" t="s">
        <v>1075</v>
      </c>
      <c r="J7983" s="8" t="s">
        <v>1075</v>
      </c>
      <c r="K7983" s="8" t="s">
        <v>1075</v>
      </c>
      <c r="L7983" s="8" t="s">
        <v>2809</v>
      </c>
      <c r="M7983" s="8" t="s">
        <v>2810</v>
      </c>
      <c r="N7983" s="8" t="s">
        <v>35227</v>
      </c>
      <c r="O7983" s="8">
        <f>1+33/60+55.8/3600</f>
        <v>1.5655000000000001</v>
      </c>
      <c r="P7983" s="8" t="s">
        <v>35228</v>
      </c>
      <c r="Q7983" s="8">
        <f>+(30+45/60+22/3600)</f>
        <v>30.75611111111111</v>
      </c>
      <c r="R7983" s="8">
        <v>14.2</v>
      </c>
      <c r="S7983" s="8">
        <v>99</v>
      </c>
      <c r="T7983" s="8">
        <v>99</v>
      </c>
      <c r="U7983" s="8">
        <v>99</v>
      </c>
      <c r="V7983" s="8">
        <v>0.5</v>
      </c>
      <c r="Y7983" s="8" t="s">
        <v>35229</v>
      </c>
      <c r="Z7983" s="8" t="s">
        <v>35230</v>
      </c>
    </row>
    <row r="7984" spans="1:26" x14ac:dyDescent="0.2">
      <c r="A7984" s="8">
        <v>7983</v>
      </c>
      <c r="B7984" s="8" t="s">
        <v>35231</v>
      </c>
      <c r="C7984" s="8" t="s">
        <v>35231</v>
      </c>
      <c r="G7984" s="8">
        <v>20</v>
      </c>
      <c r="H7984" s="8" t="s">
        <v>21</v>
      </c>
      <c r="I7984" s="8" t="s">
        <v>1075</v>
      </c>
      <c r="J7984" s="8" t="s">
        <v>1075</v>
      </c>
      <c r="K7984" s="8" t="s">
        <v>1075</v>
      </c>
      <c r="L7984" s="8" t="s">
        <v>2809</v>
      </c>
      <c r="M7984" s="8" t="s">
        <v>2810</v>
      </c>
      <c r="N7984" s="8" t="s">
        <v>35232</v>
      </c>
      <c r="O7984" s="8">
        <f>1+34/60+11.1/3600</f>
        <v>1.56975</v>
      </c>
      <c r="P7984" s="8" t="s">
        <v>35233</v>
      </c>
      <c r="Q7984" s="8">
        <f>+(30+46/60+41/3600)</f>
        <v>30.778055555555554</v>
      </c>
      <c r="R7984" s="8">
        <v>13.7</v>
      </c>
      <c r="S7984" s="8">
        <v>99</v>
      </c>
      <c r="T7984" s="8">
        <v>99</v>
      </c>
      <c r="U7984" s="8">
        <v>99</v>
      </c>
      <c r="V7984" s="8">
        <v>0.3</v>
      </c>
      <c r="Y7984" s="8" t="s">
        <v>35234</v>
      </c>
      <c r="Z7984" s="8" t="s">
        <v>35235</v>
      </c>
    </row>
    <row r="7985" spans="1:26" x14ac:dyDescent="0.2">
      <c r="A7985" s="8">
        <v>7984</v>
      </c>
      <c r="B7985" s="8" t="s">
        <v>35236</v>
      </c>
      <c r="C7985" s="8" t="s">
        <v>35236</v>
      </c>
      <c r="G7985" s="8">
        <v>20</v>
      </c>
      <c r="H7985" s="8" t="s">
        <v>21</v>
      </c>
      <c r="I7985" s="8" t="s">
        <v>22</v>
      </c>
      <c r="J7985" s="8" t="s">
        <v>22</v>
      </c>
      <c r="K7985" s="8" t="s">
        <v>424</v>
      </c>
      <c r="L7985" s="8" t="s">
        <v>125</v>
      </c>
      <c r="M7985" s="8" t="s">
        <v>126</v>
      </c>
      <c r="N7985" s="8" t="s">
        <v>35237</v>
      </c>
      <c r="O7985" s="8">
        <f>1+37/60+40.8/3600</f>
        <v>1.6280000000000001</v>
      </c>
      <c r="P7985" s="8" t="s">
        <v>35238</v>
      </c>
      <c r="Q7985" s="8">
        <f>-(13+18/60+51/3600)</f>
        <v>-13.314166666666667</v>
      </c>
      <c r="R7985" s="8">
        <v>14.9</v>
      </c>
      <c r="S7985" s="8">
        <v>15.9</v>
      </c>
      <c r="T7985" s="8">
        <v>1</v>
      </c>
      <c r="U7985" s="8">
        <v>14</v>
      </c>
      <c r="V7985" s="8">
        <v>0.7</v>
      </c>
      <c r="W7985" s="8">
        <v>0.7</v>
      </c>
      <c r="Y7985" s="8" t="s">
        <v>11909</v>
      </c>
      <c r="Z7985" s="8" t="s">
        <v>11910</v>
      </c>
    </row>
    <row r="7986" spans="1:26" x14ac:dyDescent="0.2">
      <c r="A7986" s="8">
        <v>7985</v>
      </c>
      <c r="B7986" s="8" t="s">
        <v>35239</v>
      </c>
      <c r="C7986" s="8" t="s">
        <v>35239</v>
      </c>
      <c r="G7986" s="8">
        <v>20</v>
      </c>
      <c r="H7986" s="8" t="s">
        <v>21</v>
      </c>
      <c r="I7986" s="8" t="s">
        <v>22</v>
      </c>
      <c r="J7986" s="8" t="s">
        <v>22</v>
      </c>
      <c r="K7986" s="8" t="s">
        <v>476</v>
      </c>
      <c r="L7986" s="8" t="s">
        <v>125</v>
      </c>
      <c r="M7986" s="8" t="s">
        <v>126</v>
      </c>
      <c r="N7986" s="8" t="s">
        <v>35240</v>
      </c>
      <c r="O7986" s="8">
        <f>1+38/60+38.5/3600</f>
        <v>1.6440277777777776</v>
      </c>
      <c r="P7986" s="8" t="s">
        <v>35241</v>
      </c>
      <c r="Q7986" s="8">
        <f>+(0+44/60+29/3600)</f>
        <v>0.74138888888888888</v>
      </c>
      <c r="R7986" s="8">
        <v>14.9</v>
      </c>
      <c r="S7986" s="8">
        <v>15.8</v>
      </c>
      <c r="T7986" s="8">
        <v>0.9</v>
      </c>
      <c r="U7986" s="8">
        <v>13.4</v>
      </c>
      <c r="V7986" s="8">
        <v>0.7</v>
      </c>
      <c r="W7986" s="8">
        <v>0.4</v>
      </c>
      <c r="X7986" s="8">
        <v>177</v>
      </c>
      <c r="Y7986" s="8" t="s">
        <v>33652</v>
      </c>
      <c r="Z7986" s="8" t="s">
        <v>33653</v>
      </c>
    </row>
    <row r="7987" spans="1:26" x14ac:dyDescent="0.2">
      <c r="A7987" s="8">
        <v>7986</v>
      </c>
      <c r="B7987" s="8" t="s">
        <v>35242</v>
      </c>
      <c r="C7987" s="8" t="s">
        <v>35242</v>
      </c>
      <c r="G7987" s="8">
        <v>20</v>
      </c>
      <c r="H7987" s="8" t="s">
        <v>21</v>
      </c>
      <c r="I7987" s="8" t="s">
        <v>22</v>
      </c>
      <c r="J7987" s="8" t="s">
        <v>57</v>
      </c>
      <c r="K7987" s="8" t="s">
        <v>58</v>
      </c>
      <c r="L7987" s="8" t="s">
        <v>125</v>
      </c>
      <c r="M7987" s="8" t="s">
        <v>126</v>
      </c>
      <c r="N7987" s="8" t="s">
        <v>3136</v>
      </c>
      <c r="O7987" s="8">
        <f>1+38/60+39.8/3600</f>
        <v>1.6443888888888889</v>
      </c>
      <c r="P7987" s="8" t="s">
        <v>3137</v>
      </c>
      <c r="Q7987" s="8">
        <f>-(17+49/60+52/3600)</f>
        <v>-17.83111111111111</v>
      </c>
      <c r="R7987" s="8">
        <v>14.4</v>
      </c>
      <c r="S7987" s="8">
        <v>15.4</v>
      </c>
      <c r="T7987" s="8">
        <v>1</v>
      </c>
      <c r="U7987" s="8">
        <v>13.1</v>
      </c>
      <c r="V7987" s="8">
        <v>0.7</v>
      </c>
      <c r="W7987" s="8">
        <v>0.4</v>
      </c>
      <c r="X7987" s="8">
        <v>114</v>
      </c>
      <c r="Y7987" s="8" t="s">
        <v>1212</v>
      </c>
      <c r="Z7987" s="8" t="s">
        <v>1213</v>
      </c>
    </row>
    <row r="7988" spans="1:26" x14ac:dyDescent="0.2">
      <c r="A7988" s="8">
        <v>7987</v>
      </c>
      <c r="B7988" s="8" t="s">
        <v>35243</v>
      </c>
      <c r="C7988" s="8" t="s">
        <v>35243</v>
      </c>
      <c r="G7988" s="8">
        <v>20</v>
      </c>
      <c r="H7988" s="8" t="s">
        <v>21</v>
      </c>
      <c r="I7988" s="8" t="s">
        <v>22</v>
      </c>
      <c r="J7988" s="8" t="s">
        <v>22</v>
      </c>
      <c r="K7988" s="8" t="s">
        <v>396</v>
      </c>
      <c r="L7988" s="8" t="s">
        <v>125</v>
      </c>
      <c r="M7988" s="8" t="s">
        <v>126</v>
      </c>
      <c r="N7988" s="8" t="s">
        <v>35244</v>
      </c>
      <c r="O7988" s="8">
        <f>1+39/60+59.4/3600</f>
        <v>1.6664999999999999</v>
      </c>
      <c r="P7988" s="8" t="s">
        <v>35245</v>
      </c>
      <c r="Q7988" s="8">
        <f>-(14+51/60+46/3600)</f>
        <v>-14.862777777777778</v>
      </c>
      <c r="R7988" s="8">
        <v>14.5</v>
      </c>
      <c r="S7988" s="8">
        <v>15.3</v>
      </c>
      <c r="T7988" s="8">
        <v>0.8</v>
      </c>
      <c r="U7988" s="8">
        <v>13.7</v>
      </c>
      <c r="V7988" s="8">
        <v>0.9</v>
      </c>
      <c r="W7988" s="8">
        <v>0.6</v>
      </c>
      <c r="X7988" s="8">
        <v>69</v>
      </c>
      <c r="Y7988" s="8" t="s">
        <v>35246</v>
      </c>
      <c r="Z7988" s="8" t="s">
        <v>35247</v>
      </c>
    </row>
    <row r="7989" spans="1:26" x14ac:dyDescent="0.2">
      <c r="A7989" s="8">
        <v>7988</v>
      </c>
      <c r="B7989" s="8" t="s">
        <v>35248</v>
      </c>
      <c r="C7989" s="8" t="s">
        <v>35248</v>
      </c>
      <c r="G7989" s="8">
        <v>20</v>
      </c>
      <c r="H7989" s="8" t="s">
        <v>21</v>
      </c>
      <c r="I7989" s="8" t="s">
        <v>22</v>
      </c>
      <c r="J7989" s="8" t="s">
        <v>22</v>
      </c>
      <c r="K7989" s="8" t="s">
        <v>4219</v>
      </c>
      <c r="L7989" s="8" t="s">
        <v>38</v>
      </c>
      <c r="M7989" s="8" t="s">
        <v>39</v>
      </c>
      <c r="N7989" s="8" t="s">
        <v>35249</v>
      </c>
      <c r="O7989" s="8">
        <f>1+42/60+26.9/3600</f>
        <v>1.7074722222222223</v>
      </c>
      <c r="P7989" s="8" t="s">
        <v>22995</v>
      </c>
      <c r="Q7989" s="8">
        <f>+(13+58/60+36/3600)</f>
        <v>13.976666666666667</v>
      </c>
      <c r="R7989" s="8">
        <v>12.8</v>
      </c>
      <c r="S7989" s="8">
        <v>13.5</v>
      </c>
      <c r="T7989" s="8">
        <v>0.7</v>
      </c>
      <c r="U7989" s="8">
        <v>14</v>
      </c>
      <c r="V7989" s="8">
        <v>3.5</v>
      </c>
      <c r="W7989" s="8">
        <v>1.1000000000000001</v>
      </c>
      <c r="X7989" s="8">
        <v>50</v>
      </c>
      <c r="Y7989" s="8" t="s">
        <v>35250</v>
      </c>
      <c r="Z7989" s="8" t="s">
        <v>35251</v>
      </c>
    </row>
    <row r="7990" spans="1:26" x14ac:dyDescent="0.2">
      <c r="A7990" s="8">
        <v>7989</v>
      </c>
      <c r="B7990" s="8" t="s">
        <v>35252</v>
      </c>
      <c r="C7990" s="8" t="s">
        <v>35252</v>
      </c>
      <c r="G7990" s="8">
        <v>20</v>
      </c>
      <c r="H7990" s="8" t="s">
        <v>21</v>
      </c>
      <c r="I7990" s="8" t="s">
        <v>22</v>
      </c>
      <c r="J7990" s="8" t="s">
        <v>22</v>
      </c>
      <c r="K7990" s="8" t="s">
        <v>449</v>
      </c>
      <c r="L7990" s="8" t="s">
        <v>125</v>
      </c>
      <c r="M7990" s="8" t="s">
        <v>126</v>
      </c>
      <c r="N7990" s="8" t="s">
        <v>3164</v>
      </c>
      <c r="O7990" s="8">
        <f>1+42/60+25.6/3600</f>
        <v>1.707111111111111</v>
      </c>
      <c r="P7990" s="8" t="s">
        <v>35253</v>
      </c>
      <c r="Q7990" s="8">
        <f>-(16+18/60+0/3600)</f>
        <v>-16.3</v>
      </c>
      <c r="R7990" s="8">
        <v>14.3</v>
      </c>
      <c r="S7990" s="8">
        <v>15.1</v>
      </c>
      <c r="T7990" s="8">
        <v>0.8</v>
      </c>
      <c r="U7990" s="8">
        <v>12.9</v>
      </c>
      <c r="V7990" s="8">
        <v>1.1000000000000001</v>
      </c>
      <c r="W7990" s="8">
        <v>0.3</v>
      </c>
      <c r="X7990" s="8">
        <v>81</v>
      </c>
      <c r="Y7990" s="8" t="s">
        <v>35254</v>
      </c>
      <c r="Z7990" s="8" t="s">
        <v>35255</v>
      </c>
    </row>
    <row r="7991" spans="1:26" x14ac:dyDescent="0.2">
      <c r="A7991" s="8">
        <v>7990</v>
      </c>
      <c r="B7991" s="8" t="s">
        <v>35256</v>
      </c>
      <c r="C7991" s="8" t="s">
        <v>35256</v>
      </c>
      <c r="G7991" s="8">
        <v>20</v>
      </c>
      <c r="H7991" s="8" t="s">
        <v>21</v>
      </c>
      <c r="I7991" s="8" t="s">
        <v>22</v>
      </c>
      <c r="J7991" s="8" t="s">
        <v>22</v>
      </c>
      <c r="K7991" s="8" t="s">
        <v>23</v>
      </c>
      <c r="L7991" s="8" t="s">
        <v>38</v>
      </c>
      <c r="M7991" s="8" t="s">
        <v>39</v>
      </c>
      <c r="N7991" s="8" t="s">
        <v>35257</v>
      </c>
      <c r="O7991" s="8">
        <f>1+42/60+57.6/3600</f>
        <v>1.716</v>
      </c>
      <c r="P7991" s="8" t="s">
        <v>35258</v>
      </c>
      <c r="Q7991" s="8">
        <f>+(4+11/60+57/3600)</f>
        <v>4.1991666666666667</v>
      </c>
      <c r="R7991" s="8">
        <v>13.9</v>
      </c>
      <c r="S7991" s="8">
        <v>14.7</v>
      </c>
      <c r="T7991" s="8">
        <v>0.8</v>
      </c>
      <c r="U7991" s="8">
        <v>12.8</v>
      </c>
      <c r="V7991" s="8">
        <v>1</v>
      </c>
      <c r="W7991" s="8">
        <v>0.5</v>
      </c>
      <c r="X7991" s="8">
        <v>143</v>
      </c>
      <c r="Y7991" s="8" t="s">
        <v>35259</v>
      </c>
      <c r="Z7991" s="8" t="s">
        <v>35260</v>
      </c>
    </row>
    <row r="7992" spans="1:26" x14ac:dyDescent="0.2">
      <c r="A7992" s="8">
        <v>7991</v>
      </c>
      <c r="B7992" s="8" t="s">
        <v>35261</v>
      </c>
      <c r="C7992" s="8" t="s">
        <v>35261</v>
      </c>
      <c r="G7992" s="8">
        <v>20</v>
      </c>
      <c r="H7992" s="8" t="s">
        <v>21</v>
      </c>
      <c r="I7992" s="8" t="s">
        <v>329</v>
      </c>
      <c r="J7992" s="8" t="s">
        <v>329</v>
      </c>
      <c r="K7992" s="8" t="s">
        <v>329</v>
      </c>
      <c r="L7992" s="8" t="s">
        <v>38</v>
      </c>
      <c r="M7992" s="8" t="s">
        <v>39</v>
      </c>
      <c r="N7992" s="8" t="s">
        <v>35262</v>
      </c>
      <c r="O7992" s="8">
        <f>1+43/60+57.4/3600</f>
        <v>1.7326111111111113</v>
      </c>
      <c r="P7992" s="8" t="s">
        <v>35263</v>
      </c>
      <c r="Q7992" s="8">
        <f>+(13+12/60+9/3600)</f>
        <v>13.202499999999999</v>
      </c>
      <c r="R7992" s="8">
        <v>99</v>
      </c>
      <c r="S7992" s="8">
        <v>99</v>
      </c>
      <c r="T7992" s="8">
        <v>99</v>
      </c>
      <c r="U7992" s="8">
        <v>99</v>
      </c>
      <c r="Y7992" s="8" t="s">
        <v>1771</v>
      </c>
      <c r="Z7992" s="8" t="s">
        <v>1772</v>
      </c>
    </row>
    <row r="7993" spans="1:26" x14ac:dyDescent="0.2">
      <c r="A7993" s="8">
        <v>7992</v>
      </c>
      <c r="B7993" s="8" t="s">
        <v>35264</v>
      </c>
      <c r="C7993" s="8" t="s">
        <v>35264</v>
      </c>
      <c r="G7993" s="8">
        <v>20</v>
      </c>
      <c r="H7993" s="8" t="s">
        <v>21</v>
      </c>
      <c r="I7993" s="8" t="s">
        <v>22</v>
      </c>
      <c r="J7993" s="8" t="s">
        <v>22</v>
      </c>
      <c r="K7993" s="8" t="s">
        <v>1174</v>
      </c>
      <c r="L7993" s="8" t="s">
        <v>38</v>
      </c>
      <c r="M7993" s="8" t="s">
        <v>39</v>
      </c>
      <c r="N7993" s="8" t="s">
        <v>35265</v>
      </c>
      <c r="O7993" s="8">
        <f>1+44/60+1.2/3600</f>
        <v>1.7336666666666667</v>
      </c>
      <c r="P7993" s="8" t="s">
        <v>35266</v>
      </c>
      <c r="Q7993" s="8">
        <f>+(13+4/60+28/3600)</f>
        <v>13.074444444444444</v>
      </c>
      <c r="R7993" s="8">
        <v>14.9</v>
      </c>
      <c r="S7993" s="8">
        <v>15.7</v>
      </c>
      <c r="T7993" s="8">
        <v>0.8</v>
      </c>
      <c r="U7993" s="8">
        <v>12</v>
      </c>
      <c r="V7993" s="8">
        <v>0.4</v>
      </c>
      <c r="W7993" s="8">
        <v>0.2</v>
      </c>
      <c r="X7993" s="8">
        <v>130</v>
      </c>
      <c r="Y7993" s="8" t="s">
        <v>35267</v>
      </c>
      <c r="Z7993" s="8" t="s">
        <v>35268</v>
      </c>
    </row>
    <row r="7994" spans="1:26" x14ac:dyDescent="0.2">
      <c r="A7994" s="8">
        <v>7993</v>
      </c>
      <c r="B7994" s="8" t="s">
        <v>35269</v>
      </c>
      <c r="C7994" s="8" t="s">
        <v>35269</v>
      </c>
      <c r="G7994" s="8">
        <v>20</v>
      </c>
      <c r="H7994" s="8" t="s">
        <v>21</v>
      </c>
      <c r="I7994" s="8" t="s">
        <v>22</v>
      </c>
      <c r="J7994" s="8" t="s">
        <v>22</v>
      </c>
      <c r="K7994" s="8" t="s">
        <v>154</v>
      </c>
      <c r="L7994" s="8" t="s">
        <v>38</v>
      </c>
      <c r="M7994" s="8" t="s">
        <v>39</v>
      </c>
      <c r="N7994" s="8" t="s">
        <v>35270</v>
      </c>
      <c r="O7994" s="8">
        <f>1+48/60+33.1/3600</f>
        <v>1.8091944444444445</v>
      </c>
      <c r="P7994" s="8" t="s">
        <v>35271</v>
      </c>
      <c r="Q7994" s="8">
        <f>+(12+36/60+50/3600)</f>
        <v>12.613888888888889</v>
      </c>
      <c r="R7994" s="8">
        <v>13.1</v>
      </c>
      <c r="S7994" s="8">
        <v>14</v>
      </c>
      <c r="T7994" s="8">
        <v>0.9</v>
      </c>
      <c r="U7994" s="8">
        <v>12.5</v>
      </c>
      <c r="V7994" s="8">
        <v>0.8</v>
      </c>
      <c r="W7994" s="8">
        <v>0.5</v>
      </c>
      <c r="X7994" s="8">
        <v>130</v>
      </c>
      <c r="Y7994" s="8" t="s">
        <v>35272</v>
      </c>
      <c r="Z7994" s="8" t="s">
        <v>35273</v>
      </c>
    </row>
    <row r="7995" spans="1:26" x14ac:dyDescent="0.2">
      <c r="A7995" s="8">
        <v>7994</v>
      </c>
      <c r="B7995" s="8" t="s">
        <v>35274</v>
      </c>
      <c r="C7995" s="8" t="s">
        <v>35274</v>
      </c>
      <c r="G7995" s="8">
        <v>20</v>
      </c>
      <c r="H7995" s="8" t="s">
        <v>21</v>
      </c>
      <c r="I7995" s="8" t="s">
        <v>22</v>
      </c>
      <c r="J7995" s="8" t="s">
        <v>22</v>
      </c>
      <c r="K7995" s="8" t="s">
        <v>23</v>
      </c>
      <c r="L7995" s="8" t="s">
        <v>38</v>
      </c>
      <c r="M7995" s="8" t="s">
        <v>39</v>
      </c>
      <c r="N7995" s="8" t="s">
        <v>35275</v>
      </c>
      <c r="O7995" s="8">
        <f>1+45/60+16.2/3600</f>
        <v>1.7544999999999999</v>
      </c>
      <c r="P7995" s="8" t="s">
        <v>35276</v>
      </c>
      <c r="Q7995" s="8">
        <f>+(10+38/60+59/3600)</f>
        <v>10.649722222222222</v>
      </c>
      <c r="R7995" s="8">
        <v>14</v>
      </c>
      <c r="S7995" s="8">
        <v>14.8</v>
      </c>
      <c r="T7995" s="8">
        <v>0.8</v>
      </c>
      <c r="U7995" s="8">
        <v>12.4</v>
      </c>
      <c r="V7995" s="8">
        <v>1.5</v>
      </c>
      <c r="W7995" s="8">
        <v>0.2</v>
      </c>
      <c r="X7995" s="8">
        <v>66</v>
      </c>
      <c r="Y7995" s="8" t="s">
        <v>35277</v>
      </c>
      <c r="Z7995" s="8" t="s">
        <v>35278</v>
      </c>
    </row>
    <row r="7996" spans="1:26" x14ac:dyDescent="0.2">
      <c r="A7996" s="8">
        <v>7995</v>
      </c>
      <c r="B7996" s="8" t="s">
        <v>35279</v>
      </c>
      <c r="C7996" s="8" t="s">
        <v>35279</v>
      </c>
      <c r="G7996" s="8">
        <v>20</v>
      </c>
      <c r="H7996" s="8" t="s">
        <v>21</v>
      </c>
      <c r="I7996" s="8" t="s">
        <v>329</v>
      </c>
      <c r="J7996" s="8" t="s">
        <v>329</v>
      </c>
      <c r="K7996" s="8" t="s">
        <v>329</v>
      </c>
      <c r="L7996" s="8" t="s">
        <v>559</v>
      </c>
      <c r="M7996" s="8" t="s">
        <v>560</v>
      </c>
      <c r="N7996" s="8" t="s">
        <v>35280</v>
      </c>
      <c r="O7996" s="8">
        <f>1+47/60+32/3600</f>
        <v>1.7922222222222222</v>
      </c>
      <c r="P7996" s="8" t="s">
        <v>35281</v>
      </c>
      <c r="Q7996" s="8">
        <f>+(60+36/60+42/3600)</f>
        <v>60.611666666666665</v>
      </c>
      <c r="R7996" s="8">
        <v>99</v>
      </c>
      <c r="S7996" s="8">
        <v>99</v>
      </c>
      <c r="T7996" s="8">
        <v>99</v>
      </c>
      <c r="U7996" s="8">
        <v>99</v>
      </c>
      <c r="Y7996" s="8" t="s">
        <v>35282</v>
      </c>
      <c r="Z7996" s="8" t="s">
        <v>35283</v>
      </c>
    </row>
    <row r="7997" spans="1:26" x14ac:dyDescent="0.2">
      <c r="A7997" s="8">
        <v>7996</v>
      </c>
      <c r="B7997" s="8" t="s">
        <v>35284</v>
      </c>
      <c r="C7997" s="8" t="s">
        <v>35284</v>
      </c>
      <c r="G7997" s="8">
        <v>20</v>
      </c>
      <c r="H7997" s="8" t="s">
        <v>21</v>
      </c>
      <c r="I7997" s="8" t="s">
        <v>22</v>
      </c>
      <c r="J7997" s="8" t="s">
        <v>22</v>
      </c>
      <c r="K7997" s="8" t="s">
        <v>476</v>
      </c>
      <c r="L7997" s="8" t="s">
        <v>38</v>
      </c>
      <c r="M7997" s="8" t="s">
        <v>39</v>
      </c>
      <c r="N7997" s="8" t="s">
        <v>35285</v>
      </c>
      <c r="O7997" s="8">
        <f>1+45/60+29.1/3600</f>
        <v>1.7580833333333334</v>
      </c>
      <c r="P7997" s="8" t="s">
        <v>35286</v>
      </c>
      <c r="Q7997" s="8">
        <f>+(10+33/60+12/3600)</f>
        <v>10.553333333333335</v>
      </c>
      <c r="R7997" s="8">
        <v>13.5</v>
      </c>
      <c r="S7997" s="8">
        <v>14.4</v>
      </c>
      <c r="T7997" s="8">
        <v>0.9</v>
      </c>
      <c r="U7997" s="8">
        <v>14</v>
      </c>
      <c r="V7997" s="8">
        <v>1.5</v>
      </c>
      <c r="W7997" s="8">
        <v>1.2</v>
      </c>
      <c r="X7997" s="8">
        <v>72</v>
      </c>
      <c r="Y7997" s="8" t="s">
        <v>35287</v>
      </c>
      <c r="Z7997" s="8" t="s">
        <v>35288</v>
      </c>
    </row>
    <row r="7998" spans="1:26" x14ac:dyDescent="0.2">
      <c r="A7998" s="8">
        <v>7997</v>
      </c>
      <c r="B7998" s="8" t="s">
        <v>35289</v>
      </c>
      <c r="C7998" s="8" t="s">
        <v>35289</v>
      </c>
      <c r="G7998" s="8">
        <v>20</v>
      </c>
      <c r="H7998" s="8" t="s">
        <v>21</v>
      </c>
      <c r="I7998" s="8" t="s">
        <v>22</v>
      </c>
      <c r="J7998" s="8" t="s">
        <v>22</v>
      </c>
      <c r="K7998" s="8" t="s">
        <v>91</v>
      </c>
      <c r="L7998" s="8" t="s">
        <v>38</v>
      </c>
      <c r="M7998" s="8" t="s">
        <v>39</v>
      </c>
      <c r="N7998" s="8" t="s">
        <v>35290</v>
      </c>
      <c r="O7998" s="8">
        <f>1+49/60+11.6/3600</f>
        <v>1.8198888888888889</v>
      </c>
      <c r="P7998" s="8" t="s">
        <v>35291</v>
      </c>
      <c r="Q7998" s="8">
        <f>+(12+51/60+12/3600)</f>
        <v>12.853333333333333</v>
      </c>
      <c r="R7998" s="8">
        <v>14.1</v>
      </c>
      <c r="S7998" s="8">
        <v>14.8</v>
      </c>
      <c r="T7998" s="8">
        <v>0.9</v>
      </c>
      <c r="U7998" s="8">
        <v>13.3</v>
      </c>
      <c r="V7998" s="8">
        <v>1.3</v>
      </c>
      <c r="W7998" s="8">
        <v>0.4</v>
      </c>
      <c r="X7998" s="8">
        <v>105</v>
      </c>
      <c r="Y7998" s="8" t="s">
        <v>35292</v>
      </c>
      <c r="Z7998" s="8" t="s">
        <v>35293</v>
      </c>
    </row>
    <row r="7999" spans="1:26" x14ac:dyDescent="0.2">
      <c r="A7999" s="8">
        <v>7998</v>
      </c>
      <c r="B7999" s="8" t="s">
        <v>35294</v>
      </c>
      <c r="C7999" s="8" t="s">
        <v>35294</v>
      </c>
      <c r="G7999" s="8">
        <v>20</v>
      </c>
      <c r="H7999" s="8" t="s">
        <v>21</v>
      </c>
      <c r="I7999" s="8" t="s">
        <v>22</v>
      </c>
      <c r="J7999" s="8" t="s">
        <v>22</v>
      </c>
      <c r="K7999" s="8" t="s">
        <v>1136</v>
      </c>
      <c r="L7999" s="8" t="s">
        <v>125</v>
      </c>
      <c r="M7999" s="8" t="s">
        <v>126</v>
      </c>
      <c r="N7999" s="8" t="s">
        <v>35295</v>
      </c>
      <c r="O7999" s="8">
        <f>1+45/60+53.4/3600</f>
        <v>1.7648333333333333</v>
      </c>
      <c r="P7999" s="8" t="s">
        <v>35296</v>
      </c>
      <c r="Q7999" s="8">
        <f>-(6+56/60+7/3600)</f>
        <v>-6.9352777777777783</v>
      </c>
      <c r="R7999" s="8">
        <v>15.1</v>
      </c>
      <c r="S7999" s="8">
        <v>16.100000000000001</v>
      </c>
      <c r="T7999" s="8">
        <v>1</v>
      </c>
      <c r="U7999" s="8">
        <v>13.4</v>
      </c>
      <c r="V7999" s="8">
        <v>0.5</v>
      </c>
      <c r="W7999" s="8">
        <v>0.4</v>
      </c>
      <c r="X7999" s="8">
        <v>140</v>
      </c>
      <c r="Y7999" s="8" t="s">
        <v>11711</v>
      </c>
      <c r="Z7999" s="8" t="s">
        <v>11712</v>
      </c>
    </row>
    <row r="8000" spans="1:26" x14ac:dyDescent="0.2">
      <c r="A8000" s="8">
        <v>7999</v>
      </c>
      <c r="B8000" s="8" t="s">
        <v>35297</v>
      </c>
      <c r="C8000" s="8" t="s">
        <v>35297</v>
      </c>
      <c r="G8000" s="8">
        <v>20</v>
      </c>
      <c r="H8000" s="8" t="s">
        <v>21</v>
      </c>
      <c r="I8000" s="8" t="s">
        <v>22</v>
      </c>
      <c r="J8000" s="8" t="s">
        <v>22</v>
      </c>
      <c r="K8000" s="8" t="s">
        <v>23</v>
      </c>
      <c r="L8000" s="8" t="s">
        <v>125</v>
      </c>
      <c r="M8000" s="8" t="s">
        <v>126</v>
      </c>
      <c r="N8000" s="8" t="s">
        <v>35298</v>
      </c>
      <c r="O8000" s="8">
        <f>1+46/60+25/3600</f>
        <v>1.773611111111111</v>
      </c>
      <c r="P8000" s="8" t="s">
        <v>35299</v>
      </c>
      <c r="Q8000" s="8">
        <f>-(8+38/60+12/3600)</f>
        <v>-8.6366666666666667</v>
      </c>
      <c r="R8000" s="8">
        <v>13.2</v>
      </c>
      <c r="S8000" s="8">
        <v>14</v>
      </c>
      <c r="T8000" s="8">
        <v>0.8</v>
      </c>
      <c r="U8000" s="8">
        <v>13.1</v>
      </c>
      <c r="V8000" s="8">
        <v>1.5</v>
      </c>
      <c r="W8000" s="8">
        <v>0.7</v>
      </c>
      <c r="X8000" s="8">
        <v>36</v>
      </c>
      <c r="Y8000" s="8" t="s">
        <v>646</v>
      </c>
      <c r="Z8000" s="8" t="s">
        <v>647</v>
      </c>
    </row>
    <row r="8001" spans="1:26" x14ac:dyDescent="0.2">
      <c r="A8001" s="8">
        <v>8000</v>
      </c>
      <c r="B8001" s="8" t="s">
        <v>35300</v>
      </c>
      <c r="C8001" s="8" t="s">
        <v>35300</v>
      </c>
      <c r="G8001" s="8">
        <v>20</v>
      </c>
      <c r="H8001" s="8" t="s">
        <v>21</v>
      </c>
      <c r="I8001" s="8" t="s">
        <v>22</v>
      </c>
      <c r="J8001" s="8" t="s">
        <v>22</v>
      </c>
      <c r="K8001" s="8" t="s">
        <v>58</v>
      </c>
      <c r="L8001" s="8" t="s">
        <v>125</v>
      </c>
      <c r="M8001" s="8" t="s">
        <v>126</v>
      </c>
      <c r="N8001" s="8" t="s">
        <v>35301</v>
      </c>
      <c r="O8001" s="8">
        <f>1+46/60+29.5/3600</f>
        <v>1.774861111111111</v>
      </c>
      <c r="P8001" s="8" t="s">
        <v>35302</v>
      </c>
      <c r="Q8001" s="8">
        <f>-(13+14/60+50/3600)</f>
        <v>-13.247222222222222</v>
      </c>
      <c r="R8001" s="8">
        <v>13.9</v>
      </c>
      <c r="S8001" s="8">
        <v>14.9</v>
      </c>
      <c r="T8001" s="8">
        <v>1</v>
      </c>
      <c r="U8001" s="8">
        <v>14</v>
      </c>
      <c r="V8001" s="8">
        <v>1.3</v>
      </c>
      <c r="W8001" s="8">
        <v>0.8</v>
      </c>
      <c r="X8001" s="8">
        <v>85</v>
      </c>
      <c r="Y8001" s="8" t="s">
        <v>35303</v>
      </c>
      <c r="Z8001" s="8" t="s">
        <v>35304</v>
      </c>
    </row>
    <row r="8002" spans="1:26" x14ac:dyDescent="0.2">
      <c r="A8002" s="8">
        <v>8001</v>
      </c>
      <c r="B8002" s="8" t="s">
        <v>35305</v>
      </c>
      <c r="C8002" s="8" t="s">
        <v>35305</v>
      </c>
      <c r="G8002" s="8">
        <v>20</v>
      </c>
      <c r="H8002" s="8" t="s">
        <v>21</v>
      </c>
      <c r="I8002" s="8" t="s">
        <v>22</v>
      </c>
      <c r="J8002" s="8" t="s">
        <v>22</v>
      </c>
      <c r="K8002" s="8" t="s">
        <v>476</v>
      </c>
      <c r="L8002" s="8" t="s">
        <v>38</v>
      </c>
      <c r="M8002" s="8" t="s">
        <v>39</v>
      </c>
      <c r="N8002" s="8" t="s">
        <v>35306</v>
      </c>
      <c r="O8002" s="8">
        <f>1+48/60+43.8/3600</f>
        <v>1.8121666666666667</v>
      </c>
      <c r="P8002" s="8" t="s">
        <v>31027</v>
      </c>
      <c r="Q8002" s="8">
        <f>+(10+30/60+30/3600)</f>
        <v>10.508333333333333</v>
      </c>
      <c r="R8002" s="8">
        <v>13.8</v>
      </c>
      <c r="S8002" s="8">
        <v>14.7</v>
      </c>
      <c r="T8002" s="8">
        <v>0.9</v>
      </c>
      <c r="U8002" s="8">
        <v>12.9</v>
      </c>
      <c r="V8002" s="8">
        <v>0.8</v>
      </c>
      <c r="W8002" s="8">
        <v>0.6</v>
      </c>
      <c r="X8002" s="8">
        <v>65</v>
      </c>
      <c r="Y8002" s="8" t="s">
        <v>15791</v>
      </c>
      <c r="Z8002" s="8" t="s">
        <v>15792</v>
      </c>
    </row>
    <row r="8003" spans="1:26" x14ac:dyDescent="0.2">
      <c r="A8003" s="8">
        <v>8002</v>
      </c>
      <c r="B8003" s="8" t="s">
        <v>35307</v>
      </c>
      <c r="C8003" s="8" t="s">
        <v>35307</v>
      </c>
      <c r="G8003" s="8">
        <v>20</v>
      </c>
      <c r="H8003" s="8" t="s">
        <v>21</v>
      </c>
      <c r="I8003" s="8" t="s">
        <v>22</v>
      </c>
      <c r="J8003" s="8" t="s">
        <v>22</v>
      </c>
      <c r="K8003" s="8" t="s">
        <v>37</v>
      </c>
      <c r="L8003" s="8" t="s">
        <v>38</v>
      </c>
      <c r="M8003" s="8" t="s">
        <v>39</v>
      </c>
      <c r="N8003" s="8" t="s">
        <v>35308</v>
      </c>
      <c r="O8003" s="8">
        <f>1+48/60+53.4/3600</f>
        <v>1.8148333333333333</v>
      </c>
      <c r="P8003" s="8" t="s">
        <v>35309</v>
      </c>
      <c r="Q8003" s="8">
        <f>+(10+31/60+20/3600)</f>
        <v>10.522222222222224</v>
      </c>
      <c r="R8003" s="8">
        <v>12.7</v>
      </c>
      <c r="S8003" s="8">
        <v>13.7</v>
      </c>
      <c r="T8003" s="8">
        <v>1</v>
      </c>
      <c r="U8003" s="8">
        <v>13.3</v>
      </c>
      <c r="V8003" s="8">
        <v>1.4</v>
      </c>
      <c r="W8003" s="8">
        <v>1.4</v>
      </c>
      <c r="Y8003" s="8" t="s">
        <v>23422</v>
      </c>
      <c r="Z8003" s="8" t="s">
        <v>23423</v>
      </c>
    </row>
    <row r="8004" spans="1:26" x14ac:dyDescent="0.2">
      <c r="A8004" s="8">
        <v>8003</v>
      </c>
      <c r="B8004" s="8" t="s">
        <v>35310</v>
      </c>
      <c r="C8004" s="8" t="s">
        <v>35310</v>
      </c>
      <c r="G8004" s="8">
        <v>20</v>
      </c>
      <c r="H8004" s="8" t="s">
        <v>21</v>
      </c>
      <c r="I8004" s="8" t="s">
        <v>22</v>
      </c>
      <c r="J8004" s="8" t="s">
        <v>22</v>
      </c>
      <c r="K8004" s="8" t="s">
        <v>773</v>
      </c>
      <c r="L8004" s="8" t="s">
        <v>3256</v>
      </c>
      <c r="M8004" s="8" t="s">
        <v>3257</v>
      </c>
      <c r="N8004" s="8" t="s">
        <v>35311</v>
      </c>
      <c r="O8004" s="8">
        <f>1+49/60+15/3600</f>
        <v>1.8208333333333333</v>
      </c>
      <c r="P8004" s="8" t="s">
        <v>35312</v>
      </c>
      <c r="Q8004" s="8">
        <f>+(20+42/60+38/3600)</f>
        <v>20.710555555555555</v>
      </c>
      <c r="R8004" s="8">
        <v>13</v>
      </c>
      <c r="S8004" s="8">
        <v>13.6</v>
      </c>
      <c r="T8004" s="8">
        <v>0.6</v>
      </c>
      <c r="U8004" s="8">
        <v>13.4</v>
      </c>
      <c r="V8004" s="8">
        <v>1.8</v>
      </c>
      <c r="W8004" s="8">
        <v>0.9</v>
      </c>
      <c r="X8004" s="8">
        <v>95</v>
      </c>
      <c r="Y8004" s="8" t="s">
        <v>2088</v>
      </c>
      <c r="Z8004" s="8" t="s">
        <v>2094</v>
      </c>
    </row>
    <row r="8005" spans="1:26" x14ac:dyDescent="0.2">
      <c r="A8005" s="8">
        <v>8004</v>
      </c>
      <c r="B8005" s="8" t="s">
        <v>35313</v>
      </c>
      <c r="C8005" s="8" t="s">
        <v>35313</v>
      </c>
      <c r="G8005" s="8">
        <v>20</v>
      </c>
      <c r="H8005" s="8" t="s">
        <v>21</v>
      </c>
      <c r="I8005" s="8" t="s">
        <v>22</v>
      </c>
      <c r="J8005" s="8" t="s">
        <v>22</v>
      </c>
      <c r="K8005" s="8" t="s">
        <v>183</v>
      </c>
      <c r="L8005" s="8" t="s">
        <v>125</v>
      </c>
      <c r="M8005" s="8" t="s">
        <v>126</v>
      </c>
      <c r="N8005" s="8" t="s">
        <v>35314</v>
      </c>
      <c r="O8005" s="8">
        <f>1+49/60+8.4/3600</f>
        <v>1.819</v>
      </c>
      <c r="P8005" s="8" t="s">
        <v>35315</v>
      </c>
      <c r="Q8005" s="8">
        <f>-(3+54/60+16/3600)</f>
        <v>-3.9044444444444442</v>
      </c>
      <c r="R8005" s="8">
        <v>13.1</v>
      </c>
      <c r="S8005" s="8">
        <v>14.1</v>
      </c>
      <c r="T8005" s="8">
        <v>1</v>
      </c>
      <c r="U8005" s="8">
        <v>13.7</v>
      </c>
      <c r="V8005" s="8">
        <v>1.4</v>
      </c>
      <c r="W8005" s="8">
        <v>1.2</v>
      </c>
      <c r="X8005" s="8">
        <v>0</v>
      </c>
      <c r="Y8005" s="8" t="s">
        <v>35316</v>
      </c>
      <c r="Z8005" s="8" t="s">
        <v>35317</v>
      </c>
    </row>
    <row r="8006" spans="1:26" x14ac:dyDescent="0.2">
      <c r="A8006" s="8">
        <v>8005</v>
      </c>
      <c r="B8006" s="8" t="s">
        <v>35318</v>
      </c>
      <c r="C8006" s="8" t="s">
        <v>35318</v>
      </c>
      <c r="G8006" s="8">
        <v>20</v>
      </c>
      <c r="H8006" s="8" t="s">
        <v>21</v>
      </c>
      <c r="I8006" s="8" t="s">
        <v>22</v>
      </c>
      <c r="J8006" s="8" t="s">
        <v>57</v>
      </c>
      <c r="K8006" s="8" t="s">
        <v>23</v>
      </c>
      <c r="L8006" s="8" t="s">
        <v>2809</v>
      </c>
      <c r="M8006" s="8" t="s">
        <v>2810</v>
      </c>
      <c r="N8006" s="8" t="s">
        <v>3323</v>
      </c>
      <c r="O8006" s="8">
        <f>1+50/60+14.1/3600</f>
        <v>1.83725</v>
      </c>
      <c r="P8006" s="8" t="s">
        <v>3324</v>
      </c>
      <c r="Q8006" s="8">
        <f>+(27+38/60+46/3600)</f>
        <v>27.646111111111111</v>
      </c>
      <c r="R8006" s="8">
        <v>12.4</v>
      </c>
      <c r="S8006" s="8">
        <v>13.3</v>
      </c>
      <c r="T8006" s="8">
        <v>0.9</v>
      </c>
      <c r="U8006" s="8">
        <v>12.8</v>
      </c>
      <c r="V8006" s="8">
        <v>3.2</v>
      </c>
      <c r="W8006" s="8">
        <v>0.6</v>
      </c>
      <c r="X8006" s="8">
        <v>87</v>
      </c>
      <c r="Y8006" s="8" t="s">
        <v>35319</v>
      </c>
      <c r="Z8006" s="8" t="s">
        <v>35320</v>
      </c>
    </row>
    <row r="8007" spans="1:26" x14ac:dyDescent="0.2">
      <c r="A8007" s="8">
        <v>8006</v>
      </c>
      <c r="B8007" s="8" t="s">
        <v>35321</v>
      </c>
      <c r="C8007" s="8" t="s">
        <v>35321</v>
      </c>
      <c r="G8007" s="8">
        <v>20</v>
      </c>
      <c r="H8007" s="8" t="s">
        <v>21</v>
      </c>
      <c r="I8007" s="8" t="s">
        <v>557</v>
      </c>
      <c r="J8007" s="8" t="s">
        <v>557</v>
      </c>
      <c r="K8007" s="8" t="s">
        <v>5825</v>
      </c>
      <c r="L8007" s="8" t="s">
        <v>559</v>
      </c>
      <c r="M8007" s="8" t="s">
        <v>560</v>
      </c>
      <c r="N8007" s="8" t="s">
        <v>35322</v>
      </c>
      <c r="O8007" s="8">
        <f>1+52/60+22/3600</f>
        <v>1.8727777777777779</v>
      </c>
      <c r="P8007" s="8" t="s">
        <v>35323</v>
      </c>
      <c r="Q8007" s="8">
        <f>+(61+51/60+12/3600)</f>
        <v>61.853333333333332</v>
      </c>
      <c r="R8007" s="8">
        <v>11.7</v>
      </c>
      <c r="S8007" s="8">
        <v>99</v>
      </c>
      <c r="T8007" s="8">
        <v>99</v>
      </c>
      <c r="U8007" s="8">
        <v>99</v>
      </c>
      <c r="V8007" s="8">
        <v>8</v>
      </c>
      <c r="Y8007" s="8" t="s">
        <v>35324</v>
      </c>
      <c r="Z8007" s="8" t="s">
        <v>35325</v>
      </c>
    </row>
    <row r="8008" spans="1:26" x14ac:dyDescent="0.2">
      <c r="A8008" s="8">
        <v>8007</v>
      </c>
      <c r="B8008" s="8" t="s">
        <v>35326</v>
      </c>
      <c r="C8008" s="8" t="s">
        <v>35326</v>
      </c>
      <c r="G8008" s="8">
        <v>20</v>
      </c>
      <c r="H8008" s="8" t="s">
        <v>21</v>
      </c>
      <c r="I8008" s="8" t="s">
        <v>22</v>
      </c>
      <c r="J8008" s="8" t="s">
        <v>22</v>
      </c>
      <c r="K8008" s="8" t="s">
        <v>64</v>
      </c>
      <c r="L8008" s="8" t="s">
        <v>3256</v>
      </c>
      <c r="M8008" s="8" t="s">
        <v>3257</v>
      </c>
      <c r="N8008" s="8" t="s">
        <v>35327</v>
      </c>
      <c r="O8008" s="8">
        <f>1+51/60+8.5/3600</f>
        <v>1.8523611111111111</v>
      </c>
      <c r="P8008" s="8" t="s">
        <v>35328</v>
      </c>
      <c r="Q8008" s="8">
        <f>+(21+54/60+45/3600)</f>
        <v>21.912499999999998</v>
      </c>
      <c r="R8008" s="8">
        <v>13.1</v>
      </c>
      <c r="S8008" s="8">
        <v>13.6</v>
      </c>
      <c r="T8008" s="8">
        <v>0.5</v>
      </c>
      <c r="U8008" s="8">
        <v>14.8</v>
      </c>
      <c r="V8008" s="8">
        <v>2.7</v>
      </c>
      <c r="W8008" s="8">
        <v>1.8</v>
      </c>
      <c r="X8008" s="8">
        <v>95</v>
      </c>
      <c r="Y8008" s="8" t="s">
        <v>35329</v>
      </c>
      <c r="Z8008" s="8" t="s">
        <v>35330</v>
      </c>
    </row>
    <row r="8009" spans="1:26" x14ac:dyDescent="0.2">
      <c r="A8009" s="8">
        <v>8008</v>
      </c>
      <c r="B8009" s="8" t="s">
        <v>35331</v>
      </c>
      <c r="C8009" s="8" t="s">
        <v>35331</v>
      </c>
      <c r="G8009" s="8">
        <v>20</v>
      </c>
      <c r="H8009" s="8" t="s">
        <v>21</v>
      </c>
      <c r="I8009" s="8" t="s">
        <v>22</v>
      </c>
      <c r="J8009" s="8" t="s">
        <v>22</v>
      </c>
      <c r="K8009" s="8" t="s">
        <v>23</v>
      </c>
      <c r="L8009" s="8" t="s">
        <v>125</v>
      </c>
      <c r="M8009" s="8" t="s">
        <v>126</v>
      </c>
      <c r="N8009" s="8" t="s">
        <v>35332</v>
      </c>
      <c r="O8009" s="8">
        <f>1+50/60+27.5/3600</f>
        <v>1.8409722222222225</v>
      </c>
      <c r="P8009" s="8" t="s">
        <v>35333</v>
      </c>
      <c r="Q8009" s="8">
        <f>-(8+31/60+25/3600)</f>
        <v>-8.5236111111111121</v>
      </c>
      <c r="R8009" s="8">
        <v>14.2</v>
      </c>
      <c r="S8009" s="8">
        <v>15</v>
      </c>
      <c r="T8009" s="8">
        <v>0.8</v>
      </c>
      <c r="U8009" s="8">
        <v>12.6</v>
      </c>
      <c r="V8009" s="8">
        <v>0.9</v>
      </c>
      <c r="W8009" s="8">
        <v>0.3</v>
      </c>
      <c r="X8009" s="8">
        <v>105</v>
      </c>
      <c r="Y8009" s="8" t="s">
        <v>35334</v>
      </c>
      <c r="Z8009" s="8" t="s">
        <v>35335</v>
      </c>
    </row>
    <row r="8010" spans="1:26" x14ac:dyDescent="0.2">
      <c r="A8010" s="8">
        <v>8009</v>
      </c>
      <c r="B8010" s="8" t="s">
        <v>35336</v>
      </c>
      <c r="C8010" s="8" t="s">
        <v>35336</v>
      </c>
      <c r="G8010" s="8">
        <v>20</v>
      </c>
      <c r="H8010" s="8" t="s">
        <v>21</v>
      </c>
      <c r="I8010" s="8" t="s">
        <v>22</v>
      </c>
      <c r="J8010" s="8" t="s">
        <v>22</v>
      </c>
      <c r="K8010" s="8" t="s">
        <v>449</v>
      </c>
      <c r="L8010" s="8" t="s">
        <v>125</v>
      </c>
      <c r="M8010" s="8" t="s">
        <v>126</v>
      </c>
      <c r="N8010" s="8" t="s">
        <v>35337</v>
      </c>
      <c r="O8010" s="8">
        <f>1+50/60+39.3/3600</f>
        <v>1.8442500000000002</v>
      </c>
      <c r="P8010" s="8" t="s">
        <v>35338</v>
      </c>
      <c r="Q8010" s="8">
        <f>-(12+40/60+45/3600)</f>
        <v>-12.679166666666665</v>
      </c>
      <c r="R8010" s="8">
        <v>15.3</v>
      </c>
      <c r="S8010" s="8">
        <v>16.100000000000001</v>
      </c>
      <c r="T8010" s="8">
        <v>0.8</v>
      </c>
      <c r="U8010" s="8">
        <v>13.1</v>
      </c>
      <c r="V8010" s="8">
        <v>0.5</v>
      </c>
      <c r="W8010" s="8">
        <v>0.3</v>
      </c>
      <c r="X8010" s="8">
        <v>80</v>
      </c>
      <c r="Y8010" s="8" t="s">
        <v>35339</v>
      </c>
      <c r="Z8010" s="8" t="s">
        <v>35340</v>
      </c>
    </row>
    <row r="8011" spans="1:26" x14ac:dyDescent="0.2">
      <c r="A8011" s="8">
        <v>8010</v>
      </c>
      <c r="B8011" s="8" t="s">
        <v>35341</v>
      </c>
      <c r="C8011" s="8" t="s">
        <v>35341</v>
      </c>
      <c r="G8011" s="8">
        <v>20</v>
      </c>
      <c r="H8011" s="8" t="s">
        <v>21</v>
      </c>
      <c r="I8011" s="8" t="s">
        <v>22</v>
      </c>
      <c r="J8011" s="8" t="s">
        <v>22</v>
      </c>
      <c r="K8011" s="8" t="s">
        <v>382</v>
      </c>
      <c r="L8011" s="8" t="s">
        <v>125</v>
      </c>
      <c r="M8011" s="8" t="s">
        <v>126</v>
      </c>
      <c r="N8011" s="8" t="s">
        <v>35342</v>
      </c>
      <c r="O8011" s="8">
        <f>1+51/60+57.4/3600</f>
        <v>1.8659444444444446</v>
      </c>
      <c r="P8011" s="8" t="s">
        <v>35343</v>
      </c>
      <c r="Q8011" s="8">
        <f>-(8+31/60+2/3600)</f>
        <v>-8.5172222222222231</v>
      </c>
      <c r="R8011" s="8">
        <v>14.4</v>
      </c>
      <c r="S8011" s="8">
        <v>15.4</v>
      </c>
      <c r="T8011" s="8">
        <v>1</v>
      </c>
      <c r="U8011" s="8">
        <v>13.4</v>
      </c>
      <c r="V8011" s="8">
        <v>0.3</v>
      </c>
      <c r="W8011" s="8">
        <v>0.2</v>
      </c>
      <c r="X8011" s="8">
        <v>90</v>
      </c>
      <c r="Y8011" s="8" t="s">
        <v>5926</v>
      </c>
      <c r="Z8011" s="8" t="s">
        <v>23179</v>
      </c>
    </row>
    <row r="8012" spans="1:26" x14ac:dyDescent="0.2">
      <c r="A8012" s="8">
        <v>8011</v>
      </c>
      <c r="B8012" s="8" t="s">
        <v>35344</v>
      </c>
      <c r="C8012" s="8" t="s">
        <v>35344</v>
      </c>
      <c r="G8012" s="8">
        <v>20</v>
      </c>
      <c r="H8012" s="8" t="s">
        <v>21</v>
      </c>
      <c r="I8012" s="8" t="s">
        <v>22</v>
      </c>
      <c r="J8012" s="8" t="s">
        <v>22</v>
      </c>
      <c r="K8012" s="8" t="s">
        <v>58</v>
      </c>
      <c r="L8012" s="8" t="s">
        <v>2809</v>
      </c>
      <c r="M8012" s="8" t="s">
        <v>2810</v>
      </c>
      <c r="N8012" s="8" t="s">
        <v>35345</v>
      </c>
      <c r="O8012" s="8">
        <f>1+55/60+10.3/3600</f>
        <v>1.9195277777777777</v>
      </c>
      <c r="P8012" s="8" t="s">
        <v>35346</v>
      </c>
      <c r="Q8012" s="8">
        <f>+(35+16/60+55/3600)</f>
        <v>35.281944444444441</v>
      </c>
      <c r="R8012" s="8">
        <v>12.2</v>
      </c>
      <c r="S8012" s="8">
        <v>13.2</v>
      </c>
      <c r="T8012" s="8">
        <v>1</v>
      </c>
      <c r="U8012" s="8">
        <v>12.7</v>
      </c>
      <c r="V8012" s="8">
        <v>1.4</v>
      </c>
      <c r="W8012" s="8">
        <v>1</v>
      </c>
      <c r="X8012" s="8">
        <v>132</v>
      </c>
      <c r="Y8012" s="8" t="s">
        <v>35347</v>
      </c>
      <c r="Z8012" s="8" t="s">
        <v>35348</v>
      </c>
    </row>
    <row r="8013" spans="1:26" x14ac:dyDescent="0.2">
      <c r="A8013" s="8">
        <v>8012</v>
      </c>
      <c r="B8013" s="8" t="s">
        <v>35349</v>
      </c>
      <c r="C8013" s="8" t="s">
        <v>35349</v>
      </c>
      <c r="G8013" s="8">
        <v>20</v>
      </c>
      <c r="H8013" s="8" t="s">
        <v>21</v>
      </c>
      <c r="I8013" s="8" t="s">
        <v>22</v>
      </c>
      <c r="J8013" s="8" t="s">
        <v>22</v>
      </c>
      <c r="K8013" s="8" t="s">
        <v>476</v>
      </c>
      <c r="L8013" s="8" t="s">
        <v>125</v>
      </c>
      <c r="M8013" s="8" t="s">
        <v>126</v>
      </c>
      <c r="N8013" s="8" t="s">
        <v>35350</v>
      </c>
      <c r="O8013" s="8">
        <f>1+54/60+54.2/3600</f>
        <v>1.9150555555555555</v>
      </c>
      <c r="P8013" s="8" t="s">
        <v>35351</v>
      </c>
      <c r="Q8013" s="8">
        <f>+(0+48/60+42/3600)</f>
        <v>0.81166666666666676</v>
      </c>
      <c r="R8013" s="8">
        <v>14</v>
      </c>
      <c r="S8013" s="8">
        <v>14.9</v>
      </c>
      <c r="T8013" s="8">
        <v>0.9</v>
      </c>
      <c r="U8013" s="8">
        <v>11.5</v>
      </c>
      <c r="V8013" s="8">
        <v>0.4</v>
      </c>
      <c r="W8013" s="8">
        <v>0.3</v>
      </c>
      <c r="X8013" s="8">
        <v>90</v>
      </c>
      <c r="Y8013" s="8" t="s">
        <v>121</v>
      </c>
      <c r="Z8013" s="8" t="s">
        <v>122</v>
      </c>
    </row>
    <row r="8014" spans="1:26" x14ac:dyDescent="0.2">
      <c r="A8014" s="8">
        <v>8013</v>
      </c>
      <c r="B8014" s="8" t="s">
        <v>35352</v>
      </c>
      <c r="C8014" s="8" t="s">
        <v>35352</v>
      </c>
      <c r="G8014" s="8">
        <v>20</v>
      </c>
      <c r="H8014" s="8" t="s">
        <v>21</v>
      </c>
      <c r="I8014" s="8" t="s">
        <v>22</v>
      </c>
      <c r="J8014" s="8" t="s">
        <v>22</v>
      </c>
      <c r="K8014" s="8" t="s">
        <v>85</v>
      </c>
      <c r="L8014" s="8" t="s">
        <v>125</v>
      </c>
      <c r="M8014" s="8" t="s">
        <v>126</v>
      </c>
      <c r="N8014" s="8" t="s">
        <v>35353</v>
      </c>
      <c r="O8014" s="8">
        <f>1+55/60+57.1/3600</f>
        <v>1.9325277777777776</v>
      </c>
      <c r="P8014" s="8" t="s">
        <v>35354</v>
      </c>
      <c r="Q8014" s="8">
        <f>+(1+17/60+5/3600)</f>
        <v>1.2847222222222221</v>
      </c>
      <c r="R8014" s="8">
        <v>14</v>
      </c>
      <c r="S8014" s="8">
        <v>14.9</v>
      </c>
      <c r="T8014" s="8">
        <v>0.9</v>
      </c>
      <c r="U8014" s="8">
        <v>13.3</v>
      </c>
      <c r="V8014" s="8">
        <v>0.9</v>
      </c>
      <c r="W8014" s="8">
        <v>0.7</v>
      </c>
      <c r="X8014" s="8">
        <v>107</v>
      </c>
      <c r="Y8014" s="8" t="s">
        <v>13997</v>
      </c>
      <c r="Z8014" s="8" t="s">
        <v>13998</v>
      </c>
    </row>
    <row r="8015" spans="1:26" x14ac:dyDescent="0.2">
      <c r="A8015" s="8">
        <v>8014</v>
      </c>
      <c r="B8015" s="8" t="s">
        <v>35355</v>
      </c>
      <c r="C8015" s="8" t="s">
        <v>35355</v>
      </c>
      <c r="G8015" s="8">
        <v>20</v>
      </c>
      <c r="H8015" s="8" t="s">
        <v>21</v>
      </c>
      <c r="I8015" s="8" t="s">
        <v>22</v>
      </c>
      <c r="J8015" s="8" t="s">
        <v>22</v>
      </c>
      <c r="K8015" s="8" t="s">
        <v>37</v>
      </c>
      <c r="L8015" s="8" t="s">
        <v>38</v>
      </c>
      <c r="M8015" s="8" t="s">
        <v>39</v>
      </c>
      <c r="N8015" s="8" t="s">
        <v>35356</v>
      </c>
      <c r="O8015" s="8">
        <f>1+56/60+16.1/3600</f>
        <v>1.9378055555555556</v>
      </c>
      <c r="P8015" s="8" t="s">
        <v>35357</v>
      </c>
      <c r="Q8015" s="8">
        <f>+(3+45/60+45/3600)</f>
        <v>3.7625000000000002</v>
      </c>
      <c r="R8015" s="8">
        <v>13.3</v>
      </c>
      <c r="S8015" s="8">
        <v>14.3</v>
      </c>
      <c r="T8015" s="8">
        <v>1</v>
      </c>
      <c r="U8015" s="8">
        <v>13</v>
      </c>
      <c r="V8015" s="8">
        <v>1.3</v>
      </c>
      <c r="W8015" s="8">
        <v>0.8</v>
      </c>
      <c r="X8015" s="8">
        <v>101</v>
      </c>
      <c r="Y8015" s="8" t="s">
        <v>30927</v>
      </c>
      <c r="Z8015" s="8" t="s">
        <v>194</v>
      </c>
    </row>
    <row r="8016" spans="1:26" x14ac:dyDescent="0.2">
      <c r="A8016" s="8">
        <v>8015</v>
      </c>
      <c r="B8016" s="8" t="s">
        <v>35358</v>
      </c>
      <c r="C8016" s="8" t="s">
        <v>35358</v>
      </c>
      <c r="G8016" s="8">
        <v>20</v>
      </c>
      <c r="H8016" s="8" t="s">
        <v>21</v>
      </c>
      <c r="I8016" s="8" t="s">
        <v>22</v>
      </c>
      <c r="J8016" s="8" t="s">
        <v>22</v>
      </c>
      <c r="K8016" s="8" t="s">
        <v>460</v>
      </c>
      <c r="L8016" s="8" t="s">
        <v>125</v>
      </c>
      <c r="M8016" s="8" t="s">
        <v>126</v>
      </c>
      <c r="N8016" s="8" t="s">
        <v>35359</v>
      </c>
      <c r="O8016" s="8">
        <f>1+56/60+18.8/3600</f>
        <v>1.9385555555555556</v>
      </c>
      <c r="P8016" s="8" t="s">
        <v>35360</v>
      </c>
      <c r="Q8016" s="8">
        <f>+(1+19/60+57/3600)</f>
        <v>1.3325</v>
      </c>
      <c r="R8016" s="8">
        <v>14.3</v>
      </c>
      <c r="S8016" s="8">
        <v>15.3</v>
      </c>
      <c r="T8016" s="8">
        <v>1</v>
      </c>
      <c r="U8016" s="8">
        <v>12.4</v>
      </c>
      <c r="V8016" s="8">
        <v>0.4</v>
      </c>
      <c r="W8016" s="8">
        <v>0.4</v>
      </c>
      <c r="Y8016" s="8" t="s">
        <v>35361</v>
      </c>
      <c r="Z8016" s="8" t="s">
        <v>35362</v>
      </c>
    </row>
    <row r="8017" spans="1:26" x14ac:dyDescent="0.2">
      <c r="A8017" s="8">
        <v>8016</v>
      </c>
      <c r="B8017" s="8" t="s">
        <v>35363</v>
      </c>
      <c r="C8017" s="8" t="s">
        <v>35363</v>
      </c>
      <c r="G8017" s="8">
        <v>20</v>
      </c>
      <c r="H8017" s="8" t="s">
        <v>21</v>
      </c>
      <c r="I8017" s="8" t="s">
        <v>22</v>
      </c>
      <c r="J8017" s="8" t="s">
        <v>22</v>
      </c>
      <c r="K8017" s="8" t="s">
        <v>160</v>
      </c>
      <c r="L8017" s="8" t="s">
        <v>125</v>
      </c>
      <c r="M8017" s="8" t="s">
        <v>126</v>
      </c>
      <c r="N8017" s="8" t="s">
        <v>35364</v>
      </c>
      <c r="O8017" s="8">
        <f>1+56/60+53.5/3600</f>
        <v>1.9481944444444446</v>
      </c>
      <c r="P8017" s="8" t="s">
        <v>35365</v>
      </c>
      <c r="Q8017" s="8">
        <f>-(2+1/60+8/3600)</f>
        <v>-2.0188888888888887</v>
      </c>
      <c r="R8017" s="8">
        <v>14</v>
      </c>
      <c r="S8017" s="8">
        <v>14.7</v>
      </c>
      <c r="T8017" s="8">
        <v>0.7</v>
      </c>
      <c r="U8017" s="8">
        <v>13.5</v>
      </c>
      <c r="V8017" s="8">
        <v>1.9</v>
      </c>
      <c r="W8017" s="8">
        <v>0.4</v>
      </c>
      <c r="X8017" s="8">
        <v>94</v>
      </c>
      <c r="Y8017" s="8" t="s">
        <v>22516</v>
      </c>
      <c r="Z8017" s="8" t="s">
        <v>22517</v>
      </c>
    </row>
    <row r="8018" spans="1:26" x14ac:dyDescent="0.2">
      <c r="A8018" s="8">
        <v>8017</v>
      </c>
      <c r="B8018" s="8" t="s">
        <v>35366</v>
      </c>
      <c r="C8018" s="8" t="s">
        <v>35366</v>
      </c>
      <c r="G8018" s="8">
        <v>20</v>
      </c>
      <c r="H8018" s="8" t="s">
        <v>21</v>
      </c>
      <c r="I8018" s="8" t="s">
        <v>22</v>
      </c>
      <c r="J8018" s="8" t="s">
        <v>22</v>
      </c>
      <c r="K8018" s="8" t="s">
        <v>449</v>
      </c>
      <c r="L8018" s="8" t="s">
        <v>125</v>
      </c>
      <c r="M8018" s="8" t="s">
        <v>126</v>
      </c>
      <c r="N8018" s="8" t="s">
        <v>35367</v>
      </c>
      <c r="O8018" s="8">
        <f>1+57/60+0.6/3600</f>
        <v>1.9501666666666666</v>
      </c>
      <c r="P8018" s="8" t="s">
        <v>35368</v>
      </c>
      <c r="Q8018" s="8">
        <f>-(0+5/60+21/3600)</f>
        <v>-8.9166666666666658E-2</v>
      </c>
      <c r="R8018" s="8">
        <v>14.6</v>
      </c>
      <c r="S8018" s="8">
        <v>15.4</v>
      </c>
      <c r="T8018" s="8">
        <v>0.8</v>
      </c>
      <c r="U8018" s="8">
        <v>12.1</v>
      </c>
      <c r="V8018" s="8">
        <v>0.4</v>
      </c>
      <c r="W8018" s="8">
        <v>0.3</v>
      </c>
      <c r="X8018" s="8">
        <v>10</v>
      </c>
      <c r="Y8018" s="8" t="s">
        <v>5775</v>
      </c>
      <c r="Z8018" s="8" t="s">
        <v>34785</v>
      </c>
    </row>
    <row r="8019" spans="1:26" x14ac:dyDescent="0.2">
      <c r="A8019" s="8">
        <v>8018</v>
      </c>
      <c r="B8019" s="8" t="s">
        <v>35369</v>
      </c>
      <c r="C8019" s="8" t="s">
        <v>35369</v>
      </c>
      <c r="G8019" s="8">
        <v>20</v>
      </c>
      <c r="H8019" s="8" t="s">
        <v>21</v>
      </c>
      <c r="I8019" s="8" t="s">
        <v>22</v>
      </c>
      <c r="J8019" s="8" t="s">
        <v>22</v>
      </c>
      <c r="K8019" s="8" t="s">
        <v>31</v>
      </c>
      <c r="L8019" s="8" t="s">
        <v>51</v>
      </c>
      <c r="M8019" s="8" t="s">
        <v>52</v>
      </c>
      <c r="N8019" s="8" t="s">
        <v>35370</v>
      </c>
      <c r="O8019" s="8">
        <f>1+58/60+54.9/3600</f>
        <v>1.9819166666666668</v>
      </c>
      <c r="P8019" s="8" t="s">
        <v>35371</v>
      </c>
      <c r="Q8019" s="8">
        <f>+(36+40/60+30/3600)</f>
        <v>36.674999999999997</v>
      </c>
      <c r="R8019" s="8">
        <v>13.3</v>
      </c>
      <c r="S8019" s="8">
        <v>14.1</v>
      </c>
      <c r="T8019" s="8">
        <v>0.8</v>
      </c>
      <c r="U8019" s="8">
        <v>13.3</v>
      </c>
      <c r="V8019" s="8">
        <v>1.3</v>
      </c>
      <c r="W8019" s="8">
        <v>0.9</v>
      </c>
      <c r="X8019" s="8">
        <v>161</v>
      </c>
      <c r="Y8019" s="8" t="s">
        <v>35372</v>
      </c>
      <c r="Z8019" s="8" t="s">
        <v>35373</v>
      </c>
    </row>
    <row r="8020" spans="1:26" x14ac:dyDescent="0.2">
      <c r="A8020" s="8">
        <v>8019</v>
      </c>
      <c r="B8020" s="8" t="s">
        <v>35374</v>
      </c>
      <c r="C8020" s="8" t="s">
        <v>35374</v>
      </c>
      <c r="G8020" s="8">
        <v>20</v>
      </c>
      <c r="H8020" s="8" t="s">
        <v>21</v>
      </c>
      <c r="I8020" s="8" t="s">
        <v>22</v>
      </c>
      <c r="J8020" s="8" t="s">
        <v>22</v>
      </c>
      <c r="K8020" s="8" t="s">
        <v>382</v>
      </c>
      <c r="L8020" s="8" t="s">
        <v>51</v>
      </c>
      <c r="M8020" s="8" t="s">
        <v>52</v>
      </c>
      <c r="N8020" s="8" t="s">
        <v>35375</v>
      </c>
      <c r="O8020" s="8">
        <f>2+0/60+11.5/3600</f>
        <v>2.0031944444444445</v>
      </c>
      <c r="P8020" s="8" t="s">
        <v>35376</v>
      </c>
      <c r="Q8020" s="8">
        <f>+(38+1/60+17/3600)</f>
        <v>38.021388888888886</v>
      </c>
      <c r="R8020" s="8">
        <v>12.6</v>
      </c>
      <c r="S8020" s="8">
        <v>13.6</v>
      </c>
      <c r="T8020" s="8">
        <v>1</v>
      </c>
      <c r="U8020" s="8">
        <v>13.7</v>
      </c>
      <c r="V8020" s="8">
        <v>1.6</v>
      </c>
      <c r="W8020" s="8">
        <v>1.2</v>
      </c>
      <c r="X8020" s="8">
        <v>110</v>
      </c>
      <c r="Y8020" s="8" t="s">
        <v>35377</v>
      </c>
      <c r="Z8020" s="8" t="s">
        <v>35378</v>
      </c>
    </row>
    <row r="8021" spans="1:26" x14ac:dyDescent="0.2">
      <c r="A8021" s="8">
        <v>8020</v>
      </c>
      <c r="B8021" s="8" t="s">
        <v>35379</v>
      </c>
      <c r="C8021" s="8" t="s">
        <v>35379</v>
      </c>
      <c r="G8021" s="8">
        <v>20</v>
      </c>
      <c r="H8021" s="8" t="s">
        <v>21</v>
      </c>
      <c r="I8021" s="8" t="s">
        <v>22</v>
      </c>
      <c r="J8021" s="8" t="s">
        <v>22</v>
      </c>
      <c r="K8021" s="8" t="s">
        <v>23</v>
      </c>
      <c r="L8021" s="8" t="s">
        <v>3256</v>
      </c>
      <c r="M8021" s="8" t="s">
        <v>3257</v>
      </c>
      <c r="N8021" s="8" t="s">
        <v>35380</v>
      </c>
      <c r="O8021" s="8">
        <f>2+0/60+0.3/3600</f>
        <v>2.0000833333333334</v>
      </c>
      <c r="P8021" s="8" t="s">
        <v>35381</v>
      </c>
      <c r="Q8021" s="8">
        <f>+(23+36/60+18/3600)</f>
        <v>23.605</v>
      </c>
      <c r="R8021" s="8">
        <v>14.6</v>
      </c>
      <c r="S8021" s="8">
        <v>15.4</v>
      </c>
      <c r="T8021" s="8">
        <v>0.8</v>
      </c>
      <c r="U8021" s="8">
        <v>12.9</v>
      </c>
      <c r="V8021" s="8">
        <v>0.8</v>
      </c>
      <c r="W8021" s="8">
        <v>0.3</v>
      </c>
      <c r="X8021" s="8">
        <v>0</v>
      </c>
      <c r="Y8021" s="8" t="s">
        <v>35382</v>
      </c>
      <c r="Z8021" s="8" t="s">
        <v>35383</v>
      </c>
    </row>
    <row r="8022" spans="1:26" x14ac:dyDescent="0.2">
      <c r="A8022" s="8">
        <v>8021</v>
      </c>
      <c r="B8022" s="8" t="s">
        <v>35384</v>
      </c>
      <c r="C8022" s="8" t="s">
        <v>35384</v>
      </c>
      <c r="G8022" s="8">
        <v>20</v>
      </c>
      <c r="H8022" s="8" t="s">
        <v>21</v>
      </c>
      <c r="I8022" s="8" t="s">
        <v>22</v>
      </c>
      <c r="J8022" s="8" t="s">
        <v>22</v>
      </c>
      <c r="K8022" s="8" t="s">
        <v>424</v>
      </c>
      <c r="L8022" s="8" t="s">
        <v>3256</v>
      </c>
      <c r="M8022" s="8" t="s">
        <v>3257</v>
      </c>
      <c r="N8022" s="8" t="s">
        <v>35385</v>
      </c>
      <c r="O8022" s="8">
        <f>2+0/60+2.3/3600</f>
        <v>2.0006388888888891</v>
      </c>
      <c r="P8022" s="8" t="s">
        <v>35386</v>
      </c>
      <c r="Q8022" s="8">
        <f>+(23+39/60+33/3600)</f>
        <v>23.659166666666664</v>
      </c>
      <c r="R8022" s="8">
        <v>14.7</v>
      </c>
      <c r="S8022" s="8">
        <v>15.7</v>
      </c>
      <c r="T8022" s="8">
        <v>1</v>
      </c>
      <c r="U8022" s="8">
        <v>12.8</v>
      </c>
      <c r="V8022" s="8">
        <v>0.5</v>
      </c>
      <c r="W8022" s="8">
        <v>0.4</v>
      </c>
      <c r="Y8022" s="8" t="s">
        <v>11909</v>
      </c>
      <c r="Z8022" s="8" t="s">
        <v>11910</v>
      </c>
    </row>
    <row r="8023" spans="1:26" x14ac:dyDescent="0.2">
      <c r="A8023" s="8">
        <v>8022</v>
      </c>
      <c r="B8023" s="8" t="s">
        <v>35387</v>
      </c>
      <c r="C8023" s="8" t="s">
        <v>35387</v>
      </c>
      <c r="G8023" s="8">
        <v>20</v>
      </c>
      <c r="H8023" s="8" t="s">
        <v>21</v>
      </c>
      <c r="I8023" s="8" t="s">
        <v>22</v>
      </c>
      <c r="J8023" s="8" t="s">
        <v>22</v>
      </c>
      <c r="K8023" s="8" t="s">
        <v>218</v>
      </c>
      <c r="L8023" s="8" t="s">
        <v>38</v>
      </c>
      <c r="M8023" s="8" t="s">
        <v>39</v>
      </c>
      <c r="N8023" s="8" t="s">
        <v>35388</v>
      </c>
      <c r="O8023" s="8">
        <f>1+59/60+51.7/3600</f>
        <v>1.9976944444444444</v>
      </c>
      <c r="P8023" s="8" t="s">
        <v>35389</v>
      </c>
      <c r="Q8023" s="8">
        <f>+(7+24/60+44/3600)</f>
        <v>7.4122222222222227</v>
      </c>
      <c r="R8023" s="8">
        <v>13.7</v>
      </c>
      <c r="S8023" s="8">
        <v>14.5</v>
      </c>
      <c r="T8023" s="8">
        <v>0.8</v>
      </c>
      <c r="U8023" s="8">
        <v>12.9</v>
      </c>
      <c r="V8023" s="8">
        <v>0.9</v>
      </c>
      <c r="W8023" s="8">
        <v>0.6</v>
      </c>
      <c r="X8023" s="8">
        <v>33</v>
      </c>
      <c r="Y8023" s="8" t="s">
        <v>35390</v>
      </c>
      <c r="Z8023" s="8" t="s">
        <v>35391</v>
      </c>
    </row>
    <row r="8024" spans="1:26" x14ac:dyDescent="0.2">
      <c r="A8024" s="8">
        <v>8023</v>
      </c>
      <c r="B8024" s="8" t="s">
        <v>35392</v>
      </c>
      <c r="C8024" s="8" t="s">
        <v>35392</v>
      </c>
      <c r="G8024" s="8">
        <v>20</v>
      </c>
      <c r="H8024" s="8" t="s">
        <v>21</v>
      </c>
      <c r="I8024" s="8" t="s">
        <v>22</v>
      </c>
      <c r="J8024" s="8" t="s">
        <v>22</v>
      </c>
      <c r="K8024" s="8" t="s">
        <v>37</v>
      </c>
      <c r="L8024" s="8" t="s">
        <v>125</v>
      </c>
      <c r="M8024" s="8" t="s">
        <v>126</v>
      </c>
      <c r="N8024" s="8" t="s">
        <v>35393</v>
      </c>
      <c r="O8024" s="8">
        <f>1+59/60+33.9/3600</f>
        <v>1.99275</v>
      </c>
      <c r="P8024" s="8" t="s">
        <v>35394</v>
      </c>
      <c r="Q8024" s="8">
        <f>-(5+20/60+50/3600)</f>
        <v>-5.3472222222222223</v>
      </c>
      <c r="R8024" s="8">
        <v>13.9</v>
      </c>
      <c r="S8024" s="8">
        <v>14.9</v>
      </c>
      <c r="T8024" s="8">
        <v>1</v>
      </c>
      <c r="U8024" s="8">
        <v>13.1</v>
      </c>
      <c r="V8024" s="8">
        <v>1.3</v>
      </c>
      <c r="W8024" s="8">
        <v>0.4</v>
      </c>
      <c r="X8024" s="8">
        <v>95</v>
      </c>
      <c r="Y8024" s="8" t="s">
        <v>1212</v>
      </c>
      <c r="Z8024" s="8" t="s">
        <v>1213</v>
      </c>
    </row>
    <row r="8025" spans="1:26" x14ac:dyDescent="0.2">
      <c r="A8025" s="8">
        <v>8024</v>
      </c>
      <c r="B8025" s="8" t="s">
        <v>35395</v>
      </c>
      <c r="C8025" s="8" t="s">
        <v>35395</v>
      </c>
      <c r="G8025" s="8">
        <v>20</v>
      </c>
      <c r="H8025" s="8" t="s">
        <v>21</v>
      </c>
      <c r="I8025" s="8" t="s">
        <v>22</v>
      </c>
      <c r="J8025" s="8" t="s">
        <v>22</v>
      </c>
      <c r="K8025" s="8" t="s">
        <v>91</v>
      </c>
      <c r="L8025" s="8" t="s">
        <v>125</v>
      </c>
      <c r="M8025" s="8" t="s">
        <v>126</v>
      </c>
      <c r="N8025" s="8" t="s">
        <v>35396</v>
      </c>
      <c r="O8025" s="8">
        <f>1+59/60+51.1/3600</f>
        <v>1.9975277777777778</v>
      </c>
      <c r="P8025" s="8" t="s">
        <v>35397</v>
      </c>
      <c r="Q8025" s="8">
        <f>-(6+50/60+26/3600)</f>
        <v>-6.8405555555555555</v>
      </c>
      <c r="R8025" s="8">
        <v>13.8</v>
      </c>
      <c r="S8025" s="8">
        <v>14.7</v>
      </c>
      <c r="T8025" s="8">
        <v>0.9</v>
      </c>
      <c r="U8025" s="8">
        <v>13</v>
      </c>
      <c r="V8025" s="8">
        <v>1.1000000000000001</v>
      </c>
      <c r="W8025" s="8">
        <v>0.5</v>
      </c>
      <c r="X8025" s="8">
        <v>177</v>
      </c>
      <c r="Y8025" s="8" t="s">
        <v>266</v>
      </c>
      <c r="Z8025" s="8" t="s">
        <v>267</v>
      </c>
    </row>
    <row r="8026" spans="1:26" x14ac:dyDescent="0.2">
      <c r="A8026" s="8">
        <v>8025</v>
      </c>
      <c r="B8026" s="8" t="s">
        <v>35398</v>
      </c>
      <c r="C8026" s="8" t="s">
        <v>35398</v>
      </c>
      <c r="G8026" s="8">
        <v>20</v>
      </c>
      <c r="H8026" s="8" t="s">
        <v>21</v>
      </c>
      <c r="I8026" s="8" t="s">
        <v>22</v>
      </c>
      <c r="J8026" s="8" t="s">
        <v>22</v>
      </c>
      <c r="K8026" s="8" t="s">
        <v>449</v>
      </c>
      <c r="L8026" s="8" t="s">
        <v>125</v>
      </c>
      <c r="M8026" s="8" t="s">
        <v>126</v>
      </c>
      <c r="N8026" s="8" t="s">
        <v>35399</v>
      </c>
      <c r="O8026" s="8">
        <f>2+0/60+6.1/3600</f>
        <v>2.0016944444444444</v>
      </c>
      <c r="P8026" s="8" t="s">
        <v>35400</v>
      </c>
      <c r="Q8026" s="8">
        <f>-(1+31/60+40/3600)</f>
        <v>-1.5277777777777777</v>
      </c>
      <c r="R8026" s="8">
        <v>15.4</v>
      </c>
      <c r="S8026" s="8">
        <v>16.2</v>
      </c>
      <c r="T8026" s="8">
        <v>0.8</v>
      </c>
      <c r="U8026" s="8">
        <v>12.8</v>
      </c>
      <c r="V8026" s="8">
        <v>0.5</v>
      </c>
      <c r="W8026" s="8">
        <v>0.2</v>
      </c>
      <c r="X8026" s="8">
        <v>88</v>
      </c>
      <c r="Y8026" s="8" t="s">
        <v>35401</v>
      </c>
      <c r="Z8026" s="8" t="s">
        <v>35402</v>
      </c>
    </row>
    <row r="8027" spans="1:26" x14ac:dyDescent="0.2">
      <c r="A8027" s="8">
        <v>8026</v>
      </c>
      <c r="B8027" s="8" t="s">
        <v>35403</v>
      </c>
      <c r="C8027" s="8" t="s">
        <v>35403</v>
      </c>
      <c r="D8027" s="8" t="s">
        <v>351</v>
      </c>
      <c r="G8027" s="8">
        <v>20</v>
      </c>
      <c r="H8027" s="8" t="s">
        <v>21</v>
      </c>
      <c r="I8027" s="8" t="s">
        <v>22</v>
      </c>
      <c r="J8027" s="8" t="s">
        <v>22</v>
      </c>
      <c r="K8027" s="8" t="s">
        <v>12036</v>
      </c>
      <c r="L8027" s="8" t="s">
        <v>125</v>
      </c>
      <c r="M8027" s="8" t="s">
        <v>126</v>
      </c>
      <c r="N8027" s="8" t="s">
        <v>35404</v>
      </c>
      <c r="O8027" s="8">
        <f>2+0/60+23.9/3600</f>
        <v>2.0066388888888889</v>
      </c>
      <c r="P8027" s="8" t="s">
        <v>35405</v>
      </c>
      <c r="Q8027" s="8">
        <f>-(1+33/60+12/3600)</f>
        <v>-1.5533333333333335</v>
      </c>
      <c r="R8027" s="8">
        <v>14.5</v>
      </c>
      <c r="S8027" s="8">
        <v>15.3</v>
      </c>
      <c r="T8027" s="8">
        <v>0.8</v>
      </c>
      <c r="U8027" s="8">
        <v>12.8</v>
      </c>
      <c r="V8027" s="8">
        <v>0.6</v>
      </c>
      <c r="W8027" s="8">
        <v>0.4</v>
      </c>
      <c r="X8027" s="8">
        <v>27</v>
      </c>
      <c r="Y8027" s="8" t="s">
        <v>35406</v>
      </c>
      <c r="Z8027" s="8" t="s">
        <v>35407</v>
      </c>
    </row>
    <row r="8028" spans="1:26" x14ac:dyDescent="0.2">
      <c r="A8028" s="8">
        <v>8027</v>
      </c>
      <c r="B8028" s="8" t="s">
        <v>35408</v>
      </c>
      <c r="C8028" s="8" t="s">
        <v>35408</v>
      </c>
      <c r="E8028" s="8">
        <v>1</v>
      </c>
      <c r="G8028" s="8">
        <v>20</v>
      </c>
      <c r="H8028" s="8" t="s">
        <v>21</v>
      </c>
      <c r="I8028" s="8" t="s">
        <v>22</v>
      </c>
      <c r="J8028" s="8" t="s">
        <v>22</v>
      </c>
      <c r="K8028" s="8" t="s">
        <v>154</v>
      </c>
      <c r="L8028" s="8" t="s">
        <v>2809</v>
      </c>
      <c r="M8028" s="8" t="s">
        <v>2810</v>
      </c>
      <c r="N8028" s="8" t="s">
        <v>35409</v>
      </c>
      <c r="O8028" s="8">
        <f>2+1/60+30.7/3600</f>
        <v>2.0251944444444443</v>
      </c>
      <c r="P8028" s="8" t="s">
        <v>35410</v>
      </c>
      <c r="Q8028" s="8">
        <f>+(26+28/60+52/3600)</f>
        <v>26.481111111111108</v>
      </c>
      <c r="R8028" s="8">
        <v>12.9</v>
      </c>
      <c r="S8028" s="8">
        <v>13.8</v>
      </c>
      <c r="T8028" s="8">
        <v>0.9</v>
      </c>
      <c r="U8028" s="8">
        <v>13.1</v>
      </c>
      <c r="V8028" s="8">
        <v>2</v>
      </c>
      <c r="W8028" s="8">
        <v>0.7</v>
      </c>
      <c r="X8028" s="8">
        <v>70</v>
      </c>
      <c r="Y8028" s="8" t="s">
        <v>35411</v>
      </c>
      <c r="Z8028" s="8" t="s">
        <v>35412</v>
      </c>
    </row>
    <row r="8029" spans="1:26" x14ac:dyDescent="0.2">
      <c r="A8029" s="8">
        <v>8028</v>
      </c>
      <c r="B8029" s="8" t="s">
        <v>35413</v>
      </c>
      <c r="C8029" s="8" t="s">
        <v>35413</v>
      </c>
      <c r="G8029" s="8">
        <v>20</v>
      </c>
      <c r="H8029" s="8" t="s">
        <v>21</v>
      </c>
      <c r="I8029" s="8" t="s">
        <v>22</v>
      </c>
      <c r="J8029" s="8" t="s">
        <v>22</v>
      </c>
      <c r="K8029" s="8" t="s">
        <v>476</v>
      </c>
      <c r="L8029" s="8" t="s">
        <v>2809</v>
      </c>
      <c r="M8029" s="8" t="s">
        <v>2810</v>
      </c>
      <c r="N8029" s="8" t="s">
        <v>35414</v>
      </c>
      <c r="O8029" s="8">
        <f>2+1/60+46.5/3600</f>
        <v>2.0295833333333331</v>
      </c>
      <c r="P8029" s="8" t="s">
        <v>35415</v>
      </c>
      <c r="Q8029" s="8">
        <f>+(26+32/60+49/3600)</f>
        <v>26.546944444444446</v>
      </c>
      <c r="R8029" s="8">
        <v>13.8</v>
      </c>
      <c r="S8029" s="8">
        <v>14.7</v>
      </c>
      <c r="T8029" s="8">
        <v>0.9</v>
      </c>
      <c r="U8029" s="8">
        <v>12</v>
      </c>
      <c r="V8029" s="8">
        <v>0.6</v>
      </c>
      <c r="W8029" s="8">
        <v>0.3</v>
      </c>
      <c r="X8029" s="8">
        <v>45</v>
      </c>
      <c r="Y8029" s="8" t="s">
        <v>15791</v>
      </c>
      <c r="Z8029" s="8" t="s">
        <v>15792</v>
      </c>
    </row>
    <row r="8030" spans="1:26" x14ac:dyDescent="0.2">
      <c r="A8030" s="8">
        <v>8029</v>
      </c>
      <c r="B8030" s="8" t="s">
        <v>35416</v>
      </c>
      <c r="C8030" s="8" t="s">
        <v>35416</v>
      </c>
      <c r="G8030" s="8">
        <v>20</v>
      </c>
      <c r="H8030" s="8" t="s">
        <v>21</v>
      </c>
      <c r="I8030" s="8" t="s">
        <v>22</v>
      </c>
      <c r="J8030" s="8" t="s">
        <v>22</v>
      </c>
      <c r="K8030" s="8" t="s">
        <v>64</v>
      </c>
      <c r="L8030" s="8" t="s">
        <v>3256</v>
      </c>
      <c r="M8030" s="8" t="s">
        <v>3257</v>
      </c>
      <c r="N8030" s="8" t="s">
        <v>35417</v>
      </c>
      <c r="O8030" s="8">
        <f>2+1/60+52.9/3600</f>
        <v>2.031361111111111</v>
      </c>
      <c r="P8030" s="8" t="s">
        <v>35418</v>
      </c>
      <c r="Q8030" s="8">
        <f>+(23+33/60+4/3600)</f>
        <v>23.551111111111112</v>
      </c>
      <c r="R8030" s="8">
        <v>13.9</v>
      </c>
      <c r="S8030" s="8">
        <v>14.6</v>
      </c>
      <c r="T8030" s="8">
        <v>0.7</v>
      </c>
      <c r="U8030" s="8">
        <v>12.8</v>
      </c>
      <c r="V8030" s="8">
        <v>0.7</v>
      </c>
      <c r="W8030" s="8">
        <v>0.6</v>
      </c>
      <c r="X8030" s="8">
        <v>147</v>
      </c>
      <c r="Y8030" s="8" t="s">
        <v>35419</v>
      </c>
      <c r="Z8030" s="8" t="s">
        <v>35420</v>
      </c>
    </row>
    <row r="8031" spans="1:26" x14ac:dyDescent="0.2">
      <c r="A8031" s="8">
        <v>8030</v>
      </c>
      <c r="B8031" s="8" t="s">
        <v>35421</v>
      </c>
      <c r="C8031" s="8" t="s">
        <v>35421</v>
      </c>
      <c r="G8031" s="8">
        <v>20</v>
      </c>
      <c r="H8031" s="8" t="s">
        <v>21</v>
      </c>
      <c r="I8031" s="8" t="s">
        <v>22</v>
      </c>
      <c r="J8031" s="8" t="s">
        <v>22</v>
      </c>
      <c r="K8031" s="8" t="s">
        <v>818</v>
      </c>
      <c r="L8031" s="8" t="s">
        <v>3256</v>
      </c>
      <c r="M8031" s="8" t="s">
        <v>3257</v>
      </c>
      <c r="N8031" s="8" t="s">
        <v>35422</v>
      </c>
      <c r="O8031" s="8">
        <f>2+2/60+7.2/3600</f>
        <v>2.035333333333333</v>
      </c>
      <c r="P8031" s="8" t="s">
        <v>35423</v>
      </c>
      <c r="Q8031" s="8">
        <f>+(23+33/60+1/3600)</f>
        <v>23.550277777777779</v>
      </c>
      <c r="R8031" s="8">
        <v>14.1</v>
      </c>
      <c r="S8031" s="8">
        <v>15.1</v>
      </c>
      <c r="T8031" s="8">
        <v>1</v>
      </c>
      <c r="U8031" s="8">
        <v>12.6</v>
      </c>
      <c r="V8031" s="8">
        <v>0.8</v>
      </c>
      <c r="W8031" s="8">
        <v>0.5</v>
      </c>
      <c r="X8031" s="8">
        <v>105</v>
      </c>
      <c r="Y8031" s="8" t="s">
        <v>7479</v>
      </c>
      <c r="Z8031" s="8" t="s">
        <v>7480</v>
      </c>
    </row>
    <row r="8032" spans="1:26" x14ac:dyDescent="0.2">
      <c r="A8032" s="8">
        <v>8031</v>
      </c>
      <c r="B8032" s="8" t="s">
        <v>35424</v>
      </c>
      <c r="C8032" s="8" t="s">
        <v>35424</v>
      </c>
      <c r="G8032" s="8">
        <v>20</v>
      </c>
      <c r="H8032" s="8" t="s">
        <v>21</v>
      </c>
      <c r="I8032" s="8" t="s">
        <v>22</v>
      </c>
      <c r="J8032" s="8" t="s">
        <v>57</v>
      </c>
      <c r="K8032" s="8" t="s">
        <v>58</v>
      </c>
      <c r="L8032" s="8" t="s">
        <v>3256</v>
      </c>
      <c r="M8032" s="8" t="s">
        <v>3257</v>
      </c>
      <c r="N8032" s="8" t="s">
        <v>3830</v>
      </c>
      <c r="O8032" s="8">
        <f>2+2/60+29.4/3600</f>
        <v>2.0415000000000001</v>
      </c>
      <c r="P8032" s="8" t="s">
        <v>3831</v>
      </c>
      <c r="Q8032" s="8">
        <f>+(18+22/60+22/3600)</f>
        <v>18.372777777777777</v>
      </c>
      <c r="R8032" s="8">
        <v>12.7</v>
      </c>
      <c r="S8032" s="8">
        <v>13.8</v>
      </c>
      <c r="T8032" s="8">
        <v>1.1000000000000001</v>
      </c>
      <c r="U8032" s="8">
        <v>13</v>
      </c>
      <c r="V8032" s="8">
        <v>1.3</v>
      </c>
      <c r="W8032" s="8">
        <v>1.1000000000000001</v>
      </c>
      <c r="X8032" s="8">
        <v>45</v>
      </c>
      <c r="Y8032" s="8" t="s">
        <v>35425</v>
      </c>
      <c r="Z8032" s="8" t="s">
        <v>35426</v>
      </c>
    </row>
    <row r="8033" spans="1:26" x14ac:dyDescent="0.2">
      <c r="A8033" s="8">
        <v>8032</v>
      </c>
      <c r="B8033" s="8" t="s">
        <v>35427</v>
      </c>
      <c r="C8033" s="8" t="s">
        <v>35427</v>
      </c>
      <c r="G8033" s="8">
        <v>20</v>
      </c>
      <c r="H8033" s="8" t="s">
        <v>21</v>
      </c>
      <c r="I8033" s="8" t="s">
        <v>22</v>
      </c>
      <c r="J8033" s="8" t="s">
        <v>22</v>
      </c>
      <c r="K8033" s="8" t="s">
        <v>37</v>
      </c>
      <c r="L8033" s="8" t="s">
        <v>3256</v>
      </c>
      <c r="M8033" s="8" t="s">
        <v>3257</v>
      </c>
      <c r="N8033" s="8" t="s">
        <v>35428</v>
      </c>
      <c r="O8033" s="8">
        <f>2+2/60+32.4/3600</f>
        <v>2.0423333333333331</v>
      </c>
      <c r="P8033" s="8" t="s">
        <v>35429</v>
      </c>
      <c r="Q8033" s="8">
        <f>+(16+0/60+51/3600)</f>
        <v>16.014166666666668</v>
      </c>
      <c r="R8033" s="8">
        <v>13.5</v>
      </c>
      <c r="S8033" s="8">
        <v>14.5</v>
      </c>
      <c r="T8033" s="8">
        <v>1</v>
      </c>
      <c r="U8033" s="8">
        <v>12.6</v>
      </c>
      <c r="V8033" s="8">
        <v>0.9</v>
      </c>
      <c r="W8033" s="8">
        <v>0.7</v>
      </c>
      <c r="X8033" s="8">
        <v>156</v>
      </c>
      <c r="Y8033" s="8" t="s">
        <v>35430</v>
      </c>
      <c r="Z8033" s="8" t="s">
        <v>35431</v>
      </c>
    </row>
    <row r="8034" spans="1:26" x14ac:dyDescent="0.2">
      <c r="A8034" s="8">
        <v>8033</v>
      </c>
      <c r="B8034" s="8" t="s">
        <v>35432</v>
      </c>
      <c r="C8034" s="8" t="s">
        <v>35432</v>
      </c>
      <c r="G8034" s="8">
        <v>20</v>
      </c>
      <c r="H8034" s="8" t="s">
        <v>21</v>
      </c>
      <c r="I8034" s="8" t="s">
        <v>22</v>
      </c>
      <c r="J8034" s="8" t="s">
        <v>22</v>
      </c>
      <c r="K8034" s="8" t="s">
        <v>160</v>
      </c>
      <c r="L8034" s="8" t="s">
        <v>3256</v>
      </c>
      <c r="M8034" s="8" t="s">
        <v>3257</v>
      </c>
      <c r="N8034" s="8" t="s">
        <v>35433</v>
      </c>
      <c r="O8034" s="8">
        <f>2+2/60+31/3600</f>
        <v>2.0419444444444443</v>
      </c>
      <c r="P8034" s="8" t="s">
        <v>35434</v>
      </c>
      <c r="Q8034" s="8">
        <f>+(11+5/60+35/3600)</f>
        <v>11.093055555555557</v>
      </c>
      <c r="R8034" s="8">
        <v>13.4</v>
      </c>
      <c r="S8034" s="8">
        <v>14.1</v>
      </c>
      <c r="T8034" s="8">
        <v>0.7</v>
      </c>
      <c r="U8034" s="8">
        <v>14</v>
      </c>
      <c r="V8034" s="8">
        <v>1.7</v>
      </c>
      <c r="W8034" s="8">
        <v>1.5</v>
      </c>
      <c r="X8034" s="8">
        <v>165</v>
      </c>
      <c r="Y8034" s="8" t="s">
        <v>35435</v>
      </c>
      <c r="Z8034" s="8" t="s">
        <v>35436</v>
      </c>
    </row>
    <row r="8035" spans="1:26" x14ac:dyDescent="0.2">
      <c r="A8035" s="8">
        <v>8034</v>
      </c>
      <c r="B8035" s="8" t="s">
        <v>35437</v>
      </c>
      <c r="C8035" s="8" t="s">
        <v>35437</v>
      </c>
      <c r="G8035" s="8">
        <v>20</v>
      </c>
      <c r="H8035" s="8" t="s">
        <v>21</v>
      </c>
      <c r="I8035" s="8" t="s">
        <v>22</v>
      </c>
      <c r="J8035" s="8" t="s">
        <v>22</v>
      </c>
      <c r="K8035" s="8" t="s">
        <v>23</v>
      </c>
      <c r="L8035" s="8" t="s">
        <v>38</v>
      </c>
      <c r="M8035" s="8" t="s">
        <v>39</v>
      </c>
      <c r="N8035" s="8" t="s">
        <v>35438</v>
      </c>
      <c r="O8035" s="8">
        <f>2+3/60+5.1/3600</f>
        <v>2.0514166666666664</v>
      </c>
      <c r="P8035" s="8" t="s">
        <v>35439</v>
      </c>
      <c r="Q8035" s="8">
        <f>+(2+36/60+50/3600)</f>
        <v>2.6138888888888889</v>
      </c>
      <c r="R8035" s="8">
        <v>14.4</v>
      </c>
      <c r="S8035" s="8">
        <v>15.2</v>
      </c>
      <c r="T8035" s="8">
        <v>0.8</v>
      </c>
      <c r="U8035" s="8">
        <v>12.9</v>
      </c>
      <c r="V8035" s="8">
        <v>1.5</v>
      </c>
      <c r="W8035" s="8">
        <v>0.2</v>
      </c>
      <c r="X8035" s="8">
        <v>13</v>
      </c>
      <c r="Y8035" s="8" t="s">
        <v>35440</v>
      </c>
      <c r="Z8035" s="8" t="s">
        <v>35441</v>
      </c>
    </row>
    <row r="8036" spans="1:26" x14ac:dyDescent="0.2">
      <c r="A8036" s="8">
        <v>8035</v>
      </c>
      <c r="B8036" s="8" t="s">
        <v>35442</v>
      </c>
      <c r="C8036" s="8" t="s">
        <v>35442</v>
      </c>
      <c r="G8036" s="8">
        <v>20</v>
      </c>
      <c r="H8036" s="8" t="s">
        <v>21</v>
      </c>
      <c r="I8036" s="8" t="s">
        <v>22</v>
      </c>
      <c r="J8036" s="8" t="s">
        <v>22</v>
      </c>
      <c r="K8036" s="8" t="s">
        <v>37</v>
      </c>
      <c r="L8036" s="8" t="s">
        <v>3256</v>
      </c>
      <c r="M8036" s="8" t="s">
        <v>3257</v>
      </c>
      <c r="N8036" s="8" t="s">
        <v>35443</v>
      </c>
      <c r="O8036" s="8">
        <f>2+3/60+44.6/3600</f>
        <v>2.0623888888888886</v>
      </c>
      <c r="P8036" s="8" t="s">
        <v>35444</v>
      </c>
      <c r="Q8036" s="8">
        <f>+(14+42/60+33/3600)</f>
        <v>14.709166666666667</v>
      </c>
      <c r="R8036" s="8">
        <v>13</v>
      </c>
      <c r="S8036" s="8">
        <v>14</v>
      </c>
      <c r="T8036" s="8">
        <v>1</v>
      </c>
      <c r="U8036" s="8">
        <v>12.5</v>
      </c>
      <c r="V8036" s="8">
        <v>1.5</v>
      </c>
      <c r="W8036" s="8">
        <v>0.5</v>
      </c>
      <c r="X8036" s="8">
        <v>126</v>
      </c>
      <c r="Y8036" s="8" t="s">
        <v>35445</v>
      </c>
      <c r="Z8036" s="8" t="s">
        <v>35446</v>
      </c>
    </row>
    <row r="8037" spans="1:26" x14ac:dyDescent="0.2">
      <c r="A8037" s="8">
        <v>8036</v>
      </c>
      <c r="B8037" s="8" t="s">
        <v>35447</v>
      </c>
      <c r="C8037" s="8" t="s">
        <v>35447</v>
      </c>
      <c r="G8037" s="8">
        <v>20</v>
      </c>
      <c r="H8037" s="8" t="s">
        <v>21</v>
      </c>
      <c r="I8037" s="8" t="s">
        <v>22</v>
      </c>
      <c r="J8037" s="8" t="s">
        <v>22</v>
      </c>
      <c r="K8037" s="8" t="s">
        <v>218</v>
      </c>
      <c r="L8037" s="8" t="s">
        <v>3256</v>
      </c>
      <c r="M8037" s="8" t="s">
        <v>3257</v>
      </c>
      <c r="N8037" s="8" t="s">
        <v>35448</v>
      </c>
      <c r="O8037" s="8">
        <f>2+3/60+49.7/3600</f>
        <v>2.0638055555555552</v>
      </c>
      <c r="P8037" s="8" t="s">
        <v>35449</v>
      </c>
      <c r="Q8037" s="8">
        <f>+(14+44/60+21/3600)</f>
        <v>14.739166666666666</v>
      </c>
      <c r="R8037" s="8">
        <v>12.9</v>
      </c>
      <c r="S8037" s="8">
        <v>13.7</v>
      </c>
      <c r="T8037" s="8">
        <v>0.8</v>
      </c>
      <c r="U8037" s="8">
        <v>14.2</v>
      </c>
      <c r="V8037" s="8">
        <v>2.8</v>
      </c>
      <c r="W8037" s="8">
        <v>1.4</v>
      </c>
      <c r="X8037" s="8">
        <v>5</v>
      </c>
      <c r="Y8037" s="8" t="s">
        <v>35445</v>
      </c>
      <c r="Z8037" s="8" t="s">
        <v>35450</v>
      </c>
    </row>
    <row r="8038" spans="1:26" x14ac:dyDescent="0.2">
      <c r="A8038" s="8">
        <v>8037</v>
      </c>
      <c r="B8038" s="8" t="s">
        <v>35451</v>
      </c>
      <c r="C8038" s="8" t="s">
        <v>35451</v>
      </c>
      <c r="G8038" s="8">
        <v>20</v>
      </c>
      <c r="H8038" s="8" t="s">
        <v>21</v>
      </c>
      <c r="I8038" s="8" t="s">
        <v>22</v>
      </c>
      <c r="J8038" s="8" t="s">
        <v>22</v>
      </c>
      <c r="K8038" s="8" t="s">
        <v>85</v>
      </c>
      <c r="L8038" s="8" t="s">
        <v>38</v>
      </c>
      <c r="M8038" s="8" t="s">
        <v>39</v>
      </c>
      <c r="N8038" s="8" t="s">
        <v>35452</v>
      </c>
      <c r="O8038" s="8">
        <f>2+4/60+4.9/3600</f>
        <v>2.068027777777778</v>
      </c>
      <c r="P8038" s="8" t="s">
        <v>35453</v>
      </c>
      <c r="Q8038" s="8">
        <f>+(2+47/60+12/3600)</f>
        <v>2.7866666666666666</v>
      </c>
      <c r="R8038" s="8">
        <v>13.5</v>
      </c>
      <c r="S8038" s="8">
        <v>14.3</v>
      </c>
      <c r="T8038" s="8">
        <v>0.8</v>
      </c>
      <c r="U8038" s="8">
        <v>12.6</v>
      </c>
      <c r="V8038" s="8">
        <v>1</v>
      </c>
      <c r="W8038" s="8">
        <v>0.5</v>
      </c>
      <c r="X8038" s="8">
        <v>55</v>
      </c>
      <c r="Y8038" s="8" t="s">
        <v>35454</v>
      </c>
      <c r="Z8038" s="8" t="s">
        <v>35455</v>
      </c>
    </row>
    <row r="8039" spans="1:26" x14ac:dyDescent="0.2">
      <c r="A8039" s="8">
        <v>8038</v>
      </c>
      <c r="B8039" s="8" t="s">
        <v>35456</v>
      </c>
      <c r="C8039" s="8" t="s">
        <v>35456</v>
      </c>
      <c r="G8039" s="8">
        <v>20</v>
      </c>
      <c r="H8039" s="8" t="s">
        <v>21</v>
      </c>
      <c r="I8039" s="8" t="s">
        <v>22</v>
      </c>
      <c r="J8039" s="8" t="s">
        <v>22</v>
      </c>
      <c r="K8039" s="8" t="s">
        <v>449</v>
      </c>
      <c r="L8039" s="8" t="s">
        <v>38</v>
      </c>
      <c r="M8039" s="8" t="s">
        <v>39</v>
      </c>
      <c r="N8039" s="8" t="s">
        <v>35457</v>
      </c>
      <c r="O8039" s="8">
        <f>2+6/60+3.1/3600</f>
        <v>2.1008611111111111</v>
      </c>
      <c r="P8039" s="8" t="s">
        <v>35458</v>
      </c>
      <c r="Q8039" s="8">
        <f>+(9+17/60+46/3600)</f>
        <v>9.2961111111111112</v>
      </c>
      <c r="R8039" s="8">
        <v>13.8</v>
      </c>
      <c r="S8039" s="8">
        <v>14.7</v>
      </c>
      <c r="T8039" s="8">
        <v>0.9</v>
      </c>
      <c r="U8039" s="8">
        <v>13.2</v>
      </c>
      <c r="V8039" s="8">
        <v>1.1000000000000001</v>
      </c>
      <c r="W8039" s="8">
        <v>0.6</v>
      </c>
      <c r="X8039" s="8">
        <v>43</v>
      </c>
      <c r="Y8039" s="8" t="s">
        <v>5970</v>
      </c>
      <c r="Z8039" s="8" t="s">
        <v>5971</v>
      </c>
    </row>
    <row r="8040" spans="1:26" x14ac:dyDescent="0.2">
      <c r="A8040" s="8">
        <v>8039</v>
      </c>
      <c r="B8040" s="8" t="s">
        <v>35459</v>
      </c>
      <c r="C8040" s="8" t="s">
        <v>35459</v>
      </c>
      <c r="G8040" s="8">
        <v>20</v>
      </c>
      <c r="H8040" s="8" t="s">
        <v>21</v>
      </c>
      <c r="I8040" s="8" t="s">
        <v>22</v>
      </c>
      <c r="J8040" s="8" t="s">
        <v>22</v>
      </c>
      <c r="K8040" s="8" t="s">
        <v>31</v>
      </c>
      <c r="L8040" s="8" t="s">
        <v>38</v>
      </c>
      <c r="M8040" s="8" t="s">
        <v>39</v>
      </c>
      <c r="N8040" s="8" t="s">
        <v>35460</v>
      </c>
      <c r="O8040" s="8">
        <f>2+6/60+19.4/3600</f>
        <v>2.1053888888888892</v>
      </c>
      <c r="P8040" s="8" t="s">
        <v>35461</v>
      </c>
      <c r="Q8040" s="8">
        <f>+(9+13/60+38/3600)</f>
        <v>9.2272222222222222</v>
      </c>
      <c r="R8040" s="8">
        <v>14</v>
      </c>
      <c r="S8040" s="8">
        <v>14.8</v>
      </c>
      <c r="T8040" s="8">
        <v>0.8</v>
      </c>
      <c r="U8040" s="8">
        <v>13.8</v>
      </c>
      <c r="V8040" s="8">
        <v>1.4</v>
      </c>
      <c r="W8040" s="8">
        <v>0.8</v>
      </c>
      <c r="X8040" s="8">
        <v>25</v>
      </c>
      <c r="Y8040" s="8" t="s">
        <v>2641</v>
      </c>
      <c r="Z8040" s="8" t="s">
        <v>2642</v>
      </c>
    </row>
    <row r="8041" spans="1:26" x14ac:dyDescent="0.2">
      <c r="A8041" s="8">
        <v>8040</v>
      </c>
      <c r="B8041" s="8" t="s">
        <v>35462</v>
      </c>
      <c r="C8041" s="8" t="s">
        <v>35462</v>
      </c>
      <c r="G8041" s="8">
        <v>20</v>
      </c>
      <c r="H8041" s="8" t="s">
        <v>21</v>
      </c>
      <c r="I8041" s="8" t="s">
        <v>22</v>
      </c>
      <c r="J8041" s="8" t="s">
        <v>22</v>
      </c>
      <c r="K8041" s="8" t="s">
        <v>35463</v>
      </c>
      <c r="L8041" s="8" t="s">
        <v>2809</v>
      </c>
      <c r="M8041" s="8" t="s">
        <v>2810</v>
      </c>
      <c r="N8041" s="8" t="s">
        <v>35464</v>
      </c>
      <c r="O8041" s="8">
        <f>2+5/60+26.6/3600</f>
        <v>2.0907222222222224</v>
      </c>
      <c r="P8041" s="8" t="s">
        <v>35465</v>
      </c>
      <c r="Q8041" s="8">
        <f>+(31+10/60+32/3600)</f>
        <v>31.175555555555558</v>
      </c>
      <c r="R8041" s="8">
        <v>12.9</v>
      </c>
      <c r="S8041" s="8">
        <v>13.7</v>
      </c>
      <c r="T8041" s="8">
        <v>0.8</v>
      </c>
      <c r="U8041" s="8">
        <v>14</v>
      </c>
      <c r="V8041" s="8">
        <v>2.1</v>
      </c>
      <c r="W8041" s="8">
        <v>1.5</v>
      </c>
      <c r="X8041" s="8">
        <v>85</v>
      </c>
      <c r="Y8041" s="8" t="s">
        <v>9013</v>
      </c>
      <c r="Z8041" s="8" t="s">
        <v>9014</v>
      </c>
    </row>
    <row r="8042" spans="1:26" x14ac:dyDescent="0.2">
      <c r="A8042" s="8">
        <v>8041</v>
      </c>
      <c r="B8042" s="8" t="s">
        <v>35466</v>
      </c>
      <c r="C8042" s="8" t="s">
        <v>35466</v>
      </c>
      <c r="G8042" s="8">
        <v>20</v>
      </c>
      <c r="H8042" s="8" t="s">
        <v>21</v>
      </c>
      <c r="I8042" s="8" t="s">
        <v>22</v>
      </c>
      <c r="J8042" s="8" t="s">
        <v>22</v>
      </c>
      <c r="K8042" s="8" t="s">
        <v>449</v>
      </c>
      <c r="L8042" s="8" t="s">
        <v>125</v>
      </c>
      <c r="M8042" s="8" t="s">
        <v>126</v>
      </c>
      <c r="N8042" s="8" t="s">
        <v>35467</v>
      </c>
      <c r="O8042" s="8">
        <f>2+7/60+15.2/3600</f>
        <v>2.120888888888889</v>
      </c>
      <c r="P8042" s="8" t="s">
        <v>35468</v>
      </c>
      <c r="Q8042" s="8">
        <f>+(9+6/60+56/3600)</f>
        <v>9.1155555555555559</v>
      </c>
      <c r="R8042" s="8">
        <v>16</v>
      </c>
      <c r="S8042" s="8">
        <v>16.8</v>
      </c>
      <c r="T8042" s="8">
        <v>0.8</v>
      </c>
      <c r="U8042" s="8">
        <v>14.7</v>
      </c>
      <c r="V8042" s="8">
        <v>0.6</v>
      </c>
      <c r="W8042" s="8">
        <v>0.6</v>
      </c>
      <c r="Y8042" s="8" t="s">
        <v>17508</v>
      </c>
      <c r="Z8042" s="8" t="s">
        <v>17509</v>
      </c>
    </row>
    <row r="8043" spans="1:26" x14ac:dyDescent="0.2">
      <c r="A8043" s="8">
        <v>8042</v>
      </c>
      <c r="B8043" s="8" t="s">
        <v>35469</v>
      </c>
      <c r="C8043" s="8" t="s">
        <v>35469</v>
      </c>
      <c r="G8043" s="8">
        <v>20</v>
      </c>
      <c r="H8043" s="8" t="s">
        <v>21</v>
      </c>
      <c r="I8043" s="8" t="s">
        <v>22</v>
      </c>
      <c r="J8043" s="8" t="s">
        <v>22</v>
      </c>
      <c r="K8043" s="8" t="s">
        <v>23</v>
      </c>
      <c r="L8043" s="8" t="s">
        <v>125</v>
      </c>
      <c r="M8043" s="8" t="s">
        <v>126</v>
      </c>
      <c r="N8043" s="8" t="s">
        <v>35470</v>
      </c>
      <c r="O8043" s="8">
        <f>2+7/60+28.6/3600</f>
        <v>2.1246111111111112</v>
      </c>
      <c r="P8043" s="8" t="s">
        <v>35471</v>
      </c>
      <c r="Q8043" s="8">
        <f>+(9+10/60+7/3600)</f>
        <v>9.1686111111111099</v>
      </c>
      <c r="R8043" s="8">
        <v>14.3</v>
      </c>
      <c r="S8043" s="8">
        <v>15.1</v>
      </c>
      <c r="T8043" s="8">
        <v>0.8</v>
      </c>
      <c r="U8043" s="8">
        <v>13.2</v>
      </c>
      <c r="V8043" s="8">
        <v>1.4</v>
      </c>
      <c r="W8043" s="8">
        <v>0.2</v>
      </c>
      <c r="X8043" s="8">
        <v>132</v>
      </c>
      <c r="Y8043" s="8" t="s">
        <v>35151</v>
      </c>
      <c r="Z8043" s="8" t="s">
        <v>35152</v>
      </c>
    </row>
    <row r="8044" spans="1:26" x14ac:dyDescent="0.2">
      <c r="A8044" s="8">
        <v>8043</v>
      </c>
      <c r="B8044" s="8" t="s">
        <v>35472</v>
      </c>
      <c r="C8044" s="8" t="s">
        <v>35472</v>
      </c>
      <c r="G8044" s="8">
        <v>20</v>
      </c>
      <c r="H8044" s="8" t="s">
        <v>21</v>
      </c>
      <c r="I8044" s="8" t="s">
        <v>22</v>
      </c>
      <c r="J8044" s="8" t="s">
        <v>22</v>
      </c>
      <c r="K8044" s="8" t="s">
        <v>449</v>
      </c>
      <c r="L8044" s="8" t="s">
        <v>125</v>
      </c>
      <c r="M8044" s="8" t="s">
        <v>126</v>
      </c>
      <c r="N8044" s="8" t="s">
        <v>35473</v>
      </c>
      <c r="O8044" s="8">
        <f>2+7/60+29.6/3600</f>
        <v>2.124888888888889</v>
      </c>
      <c r="P8044" s="8" t="s">
        <v>35474</v>
      </c>
      <c r="Q8044" s="8">
        <f>+(9+7/60+23/3600)</f>
        <v>9.1230555555555561</v>
      </c>
      <c r="R8044" s="8">
        <v>16.100000000000001</v>
      </c>
      <c r="S8044" s="8">
        <v>16.899999999999999</v>
      </c>
      <c r="T8044" s="8">
        <v>0.8</v>
      </c>
      <c r="U8044" s="8">
        <v>14.4</v>
      </c>
      <c r="V8044" s="8">
        <v>0.6</v>
      </c>
      <c r="W8044" s="8">
        <v>0.4</v>
      </c>
      <c r="X8044" s="8">
        <v>25</v>
      </c>
      <c r="Y8044" s="8" t="s">
        <v>35475</v>
      </c>
      <c r="Z8044" s="8" t="s">
        <v>35476</v>
      </c>
    </row>
    <row r="8045" spans="1:26" x14ac:dyDescent="0.2">
      <c r="A8045" s="8">
        <v>8044</v>
      </c>
      <c r="B8045" s="8" t="s">
        <v>35477</v>
      </c>
      <c r="C8045" s="8" t="s">
        <v>35477</v>
      </c>
      <c r="G8045" s="8">
        <v>20</v>
      </c>
      <c r="H8045" s="8" t="s">
        <v>21</v>
      </c>
      <c r="I8045" s="8" t="s">
        <v>22</v>
      </c>
      <c r="J8045" s="8" t="s">
        <v>22</v>
      </c>
      <c r="K8045" s="8" t="s">
        <v>382</v>
      </c>
      <c r="L8045" s="8" t="s">
        <v>125</v>
      </c>
      <c r="M8045" s="8" t="s">
        <v>126</v>
      </c>
      <c r="N8045" s="8" t="s">
        <v>35478</v>
      </c>
      <c r="O8045" s="8">
        <f>2+7/60+27/3600</f>
        <v>2.1241666666666665</v>
      </c>
      <c r="P8045" s="8" t="s">
        <v>35479</v>
      </c>
      <c r="Q8045" s="8">
        <f>-(1+25/60+47/3600)</f>
        <v>-1.4297222222222223</v>
      </c>
      <c r="R8045" s="8">
        <v>14.7</v>
      </c>
      <c r="S8045" s="8">
        <v>15.7</v>
      </c>
      <c r="T8045" s="8">
        <v>1</v>
      </c>
      <c r="U8045" s="8">
        <v>11.7</v>
      </c>
      <c r="V8045" s="8">
        <v>0.3</v>
      </c>
      <c r="W8045" s="8">
        <v>0.2</v>
      </c>
      <c r="X8045" s="8">
        <v>170</v>
      </c>
      <c r="Y8045" s="8" t="s">
        <v>1695</v>
      </c>
      <c r="Z8045" s="8" t="s">
        <v>1695</v>
      </c>
    </row>
    <row r="8046" spans="1:26" x14ac:dyDescent="0.2">
      <c r="A8046" s="8">
        <v>8045</v>
      </c>
      <c r="B8046" s="8" t="s">
        <v>35480</v>
      </c>
      <c r="C8046" s="8" t="s">
        <v>35480</v>
      </c>
      <c r="G8046" s="8">
        <v>20</v>
      </c>
      <c r="H8046" s="8" t="s">
        <v>21</v>
      </c>
      <c r="I8046" s="8" t="s">
        <v>22</v>
      </c>
      <c r="J8046" s="8" t="s">
        <v>22</v>
      </c>
      <c r="K8046" s="8" t="s">
        <v>154</v>
      </c>
      <c r="L8046" s="8" t="s">
        <v>125</v>
      </c>
      <c r="M8046" s="8" t="s">
        <v>126</v>
      </c>
      <c r="N8046" s="8" t="s">
        <v>35481</v>
      </c>
      <c r="O8046" s="8">
        <f>2+7/60+27.6/3600</f>
        <v>2.1243333333333334</v>
      </c>
      <c r="P8046" s="8" t="s">
        <v>35482</v>
      </c>
      <c r="Q8046" s="8">
        <f>-(2+5/60+31/3600)</f>
        <v>-2.0919444444444446</v>
      </c>
      <c r="R8046" s="8">
        <v>13.6</v>
      </c>
      <c r="S8046" s="8">
        <v>14.5</v>
      </c>
      <c r="T8046" s="8">
        <v>0.9</v>
      </c>
      <c r="U8046" s="8">
        <v>13.2</v>
      </c>
      <c r="V8046" s="8">
        <v>0.9</v>
      </c>
      <c r="W8046" s="8">
        <v>0.9</v>
      </c>
      <c r="Y8046" s="8" t="s">
        <v>35483</v>
      </c>
      <c r="Z8046" s="8" t="s">
        <v>35484</v>
      </c>
    </row>
    <row r="8047" spans="1:26" x14ac:dyDescent="0.2">
      <c r="A8047" s="8">
        <v>8046</v>
      </c>
      <c r="B8047" s="8" t="s">
        <v>35485</v>
      </c>
      <c r="C8047" s="8" t="s">
        <v>35485</v>
      </c>
      <c r="G8047" s="8">
        <v>20</v>
      </c>
      <c r="H8047" s="8" t="s">
        <v>21</v>
      </c>
      <c r="I8047" s="8" t="s">
        <v>22</v>
      </c>
      <c r="J8047" s="8" t="s">
        <v>22</v>
      </c>
      <c r="K8047" s="8" t="s">
        <v>37</v>
      </c>
      <c r="L8047" s="8" t="s">
        <v>125</v>
      </c>
      <c r="M8047" s="8" t="s">
        <v>126</v>
      </c>
      <c r="N8047" s="8" t="s">
        <v>35486</v>
      </c>
      <c r="O8047" s="8">
        <f>2+9/60+30.8/3600</f>
        <v>2.1585555555555556</v>
      </c>
      <c r="P8047" s="8" t="s">
        <v>35487</v>
      </c>
      <c r="Q8047" s="8">
        <f>-(6+58/60+8/3600)</f>
        <v>-6.9688888888888894</v>
      </c>
      <c r="R8047" s="8">
        <v>14.2</v>
      </c>
      <c r="S8047" s="8">
        <v>15.2</v>
      </c>
      <c r="T8047" s="8">
        <v>1</v>
      </c>
      <c r="U8047" s="8">
        <v>13.1</v>
      </c>
      <c r="V8047" s="8">
        <v>1</v>
      </c>
      <c r="W8047" s="8">
        <v>0.4</v>
      </c>
      <c r="X8047" s="8">
        <v>138</v>
      </c>
      <c r="Y8047" s="8" t="s">
        <v>35488</v>
      </c>
      <c r="Z8047" s="8" t="s">
        <v>35489</v>
      </c>
    </row>
    <row r="8048" spans="1:26" x14ac:dyDescent="0.2">
      <c r="A8048" s="8">
        <v>8047</v>
      </c>
      <c r="B8048" s="8" t="s">
        <v>35490</v>
      </c>
      <c r="C8048" s="8" t="s">
        <v>35490</v>
      </c>
      <c r="G8048" s="8">
        <v>20</v>
      </c>
      <c r="H8048" s="8" t="s">
        <v>21</v>
      </c>
      <c r="I8048" s="8" t="s">
        <v>22</v>
      </c>
      <c r="J8048" s="8" t="s">
        <v>22</v>
      </c>
      <c r="K8048" s="8" t="s">
        <v>632</v>
      </c>
      <c r="L8048" s="8" t="s">
        <v>125</v>
      </c>
      <c r="M8048" s="8" t="s">
        <v>126</v>
      </c>
      <c r="N8048" s="8" t="s">
        <v>35491</v>
      </c>
      <c r="O8048" s="8">
        <f>2+9/60+39.4/3600</f>
        <v>2.1609444444444446</v>
      </c>
      <c r="P8048" s="8" t="s">
        <v>35492</v>
      </c>
      <c r="Q8048" s="8">
        <f>-(6+55/60+21/3600)</f>
        <v>-6.9225000000000003</v>
      </c>
      <c r="R8048" s="8">
        <v>13.9</v>
      </c>
      <c r="S8048" s="8">
        <v>14.8</v>
      </c>
      <c r="T8048" s="8">
        <v>0.9</v>
      </c>
      <c r="U8048" s="8">
        <v>13.6</v>
      </c>
      <c r="V8048" s="8">
        <v>2.2000000000000002</v>
      </c>
      <c r="W8048" s="8">
        <v>0.4</v>
      </c>
      <c r="X8048" s="8">
        <v>99</v>
      </c>
      <c r="Y8048" s="8" t="s">
        <v>35488</v>
      </c>
      <c r="Z8048" s="8" t="s">
        <v>35489</v>
      </c>
    </row>
    <row r="8049" spans="1:26" x14ac:dyDescent="0.2">
      <c r="A8049" s="8">
        <v>8048</v>
      </c>
      <c r="B8049" s="8" t="s">
        <v>35493</v>
      </c>
      <c r="C8049" s="8" t="s">
        <v>35493</v>
      </c>
      <c r="G8049" s="8">
        <v>20</v>
      </c>
      <c r="H8049" s="8" t="s">
        <v>21</v>
      </c>
      <c r="I8049" s="8" t="s">
        <v>22</v>
      </c>
      <c r="J8049" s="8" t="s">
        <v>22</v>
      </c>
      <c r="K8049" s="8" t="s">
        <v>396</v>
      </c>
      <c r="L8049" s="8" t="s">
        <v>125</v>
      </c>
      <c r="M8049" s="8" t="s">
        <v>126</v>
      </c>
      <c r="N8049" s="8" t="s">
        <v>35494</v>
      </c>
      <c r="O8049" s="8">
        <f>2+8/60+27.8/3600</f>
        <v>2.1410555555555555</v>
      </c>
      <c r="P8049" s="8" t="s">
        <v>35495</v>
      </c>
      <c r="Q8049" s="8">
        <f>+(6+23/60+41/3600)</f>
        <v>6.3947222222222226</v>
      </c>
      <c r="R8049" s="8">
        <v>13.4</v>
      </c>
      <c r="S8049" s="8">
        <v>14.2</v>
      </c>
      <c r="T8049" s="8">
        <v>0.8</v>
      </c>
      <c r="U8049" s="8">
        <v>13.8</v>
      </c>
      <c r="V8049" s="8">
        <v>1.3</v>
      </c>
      <c r="W8049" s="8">
        <v>1.3</v>
      </c>
      <c r="Y8049" s="8" t="s">
        <v>34897</v>
      </c>
      <c r="Z8049" s="8" t="s">
        <v>34898</v>
      </c>
    </row>
    <row r="8050" spans="1:26" x14ac:dyDescent="0.2">
      <c r="A8050" s="8">
        <v>8049</v>
      </c>
      <c r="B8050" s="8" t="s">
        <v>35496</v>
      </c>
      <c r="C8050" s="8" t="s">
        <v>35496</v>
      </c>
      <c r="G8050" s="8">
        <v>20</v>
      </c>
      <c r="H8050" s="8" t="s">
        <v>21</v>
      </c>
      <c r="I8050" s="8" t="s">
        <v>22</v>
      </c>
      <c r="J8050" s="8" t="s">
        <v>22</v>
      </c>
      <c r="K8050" s="8" t="s">
        <v>396</v>
      </c>
      <c r="L8050" s="8" t="s">
        <v>125</v>
      </c>
      <c r="M8050" s="8" t="s">
        <v>126</v>
      </c>
      <c r="N8050" s="8" t="s">
        <v>35497</v>
      </c>
      <c r="O8050" s="8">
        <f>2+8/60+58.6/3600</f>
        <v>2.1496111111111111</v>
      </c>
      <c r="P8050" s="8" t="s">
        <v>35498</v>
      </c>
      <c r="Q8050" s="8">
        <f>-(7+3/60+33/3600)</f>
        <v>-7.0591666666666661</v>
      </c>
      <c r="R8050" s="8">
        <v>13.1</v>
      </c>
      <c r="S8050" s="8">
        <v>13.9</v>
      </c>
      <c r="T8050" s="8">
        <v>0.8</v>
      </c>
      <c r="U8050" s="8">
        <v>13.8</v>
      </c>
      <c r="V8050" s="8">
        <v>1.7</v>
      </c>
      <c r="W8050" s="8">
        <v>1.3</v>
      </c>
      <c r="X8050" s="8">
        <v>60</v>
      </c>
      <c r="Y8050" s="8" t="s">
        <v>35499</v>
      </c>
      <c r="Z8050" s="8" t="s">
        <v>35500</v>
      </c>
    </row>
    <row r="8051" spans="1:26" x14ac:dyDescent="0.2">
      <c r="A8051" s="8">
        <v>8050</v>
      </c>
      <c r="B8051" s="8" t="s">
        <v>35501</v>
      </c>
      <c r="C8051" s="8" t="s">
        <v>35501</v>
      </c>
      <c r="G8051" s="8">
        <v>20</v>
      </c>
      <c r="H8051" s="8" t="s">
        <v>21</v>
      </c>
      <c r="I8051" s="8" t="s">
        <v>22</v>
      </c>
      <c r="J8051" s="8" t="s">
        <v>22</v>
      </c>
      <c r="K8051" s="8" t="s">
        <v>396</v>
      </c>
      <c r="L8051" s="8" t="s">
        <v>125</v>
      </c>
      <c r="M8051" s="8" t="s">
        <v>126</v>
      </c>
      <c r="N8051" s="8" t="s">
        <v>35502</v>
      </c>
      <c r="O8051" s="8">
        <f>2+9/60+28.3/3600</f>
        <v>2.157861111111111</v>
      </c>
      <c r="P8051" s="8" t="s">
        <v>35503</v>
      </c>
      <c r="Q8051" s="8">
        <f>-(9+40/60+47/3600)</f>
        <v>-9.679722222222221</v>
      </c>
      <c r="R8051" s="8">
        <v>13.1</v>
      </c>
      <c r="S8051" s="8">
        <v>13.9</v>
      </c>
      <c r="T8051" s="8">
        <v>0.8</v>
      </c>
      <c r="U8051" s="8">
        <v>13.5</v>
      </c>
      <c r="V8051" s="8">
        <v>2.2999999999999998</v>
      </c>
      <c r="W8051" s="8">
        <v>0.7</v>
      </c>
      <c r="X8051" s="8">
        <v>66</v>
      </c>
      <c r="Y8051" s="8" t="s">
        <v>1694</v>
      </c>
      <c r="Z8051" s="8" t="s">
        <v>1695</v>
      </c>
    </row>
    <row r="8052" spans="1:26" x14ac:dyDescent="0.2">
      <c r="A8052" s="8">
        <v>8051</v>
      </c>
      <c r="B8052" s="8" t="s">
        <v>35504</v>
      </c>
      <c r="C8052" s="8" t="s">
        <v>35504</v>
      </c>
      <c r="G8052" s="8">
        <v>20</v>
      </c>
      <c r="H8052" s="8" t="s">
        <v>21</v>
      </c>
      <c r="I8052" s="8" t="s">
        <v>22</v>
      </c>
      <c r="J8052" s="8" t="s">
        <v>22</v>
      </c>
      <c r="K8052" s="8" t="s">
        <v>160</v>
      </c>
      <c r="L8052" s="8" t="s">
        <v>125</v>
      </c>
      <c r="M8052" s="8" t="s">
        <v>126</v>
      </c>
      <c r="N8052" s="8" t="s">
        <v>35505</v>
      </c>
      <c r="O8052" s="8">
        <f>2+11/60+8/3600</f>
        <v>2.1855555555555553</v>
      </c>
      <c r="P8052" s="8" t="s">
        <v>35506</v>
      </c>
      <c r="Q8052" s="8">
        <f>+(3+51/60+7/3600)</f>
        <v>3.8519444444444444</v>
      </c>
      <c r="R8052" s="8">
        <v>13.2</v>
      </c>
      <c r="S8052" s="8">
        <v>13.9</v>
      </c>
      <c r="T8052" s="8">
        <v>0.7</v>
      </c>
      <c r="U8052" s="8">
        <v>14.6</v>
      </c>
      <c r="V8052" s="8">
        <v>2.2999999999999998</v>
      </c>
      <c r="W8052" s="8">
        <v>1.8</v>
      </c>
      <c r="X8052" s="8">
        <v>45</v>
      </c>
      <c r="Y8052" s="8" t="s">
        <v>35507</v>
      </c>
      <c r="Z8052" s="8" t="s">
        <v>35508</v>
      </c>
    </row>
    <row r="8053" spans="1:26" x14ac:dyDescent="0.2">
      <c r="A8053" s="8">
        <v>8052</v>
      </c>
      <c r="B8053" s="8" t="s">
        <v>35509</v>
      </c>
      <c r="C8053" s="8" t="s">
        <v>35509</v>
      </c>
      <c r="G8053" s="8">
        <v>20</v>
      </c>
      <c r="H8053" s="8" t="s">
        <v>21</v>
      </c>
      <c r="I8053" s="8" t="s">
        <v>22</v>
      </c>
      <c r="J8053" s="8" t="s">
        <v>22</v>
      </c>
      <c r="K8053" s="8" t="s">
        <v>160</v>
      </c>
      <c r="L8053" s="8" t="s">
        <v>3256</v>
      </c>
      <c r="M8053" s="8" t="s">
        <v>3257</v>
      </c>
      <c r="N8053" s="8" t="s">
        <v>35510</v>
      </c>
      <c r="O8053" s="8">
        <f>2+13/60+38.2/3600</f>
        <v>2.2272777777777777</v>
      </c>
      <c r="P8053" s="8" t="s">
        <v>35511</v>
      </c>
      <c r="Q8053" s="8">
        <f>+(16+35/60+40/3600)</f>
        <v>16.594444444444445</v>
      </c>
      <c r="R8053" s="8">
        <v>14.7</v>
      </c>
      <c r="S8053" s="8">
        <v>15.4</v>
      </c>
      <c r="T8053" s="8">
        <v>0.7</v>
      </c>
      <c r="U8053" s="8">
        <v>14</v>
      </c>
      <c r="V8053" s="8">
        <v>0.9</v>
      </c>
      <c r="W8053" s="8">
        <v>0.7</v>
      </c>
      <c r="X8053" s="8">
        <v>85</v>
      </c>
      <c r="Y8053" s="8" t="s">
        <v>5926</v>
      </c>
      <c r="Z8053" s="8" t="s">
        <v>23179</v>
      </c>
    </row>
    <row r="8054" spans="1:26" x14ac:dyDescent="0.2">
      <c r="A8054" s="8">
        <v>8053</v>
      </c>
      <c r="B8054" s="8" t="s">
        <v>35512</v>
      </c>
      <c r="C8054" s="8" t="s">
        <v>35512</v>
      </c>
      <c r="G8054" s="8">
        <v>20</v>
      </c>
      <c r="H8054" s="8" t="s">
        <v>21</v>
      </c>
      <c r="I8054" s="8" t="s">
        <v>22</v>
      </c>
      <c r="J8054" s="8" t="s">
        <v>22</v>
      </c>
      <c r="K8054" s="8" t="s">
        <v>218</v>
      </c>
      <c r="L8054" s="8" t="s">
        <v>3256</v>
      </c>
      <c r="M8054" s="8" t="s">
        <v>3257</v>
      </c>
      <c r="N8054" s="8" t="s">
        <v>35513</v>
      </c>
      <c r="O8054" s="8">
        <f>2+14/60+4.2/3600</f>
        <v>2.2345000000000002</v>
      </c>
      <c r="P8054" s="8" t="s">
        <v>14047</v>
      </c>
      <c r="Q8054" s="8">
        <f>+(16+27/60+22/3600)</f>
        <v>16.45611111111111</v>
      </c>
      <c r="R8054" s="8">
        <v>13.8</v>
      </c>
      <c r="S8054" s="8">
        <v>14.6</v>
      </c>
      <c r="T8054" s="8">
        <v>0.8</v>
      </c>
      <c r="U8054" s="8">
        <v>14.8</v>
      </c>
      <c r="V8054" s="8">
        <v>1.9</v>
      </c>
      <c r="W8054" s="8">
        <v>1.5</v>
      </c>
      <c r="X8054" s="8">
        <v>150</v>
      </c>
      <c r="Y8054" s="8" t="s">
        <v>35514</v>
      </c>
      <c r="Z8054" s="8" t="s">
        <v>35515</v>
      </c>
    </row>
    <row r="8055" spans="1:26" x14ac:dyDescent="0.2">
      <c r="A8055" s="8">
        <v>8054</v>
      </c>
      <c r="B8055" s="8" t="s">
        <v>35516</v>
      </c>
      <c r="C8055" s="8" t="s">
        <v>35516</v>
      </c>
      <c r="G8055" s="8">
        <v>20</v>
      </c>
      <c r="H8055" s="8" t="s">
        <v>21</v>
      </c>
      <c r="I8055" s="8" t="s">
        <v>22</v>
      </c>
      <c r="J8055" s="8" t="s">
        <v>22</v>
      </c>
      <c r="K8055" s="8" t="s">
        <v>3523</v>
      </c>
      <c r="L8055" s="8" t="s">
        <v>125</v>
      </c>
      <c r="M8055" s="8" t="s">
        <v>126</v>
      </c>
      <c r="N8055" s="8" t="s">
        <v>35517</v>
      </c>
      <c r="O8055" s="8">
        <f>2+14/60+5.7/3600</f>
        <v>2.2349166666666669</v>
      </c>
      <c r="P8055" s="8" t="s">
        <v>35518</v>
      </c>
      <c r="Q8055" s="8">
        <f>+(5+10/60+34/3600)</f>
        <v>5.1761111111111111</v>
      </c>
      <c r="R8055" s="8">
        <v>14.2</v>
      </c>
      <c r="S8055" s="8">
        <v>14.7</v>
      </c>
      <c r="T8055" s="8">
        <v>0.5</v>
      </c>
      <c r="U8055" s="8">
        <v>13.3</v>
      </c>
      <c r="V8055" s="8">
        <v>0.7</v>
      </c>
      <c r="W8055" s="8">
        <v>0.6</v>
      </c>
      <c r="X8055" s="8">
        <v>162</v>
      </c>
      <c r="Y8055" s="8" t="s">
        <v>35519</v>
      </c>
      <c r="Z8055" s="8" t="s">
        <v>35520</v>
      </c>
    </row>
    <row r="8056" spans="1:26" x14ac:dyDescent="0.2">
      <c r="A8056" s="8">
        <v>8055</v>
      </c>
      <c r="B8056" s="8" t="s">
        <v>35521</v>
      </c>
      <c r="C8056" s="8" t="s">
        <v>35521</v>
      </c>
      <c r="G8056" s="8">
        <v>20</v>
      </c>
      <c r="H8056" s="8" t="s">
        <v>21</v>
      </c>
      <c r="I8056" s="8" t="s">
        <v>22</v>
      </c>
      <c r="J8056" s="8" t="s">
        <v>22</v>
      </c>
      <c r="K8056" s="8" t="s">
        <v>31</v>
      </c>
      <c r="L8056" s="8" t="s">
        <v>125</v>
      </c>
      <c r="M8056" s="8" t="s">
        <v>126</v>
      </c>
      <c r="N8056" s="8" t="s">
        <v>35522</v>
      </c>
      <c r="O8056" s="8">
        <f>2+14/60+9.3/3600</f>
        <v>2.2359166666666668</v>
      </c>
      <c r="P8056" s="8" t="s">
        <v>35523</v>
      </c>
      <c r="Q8056" s="8">
        <f>-(6+48/60+22/3600)</f>
        <v>-6.806111111111111</v>
      </c>
      <c r="R8056" s="8">
        <v>14.8</v>
      </c>
      <c r="S8056" s="8">
        <v>15.6</v>
      </c>
      <c r="T8056" s="8">
        <v>0.8</v>
      </c>
      <c r="U8056" s="8">
        <v>13.4</v>
      </c>
      <c r="V8056" s="8">
        <v>1.1000000000000001</v>
      </c>
      <c r="W8056" s="8">
        <v>0.3</v>
      </c>
      <c r="X8056" s="8">
        <v>81</v>
      </c>
      <c r="Y8056" s="8" t="s">
        <v>35524</v>
      </c>
      <c r="Z8056" s="8" t="s">
        <v>35525</v>
      </c>
    </row>
    <row r="8057" spans="1:26" x14ac:dyDescent="0.2">
      <c r="A8057" s="8">
        <v>8056</v>
      </c>
      <c r="B8057" s="8" t="s">
        <v>35526</v>
      </c>
      <c r="C8057" s="8" t="s">
        <v>35526</v>
      </c>
      <c r="G8057" s="8">
        <v>20</v>
      </c>
      <c r="H8057" s="8" t="s">
        <v>21</v>
      </c>
      <c r="I8057" s="8" t="s">
        <v>22</v>
      </c>
      <c r="J8057" s="8" t="s">
        <v>22</v>
      </c>
      <c r="K8057" s="8" t="s">
        <v>382</v>
      </c>
      <c r="L8057" s="8" t="s">
        <v>125</v>
      </c>
      <c r="M8057" s="8" t="s">
        <v>126</v>
      </c>
      <c r="N8057" s="8" t="s">
        <v>35527</v>
      </c>
      <c r="O8057" s="8">
        <f>2+15/60+55.3/3600</f>
        <v>2.2653611111111109</v>
      </c>
      <c r="P8057" s="8" t="s">
        <v>35528</v>
      </c>
      <c r="Q8057" s="8">
        <f>-(2+0/60+53/3600)</f>
        <v>-2.0147222222222223</v>
      </c>
      <c r="R8057" s="8">
        <v>14.3</v>
      </c>
      <c r="S8057" s="8">
        <v>15.3</v>
      </c>
      <c r="T8057" s="8">
        <v>1</v>
      </c>
      <c r="U8057" s="8">
        <v>11.3</v>
      </c>
      <c r="V8057" s="8">
        <v>0.3</v>
      </c>
      <c r="W8057" s="8">
        <v>0.2</v>
      </c>
      <c r="X8057" s="8">
        <v>20</v>
      </c>
      <c r="Y8057" s="8" t="s">
        <v>35529</v>
      </c>
      <c r="Z8057" s="8" t="s">
        <v>35530</v>
      </c>
    </row>
    <row r="8058" spans="1:26" x14ac:dyDescent="0.2">
      <c r="A8058" s="8">
        <v>8057</v>
      </c>
      <c r="B8058" s="8" t="s">
        <v>35531</v>
      </c>
      <c r="C8058" s="8" t="s">
        <v>35531</v>
      </c>
      <c r="G8058" s="8">
        <v>20</v>
      </c>
      <c r="H8058" s="8" t="s">
        <v>21</v>
      </c>
      <c r="I8058" s="8" t="s">
        <v>22</v>
      </c>
      <c r="J8058" s="8" t="s">
        <v>22</v>
      </c>
      <c r="K8058" s="8" t="s">
        <v>160</v>
      </c>
      <c r="L8058" s="8" t="s">
        <v>125</v>
      </c>
      <c r="M8058" s="8" t="s">
        <v>126</v>
      </c>
      <c r="N8058" s="8" t="s">
        <v>35532</v>
      </c>
      <c r="O8058" s="8">
        <f>2+16/60+10.6/3600</f>
        <v>2.2696111111111112</v>
      </c>
      <c r="P8058" s="8" t="s">
        <v>35533</v>
      </c>
      <c r="Q8058" s="8">
        <f>-(11+55/60+32/3600)</f>
        <v>-11.925555555555555</v>
      </c>
      <c r="R8058" s="8">
        <v>13.6</v>
      </c>
      <c r="S8058" s="8">
        <v>14.3</v>
      </c>
      <c r="T8058" s="8">
        <v>0.7</v>
      </c>
      <c r="U8058" s="8">
        <v>13.6</v>
      </c>
      <c r="V8058" s="8">
        <v>2.2000000000000002</v>
      </c>
      <c r="W8058" s="8">
        <v>0.5</v>
      </c>
      <c r="X8058" s="8">
        <v>39</v>
      </c>
      <c r="Y8058" s="8" t="s">
        <v>35090</v>
      </c>
      <c r="Z8058" s="8" t="s">
        <v>35091</v>
      </c>
    </row>
    <row r="8059" spans="1:26" x14ac:dyDescent="0.2">
      <c r="A8059" s="8">
        <v>8058</v>
      </c>
      <c r="B8059" s="8" t="s">
        <v>35534</v>
      </c>
      <c r="C8059" s="8" t="s">
        <v>35534</v>
      </c>
      <c r="G8059" s="8">
        <v>20</v>
      </c>
      <c r="H8059" s="8" t="s">
        <v>21</v>
      </c>
      <c r="I8059" s="8" t="s">
        <v>22</v>
      </c>
      <c r="J8059" s="8" t="s">
        <v>22</v>
      </c>
      <c r="K8059" s="8" t="s">
        <v>396</v>
      </c>
      <c r="L8059" s="8" t="s">
        <v>125</v>
      </c>
      <c r="M8059" s="8" t="s">
        <v>126</v>
      </c>
      <c r="N8059" s="8" t="s">
        <v>35535</v>
      </c>
      <c r="O8059" s="8">
        <f>2+17/60+7.2/3600</f>
        <v>2.285333333333333</v>
      </c>
      <c r="P8059" s="8" t="s">
        <v>35536</v>
      </c>
      <c r="Q8059" s="8">
        <f>+(1+16/60+57/3600)</f>
        <v>1.2825</v>
      </c>
      <c r="R8059" s="8">
        <v>14.9</v>
      </c>
      <c r="S8059" s="8">
        <v>15.7</v>
      </c>
      <c r="T8059" s="8">
        <v>0.8</v>
      </c>
      <c r="U8059" s="8">
        <v>12.8</v>
      </c>
      <c r="V8059" s="8">
        <v>0.8</v>
      </c>
      <c r="W8059" s="8">
        <v>0.2</v>
      </c>
      <c r="X8059" s="8">
        <v>77</v>
      </c>
      <c r="Y8059" s="8" t="s">
        <v>35537</v>
      </c>
      <c r="Z8059" s="8" t="s">
        <v>35538</v>
      </c>
    </row>
    <row r="8060" spans="1:26" x14ac:dyDescent="0.2">
      <c r="A8060" s="8">
        <v>8059</v>
      </c>
      <c r="B8060" s="8" t="s">
        <v>35539</v>
      </c>
      <c r="C8060" s="8" t="s">
        <v>35539</v>
      </c>
      <c r="G8060" s="8">
        <v>20</v>
      </c>
      <c r="H8060" s="8" t="s">
        <v>21</v>
      </c>
      <c r="I8060" s="8" t="s">
        <v>22</v>
      </c>
      <c r="J8060" s="8" t="s">
        <v>22</v>
      </c>
      <c r="K8060" s="8" t="s">
        <v>50</v>
      </c>
      <c r="L8060" s="8" t="s">
        <v>125</v>
      </c>
      <c r="M8060" s="8" t="s">
        <v>126</v>
      </c>
      <c r="N8060" s="8" t="s">
        <v>35540</v>
      </c>
      <c r="O8060" s="8">
        <f>2+18/60+38.7/3600</f>
        <v>2.3107499999999996</v>
      </c>
      <c r="P8060" s="8" t="s">
        <v>35541</v>
      </c>
      <c r="Q8060" s="8">
        <f>-(6+54/60+11/3600)</f>
        <v>-6.9030555555555555</v>
      </c>
      <c r="R8060" s="8">
        <v>13.4</v>
      </c>
      <c r="S8060" s="8">
        <v>14.4</v>
      </c>
      <c r="T8060" s="8">
        <v>1</v>
      </c>
      <c r="U8060" s="8">
        <v>12.9</v>
      </c>
      <c r="V8060" s="8">
        <v>1</v>
      </c>
      <c r="W8060" s="8">
        <v>0.6</v>
      </c>
      <c r="X8060" s="8">
        <v>18</v>
      </c>
      <c r="Y8060" s="8" t="s">
        <v>11015</v>
      </c>
      <c r="Z8060" s="8" t="s">
        <v>11016</v>
      </c>
    </row>
    <row r="8061" spans="1:26" x14ac:dyDescent="0.2">
      <c r="A8061" s="8">
        <v>8060</v>
      </c>
      <c r="B8061" s="8" t="s">
        <v>35542</v>
      </c>
      <c r="C8061" s="8" t="s">
        <v>35542</v>
      </c>
      <c r="G8061" s="8">
        <v>20</v>
      </c>
      <c r="H8061" s="8" t="s">
        <v>21</v>
      </c>
      <c r="I8061" s="8" t="s">
        <v>22</v>
      </c>
      <c r="J8061" s="8" t="s">
        <v>22</v>
      </c>
      <c r="K8061" s="8" t="s">
        <v>396</v>
      </c>
      <c r="L8061" s="8" t="s">
        <v>125</v>
      </c>
      <c r="M8061" s="8" t="s">
        <v>126</v>
      </c>
      <c r="N8061" s="8" t="s">
        <v>35543</v>
      </c>
      <c r="O8061" s="8">
        <f>2+19/60+11.9/3600</f>
        <v>2.3199722222222219</v>
      </c>
      <c r="P8061" s="8" t="s">
        <v>35544</v>
      </c>
      <c r="Q8061" s="8">
        <f>-(12+46/60+53/3600)</f>
        <v>-12.781388888888889</v>
      </c>
      <c r="R8061" s="8">
        <v>14.5</v>
      </c>
      <c r="S8061" s="8">
        <v>15.3</v>
      </c>
      <c r="T8061" s="8">
        <v>0.8</v>
      </c>
      <c r="U8061" s="8">
        <v>12.9</v>
      </c>
      <c r="V8061" s="8">
        <v>0.9</v>
      </c>
      <c r="W8061" s="8">
        <v>0.3</v>
      </c>
      <c r="X8061" s="8">
        <v>36</v>
      </c>
      <c r="Y8061" s="8" t="s">
        <v>34754</v>
      </c>
      <c r="Z8061" s="8" t="s">
        <v>34755</v>
      </c>
    </row>
    <row r="8062" spans="1:26" x14ac:dyDescent="0.2">
      <c r="A8062" s="8">
        <v>8061</v>
      </c>
      <c r="B8062" s="8" t="s">
        <v>35545</v>
      </c>
      <c r="C8062" s="8" t="s">
        <v>35545</v>
      </c>
      <c r="G8062" s="8">
        <v>20</v>
      </c>
      <c r="H8062" s="8" t="s">
        <v>21</v>
      </c>
      <c r="I8062" s="8" t="s">
        <v>22</v>
      </c>
      <c r="J8062" s="8" t="s">
        <v>22</v>
      </c>
      <c r="K8062" s="8" t="s">
        <v>160</v>
      </c>
      <c r="L8062" s="8" t="s">
        <v>2809</v>
      </c>
      <c r="M8062" s="8" t="s">
        <v>2810</v>
      </c>
      <c r="N8062" s="8" t="s">
        <v>35546</v>
      </c>
      <c r="O8062" s="8">
        <f>2+22/60+40.8/3600</f>
        <v>2.3780000000000001</v>
      </c>
      <c r="P8062" s="8" t="s">
        <v>35547</v>
      </c>
      <c r="Q8062" s="8">
        <f>+(28+15/60+25/3600)</f>
        <v>28.256944444444443</v>
      </c>
      <c r="R8062" s="8">
        <v>13</v>
      </c>
      <c r="S8062" s="8">
        <v>13.7</v>
      </c>
      <c r="T8062" s="8">
        <v>0.7</v>
      </c>
      <c r="U8062" s="8">
        <v>13.2</v>
      </c>
      <c r="V8062" s="8">
        <v>1.6</v>
      </c>
      <c r="W8062" s="8">
        <v>1.2</v>
      </c>
      <c r="X8062" s="8">
        <v>9</v>
      </c>
      <c r="Y8062" s="8" t="s">
        <v>5711</v>
      </c>
      <c r="Z8062" s="8" t="s">
        <v>5712</v>
      </c>
    </row>
    <row r="8063" spans="1:26" x14ac:dyDescent="0.2">
      <c r="A8063" s="8">
        <v>8062</v>
      </c>
      <c r="B8063" s="8" t="s">
        <v>35548</v>
      </c>
      <c r="C8063" s="8" t="s">
        <v>35548</v>
      </c>
      <c r="G8063" s="8">
        <v>20</v>
      </c>
      <c r="H8063" s="8" t="s">
        <v>21</v>
      </c>
      <c r="I8063" s="8" t="s">
        <v>22</v>
      </c>
      <c r="J8063" s="8" t="s">
        <v>22</v>
      </c>
      <c r="K8063" s="8" t="s">
        <v>160</v>
      </c>
      <c r="L8063" s="8" t="s">
        <v>3256</v>
      </c>
      <c r="M8063" s="8" t="s">
        <v>3257</v>
      </c>
      <c r="N8063" s="8" t="s">
        <v>35549</v>
      </c>
      <c r="O8063" s="8">
        <f>2+22/60+47.9/3600</f>
        <v>2.3799722222222224</v>
      </c>
      <c r="P8063" s="8" t="s">
        <v>35550</v>
      </c>
      <c r="Q8063" s="8">
        <f>+(11+38/60+19/3600)</f>
        <v>11.638611111111111</v>
      </c>
      <c r="R8063" s="8">
        <v>14.5</v>
      </c>
      <c r="S8063" s="8">
        <v>15.2</v>
      </c>
      <c r="T8063" s="8">
        <v>0.7</v>
      </c>
      <c r="U8063" s="8">
        <v>13.4</v>
      </c>
      <c r="V8063" s="8">
        <v>0.8</v>
      </c>
      <c r="W8063" s="8">
        <v>0.5</v>
      </c>
      <c r="X8063" s="8">
        <v>24</v>
      </c>
      <c r="Y8063" s="8" t="s">
        <v>35551</v>
      </c>
      <c r="Z8063" s="8" t="s">
        <v>35552</v>
      </c>
    </row>
    <row r="8064" spans="1:26" x14ac:dyDescent="0.2">
      <c r="A8064" s="8">
        <v>8063</v>
      </c>
      <c r="B8064" s="8" t="s">
        <v>35553</v>
      </c>
      <c r="C8064" s="8" t="s">
        <v>35553</v>
      </c>
      <c r="G8064" s="8">
        <v>20</v>
      </c>
      <c r="H8064" s="8" t="s">
        <v>21</v>
      </c>
      <c r="I8064" s="8" t="s">
        <v>22</v>
      </c>
      <c r="J8064" s="8" t="s">
        <v>22</v>
      </c>
      <c r="K8064" s="8" t="s">
        <v>107</v>
      </c>
      <c r="L8064" s="8" t="s">
        <v>125</v>
      </c>
      <c r="M8064" s="8" t="s">
        <v>126</v>
      </c>
      <c r="N8064" s="8" t="s">
        <v>4275</v>
      </c>
      <c r="O8064" s="8">
        <f>2+22/60+1/3600</f>
        <v>2.3669444444444445</v>
      </c>
      <c r="P8064" s="8" t="s">
        <v>35554</v>
      </c>
      <c r="Q8064" s="8">
        <f>-(20+44/60+45/3600)</f>
        <v>-20.745833333333334</v>
      </c>
      <c r="R8064" s="8">
        <v>13.4</v>
      </c>
      <c r="S8064" s="8">
        <v>14</v>
      </c>
      <c r="T8064" s="8">
        <v>0.6</v>
      </c>
      <c r="U8064" s="8">
        <v>13.1</v>
      </c>
      <c r="V8064" s="8">
        <v>1.2</v>
      </c>
      <c r="W8064" s="8">
        <v>0.7</v>
      </c>
      <c r="X8064" s="8">
        <v>152</v>
      </c>
      <c r="Y8064" s="8" t="s">
        <v>35555</v>
      </c>
      <c r="Z8064" s="8" t="s">
        <v>35556</v>
      </c>
    </row>
    <row r="8065" spans="1:26" x14ac:dyDescent="0.2">
      <c r="A8065" s="8">
        <v>8064</v>
      </c>
      <c r="B8065" s="8" t="s">
        <v>35557</v>
      </c>
      <c r="C8065" s="8" t="s">
        <v>35557</v>
      </c>
      <c r="G8065" s="8">
        <v>20</v>
      </c>
      <c r="H8065" s="8" t="s">
        <v>21</v>
      </c>
      <c r="I8065" s="8" t="s">
        <v>22</v>
      </c>
      <c r="J8065" s="8" t="s">
        <v>22</v>
      </c>
      <c r="K8065" s="8" t="s">
        <v>476</v>
      </c>
      <c r="L8065" s="8" t="s">
        <v>125</v>
      </c>
      <c r="M8065" s="8" t="s">
        <v>126</v>
      </c>
      <c r="N8065" s="8" t="s">
        <v>35558</v>
      </c>
      <c r="O8065" s="8">
        <f>2+24/60+45.2/3600</f>
        <v>2.4125555555555556</v>
      </c>
      <c r="P8065" s="8" t="s">
        <v>35559</v>
      </c>
      <c r="Q8065" s="8">
        <f>-(12+33/60+50/3600)</f>
        <v>-12.56388888888889</v>
      </c>
      <c r="R8065" s="8">
        <v>14.3</v>
      </c>
      <c r="S8065" s="8">
        <v>15.2</v>
      </c>
      <c r="T8065" s="8">
        <v>0.9</v>
      </c>
      <c r="U8065" s="8">
        <v>12.4</v>
      </c>
      <c r="V8065" s="8">
        <v>0.5</v>
      </c>
      <c r="W8065" s="8">
        <v>0.4</v>
      </c>
      <c r="X8065" s="8">
        <v>132</v>
      </c>
      <c r="Y8065" s="8" t="s">
        <v>35560</v>
      </c>
      <c r="Z8065" s="8" t="s">
        <v>35561</v>
      </c>
    </row>
    <row r="8066" spans="1:26" x14ac:dyDescent="0.2">
      <c r="A8066" s="8">
        <v>8065</v>
      </c>
      <c r="B8066" s="8" t="s">
        <v>35562</v>
      </c>
      <c r="C8066" s="8" t="s">
        <v>35562</v>
      </c>
      <c r="G8066" s="8">
        <v>20</v>
      </c>
      <c r="H8066" s="8" t="s">
        <v>21</v>
      </c>
      <c r="I8066" s="8" t="s">
        <v>22</v>
      </c>
      <c r="J8066" s="8" t="s">
        <v>22</v>
      </c>
      <c r="K8066" s="8" t="s">
        <v>183</v>
      </c>
      <c r="L8066" s="8" t="s">
        <v>125</v>
      </c>
      <c r="M8066" s="8" t="s">
        <v>126</v>
      </c>
      <c r="N8066" s="8" t="s">
        <v>35563</v>
      </c>
      <c r="O8066" s="8">
        <f>2+26/60+28.2/3600</f>
        <v>2.4411666666666667</v>
      </c>
      <c r="P8066" s="8" t="s">
        <v>35564</v>
      </c>
      <c r="Q8066" s="8">
        <f>+(1+9/60+39/3600)</f>
        <v>1.1608333333333332</v>
      </c>
      <c r="R8066" s="8">
        <v>13.5</v>
      </c>
      <c r="S8066" s="8">
        <v>14.5</v>
      </c>
      <c r="T8066" s="8">
        <v>1</v>
      </c>
      <c r="U8066" s="8">
        <v>13.7</v>
      </c>
      <c r="V8066" s="8">
        <v>1</v>
      </c>
      <c r="W8066" s="8">
        <v>0.9</v>
      </c>
      <c r="X8066" s="8">
        <v>168</v>
      </c>
      <c r="Y8066" s="8" t="s">
        <v>35565</v>
      </c>
      <c r="Z8066" s="8" t="s">
        <v>35566</v>
      </c>
    </row>
    <row r="8067" spans="1:26" x14ac:dyDescent="0.2">
      <c r="A8067" s="8">
        <v>8066</v>
      </c>
      <c r="B8067" s="8" t="s">
        <v>35567</v>
      </c>
      <c r="C8067" s="8" t="s">
        <v>35567</v>
      </c>
      <c r="G8067" s="8">
        <v>20</v>
      </c>
      <c r="H8067" s="8" t="s">
        <v>21</v>
      </c>
      <c r="I8067" s="8" t="s">
        <v>22</v>
      </c>
      <c r="J8067" s="8" t="s">
        <v>22</v>
      </c>
      <c r="K8067" s="8" t="s">
        <v>476</v>
      </c>
      <c r="L8067" s="8" t="s">
        <v>2809</v>
      </c>
      <c r="M8067" s="8" t="s">
        <v>2810</v>
      </c>
      <c r="N8067" s="8" t="s">
        <v>35568</v>
      </c>
      <c r="O8067" s="8">
        <f>2+27/60+45.5/3600</f>
        <v>2.4626388888888893</v>
      </c>
      <c r="P8067" s="8" t="s">
        <v>35569</v>
      </c>
      <c r="Q8067" s="8">
        <f>+(28+12/60+32/3600)</f>
        <v>28.20888888888889</v>
      </c>
      <c r="R8067" s="8">
        <v>14.2</v>
      </c>
      <c r="S8067" s="8">
        <v>15.1</v>
      </c>
      <c r="T8067" s="8">
        <v>0.9</v>
      </c>
      <c r="U8067" s="8">
        <v>15</v>
      </c>
      <c r="V8067" s="8">
        <v>1.7</v>
      </c>
      <c r="W8067" s="8">
        <v>1.5</v>
      </c>
      <c r="X8067" s="8">
        <v>150</v>
      </c>
      <c r="Y8067" s="8" t="s">
        <v>35570</v>
      </c>
      <c r="Z8067" s="8" t="s">
        <v>35571</v>
      </c>
    </row>
    <row r="8068" spans="1:26" x14ac:dyDescent="0.2">
      <c r="A8068" s="8">
        <v>8067</v>
      </c>
      <c r="B8068" s="8" t="s">
        <v>35572</v>
      </c>
      <c r="C8068" s="8" t="s">
        <v>35572</v>
      </c>
      <c r="G8068" s="8">
        <v>20</v>
      </c>
      <c r="H8068" s="8" t="s">
        <v>21</v>
      </c>
      <c r="I8068" s="8" t="s">
        <v>22</v>
      </c>
      <c r="J8068" s="8" t="s">
        <v>22</v>
      </c>
      <c r="K8068" s="8" t="s">
        <v>50</v>
      </c>
      <c r="L8068" s="8" t="s">
        <v>2809</v>
      </c>
      <c r="M8068" s="8" t="s">
        <v>2810</v>
      </c>
      <c r="N8068" s="8" t="s">
        <v>35573</v>
      </c>
      <c r="O8068" s="8">
        <f>2+28/60+3.4/3600</f>
        <v>2.4676111111111112</v>
      </c>
      <c r="P8068" s="8" t="s">
        <v>35574</v>
      </c>
      <c r="Q8068" s="8">
        <f>+(28+10/60+32/3600)</f>
        <v>28.175555555555558</v>
      </c>
      <c r="R8068" s="8">
        <v>14.5</v>
      </c>
      <c r="S8068" s="8">
        <v>15.5</v>
      </c>
      <c r="T8068" s="8">
        <v>1</v>
      </c>
      <c r="U8068" s="8">
        <v>14.6</v>
      </c>
      <c r="V8068" s="8">
        <v>1.3</v>
      </c>
      <c r="W8068" s="8">
        <v>0.8</v>
      </c>
      <c r="X8068" s="8">
        <v>60</v>
      </c>
      <c r="Y8068" s="8" t="s">
        <v>13997</v>
      </c>
      <c r="Z8068" s="8" t="s">
        <v>13998</v>
      </c>
    </row>
    <row r="8069" spans="1:26" x14ac:dyDescent="0.2">
      <c r="A8069" s="8">
        <v>8068</v>
      </c>
      <c r="B8069" s="8" t="s">
        <v>35575</v>
      </c>
      <c r="C8069" s="8" t="s">
        <v>35575</v>
      </c>
      <c r="G8069" s="8">
        <v>20</v>
      </c>
      <c r="H8069" s="8" t="s">
        <v>21</v>
      </c>
      <c r="I8069" s="8" t="s">
        <v>22</v>
      </c>
      <c r="J8069" s="8" t="s">
        <v>57</v>
      </c>
      <c r="K8069" s="8" t="s">
        <v>632</v>
      </c>
      <c r="L8069" s="8" t="s">
        <v>125</v>
      </c>
      <c r="M8069" s="8" t="s">
        <v>126</v>
      </c>
      <c r="N8069" s="8" t="s">
        <v>4508</v>
      </c>
      <c r="O8069" s="8">
        <f>2+26/60+41.6/3600</f>
        <v>2.4448888888888893</v>
      </c>
      <c r="P8069" s="8" t="s">
        <v>4509</v>
      </c>
      <c r="Q8069" s="8">
        <f>-(14+30/60+57/3600)</f>
        <v>-14.515833333333333</v>
      </c>
      <c r="R8069" s="8">
        <v>14</v>
      </c>
      <c r="S8069" s="8">
        <v>14.9</v>
      </c>
      <c r="T8069" s="8">
        <v>0.9</v>
      </c>
      <c r="U8069" s="8">
        <v>13</v>
      </c>
      <c r="V8069" s="8">
        <v>1.1000000000000001</v>
      </c>
      <c r="W8069" s="8">
        <v>0.4</v>
      </c>
      <c r="X8069" s="8">
        <v>15</v>
      </c>
      <c r="Y8069" s="8" t="s">
        <v>35576</v>
      </c>
      <c r="Z8069" s="8" t="s">
        <v>35577</v>
      </c>
    </row>
    <row r="8070" spans="1:26" x14ac:dyDescent="0.2">
      <c r="A8070" s="8">
        <v>8069</v>
      </c>
      <c r="B8070" s="8" t="s">
        <v>35578</v>
      </c>
      <c r="C8070" s="8" t="s">
        <v>35578</v>
      </c>
      <c r="G8070" s="8">
        <v>20</v>
      </c>
      <c r="H8070" s="8" t="s">
        <v>21</v>
      </c>
      <c r="I8070" s="8" t="s">
        <v>329</v>
      </c>
      <c r="J8070" s="8" t="s">
        <v>329</v>
      </c>
      <c r="K8070" s="8" t="s">
        <v>329</v>
      </c>
      <c r="L8070" s="8" t="s">
        <v>125</v>
      </c>
      <c r="M8070" s="8" t="s">
        <v>126</v>
      </c>
      <c r="N8070" s="8" t="s">
        <v>35579</v>
      </c>
      <c r="O8070" s="8">
        <f>2+27/60+23/3600</f>
        <v>2.4563888888888892</v>
      </c>
      <c r="P8070" s="8" t="s">
        <v>35580</v>
      </c>
      <c r="Q8070" s="8">
        <f>-(23+49/60+12/3600)</f>
        <v>-23.82</v>
      </c>
      <c r="R8070" s="8">
        <v>99</v>
      </c>
      <c r="S8070" s="8">
        <v>99</v>
      </c>
      <c r="T8070" s="8">
        <v>99</v>
      </c>
      <c r="U8070" s="8">
        <v>99</v>
      </c>
      <c r="Y8070" s="8" t="s">
        <v>35581</v>
      </c>
      <c r="Z8070" s="8" t="s">
        <v>35582</v>
      </c>
    </row>
    <row r="8071" spans="1:26" x14ac:dyDescent="0.2">
      <c r="A8071" s="8">
        <v>8070</v>
      </c>
      <c r="B8071" s="8" t="s">
        <v>35583</v>
      </c>
      <c r="C8071" s="8" t="s">
        <v>35583</v>
      </c>
      <c r="G8071" s="8">
        <v>20</v>
      </c>
      <c r="H8071" s="8" t="s">
        <v>21</v>
      </c>
      <c r="I8071" s="8" t="s">
        <v>22</v>
      </c>
      <c r="J8071" s="8" t="s">
        <v>22</v>
      </c>
      <c r="K8071" s="8" t="s">
        <v>818</v>
      </c>
      <c r="L8071" s="8" t="s">
        <v>125</v>
      </c>
      <c r="M8071" s="8" t="s">
        <v>126</v>
      </c>
      <c r="N8071" s="8" t="s">
        <v>35584</v>
      </c>
      <c r="O8071" s="8">
        <f>2+28/60+47.2/3600</f>
        <v>2.4797777777777781</v>
      </c>
      <c r="P8071" s="8" t="s">
        <v>35585</v>
      </c>
      <c r="Q8071" s="8">
        <f>-(10+49/60+54/3600)</f>
        <v>-10.831666666666667</v>
      </c>
      <c r="R8071" s="8">
        <v>14.8</v>
      </c>
      <c r="S8071" s="8">
        <v>15.8</v>
      </c>
      <c r="T8071" s="8">
        <v>1</v>
      </c>
      <c r="U8071" s="8">
        <v>12.6</v>
      </c>
      <c r="V8071" s="8">
        <v>0.4</v>
      </c>
      <c r="W8071" s="8">
        <v>0.3</v>
      </c>
      <c r="X8071" s="8">
        <v>90</v>
      </c>
      <c r="Y8071" s="8" t="s">
        <v>35586</v>
      </c>
      <c r="Z8071" s="8" t="s">
        <v>35587</v>
      </c>
    </row>
    <row r="8072" spans="1:26" x14ac:dyDescent="0.2">
      <c r="A8072" s="8">
        <v>8071</v>
      </c>
      <c r="B8072" s="8" t="s">
        <v>35588</v>
      </c>
      <c r="C8072" s="8" t="s">
        <v>35588</v>
      </c>
      <c r="G8072" s="8">
        <v>20</v>
      </c>
      <c r="H8072" s="8" t="s">
        <v>21</v>
      </c>
      <c r="I8072" s="8" t="s">
        <v>22</v>
      </c>
      <c r="J8072" s="8" t="s">
        <v>22</v>
      </c>
      <c r="K8072" s="8" t="s">
        <v>37</v>
      </c>
      <c r="L8072" s="8" t="s">
        <v>125</v>
      </c>
      <c r="M8072" s="8" t="s">
        <v>126</v>
      </c>
      <c r="N8072" s="8" t="s">
        <v>35589</v>
      </c>
      <c r="O8072" s="8">
        <f>2+29/60+56.3/3600</f>
        <v>2.4989722222222222</v>
      </c>
      <c r="P8072" s="8" t="s">
        <v>35590</v>
      </c>
      <c r="Q8072" s="8">
        <f>+(1+10/60+46/3600)</f>
        <v>1.1794444444444445</v>
      </c>
      <c r="R8072" s="8">
        <v>13.6</v>
      </c>
      <c r="S8072" s="8">
        <v>14.6</v>
      </c>
      <c r="T8072" s="8">
        <v>1</v>
      </c>
      <c r="U8072" s="8">
        <v>13.4</v>
      </c>
      <c r="V8072" s="8">
        <v>1</v>
      </c>
      <c r="W8072" s="8">
        <v>0.8</v>
      </c>
      <c r="X8072" s="8">
        <v>160</v>
      </c>
      <c r="Y8072" s="8" t="s">
        <v>5926</v>
      </c>
      <c r="Z8072" s="8" t="s">
        <v>23179</v>
      </c>
    </row>
    <row r="8073" spans="1:26" x14ac:dyDescent="0.2">
      <c r="A8073" s="8">
        <v>8072</v>
      </c>
      <c r="B8073" s="8" t="s">
        <v>35591</v>
      </c>
      <c r="C8073" s="8" t="s">
        <v>35591</v>
      </c>
      <c r="G8073" s="8">
        <v>20</v>
      </c>
      <c r="H8073" s="8" t="s">
        <v>21</v>
      </c>
      <c r="I8073" s="8" t="s">
        <v>22</v>
      </c>
      <c r="J8073" s="8" t="s">
        <v>22</v>
      </c>
      <c r="K8073" s="8" t="s">
        <v>1068</v>
      </c>
      <c r="L8073" s="8" t="s">
        <v>125</v>
      </c>
      <c r="M8073" s="8" t="s">
        <v>126</v>
      </c>
      <c r="N8073" s="8" t="s">
        <v>35592</v>
      </c>
      <c r="O8073" s="8">
        <f>2+31/60+11.5/3600</f>
        <v>2.5198611111111111</v>
      </c>
      <c r="P8073" s="8" t="s">
        <v>35593</v>
      </c>
      <c r="Q8073" s="8">
        <f>+(1+15/60+58/3600)</f>
        <v>1.2661111111111112</v>
      </c>
      <c r="R8073" s="8">
        <v>12.7</v>
      </c>
      <c r="S8073" s="8">
        <v>13.7</v>
      </c>
      <c r="T8073" s="8">
        <v>1</v>
      </c>
      <c r="U8073" s="8">
        <v>12.7</v>
      </c>
      <c r="V8073" s="8">
        <v>1.3</v>
      </c>
      <c r="W8073" s="8">
        <v>0.7</v>
      </c>
      <c r="X8073" s="8">
        <v>155</v>
      </c>
      <c r="Y8073" s="8" t="s">
        <v>35594</v>
      </c>
      <c r="Z8073" s="8" t="s">
        <v>35595</v>
      </c>
    </row>
    <row r="8074" spans="1:26" x14ac:dyDescent="0.2">
      <c r="A8074" s="8">
        <v>8073</v>
      </c>
      <c r="B8074" s="8" t="s">
        <v>35596</v>
      </c>
      <c r="C8074" s="8" t="s">
        <v>35596</v>
      </c>
      <c r="G8074" s="8">
        <v>20</v>
      </c>
      <c r="H8074" s="8" t="s">
        <v>21</v>
      </c>
      <c r="I8074" s="8" t="s">
        <v>22</v>
      </c>
      <c r="J8074" s="8" t="s">
        <v>22</v>
      </c>
      <c r="K8074" s="8" t="s">
        <v>396</v>
      </c>
      <c r="L8074" s="8" t="s">
        <v>125</v>
      </c>
      <c r="M8074" s="8" t="s">
        <v>126</v>
      </c>
      <c r="N8074" s="8" t="s">
        <v>35597</v>
      </c>
      <c r="O8074" s="8">
        <f>2+31/60+40.7/3600</f>
        <v>2.5279722222222221</v>
      </c>
      <c r="P8074" s="8" t="s">
        <v>35598</v>
      </c>
      <c r="Q8074" s="8">
        <f>+(2+48/60+38/3600)</f>
        <v>2.8105555555555553</v>
      </c>
      <c r="R8074" s="8">
        <v>14.2</v>
      </c>
      <c r="S8074" s="8">
        <v>15</v>
      </c>
      <c r="T8074" s="8">
        <v>0.8</v>
      </c>
      <c r="U8074" s="8">
        <v>12</v>
      </c>
      <c r="V8074" s="8">
        <v>0.4</v>
      </c>
      <c r="W8074" s="8">
        <v>0.3</v>
      </c>
      <c r="X8074" s="8">
        <v>105</v>
      </c>
      <c r="Y8074" s="8" t="s">
        <v>35599</v>
      </c>
      <c r="Z8074" s="8" t="s">
        <v>35600</v>
      </c>
    </row>
    <row r="8075" spans="1:26" x14ac:dyDescent="0.2">
      <c r="A8075" s="8">
        <v>8074</v>
      </c>
      <c r="B8075" s="8" t="s">
        <v>35601</v>
      </c>
      <c r="C8075" s="8" t="s">
        <v>35601</v>
      </c>
      <c r="G8075" s="8">
        <v>20</v>
      </c>
      <c r="H8075" s="8" t="s">
        <v>21</v>
      </c>
      <c r="I8075" s="8" t="s">
        <v>22</v>
      </c>
      <c r="J8075" s="8" t="s">
        <v>22</v>
      </c>
      <c r="K8075" s="8" t="s">
        <v>449</v>
      </c>
      <c r="L8075" s="8" t="s">
        <v>125</v>
      </c>
      <c r="M8075" s="8" t="s">
        <v>126</v>
      </c>
      <c r="N8075" s="8" t="s">
        <v>35602</v>
      </c>
      <c r="O8075" s="8">
        <f>2+31/60+37.7/3600</f>
        <v>2.527138888888889</v>
      </c>
      <c r="P8075" s="8" t="s">
        <v>35603</v>
      </c>
      <c r="Q8075" s="8">
        <f>-(0+8/60+22/3600)</f>
        <v>-0.13944444444444445</v>
      </c>
      <c r="R8075" s="8">
        <v>14.5</v>
      </c>
      <c r="S8075" s="8">
        <v>15.3</v>
      </c>
      <c r="T8075" s="8">
        <v>0.8</v>
      </c>
      <c r="U8075" s="8">
        <v>12</v>
      </c>
      <c r="V8075" s="8">
        <v>0.6</v>
      </c>
      <c r="W8075" s="8">
        <v>0.2</v>
      </c>
      <c r="X8075" s="8">
        <v>150</v>
      </c>
      <c r="Y8075" s="8" t="s">
        <v>35604</v>
      </c>
      <c r="Z8075" s="8" t="s">
        <v>35605</v>
      </c>
    </row>
    <row r="8076" spans="1:26" x14ac:dyDescent="0.2">
      <c r="A8076" s="8">
        <v>8075</v>
      </c>
      <c r="B8076" s="8" t="s">
        <v>35606</v>
      </c>
      <c r="C8076" s="8" t="s">
        <v>35606</v>
      </c>
      <c r="G8076" s="8">
        <v>20</v>
      </c>
      <c r="H8076" s="8" t="s">
        <v>21</v>
      </c>
      <c r="I8076" s="8" t="s">
        <v>22</v>
      </c>
      <c r="J8076" s="8" t="s">
        <v>22</v>
      </c>
      <c r="K8076" s="8" t="s">
        <v>1174</v>
      </c>
      <c r="L8076" s="8" t="s">
        <v>3256</v>
      </c>
      <c r="M8076" s="8" t="s">
        <v>3257</v>
      </c>
      <c r="N8076" s="8" t="s">
        <v>35607</v>
      </c>
      <c r="O8076" s="8">
        <f>2+32/60+50.8/3600</f>
        <v>2.5474444444444444</v>
      </c>
      <c r="P8076" s="8" t="s">
        <v>35608</v>
      </c>
      <c r="Q8076" s="8">
        <f>+(20+38/60+29/3600)</f>
        <v>20.641388888888887</v>
      </c>
      <c r="R8076" s="8">
        <v>14.4</v>
      </c>
      <c r="S8076" s="8">
        <v>14.9</v>
      </c>
      <c r="T8076" s="8">
        <v>0.5</v>
      </c>
      <c r="U8076" s="8">
        <v>11.9</v>
      </c>
      <c r="V8076" s="8">
        <v>0.4</v>
      </c>
      <c r="W8076" s="8">
        <v>0.3</v>
      </c>
      <c r="X8076" s="8">
        <v>3</v>
      </c>
      <c r="Y8076" s="8" t="s">
        <v>33652</v>
      </c>
      <c r="Z8076" s="8" t="s">
        <v>33653</v>
      </c>
    </row>
    <row r="8077" spans="1:26" x14ac:dyDescent="0.2">
      <c r="A8077" s="8">
        <v>8076</v>
      </c>
      <c r="B8077" s="8" t="s">
        <v>35609</v>
      </c>
      <c r="C8077" s="8" t="s">
        <v>35609</v>
      </c>
      <c r="G8077" s="8">
        <v>20</v>
      </c>
      <c r="H8077" s="8" t="s">
        <v>21</v>
      </c>
      <c r="I8077" s="8" t="s">
        <v>22</v>
      </c>
      <c r="J8077" s="8" t="s">
        <v>22</v>
      </c>
      <c r="K8077" s="8" t="s">
        <v>449</v>
      </c>
      <c r="L8077" s="8" t="s">
        <v>125</v>
      </c>
      <c r="M8077" s="8" t="s">
        <v>126</v>
      </c>
      <c r="N8077" s="8" t="s">
        <v>35610</v>
      </c>
      <c r="O8077" s="8">
        <f>2+32/60+55.8/3600</f>
        <v>2.5488333333333331</v>
      </c>
      <c r="P8077" s="8" t="s">
        <v>3860</v>
      </c>
      <c r="Q8077" s="8">
        <f>-(0+7/60+51/3600)</f>
        <v>-0.13083333333333333</v>
      </c>
      <c r="R8077" s="8">
        <v>16</v>
      </c>
      <c r="S8077" s="8">
        <v>16.8</v>
      </c>
      <c r="T8077" s="8">
        <v>0.8</v>
      </c>
      <c r="U8077" s="8">
        <v>14</v>
      </c>
      <c r="V8077" s="8">
        <v>0.6</v>
      </c>
      <c r="W8077" s="8">
        <v>0.3</v>
      </c>
      <c r="X8077" s="8">
        <v>25</v>
      </c>
      <c r="Y8077" s="8" t="s">
        <v>35611</v>
      </c>
      <c r="Z8077" s="8" t="s">
        <v>35612</v>
      </c>
    </row>
    <row r="8078" spans="1:26" x14ac:dyDescent="0.2">
      <c r="A8078" s="8">
        <v>8077</v>
      </c>
      <c r="B8078" s="8" t="s">
        <v>35613</v>
      </c>
      <c r="C8078" s="8" t="s">
        <v>35613</v>
      </c>
      <c r="G8078" s="8">
        <v>20</v>
      </c>
      <c r="H8078" s="8" t="s">
        <v>21</v>
      </c>
      <c r="I8078" s="8" t="s">
        <v>22</v>
      </c>
      <c r="J8078" s="8" t="s">
        <v>22</v>
      </c>
      <c r="K8078" s="8" t="s">
        <v>58</v>
      </c>
      <c r="L8078" s="8" t="s">
        <v>125</v>
      </c>
      <c r="M8078" s="8" t="s">
        <v>126</v>
      </c>
      <c r="N8078" s="8" t="s">
        <v>35614</v>
      </c>
      <c r="O8078" s="8">
        <f>2+33/60+31.6/3600</f>
        <v>2.5587777777777778</v>
      </c>
      <c r="P8078" s="8" t="s">
        <v>35615</v>
      </c>
      <c r="Q8078" s="8">
        <f>+(1+8/60+23/3600)</f>
        <v>1.1397222222222223</v>
      </c>
      <c r="R8078" s="8">
        <v>14.7</v>
      </c>
      <c r="S8078" s="8">
        <v>15.7</v>
      </c>
      <c r="T8078" s="8">
        <v>1</v>
      </c>
      <c r="U8078" s="8">
        <v>13.3</v>
      </c>
      <c r="V8078" s="8">
        <v>0.5</v>
      </c>
      <c r="W8078" s="8">
        <v>0.5</v>
      </c>
      <c r="Y8078" s="8" t="s">
        <v>35616</v>
      </c>
      <c r="Z8078" s="8" t="s">
        <v>35617</v>
      </c>
    </row>
    <row r="8079" spans="1:26" x14ac:dyDescent="0.2">
      <c r="A8079" s="8">
        <v>8078</v>
      </c>
      <c r="B8079" s="8" t="s">
        <v>35618</v>
      </c>
      <c r="C8079" s="8" t="s">
        <v>35618</v>
      </c>
      <c r="G8079" s="8">
        <v>20</v>
      </c>
      <c r="H8079" s="8" t="s">
        <v>21</v>
      </c>
      <c r="I8079" s="8" t="s">
        <v>22</v>
      </c>
      <c r="J8079" s="8" t="s">
        <v>22</v>
      </c>
      <c r="K8079" s="8" t="s">
        <v>37</v>
      </c>
      <c r="L8079" s="8" t="s">
        <v>3256</v>
      </c>
      <c r="M8079" s="8" t="s">
        <v>3257</v>
      </c>
      <c r="N8079" s="8" t="s">
        <v>35619</v>
      </c>
      <c r="O8079" s="8">
        <f>2+35/60+22.7/3600</f>
        <v>2.589638888888889</v>
      </c>
      <c r="P8079" s="8" t="s">
        <v>35620</v>
      </c>
      <c r="Q8079" s="8">
        <f>+(12+50/60+18/3600)</f>
        <v>12.838333333333335</v>
      </c>
      <c r="R8079" s="8">
        <v>12.8</v>
      </c>
      <c r="S8079" s="8">
        <v>13.8</v>
      </c>
      <c r="T8079" s="8">
        <v>1</v>
      </c>
      <c r="U8079" s="8">
        <v>12.3</v>
      </c>
      <c r="V8079" s="8">
        <v>1.2</v>
      </c>
      <c r="W8079" s="8">
        <v>0.6</v>
      </c>
      <c r="X8079" s="8">
        <v>30</v>
      </c>
      <c r="Y8079" s="8" t="s">
        <v>11711</v>
      </c>
      <c r="Z8079" s="8" t="s">
        <v>11712</v>
      </c>
    </row>
    <row r="8080" spans="1:26" x14ac:dyDescent="0.2">
      <c r="A8080" s="8">
        <v>8079</v>
      </c>
      <c r="B8080" s="8" t="s">
        <v>35621</v>
      </c>
      <c r="C8080" s="8" t="s">
        <v>35621</v>
      </c>
      <c r="G8080" s="8">
        <v>20</v>
      </c>
      <c r="H8080" s="8" t="s">
        <v>21</v>
      </c>
      <c r="I8080" s="8" t="s">
        <v>22</v>
      </c>
      <c r="J8080" s="8" t="s">
        <v>22</v>
      </c>
      <c r="K8080" s="8" t="s">
        <v>154</v>
      </c>
      <c r="L8080" s="8" t="s">
        <v>51</v>
      </c>
      <c r="M8080" s="8" t="s">
        <v>52</v>
      </c>
      <c r="N8080" s="8" t="s">
        <v>35622</v>
      </c>
      <c r="O8080" s="8">
        <f>2+36/60+27.9/3600</f>
        <v>2.6077500000000002</v>
      </c>
      <c r="P8080" s="8" t="s">
        <v>35623</v>
      </c>
      <c r="Q8080" s="8">
        <f>+(38+58/60+8/3600)</f>
        <v>38.968888888888891</v>
      </c>
      <c r="R8080" s="8">
        <v>11.1</v>
      </c>
      <c r="S8080" s="8">
        <v>11.8</v>
      </c>
      <c r="T8080" s="8">
        <v>0.7</v>
      </c>
      <c r="U8080" s="8">
        <v>14.2</v>
      </c>
      <c r="V8080" s="8">
        <v>4.5999999999999996</v>
      </c>
      <c r="W8080" s="8">
        <v>4.2</v>
      </c>
      <c r="X8080" s="8">
        <v>3</v>
      </c>
      <c r="Y8080" s="8" t="s">
        <v>35624</v>
      </c>
      <c r="Z8080" s="8" t="s">
        <v>35625</v>
      </c>
    </row>
    <row r="8081" spans="1:26" x14ac:dyDescent="0.2">
      <c r="A8081" s="8">
        <v>8080</v>
      </c>
      <c r="B8081" s="8" t="s">
        <v>35626</v>
      </c>
      <c r="C8081" s="8" t="s">
        <v>35626</v>
      </c>
      <c r="G8081" s="8">
        <v>20</v>
      </c>
      <c r="H8081" s="8" t="s">
        <v>21</v>
      </c>
      <c r="I8081" s="8" t="s">
        <v>72</v>
      </c>
      <c r="J8081" s="8" t="s">
        <v>72</v>
      </c>
      <c r="K8081" s="8" t="s">
        <v>1405</v>
      </c>
      <c r="L8081" s="8" t="s">
        <v>3147</v>
      </c>
      <c r="M8081" s="8" t="s">
        <v>3148</v>
      </c>
      <c r="N8081" s="8" t="s">
        <v>35627</v>
      </c>
      <c r="O8081" s="8">
        <f>2+38/60+58.3/3600</f>
        <v>2.6495277777777777</v>
      </c>
      <c r="P8081" s="8" t="s">
        <v>35628</v>
      </c>
      <c r="Q8081" s="8">
        <f>+(41+43/60+10/3600)</f>
        <v>41.719444444444449</v>
      </c>
      <c r="R8081" s="8">
        <v>99</v>
      </c>
      <c r="S8081" s="8">
        <v>99</v>
      </c>
      <c r="T8081" s="8">
        <v>99</v>
      </c>
      <c r="U8081" s="8">
        <v>99</v>
      </c>
      <c r="Y8081" s="8" t="s">
        <v>4007</v>
      </c>
      <c r="Z8081" s="8" t="s">
        <v>4008</v>
      </c>
    </row>
    <row r="8082" spans="1:26" x14ac:dyDescent="0.2">
      <c r="A8082" s="8">
        <v>8081</v>
      </c>
      <c r="B8082" s="8" t="s">
        <v>35629</v>
      </c>
      <c r="C8082" s="8" t="s">
        <v>35629</v>
      </c>
      <c r="G8082" s="8">
        <v>20</v>
      </c>
      <c r="H8082" s="8" t="s">
        <v>21</v>
      </c>
      <c r="I8082" s="8" t="s">
        <v>22</v>
      </c>
      <c r="J8082" s="8" t="s">
        <v>22</v>
      </c>
      <c r="K8082" s="8" t="s">
        <v>449</v>
      </c>
      <c r="L8082" s="8" t="s">
        <v>125</v>
      </c>
      <c r="M8082" s="8" t="s">
        <v>126</v>
      </c>
      <c r="N8082" s="8" t="s">
        <v>35630</v>
      </c>
      <c r="O8082" s="8">
        <f>2+37/60+54.4/3600</f>
        <v>2.6317777777777778</v>
      </c>
      <c r="P8082" s="8" t="s">
        <v>35631</v>
      </c>
      <c r="Q8082" s="8">
        <f>+(2+19/60+40/3600)</f>
        <v>2.3277777777777775</v>
      </c>
      <c r="R8082" s="8">
        <v>13.4</v>
      </c>
      <c r="S8082" s="8">
        <v>14.2</v>
      </c>
      <c r="T8082" s="8">
        <v>0.8</v>
      </c>
      <c r="U8082" s="8">
        <v>13</v>
      </c>
      <c r="V8082" s="8">
        <v>1.1000000000000001</v>
      </c>
      <c r="W8082" s="8">
        <v>0.7</v>
      </c>
      <c r="X8082" s="8">
        <v>150</v>
      </c>
      <c r="Y8082" s="8" t="s">
        <v>35632</v>
      </c>
      <c r="Z8082" s="8" t="s">
        <v>35633</v>
      </c>
    </row>
    <row r="8083" spans="1:26" x14ac:dyDescent="0.2">
      <c r="A8083" s="8">
        <v>8082</v>
      </c>
      <c r="B8083" s="8" t="s">
        <v>35634</v>
      </c>
      <c r="C8083" s="8" t="s">
        <v>35634</v>
      </c>
      <c r="G8083" s="8">
        <v>20</v>
      </c>
      <c r="H8083" s="8" t="s">
        <v>21</v>
      </c>
      <c r="I8083" s="8" t="s">
        <v>72</v>
      </c>
      <c r="J8083" s="8" t="s">
        <v>72</v>
      </c>
      <c r="K8083" s="8" t="s">
        <v>73</v>
      </c>
      <c r="L8083" s="8" t="s">
        <v>125</v>
      </c>
      <c r="M8083" s="8" t="s">
        <v>126</v>
      </c>
      <c r="N8083" s="8" t="s">
        <v>35635</v>
      </c>
      <c r="O8083" s="8">
        <f>2+38/60+24/3600</f>
        <v>2.64</v>
      </c>
      <c r="P8083" s="8" t="s">
        <v>35636</v>
      </c>
      <c r="Q8083" s="8">
        <f>-(6+56/60+1/3600)</f>
        <v>-6.9336111111111114</v>
      </c>
      <c r="R8083" s="8">
        <v>99</v>
      </c>
      <c r="S8083" s="8">
        <v>99</v>
      </c>
      <c r="T8083" s="8">
        <v>99</v>
      </c>
      <c r="U8083" s="8">
        <v>99</v>
      </c>
      <c r="Y8083" s="8" t="s">
        <v>35637</v>
      </c>
      <c r="Z8083" s="8" t="s">
        <v>35638</v>
      </c>
    </row>
    <row r="8084" spans="1:26" x14ac:dyDescent="0.2">
      <c r="A8084" s="8">
        <v>8083</v>
      </c>
      <c r="B8084" s="8" t="s">
        <v>35639</v>
      </c>
      <c r="C8084" s="8" t="s">
        <v>35639</v>
      </c>
      <c r="G8084" s="8">
        <v>20</v>
      </c>
      <c r="H8084" s="8" t="s">
        <v>21</v>
      </c>
      <c r="I8084" s="8" t="s">
        <v>22</v>
      </c>
      <c r="J8084" s="8" t="s">
        <v>22</v>
      </c>
      <c r="K8084" s="8" t="s">
        <v>435</v>
      </c>
      <c r="L8084" s="8" t="s">
        <v>125</v>
      </c>
      <c r="M8084" s="8" t="s">
        <v>126</v>
      </c>
      <c r="N8084" s="8" t="s">
        <v>35640</v>
      </c>
      <c r="O8084" s="8">
        <f>2+38/60+32.1/3600</f>
        <v>2.6422499999999998</v>
      </c>
      <c r="P8084" s="8" t="s">
        <v>35641</v>
      </c>
      <c r="Q8084" s="8">
        <f>-(6+54/60+6/3600)</f>
        <v>-6.9016666666666673</v>
      </c>
      <c r="R8084" s="8">
        <v>14.2</v>
      </c>
      <c r="S8084" s="8">
        <v>15.1</v>
      </c>
      <c r="T8084" s="8">
        <v>0.9</v>
      </c>
      <c r="U8084" s="8">
        <v>14</v>
      </c>
      <c r="V8084" s="8">
        <v>1.2</v>
      </c>
      <c r="W8084" s="8">
        <v>0.8</v>
      </c>
      <c r="X8084" s="8">
        <v>30</v>
      </c>
      <c r="Y8084" s="8" t="s">
        <v>115</v>
      </c>
      <c r="Z8084" s="8" t="s">
        <v>116</v>
      </c>
    </row>
    <row r="8085" spans="1:26" x14ac:dyDescent="0.2">
      <c r="A8085" s="8">
        <v>8084</v>
      </c>
      <c r="B8085" s="8" t="s">
        <v>35642</v>
      </c>
      <c r="C8085" s="8" t="s">
        <v>35642</v>
      </c>
      <c r="G8085" s="8">
        <v>20</v>
      </c>
      <c r="H8085" s="8" t="s">
        <v>21</v>
      </c>
      <c r="I8085" s="8" t="s">
        <v>22</v>
      </c>
      <c r="J8085" s="8" t="s">
        <v>22</v>
      </c>
      <c r="K8085" s="8" t="s">
        <v>160</v>
      </c>
      <c r="L8085" s="8" t="s">
        <v>125</v>
      </c>
      <c r="M8085" s="8" t="s">
        <v>126</v>
      </c>
      <c r="N8085" s="8" t="s">
        <v>35643</v>
      </c>
      <c r="O8085" s="8">
        <f>2+39/60+24.7/3600</f>
        <v>2.6568611111111111</v>
      </c>
      <c r="P8085" s="8" t="s">
        <v>35644</v>
      </c>
      <c r="Q8085" s="8">
        <f>+(2+43/60+39/3600)</f>
        <v>2.7275</v>
      </c>
      <c r="R8085" s="8">
        <v>14.8</v>
      </c>
      <c r="S8085" s="8">
        <v>15.5</v>
      </c>
      <c r="T8085" s="8">
        <v>0.7</v>
      </c>
      <c r="U8085" s="8">
        <v>13.3</v>
      </c>
      <c r="V8085" s="8">
        <v>0.7</v>
      </c>
      <c r="W8085" s="8">
        <v>0.4</v>
      </c>
      <c r="X8085" s="8">
        <v>6</v>
      </c>
      <c r="Y8085" s="8" t="s">
        <v>35151</v>
      </c>
      <c r="Z8085" s="8" t="s">
        <v>35152</v>
      </c>
    </row>
    <row r="8086" spans="1:26" x14ac:dyDescent="0.2">
      <c r="A8086" s="8">
        <v>8085</v>
      </c>
      <c r="B8086" s="8" t="s">
        <v>35645</v>
      </c>
      <c r="C8086" s="8" t="s">
        <v>35645</v>
      </c>
      <c r="G8086" s="8">
        <v>20</v>
      </c>
      <c r="H8086" s="8" t="s">
        <v>21</v>
      </c>
      <c r="I8086" s="8" t="s">
        <v>22</v>
      </c>
      <c r="J8086" s="8" t="s">
        <v>22</v>
      </c>
      <c r="K8086" s="8" t="s">
        <v>476</v>
      </c>
      <c r="L8086" s="8" t="s">
        <v>125</v>
      </c>
      <c r="M8086" s="8" t="s">
        <v>126</v>
      </c>
      <c r="N8086" s="8" t="s">
        <v>35646</v>
      </c>
      <c r="O8086" s="8">
        <f>2+38/60+54.4/3600</f>
        <v>2.6484444444444444</v>
      </c>
      <c r="P8086" s="8" t="s">
        <v>35647</v>
      </c>
      <c r="Q8086" s="8">
        <f>-(14+18/60+22/3600)</f>
        <v>-14.306111111111111</v>
      </c>
      <c r="R8086" s="8">
        <v>14.3</v>
      </c>
      <c r="S8086" s="8">
        <v>15.2</v>
      </c>
      <c r="T8086" s="8">
        <v>0.9</v>
      </c>
      <c r="U8086" s="8">
        <v>12.9</v>
      </c>
      <c r="V8086" s="8">
        <v>1.1000000000000001</v>
      </c>
      <c r="W8086" s="8">
        <v>0.3</v>
      </c>
      <c r="X8086" s="8">
        <v>21</v>
      </c>
      <c r="Y8086" s="8" t="s">
        <v>35648</v>
      </c>
      <c r="Z8086" s="8" t="s">
        <v>35649</v>
      </c>
    </row>
    <row r="8087" spans="1:26" x14ac:dyDescent="0.2">
      <c r="A8087" s="8">
        <v>8086</v>
      </c>
      <c r="B8087" s="8" t="s">
        <v>35650</v>
      </c>
      <c r="C8087" s="8" t="s">
        <v>35650</v>
      </c>
      <c r="G8087" s="8">
        <v>20</v>
      </c>
      <c r="H8087" s="8" t="s">
        <v>21</v>
      </c>
      <c r="I8087" s="8" t="s">
        <v>22</v>
      </c>
      <c r="J8087" s="8" t="s">
        <v>22</v>
      </c>
      <c r="K8087" s="8" t="s">
        <v>37</v>
      </c>
      <c r="L8087" s="8" t="s">
        <v>125</v>
      </c>
      <c r="M8087" s="8" t="s">
        <v>126</v>
      </c>
      <c r="N8087" s="8" t="s">
        <v>35651</v>
      </c>
      <c r="O8087" s="8">
        <f>2+40/60+28.5/3600</f>
        <v>2.6745833333333331</v>
      </c>
      <c r="P8087" s="8" t="s">
        <v>35652</v>
      </c>
      <c r="Q8087" s="8">
        <f>+(2+28/60+45/3600)</f>
        <v>2.479166666666667</v>
      </c>
      <c r="R8087" s="8">
        <v>14.3</v>
      </c>
      <c r="S8087" s="8">
        <v>15.3</v>
      </c>
      <c r="T8087" s="8">
        <v>1</v>
      </c>
      <c r="U8087" s="8">
        <v>13.2</v>
      </c>
      <c r="V8087" s="8">
        <v>0.8</v>
      </c>
      <c r="W8087" s="8">
        <v>0.5</v>
      </c>
      <c r="X8087" s="8">
        <v>65</v>
      </c>
      <c r="Y8087" s="8" t="s">
        <v>35653</v>
      </c>
      <c r="Z8087" s="8" t="s">
        <v>35654</v>
      </c>
    </row>
    <row r="8088" spans="1:26" x14ac:dyDescent="0.2">
      <c r="A8088" s="8">
        <v>8087</v>
      </c>
      <c r="B8088" s="8" t="s">
        <v>35655</v>
      </c>
      <c r="C8088" s="8" t="s">
        <v>35655</v>
      </c>
      <c r="G8088" s="8">
        <v>20</v>
      </c>
      <c r="H8088" s="8" t="s">
        <v>21</v>
      </c>
      <c r="I8088" s="8" t="s">
        <v>22</v>
      </c>
      <c r="J8088" s="8" t="s">
        <v>22</v>
      </c>
      <c r="K8088" s="8" t="s">
        <v>396</v>
      </c>
      <c r="L8088" s="8" t="s">
        <v>125</v>
      </c>
      <c r="M8088" s="8" t="s">
        <v>126</v>
      </c>
      <c r="N8088" s="8" t="s">
        <v>35656</v>
      </c>
      <c r="O8088" s="8">
        <f>2+40/60+8.7/3600</f>
        <v>2.669083333333333</v>
      </c>
      <c r="P8088" s="8" t="s">
        <v>35657</v>
      </c>
      <c r="Q8088" s="8">
        <f>-(11+44/60+0/3600)</f>
        <v>-11.733333333333333</v>
      </c>
      <c r="R8088" s="8">
        <v>14</v>
      </c>
      <c r="S8088" s="8">
        <v>14.8</v>
      </c>
      <c r="T8088" s="8">
        <v>0.8</v>
      </c>
      <c r="U8088" s="8">
        <v>14</v>
      </c>
      <c r="V8088" s="8">
        <v>1.2</v>
      </c>
      <c r="W8088" s="8">
        <v>1</v>
      </c>
      <c r="X8088" s="8">
        <v>45</v>
      </c>
      <c r="Y8088" s="8" t="s">
        <v>13469</v>
      </c>
      <c r="Z8088" s="8" t="s">
        <v>13470</v>
      </c>
    </row>
    <row r="8089" spans="1:26" x14ac:dyDescent="0.2">
      <c r="A8089" s="8">
        <v>8088</v>
      </c>
      <c r="B8089" s="8" t="s">
        <v>35658</v>
      </c>
      <c r="C8089" s="8" t="s">
        <v>35658</v>
      </c>
      <c r="G8089" s="8">
        <v>20</v>
      </c>
      <c r="H8089" s="8" t="s">
        <v>21</v>
      </c>
      <c r="I8089" s="8" t="s">
        <v>22</v>
      </c>
      <c r="J8089" s="8" t="s">
        <v>22</v>
      </c>
      <c r="K8089" s="8" t="s">
        <v>91</v>
      </c>
      <c r="L8089" s="8" t="s">
        <v>3256</v>
      </c>
      <c r="M8089" s="8" t="s">
        <v>3257</v>
      </c>
      <c r="N8089" s="8" t="s">
        <v>35659</v>
      </c>
      <c r="O8089" s="8">
        <f>2+41/60+25.6/3600</f>
        <v>2.6904444444444446</v>
      </c>
      <c r="P8089" s="8" t="s">
        <v>35660</v>
      </c>
      <c r="Q8089" s="8">
        <f>+(17+48/60+43/3600)</f>
        <v>17.811944444444446</v>
      </c>
      <c r="R8089" s="8">
        <v>13.4</v>
      </c>
      <c r="S8089" s="8">
        <v>14.3</v>
      </c>
      <c r="T8089" s="8">
        <v>0.9</v>
      </c>
      <c r="U8089" s="8">
        <v>12.7</v>
      </c>
      <c r="V8089" s="8">
        <v>0.9</v>
      </c>
      <c r="W8089" s="8">
        <v>0.6</v>
      </c>
      <c r="X8089" s="8">
        <v>145</v>
      </c>
      <c r="Y8089" s="8" t="s">
        <v>297</v>
      </c>
      <c r="Z8089" s="8" t="s">
        <v>298</v>
      </c>
    </row>
    <row r="8090" spans="1:26" x14ac:dyDescent="0.2">
      <c r="A8090" s="8">
        <v>8089</v>
      </c>
      <c r="B8090" s="8" t="s">
        <v>35661</v>
      </c>
      <c r="C8090" s="8" t="s">
        <v>35661</v>
      </c>
      <c r="G8090" s="8">
        <v>20</v>
      </c>
      <c r="H8090" s="8" t="s">
        <v>21</v>
      </c>
      <c r="I8090" s="8" t="s">
        <v>22</v>
      </c>
      <c r="J8090" s="8" t="s">
        <v>57</v>
      </c>
      <c r="K8090" s="8" t="s">
        <v>4103</v>
      </c>
      <c r="L8090" s="8" t="s">
        <v>125</v>
      </c>
      <c r="M8090" s="8" t="s">
        <v>126</v>
      </c>
      <c r="N8090" s="8" t="s">
        <v>4585</v>
      </c>
      <c r="O8090" s="8">
        <f>2+41/60+2.2/3600</f>
        <v>2.6839444444444447</v>
      </c>
      <c r="P8090" s="8" t="s">
        <v>4586</v>
      </c>
      <c r="Q8090" s="8">
        <f>-(6+56/60+8/3600)</f>
        <v>-6.9355555555555561</v>
      </c>
      <c r="R8090" s="8">
        <v>12.8</v>
      </c>
      <c r="S8090" s="8">
        <v>13.4</v>
      </c>
      <c r="T8090" s="8">
        <v>0.6</v>
      </c>
      <c r="U8090" s="8">
        <v>13.7</v>
      </c>
      <c r="V8090" s="8">
        <v>1.9</v>
      </c>
      <c r="W8090" s="8">
        <v>1.4</v>
      </c>
      <c r="X8090" s="8">
        <v>49</v>
      </c>
      <c r="Y8090" s="8" t="s">
        <v>35662</v>
      </c>
      <c r="Z8090" s="8" t="s">
        <v>35663</v>
      </c>
    </row>
    <row r="8091" spans="1:26" x14ac:dyDescent="0.2">
      <c r="A8091" s="8">
        <v>8090</v>
      </c>
      <c r="B8091" s="8" t="s">
        <v>35664</v>
      </c>
      <c r="C8091" s="8" t="s">
        <v>35664</v>
      </c>
      <c r="G8091" s="8">
        <v>20</v>
      </c>
      <c r="H8091" s="8" t="s">
        <v>21</v>
      </c>
      <c r="I8091" s="8" t="s">
        <v>22</v>
      </c>
      <c r="J8091" s="8" t="s">
        <v>22</v>
      </c>
      <c r="K8091" s="8" t="s">
        <v>406</v>
      </c>
      <c r="L8091" s="8" t="s">
        <v>125</v>
      </c>
      <c r="M8091" s="8" t="s">
        <v>126</v>
      </c>
      <c r="N8091" s="8" t="s">
        <v>35665</v>
      </c>
      <c r="O8091" s="8">
        <f>2+40/60+54.2/3600</f>
        <v>2.6817222222222221</v>
      </c>
      <c r="P8091" s="8" t="s">
        <v>35666</v>
      </c>
      <c r="Q8091" s="8">
        <f>-(13+18/60+49/3600)</f>
        <v>-13.313611111111111</v>
      </c>
      <c r="R8091" s="8">
        <v>13.9</v>
      </c>
      <c r="S8091" s="8">
        <v>14.7</v>
      </c>
      <c r="T8091" s="8">
        <v>0.8</v>
      </c>
      <c r="U8091" s="8">
        <v>13.2</v>
      </c>
      <c r="V8091" s="8">
        <v>0.9</v>
      </c>
      <c r="W8091" s="8">
        <v>0.7</v>
      </c>
      <c r="X8091" s="8">
        <v>126</v>
      </c>
      <c r="Y8091" s="8" t="s">
        <v>221</v>
      </c>
      <c r="Z8091" s="8" t="s">
        <v>222</v>
      </c>
    </row>
    <row r="8092" spans="1:26" x14ac:dyDescent="0.2">
      <c r="A8092" s="8">
        <v>8091</v>
      </c>
      <c r="B8092" s="8" t="s">
        <v>35667</v>
      </c>
      <c r="C8092" s="8" t="s">
        <v>35667</v>
      </c>
      <c r="G8092" s="8">
        <v>20</v>
      </c>
      <c r="H8092" s="8" t="s">
        <v>21</v>
      </c>
      <c r="I8092" s="8" t="s">
        <v>22</v>
      </c>
      <c r="J8092" s="8" t="s">
        <v>22</v>
      </c>
      <c r="K8092" s="8" t="s">
        <v>449</v>
      </c>
      <c r="L8092" s="8" t="s">
        <v>125</v>
      </c>
      <c r="M8092" s="8" t="s">
        <v>126</v>
      </c>
      <c r="N8092" s="8" t="s">
        <v>35668</v>
      </c>
      <c r="O8092" s="8">
        <f>2+41/60+13.8/3600</f>
        <v>2.6871666666666667</v>
      </c>
      <c r="P8092" s="8" t="s">
        <v>35669</v>
      </c>
      <c r="Q8092" s="8">
        <f>-(14+57/60+29/3600)</f>
        <v>-14.958055555555555</v>
      </c>
      <c r="R8092" s="8">
        <v>14</v>
      </c>
      <c r="S8092" s="8">
        <v>14.8</v>
      </c>
      <c r="T8092" s="8">
        <v>0.8</v>
      </c>
      <c r="U8092" s="8">
        <v>12.7</v>
      </c>
      <c r="V8092" s="8">
        <v>0.6</v>
      </c>
      <c r="W8092" s="8">
        <v>0.6</v>
      </c>
      <c r="Y8092" s="8" t="s">
        <v>12039</v>
      </c>
      <c r="Z8092" s="8" t="s">
        <v>11239</v>
      </c>
    </row>
    <row r="8093" spans="1:26" x14ac:dyDescent="0.2">
      <c r="A8093" s="8">
        <v>8092</v>
      </c>
      <c r="B8093" s="8" t="s">
        <v>35670</v>
      </c>
      <c r="C8093" s="8" t="s">
        <v>35670</v>
      </c>
      <c r="E8093" s="8">
        <v>1</v>
      </c>
      <c r="G8093" s="8">
        <v>20</v>
      </c>
      <c r="H8093" s="8" t="s">
        <v>21</v>
      </c>
      <c r="I8093" s="8" t="s">
        <v>22</v>
      </c>
      <c r="J8093" s="8" t="s">
        <v>22</v>
      </c>
      <c r="K8093" s="8" t="s">
        <v>449</v>
      </c>
      <c r="L8093" s="8" t="s">
        <v>125</v>
      </c>
      <c r="M8093" s="8" t="s">
        <v>126</v>
      </c>
      <c r="N8093" s="8" t="s">
        <v>35671</v>
      </c>
      <c r="O8093" s="8">
        <f>2+41/60+45/3600</f>
        <v>2.6958333333333337</v>
      </c>
      <c r="P8093" s="8" t="s">
        <v>35672</v>
      </c>
      <c r="Q8093" s="8">
        <f>-(14+50/60+52/3600)</f>
        <v>-14.847777777777779</v>
      </c>
      <c r="R8093" s="8">
        <v>14.7</v>
      </c>
      <c r="S8093" s="8">
        <v>15.5</v>
      </c>
      <c r="T8093" s="8">
        <v>0.8</v>
      </c>
      <c r="U8093" s="8">
        <v>13.2</v>
      </c>
      <c r="V8093" s="8">
        <v>0.7</v>
      </c>
      <c r="W8093" s="8">
        <v>0.4</v>
      </c>
      <c r="X8093" s="8">
        <v>20</v>
      </c>
      <c r="Y8093" s="8" t="s">
        <v>4430</v>
      </c>
      <c r="Z8093" s="8" t="s">
        <v>4431</v>
      </c>
    </row>
    <row r="8094" spans="1:26" x14ac:dyDescent="0.2">
      <c r="A8094" s="8">
        <v>8093</v>
      </c>
      <c r="B8094" s="8" t="s">
        <v>35673</v>
      </c>
      <c r="C8094" s="8" t="s">
        <v>35673</v>
      </c>
      <c r="G8094" s="8">
        <v>20</v>
      </c>
      <c r="H8094" s="8" t="s">
        <v>21</v>
      </c>
      <c r="I8094" s="8" t="s">
        <v>22</v>
      </c>
      <c r="J8094" s="8" t="s">
        <v>22</v>
      </c>
      <c r="K8094" s="8" t="s">
        <v>818</v>
      </c>
      <c r="L8094" s="8" t="s">
        <v>125</v>
      </c>
      <c r="M8094" s="8" t="s">
        <v>126</v>
      </c>
      <c r="N8094" s="8" t="s">
        <v>35674</v>
      </c>
      <c r="O8094" s="8">
        <f>2+42/60+5.7/3600</f>
        <v>2.7015833333333337</v>
      </c>
      <c r="P8094" s="8" t="s">
        <v>35675</v>
      </c>
      <c r="Q8094" s="8">
        <f>-(15+2/60+50/3600)</f>
        <v>-15.047222222222222</v>
      </c>
      <c r="R8094" s="8">
        <v>13.9</v>
      </c>
      <c r="S8094" s="8">
        <v>14.9</v>
      </c>
      <c r="T8094" s="8">
        <v>1</v>
      </c>
      <c r="U8094" s="8">
        <v>13.3</v>
      </c>
      <c r="V8094" s="8">
        <v>0.9</v>
      </c>
      <c r="W8094" s="8">
        <v>0.6</v>
      </c>
      <c r="X8094" s="8">
        <v>155</v>
      </c>
      <c r="Y8094" s="8" t="s">
        <v>21748</v>
      </c>
      <c r="Z8094" s="8" t="s">
        <v>21749</v>
      </c>
    </row>
    <row r="8095" spans="1:26" x14ac:dyDescent="0.2">
      <c r="A8095" s="8">
        <v>8094</v>
      </c>
      <c r="B8095" s="8" t="s">
        <v>35676</v>
      </c>
      <c r="C8095" s="8" t="s">
        <v>35676</v>
      </c>
      <c r="G8095" s="8">
        <v>20</v>
      </c>
      <c r="H8095" s="8" t="s">
        <v>21</v>
      </c>
      <c r="I8095" s="8" t="s">
        <v>22</v>
      </c>
      <c r="J8095" s="8" t="s">
        <v>22</v>
      </c>
      <c r="K8095" s="8" t="s">
        <v>449</v>
      </c>
      <c r="L8095" s="8" t="s">
        <v>125</v>
      </c>
      <c r="M8095" s="8" t="s">
        <v>126</v>
      </c>
      <c r="N8095" s="8" t="s">
        <v>35677</v>
      </c>
      <c r="O8095" s="8">
        <f>2+42/60+4.8/3600</f>
        <v>2.7013333333333334</v>
      </c>
      <c r="P8095" s="8" t="s">
        <v>35678</v>
      </c>
      <c r="Q8095" s="8">
        <f>-(15+6/60+26/3600)</f>
        <v>-15.107222222222221</v>
      </c>
      <c r="R8095" s="8">
        <v>15.2</v>
      </c>
      <c r="S8095" s="8">
        <v>16</v>
      </c>
      <c r="T8095" s="8">
        <v>0.8</v>
      </c>
      <c r="U8095" s="8">
        <v>12.7</v>
      </c>
      <c r="V8095" s="8">
        <v>0.4</v>
      </c>
      <c r="W8095" s="8">
        <v>0.3</v>
      </c>
      <c r="X8095" s="8">
        <v>90</v>
      </c>
      <c r="Y8095" s="8" t="s">
        <v>35679</v>
      </c>
      <c r="Z8095" s="8" t="s">
        <v>35680</v>
      </c>
    </row>
    <row r="8096" spans="1:26" x14ac:dyDescent="0.2">
      <c r="A8096" s="8">
        <v>8095</v>
      </c>
      <c r="B8096" s="8" t="s">
        <v>35681</v>
      </c>
      <c r="C8096" s="8" t="s">
        <v>35681</v>
      </c>
      <c r="G8096" s="8">
        <v>20</v>
      </c>
      <c r="H8096" s="8" t="s">
        <v>21</v>
      </c>
      <c r="I8096" s="8" t="s">
        <v>22</v>
      </c>
      <c r="J8096" s="8" t="s">
        <v>22</v>
      </c>
      <c r="K8096" s="8" t="s">
        <v>85</v>
      </c>
      <c r="L8096" s="8" t="s">
        <v>3256</v>
      </c>
      <c r="M8096" s="8" t="s">
        <v>3257</v>
      </c>
      <c r="N8096" s="8" t="s">
        <v>35682</v>
      </c>
      <c r="O8096" s="8">
        <f>2+47/60+3.3/3600</f>
        <v>2.7842499999999997</v>
      </c>
      <c r="P8096" s="8" t="s">
        <v>35683</v>
      </c>
      <c r="Q8096" s="8">
        <f>+(16+17/60+20/3600)</f>
        <v>16.288888888888891</v>
      </c>
      <c r="R8096" s="8">
        <v>14.9</v>
      </c>
      <c r="S8096" s="8">
        <v>15.7</v>
      </c>
      <c r="T8096" s="8">
        <v>0.8</v>
      </c>
      <c r="U8096" s="8">
        <v>13.1</v>
      </c>
      <c r="V8096" s="8">
        <v>0.7</v>
      </c>
      <c r="W8096" s="8">
        <v>0.3</v>
      </c>
      <c r="X8096" s="8">
        <v>45</v>
      </c>
      <c r="Y8096" s="8" t="s">
        <v>35684</v>
      </c>
      <c r="Z8096" s="8" t="s">
        <v>35685</v>
      </c>
    </row>
    <row r="8097" spans="1:26" x14ac:dyDescent="0.2">
      <c r="A8097" s="8">
        <v>8096</v>
      </c>
      <c r="B8097" s="8" t="s">
        <v>35686</v>
      </c>
      <c r="C8097" s="8" t="s">
        <v>35686</v>
      </c>
      <c r="G8097" s="8">
        <v>20</v>
      </c>
      <c r="H8097" s="8" t="s">
        <v>21</v>
      </c>
      <c r="I8097" s="8" t="s">
        <v>22</v>
      </c>
      <c r="J8097" s="8" t="s">
        <v>22</v>
      </c>
      <c r="K8097" s="8" t="s">
        <v>424</v>
      </c>
      <c r="L8097" s="8" t="s">
        <v>3147</v>
      </c>
      <c r="M8097" s="8" t="s">
        <v>3148</v>
      </c>
      <c r="N8097" s="8" t="s">
        <v>35687</v>
      </c>
      <c r="O8097" s="8">
        <f>2+49/60+40.3/3600</f>
        <v>2.8278611111111109</v>
      </c>
      <c r="P8097" s="8" t="s">
        <v>35688</v>
      </c>
      <c r="Q8097" s="8">
        <f>+(46+57/60+16/3600)</f>
        <v>46.954444444444448</v>
      </c>
      <c r="R8097" s="8">
        <v>16.899999999999999</v>
      </c>
      <c r="S8097" s="8">
        <v>17.899999999999999</v>
      </c>
      <c r="T8097" s="8">
        <v>1</v>
      </c>
      <c r="U8097" s="8">
        <v>14.7</v>
      </c>
      <c r="V8097" s="8">
        <v>0.5</v>
      </c>
      <c r="W8097" s="8">
        <v>0.3</v>
      </c>
      <c r="X8097" s="8">
        <v>10</v>
      </c>
      <c r="Y8097" s="8" t="s">
        <v>35689</v>
      </c>
      <c r="Z8097" s="8" t="s">
        <v>35690</v>
      </c>
    </row>
    <row r="8098" spans="1:26" x14ac:dyDescent="0.2">
      <c r="A8098" s="8">
        <v>8097</v>
      </c>
      <c r="B8098" s="8" t="s">
        <v>35691</v>
      </c>
      <c r="C8098" s="8" t="s">
        <v>35691</v>
      </c>
      <c r="G8098" s="8">
        <v>20</v>
      </c>
      <c r="H8098" s="8" t="s">
        <v>21</v>
      </c>
      <c r="I8098" s="8" t="s">
        <v>22</v>
      </c>
      <c r="J8098" s="8" t="s">
        <v>22</v>
      </c>
      <c r="K8098" s="8" t="s">
        <v>58</v>
      </c>
      <c r="L8098" s="8" t="s">
        <v>3147</v>
      </c>
      <c r="M8098" s="8" t="s">
        <v>3148</v>
      </c>
      <c r="N8098" s="8" t="s">
        <v>35692</v>
      </c>
      <c r="O8098" s="8">
        <f>2+49/60+45.2/3600</f>
        <v>2.8292222222222221</v>
      </c>
      <c r="P8098" s="8" t="s">
        <v>35693</v>
      </c>
      <c r="Q8098" s="8">
        <f>+(46+58/60+32/3600)</f>
        <v>46.975555555555559</v>
      </c>
      <c r="R8098" s="8">
        <v>12.6</v>
      </c>
      <c r="S8098" s="8">
        <v>13.8</v>
      </c>
      <c r="T8098" s="8">
        <v>1.2</v>
      </c>
      <c r="U8098" s="8">
        <v>13.9</v>
      </c>
      <c r="V8098" s="8">
        <v>1.4</v>
      </c>
      <c r="W8098" s="8">
        <v>0.8</v>
      </c>
      <c r="X8098" s="8">
        <v>155</v>
      </c>
      <c r="Y8098" s="8" t="s">
        <v>35694</v>
      </c>
      <c r="Z8098" s="8" t="s">
        <v>35695</v>
      </c>
    </row>
    <row r="8099" spans="1:26" x14ac:dyDescent="0.2">
      <c r="A8099" s="8">
        <v>8098</v>
      </c>
      <c r="B8099" s="8" t="s">
        <v>35696</v>
      </c>
      <c r="C8099" s="8" t="s">
        <v>35696</v>
      </c>
      <c r="G8099" s="8">
        <v>20</v>
      </c>
      <c r="H8099" s="8" t="s">
        <v>21</v>
      </c>
      <c r="I8099" s="8" t="s">
        <v>22</v>
      </c>
      <c r="J8099" s="8" t="s">
        <v>22</v>
      </c>
      <c r="K8099" s="8" t="s">
        <v>435</v>
      </c>
      <c r="L8099" s="8" t="s">
        <v>3147</v>
      </c>
      <c r="M8099" s="8" t="s">
        <v>3148</v>
      </c>
      <c r="N8099" s="8" t="s">
        <v>35697</v>
      </c>
      <c r="O8099" s="8">
        <f>2+49/60+45.9/3600</f>
        <v>2.8294166666666665</v>
      </c>
      <c r="P8099" s="8" t="s">
        <v>35698</v>
      </c>
      <c r="Q8099" s="8">
        <f>+(41+3/60+7/3600)</f>
        <v>41.051944444444445</v>
      </c>
      <c r="R8099" s="8">
        <v>14.1</v>
      </c>
      <c r="S8099" s="8">
        <v>15</v>
      </c>
      <c r="T8099" s="8">
        <v>0.9</v>
      </c>
      <c r="U8099" s="8">
        <v>14.5</v>
      </c>
      <c r="V8099" s="8">
        <v>1</v>
      </c>
      <c r="W8099" s="8">
        <v>0.6</v>
      </c>
      <c r="Y8099" s="8" t="s">
        <v>35699</v>
      </c>
      <c r="Z8099" s="8" t="s">
        <v>35700</v>
      </c>
    </row>
    <row r="8100" spans="1:26" x14ac:dyDescent="0.2">
      <c r="A8100" s="8">
        <v>8099</v>
      </c>
      <c r="B8100" s="8" t="s">
        <v>35701</v>
      </c>
      <c r="C8100" s="8" t="s">
        <v>35701</v>
      </c>
      <c r="G8100" s="8">
        <v>20</v>
      </c>
      <c r="H8100" s="8" t="s">
        <v>21</v>
      </c>
      <c r="I8100" s="8" t="s">
        <v>22</v>
      </c>
      <c r="J8100" s="8" t="s">
        <v>22</v>
      </c>
      <c r="K8100" s="8" t="s">
        <v>58</v>
      </c>
      <c r="L8100" s="8" t="s">
        <v>3147</v>
      </c>
      <c r="M8100" s="8" t="s">
        <v>3148</v>
      </c>
      <c r="N8100" s="8" t="s">
        <v>35702</v>
      </c>
      <c r="O8100" s="8">
        <f>2+49/60+40.8/3600</f>
        <v>2.8279999999999998</v>
      </c>
      <c r="P8100" s="8" t="s">
        <v>35703</v>
      </c>
      <c r="Q8100" s="8">
        <f>+(41+3/60+20/3600)</f>
        <v>41.05555555555555</v>
      </c>
      <c r="R8100" s="8">
        <v>14.3</v>
      </c>
      <c r="S8100" s="8">
        <v>15.3</v>
      </c>
      <c r="T8100" s="8">
        <v>1</v>
      </c>
      <c r="U8100" s="8">
        <v>13.4</v>
      </c>
      <c r="V8100" s="8">
        <v>0.7</v>
      </c>
      <c r="W8100" s="8">
        <v>0.6</v>
      </c>
      <c r="Y8100" s="8" t="s">
        <v>35704</v>
      </c>
      <c r="Z8100" s="8" t="s">
        <v>35705</v>
      </c>
    </row>
    <row r="8101" spans="1:26" x14ac:dyDescent="0.2">
      <c r="A8101" s="8">
        <v>8100</v>
      </c>
      <c r="B8101" s="8" t="s">
        <v>35706</v>
      </c>
      <c r="C8101" s="8" t="s">
        <v>35706</v>
      </c>
      <c r="G8101" s="8">
        <v>20</v>
      </c>
      <c r="H8101" s="8" t="s">
        <v>21</v>
      </c>
      <c r="I8101" s="8" t="s">
        <v>22</v>
      </c>
      <c r="J8101" s="8" t="s">
        <v>22</v>
      </c>
      <c r="K8101" s="8" t="s">
        <v>382</v>
      </c>
      <c r="L8101" s="8" t="s">
        <v>3147</v>
      </c>
      <c r="M8101" s="8" t="s">
        <v>3148</v>
      </c>
      <c r="N8101" s="8" t="s">
        <v>35707</v>
      </c>
      <c r="O8101" s="8">
        <f>2+51/60+0.9/3600</f>
        <v>2.85025</v>
      </c>
      <c r="P8101" s="8" t="s">
        <v>35708</v>
      </c>
      <c r="Q8101" s="8">
        <f>+(46+57/60+18/3600)</f>
        <v>46.955000000000005</v>
      </c>
      <c r="R8101" s="8">
        <v>13.2</v>
      </c>
      <c r="S8101" s="8">
        <v>14.2</v>
      </c>
      <c r="T8101" s="8">
        <v>1</v>
      </c>
      <c r="U8101" s="8">
        <v>12.9</v>
      </c>
      <c r="V8101" s="8">
        <v>1</v>
      </c>
      <c r="W8101" s="8">
        <v>0.7</v>
      </c>
      <c r="X8101" s="8">
        <v>175</v>
      </c>
      <c r="Y8101" s="8" t="s">
        <v>35709</v>
      </c>
      <c r="Z8101" s="8" t="s">
        <v>35710</v>
      </c>
    </row>
    <row r="8102" spans="1:26" x14ac:dyDescent="0.2">
      <c r="A8102" s="8">
        <v>8101</v>
      </c>
      <c r="B8102" s="8" t="s">
        <v>35711</v>
      </c>
      <c r="C8102" s="8" t="s">
        <v>35711</v>
      </c>
      <c r="G8102" s="8">
        <v>20</v>
      </c>
      <c r="H8102" s="8" t="s">
        <v>21</v>
      </c>
      <c r="I8102" s="8" t="s">
        <v>22</v>
      </c>
      <c r="J8102" s="8" t="s">
        <v>57</v>
      </c>
      <c r="K8102" s="8" t="s">
        <v>58</v>
      </c>
      <c r="L8102" s="8" t="s">
        <v>3328</v>
      </c>
      <c r="M8102" s="8" t="s">
        <v>3329</v>
      </c>
      <c r="N8102" s="8" t="s">
        <v>5271</v>
      </c>
      <c r="O8102" s="8">
        <f>2+49/60+4/3600</f>
        <v>2.8177777777777777</v>
      </c>
      <c r="P8102" s="8" t="s">
        <v>5272</v>
      </c>
      <c r="Q8102" s="8">
        <f>-(14+28/60+13/3600)</f>
        <v>-14.470277777777778</v>
      </c>
      <c r="R8102" s="8">
        <v>13.6</v>
      </c>
      <c r="S8102" s="8">
        <v>14.6</v>
      </c>
      <c r="T8102" s="8">
        <v>1</v>
      </c>
      <c r="U8102" s="8">
        <v>13.7</v>
      </c>
      <c r="V8102" s="8">
        <v>1.3</v>
      </c>
      <c r="W8102" s="8">
        <v>0.8</v>
      </c>
      <c r="X8102" s="8">
        <v>40</v>
      </c>
      <c r="Y8102" s="8" t="s">
        <v>3753</v>
      </c>
      <c r="Z8102" s="8" t="s">
        <v>3754</v>
      </c>
    </row>
    <row r="8103" spans="1:26" x14ac:dyDescent="0.2">
      <c r="A8103" s="8">
        <v>8102</v>
      </c>
      <c r="B8103" s="8" t="s">
        <v>35712</v>
      </c>
      <c r="C8103" s="8" t="s">
        <v>35712</v>
      </c>
      <c r="G8103" s="8">
        <v>20</v>
      </c>
      <c r="H8103" s="8" t="s">
        <v>21</v>
      </c>
      <c r="I8103" s="8" t="s">
        <v>22</v>
      </c>
      <c r="J8103" s="8" t="s">
        <v>22</v>
      </c>
      <c r="K8103" s="8" t="s">
        <v>224</v>
      </c>
      <c r="L8103" s="8" t="s">
        <v>3147</v>
      </c>
      <c r="M8103" s="8" t="s">
        <v>3148</v>
      </c>
      <c r="N8103" s="8" t="s">
        <v>35713</v>
      </c>
      <c r="O8103" s="8">
        <f>2+51/60+43.2/3600</f>
        <v>2.8620000000000001</v>
      </c>
      <c r="P8103" s="8" t="s">
        <v>35714</v>
      </c>
      <c r="Q8103" s="8">
        <f>+(42+49/60+42/3600)</f>
        <v>42.828333333333333</v>
      </c>
      <c r="R8103" s="8">
        <v>13.2</v>
      </c>
      <c r="S8103" s="8">
        <v>14.2</v>
      </c>
      <c r="T8103" s="8">
        <v>1</v>
      </c>
      <c r="U8103" s="8">
        <v>13.9</v>
      </c>
      <c r="V8103" s="8">
        <v>1.6</v>
      </c>
      <c r="W8103" s="8">
        <v>1.4</v>
      </c>
      <c r="X8103" s="8">
        <v>62</v>
      </c>
      <c r="Y8103" s="8" t="s">
        <v>35715</v>
      </c>
      <c r="Z8103" s="8" t="s">
        <v>35716</v>
      </c>
    </row>
    <row r="8104" spans="1:26" x14ac:dyDescent="0.2">
      <c r="A8104" s="8">
        <v>8103</v>
      </c>
      <c r="B8104" s="8" t="s">
        <v>35717</v>
      </c>
      <c r="C8104" s="8" t="s">
        <v>35717</v>
      </c>
      <c r="G8104" s="8">
        <v>20</v>
      </c>
      <c r="H8104" s="8" t="s">
        <v>21</v>
      </c>
      <c r="I8104" s="8" t="s">
        <v>22</v>
      </c>
      <c r="J8104" s="8" t="s">
        <v>22</v>
      </c>
      <c r="K8104" s="8" t="s">
        <v>476</v>
      </c>
      <c r="L8104" s="8" t="s">
        <v>125</v>
      </c>
      <c r="M8104" s="8" t="s">
        <v>126</v>
      </c>
      <c r="N8104" s="8" t="s">
        <v>35718</v>
      </c>
      <c r="O8104" s="8">
        <f>2+49/60+39.9/3600</f>
        <v>2.8277499999999995</v>
      </c>
      <c r="P8104" s="8" t="s">
        <v>35719</v>
      </c>
      <c r="Q8104" s="8">
        <f>-(0+4/60+11/3600)</f>
        <v>-6.9722222222222227E-2</v>
      </c>
      <c r="R8104" s="8">
        <v>14.1</v>
      </c>
      <c r="S8104" s="8">
        <v>14.9</v>
      </c>
      <c r="T8104" s="8">
        <v>0.8</v>
      </c>
      <c r="U8104" s="8">
        <v>12.4</v>
      </c>
      <c r="V8104" s="8">
        <v>0.6</v>
      </c>
      <c r="W8104" s="8">
        <v>0.4</v>
      </c>
      <c r="Y8104" s="8" t="s">
        <v>35720</v>
      </c>
      <c r="Z8104" s="8" t="s">
        <v>35721</v>
      </c>
    </row>
    <row r="8105" spans="1:26" x14ac:dyDescent="0.2">
      <c r="A8105" s="8">
        <v>8104</v>
      </c>
      <c r="B8105" s="8" t="s">
        <v>35722</v>
      </c>
      <c r="C8105" s="8" t="s">
        <v>35722</v>
      </c>
      <c r="G8105" s="8">
        <v>20</v>
      </c>
      <c r="H8105" s="8" t="s">
        <v>21</v>
      </c>
      <c r="I8105" s="8" t="s">
        <v>22</v>
      </c>
      <c r="J8105" s="8" t="s">
        <v>22</v>
      </c>
      <c r="K8105" s="8" t="s">
        <v>382</v>
      </c>
      <c r="L8105" s="8" t="s">
        <v>125</v>
      </c>
      <c r="M8105" s="8" t="s">
        <v>126</v>
      </c>
      <c r="N8105" s="8" t="s">
        <v>35723</v>
      </c>
      <c r="O8105" s="8">
        <f>2+48/60+47.7/3600</f>
        <v>2.81325</v>
      </c>
      <c r="P8105" s="8" t="s">
        <v>33875</v>
      </c>
      <c r="Q8105" s="8">
        <f>-(0+6/60+31/3600)</f>
        <v>-0.10861111111111112</v>
      </c>
      <c r="R8105" s="8">
        <v>14.7</v>
      </c>
      <c r="S8105" s="8">
        <v>15.7</v>
      </c>
      <c r="T8105" s="8">
        <v>1</v>
      </c>
      <c r="U8105" s="8">
        <v>12.5</v>
      </c>
      <c r="V8105" s="8">
        <v>0.4</v>
      </c>
      <c r="W8105" s="8">
        <v>0.3</v>
      </c>
      <c r="X8105" s="8">
        <v>40</v>
      </c>
      <c r="Y8105" s="8" t="s">
        <v>35724</v>
      </c>
      <c r="Z8105" s="8" t="s">
        <v>35725</v>
      </c>
    </row>
    <row r="8106" spans="1:26" x14ac:dyDescent="0.2">
      <c r="A8106" s="8">
        <v>8105</v>
      </c>
      <c r="B8106" s="8" t="s">
        <v>35726</v>
      </c>
      <c r="C8106" s="8" t="s">
        <v>35726</v>
      </c>
      <c r="G8106" s="8">
        <v>20</v>
      </c>
      <c r="H8106" s="8" t="s">
        <v>21</v>
      </c>
      <c r="I8106" s="8" t="s">
        <v>22</v>
      </c>
      <c r="J8106" s="8" t="s">
        <v>22</v>
      </c>
      <c r="K8106" s="8" t="s">
        <v>460</v>
      </c>
      <c r="L8106" s="8" t="s">
        <v>3147</v>
      </c>
      <c r="M8106" s="8" t="s">
        <v>3148</v>
      </c>
      <c r="N8106" s="8" t="s">
        <v>35727</v>
      </c>
      <c r="O8106" s="8">
        <f>2+54/60+43.9/3600</f>
        <v>2.9121944444444443</v>
      </c>
      <c r="P8106" s="8" t="s">
        <v>35728</v>
      </c>
      <c r="Q8106" s="8">
        <f>+(41+39/60+21/3600)</f>
        <v>41.655833333333334</v>
      </c>
      <c r="R8106" s="8">
        <v>14.6</v>
      </c>
      <c r="S8106" s="8">
        <v>15.6</v>
      </c>
      <c r="T8106" s="8">
        <v>1</v>
      </c>
      <c r="U8106" s="8">
        <v>13.9</v>
      </c>
      <c r="V8106" s="8">
        <v>0.7</v>
      </c>
      <c r="W8106" s="8">
        <v>0.7</v>
      </c>
      <c r="Y8106" s="8" t="s">
        <v>27966</v>
      </c>
      <c r="Z8106" s="8" t="s">
        <v>26987</v>
      </c>
    </row>
    <row r="8107" spans="1:26" x14ac:dyDescent="0.2">
      <c r="A8107" s="8">
        <v>8106</v>
      </c>
      <c r="B8107" s="8" t="s">
        <v>35729</v>
      </c>
      <c r="C8107" s="8" t="s">
        <v>35729</v>
      </c>
      <c r="G8107" s="8">
        <v>20</v>
      </c>
      <c r="H8107" s="8" t="s">
        <v>21</v>
      </c>
      <c r="I8107" s="8" t="s">
        <v>22</v>
      </c>
      <c r="J8107" s="8" t="s">
        <v>22</v>
      </c>
      <c r="K8107" s="8" t="s">
        <v>449</v>
      </c>
      <c r="L8107" s="8" t="s">
        <v>3147</v>
      </c>
      <c r="M8107" s="8" t="s">
        <v>3148</v>
      </c>
      <c r="N8107" s="8" t="s">
        <v>35730</v>
      </c>
      <c r="O8107" s="8">
        <f>2+55/60+4.7/3600</f>
        <v>2.9179722222222222</v>
      </c>
      <c r="P8107" s="8" t="s">
        <v>35731</v>
      </c>
      <c r="Q8107" s="8">
        <f>+(42+15/60+50/3600)</f>
        <v>42.263888888888886</v>
      </c>
      <c r="R8107" s="8">
        <v>14.8</v>
      </c>
      <c r="S8107" s="8">
        <v>15.6</v>
      </c>
      <c r="T8107" s="8">
        <v>0.8</v>
      </c>
      <c r="U8107" s="8">
        <v>13.3</v>
      </c>
      <c r="V8107" s="8">
        <v>0.7</v>
      </c>
      <c r="W8107" s="8">
        <v>0.4</v>
      </c>
      <c r="X8107" s="8">
        <v>126</v>
      </c>
      <c r="Y8107" s="8" t="s">
        <v>1829</v>
      </c>
      <c r="Z8107" s="8" t="s">
        <v>1830</v>
      </c>
    </row>
    <row r="8108" spans="1:26" x14ac:dyDescent="0.2">
      <c r="A8108" s="8">
        <v>8107</v>
      </c>
      <c r="B8108" s="8" t="s">
        <v>35732</v>
      </c>
      <c r="C8108" s="8" t="s">
        <v>35732</v>
      </c>
      <c r="G8108" s="8">
        <v>20</v>
      </c>
      <c r="H8108" s="8" t="s">
        <v>21</v>
      </c>
      <c r="I8108" s="8" t="s">
        <v>22</v>
      </c>
      <c r="J8108" s="8" t="s">
        <v>22</v>
      </c>
      <c r="K8108" s="8" t="s">
        <v>218</v>
      </c>
      <c r="L8108" s="8" t="s">
        <v>3256</v>
      </c>
      <c r="M8108" s="8" t="s">
        <v>3257</v>
      </c>
      <c r="N8108" s="8" t="s">
        <v>35733</v>
      </c>
      <c r="O8108" s="8">
        <f>2+53/60+50.1/3600</f>
        <v>2.8972500000000001</v>
      </c>
      <c r="P8108" s="8" t="s">
        <v>35734</v>
      </c>
      <c r="Q8108" s="8">
        <f>+(12+50/60+57/3600)</f>
        <v>12.849166666666667</v>
      </c>
      <c r="R8108" s="8">
        <v>13</v>
      </c>
      <c r="S8108" s="8">
        <v>13.9</v>
      </c>
      <c r="T8108" s="8">
        <v>0.9</v>
      </c>
      <c r="U8108" s="8">
        <v>14.1</v>
      </c>
      <c r="V8108" s="8">
        <v>1.6</v>
      </c>
      <c r="W8108" s="8">
        <v>0.7</v>
      </c>
      <c r="X8108" s="8">
        <v>156</v>
      </c>
      <c r="Y8108" s="8" t="s">
        <v>35735</v>
      </c>
      <c r="Z8108" s="8" t="s">
        <v>35736</v>
      </c>
    </row>
    <row r="8109" spans="1:26" x14ac:dyDescent="0.2">
      <c r="A8109" s="8">
        <v>8108</v>
      </c>
      <c r="B8109" s="8" t="s">
        <v>35737</v>
      </c>
      <c r="C8109" s="8" t="s">
        <v>35737</v>
      </c>
      <c r="G8109" s="8">
        <v>20</v>
      </c>
      <c r="H8109" s="8" t="s">
        <v>21</v>
      </c>
      <c r="I8109" s="8" t="s">
        <v>22</v>
      </c>
      <c r="J8109" s="8" t="s">
        <v>22</v>
      </c>
      <c r="K8109" s="8" t="s">
        <v>1445</v>
      </c>
      <c r="L8109" s="8" t="s">
        <v>3328</v>
      </c>
      <c r="M8109" s="8" t="s">
        <v>3329</v>
      </c>
      <c r="N8109" s="8" t="s">
        <v>35738</v>
      </c>
      <c r="O8109" s="8">
        <f>2+55/60+26.9/3600</f>
        <v>2.9241388888888888</v>
      </c>
      <c r="P8109" s="8" t="s">
        <v>35739</v>
      </c>
      <c r="Q8109" s="8">
        <f>-(14+6/60+12/3600)</f>
        <v>-14.103333333333333</v>
      </c>
      <c r="R8109" s="8">
        <v>14.6</v>
      </c>
      <c r="S8109" s="8">
        <v>15.4</v>
      </c>
      <c r="T8109" s="8">
        <v>0.8</v>
      </c>
      <c r="U8109" s="8">
        <v>13.9</v>
      </c>
      <c r="V8109" s="8">
        <v>1</v>
      </c>
      <c r="W8109" s="8">
        <v>0.6</v>
      </c>
      <c r="X8109" s="8">
        <v>72</v>
      </c>
      <c r="Y8109" s="8" t="s">
        <v>35740</v>
      </c>
      <c r="Z8109" s="8" t="s">
        <v>35741</v>
      </c>
    </row>
    <row r="8110" spans="1:26" x14ac:dyDescent="0.2">
      <c r="A8110" s="8">
        <v>8109</v>
      </c>
      <c r="B8110" s="8" t="s">
        <v>35742</v>
      </c>
      <c r="C8110" s="8" t="s">
        <v>35742</v>
      </c>
      <c r="G8110" s="8">
        <v>20</v>
      </c>
      <c r="H8110" s="8" t="s">
        <v>21</v>
      </c>
      <c r="I8110" s="8" t="s">
        <v>22</v>
      </c>
      <c r="J8110" s="8" t="s">
        <v>22</v>
      </c>
      <c r="K8110" s="8" t="s">
        <v>449</v>
      </c>
      <c r="L8110" s="8" t="s">
        <v>3328</v>
      </c>
      <c r="M8110" s="8" t="s">
        <v>3329</v>
      </c>
      <c r="N8110" s="8" t="s">
        <v>35743</v>
      </c>
      <c r="O8110" s="8">
        <f>2+55/60+26.4/3600</f>
        <v>2.9239999999999999</v>
      </c>
      <c r="P8110" s="8" t="s">
        <v>35744</v>
      </c>
      <c r="Q8110" s="8">
        <f>-(14+3/60+59/3600)</f>
        <v>-14.066388888888889</v>
      </c>
      <c r="R8110" s="8">
        <v>14.4</v>
      </c>
      <c r="S8110" s="8">
        <v>15.2</v>
      </c>
      <c r="T8110" s="8">
        <v>0.8</v>
      </c>
      <c r="U8110" s="8">
        <v>13.4</v>
      </c>
      <c r="V8110" s="8">
        <v>1.1000000000000001</v>
      </c>
      <c r="W8110" s="8">
        <v>0.2</v>
      </c>
      <c r="X8110" s="8">
        <v>126</v>
      </c>
      <c r="Y8110" s="8" t="s">
        <v>35401</v>
      </c>
      <c r="Z8110" s="8" t="s">
        <v>35402</v>
      </c>
    </row>
    <row r="8111" spans="1:26" x14ac:dyDescent="0.2">
      <c r="A8111" s="8">
        <v>8110</v>
      </c>
      <c r="B8111" s="8" t="s">
        <v>35745</v>
      </c>
      <c r="C8111" s="8" t="s">
        <v>35745</v>
      </c>
      <c r="G8111" s="8">
        <v>20</v>
      </c>
      <c r="H8111" s="8" t="s">
        <v>21</v>
      </c>
      <c r="I8111" s="8" t="s">
        <v>22</v>
      </c>
      <c r="J8111" s="8" t="s">
        <v>22</v>
      </c>
      <c r="K8111" s="8" t="s">
        <v>58</v>
      </c>
      <c r="L8111" s="8" t="s">
        <v>3328</v>
      </c>
      <c r="M8111" s="8" t="s">
        <v>3329</v>
      </c>
      <c r="N8111" s="8" t="s">
        <v>35746</v>
      </c>
      <c r="O8111" s="8">
        <f>2+55/60+44.1/3600</f>
        <v>2.9289166666666664</v>
      </c>
      <c r="P8111" s="8" t="s">
        <v>35747</v>
      </c>
      <c r="Q8111" s="8">
        <f>-(14+12/60+27/3600)</f>
        <v>-14.2075</v>
      </c>
      <c r="R8111" s="8">
        <v>12.9</v>
      </c>
      <c r="S8111" s="8">
        <v>13.9</v>
      </c>
      <c r="T8111" s="8">
        <v>1</v>
      </c>
      <c r="U8111" s="8">
        <v>14</v>
      </c>
      <c r="V8111" s="8">
        <v>1.7</v>
      </c>
      <c r="W8111" s="8">
        <v>1.5</v>
      </c>
      <c r="X8111" s="8">
        <v>90</v>
      </c>
      <c r="Y8111" s="8" t="s">
        <v>12996</v>
      </c>
      <c r="Z8111" s="8" t="s">
        <v>12997</v>
      </c>
    </row>
    <row r="8112" spans="1:26" x14ac:dyDescent="0.2">
      <c r="A8112" s="8">
        <v>8111</v>
      </c>
      <c r="B8112" s="8" t="s">
        <v>35748</v>
      </c>
      <c r="C8112" s="8" t="s">
        <v>35748</v>
      </c>
      <c r="G8112" s="8">
        <v>20</v>
      </c>
      <c r="H8112" s="8" t="s">
        <v>21</v>
      </c>
      <c r="I8112" s="8" t="s">
        <v>22</v>
      </c>
      <c r="J8112" s="8" t="s">
        <v>22</v>
      </c>
      <c r="K8112" s="8" t="s">
        <v>449</v>
      </c>
      <c r="L8112" s="8" t="s">
        <v>3328</v>
      </c>
      <c r="M8112" s="8" t="s">
        <v>3329</v>
      </c>
      <c r="N8112" s="8" t="s">
        <v>35749</v>
      </c>
      <c r="O8112" s="8">
        <f>2+55/60+59.4/3600</f>
        <v>2.9331666666666667</v>
      </c>
      <c r="P8112" s="8" t="s">
        <v>35750</v>
      </c>
      <c r="Q8112" s="8">
        <f>-(12+0/60+30/3600)</f>
        <v>-12.008333333333333</v>
      </c>
      <c r="R8112" s="8">
        <v>13.8</v>
      </c>
      <c r="S8112" s="8">
        <v>14.6</v>
      </c>
      <c r="T8112" s="8">
        <v>0.8</v>
      </c>
      <c r="U8112" s="8">
        <v>13</v>
      </c>
      <c r="V8112" s="8">
        <v>0.9</v>
      </c>
      <c r="W8112" s="8">
        <v>0.6</v>
      </c>
      <c r="X8112" s="8">
        <v>120</v>
      </c>
      <c r="Y8112" s="8" t="s">
        <v>170</v>
      </c>
      <c r="Z8112" s="8" t="s">
        <v>171</v>
      </c>
    </row>
    <row r="8113" spans="1:26" x14ac:dyDescent="0.2">
      <c r="A8113" s="8">
        <v>8112</v>
      </c>
      <c r="B8113" s="8" t="s">
        <v>35751</v>
      </c>
      <c r="C8113" s="8" t="s">
        <v>35751</v>
      </c>
      <c r="G8113" s="8">
        <v>20</v>
      </c>
      <c r="H8113" s="8" t="s">
        <v>21</v>
      </c>
      <c r="I8113" s="8" t="s">
        <v>22</v>
      </c>
      <c r="J8113" s="8" t="s">
        <v>22</v>
      </c>
      <c r="K8113" s="8" t="s">
        <v>160</v>
      </c>
      <c r="L8113" s="8" t="s">
        <v>3328</v>
      </c>
      <c r="M8113" s="8" t="s">
        <v>3329</v>
      </c>
      <c r="N8113" s="8" t="s">
        <v>35752</v>
      </c>
      <c r="O8113" s="8">
        <f>2+56/60+6.3/3600</f>
        <v>2.9350833333333335</v>
      </c>
      <c r="P8113" s="8" t="s">
        <v>35753</v>
      </c>
      <c r="Q8113" s="8">
        <f>-(14+11/60+13/3600)</f>
        <v>-14.186944444444444</v>
      </c>
      <c r="R8113" s="8">
        <v>14.1</v>
      </c>
      <c r="S8113" s="8">
        <v>14.8</v>
      </c>
      <c r="T8113" s="8">
        <v>0.7</v>
      </c>
      <c r="U8113" s="8">
        <v>13.6</v>
      </c>
      <c r="V8113" s="8">
        <v>1</v>
      </c>
      <c r="W8113" s="8">
        <v>0.7</v>
      </c>
      <c r="X8113" s="8">
        <v>171</v>
      </c>
      <c r="Y8113" s="8" t="s">
        <v>5139</v>
      </c>
      <c r="Z8113" s="8" t="s">
        <v>5140</v>
      </c>
    </row>
    <row r="8114" spans="1:26" x14ac:dyDescent="0.2">
      <c r="A8114" s="8">
        <v>8113</v>
      </c>
      <c r="B8114" s="8" t="s">
        <v>35754</v>
      </c>
      <c r="C8114" s="8" t="s">
        <v>35754</v>
      </c>
      <c r="G8114" s="8">
        <v>20</v>
      </c>
      <c r="H8114" s="8" t="s">
        <v>21</v>
      </c>
      <c r="I8114" s="8" t="s">
        <v>22</v>
      </c>
      <c r="J8114" s="8" t="s">
        <v>22</v>
      </c>
      <c r="K8114" s="8" t="s">
        <v>435</v>
      </c>
      <c r="L8114" s="8" t="s">
        <v>125</v>
      </c>
      <c r="M8114" s="8" t="s">
        <v>126</v>
      </c>
      <c r="N8114" s="8" t="s">
        <v>35755</v>
      </c>
      <c r="O8114" s="8">
        <f>2+57/60+10.7/3600</f>
        <v>2.9529722222222223</v>
      </c>
      <c r="P8114" s="8" t="s">
        <v>35756</v>
      </c>
      <c r="Q8114" s="8">
        <f>+(2+46/60+34/3600)</f>
        <v>2.7761111111111112</v>
      </c>
      <c r="R8114" s="8">
        <v>13.4</v>
      </c>
      <c r="S8114" s="8">
        <v>14.3</v>
      </c>
      <c r="T8114" s="8">
        <v>0.9</v>
      </c>
      <c r="U8114" s="8">
        <v>12.9</v>
      </c>
      <c r="V8114" s="8">
        <v>1.5</v>
      </c>
      <c r="W8114" s="8">
        <v>0.5</v>
      </c>
      <c r="X8114" s="8">
        <v>31</v>
      </c>
      <c r="Y8114" s="8" t="s">
        <v>35757</v>
      </c>
      <c r="Z8114" s="8" t="s">
        <v>35758</v>
      </c>
    </row>
    <row r="8115" spans="1:26" x14ac:dyDescent="0.2">
      <c r="A8115" s="8">
        <v>8114</v>
      </c>
      <c r="B8115" s="8" t="s">
        <v>35759</v>
      </c>
      <c r="C8115" s="8" t="s">
        <v>35759</v>
      </c>
      <c r="G8115" s="8">
        <v>20</v>
      </c>
      <c r="H8115" s="8" t="s">
        <v>21</v>
      </c>
      <c r="I8115" s="8" t="s">
        <v>329</v>
      </c>
      <c r="J8115" s="8" t="s">
        <v>329</v>
      </c>
      <c r="K8115" s="8" t="s">
        <v>329</v>
      </c>
      <c r="L8115" s="8" t="s">
        <v>3147</v>
      </c>
      <c r="M8115" s="8" t="s">
        <v>3148</v>
      </c>
      <c r="N8115" s="8" t="s">
        <v>35760</v>
      </c>
      <c r="O8115" s="8">
        <f>3+0/60+6/3600</f>
        <v>3.0016666666666665</v>
      </c>
      <c r="P8115" s="8" t="s">
        <v>35761</v>
      </c>
      <c r="Q8115" s="8">
        <f>+(44+13/60+0/3600)</f>
        <v>44.216666666666669</v>
      </c>
      <c r="R8115" s="8">
        <v>99</v>
      </c>
      <c r="S8115" s="8">
        <v>99</v>
      </c>
      <c r="T8115" s="8">
        <v>99</v>
      </c>
      <c r="U8115" s="8">
        <v>99</v>
      </c>
      <c r="Y8115" s="8" t="s">
        <v>3161</v>
      </c>
      <c r="Z8115" s="8" t="s">
        <v>3162</v>
      </c>
    </row>
    <row r="8116" spans="1:26" x14ac:dyDescent="0.2">
      <c r="A8116" s="8">
        <v>8115</v>
      </c>
      <c r="B8116" s="8" t="s">
        <v>35762</v>
      </c>
      <c r="C8116" s="8" t="s">
        <v>35762</v>
      </c>
      <c r="E8116" s="8">
        <v>3</v>
      </c>
      <c r="G8116" s="8">
        <v>20</v>
      </c>
      <c r="H8116" s="8" t="s">
        <v>21</v>
      </c>
      <c r="I8116" s="8" t="s">
        <v>22</v>
      </c>
      <c r="J8116" s="8" t="s">
        <v>22</v>
      </c>
      <c r="K8116" s="8" t="s">
        <v>424</v>
      </c>
      <c r="L8116" s="8" t="s">
        <v>3147</v>
      </c>
      <c r="M8116" s="8" t="s">
        <v>3148</v>
      </c>
      <c r="N8116" s="8" t="s">
        <v>35763</v>
      </c>
      <c r="O8116" s="8">
        <f>3+0/60+58.6/3600</f>
        <v>3.0162777777777778</v>
      </c>
      <c r="P8116" s="8" t="s">
        <v>35764</v>
      </c>
      <c r="Q8116" s="8">
        <f>+(44+21/60+2/3600)</f>
        <v>44.350555555555559</v>
      </c>
      <c r="R8116" s="8">
        <v>15.6</v>
      </c>
      <c r="S8116" s="8">
        <v>16.600000000000001</v>
      </c>
      <c r="T8116" s="8">
        <v>1</v>
      </c>
      <c r="U8116" s="8">
        <v>12</v>
      </c>
      <c r="V8116" s="8">
        <v>0.2</v>
      </c>
      <c r="W8116" s="8">
        <v>0.2</v>
      </c>
      <c r="Y8116" s="8" t="s">
        <v>25492</v>
      </c>
      <c r="Z8116" s="8" t="s">
        <v>25493</v>
      </c>
    </row>
    <row r="8117" spans="1:26" x14ac:dyDescent="0.2">
      <c r="A8117" s="8">
        <v>8116</v>
      </c>
      <c r="B8117" s="8" t="s">
        <v>35765</v>
      </c>
      <c r="C8117" s="8" t="s">
        <v>35765</v>
      </c>
      <c r="G8117" s="8">
        <v>20</v>
      </c>
      <c r="H8117" s="8" t="s">
        <v>21</v>
      </c>
      <c r="I8117" s="8" t="s">
        <v>22</v>
      </c>
      <c r="J8117" s="8" t="s">
        <v>22</v>
      </c>
      <c r="K8117" s="8" t="s">
        <v>37</v>
      </c>
      <c r="L8117" s="8" t="s">
        <v>3328</v>
      </c>
      <c r="M8117" s="8" t="s">
        <v>3329</v>
      </c>
      <c r="N8117" s="8" t="s">
        <v>35766</v>
      </c>
      <c r="O8117" s="8">
        <f>2+58/60+41/3600</f>
        <v>2.9780555555555557</v>
      </c>
      <c r="P8117" s="8" t="s">
        <v>35767</v>
      </c>
      <c r="Q8117" s="8">
        <f>-(15+42/60+12/3600)</f>
        <v>-15.703333333333333</v>
      </c>
      <c r="R8117" s="8">
        <v>13.1</v>
      </c>
      <c r="S8117" s="8">
        <v>14.1</v>
      </c>
      <c r="T8117" s="8">
        <v>1</v>
      </c>
      <c r="U8117" s="8">
        <v>13</v>
      </c>
      <c r="V8117" s="8">
        <v>2</v>
      </c>
      <c r="W8117" s="8">
        <v>0.5</v>
      </c>
      <c r="X8117" s="8">
        <v>60</v>
      </c>
      <c r="Y8117" s="8" t="s">
        <v>25989</v>
      </c>
      <c r="Z8117" s="8" t="s">
        <v>25990</v>
      </c>
    </row>
    <row r="8118" spans="1:26" x14ac:dyDescent="0.2">
      <c r="A8118" s="8">
        <v>8117</v>
      </c>
      <c r="B8118" s="8" t="s">
        <v>35768</v>
      </c>
      <c r="C8118" s="8" t="s">
        <v>35768</v>
      </c>
      <c r="G8118" s="8">
        <v>20</v>
      </c>
      <c r="H8118" s="8" t="s">
        <v>21</v>
      </c>
      <c r="I8118" s="8" t="s">
        <v>22</v>
      </c>
      <c r="J8118" s="8" t="s">
        <v>22</v>
      </c>
      <c r="K8118" s="8" t="s">
        <v>85</v>
      </c>
      <c r="L8118" s="8" t="s">
        <v>125</v>
      </c>
      <c r="M8118" s="8" t="s">
        <v>126</v>
      </c>
      <c r="N8118" s="8" t="s">
        <v>35769</v>
      </c>
      <c r="O8118" s="8">
        <f>2+59/60+50.5/3600</f>
        <v>2.9973611111111111</v>
      </c>
      <c r="P8118" s="8" t="s">
        <v>35770</v>
      </c>
      <c r="Q8118" s="8">
        <f>+(2+46/60+16/3600)</f>
        <v>2.7711111111111109</v>
      </c>
      <c r="R8118" s="8">
        <v>13.1</v>
      </c>
      <c r="S8118" s="8">
        <v>13.9</v>
      </c>
      <c r="T8118" s="8">
        <v>0.8</v>
      </c>
      <c r="U8118" s="8">
        <v>13.1</v>
      </c>
      <c r="V8118" s="8">
        <v>1.3</v>
      </c>
      <c r="W8118" s="8">
        <v>0.9</v>
      </c>
      <c r="X8118" s="8">
        <v>33</v>
      </c>
      <c r="Y8118" s="8" t="s">
        <v>35771</v>
      </c>
      <c r="Z8118" s="8" t="s">
        <v>35772</v>
      </c>
    </row>
    <row r="8119" spans="1:26" x14ac:dyDescent="0.2">
      <c r="A8119" s="8">
        <v>8118</v>
      </c>
      <c r="B8119" s="8" t="s">
        <v>35773</v>
      </c>
      <c r="C8119" s="8" t="s">
        <v>35773</v>
      </c>
      <c r="G8119" s="8">
        <v>20</v>
      </c>
      <c r="H8119" s="8" t="s">
        <v>21</v>
      </c>
      <c r="I8119" s="8" t="s">
        <v>22</v>
      </c>
      <c r="J8119" s="8" t="s">
        <v>22</v>
      </c>
      <c r="K8119" s="8" t="s">
        <v>460</v>
      </c>
      <c r="L8119" s="8" t="s">
        <v>3147</v>
      </c>
      <c r="M8119" s="8" t="s">
        <v>3148</v>
      </c>
      <c r="N8119" s="8" t="s">
        <v>35774</v>
      </c>
      <c r="O8119" s="8">
        <f>3+1/60+30.4/3600</f>
        <v>3.0251111111111109</v>
      </c>
      <c r="P8119" s="8" t="s">
        <v>35775</v>
      </c>
      <c r="Q8119" s="8">
        <f>+(37+45/60+59/3600)</f>
        <v>37.766388888888891</v>
      </c>
      <c r="R8119" s="8">
        <v>13.2</v>
      </c>
      <c r="S8119" s="8">
        <v>14.2</v>
      </c>
      <c r="T8119" s="8">
        <v>1</v>
      </c>
      <c r="U8119" s="8">
        <v>13.4</v>
      </c>
      <c r="V8119" s="8">
        <v>1.1000000000000001</v>
      </c>
      <c r="W8119" s="8">
        <v>1.1000000000000001</v>
      </c>
      <c r="Y8119" s="8" t="s">
        <v>35776</v>
      </c>
      <c r="Z8119" s="8" t="s">
        <v>35777</v>
      </c>
    </row>
    <row r="8120" spans="1:26" x14ac:dyDescent="0.2">
      <c r="A8120" s="8">
        <v>8119</v>
      </c>
      <c r="B8120" s="8" t="s">
        <v>35778</v>
      </c>
      <c r="C8120" s="8" t="s">
        <v>35778</v>
      </c>
      <c r="G8120" s="8">
        <v>20</v>
      </c>
      <c r="H8120" s="8" t="s">
        <v>21</v>
      </c>
      <c r="I8120" s="8" t="s">
        <v>22</v>
      </c>
      <c r="J8120" s="8" t="s">
        <v>22</v>
      </c>
      <c r="K8120" s="8" t="s">
        <v>160</v>
      </c>
      <c r="L8120" s="8" t="s">
        <v>3256</v>
      </c>
      <c r="M8120" s="8" t="s">
        <v>3257</v>
      </c>
      <c r="N8120" s="8" t="s">
        <v>35779</v>
      </c>
      <c r="O8120" s="8">
        <f>3+1/60+12.2/3600</f>
        <v>3.0200555555555555</v>
      </c>
      <c r="P8120" s="8" t="s">
        <v>35780</v>
      </c>
      <c r="Q8120" s="8">
        <f>+(16+12/60+33/3600)</f>
        <v>16.209166666666665</v>
      </c>
      <c r="R8120" s="8">
        <v>14.5</v>
      </c>
      <c r="S8120" s="8">
        <v>15.2</v>
      </c>
      <c r="T8120" s="8">
        <v>0.7</v>
      </c>
      <c r="U8120" s="8">
        <v>12</v>
      </c>
      <c r="V8120" s="8">
        <v>0.4</v>
      </c>
      <c r="W8120" s="8">
        <v>0.3</v>
      </c>
      <c r="X8120" s="8">
        <v>0</v>
      </c>
      <c r="Y8120" s="8" t="s">
        <v>35781</v>
      </c>
      <c r="Z8120" s="8" t="s">
        <v>35782</v>
      </c>
    </row>
    <row r="8121" spans="1:26" x14ac:dyDescent="0.2">
      <c r="A8121" s="8">
        <v>8120</v>
      </c>
      <c r="B8121" s="8" t="s">
        <v>35783</v>
      </c>
      <c r="C8121" s="8" t="s">
        <v>35783</v>
      </c>
      <c r="G8121" s="8">
        <v>20</v>
      </c>
      <c r="H8121" s="8" t="s">
        <v>21</v>
      </c>
      <c r="I8121" s="8" t="s">
        <v>72</v>
      </c>
      <c r="J8121" s="8" t="s">
        <v>72</v>
      </c>
      <c r="K8121" s="8" t="s">
        <v>1405</v>
      </c>
      <c r="L8121" s="8" t="s">
        <v>3147</v>
      </c>
      <c r="M8121" s="8" t="s">
        <v>3148</v>
      </c>
      <c r="N8121" s="8" t="s">
        <v>35784</v>
      </c>
      <c r="O8121" s="8">
        <f>3+3/60+3/3600</f>
        <v>3.0508333333333333</v>
      </c>
      <c r="P8121" s="8" t="s">
        <v>35785</v>
      </c>
      <c r="Q8121" s="8">
        <f>+(42+21/60+32/3600)</f>
        <v>42.358888888888892</v>
      </c>
      <c r="R8121" s="8">
        <v>99</v>
      </c>
      <c r="S8121" s="8">
        <v>99</v>
      </c>
      <c r="T8121" s="8">
        <v>99</v>
      </c>
      <c r="U8121" s="8">
        <v>99</v>
      </c>
      <c r="Y8121" s="8" t="s">
        <v>4170</v>
      </c>
      <c r="Z8121" s="8" t="s">
        <v>4171</v>
      </c>
    </row>
    <row r="8122" spans="1:26" x14ac:dyDescent="0.2">
      <c r="A8122" s="8">
        <v>8121</v>
      </c>
      <c r="B8122" s="8" t="s">
        <v>35786</v>
      </c>
      <c r="C8122" s="8" t="s">
        <v>35786</v>
      </c>
      <c r="G8122" s="8">
        <v>20</v>
      </c>
      <c r="H8122" s="8" t="s">
        <v>21</v>
      </c>
      <c r="I8122" s="8" t="s">
        <v>22</v>
      </c>
      <c r="J8122" s="8" t="s">
        <v>57</v>
      </c>
      <c r="K8122" s="8" t="s">
        <v>449</v>
      </c>
      <c r="L8122" s="8" t="s">
        <v>3147</v>
      </c>
      <c r="M8122" s="8" t="s">
        <v>3148</v>
      </c>
      <c r="N8122" s="8" t="s">
        <v>5524</v>
      </c>
      <c r="O8122" s="8">
        <f>3+4/60+37.2/3600</f>
        <v>3.0770000000000004</v>
      </c>
      <c r="P8122" s="8" t="s">
        <v>5525</v>
      </c>
      <c r="Q8122" s="8">
        <f>+(42+21/60+46/3600)</f>
        <v>42.362777777777779</v>
      </c>
      <c r="R8122" s="8">
        <v>14.6</v>
      </c>
      <c r="S8122" s="8">
        <v>15.4</v>
      </c>
      <c r="T8122" s="8">
        <v>0.8</v>
      </c>
      <c r="U8122" s="8">
        <v>12.5</v>
      </c>
      <c r="V8122" s="8">
        <v>0.4</v>
      </c>
      <c r="W8122" s="8">
        <v>0.4</v>
      </c>
      <c r="Y8122" s="8" t="s">
        <v>35787</v>
      </c>
      <c r="Z8122" s="8" t="s">
        <v>35788</v>
      </c>
    </row>
    <row r="8123" spans="1:26" x14ac:dyDescent="0.2">
      <c r="A8123" s="8">
        <v>8122</v>
      </c>
      <c r="B8123" s="8" t="s">
        <v>35789</v>
      </c>
      <c r="C8123" s="8" t="s">
        <v>35789</v>
      </c>
      <c r="G8123" s="8">
        <v>20</v>
      </c>
      <c r="H8123" s="8" t="s">
        <v>21</v>
      </c>
      <c r="I8123" s="8" t="s">
        <v>22</v>
      </c>
      <c r="J8123" s="8" t="s">
        <v>57</v>
      </c>
      <c r="K8123" s="8" t="s">
        <v>58</v>
      </c>
      <c r="L8123" s="8" t="s">
        <v>3147</v>
      </c>
      <c r="M8123" s="8" t="s">
        <v>3148</v>
      </c>
      <c r="N8123" s="8" t="s">
        <v>5612</v>
      </c>
      <c r="O8123" s="8">
        <f>3+6/60+13.3/3600</f>
        <v>3.1036944444444448</v>
      </c>
      <c r="P8123" s="8" t="s">
        <v>5613</v>
      </c>
      <c r="Q8123" s="8">
        <f>+(41+50/60+56/3600)</f>
        <v>41.848888888888894</v>
      </c>
      <c r="R8123" s="8">
        <v>12.5</v>
      </c>
      <c r="S8123" s="8">
        <v>13.5</v>
      </c>
      <c r="T8123" s="8">
        <v>1</v>
      </c>
      <c r="U8123" s="8">
        <v>12.5</v>
      </c>
      <c r="V8123" s="8">
        <v>1.4</v>
      </c>
      <c r="W8123" s="8">
        <v>0.8</v>
      </c>
      <c r="X8123" s="8">
        <v>120</v>
      </c>
      <c r="Y8123" s="8" t="s">
        <v>35790</v>
      </c>
      <c r="Z8123" s="8" t="s">
        <v>35791</v>
      </c>
    </row>
    <row r="8124" spans="1:26" x14ac:dyDescent="0.2">
      <c r="A8124" s="8">
        <v>8123</v>
      </c>
      <c r="B8124" s="8" t="s">
        <v>35792</v>
      </c>
      <c r="C8124" s="8" t="s">
        <v>35792</v>
      </c>
      <c r="G8124" s="8">
        <v>20</v>
      </c>
      <c r="H8124" s="8" t="s">
        <v>21</v>
      </c>
      <c r="I8124" s="8" t="s">
        <v>22</v>
      </c>
      <c r="J8124" s="8" t="s">
        <v>22</v>
      </c>
      <c r="K8124" s="8" t="s">
        <v>476</v>
      </c>
      <c r="L8124" s="8" t="s">
        <v>125</v>
      </c>
      <c r="M8124" s="8" t="s">
        <v>126</v>
      </c>
      <c r="N8124" s="8" t="s">
        <v>35793</v>
      </c>
      <c r="O8124" s="8">
        <f>3+3/60+50.5/3600</f>
        <v>3.0640277777777776</v>
      </c>
      <c r="P8124" s="8" t="s">
        <v>35794</v>
      </c>
      <c r="Q8124" s="8">
        <f>-(0+12/60+16/3600)</f>
        <v>-0.20444444444444446</v>
      </c>
      <c r="R8124" s="8">
        <v>14.9</v>
      </c>
      <c r="S8124" s="8">
        <v>15.8</v>
      </c>
      <c r="T8124" s="8">
        <v>0.9</v>
      </c>
      <c r="U8124" s="8">
        <v>13.4</v>
      </c>
      <c r="V8124" s="8">
        <v>0.7</v>
      </c>
      <c r="W8124" s="8">
        <v>0.4</v>
      </c>
      <c r="X8124" s="8">
        <v>20</v>
      </c>
      <c r="Y8124" s="8" t="s">
        <v>35795</v>
      </c>
      <c r="Z8124" s="8" t="s">
        <v>35796</v>
      </c>
    </row>
    <row r="8125" spans="1:26" x14ac:dyDescent="0.2">
      <c r="A8125" s="8">
        <v>8124</v>
      </c>
      <c r="B8125" s="8" t="s">
        <v>35797</v>
      </c>
      <c r="C8125" s="8" t="s">
        <v>35797</v>
      </c>
      <c r="G8125" s="8">
        <v>20</v>
      </c>
      <c r="H8125" s="8" t="s">
        <v>21</v>
      </c>
      <c r="I8125" s="8" t="s">
        <v>22</v>
      </c>
      <c r="J8125" s="8" t="s">
        <v>22</v>
      </c>
      <c r="K8125" s="8" t="s">
        <v>3523</v>
      </c>
      <c r="L8125" s="8" t="s">
        <v>3147</v>
      </c>
      <c r="M8125" s="8" t="s">
        <v>3148</v>
      </c>
      <c r="N8125" s="8" t="s">
        <v>35798</v>
      </c>
      <c r="O8125" s="8">
        <f>3+6/60+9.9/3600</f>
        <v>3.1027499999999999</v>
      </c>
      <c r="P8125" s="8" t="s">
        <v>35799</v>
      </c>
      <c r="Q8125" s="8">
        <f>+(42+22/60+18/3600)</f>
        <v>42.37166666666667</v>
      </c>
      <c r="R8125" s="8">
        <v>11.5</v>
      </c>
      <c r="S8125" s="8">
        <v>12.5</v>
      </c>
      <c r="T8125" s="8">
        <v>1</v>
      </c>
      <c r="U8125" s="8">
        <v>13.7</v>
      </c>
      <c r="V8125" s="8">
        <v>3.8</v>
      </c>
      <c r="W8125" s="8">
        <v>1.2</v>
      </c>
      <c r="X8125" s="8">
        <v>13</v>
      </c>
      <c r="Y8125" s="8" t="s">
        <v>35800</v>
      </c>
      <c r="Z8125" s="8" t="s">
        <v>35801</v>
      </c>
    </row>
    <row r="8126" spans="1:26" x14ac:dyDescent="0.2">
      <c r="A8126" s="8">
        <v>8125</v>
      </c>
      <c r="B8126" s="8" t="s">
        <v>35802</v>
      </c>
      <c r="C8126" s="8" t="s">
        <v>35802</v>
      </c>
      <c r="G8126" s="8">
        <v>20</v>
      </c>
      <c r="H8126" s="8" t="s">
        <v>21</v>
      </c>
      <c r="I8126" s="8" t="s">
        <v>22</v>
      </c>
      <c r="J8126" s="8" t="s">
        <v>22</v>
      </c>
      <c r="K8126" s="8" t="s">
        <v>31</v>
      </c>
      <c r="L8126" s="8" t="s">
        <v>3328</v>
      </c>
      <c r="M8126" s="8" t="s">
        <v>3329</v>
      </c>
      <c r="N8126" s="8" t="s">
        <v>35803</v>
      </c>
      <c r="O8126" s="8">
        <f>3+4/60+6.2/3600</f>
        <v>3.0683888888888893</v>
      </c>
      <c r="P8126" s="8" t="s">
        <v>35804</v>
      </c>
      <c r="Q8126" s="8">
        <f>-(12+0/60+54/3600)</f>
        <v>-12.015000000000001</v>
      </c>
      <c r="R8126" s="8">
        <v>14.2</v>
      </c>
      <c r="S8126" s="8">
        <v>15</v>
      </c>
      <c r="T8126" s="8">
        <v>0.8</v>
      </c>
      <c r="U8126" s="8">
        <v>12.9</v>
      </c>
      <c r="V8126" s="8">
        <v>1.1000000000000001</v>
      </c>
      <c r="W8126" s="8">
        <v>0.2</v>
      </c>
      <c r="X8126" s="8">
        <v>117</v>
      </c>
      <c r="Y8126" s="8" t="s">
        <v>35805</v>
      </c>
      <c r="Z8126" s="8" t="s">
        <v>35806</v>
      </c>
    </row>
    <row r="8127" spans="1:26" x14ac:dyDescent="0.2">
      <c r="A8127" s="8">
        <v>8126</v>
      </c>
      <c r="B8127" s="8" t="s">
        <v>35807</v>
      </c>
      <c r="C8127" s="8" t="s">
        <v>35807</v>
      </c>
      <c r="G8127" s="8">
        <v>20</v>
      </c>
      <c r="H8127" s="8" t="s">
        <v>21</v>
      </c>
      <c r="I8127" s="8" t="s">
        <v>329</v>
      </c>
      <c r="J8127" s="8" t="s">
        <v>329</v>
      </c>
      <c r="K8127" s="8" t="s">
        <v>329</v>
      </c>
      <c r="L8127" s="8" t="s">
        <v>3328</v>
      </c>
      <c r="M8127" s="8" t="s">
        <v>3329</v>
      </c>
      <c r="N8127" s="8" t="s">
        <v>35808</v>
      </c>
      <c r="O8127" s="8">
        <f>3+4/60+47.4/3600</f>
        <v>3.0798333333333336</v>
      </c>
      <c r="P8127" s="8" t="s">
        <v>35809</v>
      </c>
      <c r="Q8127" s="8">
        <f>-(6+29/60+7/3600)</f>
        <v>-6.4852777777777781</v>
      </c>
      <c r="R8127" s="8">
        <v>99</v>
      </c>
      <c r="S8127" s="8">
        <v>99</v>
      </c>
      <c r="T8127" s="8">
        <v>99</v>
      </c>
      <c r="U8127" s="8">
        <v>99</v>
      </c>
      <c r="Y8127" s="8" t="s">
        <v>297</v>
      </c>
      <c r="Z8127" s="8" t="s">
        <v>298</v>
      </c>
    </row>
    <row r="8128" spans="1:26" x14ac:dyDescent="0.2">
      <c r="A8128" s="8">
        <v>8127</v>
      </c>
      <c r="B8128" s="8" t="s">
        <v>35810</v>
      </c>
      <c r="C8128" s="8" t="s">
        <v>35810</v>
      </c>
      <c r="G8128" s="8">
        <v>20</v>
      </c>
      <c r="H8128" s="8" t="s">
        <v>21</v>
      </c>
      <c r="I8128" s="8" t="s">
        <v>22</v>
      </c>
      <c r="J8128" s="8" t="s">
        <v>22</v>
      </c>
      <c r="K8128" s="8" t="s">
        <v>449</v>
      </c>
      <c r="L8128" s="8" t="s">
        <v>3328</v>
      </c>
      <c r="M8128" s="8" t="s">
        <v>3329</v>
      </c>
      <c r="N8128" s="8" t="s">
        <v>35811</v>
      </c>
      <c r="O8128" s="8">
        <f>3+4/60+57.8/3600</f>
        <v>3.0827222222222224</v>
      </c>
      <c r="P8128" s="8" t="s">
        <v>35812</v>
      </c>
      <c r="Q8128" s="8">
        <f>-(12+4/60+12/3600)</f>
        <v>-12.07</v>
      </c>
      <c r="R8128" s="8">
        <v>14.7</v>
      </c>
      <c r="S8128" s="8">
        <v>15.5</v>
      </c>
      <c r="T8128" s="8">
        <v>0.8</v>
      </c>
      <c r="U8128" s="8">
        <v>13.3</v>
      </c>
      <c r="V8128" s="8">
        <v>0.8</v>
      </c>
      <c r="W8128" s="8">
        <v>0.4</v>
      </c>
      <c r="X8128" s="8">
        <v>10</v>
      </c>
      <c r="Y8128" s="8" t="s">
        <v>5926</v>
      </c>
      <c r="Z8128" s="8" t="s">
        <v>23179</v>
      </c>
    </row>
    <row r="8129" spans="1:26" x14ac:dyDescent="0.2">
      <c r="A8129" s="8">
        <v>8128</v>
      </c>
      <c r="B8129" s="8" t="s">
        <v>35813</v>
      </c>
      <c r="C8129" s="8" t="s">
        <v>35813</v>
      </c>
      <c r="G8129" s="8">
        <v>20</v>
      </c>
      <c r="H8129" s="8" t="s">
        <v>21</v>
      </c>
      <c r="I8129" s="8" t="s">
        <v>22</v>
      </c>
      <c r="J8129" s="8" t="s">
        <v>22</v>
      </c>
      <c r="K8129" s="8" t="s">
        <v>476</v>
      </c>
      <c r="L8129" s="8" t="s">
        <v>3147</v>
      </c>
      <c r="M8129" s="8" t="s">
        <v>3148</v>
      </c>
      <c r="N8129" s="8" t="s">
        <v>35814</v>
      </c>
      <c r="O8129" s="8">
        <f>3+7/60+32.8/3600</f>
        <v>3.125777777777778</v>
      </c>
      <c r="P8129" s="8" t="s">
        <v>35815</v>
      </c>
      <c r="Q8129" s="8">
        <f>+(42+23/60+16/3600)</f>
        <v>42.387777777777778</v>
      </c>
      <c r="R8129" s="8">
        <v>14.2</v>
      </c>
      <c r="S8129" s="8">
        <v>15.1</v>
      </c>
      <c r="T8129" s="8">
        <v>0.9</v>
      </c>
      <c r="U8129" s="8">
        <v>12.7</v>
      </c>
      <c r="V8129" s="8">
        <v>1</v>
      </c>
      <c r="W8129" s="8">
        <v>0.3</v>
      </c>
      <c r="X8129" s="8">
        <v>42</v>
      </c>
      <c r="Y8129" s="8" t="s">
        <v>35816</v>
      </c>
      <c r="Z8129" s="8" t="s">
        <v>35817</v>
      </c>
    </row>
    <row r="8130" spans="1:26" x14ac:dyDescent="0.2">
      <c r="A8130" s="8">
        <v>8129</v>
      </c>
      <c r="B8130" s="8" t="s">
        <v>35818</v>
      </c>
      <c r="C8130" s="8" t="s">
        <v>35818</v>
      </c>
      <c r="G8130" s="8">
        <v>5</v>
      </c>
      <c r="H8130" s="8" t="s">
        <v>21</v>
      </c>
      <c r="I8130" s="8" t="s">
        <v>241</v>
      </c>
      <c r="J8130" s="8" t="s">
        <v>241</v>
      </c>
      <c r="K8130" s="8" t="s">
        <v>241</v>
      </c>
      <c r="L8130" s="8" t="s">
        <v>559</v>
      </c>
      <c r="M8130" s="8" t="s">
        <v>560</v>
      </c>
      <c r="N8130" s="8" t="s">
        <v>35819</v>
      </c>
      <c r="O8130" s="8">
        <f>3+10/60+19.2/3600</f>
        <v>3.1719999999999997</v>
      </c>
      <c r="P8130" s="8" t="s">
        <v>35820</v>
      </c>
      <c r="Q8130" s="8">
        <f>+(61+19/60+3/3600)</f>
        <v>61.317500000000003</v>
      </c>
      <c r="R8130" s="8">
        <v>13.2</v>
      </c>
      <c r="S8130" s="8">
        <v>12.3</v>
      </c>
      <c r="T8130" s="8">
        <v>99</v>
      </c>
      <c r="U8130" s="8">
        <v>99</v>
      </c>
      <c r="V8130" s="8">
        <v>0.8</v>
      </c>
      <c r="Y8130" s="8" t="s">
        <v>35821</v>
      </c>
      <c r="Z8130" s="8" t="s">
        <v>35822</v>
      </c>
    </row>
    <row r="8131" spans="1:26" x14ac:dyDescent="0.2">
      <c r="A8131" s="8">
        <v>8130</v>
      </c>
      <c r="B8131" s="8" t="s">
        <v>35823</v>
      </c>
      <c r="C8131" s="8" t="s">
        <v>35823</v>
      </c>
      <c r="G8131" s="8">
        <v>20</v>
      </c>
      <c r="H8131" s="8" t="s">
        <v>21</v>
      </c>
      <c r="I8131" s="8" t="s">
        <v>22</v>
      </c>
      <c r="J8131" s="8" t="s">
        <v>22</v>
      </c>
      <c r="K8131" s="8" t="s">
        <v>23</v>
      </c>
      <c r="L8131" s="8" t="s">
        <v>3147</v>
      </c>
      <c r="M8131" s="8" t="s">
        <v>3148</v>
      </c>
      <c r="N8131" s="8" t="s">
        <v>35824</v>
      </c>
      <c r="O8131" s="8">
        <f>3+9/60+42.8/3600</f>
        <v>3.161888888888889</v>
      </c>
      <c r="P8131" s="8" t="s">
        <v>35825</v>
      </c>
      <c r="Q8131" s="8">
        <f>+(40+58/60+30/3600)</f>
        <v>40.975000000000001</v>
      </c>
      <c r="R8131" s="8">
        <v>14.8</v>
      </c>
      <c r="S8131" s="8">
        <v>15.6</v>
      </c>
      <c r="T8131" s="8">
        <v>0.8</v>
      </c>
      <c r="U8131" s="8">
        <v>13</v>
      </c>
      <c r="V8131" s="8">
        <v>1.1000000000000001</v>
      </c>
      <c r="W8131" s="8">
        <v>0.2</v>
      </c>
      <c r="X8131" s="8">
        <v>131</v>
      </c>
      <c r="Y8131" s="8" t="s">
        <v>7509</v>
      </c>
      <c r="Z8131" s="8" t="s">
        <v>3537</v>
      </c>
    </row>
    <row r="8132" spans="1:26" x14ac:dyDescent="0.2">
      <c r="A8132" s="8">
        <v>8131</v>
      </c>
      <c r="B8132" s="8" t="s">
        <v>35826</v>
      </c>
      <c r="C8132" s="8" t="s">
        <v>35826</v>
      </c>
      <c r="G8132" s="8">
        <v>20</v>
      </c>
      <c r="H8132" s="8" t="s">
        <v>21</v>
      </c>
      <c r="I8132" s="8" t="s">
        <v>22</v>
      </c>
      <c r="J8132" s="8" t="s">
        <v>22</v>
      </c>
      <c r="K8132" s="8" t="s">
        <v>632</v>
      </c>
      <c r="L8132" s="8" t="s">
        <v>3328</v>
      </c>
      <c r="M8132" s="8" t="s">
        <v>3329</v>
      </c>
      <c r="N8132" s="8" t="s">
        <v>35827</v>
      </c>
      <c r="O8132" s="8">
        <f>3+7/60+26.6/3600</f>
        <v>3.1240555555555556</v>
      </c>
      <c r="P8132" s="8" t="s">
        <v>35828</v>
      </c>
      <c r="Q8132" s="8">
        <f>-(12+35/60+13/3600)</f>
        <v>-12.586944444444445</v>
      </c>
      <c r="R8132" s="8">
        <v>13.7</v>
      </c>
      <c r="S8132" s="8">
        <v>14.6</v>
      </c>
      <c r="T8132" s="8">
        <v>0.9</v>
      </c>
      <c r="U8132" s="8">
        <v>13.6</v>
      </c>
      <c r="V8132" s="8">
        <v>1.4</v>
      </c>
      <c r="W8132" s="8">
        <v>0.7</v>
      </c>
      <c r="X8132" s="8">
        <v>90</v>
      </c>
      <c r="Y8132" s="8" t="s">
        <v>2641</v>
      </c>
      <c r="Z8132" s="8" t="s">
        <v>2642</v>
      </c>
    </row>
    <row r="8133" spans="1:26" x14ac:dyDescent="0.2">
      <c r="A8133" s="8">
        <v>8132</v>
      </c>
      <c r="B8133" s="8" t="s">
        <v>35829</v>
      </c>
      <c r="C8133" s="8" t="s">
        <v>35829</v>
      </c>
      <c r="G8133" s="8">
        <v>20</v>
      </c>
      <c r="H8133" s="8" t="s">
        <v>21</v>
      </c>
      <c r="I8133" s="8" t="s">
        <v>22</v>
      </c>
      <c r="J8133" s="8" t="s">
        <v>22</v>
      </c>
      <c r="K8133" s="8" t="s">
        <v>3523</v>
      </c>
      <c r="L8133" s="8" t="s">
        <v>3147</v>
      </c>
      <c r="M8133" s="8" t="s">
        <v>3148</v>
      </c>
      <c r="N8133" s="8" t="s">
        <v>35830</v>
      </c>
      <c r="O8133" s="8">
        <f>3+10/60+12.9/3600</f>
        <v>3.1702499999999998</v>
      </c>
      <c r="P8133" s="8" t="s">
        <v>35831</v>
      </c>
      <c r="Q8133" s="8">
        <f>+(40+45/60+57/3600)</f>
        <v>40.765833333333333</v>
      </c>
      <c r="R8133" s="8">
        <v>13.5</v>
      </c>
      <c r="S8133" s="8">
        <v>14.2</v>
      </c>
      <c r="T8133" s="8">
        <v>0.7</v>
      </c>
      <c r="U8133" s="8">
        <v>13.1</v>
      </c>
      <c r="V8133" s="8">
        <v>1.2</v>
      </c>
      <c r="W8133" s="8">
        <v>0.7</v>
      </c>
      <c r="X8133" s="8">
        <v>75</v>
      </c>
      <c r="Y8133" s="8" t="s">
        <v>35832</v>
      </c>
      <c r="Z8133" s="8" t="s">
        <v>35833</v>
      </c>
    </row>
    <row r="8134" spans="1:26" x14ac:dyDescent="0.2">
      <c r="A8134" s="8">
        <v>8133</v>
      </c>
      <c r="B8134" s="8" t="s">
        <v>35834</v>
      </c>
      <c r="C8134" s="8" t="s">
        <v>35834</v>
      </c>
      <c r="G8134" s="8">
        <v>20</v>
      </c>
      <c r="H8134" s="8" t="s">
        <v>21</v>
      </c>
      <c r="I8134" s="8" t="s">
        <v>22</v>
      </c>
      <c r="J8134" s="8" t="s">
        <v>22</v>
      </c>
      <c r="K8134" s="8" t="s">
        <v>58</v>
      </c>
      <c r="L8134" s="8" t="s">
        <v>3147</v>
      </c>
      <c r="M8134" s="8" t="s">
        <v>3148</v>
      </c>
      <c r="N8134" s="8" t="s">
        <v>35835</v>
      </c>
      <c r="O8134" s="8">
        <f>3+10/60+56.1/3600</f>
        <v>3.1822499999999998</v>
      </c>
      <c r="P8134" s="8" t="s">
        <v>35836</v>
      </c>
      <c r="Q8134" s="8">
        <f>+(41+8/60+16/3600)</f>
        <v>41.137777777777778</v>
      </c>
      <c r="R8134" s="8">
        <v>14.3</v>
      </c>
      <c r="S8134" s="8">
        <v>15.3</v>
      </c>
      <c r="T8134" s="8">
        <v>1</v>
      </c>
      <c r="U8134" s="8">
        <v>12.8</v>
      </c>
      <c r="V8134" s="8">
        <v>0.6</v>
      </c>
      <c r="W8134" s="8">
        <v>0.4</v>
      </c>
      <c r="X8134" s="8">
        <v>90</v>
      </c>
      <c r="Y8134" s="8" t="s">
        <v>227</v>
      </c>
      <c r="Z8134" s="8" t="s">
        <v>228</v>
      </c>
    </row>
    <row r="8135" spans="1:26" x14ac:dyDescent="0.2">
      <c r="A8135" s="8">
        <v>8134</v>
      </c>
      <c r="B8135" s="8" t="s">
        <v>35837</v>
      </c>
      <c r="C8135" s="8" t="s">
        <v>35837</v>
      </c>
      <c r="G8135" s="8">
        <v>20</v>
      </c>
      <c r="H8135" s="8" t="s">
        <v>21</v>
      </c>
      <c r="I8135" s="8" t="s">
        <v>22</v>
      </c>
      <c r="J8135" s="8" t="s">
        <v>22</v>
      </c>
      <c r="K8135" s="8" t="s">
        <v>435</v>
      </c>
      <c r="L8135" s="8" t="s">
        <v>3147</v>
      </c>
      <c r="M8135" s="8" t="s">
        <v>3148</v>
      </c>
      <c r="N8135" s="8" t="s">
        <v>35838</v>
      </c>
      <c r="O8135" s="8">
        <f>3+11/60+3.1/3600</f>
        <v>3.1841944444444441</v>
      </c>
      <c r="P8135" s="8" t="s">
        <v>35839</v>
      </c>
      <c r="Q8135" s="8">
        <f>+(40+37/60+18/3600)</f>
        <v>40.62166666666667</v>
      </c>
      <c r="R8135" s="8">
        <v>13.9</v>
      </c>
      <c r="S8135" s="8">
        <v>14.8</v>
      </c>
      <c r="T8135" s="8">
        <v>0.9</v>
      </c>
      <c r="U8135" s="8">
        <v>15</v>
      </c>
      <c r="V8135" s="8">
        <v>2.1</v>
      </c>
      <c r="W8135" s="8">
        <v>1.5</v>
      </c>
      <c r="X8135" s="8">
        <v>123</v>
      </c>
      <c r="Y8135" s="8" t="s">
        <v>880</v>
      </c>
      <c r="Z8135" s="8" t="s">
        <v>35840</v>
      </c>
    </row>
    <row r="8136" spans="1:26" x14ac:dyDescent="0.2">
      <c r="A8136" s="8">
        <v>8135</v>
      </c>
      <c r="B8136" s="8" t="s">
        <v>35841</v>
      </c>
      <c r="C8136" s="8" t="s">
        <v>35841</v>
      </c>
      <c r="G8136" s="8">
        <v>20</v>
      </c>
      <c r="H8136" s="8" t="s">
        <v>21</v>
      </c>
      <c r="I8136" s="8" t="s">
        <v>22</v>
      </c>
      <c r="J8136" s="8" t="s">
        <v>22</v>
      </c>
      <c r="K8136" s="8" t="s">
        <v>435</v>
      </c>
      <c r="L8136" s="8" t="s">
        <v>3147</v>
      </c>
      <c r="M8136" s="8" t="s">
        <v>3148</v>
      </c>
      <c r="N8136" s="8" t="s">
        <v>35838</v>
      </c>
      <c r="O8136" s="8">
        <f>3+11/60+3.1/3600</f>
        <v>3.1841944444444441</v>
      </c>
      <c r="P8136" s="8" t="s">
        <v>35839</v>
      </c>
      <c r="Q8136" s="8">
        <f>+(40+37/60+18/3600)</f>
        <v>40.62166666666667</v>
      </c>
      <c r="R8136" s="8">
        <v>13.9</v>
      </c>
      <c r="S8136" s="8">
        <v>14.8</v>
      </c>
      <c r="T8136" s="8">
        <v>0.9</v>
      </c>
      <c r="U8136" s="8">
        <v>15</v>
      </c>
      <c r="V8136" s="8">
        <v>2.1</v>
      </c>
      <c r="W8136" s="8">
        <v>1.5</v>
      </c>
      <c r="X8136" s="8">
        <v>123</v>
      </c>
      <c r="Y8136" s="8" t="s">
        <v>880</v>
      </c>
      <c r="Z8136" s="8" t="s">
        <v>4171</v>
      </c>
    </row>
    <row r="8137" spans="1:26" x14ac:dyDescent="0.2">
      <c r="A8137" s="8">
        <v>8136</v>
      </c>
      <c r="B8137" s="8" t="s">
        <v>35842</v>
      </c>
      <c r="C8137" s="8" t="s">
        <v>35842</v>
      </c>
      <c r="G8137" s="8">
        <v>20</v>
      </c>
      <c r="H8137" s="8" t="s">
        <v>21</v>
      </c>
      <c r="I8137" s="8" t="s">
        <v>22</v>
      </c>
      <c r="J8137" s="8" t="s">
        <v>57</v>
      </c>
      <c r="K8137" s="8" t="s">
        <v>435</v>
      </c>
      <c r="L8137" s="8" t="s">
        <v>3147</v>
      </c>
      <c r="M8137" s="8" t="s">
        <v>3148</v>
      </c>
      <c r="N8137" s="8" t="s">
        <v>35838</v>
      </c>
      <c r="O8137" s="8">
        <f>3+11/60+3.1/3600</f>
        <v>3.1841944444444441</v>
      </c>
      <c r="P8137" s="8" t="s">
        <v>35839</v>
      </c>
      <c r="Q8137" s="8">
        <f>+(40+37/60+18/3600)</f>
        <v>40.62166666666667</v>
      </c>
      <c r="R8137" s="8">
        <v>13.9</v>
      </c>
      <c r="S8137" s="8">
        <v>14.8</v>
      </c>
      <c r="T8137" s="8">
        <v>0.9</v>
      </c>
      <c r="U8137" s="8">
        <v>15</v>
      </c>
      <c r="V8137" s="8">
        <v>2.1</v>
      </c>
      <c r="W8137" s="8">
        <v>1.5</v>
      </c>
      <c r="X8137" s="8">
        <v>123</v>
      </c>
      <c r="Y8137" s="8" t="s">
        <v>880</v>
      </c>
      <c r="Z8137" s="8" t="s">
        <v>35843</v>
      </c>
    </row>
    <row r="8138" spans="1:26" x14ac:dyDescent="0.2">
      <c r="A8138" s="8">
        <v>8137</v>
      </c>
      <c r="B8138" s="8" t="s">
        <v>35844</v>
      </c>
      <c r="C8138" s="8" t="s">
        <v>35844</v>
      </c>
      <c r="G8138" s="8">
        <v>20</v>
      </c>
      <c r="H8138" s="8" t="s">
        <v>21</v>
      </c>
      <c r="I8138" s="8" t="s">
        <v>72</v>
      </c>
      <c r="J8138" s="8" t="s">
        <v>72</v>
      </c>
      <c r="K8138" s="8" t="s">
        <v>73</v>
      </c>
      <c r="L8138" s="8" t="s">
        <v>3147</v>
      </c>
      <c r="M8138" s="8" t="s">
        <v>3148</v>
      </c>
      <c r="N8138" s="8" t="s">
        <v>35845</v>
      </c>
      <c r="O8138" s="8">
        <f>3+13/60+18.4/3600</f>
        <v>3.2217777777777781</v>
      </c>
      <c r="P8138" s="8" t="s">
        <v>35846</v>
      </c>
      <c r="Q8138" s="8">
        <f>+(42+8/60+55/3600)</f>
        <v>42.148611111111109</v>
      </c>
      <c r="R8138" s="8">
        <v>99</v>
      </c>
      <c r="S8138" s="8">
        <v>99</v>
      </c>
      <c r="T8138" s="8">
        <v>99</v>
      </c>
      <c r="U8138" s="8">
        <v>99</v>
      </c>
      <c r="Y8138" s="8" t="s">
        <v>35847</v>
      </c>
      <c r="Z8138" s="8" t="s">
        <v>35848</v>
      </c>
    </row>
    <row r="8139" spans="1:26" x14ac:dyDescent="0.2">
      <c r="A8139" s="8">
        <v>8138</v>
      </c>
      <c r="B8139" s="8" t="s">
        <v>35849</v>
      </c>
      <c r="C8139" s="8" t="s">
        <v>35849</v>
      </c>
      <c r="G8139" s="8">
        <v>20</v>
      </c>
      <c r="H8139" s="8" t="s">
        <v>21</v>
      </c>
      <c r="I8139" s="8" t="s">
        <v>22</v>
      </c>
      <c r="J8139" s="8" t="s">
        <v>22</v>
      </c>
      <c r="K8139" s="8" t="s">
        <v>21539</v>
      </c>
      <c r="L8139" s="8" t="s">
        <v>125</v>
      </c>
      <c r="M8139" s="8" t="s">
        <v>126</v>
      </c>
      <c r="N8139" s="8" t="s">
        <v>35850</v>
      </c>
      <c r="O8139" s="8">
        <f>3+11/60+18.3/3600</f>
        <v>3.1884166666666665</v>
      </c>
      <c r="P8139" s="8" t="s">
        <v>35851</v>
      </c>
      <c r="Q8139" s="8">
        <f>+(1+18/60+57/3600)</f>
        <v>1.3158333333333334</v>
      </c>
      <c r="R8139" s="8">
        <v>14.6</v>
      </c>
      <c r="S8139" s="8">
        <v>15.6</v>
      </c>
      <c r="T8139" s="8">
        <v>1</v>
      </c>
      <c r="U8139" s="8">
        <v>13.4</v>
      </c>
      <c r="V8139" s="8">
        <v>0.8</v>
      </c>
      <c r="W8139" s="8">
        <v>0.7</v>
      </c>
      <c r="X8139" s="8">
        <v>126</v>
      </c>
      <c r="Y8139" s="8" t="s">
        <v>35852</v>
      </c>
      <c r="Z8139" s="8" t="s">
        <v>35853</v>
      </c>
    </row>
    <row r="8140" spans="1:26" x14ac:dyDescent="0.2">
      <c r="A8140" s="8">
        <v>8139</v>
      </c>
      <c r="B8140" s="8" t="s">
        <v>35854</v>
      </c>
      <c r="C8140" s="8" t="s">
        <v>35854</v>
      </c>
      <c r="G8140" s="8">
        <v>20</v>
      </c>
      <c r="H8140" s="8" t="s">
        <v>21</v>
      </c>
      <c r="I8140" s="8" t="s">
        <v>22</v>
      </c>
      <c r="J8140" s="8" t="s">
        <v>22</v>
      </c>
      <c r="K8140" s="8" t="s">
        <v>460</v>
      </c>
      <c r="L8140" s="8" t="s">
        <v>3328</v>
      </c>
      <c r="M8140" s="8" t="s">
        <v>3329</v>
      </c>
      <c r="N8140" s="8" t="s">
        <v>35855</v>
      </c>
      <c r="O8140" s="8">
        <f>3+11/60+2.5/3600</f>
        <v>3.1840277777777777</v>
      </c>
      <c r="P8140" s="8" t="s">
        <v>35856</v>
      </c>
      <c r="Q8140" s="8">
        <f>-(13+6/60+33/3600)</f>
        <v>-13.109166666666667</v>
      </c>
      <c r="R8140" s="8">
        <v>14.8</v>
      </c>
      <c r="S8140" s="8">
        <v>15.8</v>
      </c>
      <c r="T8140" s="8">
        <v>1</v>
      </c>
      <c r="U8140" s="8">
        <v>12.9</v>
      </c>
      <c r="V8140" s="8">
        <v>0.4</v>
      </c>
      <c r="W8140" s="8">
        <v>0.4</v>
      </c>
      <c r="Y8140" s="8" t="s">
        <v>3357</v>
      </c>
      <c r="Z8140" s="8" t="s">
        <v>3358</v>
      </c>
    </row>
    <row r="8141" spans="1:26" x14ac:dyDescent="0.2">
      <c r="A8141" s="8">
        <v>8140</v>
      </c>
      <c r="B8141" s="8" t="s">
        <v>35857</v>
      </c>
      <c r="C8141" s="8" t="s">
        <v>35857</v>
      </c>
      <c r="G8141" s="8">
        <v>20</v>
      </c>
      <c r="H8141" s="8" t="s">
        <v>21</v>
      </c>
      <c r="I8141" s="8" t="s">
        <v>22</v>
      </c>
      <c r="J8141" s="8" t="s">
        <v>22</v>
      </c>
      <c r="K8141" s="8" t="s">
        <v>37</v>
      </c>
      <c r="L8141" s="8" t="s">
        <v>3147</v>
      </c>
      <c r="M8141" s="8" t="s">
        <v>3148</v>
      </c>
      <c r="N8141" s="8" t="s">
        <v>35858</v>
      </c>
      <c r="O8141" s="8">
        <f>3+14/60+15.8/3600</f>
        <v>3.2377222222222222</v>
      </c>
      <c r="P8141" s="8" t="s">
        <v>35859</v>
      </c>
      <c r="Q8141" s="8">
        <f>+(42+24/60+54/3600)</f>
        <v>42.414999999999999</v>
      </c>
      <c r="R8141" s="8">
        <v>15</v>
      </c>
      <c r="S8141" s="8">
        <v>16</v>
      </c>
      <c r="T8141" s="8">
        <v>1</v>
      </c>
      <c r="U8141" s="8">
        <v>12.3</v>
      </c>
      <c r="V8141" s="8">
        <v>0.3</v>
      </c>
      <c r="W8141" s="8">
        <v>0.3</v>
      </c>
      <c r="Y8141" s="8" t="s">
        <v>35860</v>
      </c>
      <c r="Z8141" s="8" t="s">
        <v>35861</v>
      </c>
    </row>
    <row r="8142" spans="1:26" x14ac:dyDescent="0.2">
      <c r="A8142" s="8">
        <v>8141</v>
      </c>
      <c r="B8142" s="8" t="s">
        <v>35862</v>
      </c>
      <c r="C8142" s="8" t="s">
        <v>35862</v>
      </c>
      <c r="G8142" s="8">
        <v>20</v>
      </c>
      <c r="H8142" s="8" t="s">
        <v>21</v>
      </c>
      <c r="I8142" s="8" t="s">
        <v>22</v>
      </c>
      <c r="J8142" s="8" t="s">
        <v>22</v>
      </c>
      <c r="K8142" s="8" t="s">
        <v>460</v>
      </c>
      <c r="L8142" s="8" t="s">
        <v>3147</v>
      </c>
      <c r="M8142" s="8" t="s">
        <v>3148</v>
      </c>
      <c r="N8142" s="8" t="s">
        <v>35863</v>
      </c>
      <c r="O8142" s="8">
        <f>3+14/60+47.7/3600</f>
        <v>3.2465833333333336</v>
      </c>
      <c r="P8142" s="8" t="s">
        <v>35864</v>
      </c>
      <c r="Q8142" s="8">
        <f>+(42+13/60+23/3600)</f>
        <v>42.223055555555554</v>
      </c>
      <c r="R8142" s="8">
        <v>13.2</v>
      </c>
      <c r="S8142" s="8">
        <v>14.2</v>
      </c>
      <c r="T8142" s="8">
        <v>1</v>
      </c>
      <c r="U8142" s="8">
        <v>12.8</v>
      </c>
      <c r="V8142" s="8">
        <v>0.8</v>
      </c>
      <c r="W8142" s="8">
        <v>0.8</v>
      </c>
      <c r="Y8142" s="8" t="s">
        <v>1781</v>
      </c>
      <c r="Z8142" s="8" t="s">
        <v>1782</v>
      </c>
    </row>
    <row r="8143" spans="1:26" x14ac:dyDescent="0.2">
      <c r="A8143" s="8">
        <v>8142</v>
      </c>
      <c r="B8143" s="8" t="s">
        <v>35865</v>
      </c>
      <c r="C8143" s="8" t="s">
        <v>35865</v>
      </c>
      <c r="G8143" s="8">
        <v>20</v>
      </c>
      <c r="H8143" s="8" t="s">
        <v>21</v>
      </c>
      <c r="I8143" s="8" t="s">
        <v>22</v>
      </c>
      <c r="J8143" s="8" t="s">
        <v>22</v>
      </c>
      <c r="K8143" s="8" t="s">
        <v>85</v>
      </c>
      <c r="L8143" s="8" t="s">
        <v>125</v>
      </c>
      <c r="M8143" s="8" t="s">
        <v>126</v>
      </c>
      <c r="N8143" s="8" t="s">
        <v>35866</v>
      </c>
      <c r="O8143" s="8">
        <f>3+12/60+51.3/3600</f>
        <v>3.2142500000000003</v>
      </c>
      <c r="P8143" s="8" t="s">
        <v>35867</v>
      </c>
      <c r="Q8143" s="8">
        <f>+(4+42/60+23/3600)</f>
        <v>4.7063888888888892</v>
      </c>
      <c r="R8143" s="8">
        <v>12.8</v>
      </c>
      <c r="S8143" s="8">
        <v>13.6</v>
      </c>
      <c r="T8143" s="8">
        <v>0.8</v>
      </c>
      <c r="U8143" s="8">
        <v>13.7</v>
      </c>
      <c r="V8143" s="8">
        <v>1.8</v>
      </c>
      <c r="W8143" s="8">
        <v>1.5</v>
      </c>
      <c r="X8143" s="8">
        <v>21</v>
      </c>
      <c r="Y8143" s="8" t="s">
        <v>35868</v>
      </c>
      <c r="Z8143" s="8" t="s">
        <v>35869</v>
      </c>
    </row>
    <row r="8144" spans="1:26" x14ac:dyDescent="0.2">
      <c r="A8144" s="8">
        <v>8143</v>
      </c>
      <c r="B8144" s="8" t="s">
        <v>35870</v>
      </c>
      <c r="C8144" s="8" t="s">
        <v>35870</v>
      </c>
      <c r="G8144" s="8">
        <v>20</v>
      </c>
      <c r="H8144" s="8" t="s">
        <v>21</v>
      </c>
      <c r="I8144" s="8" t="s">
        <v>22</v>
      </c>
      <c r="J8144" s="8" t="s">
        <v>22</v>
      </c>
      <c r="K8144" s="8" t="s">
        <v>382</v>
      </c>
      <c r="L8144" s="8" t="s">
        <v>3328</v>
      </c>
      <c r="M8144" s="8" t="s">
        <v>3329</v>
      </c>
      <c r="N8144" s="8" t="s">
        <v>35871</v>
      </c>
      <c r="O8144" s="8">
        <f>3+12/60+40.8/3600</f>
        <v>3.2113333333333336</v>
      </c>
      <c r="P8144" s="8" t="s">
        <v>35872</v>
      </c>
      <c r="Q8144" s="8">
        <f>-(11+41/60+22/3600)</f>
        <v>-11.689444444444444</v>
      </c>
      <c r="R8144" s="8">
        <v>15.2</v>
      </c>
      <c r="S8144" s="8">
        <v>16.2</v>
      </c>
      <c r="T8144" s="8">
        <v>1</v>
      </c>
      <c r="U8144" s="8">
        <v>13</v>
      </c>
      <c r="V8144" s="8">
        <v>0.4</v>
      </c>
      <c r="W8144" s="8">
        <v>0.3</v>
      </c>
      <c r="X8144" s="8">
        <v>30</v>
      </c>
      <c r="Y8144" s="8" t="s">
        <v>11909</v>
      </c>
      <c r="Z8144" s="8" t="s">
        <v>11910</v>
      </c>
    </row>
    <row r="8145" spans="1:26" x14ac:dyDescent="0.2">
      <c r="A8145" s="8">
        <v>8144</v>
      </c>
      <c r="B8145" s="8" t="s">
        <v>35873</v>
      </c>
      <c r="C8145" s="8" t="s">
        <v>35873</v>
      </c>
      <c r="G8145" s="8">
        <v>20</v>
      </c>
      <c r="H8145" s="8" t="s">
        <v>21</v>
      </c>
      <c r="I8145" s="8" t="s">
        <v>22</v>
      </c>
      <c r="J8145" s="8" t="s">
        <v>22</v>
      </c>
      <c r="K8145" s="8" t="s">
        <v>23</v>
      </c>
      <c r="L8145" s="8" t="s">
        <v>3147</v>
      </c>
      <c r="M8145" s="8" t="s">
        <v>3148</v>
      </c>
      <c r="N8145" s="8" t="s">
        <v>35874</v>
      </c>
      <c r="O8145" s="8">
        <f>3+15/60+1.4/3600</f>
        <v>3.2503888888888888</v>
      </c>
      <c r="P8145" s="8" t="s">
        <v>35875</v>
      </c>
      <c r="Q8145" s="8">
        <f>+(37+52/60+55/3600)</f>
        <v>37.881944444444443</v>
      </c>
      <c r="R8145" s="8">
        <v>13.8</v>
      </c>
      <c r="S8145" s="8">
        <v>14.6</v>
      </c>
      <c r="T8145" s="8">
        <v>0.8</v>
      </c>
      <c r="U8145" s="8">
        <v>13.5</v>
      </c>
      <c r="V8145" s="8">
        <v>1.1000000000000001</v>
      </c>
      <c r="W8145" s="8">
        <v>0.7</v>
      </c>
      <c r="X8145" s="8">
        <v>25</v>
      </c>
      <c r="Y8145" s="8" t="s">
        <v>35876</v>
      </c>
      <c r="Z8145" s="8" t="s">
        <v>35877</v>
      </c>
    </row>
    <row r="8146" spans="1:26" x14ac:dyDescent="0.2">
      <c r="A8146" s="8">
        <v>8145</v>
      </c>
      <c r="B8146" s="8" t="s">
        <v>35878</v>
      </c>
      <c r="C8146" s="8" t="s">
        <v>35878</v>
      </c>
      <c r="G8146" s="8">
        <v>20</v>
      </c>
      <c r="H8146" s="8" t="s">
        <v>21</v>
      </c>
      <c r="I8146" s="8" t="s">
        <v>22</v>
      </c>
      <c r="J8146" s="8" t="s">
        <v>22</v>
      </c>
      <c r="K8146" s="8" t="s">
        <v>382</v>
      </c>
      <c r="L8146" s="8" t="s">
        <v>3147</v>
      </c>
      <c r="M8146" s="8" t="s">
        <v>3148</v>
      </c>
      <c r="N8146" s="8" t="s">
        <v>35879</v>
      </c>
      <c r="O8146" s="8">
        <f>3+15/60+3.7/3600</f>
        <v>3.2510277777777778</v>
      </c>
      <c r="P8146" s="8" t="s">
        <v>35880</v>
      </c>
      <c r="Q8146" s="8">
        <f>+(37+51/60+38/3600)</f>
        <v>37.860555555555557</v>
      </c>
      <c r="R8146" s="8">
        <v>14.1</v>
      </c>
      <c r="S8146" s="8">
        <v>15.1</v>
      </c>
      <c r="T8146" s="8">
        <v>1</v>
      </c>
      <c r="U8146" s="8">
        <v>13.3</v>
      </c>
      <c r="V8146" s="8">
        <v>0.8</v>
      </c>
      <c r="W8146" s="8">
        <v>0.6</v>
      </c>
      <c r="X8146" s="8">
        <v>45</v>
      </c>
      <c r="Y8146" s="8" t="s">
        <v>35881</v>
      </c>
      <c r="Z8146" s="8" t="s">
        <v>35882</v>
      </c>
    </row>
    <row r="8147" spans="1:26" x14ac:dyDescent="0.2">
      <c r="A8147" s="8">
        <v>8146</v>
      </c>
      <c r="B8147" s="8" t="s">
        <v>35883</v>
      </c>
      <c r="C8147" s="8" t="s">
        <v>35883</v>
      </c>
      <c r="G8147" s="8">
        <v>20</v>
      </c>
      <c r="H8147" s="8" t="s">
        <v>21</v>
      </c>
      <c r="I8147" s="8" t="s">
        <v>22</v>
      </c>
      <c r="J8147" s="8" t="s">
        <v>22</v>
      </c>
      <c r="K8147" s="8" t="s">
        <v>64</v>
      </c>
      <c r="L8147" s="8" t="s">
        <v>3328</v>
      </c>
      <c r="M8147" s="8" t="s">
        <v>3329</v>
      </c>
      <c r="N8147" s="8" t="s">
        <v>35884</v>
      </c>
      <c r="O8147" s="8">
        <f>3+13/60+0.2/3600</f>
        <v>3.2167222222222223</v>
      </c>
      <c r="P8147" s="8" t="s">
        <v>35885</v>
      </c>
      <c r="Q8147" s="8">
        <f>-(11+42/60+57/3600)</f>
        <v>-11.715833333333332</v>
      </c>
      <c r="R8147" s="8">
        <v>14.8</v>
      </c>
      <c r="S8147" s="8">
        <v>15.5</v>
      </c>
      <c r="T8147" s="8">
        <v>0.7</v>
      </c>
      <c r="U8147" s="8">
        <v>12.6</v>
      </c>
      <c r="V8147" s="8">
        <v>0.5</v>
      </c>
      <c r="W8147" s="8">
        <v>0.3</v>
      </c>
      <c r="X8147" s="8">
        <v>80</v>
      </c>
      <c r="Y8147" s="8" t="s">
        <v>35886</v>
      </c>
      <c r="Z8147" s="8" t="s">
        <v>35887</v>
      </c>
    </row>
    <row r="8148" spans="1:26" x14ac:dyDescent="0.2">
      <c r="A8148" s="8">
        <v>8147</v>
      </c>
      <c r="B8148" s="8" t="s">
        <v>35888</v>
      </c>
      <c r="C8148" s="8" t="s">
        <v>35888</v>
      </c>
      <c r="G8148" s="8">
        <v>20</v>
      </c>
      <c r="H8148" s="8" t="s">
        <v>21</v>
      </c>
      <c r="I8148" s="8" t="s">
        <v>22</v>
      </c>
      <c r="J8148" s="8" t="s">
        <v>22</v>
      </c>
      <c r="K8148" s="8" t="s">
        <v>91</v>
      </c>
      <c r="L8148" s="8" t="s">
        <v>125</v>
      </c>
      <c r="M8148" s="8" t="s">
        <v>126</v>
      </c>
      <c r="N8148" s="8" t="s">
        <v>35889</v>
      </c>
      <c r="O8148" s="8">
        <f>3+13/60+45.2/3600</f>
        <v>3.2292222222222224</v>
      </c>
      <c r="P8148" s="8" t="s">
        <v>35890</v>
      </c>
      <c r="Q8148" s="8">
        <f>-(0+14/60+28/3600)</f>
        <v>-0.24111111111111111</v>
      </c>
      <c r="R8148" s="8">
        <v>13.3</v>
      </c>
      <c r="S8148" s="8">
        <v>14.2</v>
      </c>
      <c r="T8148" s="8">
        <v>0.9</v>
      </c>
      <c r="U8148" s="8">
        <v>13.5</v>
      </c>
      <c r="V8148" s="8">
        <v>1.7</v>
      </c>
      <c r="W8148" s="8">
        <v>0.8</v>
      </c>
      <c r="X8148" s="8">
        <v>73</v>
      </c>
      <c r="Y8148" s="8" t="s">
        <v>35891</v>
      </c>
      <c r="Z8148" s="8" t="s">
        <v>35892</v>
      </c>
    </row>
    <row r="8149" spans="1:26" x14ac:dyDescent="0.2">
      <c r="A8149" s="8">
        <v>8148</v>
      </c>
      <c r="B8149" s="8" t="s">
        <v>35893</v>
      </c>
      <c r="C8149" s="8" t="s">
        <v>35893</v>
      </c>
      <c r="G8149" s="8">
        <v>20</v>
      </c>
      <c r="H8149" s="8" t="s">
        <v>21</v>
      </c>
      <c r="I8149" s="8" t="s">
        <v>22</v>
      </c>
      <c r="J8149" s="8" t="s">
        <v>22</v>
      </c>
      <c r="K8149" s="8" t="s">
        <v>37</v>
      </c>
      <c r="L8149" s="8" t="s">
        <v>3147</v>
      </c>
      <c r="M8149" s="8" t="s">
        <v>3148</v>
      </c>
      <c r="N8149" s="8" t="s">
        <v>35894</v>
      </c>
      <c r="O8149" s="8">
        <f>3+16/60+15.9/3600</f>
        <v>3.2710833333333333</v>
      </c>
      <c r="P8149" s="8" t="s">
        <v>35895</v>
      </c>
      <c r="Q8149" s="8">
        <f>+(41+10/60+53/3600)</f>
        <v>41.18138888888889</v>
      </c>
      <c r="R8149" s="8">
        <v>14.2</v>
      </c>
      <c r="S8149" s="8">
        <v>15.4</v>
      </c>
      <c r="T8149" s="8">
        <v>1.2</v>
      </c>
      <c r="U8149" s="8">
        <v>14.5</v>
      </c>
      <c r="V8149" s="8">
        <v>1.2</v>
      </c>
      <c r="W8149" s="8">
        <v>1.2</v>
      </c>
      <c r="Y8149" s="8" t="s">
        <v>35896</v>
      </c>
      <c r="Z8149" s="8" t="s">
        <v>35897</v>
      </c>
    </row>
    <row r="8150" spans="1:26" x14ac:dyDescent="0.2">
      <c r="A8150" s="8">
        <v>8149</v>
      </c>
      <c r="B8150" s="8" t="s">
        <v>35898</v>
      </c>
      <c r="C8150" s="8" t="s">
        <v>35898</v>
      </c>
      <c r="G8150" s="8">
        <v>20</v>
      </c>
      <c r="H8150" s="8" t="s">
        <v>21</v>
      </c>
      <c r="I8150" s="8" t="s">
        <v>22</v>
      </c>
      <c r="J8150" s="8" t="s">
        <v>22</v>
      </c>
      <c r="K8150" s="8" t="s">
        <v>37</v>
      </c>
      <c r="L8150" s="8" t="s">
        <v>3147</v>
      </c>
      <c r="M8150" s="8" t="s">
        <v>3148</v>
      </c>
      <c r="N8150" s="8" t="s">
        <v>35899</v>
      </c>
      <c r="O8150" s="8">
        <f>3+16/60+6.2/3600</f>
        <v>3.268388888888889</v>
      </c>
      <c r="P8150" s="8" t="s">
        <v>35900</v>
      </c>
      <c r="Q8150" s="8">
        <f>+(40+48/60+17/3600)</f>
        <v>40.804722222222217</v>
      </c>
      <c r="R8150" s="8">
        <v>13.5</v>
      </c>
      <c r="S8150" s="8">
        <v>14.5</v>
      </c>
      <c r="T8150" s="8">
        <v>1</v>
      </c>
      <c r="U8150" s="8">
        <v>13.1</v>
      </c>
      <c r="V8150" s="8">
        <v>0.9</v>
      </c>
      <c r="W8150" s="8">
        <v>0.9</v>
      </c>
      <c r="Y8150" s="8" t="s">
        <v>25492</v>
      </c>
      <c r="Z8150" s="8" t="s">
        <v>25493</v>
      </c>
    </row>
    <row r="8151" spans="1:26" x14ac:dyDescent="0.2">
      <c r="A8151" s="8">
        <v>8150</v>
      </c>
      <c r="B8151" s="8" t="s">
        <v>35901</v>
      </c>
      <c r="C8151" s="8" t="s">
        <v>35901</v>
      </c>
      <c r="G8151" s="8">
        <v>20</v>
      </c>
      <c r="H8151" s="8" t="s">
        <v>21</v>
      </c>
      <c r="I8151" s="8" t="s">
        <v>22</v>
      </c>
      <c r="J8151" s="8" t="s">
        <v>22</v>
      </c>
      <c r="K8151" s="8" t="s">
        <v>37</v>
      </c>
      <c r="L8151" s="8" t="s">
        <v>3147</v>
      </c>
      <c r="M8151" s="8" t="s">
        <v>3148</v>
      </c>
      <c r="N8151" s="8" t="s">
        <v>35902</v>
      </c>
      <c r="O8151" s="8">
        <f>3+16/60+43/3600</f>
        <v>3.2786111111111111</v>
      </c>
      <c r="P8151" s="8" t="s">
        <v>35903</v>
      </c>
      <c r="Q8151" s="8">
        <f>+(41+19/60+29/3600)</f>
        <v>41.324722222222228</v>
      </c>
      <c r="R8151" s="8">
        <v>12.7</v>
      </c>
      <c r="S8151" s="8">
        <v>13.9</v>
      </c>
      <c r="T8151" s="8">
        <v>1.2</v>
      </c>
      <c r="U8151" s="8">
        <v>13.1</v>
      </c>
      <c r="V8151" s="8">
        <v>1.1000000000000001</v>
      </c>
      <c r="W8151" s="8">
        <v>1.1000000000000001</v>
      </c>
      <c r="Y8151" s="8" t="s">
        <v>35904</v>
      </c>
      <c r="Z8151" s="8" t="s">
        <v>35905</v>
      </c>
    </row>
    <row r="8152" spans="1:26" x14ac:dyDescent="0.2">
      <c r="A8152" s="8">
        <v>8151</v>
      </c>
      <c r="B8152" s="8" t="s">
        <v>35906</v>
      </c>
      <c r="C8152" s="8" t="s">
        <v>35906</v>
      </c>
      <c r="G8152" s="8">
        <v>20</v>
      </c>
      <c r="H8152" s="8" t="s">
        <v>21</v>
      </c>
      <c r="I8152" s="8" t="s">
        <v>22</v>
      </c>
      <c r="J8152" s="8" t="s">
        <v>22</v>
      </c>
      <c r="K8152" s="8" t="s">
        <v>476</v>
      </c>
      <c r="L8152" s="8" t="s">
        <v>3147</v>
      </c>
      <c r="M8152" s="8" t="s">
        <v>3148</v>
      </c>
      <c r="N8152" s="8" t="s">
        <v>35907</v>
      </c>
      <c r="O8152" s="8">
        <f>3+16/60+46.8/3600</f>
        <v>3.2796666666666665</v>
      </c>
      <c r="P8152" s="8" t="s">
        <v>35908</v>
      </c>
      <c r="Q8152" s="8">
        <f>+(40+0/60+15/3600)</f>
        <v>40.00416666666667</v>
      </c>
      <c r="R8152" s="8">
        <v>14.1</v>
      </c>
      <c r="S8152" s="8">
        <v>15</v>
      </c>
      <c r="T8152" s="8">
        <v>0.9</v>
      </c>
      <c r="U8152" s="8">
        <v>13.3</v>
      </c>
      <c r="V8152" s="8">
        <v>0.9</v>
      </c>
      <c r="W8152" s="8">
        <v>0.6</v>
      </c>
      <c r="X8152" s="8">
        <v>113</v>
      </c>
      <c r="Y8152" s="8" t="s">
        <v>35909</v>
      </c>
      <c r="Z8152" s="8" t="s">
        <v>35910</v>
      </c>
    </row>
    <row r="8153" spans="1:26" x14ac:dyDescent="0.2">
      <c r="A8153" s="8">
        <v>8152</v>
      </c>
      <c r="B8153" s="8" t="s">
        <v>35911</v>
      </c>
      <c r="C8153" s="8" t="s">
        <v>35911</v>
      </c>
      <c r="G8153" s="8">
        <v>20</v>
      </c>
      <c r="H8153" s="8" t="s">
        <v>21</v>
      </c>
      <c r="I8153" s="8" t="s">
        <v>22</v>
      </c>
      <c r="J8153" s="8" t="s">
        <v>57</v>
      </c>
      <c r="K8153" s="8" t="s">
        <v>1068</v>
      </c>
      <c r="L8153" s="8" t="s">
        <v>3147</v>
      </c>
      <c r="M8153" s="8" t="s">
        <v>3148</v>
      </c>
      <c r="N8153" s="8" t="s">
        <v>5914</v>
      </c>
      <c r="O8153" s="8">
        <f>3+18/60+8.4/3600</f>
        <v>3.3023333333333333</v>
      </c>
      <c r="P8153" s="8" t="s">
        <v>5915</v>
      </c>
      <c r="Q8153" s="8">
        <f>+(41+45/60+16/3600)</f>
        <v>41.754444444444445</v>
      </c>
      <c r="R8153" s="8">
        <v>13.4</v>
      </c>
      <c r="S8153" s="8">
        <v>14.4</v>
      </c>
      <c r="T8153" s="8">
        <v>1</v>
      </c>
      <c r="U8153" s="8">
        <v>13</v>
      </c>
      <c r="V8153" s="8">
        <v>1</v>
      </c>
      <c r="W8153" s="8">
        <v>0.5</v>
      </c>
      <c r="X8153" s="8">
        <v>125</v>
      </c>
      <c r="Y8153" s="8" t="s">
        <v>35912</v>
      </c>
      <c r="Z8153" s="8" t="s">
        <v>35913</v>
      </c>
    </row>
    <row r="8154" spans="1:26" x14ac:dyDescent="0.2">
      <c r="A8154" s="8">
        <v>8153</v>
      </c>
      <c r="B8154" s="8" t="s">
        <v>35914</v>
      </c>
      <c r="C8154" s="8" t="s">
        <v>35914</v>
      </c>
      <c r="G8154" s="8">
        <v>20</v>
      </c>
      <c r="H8154" s="8" t="s">
        <v>21</v>
      </c>
      <c r="I8154" s="8" t="s">
        <v>22</v>
      </c>
      <c r="J8154" s="8" t="s">
        <v>22</v>
      </c>
      <c r="K8154" s="8" t="s">
        <v>183</v>
      </c>
      <c r="L8154" s="8" t="s">
        <v>3147</v>
      </c>
      <c r="M8154" s="8" t="s">
        <v>3148</v>
      </c>
      <c r="N8154" s="8" t="s">
        <v>35915</v>
      </c>
      <c r="O8154" s="8">
        <f>3+20/60+57.9/3600</f>
        <v>3.3494166666666669</v>
      </c>
      <c r="P8154" s="8" t="s">
        <v>35916</v>
      </c>
      <c r="Q8154" s="8">
        <f>+(41+53/60+39/3600)</f>
        <v>41.894166666666663</v>
      </c>
      <c r="R8154" s="8">
        <v>14.1</v>
      </c>
      <c r="S8154" s="8">
        <v>15.1</v>
      </c>
      <c r="T8154" s="8">
        <v>1</v>
      </c>
      <c r="U8154" s="8">
        <v>13.8</v>
      </c>
      <c r="V8154" s="8">
        <v>0.9</v>
      </c>
      <c r="W8154" s="8">
        <v>0.8</v>
      </c>
      <c r="Y8154" s="8" t="s">
        <v>35917</v>
      </c>
      <c r="Z8154" s="8" t="s">
        <v>35918</v>
      </c>
    </row>
    <row r="8155" spans="1:26" x14ac:dyDescent="0.2">
      <c r="A8155" s="8">
        <v>8154</v>
      </c>
      <c r="B8155" s="8" t="s">
        <v>35919</v>
      </c>
      <c r="C8155" s="8" t="s">
        <v>35919</v>
      </c>
      <c r="G8155" s="8">
        <v>20</v>
      </c>
      <c r="H8155" s="8" t="s">
        <v>21</v>
      </c>
      <c r="I8155" s="8" t="s">
        <v>22</v>
      </c>
      <c r="J8155" s="8" t="s">
        <v>57</v>
      </c>
      <c r="K8155" s="8" t="s">
        <v>37</v>
      </c>
      <c r="L8155" s="8" t="s">
        <v>3328</v>
      </c>
      <c r="M8155" s="8" t="s">
        <v>3329</v>
      </c>
      <c r="N8155" s="8" t="s">
        <v>6015</v>
      </c>
      <c r="O8155" s="8">
        <f>3+18/60+49.8/3600</f>
        <v>3.3138333333333332</v>
      </c>
      <c r="P8155" s="8" t="s">
        <v>6016</v>
      </c>
      <c r="Q8155" s="8">
        <f>-(1+58/60+23/3600)</f>
        <v>-1.9730555555555558</v>
      </c>
      <c r="R8155" s="8">
        <v>12.6</v>
      </c>
      <c r="S8155" s="8">
        <v>13.5</v>
      </c>
      <c r="T8155" s="8">
        <v>0.9</v>
      </c>
      <c r="U8155" s="8">
        <v>13.2</v>
      </c>
      <c r="V8155" s="8">
        <v>1.8</v>
      </c>
      <c r="W8155" s="8">
        <v>1.1000000000000001</v>
      </c>
      <c r="X8155" s="8">
        <v>100</v>
      </c>
      <c r="Y8155" s="8" t="s">
        <v>35920</v>
      </c>
      <c r="Z8155" s="8" t="s">
        <v>35921</v>
      </c>
    </row>
    <row r="8156" spans="1:26" x14ac:dyDescent="0.2">
      <c r="A8156" s="8">
        <v>8155</v>
      </c>
      <c r="B8156" s="8" t="s">
        <v>35922</v>
      </c>
      <c r="C8156" s="8" t="s">
        <v>35922</v>
      </c>
      <c r="G8156" s="8">
        <v>20</v>
      </c>
      <c r="H8156" s="8" t="s">
        <v>21</v>
      </c>
      <c r="I8156" s="8" t="s">
        <v>22</v>
      </c>
      <c r="J8156" s="8" t="s">
        <v>22</v>
      </c>
      <c r="K8156" s="8" t="s">
        <v>449</v>
      </c>
      <c r="L8156" s="8" t="s">
        <v>125</v>
      </c>
      <c r="M8156" s="8" t="s">
        <v>126</v>
      </c>
      <c r="N8156" s="8" t="s">
        <v>35923</v>
      </c>
      <c r="O8156" s="8">
        <f>3+19/60+9.3/3600</f>
        <v>3.3192499999999998</v>
      </c>
      <c r="P8156" s="8" t="s">
        <v>35924</v>
      </c>
      <c r="Q8156" s="8">
        <f>+(4+2/60+21/3600)</f>
        <v>4.0391666666666666</v>
      </c>
      <c r="R8156" s="8">
        <v>14.2</v>
      </c>
      <c r="S8156" s="8">
        <v>15</v>
      </c>
      <c r="T8156" s="8">
        <v>0.8</v>
      </c>
      <c r="U8156" s="8">
        <v>12.8</v>
      </c>
      <c r="V8156" s="8">
        <v>0.7</v>
      </c>
      <c r="W8156" s="8">
        <v>0.3</v>
      </c>
      <c r="X8156" s="8">
        <v>36</v>
      </c>
      <c r="Y8156" s="8" t="s">
        <v>35925</v>
      </c>
      <c r="Z8156" s="8" t="s">
        <v>35926</v>
      </c>
    </row>
    <row r="8157" spans="1:26" x14ac:dyDescent="0.2">
      <c r="A8157" s="8">
        <v>8156</v>
      </c>
      <c r="B8157" s="8" t="s">
        <v>35927</v>
      </c>
      <c r="C8157" s="8" t="s">
        <v>35927</v>
      </c>
      <c r="E8157" s="8">
        <v>2</v>
      </c>
      <c r="G8157" s="8">
        <v>20</v>
      </c>
      <c r="H8157" s="8" t="s">
        <v>21</v>
      </c>
      <c r="I8157" s="8" t="s">
        <v>22</v>
      </c>
      <c r="J8157" s="8" t="s">
        <v>22</v>
      </c>
      <c r="K8157" s="8" t="s">
        <v>396</v>
      </c>
      <c r="L8157" s="8" t="s">
        <v>3147</v>
      </c>
      <c r="M8157" s="8" t="s">
        <v>3148</v>
      </c>
      <c r="N8157" s="8" t="s">
        <v>35928</v>
      </c>
      <c r="O8157" s="8">
        <f>3+21/60+19.9/3600</f>
        <v>3.3555277777777777</v>
      </c>
      <c r="P8157" s="8" t="s">
        <v>35929</v>
      </c>
      <c r="Q8157" s="8">
        <f>+(41+55/60+55/3600)</f>
        <v>41.93194444444444</v>
      </c>
      <c r="R8157" s="8">
        <v>14.2</v>
      </c>
      <c r="S8157" s="8">
        <v>15</v>
      </c>
      <c r="T8157" s="8">
        <v>0.8</v>
      </c>
      <c r="U8157" s="8">
        <v>13.9</v>
      </c>
      <c r="V8157" s="8">
        <v>1.4</v>
      </c>
      <c r="W8157" s="8">
        <v>0.7</v>
      </c>
      <c r="X8157" s="8">
        <v>64</v>
      </c>
      <c r="Y8157" s="8" t="s">
        <v>215</v>
      </c>
      <c r="Z8157" s="8" t="s">
        <v>216</v>
      </c>
    </row>
    <row r="8158" spans="1:26" x14ac:dyDescent="0.2">
      <c r="A8158" s="8">
        <v>8157</v>
      </c>
      <c r="B8158" s="8" t="s">
        <v>35930</v>
      </c>
      <c r="C8158" s="8" t="s">
        <v>35930</v>
      </c>
      <c r="G8158" s="8">
        <v>20</v>
      </c>
      <c r="H8158" s="8" t="s">
        <v>21</v>
      </c>
      <c r="I8158" s="8" t="s">
        <v>22</v>
      </c>
      <c r="J8158" s="8" t="s">
        <v>22</v>
      </c>
      <c r="K8158" s="8" t="s">
        <v>1445</v>
      </c>
      <c r="L8158" s="8" t="s">
        <v>3328</v>
      </c>
      <c r="M8158" s="8" t="s">
        <v>3329</v>
      </c>
      <c r="N8158" s="8" t="s">
        <v>35931</v>
      </c>
      <c r="O8158" s="8">
        <f>3+18/60+55.4/3600</f>
        <v>3.3153888888888887</v>
      </c>
      <c r="P8158" s="8" t="s">
        <v>35932</v>
      </c>
      <c r="Q8158" s="8">
        <f>-(12+44/60+23/3600)</f>
        <v>-12.739722222222222</v>
      </c>
      <c r="R8158" s="8">
        <v>14</v>
      </c>
      <c r="S8158" s="8">
        <v>14.8</v>
      </c>
      <c r="T8158" s="8">
        <v>0.8</v>
      </c>
      <c r="U8158" s="8">
        <v>13.3</v>
      </c>
      <c r="V8158" s="8">
        <v>0.9</v>
      </c>
      <c r="W8158" s="8">
        <v>0.7</v>
      </c>
      <c r="X8158" s="8">
        <v>39</v>
      </c>
      <c r="Y8158" s="8" t="s">
        <v>19885</v>
      </c>
      <c r="Z8158" s="8" t="s">
        <v>4076</v>
      </c>
    </row>
    <row r="8159" spans="1:26" x14ac:dyDescent="0.2">
      <c r="A8159" s="8">
        <v>8158</v>
      </c>
      <c r="B8159" s="8" t="s">
        <v>35933</v>
      </c>
      <c r="C8159" s="8" t="s">
        <v>35933</v>
      </c>
      <c r="G8159" s="8">
        <v>20</v>
      </c>
      <c r="H8159" s="8" t="s">
        <v>21</v>
      </c>
      <c r="I8159" s="8" t="s">
        <v>22</v>
      </c>
      <c r="J8159" s="8" t="s">
        <v>22</v>
      </c>
      <c r="K8159" s="8" t="s">
        <v>396</v>
      </c>
      <c r="L8159" s="8" t="s">
        <v>3328</v>
      </c>
      <c r="M8159" s="8" t="s">
        <v>3329</v>
      </c>
      <c r="N8159" s="8" t="s">
        <v>35934</v>
      </c>
      <c r="O8159" s="8">
        <f>3+20/60+43.8/3600</f>
        <v>3.3455000000000004</v>
      </c>
      <c r="P8159" s="8" t="s">
        <v>35935</v>
      </c>
      <c r="Q8159" s="8">
        <f>-(14+34/60+5/3600)</f>
        <v>-14.568055555555555</v>
      </c>
      <c r="R8159" s="8">
        <v>13.9</v>
      </c>
      <c r="S8159" s="8">
        <v>14.7</v>
      </c>
      <c r="T8159" s="8">
        <v>0.8</v>
      </c>
      <c r="U8159" s="8">
        <v>12.3</v>
      </c>
      <c r="V8159" s="8">
        <v>0.9</v>
      </c>
      <c r="W8159" s="8">
        <v>0.3</v>
      </c>
      <c r="X8159" s="8">
        <v>138</v>
      </c>
      <c r="Y8159" s="8" t="s">
        <v>34982</v>
      </c>
      <c r="Z8159" s="8" t="s">
        <v>34983</v>
      </c>
    </row>
    <row r="8160" spans="1:26" x14ac:dyDescent="0.2">
      <c r="A8160" s="8">
        <v>8159</v>
      </c>
      <c r="B8160" s="8" t="s">
        <v>35936</v>
      </c>
      <c r="C8160" s="8" t="s">
        <v>35936</v>
      </c>
      <c r="G8160" s="8">
        <v>20</v>
      </c>
      <c r="H8160" s="8" t="s">
        <v>21</v>
      </c>
      <c r="I8160" s="8" t="s">
        <v>72</v>
      </c>
      <c r="J8160" s="8" t="s">
        <v>72</v>
      </c>
      <c r="K8160" s="8" t="s">
        <v>20</v>
      </c>
      <c r="L8160" s="8" t="s">
        <v>3147</v>
      </c>
      <c r="M8160" s="8" t="s">
        <v>3148</v>
      </c>
      <c r="N8160" s="8" t="s">
        <v>35937</v>
      </c>
      <c r="O8160" s="8">
        <f>3+23/60+27.3/3600</f>
        <v>3.3909166666666666</v>
      </c>
      <c r="P8160" s="8" t="s">
        <v>35938</v>
      </c>
      <c r="Q8160" s="8">
        <f>+(41+24/60+2/3600)</f>
        <v>41.400555555555556</v>
      </c>
      <c r="R8160" s="8">
        <v>99</v>
      </c>
      <c r="S8160" s="8">
        <v>14.4</v>
      </c>
      <c r="T8160" s="8">
        <v>99</v>
      </c>
      <c r="U8160" s="8">
        <v>99</v>
      </c>
      <c r="Y8160" s="8" t="s">
        <v>35939</v>
      </c>
      <c r="Z8160" s="8" t="s">
        <v>35940</v>
      </c>
    </row>
    <row r="8161" spans="1:26" x14ac:dyDescent="0.2">
      <c r="A8161" s="8">
        <v>8160</v>
      </c>
      <c r="B8161" s="8" t="s">
        <v>35941</v>
      </c>
      <c r="C8161" s="8" t="s">
        <v>35941</v>
      </c>
      <c r="G8161" s="8">
        <v>20</v>
      </c>
      <c r="H8161" s="8" t="s">
        <v>21</v>
      </c>
      <c r="I8161" s="8" t="s">
        <v>22</v>
      </c>
      <c r="J8161" s="8" t="s">
        <v>22</v>
      </c>
      <c r="K8161" s="8" t="s">
        <v>406</v>
      </c>
      <c r="L8161" s="8" t="s">
        <v>3147</v>
      </c>
      <c r="M8161" s="8" t="s">
        <v>3148</v>
      </c>
      <c r="N8161" s="8" t="s">
        <v>35942</v>
      </c>
      <c r="O8161" s="8">
        <f>3+25/60+59.2/3600</f>
        <v>3.4331111111111108</v>
      </c>
      <c r="P8161" s="8" t="s">
        <v>35943</v>
      </c>
      <c r="Q8161" s="8">
        <f>+(40+47/60+21/3600)</f>
        <v>40.789166666666667</v>
      </c>
      <c r="R8161" s="8">
        <v>13.7</v>
      </c>
      <c r="S8161" s="8">
        <v>14.5</v>
      </c>
      <c r="T8161" s="8">
        <v>0.8</v>
      </c>
      <c r="U8161" s="8">
        <v>13.8</v>
      </c>
      <c r="V8161" s="8">
        <v>1.2</v>
      </c>
      <c r="W8161" s="8">
        <v>1.1000000000000001</v>
      </c>
      <c r="X8161" s="8">
        <v>48</v>
      </c>
      <c r="Y8161" s="8" t="s">
        <v>35944</v>
      </c>
      <c r="Z8161" s="8" t="s">
        <v>35945</v>
      </c>
    </row>
    <row r="8162" spans="1:26" x14ac:dyDescent="0.2">
      <c r="A8162" s="8">
        <v>8161</v>
      </c>
      <c r="B8162" s="8" t="s">
        <v>35946</v>
      </c>
      <c r="C8162" s="8" t="s">
        <v>35946</v>
      </c>
      <c r="G8162" s="8">
        <v>20</v>
      </c>
      <c r="H8162" s="8" t="s">
        <v>21</v>
      </c>
      <c r="I8162" s="8" t="s">
        <v>22</v>
      </c>
      <c r="J8162" s="8" t="s">
        <v>22</v>
      </c>
      <c r="K8162" s="8" t="s">
        <v>449</v>
      </c>
      <c r="L8162" s="8" t="s">
        <v>3328</v>
      </c>
      <c r="M8162" s="8" t="s">
        <v>3329</v>
      </c>
      <c r="N8162" s="8" t="s">
        <v>35947</v>
      </c>
      <c r="O8162" s="8">
        <f>3+24/60+29.5/3600</f>
        <v>3.4081944444444443</v>
      </c>
      <c r="P8162" s="8" t="s">
        <v>35948</v>
      </c>
      <c r="Q8162" s="8">
        <f>-(14+59/60+9/3600)</f>
        <v>-14.985833333333332</v>
      </c>
      <c r="R8162" s="8">
        <v>15.2</v>
      </c>
      <c r="S8162" s="8">
        <v>16</v>
      </c>
      <c r="T8162" s="8">
        <v>0.8</v>
      </c>
      <c r="U8162" s="8">
        <v>13.9</v>
      </c>
      <c r="V8162" s="8">
        <v>0.6</v>
      </c>
      <c r="W8162" s="8">
        <v>0.6</v>
      </c>
      <c r="Y8162" s="8" t="s">
        <v>12996</v>
      </c>
      <c r="Z8162" s="8" t="s">
        <v>12997</v>
      </c>
    </row>
    <row r="8163" spans="1:26" x14ac:dyDescent="0.2">
      <c r="A8163" s="8">
        <v>8162</v>
      </c>
      <c r="B8163" s="8" t="s">
        <v>35949</v>
      </c>
      <c r="C8163" s="8" t="s">
        <v>35949</v>
      </c>
      <c r="G8163" s="8">
        <v>20</v>
      </c>
      <c r="H8163" s="8" t="s">
        <v>21</v>
      </c>
      <c r="I8163" s="8" t="s">
        <v>22</v>
      </c>
      <c r="J8163" s="8" t="s">
        <v>22</v>
      </c>
      <c r="K8163" s="8" t="s">
        <v>17644</v>
      </c>
      <c r="L8163" s="8" t="s">
        <v>6115</v>
      </c>
      <c r="M8163" s="8" t="s">
        <v>6116</v>
      </c>
      <c r="N8163" s="8" t="s">
        <v>35950</v>
      </c>
      <c r="O8163" s="8">
        <f>3+26/60+0.5/3600</f>
        <v>3.4334722222222225</v>
      </c>
      <c r="P8163" s="8" t="s">
        <v>35951</v>
      </c>
      <c r="Q8163" s="8">
        <f>+(3+40/60+49/3600)</f>
        <v>3.6802777777777775</v>
      </c>
      <c r="R8163" s="8">
        <v>14.6</v>
      </c>
      <c r="S8163" s="8">
        <v>15.2</v>
      </c>
      <c r="T8163" s="8">
        <v>0.6</v>
      </c>
      <c r="U8163" s="8">
        <v>14.1</v>
      </c>
      <c r="V8163" s="8">
        <v>0.9</v>
      </c>
      <c r="W8163" s="8">
        <v>0.8</v>
      </c>
      <c r="Y8163" s="8" t="s">
        <v>35952</v>
      </c>
      <c r="Z8163" s="8" t="s">
        <v>35953</v>
      </c>
    </row>
    <row r="8164" spans="1:26" x14ac:dyDescent="0.2">
      <c r="A8164" s="8">
        <v>8163</v>
      </c>
      <c r="B8164" s="8" t="s">
        <v>35954</v>
      </c>
      <c r="C8164" s="8" t="s">
        <v>35954</v>
      </c>
      <c r="G8164" s="8">
        <v>20</v>
      </c>
      <c r="H8164" s="8" t="s">
        <v>21</v>
      </c>
      <c r="I8164" s="8" t="s">
        <v>72</v>
      </c>
      <c r="J8164" s="8" t="s">
        <v>72</v>
      </c>
      <c r="K8164" s="8" t="s">
        <v>1802</v>
      </c>
      <c r="L8164" s="8" t="s">
        <v>3147</v>
      </c>
      <c r="M8164" s="8" t="s">
        <v>3148</v>
      </c>
      <c r="N8164" s="8" t="s">
        <v>35955</v>
      </c>
      <c r="O8164" s="8">
        <f>3+29/60+33.5/3600</f>
        <v>3.4926388888888891</v>
      </c>
      <c r="P8164" s="8" t="s">
        <v>35956</v>
      </c>
      <c r="Q8164" s="8">
        <f>+(41+51/60+21/3600)</f>
        <v>41.855833333333337</v>
      </c>
      <c r="R8164" s="8">
        <v>99</v>
      </c>
      <c r="S8164" s="8">
        <v>99</v>
      </c>
      <c r="T8164" s="8">
        <v>99</v>
      </c>
      <c r="U8164" s="8">
        <v>99</v>
      </c>
      <c r="Y8164" s="8" t="s">
        <v>35957</v>
      </c>
      <c r="Z8164" s="8" t="s">
        <v>35958</v>
      </c>
    </row>
    <row r="8165" spans="1:26" x14ac:dyDescent="0.2">
      <c r="A8165" s="8">
        <v>8164</v>
      </c>
      <c r="B8165" s="8" t="s">
        <v>35959</v>
      </c>
      <c r="C8165" s="8" t="s">
        <v>35959</v>
      </c>
      <c r="G8165" s="8">
        <v>20</v>
      </c>
      <c r="H8165" s="8" t="s">
        <v>21</v>
      </c>
      <c r="I8165" s="8" t="s">
        <v>22</v>
      </c>
      <c r="J8165" s="8" t="s">
        <v>57</v>
      </c>
      <c r="K8165" s="8" t="s">
        <v>1136</v>
      </c>
      <c r="L8165" s="8" t="s">
        <v>3328</v>
      </c>
      <c r="M8165" s="8" t="s">
        <v>3329</v>
      </c>
      <c r="N8165" s="8" t="s">
        <v>6199</v>
      </c>
      <c r="O8165" s="8">
        <f>3+26/60+28.2/3600</f>
        <v>3.4411666666666667</v>
      </c>
      <c r="P8165" s="8" t="s">
        <v>6200</v>
      </c>
      <c r="Q8165" s="8">
        <f>-(21+21/60+20/3600)</f>
        <v>-21.355555555555558</v>
      </c>
      <c r="R8165" s="8">
        <v>13.4</v>
      </c>
      <c r="S8165" s="8">
        <v>14.3</v>
      </c>
      <c r="T8165" s="8">
        <v>0.9</v>
      </c>
      <c r="U8165" s="8">
        <v>13.2</v>
      </c>
      <c r="V8165" s="8">
        <v>0.9</v>
      </c>
      <c r="W8165" s="8">
        <v>0.7</v>
      </c>
      <c r="X8165" s="8">
        <v>3</v>
      </c>
      <c r="Y8165" s="8" t="s">
        <v>35960</v>
      </c>
      <c r="Z8165" s="8" t="s">
        <v>35961</v>
      </c>
    </row>
    <row r="8166" spans="1:26" x14ac:dyDescent="0.2">
      <c r="A8166" s="8">
        <v>8165</v>
      </c>
      <c r="B8166" s="8" t="s">
        <v>35962</v>
      </c>
      <c r="C8166" s="8" t="s">
        <v>35962</v>
      </c>
      <c r="G8166" s="8">
        <v>20</v>
      </c>
      <c r="H8166" s="8" t="s">
        <v>21</v>
      </c>
      <c r="I8166" s="8" t="s">
        <v>22</v>
      </c>
      <c r="J8166" s="8" t="s">
        <v>22</v>
      </c>
      <c r="K8166" s="8" t="s">
        <v>23</v>
      </c>
      <c r="L8166" s="8" t="s">
        <v>3328</v>
      </c>
      <c r="M8166" s="8" t="s">
        <v>3329</v>
      </c>
      <c r="N8166" s="8" t="s">
        <v>35963</v>
      </c>
      <c r="O8166" s="8">
        <f>3+30/60+48.8/3600</f>
        <v>3.5135555555555555</v>
      </c>
      <c r="P8166" s="8" t="s">
        <v>35964</v>
      </c>
      <c r="Q8166" s="8">
        <f>-(7+2/60+47/3600)</f>
        <v>-7.046388888888889</v>
      </c>
      <c r="R8166" s="8">
        <v>15.7</v>
      </c>
      <c r="S8166" s="8">
        <v>16.5</v>
      </c>
      <c r="T8166" s="8">
        <v>0.8</v>
      </c>
      <c r="U8166" s="8">
        <v>15.1</v>
      </c>
      <c r="V8166" s="8">
        <v>0.8</v>
      </c>
      <c r="W8166" s="8">
        <v>0.8</v>
      </c>
      <c r="Y8166" s="8" t="s">
        <v>576</v>
      </c>
      <c r="Z8166" s="8" t="s">
        <v>577</v>
      </c>
    </row>
    <row r="8167" spans="1:26" x14ac:dyDescent="0.2">
      <c r="A8167" s="8">
        <v>8166</v>
      </c>
      <c r="B8167" s="8" t="s">
        <v>35965</v>
      </c>
      <c r="C8167" s="8" t="s">
        <v>35965</v>
      </c>
      <c r="G8167" s="8">
        <v>20</v>
      </c>
      <c r="H8167" s="8" t="s">
        <v>21</v>
      </c>
      <c r="I8167" s="8" t="s">
        <v>22</v>
      </c>
      <c r="J8167" s="8" t="s">
        <v>22</v>
      </c>
      <c r="K8167" s="8" t="s">
        <v>58</v>
      </c>
      <c r="L8167" s="8" t="s">
        <v>3328</v>
      </c>
      <c r="M8167" s="8" t="s">
        <v>3329</v>
      </c>
      <c r="N8167" s="8" t="s">
        <v>35966</v>
      </c>
      <c r="O8167" s="8">
        <f>3+30/60+36.5/3600</f>
        <v>3.5101388888888887</v>
      </c>
      <c r="P8167" s="8" t="s">
        <v>35967</v>
      </c>
      <c r="Q8167" s="8">
        <f>-(14+25/60+30/3600)</f>
        <v>-14.424999999999999</v>
      </c>
      <c r="R8167" s="8">
        <v>14.2</v>
      </c>
      <c r="S8167" s="8">
        <v>15.2</v>
      </c>
      <c r="T8167" s="8">
        <v>1</v>
      </c>
      <c r="U8167" s="8">
        <v>14.4</v>
      </c>
      <c r="V8167" s="8">
        <v>1.3</v>
      </c>
      <c r="W8167" s="8">
        <v>0.9</v>
      </c>
      <c r="X8167" s="8">
        <v>114</v>
      </c>
      <c r="Y8167" s="8" t="s">
        <v>35968</v>
      </c>
      <c r="Z8167" s="8" t="s">
        <v>35969</v>
      </c>
    </row>
    <row r="8168" spans="1:26" x14ac:dyDescent="0.2">
      <c r="A8168" s="8">
        <v>8167</v>
      </c>
      <c r="B8168" s="8" t="s">
        <v>35970</v>
      </c>
      <c r="C8168" s="8" t="s">
        <v>35970</v>
      </c>
      <c r="G8168" s="8">
        <v>20</v>
      </c>
      <c r="H8168" s="8" t="s">
        <v>21</v>
      </c>
      <c r="I8168" s="8" t="s">
        <v>22</v>
      </c>
      <c r="J8168" s="8" t="s">
        <v>22</v>
      </c>
      <c r="K8168" s="8" t="s">
        <v>160</v>
      </c>
      <c r="L8168" s="8" t="s">
        <v>3328</v>
      </c>
      <c r="M8168" s="8" t="s">
        <v>3329</v>
      </c>
      <c r="N8168" s="8" t="s">
        <v>35971</v>
      </c>
      <c r="O8168" s="8">
        <f>3+31/60+10.2/3600</f>
        <v>3.5194999999999999</v>
      </c>
      <c r="P8168" s="8" t="s">
        <v>35972</v>
      </c>
      <c r="Q8168" s="8">
        <f>-(14+41/60+32/3600)</f>
        <v>-14.692222222222222</v>
      </c>
      <c r="R8168" s="8">
        <v>14.7</v>
      </c>
      <c r="S8168" s="8">
        <v>15.5</v>
      </c>
      <c r="T8168" s="8">
        <v>0.8</v>
      </c>
      <c r="U8168" s="8">
        <v>13.2</v>
      </c>
      <c r="V8168" s="8">
        <v>0.7</v>
      </c>
      <c r="W8168" s="8">
        <v>0.4</v>
      </c>
      <c r="X8168" s="8">
        <v>60</v>
      </c>
      <c r="Y8168" s="8" t="s">
        <v>35973</v>
      </c>
      <c r="Z8168" s="8" t="s">
        <v>35974</v>
      </c>
    </row>
    <row r="8169" spans="1:26" x14ac:dyDescent="0.2">
      <c r="A8169" s="8">
        <v>8168</v>
      </c>
      <c r="B8169" s="8" t="s">
        <v>35975</v>
      </c>
      <c r="C8169" s="8" t="s">
        <v>35975</v>
      </c>
      <c r="G8169" s="8">
        <v>20</v>
      </c>
      <c r="H8169" s="8" t="s">
        <v>21</v>
      </c>
      <c r="I8169" s="8" t="s">
        <v>22</v>
      </c>
      <c r="J8169" s="8" t="s">
        <v>22</v>
      </c>
      <c r="K8169" s="8" t="s">
        <v>160</v>
      </c>
      <c r="L8169" s="8" t="s">
        <v>3328</v>
      </c>
      <c r="M8169" s="8" t="s">
        <v>3329</v>
      </c>
      <c r="N8169" s="8" t="s">
        <v>35976</v>
      </c>
      <c r="O8169" s="8">
        <f>3+31/60+11/3600</f>
        <v>3.5197222222222222</v>
      </c>
      <c r="P8169" s="8" t="s">
        <v>35977</v>
      </c>
      <c r="Q8169" s="8">
        <f>-(14+38/60+16/3600)</f>
        <v>-14.637777777777778</v>
      </c>
      <c r="R8169" s="8">
        <v>14.1</v>
      </c>
      <c r="S8169" s="8">
        <v>14.8</v>
      </c>
      <c r="T8169" s="8">
        <v>0.7</v>
      </c>
      <c r="U8169" s="8">
        <v>12.2</v>
      </c>
      <c r="V8169" s="8">
        <v>0.5</v>
      </c>
      <c r="W8169" s="8">
        <v>0.4</v>
      </c>
      <c r="X8169" s="8">
        <v>15</v>
      </c>
      <c r="Y8169" s="8" t="s">
        <v>27240</v>
      </c>
      <c r="Z8169" s="8" t="s">
        <v>27241</v>
      </c>
    </row>
    <row r="8170" spans="1:26" x14ac:dyDescent="0.2">
      <c r="A8170" s="8">
        <v>8169</v>
      </c>
      <c r="B8170" s="8" t="s">
        <v>35978</v>
      </c>
      <c r="C8170" s="8" t="s">
        <v>35978</v>
      </c>
      <c r="G8170" s="8">
        <v>20</v>
      </c>
      <c r="H8170" s="8" t="s">
        <v>21</v>
      </c>
      <c r="I8170" s="8" t="s">
        <v>22</v>
      </c>
      <c r="J8170" s="8" t="s">
        <v>22</v>
      </c>
      <c r="K8170" s="8" t="s">
        <v>476</v>
      </c>
      <c r="L8170" s="8" t="s">
        <v>6115</v>
      </c>
      <c r="M8170" s="8" t="s">
        <v>6116</v>
      </c>
      <c r="N8170" s="8" t="s">
        <v>35979</v>
      </c>
      <c r="O8170" s="8">
        <f>3+32/60+1.3/3600</f>
        <v>3.5336944444444445</v>
      </c>
      <c r="P8170" s="8" t="s">
        <v>35980</v>
      </c>
      <c r="Q8170" s="8">
        <f>+(0+16/60+48/3600)</f>
        <v>0.27999999999999997</v>
      </c>
      <c r="R8170" s="8">
        <v>14.3</v>
      </c>
      <c r="S8170" s="8">
        <v>15.2</v>
      </c>
      <c r="T8170" s="8">
        <v>0.9</v>
      </c>
      <c r="U8170" s="8">
        <v>13</v>
      </c>
      <c r="V8170" s="8">
        <v>0.9</v>
      </c>
      <c r="W8170" s="8">
        <v>0.4</v>
      </c>
      <c r="X8170" s="8">
        <v>63</v>
      </c>
      <c r="Y8170" s="8" t="s">
        <v>1212</v>
      </c>
      <c r="Z8170" s="8" t="s">
        <v>1213</v>
      </c>
    </row>
    <row r="8171" spans="1:26" x14ac:dyDescent="0.2">
      <c r="A8171" s="8">
        <v>8170</v>
      </c>
      <c r="B8171" s="8" t="s">
        <v>35981</v>
      </c>
      <c r="C8171" s="8" t="s">
        <v>35981</v>
      </c>
      <c r="G8171" s="8">
        <v>20</v>
      </c>
      <c r="H8171" s="8" t="s">
        <v>21</v>
      </c>
      <c r="I8171" s="8" t="s">
        <v>22</v>
      </c>
      <c r="J8171" s="8" t="s">
        <v>22</v>
      </c>
      <c r="K8171" s="8" t="s">
        <v>31</v>
      </c>
      <c r="L8171" s="8" t="s">
        <v>6115</v>
      </c>
      <c r="M8171" s="8" t="s">
        <v>6116</v>
      </c>
      <c r="N8171" s="8" t="s">
        <v>35982</v>
      </c>
      <c r="O8171" s="8">
        <f>3+32/60+7.9/3600</f>
        <v>3.5355277777777778</v>
      </c>
      <c r="P8171" s="8" t="s">
        <v>35983</v>
      </c>
      <c r="Q8171" s="8">
        <f>+(0+21/60+12/3600)</f>
        <v>0.35333333333333333</v>
      </c>
      <c r="R8171" s="8">
        <v>14.1</v>
      </c>
      <c r="S8171" s="8">
        <v>14.9</v>
      </c>
      <c r="T8171" s="8">
        <v>0.8</v>
      </c>
      <c r="U8171" s="8">
        <v>12.8</v>
      </c>
      <c r="V8171" s="8">
        <v>1.2</v>
      </c>
      <c r="W8171" s="8">
        <v>0.3</v>
      </c>
      <c r="X8171" s="8">
        <v>78</v>
      </c>
      <c r="Y8171" s="8" t="s">
        <v>1212</v>
      </c>
      <c r="Z8171" s="8" t="s">
        <v>1213</v>
      </c>
    </row>
    <row r="8172" spans="1:26" x14ac:dyDescent="0.2">
      <c r="A8172" s="8">
        <v>8171</v>
      </c>
      <c r="B8172" s="8" t="s">
        <v>35984</v>
      </c>
      <c r="C8172" s="8" t="s">
        <v>35984</v>
      </c>
      <c r="G8172" s="8">
        <v>20</v>
      </c>
      <c r="H8172" s="8" t="s">
        <v>21</v>
      </c>
      <c r="I8172" s="8" t="s">
        <v>22</v>
      </c>
      <c r="J8172" s="8" t="s">
        <v>22</v>
      </c>
      <c r="K8172" s="8" t="s">
        <v>449</v>
      </c>
      <c r="L8172" s="8" t="s">
        <v>6115</v>
      </c>
      <c r="M8172" s="8" t="s">
        <v>6116</v>
      </c>
      <c r="N8172" s="8" t="s">
        <v>35985</v>
      </c>
      <c r="O8172" s="8">
        <f>3+32/60+19/3600</f>
        <v>3.5386111111111109</v>
      </c>
      <c r="P8172" s="8" t="s">
        <v>35986</v>
      </c>
      <c r="Q8172" s="8">
        <f>+(0+16/60+58/3600)</f>
        <v>0.28277777777777779</v>
      </c>
      <c r="R8172" s="8">
        <v>13.9</v>
      </c>
      <c r="S8172" s="8">
        <v>14.7</v>
      </c>
      <c r="T8172" s="8">
        <v>0.8</v>
      </c>
      <c r="U8172" s="8">
        <v>13.5</v>
      </c>
      <c r="V8172" s="8">
        <v>0.9</v>
      </c>
      <c r="W8172" s="8">
        <v>0.9</v>
      </c>
      <c r="Y8172" s="8" t="s">
        <v>35987</v>
      </c>
      <c r="Z8172" s="8" t="s">
        <v>35988</v>
      </c>
    </row>
    <row r="8173" spans="1:26" x14ac:dyDescent="0.2">
      <c r="A8173" s="8">
        <v>8172</v>
      </c>
      <c r="B8173" s="8" t="s">
        <v>35989</v>
      </c>
      <c r="C8173" s="8" t="s">
        <v>35989</v>
      </c>
      <c r="G8173" s="8">
        <v>20</v>
      </c>
      <c r="H8173" s="8" t="s">
        <v>21</v>
      </c>
      <c r="I8173" s="8" t="s">
        <v>22</v>
      </c>
      <c r="J8173" s="8" t="s">
        <v>22</v>
      </c>
      <c r="K8173" s="8" t="s">
        <v>632</v>
      </c>
      <c r="L8173" s="8" t="s">
        <v>6115</v>
      </c>
      <c r="M8173" s="8" t="s">
        <v>6116</v>
      </c>
      <c r="N8173" s="8" t="s">
        <v>35990</v>
      </c>
      <c r="O8173" s="8">
        <f>3+32/60+37.4/3600</f>
        <v>3.5437222222222222</v>
      </c>
      <c r="P8173" s="8" t="s">
        <v>35991</v>
      </c>
      <c r="Q8173" s="8">
        <f>+(1+22/60+59/3600)</f>
        <v>1.3830555555555555</v>
      </c>
      <c r="R8173" s="8">
        <v>13.7</v>
      </c>
      <c r="S8173" s="8">
        <v>14.6</v>
      </c>
      <c r="T8173" s="8">
        <v>0.9</v>
      </c>
      <c r="U8173" s="8">
        <v>12.7</v>
      </c>
      <c r="V8173" s="8">
        <v>0.9</v>
      </c>
      <c r="W8173" s="8">
        <v>0.5</v>
      </c>
      <c r="X8173" s="8">
        <v>42</v>
      </c>
      <c r="Y8173" s="8" t="s">
        <v>35992</v>
      </c>
      <c r="Z8173" s="8" t="s">
        <v>35993</v>
      </c>
    </row>
    <row r="8174" spans="1:26" x14ac:dyDescent="0.2">
      <c r="A8174" s="8">
        <v>8173</v>
      </c>
      <c r="B8174" s="8" t="s">
        <v>35994</v>
      </c>
      <c r="C8174" s="8" t="s">
        <v>35994</v>
      </c>
      <c r="G8174" s="8">
        <v>20</v>
      </c>
      <c r="H8174" s="8" t="s">
        <v>21</v>
      </c>
      <c r="I8174" s="8" t="s">
        <v>329</v>
      </c>
      <c r="J8174" s="8" t="s">
        <v>329</v>
      </c>
      <c r="K8174" s="8" t="s">
        <v>329</v>
      </c>
      <c r="L8174" s="8" t="s">
        <v>3328</v>
      </c>
      <c r="M8174" s="8" t="s">
        <v>3329</v>
      </c>
      <c r="N8174" s="8" t="s">
        <v>35995</v>
      </c>
      <c r="O8174" s="8">
        <f>3+34/60+0.7/3600</f>
        <v>3.5668611111111108</v>
      </c>
      <c r="P8174" s="8" t="s">
        <v>35996</v>
      </c>
      <c r="Q8174" s="8">
        <f>-(5+6/60+26/3600)</f>
        <v>-5.1072222222222221</v>
      </c>
      <c r="R8174" s="8">
        <v>99</v>
      </c>
      <c r="S8174" s="8">
        <v>99</v>
      </c>
      <c r="T8174" s="8">
        <v>99</v>
      </c>
      <c r="U8174" s="8">
        <v>99</v>
      </c>
      <c r="Y8174" s="8" t="s">
        <v>35997</v>
      </c>
      <c r="Z8174" s="8" t="s">
        <v>35998</v>
      </c>
    </row>
    <row r="8175" spans="1:26" x14ac:dyDescent="0.2">
      <c r="A8175" s="8">
        <v>8174</v>
      </c>
      <c r="B8175" s="8" t="s">
        <v>35999</v>
      </c>
      <c r="C8175" s="8" t="s">
        <v>35999</v>
      </c>
      <c r="G8175" s="8">
        <v>20</v>
      </c>
      <c r="H8175" s="8" t="s">
        <v>21</v>
      </c>
      <c r="I8175" s="8" t="s">
        <v>22</v>
      </c>
      <c r="J8175" s="8" t="s">
        <v>22</v>
      </c>
      <c r="K8175" s="8" t="s">
        <v>36000</v>
      </c>
      <c r="L8175" s="8" t="s">
        <v>6823</v>
      </c>
      <c r="M8175" s="8" t="s">
        <v>6824</v>
      </c>
      <c r="N8175" s="8" t="s">
        <v>6683</v>
      </c>
      <c r="O8175" s="8">
        <f>3+45/60+17.1/3600</f>
        <v>3.75475</v>
      </c>
      <c r="P8175" s="8" t="s">
        <v>36001</v>
      </c>
      <c r="Q8175" s="8">
        <f>+(76+38/60+15/3600)</f>
        <v>76.637500000000003</v>
      </c>
      <c r="R8175" s="8">
        <v>11.3</v>
      </c>
      <c r="S8175" s="8">
        <v>12.5</v>
      </c>
      <c r="T8175" s="8">
        <v>1.2</v>
      </c>
      <c r="U8175" s="8">
        <v>12.9</v>
      </c>
      <c r="V8175" s="8">
        <v>2.5</v>
      </c>
      <c r="W8175" s="8">
        <v>2.1</v>
      </c>
      <c r="X8175" s="8">
        <v>51</v>
      </c>
      <c r="Y8175" s="8" t="s">
        <v>36002</v>
      </c>
      <c r="Z8175" s="8" t="s">
        <v>36003</v>
      </c>
    </row>
    <row r="8176" spans="1:26" x14ac:dyDescent="0.2">
      <c r="A8176" s="8">
        <v>8175</v>
      </c>
      <c r="B8176" s="8" t="s">
        <v>36004</v>
      </c>
      <c r="C8176" s="8" t="s">
        <v>36004</v>
      </c>
      <c r="G8176" s="8">
        <v>20</v>
      </c>
      <c r="H8176" s="8" t="s">
        <v>21</v>
      </c>
      <c r="I8176" s="8" t="s">
        <v>22</v>
      </c>
      <c r="J8176" s="8" t="s">
        <v>57</v>
      </c>
      <c r="K8176" s="8" t="s">
        <v>37</v>
      </c>
      <c r="L8176" s="8" t="s">
        <v>3335</v>
      </c>
      <c r="M8176" s="8" t="s">
        <v>3336</v>
      </c>
      <c r="N8176" s="8" t="s">
        <v>36005</v>
      </c>
      <c r="O8176" s="8">
        <f>3+35/60+31.2/3600</f>
        <v>3.5920000000000001</v>
      </c>
      <c r="P8176" s="8" t="s">
        <v>36006</v>
      </c>
      <c r="Q8176" s="8">
        <f>-(34+26/60+48/3600)</f>
        <v>-34.446666666666665</v>
      </c>
      <c r="R8176" s="8">
        <v>12.1</v>
      </c>
      <c r="S8176" s="8">
        <v>13.1</v>
      </c>
      <c r="T8176" s="8">
        <v>1</v>
      </c>
      <c r="U8176" s="8">
        <v>12.6</v>
      </c>
      <c r="V8176" s="8">
        <v>2.6</v>
      </c>
      <c r="W8176" s="8">
        <v>0.7</v>
      </c>
      <c r="X8176" s="8">
        <v>84</v>
      </c>
      <c r="Y8176" s="8" t="s">
        <v>36007</v>
      </c>
      <c r="Z8176" s="8" t="s">
        <v>36008</v>
      </c>
    </row>
    <row r="8177" spans="1:26" x14ac:dyDescent="0.2">
      <c r="A8177" s="8">
        <v>8176</v>
      </c>
      <c r="B8177" s="8" t="s">
        <v>36009</v>
      </c>
      <c r="C8177" s="8" t="s">
        <v>36009</v>
      </c>
      <c r="G8177" s="8">
        <v>20</v>
      </c>
      <c r="H8177" s="8" t="s">
        <v>21</v>
      </c>
      <c r="I8177" s="8" t="s">
        <v>1283</v>
      </c>
      <c r="J8177" s="8" t="s">
        <v>1283</v>
      </c>
      <c r="K8177" s="8" t="s">
        <v>1284</v>
      </c>
      <c r="L8177" s="8" t="s">
        <v>6115</v>
      </c>
      <c r="M8177" s="8" t="s">
        <v>6116</v>
      </c>
      <c r="N8177" s="8" t="s">
        <v>36010</v>
      </c>
      <c r="O8177" s="8">
        <f>3+37/60+0/3600</f>
        <v>3.6166666666666667</v>
      </c>
      <c r="P8177" s="8" t="s">
        <v>36011</v>
      </c>
      <c r="Q8177" s="8">
        <f>+(23+24/60+0/3600)</f>
        <v>23.4</v>
      </c>
      <c r="R8177" s="8">
        <v>99</v>
      </c>
      <c r="S8177" s="8">
        <v>99</v>
      </c>
      <c r="T8177" s="8">
        <v>99</v>
      </c>
      <c r="U8177" s="8">
        <v>99</v>
      </c>
      <c r="Y8177" s="8" t="s">
        <v>36012</v>
      </c>
      <c r="Z8177" s="8" t="s">
        <v>36013</v>
      </c>
    </row>
    <row r="8178" spans="1:26" x14ac:dyDescent="0.2">
      <c r="A8178" s="8">
        <v>8177</v>
      </c>
      <c r="B8178" s="8" t="s">
        <v>36014</v>
      </c>
      <c r="C8178" s="8" t="s">
        <v>36014</v>
      </c>
      <c r="G8178" s="8">
        <v>20</v>
      </c>
      <c r="H8178" s="8" t="s">
        <v>21</v>
      </c>
      <c r="I8178" s="8" t="s">
        <v>22</v>
      </c>
      <c r="J8178" s="8" t="s">
        <v>22</v>
      </c>
      <c r="K8178" s="8" t="s">
        <v>323</v>
      </c>
      <c r="L8178" s="8" t="s">
        <v>3328</v>
      </c>
      <c r="M8178" s="8" t="s">
        <v>3329</v>
      </c>
      <c r="N8178" s="8" t="s">
        <v>36015</v>
      </c>
      <c r="O8178" s="8">
        <f>3+36/60+21.3/3600</f>
        <v>3.6059166666666669</v>
      </c>
      <c r="P8178" s="8" t="s">
        <v>36016</v>
      </c>
      <c r="Q8178" s="8">
        <f>-(6+42/60+54/3600)</f>
        <v>-6.7149999999999999</v>
      </c>
      <c r="R8178" s="8">
        <v>14.9</v>
      </c>
      <c r="S8178" s="8">
        <v>15.5</v>
      </c>
      <c r="T8178" s="8">
        <v>0.6</v>
      </c>
      <c r="U8178" s="8">
        <v>15.3</v>
      </c>
      <c r="V8178" s="8">
        <v>1.6</v>
      </c>
      <c r="W8178" s="8">
        <v>1</v>
      </c>
      <c r="X8178" s="8">
        <v>165</v>
      </c>
      <c r="Y8178" s="8" t="s">
        <v>36017</v>
      </c>
      <c r="Z8178" s="8" t="s">
        <v>36018</v>
      </c>
    </row>
    <row r="8179" spans="1:26" x14ac:dyDescent="0.2">
      <c r="A8179" s="8">
        <v>8178</v>
      </c>
      <c r="B8179" s="8" t="s">
        <v>36019</v>
      </c>
      <c r="C8179" s="8" t="s">
        <v>36019</v>
      </c>
      <c r="G8179" s="8">
        <v>20</v>
      </c>
      <c r="H8179" s="8" t="s">
        <v>21</v>
      </c>
      <c r="I8179" s="8" t="s">
        <v>22</v>
      </c>
      <c r="J8179" s="8" t="s">
        <v>22</v>
      </c>
      <c r="K8179" s="8" t="s">
        <v>476</v>
      </c>
      <c r="L8179" s="8" t="s">
        <v>6115</v>
      </c>
      <c r="M8179" s="8" t="s">
        <v>6116</v>
      </c>
      <c r="N8179" s="8" t="s">
        <v>36020</v>
      </c>
      <c r="O8179" s="8">
        <f>3+37/60+38.1/3600</f>
        <v>3.6272500000000001</v>
      </c>
      <c r="P8179" s="8" t="s">
        <v>33121</v>
      </c>
      <c r="Q8179" s="8">
        <f>+(3+7/60+6/3600)</f>
        <v>3.1183333333333332</v>
      </c>
      <c r="R8179" s="8">
        <v>13.8</v>
      </c>
      <c r="S8179" s="8">
        <v>14.7</v>
      </c>
      <c r="T8179" s="8">
        <v>0.9</v>
      </c>
      <c r="U8179" s="8">
        <v>13</v>
      </c>
      <c r="V8179" s="8">
        <v>0.8</v>
      </c>
      <c r="W8179" s="8">
        <v>0.7</v>
      </c>
      <c r="X8179" s="8">
        <v>171</v>
      </c>
      <c r="Y8179" s="8" t="s">
        <v>36021</v>
      </c>
      <c r="Z8179" s="8" t="s">
        <v>36022</v>
      </c>
    </row>
    <row r="8180" spans="1:26" x14ac:dyDescent="0.2">
      <c r="A8180" s="8">
        <v>8179</v>
      </c>
      <c r="B8180" s="8" t="s">
        <v>36023</v>
      </c>
      <c r="C8180" s="8" t="s">
        <v>36023</v>
      </c>
      <c r="G8180" s="8">
        <v>20</v>
      </c>
      <c r="H8180" s="8" t="s">
        <v>21</v>
      </c>
      <c r="I8180" s="8" t="s">
        <v>72</v>
      </c>
      <c r="J8180" s="8" t="s">
        <v>72</v>
      </c>
      <c r="K8180" s="8" t="s">
        <v>20</v>
      </c>
      <c r="L8180" s="8" t="s">
        <v>3328</v>
      </c>
      <c r="M8180" s="8" t="s">
        <v>3329</v>
      </c>
      <c r="N8180" s="8" t="s">
        <v>36024</v>
      </c>
      <c r="O8180" s="8">
        <f>3+38/60+1.9/3600</f>
        <v>3.633861111111111</v>
      </c>
      <c r="P8180" s="8" t="s">
        <v>36025</v>
      </c>
      <c r="Q8180" s="8">
        <f>-(18+23/60+59/3600)</f>
        <v>-18.399722222222223</v>
      </c>
      <c r="R8180" s="8">
        <v>99</v>
      </c>
      <c r="S8180" s="8">
        <v>12.4</v>
      </c>
      <c r="T8180" s="8">
        <v>99</v>
      </c>
      <c r="U8180" s="8">
        <v>99</v>
      </c>
      <c r="Y8180" s="8" t="s">
        <v>36026</v>
      </c>
      <c r="Z8180" s="8" t="s">
        <v>36027</v>
      </c>
    </row>
    <row r="8181" spans="1:26" x14ac:dyDescent="0.2">
      <c r="A8181" s="8">
        <v>8180</v>
      </c>
      <c r="B8181" s="8" t="s">
        <v>36028</v>
      </c>
      <c r="C8181" s="8" t="s">
        <v>36028</v>
      </c>
      <c r="G8181" s="8">
        <v>20</v>
      </c>
      <c r="H8181" s="8" t="s">
        <v>21</v>
      </c>
      <c r="I8181" s="8" t="s">
        <v>22</v>
      </c>
      <c r="J8181" s="8" t="s">
        <v>22</v>
      </c>
      <c r="K8181" s="8" t="s">
        <v>37</v>
      </c>
      <c r="L8181" s="8" t="s">
        <v>3328</v>
      </c>
      <c r="M8181" s="8" t="s">
        <v>3329</v>
      </c>
      <c r="N8181" s="8" t="s">
        <v>36029</v>
      </c>
      <c r="O8181" s="8">
        <f>3+39/60+28.9/3600</f>
        <v>3.6580277777777779</v>
      </c>
      <c r="P8181" s="8" t="s">
        <v>36030</v>
      </c>
      <c r="Q8181" s="8">
        <f>-(13+6/60+54/3600)</f>
        <v>-13.115</v>
      </c>
      <c r="R8181" s="8">
        <v>13.5</v>
      </c>
      <c r="S8181" s="8">
        <v>14.5</v>
      </c>
      <c r="T8181" s="8">
        <v>1</v>
      </c>
      <c r="U8181" s="8">
        <v>13.3</v>
      </c>
      <c r="V8181" s="8">
        <v>1.5</v>
      </c>
      <c r="W8181" s="8">
        <v>0.6</v>
      </c>
      <c r="X8181" s="8">
        <v>90</v>
      </c>
      <c r="Y8181" s="8" t="s">
        <v>36031</v>
      </c>
      <c r="Z8181" s="8" t="s">
        <v>36032</v>
      </c>
    </row>
    <row r="8182" spans="1:26" x14ac:dyDescent="0.2">
      <c r="A8182" s="8">
        <v>8181</v>
      </c>
      <c r="B8182" s="8" t="s">
        <v>36033</v>
      </c>
      <c r="C8182" s="8" t="s">
        <v>36033</v>
      </c>
      <c r="G8182" s="8">
        <v>20</v>
      </c>
      <c r="H8182" s="8" t="s">
        <v>21</v>
      </c>
      <c r="I8182" s="8" t="s">
        <v>1283</v>
      </c>
      <c r="J8182" s="8" t="s">
        <v>1283</v>
      </c>
      <c r="K8182" s="8" t="s">
        <v>1284</v>
      </c>
      <c r="L8182" s="8" t="s">
        <v>6115</v>
      </c>
      <c r="M8182" s="8" t="s">
        <v>6116</v>
      </c>
      <c r="N8182" s="8" t="s">
        <v>36034</v>
      </c>
      <c r="O8182" s="8">
        <f>3+40/60+0/3600</f>
        <v>3.6666666666666665</v>
      </c>
      <c r="P8182" s="8" t="s">
        <v>36035</v>
      </c>
      <c r="Q8182" s="8">
        <f>+(22+0/60+0/3600)</f>
        <v>22</v>
      </c>
      <c r="R8182" s="8">
        <v>99</v>
      </c>
      <c r="S8182" s="8">
        <v>99</v>
      </c>
      <c r="T8182" s="8">
        <v>99</v>
      </c>
      <c r="U8182" s="8">
        <v>99</v>
      </c>
      <c r="V8182" s="8">
        <v>135</v>
      </c>
      <c r="Y8182" s="8" t="s">
        <v>36012</v>
      </c>
      <c r="Z8182" s="8" t="s">
        <v>36013</v>
      </c>
    </row>
    <row r="8183" spans="1:26" x14ac:dyDescent="0.2">
      <c r="A8183" s="8">
        <v>8182</v>
      </c>
      <c r="B8183" s="8" t="s">
        <v>36036</v>
      </c>
      <c r="C8183" s="8" t="s">
        <v>36036</v>
      </c>
      <c r="G8183" s="8">
        <v>2</v>
      </c>
      <c r="H8183" s="8" t="s">
        <v>36037</v>
      </c>
      <c r="I8183" s="8" t="s">
        <v>22</v>
      </c>
      <c r="J8183" s="8" t="s">
        <v>22</v>
      </c>
      <c r="K8183" s="8" t="s">
        <v>64</v>
      </c>
      <c r="L8183" s="8" t="s">
        <v>6823</v>
      </c>
      <c r="M8183" s="8" t="s">
        <v>6824</v>
      </c>
      <c r="N8183" s="8" t="s">
        <v>36038</v>
      </c>
      <c r="O8183" s="8">
        <f>3+46/60+48.4/3600</f>
        <v>3.7801111111111112</v>
      </c>
      <c r="P8183" s="8" t="s">
        <v>36039</v>
      </c>
      <c r="Q8183" s="8">
        <f>+(68+5/60+44/3600)</f>
        <v>68.095555555555549</v>
      </c>
      <c r="R8183" s="8">
        <v>8.4</v>
      </c>
      <c r="S8183" s="8">
        <v>9.1</v>
      </c>
      <c r="T8183" s="8">
        <v>0.7</v>
      </c>
      <c r="U8183" s="8">
        <v>14.9</v>
      </c>
      <c r="V8183" s="8">
        <v>21.4</v>
      </c>
      <c r="W8183" s="8">
        <v>20.9</v>
      </c>
      <c r="X8183" s="8">
        <v>168</v>
      </c>
      <c r="Y8183" s="8" t="s">
        <v>36040</v>
      </c>
      <c r="Z8183" s="8" t="s">
        <v>36041</v>
      </c>
    </row>
    <row r="8184" spans="1:26" x14ac:dyDescent="0.2">
      <c r="A8184" s="8">
        <v>8183</v>
      </c>
      <c r="B8184" s="8" t="s">
        <v>36042</v>
      </c>
      <c r="C8184" s="8" t="s">
        <v>36042</v>
      </c>
      <c r="G8184" s="8">
        <v>20</v>
      </c>
      <c r="H8184" s="8" t="s">
        <v>21</v>
      </c>
      <c r="I8184" s="8" t="s">
        <v>22</v>
      </c>
      <c r="J8184" s="8" t="s">
        <v>22</v>
      </c>
      <c r="K8184" s="8" t="s">
        <v>435</v>
      </c>
      <c r="L8184" s="8" t="s">
        <v>3328</v>
      </c>
      <c r="M8184" s="8" t="s">
        <v>3329</v>
      </c>
      <c r="N8184" s="8" t="s">
        <v>36043</v>
      </c>
      <c r="O8184" s="8">
        <f>3+40/60+7.1/3600</f>
        <v>3.6686388888888888</v>
      </c>
      <c r="P8184" s="8" t="s">
        <v>36044</v>
      </c>
      <c r="Q8184" s="8">
        <f>-(18+26/60+38/3600)</f>
        <v>-18.443888888888889</v>
      </c>
      <c r="R8184" s="8">
        <v>13.2</v>
      </c>
      <c r="S8184" s="8">
        <v>14.1</v>
      </c>
      <c r="T8184" s="8">
        <v>0.9</v>
      </c>
      <c r="U8184" s="8">
        <v>13.3</v>
      </c>
      <c r="V8184" s="8">
        <v>1.6</v>
      </c>
      <c r="W8184" s="8">
        <v>0.8</v>
      </c>
      <c r="X8184" s="8">
        <v>118</v>
      </c>
      <c r="Y8184" s="8" t="s">
        <v>36045</v>
      </c>
      <c r="Z8184" s="8" t="s">
        <v>36046</v>
      </c>
    </row>
    <row r="8185" spans="1:26" x14ac:dyDescent="0.2">
      <c r="A8185" s="8">
        <v>8184</v>
      </c>
      <c r="B8185" s="8" t="s">
        <v>36047</v>
      </c>
      <c r="C8185" s="8" t="s">
        <v>36047</v>
      </c>
      <c r="G8185" s="8">
        <v>16</v>
      </c>
      <c r="H8185" s="8" t="s">
        <v>21</v>
      </c>
      <c r="I8185" s="8" t="s">
        <v>22</v>
      </c>
      <c r="J8185" s="8" t="s">
        <v>22</v>
      </c>
      <c r="K8185" s="8" t="s">
        <v>85</v>
      </c>
      <c r="L8185" s="8" t="s">
        <v>3328</v>
      </c>
      <c r="M8185" s="8" t="s">
        <v>3329</v>
      </c>
      <c r="N8185" s="8" t="s">
        <v>36048</v>
      </c>
      <c r="O8185" s="8">
        <f>3+41/60+29.5/3600</f>
        <v>3.691527777777778</v>
      </c>
      <c r="P8185" s="8" t="s">
        <v>36049</v>
      </c>
      <c r="Q8185" s="8">
        <f>-(4+39/60+56/3600)</f>
        <v>-4.6655555555555557</v>
      </c>
      <c r="R8185" s="8">
        <v>14.2</v>
      </c>
      <c r="S8185" s="8">
        <v>15</v>
      </c>
      <c r="T8185" s="8">
        <v>0.8</v>
      </c>
      <c r="U8185" s="8">
        <v>12.9</v>
      </c>
      <c r="V8185" s="8">
        <v>0.9</v>
      </c>
      <c r="W8185" s="8">
        <v>0.4</v>
      </c>
      <c r="X8185" s="8">
        <v>45</v>
      </c>
      <c r="Y8185" s="8" t="s">
        <v>36050</v>
      </c>
      <c r="Z8185" s="8" t="s">
        <v>36051</v>
      </c>
    </row>
    <row r="8186" spans="1:26" x14ac:dyDescent="0.2">
      <c r="A8186" s="8">
        <v>8185</v>
      </c>
      <c r="B8186" s="8" t="s">
        <v>36052</v>
      </c>
      <c r="C8186" s="8" t="s">
        <v>36052</v>
      </c>
      <c r="G8186" s="8">
        <v>20</v>
      </c>
      <c r="H8186" s="8" t="s">
        <v>21</v>
      </c>
      <c r="I8186" s="8" t="s">
        <v>22</v>
      </c>
      <c r="J8186" s="8" t="s">
        <v>22</v>
      </c>
      <c r="K8186" s="8" t="s">
        <v>632</v>
      </c>
      <c r="L8186" s="8" t="s">
        <v>3328</v>
      </c>
      <c r="M8186" s="8" t="s">
        <v>3329</v>
      </c>
      <c r="N8186" s="8" t="s">
        <v>36053</v>
      </c>
      <c r="O8186" s="8">
        <f>3+41/60+9.1/3600</f>
        <v>3.6858611111111115</v>
      </c>
      <c r="P8186" s="8" t="s">
        <v>36054</v>
      </c>
      <c r="Q8186" s="8">
        <f>-(18+18/60+52/3600)</f>
        <v>-18.314444444444444</v>
      </c>
      <c r="R8186" s="8">
        <v>13.8</v>
      </c>
      <c r="S8186" s="8">
        <v>14.7</v>
      </c>
      <c r="T8186" s="8">
        <v>0.9</v>
      </c>
      <c r="U8186" s="8">
        <v>13</v>
      </c>
      <c r="V8186" s="8">
        <v>0.8</v>
      </c>
      <c r="W8186" s="8">
        <v>0.7</v>
      </c>
      <c r="X8186" s="8">
        <v>42</v>
      </c>
      <c r="Y8186" s="8" t="s">
        <v>3699</v>
      </c>
      <c r="Z8186" s="8" t="s">
        <v>3700</v>
      </c>
    </row>
    <row r="8187" spans="1:26" x14ac:dyDescent="0.2">
      <c r="A8187" s="8">
        <v>8186</v>
      </c>
      <c r="B8187" s="8" t="s">
        <v>36055</v>
      </c>
      <c r="C8187" s="8" t="s">
        <v>36055</v>
      </c>
      <c r="G8187" s="8">
        <v>20</v>
      </c>
      <c r="H8187" s="8" t="s">
        <v>21</v>
      </c>
      <c r="I8187" s="8" t="s">
        <v>329</v>
      </c>
      <c r="J8187" s="8" t="s">
        <v>329</v>
      </c>
      <c r="K8187" s="8" t="s">
        <v>329</v>
      </c>
      <c r="L8187" s="8" t="s">
        <v>3328</v>
      </c>
      <c r="M8187" s="8" t="s">
        <v>3329</v>
      </c>
      <c r="N8187" s="8" t="s">
        <v>36056</v>
      </c>
      <c r="O8187" s="8">
        <f>3+41/60+24.9/3600</f>
        <v>3.6902500000000003</v>
      </c>
      <c r="P8187" s="8" t="s">
        <v>36057</v>
      </c>
      <c r="Q8187" s="8">
        <f>-(18+22/60+16/3600)</f>
        <v>-18.371111111111112</v>
      </c>
      <c r="R8187" s="8">
        <v>99</v>
      </c>
      <c r="S8187" s="8">
        <v>99</v>
      </c>
      <c r="T8187" s="8">
        <v>99</v>
      </c>
      <c r="U8187" s="8">
        <v>99</v>
      </c>
      <c r="Y8187" s="8" t="s">
        <v>18269</v>
      </c>
      <c r="Z8187" s="8" t="s">
        <v>18270</v>
      </c>
    </row>
    <row r="8188" spans="1:26" x14ac:dyDescent="0.2">
      <c r="A8188" s="8">
        <v>8187</v>
      </c>
      <c r="B8188" s="8" t="s">
        <v>36058</v>
      </c>
      <c r="C8188" s="8" t="s">
        <v>36058</v>
      </c>
      <c r="G8188" s="8">
        <v>20</v>
      </c>
      <c r="H8188" s="8" t="s">
        <v>21</v>
      </c>
      <c r="I8188" s="8" t="s">
        <v>22</v>
      </c>
      <c r="J8188" s="8" t="s">
        <v>22</v>
      </c>
      <c r="K8188" s="8" t="s">
        <v>37</v>
      </c>
      <c r="L8188" s="8" t="s">
        <v>3328</v>
      </c>
      <c r="M8188" s="8" t="s">
        <v>3329</v>
      </c>
      <c r="N8188" s="8" t="s">
        <v>36059</v>
      </c>
      <c r="O8188" s="8">
        <f>3+42/60+32.5/3600</f>
        <v>3.709027777777778</v>
      </c>
      <c r="P8188" s="8" t="s">
        <v>36060</v>
      </c>
      <c r="Q8188" s="8">
        <f>-(4+17/60+55/3600)</f>
        <v>-4.2986111111111107</v>
      </c>
      <c r="R8188" s="8">
        <v>13</v>
      </c>
      <c r="S8188" s="8">
        <v>14</v>
      </c>
      <c r="T8188" s="8">
        <v>1</v>
      </c>
      <c r="U8188" s="8">
        <v>13</v>
      </c>
      <c r="V8188" s="8">
        <v>1.2</v>
      </c>
      <c r="W8188" s="8">
        <v>0.9</v>
      </c>
      <c r="X8188" s="8">
        <v>123</v>
      </c>
      <c r="Y8188" s="8" t="s">
        <v>24721</v>
      </c>
      <c r="Z8188" s="8" t="s">
        <v>24722</v>
      </c>
    </row>
    <row r="8189" spans="1:26" x14ac:dyDescent="0.2">
      <c r="A8189" s="8">
        <v>8188</v>
      </c>
      <c r="B8189" s="8" t="s">
        <v>36061</v>
      </c>
      <c r="C8189" s="8" t="s">
        <v>36061</v>
      </c>
      <c r="G8189" s="8">
        <v>5</v>
      </c>
      <c r="H8189" s="8" t="s">
        <v>36062</v>
      </c>
      <c r="I8189" s="8" t="s">
        <v>557</v>
      </c>
      <c r="J8189" s="8" t="s">
        <v>557</v>
      </c>
      <c r="K8189" s="8" t="s">
        <v>36063</v>
      </c>
      <c r="L8189" s="8" t="s">
        <v>3147</v>
      </c>
      <c r="M8189" s="8" t="s">
        <v>3148</v>
      </c>
      <c r="N8189" s="8" t="s">
        <v>36064</v>
      </c>
      <c r="O8189" s="8">
        <f>3+44/60+34.1/3600</f>
        <v>3.7428055555555555</v>
      </c>
      <c r="P8189" s="8" t="s">
        <v>36065</v>
      </c>
      <c r="Q8189" s="8">
        <f>+(32+9/60+47/3600)</f>
        <v>32.163055555555552</v>
      </c>
      <c r="R8189" s="8">
        <v>7.3</v>
      </c>
      <c r="S8189" s="8">
        <v>99</v>
      </c>
      <c r="T8189" s="8">
        <v>99</v>
      </c>
      <c r="U8189" s="8">
        <v>99</v>
      </c>
      <c r="V8189" s="8">
        <v>10</v>
      </c>
      <c r="Y8189" s="8" t="s">
        <v>36066</v>
      </c>
      <c r="Z8189" s="8" t="s">
        <v>36067</v>
      </c>
    </row>
    <row r="8190" spans="1:26" x14ac:dyDescent="0.2">
      <c r="A8190" s="8">
        <v>8189</v>
      </c>
      <c r="B8190" s="8" t="s">
        <v>36068</v>
      </c>
      <c r="C8190" s="8" t="s">
        <v>36068</v>
      </c>
      <c r="G8190" s="8">
        <v>9</v>
      </c>
      <c r="H8190" s="8" t="s">
        <v>36069</v>
      </c>
      <c r="I8190" s="8" t="s">
        <v>1283</v>
      </c>
      <c r="J8190" s="8" t="s">
        <v>1283</v>
      </c>
      <c r="K8190" s="8" t="s">
        <v>6208</v>
      </c>
      <c r="L8190" s="8" t="s">
        <v>6115</v>
      </c>
      <c r="M8190" s="8" t="s">
        <v>6116</v>
      </c>
      <c r="N8190" s="8" t="s">
        <v>36070</v>
      </c>
      <c r="O8190" s="8">
        <f>3+46/60+20/3600</f>
        <v>3.7722222222222221</v>
      </c>
      <c r="P8190" s="8" t="s">
        <v>36071</v>
      </c>
      <c r="Q8190" s="8">
        <f>+(23+56/60+23/3600)</f>
        <v>23.939722222222223</v>
      </c>
      <c r="R8190" s="8">
        <v>99</v>
      </c>
      <c r="S8190" s="8">
        <v>99</v>
      </c>
      <c r="T8190" s="8">
        <v>99</v>
      </c>
      <c r="U8190" s="8">
        <v>99</v>
      </c>
      <c r="V8190" s="8">
        <v>0.5</v>
      </c>
      <c r="W8190" s="8">
        <v>0.5</v>
      </c>
      <c r="Y8190" s="8" t="s">
        <v>36072</v>
      </c>
      <c r="Z8190" s="8" t="s">
        <v>36073</v>
      </c>
    </row>
    <row r="8191" spans="1:26" x14ac:dyDescent="0.2">
      <c r="A8191" s="8">
        <v>8190</v>
      </c>
      <c r="B8191" s="8" t="s">
        <v>36074</v>
      </c>
      <c r="C8191" s="8" t="s">
        <v>36074</v>
      </c>
      <c r="G8191" s="8">
        <v>20</v>
      </c>
      <c r="H8191" s="8" t="s">
        <v>21</v>
      </c>
      <c r="I8191" s="8" t="s">
        <v>22</v>
      </c>
      <c r="J8191" s="8" t="s">
        <v>22</v>
      </c>
      <c r="K8191" s="8" t="s">
        <v>31</v>
      </c>
      <c r="L8191" s="8" t="s">
        <v>3328</v>
      </c>
      <c r="M8191" s="8" t="s">
        <v>3329</v>
      </c>
      <c r="N8191" s="8" t="s">
        <v>36075</v>
      </c>
      <c r="O8191" s="8">
        <f>3+44/60+36.6/3600</f>
        <v>3.7435</v>
      </c>
      <c r="P8191" s="8" t="s">
        <v>36076</v>
      </c>
      <c r="Q8191" s="8">
        <f>-(11+48/60+3/3600)</f>
        <v>-11.800833333333333</v>
      </c>
      <c r="R8191" s="8">
        <v>13.8</v>
      </c>
      <c r="S8191" s="8">
        <v>14.6</v>
      </c>
      <c r="T8191" s="8">
        <v>0.8</v>
      </c>
      <c r="U8191" s="8">
        <v>13.6</v>
      </c>
      <c r="V8191" s="8">
        <v>1.2</v>
      </c>
      <c r="W8191" s="8">
        <v>0.8</v>
      </c>
      <c r="X8191" s="8">
        <v>171</v>
      </c>
      <c r="Y8191" s="8" t="s">
        <v>36077</v>
      </c>
      <c r="Z8191" s="8" t="s">
        <v>36078</v>
      </c>
    </row>
    <row r="8192" spans="1:26" x14ac:dyDescent="0.2">
      <c r="A8192" s="8">
        <v>8191</v>
      </c>
      <c r="B8192" s="8" t="s">
        <v>36079</v>
      </c>
      <c r="C8192" s="8" t="s">
        <v>36079</v>
      </c>
      <c r="G8192" s="8">
        <v>13</v>
      </c>
      <c r="H8192" s="8" t="s">
        <v>21</v>
      </c>
      <c r="I8192" s="8" t="s">
        <v>241</v>
      </c>
      <c r="J8192" s="8" t="s">
        <v>241</v>
      </c>
      <c r="K8192" s="8" t="s">
        <v>241</v>
      </c>
      <c r="L8192" s="8" t="s">
        <v>3147</v>
      </c>
      <c r="M8192" s="8" t="s">
        <v>3148</v>
      </c>
      <c r="N8192" s="8" t="s">
        <v>36080</v>
      </c>
      <c r="O8192" s="8">
        <f>3+47/60+33/3600</f>
        <v>3.7925</v>
      </c>
      <c r="P8192" s="8" t="s">
        <v>36081</v>
      </c>
      <c r="Q8192" s="8">
        <f>+(35+2/60+50/3600)</f>
        <v>35.047222222222217</v>
      </c>
      <c r="R8192" s="8">
        <v>11.9</v>
      </c>
      <c r="S8192" s="8">
        <v>12.4</v>
      </c>
      <c r="T8192" s="8">
        <v>99</v>
      </c>
      <c r="U8192" s="8">
        <v>99</v>
      </c>
      <c r="V8192" s="8">
        <v>0.3</v>
      </c>
      <c r="Y8192" s="8" t="s">
        <v>36082</v>
      </c>
      <c r="Z8192" s="8" t="s">
        <v>36083</v>
      </c>
    </row>
    <row r="8193" spans="1:26" x14ac:dyDescent="0.2">
      <c r="A8193" s="8">
        <v>8192</v>
      </c>
      <c r="B8193" s="8" t="s">
        <v>36084</v>
      </c>
      <c r="C8193" s="8" t="s">
        <v>36084</v>
      </c>
      <c r="G8193" s="8">
        <v>20</v>
      </c>
      <c r="H8193" s="8" t="s">
        <v>21</v>
      </c>
      <c r="I8193" s="8" t="s">
        <v>22</v>
      </c>
      <c r="J8193" s="8" t="s">
        <v>22</v>
      </c>
      <c r="K8193" s="8" t="s">
        <v>382</v>
      </c>
      <c r="L8193" s="8" t="s">
        <v>3328</v>
      </c>
      <c r="M8193" s="8" t="s">
        <v>3329</v>
      </c>
      <c r="N8193" s="8" t="s">
        <v>36085</v>
      </c>
      <c r="O8193" s="8">
        <f>3+47/60+37.4/3600</f>
        <v>3.7937222222222222</v>
      </c>
      <c r="P8193" s="8" t="s">
        <v>36086</v>
      </c>
      <c r="Q8193" s="8">
        <f>-(8+43/60+54/3600)</f>
        <v>-8.7316666666666674</v>
      </c>
      <c r="R8193" s="8">
        <v>15</v>
      </c>
      <c r="S8193" s="8">
        <v>16</v>
      </c>
      <c r="T8193" s="8">
        <v>1</v>
      </c>
      <c r="U8193" s="8">
        <v>13.5</v>
      </c>
      <c r="V8193" s="8">
        <v>0.6</v>
      </c>
      <c r="W8193" s="8">
        <v>0.4</v>
      </c>
      <c r="X8193" s="8">
        <v>130</v>
      </c>
      <c r="Y8193" s="8" t="s">
        <v>3952</v>
      </c>
      <c r="Z8193" s="8" t="s">
        <v>3953</v>
      </c>
    </row>
    <row r="8194" spans="1:26" x14ac:dyDescent="0.2">
      <c r="A8194" s="8">
        <v>8193</v>
      </c>
      <c r="B8194" s="8" t="s">
        <v>36087</v>
      </c>
      <c r="C8194" s="8" t="s">
        <v>36087</v>
      </c>
      <c r="G8194" s="8">
        <v>20</v>
      </c>
      <c r="H8194" s="8" t="s">
        <v>21</v>
      </c>
      <c r="I8194" s="8" t="s">
        <v>1283</v>
      </c>
      <c r="J8194" s="8" t="s">
        <v>1283</v>
      </c>
      <c r="K8194" s="8" t="s">
        <v>1284</v>
      </c>
      <c r="L8194" s="8" t="s">
        <v>6115</v>
      </c>
      <c r="M8194" s="8" t="s">
        <v>6116</v>
      </c>
      <c r="N8194" s="8" t="s">
        <v>36088</v>
      </c>
      <c r="O8194" s="8">
        <f>3+53/60+0.3/3600</f>
        <v>3.8834166666666667</v>
      </c>
      <c r="P8194" s="8" t="s">
        <v>36089</v>
      </c>
      <c r="Q8194" s="8">
        <f>+(25+48/60+0/3600)</f>
        <v>25.8</v>
      </c>
      <c r="R8194" s="8">
        <v>99</v>
      </c>
      <c r="S8194" s="8">
        <v>99</v>
      </c>
      <c r="T8194" s="8">
        <v>99</v>
      </c>
      <c r="U8194" s="8">
        <v>99</v>
      </c>
      <c r="V8194" s="8">
        <v>180</v>
      </c>
      <c r="W8194" s="8">
        <v>30</v>
      </c>
      <c r="Y8194" s="8" t="s">
        <v>36012</v>
      </c>
      <c r="Z8194" s="8" t="s">
        <v>36013</v>
      </c>
    </row>
    <row r="8195" spans="1:26" x14ac:dyDescent="0.2">
      <c r="A8195" s="8">
        <v>8194</v>
      </c>
      <c r="B8195" s="8" t="s">
        <v>36090</v>
      </c>
      <c r="C8195" s="8" t="s">
        <v>36090</v>
      </c>
      <c r="G8195" s="8">
        <v>20</v>
      </c>
      <c r="H8195" s="8" t="s">
        <v>21</v>
      </c>
      <c r="I8195" s="8" t="s">
        <v>1283</v>
      </c>
      <c r="J8195" s="8" t="s">
        <v>1283</v>
      </c>
      <c r="K8195" s="8" t="s">
        <v>1284</v>
      </c>
      <c r="L8195" s="8" t="s">
        <v>6115</v>
      </c>
      <c r="M8195" s="8" t="s">
        <v>6116</v>
      </c>
      <c r="N8195" s="8" t="s">
        <v>36091</v>
      </c>
      <c r="O8195" s="8">
        <f>3+53/60+0/3600</f>
        <v>3.8833333333333333</v>
      </c>
      <c r="P8195" s="8" t="s">
        <v>22844</v>
      </c>
      <c r="Q8195" s="8">
        <f>+(23+0/60+0/3600)</f>
        <v>23</v>
      </c>
      <c r="R8195" s="8">
        <v>99</v>
      </c>
      <c r="S8195" s="8">
        <v>99</v>
      </c>
      <c r="T8195" s="8">
        <v>99</v>
      </c>
      <c r="U8195" s="8">
        <v>99</v>
      </c>
      <c r="V8195" s="8">
        <v>130</v>
      </c>
      <c r="Y8195" s="8" t="s">
        <v>36012</v>
      </c>
      <c r="Z8195" s="8" t="s">
        <v>36013</v>
      </c>
    </row>
    <row r="8196" spans="1:26" x14ac:dyDescent="0.2">
      <c r="A8196" s="8">
        <v>8195</v>
      </c>
      <c r="B8196" s="8" t="s">
        <v>36092</v>
      </c>
      <c r="C8196" s="8" t="s">
        <v>36092</v>
      </c>
      <c r="G8196" s="8">
        <v>20</v>
      </c>
      <c r="H8196" s="8" t="s">
        <v>21</v>
      </c>
      <c r="I8196" s="8" t="s">
        <v>22</v>
      </c>
      <c r="J8196" s="8" t="s">
        <v>22</v>
      </c>
      <c r="K8196" s="8" t="s">
        <v>160</v>
      </c>
      <c r="L8196" s="8" t="s">
        <v>6115</v>
      </c>
      <c r="M8196" s="8" t="s">
        <v>6116</v>
      </c>
      <c r="N8196" s="8" t="s">
        <v>36093</v>
      </c>
      <c r="O8196" s="8">
        <f>3+53/60+46.3/3600</f>
        <v>3.8961944444444443</v>
      </c>
      <c r="P8196" s="8" t="s">
        <v>36094</v>
      </c>
      <c r="Q8196" s="8">
        <f>+(19+58/60+27/3600)</f>
        <v>19.974166666666665</v>
      </c>
      <c r="R8196" s="8">
        <v>14.9</v>
      </c>
      <c r="S8196" s="8">
        <v>15.6</v>
      </c>
      <c r="T8196" s="8">
        <v>0.7</v>
      </c>
      <c r="U8196" s="8">
        <v>13.2</v>
      </c>
      <c r="V8196" s="8">
        <v>0.5</v>
      </c>
      <c r="W8196" s="8">
        <v>0.5</v>
      </c>
      <c r="Y8196" s="8" t="s">
        <v>36095</v>
      </c>
      <c r="Z8196" s="8" t="s">
        <v>36096</v>
      </c>
    </row>
    <row r="8197" spans="1:26" x14ac:dyDescent="0.2">
      <c r="A8197" s="8">
        <v>8196</v>
      </c>
      <c r="B8197" s="8" t="s">
        <v>36097</v>
      </c>
      <c r="C8197" s="8" t="s">
        <v>36097</v>
      </c>
      <c r="G8197" s="8">
        <v>8.5</v>
      </c>
      <c r="H8197" s="8" t="s">
        <v>21</v>
      </c>
      <c r="I8197" s="8" t="s">
        <v>22</v>
      </c>
      <c r="J8197" s="8" t="s">
        <v>22</v>
      </c>
      <c r="K8197" s="8" t="s">
        <v>79</v>
      </c>
      <c r="L8197" s="8" t="s">
        <v>6823</v>
      </c>
      <c r="M8197" s="8" t="s">
        <v>6824</v>
      </c>
      <c r="N8197" s="8" t="s">
        <v>36098</v>
      </c>
      <c r="O8197" s="8">
        <f>4+7/60+46.3/3600</f>
        <v>4.1295277777777777</v>
      </c>
      <c r="P8197" s="8" t="s">
        <v>36099</v>
      </c>
      <c r="Q8197" s="8">
        <f>+(69+48/60+43/3600)</f>
        <v>69.811944444444435</v>
      </c>
      <c r="R8197" s="8">
        <v>10.6</v>
      </c>
      <c r="S8197" s="8">
        <v>11.4</v>
      </c>
      <c r="T8197" s="8">
        <v>0.8</v>
      </c>
      <c r="U8197" s="8">
        <v>13.9</v>
      </c>
      <c r="V8197" s="8">
        <v>5.9</v>
      </c>
      <c r="W8197" s="8">
        <v>3.9</v>
      </c>
      <c r="X8197" s="8">
        <v>105</v>
      </c>
      <c r="Y8197" s="8" t="s">
        <v>36100</v>
      </c>
      <c r="Z8197" s="8" t="s">
        <v>36101</v>
      </c>
    </row>
    <row r="8198" spans="1:26" x14ac:dyDescent="0.2">
      <c r="A8198" s="8">
        <v>8197</v>
      </c>
      <c r="B8198" s="8" t="s">
        <v>36102</v>
      </c>
      <c r="C8198" s="8" t="s">
        <v>36102</v>
      </c>
      <c r="G8198" s="8">
        <v>20</v>
      </c>
      <c r="H8198" s="8" t="s">
        <v>21</v>
      </c>
      <c r="I8198" s="8" t="s">
        <v>22</v>
      </c>
      <c r="J8198" s="8" t="s">
        <v>22</v>
      </c>
      <c r="K8198" s="8" t="s">
        <v>406</v>
      </c>
      <c r="L8198" s="8" t="s">
        <v>6115</v>
      </c>
      <c r="M8198" s="8" t="s">
        <v>6116</v>
      </c>
      <c r="N8198" s="8" t="s">
        <v>36103</v>
      </c>
      <c r="O8198" s="8">
        <f>4+3/60+43.9/3600</f>
        <v>4.0621944444444447</v>
      </c>
      <c r="P8198" s="8" t="s">
        <v>31685</v>
      </c>
      <c r="Q8198" s="8">
        <f>+(22+9/60+35/3600)</f>
        <v>22.159722222222221</v>
      </c>
      <c r="R8198" s="8">
        <v>13.2</v>
      </c>
      <c r="S8198" s="8">
        <v>14</v>
      </c>
      <c r="T8198" s="8">
        <v>0.8</v>
      </c>
      <c r="U8198" s="8">
        <v>13.3</v>
      </c>
      <c r="V8198" s="8">
        <v>1.2</v>
      </c>
      <c r="W8198" s="8">
        <v>1</v>
      </c>
      <c r="X8198" s="8">
        <v>175</v>
      </c>
      <c r="Y8198" s="8" t="s">
        <v>36104</v>
      </c>
      <c r="Z8198" s="8" t="s">
        <v>36105</v>
      </c>
    </row>
    <row r="8199" spans="1:26" x14ac:dyDescent="0.2">
      <c r="A8199" s="8">
        <v>8198</v>
      </c>
      <c r="B8199" s="8" t="s">
        <v>36106</v>
      </c>
      <c r="C8199" s="8" t="s">
        <v>36106</v>
      </c>
      <c r="G8199" s="8">
        <v>20</v>
      </c>
      <c r="H8199" s="8" t="s">
        <v>21</v>
      </c>
      <c r="I8199" s="8" t="s">
        <v>22</v>
      </c>
      <c r="J8199" s="8" t="s">
        <v>22</v>
      </c>
      <c r="K8199" s="8" t="s">
        <v>37</v>
      </c>
      <c r="L8199" s="8" t="s">
        <v>6115</v>
      </c>
      <c r="M8199" s="8" t="s">
        <v>6116</v>
      </c>
      <c r="N8199" s="8" t="s">
        <v>36107</v>
      </c>
      <c r="O8199" s="8">
        <f>4+3/60+42.8/3600</f>
        <v>4.0618888888888884</v>
      </c>
      <c r="P8199" s="8" t="s">
        <v>36108</v>
      </c>
      <c r="Q8199" s="8">
        <f>+(19+53/60+44/3600)</f>
        <v>19.895555555555553</v>
      </c>
      <c r="R8199" s="8">
        <v>14.1</v>
      </c>
      <c r="S8199" s="8">
        <v>15.1</v>
      </c>
      <c r="T8199" s="8">
        <v>1</v>
      </c>
      <c r="U8199" s="8">
        <v>13</v>
      </c>
      <c r="V8199" s="8">
        <v>1</v>
      </c>
      <c r="W8199" s="8">
        <v>0.4</v>
      </c>
      <c r="X8199" s="8">
        <v>64</v>
      </c>
      <c r="Y8199" s="8" t="s">
        <v>36109</v>
      </c>
      <c r="Z8199" s="8" t="s">
        <v>36110</v>
      </c>
    </row>
    <row r="8200" spans="1:26" x14ac:dyDescent="0.2">
      <c r="A8200" s="8">
        <v>8199</v>
      </c>
      <c r="B8200" s="8" t="s">
        <v>36111</v>
      </c>
      <c r="C8200" s="8" t="s">
        <v>36111</v>
      </c>
      <c r="G8200" s="8">
        <v>13</v>
      </c>
      <c r="H8200" s="8" t="s">
        <v>21</v>
      </c>
      <c r="I8200" s="8" t="s">
        <v>22</v>
      </c>
      <c r="J8200" s="8" t="s">
        <v>22</v>
      </c>
      <c r="K8200" s="8" t="s">
        <v>58</v>
      </c>
      <c r="L8200" s="8" t="s">
        <v>6115</v>
      </c>
      <c r="M8200" s="8" t="s">
        <v>6116</v>
      </c>
      <c r="N8200" s="8" t="s">
        <v>36112</v>
      </c>
      <c r="O8200" s="8">
        <f>4+12/60+28.4/3600</f>
        <v>4.2078888888888892</v>
      </c>
      <c r="P8200" s="8" t="s">
        <v>36113</v>
      </c>
      <c r="Q8200" s="8">
        <f>+(27+42/60+11/3600)</f>
        <v>27.703055555555554</v>
      </c>
      <c r="R8200" s="8">
        <v>13.9</v>
      </c>
      <c r="S8200" s="8">
        <v>14.9</v>
      </c>
      <c r="T8200" s="8">
        <v>1</v>
      </c>
      <c r="U8200" s="8">
        <v>14.3</v>
      </c>
      <c r="V8200" s="8">
        <v>1.3</v>
      </c>
      <c r="W8200" s="8">
        <v>1.3</v>
      </c>
      <c r="Y8200" s="8" t="s">
        <v>13360</v>
      </c>
      <c r="Z8200" s="8" t="s">
        <v>13361</v>
      </c>
    </row>
    <row r="8201" spans="1:26" x14ac:dyDescent="0.2">
      <c r="A8201" s="8">
        <v>8200</v>
      </c>
      <c r="B8201" s="8" t="s">
        <v>36114</v>
      </c>
      <c r="C8201" s="8" t="s">
        <v>36114</v>
      </c>
      <c r="G8201" s="8">
        <v>20</v>
      </c>
      <c r="H8201" s="8" t="s">
        <v>21</v>
      </c>
      <c r="I8201" s="8" t="s">
        <v>1283</v>
      </c>
      <c r="J8201" s="8" t="s">
        <v>1283</v>
      </c>
      <c r="K8201" s="8" t="s">
        <v>1284</v>
      </c>
      <c r="L8201" s="8" t="s">
        <v>6115</v>
      </c>
      <c r="M8201" s="8" t="s">
        <v>6116</v>
      </c>
      <c r="N8201" s="8" t="s">
        <v>36115</v>
      </c>
      <c r="O8201" s="8">
        <f>4+9/60+0/3600</f>
        <v>4.1500000000000004</v>
      </c>
      <c r="P8201" s="8" t="s">
        <v>36116</v>
      </c>
      <c r="Q8201" s="8">
        <f>+(26+6/60+0/3600)</f>
        <v>26.1</v>
      </c>
      <c r="R8201" s="8">
        <v>99</v>
      </c>
      <c r="S8201" s="8">
        <v>99</v>
      </c>
      <c r="T8201" s="8">
        <v>99</v>
      </c>
      <c r="U8201" s="8">
        <v>99</v>
      </c>
      <c r="V8201" s="8">
        <v>180</v>
      </c>
      <c r="W8201" s="8">
        <v>100</v>
      </c>
      <c r="Y8201" s="8" t="s">
        <v>36012</v>
      </c>
      <c r="Z8201" s="8" t="s">
        <v>36013</v>
      </c>
    </row>
    <row r="8202" spans="1:26" x14ac:dyDescent="0.2">
      <c r="A8202" s="8">
        <v>8201</v>
      </c>
      <c r="B8202" s="8" t="s">
        <v>36117</v>
      </c>
      <c r="C8202" s="8" t="s">
        <v>36117</v>
      </c>
      <c r="G8202" s="8">
        <v>14</v>
      </c>
      <c r="H8202" s="8" t="s">
        <v>21</v>
      </c>
      <c r="I8202" s="8" t="s">
        <v>557</v>
      </c>
      <c r="J8202" s="8" t="s">
        <v>557</v>
      </c>
      <c r="K8202" s="8" t="s">
        <v>9738</v>
      </c>
      <c r="L8202" s="8" t="s">
        <v>6823</v>
      </c>
      <c r="M8202" s="8" t="s">
        <v>6824</v>
      </c>
      <c r="N8202" s="8" t="s">
        <v>36118</v>
      </c>
      <c r="O8202" s="8">
        <f>4+18/60+50.6/3600</f>
        <v>4.3140555555555551</v>
      </c>
      <c r="P8202" s="8" t="s">
        <v>36119</v>
      </c>
      <c r="Q8202" s="8">
        <f>+(58+14/60+58/3600)</f>
        <v>58.249444444444443</v>
      </c>
      <c r="R8202" s="8">
        <v>11.7</v>
      </c>
      <c r="S8202" s="8">
        <v>99</v>
      </c>
      <c r="T8202" s="8">
        <v>99</v>
      </c>
      <c r="U8202" s="8">
        <v>99</v>
      </c>
      <c r="V8202" s="8">
        <v>7</v>
      </c>
      <c r="Y8202" s="8" t="s">
        <v>36120</v>
      </c>
      <c r="Z8202" s="8" t="s">
        <v>36121</v>
      </c>
    </row>
    <row r="8203" spans="1:26" x14ac:dyDescent="0.2">
      <c r="A8203" s="8">
        <v>8202</v>
      </c>
      <c r="B8203" s="8" t="s">
        <v>36122</v>
      </c>
      <c r="C8203" s="8" t="s">
        <v>36122</v>
      </c>
      <c r="G8203" s="8">
        <v>20</v>
      </c>
      <c r="H8203" s="8" t="s">
        <v>21</v>
      </c>
      <c r="I8203" s="8" t="s">
        <v>22</v>
      </c>
      <c r="J8203" s="8" t="s">
        <v>22</v>
      </c>
      <c r="K8203" s="8" t="s">
        <v>50</v>
      </c>
      <c r="L8203" s="8" t="s">
        <v>3328</v>
      </c>
      <c r="M8203" s="8" t="s">
        <v>3329</v>
      </c>
      <c r="N8203" s="8" t="s">
        <v>36123</v>
      </c>
      <c r="O8203" s="8">
        <f>4+16/60+42.4/3600</f>
        <v>4.2784444444444443</v>
      </c>
      <c r="P8203" s="8" t="s">
        <v>36124</v>
      </c>
      <c r="Q8203" s="8">
        <f>-(12+11/60+59/3600)</f>
        <v>-12.199722222222222</v>
      </c>
      <c r="R8203" s="8">
        <v>13.2</v>
      </c>
      <c r="S8203" s="8">
        <v>14.2</v>
      </c>
      <c r="T8203" s="8">
        <v>1</v>
      </c>
      <c r="U8203" s="8">
        <v>13.9</v>
      </c>
      <c r="V8203" s="8">
        <v>1.7</v>
      </c>
      <c r="W8203" s="8">
        <v>1.1000000000000001</v>
      </c>
      <c r="X8203" s="8">
        <v>1</v>
      </c>
      <c r="Y8203" s="8" t="s">
        <v>29966</v>
      </c>
      <c r="Z8203" s="8" t="s">
        <v>29967</v>
      </c>
    </row>
    <row r="8204" spans="1:26" x14ac:dyDescent="0.2">
      <c r="A8204" s="8">
        <v>8203</v>
      </c>
      <c r="B8204" s="8" t="s">
        <v>36125</v>
      </c>
      <c r="C8204" s="8" t="s">
        <v>36125</v>
      </c>
      <c r="G8204" s="8">
        <v>20</v>
      </c>
      <c r="H8204" s="8" t="s">
        <v>21</v>
      </c>
      <c r="I8204" s="8" t="s">
        <v>22</v>
      </c>
      <c r="J8204" s="8" t="s">
        <v>22</v>
      </c>
      <c r="K8204" s="8" t="s">
        <v>424</v>
      </c>
      <c r="L8204" s="8" t="s">
        <v>6115</v>
      </c>
      <c r="M8204" s="8" t="s">
        <v>6116</v>
      </c>
      <c r="N8204" s="8" t="s">
        <v>36126</v>
      </c>
      <c r="O8204" s="8">
        <f>4+18/60+55.2/3600</f>
        <v>4.3153333333333332</v>
      </c>
      <c r="P8204" s="8" t="s">
        <v>36127</v>
      </c>
      <c r="Q8204" s="8">
        <f>+(3+1/60+56/3600)</f>
        <v>3.0322222222222224</v>
      </c>
      <c r="R8204" s="8">
        <v>14.4</v>
      </c>
      <c r="S8204" s="8">
        <v>15.4</v>
      </c>
      <c r="T8204" s="8">
        <v>1</v>
      </c>
      <c r="U8204" s="8">
        <v>10.8</v>
      </c>
      <c r="V8204" s="8">
        <v>0.2</v>
      </c>
      <c r="W8204" s="8">
        <v>0.2</v>
      </c>
      <c r="Y8204" s="8" t="s">
        <v>36128</v>
      </c>
      <c r="Z8204" s="8" t="s">
        <v>36129</v>
      </c>
    </row>
    <row r="8205" spans="1:26" x14ac:dyDescent="0.2">
      <c r="A8205" s="8">
        <v>8204</v>
      </c>
      <c r="B8205" s="8" t="s">
        <v>36130</v>
      </c>
      <c r="C8205" s="8" t="s">
        <v>36130</v>
      </c>
      <c r="G8205" s="8">
        <v>20</v>
      </c>
      <c r="H8205" s="8" t="s">
        <v>21</v>
      </c>
      <c r="I8205" s="8" t="s">
        <v>22</v>
      </c>
      <c r="J8205" s="8" t="s">
        <v>22</v>
      </c>
      <c r="K8205" s="8" t="s">
        <v>1068</v>
      </c>
      <c r="L8205" s="8" t="s">
        <v>6115</v>
      </c>
      <c r="M8205" s="8" t="s">
        <v>6116</v>
      </c>
      <c r="N8205" s="8" t="s">
        <v>36131</v>
      </c>
      <c r="O8205" s="8">
        <f>4+19/60+6.6/3600</f>
        <v>4.3184999999999993</v>
      </c>
      <c r="P8205" s="8" t="s">
        <v>36132</v>
      </c>
      <c r="Q8205" s="8">
        <f>+(3+11/60+22/3600)</f>
        <v>3.1894444444444443</v>
      </c>
      <c r="R8205" s="8">
        <v>13.8</v>
      </c>
      <c r="S8205" s="8">
        <v>14.8</v>
      </c>
      <c r="T8205" s="8">
        <v>1</v>
      </c>
      <c r="U8205" s="8">
        <v>11.1</v>
      </c>
      <c r="V8205" s="8">
        <v>0.4</v>
      </c>
      <c r="W8205" s="8">
        <v>0.2</v>
      </c>
      <c r="X8205" s="8">
        <v>80</v>
      </c>
      <c r="Y8205" s="8" t="s">
        <v>1709</v>
      </c>
      <c r="Z8205" s="8" t="s">
        <v>1710</v>
      </c>
    </row>
    <row r="8206" spans="1:26" x14ac:dyDescent="0.2">
      <c r="A8206" s="8">
        <v>8205</v>
      </c>
      <c r="B8206" s="8" t="s">
        <v>36133</v>
      </c>
      <c r="C8206" s="8" t="s">
        <v>36133</v>
      </c>
      <c r="G8206" s="8">
        <v>20</v>
      </c>
      <c r="H8206" s="8" t="s">
        <v>21</v>
      </c>
      <c r="I8206" s="8" t="s">
        <v>22</v>
      </c>
      <c r="J8206" s="8" t="s">
        <v>22</v>
      </c>
      <c r="K8206" s="8" t="s">
        <v>632</v>
      </c>
      <c r="L8206" s="8" t="s">
        <v>6115</v>
      </c>
      <c r="M8206" s="8" t="s">
        <v>6116</v>
      </c>
      <c r="N8206" s="8" t="s">
        <v>36134</v>
      </c>
      <c r="O8206" s="8">
        <f>4+19/60+14.2/3600</f>
        <v>4.320611111111111</v>
      </c>
      <c r="P8206" s="8" t="s">
        <v>36135</v>
      </c>
      <c r="Q8206" s="8">
        <f>+(3+20/60+56/3600)</f>
        <v>3.3488888888888892</v>
      </c>
      <c r="R8206" s="8">
        <v>13.9</v>
      </c>
      <c r="S8206" s="8">
        <v>14.8</v>
      </c>
      <c r="T8206" s="8">
        <v>0.9</v>
      </c>
      <c r="U8206" s="8">
        <v>13.2</v>
      </c>
      <c r="V8206" s="8">
        <v>1</v>
      </c>
      <c r="W8206" s="8">
        <v>0.6</v>
      </c>
      <c r="X8206" s="8">
        <v>30</v>
      </c>
      <c r="Y8206" s="8" t="s">
        <v>36136</v>
      </c>
      <c r="Z8206" s="8" t="s">
        <v>36137</v>
      </c>
    </row>
    <row r="8207" spans="1:26" x14ac:dyDescent="0.2">
      <c r="A8207" s="8">
        <v>8206</v>
      </c>
      <c r="B8207" s="8" t="s">
        <v>36138</v>
      </c>
      <c r="C8207" s="8" t="s">
        <v>36138</v>
      </c>
      <c r="G8207" s="8">
        <v>20</v>
      </c>
      <c r="H8207" s="8" t="s">
        <v>21</v>
      </c>
      <c r="I8207" s="8" t="s">
        <v>22</v>
      </c>
      <c r="J8207" s="8" t="s">
        <v>22</v>
      </c>
      <c r="K8207" s="8" t="s">
        <v>382</v>
      </c>
      <c r="L8207" s="8" t="s">
        <v>6115</v>
      </c>
      <c r="M8207" s="8" t="s">
        <v>6116</v>
      </c>
      <c r="N8207" s="8" t="s">
        <v>36139</v>
      </c>
      <c r="O8207" s="8">
        <f>4+19/60+41.5/3600</f>
        <v>4.3281944444444438</v>
      </c>
      <c r="P8207" s="8" t="s">
        <v>36140</v>
      </c>
      <c r="Q8207" s="8">
        <f>+(2+21/60+37/3600)</f>
        <v>2.3602777777777777</v>
      </c>
      <c r="R8207" s="8">
        <v>14.7</v>
      </c>
      <c r="S8207" s="8">
        <v>15.7</v>
      </c>
      <c r="T8207" s="8">
        <v>1</v>
      </c>
      <c r="U8207" s="8">
        <v>11.7</v>
      </c>
      <c r="V8207" s="8">
        <v>0.3</v>
      </c>
      <c r="W8207" s="8">
        <v>0.2</v>
      </c>
      <c r="X8207" s="8">
        <v>15</v>
      </c>
      <c r="Y8207" s="8" t="s">
        <v>36141</v>
      </c>
      <c r="Z8207" s="8" t="s">
        <v>36142</v>
      </c>
    </row>
    <row r="8208" spans="1:26" x14ac:dyDescent="0.2">
      <c r="A8208" s="8">
        <v>8207</v>
      </c>
      <c r="B8208" s="8" t="s">
        <v>36143</v>
      </c>
      <c r="C8208" s="8" t="s">
        <v>36143</v>
      </c>
      <c r="G8208" s="8">
        <v>20</v>
      </c>
      <c r="H8208" s="8" t="s">
        <v>21</v>
      </c>
      <c r="I8208" s="8" t="s">
        <v>22</v>
      </c>
      <c r="J8208" s="8" t="s">
        <v>22</v>
      </c>
      <c r="K8208" s="8" t="s">
        <v>58</v>
      </c>
      <c r="L8208" s="8" t="s">
        <v>3328</v>
      </c>
      <c r="M8208" s="8" t="s">
        <v>3329</v>
      </c>
      <c r="N8208" s="8" t="s">
        <v>36144</v>
      </c>
      <c r="O8208" s="8">
        <f>4+20/60+41/3600</f>
        <v>4.3447222222222219</v>
      </c>
      <c r="P8208" s="8" t="s">
        <v>36145</v>
      </c>
      <c r="Q8208" s="8">
        <f>-(14+46/60+50/3600)</f>
        <v>-14.780555555555557</v>
      </c>
      <c r="R8208" s="8">
        <v>13.4</v>
      </c>
      <c r="S8208" s="8">
        <v>14.4</v>
      </c>
      <c r="T8208" s="8">
        <v>1</v>
      </c>
      <c r="U8208" s="8">
        <v>13.4</v>
      </c>
      <c r="V8208" s="8">
        <v>1.4</v>
      </c>
      <c r="W8208" s="8">
        <v>0.7</v>
      </c>
      <c r="X8208" s="8">
        <v>141</v>
      </c>
      <c r="Y8208" s="8" t="s">
        <v>36146</v>
      </c>
      <c r="Z8208" s="8" t="s">
        <v>36147</v>
      </c>
    </row>
    <row r="8209" spans="1:26" x14ac:dyDescent="0.2">
      <c r="A8209" s="8">
        <v>8208</v>
      </c>
      <c r="B8209" s="8" t="s">
        <v>36148</v>
      </c>
      <c r="C8209" s="8" t="s">
        <v>36148</v>
      </c>
      <c r="G8209" s="8">
        <v>20</v>
      </c>
      <c r="H8209" s="8" t="s">
        <v>21</v>
      </c>
      <c r="I8209" s="8" t="s">
        <v>22</v>
      </c>
      <c r="J8209" s="8" t="s">
        <v>22</v>
      </c>
      <c r="K8209" s="8" t="s">
        <v>449</v>
      </c>
      <c r="L8209" s="8" t="s">
        <v>3328</v>
      </c>
      <c r="M8209" s="8" t="s">
        <v>3329</v>
      </c>
      <c r="N8209" s="8" t="s">
        <v>7305</v>
      </c>
      <c r="O8209" s="8">
        <f>4+22/60+42.7/3600</f>
        <v>4.3785277777777774</v>
      </c>
      <c r="P8209" s="8" t="s">
        <v>36149</v>
      </c>
      <c r="Q8209" s="8">
        <f>-(12+36/60+53/3600)</f>
        <v>-12.614722222222222</v>
      </c>
      <c r="R8209" s="8">
        <v>13.7</v>
      </c>
      <c r="S8209" s="8">
        <v>14.5</v>
      </c>
      <c r="T8209" s="8">
        <v>0.8</v>
      </c>
      <c r="U8209" s="8">
        <v>13.2</v>
      </c>
      <c r="V8209" s="8">
        <v>0.9</v>
      </c>
      <c r="W8209" s="8">
        <v>0.8</v>
      </c>
      <c r="X8209" s="8">
        <v>174</v>
      </c>
      <c r="Y8209" s="8" t="s">
        <v>36150</v>
      </c>
      <c r="Z8209" s="8" t="s">
        <v>36151</v>
      </c>
    </row>
    <row r="8210" spans="1:26" x14ac:dyDescent="0.2">
      <c r="A8210" s="8">
        <v>8209</v>
      </c>
      <c r="B8210" s="8" t="s">
        <v>36152</v>
      </c>
      <c r="C8210" s="8" t="s">
        <v>36152</v>
      </c>
      <c r="G8210" s="8">
        <v>20</v>
      </c>
      <c r="H8210" s="8" t="s">
        <v>21</v>
      </c>
      <c r="I8210" s="8" t="s">
        <v>22</v>
      </c>
      <c r="J8210" s="8" t="s">
        <v>22</v>
      </c>
      <c r="K8210" s="8" t="s">
        <v>58</v>
      </c>
      <c r="L8210" s="8" t="s">
        <v>3328</v>
      </c>
      <c r="M8210" s="8" t="s">
        <v>3329</v>
      </c>
      <c r="N8210" s="8" t="s">
        <v>36153</v>
      </c>
      <c r="O8210" s="8">
        <f>4+23/60+28.2/3600</f>
        <v>4.3911666666666669</v>
      </c>
      <c r="P8210" s="8" t="s">
        <v>36154</v>
      </c>
      <c r="Q8210" s="8">
        <f>-(11+47/60+22/3600)</f>
        <v>-11.789444444444444</v>
      </c>
      <c r="R8210" s="8">
        <v>14.3</v>
      </c>
      <c r="S8210" s="8">
        <v>15.3</v>
      </c>
      <c r="T8210" s="8">
        <v>1</v>
      </c>
      <c r="U8210" s="8">
        <v>12.9</v>
      </c>
      <c r="V8210" s="8">
        <v>0.5</v>
      </c>
      <c r="W8210" s="8">
        <v>0.5</v>
      </c>
      <c r="Y8210" s="8" t="s">
        <v>36155</v>
      </c>
      <c r="Z8210" s="8" t="s">
        <v>36156</v>
      </c>
    </row>
    <row r="8211" spans="1:26" x14ac:dyDescent="0.2">
      <c r="A8211" s="8">
        <v>8210</v>
      </c>
      <c r="B8211" s="8" t="s">
        <v>36157</v>
      </c>
      <c r="C8211" s="8" t="s">
        <v>36157</v>
      </c>
      <c r="G8211" s="8">
        <v>20</v>
      </c>
      <c r="H8211" s="8" t="s">
        <v>21</v>
      </c>
      <c r="I8211" s="8" t="s">
        <v>22</v>
      </c>
      <c r="J8211" s="8" t="s">
        <v>22</v>
      </c>
      <c r="K8211" s="8" t="s">
        <v>64</v>
      </c>
      <c r="L8211" s="8" t="s">
        <v>3328</v>
      </c>
      <c r="M8211" s="8" t="s">
        <v>3329</v>
      </c>
      <c r="N8211" s="8" t="s">
        <v>36158</v>
      </c>
      <c r="O8211" s="8">
        <f>4+24/60+1.8/3600</f>
        <v>4.4005000000000001</v>
      </c>
      <c r="P8211" s="8" t="s">
        <v>36159</v>
      </c>
      <c r="Q8211" s="8">
        <f>-(9+23/60+43/3600)</f>
        <v>-9.3952777777777765</v>
      </c>
      <c r="R8211" s="8">
        <v>14</v>
      </c>
      <c r="S8211" s="8">
        <v>14.7</v>
      </c>
      <c r="T8211" s="8">
        <v>0.7</v>
      </c>
      <c r="U8211" s="8">
        <v>14.2</v>
      </c>
      <c r="V8211" s="8">
        <v>1.4</v>
      </c>
      <c r="W8211" s="8">
        <v>1.1000000000000001</v>
      </c>
      <c r="X8211" s="8">
        <v>150</v>
      </c>
      <c r="Y8211" s="8" t="s">
        <v>35064</v>
      </c>
      <c r="Z8211" s="8" t="s">
        <v>35065</v>
      </c>
    </row>
    <row r="8212" spans="1:26" x14ac:dyDescent="0.2">
      <c r="A8212" s="8">
        <v>8211</v>
      </c>
      <c r="B8212" s="8" t="s">
        <v>36160</v>
      </c>
      <c r="C8212" s="8" t="s">
        <v>36160</v>
      </c>
      <c r="G8212" s="8">
        <v>20</v>
      </c>
      <c r="H8212" s="8" t="s">
        <v>21</v>
      </c>
      <c r="I8212" s="8" t="s">
        <v>72</v>
      </c>
      <c r="J8212" s="8" t="s">
        <v>72</v>
      </c>
      <c r="K8212" s="8" t="s">
        <v>20</v>
      </c>
      <c r="L8212" s="8" t="s">
        <v>3328</v>
      </c>
      <c r="M8212" s="8" t="s">
        <v>3329</v>
      </c>
      <c r="N8212" s="8" t="s">
        <v>36161</v>
      </c>
      <c r="O8212" s="8">
        <f>4+30/60+12.5/3600</f>
        <v>4.5034722222222223</v>
      </c>
      <c r="P8212" s="8" t="s">
        <v>36162</v>
      </c>
      <c r="Q8212" s="8">
        <f>-(0+33/60+39/3600)</f>
        <v>-0.56083333333333341</v>
      </c>
      <c r="R8212" s="8">
        <v>99</v>
      </c>
      <c r="S8212" s="8">
        <v>14.7</v>
      </c>
      <c r="T8212" s="8">
        <v>99</v>
      </c>
      <c r="U8212" s="8">
        <v>99</v>
      </c>
      <c r="Y8212" s="8" t="s">
        <v>36163</v>
      </c>
      <c r="Z8212" s="8" t="s">
        <v>36164</v>
      </c>
    </row>
    <row r="8213" spans="1:26" x14ac:dyDescent="0.2">
      <c r="A8213" s="8">
        <v>8212</v>
      </c>
      <c r="B8213" s="8" t="s">
        <v>36165</v>
      </c>
      <c r="C8213" s="8" t="s">
        <v>36165</v>
      </c>
      <c r="G8213" s="8">
        <v>20</v>
      </c>
      <c r="H8213" s="8" t="s">
        <v>21</v>
      </c>
      <c r="I8213" s="8" t="s">
        <v>22</v>
      </c>
      <c r="J8213" s="8" t="s">
        <v>22</v>
      </c>
      <c r="K8213" s="8" t="s">
        <v>37</v>
      </c>
      <c r="L8213" s="8" t="s">
        <v>3328</v>
      </c>
      <c r="M8213" s="8" t="s">
        <v>3329</v>
      </c>
      <c r="N8213" s="8" t="s">
        <v>36166</v>
      </c>
      <c r="O8213" s="8">
        <f>4+30/60+4.2/3600</f>
        <v>4.5011666666666663</v>
      </c>
      <c r="P8213" s="8" t="s">
        <v>36167</v>
      </c>
      <c r="Q8213" s="8">
        <f>-(5+0/60+36/3600)</f>
        <v>-5.01</v>
      </c>
      <c r="R8213" s="8">
        <v>15</v>
      </c>
      <c r="S8213" s="8">
        <v>16</v>
      </c>
      <c r="T8213" s="8">
        <v>1</v>
      </c>
      <c r="U8213" s="8">
        <v>12.6</v>
      </c>
      <c r="V8213" s="8">
        <v>0.6</v>
      </c>
      <c r="W8213" s="8">
        <v>0.2</v>
      </c>
      <c r="X8213" s="8">
        <v>35</v>
      </c>
      <c r="Y8213" s="8" t="s">
        <v>1212</v>
      </c>
      <c r="Z8213" s="8" t="s">
        <v>1213</v>
      </c>
    </row>
    <row r="8214" spans="1:26" x14ac:dyDescent="0.2">
      <c r="A8214" s="8">
        <v>8213</v>
      </c>
      <c r="B8214" s="8" t="s">
        <v>36168</v>
      </c>
      <c r="C8214" s="8" t="s">
        <v>36168</v>
      </c>
      <c r="G8214" s="8">
        <v>20</v>
      </c>
      <c r="H8214" s="8" t="s">
        <v>21</v>
      </c>
      <c r="I8214" s="8" t="s">
        <v>22</v>
      </c>
      <c r="J8214" s="8" t="s">
        <v>22</v>
      </c>
      <c r="K8214" s="8" t="s">
        <v>224</v>
      </c>
      <c r="L8214" s="8" t="s">
        <v>3328</v>
      </c>
      <c r="M8214" s="8" t="s">
        <v>3329</v>
      </c>
      <c r="N8214" s="8" t="s">
        <v>36169</v>
      </c>
      <c r="O8214" s="8">
        <f>4+30/60+42.7/3600</f>
        <v>4.5118611111111111</v>
      </c>
      <c r="P8214" s="8" t="s">
        <v>36170</v>
      </c>
      <c r="Q8214" s="8">
        <f>-(4+52/60+11/3600)</f>
        <v>-4.8697222222222223</v>
      </c>
      <c r="R8214" s="8">
        <v>13.9</v>
      </c>
      <c r="S8214" s="8">
        <v>14.9</v>
      </c>
      <c r="T8214" s="8">
        <v>1</v>
      </c>
      <c r="U8214" s="8">
        <v>14</v>
      </c>
      <c r="V8214" s="8">
        <v>1.4</v>
      </c>
      <c r="W8214" s="8">
        <v>0.9</v>
      </c>
      <c r="X8214" s="8">
        <v>100</v>
      </c>
      <c r="Y8214" s="8" t="s">
        <v>7479</v>
      </c>
      <c r="Z8214" s="8" t="s">
        <v>7480</v>
      </c>
    </row>
    <row r="8215" spans="1:26" x14ac:dyDescent="0.2">
      <c r="A8215" s="8">
        <v>8214</v>
      </c>
      <c r="B8215" s="8" t="s">
        <v>36171</v>
      </c>
      <c r="C8215" s="8" t="s">
        <v>36171</v>
      </c>
      <c r="G8215" s="8">
        <v>20</v>
      </c>
      <c r="H8215" s="8" t="s">
        <v>21</v>
      </c>
      <c r="I8215" s="8" t="s">
        <v>22</v>
      </c>
      <c r="J8215" s="8" t="s">
        <v>22</v>
      </c>
      <c r="K8215" s="8" t="s">
        <v>449</v>
      </c>
      <c r="L8215" s="8" t="s">
        <v>6115</v>
      </c>
      <c r="M8215" s="8" t="s">
        <v>6116</v>
      </c>
      <c r="N8215" s="8" t="s">
        <v>36172</v>
      </c>
      <c r="O8215" s="8">
        <f>4+32/60+32.8/3600</f>
        <v>4.5424444444444445</v>
      </c>
      <c r="P8215" s="8" t="s">
        <v>36173</v>
      </c>
      <c r="Q8215" s="8">
        <f>+(16+38/60+6/3600)</f>
        <v>16.634999999999998</v>
      </c>
      <c r="R8215" s="8">
        <v>14.9</v>
      </c>
      <c r="S8215" s="8">
        <v>15.7</v>
      </c>
      <c r="T8215" s="8">
        <v>0.8</v>
      </c>
      <c r="U8215" s="8">
        <v>13.5</v>
      </c>
      <c r="V8215" s="8">
        <v>0.8</v>
      </c>
      <c r="W8215" s="8">
        <v>0.4</v>
      </c>
      <c r="X8215" s="8">
        <v>85</v>
      </c>
      <c r="Y8215" s="8" t="s">
        <v>232</v>
      </c>
      <c r="Z8215" s="8" t="s">
        <v>233</v>
      </c>
    </row>
    <row r="8216" spans="1:26" x14ac:dyDescent="0.2">
      <c r="A8216" s="8">
        <v>8215</v>
      </c>
      <c r="B8216" s="8" t="s">
        <v>36174</v>
      </c>
      <c r="C8216" s="8" t="s">
        <v>36174</v>
      </c>
      <c r="G8216" s="8">
        <v>20</v>
      </c>
      <c r="H8216" s="8" t="s">
        <v>21</v>
      </c>
      <c r="I8216" s="8" t="s">
        <v>22</v>
      </c>
      <c r="J8216" s="8" t="s">
        <v>22</v>
      </c>
      <c r="K8216" s="8" t="s">
        <v>23</v>
      </c>
      <c r="L8216" s="8" t="s">
        <v>3328</v>
      </c>
      <c r="M8216" s="8" t="s">
        <v>3329</v>
      </c>
      <c r="N8216" s="8" t="s">
        <v>36175</v>
      </c>
      <c r="O8216" s="8">
        <f>4+31/60+3.2/3600</f>
        <v>4.5175555555555551</v>
      </c>
      <c r="P8216" s="8" t="s">
        <v>36176</v>
      </c>
      <c r="Q8216" s="8">
        <f>-(12+58/60+25/3600)</f>
        <v>-12.973611111111111</v>
      </c>
      <c r="R8216" s="8">
        <v>14</v>
      </c>
      <c r="S8216" s="8">
        <v>14.8</v>
      </c>
      <c r="T8216" s="8">
        <v>0.8</v>
      </c>
      <c r="U8216" s="8">
        <v>13.2</v>
      </c>
      <c r="V8216" s="8">
        <v>0.9</v>
      </c>
      <c r="W8216" s="8">
        <v>0.6</v>
      </c>
      <c r="X8216" s="8">
        <v>45</v>
      </c>
      <c r="Y8216" s="8" t="s">
        <v>36177</v>
      </c>
      <c r="Z8216" s="8" t="s">
        <v>36178</v>
      </c>
    </row>
    <row r="8217" spans="1:26" x14ac:dyDescent="0.2">
      <c r="A8217" s="8">
        <v>8216</v>
      </c>
      <c r="B8217" s="8" t="s">
        <v>36179</v>
      </c>
      <c r="C8217" s="8" t="s">
        <v>36179</v>
      </c>
      <c r="G8217" s="8">
        <v>20</v>
      </c>
      <c r="H8217" s="8" t="s">
        <v>21</v>
      </c>
      <c r="I8217" s="8" t="s">
        <v>22</v>
      </c>
      <c r="J8217" s="8" t="s">
        <v>22</v>
      </c>
      <c r="K8217" s="8" t="s">
        <v>449</v>
      </c>
      <c r="L8217" s="8" t="s">
        <v>3328</v>
      </c>
      <c r="M8217" s="8" t="s">
        <v>3329</v>
      </c>
      <c r="N8217" s="8" t="s">
        <v>36180</v>
      </c>
      <c r="O8217" s="8">
        <f>4+31/60+13.7/3600</f>
        <v>4.5204722222222218</v>
      </c>
      <c r="P8217" s="8" t="s">
        <v>36181</v>
      </c>
      <c r="Q8217" s="8">
        <f>-(12+25/60+59/3600)</f>
        <v>-12.433055555555555</v>
      </c>
      <c r="R8217" s="8">
        <v>14.7</v>
      </c>
      <c r="S8217" s="8">
        <v>15.5</v>
      </c>
      <c r="T8217" s="8">
        <v>0.8</v>
      </c>
      <c r="U8217" s="8">
        <v>13</v>
      </c>
      <c r="V8217" s="8">
        <v>0.6</v>
      </c>
      <c r="W8217" s="8">
        <v>0.4</v>
      </c>
      <c r="X8217" s="8">
        <v>60</v>
      </c>
      <c r="Y8217" s="8" t="s">
        <v>36182</v>
      </c>
      <c r="Z8217" s="8" t="s">
        <v>36183</v>
      </c>
    </row>
    <row r="8218" spans="1:26" x14ac:dyDescent="0.2">
      <c r="A8218" s="8">
        <v>8217</v>
      </c>
      <c r="B8218" s="8" t="s">
        <v>36184</v>
      </c>
      <c r="C8218" s="8" t="s">
        <v>36184</v>
      </c>
      <c r="G8218" s="8">
        <v>20</v>
      </c>
      <c r="H8218" s="8" t="s">
        <v>21</v>
      </c>
      <c r="I8218" s="8" t="s">
        <v>22</v>
      </c>
      <c r="J8218" s="8" t="s">
        <v>22</v>
      </c>
      <c r="K8218" s="8" t="s">
        <v>449</v>
      </c>
      <c r="L8218" s="8" t="s">
        <v>3328</v>
      </c>
      <c r="M8218" s="8" t="s">
        <v>3329</v>
      </c>
      <c r="N8218" s="8" t="s">
        <v>36185</v>
      </c>
      <c r="O8218" s="8">
        <f>4+31/60+16.5/3600</f>
        <v>4.5212500000000002</v>
      </c>
      <c r="P8218" s="8" t="s">
        <v>36186</v>
      </c>
      <c r="Q8218" s="8">
        <f>-(12+27/60+18/3600)</f>
        <v>-12.455</v>
      </c>
      <c r="R8218" s="8">
        <v>13.9</v>
      </c>
      <c r="S8218" s="8">
        <v>14.7</v>
      </c>
      <c r="T8218" s="8">
        <v>0.8</v>
      </c>
      <c r="U8218" s="8">
        <v>13.5</v>
      </c>
      <c r="V8218" s="8">
        <v>0.9</v>
      </c>
      <c r="W8218" s="8">
        <v>0.9</v>
      </c>
      <c r="Y8218" s="8" t="s">
        <v>36182</v>
      </c>
      <c r="Z8218" s="8" t="s">
        <v>36183</v>
      </c>
    </row>
    <row r="8219" spans="1:26" x14ac:dyDescent="0.2">
      <c r="A8219" s="8">
        <v>8218</v>
      </c>
      <c r="B8219" s="8" t="s">
        <v>36187</v>
      </c>
      <c r="C8219" s="8" t="s">
        <v>36187</v>
      </c>
      <c r="G8219" s="8">
        <v>20</v>
      </c>
      <c r="H8219" s="8" t="s">
        <v>21</v>
      </c>
      <c r="I8219" s="8" t="s">
        <v>22</v>
      </c>
      <c r="J8219" s="8" t="s">
        <v>22</v>
      </c>
      <c r="K8219" s="8" t="s">
        <v>382</v>
      </c>
      <c r="L8219" s="8" t="s">
        <v>3328</v>
      </c>
      <c r="M8219" s="8" t="s">
        <v>3329</v>
      </c>
      <c r="N8219" s="8" t="s">
        <v>36188</v>
      </c>
      <c r="O8219" s="8">
        <f>4+31/60+27.9/3600</f>
        <v>4.5244166666666663</v>
      </c>
      <c r="P8219" s="8" t="s">
        <v>36189</v>
      </c>
      <c r="Q8219" s="8">
        <f>-(12+17/60+57/3600)</f>
        <v>-12.299166666666666</v>
      </c>
      <c r="R8219" s="8">
        <v>14.6</v>
      </c>
      <c r="S8219" s="8">
        <v>15.6</v>
      </c>
      <c r="T8219" s="8">
        <v>1</v>
      </c>
      <c r="U8219" s="8">
        <v>13.1</v>
      </c>
      <c r="V8219" s="8">
        <v>0.6</v>
      </c>
      <c r="W8219" s="8">
        <v>0.4</v>
      </c>
      <c r="X8219" s="8">
        <v>80</v>
      </c>
      <c r="Y8219" s="8" t="s">
        <v>36190</v>
      </c>
      <c r="Z8219" s="8" t="s">
        <v>36191</v>
      </c>
    </row>
    <row r="8220" spans="1:26" x14ac:dyDescent="0.2">
      <c r="A8220" s="8">
        <v>8219</v>
      </c>
      <c r="B8220" s="8" t="s">
        <v>36192</v>
      </c>
      <c r="C8220" s="8" t="s">
        <v>36192</v>
      </c>
      <c r="G8220" s="8">
        <v>20</v>
      </c>
      <c r="H8220" s="8" t="s">
        <v>21</v>
      </c>
      <c r="I8220" s="8" t="s">
        <v>22</v>
      </c>
      <c r="J8220" s="8" t="s">
        <v>22</v>
      </c>
      <c r="K8220" s="8" t="s">
        <v>406</v>
      </c>
      <c r="L8220" s="8" t="s">
        <v>3328</v>
      </c>
      <c r="M8220" s="8" t="s">
        <v>3329</v>
      </c>
      <c r="N8220" s="8" t="s">
        <v>36193</v>
      </c>
      <c r="O8220" s="8">
        <f>4+31/60+50.9/3600</f>
        <v>4.5308055555555553</v>
      </c>
      <c r="P8220" s="8" t="s">
        <v>36194</v>
      </c>
      <c r="Q8220" s="8">
        <f>-(7+14/60+16/3600)</f>
        <v>-7.2377777777777776</v>
      </c>
      <c r="R8220" s="8">
        <v>14.1</v>
      </c>
      <c r="S8220" s="8">
        <v>15</v>
      </c>
      <c r="T8220" s="8">
        <v>0.9</v>
      </c>
      <c r="U8220" s="8">
        <v>13.9</v>
      </c>
      <c r="V8220" s="8">
        <v>1.2</v>
      </c>
      <c r="W8220" s="8">
        <v>0.8</v>
      </c>
      <c r="X8220" s="8">
        <v>9</v>
      </c>
      <c r="Y8220" s="8" t="s">
        <v>36095</v>
      </c>
      <c r="Z8220" s="8" t="s">
        <v>36096</v>
      </c>
    </row>
    <row r="8221" spans="1:26" x14ac:dyDescent="0.2">
      <c r="A8221" s="8">
        <v>8220</v>
      </c>
      <c r="B8221" s="8" t="s">
        <v>36195</v>
      </c>
      <c r="C8221" s="8" t="s">
        <v>36195</v>
      </c>
      <c r="G8221" s="8">
        <v>20</v>
      </c>
      <c r="H8221" s="8" t="s">
        <v>21</v>
      </c>
      <c r="I8221" s="8" t="s">
        <v>22</v>
      </c>
      <c r="J8221" s="8" t="s">
        <v>22</v>
      </c>
      <c r="K8221" s="8" t="s">
        <v>85</v>
      </c>
      <c r="L8221" s="8" t="s">
        <v>3328</v>
      </c>
      <c r="M8221" s="8" t="s">
        <v>3329</v>
      </c>
      <c r="N8221" s="8" t="s">
        <v>36196</v>
      </c>
      <c r="O8221" s="8">
        <f>4+31/60+41.3/3600</f>
        <v>4.5281388888888889</v>
      </c>
      <c r="P8221" s="8" t="s">
        <v>36197</v>
      </c>
      <c r="Q8221" s="8">
        <f>-(12+55/60+38/3600)</f>
        <v>-12.927222222222222</v>
      </c>
      <c r="R8221" s="8">
        <v>14.5</v>
      </c>
      <c r="S8221" s="8">
        <v>15.3</v>
      </c>
      <c r="T8221" s="8">
        <v>0.8</v>
      </c>
      <c r="U8221" s="8">
        <v>13</v>
      </c>
      <c r="V8221" s="8">
        <v>0.7</v>
      </c>
      <c r="W8221" s="8">
        <v>0.4</v>
      </c>
      <c r="X8221" s="8">
        <v>81</v>
      </c>
      <c r="Y8221" s="8" t="s">
        <v>36198</v>
      </c>
      <c r="Z8221" s="8" t="s">
        <v>36199</v>
      </c>
    </row>
    <row r="8222" spans="1:26" x14ac:dyDescent="0.2">
      <c r="A8222" s="8">
        <v>8221</v>
      </c>
      <c r="B8222" s="8" t="s">
        <v>36200</v>
      </c>
      <c r="C8222" s="8" t="s">
        <v>36200</v>
      </c>
      <c r="G8222" s="8">
        <v>20</v>
      </c>
      <c r="H8222" s="8" t="s">
        <v>21</v>
      </c>
      <c r="I8222" s="8" t="s">
        <v>22</v>
      </c>
      <c r="J8222" s="8" t="s">
        <v>22</v>
      </c>
      <c r="K8222" s="8" t="s">
        <v>85</v>
      </c>
      <c r="L8222" s="8" t="s">
        <v>6823</v>
      </c>
      <c r="M8222" s="8" t="s">
        <v>6824</v>
      </c>
      <c r="N8222" s="8" t="s">
        <v>36201</v>
      </c>
      <c r="O8222" s="8">
        <f>4+44/60+28.4/3600</f>
        <v>4.7412222222222224</v>
      </c>
      <c r="P8222" s="8" t="s">
        <v>36202</v>
      </c>
      <c r="Q8222" s="8">
        <f>+(75+38/60+23/3600)</f>
        <v>75.639722222222233</v>
      </c>
      <c r="R8222" s="8">
        <v>12.3</v>
      </c>
      <c r="S8222" s="8">
        <v>13.1</v>
      </c>
      <c r="T8222" s="8">
        <v>0.8</v>
      </c>
      <c r="U8222" s="8">
        <v>13.4</v>
      </c>
      <c r="V8222" s="8">
        <v>2.4</v>
      </c>
      <c r="W8222" s="8">
        <v>1.3</v>
      </c>
      <c r="X8222" s="8">
        <v>177</v>
      </c>
      <c r="Y8222" s="8" t="s">
        <v>36203</v>
      </c>
      <c r="Z8222" s="8" t="s">
        <v>36204</v>
      </c>
    </row>
    <row r="8223" spans="1:26" x14ac:dyDescent="0.2">
      <c r="A8223" s="8">
        <v>8222</v>
      </c>
      <c r="B8223" s="8" t="s">
        <v>36205</v>
      </c>
      <c r="C8223" s="8" t="s">
        <v>36205</v>
      </c>
      <c r="G8223" s="8">
        <v>20</v>
      </c>
      <c r="H8223" s="8" t="s">
        <v>21</v>
      </c>
      <c r="I8223" s="8" t="s">
        <v>22</v>
      </c>
      <c r="J8223" s="8" t="s">
        <v>22</v>
      </c>
      <c r="K8223" s="8" t="s">
        <v>160</v>
      </c>
      <c r="L8223" s="8" t="s">
        <v>3328</v>
      </c>
      <c r="M8223" s="8" t="s">
        <v>3329</v>
      </c>
      <c r="N8223" s="8" t="s">
        <v>36206</v>
      </c>
      <c r="O8223" s="8">
        <f>4+37/60+55.4/3600</f>
        <v>4.6320555555555556</v>
      </c>
      <c r="P8223" s="8" t="s">
        <v>36207</v>
      </c>
      <c r="Q8223" s="8">
        <f>-(9+31/60+11/3600)</f>
        <v>-9.5197222222222226</v>
      </c>
      <c r="R8223" s="8">
        <v>12.8</v>
      </c>
      <c r="S8223" s="8">
        <v>13.5</v>
      </c>
      <c r="T8223" s="8">
        <v>0.7</v>
      </c>
      <c r="U8223" s="8">
        <v>13.9</v>
      </c>
      <c r="V8223" s="8">
        <v>2.2999999999999998</v>
      </c>
      <c r="W8223" s="8">
        <v>1.4</v>
      </c>
      <c r="X8223" s="8">
        <v>173</v>
      </c>
      <c r="Y8223" s="8" t="s">
        <v>36208</v>
      </c>
      <c r="Z8223" s="8" t="s">
        <v>36209</v>
      </c>
    </row>
    <row r="8224" spans="1:26" x14ac:dyDescent="0.2">
      <c r="A8224" s="8">
        <v>8223</v>
      </c>
      <c r="B8224" s="8" t="s">
        <v>36210</v>
      </c>
      <c r="C8224" s="8" t="s">
        <v>36210</v>
      </c>
      <c r="G8224" s="8">
        <v>20</v>
      </c>
      <c r="H8224" s="8" t="s">
        <v>21</v>
      </c>
      <c r="I8224" s="8" t="s">
        <v>22</v>
      </c>
      <c r="J8224" s="8" t="s">
        <v>22</v>
      </c>
      <c r="K8224" s="8" t="s">
        <v>460</v>
      </c>
      <c r="L8224" s="8" t="s">
        <v>6115</v>
      </c>
      <c r="M8224" s="8" t="s">
        <v>6116</v>
      </c>
      <c r="N8224" s="8" t="s">
        <v>36211</v>
      </c>
      <c r="O8224" s="8">
        <f>4+38/60+58/3600</f>
        <v>4.6494444444444438</v>
      </c>
      <c r="P8224" s="8" t="s">
        <v>36212</v>
      </c>
      <c r="Q8224" s="8">
        <f>+(9+53/60+33/3600)</f>
        <v>9.8925000000000001</v>
      </c>
      <c r="R8224" s="8">
        <v>14.8</v>
      </c>
      <c r="S8224" s="8">
        <v>15.8</v>
      </c>
      <c r="T8224" s="8">
        <v>1</v>
      </c>
      <c r="U8224" s="8">
        <v>12.9</v>
      </c>
      <c r="V8224" s="8">
        <v>0.4</v>
      </c>
      <c r="W8224" s="8">
        <v>0.4</v>
      </c>
      <c r="Y8224" s="8" t="s">
        <v>36213</v>
      </c>
      <c r="Z8224" s="8" t="s">
        <v>36214</v>
      </c>
    </row>
    <row r="8225" spans="1:26" x14ac:dyDescent="0.2">
      <c r="A8225" s="8">
        <v>8224</v>
      </c>
      <c r="B8225" s="8" t="s">
        <v>36215</v>
      </c>
      <c r="C8225" s="8" t="s">
        <v>36215</v>
      </c>
      <c r="G8225" s="8">
        <v>20</v>
      </c>
      <c r="H8225" s="8" t="s">
        <v>21</v>
      </c>
      <c r="I8225" s="8" t="s">
        <v>22</v>
      </c>
      <c r="J8225" s="8" t="s">
        <v>22</v>
      </c>
      <c r="K8225" s="8" t="s">
        <v>382</v>
      </c>
      <c r="L8225" s="8" t="s">
        <v>3328</v>
      </c>
      <c r="M8225" s="8" t="s">
        <v>3329</v>
      </c>
      <c r="N8225" s="8" t="s">
        <v>36216</v>
      </c>
      <c r="O8225" s="8">
        <f>4+39/60+18.2/3600</f>
        <v>4.6550555555555562</v>
      </c>
      <c r="P8225" s="8" t="s">
        <v>36217</v>
      </c>
      <c r="Q8225" s="8">
        <f>-(7+50/60+20/3600)</f>
        <v>-7.8388888888888886</v>
      </c>
      <c r="R8225" s="8">
        <v>14.5</v>
      </c>
      <c r="S8225" s="8">
        <v>15.5</v>
      </c>
      <c r="T8225" s="8">
        <v>1</v>
      </c>
      <c r="U8225" s="8">
        <v>13</v>
      </c>
      <c r="V8225" s="8">
        <v>0.6</v>
      </c>
      <c r="W8225" s="8">
        <v>0.4</v>
      </c>
      <c r="X8225" s="8">
        <v>170</v>
      </c>
      <c r="Y8225" s="8" t="s">
        <v>36218</v>
      </c>
      <c r="Z8225" s="8" t="s">
        <v>36219</v>
      </c>
    </row>
    <row r="8226" spans="1:26" x14ac:dyDescent="0.2">
      <c r="A8226" s="8">
        <v>8225</v>
      </c>
      <c r="B8226" s="8" t="s">
        <v>36220</v>
      </c>
      <c r="C8226" s="8" t="s">
        <v>36220</v>
      </c>
      <c r="G8226" s="8">
        <v>20</v>
      </c>
      <c r="H8226" s="8" t="s">
        <v>21</v>
      </c>
      <c r="I8226" s="8" t="s">
        <v>22</v>
      </c>
      <c r="J8226" s="8" t="s">
        <v>22</v>
      </c>
      <c r="K8226" s="8" t="s">
        <v>37</v>
      </c>
      <c r="L8226" s="8" t="s">
        <v>3328</v>
      </c>
      <c r="M8226" s="8" t="s">
        <v>3329</v>
      </c>
      <c r="N8226" s="8" t="s">
        <v>36221</v>
      </c>
      <c r="O8226" s="8">
        <f>4+39/60+31.4/3600</f>
        <v>4.6587222222222229</v>
      </c>
      <c r="P8226" s="8" t="s">
        <v>36222</v>
      </c>
      <c r="Q8226" s="8">
        <f>-(7+5/60+49/3600)</f>
        <v>-7.0969444444444445</v>
      </c>
      <c r="R8226" s="8">
        <v>13.5</v>
      </c>
      <c r="S8226" s="8">
        <v>14.5</v>
      </c>
      <c r="T8226" s="8">
        <v>1</v>
      </c>
      <c r="U8226" s="8">
        <v>12.8</v>
      </c>
      <c r="V8226" s="8">
        <v>1.2</v>
      </c>
      <c r="W8226" s="8">
        <v>0.5</v>
      </c>
      <c r="X8226" s="8">
        <v>110</v>
      </c>
      <c r="Y8226" s="8" t="s">
        <v>35781</v>
      </c>
      <c r="Z8226" s="8" t="s">
        <v>35782</v>
      </c>
    </row>
    <row r="8227" spans="1:26" x14ac:dyDescent="0.2">
      <c r="A8227" s="8">
        <v>8226</v>
      </c>
      <c r="B8227" s="8" t="s">
        <v>36223</v>
      </c>
      <c r="C8227" s="8" t="s">
        <v>36223</v>
      </c>
      <c r="G8227" s="8">
        <v>20</v>
      </c>
      <c r="H8227" s="8" t="s">
        <v>21</v>
      </c>
      <c r="I8227" s="8" t="s">
        <v>22</v>
      </c>
      <c r="J8227" s="8" t="s">
        <v>57</v>
      </c>
      <c r="K8227" s="8" t="s">
        <v>91</v>
      </c>
      <c r="L8227" s="8" t="s">
        <v>3328</v>
      </c>
      <c r="M8227" s="8" t="s">
        <v>3329</v>
      </c>
      <c r="N8227" s="8" t="s">
        <v>7564</v>
      </c>
      <c r="O8227" s="8">
        <f>4+39/60+58.5/3600</f>
        <v>4.6662500000000007</v>
      </c>
      <c r="P8227" s="8" t="s">
        <v>7565</v>
      </c>
      <c r="Q8227" s="8">
        <f>-(9+27/60+21/3600)</f>
        <v>-9.4558333333333326</v>
      </c>
      <c r="R8227" s="8">
        <v>14.4</v>
      </c>
      <c r="S8227" s="8">
        <v>15.3</v>
      </c>
      <c r="T8227" s="8">
        <v>0.9</v>
      </c>
      <c r="U8227" s="8">
        <v>13.7</v>
      </c>
      <c r="V8227" s="8">
        <v>1</v>
      </c>
      <c r="W8227" s="8">
        <v>0.6</v>
      </c>
      <c r="X8227" s="8">
        <v>40</v>
      </c>
      <c r="Y8227" s="8" t="s">
        <v>36224</v>
      </c>
      <c r="Z8227" s="8" t="s">
        <v>11367</v>
      </c>
    </row>
    <row r="8228" spans="1:26" x14ac:dyDescent="0.2">
      <c r="A8228" s="8">
        <v>8227</v>
      </c>
      <c r="B8228" s="8" t="s">
        <v>36225</v>
      </c>
      <c r="C8228" s="8" t="s">
        <v>36225</v>
      </c>
      <c r="G8228" s="8">
        <v>20</v>
      </c>
      <c r="H8228" s="8" t="s">
        <v>21</v>
      </c>
      <c r="I8228" s="8" t="s">
        <v>22</v>
      </c>
      <c r="J8228" s="8" t="s">
        <v>22</v>
      </c>
      <c r="K8228" s="8" t="s">
        <v>64</v>
      </c>
      <c r="L8228" s="8" t="s">
        <v>3328</v>
      </c>
      <c r="M8228" s="8" t="s">
        <v>3329</v>
      </c>
      <c r="N8228" s="8" t="s">
        <v>36226</v>
      </c>
      <c r="O8228" s="8">
        <f>4+41/60+44.2/3600</f>
        <v>4.695611111111111</v>
      </c>
      <c r="P8228" s="8" t="s">
        <v>36227</v>
      </c>
      <c r="Q8228" s="8">
        <f>-(7+5/60+11/3600)</f>
        <v>-7.0863888888888882</v>
      </c>
      <c r="R8228" s="8">
        <v>12.8</v>
      </c>
      <c r="S8228" s="8">
        <v>13.7</v>
      </c>
      <c r="T8228" s="8">
        <v>0.9</v>
      </c>
      <c r="U8228" s="8">
        <v>13.4</v>
      </c>
      <c r="V8228" s="8">
        <v>1.6</v>
      </c>
      <c r="W8228" s="8">
        <v>1.2</v>
      </c>
      <c r="X8228" s="8">
        <v>78</v>
      </c>
      <c r="Y8228" s="8" t="s">
        <v>36228</v>
      </c>
      <c r="Z8228" s="8" t="s">
        <v>36229</v>
      </c>
    </row>
    <row r="8229" spans="1:26" x14ac:dyDescent="0.2">
      <c r="A8229" s="8">
        <v>8228</v>
      </c>
      <c r="B8229" s="8" t="s">
        <v>36230</v>
      </c>
      <c r="C8229" s="8" t="s">
        <v>36230</v>
      </c>
      <c r="E8229" s="8">
        <v>2</v>
      </c>
      <c r="G8229" s="8">
        <v>20</v>
      </c>
      <c r="H8229" s="8" t="s">
        <v>21</v>
      </c>
      <c r="I8229" s="8" t="s">
        <v>22</v>
      </c>
      <c r="J8229" s="8" t="s">
        <v>22</v>
      </c>
      <c r="K8229" s="8" t="s">
        <v>424</v>
      </c>
      <c r="L8229" s="8" t="s">
        <v>3328</v>
      </c>
      <c r="M8229" s="8" t="s">
        <v>3329</v>
      </c>
      <c r="N8229" s="8" t="s">
        <v>36231</v>
      </c>
      <c r="O8229" s="8">
        <f>4+41/60+54.3/3600</f>
        <v>4.6984166666666667</v>
      </c>
      <c r="P8229" s="8" t="s">
        <v>36232</v>
      </c>
      <c r="Q8229" s="8">
        <f>-(7+18/60+21/3600)</f>
        <v>-7.3058333333333332</v>
      </c>
      <c r="R8229" s="8">
        <v>15</v>
      </c>
      <c r="S8229" s="8">
        <v>16</v>
      </c>
      <c r="T8229" s="8">
        <v>1</v>
      </c>
      <c r="U8229" s="8">
        <v>12.9</v>
      </c>
      <c r="V8229" s="8">
        <v>0.4</v>
      </c>
      <c r="W8229" s="8">
        <v>0.4</v>
      </c>
      <c r="Y8229" s="8" t="s">
        <v>36233</v>
      </c>
      <c r="Z8229" s="8" t="s">
        <v>36234</v>
      </c>
    </row>
    <row r="8230" spans="1:26" x14ac:dyDescent="0.2">
      <c r="A8230" s="8">
        <v>8229</v>
      </c>
      <c r="B8230" s="8" t="s">
        <v>36235</v>
      </c>
      <c r="C8230" s="8" t="s">
        <v>36235</v>
      </c>
      <c r="G8230" s="8">
        <v>20</v>
      </c>
      <c r="H8230" s="8" t="s">
        <v>21</v>
      </c>
      <c r="I8230" s="8" t="s">
        <v>22</v>
      </c>
      <c r="J8230" s="8" t="s">
        <v>22</v>
      </c>
      <c r="K8230" s="8" t="s">
        <v>58</v>
      </c>
      <c r="L8230" s="8" t="s">
        <v>3328</v>
      </c>
      <c r="M8230" s="8" t="s">
        <v>3329</v>
      </c>
      <c r="N8230" s="8" t="s">
        <v>36236</v>
      </c>
      <c r="O8230" s="8">
        <f>4+41/60+59.6/3600</f>
        <v>4.6998888888888892</v>
      </c>
      <c r="P8230" s="8" t="s">
        <v>36237</v>
      </c>
      <c r="Q8230" s="8">
        <f>-(7+18/60+39/3600)</f>
        <v>-7.3108333333333331</v>
      </c>
      <c r="R8230" s="8">
        <v>13.9</v>
      </c>
      <c r="S8230" s="8">
        <v>14.9</v>
      </c>
      <c r="T8230" s="8">
        <v>1</v>
      </c>
      <c r="U8230" s="8">
        <v>13.5</v>
      </c>
      <c r="V8230" s="8">
        <v>0.9</v>
      </c>
      <c r="W8230" s="8">
        <v>0.7</v>
      </c>
      <c r="X8230" s="8">
        <v>51</v>
      </c>
      <c r="Y8230" s="8" t="s">
        <v>36155</v>
      </c>
      <c r="Z8230" s="8" t="s">
        <v>36156</v>
      </c>
    </row>
    <row r="8231" spans="1:26" x14ac:dyDescent="0.2">
      <c r="A8231" s="8">
        <v>8230</v>
      </c>
      <c r="B8231" s="8" t="s">
        <v>36238</v>
      </c>
      <c r="C8231" s="8" t="s">
        <v>36238</v>
      </c>
      <c r="G8231" s="8">
        <v>20</v>
      </c>
      <c r="H8231" s="8" t="s">
        <v>21</v>
      </c>
      <c r="I8231" s="8" t="s">
        <v>22</v>
      </c>
      <c r="J8231" s="8" t="s">
        <v>22</v>
      </c>
      <c r="K8231" s="8" t="s">
        <v>632</v>
      </c>
      <c r="L8231" s="8" t="s">
        <v>3328</v>
      </c>
      <c r="M8231" s="8" t="s">
        <v>3329</v>
      </c>
      <c r="N8231" s="8" t="s">
        <v>36239</v>
      </c>
      <c r="O8231" s="8">
        <f>4+42/60+3.8/3600</f>
        <v>4.7010555555555555</v>
      </c>
      <c r="P8231" s="8" t="s">
        <v>36240</v>
      </c>
      <c r="Q8231" s="8">
        <f>-(7+12/60+21/3600)</f>
        <v>-7.2058333333333335</v>
      </c>
      <c r="R8231" s="8">
        <v>14.3</v>
      </c>
      <c r="S8231" s="8">
        <v>15.2</v>
      </c>
      <c r="T8231" s="8">
        <v>0.9</v>
      </c>
      <c r="U8231" s="8">
        <v>13.3</v>
      </c>
      <c r="V8231" s="8">
        <v>1.1000000000000001</v>
      </c>
      <c r="W8231" s="8">
        <v>0.4</v>
      </c>
      <c r="X8231" s="8">
        <v>42</v>
      </c>
      <c r="Y8231" s="8" t="s">
        <v>421</v>
      </c>
      <c r="Z8231" s="8" t="s">
        <v>422</v>
      </c>
    </row>
    <row r="8232" spans="1:26" x14ac:dyDescent="0.2">
      <c r="A8232" s="8">
        <v>8231</v>
      </c>
      <c r="B8232" s="8" t="s">
        <v>36241</v>
      </c>
      <c r="C8232" s="8" t="s">
        <v>36241</v>
      </c>
      <c r="G8232" s="8">
        <v>20</v>
      </c>
      <c r="H8232" s="8" t="s">
        <v>21</v>
      </c>
      <c r="I8232" s="8" t="s">
        <v>22</v>
      </c>
      <c r="J8232" s="8" t="s">
        <v>22</v>
      </c>
      <c r="K8232" s="8" t="s">
        <v>538</v>
      </c>
      <c r="L8232" s="8" t="s">
        <v>6823</v>
      </c>
      <c r="M8232" s="8" t="s">
        <v>6824</v>
      </c>
      <c r="N8232" s="8" t="s">
        <v>36242</v>
      </c>
      <c r="O8232" s="8">
        <f>4+57/60+22.1/3600</f>
        <v>4.9561388888888889</v>
      </c>
      <c r="P8232" s="8" t="s">
        <v>36243</v>
      </c>
      <c r="Q8232" s="8">
        <f>+(78+11/60+23/3600)</f>
        <v>78.18972222222223</v>
      </c>
      <c r="R8232" s="8">
        <v>12.7</v>
      </c>
      <c r="S8232" s="8">
        <v>13</v>
      </c>
      <c r="T8232" s="8">
        <v>0.3</v>
      </c>
      <c r="U8232" s="8">
        <v>12.8</v>
      </c>
      <c r="V8232" s="8">
        <v>1.1000000000000001</v>
      </c>
      <c r="W8232" s="8">
        <v>1.1000000000000001</v>
      </c>
      <c r="Y8232" s="8" t="s">
        <v>895</v>
      </c>
      <c r="Z8232" s="8" t="s">
        <v>896</v>
      </c>
    </row>
    <row r="8233" spans="1:26" x14ac:dyDescent="0.2">
      <c r="A8233" s="8">
        <v>8232</v>
      </c>
      <c r="B8233" s="8" t="s">
        <v>36244</v>
      </c>
      <c r="C8233" s="8" t="s">
        <v>36244</v>
      </c>
      <c r="G8233" s="8">
        <v>20</v>
      </c>
      <c r="H8233" s="8" t="s">
        <v>21</v>
      </c>
      <c r="I8233" s="8" t="s">
        <v>22</v>
      </c>
      <c r="J8233" s="8" t="s">
        <v>22</v>
      </c>
      <c r="K8233" s="8" t="s">
        <v>37</v>
      </c>
      <c r="L8233" s="8" t="s">
        <v>7698</v>
      </c>
      <c r="M8233" s="8" t="s">
        <v>7699</v>
      </c>
      <c r="N8233" s="8" t="s">
        <v>36245</v>
      </c>
      <c r="O8233" s="8">
        <f>4+46/60+25.8/3600</f>
        <v>4.7738333333333332</v>
      </c>
      <c r="P8233" s="8" t="s">
        <v>36246</v>
      </c>
      <c r="Q8233" s="8">
        <f>+(3+30/60+20/3600)</f>
        <v>3.5055555555555555</v>
      </c>
      <c r="R8233" s="8">
        <v>12.7</v>
      </c>
      <c r="S8233" s="8">
        <v>13.7</v>
      </c>
      <c r="T8233" s="8">
        <v>1</v>
      </c>
      <c r="U8233" s="8">
        <v>12.3</v>
      </c>
      <c r="V8233" s="8">
        <v>1</v>
      </c>
      <c r="W8233" s="8">
        <v>0.8</v>
      </c>
      <c r="X8233" s="8">
        <v>167</v>
      </c>
      <c r="Y8233" s="8" t="s">
        <v>36247</v>
      </c>
      <c r="Z8233" s="8" t="s">
        <v>36248</v>
      </c>
    </row>
    <row r="8234" spans="1:26" x14ac:dyDescent="0.2">
      <c r="A8234" s="8">
        <v>8233</v>
      </c>
      <c r="B8234" s="8" t="s">
        <v>36249</v>
      </c>
      <c r="C8234" s="8" t="s">
        <v>36249</v>
      </c>
      <c r="G8234" s="8">
        <v>20</v>
      </c>
      <c r="H8234" s="8" t="s">
        <v>21</v>
      </c>
      <c r="I8234" s="8" t="s">
        <v>22</v>
      </c>
      <c r="J8234" s="8" t="s">
        <v>22</v>
      </c>
      <c r="K8234" s="8" t="s">
        <v>460</v>
      </c>
      <c r="L8234" s="8" t="s">
        <v>3328</v>
      </c>
      <c r="M8234" s="8" t="s">
        <v>3329</v>
      </c>
      <c r="N8234" s="8" t="s">
        <v>36250</v>
      </c>
      <c r="O8234" s="8">
        <f>4+47/60+51.7/3600</f>
        <v>4.7976944444444447</v>
      </c>
      <c r="P8234" s="8" t="s">
        <v>36251</v>
      </c>
      <c r="Q8234" s="8">
        <f>-(15+31/60+31/3600)</f>
        <v>-15.525277777777779</v>
      </c>
      <c r="R8234" s="8">
        <v>14</v>
      </c>
      <c r="S8234" s="8">
        <v>15</v>
      </c>
      <c r="T8234" s="8">
        <v>1</v>
      </c>
      <c r="U8234" s="8">
        <v>13.3</v>
      </c>
      <c r="V8234" s="8">
        <v>0.7</v>
      </c>
      <c r="W8234" s="8">
        <v>0.7</v>
      </c>
      <c r="Y8234" s="8" t="s">
        <v>36252</v>
      </c>
      <c r="Z8234" s="8" t="s">
        <v>36253</v>
      </c>
    </row>
    <row r="8235" spans="1:26" x14ac:dyDescent="0.2">
      <c r="A8235" s="8">
        <v>8234</v>
      </c>
      <c r="B8235" s="8" t="s">
        <v>36254</v>
      </c>
      <c r="C8235" s="8" t="s">
        <v>36254</v>
      </c>
      <c r="G8235" s="8">
        <v>20</v>
      </c>
      <c r="H8235" s="8" t="s">
        <v>21</v>
      </c>
      <c r="I8235" s="8" t="s">
        <v>329</v>
      </c>
      <c r="J8235" s="8" t="s">
        <v>329</v>
      </c>
      <c r="K8235" s="8" t="s">
        <v>329</v>
      </c>
      <c r="L8235" s="8" t="s">
        <v>3328</v>
      </c>
      <c r="M8235" s="8" t="s">
        <v>3329</v>
      </c>
      <c r="N8235" s="8" t="s">
        <v>36255</v>
      </c>
      <c r="O8235" s="8">
        <f>4+48/60+48/3600</f>
        <v>4.8133333333333335</v>
      </c>
      <c r="P8235" s="8" t="s">
        <v>36256</v>
      </c>
      <c r="Q8235" s="8">
        <f>-(6+16/60+0/3600)</f>
        <v>-6.2666666666666666</v>
      </c>
      <c r="R8235" s="8">
        <v>99</v>
      </c>
      <c r="S8235" s="8">
        <v>99</v>
      </c>
      <c r="T8235" s="8">
        <v>99</v>
      </c>
      <c r="U8235" s="8">
        <v>99</v>
      </c>
      <c r="Y8235" s="8" t="s">
        <v>36257</v>
      </c>
      <c r="Z8235" s="8" t="s">
        <v>36258</v>
      </c>
    </row>
    <row r="8236" spans="1:26" x14ac:dyDescent="0.2">
      <c r="A8236" s="8">
        <v>8235</v>
      </c>
      <c r="B8236" s="8" t="s">
        <v>36259</v>
      </c>
      <c r="C8236" s="8" t="s">
        <v>36259</v>
      </c>
      <c r="G8236" s="8">
        <v>20</v>
      </c>
      <c r="H8236" s="8" t="s">
        <v>21</v>
      </c>
      <c r="I8236" s="8" t="s">
        <v>22</v>
      </c>
      <c r="J8236" s="8" t="s">
        <v>57</v>
      </c>
      <c r="K8236" s="8" t="s">
        <v>37</v>
      </c>
      <c r="L8236" s="8" t="s">
        <v>7698</v>
      </c>
      <c r="M8236" s="8" t="s">
        <v>7699</v>
      </c>
      <c r="N8236" s="8" t="s">
        <v>7748</v>
      </c>
      <c r="O8236" s="8">
        <f>4+49/60+33.8/3600</f>
        <v>4.8260555555555555</v>
      </c>
      <c r="P8236" s="8" t="s">
        <v>7749</v>
      </c>
      <c r="Q8236" s="8">
        <f>+(0+15/60+12/3600)</f>
        <v>0.25333333333333335</v>
      </c>
      <c r="R8236" s="8">
        <v>12.9</v>
      </c>
      <c r="S8236" s="8">
        <v>13.9</v>
      </c>
      <c r="T8236" s="8">
        <v>1</v>
      </c>
      <c r="U8236" s="8">
        <v>12.8</v>
      </c>
      <c r="V8236" s="8">
        <v>0.9</v>
      </c>
      <c r="W8236" s="8">
        <v>0.6</v>
      </c>
      <c r="X8236" s="8">
        <v>130</v>
      </c>
      <c r="Y8236" s="8" t="s">
        <v>36260</v>
      </c>
      <c r="Z8236" s="8" t="s">
        <v>36261</v>
      </c>
    </row>
    <row r="8237" spans="1:26" x14ac:dyDescent="0.2">
      <c r="A8237" s="8">
        <v>8236</v>
      </c>
      <c r="B8237" s="8" t="s">
        <v>36262</v>
      </c>
      <c r="C8237" s="8" t="s">
        <v>36262</v>
      </c>
      <c r="G8237" s="8">
        <v>20</v>
      </c>
      <c r="H8237" s="8" t="s">
        <v>21</v>
      </c>
      <c r="I8237" s="8" t="s">
        <v>22</v>
      </c>
      <c r="J8237" s="8" t="s">
        <v>22</v>
      </c>
      <c r="K8237" s="8" t="s">
        <v>476</v>
      </c>
      <c r="L8237" s="8" t="s">
        <v>6823</v>
      </c>
      <c r="M8237" s="8" t="s">
        <v>6824</v>
      </c>
      <c r="N8237" s="8" t="s">
        <v>36263</v>
      </c>
      <c r="O8237" s="8">
        <f>4+57/60+58.8/3600</f>
        <v>4.9663333333333339</v>
      </c>
      <c r="P8237" s="8" t="s">
        <v>36264</v>
      </c>
      <c r="Q8237" s="8">
        <f>+(68+19/60+23/3600)</f>
        <v>68.323055555555555</v>
      </c>
      <c r="R8237" s="8">
        <v>12.1</v>
      </c>
      <c r="S8237" s="8">
        <v>13</v>
      </c>
      <c r="T8237" s="8">
        <v>0.9</v>
      </c>
      <c r="U8237" s="8">
        <v>13.1</v>
      </c>
      <c r="V8237" s="8">
        <v>2.1</v>
      </c>
      <c r="W8237" s="8">
        <v>1.5</v>
      </c>
      <c r="X8237" s="8">
        <v>85</v>
      </c>
      <c r="Y8237" s="8" t="s">
        <v>36265</v>
      </c>
      <c r="Z8237" s="8" t="s">
        <v>36266</v>
      </c>
    </row>
    <row r="8238" spans="1:26" x14ac:dyDescent="0.2">
      <c r="A8238" s="8">
        <v>8237</v>
      </c>
      <c r="B8238" s="8" t="s">
        <v>36267</v>
      </c>
      <c r="C8238" s="8" t="s">
        <v>36267</v>
      </c>
      <c r="G8238" s="8">
        <v>20</v>
      </c>
      <c r="H8238" s="8" t="s">
        <v>21</v>
      </c>
      <c r="I8238" s="8" t="s">
        <v>72</v>
      </c>
      <c r="J8238" s="8" t="s">
        <v>72</v>
      </c>
      <c r="K8238" s="8" t="s">
        <v>1405</v>
      </c>
      <c r="L8238" s="8" t="s">
        <v>7717</v>
      </c>
      <c r="M8238" s="8" t="s">
        <v>7718</v>
      </c>
      <c r="N8238" s="8" t="s">
        <v>36268</v>
      </c>
      <c r="O8238" s="8">
        <f>5+1/60+6.5/3600</f>
        <v>5.018472222222222</v>
      </c>
      <c r="P8238" s="8" t="s">
        <v>36269</v>
      </c>
      <c r="Q8238" s="8">
        <f>+(40+25/60+30/3600)</f>
        <v>40.424999999999997</v>
      </c>
      <c r="R8238" s="8">
        <v>99</v>
      </c>
      <c r="S8238" s="8">
        <v>99</v>
      </c>
      <c r="T8238" s="8">
        <v>99</v>
      </c>
      <c r="U8238" s="8">
        <v>99</v>
      </c>
      <c r="V8238" s="8">
        <v>1</v>
      </c>
      <c r="Y8238" s="8" t="s">
        <v>4065</v>
      </c>
      <c r="Z8238" s="8" t="s">
        <v>4066</v>
      </c>
    </row>
    <row r="8239" spans="1:26" x14ac:dyDescent="0.2">
      <c r="A8239" s="8">
        <v>8238</v>
      </c>
      <c r="B8239" s="8" t="s">
        <v>36270</v>
      </c>
      <c r="C8239" s="8" t="s">
        <v>36270</v>
      </c>
      <c r="G8239" s="8">
        <v>20</v>
      </c>
      <c r="H8239" s="8" t="s">
        <v>21</v>
      </c>
      <c r="I8239" s="8" t="s">
        <v>22</v>
      </c>
      <c r="J8239" s="8" t="s">
        <v>22</v>
      </c>
      <c r="K8239" s="8" t="s">
        <v>64</v>
      </c>
      <c r="L8239" s="8" t="s">
        <v>3328</v>
      </c>
      <c r="M8239" s="8" t="s">
        <v>3329</v>
      </c>
      <c r="N8239" s="8" t="s">
        <v>36271</v>
      </c>
      <c r="O8239" s="8">
        <f>4+58/60+12.5/3600</f>
        <v>4.9701388888888891</v>
      </c>
      <c r="P8239" s="8" t="s">
        <v>36272</v>
      </c>
      <c r="Q8239" s="8">
        <f>-(7+46/60+51/3600)</f>
        <v>-7.7808333333333337</v>
      </c>
      <c r="R8239" s="8">
        <v>14.7</v>
      </c>
      <c r="S8239" s="8">
        <v>15.4</v>
      </c>
      <c r="T8239" s="8">
        <v>0.7</v>
      </c>
      <c r="U8239" s="8">
        <v>13.8</v>
      </c>
      <c r="V8239" s="8">
        <v>1.3</v>
      </c>
      <c r="W8239" s="8">
        <v>0.4</v>
      </c>
      <c r="X8239" s="8">
        <v>21</v>
      </c>
      <c r="Y8239" s="8" t="s">
        <v>36273</v>
      </c>
      <c r="Z8239" s="8" t="s">
        <v>36274</v>
      </c>
    </row>
    <row r="8240" spans="1:26" x14ac:dyDescent="0.2">
      <c r="A8240" s="8">
        <v>8239</v>
      </c>
      <c r="B8240" s="8" t="s">
        <v>36275</v>
      </c>
      <c r="C8240" s="8" t="s">
        <v>36275</v>
      </c>
      <c r="G8240" s="8">
        <v>20</v>
      </c>
      <c r="H8240" s="8" t="s">
        <v>21</v>
      </c>
      <c r="I8240" s="8" t="s">
        <v>22</v>
      </c>
      <c r="J8240" s="8" t="s">
        <v>22</v>
      </c>
      <c r="K8240" s="8" t="s">
        <v>36276</v>
      </c>
      <c r="L8240" s="8" t="s">
        <v>3328</v>
      </c>
      <c r="M8240" s="8" t="s">
        <v>3329</v>
      </c>
      <c r="N8240" s="8" t="s">
        <v>36277</v>
      </c>
      <c r="O8240" s="8">
        <f>5+1/60+44/3600</f>
        <v>5.028888888888889</v>
      </c>
      <c r="P8240" s="8" t="s">
        <v>36278</v>
      </c>
      <c r="Q8240" s="8">
        <f>-(4+17/60+18/3600)</f>
        <v>-4.2883333333333331</v>
      </c>
      <c r="R8240" s="8">
        <v>15.4</v>
      </c>
      <c r="S8240" s="8">
        <v>16</v>
      </c>
      <c r="T8240" s="8">
        <v>0.6</v>
      </c>
      <c r="U8240" s="8">
        <v>13.7</v>
      </c>
      <c r="V8240" s="8">
        <v>0.6</v>
      </c>
      <c r="W8240" s="8">
        <v>0.4</v>
      </c>
      <c r="X8240" s="8">
        <v>80</v>
      </c>
      <c r="Y8240" s="8" t="s">
        <v>36279</v>
      </c>
      <c r="Z8240" s="8" t="s">
        <v>36280</v>
      </c>
    </row>
    <row r="8241" spans="1:26" x14ac:dyDescent="0.2">
      <c r="A8241" s="8">
        <v>8240</v>
      </c>
      <c r="B8241" s="8" t="s">
        <v>36281</v>
      </c>
      <c r="C8241" s="8" t="s">
        <v>36281</v>
      </c>
      <c r="G8241" s="8">
        <v>20</v>
      </c>
      <c r="H8241" s="8" t="s">
        <v>21</v>
      </c>
      <c r="I8241" s="8" t="s">
        <v>22</v>
      </c>
      <c r="J8241" s="8" t="s">
        <v>22</v>
      </c>
      <c r="K8241" s="8" t="s">
        <v>449</v>
      </c>
      <c r="L8241" s="8" t="s">
        <v>7915</v>
      </c>
      <c r="M8241" s="8" t="s">
        <v>7916</v>
      </c>
      <c r="N8241" s="8" t="s">
        <v>36282</v>
      </c>
      <c r="O8241" s="8">
        <f>5+3/60+45.6/3600</f>
        <v>5.0626666666666669</v>
      </c>
      <c r="P8241" s="8" t="s">
        <v>36283</v>
      </c>
      <c r="Q8241" s="8">
        <f>-(15+49/60+10/3600)</f>
        <v>-15.819444444444445</v>
      </c>
      <c r="R8241" s="8">
        <v>15.2</v>
      </c>
      <c r="S8241" s="8">
        <v>16</v>
      </c>
      <c r="T8241" s="8">
        <v>0.8</v>
      </c>
      <c r="U8241" s="8">
        <v>13.3</v>
      </c>
      <c r="V8241" s="8">
        <v>1</v>
      </c>
      <c r="W8241" s="8">
        <v>0.2</v>
      </c>
      <c r="X8241" s="8">
        <v>112</v>
      </c>
      <c r="Y8241" s="8" t="s">
        <v>962</v>
      </c>
      <c r="Z8241" s="8" t="s">
        <v>963</v>
      </c>
    </row>
    <row r="8242" spans="1:26" x14ac:dyDescent="0.2">
      <c r="A8242" s="8">
        <v>8241</v>
      </c>
      <c r="B8242" s="8" t="s">
        <v>36284</v>
      </c>
      <c r="C8242" s="8" t="s">
        <v>36284</v>
      </c>
      <c r="G8242" s="8">
        <v>20</v>
      </c>
      <c r="H8242" s="8" t="s">
        <v>21</v>
      </c>
      <c r="I8242" s="8" t="s">
        <v>22</v>
      </c>
      <c r="J8242" s="8" t="s">
        <v>22</v>
      </c>
      <c r="K8242" s="8" t="s">
        <v>218</v>
      </c>
      <c r="L8242" s="8" t="s">
        <v>3328</v>
      </c>
      <c r="M8242" s="8" t="s">
        <v>3329</v>
      </c>
      <c r="N8242" s="8" t="s">
        <v>36285</v>
      </c>
      <c r="O8242" s="8">
        <f>5+4/60+19.8/3600</f>
        <v>5.072166666666666</v>
      </c>
      <c r="P8242" s="8" t="s">
        <v>36286</v>
      </c>
      <c r="Q8242" s="8">
        <f>-(10+4/60+32/3600)</f>
        <v>-10.075555555555555</v>
      </c>
      <c r="R8242" s="8">
        <v>12.5</v>
      </c>
      <c r="S8242" s="8">
        <v>13.3</v>
      </c>
      <c r="T8242" s="8">
        <v>0.8</v>
      </c>
      <c r="U8242" s="8">
        <v>12.4</v>
      </c>
      <c r="V8242" s="8">
        <v>1.7</v>
      </c>
      <c r="W8242" s="8">
        <v>0.6</v>
      </c>
      <c r="X8242" s="8">
        <v>57</v>
      </c>
      <c r="Y8242" s="8" t="s">
        <v>36287</v>
      </c>
      <c r="Z8242" s="8" t="s">
        <v>36288</v>
      </c>
    </row>
    <row r="8243" spans="1:26" x14ac:dyDescent="0.2">
      <c r="A8243" s="8">
        <v>8242</v>
      </c>
      <c r="B8243" s="8" t="s">
        <v>36289</v>
      </c>
      <c r="C8243" s="8" t="s">
        <v>36289</v>
      </c>
      <c r="G8243" s="8">
        <v>20</v>
      </c>
      <c r="H8243" s="8" t="s">
        <v>21</v>
      </c>
      <c r="I8243" s="8" t="s">
        <v>22</v>
      </c>
      <c r="J8243" s="8" t="s">
        <v>22</v>
      </c>
      <c r="K8243" s="8" t="s">
        <v>160</v>
      </c>
      <c r="L8243" s="8" t="s">
        <v>3328</v>
      </c>
      <c r="M8243" s="8" t="s">
        <v>3329</v>
      </c>
      <c r="N8243" s="8" t="s">
        <v>36290</v>
      </c>
      <c r="O8243" s="8">
        <f>5+6/60+14.7/3600</f>
        <v>5.1040833333333326</v>
      </c>
      <c r="P8243" s="8" t="s">
        <v>36291</v>
      </c>
      <c r="Q8243" s="8">
        <f>-(9+6/60+26/3600)</f>
        <v>-9.1072222222222212</v>
      </c>
      <c r="R8243" s="8">
        <v>13.7</v>
      </c>
      <c r="S8243" s="8">
        <v>14.4</v>
      </c>
      <c r="T8243" s="8">
        <v>0.7</v>
      </c>
      <c r="U8243" s="8">
        <v>14.9</v>
      </c>
      <c r="V8243" s="8">
        <v>2.2999999999999998</v>
      </c>
      <c r="W8243" s="8">
        <v>1.5</v>
      </c>
      <c r="X8243" s="8">
        <v>147</v>
      </c>
      <c r="Y8243" s="8" t="s">
        <v>36292</v>
      </c>
      <c r="Z8243" s="8" t="s">
        <v>36293</v>
      </c>
    </row>
    <row r="8244" spans="1:26" x14ac:dyDescent="0.2">
      <c r="A8244" s="8">
        <v>8243</v>
      </c>
      <c r="B8244" s="8" t="s">
        <v>36294</v>
      </c>
      <c r="C8244" s="8" t="s">
        <v>36294</v>
      </c>
      <c r="G8244" s="8">
        <v>20</v>
      </c>
      <c r="H8244" s="8" t="s">
        <v>21</v>
      </c>
      <c r="I8244" s="8" t="s">
        <v>72</v>
      </c>
      <c r="J8244" s="8" t="s">
        <v>72</v>
      </c>
      <c r="K8244" s="8" t="s">
        <v>73</v>
      </c>
      <c r="L8244" s="8" t="s">
        <v>7717</v>
      </c>
      <c r="M8244" s="8" t="s">
        <v>7718</v>
      </c>
      <c r="N8244" s="8" t="s">
        <v>36295</v>
      </c>
      <c r="O8244" s="8">
        <f>5+15/60+15.8/3600</f>
        <v>5.2543888888888892</v>
      </c>
      <c r="P8244" s="8" t="s">
        <v>36296</v>
      </c>
      <c r="Q8244" s="8">
        <f>+(39+58/60+22/3600)</f>
        <v>39.972777777777779</v>
      </c>
      <c r="R8244" s="8">
        <v>99</v>
      </c>
      <c r="S8244" s="8">
        <v>99</v>
      </c>
      <c r="T8244" s="8">
        <v>99</v>
      </c>
      <c r="U8244" s="8">
        <v>99</v>
      </c>
      <c r="Y8244" s="8" t="s">
        <v>1829</v>
      </c>
      <c r="Z8244" s="8" t="s">
        <v>1830</v>
      </c>
    </row>
    <row r="8245" spans="1:26" x14ac:dyDescent="0.2">
      <c r="A8245" s="8">
        <v>8244</v>
      </c>
      <c r="B8245" s="8" t="s">
        <v>36297</v>
      </c>
      <c r="C8245" s="8" t="s">
        <v>36297</v>
      </c>
      <c r="G8245" s="8">
        <v>20</v>
      </c>
      <c r="H8245" s="8" t="s">
        <v>21</v>
      </c>
      <c r="I8245" s="8" t="s">
        <v>22</v>
      </c>
      <c r="J8245" s="8" t="s">
        <v>22</v>
      </c>
      <c r="K8245" s="8" t="s">
        <v>449</v>
      </c>
      <c r="L8245" s="8" t="s">
        <v>7698</v>
      </c>
      <c r="M8245" s="8" t="s">
        <v>7699</v>
      </c>
      <c r="N8245" s="8" t="s">
        <v>36298</v>
      </c>
      <c r="O8245" s="8">
        <f>5+13/60+19.6/3600</f>
        <v>5.2221111111111114</v>
      </c>
      <c r="P8245" s="8" t="s">
        <v>36299</v>
      </c>
      <c r="Q8245" s="8">
        <f>+(9+45/60+17/3600)</f>
        <v>9.7547222222222221</v>
      </c>
      <c r="R8245" s="8">
        <v>14.6</v>
      </c>
      <c r="S8245" s="8">
        <v>15.4</v>
      </c>
      <c r="T8245" s="8">
        <v>0.8</v>
      </c>
      <c r="U8245" s="8">
        <v>12.7</v>
      </c>
      <c r="V8245" s="8">
        <v>0.5</v>
      </c>
      <c r="W8245" s="8">
        <v>0.4</v>
      </c>
      <c r="Y8245" s="8" t="s">
        <v>36300</v>
      </c>
      <c r="Z8245" s="8" t="s">
        <v>36301</v>
      </c>
    </row>
    <row r="8246" spans="1:26" x14ac:dyDescent="0.2">
      <c r="A8246" s="8">
        <v>8245</v>
      </c>
      <c r="B8246" s="8" t="s">
        <v>36302</v>
      </c>
      <c r="C8246" s="8" t="s">
        <v>36302</v>
      </c>
      <c r="G8246" s="8">
        <v>2</v>
      </c>
      <c r="H8246" s="8" t="s">
        <v>36303</v>
      </c>
      <c r="I8246" s="8" t="s">
        <v>1283</v>
      </c>
      <c r="J8246" s="8" t="s">
        <v>1283</v>
      </c>
      <c r="K8246" s="8" t="s">
        <v>1284</v>
      </c>
      <c r="L8246" s="8" t="s">
        <v>7717</v>
      </c>
      <c r="M8246" s="8" t="s">
        <v>7718</v>
      </c>
      <c r="N8246" s="8" t="s">
        <v>36304</v>
      </c>
      <c r="O8246" s="8">
        <f>5+16/60+29.4/3600</f>
        <v>5.2748333333333335</v>
      </c>
      <c r="P8246" s="8" t="s">
        <v>36305</v>
      </c>
      <c r="Q8246" s="8">
        <f>+(34+21/60+22/3600)</f>
        <v>34.356111111111112</v>
      </c>
      <c r="R8246" s="8">
        <v>99</v>
      </c>
      <c r="S8246" s="8">
        <v>10</v>
      </c>
      <c r="T8246" s="8">
        <v>99</v>
      </c>
      <c r="U8246" s="8">
        <v>99</v>
      </c>
      <c r="V8246" s="8">
        <v>30</v>
      </c>
      <c r="W8246" s="8">
        <v>20</v>
      </c>
      <c r="Y8246" s="8" t="s">
        <v>36306</v>
      </c>
      <c r="Z8246" s="8" t="s">
        <v>36307</v>
      </c>
    </row>
    <row r="8247" spans="1:26" x14ac:dyDescent="0.2">
      <c r="A8247" s="8">
        <v>8246</v>
      </c>
      <c r="B8247" s="8" t="s">
        <v>36308</v>
      </c>
      <c r="C8247" s="8" t="s">
        <v>36308</v>
      </c>
      <c r="G8247" s="8">
        <v>20</v>
      </c>
      <c r="H8247" s="8" t="s">
        <v>21</v>
      </c>
      <c r="I8247" s="8" t="s">
        <v>72</v>
      </c>
      <c r="J8247" s="8" t="s">
        <v>72</v>
      </c>
      <c r="K8247" s="8" t="s">
        <v>1405</v>
      </c>
      <c r="L8247" s="8" t="s">
        <v>7717</v>
      </c>
      <c r="M8247" s="8" t="s">
        <v>7718</v>
      </c>
      <c r="N8247" s="8" t="s">
        <v>36309</v>
      </c>
      <c r="O8247" s="8">
        <f>5+17/60+48.8/3600</f>
        <v>5.2968888888888888</v>
      </c>
      <c r="P8247" s="8" t="s">
        <v>36310</v>
      </c>
      <c r="Q8247" s="8">
        <f>+(39+53/60+8/3600)</f>
        <v>39.885555555555555</v>
      </c>
      <c r="R8247" s="8">
        <v>99</v>
      </c>
      <c r="S8247" s="8">
        <v>99</v>
      </c>
      <c r="T8247" s="8">
        <v>99</v>
      </c>
      <c r="U8247" s="8">
        <v>99</v>
      </c>
      <c r="Y8247" s="8" t="s">
        <v>36311</v>
      </c>
      <c r="Z8247" s="8" t="s">
        <v>36312</v>
      </c>
    </row>
    <row r="8248" spans="1:26" x14ac:dyDescent="0.2">
      <c r="A8248" s="8">
        <v>8247</v>
      </c>
      <c r="B8248" s="8" t="s">
        <v>36313</v>
      </c>
      <c r="C8248" s="8" t="s">
        <v>36313</v>
      </c>
      <c r="G8248" s="8">
        <v>20</v>
      </c>
      <c r="H8248" s="8" t="s">
        <v>21</v>
      </c>
      <c r="I8248" s="8" t="s">
        <v>22</v>
      </c>
      <c r="J8248" s="8" t="s">
        <v>22</v>
      </c>
      <c r="K8248" s="8" t="s">
        <v>160</v>
      </c>
      <c r="L8248" s="8" t="s">
        <v>7915</v>
      </c>
      <c r="M8248" s="8" t="s">
        <v>7916</v>
      </c>
      <c r="N8248" s="8" t="s">
        <v>36314</v>
      </c>
      <c r="O8248" s="8">
        <f>5+17/60+42.6/3600</f>
        <v>5.2951666666666668</v>
      </c>
      <c r="P8248" s="8" t="s">
        <v>36315</v>
      </c>
      <c r="Q8248" s="8">
        <f>-(15+31/60+24/3600)</f>
        <v>-15.523333333333333</v>
      </c>
      <c r="R8248" s="8">
        <v>13.5</v>
      </c>
      <c r="S8248" s="8">
        <v>14.2</v>
      </c>
      <c r="T8248" s="8">
        <v>0.7</v>
      </c>
      <c r="U8248" s="8">
        <v>13.4</v>
      </c>
      <c r="V8248" s="8">
        <v>2.2000000000000002</v>
      </c>
      <c r="W8248" s="8">
        <v>0.5</v>
      </c>
      <c r="X8248" s="8">
        <v>165</v>
      </c>
      <c r="Y8248" s="8" t="s">
        <v>36316</v>
      </c>
      <c r="Z8248" s="8" t="s">
        <v>36317</v>
      </c>
    </row>
    <row r="8249" spans="1:26" x14ac:dyDescent="0.2">
      <c r="A8249" s="8">
        <v>8248</v>
      </c>
      <c r="B8249" s="8" t="s">
        <v>36318</v>
      </c>
      <c r="C8249" s="8" t="s">
        <v>36318</v>
      </c>
      <c r="G8249" s="8">
        <v>20</v>
      </c>
      <c r="H8249" s="8" t="s">
        <v>21</v>
      </c>
      <c r="I8249" s="8" t="s">
        <v>22</v>
      </c>
      <c r="J8249" s="8" t="s">
        <v>22</v>
      </c>
      <c r="K8249" s="8" t="s">
        <v>224</v>
      </c>
      <c r="L8249" s="8" t="s">
        <v>7915</v>
      </c>
      <c r="M8249" s="8" t="s">
        <v>7916</v>
      </c>
      <c r="N8249" s="8" t="s">
        <v>36319</v>
      </c>
      <c r="O8249" s="8">
        <f>5+19/60+44.7/3600</f>
        <v>5.3290833333333332</v>
      </c>
      <c r="P8249" s="8" t="s">
        <v>36320</v>
      </c>
      <c r="Q8249" s="8">
        <f>-(25+3/60+52/3600)</f>
        <v>-25.064444444444444</v>
      </c>
      <c r="R8249" s="8">
        <v>12.3</v>
      </c>
      <c r="S8249" s="8">
        <v>13.3</v>
      </c>
      <c r="T8249" s="8">
        <v>1</v>
      </c>
      <c r="U8249" s="8">
        <v>13</v>
      </c>
      <c r="V8249" s="8">
        <v>1.9</v>
      </c>
      <c r="W8249" s="8">
        <v>1.1000000000000001</v>
      </c>
      <c r="X8249" s="8">
        <v>160</v>
      </c>
      <c r="Y8249" s="8" t="s">
        <v>36321</v>
      </c>
      <c r="Z8249" s="8" t="s">
        <v>36322</v>
      </c>
    </row>
    <row r="8250" spans="1:26" x14ac:dyDescent="0.2">
      <c r="A8250" s="8">
        <v>8249</v>
      </c>
      <c r="B8250" s="8" t="s">
        <v>36323</v>
      </c>
      <c r="C8250" s="8" t="s">
        <v>36323</v>
      </c>
      <c r="G8250" s="8">
        <v>20</v>
      </c>
      <c r="H8250" s="8" t="s">
        <v>21</v>
      </c>
      <c r="I8250" s="8" t="s">
        <v>22</v>
      </c>
      <c r="J8250" s="8" t="s">
        <v>22</v>
      </c>
      <c r="K8250" s="8" t="s">
        <v>449</v>
      </c>
      <c r="L8250" s="8" t="s">
        <v>7698</v>
      </c>
      <c r="M8250" s="8" t="s">
        <v>7699</v>
      </c>
      <c r="N8250" s="8" t="s">
        <v>36324</v>
      </c>
      <c r="O8250" s="8">
        <f>5+19/60+33.5/3600</f>
        <v>5.3259722222222221</v>
      </c>
      <c r="P8250" s="8" t="s">
        <v>36325</v>
      </c>
      <c r="Q8250" s="8">
        <f>+(3+19/60+2/3600)</f>
        <v>3.3172222222222221</v>
      </c>
      <c r="R8250" s="8">
        <v>13.9</v>
      </c>
      <c r="S8250" s="8">
        <v>14.7</v>
      </c>
      <c r="T8250" s="8">
        <v>0.8</v>
      </c>
      <c r="U8250" s="8">
        <v>13.3</v>
      </c>
      <c r="V8250" s="8">
        <v>0.7</v>
      </c>
      <c r="W8250" s="8">
        <v>0.5</v>
      </c>
      <c r="X8250" s="8">
        <v>30</v>
      </c>
      <c r="Y8250" s="8" t="s">
        <v>36326</v>
      </c>
      <c r="Z8250" s="8" t="s">
        <v>36327</v>
      </c>
    </row>
    <row r="8251" spans="1:26" x14ac:dyDescent="0.2">
      <c r="A8251" s="8">
        <v>8250</v>
      </c>
      <c r="B8251" s="8" t="s">
        <v>36328</v>
      </c>
      <c r="C8251" s="8" t="s">
        <v>36328</v>
      </c>
      <c r="G8251" s="8">
        <v>9</v>
      </c>
      <c r="H8251" s="8" t="s">
        <v>36329</v>
      </c>
      <c r="I8251" s="8" t="s">
        <v>1283</v>
      </c>
      <c r="J8251" s="8" t="s">
        <v>1283</v>
      </c>
      <c r="K8251" s="8" t="s">
        <v>1751</v>
      </c>
      <c r="L8251" s="8" t="s">
        <v>7717</v>
      </c>
      <c r="M8251" s="8" t="s">
        <v>7718</v>
      </c>
      <c r="N8251" s="8" t="s">
        <v>36330</v>
      </c>
      <c r="O8251" s="8">
        <f>5+22/60+45/3600</f>
        <v>5.3791666666666664</v>
      </c>
      <c r="P8251" s="8" t="s">
        <v>36331</v>
      </c>
      <c r="Q8251" s="8">
        <f>+(33+24/60+48/3600)</f>
        <v>33.413333333333334</v>
      </c>
      <c r="R8251" s="8">
        <v>99</v>
      </c>
      <c r="S8251" s="8">
        <v>99</v>
      </c>
      <c r="T8251" s="8">
        <v>99</v>
      </c>
      <c r="U8251" s="8">
        <v>99</v>
      </c>
      <c r="V8251" s="8">
        <v>55</v>
      </c>
      <c r="W8251" s="8">
        <v>45</v>
      </c>
      <c r="Y8251" s="8" t="s">
        <v>36332</v>
      </c>
      <c r="Z8251" s="8" t="s">
        <v>36333</v>
      </c>
    </row>
    <row r="8252" spans="1:26" x14ac:dyDescent="0.2">
      <c r="A8252" s="8">
        <v>8251</v>
      </c>
      <c r="B8252" s="8" t="s">
        <v>36334</v>
      </c>
      <c r="C8252" s="8" t="s">
        <v>36334</v>
      </c>
      <c r="G8252" s="8">
        <v>20</v>
      </c>
      <c r="H8252" s="8" t="s">
        <v>21</v>
      </c>
      <c r="I8252" s="8" t="s">
        <v>22</v>
      </c>
      <c r="J8252" s="8" t="s">
        <v>22</v>
      </c>
      <c r="K8252" s="8" t="s">
        <v>37</v>
      </c>
      <c r="L8252" s="8" t="s">
        <v>7915</v>
      </c>
      <c r="M8252" s="8" t="s">
        <v>7916</v>
      </c>
      <c r="N8252" s="8" t="s">
        <v>36335</v>
      </c>
      <c r="O8252" s="8">
        <f>5+20/60+18.5/3600</f>
        <v>5.3384722222222223</v>
      </c>
      <c r="P8252" s="8" t="s">
        <v>36336</v>
      </c>
      <c r="Q8252" s="8">
        <f>-(25+19/60+28/3600)</f>
        <v>-25.324444444444445</v>
      </c>
      <c r="R8252" s="8">
        <v>13</v>
      </c>
      <c r="S8252" s="8">
        <v>14</v>
      </c>
      <c r="T8252" s="8">
        <v>1</v>
      </c>
      <c r="U8252" s="8">
        <v>12.7</v>
      </c>
      <c r="V8252" s="8">
        <v>1.2</v>
      </c>
      <c r="W8252" s="8">
        <v>0.9</v>
      </c>
      <c r="X8252" s="8">
        <v>129</v>
      </c>
      <c r="Y8252" s="8" t="s">
        <v>36337</v>
      </c>
      <c r="Z8252" s="8" t="s">
        <v>36338</v>
      </c>
    </row>
    <row r="8253" spans="1:26" x14ac:dyDescent="0.2">
      <c r="A8253" s="8">
        <v>8252</v>
      </c>
      <c r="B8253" s="8" t="s">
        <v>36339</v>
      </c>
      <c r="C8253" s="8" t="s">
        <v>36339</v>
      </c>
      <c r="G8253" s="8">
        <v>20</v>
      </c>
      <c r="H8253" s="8" t="s">
        <v>21</v>
      </c>
      <c r="I8253" s="8" t="s">
        <v>22</v>
      </c>
      <c r="J8253" s="8" t="s">
        <v>22</v>
      </c>
      <c r="K8253" s="8" t="s">
        <v>31</v>
      </c>
      <c r="L8253" s="8" t="s">
        <v>7698</v>
      </c>
      <c r="M8253" s="8" t="s">
        <v>7699</v>
      </c>
      <c r="N8253" s="8" t="s">
        <v>36340</v>
      </c>
      <c r="O8253" s="8">
        <f>5+21/60+56.7/3600</f>
        <v>5.3657499999999994</v>
      </c>
      <c r="P8253" s="8" t="s">
        <v>36341</v>
      </c>
      <c r="Q8253" s="8">
        <f>+(3+29/60+11/3600)</f>
        <v>3.486388888888889</v>
      </c>
      <c r="R8253" s="8">
        <v>13.7</v>
      </c>
      <c r="S8253" s="8">
        <v>14.5</v>
      </c>
      <c r="T8253" s="8">
        <v>0.8</v>
      </c>
      <c r="U8253" s="8">
        <v>13.2</v>
      </c>
      <c r="V8253" s="8">
        <v>1.3</v>
      </c>
      <c r="W8253" s="8">
        <v>0.6</v>
      </c>
      <c r="X8253" s="8">
        <v>3</v>
      </c>
      <c r="Y8253" s="8" t="s">
        <v>36342</v>
      </c>
      <c r="Z8253" s="8" t="s">
        <v>36343</v>
      </c>
    </row>
    <row r="8254" spans="1:26" x14ac:dyDescent="0.2">
      <c r="A8254" s="8">
        <v>8253</v>
      </c>
      <c r="B8254" s="8" t="s">
        <v>36344</v>
      </c>
      <c r="C8254" s="8" t="s">
        <v>36344</v>
      </c>
      <c r="G8254" s="8">
        <v>20</v>
      </c>
      <c r="H8254" s="8" t="s">
        <v>21</v>
      </c>
      <c r="I8254" s="8" t="s">
        <v>22</v>
      </c>
      <c r="J8254" s="8" t="s">
        <v>22</v>
      </c>
      <c r="K8254" s="8" t="s">
        <v>37</v>
      </c>
      <c r="L8254" s="8" t="s">
        <v>7698</v>
      </c>
      <c r="M8254" s="8" t="s">
        <v>7699</v>
      </c>
      <c r="N8254" s="8" t="s">
        <v>36345</v>
      </c>
      <c r="O8254" s="8">
        <f>5+21/60+58.7/3600</f>
        <v>5.366305555555555</v>
      </c>
      <c r="P8254" s="8" t="s">
        <v>36346</v>
      </c>
      <c r="Q8254" s="8">
        <f>+(3+28/60+56/3600)</f>
        <v>3.4822222222222226</v>
      </c>
      <c r="R8254" s="8">
        <v>13.8</v>
      </c>
      <c r="S8254" s="8">
        <v>14.8</v>
      </c>
      <c r="T8254" s="8">
        <v>1</v>
      </c>
      <c r="U8254" s="8">
        <v>13.2</v>
      </c>
      <c r="V8254" s="8">
        <v>0.9</v>
      </c>
      <c r="W8254" s="8">
        <v>0.7</v>
      </c>
      <c r="X8254" s="8">
        <v>159</v>
      </c>
      <c r="Y8254" s="8" t="s">
        <v>36347</v>
      </c>
      <c r="Z8254" s="8" t="s">
        <v>36348</v>
      </c>
    </row>
    <row r="8255" spans="1:26" x14ac:dyDescent="0.2">
      <c r="A8255" s="8">
        <v>8254</v>
      </c>
      <c r="B8255" s="8" t="s">
        <v>36349</v>
      </c>
      <c r="C8255" s="8" t="s">
        <v>36349</v>
      </c>
      <c r="G8255" s="8">
        <v>20</v>
      </c>
      <c r="H8255" s="8" t="s">
        <v>21</v>
      </c>
      <c r="I8255" s="8" t="s">
        <v>22</v>
      </c>
      <c r="J8255" s="8" t="s">
        <v>22</v>
      </c>
      <c r="K8255" s="8" t="s">
        <v>449</v>
      </c>
      <c r="L8255" s="8" t="s">
        <v>7698</v>
      </c>
      <c r="M8255" s="8" t="s">
        <v>7699</v>
      </c>
      <c r="N8255" s="8" t="s">
        <v>36350</v>
      </c>
      <c r="O8255" s="8">
        <f>5+21/60+55/3600</f>
        <v>5.3652777777777771</v>
      </c>
      <c r="P8255" s="8" t="s">
        <v>36351</v>
      </c>
      <c r="Q8255" s="8">
        <f>+(3+20/60+35/3600)</f>
        <v>3.3430555555555559</v>
      </c>
      <c r="R8255" s="8">
        <v>14</v>
      </c>
      <c r="S8255" s="8">
        <v>14.8</v>
      </c>
      <c r="T8255" s="8">
        <v>0.8</v>
      </c>
      <c r="U8255" s="8">
        <v>11.8</v>
      </c>
      <c r="V8255" s="8">
        <v>0.5</v>
      </c>
      <c r="W8255" s="8">
        <v>0.3</v>
      </c>
      <c r="X8255" s="8">
        <v>135</v>
      </c>
      <c r="Y8255" s="8" t="s">
        <v>36352</v>
      </c>
      <c r="Z8255" s="8" t="s">
        <v>36353</v>
      </c>
    </row>
    <row r="8256" spans="1:26" x14ac:dyDescent="0.2">
      <c r="A8256" s="8">
        <v>8255</v>
      </c>
      <c r="B8256" s="8" t="s">
        <v>36354</v>
      </c>
      <c r="C8256" s="8" t="s">
        <v>36354</v>
      </c>
      <c r="G8256" s="8">
        <v>20</v>
      </c>
      <c r="H8256" s="8" t="s">
        <v>21</v>
      </c>
      <c r="I8256" s="8" t="s">
        <v>22</v>
      </c>
      <c r="J8256" s="8" t="s">
        <v>22</v>
      </c>
      <c r="K8256" s="8" t="s">
        <v>449</v>
      </c>
      <c r="L8256" s="8" t="s">
        <v>7915</v>
      </c>
      <c r="M8256" s="8" t="s">
        <v>7916</v>
      </c>
      <c r="N8256" s="8" t="s">
        <v>36355</v>
      </c>
      <c r="O8256" s="8">
        <f>5+21/60+21.5/3600</f>
        <v>5.3559722222222215</v>
      </c>
      <c r="P8256" s="8" t="s">
        <v>36356</v>
      </c>
      <c r="Q8256" s="8">
        <f>-(15+32/60+32/3600)</f>
        <v>-15.542222222222222</v>
      </c>
      <c r="R8256" s="8">
        <v>15</v>
      </c>
      <c r="S8256" s="8">
        <v>15.8</v>
      </c>
      <c r="T8256" s="8">
        <v>0.8</v>
      </c>
      <c r="U8256" s="8">
        <v>13.3</v>
      </c>
      <c r="V8256" s="8">
        <v>0.6</v>
      </c>
      <c r="W8256" s="8">
        <v>0.4</v>
      </c>
      <c r="X8256" s="8">
        <v>140</v>
      </c>
      <c r="Y8256" s="8" t="s">
        <v>35781</v>
      </c>
      <c r="Z8256" s="8" t="s">
        <v>35782</v>
      </c>
    </row>
    <row r="8257" spans="1:26" x14ac:dyDescent="0.2">
      <c r="A8257" s="8">
        <v>8256</v>
      </c>
      <c r="B8257" s="8" t="s">
        <v>36357</v>
      </c>
      <c r="C8257" s="8" t="s">
        <v>36357</v>
      </c>
      <c r="G8257" s="8">
        <v>20</v>
      </c>
      <c r="H8257" s="8" t="s">
        <v>21</v>
      </c>
      <c r="I8257" s="8" t="s">
        <v>22</v>
      </c>
      <c r="J8257" s="8" t="s">
        <v>22</v>
      </c>
      <c r="K8257" s="8" t="s">
        <v>64</v>
      </c>
      <c r="L8257" s="8" t="s">
        <v>7915</v>
      </c>
      <c r="M8257" s="8" t="s">
        <v>7916</v>
      </c>
      <c r="N8257" s="8" t="s">
        <v>36358</v>
      </c>
      <c r="O8257" s="8">
        <f>5+23/60+56.4/3600</f>
        <v>5.399</v>
      </c>
      <c r="P8257" s="8" t="s">
        <v>36359</v>
      </c>
      <c r="Q8257" s="8">
        <f>-(17+15/60+37/3600)</f>
        <v>-17.260277777777777</v>
      </c>
      <c r="R8257" s="8">
        <v>13.3</v>
      </c>
      <c r="S8257" s="8">
        <v>14</v>
      </c>
      <c r="T8257" s="8">
        <v>0.7</v>
      </c>
      <c r="U8257" s="8">
        <v>13.1</v>
      </c>
      <c r="V8257" s="8">
        <v>1.4</v>
      </c>
      <c r="W8257" s="8">
        <v>0.7</v>
      </c>
      <c r="X8257" s="8">
        <v>66</v>
      </c>
      <c r="Y8257" s="8" t="s">
        <v>34977</v>
      </c>
      <c r="Z8257" s="8" t="s">
        <v>34978</v>
      </c>
    </row>
    <row r="8258" spans="1:26" x14ac:dyDescent="0.2">
      <c r="A8258" s="8">
        <v>8257</v>
      </c>
      <c r="B8258" s="8" t="s">
        <v>36360</v>
      </c>
      <c r="C8258" s="8" t="s">
        <v>36360</v>
      </c>
      <c r="G8258" s="8">
        <v>12</v>
      </c>
      <c r="H8258" s="8" t="s">
        <v>36361</v>
      </c>
      <c r="I8258" s="8" t="s">
        <v>1283</v>
      </c>
      <c r="J8258" s="8" t="s">
        <v>1283</v>
      </c>
      <c r="K8258" s="8" t="s">
        <v>1751</v>
      </c>
      <c r="L8258" s="8" t="s">
        <v>7717</v>
      </c>
      <c r="M8258" s="8" t="s">
        <v>7718</v>
      </c>
      <c r="N8258" s="8" t="s">
        <v>36362</v>
      </c>
      <c r="O8258" s="8">
        <f>5+28/60+5.9/3600</f>
        <v>5.4683055555555553</v>
      </c>
      <c r="P8258" s="8" t="s">
        <v>36363</v>
      </c>
      <c r="Q8258" s="8">
        <f>+(34+25/60+26/3600)</f>
        <v>34.423888888888889</v>
      </c>
      <c r="R8258" s="8">
        <v>99</v>
      </c>
      <c r="S8258" s="8">
        <v>99</v>
      </c>
      <c r="T8258" s="8">
        <v>99</v>
      </c>
      <c r="U8258" s="8">
        <v>99</v>
      </c>
      <c r="V8258" s="8">
        <v>13</v>
      </c>
      <c r="W8258" s="8">
        <v>10</v>
      </c>
      <c r="Y8258" s="8" t="s">
        <v>36364</v>
      </c>
      <c r="Z8258" s="8" t="s">
        <v>36365</v>
      </c>
    </row>
    <row r="8259" spans="1:26" x14ac:dyDescent="0.2">
      <c r="A8259" s="8">
        <v>8258</v>
      </c>
      <c r="B8259" s="8" t="s">
        <v>36366</v>
      </c>
      <c r="C8259" s="8" t="s">
        <v>36366</v>
      </c>
      <c r="G8259" s="8">
        <v>9</v>
      </c>
      <c r="H8259" s="8" t="s">
        <v>36367</v>
      </c>
      <c r="I8259" s="8" t="s">
        <v>241</v>
      </c>
      <c r="J8259" s="8" t="s">
        <v>241</v>
      </c>
      <c r="K8259" s="8" t="s">
        <v>241</v>
      </c>
      <c r="L8259" s="8" t="s">
        <v>7915</v>
      </c>
      <c r="M8259" s="8" t="s">
        <v>7916</v>
      </c>
      <c r="N8259" s="8" t="s">
        <v>36368</v>
      </c>
      <c r="O8259" s="8">
        <f>5+27/60+28.3/3600</f>
        <v>5.4578611111111117</v>
      </c>
      <c r="P8259" s="8" t="s">
        <v>36369</v>
      </c>
      <c r="Q8259" s="8">
        <f>-(12+41/60+48/3600)</f>
        <v>-12.696666666666667</v>
      </c>
      <c r="R8259" s="8">
        <v>9.3000000000000007</v>
      </c>
      <c r="S8259" s="8">
        <v>10.7</v>
      </c>
      <c r="T8259" s="8">
        <v>99</v>
      </c>
      <c r="U8259" s="8">
        <v>99</v>
      </c>
      <c r="V8259" s="8">
        <v>0.2</v>
      </c>
      <c r="Y8259" s="8" t="s">
        <v>36370</v>
      </c>
      <c r="Z8259" s="8" t="s">
        <v>36371</v>
      </c>
    </row>
    <row r="8260" spans="1:26" x14ac:dyDescent="0.2">
      <c r="A8260" s="8">
        <v>8259</v>
      </c>
      <c r="B8260" s="8" t="s">
        <v>36372</v>
      </c>
      <c r="C8260" s="8" t="s">
        <v>36372</v>
      </c>
      <c r="G8260" s="8">
        <v>20</v>
      </c>
      <c r="H8260" s="8" t="s">
        <v>21</v>
      </c>
      <c r="I8260" s="8" t="s">
        <v>72</v>
      </c>
      <c r="J8260" s="8" t="s">
        <v>72</v>
      </c>
      <c r="K8260" s="8" t="s">
        <v>5802</v>
      </c>
      <c r="L8260" s="8" t="s">
        <v>7717</v>
      </c>
      <c r="M8260" s="8" t="s">
        <v>7718</v>
      </c>
      <c r="N8260" s="8" t="s">
        <v>36373</v>
      </c>
      <c r="O8260" s="8">
        <f>5+30/60+52/3600</f>
        <v>5.514444444444444</v>
      </c>
      <c r="P8260" s="8" t="s">
        <v>36374</v>
      </c>
      <c r="Q8260" s="8">
        <f>+(30+7/60+5/3600)</f>
        <v>30.118055555555557</v>
      </c>
      <c r="R8260" s="8">
        <v>99</v>
      </c>
      <c r="S8260" s="8">
        <v>99</v>
      </c>
      <c r="T8260" s="8">
        <v>99</v>
      </c>
      <c r="U8260" s="8">
        <v>99</v>
      </c>
      <c r="Y8260" s="8" t="s">
        <v>36375</v>
      </c>
      <c r="Z8260" s="8" t="s">
        <v>36376</v>
      </c>
    </row>
    <row r="8261" spans="1:26" x14ac:dyDescent="0.2">
      <c r="A8261" s="8">
        <v>8260</v>
      </c>
      <c r="B8261" s="8" t="s">
        <v>36377</v>
      </c>
      <c r="C8261" s="8" t="s">
        <v>36377</v>
      </c>
      <c r="G8261" s="8">
        <v>20</v>
      </c>
      <c r="H8261" s="8" t="s">
        <v>21</v>
      </c>
      <c r="I8261" s="8" t="s">
        <v>1283</v>
      </c>
      <c r="J8261" s="8" t="s">
        <v>1283</v>
      </c>
      <c r="K8261" s="8" t="s">
        <v>6208</v>
      </c>
      <c r="L8261" s="8" t="s">
        <v>7698</v>
      </c>
      <c r="M8261" s="8" t="s">
        <v>7699</v>
      </c>
      <c r="N8261" s="8" t="s">
        <v>36378</v>
      </c>
      <c r="O8261" s="8">
        <f>5+32/60+14/3600</f>
        <v>5.5372222222222218</v>
      </c>
      <c r="P8261" s="8" t="s">
        <v>36379</v>
      </c>
      <c r="Q8261" s="8">
        <f>-(4+31/60+12/3600)</f>
        <v>-4.5199999999999996</v>
      </c>
      <c r="R8261" s="8">
        <v>99</v>
      </c>
      <c r="S8261" s="8">
        <v>99</v>
      </c>
      <c r="T8261" s="8">
        <v>99</v>
      </c>
      <c r="U8261" s="8">
        <v>99</v>
      </c>
      <c r="V8261" s="8">
        <v>6</v>
      </c>
      <c r="Y8261" s="8" t="s">
        <v>36380</v>
      </c>
      <c r="Z8261" s="8" t="s">
        <v>36381</v>
      </c>
    </row>
    <row r="8262" spans="1:26" x14ac:dyDescent="0.2">
      <c r="A8262" s="8">
        <v>8261</v>
      </c>
      <c r="B8262" s="8" t="s">
        <v>36382</v>
      </c>
      <c r="C8262" s="8" t="s">
        <v>36382</v>
      </c>
      <c r="G8262" s="8">
        <v>20</v>
      </c>
      <c r="H8262" s="8" t="s">
        <v>21</v>
      </c>
      <c r="I8262" s="8" t="s">
        <v>22</v>
      </c>
      <c r="J8262" s="8" t="s">
        <v>22</v>
      </c>
      <c r="K8262" s="8" t="s">
        <v>85</v>
      </c>
      <c r="L8262" s="8" t="s">
        <v>7698</v>
      </c>
      <c r="M8262" s="8" t="s">
        <v>7699</v>
      </c>
      <c r="N8262" s="8" t="s">
        <v>36383</v>
      </c>
      <c r="O8262" s="8">
        <f>5+32/60+8.5/3600</f>
        <v>5.5356944444444443</v>
      </c>
      <c r="P8262" s="8" t="s">
        <v>36384</v>
      </c>
      <c r="Q8262" s="8">
        <f>-(7+55/60+4/3600)</f>
        <v>-7.9177777777777782</v>
      </c>
      <c r="R8262" s="8">
        <v>14.2</v>
      </c>
      <c r="S8262" s="8">
        <v>15</v>
      </c>
      <c r="T8262" s="8">
        <v>0.8</v>
      </c>
      <c r="U8262" s="8">
        <v>16.5</v>
      </c>
      <c r="V8262" s="8">
        <v>3.3</v>
      </c>
      <c r="W8262" s="8">
        <v>2.9</v>
      </c>
      <c r="X8262" s="8">
        <v>39</v>
      </c>
      <c r="Y8262" s="8" t="s">
        <v>2228</v>
      </c>
      <c r="Z8262" s="8" t="s">
        <v>2229</v>
      </c>
    </row>
    <row r="8263" spans="1:26" x14ac:dyDescent="0.2">
      <c r="A8263" s="8">
        <v>8262</v>
      </c>
      <c r="B8263" s="8" t="s">
        <v>36385</v>
      </c>
      <c r="C8263" s="8" t="s">
        <v>36385</v>
      </c>
      <c r="G8263" s="8">
        <v>20</v>
      </c>
      <c r="H8263" s="8" t="s">
        <v>21</v>
      </c>
      <c r="I8263" s="8" t="s">
        <v>22</v>
      </c>
      <c r="J8263" s="8" t="s">
        <v>22</v>
      </c>
      <c r="K8263" s="8" t="s">
        <v>460</v>
      </c>
      <c r="L8263" s="8" t="s">
        <v>7915</v>
      </c>
      <c r="M8263" s="8" t="s">
        <v>7916</v>
      </c>
      <c r="N8263" s="8" t="s">
        <v>36386</v>
      </c>
      <c r="O8263" s="8">
        <f>5+32/60+18.5/3600</f>
        <v>5.5384722222222225</v>
      </c>
      <c r="P8263" s="8" t="s">
        <v>36387</v>
      </c>
      <c r="Q8263" s="8">
        <f>-(17+13/60+26/3600)</f>
        <v>-17.223888888888887</v>
      </c>
      <c r="R8263" s="8">
        <v>13.3</v>
      </c>
      <c r="S8263" s="8">
        <v>14.3</v>
      </c>
      <c r="T8263" s="8">
        <v>1</v>
      </c>
      <c r="U8263" s="8">
        <v>12.4</v>
      </c>
      <c r="V8263" s="8">
        <v>0.7</v>
      </c>
      <c r="W8263" s="8">
        <v>0.7</v>
      </c>
      <c r="Y8263" s="8" t="s">
        <v>36388</v>
      </c>
      <c r="Z8263" s="8" t="s">
        <v>36389</v>
      </c>
    </row>
    <row r="8264" spans="1:26" x14ac:dyDescent="0.2">
      <c r="A8264" s="8">
        <v>8263</v>
      </c>
      <c r="B8264" s="8" t="s">
        <v>36390</v>
      </c>
      <c r="C8264" s="8" t="s">
        <v>36390</v>
      </c>
      <c r="G8264" s="8">
        <v>13</v>
      </c>
      <c r="H8264" s="8" t="s">
        <v>21</v>
      </c>
      <c r="I8264" s="8" t="s">
        <v>1283</v>
      </c>
      <c r="J8264" s="8" t="s">
        <v>1283</v>
      </c>
      <c r="K8264" s="8" t="s">
        <v>1284</v>
      </c>
      <c r="L8264" s="8" t="s">
        <v>7698</v>
      </c>
      <c r="M8264" s="8" t="s">
        <v>7699</v>
      </c>
      <c r="N8264" s="8" t="s">
        <v>36391</v>
      </c>
      <c r="O8264" s="8">
        <f>5+33/60+22/3600</f>
        <v>5.556111111111111</v>
      </c>
      <c r="P8264" s="8" t="s">
        <v>36392</v>
      </c>
      <c r="Q8264" s="8">
        <f>-(0+36/60+52/3600)</f>
        <v>-0.61444444444444446</v>
      </c>
      <c r="R8264" s="8">
        <v>99</v>
      </c>
      <c r="S8264" s="8">
        <v>99</v>
      </c>
      <c r="T8264" s="8">
        <v>99</v>
      </c>
      <c r="U8264" s="8">
        <v>99</v>
      </c>
      <c r="V8264" s="8">
        <v>2</v>
      </c>
      <c r="W8264" s="8">
        <v>2</v>
      </c>
      <c r="Y8264" s="8" t="s">
        <v>36393</v>
      </c>
      <c r="Z8264" s="8" t="s">
        <v>36394</v>
      </c>
    </row>
    <row r="8265" spans="1:26" x14ac:dyDescent="0.2">
      <c r="A8265" s="8">
        <v>8264</v>
      </c>
      <c r="B8265" s="8" t="s">
        <v>36395</v>
      </c>
      <c r="C8265" s="8" t="s">
        <v>36395</v>
      </c>
      <c r="G8265" s="8">
        <v>20</v>
      </c>
      <c r="H8265" s="8" t="s">
        <v>21</v>
      </c>
      <c r="I8265" s="8" t="s">
        <v>1283</v>
      </c>
      <c r="J8265" s="8" t="s">
        <v>1283</v>
      </c>
      <c r="K8265" s="8" t="s">
        <v>6208</v>
      </c>
      <c r="L8265" s="8" t="s">
        <v>7698</v>
      </c>
      <c r="M8265" s="8" t="s">
        <v>7699</v>
      </c>
      <c r="N8265" s="8" t="s">
        <v>36396</v>
      </c>
      <c r="O8265" s="8">
        <f>5+33/60+37.2/3600</f>
        <v>5.5603333333333333</v>
      </c>
      <c r="P8265" s="8" t="s">
        <v>36397</v>
      </c>
      <c r="Q8265" s="8">
        <f>-(0+24/60+47/3600)</f>
        <v>-0.41305555555555556</v>
      </c>
      <c r="R8265" s="8">
        <v>99</v>
      </c>
      <c r="S8265" s="8">
        <v>99</v>
      </c>
      <c r="T8265" s="8">
        <v>99</v>
      </c>
      <c r="U8265" s="8">
        <v>99</v>
      </c>
      <c r="V8265" s="8">
        <v>120</v>
      </c>
      <c r="Y8265" s="8" t="s">
        <v>36398</v>
      </c>
      <c r="Z8265" s="8" t="s">
        <v>36399</v>
      </c>
    </row>
    <row r="8266" spans="1:26" x14ac:dyDescent="0.2">
      <c r="A8266" s="8">
        <v>8265</v>
      </c>
      <c r="B8266" s="8" t="s">
        <v>36400</v>
      </c>
      <c r="C8266" s="8" t="s">
        <v>36400</v>
      </c>
      <c r="G8266" s="8">
        <v>20</v>
      </c>
      <c r="H8266" s="8" t="s">
        <v>21</v>
      </c>
      <c r="I8266" s="8" t="s">
        <v>329</v>
      </c>
      <c r="J8266" s="8" t="s">
        <v>329</v>
      </c>
      <c r="K8266" s="8" t="s">
        <v>329</v>
      </c>
      <c r="L8266" s="8" t="s">
        <v>7717</v>
      </c>
      <c r="M8266" s="8" t="s">
        <v>7718</v>
      </c>
      <c r="N8266" s="8" t="s">
        <v>36401</v>
      </c>
      <c r="O8266" s="8">
        <f>5+37/60+12/3600</f>
        <v>5.62</v>
      </c>
      <c r="P8266" s="8" t="s">
        <v>36402</v>
      </c>
      <c r="Q8266" s="8">
        <f>+(32+25/60+0/3600)</f>
        <v>32.416666666666664</v>
      </c>
      <c r="R8266" s="8">
        <v>99</v>
      </c>
      <c r="S8266" s="8">
        <v>99</v>
      </c>
      <c r="T8266" s="8">
        <v>99</v>
      </c>
      <c r="U8266" s="8">
        <v>99</v>
      </c>
      <c r="Y8266" s="8" t="s">
        <v>36403</v>
      </c>
      <c r="Z8266" s="8" t="s">
        <v>36404</v>
      </c>
    </row>
    <row r="8267" spans="1:26" x14ac:dyDescent="0.2">
      <c r="A8267" s="8">
        <v>8266</v>
      </c>
      <c r="B8267" s="8" t="s">
        <v>36405</v>
      </c>
      <c r="C8267" s="8" t="s">
        <v>36405</v>
      </c>
      <c r="G8267" s="8">
        <v>13</v>
      </c>
      <c r="H8267" s="8" t="s">
        <v>21</v>
      </c>
      <c r="I8267" s="8" t="s">
        <v>1283</v>
      </c>
      <c r="J8267" s="8" t="s">
        <v>1283</v>
      </c>
      <c r="K8267" s="8" t="s">
        <v>6208</v>
      </c>
      <c r="L8267" s="8" t="s">
        <v>7698</v>
      </c>
      <c r="M8267" s="8" t="s">
        <v>7699</v>
      </c>
      <c r="N8267" s="8" t="s">
        <v>36406</v>
      </c>
      <c r="O8267" s="8">
        <f>5+36/60+31/3600</f>
        <v>5.6086111111111103</v>
      </c>
      <c r="P8267" s="8" t="s">
        <v>36407</v>
      </c>
      <c r="Q8267" s="8">
        <f>-(0+17/60+54/3600)</f>
        <v>-0.29833333333333334</v>
      </c>
      <c r="R8267" s="8">
        <v>99</v>
      </c>
      <c r="S8267" s="8">
        <v>99</v>
      </c>
      <c r="T8267" s="8">
        <v>99</v>
      </c>
      <c r="U8267" s="8">
        <v>99</v>
      </c>
      <c r="V8267" s="8">
        <v>7</v>
      </c>
      <c r="W8267" s="8">
        <v>7</v>
      </c>
      <c r="Y8267" s="8" t="s">
        <v>36408</v>
      </c>
      <c r="Z8267" s="8" t="s">
        <v>36409</v>
      </c>
    </row>
    <row r="8268" spans="1:26" x14ac:dyDescent="0.2">
      <c r="A8268" s="8">
        <v>8267</v>
      </c>
      <c r="B8268" s="8" t="s">
        <v>36410</v>
      </c>
      <c r="C8268" s="8" t="s">
        <v>36410</v>
      </c>
      <c r="G8268" s="8">
        <v>20</v>
      </c>
      <c r="H8268" s="8" t="s">
        <v>21</v>
      </c>
      <c r="I8268" s="8" t="s">
        <v>1283</v>
      </c>
      <c r="J8268" s="8" t="s">
        <v>1283</v>
      </c>
      <c r="K8268" s="8" t="s">
        <v>9155</v>
      </c>
      <c r="L8268" s="8" t="s">
        <v>7698</v>
      </c>
      <c r="M8268" s="8" t="s">
        <v>7699</v>
      </c>
      <c r="N8268" s="8" t="s">
        <v>36411</v>
      </c>
      <c r="O8268" s="8">
        <f>5+36/60+18/3600</f>
        <v>5.6049999999999995</v>
      </c>
      <c r="P8268" s="8" t="s">
        <v>36412</v>
      </c>
      <c r="Q8268" s="8">
        <f>-(6+37/60+0/3600)</f>
        <v>-6.6166666666666671</v>
      </c>
      <c r="R8268" s="8">
        <v>99</v>
      </c>
      <c r="S8268" s="8">
        <v>99</v>
      </c>
      <c r="T8268" s="8">
        <v>99</v>
      </c>
      <c r="U8268" s="8">
        <v>99</v>
      </c>
      <c r="Y8268" s="8" t="s">
        <v>36413</v>
      </c>
      <c r="Z8268" s="8" t="s">
        <v>36414</v>
      </c>
    </row>
    <row r="8269" spans="1:26" x14ac:dyDescent="0.2">
      <c r="A8269" s="8">
        <v>8268</v>
      </c>
      <c r="B8269" s="8" t="s">
        <v>36415</v>
      </c>
      <c r="C8269" s="8" t="s">
        <v>36415</v>
      </c>
      <c r="G8269" s="8">
        <v>20</v>
      </c>
      <c r="H8269" s="8" t="s">
        <v>21</v>
      </c>
      <c r="I8269" s="8" t="s">
        <v>1283</v>
      </c>
      <c r="J8269" s="8" t="s">
        <v>1283</v>
      </c>
      <c r="K8269" s="8" t="s">
        <v>9155</v>
      </c>
      <c r="L8269" s="8" t="s">
        <v>7698</v>
      </c>
      <c r="M8269" s="8" t="s">
        <v>7699</v>
      </c>
      <c r="N8269" s="8" t="s">
        <v>36416</v>
      </c>
      <c r="O8269" s="8">
        <f>5+36/60+24.2/3600</f>
        <v>5.6067222222222215</v>
      </c>
      <c r="P8269" s="8" t="s">
        <v>36417</v>
      </c>
      <c r="Q8269" s="8">
        <f>-(6+27/60+6/3600)</f>
        <v>-6.4516666666666671</v>
      </c>
      <c r="R8269" s="8">
        <v>99</v>
      </c>
      <c r="S8269" s="8">
        <v>99</v>
      </c>
      <c r="T8269" s="8">
        <v>99</v>
      </c>
      <c r="U8269" s="8">
        <v>99</v>
      </c>
      <c r="Y8269" s="8" t="s">
        <v>36413</v>
      </c>
      <c r="Z8269" s="8" t="s">
        <v>36414</v>
      </c>
    </row>
    <row r="8270" spans="1:26" x14ac:dyDescent="0.2">
      <c r="A8270" s="8">
        <v>8269</v>
      </c>
      <c r="B8270" s="8" t="s">
        <v>36418</v>
      </c>
      <c r="C8270" s="8" t="s">
        <v>36418</v>
      </c>
      <c r="G8270" s="8">
        <v>20</v>
      </c>
      <c r="H8270" s="8" t="s">
        <v>21</v>
      </c>
      <c r="I8270" s="8" t="s">
        <v>1283</v>
      </c>
      <c r="J8270" s="8" t="s">
        <v>1283</v>
      </c>
      <c r="K8270" s="8" t="s">
        <v>6208</v>
      </c>
      <c r="L8270" s="8" t="s">
        <v>7698</v>
      </c>
      <c r="M8270" s="8" t="s">
        <v>7699</v>
      </c>
      <c r="N8270" s="8" t="s">
        <v>36419</v>
      </c>
      <c r="O8270" s="8">
        <f>5+38/60+18/3600</f>
        <v>5.6383333333333328</v>
      </c>
      <c r="P8270" s="8" t="s">
        <v>36420</v>
      </c>
      <c r="Q8270" s="8">
        <f>-(7+2/60+12/3600)</f>
        <v>-7.0366666666666662</v>
      </c>
      <c r="R8270" s="8">
        <v>99</v>
      </c>
      <c r="S8270" s="8">
        <v>99</v>
      </c>
      <c r="T8270" s="8">
        <v>99</v>
      </c>
      <c r="U8270" s="8">
        <v>99</v>
      </c>
      <c r="Y8270" s="8" t="s">
        <v>36421</v>
      </c>
      <c r="Z8270" s="8" t="s">
        <v>36422</v>
      </c>
    </row>
    <row r="8271" spans="1:26" x14ac:dyDescent="0.2">
      <c r="A8271" s="8">
        <v>8270</v>
      </c>
      <c r="B8271" s="8" t="s">
        <v>36423</v>
      </c>
      <c r="C8271" s="8" t="s">
        <v>36423</v>
      </c>
      <c r="G8271" s="8">
        <v>13</v>
      </c>
      <c r="H8271" s="8" t="s">
        <v>21</v>
      </c>
      <c r="I8271" s="8" t="s">
        <v>1283</v>
      </c>
      <c r="J8271" s="8" t="s">
        <v>1283</v>
      </c>
      <c r="K8271" s="8" t="s">
        <v>6208</v>
      </c>
      <c r="L8271" s="8" t="s">
        <v>7698</v>
      </c>
      <c r="M8271" s="8" t="s">
        <v>7699</v>
      </c>
      <c r="N8271" s="8" t="s">
        <v>36424</v>
      </c>
      <c r="O8271" s="8">
        <f>5+38/60+18.2/3600</f>
        <v>5.6383888888888887</v>
      </c>
      <c r="P8271" s="8" t="s">
        <v>36425</v>
      </c>
      <c r="Q8271" s="8">
        <f>-(7+2/60+26/3600)</f>
        <v>-7.0405555555555557</v>
      </c>
      <c r="R8271" s="8">
        <v>99</v>
      </c>
      <c r="S8271" s="8">
        <v>99</v>
      </c>
      <c r="T8271" s="8">
        <v>99</v>
      </c>
      <c r="U8271" s="8">
        <v>99</v>
      </c>
      <c r="V8271" s="8">
        <v>11</v>
      </c>
      <c r="W8271" s="8">
        <v>11</v>
      </c>
      <c r="Y8271" s="8" t="s">
        <v>36426</v>
      </c>
      <c r="Z8271" s="8" t="s">
        <v>36427</v>
      </c>
    </row>
    <row r="8272" spans="1:26" x14ac:dyDescent="0.2">
      <c r="A8272" s="8">
        <v>8271</v>
      </c>
      <c r="B8272" s="8" t="s">
        <v>36428</v>
      </c>
      <c r="C8272" s="8" t="s">
        <v>36428</v>
      </c>
      <c r="G8272" s="8">
        <v>20</v>
      </c>
      <c r="H8272" s="8" t="s">
        <v>21</v>
      </c>
      <c r="I8272" s="8" t="s">
        <v>1283</v>
      </c>
      <c r="J8272" s="8" t="s">
        <v>1283</v>
      </c>
      <c r="K8272" s="8" t="s">
        <v>6208</v>
      </c>
      <c r="L8272" s="8" t="s">
        <v>7698</v>
      </c>
      <c r="M8272" s="8" t="s">
        <v>7699</v>
      </c>
      <c r="N8272" s="8" t="s">
        <v>36429</v>
      </c>
      <c r="O8272" s="8">
        <f>5+40/60+14/3600</f>
        <v>5.6705555555555556</v>
      </c>
      <c r="P8272" s="8" t="s">
        <v>36430</v>
      </c>
      <c r="Q8272" s="8">
        <f>-(1+27/60+48/3600)</f>
        <v>-1.4633333333333334</v>
      </c>
      <c r="R8272" s="8">
        <v>99</v>
      </c>
      <c r="S8272" s="8">
        <v>99</v>
      </c>
      <c r="T8272" s="8">
        <v>99</v>
      </c>
      <c r="U8272" s="8">
        <v>99</v>
      </c>
      <c r="V8272" s="8">
        <v>5</v>
      </c>
      <c r="W8272" s="8">
        <v>3</v>
      </c>
      <c r="Y8272" s="8" t="s">
        <v>36431</v>
      </c>
      <c r="Z8272" s="8" t="s">
        <v>36432</v>
      </c>
    </row>
    <row r="8273" spans="1:26" x14ac:dyDescent="0.2">
      <c r="A8273" s="8">
        <v>8272</v>
      </c>
      <c r="B8273" s="8" t="s">
        <v>36433</v>
      </c>
      <c r="C8273" s="8" t="s">
        <v>36433</v>
      </c>
      <c r="G8273" s="8">
        <v>13</v>
      </c>
      <c r="H8273" s="8" t="s">
        <v>21</v>
      </c>
      <c r="I8273" s="8" t="s">
        <v>1283</v>
      </c>
      <c r="J8273" s="8" t="s">
        <v>1283</v>
      </c>
      <c r="K8273" s="8" t="s">
        <v>6208</v>
      </c>
      <c r="L8273" s="8" t="s">
        <v>7698</v>
      </c>
      <c r="M8273" s="8" t="s">
        <v>7699</v>
      </c>
      <c r="N8273" s="8" t="s">
        <v>36434</v>
      </c>
      <c r="O8273" s="8">
        <f>5+40/60+55/3600</f>
        <v>5.6819444444444445</v>
      </c>
      <c r="P8273" s="8" t="s">
        <v>36435</v>
      </c>
      <c r="Q8273" s="8">
        <f>-(1+30/60+24/3600)</f>
        <v>-1.5066666666666666</v>
      </c>
      <c r="R8273" s="8">
        <v>99</v>
      </c>
      <c r="S8273" s="8">
        <v>99</v>
      </c>
      <c r="T8273" s="8">
        <v>99</v>
      </c>
      <c r="U8273" s="8">
        <v>99</v>
      </c>
      <c r="V8273" s="8">
        <v>8</v>
      </c>
      <c r="W8273" s="8">
        <v>4</v>
      </c>
      <c r="Y8273" s="8" t="s">
        <v>36436</v>
      </c>
      <c r="Z8273" s="8" t="s">
        <v>36437</v>
      </c>
    </row>
    <row r="8274" spans="1:26" x14ac:dyDescent="0.2">
      <c r="A8274" s="8">
        <v>8273</v>
      </c>
      <c r="B8274" s="8" t="s">
        <v>36438</v>
      </c>
      <c r="C8274" s="8" t="s">
        <v>36438</v>
      </c>
      <c r="G8274" s="8">
        <v>20</v>
      </c>
      <c r="H8274" s="8" t="s">
        <v>21</v>
      </c>
      <c r="I8274" s="8" t="s">
        <v>22</v>
      </c>
      <c r="J8274" s="8" t="s">
        <v>22</v>
      </c>
      <c r="K8274" s="8" t="s">
        <v>58</v>
      </c>
      <c r="L8274" s="8" t="s">
        <v>7915</v>
      </c>
      <c r="M8274" s="8" t="s">
        <v>7916</v>
      </c>
      <c r="N8274" s="8" t="s">
        <v>36439</v>
      </c>
      <c r="O8274" s="8">
        <f>5+40/60+31.1/3600</f>
        <v>5.675305555555556</v>
      </c>
      <c r="P8274" s="8" t="s">
        <v>36440</v>
      </c>
      <c r="Q8274" s="8">
        <f>-(11+39/60+55/3600)</f>
        <v>-11.665277777777778</v>
      </c>
      <c r="R8274" s="8">
        <v>13.2</v>
      </c>
      <c r="S8274" s="8">
        <v>14.2</v>
      </c>
      <c r="T8274" s="8">
        <v>1</v>
      </c>
      <c r="U8274" s="8">
        <v>12.5</v>
      </c>
      <c r="V8274" s="8">
        <v>0.7</v>
      </c>
      <c r="W8274" s="8">
        <v>0.7</v>
      </c>
      <c r="Y8274" s="8" t="s">
        <v>36441</v>
      </c>
      <c r="Z8274" s="8" t="s">
        <v>36442</v>
      </c>
    </row>
    <row r="8275" spans="1:26" x14ac:dyDescent="0.2">
      <c r="A8275" s="8">
        <v>8274</v>
      </c>
      <c r="B8275" s="8" t="s">
        <v>36443</v>
      </c>
      <c r="C8275" s="8" t="s">
        <v>36443</v>
      </c>
      <c r="G8275" s="8">
        <v>5</v>
      </c>
      <c r="H8275" s="8" t="s">
        <v>21</v>
      </c>
      <c r="I8275" s="8" t="s">
        <v>1283</v>
      </c>
      <c r="J8275" s="8" t="s">
        <v>1283</v>
      </c>
      <c r="K8275" s="8" t="s">
        <v>1284</v>
      </c>
      <c r="L8275" s="8" t="s">
        <v>7698</v>
      </c>
      <c r="M8275" s="8" t="s">
        <v>7699</v>
      </c>
      <c r="N8275" s="8" t="s">
        <v>36444</v>
      </c>
      <c r="O8275" s="8">
        <f>5+41/60+0/3600</f>
        <v>5.6833333333333336</v>
      </c>
      <c r="P8275" s="8" t="s">
        <v>36445</v>
      </c>
      <c r="Q8275" s="8">
        <f>-(2+27/60+12/3600)</f>
        <v>-2.4533333333333336</v>
      </c>
      <c r="R8275" s="8">
        <v>99</v>
      </c>
      <c r="S8275" s="8">
        <v>11</v>
      </c>
      <c r="T8275" s="8">
        <v>99</v>
      </c>
      <c r="U8275" s="8">
        <v>99</v>
      </c>
      <c r="V8275" s="8">
        <v>60</v>
      </c>
      <c r="W8275" s="8">
        <v>10</v>
      </c>
      <c r="Y8275" s="8" t="s">
        <v>36446</v>
      </c>
      <c r="Z8275" s="8" t="s">
        <v>36447</v>
      </c>
    </row>
    <row r="8276" spans="1:26" x14ac:dyDescent="0.2">
      <c r="A8276" s="8">
        <v>8275</v>
      </c>
      <c r="B8276" s="8" t="s">
        <v>36448</v>
      </c>
      <c r="C8276" s="8" t="s">
        <v>36448</v>
      </c>
      <c r="G8276" s="8">
        <v>13</v>
      </c>
      <c r="H8276" s="8" t="s">
        <v>21</v>
      </c>
      <c r="I8276" s="8" t="s">
        <v>1283</v>
      </c>
      <c r="J8276" s="8" t="s">
        <v>1283</v>
      </c>
      <c r="K8276" s="8" t="s">
        <v>6208</v>
      </c>
      <c r="L8276" s="8" t="s">
        <v>7698</v>
      </c>
      <c r="M8276" s="8" t="s">
        <v>7699</v>
      </c>
      <c r="N8276" s="8" t="s">
        <v>36449</v>
      </c>
      <c r="O8276" s="8">
        <f>5+43/60+0/3600</f>
        <v>5.7166666666666668</v>
      </c>
      <c r="P8276" s="8" t="s">
        <v>36450</v>
      </c>
      <c r="Q8276" s="8">
        <f>-(2+18/60+46/3600)</f>
        <v>-2.3127777777777778</v>
      </c>
      <c r="R8276" s="8">
        <v>99</v>
      </c>
      <c r="S8276" s="8">
        <v>99</v>
      </c>
      <c r="T8276" s="8">
        <v>99</v>
      </c>
      <c r="U8276" s="8">
        <v>99</v>
      </c>
      <c r="V8276" s="8">
        <v>4</v>
      </c>
      <c r="W8276" s="8">
        <v>3</v>
      </c>
      <c r="Y8276" s="8" t="s">
        <v>21</v>
      </c>
      <c r="Z8276" s="8" t="s">
        <v>36451</v>
      </c>
    </row>
    <row r="8277" spans="1:26" x14ac:dyDescent="0.2">
      <c r="A8277" s="8">
        <v>8276</v>
      </c>
      <c r="B8277" s="8" t="s">
        <v>36452</v>
      </c>
      <c r="C8277" s="8" t="s">
        <v>36452</v>
      </c>
      <c r="G8277" s="8">
        <v>20</v>
      </c>
      <c r="H8277" s="8" t="s">
        <v>21</v>
      </c>
      <c r="I8277" s="8" t="s">
        <v>72</v>
      </c>
      <c r="J8277" s="8" t="s">
        <v>72</v>
      </c>
      <c r="K8277" s="8" t="s">
        <v>1802</v>
      </c>
      <c r="L8277" s="8" t="s">
        <v>7717</v>
      </c>
      <c r="M8277" s="8" t="s">
        <v>7718</v>
      </c>
      <c r="N8277" s="8" t="s">
        <v>36453</v>
      </c>
      <c r="O8277" s="8">
        <f>5+53/60+39.9/3600</f>
        <v>5.8944166666666664</v>
      </c>
      <c r="P8277" s="8" t="s">
        <v>36454</v>
      </c>
      <c r="Q8277" s="8">
        <f>+(38+37/60+42/3600)</f>
        <v>38.62833333333333</v>
      </c>
      <c r="R8277" s="8">
        <v>99</v>
      </c>
      <c r="S8277" s="8">
        <v>99</v>
      </c>
      <c r="T8277" s="8">
        <v>99</v>
      </c>
      <c r="U8277" s="8">
        <v>99</v>
      </c>
      <c r="Y8277" s="8" t="s">
        <v>47</v>
      </c>
      <c r="Z8277" s="8" t="s">
        <v>48</v>
      </c>
    </row>
    <row r="8278" spans="1:26" x14ac:dyDescent="0.2">
      <c r="A8278" s="8">
        <v>8277</v>
      </c>
      <c r="B8278" s="8" t="s">
        <v>36455</v>
      </c>
      <c r="C8278" s="8" t="s">
        <v>36455</v>
      </c>
      <c r="G8278" s="8">
        <v>20</v>
      </c>
      <c r="H8278" s="8" t="s">
        <v>21</v>
      </c>
      <c r="I8278" s="8" t="s">
        <v>22</v>
      </c>
      <c r="J8278" s="8" t="s">
        <v>22</v>
      </c>
      <c r="K8278" s="8" t="s">
        <v>449</v>
      </c>
      <c r="L8278" s="8" t="s">
        <v>7915</v>
      </c>
      <c r="M8278" s="8" t="s">
        <v>7916</v>
      </c>
      <c r="N8278" s="8" t="s">
        <v>36456</v>
      </c>
      <c r="O8278" s="8">
        <f>5+51/60+37.3/3600</f>
        <v>5.8603611111111107</v>
      </c>
      <c r="P8278" s="8" t="s">
        <v>36457</v>
      </c>
      <c r="Q8278" s="8">
        <f>-(12+33/60+52/3600)</f>
        <v>-12.564444444444446</v>
      </c>
      <c r="R8278" s="8">
        <v>14.5</v>
      </c>
      <c r="S8278" s="8">
        <v>15.3</v>
      </c>
      <c r="T8278" s="8">
        <v>0.8</v>
      </c>
      <c r="U8278" s="8">
        <v>13.2</v>
      </c>
      <c r="V8278" s="8">
        <v>0.9</v>
      </c>
      <c r="W8278" s="8">
        <v>0.4</v>
      </c>
      <c r="X8278" s="8">
        <v>10</v>
      </c>
      <c r="Y8278" s="8" t="s">
        <v>35781</v>
      </c>
      <c r="Z8278" s="8" t="s">
        <v>35782</v>
      </c>
    </row>
    <row r="8279" spans="1:26" x14ac:dyDescent="0.2">
      <c r="A8279" s="8">
        <v>8278</v>
      </c>
      <c r="B8279" s="8" t="s">
        <v>36458</v>
      </c>
      <c r="C8279" s="8" t="s">
        <v>36458</v>
      </c>
      <c r="G8279" s="8">
        <v>20</v>
      </c>
      <c r="H8279" s="8" t="s">
        <v>21</v>
      </c>
      <c r="I8279" s="8" t="s">
        <v>22</v>
      </c>
      <c r="J8279" s="8" t="s">
        <v>22</v>
      </c>
      <c r="K8279" s="8" t="s">
        <v>64</v>
      </c>
      <c r="L8279" s="8" t="s">
        <v>7915</v>
      </c>
      <c r="M8279" s="8" t="s">
        <v>7916</v>
      </c>
      <c r="N8279" s="8" t="s">
        <v>36459</v>
      </c>
      <c r="O8279" s="8">
        <f>5+53/60+0/3600</f>
        <v>5.8833333333333329</v>
      </c>
      <c r="P8279" s="8" t="s">
        <v>36460</v>
      </c>
      <c r="Q8279" s="8">
        <f>-(17+52/60+33/3600)</f>
        <v>-17.875833333333333</v>
      </c>
      <c r="R8279" s="8">
        <v>11.9</v>
      </c>
      <c r="S8279" s="8">
        <v>12.6</v>
      </c>
      <c r="T8279" s="8">
        <v>0.7</v>
      </c>
      <c r="U8279" s="8">
        <v>13.7</v>
      </c>
      <c r="V8279" s="8">
        <v>2.8</v>
      </c>
      <c r="W8279" s="8">
        <v>2.2000000000000002</v>
      </c>
      <c r="X8279" s="8">
        <v>43</v>
      </c>
      <c r="Y8279" s="8" t="s">
        <v>36461</v>
      </c>
      <c r="Z8279" s="8" t="s">
        <v>36462</v>
      </c>
    </row>
    <row r="8280" spans="1:26" x14ac:dyDescent="0.2">
      <c r="A8280" s="8">
        <v>8279</v>
      </c>
      <c r="B8280" s="8" t="s">
        <v>36463</v>
      </c>
      <c r="C8280" s="8" t="s">
        <v>36463</v>
      </c>
      <c r="G8280" s="8">
        <v>20</v>
      </c>
      <c r="H8280" s="8" t="s">
        <v>21</v>
      </c>
      <c r="I8280" s="8" t="s">
        <v>329</v>
      </c>
      <c r="J8280" s="8" t="s">
        <v>329</v>
      </c>
      <c r="K8280" s="8" t="s">
        <v>329</v>
      </c>
      <c r="L8280" s="8" t="s">
        <v>7717</v>
      </c>
      <c r="M8280" s="8" t="s">
        <v>7718</v>
      </c>
      <c r="N8280" s="8" t="s">
        <v>36464</v>
      </c>
      <c r="O8280" s="8">
        <f>5+56/60+42/3600</f>
        <v>5.9450000000000003</v>
      </c>
      <c r="P8280" s="8" t="s">
        <v>36465</v>
      </c>
      <c r="Q8280" s="8">
        <f>+(32+1/60+0/3600)</f>
        <v>32.016666666666666</v>
      </c>
      <c r="R8280" s="8">
        <v>99</v>
      </c>
      <c r="S8280" s="8">
        <v>99</v>
      </c>
      <c r="T8280" s="8">
        <v>99</v>
      </c>
      <c r="U8280" s="8">
        <v>99</v>
      </c>
      <c r="Y8280" s="8" t="s">
        <v>36466</v>
      </c>
      <c r="Z8280" s="8" t="s">
        <v>36467</v>
      </c>
    </row>
    <row r="8281" spans="1:26" x14ac:dyDescent="0.2">
      <c r="A8281" s="8">
        <v>8280</v>
      </c>
      <c r="B8281" s="8" t="s">
        <v>36468</v>
      </c>
      <c r="C8281" s="8" t="s">
        <v>36468</v>
      </c>
      <c r="G8281" s="8">
        <v>20</v>
      </c>
      <c r="H8281" s="8" t="s">
        <v>21</v>
      </c>
      <c r="I8281" s="8" t="s">
        <v>22</v>
      </c>
      <c r="J8281" s="8" t="s">
        <v>22</v>
      </c>
      <c r="K8281" s="8" t="s">
        <v>31</v>
      </c>
      <c r="L8281" s="8" t="s">
        <v>6823</v>
      </c>
      <c r="M8281" s="8" t="s">
        <v>6824</v>
      </c>
      <c r="N8281" s="8" t="s">
        <v>36469</v>
      </c>
      <c r="O8281" s="8">
        <f>6+19/60+13/3600</f>
        <v>6.3202777777777772</v>
      </c>
      <c r="P8281" s="8" t="s">
        <v>36470</v>
      </c>
      <c r="Q8281" s="8">
        <f>+(80+4/60+6/3600)</f>
        <v>80.068333333333328</v>
      </c>
      <c r="R8281" s="8">
        <v>13.3</v>
      </c>
      <c r="S8281" s="8">
        <v>14.1</v>
      </c>
      <c r="T8281" s="8">
        <v>0.8</v>
      </c>
      <c r="U8281" s="8">
        <v>13.6</v>
      </c>
      <c r="V8281" s="8">
        <v>1.6</v>
      </c>
      <c r="W8281" s="8">
        <v>0.9</v>
      </c>
      <c r="X8281" s="8">
        <v>33</v>
      </c>
      <c r="Y8281" s="8" t="s">
        <v>1511</v>
      </c>
      <c r="Z8281" s="8" t="s">
        <v>1512</v>
      </c>
    </row>
    <row r="8282" spans="1:26" x14ac:dyDescent="0.2">
      <c r="A8282" s="8">
        <v>8281</v>
      </c>
      <c r="B8282" s="8" t="s">
        <v>36471</v>
      </c>
      <c r="C8282" s="8" t="s">
        <v>36471</v>
      </c>
      <c r="G8282" s="8">
        <v>20</v>
      </c>
      <c r="H8282" s="8" t="s">
        <v>21</v>
      </c>
      <c r="I8282" s="8" t="s">
        <v>22</v>
      </c>
      <c r="J8282" s="8" t="s">
        <v>22</v>
      </c>
      <c r="K8282" s="8" t="s">
        <v>64</v>
      </c>
      <c r="L8282" s="8" t="s">
        <v>7915</v>
      </c>
      <c r="M8282" s="8" t="s">
        <v>7916</v>
      </c>
      <c r="N8282" s="8" t="s">
        <v>36472</v>
      </c>
      <c r="O8282" s="8">
        <f>6+2/60+42.7/3600</f>
        <v>6.0451944444444443</v>
      </c>
      <c r="P8282" s="8" t="s">
        <v>36473</v>
      </c>
      <c r="Q8282" s="8">
        <f>-(12+29/60+59/3600)</f>
        <v>-12.499722222222221</v>
      </c>
      <c r="R8282" s="8">
        <v>13.7</v>
      </c>
      <c r="S8282" s="8">
        <v>14.4</v>
      </c>
      <c r="T8282" s="8">
        <v>0.7</v>
      </c>
      <c r="U8282" s="8">
        <v>13.7</v>
      </c>
      <c r="V8282" s="8">
        <v>1.4</v>
      </c>
      <c r="W8282" s="8">
        <v>1.2</v>
      </c>
      <c r="X8282" s="8">
        <v>40</v>
      </c>
      <c r="Y8282" s="8" t="s">
        <v>36474</v>
      </c>
      <c r="Z8282" s="8" t="s">
        <v>36475</v>
      </c>
    </row>
    <row r="8283" spans="1:26" x14ac:dyDescent="0.2">
      <c r="A8283" s="8">
        <v>8282</v>
      </c>
      <c r="B8283" s="8" t="s">
        <v>36476</v>
      </c>
      <c r="C8283" s="8" t="s">
        <v>36476</v>
      </c>
      <c r="G8283" s="8">
        <v>20</v>
      </c>
      <c r="H8283" s="8" t="s">
        <v>21</v>
      </c>
      <c r="I8283" s="8" t="s">
        <v>22</v>
      </c>
      <c r="J8283" s="8" t="s">
        <v>22</v>
      </c>
      <c r="K8283" s="8" t="s">
        <v>58</v>
      </c>
      <c r="L8283" s="8" t="s">
        <v>6823</v>
      </c>
      <c r="M8283" s="8" t="s">
        <v>6824</v>
      </c>
      <c r="N8283" s="8" t="s">
        <v>36477</v>
      </c>
      <c r="O8283" s="8">
        <f>6+36/60+11.9/3600</f>
        <v>6.6033055555555551</v>
      </c>
      <c r="P8283" s="8" t="s">
        <v>36478</v>
      </c>
      <c r="Q8283" s="8">
        <f>+(82+58/60+8/3600)</f>
        <v>82.968888888888884</v>
      </c>
      <c r="R8283" s="8">
        <v>12.9</v>
      </c>
      <c r="S8283" s="8">
        <v>13.9</v>
      </c>
      <c r="T8283" s="8">
        <v>1</v>
      </c>
      <c r="U8283" s="8">
        <v>12.5</v>
      </c>
      <c r="V8283" s="8">
        <v>0.9</v>
      </c>
      <c r="W8283" s="8">
        <v>0.9</v>
      </c>
      <c r="Y8283" s="8" t="s">
        <v>232</v>
      </c>
      <c r="Z8283" s="8" t="s">
        <v>233</v>
      </c>
    </row>
    <row r="8284" spans="1:26" x14ac:dyDescent="0.2">
      <c r="A8284" s="8">
        <v>8283</v>
      </c>
      <c r="B8284" s="8" t="s">
        <v>36479</v>
      </c>
      <c r="C8284" s="8" t="s">
        <v>36479</v>
      </c>
      <c r="G8284" s="8">
        <v>11</v>
      </c>
      <c r="H8284" s="8" t="s">
        <v>36480</v>
      </c>
      <c r="I8284" s="8" t="s">
        <v>1283</v>
      </c>
      <c r="J8284" s="8" t="s">
        <v>1283</v>
      </c>
      <c r="K8284" s="8" t="s">
        <v>8889</v>
      </c>
      <c r="L8284" s="8" t="s">
        <v>9862</v>
      </c>
      <c r="M8284" s="8" t="s">
        <v>9863</v>
      </c>
      <c r="N8284" s="8" t="s">
        <v>36481</v>
      </c>
      <c r="O8284" s="8">
        <f>6+16/60+36/3600</f>
        <v>6.2766666666666664</v>
      </c>
      <c r="P8284" s="8" t="s">
        <v>36482</v>
      </c>
      <c r="Q8284" s="8">
        <f>+(22+31/60+0/3600)</f>
        <v>22.516666666666666</v>
      </c>
      <c r="R8284" s="8">
        <v>99</v>
      </c>
      <c r="S8284" s="8">
        <v>12</v>
      </c>
      <c r="T8284" s="8">
        <v>99</v>
      </c>
      <c r="U8284" s="8">
        <v>99</v>
      </c>
      <c r="V8284" s="8">
        <v>50</v>
      </c>
      <c r="W8284" s="8">
        <v>40</v>
      </c>
      <c r="Y8284" s="8" t="s">
        <v>36483</v>
      </c>
      <c r="Z8284" s="8" t="s">
        <v>36484</v>
      </c>
    </row>
    <row r="8285" spans="1:26" x14ac:dyDescent="0.2">
      <c r="A8285" s="8">
        <v>8284</v>
      </c>
      <c r="B8285" s="8" t="s">
        <v>36485</v>
      </c>
      <c r="C8285" s="8" t="s">
        <v>36485</v>
      </c>
      <c r="G8285" s="8">
        <v>12</v>
      </c>
      <c r="H8285" s="8" t="s">
        <v>21</v>
      </c>
      <c r="I8285" s="8" t="s">
        <v>1283</v>
      </c>
      <c r="J8285" s="8" t="s">
        <v>1283</v>
      </c>
      <c r="K8285" s="8" t="s">
        <v>1284</v>
      </c>
      <c r="L8285" s="8" t="s">
        <v>9862</v>
      </c>
      <c r="M8285" s="8" t="s">
        <v>9863</v>
      </c>
      <c r="N8285" s="8" t="s">
        <v>36486</v>
      </c>
      <c r="O8285" s="8">
        <f>6+22/60+30/3600</f>
        <v>6.375</v>
      </c>
      <c r="P8285" s="8" t="s">
        <v>36487</v>
      </c>
      <c r="Q8285" s="8">
        <f>+(22+52/60+0/3600)</f>
        <v>22.866666666666667</v>
      </c>
      <c r="R8285" s="8">
        <v>99</v>
      </c>
      <c r="S8285" s="8">
        <v>99</v>
      </c>
      <c r="T8285" s="8">
        <v>99</v>
      </c>
      <c r="U8285" s="8">
        <v>99</v>
      </c>
      <c r="V8285" s="8">
        <v>48</v>
      </c>
      <c r="W8285" s="8">
        <v>38</v>
      </c>
      <c r="Y8285" s="8" t="s">
        <v>36488</v>
      </c>
      <c r="Z8285" s="8" t="s">
        <v>36489</v>
      </c>
    </row>
    <row r="8286" spans="1:26" x14ac:dyDescent="0.2">
      <c r="A8286" s="8">
        <v>8285</v>
      </c>
      <c r="B8286" s="8" t="s">
        <v>36490</v>
      </c>
      <c r="C8286" s="8" t="s">
        <v>36490</v>
      </c>
      <c r="G8286" s="8">
        <v>20</v>
      </c>
      <c r="H8286" s="8" t="s">
        <v>21</v>
      </c>
      <c r="I8286" s="8" t="s">
        <v>22</v>
      </c>
      <c r="J8286" s="8" t="s">
        <v>22</v>
      </c>
      <c r="K8286" s="8" t="s">
        <v>37</v>
      </c>
      <c r="L8286" s="8" t="s">
        <v>6823</v>
      </c>
      <c r="M8286" s="8" t="s">
        <v>6824</v>
      </c>
      <c r="N8286" s="8" t="s">
        <v>36491</v>
      </c>
      <c r="O8286" s="8">
        <f>6+37/60+21/3600</f>
        <v>6.6225000000000005</v>
      </c>
      <c r="P8286" s="8" t="s">
        <v>36492</v>
      </c>
      <c r="Q8286" s="8">
        <f>+(67+51/60+36/3600)</f>
        <v>67.86</v>
      </c>
      <c r="R8286" s="8">
        <v>13.2</v>
      </c>
      <c r="S8286" s="8">
        <v>14.2</v>
      </c>
      <c r="T8286" s="8">
        <v>1</v>
      </c>
      <c r="U8286" s="8">
        <v>13.2</v>
      </c>
      <c r="V8286" s="8">
        <v>1.2</v>
      </c>
      <c r="W8286" s="8">
        <v>0.9</v>
      </c>
      <c r="X8286" s="8">
        <v>7</v>
      </c>
      <c r="Y8286" s="8" t="s">
        <v>36493</v>
      </c>
      <c r="Z8286" s="8" t="s">
        <v>36494</v>
      </c>
    </row>
    <row r="8287" spans="1:26" x14ac:dyDescent="0.2">
      <c r="A8287" s="8">
        <v>8286</v>
      </c>
      <c r="B8287" s="8" t="s">
        <v>36495</v>
      </c>
      <c r="C8287" s="8" t="s">
        <v>36495</v>
      </c>
      <c r="G8287" s="8">
        <v>20</v>
      </c>
      <c r="H8287" s="8" t="s">
        <v>21</v>
      </c>
      <c r="I8287" s="8" t="s">
        <v>1283</v>
      </c>
      <c r="J8287" s="8" t="s">
        <v>1283</v>
      </c>
      <c r="K8287" s="8" t="s">
        <v>36496</v>
      </c>
      <c r="L8287" s="8" t="s">
        <v>9917</v>
      </c>
      <c r="M8287" s="8" t="s">
        <v>9918</v>
      </c>
      <c r="N8287" s="8" t="s">
        <v>36497</v>
      </c>
      <c r="O8287" s="8">
        <f>6+31/60+6/3600</f>
        <v>6.5183333333333335</v>
      </c>
      <c r="P8287" s="8" t="s">
        <v>36498</v>
      </c>
      <c r="Q8287" s="8">
        <f>+(10+27/60+35/3600)</f>
        <v>10.459722222222222</v>
      </c>
      <c r="R8287" s="8">
        <v>99</v>
      </c>
      <c r="S8287" s="8">
        <v>99</v>
      </c>
      <c r="T8287" s="8">
        <v>99</v>
      </c>
      <c r="U8287" s="8">
        <v>99</v>
      </c>
      <c r="V8287" s="8">
        <v>5</v>
      </c>
      <c r="W8287" s="8">
        <v>4</v>
      </c>
      <c r="Y8287" s="8" t="s">
        <v>36499</v>
      </c>
      <c r="Z8287" s="8" t="s">
        <v>36500</v>
      </c>
    </row>
    <row r="8288" spans="1:26" x14ac:dyDescent="0.2">
      <c r="A8288" s="8">
        <v>8287</v>
      </c>
      <c r="B8288" s="8" t="s">
        <v>36501</v>
      </c>
      <c r="C8288" s="8" t="s">
        <v>36501</v>
      </c>
      <c r="G8288" s="8">
        <v>20</v>
      </c>
      <c r="H8288" s="8" t="s">
        <v>21</v>
      </c>
      <c r="I8288" s="8" t="s">
        <v>1283</v>
      </c>
      <c r="J8288" s="8" t="s">
        <v>1283</v>
      </c>
      <c r="K8288" s="8" t="s">
        <v>6208</v>
      </c>
      <c r="L8288" s="8" t="s">
        <v>9917</v>
      </c>
      <c r="M8288" s="8" t="s">
        <v>9918</v>
      </c>
      <c r="N8288" s="8" t="s">
        <v>36502</v>
      </c>
      <c r="O8288" s="8">
        <f>6+31/60+4/3600</f>
        <v>6.5177777777777779</v>
      </c>
      <c r="P8288" s="8" t="s">
        <v>36503</v>
      </c>
      <c r="Q8288" s="8">
        <f>+(9+52/60+0/3600)</f>
        <v>9.8666666666666671</v>
      </c>
      <c r="R8288" s="8">
        <v>99</v>
      </c>
      <c r="S8288" s="8">
        <v>99</v>
      </c>
      <c r="T8288" s="8">
        <v>99</v>
      </c>
      <c r="U8288" s="8">
        <v>99</v>
      </c>
      <c r="V8288" s="8">
        <v>25</v>
      </c>
      <c r="W8288" s="8">
        <v>20</v>
      </c>
      <c r="Y8288" s="8" t="s">
        <v>36504</v>
      </c>
      <c r="Z8288" s="8" t="s">
        <v>36505</v>
      </c>
    </row>
    <row r="8289" spans="1:26" x14ac:dyDescent="0.2">
      <c r="A8289" s="8">
        <v>8288</v>
      </c>
      <c r="B8289" s="8" t="s">
        <v>36506</v>
      </c>
      <c r="C8289" s="8" t="s">
        <v>36506</v>
      </c>
      <c r="G8289" s="8">
        <v>20</v>
      </c>
      <c r="H8289" s="8" t="s">
        <v>21</v>
      </c>
      <c r="I8289" s="8" t="s">
        <v>1283</v>
      </c>
      <c r="J8289" s="8" t="s">
        <v>1283</v>
      </c>
      <c r="K8289" s="8" t="s">
        <v>6208</v>
      </c>
      <c r="L8289" s="8" t="s">
        <v>9917</v>
      </c>
      <c r="M8289" s="8" t="s">
        <v>9918</v>
      </c>
      <c r="N8289" s="8" t="s">
        <v>36507</v>
      </c>
      <c r="O8289" s="8">
        <f>6+32/60+45/3600</f>
        <v>6.5458333333333334</v>
      </c>
      <c r="P8289" s="8" t="s">
        <v>36508</v>
      </c>
      <c r="Q8289" s="8">
        <f>+(7+23/60+18/3600)</f>
        <v>7.3883333333333336</v>
      </c>
      <c r="R8289" s="8">
        <v>99</v>
      </c>
      <c r="S8289" s="8">
        <v>99</v>
      </c>
      <c r="T8289" s="8">
        <v>99</v>
      </c>
      <c r="U8289" s="8">
        <v>99</v>
      </c>
      <c r="V8289" s="8">
        <v>15</v>
      </c>
      <c r="W8289" s="8">
        <v>10</v>
      </c>
      <c r="Y8289" s="8" t="s">
        <v>36509</v>
      </c>
      <c r="Z8289" s="8" t="s">
        <v>36510</v>
      </c>
    </row>
    <row r="8290" spans="1:26" x14ac:dyDescent="0.2">
      <c r="A8290" s="8">
        <v>8289</v>
      </c>
      <c r="B8290" s="8" t="s">
        <v>36511</v>
      </c>
      <c r="C8290" s="8" t="s">
        <v>36511</v>
      </c>
      <c r="G8290" s="8">
        <v>20</v>
      </c>
      <c r="H8290" s="8" t="s">
        <v>21</v>
      </c>
      <c r="I8290" s="8" t="s">
        <v>22</v>
      </c>
      <c r="J8290" s="8" t="s">
        <v>22</v>
      </c>
      <c r="K8290" s="8" t="s">
        <v>1136</v>
      </c>
      <c r="L8290" s="8" t="s">
        <v>6823</v>
      </c>
      <c r="M8290" s="8" t="s">
        <v>6824</v>
      </c>
      <c r="N8290" s="8" t="s">
        <v>36512</v>
      </c>
      <c r="O8290" s="8">
        <f>6+45/60+40.8/3600</f>
        <v>6.761333333333333</v>
      </c>
      <c r="P8290" s="8" t="s">
        <v>36513</v>
      </c>
      <c r="Q8290" s="8">
        <f>+(71+20/60+37/3600)</f>
        <v>71.343611111111102</v>
      </c>
      <c r="R8290" s="8">
        <v>12.5</v>
      </c>
      <c r="S8290" s="8">
        <v>13.5</v>
      </c>
      <c r="T8290" s="8">
        <v>1</v>
      </c>
      <c r="U8290" s="8">
        <v>13.4</v>
      </c>
      <c r="V8290" s="8">
        <v>1.7</v>
      </c>
      <c r="W8290" s="8">
        <v>1.3</v>
      </c>
      <c r="X8290" s="8">
        <v>69</v>
      </c>
      <c r="Y8290" s="8" t="s">
        <v>36514</v>
      </c>
      <c r="Z8290" s="8" t="s">
        <v>36515</v>
      </c>
    </row>
    <row r="8291" spans="1:26" x14ac:dyDescent="0.2">
      <c r="A8291" s="8">
        <v>8290</v>
      </c>
      <c r="B8291" s="8" t="s">
        <v>36516</v>
      </c>
      <c r="C8291" s="8" t="s">
        <v>36516</v>
      </c>
      <c r="G8291" s="8">
        <v>20</v>
      </c>
      <c r="H8291" s="8" t="s">
        <v>21</v>
      </c>
      <c r="I8291" s="8" t="s">
        <v>22</v>
      </c>
      <c r="J8291" s="8" t="s">
        <v>22</v>
      </c>
      <c r="K8291" s="8" t="s">
        <v>632</v>
      </c>
      <c r="L8291" s="8" t="s">
        <v>6823</v>
      </c>
      <c r="M8291" s="8" t="s">
        <v>6824</v>
      </c>
      <c r="N8291" s="8" t="s">
        <v>36517</v>
      </c>
      <c r="O8291" s="8">
        <f>6+52/60+12.3/3600</f>
        <v>6.8700833333333335</v>
      </c>
      <c r="P8291" s="8" t="s">
        <v>36518</v>
      </c>
      <c r="Q8291" s="8">
        <f>+(74+25/60+39/3600)</f>
        <v>74.427500000000009</v>
      </c>
      <c r="R8291" s="8">
        <v>13.9</v>
      </c>
      <c r="S8291" s="8">
        <v>15</v>
      </c>
      <c r="T8291" s="8">
        <v>1.1000000000000001</v>
      </c>
      <c r="U8291" s="8">
        <v>12.7</v>
      </c>
      <c r="V8291" s="8">
        <v>0.8</v>
      </c>
      <c r="W8291" s="8">
        <v>0.5</v>
      </c>
      <c r="X8291" s="8">
        <v>130</v>
      </c>
      <c r="Y8291" s="8" t="s">
        <v>1511</v>
      </c>
      <c r="Z8291" s="8" t="s">
        <v>1512</v>
      </c>
    </row>
    <row r="8292" spans="1:26" x14ac:dyDescent="0.2">
      <c r="A8292" s="8">
        <v>8291</v>
      </c>
      <c r="B8292" s="8" t="s">
        <v>36519</v>
      </c>
      <c r="C8292" s="8" t="s">
        <v>36519</v>
      </c>
      <c r="G8292" s="8">
        <v>20</v>
      </c>
      <c r="H8292" s="8" t="s">
        <v>21</v>
      </c>
      <c r="I8292" s="8" t="s">
        <v>22</v>
      </c>
      <c r="J8292" s="8" t="s">
        <v>22</v>
      </c>
      <c r="K8292" s="8" t="s">
        <v>23</v>
      </c>
      <c r="L8292" s="8" t="s">
        <v>6823</v>
      </c>
      <c r="M8292" s="8" t="s">
        <v>6824</v>
      </c>
      <c r="N8292" s="8" t="s">
        <v>36520</v>
      </c>
      <c r="O8292" s="8">
        <f>6+52/60+51.8/3600</f>
        <v>6.8810555555555561</v>
      </c>
      <c r="P8292" s="8" t="s">
        <v>36521</v>
      </c>
      <c r="Q8292" s="8">
        <f>+(74+28/60+48/3600)</f>
        <v>74.48</v>
      </c>
      <c r="R8292" s="8">
        <v>13.8</v>
      </c>
      <c r="S8292" s="8">
        <v>14.6</v>
      </c>
      <c r="T8292" s="8">
        <v>0.8</v>
      </c>
      <c r="U8292" s="8">
        <v>14</v>
      </c>
      <c r="V8292" s="8">
        <v>1.3</v>
      </c>
      <c r="W8292" s="8">
        <v>1.1000000000000001</v>
      </c>
      <c r="X8292" s="8">
        <v>155</v>
      </c>
      <c r="Y8292" s="8" t="s">
        <v>1511</v>
      </c>
      <c r="Z8292" s="8" t="s">
        <v>1512</v>
      </c>
    </row>
    <row r="8293" spans="1:26" x14ac:dyDescent="0.2">
      <c r="A8293" s="8">
        <v>8292</v>
      </c>
      <c r="B8293" s="8" t="s">
        <v>36522</v>
      </c>
      <c r="C8293" s="8" t="s">
        <v>36522</v>
      </c>
      <c r="G8293" s="8">
        <v>20</v>
      </c>
      <c r="H8293" s="8" t="s">
        <v>21</v>
      </c>
      <c r="I8293" s="8" t="s">
        <v>1283</v>
      </c>
      <c r="J8293" s="8" t="s">
        <v>57</v>
      </c>
      <c r="K8293" s="8" t="s">
        <v>6208</v>
      </c>
      <c r="L8293" s="8" t="s">
        <v>10194</v>
      </c>
      <c r="M8293" s="8" t="s">
        <v>10195</v>
      </c>
      <c r="N8293" s="8" t="s">
        <v>10615</v>
      </c>
      <c r="O8293" s="8">
        <f>6+48/60+39/3600</f>
        <v>6.8108333333333331</v>
      </c>
      <c r="P8293" s="8" t="s">
        <v>10616</v>
      </c>
      <c r="Q8293" s="8">
        <f>-(16+54/60+4/3600)</f>
        <v>-16.90111111111111</v>
      </c>
      <c r="R8293" s="8">
        <v>99</v>
      </c>
      <c r="S8293" s="8">
        <v>13</v>
      </c>
      <c r="T8293" s="8">
        <v>99</v>
      </c>
      <c r="U8293" s="8">
        <v>99</v>
      </c>
      <c r="V8293" s="8">
        <v>0.6</v>
      </c>
      <c r="W8293" s="8">
        <v>0.4</v>
      </c>
      <c r="X8293" s="8">
        <v>175</v>
      </c>
      <c r="Y8293" s="8" t="s">
        <v>36523</v>
      </c>
      <c r="Z8293" s="8" t="s">
        <v>36524</v>
      </c>
    </row>
    <row r="8294" spans="1:26" x14ac:dyDescent="0.2">
      <c r="A8294" s="8">
        <v>8293</v>
      </c>
      <c r="B8294" s="8" t="s">
        <v>36525</v>
      </c>
      <c r="C8294" s="8" t="s">
        <v>36525</v>
      </c>
      <c r="G8294" s="8">
        <v>20</v>
      </c>
      <c r="H8294" s="8" t="s">
        <v>21</v>
      </c>
      <c r="I8294" s="8" t="s">
        <v>72</v>
      </c>
      <c r="J8294" s="8" t="s">
        <v>72</v>
      </c>
      <c r="K8294" s="8" t="s">
        <v>20</v>
      </c>
      <c r="L8294" s="8" t="s">
        <v>10194</v>
      </c>
      <c r="M8294" s="8" t="s">
        <v>10195</v>
      </c>
      <c r="N8294" s="8" t="s">
        <v>36526</v>
      </c>
      <c r="O8294" s="8">
        <f>6+49/60+11.5/3600</f>
        <v>6.8198611111111109</v>
      </c>
      <c r="P8294" s="8" t="s">
        <v>36527</v>
      </c>
      <c r="Q8294" s="8">
        <f>-(16+54/60+23/3600)</f>
        <v>-16.906388888888888</v>
      </c>
      <c r="R8294" s="8">
        <v>99</v>
      </c>
      <c r="S8294" s="8">
        <v>14.3</v>
      </c>
      <c r="T8294" s="8">
        <v>99</v>
      </c>
      <c r="U8294" s="8">
        <v>99</v>
      </c>
      <c r="Y8294" s="8" t="s">
        <v>36528</v>
      </c>
      <c r="Z8294" s="8" t="s">
        <v>36529</v>
      </c>
    </row>
    <row r="8295" spans="1:26" x14ac:dyDescent="0.2">
      <c r="A8295" s="8">
        <v>8294</v>
      </c>
      <c r="B8295" s="8" t="s">
        <v>36530</v>
      </c>
      <c r="C8295" s="8" t="s">
        <v>36530</v>
      </c>
      <c r="G8295" s="8">
        <v>20</v>
      </c>
      <c r="H8295" s="8" t="s">
        <v>21</v>
      </c>
      <c r="I8295" s="8" t="s">
        <v>22</v>
      </c>
      <c r="J8295" s="8" t="s">
        <v>22</v>
      </c>
      <c r="K8295" s="8" t="s">
        <v>406</v>
      </c>
      <c r="L8295" s="8" t="s">
        <v>9862</v>
      </c>
      <c r="M8295" s="8" t="s">
        <v>9863</v>
      </c>
      <c r="N8295" s="8" t="s">
        <v>36531</v>
      </c>
      <c r="O8295" s="8">
        <f>6+51/60+6.2/3600</f>
        <v>6.8517222222222216</v>
      </c>
      <c r="P8295" s="8" t="s">
        <v>36532</v>
      </c>
      <c r="Q8295" s="8">
        <f>+(12+55/60+21/3600)</f>
        <v>12.922499999999999</v>
      </c>
      <c r="R8295" s="8">
        <v>13.4</v>
      </c>
      <c r="S8295" s="8">
        <v>14.2</v>
      </c>
      <c r="T8295" s="8">
        <v>0.8</v>
      </c>
      <c r="U8295" s="8">
        <v>13.1</v>
      </c>
      <c r="V8295" s="8">
        <v>1.2</v>
      </c>
      <c r="W8295" s="8">
        <v>0.7</v>
      </c>
      <c r="X8295" s="8">
        <v>140</v>
      </c>
      <c r="Y8295" s="8" t="s">
        <v>36533</v>
      </c>
      <c r="Z8295" s="8" t="s">
        <v>36534</v>
      </c>
    </row>
    <row r="8296" spans="1:26" x14ac:dyDescent="0.2">
      <c r="A8296" s="8">
        <v>8295</v>
      </c>
      <c r="B8296" s="8" t="s">
        <v>36535</v>
      </c>
      <c r="C8296" s="8" t="s">
        <v>36535</v>
      </c>
      <c r="G8296" s="8">
        <v>20</v>
      </c>
      <c r="H8296" s="8" t="s">
        <v>21</v>
      </c>
      <c r="I8296" s="8" t="s">
        <v>22</v>
      </c>
      <c r="J8296" s="8" t="s">
        <v>22</v>
      </c>
      <c r="K8296" s="8" t="s">
        <v>37</v>
      </c>
      <c r="L8296" s="8" t="s">
        <v>242</v>
      </c>
      <c r="M8296" s="8" t="s">
        <v>243</v>
      </c>
      <c r="N8296" s="8" t="s">
        <v>36536</v>
      </c>
      <c r="O8296" s="8">
        <f>7+34/60+57.7/3600</f>
        <v>7.582694444444444</v>
      </c>
      <c r="P8296" s="8" t="s">
        <v>36537</v>
      </c>
      <c r="Q8296" s="8">
        <f>+(85+32/60+16/3600)</f>
        <v>85.537777777777777</v>
      </c>
      <c r="R8296" s="8">
        <v>13.3</v>
      </c>
      <c r="S8296" s="8">
        <v>14.3</v>
      </c>
      <c r="T8296" s="8">
        <v>1</v>
      </c>
      <c r="U8296" s="8">
        <v>12.9</v>
      </c>
      <c r="V8296" s="8">
        <v>1.1000000000000001</v>
      </c>
      <c r="W8296" s="8">
        <v>0.7</v>
      </c>
      <c r="X8296" s="8">
        <v>82</v>
      </c>
      <c r="Y8296" s="8" t="s">
        <v>21</v>
      </c>
      <c r="Z8296" s="8" t="s">
        <v>36538</v>
      </c>
    </row>
    <row r="8297" spans="1:26" x14ac:dyDescent="0.2">
      <c r="A8297" s="8">
        <v>8296</v>
      </c>
      <c r="B8297" s="8" t="s">
        <v>36539</v>
      </c>
      <c r="C8297" s="8" t="s">
        <v>36539</v>
      </c>
      <c r="G8297" s="8">
        <v>20</v>
      </c>
      <c r="H8297" s="8" t="s">
        <v>21</v>
      </c>
      <c r="I8297" s="8" t="s">
        <v>22</v>
      </c>
      <c r="J8297" s="8" t="s">
        <v>22</v>
      </c>
      <c r="K8297" s="8" t="s">
        <v>224</v>
      </c>
      <c r="L8297" s="8" t="s">
        <v>10194</v>
      </c>
      <c r="M8297" s="8" t="s">
        <v>10195</v>
      </c>
      <c r="N8297" s="8" t="s">
        <v>36540</v>
      </c>
      <c r="O8297" s="8">
        <f>7+0/60+17.4/3600</f>
        <v>7.004833333333333</v>
      </c>
      <c r="P8297" s="8" t="s">
        <v>36541</v>
      </c>
      <c r="Q8297" s="8">
        <f>-(30+9/60+47/3600)</f>
        <v>-30.163055555555555</v>
      </c>
      <c r="R8297" s="8">
        <v>11.9</v>
      </c>
      <c r="S8297" s="8">
        <v>12.9</v>
      </c>
      <c r="T8297" s="8">
        <v>1</v>
      </c>
      <c r="U8297" s="8">
        <v>12.8</v>
      </c>
      <c r="V8297" s="8">
        <v>2.1</v>
      </c>
      <c r="W8297" s="8">
        <v>1.3</v>
      </c>
      <c r="X8297" s="8">
        <v>110</v>
      </c>
      <c r="Y8297" s="8" t="s">
        <v>21</v>
      </c>
      <c r="Z8297" s="8" t="s">
        <v>36542</v>
      </c>
    </row>
    <row r="8298" spans="1:26" x14ac:dyDescent="0.2">
      <c r="A8298" s="8">
        <v>8297</v>
      </c>
      <c r="B8298" s="8" t="s">
        <v>36543</v>
      </c>
      <c r="C8298" s="8" t="s">
        <v>36543</v>
      </c>
      <c r="G8298" s="8">
        <v>20</v>
      </c>
      <c r="H8298" s="8" t="s">
        <v>21</v>
      </c>
      <c r="I8298" s="8" t="s">
        <v>22</v>
      </c>
      <c r="J8298" s="8" t="s">
        <v>57</v>
      </c>
      <c r="K8298" s="8" t="s">
        <v>382</v>
      </c>
      <c r="L8298" s="8" t="s">
        <v>10511</v>
      </c>
      <c r="M8298" s="8" t="s">
        <v>10512</v>
      </c>
      <c r="N8298" s="8" t="s">
        <v>10762</v>
      </c>
      <c r="O8298" s="8">
        <f>7+9/60+28.3/3600</f>
        <v>7.1578611111111119</v>
      </c>
      <c r="P8298" s="8" t="s">
        <v>10763</v>
      </c>
      <c r="Q8298" s="8">
        <f>+(50+9/60+11/3600)</f>
        <v>50.153055555555554</v>
      </c>
      <c r="R8298" s="8">
        <v>14.8</v>
      </c>
      <c r="S8298" s="8">
        <v>15.8</v>
      </c>
      <c r="T8298" s="8">
        <v>1</v>
      </c>
      <c r="U8298" s="8">
        <v>12.6</v>
      </c>
      <c r="V8298" s="8">
        <v>0.4</v>
      </c>
      <c r="W8298" s="8">
        <v>0.3</v>
      </c>
      <c r="X8298" s="8">
        <v>30</v>
      </c>
      <c r="Y8298" s="8" t="s">
        <v>36544</v>
      </c>
      <c r="Z8298" s="8" t="s">
        <v>36545</v>
      </c>
    </row>
    <row r="8299" spans="1:26" x14ac:dyDescent="0.2">
      <c r="A8299" s="8">
        <v>8298</v>
      </c>
      <c r="B8299" s="8" t="s">
        <v>36546</v>
      </c>
      <c r="C8299" s="8" t="s">
        <v>36546</v>
      </c>
      <c r="G8299" s="8">
        <v>20</v>
      </c>
      <c r="H8299" s="8" t="s">
        <v>21</v>
      </c>
      <c r="I8299" s="8" t="s">
        <v>22</v>
      </c>
      <c r="J8299" s="8" t="s">
        <v>22</v>
      </c>
      <c r="K8299" s="8" t="s">
        <v>58</v>
      </c>
      <c r="L8299" s="8" t="s">
        <v>10511</v>
      </c>
      <c r="M8299" s="8" t="s">
        <v>10512</v>
      </c>
      <c r="N8299" s="8" t="s">
        <v>36547</v>
      </c>
      <c r="O8299" s="8">
        <f>7+10/60+33.7/3600</f>
        <v>7.1760277777777777</v>
      </c>
      <c r="P8299" s="8" t="s">
        <v>36548</v>
      </c>
      <c r="Q8299" s="8">
        <f>+(50+7/60+11/3600)</f>
        <v>50.119722222222222</v>
      </c>
      <c r="R8299" s="8">
        <v>13.5</v>
      </c>
      <c r="S8299" s="8">
        <v>14.5</v>
      </c>
      <c r="T8299" s="8">
        <v>1</v>
      </c>
      <c r="U8299" s="8">
        <v>12.5</v>
      </c>
      <c r="V8299" s="8">
        <v>0.9</v>
      </c>
      <c r="W8299" s="8">
        <v>0.4</v>
      </c>
      <c r="X8299" s="8">
        <v>170</v>
      </c>
      <c r="Y8299" s="8" t="s">
        <v>36549</v>
      </c>
      <c r="Z8299" s="8" t="s">
        <v>36550</v>
      </c>
    </row>
    <row r="8300" spans="1:26" x14ac:dyDescent="0.2">
      <c r="A8300" s="8">
        <v>8299</v>
      </c>
      <c r="B8300" s="8" t="s">
        <v>36551</v>
      </c>
      <c r="C8300" s="8" t="s">
        <v>36551</v>
      </c>
      <c r="G8300" s="8">
        <v>20</v>
      </c>
      <c r="H8300" s="8" t="s">
        <v>21</v>
      </c>
      <c r="I8300" s="8" t="s">
        <v>22</v>
      </c>
      <c r="J8300" s="8" t="s">
        <v>22</v>
      </c>
      <c r="K8300" s="8" t="s">
        <v>424</v>
      </c>
      <c r="L8300" s="8" t="s">
        <v>10511</v>
      </c>
      <c r="M8300" s="8" t="s">
        <v>10512</v>
      </c>
      <c r="N8300" s="8" t="s">
        <v>36552</v>
      </c>
      <c r="O8300" s="8">
        <f>7+10/60+38.6/3600</f>
        <v>7.1773888888888893</v>
      </c>
      <c r="P8300" s="8" t="s">
        <v>36553</v>
      </c>
      <c r="Q8300" s="8">
        <f>+(50+10/60+40/3600)</f>
        <v>50.177777777777777</v>
      </c>
      <c r="R8300" s="8">
        <v>14.5</v>
      </c>
      <c r="S8300" s="8">
        <v>15.5</v>
      </c>
      <c r="T8300" s="8">
        <v>1</v>
      </c>
      <c r="U8300" s="8">
        <v>11.7</v>
      </c>
      <c r="V8300" s="8">
        <v>0.3</v>
      </c>
      <c r="W8300" s="8">
        <v>0.3</v>
      </c>
      <c r="Y8300" s="8" t="s">
        <v>47</v>
      </c>
      <c r="Z8300" s="8" t="s">
        <v>48</v>
      </c>
    </row>
    <row r="8301" spans="1:26" x14ac:dyDescent="0.2">
      <c r="A8301" s="8">
        <v>8300</v>
      </c>
      <c r="B8301" s="8" t="s">
        <v>36554</v>
      </c>
      <c r="C8301" s="8" t="s">
        <v>36554</v>
      </c>
      <c r="G8301" s="8">
        <v>20</v>
      </c>
      <c r="H8301" s="8" t="s">
        <v>21</v>
      </c>
      <c r="I8301" s="8" t="s">
        <v>22</v>
      </c>
      <c r="J8301" s="8" t="s">
        <v>22</v>
      </c>
      <c r="K8301" s="8" t="s">
        <v>449</v>
      </c>
      <c r="L8301" s="8" t="s">
        <v>10511</v>
      </c>
      <c r="M8301" s="8" t="s">
        <v>10512</v>
      </c>
      <c r="N8301" s="8" t="s">
        <v>36555</v>
      </c>
      <c r="O8301" s="8">
        <f>7+10/60+44.1/3600</f>
        <v>7.1789166666666668</v>
      </c>
      <c r="P8301" s="8" t="s">
        <v>36556</v>
      </c>
      <c r="Q8301" s="8">
        <f>+(50+12/60+8/3600)</f>
        <v>50.202222222222225</v>
      </c>
      <c r="R8301" s="8">
        <v>14.6</v>
      </c>
      <c r="S8301" s="8">
        <v>15.4</v>
      </c>
      <c r="T8301" s="8">
        <v>0.8</v>
      </c>
      <c r="U8301" s="8">
        <v>12.1</v>
      </c>
      <c r="V8301" s="8">
        <v>0.4</v>
      </c>
      <c r="W8301" s="8">
        <v>0.3</v>
      </c>
      <c r="X8301" s="8">
        <v>160</v>
      </c>
      <c r="Y8301" s="8" t="s">
        <v>36557</v>
      </c>
      <c r="Z8301" s="8" t="s">
        <v>36558</v>
      </c>
    </row>
    <row r="8302" spans="1:26" x14ac:dyDescent="0.2">
      <c r="A8302" s="8">
        <v>8301</v>
      </c>
      <c r="B8302" s="8" t="s">
        <v>36559</v>
      </c>
      <c r="C8302" s="8" t="s">
        <v>36559</v>
      </c>
      <c r="G8302" s="8">
        <v>20</v>
      </c>
      <c r="H8302" s="8" t="s">
        <v>21</v>
      </c>
      <c r="I8302" s="8" t="s">
        <v>22</v>
      </c>
      <c r="J8302" s="8" t="s">
        <v>22</v>
      </c>
      <c r="K8302" s="8" t="s">
        <v>449</v>
      </c>
      <c r="L8302" s="8" t="s">
        <v>10511</v>
      </c>
      <c r="M8302" s="8" t="s">
        <v>10512</v>
      </c>
      <c r="N8302" s="8" t="s">
        <v>36560</v>
      </c>
      <c r="O8302" s="8">
        <f>7+10/60+45/3600</f>
        <v>7.1791666666666671</v>
      </c>
      <c r="P8302" s="8" t="s">
        <v>36561</v>
      </c>
      <c r="Q8302" s="8">
        <f>+(50+4/60+53/3600)</f>
        <v>50.081388888888895</v>
      </c>
      <c r="R8302" s="8">
        <v>14.9</v>
      </c>
      <c r="S8302" s="8">
        <v>15.7</v>
      </c>
      <c r="T8302" s="8">
        <v>0.8</v>
      </c>
      <c r="U8302" s="8">
        <v>13.4</v>
      </c>
      <c r="V8302" s="8">
        <v>0.7</v>
      </c>
      <c r="W8302" s="8">
        <v>0.4</v>
      </c>
      <c r="X8302" s="8">
        <v>80</v>
      </c>
      <c r="Y8302" s="8" t="s">
        <v>36562</v>
      </c>
      <c r="Z8302" s="8" t="s">
        <v>36563</v>
      </c>
    </row>
    <row r="8303" spans="1:26" x14ac:dyDescent="0.2">
      <c r="A8303" s="8">
        <v>8302</v>
      </c>
      <c r="B8303" s="8" t="s">
        <v>36564</v>
      </c>
      <c r="C8303" s="8" t="s">
        <v>36564</v>
      </c>
      <c r="G8303" s="8">
        <v>20</v>
      </c>
      <c r="H8303" s="8" t="s">
        <v>21</v>
      </c>
      <c r="I8303" s="8" t="s">
        <v>72</v>
      </c>
      <c r="J8303" s="8" t="s">
        <v>72</v>
      </c>
      <c r="K8303" s="8" t="s">
        <v>73</v>
      </c>
      <c r="L8303" s="8" t="s">
        <v>10511</v>
      </c>
      <c r="M8303" s="8" t="s">
        <v>10512</v>
      </c>
      <c r="N8303" s="8" t="s">
        <v>36565</v>
      </c>
      <c r="O8303" s="8">
        <f>7+10/60+55.7/3600</f>
        <v>7.1821388888888889</v>
      </c>
      <c r="P8303" s="8" t="s">
        <v>36566</v>
      </c>
      <c r="Q8303" s="8">
        <f>+(50+10/60+52/3600)</f>
        <v>50.181111111111107</v>
      </c>
      <c r="R8303" s="8">
        <v>99</v>
      </c>
      <c r="S8303" s="8">
        <v>99</v>
      </c>
      <c r="T8303" s="8">
        <v>99</v>
      </c>
      <c r="U8303" s="8">
        <v>99</v>
      </c>
      <c r="Y8303" s="8" t="s">
        <v>36557</v>
      </c>
      <c r="Z8303" s="8" t="s">
        <v>36558</v>
      </c>
    </row>
    <row r="8304" spans="1:26" x14ac:dyDescent="0.2">
      <c r="A8304" s="8">
        <v>8303</v>
      </c>
      <c r="B8304" s="8" t="s">
        <v>36567</v>
      </c>
      <c r="C8304" s="8" t="s">
        <v>36567</v>
      </c>
      <c r="G8304" s="8">
        <v>20</v>
      </c>
      <c r="H8304" s="8" t="s">
        <v>21</v>
      </c>
      <c r="I8304" s="8" t="s">
        <v>22</v>
      </c>
      <c r="J8304" s="8" t="s">
        <v>22</v>
      </c>
      <c r="K8304" s="8" t="s">
        <v>37</v>
      </c>
      <c r="L8304" s="8" t="s">
        <v>10511</v>
      </c>
      <c r="M8304" s="8" t="s">
        <v>10512</v>
      </c>
      <c r="N8304" s="8" t="s">
        <v>36568</v>
      </c>
      <c r="O8304" s="8">
        <f>7+11/60+0.9/3600</f>
        <v>7.1835833333333339</v>
      </c>
      <c r="P8304" s="8" t="s">
        <v>36569</v>
      </c>
      <c r="Q8304" s="8">
        <f>+(50+7/60+10/3600)</f>
        <v>50.119444444444447</v>
      </c>
      <c r="R8304" s="8">
        <v>15</v>
      </c>
      <c r="S8304" s="8">
        <v>16</v>
      </c>
      <c r="T8304" s="8">
        <v>1</v>
      </c>
      <c r="U8304" s="8">
        <v>11.8</v>
      </c>
      <c r="V8304" s="8">
        <v>0.3</v>
      </c>
      <c r="W8304" s="8">
        <v>0.2</v>
      </c>
      <c r="X8304" s="8">
        <v>85</v>
      </c>
      <c r="Y8304" s="8" t="s">
        <v>47</v>
      </c>
      <c r="Z8304" s="8" t="s">
        <v>48</v>
      </c>
    </row>
    <row r="8305" spans="1:26" x14ac:dyDescent="0.2">
      <c r="A8305" s="8">
        <v>8304</v>
      </c>
      <c r="B8305" s="8" t="s">
        <v>36570</v>
      </c>
      <c r="C8305" s="8" t="s">
        <v>36570</v>
      </c>
      <c r="G8305" s="8">
        <v>20</v>
      </c>
      <c r="H8305" s="8" t="s">
        <v>21</v>
      </c>
      <c r="I8305" s="8" t="s">
        <v>22</v>
      </c>
      <c r="J8305" s="8" t="s">
        <v>22</v>
      </c>
      <c r="K8305" s="8" t="s">
        <v>1068</v>
      </c>
      <c r="L8305" s="8" t="s">
        <v>10511</v>
      </c>
      <c r="M8305" s="8" t="s">
        <v>10512</v>
      </c>
      <c r="N8305" s="8" t="s">
        <v>36571</v>
      </c>
      <c r="O8305" s="8">
        <f>7+11/60+4.5/3600</f>
        <v>7.1845833333333333</v>
      </c>
      <c r="P8305" s="8" t="s">
        <v>36572</v>
      </c>
      <c r="Q8305" s="8">
        <f>+(50+8/60+10/3600)</f>
        <v>50.136111111111113</v>
      </c>
      <c r="R8305" s="8">
        <v>13.8</v>
      </c>
      <c r="S8305" s="8">
        <v>14.8</v>
      </c>
      <c r="T8305" s="8">
        <v>1</v>
      </c>
      <c r="U8305" s="8">
        <v>12.6</v>
      </c>
      <c r="V8305" s="8">
        <v>0.8</v>
      </c>
      <c r="W8305" s="8">
        <v>0.4</v>
      </c>
      <c r="X8305" s="8">
        <v>45</v>
      </c>
      <c r="Y8305" s="8" t="s">
        <v>2802</v>
      </c>
      <c r="Z8305" s="8" t="s">
        <v>1021</v>
      </c>
    </row>
    <row r="8306" spans="1:26" x14ac:dyDescent="0.2">
      <c r="A8306" s="8">
        <v>8305</v>
      </c>
      <c r="B8306" s="8" t="s">
        <v>36573</v>
      </c>
      <c r="C8306" s="8" t="s">
        <v>36573</v>
      </c>
      <c r="G8306" s="8">
        <v>20</v>
      </c>
      <c r="H8306" s="8" t="s">
        <v>21</v>
      </c>
      <c r="I8306" s="8" t="s">
        <v>22</v>
      </c>
      <c r="J8306" s="8" t="s">
        <v>57</v>
      </c>
      <c r="K8306" s="8" t="s">
        <v>424</v>
      </c>
      <c r="L8306" s="8" t="s">
        <v>10511</v>
      </c>
      <c r="M8306" s="8" t="s">
        <v>10512</v>
      </c>
      <c r="N8306" s="8" t="s">
        <v>10777</v>
      </c>
      <c r="O8306" s="8">
        <f>7+11/60+33.6/3600</f>
        <v>7.1926666666666668</v>
      </c>
      <c r="P8306" s="8" t="s">
        <v>10778</v>
      </c>
      <c r="Q8306" s="8">
        <f>+(50+14/60+56/3600)</f>
        <v>50.248888888888892</v>
      </c>
      <c r="R8306" s="8">
        <v>13.7</v>
      </c>
      <c r="S8306" s="8">
        <v>14.7</v>
      </c>
      <c r="T8306" s="8">
        <v>1</v>
      </c>
      <c r="U8306" s="8">
        <v>13</v>
      </c>
      <c r="V8306" s="8">
        <v>0.9</v>
      </c>
      <c r="W8306" s="8">
        <v>0.7</v>
      </c>
      <c r="X8306" s="8">
        <v>80</v>
      </c>
      <c r="Y8306" s="8" t="s">
        <v>2802</v>
      </c>
      <c r="Z8306" s="8" t="s">
        <v>1021</v>
      </c>
    </row>
    <row r="8307" spans="1:26" x14ac:dyDescent="0.2">
      <c r="A8307" s="8">
        <v>8306</v>
      </c>
      <c r="B8307" s="8" t="s">
        <v>36574</v>
      </c>
      <c r="C8307" s="8" t="s">
        <v>36574</v>
      </c>
      <c r="G8307" s="8">
        <v>20</v>
      </c>
      <c r="H8307" s="8" t="s">
        <v>21</v>
      </c>
      <c r="I8307" s="8" t="s">
        <v>1283</v>
      </c>
      <c r="J8307" s="8" t="s">
        <v>1283</v>
      </c>
      <c r="K8307" s="8" t="s">
        <v>1284</v>
      </c>
      <c r="L8307" s="8" t="s">
        <v>9917</v>
      </c>
      <c r="M8307" s="8" t="s">
        <v>9918</v>
      </c>
      <c r="N8307" s="8" t="s">
        <v>36575</v>
      </c>
      <c r="O8307" s="8">
        <f>7+8/60+38.9/3600</f>
        <v>7.1441388888888895</v>
      </c>
      <c r="P8307" s="8" t="s">
        <v>36576</v>
      </c>
      <c r="Q8307" s="8">
        <f>-(4+19/60+2/3600)</f>
        <v>-4.3172222222222221</v>
      </c>
      <c r="R8307" s="8">
        <v>99</v>
      </c>
      <c r="S8307" s="8">
        <v>99</v>
      </c>
      <c r="T8307" s="8">
        <v>99</v>
      </c>
      <c r="U8307" s="8">
        <v>99</v>
      </c>
      <c r="V8307" s="8">
        <v>1</v>
      </c>
      <c r="W8307" s="8">
        <v>1</v>
      </c>
      <c r="Y8307" s="8" t="s">
        <v>36577</v>
      </c>
      <c r="Z8307" s="8" t="s">
        <v>36578</v>
      </c>
    </row>
    <row r="8308" spans="1:26" x14ac:dyDescent="0.2">
      <c r="A8308" s="8">
        <v>8307</v>
      </c>
      <c r="B8308" s="8" t="s">
        <v>36579</v>
      </c>
      <c r="C8308" s="8" t="s">
        <v>36579</v>
      </c>
      <c r="G8308" s="8">
        <v>20</v>
      </c>
      <c r="H8308" s="8" t="s">
        <v>21</v>
      </c>
      <c r="I8308" s="8" t="s">
        <v>22</v>
      </c>
      <c r="J8308" s="8" t="s">
        <v>22</v>
      </c>
      <c r="K8308" s="8" t="s">
        <v>64</v>
      </c>
      <c r="L8308" s="8" t="s">
        <v>6823</v>
      </c>
      <c r="M8308" s="8" t="s">
        <v>6824</v>
      </c>
      <c r="N8308" s="8" t="s">
        <v>36580</v>
      </c>
      <c r="O8308" s="8">
        <f>7+30/60+17.8/3600</f>
        <v>7.5049444444444449</v>
      </c>
      <c r="P8308" s="8" t="s">
        <v>36581</v>
      </c>
      <c r="Q8308" s="8">
        <f>+(79+52/60+21/3600)</f>
        <v>79.872499999999988</v>
      </c>
      <c r="R8308" s="8">
        <v>12.6</v>
      </c>
      <c r="S8308" s="8">
        <v>13.2</v>
      </c>
      <c r="T8308" s="8">
        <v>0.6</v>
      </c>
      <c r="U8308" s="8">
        <v>14</v>
      </c>
      <c r="V8308" s="8">
        <v>3.1</v>
      </c>
      <c r="W8308" s="8">
        <v>1.2</v>
      </c>
      <c r="X8308" s="8">
        <v>80</v>
      </c>
      <c r="Y8308" s="8" t="s">
        <v>36582</v>
      </c>
      <c r="Z8308" s="8" t="s">
        <v>36583</v>
      </c>
    </row>
    <row r="8309" spans="1:26" x14ac:dyDescent="0.2">
      <c r="A8309" s="8">
        <v>8308</v>
      </c>
      <c r="B8309" s="8" t="s">
        <v>36584</v>
      </c>
      <c r="C8309" s="8" t="s">
        <v>36584</v>
      </c>
      <c r="G8309" s="8">
        <v>20</v>
      </c>
      <c r="H8309" s="8" t="s">
        <v>21</v>
      </c>
      <c r="I8309" s="8" t="s">
        <v>72</v>
      </c>
      <c r="J8309" s="8" t="s">
        <v>72</v>
      </c>
      <c r="K8309" s="8" t="s">
        <v>1802</v>
      </c>
      <c r="L8309" s="8" t="s">
        <v>10194</v>
      </c>
      <c r="M8309" s="8" t="s">
        <v>10195</v>
      </c>
      <c r="N8309" s="8" t="s">
        <v>36585</v>
      </c>
      <c r="O8309" s="8">
        <f>7+17/60+18.9/3600</f>
        <v>7.2885833333333334</v>
      </c>
      <c r="P8309" s="8" t="s">
        <v>36586</v>
      </c>
      <c r="Q8309" s="8">
        <f>-(13+13/60+7/3600)</f>
        <v>-13.218611111111111</v>
      </c>
      <c r="R8309" s="8">
        <v>99</v>
      </c>
      <c r="S8309" s="8">
        <v>99</v>
      </c>
      <c r="T8309" s="8">
        <v>99</v>
      </c>
      <c r="U8309" s="8">
        <v>99</v>
      </c>
      <c r="Y8309" s="8" t="s">
        <v>36587</v>
      </c>
      <c r="Z8309" s="8" t="s">
        <v>36588</v>
      </c>
    </row>
    <row r="8310" spans="1:26" x14ac:dyDescent="0.2">
      <c r="A8310" s="8">
        <v>8309</v>
      </c>
      <c r="B8310" s="8" t="s">
        <v>36589</v>
      </c>
      <c r="C8310" s="8" t="s">
        <v>36589</v>
      </c>
      <c r="G8310" s="8">
        <v>20</v>
      </c>
      <c r="H8310" s="8" t="s">
        <v>21</v>
      </c>
      <c r="I8310" s="8" t="s">
        <v>22</v>
      </c>
      <c r="J8310" s="8" t="s">
        <v>22</v>
      </c>
      <c r="K8310" s="8" t="s">
        <v>406</v>
      </c>
      <c r="L8310" s="8" t="s">
        <v>242</v>
      </c>
      <c r="M8310" s="8" t="s">
        <v>243</v>
      </c>
      <c r="N8310" s="8" t="s">
        <v>36590</v>
      </c>
      <c r="O8310" s="8">
        <f>7+55/60+59.3/3600</f>
        <v>7.9331388888888892</v>
      </c>
      <c r="P8310" s="8" t="s">
        <v>36591</v>
      </c>
      <c r="Q8310" s="8">
        <f>+(85+9/60+31/3600)</f>
        <v>85.158611111111114</v>
      </c>
      <c r="R8310" s="8">
        <v>12.7</v>
      </c>
      <c r="S8310" s="8">
        <v>13.5</v>
      </c>
      <c r="T8310" s="8">
        <v>0.8</v>
      </c>
      <c r="U8310" s="8">
        <v>13.4</v>
      </c>
      <c r="V8310" s="8">
        <v>2.2000000000000002</v>
      </c>
      <c r="W8310" s="8">
        <v>1</v>
      </c>
      <c r="X8310" s="8">
        <v>90</v>
      </c>
      <c r="Y8310" s="8" t="s">
        <v>21</v>
      </c>
      <c r="Z8310" s="8" t="s">
        <v>36592</v>
      </c>
    </row>
    <row r="8311" spans="1:26" x14ac:dyDescent="0.2">
      <c r="A8311" s="8">
        <v>8310</v>
      </c>
      <c r="B8311" s="8" t="s">
        <v>36593</v>
      </c>
      <c r="C8311" s="8" t="s">
        <v>36593</v>
      </c>
      <c r="G8311" s="8">
        <v>20</v>
      </c>
      <c r="H8311" s="8" t="s">
        <v>21</v>
      </c>
      <c r="I8311" s="8" t="s">
        <v>72</v>
      </c>
      <c r="J8311" s="8" t="s">
        <v>72</v>
      </c>
      <c r="K8311" s="8" t="s">
        <v>73</v>
      </c>
      <c r="L8311" s="8" t="s">
        <v>10511</v>
      </c>
      <c r="M8311" s="8" t="s">
        <v>10512</v>
      </c>
      <c r="N8311" s="8" t="s">
        <v>36594</v>
      </c>
      <c r="O8311" s="8">
        <f>7+23/60+31.4/3600</f>
        <v>7.3920555555555563</v>
      </c>
      <c r="P8311" s="8" t="s">
        <v>36595</v>
      </c>
      <c r="Q8311" s="8">
        <f>+(46+4/60+45/3600)</f>
        <v>46.079166666666673</v>
      </c>
      <c r="R8311" s="8">
        <v>99</v>
      </c>
      <c r="S8311" s="8">
        <v>99</v>
      </c>
      <c r="T8311" s="8">
        <v>99</v>
      </c>
      <c r="U8311" s="8">
        <v>99</v>
      </c>
      <c r="Y8311" s="8" t="s">
        <v>11909</v>
      </c>
      <c r="Z8311" s="8" t="s">
        <v>11910</v>
      </c>
    </row>
    <row r="8312" spans="1:26" x14ac:dyDescent="0.2">
      <c r="A8312" s="8">
        <v>8311</v>
      </c>
      <c r="B8312" s="8" t="s">
        <v>36596</v>
      </c>
      <c r="C8312" s="8" t="s">
        <v>36596</v>
      </c>
      <c r="G8312" s="8">
        <v>20</v>
      </c>
      <c r="H8312" s="8" t="s">
        <v>21</v>
      </c>
      <c r="I8312" s="8" t="s">
        <v>22</v>
      </c>
      <c r="J8312" s="8" t="s">
        <v>22</v>
      </c>
      <c r="K8312" s="8" t="s">
        <v>460</v>
      </c>
      <c r="L8312" s="8" t="s">
        <v>10511</v>
      </c>
      <c r="M8312" s="8" t="s">
        <v>10512</v>
      </c>
      <c r="N8312" s="8" t="s">
        <v>36597</v>
      </c>
      <c r="O8312" s="8">
        <f>7+43/60+36.4/3600</f>
        <v>7.7267777777777775</v>
      </c>
      <c r="P8312" s="8" t="s">
        <v>36598</v>
      </c>
      <c r="Q8312" s="8">
        <f>+(49+40/60+5/3600)</f>
        <v>49.668055555555554</v>
      </c>
      <c r="R8312" s="8">
        <v>13.3</v>
      </c>
      <c r="S8312" s="8">
        <v>14.3</v>
      </c>
      <c r="T8312" s="8">
        <v>1</v>
      </c>
      <c r="U8312" s="8">
        <v>12.2</v>
      </c>
      <c r="V8312" s="8">
        <v>0.6</v>
      </c>
      <c r="W8312" s="8">
        <v>0.6</v>
      </c>
      <c r="Y8312" s="8" t="s">
        <v>36599</v>
      </c>
      <c r="Z8312" s="8" t="s">
        <v>36600</v>
      </c>
    </row>
    <row r="8313" spans="1:26" x14ac:dyDescent="0.2">
      <c r="A8313" s="8">
        <v>8312</v>
      </c>
      <c r="B8313" s="8" t="s">
        <v>36601</v>
      </c>
      <c r="C8313" s="8" t="s">
        <v>36601</v>
      </c>
      <c r="G8313" s="8">
        <v>20</v>
      </c>
      <c r="H8313" s="8" t="s">
        <v>21</v>
      </c>
      <c r="I8313" s="8" t="s">
        <v>22</v>
      </c>
      <c r="J8313" s="8" t="s">
        <v>22</v>
      </c>
      <c r="K8313" s="8" t="s">
        <v>218</v>
      </c>
      <c r="L8313" s="8" t="s">
        <v>10511</v>
      </c>
      <c r="M8313" s="8" t="s">
        <v>10512</v>
      </c>
      <c r="N8313" s="8" t="s">
        <v>36602</v>
      </c>
      <c r="O8313" s="8">
        <f>7+43/60+50.2/3600</f>
        <v>7.7306111111111111</v>
      </c>
      <c r="P8313" s="8" t="s">
        <v>36603</v>
      </c>
      <c r="Q8313" s="8">
        <f>+(49+36/60+48/3600)</f>
        <v>49.613333333333337</v>
      </c>
      <c r="R8313" s="8">
        <v>13.4</v>
      </c>
      <c r="S8313" s="8">
        <v>14.2</v>
      </c>
      <c r="T8313" s="8">
        <v>0.8</v>
      </c>
      <c r="U8313" s="8">
        <v>13.8</v>
      </c>
      <c r="V8313" s="8">
        <v>1.6</v>
      </c>
      <c r="W8313" s="8">
        <v>1</v>
      </c>
      <c r="X8313" s="8">
        <v>167</v>
      </c>
      <c r="Y8313" s="8" t="s">
        <v>4958</v>
      </c>
      <c r="Z8313" s="8" t="s">
        <v>4959</v>
      </c>
    </row>
    <row r="8314" spans="1:26" x14ac:dyDescent="0.2">
      <c r="A8314" s="8">
        <v>8313</v>
      </c>
      <c r="B8314" s="8" t="s">
        <v>36604</v>
      </c>
      <c r="C8314" s="8" t="s">
        <v>36604</v>
      </c>
      <c r="G8314" s="8">
        <v>20</v>
      </c>
      <c r="H8314" s="8" t="s">
        <v>21</v>
      </c>
      <c r="I8314" s="8" t="s">
        <v>72</v>
      </c>
      <c r="J8314" s="8" t="s">
        <v>72</v>
      </c>
      <c r="K8314" s="8" t="s">
        <v>1802</v>
      </c>
      <c r="L8314" s="8" t="s">
        <v>10848</v>
      </c>
      <c r="M8314" s="8" t="s">
        <v>10849</v>
      </c>
      <c r="N8314" s="8" t="s">
        <v>36605</v>
      </c>
      <c r="O8314" s="8">
        <f>7+42/60+24.7/3600</f>
        <v>7.7068611111111114</v>
      </c>
      <c r="P8314" s="8" t="s">
        <v>36606</v>
      </c>
      <c r="Q8314" s="8">
        <f>+(9+15/60+17/3600)</f>
        <v>9.2547222222222221</v>
      </c>
      <c r="R8314" s="8">
        <v>99</v>
      </c>
      <c r="S8314" s="8">
        <v>99</v>
      </c>
      <c r="T8314" s="8">
        <v>99</v>
      </c>
      <c r="U8314" s="8">
        <v>99</v>
      </c>
      <c r="Y8314" s="8" t="s">
        <v>36607</v>
      </c>
      <c r="Z8314" s="8" t="s">
        <v>36608</v>
      </c>
    </row>
    <row r="8315" spans="1:26" x14ac:dyDescent="0.2">
      <c r="A8315" s="8">
        <v>8314</v>
      </c>
      <c r="B8315" s="8" t="s">
        <v>36609</v>
      </c>
      <c r="C8315" s="8" t="s">
        <v>36609</v>
      </c>
      <c r="G8315" s="8">
        <v>20</v>
      </c>
      <c r="H8315" s="8" t="s">
        <v>21</v>
      </c>
      <c r="I8315" s="8" t="s">
        <v>22</v>
      </c>
      <c r="J8315" s="8" t="s">
        <v>22</v>
      </c>
      <c r="K8315" s="8" t="s">
        <v>476</v>
      </c>
      <c r="L8315" s="8" t="s">
        <v>9862</v>
      </c>
      <c r="M8315" s="8" t="s">
        <v>9863</v>
      </c>
      <c r="N8315" s="8" t="s">
        <v>36610</v>
      </c>
      <c r="O8315" s="8">
        <f>7+46/60+7.3/3600</f>
        <v>7.7686944444444448</v>
      </c>
      <c r="P8315" s="8" t="s">
        <v>36611</v>
      </c>
      <c r="Q8315" s="8">
        <f>+(26+30/60+16/3600)</f>
        <v>26.504444444444445</v>
      </c>
      <c r="R8315" s="8">
        <v>14.4</v>
      </c>
      <c r="S8315" s="8">
        <v>15.2</v>
      </c>
      <c r="T8315" s="8">
        <v>0.8</v>
      </c>
      <c r="U8315" s="8">
        <v>12.9</v>
      </c>
      <c r="V8315" s="8">
        <v>1</v>
      </c>
      <c r="W8315" s="8">
        <v>0.3</v>
      </c>
      <c r="X8315" s="8">
        <v>120</v>
      </c>
      <c r="Y8315" s="8" t="s">
        <v>36612</v>
      </c>
      <c r="Z8315" s="8" t="s">
        <v>36613</v>
      </c>
    </row>
    <row r="8316" spans="1:26" x14ac:dyDescent="0.2">
      <c r="A8316" s="8">
        <v>8315</v>
      </c>
      <c r="B8316" s="8" t="s">
        <v>36614</v>
      </c>
      <c r="C8316" s="8" t="s">
        <v>36614</v>
      </c>
      <c r="G8316" s="8">
        <v>20</v>
      </c>
      <c r="H8316" s="8" t="s">
        <v>21</v>
      </c>
      <c r="I8316" s="8" t="s">
        <v>22</v>
      </c>
      <c r="J8316" s="8" t="s">
        <v>22</v>
      </c>
      <c r="K8316" s="8" t="s">
        <v>449</v>
      </c>
      <c r="L8316" s="8" t="s">
        <v>9862</v>
      </c>
      <c r="M8316" s="8" t="s">
        <v>9863</v>
      </c>
      <c r="N8316" s="8" t="s">
        <v>36615</v>
      </c>
      <c r="O8316" s="8">
        <f>7+47/60+9.2/3600</f>
        <v>7.7858888888888886</v>
      </c>
      <c r="P8316" s="8" t="s">
        <v>36616</v>
      </c>
      <c r="Q8316" s="8">
        <f>+(30+29/60+20/3600)</f>
        <v>30.488888888888891</v>
      </c>
      <c r="R8316" s="8">
        <v>14.5</v>
      </c>
      <c r="S8316" s="8">
        <v>15.3</v>
      </c>
      <c r="T8316" s="8">
        <v>0.8</v>
      </c>
      <c r="U8316" s="8">
        <v>13.4</v>
      </c>
      <c r="V8316" s="8">
        <v>0.8</v>
      </c>
      <c r="W8316" s="8">
        <v>0.5</v>
      </c>
      <c r="X8316" s="8">
        <v>141</v>
      </c>
      <c r="Y8316" s="8" t="s">
        <v>35151</v>
      </c>
      <c r="Z8316" s="8" t="s">
        <v>35152</v>
      </c>
    </row>
    <row r="8317" spans="1:26" x14ac:dyDescent="0.2">
      <c r="A8317" s="8">
        <v>8316</v>
      </c>
      <c r="B8317" s="8" t="s">
        <v>36617</v>
      </c>
      <c r="C8317" s="8" t="s">
        <v>36617</v>
      </c>
      <c r="G8317" s="8">
        <v>20</v>
      </c>
      <c r="H8317" s="8" t="s">
        <v>21</v>
      </c>
      <c r="I8317" s="8" t="s">
        <v>22</v>
      </c>
      <c r="J8317" s="8" t="s">
        <v>22</v>
      </c>
      <c r="K8317" s="8" t="s">
        <v>1445</v>
      </c>
      <c r="L8317" s="8" t="s">
        <v>9862</v>
      </c>
      <c r="M8317" s="8" t="s">
        <v>9863</v>
      </c>
      <c r="N8317" s="8" t="s">
        <v>36618</v>
      </c>
      <c r="O8317" s="8">
        <f>7+47/60+16.4/3600</f>
        <v>7.7878888888888884</v>
      </c>
      <c r="P8317" s="8" t="s">
        <v>36619</v>
      </c>
      <c r="Q8317" s="8">
        <f>+(26+57/60+3/3600)</f>
        <v>26.950833333333332</v>
      </c>
      <c r="R8317" s="8">
        <v>14.8</v>
      </c>
      <c r="S8317" s="8">
        <v>15.6</v>
      </c>
      <c r="T8317" s="8">
        <v>0.8</v>
      </c>
      <c r="U8317" s="8">
        <v>12.6</v>
      </c>
      <c r="V8317" s="8">
        <v>0.5</v>
      </c>
      <c r="W8317" s="8">
        <v>0.3</v>
      </c>
      <c r="X8317" s="8">
        <v>90</v>
      </c>
      <c r="Y8317" s="8" t="s">
        <v>36620</v>
      </c>
      <c r="Z8317" s="8" t="s">
        <v>36621</v>
      </c>
    </row>
    <row r="8318" spans="1:26" x14ac:dyDescent="0.2">
      <c r="A8318" s="8">
        <v>8317</v>
      </c>
      <c r="B8318" s="8" t="s">
        <v>36622</v>
      </c>
      <c r="C8318" s="8" t="s">
        <v>36622</v>
      </c>
      <c r="G8318" s="8">
        <v>20</v>
      </c>
      <c r="H8318" s="8" t="s">
        <v>21</v>
      </c>
      <c r="I8318" s="8" t="s">
        <v>22</v>
      </c>
      <c r="J8318" s="8" t="s">
        <v>22</v>
      </c>
      <c r="K8318" s="8" t="s">
        <v>37</v>
      </c>
      <c r="L8318" s="8" t="s">
        <v>9862</v>
      </c>
      <c r="M8318" s="8" t="s">
        <v>9863</v>
      </c>
      <c r="N8318" s="8" t="s">
        <v>36623</v>
      </c>
      <c r="O8318" s="8">
        <f>7+52/60+6.9/3600</f>
        <v>7.8685833333333335</v>
      </c>
      <c r="P8318" s="8" t="s">
        <v>36624</v>
      </c>
      <c r="Q8318" s="8">
        <f>+(23+29/60+1/3600)</f>
        <v>23.483611111111113</v>
      </c>
      <c r="R8318" s="8">
        <v>14.4</v>
      </c>
      <c r="S8318" s="8">
        <v>15.4</v>
      </c>
      <c r="T8318" s="8">
        <v>1</v>
      </c>
      <c r="U8318" s="8">
        <v>14.1</v>
      </c>
      <c r="V8318" s="8">
        <v>0.9</v>
      </c>
      <c r="W8318" s="8">
        <v>0.9</v>
      </c>
      <c r="Y8318" s="8" t="s">
        <v>35174</v>
      </c>
      <c r="Z8318" s="8" t="s">
        <v>35175</v>
      </c>
    </row>
    <row r="8319" spans="1:26" x14ac:dyDescent="0.2">
      <c r="A8319" s="8">
        <v>8318</v>
      </c>
      <c r="B8319" s="8" t="s">
        <v>36625</v>
      </c>
      <c r="C8319" s="8" t="s">
        <v>36625</v>
      </c>
      <c r="G8319" s="8">
        <v>20</v>
      </c>
      <c r="H8319" s="8" t="s">
        <v>21</v>
      </c>
      <c r="I8319" s="8" t="s">
        <v>22</v>
      </c>
      <c r="J8319" s="8" t="s">
        <v>22</v>
      </c>
      <c r="K8319" s="8" t="s">
        <v>449</v>
      </c>
      <c r="L8319" s="8" t="s">
        <v>9862</v>
      </c>
      <c r="M8319" s="8" t="s">
        <v>9863</v>
      </c>
      <c r="N8319" s="8" t="s">
        <v>36626</v>
      </c>
      <c r="O8319" s="8">
        <f>7+53/60+41.6/3600</f>
        <v>7.8948888888888886</v>
      </c>
      <c r="P8319" s="8" t="s">
        <v>36627</v>
      </c>
      <c r="Q8319" s="8">
        <f>+(26+29/60+32/3600)</f>
        <v>26.492222222222225</v>
      </c>
      <c r="R8319" s="8">
        <v>14.4</v>
      </c>
      <c r="S8319" s="8">
        <v>15.2</v>
      </c>
      <c r="T8319" s="8">
        <v>0.8</v>
      </c>
      <c r="U8319" s="8">
        <v>12.4</v>
      </c>
      <c r="V8319" s="8">
        <v>0.6</v>
      </c>
      <c r="W8319" s="8">
        <v>0.3</v>
      </c>
      <c r="X8319" s="8">
        <v>10</v>
      </c>
      <c r="Y8319" s="8" t="s">
        <v>35151</v>
      </c>
      <c r="Z8319" s="8" t="s">
        <v>35152</v>
      </c>
    </row>
    <row r="8320" spans="1:26" x14ac:dyDescent="0.2">
      <c r="A8320" s="8">
        <v>8319</v>
      </c>
      <c r="B8320" s="8" t="s">
        <v>36628</v>
      </c>
      <c r="C8320" s="8" t="s">
        <v>36628</v>
      </c>
      <c r="G8320" s="8">
        <v>20</v>
      </c>
      <c r="H8320" s="8" t="s">
        <v>21</v>
      </c>
      <c r="I8320" s="8" t="s">
        <v>22</v>
      </c>
      <c r="J8320" s="8" t="s">
        <v>22</v>
      </c>
      <c r="K8320" s="8" t="s">
        <v>64</v>
      </c>
      <c r="L8320" s="8" t="s">
        <v>9862</v>
      </c>
      <c r="M8320" s="8" t="s">
        <v>9863</v>
      </c>
      <c r="N8320" s="8" t="s">
        <v>36629</v>
      </c>
      <c r="O8320" s="8">
        <f>7+54/60+22.1/3600</f>
        <v>7.906138888888889</v>
      </c>
      <c r="P8320" s="8" t="s">
        <v>36630</v>
      </c>
      <c r="Q8320" s="8">
        <f>+(27+0/60+26/3600)</f>
        <v>27.007222222222222</v>
      </c>
      <c r="R8320" s="8">
        <v>14.7</v>
      </c>
      <c r="S8320" s="8">
        <v>15.4</v>
      </c>
      <c r="T8320" s="8">
        <v>0.7</v>
      </c>
      <c r="U8320" s="8">
        <v>13.6</v>
      </c>
      <c r="V8320" s="8">
        <v>0.7</v>
      </c>
      <c r="W8320" s="8">
        <v>0.6</v>
      </c>
      <c r="X8320" s="8">
        <v>171</v>
      </c>
      <c r="Y8320" s="8" t="s">
        <v>32565</v>
      </c>
      <c r="Z8320" s="8" t="s">
        <v>27278</v>
      </c>
    </row>
    <row r="8321" spans="1:26" x14ac:dyDescent="0.2">
      <c r="A8321" s="8">
        <v>8320</v>
      </c>
      <c r="B8321" s="8" t="s">
        <v>36631</v>
      </c>
      <c r="C8321" s="8" t="s">
        <v>36631</v>
      </c>
      <c r="G8321" s="8">
        <v>20</v>
      </c>
      <c r="H8321" s="8" t="s">
        <v>21</v>
      </c>
      <c r="I8321" s="8" t="s">
        <v>22</v>
      </c>
      <c r="J8321" s="8" t="s">
        <v>22</v>
      </c>
      <c r="K8321" s="8" t="s">
        <v>396</v>
      </c>
      <c r="L8321" s="8" t="s">
        <v>9862</v>
      </c>
      <c r="M8321" s="8" t="s">
        <v>9863</v>
      </c>
      <c r="N8321" s="8" t="s">
        <v>36632</v>
      </c>
      <c r="O8321" s="8">
        <f>7+55/60+23.1/3600</f>
        <v>7.9230833333333335</v>
      </c>
      <c r="P8321" s="8" t="s">
        <v>36633</v>
      </c>
      <c r="Q8321" s="8">
        <f>+(26+44/60+32/3600)</f>
        <v>26.742222222222225</v>
      </c>
      <c r="R8321" s="8">
        <v>14.2</v>
      </c>
      <c r="S8321" s="8">
        <v>15</v>
      </c>
      <c r="T8321" s="8">
        <v>0.8</v>
      </c>
      <c r="U8321" s="8">
        <v>13.4</v>
      </c>
      <c r="V8321" s="8">
        <v>1.7</v>
      </c>
      <c r="W8321" s="8">
        <v>0.3</v>
      </c>
      <c r="X8321" s="8">
        <v>168</v>
      </c>
      <c r="Y8321" s="8" t="s">
        <v>34690</v>
      </c>
      <c r="Z8321" s="8" t="s">
        <v>34691</v>
      </c>
    </row>
    <row r="8322" spans="1:26" x14ac:dyDescent="0.2">
      <c r="A8322" s="8">
        <v>8321</v>
      </c>
      <c r="B8322" s="8" t="s">
        <v>36634</v>
      </c>
      <c r="C8322" s="8" t="s">
        <v>36634</v>
      </c>
      <c r="G8322" s="8">
        <v>20</v>
      </c>
      <c r="H8322" s="8" t="s">
        <v>21</v>
      </c>
      <c r="I8322" s="8" t="s">
        <v>22</v>
      </c>
      <c r="J8322" s="8" t="s">
        <v>22</v>
      </c>
      <c r="K8322" s="8" t="s">
        <v>396</v>
      </c>
      <c r="L8322" s="8" t="s">
        <v>9862</v>
      </c>
      <c r="M8322" s="8" t="s">
        <v>9863</v>
      </c>
      <c r="N8322" s="8" t="s">
        <v>36635</v>
      </c>
      <c r="O8322" s="8">
        <f>7+59/60+2.8/3600</f>
        <v>7.9841111111111109</v>
      </c>
      <c r="P8322" s="8" t="s">
        <v>36636</v>
      </c>
      <c r="Q8322" s="8">
        <f>+(24+9/60+37/3600)</f>
        <v>24.160277777777775</v>
      </c>
      <c r="R8322" s="8">
        <v>14.4</v>
      </c>
      <c r="S8322" s="8">
        <v>15.2</v>
      </c>
      <c r="T8322" s="8">
        <v>0.8</v>
      </c>
      <c r="U8322" s="8">
        <v>12.5</v>
      </c>
      <c r="V8322" s="8">
        <v>1</v>
      </c>
      <c r="W8322" s="8">
        <v>0.2</v>
      </c>
      <c r="X8322" s="8">
        <v>3</v>
      </c>
      <c r="Y8322" s="8" t="s">
        <v>35151</v>
      </c>
      <c r="Z8322" s="8" t="s">
        <v>35152</v>
      </c>
    </row>
    <row r="8323" spans="1:26" x14ac:dyDescent="0.2">
      <c r="A8323" s="8">
        <v>8322</v>
      </c>
      <c r="B8323" s="8" t="s">
        <v>36637</v>
      </c>
      <c r="C8323" s="8" t="s">
        <v>36637</v>
      </c>
      <c r="G8323" s="8">
        <v>20</v>
      </c>
      <c r="H8323" s="8" t="s">
        <v>21</v>
      </c>
      <c r="I8323" s="8" t="s">
        <v>22</v>
      </c>
      <c r="J8323" s="8" t="s">
        <v>22</v>
      </c>
      <c r="K8323" s="8" t="s">
        <v>449</v>
      </c>
      <c r="L8323" s="8" t="s">
        <v>9862</v>
      </c>
      <c r="M8323" s="8" t="s">
        <v>9863</v>
      </c>
      <c r="N8323" s="8" t="s">
        <v>36638</v>
      </c>
      <c r="O8323" s="8">
        <f>7+59/60+47.3/3600</f>
        <v>7.9964722222222226</v>
      </c>
      <c r="P8323" s="8" t="s">
        <v>36639</v>
      </c>
      <c r="Q8323" s="8">
        <f>+(25+21/60+22/3600)</f>
        <v>25.356111111111112</v>
      </c>
      <c r="R8323" s="8">
        <v>14.5</v>
      </c>
      <c r="S8323" s="8">
        <v>15.3</v>
      </c>
      <c r="T8323" s="8">
        <v>0.8</v>
      </c>
      <c r="U8323" s="8">
        <v>13</v>
      </c>
      <c r="V8323" s="8">
        <v>0.7</v>
      </c>
      <c r="W8323" s="8">
        <v>0.4</v>
      </c>
      <c r="X8323" s="8">
        <v>156</v>
      </c>
      <c r="Y8323" s="8" t="s">
        <v>36640</v>
      </c>
      <c r="Z8323" s="8" t="s">
        <v>36641</v>
      </c>
    </row>
    <row r="8324" spans="1:26" x14ac:dyDescent="0.2">
      <c r="A8324" s="8">
        <v>8323</v>
      </c>
      <c r="B8324" s="8" t="s">
        <v>36642</v>
      </c>
      <c r="C8324" s="8" t="s">
        <v>36642</v>
      </c>
      <c r="G8324" s="8">
        <v>20</v>
      </c>
      <c r="H8324" s="8" t="s">
        <v>21</v>
      </c>
      <c r="I8324" s="8" t="s">
        <v>72</v>
      </c>
      <c r="J8324" s="8" t="s">
        <v>72</v>
      </c>
      <c r="K8324" s="8" t="s">
        <v>73</v>
      </c>
      <c r="L8324" s="8" t="s">
        <v>9862</v>
      </c>
      <c r="M8324" s="8" t="s">
        <v>9863</v>
      </c>
      <c r="N8324" s="8" t="s">
        <v>36643</v>
      </c>
      <c r="O8324" s="8">
        <f>7+59/60+52.4/3600</f>
        <v>7.9978888888888893</v>
      </c>
      <c r="P8324" s="8" t="s">
        <v>36644</v>
      </c>
      <c r="Q8324" s="8">
        <f>+(25+55/60+30/3600)</f>
        <v>25.925000000000001</v>
      </c>
      <c r="R8324" s="8">
        <v>99</v>
      </c>
      <c r="S8324" s="8">
        <v>99</v>
      </c>
      <c r="T8324" s="8">
        <v>99</v>
      </c>
      <c r="U8324" s="8">
        <v>99</v>
      </c>
      <c r="Y8324" s="8" t="s">
        <v>36645</v>
      </c>
      <c r="Z8324" s="8" t="s">
        <v>36646</v>
      </c>
    </row>
    <row r="8325" spans="1:26" x14ac:dyDescent="0.2">
      <c r="A8325" s="8">
        <v>8324</v>
      </c>
      <c r="B8325" s="8" t="s">
        <v>36647</v>
      </c>
      <c r="C8325" s="8" t="s">
        <v>36647</v>
      </c>
      <c r="G8325" s="8">
        <v>20</v>
      </c>
      <c r="H8325" s="8" t="s">
        <v>21</v>
      </c>
      <c r="I8325" s="8" t="s">
        <v>22</v>
      </c>
      <c r="J8325" s="8" t="s">
        <v>22</v>
      </c>
      <c r="K8325" s="8" t="s">
        <v>91</v>
      </c>
      <c r="L8325" s="8" t="s">
        <v>9862</v>
      </c>
      <c r="M8325" s="8" t="s">
        <v>9863</v>
      </c>
      <c r="N8325" s="8" t="s">
        <v>36648</v>
      </c>
      <c r="O8325" s="8">
        <f>8+0/60+1/3600</f>
        <v>8.0002777777777769</v>
      </c>
      <c r="P8325" s="8" t="s">
        <v>36649</v>
      </c>
      <c r="Q8325" s="8">
        <f>+(26+39/60+57/3600)</f>
        <v>26.665833333333332</v>
      </c>
      <c r="R8325" s="8">
        <v>14.6</v>
      </c>
      <c r="S8325" s="8">
        <v>15.5</v>
      </c>
      <c r="T8325" s="8">
        <v>0.9</v>
      </c>
      <c r="U8325" s="8">
        <v>12.6</v>
      </c>
      <c r="V8325" s="8">
        <v>0.6</v>
      </c>
      <c r="W8325" s="8">
        <v>0.3</v>
      </c>
      <c r="X8325" s="8">
        <v>45</v>
      </c>
      <c r="Y8325" s="8" t="s">
        <v>3952</v>
      </c>
      <c r="Z8325" s="8" t="s">
        <v>3953</v>
      </c>
    </row>
    <row r="8326" spans="1:26" x14ac:dyDescent="0.2">
      <c r="A8326" s="8">
        <v>8325</v>
      </c>
      <c r="B8326" s="8" t="s">
        <v>36650</v>
      </c>
      <c r="C8326" s="8" t="s">
        <v>36650</v>
      </c>
      <c r="G8326" s="8">
        <v>20</v>
      </c>
      <c r="H8326" s="8" t="s">
        <v>21</v>
      </c>
      <c r="I8326" s="8" t="s">
        <v>22</v>
      </c>
      <c r="J8326" s="8" t="s">
        <v>22</v>
      </c>
      <c r="K8326" s="8" t="s">
        <v>91</v>
      </c>
      <c r="L8326" s="8" t="s">
        <v>9862</v>
      </c>
      <c r="M8326" s="8" t="s">
        <v>9863</v>
      </c>
      <c r="N8326" s="8" t="s">
        <v>36651</v>
      </c>
      <c r="O8326" s="8">
        <f>8+0/60+19.8/3600</f>
        <v>8.0054999999999996</v>
      </c>
      <c r="P8326" s="8" t="s">
        <v>36652</v>
      </c>
      <c r="Q8326" s="8">
        <f>+(26+42/60+6/3600)</f>
        <v>26.701666666666664</v>
      </c>
      <c r="R8326" s="8">
        <v>14.5</v>
      </c>
      <c r="S8326" s="8">
        <v>15.4</v>
      </c>
      <c r="T8326" s="8">
        <v>0.9</v>
      </c>
      <c r="U8326" s="8">
        <v>13.2</v>
      </c>
      <c r="V8326" s="8">
        <v>1.2</v>
      </c>
      <c r="W8326" s="8">
        <v>0.3</v>
      </c>
      <c r="X8326" s="8">
        <v>153</v>
      </c>
      <c r="Y8326" s="8" t="s">
        <v>1709</v>
      </c>
      <c r="Z8326" s="8" t="s">
        <v>1710</v>
      </c>
    </row>
    <row r="8327" spans="1:26" x14ac:dyDescent="0.2">
      <c r="A8327" s="8">
        <v>8326</v>
      </c>
      <c r="B8327" s="8" t="s">
        <v>36653</v>
      </c>
      <c r="C8327" s="8" t="s">
        <v>36653</v>
      </c>
      <c r="G8327" s="8">
        <v>20</v>
      </c>
      <c r="H8327" s="8" t="s">
        <v>21</v>
      </c>
      <c r="I8327" s="8" t="s">
        <v>22</v>
      </c>
      <c r="J8327" s="8" t="s">
        <v>22</v>
      </c>
      <c r="K8327" s="8" t="s">
        <v>154</v>
      </c>
      <c r="L8327" s="8" t="s">
        <v>9862</v>
      </c>
      <c r="M8327" s="8" t="s">
        <v>9863</v>
      </c>
      <c r="N8327" s="8" t="s">
        <v>36654</v>
      </c>
      <c r="O8327" s="8">
        <f>8+0/60+21.1/3600</f>
        <v>8.0058611111111109</v>
      </c>
      <c r="P8327" s="8" t="s">
        <v>36655</v>
      </c>
      <c r="Q8327" s="8">
        <f>+(26+36/60+48/3600)</f>
        <v>26.613333333333333</v>
      </c>
      <c r="R8327" s="8">
        <v>13.7</v>
      </c>
      <c r="S8327" s="8">
        <v>14.6</v>
      </c>
      <c r="T8327" s="8">
        <v>0.9</v>
      </c>
      <c r="U8327" s="8">
        <v>13</v>
      </c>
      <c r="V8327" s="8">
        <v>0.9</v>
      </c>
      <c r="W8327" s="8">
        <v>0.7</v>
      </c>
      <c r="X8327" s="8">
        <v>139</v>
      </c>
      <c r="Y8327" s="8" t="s">
        <v>36441</v>
      </c>
      <c r="Z8327" s="8" t="s">
        <v>36442</v>
      </c>
    </row>
    <row r="8328" spans="1:26" x14ac:dyDescent="0.2">
      <c r="A8328" s="8">
        <v>8327</v>
      </c>
      <c r="B8328" s="8" t="s">
        <v>36656</v>
      </c>
      <c r="C8328" s="8" t="s">
        <v>36656</v>
      </c>
      <c r="G8328" s="8">
        <v>20</v>
      </c>
      <c r="H8328" s="8" t="s">
        <v>21</v>
      </c>
      <c r="I8328" s="8" t="s">
        <v>22</v>
      </c>
      <c r="J8328" s="8" t="s">
        <v>57</v>
      </c>
      <c r="K8328" s="8" t="s">
        <v>435</v>
      </c>
      <c r="L8328" s="8" t="s">
        <v>9917</v>
      </c>
      <c r="M8328" s="8" t="s">
        <v>9918</v>
      </c>
      <c r="N8328" s="8" t="s">
        <v>11512</v>
      </c>
      <c r="O8328" s="8">
        <f>7+59/60+7.2/3600</f>
        <v>7.9853333333333332</v>
      </c>
      <c r="P8328" s="8" t="s">
        <v>11513</v>
      </c>
      <c r="Q8328" s="8">
        <f>-(0+38/60+15/3600)</f>
        <v>-0.63749999999999996</v>
      </c>
      <c r="R8328" s="8">
        <v>13.1</v>
      </c>
      <c r="S8328" s="8">
        <v>14</v>
      </c>
      <c r="T8328" s="8">
        <v>0.9</v>
      </c>
      <c r="U8328" s="8">
        <v>12.4</v>
      </c>
      <c r="V8328" s="8">
        <v>0.9</v>
      </c>
      <c r="W8328" s="8">
        <v>0.7</v>
      </c>
      <c r="X8328" s="8">
        <v>95</v>
      </c>
      <c r="Y8328" s="8" t="s">
        <v>15791</v>
      </c>
      <c r="Z8328" s="8" t="s">
        <v>15792</v>
      </c>
    </row>
    <row r="8329" spans="1:26" x14ac:dyDescent="0.2">
      <c r="A8329" s="8">
        <v>8328</v>
      </c>
      <c r="B8329" s="8" t="s">
        <v>36657</v>
      </c>
      <c r="C8329" s="8" t="s">
        <v>36657</v>
      </c>
      <c r="G8329" s="8">
        <v>20</v>
      </c>
      <c r="H8329" s="8" t="s">
        <v>21</v>
      </c>
      <c r="I8329" s="8" t="s">
        <v>72</v>
      </c>
      <c r="J8329" s="8" t="s">
        <v>72</v>
      </c>
      <c r="K8329" s="8" t="s">
        <v>73</v>
      </c>
      <c r="L8329" s="8" t="s">
        <v>11551</v>
      </c>
      <c r="M8329" s="8" t="s">
        <v>11552</v>
      </c>
      <c r="N8329" s="8" t="s">
        <v>36658</v>
      </c>
      <c r="O8329" s="8">
        <f>8+0/60+49.7/3600</f>
        <v>8.013805555555555</v>
      </c>
      <c r="P8329" s="8" t="s">
        <v>36659</v>
      </c>
      <c r="Q8329" s="8">
        <f>+(25+54/60+10/3600)</f>
        <v>25.902777777777775</v>
      </c>
      <c r="R8329" s="8">
        <v>99</v>
      </c>
      <c r="S8329" s="8">
        <v>99</v>
      </c>
      <c r="T8329" s="8">
        <v>99</v>
      </c>
      <c r="U8329" s="8">
        <v>99</v>
      </c>
      <c r="Y8329" s="8" t="s">
        <v>36660</v>
      </c>
      <c r="Z8329" s="8" t="s">
        <v>36661</v>
      </c>
    </row>
    <row r="8330" spans="1:26" x14ac:dyDescent="0.2">
      <c r="A8330" s="8">
        <v>8329</v>
      </c>
      <c r="B8330" s="8" t="s">
        <v>36662</v>
      </c>
      <c r="C8330" s="8" t="s">
        <v>36662</v>
      </c>
      <c r="G8330" s="8">
        <v>20</v>
      </c>
      <c r="H8330" s="8" t="s">
        <v>21</v>
      </c>
      <c r="I8330" s="8" t="s">
        <v>72</v>
      </c>
      <c r="J8330" s="8" t="s">
        <v>72</v>
      </c>
      <c r="K8330" s="8" t="s">
        <v>20</v>
      </c>
      <c r="L8330" s="8" t="s">
        <v>11551</v>
      </c>
      <c r="M8330" s="8" t="s">
        <v>11552</v>
      </c>
      <c r="N8330" s="8" t="s">
        <v>36663</v>
      </c>
      <c r="O8330" s="8">
        <f>8+1/60+37.8/3600</f>
        <v>8.0271666666666679</v>
      </c>
      <c r="P8330" s="8" t="s">
        <v>36664</v>
      </c>
      <c r="Q8330" s="8">
        <f>+(25+59/60+48/3600)</f>
        <v>25.996666666666666</v>
      </c>
      <c r="R8330" s="8">
        <v>99</v>
      </c>
      <c r="S8330" s="8">
        <v>14.6</v>
      </c>
      <c r="T8330" s="8">
        <v>99</v>
      </c>
      <c r="U8330" s="8">
        <v>99</v>
      </c>
      <c r="Y8330" s="8" t="s">
        <v>29560</v>
      </c>
      <c r="Z8330" s="8" t="s">
        <v>29561</v>
      </c>
    </row>
    <row r="8331" spans="1:26" x14ac:dyDescent="0.2">
      <c r="A8331" s="8">
        <v>8330</v>
      </c>
      <c r="B8331" s="8" t="s">
        <v>36665</v>
      </c>
      <c r="C8331" s="8" t="s">
        <v>36665</v>
      </c>
      <c r="G8331" s="8">
        <v>20</v>
      </c>
      <c r="H8331" s="8" t="s">
        <v>21</v>
      </c>
      <c r="I8331" s="8" t="s">
        <v>22</v>
      </c>
      <c r="J8331" s="8" t="s">
        <v>22</v>
      </c>
      <c r="K8331" s="8" t="s">
        <v>449</v>
      </c>
      <c r="L8331" s="8" t="s">
        <v>11551</v>
      </c>
      <c r="M8331" s="8" t="s">
        <v>11552</v>
      </c>
      <c r="N8331" s="8" t="s">
        <v>36666</v>
      </c>
      <c r="O8331" s="8">
        <f>8+3/60+20.1/3600</f>
        <v>8.0555833333333347</v>
      </c>
      <c r="P8331" s="8" t="s">
        <v>36667</v>
      </c>
      <c r="Q8331" s="8">
        <f>+(25+48/60+40/3600)</f>
        <v>25.811111111111114</v>
      </c>
      <c r="R8331" s="8">
        <v>14.8</v>
      </c>
      <c r="S8331" s="8">
        <v>15.6</v>
      </c>
      <c r="T8331" s="8">
        <v>0.8</v>
      </c>
      <c r="U8331" s="8">
        <v>12.9</v>
      </c>
      <c r="V8331" s="8">
        <v>0.5</v>
      </c>
      <c r="W8331" s="8">
        <v>0.4</v>
      </c>
      <c r="X8331" s="8">
        <v>90</v>
      </c>
      <c r="Y8331" s="8" t="s">
        <v>21</v>
      </c>
      <c r="Z8331" s="8" t="s">
        <v>36668</v>
      </c>
    </row>
    <row r="8332" spans="1:26" x14ac:dyDescent="0.2">
      <c r="A8332" s="8">
        <v>8331</v>
      </c>
      <c r="B8332" s="8" t="s">
        <v>36669</v>
      </c>
      <c r="C8332" s="8" t="s">
        <v>36669</v>
      </c>
      <c r="G8332" s="8">
        <v>20</v>
      </c>
      <c r="H8332" s="8" t="s">
        <v>21</v>
      </c>
      <c r="I8332" s="8" t="s">
        <v>22</v>
      </c>
      <c r="J8332" s="8" t="s">
        <v>22</v>
      </c>
      <c r="K8332" s="8" t="s">
        <v>24713</v>
      </c>
      <c r="L8332" s="8" t="s">
        <v>11551</v>
      </c>
      <c r="M8332" s="8" t="s">
        <v>11552</v>
      </c>
      <c r="N8332" s="8" t="s">
        <v>36670</v>
      </c>
      <c r="O8332" s="8">
        <f>8+3/60+55/3600</f>
        <v>8.0652777777777782</v>
      </c>
      <c r="P8332" s="8" t="s">
        <v>36671</v>
      </c>
      <c r="Q8332" s="8">
        <f>+(26+31/60+10/3600)</f>
        <v>26.519444444444442</v>
      </c>
      <c r="R8332" s="8">
        <v>14.5</v>
      </c>
      <c r="S8332" s="8">
        <v>15.3</v>
      </c>
      <c r="T8332" s="8">
        <v>0.8</v>
      </c>
      <c r="U8332" s="8">
        <v>11.9</v>
      </c>
      <c r="V8332" s="8">
        <v>0.5</v>
      </c>
      <c r="W8332" s="8">
        <v>0.2</v>
      </c>
      <c r="X8332" s="8">
        <v>100</v>
      </c>
      <c r="Y8332" s="8" t="s">
        <v>27240</v>
      </c>
      <c r="Z8332" s="8" t="s">
        <v>27241</v>
      </c>
    </row>
    <row r="8333" spans="1:26" x14ac:dyDescent="0.2">
      <c r="A8333" s="8">
        <v>8332</v>
      </c>
      <c r="B8333" s="8" t="s">
        <v>36672</v>
      </c>
      <c r="C8333" s="8" t="s">
        <v>36672</v>
      </c>
      <c r="G8333" s="8">
        <v>20</v>
      </c>
      <c r="H8333" s="8" t="s">
        <v>21</v>
      </c>
      <c r="I8333" s="8" t="s">
        <v>22</v>
      </c>
      <c r="J8333" s="8" t="s">
        <v>22</v>
      </c>
      <c r="K8333" s="8" t="s">
        <v>85</v>
      </c>
      <c r="L8333" s="8" t="s">
        <v>11551</v>
      </c>
      <c r="M8333" s="8" t="s">
        <v>11552</v>
      </c>
      <c r="N8333" s="8" t="s">
        <v>36673</v>
      </c>
      <c r="O8333" s="8">
        <f>8+5/60+38.4/3600</f>
        <v>8.0940000000000012</v>
      </c>
      <c r="P8333" s="8" t="s">
        <v>36674</v>
      </c>
      <c r="Q8333" s="8">
        <f>+(26+10/60+3/3600)</f>
        <v>26.1675</v>
      </c>
      <c r="R8333" s="8">
        <v>13.5</v>
      </c>
      <c r="S8333" s="8">
        <v>14.3</v>
      </c>
      <c r="T8333" s="8">
        <v>0.8</v>
      </c>
      <c r="U8333" s="8">
        <v>13.3</v>
      </c>
      <c r="V8333" s="8">
        <v>1.1000000000000001</v>
      </c>
      <c r="W8333" s="8">
        <v>1</v>
      </c>
      <c r="X8333" s="8">
        <v>138</v>
      </c>
      <c r="Y8333" s="8" t="s">
        <v>36675</v>
      </c>
      <c r="Z8333" s="8" t="s">
        <v>36676</v>
      </c>
    </row>
    <row r="8334" spans="1:26" x14ac:dyDescent="0.2">
      <c r="A8334" s="8">
        <v>8333</v>
      </c>
      <c r="B8334" s="8" t="s">
        <v>36677</v>
      </c>
      <c r="C8334" s="8" t="s">
        <v>36677</v>
      </c>
      <c r="G8334" s="8">
        <v>20</v>
      </c>
      <c r="H8334" s="8" t="s">
        <v>21</v>
      </c>
      <c r="I8334" s="8" t="s">
        <v>22</v>
      </c>
      <c r="J8334" s="8" t="s">
        <v>22</v>
      </c>
      <c r="K8334" s="8" t="s">
        <v>476</v>
      </c>
      <c r="L8334" s="8" t="s">
        <v>11551</v>
      </c>
      <c r="M8334" s="8" t="s">
        <v>11552</v>
      </c>
      <c r="N8334" s="8" t="s">
        <v>36678</v>
      </c>
      <c r="O8334" s="8">
        <f>8+7/60+27.6/3600</f>
        <v>8.1243333333333343</v>
      </c>
      <c r="P8334" s="8" t="s">
        <v>36679</v>
      </c>
      <c r="Q8334" s="8">
        <f>+(25+8/60+1/3600)</f>
        <v>25.133611111111112</v>
      </c>
      <c r="R8334" s="8">
        <v>14.1</v>
      </c>
      <c r="S8334" s="8">
        <v>15</v>
      </c>
      <c r="T8334" s="8">
        <v>0.9</v>
      </c>
      <c r="U8334" s="8">
        <v>12.6</v>
      </c>
      <c r="V8334" s="8">
        <v>0.6</v>
      </c>
      <c r="W8334" s="8">
        <v>0.5</v>
      </c>
      <c r="X8334" s="8">
        <v>24</v>
      </c>
      <c r="Y8334" s="8" t="s">
        <v>36680</v>
      </c>
      <c r="Z8334" s="8" t="s">
        <v>36681</v>
      </c>
    </row>
    <row r="8335" spans="1:26" x14ac:dyDescent="0.2">
      <c r="A8335" s="8">
        <v>8334</v>
      </c>
      <c r="B8335" s="8" t="s">
        <v>36682</v>
      </c>
      <c r="C8335" s="8" t="s">
        <v>36682</v>
      </c>
      <c r="G8335" s="8">
        <v>20</v>
      </c>
      <c r="H8335" s="8" t="s">
        <v>21</v>
      </c>
      <c r="I8335" s="8" t="s">
        <v>22</v>
      </c>
      <c r="J8335" s="8" t="s">
        <v>22</v>
      </c>
      <c r="K8335" s="8" t="s">
        <v>37</v>
      </c>
      <c r="L8335" s="8" t="s">
        <v>10848</v>
      </c>
      <c r="M8335" s="8" t="s">
        <v>10849</v>
      </c>
      <c r="N8335" s="8" t="s">
        <v>36683</v>
      </c>
      <c r="O8335" s="8">
        <f>8+6/60+24.3/3600</f>
        <v>8.1067499999999999</v>
      </c>
      <c r="P8335" s="8" t="s">
        <v>36684</v>
      </c>
      <c r="Q8335" s="8">
        <f>+(1+2/60+12/3600)</f>
        <v>1.0366666666666668</v>
      </c>
      <c r="R8335" s="8">
        <v>13.1</v>
      </c>
      <c r="S8335" s="8">
        <v>14.1</v>
      </c>
      <c r="T8335" s="8">
        <v>1</v>
      </c>
      <c r="U8335" s="8">
        <v>12.7</v>
      </c>
      <c r="V8335" s="8">
        <v>1.3</v>
      </c>
      <c r="W8335" s="8">
        <v>0.6</v>
      </c>
      <c r="X8335" s="8">
        <v>50</v>
      </c>
      <c r="Y8335" s="8" t="s">
        <v>36685</v>
      </c>
      <c r="Z8335" s="8" t="s">
        <v>36686</v>
      </c>
    </row>
    <row r="8336" spans="1:26" x14ac:dyDescent="0.2">
      <c r="A8336" s="8">
        <v>8335</v>
      </c>
      <c r="B8336" s="8" t="s">
        <v>36687</v>
      </c>
      <c r="C8336" s="8" t="s">
        <v>36687</v>
      </c>
      <c r="G8336" s="8">
        <v>20</v>
      </c>
      <c r="H8336" s="8" t="s">
        <v>21</v>
      </c>
      <c r="I8336" s="8" t="s">
        <v>22</v>
      </c>
      <c r="J8336" s="8" t="s">
        <v>22</v>
      </c>
      <c r="K8336" s="8" t="s">
        <v>460</v>
      </c>
      <c r="L8336" s="8" t="s">
        <v>11551</v>
      </c>
      <c r="M8336" s="8" t="s">
        <v>11552</v>
      </c>
      <c r="N8336" s="8" t="s">
        <v>36688</v>
      </c>
      <c r="O8336" s="8">
        <f>8+8/60+19.4/3600</f>
        <v>8.1387222222222224</v>
      </c>
      <c r="P8336" s="8" t="s">
        <v>36689</v>
      </c>
      <c r="Q8336" s="8">
        <f>+(9+0/60+52/3600)</f>
        <v>9.0144444444444449</v>
      </c>
      <c r="R8336" s="8">
        <v>14.1</v>
      </c>
      <c r="S8336" s="8">
        <v>15.1</v>
      </c>
      <c r="T8336" s="8">
        <v>1</v>
      </c>
      <c r="U8336" s="8">
        <v>12.2</v>
      </c>
      <c r="V8336" s="8">
        <v>0.4</v>
      </c>
      <c r="W8336" s="8">
        <v>0.4</v>
      </c>
      <c r="Y8336" s="8" t="s">
        <v>23575</v>
      </c>
      <c r="Z8336" s="8" t="s">
        <v>23576</v>
      </c>
    </row>
    <row r="8337" spans="1:26" x14ac:dyDescent="0.2">
      <c r="A8337" s="8">
        <v>8336</v>
      </c>
      <c r="B8337" s="8" t="s">
        <v>36690</v>
      </c>
      <c r="C8337" s="8" t="s">
        <v>36690</v>
      </c>
      <c r="G8337" s="8">
        <v>20</v>
      </c>
      <c r="H8337" s="8" t="s">
        <v>21</v>
      </c>
      <c r="I8337" s="8" t="s">
        <v>22</v>
      </c>
      <c r="J8337" s="8" t="s">
        <v>22</v>
      </c>
      <c r="K8337" s="8" t="s">
        <v>396</v>
      </c>
      <c r="L8337" s="8" t="s">
        <v>11551</v>
      </c>
      <c r="M8337" s="8" t="s">
        <v>11552</v>
      </c>
      <c r="N8337" s="8" t="s">
        <v>36691</v>
      </c>
      <c r="O8337" s="8">
        <f>8+9/60+43.9/3600</f>
        <v>8.1621944444444452</v>
      </c>
      <c r="P8337" s="8" t="s">
        <v>36692</v>
      </c>
      <c r="Q8337" s="8">
        <f>+(25+52/60+52/3600)</f>
        <v>25.88111111111111</v>
      </c>
      <c r="R8337" s="8">
        <v>15.2</v>
      </c>
      <c r="S8337" s="8">
        <v>16</v>
      </c>
      <c r="T8337" s="8">
        <v>0.8</v>
      </c>
      <c r="U8337" s="8">
        <v>14.1</v>
      </c>
      <c r="V8337" s="8">
        <v>0.8</v>
      </c>
      <c r="W8337" s="8">
        <v>0.5</v>
      </c>
      <c r="X8337" s="8">
        <v>108</v>
      </c>
      <c r="Y8337" s="8" t="s">
        <v>36693</v>
      </c>
      <c r="Z8337" s="8" t="s">
        <v>36694</v>
      </c>
    </row>
    <row r="8338" spans="1:26" x14ac:dyDescent="0.2">
      <c r="A8338" s="8">
        <v>8337</v>
      </c>
      <c r="B8338" s="8" t="s">
        <v>36695</v>
      </c>
      <c r="C8338" s="8" t="s">
        <v>36695</v>
      </c>
      <c r="G8338" s="8">
        <v>20</v>
      </c>
      <c r="H8338" s="8" t="s">
        <v>21</v>
      </c>
      <c r="I8338" s="8" t="s">
        <v>22</v>
      </c>
      <c r="J8338" s="8" t="s">
        <v>22</v>
      </c>
      <c r="K8338" s="8" t="s">
        <v>449</v>
      </c>
      <c r="L8338" s="8" t="s">
        <v>11551</v>
      </c>
      <c r="M8338" s="8" t="s">
        <v>11552</v>
      </c>
      <c r="N8338" s="8" t="s">
        <v>36696</v>
      </c>
      <c r="O8338" s="8">
        <f>8+10/60+6.1/3600</f>
        <v>8.1683611111111105</v>
      </c>
      <c r="P8338" s="8" t="s">
        <v>36697</v>
      </c>
      <c r="Q8338" s="8">
        <f>+(24+55/60+20/3600)</f>
        <v>24.922222222222224</v>
      </c>
      <c r="R8338" s="8">
        <v>14.4</v>
      </c>
      <c r="S8338" s="8">
        <v>15.2</v>
      </c>
      <c r="T8338" s="8">
        <v>0.8</v>
      </c>
      <c r="U8338" s="8">
        <v>12.7</v>
      </c>
      <c r="V8338" s="8">
        <v>0.8</v>
      </c>
      <c r="W8338" s="8">
        <v>0.3</v>
      </c>
      <c r="X8338" s="8">
        <v>0</v>
      </c>
      <c r="Y8338" s="8" t="s">
        <v>972</v>
      </c>
      <c r="Z8338" s="8" t="s">
        <v>973</v>
      </c>
    </row>
    <row r="8339" spans="1:26" x14ac:dyDescent="0.2">
      <c r="A8339" s="8">
        <v>8338</v>
      </c>
      <c r="B8339" s="8" t="s">
        <v>36698</v>
      </c>
      <c r="C8339" s="8" t="s">
        <v>36698</v>
      </c>
      <c r="G8339" s="8">
        <v>20</v>
      </c>
      <c r="H8339" s="8" t="s">
        <v>21</v>
      </c>
      <c r="I8339" s="8" t="s">
        <v>22</v>
      </c>
      <c r="J8339" s="8" t="s">
        <v>22</v>
      </c>
      <c r="K8339" s="8" t="s">
        <v>449</v>
      </c>
      <c r="L8339" s="8" t="s">
        <v>10848</v>
      </c>
      <c r="M8339" s="8" t="s">
        <v>10849</v>
      </c>
      <c r="N8339" s="8" t="s">
        <v>36699</v>
      </c>
      <c r="O8339" s="8">
        <f>8+9/60+30.3/3600</f>
        <v>8.1584166666666675</v>
      </c>
      <c r="P8339" s="8" t="s">
        <v>36700</v>
      </c>
      <c r="Q8339" s="8">
        <f>+(5+16/60+50/3600)</f>
        <v>5.2805555555555559</v>
      </c>
      <c r="R8339" s="8">
        <v>13.8</v>
      </c>
      <c r="S8339" s="8">
        <v>14.6</v>
      </c>
      <c r="T8339" s="8">
        <v>0.8</v>
      </c>
      <c r="U8339" s="8">
        <v>13.3</v>
      </c>
      <c r="V8339" s="8">
        <v>0.9</v>
      </c>
      <c r="W8339" s="8">
        <v>0.8</v>
      </c>
      <c r="X8339" s="8">
        <v>54</v>
      </c>
      <c r="Y8339" s="8" t="s">
        <v>1374</v>
      </c>
      <c r="Z8339" s="8" t="s">
        <v>1375</v>
      </c>
    </row>
    <row r="8340" spans="1:26" x14ac:dyDescent="0.2">
      <c r="A8340" s="8">
        <v>8339</v>
      </c>
      <c r="B8340" s="8" t="s">
        <v>36701</v>
      </c>
      <c r="C8340" s="8" t="s">
        <v>36701</v>
      </c>
      <c r="G8340" s="8">
        <v>20</v>
      </c>
      <c r="H8340" s="8" t="s">
        <v>21</v>
      </c>
      <c r="I8340" s="8" t="s">
        <v>22</v>
      </c>
      <c r="J8340" s="8" t="s">
        <v>22</v>
      </c>
      <c r="K8340" s="8" t="s">
        <v>91</v>
      </c>
      <c r="L8340" s="8" t="s">
        <v>6823</v>
      </c>
      <c r="M8340" s="8" t="s">
        <v>6824</v>
      </c>
      <c r="N8340" s="8" t="s">
        <v>36702</v>
      </c>
      <c r="O8340" s="8">
        <f>8+45/60+17.3/3600</f>
        <v>8.7548055555555564</v>
      </c>
      <c r="P8340" s="8" t="s">
        <v>36703</v>
      </c>
      <c r="Q8340" s="8">
        <f>+(85+44/60+26/3600)</f>
        <v>85.740555555555559</v>
      </c>
      <c r="R8340" s="8">
        <v>12.5</v>
      </c>
      <c r="S8340" s="8">
        <v>13.4</v>
      </c>
      <c r="T8340" s="8">
        <v>0.9</v>
      </c>
      <c r="U8340" s="8">
        <v>13.2</v>
      </c>
      <c r="V8340" s="8">
        <v>2.1</v>
      </c>
      <c r="W8340" s="8">
        <v>1.1000000000000001</v>
      </c>
      <c r="X8340" s="8">
        <v>80</v>
      </c>
      <c r="Y8340" s="8" t="s">
        <v>36704</v>
      </c>
      <c r="Z8340" s="8" t="s">
        <v>36705</v>
      </c>
    </row>
    <row r="8341" spans="1:26" x14ac:dyDescent="0.2">
      <c r="A8341" s="8">
        <v>8340</v>
      </c>
      <c r="B8341" s="8" t="s">
        <v>36706</v>
      </c>
      <c r="C8341" s="8" t="s">
        <v>36706</v>
      </c>
      <c r="G8341" s="8">
        <v>20</v>
      </c>
      <c r="H8341" s="8" t="s">
        <v>21</v>
      </c>
      <c r="I8341" s="8" t="s">
        <v>22</v>
      </c>
      <c r="J8341" s="8" t="s">
        <v>22</v>
      </c>
      <c r="K8341" s="8" t="s">
        <v>818</v>
      </c>
      <c r="L8341" s="8" t="s">
        <v>10175</v>
      </c>
      <c r="M8341" s="8" t="s">
        <v>10176</v>
      </c>
      <c r="N8341" s="8" t="s">
        <v>36707</v>
      </c>
      <c r="O8341" s="8">
        <f>8+12/60+39.5/3600</f>
        <v>8.210972222222221</v>
      </c>
      <c r="P8341" s="8" t="s">
        <v>36708</v>
      </c>
      <c r="Q8341" s="8">
        <f>-(16+3/60+4/3600)</f>
        <v>-16.051111111111112</v>
      </c>
      <c r="R8341" s="8">
        <v>12.5</v>
      </c>
      <c r="S8341" s="8">
        <v>13.5</v>
      </c>
      <c r="T8341" s="8">
        <v>1</v>
      </c>
      <c r="U8341" s="8">
        <v>12.1</v>
      </c>
      <c r="V8341" s="8">
        <v>1.3</v>
      </c>
      <c r="W8341" s="8">
        <v>0.5</v>
      </c>
      <c r="X8341" s="8">
        <v>45</v>
      </c>
      <c r="Y8341" s="8" t="s">
        <v>36709</v>
      </c>
      <c r="Z8341" s="8" t="s">
        <v>36710</v>
      </c>
    </row>
    <row r="8342" spans="1:26" x14ac:dyDescent="0.2">
      <c r="A8342" s="8">
        <v>8341</v>
      </c>
      <c r="B8342" s="8" t="s">
        <v>36711</v>
      </c>
      <c r="C8342" s="8" t="s">
        <v>36711</v>
      </c>
      <c r="E8342" s="8">
        <v>2</v>
      </c>
      <c r="G8342" s="8">
        <v>20</v>
      </c>
      <c r="H8342" s="8" t="s">
        <v>21</v>
      </c>
      <c r="I8342" s="8" t="s">
        <v>22</v>
      </c>
      <c r="J8342" s="8" t="s">
        <v>22</v>
      </c>
      <c r="K8342" s="8" t="s">
        <v>460</v>
      </c>
      <c r="L8342" s="8" t="s">
        <v>11551</v>
      </c>
      <c r="M8342" s="8" t="s">
        <v>11552</v>
      </c>
      <c r="N8342" s="8" t="s">
        <v>36712</v>
      </c>
      <c r="O8342" s="8">
        <f>8+18/60+47.7/3600</f>
        <v>8.31325</v>
      </c>
      <c r="P8342" s="8" t="s">
        <v>36713</v>
      </c>
      <c r="Q8342" s="8">
        <f>+(24+32/60+14/3600)</f>
        <v>24.537222222222223</v>
      </c>
      <c r="R8342" s="8">
        <v>14.5</v>
      </c>
      <c r="S8342" s="8">
        <v>15.5</v>
      </c>
      <c r="T8342" s="8">
        <v>1</v>
      </c>
      <c r="U8342" s="8">
        <v>11.1</v>
      </c>
      <c r="V8342" s="8">
        <v>0.2</v>
      </c>
      <c r="W8342" s="8">
        <v>0.2</v>
      </c>
      <c r="Y8342" s="8" t="s">
        <v>6750</v>
      </c>
      <c r="Z8342" s="8" t="s">
        <v>6751</v>
      </c>
    </row>
    <row r="8343" spans="1:26" x14ac:dyDescent="0.2">
      <c r="A8343" s="8">
        <v>8342</v>
      </c>
      <c r="B8343" s="8" t="s">
        <v>36714</v>
      </c>
      <c r="C8343" s="8" t="s">
        <v>36714</v>
      </c>
      <c r="G8343" s="8">
        <v>20</v>
      </c>
      <c r="H8343" s="8" t="s">
        <v>21</v>
      </c>
      <c r="I8343" s="8" t="s">
        <v>22</v>
      </c>
      <c r="J8343" s="8" t="s">
        <v>22</v>
      </c>
      <c r="K8343" s="8" t="s">
        <v>818</v>
      </c>
      <c r="L8343" s="8" t="s">
        <v>11551</v>
      </c>
      <c r="M8343" s="8" t="s">
        <v>11552</v>
      </c>
      <c r="N8343" s="8" t="s">
        <v>36715</v>
      </c>
      <c r="O8343" s="8">
        <f>8+22/60+3.6/3600</f>
        <v>8.3676666666666666</v>
      </c>
      <c r="P8343" s="8" t="s">
        <v>36716</v>
      </c>
      <c r="Q8343" s="8">
        <f>+(8+45/60+11/3600)</f>
        <v>8.7530555555555551</v>
      </c>
      <c r="R8343" s="8">
        <v>14.7</v>
      </c>
      <c r="S8343" s="8">
        <v>15.7</v>
      </c>
      <c r="T8343" s="8">
        <v>1</v>
      </c>
      <c r="U8343" s="8">
        <v>12.8</v>
      </c>
      <c r="V8343" s="8">
        <v>0.4</v>
      </c>
      <c r="W8343" s="8">
        <v>0.4</v>
      </c>
      <c r="Y8343" s="8" t="s">
        <v>36717</v>
      </c>
      <c r="Z8343" s="8" t="s">
        <v>36718</v>
      </c>
    </row>
    <row r="8344" spans="1:26" x14ac:dyDescent="0.2">
      <c r="A8344" s="8">
        <v>8343</v>
      </c>
      <c r="B8344" s="8" t="s">
        <v>36719</v>
      </c>
      <c r="C8344" s="8" t="s">
        <v>36719</v>
      </c>
      <c r="G8344" s="8">
        <v>20</v>
      </c>
      <c r="H8344" s="8" t="s">
        <v>21</v>
      </c>
      <c r="I8344" s="8" t="s">
        <v>22</v>
      </c>
      <c r="J8344" s="8" t="s">
        <v>22</v>
      </c>
      <c r="K8344" s="8" t="s">
        <v>154</v>
      </c>
      <c r="L8344" s="8" t="s">
        <v>11765</v>
      </c>
      <c r="M8344" s="8" t="s">
        <v>11766</v>
      </c>
      <c r="N8344" s="8" t="s">
        <v>36720</v>
      </c>
      <c r="O8344" s="8">
        <f>8+22/60+10.6/3600</f>
        <v>8.3696111111111122</v>
      </c>
      <c r="P8344" s="8" t="s">
        <v>36721</v>
      </c>
      <c r="Q8344" s="8">
        <f>+(3+16/60+7/3600)</f>
        <v>3.2686111111111109</v>
      </c>
      <c r="R8344" s="8">
        <v>13</v>
      </c>
      <c r="S8344" s="8">
        <v>13.9</v>
      </c>
      <c r="T8344" s="8">
        <v>0.9</v>
      </c>
      <c r="U8344" s="8">
        <v>13</v>
      </c>
      <c r="V8344" s="8">
        <v>1.1000000000000001</v>
      </c>
      <c r="W8344" s="8">
        <v>1</v>
      </c>
      <c r="X8344" s="8">
        <v>114</v>
      </c>
      <c r="Y8344" s="8" t="s">
        <v>679</v>
      </c>
      <c r="Z8344" s="8" t="s">
        <v>680</v>
      </c>
    </row>
    <row r="8345" spans="1:26" x14ac:dyDescent="0.2">
      <c r="A8345" s="8">
        <v>8344</v>
      </c>
      <c r="B8345" s="8" t="s">
        <v>36722</v>
      </c>
      <c r="C8345" s="8" t="s">
        <v>36722</v>
      </c>
      <c r="G8345" s="8">
        <v>20</v>
      </c>
      <c r="H8345" s="8" t="s">
        <v>21</v>
      </c>
      <c r="I8345" s="8" t="s">
        <v>22</v>
      </c>
      <c r="J8345" s="8" t="s">
        <v>22</v>
      </c>
      <c r="K8345" s="8" t="s">
        <v>37</v>
      </c>
      <c r="L8345" s="8" t="s">
        <v>11765</v>
      </c>
      <c r="M8345" s="8" t="s">
        <v>11766</v>
      </c>
      <c r="N8345" s="8" t="s">
        <v>36723</v>
      </c>
      <c r="O8345" s="8">
        <f>8+22/60+41.2/3600</f>
        <v>8.378111111111112</v>
      </c>
      <c r="P8345" s="8" t="s">
        <v>36724</v>
      </c>
      <c r="Q8345" s="8">
        <f>+(4+15/60+43/3600)</f>
        <v>4.2619444444444445</v>
      </c>
      <c r="R8345" s="8">
        <v>13</v>
      </c>
      <c r="S8345" s="8">
        <v>14</v>
      </c>
      <c r="T8345" s="8">
        <v>1</v>
      </c>
      <c r="U8345" s="8">
        <v>12.7</v>
      </c>
      <c r="V8345" s="8">
        <v>1.2</v>
      </c>
      <c r="W8345" s="8">
        <v>0.8</v>
      </c>
      <c r="X8345" s="8">
        <v>140</v>
      </c>
      <c r="Y8345" s="8" t="s">
        <v>36725</v>
      </c>
      <c r="Z8345" s="8" t="s">
        <v>36726</v>
      </c>
    </row>
    <row r="8346" spans="1:26" x14ac:dyDescent="0.2">
      <c r="A8346" s="8">
        <v>8345</v>
      </c>
      <c r="B8346" s="8" t="s">
        <v>36727</v>
      </c>
      <c r="C8346" s="8" t="s">
        <v>36727</v>
      </c>
      <c r="G8346" s="8">
        <v>20</v>
      </c>
      <c r="H8346" s="8" t="s">
        <v>21</v>
      </c>
      <c r="I8346" s="8" t="s">
        <v>22</v>
      </c>
      <c r="J8346" s="8" t="s">
        <v>22</v>
      </c>
      <c r="K8346" s="8" t="s">
        <v>449</v>
      </c>
      <c r="L8346" s="8" t="s">
        <v>11765</v>
      </c>
      <c r="M8346" s="8" t="s">
        <v>11766</v>
      </c>
      <c r="N8346" s="8" t="s">
        <v>36728</v>
      </c>
      <c r="O8346" s="8">
        <f>8+23/60+21.6/3600</f>
        <v>8.3893333333333331</v>
      </c>
      <c r="P8346" s="8" t="s">
        <v>36729</v>
      </c>
      <c r="Q8346" s="8">
        <f>+(4+22/60+23/3600)</f>
        <v>4.3730555555555553</v>
      </c>
      <c r="R8346" s="8">
        <v>14</v>
      </c>
      <c r="S8346" s="8">
        <v>14.9</v>
      </c>
      <c r="T8346" s="8">
        <v>0.9</v>
      </c>
      <c r="U8346" s="8">
        <v>13.9</v>
      </c>
      <c r="V8346" s="8">
        <v>1.2</v>
      </c>
      <c r="W8346" s="8">
        <v>0.9</v>
      </c>
      <c r="X8346" s="8">
        <v>143</v>
      </c>
      <c r="Y8346" s="8" t="s">
        <v>3982</v>
      </c>
      <c r="Z8346" s="8" t="s">
        <v>3983</v>
      </c>
    </row>
    <row r="8347" spans="1:26" x14ac:dyDescent="0.2">
      <c r="A8347" s="8">
        <v>8346</v>
      </c>
      <c r="B8347" s="8" t="s">
        <v>36730</v>
      </c>
      <c r="C8347" s="8" t="s">
        <v>36730</v>
      </c>
      <c r="G8347" s="8">
        <v>20</v>
      </c>
      <c r="H8347" s="8" t="s">
        <v>21</v>
      </c>
      <c r="I8347" s="8" t="s">
        <v>22</v>
      </c>
      <c r="J8347" s="8" t="s">
        <v>22</v>
      </c>
      <c r="K8347" s="8" t="s">
        <v>818</v>
      </c>
      <c r="L8347" s="8" t="s">
        <v>11765</v>
      </c>
      <c r="M8347" s="8" t="s">
        <v>11766</v>
      </c>
      <c r="N8347" s="8" t="s">
        <v>36731</v>
      </c>
      <c r="O8347" s="8">
        <f>8+23/60+30.7/3600</f>
        <v>8.3918611111111101</v>
      </c>
      <c r="P8347" s="8" t="s">
        <v>36732</v>
      </c>
      <c r="Q8347" s="8">
        <f>+(4+18/60+1/3600)</f>
        <v>4.3002777777777776</v>
      </c>
      <c r="R8347" s="8">
        <v>13.7</v>
      </c>
      <c r="S8347" s="8">
        <v>14.7</v>
      </c>
      <c r="T8347" s="8">
        <v>1</v>
      </c>
      <c r="U8347" s="8">
        <v>12.7</v>
      </c>
      <c r="V8347" s="8">
        <v>0.6</v>
      </c>
      <c r="W8347" s="8">
        <v>0.6</v>
      </c>
      <c r="Y8347" s="8" t="s">
        <v>28344</v>
      </c>
      <c r="Z8347" s="8" t="s">
        <v>28345</v>
      </c>
    </row>
    <row r="8348" spans="1:26" x14ac:dyDescent="0.2">
      <c r="A8348" s="8">
        <v>8347</v>
      </c>
      <c r="B8348" s="8" t="s">
        <v>36733</v>
      </c>
      <c r="C8348" s="8" t="s">
        <v>36733</v>
      </c>
      <c r="G8348" s="8">
        <v>20</v>
      </c>
      <c r="H8348" s="8" t="s">
        <v>21</v>
      </c>
      <c r="I8348" s="8" t="s">
        <v>22</v>
      </c>
      <c r="J8348" s="8" t="s">
        <v>57</v>
      </c>
      <c r="K8348" s="8" t="s">
        <v>396</v>
      </c>
      <c r="L8348" s="8" t="s">
        <v>11765</v>
      </c>
      <c r="M8348" s="8" t="s">
        <v>11766</v>
      </c>
      <c r="N8348" s="8" t="s">
        <v>11975</v>
      </c>
      <c r="O8348" s="8">
        <f>8+25/60+2/3600</f>
        <v>8.4172222222222217</v>
      </c>
      <c r="P8348" s="8" t="s">
        <v>11976</v>
      </c>
      <c r="Q8348" s="8">
        <f>-(0+35/60+28/3600)</f>
        <v>-0.59111111111111114</v>
      </c>
      <c r="R8348" s="8">
        <v>13.1</v>
      </c>
      <c r="S8348" s="8">
        <v>13.9</v>
      </c>
      <c r="T8348" s="8">
        <v>0.8</v>
      </c>
      <c r="U8348" s="8">
        <v>13.4</v>
      </c>
      <c r="V8348" s="8">
        <v>2.2000000000000002</v>
      </c>
      <c r="W8348" s="8">
        <v>0.7</v>
      </c>
      <c r="X8348" s="8">
        <v>77</v>
      </c>
      <c r="Y8348" s="8" t="s">
        <v>36734</v>
      </c>
      <c r="Z8348" s="8" t="s">
        <v>36735</v>
      </c>
    </row>
    <row r="8349" spans="1:26" x14ac:dyDescent="0.2">
      <c r="A8349" s="8">
        <v>8348</v>
      </c>
      <c r="B8349" s="8" t="s">
        <v>36736</v>
      </c>
      <c r="C8349" s="8" t="s">
        <v>36736</v>
      </c>
      <c r="G8349" s="8">
        <v>20</v>
      </c>
      <c r="H8349" s="8" t="s">
        <v>21</v>
      </c>
      <c r="I8349" s="8" t="s">
        <v>22</v>
      </c>
      <c r="J8349" s="8" t="s">
        <v>22</v>
      </c>
      <c r="K8349" s="8" t="s">
        <v>476</v>
      </c>
      <c r="L8349" s="8" t="s">
        <v>11551</v>
      </c>
      <c r="M8349" s="8" t="s">
        <v>11552</v>
      </c>
      <c r="N8349" s="8" t="s">
        <v>36737</v>
      </c>
      <c r="O8349" s="8">
        <f>8+28/60+22.3/3600</f>
        <v>8.4728611111111114</v>
      </c>
      <c r="P8349" s="8" t="s">
        <v>36738</v>
      </c>
      <c r="Q8349" s="8">
        <f>+(25+7/60+28/3600)</f>
        <v>25.124444444444446</v>
      </c>
      <c r="R8349" s="8">
        <v>14</v>
      </c>
      <c r="S8349" s="8">
        <v>14.9</v>
      </c>
      <c r="T8349" s="8">
        <v>0.9</v>
      </c>
      <c r="U8349" s="8">
        <v>12.9</v>
      </c>
      <c r="V8349" s="8">
        <v>0.7</v>
      </c>
      <c r="W8349" s="8">
        <v>0.6</v>
      </c>
      <c r="X8349" s="8">
        <v>75</v>
      </c>
      <c r="Y8349" s="8" t="s">
        <v>20315</v>
      </c>
      <c r="Z8349" s="8" t="s">
        <v>20316</v>
      </c>
    </row>
    <row r="8350" spans="1:26" x14ac:dyDescent="0.2">
      <c r="A8350" s="8">
        <v>8349</v>
      </c>
      <c r="B8350" s="8" t="s">
        <v>36739</v>
      </c>
      <c r="C8350" s="8" t="s">
        <v>36739</v>
      </c>
      <c r="G8350" s="8">
        <v>20</v>
      </c>
      <c r="H8350" s="8" t="s">
        <v>21</v>
      </c>
      <c r="I8350" s="8" t="s">
        <v>22</v>
      </c>
      <c r="J8350" s="8" t="s">
        <v>22</v>
      </c>
      <c r="K8350" s="8" t="s">
        <v>160</v>
      </c>
      <c r="L8350" s="8" t="s">
        <v>11551</v>
      </c>
      <c r="M8350" s="8" t="s">
        <v>11552</v>
      </c>
      <c r="N8350" s="8" t="s">
        <v>36740</v>
      </c>
      <c r="O8350" s="8">
        <f>8+32/60+3.5/3600</f>
        <v>8.5343055555555551</v>
      </c>
      <c r="P8350" s="8" t="s">
        <v>36741</v>
      </c>
      <c r="Q8350" s="8">
        <f>+(24+0/60+37/3600)</f>
        <v>24.010277777777777</v>
      </c>
      <c r="R8350" s="8">
        <v>13</v>
      </c>
      <c r="S8350" s="8">
        <v>13.6</v>
      </c>
      <c r="T8350" s="8">
        <v>0.6</v>
      </c>
      <c r="U8350" s="8">
        <v>14</v>
      </c>
      <c r="V8350" s="8">
        <v>1.2</v>
      </c>
      <c r="W8350" s="8">
        <v>1.1000000000000001</v>
      </c>
      <c r="X8350" s="8">
        <v>0</v>
      </c>
      <c r="Y8350" s="8" t="s">
        <v>36742</v>
      </c>
      <c r="Z8350" s="8" t="s">
        <v>36743</v>
      </c>
    </row>
    <row r="8351" spans="1:26" x14ac:dyDescent="0.2">
      <c r="A8351" s="8">
        <v>8350</v>
      </c>
      <c r="B8351" s="8" t="s">
        <v>36744</v>
      </c>
      <c r="C8351" s="8" t="s">
        <v>36744</v>
      </c>
      <c r="G8351" s="8">
        <v>20</v>
      </c>
      <c r="H8351" s="8" t="s">
        <v>21</v>
      </c>
      <c r="I8351" s="8" t="s">
        <v>22</v>
      </c>
      <c r="J8351" s="8" t="s">
        <v>22</v>
      </c>
      <c r="K8351" s="8" t="s">
        <v>85</v>
      </c>
      <c r="L8351" s="8" t="s">
        <v>11765</v>
      </c>
      <c r="M8351" s="8" t="s">
        <v>11766</v>
      </c>
      <c r="N8351" s="8" t="s">
        <v>36745</v>
      </c>
      <c r="O8351" s="8">
        <f>8+32/60+10.9/3600</f>
        <v>8.5363611111111108</v>
      </c>
      <c r="P8351" s="8" t="s">
        <v>36746</v>
      </c>
      <c r="Q8351" s="8">
        <f>-(2+9/60+44/3600)</f>
        <v>-2.1622222222222223</v>
      </c>
      <c r="R8351" s="8">
        <v>13.9</v>
      </c>
      <c r="S8351" s="8">
        <v>14.7</v>
      </c>
      <c r="T8351" s="8">
        <v>0.8</v>
      </c>
      <c r="U8351" s="8">
        <v>13.6</v>
      </c>
      <c r="V8351" s="8">
        <v>1.1000000000000001</v>
      </c>
      <c r="W8351" s="8">
        <v>0.8</v>
      </c>
      <c r="X8351" s="8">
        <v>150</v>
      </c>
      <c r="Y8351" s="8" t="s">
        <v>5775</v>
      </c>
      <c r="Z8351" s="8" t="s">
        <v>34785</v>
      </c>
    </row>
    <row r="8352" spans="1:26" x14ac:dyDescent="0.2">
      <c r="A8352" s="8">
        <v>8351</v>
      </c>
      <c r="B8352" s="8" t="s">
        <v>36747</v>
      </c>
      <c r="C8352" s="8" t="s">
        <v>36747</v>
      </c>
      <c r="G8352" s="8">
        <v>20</v>
      </c>
      <c r="H8352" s="8" t="s">
        <v>21</v>
      </c>
      <c r="I8352" s="8" t="s">
        <v>22</v>
      </c>
      <c r="J8352" s="8" t="s">
        <v>57</v>
      </c>
      <c r="K8352" s="8" t="s">
        <v>224</v>
      </c>
      <c r="L8352" s="8" t="s">
        <v>6823</v>
      </c>
      <c r="M8352" s="8" t="s">
        <v>6824</v>
      </c>
      <c r="N8352" s="8" t="s">
        <v>12207</v>
      </c>
      <c r="O8352" s="8">
        <f>8+50/60+21.8/3600</f>
        <v>8.8393888888888892</v>
      </c>
      <c r="P8352" s="8" t="s">
        <v>12208</v>
      </c>
      <c r="Q8352" s="8">
        <f>+(73+27/60+46/3600)</f>
        <v>73.462777777777774</v>
      </c>
      <c r="R8352" s="8">
        <v>12.1</v>
      </c>
      <c r="S8352" s="8">
        <v>13.1</v>
      </c>
      <c r="T8352" s="8">
        <v>1</v>
      </c>
      <c r="U8352" s="8">
        <v>12.5</v>
      </c>
      <c r="V8352" s="8">
        <v>1.3</v>
      </c>
      <c r="W8352" s="8">
        <v>1.3</v>
      </c>
      <c r="Y8352" s="8" t="s">
        <v>36748</v>
      </c>
      <c r="Z8352" s="8" t="s">
        <v>36749</v>
      </c>
    </row>
    <row r="8353" spans="1:26" x14ac:dyDescent="0.2">
      <c r="A8353" s="8">
        <v>8352</v>
      </c>
      <c r="B8353" s="8" t="s">
        <v>36750</v>
      </c>
      <c r="C8353" s="8" t="s">
        <v>36750</v>
      </c>
      <c r="G8353" s="8">
        <v>20</v>
      </c>
      <c r="H8353" s="8" t="s">
        <v>21</v>
      </c>
      <c r="I8353" s="8" t="s">
        <v>22</v>
      </c>
      <c r="J8353" s="8" t="s">
        <v>22</v>
      </c>
      <c r="K8353" s="8" t="s">
        <v>160</v>
      </c>
      <c r="L8353" s="8" t="s">
        <v>6823</v>
      </c>
      <c r="M8353" s="8" t="s">
        <v>6824</v>
      </c>
      <c r="N8353" s="8" t="s">
        <v>36751</v>
      </c>
      <c r="O8353" s="8">
        <f>9+3/60+49/3600</f>
        <v>9.0636111111111113</v>
      </c>
      <c r="P8353" s="8" t="s">
        <v>36752</v>
      </c>
      <c r="Q8353" s="8">
        <f>+(85+30/60+6/3600)</f>
        <v>85.501666666666665</v>
      </c>
      <c r="R8353" s="8">
        <v>12.2</v>
      </c>
      <c r="S8353" s="8">
        <v>12.9</v>
      </c>
      <c r="T8353" s="8">
        <v>0.7</v>
      </c>
      <c r="U8353" s="8">
        <v>13</v>
      </c>
      <c r="V8353" s="8">
        <v>1.8</v>
      </c>
      <c r="W8353" s="8">
        <v>1.3</v>
      </c>
      <c r="X8353" s="8">
        <v>1</v>
      </c>
      <c r="Y8353" s="8" t="s">
        <v>6420</v>
      </c>
      <c r="Z8353" s="8" t="s">
        <v>6421</v>
      </c>
    </row>
    <row r="8354" spans="1:26" x14ac:dyDescent="0.2">
      <c r="A8354" s="8">
        <v>8353</v>
      </c>
      <c r="B8354" s="8" t="s">
        <v>36753</v>
      </c>
      <c r="C8354" s="8" t="s">
        <v>36753</v>
      </c>
      <c r="G8354" s="8">
        <v>20</v>
      </c>
      <c r="H8354" s="8" t="s">
        <v>21</v>
      </c>
      <c r="I8354" s="8" t="s">
        <v>22</v>
      </c>
      <c r="J8354" s="8" t="s">
        <v>22</v>
      </c>
      <c r="K8354" s="8" t="s">
        <v>224</v>
      </c>
      <c r="L8354" s="8" t="s">
        <v>11765</v>
      </c>
      <c r="M8354" s="8" t="s">
        <v>11766</v>
      </c>
      <c r="N8354" s="8" t="s">
        <v>36754</v>
      </c>
      <c r="O8354" s="8">
        <f>8+33/60+5/3600</f>
        <v>8.5513888888888889</v>
      </c>
      <c r="P8354" s="8" t="s">
        <v>36755</v>
      </c>
      <c r="Q8354" s="8">
        <f>-(12+21/60+18/3600)</f>
        <v>-12.355</v>
      </c>
      <c r="R8354" s="8">
        <v>13</v>
      </c>
      <c r="S8354" s="8">
        <v>14</v>
      </c>
      <c r="T8354" s="8">
        <v>1</v>
      </c>
      <c r="U8354" s="8">
        <v>12.6</v>
      </c>
      <c r="V8354" s="8">
        <v>1.1000000000000001</v>
      </c>
      <c r="W8354" s="8">
        <v>0.7</v>
      </c>
      <c r="X8354" s="8">
        <v>40</v>
      </c>
      <c r="Y8354" s="8" t="s">
        <v>35604</v>
      </c>
      <c r="Z8354" s="8" t="s">
        <v>35605</v>
      </c>
    </row>
    <row r="8355" spans="1:26" x14ac:dyDescent="0.2">
      <c r="A8355" s="8">
        <v>8354</v>
      </c>
      <c r="B8355" s="8" t="s">
        <v>36756</v>
      </c>
      <c r="C8355" s="8" t="s">
        <v>36756</v>
      </c>
      <c r="G8355" s="8">
        <v>20</v>
      </c>
      <c r="H8355" s="8" t="s">
        <v>21</v>
      </c>
      <c r="I8355" s="8" t="s">
        <v>22</v>
      </c>
      <c r="J8355" s="8" t="s">
        <v>22</v>
      </c>
      <c r="K8355" s="8" t="s">
        <v>449</v>
      </c>
      <c r="L8355" s="8" t="s">
        <v>11765</v>
      </c>
      <c r="M8355" s="8" t="s">
        <v>11766</v>
      </c>
      <c r="N8355" s="8" t="s">
        <v>36757</v>
      </c>
      <c r="O8355" s="8">
        <f>8+35/60+22.3/3600</f>
        <v>8.5895277777777785</v>
      </c>
      <c r="P8355" s="8" t="s">
        <v>36758</v>
      </c>
      <c r="Q8355" s="8">
        <f>-(2+2/60+49/3600)</f>
        <v>-2.0469444444444442</v>
      </c>
      <c r="R8355" s="8">
        <v>14.1</v>
      </c>
      <c r="S8355" s="8">
        <v>14.9</v>
      </c>
      <c r="T8355" s="8">
        <v>0.8</v>
      </c>
      <c r="U8355" s="8">
        <v>10.9</v>
      </c>
      <c r="V8355" s="8">
        <v>0.3</v>
      </c>
      <c r="W8355" s="8">
        <v>0.2</v>
      </c>
      <c r="X8355" s="8">
        <v>175</v>
      </c>
      <c r="Y8355" s="8" t="s">
        <v>36759</v>
      </c>
      <c r="Z8355" s="8" t="s">
        <v>36760</v>
      </c>
    </row>
    <row r="8356" spans="1:26" x14ac:dyDescent="0.2">
      <c r="A8356" s="8">
        <v>8355</v>
      </c>
      <c r="B8356" s="8" t="s">
        <v>36761</v>
      </c>
      <c r="C8356" s="8" t="s">
        <v>36761</v>
      </c>
      <c r="G8356" s="8">
        <v>20</v>
      </c>
      <c r="H8356" s="8" t="s">
        <v>21</v>
      </c>
      <c r="I8356" s="8" t="s">
        <v>22</v>
      </c>
      <c r="J8356" s="8" t="s">
        <v>22</v>
      </c>
      <c r="K8356" s="8" t="s">
        <v>449</v>
      </c>
      <c r="L8356" s="8" t="s">
        <v>11765</v>
      </c>
      <c r="M8356" s="8" t="s">
        <v>11766</v>
      </c>
      <c r="N8356" s="8" t="s">
        <v>36762</v>
      </c>
      <c r="O8356" s="8">
        <f>8+35/60+31.2/3600</f>
        <v>8.5920000000000005</v>
      </c>
      <c r="P8356" s="8" t="s">
        <v>36763</v>
      </c>
      <c r="Q8356" s="8">
        <f>-(1+54/60+2/3600)</f>
        <v>-1.9005555555555556</v>
      </c>
      <c r="R8356" s="8">
        <v>14.7</v>
      </c>
      <c r="S8356" s="8">
        <v>15.5</v>
      </c>
      <c r="T8356" s="8">
        <v>0.8</v>
      </c>
      <c r="U8356" s="8">
        <v>13.2</v>
      </c>
      <c r="V8356" s="8">
        <v>0.7</v>
      </c>
      <c r="W8356" s="8">
        <v>0.4</v>
      </c>
      <c r="X8356" s="8">
        <v>28</v>
      </c>
      <c r="Y8356" s="8" t="s">
        <v>21</v>
      </c>
      <c r="Z8356" s="8" t="s">
        <v>36764</v>
      </c>
    </row>
    <row r="8357" spans="1:26" x14ac:dyDescent="0.2">
      <c r="A8357" s="8">
        <v>8356</v>
      </c>
      <c r="B8357" s="8" t="s">
        <v>36765</v>
      </c>
      <c r="C8357" s="8" t="s">
        <v>36765</v>
      </c>
      <c r="G8357" s="8">
        <v>20</v>
      </c>
      <c r="H8357" s="8" t="s">
        <v>21</v>
      </c>
      <c r="I8357" s="8" t="s">
        <v>22</v>
      </c>
      <c r="J8357" s="8" t="s">
        <v>22</v>
      </c>
      <c r="K8357" s="8" t="s">
        <v>449</v>
      </c>
      <c r="L8357" s="8" t="s">
        <v>11765</v>
      </c>
      <c r="M8357" s="8" t="s">
        <v>11766</v>
      </c>
      <c r="N8357" s="8" t="s">
        <v>36766</v>
      </c>
      <c r="O8357" s="8">
        <f>8+35/60+50.8/3600</f>
        <v>8.5974444444444451</v>
      </c>
      <c r="P8357" s="8" t="s">
        <v>36767</v>
      </c>
      <c r="Q8357" s="8">
        <f>-(1+52/60+16/3600)</f>
        <v>-1.8711111111111112</v>
      </c>
      <c r="R8357" s="8">
        <v>14.9</v>
      </c>
      <c r="S8357" s="8">
        <v>15.7</v>
      </c>
      <c r="T8357" s="8">
        <v>0.8</v>
      </c>
      <c r="U8357" s="8">
        <v>12.7</v>
      </c>
      <c r="V8357" s="8">
        <v>0.5</v>
      </c>
      <c r="W8357" s="8">
        <v>0.3</v>
      </c>
      <c r="X8357" s="8">
        <v>70</v>
      </c>
      <c r="Y8357" s="8" t="s">
        <v>21</v>
      </c>
      <c r="Z8357" s="8" t="s">
        <v>36768</v>
      </c>
    </row>
    <row r="8358" spans="1:26" x14ac:dyDescent="0.2">
      <c r="A8358" s="8">
        <v>8357</v>
      </c>
      <c r="B8358" s="8" t="s">
        <v>36769</v>
      </c>
      <c r="C8358" s="8" t="s">
        <v>36769</v>
      </c>
      <c r="G8358" s="8">
        <v>20</v>
      </c>
      <c r="H8358" s="8" t="s">
        <v>21</v>
      </c>
      <c r="I8358" s="8" t="s">
        <v>22</v>
      </c>
      <c r="J8358" s="8" t="s">
        <v>22</v>
      </c>
      <c r="K8358" s="8" t="s">
        <v>449</v>
      </c>
      <c r="L8358" s="8" t="s">
        <v>11765</v>
      </c>
      <c r="M8358" s="8" t="s">
        <v>11766</v>
      </c>
      <c r="N8358" s="8" t="s">
        <v>36770</v>
      </c>
      <c r="O8358" s="8">
        <f>8+36/60+22/3600</f>
        <v>8.6061111111111099</v>
      </c>
      <c r="P8358" s="8" t="s">
        <v>36771</v>
      </c>
      <c r="Q8358" s="8">
        <f>-(2+3/60+20/3600)</f>
        <v>-2.0555555555555554</v>
      </c>
      <c r="R8358" s="8">
        <v>14.6</v>
      </c>
      <c r="S8358" s="8">
        <v>15.4</v>
      </c>
      <c r="T8358" s="8">
        <v>0.8</v>
      </c>
      <c r="U8358" s="8">
        <v>12.1</v>
      </c>
      <c r="V8358" s="8">
        <v>0.4</v>
      </c>
      <c r="W8358" s="8">
        <v>0.3</v>
      </c>
      <c r="X8358" s="8">
        <v>20</v>
      </c>
      <c r="Y8358" s="8" t="s">
        <v>5139</v>
      </c>
      <c r="Z8358" s="8" t="s">
        <v>5140</v>
      </c>
    </row>
    <row r="8359" spans="1:26" x14ac:dyDescent="0.2">
      <c r="A8359" s="8">
        <v>8358</v>
      </c>
      <c r="B8359" s="8" t="s">
        <v>36772</v>
      </c>
      <c r="C8359" s="8" t="s">
        <v>36772</v>
      </c>
      <c r="G8359" s="8">
        <v>20</v>
      </c>
      <c r="H8359" s="8" t="s">
        <v>21</v>
      </c>
      <c r="I8359" s="8" t="s">
        <v>329</v>
      </c>
      <c r="J8359" s="8" t="s">
        <v>329</v>
      </c>
      <c r="K8359" s="8" t="s">
        <v>329</v>
      </c>
      <c r="L8359" s="8" t="s">
        <v>11765</v>
      </c>
      <c r="M8359" s="8" t="s">
        <v>11766</v>
      </c>
      <c r="N8359" s="8" t="s">
        <v>36773</v>
      </c>
      <c r="O8359" s="8">
        <f>8+36/60+7/3600</f>
        <v>8.6019444444444435</v>
      </c>
      <c r="P8359" s="8" t="s">
        <v>36774</v>
      </c>
      <c r="Q8359" s="8">
        <f>+(0+41/60+36/3600)</f>
        <v>0.69333333333333336</v>
      </c>
      <c r="R8359" s="8">
        <v>99</v>
      </c>
      <c r="S8359" s="8">
        <v>99</v>
      </c>
      <c r="T8359" s="8">
        <v>99</v>
      </c>
      <c r="U8359" s="8">
        <v>99</v>
      </c>
      <c r="Y8359" s="8" t="s">
        <v>36775</v>
      </c>
      <c r="Z8359" s="8" t="s">
        <v>36776</v>
      </c>
    </row>
    <row r="8360" spans="1:26" x14ac:dyDescent="0.2">
      <c r="A8360" s="8">
        <v>8359</v>
      </c>
      <c r="B8360" s="8" t="s">
        <v>36777</v>
      </c>
      <c r="C8360" s="8" t="s">
        <v>36777</v>
      </c>
      <c r="G8360" s="8">
        <v>20</v>
      </c>
      <c r="H8360" s="8" t="s">
        <v>21</v>
      </c>
      <c r="I8360" s="8" t="s">
        <v>22</v>
      </c>
      <c r="J8360" s="8" t="s">
        <v>22</v>
      </c>
      <c r="K8360" s="8" t="s">
        <v>424</v>
      </c>
      <c r="L8360" s="8" t="s">
        <v>11765</v>
      </c>
      <c r="M8360" s="8" t="s">
        <v>11766</v>
      </c>
      <c r="N8360" s="8" t="s">
        <v>36778</v>
      </c>
      <c r="O8360" s="8">
        <f>8+40/60+34.4/3600</f>
        <v>8.6762222222222221</v>
      </c>
      <c r="P8360" s="8" t="s">
        <v>36779</v>
      </c>
      <c r="Q8360" s="8">
        <f>+(2+36/60+43/3600)</f>
        <v>2.6119444444444446</v>
      </c>
      <c r="R8360" s="8">
        <v>14</v>
      </c>
      <c r="S8360" s="8">
        <v>15</v>
      </c>
      <c r="T8360" s="8">
        <v>1</v>
      </c>
      <c r="U8360" s="8">
        <v>11.9</v>
      </c>
      <c r="V8360" s="8">
        <v>0.4</v>
      </c>
      <c r="W8360" s="8">
        <v>0.4</v>
      </c>
      <c r="Y8360" s="8" t="s">
        <v>21</v>
      </c>
      <c r="Z8360" s="8" t="s">
        <v>36780</v>
      </c>
    </row>
    <row r="8361" spans="1:26" x14ac:dyDescent="0.2">
      <c r="A8361" s="8">
        <v>8360</v>
      </c>
      <c r="B8361" s="8" t="s">
        <v>36781</v>
      </c>
      <c r="C8361" s="8" t="s">
        <v>36781</v>
      </c>
      <c r="G8361" s="8">
        <v>20</v>
      </c>
      <c r="H8361" s="8" t="s">
        <v>21</v>
      </c>
      <c r="I8361" s="8" t="s">
        <v>22</v>
      </c>
      <c r="J8361" s="8" t="s">
        <v>22</v>
      </c>
      <c r="K8361" s="8" t="s">
        <v>406</v>
      </c>
      <c r="L8361" s="8" t="s">
        <v>6823</v>
      </c>
      <c r="M8361" s="8" t="s">
        <v>6824</v>
      </c>
      <c r="N8361" s="8" t="s">
        <v>36782</v>
      </c>
      <c r="O8361" s="8">
        <f>8+53/60+42.1/3600</f>
        <v>8.8950277777777771</v>
      </c>
      <c r="P8361" s="8" t="s">
        <v>36783</v>
      </c>
      <c r="Q8361" s="8">
        <f>+(73+29/60+27/3600)</f>
        <v>73.490833333333327</v>
      </c>
      <c r="R8361" s="8">
        <v>11.7</v>
      </c>
      <c r="S8361" s="8">
        <v>12.6</v>
      </c>
      <c r="T8361" s="8">
        <v>0.9</v>
      </c>
      <c r="U8361" s="8">
        <v>12.8</v>
      </c>
      <c r="V8361" s="8">
        <v>1.5</v>
      </c>
      <c r="W8361" s="8">
        <v>1.3</v>
      </c>
      <c r="X8361" s="8">
        <v>0</v>
      </c>
      <c r="Y8361" s="8" t="s">
        <v>36784</v>
      </c>
      <c r="Z8361" s="8" t="s">
        <v>36785</v>
      </c>
    </row>
    <row r="8362" spans="1:26" x14ac:dyDescent="0.2">
      <c r="A8362" s="8">
        <v>8361</v>
      </c>
      <c r="B8362" s="8" t="s">
        <v>36786</v>
      </c>
      <c r="C8362" s="8" t="s">
        <v>36786</v>
      </c>
      <c r="G8362" s="8">
        <v>20</v>
      </c>
      <c r="H8362" s="8" t="s">
        <v>21</v>
      </c>
      <c r="I8362" s="8" t="s">
        <v>22</v>
      </c>
      <c r="J8362" s="8" t="s">
        <v>22</v>
      </c>
      <c r="K8362" s="8" t="s">
        <v>36787</v>
      </c>
      <c r="L8362" s="8" t="s">
        <v>11765</v>
      </c>
      <c r="M8362" s="8" t="s">
        <v>11766</v>
      </c>
      <c r="N8362" s="8" t="s">
        <v>36788</v>
      </c>
      <c r="O8362" s="8">
        <f>8+46/60+44.2/3600</f>
        <v>8.7789444444444449</v>
      </c>
      <c r="P8362" s="8" t="s">
        <v>36789</v>
      </c>
      <c r="Q8362" s="8">
        <f>+(2+32/60+18/3600)</f>
        <v>2.5383333333333331</v>
      </c>
      <c r="R8362" s="8">
        <v>14.1</v>
      </c>
      <c r="S8362" s="8">
        <v>15</v>
      </c>
      <c r="T8362" s="8">
        <v>0.9</v>
      </c>
      <c r="U8362" s="8">
        <v>13.1</v>
      </c>
      <c r="V8362" s="8">
        <v>0.9</v>
      </c>
      <c r="W8362" s="8">
        <v>0.5</v>
      </c>
      <c r="X8362" s="8">
        <v>90</v>
      </c>
      <c r="Y8362" s="8" t="s">
        <v>21</v>
      </c>
      <c r="Z8362" s="8" t="s">
        <v>14347</v>
      </c>
    </row>
    <row r="8363" spans="1:26" x14ac:dyDescent="0.2">
      <c r="A8363" s="8">
        <v>8362</v>
      </c>
      <c r="B8363" s="8" t="s">
        <v>36790</v>
      </c>
      <c r="C8363" s="8" t="s">
        <v>36790</v>
      </c>
      <c r="G8363" s="8">
        <v>20</v>
      </c>
      <c r="H8363" s="8" t="s">
        <v>21</v>
      </c>
      <c r="I8363" s="8" t="s">
        <v>22</v>
      </c>
      <c r="J8363" s="8" t="s">
        <v>22</v>
      </c>
      <c r="K8363" s="8" t="s">
        <v>37</v>
      </c>
      <c r="L8363" s="8" t="s">
        <v>12015</v>
      </c>
      <c r="M8363" s="8" t="s">
        <v>12016</v>
      </c>
      <c r="N8363" s="8" t="s">
        <v>36791</v>
      </c>
      <c r="O8363" s="8">
        <f>8+54/60+34.8/3600</f>
        <v>8.9096666666666664</v>
      </c>
      <c r="P8363" s="8" t="s">
        <v>36792</v>
      </c>
      <c r="Q8363" s="8">
        <f>+(57+10/60+0/3600)</f>
        <v>57.166666666666664</v>
      </c>
      <c r="R8363" s="8">
        <v>13</v>
      </c>
      <c r="S8363" s="8">
        <v>14</v>
      </c>
      <c r="T8363" s="8">
        <v>1</v>
      </c>
      <c r="U8363" s="8">
        <v>12.6</v>
      </c>
      <c r="V8363" s="8">
        <v>1</v>
      </c>
      <c r="W8363" s="8">
        <v>0.8</v>
      </c>
      <c r="X8363" s="8">
        <v>165</v>
      </c>
      <c r="Y8363" s="8" t="s">
        <v>21</v>
      </c>
      <c r="Z8363" s="8" t="s">
        <v>36793</v>
      </c>
    </row>
    <row r="8364" spans="1:26" x14ac:dyDescent="0.2">
      <c r="A8364" s="8">
        <v>8363</v>
      </c>
      <c r="B8364" s="8" t="s">
        <v>36794</v>
      </c>
      <c r="C8364" s="8" t="s">
        <v>36794</v>
      </c>
      <c r="G8364" s="8">
        <v>20</v>
      </c>
      <c r="H8364" s="8" t="s">
        <v>21</v>
      </c>
      <c r="I8364" s="8" t="s">
        <v>22</v>
      </c>
      <c r="J8364" s="8" t="s">
        <v>22</v>
      </c>
      <c r="K8364" s="8" t="s">
        <v>31</v>
      </c>
      <c r="L8364" s="8" t="s">
        <v>11551</v>
      </c>
      <c r="M8364" s="8" t="s">
        <v>11552</v>
      </c>
      <c r="N8364" s="8" t="s">
        <v>36795</v>
      </c>
      <c r="O8364" s="8">
        <f>8+53/60+11.2/3600</f>
        <v>8.8864444444444448</v>
      </c>
      <c r="P8364" s="8" t="s">
        <v>36796</v>
      </c>
      <c r="Q8364" s="8">
        <f>+(9+8/60+54/3600)</f>
        <v>9.1483333333333334</v>
      </c>
      <c r="R8364" s="8">
        <v>13.1</v>
      </c>
      <c r="S8364" s="8">
        <v>13.9</v>
      </c>
      <c r="T8364" s="8">
        <v>0.8</v>
      </c>
      <c r="U8364" s="8">
        <v>12.4</v>
      </c>
      <c r="V8364" s="8">
        <v>0.9</v>
      </c>
      <c r="W8364" s="8">
        <v>0.7</v>
      </c>
      <c r="X8364" s="8">
        <v>99</v>
      </c>
      <c r="Y8364" s="8" t="s">
        <v>36797</v>
      </c>
      <c r="Z8364" s="8" t="s">
        <v>36798</v>
      </c>
    </row>
    <row r="8365" spans="1:26" x14ac:dyDescent="0.2">
      <c r="A8365" s="8">
        <v>8364</v>
      </c>
      <c r="B8365" s="8" t="s">
        <v>36799</v>
      </c>
      <c r="C8365" s="8" t="s">
        <v>36799</v>
      </c>
      <c r="G8365" s="8">
        <v>20</v>
      </c>
      <c r="H8365" s="8" t="s">
        <v>21</v>
      </c>
      <c r="I8365" s="8" t="s">
        <v>22</v>
      </c>
      <c r="J8365" s="8" t="s">
        <v>22</v>
      </c>
      <c r="K8365" s="8" t="s">
        <v>37</v>
      </c>
      <c r="L8365" s="8" t="s">
        <v>11765</v>
      </c>
      <c r="M8365" s="8" t="s">
        <v>11766</v>
      </c>
      <c r="N8365" s="8" t="s">
        <v>36800</v>
      </c>
      <c r="O8365" s="8">
        <f>8+58/60+12.8/3600</f>
        <v>8.9702222222222225</v>
      </c>
      <c r="P8365" s="8" t="s">
        <v>36801</v>
      </c>
      <c r="Q8365" s="8">
        <f>-(19+11/60+29/3600)</f>
        <v>-19.191388888888888</v>
      </c>
      <c r="R8365" s="8">
        <v>13.9</v>
      </c>
      <c r="S8365" s="8">
        <v>14.9</v>
      </c>
      <c r="T8365" s="8">
        <v>1</v>
      </c>
      <c r="U8365" s="8">
        <v>13.3</v>
      </c>
      <c r="V8365" s="8">
        <v>1</v>
      </c>
      <c r="W8365" s="8">
        <v>0.6</v>
      </c>
      <c r="X8365" s="8">
        <v>17</v>
      </c>
      <c r="Y8365" s="8" t="s">
        <v>21</v>
      </c>
      <c r="Z8365" s="8" t="s">
        <v>36802</v>
      </c>
    </row>
    <row r="8366" spans="1:26" x14ac:dyDescent="0.2">
      <c r="A8366" s="8">
        <v>8365</v>
      </c>
      <c r="B8366" s="8" t="s">
        <v>36803</v>
      </c>
      <c r="C8366" s="8" t="s">
        <v>36803</v>
      </c>
      <c r="G8366" s="8">
        <v>20</v>
      </c>
      <c r="H8366" s="8" t="s">
        <v>21</v>
      </c>
      <c r="I8366" s="8" t="s">
        <v>22</v>
      </c>
      <c r="J8366" s="8" t="s">
        <v>22</v>
      </c>
      <c r="K8366" s="8" t="s">
        <v>632</v>
      </c>
      <c r="L8366" s="8" t="s">
        <v>11765</v>
      </c>
      <c r="M8366" s="8" t="s">
        <v>11766</v>
      </c>
      <c r="N8366" s="8" t="s">
        <v>36804</v>
      </c>
      <c r="O8366" s="8">
        <f>9+1/60+22.5/3600</f>
        <v>9.0229166666666671</v>
      </c>
      <c r="P8366" s="8" t="s">
        <v>36805</v>
      </c>
      <c r="Q8366" s="8">
        <f>-(1+51/60+11/3600)</f>
        <v>-1.8530555555555557</v>
      </c>
      <c r="R8366" s="8">
        <v>14.1</v>
      </c>
      <c r="S8366" s="8">
        <v>15</v>
      </c>
      <c r="T8366" s="8">
        <v>0.9</v>
      </c>
      <c r="U8366" s="8">
        <v>12.7</v>
      </c>
      <c r="V8366" s="8">
        <v>1</v>
      </c>
      <c r="W8366" s="8">
        <v>0.3</v>
      </c>
      <c r="X8366" s="8">
        <v>11</v>
      </c>
      <c r="Y8366" s="8" t="s">
        <v>36806</v>
      </c>
      <c r="Z8366" s="8" t="s">
        <v>36807</v>
      </c>
    </row>
    <row r="8367" spans="1:26" x14ac:dyDescent="0.2">
      <c r="A8367" s="8">
        <v>8366</v>
      </c>
      <c r="B8367" s="8" t="s">
        <v>36808</v>
      </c>
      <c r="C8367" s="8" t="s">
        <v>36808</v>
      </c>
      <c r="G8367" s="8">
        <v>20</v>
      </c>
      <c r="H8367" s="8" t="s">
        <v>21</v>
      </c>
      <c r="I8367" s="8" t="s">
        <v>22</v>
      </c>
      <c r="J8367" s="8" t="s">
        <v>22</v>
      </c>
      <c r="K8367" s="8" t="s">
        <v>476</v>
      </c>
      <c r="L8367" s="8" t="s">
        <v>11551</v>
      </c>
      <c r="M8367" s="8" t="s">
        <v>11552</v>
      </c>
      <c r="N8367" s="8" t="s">
        <v>36809</v>
      </c>
      <c r="O8367" s="8">
        <f>9+2/60+40.7/3600</f>
        <v>9.0446388888888887</v>
      </c>
      <c r="P8367" s="8" t="s">
        <v>36810</v>
      </c>
      <c r="Q8367" s="8">
        <f>+(10+50/60+32/3600)</f>
        <v>10.842222222222222</v>
      </c>
      <c r="R8367" s="8">
        <v>14.4</v>
      </c>
      <c r="S8367" s="8">
        <v>15.3</v>
      </c>
      <c r="T8367" s="8">
        <v>0.9</v>
      </c>
      <c r="U8367" s="8">
        <v>13</v>
      </c>
      <c r="V8367" s="8">
        <v>0.8</v>
      </c>
      <c r="W8367" s="8">
        <v>0.4</v>
      </c>
      <c r="X8367" s="8">
        <v>45</v>
      </c>
      <c r="Y8367" s="8" t="s">
        <v>895</v>
      </c>
      <c r="Z8367" s="8" t="s">
        <v>896</v>
      </c>
    </row>
    <row r="8368" spans="1:26" x14ac:dyDescent="0.2">
      <c r="A8368" s="8">
        <v>8367</v>
      </c>
      <c r="B8368" s="8" t="s">
        <v>36811</v>
      </c>
      <c r="C8368" s="8" t="s">
        <v>36811</v>
      </c>
      <c r="G8368" s="8">
        <v>20</v>
      </c>
      <c r="H8368" s="8" t="s">
        <v>21</v>
      </c>
      <c r="I8368" s="8" t="s">
        <v>22</v>
      </c>
      <c r="J8368" s="8" t="s">
        <v>22</v>
      </c>
      <c r="K8368" s="8" t="s">
        <v>64</v>
      </c>
      <c r="L8368" s="8" t="s">
        <v>10511</v>
      </c>
      <c r="M8368" s="8" t="s">
        <v>10512</v>
      </c>
      <c r="N8368" s="8" t="s">
        <v>36812</v>
      </c>
      <c r="O8368" s="8">
        <f>9+9/60+41.8/3600</f>
        <v>9.161611111111112</v>
      </c>
      <c r="P8368" s="8" t="s">
        <v>36813</v>
      </c>
      <c r="Q8368" s="8">
        <f>+(37+36/60+7/3600)</f>
        <v>37.601944444444449</v>
      </c>
      <c r="R8368" s="8">
        <v>13.3</v>
      </c>
      <c r="S8368" s="8">
        <v>14</v>
      </c>
      <c r="T8368" s="8">
        <v>0.7</v>
      </c>
      <c r="U8368" s="8">
        <v>13.2</v>
      </c>
      <c r="V8368" s="8">
        <v>1.2</v>
      </c>
      <c r="W8368" s="8">
        <v>0.9</v>
      </c>
      <c r="X8368" s="8">
        <v>66</v>
      </c>
      <c r="Y8368" s="8" t="s">
        <v>36814</v>
      </c>
      <c r="Z8368" s="8" t="s">
        <v>36815</v>
      </c>
    </row>
    <row r="8369" spans="1:26" x14ac:dyDescent="0.2">
      <c r="A8369" s="8">
        <v>8368</v>
      </c>
      <c r="B8369" s="8" t="s">
        <v>36816</v>
      </c>
      <c r="C8369" s="8" t="s">
        <v>36816</v>
      </c>
      <c r="G8369" s="8">
        <v>20</v>
      </c>
      <c r="H8369" s="8" t="s">
        <v>21</v>
      </c>
      <c r="I8369" s="8" t="s">
        <v>22</v>
      </c>
      <c r="J8369" s="8" t="s">
        <v>22</v>
      </c>
      <c r="K8369" s="8" t="s">
        <v>31</v>
      </c>
      <c r="L8369" s="8" t="s">
        <v>11551</v>
      </c>
      <c r="M8369" s="8" t="s">
        <v>11552</v>
      </c>
      <c r="N8369" s="8" t="s">
        <v>36817</v>
      </c>
      <c r="O8369" s="8">
        <f>9+9/60+22.5/3600</f>
        <v>9.15625</v>
      </c>
      <c r="P8369" s="8" t="s">
        <v>36818</v>
      </c>
      <c r="Q8369" s="8">
        <f>+(15+47/60+45/3600)</f>
        <v>15.795833333333333</v>
      </c>
      <c r="R8369" s="8">
        <v>14.1</v>
      </c>
      <c r="S8369" s="8">
        <v>14.9</v>
      </c>
      <c r="T8369" s="8">
        <v>0.8</v>
      </c>
      <c r="U8369" s="8">
        <v>14.1</v>
      </c>
      <c r="V8369" s="8">
        <v>1.5</v>
      </c>
      <c r="W8369" s="8">
        <v>0.8</v>
      </c>
      <c r="X8369" s="8">
        <v>163</v>
      </c>
      <c r="Y8369" s="8" t="s">
        <v>36819</v>
      </c>
      <c r="Z8369" s="8" t="s">
        <v>36820</v>
      </c>
    </row>
    <row r="8370" spans="1:26" x14ac:dyDescent="0.2">
      <c r="A8370" s="8">
        <v>8369</v>
      </c>
      <c r="B8370" s="8" t="s">
        <v>36821</v>
      </c>
      <c r="C8370" s="8" t="s">
        <v>36821</v>
      </c>
      <c r="G8370" s="8">
        <v>20</v>
      </c>
      <c r="H8370" s="8" t="s">
        <v>21</v>
      </c>
      <c r="I8370" s="8" t="s">
        <v>22</v>
      </c>
      <c r="J8370" s="8" t="s">
        <v>22</v>
      </c>
      <c r="K8370" s="8" t="s">
        <v>160</v>
      </c>
      <c r="L8370" s="8" t="s">
        <v>6823</v>
      </c>
      <c r="M8370" s="8" t="s">
        <v>6824</v>
      </c>
      <c r="N8370" s="8" t="s">
        <v>36822</v>
      </c>
      <c r="O8370" s="8">
        <f>9+18/60+32.9/3600</f>
        <v>9.3091388888888904</v>
      </c>
      <c r="P8370" s="8" t="s">
        <v>36823</v>
      </c>
      <c r="Q8370" s="8">
        <f>+(73+45/60+35/3600)</f>
        <v>73.759722222222223</v>
      </c>
      <c r="R8370" s="8">
        <v>11.9</v>
      </c>
      <c r="S8370" s="8">
        <v>12.3</v>
      </c>
      <c r="T8370" s="8">
        <v>0.4</v>
      </c>
      <c r="U8370" s="8">
        <v>13.4</v>
      </c>
      <c r="V8370" s="8">
        <v>3.3</v>
      </c>
      <c r="W8370" s="8">
        <v>1.3</v>
      </c>
      <c r="X8370" s="8">
        <v>145</v>
      </c>
      <c r="Y8370" s="8" t="s">
        <v>36824</v>
      </c>
      <c r="Z8370" s="8" t="s">
        <v>36825</v>
      </c>
    </row>
    <row r="8371" spans="1:26" x14ac:dyDescent="0.2">
      <c r="A8371" s="8">
        <v>8370</v>
      </c>
      <c r="B8371" s="8" t="s">
        <v>36826</v>
      </c>
      <c r="C8371" s="8" t="s">
        <v>36826</v>
      </c>
      <c r="G8371" s="8">
        <v>20</v>
      </c>
      <c r="H8371" s="8" t="s">
        <v>21</v>
      </c>
      <c r="I8371" s="8" t="s">
        <v>22</v>
      </c>
      <c r="J8371" s="8" t="s">
        <v>22</v>
      </c>
      <c r="K8371" s="8" t="s">
        <v>31</v>
      </c>
      <c r="L8371" s="8" t="s">
        <v>11551</v>
      </c>
      <c r="M8371" s="8" t="s">
        <v>11552</v>
      </c>
      <c r="N8371" s="8" t="s">
        <v>36827</v>
      </c>
      <c r="O8371" s="8">
        <f>9+15/60+17.1/3600</f>
        <v>9.2547499999999996</v>
      </c>
      <c r="P8371" s="8" t="s">
        <v>36828</v>
      </c>
      <c r="Q8371" s="8">
        <f>+(11+53/60+10/3600)</f>
        <v>11.886111111111111</v>
      </c>
      <c r="R8371" s="8">
        <v>13.1</v>
      </c>
      <c r="S8371" s="8">
        <v>13.9</v>
      </c>
      <c r="T8371" s="8">
        <v>0.8</v>
      </c>
      <c r="U8371" s="8">
        <v>12.6</v>
      </c>
      <c r="V8371" s="8">
        <v>1.8</v>
      </c>
      <c r="W8371" s="8">
        <v>0.6</v>
      </c>
      <c r="X8371" s="8">
        <v>87</v>
      </c>
      <c r="Y8371" s="8" t="s">
        <v>36829</v>
      </c>
      <c r="Z8371" s="8" t="s">
        <v>36830</v>
      </c>
    </row>
    <row r="8372" spans="1:26" x14ac:dyDescent="0.2">
      <c r="A8372" s="8">
        <v>8371</v>
      </c>
      <c r="B8372" s="8" t="s">
        <v>36831</v>
      </c>
      <c r="C8372" s="8" t="s">
        <v>36831</v>
      </c>
      <c r="G8372" s="8">
        <v>20</v>
      </c>
      <c r="H8372" s="8" t="s">
        <v>21</v>
      </c>
      <c r="I8372" s="8" t="s">
        <v>22</v>
      </c>
      <c r="J8372" s="8" t="s">
        <v>22</v>
      </c>
      <c r="K8372" s="8" t="s">
        <v>406</v>
      </c>
      <c r="L8372" s="8" t="s">
        <v>11765</v>
      </c>
      <c r="M8372" s="8" t="s">
        <v>11766</v>
      </c>
      <c r="N8372" s="8" t="s">
        <v>36832</v>
      </c>
      <c r="O8372" s="8">
        <f>9+17/60+50.8/3600</f>
        <v>9.2974444444444444</v>
      </c>
      <c r="P8372" s="8" t="s">
        <v>36833</v>
      </c>
      <c r="Q8372" s="8">
        <f>-(0+16/60+41/3600)</f>
        <v>-0.27805555555555556</v>
      </c>
      <c r="R8372" s="8">
        <v>13.5</v>
      </c>
      <c r="S8372" s="8">
        <v>14.3</v>
      </c>
      <c r="T8372" s="8">
        <v>0.8</v>
      </c>
      <c r="U8372" s="8">
        <v>13.2</v>
      </c>
      <c r="V8372" s="8">
        <v>1.7</v>
      </c>
      <c r="W8372" s="8">
        <v>0.5</v>
      </c>
      <c r="X8372" s="8">
        <v>60</v>
      </c>
      <c r="Y8372" s="8" t="s">
        <v>36834</v>
      </c>
      <c r="Z8372" s="8" t="s">
        <v>36835</v>
      </c>
    </row>
    <row r="8373" spans="1:26" x14ac:dyDescent="0.2">
      <c r="A8373" s="8">
        <v>8372</v>
      </c>
      <c r="B8373" s="8" t="s">
        <v>36836</v>
      </c>
      <c r="C8373" s="8" t="s">
        <v>36836</v>
      </c>
      <c r="G8373" s="8">
        <v>20</v>
      </c>
      <c r="H8373" s="8" t="s">
        <v>21</v>
      </c>
      <c r="I8373" s="8" t="s">
        <v>329</v>
      </c>
      <c r="J8373" s="8" t="s">
        <v>329</v>
      </c>
      <c r="K8373" s="8" t="s">
        <v>329</v>
      </c>
      <c r="L8373" s="8" t="s">
        <v>11765</v>
      </c>
      <c r="M8373" s="8" t="s">
        <v>11766</v>
      </c>
      <c r="N8373" s="8" t="s">
        <v>36837</v>
      </c>
      <c r="O8373" s="8">
        <f>9+19/60+3/3600</f>
        <v>9.317499999999999</v>
      </c>
      <c r="P8373" s="8" t="s">
        <v>36838</v>
      </c>
      <c r="Q8373" s="8">
        <f>-(16+45/60+18/3600)</f>
        <v>-16.754999999999999</v>
      </c>
      <c r="R8373" s="8">
        <v>99</v>
      </c>
      <c r="S8373" s="8">
        <v>99</v>
      </c>
      <c r="T8373" s="8">
        <v>99</v>
      </c>
      <c r="U8373" s="8">
        <v>99</v>
      </c>
      <c r="Y8373" s="8" t="s">
        <v>36839</v>
      </c>
      <c r="Z8373" s="8" t="s">
        <v>36840</v>
      </c>
    </row>
    <row r="8374" spans="1:26" x14ac:dyDescent="0.2">
      <c r="A8374" s="8">
        <v>8373</v>
      </c>
      <c r="B8374" s="8" t="s">
        <v>36841</v>
      </c>
      <c r="C8374" s="8" t="s">
        <v>36841</v>
      </c>
      <c r="G8374" s="8">
        <v>20</v>
      </c>
      <c r="H8374" s="8" t="s">
        <v>21</v>
      </c>
      <c r="I8374" s="8" t="s">
        <v>22</v>
      </c>
      <c r="J8374" s="8" t="s">
        <v>22</v>
      </c>
      <c r="K8374" s="8" t="s">
        <v>449</v>
      </c>
      <c r="L8374" s="8" t="s">
        <v>11765</v>
      </c>
      <c r="M8374" s="8" t="s">
        <v>11766</v>
      </c>
      <c r="N8374" s="8" t="s">
        <v>36842</v>
      </c>
      <c r="O8374" s="8">
        <f>9+20/60+23.3/3600</f>
        <v>9.3398055555555555</v>
      </c>
      <c r="P8374" s="8" t="s">
        <v>36843</v>
      </c>
      <c r="Q8374" s="8">
        <f>-(3+59/60+29/3600)</f>
        <v>-3.9913888888888889</v>
      </c>
      <c r="R8374" s="8">
        <v>14.7</v>
      </c>
      <c r="S8374" s="8">
        <v>15.5</v>
      </c>
      <c r="T8374" s="8">
        <v>0.8</v>
      </c>
      <c r="U8374" s="8">
        <v>13.2</v>
      </c>
      <c r="V8374" s="8">
        <v>1</v>
      </c>
      <c r="W8374" s="8">
        <v>0.3</v>
      </c>
      <c r="X8374" s="8">
        <v>155</v>
      </c>
      <c r="Y8374" s="8" t="s">
        <v>35064</v>
      </c>
      <c r="Z8374" s="8" t="s">
        <v>35065</v>
      </c>
    </row>
    <row r="8375" spans="1:26" x14ac:dyDescent="0.2">
      <c r="A8375" s="8">
        <v>8374</v>
      </c>
      <c r="B8375" s="8" t="s">
        <v>36844</v>
      </c>
      <c r="C8375" s="8" t="s">
        <v>36844</v>
      </c>
      <c r="G8375" s="8">
        <v>20</v>
      </c>
      <c r="H8375" s="8" t="s">
        <v>21</v>
      </c>
      <c r="I8375" s="8" t="s">
        <v>22</v>
      </c>
      <c r="J8375" s="8" t="s">
        <v>22</v>
      </c>
      <c r="K8375" s="8" t="s">
        <v>23</v>
      </c>
      <c r="L8375" s="8" t="s">
        <v>11765</v>
      </c>
      <c r="M8375" s="8" t="s">
        <v>11766</v>
      </c>
      <c r="N8375" s="8" t="s">
        <v>36845</v>
      </c>
      <c r="O8375" s="8">
        <f>9+21/60+15.6/3600</f>
        <v>9.3543333333333329</v>
      </c>
      <c r="P8375" s="8" t="s">
        <v>36846</v>
      </c>
      <c r="Q8375" s="8">
        <f>+(3+9/60+1/3600)</f>
        <v>3.1502777777777777</v>
      </c>
      <c r="R8375" s="8">
        <v>14.1</v>
      </c>
      <c r="S8375" s="8">
        <v>14.9</v>
      </c>
      <c r="T8375" s="8">
        <v>0.8</v>
      </c>
      <c r="U8375" s="8">
        <v>12.8</v>
      </c>
      <c r="V8375" s="8">
        <v>1.7</v>
      </c>
      <c r="W8375" s="8">
        <v>0.2</v>
      </c>
      <c r="X8375" s="8">
        <v>148</v>
      </c>
      <c r="Y8375" s="8" t="s">
        <v>17508</v>
      </c>
      <c r="Z8375" s="8" t="s">
        <v>17509</v>
      </c>
    </row>
    <row r="8376" spans="1:26" x14ac:dyDescent="0.2">
      <c r="A8376" s="8">
        <v>8375</v>
      </c>
      <c r="B8376" s="8" t="s">
        <v>36847</v>
      </c>
      <c r="C8376" s="8" t="s">
        <v>36847</v>
      </c>
      <c r="G8376" s="8">
        <v>20</v>
      </c>
      <c r="H8376" s="8" t="s">
        <v>21</v>
      </c>
      <c r="I8376" s="8" t="s">
        <v>22</v>
      </c>
      <c r="J8376" s="8" t="s">
        <v>22</v>
      </c>
      <c r="K8376" s="8" t="s">
        <v>460</v>
      </c>
      <c r="L8376" s="8" t="s">
        <v>11765</v>
      </c>
      <c r="M8376" s="8" t="s">
        <v>11766</v>
      </c>
      <c r="N8376" s="8" t="s">
        <v>36848</v>
      </c>
      <c r="O8376" s="8">
        <f>9+22/60+16.2/3600</f>
        <v>9.3711666666666673</v>
      </c>
      <c r="P8376" s="8" t="s">
        <v>36849</v>
      </c>
      <c r="Q8376" s="8">
        <f>-(1+2/60+24/3600)</f>
        <v>-1.04</v>
      </c>
      <c r="R8376" s="8">
        <v>14.2</v>
      </c>
      <c r="S8376" s="8">
        <v>15.2</v>
      </c>
      <c r="T8376" s="8">
        <v>1</v>
      </c>
      <c r="U8376" s="8">
        <v>12.3</v>
      </c>
      <c r="V8376" s="8">
        <v>0.4</v>
      </c>
      <c r="W8376" s="8">
        <v>0.4</v>
      </c>
      <c r="Y8376" s="8" t="s">
        <v>2181</v>
      </c>
      <c r="Z8376" s="8" t="s">
        <v>2182</v>
      </c>
    </row>
    <row r="8377" spans="1:26" x14ac:dyDescent="0.2">
      <c r="A8377" s="8">
        <v>8376</v>
      </c>
      <c r="B8377" s="8" t="s">
        <v>36850</v>
      </c>
      <c r="C8377" s="8" t="s">
        <v>36850</v>
      </c>
      <c r="G8377" s="8">
        <v>20</v>
      </c>
      <c r="H8377" s="8" t="s">
        <v>21</v>
      </c>
      <c r="I8377" s="8" t="s">
        <v>22</v>
      </c>
      <c r="J8377" s="8" t="s">
        <v>22</v>
      </c>
      <c r="K8377" s="8" t="s">
        <v>91</v>
      </c>
      <c r="L8377" s="8" t="s">
        <v>13194</v>
      </c>
      <c r="M8377" s="8" t="s">
        <v>13195</v>
      </c>
      <c r="N8377" s="8" t="s">
        <v>36851</v>
      </c>
      <c r="O8377" s="8">
        <f>9+24/60+40/3600</f>
        <v>9.4111111111111114</v>
      </c>
      <c r="P8377" s="8" t="s">
        <v>36852</v>
      </c>
      <c r="Q8377" s="8">
        <f>+(25+6/60+37/3600)</f>
        <v>25.110277777777778</v>
      </c>
      <c r="R8377" s="8">
        <v>14.4</v>
      </c>
      <c r="S8377" s="8">
        <v>15.3</v>
      </c>
      <c r="T8377" s="8">
        <v>0.9</v>
      </c>
      <c r="U8377" s="8">
        <v>12.7</v>
      </c>
      <c r="V8377" s="8">
        <v>1.2</v>
      </c>
      <c r="W8377" s="8">
        <v>0.2</v>
      </c>
      <c r="X8377" s="8">
        <v>23</v>
      </c>
      <c r="Y8377" s="8" t="s">
        <v>972</v>
      </c>
      <c r="Z8377" s="8" t="s">
        <v>973</v>
      </c>
    </row>
    <row r="8378" spans="1:26" x14ac:dyDescent="0.2">
      <c r="A8378" s="8">
        <v>8377</v>
      </c>
      <c r="B8378" s="8" t="s">
        <v>36853</v>
      </c>
      <c r="C8378" s="8" t="s">
        <v>36853</v>
      </c>
      <c r="G8378" s="8">
        <v>20</v>
      </c>
      <c r="H8378" s="8" t="s">
        <v>21</v>
      </c>
      <c r="I8378" s="8" t="s">
        <v>22</v>
      </c>
      <c r="J8378" s="8" t="s">
        <v>22</v>
      </c>
      <c r="K8378" s="8" t="s">
        <v>632</v>
      </c>
      <c r="L8378" s="8" t="s">
        <v>11765</v>
      </c>
      <c r="M8378" s="8" t="s">
        <v>11766</v>
      </c>
      <c r="N8378" s="8" t="s">
        <v>36854</v>
      </c>
      <c r="O8378" s="8">
        <f>9+25/60+22.5/3600</f>
        <v>9.4229166666666657</v>
      </c>
      <c r="P8378" s="8" t="s">
        <v>36855</v>
      </c>
      <c r="Q8378" s="8">
        <f>-(12+23/60+28/3600)</f>
        <v>-12.39111111111111</v>
      </c>
      <c r="R8378" s="8">
        <v>13.1</v>
      </c>
      <c r="S8378" s="8">
        <v>14</v>
      </c>
      <c r="T8378" s="8">
        <v>0.9</v>
      </c>
      <c r="U8378" s="8">
        <v>13.3</v>
      </c>
      <c r="V8378" s="8">
        <v>1.2</v>
      </c>
      <c r="W8378" s="8">
        <v>1.1000000000000001</v>
      </c>
      <c r="X8378" s="8">
        <v>175</v>
      </c>
      <c r="Y8378" s="8" t="s">
        <v>36856</v>
      </c>
      <c r="Z8378" s="8" t="s">
        <v>36857</v>
      </c>
    </row>
    <row r="8379" spans="1:26" x14ac:dyDescent="0.2">
      <c r="A8379" s="8">
        <v>8378</v>
      </c>
      <c r="B8379" s="8" t="s">
        <v>36858</v>
      </c>
      <c r="C8379" s="8" t="s">
        <v>36858</v>
      </c>
      <c r="G8379" s="8">
        <v>20</v>
      </c>
      <c r="H8379" s="8" t="s">
        <v>21</v>
      </c>
      <c r="I8379" s="8" t="s">
        <v>22</v>
      </c>
      <c r="J8379" s="8" t="s">
        <v>57</v>
      </c>
      <c r="K8379" s="8" t="s">
        <v>632</v>
      </c>
      <c r="L8379" s="8" t="s">
        <v>13194</v>
      </c>
      <c r="M8379" s="8" t="s">
        <v>13195</v>
      </c>
      <c r="N8379" s="8" t="s">
        <v>13294</v>
      </c>
      <c r="O8379" s="8">
        <f>9+27/60+18.4/3600</f>
        <v>9.4551111111111101</v>
      </c>
      <c r="P8379" s="8" t="s">
        <v>13295</v>
      </c>
      <c r="Q8379" s="8">
        <f>+(23+1/60+12/3600)</f>
        <v>23.02</v>
      </c>
      <c r="R8379" s="8">
        <v>13.9</v>
      </c>
      <c r="S8379" s="8">
        <v>14.8</v>
      </c>
      <c r="T8379" s="8">
        <v>0.9</v>
      </c>
      <c r="U8379" s="8">
        <v>12.4</v>
      </c>
      <c r="V8379" s="8">
        <v>0.7</v>
      </c>
      <c r="W8379" s="8">
        <v>0.4</v>
      </c>
      <c r="X8379" s="8">
        <v>70</v>
      </c>
      <c r="Y8379" s="8" t="s">
        <v>36859</v>
      </c>
      <c r="Z8379" s="8" t="s">
        <v>36860</v>
      </c>
    </row>
    <row r="8380" spans="1:26" x14ac:dyDescent="0.2">
      <c r="A8380" s="8">
        <v>8379</v>
      </c>
      <c r="B8380" s="8" t="s">
        <v>36861</v>
      </c>
      <c r="C8380" s="8" t="s">
        <v>36861</v>
      </c>
      <c r="G8380" s="8">
        <v>20</v>
      </c>
      <c r="H8380" s="8" t="s">
        <v>21</v>
      </c>
      <c r="I8380" s="8" t="s">
        <v>22</v>
      </c>
      <c r="J8380" s="8" t="s">
        <v>22</v>
      </c>
      <c r="K8380" s="8" t="s">
        <v>160</v>
      </c>
      <c r="L8380" s="8" t="s">
        <v>11765</v>
      </c>
      <c r="M8380" s="8" t="s">
        <v>11766</v>
      </c>
      <c r="N8380" s="8" t="s">
        <v>36862</v>
      </c>
      <c r="O8380" s="8">
        <f>9+29/60+8.2/3600</f>
        <v>9.4856111111111101</v>
      </c>
      <c r="P8380" s="8" t="s">
        <v>36863</v>
      </c>
      <c r="Q8380" s="8">
        <f>-(2+32/60+56/3600)</f>
        <v>-2.548888888888889</v>
      </c>
      <c r="R8380" s="8">
        <v>13.4</v>
      </c>
      <c r="S8380" s="8">
        <v>14.1</v>
      </c>
      <c r="T8380" s="8">
        <v>0.7</v>
      </c>
      <c r="U8380" s="8">
        <v>13.2</v>
      </c>
      <c r="V8380" s="8">
        <v>1</v>
      </c>
      <c r="W8380" s="8">
        <v>0.9</v>
      </c>
      <c r="X8380" s="8">
        <v>156</v>
      </c>
      <c r="Y8380" s="8" t="s">
        <v>36864</v>
      </c>
      <c r="Z8380" s="8" t="s">
        <v>36865</v>
      </c>
    </row>
    <row r="8381" spans="1:26" x14ac:dyDescent="0.2">
      <c r="A8381" s="8">
        <v>8380</v>
      </c>
      <c r="B8381" s="8" t="s">
        <v>36866</v>
      </c>
      <c r="C8381" s="8" t="s">
        <v>36866</v>
      </c>
      <c r="G8381" s="8">
        <v>20</v>
      </c>
      <c r="H8381" s="8" t="s">
        <v>21</v>
      </c>
      <c r="I8381" s="8" t="s">
        <v>22</v>
      </c>
      <c r="J8381" s="8" t="s">
        <v>22</v>
      </c>
      <c r="K8381" s="8" t="s">
        <v>396</v>
      </c>
      <c r="L8381" s="8" t="s">
        <v>13194</v>
      </c>
      <c r="M8381" s="8" t="s">
        <v>13195</v>
      </c>
      <c r="N8381" s="8" t="s">
        <v>36867</v>
      </c>
      <c r="O8381" s="8">
        <f>9+30/60+10.1/3600</f>
        <v>9.5028055555555557</v>
      </c>
      <c r="P8381" s="8" t="s">
        <v>36868</v>
      </c>
      <c r="Q8381" s="8">
        <f>+(7+54/60+5/3600)</f>
        <v>7.9013888888888895</v>
      </c>
      <c r="R8381" s="8">
        <v>14.1</v>
      </c>
      <c r="S8381" s="8">
        <v>14.9</v>
      </c>
      <c r="T8381" s="8">
        <v>0.8</v>
      </c>
      <c r="U8381" s="8">
        <v>12.6</v>
      </c>
      <c r="V8381" s="8">
        <v>1</v>
      </c>
      <c r="W8381" s="8">
        <v>0.3</v>
      </c>
      <c r="X8381" s="8">
        <v>170</v>
      </c>
      <c r="Y8381" s="8" t="s">
        <v>33652</v>
      </c>
      <c r="Z8381" s="8" t="s">
        <v>33653</v>
      </c>
    </row>
    <row r="8382" spans="1:26" x14ac:dyDescent="0.2">
      <c r="A8382" s="8">
        <v>8381</v>
      </c>
      <c r="B8382" s="8" t="s">
        <v>36869</v>
      </c>
      <c r="C8382" s="8" t="s">
        <v>36869</v>
      </c>
      <c r="G8382" s="8">
        <v>20</v>
      </c>
      <c r="H8382" s="8" t="s">
        <v>21</v>
      </c>
      <c r="I8382" s="8" t="s">
        <v>329</v>
      </c>
      <c r="J8382" s="8" t="s">
        <v>329</v>
      </c>
      <c r="K8382" s="8" t="s">
        <v>329</v>
      </c>
      <c r="L8382" s="8" t="s">
        <v>11765</v>
      </c>
      <c r="M8382" s="8" t="s">
        <v>11766</v>
      </c>
      <c r="N8382" s="8" t="s">
        <v>36870</v>
      </c>
      <c r="O8382" s="8">
        <f>9+30/60+30/3600</f>
        <v>9.5083333333333329</v>
      </c>
      <c r="P8382" s="8" t="s">
        <v>36871</v>
      </c>
      <c r="Q8382" s="8">
        <f>-(4+15/60+0/3600)</f>
        <v>-4.25</v>
      </c>
      <c r="R8382" s="8">
        <v>99</v>
      </c>
      <c r="S8382" s="8">
        <v>99</v>
      </c>
      <c r="T8382" s="8">
        <v>99</v>
      </c>
      <c r="U8382" s="8">
        <v>99</v>
      </c>
      <c r="Y8382" s="8" t="s">
        <v>36872</v>
      </c>
      <c r="Z8382" s="8" t="s">
        <v>36873</v>
      </c>
    </row>
    <row r="8383" spans="1:26" x14ac:dyDescent="0.2">
      <c r="A8383" s="8">
        <v>8382</v>
      </c>
      <c r="B8383" s="8" t="s">
        <v>36874</v>
      </c>
      <c r="C8383" s="8" t="s">
        <v>36874</v>
      </c>
      <c r="G8383" s="8">
        <v>20</v>
      </c>
      <c r="H8383" s="8" t="s">
        <v>21</v>
      </c>
      <c r="I8383" s="8" t="s">
        <v>22</v>
      </c>
      <c r="J8383" s="8" t="s">
        <v>22</v>
      </c>
      <c r="K8383" s="8" t="s">
        <v>435</v>
      </c>
      <c r="L8383" s="8" t="s">
        <v>11765</v>
      </c>
      <c r="M8383" s="8" t="s">
        <v>11766</v>
      </c>
      <c r="N8383" s="8" t="s">
        <v>36875</v>
      </c>
      <c r="O8383" s="8">
        <f>9+31/60+6.2/3600</f>
        <v>9.5183888888888895</v>
      </c>
      <c r="P8383" s="8" t="s">
        <v>36876</v>
      </c>
      <c r="Q8383" s="8">
        <f>-(13+10/60+52/3600)</f>
        <v>-13.181111111111111</v>
      </c>
      <c r="R8383" s="8">
        <v>13.7</v>
      </c>
      <c r="S8383" s="8">
        <v>14.6</v>
      </c>
      <c r="T8383" s="8">
        <v>0.9</v>
      </c>
      <c r="U8383" s="8">
        <v>12.3</v>
      </c>
      <c r="V8383" s="8">
        <v>1.2</v>
      </c>
      <c r="W8383" s="8">
        <v>0.4</v>
      </c>
      <c r="X8383" s="8">
        <v>96</v>
      </c>
      <c r="Y8383" s="8" t="s">
        <v>36834</v>
      </c>
      <c r="Z8383" s="8" t="s">
        <v>36835</v>
      </c>
    </row>
    <row r="8384" spans="1:26" x14ac:dyDescent="0.2">
      <c r="A8384" s="8">
        <v>8383</v>
      </c>
      <c r="B8384" s="8" t="s">
        <v>36877</v>
      </c>
      <c r="C8384" s="8" t="s">
        <v>36877</v>
      </c>
      <c r="G8384" s="8">
        <v>20</v>
      </c>
      <c r="H8384" s="8" t="s">
        <v>21</v>
      </c>
      <c r="I8384" s="8" t="s">
        <v>329</v>
      </c>
      <c r="J8384" s="8" t="s">
        <v>329</v>
      </c>
      <c r="K8384" s="8" t="s">
        <v>329</v>
      </c>
      <c r="L8384" s="8" t="s">
        <v>11765</v>
      </c>
      <c r="M8384" s="8" t="s">
        <v>11766</v>
      </c>
      <c r="N8384" s="8" t="s">
        <v>36878</v>
      </c>
      <c r="O8384" s="8">
        <f>9+31/60+9/3600</f>
        <v>9.519166666666667</v>
      </c>
      <c r="P8384" s="8" t="s">
        <v>36879</v>
      </c>
      <c r="Q8384" s="8">
        <f>-(14+46/60+24/3600)</f>
        <v>-14.773333333333333</v>
      </c>
      <c r="R8384" s="8">
        <v>99</v>
      </c>
      <c r="S8384" s="8">
        <v>99</v>
      </c>
      <c r="T8384" s="8">
        <v>99</v>
      </c>
      <c r="U8384" s="8">
        <v>99</v>
      </c>
      <c r="Y8384" s="8" t="s">
        <v>36880</v>
      </c>
      <c r="Z8384" s="8" t="s">
        <v>35060</v>
      </c>
    </row>
    <row r="8385" spans="1:26" x14ac:dyDescent="0.2">
      <c r="A8385" s="8">
        <v>8384</v>
      </c>
      <c r="B8385" s="8" t="s">
        <v>36881</v>
      </c>
      <c r="C8385" s="8" t="s">
        <v>36881</v>
      </c>
      <c r="G8385" s="8">
        <v>20</v>
      </c>
      <c r="H8385" s="8" t="s">
        <v>21</v>
      </c>
      <c r="I8385" s="8" t="s">
        <v>22</v>
      </c>
      <c r="J8385" s="8" t="s">
        <v>22</v>
      </c>
      <c r="K8385" s="8" t="s">
        <v>396</v>
      </c>
      <c r="L8385" s="8" t="s">
        <v>13194</v>
      </c>
      <c r="M8385" s="8" t="s">
        <v>13195</v>
      </c>
      <c r="N8385" s="8" t="s">
        <v>36882</v>
      </c>
      <c r="O8385" s="8">
        <f>9+35/60+53.1/3600</f>
        <v>9.5980833333333333</v>
      </c>
      <c r="P8385" s="8" t="s">
        <v>36883</v>
      </c>
      <c r="Q8385" s="8">
        <f>+(24+53/60+34/3600)</f>
        <v>24.892777777777777</v>
      </c>
      <c r="R8385" s="8">
        <v>14.6</v>
      </c>
      <c r="S8385" s="8">
        <v>15.4</v>
      </c>
      <c r="T8385" s="8">
        <v>0.8</v>
      </c>
      <c r="U8385" s="8">
        <v>12.5</v>
      </c>
      <c r="V8385" s="8">
        <v>0.8</v>
      </c>
      <c r="W8385" s="8">
        <v>0.2</v>
      </c>
      <c r="X8385" s="8">
        <v>25</v>
      </c>
      <c r="Y8385" s="8" t="s">
        <v>35361</v>
      </c>
      <c r="Z8385" s="8" t="s">
        <v>35362</v>
      </c>
    </row>
    <row r="8386" spans="1:26" x14ac:dyDescent="0.2">
      <c r="A8386" s="8">
        <v>8385</v>
      </c>
      <c r="B8386" s="8" t="s">
        <v>36884</v>
      </c>
      <c r="C8386" s="8" t="s">
        <v>36884</v>
      </c>
      <c r="G8386" s="8">
        <v>20</v>
      </c>
      <c r="H8386" s="8" t="s">
        <v>21</v>
      </c>
      <c r="I8386" s="8" t="s">
        <v>22</v>
      </c>
      <c r="J8386" s="8" t="s">
        <v>22</v>
      </c>
      <c r="K8386" s="8" t="s">
        <v>31</v>
      </c>
      <c r="L8386" s="8" t="s">
        <v>13194</v>
      </c>
      <c r="M8386" s="8" t="s">
        <v>13195</v>
      </c>
      <c r="N8386" s="8" t="s">
        <v>36885</v>
      </c>
      <c r="O8386" s="8">
        <f>9+36/60+5.3/3600</f>
        <v>9.6014722222222222</v>
      </c>
      <c r="P8386" s="8" t="s">
        <v>36886</v>
      </c>
      <c r="Q8386" s="8">
        <f>+(24+56/60+51/3600)</f>
        <v>24.947500000000002</v>
      </c>
      <c r="R8386" s="8">
        <v>14.4</v>
      </c>
      <c r="S8386" s="8">
        <v>15.2</v>
      </c>
      <c r="T8386" s="8">
        <v>0.8</v>
      </c>
      <c r="U8386" s="8">
        <v>12.5</v>
      </c>
      <c r="V8386" s="8">
        <v>0.5</v>
      </c>
      <c r="W8386" s="8">
        <v>0.4</v>
      </c>
      <c r="X8386" s="8">
        <v>3</v>
      </c>
      <c r="Y8386" s="8" t="s">
        <v>36887</v>
      </c>
      <c r="Z8386" s="8" t="s">
        <v>36888</v>
      </c>
    </row>
    <row r="8387" spans="1:26" x14ac:dyDescent="0.2">
      <c r="A8387" s="8">
        <v>8386</v>
      </c>
      <c r="B8387" s="8" t="s">
        <v>36889</v>
      </c>
      <c r="C8387" s="8" t="s">
        <v>36889</v>
      </c>
      <c r="G8387" s="8">
        <v>20</v>
      </c>
      <c r="H8387" s="8" t="s">
        <v>21</v>
      </c>
      <c r="I8387" s="8" t="s">
        <v>22</v>
      </c>
      <c r="J8387" s="8" t="s">
        <v>22</v>
      </c>
      <c r="K8387" s="8" t="s">
        <v>632</v>
      </c>
      <c r="L8387" s="8" t="s">
        <v>11765</v>
      </c>
      <c r="M8387" s="8" t="s">
        <v>11766</v>
      </c>
      <c r="N8387" s="8" t="s">
        <v>36890</v>
      </c>
      <c r="O8387" s="8">
        <f>9+34/60+50.2/3600</f>
        <v>9.5806111111111107</v>
      </c>
      <c r="P8387" s="8" t="s">
        <v>22643</v>
      </c>
      <c r="Q8387" s="8">
        <f>-(16+23/60+4/3600)</f>
        <v>-16.384444444444444</v>
      </c>
      <c r="R8387" s="8">
        <v>13.4</v>
      </c>
      <c r="S8387" s="8">
        <v>14.3</v>
      </c>
      <c r="T8387" s="8">
        <v>0.9</v>
      </c>
      <c r="U8387" s="8">
        <v>13.1</v>
      </c>
      <c r="V8387" s="8">
        <v>1.1000000000000001</v>
      </c>
      <c r="W8387" s="8">
        <v>0.7</v>
      </c>
      <c r="X8387" s="8">
        <v>100</v>
      </c>
      <c r="Y8387" s="8" t="s">
        <v>21</v>
      </c>
      <c r="Z8387" s="8" t="s">
        <v>36891</v>
      </c>
    </row>
    <row r="8388" spans="1:26" x14ac:dyDescent="0.2">
      <c r="A8388" s="8">
        <v>8387</v>
      </c>
      <c r="B8388" s="8" t="s">
        <v>36892</v>
      </c>
      <c r="C8388" s="8" t="s">
        <v>36892</v>
      </c>
      <c r="G8388" s="8">
        <v>20</v>
      </c>
      <c r="H8388" s="8" t="s">
        <v>21</v>
      </c>
      <c r="I8388" s="8" t="s">
        <v>22</v>
      </c>
      <c r="J8388" s="8" t="s">
        <v>57</v>
      </c>
      <c r="K8388" s="8" t="s">
        <v>85</v>
      </c>
      <c r="L8388" s="8" t="s">
        <v>11765</v>
      </c>
      <c r="M8388" s="8" t="s">
        <v>11766</v>
      </c>
      <c r="N8388" s="8" t="s">
        <v>13573</v>
      </c>
      <c r="O8388" s="8">
        <f>9+36/60+5.8/3600</f>
        <v>9.6016111111111115</v>
      </c>
      <c r="P8388" s="8" t="s">
        <v>13574</v>
      </c>
      <c r="Q8388" s="8">
        <f>-(12+26/60+12/3600)</f>
        <v>-12.436666666666667</v>
      </c>
      <c r="R8388" s="8">
        <v>12.1</v>
      </c>
      <c r="S8388" s="8">
        <v>12.9</v>
      </c>
      <c r="T8388" s="8">
        <v>0.8</v>
      </c>
      <c r="U8388" s="8">
        <v>12.7</v>
      </c>
      <c r="V8388" s="8">
        <v>1.5</v>
      </c>
      <c r="W8388" s="8">
        <v>1.4</v>
      </c>
      <c r="X8388" s="8">
        <v>25</v>
      </c>
      <c r="Y8388" s="8" t="s">
        <v>35648</v>
      </c>
      <c r="Z8388" s="8" t="s">
        <v>35649</v>
      </c>
    </row>
    <row r="8389" spans="1:26" x14ac:dyDescent="0.2">
      <c r="A8389" s="8">
        <v>8388</v>
      </c>
      <c r="B8389" s="8" t="s">
        <v>36893</v>
      </c>
      <c r="C8389" s="8" t="s">
        <v>36893</v>
      </c>
      <c r="G8389" s="8">
        <v>20</v>
      </c>
      <c r="H8389" s="8" t="s">
        <v>21</v>
      </c>
      <c r="I8389" s="8" t="s">
        <v>22</v>
      </c>
      <c r="J8389" s="8" t="s">
        <v>22</v>
      </c>
      <c r="K8389" s="8" t="s">
        <v>449</v>
      </c>
      <c r="L8389" s="8" t="s">
        <v>13194</v>
      </c>
      <c r="M8389" s="8" t="s">
        <v>13195</v>
      </c>
      <c r="N8389" s="8" t="s">
        <v>36894</v>
      </c>
      <c r="O8389" s="8">
        <f>9+38/60+19.3/3600</f>
        <v>9.6386944444444431</v>
      </c>
      <c r="P8389" s="8" t="s">
        <v>36895</v>
      </c>
      <c r="Q8389" s="8">
        <f>+(9+26/60+46/3600)</f>
        <v>9.4461111111111116</v>
      </c>
      <c r="R8389" s="8">
        <v>14.7</v>
      </c>
      <c r="S8389" s="8">
        <v>15.5</v>
      </c>
      <c r="T8389" s="8">
        <v>0.8</v>
      </c>
      <c r="U8389" s="8">
        <v>12.2</v>
      </c>
      <c r="V8389" s="8">
        <v>0.6</v>
      </c>
      <c r="W8389" s="8">
        <v>0.2</v>
      </c>
      <c r="X8389" s="8">
        <v>175</v>
      </c>
      <c r="Y8389" s="8" t="s">
        <v>21</v>
      </c>
      <c r="Z8389" s="8" t="s">
        <v>36896</v>
      </c>
    </row>
    <row r="8390" spans="1:26" x14ac:dyDescent="0.2">
      <c r="A8390" s="8">
        <v>8389</v>
      </c>
      <c r="B8390" s="8" t="s">
        <v>36897</v>
      </c>
      <c r="C8390" s="8" t="s">
        <v>36897</v>
      </c>
      <c r="G8390" s="8">
        <v>20</v>
      </c>
      <c r="H8390" s="8" t="s">
        <v>21</v>
      </c>
      <c r="I8390" s="8" t="s">
        <v>22</v>
      </c>
      <c r="J8390" s="8" t="s">
        <v>22</v>
      </c>
      <c r="K8390" s="8" t="s">
        <v>449</v>
      </c>
      <c r="L8390" s="8" t="s">
        <v>11765</v>
      </c>
      <c r="M8390" s="8" t="s">
        <v>11766</v>
      </c>
      <c r="N8390" s="8" t="s">
        <v>36898</v>
      </c>
      <c r="O8390" s="8">
        <f>9+40/60+43.1/3600</f>
        <v>9.678638888888889</v>
      </c>
      <c r="P8390" s="8" t="s">
        <v>36899</v>
      </c>
      <c r="Q8390" s="8">
        <f>+(3+57/60+32/3600)</f>
        <v>3.9588888888888891</v>
      </c>
      <c r="R8390" s="8">
        <v>14.7</v>
      </c>
      <c r="S8390" s="8">
        <v>15.5</v>
      </c>
      <c r="T8390" s="8">
        <v>0.8</v>
      </c>
      <c r="U8390" s="8">
        <v>12.5</v>
      </c>
      <c r="V8390" s="8">
        <v>0.5</v>
      </c>
      <c r="W8390" s="8">
        <v>0.3</v>
      </c>
      <c r="X8390" s="8">
        <v>3</v>
      </c>
      <c r="Y8390" s="8" t="s">
        <v>36900</v>
      </c>
      <c r="Z8390" s="8" t="s">
        <v>36901</v>
      </c>
    </row>
    <row r="8391" spans="1:26" x14ac:dyDescent="0.2">
      <c r="A8391" s="8">
        <v>8390</v>
      </c>
      <c r="B8391" s="8" t="s">
        <v>36902</v>
      </c>
      <c r="C8391" s="8" t="s">
        <v>36902</v>
      </c>
      <c r="G8391" s="8">
        <v>20</v>
      </c>
      <c r="H8391" s="8" t="s">
        <v>21</v>
      </c>
      <c r="I8391" s="8" t="s">
        <v>22</v>
      </c>
      <c r="J8391" s="8" t="s">
        <v>22</v>
      </c>
      <c r="K8391" s="8" t="s">
        <v>37</v>
      </c>
      <c r="L8391" s="8" t="s">
        <v>11765</v>
      </c>
      <c r="M8391" s="8" t="s">
        <v>11766</v>
      </c>
      <c r="N8391" s="8" t="s">
        <v>36903</v>
      </c>
      <c r="O8391" s="8">
        <f>9+40/60+28.6/3600</f>
        <v>9.6746111111111102</v>
      </c>
      <c r="P8391" s="8" t="s">
        <v>36904</v>
      </c>
      <c r="Q8391" s="8">
        <f>-(6+56/60+45/3600)</f>
        <v>-6.9458333333333337</v>
      </c>
      <c r="R8391" s="8">
        <v>13.5</v>
      </c>
      <c r="S8391" s="8">
        <v>14.5</v>
      </c>
      <c r="T8391" s="8">
        <v>1</v>
      </c>
      <c r="U8391" s="8">
        <v>12.4</v>
      </c>
      <c r="V8391" s="8">
        <v>0.8</v>
      </c>
      <c r="W8391" s="8">
        <v>0.5</v>
      </c>
      <c r="X8391" s="8">
        <v>30</v>
      </c>
      <c r="Y8391" s="8" t="s">
        <v>36905</v>
      </c>
      <c r="Z8391" s="8" t="s">
        <v>36906</v>
      </c>
    </row>
    <row r="8392" spans="1:26" x14ac:dyDescent="0.2">
      <c r="A8392" s="8">
        <v>8391</v>
      </c>
      <c r="B8392" s="8" t="s">
        <v>36907</v>
      </c>
      <c r="C8392" s="8" t="s">
        <v>36907</v>
      </c>
      <c r="G8392" s="8">
        <v>20</v>
      </c>
      <c r="H8392" s="8" t="s">
        <v>21</v>
      </c>
      <c r="I8392" s="8" t="s">
        <v>22</v>
      </c>
      <c r="J8392" s="8" t="s">
        <v>22</v>
      </c>
      <c r="K8392" s="8" t="s">
        <v>449</v>
      </c>
      <c r="L8392" s="8" t="s">
        <v>13194</v>
      </c>
      <c r="M8392" s="8" t="s">
        <v>13195</v>
      </c>
      <c r="N8392" s="8" t="s">
        <v>36908</v>
      </c>
      <c r="O8392" s="8">
        <f>9+41/60+0/3600</f>
        <v>9.6833333333333336</v>
      </c>
      <c r="P8392" s="8" t="s">
        <v>36909</v>
      </c>
      <c r="Q8392" s="8">
        <f>+(6+56/60+12/3600)</f>
        <v>6.9366666666666665</v>
      </c>
      <c r="R8392" s="8">
        <v>13.6</v>
      </c>
      <c r="S8392" s="8">
        <v>14.4</v>
      </c>
      <c r="T8392" s="8">
        <v>0.8</v>
      </c>
      <c r="U8392" s="8">
        <v>12.5</v>
      </c>
      <c r="V8392" s="8">
        <v>0.8</v>
      </c>
      <c r="W8392" s="8">
        <v>0.7</v>
      </c>
      <c r="X8392" s="8">
        <v>168</v>
      </c>
      <c r="Y8392" s="8" t="s">
        <v>36910</v>
      </c>
      <c r="Z8392" s="8" t="s">
        <v>36911</v>
      </c>
    </row>
    <row r="8393" spans="1:26" x14ac:dyDescent="0.2">
      <c r="A8393" s="8">
        <v>8392</v>
      </c>
      <c r="B8393" s="8" t="s">
        <v>36912</v>
      </c>
      <c r="C8393" s="8" t="s">
        <v>36912</v>
      </c>
      <c r="G8393" s="8">
        <v>20</v>
      </c>
      <c r="H8393" s="8" t="s">
        <v>21</v>
      </c>
      <c r="I8393" s="8" t="s">
        <v>22</v>
      </c>
      <c r="J8393" s="8" t="s">
        <v>22</v>
      </c>
      <c r="K8393" s="8" t="s">
        <v>37</v>
      </c>
      <c r="L8393" s="8" t="s">
        <v>13194</v>
      </c>
      <c r="M8393" s="8" t="s">
        <v>13195</v>
      </c>
      <c r="N8393" s="8" t="s">
        <v>36913</v>
      </c>
      <c r="O8393" s="8">
        <f>9+41/60+16.5/3600</f>
        <v>9.6879166666666663</v>
      </c>
      <c r="P8393" s="8" t="s">
        <v>36914</v>
      </c>
      <c r="Q8393" s="8">
        <f>+(10+38/60+50/3600)</f>
        <v>10.647222222222222</v>
      </c>
      <c r="R8393" s="8">
        <v>13.4</v>
      </c>
      <c r="S8393" s="8">
        <v>14.4</v>
      </c>
      <c r="T8393" s="8">
        <v>1</v>
      </c>
      <c r="U8393" s="8">
        <v>12.7</v>
      </c>
      <c r="V8393" s="8">
        <v>1</v>
      </c>
      <c r="W8393" s="8">
        <v>0.6</v>
      </c>
      <c r="X8393" s="8">
        <v>1</v>
      </c>
      <c r="Y8393" s="8" t="s">
        <v>21</v>
      </c>
      <c r="Z8393" s="8" t="s">
        <v>36915</v>
      </c>
    </row>
    <row r="8394" spans="1:26" x14ac:dyDescent="0.2">
      <c r="A8394" s="8">
        <v>8393</v>
      </c>
      <c r="B8394" s="8" t="s">
        <v>36916</v>
      </c>
      <c r="C8394" s="8" t="s">
        <v>36916</v>
      </c>
      <c r="G8394" s="8">
        <v>20</v>
      </c>
      <c r="H8394" s="8" t="s">
        <v>21</v>
      </c>
      <c r="I8394" s="8" t="s">
        <v>22</v>
      </c>
      <c r="J8394" s="8" t="s">
        <v>22</v>
      </c>
      <c r="K8394" s="8" t="s">
        <v>91</v>
      </c>
      <c r="L8394" s="8" t="s">
        <v>11765</v>
      </c>
      <c r="M8394" s="8" t="s">
        <v>11766</v>
      </c>
      <c r="N8394" s="8" t="s">
        <v>36917</v>
      </c>
      <c r="O8394" s="8">
        <f>9+40/60+45/3600</f>
        <v>9.6791666666666654</v>
      </c>
      <c r="P8394" s="8" t="s">
        <v>36918</v>
      </c>
      <c r="Q8394" s="8">
        <f>-(5+26/60+7/3600)</f>
        <v>-5.4352777777777783</v>
      </c>
      <c r="R8394" s="8">
        <v>13.7</v>
      </c>
      <c r="S8394" s="8">
        <v>14.6</v>
      </c>
      <c r="T8394" s="8">
        <v>0.9</v>
      </c>
      <c r="U8394" s="8">
        <v>13.6</v>
      </c>
      <c r="V8394" s="8">
        <v>1.2</v>
      </c>
      <c r="W8394" s="8">
        <v>0.9</v>
      </c>
      <c r="X8394" s="8">
        <v>129</v>
      </c>
      <c r="Y8394" s="8" t="s">
        <v>35781</v>
      </c>
      <c r="Z8394" s="8" t="s">
        <v>35782</v>
      </c>
    </row>
    <row r="8395" spans="1:26" x14ac:dyDescent="0.2">
      <c r="A8395" s="8">
        <v>8394</v>
      </c>
      <c r="B8395" s="8" t="s">
        <v>36919</v>
      </c>
      <c r="C8395" s="8" t="s">
        <v>36919</v>
      </c>
      <c r="G8395" s="8">
        <v>20</v>
      </c>
      <c r="H8395" s="8" t="s">
        <v>21</v>
      </c>
      <c r="I8395" s="8" t="s">
        <v>22</v>
      </c>
      <c r="J8395" s="8" t="s">
        <v>57</v>
      </c>
      <c r="K8395" s="8" t="s">
        <v>37</v>
      </c>
      <c r="L8395" s="8" t="s">
        <v>13194</v>
      </c>
      <c r="M8395" s="8" t="s">
        <v>13195</v>
      </c>
      <c r="N8395" s="8" t="s">
        <v>36920</v>
      </c>
      <c r="O8395" s="8">
        <f>9+41/60+57/3600</f>
        <v>9.6991666666666667</v>
      </c>
      <c r="P8395" s="8" t="s">
        <v>36921</v>
      </c>
      <c r="Q8395" s="8">
        <f>+(12+17/60+47/3600)</f>
        <v>12.296388888888888</v>
      </c>
      <c r="R8395" s="8">
        <v>13.3</v>
      </c>
      <c r="S8395" s="8">
        <v>14.3</v>
      </c>
      <c r="T8395" s="8">
        <v>1</v>
      </c>
      <c r="U8395" s="8">
        <v>12.7</v>
      </c>
      <c r="V8395" s="8">
        <v>1.3</v>
      </c>
      <c r="W8395" s="8">
        <v>0.5</v>
      </c>
      <c r="X8395" s="8">
        <v>18</v>
      </c>
      <c r="Y8395" s="8" t="s">
        <v>6420</v>
      </c>
      <c r="Z8395" s="8" t="s">
        <v>36922</v>
      </c>
    </row>
    <row r="8396" spans="1:26" x14ac:dyDescent="0.2">
      <c r="A8396" s="8">
        <v>8395</v>
      </c>
      <c r="B8396" s="8" t="s">
        <v>36923</v>
      </c>
      <c r="C8396" s="8" t="s">
        <v>36923</v>
      </c>
      <c r="G8396" s="8">
        <v>20</v>
      </c>
      <c r="H8396" s="8" t="s">
        <v>21</v>
      </c>
      <c r="I8396" s="8" t="s">
        <v>22</v>
      </c>
      <c r="J8396" s="8" t="s">
        <v>22</v>
      </c>
      <c r="K8396" s="8" t="s">
        <v>37</v>
      </c>
      <c r="L8396" s="8" t="s">
        <v>13194</v>
      </c>
      <c r="M8396" s="8" t="s">
        <v>13195</v>
      </c>
      <c r="N8396" s="8" t="s">
        <v>36920</v>
      </c>
      <c r="O8396" s="8">
        <f>9+41/60+57/3600</f>
        <v>9.6991666666666667</v>
      </c>
      <c r="P8396" s="8" t="s">
        <v>36921</v>
      </c>
      <c r="Q8396" s="8">
        <f>+(12+17/60+47/3600)</f>
        <v>12.296388888888888</v>
      </c>
      <c r="R8396" s="8">
        <v>13.3</v>
      </c>
      <c r="S8396" s="8">
        <v>14.3</v>
      </c>
      <c r="T8396" s="8">
        <v>1</v>
      </c>
      <c r="U8396" s="8">
        <v>12.7</v>
      </c>
      <c r="V8396" s="8">
        <v>1.3</v>
      </c>
      <c r="W8396" s="8">
        <v>0.5</v>
      </c>
      <c r="X8396" s="8">
        <v>18</v>
      </c>
      <c r="Y8396" s="8" t="s">
        <v>8732</v>
      </c>
      <c r="Z8396" s="8" t="s">
        <v>8733</v>
      </c>
    </row>
    <row r="8397" spans="1:26" x14ac:dyDescent="0.2">
      <c r="A8397" s="8">
        <v>8396</v>
      </c>
      <c r="B8397" s="8" t="s">
        <v>36924</v>
      </c>
      <c r="C8397" s="8" t="s">
        <v>36924</v>
      </c>
      <c r="G8397" s="8">
        <v>20</v>
      </c>
      <c r="H8397" s="8" t="s">
        <v>21</v>
      </c>
      <c r="I8397" s="8" t="s">
        <v>22</v>
      </c>
      <c r="J8397" s="8" t="s">
        <v>57</v>
      </c>
      <c r="K8397" s="8" t="s">
        <v>37</v>
      </c>
      <c r="L8397" s="8" t="s">
        <v>13194</v>
      </c>
      <c r="M8397" s="8" t="s">
        <v>13195</v>
      </c>
      <c r="N8397" s="8" t="s">
        <v>13749</v>
      </c>
      <c r="O8397" s="8">
        <f>9+43/60+40.3/3600</f>
        <v>9.7278611111111104</v>
      </c>
      <c r="P8397" s="8" t="s">
        <v>13750</v>
      </c>
      <c r="Q8397" s="8">
        <f>+(11+3/60+41/3600)</f>
        <v>11.061388888888889</v>
      </c>
      <c r="R8397" s="8">
        <v>13.4</v>
      </c>
      <c r="S8397" s="8">
        <v>14.4</v>
      </c>
      <c r="T8397" s="8">
        <v>1</v>
      </c>
      <c r="U8397" s="8">
        <v>12.5</v>
      </c>
      <c r="V8397" s="8">
        <v>0.7</v>
      </c>
      <c r="W8397" s="8">
        <v>0.7</v>
      </c>
      <c r="Y8397" s="8" t="s">
        <v>36925</v>
      </c>
      <c r="Z8397" s="8" t="s">
        <v>36926</v>
      </c>
    </row>
    <row r="8398" spans="1:26" x14ac:dyDescent="0.2">
      <c r="A8398" s="8">
        <v>8397</v>
      </c>
      <c r="B8398" s="8" t="s">
        <v>36927</v>
      </c>
      <c r="C8398" s="8" t="s">
        <v>36927</v>
      </c>
      <c r="G8398" s="8">
        <v>20</v>
      </c>
      <c r="H8398" s="8" t="s">
        <v>21</v>
      </c>
      <c r="I8398" s="8" t="s">
        <v>22</v>
      </c>
      <c r="J8398" s="8" t="s">
        <v>22</v>
      </c>
      <c r="K8398" s="8" t="s">
        <v>23</v>
      </c>
      <c r="L8398" s="8" t="s">
        <v>13194</v>
      </c>
      <c r="M8398" s="8" t="s">
        <v>13195</v>
      </c>
      <c r="N8398" s="8" t="s">
        <v>36928</v>
      </c>
      <c r="O8398" s="8">
        <f>9+44/60+2.5/3600</f>
        <v>9.7340277777777775</v>
      </c>
      <c r="P8398" s="8" t="s">
        <v>36929</v>
      </c>
      <c r="Q8398" s="8">
        <f>+(10+59/60+19/3600)</f>
        <v>10.98861111111111</v>
      </c>
      <c r="R8398" s="8">
        <v>13.9</v>
      </c>
      <c r="S8398" s="8">
        <v>14.7</v>
      </c>
      <c r="T8398" s="8">
        <v>0.8</v>
      </c>
      <c r="U8398" s="8">
        <v>12.5</v>
      </c>
      <c r="V8398" s="8">
        <v>0.8</v>
      </c>
      <c r="W8398" s="8">
        <v>0.4</v>
      </c>
      <c r="X8398" s="8">
        <v>42</v>
      </c>
      <c r="Y8398" s="8" t="s">
        <v>36930</v>
      </c>
      <c r="Z8398" s="8" t="s">
        <v>36931</v>
      </c>
    </row>
    <row r="8399" spans="1:26" x14ac:dyDescent="0.2">
      <c r="A8399" s="8">
        <v>8398</v>
      </c>
      <c r="B8399" s="8" t="s">
        <v>36932</v>
      </c>
      <c r="C8399" s="8" t="s">
        <v>36932</v>
      </c>
      <c r="G8399" s="8">
        <v>20</v>
      </c>
      <c r="H8399" s="8" t="s">
        <v>21</v>
      </c>
      <c r="I8399" s="8" t="s">
        <v>22</v>
      </c>
      <c r="J8399" s="8" t="s">
        <v>22</v>
      </c>
      <c r="K8399" s="8" t="s">
        <v>460</v>
      </c>
      <c r="L8399" s="8" t="s">
        <v>13194</v>
      </c>
      <c r="M8399" s="8" t="s">
        <v>13195</v>
      </c>
      <c r="N8399" s="8" t="s">
        <v>36933</v>
      </c>
      <c r="O8399" s="8">
        <f>9+45/60+0.3/3600</f>
        <v>9.7500833333333325</v>
      </c>
      <c r="P8399" s="8" t="s">
        <v>36934</v>
      </c>
      <c r="Q8399" s="8">
        <f>+(29+27/60+10/3600)</f>
        <v>29.452777777777776</v>
      </c>
      <c r="R8399" s="8">
        <v>13.6</v>
      </c>
      <c r="S8399" s="8">
        <v>14.6</v>
      </c>
      <c r="T8399" s="8">
        <v>1</v>
      </c>
      <c r="U8399" s="8">
        <v>13</v>
      </c>
      <c r="V8399" s="8">
        <v>0.8</v>
      </c>
      <c r="W8399" s="8">
        <v>0.8</v>
      </c>
      <c r="Y8399" s="8" t="s">
        <v>11395</v>
      </c>
      <c r="Z8399" s="8" t="s">
        <v>11396</v>
      </c>
    </row>
    <row r="8400" spans="1:26" x14ac:dyDescent="0.2">
      <c r="A8400" s="8">
        <v>8399</v>
      </c>
      <c r="B8400" s="8" t="s">
        <v>36935</v>
      </c>
      <c r="C8400" s="8" t="s">
        <v>36935</v>
      </c>
      <c r="G8400" s="8">
        <v>20</v>
      </c>
      <c r="H8400" s="8" t="s">
        <v>21</v>
      </c>
      <c r="I8400" s="8" t="s">
        <v>22</v>
      </c>
      <c r="J8400" s="8" t="s">
        <v>22</v>
      </c>
      <c r="K8400" s="8" t="s">
        <v>476</v>
      </c>
      <c r="L8400" s="8" t="s">
        <v>13194</v>
      </c>
      <c r="M8400" s="8" t="s">
        <v>13195</v>
      </c>
      <c r="N8400" s="8" t="s">
        <v>36936</v>
      </c>
      <c r="O8400" s="8">
        <f>9+44/60+43.8/3600</f>
        <v>9.7454999999999998</v>
      </c>
      <c r="P8400" s="8" t="s">
        <v>36937</v>
      </c>
      <c r="Q8400" s="8">
        <f>+(9+36/60+57/3600)</f>
        <v>9.6158333333333328</v>
      </c>
      <c r="R8400" s="8">
        <v>14.2</v>
      </c>
      <c r="S8400" s="8">
        <v>15.1</v>
      </c>
      <c r="T8400" s="8">
        <v>0.9</v>
      </c>
      <c r="U8400" s="8">
        <v>13.4</v>
      </c>
      <c r="V8400" s="8">
        <v>0.9</v>
      </c>
      <c r="W8400" s="8">
        <v>0.6</v>
      </c>
      <c r="X8400" s="8">
        <v>90</v>
      </c>
      <c r="Y8400" s="8" t="s">
        <v>34999</v>
      </c>
      <c r="Z8400" s="8" t="s">
        <v>35000</v>
      </c>
    </row>
    <row r="8401" spans="1:26" x14ac:dyDescent="0.2">
      <c r="A8401" s="8">
        <v>8400</v>
      </c>
      <c r="B8401" s="8" t="s">
        <v>36938</v>
      </c>
      <c r="C8401" s="8" t="s">
        <v>36938</v>
      </c>
      <c r="G8401" s="8">
        <v>20</v>
      </c>
      <c r="H8401" s="8" t="s">
        <v>21</v>
      </c>
      <c r="I8401" s="8" t="s">
        <v>22</v>
      </c>
      <c r="J8401" s="8" t="s">
        <v>22</v>
      </c>
      <c r="K8401" s="8" t="s">
        <v>632</v>
      </c>
      <c r="L8401" s="8" t="s">
        <v>12234</v>
      </c>
      <c r="M8401" s="8" t="s">
        <v>12235</v>
      </c>
      <c r="N8401" s="8" t="s">
        <v>36939</v>
      </c>
      <c r="O8401" s="8">
        <f>9+45/60+53.4/3600</f>
        <v>9.7648333333333337</v>
      </c>
      <c r="P8401" s="8" t="s">
        <v>36940</v>
      </c>
      <c r="Q8401" s="8">
        <f>-(0+16/60+6/3600)</f>
        <v>-0.26833333333333331</v>
      </c>
      <c r="R8401" s="8">
        <v>13.3</v>
      </c>
      <c r="S8401" s="8">
        <v>14.2</v>
      </c>
      <c r="T8401" s="8">
        <v>0.9</v>
      </c>
      <c r="U8401" s="8">
        <v>13.2</v>
      </c>
      <c r="V8401" s="8">
        <v>1.3</v>
      </c>
      <c r="W8401" s="8">
        <v>0.6</v>
      </c>
      <c r="X8401" s="8">
        <v>15</v>
      </c>
      <c r="Y8401" s="8" t="s">
        <v>21</v>
      </c>
      <c r="Z8401" s="8" t="s">
        <v>36941</v>
      </c>
    </row>
    <row r="8402" spans="1:26" x14ac:dyDescent="0.2">
      <c r="A8402" s="8">
        <v>8401</v>
      </c>
      <c r="B8402" s="8" t="s">
        <v>36942</v>
      </c>
      <c r="C8402" s="8" t="s">
        <v>36942</v>
      </c>
      <c r="G8402" s="8">
        <v>20</v>
      </c>
      <c r="H8402" s="8" t="s">
        <v>21</v>
      </c>
      <c r="I8402" s="8" t="s">
        <v>22</v>
      </c>
      <c r="J8402" s="8" t="s">
        <v>22</v>
      </c>
      <c r="K8402" s="8" t="s">
        <v>23</v>
      </c>
      <c r="L8402" s="8" t="s">
        <v>12234</v>
      </c>
      <c r="M8402" s="8" t="s">
        <v>12235</v>
      </c>
      <c r="N8402" s="8" t="s">
        <v>36943</v>
      </c>
      <c r="O8402" s="8">
        <f>9+45/60+58.9/3600</f>
        <v>9.7663611111111113</v>
      </c>
      <c r="P8402" s="8" t="s">
        <v>36944</v>
      </c>
      <c r="Q8402" s="8">
        <f>+(3+8/60+42/3600)</f>
        <v>3.145</v>
      </c>
      <c r="R8402" s="8">
        <v>14.6</v>
      </c>
      <c r="S8402" s="8">
        <v>15.6</v>
      </c>
      <c r="T8402" s="8">
        <v>1</v>
      </c>
      <c r="U8402" s="8">
        <v>12.1</v>
      </c>
      <c r="V8402" s="8">
        <v>0.4</v>
      </c>
      <c r="W8402" s="8">
        <v>0.3</v>
      </c>
      <c r="X8402" s="8">
        <v>15</v>
      </c>
      <c r="Y8402" s="8" t="s">
        <v>36945</v>
      </c>
      <c r="Z8402" s="8" t="s">
        <v>33675</v>
      </c>
    </row>
    <row r="8403" spans="1:26" x14ac:dyDescent="0.2">
      <c r="A8403" s="8">
        <v>8402</v>
      </c>
      <c r="B8403" s="8" t="s">
        <v>36946</v>
      </c>
      <c r="C8403" s="8" t="s">
        <v>36946</v>
      </c>
      <c r="G8403" s="8">
        <v>20</v>
      </c>
      <c r="H8403" s="8" t="s">
        <v>21</v>
      </c>
      <c r="I8403" s="8" t="s">
        <v>22</v>
      </c>
      <c r="J8403" s="8" t="s">
        <v>22</v>
      </c>
      <c r="K8403" s="8" t="s">
        <v>396</v>
      </c>
      <c r="L8403" s="8" t="s">
        <v>12234</v>
      </c>
      <c r="M8403" s="8" t="s">
        <v>12235</v>
      </c>
      <c r="N8403" s="8" t="s">
        <v>36947</v>
      </c>
      <c r="O8403" s="8">
        <f>9+46/60+4/3600</f>
        <v>9.7677777777777788</v>
      </c>
      <c r="P8403" s="8" t="s">
        <v>36948</v>
      </c>
      <c r="Q8403" s="8">
        <f>-(3+58/60+19/3600)</f>
        <v>-3.9719444444444445</v>
      </c>
      <c r="R8403" s="8">
        <v>14.2</v>
      </c>
      <c r="S8403" s="8">
        <v>15</v>
      </c>
      <c r="T8403" s="8">
        <v>0.8</v>
      </c>
      <c r="U8403" s="8">
        <v>13</v>
      </c>
      <c r="V8403" s="8">
        <v>1.3</v>
      </c>
      <c r="W8403" s="8">
        <v>0.3</v>
      </c>
      <c r="X8403" s="8">
        <v>150</v>
      </c>
      <c r="Y8403" s="8" t="s">
        <v>36949</v>
      </c>
      <c r="Z8403" s="8" t="s">
        <v>36950</v>
      </c>
    </row>
    <row r="8404" spans="1:26" x14ac:dyDescent="0.2">
      <c r="A8404" s="8">
        <v>8403</v>
      </c>
      <c r="B8404" s="8" t="s">
        <v>36951</v>
      </c>
      <c r="C8404" s="8" t="s">
        <v>36951</v>
      </c>
      <c r="G8404" s="8">
        <v>20</v>
      </c>
      <c r="H8404" s="8" t="s">
        <v>21</v>
      </c>
      <c r="I8404" s="8" t="s">
        <v>22</v>
      </c>
      <c r="J8404" s="8" t="s">
        <v>22</v>
      </c>
      <c r="K8404" s="8" t="s">
        <v>4023</v>
      </c>
      <c r="L8404" s="8" t="s">
        <v>12234</v>
      </c>
      <c r="M8404" s="8" t="s">
        <v>12235</v>
      </c>
      <c r="N8404" s="8" t="s">
        <v>36952</v>
      </c>
      <c r="O8404" s="8">
        <f>9+46/60+20.2/3600</f>
        <v>9.772277777777779</v>
      </c>
      <c r="P8404" s="8" t="s">
        <v>36953</v>
      </c>
      <c r="Q8404" s="8">
        <f>+(3+2/60+46/3600)</f>
        <v>3.0461111111111112</v>
      </c>
      <c r="R8404" s="8">
        <v>13.9</v>
      </c>
      <c r="S8404" s="8">
        <v>14.7</v>
      </c>
      <c r="T8404" s="8">
        <v>0.8</v>
      </c>
      <c r="U8404" s="8">
        <v>12.5</v>
      </c>
      <c r="V8404" s="8">
        <v>0.9</v>
      </c>
      <c r="W8404" s="8">
        <v>0.4</v>
      </c>
      <c r="X8404" s="8">
        <v>108</v>
      </c>
      <c r="Y8404" s="8" t="s">
        <v>6420</v>
      </c>
      <c r="Z8404" s="8" t="s">
        <v>36954</v>
      </c>
    </row>
    <row r="8405" spans="1:26" x14ac:dyDescent="0.2">
      <c r="A8405" s="8">
        <v>8404</v>
      </c>
      <c r="B8405" s="8" t="s">
        <v>36955</v>
      </c>
      <c r="C8405" s="8" t="s">
        <v>36955</v>
      </c>
      <c r="G8405" s="8">
        <v>20</v>
      </c>
      <c r="H8405" s="8" t="s">
        <v>21</v>
      </c>
      <c r="I8405" s="8" t="s">
        <v>22</v>
      </c>
      <c r="J8405" s="8" t="s">
        <v>22</v>
      </c>
      <c r="K8405" s="8" t="s">
        <v>579</v>
      </c>
      <c r="L8405" s="8" t="s">
        <v>12234</v>
      </c>
      <c r="M8405" s="8" t="s">
        <v>12235</v>
      </c>
      <c r="N8405" s="8" t="s">
        <v>36956</v>
      </c>
      <c r="O8405" s="8">
        <f>9+46/60+21/3600</f>
        <v>9.7725000000000009</v>
      </c>
      <c r="P8405" s="8" t="s">
        <v>36957</v>
      </c>
      <c r="Q8405" s="8">
        <f>+(3+4/60+16/3600)</f>
        <v>3.0711111111111111</v>
      </c>
      <c r="R8405" s="8">
        <v>13.4</v>
      </c>
      <c r="S8405" s="8">
        <v>14.1</v>
      </c>
      <c r="T8405" s="8">
        <v>0.7</v>
      </c>
      <c r="U8405" s="8">
        <v>12.8</v>
      </c>
      <c r="V8405" s="8">
        <v>1.7</v>
      </c>
      <c r="W8405" s="8">
        <v>0.4</v>
      </c>
      <c r="X8405" s="8">
        <v>68</v>
      </c>
      <c r="Y8405" s="8" t="s">
        <v>36958</v>
      </c>
      <c r="Z8405" s="8" t="s">
        <v>36959</v>
      </c>
    </row>
    <row r="8406" spans="1:26" x14ac:dyDescent="0.2">
      <c r="A8406" s="8">
        <v>8405</v>
      </c>
      <c r="B8406" s="8" t="s">
        <v>36960</v>
      </c>
      <c r="C8406" s="8" t="s">
        <v>36960</v>
      </c>
      <c r="G8406" s="8">
        <v>20</v>
      </c>
      <c r="H8406" s="8" t="s">
        <v>21</v>
      </c>
      <c r="I8406" s="8" t="s">
        <v>22</v>
      </c>
      <c r="J8406" s="8" t="s">
        <v>22</v>
      </c>
      <c r="K8406" s="8" t="s">
        <v>160</v>
      </c>
      <c r="L8406" s="8" t="s">
        <v>13194</v>
      </c>
      <c r="M8406" s="8" t="s">
        <v>13195</v>
      </c>
      <c r="N8406" s="8" t="s">
        <v>36961</v>
      </c>
      <c r="O8406" s="8">
        <f>9+47/60+50.3/3600</f>
        <v>9.797305555555555</v>
      </c>
      <c r="P8406" s="8" t="s">
        <v>36962</v>
      </c>
      <c r="Q8406" s="8">
        <f>+(15+51/60+5/3600)</f>
        <v>15.851388888888888</v>
      </c>
      <c r="R8406" s="8">
        <v>14.4</v>
      </c>
      <c r="S8406" s="8">
        <v>15.1</v>
      </c>
      <c r="T8406" s="8">
        <v>0.7</v>
      </c>
      <c r="U8406" s="8">
        <v>13</v>
      </c>
      <c r="V8406" s="8">
        <v>1.6</v>
      </c>
      <c r="W8406" s="8">
        <v>0.2</v>
      </c>
      <c r="X8406" s="8">
        <v>50</v>
      </c>
      <c r="Y8406" s="8" t="s">
        <v>33652</v>
      </c>
      <c r="Z8406" s="8" t="s">
        <v>33653</v>
      </c>
    </row>
    <row r="8407" spans="1:26" x14ac:dyDescent="0.2">
      <c r="A8407" s="8">
        <v>8406</v>
      </c>
      <c r="B8407" s="8" t="s">
        <v>36963</v>
      </c>
      <c r="C8407" s="8" t="s">
        <v>36963</v>
      </c>
      <c r="G8407" s="8">
        <v>20</v>
      </c>
      <c r="H8407" s="8" t="s">
        <v>21</v>
      </c>
      <c r="I8407" s="8" t="s">
        <v>22</v>
      </c>
      <c r="J8407" s="8" t="s">
        <v>22</v>
      </c>
      <c r="K8407" s="8" t="s">
        <v>424</v>
      </c>
      <c r="L8407" s="8" t="s">
        <v>12234</v>
      </c>
      <c r="M8407" s="8" t="s">
        <v>12235</v>
      </c>
      <c r="N8407" s="8" t="s">
        <v>36964</v>
      </c>
      <c r="O8407" s="8">
        <f>9+49/60+56.3/3600</f>
        <v>9.8323055555555552</v>
      </c>
      <c r="P8407" s="8" t="s">
        <v>36965</v>
      </c>
      <c r="Q8407" s="8">
        <f>-(0+13/60+51/3600)</f>
        <v>-0.23083333333333333</v>
      </c>
      <c r="R8407" s="8">
        <v>14.5</v>
      </c>
      <c r="S8407" s="8">
        <v>15.5</v>
      </c>
      <c r="T8407" s="8">
        <v>1</v>
      </c>
      <c r="U8407" s="8">
        <v>12.9</v>
      </c>
      <c r="V8407" s="8">
        <v>0.6</v>
      </c>
      <c r="W8407" s="8">
        <v>0.4</v>
      </c>
      <c r="X8407" s="8">
        <v>45</v>
      </c>
      <c r="Y8407" s="8" t="s">
        <v>115</v>
      </c>
      <c r="Z8407" s="8" t="s">
        <v>116</v>
      </c>
    </row>
    <row r="8408" spans="1:26" x14ac:dyDescent="0.2">
      <c r="A8408" s="8">
        <v>8407</v>
      </c>
      <c r="B8408" s="8" t="s">
        <v>36966</v>
      </c>
      <c r="C8408" s="8" t="s">
        <v>36966</v>
      </c>
      <c r="G8408" s="8">
        <v>20</v>
      </c>
      <c r="H8408" s="8" t="s">
        <v>21</v>
      </c>
      <c r="I8408" s="8" t="s">
        <v>72</v>
      </c>
      <c r="J8408" s="8" t="s">
        <v>72</v>
      </c>
      <c r="K8408" s="8" t="s">
        <v>20</v>
      </c>
      <c r="L8408" s="8" t="s">
        <v>13194</v>
      </c>
      <c r="M8408" s="8" t="s">
        <v>13195</v>
      </c>
      <c r="N8408" s="8" t="s">
        <v>36967</v>
      </c>
      <c r="O8408" s="8">
        <f>9+50/60+33.9/3600</f>
        <v>9.8427500000000006</v>
      </c>
      <c r="P8408" s="8" t="s">
        <v>36968</v>
      </c>
      <c r="Q8408" s="8">
        <f>+(12+47/60+8/3600)</f>
        <v>12.785555555555556</v>
      </c>
      <c r="R8408" s="8">
        <v>99</v>
      </c>
      <c r="S8408" s="8">
        <v>99</v>
      </c>
      <c r="T8408" s="8">
        <v>99</v>
      </c>
      <c r="U8408" s="8">
        <v>99</v>
      </c>
      <c r="Y8408" s="8" t="s">
        <v>36969</v>
      </c>
      <c r="Z8408" s="8" t="s">
        <v>36970</v>
      </c>
    </row>
    <row r="8409" spans="1:26" x14ac:dyDescent="0.2">
      <c r="A8409" s="8">
        <v>8408</v>
      </c>
      <c r="B8409" s="8" t="s">
        <v>36971</v>
      </c>
      <c r="C8409" s="8" t="s">
        <v>36971</v>
      </c>
      <c r="G8409" s="8">
        <v>20</v>
      </c>
      <c r="H8409" s="8" t="s">
        <v>21</v>
      </c>
      <c r="I8409" s="8" t="s">
        <v>22</v>
      </c>
      <c r="J8409" s="8" t="s">
        <v>22</v>
      </c>
      <c r="K8409" s="8" t="s">
        <v>218</v>
      </c>
      <c r="L8409" s="8" t="s">
        <v>13194</v>
      </c>
      <c r="M8409" s="8" t="s">
        <v>13195</v>
      </c>
      <c r="N8409" s="8" t="s">
        <v>36972</v>
      </c>
      <c r="O8409" s="8">
        <f>9+51/60+8.4/3600</f>
        <v>9.8523333333333323</v>
      </c>
      <c r="P8409" s="8" t="s">
        <v>36973</v>
      </c>
      <c r="Q8409" s="8">
        <f>+(15+43/60+50/3600)</f>
        <v>15.730555555555556</v>
      </c>
      <c r="R8409" s="8">
        <v>13.5</v>
      </c>
      <c r="S8409" s="8">
        <v>14.3</v>
      </c>
      <c r="T8409" s="8">
        <v>0.8</v>
      </c>
      <c r="U8409" s="8">
        <v>14</v>
      </c>
      <c r="V8409" s="8">
        <v>1.7</v>
      </c>
      <c r="W8409" s="8">
        <v>1.1000000000000001</v>
      </c>
      <c r="X8409" s="8">
        <v>33</v>
      </c>
      <c r="Y8409" s="8" t="s">
        <v>36974</v>
      </c>
      <c r="Z8409" s="8" t="s">
        <v>36975</v>
      </c>
    </row>
    <row r="8410" spans="1:26" x14ac:dyDescent="0.2">
      <c r="A8410" s="8">
        <v>8409</v>
      </c>
      <c r="B8410" s="8" t="s">
        <v>36976</v>
      </c>
      <c r="C8410" s="8" t="s">
        <v>36976</v>
      </c>
      <c r="G8410" s="8">
        <v>20</v>
      </c>
      <c r="H8410" s="8" t="s">
        <v>21</v>
      </c>
      <c r="I8410" s="8" t="s">
        <v>22</v>
      </c>
      <c r="J8410" s="8" t="s">
        <v>22</v>
      </c>
      <c r="K8410" s="8" t="s">
        <v>818</v>
      </c>
      <c r="L8410" s="8" t="s">
        <v>13194</v>
      </c>
      <c r="M8410" s="8" t="s">
        <v>13195</v>
      </c>
      <c r="N8410" s="8" t="s">
        <v>36977</v>
      </c>
      <c r="O8410" s="8">
        <f>9+51/60+28.1/3600</f>
        <v>9.8578055555555544</v>
      </c>
      <c r="P8410" s="8" t="s">
        <v>36978</v>
      </c>
      <c r="Q8410" s="8">
        <f>+(10+55/60+14/3600)</f>
        <v>10.920555555555556</v>
      </c>
      <c r="R8410" s="8">
        <v>14.1</v>
      </c>
      <c r="S8410" s="8">
        <v>15.1</v>
      </c>
      <c r="T8410" s="8">
        <v>1</v>
      </c>
      <c r="U8410" s="8">
        <v>11.9</v>
      </c>
      <c r="V8410" s="8">
        <v>0.4</v>
      </c>
      <c r="W8410" s="8">
        <v>0.3</v>
      </c>
      <c r="X8410" s="8">
        <v>162</v>
      </c>
      <c r="Y8410" s="8" t="s">
        <v>36979</v>
      </c>
      <c r="Z8410" s="8" t="s">
        <v>34755</v>
      </c>
    </row>
    <row r="8411" spans="1:26" x14ac:dyDescent="0.2">
      <c r="A8411" s="8">
        <v>8410</v>
      </c>
      <c r="B8411" s="8" t="s">
        <v>36980</v>
      </c>
      <c r="C8411" s="8" t="s">
        <v>36980</v>
      </c>
      <c r="G8411" s="8">
        <v>20</v>
      </c>
      <c r="H8411" s="8" t="s">
        <v>21</v>
      </c>
      <c r="I8411" s="8" t="s">
        <v>22</v>
      </c>
      <c r="J8411" s="8" t="s">
        <v>22</v>
      </c>
      <c r="K8411" s="8" t="s">
        <v>160</v>
      </c>
      <c r="L8411" s="8" t="s">
        <v>13194</v>
      </c>
      <c r="M8411" s="8" t="s">
        <v>13195</v>
      </c>
      <c r="N8411" s="8" t="s">
        <v>36981</v>
      </c>
      <c r="O8411" s="8">
        <f>9+51/60+50.9/3600</f>
        <v>9.8641388888888883</v>
      </c>
      <c r="P8411" s="8" t="s">
        <v>36982</v>
      </c>
      <c r="Q8411" s="8">
        <f>+(15+45/60+22/3600)</f>
        <v>15.75611111111111</v>
      </c>
      <c r="R8411" s="8">
        <v>14.8</v>
      </c>
      <c r="S8411" s="8">
        <v>15.5</v>
      </c>
      <c r="T8411" s="8">
        <v>0.7</v>
      </c>
      <c r="U8411" s="8">
        <v>13.1</v>
      </c>
      <c r="V8411" s="8">
        <v>0.5</v>
      </c>
      <c r="W8411" s="8">
        <v>0.5</v>
      </c>
      <c r="Y8411" s="8" t="s">
        <v>2186</v>
      </c>
      <c r="Z8411" s="8" t="s">
        <v>2187</v>
      </c>
    </row>
    <row r="8412" spans="1:26" x14ac:dyDescent="0.2">
      <c r="A8412" s="8">
        <v>8411</v>
      </c>
      <c r="B8412" s="8" t="s">
        <v>36983</v>
      </c>
      <c r="C8412" s="8" t="s">
        <v>36983</v>
      </c>
      <c r="G8412" s="8">
        <v>20</v>
      </c>
      <c r="H8412" s="8" t="s">
        <v>21</v>
      </c>
      <c r="I8412" s="8" t="s">
        <v>22</v>
      </c>
      <c r="J8412" s="8" t="s">
        <v>22</v>
      </c>
      <c r="K8412" s="8" t="s">
        <v>449</v>
      </c>
      <c r="L8412" s="8" t="s">
        <v>13194</v>
      </c>
      <c r="M8412" s="8" t="s">
        <v>13195</v>
      </c>
      <c r="N8412" s="8" t="s">
        <v>36984</v>
      </c>
      <c r="O8412" s="8">
        <f>9+52/60+31.5/3600</f>
        <v>9.8754166666666663</v>
      </c>
      <c r="P8412" s="8" t="s">
        <v>36985</v>
      </c>
      <c r="Q8412" s="8">
        <f>+(15+46/60+31/3600)</f>
        <v>15.775277777777779</v>
      </c>
      <c r="R8412" s="8">
        <v>15.1</v>
      </c>
      <c r="S8412" s="8">
        <v>15.9</v>
      </c>
      <c r="T8412" s="8">
        <v>0.8</v>
      </c>
      <c r="U8412" s="8">
        <v>14.4</v>
      </c>
      <c r="V8412" s="8">
        <v>1</v>
      </c>
      <c r="W8412" s="8">
        <v>0.6</v>
      </c>
      <c r="X8412" s="8">
        <v>0</v>
      </c>
      <c r="Y8412" s="8" t="s">
        <v>36247</v>
      </c>
      <c r="Z8412" s="8" t="s">
        <v>36248</v>
      </c>
    </row>
    <row r="8413" spans="1:26" x14ac:dyDescent="0.2">
      <c r="A8413" s="8">
        <v>8412</v>
      </c>
      <c r="B8413" s="8" t="s">
        <v>36986</v>
      </c>
      <c r="C8413" s="8" t="s">
        <v>36986</v>
      </c>
      <c r="G8413" s="8">
        <v>20</v>
      </c>
      <c r="H8413" s="8" t="s">
        <v>21</v>
      </c>
      <c r="I8413" s="8" t="s">
        <v>22</v>
      </c>
      <c r="J8413" s="8" t="s">
        <v>22</v>
      </c>
      <c r="K8413" s="8" t="s">
        <v>460</v>
      </c>
      <c r="L8413" s="8" t="s">
        <v>13194</v>
      </c>
      <c r="M8413" s="8" t="s">
        <v>13195</v>
      </c>
      <c r="N8413" s="8" t="s">
        <v>36987</v>
      </c>
      <c r="O8413" s="8">
        <f>9+52/60+32.8/3600</f>
        <v>9.8757777777777775</v>
      </c>
      <c r="P8413" s="8" t="s">
        <v>36988</v>
      </c>
      <c r="Q8413" s="8">
        <f>+(15+49/60+39/3600)</f>
        <v>15.827500000000001</v>
      </c>
      <c r="R8413" s="8">
        <v>14.8</v>
      </c>
      <c r="S8413" s="8">
        <v>15.8</v>
      </c>
      <c r="T8413" s="8">
        <v>1</v>
      </c>
      <c r="U8413" s="8">
        <v>13.4</v>
      </c>
      <c r="V8413" s="8">
        <v>0.5</v>
      </c>
      <c r="W8413" s="8">
        <v>0.5</v>
      </c>
      <c r="Y8413" s="8" t="s">
        <v>6420</v>
      </c>
      <c r="Z8413" s="8" t="s">
        <v>6421</v>
      </c>
    </row>
    <row r="8414" spans="1:26" x14ac:dyDescent="0.2">
      <c r="A8414" s="8">
        <v>8413</v>
      </c>
      <c r="B8414" s="8" t="s">
        <v>36989</v>
      </c>
      <c r="C8414" s="8" t="s">
        <v>36989</v>
      </c>
      <c r="G8414" s="8">
        <v>20</v>
      </c>
      <c r="H8414" s="8" t="s">
        <v>21</v>
      </c>
      <c r="I8414" s="8" t="s">
        <v>22</v>
      </c>
      <c r="J8414" s="8" t="s">
        <v>57</v>
      </c>
      <c r="K8414" s="8" t="s">
        <v>160</v>
      </c>
      <c r="L8414" s="8" t="s">
        <v>11765</v>
      </c>
      <c r="M8414" s="8" t="s">
        <v>11766</v>
      </c>
      <c r="N8414" s="8" t="s">
        <v>14090</v>
      </c>
      <c r="O8414" s="8">
        <f>9+53/60+36.1/3600</f>
        <v>9.8933611111111102</v>
      </c>
      <c r="P8414" s="8" t="s">
        <v>14091</v>
      </c>
      <c r="Q8414" s="8">
        <f>-(12+28/60+56/3600)</f>
        <v>-12.482222222222223</v>
      </c>
      <c r="R8414" s="8">
        <v>13.5</v>
      </c>
      <c r="S8414" s="8">
        <v>14.2</v>
      </c>
      <c r="T8414" s="8">
        <v>0.7</v>
      </c>
      <c r="U8414" s="8">
        <v>13.2</v>
      </c>
      <c r="V8414" s="8">
        <v>1.3</v>
      </c>
      <c r="W8414" s="8">
        <v>0.7</v>
      </c>
      <c r="X8414" s="8">
        <v>30</v>
      </c>
      <c r="Y8414" s="8" t="s">
        <v>36990</v>
      </c>
      <c r="Z8414" s="8" t="s">
        <v>36991</v>
      </c>
    </row>
    <row r="8415" spans="1:26" x14ac:dyDescent="0.2">
      <c r="A8415" s="8">
        <v>8414</v>
      </c>
      <c r="B8415" s="8" t="s">
        <v>36992</v>
      </c>
      <c r="C8415" s="8" t="s">
        <v>36992</v>
      </c>
      <c r="G8415" s="8">
        <v>20</v>
      </c>
      <c r="H8415" s="8" t="s">
        <v>21</v>
      </c>
      <c r="I8415" s="8" t="s">
        <v>22</v>
      </c>
      <c r="J8415" s="8" t="s">
        <v>22</v>
      </c>
      <c r="K8415" s="8" t="s">
        <v>58</v>
      </c>
      <c r="L8415" s="8" t="s">
        <v>12234</v>
      </c>
      <c r="M8415" s="8" t="s">
        <v>12235</v>
      </c>
      <c r="N8415" s="8" t="s">
        <v>36993</v>
      </c>
      <c r="O8415" s="8">
        <f>9+54/60+27/3600</f>
        <v>9.9075000000000006</v>
      </c>
      <c r="P8415" s="8" t="s">
        <v>36994</v>
      </c>
      <c r="Q8415" s="8">
        <f>-(6+57/60+10/3600)</f>
        <v>-6.9527777777777784</v>
      </c>
      <c r="R8415" s="8">
        <v>13.7</v>
      </c>
      <c r="S8415" s="8">
        <v>14.7</v>
      </c>
      <c r="T8415" s="8">
        <v>1</v>
      </c>
      <c r="U8415" s="8">
        <v>14.2</v>
      </c>
      <c r="V8415" s="8">
        <v>1.3</v>
      </c>
      <c r="W8415" s="8">
        <v>1.1000000000000001</v>
      </c>
      <c r="X8415" s="8">
        <v>3</v>
      </c>
      <c r="Y8415" s="8" t="s">
        <v>21</v>
      </c>
      <c r="Z8415" s="8" t="s">
        <v>36995</v>
      </c>
    </row>
    <row r="8416" spans="1:26" x14ac:dyDescent="0.2">
      <c r="A8416" s="8">
        <v>8415</v>
      </c>
      <c r="B8416" s="8" t="s">
        <v>36996</v>
      </c>
      <c r="C8416" s="8" t="s">
        <v>36996</v>
      </c>
      <c r="G8416" s="8">
        <v>20</v>
      </c>
      <c r="H8416" s="8" t="s">
        <v>21</v>
      </c>
      <c r="I8416" s="8" t="s">
        <v>22</v>
      </c>
      <c r="J8416" s="8" t="s">
        <v>22</v>
      </c>
      <c r="K8416" s="8" t="s">
        <v>91</v>
      </c>
      <c r="L8416" s="8" t="s">
        <v>12234</v>
      </c>
      <c r="M8416" s="8" t="s">
        <v>12235</v>
      </c>
      <c r="N8416" s="8" t="s">
        <v>36997</v>
      </c>
      <c r="O8416" s="8">
        <f>9+54/60+32.9/3600</f>
        <v>9.9091388888888901</v>
      </c>
      <c r="P8416" s="8" t="s">
        <v>36998</v>
      </c>
      <c r="Q8416" s="8">
        <f>-(6+51/60+26/3600)</f>
        <v>-6.8572222222222221</v>
      </c>
      <c r="R8416" s="8">
        <v>13.2</v>
      </c>
      <c r="S8416" s="8">
        <v>14.1</v>
      </c>
      <c r="T8416" s="8">
        <v>0.9</v>
      </c>
      <c r="U8416" s="8">
        <v>13</v>
      </c>
      <c r="V8416" s="8">
        <v>1.2</v>
      </c>
      <c r="W8416" s="8">
        <v>0.8</v>
      </c>
      <c r="X8416" s="8">
        <v>140</v>
      </c>
      <c r="Y8416" s="8" t="s">
        <v>6420</v>
      </c>
      <c r="Z8416" s="8" t="s">
        <v>6421</v>
      </c>
    </row>
    <row r="8417" spans="1:26" x14ac:dyDescent="0.2">
      <c r="A8417" s="8">
        <v>8416</v>
      </c>
      <c r="B8417" s="8" t="s">
        <v>36999</v>
      </c>
      <c r="C8417" s="8" t="s">
        <v>36999</v>
      </c>
      <c r="G8417" s="8">
        <v>20</v>
      </c>
      <c r="H8417" s="8" t="s">
        <v>21</v>
      </c>
      <c r="I8417" s="8" t="s">
        <v>22</v>
      </c>
      <c r="J8417" s="8" t="s">
        <v>22</v>
      </c>
      <c r="K8417" s="8" t="s">
        <v>424</v>
      </c>
      <c r="L8417" s="8" t="s">
        <v>13194</v>
      </c>
      <c r="M8417" s="8" t="s">
        <v>13195</v>
      </c>
      <c r="N8417" s="8" t="s">
        <v>37000</v>
      </c>
      <c r="O8417" s="8">
        <f>9+55/60+7/3600</f>
        <v>9.9186111111111099</v>
      </c>
      <c r="P8417" s="8" t="s">
        <v>37001</v>
      </c>
      <c r="Q8417" s="8">
        <f>+(11+2/60+24/3600)</f>
        <v>11.04</v>
      </c>
      <c r="R8417" s="8">
        <v>14.3</v>
      </c>
      <c r="S8417" s="8">
        <v>15.3</v>
      </c>
      <c r="T8417" s="8">
        <v>1</v>
      </c>
      <c r="U8417" s="8">
        <v>11.5</v>
      </c>
      <c r="V8417" s="8">
        <v>0.3</v>
      </c>
      <c r="W8417" s="8">
        <v>0.3</v>
      </c>
      <c r="Y8417" s="8" t="s">
        <v>421</v>
      </c>
      <c r="Z8417" s="8" t="s">
        <v>422</v>
      </c>
    </row>
    <row r="8418" spans="1:26" x14ac:dyDescent="0.2">
      <c r="A8418" s="8">
        <v>8417</v>
      </c>
      <c r="B8418" s="8" t="s">
        <v>37002</v>
      </c>
      <c r="C8418" s="8" t="s">
        <v>37002</v>
      </c>
      <c r="G8418" s="8">
        <v>20</v>
      </c>
      <c r="H8418" s="8" t="s">
        <v>21</v>
      </c>
      <c r="I8418" s="8" t="s">
        <v>22</v>
      </c>
      <c r="J8418" s="8" t="s">
        <v>22</v>
      </c>
      <c r="K8418" s="8" t="s">
        <v>160</v>
      </c>
      <c r="L8418" s="8" t="s">
        <v>13194</v>
      </c>
      <c r="M8418" s="8" t="s">
        <v>13195</v>
      </c>
      <c r="N8418" s="8" t="s">
        <v>37003</v>
      </c>
      <c r="O8418" s="8">
        <f>9+56/60+4/3600</f>
        <v>9.9344444444444449</v>
      </c>
      <c r="P8418" s="8" t="s">
        <v>37004</v>
      </c>
      <c r="Q8418" s="8">
        <f>+(10+29/60+56/3600)</f>
        <v>10.498888888888889</v>
      </c>
      <c r="R8418" s="8">
        <v>14</v>
      </c>
      <c r="S8418" s="8">
        <v>14.7</v>
      </c>
      <c r="T8418" s="8">
        <v>0.7</v>
      </c>
      <c r="U8418" s="8">
        <v>12.7</v>
      </c>
      <c r="V8418" s="8">
        <v>0.6</v>
      </c>
      <c r="W8418" s="8">
        <v>0.6</v>
      </c>
      <c r="Y8418" s="8" t="s">
        <v>37005</v>
      </c>
      <c r="Z8418" s="8" t="s">
        <v>37006</v>
      </c>
    </row>
    <row r="8419" spans="1:26" x14ac:dyDescent="0.2">
      <c r="A8419" s="8">
        <v>8418</v>
      </c>
      <c r="B8419" s="8" t="s">
        <v>37007</v>
      </c>
      <c r="C8419" s="8" t="s">
        <v>37007</v>
      </c>
      <c r="G8419" s="8">
        <v>20</v>
      </c>
      <c r="H8419" s="8" t="s">
        <v>21</v>
      </c>
      <c r="I8419" s="8" t="s">
        <v>22</v>
      </c>
      <c r="J8419" s="8" t="s">
        <v>22</v>
      </c>
      <c r="K8419" s="8" t="s">
        <v>154</v>
      </c>
      <c r="L8419" s="8" t="s">
        <v>13194</v>
      </c>
      <c r="M8419" s="8" t="s">
        <v>13195</v>
      </c>
      <c r="N8419" s="8" t="s">
        <v>37008</v>
      </c>
      <c r="O8419" s="8">
        <f>9+56/60+16.1/3600</f>
        <v>9.9378055555555562</v>
      </c>
      <c r="P8419" s="8" t="s">
        <v>37009</v>
      </c>
      <c r="Q8419" s="8">
        <f>+(10+29/60+11/3600)</f>
        <v>10.486388888888888</v>
      </c>
      <c r="R8419" s="8">
        <v>13.9</v>
      </c>
      <c r="S8419" s="8">
        <v>14.8</v>
      </c>
      <c r="T8419" s="8">
        <v>0.9</v>
      </c>
      <c r="U8419" s="8">
        <v>13</v>
      </c>
      <c r="V8419" s="8">
        <v>1.2</v>
      </c>
      <c r="W8419" s="8">
        <v>0.4</v>
      </c>
      <c r="X8419" s="8">
        <v>72</v>
      </c>
      <c r="Y8419" s="8" t="s">
        <v>1212</v>
      </c>
      <c r="Z8419" s="8" t="s">
        <v>1213</v>
      </c>
    </row>
    <row r="8420" spans="1:26" x14ac:dyDescent="0.2">
      <c r="A8420" s="8">
        <v>8419</v>
      </c>
      <c r="B8420" s="8" t="s">
        <v>37010</v>
      </c>
      <c r="C8420" s="8" t="s">
        <v>37010</v>
      </c>
      <c r="G8420" s="8">
        <v>20</v>
      </c>
      <c r="H8420" s="8" t="s">
        <v>21</v>
      </c>
      <c r="I8420" s="8" t="s">
        <v>22</v>
      </c>
      <c r="J8420" s="8" t="s">
        <v>22</v>
      </c>
      <c r="K8420" s="8" t="s">
        <v>31</v>
      </c>
      <c r="L8420" s="8" t="s">
        <v>11765</v>
      </c>
      <c r="M8420" s="8" t="s">
        <v>11766</v>
      </c>
      <c r="N8420" s="8" t="s">
        <v>37011</v>
      </c>
      <c r="O8420" s="8">
        <f>9+56/60+39.4/3600</f>
        <v>9.9442777777777778</v>
      </c>
      <c r="P8420" s="8" t="s">
        <v>37012</v>
      </c>
      <c r="Q8420" s="8">
        <f>-(13+46/60+28/3600)</f>
        <v>-13.774444444444445</v>
      </c>
      <c r="R8420" s="8">
        <v>13.9</v>
      </c>
      <c r="S8420" s="8">
        <v>14.7</v>
      </c>
      <c r="T8420" s="8">
        <v>0.8</v>
      </c>
      <c r="U8420" s="8">
        <v>13</v>
      </c>
      <c r="V8420" s="8">
        <v>1.3</v>
      </c>
      <c r="W8420" s="8">
        <v>0.4</v>
      </c>
      <c r="X8420" s="8">
        <v>141</v>
      </c>
      <c r="Y8420" s="8" t="s">
        <v>803</v>
      </c>
      <c r="Z8420" s="8" t="s">
        <v>804</v>
      </c>
    </row>
    <row r="8421" spans="1:26" x14ac:dyDescent="0.2">
      <c r="A8421" s="8">
        <v>8420</v>
      </c>
      <c r="B8421" s="8" t="s">
        <v>37013</v>
      </c>
      <c r="C8421" s="8" t="s">
        <v>37013</v>
      </c>
      <c r="G8421" s="8">
        <v>20</v>
      </c>
      <c r="H8421" s="8" t="s">
        <v>21</v>
      </c>
      <c r="I8421" s="8" t="s">
        <v>22</v>
      </c>
      <c r="J8421" s="8" t="s">
        <v>57</v>
      </c>
      <c r="K8421" s="8" t="s">
        <v>12036</v>
      </c>
      <c r="L8421" s="8" t="s">
        <v>13194</v>
      </c>
      <c r="M8421" s="8" t="s">
        <v>13195</v>
      </c>
      <c r="N8421" s="8" t="s">
        <v>14143</v>
      </c>
      <c r="O8421" s="8">
        <f>9+57/60+56.7/3600</f>
        <v>9.9657499999999999</v>
      </c>
      <c r="P8421" s="8" t="s">
        <v>14144</v>
      </c>
      <c r="Q8421" s="8">
        <f>+(10+25/60+58/3600)</f>
        <v>10.432777777777778</v>
      </c>
      <c r="R8421" s="8">
        <v>14.2</v>
      </c>
      <c r="S8421" s="8">
        <v>15.1</v>
      </c>
      <c r="T8421" s="8">
        <v>0.9</v>
      </c>
      <c r="U8421" s="8">
        <v>12.8</v>
      </c>
      <c r="V8421" s="8">
        <v>0.8</v>
      </c>
      <c r="W8421" s="8">
        <v>0.4</v>
      </c>
      <c r="X8421" s="8">
        <v>165</v>
      </c>
      <c r="Y8421" s="8" t="s">
        <v>37014</v>
      </c>
      <c r="Z8421" s="8" t="s">
        <v>37015</v>
      </c>
    </row>
    <row r="8422" spans="1:26" x14ac:dyDescent="0.2">
      <c r="A8422" s="8">
        <v>8421</v>
      </c>
      <c r="B8422" s="8" t="s">
        <v>37016</v>
      </c>
      <c r="C8422" s="8" t="s">
        <v>37016</v>
      </c>
      <c r="G8422" s="8">
        <v>20</v>
      </c>
      <c r="H8422" s="8" t="s">
        <v>21</v>
      </c>
      <c r="I8422" s="8" t="s">
        <v>22</v>
      </c>
      <c r="J8422" s="8" t="s">
        <v>22</v>
      </c>
      <c r="K8422" s="8" t="s">
        <v>406</v>
      </c>
      <c r="L8422" s="8" t="s">
        <v>13194</v>
      </c>
      <c r="M8422" s="8" t="s">
        <v>13195</v>
      </c>
      <c r="N8422" s="8" t="s">
        <v>37017</v>
      </c>
      <c r="O8422" s="8">
        <f>9+58/60+11.5/3600</f>
        <v>9.9698611111111113</v>
      </c>
      <c r="P8422" s="8" t="s">
        <v>37018</v>
      </c>
      <c r="Q8422" s="8">
        <f>+(15+56/60+51/3600)</f>
        <v>15.9475</v>
      </c>
      <c r="R8422" s="8">
        <v>14.1</v>
      </c>
      <c r="S8422" s="8">
        <v>14.9</v>
      </c>
      <c r="T8422" s="8">
        <v>0.8</v>
      </c>
      <c r="U8422" s="8">
        <v>13.3</v>
      </c>
      <c r="V8422" s="8">
        <v>1</v>
      </c>
      <c r="W8422" s="8">
        <v>0.4</v>
      </c>
      <c r="X8422" s="8">
        <v>135</v>
      </c>
      <c r="Y8422" s="8" t="s">
        <v>21</v>
      </c>
      <c r="Z8422" s="8" t="s">
        <v>37019</v>
      </c>
    </row>
    <row r="8423" spans="1:26" x14ac:dyDescent="0.2">
      <c r="A8423" s="8">
        <v>8422</v>
      </c>
      <c r="B8423" s="8" t="s">
        <v>37020</v>
      </c>
      <c r="C8423" s="8" t="s">
        <v>37020</v>
      </c>
      <c r="G8423" s="8">
        <v>20</v>
      </c>
      <c r="H8423" s="8" t="s">
        <v>21</v>
      </c>
      <c r="I8423" s="8" t="s">
        <v>22</v>
      </c>
      <c r="J8423" s="8" t="s">
        <v>22</v>
      </c>
      <c r="K8423" s="8" t="s">
        <v>160</v>
      </c>
      <c r="L8423" s="8" t="s">
        <v>13194</v>
      </c>
      <c r="M8423" s="8" t="s">
        <v>13195</v>
      </c>
      <c r="N8423" s="8" t="s">
        <v>37021</v>
      </c>
      <c r="O8423" s="8">
        <f>9+59/60+0.2/3600</f>
        <v>9.9833888888888875</v>
      </c>
      <c r="P8423" s="8" t="s">
        <v>16771</v>
      </c>
      <c r="Q8423" s="8">
        <f>+(17+49/60+1/3600)</f>
        <v>17.816944444444445</v>
      </c>
      <c r="R8423" s="8">
        <v>14</v>
      </c>
      <c r="S8423" s="8">
        <v>14.7</v>
      </c>
      <c r="T8423" s="8">
        <v>0.7</v>
      </c>
      <c r="U8423" s="8">
        <v>13.6</v>
      </c>
      <c r="V8423" s="8">
        <v>0.9</v>
      </c>
      <c r="W8423" s="8">
        <v>0.9</v>
      </c>
      <c r="Y8423" s="8" t="s">
        <v>37022</v>
      </c>
      <c r="Z8423" s="8" t="s">
        <v>37023</v>
      </c>
    </row>
    <row r="8424" spans="1:26" x14ac:dyDescent="0.2">
      <c r="A8424" s="8">
        <v>8423</v>
      </c>
      <c r="B8424" s="8" t="s">
        <v>37024</v>
      </c>
      <c r="C8424" s="8" t="s">
        <v>37024</v>
      </c>
      <c r="G8424" s="8">
        <v>20</v>
      </c>
      <c r="H8424" s="8" t="s">
        <v>21</v>
      </c>
      <c r="I8424" s="8" t="s">
        <v>22</v>
      </c>
      <c r="J8424" s="8" t="s">
        <v>22</v>
      </c>
      <c r="K8424" s="8" t="s">
        <v>396</v>
      </c>
      <c r="L8424" s="8" t="s">
        <v>13194</v>
      </c>
      <c r="M8424" s="8" t="s">
        <v>13195</v>
      </c>
      <c r="N8424" s="8" t="s">
        <v>37025</v>
      </c>
      <c r="O8424" s="8">
        <f>9+59/60+5/3600</f>
        <v>9.9847222222222207</v>
      </c>
      <c r="P8424" s="8" t="s">
        <v>37026</v>
      </c>
      <c r="Q8424" s="8">
        <f>+(17+49/60+16/3600)</f>
        <v>17.821111111111112</v>
      </c>
      <c r="R8424" s="8">
        <v>14.5</v>
      </c>
      <c r="S8424" s="8">
        <v>15.3</v>
      </c>
      <c r="T8424" s="8">
        <v>0.8</v>
      </c>
      <c r="U8424" s="8">
        <v>12.5</v>
      </c>
      <c r="V8424" s="8">
        <v>0.9</v>
      </c>
      <c r="W8424" s="8">
        <v>0.2</v>
      </c>
      <c r="X8424" s="8">
        <v>114</v>
      </c>
      <c r="Y8424" s="8" t="s">
        <v>37027</v>
      </c>
      <c r="Z8424" s="8" t="s">
        <v>37028</v>
      </c>
    </row>
    <row r="8425" spans="1:26" x14ac:dyDescent="0.2">
      <c r="A8425" s="8">
        <v>8424</v>
      </c>
      <c r="B8425" s="8" t="s">
        <v>37029</v>
      </c>
      <c r="C8425" s="8" t="s">
        <v>37029</v>
      </c>
      <c r="G8425" s="8">
        <v>20</v>
      </c>
      <c r="H8425" s="8" t="s">
        <v>21</v>
      </c>
      <c r="I8425" s="8" t="s">
        <v>22</v>
      </c>
      <c r="J8425" s="8" t="s">
        <v>22</v>
      </c>
      <c r="K8425" s="8" t="s">
        <v>460</v>
      </c>
      <c r="L8425" s="8" t="s">
        <v>13194</v>
      </c>
      <c r="M8425" s="8" t="s">
        <v>13195</v>
      </c>
      <c r="N8425" s="8" t="s">
        <v>37030</v>
      </c>
      <c r="O8425" s="8">
        <f>9+59/60+5.1/3600</f>
        <v>9.98475</v>
      </c>
      <c r="P8425" s="8" t="s">
        <v>37031</v>
      </c>
      <c r="Q8425" s="8">
        <f>+(10+21/60+40/3600)</f>
        <v>10.361111111111111</v>
      </c>
      <c r="R8425" s="8">
        <v>14.6</v>
      </c>
      <c r="S8425" s="8">
        <v>15.6</v>
      </c>
      <c r="T8425" s="8">
        <v>1</v>
      </c>
      <c r="U8425" s="8">
        <v>12.7</v>
      </c>
      <c r="V8425" s="8">
        <v>0.4</v>
      </c>
      <c r="W8425" s="8">
        <v>0.4</v>
      </c>
      <c r="Y8425" s="8" t="s">
        <v>21</v>
      </c>
      <c r="Z8425" s="8" t="s">
        <v>37032</v>
      </c>
    </row>
    <row r="8426" spans="1:26" x14ac:dyDescent="0.2">
      <c r="A8426" s="8">
        <v>8425</v>
      </c>
      <c r="B8426" s="8" t="s">
        <v>37033</v>
      </c>
      <c r="C8426" s="8" t="s">
        <v>37033</v>
      </c>
      <c r="G8426" s="8">
        <v>20</v>
      </c>
      <c r="H8426" s="8" t="s">
        <v>21</v>
      </c>
      <c r="I8426" s="8" t="s">
        <v>22</v>
      </c>
      <c r="J8426" s="8" t="s">
        <v>22</v>
      </c>
      <c r="K8426" s="8" t="s">
        <v>58</v>
      </c>
      <c r="L8426" s="8" t="s">
        <v>13194</v>
      </c>
      <c r="M8426" s="8" t="s">
        <v>13195</v>
      </c>
      <c r="N8426" s="8" t="s">
        <v>37034</v>
      </c>
      <c r="O8426" s="8">
        <f>9+59/60+44.1/3600</f>
        <v>9.9955833333333324</v>
      </c>
      <c r="P8426" s="8" t="s">
        <v>37035</v>
      </c>
      <c r="Q8426" s="8">
        <f>+(12+59/60+21/3600)</f>
        <v>12.989166666666666</v>
      </c>
      <c r="R8426" s="8">
        <v>13.4</v>
      </c>
      <c r="S8426" s="8">
        <v>14.4</v>
      </c>
      <c r="T8426" s="8">
        <v>1</v>
      </c>
      <c r="U8426" s="8">
        <v>13.3</v>
      </c>
      <c r="V8426" s="8">
        <v>1.3</v>
      </c>
      <c r="W8426" s="8">
        <v>0.8</v>
      </c>
      <c r="X8426" s="8">
        <v>129</v>
      </c>
      <c r="Y8426" s="8" t="s">
        <v>21</v>
      </c>
      <c r="Z8426" s="8" t="s">
        <v>37036</v>
      </c>
    </row>
    <row r="8427" spans="1:26" x14ac:dyDescent="0.2">
      <c r="A8427" s="8">
        <v>8426</v>
      </c>
      <c r="B8427" s="8" t="s">
        <v>37037</v>
      </c>
      <c r="C8427" s="8" t="s">
        <v>37037</v>
      </c>
      <c r="G8427" s="8">
        <v>20</v>
      </c>
      <c r="H8427" s="8" t="s">
        <v>21</v>
      </c>
      <c r="I8427" s="8" t="s">
        <v>22</v>
      </c>
      <c r="J8427" s="8" t="s">
        <v>22</v>
      </c>
      <c r="K8427" s="8" t="s">
        <v>449</v>
      </c>
      <c r="L8427" s="8" t="s">
        <v>12234</v>
      </c>
      <c r="M8427" s="8" t="s">
        <v>12235</v>
      </c>
      <c r="N8427" s="8" t="s">
        <v>37038</v>
      </c>
      <c r="O8427" s="8">
        <f>9+59/60+50.2/3600</f>
        <v>9.9972777777777768</v>
      </c>
      <c r="P8427" s="8" t="s">
        <v>37039</v>
      </c>
      <c r="Q8427" s="8">
        <f>-(6+55/60+20/3600)</f>
        <v>-6.9222222222222225</v>
      </c>
      <c r="R8427" s="8">
        <v>13.5</v>
      </c>
      <c r="S8427" s="8">
        <v>14.3</v>
      </c>
      <c r="T8427" s="8">
        <v>0.8</v>
      </c>
      <c r="U8427" s="8">
        <v>12.2</v>
      </c>
      <c r="V8427" s="8">
        <v>0.6</v>
      </c>
      <c r="W8427" s="8">
        <v>0.6</v>
      </c>
      <c r="Y8427" s="8" t="s">
        <v>21</v>
      </c>
      <c r="Z8427" s="8" t="s">
        <v>37040</v>
      </c>
    </row>
    <row r="8428" spans="1:26" x14ac:dyDescent="0.2">
      <c r="A8428" s="8">
        <v>8427</v>
      </c>
      <c r="B8428" s="8" t="s">
        <v>37041</v>
      </c>
      <c r="C8428" s="8" t="s">
        <v>37041</v>
      </c>
      <c r="G8428" s="8">
        <v>20</v>
      </c>
      <c r="H8428" s="8" t="s">
        <v>21</v>
      </c>
      <c r="I8428" s="8" t="s">
        <v>22</v>
      </c>
      <c r="J8428" s="8" t="s">
        <v>22</v>
      </c>
      <c r="K8428" s="8" t="s">
        <v>396</v>
      </c>
      <c r="L8428" s="8" t="s">
        <v>12234</v>
      </c>
      <c r="M8428" s="8" t="s">
        <v>12235</v>
      </c>
      <c r="N8428" s="8" t="s">
        <v>37042</v>
      </c>
      <c r="O8428" s="8">
        <f>10+3/60+5.2/3600</f>
        <v>10.051444444444446</v>
      </c>
      <c r="P8428" s="8" t="s">
        <v>37043</v>
      </c>
      <c r="Q8428" s="8">
        <f>-(2+23/60+59/3600)</f>
        <v>-2.3997222222222221</v>
      </c>
      <c r="R8428" s="8">
        <v>13.4</v>
      </c>
      <c r="S8428" s="8">
        <v>14.2</v>
      </c>
      <c r="T8428" s="8">
        <v>0.8</v>
      </c>
      <c r="U8428" s="8">
        <v>13</v>
      </c>
      <c r="V8428" s="8">
        <v>1.3</v>
      </c>
      <c r="W8428" s="8">
        <v>0.6</v>
      </c>
      <c r="X8428" s="8">
        <v>107</v>
      </c>
      <c r="Y8428" s="8" t="s">
        <v>5711</v>
      </c>
      <c r="Z8428" s="8" t="s">
        <v>5712</v>
      </c>
    </row>
    <row r="8429" spans="1:26" x14ac:dyDescent="0.2">
      <c r="A8429" s="8">
        <v>8428</v>
      </c>
      <c r="B8429" s="8" t="s">
        <v>37044</v>
      </c>
      <c r="C8429" s="8" t="s">
        <v>37044</v>
      </c>
      <c r="G8429" s="8">
        <v>20</v>
      </c>
      <c r="H8429" s="8" t="s">
        <v>21</v>
      </c>
      <c r="I8429" s="8" t="s">
        <v>22</v>
      </c>
      <c r="J8429" s="8" t="s">
        <v>22</v>
      </c>
      <c r="K8429" s="8" t="s">
        <v>154</v>
      </c>
      <c r="L8429" s="8" t="s">
        <v>12234</v>
      </c>
      <c r="M8429" s="8" t="s">
        <v>12235</v>
      </c>
      <c r="N8429" s="8" t="s">
        <v>37045</v>
      </c>
      <c r="O8429" s="8">
        <f>10+2/60+7/3600</f>
        <v>10.035277777777777</v>
      </c>
      <c r="P8429" s="8" t="s">
        <v>37046</v>
      </c>
      <c r="Q8429" s="8">
        <f>+(3+3/60+30/3600)</f>
        <v>3.0583333333333331</v>
      </c>
      <c r="R8429" s="8">
        <v>13.7</v>
      </c>
      <c r="S8429" s="8">
        <v>14.6</v>
      </c>
      <c r="T8429" s="8">
        <v>0.9</v>
      </c>
      <c r="U8429" s="8">
        <v>12.2</v>
      </c>
      <c r="V8429" s="8">
        <v>0.7</v>
      </c>
      <c r="W8429" s="8">
        <v>0.4</v>
      </c>
      <c r="X8429" s="8">
        <v>159</v>
      </c>
      <c r="Y8429" s="8" t="s">
        <v>21</v>
      </c>
      <c r="Z8429" s="8" t="s">
        <v>37047</v>
      </c>
    </row>
    <row r="8430" spans="1:26" x14ac:dyDescent="0.2">
      <c r="A8430" s="8">
        <v>8429</v>
      </c>
      <c r="B8430" s="8" t="s">
        <v>37048</v>
      </c>
      <c r="C8430" s="8" t="s">
        <v>37048</v>
      </c>
      <c r="G8430" s="8">
        <v>20</v>
      </c>
      <c r="H8430" s="8" t="s">
        <v>21</v>
      </c>
      <c r="I8430" s="8" t="s">
        <v>22</v>
      </c>
      <c r="J8430" s="8" t="s">
        <v>22</v>
      </c>
      <c r="K8430" s="8" t="s">
        <v>449</v>
      </c>
      <c r="L8430" s="8" t="s">
        <v>12234</v>
      </c>
      <c r="M8430" s="8" t="s">
        <v>12235</v>
      </c>
      <c r="N8430" s="8" t="s">
        <v>37049</v>
      </c>
      <c r="O8430" s="8">
        <f>10+4/60+23.8/3600</f>
        <v>10.073277777777777</v>
      </c>
      <c r="P8430" s="8" t="s">
        <v>37050</v>
      </c>
      <c r="Q8430" s="8">
        <f>-(5+40/60+42/3600)</f>
        <v>-5.6783333333333337</v>
      </c>
      <c r="R8430" s="8">
        <v>14.5</v>
      </c>
      <c r="S8430" s="8">
        <v>15.3</v>
      </c>
      <c r="T8430" s="8">
        <v>0.8</v>
      </c>
      <c r="U8430" s="8">
        <v>13.2</v>
      </c>
      <c r="V8430" s="8">
        <v>0.7</v>
      </c>
      <c r="W8430" s="8">
        <v>0.5</v>
      </c>
      <c r="X8430" s="8">
        <v>10</v>
      </c>
      <c r="Y8430" s="8" t="s">
        <v>37051</v>
      </c>
      <c r="Z8430" s="8" t="s">
        <v>37052</v>
      </c>
    </row>
    <row r="8431" spans="1:26" x14ac:dyDescent="0.2">
      <c r="A8431" s="8">
        <v>8430</v>
      </c>
      <c r="B8431" s="8" t="s">
        <v>37053</v>
      </c>
      <c r="C8431" s="8" t="s">
        <v>37053</v>
      </c>
      <c r="E8431" s="8">
        <v>1</v>
      </c>
      <c r="G8431" s="8">
        <v>20</v>
      </c>
      <c r="H8431" s="8" t="s">
        <v>21</v>
      </c>
      <c r="I8431" s="8" t="s">
        <v>22</v>
      </c>
      <c r="J8431" s="8" t="s">
        <v>22</v>
      </c>
      <c r="K8431" s="8" t="s">
        <v>58</v>
      </c>
      <c r="L8431" s="8" t="s">
        <v>12234</v>
      </c>
      <c r="M8431" s="8" t="s">
        <v>12235</v>
      </c>
      <c r="N8431" s="8" t="s">
        <v>37054</v>
      </c>
      <c r="O8431" s="8">
        <f>10+5/60+49.6/3600</f>
        <v>10.097111111111111</v>
      </c>
      <c r="P8431" s="8" t="s">
        <v>37055</v>
      </c>
      <c r="Q8431" s="8">
        <f>+(0+37/60+59/3600)</f>
        <v>0.63305555555555559</v>
      </c>
      <c r="R8431" s="8">
        <v>13.8</v>
      </c>
      <c r="S8431" s="8">
        <v>14.8</v>
      </c>
      <c r="T8431" s="8">
        <v>1</v>
      </c>
      <c r="U8431" s="8">
        <v>13.7</v>
      </c>
      <c r="V8431" s="8">
        <v>1</v>
      </c>
      <c r="W8431" s="8">
        <v>0.9</v>
      </c>
      <c r="X8431" s="8">
        <v>123</v>
      </c>
      <c r="Y8431" s="8" t="s">
        <v>37056</v>
      </c>
      <c r="Z8431" s="8" t="s">
        <v>37057</v>
      </c>
    </row>
    <row r="8432" spans="1:26" x14ac:dyDescent="0.2">
      <c r="A8432" s="8">
        <v>8431</v>
      </c>
      <c r="B8432" s="8" t="s">
        <v>37058</v>
      </c>
      <c r="C8432" s="8" t="s">
        <v>37058</v>
      </c>
      <c r="G8432" s="8">
        <v>12</v>
      </c>
      <c r="H8432" s="8" t="s">
        <v>21</v>
      </c>
      <c r="I8432" s="8" t="s">
        <v>22</v>
      </c>
      <c r="J8432" s="8" t="s">
        <v>22</v>
      </c>
      <c r="K8432" s="8" t="s">
        <v>476</v>
      </c>
      <c r="L8432" s="8" t="s">
        <v>13194</v>
      </c>
      <c r="M8432" s="8" t="s">
        <v>13195</v>
      </c>
      <c r="N8432" s="8" t="s">
        <v>37059</v>
      </c>
      <c r="O8432" s="8">
        <f>10+7/60+27.6/3600</f>
        <v>10.124333333333334</v>
      </c>
      <c r="P8432" s="8" t="s">
        <v>37060</v>
      </c>
      <c r="Q8432" s="8">
        <f>+(12+16/60+27/3600)</f>
        <v>12.274166666666668</v>
      </c>
      <c r="R8432" s="8">
        <v>13.2</v>
      </c>
      <c r="S8432" s="8">
        <v>14.1</v>
      </c>
      <c r="T8432" s="8">
        <v>0.9</v>
      </c>
      <c r="U8432" s="8">
        <v>12.7</v>
      </c>
      <c r="V8432" s="8">
        <v>1</v>
      </c>
      <c r="W8432" s="8">
        <v>0.7</v>
      </c>
      <c r="X8432" s="8">
        <v>170</v>
      </c>
      <c r="Y8432" s="8" t="s">
        <v>824</v>
      </c>
      <c r="Z8432" s="8" t="s">
        <v>825</v>
      </c>
    </row>
    <row r="8433" spans="1:26" x14ac:dyDescent="0.2">
      <c r="A8433" s="8">
        <v>8432</v>
      </c>
      <c r="B8433" s="8" t="s">
        <v>37061</v>
      </c>
      <c r="C8433" s="8" t="s">
        <v>37061</v>
      </c>
      <c r="G8433" s="8">
        <v>20</v>
      </c>
      <c r="H8433" s="8" t="s">
        <v>21</v>
      </c>
      <c r="I8433" s="8" t="s">
        <v>22</v>
      </c>
      <c r="J8433" s="8" t="s">
        <v>22</v>
      </c>
      <c r="K8433" s="8" t="s">
        <v>396</v>
      </c>
      <c r="L8433" s="8" t="s">
        <v>12234</v>
      </c>
      <c r="M8433" s="8" t="s">
        <v>12235</v>
      </c>
      <c r="N8433" s="8" t="s">
        <v>37062</v>
      </c>
      <c r="O8433" s="8">
        <f>10+7/60+58.7/3600</f>
        <v>10.132972222222223</v>
      </c>
      <c r="P8433" s="8" t="s">
        <v>37063</v>
      </c>
      <c r="Q8433" s="8">
        <f>-(2+29/60+56/3600)</f>
        <v>-2.4988888888888892</v>
      </c>
      <c r="R8433" s="8">
        <v>13.4</v>
      </c>
      <c r="S8433" s="8">
        <v>14.2</v>
      </c>
      <c r="T8433" s="8">
        <v>0.8</v>
      </c>
      <c r="U8433" s="8">
        <v>12.6</v>
      </c>
      <c r="V8433" s="8">
        <v>0.8</v>
      </c>
      <c r="W8433" s="8">
        <v>0.7</v>
      </c>
      <c r="X8433" s="8">
        <v>30</v>
      </c>
      <c r="Y8433" s="8" t="s">
        <v>36797</v>
      </c>
      <c r="Z8433" s="8" t="s">
        <v>36798</v>
      </c>
    </row>
    <row r="8434" spans="1:26" x14ac:dyDescent="0.2">
      <c r="A8434" s="8">
        <v>8433</v>
      </c>
      <c r="B8434" s="8" t="s">
        <v>37064</v>
      </c>
      <c r="C8434" s="8" t="s">
        <v>37064</v>
      </c>
      <c r="G8434" s="8">
        <v>20</v>
      </c>
      <c r="H8434" s="8" t="s">
        <v>21</v>
      </c>
      <c r="I8434" s="8" t="s">
        <v>22</v>
      </c>
      <c r="J8434" s="8" t="s">
        <v>22</v>
      </c>
      <c r="K8434" s="8" t="s">
        <v>476</v>
      </c>
      <c r="L8434" s="8" t="s">
        <v>12234</v>
      </c>
      <c r="M8434" s="8" t="s">
        <v>12235</v>
      </c>
      <c r="N8434" s="8" t="s">
        <v>37065</v>
      </c>
      <c r="O8434" s="8">
        <f>10+8/60+18/3600</f>
        <v>10.138333333333334</v>
      </c>
      <c r="P8434" s="8" t="s">
        <v>37066</v>
      </c>
      <c r="Q8434" s="8">
        <f>-(2+31/60+36/3600)</f>
        <v>-2.5266666666666664</v>
      </c>
      <c r="R8434" s="8">
        <v>13.6</v>
      </c>
      <c r="S8434" s="8">
        <v>14.5</v>
      </c>
      <c r="T8434" s="8">
        <v>0.9</v>
      </c>
      <c r="U8434" s="8">
        <v>12.7</v>
      </c>
      <c r="V8434" s="8">
        <v>0.7</v>
      </c>
      <c r="W8434" s="8">
        <v>0.6</v>
      </c>
      <c r="X8434" s="8">
        <v>81</v>
      </c>
      <c r="Y8434" s="8" t="s">
        <v>6420</v>
      </c>
      <c r="Z8434" s="8" t="s">
        <v>6421</v>
      </c>
    </row>
    <row r="8435" spans="1:26" x14ac:dyDescent="0.2">
      <c r="A8435" s="8">
        <v>8434</v>
      </c>
      <c r="B8435" s="8" t="s">
        <v>37067</v>
      </c>
      <c r="C8435" s="8" t="s">
        <v>37067</v>
      </c>
      <c r="G8435" s="8">
        <v>20</v>
      </c>
      <c r="H8435" s="8" t="s">
        <v>21</v>
      </c>
      <c r="I8435" s="8" t="s">
        <v>22</v>
      </c>
      <c r="J8435" s="8" t="s">
        <v>22</v>
      </c>
      <c r="K8435" s="8" t="s">
        <v>85</v>
      </c>
      <c r="L8435" s="8" t="s">
        <v>12234</v>
      </c>
      <c r="M8435" s="8" t="s">
        <v>12235</v>
      </c>
      <c r="N8435" s="8" t="s">
        <v>37068</v>
      </c>
      <c r="O8435" s="8">
        <f>10+8/60+31.9/3600</f>
        <v>10.142194444444444</v>
      </c>
      <c r="P8435" s="8" t="s">
        <v>37069</v>
      </c>
      <c r="Q8435" s="8">
        <f>-(0+39/60+58/3600)</f>
        <v>-0.6661111111111111</v>
      </c>
      <c r="R8435" s="8">
        <v>13.8</v>
      </c>
      <c r="S8435" s="8">
        <v>14.6</v>
      </c>
      <c r="T8435" s="8">
        <v>0.8</v>
      </c>
      <c r="U8435" s="8">
        <v>13</v>
      </c>
      <c r="V8435" s="8">
        <v>1.1000000000000001</v>
      </c>
      <c r="W8435" s="8">
        <v>0.5</v>
      </c>
      <c r="X8435" s="8">
        <v>127</v>
      </c>
      <c r="Y8435" s="8" t="s">
        <v>37070</v>
      </c>
      <c r="Z8435" s="8" t="s">
        <v>37071</v>
      </c>
    </row>
    <row r="8436" spans="1:26" x14ac:dyDescent="0.2">
      <c r="A8436" s="8">
        <v>8435</v>
      </c>
      <c r="B8436" s="8" t="s">
        <v>37072</v>
      </c>
      <c r="C8436" s="8" t="s">
        <v>37072</v>
      </c>
      <c r="G8436" s="8">
        <v>20</v>
      </c>
      <c r="H8436" s="8" t="s">
        <v>21</v>
      </c>
      <c r="I8436" s="8" t="s">
        <v>22</v>
      </c>
      <c r="J8436" s="8" t="s">
        <v>22</v>
      </c>
      <c r="K8436" s="8" t="s">
        <v>50</v>
      </c>
      <c r="L8436" s="8" t="s">
        <v>13194</v>
      </c>
      <c r="M8436" s="8" t="s">
        <v>13195</v>
      </c>
      <c r="N8436" s="8" t="s">
        <v>37073</v>
      </c>
      <c r="O8436" s="8">
        <f>10+9/60+38.1/3600</f>
        <v>10.160583333333333</v>
      </c>
      <c r="P8436" s="8" t="s">
        <v>37074</v>
      </c>
      <c r="Q8436" s="8">
        <f>+(11+0/60+3/3600)</f>
        <v>11.000833333333333</v>
      </c>
      <c r="R8436" s="8">
        <v>14</v>
      </c>
      <c r="S8436" s="8">
        <v>15</v>
      </c>
      <c r="T8436" s="8">
        <v>1</v>
      </c>
      <c r="U8436" s="8">
        <v>12</v>
      </c>
      <c r="V8436" s="8">
        <v>0.5</v>
      </c>
      <c r="W8436" s="8">
        <v>0.3</v>
      </c>
      <c r="X8436" s="8">
        <v>165</v>
      </c>
      <c r="Y8436" s="8" t="s">
        <v>1212</v>
      </c>
      <c r="Z8436" s="8" t="s">
        <v>1213</v>
      </c>
    </row>
    <row r="8437" spans="1:26" x14ac:dyDescent="0.2">
      <c r="A8437" s="8">
        <v>8436</v>
      </c>
      <c r="B8437" s="8" t="s">
        <v>37075</v>
      </c>
      <c r="C8437" s="8" t="s">
        <v>37075</v>
      </c>
      <c r="G8437" s="8">
        <v>20</v>
      </c>
      <c r="H8437" s="8" t="s">
        <v>21</v>
      </c>
      <c r="I8437" s="8" t="s">
        <v>22</v>
      </c>
      <c r="J8437" s="8" t="s">
        <v>22</v>
      </c>
      <c r="K8437" s="8" t="s">
        <v>476</v>
      </c>
      <c r="L8437" s="8" t="s">
        <v>13194</v>
      </c>
      <c r="M8437" s="8" t="s">
        <v>13195</v>
      </c>
      <c r="N8437" s="8" t="s">
        <v>37076</v>
      </c>
      <c r="O8437" s="8">
        <f>10+10/60+31.3/3600</f>
        <v>10.17536111111111</v>
      </c>
      <c r="P8437" s="8" t="s">
        <v>37077</v>
      </c>
      <c r="Q8437" s="8">
        <f>+(10+2/60+30/3600)</f>
        <v>10.041666666666666</v>
      </c>
      <c r="R8437" s="8">
        <v>14.9</v>
      </c>
      <c r="S8437" s="8">
        <v>15.8</v>
      </c>
      <c r="T8437" s="8">
        <v>0.9</v>
      </c>
      <c r="U8437" s="8">
        <v>13.3</v>
      </c>
      <c r="V8437" s="8">
        <v>0.9</v>
      </c>
      <c r="W8437" s="8">
        <v>0.3</v>
      </c>
      <c r="X8437" s="8">
        <v>15</v>
      </c>
      <c r="Y8437" s="8" t="s">
        <v>33652</v>
      </c>
      <c r="Z8437" s="8" t="s">
        <v>33653</v>
      </c>
    </row>
    <row r="8438" spans="1:26" x14ac:dyDescent="0.2">
      <c r="A8438" s="8">
        <v>8437</v>
      </c>
      <c r="B8438" s="8" t="s">
        <v>37078</v>
      </c>
      <c r="C8438" s="8" t="s">
        <v>37078</v>
      </c>
      <c r="G8438" s="8">
        <v>20</v>
      </c>
      <c r="H8438" s="8" t="s">
        <v>21</v>
      </c>
      <c r="I8438" s="8" t="s">
        <v>22</v>
      </c>
      <c r="J8438" s="8" t="s">
        <v>22</v>
      </c>
      <c r="K8438" s="8" t="s">
        <v>449</v>
      </c>
      <c r="L8438" s="8" t="s">
        <v>12234</v>
      </c>
      <c r="M8438" s="8" t="s">
        <v>12235</v>
      </c>
      <c r="N8438" s="8" t="s">
        <v>37079</v>
      </c>
      <c r="O8438" s="8">
        <f>10+10/60+11.9/3600</f>
        <v>10.169972222222222</v>
      </c>
      <c r="P8438" s="8" t="s">
        <v>37080</v>
      </c>
      <c r="Q8438" s="8">
        <f>-(6+53/60+55/3600)</f>
        <v>-6.8986111111111104</v>
      </c>
      <c r="R8438" s="8">
        <v>15</v>
      </c>
      <c r="S8438" s="8">
        <v>15.8</v>
      </c>
      <c r="T8438" s="8">
        <v>0.8</v>
      </c>
      <c r="U8438" s="8">
        <v>13.3</v>
      </c>
      <c r="V8438" s="8">
        <v>0.8</v>
      </c>
      <c r="W8438" s="8">
        <v>0.3</v>
      </c>
      <c r="X8438" s="8">
        <v>170</v>
      </c>
      <c r="Y8438" s="8" t="s">
        <v>2181</v>
      </c>
      <c r="Z8438" s="8" t="s">
        <v>2182</v>
      </c>
    </row>
    <row r="8439" spans="1:26" x14ac:dyDescent="0.2">
      <c r="A8439" s="8">
        <v>8438</v>
      </c>
      <c r="B8439" s="8" t="s">
        <v>37081</v>
      </c>
      <c r="C8439" s="8" t="s">
        <v>37081</v>
      </c>
      <c r="G8439" s="8">
        <v>20</v>
      </c>
      <c r="H8439" s="8" t="s">
        <v>21</v>
      </c>
      <c r="I8439" s="8" t="s">
        <v>22</v>
      </c>
      <c r="J8439" s="8" t="s">
        <v>22</v>
      </c>
      <c r="K8439" s="8" t="s">
        <v>632</v>
      </c>
      <c r="L8439" s="8" t="s">
        <v>12015</v>
      </c>
      <c r="M8439" s="8" t="s">
        <v>12016</v>
      </c>
      <c r="N8439" s="8" t="s">
        <v>37082</v>
      </c>
      <c r="O8439" s="8">
        <f>10+12/60+48.5/3600</f>
        <v>10.213472222222222</v>
      </c>
      <c r="P8439" s="8" t="s">
        <v>37083</v>
      </c>
      <c r="Q8439" s="8">
        <f>+(43+8/60+44/3600)</f>
        <v>43.145555555555553</v>
      </c>
      <c r="R8439" s="8">
        <v>13</v>
      </c>
      <c r="S8439" s="8">
        <v>13.9</v>
      </c>
      <c r="T8439" s="8">
        <v>0.9</v>
      </c>
      <c r="U8439" s="8">
        <v>12.5</v>
      </c>
      <c r="V8439" s="8">
        <v>1.4</v>
      </c>
      <c r="W8439" s="8">
        <v>0.5</v>
      </c>
      <c r="X8439" s="8">
        <v>8</v>
      </c>
      <c r="Y8439" s="8" t="s">
        <v>37084</v>
      </c>
      <c r="Z8439" s="8" t="s">
        <v>37085</v>
      </c>
    </row>
    <row r="8440" spans="1:26" x14ac:dyDescent="0.2">
      <c r="A8440" s="8">
        <v>8439</v>
      </c>
      <c r="B8440" s="8" t="s">
        <v>37086</v>
      </c>
      <c r="C8440" s="8" t="s">
        <v>37086</v>
      </c>
      <c r="G8440" s="8">
        <v>20</v>
      </c>
      <c r="H8440" s="8" t="s">
        <v>21</v>
      </c>
      <c r="I8440" s="8" t="s">
        <v>22</v>
      </c>
      <c r="J8440" s="8" t="s">
        <v>22</v>
      </c>
      <c r="K8440" s="8" t="s">
        <v>396</v>
      </c>
      <c r="L8440" s="8" t="s">
        <v>12234</v>
      </c>
      <c r="M8440" s="8" t="s">
        <v>12235</v>
      </c>
      <c r="N8440" s="8" t="s">
        <v>37087</v>
      </c>
      <c r="O8440" s="8">
        <f>10+13/60+12.4/3600</f>
        <v>10.220111111111111</v>
      </c>
      <c r="P8440" s="8" t="s">
        <v>37088</v>
      </c>
      <c r="Q8440" s="8">
        <f>-(5+37/60+44/3600)</f>
        <v>-5.6288888888888895</v>
      </c>
      <c r="R8440" s="8">
        <v>14.3</v>
      </c>
      <c r="S8440" s="8">
        <v>15.1</v>
      </c>
      <c r="T8440" s="8">
        <v>0.8</v>
      </c>
      <c r="U8440" s="8">
        <v>12.5</v>
      </c>
      <c r="V8440" s="8">
        <v>1.1000000000000001</v>
      </c>
      <c r="W8440" s="8">
        <v>0.2</v>
      </c>
      <c r="X8440" s="8">
        <v>36</v>
      </c>
      <c r="Y8440" s="8" t="s">
        <v>28523</v>
      </c>
      <c r="Z8440" s="8" t="s">
        <v>28524</v>
      </c>
    </row>
    <row r="8441" spans="1:26" x14ac:dyDescent="0.2">
      <c r="A8441" s="8">
        <v>8440</v>
      </c>
      <c r="B8441" s="8" t="s">
        <v>37089</v>
      </c>
      <c r="C8441" s="8" t="s">
        <v>37089</v>
      </c>
      <c r="G8441" s="8">
        <v>20</v>
      </c>
      <c r="H8441" s="8" t="s">
        <v>21</v>
      </c>
      <c r="I8441" s="8" t="s">
        <v>22</v>
      </c>
      <c r="J8441" s="8" t="s">
        <v>22</v>
      </c>
      <c r="K8441" s="8" t="s">
        <v>773</v>
      </c>
      <c r="L8441" s="8" t="s">
        <v>12234</v>
      </c>
      <c r="M8441" s="8" t="s">
        <v>12235</v>
      </c>
      <c r="N8441" s="8" t="s">
        <v>37090</v>
      </c>
      <c r="O8441" s="8">
        <f>10+17/60+10.7/3600</f>
        <v>10.286305555555556</v>
      </c>
      <c r="P8441" s="8" t="s">
        <v>37091</v>
      </c>
      <c r="Q8441" s="8">
        <f>-(3+29/60+50/3600)</f>
        <v>-3.4972222222222222</v>
      </c>
      <c r="R8441" s="8">
        <v>12.4</v>
      </c>
      <c r="S8441" s="8">
        <v>13</v>
      </c>
      <c r="T8441" s="8">
        <v>0.6</v>
      </c>
      <c r="U8441" s="8">
        <v>13.4</v>
      </c>
      <c r="V8441" s="8">
        <v>2.4</v>
      </c>
      <c r="W8441" s="8">
        <v>1.2</v>
      </c>
      <c r="X8441" s="8">
        <v>27</v>
      </c>
      <c r="Y8441" s="8" t="s">
        <v>1323</v>
      </c>
      <c r="Z8441" s="8" t="s">
        <v>1324</v>
      </c>
    </row>
    <row r="8442" spans="1:26" x14ac:dyDescent="0.2">
      <c r="A8442" s="8">
        <v>8441</v>
      </c>
      <c r="B8442" s="8" t="s">
        <v>37092</v>
      </c>
      <c r="C8442" s="8" t="s">
        <v>37092</v>
      </c>
      <c r="G8442" s="8">
        <v>20</v>
      </c>
      <c r="H8442" s="8" t="s">
        <v>21</v>
      </c>
      <c r="I8442" s="8" t="s">
        <v>22</v>
      </c>
      <c r="J8442" s="8" t="s">
        <v>22</v>
      </c>
      <c r="K8442" s="8" t="s">
        <v>160</v>
      </c>
      <c r="L8442" s="8" t="s">
        <v>13194</v>
      </c>
      <c r="M8442" s="8" t="s">
        <v>13195</v>
      </c>
      <c r="N8442" s="8" t="s">
        <v>37093</v>
      </c>
      <c r="O8442" s="8">
        <f>10+18/60+15.3/3600</f>
        <v>10.304250000000001</v>
      </c>
      <c r="P8442" s="8" t="s">
        <v>37094</v>
      </c>
      <c r="Q8442" s="8">
        <f>+(7+2/60+21/3600)</f>
        <v>7.0391666666666666</v>
      </c>
      <c r="R8442" s="8">
        <v>14.1</v>
      </c>
      <c r="S8442" s="8">
        <v>14.8</v>
      </c>
      <c r="T8442" s="8">
        <v>0.7</v>
      </c>
      <c r="U8442" s="8">
        <v>11.8</v>
      </c>
      <c r="V8442" s="8">
        <v>0.7</v>
      </c>
      <c r="W8442" s="8">
        <v>0.2</v>
      </c>
      <c r="X8442" s="8">
        <v>40</v>
      </c>
      <c r="Y8442" s="8" t="s">
        <v>37095</v>
      </c>
      <c r="Z8442" s="8" t="s">
        <v>37096</v>
      </c>
    </row>
    <row r="8443" spans="1:26" x14ac:dyDescent="0.2">
      <c r="A8443" s="8">
        <v>8442</v>
      </c>
      <c r="B8443" s="8" t="s">
        <v>37097</v>
      </c>
      <c r="C8443" s="8" t="s">
        <v>37097</v>
      </c>
      <c r="G8443" s="8">
        <v>20</v>
      </c>
      <c r="H8443" s="8" t="s">
        <v>21</v>
      </c>
      <c r="I8443" s="8" t="s">
        <v>22</v>
      </c>
      <c r="J8443" s="8" t="s">
        <v>22</v>
      </c>
      <c r="K8443" s="8" t="s">
        <v>160</v>
      </c>
      <c r="L8443" s="8" t="s">
        <v>13194</v>
      </c>
      <c r="M8443" s="8" t="s">
        <v>13195</v>
      </c>
      <c r="N8443" s="8" t="s">
        <v>37098</v>
      </c>
      <c r="O8443" s="8">
        <f>10+18/60+19.6/3600</f>
        <v>10.305444444444445</v>
      </c>
      <c r="P8443" s="8" t="s">
        <v>37099</v>
      </c>
      <c r="Q8443" s="8">
        <f>+(7+2/60+57/3600)</f>
        <v>7.0491666666666664</v>
      </c>
      <c r="R8443" s="8">
        <v>13.2</v>
      </c>
      <c r="S8443" s="8">
        <v>13.9</v>
      </c>
      <c r="T8443" s="8">
        <v>0.7</v>
      </c>
      <c r="U8443" s="8">
        <v>12.1</v>
      </c>
      <c r="V8443" s="8">
        <v>0.8</v>
      </c>
      <c r="W8443" s="8">
        <v>0.5</v>
      </c>
      <c r="X8443" s="8">
        <v>177</v>
      </c>
      <c r="Y8443" s="8" t="s">
        <v>37100</v>
      </c>
      <c r="Z8443" s="8" t="s">
        <v>37101</v>
      </c>
    </row>
    <row r="8444" spans="1:26" x14ac:dyDescent="0.2">
      <c r="A8444" s="8">
        <v>8443</v>
      </c>
      <c r="B8444" s="8" t="s">
        <v>37102</v>
      </c>
      <c r="C8444" s="8" t="s">
        <v>37102</v>
      </c>
      <c r="G8444" s="8">
        <v>20</v>
      </c>
      <c r="H8444" s="8" t="s">
        <v>21</v>
      </c>
      <c r="I8444" s="8" t="s">
        <v>22</v>
      </c>
      <c r="J8444" s="8" t="s">
        <v>22</v>
      </c>
      <c r="K8444" s="8" t="s">
        <v>91</v>
      </c>
      <c r="L8444" s="8" t="s">
        <v>12234</v>
      </c>
      <c r="M8444" s="8" t="s">
        <v>12235</v>
      </c>
      <c r="N8444" s="8" t="s">
        <v>37103</v>
      </c>
      <c r="O8444" s="8">
        <f>10+19/60+25/3600</f>
        <v>10.323611111111111</v>
      </c>
      <c r="P8444" s="8" t="s">
        <v>37104</v>
      </c>
      <c r="Q8444" s="8">
        <f>-(5+39/60+22/3600)</f>
        <v>-5.6561111111111115</v>
      </c>
      <c r="R8444" s="8">
        <v>13.6</v>
      </c>
      <c r="S8444" s="8">
        <v>14.5</v>
      </c>
      <c r="T8444" s="8">
        <v>0.9</v>
      </c>
      <c r="U8444" s="8">
        <v>13.6</v>
      </c>
      <c r="V8444" s="8">
        <v>1.3</v>
      </c>
      <c r="W8444" s="8">
        <v>0.9</v>
      </c>
      <c r="X8444" s="8">
        <v>157</v>
      </c>
      <c r="Y8444" s="8" t="s">
        <v>37105</v>
      </c>
      <c r="Z8444" s="8" t="s">
        <v>37106</v>
      </c>
    </row>
    <row r="8445" spans="1:26" x14ac:dyDescent="0.2">
      <c r="A8445" s="8">
        <v>8444</v>
      </c>
      <c r="B8445" s="8" t="s">
        <v>37107</v>
      </c>
      <c r="C8445" s="8" t="s">
        <v>37107</v>
      </c>
      <c r="G8445" s="8">
        <v>20</v>
      </c>
      <c r="H8445" s="8" t="s">
        <v>21</v>
      </c>
      <c r="I8445" s="8" t="s">
        <v>22</v>
      </c>
      <c r="J8445" s="8" t="s">
        <v>57</v>
      </c>
      <c r="K8445" s="8" t="s">
        <v>23</v>
      </c>
      <c r="L8445" s="8" t="s">
        <v>12015</v>
      </c>
      <c r="M8445" s="8" t="s">
        <v>12016</v>
      </c>
      <c r="N8445" s="8" t="s">
        <v>14801</v>
      </c>
      <c r="O8445" s="8">
        <f>10+23/60+44.7/3600</f>
        <v>10.39575</v>
      </c>
      <c r="P8445" s="8" t="s">
        <v>14802</v>
      </c>
      <c r="Q8445" s="8">
        <f>+(57+1/60+36/3600)</f>
        <v>57.026666666666664</v>
      </c>
      <c r="R8445" s="8">
        <v>13.1</v>
      </c>
      <c r="S8445" s="8">
        <v>13.9</v>
      </c>
      <c r="T8445" s="8">
        <v>0.8</v>
      </c>
      <c r="U8445" s="8">
        <v>12.5</v>
      </c>
      <c r="V8445" s="8">
        <v>1.3</v>
      </c>
      <c r="W8445" s="8">
        <v>0.5</v>
      </c>
      <c r="X8445" s="8">
        <v>97</v>
      </c>
      <c r="Y8445" s="8" t="s">
        <v>37108</v>
      </c>
      <c r="Z8445" s="8" t="s">
        <v>37109</v>
      </c>
    </row>
    <row r="8446" spans="1:26" x14ac:dyDescent="0.2">
      <c r="A8446" s="8">
        <v>8445</v>
      </c>
      <c r="B8446" s="8" t="s">
        <v>37110</v>
      </c>
      <c r="C8446" s="8" t="s">
        <v>37110</v>
      </c>
      <c r="G8446" s="8">
        <v>20</v>
      </c>
      <c r="H8446" s="8" t="s">
        <v>21</v>
      </c>
      <c r="I8446" s="8" t="s">
        <v>22</v>
      </c>
      <c r="J8446" s="8" t="s">
        <v>22</v>
      </c>
      <c r="K8446" s="8" t="s">
        <v>396</v>
      </c>
      <c r="L8446" s="8" t="s">
        <v>12234</v>
      </c>
      <c r="M8446" s="8" t="s">
        <v>12235</v>
      </c>
      <c r="N8446" s="8" t="s">
        <v>37111</v>
      </c>
      <c r="O8446" s="8">
        <f>10+22/60+24.1/3600</f>
        <v>10.373361111111112</v>
      </c>
      <c r="P8446" s="8" t="s">
        <v>37112</v>
      </c>
      <c r="Q8446" s="8">
        <f>+(1+11/60+56/3600)</f>
        <v>1.1988888888888889</v>
      </c>
      <c r="R8446" s="8">
        <v>13.9</v>
      </c>
      <c r="S8446" s="8">
        <v>14.7</v>
      </c>
      <c r="T8446" s="8">
        <v>0.8</v>
      </c>
      <c r="U8446" s="8">
        <v>12.4</v>
      </c>
      <c r="V8446" s="8">
        <v>0.6</v>
      </c>
      <c r="W8446" s="8">
        <v>0.5</v>
      </c>
      <c r="X8446" s="8">
        <v>12</v>
      </c>
      <c r="Y8446" s="8" t="s">
        <v>37113</v>
      </c>
      <c r="Z8446" s="8" t="s">
        <v>37114</v>
      </c>
    </row>
    <row r="8447" spans="1:26" x14ac:dyDescent="0.2">
      <c r="A8447" s="8">
        <v>8446</v>
      </c>
      <c r="B8447" s="8" t="s">
        <v>37115</v>
      </c>
      <c r="C8447" s="8" t="s">
        <v>37115</v>
      </c>
      <c r="G8447" s="8">
        <v>20</v>
      </c>
      <c r="H8447" s="8" t="s">
        <v>21</v>
      </c>
      <c r="I8447" s="8" t="s">
        <v>22</v>
      </c>
      <c r="J8447" s="8" t="s">
        <v>57</v>
      </c>
      <c r="K8447" s="8" t="s">
        <v>160</v>
      </c>
      <c r="L8447" s="8" t="s">
        <v>13194</v>
      </c>
      <c r="M8447" s="8" t="s">
        <v>13195</v>
      </c>
      <c r="N8447" s="8" t="s">
        <v>14790</v>
      </c>
      <c r="O8447" s="8">
        <f>10+23/60+32.6/3600</f>
        <v>10.392388888888888</v>
      </c>
      <c r="P8447" s="8" t="s">
        <v>14791</v>
      </c>
      <c r="Q8447" s="8">
        <f>+(10+57/60+35/3600)</f>
        <v>10.959722222222222</v>
      </c>
      <c r="R8447" s="8">
        <v>14.5</v>
      </c>
      <c r="S8447" s="8">
        <v>15.2</v>
      </c>
      <c r="T8447" s="8">
        <v>0.7</v>
      </c>
      <c r="U8447" s="8">
        <v>12.3</v>
      </c>
      <c r="V8447" s="8">
        <v>0.5</v>
      </c>
      <c r="W8447" s="8">
        <v>0.3</v>
      </c>
      <c r="X8447" s="8">
        <v>30</v>
      </c>
      <c r="Y8447" s="8" t="s">
        <v>35781</v>
      </c>
      <c r="Z8447" s="8" t="s">
        <v>35782</v>
      </c>
    </row>
    <row r="8448" spans="1:26" x14ac:dyDescent="0.2">
      <c r="A8448" s="8">
        <v>8447</v>
      </c>
      <c r="B8448" s="8" t="s">
        <v>37116</v>
      </c>
      <c r="C8448" s="8" t="s">
        <v>37116</v>
      </c>
      <c r="G8448" s="8">
        <v>20</v>
      </c>
      <c r="H8448" s="8" t="s">
        <v>21</v>
      </c>
      <c r="I8448" s="8" t="s">
        <v>22</v>
      </c>
      <c r="J8448" s="8" t="s">
        <v>22</v>
      </c>
      <c r="K8448" s="8" t="s">
        <v>85</v>
      </c>
      <c r="L8448" s="8" t="s">
        <v>13194</v>
      </c>
      <c r="M8448" s="8" t="s">
        <v>13195</v>
      </c>
      <c r="N8448" s="8" t="s">
        <v>37117</v>
      </c>
      <c r="O8448" s="8">
        <f>10+24/60+8.5/3600</f>
        <v>10.402361111111112</v>
      </c>
      <c r="P8448" s="8" t="s">
        <v>37118</v>
      </c>
      <c r="Q8448" s="8">
        <f>+(16+44/60+30/3600)</f>
        <v>16.741666666666667</v>
      </c>
      <c r="R8448" s="8">
        <v>13.2</v>
      </c>
      <c r="S8448" s="8">
        <v>14</v>
      </c>
      <c r="T8448" s="8">
        <v>0.8</v>
      </c>
      <c r="U8448" s="8">
        <v>13.2</v>
      </c>
      <c r="V8448" s="8">
        <v>1.3</v>
      </c>
      <c r="W8448" s="8">
        <v>0.9</v>
      </c>
      <c r="X8448" s="8">
        <v>105</v>
      </c>
      <c r="Y8448" s="8" t="s">
        <v>37119</v>
      </c>
      <c r="Z8448" s="8" t="s">
        <v>37120</v>
      </c>
    </row>
    <row r="8449" spans="1:26" x14ac:dyDescent="0.2">
      <c r="A8449" s="8">
        <v>8448</v>
      </c>
      <c r="B8449" s="8" t="s">
        <v>37121</v>
      </c>
      <c r="C8449" s="8" t="s">
        <v>37121</v>
      </c>
      <c r="G8449" s="8">
        <v>20</v>
      </c>
      <c r="H8449" s="8" t="s">
        <v>21</v>
      </c>
      <c r="I8449" s="8" t="s">
        <v>22</v>
      </c>
      <c r="J8449" s="8" t="s">
        <v>22</v>
      </c>
      <c r="K8449" s="8" t="s">
        <v>476</v>
      </c>
      <c r="L8449" s="8" t="s">
        <v>12234</v>
      </c>
      <c r="M8449" s="8" t="s">
        <v>12235</v>
      </c>
      <c r="N8449" s="8" t="s">
        <v>37122</v>
      </c>
      <c r="O8449" s="8">
        <f>10+24/60+21/3600</f>
        <v>10.405833333333334</v>
      </c>
      <c r="P8449" s="8" t="s">
        <v>37123</v>
      </c>
      <c r="Q8449" s="8">
        <f>-(6+2/60+22/3600)</f>
        <v>-6.0394444444444444</v>
      </c>
      <c r="R8449" s="8">
        <v>13.9</v>
      </c>
      <c r="S8449" s="8">
        <v>14.8</v>
      </c>
      <c r="T8449" s="8">
        <v>0.9</v>
      </c>
      <c r="U8449" s="8">
        <v>12.5</v>
      </c>
      <c r="V8449" s="8">
        <v>0.8</v>
      </c>
      <c r="W8449" s="8">
        <v>0.4</v>
      </c>
      <c r="X8449" s="8">
        <v>108</v>
      </c>
      <c r="Y8449" s="8" t="s">
        <v>895</v>
      </c>
      <c r="Z8449" s="8" t="s">
        <v>896</v>
      </c>
    </row>
    <row r="8450" spans="1:26" x14ac:dyDescent="0.2">
      <c r="A8450" s="8">
        <v>8449</v>
      </c>
      <c r="B8450" s="8" t="s">
        <v>37124</v>
      </c>
      <c r="C8450" s="8" t="s">
        <v>37124</v>
      </c>
      <c r="G8450" s="8">
        <v>20</v>
      </c>
      <c r="H8450" s="8" t="s">
        <v>21</v>
      </c>
      <c r="I8450" s="8" t="s">
        <v>22</v>
      </c>
      <c r="J8450" s="8" t="s">
        <v>22</v>
      </c>
      <c r="K8450" s="8" t="s">
        <v>85</v>
      </c>
      <c r="L8450" s="8" t="s">
        <v>12234</v>
      </c>
      <c r="M8450" s="8" t="s">
        <v>12235</v>
      </c>
      <c r="N8450" s="8" t="s">
        <v>37125</v>
      </c>
      <c r="O8450" s="8">
        <f>10+25/60+35.4/3600</f>
        <v>10.426499999999999</v>
      </c>
      <c r="P8450" s="8" t="s">
        <v>37126</v>
      </c>
      <c r="Q8450" s="8">
        <f>-(2+12/60+51/3600)</f>
        <v>-2.2141666666666668</v>
      </c>
      <c r="R8450" s="8">
        <v>13.3</v>
      </c>
      <c r="S8450" s="8">
        <v>14.1</v>
      </c>
      <c r="T8450" s="8">
        <v>0.8</v>
      </c>
      <c r="U8450" s="8">
        <v>13.2</v>
      </c>
      <c r="V8450" s="8">
        <v>1.5</v>
      </c>
      <c r="W8450" s="8">
        <v>0.7</v>
      </c>
      <c r="X8450" s="8">
        <v>28</v>
      </c>
      <c r="Y8450" s="8" t="s">
        <v>5711</v>
      </c>
      <c r="Z8450" s="8" t="s">
        <v>5712</v>
      </c>
    </row>
    <row r="8451" spans="1:26" x14ac:dyDescent="0.2">
      <c r="A8451" s="8">
        <v>8450</v>
      </c>
      <c r="B8451" s="8" t="s">
        <v>37127</v>
      </c>
      <c r="C8451" s="8" t="s">
        <v>37127</v>
      </c>
      <c r="G8451" s="8">
        <v>20</v>
      </c>
      <c r="H8451" s="8" t="s">
        <v>21</v>
      </c>
      <c r="I8451" s="8" t="s">
        <v>22</v>
      </c>
      <c r="J8451" s="8" t="s">
        <v>22</v>
      </c>
      <c r="K8451" s="8" t="s">
        <v>396</v>
      </c>
      <c r="L8451" s="8" t="s">
        <v>13194</v>
      </c>
      <c r="M8451" s="8" t="s">
        <v>13195</v>
      </c>
      <c r="N8451" s="8" t="s">
        <v>37128</v>
      </c>
      <c r="O8451" s="8">
        <f>10+26/60+28.4/3600</f>
        <v>10.441222222222223</v>
      </c>
      <c r="P8451" s="8" t="s">
        <v>37129</v>
      </c>
      <c r="Q8451" s="8">
        <f>+(20+13/60+37/3600)</f>
        <v>20.226944444444442</v>
      </c>
      <c r="R8451" s="8">
        <v>13.9</v>
      </c>
      <c r="S8451" s="8">
        <v>14.7</v>
      </c>
      <c r="T8451" s="8">
        <v>0.8</v>
      </c>
      <c r="U8451" s="8">
        <v>13.2</v>
      </c>
      <c r="V8451" s="8">
        <v>1.8</v>
      </c>
      <c r="W8451" s="8">
        <v>0.3</v>
      </c>
      <c r="X8451" s="8">
        <v>29</v>
      </c>
      <c r="Y8451" s="8" t="s">
        <v>37130</v>
      </c>
      <c r="Z8451" s="8" t="s">
        <v>37131</v>
      </c>
    </row>
    <row r="8452" spans="1:26" x14ac:dyDescent="0.2">
      <c r="A8452" s="8">
        <v>8451</v>
      </c>
      <c r="B8452" s="8" t="s">
        <v>37132</v>
      </c>
      <c r="C8452" s="8" t="s">
        <v>37132</v>
      </c>
      <c r="G8452" s="8">
        <v>20</v>
      </c>
      <c r="H8452" s="8" t="s">
        <v>21</v>
      </c>
      <c r="I8452" s="8" t="s">
        <v>22</v>
      </c>
      <c r="J8452" s="8" t="s">
        <v>57</v>
      </c>
      <c r="K8452" s="8" t="s">
        <v>396</v>
      </c>
      <c r="L8452" s="8" t="s">
        <v>13194</v>
      </c>
      <c r="M8452" s="8" t="s">
        <v>13195</v>
      </c>
      <c r="N8452" s="8" t="s">
        <v>37128</v>
      </c>
      <c r="O8452" s="8">
        <f>10+26/60+28.4/3600</f>
        <v>10.441222222222223</v>
      </c>
      <c r="P8452" s="8" t="s">
        <v>37129</v>
      </c>
      <c r="Q8452" s="8">
        <f>+(20+13/60+37/3600)</f>
        <v>20.226944444444442</v>
      </c>
      <c r="R8452" s="8">
        <v>13.9</v>
      </c>
      <c r="S8452" s="8">
        <v>14.7</v>
      </c>
      <c r="T8452" s="8">
        <v>0.8</v>
      </c>
      <c r="U8452" s="8">
        <v>13.2</v>
      </c>
      <c r="V8452" s="8">
        <v>1.8</v>
      </c>
      <c r="W8452" s="8">
        <v>0.3</v>
      </c>
      <c r="X8452" s="8">
        <v>29</v>
      </c>
      <c r="Y8452" s="8" t="s">
        <v>146</v>
      </c>
      <c r="Z8452" s="8" t="s">
        <v>147</v>
      </c>
    </row>
    <row r="8453" spans="1:26" x14ac:dyDescent="0.2">
      <c r="A8453" s="8">
        <v>8452</v>
      </c>
      <c r="B8453" s="8" t="s">
        <v>37133</v>
      </c>
      <c r="C8453" s="8" t="s">
        <v>37133</v>
      </c>
      <c r="G8453" s="8">
        <v>20</v>
      </c>
      <c r="H8453" s="8" t="s">
        <v>21</v>
      </c>
      <c r="I8453" s="8" t="s">
        <v>22</v>
      </c>
      <c r="J8453" s="8" t="s">
        <v>22</v>
      </c>
      <c r="K8453" s="8" t="s">
        <v>449</v>
      </c>
      <c r="L8453" s="8" t="s">
        <v>13194</v>
      </c>
      <c r="M8453" s="8" t="s">
        <v>13195</v>
      </c>
      <c r="N8453" s="8" t="s">
        <v>37134</v>
      </c>
      <c r="O8453" s="8">
        <f>10+27/60+5.8/3600</f>
        <v>10.451611111111111</v>
      </c>
      <c r="P8453" s="8" t="s">
        <v>37135</v>
      </c>
      <c r="Q8453" s="8">
        <f>+(11+3/60+17/3600)</f>
        <v>11.054722222222223</v>
      </c>
      <c r="R8453" s="8">
        <v>14.6</v>
      </c>
      <c r="S8453" s="8">
        <v>15.4</v>
      </c>
      <c r="T8453" s="8">
        <v>0.8</v>
      </c>
      <c r="U8453" s="8">
        <v>12.6</v>
      </c>
      <c r="V8453" s="8">
        <v>0.6</v>
      </c>
      <c r="W8453" s="8">
        <v>0.3</v>
      </c>
      <c r="X8453" s="8">
        <v>0</v>
      </c>
      <c r="Y8453" s="8" t="s">
        <v>37136</v>
      </c>
      <c r="Z8453" s="8" t="s">
        <v>35036</v>
      </c>
    </row>
    <row r="8454" spans="1:26" x14ac:dyDescent="0.2">
      <c r="A8454" s="8">
        <v>8453</v>
      </c>
      <c r="B8454" s="8" t="s">
        <v>37137</v>
      </c>
      <c r="C8454" s="8" t="s">
        <v>37137</v>
      </c>
      <c r="G8454" s="8">
        <v>20</v>
      </c>
      <c r="H8454" s="8" t="s">
        <v>21</v>
      </c>
      <c r="I8454" s="8" t="s">
        <v>22</v>
      </c>
      <c r="J8454" s="8" t="s">
        <v>22</v>
      </c>
      <c r="K8454" s="8" t="s">
        <v>460</v>
      </c>
      <c r="L8454" s="8" t="s">
        <v>13194</v>
      </c>
      <c r="M8454" s="8" t="s">
        <v>13195</v>
      </c>
      <c r="N8454" s="8" t="s">
        <v>37138</v>
      </c>
      <c r="O8454" s="8">
        <f>10+27/60+7.7/3600</f>
        <v>10.452138888888888</v>
      </c>
      <c r="P8454" s="8" t="s">
        <v>37139</v>
      </c>
      <c r="Q8454" s="8">
        <f>+(11+0/60+41/3600)</f>
        <v>11.011388888888888</v>
      </c>
      <c r="R8454" s="8">
        <v>14.4</v>
      </c>
      <c r="S8454" s="8">
        <v>15.4</v>
      </c>
      <c r="T8454" s="8">
        <v>1</v>
      </c>
      <c r="U8454" s="8">
        <v>14</v>
      </c>
      <c r="V8454" s="8">
        <v>0.8</v>
      </c>
      <c r="W8454" s="8">
        <v>0.8</v>
      </c>
      <c r="Y8454" s="8" t="s">
        <v>2181</v>
      </c>
      <c r="Z8454" s="8" t="s">
        <v>2182</v>
      </c>
    </row>
    <row r="8455" spans="1:26" x14ac:dyDescent="0.2">
      <c r="A8455" s="8">
        <v>8454</v>
      </c>
      <c r="B8455" s="8" t="s">
        <v>37140</v>
      </c>
      <c r="C8455" s="8" t="s">
        <v>37140</v>
      </c>
      <c r="G8455" s="8">
        <v>20</v>
      </c>
      <c r="H8455" s="8" t="s">
        <v>21</v>
      </c>
      <c r="I8455" s="8" t="s">
        <v>22</v>
      </c>
      <c r="J8455" s="8" t="s">
        <v>22</v>
      </c>
      <c r="K8455" s="8" t="s">
        <v>37141</v>
      </c>
      <c r="L8455" s="8" t="s">
        <v>12234</v>
      </c>
      <c r="M8455" s="8" t="s">
        <v>12235</v>
      </c>
      <c r="N8455" s="8" t="s">
        <v>37142</v>
      </c>
      <c r="O8455" s="8">
        <f>10+26/60+51.8/3600</f>
        <v>10.447722222222222</v>
      </c>
      <c r="P8455" s="8" t="s">
        <v>37143</v>
      </c>
      <c r="Q8455" s="8">
        <f>-(3+27/60+53/3600)</f>
        <v>-3.4647222222222225</v>
      </c>
      <c r="R8455" s="8">
        <v>14.3</v>
      </c>
      <c r="S8455" s="8">
        <v>15.3</v>
      </c>
      <c r="T8455" s="8">
        <v>1</v>
      </c>
      <c r="U8455" s="8">
        <v>12.9</v>
      </c>
      <c r="V8455" s="8">
        <v>0.8</v>
      </c>
      <c r="W8455" s="8">
        <v>0.4</v>
      </c>
      <c r="X8455" s="8">
        <v>27</v>
      </c>
      <c r="Y8455" s="8" t="s">
        <v>17353</v>
      </c>
      <c r="Z8455" s="8" t="s">
        <v>17354</v>
      </c>
    </row>
    <row r="8456" spans="1:26" x14ac:dyDescent="0.2">
      <c r="A8456" s="8">
        <v>8455</v>
      </c>
      <c r="B8456" s="8" t="s">
        <v>37144</v>
      </c>
      <c r="C8456" s="8" t="s">
        <v>37144</v>
      </c>
      <c r="G8456" s="8">
        <v>20</v>
      </c>
      <c r="H8456" s="8" t="s">
        <v>21</v>
      </c>
      <c r="I8456" s="8" t="s">
        <v>22</v>
      </c>
      <c r="J8456" s="8" t="s">
        <v>22</v>
      </c>
      <c r="K8456" s="8" t="s">
        <v>449</v>
      </c>
      <c r="L8456" s="8" t="s">
        <v>13194</v>
      </c>
      <c r="M8456" s="8" t="s">
        <v>13195</v>
      </c>
      <c r="N8456" s="8" t="s">
        <v>37145</v>
      </c>
      <c r="O8456" s="8">
        <f>10+27/60+21.9/3600</f>
        <v>10.456083333333332</v>
      </c>
      <c r="P8456" s="8" t="s">
        <v>37146</v>
      </c>
      <c r="Q8456" s="8">
        <f>+(11+4/60+50/3600)</f>
        <v>11.080555555555556</v>
      </c>
      <c r="R8456" s="8">
        <v>14.1</v>
      </c>
      <c r="S8456" s="8">
        <v>14.9</v>
      </c>
      <c r="T8456" s="8">
        <v>0.8</v>
      </c>
      <c r="U8456" s="8">
        <v>12.7</v>
      </c>
      <c r="V8456" s="8">
        <v>1.1000000000000001</v>
      </c>
      <c r="W8456" s="8">
        <v>0.3</v>
      </c>
      <c r="X8456" s="8">
        <v>143</v>
      </c>
      <c r="Y8456" s="8" t="s">
        <v>170</v>
      </c>
      <c r="Z8456" s="8" t="s">
        <v>171</v>
      </c>
    </row>
    <row r="8457" spans="1:26" x14ac:dyDescent="0.2">
      <c r="A8457" s="8">
        <v>8456</v>
      </c>
      <c r="B8457" s="8" t="s">
        <v>37147</v>
      </c>
      <c r="C8457" s="8" t="s">
        <v>37147</v>
      </c>
      <c r="E8457" s="8">
        <v>1</v>
      </c>
      <c r="G8457" s="8">
        <v>20</v>
      </c>
      <c r="H8457" s="8" t="s">
        <v>21</v>
      </c>
      <c r="I8457" s="8" t="s">
        <v>22</v>
      </c>
      <c r="J8457" s="8" t="s">
        <v>22</v>
      </c>
      <c r="K8457" s="8" t="s">
        <v>160</v>
      </c>
      <c r="L8457" s="8" t="s">
        <v>13194</v>
      </c>
      <c r="M8457" s="8" t="s">
        <v>13195</v>
      </c>
      <c r="N8457" s="8" t="s">
        <v>37148</v>
      </c>
      <c r="O8457" s="8">
        <f>10+32/60+47.4/3600</f>
        <v>10.5465</v>
      </c>
      <c r="P8457" s="8" t="s">
        <v>37149</v>
      </c>
      <c r="Q8457" s="8">
        <f>+(15+51/60+38/3600)</f>
        <v>15.860555555555555</v>
      </c>
      <c r="R8457" s="8">
        <v>13.5</v>
      </c>
      <c r="S8457" s="8">
        <v>14.2</v>
      </c>
      <c r="T8457" s="8">
        <v>0.7</v>
      </c>
      <c r="U8457" s="8">
        <v>13.4</v>
      </c>
      <c r="V8457" s="8">
        <v>1</v>
      </c>
      <c r="W8457" s="8">
        <v>1</v>
      </c>
      <c r="Y8457" s="8" t="s">
        <v>1374</v>
      </c>
      <c r="Z8457" s="8" t="s">
        <v>1375</v>
      </c>
    </row>
    <row r="8458" spans="1:26" x14ac:dyDescent="0.2">
      <c r="A8458" s="8">
        <v>8457</v>
      </c>
      <c r="B8458" s="8" t="s">
        <v>37150</v>
      </c>
      <c r="C8458" s="8" t="s">
        <v>37150</v>
      </c>
      <c r="G8458" s="8">
        <v>20</v>
      </c>
      <c r="H8458" s="8" t="s">
        <v>21</v>
      </c>
      <c r="I8458" s="8" t="s">
        <v>22</v>
      </c>
      <c r="J8458" s="8" t="s">
        <v>57</v>
      </c>
      <c r="K8458" s="8" t="s">
        <v>58</v>
      </c>
      <c r="L8458" s="8" t="s">
        <v>11765</v>
      </c>
      <c r="M8458" s="8" t="s">
        <v>11766</v>
      </c>
      <c r="N8458" s="8" t="s">
        <v>15085</v>
      </c>
      <c r="O8458" s="8">
        <f>10+32/60+43.8/3600</f>
        <v>10.545500000000001</v>
      </c>
      <c r="P8458" s="8" t="s">
        <v>15086</v>
      </c>
      <c r="Q8458" s="8">
        <f>-(12+38/60+12/3600)</f>
        <v>-12.636666666666667</v>
      </c>
      <c r="R8458" s="8">
        <v>14.7</v>
      </c>
      <c r="S8458" s="8">
        <v>15.7</v>
      </c>
      <c r="T8458" s="8">
        <v>1</v>
      </c>
      <c r="U8458" s="8">
        <v>13.6</v>
      </c>
      <c r="V8458" s="8">
        <v>0.7</v>
      </c>
      <c r="W8458" s="8">
        <v>0.5</v>
      </c>
      <c r="X8458" s="8">
        <v>130</v>
      </c>
      <c r="Y8458" s="8" t="s">
        <v>115</v>
      </c>
      <c r="Z8458" s="8" t="s">
        <v>116</v>
      </c>
    </row>
    <row r="8459" spans="1:26" x14ac:dyDescent="0.2">
      <c r="A8459" s="8">
        <v>8458</v>
      </c>
      <c r="B8459" s="8" t="s">
        <v>37151</v>
      </c>
      <c r="C8459" s="8" t="s">
        <v>37151</v>
      </c>
      <c r="G8459" s="8">
        <v>20</v>
      </c>
      <c r="H8459" s="8" t="s">
        <v>21</v>
      </c>
      <c r="I8459" s="8" t="s">
        <v>22</v>
      </c>
      <c r="J8459" s="8" t="s">
        <v>57</v>
      </c>
      <c r="K8459" s="8" t="s">
        <v>460</v>
      </c>
      <c r="L8459" s="8" t="s">
        <v>11765</v>
      </c>
      <c r="M8459" s="8" t="s">
        <v>11766</v>
      </c>
      <c r="N8459" s="8" t="s">
        <v>15150</v>
      </c>
      <c r="O8459" s="8">
        <f>10+32/60+45.3/3600</f>
        <v>10.545916666666667</v>
      </c>
      <c r="P8459" s="8" t="s">
        <v>15151</v>
      </c>
      <c r="Q8459" s="8">
        <f>-(12+43/60+0/3600)</f>
        <v>-12.716666666666667</v>
      </c>
      <c r="R8459" s="8">
        <v>13.9</v>
      </c>
      <c r="S8459" s="8">
        <v>14.9</v>
      </c>
      <c r="T8459" s="8">
        <v>1</v>
      </c>
      <c r="U8459" s="8">
        <v>13.2</v>
      </c>
      <c r="V8459" s="8">
        <v>0.7</v>
      </c>
      <c r="W8459" s="8">
        <v>0.7</v>
      </c>
      <c r="Y8459" s="8" t="s">
        <v>37152</v>
      </c>
      <c r="Z8459" s="8" t="s">
        <v>37153</v>
      </c>
    </row>
    <row r="8460" spans="1:26" x14ac:dyDescent="0.2">
      <c r="A8460" s="8">
        <v>8459</v>
      </c>
      <c r="B8460" s="8" t="s">
        <v>37154</v>
      </c>
      <c r="C8460" s="8" t="s">
        <v>37154</v>
      </c>
      <c r="G8460" s="8">
        <v>20</v>
      </c>
      <c r="H8460" s="8" t="s">
        <v>21</v>
      </c>
      <c r="I8460" s="8" t="s">
        <v>22</v>
      </c>
      <c r="J8460" s="8" t="s">
        <v>22</v>
      </c>
      <c r="K8460" s="8" t="s">
        <v>396</v>
      </c>
      <c r="L8460" s="8" t="s">
        <v>13194</v>
      </c>
      <c r="M8460" s="8" t="s">
        <v>13195</v>
      </c>
      <c r="N8460" s="8" t="s">
        <v>37155</v>
      </c>
      <c r="O8460" s="8">
        <f>10+33/60+50/3600</f>
        <v>10.56388888888889</v>
      </c>
      <c r="P8460" s="8" t="s">
        <v>37156</v>
      </c>
      <c r="Q8460" s="8">
        <f>+(12+52/60+42/3600)</f>
        <v>12.878333333333334</v>
      </c>
      <c r="R8460" s="8">
        <v>13.9</v>
      </c>
      <c r="S8460" s="8">
        <v>14.7</v>
      </c>
      <c r="T8460" s="8">
        <v>0.8</v>
      </c>
      <c r="U8460" s="8">
        <v>13.3</v>
      </c>
      <c r="V8460" s="8">
        <v>1</v>
      </c>
      <c r="W8460" s="8">
        <v>0.8</v>
      </c>
      <c r="X8460" s="8">
        <v>0</v>
      </c>
      <c r="Y8460" s="8" t="s">
        <v>37157</v>
      </c>
      <c r="Z8460" s="8" t="s">
        <v>37158</v>
      </c>
    </row>
    <row r="8461" spans="1:26" x14ac:dyDescent="0.2">
      <c r="A8461" s="8">
        <v>8460</v>
      </c>
      <c r="B8461" s="8" t="s">
        <v>37159</v>
      </c>
      <c r="C8461" s="8" t="s">
        <v>37159</v>
      </c>
      <c r="G8461" s="8">
        <v>20</v>
      </c>
      <c r="H8461" s="8" t="s">
        <v>21</v>
      </c>
      <c r="I8461" s="8" t="s">
        <v>22</v>
      </c>
      <c r="J8461" s="8" t="s">
        <v>22</v>
      </c>
      <c r="K8461" s="8" t="s">
        <v>24713</v>
      </c>
      <c r="L8461" s="8" t="s">
        <v>13194</v>
      </c>
      <c r="M8461" s="8" t="s">
        <v>13195</v>
      </c>
      <c r="N8461" s="8" t="s">
        <v>37160</v>
      </c>
      <c r="O8461" s="8">
        <f>10+33/60+33.4/3600</f>
        <v>10.559277777777778</v>
      </c>
      <c r="P8461" s="8" t="s">
        <v>37161</v>
      </c>
      <c r="Q8461" s="8">
        <f>+(11+52/60+15/3600)</f>
        <v>11.870833333333334</v>
      </c>
      <c r="R8461" s="8">
        <v>14.4</v>
      </c>
      <c r="S8461" s="8">
        <v>15.2</v>
      </c>
      <c r="T8461" s="8">
        <v>0.8</v>
      </c>
      <c r="U8461" s="8">
        <v>12.4</v>
      </c>
      <c r="V8461" s="8">
        <v>0.6</v>
      </c>
      <c r="W8461" s="8">
        <v>0.3</v>
      </c>
      <c r="X8461" s="8">
        <v>80</v>
      </c>
      <c r="Y8461" s="8" t="s">
        <v>282</v>
      </c>
      <c r="Z8461" s="8" t="s">
        <v>283</v>
      </c>
    </row>
    <row r="8462" spans="1:26" x14ac:dyDescent="0.2">
      <c r="A8462" s="8">
        <v>8461</v>
      </c>
      <c r="B8462" s="8" t="s">
        <v>37162</v>
      </c>
      <c r="C8462" s="8" t="s">
        <v>37162</v>
      </c>
      <c r="G8462" s="8">
        <v>20</v>
      </c>
      <c r="H8462" s="8" t="s">
        <v>21</v>
      </c>
      <c r="I8462" s="8" t="s">
        <v>22</v>
      </c>
      <c r="J8462" s="8" t="s">
        <v>22</v>
      </c>
      <c r="K8462" s="8" t="s">
        <v>382</v>
      </c>
      <c r="L8462" s="8" t="s">
        <v>12234</v>
      </c>
      <c r="M8462" s="8" t="s">
        <v>12235</v>
      </c>
      <c r="N8462" s="8" t="s">
        <v>37163</v>
      </c>
      <c r="O8462" s="8">
        <f>10+33/60+21/3600</f>
        <v>10.555833333333334</v>
      </c>
      <c r="P8462" s="8" t="s">
        <v>37164</v>
      </c>
      <c r="Q8462" s="8">
        <f>+(2+37/60+0/3600)</f>
        <v>2.6166666666666667</v>
      </c>
      <c r="R8462" s="8">
        <v>14.2</v>
      </c>
      <c r="S8462" s="8">
        <v>15.2</v>
      </c>
      <c r="T8462" s="8">
        <v>1</v>
      </c>
      <c r="U8462" s="8">
        <v>12.3</v>
      </c>
      <c r="V8462" s="8">
        <v>0.4</v>
      </c>
      <c r="W8462" s="8">
        <v>0.3</v>
      </c>
      <c r="X8462" s="8">
        <v>90</v>
      </c>
      <c r="Y8462" s="8" t="s">
        <v>895</v>
      </c>
      <c r="Z8462" s="8" t="s">
        <v>896</v>
      </c>
    </row>
    <row r="8463" spans="1:26" x14ac:dyDescent="0.2">
      <c r="A8463" s="8">
        <v>8462</v>
      </c>
      <c r="B8463" s="8" t="s">
        <v>37165</v>
      </c>
      <c r="C8463" s="8" t="s">
        <v>37165</v>
      </c>
      <c r="G8463" s="8">
        <v>20</v>
      </c>
      <c r="H8463" s="8" t="s">
        <v>21</v>
      </c>
      <c r="I8463" s="8" t="s">
        <v>22</v>
      </c>
      <c r="J8463" s="8" t="s">
        <v>57</v>
      </c>
      <c r="K8463" s="8" t="s">
        <v>579</v>
      </c>
      <c r="L8463" s="8" t="s">
        <v>13194</v>
      </c>
      <c r="M8463" s="8" t="s">
        <v>13195</v>
      </c>
      <c r="N8463" s="8" t="s">
        <v>15082</v>
      </c>
      <c r="O8463" s="8">
        <f>10+34/60+42.6/3600</f>
        <v>10.5785</v>
      </c>
      <c r="P8463" s="8" t="s">
        <v>15083</v>
      </c>
      <c r="Q8463" s="8">
        <f>+(11+11/60+49/3600)</f>
        <v>11.196944444444444</v>
      </c>
      <c r="R8463" s="8">
        <v>13.4</v>
      </c>
      <c r="S8463" s="8">
        <v>14.1</v>
      </c>
      <c r="T8463" s="8">
        <v>0.7</v>
      </c>
      <c r="U8463" s="8">
        <v>13</v>
      </c>
      <c r="V8463" s="8">
        <v>2.9</v>
      </c>
      <c r="W8463" s="8">
        <v>0.4</v>
      </c>
      <c r="X8463" s="8">
        <v>152</v>
      </c>
      <c r="Y8463" s="8" t="s">
        <v>37166</v>
      </c>
      <c r="Z8463" s="8" t="s">
        <v>37167</v>
      </c>
    </row>
    <row r="8464" spans="1:26" x14ac:dyDescent="0.2">
      <c r="A8464" s="8">
        <v>8463</v>
      </c>
      <c r="B8464" s="8" t="s">
        <v>37168</v>
      </c>
      <c r="C8464" s="8" t="s">
        <v>37168</v>
      </c>
      <c r="G8464" s="8">
        <v>20</v>
      </c>
      <c r="H8464" s="8" t="s">
        <v>21</v>
      </c>
      <c r="I8464" s="8" t="s">
        <v>22</v>
      </c>
      <c r="J8464" s="8" t="s">
        <v>22</v>
      </c>
      <c r="K8464" s="8" t="s">
        <v>23</v>
      </c>
      <c r="L8464" s="8" t="s">
        <v>12234</v>
      </c>
      <c r="M8464" s="8" t="s">
        <v>12235</v>
      </c>
      <c r="N8464" s="8" t="s">
        <v>37169</v>
      </c>
      <c r="O8464" s="8">
        <f>10+35/60+21/3600</f>
        <v>10.589166666666667</v>
      </c>
      <c r="P8464" s="8" t="s">
        <v>37170</v>
      </c>
      <c r="Q8464" s="8">
        <f>+(3+33/60+30/3600)</f>
        <v>3.5583333333333331</v>
      </c>
      <c r="R8464" s="8">
        <v>14.2</v>
      </c>
      <c r="S8464" s="8">
        <v>15</v>
      </c>
      <c r="T8464" s="8">
        <v>0.8</v>
      </c>
      <c r="U8464" s="8">
        <v>13.1</v>
      </c>
      <c r="V8464" s="8">
        <v>1</v>
      </c>
      <c r="W8464" s="8">
        <v>0.4</v>
      </c>
      <c r="X8464" s="8">
        <v>152</v>
      </c>
      <c r="Y8464" s="8" t="s">
        <v>895</v>
      </c>
      <c r="Z8464" s="8" t="s">
        <v>896</v>
      </c>
    </row>
    <row r="8465" spans="1:26" x14ac:dyDescent="0.2">
      <c r="A8465" s="8">
        <v>8464</v>
      </c>
      <c r="B8465" s="8" t="s">
        <v>37171</v>
      </c>
      <c r="C8465" s="8" t="s">
        <v>37171</v>
      </c>
      <c r="G8465" s="8">
        <v>20</v>
      </c>
      <c r="H8465" s="8" t="s">
        <v>21</v>
      </c>
      <c r="I8465" s="8" t="s">
        <v>22</v>
      </c>
      <c r="J8465" s="8" t="s">
        <v>22</v>
      </c>
      <c r="K8465" s="8" t="s">
        <v>91</v>
      </c>
      <c r="L8465" s="8" t="s">
        <v>12234</v>
      </c>
      <c r="M8465" s="8" t="s">
        <v>12235</v>
      </c>
      <c r="N8465" s="8" t="s">
        <v>37172</v>
      </c>
      <c r="O8465" s="8">
        <f>10+36/60+15.3/3600</f>
        <v>10.60425</v>
      </c>
      <c r="P8465" s="8" t="s">
        <v>37173</v>
      </c>
      <c r="Q8465" s="8">
        <f>-(8+20/60+3/3600)</f>
        <v>-8.3341666666666665</v>
      </c>
      <c r="R8465" s="8">
        <v>13.2</v>
      </c>
      <c r="S8465" s="8">
        <v>14.1</v>
      </c>
      <c r="T8465" s="8">
        <v>0.9</v>
      </c>
      <c r="U8465" s="8">
        <v>13.4</v>
      </c>
      <c r="V8465" s="8">
        <v>2.7</v>
      </c>
      <c r="W8465" s="8">
        <v>0.5</v>
      </c>
      <c r="X8465" s="8">
        <v>42</v>
      </c>
      <c r="Y8465" s="8" t="s">
        <v>2181</v>
      </c>
      <c r="Z8465" s="8" t="s">
        <v>2182</v>
      </c>
    </row>
    <row r="8466" spans="1:26" x14ac:dyDescent="0.2">
      <c r="A8466" s="8">
        <v>8465</v>
      </c>
      <c r="B8466" s="8" t="s">
        <v>37174</v>
      </c>
      <c r="C8466" s="8" t="s">
        <v>37174</v>
      </c>
      <c r="G8466" s="8">
        <v>20</v>
      </c>
      <c r="H8466" s="8" t="s">
        <v>21</v>
      </c>
      <c r="I8466" s="8" t="s">
        <v>22</v>
      </c>
      <c r="J8466" s="8" t="s">
        <v>22</v>
      </c>
      <c r="K8466" s="8" t="s">
        <v>37175</v>
      </c>
      <c r="L8466" s="8" t="s">
        <v>11765</v>
      </c>
      <c r="M8466" s="8" t="s">
        <v>11766</v>
      </c>
      <c r="N8466" s="8" t="s">
        <v>37176</v>
      </c>
      <c r="O8466" s="8">
        <f>10+42/60+37.9/3600</f>
        <v>10.710527777777777</v>
      </c>
      <c r="P8466" s="8" t="s">
        <v>37177</v>
      </c>
      <c r="Q8466" s="8">
        <f>-(23+56/60+6/3600)</f>
        <v>-23.934999999999999</v>
      </c>
      <c r="R8466" s="8">
        <v>13</v>
      </c>
      <c r="S8466" s="8">
        <v>13.7</v>
      </c>
      <c r="T8466" s="8">
        <v>0.7</v>
      </c>
      <c r="U8466" s="8">
        <v>13</v>
      </c>
      <c r="V8466" s="8">
        <v>2.2999999999999998</v>
      </c>
      <c r="W8466" s="8">
        <v>0.5</v>
      </c>
      <c r="X8466" s="8">
        <v>110</v>
      </c>
      <c r="Y8466" s="8" t="s">
        <v>37178</v>
      </c>
      <c r="Z8466" s="8" t="s">
        <v>37179</v>
      </c>
    </row>
    <row r="8467" spans="1:26" x14ac:dyDescent="0.2">
      <c r="A8467" s="8">
        <v>8466</v>
      </c>
      <c r="B8467" s="8" t="s">
        <v>37180</v>
      </c>
      <c r="C8467" s="8" t="s">
        <v>37180</v>
      </c>
      <c r="G8467" s="8">
        <v>20</v>
      </c>
      <c r="H8467" s="8" t="s">
        <v>21</v>
      </c>
      <c r="I8467" s="8" t="s">
        <v>22</v>
      </c>
      <c r="J8467" s="8" t="s">
        <v>22</v>
      </c>
      <c r="K8467" s="8" t="s">
        <v>58</v>
      </c>
      <c r="L8467" s="8" t="s">
        <v>12234</v>
      </c>
      <c r="M8467" s="8" t="s">
        <v>12235</v>
      </c>
      <c r="N8467" s="8" t="s">
        <v>37181</v>
      </c>
      <c r="O8467" s="8">
        <f>10+36/60+57.2/3600</f>
        <v>10.615888888888888</v>
      </c>
      <c r="P8467" s="8" t="s">
        <v>37182</v>
      </c>
      <c r="Q8467" s="8">
        <f>-(7+1/60+26/3600)</f>
        <v>-7.0238888888888891</v>
      </c>
      <c r="R8467" s="8">
        <v>13.9</v>
      </c>
      <c r="S8467" s="8">
        <v>14.9</v>
      </c>
      <c r="T8467" s="8">
        <v>1</v>
      </c>
      <c r="U8467" s="8">
        <v>14.2</v>
      </c>
      <c r="V8467" s="8">
        <v>1.2</v>
      </c>
      <c r="W8467" s="8">
        <v>1</v>
      </c>
      <c r="X8467" s="8">
        <v>141</v>
      </c>
      <c r="Y8467" s="8" t="s">
        <v>8829</v>
      </c>
      <c r="Z8467" s="8" t="s">
        <v>8830</v>
      </c>
    </row>
    <row r="8468" spans="1:26" x14ac:dyDescent="0.2">
      <c r="A8468" s="8">
        <v>8467</v>
      </c>
      <c r="B8468" s="8" t="s">
        <v>37183</v>
      </c>
      <c r="C8468" s="8" t="s">
        <v>37183</v>
      </c>
      <c r="G8468" s="8">
        <v>20</v>
      </c>
      <c r="H8468" s="8" t="s">
        <v>21</v>
      </c>
      <c r="I8468" s="8" t="s">
        <v>22</v>
      </c>
      <c r="J8468" s="8" t="s">
        <v>22</v>
      </c>
      <c r="K8468" s="8" t="s">
        <v>476</v>
      </c>
      <c r="L8468" s="8" t="s">
        <v>12234</v>
      </c>
      <c r="M8468" s="8" t="s">
        <v>12235</v>
      </c>
      <c r="N8468" s="8" t="s">
        <v>37184</v>
      </c>
      <c r="O8468" s="8">
        <f>10+37/60+19.8/3600</f>
        <v>10.622166666666667</v>
      </c>
      <c r="P8468" s="8" t="s">
        <v>37185</v>
      </c>
      <c r="Q8468" s="8">
        <f>-(3+21/60+26/3600)</f>
        <v>-3.3572222222222221</v>
      </c>
      <c r="R8468" s="8">
        <v>14.2</v>
      </c>
      <c r="S8468" s="8">
        <v>15.1</v>
      </c>
      <c r="T8468" s="8">
        <v>0.9</v>
      </c>
      <c r="U8468" s="8">
        <v>12.9</v>
      </c>
      <c r="V8468" s="8">
        <v>0.6</v>
      </c>
      <c r="W8468" s="8">
        <v>0.6</v>
      </c>
      <c r="Y8468" s="8" t="s">
        <v>19961</v>
      </c>
      <c r="Z8468" s="8" t="s">
        <v>19962</v>
      </c>
    </row>
    <row r="8469" spans="1:26" x14ac:dyDescent="0.2">
      <c r="A8469" s="8">
        <v>8468</v>
      </c>
      <c r="B8469" s="8" t="s">
        <v>37186</v>
      </c>
      <c r="C8469" s="8" t="s">
        <v>37186</v>
      </c>
      <c r="G8469" s="8">
        <v>20</v>
      </c>
      <c r="H8469" s="8" t="s">
        <v>21</v>
      </c>
      <c r="I8469" s="8" t="s">
        <v>22</v>
      </c>
      <c r="J8469" s="8" t="s">
        <v>22</v>
      </c>
      <c r="K8469" s="8" t="s">
        <v>31</v>
      </c>
      <c r="L8469" s="8" t="s">
        <v>12234</v>
      </c>
      <c r="M8469" s="8" t="s">
        <v>12235</v>
      </c>
      <c r="N8469" s="8" t="s">
        <v>37187</v>
      </c>
      <c r="O8469" s="8">
        <f>10+37/60+36.2/3600</f>
        <v>10.626722222222222</v>
      </c>
      <c r="P8469" s="8" t="s">
        <v>37188</v>
      </c>
      <c r="Q8469" s="8">
        <f>+(5+36/60+12/3600)</f>
        <v>5.6033333333333326</v>
      </c>
      <c r="R8469" s="8">
        <v>13.7</v>
      </c>
      <c r="S8469" s="8">
        <v>14.5</v>
      </c>
      <c r="T8469" s="8">
        <v>0.8</v>
      </c>
      <c r="U8469" s="8">
        <v>13.4</v>
      </c>
      <c r="V8469" s="8">
        <v>0.9</v>
      </c>
      <c r="W8469" s="8">
        <v>0.7</v>
      </c>
      <c r="X8469" s="8">
        <v>118</v>
      </c>
      <c r="Y8469" s="8" t="s">
        <v>3932</v>
      </c>
      <c r="Z8469" s="8" t="s">
        <v>3933</v>
      </c>
    </row>
    <row r="8470" spans="1:26" x14ac:dyDescent="0.2">
      <c r="A8470" s="8">
        <v>8469</v>
      </c>
      <c r="B8470" s="8" t="s">
        <v>37189</v>
      </c>
      <c r="C8470" s="8" t="s">
        <v>37189</v>
      </c>
      <c r="G8470" s="8">
        <v>20</v>
      </c>
      <c r="H8470" s="8" t="s">
        <v>21</v>
      </c>
      <c r="I8470" s="8" t="s">
        <v>22</v>
      </c>
      <c r="J8470" s="8" t="s">
        <v>57</v>
      </c>
      <c r="K8470" s="8" t="s">
        <v>23</v>
      </c>
      <c r="L8470" s="8" t="s">
        <v>11765</v>
      </c>
      <c r="M8470" s="8" t="s">
        <v>11766</v>
      </c>
      <c r="N8470" s="8" t="s">
        <v>15216</v>
      </c>
      <c r="O8470" s="8">
        <f>10+37/60+2.3/3600</f>
        <v>10.617305555555555</v>
      </c>
      <c r="P8470" s="8" t="s">
        <v>15217</v>
      </c>
      <c r="Q8470" s="8">
        <f>-(27+33/60+56/3600)</f>
        <v>-27.565555555555555</v>
      </c>
      <c r="R8470" s="8">
        <v>11.9</v>
      </c>
      <c r="S8470" s="8">
        <v>12.7</v>
      </c>
      <c r="T8470" s="8">
        <v>0.8</v>
      </c>
      <c r="U8470" s="8">
        <v>13.2</v>
      </c>
      <c r="V8470" s="8">
        <v>3.3</v>
      </c>
      <c r="W8470" s="8">
        <v>1.2</v>
      </c>
      <c r="X8470" s="8">
        <v>175</v>
      </c>
      <c r="Y8470" s="8" t="s">
        <v>37190</v>
      </c>
      <c r="Z8470" s="8" t="s">
        <v>37191</v>
      </c>
    </row>
    <row r="8471" spans="1:26" x14ac:dyDescent="0.2">
      <c r="A8471" s="8">
        <v>8470</v>
      </c>
      <c r="B8471" s="8" t="s">
        <v>37192</v>
      </c>
      <c r="C8471" s="8" t="s">
        <v>37192</v>
      </c>
      <c r="G8471" s="8">
        <v>20</v>
      </c>
      <c r="H8471" s="8" t="s">
        <v>21</v>
      </c>
      <c r="I8471" s="8" t="s">
        <v>22</v>
      </c>
      <c r="J8471" s="8" t="s">
        <v>22</v>
      </c>
      <c r="K8471" s="8" t="s">
        <v>37</v>
      </c>
      <c r="L8471" s="8" t="s">
        <v>12234</v>
      </c>
      <c r="M8471" s="8" t="s">
        <v>12235</v>
      </c>
      <c r="N8471" s="8" t="s">
        <v>37193</v>
      </c>
      <c r="O8471" s="8">
        <f>10+38/60+33.9/3600</f>
        <v>10.642749999999999</v>
      </c>
      <c r="P8471" s="8" t="s">
        <v>37194</v>
      </c>
      <c r="Q8471" s="8">
        <f>-(7+10/60+14/3600)</f>
        <v>-7.1705555555555556</v>
      </c>
      <c r="R8471" s="8">
        <v>12</v>
      </c>
      <c r="S8471" s="8">
        <v>13</v>
      </c>
      <c r="T8471" s="8">
        <v>1</v>
      </c>
      <c r="U8471" s="8">
        <v>12.3</v>
      </c>
      <c r="V8471" s="8">
        <v>2.1</v>
      </c>
      <c r="W8471" s="8">
        <v>1.7</v>
      </c>
      <c r="X8471" s="8">
        <v>130</v>
      </c>
      <c r="Y8471" s="8" t="s">
        <v>21</v>
      </c>
      <c r="Z8471" s="8" t="s">
        <v>37195</v>
      </c>
    </row>
    <row r="8472" spans="1:26" x14ac:dyDescent="0.2">
      <c r="A8472" s="8">
        <v>8471</v>
      </c>
      <c r="B8472" s="8" t="s">
        <v>37196</v>
      </c>
      <c r="C8472" s="8" t="s">
        <v>37196</v>
      </c>
      <c r="G8472" s="8">
        <v>20</v>
      </c>
      <c r="H8472" s="8" t="s">
        <v>21</v>
      </c>
      <c r="I8472" s="8" t="s">
        <v>22</v>
      </c>
      <c r="J8472" s="8" t="s">
        <v>22</v>
      </c>
      <c r="K8472" s="8" t="s">
        <v>460</v>
      </c>
      <c r="L8472" s="8" t="s">
        <v>12234</v>
      </c>
      <c r="M8472" s="8" t="s">
        <v>12235</v>
      </c>
      <c r="N8472" s="8" t="s">
        <v>37197</v>
      </c>
      <c r="O8472" s="8">
        <f>10+38/60+58.8/3600</f>
        <v>10.649666666666667</v>
      </c>
      <c r="P8472" s="8" t="s">
        <v>37198</v>
      </c>
      <c r="Q8472" s="8">
        <f>-(7+3/60+6/3600)</f>
        <v>-7.0516666666666667</v>
      </c>
      <c r="R8472" s="8">
        <v>15.2</v>
      </c>
      <c r="S8472" s="8">
        <v>16.2</v>
      </c>
      <c r="T8472" s="8">
        <v>1</v>
      </c>
      <c r="U8472" s="8">
        <v>13.8</v>
      </c>
      <c r="V8472" s="8">
        <v>0.5</v>
      </c>
      <c r="W8472" s="8">
        <v>0.5</v>
      </c>
      <c r="Y8472" s="8" t="s">
        <v>35151</v>
      </c>
      <c r="Z8472" s="8" t="s">
        <v>35152</v>
      </c>
    </row>
    <row r="8473" spans="1:26" x14ac:dyDescent="0.2">
      <c r="A8473" s="8">
        <v>8472</v>
      </c>
      <c r="B8473" s="8" t="s">
        <v>37199</v>
      </c>
      <c r="C8473" s="8" t="s">
        <v>37199</v>
      </c>
      <c r="G8473" s="8">
        <v>20</v>
      </c>
      <c r="H8473" s="8" t="s">
        <v>21</v>
      </c>
      <c r="I8473" s="8" t="s">
        <v>22</v>
      </c>
      <c r="J8473" s="8" t="s">
        <v>22</v>
      </c>
      <c r="K8473" s="8" t="s">
        <v>91</v>
      </c>
      <c r="L8473" s="8" t="s">
        <v>12234</v>
      </c>
      <c r="M8473" s="8" t="s">
        <v>12235</v>
      </c>
      <c r="N8473" s="8" t="s">
        <v>37200</v>
      </c>
      <c r="O8473" s="8">
        <f>10+39/60+11.8/3600</f>
        <v>10.653277777777777</v>
      </c>
      <c r="P8473" s="8" t="s">
        <v>37201</v>
      </c>
      <c r="Q8473" s="8">
        <f>-(0+24/60+35/3600)</f>
        <v>-0.40972222222222227</v>
      </c>
      <c r="R8473" s="8">
        <v>13.8</v>
      </c>
      <c r="S8473" s="8">
        <v>14.7</v>
      </c>
      <c r="T8473" s="8">
        <v>0.9</v>
      </c>
      <c r="U8473" s="8">
        <v>12.8</v>
      </c>
      <c r="V8473" s="8">
        <v>0.9</v>
      </c>
      <c r="W8473" s="8">
        <v>0.6</v>
      </c>
      <c r="X8473" s="8">
        <v>30</v>
      </c>
      <c r="Y8473" s="8" t="s">
        <v>6420</v>
      </c>
      <c r="Z8473" s="8" t="s">
        <v>6421</v>
      </c>
    </row>
    <row r="8474" spans="1:26" x14ac:dyDescent="0.2">
      <c r="A8474" s="8">
        <v>8473</v>
      </c>
      <c r="B8474" s="8" t="s">
        <v>37202</v>
      </c>
      <c r="C8474" s="8" t="s">
        <v>37202</v>
      </c>
      <c r="G8474" s="8">
        <v>20</v>
      </c>
      <c r="H8474" s="8" t="s">
        <v>21</v>
      </c>
      <c r="I8474" s="8" t="s">
        <v>22</v>
      </c>
      <c r="J8474" s="8" t="s">
        <v>22</v>
      </c>
      <c r="K8474" s="8" t="s">
        <v>476</v>
      </c>
      <c r="L8474" s="8" t="s">
        <v>12234</v>
      </c>
      <c r="M8474" s="8" t="s">
        <v>12235</v>
      </c>
      <c r="N8474" s="8" t="s">
        <v>37203</v>
      </c>
      <c r="O8474" s="8">
        <f>10+39/60+24.1/3600</f>
        <v>10.656694444444446</v>
      </c>
      <c r="P8474" s="8" t="s">
        <v>37204</v>
      </c>
      <c r="Q8474" s="8">
        <f>-(0+23/60+19/3600)</f>
        <v>-0.38861111111111113</v>
      </c>
      <c r="R8474" s="8">
        <v>14.3</v>
      </c>
      <c r="S8474" s="8">
        <v>15.3</v>
      </c>
      <c r="T8474" s="8">
        <v>1</v>
      </c>
      <c r="U8474" s="8">
        <v>12.5</v>
      </c>
      <c r="V8474" s="8">
        <v>0.6</v>
      </c>
      <c r="W8474" s="8">
        <v>0.3</v>
      </c>
      <c r="X8474" s="8">
        <v>102</v>
      </c>
      <c r="Y8474" s="8" t="s">
        <v>37205</v>
      </c>
      <c r="Z8474" s="8" t="s">
        <v>37206</v>
      </c>
    </row>
    <row r="8475" spans="1:26" x14ac:dyDescent="0.2">
      <c r="A8475" s="8">
        <v>8474</v>
      </c>
      <c r="B8475" s="8" t="s">
        <v>37207</v>
      </c>
      <c r="C8475" s="8" t="s">
        <v>37207</v>
      </c>
      <c r="G8475" s="8">
        <v>20</v>
      </c>
      <c r="H8475" s="8" t="s">
        <v>21</v>
      </c>
      <c r="I8475" s="8" t="s">
        <v>22</v>
      </c>
      <c r="J8475" s="8" t="s">
        <v>22</v>
      </c>
      <c r="K8475" s="8" t="s">
        <v>1174</v>
      </c>
      <c r="L8475" s="8" t="s">
        <v>12234</v>
      </c>
      <c r="M8475" s="8" t="s">
        <v>12235</v>
      </c>
      <c r="N8475" s="8" t="s">
        <v>37208</v>
      </c>
      <c r="O8475" s="8">
        <f>10+40/60+54.8/3600</f>
        <v>10.681888888888889</v>
      </c>
      <c r="P8475" s="8" t="s">
        <v>37209</v>
      </c>
      <c r="Q8475" s="8">
        <f>+(5+59/60+31/3600)</f>
        <v>5.9919444444444441</v>
      </c>
      <c r="R8475" s="8">
        <v>14.2</v>
      </c>
      <c r="S8475" s="8">
        <v>15.2</v>
      </c>
      <c r="T8475" s="8">
        <v>1</v>
      </c>
      <c r="U8475" s="8">
        <v>13.3</v>
      </c>
      <c r="V8475" s="8">
        <v>1.2</v>
      </c>
      <c r="W8475" s="8">
        <v>0.4</v>
      </c>
      <c r="X8475" s="8">
        <v>116</v>
      </c>
      <c r="Y8475" s="8" t="s">
        <v>27057</v>
      </c>
      <c r="Z8475" s="8" t="s">
        <v>27058</v>
      </c>
    </row>
    <row r="8476" spans="1:26" x14ac:dyDescent="0.2">
      <c r="A8476" s="8">
        <v>8475</v>
      </c>
      <c r="B8476" s="8" t="s">
        <v>37210</v>
      </c>
      <c r="C8476" s="8" t="s">
        <v>37210</v>
      </c>
      <c r="G8476" s="8">
        <v>20</v>
      </c>
      <c r="H8476" s="8" t="s">
        <v>21</v>
      </c>
      <c r="I8476" s="8" t="s">
        <v>22</v>
      </c>
      <c r="J8476" s="8" t="s">
        <v>22</v>
      </c>
      <c r="K8476" s="8" t="s">
        <v>476</v>
      </c>
      <c r="L8476" s="8" t="s">
        <v>13194</v>
      </c>
      <c r="M8476" s="8" t="s">
        <v>13195</v>
      </c>
      <c r="N8476" s="8" t="s">
        <v>37211</v>
      </c>
      <c r="O8476" s="8">
        <f>10+41/60+45.3/3600</f>
        <v>10.695916666666667</v>
      </c>
      <c r="P8476" s="8" t="s">
        <v>37212</v>
      </c>
      <c r="Q8476" s="8">
        <f>+(15+38/60+36/3600)</f>
        <v>15.643333333333333</v>
      </c>
      <c r="R8476" s="8">
        <v>14</v>
      </c>
      <c r="S8476" s="8">
        <v>14.9</v>
      </c>
      <c r="T8476" s="8">
        <v>0.9</v>
      </c>
      <c r="U8476" s="8">
        <v>13.1</v>
      </c>
      <c r="V8476" s="8">
        <v>1.6</v>
      </c>
      <c r="W8476" s="8">
        <v>0.3</v>
      </c>
      <c r="X8476" s="8">
        <v>5</v>
      </c>
      <c r="Y8476" s="8" t="s">
        <v>6420</v>
      </c>
      <c r="Z8476" s="8" t="s">
        <v>6421</v>
      </c>
    </row>
    <row r="8477" spans="1:26" x14ac:dyDescent="0.2">
      <c r="A8477" s="8">
        <v>8476</v>
      </c>
      <c r="B8477" s="8" t="s">
        <v>37213</v>
      </c>
      <c r="C8477" s="8" t="s">
        <v>37213</v>
      </c>
      <c r="G8477" s="8">
        <v>20</v>
      </c>
      <c r="H8477" s="8" t="s">
        <v>21</v>
      </c>
      <c r="I8477" s="8" t="s">
        <v>22</v>
      </c>
      <c r="J8477" s="8" t="s">
        <v>22</v>
      </c>
      <c r="K8477" s="8" t="s">
        <v>85</v>
      </c>
      <c r="L8477" s="8" t="s">
        <v>12234</v>
      </c>
      <c r="M8477" s="8" t="s">
        <v>12235</v>
      </c>
      <c r="N8477" s="8" t="s">
        <v>37214</v>
      </c>
      <c r="O8477" s="8">
        <f>10+41/60+50.6/3600</f>
        <v>10.69738888888889</v>
      </c>
      <c r="P8477" s="8" t="s">
        <v>37215</v>
      </c>
      <c r="Q8477" s="8">
        <f>+(4+19/60+51/3600)</f>
        <v>4.3308333333333335</v>
      </c>
      <c r="R8477" s="8">
        <v>14.2</v>
      </c>
      <c r="S8477" s="8">
        <v>15</v>
      </c>
      <c r="T8477" s="8">
        <v>0.8</v>
      </c>
      <c r="U8477" s="8">
        <v>12.9</v>
      </c>
      <c r="V8477" s="8">
        <v>0.9</v>
      </c>
      <c r="W8477" s="8">
        <v>0.4</v>
      </c>
      <c r="X8477" s="8">
        <v>48</v>
      </c>
      <c r="Y8477" s="8" t="s">
        <v>17629</v>
      </c>
      <c r="Z8477" s="8" t="s">
        <v>17630</v>
      </c>
    </row>
    <row r="8478" spans="1:26" x14ac:dyDescent="0.2">
      <c r="A8478" s="8">
        <v>8477</v>
      </c>
      <c r="B8478" s="8" t="s">
        <v>37216</v>
      </c>
      <c r="C8478" s="8" t="s">
        <v>37216</v>
      </c>
      <c r="G8478" s="8">
        <v>20</v>
      </c>
      <c r="H8478" s="8" t="s">
        <v>21</v>
      </c>
      <c r="I8478" s="8" t="s">
        <v>22</v>
      </c>
      <c r="J8478" s="8" t="s">
        <v>22</v>
      </c>
      <c r="K8478" s="8" t="s">
        <v>449</v>
      </c>
      <c r="L8478" s="8" t="s">
        <v>13194</v>
      </c>
      <c r="M8478" s="8" t="s">
        <v>13195</v>
      </c>
      <c r="N8478" s="8" t="s">
        <v>37217</v>
      </c>
      <c r="O8478" s="8">
        <f>10+42/60+21.9/3600</f>
        <v>10.706083333333332</v>
      </c>
      <c r="P8478" s="8" t="s">
        <v>37218</v>
      </c>
      <c r="Q8478" s="8">
        <f>+(15+21/60+37/3600)</f>
        <v>15.360277777777778</v>
      </c>
      <c r="R8478" s="8">
        <v>14.2</v>
      </c>
      <c r="S8478" s="8">
        <v>15</v>
      </c>
      <c r="T8478" s="8">
        <v>0.8</v>
      </c>
      <c r="U8478" s="8">
        <v>13.3</v>
      </c>
      <c r="V8478" s="8">
        <v>1</v>
      </c>
      <c r="W8478" s="8">
        <v>0.5</v>
      </c>
      <c r="X8478" s="8">
        <v>15</v>
      </c>
      <c r="Y8478" s="8" t="s">
        <v>21</v>
      </c>
      <c r="Z8478" s="8" t="s">
        <v>37219</v>
      </c>
    </row>
    <row r="8479" spans="1:26" x14ac:dyDescent="0.2">
      <c r="A8479" s="8">
        <v>8478</v>
      </c>
      <c r="B8479" s="8" t="s">
        <v>37220</v>
      </c>
      <c r="C8479" s="8" t="s">
        <v>37220</v>
      </c>
      <c r="G8479" s="8">
        <v>20</v>
      </c>
      <c r="H8479" s="8" t="s">
        <v>21</v>
      </c>
      <c r="I8479" s="8" t="s">
        <v>22</v>
      </c>
      <c r="J8479" s="8" t="s">
        <v>22</v>
      </c>
      <c r="K8479" s="8" t="s">
        <v>449</v>
      </c>
      <c r="L8479" s="8" t="s">
        <v>13194</v>
      </c>
      <c r="M8479" s="8" t="s">
        <v>13195</v>
      </c>
      <c r="N8479" s="8" t="s">
        <v>37221</v>
      </c>
      <c r="O8479" s="8">
        <f>10+43/60+48/3600</f>
        <v>10.73</v>
      </c>
      <c r="P8479" s="8" t="s">
        <v>37222</v>
      </c>
      <c r="Q8479" s="8">
        <f>+(15+53/60+44/3600)</f>
        <v>15.895555555555555</v>
      </c>
      <c r="R8479" s="8">
        <v>14.6</v>
      </c>
      <c r="S8479" s="8">
        <v>15.4</v>
      </c>
      <c r="T8479" s="8">
        <v>0.8</v>
      </c>
      <c r="U8479" s="8">
        <v>12.1</v>
      </c>
      <c r="V8479" s="8">
        <v>0.6</v>
      </c>
      <c r="W8479" s="8">
        <v>0.2</v>
      </c>
      <c r="X8479" s="8">
        <v>5</v>
      </c>
      <c r="Y8479" s="8" t="s">
        <v>2181</v>
      </c>
      <c r="Z8479" s="8" t="s">
        <v>2182</v>
      </c>
    </row>
    <row r="8480" spans="1:26" x14ac:dyDescent="0.2">
      <c r="A8480" s="8">
        <v>8479</v>
      </c>
      <c r="B8480" s="8" t="s">
        <v>37223</v>
      </c>
      <c r="C8480" s="8" t="s">
        <v>37223</v>
      </c>
      <c r="G8480" s="8">
        <v>20</v>
      </c>
      <c r="H8480" s="8" t="s">
        <v>21</v>
      </c>
      <c r="I8480" s="8" t="s">
        <v>22</v>
      </c>
      <c r="J8480" s="8" t="s">
        <v>22</v>
      </c>
      <c r="K8480" s="8" t="s">
        <v>476</v>
      </c>
      <c r="L8480" s="8" t="s">
        <v>13194</v>
      </c>
      <c r="M8480" s="8" t="s">
        <v>13195</v>
      </c>
      <c r="N8480" s="8" t="s">
        <v>37224</v>
      </c>
      <c r="O8480" s="8">
        <f>10+45/60+52/3600</f>
        <v>10.764444444444445</v>
      </c>
      <c r="P8480" s="8" t="s">
        <v>37225</v>
      </c>
      <c r="Q8480" s="8">
        <f>+(16+55/60+46/3600)</f>
        <v>16.929444444444446</v>
      </c>
      <c r="R8480" s="8">
        <v>14</v>
      </c>
      <c r="S8480" s="8">
        <v>14.9</v>
      </c>
      <c r="T8480" s="8">
        <v>0.9</v>
      </c>
      <c r="U8480" s="8">
        <v>12.6</v>
      </c>
      <c r="V8480" s="8">
        <v>1.1000000000000001</v>
      </c>
      <c r="W8480" s="8">
        <v>0.3</v>
      </c>
      <c r="X8480" s="8">
        <v>0</v>
      </c>
      <c r="Y8480" s="8" t="s">
        <v>21</v>
      </c>
      <c r="Z8480" s="8" t="s">
        <v>37226</v>
      </c>
    </row>
    <row r="8481" spans="1:26" x14ac:dyDescent="0.2">
      <c r="A8481" s="8">
        <v>8480</v>
      </c>
      <c r="B8481" s="8" t="s">
        <v>37227</v>
      </c>
      <c r="C8481" s="8" t="s">
        <v>37227</v>
      </c>
      <c r="G8481" s="8">
        <v>20</v>
      </c>
      <c r="H8481" s="8" t="s">
        <v>21</v>
      </c>
      <c r="I8481" s="8" t="s">
        <v>329</v>
      </c>
      <c r="J8481" s="8" t="s">
        <v>329</v>
      </c>
      <c r="K8481" s="8" t="s">
        <v>329</v>
      </c>
      <c r="L8481" s="8" t="s">
        <v>13179</v>
      </c>
      <c r="M8481" s="8" t="s">
        <v>13180</v>
      </c>
      <c r="N8481" s="8" t="s">
        <v>37228</v>
      </c>
      <c r="O8481" s="8">
        <f>10+46/60+50/3600</f>
        <v>10.780555555555557</v>
      </c>
      <c r="P8481" s="8" t="s">
        <v>37229</v>
      </c>
      <c r="Q8481" s="8">
        <f>+(34+46/60+0/3600)</f>
        <v>34.766666666666666</v>
      </c>
      <c r="R8481" s="8">
        <v>99</v>
      </c>
      <c r="S8481" s="8">
        <v>99</v>
      </c>
      <c r="T8481" s="8">
        <v>99</v>
      </c>
      <c r="U8481" s="8">
        <v>99</v>
      </c>
      <c r="Y8481" s="8" t="s">
        <v>37230</v>
      </c>
      <c r="Z8481" s="8" t="s">
        <v>37231</v>
      </c>
    </row>
    <row r="8482" spans="1:26" x14ac:dyDescent="0.2">
      <c r="A8482" s="8">
        <v>8481</v>
      </c>
      <c r="B8482" s="8" t="s">
        <v>37232</v>
      </c>
      <c r="C8482" s="8" t="s">
        <v>37232</v>
      </c>
      <c r="G8482" s="8">
        <v>20</v>
      </c>
      <c r="H8482" s="8" t="s">
        <v>21</v>
      </c>
      <c r="I8482" s="8" t="s">
        <v>329</v>
      </c>
      <c r="J8482" s="8" t="s">
        <v>329</v>
      </c>
      <c r="K8482" s="8" t="s">
        <v>329</v>
      </c>
      <c r="L8482" s="8" t="s">
        <v>13179</v>
      </c>
      <c r="M8482" s="8" t="s">
        <v>13180</v>
      </c>
      <c r="N8482" s="8" t="s">
        <v>37233</v>
      </c>
      <c r="O8482" s="8">
        <f>10+47/60+49.3/3600</f>
        <v>10.797027777777778</v>
      </c>
      <c r="P8482" s="8" t="s">
        <v>37234</v>
      </c>
      <c r="Q8482" s="8">
        <f>+(34+40/60+21/3600)</f>
        <v>34.672499999999999</v>
      </c>
      <c r="R8482" s="8">
        <v>99</v>
      </c>
      <c r="S8482" s="8">
        <v>99</v>
      </c>
      <c r="T8482" s="8">
        <v>99</v>
      </c>
      <c r="U8482" s="8">
        <v>99</v>
      </c>
      <c r="Y8482" s="8" t="s">
        <v>26493</v>
      </c>
      <c r="Z8482" s="8" t="s">
        <v>37235</v>
      </c>
    </row>
    <row r="8483" spans="1:26" x14ac:dyDescent="0.2">
      <c r="A8483" s="8">
        <v>8482</v>
      </c>
      <c r="B8483" s="8" t="s">
        <v>37236</v>
      </c>
      <c r="C8483" s="8" t="s">
        <v>37236</v>
      </c>
      <c r="G8483" s="8">
        <v>20</v>
      </c>
      <c r="H8483" s="8" t="s">
        <v>21</v>
      </c>
      <c r="I8483" s="8" t="s">
        <v>22</v>
      </c>
      <c r="J8483" s="8" t="s">
        <v>22</v>
      </c>
      <c r="K8483" s="8" t="s">
        <v>818</v>
      </c>
      <c r="L8483" s="8" t="s">
        <v>13194</v>
      </c>
      <c r="M8483" s="8" t="s">
        <v>13195</v>
      </c>
      <c r="N8483" s="8" t="s">
        <v>37237</v>
      </c>
      <c r="O8483" s="8">
        <f>10+48/60+7.9/3600</f>
        <v>10.802194444444446</v>
      </c>
      <c r="P8483" s="8" t="s">
        <v>37238</v>
      </c>
      <c r="Q8483" s="8">
        <f>+(18+11/60+19/3600)</f>
        <v>18.188611111111111</v>
      </c>
      <c r="R8483" s="8">
        <v>12.6</v>
      </c>
      <c r="S8483" s="8">
        <v>13.6</v>
      </c>
      <c r="T8483" s="8">
        <v>1</v>
      </c>
      <c r="U8483" s="8">
        <v>13.3</v>
      </c>
      <c r="V8483" s="8">
        <v>1.3</v>
      </c>
      <c r="W8483" s="8">
        <v>1.3</v>
      </c>
      <c r="Y8483" s="8" t="s">
        <v>37239</v>
      </c>
      <c r="Z8483" s="8" t="s">
        <v>37240</v>
      </c>
    </row>
    <row r="8484" spans="1:26" x14ac:dyDescent="0.2">
      <c r="A8484" s="8">
        <v>8483</v>
      </c>
      <c r="B8484" s="8" t="s">
        <v>37241</v>
      </c>
      <c r="C8484" s="8" t="s">
        <v>37241</v>
      </c>
      <c r="G8484" s="8">
        <v>20</v>
      </c>
      <c r="H8484" s="8" t="s">
        <v>21</v>
      </c>
      <c r="I8484" s="8" t="s">
        <v>22</v>
      </c>
      <c r="J8484" s="8" t="s">
        <v>22</v>
      </c>
      <c r="K8484" s="8" t="s">
        <v>37</v>
      </c>
      <c r="L8484" s="8" t="s">
        <v>13194</v>
      </c>
      <c r="M8484" s="8" t="s">
        <v>13195</v>
      </c>
      <c r="N8484" s="8" t="s">
        <v>37242</v>
      </c>
      <c r="O8484" s="8">
        <f>10+49/60+27.1/3600</f>
        <v>10.824194444444444</v>
      </c>
      <c r="P8484" s="8" t="s">
        <v>37243</v>
      </c>
      <c r="Q8484" s="8">
        <f>+(12+12/60+4/3600)</f>
        <v>12.201111111111111</v>
      </c>
      <c r="R8484" s="8">
        <v>14.3</v>
      </c>
      <c r="S8484" s="8">
        <v>15.3</v>
      </c>
      <c r="T8484" s="8">
        <v>1</v>
      </c>
      <c r="U8484" s="8">
        <v>11.9</v>
      </c>
      <c r="V8484" s="8">
        <v>0.6</v>
      </c>
      <c r="W8484" s="8">
        <v>0.2</v>
      </c>
      <c r="X8484" s="8">
        <v>75</v>
      </c>
      <c r="Y8484" s="8" t="s">
        <v>37244</v>
      </c>
      <c r="Z8484" s="8" t="s">
        <v>37245</v>
      </c>
    </row>
    <row r="8485" spans="1:26" x14ac:dyDescent="0.2">
      <c r="A8485" s="8">
        <v>8484</v>
      </c>
      <c r="B8485" s="8" t="s">
        <v>37246</v>
      </c>
      <c r="C8485" s="8" t="s">
        <v>37246</v>
      </c>
      <c r="G8485" s="8">
        <v>20</v>
      </c>
      <c r="H8485" s="8" t="s">
        <v>21</v>
      </c>
      <c r="I8485" s="8" t="s">
        <v>22</v>
      </c>
      <c r="J8485" s="8" t="s">
        <v>57</v>
      </c>
      <c r="K8485" s="8" t="s">
        <v>91</v>
      </c>
      <c r="L8485" s="8" t="s">
        <v>12015</v>
      </c>
      <c r="M8485" s="8" t="s">
        <v>12016</v>
      </c>
      <c r="N8485" s="8" t="s">
        <v>15594</v>
      </c>
      <c r="O8485" s="8">
        <f>10+51/60+31.2/3600</f>
        <v>10.858666666666666</v>
      </c>
      <c r="P8485" s="8" t="s">
        <v>15595</v>
      </c>
      <c r="Q8485" s="8">
        <f>+(55+23/60+28/3600)</f>
        <v>55.391111111111108</v>
      </c>
      <c r="R8485" s="8">
        <v>13.6</v>
      </c>
      <c r="S8485" s="8">
        <v>14.5</v>
      </c>
      <c r="T8485" s="8">
        <v>0.9</v>
      </c>
      <c r="U8485" s="8">
        <v>12.1</v>
      </c>
      <c r="V8485" s="8">
        <v>1</v>
      </c>
      <c r="W8485" s="8">
        <v>0.3</v>
      </c>
      <c r="X8485" s="8">
        <v>78</v>
      </c>
      <c r="Y8485" s="8" t="s">
        <v>37247</v>
      </c>
      <c r="Z8485" s="8" t="s">
        <v>37248</v>
      </c>
    </row>
    <row r="8486" spans="1:26" x14ac:dyDescent="0.2">
      <c r="A8486" s="8">
        <v>8485</v>
      </c>
      <c r="B8486" s="8" t="s">
        <v>37249</v>
      </c>
      <c r="C8486" s="8" t="s">
        <v>37249</v>
      </c>
      <c r="G8486" s="8">
        <v>20</v>
      </c>
      <c r="H8486" s="8" t="s">
        <v>21</v>
      </c>
      <c r="I8486" s="8" t="s">
        <v>22</v>
      </c>
      <c r="J8486" s="8" t="s">
        <v>22</v>
      </c>
      <c r="K8486" s="8" t="s">
        <v>449</v>
      </c>
      <c r="L8486" s="8" t="s">
        <v>12234</v>
      </c>
      <c r="M8486" s="8" t="s">
        <v>12235</v>
      </c>
      <c r="N8486" s="8" t="s">
        <v>37250</v>
      </c>
      <c r="O8486" s="8">
        <f>10+50/60+9.2/3600</f>
        <v>10.83588888888889</v>
      </c>
      <c r="P8486" s="8" t="s">
        <v>37251</v>
      </c>
      <c r="Q8486" s="8">
        <f>-(6+2/60+35/3600)</f>
        <v>-6.0430555555555552</v>
      </c>
      <c r="R8486" s="8">
        <v>14.7</v>
      </c>
      <c r="S8486" s="8">
        <v>15.5</v>
      </c>
      <c r="T8486" s="8">
        <v>0.8</v>
      </c>
      <c r="U8486" s="8">
        <v>12.8</v>
      </c>
      <c r="V8486" s="8">
        <v>0.5</v>
      </c>
      <c r="W8486" s="8">
        <v>0.4</v>
      </c>
      <c r="X8486" s="8">
        <v>90</v>
      </c>
      <c r="Y8486" s="8" t="s">
        <v>895</v>
      </c>
      <c r="Z8486" s="8" t="s">
        <v>896</v>
      </c>
    </row>
    <row r="8487" spans="1:26" x14ac:dyDescent="0.2">
      <c r="A8487" s="8">
        <v>8486</v>
      </c>
      <c r="B8487" s="8" t="s">
        <v>37252</v>
      </c>
      <c r="C8487" s="8" t="s">
        <v>37252</v>
      </c>
      <c r="G8487" s="8">
        <v>20</v>
      </c>
      <c r="H8487" s="8" t="s">
        <v>21</v>
      </c>
      <c r="I8487" s="8" t="s">
        <v>22</v>
      </c>
      <c r="J8487" s="8" t="s">
        <v>22</v>
      </c>
      <c r="K8487" s="8" t="s">
        <v>91</v>
      </c>
      <c r="L8487" s="8" t="s">
        <v>12015</v>
      </c>
      <c r="M8487" s="8" t="s">
        <v>12016</v>
      </c>
      <c r="N8487" s="8" t="s">
        <v>37253</v>
      </c>
      <c r="O8487" s="8">
        <f>10+51/60+35.1/3600</f>
        <v>10.85975</v>
      </c>
      <c r="P8487" s="8" t="s">
        <v>37254</v>
      </c>
      <c r="Q8487" s="8">
        <f>+(55+27/60+59/3600)</f>
        <v>55.466388888888893</v>
      </c>
      <c r="R8487" s="8">
        <v>14.6</v>
      </c>
      <c r="S8487" s="8">
        <v>15.5</v>
      </c>
      <c r="T8487" s="8">
        <v>0.9</v>
      </c>
      <c r="U8487" s="8">
        <v>13.3</v>
      </c>
      <c r="V8487" s="8">
        <v>0.9</v>
      </c>
      <c r="W8487" s="8">
        <v>0.4</v>
      </c>
      <c r="X8487" s="8">
        <v>114</v>
      </c>
      <c r="Y8487" s="8" t="s">
        <v>37255</v>
      </c>
      <c r="Z8487" s="8" t="s">
        <v>37256</v>
      </c>
    </row>
    <row r="8488" spans="1:26" x14ac:dyDescent="0.2">
      <c r="A8488" s="8">
        <v>8487</v>
      </c>
      <c r="B8488" s="8" t="s">
        <v>37257</v>
      </c>
      <c r="C8488" s="8" t="s">
        <v>37257</v>
      </c>
      <c r="G8488" s="8">
        <v>20</v>
      </c>
      <c r="H8488" s="8" t="s">
        <v>21</v>
      </c>
      <c r="I8488" s="8" t="s">
        <v>22</v>
      </c>
      <c r="J8488" s="8" t="s">
        <v>22</v>
      </c>
      <c r="K8488" s="8" t="s">
        <v>382</v>
      </c>
      <c r="L8488" s="8" t="s">
        <v>11765</v>
      </c>
      <c r="M8488" s="8" t="s">
        <v>11766</v>
      </c>
      <c r="N8488" s="8" t="s">
        <v>37258</v>
      </c>
      <c r="O8488" s="8">
        <f>10+50/60+34.4/3600</f>
        <v>10.84288888888889</v>
      </c>
      <c r="P8488" s="8" t="s">
        <v>37259</v>
      </c>
      <c r="Q8488" s="8">
        <f>-(12+51/60+14/3600)</f>
        <v>-12.853888888888889</v>
      </c>
      <c r="R8488" s="8">
        <v>15</v>
      </c>
      <c r="S8488" s="8">
        <v>16</v>
      </c>
      <c r="T8488" s="8">
        <v>1</v>
      </c>
      <c r="U8488" s="8">
        <v>12</v>
      </c>
      <c r="V8488" s="8">
        <v>0.3</v>
      </c>
      <c r="W8488" s="8">
        <v>0.2</v>
      </c>
      <c r="X8488" s="8">
        <v>80</v>
      </c>
      <c r="Y8488" s="8" t="s">
        <v>21</v>
      </c>
      <c r="Z8488" s="8" t="s">
        <v>37260</v>
      </c>
    </row>
    <row r="8489" spans="1:26" x14ac:dyDescent="0.2">
      <c r="A8489" s="8">
        <v>8488</v>
      </c>
      <c r="B8489" s="8" t="s">
        <v>37261</v>
      </c>
      <c r="C8489" s="8" t="s">
        <v>37261</v>
      </c>
      <c r="E8489" s="8">
        <v>2</v>
      </c>
      <c r="G8489" s="8">
        <v>20</v>
      </c>
      <c r="H8489" s="8" t="s">
        <v>21</v>
      </c>
      <c r="I8489" s="8" t="s">
        <v>22</v>
      </c>
      <c r="J8489" s="8" t="s">
        <v>22</v>
      </c>
      <c r="K8489" s="8" t="s">
        <v>424</v>
      </c>
      <c r="L8489" s="8" t="s">
        <v>13194</v>
      </c>
      <c r="M8489" s="8" t="s">
        <v>13195</v>
      </c>
      <c r="N8489" s="8" t="s">
        <v>37262</v>
      </c>
      <c r="O8489" s="8">
        <f>10+51/60+0.7/3600</f>
        <v>10.850194444444444</v>
      </c>
      <c r="P8489" s="8" t="s">
        <v>37263</v>
      </c>
      <c r="Q8489" s="8">
        <f>+(12+17/60+24/3600)</f>
        <v>12.29</v>
      </c>
      <c r="R8489" s="8">
        <v>13.7</v>
      </c>
      <c r="S8489" s="8">
        <v>14.7</v>
      </c>
      <c r="T8489" s="8">
        <v>1</v>
      </c>
      <c r="U8489" s="8">
        <v>12.9</v>
      </c>
      <c r="V8489" s="8">
        <v>0.8</v>
      </c>
      <c r="W8489" s="8">
        <v>0.7</v>
      </c>
      <c r="Y8489" s="8" t="s">
        <v>37264</v>
      </c>
      <c r="Z8489" s="8" t="s">
        <v>37265</v>
      </c>
    </row>
    <row r="8490" spans="1:26" x14ac:dyDescent="0.2">
      <c r="A8490" s="8">
        <v>8489</v>
      </c>
      <c r="B8490" s="8" t="s">
        <v>37266</v>
      </c>
      <c r="C8490" s="8" t="s">
        <v>37266</v>
      </c>
      <c r="E8490" s="8">
        <v>1</v>
      </c>
      <c r="G8490" s="8">
        <v>20</v>
      </c>
      <c r="H8490" s="8" t="s">
        <v>21</v>
      </c>
      <c r="I8490" s="8" t="s">
        <v>22</v>
      </c>
      <c r="J8490" s="8" t="s">
        <v>22</v>
      </c>
      <c r="K8490" s="8" t="s">
        <v>20392</v>
      </c>
      <c r="L8490" s="8" t="s">
        <v>12234</v>
      </c>
      <c r="M8490" s="8" t="s">
        <v>12235</v>
      </c>
      <c r="N8490" s="8" t="s">
        <v>37267</v>
      </c>
      <c r="O8490" s="8">
        <f>10+50/60+52/3600</f>
        <v>10.847777777777779</v>
      </c>
      <c r="P8490" s="8" t="s">
        <v>37268</v>
      </c>
      <c r="Q8490" s="8">
        <f>+(1+9/60+55/3600)</f>
        <v>1.1652777777777776</v>
      </c>
      <c r="R8490" s="8">
        <v>14.4</v>
      </c>
      <c r="S8490" s="8">
        <v>15.2</v>
      </c>
      <c r="T8490" s="8">
        <v>0.8</v>
      </c>
      <c r="U8490" s="8">
        <v>13.1</v>
      </c>
      <c r="V8490" s="8">
        <v>0.7</v>
      </c>
      <c r="W8490" s="8">
        <v>0.5</v>
      </c>
      <c r="X8490" s="8">
        <v>171</v>
      </c>
      <c r="Y8490" s="8" t="s">
        <v>21</v>
      </c>
      <c r="Z8490" s="8" t="s">
        <v>37269</v>
      </c>
    </row>
    <row r="8491" spans="1:26" x14ac:dyDescent="0.2">
      <c r="A8491" s="8">
        <v>8490</v>
      </c>
      <c r="B8491" s="8" t="s">
        <v>37270</v>
      </c>
      <c r="C8491" s="8" t="s">
        <v>37270</v>
      </c>
      <c r="G8491" s="8">
        <v>20</v>
      </c>
      <c r="H8491" s="8" t="s">
        <v>21</v>
      </c>
      <c r="I8491" s="8" t="s">
        <v>22</v>
      </c>
      <c r="J8491" s="8" t="s">
        <v>22</v>
      </c>
      <c r="K8491" s="8" t="s">
        <v>1174</v>
      </c>
      <c r="L8491" s="8" t="s">
        <v>11765</v>
      </c>
      <c r="M8491" s="8" t="s">
        <v>11766</v>
      </c>
      <c r="N8491" s="8" t="s">
        <v>37271</v>
      </c>
      <c r="O8491" s="8">
        <f>10+50/60+40.5/3600</f>
        <v>10.844583333333334</v>
      </c>
      <c r="P8491" s="8" t="s">
        <v>37272</v>
      </c>
      <c r="Q8491" s="8">
        <f>-(13+26/60+30/3600)</f>
        <v>-13.441666666666666</v>
      </c>
      <c r="R8491" s="8">
        <v>14.7</v>
      </c>
      <c r="S8491" s="8">
        <v>15.5</v>
      </c>
      <c r="T8491" s="8">
        <v>0.8</v>
      </c>
      <c r="U8491" s="8">
        <v>13.8</v>
      </c>
      <c r="V8491" s="8">
        <v>0.8</v>
      </c>
      <c r="W8491" s="8">
        <v>0.6</v>
      </c>
      <c r="X8491" s="8">
        <v>5</v>
      </c>
      <c r="Y8491" s="8" t="s">
        <v>32565</v>
      </c>
      <c r="Z8491" s="8" t="s">
        <v>27278</v>
      </c>
    </row>
    <row r="8492" spans="1:26" x14ac:dyDescent="0.2">
      <c r="A8492" s="8">
        <v>8491</v>
      </c>
      <c r="B8492" s="8" t="s">
        <v>37273</v>
      </c>
      <c r="C8492" s="8" t="s">
        <v>37273</v>
      </c>
      <c r="G8492" s="8">
        <v>20</v>
      </c>
      <c r="H8492" s="8" t="s">
        <v>21</v>
      </c>
      <c r="I8492" s="8" t="s">
        <v>22</v>
      </c>
      <c r="J8492" s="8" t="s">
        <v>22</v>
      </c>
      <c r="K8492" s="8" t="s">
        <v>4103</v>
      </c>
      <c r="L8492" s="8" t="s">
        <v>12234</v>
      </c>
      <c r="M8492" s="8" t="s">
        <v>12235</v>
      </c>
      <c r="N8492" s="8" t="s">
        <v>37274</v>
      </c>
      <c r="O8492" s="8">
        <f>10+50/60+58.2/3600</f>
        <v>10.849500000000001</v>
      </c>
      <c r="P8492" s="8" t="s">
        <v>37275</v>
      </c>
      <c r="Q8492" s="8">
        <f>-(2+9/60+1/3600)</f>
        <v>-2.1502777777777777</v>
      </c>
      <c r="R8492" s="8">
        <v>13</v>
      </c>
      <c r="S8492" s="8">
        <v>13.4</v>
      </c>
      <c r="T8492" s="8">
        <v>0.4</v>
      </c>
      <c r="U8492" s="8">
        <v>12.4</v>
      </c>
      <c r="V8492" s="8">
        <v>0.8</v>
      </c>
      <c r="W8492" s="8">
        <v>0.8</v>
      </c>
      <c r="Y8492" s="8" t="s">
        <v>37276</v>
      </c>
      <c r="Z8492" s="8" t="s">
        <v>37277</v>
      </c>
    </row>
    <row r="8493" spans="1:26" x14ac:dyDescent="0.2">
      <c r="A8493" s="8">
        <v>8492</v>
      </c>
      <c r="B8493" s="8" t="s">
        <v>37278</v>
      </c>
      <c r="C8493" s="8" t="s">
        <v>37278</v>
      </c>
      <c r="G8493" s="8">
        <v>20</v>
      </c>
      <c r="H8493" s="8" t="s">
        <v>21</v>
      </c>
      <c r="I8493" s="8" t="s">
        <v>22</v>
      </c>
      <c r="J8493" s="8" t="s">
        <v>57</v>
      </c>
      <c r="K8493" s="8" t="s">
        <v>2542</v>
      </c>
      <c r="L8493" s="8" t="s">
        <v>11765</v>
      </c>
      <c r="M8493" s="8" t="s">
        <v>11766</v>
      </c>
      <c r="N8493" s="8" t="s">
        <v>15694</v>
      </c>
      <c r="O8493" s="8">
        <f>10+50/60+57.6/3600</f>
        <v>10.849333333333334</v>
      </c>
      <c r="P8493" s="8" t="s">
        <v>15695</v>
      </c>
      <c r="Q8493" s="8">
        <f>-(12+26/60+52/3600)</f>
        <v>-12.447777777777778</v>
      </c>
      <c r="R8493" s="8">
        <v>13.7</v>
      </c>
      <c r="S8493" s="8">
        <v>14.6</v>
      </c>
      <c r="T8493" s="8">
        <v>0.9</v>
      </c>
      <c r="U8493" s="8">
        <v>14.6</v>
      </c>
      <c r="V8493" s="8">
        <v>1.8</v>
      </c>
      <c r="W8493" s="8">
        <v>1.5</v>
      </c>
      <c r="X8493" s="8">
        <v>175</v>
      </c>
      <c r="Y8493" s="8" t="s">
        <v>3952</v>
      </c>
      <c r="Z8493" s="8" t="s">
        <v>3953</v>
      </c>
    </row>
    <row r="8494" spans="1:26" x14ac:dyDescent="0.2">
      <c r="A8494" s="8">
        <v>8493</v>
      </c>
      <c r="B8494" s="8" t="s">
        <v>37279</v>
      </c>
      <c r="C8494" s="8" t="s">
        <v>37279</v>
      </c>
      <c r="G8494" s="8">
        <v>20</v>
      </c>
      <c r="H8494" s="8" t="s">
        <v>21</v>
      </c>
      <c r="I8494" s="8" t="s">
        <v>22</v>
      </c>
      <c r="J8494" s="8" t="s">
        <v>22</v>
      </c>
      <c r="K8494" s="8" t="s">
        <v>632</v>
      </c>
      <c r="L8494" s="8" t="s">
        <v>13194</v>
      </c>
      <c r="M8494" s="8" t="s">
        <v>13195</v>
      </c>
      <c r="N8494" s="8" t="s">
        <v>37280</v>
      </c>
      <c r="O8494" s="8">
        <f>10+52/60+6.7/3600</f>
        <v>10.868527777777778</v>
      </c>
      <c r="P8494" s="8" t="s">
        <v>21017</v>
      </c>
      <c r="Q8494" s="8">
        <f>-(0+33/60+40/3600)</f>
        <v>-0.56111111111111112</v>
      </c>
      <c r="R8494" s="8">
        <v>12.8</v>
      </c>
      <c r="S8494" s="8">
        <v>13.7</v>
      </c>
      <c r="T8494" s="8">
        <v>0.9</v>
      </c>
      <c r="U8494" s="8">
        <v>13.2</v>
      </c>
      <c r="V8494" s="8">
        <v>1.9</v>
      </c>
      <c r="W8494" s="8">
        <v>0.9</v>
      </c>
      <c r="X8494" s="8">
        <v>55</v>
      </c>
      <c r="Y8494" s="8" t="s">
        <v>36797</v>
      </c>
      <c r="Z8494" s="8" t="s">
        <v>36798</v>
      </c>
    </row>
    <row r="8495" spans="1:26" x14ac:dyDescent="0.2">
      <c r="A8495" s="8">
        <v>8494</v>
      </c>
      <c r="B8495" s="8" t="s">
        <v>37281</v>
      </c>
      <c r="C8495" s="8" t="s">
        <v>37281</v>
      </c>
      <c r="G8495" s="8">
        <v>20</v>
      </c>
      <c r="H8495" s="8" t="s">
        <v>21</v>
      </c>
      <c r="I8495" s="8" t="s">
        <v>22</v>
      </c>
      <c r="J8495" s="8" t="s">
        <v>22</v>
      </c>
      <c r="K8495" s="8" t="s">
        <v>632</v>
      </c>
      <c r="L8495" s="8" t="s">
        <v>15699</v>
      </c>
      <c r="M8495" s="8" t="s">
        <v>15700</v>
      </c>
      <c r="N8495" s="8" t="s">
        <v>37282</v>
      </c>
      <c r="O8495" s="8">
        <f>10+53/60+50.4/3600</f>
        <v>10.897333333333332</v>
      </c>
      <c r="P8495" s="8" t="s">
        <v>37283</v>
      </c>
      <c r="Q8495" s="8">
        <f>-(11+43/60+32/3600)</f>
        <v>-11.725555555555555</v>
      </c>
      <c r="R8495" s="8">
        <v>14.1</v>
      </c>
      <c r="S8495" s="8">
        <v>15</v>
      </c>
      <c r="T8495" s="8">
        <v>0.9</v>
      </c>
      <c r="U8495" s="8">
        <v>13.6</v>
      </c>
      <c r="V8495" s="8">
        <v>1.2</v>
      </c>
      <c r="W8495" s="8">
        <v>0.6</v>
      </c>
      <c r="X8495" s="8">
        <v>126</v>
      </c>
      <c r="Y8495" s="8" t="s">
        <v>37284</v>
      </c>
      <c r="Z8495" s="8" t="s">
        <v>37285</v>
      </c>
    </row>
    <row r="8496" spans="1:26" x14ac:dyDescent="0.2">
      <c r="A8496" s="8">
        <v>8495</v>
      </c>
      <c r="B8496" s="8" t="s">
        <v>37286</v>
      </c>
      <c r="C8496" s="8" t="s">
        <v>37286</v>
      </c>
      <c r="G8496" s="8">
        <v>20</v>
      </c>
      <c r="H8496" s="8" t="s">
        <v>21</v>
      </c>
      <c r="I8496" s="8" t="s">
        <v>22</v>
      </c>
      <c r="J8496" s="8" t="s">
        <v>22</v>
      </c>
      <c r="K8496" s="8" t="s">
        <v>449</v>
      </c>
      <c r="L8496" s="8" t="s">
        <v>13194</v>
      </c>
      <c r="M8496" s="8" t="s">
        <v>13195</v>
      </c>
      <c r="N8496" s="8" t="s">
        <v>37287</v>
      </c>
      <c r="O8496" s="8">
        <f>10+54/60+22.1/3600</f>
        <v>10.90613888888889</v>
      </c>
      <c r="P8496" s="8" t="s">
        <v>37288</v>
      </c>
      <c r="Q8496" s="8">
        <f>-(0+21/60+56/3600)</f>
        <v>-0.36555555555555552</v>
      </c>
      <c r="R8496" s="8">
        <v>14.5</v>
      </c>
      <c r="S8496" s="8">
        <v>15.3</v>
      </c>
      <c r="T8496" s="8">
        <v>0.8</v>
      </c>
      <c r="U8496" s="8">
        <v>12.6</v>
      </c>
      <c r="V8496" s="8">
        <v>1</v>
      </c>
      <c r="W8496" s="8">
        <v>0.2</v>
      </c>
      <c r="X8496" s="8">
        <v>45</v>
      </c>
      <c r="Y8496" s="8" t="s">
        <v>37289</v>
      </c>
      <c r="Z8496" s="8" t="s">
        <v>37290</v>
      </c>
    </row>
    <row r="8497" spans="1:26" x14ac:dyDescent="0.2">
      <c r="A8497" s="8">
        <v>8496</v>
      </c>
      <c r="B8497" s="8" t="s">
        <v>37291</v>
      </c>
      <c r="C8497" s="8" t="s">
        <v>37291</v>
      </c>
      <c r="G8497" s="8">
        <v>20</v>
      </c>
      <c r="H8497" s="8" t="s">
        <v>21</v>
      </c>
      <c r="I8497" s="8" t="s">
        <v>72</v>
      </c>
      <c r="J8497" s="8" t="s">
        <v>72</v>
      </c>
      <c r="K8497" s="8" t="s">
        <v>37292</v>
      </c>
      <c r="L8497" s="8" t="s">
        <v>13194</v>
      </c>
      <c r="M8497" s="8" t="s">
        <v>13195</v>
      </c>
      <c r="N8497" s="8" t="s">
        <v>37293</v>
      </c>
      <c r="O8497" s="8">
        <f>10+55/60+8.8/3600</f>
        <v>10.919111111111111</v>
      </c>
      <c r="P8497" s="8" t="s">
        <v>37294</v>
      </c>
      <c r="Q8497" s="8">
        <f>+(17+36/60+42/3600)</f>
        <v>17.611666666666668</v>
      </c>
      <c r="R8497" s="8">
        <v>15</v>
      </c>
      <c r="S8497" s="8">
        <v>16</v>
      </c>
      <c r="T8497" s="8">
        <v>1</v>
      </c>
      <c r="U8497" s="8">
        <v>11.4</v>
      </c>
      <c r="V8497" s="8">
        <v>0.2</v>
      </c>
      <c r="W8497" s="8">
        <v>0.2</v>
      </c>
      <c r="Y8497" s="8" t="s">
        <v>37295</v>
      </c>
      <c r="Z8497" s="8" t="s">
        <v>37296</v>
      </c>
    </row>
    <row r="8498" spans="1:26" x14ac:dyDescent="0.2">
      <c r="A8498" s="8">
        <v>8497</v>
      </c>
      <c r="B8498" s="8" t="s">
        <v>37297</v>
      </c>
      <c r="C8498" s="8" t="s">
        <v>37297</v>
      </c>
      <c r="G8498" s="8">
        <v>20</v>
      </c>
      <c r="H8498" s="8" t="s">
        <v>21</v>
      </c>
      <c r="I8498" s="8" t="s">
        <v>22</v>
      </c>
      <c r="J8498" s="8" t="s">
        <v>22</v>
      </c>
      <c r="K8498" s="8" t="s">
        <v>91</v>
      </c>
      <c r="L8498" s="8" t="s">
        <v>13194</v>
      </c>
      <c r="M8498" s="8" t="s">
        <v>13195</v>
      </c>
      <c r="N8498" s="8" t="s">
        <v>37298</v>
      </c>
      <c r="O8498" s="8">
        <f>10+57/60+53.5/3600</f>
        <v>10.964861111111111</v>
      </c>
      <c r="P8498" s="8" t="s">
        <v>37299</v>
      </c>
      <c r="Q8498" s="8">
        <f>-(4+54/60+15/3600)</f>
        <v>-4.9041666666666668</v>
      </c>
      <c r="R8498" s="8">
        <v>14.7</v>
      </c>
      <c r="S8498" s="8">
        <v>15.6</v>
      </c>
      <c r="T8498" s="8">
        <v>0.9</v>
      </c>
      <c r="U8498" s="8">
        <v>14</v>
      </c>
      <c r="V8498" s="8">
        <v>1.2</v>
      </c>
      <c r="W8498" s="8">
        <v>0.5</v>
      </c>
      <c r="X8498" s="8">
        <v>165</v>
      </c>
      <c r="Y8498" s="8" t="s">
        <v>37300</v>
      </c>
      <c r="Z8498" s="8" t="s">
        <v>37301</v>
      </c>
    </row>
    <row r="8499" spans="1:26" x14ac:dyDescent="0.2">
      <c r="A8499" s="8">
        <v>8498</v>
      </c>
      <c r="B8499" s="8" t="s">
        <v>37302</v>
      </c>
      <c r="C8499" s="8" t="s">
        <v>37302</v>
      </c>
      <c r="G8499" s="8">
        <v>20</v>
      </c>
      <c r="H8499" s="8" t="s">
        <v>21</v>
      </c>
      <c r="I8499" s="8" t="s">
        <v>22</v>
      </c>
      <c r="J8499" s="8" t="s">
        <v>22</v>
      </c>
      <c r="K8499" s="8" t="s">
        <v>382</v>
      </c>
      <c r="L8499" s="8" t="s">
        <v>13194</v>
      </c>
      <c r="M8499" s="8" t="s">
        <v>13195</v>
      </c>
      <c r="N8499" s="8" t="s">
        <v>37303</v>
      </c>
      <c r="O8499" s="8">
        <f>10+58/60+16.2/3600</f>
        <v>10.971166666666667</v>
      </c>
      <c r="P8499" s="8" t="s">
        <v>25065</v>
      </c>
      <c r="Q8499" s="8">
        <f>+(8+14/60+32/3600)</f>
        <v>8.242222222222221</v>
      </c>
      <c r="R8499" s="8">
        <v>13.4</v>
      </c>
      <c r="S8499" s="8">
        <v>14.4</v>
      </c>
      <c r="T8499" s="8">
        <v>1</v>
      </c>
      <c r="U8499" s="8">
        <v>12.3</v>
      </c>
      <c r="V8499" s="8">
        <v>0.7</v>
      </c>
      <c r="W8499" s="8">
        <v>0.5</v>
      </c>
      <c r="X8499" s="8">
        <v>57</v>
      </c>
      <c r="Y8499" s="8" t="s">
        <v>5926</v>
      </c>
      <c r="Z8499" s="8" t="s">
        <v>23179</v>
      </c>
    </row>
    <row r="8500" spans="1:26" x14ac:dyDescent="0.2">
      <c r="A8500" s="8">
        <v>8499</v>
      </c>
      <c r="B8500" s="8" t="s">
        <v>37304</v>
      </c>
      <c r="C8500" s="8" t="s">
        <v>37304</v>
      </c>
      <c r="G8500" s="8">
        <v>20</v>
      </c>
      <c r="H8500" s="8" t="s">
        <v>21</v>
      </c>
      <c r="I8500" s="8" t="s">
        <v>22</v>
      </c>
      <c r="J8500" s="8" t="s">
        <v>22</v>
      </c>
      <c r="K8500" s="8" t="s">
        <v>382</v>
      </c>
      <c r="L8500" s="8" t="s">
        <v>13194</v>
      </c>
      <c r="M8500" s="8" t="s">
        <v>13195</v>
      </c>
      <c r="N8500" s="8" t="s">
        <v>37305</v>
      </c>
      <c r="O8500" s="8">
        <f>10+58/60+3.8/3600</f>
        <v>10.967722222222223</v>
      </c>
      <c r="P8500" s="8" t="s">
        <v>37306</v>
      </c>
      <c r="Q8500" s="8">
        <f>-(6+15/60+36/3600)</f>
        <v>-6.26</v>
      </c>
      <c r="R8500" s="8">
        <v>14.3</v>
      </c>
      <c r="S8500" s="8">
        <v>15.3</v>
      </c>
      <c r="T8500" s="8">
        <v>1</v>
      </c>
      <c r="U8500" s="8">
        <v>14.7</v>
      </c>
      <c r="V8500" s="8">
        <v>1.4</v>
      </c>
      <c r="W8500" s="8">
        <v>1</v>
      </c>
      <c r="X8500" s="8">
        <v>147</v>
      </c>
      <c r="Y8500" s="8" t="s">
        <v>2641</v>
      </c>
      <c r="Z8500" s="8" t="s">
        <v>2642</v>
      </c>
    </row>
    <row r="8501" spans="1:26" x14ac:dyDescent="0.2">
      <c r="A8501" s="8">
        <v>8500</v>
      </c>
      <c r="B8501" s="8" t="s">
        <v>37307</v>
      </c>
      <c r="C8501" s="8" t="s">
        <v>37307</v>
      </c>
      <c r="G8501" s="8">
        <v>20</v>
      </c>
      <c r="H8501" s="8" t="s">
        <v>21</v>
      </c>
      <c r="I8501" s="8" t="s">
        <v>22</v>
      </c>
      <c r="J8501" s="8" t="s">
        <v>22</v>
      </c>
      <c r="K8501" s="8" t="s">
        <v>50</v>
      </c>
      <c r="L8501" s="8" t="s">
        <v>13194</v>
      </c>
      <c r="M8501" s="8" t="s">
        <v>13195</v>
      </c>
      <c r="N8501" s="8" t="s">
        <v>37308</v>
      </c>
      <c r="O8501" s="8">
        <f>10+58/60+26.6/3600</f>
        <v>10.974055555555555</v>
      </c>
      <c r="P8501" s="8" t="s">
        <v>37309</v>
      </c>
      <c r="Q8501" s="8">
        <f>+(1+23/60+0/3600)</f>
        <v>1.3833333333333333</v>
      </c>
      <c r="R8501" s="8">
        <v>14.4</v>
      </c>
      <c r="S8501" s="8">
        <v>15.4</v>
      </c>
      <c r="T8501" s="8">
        <v>1</v>
      </c>
      <c r="U8501" s="8">
        <v>13.6</v>
      </c>
      <c r="V8501" s="8">
        <v>0.9</v>
      </c>
      <c r="W8501" s="8">
        <v>0.5</v>
      </c>
      <c r="X8501" s="8">
        <v>41</v>
      </c>
      <c r="Y8501" s="8" t="s">
        <v>27057</v>
      </c>
      <c r="Z8501" s="8" t="s">
        <v>27058</v>
      </c>
    </row>
    <row r="8502" spans="1:26" x14ac:dyDescent="0.2">
      <c r="A8502" s="8">
        <v>8501</v>
      </c>
      <c r="B8502" s="8" t="s">
        <v>37310</v>
      </c>
      <c r="C8502" s="8" t="s">
        <v>37310</v>
      </c>
      <c r="G8502" s="8">
        <v>20</v>
      </c>
      <c r="H8502" s="8" t="s">
        <v>21</v>
      </c>
      <c r="I8502" s="8" t="s">
        <v>22</v>
      </c>
      <c r="J8502" s="8" t="s">
        <v>22</v>
      </c>
      <c r="K8502" s="8" t="s">
        <v>58</v>
      </c>
      <c r="L8502" s="8" t="s">
        <v>13194</v>
      </c>
      <c r="M8502" s="8" t="s">
        <v>13195</v>
      </c>
      <c r="N8502" s="8" t="s">
        <v>37311</v>
      </c>
      <c r="O8502" s="8">
        <f>10+58/60+51.4/3600</f>
        <v>10.980944444444445</v>
      </c>
      <c r="P8502" s="8" t="s">
        <v>37312</v>
      </c>
      <c r="Q8502" s="8">
        <f>+(1+39/60+4/3600)</f>
        <v>1.651111111111111</v>
      </c>
      <c r="R8502" s="8">
        <v>14.7</v>
      </c>
      <c r="S8502" s="8">
        <v>15.7</v>
      </c>
      <c r="T8502" s="8">
        <v>1</v>
      </c>
      <c r="U8502" s="8">
        <v>13.7</v>
      </c>
      <c r="V8502" s="8">
        <v>0.6</v>
      </c>
      <c r="W8502" s="8">
        <v>0.6</v>
      </c>
      <c r="Y8502" s="8" t="s">
        <v>37313</v>
      </c>
      <c r="Z8502" s="8" t="s">
        <v>37314</v>
      </c>
    </row>
    <row r="8503" spans="1:26" x14ac:dyDescent="0.2">
      <c r="A8503" s="8">
        <v>8502</v>
      </c>
      <c r="B8503" s="8" t="s">
        <v>37315</v>
      </c>
      <c r="C8503" s="8" t="s">
        <v>37315</v>
      </c>
      <c r="G8503" s="8">
        <v>20</v>
      </c>
      <c r="H8503" s="8" t="s">
        <v>21</v>
      </c>
      <c r="I8503" s="8" t="s">
        <v>22</v>
      </c>
      <c r="J8503" s="8" t="s">
        <v>22</v>
      </c>
      <c r="K8503" s="8" t="s">
        <v>1136</v>
      </c>
      <c r="L8503" s="8" t="s">
        <v>13194</v>
      </c>
      <c r="M8503" s="8" t="s">
        <v>13195</v>
      </c>
      <c r="N8503" s="8" t="s">
        <v>37316</v>
      </c>
      <c r="O8503" s="8">
        <f>10+59/60+20.5/3600</f>
        <v>10.989027777777777</v>
      </c>
      <c r="P8503" s="8" t="s">
        <v>37317</v>
      </c>
      <c r="Q8503" s="8">
        <f>+(1+35/60+58/3600)</f>
        <v>1.5994444444444447</v>
      </c>
      <c r="R8503" s="8">
        <v>14.3</v>
      </c>
      <c r="S8503" s="8">
        <v>15.3</v>
      </c>
      <c r="T8503" s="8">
        <v>1</v>
      </c>
      <c r="U8503" s="8">
        <v>13.9</v>
      </c>
      <c r="V8503" s="8">
        <v>0.9</v>
      </c>
      <c r="W8503" s="8">
        <v>0.7</v>
      </c>
      <c r="X8503" s="8">
        <v>85</v>
      </c>
      <c r="Y8503" s="8" t="s">
        <v>37318</v>
      </c>
      <c r="Z8503" s="8" t="s">
        <v>37319</v>
      </c>
    </row>
    <row r="8504" spans="1:26" x14ac:dyDescent="0.2">
      <c r="A8504" s="8">
        <v>8503</v>
      </c>
      <c r="B8504" s="8" t="s">
        <v>37320</v>
      </c>
      <c r="C8504" s="8" t="s">
        <v>37320</v>
      </c>
      <c r="G8504" s="8">
        <v>20</v>
      </c>
      <c r="H8504" s="8" t="s">
        <v>21</v>
      </c>
      <c r="I8504" s="8" t="s">
        <v>22</v>
      </c>
      <c r="J8504" s="8" t="s">
        <v>22</v>
      </c>
      <c r="K8504" s="8" t="s">
        <v>37</v>
      </c>
      <c r="L8504" s="8" t="s">
        <v>13194</v>
      </c>
      <c r="M8504" s="8" t="s">
        <v>13195</v>
      </c>
      <c r="N8504" s="8" t="s">
        <v>37321</v>
      </c>
      <c r="O8504" s="8">
        <f>11+0/60+37.3/3600</f>
        <v>11.010361111111111</v>
      </c>
      <c r="P8504" s="8" t="s">
        <v>37322</v>
      </c>
      <c r="Q8504" s="8">
        <f>+(10+26/60+14/3600)</f>
        <v>10.437222222222223</v>
      </c>
      <c r="R8504" s="8">
        <v>14.4</v>
      </c>
      <c r="S8504" s="8">
        <v>15.4</v>
      </c>
      <c r="T8504" s="8">
        <v>1</v>
      </c>
      <c r="U8504" s="8">
        <v>13.5</v>
      </c>
      <c r="V8504" s="8">
        <v>0.8</v>
      </c>
      <c r="W8504" s="8">
        <v>0.6</v>
      </c>
      <c r="X8504" s="8">
        <v>175</v>
      </c>
      <c r="Y8504" s="8" t="s">
        <v>37323</v>
      </c>
      <c r="Z8504" s="8" t="s">
        <v>37324</v>
      </c>
    </row>
    <row r="8505" spans="1:26" x14ac:dyDescent="0.2">
      <c r="A8505" s="8">
        <v>8504</v>
      </c>
      <c r="B8505" s="8" t="s">
        <v>37325</v>
      </c>
      <c r="C8505" s="8" t="s">
        <v>37325</v>
      </c>
      <c r="G8505" s="8">
        <v>20</v>
      </c>
      <c r="H8505" s="8" t="s">
        <v>21</v>
      </c>
      <c r="I8505" s="8" t="s">
        <v>22</v>
      </c>
      <c r="J8505" s="8" t="s">
        <v>22</v>
      </c>
      <c r="K8505" s="8" t="s">
        <v>58</v>
      </c>
      <c r="L8505" s="8" t="s">
        <v>13194</v>
      </c>
      <c r="M8505" s="8" t="s">
        <v>13195</v>
      </c>
      <c r="N8505" s="8" t="s">
        <v>37326</v>
      </c>
      <c r="O8505" s="8">
        <f>11+0/60+45.4/3600</f>
        <v>11.012611111111111</v>
      </c>
      <c r="P8505" s="8" t="s">
        <v>37327</v>
      </c>
      <c r="Q8505" s="8">
        <f>+(10+33/60+11/3600)</f>
        <v>10.553055555555556</v>
      </c>
      <c r="R8505" s="8">
        <v>13.1</v>
      </c>
      <c r="S8505" s="8">
        <v>14.1</v>
      </c>
      <c r="T8505" s="8">
        <v>1</v>
      </c>
      <c r="U8505" s="8">
        <v>13.1</v>
      </c>
      <c r="V8505" s="8">
        <v>1.3</v>
      </c>
      <c r="W8505" s="8">
        <v>0.9</v>
      </c>
      <c r="X8505" s="8">
        <v>40</v>
      </c>
      <c r="Y8505" s="8" t="s">
        <v>21</v>
      </c>
      <c r="Z8505" s="8" t="s">
        <v>37328</v>
      </c>
    </row>
    <row r="8506" spans="1:26" x14ac:dyDescent="0.2">
      <c r="A8506" s="8">
        <v>8505</v>
      </c>
      <c r="B8506" s="8" t="s">
        <v>37329</v>
      </c>
      <c r="C8506" s="8" t="s">
        <v>37329</v>
      </c>
      <c r="G8506" s="8">
        <v>20</v>
      </c>
      <c r="H8506" s="8" t="s">
        <v>21</v>
      </c>
      <c r="I8506" s="8" t="s">
        <v>22</v>
      </c>
      <c r="J8506" s="8" t="s">
        <v>22</v>
      </c>
      <c r="K8506" s="8" t="s">
        <v>449</v>
      </c>
      <c r="L8506" s="8" t="s">
        <v>15699</v>
      </c>
      <c r="M8506" s="8" t="s">
        <v>15700</v>
      </c>
      <c r="N8506" s="8" t="s">
        <v>37330</v>
      </c>
      <c r="O8506" s="8">
        <f>11+0/60+29.9/3600</f>
        <v>11.008305555555555</v>
      </c>
      <c r="P8506" s="8" t="s">
        <v>37331</v>
      </c>
      <c r="Q8506" s="8">
        <f>-(13+51/60+58/3600)</f>
        <v>-13.866111111111111</v>
      </c>
      <c r="R8506" s="8">
        <v>14.5</v>
      </c>
      <c r="S8506" s="8">
        <v>15.3</v>
      </c>
      <c r="T8506" s="8">
        <v>0.8</v>
      </c>
      <c r="U8506" s="8">
        <v>13.1</v>
      </c>
      <c r="V8506" s="8">
        <v>0.8</v>
      </c>
      <c r="W8506" s="8">
        <v>0.4</v>
      </c>
      <c r="X8506" s="8">
        <v>135</v>
      </c>
      <c r="Y8506" s="8" t="s">
        <v>3952</v>
      </c>
      <c r="Z8506" s="8" t="s">
        <v>3953</v>
      </c>
    </row>
    <row r="8507" spans="1:26" x14ac:dyDescent="0.2">
      <c r="A8507" s="8">
        <v>8506</v>
      </c>
      <c r="B8507" s="8" t="s">
        <v>37332</v>
      </c>
      <c r="C8507" s="8" t="s">
        <v>37332</v>
      </c>
      <c r="G8507" s="8">
        <v>20</v>
      </c>
      <c r="H8507" s="8" t="s">
        <v>21</v>
      </c>
      <c r="I8507" s="8" t="s">
        <v>22</v>
      </c>
      <c r="J8507" s="8" t="s">
        <v>22</v>
      </c>
      <c r="K8507" s="8" t="s">
        <v>50</v>
      </c>
      <c r="L8507" s="8" t="s">
        <v>13194</v>
      </c>
      <c r="M8507" s="8" t="s">
        <v>13195</v>
      </c>
      <c r="N8507" s="8" t="s">
        <v>37333</v>
      </c>
      <c r="O8507" s="8">
        <f>11+1/60+14.8/3600</f>
        <v>11.020777777777779</v>
      </c>
      <c r="P8507" s="8" t="s">
        <v>37334</v>
      </c>
      <c r="Q8507" s="8">
        <f>+(10+28/60+51/3600)</f>
        <v>10.480833333333333</v>
      </c>
      <c r="R8507" s="8">
        <v>14.2</v>
      </c>
      <c r="S8507" s="8">
        <v>15.2</v>
      </c>
      <c r="T8507" s="8">
        <v>1</v>
      </c>
      <c r="U8507" s="8">
        <v>12.2</v>
      </c>
      <c r="V8507" s="8">
        <v>0.5</v>
      </c>
      <c r="W8507" s="8">
        <v>0.3</v>
      </c>
      <c r="X8507" s="8">
        <v>160</v>
      </c>
      <c r="Y8507" s="8" t="s">
        <v>37335</v>
      </c>
      <c r="Z8507" s="8" t="s">
        <v>37336</v>
      </c>
    </row>
    <row r="8508" spans="1:26" x14ac:dyDescent="0.2">
      <c r="A8508" s="8">
        <v>8507</v>
      </c>
      <c r="B8508" s="8" t="s">
        <v>37337</v>
      </c>
      <c r="C8508" s="8" t="s">
        <v>37337</v>
      </c>
      <c r="G8508" s="8">
        <v>20</v>
      </c>
      <c r="H8508" s="8" t="s">
        <v>21</v>
      </c>
      <c r="I8508" s="8" t="s">
        <v>22</v>
      </c>
      <c r="J8508" s="8" t="s">
        <v>22</v>
      </c>
      <c r="K8508" s="8" t="s">
        <v>424</v>
      </c>
      <c r="L8508" s="8" t="s">
        <v>13194</v>
      </c>
      <c r="M8508" s="8" t="s">
        <v>13195</v>
      </c>
      <c r="N8508" s="8" t="s">
        <v>37338</v>
      </c>
      <c r="O8508" s="8">
        <f>11+6/60+36.5/3600</f>
        <v>11.110138888888889</v>
      </c>
      <c r="P8508" s="8" t="s">
        <v>37339</v>
      </c>
      <c r="Q8508" s="8">
        <f>+(15+5/60+21/3600)</f>
        <v>15.089166666666667</v>
      </c>
      <c r="R8508" s="8">
        <v>14.2</v>
      </c>
      <c r="S8508" s="8">
        <v>15.2</v>
      </c>
      <c r="T8508" s="8">
        <v>1</v>
      </c>
      <c r="U8508" s="8">
        <v>11.4</v>
      </c>
      <c r="V8508" s="8">
        <v>0.3</v>
      </c>
      <c r="W8508" s="8">
        <v>0.3</v>
      </c>
      <c r="Y8508" s="8" t="s">
        <v>2233</v>
      </c>
      <c r="Z8508" s="8" t="s">
        <v>2234</v>
      </c>
    </row>
    <row r="8509" spans="1:26" x14ac:dyDescent="0.2">
      <c r="A8509" s="8">
        <v>8508</v>
      </c>
      <c r="B8509" s="8" t="s">
        <v>37340</v>
      </c>
      <c r="C8509" s="8" t="s">
        <v>37340</v>
      </c>
      <c r="G8509" s="8">
        <v>20</v>
      </c>
      <c r="H8509" s="8" t="s">
        <v>21</v>
      </c>
      <c r="I8509" s="8" t="s">
        <v>22</v>
      </c>
      <c r="J8509" s="8" t="s">
        <v>22</v>
      </c>
      <c r="K8509" s="8" t="s">
        <v>23</v>
      </c>
      <c r="L8509" s="8" t="s">
        <v>13194</v>
      </c>
      <c r="M8509" s="8" t="s">
        <v>13195</v>
      </c>
      <c r="N8509" s="8" t="s">
        <v>37341</v>
      </c>
      <c r="O8509" s="8">
        <f>11+6/60+39.4/3600</f>
        <v>11.110944444444444</v>
      </c>
      <c r="P8509" s="8" t="s">
        <v>37342</v>
      </c>
      <c r="Q8509" s="8">
        <f>+(15+2/60+28/3600)</f>
        <v>15.04111111111111</v>
      </c>
      <c r="R8509" s="8">
        <v>14.6</v>
      </c>
      <c r="S8509" s="8">
        <v>15.4</v>
      </c>
      <c r="T8509" s="8">
        <v>0.8</v>
      </c>
      <c r="U8509" s="8">
        <v>13.1</v>
      </c>
      <c r="V8509" s="8">
        <v>0.7</v>
      </c>
      <c r="W8509" s="8">
        <v>0.4</v>
      </c>
      <c r="X8509" s="8">
        <v>87</v>
      </c>
      <c r="Y8509" s="8" t="s">
        <v>115</v>
      </c>
      <c r="Z8509" s="8" t="s">
        <v>116</v>
      </c>
    </row>
    <row r="8510" spans="1:26" x14ac:dyDescent="0.2">
      <c r="A8510" s="8">
        <v>8509</v>
      </c>
      <c r="B8510" s="8" t="s">
        <v>37343</v>
      </c>
      <c r="C8510" s="8" t="s">
        <v>37343</v>
      </c>
      <c r="G8510" s="8">
        <v>20</v>
      </c>
      <c r="H8510" s="8" t="s">
        <v>21</v>
      </c>
      <c r="I8510" s="8" t="s">
        <v>22</v>
      </c>
      <c r="J8510" s="8" t="s">
        <v>22</v>
      </c>
      <c r="K8510" s="8" t="s">
        <v>37</v>
      </c>
      <c r="L8510" s="8" t="s">
        <v>13194</v>
      </c>
      <c r="M8510" s="8" t="s">
        <v>13195</v>
      </c>
      <c r="N8510" s="8" t="s">
        <v>37344</v>
      </c>
      <c r="O8510" s="8">
        <f>11+7/60+16.5/3600</f>
        <v>11.12125</v>
      </c>
      <c r="P8510" s="8" t="s">
        <v>37345</v>
      </c>
      <c r="Q8510" s="8">
        <f>+(6+18/60+11/3600)</f>
        <v>6.303055555555555</v>
      </c>
      <c r="R8510" s="8">
        <v>13.1</v>
      </c>
      <c r="S8510" s="8">
        <v>14.1</v>
      </c>
      <c r="T8510" s="8">
        <v>1</v>
      </c>
      <c r="U8510" s="8">
        <v>12.8</v>
      </c>
      <c r="V8510" s="8">
        <v>1.2</v>
      </c>
      <c r="W8510" s="8">
        <v>0.7</v>
      </c>
      <c r="X8510" s="8">
        <v>165</v>
      </c>
      <c r="Y8510" s="8" t="s">
        <v>36388</v>
      </c>
      <c r="Z8510" s="8" t="s">
        <v>36389</v>
      </c>
    </row>
    <row r="8511" spans="1:26" x14ac:dyDescent="0.2">
      <c r="A8511" s="8">
        <v>8510</v>
      </c>
      <c r="B8511" s="8" t="s">
        <v>37346</v>
      </c>
      <c r="C8511" s="8" t="s">
        <v>37346</v>
      </c>
      <c r="G8511" s="8">
        <v>20</v>
      </c>
      <c r="H8511" s="8" t="s">
        <v>21</v>
      </c>
      <c r="I8511" s="8" t="s">
        <v>22</v>
      </c>
      <c r="J8511" s="8" t="s">
        <v>22</v>
      </c>
      <c r="K8511" s="8" t="s">
        <v>58</v>
      </c>
      <c r="L8511" s="8" t="s">
        <v>13194</v>
      </c>
      <c r="M8511" s="8" t="s">
        <v>13195</v>
      </c>
      <c r="N8511" s="8" t="s">
        <v>37347</v>
      </c>
      <c r="O8511" s="8">
        <f>11+7/60+28.7/3600</f>
        <v>11.124638888888889</v>
      </c>
      <c r="P8511" s="8" t="s">
        <v>37348</v>
      </c>
      <c r="Q8511" s="8">
        <f>+(6+42/60+52/3600)</f>
        <v>6.7144444444444442</v>
      </c>
      <c r="R8511" s="8">
        <v>13.3</v>
      </c>
      <c r="S8511" s="8">
        <v>14.3</v>
      </c>
      <c r="T8511" s="8">
        <v>1</v>
      </c>
      <c r="U8511" s="8">
        <v>13.3</v>
      </c>
      <c r="V8511" s="8">
        <v>1</v>
      </c>
      <c r="W8511" s="8">
        <v>0.8</v>
      </c>
      <c r="X8511" s="8">
        <v>51</v>
      </c>
      <c r="Y8511" s="8" t="s">
        <v>2088</v>
      </c>
      <c r="Z8511" s="8" t="s">
        <v>2094</v>
      </c>
    </row>
    <row r="8512" spans="1:26" x14ac:dyDescent="0.2">
      <c r="A8512" s="8">
        <v>8511</v>
      </c>
      <c r="B8512" s="8" t="s">
        <v>37349</v>
      </c>
      <c r="C8512" s="8" t="s">
        <v>37349</v>
      </c>
      <c r="G8512" s="8">
        <v>20</v>
      </c>
      <c r="H8512" s="8" t="s">
        <v>21</v>
      </c>
      <c r="I8512" s="8" t="s">
        <v>22</v>
      </c>
      <c r="J8512" s="8" t="s">
        <v>22</v>
      </c>
      <c r="K8512" s="8" t="s">
        <v>23</v>
      </c>
      <c r="L8512" s="8" t="s">
        <v>13194</v>
      </c>
      <c r="M8512" s="8" t="s">
        <v>13195</v>
      </c>
      <c r="N8512" s="8" t="s">
        <v>37350</v>
      </c>
      <c r="O8512" s="8">
        <f>11+7/60+31.6/3600</f>
        <v>11.125444444444446</v>
      </c>
      <c r="P8512" s="8" t="s">
        <v>37351</v>
      </c>
      <c r="Q8512" s="8">
        <f>+(0+47/60+0/3600)</f>
        <v>0.78333333333333333</v>
      </c>
      <c r="R8512" s="8">
        <v>13.4</v>
      </c>
      <c r="S8512" s="8">
        <v>14.2</v>
      </c>
      <c r="T8512" s="8">
        <v>0.8</v>
      </c>
      <c r="U8512" s="8">
        <v>13.5</v>
      </c>
      <c r="V8512" s="8">
        <v>1.3</v>
      </c>
      <c r="W8512" s="8">
        <v>1.2</v>
      </c>
      <c r="X8512" s="8">
        <v>22</v>
      </c>
      <c r="Y8512" s="8" t="s">
        <v>237</v>
      </c>
      <c r="Z8512" s="8" t="s">
        <v>238</v>
      </c>
    </row>
    <row r="8513" spans="1:26" x14ac:dyDescent="0.2">
      <c r="A8513" s="8">
        <v>8512</v>
      </c>
      <c r="B8513" s="8" t="s">
        <v>37352</v>
      </c>
      <c r="C8513" s="8" t="s">
        <v>37352</v>
      </c>
      <c r="G8513" s="8">
        <v>20</v>
      </c>
      <c r="H8513" s="8" t="s">
        <v>21</v>
      </c>
      <c r="I8513" s="8" t="s">
        <v>22</v>
      </c>
      <c r="J8513" s="8" t="s">
        <v>22</v>
      </c>
      <c r="K8513" s="8" t="s">
        <v>476</v>
      </c>
      <c r="L8513" s="8" t="s">
        <v>15699</v>
      </c>
      <c r="M8513" s="8" t="s">
        <v>15700</v>
      </c>
      <c r="N8513" s="8" t="s">
        <v>37353</v>
      </c>
      <c r="O8513" s="8">
        <f>11+8/60+3.2/3600</f>
        <v>11.134222222222222</v>
      </c>
      <c r="P8513" s="8" t="s">
        <v>37354</v>
      </c>
      <c r="Q8513" s="8">
        <f>-(12+29/60+3/3600)</f>
        <v>-12.484166666666665</v>
      </c>
      <c r="R8513" s="8">
        <v>14.6</v>
      </c>
      <c r="S8513" s="8">
        <v>15.4</v>
      </c>
      <c r="T8513" s="8">
        <v>0.8</v>
      </c>
      <c r="U8513" s="8">
        <v>12</v>
      </c>
      <c r="V8513" s="8">
        <v>0.5</v>
      </c>
      <c r="W8513" s="8">
        <v>0.2</v>
      </c>
      <c r="X8513" s="8">
        <v>153</v>
      </c>
      <c r="Y8513" s="8" t="s">
        <v>282</v>
      </c>
      <c r="Z8513" s="8" t="s">
        <v>283</v>
      </c>
    </row>
    <row r="8514" spans="1:26" x14ac:dyDescent="0.2">
      <c r="A8514" s="8">
        <v>8513</v>
      </c>
      <c r="B8514" s="8" t="s">
        <v>37355</v>
      </c>
      <c r="C8514" s="8" t="s">
        <v>37355</v>
      </c>
      <c r="G8514" s="8">
        <v>20</v>
      </c>
      <c r="H8514" s="8" t="s">
        <v>21</v>
      </c>
      <c r="I8514" s="8" t="s">
        <v>22</v>
      </c>
      <c r="J8514" s="8" t="s">
        <v>22</v>
      </c>
      <c r="K8514" s="8" t="s">
        <v>23</v>
      </c>
      <c r="L8514" s="8" t="s">
        <v>13194</v>
      </c>
      <c r="M8514" s="8" t="s">
        <v>13195</v>
      </c>
      <c r="N8514" s="8" t="s">
        <v>37356</v>
      </c>
      <c r="O8514" s="8">
        <f>11+9/60+25.2/3600</f>
        <v>11.157</v>
      </c>
      <c r="P8514" s="8" t="s">
        <v>37357</v>
      </c>
      <c r="Q8514" s="8">
        <f>-(0+5/60+52/3600)</f>
        <v>-9.7777777777777769E-2</v>
      </c>
      <c r="R8514" s="8">
        <v>13.4</v>
      </c>
      <c r="S8514" s="8">
        <v>14.2</v>
      </c>
      <c r="T8514" s="8">
        <v>0.8</v>
      </c>
      <c r="U8514" s="8">
        <v>13.4</v>
      </c>
      <c r="V8514" s="8">
        <v>1.7</v>
      </c>
      <c r="W8514" s="8">
        <v>0.7</v>
      </c>
      <c r="X8514" s="8">
        <v>165</v>
      </c>
      <c r="Y8514" s="8" t="s">
        <v>37358</v>
      </c>
      <c r="Z8514" s="8" t="s">
        <v>37359</v>
      </c>
    </row>
    <row r="8515" spans="1:26" x14ac:dyDescent="0.2">
      <c r="A8515" s="8">
        <v>8514</v>
      </c>
      <c r="B8515" s="8" t="s">
        <v>37360</v>
      </c>
      <c r="C8515" s="8" t="s">
        <v>37360</v>
      </c>
      <c r="G8515" s="8">
        <v>20</v>
      </c>
      <c r="H8515" s="8" t="s">
        <v>21</v>
      </c>
      <c r="I8515" s="8" t="s">
        <v>22</v>
      </c>
      <c r="J8515" s="8" t="s">
        <v>22</v>
      </c>
      <c r="K8515" s="8" t="s">
        <v>31</v>
      </c>
      <c r="L8515" s="8" t="s">
        <v>12015</v>
      </c>
      <c r="M8515" s="8" t="s">
        <v>12016</v>
      </c>
      <c r="N8515" s="8" t="s">
        <v>37361</v>
      </c>
      <c r="O8515" s="8">
        <f>11+11/60+6.4/3600</f>
        <v>11.185111111111111</v>
      </c>
      <c r="P8515" s="8" t="s">
        <v>37362</v>
      </c>
      <c r="Q8515" s="8">
        <f>+(43+37/60+59/3600)</f>
        <v>43.633055555555558</v>
      </c>
      <c r="R8515" s="8">
        <v>13.4</v>
      </c>
      <c r="S8515" s="8">
        <v>14.2</v>
      </c>
      <c r="T8515" s="8">
        <v>0.8</v>
      </c>
      <c r="U8515" s="8">
        <v>13.1</v>
      </c>
      <c r="V8515" s="8">
        <v>1.7</v>
      </c>
      <c r="W8515" s="8">
        <v>0.7</v>
      </c>
      <c r="X8515" s="8">
        <v>120</v>
      </c>
      <c r="Y8515" s="8" t="s">
        <v>37363</v>
      </c>
      <c r="Z8515" s="8" t="s">
        <v>37364</v>
      </c>
    </row>
    <row r="8516" spans="1:26" x14ac:dyDescent="0.2">
      <c r="A8516" s="8">
        <v>8515</v>
      </c>
      <c r="B8516" s="8" t="s">
        <v>37365</v>
      </c>
      <c r="C8516" s="8" t="s">
        <v>37365</v>
      </c>
      <c r="G8516" s="8">
        <v>20</v>
      </c>
      <c r="H8516" s="8" t="s">
        <v>21</v>
      </c>
      <c r="I8516" s="8" t="s">
        <v>72</v>
      </c>
      <c r="J8516" s="8" t="s">
        <v>72</v>
      </c>
      <c r="K8516" s="8" t="s">
        <v>73</v>
      </c>
      <c r="L8516" s="8" t="s">
        <v>13194</v>
      </c>
      <c r="M8516" s="8" t="s">
        <v>13195</v>
      </c>
      <c r="N8516" s="8" t="s">
        <v>37366</v>
      </c>
      <c r="O8516" s="8">
        <f>11+10/60+57.4/3600</f>
        <v>11.182611111111111</v>
      </c>
      <c r="P8516" s="8" t="s">
        <v>37367</v>
      </c>
      <c r="Q8516" s="8">
        <f>+(3+35/60+41/3600)</f>
        <v>3.5947222222222224</v>
      </c>
      <c r="R8516" s="8">
        <v>99</v>
      </c>
      <c r="S8516" s="8">
        <v>99</v>
      </c>
      <c r="T8516" s="8">
        <v>99</v>
      </c>
      <c r="U8516" s="8">
        <v>99</v>
      </c>
      <c r="Y8516" s="8" t="s">
        <v>37368</v>
      </c>
      <c r="Z8516" s="8" t="s">
        <v>37369</v>
      </c>
    </row>
    <row r="8517" spans="1:26" x14ac:dyDescent="0.2">
      <c r="A8517" s="8">
        <v>8516</v>
      </c>
      <c r="B8517" s="8" t="s">
        <v>37370</v>
      </c>
      <c r="C8517" s="8" t="s">
        <v>37370</v>
      </c>
      <c r="G8517" s="8">
        <v>20</v>
      </c>
      <c r="H8517" s="8" t="s">
        <v>21</v>
      </c>
      <c r="I8517" s="8" t="s">
        <v>22</v>
      </c>
      <c r="J8517" s="8" t="s">
        <v>22</v>
      </c>
      <c r="K8517" s="8" t="s">
        <v>435</v>
      </c>
      <c r="L8517" s="8" t="s">
        <v>13194</v>
      </c>
      <c r="M8517" s="8" t="s">
        <v>13195</v>
      </c>
      <c r="N8517" s="8" t="s">
        <v>37371</v>
      </c>
      <c r="O8517" s="8">
        <f>11+12/60+39.7/3600</f>
        <v>11.211027777777778</v>
      </c>
      <c r="P8517" s="8" t="s">
        <v>37372</v>
      </c>
      <c r="Q8517" s="8">
        <f>+(9+3/60+22/3600)</f>
        <v>9.056111111111111</v>
      </c>
      <c r="R8517" s="8">
        <v>11.8</v>
      </c>
      <c r="S8517" s="8">
        <v>12.7</v>
      </c>
      <c r="T8517" s="8">
        <v>0.9</v>
      </c>
      <c r="U8517" s="8">
        <v>12.8</v>
      </c>
      <c r="V8517" s="8">
        <v>2.1</v>
      </c>
      <c r="W8517" s="8">
        <v>1.3</v>
      </c>
      <c r="X8517" s="8">
        <v>10</v>
      </c>
      <c r="Y8517" s="8" t="s">
        <v>37373</v>
      </c>
      <c r="Z8517" s="8" t="s">
        <v>37374</v>
      </c>
    </row>
    <row r="8518" spans="1:26" x14ac:dyDescent="0.2">
      <c r="A8518" s="8">
        <v>8517</v>
      </c>
      <c r="B8518" s="8" t="s">
        <v>37375</v>
      </c>
      <c r="C8518" s="8" t="s">
        <v>37375</v>
      </c>
      <c r="G8518" s="8">
        <v>20</v>
      </c>
      <c r="H8518" s="8" t="s">
        <v>21</v>
      </c>
      <c r="I8518" s="8" t="s">
        <v>22</v>
      </c>
      <c r="J8518" s="8" t="s">
        <v>22</v>
      </c>
      <c r="K8518" s="8" t="s">
        <v>396</v>
      </c>
      <c r="L8518" s="8" t="s">
        <v>13194</v>
      </c>
      <c r="M8518" s="8" t="s">
        <v>13195</v>
      </c>
      <c r="N8518" s="8" t="s">
        <v>37376</v>
      </c>
      <c r="O8518" s="8">
        <f>11+13/60+56.6/3600</f>
        <v>11.23238888888889</v>
      </c>
      <c r="P8518" s="8" t="s">
        <v>37377</v>
      </c>
      <c r="Q8518" s="8">
        <f>+(12+18/60+6/3600)</f>
        <v>12.301666666666668</v>
      </c>
      <c r="R8518" s="8">
        <v>12.9</v>
      </c>
      <c r="S8518" s="8">
        <v>13.7</v>
      </c>
      <c r="T8518" s="8">
        <v>0.8</v>
      </c>
      <c r="U8518" s="8">
        <v>12.6</v>
      </c>
      <c r="V8518" s="8">
        <v>1.5</v>
      </c>
      <c r="W8518" s="8">
        <v>0.6</v>
      </c>
      <c r="X8518" s="8">
        <v>45</v>
      </c>
      <c r="Y8518" s="8" t="s">
        <v>37378</v>
      </c>
      <c r="Z8518" s="8" t="s">
        <v>19696</v>
      </c>
    </row>
    <row r="8519" spans="1:26" x14ac:dyDescent="0.2">
      <c r="A8519" s="8">
        <v>8518</v>
      </c>
      <c r="B8519" s="8" t="s">
        <v>37379</v>
      </c>
      <c r="C8519" s="8" t="s">
        <v>37379</v>
      </c>
      <c r="G8519" s="8">
        <v>20</v>
      </c>
      <c r="H8519" s="8" t="s">
        <v>21</v>
      </c>
      <c r="I8519" s="8" t="s">
        <v>22</v>
      </c>
      <c r="J8519" s="8" t="s">
        <v>22</v>
      </c>
      <c r="K8519" s="8" t="s">
        <v>382</v>
      </c>
      <c r="L8519" s="8" t="s">
        <v>13194</v>
      </c>
      <c r="M8519" s="8" t="s">
        <v>13195</v>
      </c>
      <c r="N8519" s="8" t="s">
        <v>37380</v>
      </c>
      <c r="O8519" s="8">
        <f>11+14/60+6.3/3600</f>
        <v>11.235083333333332</v>
      </c>
      <c r="P8519" s="8" t="s">
        <v>37381</v>
      </c>
      <c r="Q8519" s="8">
        <f>+(6+34/60+40/3600)</f>
        <v>6.5777777777777775</v>
      </c>
      <c r="R8519" s="8">
        <v>13.9</v>
      </c>
      <c r="S8519" s="8">
        <v>14.9</v>
      </c>
      <c r="T8519" s="8">
        <v>1</v>
      </c>
      <c r="U8519" s="8">
        <v>12.8</v>
      </c>
      <c r="V8519" s="8">
        <v>0.7</v>
      </c>
      <c r="W8519" s="8">
        <v>0.5</v>
      </c>
      <c r="X8519" s="8">
        <v>147</v>
      </c>
      <c r="Y8519" s="8" t="s">
        <v>37382</v>
      </c>
      <c r="Z8519" s="8" t="s">
        <v>37383</v>
      </c>
    </row>
    <row r="8520" spans="1:26" x14ac:dyDescent="0.2">
      <c r="A8520" s="8">
        <v>8519</v>
      </c>
      <c r="B8520" s="8" t="s">
        <v>37384</v>
      </c>
      <c r="C8520" s="8" t="s">
        <v>37384</v>
      </c>
      <c r="G8520" s="8">
        <v>20</v>
      </c>
      <c r="H8520" s="8" t="s">
        <v>21</v>
      </c>
      <c r="I8520" s="8" t="s">
        <v>22</v>
      </c>
      <c r="J8520" s="8" t="s">
        <v>22</v>
      </c>
      <c r="K8520" s="8" t="s">
        <v>449</v>
      </c>
      <c r="L8520" s="8" t="s">
        <v>15699</v>
      </c>
      <c r="M8520" s="8" t="s">
        <v>15700</v>
      </c>
      <c r="N8520" s="8" t="s">
        <v>37385</v>
      </c>
      <c r="O8520" s="8">
        <f>11+16/60+36.5/3600</f>
        <v>11.276805555555557</v>
      </c>
      <c r="P8520" s="8" t="s">
        <v>37386</v>
      </c>
      <c r="Q8520" s="8">
        <f>-(13+58/60+17/3600)</f>
        <v>-13.971388888888889</v>
      </c>
      <c r="R8520" s="8">
        <v>14.8</v>
      </c>
      <c r="S8520" s="8">
        <v>15.6</v>
      </c>
      <c r="T8520" s="8">
        <v>0.8</v>
      </c>
      <c r="U8520" s="8">
        <v>14</v>
      </c>
      <c r="V8520" s="8">
        <v>0.9</v>
      </c>
      <c r="W8520" s="8">
        <v>0.6</v>
      </c>
      <c r="X8520" s="8">
        <v>120</v>
      </c>
      <c r="Y8520" s="8" t="s">
        <v>337</v>
      </c>
      <c r="Z8520" s="8" t="s">
        <v>338</v>
      </c>
    </row>
    <row r="8521" spans="1:26" x14ac:dyDescent="0.2">
      <c r="A8521" s="8">
        <v>8520</v>
      </c>
      <c r="B8521" s="8" t="s">
        <v>37387</v>
      </c>
      <c r="C8521" s="8" t="s">
        <v>37387</v>
      </c>
      <c r="G8521" s="8">
        <v>20</v>
      </c>
      <c r="H8521" s="8" t="s">
        <v>21</v>
      </c>
      <c r="I8521" s="8" t="s">
        <v>22</v>
      </c>
      <c r="J8521" s="8" t="s">
        <v>22</v>
      </c>
      <c r="K8521" s="8" t="s">
        <v>91</v>
      </c>
      <c r="L8521" s="8" t="s">
        <v>13194</v>
      </c>
      <c r="M8521" s="8" t="s">
        <v>13195</v>
      </c>
      <c r="N8521" s="8" t="s">
        <v>37388</v>
      </c>
      <c r="O8521" s="8">
        <f>11+17/60+54.6/3600</f>
        <v>11.298500000000001</v>
      </c>
      <c r="P8521" s="8" t="s">
        <v>37389</v>
      </c>
      <c r="Q8521" s="8">
        <f>-(1+56/60+48/3600)</f>
        <v>-1.9466666666666668</v>
      </c>
      <c r="R8521" s="8">
        <v>14</v>
      </c>
      <c r="S8521" s="8">
        <v>14.9</v>
      </c>
      <c r="T8521" s="8">
        <v>0.9</v>
      </c>
      <c r="U8521" s="8">
        <v>12.5</v>
      </c>
      <c r="V8521" s="8">
        <v>0.7</v>
      </c>
      <c r="W8521" s="8">
        <v>0.4</v>
      </c>
      <c r="X8521" s="8">
        <v>165</v>
      </c>
      <c r="Y8521" s="8" t="s">
        <v>6420</v>
      </c>
      <c r="Z8521" s="8" t="s">
        <v>6421</v>
      </c>
    </row>
    <row r="8522" spans="1:26" x14ac:dyDescent="0.2">
      <c r="A8522" s="8">
        <v>8521</v>
      </c>
      <c r="B8522" s="8" t="s">
        <v>37390</v>
      </c>
      <c r="C8522" s="8" t="s">
        <v>37390</v>
      </c>
      <c r="G8522" s="8">
        <v>20</v>
      </c>
      <c r="H8522" s="8" t="s">
        <v>21</v>
      </c>
      <c r="I8522" s="8" t="s">
        <v>22</v>
      </c>
      <c r="J8522" s="8" t="s">
        <v>22</v>
      </c>
      <c r="K8522" s="8" t="s">
        <v>160</v>
      </c>
      <c r="L8522" s="8" t="s">
        <v>15699</v>
      </c>
      <c r="M8522" s="8" t="s">
        <v>15700</v>
      </c>
      <c r="N8522" s="8" t="s">
        <v>37391</v>
      </c>
      <c r="O8522" s="8">
        <f>11+18/60+31.9/3600</f>
        <v>11.308861111111112</v>
      </c>
      <c r="P8522" s="8" t="s">
        <v>37392</v>
      </c>
      <c r="Q8522" s="8">
        <f>-(12+8/60+25/3600)</f>
        <v>-12.140277777777778</v>
      </c>
      <c r="R8522" s="8">
        <v>14.1</v>
      </c>
      <c r="S8522" s="8">
        <v>14.8</v>
      </c>
      <c r="T8522" s="8">
        <v>0.7</v>
      </c>
      <c r="U8522" s="8">
        <v>12.8</v>
      </c>
      <c r="V8522" s="8">
        <v>0.9</v>
      </c>
      <c r="W8522" s="8">
        <v>0.4</v>
      </c>
      <c r="X8522" s="8">
        <v>18</v>
      </c>
      <c r="Y8522" s="8" t="s">
        <v>37393</v>
      </c>
      <c r="Z8522" s="8" t="s">
        <v>37394</v>
      </c>
    </row>
    <row r="8523" spans="1:26" x14ac:dyDescent="0.2">
      <c r="A8523" s="8">
        <v>8522</v>
      </c>
      <c r="B8523" s="8" t="s">
        <v>37395</v>
      </c>
      <c r="C8523" s="8" t="s">
        <v>37395</v>
      </c>
      <c r="G8523" s="8">
        <v>20</v>
      </c>
      <c r="H8523" s="8" t="s">
        <v>21</v>
      </c>
      <c r="I8523" s="8" t="s">
        <v>22</v>
      </c>
      <c r="J8523" s="8" t="s">
        <v>57</v>
      </c>
      <c r="K8523" s="8" t="s">
        <v>154</v>
      </c>
      <c r="L8523" s="8" t="s">
        <v>13194</v>
      </c>
      <c r="M8523" s="8" t="s">
        <v>13195</v>
      </c>
      <c r="N8523" s="8" t="s">
        <v>16720</v>
      </c>
      <c r="O8523" s="8">
        <f>11+22/60+14.8/3600</f>
        <v>11.370777777777779</v>
      </c>
      <c r="P8523" s="8" t="s">
        <v>16721</v>
      </c>
      <c r="Q8523" s="8">
        <f>+(20+12/60+31/3600)</f>
        <v>20.208611111111111</v>
      </c>
      <c r="R8523" s="8">
        <v>13.7</v>
      </c>
      <c r="S8523" s="8">
        <v>14.6</v>
      </c>
      <c r="T8523" s="8">
        <v>0.9</v>
      </c>
      <c r="U8523" s="8">
        <v>13.4</v>
      </c>
      <c r="V8523" s="8">
        <v>1.4</v>
      </c>
      <c r="W8523" s="8">
        <v>0.6</v>
      </c>
      <c r="X8523" s="8">
        <v>140</v>
      </c>
      <c r="Y8523" s="8" t="s">
        <v>37396</v>
      </c>
      <c r="Z8523" s="8" t="s">
        <v>37397</v>
      </c>
    </row>
    <row r="8524" spans="1:26" x14ac:dyDescent="0.2">
      <c r="A8524" s="8">
        <v>8523</v>
      </c>
      <c r="B8524" s="8" t="s">
        <v>37398</v>
      </c>
      <c r="C8524" s="8" t="s">
        <v>37398</v>
      </c>
      <c r="G8524" s="8">
        <v>20</v>
      </c>
      <c r="H8524" s="8" t="s">
        <v>21</v>
      </c>
      <c r="I8524" s="8" t="s">
        <v>22</v>
      </c>
      <c r="J8524" s="8" t="s">
        <v>22</v>
      </c>
      <c r="K8524" s="8" t="s">
        <v>382</v>
      </c>
      <c r="L8524" s="8" t="s">
        <v>13194</v>
      </c>
      <c r="M8524" s="8" t="s">
        <v>13195</v>
      </c>
      <c r="N8524" s="8" t="s">
        <v>37399</v>
      </c>
      <c r="O8524" s="8">
        <f>11+21/60+31.7/3600</f>
        <v>11.358805555555556</v>
      </c>
      <c r="P8524" s="8" t="s">
        <v>37400</v>
      </c>
      <c r="Q8524" s="8">
        <f>+(2+45/60+8/3600)</f>
        <v>2.7522222222222221</v>
      </c>
      <c r="R8524" s="8">
        <v>14</v>
      </c>
      <c r="S8524" s="8">
        <v>15</v>
      </c>
      <c r="T8524" s="8">
        <v>1</v>
      </c>
      <c r="U8524" s="8">
        <v>13.3</v>
      </c>
      <c r="V8524" s="8">
        <v>0.8</v>
      </c>
      <c r="W8524" s="8">
        <v>0.6</v>
      </c>
      <c r="Y8524" s="8" t="s">
        <v>37401</v>
      </c>
      <c r="Z8524" s="8" t="s">
        <v>37402</v>
      </c>
    </row>
    <row r="8525" spans="1:26" x14ac:dyDescent="0.2">
      <c r="A8525" s="8">
        <v>8524</v>
      </c>
      <c r="B8525" s="8" t="s">
        <v>37403</v>
      </c>
      <c r="C8525" s="8" t="s">
        <v>37403</v>
      </c>
      <c r="G8525" s="8">
        <v>20</v>
      </c>
      <c r="H8525" s="8" t="s">
        <v>21</v>
      </c>
      <c r="I8525" s="8" t="s">
        <v>22</v>
      </c>
      <c r="J8525" s="8" t="s">
        <v>57</v>
      </c>
      <c r="K8525" s="8" t="s">
        <v>91</v>
      </c>
      <c r="L8525" s="8" t="s">
        <v>13194</v>
      </c>
      <c r="M8525" s="8" t="s">
        <v>13195</v>
      </c>
      <c r="N8525" s="8" t="s">
        <v>16702</v>
      </c>
      <c r="O8525" s="8">
        <f>11+21/60+32.9/3600</f>
        <v>11.359138888888889</v>
      </c>
      <c r="P8525" s="8" t="s">
        <v>16703</v>
      </c>
      <c r="Q8525" s="8">
        <f>+(2+48/60+37/3600)</f>
        <v>2.8102777777777774</v>
      </c>
      <c r="R8525" s="8">
        <v>13.7</v>
      </c>
      <c r="S8525" s="8">
        <v>14.6</v>
      </c>
      <c r="T8525" s="8">
        <v>0.9</v>
      </c>
      <c r="U8525" s="8">
        <v>13.6</v>
      </c>
      <c r="V8525" s="8">
        <v>1.5</v>
      </c>
      <c r="W8525" s="8">
        <v>0.7</v>
      </c>
      <c r="X8525" s="8">
        <v>63</v>
      </c>
      <c r="Y8525" s="8" t="s">
        <v>37404</v>
      </c>
      <c r="Z8525" s="8" t="s">
        <v>37405</v>
      </c>
    </row>
    <row r="8526" spans="1:26" x14ac:dyDescent="0.2">
      <c r="A8526" s="8">
        <v>8525</v>
      </c>
      <c r="B8526" s="8" t="s">
        <v>37406</v>
      </c>
      <c r="C8526" s="8" t="s">
        <v>37406</v>
      </c>
      <c r="G8526" s="8">
        <v>20</v>
      </c>
      <c r="H8526" s="8" t="s">
        <v>21</v>
      </c>
      <c r="I8526" s="8" t="s">
        <v>22</v>
      </c>
      <c r="J8526" s="8" t="s">
        <v>22</v>
      </c>
      <c r="K8526" s="8" t="s">
        <v>382</v>
      </c>
      <c r="L8526" s="8" t="s">
        <v>13194</v>
      </c>
      <c r="M8526" s="8" t="s">
        <v>13195</v>
      </c>
      <c r="N8526" s="8" t="s">
        <v>37407</v>
      </c>
      <c r="O8526" s="8">
        <f>11+22/60+6.5/3600</f>
        <v>11.368472222222223</v>
      </c>
      <c r="P8526" s="8" t="s">
        <v>37408</v>
      </c>
      <c r="Q8526" s="8">
        <f>+(17+45/60+15/3600)</f>
        <v>17.754166666666666</v>
      </c>
      <c r="R8526" s="8">
        <v>15.2</v>
      </c>
      <c r="S8526" s="8">
        <v>16.2</v>
      </c>
      <c r="T8526" s="8">
        <v>1</v>
      </c>
      <c r="U8526" s="8">
        <v>13</v>
      </c>
      <c r="V8526" s="8">
        <v>0.4</v>
      </c>
      <c r="W8526" s="8">
        <v>0.3</v>
      </c>
      <c r="X8526" s="8">
        <v>169</v>
      </c>
      <c r="Y8526" s="8" t="s">
        <v>37409</v>
      </c>
      <c r="Z8526" s="8" t="s">
        <v>37410</v>
      </c>
    </row>
    <row r="8527" spans="1:26" x14ac:dyDescent="0.2">
      <c r="A8527" s="8">
        <v>8526</v>
      </c>
      <c r="B8527" s="8" t="s">
        <v>37411</v>
      </c>
      <c r="C8527" s="8" t="s">
        <v>37411</v>
      </c>
      <c r="G8527" s="8">
        <v>20</v>
      </c>
      <c r="H8527" s="8" t="s">
        <v>21</v>
      </c>
      <c r="I8527" s="8" t="s">
        <v>22</v>
      </c>
      <c r="J8527" s="8" t="s">
        <v>22</v>
      </c>
      <c r="K8527" s="8" t="s">
        <v>449</v>
      </c>
      <c r="L8527" s="8" t="s">
        <v>13194</v>
      </c>
      <c r="M8527" s="8" t="s">
        <v>13195</v>
      </c>
      <c r="N8527" s="8" t="s">
        <v>37412</v>
      </c>
      <c r="O8527" s="8">
        <f>11+23/60+5.1/3600</f>
        <v>11.38475</v>
      </c>
      <c r="P8527" s="8" t="s">
        <v>37413</v>
      </c>
      <c r="Q8527" s="8">
        <f>+(5+38/60+39/3600)</f>
        <v>5.6441666666666661</v>
      </c>
      <c r="R8527" s="8">
        <v>14.5</v>
      </c>
      <c r="S8527" s="8">
        <v>15.3</v>
      </c>
      <c r="T8527" s="8">
        <v>0.8</v>
      </c>
      <c r="U8527" s="8">
        <v>11.6</v>
      </c>
      <c r="V8527" s="8">
        <v>0.4</v>
      </c>
      <c r="W8527" s="8">
        <v>0.2</v>
      </c>
      <c r="X8527" s="8">
        <v>30</v>
      </c>
      <c r="Y8527" s="8" t="s">
        <v>1359</v>
      </c>
      <c r="Z8527" s="8" t="s">
        <v>1360</v>
      </c>
    </row>
    <row r="8528" spans="1:26" x14ac:dyDescent="0.2">
      <c r="A8528" s="8">
        <v>8527</v>
      </c>
      <c r="B8528" s="8" t="s">
        <v>37414</v>
      </c>
      <c r="C8528" s="8" t="s">
        <v>37414</v>
      </c>
      <c r="G8528" s="8">
        <v>20</v>
      </c>
      <c r="H8528" s="8" t="s">
        <v>21</v>
      </c>
      <c r="I8528" s="8" t="s">
        <v>22</v>
      </c>
      <c r="J8528" s="8" t="s">
        <v>22</v>
      </c>
      <c r="K8528" s="8" t="s">
        <v>476</v>
      </c>
      <c r="L8528" s="8" t="s">
        <v>12015</v>
      </c>
      <c r="M8528" s="8" t="s">
        <v>12016</v>
      </c>
      <c r="N8528" s="8" t="s">
        <v>37415</v>
      </c>
      <c r="O8528" s="8">
        <f>11+24/60+17.3/3600</f>
        <v>11.404805555555557</v>
      </c>
      <c r="P8528" s="8" t="s">
        <v>37416</v>
      </c>
      <c r="Q8528" s="8">
        <f>+(47+50/60+53/3600)</f>
        <v>47.848055555555561</v>
      </c>
      <c r="R8528" s="8">
        <v>14.3</v>
      </c>
      <c r="S8528" s="8">
        <v>15.2</v>
      </c>
      <c r="T8528" s="8">
        <v>0.9</v>
      </c>
      <c r="U8528" s="8">
        <v>13.7</v>
      </c>
      <c r="V8528" s="8">
        <v>0.8</v>
      </c>
      <c r="W8528" s="8">
        <v>0.8</v>
      </c>
      <c r="Y8528" s="8" t="s">
        <v>37417</v>
      </c>
      <c r="Z8528" s="8" t="s">
        <v>37418</v>
      </c>
    </row>
    <row r="8529" spans="1:26" x14ac:dyDescent="0.2">
      <c r="A8529" s="8">
        <v>8528</v>
      </c>
      <c r="B8529" s="8" t="s">
        <v>37419</v>
      </c>
      <c r="C8529" s="8" t="s">
        <v>37419</v>
      </c>
      <c r="G8529" s="8">
        <v>20</v>
      </c>
      <c r="H8529" s="8" t="s">
        <v>21</v>
      </c>
      <c r="I8529" s="8" t="s">
        <v>22</v>
      </c>
      <c r="J8529" s="8" t="s">
        <v>22</v>
      </c>
      <c r="K8529" s="8" t="s">
        <v>37</v>
      </c>
      <c r="L8529" s="8" t="s">
        <v>15699</v>
      </c>
      <c r="M8529" s="8" t="s">
        <v>15700</v>
      </c>
      <c r="N8529" s="8" t="s">
        <v>37420</v>
      </c>
      <c r="O8529" s="8">
        <f>11+23/60+40/3600</f>
        <v>11.394444444444444</v>
      </c>
      <c r="P8529" s="8" t="s">
        <v>37421</v>
      </c>
      <c r="Q8529" s="8">
        <f>-(9+47/60+45/3600)</f>
        <v>-9.7958333333333325</v>
      </c>
      <c r="R8529" s="8">
        <v>14.5</v>
      </c>
      <c r="S8529" s="8">
        <v>15.5</v>
      </c>
      <c r="T8529" s="8">
        <v>1</v>
      </c>
      <c r="U8529" s="8">
        <v>12.7</v>
      </c>
      <c r="V8529" s="8">
        <v>0.7</v>
      </c>
      <c r="W8529" s="8">
        <v>0.3</v>
      </c>
      <c r="X8529" s="8">
        <v>110</v>
      </c>
      <c r="Y8529" s="8" t="s">
        <v>385</v>
      </c>
      <c r="Z8529" s="8" t="s">
        <v>386</v>
      </c>
    </row>
    <row r="8530" spans="1:26" x14ac:dyDescent="0.2">
      <c r="A8530" s="8">
        <v>8529</v>
      </c>
      <c r="B8530" s="8" t="s">
        <v>37422</v>
      </c>
      <c r="C8530" s="8" t="s">
        <v>37422</v>
      </c>
      <c r="G8530" s="8">
        <v>20</v>
      </c>
      <c r="H8530" s="8" t="s">
        <v>21</v>
      </c>
      <c r="I8530" s="8" t="s">
        <v>22</v>
      </c>
      <c r="J8530" s="8" t="s">
        <v>57</v>
      </c>
      <c r="K8530" s="8" t="s">
        <v>632</v>
      </c>
      <c r="L8530" s="8" t="s">
        <v>15699</v>
      </c>
      <c r="M8530" s="8" t="s">
        <v>15700</v>
      </c>
      <c r="N8530" s="8" t="s">
        <v>16780</v>
      </c>
      <c r="O8530" s="8">
        <f>11+23/60+38.3/3600</f>
        <v>11.393972222222223</v>
      </c>
      <c r="P8530" s="8" t="s">
        <v>16781</v>
      </c>
      <c r="Q8530" s="8">
        <f>-(13+49/60+51/3600)</f>
        <v>-13.830833333333333</v>
      </c>
      <c r="R8530" s="8">
        <v>13.1</v>
      </c>
      <c r="S8530" s="8">
        <v>14</v>
      </c>
      <c r="T8530" s="8">
        <v>0.9</v>
      </c>
      <c r="U8530" s="8">
        <v>12.9</v>
      </c>
      <c r="V8530" s="8">
        <v>1.6</v>
      </c>
      <c r="W8530" s="8">
        <v>0.6</v>
      </c>
      <c r="X8530" s="8">
        <v>137</v>
      </c>
      <c r="Y8530" s="8" t="s">
        <v>34789</v>
      </c>
      <c r="Z8530" s="8" t="s">
        <v>37423</v>
      </c>
    </row>
    <row r="8531" spans="1:26" x14ac:dyDescent="0.2">
      <c r="A8531" s="8">
        <v>8530</v>
      </c>
      <c r="B8531" s="8" t="s">
        <v>37424</v>
      </c>
      <c r="C8531" s="8" t="s">
        <v>37424</v>
      </c>
      <c r="G8531" s="8">
        <v>20</v>
      </c>
      <c r="H8531" s="8" t="s">
        <v>21</v>
      </c>
      <c r="I8531" s="8" t="s">
        <v>22</v>
      </c>
      <c r="J8531" s="8" t="s">
        <v>22</v>
      </c>
      <c r="K8531" s="8" t="s">
        <v>449</v>
      </c>
      <c r="L8531" s="8" t="s">
        <v>15699</v>
      </c>
      <c r="M8531" s="8" t="s">
        <v>15700</v>
      </c>
      <c r="N8531" s="8" t="s">
        <v>37425</v>
      </c>
      <c r="O8531" s="8">
        <f>11+24/60+20.5/3600</f>
        <v>11.405694444444444</v>
      </c>
      <c r="P8531" s="8" t="s">
        <v>37426</v>
      </c>
      <c r="Q8531" s="8">
        <f>-(8+20/60+29/3600)</f>
        <v>-8.3413888888888899</v>
      </c>
      <c r="R8531" s="8">
        <v>14.6</v>
      </c>
      <c r="S8531" s="8">
        <v>15.4</v>
      </c>
      <c r="T8531" s="8">
        <v>0.8</v>
      </c>
      <c r="U8531" s="8">
        <v>13</v>
      </c>
      <c r="V8531" s="8">
        <v>0.9</v>
      </c>
      <c r="W8531" s="8">
        <v>0.3</v>
      </c>
      <c r="X8531" s="8">
        <v>170</v>
      </c>
      <c r="Y8531" s="8" t="s">
        <v>21</v>
      </c>
      <c r="Z8531" s="8" t="s">
        <v>37427</v>
      </c>
    </row>
    <row r="8532" spans="1:26" x14ac:dyDescent="0.2">
      <c r="A8532" s="8">
        <v>8531</v>
      </c>
      <c r="B8532" s="8" t="s">
        <v>37428</v>
      </c>
      <c r="C8532" s="8" t="s">
        <v>37428</v>
      </c>
      <c r="G8532" s="8">
        <v>20</v>
      </c>
      <c r="H8532" s="8" t="s">
        <v>21</v>
      </c>
      <c r="I8532" s="8" t="s">
        <v>22</v>
      </c>
      <c r="J8532" s="8" t="s">
        <v>22</v>
      </c>
      <c r="K8532" s="8" t="s">
        <v>1174</v>
      </c>
      <c r="L8532" s="8" t="s">
        <v>12015</v>
      </c>
      <c r="M8532" s="8" t="s">
        <v>12016</v>
      </c>
      <c r="N8532" s="8" t="s">
        <v>37429</v>
      </c>
      <c r="O8532" s="8">
        <f>11+26/60+44/3600</f>
        <v>11.445555555555556</v>
      </c>
      <c r="P8532" s="8" t="s">
        <v>37430</v>
      </c>
      <c r="Q8532" s="8">
        <f>+(59+9/60+20/3600)</f>
        <v>59.155555555555551</v>
      </c>
      <c r="R8532" s="8">
        <v>13.9</v>
      </c>
      <c r="S8532" s="8">
        <v>14.5</v>
      </c>
      <c r="T8532" s="8">
        <v>0.6</v>
      </c>
      <c r="U8532" s="8">
        <v>12.4</v>
      </c>
      <c r="V8532" s="8">
        <v>0.6</v>
      </c>
      <c r="W8532" s="8">
        <v>0.4</v>
      </c>
      <c r="X8532" s="8">
        <v>150</v>
      </c>
      <c r="Y8532" s="8" t="s">
        <v>37431</v>
      </c>
      <c r="Z8532" s="8" t="s">
        <v>37432</v>
      </c>
    </row>
    <row r="8533" spans="1:26" x14ac:dyDescent="0.2">
      <c r="A8533" s="8">
        <v>8532</v>
      </c>
      <c r="B8533" s="8" t="s">
        <v>37433</v>
      </c>
      <c r="C8533" s="8" t="s">
        <v>37433</v>
      </c>
      <c r="G8533" s="8">
        <v>20</v>
      </c>
      <c r="H8533" s="8" t="s">
        <v>21</v>
      </c>
      <c r="I8533" s="8" t="s">
        <v>22</v>
      </c>
      <c r="J8533" s="8" t="s">
        <v>22</v>
      </c>
      <c r="K8533" s="8" t="s">
        <v>449</v>
      </c>
      <c r="L8533" s="8" t="s">
        <v>13194</v>
      </c>
      <c r="M8533" s="8" t="s">
        <v>13195</v>
      </c>
      <c r="N8533" s="8" t="s">
        <v>37434</v>
      </c>
      <c r="O8533" s="8">
        <f>11+25/60+53.5/3600</f>
        <v>11.431527777777777</v>
      </c>
      <c r="P8533" s="8" t="s">
        <v>37435</v>
      </c>
      <c r="Q8533" s="8">
        <f>+(9+59/60+15/3600)</f>
        <v>9.9874999999999989</v>
      </c>
      <c r="R8533" s="8">
        <v>13.6</v>
      </c>
      <c r="S8533" s="8">
        <v>14.4</v>
      </c>
      <c r="T8533" s="8">
        <v>0.8</v>
      </c>
      <c r="U8533" s="8">
        <v>12.3</v>
      </c>
      <c r="V8533" s="8">
        <v>0.7</v>
      </c>
      <c r="W8533" s="8">
        <v>0.5</v>
      </c>
      <c r="X8533" s="8">
        <v>125</v>
      </c>
      <c r="Y8533" s="8" t="s">
        <v>21</v>
      </c>
      <c r="Z8533" s="8" t="s">
        <v>37436</v>
      </c>
    </row>
    <row r="8534" spans="1:26" x14ac:dyDescent="0.2">
      <c r="A8534" s="8">
        <v>8533</v>
      </c>
      <c r="B8534" s="8" t="s">
        <v>37437</v>
      </c>
      <c r="C8534" s="8" t="s">
        <v>37437</v>
      </c>
      <c r="G8534" s="8">
        <v>20</v>
      </c>
      <c r="H8534" s="8" t="s">
        <v>21</v>
      </c>
      <c r="I8534" s="8" t="s">
        <v>22</v>
      </c>
      <c r="J8534" s="8" t="s">
        <v>22</v>
      </c>
      <c r="K8534" s="8" t="s">
        <v>31</v>
      </c>
      <c r="L8534" s="8" t="s">
        <v>13194</v>
      </c>
      <c r="M8534" s="8" t="s">
        <v>13195</v>
      </c>
      <c r="N8534" s="8" t="s">
        <v>37438</v>
      </c>
      <c r="O8534" s="8">
        <f>11+26/60+48.6/3600</f>
        <v>11.446833333333334</v>
      </c>
      <c r="P8534" s="8" t="s">
        <v>37439</v>
      </c>
      <c r="Q8534" s="8">
        <f>-(5+0/60+16/3600)</f>
        <v>-5.0044444444444443</v>
      </c>
      <c r="R8534" s="8">
        <v>14.8</v>
      </c>
      <c r="S8534" s="8">
        <v>15.6</v>
      </c>
      <c r="T8534" s="8">
        <v>0.8</v>
      </c>
      <c r="U8534" s="8">
        <v>13.3</v>
      </c>
      <c r="V8534" s="8">
        <v>0.7</v>
      </c>
      <c r="W8534" s="8">
        <v>0.4</v>
      </c>
      <c r="X8534" s="8">
        <v>90</v>
      </c>
      <c r="Y8534" s="8" t="s">
        <v>37440</v>
      </c>
      <c r="Z8534" s="8" t="s">
        <v>37441</v>
      </c>
    </row>
    <row r="8535" spans="1:26" x14ac:dyDescent="0.2">
      <c r="A8535" s="8">
        <v>8534</v>
      </c>
      <c r="B8535" s="8" t="s">
        <v>37442</v>
      </c>
      <c r="C8535" s="8" t="s">
        <v>37442</v>
      </c>
      <c r="G8535" s="8">
        <v>12</v>
      </c>
      <c r="H8535" s="8" t="s">
        <v>21</v>
      </c>
      <c r="I8535" s="8" t="s">
        <v>22</v>
      </c>
      <c r="J8535" s="8" t="s">
        <v>22</v>
      </c>
      <c r="K8535" s="8" t="s">
        <v>58</v>
      </c>
      <c r="L8535" s="8" t="s">
        <v>12015</v>
      </c>
      <c r="M8535" s="8" t="s">
        <v>12016</v>
      </c>
      <c r="N8535" s="8" t="s">
        <v>37443</v>
      </c>
      <c r="O8535" s="8">
        <f>11+28/60+27.2/3600</f>
        <v>11.474222222222222</v>
      </c>
      <c r="P8535" s="8" t="s">
        <v>37444</v>
      </c>
      <c r="Q8535" s="8">
        <f>+(58+34/60+43/3600)</f>
        <v>58.578611111111115</v>
      </c>
      <c r="R8535" s="8">
        <v>15</v>
      </c>
      <c r="S8535" s="8">
        <v>16</v>
      </c>
      <c r="T8535" s="8">
        <v>1</v>
      </c>
      <c r="U8535" s="8">
        <v>12.5</v>
      </c>
      <c r="V8535" s="8">
        <v>0.3</v>
      </c>
      <c r="W8535" s="8">
        <v>0.3</v>
      </c>
      <c r="Y8535" s="8" t="s">
        <v>37445</v>
      </c>
      <c r="Z8535" s="8" t="s">
        <v>37446</v>
      </c>
    </row>
    <row r="8536" spans="1:26" x14ac:dyDescent="0.2">
      <c r="A8536" s="8">
        <v>8535</v>
      </c>
      <c r="B8536" s="8" t="s">
        <v>37447</v>
      </c>
      <c r="C8536" s="8" t="s">
        <v>37447</v>
      </c>
      <c r="G8536" s="8">
        <v>20</v>
      </c>
      <c r="H8536" s="8" t="s">
        <v>21</v>
      </c>
      <c r="I8536" s="8" t="s">
        <v>22</v>
      </c>
      <c r="J8536" s="8" t="s">
        <v>22</v>
      </c>
      <c r="K8536" s="8" t="s">
        <v>449</v>
      </c>
      <c r="L8536" s="8" t="s">
        <v>15699</v>
      </c>
      <c r="M8536" s="8" t="s">
        <v>15700</v>
      </c>
      <c r="N8536" s="8" t="s">
        <v>37448</v>
      </c>
      <c r="O8536" s="8">
        <f>11+27/60+58.3/3600</f>
        <v>11.466194444444444</v>
      </c>
      <c r="P8536" s="8" t="s">
        <v>37449</v>
      </c>
      <c r="Q8536" s="8">
        <f>-(11+42/60+55/3600)</f>
        <v>-11.715277777777777</v>
      </c>
      <c r="R8536" s="8">
        <v>14.9</v>
      </c>
      <c r="S8536" s="8">
        <v>15.7</v>
      </c>
      <c r="T8536" s="8">
        <v>0.8</v>
      </c>
      <c r="U8536" s="8">
        <v>12.8</v>
      </c>
      <c r="V8536" s="8">
        <v>0.8</v>
      </c>
      <c r="W8536" s="8">
        <v>0.2</v>
      </c>
      <c r="X8536" s="8">
        <v>85</v>
      </c>
      <c r="Y8536" s="8" t="s">
        <v>37450</v>
      </c>
      <c r="Z8536" s="8" t="s">
        <v>37451</v>
      </c>
    </row>
    <row r="8537" spans="1:26" x14ac:dyDescent="0.2">
      <c r="A8537" s="8">
        <v>8536</v>
      </c>
      <c r="B8537" s="8" t="s">
        <v>37452</v>
      </c>
      <c r="C8537" s="8" t="s">
        <v>37452</v>
      </c>
      <c r="G8537" s="8">
        <v>20</v>
      </c>
      <c r="H8537" s="8" t="s">
        <v>21</v>
      </c>
      <c r="I8537" s="8" t="s">
        <v>22</v>
      </c>
      <c r="J8537" s="8" t="s">
        <v>22</v>
      </c>
      <c r="K8537" s="8" t="s">
        <v>773</v>
      </c>
      <c r="L8537" s="8" t="s">
        <v>13194</v>
      </c>
      <c r="M8537" s="8" t="s">
        <v>13195</v>
      </c>
      <c r="N8537" s="8" t="s">
        <v>37453</v>
      </c>
      <c r="O8537" s="8">
        <f>11+28/60+39.9/3600</f>
        <v>11.47775</v>
      </c>
      <c r="P8537" s="8" t="s">
        <v>37454</v>
      </c>
      <c r="Q8537" s="8">
        <f>+(9+5/60+57/3600)</f>
        <v>9.0991666666666671</v>
      </c>
      <c r="R8537" s="8">
        <v>13.6</v>
      </c>
      <c r="S8537" s="8">
        <v>14.2</v>
      </c>
      <c r="T8537" s="8">
        <v>0.6</v>
      </c>
      <c r="U8537" s="8">
        <v>13.3</v>
      </c>
      <c r="V8537" s="8">
        <v>1</v>
      </c>
      <c r="W8537" s="8">
        <v>0.9</v>
      </c>
      <c r="X8537" s="8">
        <v>144</v>
      </c>
      <c r="Y8537" s="8" t="s">
        <v>37455</v>
      </c>
      <c r="Z8537" s="8" t="s">
        <v>13629</v>
      </c>
    </row>
    <row r="8538" spans="1:26" x14ac:dyDescent="0.2">
      <c r="A8538" s="8">
        <v>8537</v>
      </c>
      <c r="B8538" s="8" t="s">
        <v>37456</v>
      </c>
      <c r="C8538" s="8" t="s">
        <v>37456</v>
      </c>
      <c r="G8538" s="8">
        <v>20</v>
      </c>
      <c r="H8538" s="8" t="s">
        <v>21</v>
      </c>
      <c r="I8538" s="8" t="s">
        <v>22</v>
      </c>
      <c r="J8538" s="8" t="s">
        <v>22</v>
      </c>
      <c r="K8538" s="8" t="s">
        <v>37</v>
      </c>
      <c r="L8538" s="8" t="s">
        <v>13194</v>
      </c>
      <c r="M8538" s="8" t="s">
        <v>13195</v>
      </c>
      <c r="N8538" s="8" t="s">
        <v>37457</v>
      </c>
      <c r="O8538" s="8">
        <f>11+28/60+34.4/3600</f>
        <v>11.476222222222223</v>
      </c>
      <c r="P8538" s="8" t="s">
        <v>37458</v>
      </c>
      <c r="Q8538" s="8">
        <f>-(1+37/60+44/3600)</f>
        <v>-1.6288888888888888</v>
      </c>
      <c r="R8538" s="8">
        <v>14.3</v>
      </c>
      <c r="S8538" s="8">
        <v>15.3</v>
      </c>
      <c r="T8538" s="8">
        <v>1</v>
      </c>
      <c r="U8538" s="8">
        <v>11.4</v>
      </c>
      <c r="V8538" s="8">
        <v>0.4</v>
      </c>
      <c r="W8538" s="8">
        <v>0.2</v>
      </c>
      <c r="X8538" s="8">
        <v>135</v>
      </c>
      <c r="Y8538" s="8" t="s">
        <v>6420</v>
      </c>
      <c r="Z8538" s="8" t="s">
        <v>6421</v>
      </c>
    </row>
    <row r="8539" spans="1:26" x14ac:dyDescent="0.2">
      <c r="A8539" s="8">
        <v>8538</v>
      </c>
      <c r="B8539" s="8" t="s">
        <v>37459</v>
      </c>
      <c r="C8539" s="8" t="s">
        <v>37459</v>
      </c>
      <c r="G8539" s="8">
        <v>20</v>
      </c>
      <c r="H8539" s="8" t="s">
        <v>21</v>
      </c>
      <c r="I8539" s="8" t="s">
        <v>22</v>
      </c>
      <c r="J8539" s="8" t="s">
        <v>22</v>
      </c>
      <c r="K8539" s="8" t="s">
        <v>37</v>
      </c>
      <c r="L8539" s="8" t="s">
        <v>13194</v>
      </c>
      <c r="M8539" s="8" t="s">
        <v>13195</v>
      </c>
      <c r="N8539" s="8" t="s">
        <v>37460</v>
      </c>
      <c r="O8539" s="8">
        <f>11+29/60+3.6/3600</f>
        <v>11.484333333333332</v>
      </c>
      <c r="P8539" s="8" t="s">
        <v>37461</v>
      </c>
      <c r="Q8539" s="8">
        <f>+(9+6/60+45/3600)</f>
        <v>9.1124999999999989</v>
      </c>
      <c r="R8539" s="8">
        <v>13.4</v>
      </c>
      <c r="S8539" s="8">
        <v>14.4</v>
      </c>
      <c r="T8539" s="8">
        <v>1</v>
      </c>
      <c r="U8539" s="8">
        <v>12.5</v>
      </c>
      <c r="V8539" s="8">
        <v>1</v>
      </c>
      <c r="W8539" s="8">
        <v>0.5</v>
      </c>
      <c r="X8539" s="8">
        <v>147</v>
      </c>
      <c r="Y8539" s="8" t="s">
        <v>3952</v>
      </c>
      <c r="Z8539" s="8" t="s">
        <v>3953</v>
      </c>
    </row>
    <row r="8540" spans="1:26" x14ac:dyDescent="0.2">
      <c r="A8540" s="8">
        <v>8539</v>
      </c>
      <c r="B8540" s="8" t="s">
        <v>37462</v>
      </c>
      <c r="C8540" s="8" t="s">
        <v>37462</v>
      </c>
      <c r="G8540" s="8">
        <v>20</v>
      </c>
      <c r="H8540" s="8" t="s">
        <v>21</v>
      </c>
      <c r="I8540" s="8" t="s">
        <v>22</v>
      </c>
      <c r="J8540" s="8" t="s">
        <v>22</v>
      </c>
      <c r="K8540" s="8" t="s">
        <v>23</v>
      </c>
      <c r="L8540" s="8" t="s">
        <v>13194</v>
      </c>
      <c r="M8540" s="8" t="s">
        <v>13195</v>
      </c>
      <c r="N8540" s="8" t="s">
        <v>37463</v>
      </c>
      <c r="O8540" s="8">
        <f>11+29/60+6.5/3600</f>
        <v>11.485138888888889</v>
      </c>
      <c r="P8540" s="8" t="s">
        <v>37464</v>
      </c>
      <c r="Q8540" s="8">
        <f>+(8+59/60+21/3600)</f>
        <v>8.9891666666666659</v>
      </c>
      <c r="R8540" s="8">
        <v>13.9</v>
      </c>
      <c r="S8540" s="8">
        <v>14.7</v>
      </c>
      <c r="T8540" s="8">
        <v>0.8</v>
      </c>
      <c r="U8540" s="8">
        <v>12.9</v>
      </c>
      <c r="V8540" s="8">
        <v>1.2</v>
      </c>
      <c r="W8540" s="8">
        <v>0.3</v>
      </c>
      <c r="X8540" s="8">
        <v>12</v>
      </c>
      <c r="Y8540" s="8" t="s">
        <v>37465</v>
      </c>
      <c r="Z8540" s="8" t="s">
        <v>37466</v>
      </c>
    </row>
    <row r="8541" spans="1:26" x14ac:dyDescent="0.2">
      <c r="A8541" s="8">
        <v>8540</v>
      </c>
      <c r="B8541" s="8" t="s">
        <v>37467</v>
      </c>
      <c r="C8541" s="8" t="s">
        <v>37467</v>
      </c>
      <c r="G8541" s="8">
        <v>20</v>
      </c>
      <c r="H8541" s="8" t="s">
        <v>21</v>
      </c>
      <c r="I8541" s="8" t="s">
        <v>22</v>
      </c>
      <c r="J8541" s="8" t="s">
        <v>22</v>
      </c>
      <c r="K8541" s="8" t="s">
        <v>91</v>
      </c>
      <c r="L8541" s="8" t="s">
        <v>13194</v>
      </c>
      <c r="M8541" s="8" t="s">
        <v>13195</v>
      </c>
      <c r="N8541" s="8" t="s">
        <v>37468</v>
      </c>
      <c r="O8541" s="8">
        <f>11+29/60+15.2/3600</f>
        <v>11.487555555555554</v>
      </c>
      <c r="P8541" s="8" t="s">
        <v>37469</v>
      </c>
      <c r="Q8541" s="8">
        <f>+(20+34/60+58/3600)</f>
        <v>20.582777777777778</v>
      </c>
      <c r="R8541" s="8">
        <v>13.1</v>
      </c>
      <c r="S8541" s="8">
        <v>14</v>
      </c>
      <c r="T8541" s="8">
        <v>0.9</v>
      </c>
      <c r="U8541" s="8">
        <v>11.7</v>
      </c>
      <c r="V8541" s="8">
        <v>1</v>
      </c>
      <c r="W8541" s="8">
        <v>0.5</v>
      </c>
      <c r="X8541" s="8">
        <v>59</v>
      </c>
      <c r="Y8541" s="8" t="s">
        <v>37470</v>
      </c>
      <c r="Z8541" s="8" t="s">
        <v>37471</v>
      </c>
    </row>
    <row r="8542" spans="1:26" x14ac:dyDescent="0.2">
      <c r="A8542" s="8">
        <v>8541</v>
      </c>
      <c r="B8542" s="8" t="s">
        <v>37472</v>
      </c>
      <c r="C8542" s="8" t="s">
        <v>37472</v>
      </c>
      <c r="G8542" s="8">
        <v>20</v>
      </c>
      <c r="H8542" s="8" t="s">
        <v>21</v>
      </c>
      <c r="I8542" s="8" t="s">
        <v>22</v>
      </c>
      <c r="J8542" s="8" t="s">
        <v>22</v>
      </c>
      <c r="K8542" s="8" t="s">
        <v>15809</v>
      </c>
      <c r="L8542" s="8" t="s">
        <v>13194</v>
      </c>
      <c r="M8542" s="8" t="s">
        <v>13195</v>
      </c>
      <c r="N8542" s="8" t="s">
        <v>37473</v>
      </c>
      <c r="O8542" s="8">
        <f>11+31/60+0.6/3600</f>
        <v>11.516833333333334</v>
      </c>
      <c r="P8542" s="8" t="s">
        <v>37474</v>
      </c>
      <c r="Q8542" s="8">
        <f>+(20+28/60+11/3600)</f>
        <v>20.46972222222222</v>
      </c>
      <c r="R8542" s="8">
        <v>14.7</v>
      </c>
      <c r="S8542" s="8">
        <v>15.1</v>
      </c>
      <c r="T8542" s="8">
        <v>0.4</v>
      </c>
      <c r="U8542" s="8">
        <v>13.9</v>
      </c>
      <c r="V8542" s="8">
        <v>0.6</v>
      </c>
      <c r="W8542" s="8">
        <v>0.5</v>
      </c>
      <c r="X8542" s="8">
        <v>105</v>
      </c>
      <c r="Y8542" s="8" t="s">
        <v>37475</v>
      </c>
      <c r="Z8542" s="8" t="s">
        <v>37476</v>
      </c>
    </row>
    <row r="8543" spans="1:26" x14ac:dyDescent="0.2">
      <c r="A8543" s="8">
        <v>8542</v>
      </c>
      <c r="B8543" s="8" t="s">
        <v>37477</v>
      </c>
      <c r="C8543" s="8" t="s">
        <v>37477</v>
      </c>
      <c r="G8543" s="8">
        <v>20</v>
      </c>
      <c r="H8543" s="8" t="s">
        <v>21</v>
      </c>
      <c r="I8543" s="8" t="s">
        <v>22</v>
      </c>
      <c r="J8543" s="8" t="s">
        <v>22</v>
      </c>
      <c r="K8543" s="8" t="s">
        <v>449</v>
      </c>
      <c r="L8543" s="8" t="s">
        <v>13194</v>
      </c>
      <c r="M8543" s="8" t="s">
        <v>13195</v>
      </c>
      <c r="N8543" s="8" t="s">
        <v>37478</v>
      </c>
      <c r="O8543" s="8">
        <f>11+30/60+54.6/3600</f>
        <v>11.515166666666667</v>
      </c>
      <c r="P8543" s="8" t="s">
        <v>37479</v>
      </c>
      <c r="Q8543" s="8">
        <f>-(4+55/60+20/3600)</f>
        <v>-4.9222222222222225</v>
      </c>
      <c r="R8543" s="8">
        <v>15.2</v>
      </c>
      <c r="S8543" s="8">
        <v>16</v>
      </c>
      <c r="T8543" s="8">
        <v>0.8</v>
      </c>
      <c r="U8543" s="8">
        <v>13.2</v>
      </c>
      <c r="V8543" s="8">
        <v>0.6</v>
      </c>
      <c r="W8543" s="8">
        <v>0.3</v>
      </c>
      <c r="X8543" s="8">
        <v>130</v>
      </c>
      <c r="Y8543" s="8" t="s">
        <v>37105</v>
      </c>
      <c r="Z8543" s="8" t="s">
        <v>37106</v>
      </c>
    </row>
    <row r="8544" spans="1:26" x14ac:dyDescent="0.2">
      <c r="A8544" s="8">
        <v>8543</v>
      </c>
      <c r="B8544" s="8" t="s">
        <v>37480</v>
      </c>
      <c r="C8544" s="8" t="s">
        <v>37480</v>
      </c>
      <c r="G8544" s="8">
        <v>20</v>
      </c>
      <c r="H8544" s="8" t="s">
        <v>21</v>
      </c>
      <c r="I8544" s="8" t="s">
        <v>329</v>
      </c>
      <c r="J8544" s="8" t="s">
        <v>329</v>
      </c>
      <c r="K8544" s="8" t="s">
        <v>329</v>
      </c>
      <c r="L8544" s="8" t="s">
        <v>15699</v>
      </c>
      <c r="M8544" s="8" t="s">
        <v>15700</v>
      </c>
      <c r="N8544" s="8" t="s">
        <v>37481</v>
      </c>
      <c r="O8544" s="8">
        <f>11+31/60+54/3600</f>
        <v>11.531666666666668</v>
      </c>
      <c r="P8544" s="8" t="s">
        <v>37482</v>
      </c>
      <c r="Q8544" s="8">
        <f>-(11+36/60+0/3600)</f>
        <v>-11.6</v>
      </c>
      <c r="R8544" s="8">
        <v>99</v>
      </c>
      <c r="S8544" s="8">
        <v>99</v>
      </c>
      <c r="T8544" s="8">
        <v>99</v>
      </c>
      <c r="U8544" s="8">
        <v>99</v>
      </c>
      <c r="Y8544" s="8" t="s">
        <v>22212</v>
      </c>
      <c r="Z8544" s="8" t="s">
        <v>22213</v>
      </c>
    </row>
    <row r="8545" spans="1:26" x14ac:dyDescent="0.2">
      <c r="A8545" s="8">
        <v>8544</v>
      </c>
      <c r="B8545" s="8" t="s">
        <v>37483</v>
      </c>
      <c r="C8545" s="8" t="s">
        <v>37483</v>
      </c>
      <c r="G8545" s="8">
        <v>20</v>
      </c>
      <c r="H8545" s="8" t="s">
        <v>21</v>
      </c>
      <c r="I8545" s="8" t="s">
        <v>329</v>
      </c>
      <c r="J8545" s="8" t="s">
        <v>329</v>
      </c>
      <c r="K8545" s="8" t="s">
        <v>329</v>
      </c>
      <c r="L8545" s="8" t="s">
        <v>15699</v>
      </c>
      <c r="M8545" s="8" t="s">
        <v>15700</v>
      </c>
      <c r="N8545" s="8" t="s">
        <v>37484</v>
      </c>
      <c r="O8545" s="8">
        <f>11+32/60+0/3600</f>
        <v>11.533333333333333</v>
      </c>
      <c r="P8545" s="8" t="s">
        <v>37485</v>
      </c>
      <c r="Q8545" s="8">
        <f>-(11+33/60+0/3600)</f>
        <v>-11.55</v>
      </c>
      <c r="R8545" s="8">
        <v>99</v>
      </c>
      <c r="S8545" s="8">
        <v>99</v>
      </c>
      <c r="T8545" s="8">
        <v>99</v>
      </c>
      <c r="U8545" s="8">
        <v>99</v>
      </c>
      <c r="Y8545" s="8" t="s">
        <v>37486</v>
      </c>
      <c r="Z8545" s="8" t="s">
        <v>37487</v>
      </c>
    </row>
    <row r="8546" spans="1:26" x14ac:dyDescent="0.2">
      <c r="A8546" s="8">
        <v>8545</v>
      </c>
      <c r="B8546" s="8" t="s">
        <v>37488</v>
      </c>
      <c r="C8546" s="8" t="s">
        <v>37488</v>
      </c>
      <c r="G8546" s="8">
        <v>20</v>
      </c>
      <c r="H8546" s="8" t="s">
        <v>21</v>
      </c>
      <c r="I8546" s="8" t="s">
        <v>22</v>
      </c>
      <c r="J8546" s="8" t="s">
        <v>22</v>
      </c>
      <c r="K8546" s="8" t="s">
        <v>424</v>
      </c>
      <c r="L8546" s="8" t="s">
        <v>12015</v>
      </c>
      <c r="M8546" s="8" t="s">
        <v>12016</v>
      </c>
      <c r="N8546" s="8" t="s">
        <v>37489</v>
      </c>
      <c r="O8546" s="8">
        <f>11+32/60+56.3/3600</f>
        <v>11.548972222222222</v>
      </c>
      <c r="P8546" s="8" t="s">
        <v>37490</v>
      </c>
      <c r="Q8546" s="8">
        <f>+(50+14/60+32/3600)</f>
        <v>50.242222222222225</v>
      </c>
      <c r="R8546" s="8">
        <v>14.5</v>
      </c>
      <c r="S8546" s="8">
        <v>15.5</v>
      </c>
      <c r="T8546" s="8">
        <v>1</v>
      </c>
      <c r="U8546" s="8">
        <v>13.1</v>
      </c>
      <c r="V8546" s="8">
        <v>0.8</v>
      </c>
      <c r="W8546" s="8">
        <v>0.4</v>
      </c>
      <c r="X8546" s="8">
        <v>27</v>
      </c>
      <c r="Y8546" s="8" t="s">
        <v>15791</v>
      </c>
      <c r="Z8546" s="8" t="s">
        <v>15792</v>
      </c>
    </row>
    <row r="8547" spans="1:26" x14ac:dyDescent="0.2">
      <c r="A8547" s="8">
        <v>8546</v>
      </c>
      <c r="B8547" s="8" t="s">
        <v>37491</v>
      </c>
      <c r="C8547" s="8" t="s">
        <v>37491</v>
      </c>
      <c r="G8547" s="8">
        <v>20</v>
      </c>
      <c r="H8547" s="8" t="s">
        <v>21</v>
      </c>
      <c r="I8547" s="8" t="s">
        <v>22</v>
      </c>
      <c r="J8547" s="8" t="s">
        <v>22</v>
      </c>
      <c r="K8547" s="8" t="s">
        <v>632</v>
      </c>
      <c r="L8547" s="8" t="s">
        <v>15699</v>
      </c>
      <c r="M8547" s="8" t="s">
        <v>15700</v>
      </c>
      <c r="N8547" s="8" t="s">
        <v>37492</v>
      </c>
      <c r="O8547" s="8">
        <f>11+33/60+12.6/3600</f>
        <v>11.553500000000001</v>
      </c>
      <c r="P8547" s="8" t="s">
        <v>37493</v>
      </c>
      <c r="Q8547" s="8">
        <f>-(13+20/60+17/3600)</f>
        <v>-13.338055555555556</v>
      </c>
      <c r="R8547" s="8">
        <v>13.9</v>
      </c>
      <c r="S8547" s="8">
        <v>14.8</v>
      </c>
      <c r="T8547" s="8">
        <v>0.9</v>
      </c>
      <c r="U8547" s="8">
        <v>12.1</v>
      </c>
      <c r="V8547" s="8">
        <v>1.3</v>
      </c>
      <c r="W8547" s="8">
        <v>0.2</v>
      </c>
      <c r="X8547" s="8">
        <v>111</v>
      </c>
      <c r="Y8547" s="8" t="s">
        <v>479</v>
      </c>
      <c r="Z8547" s="8" t="s">
        <v>480</v>
      </c>
    </row>
    <row r="8548" spans="1:26" x14ac:dyDescent="0.2">
      <c r="A8548" s="8">
        <v>8547</v>
      </c>
      <c r="B8548" s="8" t="s">
        <v>37494</v>
      </c>
      <c r="C8548" s="8" t="s">
        <v>37494</v>
      </c>
      <c r="G8548" s="8">
        <v>20</v>
      </c>
      <c r="H8548" s="8" t="s">
        <v>21</v>
      </c>
      <c r="I8548" s="8" t="s">
        <v>22</v>
      </c>
      <c r="J8548" s="8" t="s">
        <v>22</v>
      </c>
      <c r="K8548" s="8" t="s">
        <v>160</v>
      </c>
      <c r="L8548" s="8" t="s">
        <v>13194</v>
      </c>
      <c r="M8548" s="8" t="s">
        <v>13195</v>
      </c>
      <c r="N8548" s="8" t="s">
        <v>37495</v>
      </c>
      <c r="O8548" s="8">
        <f>11+33/60+44.6/3600</f>
        <v>11.56238888888889</v>
      </c>
      <c r="P8548" s="8" t="s">
        <v>37496</v>
      </c>
      <c r="Q8548" s="8">
        <f>+(21+22/60+48/3600)</f>
        <v>21.38</v>
      </c>
      <c r="R8548" s="8">
        <v>13.8</v>
      </c>
      <c r="S8548" s="8">
        <v>14.3</v>
      </c>
      <c r="T8548" s="8">
        <v>0.5</v>
      </c>
      <c r="U8548" s="8">
        <v>12.2</v>
      </c>
      <c r="V8548" s="8">
        <v>0.5</v>
      </c>
      <c r="W8548" s="8">
        <v>0.4</v>
      </c>
      <c r="X8548" s="8">
        <v>18</v>
      </c>
      <c r="Y8548" s="8" t="s">
        <v>24180</v>
      </c>
      <c r="Z8548" s="8" t="s">
        <v>24181</v>
      </c>
    </row>
    <row r="8549" spans="1:26" x14ac:dyDescent="0.2">
      <c r="A8549" s="8">
        <v>8548</v>
      </c>
      <c r="B8549" s="8" t="s">
        <v>37497</v>
      </c>
      <c r="C8549" s="8" t="s">
        <v>37497</v>
      </c>
      <c r="G8549" s="8">
        <v>14</v>
      </c>
      <c r="H8549" s="8" t="s">
        <v>37498</v>
      </c>
      <c r="I8549" s="8" t="s">
        <v>22</v>
      </c>
      <c r="J8549" s="8" t="s">
        <v>22</v>
      </c>
      <c r="K8549" s="8" t="s">
        <v>50</v>
      </c>
      <c r="L8549" s="8" t="s">
        <v>12015</v>
      </c>
      <c r="M8549" s="8" t="s">
        <v>12016</v>
      </c>
      <c r="N8549" s="8" t="s">
        <v>37499</v>
      </c>
      <c r="O8549" s="8">
        <f>11+33/60+59.1/3600</f>
        <v>11.566416666666667</v>
      </c>
      <c r="P8549" s="8" t="s">
        <v>37500</v>
      </c>
      <c r="Q8549" s="8">
        <f>+(49+3/60+44/3600)</f>
        <v>49.062222222222218</v>
      </c>
      <c r="R8549" s="8">
        <v>13</v>
      </c>
      <c r="S8549" s="8">
        <v>14</v>
      </c>
      <c r="T8549" s="8">
        <v>1</v>
      </c>
      <c r="U8549" s="8">
        <v>13.3</v>
      </c>
      <c r="V8549" s="8">
        <v>1.4</v>
      </c>
      <c r="W8549" s="8">
        <v>0.9</v>
      </c>
      <c r="X8549" s="8">
        <v>174</v>
      </c>
      <c r="Y8549" s="8" t="s">
        <v>37501</v>
      </c>
      <c r="Z8549" s="8" t="s">
        <v>1463</v>
      </c>
    </row>
    <row r="8550" spans="1:26" x14ac:dyDescent="0.2">
      <c r="A8550" s="8">
        <v>8549</v>
      </c>
      <c r="B8550" s="8" t="s">
        <v>37502</v>
      </c>
      <c r="C8550" s="8" t="s">
        <v>37502</v>
      </c>
      <c r="G8550" s="8">
        <v>20</v>
      </c>
      <c r="H8550" s="8" t="s">
        <v>21</v>
      </c>
      <c r="I8550" s="8" t="s">
        <v>22</v>
      </c>
      <c r="J8550" s="8" t="s">
        <v>22</v>
      </c>
      <c r="K8550" s="8" t="s">
        <v>818</v>
      </c>
      <c r="L8550" s="8" t="s">
        <v>12015</v>
      </c>
      <c r="M8550" s="8" t="s">
        <v>12016</v>
      </c>
      <c r="N8550" s="8" t="s">
        <v>37503</v>
      </c>
      <c r="O8550" s="8">
        <f>11+34/60+14.5/3600</f>
        <v>11.570694444444444</v>
      </c>
      <c r="P8550" s="8" t="s">
        <v>37504</v>
      </c>
      <c r="Q8550" s="8">
        <f>+(49+2/60+37/3600)</f>
        <v>49.043611111111112</v>
      </c>
      <c r="R8550" s="8">
        <v>13.9</v>
      </c>
      <c r="S8550" s="8">
        <v>14.9</v>
      </c>
      <c r="T8550" s="8">
        <v>1</v>
      </c>
      <c r="U8550" s="8">
        <v>12.9</v>
      </c>
      <c r="V8550" s="8">
        <v>0.6</v>
      </c>
      <c r="W8550" s="8">
        <v>0.6</v>
      </c>
      <c r="Y8550" s="8" t="s">
        <v>26483</v>
      </c>
      <c r="Z8550" s="8" t="s">
        <v>26484</v>
      </c>
    </row>
    <row r="8551" spans="1:26" x14ac:dyDescent="0.2">
      <c r="A8551" s="8">
        <v>8550</v>
      </c>
      <c r="B8551" s="8" t="s">
        <v>37505</v>
      </c>
      <c r="C8551" s="8" t="s">
        <v>37505</v>
      </c>
      <c r="G8551" s="8">
        <v>20</v>
      </c>
      <c r="H8551" s="8" t="s">
        <v>21</v>
      </c>
      <c r="I8551" s="8" t="s">
        <v>22</v>
      </c>
      <c r="J8551" s="8" t="s">
        <v>22</v>
      </c>
      <c r="K8551" s="8" t="s">
        <v>449</v>
      </c>
      <c r="L8551" s="8" t="s">
        <v>13194</v>
      </c>
      <c r="M8551" s="8" t="s">
        <v>13195</v>
      </c>
      <c r="N8551" s="8" t="s">
        <v>37506</v>
      </c>
      <c r="O8551" s="8">
        <f>11+34/60+27.3/3600</f>
        <v>11.574249999999999</v>
      </c>
      <c r="P8551" s="8" t="s">
        <v>37507</v>
      </c>
      <c r="Q8551" s="8">
        <f>+(25+52/60+34/3600)</f>
        <v>25.876111111111111</v>
      </c>
      <c r="R8551" s="8">
        <v>14.9</v>
      </c>
      <c r="S8551" s="8">
        <v>15.7</v>
      </c>
      <c r="T8551" s="8">
        <v>0.8</v>
      </c>
      <c r="U8551" s="8">
        <v>12</v>
      </c>
      <c r="V8551" s="8">
        <v>0.4</v>
      </c>
      <c r="W8551" s="8">
        <v>0.2</v>
      </c>
      <c r="X8551" s="8">
        <v>0</v>
      </c>
      <c r="Y8551" s="8" t="s">
        <v>1212</v>
      </c>
      <c r="Z8551" s="8" t="s">
        <v>1213</v>
      </c>
    </row>
    <row r="8552" spans="1:26" x14ac:dyDescent="0.2">
      <c r="A8552" s="8">
        <v>8551</v>
      </c>
      <c r="B8552" s="8" t="s">
        <v>37508</v>
      </c>
      <c r="C8552" s="8" t="s">
        <v>37508</v>
      </c>
      <c r="G8552" s="8">
        <v>20</v>
      </c>
      <c r="H8552" s="8" t="s">
        <v>21</v>
      </c>
      <c r="I8552" s="8" t="s">
        <v>22</v>
      </c>
      <c r="J8552" s="8" t="s">
        <v>22</v>
      </c>
      <c r="K8552" s="8" t="s">
        <v>818</v>
      </c>
      <c r="L8552" s="8" t="s">
        <v>12015</v>
      </c>
      <c r="M8552" s="8" t="s">
        <v>12016</v>
      </c>
      <c r="N8552" s="8" t="s">
        <v>37509</v>
      </c>
      <c r="O8552" s="8">
        <f>11+34/60+46.5/3600</f>
        <v>11.579583333333334</v>
      </c>
      <c r="P8552" s="8" t="s">
        <v>37510</v>
      </c>
      <c r="Q8552" s="8">
        <f>+(48+57/60+22/3600)</f>
        <v>48.956111111111113</v>
      </c>
      <c r="R8552" s="8">
        <v>14.1</v>
      </c>
      <c r="S8552" s="8">
        <v>15.1</v>
      </c>
      <c r="T8552" s="8">
        <v>1</v>
      </c>
      <c r="U8552" s="8">
        <v>12.7</v>
      </c>
      <c r="V8552" s="8">
        <v>0.5</v>
      </c>
      <c r="W8552" s="8">
        <v>0.5</v>
      </c>
      <c r="Y8552" s="8" t="s">
        <v>21</v>
      </c>
      <c r="Z8552" s="8" t="s">
        <v>37511</v>
      </c>
    </row>
    <row r="8553" spans="1:26" x14ac:dyDescent="0.2">
      <c r="A8553" s="8">
        <v>8552</v>
      </c>
      <c r="B8553" s="8" t="s">
        <v>37512</v>
      </c>
      <c r="C8553" s="8" t="s">
        <v>37512</v>
      </c>
      <c r="G8553" s="8">
        <v>20</v>
      </c>
      <c r="H8553" s="8" t="s">
        <v>21</v>
      </c>
      <c r="I8553" s="8" t="s">
        <v>22</v>
      </c>
      <c r="J8553" s="8" t="s">
        <v>22</v>
      </c>
      <c r="K8553" s="8" t="s">
        <v>50</v>
      </c>
      <c r="L8553" s="8" t="s">
        <v>12015</v>
      </c>
      <c r="M8553" s="8" t="s">
        <v>12016</v>
      </c>
      <c r="N8553" s="8" t="s">
        <v>37513</v>
      </c>
      <c r="O8553" s="8">
        <f>11+34/60+49.1/3600</f>
        <v>11.580305555555555</v>
      </c>
      <c r="P8553" s="8" t="s">
        <v>37514</v>
      </c>
      <c r="Q8553" s="8">
        <f>+(49+4/60+40/3600)</f>
        <v>49.077777777777783</v>
      </c>
      <c r="R8553" s="8">
        <v>13.8</v>
      </c>
      <c r="S8553" s="8">
        <v>14.8</v>
      </c>
      <c r="T8553" s="8">
        <v>1</v>
      </c>
      <c r="U8553" s="8">
        <v>13.6</v>
      </c>
      <c r="V8553" s="8">
        <v>1.1000000000000001</v>
      </c>
      <c r="W8553" s="8">
        <v>0.7</v>
      </c>
      <c r="X8553" s="8">
        <v>98</v>
      </c>
      <c r="Y8553" s="8" t="s">
        <v>37515</v>
      </c>
      <c r="Z8553" s="8" t="s">
        <v>37516</v>
      </c>
    </row>
    <row r="8554" spans="1:26" x14ac:dyDescent="0.2">
      <c r="A8554" s="8">
        <v>8553</v>
      </c>
      <c r="B8554" s="8" t="s">
        <v>37517</v>
      </c>
      <c r="C8554" s="8" t="s">
        <v>37517</v>
      </c>
      <c r="G8554" s="8">
        <v>20</v>
      </c>
      <c r="H8554" s="8" t="s">
        <v>21</v>
      </c>
      <c r="I8554" s="8" t="s">
        <v>72</v>
      </c>
      <c r="J8554" s="8" t="s">
        <v>72</v>
      </c>
      <c r="K8554" s="8" t="s">
        <v>20</v>
      </c>
      <c r="L8554" s="8" t="s">
        <v>13194</v>
      </c>
      <c r="M8554" s="8" t="s">
        <v>13195</v>
      </c>
      <c r="N8554" s="8" t="s">
        <v>37518</v>
      </c>
      <c r="O8554" s="8">
        <f>11+34/60+44.1/3600</f>
        <v>11.578916666666666</v>
      </c>
      <c r="P8554" s="8" t="s">
        <v>37519</v>
      </c>
      <c r="Q8554" s="8">
        <f>+(16+50/60+46/3600)</f>
        <v>16.84611111111111</v>
      </c>
      <c r="R8554" s="8">
        <v>99</v>
      </c>
      <c r="S8554" s="8">
        <v>99</v>
      </c>
      <c r="T8554" s="8">
        <v>99</v>
      </c>
      <c r="U8554" s="8">
        <v>99</v>
      </c>
      <c r="Y8554" s="8" t="s">
        <v>37501</v>
      </c>
      <c r="Z8554" s="8" t="s">
        <v>37520</v>
      </c>
    </row>
    <row r="8555" spans="1:26" x14ac:dyDescent="0.2">
      <c r="A8555" s="8">
        <v>8554</v>
      </c>
      <c r="B8555" s="8" t="s">
        <v>37521</v>
      </c>
      <c r="C8555" s="8" t="s">
        <v>37521</v>
      </c>
      <c r="G8555" s="8">
        <v>20</v>
      </c>
      <c r="H8555" s="8" t="s">
        <v>21</v>
      </c>
      <c r="I8555" s="8" t="s">
        <v>22</v>
      </c>
      <c r="J8555" s="8" t="s">
        <v>57</v>
      </c>
      <c r="K8555" s="8" t="s">
        <v>64</v>
      </c>
      <c r="L8555" s="8" t="s">
        <v>15699</v>
      </c>
      <c r="M8555" s="8" t="s">
        <v>15700</v>
      </c>
      <c r="N8555" s="8" t="s">
        <v>17231</v>
      </c>
      <c r="O8555" s="8">
        <f>11+36/60+30.2/3600</f>
        <v>11.608388888888889</v>
      </c>
      <c r="P8555" s="8" t="s">
        <v>17232</v>
      </c>
      <c r="Q8555" s="8">
        <f>-(9+50/60+50/3600)</f>
        <v>-9.8472222222222232</v>
      </c>
      <c r="R8555" s="8">
        <v>11.8</v>
      </c>
      <c r="S8555" s="8">
        <v>12.4</v>
      </c>
      <c r="T8555" s="8">
        <v>0.6</v>
      </c>
      <c r="U8555" s="8">
        <v>11.9</v>
      </c>
      <c r="V8555" s="8">
        <v>1.1000000000000001</v>
      </c>
      <c r="W8555" s="8">
        <v>1.1000000000000001</v>
      </c>
      <c r="Y8555" s="8" t="s">
        <v>37522</v>
      </c>
      <c r="Z8555" s="8" t="s">
        <v>37523</v>
      </c>
    </row>
    <row r="8556" spans="1:26" x14ac:dyDescent="0.2">
      <c r="A8556" s="8">
        <v>8555</v>
      </c>
      <c r="B8556" s="8" t="s">
        <v>37524</v>
      </c>
      <c r="C8556" s="8" t="s">
        <v>37524</v>
      </c>
      <c r="E8556" s="8">
        <v>1</v>
      </c>
      <c r="G8556" s="8">
        <v>20</v>
      </c>
      <c r="H8556" s="8" t="s">
        <v>21</v>
      </c>
      <c r="I8556" s="8" t="s">
        <v>22</v>
      </c>
      <c r="J8556" s="8" t="s">
        <v>22</v>
      </c>
      <c r="K8556" s="8" t="s">
        <v>449</v>
      </c>
      <c r="L8556" s="8" t="s">
        <v>15699</v>
      </c>
      <c r="M8556" s="8" t="s">
        <v>15700</v>
      </c>
      <c r="N8556" s="8" t="s">
        <v>37525</v>
      </c>
      <c r="O8556" s="8">
        <f>11+36/60+54.3/3600</f>
        <v>11.615083333333333</v>
      </c>
      <c r="P8556" s="8" t="s">
        <v>37526</v>
      </c>
      <c r="Q8556" s="8">
        <f>-(8+22/60+32/3600)</f>
        <v>-8.3755555555555556</v>
      </c>
      <c r="R8556" s="8">
        <v>15</v>
      </c>
      <c r="S8556" s="8">
        <v>15.8</v>
      </c>
      <c r="T8556" s="8">
        <v>0.8</v>
      </c>
      <c r="U8556" s="8">
        <v>13.5</v>
      </c>
      <c r="V8556" s="8">
        <v>0.7</v>
      </c>
      <c r="W8556" s="8">
        <v>0.4</v>
      </c>
      <c r="X8556" s="8">
        <v>160</v>
      </c>
      <c r="Y8556" s="8" t="s">
        <v>1374</v>
      </c>
      <c r="Z8556" s="8" t="s">
        <v>1375</v>
      </c>
    </row>
    <row r="8557" spans="1:26" x14ac:dyDescent="0.2">
      <c r="A8557" s="8">
        <v>8556</v>
      </c>
      <c r="B8557" s="8" t="s">
        <v>37527</v>
      </c>
      <c r="C8557" s="8" t="s">
        <v>37527</v>
      </c>
      <c r="G8557" s="8">
        <v>20</v>
      </c>
      <c r="H8557" s="8" t="s">
        <v>21</v>
      </c>
      <c r="I8557" s="8" t="s">
        <v>22</v>
      </c>
      <c r="J8557" s="8" t="s">
        <v>22</v>
      </c>
      <c r="K8557" s="8" t="s">
        <v>396</v>
      </c>
      <c r="L8557" s="8" t="s">
        <v>17287</v>
      </c>
      <c r="M8557" s="8" t="s">
        <v>17288</v>
      </c>
      <c r="N8557" s="8" t="s">
        <v>37528</v>
      </c>
      <c r="O8557" s="8">
        <f>11+39/60+3.3/3600</f>
        <v>11.650916666666667</v>
      </c>
      <c r="P8557" s="8" t="s">
        <v>37529</v>
      </c>
      <c r="Q8557" s="8">
        <f>-(0+12/60+20/3600)</f>
        <v>-0.20555555555555557</v>
      </c>
      <c r="R8557" s="8">
        <v>14</v>
      </c>
      <c r="S8557" s="8">
        <v>14.8</v>
      </c>
      <c r="T8557" s="8">
        <v>0.8</v>
      </c>
      <c r="U8557" s="8">
        <v>13.1</v>
      </c>
      <c r="V8557" s="8">
        <v>1.6</v>
      </c>
      <c r="W8557" s="8">
        <v>0.3</v>
      </c>
      <c r="X8557" s="8">
        <v>132</v>
      </c>
      <c r="Y8557" s="8" t="s">
        <v>21497</v>
      </c>
      <c r="Z8557" s="8" t="s">
        <v>21498</v>
      </c>
    </row>
    <row r="8558" spans="1:26" x14ac:dyDescent="0.2">
      <c r="A8558" s="8">
        <v>8557</v>
      </c>
      <c r="B8558" s="8" t="s">
        <v>37530</v>
      </c>
      <c r="C8558" s="8" t="s">
        <v>37530</v>
      </c>
      <c r="G8558" s="8">
        <v>20</v>
      </c>
      <c r="H8558" s="8" t="s">
        <v>21</v>
      </c>
      <c r="I8558" s="8" t="s">
        <v>22</v>
      </c>
      <c r="J8558" s="8" t="s">
        <v>57</v>
      </c>
      <c r="K8558" s="8" t="s">
        <v>579</v>
      </c>
      <c r="L8558" s="8" t="s">
        <v>15699</v>
      </c>
      <c r="M8558" s="8" t="s">
        <v>15700</v>
      </c>
      <c r="N8558" s="8" t="s">
        <v>17300</v>
      </c>
      <c r="O8558" s="8">
        <f>11+38/60+50.8/3600</f>
        <v>11.647444444444444</v>
      </c>
      <c r="P8558" s="8" t="s">
        <v>17301</v>
      </c>
      <c r="Q8558" s="8">
        <f>-(10+35/60+3/3600)</f>
        <v>-10.584166666666667</v>
      </c>
      <c r="R8558" s="8">
        <v>13.8</v>
      </c>
      <c r="S8558" s="8">
        <v>14.5</v>
      </c>
      <c r="T8558" s="8">
        <v>0.7</v>
      </c>
      <c r="U8558" s="8">
        <v>14.3</v>
      </c>
      <c r="V8558" s="8">
        <v>1.9</v>
      </c>
      <c r="W8558" s="8">
        <v>1</v>
      </c>
      <c r="X8558" s="8">
        <v>85</v>
      </c>
      <c r="Y8558" s="8" t="s">
        <v>37531</v>
      </c>
      <c r="Z8558" s="8" t="s">
        <v>37532</v>
      </c>
    </row>
    <row r="8559" spans="1:26" x14ac:dyDescent="0.2">
      <c r="A8559" s="8">
        <v>8558</v>
      </c>
      <c r="B8559" s="8" t="s">
        <v>37533</v>
      </c>
      <c r="C8559" s="8" t="s">
        <v>37533</v>
      </c>
      <c r="G8559" s="8">
        <v>20</v>
      </c>
      <c r="H8559" s="8" t="s">
        <v>21</v>
      </c>
      <c r="I8559" s="8" t="s">
        <v>22</v>
      </c>
      <c r="J8559" s="8" t="s">
        <v>22</v>
      </c>
      <c r="K8559" s="8" t="s">
        <v>3616</v>
      </c>
      <c r="L8559" s="8" t="s">
        <v>17287</v>
      </c>
      <c r="M8559" s="8" t="s">
        <v>17288</v>
      </c>
      <c r="N8559" s="8" t="s">
        <v>37534</v>
      </c>
      <c r="O8559" s="8">
        <f>11+39/60+52.7/3600</f>
        <v>11.66463888888889</v>
      </c>
      <c r="P8559" s="8" t="s">
        <v>37535</v>
      </c>
      <c r="Q8559" s="8">
        <f>+(8+52/60+28/3600)</f>
        <v>8.8744444444444444</v>
      </c>
      <c r="R8559" s="8">
        <v>13.9</v>
      </c>
      <c r="S8559" s="8">
        <v>14.5</v>
      </c>
      <c r="T8559" s="8">
        <v>0.6</v>
      </c>
      <c r="U8559" s="8">
        <v>13.2</v>
      </c>
      <c r="V8559" s="8">
        <v>1.2</v>
      </c>
      <c r="W8559" s="8">
        <v>0.5</v>
      </c>
      <c r="X8559" s="8">
        <v>4</v>
      </c>
      <c r="Y8559" s="8" t="s">
        <v>1511</v>
      </c>
      <c r="Z8559" s="8" t="s">
        <v>1512</v>
      </c>
    </row>
    <row r="8560" spans="1:26" x14ac:dyDescent="0.2">
      <c r="A8560" s="8">
        <v>8559</v>
      </c>
      <c r="B8560" s="8" t="s">
        <v>37536</v>
      </c>
      <c r="C8560" s="8" t="s">
        <v>37536</v>
      </c>
      <c r="G8560" s="8">
        <v>20</v>
      </c>
      <c r="H8560" s="8" t="s">
        <v>21</v>
      </c>
      <c r="I8560" s="8" t="s">
        <v>22</v>
      </c>
      <c r="J8560" s="8" t="s">
        <v>22</v>
      </c>
      <c r="K8560" s="8" t="s">
        <v>37</v>
      </c>
      <c r="L8560" s="8" t="s">
        <v>17287</v>
      </c>
      <c r="M8560" s="8" t="s">
        <v>17288</v>
      </c>
      <c r="N8560" s="8" t="s">
        <v>37537</v>
      </c>
      <c r="O8560" s="8">
        <f>11+40/60+18.5/3600</f>
        <v>11.671805555555554</v>
      </c>
      <c r="P8560" s="8" t="s">
        <v>37538</v>
      </c>
      <c r="Q8560" s="8">
        <f>+(9+0/60+35/3600)</f>
        <v>9.0097222222222229</v>
      </c>
      <c r="R8560" s="8">
        <v>13.1</v>
      </c>
      <c r="S8560" s="8">
        <v>14.1</v>
      </c>
      <c r="T8560" s="8">
        <v>1</v>
      </c>
      <c r="U8560" s="8">
        <v>12.3</v>
      </c>
      <c r="V8560" s="8">
        <v>1.3</v>
      </c>
      <c r="W8560" s="8">
        <v>0.4</v>
      </c>
      <c r="X8560" s="8">
        <v>52</v>
      </c>
      <c r="Y8560" s="8" t="s">
        <v>37539</v>
      </c>
      <c r="Z8560" s="8" t="s">
        <v>37540</v>
      </c>
    </row>
    <row r="8561" spans="1:26" x14ac:dyDescent="0.2">
      <c r="A8561" s="8">
        <v>8560</v>
      </c>
      <c r="B8561" s="8" t="s">
        <v>37541</v>
      </c>
      <c r="C8561" s="8" t="s">
        <v>37541</v>
      </c>
      <c r="G8561" s="8">
        <v>20</v>
      </c>
      <c r="H8561" s="8" t="s">
        <v>21</v>
      </c>
      <c r="I8561" s="8" t="s">
        <v>22</v>
      </c>
      <c r="J8561" s="8" t="s">
        <v>22</v>
      </c>
      <c r="K8561" s="8" t="s">
        <v>396</v>
      </c>
      <c r="L8561" s="8" t="s">
        <v>17287</v>
      </c>
      <c r="M8561" s="8" t="s">
        <v>17288</v>
      </c>
      <c r="N8561" s="8" t="s">
        <v>37542</v>
      </c>
      <c r="O8561" s="8">
        <f>11+42/60+22.3/3600</f>
        <v>11.706194444444444</v>
      </c>
      <c r="P8561" s="8" t="s">
        <v>37543</v>
      </c>
      <c r="Q8561" s="8">
        <f>+(8+46/60+2/3600)</f>
        <v>8.7672222222222231</v>
      </c>
      <c r="R8561" s="8">
        <v>13.9</v>
      </c>
      <c r="S8561" s="8">
        <v>14.7</v>
      </c>
      <c r="T8561" s="8">
        <v>0.8</v>
      </c>
      <c r="U8561" s="8">
        <v>13.3</v>
      </c>
      <c r="V8561" s="8">
        <v>1.1000000000000001</v>
      </c>
      <c r="W8561" s="8">
        <v>0.6</v>
      </c>
      <c r="X8561" s="8">
        <v>0</v>
      </c>
      <c r="Y8561" s="8" t="s">
        <v>895</v>
      </c>
      <c r="Z8561" s="8" t="s">
        <v>896</v>
      </c>
    </row>
    <row r="8562" spans="1:26" x14ac:dyDescent="0.2">
      <c r="A8562" s="8">
        <v>8561</v>
      </c>
      <c r="B8562" s="8" t="s">
        <v>37544</v>
      </c>
      <c r="C8562" s="8" t="s">
        <v>37544</v>
      </c>
      <c r="G8562" s="8">
        <v>20</v>
      </c>
      <c r="H8562" s="8" t="s">
        <v>21</v>
      </c>
      <c r="I8562" s="8" t="s">
        <v>22</v>
      </c>
      <c r="J8562" s="8" t="s">
        <v>22</v>
      </c>
      <c r="K8562" s="8" t="s">
        <v>160</v>
      </c>
      <c r="L8562" s="8" t="s">
        <v>15699</v>
      </c>
      <c r="M8562" s="8" t="s">
        <v>15700</v>
      </c>
      <c r="N8562" s="8" t="s">
        <v>37545</v>
      </c>
      <c r="O8562" s="8">
        <f>11+42/60+28.8/3600</f>
        <v>11.707999999999998</v>
      </c>
      <c r="P8562" s="8" t="s">
        <v>37546</v>
      </c>
      <c r="Q8562" s="8">
        <f>-(8+20/60+25/3600)</f>
        <v>-8.3402777777777786</v>
      </c>
      <c r="R8562" s="8">
        <v>14.4</v>
      </c>
      <c r="S8562" s="8">
        <v>15.1</v>
      </c>
      <c r="T8562" s="8">
        <v>0.7</v>
      </c>
      <c r="U8562" s="8">
        <v>13.2</v>
      </c>
      <c r="V8562" s="8">
        <v>1.3</v>
      </c>
      <c r="W8562" s="8">
        <v>0.3</v>
      </c>
      <c r="X8562" s="8">
        <v>115</v>
      </c>
      <c r="Y8562" s="8" t="s">
        <v>37547</v>
      </c>
      <c r="Z8562" s="8" t="s">
        <v>37548</v>
      </c>
    </row>
    <row r="8563" spans="1:26" x14ac:dyDescent="0.2">
      <c r="A8563" s="8">
        <v>8562</v>
      </c>
      <c r="B8563" s="8" t="s">
        <v>37549</v>
      </c>
      <c r="C8563" s="8" t="s">
        <v>37549</v>
      </c>
      <c r="G8563" s="8">
        <v>20</v>
      </c>
      <c r="H8563" s="8" t="s">
        <v>21</v>
      </c>
      <c r="I8563" s="8" t="s">
        <v>22</v>
      </c>
      <c r="J8563" s="8" t="s">
        <v>22</v>
      </c>
      <c r="K8563" s="8" t="s">
        <v>396</v>
      </c>
      <c r="L8563" s="8" t="s">
        <v>17287</v>
      </c>
      <c r="M8563" s="8" t="s">
        <v>17288</v>
      </c>
      <c r="N8563" s="8" t="s">
        <v>37550</v>
      </c>
      <c r="O8563" s="8">
        <f>11+42/60+43.7/3600</f>
        <v>11.712138888888887</v>
      </c>
      <c r="P8563" s="8" t="s">
        <v>37551</v>
      </c>
      <c r="Q8563" s="8">
        <f>+(8+58/60+28/3600)</f>
        <v>8.974444444444444</v>
      </c>
      <c r="R8563" s="8">
        <v>13.6</v>
      </c>
      <c r="S8563" s="8">
        <v>14.4</v>
      </c>
      <c r="T8563" s="8">
        <v>0.8</v>
      </c>
      <c r="U8563" s="8">
        <v>12.7</v>
      </c>
      <c r="V8563" s="8">
        <v>1.1000000000000001</v>
      </c>
      <c r="W8563" s="8">
        <v>0.7</v>
      </c>
      <c r="X8563" s="8">
        <v>66</v>
      </c>
      <c r="Y8563" s="8" t="s">
        <v>37552</v>
      </c>
      <c r="Z8563" s="8" t="s">
        <v>37553</v>
      </c>
    </row>
    <row r="8564" spans="1:26" x14ac:dyDescent="0.2">
      <c r="A8564" s="8">
        <v>8563</v>
      </c>
      <c r="B8564" s="8" t="s">
        <v>37554</v>
      </c>
      <c r="C8564" s="8" t="s">
        <v>37554</v>
      </c>
      <c r="G8564" s="8">
        <v>20</v>
      </c>
      <c r="H8564" s="8" t="s">
        <v>21</v>
      </c>
      <c r="I8564" s="8" t="s">
        <v>22</v>
      </c>
      <c r="J8564" s="8" t="s">
        <v>22</v>
      </c>
      <c r="K8564" s="8" t="s">
        <v>4219</v>
      </c>
      <c r="L8564" s="8" t="s">
        <v>15699</v>
      </c>
      <c r="M8564" s="8" t="s">
        <v>15700</v>
      </c>
      <c r="N8564" s="8" t="s">
        <v>37555</v>
      </c>
      <c r="O8564" s="8">
        <f>11+42/60+57.5/3600</f>
        <v>11.715972222222222</v>
      </c>
      <c r="P8564" s="8" t="s">
        <v>37556</v>
      </c>
      <c r="Q8564" s="8">
        <f>-(8+19/60+55/3600)</f>
        <v>-8.3319444444444439</v>
      </c>
      <c r="R8564" s="8">
        <v>14.1</v>
      </c>
      <c r="S8564" s="8">
        <v>14.7</v>
      </c>
      <c r="T8564" s="8">
        <v>0.6</v>
      </c>
      <c r="U8564" s="8">
        <v>13</v>
      </c>
      <c r="V8564" s="8">
        <v>0.7</v>
      </c>
      <c r="W8564" s="8">
        <v>0.6</v>
      </c>
      <c r="X8564" s="8">
        <v>3</v>
      </c>
      <c r="Y8564" s="8" t="s">
        <v>37557</v>
      </c>
      <c r="Z8564" s="8" t="s">
        <v>37558</v>
      </c>
    </row>
    <row r="8565" spans="1:26" x14ac:dyDescent="0.2">
      <c r="A8565" s="8">
        <v>8564</v>
      </c>
      <c r="B8565" s="8" t="s">
        <v>37559</v>
      </c>
      <c r="C8565" s="8" t="s">
        <v>37559</v>
      </c>
      <c r="G8565" s="8">
        <v>20</v>
      </c>
      <c r="H8565" s="8" t="s">
        <v>21</v>
      </c>
      <c r="I8565" s="8" t="s">
        <v>22</v>
      </c>
      <c r="J8565" s="8" t="s">
        <v>22</v>
      </c>
      <c r="K8565" s="8" t="s">
        <v>91</v>
      </c>
      <c r="L8565" s="8" t="s">
        <v>17287</v>
      </c>
      <c r="M8565" s="8" t="s">
        <v>17288</v>
      </c>
      <c r="N8565" s="8" t="s">
        <v>37560</v>
      </c>
      <c r="O8565" s="8">
        <f>11+43/60+34.6/3600</f>
        <v>11.726277777777778</v>
      </c>
      <c r="P8565" s="8" t="s">
        <v>37561</v>
      </c>
      <c r="Q8565" s="8">
        <f>+(8+56/60+33/3600)</f>
        <v>8.9425000000000008</v>
      </c>
      <c r="R8565" s="8">
        <v>12.5</v>
      </c>
      <c r="S8565" s="8">
        <v>13.4</v>
      </c>
      <c r="T8565" s="8">
        <v>0.9</v>
      </c>
      <c r="U8565" s="8">
        <v>13.1</v>
      </c>
      <c r="V8565" s="8">
        <v>2.2999999999999998</v>
      </c>
      <c r="W8565" s="8">
        <v>0.9</v>
      </c>
      <c r="X8565" s="8">
        <v>60</v>
      </c>
      <c r="Y8565" s="8" t="s">
        <v>37562</v>
      </c>
      <c r="Z8565" s="8" t="s">
        <v>37563</v>
      </c>
    </row>
    <row r="8566" spans="1:26" x14ac:dyDescent="0.2">
      <c r="A8566" s="8">
        <v>8565</v>
      </c>
      <c r="B8566" s="8" t="s">
        <v>37564</v>
      </c>
      <c r="C8566" s="8" t="s">
        <v>37564</v>
      </c>
      <c r="G8566" s="8">
        <v>20</v>
      </c>
      <c r="H8566" s="8" t="s">
        <v>21</v>
      </c>
      <c r="I8566" s="8" t="s">
        <v>22</v>
      </c>
      <c r="J8566" s="8" t="s">
        <v>22</v>
      </c>
      <c r="K8566" s="8" t="s">
        <v>460</v>
      </c>
      <c r="L8566" s="8" t="s">
        <v>17287</v>
      </c>
      <c r="M8566" s="8" t="s">
        <v>17288</v>
      </c>
      <c r="N8566" s="8" t="s">
        <v>37565</v>
      </c>
      <c r="O8566" s="8">
        <f>11+43/60+29.4/3600</f>
        <v>11.724833333333333</v>
      </c>
      <c r="P8566" s="8" t="s">
        <v>37566</v>
      </c>
      <c r="Q8566" s="8">
        <f>-(1+40/60+6/3600)</f>
        <v>-1.6683333333333332</v>
      </c>
      <c r="R8566" s="8">
        <v>13.9</v>
      </c>
      <c r="S8566" s="8">
        <v>14.9</v>
      </c>
      <c r="T8566" s="8">
        <v>1</v>
      </c>
      <c r="U8566" s="8">
        <v>12.5</v>
      </c>
      <c r="V8566" s="8">
        <v>0.5</v>
      </c>
      <c r="W8566" s="8">
        <v>0.5</v>
      </c>
      <c r="Y8566" s="8" t="s">
        <v>37567</v>
      </c>
      <c r="Z8566" s="8" t="s">
        <v>37568</v>
      </c>
    </row>
    <row r="8567" spans="1:26" x14ac:dyDescent="0.2">
      <c r="A8567" s="8">
        <v>8566</v>
      </c>
      <c r="B8567" s="8" t="s">
        <v>37569</v>
      </c>
      <c r="C8567" s="8" t="s">
        <v>37569</v>
      </c>
      <c r="G8567" s="8">
        <v>20</v>
      </c>
      <c r="H8567" s="8" t="s">
        <v>21</v>
      </c>
      <c r="I8567" s="8" t="s">
        <v>22</v>
      </c>
      <c r="J8567" s="8" t="s">
        <v>22</v>
      </c>
      <c r="K8567" s="8" t="s">
        <v>37</v>
      </c>
      <c r="L8567" s="8" t="s">
        <v>12015</v>
      </c>
      <c r="M8567" s="8" t="s">
        <v>12016</v>
      </c>
      <c r="N8567" s="8" t="s">
        <v>37570</v>
      </c>
      <c r="O8567" s="8">
        <f>11+43/60+45.5/3600</f>
        <v>11.729305555555555</v>
      </c>
      <c r="P8567" s="8" t="s">
        <v>37571</v>
      </c>
      <c r="Q8567" s="8">
        <f>+(33+23/60+34/3600)</f>
        <v>33.392777777777781</v>
      </c>
      <c r="R8567" s="8">
        <v>16</v>
      </c>
      <c r="S8567" s="8">
        <v>17</v>
      </c>
      <c r="T8567" s="8">
        <v>1</v>
      </c>
      <c r="U8567" s="8">
        <v>12.8</v>
      </c>
      <c r="V8567" s="8">
        <v>0.3</v>
      </c>
      <c r="W8567" s="8">
        <v>0.2</v>
      </c>
      <c r="Y8567" s="8" t="s">
        <v>19885</v>
      </c>
      <c r="Z8567" s="8" t="s">
        <v>4076</v>
      </c>
    </row>
    <row r="8568" spans="1:26" x14ac:dyDescent="0.2">
      <c r="A8568" s="8">
        <v>8567</v>
      </c>
      <c r="B8568" s="8" t="s">
        <v>37572</v>
      </c>
      <c r="C8568" s="8" t="s">
        <v>37572</v>
      </c>
      <c r="G8568" s="8">
        <v>20</v>
      </c>
      <c r="H8568" s="8" t="s">
        <v>21</v>
      </c>
      <c r="I8568" s="8" t="s">
        <v>22</v>
      </c>
      <c r="J8568" s="8" t="s">
        <v>22</v>
      </c>
      <c r="K8568" s="8" t="s">
        <v>23</v>
      </c>
      <c r="L8568" s="8" t="s">
        <v>13194</v>
      </c>
      <c r="M8568" s="8" t="s">
        <v>13195</v>
      </c>
      <c r="N8568" s="8" t="s">
        <v>37573</v>
      </c>
      <c r="O8568" s="8">
        <f>11+44/60+28.7/3600</f>
        <v>11.741305555555554</v>
      </c>
      <c r="P8568" s="8" t="s">
        <v>37574</v>
      </c>
      <c r="Q8568" s="8">
        <f>+(10+47/60+0/3600)</f>
        <v>10.783333333333333</v>
      </c>
      <c r="R8568" s="8">
        <v>14.1</v>
      </c>
      <c r="S8568" s="8">
        <v>14.9</v>
      </c>
      <c r="T8568" s="8">
        <v>0.8</v>
      </c>
      <c r="U8568" s="8">
        <v>12.8</v>
      </c>
      <c r="V8568" s="8">
        <v>1.6</v>
      </c>
      <c r="W8568" s="8">
        <v>0.2</v>
      </c>
      <c r="X8568" s="8">
        <v>161</v>
      </c>
      <c r="Y8568" s="8" t="s">
        <v>37575</v>
      </c>
      <c r="Z8568" s="8" t="s">
        <v>37576</v>
      </c>
    </row>
    <row r="8569" spans="1:26" x14ac:dyDescent="0.2">
      <c r="A8569" s="8">
        <v>8568</v>
      </c>
      <c r="B8569" s="8" t="s">
        <v>37577</v>
      </c>
      <c r="C8569" s="8" t="s">
        <v>37577</v>
      </c>
      <c r="G8569" s="8">
        <v>20</v>
      </c>
      <c r="H8569" s="8" t="s">
        <v>21</v>
      </c>
      <c r="I8569" s="8" t="s">
        <v>22</v>
      </c>
      <c r="J8569" s="8" t="s">
        <v>22</v>
      </c>
      <c r="K8569" s="8" t="s">
        <v>218</v>
      </c>
      <c r="L8569" s="8" t="s">
        <v>17287</v>
      </c>
      <c r="M8569" s="8" t="s">
        <v>17288</v>
      </c>
      <c r="N8569" s="8" t="s">
        <v>37578</v>
      </c>
      <c r="O8569" s="8">
        <f>11+44/60+50.5/3600</f>
        <v>11.747361111111111</v>
      </c>
      <c r="P8569" s="8" t="s">
        <v>37579</v>
      </c>
      <c r="Q8569" s="8">
        <f>-(1+36/60+5/3600)</f>
        <v>-1.601388888888889</v>
      </c>
      <c r="R8569" s="8">
        <v>13.6</v>
      </c>
      <c r="S8569" s="8">
        <v>14.4</v>
      </c>
      <c r="T8569" s="8">
        <v>0.8</v>
      </c>
      <c r="U8569" s="8">
        <v>13.1</v>
      </c>
      <c r="V8569" s="8">
        <v>1.3</v>
      </c>
      <c r="W8569" s="8">
        <v>0.6</v>
      </c>
      <c r="X8569" s="8">
        <v>65</v>
      </c>
      <c r="Y8569" s="8" t="s">
        <v>170</v>
      </c>
      <c r="Z8569" s="8" t="s">
        <v>171</v>
      </c>
    </row>
    <row r="8570" spans="1:26" x14ac:dyDescent="0.2">
      <c r="A8570" s="8">
        <v>8569</v>
      </c>
      <c r="B8570" s="8" t="s">
        <v>37580</v>
      </c>
      <c r="C8570" s="8" t="s">
        <v>37580</v>
      </c>
      <c r="G8570" s="8">
        <v>20</v>
      </c>
      <c r="H8570" s="8" t="s">
        <v>21</v>
      </c>
      <c r="I8570" s="8" t="s">
        <v>22</v>
      </c>
      <c r="J8570" s="8" t="s">
        <v>22</v>
      </c>
      <c r="K8570" s="8" t="s">
        <v>37</v>
      </c>
      <c r="L8570" s="8" t="s">
        <v>12015</v>
      </c>
      <c r="M8570" s="8" t="s">
        <v>12016</v>
      </c>
      <c r="N8570" s="8" t="s">
        <v>37581</v>
      </c>
      <c r="O8570" s="8">
        <f>11+45/60+18.3/3600</f>
        <v>11.755083333333333</v>
      </c>
      <c r="P8570" s="8" t="s">
        <v>37582</v>
      </c>
      <c r="Q8570" s="8">
        <f>+(33+20/60+9/3600)</f>
        <v>33.335833333333333</v>
      </c>
      <c r="R8570" s="8">
        <v>14.5</v>
      </c>
      <c r="S8570" s="8">
        <v>15.5</v>
      </c>
      <c r="T8570" s="8">
        <v>1</v>
      </c>
      <c r="U8570" s="8">
        <v>12.8</v>
      </c>
      <c r="V8570" s="8">
        <v>0.8</v>
      </c>
      <c r="W8570" s="8">
        <v>0.3</v>
      </c>
      <c r="X8570" s="8">
        <v>2</v>
      </c>
      <c r="Y8570" s="8" t="s">
        <v>1374</v>
      </c>
      <c r="Z8570" s="8" t="s">
        <v>1375</v>
      </c>
    </row>
    <row r="8571" spans="1:26" x14ac:dyDescent="0.2">
      <c r="A8571" s="8">
        <v>8570</v>
      </c>
      <c r="B8571" s="8" t="s">
        <v>37583</v>
      </c>
      <c r="C8571" s="8" t="s">
        <v>37583</v>
      </c>
      <c r="G8571" s="8">
        <v>20</v>
      </c>
      <c r="H8571" s="8" t="s">
        <v>21</v>
      </c>
      <c r="I8571" s="8" t="s">
        <v>22</v>
      </c>
      <c r="J8571" s="8" t="s">
        <v>57</v>
      </c>
      <c r="K8571" s="8" t="s">
        <v>632</v>
      </c>
      <c r="L8571" s="8" t="s">
        <v>17287</v>
      </c>
      <c r="M8571" s="8" t="s">
        <v>17288</v>
      </c>
      <c r="N8571" s="8" t="s">
        <v>17587</v>
      </c>
      <c r="O8571" s="8">
        <f>11+45/60+35.2/3600</f>
        <v>11.759777777777778</v>
      </c>
      <c r="P8571" s="8" t="s">
        <v>17588</v>
      </c>
      <c r="Q8571" s="8">
        <f>+(3+13/60+56/3600)</f>
        <v>3.2322222222222226</v>
      </c>
      <c r="R8571" s="8">
        <v>13.7</v>
      </c>
      <c r="S8571" s="8">
        <v>14.6</v>
      </c>
      <c r="T8571" s="8">
        <v>0.9</v>
      </c>
      <c r="U8571" s="8">
        <v>12.6</v>
      </c>
      <c r="V8571" s="8">
        <v>0.8</v>
      </c>
      <c r="W8571" s="8">
        <v>0.5</v>
      </c>
      <c r="X8571" s="8">
        <v>36</v>
      </c>
      <c r="Y8571" s="8" t="s">
        <v>37584</v>
      </c>
      <c r="Z8571" s="8" t="s">
        <v>37585</v>
      </c>
    </row>
    <row r="8572" spans="1:26" x14ac:dyDescent="0.2">
      <c r="A8572" s="8">
        <v>8571</v>
      </c>
      <c r="B8572" s="8" t="s">
        <v>37586</v>
      </c>
      <c r="C8572" s="8" t="s">
        <v>37586</v>
      </c>
      <c r="G8572" s="8">
        <v>20</v>
      </c>
      <c r="H8572" s="8" t="s">
        <v>21</v>
      </c>
      <c r="I8572" s="8" t="s">
        <v>22</v>
      </c>
      <c r="J8572" s="8" t="s">
        <v>22</v>
      </c>
      <c r="K8572" s="8" t="s">
        <v>449</v>
      </c>
      <c r="L8572" s="8" t="s">
        <v>12015</v>
      </c>
      <c r="M8572" s="8" t="s">
        <v>12016</v>
      </c>
      <c r="N8572" s="8" t="s">
        <v>37587</v>
      </c>
      <c r="O8572" s="8">
        <f>11+45/60+18.1/3600</f>
        <v>11.755027777777778</v>
      </c>
      <c r="P8572" s="8" t="s">
        <v>37588</v>
      </c>
      <c r="Q8572" s="8">
        <f>+(49+34/60+13/3600)</f>
        <v>49.570277777777783</v>
      </c>
      <c r="R8572" s="8">
        <v>15.1</v>
      </c>
      <c r="S8572" s="8">
        <v>15.9</v>
      </c>
      <c r="T8572" s="8">
        <v>0.8</v>
      </c>
      <c r="U8572" s="8">
        <v>12.9</v>
      </c>
      <c r="V8572" s="8">
        <v>0.5</v>
      </c>
      <c r="W8572" s="8">
        <v>0.3</v>
      </c>
      <c r="X8572" s="8">
        <v>80</v>
      </c>
      <c r="Y8572" s="8" t="s">
        <v>421</v>
      </c>
      <c r="Z8572" s="8" t="s">
        <v>422</v>
      </c>
    </row>
    <row r="8573" spans="1:26" x14ac:dyDescent="0.2">
      <c r="A8573" s="8">
        <v>8572</v>
      </c>
      <c r="B8573" s="8" t="s">
        <v>37589</v>
      </c>
      <c r="C8573" s="8" t="s">
        <v>37589</v>
      </c>
      <c r="E8573" s="8">
        <v>1</v>
      </c>
      <c r="G8573" s="8">
        <v>20</v>
      </c>
      <c r="H8573" s="8" t="s">
        <v>21</v>
      </c>
      <c r="I8573" s="8" t="s">
        <v>22</v>
      </c>
      <c r="J8573" s="8" t="s">
        <v>22</v>
      </c>
      <c r="K8573" s="8" t="s">
        <v>632</v>
      </c>
      <c r="L8573" s="8" t="s">
        <v>13194</v>
      </c>
      <c r="M8573" s="8" t="s">
        <v>13195</v>
      </c>
      <c r="N8573" s="8" t="s">
        <v>37590</v>
      </c>
      <c r="O8573" s="8">
        <f>11+45/60+59.7/3600</f>
        <v>11.766583333333333</v>
      </c>
      <c r="P8573" s="8" t="s">
        <v>37591</v>
      </c>
      <c r="Q8573" s="8">
        <f>+(20+26/60+20/3600)</f>
        <v>20.43888888888889</v>
      </c>
      <c r="R8573" s="8">
        <v>14.2</v>
      </c>
      <c r="S8573" s="8">
        <v>15.1</v>
      </c>
      <c r="T8573" s="8">
        <v>0.9</v>
      </c>
      <c r="U8573" s="8">
        <v>12</v>
      </c>
      <c r="V8573" s="8">
        <v>0.5</v>
      </c>
      <c r="W8573" s="8">
        <v>0.3</v>
      </c>
      <c r="X8573" s="8">
        <v>140</v>
      </c>
      <c r="Y8573" s="8" t="s">
        <v>20205</v>
      </c>
      <c r="Z8573" s="8" t="s">
        <v>20206</v>
      </c>
    </row>
    <row r="8574" spans="1:26" x14ac:dyDescent="0.2">
      <c r="A8574" s="8">
        <v>8573</v>
      </c>
      <c r="B8574" s="8" t="s">
        <v>37592</v>
      </c>
      <c r="C8574" s="8" t="s">
        <v>37592</v>
      </c>
      <c r="G8574" s="8">
        <v>20</v>
      </c>
      <c r="H8574" s="8" t="s">
        <v>21</v>
      </c>
      <c r="I8574" s="8" t="s">
        <v>22</v>
      </c>
      <c r="J8574" s="8" t="s">
        <v>22</v>
      </c>
      <c r="K8574" s="8" t="s">
        <v>449</v>
      </c>
      <c r="L8574" s="8" t="s">
        <v>15699</v>
      </c>
      <c r="M8574" s="8" t="s">
        <v>15700</v>
      </c>
      <c r="N8574" s="8" t="s">
        <v>37593</v>
      </c>
      <c r="O8574" s="8">
        <f>11+45/60+58.8/3600</f>
        <v>11.766333333333334</v>
      </c>
      <c r="P8574" s="8" t="s">
        <v>37594</v>
      </c>
      <c r="Q8574" s="8">
        <f>-(8+9/60+21/3600)</f>
        <v>-8.1558333333333337</v>
      </c>
      <c r="R8574" s="8">
        <v>14.9</v>
      </c>
      <c r="S8574" s="8">
        <v>15.7</v>
      </c>
      <c r="T8574" s="8">
        <v>0.8</v>
      </c>
      <c r="U8574" s="8">
        <v>12.6</v>
      </c>
      <c r="V8574" s="8">
        <v>0.7</v>
      </c>
      <c r="W8574" s="8">
        <v>0.2</v>
      </c>
      <c r="X8574" s="8">
        <v>88</v>
      </c>
      <c r="Y8574" s="8" t="s">
        <v>37584</v>
      </c>
      <c r="Z8574" s="8" t="s">
        <v>37595</v>
      </c>
    </row>
    <row r="8575" spans="1:26" x14ac:dyDescent="0.2">
      <c r="A8575" s="8">
        <v>8574</v>
      </c>
      <c r="B8575" s="8" t="s">
        <v>37596</v>
      </c>
      <c r="C8575" s="8" t="s">
        <v>37596</v>
      </c>
      <c r="E8575" s="8">
        <v>1</v>
      </c>
      <c r="G8575" s="8">
        <v>20</v>
      </c>
      <c r="H8575" s="8" t="s">
        <v>21</v>
      </c>
      <c r="I8575" s="8" t="s">
        <v>22</v>
      </c>
      <c r="J8575" s="8" t="s">
        <v>22</v>
      </c>
      <c r="K8575" s="8" t="s">
        <v>3850</v>
      </c>
      <c r="L8575" s="8" t="s">
        <v>15699</v>
      </c>
      <c r="M8575" s="8" t="s">
        <v>15700</v>
      </c>
      <c r="N8575" s="8" t="s">
        <v>37597</v>
      </c>
      <c r="O8575" s="8">
        <f>11+46/60+3.8/3600</f>
        <v>11.767722222222224</v>
      </c>
      <c r="P8575" s="8" t="s">
        <v>37598</v>
      </c>
      <c r="Q8575" s="8">
        <f>-(8+16/60+15/3600)</f>
        <v>-8.2708333333333339</v>
      </c>
      <c r="R8575" s="8">
        <v>14.3</v>
      </c>
      <c r="S8575" s="8">
        <v>15.3</v>
      </c>
      <c r="T8575" s="8">
        <v>1</v>
      </c>
      <c r="U8575" s="8">
        <v>13.4</v>
      </c>
      <c r="V8575" s="8">
        <v>1</v>
      </c>
      <c r="W8575" s="8">
        <v>0.4</v>
      </c>
      <c r="X8575" s="8">
        <v>0</v>
      </c>
      <c r="Y8575" s="8" t="s">
        <v>33652</v>
      </c>
      <c r="Z8575" s="8" t="s">
        <v>33653</v>
      </c>
    </row>
    <row r="8576" spans="1:26" x14ac:dyDescent="0.2">
      <c r="A8576" s="8">
        <v>8575</v>
      </c>
      <c r="B8576" s="8" t="s">
        <v>37599</v>
      </c>
      <c r="C8576" s="8" t="s">
        <v>37599</v>
      </c>
      <c r="G8576" s="8">
        <v>20</v>
      </c>
      <c r="H8576" s="8" t="s">
        <v>21</v>
      </c>
      <c r="I8576" s="8" t="s">
        <v>22</v>
      </c>
      <c r="J8576" s="8" t="s">
        <v>22</v>
      </c>
      <c r="K8576" s="8" t="s">
        <v>396</v>
      </c>
      <c r="L8576" s="8" t="s">
        <v>13194</v>
      </c>
      <c r="M8576" s="8" t="s">
        <v>13195</v>
      </c>
      <c r="N8576" s="8" t="s">
        <v>37600</v>
      </c>
      <c r="O8576" s="8">
        <f>11+48/60+12.8/3600</f>
        <v>11.803555555555556</v>
      </c>
      <c r="P8576" s="8" t="s">
        <v>37601</v>
      </c>
      <c r="Q8576" s="8">
        <f>+(13+12/60+32/3600)</f>
        <v>13.208888888888888</v>
      </c>
      <c r="R8576" s="8">
        <v>14.1</v>
      </c>
      <c r="S8576" s="8">
        <v>14.9</v>
      </c>
      <c r="T8576" s="8">
        <v>0.8</v>
      </c>
      <c r="U8576" s="8">
        <v>13.8</v>
      </c>
      <c r="V8576" s="8">
        <v>1.4</v>
      </c>
      <c r="W8576" s="8">
        <v>0.8</v>
      </c>
      <c r="X8576" s="8">
        <v>103</v>
      </c>
      <c r="Y8576" s="8" t="s">
        <v>37602</v>
      </c>
      <c r="Z8576" s="8" t="s">
        <v>37603</v>
      </c>
    </row>
    <row r="8577" spans="1:26" x14ac:dyDescent="0.2">
      <c r="A8577" s="8">
        <v>8576</v>
      </c>
      <c r="B8577" s="8" t="s">
        <v>37604</v>
      </c>
      <c r="C8577" s="8" t="s">
        <v>37604</v>
      </c>
      <c r="G8577" s="8">
        <v>20</v>
      </c>
      <c r="H8577" s="8" t="s">
        <v>21</v>
      </c>
      <c r="I8577" s="8" t="s">
        <v>22</v>
      </c>
      <c r="J8577" s="8" t="s">
        <v>22</v>
      </c>
      <c r="K8577" s="8" t="s">
        <v>58</v>
      </c>
      <c r="L8577" s="8" t="s">
        <v>13194</v>
      </c>
      <c r="M8577" s="8" t="s">
        <v>13195</v>
      </c>
      <c r="N8577" s="8" t="s">
        <v>37605</v>
      </c>
      <c r="O8577" s="8">
        <f>11+48/60+20/3600</f>
        <v>11.805555555555557</v>
      </c>
      <c r="P8577" s="8" t="s">
        <v>37606</v>
      </c>
      <c r="Q8577" s="8">
        <f>+(12+43/60+2/3600)</f>
        <v>12.717222222222222</v>
      </c>
      <c r="R8577" s="8">
        <v>14.7</v>
      </c>
      <c r="S8577" s="8">
        <v>15.6</v>
      </c>
      <c r="T8577" s="8">
        <v>0.9</v>
      </c>
      <c r="U8577" s="8">
        <v>13.3</v>
      </c>
      <c r="V8577" s="8">
        <v>0.5</v>
      </c>
      <c r="W8577" s="8">
        <v>0.5</v>
      </c>
      <c r="Y8577" s="8" t="s">
        <v>27240</v>
      </c>
      <c r="Z8577" s="8" t="s">
        <v>27241</v>
      </c>
    </row>
    <row r="8578" spans="1:26" x14ac:dyDescent="0.2">
      <c r="A8578" s="8">
        <v>8577</v>
      </c>
      <c r="B8578" s="8" t="s">
        <v>37607</v>
      </c>
      <c r="C8578" s="8" t="s">
        <v>37607</v>
      </c>
      <c r="G8578" s="8">
        <v>20</v>
      </c>
      <c r="H8578" s="8" t="s">
        <v>21</v>
      </c>
      <c r="I8578" s="8" t="s">
        <v>22</v>
      </c>
      <c r="J8578" s="8" t="s">
        <v>22</v>
      </c>
      <c r="K8578" s="8" t="s">
        <v>58</v>
      </c>
      <c r="L8578" s="8" t="s">
        <v>13194</v>
      </c>
      <c r="M8578" s="8" t="s">
        <v>13195</v>
      </c>
      <c r="N8578" s="8" t="s">
        <v>37608</v>
      </c>
      <c r="O8578" s="8">
        <f>11+48/60+27.5/3600</f>
        <v>11.80763888888889</v>
      </c>
      <c r="P8578" s="8" t="s">
        <v>37609</v>
      </c>
      <c r="Q8578" s="8">
        <f>+(12+43/60+38/3600)</f>
        <v>12.727222222222222</v>
      </c>
      <c r="R8578" s="8">
        <v>13.8</v>
      </c>
      <c r="S8578" s="8">
        <v>14.7</v>
      </c>
      <c r="T8578" s="8">
        <v>0.9</v>
      </c>
      <c r="U8578" s="8">
        <v>12.6</v>
      </c>
      <c r="V8578" s="8">
        <v>0.6</v>
      </c>
      <c r="W8578" s="8">
        <v>0.5</v>
      </c>
      <c r="X8578" s="8">
        <v>100</v>
      </c>
      <c r="Y8578" s="8" t="s">
        <v>37610</v>
      </c>
      <c r="Z8578" s="8" t="s">
        <v>37611</v>
      </c>
    </row>
    <row r="8579" spans="1:26" x14ac:dyDescent="0.2">
      <c r="A8579" s="8">
        <v>8578</v>
      </c>
      <c r="B8579" s="8" t="s">
        <v>37612</v>
      </c>
      <c r="C8579" s="8" t="s">
        <v>37612</v>
      </c>
      <c r="G8579" s="8">
        <v>20</v>
      </c>
      <c r="H8579" s="8" t="s">
        <v>21</v>
      </c>
      <c r="I8579" s="8" t="s">
        <v>22</v>
      </c>
      <c r="J8579" s="8" t="s">
        <v>22</v>
      </c>
      <c r="K8579" s="8" t="s">
        <v>4219</v>
      </c>
      <c r="L8579" s="8" t="s">
        <v>17287</v>
      </c>
      <c r="M8579" s="8" t="s">
        <v>17288</v>
      </c>
      <c r="N8579" s="8" t="s">
        <v>37613</v>
      </c>
      <c r="O8579" s="8">
        <f>11+48/60+54.7/3600</f>
        <v>11.815194444444446</v>
      </c>
      <c r="P8579" s="8" t="s">
        <v>37614</v>
      </c>
      <c r="Q8579" s="8">
        <f>-(4+40/60+55/3600)</f>
        <v>-4.6819444444444445</v>
      </c>
      <c r="R8579" s="8">
        <v>14</v>
      </c>
      <c r="S8579" s="8">
        <v>14.6</v>
      </c>
      <c r="T8579" s="8">
        <v>0.6</v>
      </c>
      <c r="U8579" s="8">
        <v>12.6</v>
      </c>
      <c r="V8579" s="8">
        <v>0.8</v>
      </c>
      <c r="W8579" s="8">
        <v>0.4</v>
      </c>
      <c r="X8579" s="8">
        <v>100</v>
      </c>
      <c r="Y8579" s="8" t="s">
        <v>21</v>
      </c>
      <c r="Z8579" s="8" t="s">
        <v>37615</v>
      </c>
    </row>
    <row r="8580" spans="1:26" x14ac:dyDescent="0.2">
      <c r="A8580" s="8">
        <v>8579</v>
      </c>
      <c r="B8580" s="8" t="s">
        <v>37616</v>
      </c>
      <c r="C8580" s="8" t="s">
        <v>37616</v>
      </c>
      <c r="G8580" s="8">
        <v>20</v>
      </c>
      <c r="H8580" s="8" t="s">
        <v>21</v>
      </c>
      <c r="I8580" s="8" t="s">
        <v>22</v>
      </c>
      <c r="J8580" s="8" t="s">
        <v>22</v>
      </c>
      <c r="K8580" s="8" t="s">
        <v>406</v>
      </c>
      <c r="L8580" s="8" t="s">
        <v>13194</v>
      </c>
      <c r="M8580" s="8" t="s">
        <v>13195</v>
      </c>
      <c r="N8580" s="8" t="s">
        <v>37617</v>
      </c>
      <c r="O8580" s="8">
        <f>11+51/60+31.3/3600</f>
        <v>11.858694444444444</v>
      </c>
      <c r="P8580" s="8" t="s">
        <v>37618</v>
      </c>
      <c r="Q8580" s="8">
        <f>+(23+51/60+46/3600)</f>
        <v>23.862777777777779</v>
      </c>
      <c r="R8580" s="8">
        <v>13.8</v>
      </c>
      <c r="S8580" s="8">
        <v>14.6</v>
      </c>
      <c r="T8580" s="8">
        <v>0.8</v>
      </c>
      <c r="U8580" s="8">
        <v>13.3</v>
      </c>
      <c r="V8580" s="8">
        <v>1.1000000000000001</v>
      </c>
      <c r="W8580" s="8">
        <v>0.8</v>
      </c>
      <c r="X8580" s="8">
        <v>150</v>
      </c>
      <c r="Y8580" s="8" t="s">
        <v>37619</v>
      </c>
      <c r="Z8580" s="8" t="s">
        <v>37620</v>
      </c>
    </row>
    <row r="8581" spans="1:26" x14ac:dyDescent="0.2">
      <c r="A8581" s="8">
        <v>8580</v>
      </c>
      <c r="B8581" s="8" t="s">
        <v>37621</v>
      </c>
      <c r="C8581" s="8" t="s">
        <v>37621</v>
      </c>
      <c r="G8581" s="8">
        <v>20</v>
      </c>
      <c r="H8581" s="8" t="s">
        <v>21</v>
      </c>
      <c r="I8581" s="8" t="s">
        <v>22</v>
      </c>
      <c r="J8581" s="8" t="s">
        <v>57</v>
      </c>
      <c r="K8581" s="8" t="s">
        <v>3523</v>
      </c>
      <c r="L8581" s="8" t="s">
        <v>12015</v>
      </c>
      <c r="M8581" s="8" t="s">
        <v>12016</v>
      </c>
      <c r="N8581" s="8" t="s">
        <v>17852</v>
      </c>
      <c r="O8581" s="8">
        <f>11+50/60+38.4/3600</f>
        <v>11.844000000000001</v>
      </c>
      <c r="P8581" s="8" t="s">
        <v>17853</v>
      </c>
      <c r="Q8581" s="8">
        <f>+(55+21/60+14/3600)</f>
        <v>55.353888888888889</v>
      </c>
      <c r="R8581" s="8">
        <v>12.6</v>
      </c>
      <c r="S8581" s="8">
        <v>13.2</v>
      </c>
      <c r="T8581" s="8">
        <v>0.6</v>
      </c>
      <c r="U8581" s="8">
        <v>14.5</v>
      </c>
      <c r="V8581" s="8">
        <v>2.6</v>
      </c>
      <c r="W8581" s="8">
        <v>2.6</v>
      </c>
      <c r="Y8581" s="8" t="s">
        <v>37622</v>
      </c>
      <c r="Z8581" s="8" t="s">
        <v>37623</v>
      </c>
    </row>
    <row r="8582" spans="1:26" x14ac:dyDescent="0.2">
      <c r="A8582" s="8">
        <v>8581</v>
      </c>
      <c r="B8582" s="8" t="s">
        <v>37624</v>
      </c>
      <c r="C8582" s="8" t="s">
        <v>37624</v>
      </c>
      <c r="G8582" s="8">
        <v>20</v>
      </c>
      <c r="H8582" s="8" t="s">
        <v>21</v>
      </c>
      <c r="I8582" s="8" t="s">
        <v>22</v>
      </c>
      <c r="J8582" s="8" t="s">
        <v>22</v>
      </c>
      <c r="K8582" s="8" t="s">
        <v>632</v>
      </c>
      <c r="L8582" s="8" t="s">
        <v>17287</v>
      </c>
      <c r="M8582" s="8" t="s">
        <v>17288</v>
      </c>
      <c r="N8582" s="8" t="s">
        <v>37625</v>
      </c>
      <c r="O8582" s="8">
        <f>11+50/60+31.8/3600</f>
        <v>11.842166666666667</v>
      </c>
      <c r="P8582" s="8" t="s">
        <v>37626</v>
      </c>
      <c r="Q8582" s="8">
        <f>-(4+50/60+11/3600)</f>
        <v>-4.8363888888888882</v>
      </c>
      <c r="R8582" s="8">
        <v>13.9</v>
      </c>
      <c r="S8582" s="8">
        <v>14.8</v>
      </c>
      <c r="T8582" s="8">
        <v>0.9</v>
      </c>
      <c r="U8582" s="8">
        <v>12.2</v>
      </c>
      <c r="V8582" s="8">
        <v>0.8</v>
      </c>
      <c r="W8582" s="8">
        <v>0.3</v>
      </c>
      <c r="X8582" s="8">
        <v>135</v>
      </c>
      <c r="Y8582" s="8" t="s">
        <v>21</v>
      </c>
      <c r="Z8582" s="8" t="s">
        <v>37627</v>
      </c>
    </row>
    <row r="8583" spans="1:26" x14ac:dyDescent="0.2">
      <c r="A8583" s="8">
        <v>8582</v>
      </c>
      <c r="B8583" s="8" t="s">
        <v>37628</v>
      </c>
      <c r="C8583" s="8" t="s">
        <v>37628</v>
      </c>
      <c r="G8583" s="8">
        <v>20</v>
      </c>
      <c r="H8583" s="8" t="s">
        <v>21</v>
      </c>
      <c r="I8583" s="8" t="s">
        <v>22</v>
      </c>
      <c r="J8583" s="8" t="s">
        <v>22</v>
      </c>
      <c r="K8583" s="8" t="s">
        <v>406</v>
      </c>
      <c r="L8583" s="8" t="s">
        <v>13194</v>
      </c>
      <c r="M8583" s="8" t="s">
        <v>13195</v>
      </c>
      <c r="N8583" s="8" t="s">
        <v>37629</v>
      </c>
      <c r="O8583" s="8">
        <f>11+51/60+2.2/3600</f>
        <v>11.85061111111111</v>
      </c>
      <c r="P8583" s="8" t="s">
        <v>37630</v>
      </c>
      <c r="Q8583" s="8">
        <f>+(20+47/60+59/3600)</f>
        <v>20.799722222222226</v>
      </c>
      <c r="R8583" s="8">
        <v>13.9</v>
      </c>
      <c r="S8583" s="8">
        <v>14.7</v>
      </c>
      <c r="T8583" s="8">
        <v>0.8</v>
      </c>
      <c r="U8583" s="8">
        <v>13.9</v>
      </c>
      <c r="V8583" s="8">
        <v>1.2</v>
      </c>
      <c r="W8583" s="8">
        <v>1.1000000000000001</v>
      </c>
      <c r="Y8583" s="8" t="s">
        <v>21</v>
      </c>
      <c r="Z8583" s="8" t="s">
        <v>37631</v>
      </c>
    </row>
    <row r="8584" spans="1:26" x14ac:dyDescent="0.2">
      <c r="A8584" s="8">
        <v>8583</v>
      </c>
      <c r="B8584" s="8" t="s">
        <v>37632</v>
      </c>
      <c r="C8584" s="8" t="s">
        <v>37632</v>
      </c>
      <c r="G8584" s="8">
        <v>20</v>
      </c>
      <c r="H8584" s="8" t="s">
        <v>21</v>
      </c>
      <c r="I8584" s="8" t="s">
        <v>22</v>
      </c>
      <c r="J8584" s="8" t="s">
        <v>22</v>
      </c>
      <c r="K8584" s="8" t="s">
        <v>160</v>
      </c>
      <c r="L8584" s="8" t="s">
        <v>15699</v>
      </c>
      <c r="M8584" s="8" t="s">
        <v>15700</v>
      </c>
      <c r="N8584" s="8" t="s">
        <v>37633</v>
      </c>
      <c r="O8584" s="8">
        <f>11+53/60+22.3/3600</f>
        <v>11.889527777777777</v>
      </c>
      <c r="P8584" s="8" t="s">
        <v>37634</v>
      </c>
      <c r="Q8584" s="8">
        <f>-(13+15/60+53/3600)</f>
        <v>-13.264722222222222</v>
      </c>
      <c r="R8584" s="8">
        <v>14.5</v>
      </c>
      <c r="S8584" s="8">
        <v>15.2</v>
      </c>
      <c r="T8584" s="8">
        <v>0.7</v>
      </c>
      <c r="U8584" s="8">
        <v>13.6</v>
      </c>
      <c r="V8584" s="8">
        <v>1.2</v>
      </c>
      <c r="W8584" s="8">
        <v>0.4</v>
      </c>
      <c r="X8584" s="8">
        <v>147</v>
      </c>
      <c r="Y8584" s="8" t="s">
        <v>33652</v>
      </c>
      <c r="Z8584" s="8" t="s">
        <v>33653</v>
      </c>
    </row>
    <row r="8585" spans="1:26" x14ac:dyDescent="0.2">
      <c r="A8585" s="8">
        <v>8584</v>
      </c>
      <c r="B8585" s="8" t="s">
        <v>37635</v>
      </c>
      <c r="C8585" s="8" t="s">
        <v>37635</v>
      </c>
      <c r="G8585" s="8">
        <v>20</v>
      </c>
      <c r="H8585" s="8" t="s">
        <v>21</v>
      </c>
      <c r="I8585" s="8" t="s">
        <v>22</v>
      </c>
      <c r="J8585" s="8" t="s">
        <v>22</v>
      </c>
      <c r="K8585" s="8" t="s">
        <v>449</v>
      </c>
      <c r="L8585" s="8" t="s">
        <v>13194</v>
      </c>
      <c r="M8585" s="8" t="s">
        <v>13195</v>
      </c>
      <c r="N8585" s="8" t="s">
        <v>37636</v>
      </c>
      <c r="O8585" s="8">
        <f>11+54/60+4.7/3600</f>
        <v>11.901305555555556</v>
      </c>
      <c r="P8585" s="8" t="s">
        <v>37637</v>
      </c>
      <c r="Q8585" s="8">
        <f>+(23+11/60+34/3600)</f>
        <v>23.192777777777778</v>
      </c>
      <c r="R8585" s="8">
        <v>14.9</v>
      </c>
      <c r="S8585" s="8">
        <v>15.7</v>
      </c>
      <c r="T8585" s="8">
        <v>0.8</v>
      </c>
      <c r="U8585" s="8">
        <v>13.4</v>
      </c>
      <c r="V8585" s="8">
        <v>1</v>
      </c>
      <c r="W8585" s="8">
        <v>0.3</v>
      </c>
      <c r="X8585" s="8">
        <v>81</v>
      </c>
      <c r="Y8585" s="8" t="s">
        <v>37638</v>
      </c>
      <c r="Z8585" s="8" t="s">
        <v>37639</v>
      </c>
    </row>
    <row r="8586" spans="1:26" x14ac:dyDescent="0.2">
      <c r="A8586" s="8">
        <v>8585</v>
      </c>
      <c r="B8586" s="8" t="s">
        <v>37640</v>
      </c>
      <c r="C8586" s="8" t="s">
        <v>37640</v>
      </c>
      <c r="G8586" s="8">
        <v>20</v>
      </c>
      <c r="H8586" s="8" t="s">
        <v>21</v>
      </c>
      <c r="I8586" s="8" t="s">
        <v>22</v>
      </c>
      <c r="J8586" s="8" t="s">
        <v>22</v>
      </c>
      <c r="K8586" s="8" t="s">
        <v>37</v>
      </c>
      <c r="L8586" s="8" t="s">
        <v>17287</v>
      </c>
      <c r="M8586" s="8" t="s">
        <v>17288</v>
      </c>
      <c r="N8586" s="8" t="s">
        <v>37641</v>
      </c>
      <c r="O8586" s="8">
        <f>11+54/60+12.2/3600</f>
        <v>11.903388888888889</v>
      </c>
      <c r="P8586" s="8" t="s">
        <v>37642</v>
      </c>
      <c r="Q8586" s="8">
        <f>+(0+8/60+13/3600)</f>
        <v>0.13694444444444445</v>
      </c>
      <c r="R8586" s="8">
        <v>13.2</v>
      </c>
      <c r="S8586" s="8">
        <v>14.2</v>
      </c>
      <c r="T8586" s="8">
        <v>1</v>
      </c>
      <c r="U8586" s="8">
        <v>12.3</v>
      </c>
      <c r="V8586" s="8">
        <v>0.7</v>
      </c>
      <c r="W8586" s="8">
        <v>0.7</v>
      </c>
      <c r="Y8586" s="8" t="s">
        <v>37643</v>
      </c>
      <c r="Z8586" s="8" t="s">
        <v>37644</v>
      </c>
    </row>
    <row r="8587" spans="1:26" x14ac:dyDescent="0.2">
      <c r="A8587" s="8">
        <v>8586</v>
      </c>
      <c r="B8587" s="8" t="s">
        <v>37645</v>
      </c>
      <c r="C8587" s="8" t="s">
        <v>37645</v>
      </c>
      <c r="G8587" s="8">
        <v>20</v>
      </c>
      <c r="H8587" s="8" t="s">
        <v>21</v>
      </c>
      <c r="I8587" s="8" t="s">
        <v>22</v>
      </c>
      <c r="J8587" s="8" t="s">
        <v>22</v>
      </c>
      <c r="K8587" s="8" t="s">
        <v>396</v>
      </c>
      <c r="L8587" s="8" t="s">
        <v>13194</v>
      </c>
      <c r="M8587" s="8" t="s">
        <v>13195</v>
      </c>
      <c r="N8587" s="8" t="s">
        <v>37646</v>
      </c>
      <c r="O8587" s="8">
        <f>11+55/60+35.1/3600</f>
        <v>11.926416666666666</v>
      </c>
      <c r="P8587" s="8" t="s">
        <v>37647</v>
      </c>
      <c r="Q8587" s="8">
        <f>+(25+53/60+20/3600)</f>
        <v>25.888888888888889</v>
      </c>
      <c r="R8587" s="8">
        <v>13.9</v>
      </c>
      <c r="S8587" s="8">
        <v>14.7</v>
      </c>
      <c r="T8587" s="8">
        <v>0.8</v>
      </c>
      <c r="U8587" s="8">
        <v>13.2</v>
      </c>
      <c r="V8587" s="8">
        <v>1.1000000000000001</v>
      </c>
      <c r="W8587" s="8">
        <v>0.3</v>
      </c>
      <c r="X8587" s="8">
        <v>169</v>
      </c>
      <c r="Y8587" s="8" t="s">
        <v>1374</v>
      </c>
      <c r="Z8587" s="8" t="s">
        <v>1375</v>
      </c>
    </row>
    <row r="8588" spans="1:26" x14ac:dyDescent="0.2">
      <c r="A8588" s="8">
        <v>8587</v>
      </c>
      <c r="B8588" s="8" t="s">
        <v>37648</v>
      </c>
      <c r="C8588" s="8" t="s">
        <v>37648</v>
      </c>
      <c r="G8588" s="8">
        <v>20</v>
      </c>
      <c r="H8588" s="8" t="s">
        <v>21</v>
      </c>
      <c r="I8588" s="8" t="s">
        <v>22</v>
      </c>
      <c r="J8588" s="8" t="s">
        <v>22</v>
      </c>
      <c r="K8588" s="8" t="s">
        <v>382</v>
      </c>
      <c r="L8588" s="8" t="s">
        <v>17287</v>
      </c>
      <c r="M8588" s="8" t="s">
        <v>17288</v>
      </c>
      <c r="N8588" s="8" t="s">
        <v>37649</v>
      </c>
      <c r="O8588" s="8">
        <f>11+57/60+4.8/3600</f>
        <v>11.951333333333332</v>
      </c>
      <c r="P8588" s="8" t="s">
        <v>37650</v>
      </c>
      <c r="Q8588" s="8">
        <f>-(8+17/60+30/3600)</f>
        <v>-8.2916666666666661</v>
      </c>
      <c r="R8588" s="8">
        <v>14.4</v>
      </c>
      <c r="S8588" s="8">
        <v>15.4</v>
      </c>
      <c r="T8588" s="8">
        <v>1</v>
      </c>
      <c r="U8588" s="8">
        <v>12.9</v>
      </c>
      <c r="V8588" s="8">
        <v>0.6</v>
      </c>
      <c r="W8588" s="8">
        <v>0.4</v>
      </c>
      <c r="X8588" s="8">
        <v>45</v>
      </c>
      <c r="Y8588" s="8" t="s">
        <v>5926</v>
      </c>
      <c r="Z8588" s="8" t="s">
        <v>23179</v>
      </c>
    </row>
    <row r="8589" spans="1:26" x14ac:dyDescent="0.2">
      <c r="A8589" s="8">
        <v>8588</v>
      </c>
      <c r="B8589" s="8" t="s">
        <v>37651</v>
      </c>
      <c r="C8589" s="8" t="s">
        <v>37651</v>
      </c>
      <c r="G8589" s="8">
        <v>20</v>
      </c>
      <c r="H8589" s="8" t="s">
        <v>21</v>
      </c>
      <c r="I8589" s="8" t="s">
        <v>22</v>
      </c>
      <c r="J8589" s="8" t="s">
        <v>22</v>
      </c>
      <c r="K8589" s="8" t="s">
        <v>1136</v>
      </c>
      <c r="L8589" s="8" t="s">
        <v>17287</v>
      </c>
      <c r="M8589" s="8" t="s">
        <v>17288</v>
      </c>
      <c r="N8589" s="8" t="s">
        <v>18177</v>
      </c>
      <c r="O8589" s="8">
        <f>11+57/60+26.6/3600</f>
        <v>11.957388888888888</v>
      </c>
      <c r="P8589" s="8" t="s">
        <v>37652</v>
      </c>
      <c r="Q8589" s="8">
        <f>+(7+27/60+41/3600)</f>
        <v>7.4613888888888891</v>
      </c>
      <c r="R8589" s="8">
        <v>14.4</v>
      </c>
      <c r="S8589" s="8">
        <v>15.4</v>
      </c>
      <c r="T8589" s="8">
        <v>1</v>
      </c>
      <c r="U8589" s="8">
        <v>13.2</v>
      </c>
      <c r="V8589" s="8">
        <v>0.6</v>
      </c>
      <c r="W8589" s="8">
        <v>0.5</v>
      </c>
      <c r="X8589" s="8">
        <v>81</v>
      </c>
      <c r="Y8589" s="8" t="s">
        <v>21</v>
      </c>
      <c r="Z8589" s="8" t="s">
        <v>37653</v>
      </c>
    </row>
    <row r="8590" spans="1:26" x14ac:dyDescent="0.2">
      <c r="A8590" s="8">
        <v>8589</v>
      </c>
      <c r="B8590" s="8" t="s">
        <v>37654</v>
      </c>
      <c r="C8590" s="8" t="s">
        <v>37654</v>
      </c>
      <c r="G8590" s="8">
        <v>13</v>
      </c>
      <c r="H8590" s="8" t="s">
        <v>21</v>
      </c>
      <c r="I8590" s="8" t="s">
        <v>22</v>
      </c>
      <c r="J8590" s="8" t="s">
        <v>22</v>
      </c>
      <c r="K8590" s="8" t="s">
        <v>1277</v>
      </c>
      <c r="L8590" s="8" t="s">
        <v>12015</v>
      </c>
      <c r="M8590" s="8" t="s">
        <v>12016</v>
      </c>
      <c r="N8590" s="8" t="s">
        <v>37655</v>
      </c>
      <c r="O8590" s="8">
        <f>11+58/60+33.9/3600</f>
        <v>11.976083333333333</v>
      </c>
      <c r="P8590" s="8" t="s">
        <v>37656</v>
      </c>
      <c r="Q8590" s="8">
        <f>+(42+44/60+0/3600)</f>
        <v>42.733333333333334</v>
      </c>
      <c r="R8590" s="8">
        <v>12.4</v>
      </c>
      <c r="S8590" s="8">
        <v>12.9</v>
      </c>
      <c r="T8590" s="8">
        <v>0.5</v>
      </c>
      <c r="U8590" s="8">
        <v>13.8</v>
      </c>
      <c r="V8590" s="8">
        <v>2.2999999999999998</v>
      </c>
      <c r="W8590" s="8">
        <v>2</v>
      </c>
      <c r="X8590" s="8">
        <v>150</v>
      </c>
      <c r="Y8590" s="8" t="s">
        <v>37657</v>
      </c>
      <c r="Z8590" s="8" t="s">
        <v>37658</v>
      </c>
    </row>
    <row r="8591" spans="1:26" x14ac:dyDescent="0.2">
      <c r="A8591" s="8">
        <v>8590</v>
      </c>
      <c r="B8591" s="8" t="s">
        <v>37659</v>
      </c>
      <c r="C8591" s="8" t="s">
        <v>37659</v>
      </c>
      <c r="G8591" s="8">
        <v>13</v>
      </c>
      <c r="H8591" s="8" t="s">
        <v>21</v>
      </c>
      <c r="I8591" s="8" t="s">
        <v>22</v>
      </c>
      <c r="J8591" s="8" t="s">
        <v>22</v>
      </c>
      <c r="K8591" s="8" t="s">
        <v>31</v>
      </c>
      <c r="L8591" s="8" t="s">
        <v>12015</v>
      </c>
      <c r="M8591" s="8" t="s">
        <v>12016</v>
      </c>
      <c r="N8591" s="8" t="s">
        <v>37660</v>
      </c>
      <c r="O8591" s="8">
        <f>11+58/60+52/3600</f>
        <v>11.981111111111112</v>
      </c>
      <c r="P8591" s="8" t="s">
        <v>37661</v>
      </c>
      <c r="Q8591" s="8">
        <f>+(42+43/60+22/3600)</f>
        <v>42.722777777777779</v>
      </c>
      <c r="R8591" s="8">
        <v>11.9</v>
      </c>
      <c r="S8591" s="8">
        <v>12.9</v>
      </c>
      <c r="T8591" s="8">
        <v>1</v>
      </c>
      <c r="U8591" s="8">
        <v>13</v>
      </c>
      <c r="V8591" s="8">
        <v>2.6</v>
      </c>
      <c r="W8591" s="8">
        <v>1.2</v>
      </c>
      <c r="X8591" s="8">
        <v>43</v>
      </c>
      <c r="Y8591" s="8" t="s">
        <v>21</v>
      </c>
      <c r="Z8591" s="8" t="s">
        <v>37662</v>
      </c>
    </row>
    <row r="8592" spans="1:26" x14ac:dyDescent="0.2">
      <c r="A8592" s="8">
        <v>8591</v>
      </c>
      <c r="B8592" s="8" t="s">
        <v>37663</v>
      </c>
      <c r="C8592" s="8" t="s">
        <v>37663</v>
      </c>
      <c r="G8592" s="8">
        <v>20</v>
      </c>
      <c r="H8592" s="8" t="s">
        <v>21</v>
      </c>
      <c r="I8592" s="8" t="s">
        <v>22</v>
      </c>
      <c r="J8592" s="8" t="s">
        <v>22</v>
      </c>
      <c r="K8592" s="8" t="s">
        <v>23</v>
      </c>
      <c r="L8592" s="8" t="s">
        <v>12015</v>
      </c>
      <c r="M8592" s="8" t="s">
        <v>12016</v>
      </c>
      <c r="N8592" s="8" t="s">
        <v>37664</v>
      </c>
      <c r="O8592" s="8">
        <f>11+58/60+52.4/3600</f>
        <v>11.981222222222222</v>
      </c>
      <c r="P8592" s="8" t="s">
        <v>37665</v>
      </c>
      <c r="Q8592" s="8">
        <f>+(42+34/60+12/3600)</f>
        <v>42.57</v>
      </c>
      <c r="R8592" s="8">
        <v>14.3</v>
      </c>
      <c r="S8592" s="8">
        <v>15.1</v>
      </c>
      <c r="T8592" s="8">
        <v>0.8</v>
      </c>
      <c r="U8592" s="8">
        <v>13</v>
      </c>
      <c r="V8592" s="8">
        <v>1.2</v>
      </c>
      <c r="W8592" s="8">
        <v>0.3</v>
      </c>
      <c r="X8592" s="8">
        <v>30</v>
      </c>
      <c r="Y8592" s="8" t="s">
        <v>37666</v>
      </c>
      <c r="Z8592" s="8" t="s">
        <v>37667</v>
      </c>
    </row>
    <row r="8593" spans="1:26" x14ac:dyDescent="0.2">
      <c r="A8593" s="8">
        <v>8592</v>
      </c>
      <c r="B8593" s="8" t="s">
        <v>37668</v>
      </c>
      <c r="C8593" s="8" t="s">
        <v>37668</v>
      </c>
      <c r="G8593" s="8">
        <v>20</v>
      </c>
      <c r="H8593" s="8" t="s">
        <v>21</v>
      </c>
      <c r="I8593" s="8" t="s">
        <v>22</v>
      </c>
      <c r="J8593" s="8" t="s">
        <v>22</v>
      </c>
      <c r="K8593" s="8" t="s">
        <v>476</v>
      </c>
      <c r="L8593" s="8" t="s">
        <v>12015</v>
      </c>
      <c r="M8593" s="8" t="s">
        <v>12016</v>
      </c>
      <c r="N8593" s="8" t="s">
        <v>37669</v>
      </c>
      <c r="O8593" s="8">
        <f>11+59/60+15/3600</f>
        <v>11.987499999999999</v>
      </c>
      <c r="P8593" s="8" t="s">
        <v>37670</v>
      </c>
      <c r="Q8593" s="8">
        <f>+(42+34/60+1/3600)</f>
        <v>42.566944444444445</v>
      </c>
      <c r="R8593" s="8">
        <v>14.4</v>
      </c>
      <c r="S8593" s="8">
        <v>15.2</v>
      </c>
      <c r="T8593" s="8">
        <v>0.8</v>
      </c>
      <c r="U8593" s="8">
        <v>12.9</v>
      </c>
      <c r="V8593" s="8">
        <v>0.6</v>
      </c>
      <c r="W8593" s="8">
        <v>0.5</v>
      </c>
      <c r="Y8593" s="8" t="s">
        <v>21</v>
      </c>
      <c r="Z8593" s="8" t="s">
        <v>37671</v>
      </c>
    </row>
    <row r="8594" spans="1:26" x14ac:dyDescent="0.2">
      <c r="A8594" s="8">
        <v>8593</v>
      </c>
      <c r="B8594" s="8" t="s">
        <v>37672</v>
      </c>
      <c r="C8594" s="8" t="s">
        <v>37672</v>
      </c>
      <c r="G8594" s="8">
        <v>20</v>
      </c>
      <c r="H8594" s="8" t="s">
        <v>21</v>
      </c>
      <c r="I8594" s="8" t="s">
        <v>22</v>
      </c>
      <c r="J8594" s="8" t="s">
        <v>22</v>
      </c>
      <c r="K8594" s="8" t="s">
        <v>224</v>
      </c>
      <c r="L8594" s="8" t="s">
        <v>17287</v>
      </c>
      <c r="M8594" s="8" t="s">
        <v>17288</v>
      </c>
      <c r="N8594" s="8" t="s">
        <v>37673</v>
      </c>
      <c r="O8594" s="8">
        <f>11+59/60+12.8/3600</f>
        <v>11.986888888888888</v>
      </c>
      <c r="P8594" s="8" t="s">
        <v>37674</v>
      </c>
      <c r="Q8594" s="8">
        <f>-(0+31/60+25/3600)</f>
        <v>-0.52361111111111114</v>
      </c>
      <c r="R8594" s="8">
        <v>13.6</v>
      </c>
      <c r="S8594" s="8">
        <v>14.6</v>
      </c>
      <c r="T8594" s="8">
        <v>1</v>
      </c>
      <c r="U8594" s="8">
        <v>11.2</v>
      </c>
      <c r="V8594" s="8">
        <v>0.4</v>
      </c>
      <c r="W8594" s="8">
        <v>0.3</v>
      </c>
      <c r="X8594" s="8">
        <v>30</v>
      </c>
      <c r="Y8594" s="8" t="s">
        <v>37675</v>
      </c>
      <c r="Z8594" s="8" t="s">
        <v>37676</v>
      </c>
    </row>
    <row r="8595" spans="1:26" x14ac:dyDescent="0.2">
      <c r="A8595" s="8">
        <v>8594</v>
      </c>
      <c r="B8595" s="8" t="s">
        <v>37677</v>
      </c>
      <c r="C8595" s="8" t="s">
        <v>37677</v>
      </c>
      <c r="G8595" s="8">
        <v>20</v>
      </c>
      <c r="H8595" s="8" t="s">
        <v>21</v>
      </c>
      <c r="I8595" s="8" t="s">
        <v>22</v>
      </c>
      <c r="J8595" s="8" t="s">
        <v>22</v>
      </c>
      <c r="K8595" s="8" t="s">
        <v>1136</v>
      </c>
      <c r="L8595" s="8" t="s">
        <v>17287</v>
      </c>
      <c r="M8595" s="8" t="s">
        <v>17288</v>
      </c>
      <c r="N8595" s="8" t="s">
        <v>37678</v>
      </c>
      <c r="O8595" s="8">
        <f>11+59/60+23.5/3600</f>
        <v>11.989861111111111</v>
      </c>
      <c r="P8595" s="8" t="s">
        <v>37679</v>
      </c>
      <c r="Q8595" s="8">
        <f>-(1+39/60+16/3600)</f>
        <v>-1.6544444444444444</v>
      </c>
      <c r="R8595" s="8">
        <v>13.1</v>
      </c>
      <c r="S8595" s="8">
        <v>14.1</v>
      </c>
      <c r="T8595" s="8">
        <v>1</v>
      </c>
      <c r="U8595" s="8">
        <v>12.6</v>
      </c>
      <c r="V8595" s="8">
        <v>1.1000000000000001</v>
      </c>
      <c r="W8595" s="8">
        <v>0.9</v>
      </c>
      <c r="X8595" s="8">
        <v>19</v>
      </c>
      <c r="Y8595" s="8" t="s">
        <v>337</v>
      </c>
      <c r="Z8595" s="8" t="s">
        <v>338</v>
      </c>
    </row>
    <row r="8596" spans="1:26" x14ac:dyDescent="0.2">
      <c r="A8596" s="8">
        <v>8595</v>
      </c>
      <c r="B8596" s="8" t="s">
        <v>37680</v>
      </c>
      <c r="C8596" s="8" t="s">
        <v>37680</v>
      </c>
      <c r="G8596" s="8">
        <v>20</v>
      </c>
      <c r="H8596" s="8" t="s">
        <v>21</v>
      </c>
      <c r="I8596" s="8" t="s">
        <v>22</v>
      </c>
      <c r="J8596" s="8" t="s">
        <v>57</v>
      </c>
      <c r="K8596" s="8" t="s">
        <v>218</v>
      </c>
      <c r="L8596" s="8" t="s">
        <v>18289</v>
      </c>
      <c r="M8596" s="8" t="s">
        <v>18290</v>
      </c>
      <c r="N8596" s="8" t="s">
        <v>18310</v>
      </c>
      <c r="O8596" s="8">
        <f>12+1/60+10.5/3600</f>
        <v>12.019583333333333</v>
      </c>
      <c r="P8596" s="8" t="s">
        <v>18311</v>
      </c>
      <c r="Q8596" s="8">
        <f>+(14+6/60+15/3600)</f>
        <v>14.104166666666666</v>
      </c>
      <c r="R8596" s="8">
        <v>13.2</v>
      </c>
      <c r="S8596" s="8">
        <v>14</v>
      </c>
      <c r="T8596" s="8">
        <v>0.8</v>
      </c>
      <c r="U8596" s="8">
        <v>12.7</v>
      </c>
      <c r="V8596" s="8">
        <v>2.4</v>
      </c>
      <c r="W8596" s="8">
        <v>0.3</v>
      </c>
      <c r="X8596" s="8">
        <v>145</v>
      </c>
      <c r="Y8596" s="8" t="s">
        <v>37681</v>
      </c>
      <c r="Z8596" s="8" t="s">
        <v>37682</v>
      </c>
    </row>
    <row r="8597" spans="1:26" x14ac:dyDescent="0.2">
      <c r="A8597" s="8">
        <v>8596</v>
      </c>
      <c r="B8597" s="8" t="s">
        <v>37683</v>
      </c>
      <c r="C8597" s="8" t="s">
        <v>37683</v>
      </c>
      <c r="G8597" s="8">
        <v>20</v>
      </c>
      <c r="H8597" s="8" t="s">
        <v>21</v>
      </c>
      <c r="I8597" s="8" t="s">
        <v>22</v>
      </c>
      <c r="J8597" s="8" t="s">
        <v>22</v>
      </c>
      <c r="K8597" s="8" t="s">
        <v>160</v>
      </c>
      <c r="L8597" s="8" t="s">
        <v>17287</v>
      </c>
      <c r="M8597" s="8" t="s">
        <v>17288</v>
      </c>
      <c r="N8597" s="8" t="s">
        <v>37684</v>
      </c>
      <c r="O8597" s="8">
        <f>12+2/60+57.8/3600</f>
        <v>12.049388888888888</v>
      </c>
      <c r="P8597" s="8" t="s">
        <v>37685</v>
      </c>
      <c r="Q8597" s="8">
        <f>+(4+50/60+42/3600)</f>
        <v>4.8449999999999998</v>
      </c>
      <c r="R8597" s="8">
        <v>13.6</v>
      </c>
      <c r="S8597" s="8">
        <v>14.3</v>
      </c>
      <c r="T8597" s="8">
        <v>0.7</v>
      </c>
      <c r="U8597" s="8">
        <v>13.7</v>
      </c>
      <c r="V8597" s="8">
        <v>1.8</v>
      </c>
      <c r="W8597" s="8">
        <v>0.7</v>
      </c>
      <c r="X8597" s="8">
        <v>102</v>
      </c>
      <c r="Y8597" s="8" t="s">
        <v>1225</v>
      </c>
      <c r="Z8597" s="8" t="s">
        <v>1226</v>
      </c>
    </row>
    <row r="8598" spans="1:26" x14ac:dyDescent="0.2">
      <c r="A8598" s="8">
        <v>8597</v>
      </c>
      <c r="B8598" s="8" t="s">
        <v>37686</v>
      </c>
      <c r="C8598" s="8" t="s">
        <v>37686</v>
      </c>
      <c r="G8598" s="8">
        <v>20</v>
      </c>
      <c r="H8598" s="8" t="s">
        <v>21</v>
      </c>
      <c r="I8598" s="8" t="s">
        <v>22</v>
      </c>
      <c r="J8598" s="8" t="s">
        <v>57</v>
      </c>
      <c r="K8598" s="8" t="s">
        <v>3616</v>
      </c>
      <c r="L8598" s="8" t="s">
        <v>12015</v>
      </c>
      <c r="M8598" s="8" t="s">
        <v>12016</v>
      </c>
      <c r="N8598" s="8" t="s">
        <v>18512</v>
      </c>
      <c r="O8598" s="8">
        <f>12+4/60+2.3/3600</f>
        <v>12.067305555555555</v>
      </c>
      <c r="P8598" s="8" t="s">
        <v>18513</v>
      </c>
      <c r="Q8598" s="8">
        <f>+(52+35/60+26/3600)</f>
        <v>52.590555555555561</v>
      </c>
      <c r="R8598" s="8">
        <v>12.4</v>
      </c>
      <c r="S8598" s="8">
        <v>13</v>
      </c>
      <c r="T8598" s="8">
        <v>0.6</v>
      </c>
      <c r="U8598" s="8">
        <v>13.8</v>
      </c>
      <c r="V8598" s="8">
        <v>2.5</v>
      </c>
      <c r="W8598" s="8">
        <v>1.6</v>
      </c>
      <c r="X8598" s="8">
        <v>30</v>
      </c>
      <c r="Y8598" s="8" t="s">
        <v>21</v>
      </c>
      <c r="Z8598" s="8" t="s">
        <v>37687</v>
      </c>
    </row>
    <row r="8599" spans="1:26" x14ac:dyDescent="0.2">
      <c r="A8599" s="8">
        <v>8598</v>
      </c>
      <c r="B8599" s="8" t="s">
        <v>37688</v>
      </c>
      <c r="C8599" s="8" t="s">
        <v>37688</v>
      </c>
      <c r="G8599" s="8">
        <v>20</v>
      </c>
      <c r="H8599" s="8" t="s">
        <v>21</v>
      </c>
      <c r="I8599" s="8" t="s">
        <v>22</v>
      </c>
      <c r="J8599" s="8" t="s">
        <v>22</v>
      </c>
      <c r="K8599" s="8" t="s">
        <v>64</v>
      </c>
      <c r="L8599" s="8" t="s">
        <v>12015</v>
      </c>
      <c r="M8599" s="8" t="s">
        <v>12016</v>
      </c>
      <c r="N8599" s="8" t="s">
        <v>37689</v>
      </c>
      <c r="O8599" s="8">
        <f>12+4/60+11.9/3600</f>
        <v>12.069972222222223</v>
      </c>
      <c r="P8599" s="8" t="s">
        <v>37690</v>
      </c>
      <c r="Q8599" s="8">
        <f>+(62+30/60+20/3600)</f>
        <v>62.505555555555553</v>
      </c>
      <c r="R8599" s="8">
        <v>13.3</v>
      </c>
      <c r="S8599" s="8">
        <v>14</v>
      </c>
      <c r="T8599" s="8">
        <v>0.7</v>
      </c>
      <c r="U8599" s="8">
        <v>14.4</v>
      </c>
      <c r="V8599" s="8">
        <v>1.9</v>
      </c>
      <c r="W8599" s="8">
        <v>1.6</v>
      </c>
      <c r="X8599" s="8">
        <v>9</v>
      </c>
      <c r="Y8599" s="8" t="s">
        <v>21</v>
      </c>
      <c r="Z8599" s="8" t="s">
        <v>37691</v>
      </c>
    </row>
    <row r="8600" spans="1:26" x14ac:dyDescent="0.2">
      <c r="A8600" s="8">
        <v>8599</v>
      </c>
      <c r="B8600" s="8" t="s">
        <v>37692</v>
      </c>
      <c r="C8600" s="8" t="s">
        <v>37692</v>
      </c>
      <c r="G8600" s="8">
        <v>20</v>
      </c>
      <c r="H8600" s="8" t="s">
        <v>21</v>
      </c>
      <c r="I8600" s="8" t="s">
        <v>329</v>
      </c>
      <c r="J8600" s="8" t="s">
        <v>329</v>
      </c>
      <c r="K8600" s="8" t="s">
        <v>329</v>
      </c>
      <c r="L8600" s="8" t="s">
        <v>18289</v>
      </c>
      <c r="M8600" s="8" t="s">
        <v>18290</v>
      </c>
      <c r="N8600" s="8" t="s">
        <v>37693</v>
      </c>
      <c r="O8600" s="8">
        <f>12+5/60+9.3/3600</f>
        <v>12.085916666666668</v>
      </c>
      <c r="P8600" s="8" t="s">
        <v>37694</v>
      </c>
      <c r="Q8600" s="8">
        <f>+(20+15/60+36/3600)</f>
        <v>20.260000000000002</v>
      </c>
      <c r="R8600" s="8">
        <v>99</v>
      </c>
      <c r="S8600" s="8">
        <v>99</v>
      </c>
      <c r="T8600" s="8">
        <v>99</v>
      </c>
      <c r="U8600" s="8">
        <v>99</v>
      </c>
      <c r="Y8600" s="8" t="s">
        <v>36958</v>
      </c>
      <c r="Z8600" s="8" t="s">
        <v>36959</v>
      </c>
    </row>
    <row r="8601" spans="1:26" x14ac:dyDescent="0.2">
      <c r="A8601" s="8">
        <v>8600</v>
      </c>
      <c r="B8601" s="8" t="s">
        <v>37695</v>
      </c>
      <c r="C8601" s="8" t="s">
        <v>37695</v>
      </c>
      <c r="G8601" s="8">
        <v>20</v>
      </c>
      <c r="H8601" s="8" t="s">
        <v>21</v>
      </c>
      <c r="I8601" s="8" t="s">
        <v>22</v>
      </c>
      <c r="J8601" s="8" t="s">
        <v>22</v>
      </c>
      <c r="K8601" s="8" t="s">
        <v>37</v>
      </c>
      <c r="L8601" s="8" t="s">
        <v>11765</v>
      </c>
      <c r="M8601" s="8" t="s">
        <v>11766</v>
      </c>
      <c r="N8601" s="8" t="s">
        <v>37696</v>
      </c>
      <c r="O8601" s="8">
        <f>12+5/60+53.5/3600</f>
        <v>12.098194444444445</v>
      </c>
      <c r="P8601" s="8" t="s">
        <v>37697</v>
      </c>
      <c r="Q8601" s="8">
        <f>-(29+17/60+34/3600)</f>
        <v>-29.292777777777779</v>
      </c>
      <c r="R8601" s="8">
        <v>12.5</v>
      </c>
      <c r="S8601" s="8">
        <v>13.5</v>
      </c>
      <c r="T8601" s="8">
        <v>1</v>
      </c>
      <c r="U8601" s="8">
        <v>12.2</v>
      </c>
      <c r="V8601" s="8">
        <v>1.7</v>
      </c>
      <c r="W8601" s="8">
        <v>0.5</v>
      </c>
      <c r="X8601" s="8">
        <v>148</v>
      </c>
      <c r="Y8601" s="8" t="s">
        <v>37698</v>
      </c>
      <c r="Z8601" s="8" t="s">
        <v>37699</v>
      </c>
    </row>
    <row r="8602" spans="1:26" x14ac:dyDescent="0.2">
      <c r="A8602" s="8">
        <v>8601</v>
      </c>
      <c r="B8602" s="8" t="s">
        <v>37700</v>
      </c>
      <c r="C8602" s="8" t="s">
        <v>37700</v>
      </c>
      <c r="G8602" s="8">
        <v>20</v>
      </c>
      <c r="H8602" s="8" t="s">
        <v>21</v>
      </c>
      <c r="I8602" s="8" t="s">
        <v>22</v>
      </c>
      <c r="J8602" s="8" t="s">
        <v>22</v>
      </c>
      <c r="K8602" s="8" t="s">
        <v>37</v>
      </c>
      <c r="L8602" s="8" t="s">
        <v>15925</v>
      </c>
      <c r="M8602" s="8" t="s">
        <v>15926</v>
      </c>
      <c r="N8602" s="8" t="s">
        <v>37701</v>
      </c>
      <c r="O8602" s="8">
        <f>12+5/60+53.6/3600</f>
        <v>12.098222222222223</v>
      </c>
      <c r="P8602" s="8" t="s">
        <v>37702</v>
      </c>
      <c r="Q8602" s="8">
        <f>-(12+40/60+22/3600)</f>
        <v>-12.672777777777776</v>
      </c>
      <c r="R8602" s="8">
        <v>14.8</v>
      </c>
      <c r="S8602" s="8">
        <v>15.8</v>
      </c>
      <c r="T8602" s="8">
        <v>1</v>
      </c>
      <c r="U8602" s="8">
        <v>12.6</v>
      </c>
      <c r="V8602" s="8">
        <v>0.7</v>
      </c>
      <c r="W8602" s="8">
        <v>0.2</v>
      </c>
      <c r="X8602" s="8">
        <v>102</v>
      </c>
      <c r="Y8602" s="8" t="s">
        <v>21</v>
      </c>
      <c r="Z8602" s="8" t="s">
        <v>37703</v>
      </c>
    </row>
    <row r="8603" spans="1:26" x14ac:dyDescent="0.2">
      <c r="A8603" s="8">
        <v>8602</v>
      </c>
      <c r="B8603" s="8" t="s">
        <v>37704</v>
      </c>
      <c r="C8603" s="8" t="s">
        <v>37704</v>
      </c>
      <c r="G8603" s="8">
        <v>20</v>
      </c>
      <c r="H8603" s="8" t="s">
        <v>21</v>
      </c>
      <c r="I8603" s="8" t="s">
        <v>22</v>
      </c>
      <c r="J8603" s="8" t="s">
        <v>22</v>
      </c>
      <c r="K8603" s="8" t="s">
        <v>449</v>
      </c>
      <c r="L8603" s="8" t="s">
        <v>18289</v>
      </c>
      <c r="M8603" s="8" t="s">
        <v>18290</v>
      </c>
      <c r="N8603" s="8" t="s">
        <v>37705</v>
      </c>
      <c r="O8603" s="8">
        <f>12+8/60+11.9/3600</f>
        <v>12.136638888888889</v>
      </c>
      <c r="P8603" s="8" t="s">
        <v>37706</v>
      </c>
      <c r="Q8603" s="8">
        <f>+(25+45/60+23/3600)</f>
        <v>25.756388888888889</v>
      </c>
      <c r="R8603" s="8">
        <v>14.3</v>
      </c>
      <c r="S8603" s="8">
        <v>15.1</v>
      </c>
      <c r="T8603" s="8">
        <v>0.8</v>
      </c>
      <c r="U8603" s="8">
        <v>12.8</v>
      </c>
      <c r="V8603" s="8">
        <v>0.7</v>
      </c>
      <c r="W8603" s="8">
        <v>0.4</v>
      </c>
      <c r="X8603" s="8">
        <v>144</v>
      </c>
      <c r="Y8603" s="8" t="s">
        <v>21</v>
      </c>
      <c r="Z8603" s="8" t="s">
        <v>37707</v>
      </c>
    </row>
    <row r="8604" spans="1:26" x14ac:dyDescent="0.2">
      <c r="A8604" s="8">
        <v>8603</v>
      </c>
      <c r="B8604" s="8" t="s">
        <v>37708</v>
      </c>
      <c r="C8604" s="8" t="s">
        <v>37708</v>
      </c>
      <c r="G8604" s="8">
        <v>20</v>
      </c>
      <c r="H8604" s="8" t="s">
        <v>21</v>
      </c>
      <c r="I8604" s="8" t="s">
        <v>22</v>
      </c>
      <c r="J8604" s="8" t="s">
        <v>22</v>
      </c>
      <c r="K8604" s="8" t="s">
        <v>476</v>
      </c>
      <c r="L8604" s="8" t="s">
        <v>18289</v>
      </c>
      <c r="M8604" s="8" t="s">
        <v>18290</v>
      </c>
      <c r="N8604" s="8" t="s">
        <v>37709</v>
      </c>
      <c r="O8604" s="8">
        <f>12+8/60+15.2/3600</f>
        <v>12.137555555555554</v>
      </c>
      <c r="P8604" s="8" t="s">
        <v>37710</v>
      </c>
      <c r="Q8604" s="8">
        <f>+(25+48/60+43/3600)</f>
        <v>25.811944444444446</v>
      </c>
      <c r="R8604" s="8">
        <v>14.5</v>
      </c>
      <c r="S8604" s="8">
        <v>15.3</v>
      </c>
      <c r="T8604" s="8">
        <v>0.8</v>
      </c>
      <c r="U8604" s="8">
        <v>12.9</v>
      </c>
      <c r="V8604" s="8">
        <v>0.9</v>
      </c>
      <c r="W8604" s="8">
        <v>0.3</v>
      </c>
      <c r="X8604" s="8">
        <v>85</v>
      </c>
      <c r="Y8604" s="8" t="s">
        <v>37711</v>
      </c>
      <c r="Z8604" s="8" t="s">
        <v>37712</v>
      </c>
    </row>
    <row r="8605" spans="1:26" x14ac:dyDescent="0.2">
      <c r="A8605" s="8">
        <v>8604</v>
      </c>
      <c r="B8605" s="8" t="s">
        <v>37713</v>
      </c>
      <c r="C8605" s="8" t="s">
        <v>37713</v>
      </c>
      <c r="G8605" s="8">
        <v>12</v>
      </c>
      <c r="H8605" s="8" t="s">
        <v>21</v>
      </c>
      <c r="I8605" s="8" t="s">
        <v>22</v>
      </c>
      <c r="J8605" s="8" t="s">
        <v>22</v>
      </c>
      <c r="K8605" s="8" t="s">
        <v>64</v>
      </c>
      <c r="L8605" s="8" t="s">
        <v>11765</v>
      </c>
      <c r="M8605" s="8" t="s">
        <v>11766</v>
      </c>
      <c r="N8605" s="8" t="s">
        <v>37714</v>
      </c>
      <c r="O8605" s="8">
        <f>12+10/60+14/3600</f>
        <v>12.170555555555556</v>
      </c>
      <c r="P8605" s="8" t="s">
        <v>37715</v>
      </c>
      <c r="Q8605" s="8">
        <f>-(29+44/60+13/3600)</f>
        <v>-29.736944444444447</v>
      </c>
      <c r="R8605" s="8">
        <v>12.2</v>
      </c>
      <c r="S8605" s="8">
        <v>12.9</v>
      </c>
      <c r="T8605" s="8">
        <v>0.7</v>
      </c>
      <c r="U8605" s="8">
        <v>14.1</v>
      </c>
      <c r="V8605" s="8">
        <v>4.8</v>
      </c>
      <c r="W8605" s="8">
        <v>1.4</v>
      </c>
      <c r="X8605" s="8">
        <v>177</v>
      </c>
      <c r="Y8605" s="8" t="s">
        <v>37716</v>
      </c>
      <c r="Z8605" s="8" t="s">
        <v>37717</v>
      </c>
    </row>
    <row r="8606" spans="1:26" x14ac:dyDescent="0.2">
      <c r="A8606" s="8">
        <v>8605</v>
      </c>
      <c r="B8606" s="8" t="s">
        <v>37718</v>
      </c>
      <c r="C8606" s="8" t="s">
        <v>37718</v>
      </c>
      <c r="G8606" s="8">
        <v>20</v>
      </c>
      <c r="H8606" s="8" t="s">
        <v>21</v>
      </c>
      <c r="I8606" s="8" t="s">
        <v>72</v>
      </c>
      <c r="J8606" s="8" t="s">
        <v>72</v>
      </c>
      <c r="K8606" s="8" t="s">
        <v>20</v>
      </c>
      <c r="L8606" s="8" t="s">
        <v>18289</v>
      </c>
      <c r="M8606" s="8" t="s">
        <v>18290</v>
      </c>
      <c r="N8606" s="8" t="s">
        <v>18862</v>
      </c>
      <c r="O8606" s="8">
        <f>12+10/60+32.8/3600</f>
        <v>12.175777777777776</v>
      </c>
      <c r="P8606" s="8" t="s">
        <v>37719</v>
      </c>
      <c r="Q8606" s="8">
        <f>+(16+7/60+58/3600)</f>
        <v>16.132777777777779</v>
      </c>
      <c r="R8606" s="8">
        <v>99</v>
      </c>
      <c r="S8606" s="8">
        <v>14.8</v>
      </c>
      <c r="T8606" s="8">
        <v>99</v>
      </c>
      <c r="U8606" s="8">
        <v>99</v>
      </c>
      <c r="Y8606" s="8" t="s">
        <v>21</v>
      </c>
      <c r="Z8606" s="8" t="s">
        <v>37720</v>
      </c>
    </row>
    <row r="8607" spans="1:26" x14ac:dyDescent="0.2">
      <c r="A8607" s="8">
        <v>8606</v>
      </c>
      <c r="B8607" s="8" t="s">
        <v>37721</v>
      </c>
      <c r="C8607" s="8" t="s">
        <v>37721</v>
      </c>
      <c r="G8607" s="8">
        <v>20</v>
      </c>
      <c r="H8607" s="8" t="s">
        <v>21</v>
      </c>
      <c r="I8607" s="8" t="s">
        <v>22</v>
      </c>
      <c r="J8607" s="8" t="s">
        <v>22</v>
      </c>
      <c r="K8607" s="8" t="s">
        <v>632</v>
      </c>
      <c r="L8607" s="8" t="s">
        <v>15925</v>
      </c>
      <c r="M8607" s="8" t="s">
        <v>15926</v>
      </c>
      <c r="N8607" s="8" t="s">
        <v>37722</v>
      </c>
      <c r="O8607" s="8">
        <f>12+10/60+53.6/3600</f>
        <v>12.181555555555555</v>
      </c>
      <c r="P8607" s="8" t="s">
        <v>37723</v>
      </c>
      <c r="Q8607" s="8">
        <f>-(12+39/60+17/3600)</f>
        <v>-12.654722222222222</v>
      </c>
      <c r="R8607" s="8">
        <v>14</v>
      </c>
      <c r="S8607" s="8">
        <v>14.9</v>
      </c>
      <c r="T8607" s="8">
        <v>0.9</v>
      </c>
      <c r="U8607" s="8">
        <v>12.9</v>
      </c>
      <c r="V8607" s="8">
        <v>1.3</v>
      </c>
      <c r="W8607" s="8">
        <v>0.3</v>
      </c>
      <c r="X8607" s="8">
        <v>165</v>
      </c>
      <c r="Y8607" s="8" t="s">
        <v>21</v>
      </c>
      <c r="Z8607" s="8" t="s">
        <v>37724</v>
      </c>
    </row>
    <row r="8608" spans="1:26" x14ac:dyDescent="0.2">
      <c r="A8608" s="8">
        <v>8607</v>
      </c>
      <c r="B8608" s="8" t="s">
        <v>37725</v>
      </c>
      <c r="C8608" s="8" t="s">
        <v>37725</v>
      </c>
      <c r="G8608" s="8">
        <v>20</v>
      </c>
      <c r="H8608" s="8" t="s">
        <v>21</v>
      </c>
      <c r="I8608" s="8" t="s">
        <v>22</v>
      </c>
      <c r="J8608" s="8" t="s">
        <v>22</v>
      </c>
      <c r="K8608" s="8" t="s">
        <v>818</v>
      </c>
      <c r="L8608" s="8" t="s">
        <v>17287</v>
      </c>
      <c r="M8608" s="8" t="s">
        <v>17288</v>
      </c>
      <c r="N8608" s="8" t="s">
        <v>37726</v>
      </c>
      <c r="O8608" s="8">
        <f>12+11/60+2.8/3600</f>
        <v>12.184111111111111</v>
      </c>
      <c r="P8608" s="8" t="s">
        <v>37727</v>
      </c>
      <c r="Q8608" s="8">
        <f>+(12+6/60+15/3600)</f>
        <v>12.104166666666666</v>
      </c>
      <c r="R8608" s="8">
        <v>13.8</v>
      </c>
      <c r="S8608" s="8">
        <v>14.8</v>
      </c>
      <c r="T8608" s="8">
        <v>1</v>
      </c>
      <c r="U8608" s="8">
        <v>12.7</v>
      </c>
      <c r="V8608" s="8">
        <v>0.7</v>
      </c>
      <c r="W8608" s="8">
        <v>0.5</v>
      </c>
      <c r="X8608" s="8">
        <v>72</v>
      </c>
      <c r="Y8608" s="8" t="s">
        <v>37728</v>
      </c>
      <c r="Z8608" s="8" t="s">
        <v>37729</v>
      </c>
    </row>
    <row r="8609" spans="1:26" x14ac:dyDescent="0.2">
      <c r="A8609" s="8">
        <v>8608</v>
      </c>
      <c r="B8609" s="8" t="s">
        <v>37730</v>
      </c>
      <c r="C8609" s="8" t="s">
        <v>37730</v>
      </c>
      <c r="G8609" s="8">
        <v>20</v>
      </c>
      <c r="H8609" s="8" t="s">
        <v>21</v>
      </c>
      <c r="I8609" s="8" t="s">
        <v>22</v>
      </c>
      <c r="J8609" s="8" t="s">
        <v>22</v>
      </c>
      <c r="K8609" s="8" t="s">
        <v>160</v>
      </c>
      <c r="L8609" s="8" t="s">
        <v>17287</v>
      </c>
      <c r="M8609" s="8" t="s">
        <v>17288</v>
      </c>
      <c r="N8609" s="8" t="s">
        <v>37731</v>
      </c>
      <c r="O8609" s="8">
        <f>12+11/60+47.5/3600</f>
        <v>12.196527777777778</v>
      </c>
      <c r="P8609" s="8" t="s">
        <v>37732</v>
      </c>
      <c r="Q8609" s="8">
        <f>+(12+8/60+35/3600)</f>
        <v>12.143055555555556</v>
      </c>
      <c r="R8609" s="8">
        <v>13.7</v>
      </c>
      <c r="S8609" s="8">
        <v>14.4</v>
      </c>
      <c r="T8609" s="8">
        <v>0.7</v>
      </c>
      <c r="U8609" s="8">
        <v>13.5</v>
      </c>
      <c r="V8609" s="8">
        <v>1.4</v>
      </c>
      <c r="W8609" s="8">
        <v>0.7</v>
      </c>
      <c r="X8609" s="8">
        <v>115</v>
      </c>
      <c r="Y8609" s="8" t="s">
        <v>2304</v>
      </c>
      <c r="Z8609" s="8" t="s">
        <v>2305</v>
      </c>
    </row>
    <row r="8610" spans="1:26" x14ac:dyDescent="0.2">
      <c r="A8610" s="8">
        <v>8609</v>
      </c>
      <c r="B8610" s="8" t="s">
        <v>37733</v>
      </c>
      <c r="C8610" s="8" t="s">
        <v>37733</v>
      </c>
      <c r="G8610" s="8">
        <v>20</v>
      </c>
      <c r="H8610" s="8" t="s">
        <v>21</v>
      </c>
      <c r="I8610" s="8" t="s">
        <v>22</v>
      </c>
      <c r="J8610" s="8" t="s">
        <v>22</v>
      </c>
      <c r="K8610" s="8" t="s">
        <v>85</v>
      </c>
      <c r="L8610" s="8" t="s">
        <v>17287</v>
      </c>
      <c r="M8610" s="8" t="s">
        <v>17288</v>
      </c>
      <c r="N8610" s="8" t="s">
        <v>37734</v>
      </c>
      <c r="O8610" s="8">
        <f>12+12/60+32.2/3600</f>
        <v>12.208944444444445</v>
      </c>
      <c r="P8610" s="8" t="s">
        <v>37735</v>
      </c>
      <c r="Q8610" s="8">
        <f>+(12+7/60+24/3600)</f>
        <v>12.123333333333333</v>
      </c>
      <c r="R8610" s="8">
        <v>12.6</v>
      </c>
      <c r="S8610" s="8">
        <v>13.2</v>
      </c>
      <c r="T8610" s="8">
        <v>0.6</v>
      </c>
      <c r="U8610" s="8">
        <v>14</v>
      </c>
      <c r="V8610" s="8">
        <v>2.5</v>
      </c>
      <c r="W8610" s="8">
        <v>1.7</v>
      </c>
      <c r="X8610" s="8">
        <v>43</v>
      </c>
      <c r="Y8610" s="8" t="s">
        <v>37736</v>
      </c>
      <c r="Z8610" s="8" t="s">
        <v>37737</v>
      </c>
    </row>
    <row r="8611" spans="1:26" x14ac:dyDescent="0.2">
      <c r="A8611" s="8">
        <v>8610</v>
      </c>
      <c r="B8611" s="8" t="s">
        <v>37738</v>
      </c>
      <c r="C8611" s="8" t="s">
        <v>37738</v>
      </c>
      <c r="G8611" s="8">
        <v>20</v>
      </c>
      <c r="H8611" s="8" t="s">
        <v>21</v>
      </c>
      <c r="I8611" s="8" t="s">
        <v>22</v>
      </c>
      <c r="J8611" s="8" t="s">
        <v>22</v>
      </c>
      <c r="K8611" s="8" t="s">
        <v>460</v>
      </c>
      <c r="L8611" s="8" t="s">
        <v>17287</v>
      </c>
      <c r="M8611" s="8" t="s">
        <v>17288</v>
      </c>
      <c r="N8611" s="8" t="s">
        <v>37739</v>
      </c>
      <c r="O8611" s="8">
        <f>12+13/60+2.3/3600</f>
        <v>12.217305555555555</v>
      </c>
      <c r="P8611" s="8" t="s">
        <v>37740</v>
      </c>
      <c r="Q8611" s="8">
        <f>-(4+33/60+10/3600)</f>
        <v>-4.552777777777778</v>
      </c>
      <c r="R8611" s="8">
        <v>14.8</v>
      </c>
      <c r="S8611" s="8">
        <v>15.8</v>
      </c>
      <c r="T8611" s="8">
        <v>1</v>
      </c>
      <c r="U8611" s="8">
        <v>12.9</v>
      </c>
      <c r="V8611" s="8">
        <v>0.4</v>
      </c>
      <c r="W8611" s="8">
        <v>0.4</v>
      </c>
      <c r="Y8611" s="8" t="s">
        <v>21</v>
      </c>
      <c r="Z8611" s="8" t="s">
        <v>37741</v>
      </c>
    </row>
    <row r="8612" spans="1:26" x14ac:dyDescent="0.2">
      <c r="A8612" s="8">
        <v>8611</v>
      </c>
      <c r="B8612" s="8" t="s">
        <v>37742</v>
      </c>
      <c r="C8612" s="8" t="s">
        <v>37742</v>
      </c>
      <c r="G8612" s="8">
        <v>20</v>
      </c>
      <c r="H8612" s="8" t="s">
        <v>21</v>
      </c>
      <c r="I8612" s="8" t="s">
        <v>22</v>
      </c>
      <c r="J8612" s="8" t="s">
        <v>22</v>
      </c>
      <c r="K8612" s="8" t="s">
        <v>64</v>
      </c>
      <c r="L8612" s="8" t="s">
        <v>17287</v>
      </c>
      <c r="M8612" s="8" t="s">
        <v>17288</v>
      </c>
      <c r="N8612" s="8" t="s">
        <v>37743</v>
      </c>
      <c r="O8612" s="8">
        <f>12+15/60+13.1/3600</f>
        <v>12.253638888888888</v>
      </c>
      <c r="P8612" s="8" t="s">
        <v>20104</v>
      </c>
      <c r="Q8612" s="8">
        <f>+(13+11/60+4/3600)</f>
        <v>13.184444444444445</v>
      </c>
      <c r="R8612" s="8">
        <v>13.9</v>
      </c>
      <c r="S8612" s="8">
        <v>14.6</v>
      </c>
      <c r="T8612" s="8">
        <v>0.7</v>
      </c>
      <c r="U8612" s="8">
        <v>12.2</v>
      </c>
      <c r="V8612" s="8">
        <v>0.6</v>
      </c>
      <c r="W8612" s="8">
        <v>0.4</v>
      </c>
      <c r="Y8612" s="8" t="s">
        <v>21</v>
      </c>
      <c r="Z8612" s="8" t="s">
        <v>37744</v>
      </c>
    </row>
    <row r="8613" spans="1:26" x14ac:dyDescent="0.2">
      <c r="A8613" s="8">
        <v>8612</v>
      </c>
      <c r="B8613" s="8" t="s">
        <v>37745</v>
      </c>
      <c r="C8613" s="8" t="s">
        <v>37745</v>
      </c>
      <c r="G8613" s="8">
        <v>20</v>
      </c>
      <c r="H8613" s="8" t="s">
        <v>21</v>
      </c>
      <c r="I8613" s="8" t="s">
        <v>22</v>
      </c>
      <c r="J8613" s="8" t="s">
        <v>22</v>
      </c>
      <c r="K8613" s="8" t="s">
        <v>449</v>
      </c>
      <c r="L8613" s="8" t="s">
        <v>18289</v>
      </c>
      <c r="M8613" s="8" t="s">
        <v>18290</v>
      </c>
      <c r="N8613" s="8" t="s">
        <v>19122</v>
      </c>
      <c r="O8613" s="8">
        <f>12+15/60+15.8/3600</f>
        <v>12.254388888888888</v>
      </c>
      <c r="P8613" s="8" t="s">
        <v>37746</v>
      </c>
      <c r="Q8613" s="8">
        <f>+(23+57/60+32/3600)</f>
        <v>23.95888888888889</v>
      </c>
      <c r="R8613" s="8">
        <v>14.7</v>
      </c>
      <c r="S8613" s="8">
        <v>15.5</v>
      </c>
      <c r="T8613" s="8">
        <v>0.8</v>
      </c>
      <c r="U8613" s="8">
        <v>13.7</v>
      </c>
      <c r="V8613" s="8">
        <v>0.9</v>
      </c>
      <c r="W8613" s="8">
        <v>0.5</v>
      </c>
      <c r="X8613" s="8">
        <v>100</v>
      </c>
      <c r="Y8613" s="8" t="s">
        <v>1948</v>
      </c>
      <c r="Z8613" s="8" t="s">
        <v>24023</v>
      </c>
    </row>
    <row r="8614" spans="1:26" x14ac:dyDescent="0.2">
      <c r="A8614" s="8">
        <v>8613</v>
      </c>
      <c r="B8614" s="8" t="s">
        <v>37747</v>
      </c>
      <c r="C8614" s="8" t="s">
        <v>37747</v>
      </c>
      <c r="G8614" s="8">
        <v>20</v>
      </c>
      <c r="H8614" s="8" t="s">
        <v>21</v>
      </c>
      <c r="I8614" s="8" t="s">
        <v>22</v>
      </c>
      <c r="J8614" s="8" t="s">
        <v>22</v>
      </c>
      <c r="K8614" s="8" t="s">
        <v>435</v>
      </c>
      <c r="L8614" s="8" t="s">
        <v>17287</v>
      </c>
      <c r="M8614" s="8" t="s">
        <v>17288</v>
      </c>
      <c r="N8614" s="8" t="s">
        <v>37748</v>
      </c>
      <c r="O8614" s="8">
        <f>12+18/60+8/3600</f>
        <v>12.302222222222223</v>
      </c>
      <c r="P8614" s="8" t="s">
        <v>37749</v>
      </c>
      <c r="Q8614" s="8">
        <f>+(6+8/60+22/3600)</f>
        <v>6.1394444444444449</v>
      </c>
      <c r="R8614" s="8">
        <v>13.5</v>
      </c>
      <c r="S8614" s="8">
        <v>14.4</v>
      </c>
      <c r="T8614" s="8">
        <v>0.9</v>
      </c>
      <c r="U8614" s="8">
        <v>12.8</v>
      </c>
      <c r="V8614" s="8">
        <v>0.8</v>
      </c>
      <c r="W8614" s="8">
        <v>0.7</v>
      </c>
      <c r="X8614" s="8">
        <v>0</v>
      </c>
      <c r="Y8614" s="8" t="s">
        <v>37750</v>
      </c>
      <c r="Z8614" s="8" t="s">
        <v>37751</v>
      </c>
    </row>
    <row r="8615" spans="1:26" x14ac:dyDescent="0.2">
      <c r="A8615" s="8">
        <v>8614</v>
      </c>
      <c r="B8615" s="8" t="s">
        <v>37752</v>
      </c>
      <c r="C8615" s="8" t="s">
        <v>37752</v>
      </c>
      <c r="G8615" s="8">
        <v>20</v>
      </c>
      <c r="H8615" s="8" t="s">
        <v>21</v>
      </c>
      <c r="I8615" s="8" t="s">
        <v>22</v>
      </c>
      <c r="J8615" s="8" t="s">
        <v>22</v>
      </c>
      <c r="K8615" s="8" t="s">
        <v>460</v>
      </c>
      <c r="L8615" s="8" t="s">
        <v>17287</v>
      </c>
      <c r="M8615" s="8" t="s">
        <v>17288</v>
      </c>
      <c r="N8615" s="8" t="s">
        <v>37753</v>
      </c>
      <c r="O8615" s="8">
        <f>12+18/60+51.2/3600</f>
        <v>12.314222222222224</v>
      </c>
      <c r="P8615" s="8" t="s">
        <v>37754</v>
      </c>
      <c r="Q8615" s="8">
        <f>-(6+45/60+57/3600)</f>
        <v>-6.7658333333333331</v>
      </c>
      <c r="R8615" s="8">
        <v>14.7</v>
      </c>
      <c r="S8615" s="8">
        <v>15.7</v>
      </c>
      <c r="T8615" s="8">
        <v>1</v>
      </c>
      <c r="U8615" s="8">
        <v>13.3</v>
      </c>
      <c r="V8615" s="8">
        <v>0.5</v>
      </c>
      <c r="W8615" s="8">
        <v>0.5</v>
      </c>
      <c r="Y8615" s="8" t="s">
        <v>530</v>
      </c>
      <c r="Z8615" s="8" t="s">
        <v>531</v>
      </c>
    </row>
    <row r="8616" spans="1:26" x14ac:dyDescent="0.2">
      <c r="A8616" s="8">
        <v>8615</v>
      </c>
      <c r="B8616" s="8" t="s">
        <v>37755</v>
      </c>
      <c r="C8616" s="8" t="s">
        <v>37755</v>
      </c>
      <c r="G8616" s="8">
        <v>20</v>
      </c>
      <c r="H8616" s="8" t="s">
        <v>21</v>
      </c>
      <c r="I8616" s="8" t="s">
        <v>22</v>
      </c>
      <c r="J8616" s="8" t="s">
        <v>22</v>
      </c>
      <c r="K8616" s="8" t="s">
        <v>224</v>
      </c>
      <c r="L8616" s="8" t="s">
        <v>17287</v>
      </c>
      <c r="M8616" s="8" t="s">
        <v>17288</v>
      </c>
      <c r="N8616" s="8" t="s">
        <v>37756</v>
      </c>
      <c r="O8616" s="8">
        <f>12+18/60+53.5/3600</f>
        <v>12.314861111111112</v>
      </c>
      <c r="P8616" s="8" t="s">
        <v>37757</v>
      </c>
      <c r="Q8616" s="8">
        <f>+(12+54/60+47/3600)</f>
        <v>12.913055555555555</v>
      </c>
      <c r="R8616" s="8">
        <v>13.3</v>
      </c>
      <c r="S8616" s="8">
        <v>14.3</v>
      </c>
      <c r="T8616" s="8">
        <v>1</v>
      </c>
      <c r="U8616" s="8">
        <v>13.2</v>
      </c>
      <c r="V8616" s="8">
        <v>1.2</v>
      </c>
      <c r="W8616" s="8">
        <v>0.9</v>
      </c>
      <c r="X8616" s="8">
        <v>18</v>
      </c>
      <c r="Y8616" s="8" t="s">
        <v>37758</v>
      </c>
      <c r="Z8616" s="8" t="s">
        <v>37759</v>
      </c>
    </row>
    <row r="8617" spans="1:26" x14ac:dyDescent="0.2">
      <c r="A8617" s="8">
        <v>8616</v>
      </c>
      <c r="B8617" s="8" t="s">
        <v>37760</v>
      </c>
      <c r="C8617" s="8" t="s">
        <v>37760</v>
      </c>
      <c r="G8617" s="8">
        <v>20</v>
      </c>
      <c r="H8617" s="8" t="s">
        <v>21</v>
      </c>
      <c r="I8617" s="8" t="s">
        <v>22</v>
      </c>
      <c r="J8617" s="8" t="s">
        <v>22</v>
      </c>
      <c r="K8617" s="8" t="s">
        <v>269</v>
      </c>
      <c r="L8617" s="8" t="s">
        <v>17287</v>
      </c>
      <c r="M8617" s="8" t="s">
        <v>17288</v>
      </c>
      <c r="N8617" s="8" t="s">
        <v>37761</v>
      </c>
      <c r="O8617" s="8">
        <f>12+19/60+2.9/3600</f>
        <v>12.317472222222221</v>
      </c>
      <c r="P8617" s="8" t="s">
        <v>37762</v>
      </c>
      <c r="Q8617" s="8">
        <f>+(8+51/60+25/3600)</f>
        <v>8.8569444444444443</v>
      </c>
      <c r="R8617" s="8">
        <v>13.7</v>
      </c>
      <c r="S8617" s="8">
        <v>14.3</v>
      </c>
      <c r="T8617" s="8">
        <v>0.6</v>
      </c>
      <c r="U8617" s="8">
        <v>13.9</v>
      </c>
      <c r="V8617" s="8">
        <v>1.8</v>
      </c>
      <c r="W8617" s="8">
        <v>0.8</v>
      </c>
      <c r="X8617" s="8">
        <v>98</v>
      </c>
      <c r="Y8617" s="8" t="s">
        <v>5711</v>
      </c>
      <c r="Z8617" s="8" t="s">
        <v>5712</v>
      </c>
    </row>
    <row r="8618" spans="1:26" x14ac:dyDescent="0.2">
      <c r="A8618" s="8">
        <v>8617</v>
      </c>
      <c r="B8618" s="8" t="s">
        <v>37763</v>
      </c>
      <c r="C8618" s="8" t="s">
        <v>37763</v>
      </c>
      <c r="G8618" s="8">
        <v>20</v>
      </c>
      <c r="H8618" s="8" t="s">
        <v>21</v>
      </c>
      <c r="I8618" s="8" t="s">
        <v>22</v>
      </c>
      <c r="J8618" s="8" t="s">
        <v>22</v>
      </c>
      <c r="K8618" s="8" t="s">
        <v>406</v>
      </c>
      <c r="L8618" s="8" t="s">
        <v>18289</v>
      </c>
      <c r="M8618" s="8" t="s">
        <v>18290</v>
      </c>
      <c r="N8618" s="8" t="s">
        <v>37764</v>
      </c>
      <c r="O8618" s="8">
        <f>12+19/60+23.6/3600</f>
        <v>12.323222222222222</v>
      </c>
      <c r="P8618" s="8" t="s">
        <v>37765</v>
      </c>
      <c r="Q8618" s="8">
        <f>+(28+18/60+34/3600)</f>
        <v>28.309444444444445</v>
      </c>
      <c r="R8618" s="8">
        <v>13.5</v>
      </c>
      <c r="S8618" s="8">
        <v>14.3</v>
      </c>
      <c r="T8618" s="8">
        <v>0.8</v>
      </c>
      <c r="U8618" s="8">
        <v>13</v>
      </c>
      <c r="V8618" s="8">
        <v>1.2</v>
      </c>
      <c r="W8618" s="8">
        <v>0.7</v>
      </c>
      <c r="X8618" s="8">
        <v>149</v>
      </c>
      <c r="Y8618" s="8" t="s">
        <v>297</v>
      </c>
      <c r="Z8618" s="8" t="s">
        <v>298</v>
      </c>
    </row>
    <row r="8619" spans="1:26" x14ac:dyDescent="0.2">
      <c r="A8619" s="8">
        <v>8618</v>
      </c>
      <c r="B8619" s="8" t="s">
        <v>37766</v>
      </c>
      <c r="C8619" s="8" t="s">
        <v>37766</v>
      </c>
      <c r="G8619" s="8">
        <v>20</v>
      </c>
      <c r="H8619" s="8" t="s">
        <v>21</v>
      </c>
      <c r="I8619" s="8" t="s">
        <v>22</v>
      </c>
      <c r="J8619" s="8" t="s">
        <v>57</v>
      </c>
      <c r="K8619" s="8" t="s">
        <v>632</v>
      </c>
      <c r="L8619" s="8" t="s">
        <v>12015</v>
      </c>
      <c r="M8619" s="8" t="s">
        <v>12016</v>
      </c>
      <c r="N8619" s="8" t="s">
        <v>19071</v>
      </c>
      <c r="O8619" s="8">
        <f>12+14/60+21.8/3600</f>
        <v>12.239388888888888</v>
      </c>
      <c r="P8619" s="8" t="s">
        <v>19072</v>
      </c>
      <c r="Q8619" s="8">
        <f>+(56+0/60+42/3600)</f>
        <v>56.011666666666663</v>
      </c>
      <c r="R8619" s="8">
        <v>13.6</v>
      </c>
      <c r="S8619" s="8">
        <v>14.5</v>
      </c>
      <c r="T8619" s="8">
        <v>0.9</v>
      </c>
      <c r="U8619" s="8">
        <v>13.2</v>
      </c>
      <c r="V8619" s="8">
        <v>1</v>
      </c>
      <c r="W8619" s="8">
        <v>0.6</v>
      </c>
      <c r="X8619" s="8">
        <v>130</v>
      </c>
      <c r="Y8619" s="8" t="s">
        <v>37767</v>
      </c>
      <c r="Z8619" s="8" t="s">
        <v>37768</v>
      </c>
    </row>
    <row r="8620" spans="1:26" x14ac:dyDescent="0.2">
      <c r="A8620" s="8">
        <v>8619</v>
      </c>
      <c r="B8620" s="8" t="s">
        <v>37769</v>
      </c>
      <c r="C8620" s="8" t="s">
        <v>37769</v>
      </c>
      <c r="G8620" s="8">
        <v>20</v>
      </c>
      <c r="H8620" s="8" t="s">
        <v>21</v>
      </c>
      <c r="I8620" s="8" t="s">
        <v>22</v>
      </c>
      <c r="J8620" s="8" t="s">
        <v>22</v>
      </c>
      <c r="K8620" s="8" t="s">
        <v>64</v>
      </c>
      <c r="L8620" s="8" t="s">
        <v>18289</v>
      </c>
      <c r="M8620" s="8" t="s">
        <v>18290</v>
      </c>
      <c r="N8620" s="8" t="s">
        <v>37770</v>
      </c>
      <c r="O8620" s="8">
        <f>12+19/60+38.7/3600</f>
        <v>12.327416666666666</v>
      </c>
      <c r="P8620" s="8" t="s">
        <v>37771</v>
      </c>
      <c r="Q8620" s="8">
        <f>+(29+52/60+58/3600)</f>
        <v>29.882777777777779</v>
      </c>
      <c r="R8620" s="8">
        <v>13.8</v>
      </c>
      <c r="S8620" s="8">
        <v>14.5</v>
      </c>
      <c r="T8620" s="8">
        <v>0.7</v>
      </c>
      <c r="U8620" s="8">
        <v>13.4</v>
      </c>
      <c r="V8620" s="8">
        <v>0.9</v>
      </c>
      <c r="W8620" s="8">
        <v>0.9</v>
      </c>
      <c r="Y8620" s="8" t="s">
        <v>2802</v>
      </c>
      <c r="Z8620" s="8" t="s">
        <v>1021</v>
      </c>
    </row>
    <row r="8621" spans="1:26" x14ac:dyDescent="0.2">
      <c r="A8621" s="8">
        <v>8620</v>
      </c>
      <c r="B8621" s="8" t="s">
        <v>37772</v>
      </c>
      <c r="C8621" s="8" t="s">
        <v>37772</v>
      </c>
      <c r="G8621" s="8">
        <v>20</v>
      </c>
      <c r="H8621" s="8" t="s">
        <v>21</v>
      </c>
      <c r="I8621" s="8" t="s">
        <v>22</v>
      </c>
      <c r="J8621" s="8" t="s">
        <v>22</v>
      </c>
      <c r="K8621" s="8" t="s">
        <v>58</v>
      </c>
      <c r="L8621" s="8" t="s">
        <v>18289</v>
      </c>
      <c r="M8621" s="8" t="s">
        <v>18290</v>
      </c>
      <c r="N8621" s="8" t="s">
        <v>37773</v>
      </c>
      <c r="O8621" s="8">
        <f>12+19/60+58.4/3600</f>
        <v>12.332888888888888</v>
      </c>
      <c r="P8621" s="8" t="s">
        <v>37774</v>
      </c>
      <c r="Q8621" s="8">
        <f>+(25+46/60+19/3600)</f>
        <v>25.771944444444443</v>
      </c>
      <c r="R8621" s="8">
        <v>12.9</v>
      </c>
      <c r="S8621" s="8">
        <v>13.9</v>
      </c>
      <c r="T8621" s="8">
        <v>1</v>
      </c>
      <c r="U8621" s="8">
        <v>12.6</v>
      </c>
      <c r="V8621" s="8">
        <v>1.1000000000000001</v>
      </c>
      <c r="W8621" s="8">
        <v>0.8</v>
      </c>
      <c r="X8621" s="8">
        <v>7</v>
      </c>
      <c r="Y8621" s="8" t="s">
        <v>21</v>
      </c>
      <c r="Z8621" s="8" t="s">
        <v>37775</v>
      </c>
    </row>
    <row r="8622" spans="1:26" x14ac:dyDescent="0.2">
      <c r="A8622" s="8">
        <v>8621</v>
      </c>
      <c r="B8622" s="8" t="s">
        <v>37776</v>
      </c>
      <c r="C8622" s="8" t="s">
        <v>37776</v>
      </c>
      <c r="G8622" s="8">
        <v>20</v>
      </c>
      <c r="H8622" s="8" t="s">
        <v>21</v>
      </c>
      <c r="I8622" s="8" t="s">
        <v>22</v>
      </c>
      <c r="J8622" s="8" t="s">
        <v>22</v>
      </c>
      <c r="K8622" s="8" t="s">
        <v>632</v>
      </c>
      <c r="L8622" s="8" t="s">
        <v>18289</v>
      </c>
      <c r="M8622" s="8" t="s">
        <v>18290</v>
      </c>
      <c r="N8622" s="8" t="s">
        <v>37777</v>
      </c>
      <c r="O8622" s="8">
        <f>12+20/60+3.4/3600</f>
        <v>12.334277777777778</v>
      </c>
      <c r="P8622" s="8" t="s">
        <v>37778</v>
      </c>
      <c r="Q8622" s="8">
        <f>+(14+57/60+41/3600)</f>
        <v>14.961388888888887</v>
      </c>
      <c r="R8622" s="8">
        <v>13.3</v>
      </c>
      <c r="S8622" s="8">
        <v>14.2</v>
      </c>
      <c r="T8622" s="8">
        <v>0.9</v>
      </c>
      <c r="U8622" s="8">
        <v>13</v>
      </c>
      <c r="V8622" s="8">
        <v>1.1000000000000001</v>
      </c>
      <c r="W8622" s="8">
        <v>0.9</v>
      </c>
      <c r="X8622" s="8">
        <v>45</v>
      </c>
      <c r="Y8622" s="8" t="s">
        <v>17508</v>
      </c>
      <c r="Z8622" s="8" t="s">
        <v>17509</v>
      </c>
    </row>
    <row r="8623" spans="1:26" x14ac:dyDescent="0.2">
      <c r="A8623" s="8">
        <v>8622</v>
      </c>
      <c r="B8623" s="8" t="s">
        <v>37779</v>
      </c>
      <c r="C8623" s="8" t="s">
        <v>37779</v>
      </c>
      <c r="G8623" s="8">
        <v>20</v>
      </c>
      <c r="H8623" s="8" t="s">
        <v>21</v>
      </c>
      <c r="I8623" s="8" t="s">
        <v>22</v>
      </c>
      <c r="J8623" s="8" t="s">
        <v>22</v>
      </c>
      <c r="K8623" s="8" t="s">
        <v>435</v>
      </c>
      <c r="L8623" s="8" t="s">
        <v>17287</v>
      </c>
      <c r="M8623" s="8" t="s">
        <v>17288</v>
      </c>
      <c r="N8623" s="8" t="s">
        <v>37780</v>
      </c>
      <c r="O8623" s="8">
        <f>12+21/60+36.9/3600</f>
        <v>12.360249999999999</v>
      </c>
      <c r="P8623" s="8" t="s">
        <v>37781</v>
      </c>
      <c r="Q8623" s="8">
        <f>+(5+45/60+59/3600)</f>
        <v>5.7663888888888888</v>
      </c>
      <c r="R8623" s="8">
        <v>13.8</v>
      </c>
      <c r="S8623" s="8">
        <v>14.7</v>
      </c>
      <c r="T8623" s="8">
        <v>0.9</v>
      </c>
      <c r="U8623" s="8">
        <v>13.4</v>
      </c>
      <c r="V8623" s="8">
        <v>1.1000000000000001</v>
      </c>
      <c r="W8623" s="8">
        <v>0.7</v>
      </c>
      <c r="X8623" s="8">
        <v>60</v>
      </c>
      <c r="Y8623" s="8" t="s">
        <v>227</v>
      </c>
      <c r="Z8623" s="8" t="s">
        <v>228</v>
      </c>
    </row>
    <row r="8624" spans="1:26" x14ac:dyDescent="0.2">
      <c r="A8624" s="8">
        <v>8623</v>
      </c>
      <c r="B8624" s="8" t="s">
        <v>37782</v>
      </c>
      <c r="C8624" s="8" t="s">
        <v>37782</v>
      </c>
      <c r="G8624" s="8">
        <v>20</v>
      </c>
      <c r="H8624" s="8" t="s">
        <v>21</v>
      </c>
      <c r="I8624" s="8" t="s">
        <v>22</v>
      </c>
      <c r="J8624" s="8" t="s">
        <v>22</v>
      </c>
      <c r="K8624" s="8" t="s">
        <v>435</v>
      </c>
      <c r="L8624" s="8" t="s">
        <v>18289</v>
      </c>
      <c r="M8624" s="8" t="s">
        <v>18290</v>
      </c>
      <c r="N8624" s="8" t="s">
        <v>37783</v>
      </c>
      <c r="O8624" s="8">
        <f>12+21/60+38.8/3600</f>
        <v>12.360777777777777</v>
      </c>
      <c r="P8624" s="8" t="s">
        <v>37784</v>
      </c>
      <c r="Q8624" s="8">
        <f>+(15+44/60+41/3600)</f>
        <v>15.744722222222221</v>
      </c>
      <c r="R8624" s="8">
        <v>13.8</v>
      </c>
      <c r="S8624" s="8">
        <v>14.7</v>
      </c>
      <c r="T8624" s="8">
        <v>0.9</v>
      </c>
      <c r="U8624" s="8">
        <v>13.6</v>
      </c>
      <c r="V8624" s="8">
        <v>1.2</v>
      </c>
      <c r="W8624" s="8">
        <v>0.8</v>
      </c>
      <c r="X8624" s="8">
        <v>141</v>
      </c>
      <c r="Y8624" s="8" t="s">
        <v>227</v>
      </c>
      <c r="Z8624" s="8" t="s">
        <v>228</v>
      </c>
    </row>
    <row r="8625" spans="1:26" x14ac:dyDescent="0.2">
      <c r="A8625" s="8">
        <v>8624</v>
      </c>
      <c r="B8625" s="8" t="s">
        <v>37785</v>
      </c>
      <c r="C8625" s="8" t="s">
        <v>37785</v>
      </c>
      <c r="G8625" s="8">
        <v>20</v>
      </c>
      <c r="H8625" s="8" t="s">
        <v>21</v>
      </c>
      <c r="I8625" s="8" t="s">
        <v>22</v>
      </c>
      <c r="J8625" s="8" t="s">
        <v>22</v>
      </c>
      <c r="K8625" s="8" t="s">
        <v>396</v>
      </c>
      <c r="L8625" s="8" t="s">
        <v>17287</v>
      </c>
      <c r="M8625" s="8" t="s">
        <v>17288</v>
      </c>
      <c r="N8625" s="8" t="s">
        <v>37786</v>
      </c>
      <c r="O8625" s="8">
        <f>12+22/60+30/3600</f>
        <v>12.375</v>
      </c>
      <c r="P8625" s="8" t="s">
        <v>37787</v>
      </c>
      <c r="Q8625" s="8">
        <f>-(4+39/60+10/3600)</f>
        <v>-4.6527777777777786</v>
      </c>
      <c r="R8625" s="8">
        <v>13.1</v>
      </c>
      <c r="S8625" s="8">
        <v>13.9</v>
      </c>
      <c r="T8625" s="8">
        <v>0.8</v>
      </c>
      <c r="U8625" s="8">
        <v>13.3</v>
      </c>
      <c r="V8625" s="8">
        <v>1.9</v>
      </c>
      <c r="W8625" s="8">
        <v>0.7</v>
      </c>
      <c r="X8625" s="8">
        <v>109</v>
      </c>
      <c r="Y8625" s="8" t="s">
        <v>21</v>
      </c>
      <c r="Z8625" s="8" t="s">
        <v>37788</v>
      </c>
    </row>
    <row r="8626" spans="1:26" x14ac:dyDescent="0.2">
      <c r="A8626" s="8">
        <v>8625</v>
      </c>
      <c r="B8626" s="8" t="s">
        <v>37789</v>
      </c>
      <c r="C8626" s="8" t="s">
        <v>37789</v>
      </c>
      <c r="G8626" s="8">
        <v>20</v>
      </c>
      <c r="H8626" s="8" t="s">
        <v>21</v>
      </c>
      <c r="I8626" s="8" t="s">
        <v>22</v>
      </c>
      <c r="J8626" s="8" t="s">
        <v>22</v>
      </c>
      <c r="K8626" s="8" t="s">
        <v>160</v>
      </c>
      <c r="L8626" s="8" t="s">
        <v>15925</v>
      </c>
      <c r="M8626" s="8" t="s">
        <v>15926</v>
      </c>
      <c r="N8626" s="8" t="s">
        <v>37790</v>
      </c>
      <c r="O8626" s="8">
        <f>12+23/60+2/3600</f>
        <v>12.383888888888889</v>
      </c>
      <c r="P8626" s="8" t="s">
        <v>37791</v>
      </c>
      <c r="Q8626" s="8">
        <f>-(13+13/60+23/3600)</f>
        <v>-13.223055555555556</v>
      </c>
      <c r="R8626" s="8">
        <v>14</v>
      </c>
      <c r="S8626" s="8">
        <v>14.7</v>
      </c>
      <c r="T8626" s="8">
        <v>0.7</v>
      </c>
      <c r="U8626" s="8">
        <v>12.4</v>
      </c>
      <c r="V8626" s="8">
        <v>0.9</v>
      </c>
      <c r="W8626" s="8">
        <v>0.3</v>
      </c>
      <c r="X8626" s="8">
        <v>61</v>
      </c>
      <c r="Y8626" s="8" t="s">
        <v>5926</v>
      </c>
      <c r="Z8626" s="8" t="s">
        <v>5927</v>
      </c>
    </row>
    <row r="8627" spans="1:26" x14ac:dyDescent="0.2">
      <c r="A8627" s="8">
        <v>8626</v>
      </c>
      <c r="B8627" s="8" t="s">
        <v>37792</v>
      </c>
      <c r="C8627" s="8" t="s">
        <v>37792</v>
      </c>
      <c r="G8627" s="8">
        <v>20</v>
      </c>
      <c r="H8627" s="8" t="s">
        <v>21</v>
      </c>
      <c r="I8627" s="8" t="s">
        <v>22</v>
      </c>
      <c r="J8627" s="8" t="s">
        <v>22</v>
      </c>
      <c r="K8627" s="8" t="s">
        <v>37</v>
      </c>
      <c r="L8627" s="8" t="s">
        <v>15925</v>
      </c>
      <c r="M8627" s="8" t="s">
        <v>15926</v>
      </c>
      <c r="N8627" s="8" t="s">
        <v>37793</v>
      </c>
      <c r="O8627" s="8">
        <f>12+23/60+10.9/3600</f>
        <v>12.38636111111111</v>
      </c>
      <c r="P8627" s="8" t="s">
        <v>37794</v>
      </c>
      <c r="Q8627" s="8">
        <f>-(13+12/60+15/3600)</f>
        <v>-13.204166666666666</v>
      </c>
      <c r="R8627" s="8">
        <v>13.4</v>
      </c>
      <c r="S8627" s="8">
        <v>14.4</v>
      </c>
      <c r="T8627" s="8">
        <v>1</v>
      </c>
      <c r="U8627" s="8">
        <v>13.2</v>
      </c>
      <c r="V8627" s="8">
        <v>1</v>
      </c>
      <c r="W8627" s="8">
        <v>0.9</v>
      </c>
      <c r="X8627" s="8">
        <v>174</v>
      </c>
      <c r="Y8627" s="8" t="s">
        <v>35724</v>
      </c>
      <c r="Z8627" s="8" t="s">
        <v>37795</v>
      </c>
    </row>
    <row r="8628" spans="1:26" x14ac:dyDescent="0.2">
      <c r="A8628" s="8">
        <v>8627</v>
      </c>
      <c r="B8628" s="8" t="s">
        <v>37796</v>
      </c>
      <c r="C8628" s="8" t="s">
        <v>37796</v>
      </c>
      <c r="G8628" s="8">
        <v>20</v>
      </c>
      <c r="H8628" s="8" t="s">
        <v>21</v>
      </c>
      <c r="I8628" s="8" t="s">
        <v>22</v>
      </c>
      <c r="J8628" s="8" t="s">
        <v>22</v>
      </c>
      <c r="K8628" s="8" t="s">
        <v>91</v>
      </c>
      <c r="L8628" s="8" t="s">
        <v>18289</v>
      </c>
      <c r="M8628" s="8" t="s">
        <v>18290</v>
      </c>
      <c r="N8628" s="8" t="s">
        <v>37797</v>
      </c>
      <c r="O8628" s="8">
        <f>12+25/60+25.2/3600</f>
        <v>12.423666666666666</v>
      </c>
      <c r="P8628" s="8" t="s">
        <v>37798</v>
      </c>
      <c r="Q8628" s="8">
        <f>+(16+7/60+25/3600)</f>
        <v>16.12361111111111</v>
      </c>
      <c r="R8628" s="8">
        <v>14.2</v>
      </c>
      <c r="S8628" s="8">
        <v>15.1</v>
      </c>
      <c r="T8628" s="8">
        <v>0.9</v>
      </c>
      <c r="U8628" s="8">
        <v>13.2</v>
      </c>
      <c r="V8628" s="8">
        <v>1.1000000000000001</v>
      </c>
      <c r="W8628" s="8">
        <v>0.4</v>
      </c>
      <c r="X8628" s="8">
        <v>0</v>
      </c>
      <c r="Y8628" s="8" t="s">
        <v>21</v>
      </c>
      <c r="Z8628" s="8" t="s">
        <v>37799</v>
      </c>
    </row>
    <row r="8629" spans="1:26" x14ac:dyDescent="0.2">
      <c r="A8629" s="8">
        <v>8628</v>
      </c>
      <c r="B8629" s="8" t="s">
        <v>37800</v>
      </c>
      <c r="C8629" s="8" t="s">
        <v>37800</v>
      </c>
      <c r="G8629" s="8">
        <v>20</v>
      </c>
      <c r="H8629" s="8" t="s">
        <v>21</v>
      </c>
      <c r="I8629" s="8" t="s">
        <v>22</v>
      </c>
      <c r="J8629" s="8" t="s">
        <v>57</v>
      </c>
      <c r="K8629" s="8" t="s">
        <v>632</v>
      </c>
      <c r="L8629" s="8" t="s">
        <v>18289</v>
      </c>
      <c r="M8629" s="8" t="s">
        <v>18290</v>
      </c>
      <c r="N8629" s="8" t="s">
        <v>19943</v>
      </c>
      <c r="O8629" s="8">
        <f>12+26/60+7.1/3600</f>
        <v>12.435305555555555</v>
      </c>
      <c r="P8629" s="8" t="s">
        <v>19944</v>
      </c>
      <c r="Q8629" s="8">
        <f>+(16+10/60+52/3600)</f>
        <v>16.181111111111111</v>
      </c>
      <c r="R8629" s="8">
        <v>12</v>
      </c>
      <c r="S8629" s="8">
        <v>12.9</v>
      </c>
      <c r="T8629" s="8">
        <v>0.9</v>
      </c>
      <c r="U8629" s="8">
        <v>12.6</v>
      </c>
      <c r="V8629" s="8">
        <v>1.6</v>
      </c>
      <c r="W8629" s="8">
        <v>1.1000000000000001</v>
      </c>
      <c r="X8629" s="8">
        <v>20</v>
      </c>
      <c r="Y8629" s="8" t="s">
        <v>21</v>
      </c>
      <c r="Z8629" s="8" t="s">
        <v>37801</v>
      </c>
    </row>
    <row r="8630" spans="1:26" x14ac:dyDescent="0.2">
      <c r="A8630" s="8">
        <v>8629</v>
      </c>
      <c r="B8630" s="8" t="s">
        <v>37802</v>
      </c>
      <c r="C8630" s="8" t="s">
        <v>37802</v>
      </c>
      <c r="G8630" s="8">
        <v>20</v>
      </c>
      <c r="H8630" s="8" t="s">
        <v>21</v>
      </c>
      <c r="I8630" s="8" t="s">
        <v>22</v>
      </c>
      <c r="J8630" s="8" t="s">
        <v>22</v>
      </c>
      <c r="K8630" s="8" t="s">
        <v>224</v>
      </c>
      <c r="L8630" s="8" t="s">
        <v>17287</v>
      </c>
      <c r="M8630" s="8" t="s">
        <v>17288</v>
      </c>
      <c r="N8630" s="8" t="s">
        <v>37803</v>
      </c>
      <c r="O8630" s="8">
        <f>12+26/60+20.5/3600</f>
        <v>12.439027777777778</v>
      </c>
      <c r="P8630" s="8" t="s">
        <v>37804</v>
      </c>
      <c r="Q8630" s="8">
        <f>+(7+27/60+37/3600)</f>
        <v>7.4602777777777778</v>
      </c>
      <c r="R8630" s="8">
        <v>13.9</v>
      </c>
      <c r="S8630" s="8">
        <v>14.9</v>
      </c>
      <c r="T8630" s="8">
        <v>1</v>
      </c>
      <c r="U8630" s="8">
        <v>13.3</v>
      </c>
      <c r="V8630" s="8">
        <v>1</v>
      </c>
      <c r="W8630" s="8">
        <v>0.5</v>
      </c>
      <c r="X8630" s="8">
        <v>131</v>
      </c>
      <c r="Y8630" s="8" t="s">
        <v>37805</v>
      </c>
      <c r="Z8630" s="8" t="s">
        <v>37806</v>
      </c>
    </row>
    <row r="8631" spans="1:26" x14ac:dyDescent="0.2">
      <c r="A8631" s="8">
        <v>8630</v>
      </c>
      <c r="B8631" s="8" t="s">
        <v>37807</v>
      </c>
      <c r="C8631" s="8" t="s">
        <v>37807</v>
      </c>
      <c r="G8631" s="8">
        <v>20</v>
      </c>
      <c r="H8631" s="8" t="s">
        <v>21</v>
      </c>
      <c r="I8631" s="8" t="s">
        <v>22</v>
      </c>
      <c r="J8631" s="8" t="s">
        <v>22</v>
      </c>
      <c r="K8631" s="8" t="s">
        <v>818</v>
      </c>
      <c r="L8631" s="8" t="s">
        <v>17287</v>
      </c>
      <c r="M8631" s="8" t="s">
        <v>17288</v>
      </c>
      <c r="N8631" s="8" t="s">
        <v>37808</v>
      </c>
      <c r="O8631" s="8">
        <f>12+26/60+35.4/3600</f>
        <v>12.443166666666666</v>
      </c>
      <c r="P8631" s="8" t="s">
        <v>37809</v>
      </c>
      <c r="Q8631" s="8">
        <f>+(9+2/60+9/3600)</f>
        <v>9.0358333333333327</v>
      </c>
      <c r="R8631" s="8">
        <v>14.6</v>
      </c>
      <c r="S8631" s="8">
        <v>15.6</v>
      </c>
      <c r="T8631" s="8">
        <v>1</v>
      </c>
      <c r="U8631" s="8">
        <v>12.8</v>
      </c>
      <c r="V8631" s="8">
        <v>0.6</v>
      </c>
      <c r="W8631" s="8">
        <v>0.3</v>
      </c>
      <c r="X8631" s="8">
        <v>93</v>
      </c>
      <c r="Y8631" s="8" t="s">
        <v>21</v>
      </c>
      <c r="Z8631" s="8" t="s">
        <v>37810</v>
      </c>
    </row>
    <row r="8632" spans="1:26" x14ac:dyDescent="0.2">
      <c r="A8632" s="8">
        <v>8631</v>
      </c>
      <c r="B8632" s="8" t="s">
        <v>37811</v>
      </c>
      <c r="C8632" s="8" t="s">
        <v>37811</v>
      </c>
      <c r="G8632" s="8">
        <v>20</v>
      </c>
      <c r="H8632" s="8" t="s">
        <v>21</v>
      </c>
      <c r="I8632" s="8" t="s">
        <v>22</v>
      </c>
      <c r="J8632" s="8" t="s">
        <v>22</v>
      </c>
      <c r="K8632" s="8" t="s">
        <v>154</v>
      </c>
      <c r="L8632" s="8" t="s">
        <v>18289</v>
      </c>
      <c r="M8632" s="8" t="s">
        <v>18290</v>
      </c>
      <c r="N8632" s="8" t="s">
        <v>37812</v>
      </c>
      <c r="O8632" s="8">
        <f>12+26/60+59.4/3600</f>
        <v>12.449833333333334</v>
      </c>
      <c r="P8632" s="8" t="s">
        <v>37813</v>
      </c>
      <c r="Q8632" s="8">
        <f>+(22+38/60+24/3600)</f>
        <v>22.64</v>
      </c>
      <c r="R8632" s="8">
        <v>13.1</v>
      </c>
      <c r="S8632" s="8">
        <v>14</v>
      </c>
      <c r="T8632" s="8">
        <v>0.9</v>
      </c>
      <c r="U8632" s="8">
        <v>13.2</v>
      </c>
      <c r="V8632" s="8">
        <v>1.1000000000000001</v>
      </c>
      <c r="W8632" s="8">
        <v>1.1000000000000001</v>
      </c>
      <c r="Y8632" s="8" t="s">
        <v>21</v>
      </c>
      <c r="Z8632" s="8" t="s">
        <v>37814</v>
      </c>
    </row>
    <row r="8633" spans="1:26" x14ac:dyDescent="0.2">
      <c r="A8633" s="8">
        <v>8632</v>
      </c>
      <c r="B8633" s="8" t="s">
        <v>37815</v>
      </c>
      <c r="C8633" s="8" t="s">
        <v>37815</v>
      </c>
      <c r="G8633" s="8">
        <v>20</v>
      </c>
      <c r="H8633" s="8" t="s">
        <v>21</v>
      </c>
      <c r="I8633" s="8" t="s">
        <v>22</v>
      </c>
      <c r="J8633" s="8" t="s">
        <v>22</v>
      </c>
      <c r="K8633" s="8" t="s">
        <v>23</v>
      </c>
      <c r="L8633" s="8" t="s">
        <v>18289</v>
      </c>
      <c r="M8633" s="8" t="s">
        <v>18290</v>
      </c>
      <c r="N8633" s="8" t="s">
        <v>37816</v>
      </c>
      <c r="O8633" s="8">
        <f>12+27/60+8.8/3600</f>
        <v>12.452444444444444</v>
      </c>
      <c r="P8633" s="8" t="s">
        <v>37817</v>
      </c>
      <c r="Q8633" s="8">
        <f>+(16+19/60+30/3600)</f>
        <v>16.324999999999999</v>
      </c>
      <c r="R8633" s="8">
        <v>14</v>
      </c>
      <c r="S8633" s="8">
        <v>14.8</v>
      </c>
      <c r="T8633" s="8">
        <v>0.8</v>
      </c>
      <c r="U8633" s="8">
        <v>13.6</v>
      </c>
      <c r="V8633" s="8">
        <v>1.6</v>
      </c>
      <c r="W8633" s="8">
        <v>0.6</v>
      </c>
      <c r="X8633" s="8">
        <v>59</v>
      </c>
      <c r="Y8633" s="8" t="s">
        <v>34977</v>
      </c>
      <c r="Z8633" s="8" t="s">
        <v>34978</v>
      </c>
    </row>
    <row r="8634" spans="1:26" x14ac:dyDescent="0.2">
      <c r="A8634" s="8">
        <v>8633</v>
      </c>
      <c r="B8634" s="8" t="s">
        <v>37818</v>
      </c>
      <c r="C8634" s="8" t="s">
        <v>37818</v>
      </c>
      <c r="G8634" s="8">
        <v>20</v>
      </c>
      <c r="H8634" s="8" t="s">
        <v>21</v>
      </c>
      <c r="I8634" s="8" t="s">
        <v>22</v>
      </c>
      <c r="J8634" s="8" t="s">
        <v>57</v>
      </c>
      <c r="K8634" s="8" t="s">
        <v>31</v>
      </c>
      <c r="L8634" s="8" t="s">
        <v>17287</v>
      </c>
      <c r="M8634" s="8" t="s">
        <v>17288</v>
      </c>
      <c r="N8634" s="8" t="s">
        <v>20113</v>
      </c>
      <c r="O8634" s="8">
        <f>12+28/60+16.1/3600</f>
        <v>12.471138888888889</v>
      </c>
      <c r="P8634" s="8" t="s">
        <v>20114</v>
      </c>
      <c r="Q8634" s="8">
        <f>+(9+26/60+12/3600)</f>
        <v>9.4366666666666674</v>
      </c>
      <c r="R8634" s="8">
        <v>12.8</v>
      </c>
      <c r="S8634" s="8">
        <v>13.7</v>
      </c>
      <c r="T8634" s="8">
        <v>0.9</v>
      </c>
      <c r="U8634" s="8">
        <v>13</v>
      </c>
      <c r="V8634" s="8">
        <v>2.6</v>
      </c>
      <c r="W8634" s="8">
        <v>0.5</v>
      </c>
      <c r="X8634" s="8">
        <v>106</v>
      </c>
      <c r="Y8634" s="8" t="s">
        <v>37819</v>
      </c>
      <c r="Z8634" s="8" t="s">
        <v>37820</v>
      </c>
    </row>
    <row r="8635" spans="1:26" x14ac:dyDescent="0.2">
      <c r="A8635" s="8">
        <v>8634</v>
      </c>
      <c r="B8635" s="8" t="s">
        <v>37821</v>
      </c>
      <c r="C8635" s="8" t="s">
        <v>37821</v>
      </c>
      <c r="G8635" s="8">
        <v>20</v>
      </c>
      <c r="H8635" s="8" t="s">
        <v>21</v>
      </c>
      <c r="I8635" s="8" t="s">
        <v>22</v>
      </c>
      <c r="J8635" s="8" t="s">
        <v>22</v>
      </c>
      <c r="K8635" s="8" t="s">
        <v>1136</v>
      </c>
      <c r="L8635" s="8" t="s">
        <v>17287</v>
      </c>
      <c r="M8635" s="8" t="s">
        <v>17288</v>
      </c>
      <c r="N8635" s="8" t="s">
        <v>37822</v>
      </c>
      <c r="O8635" s="8">
        <f>12+28/60+8.5/3600</f>
        <v>12.469027777777779</v>
      </c>
      <c r="P8635" s="8" t="s">
        <v>37823</v>
      </c>
      <c r="Q8635" s="8">
        <f>+(12+5/60+38/3600)</f>
        <v>12.093888888888889</v>
      </c>
      <c r="R8635" s="8">
        <v>13.1</v>
      </c>
      <c r="S8635" s="8">
        <v>14.2</v>
      </c>
      <c r="T8635" s="8">
        <v>1.1000000000000001</v>
      </c>
      <c r="U8635" s="8">
        <v>13.3</v>
      </c>
      <c r="V8635" s="8">
        <v>1.3</v>
      </c>
      <c r="W8635" s="8">
        <v>1</v>
      </c>
      <c r="X8635" s="8">
        <v>110</v>
      </c>
      <c r="Y8635" s="8" t="s">
        <v>21</v>
      </c>
      <c r="Z8635" s="8" t="s">
        <v>37824</v>
      </c>
    </row>
    <row r="8636" spans="1:26" x14ac:dyDescent="0.2">
      <c r="A8636" s="8">
        <v>8635</v>
      </c>
      <c r="B8636" s="8" t="s">
        <v>37825</v>
      </c>
      <c r="C8636" s="8" t="s">
        <v>37825</v>
      </c>
      <c r="G8636" s="8">
        <v>20</v>
      </c>
      <c r="H8636" s="8" t="s">
        <v>21</v>
      </c>
      <c r="I8636" s="8" t="s">
        <v>22</v>
      </c>
      <c r="J8636" s="8" t="s">
        <v>22</v>
      </c>
      <c r="K8636" s="8" t="s">
        <v>449</v>
      </c>
      <c r="L8636" s="8" t="s">
        <v>18289</v>
      </c>
      <c r="M8636" s="8" t="s">
        <v>18290</v>
      </c>
      <c r="N8636" s="8" t="s">
        <v>37826</v>
      </c>
      <c r="O8636" s="8">
        <f>12+28/60+31.3/3600</f>
        <v>12.475361111111111</v>
      </c>
      <c r="P8636" s="8" t="s">
        <v>37827</v>
      </c>
      <c r="Q8636" s="8">
        <f>+(23+18/60+19/3600)</f>
        <v>23.305277777777778</v>
      </c>
      <c r="R8636" s="8">
        <v>14.5</v>
      </c>
      <c r="S8636" s="8">
        <v>15.3</v>
      </c>
      <c r="T8636" s="8">
        <v>0.8</v>
      </c>
      <c r="U8636" s="8">
        <v>11.9</v>
      </c>
      <c r="V8636" s="8">
        <v>0.5</v>
      </c>
      <c r="W8636" s="8">
        <v>0.2</v>
      </c>
      <c r="X8636" s="8">
        <v>165</v>
      </c>
      <c r="Y8636" s="8" t="s">
        <v>37828</v>
      </c>
      <c r="Z8636" s="8" t="s">
        <v>37829</v>
      </c>
    </row>
    <row r="8637" spans="1:26" x14ac:dyDescent="0.2">
      <c r="A8637" s="8">
        <v>8636</v>
      </c>
      <c r="B8637" s="8" t="s">
        <v>37830</v>
      </c>
      <c r="C8637" s="8" t="s">
        <v>37830</v>
      </c>
      <c r="G8637" s="8">
        <v>20</v>
      </c>
      <c r="H8637" s="8" t="s">
        <v>21</v>
      </c>
      <c r="I8637" s="8" t="s">
        <v>22</v>
      </c>
      <c r="J8637" s="8" t="s">
        <v>22</v>
      </c>
      <c r="K8637" s="8" t="s">
        <v>632</v>
      </c>
      <c r="L8637" s="8" t="s">
        <v>18289</v>
      </c>
      <c r="M8637" s="8" t="s">
        <v>18290</v>
      </c>
      <c r="N8637" s="8" t="s">
        <v>37831</v>
      </c>
      <c r="O8637" s="8">
        <f>12+29/60+26.3/3600</f>
        <v>12.490638888888888</v>
      </c>
      <c r="P8637" s="8" t="s">
        <v>37832</v>
      </c>
      <c r="Q8637" s="8">
        <f>+(16+24/60+17/3600)</f>
        <v>16.404722222222222</v>
      </c>
      <c r="R8637" s="8">
        <v>13.1</v>
      </c>
      <c r="S8637" s="8">
        <v>14</v>
      </c>
      <c r="T8637" s="8">
        <v>0.9</v>
      </c>
      <c r="U8637" s="8">
        <v>12.7</v>
      </c>
      <c r="V8637" s="8">
        <v>1.3</v>
      </c>
      <c r="W8637" s="8">
        <v>0.6</v>
      </c>
      <c r="X8637" s="8">
        <v>145</v>
      </c>
      <c r="Y8637" s="8" t="s">
        <v>37833</v>
      </c>
      <c r="Z8637" s="8" t="s">
        <v>37834</v>
      </c>
    </row>
    <row r="8638" spans="1:26" x14ac:dyDescent="0.2">
      <c r="A8638" s="8">
        <v>8637</v>
      </c>
      <c r="B8638" s="8" t="s">
        <v>37835</v>
      </c>
      <c r="C8638" s="8" t="s">
        <v>37835</v>
      </c>
      <c r="G8638" s="8">
        <v>20</v>
      </c>
      <c r="H8638" s="8" t="s">
        <v>21</v>
      </c>
      <c r="I8638" s="8" t="s">
        <v>22</v>
      </c>
      <c r="J8638" s="8" t="s">
        <v>22</v>
      </c>
      <c r="K8638" s="8" t="s">
        <v>64</v>
      </c>
      <c r="L8638" s="8" t="s">
        <v>18289</v>
      </c>
      <c r="M8638" s="8" t="s">
        <v>18290</v>
      </c>
      <c r="N8638" s="8" t="s">
        <v>37836</v>
      </c>
      <c r="O8638" s="8">
        <f>12+31/60+54.8/3600</f>
        <v>12.53188888888889</v>
      </c>
      <c r="P8638" s="8" t="s">
        <v>37837</v>
      </c>
      <c r="Q8638" s="8">
        <f>+(15+7/60+25/3600)</f>
        <v>15.123611111111112</v>
      </c>
      <c r="R8638" s="8">
        <v>13.3</v>
      </c>
      <c r="S8638" s="8">
        <v>14</v>
      </c>
      <c r="T8638" s="8">
        <v>0.7</v>
      </c>
      <c r="U8638" s="8">
        <v>13.3</v>
      </c>
      <c r="V8638" s="8">
        <v>1.3</v>
      </c>
      <c r="W8638" s="8">
        <v>0.9</v>
      </c>
      <c r="X8638" s="8">
        <v>108</v>
      </c>
      <c r="Y8638" s="8" t="s">
        <v>6420</v>
      </c>
      <c r="Z8638" s="8" t="s">
        <v>6421</v>
      </c>
    </row>
    <row r="8639" spans="1:26" x14ac:dyDescent="0.2">
      <c r="A8639" s="8">
        <v>8638</v>
      </c>
      <c r="B8639" s="8" t="s">
        <v>37838</v>
      </c>
      <c r="C8639" s="8" t="s">
        <v>37838</v>
      </c>
      <c r="G8639" s="8">
        <v>20</v>
      </c>
      <c r="H8639" s="8" t="s">
        <v>21</v>
      </c>
      <c r="I8639" s="8" t="s">
        <v>22</v>
      </c>
      <c r="J8639" s="8" t="s">
        <v>22</v>
      </c>
      <c r="K8639" s="8" t="s">
        <v>818</v>
      </c>
      <c r="L8639" s="8" t="s">
        <v>18289</v>
      </c>
      <c r="M8639" s="8" t="s">
        <v>18290</v>
      </c>
      <c r="N8639" s="8" t="s">
        <v>37839</v>
      </c>
      <c r="O8639" s="8">
        <f>12+32/60+33.3/3600</f>
        <v>12.542583333333333</v>
      </c>
      <c r="P8639" s="8" t="s">
        <v>37840</v>
      </c>
      <c r="Q8639" s="8">
        <f>+(15+24/60+57/3600)</f>
        <v>15.415833333333333</v>
      </c>
      <c r="R8639" s="8">
        <v>14.5</v>
      </c>
      <c r="S8639" s="8">
        <v>15.5</v>
      </c>
      <c r="T8639" s="8">
        <v>1</v>
      </c>
      <c r="U8639" s="8">
        <v>12.6</v>
      </c>
      <c r="V8639" s="8">
        <v>0.4</v>
      </c>
      <c r="W8639" s="8">
        <v>0.4</v>
      </c>
      <c r="Y8639" s="8" t="s">
        <v>27240</v>
      </c>
      <c r="Z8639" s="8" t="s">
        <v>27241</v>
      </c>
    </row>
    <row r="8640" spans="1:26" x14ac:dyDescent="0.2">
      <c r="A8640" s="8">
        <v>8639</v>
      </c>
      <c r="B8640" s="8" t="s">
        <v>37841</v>
      </c>
      <c r="C8640" s="8" t="s">
        <v>37841</v>
      </c>
      <c r="G8640" s="8">
        <v>20</v>
      </c>
      <c r="H8640" s="8" t="s">
        <v>21</v>
      </c>
      <c r="I8640" s="8" t="s">
        <v>22</v>
      </c>
      <c r="J8640" s="8" t="s">
        <v>57</v>
      </c>
      <c r="K8640" s="8" t="s">
        <v>58</v>
      </c>
      <c r="L8640" s="8" t="s">
        <v>17287</v>
      </c>
      <c r="M8640" s="8" t="s">
        <v>17288</v>
      </c>
      <c r="N8640" s="8" t="s">
        <v>20437</v>
      </c>
      <c r="O8640" s="8">
        <f>12+33/60+49.9/3600</f>
        <v>12.563861111111112</v>
      </c>
      <c r="P8640" s="8" t="s">
        <v>20438</v>
      </c>
      <c r="Q8640" s="8">
        <f>-(7+22/60+29/3600)</f>
        <v>-7.3747222222222222</v>
      </c>
      <c r="R8640" s="8">
        <v>14</v>
      </c>
      <c r="S8640" s="8">
        <v>15</v>
      </c>
      <c r="T8640" s="8">
        <v>1</v>
      </c>
      <c r="U8640" s="8">
        <v>13.6</v>
      </c>
      <c r="V8640" s="8">
        <v>1.1000000000000001</v>
      </c>
      <c r="W8640" s="8">
        <v>0.6</v>
      </c>
      <c r="X8640" s="8">
        <v>104</v>
      </c>
      <c r="Y8640" s="8" t="s">
        <v>21</v>
      </c>
      <c r="Z8640" s="8" t="s">
        <v>37842</v>
      </c>
    </row>
    <row r="8641" spans="1:26" x14ac:dyDescent="0.2">
      <c r="A8641" s="8">
        <v>8640</v>
      </c>
      <c r="B8641" s="8" t="s">
        <v>37843</v>
      </c>
      <c r="C8641" s="8" t="s">
        <v>37843</v>
      </c>
      <c r="G8641" s="8">
        <v>20</v>
      </c>
      <c r="H8641" s="8" t="s">
        <v>21</v>
      </c>
      <c r="I8641" s="8" t="s">
        <v>22</v>
      </c>
      <c r="J8641" s="8" t="s">
        <v>22</v>
      </c>
      <c r="K8641" s="8" t="s">
        <v>64</v>
      </c>
      <c r="L8641" s="8" t="s">
        <v>18289</v>
      </c>
      <c r="M8641" s="8" t="s">
        <v>18290</v>
      </c>
      <c r="N8641" s="8" t="s">
        <v>37844</v>
      </c>
      <c r="O8641" s="8">
        <f>12+33/60+56.7/3600</f>
        <v>12.565750000000001</v>
      </c>
      <c r="P8641" s="8" t="s">
        <v>37845</v>
      </c>
      <c r="Q8641" s="8">
        <f>+(15+21/60+16/3600)</f>
        <v>15.354444444444445</v>
      </c>
      <c r="R8641" s="8">
        <v>13.4</v>
      </c>
      <c r="S8641" s="8">
        <v>14.1</v>
      </c>
      <c r="T8641" s="8">
        <v>0.7</v>
      </c>
      <c r="U8641" s="8">
        <v>14</v>
      </c>
      <c r="V8641" s="8">
        <v>1.6</v>
      </c>
      <c r="W8641" s="8">
        <v>1.2</v>
      </c>
      <c r="X8641" s="8">
        <v>157</v>
      </c>
      <c r="Y8641" s="8" t="s">
        <v>6420</v>
      </c>
      <c r="Z8641" s="8" t="s">
        <v>6421</v>
      </c>
    </row>
    <row r="8642" spans="1:26" x14ac:dyDescent="0.2">
      <c r="A8642" s="8">
        <v>8641</v>
      </c>
      <c r="B8642" s="8" t="s">
        <v>37846</v>
      </c>
      <c r="C8642" s="8" t="s">
        <v>37846</v>
      </c>
      <c r="G8642" s="8">
        <v>20</v>
      </c>
      <c r="H8642" s="8" t="s">
        <v>21</v>
      </c>
      <c r="I8642" s="8" t="s">
        <v>22</v>
      </c>
      <c r="J8642" s="8" t="s">
        <v>22</v>
      </c>
      <c r="K8642" s="8" t="s">
        <v>91</v>
      </c>
      <c r="L8642" s="8" t="s">
        <v>18681</v>
      </c>
      <c r="M8642" s="8" t="s">
        <v>18682</v>
      </c>
      <c r="N8642" s="8" t="s">
        <v>37847</v>
      </c>
      <c r="O8642" s="8">
        <f>12+33/60+44.8/3600</f>
        <v>12.562444444444445</v>
      </c>
      <c r="P8642" s="8" t="s">
        <v>37848</v>
      </c>
      <c r="Q8642" s="8">
        <f>+(52+15/60+17/3600)</f>
        <v>52.25472222222222</v>
      </c>
      <c r="R8642" s="8">
        <v>13.7</v>
      </c>
      <c r="S8642" s="8">
        <v>14.6</v>
      </c>
      <c r="T8642" s="8">
        <v>0.9</v>
      </c>
      <c r="U8642" s="8">
        <v>13.7</v>
      </c>
      <c r="V8642" s="8">
        <v>1.2</v>
      </c>
      <c r="W8642" s="8">
        <v>1</v>
      </c>
      <c r="X8642" s="8">
        <v>55</v>
      </c>
      <c r="Y8642" s="8" t="s">
        <v>37849</v>
      </c>
      <c r="Z8642" s="8" t="s">
        <v>37850</v>
      </c>
    </row>
    <row r="8643" spans="1:26" x14ac:dyDescent="0.2">
      <c r="A8643" s="8">
        <v>8642</v>
      </c>
      <c r="B8643" s="8" t="s">
        <v>37851</v>
      </c>
      <c r="C8643" s="8" t="s">
        <v>37851</v>
      </c>
      <c r="G8643" s="8">
        <v>20</v>
      </c>
      <c r="H8643" s="8" t="s">
        <v>21</v>
      </c>
      <c r="I8643" s="8" t="s">
        <v>72</v>
      </c>
      <c r="J8643" s="8" t="s">
        <v>72</v>
      </c>
      <c r="K8643" s="8" t="s">
        <v>20</v>
      </c>
      <c r="L8643" s="8" t="s">
        <v>13395</v>
      </c>
      <c r="M8643" s="8" t="s">
        <v>13396</v>
      </c>
      <c r="N8643" s="8" t="s">
        <v>37852</v>
      </c>
      <c r="O8643" s="8">
        <f>12+35/60+58.2/3600</f>
        <v>12.599500000000001</v>
      </c>
      <c r="P8643" s="8" t="s">
        <v>37853</v>
      </c>
      <c r="Q8643" s="8">
        <f>+(74+18/60+3/3600)</f>
        <v>74.30083333333333</v>
      </c>
      <c r="R8643" s="8">
        <v>99</v>
      </c>
      <c r="S8643" s="8">
        <v>14.5</v>
      </c>
      <c r="T8643" s="8">
        <v>99</v>
      </c>
      <c r="U8643" s="8">
        <v>99</v>
      </c>
      <c r="Y8643" s="8" t="s">
        <v>12012</v>
      </c>
      <c r="Z8643" s="8" t="s">
        <v>12013</v>
      </c>
    </row>
    <row r="8644" spans="1:26" x14ac:dyDescent="0.2">
      <c r="A8644" s="8">
        <v>8643</v>
      </c>
      <c r="B8644" s="8" t="s">
        <v>37854</v>
      </c>
      <c r="C8644" s="8" t="s">
        <v>37854</v>
      </c>
      <c r="G8644" s="8">
        <v>20</v>
      </c>
      <c r="H8644" s="8" t="s">
        <v>21</v>
      </c>
      <c r="I8644" s="8" t="s">
        <v>22</v>
      </c>
      <c r="J8644" s="8" t="s">
        <v>22</v>
      </c>
      <c r="K8644" s="8" t="s">
        <v>1174</v>
      </c>
      <c r="L8644" s="8" t="s">
        <v>18289</v>
      </c>
      <c r="M8644" s="8" t="s">
        <v>18290</v>
      </c>
      <c r="N8644" s="8" t="s">
        <v>37855</v>
      </c>
      <c r="O8644" s="8">
        <f>12+39/60+36.6/3600</f>
        <v>12.660166666666667</v>
      </c>
      <c r="P8644" s="8" t="s">
        <v>37856</v>
      </c>
      <c r="Q8644" s="8">
        <f>+(16+35/60+20/3600)</f>
        <v>16.588888888888889</v>
      </c>
      <c r="R8644" s="8">
        <v>15.1</v>
      </c>
      <c r="S8644" s="8">
        <v>15.9</v>
      </c>
      <c r="T8644" s="8">
        <v>0.8</v>
      </c>
      <c r="U8644" s="8">
        <v>13</v>
      </c>
      <c r="V8644" s="8">
        <v>0.8</v>
      </c>
      <c r="W8644" s="8">
        <v>0.2</v>
      </c>
      <c r="X8644" s="8">
        <v>131</v>
      </c>
      <c r="Y8644" s="8" t="s">
        <v>37450</v>
      </c>
      <c r="Z8644" s="8" t="s">
        <v>37451</v>
      </c>
    </row>
    <row r="8645" spans="1:26" x14ac:dyDescent="0.2">
      <c r="A8645" s="8">
        <v>8644</v>
      </c>
      <c r="B8645" s="8" t="s">
        <v>37857</v>
      </c>
      <c r="C8645" s="8" t="s">
        <v>37857</v>
      </c>
      <c r="G8645" s="8">
        <v>20</v>
      </c>
      <c r="H8645" s="8" t="s">
        <v>21</v>
      </c>
      <c r="I8645" s="8" t="s">
        <v>22</v>
      </c>
      <c r="J8645" s="8" t="s">
        <v>22</v>
      </c>
      <c r="K8645" s="8" t="s">
        <v>37858</v>
      </c>
      <c r="L8645" s="8" t="s">
        <v>17287</v>
      </c>
      <c r="M8645" s="8" t="s">
        <v>17288</v>
      </c>
      <c r="N8645" s="8" t="s">
        <v>37859</v>
      </c>
      <c r="O8645" s="8">
        <f>12+41/60+15.8/3600</f>
        <v>12.687722222222222</v>
      </c>
      <c r="P8645" s="8" t="s">
        <v>37860</v>
      </c>
      <c r="Q8645" s="8">
        <f>-(5+0/60+33/3600)</f>
        <v>-5.0091666666666663</v>
      </c>
      <c r="R8645" s="8">
        <v>13.6</v>
      </c>
      <c r="S8645" s="8">
        <v>14.4</v>
      </c>
      <c r="T8645" s="8">
        <v>0.8</v>
      </c>
      <c r="U8645" s="8">
        <v>12.9</v>
      </c>
      <c r="V8645" s="8">
        <v>1</v>
      </c>
      <c r="W8645" s="8">
        <v>0.6</v>
      </c>
      <c r="X8645" s="8">
        <v>84</v>
      </c>
      <c r="Y8645" s="8" t="s">
        <v>421</v>
      </c>
      <c r="Z8645" s="8" t="s">
        <v>422</v>
      </c>
    </row>
    <row r="8646" spans="1:26" x14ac:dyDescent="0.2">
      <c r="A8646" s="8">
        <v>8645</v>
      </c>
      <c r="B8646" s="8" t="s">
        <v>37861</v>
      </c>
      <c r="C8646" s="8" t="s">
        <v>37861</v>
      </c>
      <c r="G8646" s="8">
        <v>20</v>
      </c>
      <c r="H8646" s="8" t="s">
        <v>21</v>
      </c>
      <c r="I8646" s="8" t="s">
        <v>22</v>
      </c>
      <c r="J8646" s="8" t="s">
        <v>57</v>
      </c>
      <c r="K8646" s="8" t="s">
        <v>396</v>
      </c>
      <c r="L8646" s="8" t="s">
        <v>18289</v>
      </c>
      <c r="M8646" s="8" t="s">
        <v>18290</v>
      </c>
      <c r="N8646" s="8" t="s">
        <v>20826</v>
      </c>
      <c r="O8646" s="8">
        <f>12+41/60+25.4/3600</f>
        <v>12.690388888888888</v>
      </c>
      <c r="P8646" s="8" t="s">
        <v>20827</v>
      </c>
      <c r="Q8646" s="8">
        <f>+(13+43/60+47/3600)</f>
        <v>13.729722222222222</v>
      </c>
      <c r="R8646" s="8">
        <v>14.3</v>
      </c>
      <c r="S8646" s="8">
        <v>15.1</v>
      </c>
      <c r="T8646" s="8">
        <v>0.8</v>
      </c>
      <c r="U8646" s="8">
        <v>12.6</v>
      </c>
      <c r="V8646" s="8">
        <v>1.2</v>
      </c>
      <c r="W8646" s="8">
        <v>0.2</v>
      </c>
      <c r="X8646" s="8">
        <v>126</v>
      </c>
      <c r="Y8646" s="8" t="s">
        <v>21</v>
      </c>
      <c r="Z8646" s="8" t="s">
        <v>37862</v>
      </c>
    </row>
    <row r="8647" spans="1:26" x14ac:dyDescent="0.2">
      <c r="A8647" s="8">
        <v>8646</v>
      </c>
      <c r="B8647" s="8" t="s">
        <v>37863</v>
      </c>
      <c r="C8647" s="8" t="s">
        <v>37863</v>
      </c>
      <c r="G8647" s="8">
        <v>20</v>
      </c>
      <c r="H8647" s="8" t="s">
        <v>21</v>
      </c>
      <c r="I8647" s="8" t="s">
        <v>22</v>
      </c>
      <c r="J8647" s="8" t="s">
        <v>22</v>
      </c>
      <c r="K8647" s="8" t="s">
        <v>31</v>
      </c>
      <c r="L8647" s="8" t="s">
        <v>15925</v>
      </c>
      <c r="M8647" s="8" t="s">
        <v>15926</v>
      </c>
      <c r="N8647" s="8" t="s">
        <v>37864</v>
      </c>
      <c r="O8647" s="8">
        <f>12+42/60+8.4/3600</f>
        <v>12.702333333333332</v>
      </c>
      <c r="P8647" s="8" t="s">
        <v>37865</v>
      </c>
      <c r="Q8647" s="8">
        <f>-(17+20/60+59/3600)</f>
        <v>-17.349722222222223</v>
      </c>
      <c r="R8647" s="8">
        <v>14.4</v>
      </c>
      <c r="S8647" s="8">
        <v>15.2</v>
      </c>
      <c r="T8647" s="8">
        <v>0.8</v>
      </c>
      <c r="U8647" s="8">
        <v>13.3</v>
      </c>
      <c r="V8647" s="8">
        <v>0.7</v>
      </c>
      <c r="W8647" s="8">
        <v>0.6</v>
      </c>
      <c r="X8647" s="8">
        <v>135</v>
      </c>
      <c r="Y8647" s="8" t="s">
        <v>37866</v>
      </c>
      <c r="Z8647" s="8" t="s">
        <v>37867</v>
      </c>
    </row>
    <row r="8648" spans="1:26" x14ac:dyDescent="0.2">
      <c r="A8648" s="8">
        <v>8647</v>
      </c>
      <c r="B8648" s="8" t="s">
        <v>37868</v>
      </c>
      <c r="C8648" s="8" t="s">
        <v>37868</v>
      </c>
      <c r="G8648" s="8">
        <v>20</v>
      </c>
      <c r="H8648" s="8" t="s">
        <v>21</v>
      </c>
      <c r="I8648" s="8" t="s">
        <v>22</v>
      </c>
      <c r="J8648" s="8" t="s">
        <v>22</v>
      </c>
      <c r="K8648" s="8" t="s">
        <v>58</v>
      </c>
      <c r="L8648" s="8" t="s">
        <v>15925</v>
      </c>
      <c r="M8648" s="8" t="s">
        <v>15926</v>
      </c>
      <c r="N8648" s="8" t="s">
        <v>37869</v>
      </c>
      <c r="O8648" s="8">
        <f>12+42/60+12.4/3600</f>
        <v>12.703444444444443</v>
      </c>
      <c r="P8648" s="8" t="s">
        <v>37870</v>
      </c>
      <c r="Q8648" s="8">
        <f>-(17+24/60+13/3600)</f>
        <v>-17.403611111111111</v>
      </c>
      <c r="R8648" s="8">
        <v>13.3</v>
      </c>
      <c r="S8648" s="8">
        <v>14.3</v>
      </c>
      <c r="T8648" s="8">
        <v>1</v>
      </c>
      <c r="U8648" s="8">
        <v>12.5</v>
      </c>
      <c r="V8648" s="8">
        <v>0.7</v>
      </c>
      <c r="W8648" s="8">
        <v>0.7</v>
      </c>
      <c r="Y8648" s="8" t="s">
        <v>957</v>
      </c>
      <c r="Z8648" s="8" t="s">
        <v>958</v>
      </c>
    </row>
    <row r="8649" spans="1:26" x14ac:dyDescent="0.2">
      <c r="A8649" s="8">
        <v>8648</v>
      </c>
      <c r="B8649" s="8" t="s">
        <v>37871</v>
      </c>
      <c r="C8649" s="8" t="s">
        <v>37871</v>
      </c>
      <c r="G8649" s="8">
        <v>20</v>
      </c>
      <c r="H8649" s="8" t="s">
        <v>21</v>
      </c>
      <c r="I8649" s="8" t="s">
        <v>72</v>
      </c>
      <c r="J8649" s="8" t="s">
        <v>72</v>
      </c>
      <c r="K8649" s="8" t="s">
        <v>73</v>
      </c>
      <c r="L8649" s="8" t="s">
        <v>18289</v>
      </c>
      <c r="M8649" s="8" t="s">
        <v>18290</v>
      </c>
      <c r="N8649" s="8" t="s">
        <v>37872</v>
      </c>
      <c r="O8649" s="8">
        <f>12+41/60+54.9/3600</f>
        <v>12.698583333333334</v>
      </c>
      <c r="P8649" s="8" t="s">
        <v>37873</v>
      </c>
      <c r="Q8649" s="8">
        <f>+(19+55/60+57/3600)</f>
        <v>19.932500000000001</v>
      </c>
      <c r="R8649" s="8">
        <v>99</v>
      </c>
      <c r="S8649" s="8">
        <v>99</v>
      </c>
      <c r="T8649" s="8">
        <v>99</v>
      </c>
      <c r="U8649" s="8">
        <v>99</v>
      </c>
      <c r="Y8649" s="8" t="s">
        <v>21</v>
      </c>
      <c r="Z8649" s="8" t="s">
        <v>37874</v>
      </c>
    </row>
    <row r="8650" spans="1:26" x14ac:dyDescent="0.2">
      <c r="A8650" s="8">
        <v>8649</v>
      </c>
      <c r="B8650" s="8" t="s">
        <v>37875</v>
      </c>
      <c r="C8650" s="8" t="s">
        <v>37875</v>
      </c>
      <c r="G8650" s="8">
        <v>20</v>
      </c>
      <c r="H8650" s="8" t="s">
        <v>21</v>
      </c>
      <c r="I8650" s="8" t="s">
        <v>22</v>
      </c>
      <c r="J8650" s="8" t="s">
        <v>22</v>
      </c>
      <c r="K8650" s="8" t="s">
        <v>460</v>
      </c>
      <c r="L8650" s="8" t="s">
        <v>17287</v>
      </c>
      <c r="M8650" s="8" t="s">
        <v>17288</v>
      </c>
      <c r="N8650" s="8" t="s">
        <v>37876</v>
      </c>
      <c r="O8650" s="8">
        <f>12+42/60+8.7/3600</f>
        <v>12.702416666666666</v>
      </c>
      <c r="P8650" s="8" t="s">
        <v>37877</v>
      </c>
      <c r="Q8650" s="8">
        <f>+(11+45/60+15/3600)</f>
        <v>11.754166666666666</v>
      </c>
      <c r="R8650" s="8">
        <v>13.2</v>
      </c>
      <c r="S8650" s="8">
        <v>14.2</v>
      </c>
      <c r="T8650" s="8">
        <v>1</v>
      </c>
      <c r="U8650" s="8">
        <v>13.3</v>
      </c>
      <c r="V8650" s="8">
        <v>1</v>
      </c>
      <c r="W8650" s="8">
        <v>1</v>
      </c>
      <c r="Y8650" s="8" t="s">
        <v>21</v>
      </c>
      <c r="Z8650" s="8" t="s">
        <v>37878</v>
      </c>
    </row>
    <row r="8651" spans="1:26" x14ac:dyDescent="0.2">
      <c r="A8651" s="8">
        <v>8650</v>
      </c>
      <c r="B8651" s="8" t="s">
        <v>37879</v>
      </c>
      <c r="C8651" s="8" t="s">
        <v>37879</v>
      </c>
      <c r="G8651" s="8">
        <v>20</v>
      </c>
      <c r="H8651" s="8" t="s">
        <v>21</v>
      </c>
      <c r="I8651" s="8" t="s">
        <v>22</v>
      </c>
      <c r="J8651" s="8" t="s">
        <v>22</v>
      </c>
      <c r="K8651" s="8" t="s">
        <v>632</v>
      </c>
      <c r="L8651" s="8" t="s">
        <v>17287</v>
      </c>
      <c r="M8651" s="8" t="s">
        <v>17288</v>
      </c>
      <c r="N8651" s="8" t="s">
        <v>37880</v>
      </c>
      <c r="O8651" s="8">
        <f>12+42/60+8.8/3600</f>
        <v>12.702444444444444</v>
      </c>
      <c r="P8651" s="8" t="s">
        <v>37881</v>
      </c>
      <c r="Q8651" s="8">
        <f>+(12+35/60+48/3600)</f>
        <v>12.596666666666668</v>
      </c>
      <c r="R8651" s="8">
        <v>13.4</v>
      </c>
      <c r="S8651" s="8">
        <v>14.3</v>
      </c>
      <c r="T8651" s="8">
        <v>0.9</v>
      </c>
      <c r="U8651" s="8">
        <v>13</v>
      </c>
      <c r="V8651" s="8">
        <v>1.6</v>
      </c>
      <c r="W8651" s="8">
        <v>0.5</v>
      </c>
      <c r="X8651" s="8">
        <v>166</v>
      </c>
      <c r="Y8651" s="8" t="s">
        <v>37882</v>
      </c>
      <c r="Z8651" s="8" t="s">
        <v>37883</v>
      </c>
    </row>
    <row r="8652" spans="1:26" x14ac:dyDescent="0.2">
      <c r="A8652" s="8">
        <v>8651</v>
      </c>
      <c r="B8652" s="8" t="s">
        <v>37884</v>
      </c>
      <c r="C8652" s="8" t="s">
        <v>37884</v>
      </c>
      <c r="G8652" s="8">
        <v>20</v>
      </c>
      <c r="H8652" s="8" t="s">
        <v>21</v>
      </c>
      <c r="I8652" s="8" t="s">
        <v>22</v>
      </c>
      <c r="J8652" s="8" t="s">
        <v>57</v>
      </c>
      <c r="K8652" s="8" t="s">
        <v>224</v>
      </c>
      <c r="L8652" s="8" t="s">
        <v>17287</v>
      </c>
      <c r="M8652" s="8" t="s">
        <v>17288</v>
      </c>
      <c r="N8652" s="8" t="s">
        <v>21064</v>
      </c>
      <c r="O8652" s="8">
        <f>12+44/60+47/3600</f>
        <v>12.746388888888887</v>
      </c>
      <c r="P8652" s="8" t="s">
        <v>21065</v>
      </c>
      <c r="Q8652" s="8">
        <f>-(10+11/60+53/3600)</f>
        <v>-10.198055555555555</v>
      </c>
      <c r="R8652" s="8">
        <v>13.5</v>
      </c>
      <c r="S8652" s="8">
        <v>14.5</v>
      </c>
      <c r="T8652" s="8">
        <v>1</v>
      </c>
      <c r="U8652" s="8">
        <v>13.2</v>
      </c>
      <c r="V8652" s="8">
        <v>1.1000000000000001</v>
      </c>
      <c r="W8652" s="8">
        <v>0.8</v>
      </c>
      <c r="X8652" s="8">
        <v>170</v>
      </c>
      <c r="Y8652" s="8" t="s">
        <v>21</v>
      </c>
      <c r="Z8652" s="8" t="s">
        <v>37885</v>
      </c>
    </row>
    <row r="8653" spans="1:26" x14ac:dyDescent="0.2">
      <c r="A8653" s="8">
        <v>8652</v>
      </c>
      <c r="B8653" s="8" t="s">
        <v>37886</v>
      </c>
      <c r="C8653" s="8" t="s">
        <v>37886</v>
      </c>
      <c r="G8653" s="8">
        <v>20</v>
      </c>
      <c r="H8653" s="8" t="s">
        <v>21</v>
      </c>
      <c r="I8653" s="8" t="s">
        <v>22</v>
      </c>
      <c r="J8653" s="8" t="s">
        <v>22</v>
      </c>
      <c r="K8653" s="8" t="s">
        <v>50</v>
      </c>
      <c r="L8653" s="8" t="s">
        <v>17287</v>
      </c>
      <c r="M8653" s="8" t="s">
        <v>17288</v>
      </c>
      <c r="N8653" s="8" t="s">
        <v>37887</v>
      </c>
      <c r="O8653" s="8">
        <f>12+44/60+50.9/3600</f>
        <v>12.747472222222221</v>
      </c>
      <c r="P8653" s="8" t="s">
        <v>37888</v>
      </c>
      <c r="Q8653" s="8">
        <f>-(4+26/60+4/3600)</f>
        <v>-4.4344444444444449</v>
      </c>
      <c r="R8653" s="8">
        <v>13.6</v>
      </c>
      <c r="S8653" s="8">
        <v>14.6</v>
      </c>
      <c r="T8653" s="8">
        <v>1</v>
      </c>
      <c r="U8653" s="8">
        <v>12.7</v>
      </c>
      <c r="V8653" s="8">
        <v>0.8</v>
      </c>
      <c r="W8653" s="8">
        <v>0.5</v>
      </c>
      <c r="X8653" s="8">
        <v>120</v>
      </c>
      <c r="Y8653" s="8" t="s">
        <v>37889</v>
      </c>
      <c r="Z8653" s="8" t="s">
        <v>37890</v>
      </c>
    </row>
    <row r="8654" spans="1:26" x14ac:dyDescent="0.2">
      <c r="A8654" s="8">
        <v>8653</v>
      </c>
      <c r="B8654" s="8" t="s">
        <v>37891</v>
      </c>
      <c r="C8654" s="8" t="s">
        <v>37891</v>
      </c>
      <c r="G8654" s="8">
        <v>20</v>
      </c>
      <c r="H8654" s="8" t="s">
        <v>21</v>
      </c>
      <c r="I8654" s="8" t="s">
        <v>22</v>
      </c>
      <c r="J8654" s="8" t="s">
        <v>22</v>
      </c>
      <c r="K8654" s="8" t="s">
        <v>396</v>
      </c>
      <c r="L8654" s="8" t="s">
        <v>18289</v>
      </c>
      <c r="M8654" s="8" t="s">
        <v>18290</v>
      </c>
      <c r="N8654" s="8" t="s">
        <v>37892</v>
      </c>
      <c r="O8654" s="8">
        <f>12+45/60+11.8/3600</f>
        <v>12.753277777777777</v>
      </c>
      <c r="P8654" s="8" t="s">
        <v>37893</v>
      </c>
      <c r="Q8654" s="8">
        <f>+(23+2/60+9/3600)</f>
        <v>23.035833333333336</v>
      </c>
      <c r="R8654" s="8">
        <v>13.6</v>
      </c>
      <c r="S8654" s="8">
        <v>14.4</v>
      </c>
      <c r="T8654" s="8">
        <v>0.8</v>
      </c>
      <c r="U8654" s="8">
        <v>13.1</v>
      </c>
      <c r="V8654" s="8">
        <v>0.9</v>
      </c>
      <c r="W8654" s="8">
        <v>0.8</v>
      </c>
      <c r="X8654" s="8">
        <v>36</v>
      </c>
      <c r="Y8654" s="8" t="s">
        <v>9930</v>
      </c>
      <c r="Z8654" s="8" t="s">
        <v>9931</v>
      </c>
    </row>
    <row r="8655" spans="1:26" x14ac:dyDescent="0.2">
      <c r="A8655" s="8">
        <v>8654</v>
      </c>
      <c r="B8655" s="8" t="s">
        <v>37894</v>
      </c>
      <c r="C8655" s="8" t="s">
        <v>37894</v>
      </c>
      <c r="G8655" s="8">
        <v>20</v>
      </c>
      <c r="H8655" s="8" t="s">
        <v>21</v>
      </c>
      <c r="I8655" s="8" t="s">
        <v>22</v>
      </c>
      <c r="J8655" s="8" t="s">
        <v>22</v>
      </c>
      <c r="K8655" s="8" t="s">
        <v>449</v>
      </c>
      <c r="L8655" s="8" t="s">
        <v>17287</v>
      </c>
      <c r="M8655" s="8" t="s">
        <v>17288</v>
      </c>
      <c r="N8655" s="8" t="s">
        <v>37895</v>
      </c>
      <c r="O8655" s="8">
        <f>12+45/60+34.1/3600</f>
        <v>12.759472222222222</v>
      </c>
      <c r="P8655" s="8" t="s">
        <v>37896</v>
      </c>
      <c r="Q8655" s="8">
        <f>-(8+5/60+30/3600)</f>
        <v>-8.0916666666666668</v>
      </c>
      <c r="R8655" s="8">
        <v>15</v>
      </c>
      <c r="S8655" s="8">
        <v>15.8</v>
      </c>
      <c r="T8655" s="8">
        <v>0.8</v>
      </c>
      <c r="U8655" s="8">
        <v>13.2</v>
      </c>
      <c r="V8655" s="8">
        <v>0.7</v>
      </c>
      <c r="W8655" s="8">
        <v>0.3</v>
      </c>
      <c r="X8655" s="8">
        <v>175</v>
      </c>
      <c r="Y8655" s="8" t="s">
        <v>37897</v>
      </c>
      <c r="Z8655" s="8" t="s">
        <v>37898</v>
      </c>
    </row>
    <row r="8656" spans="1:26" x14ac:dyDescent="0.2">
      <c r="A8656" s="8">
        <v>8655</v>
      </c>
      <c r="B8656" s="8" t="s">
        <v>37899</v>
      </c>
      <c r="C8656" s="8" t="s">
        <v>37899</v>
      </c>
      <c r="G8656" s="8">
        <v>20</v>
      </c>
      <c r="H8656" s="8" t="s">
        <v>21</v>
      </c>
      <c r="I8656" s="8" t="s">
        <v>22</v>
      </c>
      <c r="J8656" s="8" t="s">
        <v>22</v>
      </c>
      <c r="K8656" s="8" t="s">
        <v>818</v>
      </c>
      <c r="L8656" s="8" t="s">
        <v>17287</v>
      </c>
      <c r="M8656" s="8" t="s">
        <v>17288</v>
      </c>
      <c r="N8656" s="8" t="s">
        <v>37900</v>
      </c>
      <c r="O8656" s="8">
        <f>12+46/60+22.6/3600</f>
        <v>12.772944444444445</v>
      </c>
      <c r="P8656" s="8" t="s">
        <v>37901</v>
      </c>
      <c r="Q8656" s="8">
        <f>+(11+52/60+36/3600)</f>
        <v>11.876666666666667</v>
      </c>
      <c r="R8656" s="8">
        <v>13.9</v>
      </c>
      <c r="S8656" s="8">
        <v>14.9</v>
      </c>
      <c r="T8656" s="8">
        <v>1</v>
      </c>
      <c r="U8656" s="8">
        <v>11.9</v>
      </c>
      <c r="V8656" s="8">
        <v>0.5</v>
      </c>
      <c r="W8656" s="8">
        <v>0.3</v>
      </c>
      <c r="Y8656" s="8" t="s">
        <v>37902</v>
      </c>
      <c r="Z8656" s="8" t="s">
        <v>37903</v>
      </c>
    </row>
    <row r="8657" spans="1:26" x14ac:dyDescent="0.2">
      <c r="A8657" s="8">
        <v>8656</v>
      </c>
      <c r="B8657" s="8" t="s">
        <v>37904</v>
      </c>
      <c r="C8657" s="8" t="s">
        <v>37904</v>
      </c>
      <c r="G8657" s="8">
        <v>20</v>
      </c>
      <c r="H8657" s="8" t="s">
        <v>21</v>
      </c>
      <c r="I8657" s="8" t="s">
        <v>22</v>
      </c>
      <c r="J8657" s="8" t="s">
        <v>22</v>
      </c>
      <c r="K8657" s="8" t="s">
        <v>1445</v>
      </c>
      <c r="L8657" s="8" t="s">
        <v>17287</v>
      </c>
      <c r="M8657" s="8" t="s">
        <v>17288</v>
      </c>
      <c r="N8657" s="8" t="s">
        <v>37905</v>
      </c>
      <c r="O8657" s="8">
        <f>12+46/60+46.2/3600</f>
        <v>12.779500000000001</v>
      </c>
      <c r="P8657" s="8" t="s">
        <v>37906</v>
      </c>
      <c r="Q8657" s="8">
        <f>+(9+51/60+4/3600)</f>
        <v>9.8511111111111109</v>
      </c>
      <c r="R8657" s="8">
        <v>14</v>
      </c>
      <c r="S8657" s="8">
        <v>14.8</v>
      </c>
      <c r="T8657" s="8">
        <v>0.8</v>
      </c>
      <c r="U8657" s="8">
        <v>13.3</v>
      </c>
      <c r="V8657" s="8">
        <v>0.9</v>
      </c>
      <c r="W8657" s="8">
        <v>0.7</v>
      </c>
      <c r="X8657" s="8">
        <v>35</v>
      </c>
      <c r="Y8657" s="8" t="s">
        <v>37907</v>
      </c>
      <c r="Z8657" s="8" t="s">
        <v>37908</v>
      </c>
    </row>
    <row r="8658" spans="1:26" x14ac:dyDescent="0.2">
      <c r="A8658" s="8">
        <v>8657</v>
      </c>
      <c r="B8658" s="8" t="s">
        <v>37909</v>
      </c>
      <c r="C8658" s="8" t="s">
        <v>37909</v>
      </c>
      <c r="G8658" s="8">
        <v>20</v>
      </c>
      <c r="H8658" s="8" t="s">
        <v>21</v>
      </c>
      <c r="I8658" s="8" t="s">
        <v>22</v>
      </c>
      <c r="J8658" s="8" t="s">
        <v>22</v>
      </c>
      <c r="K8658" s="8" t="s">
        <v>58</v>
      </c>
      <c r="L8658" s="8" t="s">
        <v>17287</v>
      </c>
      <c r="M8658" s="8" t="s">
        <v>17288</v>
      </c>
      <c r="N8658" s="8" t="s">
        <v>37910</v>
      </c>
      <c r="O8658" s="8">
        <f>12+46/60+56.7/3600</f>
        <v>12.782416666666668</v>
      </c>
      <c r="P8658" s="8" t="s">
        <v>37911</v>
      </c>
      <c r="Q8658" s="8">
        <f>+(9+51/60+28/3600)</f>
        <v>9.8577777777777769</v>
      </c>
      <c r="R8658" s="8">
        <v>13.9</v>
      </c>
      <c r="S8658" s="8">
        <v>14.9</v>
      </c>
      <c r="T8658" s="8">
        <v>1</v>
      </c>
      <c r="U8658" s="8">
        <v>12.7</v>
      </c>
      <c r="V8658" s="8">
        <v>0.6</v>
      </c>
      <c r="W8658" s="8">
        <v>0.5</v>
      </c>
      <c r="Y8658" s="8" t="s">
        <v>26445</v>
      </c>
      <c r="Z8658" s="8" t="s">
        <v>26446</v>
      </c>
    </row>
    <row r="8659" spans="1:26" x14ac:dyDescent="0.2">
      <c r="A8659" s="8">
        <v>8658</v>
      </c>
      <c r="B8659" s="8" t="s">
        <v>37912</v>
      </c>
      <c r="C8659" s="8" t="s">
        <v>37912</v>
      </c>
      <c r="G8659" s="8">
        <v>20</v>
      </c>
      <c r="H8659" s="8" t="s">
        <v>21</v>
      </c>
      <c r="I8659" s="8" t="s">
        <v>22</v>
      </c>
      <c r="J8659" s="8" t="s">
        <v>22</v>
      </c>
      <c r="K8659" s="8" t="s">
        <v>23</v>
      </c>
      <c r="L8659" s="8" t="s">
        <v>18289</v>
      </c>
      <c r="M8659" s="8" t="s">
        <v>18290</v>
      </c>
      <c r="N8659" s="8" t="s">
        <v>37913</v>
      </c>
      <c r="O8659" s="8">
        <f>12+46/60+44.4/3600</f>
        <v>12.779000000000002</v>
      </c>
      <c r="P8659" s="8" t="s">
        <v>37914</v>
      </c>
      <c r="Q8659" s="8">
        <f>+(29+44/60+7/3600)</f>
        <v>29.735277777777778</v>
      </c>
      <c r="R8659" s="8">
        <v>14.6</v>
      </c>
      <c r="S8659" s="8">
        <v>15.4</v>
      </c>
      <c r="T8659" s="8">
        <v>0.8</v>
      </c>
      <c r="U8659" s="8">
        <v>12.6</v>
      </c>
      <c r="V8659" s="8">
        <v>0.9</v>
      </c>
      <c r="W8659" s="8">
        <v>0.2</v>
      </c>
      <c r="X8659" s="8">
        <v>48</v>
      </c>
      <c r="Y8659" s="8" t="s">
        <v>21</v>
      </c>
      <c r="Z8659" s="8" t="s">
        <v>37915</v>
      </c>
    </row>
    <row r="8660" spans="1:26" x14ac:dyDescent="0.2">
      <c r="A8660" s="8">
        <v>8659</v>
      </c>
      <c r="B8660" s="8" t="s">
        <v>37916</v>
      </c>
      <c r="C8660" s="8" t="s">
        <v>37916</v>
      </c>
      <c r="G8660" s="8">
        <v>20</v>
      </c>
      <c r="H8660" s="8" t="s">
        <v>21</v>
      </c>
      <c r="I8660" s="8" t="s">
        <v>22</v>
      </c>
      <c r="J8660" s="8" t="s">
        <v>57</v>
      </c>
      <c r="K8660" s="8" t="s">
        <v>435</v>
      </c>
      <c r="L8660" s="8" t="s">
        <v>18289</v>
      </c>
      <c r="M8660" s="8" t="s">
        <v>18290</v>
      </c>
      <c r="N8660" s="8" t="s">
        <v>21119</v>
      </c>
      <c r="O8660" s="8">
        <f>12+46/60+10.1/3600</f>
        <v>12.769472222222223</v>
      </c>
      <c r="P8660" s="8" t="s">
        <v>21120</v>
      </c>
      <c r="Q8660" s="8">
        <f>+(30+43/60+57/3600)</f>
        <v>30.732499999999998</v>
      </c>
      <c r="R8660" s="8">
        <v>13.5</v>
      </c>
      <c r="S8660" s="8">
        <v>14.4</v>
      </c>
      <c r="T8660" s="8">
        <v>0.9</v>
      </c>
      <c r="U8660" s="8">
        <v>13.2</v>
      </c>
      <c r="V8660" s="8">
        <v>1.4</v>
      </c>
      <c r="W8660" s="8">
        <v>0.6</v>
      </c>
      <c r="X8660" s="8">
        <v>0</v>
      </c>
      <c r="Y8660" s="8" t="s">
        <v>21</v>
      </c>
      <c r="Z8660" s="8" t="s">
        <v>37917</v>
      </c>
    </row>
    <row r="8661" spans="1:26" x14ac:dyDescent="0.2">
      <c r="A8661" s="8">
        <v>8660</v>
      </c>
      <c r="B8661" s="8" t="s">
        <v>37918</v>
      </c>
      <c r="C8661" s="8" t="s">
        <v>37918</v>
      </c>
      <c r="G8661" s="8">
        <v>20</v>
      </c>
      <c r="H8661" s="8" t="s">
        <v>21</v>
      </c>
      <c r="I8661" s="8" t="s">
        <v>22</v>
      </c>
      <c r="J8661" s="8" t="s">
        <v>57</v>
      </c>
      <c r="K8661" s="8" t="s">
        <v>632</v>
      </c>
      <c r="L8661" s="8" t="s">
        <v>18289</v>
      </c>
      <c r="M8661" s="8" t="s">
        <v>18290</v>
      </c>
      <c r="N8661" s="8" t="s">
        <v>37919</v>
      </c>
      <c r="O8661" s="8">
        <f>12+46/60+11.2/3600</f>
        <v>12.769777777777779</v>
      </c>
      <c r="P8661" s="8" t="s">
        <v>37920</v>
      </c>
      <c r="Q8661" s="8">
        <f>+(30+43/60+21/3600)</f>
        <v>30.722499999999997</v>
      </c>
      <c r="R8661" s="8">
        <v>13.8</v>
      </c>
      <c r="S8661" s="8">
        <v>14.7</v>
      </c>
      <c r="T8661" s="8">
        <v>0.9</v>
      </c>
      <c r="U8661" s="8">
        <v>14.3</v>
      </c>
      <c r="V8661" s="8">
        <v>2.2000000000000002</v>
      </c>
      <c r="W8661" s="8">
        <v>0.8</v>
      </c>
      <c r="X8661" s="8">
        <v>2</v>
      </c>
      <c r="Y8661" s="8" t="s">
        <v>21</v>
      </c>
      <c r="Z8661" s="8" t="s">
        <v>37917</v>
      </c>
    </row>
    <row r="8662" spans="1:26" x14ac:dyDescent="0.2">
      <c r="A8662" s="8">
        <v>8661</v>
      </c>
      <c r="B8662" s="8" t="s">
        <v>37921</v>
      </c>
      <c r="C8662" s="8" t="s">
        <v>37921</v>
      </c>
      <c r="G8662" s="8">
        <v>20</v>
      </c>
      <c r="H8662" s="8" t="s">
        <v>21</v>
      </c>
      <c r="I8662" s="8" t="s">
        <v>22</v>
      </c>
      <c r="J8662" s="8" t="s">
        <v>22</v>
      </c>
      <c r="K8662" s="8" t="s">
        <v>85</v>
      </c>
      <c r="L8662" s="8" t="s">
        <v>18289</v>
      </c>
      <c r="M8662" s="8" t="s">
        <v>18290</v>
      </c>
      <c r="N8662" s="8" t="s">
        <v>37922</v>
      </c>
      <c r="O8662" s="8">
        <f>12+47/60+26.1/3600</f>
        <v>12.790583333333334</v>
      </c>
      <c r="P8662" s="8" t="s">
        <v>37923</v>
      </c>
      <c r="Q8662" s="8">
        <f>+(29+47/60+16/3600)</f>
        <v>29.78777777777778</v>
      </c>
      <c r="R8662" s="8">
        <v>13.8</v>
      </c>
      <c r="S8662" s="8">
        <v>14.6</v>
      </c>
      <c r="T8662" s="8">
        <v>0.8</v>
      </c>
      <c r="U8662" s="8">
        <v>14</v>
      </c>
      <c r="V8662" s="8">
        <v>1.1000000000000001</v>
      </c>
      <c r="W8662" s="8">
        <v>1.1000000000000001</v>
      </c>
      <c r="Y8662" s="8" t="s">
        <v>21</v>
      </c>
      <c r="Z8662" s="8" t="s">
        <v>37924</v>
      </c>
    </row>
    <row r="8663" spans="1:26" x14ac:dyDescent="0.2">
      <c r="A8663" s="8">
        <v>8662</v>
      </c>
      <c r="B8663" s="8" t="s">
        <v>37925</v>
      </c>
      <c r="C8663" s="8" t="s">
        <v>37925</v>
      </c>
      <c r="G8663" s="8">
        <v>20</v>
      </c>
      <c r="H8663" s="8" t="s">
        <v>21</v>
      </c>
      <c r="I8663" s="8" t="s">
        <v>22</v>
      </c>
      <c r="J8663" s="8" t="s">
        <v>22</v>
      </c>
      <c r="K8663" s="8" t="s">
        <v>449</v>
      </c>
      <c r="L8663" s="8" t="s">
        <v>18289</v>
      </c>
      <c r="M8663" s="8" t="s">
        <v>18290</v>
      </c>
      <c r="N8663" s="8" t="s">
        <v>37926</v>
      </c>
      <c r="O8663" s="8">
        <f>12+47/60+45.5/3600</f>
        <v>12.795972222222222</v>
      </c>
      <c r="P8663" s="8" t="s">
        <v>37927</v>
      </c>
      <c r="Q8663" s="8">
        <f>+(30+4/60+40/3600)</f>
        <v>30.077777777777779</v>
      </c>
      <c r="R8663" s="8">
        <v>15.2</v>
      </c>
      <c r="S8663" s="8">
        <v>16</v>
      </c>
      <c r="T8663" s="8">
        <v>0.8</v>
      </c>
      <c r="U8663" s="8">
        <v>13.1</v>
      </c>
      <c r="V8663" s="8">
        <v>0.4</v>
      </c>
      <c r="W8663" s="8">
        <v>0.4</v>
      </c>
      <c r="Y8663" s="8" t="s">
        <v>37928</v>
      </c>
      <c r="Z8663" s="8" t="s">
        <v>37929</v>
      </c>
    </row>
    <row r="8664" spans="1:26" x14ac:dyDescent="0.2">
      <c r="A8664" s="8">
        <v>8663</v>
      </c>
      <c r="B8664" s="8" t="s">
        <v>37930</v>
      </c>
      <c r="C8664" s="8" t="s">
        <v>37930</v>
      </c>
      <c r="G8664" s="8">
        <v>20</v>
      </c>
      <c r="H8664" s="8" t="s">
        <v>21</v>
      </c>
      <c r="I8664" s="8" t="s">
        <v>72</v>
      </c>
      <c r="J8664" s="8" t="s">
        <v>72</v>
      </c>
      <c r="K8664" s="8" t="s">
        <v>20</v>
      </c>
      <c r="L8664" s="8" t="s">
        <v>18289</v>
      </c>
      <c r="M8664" s="8" t="s">
        <v>18290</v>
      </c>
      <c r="N8664" s="8" t="s">
        <v>37931</v>
      </c>
      <c r="O8664" s="8">
        <f>12+47/60+50.9/3600</f>
        <v>12.797472222222222</v>
      </c>
      <c r="P8664" s="8" t="s">
        <v>37932</v>
      </c>
      <c r="Q8664" s="8">
        <f>+(27+12/60+10/3600)</f>
        <v>27.202777777777776</v>
      </c>
      <c r="R8664" s="8">
        <v>99</v>
      </c>
      <c r="S8664" s="8">
        <v>99</v>
      </c>
      <c r="T8664" s="8">
        <v>99</v>
      </c>
      <c r="U8664" s="8">
        <v>99</v>
      </c>
      <c r="Y8664" s="8" t="s">
        <v>21</v>
      </c>
      <c r="Z8664" s="8" t="s">
        <v>37933</v>
      </c>
    </row>
    <row r="8665" spans="1:26" x14ac:dyDescent="0.2">
      <c r="A8665" s="8">
        <v>8664</v>
      </c>
      <c r="B8665" s="8" t="s">
        <v>37934</v>
      </c>
      <c r="C8665" s="8" t="s">
        <v>37934</v>
      </c>
      <c r="E8665" s="8">
        <v>2</v>
      </c>
      <c r="G8665" s="8">
        <v>20</v>
      </c>
      <c r="H8665" s="8" t="s">
        <v>21</v>
      </c>
      <c r="I8665" s="8" t="s">
        <v>22</v>
      </c>
      <c r="J8665" s="8" t="s">
        <v>57</v>
      </c>
      <c r="K8665" s="8" t="s">
        <v>476</v>
      </c>
      <c r="L8665" s="8" t="s">
        <v>17287</v>
      </c>
      <c r="M8665" s="8" t="s">
        <v>17288</v>
      </c>
      <c r="N8665" s="8" t="s">
        <v>21129</v>
      </c>
      <c r="O8665" s="8">
        <f>12+49/60+41/3600</f>
        <v>12.828055555555554</v>
      </c>
      <c r="P8665" s="8" t="s">
        <v>21130</v>
      </c>
      <c r="Q8665" s="8">
        <f>-(4+34/60+49/3600)</f>
        <v>-4.5802777777777779</v>
      </c>
      <c r="R8665" s="8">
        <v>13.5</v>
      </c>
      <c r="S8665" s="8">
        <v>14.3</v>
      </c>
      <c r="T8665" s="8">
        <v>0.8</v>
      </c>
      <c r="U8665" s="8">
        <v>12.5</v>
      </c>
      <c r="V8665" s="8">
        <v>0.9</v>
      </c>
      <c r="W8665" s="8">
        <v>0.5</v>
      </c>
      <c r="X8665" s="8">
        <v>100</v>
      </c>
      <c r="Y8665" s="8" t="s">
        <v>37935</v>
      </c>
      <c r="Z8665" s="8" t="s">
        <v>37936</v>
      </c>
    </row>
    <row r="8666" spans="1:26" x14ac:dyDescent="0.2">
      <c r="A8666" s="8">
        <v>8665</v>
      </c>
      <c r="B8666" s="8" t="s">
        <v>37937</v>
      </c>
      <c r="C8666" s="8" t="s">
        <v>37937</v>
      </c>
      <c r="G8666" s="8">
        <v>20</v>
      </c>
      <c r="H8666" s="8" t="s">
        <v>21</v>
      </c>
      <c r="I8666" s="8" t="s">
        <v>22</v>
      </c>
      <c r="J8666" s="8" t="s">
        <v>22</v>
      </c>
      <c r="K8666" s="8" t="s">
        <v>449</v>
      </c>
      <c r="L8666" s="8" t="s">
        <v>17287</v>
      </c>
      <c r="M8666" s="8" t="s">
        <v>17288</v>
      </c>
      <c r="N8666" s="8" t="s">
        <v>37938</v>
      </c>
      <c r="O8666" s="8">
        <f>12+50/60+19.1/3600</f>
        <v>12.838638888888889</v>
      </c>
      <c r="P8666" s="8" t="s">
        <v>37939</v>
      </c>
      <c r="Q8666" s="8">
        <f>-(5+21/60+47/3600)</f>
        <v>-5.3630555555555555</v>
      </c>
      <c r="R8666" s="8">
        <v>14.7</v>
      </c>
      <c r="S8666" s="8">
        <v>15.5</v>
      </c>
      <c r="T8666" s="8">
        <v>0.8</v>
      </c>
      <c r="U8666" s="8">
        <v>12.7</v>
      </c>
      <c r="V8666" s="8">
        <v>0.6</v>
      </c>
      <c r="W8666" s="8">
        <v>0.3</v>
      </c>
      <c r="X8666" s="8">
        <v>85</v>
      </c>
      <c r="Y8666" s="8" t="s">
        <v>35912</v>
      </c>
      <c r="Z8666" s="8" t="s">
        <v>35913</v>
      </c>
    </row>
    <row r="8667" spans="1:26" x14ac:dyDescent="0.2">
      <c r="A8667" s="8">
        <v>8666</v>
      </c>
      <c r="B8667" s="8" t="s">
        <v>37940</v>
      </c>
      <c r="C8667" s="8" t="s">
        <v>37940</v>
      </c>
      <c r="G8667" s="8">
        <v>20</v>
      </c>
      <c r="H8667" s="8" t="s">
        <v>21</v>
      </c>
      <c r="I8667" s="8" t="s">
        <v>22</v>
      </c>
      <c r="J8667" s="8" t="s">
        <v>22</v>
      </c>
      <c r="K8667" s="8" t="s">
        <v>218</v>
      </c>
      <c r="L8667" s="8" t="s">
        <v>18289</v>
      </c>
      <c r="M8667" s="8" t="s">
        <v>18290</v>
      </c>
      <c r="N8667" s="8" t="s">
        <v>37941</v>
      </c>
      <c r="O8667" s="8">
        <f>12+51/60+19.9/3600</f>
        <v>12.855527777777777</v>
      </c>
      <c r="P8667" s="8" t="s">
        <v>37942</v>
      </c>
      <c r="Q8667" s="8">
        <f>+(31+3/60+33/3600)</f>
        <v>31.059166666666666</v>
      </c>
      <c r="R8667" s="8">
        <v>14</v>
      </c>
      <c r="S8667" s="8">
        <v>14.8</v>
      </c>
      <c r="T8667" s="8">
        <v>0.8</v>
      </c>
      <c r="U8667" s="8">
        <v>12.8</v>
      </c>
      <c r="V8667" s="8">
        <v>0.6</v>
      </c>
      <c r="W8667" s="8">
        <v>0.6</v>
      </c>
      <c r="Y8667" s="8" t="s">
        <v>1323</v>
      </c>
      <c r="Z8667" s="8" t="s">
        <v>1324</v>
      </c>
    </row>
    <row r="8668" spans="1:26" x14ac:dyDescent="0.2">
      <c r="A8668" s="8">
        <v>8667</v>
      </c>
      <c r="B8668" s="8" t="s">
        <v>37943</v>
      </c>
      <c r="C8668" s="8" t="s">
        <v>37943</v>
      </c>
      <c r="G8668" s="8">
        <v>20</v>
      </c>
      <c r="H8668" s="8" t="s">
        <v>21</v>
      </c>
      <c r="I8668" s="8" t="s">
        <v>22</v>
      </c>
      <c r="J8668" s="8" t="s">
        <v>22</v>
      </c>
      <c r="K8668" s="8" t="s">
        <v>476</v>
      </c>
      <c r="L8668" s="8" t="s">
        <v>18289</v>
      </c>
      <c r="M8668" s="8" t="s">
        <v>18290</v>
      </c>
      <c r="N8668" s="8" t="s">
        <v>37944</v>
      </c>
      <c r="O8668" s="8">
        <f>12+51/60+55/3600</f>
        <v>12.865277777777777</v>
      </c>
      <c r="P8668" s="8" t="s">
        <v>37945</v>
      </c>
      <c r="Q8668" s="8">
        <f>+(16+16/60+59/3600)</f>
        <v>16.283055555555556</v>
      </c>
      <c r="R8668" s="8">
        <v>14.3</v>
      </c>
      <c r="S8668" s="8">
        <v>15.2</v>
      </c>
      <c r="T8668" s="8">
        <v>0.9</v>
      </c>
      <c r="U8668" s="8">
        <v>13.3</v>
      </c>
      <c r="V8668" s="8">
        <v>0.9</v>
      </c>
      <c r="W8668" s="8">
        <v>0.5</v>
      </c>
      <c r="X8668" s="8">
        <v>104</v>
      </c>
      <c r="Y8668" s="8" t="s">
        <v>37946</v>
      </c>
      <c r="Z8668" s="8" t="s">
        <v>37947</v>
      </c>
    </row>
    <row r="8669" spans="1:26" x14ac:dyDescent="0.2">
      <c r="A8669" s="8">
        <v>8668</v>
      </c>
      <c r="B8669" s="8" t="s">
        <v>37948</v>
      </c>
      <c r="C8669" s="8" t="s">
        <v>37948</v>
      </c>
      <c r="G8669" s="8">
        <v>20</v>
      </c>
      <c r="H8669" s="8" t="s">
        <v>21</v>
      </c>
      <c r="I8669" s="8" t="s">
        <v>22</v>
      </c>
      <c r="J8669" s="8" t="s">
        <v>22</v>
      </c>
      <c r="K8669" s="8" t="s">
        <v>449</v>
      </c>
      <c r="L8669" s="8" t="s">
        <v>17287</v>
      </c>
      <c r="M8669" s="8" t="s">
        <v>17288</v>
      </c>
      <c r="N8669" s="8" t="s">
        <v>21405</v>
      </c>
      <c r="O8669" s="8">
        <f>12+52/60+15.6/3600</f>
        <v>12.871</v>
      </c>
      <c r="P8669" s="8" t="s">
        <v>37949</v>
      </c>
      <c r="Q8669" s="8">
        <f>-(8+7/60+58/3600)</f>
        <v>-8.132777777777779</v>
      </c>
      <c r="R8669" s="8">
        <v>14.7</v>
      </c>
      <c r="S8669" s="8">
        <v>15.5</v>
      </c>
      <c r="T8669" s="8">
        <v>0.8</v>
      </c>
      <c r="U8669" s="8">
        <v>13</v>
      </c>
      <c r="V8669" s="8">
        <v>0.8</v>
      </c>
      <c r="W8669" s="8">
        <v>0.3</v>
      </c>
      <c r="X8669" s="8">
        <v>140</v>
      </c>
      <c r="Y8669" s="8" t="s">
        <v>21</v>
      </c>
      <c r="Z8669" s="8" t="s">
        <v>37950</v>
      </c>
    </row>
    <row r="8670" spans="1:26" x14ac:dyDescent="0.2">
      <c r="A8670" s="8">
        <v>8669</v>
      </c>
      <c r="B8670" s="8" t="s">
        <v>37951</v>
      </c>
      <c r="C8670" s="8" t="s">
        <v>37951</v>
      </c>
      <c r="G8670" s="8">
        <v>20</v>
      </c>
      <c r="H8670" s="8" t="s">
        <v>21</v>
      </c>
      <c r="I8670" s="8" t="s">
        <v>22</v>
      </c>
      <c r="J8670" s="8" t="s">
        <v>22</v>
      </c>
      <c r="K8670" s="8" t="s">
        <v>632</v>
      </c>
      <c r="L8670" s="8" t="s">
        <v>15925</v>
      </c>
      <c r="M8670" s="8" t="s">
        <v>15926</v>
      </c>
      <c r="N8670" s="8" t="s">
        <v>37952</v>
      </c>
      <c r="O8670" s="8">
        <f>12+52/60+27.3/3600</f>
        <v>12.87425</v>
      </c>
      <c r="P8670" s="8" t="s">
        <v>37953</v>
      </c>
      <c r="Q8670" s="8">
        <f>-(15+31/60+5/3600)</f>
        <v>-15.518055555555556</v>
      </c>
      <c r="R8670" s="8">
        <v>13.7</v>
      </c>
      <c r="S8670" s="8">
        <v>14.6</v>
      </c>
      <c r="T8670" s="8">
        <v>0.9</v>
      </c>
      <c r="U8670" s="8">
        <v>12.6</v>
      </c>
      <c r="V8670" s="8">
        <v>0.7</v>
      </c>
      <c r="W8670" s="8">
        <v>0.6</v>
      </c>
      <c r="X8670" s="8">
        <v>126</v>
      </c>
      <c r="Y8670" s="8" t="s">
        <v>21</v>
      </c>
      <c r="Z8670" s="8" t="s">
        <v>14347</v>
      </c>
    </row>
    <row r="8671" spans="1:26" x14ac:dyDescent="0.2">
      <c r="A8671" s="8">
        <v>8670</v>
      </c>
      <c r="B8671" s="8" t="s">
        <v>37954</v>
      </c>
      <c r="C8671" s="8" t="s">
        <v>37954</v>
      </c>
      <c r="G8671" s="8">
        <v>20</v>
      </c>
      <c r="H8671" s="8" t="s">
        <v>21</v>
      </c>
      <c r="I8671" s="8" t="s">
        <v>22</v>
      </c>
      <c r="J8671" s="8" t="s">
        <v>22</v>
      </c>
      <c r="K8671" s="8" t="s">
        <v>449</v>
      </c>
      <c r="L8671" s="8" t="s">
        <v>12015</v>
      </c>
      <c r="M8671" s="8" t="s">
        <v>12016</v>
      </c>
      <c r="N8671" s="8" t="s">
        <v>37955</v>
      </c>
      <c r="O8671" s="8">
        <f>12+51/60+16.4/3600</f>
        <v>12.854555555555555</v>
      </c>
      <c r="P8671" s="8" t="s">
        <v>37956</v>
      </c>
      <c r="Q8671" s="8">
        <f>+(53+41/60+45/3600)</f>
        <v>53.695833333333333</v>
      </c>
      <c r="R8671" s="8">
        <v>13.6</v>
      </c>
      <c r="S8671" s="8">
        <v>14.4</v>
      </c>
      <c r="T8671" s="8">
        <v>0.8</v>
      </c>
      <c r="U8671" s="8">
        <v>12.2</v>
      </c>
      <c r="V8671" s="8">
        <v>0.8</v>
      </c>
      <c r="W8671" s="8">
        <v>0.4</v>
      </c>
      <c r="X8671" s="8">
        <v>165</v>
      </c>
      <c r="Y8671" s="8" t="s">
        <v>37957</v>
      </c>
      <c r="Z8671" s="8" t="s">
        <v>37958</v>
      </c>
    </row>
    <row r="8672" spans="1:26" x14ac:dyDescent="0.2">
      <c r="A8672" s="8">
        <v>8671</v>
      </c>
      <c r="B8672" s="8" t="s">
        <v>37959</v>
      </c>
      <c r="C8672" s="8" t="s">
        <v>37959</v>
      </c>
      <c r="G8672" s="8">
        <v>20</v>
      </c>
      <c r="H8672" s="8" t="s">
        <v>21</v>
      </c>
      <c r="I8672" s="8" t="s">
        <v>22</v>
      </c>
      <c r="J8672" s="8" t="s">
        <v>22</v>
      </c>
      <c r="K8672" s="8" t="s">
        <v>58</v>
      </c>
      <c r="L8672" s="8" t="s">
        <v>18289</v>
      </c>
      <c r="M8672" s="8" t="s">
        <v>18290</v>
      </c>
      <c r="N8672" s="8" t="s">
        <v>21471</v>
      </c>
      <c r="O8672" s="8">
        <f>12+52/60+43.9/3600</f>
        <v>12.878861111111112</v>
      </c>
      <c r="P8672" s="8" t="s">
        <v>37960</v>
      </c>
      <c r="Q8672" s="8">
        <f>+(26+28/60+16/3600)</f>
        <v>26.47111111111111</v>
      </c>
      <c r="R8672" s="8">
        <v>14.4</v>
      </c>
      <c r="S8672" s="8">
        <v>15.4</v>
      </c>
      <c r="T8672" s="8">
        <v>1</v>
      </c>
      <c r="U8672" s="8">
        <v>12.8</v>
      </c>
      <c r="V8672" s="8">
        <v>0.7</v>
      </c>
      <c r="W8672" s="8">
        <v>0.3</v>
      </c>
      <c r="X8672" s="8">
        <v>95</v>
      </c>
      <c r="Y8672" s="8" t="s">
        <v>2641</v>
      </c>
      <c r="Z8672" s="8" t="s">
        <v>2642</v>
      </c>
    </row>
    <row r="8673" spans="1:26" x14ac:dyDescent="0.2">
      <c r="A8673" s="8">
        <v>8672</v>
      </c>
      <c r="B8673" s="8" t="s">
        <v>37961</v>
      </c>
      <c r="C8673" s="8" t="s">
        <v>37961</v>
      </c>
      <c r="G8673" s="8">
        <v>20</v>
      </c>
      <c r="H8673" s="8" t="s">
        <v>21</v>
      </c>
      <c r="I8673" s="8" t="s">
        <v>22</v>
      </c>
      <c r="J8673" s="8" t="s">
        <v>22</v>
      </c>
      <c r="K8673" s="8" t="s">
        <v>460</v>
      </c>
      <c r="L8673" s="8" t="s">
        <v>18289</v>
      </c>
      <c r="M8673" s="8" t="s">
        <v>18290</v>
      </c>
      <c r="N8673" s="8" t="s">
        <v>37962</v>
      </c>
      <c r="O8673" s="8">
        <f>12+53/60+59/3600</f>
        <v>12.899722222222222</v>
      </c>
      <c r="P8673" s="8" t="s">
        <v>37963</v>
      </c>
      <c r="Q8673" s="8">
        <f>+(26+26/60+40/3600)</f>
        <v>26.444444444444446</v>
      </c>
      <c r="R8673" s="8">
        <v>13.9</v>
      </c>
      <c r="S8673" s="8">
        <v>14.9</v>
      </c>
      <c r="T8673" s="8">
        <v>1</v>
      </c>
      <c r="U8673" s="8">
        <v>12.5</v>
      </c>
      <c r="V8673" s="8">
        <v>0.5</v>
      </c>
      <c r="W8673" s="8">
        <v>0.5</v>
      </c>
      <c r="Y8673" s="8" t="s">
        <v>37964</v>
      </c>
      <c r="Z8673" s="8" t="s">
        <v>37965</v>
      </c>
    </row>
    <row r="8674" spans="1:26" x14ac:dyDescent="0.2">
      <c r="A8674" s="8">
        <v>8673</v>
      </c>
      <c r="B8674" s="8" t="s">
        <v>37966</v>
      </c>
      <c r="C8674" s="8" t="s">
        <v>37966</v>
      </c>
      <c r="G8674" s="8">
        <v>20</v>
      </c>
      <c r="H8674" s="8" t="s">
        <v>21</v>
      </c>
      <c r="I8674" s="8" t="s">
        <v>22</v>
      </c>
      <c r="J8674" s="8" t="s">
        <v>22</v>
      </c>
      <c r="K8674" s="8" t="s">
        <v>382</v>
      </c>
      <c r="L8674" s="8" t="s">
        <v>17287</v>
      </c>
      <c r="M8674" s="8" t="s">
        <v>17288</v>
      </c>
      <c r="N8674" s="8" t="s">
        <v>37967</v>
      </c>
      <c r="O8674" s="8">
        <f>12+56/60+38.2/3600</f>
        <v>12.943944444444444</v>
      </c>
      <c r="P8674" s="8" t="s">
        <v>37968</v>
      </c>
      <c r="Q8674" s="8">
        <f>-(6+44/60+0/3600)</f>
        <v>-6.7333333333333334</v>
      </c>
      <c r="R8674" s="8">
        <v>14.5</v>
      </c>
      <c r="S8674" s="8">
        <v>15.5</v>
      </c>
      <c r="T8674" s="8">
        <v>1</v>
      </c>
      <c r="U8674" s="8">
        <v>11.5</v>
      </c>
      <c r="V8674" s="8">
        <v>0.3</v>
      </c>
      <c r="W8674" s="8">
        <v>0.2</v>
      </c>
      <c r="X8674" s="8">
        <v>95</v>
      </c>
      <c r="Y8674" s="8" t="s">
        <v>170</v>
      </c>
      <c r="Z8674" s="8" t="s">
        <v>171</v>
      </c>
    </row>
    <row r="8675" spans="1:26" x14ac:dyDescent="0.2">
      <c r="A8675" s="8">
        <v>8674</v>
      </c>
      <c r="B8675" s="8" t="s">
        <v>37969</v>
      </c>
      <c r="C8675" s="8" t="s">
        <v>37969</v>
      </c>
      <c r="G8675" s="8">
        <v>20</v>
      </c>
      <c r="H8675" s="8" t="s">
        <v>21</v>
      </c>
      <c r="I8675" s="8" t="s">
        <v>22</v>
      </c>
      <c r="J8675" s="8" t="s">
        <v>22</v>
      </c>
      <c r="K8675" s="8" t="s">
        <v>50</v>
      </c>
      <c r="L8675" s="8" t="s">
        <v>18289</v>
      </c>
      <c r="M8675" s="8" t="s">
        <v>18290</v>
      </c>
      <c r="N8675" s="8" t="s">
        <v>37970</v>
      </c>
      <c r="O8675" s="8">
        <f>12+56/60+18.5/3600</f>
        <v>12.938472222222222</v>
      </c>
      <c r="P8675" s="8" t="s">
        <v>37971</v>
      </c>
      <c r="Q8675" s="8">
        <f>+(26+21/60+34/3600)</f>
        <v>26.359444444444446</v>
      </c>
      <c r="R8675" s="8">
        <v>14.3</v>
      </c>
      <c r="S8675" s="8">
        <v>15.3</v>
      </c>
      <c r="T8675" s="8">
        <v>1</v>
      </c>
      <c r="U8675" s="8">
        <v>12.3</v>
      </c>
      <c r="V8675" s="8">
        <v>0.5</v>
      </c>
      <c r="W8675" s="8">
        <v>0.3</v>
      </c>
      <c r="X8675" s="8">
        <v>95</v>
      </c>
      <c r="Y8675" s="8" t="s">
        <v>37972</v>
      </c>
      <c r="Z8675" s="8" t="s">
        <v>37973</v>
      </c>
    </row>
    <row r="8676" spans="1:26" x14ac:dyDescent="0.2">
      <c r="A8676" s="8">
        <v>8675</v>
      </c>
      <c r="B8676" s="8" t="s">
        <v>37974</v>
      </c>
      <c r="C8676" s="8" t="s">
        <v>37974</v>
      </c>
      <c r="G8676" s="8">
        <v>20</v>
      </c>
      <c r="H8676" s="8" t="s">
        <v>21</v>
      </c>
      <c r="I8676" s="8" t="s">
        <v>22</v>
      </c>
      <c r="J8676" s="8" t="s">
        <v>22</v>
      </c>
      <c r="K8676" s="8" t="s">
        <v>218</v>
      </c>
      <c r="L8676" s="8" t="s">
        <v>18289</v>
      </c>
      <c r="M8676" s="8" t="s">
        <v>18290</v>
      </c>
      <c r="N8676" s="8" t="s">
        <v>37975</v>
      </c>
      <c r="O8676" s="8">
        <f>12+56/60+52.4/3600</f>
        <v>12.947888888888889</v>
      </c>
      <c r="P8676" s="8" t="s">
        <v>37976</v>
      </c>
      <c r="Q8676" s="8">
        <f>+(26+29/60+13/3600)</f>
        <v>26.486944444444447</v>
      </c>
      <c r="R8676" s="8">
        <v>14.2</v>
      </c>
      <c r="S8676" s="8">
        <v>15</v>
      </c>
      <c r="T8676" s="8">
        <v>0.8</v>
      </c>
      <c r="U8676" s="8">
        <v>12.9</v>
      </c>
      <c r="V8676" s="8">
        <v>0.6</v>
      </c>
      <c r="W8676" s="8">
        <v>0.6</v>
      </c>
      <c r="Y8676" s="8" t="s">
        <v>895</v>
      </c>
      <c r="Z8676" s="8" t="s">
        <v>896</v>
      </c>
    </row>
    <row r="8677" spans="1:26" x14ac:dyDescent="0.2">
      <c r="A8677" s="8">
        <v>8676</v>
      </c>
      <c r="B8677" s="8" t="s">
        <v>37977</v>
      </c>
      <c r="C8677" s="8" t="s">
        <v>37977</v>
      </c>
      <c r="G8677" s="8">
        <v>20</v>
      </c>
      <c r="H8677" s="8" t="s">
        <v>21</v>
      </c>
      <c r="I8677" s="8" t="s">
        <v>22</v>
      </c>
      <c r="J8677" s="8" t="s">
        <v>22</v>
      </c>
      <c r="K8677" s="8" t="s">
        <v>449</v>
      </c>
      <c r="L8677" s="8" t="s">
        <v>13395</v>
      </c>
      <c r="M8677" s="8" t="s">
        <v>13396</v>
      </c>
      <c r="N8677" s="8" t="s">
        <v>37978</v>
      </c>
      <c r="O8677" s="8">
        <f>12+55/60+54.1/3600</f>
        <v>12.931694444444444</v>
      </c>
      <c r="P8677" s="8" t="s">
        <v>37979</v>
      </c>
      <c r="Q8677" s="8">
        <f>+(63+36/60+42/3600)</f>
        <v>63.611666666666665</v>
      </c>
      <c r="R8677" s="8">
        <v>13.7</v>
      </c>
      <c r="S8677" s="8">
        <v>14.6</v>
      </c>
      <c r="T8677" s="8">
        <v>0.9</v>
      </c>
      <c r="U8677" s="8">
        <v>12.6</v>
      </c>
      <c r="V8677" s="8">
        <v>1.3</v>
      </c>
      <c r="W8677" s="8">
        <v>0.2</v>
      </c>
      <c r="X8677" s="8">
        <v>73</v>
      </c>
      <c r="Y8677" s="8" t="s">
        <v>37980</v>
      </c>
      <c r="Z8677" s="8" t="s">
        <v>37981</v>
      </c>
    </row>
    <row r="8678" spans="1:26" x14ac:dyDescent="0.2">
      <c r="A8678" s="8">
        <v>8677</v>
      </c>
      <c r="B8678" s="8" t="s">
        <v>37982</v>
      </c>
      <c r="C8678" s="8" t="s">
        <v>37982</v>
      </c>
      <c r="G8678" s="8">
        <v>20</v>
      </c>
      <c r="H8678" s="8" t="s">
        <v>21</v>
      </c>
      <c r="I8678" s="8" t="s">
        <v>22</v>
      </c>
      <c r="J8678" s="8" t="s">
        <v>22</v>
      </c>
      <c r="K8678" s="8" t="s">
        <v>632</v>
      </c>
      <c r="L8678" s="8" t="s">
        <v>18289</v>
      </c>
      <c r="M8678" s="8" t="s">
        <v>18290</v>
      </c>
      <c r="N8678" s="8" t="s">
        <v>37983</v>
      </c>
      <c r="O8678" s="8">
        <f>12+57/60+31.4/3600</f>
        <v>12.958722222222221</v>
      </c>
      <c r="P8678" s="8" t="s">
        <v>37984</v>
      </c>
      <c r="Q8678" s="8">
        <f>+(26+30/60+40/3600)</f>
        <v>26.511111111111113</v>
      </c>
      <c r="R8678" s="8">
        <v>14.6</v>
      </c>
      <c r="S8678" s="8">
        <v>15.5</v>
      </c>
      <c r="T8678" s="8">
        <v>0.9</v>
      </c>
      <c r="U8678" s="8">
        <v>12.6</v>
      </c>
      <c r="V8678" s="8">
        <v>0.9</v>
      </c>
      <c r="W8678" s="8">
        <v>0.2</v>
      </c>
      <c r="X8678" s="8">
        <v>5</v>
      </c>
      <c r="Y8678" s="8" t="s">
        <v>895</v>
      </c>
      <c r="Z8678" s="8" t="s">
        <v>896</v>
      </c>
    </row>
    <row r="8679" spans="1:26" x14ac:dyDescent="0.2">
      <c r="A8679" s="8">
        <v>8678</v>
      </c>
      <c r="B8679" s="8" t="s">
        <v>37985</v>
      </c>
      <c r="C8679" s="8" t="s">
        <v>37985</v>
      </c>
      <c r="G8679" s="8">
        <v>20</v>
      </c>
      <c r="H8679" s="8" t="s">
        <v>21</v>
      </c>
      <c r="I8679" s="8" t="s">
        <v>22</v>
      </c>
      <c r="J8679" s="8" t="s">
        <v>22</v>
      </c>
      <c r="K8679" s="8" t="s">
        <v>37986</v>
      </c>
      <c r="L8679" s="8" t="s">
        <v>18289</v>
      </c>
      <c r="M8679" s="8" t="s">
        <v>18290</v>
      </c>
      <c r="N8679" s="8" t="s">
        <v>37987</v>
      </c>
      <c r="O8679" s="8">
        <f>12+58/60+13.9/3600</f>
        <v>12.970527777777779</v>
      </c>
      <c r="P8679" s="8" t="s">
        <v>37988</v>
      </c>
      <c r="Q8679" s="8">
        <f>+(26+25/60+34/3600)</f>
        <v>26.426111111111112</v>
      </c>
      <c r="R8679" s="8">
        <v>15.1</v>
      </c>
      <c r="S8679" s="8">
        <v>15.9</v>
      </c>
      <c r="T8679" s="8">
        <v>0.8</v>
      </c>
      <c r="U8679" s="8">
        <v>13.4</v>
      </c>
      <c r="V8679" s="8">
        <v>0.5</v>
      </c>
      <c r="W8679" s="8">
        <v>0.5</v>
      </c>
      <c r="Y8679" s="8" t="s">
        <v>21</v>
      </c>
      <c r="Z8679" s="8" t="s">
        <v>37989</v>
      </c>
    </row>
    <row r="8680" spans="1:26" x14ac:dyDescent="0.2">
      <c r="A8680" s="8">
        <v>8679</v>
      </c>
      <c r="B8680" s="8" t="s">
        <v>37990</v>
      </c>
      <c r="C8680" s="8" t="s">
        <v>37990</v>
      </c>
      <c r="G8680" s="8">
        <v>20</v>
      </c>
      <c r="H8680" s="8" t="s">
        <v>21</v>
      </c>
      <c r="I8680" s="8" t="s">
        <v>22</v>
      </c>
      <c r="J8680" s="8" t="s">
        <v>22</v>
      </c>
      <c r="K8680" s="8" t="s">
        <v>37</v>
      </c>
      <c r="L8680" s="8" t="s">
        <v>18289</v>
      </c>
      <c r="M8680" s="8" t="s">
        <v>18290</v>
      </c>
      <c r="N8680" s="8" t="s">
        <v>37991</v>
      </c>
      <c r="O8680" s="8">
        <f>12+58/60+15/3600</f>
        <v>12.970833333333333</v>
      </c>
      <c r="P8680" s="8" t="s">
        <v>37992</v>
      </c>
      <c r="Q8680" s="8">
        <f>+(28+7/60+35/3600)</f>
        <v>28.12638888888889</v>
      </c>
      <c r="R8680" s="8">
        <v>14.8</v>
      </c>
      <c r="S8680" s="8">
        <v>15.8</v>
      </c>
      <c r="T8680" s="8">
        <v>1</v>
      </c>
      <c r="U8680" s="8">
        <v>12.8</v>
      </c>
      <c r="V8680" s="8">
        <v>0.6</v>
      </c>
      <c r="W8680" s="8">
        <v>0.3</v>
      </c>
      <c r="X8680" s="8">
        <v>92</v>
      </c>
      <c r="Y8680" s="8" t="s">
        <v>35072</v>
      </c>
      <c r="Z8680" s="8" t="s">
        <v>35073</v>
      </c>
    </row>
    <row r="8681" spans="1:26" x14ac:dyDescent="0.2">
      <c r="A8681" s="8">
        <v>8680</v>
      </c>
      <c r="B8681" s="8" t="s">
        <v>37993</v>
      </c>
      <c r="C8681" s="8" t="s">
        <v>37993</v>
      </c>
      <c r="G8681" s="8">
        <v>20</v>
      </c>
      <c r="H8681" s="8" t="s">
        <v>21</v>
      </c>
      <c r="I8681" s="8" t="s">
        <v>22</v>
      </c>
      <c r="J8681" s="8" t="s">
        <v>22</v>
      </c>
      <c r="K8681" s="8" t="s">
        <v>154</v>
      </c>
      <c r="L8681" s="8" t="s">
        <v>17287</v>
      </c>
      <c r="M8681" s="8" t="s">
        <v>17288</v>
      </c>
      <c r="N8681" s="8" t="s">
        <v>37994</v>
      </c>
      <c r="O8681" s="8">
        <f>12+58/60+42/3600</f>
        <v>12.978333333333333</v>
      </c>
      <c r="P8681" s="8" t="s">
        <v>37995</v>
      </c>
      <c r="Q8681" s="8">
        <f>+(10+37/60+0/3600)</f>
        <v>10.616666666666667</v>
      </c>
      <c r="R8681" s="8">
        <v>13.6</v>
      </c>
      <c r="S8681" s="8">
        <v>14.5</v>
      </c>
      <c r="T8681" s="8">
        <v>0.9</v>
      </c>
      <c r="U8681" s="8">
        <v>12.7</v>
      </c>
      <c r="V8681" s="8">
        <v>0.8</v>
      </c>
      <c r="W8681" s="8">
        <v>0.6</v>
      </c>
      <c r="X8681" s="8">
        <v>30</v>
      </c>
      <c r="Y8681" s="8" t="s">
        <v>37996</v>
      </c>
      <c r="Z8681" s="8" t="s">
        <v>37997</v>
      </c>
    </row>
    <row r="8682" spans="1:26" x14ac:dyDescent="0.2">
      <c r="A8682" s="8">
        <v>8681</v>
      </c>
      <c r="B8682" s="8" t="s">
        <v>37998</v>
      </c>
      <c r="C8682" s="8" t="s">
        <v>37998</v>
      </c>
      <c r="G8682" s="8">
        <v>20</v>
      </c>
      <c r="H8682" s="8" t="s">
        <v>21</v>
      </c>
      <c r="I8682" s="8" t="s">
        <v>22</v>
      </c>
      <c r="J8682" s="8" t="s">
        <v>22</v>
      </c>
      <c r="K8682" s="8" t="s">
        <v>476</v>
      </c>
      <c r="L8682" s="8" t="s">
        <v>18289</v>
      </c>
      <c r="M8682" s="8" t="s">
        <v>18290</v>
      </c>
      <c r="N8682" s="8" t="s">
        <v>37999</v>
      </c>
      <c r="O8682" s="8">
        <f>12+59/60+47.2/3600</f>
        <v>12.996444444444444</v>
      </c>
      <c r="P8682" s="8" t="s">
        <v>38000</v>
      </c>
      <c r="Q8682" s="8">
        <f>+(21+48/60+48/3600)</f>
        <v>21.813333333333333</v>
      </c>
      <c r="R8682" s="8">
        <v>14.6</v>
      </c>
      <c r="S8682" s="8">
        <v>15.4</v>
      </c>
      <c r="T8682" s="8">
        <v>0.8</v>
      </c>
      <c r="U8682" s="8">
        <v>13</v>
      </c>
      <c r="V8682" s="8">
        <v>0.9</v>
      </c>
      <c r="W8682" s="8">
        <v>0.3</v>
      </c>
      <c r="X8682" s="8">
        <v>145</v>
      </c>
      <c r="Y8682" s="8" t="s">
        <v>21</v>
      </c>
      <c r="Z8682" s="8" t="s">
        <v>38001</v>
      </c>
    </row>
    <row r="8683" spans="1:26" x14ac:dyDescent="0.2">
      <c r="A8683" s="8">
        <v>8682</v>
      </c>
      <c r="B8683" s="8" t="s">
        <v>38002</v>
      </c>
      <c r="C8683" s="8" t="s">
        <v>38002</v>
      </c>
      <c r="G8683" s="8">
        <v>20</v>
      </c>
      <c r="H8683" s="8" t="s">
        <v>21</v>
      </c>
      <c r="I8683" s="8" t="s">
        <v>22</v>
      </c>
      <c r="J8683" s="8" t="s">
        <v>22</v>
      </c>
      <c r="K8683" s="8" t="s">
        <v>64</v>
      </c>
      <c r="L8683" s="8" t="s">
        <v>18289</v>
      </c>
      <c r="M8683" s="8" t="s">
        <v>18290</v>
      </c>
      <c r="N8683" s="8" t="s">
        <v>38003</v>
      </c>
      <c r="O8683" s="8">
        <f>13+0/60+39.6/3600</f>
        <v>13.010999999999999</v>
      </c>
      <c r="P8683" s="8" t="s">
        <v>38004</v>
      </c>
      <c r="Q8683" s="8">
        <f>+(29+1/60+7/3600)</f>
        <v>29.01861111111111</v>
      </c>
      <c r="R8683" s="8">
        <v>13.9</v>
      </c>
      <c r="S8683" s="8">
        <v>14.7</v>
      </c>
      <c r="T8683" s="8">
        <v>0.8</v>
      </c>
      <c r="U8683" s="8">
        <v>13.4</v>
      </c>
      <c r="V8683" s="8">
        <v>1.2</v>
      </c>
      <c r="W8683" s="8">
        <v>0.6</v>
      </c>
      <c r="X8683" s="8">
        <v>57</v>
      </c>
      <c r="Y8683" s="8" t="s">
        <v>1088</v>
      </c>
      <c r="Z8683" s="8" t="s">
        <v>1089</v>
      </c>
    </row>
    <row r="8684" spans="1:26" x14ac:dyDescent="0.2">
      <c r="A8684" s="8">
        <v>8683</v>
      </c>
      <c r="B8684" s="8" t="s">
        <v>38005</v>
      </c>
      <c r="C8684" s="8" t="s">
        <v>38005</v>
      </c>
      <c r="G8684" s="8">
        <v>20</v>
      </c>
      <c r="H8684" s="8" t="s">
        <v>21</v>
      </c>
      <c r="I8684" s="8" t="s">
        <v>22</v>
      </c>
      <c r="J8684" s="8" t="s">
        <v>22</v>
      </c>
      <c r="K8684" s="8" t="s">
        <v>37</v>
      </c>
      <c r="L8684" s="8" t="s">
        <v>18289</v>
      </c>
      <c r="M8684" s="8" t="s">
        <v>18290</v>
      </c>
      <c r="N8684" s="8" t="s">
        <v>38006</v>
      </c>
      <c r="O8684" s="8">
        <f>13+1/60+33.6/3600</f>
        <v>13.026000000000002</v>
      </c>
      <c r="P8684" s="8" t="s">
        <v>38007</v>
      </c>
      <c r="Q8684" s="8">
        <f>+(29+7/60+50/3600)</f>
        <v>29.130555555555556</v>
      </c>
      <c r="R8684" s="8">
        <v>13.6</v>
      </c>
      <c r="S8684" s="8">
        <v>14.6</v>
      </c>
      <c r="T8684" s="8">
        <v>1</v>
      </c>
      <c r="U8684" s="8">
        <v>12.9</v>
      </c>
      <c r="V8684" s="8">
        <v>1.1000000000000001</v>
      </c>
      <c r="W8684" s="8">
        <v>0.6</v>
      </c>
      <c r="X8684" s="8">
        <v>131</v>
      </c>
      <c r="Y8684" s="8" t="s">
        <v>38008</v>
      </c>
      <c r="Z8684" s="8" t="s">
        <v>38009</v>
      </c>
    </row>
    <row r="8685" spans="1:26" x14ac:dyDescent="0.2">
      <c r="A8685" s="8">
        <v>8684</v>
      </c>
      <c r="B8685" s="8" t="s">
        <v>38010</v>
      </c>
      <c r="C8685" s="8" t="s">
        <v>38010</v>
      </c>
      <c r="G8685" s="8">
        <v>20</v>
      </c>
      <c r="H8685" s="8" t="s">
        <v>21</v>
      </c>
      <c r="I8685" s="8" t="s">
        <v>22</v>
      </c>
      <c r="J8685" s="8" t="s">
        <v>22</v>
      </c>
      <c r="K8685" s="8" t="s">
        <v>37</v>
      </c>
      <c r="L8685" s="8" t="s">
        <v>16195</v>
      </c>
      <c r="M8685" s="8" t="s">
        <v>16196</v>
      </c>
      <c r="N8685" s="8" t="s">
        <v>38011</v>
      </c>
      <c r="O8685" s="8">
        <f>13+3/60+18.2/3600</f>
        <v>13.055055555555557</v>
      </c>
      <c r="P8685" s="8" t="s">
        <v>38012</v>
      </c>
      <c r="Q8685" s="8">
        <f>-(30+31/60+15/3600)</f>
        <v>-30.520833333333332</v>
      </c>
      <c r="R8685" s="8">
        <v>12.8</v>
      </c>
      <c r="S8685" s="8">
        <v>13.8</v>
      </c>
      <c r="T8685" s="8">
        <v>1</v>
      </c>
      <c r="U8685" s="8">
        <v>12.1</v>
      </c>
      <c r="V8685" s="8">
        <v>1.6</v>
      </c>
      <c r="W8685" s="8">
        <v>0.4</v>
      </c>
      <c r="X8685" s="8">
        <v>100</v>
      </c>
      <c r="Y8685" s="8" t="s">
        <v>27526</v>
      </c>
      <c r="Z8685" s="8" t="s">
        <v>22882</v>
      </c>
    </row>
    <row r="8686" spans="1:26" x14ac:dyDescent="0.2">
      <c r="A8686" s="8">
        <v>8685</v>
      </c>
      <c r="B8686" s="8" t="s">
        <v>38013</v>
      </c>
      <c r="C8686" s="8" t="s">
        <v>38013</v>
      </c>
      <c r="G8686" s="8">
        <v>20</v>
      </c>
      <c r="H8686" s="8" t="s">
        <v>21</v>
      </c>
      <c r="I8686" s="8" t="s">
        <v>22</v>
      </c>
      <c r="J8686" s="8" t="s">
        <v>22</v>
      </c>
      <c r="K8686" s="8" t="s">
        <v>449</v>
      </c>
      <c r="L8686" s="8" t="s">
        <v>17287</v>
      </c>
      <c r="M8686" s="8" t="s">
        <v>17288</v>
      </c>
      <c r="N8686" s="8" t="s">
        <v>38014</v>
      </c>
      <c r="O8686" s="8">
        <f>13+4/60+57.5/3600</f>
        <v>13.082638888888889</v>
      </c>
      <c r="P8686" s="8" t="s">
        <v>38015</v>
      </c>
      <c r="Q8686" s="8">
        <f>+(12+4/60+43/3600)</f>
        <v>12.07861111111111</v>
      </c>
      <c r="R8686" s="8">
        <v>14.7</v>
      </c>
      <c r="S8686" s="8">
        <v>15.5</v>
      </c>
      <c r="T8686" s="8">
        <v>0.8</v>
      </c>
      <c r="U8686" s="8">
        <v>11.9</v>
      </c>
      <c r="V8686" s="8">
        <v>0.3</v>
      </c>
      <c r="W8686" s="8">
        <v>0.3</v>
      </c>
      <c r="Y8686" s="8" t="s">
        <v>38016</v>
      </c>
      <c r="Z8686" s="8" t="s">
        <v>38017</v>
      </c>
    </row>
    <row r="8687" spans="1:26" x14ac:dyDescent="0.2">
      <c r="A8687" s="8">
        <v>8686</v>
      </c>
      <c r="B8687" s="8" t="s">
        <v>38018</v>
      </c>
      <c r="C8687" s="8" t="s">
        <v>38018</v>
      </c>
      <c r="G8687" s="8">
        <v>20</v>
      </c>
      <c r="H8687" s="8" t="s">
        <v>21</v>
      </c>
      <c r="I8687" s="8" t="s">
        <v>22</v>
      </c>
      <c r="J8687" s="8" t="s">
        <v>22</v>
      </c>
      <c r="K8687" s="8" t="s">
        <v>424</v>
      </c>
      <c r="L8687" s="8" t="s">
        <v>18289</v>
      </c>
      <c r="M8687" s="8" t="s">
        <v>18290</v>
      </c>
      <c r="N8687" s="8" t="s">
        <v>38019</v>
      </c>
      <c r="O8687" s="8">
        <f>13+5/60+21.1/3600</f>
        <v>13.089194444444445</v>
      </c>
      <c r="P8687" s="8" t="s">
        <v>38020</v>
      </c>
      <c r="Q8687" s="8">
        <f>+(23+5/60+44/3600)</f>
        <v>23.095555555555553</v>
      </c>
      <c r="R8687" s="8">
        <v>14.5</v>
      </c>
      <c r="S8687" s="8">
        <v>15.5</v>
      </c>
      <c r="T8687" s="8">
        <v>1</v>
      </c>
      <c r="U8687" s="8">
        <v>14.5</v>
      </c>
      <c r="V8687" s="8">
        <v>1.1000000000000001</v>
      </c>
      <c r="W8687" s="8">
        <v>1</v>
      </c>
      <c r="Y8687" s="8" t="s">
        <v>38021</v>
      </c>
      <c r="Z8687" s="8" t="s">
        <v>38022</v>
      </c>
    </row>
    <row r="8688" spans="1:26" x14ac:dyDescent="0.2">
      <c r="A8688" s="8">
        <v>8687</v>
      </c>
      <c r="B8688" s="8" t="s">
        <v>38023</v>
      </c>
      <c r="C8688" s="8" t="s">
        <v>38023</v>
      </c>
      <c r="G8688" s="8">
        <v>20</v>
      </c>
      <c r="H8688" s="8" t="s">
        <v>21</v>
      </c>
      <c r="I8688" s="8" t="s">
        <v>22</v>
      </c>
      <c r="J8688" s="8" t="s">
        <v>57</v>
      </c>
      <c r="K8688" s="8" t="s">
        <v>460</v>
      </c>
      <c r="L8688" s="8" t="s">
        <v>12015</v>
      </c>
      <c r="M8688" s="8" t="s">
        <v>12016</v>
      </c>
      <c r="N8688" s="8" t="s">
        <v>22345</v>
      </c>
      <c r="O8688" s="8">
        <f>13+5/60+32.1/3600</f>
        <v>13.09225</v>
      </c>
      <c r="P8688" s="8" t="s">
        <v>22346</v>
      </c>
      <c r="Q8688" s="8">
        <f>+(53+41/60+8/3600)</f>
        <v>53.685555555555553</v>
      </c>
      <c r="R8688" s="8">
        <v>13.9</v>
      </c>
      <c r="S8688" s="8">
        <v>14.9</v>
      </c>
      <c r="T8688" s="8">
        <v>1</v>
      </c>
      <c r="U8688" s="8">
        <v>13.2</v>
      </c>
      <c r="V8688" s="8">
        <v>0.7</v>
      </c>
      <c r="W8688" s="8">
        <v>0.7</v>
      </c>
      <c r="Y8688" s="8" t="s">
        <v>20537</v>
      </c>
      <c r="Z8688" s="8" t="s">
        <v>20538</v>
      </c>
    </row>
    <row r="8689" spans="1:26" x14ac:dyDescent="0.2">
      <c r="A8689" s="8">
        <v>8688</v>
      </c>
      <c r="B8689" s="8" t="s">
        <v>38024</v>
      </c>
      <c r="C8689" s="8" t="s">
        <v>38024</v>
      </c>
      <c r="G8689" s="8">
        <v>20</v>
      </c>
      <c r="H8689" s="8" t="s">
        <v>21</v>
      </c>
      <c r="I8689" s="8" t="s">
        <v>22</v>
      </c>
      <c r="J8689" s="8" t="s">
        <v>22</v>
      </c>
      <c r="K8689" s="8" t="s">
        <v>23</v>
      </c>
      <c r="L8689" s="8" t="s">
        <v>18289</v>
      </c>
      <c r="M8689" s="8" t="s">
        <v>18290</v>
      </c>
      <c r="N8689" s="8" t="s">
        <v>38025</v>
      </c>
      <c r="O8689" s="8">
        <f>13+7/60+1.5/3600</f>
        <v>13.117083333333333</v>
      </c>
      <c r="P8689" s="8" t="s">
        <v>38026</v>
      </c>
      <c r="Q8689" s="8">
        <f>+(16+0/60+24/3600)</f>
        <v>16.006666666666668</v>
      </c>
      <c r="R8689" s="8">
        <v>14.5</v>
      </c>
      <c r="S8689" s="8">
        <v>15.3</v>
      </c>
      <c r="T8689" s="8">
        <v>0.8</v>
      </c>
      <c r="U8689" s="8">
        <v>13.6</v>
      </c>
      <c r="V8689" s="8">
        <v>0.8</v>
      </c>
      <c r="W8689" s="8">
        <v>0.6</v>
      </c>
      <c r="X8689" s="8">
        <v>170</v>
      </c>
      <c r="Y8689" s="8" t="s">
        <v>27097</v>
      </c>
      <c r="Z8689" s="8" t="s">
        <v>27098</v>
      </c>
    </row>
    <row r="8690" spans="1:26" x14ac:dyDescent="0.2">
      <c r="A8690" s="8">
        <v>8689</v>
      </c>
      <c r="B8690" s="8" t="s">
        <v>38027</v>
      </c>
      <c r="C8690" s="8" t="s">
        <v>38027</v>
      </c>
      <c r="G8690" s="8">
        <v>20</v>
      </c>
      <c r="H8690" s="8" t="s">
        <v>21</v>
      </c>
      <c r="I8690" s="8" t="s">
        <v>22</v>
      </c>
      <c r="J8690" s="8" t="s">
        <v>22</v>
      </c>
      <c r="K8690" s="8" t="s">
        <v>160</v>
      </c>
      <c r="L8690" s="8" t="s">
        <v>17287</v>
      </c>
      <c r="M8690" s="8" t="s">
        <v>17288</v>
      </c>
      <c r="N8690" s="8" t="s">
        <v>38028</v>
      </c>
      <c r="O8690" s="8">
        <f>13+7/60+38.7/3600</f>
        <v>13.127416666666667</v>
      </c>
      <c r="P8690" s="8" t="s">
        <v>38029</v>
      </c>
      <c r="Q8690" s="8">
        <f>-(0+56/60+33/3600)</f>
        <v>-0.9425</v>
      </c>
      <c r="R8690" s="8">
        <v>13</v>
      </c>
      <c r="S8690" s="8">
        <v>13.7</v>
      </c>
      <c r="T8690" s="8">
        <v>0.7</v>
      </c>
      <c r="U8690" s="8">
        <v>13.5</v>
      </c>
      <c r="V8690" s="8">
        <v>1.6</v>
      </c>
      <c r="W8690" s="8">
        <v>1.3</v>
      </c>
      <c r="X8690" s="8">
        <v>140</v>
      </c>
      <c r="Y8690" s="8" t="s">
        <v>522</v>
      </c>
      <c r="Z8690" s="8" t="s">
        <v>523</v>
      </c>
    </row>
    <row r="8691" spans="1:26" x14ac:dyDescent="0.2">
      <c r="A8691" s="8">
        <v>8690</v>
      </c>
      <c r="B8691" s="8" t="s">
        <v>38030</v>
      </c>
      <c r="C8691" s="8" t="s">
        <v>38030</v>
      </c>
      <c r="G8691" s="8">
        <v>20</v>
      </c>
      <c r="H8691" s="8" t="s">
        <v>21</v>
      </c>
      <c r="I8691" s="8" t="s">
        <v>22</v>
      </c>
      <c r="J8691" s="8" t="s">
        <v>22</v>
      </c>
      <c r="K8691" s="8" t="s">
        <v>579</v>
      </c>
      <c r="L8691" s="8" t="s">
        <v>17287</v>
      </c>
      <c r="M8691" s="8" t="s">
        <v>17288</v>
      </c>
      <c r="N8691" s="8" t="s">
        <v>38031</v>
      </c>
      <c r="O8691" s="8">
        <f>13+7/60+50.2/3600</f>
        <v>13.130611111111111</v>
      </c>
      <c r="P8691" s="8" t="s">
        <v>38032</v>
      </c>
      <c r="Q8691" s="8">
        <f>-(0+52/60+5/3600)</f>
        <v>-0.86805555555555558</v>
      </c>
      <c r="R8691" s="8">
        <v>14.3</v>
      </c>
      <c r="S8691" s="8">
        <v>15</v>
      </c>
      <c r="T8691" s="8">
        <v>0.7</v>
      </c>
      <c r="U8691" s="8">
        <v>12.3</v>
      </c>
      <c r="V8691" s="8">
        <v>0.9</v>
      </c>
      <c r="W8691" s="8">
        <v>0.2</v>
      </c>
      <c r="X8691" s="8">
        <v>67</v>
      </c>
      <c r="Y8691" s="8" t="s">
        <v>170</v>
      </c>
      <c r="Z8691" s="8" t="s">
        <v>171</v>
      </c>
    </row>
    <row r="8692" spans="1:26" x14ac:dyDescent="0.2">
      <c r="A8692" s="8">
        <v>8691</v>
      </c>
      <c r="B8692" s="8" t="s">
        <v>38033</v>
      </c>
      <c r="C8692" s="8" t="s">
        <v>38033</v>
      </c>
      <c r="G8692" s="8">
        <v>20</v>
      </c>
      <c r="H8692" s="8" t="s">
        <v>21</v>
      </c>
      <c r="I8692" s="8" t="s">
        <v>22</v>
      </c>
      <c r="J8692" s="8" t="s">
        <v>22</v>
      </c>
      <c r="K8692" s="8" t="s">
        <v>23</v>
      </c>
      <c r="L8692" s="8" t="s">
        <v>18289</v>
      </c>
      <c r="M8692" s="8" t="s">
        <v>18290</v>
      </c>
      <c r="N8692" s="8" t="s">
        <v>38034</v>
      </c>
      <c r="O8692" s="8">
        <f>13+8/60+34.2/3600</f>
        <v>13.142833333333332</v>
      </c>
      <c r="P8692" s="8" t="s">
        <v>38035</v>
      </c>
      <c r="Q8692" s="8">
        <f>+(21+3/60+0/3600)</f>
        <v>21.05</v>
      </c>
      <c r="R8692" s="8">
        <v>14.1</v>
      </c>
      <c r="S8692" s="8">
        <v>14.9</v>
      </c>
      <c r="T8692" s="8">
        <v>0.8</v>
      </c>
      <c r="U8692" s="8">
        <v>13</v>
      </c>
      <c r="V8692" s="8">
        <v>1</v>
      </c>
      <c r="W8692" s="8">
        <v>0.4</v>
      </c>
      <c r="X8692" s="8">
        <v>150</v>
      </c>
      <c r="Y8692" s="8" t="s">
        <v>21</v>
      </c>
      <c r="Z8692" s="8" t="s">
        <v>38001</v>
      </c>
    </row>
    <row r="8693" spans="1:26" x14ac:dyDescent="0.2">
      <c r="A8693" s="8">
        <v>8692</v>
      </c>
      <c r="B8693" s="8" t="s">
        <v>38036</v>
      </c>
      <c r="C8693" s="8" t="s">
        <v>38036</v>
      </c>
      <c r="G8693" s="8">
        <v>20</v>
      </c>
      <c r="H8693" s="8" t="s">
        <v>21</v>
      </c>
      <c r="I8693" s="8" t="s">
        <v>22</v>
      </c>
      <c r="J8693" s="8" t="s">
        <v>22</v>
      </c>
      <c r="K8693" s="8" t="s">
        <v>58</v>
      </c>
      <c r="L8693" s="8" t="s">
        <v>12015</v>
      </c>
      <c r="M8693" s="8" t="s">
        <v>12016</v>
      </c>
      <c r="N8693" s="8" t="s">
        <v>38037</v>
      </c>
      <c r="O8693" s="8">
        <f>13+7/60+36.7/3600</f>
        <v>13.126861111111111</v>
      </c>
      <c r="P8693" s="8" t="s">
        <v>38038</v>
      </c>
      <c r="Q8693" s="8">
        <f>+(60+9/60+28/3600)</f>
        <v>60.157777777777774</v>
      </c>
      <c r="R8693" s="8">
        <v>13.6</v>
      </c>
      <c r="S8693" s="8">
        <v>14.6</v>
      </c>
      <c r="T8693" s="8">
        <v>1</v>
      </c>
      <c r="U8693" s="8">
        <v>13.4</v>
      </c>
      <c r="V8693" s="8">
        <v>1.1000000000000001</v>
      </c>
      <c r="W8693" s="8">
        <v>0.9</v>
      </c>
      <c r="X8693" s="8">
        <v>20</v>
      </c>
      <c r="Y8693" s="8" t="s">
        <v>38039</v>
      </c>
      <c r="Z8693" s="8" t="s">
        <v>38040</v>
      </c>
    </row>
    <row r="8694" spans="1:26" x14ac:dyDescent="0.2">
      <c r="A8694" s="8">
        <v>8693</v>
      </c>
      <c r="B8694" s="8" t="s">
        <v>38041</v>
      </c>
      <c r="C8694" s="8" t="s">
        <v>38041</v>
      </c>
      <c r="G8694" s="8">
        <v>20</v>
      </c>
      <c r="H8694" s="8" t="s">
        <v>21</v>
      </c>
      <c r="I8694" s="8" t="s">
        <v>22</v>
      </c>
      <c r="J8694" s="8" t="s">
        <v>22</v>
      </c>
      <c r="K8694" s="8" t="s">
        <v>406</v>
      </c>
      <c r="L8694" s="8" t="s">
        <v>12015</v>
      </c>
      <c r="M8694" s="8" t="s">
        <v>12016</v>
      </c>
      <c r="N8694" s="8" t="s">
        <v>38042</v>
      </c>
      <c r="O8694" s="8">
        <f>13+8/60+41.6/3600</f>
        <v>13.144888888888888</v>
      </c>
      <c r="P8694" s="8" t="s">
        <v>38043</v>
      </c>
      <c r="Q8694" s="8">
        <f>+(52+46/60+28/3600)</f>
        <v>52.774444444444441</v>
      </c>
      <c r="R8694" s="8">
        <v>13.6</v>
      </c>
      <c r="S8694" s="8">
        <v>14.5</v>
      </c>
      <c r="T8694" s="8">
        <v>0.9</v>
      </c>
      <c r="U8694" s="8">
        <v>13.5</v>
      </c>
      <c r="V8694" s="8">
        <v>1.6</v>
      </c>
      <c r="W8694" s="8">
        <v>1.3</v>
      </c>
      <c r="X8694" s="8">
        <v>33</v>
      </c>
      <c r="Y8694" s="8" t="s">
        <v>215</v>
      </c>
      <c r="Z8694" s="8" t="s">
        <v>216</v>
      </c>
    </row>
    <row r="8695" spans="1:26" x14ac:dyDescent="0.2">
      <c r="A8695" s="8">
        <v>8694</v>
      </c>
      <c r="B8695" s="8" t="s">
        <v>38044</v>
      </c>
      <c r="C8695" s="8" t="s">
        <v>38044</v>
      </c>
      <c r="G8695" s="8">
        <v>20</v>
      </c>
      <c r="H8695" s="8" t="s">
        <v>21</v>
      </c>
      <c r="I8695" s="8" t="s">
        <v>22</v>
      </c>
      <c r="J8695" s="8" t="s">
        <v>22</v>
      </c>
      <c r="K8695" s="8" t="s">
        <v>38045</v>
      </c>
      <c r="L8695" s="8" t="s">
        <v>18289</v>
      </c>
      <c r="M8695" s="8" t="s">
        <v>18290</v>
      </c>
      <c r="N8695" s="8" t="s">
        <v>38046</v>
      </c>
      <c r="O8695" s="8">
        <f>13+9/60+49.9/3600</f>
        <v>13.163861111111112</v>
      </c>
      <c r="P8695" s="8" t="s">
        <v>38047</v>
      </c>
      <c r="Q8695" s="8">
        <f>+(24+34/60+39/3600)</f>
        <v>24.577500000000001</v>
      </c>
      <c r="R8695" s="8">
        <v>14.2</v>
      </c>
      <c r="S8695" s="8">
        <v>15</v>
      </c>
      <c r="T8695" s="8">
        <v>0.8</v>
      </c>
      <c r="U8695" s="8">
        <v>13.3</v>
      </c>
      <c r="V8695" s="8">
        <v>0.8</v>
      </c>
      <c r="W8695" s="8">
        <v>0.6</v>
      </c>
      <c r="X8695" s="8">
        <v>135</v>
      </c>
      <c r="Y8695" s="8" t="s">
        <v>38048</v>
      </c>
      <c r="Z8695" s="8" t="s">
        <v>34893</v>
      </c>
    </row>
    <row r="8696" spans="1:26" x14ac:dyDescent="0.2">
      <c r="A8696" s="8">
        <v>8695</v>
      </c>
      <c r="B8696" s="8" t="s">
        <v>38049</v>
      </c>
      <c r="C8696" s="8" t="s">
        <v>38049</v>
      </c>
      <c r="G8696" s="8">
        <v>20</v>
      </c>
      <c r="H8696" s="8" t="s">
        <v>21</v>
      </c>
      <c r="I8696" s="8" t="s">
        <v>22</v>
      </c>
      <c r="J8696" s="8" t="s">
        <v>22</v>
      </c>
      <c r="K8696" s="8" t="s">
        <v>1068</v>
      </c>
      <c r="L8696" s="8" t="s">
        <v>17287</v>
      </c>
      <c r="M8696" s="8" t="s">
        <v>17288</v>
      </c>
      <c r="N8696" s="8" t="s">
        <v>38050</v>
      </c>
      <c r="O8696" s="8">
        <f>13+10/60+36.9/3600</f>
        <v>13.176916666666665</v>
      </c>
      <c r="P8696" s="8" t="s">
        <v>38051</v>
      </c>
      <c r="Q8696" s="8">
        <f>-(4+29/60+7/3600)</f>
        <v>-4.4852777777777781</v>
      </c>
      <c r="R8696" s="8">
        <v>13.6</v>
      </c>
      <c r="S8696" s="8">
        <v>14.6</v>
      </c>
      <c r="T8696" s="8">
        <v>1</v>
      </c>
      <c r="U8696" s="8">
        <v>13.2</v>
      </c>
      <c r="V8696" s="8">
        <v>1.1000000000000001</v>
      </c>
      <c r="W8696" s="8">
        <v>0.6</v>
      </c>
      <c r="Y8696" s="8" t="s">
        <v>21</v>
      </c>
      <c r="Z8696" s="8" t="s">
        <v>38052</v>
      </c>
    </row>
    <row r="8697" spans="1:26" x14ac:dyDescent="0.2">
      <c r="A8697" s="8">
        <v>8696</v>
      </c>
      <c r="B8697" s="8" t="s">
        <v>38053</v>
      </c>
      <c r="C8697" s="8" t="s">
        <v>38053</v>
      </c>
      <c r="G8697" s="8">
        <v>20</v>
      </c>
      <c r="H8697" s="8" t="s">
        <v>21</v>
      </c>
      <c r="I8697" s="8" t="s">
        <v>22</v>
      </c>
      <c r="J8697" s="8" t="s">
        <v>22</v>
      </c>
      <c r="K8697" s="8" t="s">
        <v>449</v>
      </c>
      <c r="L8697" s="8" t="s">
        <v>18289</v>
      </c>
      <c r="M8697" s="8" t="s">
        <v>18290</v>
      </c>
      <c r="N8697" s="8" t="s">
        <v>38054</v>
      </c>
      <c r="O8697" s="8">
        <f>13+10/60+41.6/3600</f>
        <v>13.178222222222221</v>
      </c>
      <c r="P8697" s="8" t="s">
        <v>38055</v>
      </c>
      <c r="Q8697" s="8">
        <f>+(20+32/60+13/3600)</f>
        <v>20.536944444444448</v>
      </c>
      <c r="R8697" s="8">
        <v>14.4</v>
      </c>
      <c r="S8697" s="8">
        <v>15.2</v>
      </c>
      <c r="T8697" s="8">
        <v>0.8</v>
      </c>
      <c r="U8697" s="8">
        <v>12.5</v>
      </c>
      <c r="V8697" s="8">
        <v>1</v>
      </c>
      <c r="W8697" s="8">
        <v>0.2</v>
      </c>
      <c r="X8697" s="8">
        <v>60</v>
      </c>
      <c r="Y8697" s="8" t="s">
        <v>38056</v>
      </c>
      <c r="Z8697" s="8" t="s">
        <v>38057</v>
      </c>
    </row>
    <row r="8698" spans="1:26" x14ac:dyDescent="0.2">
      <c r="A8698" s="8">
        <v>8697</v>
      </c>
      <c r="B8698" s="8" t="s">
        <v>38058</v>
      </c>
      <c r="C8698" s="8" t="s">
        <v>38058</v>
      </c>
      <c r="G8698" s="8">
        <v>20</v>
      </c>
      <c r="H8698" s="8" t="s">
        <v>21</v>
      </c>
      <c r="I8698" s="8" t="s">
        <v>22</v>
      </c>
      <c r="J8698" s="8" t="s">
        <v>22</v>
      </c>
      <c r="K8698" s="8" t="s">
        <v>218</v>
      </c>
      <c r="L8698" s="8" t="s">
        <v>18289</v>
      </c>
      <c r="M8698" s="8" t="s">
        <v>18290</v>
      </c>
      <c r="N8698" s="8" t="s">
        <v>38059</v>
      </c>
      <c r="O8698" s="8">
        <f>13+13/60+50.1/3600</f>
        <v>13.230583333333334</v>
      </c>
      <c r="P8698" s="8" t="s">
        <v>38060</v>
      </c>
      <c r="Q8698" s="8">
        <f>+(17+4/60+33/3600)</f>
        <v>17.075833333333332</v>
      </c>
      <c r="R8698" s="8">
        <v>13.8</v>
      </c>
      <c r="S8698" s="8">
        <v>14.6</v>
      </c>
      <c r="T8698" s="8">
        <v>0.8</v>
      </c>
      <c r="U8698" s="8">
        <v>13.4</v>
      </c>
      <c r="V8698" s="8">
        <v>0.9</v>
      </c>
      <c r="W8698" s="8">
        <v>0.7</v>
      </c>
      <c r="X8698" s="8">
        <v>110</v>
      </c>
      <c r="Y8698" s="8" t="s">
        <v>38061</v>
      </c>
      <c r="Z8698" s="8" t="s">
        <v>38062</v>
      </c>
    </row>
    <row r="8699" spans="1:26" x14ac:dyDescent="0.2">
      <c r="A8699" s="8">
        <v>8698</v>
      </c>
      <c r="B8699" s="8" t="s">
        <v>38063</v>
      </c>
      <c r="C8699" s="8" t="s">
        <v>38063</v>
      </c>
      <c r="G8699" s="8">
        <v>20</v>
      </c>
      <c r="H8699" s="8" t="s">
        <v>21</v>
      </c>
      <c r="I8699" s="8" t="s">
        <v>22</v>
      </c>
      <c r="J8699" s="8" t="s">
        <v>22</v>
      </c>
      <c r="K8699" s="8" t="s">
        <v>37</v>
      </c>
      <c r="L8699" s="8" t="s">
        <v>18289</v>
      </c>
      <c r="M8699" s="8" t="s">
        <v>18290</v>
      </c>
      <c r="N8699" s="8" t="s">
        <v>38064</v>
      </c>
      <c r="O8699" s="8">
        <f>13+14/60+51.9/3600</f>
        <v>13.24775</v>
      </c>
      <c r="P8699" s="8" t="s">
        <v>38065</v>
      </c>
      <c r="Q8699" s="8">
        <f>+(17+13/60+38/3600)</f>
        <v>17.22722222222222</v>
      </c>
      <c r="R8699" s="8">
        <v>12.7</v>
      </c>
      <c r="S8699" s="8">
        <v>13.7</v>
      </c>
      <c r="T8699" s="8">
        <v>1</v>
      </c>
      <c r="U8699" s="8">
        <v>12.9</v>
      </c>
      <c r="V8699" s="8">
        <v>1.4</v>
      </c>
      <c r="W8699" s="8">
        <v>1.1000000000000001</v>
      </c>
      <c r="X8699" s="8">
        <v>100</v>
      </c>
      <c r="Y8699" s="8" t="s">
        <v>21</v>
      </c>
      <c r="Z8699" s="8" t="s">
        <v>38066</v>
      </c>
    </row>
    <row r="8700" spans="1:26" x14ac:dyDescent="0.2">
      <c r="A8700" s="8">
        <v>8699</v>
      </c>
      <c r="B8700" s="8" t="s">
        <v>38067</v>
      </c>
      <c r="C8700" s="8" t="s">
        <v>38067</v>
      </c>
      <c r="G8700" s="8">
        <v>20</v>
      </c>
      <c r="H8700" s="8" t="s">
        <v>21</v>
      </c>
      <c r="I8700" s="8" t="s">
        <v>22</v>
      </c>
      <c r="J8700" s="8" t="s">
        <v>22</v>
      </c>
      <c r="K8700" s="8" t="s">
        <v>58</v>
      </c>
      <c r="L8700" s="8" t="s">
        <v>18289</v>
      </c>
      <c r="M8700" s="8" t="s">
        <v>18290</v>
      </c>
      <c r="N8700" s="8" t="s">
        <v>38068</v>
      </c>
      <c r="O8700" s="8">
        <f>13+14/60+57.2/3600</f>
        <v>13.249222222222221</v>
      </c>
      <c r="P8700" s="8" t="s">
        <v>38069</v>
      </c>
      <c r="Q8700" s="8">
        <f>+(17+13/60+33/3600)</f>
        <v>17.22583333333333</v>
      </c>
      <c r="R8700" s="8">
        <v>14.1</v>
      </c>
      <c r="S8700" s="8">
        <v>15.1</v>
      </c>
      <c r="T8700" s="8">
        <v>1</v>
      </c>
      <c r="U8700" s="8">
        <v>13.9</v>
      </c>
      <c r="V8700" s="8">
        <v>0.9</v>
      </c>
      <c r="W8700" s="8">
        <v>0.9</v>
      </c>
      <c r="Y8700" s="8" t="s">
        <v>38070</v>
      </c>
      <c r="Z8700" s="8" t="s">
        <v>38071</v>
      </c>
    </row>
    <row r="8701" spans="1:26" x14ac:dyDescent="0.2">
      <c r="A8701" s="8">
        <v>8700</v>
      </c>
      <c r="B8701" s="8" t="s">
        <v>38072</v>
      </c>
      <c r="C8701" s="8" t="s">
        <v>38072</v>
      </c>
      <c r="G8701" s="8">
        <v>20</v>
      </c>
      <c r="H8701" s="8" t="s">
        <v>21</v>
      </c>
      <c r="I8701" s="8" t="s">
        <v>22</v>
      </c>
      <c r="J8701" s="8" t="s">
        <v>22</v>
      </c>
      <c r="K8701" s="8" t="s">
        <v>476</v>
      </c>
      <c r="L8701" s="8" t="s">
        <v>18289</v>
      </c>
      <c r="M8701" s="8" t="s">
        <v>18290</v>
      </c>
      <c r="N8701" s="8" t="s">
        <v>38073</v>
      </c>
      <c r="O8701" s="8">
        <f>13+15/60+3.5/3600</f>
        <v>13.250972222222222</v>
      </c>
      <c r="P8701" s="8" t="s">
        <v>38074</v>
      </c>
      <c r="Q8701" s="8">
        <f>+(24+37/60+6/3600)</f>
        <v>24.618333333333332</v>
      </c>
      <c r="R8701" s="8">
        <v>14.5</v>
      </c>
      <c r="S8701" s="8">
        <v>15.4</v>
      </c>
      <c r="T8701" s="8">
        <v>0.9</v>
      </c>
      <c r="U8701" s="8">
        <v>13.4</v>
      </c>
      <c r="V8701" s="8">
        <v>0.8</v>
      </c>
      <c r="W8701" s="8">
        <v>0.5</v>
      </c>
      <c r="X8701" s="8">
        <v>12</v>
      </c>
      <c r="Y8701" s="8" t="s">
        <v>21</v>
      </c>
      <c r="Z8701" s="8" t="s">
        <v>38075</v>
      </c>
    </row>
    <row r="8702" spans="1:26" x14ac:dyDescent="0.2">
      <c r="A8702" s="8">
        <v>8701</v>
      </c>
      <c r="B8702" s="8" t="s">
        <v>38076</v>
      </c>
      <c r="C8702" s="8" t="s">
        <v>38076</v>
      </c>
      <c r="G8702" s="8">
        <v>20</v>
      </c>
      <c r="H8702" s="8" t="s">
        <v>21</v>
      </c>
      <c r="I8702" s="8" t="s">
        <v>22</v>
      </c>
      <c r="J8702" s="8" t="s">
        <v>22</v>
      </c>
      <c r="K8702" s="8" t="s">
        <v>632</v>
      </c>
      <c r="L8702" s="8" t="s">
        <v>18681</v>
      </c>
      <c r="M8702" s="8" t="s">
        <v>18682</v>
      </c>
      <c r="N8702" s="8" t="s">
        <v>38077</v>
      </c>
      <c r="O8702" s="8">
        <f>13+15/60+7.5/3600</f>
        <v>13.252083333333333</v>
      </c>
      <c r="P8702" s="8" t="s">
        <v>38078</v>
      </c>
      <c r="Q8702" s="8">
        <f>+(34+19/60+42/3600)</f>
        <v>34.328333333333333</v>
      </c>
      <c r="R8702" s="8">
        <v>14.6</v>
      </c>
      <c r="S8702" s="8">
        <v>15.5</v>
      </c>
      <c r="T8702" s="8">
        <v>0.9</v>
      </c>
      <c r="U8702" s="8">
        <v>13.5</v>
      </c>
      <c r="V8702" s="8">
        <v>0.8</v>
      </c>
      <c r="W8702" s="8">
        <v>0.5</v>
      </c>
      <c r="X8702" s="8">
        <v>80</v>
      </c>
      <c r="Y8702" s="8" t="s">
        <v>35992</v>
      </c>
      <c r="Z8702" s="8" t="s">
        <v>35993</v>
      </c>
    </row>
    <row r="8703" spans="1:26" x14ac:dyDescent="0.2">
      <c r="A8703" s="8">
        <v>8702</v>
      </c>
      <c r="B8703" s="8" t="s">
        <v>38079</v>
      </c>
      <c r="C8703" s="8" t="s">
        <v>38079</v>
      </c>
      <c r="G8703" s="8">
        <v>20</v>
      </c>
      <c r="H8703" s="8" t="s">
        <v>21</v>
      </c>
      <c r="I8703" s="8" t="s">
        <v>22</v>
      </c>
      <c r="J8703" s="8" t="s">
        <v>22</v>
      </c>
      <c r="K8703" s="8" t="s">
        <v>818</v>
      </c>
      <c r="L8703" s="8" t="s">
        <v>18289</v>
      </c>
      <c r="M8703" s="8" t="s">
        <v>18290</v>
      </c>
      <c r="N8703" s="8" t="s">
        <v>38080</v>
      </c>
      <c r="O8703" s="8">
        <f>13+16/60+15.4/3600</f>
        <v>13.270944444444446</v>
      </c>
      <c r="P8703" s="8" t="s">
        <v>38081</v>
      </c>
      <c r="Q8703" s="8">
        <f>+(20+2/60+51/3600)</f>
        <v>20.047500000000003</v>
      </c>
      <c r="R8703" s="8">
        <v>14.2</v>
      </c>
      <c r="S8703" s="8">
        <v>15.2</v>
      </c>
      <c r="T8703" s="8">
        <v>1</v>
      </c>
      <c r="U8703" s="8">
        <v>12.3</v>
      </c>
      <c r="V8703" s="8">
        <v>0.4</v>
      </c>
      <c r="W8703" s="8">
        <v>0.4</v>
      </c>
      <c r="Y8703" s="8" t="s">
        <v>21</v>
      </c>
      <c r="Z8703" s="8" t="s">
        <v>38082</v>
      </c>
    </row>
    <row r="8704" spans="1:26" x14ac:dyDescent="0.2">
      <c r="A8704" s="8">
        <v>8703</v>
      </c>
      <c r="B8704" s="8" t="s">
        <v>38083</v>
      </c>
      <c r="C8704" s="8" t="s">
        <v>38083</v>
      </c>
      <c r="G8704" s="8">
        <v>20</v>
      </c>
      <c r="H8704" s="8" t="s">
        <v>21</v>
      </c>
      <c r="I8704" s="8" t="s">
        <v>22</v>
      </c>
      <c r="J8704" s="8" t="s">
        <v>22</v>
      </c>
      <c r="K8704" s="8" t="s">
        <v>435</v>
      </c>
      <c r="L8704" s="8" t="s">
        <v>17287</v>
      </c>
      <c r="M8704" s="8" t="s">
        <v>17288</v>
      </c>
      <c r="N8704" s="8" t="s">
        <v>38084</v>
      </c>
      <c r="O8704" s="8">
        <f>13+17/60+12.2/3600</f>
        <v>13.286722222222222</v>
      </c>
      <c r="P8704" s="8" t="s">
        <v>38085</v>
      </c>
      <c r="Q8704" s="8">
        <f>-(17+15/60+17/3600)</f>
        <v>-17.254722222222224</v>
      </c>
      <c r="R8704" s="8">
        <v>13.2</v>
      </c>
      <c r="S8704" s="8">
        <v>14.1</v>
      </c>
      <c r="T8704" s="8">
        <v>0.9</v>
      </c>
      <c r="U8704" s="8">
        <v>13.1</v>
      </c>
      <c r="V8704" s="8">
        <v>1.2</v>
      </c>
      <c r="W8704" s="8">
        <v>0.9</v>
      </c>
      <c r="X8704" s="8">
        <v>48</v>
      </c>
      <c r="Y8704" s="8" t="s">
        <v>38086</v>
      </c>
      <c r="Z8704" s="8" t="s">
        <v>38087</v>
      </c>
    </row>
    <row r="8705" spans="1:26" x14ac:dyDescent="0.2">
      <c r="A8705" s="8">
        <v>8704</v>
      </c>
      <c r="B8705" s="8" t="s">
        <v>38088</v>
      </c>
      <c r="C8705" s="8" t="s">
        <v>38088</v>
      </c>
      <c r="G8705" s="8">
        <v>20</v>
      </c>
      <c r="H8705" s="8" t="s">
        <v>21</v>
      </c>
      <c r="I8705" s="8" t="s">
        <v>22</v>
      </c>
      <c r="J8705" s="8" t="s">
        <v>22</v>
      </c>
      <c r="K8705" s="8" t="s">
        <v>449</v>
      </c>
      <c r="L8705" s="8" t="s">
        <v>18289</v>
      </c>
      <c r="M8705" s="8" t="s">
        <v>18290</v>
      </c>
      <c r="N8705" s="8" t="s">
        <v>38089</v>
      </c>
      <c r="O8705" s="8">
        <f>13+17/60+8.4/3600</f>
        <v>13.285666666666666</v>
      </c>
      <c r="P8705" s="8" t="s">
        <v>38090</v>
      </c>
      <c r="Q8705" s="8">
        <f>+(20+41/60+33/3600)</f>
        <v>20.692499999999999</v>
      </c>
      <c r="R8705" s="8">
        <v>15.2</v>
      </c>
      <c r="S8705" s="8">
        <v>16</v>
      </c>
      <c r="T8705" s="8">
        <v>0.8</v>
      </c>
      <c r="U8705" s="8">
        <v>12.6</v>
      </c>
      <c r="V8705" s="8">
        <v>0.5</v>
      </c>
      <c r="W8705" s="8">
        <v>0.2</v>
      </c>
      <c r="X8705" s="8">
        <v>20</v>
      </c>
      <c r="Y8705" s="8" t="s">
        <v>38091</v>
      </c>
      <c r="Z8705" s="8" t="s">
        <v>38092</v>
      </c>
    </row>
    <row r="8706" spans="1:26" x14ac:dyDescent="0.2">
      <c r="A8706" s="8">
        <v>8705</v>
      </c>
      <c r="B8706" s="8" t="s">
        <v>38093</v>
      </c>
      <c r="C8706" s="8" t="s">
        <v>38093</v>
      </c>
      <c r="G8706" s="8">
        <v>20</v>
      </c>
      <c r="H8706" s="8" t="s">
        <v>21</v>
      </c>
      <c r="I8706" s="8" t="s">
        <v>22</v>
      </c>
      <c r="J8706" s="8" t="s">
        <v>22</v>
      </c>
      <c r="K8706" s="8" t="s">
        <v>91</v>
      </c>
      <c r="L8706" s="8" t="s">
        <v>17287</v>
      </c>
      <c r="M8706" s="8" t="s">
        <v>17288</v>
      </c>
      <c r="N8706" s="8" t="s">
        <v>38094</v>
      </c>
      <c r="O8706" s="8">
        <f>13+17/60+35.4/3600</f>
        <v>13.293166666666666</v>
      </c>
      <c r="P8706" s="8" t="s">
        <v>38095</v>
      </c>
      <c r="Q8706" s="8">
        <f>-(5+50/60+0/3600)</f>
        <v>-5.833333333333333</v>
      </c>
      <c r="R8706" s="8">
        <v>14.5</v>
      </c>
      <c r="S8706" s="8">
        <v>15.4</v>
      </c>
      <c r="T8706" s="8">
        <v>0.9</v>
      </c>
      <c r="U8706" s="8">
        <v>12.3</v>
      </c>
      <c r="V8706" s="8">
        <v>0.5</v>
      </c>
      <c r="W8706" s="8">
        <v>0.3</v>
      </c>
      <c r="X8706" s="8">
        <v>50</v>
      </c>
      <c r="Y8706" s="8" t="s">
        <v>5926</v>
      </c>
      <c r="Z8706" s="8" t="s">
        <v>23179</v>
      </c>
    </row>
    <row r="8707" spans="1:26" x14ac:dyDescent="0.2">
      <c r="A8707" s="8">
        <v>8706</v>
      </c>
      <c r="B8707" s="8" t="s">
        <v>38096</v>
      </c>
      <c r="C8707" s="8" t="s">
        <v>38096</v>
      </c>
      <c r="G8707" s="8">
        <v>20</v>
      </c>
      <c r="H8707" s="8" t="s">
        <v>21</v>
      </c>
      <c r="I8707" s="8" t="s">
        <v>22</v>
      </c>
      <c r="J8707" s="8" t="s">
        <v>22</v>
      </c>
      <c r="K8707" s="8" t="s">
        <v>218</v>
      </c>
      <c r="L8707" s="8" t="s">
        <v>18289</v>
      </c>
      <c r="M8707" s="8" t="s">
        <v>18290</v>
      </c>
      <c r="N8707" s="8" t="s">
        <v>38097</v>
      </c>
      <c r="O8707" s="8">
        <f>13+17/60+16.7/3600</f>
        <v>13.287972222222223</v>
      </c>
      <c r="P8707" s="8" t="s">
        <v>38098</v>
      </c>
      <c r="Q8707" s="8">
        <f>+(20+41/60+29/3600)</f>
        <v>20.691388888888888</v>
      </c>
      <c r="R8707" s="8">
        <v>14.7</v>
      </c>
      <c r="S8707" s="8">
        <v>15.5</v>
      </c>
      <c r="T8707" s="8">
        <v>0.8</v>
      </c>
      <c r="U8707" s="8">
        <v>13.3</v>
      </c>
      <c r="V8707" s="8">
        <v>1.1000000000000001</v>
      </c>
      <c r="W8707" s="8">
        <v>0.3</v>
      </c>
      <c r="X8707" s="8">
        <v>32</v>
      </c>
      <c r="Y8707" s="8" t="s">
        <v>10836</v>
      </c>
      <c r="Z8707" s="8" t="s">
        <v>10837</v>
      </c>
    </row>
    <row r="8708" spans="1:26" x14ac:dyDescent="0.2">
      <c r="A8708" s="8">
        <v>8707</v>
      </c>
      <c r="B8708" s="8" t="s">
        <v>38099</v>
      </c>
      <c r="C8708" s="8" t="s">
        <v>38099</v>
      </c>
      <c r="G8708" s="8">
        <v>20</v>
      </c>
      <c r="H8708" s="8" t="s">
        <v>21</v>
      </c>
      <c r="I8708" s="8" t="s">
        <v>22</v>
      </c>
      <c r="J8708" s="8" t="s">
        <v>22</v>
      </c>
      <c r="K8708" s="8" t="s">
        <v>64</v>
      </c>
      <c r="L8708" s="8" t="s">
        <v>18289</v>
      </c>
      <c r="M8708" s="8" t="s">
        <v>18290</v>
      </c>
      <c r="N8708" s="8" t="s">
        <v>38100</v>
      </c>
      <c r="O8708" s="8">
        <f>13+17/60+19.7/3600</f>
        <v>13.288805555555555</v>
      </c>
      <c r="P8708" s="8" t="s">
        <v>38101</v>
      </c>
      <c r="Q8708" s="8">
        <f>+(20+38/60+15/3600)</f>
        <v>20.637499999999999</v>
      </c>
      <c r="R8708" s="8">
        <v>13.9</v>
      </c>
      <c r="S8708" s="8">
        <v>14.6</v>
      </c>
      <c r="T8708" s="8">
        <v>0.7</v>
      </c>
      <c r="U8708" s="8">
        <v>14.1</v>
      </c>
      <c r="V8708" s="8">
        <v>1.4</v>
      </c>
      <c r="W8708" s="8">
        <v>1</v>
      </c>
      <c r="X8708" s="8">
        <v>30</v>
      </c>
      <c r="Y8708" s="8" t="s">
        <v>38102</v>
      </c>
      <c r="Z8708" s="8" t="s">
        <v>38103</v>
      </c>
    </row>
    <row r="8709" spans="1:26" x14ac:dyDescent="0.2">
      <c r="A8709" s="8">
        <v>8708</v>
      </c>
      <c r="B8709" s="8" t="s">
        <v>38104</v>
      </c>
      <c r="C8709" s="8" t="s">
        <v>38104</v>
      </c>
      <c r="E8709" s="8">
        <v>1</v>
      </c>
      <c r="G8709" s="8">
        <v>20</v>
      </c>
      <c r="H8709" s="8" t="s">
        <v>21</v>
      </c>
      <c r="I8709" s="8" t="s">
        <v>22</v>
      </c>
      <c r="J8709" s="8" t="s">
        <v>22</v>
      </c>
      <c r="K8709" s="8" t="s">
        <v>449</v>
      </c>
      <c r="L8709" s="8" t="s">
        <v>18289</v>
      </c>
      <c r="M8709" s="8" t="s">
        <v>18290</v>
      </c>
      <c r="N8709" s="8" t="s">
        <v>38105</v>
      </c>
      <c r="O8709" s="8">
        <f>13+17/60+28.5/3600</f>
        <v>13.29125</v>
      </c>
      <c r="P8709" s="8" t="s">
        <v>38106</v>
      </c>
      <c r="Q8709" s="8">
        <f>+(20+36/60+44/3600)</f>
        <v>20.612222222222222</v>
      </c>
      <c r="R8709" s="8">
        <v>14.6</v>
      </c>
      <c r="S8709" s="8">
        <v>15.4</v>
      </c>
      <c r="T8709" s="8">
        <v>0.8</v>
      </c>
      <c r="U8709" s="8">
        <v>12.9</v>
      </c>
      <c r="V8709" s="8">
        <v>0.5</v>
      </c>
      <c r="W8709" s="8">
        <v>0.5</v>
      </c>
      <c r="Y8709" s="8" t="s">
        <v>38102</v>
      </c>
      <c r="Z8709" s="8" t="s">
        <v>38103</v>
      </c>
    </row>
    <row r="8710" spans="1:26" x14ac:dyDescent="0.2">
      <c r="A8710" s="8">
        <v>8709</v>
      </c>
      <c r="B8710" s="8" t="s">
        <v>38107</v>
      </c>
      <c r="C8710" s="8" t="s">
        <v>38107</v>
      </c>
      <c r="G8710" s="8">
        <v>20</v>
      </c>
      <c r="H8710" s="8" t="s">
        <v>21</v>
      </c>
      <c r="I8710" s="8" t="s">
        <v>72</v>
      </c>
      <c r="J8710" s="8" t="s">
        <v>72</v>
      </c>
      <c r="K8710" s="8" t="s">
        <v>20</v>
      </c>
      <c r="L8710" s="8" t="s">
        <v>18289</v>
      </c>
      <c r="M8710" s="8" t="s">
        <v>18290</v>
      </c>
      <c r="N8710" s="8" t="s">
        <v>38108</v>
      </c>
      <c r="O8710" s="8">
        <f>13+17/60+29.9/3600</f>
        <v>13.291638888888889</v>
      </c>
      <c r="P8710" s="8" t="s">
        <v>38109</v>
      </c>
      <c r="Q8710" s="8">
        <f>+(20+41/60+4/3600)</f>
        <v>20.684444444444445</v>
      </c>
      <c r="R8710" s="8">
        <v>99</v>
      </c>
      <c r="S8710" s="8">
        <v>14.7</v>
      </c>
      <c r="T8710" s="8">
        <v>99</v>
      </c>
      <c r="U8710" s="8">
        <v>99</v>
      </c>
      <c r="Y8710" s="8" t="s">
        <v>10836</v>
      </c>
      <c r="Z8710" s="8" t="s">
        <v>10837</v>
      </c>
    </row>
    <row r="8711" spans="1:26" x14ac:dyDescent="0.2">
      <c r="A8711" s="8">
        <v>8710</v>
      </c>
      <c r="B8711" s="8" t="s">
        <v>38110</v>
      </c>
      <c r="C8711" s="8" t="s">
        <v>38110</v>
      </c>
      <c r="G8711" s="8">
        <v>20</v>
      </c>
      <c r="H8711" s="8" t="s">
        <v>21</v>
      </c>
      <c r="I8711" s="8" t="s">
        <v>22</v>
      </c>
      <c r="J8711" s="8" t="s">
        <v>22</v>
      </c>
      <c r="K8711" s="8" t="s">
        <v>160</v>
      </c>
      <c r="L8711" s="8" t="s">
        <v>18289</v>
      </c>
      <c r="M8711" s="8" t="s">
        <v>18290</v>
      </c>
      <c r="N8711" s="8" t="s">
        <v>38111</v>
      </c>
      <c r="O8711" s="8">
        <f>13+17/60+30.7/3600</f>
        <v>13.29186111111111</v>
      </c>
      <c r="P8711" s="8" t="s">
        <v>38112</v>
      </c>
      <c r="Q8711" s="8">
        <f>+(20+35/60+59/3600)</f>
        <v>20.599722222222223</v>
      </c>
      <c r="R8711" s="8">
        <v>14.7</v>
      </c>
      <c r="S8711" s="8">
        <v>15.4</v>
      </c>
      <c r="T8711" s="8">
        <v>0.7</v>
      </c>
      <c r="U8711" s="8">
        <v>13.2</v>
      </c>
      <c r="V8711" s="8">
        <v>0.7</v>
      </c>
      <c r="W8711" s="8">
        <v>0.4</v>
      </c>
      <c r="X8711" s="8">
        <v>45</v>
      </c>
      <c r="Y8711" s="8" t="s">
        <v>10836</v>
      </c>
      <c r="Z8711" s="8" t="s">
        <v>10837</v>
      </c>
    </row>
    <row r="8712" spans="1:26" x14ac:dyDescent="0.2">
      <c r="A8712" s="8">
        <v>8711</v>
      </c>
      <c r="B8712" s="8" t="s">
        <v>38113</v>
      </c>
      <c r="C8712" s="8" t="s">
        <v>38113</v>
      </c>
      <c r="G8712" s="8">
        <v>20</v>
      </c>
      <c r="H8712" s="8" t="s">
        <v>21</v>
      </c>
      <c r="I8712" s="8" t="s">
        <v>22</v>
      </c>
      <c r="J8712" s="8" t="s">
        <v>22</v>
      </c>
      <c r="K8712" s="8" t="s">
        <v>23</v>
      </c>
      <c r="L8712" s="8" t="s">
        <v>17287</v>
      </c>
      <c r="M8712" s="8" t="s">
        <v>17288</v>
      </c>
      <c r="N8712" s="8" t="s">
        <v>38114</v>
      </c>
      <c r="O8712" s="8">
        <f>13+17/60+58.6/3600</f>
        <v>13.29961111111111</v>
      </c>
      <c r="P8712" s="8" t="s">
        <v>38115</v>
      </c>
      <c r="Q8712" s="8">
        <f>+(4+24/60+15/3600)</f>
        <v>4.4041666666666668</v>
      </c>
      <c r="R8712" s="8">
        <v>13.4</v>
      </c>
      <c r="S8712" s="8">
        <v>14.2</v>
      </c>
      <c r="T8712" s="8">
        <v>0.8</v>
      </c>
      <c r="U8712" s="8">
        <v>13.6</v>
      </c>
      <c r="V8712" s="8">
        <v>1.7</v>
      </c>
      <c r="W8712" s="8">
        <v>0.8</v>
      </c>
      <c r="X8712" s="8">
        <v>70</v>
      </c>
      <c r="Y8712" s="8" t="s">
        <v>38116</v>
      </c>
      <c r="Z8712" s="8" t="s">
        <v>38117</v>
      </c>
    </row>
    <row r="8713" spans="1:26" x14ac:dyDescent="0.2">
      <c r="A8713" s="8">
        <v>8712</v>
      </c>
      <c r="B8713" s="8" t="s">
        <v>38118</v>
      </c>
      <c r="C8713" s="8" t="s">
        <v>38118</v>
      </c>
      <c r="G8713" s="8">
        <v>20</v>
      </c>
      <c r="H8713" s="8" t="s">
        <v>21</v>
      </c>
      <c r="I8713" s="8" t="s">
        <v>22</v>
      </c>
      <c r="J8713" s="8" t="s">
        <v>22</v>
      </c>
      <c r="K8713" s="8" t="s">
        <v>31</v>
      </c>
      <c r="L8713" s="8" t="s">
        <v>17287</v>
      </c>
      <c r="M8713" s="8" t="s">
        <v>17288</v>
      </c>
      <c r="N8713" s="8" t="s">
        <v>38119</v>
      </c>
      <c r="O8713" s="8">
        <f>13+18/60+18.6/3600</f>
        <v>13.305166666666667</v>
      </c>
      <c r="P8713" s="8" t="s">
        <v>38120</v>
      </c>
      <c r="Q8713" s="8">
        <f>+(6+20/60+10/3600)</f>
        <v>6.3361111111111112</v>
      </c>
      <c r="R8713" s="8">
        <v>14.4</v>
      </c>
      <c r="S8713" s="8">
        <v>15.2</v>
      </c>
      <c r="T8713" s="8">
        <v>0.8</v>
      </c>
      <c r="U8713" s="8">
        <v>12.8</v>
      </c>
      <c r="V8713" s="8">
        <v>0.9</v>
      </c>
      <c r="W8713" s="8">
        <v>0.3</v>
      </c>
      <c r="X8713" s="8">
        <v>150</v>
      </c>
      <c r="Y8713" s="8" t="s">
        <v>4779</v>
      </c>
      <c r="Z8713" s="8" t="s">
        <v>4780</v>
      </c>
    </row>
    <row r="8714" spans="1:26" x14ac:dyDescent="0.2">
      <c r="A8714" s="8">
        <v>8713</v>
      </c>
      <c r="B8714" s="8" t="s">
        <v>38121</v>
      </c>
      <c r="C8714" s="8" t="s">
        <v>38121</v>
      </c>
      <c r="G8714" s="8">
        <v>20</v>
      </c>
      <c r="H8714" s="8" t="s">
        <v>21</v>
      </c>
      <c r="I8714" s="8" t="s">
        <v>22</v>
      </c>
      <c r="J8714" s="8" t="s">
        <v>22</v>
      </c>
      <c r="K8714" s="8" t="s">
        <v>424</v>
      </c>
      <c r="L8714" s="8" t="s">
        <v>17287</v>
      </c>
      <c r="M8714" s="8" t="s">
        <v>17288</v>
      </c>
      <c r="N8714" s="8" t="s">
        <v>38122</v>
      </c>
      <c r="O8714" s="8">
        <f>13+18/60+16.2/3600</f>
        <v>13.304500000000001</v>
      </c>
      <c r="P8714" s="8" t="s">
        <v>38123</v>
      </c>
      <c r="Q8714" s="8">
        <f>+(4+27/60+54/3600)</f>
        <v>4.4649999999999999</v>
      </c>
      <c r="R8714" s="8">
        <v>14</v>
      </c>
      <c r="S8714" s="8">
        <v>15</v>
      </c>
      <c r="T8714" s="8">
        <v>1</v>
      </c>
      <c r="U8714" s="8">
        <v>11.9</v>
      </c>
      <c r="V8714" s="8">
        <v>0.4</v>
      </c>
      <c r="W8714" s="8">
        <v>0.4</v>
      </c>
      <c r="Y8714" s="8" t="s">
        <v>21</v>
      </c>
      <c r="Z8714" s="8" t="s">
        <v>38124</v>
      </c>
    </row>
    <row r="8715" spans="1:26" x14ac:dyDescent="0.2">
      <c r="A8715" s="8">
        <v>8714</v>
      </c>
      <c r="B8715" s="8" t="s">
        <v>38125</v>
      </c>
      <c r="C8715" s="8" t="s">
        <v>38125</v>
      </c>
      <c r="G8715" s="8">
        <v>20</v>
      </c>
      <c r="H8715" s="8" t="s">
        <v>21</v>
      </c>
      <c r="I8715" s="8" t="s">
        <v>22</v>
      </c>
      <c r="J8715" s="8" t="s">
        <v>22</v>
      </c>
      <c r="K8715" s="8" t="s">
        <v>224</v>
      </c>
      <c r="L8715" s="8" t="s">
        <v>11765</v>
      </c>
      <c r="M8715" s="8" t="s">
        <v>11766</v>
      </c>
      <c r="N8715" s="8" t="s">
        <v>38126</v>
      </c>
      <c r="O8715" s="8">
        <f>13+19/60+0.5/3600</f>
        <v>13.316805555555556</v>
      </c>
      <c r="P8715" s="8" t="s">
        <v>38127</v>
      </c>
      <c r="Q8715" s="8">
        <f>-(27+37/60+42/3600)</f>
        <v>-27.628333333333334</v>
      </c>
      <c r="R8715" s="8">
        <v>12.7</v>
      </c>
      <c r="S8715" s="8">
        <v>13.7</v>
      </c>
      <c r="T8715" s="8">
        <v>1</v>
      </c>
      <c r="U8715" s="8">
        <v>12.7</v>
      </c>
      <c r="V8715" s="8">
        <v>1.2</v>
      </c>
      <c r="W8715" s="8">
        <v>1</v>
      </c>
      <c r="X8715" s="8">
        <v>17</v>
      </c>
      <c r="Y8715" s="8" t="s">
        <v>36095</v>
      </c>
      <c r="Z8715" s="8" t="s">
        <v>36096</v>
      </c>
    </row>
    <row r="8716" spans="1:26" x14ac:dyDescent="0.2">
      <c r="A8716" s="8">
        <v>8715</v>
      </c>
      <c r="B8716" s="8" t="s">
        <v>38128</v>
      </c>
      <c r="C8716" s="8" t="s">
        <v>38128</v>
      </c>
      <c r="G8716" s="8">
        <v>20</v>
      </c>
      <c r="H8716" s="8" t="s">
        <v>21</v>
      </c>
      <c r="I8716" s="8" t="s">
        <v>22</v>
      </c>
      <c r="J8716" s="8" t="s">
        <v>22</v>
      </c>
      <c r="K8716" s="8" t="s">
        <v>37</v>
      </c>
      <c r="L8716" s="8" t="s">
        <v>12015</v>
      </c>
      <c r="M8716" s="8" t="s">
        <v>12016</v>
      </c>
      <c r="N8716" s="8" t="s">
        <v>38129</v>
      </c>
      <c r="O8716" s="8">
        <f>13+17/60+7.5/3600</f>
        <v>13.285416666666666</v>
      </c>
      <c r="P8716" s="8" t="s">
        <v>38130</v>
      </c>
      <c r="Q8716" s="8">
        <f>+(57+32/60+24/3600)</f>
        <v>57.54</v>
      </c>
      <c r="R8716" s="8">
        <v>12.8</v>
      </c>
      <c r="S8716" s="8">
        <v>13.8</v>
      </c>
      <c r="T8716" s="8">
        <v>1</v>
      </c>
      <c r="U8716" s="8">
        <v>12.8</v>
      </c>
      <c r="V8716" s="8">
        <v>1.4</v>
      </c>
      <c r="W8716" s="8">
        <v>0.8</v>
      </c>
      <c r="X8716" s="8">
        <v>150</v>
      </c>
      <c r="Y8716" s="8" t="s">
        <v>24957</v>
      </c>
      <c r="Z8716" s="8" t="s">
        <v>24958</v>
      </c>
    </row>
    <row r="8717" spans="1:26" x14ac:dyDescent="0.2">
      <c r="A8717" s="8">
        <v>8716</v>
      </c>
      <c r="B8717" s="8" t="s">
        <v>38131</v>
      </c>
      <c r="C8717" s="8" t="s">
        <v>38131</v>
      </c>
      <c r="G8717" s="8">
        <v>20</v>
      </c>
      <c r="H8717" s="8" t="s">
        <v>21</v>
      </c>
      <c r="I8717" s="8" t="s">
        <v>22</v>
      </c>
      <c r="J8717" s="8" t="s">
        <v>22</v>
      </c>
      <c r="K8717" s="8" t="s">
        <v>1445</v>
      </c>
      <c r="L8717" s="8" t="s">
        <v>17287</v>
      </c>
      <c r="M8717" s="8" t="s">
        <v>17288</v>
      </c>
      <c r="N8717" s="8" t="s">
        <v>38132</v>
      </c>
      <c r="O8717" s="8">
        <f>13+18/60+34.6/3600</f>
        <v>13.309611111111112</v>
      </c>
      <c r="P8717" s="8" t="s">
        <v>38133</v>
      </c>
      <c r="Q8717" s="8">
        <f>+(4+29/60+10/3600)</f>
        <v>4.4861111111111116</v>
      </c>
      <c r="R8717" s="8">
        <v>14.3</v>
      </c>
      <c r="S8717" s="8">
        <v>15.1</v>
      </c>
      <c r="T8717" s="8">
        <v>0.8</v>
      </c>
      <c r="U8717" s="8">
        <v>13.5</v>
      </c>
      <c r="V8717" s="8">
        <v>0.8</v>
      </c>
      <c r="W8717" s="8">
        <v>0.7</v>
      </c>
      <c r="X8717" s="8">
        <v>9</v>
      </c>
      <c r="Y8717" s="8" t="s">
        <v>17648</v>
      </c>
      <c r="Z8717" s="8" t="s">
        <v>17649</v>
      </c>
    </row>
    <row r="8718" spans="1:26" x14ac:dyDescent="0.2">
      <c r="A8718" s="8">
        <v>8717</v>
      </c>
      <c r="B8718" s="8" t="s">
        <v>38134</v>
      </c>
      <c r="C8718" s="8" t="s">
        <v>38134</v>
      </c>
      <c r="G8718" s="8">
        <v>20</v>
      </c>
      <c r="H8718" s="8" t="s">
        <v>21</v>
      </c>
      <c r="I8718" s="8" t="s">
        <v>329</v>
      </c>
      <c r="J8718" s="8" t="s">
        <v>329</v>
      </c>
      <c r="K8718" s="8" t="s">
        <v>329</v>
      </c>
      <c r="L8718" s="8" t="s">
        <v>17287</v>
      </c>
      <c r="M8718" s="8" t="s">
        <v>17288</v>
      </c>
      <c r="N8718" s="8" t="s">
        <v>22728</v>
      </c>
      <c r="O8718" s="8">
        <f>13+19/60+0/3600</f>
        <v>13.316666666666666</v>
      </c>
      <c r="P8718" s="8" t="s">
        <v>38135</v>
      </c>
      <c r="Q8718" s="8">
        <f>+(6+5/60+0/3600)</f>
        <v>6.083333333333333</v>
      </c>
      <c r="R8718" s="8">
        <v>99</v>
      </c>
      <c r="S8718" s="8">
        <v>99</v>
      </c>
      <c r="T8718" s="8">
        <v>99</v>
      </c>
      <c r="U8718" s="8">
        <v>99</v>
      </c>
      <c r="Y8718" s="8" t="s">
        <v>21</v>
      </c>
      <c r="Z8718" s="8" t="s">
        <v>38136</v>
      </c>
    </row>
    <row r="8719" spans="1:26" x14ac:dyDescent="0.2">
      <c r="A8719" s="8">
        <v>8718</v>
      </c>
      <c r="B8719" s="8" t="s">
        <v>38137</v>
      </c>
      <c r="C8719" s="8" t="s">
        <v>38137</v>
      </c>
      <c r="G8719" s="8">
        <v>20</v>
      </c>
      <c r="H8719" s="8" t="s">
        <v>21</v>
      </c>
      <c r="I8719" s="8" t="s">
        <v>329</v>
      </c>
      <c r="J8719" s="8" t="s">
        <v>329</v>
      </c>
      <c r="K8719" s="8" t="s">
        <v>329</v>
      </c>
      <c r="L8719" s="8" t="s">
        <v>17287</v>
      </c>
      <c r="M8719" s="8" t="s">
        <v>17288</v>
      </c>
      <c r="N8719" s="8" t="s">
        <v>22728</v>
      </c>
      <c r="O8719" s="8">
        <f>13+19/60+0/3600</f>
        <v>13.316666666666666</v>
      </c>
      <c r="P8719" s="8" t="s">
        <v>38138</v>
      </c>
      <c r="Q8719" s="8">
        <f>+(6+7/60+18/3600)</f>
        <v>6.1216666666666661</v>
      </c>
      <c r="R8719" s="8">
        <v>99</v>
      </c>
      <c r="S8719" s="8">
        <v>99</v>
      </c>
      <c r="T8719" s="8">
        <v>99</v>
      </c>
      <c r="U8719" s="8">
        <v>99</v>
      </c>
      <c r="Y8719" s="8" t="s">
        <v>19732</v>
      </c>
      <c r="Z8719" s="8" t="s">
        <v>19733</v>
      </c>
    </row>
    <row r="8720" spans="1:26" x14ac:dyDescent="0.2">
      <c r="A8720" s="8">
        <v>8719</v>
      </c>
      <c r="B8720" s="8" t="s">
        <v>38139</v>
      </c>
      <c r="C8720" s="8" t="s">
        <v>38139</v>
      </c>
      <c r="G8720" s="8">
        <v>20</v>
      </c>
      <c r="H8720" s="8" t="s">
        <v>21</v>
      </c>
      <c r="I8720" s="8" t="s">
        <v>22</v>
      </c>
      <c r="J8720" s="8" t="s">
        <v>22</v>
      </c>
      <c r="K8720" s="8" t="s">
        <v>406</v>
      </c>
      <c r="L8720" s="8" t="s">
        <v>11765</v>
      </c>
      <c r="M8720" s="8" t="s">
        <v>11766</v>
      </c>
      <c r="N8720" s="8" t="s">
        <v>38140</v>
      </c>
      <c r="O8720" s="8">
        <f>13+19/60+40.3/3600</f>
        <v>13.32786111111111</v>
      </c>
      <c r="P8720" s="8" t="s">
        <v>38141</v>
      </c>
      <c r="Q8720" s="8">
        <f>-(27+25/60+45/3600)</f>
        <v>-27.429166666666667</v>
      </c>
      <c r="R8720" s="8">
        <v>13.2</v>
      </c>
      <c r="S8720" s="8">
        <v>14</v>
      </c>
      <c r="T8720" s="8">
        <v>0.8</v>
      </c>
      <c r="U8720" s="8">
        <v>13.6</v>
      </c>
      <c r="V8720" s="8">
        <v>1.4</v>
      </c>
      <c r="W8720" s="8">
        <v>1.2</v>
      </c>
      <c r="X8720" s="8">
        <v>64</v>
      </c>
      <c r="Y8720" s="8" t="s">
        <v>36292</v>
      </c>
      <c r="Z8720" s="8" t="s">
        <v>36293</v>
      </c>
    </row>
    <row r="8721" spans="1:26" x14ac:dyDescent="0.2">
      <c r="A8721" s="8">
        <v>8720</v>
      </c>
      <c r="B8721" s="8" t="s">
        <v>38142</v>
      </c>
      <c r="C8721" s="8" t="s">
        <v>38142</v>
      </c>
      <c r="G8721" s="8">
        <v>20</v>
      </c>
      <c r="H8721" s="8" t="s">
        <v>21</v>
      </c>
      <c r="I8721" s="8" t="s">
        <v>329</v>
      </c>
      <c r="J8721" s="8" t="s">
        <v>329</v>
      </c>
      <c r="K8721" s="8" t="s">
        <v>329</v>
      </c>
      <c r="L8721" s="8" t="s">
        <v>17287</v>
      </c>
      <c r="M8721" s="8" t="s">
        <v>17288</v>
      </c>
      <c r="N8721" s="8" t="s">
        <v>38143</v>
      </c>
      <c r="O8721" s="8">
        <f>13+19/60+7.7/3600</f>
        <v>13.318805555555555</v>
      </c>
      <c r="P8721" s="8" t="s">
        <v>38144</v>
      </c>
      <c r="Q8721" s="8">
        <f>+(6+6/60+6/3600)</f>
        <v>6.1016666666666666</v>
      </c>
      <c r="R8721" s="8">
        <v>99</v>
      </c>
      <c r="S8721" s="8">
        <v>99</v>
      </c>
      <c r="T8721" s="8">
        <v>99</v>
      </c>
      <c r="U8721" s="8">
        <v>99</v>
      </c>
      <c r="Y8721" s="8" t="s">
        <v>21</v>
      </c>
      <c r="Z8721" s="8" t="s">
        <v>38145</v>
      </c>
    </row>
    <row r="8722" spans="1:26" x14ac:dyDescent="0.2">
      <c r="A8722" s="8">
        <v>8721</v>
      </c>
      <c r="B8722" s="8" t="s">
        <v>38146</v>
      </c>
      <c r="C8722" s="8" t="s">
        <v>38146</v>
      </c>
      <c r="G8722" s="8">
        <v>20</v>
      </c>
      <c r="H8722" s="8" t="s">
        <v>21</v>
      </c>
      <c r="I8722" s="8" t="s">
        <v>22</v>
      </c>
      <c r="J8722" s="8" t="s">
        <v>22</v>
      </c>
      <c r="K8722" s="8" t="s">
        <v>91</v>
      </c>
      <c r="L8722" s="8" t="s">
        <v>18289</v>
      </c>
      <c r="M8722" s="8" t="s">
        <v>18290</v>
      </c>
      <c r="N8722" s="8" t="s">
        <v>38147</v>
      </c>
      <c r="O8722" s="8">
        <f>13+19/60+56.3/3600</f>
        <v>13.332305555555555</v>
      </c>
      <c r="P8722" s="8" t="s">
        <v>38148</v>
      </c>
      <c r="Q8722" s="8">
        <f>+(15+51/60+1/3600)</f>
        <v>15.850277777777777</v>
      </c>
      <c r="R8722" s="8">
        <v>13.8</v>
      </c>
      <c r="S8722" s="8">
        <v>14.7</v>
      </c>
      <c r="T8722" s="8">
        <v>0.9</v>
      </c>
      <c r="U8722" s="8">
        <v>13.2</v>
      </c>
      <c r="V8722" s="8">
        <v>1.6</v>
      </c>
      <c r="W8722" s="8">
        <v>0.4</v>
      </c>
      <c r="X8722" s="8">
        <v>11</v>
      </c>
      <c r="Y8722" s="8" t="s">
        <v>5926</v>
      </c>
      <c r="Z8722" s="8" t="s">
        <v>23179</v>
      </c>
    </row>
    <row r="8723" spans="1:26" x14ac:dyDescent="0.2">
      <c r="A8723" s="8">
        <v>8722</v>
      </c>
      <c r="B8723" s="8" t="s">
        <v>38149</v>
      </c>
      <c r="C8723" s="8" t="s">
        <v>38149</v>
      </c>
      <c r="G8723" s="8">
        <v>20</v>
      </c>
      <c r="H8723" s="8" t="s">
        <v>21</v>
      </c>
      <c r="I8723" s="8" t="s">
        <v>22</v>
      </c>
      <c r="J8723" s="8" t="s">
        <v>22</v>
      </c>
      <c r="K8723" s="8" t="s">
        <v>449</v>
      </c>
      <c r="L8723" s="8" t="s">
        <v>18289</v>
      </c>
      <c r="M8723" s="8" t="s">
        <v>18290</v>
      </c>
      <c r="N8723" s="8" t="s">
        <v>38150</v>
      </c>
      <c r="O8723" s="8">
        <f>13+20/60+7/3600</f>
        <v>13.335277777777778</v>
      </c>
      <c r="P8723" s="8" t="s">
        <v>38151</v>
      </c>
      <c r="Q8723" s="8">
        <f>+(15+53/60+53/3600)</f>
        <v>15.898055555555555</v>
      </c>
      <c r="R8723" s="8">
        <v>13.8</v>
      </c>
      <c r="S8723" s="8">
        <v>14.6</v>
      </c>
      <c r="T8723" s="8">
        <v>0.8</v>
      </c>
      <c r="U8723" s="8">
        <v>12.8</v>
      </c>
      <c r="V8723" s="8">
        <v>0.8</v>
      </c>
      <c r="W8723" s="8">
        <v>0.6</v>
      </c>
      <c r="X8723" s="8">
        <v>60</v>
      </c>
      <c r="Y8723" s="8" t="s">
        <v>26991</v>
      </c>
      <c r="Z8723" s="8" t="s">
        <v>26992</v>
      </c>
    </row>
    <row r="8724" spans="1:26" x14ac:dyDescent="0.2">
      <c r="A8724" s="8">
        <v>8723</v>
      </c>
      <c r="B8724" s="8" t="s">
        <v>38152</v>
      </c>
      <c r="C8724" s="8" t="s">
        <v>38152</v>
      </c>
      <c r="G8724" s="8">
        <v>20</v>
      </c>
      <c r="H8724" s="8" t="s">
        <v>21</v>
      </c>
      <c r="I8724" s="8" t="s">
        <v>22</v>
      </c>
      <c r="J8724" s="8" t="s">
        <v>22</v>
      </c>
      <c r="K8724" s="8" t="s">
        <v>18185</v>
      </c>
      <c r="L8724" s="8" t="s">
        <v>18681</v>
      </c>
      <c r="M8724" s="8" t="s">
        <v>18682</v>
      </c>
      <c r="N8724" s="8" t="s">
        <v>38153</v>
      </c>
      <c r="O8724" s="8">
        <f>13+20/60+35.5/3600</f>
        <v>13.343194444444444</v>
      </c>
      <c r="P8724" s="8" t="s">
        <v>38154</v>
      </c>
      <c r="Q8724" s="8">
        <f>+(34+8/60+19/3600)</f>
        <v>34.138611111111111</v>
      </c>
      <c r="R8724" s="8">
        <v>13.8</v>
      </c>
      <c r="S8724" s="8">
        <v>14.4</v>
      </c>
      <c r="T8724" s="8">
        <v>0.6</v>
      </c>
      <c r="U8724" s="8">
        <v>13.6</v>
      </c>
      <c r="V8724" s="8">
        <v>1.4</v>
      </c>
      <c r="W8724" s="8">
        <v>0.7</v>
      </c>
      <c r="X8724" s="8">
        <v>141</v>
      </c>
      <c r="Y8724" s="8" t="s">
        <v>9930</v>
      </c>
      <c r="Z8724" s="8" t="s">
        <v>9931</v>
      </c>
    </row>
    <row r="8725" spans="1:26" x14ac:dyDescent="0.2">
      <c r="A8725" s="8">
        <v>8724</v>
      </c>
      <c r="B8725" s="8" t="s">
        <v>38155</v>
      </c>
      <c r="C8725" s="8" t="s">
        <v>38155</v>
      </c>
      <c r="G8725" s="8">
        <v>20</v>
      </c>
      <c r="H8725" s="8" t="s">
        <v>21</v>
      </c>
      <c r="I8725" s="8" t="s">
        <v>329</v>
      </c>
      <c r="J8725" s="8" t="s">
        <v>329</v>
      </c>
      <c r="K8725" s="8" t="s">
        <v>329</v>
      </c>
      <c r="L8725" s="8" t="s">
        <v>17287</v>
      </c>
      <c r="M8725" s="8" t="s">
        <v>17288</v>
      </c>
      <c r="N8725" s="8" t="s">
        <v>38156</v>
      </c>
      <c r="O8725" s="8">
        <f>13+21/60+54.8/3600</f>
        <v>13.365222222222222</v>
      </c>
      <c r="P8725" s="8" t="s">
        <v>38157</v>
      </c>
      <c r="Q8725" s="8">
        <f>-(12+43/60+42/3600)</f>
        <v>-12.728333333333333</v>
      </c>
      <c r="R8725" s="8">
        <v>99</v>
      </c>
      <c r="S8725" s="8">
        <v>99</v>
      </c>
      <c r="T8725" s="8">
        <v>99</v>
      </c>
      <c r="U8725" s="8">
        <v>99</v>
      </c>
      <c r="Y8725" s="8" t="s">
        <v>237</v>
      </c>
      <c r="Z8725" s="8" t="s">
        <v>238</v>
      </c>
    </row>
    <row r="8726" spans="1:26" x14ac:dyDescent="0.2">
      <c r="A8726" s="8">
        <v>8725</v>
      </c>
      <c r="B8726" s="8" t="s">
        <v>38158</v>
      </c>
      <c r="C8726" s="8" t="s">
        <v>38158</v>
      </c>
      <c r="G8726" s="8">
        <v>20</v>
      </c>
      <c r="H8726" s="8" t="s">
        <v>21</v>
      </c>
      <c r="I8726" s="8" t="s">
        <v>22</v>
      </c>
      <c r="J8726" s="8" t="s">
        <v>22</v>
      </c>
      <c r="K8726" s="8" t="s">
        <v>460</v>
      </c>
      <c r="L8726" s="8" t="s">
        <v>18289</v>
      </c>
      <c r="M8726" s="8" t="s">
        <v>18290</v>
      </c>
      <c r="N8726" s="8" t="s">
        <v>38159</v>
      </c>
      <c r="O8726" s="8">
        <f>13+22/60+31/3600</f>
        <v>13.375277777777779</v>
      </c>
      <c r="P8726" s="8" t="s">
        <v>38160</v>
      </c>
      <c r="Q8726" s="8">
        <f>+(21+19/60+0/3600)</f>
        <v>21.316666666666666</v>
      </c>
      <c r="R8726" s="8">
        <v>13.5</v>
      </c>
      <c r="S8726" s="8">
        <v>14.5</v>
      </c>
      <c r="T8726" s="8">
        <v>1</v>
      </c>
      <c r="U8726" s="8">
        <v>13.1</v>
      </c>
      <c r="V8726" s="8">
        <v>0.8</v>
      </c>
      <c r="W8726" s="8">
        <v>0.8</v>
      </c>
      <c r="Y8726" s="8" t="s">
        <v>237</v>
      </c>
      <c r="Z8726" s="8" t="s">
        <v>238</v>
      </c>
    </row>
    <row r="8727" spans="1:26" x14ac:dyDescent="0.2">
      <c r="A8727" s="8">
        <v>8726</v>
      </c>
      <c r="B8727" s="8" t="s">
        <v>38161</v>
      </c>
      <c r="C8727" s="8" t="s">
        <v>38161</v>
      </c>
      <c r="G8727" s="8">
        <v>20</v>
      </c>
      <c r="H8727" s="8" t="s">
        <v>21</v>
      </c>
      <c r="I8727" s="8" t="s">
        <v>22</v>
      </c>
      <c r="J8727" s="8" t="s">
        <v>22</v>
      </c>
      <c r="K8727" s="8" t="s">
        <v>460</v>
      </c>
      <c r="L8727" s="8" t="s">
        <v>17287</v>
      </c>
      <c r="M8727" s="8" t="s">
        <v>17288</v>
      </c>
      <c r="N8727" s="8" t="s">
        <v>38162</v>
      </c>
      <c r="O8727" s="8">
        <f>13+23/60+57.4/3600</f>
        <v>13.399277777777778</v>
      </c>
      <c r="P8727" s="8" t="s">
        <v>38163</v>
      </c>
      <c r="Q8727" s="8">
        <f>-(4+23/60+41/3600)</f>
        <v>-4.3947222222222226</v>
      </c>
      <c r="R8727" s="8">
        <v>15.3</v>
      </c>
      <c r="S8727" s="8">
        <v>16.3</v>
      </c>
      <c r="T8727" s="8">
        <v>1</v>
      </c>
      <c r="U8727" s="8">
        <v>12.8</v>
      </c>
      <c r="V8727" s="8">
        <v>0.3</v>
      </c>
      <c r="W8727" s="8">
        <v>0.3</v>
      </c>
      <c r="Y8727" s="8" t="s">
        <v>38164</v>
      </c>
      <c r="Z8727" s="8" t="s">
        <v>38165</v>
      </c>
    </row>
    <row r="8728" spans="1:26" x14ac:dyDescent="0.2">
      <c r="A8728" s="8">
        <v>8727</v>
      </c>
      <c r="B8728" s="8" t="s">
        <v>38166</v>
      </c>
      <c r="C8728" s="8" t="s">
        <v>38166</v>
      </c>
      <c r="G8728" s="8">
        <v>20</v>
      </c>
      <c r="H8728" s="8" t="s">
        <v>21</v>
      </c>
      <c r="I8728" s="8" t="s">
        <v>329</v>
      </c>
      <c r="J8728" s="8" t="s">
        <v>329</v>
      </c>
      <c r="K8728" s="8" t="s">
        <v>329</v>
      </c>
      <c r="L8728" s="8" t="s">
        <v>17287</v>
      </c>
      <c r="M8728" s="8" t="s">
        <v>17288</v>
      </c>
      <c r="N8728" s="8" t="s">
        <v>38167</v>
      </c>
      <c r="O8728" s="8">
        <f>13+24/60+12/3600</f>
        <v>13.403333333333334</v>
      </c>
      <c r="P8728" s="8" t="s">
        <v>38168</v>
      </c>
      <c r="Q8728" s="8">
        <f>-(12+27/60+38/3600)</f>
        <v>-12.460555555555555</v>
      </c>
      <c r="R8728" s="8">
        <v>99</v>
      </c>
      <c r="S8728" s="8">
        <v>99</v>
      </c>
      <c r="T8728" s="8">
        <v>99</v>
      </c>
      <c r="U8728" s="8">
        <v>99</v>
      </c>
      <c r="Y8728" s="8" t="s">
        <v>38169</v>
      </c>
      <c r="Z8728" s="8" t="s">
        <v>38170</v>
      </c>
    </row>
    <row r="8729" spans="1:26" x14ac:dyDescent="0.2">
      <c r="A8729" s="8">
        <v>8728</v>
      </c>
      <c r="B8729" s="8" t="s">
        <v>38171</v>
      </c>
      <c r="C8729" s="8" t="s">
        <v>38171</v>
      </c>
      <c r="G8729" s="8">
        <v>20</v>
      </c>
      <c r="H8729" s="8" t="s">
        <v>21</v>
      </c>
      <c r="I8729" s="8" t="s">
        <v>22</v>
      </c>
      <c r="J8729" s="8" t="s">
        <v>57</v>
      </c>
      <c r="K8729" s="8" t="s">
        <v>183</v>
      </c>
      <c r="L8729" s="8" t="s">
        <v>17287</v>
      </c>
      <c r="M8729" s="8" t="s">
        <v>17288</v>
      </c>
      <c r="N8729" s="8" t="s">
        <v>23023</v>
      </c>
      <c r="O8729" s="8">
        <f>13+24/60+51.4/3600</f>
        <v>13.414277777777778</v>
      </c>
      <c r="P8729" s="8" t="s">
        <v>23024</v>
      </c>
      <c r="Q8729" s="8">
        <f>+(13+44/60+17/3600)</f>
        <v>13.738055555555555</v>
      </c>
      <c r="R8729" s="8">
        <v>14</v>
      </c>
      <c r="S8729" s="8">
        <v>15</v>
      </c>
      <c r="T8729" s="8">
        <v>1</v>
      </c>
      <c r="U8729" s="8">
        <v>13.1</v>
      </c>
      <c r="V8729" s="8">
        <v>0.7</v>
      </c>
      <c r="W8729" s="8">
        <v>0.6</v>
      </c>
      <c r="X8729" s="8">
        <v>78</v>
      </c>
      <c r="Y8729" s="8" t="s">
        <v>215</v>
      </c>
      <c r="Z8729" s="8" t="s">
        <v>216</v>
      </c>
    </row>
    <row r="8730" spans="1:26" x14ac:dyDescent="0.2">
      <c r="A8730" s="8">
        <v>8729</v>
      </c>
      <c r="B8730" s="8" t="s">
        <v>38172</v>
      </c>
      <c r="C8730" s="8" t="s">
        <v>38172</v>
      </c>
      <c r="G8730" s="8">
        <v>20</v>
      </c>
      <c r="H8730" s="8" t="s">
        <v>21</v>
      </c>
      <c r="I8730" s="8" t="s">
        <v>22</v>
      </c>
      <c r="J8730" s="8" t="s">
        <v>22</v>
      </c>
      <c r="K8730" s="8" t="s">
        <v>424</v>
      </c>
      <c r="L8730" s="8" t="s">
        <v>17287</v>
      </c>
      <c r="M8730" s="8" t="s">
        <v>17288</v>
      </c>
      <c r="N8730" s="8" t="s">
        <v>38173</v>
      </c>
      <c r="O8730" s="8">
        <f>13+26/60+37.5/3600</f>
        <v>13.44375</v>
      </c>
      <c r="P8730" s="8" t="s">
        <v>38174</v>
      </c>
      <c r="Q8730" s="8">
        <f>+(11+52/60+12/3600)</f>
        <v>11.870000000000001</v>
      </c>
      <c r="R8730" s="8">
        <v>14.5</v>
      </c>
      <c r="S8730" s="8">
        <v>15.5</v>
      </c>
      <c r="T8730" s="8">
        <v>1</v>
      </c>
      <c r="U8730" s="8">
        <v>11.7</v>
      </c>
      <c r="V8730" s="8">
        <v>0.3</v>
      </c>
      <c r="W8730" s="8">
        <v>0.3</v>
      </c>
      <c r="Y8730" s="8" t="s">
        <v>38175</v>
      </c>
      <c r="Z8730" s="8" t="s">
        <v>36926</v>
      </c>
    </row>
    <row r="8731" spans="1:26" x14ac:dyDescent="0.2">
      <c r="A8731" s="8">
        <v>8730</v>
      </c>
      <c r="B8731" s="8" t="s">
        <v>38176</v>
      </c>
      <c r="C8731" s="8" t="s">
        <v>38176</v>
      </c>
      <c r="G8731" s="8">
        <v>20</v>
      </c>
      <c r="H8731" s="8" t="s">
        <v>21</v>
      </c>
      <c r="I8731" s="8" t="s">
        <v>22</v>
      </c>
      <c r="J8731" s="8" t="s">
        <v>22</v>
      </c>
      <c r="K8731" s="8" t="s">
        <v>449</v>
      </c>
      <c r="L8731" s="8" t="s">
        <v>17287</v>
      </c>
      <c r="M8731" s="8" t="s">
        <v>17288</v>
      </c>
      <c r="N8731" s="8" t="s">
        <v>38177</v>
      </c>
      <c r="O8731" s="8">
        <f>13+28/60+25.4/3600</f>
        <v>13.473722222222221</v>
      </c>
      <c r="P8731" s="8" t="s">
        <v>38178</v>
      </c>
      <c r="Q8731" s="8">
        <f>-(16+5/60+31/3600)</f>
        <v>-16.091944444444444</v>
      </c>
      <c r="R8731" s="8">
        <v>14.7</v>
      </c>
      <c r="S8731" s="8">
        <v>15.5</v>
      </c>
      <c r="T8731" s="8">
        <v>0.8</v>
      </c>
      <c r="U8731" s="8">
        <v>13.1</v>
      </c>
      <c r="V8731" s="8">
        <v>0.9</v>
      </c>
      <c r="W8731" s="8">
        <v>0.3</v>
      </c>
      <c r="X8731" s="8">
        <v>140</v>
      </c>
      <c r="Y8731" s="8" t="s">
        <v>38179</v>
      </c>
      <c r="Z8731" s="8" t="s">
        <v>38180</v>
      </c>
    </row>
    <row r="8732" spans="1:26" x14ac:dyDescent="0.2">
      <c r="A8732" s="8">
        <v>8731</v>
      </c>
      <c r="B8732" s="8" t="s">
        <v>38181</v>
      </c>
      <c r="C8732" s="8" t="s">
        <v>38181</v>
      </c>
      <c r="G8732" s="8">
        <v>20</v>
      </c>
      <c r="H8732" s="8" t="s">
        <v>21</v>
      </c>
      <c r="I8732" s="8" t="s">
        <v>22</v>
      </c>
      <c r="J8732" s="8" t="s">
        <v>22</v>
      </c>
      <c r="K8732" s="8" t="s">
        <v>58</v>
      </c>
      <c r="L8732" s="8" t="s">
        <v>17287</v>
      </c>
      <c r="M8732" s="8" t="s">
        <v>17288</v>
      </c>
      <c r="N8732" s="8" t="s">
        <v>38182</v>
      </c>
      <c r="O8732" s="8">
        <f>13+29/60+59.8/3600</f>
        <v>13.499944444444443</v>
      </c>
      <c r="P8732" s="8" t="s">
        <v>38183</v>
      </c>
      <c r="Q8732" s="8">
        <f>+(0+18/60+21/3600)</f>
        <v>0.30583333333333335</v>
      </c>
      <c r="R8732" s="8">
        <v>14.3</v>
      </c>
      <c r="S8732" s="8">
        <v>15.3</v>
      </c>
      <c r="T8732" s="8">
        <v>1</v>
      </c>
      <c r="U8732" s="8">
        <v>12.9</v>
      </c>
      <c r="V8732" s="8">
        <v>0.5</v>
      </c>
      <c r="W8732" s="8">
        <v>0.5</v>
      </c>
      <c r="Y8732" s="8" t="s">
        <v>38184</v>
      </c>
      <c r="Z8732" s="8" t="s">
        <v>38185</v>
      </c>
    </row>
    <row r="8733" spans="1:26" x14ac:dyDescent="0.2">
      <c r="A8733" s="8">
        <v>8732</v>
      </c>
      <c r="B8733" s="8" t="s">
        <v>38186</v>
      </c>
      <c r="C8733" s="8" t="s">
        <v>38186</v>
      </c>
      <c r="G8733" s="8">
        <v>20</v>
      </c>
      <c r="H8733" s="8" t="s">
        <v>21</v>
      </c>
      <c r="I8733" s="8" t="s">
        <v>22</v>
      </c>
      <c r="J8733" s="8" t="s">
        <v>22</v>
      </c>
      <c r="K8733" s="8" t="s">
        <v>643</v>
      </c>
      <c r="L8733" s="8" t="s">
        <v>17287</v>
      </c>
      <c r="M8733" s="8" t="s">
        <v>17288</v>
      </c>
      <c r="N8733" s="8" t="s">
        <v>38187</v>
      </c>
      <c r="O8733" s="8">
        <f>13+31/60+45.8/3600</f>
        <v>13.52938888888889</v>
      </c>
      <c r="P8733" s="8" t="s">
        <v>38188</v>
      </c>
      <c r="Q8733" s="8">
        <f>-(2+42/60+45/3600)</f>
        <v>-2.7125000000000004</v>
      </c>
      <c r="R8733" s="8">
        <v>12.9</v>
      </c>
      <c r="S8733" s="8">
        <v>13.9</v>
      </c>
      <c r="T8733" s="8">
        <v>1</v>
      </c>
      <c r="U8733" s="8">
        <v>13</v>
      </c>
      <c r="V8733" s="8">
        <v>1.5</v>
      </c>
      <c r="W8733" s="8">
        <v>1</v>
      </c>
      <c r="X8733" s="8">
        <v>15</v>
      </c>
      <c r="Y8733" s="8" t="s">
        <v>38189</v>
      </c>
      <c r="Z8733" s="8" t="s">
        <v>38190</v>
      </c>
    </row>
    <row r="8734" spans="1:26" x14ac:dyDescent="0.2">
      <c r="A8734" s="8">
        <v>8733</v>
      </c>
      <c r="B8734" s="8" t="s">
        <v>38191</v>
      </c>
      <c r="C8734" s="8" t="s">
        <v>38191</v>
      </c>
      <c r="G8734" s="8">
        <v>20</v>
      </c>
      <c r="H8734" s="8" t="s">
        <v>21</v>
      </c>
      <c r="I8734" s="8" t="s">
        <v>22</v>
      </c>
      <c r="J8734" s="8" t="s">
        <v>22</v>
      </c>
      <c r="K8734" s="8" t="s">
        <v>31</v>
      </c>
      <c r="L8734" s="8" t="s">
        <v>17287</v>
      </c>
      <c r="M8734" s="8" t="s">
        <v>17288</v>
      </c>
      <c r="N8734" s="8" t="s">
        <v>38192</v>
      </c>
      <c r="O8734" s="8">
        <f>13+31/60+47.4/3600</f>
        <v>13.529833333333334</v>
      </c>
      <c r="P8734" s="8" t="s">
        <v>38193</v>
      </c>
      <c r="Q8734" s="8">
        <f>-(2+36/60+41/3600)</f>
        <v>-2.611388888888889</v>
      </c>
      <c r="R8734" s="8">
        <v>14.1</v>
      </c>
      <c r="S8734" s="8">
        <v>14.9</v>
      </c>
      <c r="T8734" s="8">
        <v>0.8</v>
      </c>
      <c r="U8734" s="8">
        <v>12.7</v>
      </c>
      <c r="V8734" s="8">
        <v>1.1000000000000001</v>
      </c>
      <c r="W8734" s="8">
        <v>0.3</v>
      </c>
      <c r="X8734" s="8">
        <v>52</v>
      </c>
      <c r="Y8734" s="8" t="s">
        <v>36717</v>
      </c>
      <c r="Z8734" s="8" t="s">
        <v>36718</v>
      </c>
    </row>
    <row r="8735" spans="1:26" x14ac:dyDescent="0.2">
      <c r="A8735" s="8">
        <v>8734</v>
      </c>
      <c r="B8735" s="8" t="s">
        <v>38194</v>
      </c>
      <c r="C8735" s="8" t="s">
        <v>38194</v>
      </c>
      <c r="G8735" s="8">
        <v>20</v>
      </c>
      <c r="H8735" s="8" t="s">
        <v>21</v>
      </c>
      <c r="I8735" s="8" t="s">
        <v>22</v>
      </c>
      <c r="J8735" s="8" t="s">
        <v>22</v>
      </c>
      <c r="K8735" s="8" t="s">
        <v>396</v>
      </c>
      <c r="L8735" s="8" t="s">
        <v>18289</v>
      </c>
      <c r="M8735" s="8" t="s">
        <v>18290</v>
      </c>
      <c r="N8735" s="8" t="s">
        <v>38195</v>
      </c>
      <c r="O8735" s="8">
        <f>13+32/60+4.7/3600</f>
        <v>13.534638888888889</v>
      </c>
      <c r="P8735" s="8" t="s">
        <v>38196</v>
      </c>
      <c r="Q8735" s="8">
        <f>+(17+2/60+58/3600)</f>
        <v>17.049444444444447</v>
      </c>
      <c r="R8735" s="8">
        <v>14.2</v>
      </c>
      <c r="S8735" s="8">
        <v>15</v>
      </c>
      <c r="T8735" s="8">
        <v>0.8</v>
      </c>
      <c r="U8735" s="8">
        <v>13.2</v>
      </c>
      <c r="V8735" s="8">
        <v>1.1000000000000001</v>
      </c>
      <c r="W8735" s="8">
        <v>0.4</v>
      </c>
      <c r="X8735" s="8">
        <v>78</v>
      </c>
      <c r="Y8735" s="8" t="s">
        <v>582</v>
      </c>
      <c r="Z8735" s="8" t="s">
        <v>583</v>
      </c>
    </row>
    <row r="8736" spans="1:26" x14ac:dyDescent="0.2">
      <c r="A8736" s="8">
        <v>8735</v>
      </c>
      <c r="B8736" s="8" t="s">
        <v>38197</v>
      </c>
      <c r="C8736" s="8" t="s">
        <v>38197</v>
      </c>
      <c r="G8736" s="8">
        <v>20</v>
      </c>
      <c r="H8736" s="8" t="s">
        <v>21</v>
      </c>
      <c r="I8736" s="8" t="s">
        <v>22</v>
      </c>
      <c r="J8736" s="8" t="s">
        <v>57</v>
      </c>
      <c r="K8736" s="8" t="s">
        <v>37</v>
      </c>
      <c r="L8736" s="8" t="s">
        <v>18681</v>
      </c>
      <c r="M8736" s="8" t="s">
        <v>18682</v>
      </c>
      <c r="N8736" s="8" t="s">
        <v>23583</v>
      </c>
      <c r="O8736" s="8">
        <f>13+42/60+8.3/3600</f>
        <v>13.702305555555554</v>
      </c>
      <c r="P8736" s="8" t="s">
        <v>23584</v>
      </c>
      <c r="Q8736" s="8">
        <f>+(35+39/60+14/3600)</f>
        <v>35.653888888888886</v>
      </c>
      <c r="R8736" s="8">
        <v>11.6</v>
      </c>
      <c r="S8736" s="8">
        <v>12.4</v>
      </c>
      <c r="T8736" s="8">
        <v>0.8</v>
      </c>
      <c r="U8736" s="8">
        <v>13.6</v>
      </c>
      <c r="V8736" s="8">
        <v>2.8</v>
      </c>
      <c r="W8736" s="8">
        <v>2.5</v>
      </c>
      <c r="X8736" s="8">
        <v>10</v>
      </c>
      <c r="Y8736" s="8" t="s">
        <v>38198</v>
      </c>
      <c r="Z8736" s="8" t="s">
        <v>38199</v>
      </c>
    </row>
    <row r="8737" spans="1:26" x14ac:dyDescent="0.2">
      <c r="A8737" s="8">
        <v>8736</v>
      </c>
      <c r="B8737" s="8" t="s">
        <v>38200</v>
      </c>
      <c r="C8737" s="8" t="s">
        <v>38200</v>
      </c>
      <c r="G8737" s="8">
        <v>20</v>
      </c>
      <c r="H8737" s="8" t="s">
        <v>21</v>
      </c>
      <c r="I8737" s="8" t="s">
        <v>22</v>
      </c>
      <c r="J8737" s="8" t="s">
        <v>22</v>
      </c>
      <c r="K8737" s="8" t="s">
        <v>382</v>
      </c>
      <c r="L8737" s="8" t="s">
        <v>17287</v>
      </c>
      <c r="M8737" s="8" t="s">
        <v>17288</v>
      </c>
      <c r="N8737" s="8" t="s">
        <v>38201</v>
      </c>
      <c r="O8737" s="8">
        <f>13+34/60+10.1/3600</f>
        <v>13.569472222222222</v>
      </c>
      <c r="P8737" s="8" t="s">
        <v>38202</v>
      </c>
      <c r="Q8737" s="8">
        <f>+(4+52/60+8/3600)</f>
        <v>4.8688888888888897</v>
      </c>
      <c r="R8737" s="8">
        <v>13.4</v>
      </c>
      <c r="S8737" s="8">
        <v>14.4</v>
      </c>
      <c r="T8737" s="8">
        <v>1</v>
      </c>
      <c r="U8737" s="8">
        <v>13.3</v>
      </c>
      <c r="V8737" s="8">
        <v>1.2</v>
      </c>
      <c r="W8737" s="8">
        <v>0.8</v>
      </c>
      <c r="X8737" s="8">
        <v>35</v>
      </c>
      <c r="Y8737" s="8" t="s">
        <v>38203</v>
      </c>
      <c r="Z8737" s="8" t="s">
        <v>38204</v>
      </c>
    </row>
    <row r="8738" spans="1:26" x14ac:dyDescent="0.2">
      <c r="A8738" s="8">
        <v>8737</v>
      </c>
      <c r="B8738" s="8" t="s">
        <v>38205</v>
      </c>
      <c r="C8738" s="8" t="s">
        <v>38205</v>
      </c>
      <c r="G8738" s="8">
        <v>20</v>
      </c>
      <c r="H8738" s="8" t="s">
        <v>21</v>
      </c>
      <c r="I8738" s="8" t="s">
        <v>22</v>
      </c>
      <c r="J8738" s="8" t="s">
        <v>22</v>
      </c>
      <c r="K8738" s="8" t="s">
        <v>449</v>
      </c>
      <c r="L8738" s="8" t="s">
        <v>18289</v>
      </c>
      <c r="M8738" s="8" t="s">
        <v>18290</v>
      </c>
      <c r="N8738" s="8" t="s">
        <v>38206</v>
      </c>
      <c r="O8738" s="8">
        <f>13+34/60+19.3/3600</f>
        <v>13.572027777777777</v>
      </c>
      <c r="P8738" s="8" t="s">
        <v>38207</v>
      </c>
      <c r="Q8738" s="8">
        <f>+(17+50/60+53/3600)</f>
        <v>17.848055555555554</v>
      </c>
      <c r="R8738" s="8">
        <v>14.8</v>
      </c>
      <c r="S8738" s="8">
        <v>15.6</v>
      </c>
      <c r="T8738" s="8">
        <v>0.8</v>
      </c>
      <c r="U8738" s="8">
        <v>12.3</v>
      </c>
      <c r="V8738" s="8">
        <v>0.6</v>
      </c>
      <c r="W8738" s="8">
        <v>0.2</v>
      </c>
      <c r="X8738" s="8">
        <v>50</v>
      </c>
      <c r="Y8738" s="8" t="s">
        <v>21</v>
      </c>
      <c r="Z8738" s="8" t="s">
        <v>38208</v>
      </c>
    </row>
    <row r="8739" spans="1:26" x14ac:dyDescent="0.2">
      <c r="A8739" s="8">
        <v>8738</v>
      </c>
      <c r="B8739" s="8" t="s">
        <v>38209</v>
      </c>
      <c r="C8739" s="8" t="s">
        <v>38209</v>
      </c>
      <c r="G8739" s="8">
        <v>20</v>
      </c>
      <c r="H8739" s="8" t="s">
        <v>21</v>
      </c>
      <c r="I8739" s="8" t="s">
        <v>22</v>
      </c>
      <c r="J8739" s="8" t="s">
        <v>22</v>
      </c>
      <c r="K8739" s="8" t="s">
        <v>449</v>
      </c>
      <c r="L8739" s="8" t="s">
        <v>17287</v>
      </c>
      <c r="M8739" s="8" t="s">
        <v>17288</v>
      </c>
      <c r="N8739" s="8" t="s">
        <v>38210</v>
      </c>
      <c r="O8739" s="8">
        <f>13+34/60+9.5/3600</f>
        <v>13.569305555555555</v>
      </c>
      <c r="P8739" s="8" t="s">
        <v>38211</v>
      </c>
      <c r="Q8739" s="8">
        <f>+(13+16/60+48/3600)</f>
        <v>13.280000000000001</v>
      </c>
      <c r="R8739" s="8">
        <v>14.5</v>
      </c>
      <c r="S8739" s="8">
        <v>15.3</v>
      </c>
      <c r="T8739" s="8">
        <v>0.8</v>
      </c>
      <c r="U8739" s="8">
        <v>12.8</v>
      </c>
      <c r="V8739" s="8">
        <v>0.6</v>
      </c>
      <c r="W8739" s="8">
        <v>0.4</v>
      </c>
      <c r="X8739" s="8">
        <v>170</v>
      </c>
      <c r="Y8739" s="8" t="s">
        <v>35151</v>
      </c>
      <c r="Z8739" s="8" t="s">
        <v>35152</v>
      </c>
    </row>
    <row r="8740" spans="1:26" x14ac:dyDescent="0.2">
      <c r="A8740" s="8">
        <v>8739</v>
      </c>
      <c r="B8740" s="8" t="s">
        <v>38212</v>
      </c>
      <c r="C8740" s="8" t="s">
        <v>38212</v>
      </c>
      <c r="G8740" s="8">
        <v>20</v>
      </c>
      <c r="H8740" s="8" t="s">
        <v>21</v>
      </c>
      <c r="I8740" s="8" t="s">
        <v>22</v>
      </c>
      <c r="J8740" s="8" t="s">
        <v>22</v>
      </c>
      <c r="K8740" s="8" t="s">
        <v>460</v>
      </c>
      <c r="L8740" s="8" t="s">
        <v>17287</v>
      </c>
      <c r="M8740" s="8" t="s">
        <v>17288</v>
      </c>
      <c r="N8740" s="8" t="s">
        <v>38213</v>
      </c>
      <c r="O8740" s="8">
        <f>13+34/60+59.4/3600</f>
        <v>13.583166666666667</v>
      </c>
      <c r="P8740" s="8" t="s">
        <v>38214</v>
      </c>
      <c r="Q8740" s="8">
        <f>-(8+5/60+28/3600)</f>
        <v>-8.0911111111111111</v>
      </c>
      <c r="R8740" s="8">
        <v>14.3</v>
      </c>
      <c r="S8740" s="8">
        <v>15.3</v>
      </c>
      <c r="T8740" s="8">
        <v>1</v>
      </c>
      <c r="U8740" s="8">
        <v>12.9</v>
      </c>
      <c r="V8740" s="8">
        <v>0.5</v>
      </c>
      <c r="W8740" s="8">
        <v>0.5</v>
      </c>
      <c r="Y8740" s="8" t="s">
        <v>7358</v>
      </c>
      <c r="Z8740" s="8" t="s">
        <v>7359</v>
      </c>
    </row>
    <row r="8741" spans="1:26" x14ac:dyDescent="0.2">
      <c r="A8741" s="8">
        <v>8740</v>
      </c>
      <c r="B8741" s="8" t="s">
        <v>38215</v>
      </c>
      <c r="C8741" s="8" t="s">
        <v>38215</v>
      </c>
      <c r="G8741" s="8">
        <v>20</v>
      </c>
      <c r="H8741" s="8" t="s">
        <v>21</v>
      </c>
      <c r="I8741" s="8" t="s">
        <v>22</v>
      </c>
      <c r="J8741" s="8" t="s">
        <v>22</v>
      </c>
      <c r="K8741" s="8" t="s">
        <v>160</v>
      </c>
      <c r="L8741" s="8" t="s">
        <v>17287</v>
      </c>
      <c r="M8741" s="8" t="s">
        <v>17288</v>
      </c>
      <c r="N8741" s="8" t="s">
        <v>38216</v>
      </c>
      <c r="O8741" s="8">
        <f>13+34/60+42.9/3600</f>
        <v>13.578583333333333</v>
      </c>
      <c r="P8741" s="8" t="s">
        <v>38217</v>
      </c>
      <c r="Q8741" s="8">
        <f>+(9+20/60+13/3600)</f>
        <v>9.3369444444444447</v>
      </c>
      <c r="R8741" s="8">
        <v>13</v>
      </c>
      <c r="S8741" s="8">
        <v>13.6</v>
      </c>
      <c r="T8741" s="8">
        <v>0.6</v>
      </c>
      <c r="U8741" s="8">
        <v>13.4</v>
      </c>
      <c r="V8741" s="8">
        <v>1.6</v>
      </c>
      <c r="W8741" s="8">
        <v>1</v>
      </c>
      <c r="X8741" s="8">
        <v>27</v>
      </c>
      <c r="Y8741" s="8" t="s">
        <v>6420</v>
      </c>
      <c r="Z8741" s="8" t="s">
        <v>6421</v>
      </c>
    </row>
    <row r="8742" spans="1:26" x14ac:dyDescent="0.2">
      <c r="A8742" s="8">
        <v>8741</v>
      </c>
      <c r="B8742" s="8" t="s">
        <v>38218</v>
      </c>
      <c r="C8742" s="8" t="s">
        <v>38218</v>
      </c>
      <c r="G8742" s="8">
        <v>20</v>
      </c>
      <c r="H8742" s="8" t="s">
        <v>21</v>
      </c>
      <c r="I8742" s="8" t="s">
        <v>22</v>
      </c>
      <c r="J8742" s="8" t="s">
        <v>22</v>
      </c>
      <c r="K8742" s="8" t="s">
        <v>23</v>
      </c>
      <c r="L8742" s="8" t="s">
        <v>17287</v>
      </c>
      <c r="M8742" s="8" t="s">
        <v>17288</v>
      </c>
      <c r="N8742" s="8" t="s">
        <v>38219</v>
      </c>
      <c r="O8742" s="8">
        <f>13+35/60+42.5/3600</f>
        <v>13.59513888888889</v>
      </c>
      <c r="P8742" s="8" t="s">
        <v>38220</v>
      </c>
      <c r="Q8742" s="8">
        <f>+(13+19/60+49/3600)</f>
        <v>13.330277777777777</v>
      </c>
      <c r="R8742" s="8">
        <v>14.6</v>
      </c>
      <c r="S8742" s="8">
        <v>15.4</v>
      </c>
      <c r="T8742" s="8">
        <v>0.8</v>
      </c>
      <c r="U8742" s="8">
        <v>13.7</v>
      </c>
      <c r="V8742" s="8">
        <v>0.8</v>
      </c>
      <c r="W8742" s="8">
        <v>0.6</v>
      </c>
      <c r="X8742" s="8">
        <v>117</v>
      </c>
      <c r="Y8742" s="8" t="s">
        <v>38221</v>
      </c>
      <c r="Z8742" s="8" t="s">
        <v>38222</v>
      </c>
    </row>
    <row r="8743" spans="1:26" x14ac:dyDescent="0.2">
      <c r="A8743" s="8">
        <v>8742</v>
      </c>
      <c r="B8743" s="8" t="s">
        <v>38223</v>
      </c>
      <c r="C8743" s="8" t="s">
        <v>38223</v>
      </c>
      <c r="G8743" s="8">
        <v>20</v>
      </c>
      <c r="H8743" s="8" t="s">
        <v>21</v>
      </c>
      <c r="I8743" s="8" t="s">
        <v>22</v>
      </c>
      <c r="J8743" s="8" t="s">
        <v>22</v>
      </c>
      <c r="K8743" s="8" t="s">
        <v>23</v>
      </c>
      <c r="L8743" s="8" t="s">
        <v>12015</v>
      </c>
      <c r="M8743" s="8" t="s">
        <v>12016</v>
      </c>
      <c r="N8743" s="8" t="s">
        <v>38224</v>
      </c>
      <c r="O8743" s="8">
        <f>13+36/60+1.2/3600</f>
        <v>13.600333333333333</v>
      </c>
      <c r="P8743" s="8" t="s">
        <v>38225</v>
      </c>
      <c r="Q8743" s="8">
        <f>+(49+57/60+38/3600)</f>
        <v>49.960555555555558</v>
      </c>
      <c r="R8743" s="8">
        <v>13.7</v>
      </c>
      <c r="S8743" s="8">
        <v>14.5</v>
      </c>
      <c r="T8743" s="8">
        <v>0.8</v>
      </c>
      <c r="U8743" s="8">
        <v>13.5</v>
      </c>
      <c r="V8743" s="8">
        <v>2.2000000000000002</v>
      </c>
      <c r="W8743" s="8">
        <v>0.4</v>
      </c>
      <c r="X8743" s="8">
        <v>162</v>
      </c>
      <c r="Y8743" s="8" t="s">
        <v>29609</v>
      </c>
      <c r="Z8743" s="8" t="s">
        <v>29610</v>
      </c>
    </row>
    <row r="8744" spans="1:26" x14ac:dyDescent="0.2">
      <c r="A8744" s="8">
        <v>8743</v>
      </c>
      <c r="B8744" s="8" t="s">
        <v>38226</v>
      </c>
      <c r="C8744" s="8" t="s">
        <v>38226</v>
      </c>
      <c r="G8744" s="8">
        <v>20</v>
      </c>
      <c r="H8744" s="8" t="s">
        <v>21</v>
      </c>
      <c r="I8744" s="8" t="s">
        <v>22</v>
      </c>
      <c r="J8744" s="8" t="s">
        <v>22</v>
      </c>
      <c r="K8744" s="8" t="s">
        <v>31</v>
      </c>
      <c r="L8744" s="8" t="s">
        <v>17287</v>
      </c>
      <c r="M8744" s="8" t="s">
        <v>17288</v>
      </c>
      <c r="N8744" s="8" t="s">
        <v>38227</v>
      </c>
      <c r="O8744" s="8">
        <f>13+38/60+26.1/3600</f>
        <v>13.640583333333334</v>
      </c>
      <c r="P8744" s="8" t="s">
        <v>38228</v>
      </c>
      <c r="Q8744" s="8">
        <f>-(0+13/60+39/3600)</f>
        <v>-0.22750000000000001</v>
      </c>
      <c r="R8744" s="8">
        <v>13.1</v>
      </c>
      <c r="S8744" s="8">
        <v>13.9</v>
      </c>
      <c r="T8744" s="8">
        <v>0.8</v>
      </c>
      <c r="U8744" s="8">
        <v>13.4</v>
      </c>
      <c r="V8744" s="8">
        <v>1.9</v>
      </c>
      <c r="W8744" s="8">
        <v>0.8</v>
      </c>
      <c r="X8744" s="8">
        <v>178</v>
      </c>
      <c r="Y8744" s="8" t="s">
        <v>21</v>
      </c>
      <c r="Z8744" s="8" t="s">
        <v>38229</v>
      </c>
    </row>
    <row r="8745" spans="1:26" x14ac:dyDescent="0.2">
      <c r="A8745" s="8">
        <v>8744</v>
      </c>
      <c r="B8745" s="8" t="s">
        <v>38230</v>
      </c>
      <c r="C8745" s="8" t="s">
        <v>38230</v>
      </c>
      <c r="G8745" s="8">
        <v>20</v>
      </c>
      <c r="H8745" s="8" t="s">
        <v>21</v>
      </c>
      <c r="I8745" s="8" t="s">
        <v>22</v>
      </c>
      <c r="J8745" s="8" t="s">
        <v>22</v>
      </c>
      <c r="K8745" s="8" t="s">
        <v>632</v>
      </c>
      <c r="L8745" s="8" t="s">
        <v>17287</v>
      </c>
      <c r="M8745" s="8" t="s">
        <v>17288</v>
      </c>
      <c r="N8745" s="8" t="s">
        <v>38231</v>
      </c>
      <c r="O8745" s="8">
        <f>13+38/60+32.2/3600</f>
        <v>13.642277777777778</v>
      </c>
      <c r="P8745" s="8" t="s">
        <v>38232</v>
      </c>
      <c r="Q8745" s="8">
        <f>+(0+32/60+26/3600)</f>
        <v>0.54055555555555557</v>
      </c>
      <c r="R8745" s="8">
        <v>13.6</v>
      </c>
      <c r="S8745" s="8">
        <v>14.5</v>
      </c>
      <c r="T8745" s="8">
        <v>0.9</v>
      </c>
      <c r="U8745" s="8">
        <v>13</v>
      </c>
      <c r="V8745" s="8">
        <v>1.2</v>
      </c>
      <c r="W8745" s="8">
        <v>0.7</v>
      </c>
      <c r="X8745" s="8">
        <v>135</v>
      </c>
      <c r="Y8745" s="8" t="s">
        <v>36717</v>
      </c>
      <c r="Z8745" s="8" t="s">
        <v>36718</v>
      </c>
    </row>
    <row r="8746" spans="1:26" x14ac:dyDescent="0.2">
      <c r="A8746" s="8">
        <v>8745</v>
      </c>
      <c r="B8746" s="8" t="s">
        <v>38233</v>
      </c>
      <c r="C8746" s="8" t="s">
        <v>38233</v>
      </c>
      <c r="G8746" s="8">
        <v>20</v>
      </c>
      <c r="H8746" s="8" t="s">
        <v>21</v>
      </c>
      <c r="I8746" s="8" t="s">
        <v>22</v>
      </c>
      <c r="J8746" s="8" t="s">
        <v>22</v>
      </c>
      <c r="K8746" s="8" t="s">
        <v>424</v>
      </c>
      <c r="L8746" s="8" t="s">
        <v>22476</v>
      </c>
      <c r="M8746" s="8" t="s">
        <v>22477</v>
      </c>
      <c r="N8746" s="8" t="s">
        <v>38234</v>
      </c>
      <c r="O8746" s="8">
        <f>13+40/60+2.8/3600</f>
        <v>13.667444444444444</v>
      </c>
      <c r="P8746" s="8" t="s">
        <v>38235</v>
      </c>
      <c r="Q8746" s="8">
        <f>+(23+8/60+36/3600)</f>
        <v>23.143333333333334</v>
      </c>
      <c r="R8746" s="8">
        <v>14.2</v>
      </c>
      <c r="S8746" s="8">
        <v>15.2</v>
      </c>
      <c r="T8746" s="8">
        <v>1</v>
      </c>
      <c r="U8746" s="8">
        <v>13</v>
      </c>
      <c r="V8746" s="8">
        <v>0.6</v>
      </c>
      <c r="W8746" s="8">
        <v>0.6</v>
      </c>
      <c r="Y8746" s="8" t="s">
        <v>38236</v>
      </c>
      <c r="Z8746" s="8" t="s">
        <v>38237</v>
      </c>
    </row>
    <row r="8747" spans="1:26" x14ac:dyDescent="0.2">
      <c r="A8747" s="8">
        <v>8746</v>
      </c>
      <c r="B8747" s="8" t="s">
        <v>38238</v>
      </c>
      <c r="C8747" s="8" t="s">
        <v>38238</v>
      </c>
      <c r="G8747" s="8">
        <v>20</v>
      </c>
      <c r="H8747" s="8" t="s">
        <v>21</v>
      </c>
      <c r="I8747" s="8" t="s">
        <v>22</v>
      </c>
      <c r="J8747" s="8" t="s">
        <v>22</v>
      </c>
      <c r="K8747" s="8" t="s">
        <v>160</v>
      </c>
      <c r="L8747" s="8" t="s">
        <v>22476</v>
      </c>
      <c r="M8747" s="8" t="s">
        <v>22477</v>
      </c>
      <c r="N8747" s="8" t="s">
        <v>38239</v>
      </c>
      <c r="O8747" s="8">
        <f>13+40/60+10/3600</f>
        <v>13.669444444444444</v>
      </c>
      <c r="P8747" s="8" t="s">
        <v>38240</v>
      </c>
      <c r="Q8747" s="8">
        <f>+(23+20/60+27/3600)</f>
        <v>23.340833333333332</v>
      </c>
      <c r="R8747" s="8">
        <v>15</v>
      </c>
      <c r="S8747" s="8">
        <v>15.7</v>
      </c>
      <c r="T8747" s="8">
        <v>0.7</v>
      </c>
      <c r="U8747" s="8">
        <v>13</v>
      </c>
      <c r="V8747" s="8">
        <v>0.9</v>
      </c>
      <c r="W8747" s="8">
        <v>0.2</v>
      </c>
      <c r="X8747" s="8">
        <v>150</v>
      </c>
      <c r="Y8747" s="8" t="s">
        <v>21310</v>
      </c>
      <c r="Z8747" s="8" t="s">
        <v>21311</v>
      </c>
    </row>
    <row r="8748" spans="1:26" x14ac:dyDescent="0.2">
      <c r="A8748" s="8">
        <v>8747</v>
      </c>
      <c r="B8748" s="8" t="s">
        <v>38241</v>
      </c>
      <c r="C8748" s="8" t="s">
        <v>38241</v>
      </c>
      <c r="G8748" s="8">
        <v>20</v>
      </c>
      <c r="H8748" s="8" t="s">
        <v>21</v>
      </c>
      <c r="I8748" s="8" t="s">
        <v>22</v>
      </c>
      <c r="J8748" s="8" t="s">
        <v>22</v>
      </c>
      <c r="K8748" s="8" t="s">
        <v>218</v>
      </c>
      <c r="L8748" s="8" t="s">
        <v>12015</v>
      </c>
      <c r="M8748" s="8" t="s">
        <v>12016</v>
      </c>
      <c r="N8748" s="8" t="s">
        <v>38242</v>
      </c>
      <c r="O8748" s="8">
        <f>13+39/60+22.7/3600</f>
        <v>13.656305555555555</v>
      </c>
      <c r="P8748" s="8" t="s">
        <v>38243</v>
      </c>
      <c r="Q8748" s="8">
        <f>+(51+3/60+5/3600)</f>
        <v>51.051388888888887</v>
      </c>
      <c r="R8748" s="8">
        <v>14.3</v>
      </c>
      <c r="S8748" s="8">
        <v>15.3</v>
      </c>
      <c r="T8748" s="8">
        <v>1</v>
      </c>
      <c r="U8748" s="8">
        <v>12.8</v>
      </c>
      <c r="V8748" s="8">
        <v>1.3</v>
      </c>
      <c r="W8748" s="8">
        <v>0.2</v>
      </c>
      <c r="X8748" s="8">
        <v>20</v>
      </c>
      <c r="Y8748" s="8" t="s">
        <v>4170</v>
      </c>
      <c r="Z8748" s="8" t="s">
        <v>4171</v>
      </c>
    </row>
    <row r="8749" spans="1:26" x14ac:dyDescent="0.2">
      <c r="A8749" s="8">
        <v>8748</v>
      </c>
      <c r="B8749" s="8" t="s">
        <v>38244</v>
      </c>
      <c r="C8749" s="8" t="s">
        <v>38244</v>
      </c>
      <c r="G8749" s="8">
        <v>20</v>
      </c>
      <c r="H8749" s="8" t="s">
        <v>21</v>
      </c>
      <c r="I8749" s="8" t="s">
        <v>22</v>
      </c>
      <c r="J8749" s="8" t="s">
        <v>22</v>
      </c>
      <c r="K8749" s="8" t="s">
        <v>1445</v>
      </c>
      <c r="L8749" s="8" t="s">
        <v>17287</v>
      </c>
      <c r="M8749" s="8" t="s">
        <v>17288</v>
      </c>
      <c r="N8749" s="8" t="s">
        <v>38245</v>
      </c>
      <c r="O8749" s="8">
        <f>13+41/60+19/3600</f>
        <v>13.688611111111111</v>
      </c>
      <c r="P8749" s="8" t="s">
        <v>38246</v>
      </c>
      <c r="Q8749" s="8">
        <f>-(4+20/60+40/3600)</f>
        <v>-4.3444444444444441</v>
      </c>
      <c r="R8749" s="8">
        <v>14</v>
      </c>
      <c r="S8749" s="8">
        <v>14.8</v>
      </c>
      <c r="T8749" s="8">
        <v>0.8</v>
      </c>
      <c r="U8749" s="8">
        <v>13.2</v>
      </c>
      <c r="V8749" s="8">
        <v>0.9</v>
      </c>
      <c r="W8749" s="8">
        <v>0.6</v>
      </c>
      <c r="X8749" s="8">
        <v>60</v>
      </c>
      <c r="Y8749" s="8" t="s">
        <v>38247</v>
      </c>
      <c r="Z8749" s="8" t="s">
        <v>38248</v>
      </c>
    </row>
    <row r="8750" spans="1:26" x14ac:dyDescent="0.2">
      <c r="A8750" s="8">
        <v>8749</v>
      </c>
      <c r="B8750" s="8" t="s">
        <v>38249</v>
      </c>
      <c r="C8750" s="8" t="s">
        <v>38249</v>
      </c>
      <c r="G8750" s="8">
        <v>20</v>
      </c>
      <c r="H8750" s="8" t="s">
        <v>21</v>
      </c>
      <c r="I8750" s="8" t="s">
        <v>22</v>
      </c>
      <c r="J8750" s="8" t="s">
        <v>22</v>
      </c>
      <c r="K8750" s="8" t="s">
        <v>154</v>
      </c>
      <c r="L8750" s="8" t="s">
        <v>22476</v>
      </c>
      <c r="M8750" s="8" t="s">
        <v>22477</v>
      </c>
      <c r="N8750" s="8" t="s">
        <v>38250</v>
      </c>
      <c r="O8750" s="8">
        <f>13+40/60+51.2/3600</f>
        <v>13.680888888888889</v>
      </c>
      <c r="P8750" s="8" t="s">
        <v>38251</v>
      </c>
      <c r="Q8750" s="8">
        <f>+(24+28/60+23/3600)</f>
        <v>24.473055555555554</v>
      </c>
      <c r="R8750" s="8">
        <v>14.3</v>
      </c>
      <c r="S8750" s="8">
        <v>15.2</v>
      </c>
      <c r="T8750" s="8">
        <v>0.9</v>
      </c>
      <c r="U8750" s="8">
        <v>12.1</v>
      </c>
      <c r="V8750" s="8">
        <v>0.4</v>
      </c>
      <c r="W8750" s="8">
        <v>0.4</v>
      </c>
      <c r="Y8750" s="8" t="s">
        <v>1694</v>
      </c>
      <c r="Z8750" s="8" t="s">
        <v>38252</v>
      </c>
    </row>
    <row r="8751" spans="1:26" x14ac:dyDescent="0.2">
      <c r="A8751" s="8">
        <v>8750</v>
      </c>
      <c r="B8751" s="8" t="s">
        <v>38253</v>
      </c>
      <c r="C8751" s="8" t="s">
        <v>38253</v>
      </c>
      <c r="G8751" s="8">
        <v>20</v>
      </c>
      <c r="H8751" s="8" t="s">
        <v>21</v>
      </c>
      <c r="I8751" s="8" t="s">
        <v>22</v>
      </c>
      <c r="J8751" s="8" t="s">
        <v>22</v>
      </c>
      <c r="K8751" s="8" t="s">
        <v>476</v>
      </c>
      <c r="L8751" s="8" t="s">
        <v>22476</v>
      </c>
      <c r="M8751" s="8" t="s">
        <v>22477</v>
      </c>
      <c r="N8751" s="8" t="s">
        <v>38254</v>
      </c>
      <c r="O8751" s="8">
        <f>13+41/60+7.8/3600</f>
        <v>13.685500000000001</v>
      </c>
      <c r="P8751" s="8" t="s">
        <v>38255</v>
      </c>
      <c r="Q8751" s="8">
        <f>+(23+16/60+53/3600)</f>
        <v>23.281388888888888</v>
      </c>
      <c r="R8751" s="8">
        <v>14.4</v>
      </c>
      <c r="S8751" s="8">
        <v>15.2</v>
      </c>
      <c r="T8751" s="8">
        <v>0.8</v>
      </c>
      <c r="U8751" s="8">
        <v>12.5</v>
      </c>
      <c r="V8751" s="8">
        <v>0.5</v>
      </c>
      <c r="W8751" s="8">
        <v>0.4</v>
      </c>
      <c r="X8751" s="8">
        <v>80</v>
      </c>
      <c r="Y8751" s="8" t="s">
        <v>38256</v>
      </c>
      <c r="Z8751" s="8" t="s">
        <v>38257</v>
      </c>
    </row>
    <row r="8752" spans="1:26" x14ac:dyDescent="0.2">
      <c r="A8752" s="8">
        <v>8751</v>
      </c>
      <c r="B8752" s="8" t="s">
        <v>38258</v>
      </c>
      <c r="C8752" s="8" t="s">
        <v>38258</v>
      </c>
      <c r="G8752" s="8">
        <v>20</v>
      </c>
      <c r="H8752" s="8" t="s">
        <v>21</v>
      </c>
      <c r="I8752" s="8" t="s">
        <v>22</v>
      </c>
      <c r="J8752" s="8" t="s">
        <v>22</v>
      </c>
      <c r="K8752" s="8" t="s">
        <v>24713</v>
      </c>
      <c r="L8752" s="8" t="s">
        <v>22476</v>
      </c>
      <c r="M8752" s="8" t="s">
        <v>22477</v>
      </c>
      <c r="N8752" s="8" t="s">
        <v>38259</v>
      </c>
      <c r="O8752" s="8">
        <f>13+41/60+25.3/3600</f>
        <v>13.690361111111111</v>
      </c>
      <c r="P8752" s="8" t="s">
        <v>38260</v>
      </c>
      <c r="Q8752" s="8">
        <f>+(23+14/60+53/3600)</f>
        <v>23.248055555555556</v>
      </c>
      <c r="R8752" s="8">
        <v>14.1</v>
      </c>
      <c r="S8752" s="8">
        <v>14.9</v>
      </c>
      <c r="T8752" s="8">
        <v>0.8</v>
      </c>
      <c r="U8752" s="8">
        <v>12</v>
      </c>
      <c r="V8752" s="8">
        <v>0.4</v>
      </c>
      <c r="W8752" s="8">
        <v>0.4</v>
      </c>
      <c r="Y8752" s="8" t="s">
        <v>11813</v>
      </c>
      <c r="Z8752" s="8" t="s">
        <v>11814</v>
      </c>
    </row>
    <row r="8753" spans="1:26" x14ac:dyDescent="0.2">
      <c r="A8753" s="8">
        <v>8752</v>
      </c>
      <c r="B8753" s="8" t="s">
        <v>38261</v>
      </c>
      <c r="C8753" s="8" t="s">
        <v>38261</v>
      </c>
      <c r="G8753" s="8">
        <v>20</v>
      </c>
      <c r="H8753" s="8" t="s">
        <v>21</v>
      </c>
      <c r="I8753" s="8" t="s">
        <v>22</v>
      </c>
      <c r="J8753" s="8" t="s">
        <v>22</v>
      </c>
      <c r="K8753" s="8" t="s">
        <v>24713</v>
      </c>
      <c r="L8753" s="8" t="s">
        <v>22476</v>
      </c>
      <c r="M8753" s="8" t="s">
        <v>22477</v>
      </c>
      <c r="N8753" s="8" t="s">
        <v>38262</v>
      </c>
      <c r="O8753" s="8">
        <f>13+41/60+29/3600</f>
        <v>13.691388888888889</v>
      </c>
      <c r="P8753" s="8" t="s">
        <v>38263</v>
      </c>
      <c r="Q8753" s="8">
        <f>+(23+14/60+43/3600)</f>
        <v>23.24527777777778</v>
      </c>
      <c r="R8753" s="8">
        <v>13.6</v>
      </c>
      <c r="S8753" s="8">
        <v>14.4</v>
      </c>
      <c r="T8753" s="8">
        <v>0.8</v>
      </c>
      <c r="U8753" s="8">
        <v>12.3</v>
      </c>
      <c r="V8753" s="8">
        <v>0.7</v>
      </c>
      <c r="W8753" s="8">
        <v>0.5</v>
      </c>
      <c r="X8753" s="8">
        <v>90</v>
      </c>
      <c r="Y8753" s="8" t="s">
        <v>11813</v>
      </c>
      <c r="Z8753" s="8" t="s">
        <v>11814</v>
      </c>
    </row>
    <row r="8754" spans="1:26" x14ac:dyDescent="0.2">
      <c r="A8754" s="8">
        <v>8753</v>
      </c>
      <c r="B8754" s="8" t="s">
        <v>38264</v>
      </c>
      <c r="C8754" s="8" t="s">
        <v>38264</v>
      </c>
      <c r="G8754" s="8">
        <v>20</v>
      </c>
      <c r="H8754" s="8" t="s">
        <v>21</v>
      </c>
      <c r="I8754" s="8" t="s">
        <v>22</v>
      </c>
      <c r="J8754" s="8" t="s">
        <v>22</v>
      </c>
      <c r="K8754" s="8" t="s">
        <v>218</v>
      </c>
      <c r="L8754" s="8" t="s">
        <v>22476</v>
      </c>
      <c r="M8754" s="8" t="s">
        <v>22477</v>
      </c>
      <c r="N8754" s="8" t="s">
        <v>38265</v>
      </c>
      <c r="O8754" s="8">
        <f>13+41/60+29.7/3600</f>
        <v>13.691583333333334</v>
      </c>
      <c r="P8754" s="8" t="s">
        <v>38266</v>
      </c>
      <c r="Q8754" s="8">
        <f>+(23+10/60+1/3600)</f>
        <v>23.166944444444447</v>
      </c>
      <c r="R8754" s="8">
        <v>14.6</v>
      </c>
      <c r="S8754" s="8">
        <v>15.4</v>
      </c>
      <c r="T8754" s="8">
        <v>0.8</v>
      </c>
      <c r="U8754" s="8">
        <v>13.7</v>
      </c>
      <c r="V8754" s="8">
        <v>0.8</v>
      </c>
      <c r="W8754" s="8">
        <v>0.6</v>
      </c>
      <c r="X8754" s="8">
        <v>80</v>
      </c>
      <c r="Y8754" s="8" t="s">
        <v>35781</v>
      </c>
      <c r="Z8754" s="8" t="s">
        <v>35782</v>
      </c>
    </row>
    <row r="8755" spans="1:26" x14ac:dyDescent="0.2">
      <c r="A8755" s="8">
        <v>8754</v>
      </c>
      <c r="B8755" s="8" t="s">
        <v>38267</v>
      </c>
      <c r="C8755" s="8" t="s">
        <v>38267</v>
      </c>
      <c r="G8755" s="8">
        <v>20</v>
      </c>
      <c r="H8755" s="8" t="s">
        <v>21</v>
      </c>
      <c r="I8755" s="8" t="s">
        <v>22</v>
      </c>
      <c r="J8755" s="8" t="s">
        <v>22</v>
      </c>
      <c r="K8755" s="8" t="s">
        <v>160</v>
      </c>
      <c r="L8755" s="8" t="s">
        <v>22476</v>
      </c>
      <c r="M8755" s="8" t="s">
        <v>22477</v>
      </c>
      <c r="N8755" s="8" t="s">
        <v>38268</v>
      </c>
      <c r="O8755" s="8">
        <f>13+41/60+40.6/3600</f>
        <v>13.694611111111112</v>
      </c>
      <c r="P8755" s="8" t="s">
        <v>38269</v>
      </c>
      <c r="Q8755" s="8">
        <f>+(23+11/60+24/3600)</f>
        <v>23.19</v>
      </c>
      <c r="R8755" s="8">
        <v>14.5</v>
      </c>
      <c r="S8755" s="8">
        <v>15.2</v>
      </c>
      <c r="T8755" s="8">
        <v>0.7</v>
      </c>
      <c r="U8755" s="8">
        <v>13.4</v>
      </c>
      <c r="V8755" s="8">
        <v>0.7</v>
      </c>
      <c r="W8755" s="8">
        <v>0.6</v>
      </c>
      <c r="Y8755" s="8" t="s">
        <v>35781</v>
      </c>
      <c r="Z8755" s="8" t="s">
        <v>35782</v>
      </c>
    </row>
    <row r="8756" spans="1:26" x14ac:dyDescent="0.2">
      <c r="A8756" s="8">
        <v>8755</v>
      </c>
      <c r="B8756" s="8" t="s">
        <v>38270</v>
      </c>
      <c r="C8756" s="8" t="s">
        <v>38270</v>
      </c>
      <c r="G8756" s="8">
        <v>20</v>
      </c>
      <c r="H8756" s="8" t="s">
        <v>21</v>
      </c>
      <c r="I8756" s="8" t="s">
        <v>22</v>
      </c>
      <c r="J8756" s="8" t="s">
        <v>22</v>
      </c>
      <c r="K8756" s="8" t="s">
        <v>460</v>
      </c>
      <c r="L8756" s="8" t="s">
        <v>17287</v>
      </c>
      <c r="M8756" s="8" t="s">
        <v>17288</v>
      </c>
      <c r="N8756" s="8" t="s">
        <v>38271</v>
      </c>
      <c r="O8756" s="8">
        <f>13+43/60+27.3/3600</f>
        <v>13.72425</v>
      </c>
      <c r="P8756" s="8" t="s">
        <v>38272</v>
      </c>
      <c r="Q8756" s="8">
        <f>-(17+19/60+56/3600)</f>
        <v>-17.332222222222221</v>
      </c>
      <c r="R8756" s="8">
        <v>14.1</v>
      </c>
      <c r="S8756" s="8">
        <v>15.1</v>
      </c>
      <c r="T8756" s="8">
        <v>1</v>
      </c>
      <c r="U8756" s="8">
        <v>12.7</v>
      </c>
      <c r="V8756" s="8">
        <v>0.5</v>
      </c>
      <c r="W8756" s="8">
        <v>0.5</v>
      </c>
      <c r="Y8756" s="8" t="s">
        <v>27097</v>
      </c>
      <c r="Z8756" s="8" t="s">
        <v>27098</v>
      </c>
    </row>
    <row r="8757" spans="1:26" x14ac:dyDescent="0.2">
      <c r="A8757" s="8">
        <v>8756</v>
      </c>
      <c r="B8757" s="8" t="s">
        <v>38273</v>
      </c>
      <c r="C8757" s="8" t="s">
        <v>38273</v>
      </c>
      <c r="G8757" s="8">
        <v>20</v>
      </c>
      <c r="H8757" s="8" t="s">
        <v>21</v>
      </c>
      <c r="I8757" s="8" t="s">
        <v>22</v>
      </c>
      <c r="J8757" s="8" t="s">
        <v>22</v>
      </c>
      <c r="K8757" s="8" t="s">
        <v>424</v>
      </c>
      <c r="L8757" s="8" t="s">
        <v>22476</v>
      </c>
      <c r="M8757" s="8" t="s">
        <v>22477</v>
      </c>
      <c r="N8757" s="8" t="s">
        <v>38274</v>
      </c>
      <c r="O8757" s="8">
        <f>13+42/60+38.1/3600</f>
        <v>13.710583333333332</v>
      </c>
      <c r="P8757" s="8" t="s">
        <v>38275</v>
      </c>
      <c r="Q8757" s="8">
        <f>+(24+27/60+56/3600)</f>
        <v>24.465555555555554</v>
      </c>
      <c r="R8757" s="8">
        <v>14.4</v>
      </c>
      <c r="S8757" s="8">
        <v>15.4</v>
      </c>
      <c r="T8757" s="8">
        <v>1</v>
      </c>
      <c r="U8757" s="8">
        <v>13.5</v>
      </c>
      <c r="V8757" s="8">
        <v>0.7</v>
      </c>
      <c r="W8757" s="8">
        <v>0.7</v>
      </c>
      <c r="Y8757" s="8" t="s">
        <v>38276</v>
      </c>
      <c r="Z8757" s="8" t="s">
        <v>38277</v>
      </c>
    </row>
    <row r="8758" spans="1:26" x14ac:dyDescent="0.2">
      <c r="A8758" s="8">
        <v>8757</v>
      </c>
      <c r="B8758" s="8" t="s">
        <v>38278</v>
      </c>
      <c r="C8758" s="8" t="s">
        <v>38278</v>
      </c>
      <c r="G8758" s="8">
        <v>20</v>
      </c>
      <c r="H8758" s="8" t="s">
        <v>21</v>
      </c>
      <c r="I8758" s="8" t="s">
        <v>72</v>
      </c>
      <c r="J8758" s="8" t="s">
        <v>72</v>
      </c>
      <c r="K8758" s="8" t="s">
        <v>20</v>
      </c>
      <c r="L8758" s="8" t="s">
        <v>12015</v>
      </c>
      <c r="M8758" s="8" t="s">
        <v>12016</v>
      </c>
      <c r="N8758" s="8" t="s">
        <v>38279</v>
      </c>
      <c r="O8758" s="8">
        <f>13+42/60+31.5/3600</f>
        <v>13.708749999999998</v>
      </c>
      <c r="P8758" s="8" t="s">
        <v>38280</v>
      </c>
      <c r="Q8758" s="8">
        <f>+(55+38/60+12/3600)</f>
        <v>55.636666666666663</v>
      </c>
      <c r="R8758" s="8">
        <v>99</v>
      </c>
      <c r="S8758" s="8">
        <v>99</v>
      </c>
      <c r="T8758" s="8">
        <v>99</v>
      </c>
      <c r="U8758" s="8">
        <v>99</v>
      </c>
      <c r="Y8758" s="8" t="s">
        <v>2295</v>
      </c>
      <c r="Z8758" s="8" t="s">
        <v>449</v>
      </c>
    </row>
    <row r="8759" spans="1:26" x14ac:dyDescent="0.2">
      <c r="A8759" s="8">
        <v>8758</v>
      </c>
      <c r="B8759" s="8" t="s">
        <v>38281</v>
      </c>
      <c r="C8759" s="8" t="s">
        <v>38281</v>
      </c>
      <c r="G8759" s="8">
        <v>20</v>
      </c>
      <c r="H8759" s="8" t="s">
        <v>21</v>
      </c>
      <c r="I8759" s="8" t="s">
        <v>72</v>
      </c>
      <c r="J8759" s="8" t="s">
        <v>72</v>
      </c>
      <c r="K8759" s="8" t="s">
        <v>73</v>
      </c>
      <c r="L8759" s="8" t="s">
        <v>12015</v>
      </c>
      <c r="M8759" s="8" t="s">
        <v>12016</v>
      </c>
      <c r="N8759" s="8" t="s">
        <v>38282</v>
      </c>
      <c r="O8759" s="8">
        <f>13+42/60+38.8/3600</f>
        <v>13.710777777777777</v>
      </c>
      <c r="P8759" s="8" t="s">
        <v>38283</v>
      </c>
      <c r="Q8759" s="8">
        <f>+(55+37/60+11/3600)</f>
        <v>55.619722222222222</v>
      </c>
      <c r="R8759" s="8">
        <v>99</v>
      </c>
      <c r="S8759" s="8">
        <v>99</v>
      </c>
      <c r="T8759" s="8">
        <v>99</v>
      </c>
      <c r="U8759" s="8">
        <v>99</v>
      </c>
      <c r="Y8759" s="8" t="s">
        <v>282</v>
      </c>
      <c r="Z8759" s="8" t="s">
        <v>283</v>
      </c>
    </row>
    <row r="8760" spans="1:26" x14ac:dyDescent="0.2">
      <c r="A8760" s="8">
        <v>8759</v>
      </c>
      <c r="B8760" s="8" t="s">
        <v>38284</v>
      </c>
      <c r="C8760" s="8" t="s">
        <v>38284</v>
      </c>
      <c r="G8760" s="8">
        <v>20</v>
      </c>
      <c r="H8760" s="8" t="s">
        <v>21</v>
      </c>
      <c r="I8760" s="8" t="s">
        <v>22</v>
      </c>
      <c r="J8760" s="8" t="s">
        <v>22</v>
      </c>
      <c r="K8760" s="8" t="s">
        <v>460</v>
      </c>
      <c r="L8760" s="8" t="s">
        <v>12015</v>
      </c>
      <c r="M8760" s="8" t="s">
        <v>12016</v>
      </c>
      <c r="N8760" s="8" t="s">
        <v>38285</v>
      </c>
      <c r="O8760" s="8">
        <f>13+42/60+56.5/3600</f>
        <v>13.715694444444443</v>
      </c>
      <c r="P8760" s="8" t="s">
        <v>38286</v>
      </c>
      <c r="Q8760" s="8">
        <f>+(55+36/60+12/3600)</f>
        <v>55.603333333333332</v>
      </c>
      <c r="R8760" s="8">
        <v>14.8</v>
      </c>
      <c r="S8760" s="8">
        <v>15.8</v>
      </c>
      <c r="T8760" s="8">
        <v>1</v>
      </c>
      <c r="U8760" s="8">
        <v>12.9</v>
      </c>
      <c r="V8760" s="8">
        <v>0.4</v>
      </c>
      <c r="W8760" s="8">
        <v>0.4</v>
      </c>
      <c r="Y8760" s="8" t="s">
        <v>38287</v>
      </c>
      <c r="Z8760" s="8" t="s">
        <v>38288</v>
      </c>
    </row>
    <row r="8761" spans="1:26" x14ac:dyDescent="0.2">
      <c r="A8761" s="8">
        <v>8760</v>
      </c>
      <c r="B8761" s="8" t="s">
        <v>38289</v>
      </c>
      <c r="C8761" s="8" t="s">
        <v>38289</v>
      </c>
      <c r="G8761" s="8">
        <v>20</v>
      </c>
      <c r="H8761" s="8" t="s">
        <v>21</v>
      </c>
      <c r="I8761" s="8" t="s">
        <v>22</v>
      </c>
      <c r="J8761" s="8" t="s">
        <v>22</v>
      </c>
      <c r="K8761" s="8" t="s">
        <v>460</v>
      </c>
      <c r="L8761" s="8" t="s">
        <v>17287</v>
      </c>
      <c r="M8761" s="8" t="s">
        <v>17288</v>
      </c>
      <c r="N8761" s="8" t="s">
        <v>38290</v>
      </c>
      <c r="O8761" s="8">
        <f>13+45/60+24.7/3600</f>
        <v>13.75686111111111</v>
      </c>
      <c r="P8761" s="8" t="s">
        <v>38291</v>
      </c>
      <c r="Q8761" s="8">
        <f>-(12+34/60+27/3600)</f>
        <v>-12.574166666666667</v>
      </c>
      <c r="R8761" s="8">
        <v>13.5</v>
      </c>
      <c r="S8761" s="8">
        <v>14.4</v>
      </c>
      <c r="T8761" s="8">
        <v>0.9</v>
      </c>
      <c r="U8761" s="8">
        <v>12.1</v>
      </c>
      <c r="V8761" s="8">
        <v>0.5</v>
      </c>
      <c r="W8761" s="8">
        <v>0.5</v>
      </c>
      <c r="Y8761" s="8" t="s">
        <v>38292</v>
      </c>
      <c r="Z8761" s="8" t="s">
        <v>38293</v>
      </c>
    </row>
    <row r="8762" spans="1:26" x14ac:dyDescent="0.2">
      <c r="A8762" s="8">
        <v>8761</v>
      </c>
      <c r="B8762" s="8" t="s">
        <v>38294</v>
      </c>
      <c r="C8762" s="8" t="s">
        <v>38294</v>
      </c>
      <c r="G8762" s="8">
        <v>20</v>
      </c>
      <c r="H8762" s="8" t="s">
        <v>21</v>
      </c>
      <c r="I8762" s="8" t="s">
        <v>22</v>
      </c>
      <c r="J8762" s="8" t="s">
        <v>22</v>
      </c>
      <c r="K8762" s="8" t="s">
        <v>460</v>
      </c>
      <c r="L8762" s="8" t="s">
        <v>12015</v>
      </c>
      <c r="M8762" s="8" t="s">
        <v>12016</v>
      </c>
      <c r="N8762" s="8" t="s">
        <v>38295</v>
      </c>
      <c r="O8762" s="8">
        <f>13+43/60+8.1/3600</f>
        <v>13.718916666666667</v>
      </c>
      <c r="P8762" s="8" t="s">
        <v>38296</v>
      </c>
      <c r="Q8762" s="8">
        <f>+(55+39/60+2/3600)</f>
        <v>55.650555555555556</v>
      </c>
      <c r="R8762" s="8">
        <v>15.7</v>
      </c>
      <c r="S8762" s="8">
        <v>16.7</v>
      </c>
      <c r="T8762" s="8">
        <v>1</v>
      </c>
      <c r="U8762" s="8">
        <v>12.3</v>
      </c>
      <c r="V8762" s="8">
        <v>0.2</v>
      </c>
      <c r="W8762" s="8">
        <v>0.2</v>
      </c>
      <c r="Y8762" s="8" t="s">
        <v>38297</v>
      </c>
      <c r="Z8762" s="8" t="s">
        <v>38298</v>
      </c>
    </row>
    <row r="8763" spans="1:26" x14ac:dyDescent="0.2">
      <c r="A8763" s="8">
        <v>8762</v>
      </c>
      <c r="B8763" s="8" t="s">
        <v>38299</v>
      </c>
      <c r="C8763" s="8" t="s">
        <v>38299</v>
      </c>
      <c r="G8763" s="8">
        <v>20</v>
      </c>
      <c r="H8763" s="8" t="s">
        <v>21</v>
      </c>
      <c r="I8763" s="8" t="s">
        <v>22</v>
      </c>
      <c r="J8763" s="8" t="s">
        <v>22</v>
      </c>
      <c r="K8763" s="8" t="s">
        <v>460</v>
      </c>
      <c r="L8763" s="8" t="s">
        <v>12015</v>
      </c>
      <c r="M8763" s="8" t="s">
        <v>12016</v>
      </c>
      <c r="N8763" s="8" t="s">
        <v>38300</v>
      </c>
      <c r="O8763" s="8">
        <f>13+43/60+14.4/3600</f>
        <v>13.720666666666666</v>
      </c>
      <c r="P8763" s="8" t="s">
        <v>38301</v>
      </c>
      <c r="Q8763" s="8">
        <f>+(55+36/60+10/3600)</f>
        <v>55.602777777777781</v>
      </c>
      <c r="R8763" s="8">
        <v>15.2</v>
      </c>
      <c r="S8763" s="8">
        <v>16.2</v>
      </c>
      <c r="T8763" s="8">
        <v>1</v>
      </c>
      <c r="U8763" s="8">
        <v>12.7</v>
      </c>
      <c r="V8763" s="8">
        <v>0.3</v>
      </c>
      <c r="W8763" s="8">
        <v>0.3</v>
      </c>
      <c r="Y8763" s="8" t="s">
        <v>38297</v>
      </c>
      <c r="Z8763" s="8" t="s">
        <v>38298</v>
      </c>
    </row>
    <row r="8764" spans="1:26" x14ac:dyDescent="0.2">
      <c r="A8764" s="8">
        <v>8763</v>
      </c>
      <c r="B8764" s="8" t="s">
        <v>38302</v>
      </c>
      <c r="C8764" s="8" t="s">
        <v>38302</v>
      </c>
      <c r="G8764" s="8">
        <v>20</v>
      </c>
      <c r="H8764" s="8" t="s">
        <v>21</v>
      </c>
      <c r="I8764" s="8" t="s">
        <v>22</v>
      </c>
      <c r="J8764" s="8" t="s">
        <v>22</v>
      </c>
      <c r="K8764" s="8" t="s">
        <v>37</v>
      </c>
      <c r="L8764" s="8" t="s">
        <v>12015</v>
      </c>
      <c r="M8764" s="8" t="s">
        <v>12016</v>
      </c>
      <c r="N8764" s="8" t="s">
        <v>38303</v>
      </c>
      <c r="O8764" s="8">
        <f>13+43/60+16.3/3600</f>
        <v>13.721194444444444</v>
      </c>
      <c r="P8764" s="8" t="s">
        <v>38304</v>
      </c>
      <c r="Q8764" s="8">
        <f>+(55+36/60+55/3600)</f>
        <v>55.615277777777777</v>
      </c>
      <c r="R8764" s="8">
        <v>15</v>
      </c>
      <c r="S8764" s="8">
        <v>16</v>
      </c>
      <c r="T8764" s="8">
        <v>1</v>
      </c>
      <c r="U8764" s="8">
        <v>12.4</v>
      </c>
      <c r="V8764" s="8">
        <v>0.5</v>
      </c>
      <c r="W8764" s="8">
        <v>0.2</v>
      </c>
      <c r="X8764" s="8">
        <v>105</v>
      </c>
      <c r="Y8764" s="8" t="s">
        <v>12408</v>
      </c>
      <c r="Z8764" s="8" t="s">
        <v>12409</v>
      </c>
    </row>
    <row r="8765" spans="1:26" x14ac:dyDescent="0.2">
      <c r="A8765" s="8">
        <v>8764</v>
      </c>
      <c r="B8765" s="8" t="s">
        <v>38305</v>
      </c>
      <c r="C8765" s="8" t="s">
        <v>38305</v>
      </c>
      <c r="G8765" s="8">
        <v>20</v>
      </c>
      <c r="H8765" s="8" t="s">
        <v>21</v>
      </c>
      <c r="I8765" s="8" t="s">
        <v>22</v>
      </c>
      <c r="J8765" s="8" t="s">
        <v>22</v>
      </c>
      <c r="K8765" s="8" t="s">
        <v>449</v>
      </c>
      <c r="L8765" s="8" t="s">
        <v>17287</v>
      </c>
      <c r="M8765" s="8" t="s">
        <v>17288</v>
      </c>
      <c r="N8765" s="8" t="s">
        <v>38306</v>
      </c>
      <c r="O8765" s="8">
        <f>13+45/60+37.7/3600</f>
        <v>13.760472222222223</v>
      </c>
      <c r="P8765" s="8" t="s">
        <v>38307</v>
      </c>
      <c r="Q8765" s="8">
        <f>-(12+27/60+19/3600)</f>
        <v>-12.455277777777777</v>
      </c>
      <c r="R8765" s="8">
        <v>15</v>
      </c>
      <c r="S8765" s="8">
        <v>15.8</v>
      </c>
      <c r="T8765" s="8">
        <v>0.8</v>
      </c>
      <c r="U8765" s="8">
        <v>13</v>
      </c>
      <c r="V8765" s="8">
        <v>0.6</v>
      </c>
      <c r="W8765" s="8">
        <v>0.3</v>
      </c>
      <c r="X8765" s="8">
        <v>90</v>
      </c>
      <c r="Y8765" s="8" t="s">
        <v>21</v>
      </c>
      <c r="Z8765" s="8" t="s">
        <v>38308</v>
      </c>
    </row>
    <row r="8766" spans="1:26" x14ac:dyDescent="0.2">
      <c r="A8766" s="8">
        <v>8765</v>
      </c>
      <c r="B8766" s="8" t="s">
        <v>38309</v>
      </c>
      <c r="C8766" s="8" t="s">
        <v>38309</v>
      </c>
      <c r="G8766" s="8">
        <v>20</v>
      </c>
      <c r="H8766" s="8" t="s">
        <v>21</v>
      </c>
      <c r="I8766" s="8" t="s">
        <v>22</v>
      </c>
      <c r="J8766" s="8" t="s">
        <v>22</v>
      </c>
      <c r="K8766" s="8" t="s">
        <v>818</v>
      </c>
      <c r="L8766" s="8" t="s">
        <v>12015</v>
      </c>
      <c r="M8766" s="8" t="s">
        <v>12016</v>
      </c>
      <c r="N8766" s="8" t="s">
        <v>38310</v>
      </c>
      <c r="O8766" s="8">
        <f>13+43/60+19.8/3600</f>
        <v>13.722166666666666</v>
      </c>
      <c r="P8766" s="8" t="s">
        <v>38311</v>
      </c>
      <c r="Q8766" s="8">
        <f>+(55+35/60+52/3600)</f>
        <v>55.597777777777779</v>
      </c>
      <c r="R8766" s="8">
        <v>16.5</v>
      </c>
      <c r="S8766" s="8">
        <v>17.5</v>
      </c>
      <c r="T8766" s="8">
        <v>1</v>
      </c>
      <c r="U8766" s="8">
        <v>11.6</v>
      </c>
      <c r="V8766" s="8">
        <v>0.1</v>
      </c>
      <c r="W8766" s="8">
        <v>0.1</v>
      </c>
      <c r="Y8766" s="8" t="s">
        <v>12408</v>
      </c>
      <c r="Z8766" s="8" t="s">
        <v>12409</v>
      </c>
    </row>
    <row r="8767" spans="1:26" x14ac:dyDescent="0.2">
      <c r="A8767" s="8">
        <v>8766</v>
      </c>
      <c r="B8767" s="8" t="s">
        <v>38312</v>
      </c>
      <c r="C8767" s="8" t="s">
        <v>38312</v>
      </c>
      <c r="G8767" s="8">
        <v>20</v>
      </c>
      <c r="H8767" s="8" t="s">
        <v>21</v>
      </c>
      <c r="I8767" s="8" t="s">
        <v>22</v>
      </c>
      <c r="J8767" s="8" t="s">
        <v>22</v>
      </c>
      <c r="K8767" s="8" t="s">
        <v>37</v>
      </c>
      <c r="L8767" s="8" t="s">
        <v>12015</v>
      </c>
      <c r="M8767" s="8" t="s">
        <v>12016</v>
      </c>
      <c r="N8767" s="8" t="s">
        <v>38313</v>
      </c>
      <c r="O8767" s="8">
        <f>13+43/60+39.4/3600</f>
        <v>13.727611111111111</v>
      </c>
      <c r="P8767" s="8" t="s">
        <v>38314</v>
      </c>
      <c r="Q8767" s="8">
        <f>+(55+37/60+52/3600)</f>
        <v>55.63111111111111</v>
      </c>
      <c r="R8767" s="8">
        <v>16</v>
      </c>
      <c r="S8767" s="8">
        <v>17</v>
      </c>
      <c r="T8767" s="8">
        <v>1</v>
      </c>
      <c r="U8767" s="8">
        <v>11.6</v>
      </c>
      <c r="V8767" s="8">
        <v>0.2</v>
      </c>
      <c r="W8767" s="8">
        <v>0.1</v>
      </c>
      <c r="X8767" s="8">
        <v>100</v>
      </c>
      <c r="Y8767" s="8" t="s">
        <v>38297</v>
      </c>
      <c r="Z8767" s="8" t="s">
        <v>38298</v>
      </c>
    </row>
    <row r="8768" spans="1:26" x14ac:dyDescent="0.2">
      <c r="A8768" s="8">
        <v>8767</v>
      </c>
      <c r="B8768" s="8" t="s">
        <v>38315</v>
      </c>
      <c r="C8768" s="8" t="s">
        <v>38315</v>
      </c>
      <c r="G8768" s="8">
        <v>20</v>
      </c>
      <c r="H8768" s="8" t="s">
        <v>21</v>
      </c>
      <c r="I8768" s="8" t="s">
        <v>22</v>
      </c>
      <c r="J8768" s="8" t="s">
        <v>22</v>
      </c>
      <c r="K8768" s="8" t="s">
        <v>91</v>
      </c>
      <c r="L8768" s="8" t="s">
        <v>17287</v>
      </c>
      <c r="M8768" s="8" t="s">
        <v>17288</v>
      </c>
      <c r="N8768" s="8" t="s">
        <v>38316</v>
      </c>
      <c r="O8768" s="8">
        <f>13+45/60+52.3/3600</f>
        <v>13.764527777777777</v>
      </c>
      <c r="P8768" s="8" t="s">
        <v>38317</v>
      </c>
      <c r="Q8768" s="8">
        <f>-(12+27/60+50/3600)</f>
        <v>-12.463888888888889</v>
      </c>
      <c r="R8768" s="8">
        <v>15</v>
      </c>
      <c r="S8768" s="8">
        <v>15.9</v>
      </c>
      <c r="T8768" s="8">
        <v>0.9</v>
      </c>
      <c r="U8768" s="8">
        <v>13.5</v>
      </c>
      <c r="V8768" s="8">
        <v>0.7</v>
      </c>
      <c r="W8768" s="8">
        <v>0.4</v>
      </c>
      <c r="X8768" s="8">
        <v>85</v>
      </c>
      <c r="Y8768" s="8" t="s">
        <v>21</v>
      </c>
      <c r="Z8768" s="8" t="s">
        <v>38308</v>
      </c>
    </row>
    <row r="8769" spans="1:26" x14ac:dyDescent="0.2">
      <c r="A8769" s="8">
        <v>8768</v>
      </c>
      <c r="B8769" s="8" t="s">
        <v>38318</v>
      </c>
      <c r="C8769" s="8" t="s">
        <v>38318</v>
      </c>
      <c r="G8769" s="8">
        <v>20</v>
      </c>
      <c r="H8769" s="8" t="s">
        <v>21</v>
      </c>
      <c r="I8769" s="8" t="s">
        <v>22</v>
      </c>
      <c r="J8769" s="8" t="s">
        <v>22</v>
      </c>
      <c r="K8769" s="8" t="s">
        <v>460</v>
      </c>
      <c r="L8769" s="8" t="s">
        <v>12015</v>
      </c>
      <c r="M8769" s="8" t="s">
        <v>12016</v>
      </c>
      <c r="N8769" s="8" t="s">
        <v>38319</v>
      </c>
      <c r="O8769" s="8">
        <f>13+43/60+45.2/3600</f>
        <v>13.729222222222223</v>
      </c>
      <c r="P8769" s="8" t="s">
        <v>38320</v>
      </c>
      <c r="Q8769" s="8">
        <f>+(55+38/60+1/3600)</f>
        <v>55.633611111111108</v>
      </c>
      <c r="R8769" s="8">
        <v>15</v>
      </c>
      <c r="S8769" s="8">
        <v>16</v>
      </c>
      <c r="T8769" s="8">
        <v>1</v>
      </c>
      <c r="U8769" s="8">
        <v>12.5</v>
      </c>
      <c r="V8769" s="8">
        <v>0.3</v>
      </c>
      <c r="W8769" s="8">
        <v>0.3</v>
      </c>
      <c r="Y8769" s="8" t="s">
        <v>530</v>
      </c>
      <c r="Z8769" s="8" t="s">
        <v>531</v>
      </c>
    </row>
    <row r="8770" spans="1:26" x14ac:dyDescent="0.2">
      <c r="A8770" s="8">
        <v>8769</v>
      </c>
      <c r="B8770" s="8" t="s">
        <v>38321</v>
      </c>
      <c r="C8770" s="8" t="s">
        <v>38321</v>
      </c>
      <c r="G8770" s="8">
        <v>20</v>
      </c>
      <c r="H8770" s="8" t="s">
        <v>21</v>
      </c>
      <c r="I8770" s="8" t="s">
        <v>22</v>
      </c>
      <c r="J8770" s="8" t="s">
        <v>22</v>
      </c>
      <c r="K8770" s="8" t="s">
        <v>460</v>
      </c>
      <c r="L8770" s="8" t="s">
        <v>12015</v>
      </c>
      <c r="M8770" s="8" t="s">
        <v>12016</v>
      </c>
      <c r="N8770" s="8" t="s">
        <v>38322</v>
      </c>
      <c r="O8770" s="8">
        <f>13+43/60+45.8/3600</f>
        <v>13.72938888888889</v>
      </c>
      <c r="P8770" s="8" t="s">
        <v>38323</v>
      </c>
      <c r="Q8770" s="8">
        <f>+(55+38/60+46/3600)</f>
        <v>55.646111111111111</v>
      </c>
      <c r="R8770" s="8">
        <v>15.5</v>
      </c>
      <c r="S8770" s="8">
        <v>16.5</v>
      </c>
      <c r="T8770" s="8">
        <v>1</v>
      </c>
      <c r="U8770" s="8">
        <v>12.1</v>
      </c>
      <c r="V8770" s="8">
        <v>0.2</v>
      </c>
      <c r="W8770" s="8">
        <v>0.2</v>
      </c>
      <c r="Y8770" s="8" t="s">
        <v>38297</v>
      </c>
      <c r="Z8770" s="8" t="s">
        <v>38298</v>
      </c>
    </row>
    <row r="8771" spans="1:26" x14ac:dyDescent="0.2">
      <c r="A8771" s="8">
        <v>8770</v>
      </c>
      <c r="B8771" s="8" t="s">
        <v>38324</v>
      </c>
      <c r="C8771" s="8" t="s">
        <v>38324</v>
      </c>
      <c r="G8771" s="8">
        <v>20</v>
      </c>
      <c r="H8771" s="8" t="s">
        <v>21</v>
      </c>
      <c r="I8771" s="8" t="s">
        <v>22</v>
      </c>
      <c r="J8771" s="8" t="s">
        <v>22</v>
      </c>
      <c r="K8771" s="8" t="s">
        <v>460</v>
      </c>
      <c r="L8771" s="8" t="s">
        <v>12015</v>
      </c>
      <c r="M8771" s="8" t="s">
        <v>12016</v>
      </c>
      <c r="N8771" s="8" t="s">
        <v>38325</v>
      </c>
      <c r="O8771" s="8">
        <f>13+43/60+52.5/3600</f>
        <v>13.731249999999999</v>
      </c>
      <c r="P8771" s="8" t="s">
        <v>38326</v>
      </c>
      <c r="Q8771" s="8">
        <f>+(55+39/60+22/3600)</f>
        <v>55.656111111111109</v>
      </c>
      <c r="R8771" s="8">
        <v>15.7</v>
      </c>
      <c r="S8771" s="8">
        <v>16.7</v>
      </c>
      <c r="T8771" s="8">
        <v>1</v>
      </c>
      <c r="U8771" s="8">
        <v>12.3</v>
      </c>
      <c r="V8771" s="8">
        <v>0.2</v>
      </c>
      <c r="W8771" s="8">
        <v>0.2</v>
      </c>
      <c r="Y8771" s="8" t="s">
        <v>530</v>
      </c>
      <c r="Z8771" s="8" t="s">
        <v>531</v>
      </c>
    </row>
    <row r="8772" spans="1:26" x14ac:dyDescent="0.2">
      <c r="A8772" s="8">
        <v>8771</v>
      </c>
      <c r="B8772" s="8" t="s">
        <v>38327</v>
      </c>
      <c r="C8772" s="8" t="s">
        <v>38327</v>
      </c>
      <c r="G8772" s="8">
        <v>20</v>
      </c>
      <c r="H8772" s="8" t="s">
        <v>21</v>
      </c>
      <c r="I8772" s="8" t="s">
        <v>22</v>
      </c>
      <c r="J8772" s="8" t="s">
        <v>22</v>
      </c>
      <c r="K8772" s="8" t="s">
        <v>460</v>
      </c>
      <c r="L8772" s="8" t="s">
        <v>12015</v>
      </c>
      <c r="M8772" s="8" t="s">
        <v>12016</v>
      </c>
      <c r="N8772" s="8" t="s">
        <v>38328</v>
      </c>
      <c r="O8772" s="8">
        <f>13+43/60+49.4/3600</f>
        <v>13.730388888888889</v>
      </c>
      <c r="P8772" s="8" t="s">
        <v>38329</v>
      </c>
      <c r="Q8772" s="8">
        <f>+(55+37/60+24/3600)</f>
        <v>55.623333333333335</v>
      </c>
      <c r="R8772" s="8">
        <v>15.7</v>
      </c>
      <c r="S8772" s="8">
        <v>16.7</v>
      </c>
      <c r="T8772" s="8">
        <v>1</v>
      </c>
      <c r="U8772" s="8">
        <v>12.3</v>
      </c>
      <c r="V8772" s="8">
        <v>0.2</v>
      </c>
      <c r="W8772" s="8">
        <v>0.2</v>
      </c>
      <c r="Y8772" s="8" t="s">
        <v>530</v>
      </c>
      <c r="Z8772" s="8" t="s">
        <v>531</v>
      </c>
    </row>
    <row r="8773" spans="1:26" x14ac:dyDescent="0.2">
      <c r="A8773" s="8">
        <v>8772</v>
      </c>
      <c r="B8773" s="8" t="s">
        <v>38330</v>
      </c>
      <c r="C8773" s="8" t="s">
        <v>38330</v>
      </c>
      <c r="G8773" s="8">
        <v>20</v>
      </c>
      <c r="H8773" s="8" t="s">
        <v>21</v>
      </c>
      <c r="I8773" s="8" t="s">
        <v>22</v>
      </c>
      <c r="J8773" s="8" t="s">
        <v>22</v>
      </c>
      <c r="K8773" s="8" t="s">
        <v>460</v>
      </c>
      <c r="L8773" s="8" t="s">
        <v>12015</v>
      </c>
      <c r="M8773" s="8" t="s">
        <v>12016</v>
      </c>
      <c r="N8773" s="8" t="s">
        <v>38331</v>
      </c>
      <c r="O8773" s="8">
        <f>13+43/60+51.5/3600</f>
        <v>13.730972222222222</v>
      </c>
      <c r="P8773" s="8" t="s">
        <v>38332</v>
      </c>
      <c r="Q8773" s="8">
        <f>+(55+38/60+47/3600)</f>
        <v>55.646388888888886</v>
      </c>
      <c r="R8773" s="8">
        <v>15.5</v>
      </c>
      <c r="S8773" s="8">
        <v>16.5</v>
      </c>
      <c r="T8773" s="8">
        <v>1</v>
      </c>
      <c r="U8773" s="8">
        <v>12.1</v>
      </c>
      <c r="V8773" s="8">
        <v>0.2</v>
      </c>
      <c r="W8773" s="8">
        <v>0.2</v>
      </c>
      <c r="Y8773" s="8" t="s">
        <v>38333</v>
      </c>
      <c r="Z8773" s="8" t="s">
        <v>38334</v>
      </c>
    </row>
    <row r="8774" spans="1:26" x14ac:dyDescent="0.2">
      <c r="A8774" s="8">
        <v>8773</v>
      </c>
      <c r="B8774" s="8" t="s">
        <v>38335</v>
      </c>
      <c r="C8774" s="8" t="s">
        <v>38335</v>
      </c>
      <c r="G8774" s="8">
        <v>20</v>
      </c>
      <c r="H8774" s="8" t="s">
        <v>21</v>
      </c>
      <c r="I8774" s="8" t="s">
        <v>22</v>
      </c>
      <c r="J8774" s="8" t="s">
        <v>22</v>
      </c>
      <c r="K8774" s="8" t="s">
        <v>37</v>
      </c>
      <c r="L8774" s="8" t="s">
        <v>22476</v>
      </c>
      <c r="M8774" s="8" t="s">
        <v>22477</v>
      </c>
      <c r="N8774" s="8" t="s">
        <v>38336</v>
      </c>
      <c r="O8774" s="8">
        <f>13+45/60+16.2/3600</f>
        <v>13.7545</v>
      </c>
      <c r="P8774" s="8" t="s">
        <v>38337</v>
      </c>
      <c r="Q8774" s="8">
        <f>+(23+13/60+9/3600)</f>
        <v>23.219166666666666</v>
      </c>
      <c r="R8774" s="8">
        <v>13.3</v>
      </c>
      <c r="S8774" s="8">
        <v>14.3</v>
      </c>
      <c r="T8774" s="8">
        <v>1</v>
      </c>
      <c r="U8774" s="8">
        <v>13.2</v>
      </c>
      <c r="V8774" s="8">
        <v>1.2</v>
      </c>
      <c r="W8774" s="8">
        <v>0.9</v>
      </c>
      <c r="X8774" s="8">
        <v>155</v>
      </c>
      <c r="Y8774" s="8" t="s">
        <v>38338</v>
      </c>
      <c r="Z8774" s="8" t="s">
        <v>38339</v>
      </c>
    </row>
    <row r="8775" spans="1:26" x14ac:dyDescent="0.2">
      <c r="A8775" s="8">
        <v>8774</v>
      </c>
      <c r="B8775" s="8" t="s">
        <v>38340</v>
      </c>
      <c r="C8775" s="8" t="s">
        <v>38340</v>
      </c>
      <c r="G8775" s="8">
        <v>20</v>
      </c>
      <c r="H8775" s="8" t="s">
        <v>21</v>
      </c>
      <c r="I8775" s="8" t="s">
        <v>22</v>
      </c>
      <c r="J8775" s="8" t="s">
        <v>22</v>
      </c>
      <c r="K8775" s="8" t="s">
        <v>37</v>
      </c>
      <c r="L8775" s="8" t="s">
        <v>12015</v>
      </c>
      <c r="M8775" s="8" t="s">
        <v>12016</v>
      </c>
      <c r="N8775" s="8" t="s">
        <v>38341</v>
      </c>
      <c r="O8775" s="8">
        <f>13+44/60+3.2/3600</f>
        <v>13.734222222222222</v>
      </c>
      <c r="P8775" s="8" t="s">
        <v>38342</v>
      </c>
      <c r="Q8775" s="8">
        <f>+(55+38/60+59/3600)</f>
        <v>55.649722222222223</v>
      </c>
      <c r="R8775" s="8">
        <v>15.5</v>
      </c>
      <c r="S8775" s="8">
        <v>16.5</v>
      </c>
      <c r="T8775" s="8">
        <v>1</v>
      </c>
      <c r="U8775" s="8">
        <v>11.1</v>
      </c>
      <c r="V8775" s="8">
        <v>0.2</v>
      </c>
      <c r="W8775" s="8">
        <v>0.1</v>
      </c>
      <c r="X8775" s="8">
        <v>90</v>
      </c>
      <c r="Y8775" s="8" t="s">
        <v>2181</v>
      </c>
      <c r="Z8775" s="8" t="s">
        <v>2182</v>
      </c>
    </row>
    <row r="8776" spans="1:26" x14ac:dyDescent="0.2">
      <c r="A8776" s="8">
        <v>8775</v>
      </c>
      <c r="B8776" s="8" t="s">
        <v>38343</v>
      </c>
      <c r="C8776" s="8" t="s">
        <v>38343</v>
      </c>
      <c r="G8776" s="8">
        <v>20</v>
      </c>
      <c r="H8776" s="8" t="s">
        <v>21</v>
      </c>
      <c r="I8776" s="8" t="s">
        <v>72</v>
      </c>
      <c r="J8776" s="8" t="s">
        <v>72</v>
      </c>
      <c r="K8776" s="8" t="s">
        <v>20</v>
      </c>
      <c r="L8776" s="8" t="s">
        <v>12015</v>
      </c>
      <c r="M8776" s="8" t="s">
        <v>12016</v>
      </c>
      <c r="N8776" s="8" t="s">
        <v>38344</v>
      </c>
      <c r="O8776" s="8">
        <f>13+44/60+5.4/3600</f>
        <v>13.734833333333333</v>
      </c>
      <c r="P8776" s="8" t="s">
        <v>38304</v>
      </c>
      <c r="Q8776" s="8">
        <f>+(55+36/60+55/3600)</f>
        <v>55.615277777777777</v>
      </c>
      <c r="R8776" s="8">
        <v>99</v>
      </c>
      <c r="S8776" s="8">
        <v>13.9</v>
      </c>
      <c r="T8776" s="8">
        <v>99</v>
      </c>
      <c r="U8776" s="8">
        <v>99</v>
      </c>
      <c r="Y8776" s="8" t="s">
        <v>530</v>
      </c>
      <c r="Z8776" s="8" t="s">
        <v>531</v>
      </c>
    </row>
    <row r="8777" spans="1:26" x14ac:dyDescent="0.2">
      <c r="A8777" s="8">
        <v>8776</v>
      </c>
      <c r="B8777" s="8" t="s">
        <v>38345</v>
      </c>
      <c r="C8777" s="8" t="s">
        <v>38345</v>
      </c>
      <c r="G8777" s="8">
        <v>20</v>
      </c>
      <c r="H8777" s="8" t="s">
        <v>21</v>
      </c>
      <c r="I8777" s="8" t="s">
        <v>22</v>
      </c>
      <c r="J8777" s="8" t="s">
        <v>57</v>
      </c>
      <c r="K8777" s="8" t="s">
        <v>37</v>
      </c>
      <c r="L8777" s="8" t="s">
        <v>12015</v>
      </c>
      <c r="M8777" s="8" t="s">
        <v>12016</v>
      </c>
      <c r="N8777" s="8" t="s">
        <v>38341</v>
      </c>
      <c r="O8777" s="8">
        <f>13+44/60+3.2/3600</f>
        <v>13.734222222222222</v>
      </c>
      <c r="P8777" s="8" t="s">
        <v>38342</v>
      </c>
      <c r="Q8777" s="8">
        <f>+(55+38/60+59/3600)</f>
        <v>55.649722222222223</v>
      </c>
      <c r="R8777" s="8">
        <v>15.5</v>
      </c>
      <c r="S8777" s="8">
        <v>16.5</v>
      </c>
      <c r="T8777" s="8">
        <v>1</v>
      </c>
      <c r="U8777" s="8">
        <v>11.1</v>
      </c>
      <c r="V8777" s="8">
        <v>0.2</v>
      </c>
      <c r="W8777" s="8">
        <v>0.1</v>
      </c>
      <c r="X8777" s="8">
        <v>90</v>
      </c>
      <c r="Y8777" s="8" t="s">
        <v>2181</v>
      </c>
      <c r="Z8777" s="8" t="s">
        <v>2182</v>
      </c>
    </row>
    <row r="8778" spans="1:26" x14ac:dyDescent="0.2">
      <c r="A8778" s="8">
        <v>8777</v>
      </c>
      <c r="B8778" s="8" t="s">
        <v>38346</v>
      </c>
      <c r="C8778" s="8" t="s">
        <v>38346</v>
      </c>
      <c r="G8778" s="8">
        <v>20</v>
      </c>
      <c r="H8778" s="8" t="s">
        <v>21</v>
      </c>
      <c r="I8778" s="8" t="s">
        <v>22</v>
      </c>
      <c r="J8778" s="8" t="s">
        <v>22</v>
      </c>
      <c r="K8778" s="8" t="s">
        <v>460</v>
      </c>
      <c r="L8778" s="8" t="s">
        <v>12015</v>
      </c>
      <c r="M8778" s="8" t="s">
        <v>12016</v>
      </c>
      <c r="N8778" s="8" t="s">
        <v>38347</v>
      </c>
      <c r="O8778" s="8">
        <f>13+44/60+29.1/3600</f>
        <v>13.741416666666666</v>
      </c>
      <c r="P8778" s="8" t="s">
        <v>38348</v>
      </c>
      <c r="Q8778" s="8">
        <f>+(55+37/60+46/3600)</f>
        <v>55.629444444444445</v>
      </c>
      <c r="R8778" s="8">
        <v>15.5</v>
      </c>
      <c r="S8778" s="8">
        <v>16.5</v>
      </c>
      <c r="T8778" s="8">
        <v>1</v>
      </c>
      <c r="U8778" s="8">
        <v>12.1</v>
      </c>
      <c r="V8778" s="8">
        <v>0.2</v>
      </c>
      <c r="W8778" s="8">
        <v>0.2</v>
      </c>
      <c r="Y8778" s="8" t="s">
        <v>12408</v>
      </c>
      <c r="Z8778" s="8" t="s">
        <v>12409</v>
      </c>
    </row>
    <row r="8779" spans="1:26" x14ac:dyDescent="0.2">
      <c r="A8779" s="8">
        <v>8778</v>
      </c>
      <c r="B8779" s="8" t="s">
        <v>38349</v>
      </c>
      <c r="C8779" s="8" t="s">
        <v>38349</v>
      </c>
      <c r="G8779" s="8">
        <v>20</v>
      </c>
      <c r="H8779" s="8" t="s">
        <v>21</v>
      </c>
      <c r="I8779" s="8" t="s">
        <v>22</v>
      </c>
      <c r="J8779" s="8" t="s">
        <v>22</v>
      </c>
      <c r="K8779" s="8" t="s">
        <v>449</v>
      </c>
      <c r="L8779" s="8" t="s">
        <v>12015</v>
      </c>
      <c r="M8779" s="8" t="s">
        <v>12016</v>
      </c>
      <c r="N8779" s="8" t="s">
        <v>38350</v>
      </c>
      <c r="O8779" s="8">
        <f>13+44/60+31.4/3600</f>
        <v>13.742055555555554</v>
      </c>
      <c r="P8779" s="8" t="s">
        <v>38351</v>
      </c>
      <c r="Q8779" s="8">
        <f>+(55+37/60+37/3600)</f>
        <v>55.626944444444447</v>
      </c>
      <c r="R8779" s="8">
        <v>15.2</v>
      </c>
      <c r="S8779" s="8">
        <v>16</v>
      </c>
      <c r="T8779" s="8">
        <v>0.8</v>
      </c>
      <c r="U8779" s="8">
        <v>12.3</v>
      </c>
      <c r="V8779" s="8">
        <v>0.4</v>
      </c>
      <c r="W8779" s="8">
        <v>0.2</v>
      </c>
      <c r="X8779" s="8">
        <v>160</v>
      </c>
      <c r="Y8779" s="8" t="s">
        <v>12408</v>
      </c>
      <c r="Z8779" s="8" t="s">
        <v>12409</v>
      </c>
    </row>
    <row r="8780" spans="1:26" x14ac:dyDescent="0.2">
      <c r="A8780" s="8">
        <v>8779</v>
      </c>
      <c r="B8780" s="8" t="s">
        <v>38352</v>
      </c>
      <c r="C8780" s="8" t="s">
        <v>38352</v>
      </c>
      <c r="G8780" s="8">
        <v>20</v>
      </c>
      <c r="H8780" s="8" t="s">
        <v>21</v>
      </c>
      <c r="I8780" s="8" t="s">
        <v>22</v>
      </c>
      <c r="J8780" s="8" t="s">
        <v>22</v>
      </c>
      <c r="K8780" s="8" t="s">
        <v>449</v>
      </c>
      <c r="L8780" s="8" t="s">
        <v>17287</v>
      </c>
      <c r="M8780" s="8" t="s">
        <v>17288</v>
      </c>
      <c r="N8780" s="8" t="s">
        <v>38353</v>
      </c>
      <c r="O8780" s="8">
        <f>13+47/60+43/3600</f>
        <v>13.795277777777777</v>
      </c>
      <c r="P8780" s="8" t="s">
        <v>38354</v>
      </c>
      <c r="Q8780" s="8">
        <f>+(3+24/60+43/3600)</f>
        <v>3.4119444444444444</v>
      </c>
      <c r="R8780" s="8">
        <v>13.8</v>
      </c>
      <c r="S8780" s="8">
        <v>14.6</v>
      </c>
      <c r="T8780" s="8">
        <v>0.8</v>
      </c>
      <c r="U8780" s="8">
        <v>13.4</v>
      </c>
      <c r="V8780" s="8">
        <v>0.9</v>
      </c>
      <c r="W8780" s="8">
        <v>0.9</v>
      </c>
      <c r="Y8780" s="8" t="s">
        <v>29966</v>
      </c>
      <c r="Z8780" s="8" t="s">
        <v>29967</v>
      </c>
    </row>
    <row r="8781" spans="1:26" x14ac:dyDescent="0.2">
      <c r="A8781" s="8">
        <v>8780</v>
      </c>
      <c r="B8781" s="8" t="s">
        <v>38355</v>
      </c>
      <c r="C8781" s="8" t="s">
        <v>38355</v>
      </c>
      <c r="G8781" s="8">
        <v>20</v>
      </c>
      <c r="H8781" s="8" t="s">
        <v>21</v>
      </c>
      <c r="I8781" s="8" t="s">
        <v>22</v>
      </c>
      <c r="J8781" s="8" t="s">
        <v>22</v>
      </c>
      <c r="K8781" s="8" t="s">
        <v>449</v>
      </c>
      <c r="L8781" s="8" t="s">
        <v>17287</v>
      </c>
      <c r="M8781" s="8" t="s">
        <v>17288</v>
      </c>
      <c r="N8781" s="8" t="s">
        <v>38356</v>
      </c>
      <c r="O8781" s="8">
        <f>13+47/60+57.9/3600</f>
        <v>13.799416666666666</v>
      </c>
      <c r="P8781" s="8" t="s">
        <v>38357</v>
      </c>
      <c r="Q8781" s="8">
        <f>+(3+27/60+1/3600)</f>
        <v>3.450277777777778</v>
      </c>
      <c r="R8781" s="8">
        <v>14.1</v>
      </c>
      <c r="S8781" s="8">
        <v>14.9</v>
      </c>
      <c r="T8781" s="8">
        <v>0.8</v>
      </c>
      <c r="U8781" s="8">
        <v>12.3</v>
      </c>
      <c r="V8781" s="8">
        <v>0.7</v>
      </c>
      <c r="W8781" s="8">
        <v>0.3</v>
      </c>
      <c r="X8781" s="8">
        <v>125</v>
      </c>
      <c r="Y8781" s="8" t="s">
        <v>35151</v>
      </c>
      <c r="Z8781" s="8" t="s">
        <v>35152</v>
      </c>
    </row>
    <row r="8782" spans="1:26" x14ac:dyDescent="0.2">
      <c r="A8782" s="8">
        <v>8781</v>
      </c>
      <c r="B8782" s="8" t="s">
        <v>38358</v>
      </c>
      <c r="C8782" s="8" t="s">
        <v>38358</v>
      </c>
      <c r="G8782" s="8">
        <v>20</v>
      </c>
      <c r="H8782" s="8" t="s">
        <v>21</v>
      </c>
      <c r="I8782" s="8" t="s">
        <v>22</v>
      </c>
      <c r="J8782" s="8" t="s">
        <v>22</v>
      </c>
      <c r="K8782" s="8" t="s">
        <v>449</v>
      </c>
      <c r="L8782" s="8" t="s">
        <v>22476</v>
      </c>
      <c r="M8782" s="8" t="s">
        <v>22477</v>
      </c>
      <c r="N8782" s="8" t="s">
        <v>38359</v>
      </c>
      <c r="O8782" s="8">
        <f>13+48/60+35.6/3600</f>
        <v>13.80988888888889</v>
      </c>
      <c r="P8782" s="8" t="s">
        <v>38360</v>
      </c>
      <c r="Q8782" s="8">
        <f>+(24+0/60+56/3600)</f>
        <v>24.015555555555554</v>
      </c>
      <c r="R8782" s="8">
        <v>14.4</v>
      </c>
      <c r="S8782" s="8">
        <v>15.2</v>
      </c>
      <c r="T8782" s="8">
        <v>0.8</v>
      </c>
      <c r="U8782" s="8">
        <v>12.9</v>
      </c>
      <c r="V8782" s="8">
        <v>0.7</v>
      </c>
      <c r="W8782" s="8">
        <v>0.4</v>
      </c>
      <c r="X8782" s="8">
        <v>120</v>
      </c>
      <c r="Y8782" s="8" t="s">
        <v>38361</v>
      </c>
      <c r="Z8782" s="8" t="s">
        <v>38362</v>
      </c>
    </row>
    <row r="8783" spans="1:26" x14ac:dyDescent="0.2">
      <c r="A8783" s="8">
        <v>8782</v>
      </c>
      <c r="B8783" s="8" t="s">
        <v>38363</v>
      </c>
      <c r="C8783" s="8" t="s">
        <v>38363</v>
      </c>
      <c r="G8783" s="8">
        <v>20</v>
      </c>
      <c r="H8783" s="8" t="s">
        <v>21</v>
      </c>
      <c r="I8783" s="8" t="s">
        <v>22</v>
      </c>
      <c r="J8783" s="8" t="s">
        <v>22</v>
      </c>
      <c r="K8783" s="8" t="s">
        <v>58</v>
      </c>
      <c r="L8783" s="8" t="s">
        <v>12015</v>
      </c>
      <c r="M8783" s="8" t="s">
        <v>12016</v>
      </c>
      <c r="N8783" s="8" t="s">
        <v>38364</v>
      </c>
      <c r="O8783" s="8">
        <f>13+47/60+41.1/3600</f>
        <v>13.794750000000001</v>
      </c>
      <c r="P8783" s="8" t="s">
        <v>38365</v>
      </c>
      <c r="Q8783" s="8">
        <f>+(56+37/60+19/3600)</f>
        <v>56.621944444444445</v>
      </c>
      <c r="R8783" s="8">
        <v>14.1</v>
      </c>
      <c r="S8783" s="8">
        <v>15.1</v>
      </c>
      <c r="T8783" s="8">
        <v>1</v>
      </c>
      <c r="U8783" s="8">
        <v>13.1</v>
      </c>
      <c r="V8783" s="8">
        <v>0.7</v>
      </c>
      <c r="W8783" s="8">
        <v>0.5</v>
      </c>
      <c r="Y8783" s="8" t="s">
        <v>4170</v>
      </c>
      <c r="Z8783" s="8" t="s">
        <v>4171</v>
      </c>
    </row>
    <row r="8784" spans="1:26" x14ac:dyDescent="0.2">
      <c r="A8784" s="8">
        <v>8783</v>
      </c>
      <c r="B8784" s="8" t="s">
        <v>38366</v>
      </c>
      <c r="C8784" s="8" t="s">
        <v>38366</v>
      </c>
      <c r="G8784" s="8">
        <v>20</v>
      </c>
      <c r="H8784" s="8" t="s">
        <v>21</v>
      </c>
      <c r="I8784" s="8" t="s">
        <v>22</v>
      </c>
      <c r="J8784" s="8" t="s">
        <v>22</v>
      </c>
      <c r="K8784" s="8" t="s">
        <v>476</v>
      </c>
      <c r="L8784" s="8" t="s">
        <v>17287</v>
      </c>
      <c r="M8784" s="8" t="s">
        <v>17288</v>
      </c>
      <c r="N8784" s="8" t="s">
        <v>38367</v>
      </c>
      <c r="O8784" s="8">
        <f>13+50/60+32/3600</f>
        <v>13.842222222222222</v>
      </c>
      <c r="P8784" s="8" t="s">
        <v>38368</v>
      </c>
      <c r="Q8784" s="8">
        <f>+(3+11/60+39/3600)</f>
        <v>3.1941666666666664</v>
      </c>
      <c r="R8784" s="8">
        <v>14</v>
      </c>
      <c r="S8784" s="8">
        <v>14.9</v>
      </c>
      <c r="T8784" s="8">
        <v>0.9</v>
      </c>
      <c r="U8784" s="8">
        <v>13.1</v>
      </c>
      <c r="V8784" s="8">
        <v>0.7</v>
      </c>
      <c r="W8784" s="8">
        <v>0.7</v>
      </c>
      <c r="Y8784" s="8" t="s">
        <v>38369</v>
      </c>
      <c r="Z8784" s="8" t="s">
        <v>38370</v>
      </c>
    </row>
    <row r="8785" spans="1:26" x14ac:dyDescent="0.2">
      <c r="A8785" s="8">
        <v>8784</v>
      </c>
      <c r="B8785" s="8" t="s">
        <v>38371</v>
      </c>
      <c r="C8785" s="8" t="s">
        <v>38371</v>
      </c>
      <c r="G8785" s="8">
        <v>20</v>
      </c>
      <c r="H8785" s="8" t="s">
        <v>21</v>
      </c>
      <c r="I8785" s="8" t="s">
        <v>22</v>
      </c>
      <c r="J8785" s="8" t="s">
        <v>22</v>
      </c>
      <c r="K8785" s="8" t="s">
        <v>91</v>
      </c>
      <c r="L8785" s="8" t="s">
        <v>22476</v>
      </c>
      <c r="M8785" s="8" t="s">
        <v>22477</v>
      </c>
      <c r="N8785" s="8" t="s">
        <v>38372</v>
      </c>
      <c r="O8785" s="8">
        <f>13+51/60+30.8/3600</f>
        <v>13.858555555555554</v>
      </c>
      <c r="P8785" s="8" t="s">
        <v>38373</v>
      </c>
      <c r="Q8785" s="8">
        <f>+(14+5/60+30/3600)</f>
        <v>14.091666666666667</v>
      </c>
      <c r="R8785" s="8">
        <v>13.4</v>
      </c>
      <c r="S8785" s="8">
        <v>14.3</v>
      </c>
      <c r="T8785" s="8">
        <v>0.9</v>
      </c>
      <c r="U8785" s="8">
        <v>13</v>
      </c>
      <c r="V8785" s="8">
        <v>1.6</v>
      </c>
      <c r="W8785" s="8">
        <v>0.5</v>
      </c>
      <c r="X8785" s="8">
        <v>108</v>
      </c>
      <c r="Y8785" s="8" t="s">
        <v>38374</v>
      </c>
      <c r="Z8785" s="8" t="s">
        <v>38375</v>
      </c>
    </row>
    <row r="8786" spans="1:26" x14ac:dyDescent="0.2">
      <c r="A8786" s="8">
        <v>8785</v>
      </c>
      <c r="B8786" s="8" t="s">
        <v>38376</v>
      </c>
      <c r="C8786" s="8" t="s">
        <v>38376</v>
      </c>
      <c r="G8786" s="8">
        <v>20</v>
      </c>
      <c r="H8786" s="8" t="s">
        <v>21</v>
      </c>
      <c r="I8786" s="8" t="s">
        <v>22</v>
      </c>
      <c r="J8786" s="8" t="s">
        <v>22</v>
      </c>
      <c r="K8786" s="8" t="s">
        <v>23</v>
      </c>
      <c r="L8786" s="8" t="s">
        <v>14586</v>
      </c>
      <c r="M8786" s="8" t="s">
        <v>14587</v>
      </c>
      <c r="N8786" s="8" t="s">
        <v>38377</v>
      </c>
      <c r="O8786" s="8">
        <f>13+47/60+7.5/3600</f>
        <v>13.785416666666666</v>
      </c>
      <c r="P8786" s="8" t="s">
        <v>38378</v>
      </c>
      <c r="Q8786" s="8">
        <f>+(72+4/60+12/3600)</f>
        <v>72.069999999999993</v>
      </c>
      <c r="R8786" s="8">
        <v>14.2</v>
      </c>
      <c r="S8786" s="8">
        <v>15</v>
      </c>
      <c r="T8786" s="8">
        <v>0.8</v>
      </c>
      <c r="U8786" s="8">
        <v>13.5</v>
      </c>
      <c r="V8786" s="8">
        <v>0.9</v>
      </c>
      <c r="W8786" s="8">
        <v>0.7</v>
      </c>
      <c r="X8786" s="8">
        <v>126</v>
      </c>
      <c r="Y8786" s="8" t="s">
        <v>30123</v>
      </c>
      <c r="Z8786" s="8" t="s">
        <v>30124</v>
      </c>
    </row>
    <row r="8787" spans="1:26" x14ac:dyDescent="0.2">
      <c r="A8787" s="8">
        <v>8786</v>
      </c>
      <c r="B8787" s="8" t="s">
        <v>38379</v>
      </c>
      <c r="C8787" s="8" t="s">
        <v>38379</v>
      </c>
      <c r="G8787" s="8">
        <v>20</v>
      </c>
      <c r="H8787" s="8" t="s">
        <v>21</v>
      </c>
      <c r="I8787" s="8" t="s">
        <v>22</v>
      </c>
      <c r="J8787" s="8" t="s">
        <v>22</v>
      </c>
      <c r="K8787" s="8" t="s">
        <v>91</v>
      </c>
      <c r="L8787" s="8" t="s">
        <v>22476</v>
      </c>
      <c r="M8787" s="8" t="s">
        <v>22477</v>
      </c>
      <c r="N8787" s="8" t="s">
        <v>38380</v>
      </c>
      <c r="O8787" s="8">
        <f>13+52/60+8.2/3600</f>
        <v>13.868944444444445</v>
      </c>
      <c r="P8787" s="8" t="s">
        <v>38381</v>
      </c>
      <c r="Q8787" s="8">
        <f>+(14+6/60+59/3600)</f>
        <v>14.116388888888888</v>
      </c>
      <c r="R8787" s="8">
        <v>13.4</v>
      </c>
      <c r="S8787" s="8">
        <v>14.3</v>
      </c>
      <c r="T8787" s="8">
        <v>0.9</v>
      </c>
      <c r="U8787" s="8">
        <v>12.5</v>
      </c>
      <c r="V8787" s="8">
        <v>0.9</v>
      </c>
      <c r="W8787" s="8">
        <v>0.8</v>
      </c>
      <c r="X8787" s="8">
        <v>110</v>
      </c>
      <c r="Y8787" s="8" t="s">
        <v>38382</v>
      </c>
      <c r="Z8787" s="8" t="s">
        <v>38383</v>
      </c>
    </row>
    <row r="8788" spans="1:26" x14ac:dyDescent="0.2">
      <c r="A8788" s="8">
        <v>8787</v>
      </c>
      <c r="B8788" s="8" t="s">
        <v>38384</v>
      </c>
      <c r="C8788" s="8" t="s">
        <v>38384</v>
      </c>
      <c r="G8788" s="8">
        <v>20</v>
      </c>
      <c r="H8788" s="8" t="s">
        <v>21</v>
      </c>
      <c r="I8788" s="8" t="s">
        <v>22</v>
      </c>
      <c r="J8788" s="8" t="s">
        <v>22</v>
      </c>
      <c r="K8788" s="8" t="s">
        <v>58</v>
      </c>
      <c r="L8788" s="8" t="s">
        <v>17287</v>
      </c>
      <c r="M8788" s="8" t="s">
        <v>17288</v>
      </c>
      <c r="N8788" s="8" t="s">
        <v>38385</v>
      </c>
      <c r="O8788" s="8">
        <f>13+52/60+35.8/3600</f>
        <v>13.876611111111112</v>
      </c>
      <c r="P8788" s="8" t="s">
        <v>38386</v>
      </c>
      <c r="Q8788" s="8">
        <f>+(0+49/60+5/3600)</f>
        <v>0.81805555555555554</v>
      </c>
      <c r="R8788" s="8">
        <v>12.6</v>
      </c>
      <c r="S8788" s="8">
        <v>13.6</v>
      </c>
      <c r="T8788" s="8">
        <v>1</v>
      </c>
      <c r="U8788" s="8">
        <v>12.8</v>
      </c>
      <c r="V8788" s="8">
        <v>1.7</v>
      </c>
      <c r="W8788" s="8">
        <v>1.1000000000000001</v>
      </c>
      <c r="X8788" s="8">
        <v>60</v>
      </c>
      <c r="Y8788" s="8" t="s">
        <v>21</v>
      </c>
      <c r="Z8788" s="8" t="s">
        <v>38387</v>
      </c>
    </row>
    <row r="8789" spans="1:26" x14ac:dyDescent="0.2">
      <c r="A8789" s="8">
        <v>8788</v>
      </c>
      <c r="B8789" s="8" t="s">
        <v>38388</v>
      </c>
      <c r="C8789" s="8" t="s">
        <v>38388</v>
      </c>
      <c r="G8789" s="8">
        <v>20</v>
      </c>
      <c r="H8789" s="8" t="s">
        <v>21</v>
      </c>
      <c r="I8789" s="8" t="s">
        <v>22</v>
      </c>
      <c r="J8789" s="8" t="s">
        <v>22</v>
      </c>
      <c r="K8789" s="8" t="s">
        <v>1068</v>
      </c>
      <c r="L8789" s="8" t="s">
        <v>22476</v>
      </c>
      <c r="M8789" s="8" t="s">
        <v>22477</v>
      </c>
      <c r="N8789" s="8" t="s">
        <v>38389</v>
      </c>
      <c r="O8789" s="8">
        <f>13+52/60+26.6/3600</f>
        <v>13.874055555555556</v>
      </c>
      <c r="P8789" s="8" t="s">
        <v>38390</v>
      </c>
      <c r="Q8789" s="8">
        <f>+(14+5/60+28/3600)</f>
        <v>14.091111111111111</v>
      </c>
      <c r="R8789" s="8">
        <v>13.2</v>
      </c>
      <c r="S8789" s="8">
        <v>14.2</v>
      </c>
      <c r="T8789" s="8">
        <v>1</v>
      </c>
      <c r="U8789" s="8">
        <v>13.2</v>
      </c>
      <c r="V8789" s="8">
        <v>1.3</v>
      </c>
      <c r="W8789" s="8">
        <v>0.7</v>
      </c>
      <c r="X8789" s="8">
        <v>152</v>
      </c>
      <c r="Y8789" s="8" t="s">
        <v>227</v>
      </c>
      <c r="Z8789" s="8" t="s">
        <v>228</v>
      </c>
    </row>
    <row r="8790" spans="1:26" x14ac:dyDescent="0.2">
      <c r="A8790" s="8">
        <v>8789</v>
      </c>
      <c r="B8790" s="8" t="s">
        <v>38391</v>
      </c>
      <c r="C8790" s="8" t="s">
        <v>38391</v>
      </c>
      <c r="G8790" s="8">
        <v>20</v>
      </c>
      <c r="H8790" s="8" t="s">
        <v>21</v>
      </c>
      <c r="I8790" s="8" t="s">
        <v>22</v>
      </c>
      <c r="J8790" s="8" t="s">
        <v>22</v>
      </c>
      <c r="K8790" s="8" t="s">
        <v>3523</v>
      </c>
      <c r="L8790" s="8" t="s">
        <v>22476</v>
      </c>
      <c r="M8790" s="8" t="s">
        <v>22477</v>
      </c>
      <c r="N8790" s="8" t="s">
        <v>38392</v>
      </c>
      <c r="O8790" s="8">
        <f>13+52/60+16.7/3600</f>
        <v>13.871305555555557</v>
      </c>
      <c r="P8790" s="8" t="s">
        <v>38393</v>
      </c>
      <c r="Q8790" s="8">
        <f>+(22+31/60+19/3600)</f>
        <v>22.521944444444443</v>
      </c>
      <c r="R8790" s="8">
        <v>14.7</v>
      </c>
      <c r="S8790" s="8">
        <v>15.3</v>
      </c>
      <c r="T8790" s="8">
        <v>0.6</v>
      </c>
      <c r="U8790" s="8">
        <v>13.7</v>
      </c>
      <c r="V8790" s="8">
        <v>1.1000000000000001</v>
      </c>
      <c r="W8790" s="8">
        <v>0.4</v>
      </c>
      <c r="X8790" s="8">
        <v>140</v>
      </c>
      <c r="Y8790" s="8" t="s">
        <v>1088</v>
      </c>
      <c r="Z8790" s="8" t="s">
        <v>1089</v>
      </c>
    </row>
    <row r="8791" spans="1:26" x14ac:dyDescent="0.2">
      <c r="A8791" s="8">
        <v>8790</v>
      </c>
      <c r="B8791" s="8" t="s">
        <v>38394</v>
      </c>
      <c r="C8791" s="8" t="s">
        <v>38394</v>
      </c>
      <c r="E8791" s="8">
        <v>1</v>
      </c>
      <c r="G8791" s="8">
        <v>20</v>
      </c>
      <c r="H8791" s="8" t="s">
        <v>21</v>
      </c>
      <c r="I8791" s="8" t="s">
        <v>22</v>
      </c>
      <c r="J8791" s="8" t="s">
        <v>22</v>
      </c>
      <c r="K8791" s="8" t="s">
        <v>449</v>
      </c>
      <c r="L8791" s="8" t="s">
        <v>22476</v>
      </c>
      <c r="M8791" s="8" t="s">
        <v>22477</v>
      </c>
      <c r="N8791" s="8" t="s">
        <v>38389</v>
      </c>
      <c r="O8791" s="8">
        <f>13+52/60+26.6/3600</f>
        <v>13.874055555555556</v>
      </c>
      <c r="P8791" s="8" t="s">
        <v>38395</v>
      </c>
      <c r="Q8791" s="8">
        <f>+(14+29/60+30/3600)</f>
        <v>14.491666666666665</v>
      </c>
      <c r="R8791" s="8">
        <v>14.3</v>
      </c>
      <c r="S8791" s="8">
        <v>15.1</v>
      </c>
      <c r="T8791" s="8">
        <v>0.8</v>
      </c>
      <c r="U8791" s="8">
        <v>14</v>
      </c>
      <c r="V8791" s="8">
        <v>1.2</v>
      </c>
      <c r="W8791" s="8">
        <v>0.7</v>
      </c>
      <c r="X8791" s="8">
        <v>45</v>
      </c>
      <c r="Y8791" s="8" t="s">
        <v>35077</v>
      </c>
      <c r="Z8791" s="8" t="s">
        <v>35078</v>
      </c>
    </row>
    <row r="8792" spans="1:26" x14ac:dyDescent="0.2">
      <c r="A8792" s="8">
        <v>8791</v>
      </c>
      <c r="B8792" s="8" t="s">
        <v>38396</v>
      </c>
      <c r="C8792" s="8" t="s">
        <v>38396</v>
      </c>
      <c r="G8792" s="8">
        <v>20</v>
      </c>
      <c r="H8792" s="8" t="s">
        <v>21</v>
      </c>
      <c r="I8792" s="8" t="s">
        <v>22</v>
      </c>
      <c r="J8792" s="8" t="s">
        <v>22</v>
      </c>
      <c r="K8792" s="8" t="s">
        <v>1277</v>
      </c>
      <c r="L8792" s="8" t="s">
        <v>12015</v>
      </c>
      <c r="M8792" s="8" t="s">
        <v>12016</v>
      </c>
      <c r="N8792" s="8" t="s">
        <v>38397</v>
      </c>
      <c r="O8792" s="8">
        <f>13+51/60+47.2/3600</f>
        <v>13.863111111111111</v>
      </c>
      <c r="P8792" s="8" t="s">
        <v>38398</v>
      </c>
      <c r="Q8792" s="8">
        <f>+(50+58/60+40/3600)</f>
        <v>50.977777777777781</v>
      </c>
      <c r="R8792" s="8">
        <v>13.6</v>
      </c>
      <c r="S8792" s="8">
        <v>14.3</v>
      </c>
      <c r="T8792" s="8">
        <v>0.7</v>
      </c>
      <c r="U8792" s="8">
        <v>13.8</v>
      </c>
      <c r="V8792" s="8">
        <v>1.2</v>
      </c>
      <c r="W8792" s="8">
        <v>1.2</v>
      </c>
      <c r="Y8792" s="8" t="s">
        <v>21</v>
      </c>
      <c r="Z8792" s="8" t="s">
        <v>38399</v>
      </c>
    </row>
    <row r="8793" spans="1:26" x14ac:dyDescent="0.2">
      <c r="A8793" s="8">
        <v>8792</v>
      </c>
      <c r="B8793" s="8" t="s">
        <v>38400</v>
      </c>
      <c r="C8793" s="8" t="s">
        <v>38400</v>
      </c>
      <c r="G8793" s="8">
        <v>20</v>
      </c>
      <c r="H8793" s="8" t="s">
        <v>21</v>
      </c>
      <c r="I8793" s="8" t="s">
        <v>22</v>
      </c>
      <c r="J8793" s="8" t="s">
        <v>22</v>
      </c>
      <c r="K8793" s="8" t="s">
        <v>85</v>
      </c>
      <c r="L8793" s="8" t="s">
        <v>17287</v>
      </c>
      <c r="M8793" s="8" t="s">
        <v>17288</v>
      </c>
      <c r="N8793" s="8" t="s">
        <v>38401</v>
      </c>
      <c r="O8793" s="8">
        <f>13+53/60+41.9/3600</f>
        <v>13.894972222222222</v>
      </c>
      <c r="P8793" s="8" t="s">
        <v>38402</v>
      </c>
      <c r="Q8793" s="8">
        <f>+(3+22/60+39/3600)</f>
        <v>3.3774999999999999</v>
      </c>
      <c r="R8793" s="8">
        <v>14</v>
      </c>
      <c r="S8793" s="8">
        <v>14.8</v>
      </c>
      <c r="T8793" s="8">
        <v>0.8</v>
      </c>
      <c r="U8793" s="8">
        <v>13.1</v>
      </c>
      <c r="V8793" s="8">
        <v>1.3</v>
      </c>
      <c r="W8793" s="8">
        <v>0.4</v>
      </c>
      <c r="X8793" s="8">
        <v>93</v>
      </c>
      <c r="Y8793" s="8" t="s">
        <v>38403</v>
      </c>
      <c r="Z8793" s="8" t="s">
        <v>38404</v>
      </c>
    </row>
    <row r="8794" spans="1:26" x14ac:dyDescent="0.2">
      <c r="A8794" s="8">
        <v>8793</v>
      </c>
      <c r="B8794" s="8" t="s">
        <v>38405</v>
      </c>
      <c r="C8794" s="8" t="s">
        <v>38405</v>
      </c>
      <c r="G8794" s="8">
        <v>20</v>
      </c>
      <c r="H8794" s="8" t="s">
        <v>21</v>
      </c>
      <c r="I8794" s="8" t="s">
        <v>72</v>
      </c>
      <c r="J8794" s="8" t="s">
        <v>72</v>
      </c>
      <c r="K8794" s="8" t="s">
        <v>20</v>
      </c>
      <c r="L8794" s="8" t="s">
        <v>16195</v>
      </c>
      <c r="M8794" s="8" t="s">
        <v>16196</v>
      </c>
      <c r="N8794" s="8" t="s">
        <v>38406</v>
      </c>
      <c r="O8794" s="8">
        <f>13+54/60+57/3600</f>
        <v>13.915833333333333</v>
      </c>
      <c r="P8794" s="8" t="s">
        <v>38407</v>
      </c>
      <c r="Q8794" s="8">
        <f>-(30+17/60+0/3600)</f>
        <v>-30.283333333333335</v>
      </c>
      <c r="R8794" s="8">
        <v>99</v>
      </c>
      <c r="S8794" s="8">
        <v>99</v>
      </c>
      <c r="T8794" s="8">
        <v>99</v>
      </c>
      <c r="U8794" s="8">
        <v>99</v>
      </c>
      <c r="Y8794" s="8" t="s">
        <v>38408</v>
      </c>
      <c r="Z8794" s="8" t="s">
        <v>38409</v>
      </c>
    </row>
    <row r="8795" spans="1:26" x14ac:dyDescent="0.2">
      <c r="A8795" s="8">
        <v>8794</v>
      </c>
      <c r="B8795" s="8" t="s">
        <v>38410</v>
      </c>
      <c r="C8795" s="8" t="s">
        <v>38410</v>
      </c>
      <c r="G8795" s="8">
        <v>20</v>
      </c>
      <c r="H8795" s="8" t="s">
        <v>21</v>
      </c>
      <c r="I8795" s="8" t="s">
        <v>22</v>
      </c>
      <c r="J8795" s="8" t="s">
        <v>22</v>
      </c>
      <c r="K8795" s="8" t="s">
        <v>1174</v>
      </c>
      <c r="L8795" s="8" t="s">
        <v>14586</v>
      </c>
      <c r="M8795" s="8" t="s">
        <v>14587</v>
      </c>
      <c r="N8795" s="8" t="s">
        <v>38411</v>
      </c>
      <c r="O8795" s="8">
        <f>13+49/60+56.3/3600</f>
        <v>13.832305555555555</v>
      </c>
      <c r="P8795" s="8" t="s">
        <v>38412</v>
      </c>
      <c r="Q8795" s="8">
        <f>+(71+9/60+53/3600)</f>
        <v>71.164722222222224</v>
      </c>
      <c r="R8795" s="8">
        <v>13.7</v>
      </c>
      <c r="S8795" s="8">
        <v>14.7</v>
      </c>
      <c r="T8795" s="8">
        <v>1</v>
      </c>
      <c r="U8795" s="8">
        <v>13.1</v>
      </c>
      <c r="V8795" s="8">
        <v>1.1000000000000001</v>
      </c>
      <c r="W8795" s="8">
        <v>0.6</v>
      </c>
      <c r="X8795" s="8">
        <v>91</v>
      </c>
      <c r="Y8795" s="8" t="s">
        <v>38413</v>
      </c>
      <c r="Z8795" s="8" t="s">
        <v>38414</v>
      </c>
    </row>
    <row r="8796" spans="1:26" x14ac:dyDescent="0.2">
      <c r="A8796" s="8">
        <v>8795</v>
      </c>
      <c r="B8796" s="8" t="s">
        <v>38415</v>
      </c>
      <c r="C8796" s="8" t="s">
        <v>38415</v>
      </c>
      <c r="G8796" s="8">
        <v>20</v>
      </c>
      <c r="H8796" s="8" t="s">
        <v>21</v>
      </c>
      <c r="I8796" s="8" t="s">
        <v>329</v>
      </c>
      <c r="J8796" s="8" t="s">
        <v>329</v>
      </c>
      <c r="K8796" s="8" t="s">
        <v>329</v>
      </c>
      <c r="L8796" s="8" t="s">
        <v>16195</v>
      </c>
      <c r="M8796" s="8" t="s">
        <v>16196</v>
      </c>
      <c r="N8796" s="8" t="s">
        <v>38416</v>
      </c>
      <c r="O8796" s="8">
        <f>13+55/60+43.6/3600</f>
        <v>13.928777777777777</v>
      </c>
      <c r="P8796" s="8" t="s">
        <v>38417</v>
      </c>
      <c r="Q8796" s="8">
        <f>-(30+15/60+43/3600)</f>
        <v>-30.261944444444445</v>
      </c>
      <c r="R8796" s="8">
        <v>99</v>
      </c>
      <c r="S8796" s="8">
        <v>99</v>
      </c>
      <c r="T8796" s="8">
        <v>99</v>
      </c>
      <c r="U8796" s="8">
        <v>99</v>
      </c>
      <c r="Y8796" s="8" t="s">
        <v>1748</v>
      </c>
      <c r="Z8796" s="8" t="s">
        <v>1749</v>
      </c>
    </row>
    <row r="8797" spans="1:26" x14ac:dyDescent="0.2">
      <c r="A8797" s="8">
        <v>8796</v>
      </c>
      <c r="B8797" s="8" t="s">
        <v>38418</v>
      </c>
      <c r="C8797" s="8" t="s">
        <v>38418</v>
      </c>
      <c r="E8797" s="8">
        <v>1</v>
      </c>
      <c r="G8797" s="8">
        <v>20</v>
      </c>
      <c r="H8797" s="8" t="s">
        <v>21</v>
      </c>
      <c r="I8797" s="8" t="s">
        <v>22</v>
      </c>
      <c r="J8797" s="8" t="s">
        <v>22</v>
      </c>
      <c r="K8797" s="8" t="s">
        <v>424</v>
      </c>
      <c r="L8797" s="8" t="s">
        <v>22476</v>
      </c>
      <c r="M8797" s="8" t="s">
        <v>22477</v>
      </c>
      <c r="N8797" s="8" t="s">
        <v>38419</v>
      </c>
      <c r="O8797" s="8">
        <f>13+54/60+40.2/3600</f>
        <v>13.911166666666666</v>
      </c>
      <c r="P8797" s="8" t="s">
        <v>38420</v>
      </c>
      <c r="Q8797" s="8">
        <f>+(20+43/60+11/3600)</f>
        <v>20.71972222222222</v>
      </c>
      <c r="R8797" s="8">
        <v>14.7</v>
      </c>
      <c r="S8797" s="8">
        <v>15.7</v>
      </c>
      <c r="T8797" s="8">
        <v>1</v>
      </c>
      <c r="U8797" s="8">
        <v>11.9</v>
      </c>
      <c r="V8797" s="8">
        <v>0.3</v>
      </c>
      <c r="W8797" s="8">
        <v>0.3</v>
      </c>
      <c r="Y8797" s="8" t="s">
        <v>38421</v>
      </c>
      <c r="Z8797" s="8" t="s">
        <v>38422</v>
      </c>
    </row>
    <row r="8798" spans="1:26" x14ac:dyDescent="0.2">
      <c r="A8798" s="8">
        <v>8797</v>
      </c>
      <c r="B8798" s="8" t="s">
        <v>38423</v>
      </c>
      <c r="C8798" s="8" t="s">
        <v>38423</v>
      </c>
      <c r="G8798" s="8">
        <v>20</v>
      </c>
      <c r="H8798" s="8" t="s">
        <v>21</v>
      </c>
      <c r="I8798" s="8" t="s">
        <v>329</v>
      </c>
      <c r="J8798" s="8" t="s">
        <v>329</v>
      </c>
      <c r="K8798" s="8" t="s">
        <v>329</v>
      </c>
      <c r="L8798" s="8" t="s">
        <v>16195</v>
      </c>
      <c r="M8798" s="8" t="s">
        <v>16196</v>
      </c>
      <c r="N8798" s="8" t="s">
        <v>38424</v>
      </c>
      <c r="O8798" s="8">
        <f>13+56/60+7.8/3600</f>
        <v>13.935500000000001</v>
      </c>
      <c r="P8798" s="8" t="s">
        <v>38425</v>
      </c>
      <c r="Q8798" s="8">
        <f>-(30+14/60+17/3600)</f>
        <v>-30.238055555555558</v>
      </c>
      <c r="R8798" s="8">
        <v>99</v>
      </c>
      <c r="S8798" s="8">
        <v>99</v>
      </c>
      <c r="T8798" s="8">
        <v>99</v>
      </c>
      <c r="U8798" s="8">
        <v>99</v>
      </c>
      <c r="Y8798" s="8" t="s">
        <v>3056</v>
      </c>
      <c r="Z8798" s="8" t="s">
        <v>3057</v>
      </c>
    </row>
    <row r="8799" spans="1:26" x14ac:dyDescent="0.2">
      <c r="A8799" s="8">
        <v>8798</v>
      </c>
      <c r="B8799" s="8" t="s">
        <v>38426</v>
      </c>
      <c r="C8799" s="8" t="s">
        <v>38426</v>
      </c>
      <c r="G8799" s="8">
        <v>20</v>
      </c>
      <c r="H8799" s="8" t="s">
        <v>21</v>
      </c>
      <c r="I8799" s="8" t="s">
        <v>22</v>
      </c>
      <c r="J8799" s="8" t="s">
        <v>57</v>
      </c>
      <c r="K8799" s="8" t="s">
        <v>435</v>
      </c>
      <c r="L8799" s="8" t="s">
        <v>17287</v>
      </c>
      <c r="M8799" s="8" t="s">
        <v>17288</v>
      </c>
      <c r="N8799" s="8" t="s">
        <v>23966</v>
      </c>
      <c r="O8799" s="8">
        <f>13+55/60+38.4/3600</f>
        <v>13.927333333333333</v>
      </c>
      <c r="P8799" s="8" t="s">
        <v>23967</v>
      </c>
      <c r="Q8799" s="8">
        <f>+(4+59/60+0/3600)</f>
        <v>4.9833333333333334</v>
      </c>
      <c r="R8799" s="8">
        <v>13.3</v>
      </c>
      <c r="S8799" s="8">
        <v>14.2</v>
      </c>
      <c r="T8799" s="8">
        <v>0.9</v>
      </c>
      <c r="U8799" s="8">
        <v>12.8</v>
      </c>
      <c r="V8799" s="8">
        <v>1.6</v>
      </c>
      <c r="W8799" s="8">
        <v>0.7</v>
      </c>
      <c r="X8799" s="8">
        <v>70</v>
      </c>
      <c r="Y8799" s="8" t="s">
        <v>29145</v>
      </c>
      <c r="Z8799" s="8" t="s">
        <v>29146</v>
      </c>
    </row>
    <row r="8800" spans="1:26" x14ac:dyDescent="0.2">
      <c r="A8800" s="8">
        <v>8799</v>
      </c>
      <c r="B8800" s="8" t="s">
        <v>38427</v>
      </c>
      <c r="C8800" s="8" t="s">
        <v>38427</v>
      </c>
      <c r="G8800" s="8">
        <v>20</v>
      </c>
      <c r="H8800" s="8" t="s">
        <v>21</v>
      </c>
      <c r="I8800" s="8" t="s">
        <v>22</v>
      </c>
      <c r="J8800" s="8" t="s">
        <v>22</v>
      </c>
      <c r="K8800" s="8" t="s">
        <v>91</v>
      </c>
      <c r="L8800" s="8" t="s">
        <v>22476</v>
      </c>
      <c r="M8800" s="8" t="s">
        <v>22477</v>
      </c>
      <c r="N8800" s="8" t="s">
        <v>38428</v>
      </c>
      <c r="O8800" s="8">
        <f>13+56/60+3.3/3600</f>
        <v>13.93425</v>
      </c>
      <c r="P8800" s="8" t="s">
        <v>38429</v>
      </c>
      <c r="Q8800" s="8">
        <f>+(13+30/60+23/3600)</f>
        <v>13.506388888888889</v>
      </c>
      <c r="R8800" s="8">
        <v>12.9</v>
      </c>
      <c r="S8800" s="8">
        <v>13.8</v>
      </c>
      <c r="T8800" s="8">
        <v>0.9</v>
      </c>
      <c r="U8800" s="8">
        <v>13.4</v>
      </c>
      <c r="V8800" s="8">
        <v>1.7</v>
      </c>
      <c r="W8800" s="8">
        <v>1</v>
      </c>
      <c r="X8800" s="8">
        <v>3</v>
      </c>
      <c r="Y8800" s="8" t="s">
        <v>7509</v>
      </c>
      <c r="Z8800" s="8" t="s">
        <v>3537</v>
      </c>
    </row>
    <row r="8801" spans="1:26" x14ac:dyDescent="0.2">
      <c r="A8801" s="8">
        <v>8800</v>
      </c>
      <c r="B8801" s="8" t="s">
        <v>38430</v>
      </c>
      <c r="C8801" s="8" t="s">
        <v>38430</v>
      </c>
      <c r="D8801" s="8" t="s">
        <v>351</v>
      </c>
      <c r="G8801" s="8">
        <v>20</v>
      </c>
      <c r="H8801" s="8" t="s">
        <v>21</v>
      </c>
      <c r="I8801" s="8" t="s">
        <v>22</v>
      </c>
      <c r="J8801" s="8" t="s">
        <v>22</v>
      </c>
      <c r="K8801" s="8" t="s">
        <v>20392</v>
      </c>
      <c r="L8801" s="8" t="s">
        <v>22476</v>
      </c>
      <c r="M8801" s="8" t="s">
        <v>22477</v>
      </c>
      <c r="N8801" s="8" t="s">
        <v>38431</v>
      </c>
      <c r="O8801" s="8">
        <f>13+55/60+59/3600</f>
        <v>13.933055555555555</v>
      </c>
      <c r="P8801" s="8" t="s">
        <v>38432</v>
      </c>
      <c r="Q8801" s="8">
        <f>+(17+29/60+58/3600)</f>
        <v>17.499444444444446</v>
      </c>
      <c r="R8801" s="8">
        <v>13.8</v>
      </c>
      <c r="S8801" s="8">
        <v>14.6</v>
      </c>
      <c r="T8801" s="8">
        <v>0.8</v>
      </c>
      <c r="U8801" s="8">
        <v>13.6</v>
      </c>
      <c r="V8801" s="8">
        <v>1.4</v>
      </c>
      <c r="W8801" s="8">
        <v>0.7</v>
      </c>
      <c r="X8801" s="8">
        <v>24</v>
      </c>
      <c r="Y8801" s="8" t="s">
        <v>38433</v>
      </c>
      <c r="Z8801" s="8" t="s">
        <v>38434</v>
      </c>
    </row>
    <row r="8802" spans="1:26" x14ac:dyDescent="0.2">
      <c r="A8802" s="8">
        <v>8801</v>
      </c>
      <c r="B8802" s="8" t="s">
        <v>38435</v>
      </c>
      <c r="C8802" s="8" t="s">
        <v>38435</v>
      </c>
      <c r="G8802" s="8">
        <v>20</v>
      </c>
      <c r="H8802" s="8" t="s">
        <v>21</v>
      </c>
      <c r="I8802" s="8" t="s">
        <v>22</v>
      </c>
      <c r="J8802" s="8" t="s">
        <v>22</v>
      </c>
      <c r="K8802" s="8" t="s">
        <v>23</v>
      </c>
      <c r="L8802" s="8" t="s">
        <v>22476</v>
      </c>
      <c r="M8802" s="8" t="s">
        <v>22477</v>
      </c>
      <c r="N8802" s="8" t="s">
        <v>38436</v>
      </c>
      <c r="O8802" s="8">
        <f>13+55/60+46.6/3600</f>
        <v>13.929611111111111</v>
      </c>
      <c r="P8802" s="8" t="s">
        <v>38437</v>
      </c>
      <c r="Q8802" s="8">
        <f>+(25+50/60+24/3600)</f>
        <v>25.84</v>
      </c>
      <c r="R8802" s="8">
        <v>14.6</v>
      </c>
      <c r="S8802" s="8">
        <v>15.4</v>
      </c>
      <c r="T8802" s="8">
        <v>0.8</v>
      </c>
      <c r="U8802" s="8">
        <v>13.7</v>
      </c>
      <c r="V8802" s="8">
        <v>0.7</v>
      </c>
      <c r="W8802" s="8">
        <v>0.7</v>
      </c>
      <c r="Y8802" s="8" t="s">
        <v>17508</v>
      </c>
      <c r="Z8802" s="8" t="s">
        <v>17509</v>
      </c>
    </row>
    <row r="8803" spans="1:26" x14ac:dyDescent="0.2">
      <c r="A8803" s="8">
        <v>8802</v>
      </c>
      <c r="B8803" s="8" t="s">
        <v>38438</v>
      </c>
      <c r="C8803" s="8" t="s">
        <v>38438</v>
      </c>
      <c r="G8803" s="8">
        <v>20</v>
      </c>
      <c r="H8803" s="8" t="s">
        <v>21</v>
      </c>
      <c r="I8803" s="8" t="s">
        <v>22</v>
      </c>
      <c r="J8803" s="8" t="s">
        <v>22</v>
      </c>
      <c r="K8803" s="8" t="s">
        <v>476</v>
      </c>
      <c r="L8803" s="8" t="s">
        <v>22476</v>
      </c>
      <c r="M8803" s="8" t="s">
        <v>22477</v>
      </c>
      <c r="N8803" s="8" t="s">
        <v>38439</v>
      </c>
      <c r="O8803" s="8">
        <f>13+57/60+13.2/3600</f>
        <v>13.953666666666665</v>
      </c>
      <c r="P8803" s="8" t="s">
        <v>38440</v>
      </c>
      <c r="Q8803" s="8">
        <f>+(12+1/60+17/3600)</f>
        <v>12.02138888888889</v>
      </c>
      <c r="R8803" s="8">
        <v>13.3</v>
      </c>
      <c r="S8803" s="8">
        <v>14.2</v>
      </c>
      <c r="T8803" s="8">
        <v>0.9</v>
      </c>
      <c r="U8803" s="8">
        <v>12.7</v>
      </c>
      <c r="V8803" s="8">
        <v>0.8</v>
      </c>
      <c r="W8803" s="8">
        <v>0.8</v>
      </c>
      <c r="Y8803" s="8" t="s">
        <v>18110</v>
      </c>
      <c r="Z8803" s="8" t="s">
        <v>18111</v>
      </c>
    </row>
    <row r="8804" spans="1:26" x14ac:dyDescent="0.2">
      <c r="A8804" s="8">
        <v>8803</v>
      </c>
      <c r="B8804" s="8" t="s">
        <v>38441</v>
      </c>
      <c r="C8804" s="8" t="s">
        <v>38441</v>
      </c>
      <c r="G8804" s="8">
        <v>20</v>
      </c>
      <c r="H8804" s="8" t="s">
        <v>21</v>
      </c>
      <c r="I8804" s="8" t="s">
        <v>22</v>
      </c>
      <c r="J8804" s="8" t="s">
        <v>22</v>
      </c>
      <c r="K8804" s="8" t="s">
        <v>476</v>
      </c>
      <c r="L8804" s="8" t="s">
        <v>22476</v>
      </c>
      <c r="M8804" s="8" t="s">
        <v>22477</v>
      </c>
      <c r="N8804" s="8" t="s">
        <v>38442</v>
      </c>
      <c r="O8804" s="8">
        <f>13+57/60+25/3600</f>
        <v>13.956944444444444</v>
      </c>
      <c r="P8804" s="8" t="s">
        <v>38443</v>
      </c>
      <c r="Q8804" s="8">
        <f>+(17+24/60+30/3600)</f>
        <v>17.408333333333331</v>
      </c>
      <c r="R8804" s="8">
        <v>14.4</v>
      </c>
      <c r="S8804" s="8">
        <v>15.2</v>
      </c>
      <c r="T8804" s="8">
        <v>0.8</v>
      </c>
      <c r="U8804" s="8">
        <v>13.1</v>
      </c>
      <c r="V8804" s="8">
        <v>0.7</v>
      </c>
      <c r="W8804" s="8">
        <v>0.5</v>
      </c>
      <c r="X8804" s="8">
        <v>170</v>
      </c>
      <c r="Y8804" s="8" t="s">
        <v>385</v>
      </c>
      <c r="Z8804" s="8" t="s">
        <v>386</v>
      </c>
    </row>
    <row r="8805" spans="1:26" x14ac:dyDescent="0.2">
      <c r="A8805" s="8">
        <v>8804</v>
      </c>
      <c r="B8805" s="8" t="s">
        <v>38444</v>
      </c>
      <c r="C8805" s="8" t="s">
        <v>38444</v>
      </c>
      <c r="G8805" s="8">
        <v>20</v>
      </c>
      <c r="H8805" s="8" t="s">
        <v>21</v>
      </c>
      <c r="I8805" s="8" t="s">
        <v>22</v>
      </c>
      <c r="J8805" s="8" t="s">
        <v>22</v>
      </c>
      <c r="K8805" s="8" t="s">
        <v>460</v>
      </c>
      <c r="L8805" s="8" t="s">
        <v>22476</v>
      </c>
      <c r="M8805" s="8" t="s">
        <v>22477</v>
      </c>
      <c r="N8805" s="8" t="s">
        <v>38445</v>
      </c>
      <c r="O8805" s="8">
        <f>13+57/60+41.2/3600</f>
        <v>13.961444444444444</v>
      </c>
      <c r="P8805" s="8" t="s">
        <v>38446</v>
      </c>
      <c r="Q8805" s="8">
        <f>+(17+30/60+33/3600)</f>
        <v>17.509166666666665</v>
      </c>
      <c r="R8805" s="8">
        <v>14.7</v>
      </c>
      <c r="S8805" s="8">
        <v>15.7</v>
      </c>
      <c r="T8805" s="8">
        <v>1</v>
      </c>
      <c r="U8805" s="8">
        <v>12.2</v>
      </c>
      <c r="V8805" s="8">
        <v>0.3</v>
      </c>
      <c r="W8805" s="8">
        <v>0.3</v>
      </c>
      <c r="Y8805" s="8" t="s">
        <v>1829</v>
      </c>
      <c r="Z8805" s="8" t="s">
        <v>1830</v>
      </c>
    </row>
    <row r="8806" spans="1:26" x14ac:dyDescent="0.2">
      <c r="A8806" s="8">
        <v>8805</v>
      </c>
      <c r="B8806" s="8" t="s">
        <v>38447</v>
      </c>
      <c r="C8806" s="8" t="s">
        <v>38447</v>
      </c>
      <c r="G8806" s="8">
        <v>20</v>
      </c>
      <c r="H8806" s="8" t="s">
        <v>21</v>
      </c>
      <c r="I8806" s="8" t="s">
        <v>22</v>
      </c>
      <c r="J8806" s="8" t="s">
        <v>22</v>
      </c>
      <c r="K8806" s="8" t="s">
        <v>449</v>
      </c>
      <c r="L8806" s="8" t="s">
        <v>22476</v>
      </c>
      <c r="M8806" s="8" t="s">
        <v>22477</v>
      </c>
      <c r="N8806" s="8" t="s">
        <v>38448</v>
      </c>
      <c r="O8806" s="8">
        <f>13+57/60+47.4/3600</f>
        <v>13.963166666666666</v>
      </c>
      <c r="P8806" s="8" t="s">
        <v>38449</v>
      </c>
      <c r="Q8806" s="8">
        <f>+(17+30/60+40/3600)</f>
        <v>17.511111111111113</v>
      </c>
      <c r="R8806" s="8">
        <v>14.2</v>
      </c>
      <c r="S8806" s="8">
        <v>15</v>
      </c>
      <c r="T8806" s="8">
        <v>0.8</v>
      </c>
      <c r="U8806" s="8">
        <v>13.5</v>
      </c>
      <c r="V8806" s="8">
        <v>0.9</v>
      </c>
      <c r="W8806" s="8">
        <v>0.7</v>
      </c>
      <c r="X8806" s="8">
        <v>50</v>
      </c>
      <c r="Y8806" s="8" t="s">
        <v>36287</v>
      </c>
      <c r="Z8806" s="8" t="s">
        <v>36288</v>
      </c>
    </row>
    <row r="8807" spans="1:26" x14ac:dyDescent="0.2">
      <c r="A8807" s="8">
        <v>8806</v>
      </c>
      <c r="B8807" s="8" t="s">
        <v>38450</v>
      </c>
      <c r="C8807" s="8" t="s">
        <v>38450</v>
      </c>
      <c r="G8807" s="8">
        <v>20</v>
      </c>
      <c r="H8807" s="8" t="s">
        <v>21</v>
      </c>
      <c r="I8807" s="8" t="s">
        <v>22</v>
      </c>
      <c r="J8807" s="8" t="s">
        <v>22</v>
      </c>
      <c r="K8807" s="8" t="s">
        <v>37</v>
      </c>
      <c r="L8807" s="8" t="s">
        <v>17287</v>
      </c>
      <c r="M8807" s="8" t="s">
        <v>17288</v>
      </c>
      <c r="N8807" s="8" t="s">
        <v>38451</v>
      </c>
      <c r="O8807" s="8">
        <f>13+58/60+14/3600</f>
        <v>13.970555555555556</v>
      </c>
      <c r="P8807" s="8" t="s">
        <v>38452</v>
      </c>
      <c r="Q8807" s="8">
        <f>+(5+24/60+27/3600)</f>
        <v>5.4075000000000006</v>
      </c>
      <c r="R8807" s="8">
        <v>13.1</v>
      </c>
      <c r="S8807" s="8">
        <v>14.1</v>
      </c>
      <c r="T8807" s="8">
        <v>1</v>
      </c>
      <c r="U8807" s="8">
        <v>12.4</v>
      </c>
      <c r="V8807" s="8">
        <v>0.8</v>
      </c>
      <c r="W8807" s="8">
        <v>0.7</v>
      </c>
      <c r="X8807" s="8">
        <v>162</v>
      </c>
      <c r="Y8807" s="8" t="s">
        <v>37070</v>
      </c>
      <c r="Z8807" s="8" t="s">
        <v>37071</v>
      </c>
    </row>
    <row r="8808" spans="1:26" x14ac:dyDescent="0.2">
      <c r="A8808" s="8">
        <v>8807</v>
      </c>
      <c r="B8808" s="8" t="s">
        <v>38453</v>
      </c>
      <c r="C8808" s="8" t="s">
        <v>38453</v>
      </c>
      <c r="G8808" s="8">
        <v>20</v>
      </c>
      <c r="H8808" s="8" t="s">
        <v>21</v>
      </c>
      <c r="I8808" s="8" t="s">
        <v>22</v>
      </c>
      <c r="J8808" s="8" t="s">
        <v>22</v>
      </c>
      <c r="K8808" s="8" t="s">
        <v>476</v>
      </c>
      <c r="L8808" s="8" t="s">
        <v>22476</v>
      </c>
      <c r="M8808" s="8" t="s">
        <v>22477</v>
      </c>
      <c r="N8808" s="8" t="s">
        <v>38454</v>
      </c>
      <c r="O8808" s="8">
        <f>13+58/60+22.9/3600</f>
        <v>13.973027777777778</v>
      </c>
      <c r="P8808" s="8" t="s">
        <v>38455</v>
      </c>
      <c r="Q8808" s="8">
        <f>+(14+27/60+27/3600)</f>
        <v>14.4575</v>
      </c>
      <c r="R8808" s="8">
        <v>14</v>
      </c>
      <c r="S8808" s="8">
        <v>14.9</v>
      </c>
      <c r="T8808" s="8">
        <v>0.9</v>
      </c>
      <c r="U8808" s="8">
        <v>12.6</v>
      </c>
      <c r="V8808" s="8">
        <v>0.8</v>
      </c>
      <c r="W8808" s="8">
        <v>0.4</v>
      </c>
      <c r="X8808" s="8">
        <v>21</v>
      </c>
      <c r="Y8808" s="8" t="s">
        <v>38456</v>
      </c>
      <c r="Z8808" s="8" t="s">
        <v>38457</v>
      </c>
    </row>
    <row r="8809" spans="1:26" x14ac:dyDescent="0.2">
      <c r="A8809" s="8">
        <v>8808</v>
      </c>
      <c r="B8809" s="8" t="s">
        <v>38458</v>
      </c>
      <c r="C8809" s="8" t="s">
        <v>38458</v>
      </c>
      <c r="E8809" s="8">
        <v>1</v>
      </c>
      <c r="G8809" s="8">
        <v>20</v>
      </c>
      <c r="H8809" s="8" t="s">
        <v>21</v>
      </c>
      <c r="I8809" s="8" t="s">
        <v>22</v>
      </c>
      <c r="J8809" s="8" t="s">
        <v>22</v>
      </c>
      <c r="K8809" s="8" t="s">
        <v>37</v>
      </c>
      <c r="L8809" s="8" t="s">
        <v>17287</v>
      </c>
      <c r="M8809" s="8" t="s">
        <v>17288</v>
      </c>
      <c r="N8809" s="8" t="s">
        <v>38459</v>
      </c>
      <c r="O8809" s="8">
        <f>14+0/60+36.5/3600</f>
        <v>14.010138888888889</v>
      </c>
      <c r="P8809" s="8" t="s">
        <v>38460</v>
      </c>
      <c r="Q8809" s="8">
        <f>-(2+54/60+31/3600)</f>
        <v>-2.908611111111111</v>
      </c>
      <c r="R8809" s="8">
        <v>13.6</v>
      </c>
      <c r="S8809" s="8">
        <v>14.6</v>
      </c>
      <c r="T8809" s="8">
        <v>1</v>
      </c>
      <c r="U8809" s="8">
        <v>12.5</v>
      </c>
      <c r="V8809" s="8">
        <v>0.8</v>
      </c>
      <c r="W8809" s="8">
        <v>0.5</v>
      </c>
      <c r="X8809" s="8">
        <v>123</v>
      </c>
      <c r="Y8809" s="8" t="s">
        <v>1948</v>
      </c>
      <c r="Z8809" s="8" t="s">
        <v>1949</v>
      </c>
    </row>
    <row r="8810" spans="1:26" x14ac:dyDescent="0.2">
      <c r="A8810" s="8">
        <v>8809</v>
      </c>
      <c r="B8810" s="8" t="s">
        <v>38461</v>
      </c>
      <c r="C8810" s="8" t="s">
        <v>38461</v>
      </c>
      <c r="G8810" s="8">
        <v>20</v>
      </c>
      <c r="H8810" s="8" t="s">
        <v>21</v>
      </c>
      <c r="I8810" s="8" t="s">
        <v>22</v>
      </c>
      <c r="J8810" s="8" t="s">
        <v>22</v>
      </c>
      <c r="K8810" s="8" t="s">
        <v>449</v>
      </c>
      <c r="L8810" s="8" t="s">
        <v>17287</v>
      </c>
      <c r="M8810" s="8" t="s">
        <v>17288</v>
      </c>
      <c r="N8810" s="8" t="s">
        <v>38462</v>
      </c>
      <c r="O8810" s="8">
        <f>14+1/60+46.1/3600</f>
        <v>14.029472222222223</v>
      </c>
      <c r="P8810" s="8" t="s">
        <v>38463</v>
      </c>
      <c r="Q8810" s="8">
        <f>-(4+10/60+47/3600)</f>
        <v>-4.1797222222222228</v>
      </c>
      <c r="R8810" s="8">
        <v>15</v>
      </c>
      <c r="S8810" s="8">
        <v>15.8</v>
      </c>
      <c r="T8810" s="8">
        <v>0.8</v>
      </c>
      <c r="U8810" s="8">
        <v>11.8</v>
      </c>
      <c r="V8810" s="8">
        <v>0.3</v>
      </c>
      <c r="W8810" s="8">
        <v>0.2</v>
      </c>
      <c r="X8810" s="8">
        <v>175</v>
      </c>
      <c r="Y8810" s="8" t="s">
        <v>35720</v>
      </c>
      <c r="Z8810" s="8" t="s">
        <v>35721</v>
      </c>
    </row>
    <row r="8811" spans="1:26" x14ac:dyDescent="0.2">
      <c r="A8811" s="8">
        <v>8810</v>
      </c>
      <c r="B8811" s="8" t="s">
        <v>38464</v>
      </c>
      <c r="C8811" s="8" t="s">
        <v>38464</v>
      </c>
      <c r="G8811" s="8">
        <v>20</v>
      </c>
      <c r="H8811" s="8" t="s">
        <v>21</v>
      </c>
      <c r="I8811" s="8" t="s">
        <v>22</v>
      </c>
      <c r="J8811" s="8" t="s">
        <v>22</v>
      </c>
      <c r="K8811" s="8" t="s">
        <v>435</v>
      </c>
      <c r="L8811" s="8" t="s">
        <v>22476</v>
      </c>
      <c r="M8811" s="8" t="s">
        <v>22477</v>
      </c>
      <c r="N8811" s="8" t="s">
        <v>38465</v>
      </c>
      <c r="O8811" s="8">
        <f>14+2/60+34.1/3600</f>
        <v>14.042805555555555</v>
      </c>
      <c r="P8811" s="8" t="s">
        <v>38466</v>
      </c>
      <c r="Q8811" s="8">
        <f>+(14+33/60+9/3600)</f>
        <v>14.5525</v>
      </c>
      <c r="R8811" s="8">
        <v>13.9</v>
      </c>
      <c r="S8811" s="8">
        <v>14.8</v>
      </c>
      <c r="T8811" s="8">
        <v>0.9</v>
      </c>
      <c r="U8811" s="8">
        <v>12.4</v>
      </c>
      <c r="V8811" s="8">
        <v>1</v>
      </c>
      <c r="W8811" s="8">
        <v>0.3</v>
      </c>
      <c r="X8811" s="8">
        <v>53</v>
      </c>
      <c r="Y8811" s="8" t="s">
        <v>12996</v>
      </c>
      <c r="Z8811" s="8" t="s">
        <v>12997</v>
      </c>
    </row>
    <row r="8812" spans="1:26" x14ac:dyDescent="0.2">
      <c r="A8812" s="8">
        <v>8811</v>
      </c>
      <c r="B8812" s="8" t="s">
        <v>38467</v>
      </c>
      <c r="C8812" s="8" t="s">
        <v>38467</v>
      </c>
      <c r="G8812" s="8">
        <v>20</v>
      </c>
      <c r="H8812" s="8" t="s">
        <v>21</v>
      </c>
      <c r="I8812" s="8" t="s">
        <v>22</v>
      </c>
      <c r="J8812" s="8" t="s">
        <v>22</v>
      </c>
      <c r="K8812" s="8" t="s">
        <v>64</v>
      </c>
      <c r="L8812" s="8" t="s">
        <v>17287</v>
      </c>
      <c r="M8812" s="8" t="s">
        <v>17288</v>
      </c>
      <c r="N8812" s="8" t="s">
        <v>38468</v>
      </c>
      <c r="O8812" s="8">
        <f>14+3/60+52.7/3600</f>
        <v>14.06463888888889</v>
      </c>
      <c r="P8812" s="8" t="s">
        <v>38469</v>
      </c>
      <c r="Q8812" s="8">
        <f>-(10+8/60+23/3600)</f>
        <v>-10.139722222222222</v>
      </c>
      <c r="R8812" s="8">
        <v>12.8</v>
      </c>
      <c r="S8812" s="8">
        <v>13.3</v>
      </c>
      <c r="T8812" s="8">
        <v>0.5</v>
      </c>
      <c r="U8812" s="8">
        <v>13.8</v>
      </c>
      <c r="V8812" s="8">
        <v>2.2999999999999998</v>
      </c>
      <c r="W8812" s="8">
        <v>1.3</v>
      </c>
      <c r="X8812" s="8">
        <v>126</v>
      </c>
      <c r="Y8812" s="8" t="s">
        <v>1694</v>
      </c>
      <c r="Z8812" s="8" t="s">
        <v>1695</v>
      </c>
    </row>
    <row r="8813" spans="1:26" x14ac:dyDescent="0.2">
      <c r="A8813" s="8">
        <v>8812</v>
      </c>
      <c r="B8813" s="8" t="s">
        <v>38470</v>
      </c>
      <c r="C8813" s="8" t="s">
        <v>38470</v>
      </c>
      <c r="G8813" s="8">
        <v>20</v>
      </c>
      <c r="H8813" s="8" t="s">
        <v>21</v>
      </c>
      <c r="I8813" s="8" t="s">
        <v>241</v>
      </c>
      <c r="J8813" s="8" t="s">
        <v>241</v>
      </c>
      <c r="K8813" s="8" t="s">
        <v>241</v>
      </c>
      <c r="L8813" s="8" t="s">
        <v>17287</v>
      </c>
      <c r="M8813" s="8" t="s">
        <v>17288</v>
      </c>
      <c r="N8813" s="8" t="s">
        <v>38471</v>
      </c>
      <c r="O8813" s="8">
        <f>14+4/60+26/3600</f>
        <v>14.073888888888888</v>
      </c>
      <c r="P8813" s="8" t="s">
        <v>38472</v>
      </c>
      <c r="Q8813" s="8">
        <f>-(17+13/60+39/3600)</f>
        <v>-17.227499999999999</v>
      </c>
      <c r="R8813" s="8">
        <v>13.9</v>
      </c>
      <c r="S8813" s="8">
        <v>14.9</v>
      </c>
      <c r="T8813" s="8">
        <v>99</v>
      </c>
      <c r="U8813" s="8">
        <v>99</v>
      </c>
      <c r="V8813" s="8">
        <v>0.9</v>
      </c>
      <c r="Y8813" s="8" t="s">
        <v>34876</v>
      </c>
      <c r="Z8813" s="8" t="s">
        <v>34877</v>
      </c>
    </row>
    <row r="8814" spans="1:26" x14ac:dyDescent="0.2">
      <c r="A8814" s="8">
        <v>8813</v>
      </c>
      <c r="B8814" s="8" t="s">
        <v>38473</v>
      </c>
      <c r="C8814" s="8" t="s">
        <v>38473</v>
      </c>
      <c r="G8814" s="8">
        <v>20</v>
      </c>
      <c r="H8814" s="8" t="s">
        <v>21</v>
      </c>
      <c r="I8814" s="8" t="s">
        <v>72</v>
      </c>
      <c r="J8814" s="8" t="s">
        <v>57</v>
      </c>
      <c r="K8814" s="8" t="s">
        <v>20</v>
      </c>
      <c r="L8814" s="8" t="s">
        <v>17287</v>
      </c>
      <c r="M8814" s="8" t="s">
        <v>17288</v>
      </c>
      <c r="N8814" s="8" t="s">
        <v>24408</v>
      </c>
      <c r="O8814" s="8">
        <f>14+6/60+29.4/3600</f>
        <v>14.108166666666666</v>
      </c>
      <c r="P8814" s="8" t="s">
        <v>24409</v>
      </c>
      <c r="Q8814" s="8">
        <f>-(5+28/60+54/3600)</f>
        <v>-5.4816666666666665</v>
      </c>
      <c r="R8814" s="8">
        <v>99</v>
      </c>
      <c r="S8814" s="8">
        <v>15.3</v>
      </c>
      <c r="T8814" s="8">
        <v>99</v>
      </c>
      <c r="U8814" s="8">
        <v>99</v>
      </c>
      <c r="Y8814" s="8" t="s">
        <v>21</v>
      </c>
      <c r="Z8814" s="8" t="s">
        <v>38474</v>
      </c>
    </row>
    <row r="8815" spans="1:26" x14ac:dyDescent="0.2">
      <c r="A8815" s="8">
        <v>8814</v>
      </c>
      <c r="B8815" s="8" t="s">
        <v>38475</v>
      </c>
      <c r="C8815" s="8" t="s">
        <v>38475</v>
      </c>
      <c r="G8815" s="8">
        <v>20</v>
      </c>
      <c r="H8815" s="8" t="s">
        <v>21</v>
      </c>
      <c r="I8815" s="8" t="s">
        <v>72</v>
      </c>
      <c r="J8815" s="8" t="s">
        <v>72</v>
      </c>
      <c r="K8815" s="8" t="s">
        <v>20</v>
      </c>
      <c r="L8815" s="8" t="s">
        <v>17287</v>
      </c>
      <c r="M8815" s="8" t="s">
        <v>17288</v>
      </c>
      <c r="N8815" s="8" t="s">
        <v>38476</v>
      </c>
      <c r="O8815" s="8">
        <f>14+6/60+34.3/3600</f>
        <v>14.109527777777778</v>
      </c>
      <c r="P8815" s="8" t="s">
        <v>38477</v>
      </c>
      <c r="Q8815" s="8">
        <f>-(5+29/60+34/3600)</f>
        <v>-5.4927777777777775</v>
      </c>
      <c r="R8815" s="8">
        <v>99</v>
      </c>
      <c r="S8815" s="8">
        <v>99</v>
      </c>
      <c r="T8815" s="8">
        <v>99</v>
      </c>
      <c r="U8815" s="8">
        <v>99</v>
      </c>
      <c r="Y8815" s="8" t="s">
        <v>21</v>
      </c>
      <c r="Z8815" s="8" t="s">
        <v>38478</v>
      </c>
    </row>
    <row r="8816" spans="1:26" x14ac:dyDescent="0.2">
      <c r="A8816" s="8">
        <v>8815</v>
      </c>
      <c r="B8816" s="8" t="s">
        <v>38479</v>
      </c>
      <c r="C8816" s="8" t="s">
        <v>38479</v>
      </c>
      <c r="G8816" s="8">
        <v>20</v>
      </c>
      <c r="H8816" s="8" t="s">
        <v>21</v>
      </c>
      <c r="I8816" s="8" t="s">
        <v>22</v>
      </c>
      <c r="J8816" s="8" t="s">
        <v>22</v>
      </c>
      <c r="K8816" s="8" t="s">
        <v>818</v>
      </c>
      <c r="L8816" s="8" t="s">
        <v>22476</v>
      </c>
      <c r="M8816" s="8" t="s">
        <v>22477</v>
      </c>
      <c r="N8816" s="8" t="s">
        <v>38480</v>
      </c>
      <c r="O8816" s="8">
        <f>14+7/60+8.8/3600</f>
        <v>14.119111111111112</v>
      </c>
      <c r="P8816" s="8" t="s">
        <v>38481</v>
      </c>
      <c r="Q8816" s="8">
        <f>+(15+19/60+7/3600)</f>
        <v>15.31861111111111</v>
      </c>
      <c r="R8816" s="8">
        <v>14.3</v>
      </c>
      <c r="S8816" s="8">
        <v>15.3</v>
      </c>
      <c r="T8816" s="8">
        <v>1</v>
      </c>
      <c r="U8816" s="8">
        <v>12.3</v>
      </c>
      <c r="V8816" s="8">
        <v>0.5</v>
      </c>
      <c r="W8816" s="8">
        <v>0.3</v>
      </c>
      <c r="X8816" s="8">
        <v>5</v>
      </c>
      <c r="Y8816" s="8" t="s">
        <v>421</v>
      </c>
      <c r="Z8816" s="8" t="s">
        <v>422</v>
      </c>
    </row>
    <row r="8817" spans="1:26" x14ac:dyDescent="0.2">
      <c r="A8817" s="8">
        <v>8816</v>
      </c>
      <c r="B8817" s="8" t="s">
        <v>38482</v>
      </c>
      <c r="C8817" s="8" t="s">
        <v>38482</v>
      </c>
      <c r="G8817" s="8">
        <v>20</v>
      </c>
      <c r="H8817" s="8" t="s">
        <v>21</v>
      </c>
      <c r="I8817" s="8" t="s">
        <v>22</v>
      </c>
      <c r="J8817" s="8" t="s">
        <v>22</v>
      </c>
      <c r="K8817" s="8" t="s">
        <v>632</v>
      </c>
      <c r="L8817" s="8" t="s">
        <v>17287</v>
      </c>
      <c r="M8817" s="8" t="s">
        <v>17288</v>
      </c>
      <c r="N8817" s="8" t="s">
        <v>38483</v>
      </c>
      <c r="O8817" s="8">
        <f>14+8/60+43.3/3600</f>
        <v>14.145361111111111</v>
      </c>
      <c r="P8817" s="8" t="s">
        <v>38484</v>
      </c>
      <c r="Q8817" s="8">
        <f>-(1+9/60+44/3600)</f>
        <v>-1.162222222222222</v>
      </c>
      <c r="R8817" s="8">
        <v>13</v>
      </c>
      <c r="S8817" s="8">
        <v>13.9</v>
      </c>
      <c r="T8817" s="8">
        <v>0.9</v>
      </c>
      <c r="U8817" s="8">
        <v>12.7</v>
      </c>
      <c r="V8817" s="8">
        <v>1.5</v>
      </c>
      <c r="W8817" s="8">
        <v>0.7</v>
      </c>
      <c r="X8817" s="8">
        <v>175</v>
      </c>
      <c r="Y8817" s="8" t="s">
        <v>21</v>
      </c>
      <c r="Z8817" s="8" t="s">
        <v>38485</v>
      </c>
    </row>
    <row r="8818" spans="1:26" x14ac:dyDescent="0.2">
      <c r="A8818" s="8">
        <v>8817</v>
      </c>
      <c r="B8818" s="8" t="s">
        <v>38486</v>
      </c>
      <c r="C8818" s="8" t="s">
        <v>38486</v>
      </c>
      <c r="G8818" s="8">
        <v>20</v>
      </c>
      <c r="H8818" s="8" t="s">
        <v>21</v>
      </c>
      <c r="I8818" s="8" t="s">
        <v>22</v>
      </c>
      <c r="J8818" s="8" t="s">
        <v>22</v>
      </c>
      <c r="K8818" s="8" t="s">
        <v>31</v>
      </c>
      <c r="L8818" s="8" t="s">
        <v>17287</v>
      </c>
      <c r="M8818" s="8" t="s">
        <v>17288</v>
      </c>
      <c r="N8818" s="8" t="s">
        <v>38487</v>
      </c>
      <c r="O8818" s="8">
        <f>14+8/60+42.1/3600</f>
        <v>14.145027777777777</v>
      </c>
      <c r="P8818" s="8" t="s">
        <v>38488</v>
      </c>
      <c r="Q8818" s="8">
        <f>-(3+0/60+9/3600)</f>
        <v>-3.0024999999999999</v>
      </c>
      <c r="R8818" s="8">
        <v>14.5</v>
      </c>
      <c r="S8818" s="8">
        <v>15.3</v>
      </c>
      <c r="T8818" s="8">
        <v>0.8</v>
      </c>
      <c r="U8818" s="8">
        <v>13.4</v>
      </c>
      <c r="V8818" s="8">
        <v>0.7</v>
      </c>
      <c r="W8818" s="8">
        <v>0.6</v>
      </c>
      <c r="X8818" s="8">
        <v>130</v>
      </c>
      <c r="Y8818" s="8" t="s">
        <v>17508</v>
      </c>
      <c r="Z8818" s="8" t="s">
        <v>17509</v>
      </c>
    </row>
    <row r="8819" spans="1:26" x14ac:dyDescent="0.2">
      <c r="A8819" s="8">
        <v>8818</v>
      </c>
      <c r="B8819" s="8" t="s">
        <v>38489</v>
      </c>
      <c r="C8819" s="8" t="s">
        <v>38489</v>
      </c>
      <c r="G8819" s="8">
        <v>20</v>
      </c>
      <c r="H8819" s="8" t="s">
        <v>21</v>
      </c>
      <c r="I8819" s="8" t="s">
        <v>22</v>
      </c>
      <c r="J8819" s="8" t="s">
        <v>22</v>
      </c>
      <c r="K8819" s="8" t="s">
        <v>396</v>
      </c>
      <c r="L8819" s="8" t="s">
        <v>17287</v>
      </c>
      <c r="M8819" s="8" t="s">
        <v>17288</v>
      </c>
      <c r="N8819" s="8" t="s">
        <v>38490</v>
      </c>
      <c r="O8819" s="8">
        <f>14+8/60+58/3600</f>
        <v>14.149444444444445</v>
      </c>
      <c r="P8819" s="8" t="s">
        <v>38491</v>
      </c>
      <c r="Q8819" s="8">
        <f>-(2+58/60+25/3600)</f>
        <v>-2.9736111111111114</v>
      </c>
      <c r="R8819" s="8">
        <v>14.6</v>
      </c>
      <c r="S8819" s="8">
        <v>15.4</v>
      </c>
      <c r="T8819" s="8">
        <v>0.8</v>
      </c>
      <c r="U8819" s="8">
        <v>12.8</v>
      </c>
      <c r="V8819" s="8">
        <v>0.7</v>
      </c>
      <c r="W8819" s="8">
        <v>0.3</v>
      </c>
      <c r="X8819" s="8">
        <v>33</v>
      </c>
      <c r="Y8819" s="8" t="s">
        <v>38492</v>
      </c>
      <c r="Z8819" s="8" t="s">
        <v>38493</v>
      </c>
    </row>
    <row r="8820" spans="1:26" x14ac:dyDescent="0.2">
      <c r="A8820" s="8">
        <v>8819</v>
      </c>
      <c r="B8820" s="8" t="s">
        <v>38494</v>
      </c>
      <c r="C8820" s="8" t="s">
        <v>38494</v>
      </c>
      <c r="G8820" s="8">
        <v>20</v>
      </c>
      <c r="H8820" s="8" t="s">
        <v>21</v>
      </c>
      <c r="I8820" s="8" t="s">
        <v>22</v>
      </c>
      <c r="J8820" s="8" t="s">
        <v>22</v>
      </c>
      <c r="K8820" s="8" t="s">
        <v>406</v>
      </c>
      <c r="L8820" s="8" t="s">
        <v>22476</v>
      </c>
      <c r="M8820" s="8" t="s">
        <v>22477</v>
      </c>
      <c r="N8820" s="8" t="s">
        <v>38495</v>
      </c>
      <c r="O8820" s="8">
        <f>14+9/60+32.3/3600</f>
        <v>14.158972222222223</v>
      </c>
      <c r="P8820" s="8" t="s">
        <v>38496</v>
      </c>
      <c r="Q8820" s="8">
        <f>+(14+49/60+54/3600)</f>
        <v>14.831666666666667</v>
      </c>
      <c r="R8820" s="8">
        <v>13.6</v>
      </c>
      <c r="S8820" s="8">
        <v>14.4</v>
      </c>
      <c r="T8820" s="8">
        <v>0.8</v>
      </c>
      <c r="U8820" s="8">
        <v>12.9</v>
      </c>
      <c r="V8820" s="8">
        <v>1</v>
      </c>
      <c r="W8820" s="8">
        <v>0.7</v>
      </c>
      <c r="X8820" s="8">
        <v>172</v>
      </c>
      <c r="Y8820" s="8" t="s">
        <v>3161</v>
      </c>
      <c r="Z8820" s="8" t="s">
        <v>3162</v>
      </c>
    </row>
    <row r="8821" spans="1:26" x14ac:dyDescent="0.2">
      <c r="A8821" s="8">
        <v>8820</v>
      </c>
      <c r="B8821" s="8" t="s">
        <v>38497</v>
      </c>
      <c r="C8821" s="8" t="s">
        <v>38497</v>
      </c>
      <c r="G8821" s="8">
        <v>20</v>
      </c>
      <c r="H8821" s="8" t="s">
        <v>21</v>
      </c>
      <c r="I8821" s="8" t="s">
        <v>22</v>
      </c>
      <c r="J8821" s="8" t="s">
        <v>22</v>
      </c>
      <c r="K8821" s="8" t="s">
        <v>460</v>
      </c>
      <c r="L8821" s="8" t="s">
        <v>17287</v>
      </c>
      <c r="M8821" s="8" t="s">
        <v>17288</v>
      </c>
      <c r="N8821" s="8" t="s">
        <v>38498</v>
      </c>
      <c r="O8821" s="8">
        <f>14+10/60+22.3/3600</f>
        <v>14.172861111111111</v>
      </c>
      <c r="P8821" s="8" t="s">
        <v>38499</v>
      </c>
      <c r="Q8821" s="8">
        <f>-(7+20/60+31/3600)</f>
        <v>-7.3419444444444437</v>
      </c>
      <c r="R8821" s="8">
        <v>14.5</v>
      </c>
      <c r="S8821" s="8">
        <v>15.5</v>
      </c>
      <c r="T8821" s="8">
        <v>1</v>
      </c>
      <c r="U8821" s="8">
        <v>13.1</v>
      </c>
      <c r="V8821" s="8">
        <v>0.5</v>
      </c>
      <c r="W8821" s="8">
        <v>0.5</v>
      </c>
      <c r="Y8821" s="8" t="s">
        <v>38500</v>
      </c>
      <c r="Z8821" s="8" t="s">
        <v>38501</v>
      </c>
    </row>
    <row r="8822" spans="1:26" x14ac:dyDescent="0.2">
      <c r="A8822" s="8">
        <v>8821</v>
      </c>
      <c r="B8822" s="8" t="s">
        <v>38502</v>
      </c>
      <c r="C8822" s="8" t="s">
        <v>38502</v>
      </c>
      <c r="G8822" s="8">
        <v>20</v>
      </c>
      <c r="H8822" s="8" t="s">
        <v>21</v>
      </c>
      <c r="I8822" s="8" t="s">
        <v>22</v>
      </c>
      <c r="J8822" s="8" t="s">
        <v>22</v>
      </c>
      <c r="K8822" s="8" t="s">
        <v>449</v>
      </c>
      <c r="L8822" s="8" t="s">
        <v>17287</v>
      </c>
      <c r="M8822" s="8" t="s">
        <v>17288</v>
      </c>
      <c r="N8822" s="8" t="s">
        <v>38503</v>
      </c>
      <c r="O8822" s="8">
        <f>14+10/60+28/3600</f>
        <v>14.174444444444443</v>
      </c>
      <c r="P8822" s="8" t="s">
        <v>7473</v>
      </c>
      <c r="Q8822" s="8">
        <f>-(4+10/60+19/3600)</f>
        <v>-4.1719444444444447</v>
      </c>
      <c r="R8822" s="8">
        <v>13.9</v>
      </c>
      <c r="S8822" s="8">
        <v>14.7</v>
      </c>
      <c r="T8822" s="8">
        <v>0.8</v>
      </c>
      <c r="U8822" s="8">
        <v>12.1</v>
      </c>
      <c r="V8822" s="8">
        <v>0.7</v>
      </c>
      <c r="W8822" s="8">
        <v>0.3</v>
      </c>
      <c r="X8822" s="8">
        <v>70</v>
      </c>
      <c r="Y8822" s="8" t="s">
        <v>34977</v>
      </c>
      <c r="Z8822" s="8" t="s">
        <v>34978</v>
      </c>
    </row>
    <row r="8823" spans="1:26" x14ac:dyDescent="0.2">
      <c r="A8823" s="8">
        <v>8822</v>
      </c>
      <c r="B8823" s="8" t="s">
        <v>38504</v>
      </c>
      <c r="C8823" s="8" t="s">
        <v>38504</v>
      </c>
      <c r="G8823" s="8">
        <v>20</v>
      </c>
      <c r="H8823" s="8" t="s">
        <v>21</v>
      </c>
      <c r="I8823" s="8" t="s">
        <v>22</v>
      </c>
      <c r="J8823" s="8" t="s">
        <v>22</v>
      </c>
      <c r="K8823" s="8" t="s">
        <v>37</v>
      </c>
      <c r="L8823" s="8" t="s">
        <v>22476</v>
      </c>
      <c r="M8823" s="8" t="s">
        <v>22477</v>
      </c>
      <c r="N8823" s="8" t="s">
        <v>38505</v>
      </c>
      <c r="O8823" s="8">
        <f>14+9/60+59/3600</f>
        <v>14.166388888888889</v>
      </c>
      <c r="P8823" s="8" t="s">
        <v>38506</v>
      </c>
      <c r="Q8823" s="8">
        <f>+(17+41/60+48/3600)</f>
        <v>17.696666666666665</v>
      </c>
      <c r="R8823" s="8">
        <v>13</v>
      </c>
      <c r="S8823" s="8">
        <v>14</v>
      </c>
      <c r="T8823" s="8">
        <v>1</v>
      </c>
      <c r="U8823" s="8">
        <v>12.9</v>
      </c>
      <c r="V8823" s="8">
        <v>1</v>
      </c>
      <c r="W8823" s="8">
        <v>1</v>
      </c>
      <c r="Y8823" s="8" t="s">
        <v>21</v>
      </c>
      <c r="Z8823" s="8" t="s">
        <v>38507</v>
      </c>
    </row>
    <row r="8824" spans="1:26" x14ac:dyDescent="0.2">
      <c r="A8824" s="8">
        <v>8823</v>
      </c>
      <c r="B8824" s="8" t="s">
        <v>38508</v>
      </c>
      <c r="C8824" s="8" t="s">
        <v>38508</v>
      </c>
      <c r="G8824" s="8">
        <v>20</v>
      </c>
      <c r="H8824" s="8" t="s">
        <v>21</v>
      </c>
      <c r="I8824" s="8" t="s">
        <v>22</v>
      </c>
      <c r="J8824" s="8" t="s">
        <v>22</v>
      </c>
      <c r="K8824" s="8" t="s">
        <v>406</v>
      </c>
      <c r="L8824" s="8" t="s">
        <v>22476</v>
      </c>
      <c r="M8824" s="8" t="s">
        <v>22477</v>
      </c>
      <c r="N8824" s="8" t="s">
        <v>38509</v>
      </c>
      <c r="O8824" s="8">
        <f>14+10/60+4.3/3600</f>
        <v>14.16786111111111</v>
      </c>
      <c r="P8824" s="8" t="s">
        <v>38510</v>
      </c>
      <c r="Q8824" s="8">
        <f>+(17+44/60+4/3600)</f>
        <v>17.734444444444446</v>
      </c>
      <c r="R8824" s="8">
        <v>11.7</v>
      </c>
      <c r="S8824" s="8">
        <v>12.5</v>
      </c>
      <c r="T8824" s="8">
        <v>0.8</v>
      </c>
      <c r="U8824" s="8">
        <v>15.1</v>
      </c>
      <c r="V8824" s="8">
        <v>3.9</v>
      </c>
      <c r="W8824" s="8">
        <v>2.6</v>
      </c>
      <c r="X8824" s="8">
        <v>126</v>
      </c>
      <c r="Y8824" s="8" t="s">
        <v>21</v>
      </c>
      <c r="Z8824" s="8" t="s">
        <v>38511</v>
      </c>
    </row>
    <row r="8825" spans="1:26" x14ac:dyDescent="0.2">
      <c r="A8825" s="8">
        <v>8824</v>
      </c>
      <c r="B8825" s="8" t="s">
        <v>38512</v>
      </c>
      <c r="C8825" s="8" t="s">
        <v>38512</v>
      </c>
      <c r="G8825" s="8">
        <v>20</v>
      </c>
      <c r="H8825" s="8" t="s">
        <v>21</v>
      </c>
      <c r="I8825" s="8" t="s">
        <v>22</v>
      </c>
      <c r="J8825" s="8" t="s">
        <v>22</v>
      </c>
      <c r="K8825" s="8" t="s">
        <v>23</v>
      </c>
      <c r="L8825" s="8" t="s">
        <v>22476</v>
      </c>
      <c r="M8825" s="8" t="s">
        <v>22477</v>
      </c>
      <c r="N8825" s="8" t="s">
        <v>38513</v>
      </c>
      <c r="O8825" s="8">
        <f>14+10/60+7.6/3600</f>
        <v>14.168777777777777</v>
      </c>
      <c r="P8825" s="8" t="s">
        <v>38514</v>
      </c>
      <c r="Q8825" s="8">
        <f>+(18+21/60+51/3600)</f>
        <v>18.364166666666669</v>
      </c>
      <c r="R8825" s="8">
        <v>13.5</v>
      </c>
      <c r="S8825" s="8">
        <v>14.3</v>
      </c>
      <c r="T8825" s="8">
        <v>0.8</v>
      </c>
      <c r="U8825" s="8">
        <v>13.3</v>
      </c>
      <c r="V8825" s="8">
        <v>1.9</v>
      </c>
      <c r="W8825" s="8">
        <v>0.5</v>
      </c>
      <c r="X8825" s="8">
        <v>35</v>
      </c>
      <c r="Y8825" s="8" t="s">
        <v>38515</v>
      </c>
      <c r="Z8825" s="8" t="s">
        <v>38516</v>
      </c>
    </row>
    <row r="8826" spans="1:26" x14ac:dyDescent="0.2">
      <c r="A8826" s="8">
        <v>8825</v>
      </c>
      <c r="B8826" s="8" t="s">
        <v>38517</v>
      </c>
      <c r="C8826" s="8" t="s">
        <v>38517</v>
      </c>
      <c r="G8826" s="8">
        <v>20</v>
      </c>
      <c r="H8826" s="8" t="s">
        <v>21</v>
      </c>
      <c r="I8826" s="8" t="s">
        <v>22</v>
      </c>
      <c r="J8826" s="8" t="s">
        <v>22</v>
      </c>
      <c r="K8826" s="8" t="s">
        <v>23</v>
      </c>
      <c r="L8826" s="8" t="s">
        <v>17287</v>
      </c>
      <c r="M8826" s="8" t="s">
        <v>17288</v>
      </c>
      <c r="N8826" s="8" t="s">
        <v>38518</v>
      </c>
      <c r="O8826" s="8">
        <f>14+11/60+33/3600</f>
        <v>14.192500000000001</v>
      </c>
      <c r="P8826" s="8" t="s">
        <v>38519</v>
      </c>
      <c r="Q8826" s="8">
        <f>-(3+13/60+11/3600)</f>
        <v>-3.2197222222222224</v>
      </c>
      <c r="R8826" s="8">
        <v>13.9</v>
      </c>
      <c r="S8826" s="8">
        <v>14.7</v>
      </c>
      <c r="T8826" s="8">
        <v>0.8</v>
      </c>
      <c r="U8826" s="8">
        <v>11.7</v>
      </c>
      <c r="V8826" s="8">
        <v>0.5</v>
      </c>
      <c r="W8826" s="8">
        <v>0.3</v>
      </c>
      <c r="X8826" s="8">
        <v>54</v>
      </c>
      <c r="Y8826" s="8" t="s">
        <v>962</v>
      </c>
      <c r="Z8826" s="8" t="s">
        <v>963</v>
      </c>
    </row>
    <row r="8827" spans="1:26" x14ac:dyDescent="0.2">
      <c r="A8827" s="8">
        <v>8826</v>
      </c>
      <c r="B8827" s="8" t="s">
        <v>38520</v>
      </c>
      <c r="C8827" s="8" t="s">
        <v>38520</v>
      </c>
      <c r="G8827" s="8">
        <v>20</v>
      </c>
      <c r="H8827" s="8" t="s">
        <v>21</v>
      </c>
      <c r="I8827" s="8" t="s">
        <v>22</v>
      </c>
      <c r="J8827" s="8" t="s">
        <v>22</v>
      </c>
      <c r="K8827" s="8" t="s">
        <v>460</v>
      </c>
      <c r="L8827" s="8" t="s">
        <v>17287</v>
      </c>
      <c r="M8827" s="8" t="s">
        <v>17288</v>
      </c>
      <c r="N8827" s="8" t="s">
        <v>38521</v>
      </c>
      <c r="O8827" s="8">
        <f>14+11/60+26.2/3600</f>
        <v>14.190611111111112</v>
      </c>
      <c r="P8827" s="8" t="s">
        <v>38522</v>
      </c>
      <c r="Q8827" s="8">
        <f>+(1+17/60+13/3600)</f>
        <v>1.2869444444444442</v>
      </c>
      <c r="R8827" s="8">
        <v>14</v>
      </c>
      <c r="S8827" s="8">
        <v>15</v>
      </c>
      <c r="T8827" s="8">
        <v>1</v>
      </c>
      <c r="U8827" s="8">
        <v>13</v>
      </c>
      <c r="V8827" s="8">
        <v>0.6</v>
      </c>
      <c r="W8827" s="8">
        <v>0.6</v>
      </c>
      <c r="Y8827" s="8" t="s">
        <v>38523</v>
      </c>
      <c r="Z8827" s="8" t="s">
        <v>38524</v>
      </c>
    </row>
    <row r="8828" spans="1:26" x14ac:dyDescent="0.2">
      <c r="A8828" s="8">
        <v>8827</v>
      </c>
      <c r="B8828" s="8" t="s">
        <v>38525</v>
      </c>
      <c r="C8828" s="8" t="s">
        <v>38525</v>
      </c>
      <c r="G8828" s="8">
        <v>20</v>
      </c>
      <c r="H8828" s="8" t="s">
        <v>21</v>
      </c>
      <c r="I8828" s="8" t="s">
        <v>22</v>
      </c>
      <c r="J8828" s="8" t="s">
        <v>22</v>
      </c>
      <c r="K8828" s="8" t="s">
        <v>476</v>
      </c>
      <c r="L8828" s="8" t="s">
        <v>22476</v>
      </c>
      <c r="M8828" s="8" t="s">
        <v>22477</v>
      </c>
      <c r="N8828" s="8" t="s">
        <v>38526</v>
      </c>
      <c r="O8828" s="8">
        <f>14+11/60+31.9/3600</f>
        <v>14.192194444444445</v>
      </c>
      <c r="P8828" s="8" t="s">
        <v>38527</v>
      </c>
      <c r="Q8828" s="8">
        <f>+(19+10/60+19/3600)</f>
        <v>19.171944444444446</v>
      </c>
      <c r="R8828" s="8">
        <v>14.4</v>
      </c>
      <c r="S8828" s="8">
        <v>15.2</v>
      </c>
      <c r="T8828" s="8">
        <v>0.8</v>
      </c>
      <c r="U8828" s="8">
        <v>14</v>
      </c>
      <c r="V8828" s="8">
        <v>1.3</v>
      </c>
      <c r="W8828" s="8">
        <v>0.6</v>
      </c>
      <c r="X8828" s="8">
        <v>87</v>
      </c>
      <c r="Y8828" s="8" t="s">
        <v>38528</v>
      </c>
      <c r="Z8828" s="8" t="s">
        <v>38529</v>
      </c>
    </row>
    <row r="8829" spans="1:26" x14ac:dyDescent="0.2">
      <c r="A8829" s="8">
        <v>8828</v>
      </c>
      <c r="B8829" s="8" t="s">
        <v>38530</v>
      </c>
      <c r="C8829" s="8" t="s">
        <v>38530</v>
      </c>
      <c r="G8829" s="8">
        <v>20</v>
      </c>
      <c r="H8829" s="8" t="s">
        <v>21</v>
      </c>
      <c r="I8829" s="8" t="s">
        <v>22</v>
      </c>
      <c r="J8829" s="8" t="s">
        <v>22</v>
      </c>
      <c r="K8829" s="8" t="s">
        <v>58</v>
      </c>
      <c r="L8829" s="8" t="s">
        <v>17287</v>
      </c>
      <c r="M8829" s="8" t="s">
        <v>17288</v>
      </c>
      <c r="N8829" s="8" t="s">
        <v>38531</v>
      </c>
      <c r="O8829" s="8">
        <f>14+14/60+32/3600</f>
        <v>14.242222222222221</v>
      </c>
      <c r="P8829" s="8" t="s">
        <v>38532</v>
      </c>
      <c r="Q8829" s="8">
        <f>+(3+11/60+27/3600)</f>
        <v>3.190833333333333</v>
      </c>
      <c r="R8829" s="8">
        <v>14.1</v>
      </c>
      <c r="S8829" s="8">
        <v>15.1</v>
      </c>
      <c r="T8829" s="8">
        <v>1</v>
      </c>
      <c r="U8829" s="8">
        <v>12.4</v>
      </c>
      <c r="V8829" s="8">
        <v>0.5</v>
      </c>
      <c r="W8829" s="8">
        <v>0.4</v>
      </c>
      <c r="X8829" s="8">
        <v>54</v>
      </c>
      <c r="Y8829" s="8" t="s">
        <v>2181</v>
      </c>
      <c r="Z8829" s="8" t="s">
        <v>2182</v>
      </c>
    </row>
    <row r="8830" spans="1:26" x14ac:dyDescent="0.2">
      <c r="A8830" s="8">
        <v>8829</v>
      </c>
      <c r="B8830" s="8" t="s">
        <v>38533</v>
      </c>
      <c r="C8830" s="8" t="s">
        <v>38533</v>
      </c>
      <c r="G8830" s="8">
        <v>20</v>
      </c>
      <c r="H8830" s="8" t="s">
        <v>21</v>
      </c>
      <c r="I8830" s="8" t="s">
        <v>22</v>
      </c>
      <c r="J8830" s="8" t="s">
        <v>22</v>
      </c>
      <c r="K8830" s="8" t="s">
        <v>1136</v>
      </c>
      <c r="L8830" s="8" t="s">
        <v>17287</v>
      </c>
      <c r="M8830" s="8" t="s">
        <v>17288</v>
      </c>
      <c r="N8830" s="8" t="s">
        <v>38534</v>
      </c>
      <c r="O8830" s="8">
        <f>14+14/60+51.2/3600</f>
        <v>14.247555555555556</v>
      </c>
      <c r="P8830" s="8" t="s">
        <v>38535</v>
      </c>
      <c r="Q8830" s="8">
        <f>+(3+7/60+52/3600)</f>
        <v>3.1311111111111112</v>
      </c>
      <c r="R8830" s="8">
        <v>13.1</v>
      </c>
      <c r="S8830" s="8">
        <v>14</v>
      </c>
      <c r="T8830" s="8">
        <v>0.9</v>
      </c>
      <c r="U8830" s="8">
        <v>13.4</v>
      </c>
      <c r="V8830" s="8">
        <v>1.3</v>
      </c>
      <c r="W8830" s="8">
        <v>1.1000000000000001</v>
      </c>
      <c r="X8830" s="8">
        <v>63</v>
      </c>
      <c r="Y8830" s="8" t="s">
        <v>3952</v>
      </c>
      <c r="Z8830" s="8" t="s">
        <v>3953</v>
      </c>
    </row>
    <row r="8831" spans="1:26" x14ac:dyDescent="0.2">
      <c r="A8831" s="8">
        <v>8830</v>
      </c>
      <c r="B8831" s="8" t="s">
        <v>38536</v>
      </c>
      <c r="C8831" s="8" t="s">
        <v>38536</v>
      </c>
      <c r="G8831" s="8">
        <v>20</v>
      </c>
      <c r="H8831" s="8" t="s">
        <v>21</v>
      </c>
      <c r="I8831" s="8" t="s">
        <v>22</v>
      </c>
      <c r="J8831" s="8" t="s">
        <v>22</v>
      </c>
      <c r="K8831" s="8" t="s">
        <v>37</v>
      </c>
      <c r="L8831" s="8" t="s">
        <v>22476</v>
      </c>
      <c r="M8831" s="8" t="s">
        <v>22477</v>
      </c>
      <c r="N8831" s="8" t="s">
        <v>38537</v>
      </c>
      <c r="O8831" s="8">
        <f>14+15/60+49.1/3600</f>
        <v>14.263638888888888</v>
      </c>
      <c r="P8831" s="8" t="s">
        <v>38538</v>
      </c>
      <c r="Q8831" s="8">
        <f>+(39+47/60+54/3600)</f>
        <v>39.798333333333332</v>
      </c>
      <c r="R8831" s="8">
        <v>14.7</v>
      </c>
      <c r="S8831" s="8">
        <v>15.7</v>
      </c>
      <c r="T8831" s="8">
        <v>1</v>
      </c>
      <c r="U8831" s="8">
        <v>13</v>
      </c>
      <c r="V8831" s="8">
        <v>0.6</v>
      </c>
      <c r="W8831" s="8">
        <v>0.4</v>
      </c>
      <c r="X8831" s="8">
        <v>51</v>
      </c>
      <c r="Y8831" s="8" t="s">
        <v>17508</v>
      </c>
      <c r="Z8831" s="8" t="s">
        <v>17509</v>
      </c>
    </row>
    <row r="8832" spans="1:26" x14ac:dyDescent="0.2">
      <c r="A8832" s="8">
        <v>8831</v>
      </c>
      <c r="B8832" s="8" t="s">
        <v>38539</v>
      </c>
      <c r="C8832" s="8" t="s">
        <v>38539</v>
      </c>
      <c r="G8832" s="8">
        <v>20</v>
      </c>
      <c r="H8832" s="8" t="s">
        <v>21</v>
      </c>
      <c r="I8832" s="8" t="s">
        <v>22</v>
      </c>
      <c r="J8832" s="8" t="s">
        <v>22</v>
      </c>
      <c r="K8832" s="8" t="s">
        <v>160</v>
      </c>
      <c r="L8832" s="8" t="s">
        <v>17287</v>
      </c>
      <c r="M8832" s="8" t="s">
        <v>17288</v>
      </c>
      <c r="N8832" s="8" t="s">
        <v>38540</v>
      </c>
      <c r="O8832" s="8">
        <f>14+17/60+48.6/3600</f>
        <v>14.296833333333334</v>
      </c>
      <c r="P8832" s="8" t="s">
        <v>38541</v>
      </c>
      <c r="Q8832" s="8">
        <f>-(13+52/60+23/3600)</f>
        <v>-13.873055555555556</v>
      </c>
      <c r="R8832" s="8">
        <v>13.1</v>
      </c>
      <c r="S8832" s="8">
        <v>13.8</v>
      </c>
      <c r="T8832" s="8">
        <v>0.7</v>
      </c>
      <c r="U8832" s="8">
        <v>13.3</v>
      </c>
      <c r="V8832" s="8">
        <v>1.5</v>
      </c>
      <c r="W8832" s="8">
        <v>0.9</v>
      </c>
      <c r="X8832" s="8">
        <v>109</v>
      </c>
      <c r="Y8832" s="8" t="s">
        <v>4065</v>
      </c>
      <c r="Z8832" s="8" t="s">
        <v>4066</v>
      </c>
    </row>
    <row r="8833" spans="1:26" x14ac:dyDescent="0.2">
      <c r="A8833" s="8">
        <v>8832</v>
      </c>
      <c r="B8833" s="8" t="s">
        <v>38542</v>
      </c>
      <c r="C8833" s="8" t="s">
        <v>38542</v>
      </c>
      <c r="G8833" s="8">
        <v>20</v>
      </c>
      <c r="H8833" s="8" t="s">
        <v>21</v>
      </c>
      <c r="I8833" s="8" t="s">
        <v>22</v>
      </c>
      <c r="J8833" s="8" t="s">
        <v>22</v>
      </c>
      <c r="K8833" s="8" t="s">
        <v>160</v>
      </c>
      <c r="L8833" s="8" t="s">
        <v>17287</v>
      </c>
      <c r="M8833" s="8" t="s">
        <v>17288</v>
      </c>
      <c r="N8833" s="8" t="s">
        <v>38543</v>
      </c>
      <c r="O8833" s="8">
        <f>14+18/60+14.8/3600</f>
        <v>14.304111111111112</v>
      </c>
      <c r="P8833" s="8" t="s">
        <v>38544</v>
      </c>
      <c r="Q8833" s="8">
        <f>+(0+53/60+26/3600)</f>
        <v>0.89055555555555554</v>
      </c>
      <c r="R8833" s="8">
        <v>13.9</v>
      </c>
      <c r="S8833" s="8">
        <v>14.6</v>
      </c>
      <c r="T8833" s="8">
        <v>0.7</v>
      </c>
      <c r="U8833" s="8">
        <v>13.8</v>
      </c>
      <c r="V8833" s="8">
        <v>1.3</v>
      </c>
      <c r="W8833" s="8">
        <v>0.8</v>
      </c>
      <c r="X8833" s="8">
        <v>130</v>
      </c>
      <c r="Y8833" s="8" t="s">
        <v>38545</v>
      </c>
      <c r="Z8833" s="8" t="s">
        <v>38546</v>
      </c>
    </row>
    <row r="8834" spans="1:26" x14ac:dyDescent="0.2">
      <c r="A8834" s="8">
        <v>8833</v>
      </c>
      <c r="B8834" s="8" t="s">
        <v>38547</v>
      </c>
      <c r="C8834" s="8" t="s">
        <v>38547</v>
      </c>
      <c r="G8834" s="8">
        <v>20</v>
      </c>
      <c r="H8834" s="8" t="s">
        <v>21</v>
      </c>
      <c r="I8834" s="8" t="s">
        <v>22</v>
      </c>
      <c r="J8834" s="8" t="s">
        <v>22</v>
      </c>
      <c r="K8834" s="8" t="s">
        <v>449</v>
      </c>
      <c r="L8834" s="8" t="s">
        <v>22476</v>
      </c>
      <c r="M8834" s="8" t="s">
        <v>22477</v>
      </c>
      <c r="N8834" s="8" t="s">
        <v>38548</v>
      </c>
      <c r="O8834" s="8">
        <f>14+18/60+18.6/3600</f>
        <v>14.305166666666667</v>
      </c>
      <c r="P8834" s="8" t="s">
        <v>38549</v>
      </c>
      <c r="Q8834" s="8">
        <f>+(11+12/60+59/3600)</f>
        <v>11.216388888888888</v>
      </c>
      <c r="R8834" s="8">
        <v>14.9</v>
      </c>
      <c r="S8834" s="8">
        <v>15.7</v>
      </c>
      <c r="T8834" s="8">
        <v>0.8</v>
      </c>
      <c r="U8834" s="8">
        <v>11.7</v>
      </c>
      <c r="V8834" s="8">
        <v>0.3</v>
      </c>
      <c r="W8834" s="8">
        <v>0.2</v>
      </c>
      <c r="X8834" s="8">
        <v>160</v>
      </c>
      <c r="Y8834" s="8" t="s">
        <v>38550</v>
      </c>
      <c r="Z8834" s="8" t="s">
        <v>38551</v>
      </c>
    </row>
    <row r="8835" spans="1:26" x14ac:dyDescent="0.2">
      <c r="A8835" s="8">
        <v>8834</v>
      </c>
      <c r="B8835" s="8" t="s">
        <v>38552</v>
      </c>
      <c r="C8835" s="8" t="s">
        <v>38552</v>
      </c>
      <c r="G8835" s="8">
        <v>20</v>
      </c>
      <c r="H8835" s="8" t="s">
        <v>21</v>
      </c>
      <c r="I8835" s="8" t="s">
        <v>22</v>
      </c>
      <c r="J8835" s="8" t="s">
        <v>22</v>
      </c>
      <c r="K8835" s="8" t="s">
        <v>91</v>
      </c>
      <c r="L8835" s="8" t="s">
        <v>22476</v>
      </c>
      <c r="M8835" s="8" t="s">
        <v>22477</v>
      </c>
      <c r="N8835" s="8" t="s">
        <v>38553</v>
      </c>
      <c r="O8835" s="8">
        <f>14+18/60+22.5/3600</f>
        <v>14.30625</v>
      </c>
      <c r="P8835" s="8" t="s">
        <v>38554</v>
      </c>
      <c r="Q8835" s="8">
        <f>+(11+11/60+43/3600)</f>
        <v>11.195277777777777</v>
      </c>
      <c r="R8835" s="8">
        <v>13.4</v>
      </c>
      <c r="S8835" s="8">
        <v>14.3</v>
      </c>
      <c r="T8835" s="8">
        <v>0.9</v>
      </c>
      <c r="U8835" s="8">
        <v>12.8</v>
      </c>
      <c r="V8835" s="8">
        <v>1.3</v>
      </c>
      <c r="W8835" s="8">
        <v>0.5</v>
      </c>
      <c r="X8835" s="8">
        <v>13</v>
      </c>
      <c r="Y8835" s="8" t="s">
        <v>12996</v>
      </c>
      <c r="Z8835" s="8" t="s">
        <v>12997</v>
      </c>
    </row>
    <row r="8836" spans="1:26" x14ac:dyDescent="0.2">
      <c r="A8836" s="8">
        <v>8835</v>
      </c>
      <c r="B8836" s="8" t="s">
        <v>38555</v>
      </c>
      <c r="C8836" s="8" t="s">
        <v>38555</v>
      </c>
      <c r="G8836" s="8">
        <v>20</v>
      </c>
      <c r="H8836" s="8" t="s">
        <v>21</v>
      </c>
      <c r="I8836" s="8" t="s">
        <v>22</v>
      </c>
      <c r="J8836" s="8" t="s">
        <v>22</v>
      </c>
      <c r="K8836" s="8" t="s">
        <v>269</v>
      </c>
      <c r="L8836" s="8" t="s">
        <v>12015</v>
      </c>
      <c r="M8836" s="8" t="s">
        <v>12016</v>
      </c>
      <c r="N8836" s="8" t="s">
        <v>38556</v>
      </c>
      <c r="O8836" s="8">
        <f>14+16/60+31.2/3600</f>
        <v>14.275333333333334</v>
      </c>
      <c r="P8836" s="8" t="s">
        <v>38557</v>
      </c>
      <c r="Q8836" s="8">
        <f>+(57+48/60+36/3600)</f>
        <v>57.809999999999995</v>
      </c>
      <c r="R8836" s="8">
        <v>14</v>
      </c>
      <c r="S8836" s="8">
        <v>14.6</v>
      </c>
      <c r="T8836" s="8">
        <v>0.6</v>
      </c>
      <c r="U8836" s="8">
        <v>13.4</v>
      </c>
      <c r="V8836" s="8">
        <v>1.6</v>
      </c>
      <c r="W8836" s="8">
        <v>0.4</v>
      </c>
      <c r="X8836" s="8">
        <v>147</v>
      </c>
      <c r="Y8836" s="8" t="s">
        <v>25564</v>
      </c>
      <c r="Z8836" s="8" t="s">
        <v>25565</v>
      </c>
    </row>
    <row r="8837" spans="1:26" x14ac:dyDescent="0.2">
      <c r="A8837" s="8">
        <v>8836</v>
      </c>
      <c r="B8837" s="8" t="s">
        <v>38558</v>
      </c>
      <c r="C8837" s="8" t="s">
        <v>38558</v>
      </c>
      <c r="G8837" s="8">
        <v>20</v>
      </c>
      <c r="H8837" s="8" t="s">
        <v>21</v>
      </c>
      <c r="I8837" s="8" t="s">
        <v>22</v>
      </c>
      <c r="J8837" s="8" t="s">
        <v>22</v>
      </c>
      <c r="K8837" s="8" t="s">
        <v>396</v>
      </c>
      <c r="L8837" s="8" t="s">
        <v>12015</v>
      </c>
      <c r="M8837" s="8" t="s">
        <v>12016</v>
      </c>
      <c r="N8837" s="8" t="s">
        <v>38559</v>
      </c>
      <c r="O8837" s="8">
        <f>14+17/60+21.8/3600</f>
        <v>14.289388888888888</v>
      </c>
      <c r="P8837" s="8" t="s">
        <v>38560</v>
      </c>
      <c r="Q8837" s="8">
        <f>+(57+37/60+48/3600)</f>
        <v>57.63</v>
      </c>
      <c r="R8837" s="8">
        <v>14</v>
      </c>
      <c r="S8837" s="8">
        <v>14.8</v>
      </c>
      <c r="T8837" s="8">
        <v>0.8</v>
      </c>
      <c r="U8837" s="8">
        <v>12.5</v>
      </c>
      <c r="V8837" s="8">
        <v>1.4</v>
      </c>
      <c r="W8837" s="8">
        <v>0.2</v>
      </c>
      <c r="X8837" s="8">
        <v>155</v>
      </c>
      <c r="Y8837" s="8" t="s">
        <v>29609</v>
      </c>
      <c r="Z8837" s="8" t="s">
        <v>29610</v>
      </c>
    </row>
    <row r="8838" spans="1:26" x14ac:dyDescent="0.2">
      <c r="A8838" s="8">
        <v>8837</v>
      </c>
      <c r="B8838" s="8" t="s">
        <v>38561</v>
      </c>
      <c r="C8838" s="8" t="s">
        <v>38561</v>
      </c>
      <c r="G8838" s="8">
        <v>20</v>
      </c>
      <c r="H8838" s="8" t="s">
        <v>21</v>
      </c>
      <c r="I8838" s="8" t="s">
        <v>22</v>
      </c>
      <c r="J8838" s="8" t="s">
        <v>22</v>
      </c>
      <c r="K8838" s="8" t="s">
        <v>154</v>
      </c>
      <c r="L8838" s="8" t="s">
        <v>17287</v>
      </c>
      <c r="M8838" s="8" t="s">
        <v>17288</v>
      </c>
      <c r="N8838" s="8" t="s">
        <v>38562</v>
      </c>
      <c r="O8838" s="8">
        <f>14+19/60+25.1/3600</f>
        <v>14.323638888888889</v>
      </c>
      <c r="P8838" s="8" t="s">
        <v>38563</v>
      </c>
      <c r="Q8838" s="8">
        <f>-(4+29/60+24/3600)</f>
        <v>-4.49</v>
      </c>
      <c r="R8838" s="8">
        <v>14.2</v>
      </c>
      <c r="S8838" s="8">
        <v>15.1</v>
      </c>
      <c r="T8838" s="8">
        <v>0.9</v>
      </c>
      <c r="U8838" s="8">
        <v>13.7</v>
      </c>
      <c r="V8838" s="8">
        <v>1.4</v>
      </c>
      <c r="W8838" s="8">
        <v>0.5</v>
      </c>
      <c r="X8838" s="8">
        <v>21</v>
      </c>
      <c r="Y8838" s="8" t="s">
        <v>38564</v>
      </c>
      <c r="Z8838" s="8" t="s">
        <v>38565</v>
      </c>
    </row>
    <row r="8839" spans="1:26" x14ac:dyDescent="0.2">
      <c r="A8839" s="8">
        <v>8838</v>
      </c>
      <c r="B8839" s="8" t="s">
        <v>38566</v>
      </c>
      <c r="C8839" s="8" t="s">
        <v>38566</v>
      </c>
      <c r="E8839" s="8">
        <v>1</v>
      </c>
      <c r="G8839" s="8">
        <v>20</v>
      </c>
      <c r="H8839" s="8" t="s">
        <v>21</v>
      </c>
      <c r="I8839" s="8" t="s">
        <v>22</v>
      </c>
      <c r="J8839" s="8" t="s">
        <v>22</v>
      </c>
      <c r="K8839" s="8" t="s">
        <v>476</v>
      </c>
      <c r="L8839" s="8" t="s">
        <v>17287</v>
      </c>
      <c r="M8839" s="8" t="s">
        <v>17288</v>
      </c>
      <c r="N8839" s="8" t="s">
        <v>38567</v>
      </c>
      <c r="O8839" s="8">
        <f>14+19/60+59.2/3600</f>
        <v>14.33311111111111</v>
      </c>
      <c r="P8839" s="8" t="s">
        <v>38568</v>
      </c>
      <c r="Q8839" s="8">
        <f>-(4+27/60+8/3600)</f>
        <v>-4.4522222222222227</v>
      </c>
      <c r="R8839" s="8">
        <v>12.8</v>
      </c>
      <c r="S8839" s="8">
        <v>13.7</v>
      </c>
      <c r="T8839" s="8">
        <v>0.9</v>
      </c>
      <c r="U8839" s="8">
        <v>12.7</v>
      </c>
      <c r="V8839" s="8">
        <v>1.4</v>
      </c>
      <c r="W8839" s="8">
        <v>0.7</v>
      </c>
      <c r="X8839" s="8">
        <v>23</v>
      </c>
      <c r="Y8839" s="8" t="s">
        <v>4937</v>
      </c>
      <c r="Z8839" s="8" t="s">
        <v>4938</v>
      </c>
    </row>
    <row r="8840" spans="1:26" x14ac:dyDescent="0.2">
      <c r="A8840" s="8">
        <v>8839</v>
      </c>
      <c r="B8840" s="8" t="s">
        <v>38569</v>
      </c>
      <c r="C8840" s="8" t="s">
        <v>38569</v>
      </c>
      <c r="G8840" s="8">
        <v>20</v>
      </c>
      <c r="H8840" s="8" t="s">
        <v>21</v>
      </c>
      <c r="I8840" s="8" t="s">
        <v>22</v>
      </c>
      <c r="J8840" s="8" t="s">
        <v>22</v>
      </c>
      <c r="K8840" s="8" t="s">
        <v>37</v>
      </c>
      <c r="L8840" s="8" t="s">
        <v>22476</v>
      </c>
      <c r="M8840" s="8" t="s">
        <v>22477</v>
      </c>
      <c r="N8840" s="8" t="s">
        <v>38570</v>
      </c>
      <c r="O8840" s="8">
        <f>14+19/60+32.6/3600</f>
        <v>14.325722222222222</v>
      </c>
      <c r="P8840" s="8" t="s">
        <v>38571</v>
      </c>
      <c r="Q8840" s="8">
        <f>+(17+52/60+33/3600)</f>
        <v>17.875833333333333</v>
      </c>
      <c r="R8840" s="8">
        <v>13.9</v>
      </c>
      <c r="S8840" s="8">
        <v>14.9</v>
      </c>
      <c r="T8840" s="8">
        <v>1</v>
      </c>
      <c r="U8840" s="8">
        <v>12.5</v>
      </c>
      <c r="V8840" s="8">
        <v>0.8</v>
      </c>
      <c r="W8840" s="8">
        <v>0.4</v>
      </c>
      <c r="X8840" s="8">
        <v>142</v>
      </c>
      <c r="Y8840" s="8" t="s">
        <v>38572</v>
      </c>
      <c r="Z8840" s="8" t="s">
        <v>38573</v>
      </c>
    </row>
    <row r="8841" spans="1:26" x14ac:dyDescent="0.2">
      <c r="A8841" s="8">
        <v>8840</v>
      </c>
      <c r="B8841" s="8" t="s">
        <v>38574</v>
      </c>
      <c r="C8841" s="8" t="s">
        <v>38574</v>
      </c>
      <c r="G8841" s="8">
        <v>20</v>
      </c>
      <c r="H8841" s="8" t="s">
        <v>21</v>
      </c>
      <c r="I8841" s="8" t="s">
        <v>22</v>
      </c>
      <c r="J8841" s="8" t="s">
        <v>22</v>
      </c>
      <c r="K8841" s="8" t="s">
        <v>37</v>
      </c>
      <c r="L8841" s="8" t="s">
        <v>22476</v>
      </c>
      <c r="M8841" s="8" t="s">
        <v>22477</v>
      </c>
      <c r="N8841" s="8" t="s">
        <v>38575</v>
      </c>
      <c r="O8841" s="8">
        <f>14+19/60+40.2/3600</f>
        <v>14.327833333333333</v>
      </c>
      <c r="P8841" s="8" t="s">
        <v>38576</v>
      </c>
      <c r="Q8841" s="8">
        <f>+(17+51/60+18/3600)</f>
        <v>17.855</v>
      </c>
      <c r="R8841" s="8">
        <v>13.7</v>
      </c>
      <c r="S8841" s="8">
        <v>14.7</v>
      </c>
      <c r="T8841" s="8">
        <v>1</v>
      </c>
      <c r="U8841" s="8">
        <v>12.7</v>
      </c>
      <c r="V8841" s="8">
        <v>0.9</v>
      </c>
      <c r="W8841" s="8">
        <v>0.5</v>
      </c>
      <c r="X8841" s="8">
        <v>23</v>
      </c>
      <c r="Y8841" s="8" t="s">
        <v>38572</v>
      </c>
      <c r="Z8841" s="8" t="s">
        <v>38573</v>
      </c>
    </row>
    <row r="8842" spans="1:26" x14ac:dyDescent="0.2">
      <c r="A8842" s="8">
        <v>8841</v>
      </c>
      <c r="B8842" s="8" t="s">
        <v>38577</v>
      </c>
      <c r="C8842" s="8" t="s">
        <v>38577</v>
      </c>
      <c r="G8842" s="8">
        <v>20</v>
      </c>
      <c r="H8842" s="8" t="s">
        <v>21</v>
      </c>
      <c r="I8842" s="8" t="s">
        <v>22</v>
      </c>
      <c r="J8842" s="8" t="s">
        <v>22</v>
      </c>
      <c r="K8842" s="8" t="s">
        <v>449</v>
      </c>
      <c r="L8842" s="8" t="s">
        <v>17287</v>
      </c>
      <c r="M8842" s="8" t="s">
        <v>17288</v>
      </c>
      <c r="N8842" s="8" t="s">
        <v>38578</v>
      </c>
      <c r="O8842" s="8">
        <f>14+20/60+39.6/3600</f>
        <v>14.344333333333333</v>
      </c>
      <c r="P8842" s="8" t="s">
        <v>38579</v>
      </c>
      <c r="Q8842" s="8">
        <f>+(5+25/60+40/3600)</f>
        <v>5.427777777777778</v>
      </c>
      <c r="R8842" s="8">
        <v>13.9</v>
      </c>
      <c r="S8842" s="8">
        <v>14.7</v>
      </c>
      <c r="T8842" s="8">
        <v>0.8</v>
      </c>
      <c r="U8842" s="8">
        <v>12.6</v>
      </c>
      <c r="V8842" s="8">
        <v>0.9</v>
      </c>
      <c r="W8842" s="8">
        <v>0.4</v>
      </c>
      <c r="X8842" s="8">
        <v>92</v>
      </c>
      <c r="Y8842" s="8" t="s">
        <v>35064</v>
      </c>
      <c r="Z8842" s="8" t="s">
        <v>35065</v>
      </c>
    </row>
    <row r="8843" spans="1:26" x14ac:dyDescent="0.2">
      <c r="A8843" s="8">
        <v>8842</v>
      </c>
      <c r="B8843" s="8" t="s">
        <v>38580</v>
      </c>
      <c r="C8843" s="8" t="s">
        <v>38580</v>
      </c>
      <c r="G8843" s="8">
        <v>20</v>
      </c>
      <c r="H8843" s="8" t="s">
        <v>21</v>
      </c>
      <c r="I8843" s="8" t="s">
        <v>22</v>
      </c>
      <c r="J8843" s="8" t="s">
        <v>22</v>
      </c>
      <c r="K8843" s="8" t="s">
        <v>449</v>
      </c>
      <c r="L8843" s="8" t="s">
        <v>17287</v>
      </c>
      <c r="M8843" s="8" t="s">
        <v>17288</v>
      </c>
      <c r="N8843" s="8" t="s">
        <v>38581</v>
      </c>
      <c r="O8843" s="8">
        <f>14+20/60+42.3/3600</f>
        <v>14.345083333333333</v>
      </c>
      <c r="P8843" s="8" t="s">
        <v>38582</v>
      </c>
      <c r="Q8843" s="8">
        <f>+(5+29/60+9/3600)</f>
        <v>5.4858333333333338</v>
      </c>
      <c r="R8843" s="8">
        <v>14.4</v>
      </c>
      <c r="S8843" s="8">
        <v>15.2</v>
      </c>
      <c r="T8843" s="8">
        <v>0.8</v>
      </c>
      <c r="U8843" s="8">
        <v>12.6</v>
      </c>
      <c r="V8843" s="8">
        <v>0.7</v>
      </c>
      <c r="W8843" s="8">
        <v>0.3</v>
      </c>
      <c r="X8843" s="8">
        <v>90</v>
      </c>
      <c r="Y8843" s="8" t="s">
        <v>479</v>
      </c>
      <c r="Z8843" s="8" t="s">
        <v>480</v>
      </c>
    </row>
    <row r="8844" spans="1:26" x14ac:dyDescent="0.2">
      <c r="A8844" s="8">
        <v>8843</v>
      </c>
      <c r="B8844" s="8" t="s">
        <v>38583</v>
      </c>
      <c r="C8844" s="8" t="s">
        <v>38583</v>
      </c>
      <c r="G8844" s="8">
        <v>20</v>
      </c>
      <c r="H8844" s="8" t="s">
        <v>21</v>
      </c>
      <c r="I8844" s="8" t="s">
        <v>22</v>
      </c>
      <c r="J8844" s="8" t="s">
        <v>22</v>
      </c>
      <c r="K8844" s="8" t="s">
        <v>38584</v>
      </c>
      <c r="L8844" s="8" t="s">
        <v>17287</v>
      </c>
      <c r="M8844" s="8" t="s">
        <v>17288</v>
      </c>
      <c r="N8844" s="8" t="s">
        <v>38585</v>
      </c>
      <c r="O8844" s="8">
        <f>14+21/60+29.8/3600</f>
        <v>14.358277777777777</v>
      </c>
      <c r="P8844" s="8" t="s">
        <v>38586</v>
      </c>
      <c r="Q8844" s="8">
        <f>+(5+4/60+23/3600)</f>
        <v>5.0730555555555554</v>
      </c>
      <c r="R8844" s="8">
        <v>14</v>
      </c>
      <c r="S8844" s="8">
        <v>15</v>
      </c>
      <c r="T8844" s="8">
        <v>1</v>
      </c>
      <c r="U8844" s="8">
        <v>13.3</v>
      </c>
      <c r="V8844" s="8">
        <v>1.3</v>
      </c>
      <c r="W8844" s="8">
        <v>0.5</v>
      </c>
      <c r="X8844" s="8">
        <v>40</v>
      </c>
      <c r="Y8844" s="8" t="s">
        <v>38587</v>
      </c>
      <c r="Z8844" s="8" t="s">
        <v>38588</v>
      </c>
    </row>
    <row r="8845" spans="1:26" x14ac:dyDescent="0.2">
      <c r="A8845" s="8">
        <v>8844</v>
      </c>
      <c r="B8845" s="8" t="s">
        <v>38589</v>
      </c>
      <c r="C8845" s="8" t="s">
        <v>38589</v>
      </c>
      <c r="E8845" s="8">
        <v>2</v>
      </c>
      <c r="G8845" s="8">
        <v>20</v>
      </c>
      <c r="H8845" s="8" t="s">
        <v>21</v>
      </c>
      <c r="I8845" s="8" t="s">
        <v>22</v>
      </c>
      <c r="J8845" s="8" t="s">
        <v>22</v>
      </c>
      <c r="K8845" s="8" t="s">
        <v>424</v>
      </c>
      <c r="L8845" s="8" t="s">
        <v>22476</v>
      </c>
      <c r="M8845" s="8" t="s">
        <v>22477</v>
      </c>
      <c r="N8845" s="8" t="s">
        <v>38590</v>
      </c>
      <c r="O8845" s="8">
        <f>14+20/60+49.7/3600</f>
        <v>14.347138888888889</v>
      </c>
      <c r="P8845" s="8" t="s">
        <v>38591</v>
      </c>
      <c r="Q8845" s="8">
        <f>+(17+39/60+54/3600)</f>
        <v>17.664999999999999</v>
      </c>
      <c r="R8845" s="8">
        <v>14.5</v>
      </c>
      <c r="S8845" s="8">
        <v>15.5</v>
      </c>
      <c r="T8845" s="8">
        <v>1</v>
      </c>
      <c r="U8845" s="8">
        <v>12.6</v>
      </c>
      <c r="V8845" s="8">
        <v>0.5</v>
      </c>
      <c r="W8845" s="8">
        <v>0.4</v>
      </c>
      <c r="X8845" s="8">
        <v>45</v>
      </c>
      <c r="Y8845" s="8" t="s">
        <v>38592</v>
      </c>
      <c r="Z8845" s="8" t="s">
        <v>38593</v>
      </c>
    </row>
    <row r="8846" spans="1:26" x14ac:dyDescent="0.2">
      <c r="A8846" s="8">
        <v>8845</v>
      </c>
      <c r="B8846" s="8" t="s">
        <v>38594</v>
      </c>
      <c r="C8846" s="8" t="s">
        <v>38594</v>
      </c>
      <c r="F8846" s="52"/>
      <c r="G8846" s="8">
        <v>20</v>
      </c>
      <c r="H8846" s="8" t="s">
        <v>21</v>
      </c>
      <c r="I8846" s="8" t="s">
        <v>22</v>
      </c>
      <c r="J8846" s="8" t="s">
        <v>57</v>
      </c>
      <c r="K8846" s="8" t="s">
        <v>124</v>
      </c>
      <c r="L8846" s="8" t="s">
        <v>14586</v>
      </c>
      <c r="M8846" s="8" t="s">
        <v>14587</v>
      </c>
      <c r="N8846" s="8" t="s">
        <v>25004</v>
      </c>
      <c r="O8846" s="8">
        <f>14+19/60+26.7/3600</f>
        <v>14.324083333333332</v>
      </c>
      <c r="P8846" s="8" t="s">
        <v>25005</v>
      </c>
      <c r="Q8846" s="8">
        <f>+(71+35/60+17/3600)</f>
        <v>71.588055555555556</v>
      </c>
      <c r="R8846" s="8">
        <v>13.4</v>
      </c>
      <c r="S8846" s="8">
        <v>13.9</v>
      </c>
      <c r="T8846" s="8">
        <v>0.5</v>
      </c>
      <c r="U8846" s="8">
        <v>12.9</v>
      </c>
      <c r="V8846" s="8">
        <v>0.9</v>
      </c>
      <c r="W8846" s="8">
        <v>0.8</v>
      </c>
      <c r="X8846" s="8">
        <v>66</v>
      </c>
      <c r="Y8846" s="8" t="s">
        <v>2641</v>
      </c>
      <c r="Z8846" s="8" t="s">
        <v>2642</v>
      </c>
    </row>
    <row r="8847" spans="1:26" x14ac:dyDescent="0.2">
      <c r="A8847" s="8">
        <v>8846</v>
      </c>
      <c r="B8847" s="8" t="s">
        <v>38595</v>
      </c>
      <c r="C8847" s="8" t="s">
        <v>38595</v>
      </c>
      <c r="G8847" s="8">
        <v>20</v>
      </c>
      <c r="H8847" s="8" t="s">
        <v>21</v>
      </c>
      <c r="I8847" s="8" t="s">
        <v>22</v>
      </c>
      <c r="J8847" s="8" t="s">
        <v>22</v>
      </c>
      <c r="K8847" s="8" t="s">
        <v>476</v>
      </c>
      <c r="L8847" s="8" t="s">
        <v>22476</v>
      </c>
      <c r="M8847" s="8" t="s">
        <v>22477</v>
      </c>
      <c r="N8847" s="8" t="s">
        <v>38596</v>
      </c>
      <c r="O8847" s="8">
        <f>14+22/60+59/3600</f>
        <v>14.383055555555556</v>
      </c>
      <c r="P8847" s="8" t="s">
        <v>38597</v>
      </c>
      <c r="Q8847" s="8">
        <f>+(23+47/60+41/3600)</f>
        <v>23.794722222222223</v>
      </c>
      <c r="R8847" s="8">
        <v>14.5</v>
      </c>
      <c r="S8847" s="8">
        <v>15.3</v>
      </c>
      <c r="T8847" s="8">
        <v>0.8</v>
      </c>
      <c r="U8847" s="8">
        <v>13.8</v>
      </c>
      <c r="V8847" s="8">
        <v>1</v>
      </c>
      <c r="W8847" s="8">
        <v>0.6</v>
      </c>
      <c r="X8847" s="8">
        <v>90</v>
      </c>
      <c r="Y8847" s="8" t="s">
        <v>2802</v>
      </c>
      <c r="Z8847" s="8" t="s">
        <v>1021</v>
      </c>
    </row>
    <row r="8848" spans="1:26" x14ac:dyDescent="0.2">
      <c r="A8848" s="8">
        <v>8847</v>
      </c>
      <c r="B8848" s="8" t="s">
        <v>38598</v>
      </c>
      <c r="C8848" s="8" t="s">
        <v>38598</v>
      </c>
      <c r="G8848" s="8">
        <v>20</v>
      </c>
      <c r="H8848" s="8" t="s">
        <v>21</v>
      </c>
      <c r="I8848" s="8" t="s">
        <v>22</v>
      </c>
      <c r="J8848" s="8" t="s">
        <v>22</v>
      </c>
      <c r="K8848" s="8" t="s">
        <v>424</v>
      </c>
      <c r="L8848" s="8" t="s">
        <v>17287</v>
      </c>
      <c r="M8848" s="8" t="s">
        <v>17288</v>
      </c>
      <c r="N8848" s="8" t="s">
        <v>38599</v>
      </c>
      <c r="O8848" s="8">
        <f>14+24/60+36.6/3600</f>
        <v>14.410166666666667</v>
      </c>
      <c r="P8848" s="8" t="s">
        <v>38600</v>
      </c>
      <c r="Q8848" s="8">
        <f>+(4+33/60+34/3600)</f>
        <v>4.559444444444444</v>
      </c>
      <c r="R8848" s="8">
        <v>14.1</v>
      </c>
      <c r="S8848" s="8">
        <v>15.1</v>
      </c>
      <c r="T8848" s="8">
        <v>1</v>
      </c>
      <c r="U8848" s="8">
        <v>12</v>
      </c>
      <c r="V8848" s="8">
        <v>0.4</v>
      </c>
      <c r="W8848" s="8">
        <v>0.4</v>
      </c>
      <c r="Y8848" s="8" t="s">
        <v>21</v>
      </c>
      <c r="Z8848" s="8" t="s">
        <v>38601</v>
      </c>
    </row>
    <row r="8849" spans="1:26" x14ac:dyDescent="0.2">
      <c r="A8849" s="8">
        <v>8848</v>
      </c>
      <c r="B8849" s="8" t="s">
        <v>38602</v>
      </c>
      <c r="C8849" s="8" t="s">
        <v>38602</v>
      </c>
      <c r="D8849" s="8" t="s">
        <v>351</v>
      </c>
      <c r="G8849" s="8">
        <v>20</v>
      </c>
      <c r="H8849" s="8" t="s">
        <v>21</v>
      </c>
      <c r="I8849" s="8" t="s">
        <v>22</v>
      </c>
      <c r="J8849" s="8" t="s">
        <v>22</v>
      </c>
      <c r="K8849" s="8" t="s">
        <v>1174</v>
      </c>
      <c r="L8849" s="8" t="s">
        <v>22476</v>
      </c>
      <c r="M8849" s="8" t="s">
        <v>22477</v>
      </c>
      <c r="N8849" s="8" t="s">
        <v>38603</v>
      </c>
      <c r="O8849" s="8">
        <f>14+23/60+42.6/3600</f>
        <v>14.395166666666666</v>
      </c>
      <c r="P8849" s="8" t="s">
        <v>38604</v>
      </c>
      <c r="Q8849" s="8">
        <f>+(28+20/60+50/3600)</f>
        <v>28.347222222222221</v>
      </c>
      <c r="R8849" s="8">
        <v>14.5</v>
      </c>
      <c r="S8849" s="8">
        <v>15.3</v>
      </c>
      <c r="T8849" s="8">
        <v>0.8</v>
      </c>
      <c r="U8849" s="8">
        <v>12</v>
      </c>
      <c r="V8849" s="8">
        <v>0.4</v>
      </c>
      <c r="W8849" s="8">
        <v>0.3</v>
      </c>
      <c r="X8849" s="8">
        <v>0</v>
      </c>
      <c r="Y8849" s="8" t="s">
        <v>1088</v>
      </c>
      <c r="Z8849" s="8" t="s">
        <v>1089</v>
      </c>
    </row>
    <row r="8850" spans="1:26" x14ac:dyDescent="0.2">
      <c r="A8850" s="8">
        <v>8849</v>
      </c>
      <c r="B8850" s="8" t="s">
        <v>38605</v>
      </c>
      <c r="C8850" s="8" t="s">
        <v>38605</v>
      </c>
      <c r="G8850" s="8">
        <v>20</v>
      </c>
      <c r="H8850" s="8" t="s">
        <v>21</v>
      </c>
      <c r="I8850" s="8" t="s">
        <v>22</v>
      </c>
      <c r="J8850" s="8" t="s">
        <v>22</v>
      </c>
      <c r="K8850" s="8" t="s">
        <v>449</v>
      </c>
      <c r="L8850" s="8" t="s">
        <v>22476</v>
      </c>
      <c r="M8850" s="8" t="s">
        <v>22477</v>
      </c>
      <c r="N8850" s="8" t="s">
        <v>38606</v>
      </c>
      <c r="O8850" s="8">
        <f>14+26/60+17.5/3600</f>
        <v>14.438194444444445</v>
      </c>
      <c r="P8850" s="8" t="s">
        <v>38607</v>
      </c>
      <c r="Q8850" s="8">
        <f>+(12+21/60+12/3600)</f>
        <v>12.353333333333333</v>
      </c>
      <c r="R8850" s="8">
        <v>14.5</v>
      </c>
      <c r="S8850" s="8">
        <v>15.3</v>
      </c>
      <c r="T8850" s="8">
        <v>0.8</v>
      </c>
      <c r="U8850" s="8">
        <v>13</v>
      </c>
      <c r="V8850" s="8">
        <v>0.7</v>
      </c>
      <c r="W8850" s="8">
        <v>0.4</v>
      </c>
      <c r="X8850" s="8">
        <v>60</v>
      </c>
      <c r="Y8850" s="8" t="s">
        <v>17508</v>
      </c>
      <c r="Z8850" s="8" t="s">
        <v>17509</v>
      </c>
    </row>
    <row r="8851" spans="1:26" x14ac:dyDescent="0.2">
      <c r="A8851" s="8">
        <v>8850</v>
      </c>
      <c r="B8851" s="8" t="s">
        <v>38608</v>
      </c>
      <c r="C8851" s="8" t="s">
        <v>38608</v>
      </c>
      <c r="G8851" s="8">
        <v>20</v>
      </c>
      <c r="H8851" s="8" t="s">
        <v>21</v>
      </c>
      <c r="I8851" s="8" t="s">
        <v>22</v>
      </c>
      <c r="J8851" s="8" t="s">
        <v>22</v>
      </c>
      <c r="K8851" s="8" t="s">
        <v>218</v>
      </c>
      <c r="L8851" s="8" t="s">
        <v>17287</v>
      </c>
      <c r="M8851" s="8" t="s">
        <v>17288</v>
      </c>
      <c r="N8851" s="8" t="s">
        <v>38609</v>
      </c>
      <c r="O8851" s="8">
        <f>14+27/60+20.4/3600</f>
        <v>14.455666666666666</v>
      </c>
      <c r="P8851" s="8" t="s">
        <v>38610</v>
      </c>
      <c r="Q8851" s="8">
        <f>+(1+1/60+33/3600)</f>
        <v>1.0258333333333334</v>
      </c>
      <c r="R8851" s="8">
        <v>12.8</v>
      </c>
      <c r="S8851" s="8">
        <v>13.6</v>
      </c>
      <c r="T8851" s="8">
        <v>0.8</v>
      </c>
      <c r="U8851" s="8">
        <v>14</v>
      </c>
      <c r="V8851" s="8">
        <v>1.9</v>
      </c>
      <c r="W8851" s="8">
        <v>1.8</v>
      </c>
      <c r="X8851" s="8">
        <v>78</v>
      </c>
      <c r="Y8851" s="8" t="s">
        <v>33652</v>
      </c>
      <c r="Z8851" s="8" t="s">
        <v>33653</v>
      </c>
    </row>
    <row r="8852" spans="1:26" x14ac:dyDescent="0.2">
      <c r="A8852" s="8">
        <v>8851</v>
      </c>
      <c r="B8852" s="8" t="s">
        <v>38611</v>
      </c>
      <c r="C8852" s="8" t="s">
        <v>38611</v>
      </c>
      <c r="G8852" s="8">
        <v>20</v>
      </c>
      <c r="H8852" s="8" t="s">
        <v>21</v>
      </c>
      <c r="I8852" s="8" t="s">
        <v>22</v>
      </c>
      <c r="J8852" s="8" t="s">
        <v>22</v>
      </c>
      <c r="K8852" s="8" t="s">
        <v>424</v>
      </c>
      <c r="L8852" s="8" t="s">
        <v>17287</v>
      </c>
      <c r="M8852" s="8" t="s">
        <v>17288</v>
      </c>
      <c r="N8852" s="8" t="s">
        <v>38612</v>
      </c>
      <c r="O8852" s="8">
        <f>14+28/60+4.4/3600</f>
        <v>14.467888888888888</v>
      </c>
      <c r="P8852" s="8" t="s">
        <v>38613</v>
      </c>
      <c r="Q8852" s="8">
        <f>+(1+0/60+25/3600)</f>
        <v>1.0069444444444444</v>
      </c>
      <c r="R8852" s="8">
        <v>13.7</v>
      </c>
      <c r="S8852" s="8">
        <v>14.7</v>
      </c>
      <c r="T8852" s="8">
        <v>1</v>
      </c>
      <c r="U8852" s="8">
        <v>11.2</v>
      </c>
      <c r="V8852" s="8">
        <v>0.4</v>
      </c>
      <c r="W8852" s="8">
        <v>0.3</v>
      </c>
      <c r="X8852" s="8">
        <v>111</v>
      </c>
      <c r="Y8852" s="8" t="s">
        <v>38175</v>
      </c>
      <c r="Z8852" s="8" t="s">
        <v>36926</v>
      </c>
    </row>
    <row r="8853" spans="1:26" x14ac:dyDescent="0.2">
      <c r="A8853" s="8">
        <v>8852</v>
      </c>
      <c r="B8853" s="8" t="s">
        <v>38614</v>
      </c>
      <c r="C8853" s="8" t="s">
        <v>38614</v>
      </c>
      <c r="G8853" s="8">
        <v>20</v>
      </c>
      <c r="H8853" s="8" t="s">
        <v>21</v>
      </c>
      <c r="I8853" s="8" t="s">
        <v>22</v>
      </c>
      <c r="J8853" s="8" t="s">
        <v>22</v>
      </c>
      <c r="K8853" s="8" t="s">
        <v>160</v>
      </c>
      <c r="L8853" s="8" t="s">
        <v>22476</v>
      </c>
      <c r="M8853" s="8" t="s">
        <v>22477</v>
      </c>
      <c r="N8853" s="8" t="s">
        <v>38615</v>
      </c>
      <c r="O8853" s="8">
        <f>14+27/60+9.5/3600</f>
        <v>14.452638888888888</v>
      </c>
      <c r="P8853" s="8" t="s">
        <v>38616</v>
      </c>
      <c r="Q8853" s="8">
        <f>+(30+56/60+54/3600)</f>
        <v>30.948333333333334</v>
      </c>
      <c r="R8853" s="8">
        <v>13.5</v>
      </c>
      <c r="S8853" s="8">
        <v>14.2</v>
      </c>
      <c r="T8853" s="8">
        <v>0.7</v>
      </c>
      <c r="U8853" s="8">
        <v>13.2</v>
      </c>
      <c r="V8853" s="8">
        <v>1.2</v>
      </c>
      <c r="W8853" s="8">
        <v>0.8</v>
      </c>
      <c r="X8853" s="8">
        <v>105</v>
      </c>
      <c r="Y8853" s="8" t="s">
        <v>1694</v>
      </c>
      <c r="Z8853" s="8" t="s">
        <v>1695</v>
      </c>
    </row>
    <row r="8854" spans="1:26" x14ac:dyDescent="0.2">
      <c r="A8854" s="8">
        <v>8853</v>
      </c>
      <c r="B8854" s="8" t="s">
        <v>38617</v>
      </c>
      <c r="C8854" s="8" t="s">
        <v>38617</v>
      </c>
      <c r="G8854" s="8">
        <v>20</v>
      </c>
      <c r="H8854" s="8" t="s">
        <v>21</v>
      </c>
      <c r="I8854" s="8" t="s">
        <v>22</v>
      </c>
      <c r="J8854" s="8" t="s">
        <v>22</v>
      </c>
      <c r="K8854" s="8" t="s">
        <v>449</v>
      </c>
      <c r="L8854" s="8" t="s">
        <v>22476</v>
      </c>
      <c r="M8854" s="8" t="s">
        <v>22477</v>
      </c>
      <c r="N8854" s="8" t="s">
        <v>38618</v>
      </c>
      <c r="O8854" s="8">
        <f>14+27/60+50.8/3600</f>
        <v>14.46411111111111</v>
      </c>
      <c r="P8854" s="8" t="s">
        <v>38619</v>
      </c>
      <c r="Q8854" s="8">
        <f>+(25+50/60+19/3600)</f>
        <v>25.83861111111111</v>
      </c>
      <c r="R8854" s="8">
        <v>14.6</v>
      </c>
      <c r="S8854" s="8">
        <v>15.4</v>
      </c>
      <c r="T8854" s="8">
        <v>0.8</v>
      </c>
      <c r="U8854" s="8">
        <v>12.8</v>
      </c>
      <c r="V8854" s="8">
        <v>0.7</v>
      </c>
      <c r="W8854" s="8">
        <v>0.3</v>
      </c>
      <c r="X8854" s="8">
        <v>90</v>
      </c>
      <c r="Y8854" s="8" t="s">
        <v>266</v>
      </c>
      <c r="Z8854" s="8" t="s">
        <v>267</v>
      </c>
    </row>
    <row r="8855" spans="1:26" x14ac:dyDescent="0.2">
      <c r="A8855" s="8">
        <v>8854</v>
      </c>
      <c r="B8855" s="8" t="s">
        <v>38620</v>
      </c>
      <c r="C8855" s="8" t="s">
        <v>38620</v>
      </c>
      <c r="G8855" s="8">
        <v>20</v>
      </c>
      <c r="H8855" s="8" t="s">
        <v>21</v>
      </c>
      <c r="I8855" s="8" t="s">
        <v>22</v>
      </c>
      <c r="J8855" s="8" t="s">
        <v>22</v>
      </c>
      <c r="K8855" s="8" t="s">
        <v>773</v>
      </c>
      <c r="L8855" s="8" t="s">
        <v>22476</v>
      </c>
      <c r="M8855" s="8" t="s">
        <v>22477</v>
      </c>
      <c r="N8855" s="8" t="s">
        <v>38621</v>
      </c>
      <c r="O8855" s="8">
        <f>14+28/60+18.6/3600</f>
        <v>14.471833333333333</v>
      </c>
      <c r="P8855" s="8" t="s">
        <v>38622</v>
      </c>
      <c r="Q8855" s="8">
        <f>+(13+46/60+50/3600)</f>
        <v>13.780555555555557</v>
      </c>
      <c r="R8855" s="8">
        <v>12.4</v>
      </c>
      <c r="S8855" s="8">
        <v>13</v>
      </c>
      <c r="T8855" s="8">
        <v>0.6</v>
      </c>
      <c r="U8855" s="8">
        <v>14.1</v>
      </c>
      <c r="V8855" s="8">
        <v>2.7</v>
      </c>
      <c r="W8855" s="8">
        <v>2</v>
      </c>
      <c r="X8855" s="8">
        <v>90</v>
      </c>
      <c r="Y8855" s="8" t="s">
        <v>8615</v>
      </c>
      <c r="Z8855" s="8" t="s">
        <v>8616</v>
      </c>
    </row>
    <row r="8856" spans="1:26" x14ac:dyDescent="0.2">
      <c r="A8856" s="8">
        <v>8855</v>
      </c>
      <c r="B8856" s="8" t="s">
        <v>38623</v>
      </c>
      <c r="C8856" s="8" t="s">
        <v>38623</v>
      </c>
      <c r="G8856" s="8">
        <v>20</v>
      </c>
      <c r="H8856" s="8" t="s">
        <v>21</v>
      </c>
      <c r="I8856" s="8" t="s">
        <v>22</v>
      </c>
      <c r="J8856" s="8" t="s">
        <v>22</v>
      </c>
      <c r="K8856" s="8" t="s">
        <v>476</v>
      </c>
      <c r="L8856" s="8" t="s">
        <v>22476</v>
      </c>
      <c r="M8856" s="8" t="s">
        <v>22477</v>
      </c>
      <c r="N8856" s="8" t="s">
        <v>38624</v>
      </c>
      <c r="O8856" s="8">
        <f>14+28/60+19.1/3600</f>
        <v>14.471972222222222</v>
      </c>
      <c r="P8856" s="8" t="s">
        <v>38625</v>
      </c>
      <c r="Q8856" s="8">
        <f>+(15+25/60+13/3600)</f>
        <v>15.420277777777777</v>
      </c>
      <c r="R8856" s="8">
        <v>14.4</v>
      </c>
      <c r="S8856" s="8">
        <v>15.2</v>
      </c>
      <c r="T8856" s="8">
        <v>0.8</v>
      </c>
      <c r="U8856" s="8">
        <v>12.9</v>
      </c>
      <c r="V8856" s="8">
        <v>0.7</v>
      </c>
      <c r="W8856" s="8">
        <v>0.4</v>
      </c>
      <c r="X8856" s="8">
        <v>30</v>
      </c>
      <c r="Y8856" s="8" t="s">
        <v>38626</v>
      </c>
      <c r="Z8856" s="8" t="s">
        <v>38627</v>
      </c>
    </row>
    <row r="8857" spans="1:26" x14ac:dyDescent="0.2">
      <c r="A8857" s="8">
        <v>8856</v>
      </c>
      <c r="B8857" s="8" t="s">
        <v>38628</v>
      </c>
      <c r="C8857" s="8" t="s">
        <v>38628</v>
      </c>
      <c r="G8857" s="8">
        <v>20</v>
      </c>
      <c r="H8857" s="8" t="s">
        <v>21</v>
      </c>
      <c r="I8857" s="8" t="s">
        <v>22</v>
      </c>
      <c r="J8857" s="8" t="s">
        <v>22</v>
      </c>
      <c r="K8857" s="8" t="s">
        <v>449</v>
      </c>
      <c r="L8857" s="8" t="s">
        <v>17287</v>
      </c>
      <c r="M8857" s="8" t="s">
        <v>17288</v>
      </c>
      <c r="N8857" s="8" t="s">
        <v>38629</v>
      </c>
      <c r="O8857" s="8">
        <f>14+27/60+32.3/3600</f>
        <v>14.458972222222222</v>
      </c>
      <c r="P8857" s="8" t="s">
        <v>38630</v>
      </c>
      <c r="Q8857" s="8">
        <f>+(4+49/60+17/3600)</f>
        <v>4.8213888888888885</v>
      </c>
      <c r="R8857" s="8">
        <v>14.1</v>
      </c>
      <c r="S8857" s="8">
        <v>14.9</v>
      </c>
      <c r="T8857" s="8">
        <v>0.8</v>
      </c>
      <c r="U8857" s="8">
        <v>12.7</v>
      </c>
      <c r="V8857" s="8">
        <v>0.9</v>
      </c>
      <c r="W8857" s="8">
        <v>0.3</v>
      </c>
      <c r="X8857" s="8">
        <v>111</v>
      </c>
      <c r="Y8857" s="8" t="s">
        <v>38631</v>
      </c>
      <c r="Z8857" s="8" t="s">
        <v>38632</v>
      </c>
    </row>
    <row r="8858" spans="1:26" x14ac:dyDescent="0.2">
      <c r="A8858" s="8">
        <v>8857</v>
      </c>
      <c r="B8858" s="8" t="s">
        <v>38633</v>
      </c>
      <c r="C8858" s="8" t="s">
        <v>38633</v>
      </c>
      <c r="G8858" s="8">
        <v>20</v>
      </c>
      <c r="H8858" s="8" t="s">
        <v>21</v>
      </c>
      <c r="I8858" s="8" t="s">
        <v>22</v>
      </c>
      <c r="J8858" s="8" t="s">
        <v>22</v>
      </c>
      <c r="K8858" s="8" t="s">
        <v>37</v>
      </c>
      <c r="L8858" s="8" t="s">
        <v>22476</v>
      </c>
      <c r="M8858" s="8" t="s">
        <v>22477</v>
      </c>
      <c r="N8858" s="8" t="s">
        <v>38634</v>
      </c>
      <c r="O8858" s="8">
        <f>14+28/60+7.2/3600</f>
        <v>14.468666666666667</v>
      </c>
      <c r="P8858" s="8" t="s">
        <v>38635</v>
      </c>
      <c r="Q8858" s="8">
        <f>+(25+52/60+6/3600)</f>
        <v>25.868333333333332</v>
      </c>
      <c r="R8858" s="8">
        <v>13.7</v>
      </c>
      <c r="S8858" s="8">
        <v>14.7</v>
      </c>
      <c r="T8858" s="8">
        <v>1</v>
      </c>
      <c r="U8858" s="8">
        <v>12.8</v>
      </c>
      <c r="V8858" s="8">
        <v>1</v>
      </c>
      <c r="W8858" s="8">
        <v>0.5</v>
      </c>
      <c r="X8858" s="8">
        <v>128</v>
      </c>
      <c r="Y8858" s="8" t="s">
        <v>38636</v>
      </c>
      <c r="Z8858" s="8" t="s">
        <v>38637</v>
      </c>
    </row>
    <row r="8859" spans="1:26" x14ac:dyDescent="0.2">
      <c r="A8859" s="8">
        <v>8858</v>
      </c>
      <c r="B8859" s="8" t="s">
        <v>38638</v>
      </c>
      <c r="C8859" s="8" t="s">
        <v>38638</v>
      </c>
      <c r="G8859" s="8">
        <v>20</v>
      </c>
      <c r="H8859" s="8" t="s">
        <v>21</v>
      </c>
      <c r="I8859" s="8" t="s">
        <v>22</v>
      </c>
      <c r="J8859" s="8" t="s">
        <v>22</v>
      </c>
      <c r="K8859" s="8" t="s">
        <v>424</v>
      </c>
      <c r="L8859" s="8" t="s">
        <v>22476</v>
      </c>
      <c r="M8859" s="8" t="s">
        <v>22477</v>
      </c>
      <c r="N8859" s="8" t="s">
        <v>38639</v>
      </c>
      <c r="O8859" s="8">
        <f>14+28/60+12.7/3600</f>
        <v>14.470194444444445</v>
      </c>
      <c r="P8859" s="8" t="s">
        <v>38640</v>
      </c>
      <c r="Q8859" s="8">
        <f>+(25+49/60+48/3600)</f>
        <v>25.83</v>
      </c>
      <c r="R8859" s="8">
        <v>14.7</v>
      </c>
      <c r="S8859" s="8">
        <v>15.7</v>
      </c>
      <c r="T8859" s="8">
        <v>1</v>
      </c>
      <c r="U8859" s="8">
        <v>13.2</v>
      </c>
      <c r="V8859" s="8">
        <v>0.7</v>
      </c>
      <c r="W8859" s="8">
        <v>0.4</v>
      </c>
      <c r="X8859" s="8">
        <v>89</v>
      </c>
      <c r="Y8859" s="8" t="s">
        <v>38641</v>
      </c>
      <c r="Z8859" s="8" t="s">
        <v>27480</v>
      </c>
    </row>
    <row r="8860" spans="1:26" x14ac:dyDescent="0.2">
      <c r="A8860" s="8">
        <v>8859</v>
      </c>
      <c r="B8860" s="8" t="s">
        <v>38642</v>
      </c>
      <c r="C8860" s="8" t="s">
        <v>38642</v>
      </c>
      <c r="G8860" s="8">
        <v>20</v>
      </c>
      <c r="H8860" s="8" t="s">
        <v>21</v>
      </c>
      <c r="I8860" s="8" t="s">
        <v>22</v>
      </c>
      <c r="J8860" s="8" t="s">
        <v>22</v>
      </c>
      <c r="K8860" s="8" t="s">
        <v>449</v>
      </c>
      <c r="L8860" s="8" t="s">
        <v>22476</v>
      </c>
      <c r="M8860" s="8" t="s">
        <v>22477</v>
      </c>
      <c r="N8860" s="8" t="s">
        <v>38643</v>
      </c>
      <c r="O8860" s="8">
        <f>14+28/60+13.3/3600</f>
        <v>14.470361111111112</v>
      </c>
      <c r="P8860" s="8" t="s">
        <v>38644</v>
      </c>
      <c r="Q8860" s="8">
        <f>+(25+56/60+50/3600)</f>
        <v>25.947222222222223</v>
      </c>
      <c r="R8860" s="8">
        <v>14.6</v>
      </c>
      <c r="S8860" s="8">
        <v>15.4</v>
      </c>
      <c r="T8860" s="8">
        <v>0.8</v>
      </c>
      <c r="U8860" s="8">
        <v>12.1</v>
      </c>
      <c r="V8860" s="8">
        <v>0.4</v>
      </c>
      <c r="W8860" s="8">
        <v>0.3</v>
      </c>
      <c r="X8860" s="8">
        <v>140</v>
      </c>
      <c r="Y8860" s="8" t="s">
        <v>38645</v>
      </c>
      <c r="Z8860" s="8" t="s">
        <v>38646</v>
      </c>
    </row>
    <row r="8861" spans="1:26" x14ac:dyDescent="0.2">
      <c r="A8861" s="8">
        <v>8860</v>
      </c>
      <c r="B8861" s="8" t="s">
        <v>38647</v>
      </c>
      <c r="C8861" s="8" t="s">
        <v>38647</v>
      </c>
      <c r="G8861" s="8">
        <v>20</v>
      </c>
      <c r="H8861" s="8" t="s">
        <v>21</v>
      </c>
      <c r="I8861" s="8" t="s">
        <v>22</v>
      </c>
      <c r="J8861" s="8" t="s">
        <v>22</v>
      </c>
      <c r="K8861" s="8" t="s">
        <v>37</v>
      </c>
      <c r="L8861" s="8" t="s">
        <v>22476</v>
      </c>
      <c r="M8861" s="8" t="s">
        <v>22477</v>
      </c>
      <c r="N8861" s="8" t="s">
        <v>38648</v>
      </c>
      <c r="O8861" s="8">
        <f>14+28/60+49.4/3600</f>
        <v>14.480388888888889</v>
      </c>
      <c r="P8861" s="8" t="s">
        <v>38649</v>
      </c>
      <c r="Q8861" s="8">
        <f>+(26+1/60+58/3600)</f>
        <v>26.032777777777778</v>
      </c>
      <c r="R8861" s="8">
        <v>14.1</v>
      </c>
      <c r="S8861" s="8">
        <v>15.1</v>
      </c>
      <c r="T8861" s="8">
        <v>1</v>
      </c>
      <c r="U8861" s="8">
        <v>12.9</v>
      </c>
      <c r="V8861" s="8">
        <v>1.2</v>
      </c>
      <c r="W8861" s="8">
        <v>0.3</v>
      </c>
      <c r="X8861" s="8">
        <v>176</v>
      </c>
      <c r="Y8861" s="8" t="s">
        <v>38650</v>
      </c>
      <c r="Z8861" s="8" t="s">
        <v>38651</v>
      </c>
    </row>
    <row r="8862" spans="1:26" x14ac:dyDescent="0.2">
      <c r="A8862" s="8">
        <v>8861</v>
      </c>
      <c r="B8862" s="8" t="s">
        <v>38652</v>
      </c>
      <c r="C8862" s="8" t="s">
        <v>38652</v>
      </c>
      <c r="G8862" s="8">
        <v>20</v>
      </c>
      <c r="H8862" s="8" t="s">
        <v>21</v>
      </c>
      <c r="I8862" s="8" t="s">
        <v>22</v>
      </c>
      <c r="J8862" s="8" t="s">
        <v>22</v>
      </c>
      <c r="K8862" s="8" t="s">
        <v>154</v>
      </c>
      <c r="L8862" s="8" t="s">
        <v>22476</v>
      </c>
      <c r="M8862" s="8" t="s">
        <v>22477</v>
      </c>
      <c r="N8862" s="8" t="s">
        <v>38653</v>
      </c>
      <c r="O8862" s="8">
        <f>14+29/60+17/3600</f>
        <v>14.488055555555555</v>
      </c>
      <c r="P8862" s="8" t="s">
        <v>38654</v>
      </c>
      <c r="Q8862" s="8">
        <f>+(20+39/60+18/3600)</f>
        <v>20.654999999999998</v>
      </c>
      <c r="R8862" s="8">
        <v>14.4</v>
      </c>
      <c r="S8862" s="8">
        <v>15.3</v>
      </c>
      <c r="T8862" s="8">
        <v>0.9</v>
      </c>
      <c r="U8862" s="8">
        <v>14.1</v>
      </c>
      <c r="V8862" s="8">
        <v>1.1000000000000001</v>
      </c>
      <c r="W8862" s="8">
        <v>0.8</v>
      </c>
      <c r="X8862" s="8">
        <v>127</v>
      </c>
      <c r="Y8862" s="8" t="s">
        <v>24844</v>
      </c>
      <c r="Z8862" s="8" t="s">
        <v>24845</v>
      </c>
    </row>
    <row r="8863" spans="1:26" x14ac:dyDescent="0.2">
      <c r="A8863" s="8">
        <v>8862</v>
      </c>
      <c r="B8863" s="8" t="s">
        <v>38655</v>
      </c>
      <c r="C8863" s="8" t="s">
        <v>38655</v>
      </c>
      <c r="G8863" s="8">
        <v>20</v>
      </c>
      <c r="H8863" s="8" t="s">
        <v>21</v>
      </c>
      <c r="I8863" s="8" t="s">
        <v>22</v>
      </c>
      <c r="J8863" s="8" t="s">
        <v>22</v>
      </c>
      <c r="K8863" s="8" t="s">
        <v>23</v>
      </c>
      <c r="L8863" s="8" t="s">
        <v>17287</v>
      </c>
      <c r="M8863" s="8" t="s">
        <v>17288</v>
      </c>
      <c r="N8863" s="8" t="s">
        <v>38656</v>
      </c>
      <c r="O8863" s="8">
        <f>14+30/60+1.9/3600</f>
        <v>14.500527777777778</v>
      </c>
      <c r="P8863" s="8" t="s">
        <v>38657</v>
      </c>
      <c r="Q8863" s="8">
        <f>+(3+46/60+22/3600)</f>
        <v>3.7727777777777778</v>
      </c>
      <c r="R8863" s="8">
        <v>14.4</v>
      </c>
      <c r="S8863" s="8">
        <v>15.2</v>
      </c>
      <c r="T8863" s="8">
        <v>0.8</v>
      </c>
      <c r="U8863" s="8">
        <v>13.4</v>
      </c>
      <c r="V8863" s="8">
        <v>1.1000000000000001</v>
      </c>
      <c r="W8863" s="8">
        <v>0.4</v>
      </c>
      <c r="X8863" s="8">
        <v>161</v>
      </c>
      <c r="Y8863" s="8" t="s">
        <v>36759</v>
      </c>
      <c r="Z8863" s="8" t="s">
        <v>36760</v>
      </c>
    </row>
    <row r="8864" spans="1:26" x14ac:dyDescent="0.2">
      <c r="A8864" s="8">
        <v>8863</v>
      </c>
      <c r="B8864" s="8" t="s">
        <v>38658</v>
      </c>
      <c r="C8864" s="8" t="s">
        <v>38658</v>
      </c>
      <c r="G8864" s="8">
        <v>20</v>
      </c>
      <c r="H8864" s="8" t="s">
        <v>21</v>
      </c>
      <c r="I8864" s="8" t="s">
        <v>557</v>
      </c>
      <c r="J8864" s="8" t="s">
        <v>557</v>
      </c>
      <c r="K8864" s="8" t="s">
        <v>557</v>
      </c>
      <c r="L8864" s="8" t="s">
        <v>16195</v>
      </c>
      <c r="M8864" s="8" t="s">
        <v>16196</v>
      </c>
      <c r="N8864" s="8" t="s">
        <v>38659</v>
      </c>
      <c r="O8864" s="8">
        <f>14+32/60+25.1/3600</f>
        <v>14.540305555555555</v>
      </c>
      <c r="P8864" s="8" t="s">
        <v>38660</v>
      </c>
      <c r="Q8864" s="8">
        <f>-(35+48/60+13/3600)</f>
        <v>-35.80361111111111</v>
      </c>
      <c r="R8864" s="8">
        <v>99</v>
      </c>
      <c r="S8864" s="8">
        <v>99</v>
      </c>
      <c r="T8864" s="8">
        <v>99</v>
      </c>
      <c r="U8864" s="8">
        <v>99</v>
      </c>
      <c r="V8864" s="8">
        <v>5</v>
      </c>
      <c r="Y8864" s="8" t="s">
        <v>38661</v>
      </c>
      <c r="Z8864" s="8" t="s">
        <v>38662</v>
      </c>
    </row>
    <row r="8865" spans="1:26" x14ac:dyDescent="0.2">
      <c r="A8865" s="8">
        <v>8864</v>
      </c>
      <c r="B8865" s="8" t="s">
        <v>38663</v>
      </c>
      <c r="C8865" s="8" t="s">
        <v>38663</v>
      </c>
      <c r="G8865" s="8">
        <v>20</v>
      </c>
      <c r="H8865" s="8" t="s">
        <v>21</v>
      </c>
      <c r="I8865" s="8" t="s">
        <v>22</v>
      </c>
      <c r="J8865" s="8" t="s">
        <v>22</v>
      </c>
      <c r="K8865" s="8" t="s">
        <v>37</v>
      </c>
      <c r="L8865" s="8" t="s">
        <v>17287</v>
      </c>
      <c r="M8865" s="8" t="s">
        <v>17288</v>
      </c>
      <c r="N8865" s="8" t="s">
        <v>38664</v>
      </c>
      <c r="O8865" s="8">
        <f>14+31/60+27/3600</f>
        <v>14.524166666666668</v>
      </c>
      <c r="P8865" s="8" t="s">
        <v>38665</v>
      </c>
      <c r="Q8865" s="8">
        <f>+(3+0/60+28/3600)</f>
        <v>3.0077777777777777</v>
      </c>
      <c r="R8865" s="8">
        <v>12.9</v>
      </c>
      <c r="S8865" s="8">
        <v>13.9</v>
      </c>
      <c r="T8865" s="8">
        <v>1</v>
      </c>
      <c r="U8865" s="8">
        <v>12.7</v>
      </c>
      <c r="V8865" s="8">
        <v>1.6</v>
      </c>
      <c r="W8865" s="8">
        <v>0.6</v>
      </c>
      <c r="X8865" s="8">
        <v>24</v>
      </c>
      <c r="Y8865" s="8" t="s">
        <v>38666</v>
      </c>
      <c r="Z8865" s="8" t="s">
        <v>38667</v>
      </c>
    </row>
    <row r="8866" spans="1:26" x14ac:dyDescent="0.2">
      <c r="A8866" s="8">
        <v>8865</v>
      </c>
      <c r="B8866" s="8" t="s">
        <v>38668</v>
      </c>
      <c r="C8866" s="8" t="s">
        <v>38668</v>
      </c>
      <c r="G8866" s="8">
        <v>20</v>
      </c>
      <c r="H8866" s="8" t="s">
        <v>21</v>
      </c>
      <c r="I8866" s="8" t="s">
        <v>22</v>
      </c>
      <c r="J8866" s="8" t="s">
        <v>22</v>
      </c>
      <c r="K8866" s="8" t="s">
        <v>449</v>
      </c>
      <c r="L8866" s="8" t="s">
        <v>17287</v>
      </c>
      <c r="M8866" s="8" t="s">
        <v>17288</v>
      </c>
      <c r="N8866" s="8" t="s">
        <v>38669</v>
      </c>
      <c r="O8866" s="8">
        <f>14+31/60+28.4/3600</f>
        <v>14.524555555555557</v>
      </c>
      <c r="P8866" s="8" t="s">
        <v>38670</v>
      </c>
      <c r="Q8866" s="8">
        <f>+(7+3/60+47/3600)</f>
        <v>7.0630555555555556</v>
      </c>
      <c r="R8866" s="8">
        <v>14.5</v>
      </c>
      <c r="S8866" s="8">
        <v>15.3</v>
      </c>
      <c r="T8866" s="8">
        <v>0.8</v>
      </c>
      <c r="U8866" s="8">
        <v>12.3</v>
      </c>
      <c r="V8866" s="8">
        <v>0.5</v>
      </c>
      <c r="W8866" s="8">
        <v>0.3</v>
      </c>
      <c r="X8866" s="8">
        <v>130</v>
      </c>
      <c r="Y8866" s="8" t="s">
        <v>38671</v>
      </c>
      <c r="Z8866" s="8" t="s">
        <v>38672</v>
      </c>
    </row>
    <row r="8867" spans="1:26" x14ac:dyDescent="0.2">
      <c r="A8867" s="8">
        <v>8866</v>
      </c>
      <c r="B8867" s="8" t="s">
        <v>38673</v>
      </c>
      <c r="C8867" s="8" t="s">
        <v>38673</v>
      </c>
      <c r="G8867" s="8">
        <v>20</v>
      </c>
      <c r="H8867" s="8" t="s">
        <v>21</v>
      </c>
      <c r="I8867" s="8" t="s">
        <v>22</v>
      </c>
      <c r="J8867" s="8" t="s">
        <v>57</v>
      </c>
      <c r="K8867" s="8" t="s">
        <v>23</v>
      </c>
      <c r="L8867" s="8" t="s">
        <v>22476</v>
      </c>
      <c r="M8867" s="8" t="s">
        <v>22477</v>
      </c>
      <c r="N8867" s="8" t="s">
        <v>25203</v>
      </c>
      <c r="O8867" s="8">
        <f>14+30/60+10.3/3600</f>
        <v>14.502861111111111</v>
      </c>
      <c r="P8867" s="8" t="s">
        <v>25204</v>
      </c>
      <c r="Q8867" s="8">
        <f>+(31+12/60+55/3600)</f>
        <v>31.215277777777779</v>
      </c>
      <c r="R8867" s="8">
        <v>12.2</v>
      </c>
      <c r="S8867" s="8">
        <v>12.9</v>
      </c>
      <c r="T8867" s="8">
        <v>0.7</v>
      </c>
      <c r="U8867" s="8">
        <v>12.9</v>
      </c>
      <c r="V8867" s="8">
        <v>1.7</v>
      </c>
      <c r="W8867" s="8">
        <v>1.3</v>
      </c>
      <c r="X8867" s="8">
        <v>125</v>
      </c>
      <c r="Y8867" s="8" t="s">
        <v>15781</v>
      </c>
      <c r="Z8867" s="8" t="s">
        <v>15782</v>
      </c>
    </row>
    <row r="8868" spans="1:26" x14ac:dyDescent="0.2">
      <c r="A8868" s="8">
        <v>8867</v>
      </c>
      <c r="B8868" s="8" t="s">
        <v>38674</v>
      </c>
      <c r="C8868" s="8" t="s">
        <v>38674</v>
      </c>
      <c r="G8868" s="8">
        <v>20</v>
      </c>
      <c r="H8868" s="8" t="s">
        <v>21</v>
      </c>
      <c r="I8868" s="8" t="s">
        <v>22</v>
      </c>
      <c r="J8868" s="8" t="s">
        <v>22</v>
      </c>
      <c r="K8868" s="8" t="s">
        <v>449</v>
      </c>
      <c r="L8868" s="8" t="s">
        <v>22476</v>
      </c>
      <c r="M8868" s="8" t="s">
        <v>22477</v>
      </c>
      <c r="N8868" s="8" t="s">
        <v>38675</v>
      </c>
      <c r="O8868" s="8">
        <f>14+29/60+48.4/3600</f>
        <v>14.496777777777776</v>
      </c>
      <c r="P8868" s="8" t="s">
        <v>38676</v>
      </c>
      <c r="Q8868" s="8">
        <f>+(53+57/60+56/3600)</f>
        <v>53.965555555555561</v>
      </c>
      <c r="R8868" s="8">
        <v>14.5</v>
      </c>
      <c r="S8868" s="8">
        <v>15.3</v>
      </c>
      <c r="T8868" s="8">
        <v>0.8</v>
      </c>
      <c r="U8868" s="8">
        <v>13.9</v>
      </c>
      <c r="V8868" s="8">
        <v>0.9</v>
      </c>
      <c r="W8868" s="8">
        <v>0.8</v>
      </c>
      <c r="X8868" s="8">
        <v>170</v>
      </c>
      <c r="Y8868" s="8" t="s">
        <v>21</v>
      </c>
      <c r="Z8868" s="8" t="s">
        <v>38677</v>
      </c>
    </row>
    <row r="8869" spans="1:26" x14ac:dyDescent="0.2">
      <c r="A8869" s="8">
        <v>8868</v>
      </c>
      <c r="B8869" s="8" t="s">
        <v>38678</v>
      </c>
      <c r="C8869" s="8" t="s">
        <v>38678</v>
      </c>
      <c r="G8869" s="8">
        <v>20</v>
      </c>
      <c r="H8869" s="8" t="s">
        <v>21</v>
      </c>
      <c r="I8869" s="8" t="s">
        <v>22</v>
      </c>
      <c r="J8869" s="8" t="s">
        <v>57</v>
      </c>
      <c r="K8869" s="8" t="s">
        <v>435</v>
      </c>
      <c r="L8869" s="8" t="s">
        <v>22476</v>
      </c>
      <c r="M8869" s="8" t="s">
        <v>22477</v>
      </c>
      <c r="N8869" s="8" t="s">
        <v>25575</v>
      </c>
      <c r="O8869" s="8">
        <f>14+42/60+28.9/3600</f>
        <v>14.708027777777778</v>
      </c>
      <c r="P8869" s="8" t="s">
        <v>25576</v>
      </c>
      <c r="Q8869" s="8">
        <f>+(41+50/60+35/3600)</f>
        <v>41.843055555555559</v>
      </c>
      <c r="R8869" s="8">
        <v>12.1</v>
      </c>
      <c r="S8869" s="8">
        <v>13</v>
      </c>
      <c r="T8869" s="8">
        <v>0.9</v>
      </c>
      <c r="U8869" s="8">
        <v>13.6</v>
      </c>
      <c r="V8869" s="8">
        <v>2.2999999999999998</v>
      </c>
      <c r="W8869" s="8">
        <v>2.1</v>
      </c>
      <c r="X8869" s="8">
        <v>0</v>
      </c>
      <c r="Y8869" s="8" t="s">
        <v>38679</v>
      </c>
      <c r="Z8869" s="8" t="s">
        <v>38680</v>
      </c>
    </row>
    <row r="8870" spans="1:26" x14ac:dyDescent="0.2">
      <c r="A8870" s="8">
        <v>8869</v>
      </c>
      <c r="B8870" s="8" t="s">
        <v>38681</v>
      </c>
      <c r="C8870" s="8" t="s">
        <v>38681</v>
      </c>
      <c r="G8870" s="8">
        <v>20</v>
      </c>
      <c r="H8870" s="8" t="s">
        <v>21</v>
      </c>
      <c r="I8870" s="8" t="s">
        <v>22</v>
      </c>
      <c r="J8870" s="8" t="s">
        <v>22</v>
      </c>
      <c r="K8870" s="8" t="s">
        <v>23</v>
      </c>
      <c r="L8870" s="8" t="s">
        <v>22476</v>
      </c>
      <c r="M8870" s="8" t="s">
        <v>22477</v>
      </c>
      <c r="N8870" s="8" t="s">
        <v>38682</v>
      </c>
      <c r="O8870" s="8">
        <f>14+32/60+27.2/3600</f>
        <v>14.540888888888889</v>
      </c>
      <c r="P8870" s="8" t="s">
        <v>38683</v>
      </c>
      <c r="Q8870" s="8">
        <f>+(49+54/60+16/3600)</f>
        <v>49.904444444444444</v>
      </c>
      <c r="R8870" s="8">
        <v>12.4</v>
      </c>
      <c r="S8870" s="8">
        <v>13.3</v>
      </c>
      <c r="T8870" s="8">
        <v>0.9</v>
      </c>
      <c r="U8870" s="8">
        <v>12.5</v>
      </c>
      <c r="V8870" s="8">
        <v>2.6</v>
      </c>
      <c r="W8870" s="8">
        <v>0.5</v>
      </c>
      <c r="X8870" s="8">
        <v>152</v>
      </c>
      <c r="Y8870" s="8" t="s">
        <v>38684</v>
      </c>
      <c r="Z8870" s="8" t="s">
        <v>38685</v>
      </c>
    </row>
    <row r="8871" spans="1:26" x14ac:dyDescent="0.2">
      <c r="A8871" s="8">
        <v>8870</v>
      </c>
      <c r="B8871" s="8" t="s">
        <v>38686</v>
      </c>
      <c r="C8871" s="8" t="s">
        <v>38686</v>
      </c>
      <c r="G8871" s="8">
        <v>20</v>
      </c>
      <c r="H8871" s="8" t="s">
        <v>21</v>
      </c>
      <c r="I8871" s="8" t="s">
        <v>22</v>
      </c>
      <c r="J8871" s="8" t="s">
        <v>57</v>
      </c>
      <c r="K8871" s="8" t="s">
        <v>23</v>
      </c>
      <c r="L8871" s="8" t="s">
        <v>22476</v>
      </c>
      <c r="M8871" s="8" t="s">
        <v>22477</v>
      </c>
      <c r="N8871" s="8" t="s">
        <v>25287</v>
      </c>
      <c r="O8871" s="8">
        <f>14+32/60+38.5/3600</f>
        <v>14.544027777777778</v>
      </c>
      <c r="P8871" s="8" t="s">
        <v>25288</v>
      </c>
      <c r="Q8871" s="8">
        <f>+(31+40/60+13/3600)</f>
        <v>31.67027777777778</v>
      </c>
      <c r="R8871" s="8">
        <v>13.5</v>
      </c>
      <c r="S8871" s="8">
        <v>14.1</v>
      </c>
      <c r="T8871" s="8">
        <v>0.6</v>
      </c>
      <c r="U8871" s="8">
        <v>12.6</v>
      </c>
      <c r="V8871" s="8">
        <v>0.8</v>
      </c>
      <c r="W8871" s="8">
        <v>0.5</v>
      </c>
      <c r="X8871" s="8">
        <v>50</v>
      </c>
      <c r="Y8871" s="8" t="s">
        <v>1088</v>
      </c>
      <c r="Z8871" s="8" t="s">
        <v>1089</v>
      </c>
    </row>
    <row r="8872" spans="1:26" x14ac:dyDescent="0.2">
      <c r="A8872" s="8">
        <v>8871</v>
      </c>
      <c r="B8872" s="8" t="s">
        <v>38687</v>
      </c>
      <c r="C8872" s="8" t="s">
        <v>38687</v>
      </c>
      <c r="G8872" s="8">
        <v>20</v>
      </c>
      <c r="H8872" s="8" t="s">
        <v>21</v>
      </c>
      <c r="I8872" s="8" t="s">
        <v>22</v>
      </c>
      <c r="J8872" s="8" t="s">
        <v>22</v>
      </c>
      <c r="K8872" s="8" t="s">
        <v>449</v>
      </c>
      <c r="L8872" s="8" t="s">
        <v>22476</v>
      </c>
      <c r="M8872" s="8" t="s">
        <v>22477</v>
      </c>
      <c r="N8872" s="8" t="s">
        <v>38688</v>
      </c>
      <c r="O8872" s="8">
        <f>14+34/60+23.9/3600</f>
        <v>14.573305555555555</v>
      </c>
      <c r="P8872" s="8" t="s">
        <v>38689</v>
      </c>
      <c r="Q8872" s="8">
        <f>+(48+2/60+17/3600)</f>
        <v>48.038055555555552</v>
      </c>
      <c r="R8872" s="8">
        <v>14.8</v>
      </c>
      <c r="S8872" s="8">
        <v>15.6</v>
      </c>
      <c r="T8872" s="8">
        <v>0.8</v>
      </c>
      <c r="U8872" s="8">
        <v>14</v>
      </c>
      <c r="V8872" s="8">
        <v>0.9</v>
      </c>
      <c r="W8872" s="8">
        <v>0.6</v>
      </c>
      <c r="X8872" s="8">
        <v>45</v>
      </c>
      <c r="Y8872" s="8" t="s">
        <v>7509</v>
      </c>
      <c r="Z8872" s="8" t="s">
        <v>3537</v>
      </c>
    </row>
    <row r="8873" spans="1:26" x14ac:dyDescent="0.2">
      <c r="A8873" s="8">
        <v>8872</v>
      </c>
      <c r="B8873" s="8" t="s">
        <v>38690</v>
      </c>
      <c r="C8873" s="8" t="s">
        <v>38690</v>
      </c>
      <c r="G8873" s="8">
        <v>20</v>
      </c>
      <c r="H8873" s="8" t="s">
        <v>21</v>
      </c>
      <c r="I8873" s="8" t="s">
        <v>22</v>
      </c>
      <c r="J8873" s="8" t="s">
        <v>22</v>
      </c>
      <c r="K8873" s="8" t="s">
        <v>424</v>
      </c>
      <c r="L8873" s="8" t="s">
        <v>22476</v>
      </c>
      <c r="M8873" s="8" t="s">
        <v>22477</v>
      </c>
      <c r="N8873" s="8" t="s">
        <v>38691</v>
      </c>
      <c r="O8873" s="8">
        <f>14+34/60+39.1/3600</f>
        <v>14.577527777777778</v>
      </c>
      <c r="P8873" s="8" t="s">
        <v>38692</v>
      </c>
      <c r="Q8873" s="8">
        <f>+(47+58/60+7/3600)</f>
        <v>47.968611111111116</v>
      </c>
      <c r="R8873" s="8">
        <v>14.7</v>
      </c>
      <c r="S8873" s="8">
        <v>15.7</v>
      </c>
      <c r="T8873" s="8">
        <v>1</v>
      </c>
      <c r="U8873" s="8">
        <v>12.2</v>
      </c>
      <c r="V8873" s="8">
        <v>0.4</v>
      </c>
      <c r="W8873" s="8">
        <v>0.3</v>
      </c>
      <c r="X8873" s="8">
        <v>90</v>
      </c>
      <c r="Y8873" s="8" t="s">
        <v>7509</v>
      </c>
      <c r="Z8873" s="8" t="s">
        <v>3537</v>
      </c>
    </row>
    <row r="8874" spans="1:26" x14ac:dyDescent="0.2">
      <c r="A8874" s="8">
        <v>8873</v>
      </c>
      <c r="B8874" s="8" t="s">
        <v>38693</v>
      </c>
      <c r="C8874" s="8" t="s">
        <v>38693</v>
      </c>
      <c r="G8874" s="8">
        <v>20</v>
      </c>
      <c r="H8874" s="8" t="s">
        <v>21</v>
      </c>
      <c r="I8874" s="8" t="s">
        <v>22</v>
      </c>
      <c r="J8874" s="8" t="s">
        <v>22</v>
      </c>
      <c r="K8874" s="8" t="s">
        <v>50</v>
      </c>
      <c r="L8874" s="8" t="s">
        <v>22476</v>
      </c>
      <c r="M8874" s="8" t="s">
        <v>22477</v>
      </c>
      <c r="N8874" s="8" t="s">
        <v>38694</v>
      </c>
      <c r="O8874" s="8">
        <f>14+34/60+41.8/3600</f>
        <v>14.578277777777778</v>
      </c>
      <c r="P8874" s="8" t="s">
        <v>38695</v>
      </c>
      <c r="Q8874" s="8">
        <f>+(47+56/60+16/3600)</f>
        <v>47.937777777777775</v>
      </c>
      <c r="R8874" s="8">
        <v>14.2</v>
      </c>
      <c r="S8874" s="8">
        <v>15.2</v>
      </c>
      <c r="T8874" s="8">
        <v>1</v>
      </c>
      <c r="U8874" s="8">
        <v>14</v>
      </c>
      <c r="V8874" s="8">
        <v>1.1000000000000001</v>
      </c>
      <c r="W8874" s="8">
        <v>0.7</v>
      </c>
      <c r="X8874" s="8">
        <v>0</v>
      </c>
      <c r="Y8874" s="8" t="s">
        <v>7509</v>
      </c>
      <c r="Z8874" s="8" t="s">
        <v>3537</v>
      </c>
    </row>
    <row r="8875" spans="1:26" x14ac:dyDescent="0.2">
      <c r="A8875" s="8">
        <v>8874</v>
      </c>
      <c r="B8875" s="8" t="s">
        <v>38696</v>
      </c>
      <c r="C8875" s="8" t="s">
        <v>38696</v>
      </c>
      <c r="G8875" s="8">
        <v>20</v>
      </c>
      <c r="H8875" s="8" t="s">
        <v>21</v>
      </c>
      <c r="I8875" s="8" t="s">
        <v>22</v>
      </c>
      <c r="J8875" s="8" t="s">
        <v>22</v>
      </c>
      <c r="K8875" s="8" t="s">
        <v>449</v>
      </c>
      <c r="L8875" s="8" t="s">
        <v>22476</v>
      </c>
      <c r="M8875" s="8" t="s">
        <v>22477</v>
      </c>
      <c r="N8875" s="8" t="s">
        <v>38697</v>
      </c>
      <c r="O8875" s="8">
        <f>14+37/60+13.6/3600</f>
        <v>14.620444444444445</v>
      </c>
      <c r="P8875" s="8" t="s">
        <v>38698</v>
      </c>
      <c r="Q8875" s="8">
        <f>+(14+39/60+57/3600)</f>
        <v>14.665833333333333</v>
      </c>
      <c r="R8875" s="8">
        <v>14.5</v>
      </c>
      <c r="S8875" s="8">
        <v>15.3</v>
      </c>
      <c r="T8875" s="8">
        <v>0.8</v>
      </c>
      <c r="U8875" s="8">
        <v>13.9</v>
      </c>
      <c r="V8875" s="8">
        <v>1.1000000000000001</v>
      </c>
      <c r="W8875" s="8">
        <v>0.6</v>
      </c>
      <c r="X8875" s="8">
        <v>9</v>
      </c>
      <c r="Y8875" s="8" t="s">
        <v>38699</v>
      </c>
      <c r="Z8875" s="8" t="s">
        <v>38700</v>
      </c>
    </row>
    <row r="8876" spans="1:26" x14ac:dyDescent="0.2">
      <c r="A8876" s="8">
        <v>8875</v>
      </c>
      <c r="B8876" s="8" t="s">
        <v>38701</v>
      </c>
      <c r="C8876" s="8" t="s">
        <v>38701</v>
      </c>
      <c r="G8876" s="8">
        <v>20</v>
      </c>
      <c r="H8876" s="8" t="s">
        <v>21</v>
      </c>
      <c r="I8876" s="8" t="s">
        <v>22</v>
      </c>
      <c r="J8876" s="8" t="s">
        <v>22</v>
      </c>
      <c r="K8876" s="8" t="s">
        <v>37</v>
      </c>
      <c r="L8876" s="8" t="s">
        <v>22476</v>
      </c>
      <c r="M8876" s="8" t="s">
        <v>22477</v>
      </c>
      <c r="N8876" s="8" t="s">
        <v>38702</v>
      </c>
      <c r="O8876" s="8">
        <f>14+38/60+10.2/3600</f>
        <v>14.636166666666666</v>
      </c>
      <c r="P8876" s="8" t="s">
        <v>38703</v>
      </c>
      <c r="Q8876" s="8">
        <f>+(9+20/60+12/3600)</f>
        <v>9.3366666666666678</v>
      </c>
      <c r="R8876" s="8">
        <v>14.3</v>
      </c>
      <c r="S8876" s="8">
        <v>15.3</v>
      </c>
      <c r="T8876" s="8">
        <v>1</v>
      </c>
      <c r="U8876" s="8">
        <v>12.2</v>
      </c>
      <c r="V8876" s="8">
        <v>0.4</v>
      </c>
      <c r="W8876" s="8">
        <v>0.4</v>
      </c>
      <c r="Y8876" s="8" t="s">
        <v>38704</v>
      </c>
      <c r="Z8876" s="8" t="s">
        <v>38705</v>
      </c>
    </row>
    <row r="8877" spans="1:26" x14ac:dyDescent="0.2">
      <c r="A8877" s="8">
        <v>8876</v>
      </c>
      <c r="B8877" s="8" t="s">
        <v>38706</v>
      </c>
      <c r="C8877" s="8" t="s">
        <v>38706</v>
      </c>
      <c r="G8877" s="8">
        <v>20</v>
      </c>
      <c r="H8877" s="8" t="s">
        <v>21</v>
      </c>
      <c r="I8877" s="8" t="s">
        <v>22</v>
      </c>
      <c r="J8877" s="8" t="s">
        <v>22</v>
      </c>
      <c r="K8877" s="8" t="s">
        <v>449</v>
      </c>
      <c r="L8877" s="8" t="s">
        <v>22476</v>
      </c>
      <c r="M8877" s="8" t="s">
        <v>22477</v>
      </c>
      <c r="N8877" s="8" t="s">
        <v>38707</v>
      </c>
      <c r="O8877" s="8">
        <f>14+38/60+22.7/3600</f>
        <v>14.639638888888888</v>
      </c>
      <c r="P8877" s="8" t="s">
        <v>38708</v>
      </c>
      <c r="Q8877" s="8">
        <f>+(18+6/60+41/3600)</f>
        <v>18.111388888888889</v>
      </c>
      <c r="R8877" s="8">
        <v>14.8</v>
      </c>
      <c r="S8877" s="8">
        <v>15.6</v>
      </c>
      <c r="T8877" s="8">
        <v>0.8</v>
      </c>
      <c r="U8877" s="8">
        <v>12.2</v>
      </c>
      <c r="V8877" s="8">
        <v>0.5</v>
      </c>
      <c r="W8877" s="8">
        <v>0.2</v>
      </c>
      <c r="X8877" s="8">
        <v>45</v>
      </c>
      <c r="Y8877" s="8" t="s">
        <v>6001</v>
      </c>
      <c r="Z8877" s="8" t="s">
        <v>6002</v>
      </c>
    </row>
    <row r="8878" spans="1:26" x14ac:dyDescent="0.2">
      <c r="A8878" s="8">
        <v>8877</v>
      </c>
      <c r="B8878" s="8" t="s">
        <v>38709</v>
      </c>
      <c r="C8878" s="8" t="s">
        <v>38709</v>
      </c>
      <c r="G8878" s="8">
        <v>20</v>
      </c>
      <c r="H8878" s="8" t="s">
        <v>21</v>
      </c>
      <c r="I8878" s="8" t="s">
        <v>22</v>
      </c>
      <c r="J8878" s="8" t="s">
        <v>22</v>
      </c>
      <c r="K8878" s="8" t="s">
        <v>37</v>
      </c>
      <c r="L8878" s="8" t="s">
        <v>22476</v>
      </c>
      <c r="M8878" s="8" t="s">
        <v>22477</v>
      </c>
      <c r="N8878" s="8" t="s">
        <v>38710</v>
      </c>
      <c r="O8878" s="8">
        <f>14+38/60+25.3/3600</f>
        <v>14.64036111111111</v>
      </c>
      <c r="P8878" s="8" t="s">
        <v>38711</v>
      </c>
      <c r="Q8878" s="8">
        <f>+(18+11/60+4/3600)</f>
        <v>18.184444444444445</v>
      </c>
      <c r="R8878" s="8">
        <v>14.1</v>
      </c>
      <c r="S8878" s="8">
        <v>15.1</v>
      </c>
      <c r="T8878" s="8">
        <v>1</v>
      </c>
      <c r="U8878" s="8">
        <v>13</v>
      </c>
      <c r="V8878" s="8">
        <v>0.8</v>
      </c>
      <c r="W8878" s="8">
        <v>0.5</v>
      </c>
      <c r="X8878" s="8">
        <v>108</v>
      </c>
      <c r="Y8878" s="8" t="s">
        <v>5926</v>
      </c>
      <c r="Z8878" s="8" t="s">
        <v>23179</v>
      </c>
    </row>
    <row r="8879" spans="1:26" x14ac:dyDescent="0.2">
      <c r="A8879" s="8">
        <v>8878</v>
      </c>
      <c r="B8879" s="8" t="s">
        <v>38712</v>
      </c>
      <c r="C8879" s="8" t="s">
        <v>38712</v>
      </c>
      <c r="G8879" s="8">
        <v>20</v>
      </c>
      <c r="H8879" s="8" t="s">
        <v>21</v>
      </c>
      <c r="I8879" s="8" t="s">
        <v>22</v>
      </c>
      <c r="J8879" s="8" t="s">
        <v>22</v>
      </c>
      <c r="K8879" s="8" t="s">
        <v>37</v>
      </c>
      <c r="L8879" s="8" t="s">
        <v>22476</v>
      </c>
      <c r="M8879" s="8" t="s">
        <v>22477</v>
      </c>
      <c r="N8879" s="8" t="s">
        <v>38713</v>
      </c>
      <c r="O8879" s="8">
        <f>14+39/60+27.4/3600</f>
        <v>14.657611111111111</v>
      </c>
      <c r="P8879" s="8" t="s">
        <v>38714</v>
      </c>
      <c r="Q8879" s="8">
        <f>+(11+55/60+44/3600)</f>
        <v>11.928888888888888</v>
      </c>
      <c r="R8879" s="8">
        <v>14.3</v>
      </c>
      <c r="S8879" s="8">
        <v>15.3</v>
      </c>
      <c r="T8879" s="8">
        <v>1</v>
      </c>
      <c r="U8879" s="8">
        <v>11.9</v>
      </c>
      <c r="V8879" s="8">
        <v>0.4</v>
      </c>
      <c r="W8879" s="8">
        <v>0.3</v>
      </c>
      <c r="X8879" s="8">
        <v>5</v>
      </c>
      <c r="Y8879" s="8" t="s">
        <v>21</v>
      </c>
      <c r="Z8879" s="8" t="s">
        <v>38715</v>
      </c>
    </row>
    <row r="8880" spans="1:26" x14ac:dyDescent="0.2">
      <c r="A8880" s="8">
        <v>8879</v>
      </c>
      <c r="B8880" s="8" t="s">
        <v>38716</v>
      </c>
      <c r="C8880" s="8" t="s">
        <v>38716</v>
      </c>
      <c r="G8880" s="8">
        <v>20</v>
      </c>
      <c r="H8880" s="8" t="s">
        <v>21</v>
      </c>
      <c r="I8880" s="8" t="s">
        <v>22</v>
      </c>
      <c r="J8880" s="8" t="s">
        <v>22</v>
      </c>
      <c r="K8880" s="8" t="s">
        <v>37</v>
      </c>
      <c r="L8880" s="8" t="s">
        <v>17287</v>
      </c>
      <c r="M8880" s="8" t="s">
        <v>17288</v>
      </c>
      <c r="N8880" s="8" t="s">
        <v>38717</v>
      </c>
      <c r="O8880" s="8">
        <f>14+40/60+29.3/3600</f>
        <v>14.674805555555555</v>
      </c>
      <c r="P8880" s="8" t="s">
        <v>38718</v>
      </c>
      <c r="Q8880" s="8">
        <f>+(3+26/60+0/3600)</f>
        <v>3.4333333333333336</v>
      </c>
      <c r="R8880" s="8">
        <v>14.4</v>
      </c>
      <c r="S8880" s="8">
        <v>15.4</v>
      </c>
      <c r="T8880" s="8">
        <v>1</v>
      </c>
      <c r="U8880" s="8">
        <v>13</v>
      </c>
      <c r="V8880" s="8">
        <v>0.8</v>
      </c>
      <c r="W8880" s="8">
        <v>0.4</v>
      </c>
      <c r="X8880" s="8">
        <v>45</v>
      </c>
      <c r="Y8880" s="8" t="s">
        <v>27526</v>
      </c>
      <c r="Z8880" s="8" t="s">
        <v>22882</v>
      </c>
    </row>
    <row r="8881" spans="1:26" x14ac:dyDescent="0.2">
      <c r="A8881" s="8">
        <v>8880</v>
      </c>
      <c r="B8881" s="8" t="s">
        <v>38719</v>
      </c>
      <c r="C8881" s="8" t="s">
        <v>38719</v>
      </c>
      <c r="G8881" s="8">
        <v>20</v>
      </c>
      <c r="H8881" s="8" t="s">
        <v>21</v>
      </c>
      <c r="I8881" s="8" t="s">
        <v>22</v>
      </c>
      <c r="J8881" s="8" t="s">
        <v>22</v>
      </c>
      <c r="K8881" s="8" t="s">
        <v>449</v>
      </c>
      <c r="L8881" s="8" t="s">
        <v>22476</v>
      </c>
      <c r="M8881" s="8" t="s">
        <v>22477</v>
      </c>
      <c r="N8881" s="8" t="s">
        <v>38720</v>
      </c>
      <c r="O8881" s="8">
        <f>14+40/60+22.5/3600</f>
        <v>14.672916666666666</v>
      </c>
      <c r="P8881" s="8" t="s">
        <v>38721</v>
      </c>
      <c r="Q8881" s="8">
        <f>+(9+28/60+39/3600)</f>
        <v>9.4775000000000009</v>
      </c>
      <c r="R8881" s="8">
        <v>14.4</v>
      </c>
      <c r="S8881" s="8">
        <v>15.2</v>
      </c>
      <c r="T8881" s="8">
        <v>0.8</v>
      </c>
      <c r="U8881" s="8">
        <v>12.3</v>
      </c>
      <c r="V8881" s="8">
        <v>0.4</v>
      </c>
      <c r="W8881" s="8">
        <v>0.4</v>
      </c>
      <c r="Y8881" s="8" t="s">
        <v>266</v>
      </c>
      <c r="Z8881" s="8" t="s">
        <v>267</v>
      </c>
    </row>
    <row r="8882" spans="1:26" x14ac:dyDescent="0.2">
      <c r="A8882" s="8">
        <v>8881</v>
      </c>
      <c r="B8882" s="8" t="s">
        <v>38722</v>
      </c>
      <c r="C8882" s="8" t="s">
        <v>38722</v>
      </c>
      <c r="G8882" s="8">
        <v>20</v>
      </c>
      <c r="H8882" s="8" t="s">
        <v>21</v>
      </c>
      <c r="I8882" s="8" t="s">
        <v>22</v>
      </c>
      <c r="J8882" s="8" t="s">
        <v>22</v>
      </c>
      <c r="K8882" s="8" t="s">
        <v>23</v>
      </c>
      <c r="L8882" s="8" t="s">
        <v>17287</v>
      </c>
      <c r="M8882" s="8" t="s">
        <v>17288</v>
      </c>
      <c r="N8882" s="8" t="s">
        <v>38723</v>
      </c>
      <c r="O8882" s="8">
        <f>14+40/60+37.9/3600</f>
        <v>14.677194444444444</v>
      </c>
      <c r="P8882" s="8" t="s">
        <v>38724</v>
      </c>
      <c r="Q8882" s="8">
        <f>+(3+22/60+38/3600)</f>
        <v>3.3772222222222221</v>
      </c>
      <c r="R8882" s="8">
        <v>14.3</v>
      </c>
      <c r="S8882" s="8">
        <v>15.1</v>
      </c>
      <c r="T8882" s="8">
        <v>0.8</v>
      </c>
      <c r="U8882" s="8">
        <v>12.8</v>
      </c>
      <c r="V8882" s="8">
        <v>0.7</v>
      </c>
      <c r="W8882" s="8">
        <v>0.4</v>
      </c>
      <c r="X8882" s="8">
        <v>171</v>
      </c>
      <c r="Y8882" s="8" t="s">
        <v>21</v>
      </c>
      <c r="Z8882" s="8" t="s">
        <v>38725</v>
      </c>
    </row>
    <row r="8883" spans="1:26" x14ac:dyDescent="0.2">
      <c r="A8883" s="8">
        <v>8882</v>
      </c>
      <c r="B8883" s="8" t="s">
        <v>38726</v>
      </c>
      <c r="C8883" s="8" t="s">
        <v>38726</v>
      </c>
      <c r="G8883" s="8">
        <v>20</v>
      </c>
      <c r="H8883" s="8" t="s">
        <v>21</v>
      </c>
      <c r="I8883" s="8" t="s">
        <v>22</v>
      </c>
      <c r="J8883" s="8" t="s">
        <v>22</v>
      </c>
      <c r="K8883" s="8" t="s">
        <v>37</v>
      </c>
      <c r="L8883" s="8" t="s">
        <v>17287</v>
      </c>
      <c r="M8883" s="8" t="s">
        <v>17288</v>
      </c>
      <c r="N8883" s="8" t="s">
        <v>38727</v>
      </c>
      <c r="O8883" s="8">
        <f>14+40/60+38.7/3600</f>
        <v>14.677416666666666</v>
      </c>
      <c r="P8883" s="8" t="s">
        <v>38728</v>
      </c>
      <c r="Q8883" s="8">
        <f>+(3+28/60+11/3600)</f>
        <v>3.4697222222222224</v>
      </c>
      <c r="R8883" s="8">
        <v>13.6</v>
      </c>
      <c r="S8883" s="8">
        <v>14.6</v>
      </c>
      <c r="T8883" s="8">
        <v>1</v>
      </c>
      <c r="U8883" s="8">
        <v>13.7</v>
      </c>
      <c r="V8883" s="8">
        <v>1.1000000000000001</v>
      </c>
      <c r="W8883" s="8">
        <v>1.1000000000000001</v>
      </c>
      <c r="Y8883" s="8" t="s">
        <v>21</v>
      </c>
      <c r="Z8883" s="8" t="s">
        <v>38729</v>
      </c>
    </row>
    <row r="8884" spans="1:26" x14ac:dyDescent="0.2">
      <c r="A8884" s="8">
        <v>8883</v>
      </c>
      <c r="B8884" s="8" t="s">
        <v>38730</v>
      </c>
      <c r="C8884" s="8" t="s">
        <v>38730</v>
      </c>
      <c r="G8884" s="8">
        <v>20</v>
      </c>
      <c r="H8884" s="8" t="s">
        <v>21</v>
      </c>
      <c r="I8884" s="8" t="s">
        <v>22</v>
      </c>
      <c r="J8884" s="8" t="s">
        <v>22</v>
      </c>
      <c r="K8884" s="8" t="s">
        <v>449</v>
      </c>
      <c r="L8884" s="8" t="s">
        <v>17287</v>
      </c>
      <c r="M8884" s="8" t="s">
        <v>17288</v>
      </c>
      <c r="N8884" s="8" t="s">
        <v>38731</v>
      </c>
      <c r="O8884" s="8">
        <f>14+40/60+43.3/3600</f>
        <v>14.678694444444444</v>
      </c>
      <c r="P8884" s="8" t="s">
        <v>38732</v>
      </c>
      <c r="Q8884" s="8">
        <f>+(3+22/60+29/3600)</f>
        <v>3.3747222222222222</v>
      </c>
      <c r="R8884" s="8">
        <v>15.1</v>
      </c>
      <c r="S8884" s="8">
        <v>15.9</v>
      </c>
      <c r="T8884" s="8">
        <v>0.8</v>
      </c>
      <c r="U8884" s="8">
        <v>12.2</v>
      </c>
      <c r="V8884" s="8">
        <v>0.4</v>
      </c>
      <c r="W8884" s="8">
        <v>0.2</v>
      </c>
      <c r="X8884" s="8">
        <v>15</v>
      </c>
      <c r="Y8884" s="8" t="s">
        <v>115</v>
      </c>
      <c r="Z8884" s="8" t="s">
        <v>116</v>
      </c>
    </row>
    <row r="8885" spans="1:26" x14ac:dyDescent="0.2">
      <c r="A8885" s="8">
        <v>8884</v>
      </c>
      <c r="B8885" s="8" t="s">
        <v>38733</v>
      </c>
      <c r="C8885" s="8" t="s">
        <v>38733</v>
      </c>
      <c r="G8885" s="8">
        <v>20</v>
      </c>
      <c r="H8885" s="8" t="s">
        <v>21</v>
      </c>
      <c r="I8885" s="8" t="s">
        <v>22</v>
      </c>
      <c r="J8885" s="8" t="s">
        <v>22</v>
      </c>
      <c r="K8885" s="8" t="s">
        <v>449</v>
      </c>
      <c r="L8885" s="8" t="s">
        <v>22476</v>
      </c>
      <c r="M8885" s="8" t="s">
        <v>22477</v>
      </c>
      <c r="N8885" s="8" t="s">
        <v>38734</v>
      </c>
      <c r="O8885" s="8">
        <f>14+41/60+28.9/3600</f>
        <v>14.691361111111112</v>
      </c>
      <c r="P8885" s="8" t="s">
        <v>38735</v>
      </c>
      <c r="Q8885" s="8">
        <f>+(9+25/60+54/3600)</f>
        <v>9.4316666666666666</v>
      </c>
      <c r="R8885" s="8">
        <v>14.1</v>
      </c>
      <c r="S8885" s="8">
        <v>14.9</v>
      </c>
      <c r="T8885" s="8">
        <v>0.8</v>
      </c>
      <c r="U8885" s="8">
        <v>13.7</v>
      </c>
      <c r="V8885" s="8">
        <v>1.1000000000000001</v>
      </c>
      <c r="W8885" s="8">
        <v>0.7</v>
      </c>
      <c r="X8885" s="8">
        <v>0</v>
      </c>
      <c r="Y8885" s="8" t="s">
        <v>530</v>
      </c>
      <c r="Z8885" s="8" t="s">
        <v>531</v>
      </c>
    </row>
    <row r="8886" spans="1:26" x14ac:dyDescent="0.2">
      <c r="A8886" s="8">
        <v>8885</v>
      </c>
      <c r="B8886" s="8" t="s">
        <v>38736</v>
      </c>
      <c r="C8886" s="8" t="s">
        <v>38736</v>
      </c>
      <c r="G8886" s="8">
        <v>20</v>
      </c>
      <c r="H8886" s="8" t="s">
        <v>21</v>
      </c>
      <c r="I8886" s="8" t="s">
        <v>22</v>
      </c>
      <c r="J8886" s="8" t="s">
        <v>22</v>
      </c>
      <c r="K8886" s="8" t="s">
        <v>396</v>
      </c>
      <c r="L8886" s="8" t="s">
        <v>22476</v>
      </c>
      <c r="M8886" s="8" t="s">
        <v>22477</v>
      </c>
      <c r="N8886" s="8" t="s">
        <v>38737</v>
      </c>
      <c r="O8886" s="8">
        <f>14+50/60+39.4/3600</f>
        <v>14.844277777777778</v>
      </c>
      <c r="P8886" s="8" t="s">
        <v>38738</v>
      </c>
      <c r="Q8886" s="8">
        <f>+(42+44/60+27/3600)</f>
        <v>42.740833333333335</v>
      </c>
      <c r="R8886" s="8">
        <v>13.9</v>
      </c>
      <c r="S8886" s="8">
        <v>14.7</v>
      </c>
      <c r="T8886" s="8">
        <v>0.8</v>
      </c>
      <c r="U8886" s="8">
        <v>12.2</v>
      </c>
      <c r="V8886" s="8">
        <v>1.1000000000000001</v>
      </c>
      <c r="W8886" s="8">
        <v>0.4</v>
      </c>
      <c r="X8886" s="8">
        <v>140</v>
      </c>
      <c r="Y8886" s="8" t="s">
        <v>35912</v>
      </c>
      <c r="Z8886" s="8" t="s">
        <v>35913</v>
      </c>
    </row>
    <row r="8887" spans="1:26" x14ac:dyDescent="0.2">
      <c r="A8887" s="8">
        <v>8886</v>
      </c>
      <c r="B8887" s="8" t="s">
        <v>38739</v>
      </c>
      <c r="C8887" s="8" t="s">
        <v>38739</v>
      </c>
      <c r="G8887" s="8">
        <v>20</v>
      </c>
      <c r="H8887" s="8" t="s">
        <v>21</v>
      </c>
      <c r="I8887" s="8" t="s">
        <v>22</v>
      </c>
      <c r="J8887" s="8" t="s">
        <v>22</v>
      </c>
      <c r="K8887" s="8" t="s">
        <v>160</v>
      </c>
      <c r="L8887" s="8" t="s">
        <v>14586</v>
      </c>
      <c r="M8887" s="8" t="s">
        <v>14587</v>
      </c>
      <c r="N8887" s="8" t="s">
        <v>38740</v>
      </c>
      <c r="O8887" s="8">
        <f>14+37/60+53.2/3600</f>
        <v>14.631444444444444</v>
      </c>
      <c r="P8887" s="8" t="s">
        <v>38741</v>
      </c>
      <c r="Q8887" s="8">
        <f>+(69+0/60+52/3600)</f>
        <v>69.01444444444445</v>
      </c>
      <c r="R8887" s="8">
        <v>14.5</v>
      </c>
      <c r="S8887" s="8">
        <v>15.2</v>
      </c>
      <c r="T8887" s="8">
        <v>0.7</v>
      </c>
      <c r="U8887" s="8">
        <v>13.1</v>
      </c>
      <c r="V8887" s="8">
        <v>0.8</v>
      </c>
      <c r="W8887" s="8">
        <v>0.4</v>
      </c>
      <c r="X8887" s="8">
        <v>88</v>
      </c>
      <c r="Y8887" s="8" t="s">
        <v>38742</v>
      </c>
      <c r="Z8887" s="8" t="s">
        <v>38743</v>
      </c>
    </row>
    <row r="8888" spans="1:26" x14ac:dyDescent="0.2">
      <c r="A8888" s="8">
        <v>8887</v>
      </c>
      <c r="B8888" s="8" t="s">
        <v>38744</v>
      </c>
      <c r="C8888" s="8" t="s">
        <v>38744</v>
      </c>
      <c r="G8888" s="8">
        <v>20</v>
      </c>
      <c r="H8888" s="8" t="s">
        <v>21</v>
      </c>
      <c r="I8888" s="8" t="s">
        <v>22</v>
      </c>
      <c r="J8888" s="8" t="s">
        <v>22</v>
      </c>
      <c r="K8888" s="8" t="s">
        <v>23</v>
      </c>
      <c r="L8888" s="8" t="s">
        <v>22476</v>
      </c>
      <c r="M8888" s="8" t="s">
        <v>22477</v>
      </c>
      <c r="N8888" s="8" t="s">
        <v>38745</v>
      </c>
      <c r="O8888" s="8">
        <f>14+42/60+19.8/3600</f>
        <v>14.705499999999999</v>
      </c>
      <c r="P8888" s="8" t="s">
        <v>35109</v>
      </c>
      <c r="Q8888" s="8">
        <f>+(19+11/60+31/3600)</f>
        <v>19.191944444444445</v>
      </c>
      <c r="R8888" s="8">
        <v>14.8</v>
      </c>
      <c r="S8888" s="8">
        <v>15.6</v>
      </c>
      <c r="T8888" s="8">
        <v>0.8</v>
      </c>
      <c r="U8888" s="8">
        <v>13.7</v>
      </c>
      <c r="V8888" s="8">
        <v>0.7</v>
      </c>
      <c r="W8888" s="8">
        <v>0.6</v>
      </c>
      <c r="Y8888" s="8" t="s">
        <v>21</v>
      </c>
      <c r="Z8888" s="8" t="s">
        <v>38746</v>
      </c>
    </row>
    <row r="8889" spans="1:26" x14ac:dyDescent="0.2">
      <c r="A8889" s="8">
        <v>8888</v>
      </c>
      <c r="B8889" s="8" t="s">
        <v>38747</v>
      </c>
      <c r="C8889" s="8" t="s">
        <v>38747</v>
      </c>
      <c r="G8889" s="8">
        <v>20</v>
      </c>
      <c r="H8889" s="8" t="s">
        <v>21</v>
      </c>
      <c r="I8889" s="8" t="s">
        <v>22</v>
      </c>
      <c r="J8889" s="8" t="s">
        <v>22</v>
      </c>
      <c r="K8889" s="8" t="s">
        <v>449</v>
      </c>
      <c r="L8889" s="8" t="s">
        <v>17287</v>
      </c>
      <c r="M8889" s="8" t="s">
        <v>17288</v>
      </c>
      <c r="N8889" s="8" t="s">
        <v>38748</v>
      </c>
      <c r="O8889" s="8">
        <f>14+42/60+57.9/3600</f>
        <v>14.716083333333332</v>
      </c>
      <c r="P8889" s="8" t="s">
        <v>38749</v>
      </c>
      <c r="Q8889" s="8">
        <f>+(4+53/60+27/3600)</f>
        <v>4.8908333333333331</v>
      </c>
      <c r="R8889" s="8">
        <v>12.8</v>
      </c>
      <c r="S8889" s="8">
        <v>13.7</v>
      </c>
      <c r="T8889" s="8">
        <v>0.9</v>
      </c>
      <c r="U8889" s="8">
        <v>13.1</v>
      </c>
      <c r="V8889" s="8">
        <v>2.2000000000000002</v>
      </c>
      <c r="W8889" s="8">
        <v>0.7</v>
      </c>
      <c r="X8889" s="8">
        <v>163</v>
      </c>
      <c r="Y8889" s="8" t="s">
        <v>38750</v>
      </c>
      <c r="Z8889" s="8" t="s">
        <v>38751</v>
      </c>
    </row>
    <row r="8890" spans="1:26" x14ac:dyDescent="0.2">
      <c r="A8890" s="8">
        <v>8889</v>
      </c>
      <c r="B8890" s="8" t="s">
        <v>38752</v>
      </c>
      <c r="C8890" s="8" t="s">
        <v>38752</v>
      </c>
      <c r="G8890" s="8">
        <v>20</v>
      </c>
      <c r="H8890" s="8" t="s">
        <v>21</v>
      </c>
      <c r="I8890" s="8" t="s">
        <v>22</v>
      </c>
      <c r="J8890" s="8" t="s">
        <v>22</v>
      </c>
      <c r="K8890" s="8" t="s">
        <v>154</v>
      </c>
      <c r="L8890" s="8" t="s">
        <v>13395</v>
      </c>
      <c r="M8890" s="8" t="s">
        <v>13396</v>
      </c>
      <c r="N8890" s="8" t="s">
        <v>38753</v>
      </c>
      <c r="O8890" s="8">
        <f>14+39/60+33/3600</f>
        <v>14.659166666666668</v>
      </c>
      <c r="P8890" s="8" t="s">
        <v>38754</v>
      </c>
      <c r="Q8890" s="8">
        <f>+(62+0/60+11/3600)</f>
        <v>62.003055555555555</v>
      </c>
      <c r="R8890" s="8">
        <v>13.8</v>
      </c>
      <c r="S8890" s="8">
        <v>14.7</v>
      </c>
      <c r="T8890" s="8">
        <v>0.9</v>
      </c>
      <c r="U8890" s="8">
        <v>13.1</v>
      </c>
      <c r="V8890" s="8">
        <v>0.9</v>
      </c>
      <c r="W8890" s="8">
        <v>0.7</v>
      </c>
      <c r="X8890" s="8">
        <v>65</v>
      </c>
      <c r="Y8890" s="8" t="s">
        <v>215</v>
      </c>
      <c r="Z8890" s="8" t="s">
        <v>216</v>
      </c>
    </row>
    <row r="8891" spans="1:26" x14ac:dyDescent="0.2">
      <c r="A8891" s="8">
        <v>8890</v>
      </c>
      <c r="B8891" s="8" t="s">
        <v>38755</v>
      </c>
      <c r="C8891" s="8" t="s">
        <v>38755</v>
      </c>
      <c r="G8891" s="8">
        <v>20</v>
      </c>
      <c r="H8891" s="8" t="s">
        <v>21</v>
      </c>
      <c r="I8891" s="8" t="s">
        <v>22</v>
      </c>
      <c r="J8891" s="8" t="s">
        <v>22</v>
      </c>
      <c r="K8891" s="8" t="s">
        <v>23</v>
      </c>
      <c r="L8891" s="8" t="s">
        <v>22476</v>
      </c>
      <c r="M8891" s="8" t="s">
        <v>22477</v>
      </c>
      <c r="N8891" s="8" t="s">
        <v>38756</v>
      </c>
      <c r="O8891" s="8">
        <f>14+44/60+7/3600</f>
        <v>14.735277777777776</v>
      </c>
      <c r="P8891" s="8" t="s">
        <v>38757</v>
      </c>
      <c r="Q8891" s="8">
        <f>+(18+0/60+48/3600)</f>
        <v>18.013333333333332</v>
      </c>
      <c r="R8891" s="8">
        <v>14.5</v>
      </c>
      <c r="S8891" s="8">
        <v>15.3</v>
      </c>
      <c r="T8891" s="8">
        <v>0.8</v>
      </c>
      <c r="U8891" s="8">
        <v>13</v>
      </c>
      <c r="V8891" s="8">
        <v>0.7</v>
      </c>
      <c r="W8891" s="8">
        <v>0.4</v>
      </c>
      <c r="X8891" s="8">
        <v>33</v>
      </c>
      <c r="Y8891" s="8" t="s">
        <v>36095</v>
      </c>
      <c r="Z8891" s="8" t="s">
        <v>36096</v>
      </c>
    </row>
    <row r="8892" spans="1:26" x14ac:dyDescent="0.2">
      <c r="A8892" s="8">
        <v>8891</v>
      </c>
      <c r="B8892" s="8" t="s">
        <v>38758</v>
      </c>
      <c r="C8892" s="8" t="s">
        <v>38758</v>
      </c>
      <c r="G8892" s="8">
        <v>20</v>
      </c>
      <c r="H8892" s="8" t="s">
        <v>21</v>
      </c>
      <c r="I8892" s="8" t="s">
        <v>22</v>
      </c>
      <c r="J8892" s="8" t="s">
        <v>22</v>
      </c>
      <c r="K8892" s="8" t="s">
        <v>382</v>
      </c>
      <c r="L8892" s="8" t="s">
        <v>22476</v>
      </c>
      <c r="M8892" s="8" t="s">
        <v>22477</v>
      </c>
      <c r="N8892" s="8" t="s">
        <v>38759</v>
      </c>
      <c r="O8892" s="8">
        <f>14+44/60+11.5/3600</f>
        <v>14.736527777777777</v>
      </c>
      <c r="P8892" s="8" t="s">
        <v>38760</v>
      </c>
      <c r="Q8892" s="8">
        <f>+(19+1/60+14/3600)</f>
        <v>19.020555555555553</v>
      </c>
      <c r="R8892" s="8">
        <v>14.3</v>
      </c>
      <c r="S8892" s="8">
        <v>15.3</v>
      </c>
      <c r="T8892" s="8">
        <v>1</v>
      </c>
      <c r="U8892" s="8">
        <v>12.1</v>
      </c>
      <c r="V8892" s="8">
        <v>0.4</v>
      </c>
      <c r="W8892" s="8">
        <v>0.3</v>
      </c>
      <c r="X8892" s="8">
        <v>60</v>
      </c>
      <c r="Y8892" s="8" t="s">
        <v>256</v>
      </c>
      <c r="Z8892" s="8" t="s">
        <v>2209</v>
      </c>
    </row>
    <row r="8893" spans="1:26" x14ac:dyDescent="0.2">
      <c r="A8893" s="8">
        <v>8892</v>
      </c>
      <c r="B8893" s="8" t="s">
        <v>38761</v>
      </c>
      <c r="C8893" s="8" t="s">
        <v>38761</v>
      </c>
      <c r="G8893" s="8">
        <v>20</v>
      </c>
      <c r="H8893" s="8" t="s">
        <v>21</v>
      </c>
      <c r="I8893" s="8" t="s">
        <v>22</v>
      </c>
      <c r="J8893" s="8" t="s">
        <v>22</v>
      </c>
      <c r="K8893" s="8" t="s">
        <v>64</v>
      </c>
      <c r="L8893" s="8" t="s">
        <v>22476</v>
      </c>
      <c r="M8893" s="8" t="s">
        <v>22477</v>
      </c>
      <c r="N8893" s="8" t="s">
        <v>38762</v>
      </c>
      <c r="O8893" s="8">
        <f>14+44/60+14.2/3600</f>
        <v>14.737277777777777</v>
      </c>
      <c r="P8893" s="8" t="s">
        <v>38763</v>
      </c>
      <c r="Q8893" s="8">
        <f>+(20+36/60+53/3600)</f>
        <v>20.614722222222223</v>
      </c>
      <c r="R8893" s="8">
        <v>14.6</v>
      </c>
      <c r="S8893" s="8">
        <v>15.3</v>
      </c>
      <c r="T8893" s="8">
        <v>0.7</v>
      </c>
      <c r="U8893" s="8">
        <v>13.2</v>
      </c>
      <c r="V8893" s="8">
        <v>1.1000000000000001</v>
      </c>
      <c r="W8893" s="8">
        <v>0.3</v>
      </c>
      <c r="X8893" s="8">
        <v>30</v>
      </c>
      <c r="Y8893" s="8" t="s">
        <v>21</v>
      </c>
      <c r="Z8893" s="8" t="s">
        <v>38764</v>
      </c>
    </row>
    <row r="8894" spans="1:26" x14ac:dyDescent="0.2">
      <c r="A8894" s="8">
        <v>8893</v>
      </c>
      <c r="B8894" s="8" t="s">
        <v>38765</v>
      </c>
      <c r="C8894" s="8" t="s">
        <v>38765</v>
      </c>
      <c r="G8894" s="8">
        <v>20</v>
      </c>
      <c r="H8894" s="8" t="s">
        <v>21</v>
      </c>
      <c r="I8894" s="8" t="s">
        <v>22</v>
      </c>
      <c r="J8894" s="8" t="s">
        <v>22</v>
      </c>
      <c r="K8894" s="8" t="s">
        <v>476</v>
      </c>
      <c r="L8894" s="8" t="s">
        <v>22476</v>
      </c>
      <c r="M8894" s="8" t="s">
        <v>22477</v>
      </c>
      <c r="N8894" s="8" t="s">
        <v>38766</v>
      </c>
      <c r="O8894" s="8">
        <f>14+45/60+43.2/3600</f>
        <v>14.762</v>
      </c>
      <c r="P8894" s="8" t="s">
        <v>38767</v>
      </c>
      <c r="Q8894" s="8">
        <f>+(16+56/60+49/3600)</f>
        <v>16.946944444444444</v>
      </c>
      <c r="R8894" s="8">
        <v>14.3</v>
      </c>
      <c r="S8894" s="8">
        <v>15.2</v>
      </c>
      <c r="T8894" s="8">
        <v>0.9</v>
      </c>
      <c r="U8894" s="8">
        <v>12.1</v>
      </c>
      <c r="V8894" s="8">
        <v>0.5</v>
      </c>
      <c r="W8894" s="8">
        <v>0.3</v>
      </c>
      <c r="X8894" s="8">
        <v>35</v>
      </c>
      <c r="Y8894" s="8" t="s">
        <v>21</v>
      </c>
      <c r="Z8894" s="8" t="s">
        <v>38768</v>
      </c>
    </row>
    <row r="8895" spans="1:26" x14ac:dyDescent="0.2">
      <c r="A8895" s="8">
        <v>8894</v>
      </c>
      <c r="B8895" s="8" t="s">
        <v>38769</v>
      </c>
      <c r="C8895" s="8" t="s">
        <v>38769</v>
      </c>
      <c r="G8895" s="8">
        <v>20</v>
      </c>
      <c r="H8895" s="8" t="s">
        <v>21</v>
      </c>
      <c r="I8895" s="8" t="s">
        <v>22</v>
      </c>
      <c r="J8895" s="8" t="s">
        <v>22</v>
      </c>
      <c r="K8895" s="8" t="s">
        <v>37</v>
      </c>
      <c r="L8895" s="8" t="s">
        <v>17287</v>
      </c>
      <c r="M8895" s="8" t="s">
        <v>17288</v>
      </c>
      <c r="N8895" s="8" t="s">
        <v>38770</v>
      </c>
      <c r="O8895" s="8">
        <f>14+46/60+31.2/3600</f>
        <v>14.775333333333334</v>
      </c>
      <c r="P8895" s="8" t="s">
        <v>38771</v>
      </c>
      <c r="Q8895" s="8">
        <f>+(1+16/60+31/3600)</f>
        <v>1.2752777777777777</v>
      </c>
      <c r="R8895" s="8">
        <v>13.8</v>
      </c>
      <c r="S8895" s="8">
        <v>14.8</v>
      </c>
      <c r="T8895" s="8">
        <v>1</v>
      </c>
      <c r="U8895" s="8">
        <v>13.1</v>
      </c>
      <c r="V8895" s="8">
        <v>1</v>
      </c>
      <c r="W8895" s="8">
        <v>0.6</v>
      </c>
      <c r="X8895" s="8">
        <v>13</v>
      </c>
      <c r="Y8895" s="8" t="s">
        <v>21</v>
      </c>
      <c r="Z8895" s="8" t="s">
        <v>38772</v>
      </c>
    </row>
    <row r="8896" spans="1:26" x14ac:dyDescent="0.2">
      <c r="A8896" s="8">
        <v>8895</v>
      </c>
      <c r="B8896" s="8" t="s">
        <v>38773</v>
      </c>
      <c r="C8896" s="8" t="s">
        <v>38773</v>
      </c>
      <c r="G8896" s="8">
        <v>20</v>
      </c>
      <c r="H8896" s="8" t="s">
        <v>21</v>
      </c>
      <c r="I8896" s="8" t="s">
        <v>22</v>
      </c>
      <c r="J8896" s="8" t="s">
        <v>22</v>
      </c>
      <c r="K8896" s="8" t="s">
        <v>23</v>
      </c>
      <c r="L8896" s="8" t="s">
        <v>24948</v>
      </c>
      <c r="M8896" s="8" t="s">
        <v>24949</v>
      </c>
      <c r="N8896" s="8" t="s">
        <v>38774</v>
      </c>
      <c r="O8896" s="8">
        <f>14+47/60+25.6/3600</f>
        <v>14.790444444444445</v>
      </c>
      <c r="P8896" s="8" t="s">
        <v>38775</v>
      </c>
      <c r="Q8896" s="8">
        <f>-(13+42/60+58/3600)</f>
        <v>-13.716111111111111</v>
      </c>
      <c r="R8896" s="8">
        <v>12.6</v>
      </c>
      <c r="S8896" s="8">
        <v>13.4</v>
      </c>
      <c r="T8896" s="8">
        <v>0.8</v>
      </c>
      <c r="U8896" s="8">
        <v>12.8</v>
      </c>
      <c r="V8896" s="8">
        <v>2</v>
      </c>
      <c r="W8896" s="8">
        <v>0.7</v>
      </c>
      <c r="X8896" s="8">
        <v>5</v>
      </c>
      <c r="Y8896" s="8" t="s">
        <v>35090</v>
      </c>
      <c r="Z8896" s="8" t="s">
        <v>35091</v>
      </c>
    </row>
    <row r="8897" spans="1:26" x14ac:dyDescent="0.2">
      <c r="A8897" s="8">
        <v>8896</v>
      </c>
      <c r="B8897" s="8" t="s">
        <v>38776</v>
      </c>
      <c r="C8897" s="8" t="s">
        <v>38776</v>
      </c>
      <c r="G8897" s="8">
        <v>20</v>
      </c>
      <c r="H8897" s="8" t="s">
        <v>21</v>
      </c>
      <c r="I8897" s="8" t="s">
        <v>22</v>
      </c>
      <c r="J8897" s="8" t="s">
        <v>57</v>
      </c>
      <c r="K8897" s="8" t="s">
        <v>23</v>
      </c>
      <c r="L8897" s="8" t="s">
        <v>22476</v>
      </c>
      <c r="M8897" s="8" t="s">
        <v>22477</v>
      </c>
      <c r="N8897" s="8" t="s">
        <v>38777</v>
      </c>
      <c r="O8897" s="8">
        <f>14+45/60+48.8/3600</f>
        <v>14.763555555555556</v>
      </c>
      <c r="P8897" s="8" t="s">
        <v>38778</v>
      </c>
      <c r="Q8897" s="8">
        <f>+(50+23/60+36/3600)</f>
        <v>50.393333333333331</v>
      </c>
      <c r="R8897" s="8">
        <v>13.3</v>
      </c>
      <c r="S8897" s="8">
        <v>14.1</v>
      </c>
      <c r="T8897" s="8">
        <v>0.8</v>
      </c>
      <c r="U8897" s="8">
        <v>14.1</v>
      </c>
      <c r="V8897" s="8">
        <v>1.8</v>
      </c>
      <c r="W8897" s="8">
        <v>1.3</v>
      </c>
      <c r="X8897" s="8">
        <v>29</v>
      </c>
      <c r="Y8897" s="8" t="s">
        <v>21</v>
      </c>
      <c r="Z8897" s="8" t="s">
        <v>38779</v>
      </c>
    </row>
    <row r="8898" spans="1:26" x14ac:dyDescent="0.2">
      <c r="A8898" s="8">
        <v>8897</v>
      </c>
      <c r="B8898" s="8" t="s">
        <v>38780</v>
      </c>
      <c r="C8898" s="8" t="s">
        <v>38780</v>
      </c>
      <c r="G8898" s="8">
        <v>20</v>
      </c>
      <c r="H8898" s="8" t="s">
        <v>21</v>
      </c>
      <c r="I8898" s="8" t="s">
        <v>22</v>
      </c>
      <c r="J8898" s="8" t="s">
        <v>22</v>
      </c>
      <c r="K8898" s="8" t="s">
        <v>23</v>
      </c>
      <c r="L8898" s="8" t="s">
        <v>22476</v>
      </c>
      <c r="M8898" s="8" t="s">
        <v>22477</v>
      </c>
      <c r="N8898" s="8" t="s">
        <v>38777</v>
      </c>
      <c r="O8898" s="8">
        <f>14+45/60+48.8/3600</f>
        <v>14.763555555555556</v>
      </c>
      <c r="P8898" s="8" t="s">
        <v>38778</v>
      </c>
      <c r="Q8898" s="8">
        <f>+(50+23/60+36/3600)</f>
        <v>50.393333333333331</v>
      </c>
      <c r="R8898" s="8">
        <v>13.3</v>
      </c>
      <c r="S8898" s="8">
        <v>14.1</v>
      </c>
      <c r="T8898" s="8">
        <v>0.8</v>
      </c>
      <c r="U8898" s="8">
        <v>14.1</v>
      </c>
      <c r="V8898" s="8">
        <v>1.8</v>
      </c>
      <c r="W8898" s="8">
        <v>1.3</v>
      </c>
      <c r="X8898" s="8">
        <v>29</v>
      </c>
      <c r="Y8898" s="8" t="s">
        <v>38781</v>
      </c>
      <c r="Z8898" s="8" t="s">
        <v>38782</v>
      </c>
    </row>
    <row r="8899" spans="1:26" x14ac:dyDescent="0.2">
      <c r="A8899" s="8">
        <v>8898</v>
      </c>
      <c r="B8899" s="8" t="s">
        <v>38783</v>
      </c>
      <c r="C8899" s="8" t="s">
        <v>38783</v>
      </c>
      <c r="G8899" s="8">
        <v>20</v>
      </c>
      <c r="H8899" s="8" t="s">
        <v>21</v>
      </c>
      <c r="I8899" s="8" t="s">
        <v>22</v>
      </c>
      <c r="J8899" s="8" t="s">
        <v>22</v>
      </c>
      <c r="K8899" s="8" t="s">
        <v>396</v>
      </c>
      <c r="L8899" s="8" t="s">
        <v>22476</v>
      </c>
      <c r="M8899" s="8" t="s">
        <v>22477</v>
      </c>
      <c r="N8899" s="8" t="s">
        <v>38784</v>
      </c>
      <c r="O8899" s="8">
        <f>14+49/60+12.3/3600</f>
        <v>14.820083333333333</v>
      </c>
      <c r="P8899" s="8" t="s">
        <v>38785</v>
      </c>
      <c r="Q8899" s="8">
        <f>+(17+1/60+17/3600)</f>
        <v>17.02138888888889</v>
      </c>
      <c r="R8899" s="8">
        <v>13.9</v>
      </c>
      <c r="S8899" s="8">
        <v>14.7</v>
      </c>
      <c r="T8899" s="8">
        <v>0.8</v>
      </c>
      <c r="U8899" s="8">
        <v>12.3</v>
      </c>
      <c r="V8899" s="8">
        <v>0.9</v>
      </c>
      <c r="W8899" s="8">
        <v>0.3</v>
      </c>
      <c r="X8899" s="8">
        <v>115</v>
      </c>
      <c r="Y8899" s="8" t="s">
        <v>21</v>
      </c>
      <c r="Z8899" s="8" t="s">
        <v>38786</v>
      </c>
    </row>
    <row r="8900" spans="1:26" x14ac:dyDescent="0.2">
      <c r="A8900" s="8">
        <v>8899</v>
      </c>
      <c r="B8900" s="8" t="s">
        <v>38787</v>
      </c>
      <c r="C8900" s="8" t="s">
        <v>38787</v>
      </c>
      <c r="G8900" s="8">
        <v>20</v>
      </c>
      <c r="H8900" s="8" t="s">
        <v>21</v>
      </c>
      <c r="I8900" s="8" t="s">
        <v>22</v>
      </c>
      <c r="J8900" s="8" t="s">
        <v>22</v>
      </c>
      <c r="K8900" s="8" t="s">
        <v>424</v>
      </c>
      <c r="L8900" s="8" t="s">
        <v>24948</v>
      </c>
      <c r="M8900" s="8" t="s">
        <v>24949</v>
      </c>
      <c r="N8900" s="8" t="s">
        <v>38788</v>
      </c>
      <c r="O8900" s="8">
        <f>14+50/60+42.5/3600</f>
        <v>14.84513888888889</v>
      </c>
      <c r="P8900" s="8" t="s">
        <v>38789</v>
      </c>
      <c r="Q8900" s="8">
        <f>-(0+52/60+31/3600)</f>
        <v>-0.87527777777777782</v>
      </c>
      <c r="R8900" s="8">
        <v>14</v>
      </c>
      <c r="S8900" s="8">
        <v>15</v>
      </c>
      <c r="T8900" s="8">
        <v>1</v>
      </c>
      <c r="U8900" s="8">
        <v>13.2</v>
      </c>
      <c r="V8900" s="8">
        <v>0.8</v>
      </c>
      <c r="W8900" s="8">
        <v>0.7</v>
      </c>
      <c r="Y8900" s="8" t="s">
        <v>34730</v>
      </c>
      <c r="Z8900" s="8" t="s">
        <v>38790</v>
      </c>
    </row>
    <row r="8901" spans="1:26" x14ac:dyDescent="0.2">
      <c r="A8901" s="8">
        <v>8900</v>
      </c>
      <c r="B8901" s="8" t="s">
        <v>38791</v>
      </c>
      <c r="C8901" s="8" t="s">
        <v>38791</v>
      </c>
      <c r="G8901" s="8">
        <v>20</v>
      </c>
      <c r="H8901" s="8" t="s">
        <v>21</v>
      </c>
      <c r="I8901" s="8" t="s">
        <v>22</v>
      </c>
      <c r="J8901" s="8" t="s">
        <v>22</v>
      </c>
      <c r="K8901" s="8" t="s">
        <v>91</v>
      </c>
      <c r="L8901" s="8" t="s">
        <v>24948</v>
      </c>
      <c r="M8901" s="8" t="s">
        <v>24949</v>
      </c>
      <c r="N8901" s="8" t="s">
        <v>38792</v>
      </c>
      <c r="O8901" s="8">
        <f>14+51/60+47.3/3600</f>
        <v>14.863138888888889</v>
      </c>
      <c r="P8901" s="8" t="s">
        <v>38793</v>
      </c>
      <c r="Q8901" s="8">
        <f>-(7+13/60+55/3600)</f>
        <v>-7.2319444444444443</v>
      </c>
      <c r="R8901" s="8">
        <v>13.4</v>
      </c>
      <c r="S8901" s="8">
        <v>14.3</v>
      </c>
      <c r="T8901" s="8">
        <v>0.9</v>
      </c>
      <c r="U8901" s="8">
        <v>13.4</v>
      </c>
      <c r="V8901" s="8">
        <v>1.4</v>
      </c>
      <c r="W8901" s="8">
        <v>0.8</v>
      </c>
      <c r="X8901" s="8">
        <v>90</v>
      </c>
      <c r="Y8901" s="8" t="s">
        <v>1694</v>
      </c>
      <c r="Z8901" s="8" t="s">
        <v>38252</v>
      </c>
    </row>
    <row r="8902" spans="1:26" x14ac:dyDescent="0.2">
      <c r="A8902" s="8">
        <v>8901</v>
      </c>
      <c r="B8902" s="8" t="s">
        <v>38794</v>
      </c>
      <c r="C8902" s="8" t="s">
        <v>38794</v>
      </c>
      <c r="G8902" s="8">
        <v>20</v>
      </c>
      <c r="H8902" s="8" t="s">
        <v>21</v>
      </c>
      <c r="I8902" s="8" t="s">
        <v>22</v>
      </c>
      <c r="J8902" s="8" t="s">
        <v>22</v>
      </c>
      <c r="K8902" s="8" t="s">
        <v>460</v>
      </c>
      <c r="L8902" s="8" t="s">
        <v>22476</v>
      </c>
      <c r="M8902" s="8" t="s">
        <v>22477</v>
      </c>
      <c r="N8902" s="8" t="s">
        <v>38795</v>
      </c>
      <c r="O8902" s="8">
        <f>14+51/60+14.1/3600</f>
        <v>14.853916666666667</v>
      </c>
      <c r="P8902" s="8" t="s">
        <v>38796</v>
      </c>
      <c r="Q8902" s="8">
        <f>+(18+45/60+27/3600)</f>
        <v>18.7575</v>
      </c>
      <c r="R8902" s="8">
        <v>15</v>
      </c>
      <c r="S8902" s="8">
        <v>16</v>
      </c>
      <c r="T8902" s="8">
        <v>1</v>
      </c>
      <c r="U8902" s="8">
        <v>11.6</v>
      </c>
      <c r="V8902" s="8">
        <v>0.2</v>
      </c>
      <c r="W8902" s="8">
        <v>0.2</v>
      </c>
      <c r="Y8902" s="8" t="s">
        <v>38797</v>
      </c>
      <c r="Z8902" s="8" t="s">
        <v>38798</v>
      </c>
    </row>
    <row r="8903" spans="1:26" x14ac:dyDescent="0.2">
      <c r="A8903" s="8">
        <v>8902</v>
      </c>
      <c r="B8903" s="8" t="s">
        <v>38799</v>
      </c>
      <c r="C8903" s="8" t="s">
        <v>38799</v>
      </c>
      <c r="G8903" s="8">
        <v>20</v>
      </c>
      <c r="H8903" s="8" t="s">
        <v>21</v>
      </c>
      <c r="I8903" s="8" t="s">
        <v>22</v>
      </c>
      <c r="J8903" s="8" t="s">
        <v>22</v>
      </c>
      <c r="K8903" s="8" t="s">
        <v>58</v>
      </c>
      <c r="L8903" s="8" t="s">
        <v>22476</v>
      </c>
      <c r="M8903" s="8" t="s">
        <v>22477</v>
      </c>
      <c r="N8903" s="8" t="s">
        <v>38800</v>
      </c>
      <c r="O8903" s="8">
        <f>14+51/60+17.6/3600</f>
        <v>14.854888888888889</v>
      </c>
      <c r="P8903" s="8" t="s">
        <v>38801</v>
      </c>
      <c r="Q8903" s="8">
        <f>+(18+41/60+15/3600)</f>
        <v>18.6875</v>
      </c>
      <c r="R8903" s="8">
        <v>14.5</v>
      </c>
      <c r="S8903" s="8">
        <v>15.5</v>
      </c>
      <c r="T8903" s="8">
        <v>1</v>
      </c>
      <c r="U8903" s="8">
        <v>11.5</v>
      </c>
      <c r="V8903" s="8">
        <v>0.3</v>
      </c>
      <c r="W8903" s="8">
        <v>0.2</v>
      </c>
      <c r="X8903" s="8">
        <v>102</v>
      </c>
      <c r="Y8903" s="8" t="s">
        <v>38802</v>
      </c>
      <c r="Z8903" s="8" t="s">
        <v>38803</v>
      </c>
    </row>
    <row r="8904" spans="1:26" x14ac:dyDescent="0.2">
      <c r="A8904" s="8">
        <v>8903</v>
      </c>
      <c r="B8904" s="8" t="s">
        <v>38804</v>
      </c>
      <c r="C8904" s="8" t="s">
        <v>38804</v>
      </c>
      <c r="G8904" s="8">
        <v>20</v>
      </c>
      <c r="H8904" s="8" t="s">
        <v>21</v>
      </c>
      <c r="I8904" s="8" t="s">
        <v>22</v>
      </c>
      <c r="J8904" s="8" t="s">
        <v>22</v>
      </c>
      <c r="K8904" s="8" t="s">
        <v>218</v>
      </c>
      <c r="L8904" s="8" t="s">
        <v>17287</v>
      </c>
      <c r="M8904" s="8" t="s">
        <v>17288</v>
      </c>
      <c r="N8904" s="8" t="s">
        <v>38805</v>
      </c>
      <c r="O8904" s="8">
        <f>14+52/60+10.9/3600</f>
        <v>14.869694444444445</v>
      </c>
      <c r="P8904" s="8" t="s">
        <v>38806</v>
      </c>
      <c r="Q8904" s="8">
        <f>+(4+40/60+53/3600)</f>
        <v>4.6813888888888888</v>
      </c>
      <c r="R8904" s="8">
        <v>13.4</v>
      </c>
      <c r="S8904" s="8">
        <v>14.2</v>
      </c>
      <c r="T8904" s="8">
        <v>0.8</v>
      </c>
      <c r="U8904" s="8">
        <v>13.1</v>
      </c>
      <c r="V8904" s="8">
        <v>1.2</v>
      </c>
      <c r="W8904" s="8">
        <v>0.7</v>
      </c>
      <c r="X8904" s="8">
        <v>162</v>
      </c>
      <c r="Y8904" s="8" t="s">
        <v>38807</v>
      </c>
      <c r="Z8904" s="8" t="s">
        <v>38808</v>
      </c>
    </row>
    <row r="8905" spans="1:26" x14ac:dyDescent="0.2">
      <c r="A8905" s="8">
        <v>8904</v>
      </c>
      <c r="B8905" s="8" t="s">
        <v>38809</v>
      </c>
      <c r="C8905" s="8" t="s">
        <v>38809</v>
      </c>
      <c r="G8905" s="8">
        <v>20</v>
      </c>
      <c r="H8905" s="8" t="s">
        <v>21</v>
      </c>
      <c r="I8905" s="8" t="s">
        <v>22</v>
      </c>
      <c r="J8905" s="8" t="s">
        <v>57</v>
      </c>
      <c r="K8905" s="8" t="s">
        <v>218</v>
      </c>
      <c r="L8905" s="8" t="s">
        <v>17287</v>
      </c>
      <c r="M8905" s="8" t="s">
        <v>17288</v>
      </c>
      <c r="N8905" s="8" t="s">
        <v>38805</v>
      </c>
      <c r="O8905" s="8">
        <f>14+52/60+10.9/3600</f>
        <v>14.869694444444445</v>
      </c>
      <c r="P8905" s="8" t="s">
        <v>38806</v>
      </c>
      <c r="Q8905" s="8">
        <f>+(4+40/60+53/3600)</f>
        <v>4.6813888888888888</v>
      </c>
      <c r="R8905" s="8">
        <v>13.4</v>
      </c>
      <c r="S8905" s="8">
        <v>14.2</v>
      </c>
      <c r="T8905" s="8">
        <v>0.8</v>
      </c>
      <c r="U8905" s="8">
        <v>13.1</v>
      </c>
      <c r="V8905" s="8">
        <v>1.2</v>
      </c>
      <c r="W8905" s="8">
        <v>0.7</v>
      </c>
      <c r="X8905" s="8">
        <v>162</v>
      </c>
      <c r="Y8905" s="8" t="s">
        <v>3357</v>
      </c>
      <c r="Z8905" s="8" t="s">
        <v>3358</v>
      </c>
    </row>
    <row r="8906" spans="1:26" x14ac:dyDescent="0.2">
      <c r="A8906" s="8">
        <v>8905</v>
      </c>
      <c r="B8906" s="8" t="s">
        <v>38810</v>
      </c>
      <c r="C8906" s="8" t="s">
        <v>38810</v>
      </c>
      <c r="G8906" s="8">
        <v>20</v>
      </c>
      <c r="H8906" s="8" t="s">
        <v>21</v>
      </c>
      <c r="I8906" s="8" t="s">
        <v>22</v>
      </c>
      <c r="J8906" s="8" t="s">
        <v>22</v>
      </c>
      <c r="K8906" s="8" t="s">
        <v>224</v>
      </c>
      <c r="L8906" s="8" t="s">
        <v>13395</v>
      </c>
      <c r="M8906" s="8" t="s">
        <v>13396</v>
      </c>
      <c r="N8906" s="8" t="s">
        <v>38811</v>
      </c>
      <c r="O8906" s="8">
        <f>14+49/60+21.3/3600</f>
        <v>14.822583333333332</v>
      </c>
      <c r="P8906" s="8" t="s">
        <v>38812</v>
      </c>
      <c r="Q8906" s="8">
        <f>+(63+16/60+15/3600)</f>
        <v>63.270833333333336</v>
      </c>
      <c r="R8906" s="8">
        <v>13.6</v>
      </c>
      <c r="S8906" s="8">
        <v>14.4</v>
      </c>
      <c r="T8906" s="8">
        <v>0.8</v>
      </c>
      <c r="U8906" s="8">
        <v>13.2</v>
      </c>
      <c r="V8906" s="8">
        <v>1</v>
      </c>
      <c r="W8906" s="8">
        <v>0.8</v>
      </c>
      <c r="X8906" s="8">
        <v>141</v>
      </c>
      <c r="Y8906" s="8" t="s">
        <v>237</v>
      </c>
      <c r="Z8906" s="8" t="s">
        <v>238</v>
      </c>
    </row>
    <row r="8907" spans="1:26" x14ac:dyDescent="0.2">
      <c r="A8907" s="8">
        <v>8906</v>
      </c>
      <c r="B8907" s="8" t="s">
        <v>38813</v>
      </c>
      <c r="C8907" s="8" t="s">
        <v>38813</v>
      </c>
      <c r="G8907" s="8">
        <v>20</v>
      </c>
      <c r="H8907" s="8" t="s">
        <v>21</v>
      </c>
      <c r="I8907" s="8" t="s">
        <v>22</v>
      </c>
      <c r="J8907" s="8" t="s">
        <v>22</v>
      </c>
      <c r="K8907" s="8" t="s">
        <v>160</v>
      </c>
      <c r="L8907" s="8" t="s">
        <v>17287</v>
      </c>
      <c r="M8907" s="8" t="s">
        <v>17288</v>
      </c>
      <c r="N8907" s="8" t="s">
        <v>38814</v>
      </c>
      <c r="O8907" s="8">
        <f>14+53/60+2.8/3600</f>
        <v>14.88411111111111</v>
      </c>
      <c r="P8907" s="8" t="s">
        <v>38815</v>
      </c>
      <c r="Q8907" s="8">
        <f>+(3+17/60+46/3600)</f>
        <v>3.2961111111111112</v>
      </c>
      <c r="R8907" s="8">
        <v>13.2</v>
      </c>
      <c r="S8907" s="8">
        <v>13.9</v>
      </c>
      <c r="T8907" s="8">
        <v>0.7</v>
      </c>
      <c r="U8907" s="8">
        <v>12.9</v>
      </c>
      <c r="V8907" s="8">
        <v>1.2</v>
      </c>
      <c r="W8907" s="8">
        <v>0.7</v>
      </c>
      <c r="X8907" s="8">
        <v>70</v>
      </c>
      <c r="Y8907" s="8" t="s">
        <v>2181</v>
      </c>
      <c r="Z8907" s="8" t="s">
        <v>2182</v>
      </c>
    </row>
    <row r="8908" spans="1:26" x14ac:dyDescent="0.2">
      <c r="A8908" s="8">
        <v>8907</v>
      </c>
      <c r="B8908" s="8" t="s">
        <v>38816</v>
      </c>
      <c r="C8908" s="8" t="s">
        <v>38816</v>
      </c>
      <c r="G8908" s="8">
        <v>20</v>
      </c>
      <c r="H8908" s="8" t="s">
        <v>21</v>
      </c>
      <c r="I8908" s="8" t="s">
        <v>22</v>
      </c>
      <c r="J8908" s="8" t="s">
        <v>22</v>
      </c>
      <c r="K8908" s="8" t="s">
        <v>218</v>
      </c>
      <c r="L8908" s="8" t="s">
        <v>17287</v>
      </c>
      <c r="M8908" s="8" t="s">
        <v>17288</v>
      </c>
      <c r="N8908" s="8" t="s">
        <v>38817</v>
      </c>
      <c r="O8908" s="8">
        <f>14+53/60+5.2/3600</f>
        <v>14.884777777777778</v>
      </c>
      <c r="P8908" s="8" t="s">
        <v>38818</v>
      </c>
      <c r="Q8908" s="8">
        <f>+(3+19/60+54/3600)</f>
        <v>3.3316666666666666</v>
      </c>
      <c r="R8908" s="8">
        <v>12.2</v>
      </c>
      <c r="S8908" s="8">
        <v>13</v>
      </c>
      <c r="T8908" s="8">
        <v>0.8</v>
      </c>
      <c r="U8908" s="8">
        <v>13.5</v>
      </c>
      <c r="V8908" s="8">
        <v>2</v>
      </c>
      <c r="W8908" s="8">
        <v>1.6</v>
      </c>
      <c r="X8908" s="8">
        <v>122</v>
      </c>
      <c r="Y8908" s="8" t="s">
        <v>3952</v>
      </c>
      <c r="Z8908" s="8" t="s">
        <v>3953</v>
      </c>
    </row>
    <row r="8909" spans="1:26" x14ac:dyDescent="0.2">
      <c r="A8909" s="8">
        <v>8908</v>
      </c>
      <c r="B8909" s="8" t="s">
        <v>38819</v>
      </c>
      <c r="C8909" s="8" t="s">
        <v>38819</v>
      </c>
      <c r="G8909" s="8">
        <v>20</v>
      </c>
      <c r="H8909" s="8" t="s">
        <v>21</v>
      </c>
      <c r="I8909" s="8" t="s">
        <v>22</v>
      </c>
      <c r="J8909" s="8" t="s">
        <v>22</v>
      </c>
      <c r="K8909" s="8" t="s">
        <v>37</v>
      </c>
      <c r="L8909" s="8" t="s">
        <v>17287</v>
      </c>
      <c r="M8909" s="8" t="s">
        <v>17288</v>
      </c>
      <c r="N8909" s="8" t="s">
        <v>38820</v>
      </c>
      <c r="O8909" s="8">
        <f>14+53/60+32.8/3600</f>
        <v>14.892444444444443</v>
      </c>
      <c r="P8909" s="8" t="s">
        <v>38821</v>
      </c>
      <c r="Q8909" s="8">
        <f>+(3+4/60+40/3600)</f>
        <v>3.0777777777777779</v>
      </c>
      <c r="R8909" s="8">
        <v>14.3</v>
      </c>
      <c r="S8909" s="8">
        <v>15.3</v>
      </c>
      <c r="T8909" s="8">
        <v>1</v>
      </c>
      <c r="U8909" s="8">
        <v>12.1</v>
      </c>
      <c r="V8909" s="8">
        <v>0.5</v>
      </c>
      <c r="W8909" s="8">
        <v>0.3</v>
      </c>
      <c r="X8909" s="8">
        <v>130</v>
      </c>
      <c r="Y8909" s="8" t="s">
        <v>17648</v>
      </c>
      <c r="Z8909" s="8" t="s">
        <v>17649</v>
      </c>
    </row>
    <row r="8910" spans="1:26" x14ac:dyDescent="0.2">
      <c r="A8910" s="8">
        <v>8909</v>
      </c>
      <c r="B8910" s="8" t="s">
        <v>38822</v>
      </c>
      <c r="C8910" s="8" t="s">
        <v>38822</v>
      </c>
      <c r="G8910" s="8">
        <v>20</v>
      </c>
      <c r="H8910" s="8" t="s">
        <v>21</v>
      </c>
      <c r="I8910" s="8" t="s">
        <v>22</v>
      </c>
      <c r="J8910" s="8" t="s">
        <v>22</v>
      </c>
      <c r="K8910" s="8" t="s">
        <v>37</v>
      </c>
      <c r="L8910" s="8" t="s">
        <v>22476</v>
      </c>
      <c r="M8910" s="8" t="s">
        <v>22477</v>
      </c>
      <c r="N8910" s="8" t="s">
        <v>38823</v>
      </c>
      <c r="O8910" s="8">
        <f>14+50/60+46.4/3600</f>
        <v>14.846222222222222</v>
      </c>
      <c r="P8910" s="8" t="s">
        <v>38824</v>
      </c>
      <c r="Q8910" s="8">
        <f>+(54+24/60+42/3600)</f>
        <v>54.411666666666662</v>
      </c>
      <c r="R8910" s="8">
        <v>13.8</v>
      </c>
      <c r="S8910" s="8">
        <v>14.8</v>
      </c>
      <c r="T8910" s="8">
        <v>1</v>
      </c>
      <c r="U8910" s="8">
        <v>13.7</v>
      </c>
      <c r="V8910" s="8">
        <v>1.3</v>
      </c>
      <c r="W8910" s="8">
        <v>0.8</v>
      </c>
      <c r="X8910" s="8">
        <v>45</v>
      </c>
      <c r="Y8910" s="8" t="s">
        <v>21</v>
      </c>
      <c r="Z8910" s="8" t="s">
        <v>38825</v>
      </c>
    </row>
    <row r="8911" spans="1:26" x14ac:dyDescent="0.2">
      <c r="A8911" s="8">
        <v>8910</v>
      </c>
      <c r="B8911" s="8" t="s">
        <v>38826</v>
      </c>
      <c r="C8911" s="8" t="s">
        <v>38826</v>
      </c>
      <c r="G8911" s="8">
        <v>20</v>
      </c>
      <c r="H8911" s="8" t="s">
        <v>21</v>
      </c>
      <c r="I8911" s="8" t="s">
        <v>22</v>
      </c>
      <c r="J8911" s="8" t="s">
        <v>22</v>
      </c>
      <c r="K8911" s="8" t="s">
        <v>449</v>
      </c>
      <c r="L8911" s="8" t="s">
        <v>17287</v>
      </c>
      <c r="M8911" s="8" t="s">
        <v>17288</v>
      </c>
      <c r="N8911" s="8" t="s">
        <v>38827</v>
      </c>
      <c r="O8911" s="8">
        <f>14+53/60+51.2/3600</f>
        <v>14.897555555555556</v>
      </c>
      <c r="P8911" s="8" t="s">
        <v>38828</v>
      </c>
      <c r="Q8911" s="8">
        <f>+(3+29/60+7/3600)</f>
        <v>3.4852777777777777</v>
      </c>
      <c r="R8911" s="8">
        <v>14.4</v>
      </c>
      <c r="S8911" s="8">
        <v>15.2</v>
      </c>
      <c r="T8911" s="8">
        <v>0.8</v>
      </c>
      <c r="U8911" s="8">
        <v>12.4</v>
      </c>
      <c r="V8911" s="8">
        <v>0.6</v>
      </c>
      <c r="W8911" s="8">
        <v>0.3</v>
      </c>
      <c r="X8911" s="8">
        <v>130</v>
      </c>
      <c r="Y8911" s="8" t="s">
        <v>38829</v>
      </c>
      <c r="Z8911" s="8" t="s">
        <v>38830</v>
      </c>
    </row>
    <row r="8912" spans="1:26" x14ac:dyDescent="0.2">
      <c r="A8912" s="8">
        <v>8911</v>
      </c>
      <c r="B8912" s="8" t="s">
        <v>38831</v>
      </c>
      <c r="C8912" s="8" t="s">
        <v>38831</v>
      </c>
      <c r="G8912" s="8">
        <v>20</v>
      </c>
      <c r="H8912" s="8" t="s">
        <v>21</v>
      </c>
      <c r="I8912" s="8" t="s">
        <v>22</v>
      </c>
      <c r="J8912" s="8" t="s">
        <v>22</v>
      </c>
      <c r="K8912" s="8" t="s">
        <v>37</v>
      </c>
      <c r="L8912" s="8" t="s">
        <v>17287</v>
      </c>
      <c r="M8912" s="8" t="s">
        <v>17288</v>
      </c>
      <c r="N8912" s="8" t="s">
        <v>38832</v>
      </c>
      <c r="O8912" s="8">
        <f>14+54/60+12.4/3600</f>
        <v>14.903444444444444</v>
      </c>
      <c r="P8912" s="8" t="s">
        <v>38833</v>
      </c>
      <c r="Q8912" s="8">
        <f>+(4+45/60+2/3600)</f>
        <v>4.7505555555555556</v>
      </c>
      <c r="R8912" s="8">
        <v>13.2</v>
      </c>
      <c r="S8912" s="8">
        <v>14.2</v>
      </c>
      <c r="T8912" s="8">
        <v>1</v>
      </c>
      <c r="U8912" s="8">
        <v>12.8</v>
      </c>
      <c r="V8912" s="8">
        <v>1</v>
      </c>
      <c r="W8912" s="8">
        <v>0.8</v>
      </c>
      <c r="X8912" s="8">
        <v>150</v>
      </c>
      <c r="Y8912" s="8" t="s">
        <v>2248</v>
      </c>
      <c r="Z8912" s="8" t="s">
        <v>2249</v>
      </c>
    </row>
    <row r="8913" spans="1:26" x14ac:dyDescent="0.2">
      <c r="A8913" s="8">
        <v>8912</v>
      </c>
      <c r="B8913" s="8" t="s">
        <v>38834</v>
      </c>
      <c r="C8913" s="8" t="s">
        <v>38834</v>
      </c>
      <c r="G8913" s="8">
        <v>20</v>
      </c>
      <c r="H8913" s="8" t="s">
        <v>21</v>
      </c>
      <c r="I8913" s="8" t="s">
        <v>22</v>
      </c>
      <c r="J8913" s="8" t="s">
        <v>22</v>
      </c>
      <c r="K8913" s="8" t="s">
        <v>50</v>
      </c>
      <c r="L8913" s="8" t="s">
        <v>17287</v>
      </c>
      <c r="M8913" s="8" t="s">
        <v>17288</v>
      </c>
      <c r="N8913" s="8" t="s">
        <v>38835</v>
      </c>
      <c r="O8913" s="8">
        <f>14+54/60+13.1/3600</f>
        <v>14.903638888888889</v>
      </c>
      <c r="P8913" s="8" t="s">
        <v>38836</v>
      </c>
      <c r="Q8913" s="8">
        <f>+(4+50/60+32/3600)</f>
        <v>4.8422222222222215</v>
      </c>
      <c r="R8913" s="8">
        <v>13.9</v>
      </c>
      <c r="S8913" s="8">
        <v>14.9</v>
      </c>
      <c r="T8913" s="8">
        <v>1</v>
      </c>
      <c r="U8913" s="8">
        <v>11.9</v>
      </c>
      <c r="V8913" s="8">
        <v>0.5</v>
      </c>
      <c r="W8913" s="8">
        <v>0.3</v>
      </c>
      <c r="X8913" s="8">
        <v>160</v>
      </c>
      <c r="Y8913" s="8" t="s">
        <v>38837</v>
      </c>
      <c r="Z8913" s="8" t="s">
        <v>38838</v>
      </c>
    </row>
    <row r="8914" spans="1:26" x14ac:dyDescent="0.2">
      <c r="A8914" s="8">
        <v>8913</v>
      </c>
      <c r="B8914" s="8" t="s">
        <v>38839</v>
      </c>
      <c r="C8914" s="8" t="s">
        <v>38839</v>
      </c>
      <c r="G8914" s="8">
        <v>20</v>
      </c>
      <c r="H8914" s="8" t="s">
        <v>21</v>
      </c>
      <c r="I8914" s="8" t="s">
        <v>22</v>
      </c>
      <c r="J8914" s="8" t="s">
        <v>22</v>
      </c>
      <c r="K8914" s="8" t="s">
        <v>382</v>
      </c>
      <c r="L8914" s="8" t="s">
        <v>17287</v>
      </c>
      <c r="M8914" s="8" t="s">
        <v>17288</v>
      </c>
      <c r="N8914" s="8" t="s">
        <v>38840</v>
      </c>
      <c r="O8914" s="8">
        <f>14+54/60+14.4/3600</f>
        <v>14.904</v>
      </c>
      <c r="P8914" s="8" t="s">
        <v>38841</v>
      </c>
      <c r="Q8914" s="8">
        <f>+(4+47/60+40/3600)</f>
        <v>4.7944444444444443</v>
      </c>
      <c r="R8914" s="8">
        <v>14.6</v>
      </c>
      <c r="S8914" s="8">
        <v>15.6</v>
      </c>
      <c r="T8914" s="8">
        <v>1</v>
      </c>
      <c r="U8914" s="8">
        <v>12.4</v>
      </c>
      <c r="V8914" s="8">
        <v>0.4</v>
      </c>
      <c r="W8914" s="8">
        <v>0.3</v>
      </c>
      <c r="X8914" s="8">
        <v>160</v>
      </c>
      <c r="Y8914" s="8" t="s">
        <v>38842</v>
      </c>
      <c r="Z8914" s="8" t="s">
        <v>38843</v>
      </c>
    </row>
    <row r="8915" spans="1:26" x14ac:dyDescent="0.2">
      <c r="A8915" s="8">
        <v>8914</v>
      </c>
      <c r="B8915" s="8" t="s">
        <v>38844</v>
      </c>
      <c r="C8915" s="8" t="s">
        <v>38844</v>
      </c>
      <c r="G8915" s="8">
        <v>20</v>
      </c>
      <c r="H8915" s="8" t="s">
        <v>21</v>
      </c>
      <c r="I8915" s="8" t="s">
        <v>22</v>
      </c>
      <c r="J8915" s="8" t="s">
        <v>22</v>
      </c>
      <c r="K8915" s="8" t="s">
        <v>396</v>
      </c>
      <c r="L8915" s="8" t="s">
        <v>22476</v>
      </c>
      <c r="M8915" s="8" t="s">
        <v>22477</v>
      </c>
      <c r="N8915" s="8" t="s">
        <v>38845</v>
      </c>
      <c r="O8915" s="8">
        <f>14+51/60+57.2/3600</f>
        <v>14.865888888888888</v>
      </c>
      <c r="P8915" s="8" t="s">
        <v>38846</v>
      </c>
      <c r="Q8915" s="8">
        <f>+(51+15/60+54/3600)</f>
        <v>51.265000000000001</v>
      </c>
      <c r="R8915" s="8">
        <v>14.3</v>
      </c>
      <c r="S8915" s="8">
        <v>15.1</v>
      </c>
      <c r="T8915" s="8">
        <v>0.8</v>
      </c>
      <c r="U8915" s="8">
        <v>13.3</v>
      </c>
      <c r="V8915" s="8">
        <v>1.1000000000000001</v>
      </c>
      <c r="W8915" s="8">
        <v>0.4</v>
      </c>
      <c r="X8915" s="8">
        <v>118</v>
      </c>
      <c r="Y8915" s="8" t="s">
        <v>7509</v>
      </c>
      <c r="Z8915" s="8" t="s">
        <v>3537</v>
      </c>
    </row>
    <row r="8916" spans="1:26" x14ac:dyDescent="0.2">
      <c r="A8916" s="8">
        <v>8915</v>
      </c>
      <c r="B8916" s="8" t="s">
        <v>38847</v>
      </c>
      <c r="C8916" s="8" t="s">
        <v>38847</v>
      </c>
      <c r="G8916" s="8">
        <v>20</v>
      </c>
      <c r="H8916" s="8" t="s">
        <v>21</v>
      </c>
      <c r="I8916" s="8" t="s">
        <v>22</v>
      </c>
      <c r="J8916" s="8" t="s">
        <v>22</v>
      </c>
      <c r="K8916" s="8" t="s">
        <v>218</v>
      </c>
      <c r="L8916" s="8" t="s">
        <v>22476</v>
      </c>
      <c r="M8916" s="8" t="s">
        <v>22477</v>
      </c>
      <c r="N8916" s="8" t="s">
        <v>38848</v>
      </c>
      <c r="O8916" s="8">
        <f>14+54/60+49.2/3600</f>
        <v>14.913666666666668</v>
      </c>
      <c r="P8916" s="8" t="s">
        <v>38849</v>
      </c>
      <c r="Q8916" s="8">
        <f>+(18+6/60+21/3600)</f>
        <v>18.105833333333333</v>
      </c>
      <c r="R8916" s="8">
        <v>13.8</v>
      </c>
      <c r="S8916" s="8">
        <v>14.6</v>
      </c>
      <c r="T8916" s="8">
        <v>0.8</v>
      </c>
      <c r="U8916" s="8">
        <v>13</v>
      </c>
      <c r="V8916" s="8">
        <v>1.2</v>
      </c>
      <c r="W8916" s="8">
        <v>0.7</v>
      </c>
      <c r="X8916" s="8">
        <v>156</v>
      </c>
      <c r="Y8916" s="8" t="s">
        <v>3161</v>
      </c>
      <c r="Z8916" s="8" t="s">
        <v>3162</v>
      </c>
    </row>
    <row r="8917" spans="1:26" x14ac:dyDescent="0.2">
      <c r="A8917" s="8">
        <v>8916</v>
      </c>
      <c r="B8917" s="8" t="s">
        <v>38850</v>
      </c>
      <c r="C8917" s="8" t="s">
        <v>38850</v>
      </c>
      <c r="G8917" s="8">
        <v>20</v>
      </c>
      <c r="H8917" s="8" t="s">
        <v>21</v>
      </c>
      <c r="I8917" s="8" t="s">
        <v>22</v>
      </c>
      <c r="J8917" s="8" t="s">
        <v>22</v>
      </c>
      <c r="K8917" s="8" t="s">
        <v>396</v>
      </c>
      <c r="L8917" s="8" t="s">
        <v>22476</v>
      </c>
      <c r="M8917" s="8" t="s">
        <v>22477</v>
      </c>
      <c r="N8917" s="8" t="s">
        <v>38851</v>
      </c>
      <c r="O8917" s="8">
        <f>14+54/60+59.4/3600</f>
        <v>14.916500000000001</v>
      </c>
      <c r="P8917" s="8" t="s">
        <v>38852</v>
      </c>
      <c r="Q8917" s="8">
        <f>+(18+2/60+15/3600)</f>
        <v>18.037500000000001</v>
      </c>
      <c r="R8917" s="8">
        <v>13.7</v>
      </c>
      <c r="S8917" s="8">
        <v>14.2</v>
      </c>
      <c r="T8917" s="8">
        <v>0.5</v>
      </c>
      <c r="U8917" s="8">
        <v>12.8</v>
      </c>
      <c r="V8917" s="8">
        <v>1</v>
      </c>
      <c r="W8917" s="8">
        <v>0.5</v>
      </c>
      <c r="X8917" s="8">
        <v>5</v>
      </c>
      <c r="Y8917" s="8" t="s">
        <v>38853</v>
      </c>
      <c r="Z8917" s="8" t="s">
        <v>38854</v>
      </c>
    </row>
    <row r="8918" spans="1:26" x14ac:dyDescent="0.2">
      <c r="A8918" s="8">
        <v>8917</v>
      </c>
      <c r="B8918" s="8" t="s">
        <v>38855</v>
      </c>
      <c r="C8918" s="8" t="s">
        <v>38855</v>
      </c>
      <c r="G8918" s="8">
        <v>20</v>
      </c>
      <c r="H8918" s="8" t="s">
        <v>21</v>
      </c>
      <c r="I8918" s="8" t="s">
        <v>22</v>
      </c>
      <c r="J8918" s="8" t="s">
        <v>22</v>
      </c>
      <c r="K8918" s="8" t="s">
        <v>85</v>
      </c>
      <c r="L8918" s="8" t="s">
        <v>24948</v>
      </c>
      <c r="M8918" s="8" t="s">
        <v>24949</v>
      </c>
      <c r="N8918" s="8" t="s">
        <v>38856</v>
      </c>
      <c r="O8918" s="8">
        <f>14+57/60+21.6/3600</f>
        <v>14.956</v>
      </c>
      <c r="P8918" s="8" t="s">
        <v>38857</v>
      </c>
      <c r="Q8918" s="8">
        <f>-(19+12/60+53/3600)</f>
        <v>-19.214722222222221</v>
      </c>
      <c r="R8918" s="8">
        <v>12.6</v>
      </c>
      <c r="S8918" s="8">
        <v>13.4</v>
      </c>
      <c r="T8918" s="8">
        <v>0.8</v>
      </c>
      <c r="U8918" s="8">
        <v>12.9</v>
      </c>
      <c r="V8918" s="8">
        <v>1.4</v>
      </c>
      <c r="W8918" s="8">
        <v>1.1000000000000001</v>
      </c>
      <c r="X8918" s="8">
        <v>33</v>
      </c>
      <c r="Y8918" s="8" t="s">
        <v>38858</v>
      </c>
      <c r="Z8918" s="8" t="s">
        <v>38859</v>
      </c>
    </row>
    <row r="8919" spans="1:26" x14ac:dyDescent="0.2">
      <c r="A8919" s="8">
        <v>8918</v>
      </c>
      <c r="B8919" s="8" t="s">
        <v>38860</v>
      </c>
      <c r="C8919" s="8" t="s">
        <v>38860</v>
      </c>
      <c r="G8919" s="8">
        <v>20</v>
      </c>
      <c r="H8919" s="8" t="s">
        <v>21</v>
      </c>
      <c r="I8919" s="8" t="s">
        <v>22</v>
      </c>
      <c r="J8919" s="8" t="s">
        <v>22</v>
      </c>
      <c r="K8919" s="8" t="s">
        <v>91</v>
      </c>
      <c r="L8919" s="8" t="s">
        <v>22476</v>
      </c>
      <c r="M8919" s="8" t="s">
        <v>22477</v>
      </c>
      <c r="N8919" s="8" t="s">
        <v>38861</v>
      </c>
      <c r="O8919" s="8">
        <f>14+56/60+29/3600</f>
        <v>14.941388888888889</v>
      </c>
      <c r="P8919" s="8" t="s">
        <v>38862</v>
      </c>
      <c r="Q8919" s="8">
        <f>+(9+21/60+15/3600)</f>
        <v>9.3541666666666661</v>
      </c>
      <c r="R8919" s="8">
        <v>13.5</v>
      </c>
      <c r="S8919" s="8">
        <v>14.4</v>
      </c>
      <c r="T8919" s="8">
        <v>0.9</v>
      </c>
      <c r="U8919" s="8">
        <v>13.3</v>
      </c>
      <c r="V8919" s="8">
        <v>1</v>
      </c>
      <c r="W8919" s="8">
        <v>0.9</v>
      </c>
      <c r="X8919" s="8">
        <v>0</v>
      </c>
      <c r="Y8919" s="8" t="s">
        <v>582</v>
      </c>
      <c r="Z8919" s="8" t="s">
        <v>583</v>
      </c>
    </row>
    <row r="8920" spans="1:26" x14ac:dyDescent="0.2">
      <c r="A8920" s="8">
        <v>8919</v>
      </c>
      <c r="B8920" s="8" t="s">
        <v>38863</v>
      </c>
      <c r="C8920" s="8" t="s">
        <v>38863</v>
      </c>
      <c r="G8920" s="8">
        <v>20</v>
      </c>
      <c r="H8920" s="8" t="s">
        <v>21</v>
      </c>
      <c r="I8920" s="8" t="s">
        <v>22</v>
      </c>
      <c r="J8920" s="8" t="s">
        <v>22</v>
      </c>
      <c r="K8920" s="8" t="s">
        <v>50</v>
      </c>
      <c r="L8920" s="8" t="s">
        <v>22476</v>
      </c>
      <c r="M8920" s="8" t="s">
        <v>22477</v>
      </c>
      <c r="N8920" s="8" t="s">
        <v>38864</v>
      </c>
      <c r="O8920" s="8">
        <f>14+56/60+36.1/3600</f>
        <v>14.943361111111111</v>
      </c>
      <c r="P8920" s="8" t="s">
        <v>38865</v>
      </c>
      <c r="Q8920" s="8">
        <f>+(9+22/60+10/3600)</f>
        <v>9.3694444444444454</v>
      </c>
      <c r="R8920" s="8">
        <v>12.9</v>
      </c>
      <c r="S8920" s="8">
        <v>13.9</v>
      </c>
      <c r="T8920" s="8">
        <v>1</v>
      </c>
      <c r="U8920" s="8">
        <v>13.5</v>
      </c>
      <c r="V8920" s="8">
        <v>1.8</v>
      </c>
      <c r="W8920" s="8">
        <v>1.1000000000000001</v>
      </c>
      <c r="X8920" s="8">
        <v>83</v>
      </c>
      <c r="Y8920" s="8" t="s">
        <v>530</v>
      </c>
      <c r="Z8920" s="8" t="s">
        <v>531</v>
      </c>
    </row>
    <row r="8921" spans="1:26" x14ac:dyDescent="0.2">
      <c r="A8921" s="8">
        <v>8920</v>
      </c>
      <c r="B8921" s="8" t="s">
        <v>38866</v>
      </c>
      <c r="C8921" s="8" t="s">
        <v>38866</v>
      </c>
      <c r="G8921" s="8">
        <v>20</v>
      </c>
      <c r="H8921" s="8" t="s">
        <v>21</v>
      </c>
      <c r="I8921" s="8" t="s">
        <v>22</v>
      </c>
      <c r="J8921" s="8" t="s">
        <v>22</v>
      </c>
      <c r="K8921" s="8" t="s">
        <v>58</v>
      </c>
      <c r="L8921" s="8" t="s">
        <v>24948</v>
      </c>
      <c r="M8921" s="8" t="s">
        <v>24949</v>
      </c>
      <c r="N8921" s="8" t="s">
        <v>38867</v>
      </c>
      <c r="O8921" s="8">
        <f>14+57/60+59.7/3600</f>
        <v>14.966583333333332</v>
      </c>
      <c r="P8921" s="8" t="s">
        <v>38868</v>
      </c>
      <c r="Q8921" s="8">
        <f>-(6+43/60+22/3600)</f>
        <v>-6.722777777777778</v>
      </c>
      <c r="R8921" s="8">
        <v>13.8</v>
      </c>
      <c r="S8921" s="8">
        <v>14.8</v>
      </c>
      <c r="T8921" s="8">
        <v>1</v>
      </c>
      <c r="U8921" s="8">
        <v>14.1</v>
      </c>
      <c r="V8921" s="8">
        <v>1.4</v>
      </c>
      <c r="W8921" s="8">
        <v>0.9</v>
      </c>
      <c r="X8921" s="8">
        <v>27</v>
      </c>
      <c r="Y8921" s="8" t="s">
        <v>3357</v>
      </c>
      <c r="Z8921" s="8" t="s">
        <v>3358</v>
      </c>
    </row>
    <row r="8922" spans="1:26" x14ac:dyDescent="0.2">
      <c r="A8922" s="8">
        <v>8921</v>
      </c>
      <c r="B8922" s="8" t="s">
        <v>38869</v>
      </c>
      <c r="C8922" s="8" t="s">
        <v>38869</v>
      </c>
      <c r="G8922" s="8">
        <v>20</v>
      </c>
      <c r="H8922" s="8" t="s">
        <v>21</v>
      </c>
      <c r="I8922" s="8" t="s">
        <v>22</v>
      </c>
      <c r="J8922" s="8" t="s">
        <v>22</v>
      </c>
      <c r="K8922" s="8" t="s">
        <v>435</v>
      </c>
      <c r="L8922" s="8" t="s">
        <v>24948</v>
      </c>
      <c r="M8922" s="8" t="s">
        <v>24949</v>
      </c>
      <c r="N8922" s="8" t="s">
        <v>38870</v>
      </c>
      <c r="O8922" s="8">
        <f>14+58/60+55/3600</f>
        <v>14.981944444444444</v>
      </c>
      <c r="P8922" s="8" t="s">
        <v>38871</v>
      </c>
      <c r="Q8922" s="8">
        <f>-(19+14/60+21/3600)</f>
        <v>-19.239166666666666</v>
      </c>
      <c r="R8922" s="8">
        <v>13.7</v>
      </c>
      <c r="S8922" s="8">
        <v>14.6</v>
      </c>
      <c r="T8922" s="8">
        <v>0.9</v>
      </c>
      <c r="U8922" s="8">
        <v>13.1</v>
      </c>
      <c r="V8922" s="8">
        <v>1.4</v>
      </c>
      <c r="W8922" s="8">
        <v>0.5</v>
      </c>
      <c r="X8922" s="8">
        <v>147</v>
      </c>
      <c r="Y8922" s="8" t="s">
        <v>38872</v>
      </c>
      <c r="Z8922" s="8" t="s">
        <v>38873</v>
      </c>
    </row>
    <row r="8923" spans="1:26" x14ac:dyDescent="0.2">
      <c r="A8923" s="8">
        <v>8922</v>
      </c>
      <c r="B8923" s="8" t="s">
        <v>38874</v>
      </c>
      <c r="C8923" s="8" t="s">
        <v>38874</v>
      </c>
      <c r="G8923" s="8">
        <v>20</v>
      </c>
      <c r="H8923" s="8" t="s">
        <v>21</v>
      </c>
      <c r="I8923" s="8" t="s">
        <v>22</v>
      </c>
      <c r="J8923" s="8" t="s">
        <v>22</v>
      </c>
      <c r="K8923" s="8" t="s">
        <v>449</v>
      </c>
      <c r="L8923" s="8" t="s">
        <v>17287</v>
      </c>
      <c r="M8923" s="8" t="s">
        <v>17288</v>
      </c>
      <c r="N8923" s="8" t="s">
        <v>38875</v>
      </c>
      <c r="O8923" s="8">
        <f>14+58/60+52.4/3600</f>
        <v>14.981222222222222</v>
      </c>
      <c r="P8923" s="8" t="s">
        <v>38876</v>
      </c>
      <c r="Q8923" s="8">
        <f>+(7+0/60+28/3600)</f>
        <v>7.0077777777777781</v>
      </c>
      <c r="R8923" s="8">
        <v>14.4</v>
      </c>
      <c r="S8923" s="8">
        <v>15.2</v>
      </c>
      <c r="T8923" s="8">
        <v>0.8</v>
      </c>
      <c r="U8923" s="8">
        <v>13.1</v>
      </c>
      <c r="V8923" s="8">
        <v>0.9</v>
      </c>
      <c r="W8923" s="8">
        <v>0.7</v>
      </c>
      <c r="X8923" s="8">
        <v>33</v>
      </c>
      <c r="Y8923" s="8" t="s">
        <v>824</v>
      </c>
      <c r="Z8923" s="8" t="s">
        <v>825</v>
      </c>
    </row>
    <row r="8924" spans="1:26" x14ac:dyDescent="0.2">
      <c r="A8924" s="8">
        <v>8923</v>
      </c>
      <c r="B8924" s="8" t="s">
        <v>38877</v>
      </c>
      <c r="C8924" s="8" t="s">
        <v>38877</v>
      </c>
      <c r="G8924" s="8">
        <v>20</v>
      </c>
      <c r="H8924" s="8" t="s">
        <v>21</v>
      </c>
      <c r="I8924" s="8" t="s">
        <v>22</v>
      </c>
      <c r="J8924" s="8" t="s">
        <v>22</v>
      </c>
      <c r="K8924" s="8" t="s">
        <v>396</v>
      </c>
      <c r="L8924" s="8" t="s">
        <v>14586</v>
      </c>
      <c r="M8924" s="8" t="s">
        <v>14587</v>
      </c>
      <c r="N8924" s="8" t="s">
        <v>38878</v>
      </c>
      <c r="O8924" s="8">
        <f>14+55/60+33.5/3600</f>
        <v>14.925972222222221</v>
      </c>
      <c r="P8924" s="8" t="s">
        <v>38879</v>
      </c>
      <c r="Q8924" s="8">
        <f>+(68+24/60+31/3600)</f>
        <v>68.408611111111114</v>
      </c>
      <c r="R8924" s="8">
        <v>14.5</v>
      </c>
      <c r="S8924" s="8">
        <v>15.3</v>
      </c>
      <c r="T8924" s="8">
        <v>0.8</v>
      </c>
      <c r="U8924" s="8">
        <v>12.7</v>
      </c>
      <c r="V8924" s="8">
        <v>0.7</v>
      </c>
      <c r="W8924" s="8">
        <v>0.3</v>
      </c>
      <c r="X8924" s="8">
        <v>90</v>
      </c>
      <c r="Y8924" s="8" t="s">
        <v>7509</v>
      </c>
      <c r="Z8924" s="8" t="s">
        <v>3537</v>
      </c>
    </row>
    <row r="8925" spans="1:26" x14ac:dyDescent="0.2">
      <c r="A8925" s="8">
        <v>8924</v>
      </c>
      <c r="B8925" s="8" t="s">
        <v>38880</v>
      </c>
      <c r="C8925" s="8" t="s">
        <v>38880</v>
      </c>
      <c r="G8925" s="8">
        <v>20</v>
      </c>
      <c r="H8925" s="8" t="s">
        <v>21</v>
      </c>
      <c r="I8925" s="8" t="s">
        <v>22</v>
      </c>
      <c r="J8925" s="8" t="s">
        <v>22</v>
      </c>
      <c r="K8925" s="8" t="s">
        <v>382</v>
      </c>
      <c r="L8925" s="8" t="s">
        <v>24948</v>
      </c>
      <c r="M8925" s="8" t="s">
        <v>24949</v>
      </c>
      <c r="N8925" s="8" t="s">
        <v>38881</v>
      </c>
      <c r="O8925" s="8">
        <f>15+1/60+14.8/3600</f>
        <v>15.020777777777779</v>
      </c>
      <c r="P8925" s="8" t="s">
        <v>38882</v>
      </c>
      <c r="Q8925" s="8">
        <f>-(7+28/60+32/3600)</f>
        <v>-7.4755555555555553</v>
      </c>
      <c r="R8925" s="8">
        <v>14.2</v>
      </c>
      <c r="S8925" s="8">
        <v>15.1</v>
      </c>
      <c r="T8925" s="8">
        <v>0.9</v>
      </c>
      <c r="U8925" s="8">
        <v>12.7</v>
      </c>
      <c r="V8925" s="8">
        <v>0.6</v>
      </c>
      <c r="W8925" s="8">
        <v>0.4</v>
      </c>
      <c r="X8925" s="8">
        <v>171</v>
      </c>
      <c r="Y8925" s="8" t="s">
        <v>38883</v>
      </c>
      <c r="Z8925" s="8" t="s">
        <v>38884</v>
      </c>
    </row>
    <row r="8926" spans="1:26" x14ac:dyDescent="0.2">
      <c r="A8926" s="8">
        <v>8925</v>
      </c>
      <c r="B8926" s="8" t="s">
        <v>38885</v>
      </c>
      <c r="C8926" s="8" t="s">
        <v>38885</v>
      </c>
      <c r="G8926" s="8">
        <v>20</v>
      </c>
      <c r="H8926" s="8" t="s">
        <v>21</v>
      </c>
      <c r="I8926" s="8" t="s">
        <v>22</v>
      </c>
      <c r="J8926" s="8" t="s">
        <v>22</v>
      </c>
      <c r="K8926" s="8" t="s">
        <v>449</v>
      </c>
      <c r="L8926" s="8" t="s">
        <v>22476</v>
      </c>
      <c r="M8926" s="8" t="s">
        <v>22477</v>
      </c>
      <c r="N8926" s="8" t="s">
        <v>38886</v>
      </c>
      <c r="O8926" s="8">
        <f>15+2/60+43.3/3600</f>
        <v>15.045361111111111</v>
      </c>
      <c r="P8926" s="8" t="s">
        <v>38887</v>
      </c>
      <c r="Q8926" s="8">
        <f>+(17+15/60+11/3600)</f>
        <v>17.253055555555555</v>
      </c>
      <c r="R8926" s="8">
        <v>14</v>
      </c>
      <c r="S8926" s="8">
        <v>14.8</v>
      </c>
      <c r="T8926" s="8">
        <v>0.8</v>
      </c>
      <c r="U8926" s="8">
        <v>13.3</v>
      </c>
      <c r="V8926" s="8">
        <v>0.9</v>
      </c>
      <c r="W8926" s="8">
        <v>0.7</v>
      </c>
      <c r="X8926" s="8">
        <v>27</v>
      </c>
      <c r="Y8926" s="8" t="s">
        <v>38888</v>
      </c>
      <c r="Z8926" s="8" t="s">
        <v>38889</v>
      </c>
    </row>
    <row r="8927" spans="1:26" x14ac:dyDescent="0.2">
      <c r="A8927" s="8">
        <v>8926</v>
      </c>
      <c r="B8927" s="8" t="s">
        <v>38890</v>
      </c>
      <c r="C8927" s="8" t="s">
        <v>38890</v>
      </c>
      <c r="G8927" s="8">
        <v>20</v>
      </c>
      <c r="H8927" s="8" t="s">
        <v>21</v>
      </c>
      <c r="I8927" s="8" t="s">
        <v>22</v>
      </c>
      <c r="J8927" s="8" t="s">
        <v>22</v>
      </c>
      <c r="K8927" s="8" t="s">
        <v>449</v>
      </c>
      <c r="L8927" s="8" t="s">
        <v>22476</v>
      </c>
      <c r="M8927" s="8" t="s">
        <v>22477</v>
      </c>
      <c r="N8927" s="8" t="s">
        <v>38891</v>
      </c>
      <c r="O8927" s="8">
        <f>15+3/60+29.1/3600</f>
        <v>15.058083333333334</v>
      </c>
      <c r="P8927" s="8" t="s">
        <v>38892</v>
      </c>
      <c r="Q8927" s="8">
        <f>+(17+6/60+54/3600)</f>
        <v>17.115000000000002</v>
      </c>
      <c r="R8927" s="8">
        <v>14.7</v>
      </c>
      <c r="S8927" s="8">
        <v>15.5</v>
      </c>
      <c r="T8927" s="8">
        <v>0.8</v>
      </c>
      <c r="U8927" s="8">
        <v>11.8</v>
      </c>
      <c r="V8927" s="8">
        <v>0.4</v>
      </c>
      <c r="W8927" s="8">
        <v>0.2</v>
      </c>
      <c r="X8927" s="8">
        <v>170</v>
      </c>
      <c r="Y8927" s="8" t="s">
        <v>38893</v>
      </c>
      <c r="Z8927" s="8" t="s">
        <v>38894</v>
      </c>
    </row>
    <row r="8928" spans="1:26" x14ac:dyDescent="0.2">
      <c r="A8928" s="8">
        <v>8927</v>
      </c>
      <c r="B8928" s="8" t="s">
        <v>38895</v>
      </c>
      <c r="C8928" s="8" t="s">
        <v>38895</v>
      </c>
      <c r="G8928" s="8">
        <v>20</v>
      </c>
      <c r="H8928" s="8" t="s">
        <v>21</v>
      </c>
      <c r="I8928" s="8" t="s">
        <v>22</v>
      </c>
      <c r="J8928" s="8" t="s">
        <v>22</v>
      </c>
      <c r="K8928" s="8" t="s">
        <v>37</v>
      </c>
      <c r="L8928" s="8" t="s">
        <v>17287</v>
      </c>
      <c r="M8928" s="8" t="s">
        <v>17288</v>
      </c>
      <c r="N8928" s="8" t="s">
        <v>38896</v>
      </c>
      <c r="O8928" s="8">
        <f>15+6/60+43.8/3600</f>
        <v>15.112166666666667</v>
      </c>
      <c r="P8928" s="8" t="s">
        <v>38897</v>
      </c>
      <c r="Q8928" s="8">
        <f>+(3+46/60+38/3600)</f>
        <v>3.777222222222222</v>
      </c>
      <c r="R8928" s="8">
        <v>14.8</v>
      </c>
      <c r="S8928" s="8">
        <v>15.8</v>
      </c>
      <c r="T8928" s="8">
        <v>1</v>
      </c>
      <c r="U8928" s="8">
        <v>13.1</v>
      </c>
      <c r="V8928" s="8">
        <v>0.8</v>
      </c>
      <c r="W8928" s="8">
        <v>0.3</v>
      </c>
      <c r="X8928" s="8">
        <v>80</v>
      </c>
      <c r="Y8928" s="8" t="s">
        <v>282</v>
      </c>
      <c r="Z8928" s="8" t="s">
        <v>283</v>
      </c>
    </row>
    <row r="8929" spans="1:26" x14ac:dyDescent="0.2">
      <c r="A8929" s="8">
        <v>8928</v>
      </c>
      <c r="B8929" s="8" t="s">
        <v>38898</v>
      </c>
      <c r="C8929" s="8" t="s">
        <v>38898</v>
      </c>
      <c r="G8929" s="8">
        <v>20</v>
      </c>
      <c r="H8929" s="8" t="s">
        <v>21</v>
      </c>
      <c r="I8929" s="8" t="s">
        <v>72</v>
      </c>
      <c r="J8929" s="8" t="s">
        <v>72</v>
      </c>
      <c r="K8929" s="8" t="s">
        <v>20</v>
      </c>
      <c r="L8929" s="8" t="s">
        <v>17287</v>
      </c>
      <c r="M8929" s="8" t="s">
        <v>17288</v>
      </c>
      <c r="N8929" s="8" t="s">
        <v>38899</v>
      </c>
      <c r="O8929" s="8">
        <f>15+6/60+47.5/3600</f>
        <v>15.113194444444444</v>
      </c>
      <c r="P8929" s="8" t="s">
        <v>15750</v>
      </c>
      <c r="Q8929" s="8">
        <f>+(3+47/60+31/3600)</f>
        <v>3.7919444444444443</v>
      </c>
      <c r="R8929" s="8">
        <v>99</v>
      </c>
      <c r="S8929" s="8">
        <v>14.9</v>
      </c>
      <c r="T8929" s="8">
        <v>99</v>
      </c>
      <c r="U8929" s="8">
        <v>99</v>
      </c>
      <c r="Y8929" s="8" t="s">
        <v>9230</v>
      </c>
      <c r="Z8929" s="8" t="s">
        <v>9231</v>
      </c>
    </row>
    <row r="8930" spans="1:26" x14ac:dyDescent="0.2">
      <c r="A8930" s="8">
        <v>8929</v>
      </c>
      <c r="B8930" s="8" t="s">
        <v>38900</v>
      </c>
      <c r="C8930" s="8" t="s">
        <v>38900</v>
      </c>
      <c r="G8930" s="8">
        <v>20</v>
      </c>
      <c r="H8930" s="8" t="s">
        <v>21</v>
      </c>
      <c r="I8930" s="8" t="s">
        <v>22</v>
      </c>
      <c r="J8930" s="8" t="s">
        <v>22</v>
      </c>
      <c r="K8930" s="8" t="s">
        <v>449</v>
      </c>
      <c r="L8930" s="8" t="s">
        <v>17287</v>
      </c>
      <c r="M8930" s="8" t="s">
        <v>17288</v>
      </c>
      <c r="N8930" s="8" t="s">
        <v>38901</v>
      </c>
      <c r="O8930" s="8">
        <f>15+7/60+25.9/3600</f>
        <v>15.123861111111111</v>
      </c>
      <c r="P8930" s="8" t="s">
        <v>38902</v>
      </c>
      <c r="Q8930" s="8">
        <f>+(7+7/60+2/3600)</f>
        <v>7.1172222222222219</v>
      </c>
      <c r="R8930" s="8">
        <v>14.3</v>
      </c>
      <c r="S8930" s="8">
        <v>15.1</v>
      </c>
      <c r="T8930" s="8">
        <v>0.8</v>
      </c>
      <c r="U8930" s="8">
        <v>11.8</v>
      </c>
      <c r="V8930" s="8">
        <v>0.4</v>
      </c>
      <c r="W8930" s="8">
        <v>0.3</v>
      </c>
      <c r="X8930" s="8">
        <v>140</v>
      </c>
      <c r="Y8930" s="8" t="s">
        <v>385</v>
      </c>
      <c r="Z8930" s="8" t="s">
        <v>386</v>
      </c>
    </row>
    <row r="8931" spans="1:26" x14ac:dyDescent="0.2">
      <c r="A8931" s="8">
        <v>8930</v>
      </c>
      <c r="B8931" s="8" t="s">
        <v>38903</v>
      </c>
      <c r="C8931" s="8" t="s">
        <v>38903</v>
      </c>
      <c r="G8931" s="8">
        <v>20</v>
      </c>
      <c r="H8931" s="8" t="s">
        <v>21</v>
      </c>
      <c r="I8931" s="8" t="s">
        <v>72</v>
      </c>
      <c r="J8931" s="8" t="s">
        <v>72</v>
      </c>
      <c r="K8931" s="8" t="s">
        <v>20</v>
      </c>
      <c r="L8931" s="8" t="s">
        <v>22476</v>
      </c>
      <c r="M8931" s="8" t="s">
        <v>22477</v>
      </c>
      <c r="N8931" s="8" t="s">
        <v>38904</v>
      </c>
      <c r="O8931" s="8">
        <f>15+5/60+42.9/3600</f>
        <v>15.09525</v>
      </c>
      <c r="P8931" s="8" t="s">
        <v>38905</v>
      </c>
      <c r="Q8931" s="8">
        <f>+(42+41/60+0/3600)</f>
        <v>42.68333333333333</v>
      </c>
      <c r="R8931" s="8">
        <v>99</v>
      </c>
      <c r="S8931" s="8">
        <v>99</v>
      </c>
      <c r="T8931" s="8">
        <v>99</v>
      </c>
      <c r="U8931" s="8">
        <v>99</v>
      </c>
      <c r="Y8931" s="8" t="s">
        <v>38906</v>
      </c>
      <c r="Z8931" s="8" t="s">
        <v>38907</v>
      </c>
    </row>
    <row r="8932" spans="1:26" x14ac:dyDescent="0.2">
      <c r="A8932" s="8">
        <v>8931</v>
      </c>
      <c r="B8932" s="8" t="s">
        <v>38908</v>
      </c>
      <c r="C8932" s="8" t="s">
        <v>38908</v>
      </c>
      <c r="G8932" s="8">
        <v>20</v>
      </c>
      <c r="H8932" s="8" t="s">
        <v>21</v>
      </c>
      <c r="I8932" s="8" t="s">
        <v>22</v>
      </c>
      <c r="J8932" s="8" t="s">
        <v>22</v>
      </c>
      <c r="K8932" s="8" t="s">
        <v>218</v>
      </c>
      <c r="L8932" s="8" t="s">
        <v>24948</v>
      </c>
      <c r="M8932" s="8" t="s">
        <v>24949</v>
      </c>
      <c r="N8932" s="8" t="s">
        <v>38909</v>
      </c>
      <c r="O8932" s="8">
        <f>15+8/60+13.4/3600</f>
        <v>15.137055555555555</v>
      </c>
      <c r="P8932" s="8" t="s">
        <v>38910</v>
      </c>
      <c r="Q8932" s="8">
        <f>-(11+8/60+26/3600)</f>
        <v>-11.140555555555554</v>
      </c>
      <c r="R8932" s="8">
        <v>13.4</v>
      </c>
      <c r="S8932" s="8">
        <v>14.2</v>
      </c>
      <c r="T8932" s="8">
        <v>0.8</v>
      </c>
      <c r="U8932" s="8">
        <v>13.1</v>
      </c>
      <c r="V8932" s="8">
        <v>1</v>
      </c>
      <c r="W8932" s="8">
        <v>0.7</v>
      </c>
      <c r="X8932" s="8">
        <v>120</v>
      </c>
      <c r="Y8932" s="8" t="s">
        <v>17508</v>
      </c>
      <c r="Z8932" s="8" t="s">
        <v>17509</v>
      </c>
    </row>
    <row r="8933" spans="1:26" x14ac:dyDescent="0.2">
      <c r="A8933" s="8">
        <v>8932</v>
      </c>
      <c r="B8933" s="8" t="s">
        <v>38911</v>
      </c>
      <c r="C8933" s="8" t="s">
        <v>38911</v>
      </c>
      <c r="G8933" s="8">
        <v>20</v>
      </c>
      <c r="H8933" s="8" t="s">
        <v>21</v>
      </c>
      <c r="I8933" s="8" t="s">
        <v>22</v>
      </c>
      <c r="J8933" s="8" t="s">
        <v>22</v>
      </c>
      <c r="K8933" s="8" t="s">
        <v>37</v>
      </c>
      <c r="L8933" s="8" t="s">
        <v>22476</v>
      </c>
      <c r="M8933" s="8" t="s">
        <v>22477</v>
      </c>
      <c r="N8933" s="8" t="s">
        <v>38912</v>
      </c>
      <c r="O8933" s="8">
        <f>15+7/60+36/3600</f>
        <v>15.126666666666667</v>
      </c>
      <c r="P8933" s="8" t="s">
        <v>38913</v>
      </c>
      <c r="Q8933" s="8">
        <f>+(9+21/60+32/3600)</f>
        <v>9.3588888888888881</v>
      </c>
      <c r="R8933" s="8">
        <v>14.2</v>
      </c>
      <c r="S8933" s="8">
        <v>15.1</v>
      </c>
      <c r="T8933" s="8">
        <v>0.9</v>
      </c>
      <c r="U8933" s="8">
        <v>12.9</v>
      </c>
      <c r="V8933" s="8">
        <v>0.5</v>
      </c>
      <c r="W8933" s="8">
        <v>0.3</v>
      </c>
      <c r="X8933" s="8">
        <v>69</v>
      </c>
      <c r="Y8933" s="8" t="s">
        <v>421</v>
      </c>
      <c r="Z8933" s="8" t="s">
        <v>422</v>
      </c>
    </row>
    <row r="8934" spans="1:26" x14ac:dyDescent="0.2">
      <c r="A8934" s="8">
        <v>8933</v>
      </c>
      <c r="B8934" s="8" t="s">
        <v>38914</v>
      </c>
      <c r="C8934" s="8" t="s">
        <v>38914</v>
      </c>
      <c r="G8934" s="8">
        <v>20</v>
      </c>
      <c r="H8934" s="8" t="s">
        <v>21</v>
      </c>
      <c r="I8934" s="8" t="s">
        <v>22</v>
      </c>
      <c r="J8934" s="8" t="s">
        <v>22</v>
      </c>
      <c r="K8934" s="8" t="s">
        <v>85</v>
      </c>
      <c r="L8934" s="8" t="s">
        <v>22476</v>
      </c>
      <c r="M8934" s="8" t="s">
        <v>22477</v>
      </c>
      <c r="N8934" s="8" t="s">
        <v>38915</v>
      </c>
      <c r="O8934" s="8">
        <f>15+7/60+35.8/3600</f>
        <v>15.126611111111112</v>
      </c>
      <c r="P8934" s="8" t="s">
        <v>38916</v>
      </c>
      <c r="Q8934" s="8">
        <f>+(14+32/60+55/3600)</f>
        <v>14.548611111111111</v>
      </c>
      <c r="R8934" s="8">
        <v>13.8</v>
      </c>
      <c r="S8934" s="8">
        <v>14.6</v>
      </c>
      <c r="T8934" s="8">
        <v>0.8</v>
      </c>
      <c r="U8934" s="8">
        <v>13.2</v>
      </c>
      <c r="V8934" s="8">
        <v>1</v>
      </c>
      <c r="W8934" s="8">
        <v>0.8</v>
      </c>
      <c r="X8934" s="8">
        <v>120</v>
      </c>
      <c r="Y8934" s="8" t="s">
        <v>38917</v>
      </c>
      <c r="Z8934" s="8" t="s">
        <v>38918</v>
      </c>
    </row>
    <row r="8935" spans="1:26" x14ac:dyDescent="0.2">
      <c r="A8935" s="8">
        <v>8934</v>
      </c>
      <c r="B8935" s="8" t="s">
        <v>38919</v>
      </c>
      <c r="C8935" s="8" t="s">
        <v>38919</v>
      </c>
      <c r="E8935" s="8">
        <v>3</v>
      </c>
      <c r="G8935" s="8">
        <v>20</v>
      </c>
      <c r="H8935" s="8" t="s">
        <v>21</v>
      </c>
      <c r="I8935" s="8" t="s">
        <v>22</v>
      </c>
      <c r="J8935" s="8" t="s">
        <v>22</v>
      </c>
      <c r="K8935" s="8" t="s">
        <v>38920</v>
      </c>
      <c r="L8935" s="8" t="s">
        <v>22476</v>
      </c>
      <c r="M8935" s="8" t="s">
        <v>22477</v>
      </c>
      <c r="N8935" s="8" t="s">
        <v>38921</v>
      </c>
      <c r="O8935" s="8">
        <f>15+7/60+42/3600</f>
        <v>15.128333333333334</v>
      </c>
      <c r="P8935" s="8" t="s">
        <v>38922</v>
      </c>
      <c r="Q8935" s="8">
        <f>+(14+37/60+21/3600)</f>
        <v>14.6225</v>
      </c>
      <c r="R8935" s="8">
        <v>14.8</v>
      </c>
      <c r="S8935" s="8">
        <v>15.8</v>
      </c>
      <c r="T8935" s="8">
        <v>1</v>
      </c>
      <c r="U8935" s="8">
        <v>12.7</v>
      </c>
      <c r="V8935" s="8">
        <v>0.4</v>
      </c>
      <c r="W8935" s="8">
        <v>0.4</v>
      </c>
      <c r="Y8935" s="8" t="s">
        <v>38923</v>
      </c>
      <c r="Z8935" s="8" t="s">
        <v>38924</v>
      </c>
    </row>
    <row r="8936" spans="1:26" x14ac:dyDescent="0.2">
      <c r="A8936" s="8">
        <v>8935</v>
      </c>
      <c r="B8936" s="8" t="s">
        <v>38925</v>
      </c>
      <c r="C8936" s="8" t="s">
        <v>38925</v>
      </c>
      <c r="E8936" s="8">
        <v>1</v>
      </c>
      <c r="G8936" s="8">
        <v>20</v>
      </c>
      <c r="H8936" s="8" t="s">
        <v>21</v>
      </c>
      <c r="I8936" s="8" t="s">
        <v>22</v>
      </c>
      <c r="J8936" s="8" t="s">
        <v>22</v>
      </c>
      <c r="K8936" s="8" t="s">
        <v>23</v>
      </c>
      <c r="L8936" s="8" t="s">
        <v>22476</v>
      </c>
      <c r="M8936" s="8" t="s">
        <v>22477</v>
      </c>
      <c r="N8936" s="8" t="s">
        <v>38926</v>
      </c>
      <c r="O8936" s="8">
        <f>15+8/60+35/3600</f>
        <v>15.143055555555556</v>
      </c>
      <c r="P8936" s="8" t="s">
        <v>38927</v>
      </c>
      <c r="Q8936" s="8">
        <f>+(13+40/60+13/3600)</f>
        <v>13.670277777777777</v>
      </c>
      <c r="R8936" s="8">
        <v>14.4</v>
      </c>
      <c r="S8936" s="8">
        <v>15.2</v>
      </c>
      <c r="T8936" s="8">
        <v>0.8</v>
      </c>
      <c r="U8936" s="8">
        <v>12.5</v>
      </c>
      <c r="V8936" s="8">
        <v>0.5</v>
      </c>
      <c r="W8936" s="8">
        <v>0.4</v>
      </c>
      <c r="X8936" s="8">
        <v>90</v>
      </c>
      <c r="Y8936" s="8" t="s">
        <v>23422</v>
      </c>
      <c r="Z8936" s="8" t="s">
        <v>23423</v>
      </c>
    </row>
    <row r="8937" spans="1:26" x14ac:dyDescent="0.2">
      <c r="A8937" s="8">
        <v>8936</v>
      </c>
      <c r="B8937" s="8" t="s">
        <v>38928</v>
      </c>
      <c r="C8937" s="8" t="s">
        <v>38928</v>
      </c>
      <c r="G8937" s="8">
        <v>20</v>
      </c>
      <c r="H8937" s="8" t="s">
        <v>21</v>
      </c>
      <c r="I8937" s="8" t="s">
        <v>22</v>
      </c>
      <c r="J8937" s="8" t="s">
        <v>22</v>
      </c>
      <c r="K8937" s="8" t="s">
        <v>449</v>
      </c>
      <c r="L8937" s="8" t="s">
        <v>22476</v>
      </c>
      <c r="M8937" s="8" t="s">
        <v>22477</v>
      </c>
      <c r="N8937" s="8" t="s">
        <v>38929</v>
      </c>
      <c r="O8937" s="8">
        <f>15+8/60+21.7/3600</f>
        <v>15.139361111111111</v>
      </c>
      <c r="P8937" s="8" t="s">
        <v>35109</v>
      </c>
      <c r="Q8937" s="8">
        <f>+(19+11/60+31/3600)</f>
        <v>19.191944444444445</v>
      </c>
      <c r="R8937" s="8">
        <v>14.8</v>
      </c>
      <c r="S8937" s="8">
        <v>15.6</v>
      </c>
      <c r="T8937" s="8">
        <v>0.8</v>
      </c>
      <c r="U8937" s="8">
        <v>12.8</v>
      </c>
      <c r="V8937" s="8">
        <v>0.6</v>
      </c>
      <c r="W8937" s="8">
        <v>0.3</v>
      </c>
      <c r="X8937" s="8">
        <v>70</v>
      </c>
      <c r="Y8937" s="8" t="s">
        <v>17508</v>
      </c>
      <c r="Z8937" s="8" t="s">
        <v>17509</v>
      </c>
    </row>
    <row r="8938" spans="1:26" x14ac:dyDescent="0.2">
      <c r="A8938" s="8">
        <v>8937</v>
      </c>
      <c r="B8938" s="8" t="s">
        <v>38930</v>
      </c>
      <c r="C8938" s="8" t="s">
        <v>38930</v>
      </c>
      <c r="G8938" s="8">
        <v>20</v>
      </c>
      <c r="H8938" s="8" t="s">
        <v>21</v>
      </c>
      <c r="I8938" s="8" t="s">
        <v>22</v>
      </c>
      <c r="J8938" s="8" t="s">
        <v>22</v>
      </c>
      <c r="K8938" s="8" t="s">
        <v>23</v>
      </c>
      <c r="L8938" s="8" t="s">
        <v>22476</v>
      </c>
      <c r="M8938" s="8" t="s">
        <v>22477</v>
      </c>
      <c r="N8938" s="8" t="s">
        <v>38931</v>
      </c>
      <c r="O8938" s="8">
        <f>15+8/60+31.3/3600</f>
        <v>15.142027777777777</v>
      </c>
      <c r="P8938" s="8" t="s">
        <v>38932</v>
      </c>
      <c r="Q8938" s="8">
        <f>+(19+11/60+4/3600)</f>
        <v>19.184444444444445</v>
      </c>
      <c r="R8938" s="8">
        <v>13.9</v>
      </c>
      <c r="S8938" s="8">
        <v>14.7</v>
      </c>
      <c r="T8938" s="8">
        <v>0.8</v>
      </c>
      <c r="U8938" s="8">
        <v>12.9</v>
      </c>
      <c r="V8938" s="8">
        <v>1.1000000000000001</v>
      </c>
      <c r="W8938" s="8">
        <v>0.4</v>
      </c>
      <c r="X8938" s="8">
        <v>52</v>
      </c>
      <c r="Y8938" s="8" t="s">
        <v>3357</v>
      </c>
      <c r="Z8938" s="8" t="s">
        <v>3358</v>
      </c>
    </row>
    <row r="8939" spans="1:26" x14ac:dyDescent="0.2">
      <c r="A8939" s="8">
        <v>8938</v>
      </c>
      <c r="B8939" s="8" t="s">
        <v>38933</v>
      </c>
      <c r="C8939" s="8" t="s">
        <v>38933</v>
      </c>
      <c r="G8939" s="8">
        <v>20</v>
      </c>
      <c r="H8939" s="8" t="s">
        <v>21</v>
      </c>
      <c r="I8939" s="8" t="s">
        <v>72</v>
      </c>
      <c r="J8939" s="8" t="s">
        <v>72</v>
      </c>
      <c r="K8939" s="8" t="s">
        <v>20</v>
      </c>
      <c r="L8939" s="8" t="s">
        <v>13395</v>
      </c>
      <c r="M8939" s="8" t="s">
        <v>13396</v>
      </c>
      <c r="N8939" s="8" t="s">
        <v>38934</v>
      </c>
      <c r="O8939" s="8">
        <f>15+6/60+25.5/3600</f>
        <v>15.107083333333334</v>
      </c>
      <c r="P8939" s="8" t="s">
        <v>38935</v>
      </c>
      <c r="Q8939" s="8">
        <f>+(55+36/60+5/3600)</f>
        <v>55.601388888888891</v>
      </c>
      <c r="R8939" s="8">
        <v>99</v>
      </c>
      <c r="S8939" s="8">
        <v>99</v>
      </c>
      <c r="T8939" s="8">
        <v>99</v>
      </c>
      <c r="U8939" s="8">
        <v>99</v>
      </c>
      <c r="Y8939" s="8" t="s">
        <v>21</v>
      </c>
      <c r="Z8939" s="8" t="s">
        <v>38936</v>
      </c>
    </row>
    <row r="8940" spans="1:26" x14ac:dyDescent="0.2">
      <c r="A8940" s="8">
        <v>8939</v>
      </c>
      <c r="B8940" s="8" t="s">
        <v>38937</v>
      </c>
      <c r="C8940" s="8" t="s">
        <v>38937</v>
      </c>
      <c r="G8940" s="8">
        <v>20</v>
      </c>
      <c r="H8940" s="8" t="s">
        <v>21</v>
      </c>
      <c r="I8940" s="8" t="s">
        <v>22</v>
      </c>
      <c r="J8940" s="8" t="s">
        <v>22</v>
      </c>
      <c r="K8940" s="8" t="s">
        <v>64</v>
      </c>
      <c r="L8940" s="8" t="s">
        <v>13395</v>
      </c>
      <c r="M8940" s="8" t="s">
        <v>13396</v>
      </c>
      <c r="N8940" s="8" t="s">
        <v>38938</v>
      </c>
      <c r="O8940" s="8">
        <f>15+6/60+54.7/3600</f>
        <v>15.115194444444445</v>
      </c>
      <c r="P8940" s="8" t="s">
        <v>38939</v>
      </c>
      <c r="Q8940" s="8">
        <f>+(56+30/60+31/3600)</f>
        <v>56.508611111111108</v>
      </c>
      <c r="R8940" s="8">
        <v>14</v>
      </c>
      <c r="S8940" s="8">
        <v>14.7</v>
      </c>
      <c r="T8940" s="8">
        <v>0.7</v>
      </c>
      <c r="U8940" s="8">
        <v>14.2</v>
      </c>
      <c r="V8940" s="8">
        <v>1.2</v>
      </c>
      <c r="W8940" s="8">
        <v>1</v>
      </c>
      <c r="X8940" s="8">
        <v>162</v>
      </c>
      <c r="Y8940" s="8" t="s">
        <v>38940</v>
      </c>
      <c r="Z8940" s="8" t="s">
        <v>38941</v>
      </c>
    </row>
    <row r="8941" spans="1:26" x14ac:dyDescent="0.2">
      <c r="A8941" s="8">
        <v>8940</v>
      </c>
      <c r="B8941" s="8" t="s">
        <v>38942</v>
      </c>
      <c r="C8941" s="8" t="s">
        <v>38942</v>
      </c>
      <c r="G8941" s="8">
        <v>20</v>
      </c>
      <c r="H8941" s="8" t="s">
        <v>21</v>
      </c>
      <c r="I8941" s="8" t="s">
        <v>22</v>
      </c>
      <c r="J8941" s="8" t="s">
        <v>57</v>
      </c>
      <c r="K8941" s="8" t="s">
        <v>476</v>
      </c>
      <c r="L8941" s="8" t="s">
        <v>13395</v>
      </c>
      <c r="M8941" s="8" t="s">
        <v>13396</v>
      </c>
      <c r="N8941" s="8" t="s">
        <v>26200</v>
      </c>
      <c r="O8941" s="8">
        <f>15+6/60+20.6/3600</f>
        <v>15.105722222222221</v>
      </c>
      <c r="P8941" s="8" t="s">
        <v>26201</v>
      </c>
      <c r="Q8941" s="8">
        <f>+(62+58/60+50/3600)</f>
        <v>62.980555555555554</v>
      </c>
      <c r="R8941" s="8">
        <v>13.4</v>
      </c>
      <c r="S8941" s="8">
        <v>14.3</v>
      </c>
      <c r="T8941" s="8">
        <v>0.9</v>
      </c>
      <c r="U8941" s="8">
        <v>12.6</v>
      </c>
      <c r="V8941" s="8">
        <v>0.8</v>
      </c>
      <c r="W8941" s="8">
        <v>0.7</v>
      </c>
      <c r="X8941" s="8">
        <v>60</v>
      </c>
      <c r="Y8941" s="8" t="s">
        <v>38943</v>
      </c>
      <c r="Z8941" s="8" t="s">
        <v>38944</v>
      </c>
    </row>
    <row r="8942" spans="1:26" x14ac:dyDescent="0.2">
      <c r="A8942" s="8">
        <v>8941</v>
      </c>
      <c r="B8942" s="8" t="s">
        <v>38945</v>
      </c>
      <c r="C8942" s="8" t="s">
        <v>38945</v>
      </c>
      <c r="G8942" s="8">
        <v>20</v>
      </c>
      <c r="H8942" s="8" t="s">
        <v>21</v>
      </c>
      <c r="I8942" s="8" t="s">
        <v>22</v>
      </c>
      <c r="J8942" s="8" t="s">
        <v>22</v>
      </c>
      <c r="K8942" s="8" t="s">
        <v>58</v>
      </c>
      <c r="L8942" s="8" t="s">
        <v>17287</v>
      </c>
      <c r="M8942" s="8" t="s">
        <v>17288</v>
      </c>
      <c r="N8942" s="8" t="s">
        <v>38946</v>
      </c>
      <c r="O8942" s="8">
        <f>15+10/60+56.1/3600</f>
        <v>15.18225</v>
      </c>
      <c r="P8942" s="8" t="s">
        <v>38947</v>
      </c>
      <c r="Q8942" s="8">
        <f>+(5+44/60+44/3600)</f>
        <v>5.7455555555555557</v>
      </c>
      <c r="R8942" s="8">
        <v>13.7</v>
      </c>
      <c r="S8942" s="8">
        <v>14.7</v>
      </c>
      <c r="T8942" s="8">
        <v>1</v>
      </c>
      <c r="U8942" s="8">
        <v>13.2</v>
      </c>
      <c r="V8942" s="8">
        <v>1.2</v>
      </c>
      <c r="W8942" s="8">
        <v>0.6</v>
      </c>
      <c r="X8942" s="8">
        <v>23</v>
      </c>
      <c r="Y8942" s="8" t="s">
        <v>38948</v>
      </c>
      <c r="Z8942" s="8" t="s">
        <v>38252</v>
      </c>
    </row>
    <row r="8943" spans="1:26" x14ac:dyDescent="0.2">
      <c r="A8943" s="8">
        <v>8942</v>
      </c>
      <c r="B8943" s="8" t="s">
        <v>38949</v>
      </c>
      <c r="C8943" s="8" t="s">
        <v>38949</v>
      </c>
      <c r="G8943" s="8">
        <v>20</v>
      </c>
      <c r="H8943" s="8" t="s">
        <v>21</v>
      </c>
      <c r="I8943" s="8" t="s">
        <v>22</v>
      </c>
      <c r="J8943" s="8" t="s">
        <v>22</v>
      </c>
      <c r="K8943" s="8" t="s">
        <v>23</v>
      </c>
      <c r="L8943" s="8" t="s">
        <v>17287</v>
      </c>
      <c r="M8943" s="8" t="s">
        <v>17288</v>
      </c>
      <c r="N8943" s="8" t="s">
        <v>38950</v>
      </c>
      <c r="O8943" s="8">
        <f>15+11/60+4.9/3600</f>
        <v>15.184694444444444</v>
      </c>
      <c r="P8943" s="8" t="s">
        <v>38951</v>
      </c>
      <c r="Q8943" s="8">
        <f>+(4+17/60+38/3600)</f>
        <v>4.2938888888888886</v>
      </c>
      <c r="R8943" s="8">
        <v>14</v>
      </c>
      <c r="S8943" s="8">
        <v>14.8</v>
      </c>
      <c r="T8943" s="8">
        <v>0.8</v>
      </c>
      <c r="U8943" s="8">
        <v>13.8</v>
      </c>
      <c r="V8943" s="8">
        <v>1.1000000000000001</v>
      </c>
      <c r="W8943" s="8">
        <v>0.6</v>
      </c>
      <c r="X8943" s="8">
        <v>25</v>
      </c>
      <c r="Y8943" s="8" t="s">
        <v>38952</v>
      </c>
      <c r="Z8943" s="8" t="s">
        <v>38953</v>
      </c>
    </row>
    <row r="8944" spans="1:26" x14ac:dyDescent="0.2">
      <c r="A8944" s="8">
        <v>8943</v>
      </c>
      <c r="B8944" s="8" t="s">
        <v>38954</v>
      </c>
      <c r="C8944" s="8" t="s">
        <v>38954</v>
      </c>
      <c r="G8944" s="8">
        <v>20</v>
      </c>
      <c r="H8944" s="8" t="s">
        <v>21</v>
      </c>
      <c r="I8944" s="8" t="s">
        <v>22</v>
      </c>
      <c r="J8944" s="8" t="s">
        <v>22</v>
      </c>
      <c r="K8944" s="8" t="s">
        <v>50</v>
      </c>
      <c r="L8944" s="8" t="s">
        <v>26227</v>
      </c>
      <c r="M8944" s="8" t="s">
        <v>26228</v>
      </c>
      <c r="N8944" s="8" t="s">
        <v>38955</v>
      </c>
      <c r="O8944" s="8">
        <f>15+11/60+35.8/3600</f>
        <v>15.193277777777778</v>
      </c>
      <c r="P8944" s="8" t="s">
        <v>38956</v>
      </c>
      <c r="Q8944" s="8">
        <f>+(19+12/60+30/3600)</f>
        <v>19.208333333333332</v>
      </c>
      <c r="R8944" s="8">
        <v>15.7</v>
      </c>
      <c r="S8944" s="8">
        <v>16.7</v>
      </c>
      <c r="T8944" s="8">
        <v>1</v>
      </c>
      <c r="U8944" s="8">
        <v>13.7</v>
      </c>
      <c r="V8944" s="8">
        <v>0.5</v>
      </c>
      <c r="W8944" s="8">
        <v>0.3</v>
      </c>
      <c r="X8944" s="8">
        <v>5</v>
      </c>
      <c r="Y8944" s="8" t="s">
        <v>1511</v>
      </c>
      <c r="Z8944" s="8" t="s">
        <v>1512</v>
      </c>
    </row>
    <row r="8945" spans="1:26" x14ac:dyDescent="0.2">
      <c r="A8945" s="8">
        <v>8944</v>
      </c>
      <c r="B8945" s="8" t="s">
        <v>38957</v>
      </c>
      <c r="C8945" s="8" t="s">
        <v>38957</v>
      </c>
      <c r="G8945" s="8">
        <v>20</v>
      </c>
      <c r="H8945" s="8" t="s">
        <v>21</v>
      </c>
      <c r="I8945" s="8" t="s">
        <v>72</v>
      </c>
      <c r="J8945" s="8" t="s">
        <v>72</v>
      </c>
      <c r="K8945" s="8" t="s">
        <v>20</v>
      </c>
      <c r="L8945" s="8" t="s">
        <v>24948</v>
      </c>
      <c r="M8945" s="8" t="s">
        <v>24949</v>
      </c>
      <c r="N8945" s="8" t="s">
        <v>38958</v>
      </c>
      <c r="O8945" s="8">
        <f>15+12/60+49.9/3600</f>
        <v>15.213861111111111</v>
      </c>
      <c r="P8945" s="8" t="s">
        <v>38959</v>
      </c>
      <c r="Q8945" s="8">
        <f>-(5+3/60+22/3600)</f>
        <v>-5.056111111111111</v>
      </c>
      <c r="R8945" s="8">
        <v>99</v>
      </c>
      <c r="S8945" s="8">
        <v>15.4</v>
      </c>
      <c r="T8945" s="8">
        <v>99</v>
      </c>
      <c r="U8945" s="8">
        <v>99</v>
      </c>
      <c r="Y8945" s="8" t="s">
        <v>297</v>
      </c>
      <c r="Z8945" s="8" t="s">
        <v>298</v>
      </c>
    </row>
    <row r="8946" spans="1:26" x14ac:dyDescent="0.2">
      <c r="A8946" s="8">
        <v>8945</v>
      </c>
      <c r="B8946" s="8" t="s">
        <v>38960</v>
      </c>
      <c r="C8946" s="8" t="s">
        <v>38960</v>
      </c>
      <c r="G8946" s="8">
        <v>20</v>
      </c>
      <c r="H8946" s="8" t="s">
        <v>21</v>
      </c>
      <c r="I8946" s="8" t="s">
        <v>22</v>
      </c>
      <c r="J8946" s="8" t="s">
        <v>22</v>
      </c>
      <c r="K8946" s="8" t="s">
        <v>37</v>
      </c>
      <c r="L8946" s="8" t="s">
        <v>26227</v>
      </c>
      <c r="M8946" s="8" t="s">
        <v>26228</v>
      </c>
      <c r="N8946" s="8" t="s">
        <v>38961</v>
      </c>
      <c r="O8946" s="8">
        <f>15+13/60+13.8/3600</f>
        <v>15.220499999999999</v>
      </c>
      <c r="P8946" s="8" t="s">
        <v>38962</v>
      </c>
      <c r="Q8946" s="8">
        <f>+(4+17/60+17/3600)</f>
        <v>4.2880555555555553</v>
      </c>
      <c r="R8946" s="8">
        <v>13.9</v>
      </c>
      <c r="S8946" s="8">
        <v>14.9</v>
      </c>
      <c r="T8946" s="8">
        <v>1</v>
      </c>
      <c r="U8946" s="8">
        <v>12.7</v>
      </c>
      <c r="V8946" s="8">
        <v>0.9</v>
      </c>
      <c r="W8946" s="8">
        <v>0.4</v>
      </c>
      <c r="X8946" s="8">
        <v>96</v>
      </c>
      <c r="Y8946" s="8" t="s">
        <v>38963</v>
      </c>
      <c r="Z8946" s="8" t="s">
        <v>38964</v>
      </c>
    </row>
    <row r="8947" spans="1:26" x14ac:dyDescent="0.2">
      <c r="A8947" s="8">
        <v>8946</v>
      </c>
      <c r="B8947" s="8" t="s">
        <v>38965</v>
      </c>
      <c r="C8947" s="8" t="s">
        <v>38965</v>
      </c>
      <c r="G8947" s="8">
        <v>20</v>
      </c>
      <c r="H8947" s="8" t="s">
        <v>21</v>
      </c>
      <c r="I8947" s="8" t="s">
        <v>22</v>
      </c>
      <c r="J8947" s="8" t="s">
        <v>22</v>
      </c>
      <c r="K8947" s="8" t="s">
        <v>449</v>
      </c>
      <c r="L8947" s="8" t="s">
        <v>26227</v>
      </c>
      <c r="M8947" s="8" t="s">
        <v>26228</v>
      </c>
      <c r="N8947" s="8" t="s">
        <v>38966</v>
      </c>
      <c r="O8947" s="8">
        <f>15+13/60+56.2/3600</f>
        <v>15.232277777777778</v>
      </c>
      <c r="P8947" s="8" t="s">
        <v>38967</v>
      </c>
      <c r="Q8947" s="8">
        <f>+(4+42/60+37/3600)</f>
        <v>4.7102777777777778</v>
      </c>
      <c r="R8947" s="8">
        <v>14.6</v>
      </c>
      <c r="S8947" s="8">
        <v>15.2</v>
      </c>
      <c r="T8947" s="8">
        <v>0.6</v>
      </c>
      <c r="U8947" s="8">
        <v>13.5</v>
      </c>
      <c r="V8947" s="8">
        <v>1</v>
      </c>
      <c r="W8947" s="8">
        <v>0.4</v>
      </c>
      <c r="X8947" s="8">
        <v>30</v>
      </c>
      <c r="Y8947" s="8" t="s">
        <v>1858</v>
      </c>
      <c r="Z8947" s="8" t="s">
        <v>1859</v>
      </c>
    </row>
    <row r="8948" spans="1:26" x14ac:dyDescent="0.2">
      <c r="A8948" s="8">
        <v>8947</v>
      </c>
      <c r="B8948" s="8" t="s">
        <v>38968</v>
      </c>
      <c r="C8948" s="8" t="s">
        <v>38968</v>
      </c>
      <c r="G8948" s="8">
        <v>20</v>
      </c>
      <c r="H8948" s="8" t="s">
        <v>21</v>
      </c>
      <c r="I8948" s="8" t="s">
        <v>22</v>
      </c>
      <c r="J8948" s="8" t="s">
        <v>22</v>
      </c>
      <c r="K8948" s="8" t="s">
        <v>38920</v>
      </c>
      <c r="L8948" s="8" t="s">
        <v>26227</v>
      </c>
      <c r="M8948" s="8" t="s">
        <v>26228</v>
      </c>
      <c r="N8948" s="8" t="s">
        <v>38969</v>
      </c>
      <c r="O8948" s="8">
        <f>15+14/60+9/3600</f>
        <v>15.235833333333332</v>
      </c>
      <c r="P8948" s="8" t="s">
        <v>38970</v>
      </c>
      <c r="Q8948" s="8">
        <f>+(4+42/60+53/3600)</f>
        <v>4.714722222222222</v>
      </c>
      <c r="R8948" s="8">
        <v>14.3</v>
      </c>
      <c r="S8948" s="8">
        <v>15.3</v>
      </c>
      <c r="T8948" s="8">
        <v>1</v>
      </c>
      <c r="U8948" s="8">
        <v>12.6</v>
      </c>
      <c r="V8948" s="8">
        <v>0.5</v>
      </c>
      <c r="W8948" s="8">
        <v>0.5</v>
      </c>
      <c r="Y8948" s="8" t="s">
        <v>530</v>
      </c>
      <c r="Z8948" s="8" t="s">
        <v>531</v>
      </c>
    </row>
    <row r="8949" spans="1:26" x14ac:dyDescent="0.2">
      <c r="A8949" s="8">
        <v>8948</v>
      </c>
      <c r="B8949" s="8" t="s">
        <v>38971</v>
      </c>
      <c r="C8949" s="8" t="s">
        <v>38971</v>
      </c>
      <c r="G8949" s="8">
        <v>20</v>
      </c>
      <c r="H8949" s="8" t="s">
        <v>21</v>
      </c>
      <c r="I8949" s="8" t="s">
        <v>241</v>
      </c>
      <c r="J8949" s="8" t="s">
        <v>57</v>
      </c>
      <c r="K8949" s="8" t="s">
        <v>241</v>
      </c>
      <c r="L8949" s="8" t="s">
        <v>24674</v>
      </c>
      <c r="M8949" s="8" t="s">
        <v>24675</v>
      </c>
      <c r="N8949" s="8" t="s">
        <v>26206</v>
      </c>
      <c r="O8949" s="8">
        <f>15+16/60+50/3600</f>
        <v>15.280555555555557</v>
      </c>
      <c r="P8949" s="8" t="s">
        <v>26207</v>
      </c>
      <c r="Q8949" s="8">
        <f>-(45+38/60+56/3600)</f>
        <v>-45.648888888888891</v>
      </c>
      <c r="R8949" s="8">
        <v>9.4</v>
      </c>
      <c r="S8949" s="8">
        <v>10.5</v>
      </c>
      <c r="T8949" s="8">
        <v>99</v>
      </c>
      <c r="U8949" s="8">
        <v>99</v>
      </c>
      <c r="V8949" s="8">
        <v>0.33</v>
      </c>
      <c r="Y8949" s="8" t="s">
        <v>21</v>
      </c>
      <c r="Z8949" s="8" t="s">
        <v>38972</v>
      </c>
    </row>
    <row r="8950" spans="1:26" x14ac:dyDescent="0.2">
      <c r="A8950" s="8">
        <v>8949</v>
      </c>
      <c r="B8950" s="8" t="s">
        <v>38973</v>
      </c>
      <c r="C8950" s="8" t="s">
        <v>38973</v>
      </c>
      <c r="G8950" s="8">
        <v>20</v>
      </c>
      <c r="H8950" s="8" t="s">
        <v>21</v>
      </c>
      <c r="I8950" s="8" t="s">
        <v>22</v>
      </c>
      <c r="J8950" s="8" t="s">
        <v>22</v>
      </c>
      <c r="K8950" s="8" t="s">
        <v>460</v>
      </c>
      <c r="L8950" s="8" t="s">
        <v>26227</v>
      </c>
      <c r="M8950" s="8" t="s">
        <v>26228</v>
      </c>
      <c r="N8950" s="8" t="s">
        <v>38974</v>
      </c>
      <c r="O8950" s="8">
        <f>15+17/60+3.9/3600</f>
        <v>15.284416666666667</v>
      </c>
      <c r="P8950" s="8" t="s">
        <v>38975</v>
      </c>
      <c r="Q8950" s="8">
        <f>+(5+15/60+24/3600)</f>
        <v>5.2566666666666668</v>
      </c>
      <c r="R8950" s="8">
        <v>14.2</v>
      </c>
      <c r="S8950" s="8">
        <v>15.2</v>
      </c>
      <c r="T8950" s="8">
        <v>1</v>
      </c>
      <c r="U8950" s="8">
        <v>12.3</v>
      </c>
      <c r="V8950" s="8">
        <v>0.4</v>
      </c>
      <c r="W8950" s="8">
        <v>0.4</v>
      </c>
      <c r="Y8950" s="8" t="s">
        <v>38976</v>
      </c>
      <c r="Z8950" s="8" t="s">
        <v>38977</v>
      </c>
    </row>
    <row r="8951" spans="1:26" x14ac:dyDescent="0.2">
      <c r="A8951" s="8">
        <v>8950</v>
      </c>
      <c r="B8951" s="8" t="s">
        <v>38978</v>
      </c>
      <c r="C8951" s="8" t="s">
        <v>38978</v>
      </c>
      <c r="G8951" s="8">
        <v>20</v>
      </c>
      <c r="H8951" s="8" t="s">
        <v>21</v>
      </c>
      <c r="I8951" s="8" t="s">
        <v>22</v>
      </c>
      <c r="J8951" s="8" t="s">
        <v>22</v>
      </c>
      <c r="K8951" s="8" t="s">
        <v>91</v>
      </c>
      <c r="L8951" s="8" t="s">
        <v>14586</v>
      </c>
      <c r="M8951" s="8" t="s">
        <v>14587</v>
      </c>
      <c r="N8951" s="8" t="s">
        <v>38979</v>
      </c>
      <c r="O8951" s="8">
        <f>15+12/60+5.3/3600</f>
        <v>15.201472222222222</v>
      </c>
      <c r="P8951" s="8" t="s">
        <v>38980</v>
      </c>
      <c r="Q8951" s="8">
        <f>+(67+21/60+44/3600)</f>
        <v>67.362222222222215</v>
      </c>
      <c r="R8951" s="8">
        <v>14</v>
      </c>
      <c r="S8951" s="8">
        <v>14.9</v>
      </c>
      <c r="T8951" s="8">
        <v>0.9</v>
      </c>
      <c r="U8951" s="8">
        <v>13.2</v>
      </c>
      <c r="V8951" s="8">
        <v>1.4</v>
      </c>
      <c r="W8951" s="8">
        <v>0.4</v>
      </c>
      <c r="X8951" s="8">
        <v>77</v>
      </c>
      <c r="Y8951" s="8" t="s">
        <v>38981</v>
      </c>
      <c r="Z8951" s="8" t="s">
        <v>38982</v>
      </c>
    </row>
    <row r="8952" spans="1:26" x14ac:dyDescent="0.2">
      <c r="A8952" s="8">
        <v>8951</v>
      </c>
      <c r="B8952" s="8" t="s">
        <v>38983</v>
      </c>
      <c r="C8952" s="8" t="s">
        <v>38983</v>
      </c>
      <c r="G8952" s="8">
        <v>20</v>
      </c>
      <c r="H8952" s="8" t="s">
        <v>21</v>
      </c>
      <c r="I8952" s="8" t="s">
        <v>22</v>
      </c>
      <c r="J8952" s="8" t="s">
        <v>57</v>
      </c>
      <c r="K8952" s="8" t="s">
        <v>406</v>
      </c>
      <c r="L8952" s="8" t="s">
        <v>22476</v>
      </c>
      <c r="M8952" s="8" t="s">
        <v>22477</v>
      </c>
      <c r="N8952" s="8" t="s">
        <v>26177</v>
      </c>
      <c r="O8952" s="8">
        <f>15+9/60+31.4/3600</f>
        <v>15.158722222222222</v>
      </c>
      <c r="P8952" s="8" t="s">
        <v>26178</v>
      </c>
      <c r="Q8952" s="8">
        <f>+(54+30/60+23/3600)</f>
        <v>54.506388888888885</v>
      </c>
      <c r="R8952" s="8">
        <v>12.7</v>
      </c>
      <c r="S8952" s="8">
        <v>13.5</v>
      </c>
      <c r="T8952" s="8">
        <v>0.8</v>
      </c>
      <c r="U8952" s="8">
        <v>13.7</v>
      </c>
      <c r="V8952" s="8">
        <v>2.4</v>
      </c>
      <c r="W8952" s="8">
        <v>1.2</v>
      </c>
      <c r="X8952" s="8">
        <v>50</v>
      </c>
      <c r="Y8952" s="8" t="s">
        <v>32046</v>
      </c>
      <c r="Z8952" s="8" t="s">
        <v>32047</v>
      </c>
    </row>
    <row r="8953" spans="1:26" x14ac:dyDescent="0.2">
      <c r="A8953" s="8">
        <v>8952</v>
      </c>
      <c r="B8953" s="8" t="s">
        <v>38984</v>
      </c>
      <c r="C8953" s="8" t="s">
        <v>38984</v>
      </c>
      <c r="G8953" s="8">
        <v>20</v>
      </c>
      <c r="H8953" s="8" t="s">
        <v>21</v>
      </c>
      <c r="I8953" s="8" t="s">
        <v>22</v>
      </c>
      <c r="J8953" s="8" t="s">
        <v>22</v>
      </c>
      <c r="K8953" s="8" t="s">
        <v>449</v>
      </c>
      <c r="L8953" s="8" t="s">
        <v>26227</v>
      </c>
      <c r="M8953" s="8" t="s">
        <v>26228</v>
      </c>
      <c r="N8953" s="8" t="s">
        <v>38985</v>
      </c>
      <c r="O8953" s="8">
        <f>15+17/60+47.4/3600</f>
        <v>15.2965</v>
      </c>
      <c r="P8953" s="8" t="s">
        <v>38986</v>
      </c>
      <c r="Q8953" s="8">
        <f>+(7+13/60+7/3600)</f>
        <v>7.2186111111111115</v>
      </c>
      <c r="R8953" s="8">
        <v>14.2</v>
      </c>
      <c r="S8953" s="8">
        <v>15</v>
      </c>
      <c r="T8953" s="8">
        <v>0.8</v>
      </c>
      <c r="U8953" s="8">
        <v>13.7</v>
      </c>
      <c r="V8953" s="8">
        <v>1</v>
      </c>
      <c r="W8953" s="8">
        <v>0.7</v>
      </c>
      <c r="X8953" s="8">
        <v>150</v>
      </c>
      <c r="Y8953" s="8" t="s">
        <v>215</v>
      </c>
      <c r="Z8953" s="8" t="s">
        <v>216</v>
      </c>
    </row>
    <row r="8954" spans="1:26" x14ac:dyDescent="0.2">
      <c r="A8954" s="8">
        <v>8953</v>
      </c>
      <c r="B8954" s="8" t="s">
        <v>38987</v>
      </c>
      <c r="C8954" s="8" t="s">
        <v>38987</v>
      </c>
      <c r="G8954" s="8">
        <v>20</v>
      </c>
      <c r="H8954" s="8" t="s">
        <v>21</v>
      </c>
      <c r="I8954" s="8" t="s">
        <v>22</v>
      </c>
      <c r="J8954" s="8" t="s">
        <v>22</v>
      </c>
      <c r="K8954" s="8" t="s">
        <v>476</v>
      </c>
      <c r="L8954" s="8" t="s">
        <v>26227</v>
      </c>
      <c r="M8954" s="8" t="s">
        <v>26228</v>
      </c>
      <c r="N8954" s="8" t="s">
        <v>38988</v>
      </c>
      <c r="O8954" s="8">
        <f>15+18/60+15.1/3600</f>
        <v>15.304194444444445</v>
      </c>
      <c r="P8954" s="8" t="s">
        <v>38989</v>
      </c>
      <c r="Q8954" s="8">
        <f>+(12+29/60+19/3600)</f>
        <v>12.48861111111111</v>
      </c>
      <c r="R8954" s="8">
        <v>14.4</v>
      </c>
      <c r="S8954" s="8">
        <v>15.3</v>
      </c>
      <c r="T8954" s="8">
        <v>0.9</v>
      </c>
      <c r="U8954" s="8">
        <v>13.3</v>
      </c>
      <c r="V8954" s="8">
        <v>0.7</v>
      </c>
      <c r="W8954" s="8">
        <v>0.6</v>
      </c>
      <c r="X8954" s="8">
        <v>123</v>
      </c>
      <c r="Y8954" s="8" t="s">
        <v>38990</v>
      </c>
      <c r="Z8954" s="8" t="s">
        <v>38991</v>
      </c>
    </row>
    <row r="8955" spans="1:26" x14ac:dyDescent="0.2">
      <c r="A8955" s="8">
        <v>8954</v>
      </c>
      <c r="B8955" s="8" t="s">
        <v>38992</v>
      </c>
      <c r="C8955" s="8" t="s">
        <v>38992</v>
      </c>
      <c r="G8955" s="8">
        <v>20</v>
      </c>
      <c r="H8955" s="8" t="s">
        <v>21</v>
      </c>
      <c r="I8955" s="8" t="s">
        <v>72</v>
      </c>
      <c r="J8955" s="8" t="s">
        <v>72</v>
      </c>
      <c r="K8955" s="8" t="s">
        <v>20</v>
      </c>
      <c r="L8955" s="8" t="s">
        <v>14586</v>
      </c>
      <c r="M8955" s="8" t="s">
        <v>14587</v>
      </c>
      <c r="N8955" s="8" t="s">
        <v>38993</v>
      </c>
      <c r="O8955" s="8">
        <f>15+11/60+16/3600</f>
        <v>15.187777777777779</v>
      </c>
      <c r="P8955" s="8" t="s">
        <v>38994</v>
      </c>
      <c r="Q8955" s="8">
        <f>+(75+28/60+30/3600)</f>
        <v>75.475000000000009</v>
      </c>
      <c r="R8955" s="8">
        <v>99</v>
      </c>
      <c r="S8955" s="8">
        <v>99</v>
      </c>
      <c r="T8955" s="8">
        <v>99</v>
      </c>
      <c r="U8955" s="8">
        <v>99</v>
      </c>
      <c r="Y8955" s="8" t="s">
        <v>21</v>
      </c>
      <c r="Z8955" s="8" t="s">
        <v>38995</v>
      </c>
    </row>
    <row r="8956" spans="1:26" x14ac:dyDescent="0.2">
      <c r="A8956" s="8">
        <v>8955</v>
      </c>
      <c r="B8956" s="8" t="s">
        <v>38996</v>
      </c>
      <c r="C8956" s="8" t="s">
        <v>38996</v>
      </c>
      <c r="G8956" s="8">
        <v>20</v>
      </c>
      <c r="H8956" s="8" t="s">
        <v>21</v>
      </c>
      <c r="I8956" s="8" t="s">
        <v>72</v>
      </c>
      <c r="J8956" s="8" t="s">
        <v>72</v>
      </c>
      <c r="K8956" s="8" t="s">
        <v>73</v>
      </c>
      <c r="L8956" s="8" t="s">
        <v>24948</v>
      </c>
      <c r="M8956" s="8" t="s">
        <v>24949</v>
      </c>
      <c r="N8956" s="8" t="s">
        <v>38997</v>
      </c>
      <c r="O8956" s="8">
        <f>15+22/60+19/3600</f>
        <v>15.371944444444445</v>
      </c>
      <c r="P8956" s="8" t="s">
        <v>38998</v>
      </c>
      <c r="Q8956" s="8">
        <f>-(4+28/60+28/3600)</f>
        <v>-4.4744444444444449</v>
      </c>
      <c r="R8956" s="8">
        <v>99</v>
      </c>
      <c r="S8956" s="8">
        <v>99</v>
      </c>
      <c r="T8956" s="8">
        <v>99</v>
      </c>
      <c r="U8956" s="8">
        <v>99</v>
      </c>
      <c r="Y8956" s="8" t="s">
        <v>38999</v>
      </c>
      <c r="Z8956" s="8" t="s">
        <v>39000</v>
      </c>
    </row>
    <row r="8957" spans="1:26" x14ac:dyDescent="0.2">
      <c r="A8957" s="8">
        <v>8956</v>
      </c>
      <c r="B8957" s="8" t="s">
        <v>39001</v>
      </c>
      <c r="C8957" s="8" t="s">
        <v>39001</v>
      </c>
      <c r="G8957" s="8">
        <v>20</v>
      </c>
      <c r="H8957" s="8" t="s">
        <v>21</v>
      </c>
      <c r="I8957" s="8" t="s">
        <v>22</v>
      </c>
      <c r="J8957" s="8" t="s">
        <v>22</v>
      </c>
      <c r="K8957" s="8" t="s">
        <v>58</v>
      </c>
      <c r="L8957" s="8" t="s">
        <v>26227</v>
      </c>
      <c r="M8957" s="8" t="s">
        <v>26228</v>
      </c>
      <c r="N8957" s="8" t="s">
        <v>39002</v>
      </c>
      <c r="O8957" s="8">
        <f>15+21/60+55.2/3600</f>
        <v>15.365333333333332</v>
      </c>
      <c r="P8957" s="8" t="s">
        <v>39003</v>
      </c>
      <c r="Q8957" s="8">
        <f>+(8+25/60+26/3600)</f>
        <v>8.4238888888888876</v>
      </c>
      <c r="R8957" s="8">
        <v>12.9</v>
      </c>
      <c r="S8957" s="8">
        <v>13.9</v>
      </c>
      <c r="T8957" s="8">
        <v>1</v>
      </c>
      <c r="U8957" s="8">
        <v>12.7</v>
      </c>
      <c r="V8957" s="8">
        <v>1.2</v>
      </c>
      <c r="W8957" s="8">
        <v>0.8</v>
      </c>
      <c r="X8957" s="8">
        <v>174</v>
      </c>
      <c r="Y8957" s="8" t="s">
        <v>7509</v>
      </c>
      <c r="Z8957" s="8" t="s">
        <v>3537</v>
      </c>
    </row>
    <row r="8958" spans="1:26" x14ac:dyDescent="0.2">
      <c r="A8958" s="8">
        <v>8957</v>
      </c>
      <c r="B8958" s="8" t="s">
        <v>39004</v>
      </c>
      <c r="C8958" s="8" t="s">
        <v>39004</v>
      </c>
      <c r="G8958" s="8">
        <v>20</v>
      </c>
      <c r="H8958" s="8" t="s">
        <v>21</v>
      </c>
      <c r="I8958" s="8" t="s">
        <v>22</v>
      </c>
      <c r="J8958" s="8" t="s">
        <v>22</v>
      </c>
      <c r="K8958" s="8" t="s">
        <v>449</v>
      </c>
      <c r="L8958" s="8" t="s">
        <v>26227</v>
      </c>
      <c r="M8958" s="8" t="s">
        <v>26228</v>
      </c>
      <c r="N8958" s="8" t="s">
        <v>39005</v>
      </c>
      <c r="O8958" s="8">
        <f>15+24/60+22.8/3600</f>
        <v>15.406333333333334</v>
      </c>
      <c r="P8958" s="8" t="s">
        <v>39006</v>
      </c>
      <c r="Q8958" s="8">
        <f>+(15+29/60+21/3600)</f>
        <v>15.489166666666666</v>
      </c>
      <c r="R8958" s="8">
        <v>14.8</v>
      </c>
      <c r="S8958" s="8">
        <v>15.6</v>
      </c>
      <c r="T8958" s="8">
        <v>0.8</v>
      </c>
      <c r="U8958" s="8">
        <v>12.2</v>
      </c>
      <c r="V8958" s="8">
        <v>0.5</v>
      </c>
      <c r="W8958" s="8">
        <v>0.2</v>
      </c>
      <c r="X8958" s="8">
        <v>130</v>
      </c>
      <c r="Y8958" s="8" t="s">
        <v>1212</v>
      </c>
      <c r="Z8958" s="8" t="s">
        <v>1213</v>
      </c>
    </row>
    <row r="8959" spans="1:26" x14ac:dyDescent="0.2">
      <c r="A8959" s="8">
        <v>8958</v>
      </c>
      <c r="B8959" s="8" t="s">
        <v>39007</v>
      </c>
      <c r="C8959" s="8" t="s">
        <v>39007</v>
      </c>
      <c r="G8959" s="8">
        <v>20</v>
      </c>
      <c r="H8959" s="8" t="s">
        <v>21</v>
      </c>
      <c r="I8959" s="8" t="s">
        <v>22</v>
      </c>
      <c r="J8959" s="8" t="s">
        <v>22</v>
      </c>
      <c r="K8959" s="8" t="s">
        <v>449</v>
      </c>
      <c r="L8959" s="8" t="s">
        <v>26227</v>
      </c>
      <c r="M8959" s="8" t="s">
        <v>26228</v>
      </c>
      <c r="N8959" s="8" t="s">
        <v>39008</v>
      </c>
      <c r="O8959" s="8">
        <f>15+24/60+59.4/3600</f>
        <v>15.416500000000001</v>
      </c>
      <c r="P8959" s="8" t="s">
        <v>39009</v>
      </c>
      <c r="Q8959" s="8">
        <f>+(13+26/60+44/3600)</f>
        <v>13.445555555555556</v>
      </c>
      <c r="R8959" s="8">
        <v>14.3</v>
      </c>
      <c r="S8959" s="8">
        <v>15.1</v>
      </c>
      <c r="T8959" s="8">
        <v>0.8</v>
      </c>
      <c r="U8959" s="8">
        <v>13.6</v>
      </c>
      <c r="V8959" s="8">
        <v>1</v>
      </c>
      <c r="W8959" s="8">
        <v>0.6</v>
      </c>
      <c r="X8959" s="8">
        <v>84</v>
      </c>
      <c r="Y8959" s="8" t="s">
        <v>39010</v>
      </c>
      <c r="Z8959" s="8" t="s">
        <v>39011</v>
      </c>
    </row>
    <row r="8960" spans="1:26" x14ac:dyDescent="0.2">
      <c r="A8960" s="8">
        <v>8959</v>
      </c>
      <c r="B8960" s="8" t="s">
        <v>39012</v>
      </c>
      <c r="C8960" s="8" t="s">
        <v>39012</v>
      </c>
      <c r="E8960" s="8">
        <v>1</v>
      </c>
      <c r="G8960" s="8">
        <v>20</v>
      </c>
      <c r="H8960" s="8" t="s">
        <v>21</v>
      </c>
      <c r="I8960" s="8" t="s">
        <v>22</v>
      </c>
      <c r="J8960" s="8" t="s">
        <v>22</v>
      </c>
      <c r="K8960" s="8" t="s">
        <v>476</v>
      </c>
      <c r="L8960" s="8" t="s">
        <v>26227</v>
      </c>
      <c r="M8960" s="8" t="s">
        <v>26228</v>
      </c>
      <c r="N8960" s="8" t="s">
        <v>39013</v>
      </c>
      <c r="O8960" s="8">
        <f>15+25/60+44.7/3600</f>
        <v>15.429083333333333</v>
      </c>
      <c r="P8960" s="8" t="s">
        <v>39014</v>
      </c>
      <c r="Q8960" s="8">
        <f>-(3+39/60+31/3600)</f>
        <v>-3.658611111111111</v>
      </c>
      <c r="R8960" s="8">
        <v>14.5</v>
      </c>
      <c r="S8960" s="8">
        <v>15.3</v>
      </c>
      <c r="T8960" s="8">
        <v>0.8</v>
      </c>
      <c r="U8960" s="8">
        <v>12.8</v>
      </c>
      <c r="V8960" s="8">
        <v>0.6</v>
      </c>
      <c r="W8960" s="8">
        <v>0.4</v>
      </c>
      <c r="X8960" s="8">
        <v>140</v>
      </c>
      <c r="Y8960" s="8" t="s">
        <v>21</v>
      </c>
      <c r="Z8960" s="8" t="s">
        <v>39015</v>
      </c>
    </row>
    <row r="8961" spans="1:26" x14ac:dyDescent="0.2">
      <c r="A8961" s="8">
        <v>8960</v>
      </c>
      <c r="B8961" s="8" t="s">
        <v>39016</v>
      </c>
      <c r="C8961" s="8" t="s">
        <v>39016</v>
      </c>
      <c r="E8961" s="8">
        <v>2</v>
      </c>
      <c r="G8961" s="8">
        <v>20</v>
      </c>
      <c r="H8961" s="8" t="s">
        <v>21</v>
      </c>
      <c r="I8961" s="8" t="s">
        <v>22</v>
      </c>
      <c r="J8961" s="8" t="s">
        <v>22</v>
      </c>
      <c r="K8961" s="8" t="s">
        <v>424</v>
      </c>
      <c r="L8961" s="8" t="s">
        <v>26227</v>
      </c>
      <c r="M8961" s="8" t="s">
        <v>26228</v>
      </c>
      <c r="N8961" s="8" t="s">
        <v>39017</v>
      </c>
      <c r="O8961" s="8">
        <f>15+26/60+11.4/3600</f>
        <v>15.436500000000001</v>
      </c>
      <c r="P8961" s="8" t="s">
        <v>39018</v>
      </c>
      <c r="Q8961" s="8">
        <f>+(18+52/60+30/3600)</f>
        <v>18.875</v>
      </c>
      <c r="R8961" s="8">
        <v>15</v>
      </c>
      <c r="S8961" s="8">
        <v>16</v>
      </c>
      <c r="T8961" s="8">
        <v>1</v>
      </c>
      <c r="U8961" s="8">
        <v>12.2</v>
      </c>
      <c r="V8961" s="8">
        <v>0.3</v>
      </c>
      <c r="W8961" s="8">
        <v>0.3</v>
      </c>
      <c r="Y8961" s="8" t="s">
        <v>39019</v>
      </c>
      <c r="Z8961" s="8" t="s">
        <v>39020</v>
      </c>
    </row>
    <row r="8962" spans="1:26" x14ac:dyDescent="0.2">
      <c r="A8962" s="8">
        <v>8961</v>
      </c>
      <c r="B8962" s="8" t="s">
        <v>39021</v>
      </c>
      <c r="C8962" s="8" t="s">
        <v>39021</v>
      </c>
      <c r="G8962" s="8">
        <v>20</v>
      </c>
      <c r="H8962" s="8" t="s">
        <v>21</v>
      </c>
      <c r="I8962" s="8" t="s">
        <v>22</v>
      </c>
      <c r="J8962" s="8" t="s">
        <v>22</v>
      </c>
      <c r="K8962" s="8" t="s">
        <v>424</v>
      </c>
      <c r="L8962" s="8" t="s">
        <v>26227</v>
      </c>
      <c r="M8962" s="8" t="s">
        <v>26228</v>
      </c>
      <c r="N8962" s="8" t="s">
        <v>39022</v>
      </c>
      <c r="O8962" s="8">
        <f>15+27/60+44/3600</f>
        <v>15.462222222222222</v>
      </c>
      <c r="P8962" s="8" t="s">
        <v>39023</v>
      </c>
      <c r="Q8962" s="8">
        <f>+(6+48/60+16/3600)</f>
        <v>6.8044444444444441</v>
      </c>
      <c r="R8962" s="8">
        <v>14.3</v>
      </c>
      <c r="S8962" s="8">
        <v>15.3</v>
      </c>
      <c r="T8962" s="8">
        <v>1</v>
      </c>
      <c r="U8962" s="8">
        <v>12.2</v>
      </c>
      <c r="V8962" s="8">
        <v>0.4</v>
      </c>
      <c r="W8962" s="8">
        <v>0.4</v>
      </c>
      <c r="Y8962" s="8" t="s">
        <v>39024</v>
      </c>
      <c r="Z8962" s="8" t="s">
        <v>39025</v>
      </c>
    </row>
    <row r="8963" spans="1:26" x14ac:dyDescent="0.2">
      <c r="A8963" s="8">
        <v>8962</v>
      </c>
      <c r="B8963" s="8" t="s">
        <v>39026</v>
      </c>
      <c r="C8963" s="8" t="s">
        <v>39026</v>
      </c>
      <c r="G8963" s="8">
        <v>20</v>
      </c>
      <c r="H8963" s="8" t="s">
        <v>21</v>
      </c>
      <c r="I8963" s="8" t="s">
        <v>22</v>
      </c>
      <c r="J8963" s="8" t="s">
        <v>22</v>
      </c>
      <c r="K8963" s="8" t="s">
        <v>50</v>
      </c>
      <c r="L8963" s="8" t="s">
        <v>26227</v>
      </c>
      <c r="M8963" s="8" t="s">
        <v>26228</v>
      </c>
      <c r="N8963" s="8" t="s">
        <v>39027</v>
      </c>
      <c r="O8963" s="8">
        <f>15+29/60+23/3600</f>
        <v>15.489722222222222</v>
      </c>
      <c r="P8963" s="8" t="s">
        <v>39028</v>
      </c>
      <c r="Q8963" s="8">
        <f>+(7+37/60+3/3600)</f>
        <v>7.6175000000000006</v>
      </c>
      <c r="R8963" s="8">
        <v>14.8</v>
      </c>
      <c r="S8963" s="8">
        <v>15.8</v>
      </c>
      <c r="T8963" s="8">
        <v>1</v>
      </c>
      <c r="U8963" s="8">
        <v>12.8</v>
      </c>
      <c r="V8963" s="8">
        <v>0.5</v>
      </c>
      <c r="W8963" s="8">
        <v>0.3</v>
      </c>
      <c r="X8963" s="8">
        <v>70</v>
      </c>
      <c r="Y8963" s="8" t="s">
        <v>39029</v>
      </c>
      <c r="Z8963" s="8" t="s">
        <v>39030</v>
      </c>
    </row>
    <row r="8964" spans="1:26" x14ac:dyDescent="0.2">
      <c r="A8964" s="8">
        <v>8963</v>
      </c>
      <c r="B8964" s="8" t="s">
        <v>39031</v>
      </c>
      <c r="C8964" s="8" t="s">
        <v>39031</v>
      </c>
      <c r="G8964" s="8">
        <v>20</v>
      </c>
      <c r="H8964" s="8" t="s">
        <v>21</v>
      </c>
      <c r="I8964" s="8" t="s">
        <v>72</v>
      </c>
      <c r="J8964" s="8" t="s">
        <v>72</v>
      </c>
      <c r="K8964" s="8" t="s">
        <v>20</v>
      </c>
      <c r="L8964" s="8" t="s">
        <v>22476</v>
      </c>
      <c r="M8964" s="8" t="s">
        <v>22477</v>
      </c>
      <c r="N8964" s="8" t="s">
        <v>39032</v>
      </c>
      <c r="O8964" s="8">
        <f>15+28/60+54.1/3600</f>
        <v>15.481694444444445</v>
      </c>
      <c r="P8964" s="8" t="s">
        <v>39033</v>
      </c>
      <c r="Q8964" s="8">
        <f>+(42+53/60+55/3600)</f>
        <v>42.898611111111109</v>
      </c>
      <c r="R8964" s="8">
        <v>99</v>
      </c>
      <c r="S8964" s="8">
        <v>14.4</v>
      </c>
      <c r="T8964" s="8">
        <v>99</v>
      </c>
      <c r="U8964" s="8">
        <v>99</v>
      </c>
      <c r="Y8964" s="8" t="s">
        <v>4787</v>
      </c>
      <c r="Z8964" s="8" t="s">
        <v>2313</v>
      </c>
    </row>
    <row r="8965" spans="1:26" x14ac:dyDescent="0.2">
      <c r="A8965" s="8">
        <v>8964</v>
      </c>
      <c r="B8965" s="8" t="s">
        <v>39034</v>
      </c>
      <c r="C8965" s="8" t="s">
        <v>39034</v>
      </c>
      <c r="G8965" s="8">
        <v>20</v>
      </c>
      <c r="H8965" s="8" t="s">
        <v>21</v>
      </c>
      <c r="I8965" s="8" t="s">
        <v>22</v>
      </c>
      <c r="J8965" s="8" t="s">
        <v>22</v>
      </c>
      <c r="K8965" s="8" t="s">
        <v>396</v>
      </c>
      <c r="L8965" s="8" t="s">
        <v>26227</v>
      </c>
      <c r="M8965" s="8" t="s">
        <v>26228</v>
      </c>
      <c r="N8965" s="8" t="s">
        <v>39035</v>
      </c>
      <c r="O8965" s="8">
        <f>15+30/60+0.9/3600</f>
        <v>15.500249999999999</v>
      </c>
      <c r="P8965" s="8" t="s">
        <v>39036</v>
      </c>
      <c r="Q8965" s="8">
        <f>+(23+38/60+18/3600)</f>
        <v>23.638333333333332</v>
      </c>
      <c r="R8965" s="8">
        <v>14</v>
      </c>
      <c r="S8965" s="8">
        <v>14.8</v>
      </c>
      <c r="T8965" s="8">
        <v>0.8</v>
      </c>
      <c r="U8965" s="8">
        <v>12.9</v>
      </c>
      <c r="V8965" s="8">
        <v>0.8</v>
      </c>
      <c r="W8965" s="8">
        <v>0.4</v>
      </c>
      <c r="X8965" s="8">
        <v>74</v>
      </c>
      <c r="Y8965" s="8" t="s">
        <v>39037</v>
      </c>
      <c r="Z8965" s="8" t="s">
        <v>39038</v>
      </c>
    </row>
    <row r="8966" spans="1:26" x14ac:dyDescent="0.2">
      <c r="A8966" s="8">
        <v>8965</v>
      </c>
      <c r="B8966" s="8" t="s">
        <v>39039</v>
      </c>
      <c r="C8966" s="8" t="s">
        <v>39039</v>
      </c>
      <c r="G8966" s="8">
        <v>20</v>
      </c>
      <c r="H8966" s="8" t="s">
        <v>21</v>
      </c>
      <c r="I8966" s="8" t="s">
        <v>22</v>
      </c>
      <c r="J8966" s="8" t="s">
        <v>22</v>
      </c>
      <c r="K8966" s="8" t="s">
        <v>773</v>
      </c>
      <c r="L8966" s="8" t="s">
        <v>26227</v>
      </c>
      <c r="M8966" s="8" t="s">
        <v>26228</v>
      </c>
      <c r="N8966" s="8" t="s">
        <v>39040</v>
      </c>
      <c r="O8966" s="8">
        <f>15+33/60+5.7/3600</f>
        <v>15.551583333333333</v>
      </c>
      <c r="P8966" s="8" t="s">
        <v>39041</v>
      </c>
      <c r="Q8966" s="8">
        <f>-(1+37/60+42/3600)</f>
        <v>-1.6283333333333334</v>
      </c>
      <c r="R8966" s="8">
        <v>13.3</v>
      </c>
      <c r="S8966" s="8">
        <v>13.9</v>
      </c>
      <c r="T8966" s="8">
        <v>0.6</v>
      </c>
      <c r="U8966" s="8">
        <v>13.7</v>
      </c>
      <c r="V8966" s="8">
        <v>1.7</v>
      </c>
      <c r="W8966" s="8">
        <v>1</v>
      </c>
      <c r="X8966" s="8">
        <v>147</v>
      </c>
      <c r="Y8966" s="8" t="s">
        <v>35174</v>
      </c>
      <c r="Z8966" s="8" t="s">
        <v>35175</v>
      </c>
    </row>
    <row r="8967" spans="1:26" x14ac:dyDescent="0.2">
      <c r="A8967" s="8">
        <v>8966</v>
      </c>
      <c r="B8967" s="8" t="s">
        <v>39042</v>
      </c>
      <c r="C8967" s="8" t="s">
        <v>39042</v>
      </c>
      <c r="G8967" s="8">
        <v>20</v>
      </c>
      <c r="H8967" s="8" t="s">
        <v>21</v>
      </c>
      <c r="I8967" s="8" t="s">
        <v>72</v>
      </c>
      <c r="J8967" s="8" t="s">
        <v>72</v>
      </c>
      <c r="K8967" s="8" t="s">
        <v>20</v>
      </c>
      <c r="L8967" s="8" t="s">
        <v>26227</v>
      </c>
      <c r="M8967" s="8" t="s">
        <v>26228</v>
      </c>
      <c r="N8967" s="8" t="s">
        <v>39043</v>
      </c>
      <c r="O8967" s="8">
        <f>15+35/60+0.8/3600</f>
        <v>15.583555555555556</v>
      </c>
      <c r="P8967" s="8" t="s">
        <v>39044</v>
      </c>
      <c r="Q8967" s="8">
        <f>+(4+59/60+26/3600)</f>
        <v>4.9905555555555559</v>
      </c>
      <c r="R8967" s="8">
        <v>99</v>
      </c>
      <c r="S8967" s="8">
        <v>14.2</v>
      </c>
      <c r="T8967" s="8">
        <v>99</v>
      </c>
      <c r="U8967" s="8">
        <v>99</v>
      </c>
      <c r="Y8967" s="8" t="s">
        <v>39045</v>
      </c>
      <c r="Z8967" s="8" t="s">
        <v>39046</v>
      </c>
    </row>
    <row r="8968" spans="1:26" x14ac:dyDescent="0.2">
      <c r="A8968" s="8">
        <v>8967</v>
      </c>
      <c r="B8968" s="8" t="s">
        <v>39047</v>
      </c>
      <c r="C8968" s="8" t="s">
        <v>39047</v>
      </c>
      <c r="G8968" s="8">
        <v>20</v>
      </c>
      <c r="H8968" s="8" t="s">
        <v>21</v>
      </c>
      <c r="I8968" s="8" t="s">
        <v>22</v>
      </c>
      <c r="J8968" s="8" t="s">
        <v>22</v>
      </c>
      <c r="K8968" s="8" t="s">
        <v>3523</v>
      </c>
      <c r="L8968" s="8" t="s">
        <v>26227</v>
      </c>
      <c r="M8968" s="8" t="s">
        <v>26228</v>
      </c>
      <c r="N8968" s="8" t="s">
        <v>39048</v>
      </c>
      <c r="O8968" s="8">
        <f>15+34/60+57.2/3600</f>
        <v>15.582555555555555</v>
      </c>
      <c r="P8968" s="8" t="s">
        <v>39049</v>
      </c>
      <c r="Q8968" s="8">
        <f>+(23+30/60+9/3600)</f>
        <v>23.502500000000001</v>
      </c>
      <c r="R8968" s="8">
        <v>13.2</v>
      </c>
      <c r="S8968" s="8">
        <v>13.9</v>
      </c>
      <c r="T8968" s="8">
        <v>0.7</v>
      </c>
      <c r="U8968" s="8">
        <v>13.7</v>
      </c>
      <c r="V8968" s="8">
        <v>1.8</v>
      </c>
      <c r="W8968" s="8">
        <v>1.7</v>
      </c>
      <c r="X8968" s="8">
        <v>144</v>
      </c>
      <c r="Y8968" s="8" t="s">
        <v>1088</v>
      </c>
      <c r="Z8968" s="8" t="s">
        <v>1089</v>
      </c>
    </row>
    <row r="8969" spans="1:26" x14ac:dyDescent="0.2">
      <c r="A8969" s="8">
        <v>8968</v>
      </c>
      <c r="B8969" s="8" t="s">
        <v>39050</v>
      </c>
      <c r="C8969" s="8" t="s">
        <v>39050</v>
      </c>
      <c r="G8969" s="8">
        <v>20</v>
      </c>
      <c r="H8969" s="8" t="s">
        <v>21</v>
      </c>
      <c r="I8969" s="8" t="s">
        <v>22</v>
      </c>
      <c r="J8969" s="8" t="s">
        <v>22</v>
      </c>
      <c r="K8969" s="8" t="s">
        <v>37</v>
      </c>
      <c r="L8969" s="8" t="s">
        <v>26227</v>
      </c>
      <c r="M8969" s="8" t="s">
        <v>26228</v>
      </c>
      <c r="N8969" s="8" t="s">
        <v>39051</v>
      </c>
      <c r="O8969" s="8">
        <f>15+37/60+52.8/3600</f>
        <v>15.631333333333334</v>
      </c>
      <c r="P8969" s="8" t="s">
        <v>39052</v>
      </c>
      <c r="Q8969" s="8">
        <f>-(1+44/60+5/3600)</f>
        <v>-1.7347222222222223</v>
      </c>
      <c r="R8969" s="8">
        <v>13.6</v>
      </c>
      <c r="S8969" s="8">
        <v>14.6</v>
      </c>
      <c r="T8969" s="8">
        <v>1</v>
      </c>
      <c r="U8969" s="8">
        <v>13.5</v>
      </c>
      <c r="V8969" s="8">
        <v>1.1000000000000001</v>
      </c>
      <c r="W8969" s="8">
        <v>0.9</v>
      </c>
      <c r="X8969" s="8">
        <v>0</v>
      </c>
      <c r="Y8969" s="8" t="s">
        <v>803</v>
      </c>
      <c r="Z8969" s="8" t="s">
        <v>804</v>
      </c>
    </row>
    <row r="8970" spans="1:26" x14ac:dyDescent="0.2">
      <c r="A8970" s="8">
        <v>8969</v>
      </c>
      <c r="B8970" s="8" t="s">
        <v>39053</v>
      </c>
      <c r="C8970" s="8" t="s">
        <v>39053</v>
      </c>
      <c r="G8970" s="8">
        <v>20</v>
      </c>
      <c r="H8970" s="8" t="s">
        <v>21</v>
      </c>
      <c r="I8970" s="8" t="s">
        <v>22</v>
      </c>
      <c r="J8970" s="8" t="s">
        <v>22</v>
      </c>
      <c r="K8970" s="8" t="s">
        <v>160</v>
      </c>
      <c r="L8970" s="8" t="s">
        <v>14586</v>
      </c>
      <c r="M8970" s="8" t="s">
        <v>14587</v>
      </c>
      <c r="N8970" s="8" t="s">
        <v>39054</v>
      </c>
      <c r="O8970" s="8">
        <f>15+32/60+0.8/3600</f>
        <v>15.533555555555555</v>
      </c>
      <c r="P8970" s="8" t="s">
        <v>39055</v>
      </c>
      <c r="Q8970" s="8">
        <f>+(68+14/60+48/3600)</f>
        <v>68.24666666666667</v>
      </c>
      <c r="R8970" s="8">
        <v>13.1</v>
      </c>
      <c r="S8970" s="8">
        <v>13.8</v>
      </c>
      <c r="T8970" s="8">
        <v>0.7</v>
      </c>
      <c r="U8970" s="8">
        <v>12.9</v>
      </c>
      <c r="V8970" s="8">
        <v>1.1000000000000001</v>
      </c>
      <c r="W8970" s="8">
        <v>0.9</v>
      </c>
      <c r="X8970" s="8">
        <v>170</v>
      </c>
      <c r="Y8970" s="8" t="s">
        <v>39056</v>
      </c>
      <c r="Z8970" s="8" t="s">
        <v>39057</v>
      </c>
    </row>
    <row r="8971" spans="1:26" x14ac:dyDescent="0.2">
      <c r="A8971" s="8">
        <v>8970</v>
      </c>
      <c r="B8971" s="8" t="s">
        <v>39058</v>
      </c>
      <c r="C8971" s="8" t="s">
        <v>39058</v>
      </c>
      <c r="G8971" s="8">
        <v>20</v>
      </c>
      <c r="H8971" s="8" t="s">
        <v>21</v>
      </c>
      <c r="I8971" s="8" t="s">
        <v>22</v>
      </c>
      <c r="J8971" s="8" t="s">
        <v>22</v>
      </c>
      <c r="K8971" s="8" t="s">
        <v>160</v>
      </c>
      <c r="L8971" s="8" t="s">
        <v>26227</v>
      </c>
      <c r="M8971" s="8" t="s">
        <v>26228</v>
      </c>
      <c r="N8971" s="8" t="s">
        <v>39059</v>
      </c>
      <c r="O8971" s="8">
        <f>15+37/60+44/3600</f>
        <v>15.628888888888889</v>
      </c>
      <c r="P8971" s="8" t="s">
        <v>39060</v>
      </c>
      <c r="Q8971" s="8">
        <f>+(17+14/60+40/3600)</f>
        <v>17.244444444444447</v>
      </c>
      <c r="R8971" s="8">
        <v>14.8</v>
      </c>
      <c r="S8971" s="8">
        <v>15.5</v>
      </c>
      <c r="T8971" s="8">
        <v>0.7</v>
      </c>
      <c r="U8971" s="8">
        <v>13.3</v>
      </c>
      <c r="V8971" s="8">
        <v>0.7</v>
      </c>
      <c r="W8971" s="8">
        <v>0.4</v>
      </c>
      <c r="X8971" s="8">
        <v>20</v>
      </c>
      <c r="Y8971" s="8" t="s">
        <v>21</v>
      </c>
      <c r="Z8971" s="8" t="s">
        <v>39061</v>
      </c>
    </row>
    <row r="8972" spans="1:26" x14ac:dyDescent="0.2">
      <c r="A8972" s="8">
        <v>8971</v>
      </c>
      <c r="B8972" s="8" t="s">
        <v>39062</v>
      </c>
      <c r="C8972" s="8" t="s">
        <v>39062</v>
      </c>
      <c r="G8972" s="8">
        <v>20</v>
      </c>
      <c r="H8972" s="8" t="s">
        <v>21</v>
      </c>
      <c r="I8972" s="8" t="s">
        <v>22</v>
      </c>
      <c r="J8972" s="8" t="s">
        <v>22</v>
      </c>
      <c r="K8972" s="8" t="s">
        <v>183</v>
      </c>
      <c r="L8972" s="8" t="s">
        <v>26227</v>
      </c>
      <c r="M8972" s="8" t="s">
        <v>26228</v>
      </c>
      <c r="N8972" s="8" t="s">
        <v>39063</v>
      </c>
      <c r="O8972" s="8">
        <f>15+38/60+51.6/3600</f>
        <v>15.647666666666666</v>
      </c>
      <c r="P8972" s="8" t="s">
        <v>39064</v>
      </c>
      <c r="Q8972" s="8">
        <f>+(12+4/60+52/3600)</f>
        <v>12.081111111111111</v>
      </c>
      <c r="R8972" s="8">
        <v>13.8</v>
      </c>
      <c r="S8972" s="8">
        <v>14.8</v>
      </c>
      <c r="T8972" s="8">
        <v>1</v>
      </c>
      <c r="U8972" s="8">
        <v>12.7</v>
      </c>
      <c r="V8972" s="8">
        <v>0.7</v>
      </c>
      <c r="W8972" s="8">
        <v>0.5</v>
      </c>
      <c r="X8972" s="8">
        <v>153</v>
      </c>
      <c r="Y8972" s="8" t="s">
        <v>21</v>
      </c>
      <c r="Z8972" s="8" t="s">
        <v>39065</v>
      </c>
    </row>
    <row r="8973" spans="1:26" x14ac:dyDescent="0.2">
      <c r="A8973" s="8">
        <v>8972</v>
      </c>
      <c r="B8973" s="8" t="s">
        <v>39066</v>
      </c>
      <c r="C8973" s="8" t="s">
        <v>39066</v>
      </c>
      <c r="G8973" s="8">
        <v>20</v>
      </c>
      <c r="H8973" s="8" t="s">
        <v>21</v>
      </c>
      <c r="I8973" s="8" t="s">
        <v>22</v>
      </c>
      <c r="J8973" s="8" t="s">
        <v>22</v>
      </c>
      <c r="K8973" s="8" t="s">
        <v>160</v>
      </c>
      <c r="L8973" s="8" t="s">
        <v>26227</v>
      </c>
      <c r="M8973" s="8" t="s">
        <v>26228</v>
      </c>
      <c r="N8973" s="8" t="s">
        <v>39067</v>
      </c>
      <c r="O8973" s="8">
        <f>15+40/60+6.7/3600</f>
        <v>15.668527777777777</v>
      </c>
      <c r="P8973" s="8" t="s">
        <v>39068</v>
      </c>
      <c r="Q8973" s="8">
        <f>+(20+40/60+49/3600)</f>
        <v>20.680277777777778</v>
      </c>
      <c r="R8973" s="8">
        <v>13.4</v>
      </c>
      <c r="S8973" s="8">
        <v>14.1</v>
      </c>
      <c r="T8973" s="8">
        <v>0.7</v>
      </c>
      <c r="U8973" s="8">
        <v>13.5</v>
      </c>
      <c r="V8973" s="8">
        <v>1.2</v>
      </c>
      <c r="W8973" s="8">
        <v>1</v>
      </c>
      <c r="X8973" s="8">
        <v>36</v>
      </c>
      <c r="Y8973" s="8" t="s">
        <v>1694</v>
      </c>
      <c r="Z8973" s="8" t="s">
        <v>38252</v>
      </c>
    </row>
    <row r="8974" spans="1:26" x14ac:dyDescent="0.2">
      <c r="A8974" s="8">
        <v>8973</v>
      </c>
      <c r="B8974" s="8" t="s">
        <v>39069</v>
      </c>
      <c r="C8974" s="8" t="s">
        <v>39069</v>
      </c>
      <c r="G8974" s="8">
        <v>20</v>
      </c>
      <c r="H8974" s="8" t="s">
        <v>21</v>
      </c>
      <c r="I8974" s="8" t="s">
        <v>22</v>
      </c>
      <c r="J8974" s="8" t="s">
        <v>22</v>
      </c>
      <c r="K8974" s="8" t="s">
        <v>160</v>
      </c>
      <c r="L8974" s="8" t="s">
        <v>26227</v>
      </c>
      <c r="M8974" s="8" t="s">
        <v>26228</v>
      </c>
      <c r="N8974" s="8" t="s">
        <v>39070</v>
      </c>
      <c r="O8974" s="8">
        <f>15+41/60+12/3600</f>
        <v>15.686666666666667</v>
      </c>
      <c r="P8974" s="8" t="s">
        <v>39071</v>
      </c>
      <c r="Q8974" s="8">
        <f>+(15+34/60+24/3600)</f>
        <v>15.573333333333332</v>
      </c>
      <c r="R8974" s="8">
        <v>14.1</v>
      </c>
      <c r="S8974" s="8">
        <v>14.8</v>
      </c>
      <c r="T8974" s="8">
        <v>0.7</v>
      </c>
      <c r="U8974" s="8">
        <v>13.2</v>
      </c>
      <c r="V8974" s="8">
        <v>1.2</v>
      </c>
      <c r="W8974" s="8">
        <v>0.4</v>
      </c>
      <c r="X8974" s="8">
        <v>130</v>
      </c>
      <c r="Y8974" s="8" t="s">
        <v>19376</v>
      </c>
      <c r="Z8974" s="8" t="s">
        <v>19377</v>
      </c>
    </row>
    <row r="8975" spans="1:26" x14ac:dyDescent="0.2">
      <c r="A8975" s="8">
        <v>8974</v>
      </c>
      <c r="B8975" s="8" t="s">
        <v>39072</v>
      </c>
      <c r="C8975" s="8" t="s">
        <v>39072</v>
      </c>
      <c r="E8975" s="8">
        <v>1</v>
      </c>
      <c r="G8975" s="8">
        <v>20</v>
      </c>
      <c r="H8975" s="8" t="s">
        <v>21</v>
      </c>
      <c r="I8975" s="8" t="s">
        <v>22</v>
      </c>
      <c r="J8975" s="8" t="s">
        <v>22</v>
      </c>
      <c r="K8975" s="8" t="s">
        <v>58</v>
      </c>
      <c r="L8975" s="8" t="s">
        <v>26227</v>
      </c>
      <c r="M8975" s="8" t="s">
        <v>26228</v>
      </c>
      <c r="N8975" s="8" t="s">
        <v>39073</v>
      </c>
      <c r="O8975" s="8">
        <f>15+44/60+58.4/3600</f>
        <v>15.749555555555554</v>
      </c>
      <c r="P8975" s="8" t="s">
        <v>39074</v>
      </c>
      <c r="Q8975" s="8">
        <f>+(16+57/60+46/3600)</f>
        <v>16.962777777777777</v>
      </c>
      <c r="R8975" s="8">
        <v>13.9</v>
      </c>
      <c r="S8975" s="8">
        <v>14.9</v>
      </c>
      <c r="T8975" s="8">
        <v>1</v>
      </c>
      <c r="U8975" s="8">
        <v>12.4</v>
      </c>
      <c r="V8975" s="8">
        <v>0.6</v>
      </c>
      <c r="W8975" s="8">
        <v>0.4</v>
      </c>
      <c r="X8975" s="8">
        <v>0</v>
      </c>
      <c r="Y8975" s="8" t="s">
        <v>35151</v>
      </c>
      <c r="Z8975" s="8" t="s">
        <v>35152</v>
      </c>
    </row>
    <row r="8976" spans="1:26" x14ac:dyDescent="0.2">
      <c r="A8976" s="8">
        <v>8975</v>
      </c>
      <c r="B8976" s="8" t="s">
        <v>39075</v>
      </c>
      <c r="C8976" s="8" t="s">
        <v>39075</v>
      </c>
      <c r="G8976" s="8">
        <v>20</v>
      </c>
      <c r="H8976" s="8" t="s">
        <v>21</v>
      </c>
      <c r="I8976" s="8" t="s">
        <v>22</v>
      </c>
      <c r="J8976" s="8" t="s">
        <v>22</v>
      </c>
      <c r="K8976" s="8" t="s">
        <v>476</v>
      </c>
      <c r="L8976" s="8" t="s">
        <v>26227</v>
      </c>
      <c r="M8976" s="8" t="s">
        <v>26228</v>
      </c>
      <c r="N8976" s="8" t="s">
        <v>39076</v>
      </c>
      <c r="O8976" s="8">
        <f>15+45/60+34.7/3600</f>
        <v>15.759638888888889</v>
      </c>
      <c r="P8976" s="8" t="s">
        <v>39077</v>
      </c>
      <c r="Q8976" s="8">
        <f>+(17+42/60+0/3600)</f>
        <v>17.7</v>
      </c>
      <c r="R8976" s="8">
        <v>14.7</v>
      </c>
      <c r="S8976" s="8">
        <v>15.6</v>
      </c>
      <c r="T8976" s="8">
        <v>0.9</v>
      </c>
      <c r="U8976" s="8">
        <v>12.4</v>
      </c>
      <c r="V8976" s="8">
        <v>0.7</v>
      </c>
      <c r="W8976" s="8">
        <v>0.2</v>
      </c>
      <c r="X8976" s="8">
        <v>66</v>
      </c>
      <c r="Y8976" s="8" t="s">
        <v>421</v>
      </c>
      <c r="Z8976" s="8" t="s">
        <v>422</v>
      </c>
    </row>
    <row r="8977" spans="1:26" x14ac:dyDescent="0.2">
      <c r="A8977" s="8">
        <v>8976</v>
      </c>
      <c r="B8977" s="8" t="s">
        <v>39078</v>
      </c>
      <c r="C8977" s="8" t="s">
        <v>39078</v>
      </c>
      <c r="G8977" s="8">
        <v>20</v>
      </c>
      <c r="H8977" s="8" t="s">
        <v>21</v>
      </c>
      <c r="I8977" s="8" t="s">
        <v>22</v>
      </c>
      <c r="J8977" s="8" t="s">
        <v>22</v>
      </c>
      <c r="K8977" s="8" t="s">
        <v>424</v>
      </c>
      <c r="L8977" s="8" t="s">
        <v>26227</v>
      </c>
      <c r="M8977" s="8" t="s">
        <v>26228</v>
      </c>
      <c r="N8977" s="8" t="s">
        <v>39079</v>
      </c>
      <c r="O8977" s="8">
        <f>15+47/60+34.3/3600</f>
        <v>15.792861111111112</v>
      </c>
      <c r="P8977" s="8" t="s">
        <v>32758</v>
      </c>
      <c r="Q8977" s="8">
        <f>-(1+32/60+41/3600)</f>
        <v>-1.5447222222222221</v>
      </c>
      <c r="R8977" s="8">
        <v>14.3</v>
      </c>
      <c r="S8977" s="8">
        <v>15.3</v>
      </c>
      <c r="T8977" s="8">
        <v>1</v>
      </c>
      <c r="U8977" s="8">
        <v>12.6</v>
      </c>
      <c r="V8977" s="8">
        <v>0.5</v>
      </c>
      <c r="W8977" s="8">
        <v>0.5</v>
      </c>
      <c r="Y8977" s="8" t="s">
        <v>36905</v>
      </c>
      <c r="Z8977" s="8" t="s">
        <v>36906</v>
      </c>
    </row>
    <row r="8978" spans="1:26" x14ac:dyDescent="0.2">
      <c r="A8978" s="8">
        <v>8977</v>
      </c>
      <c r="B8978" s="8" t="s">
        <v>39080</v>
      </c>
      <c r="C8978" s="8" t="s">
        <v>39080</v>
      </c>
      <c r="G8978" s="8">
        <v>20</v>
      </c>
      <c r="H8978" s="8" t="s">
        <v>21</v>
      </c>
      <c r="I8978" s="8" t="s">
        <v>22</v>
      </c>
      <c r="J8978" s="8" t="s">
        <v>22</v>
      </c>
      <c r="K8978" s="8" t="s">
        <v>424</v>
      </c>
      <c r="L8978" s="8" t="s">
        <v>26227</v>
      </c>
      <c r="M8978" s="8" t="s">
        <v>26228</v>
      </c>
      <c r="N8978" s="8" t="s">
        <v>39081</v>
      </c>
      <c r="O8978" s="8">
        <f>15+48/60+32.6/3600</f>
        <v>15.809055555555556</v>
      </c>
      <c r="P8978" s="8" t="s">
        <v>39082</v>
      </c>
      <c r="Q8978" s="8">
        <f>+(8+35/60+17/3600)</f>
        <v>8.588055555555556</v>
      </c>
      <c r="R8978" s="8">
        <v>14.5</v>
      </c>
      <c r="S8978" s="8">
        <v>15.5</v>
      </c>
      <c r="T8978" s="8">
        <v>1</v>
      </c>
      <c r="U8978" s="8">
        <v>11.7</v>
      </c>
      <c r="V8978" s="8">
        <v>0.3</v>
      </c>
      <c r="W8978" s="8">
        <v>0.3</v>
      </c>
      <c r="Y8978" s="8" t="s">
        <v>21</v>
      </c>
      <c r="Z8978" s="8" t="s">
        <v>39083</v>
      </c>
    </row>
    <row r="8979" spans="1:26" x14ac:dyDescent="0.2">
      <c r="A8979" s="8">
        <v>8978</v>
      </c>
      <c r="B8979" s="8" t="s">
        <v>39084</v>
      </c>
      <c r="C8979" s="8" t="s">
        <v>39084</v>
      </c>
      <c r="G8979" s="8">
        <v>20</v>
      </c>
      <c r="H8979" s="8" t="s">
        <v>21</v>
      </c>
      <c r="I8979" s="8" t="s">
        <v>22</v>
      </c>
      <c r="J8979" s="8" t="s">
        <v>22</v>
      </c>
      <c r="K8979" s="8" t="s">
        <v>632</v>
      </c>
      <c r="L8979" s="8" t="s">
        <v>26398</v>
      </c>
      <c r="M8979" s="8" t="s">
        <v>26399</v>
      </c>
      <c r="N8979" s="8" t="s">
        <v>39085</v>
      </c>
      <c r="O8979" s="8">
        <f>15+48/60+15.8/3600</f>
        <v>15.804388888888889</v>
      </c>
      <c r="P8979" s="8" t="s">
        <v>39086</v>
      </c>
      <c r="Q8979" s="8">
        <f>+(26+12/60+22/3600)</f>
        <v>26.20611111111111</v>
      </c>
      <c r="R8979" s="8">
        <v>14.5</v>
      </c>
      <c r="S8979" s="8">
        <v>15.4</v>
      </c>
      <c r="T8979" s="8">
        <v>0.9</v>
      </c>
      <c r="U8979" s="8">
        <v>12.5</v>
      </c>
      <c r="V8979" s="8">
        <v>0.9</v>
      </c>
      <c r="W8979" s="8">
        <v>0.2</v>
      </c>
      <c r="X8979" s="8">
        <v>41</v>
      </c>
      <c r="Y8979" s="8" t="s">
        <v>12703</v>
      </c>
      <c r="Z8979" s="8" t="s">
        <v>12704</v>
      </c>
    </row>
    <row r="8980" spans="1:26" x14ac:dyDescent="0.2">
      <c r="A8980" s="8">
        <v>8979</v>
      </c>
      <c r="B8980" s="8" t="s">
        <v>39087</v>
      </c>
      <c r="C8980" s="8" t="s">
        <v>39087</v>
      </c>
      <c r="G8980" s="8">
        <v>20</v>
      </c>
      <c r="H8980" s="8" t="s">
        <v>21</v>
      </c>
      <c r="I8980" s="8" t="s">
        <v>22</v>
      </c>
      <c r="J8980" s="8" t="s">
        <v>22</v>
      </c>
      <c r="K8980" s="8" t="s">
        <v>449</v>
      </c>
      <c r="L8980" s="8" t="s">
        <v>14586</v>
      </c>
      <c r="M8980" s="8" t="s">
        <v>14587</v>
      </c>
      <c r="N8980" s="8" t="s">
        <v>39088</v>
      </c>
      <c r="O8980" s="8">
        <f>15+29/60+26/3600</f>
        <v>15.490555555555554</v>
      </c>
      <c r="P8980" s="8" t="s">
        <v>39089</v>
      </c>
      <c r="Q8980" s="8">
        <f>+(82+35/60+4/3600)</f>
        <v>82.584444444444443</v>
      </c>
      <c r="R8980" s="8">
        <v>14.9</v>
      </c>
      <c r="S8980" s="8">
        <v>15.7</v>
      </c>
      <c r="T8980" s="8">
        <v>0.8</v>
      </c>
      <c r="U8980" s="8">
        <v>12.4</v>
      </c>
      <c r="V8980" s="8">
        <v>0.6</v>
      </c>
      <c r="W8980" s="8">
        <v>0.2</v>
      </c>
      <c r="X8980" s="8">
        <v>45</v>
      </c>
      <c r="Y8980" s="8" t="s">
        <v>25564</v>
      </c>
      <c r="Z8980" s="8" t="s">
        <v>25565</v>
      </c>
    </row>
    <row r="8981" spans="1:26" x14ac:dyDescent="0.2">
      <c r="A8981" s="8">
        <v>8980</v>
      </c>
      <c r="B8981" s="8" t="s">
        <v>39090</v>
      </c>
      <c r="C8981" s="8" t="s">
        <v>39090</v>
      </c>
      <c r="G8981" s="8">
        <v>20</v>
      </c>
      <c r="H8981" s="8" t="s">
        <v>21</v>
      </c>
      <c r="I8981" s="8" t="s">
        <v>72</v>
      </c>
      <c r="J8981" s="8" t="s">
        <v>72</v>
      </c>
      <c r="K8981" s="8" t="s">
        <v>1802</v>
      </c>
      <c r="L8981" s="8" t="s">
        <v>26227</v>
      </c>
      <c r="M8981" s="8" t="s">
        <v>26228</v>
      </c>
      <c r="N8981" s="8" t="s">
        <v>39091</v>
      </c>
      <c r="O8981" s="8">
        <f>15+49/60+25.3/3600</f>
        <v>15.823694444444444</v>
      </c>
      <c r="P8981" s="8" t="s">
        <v>39092</v>
      </c>
      <c r="Q8981" s="8">
        <f>+(19+6/60+52/3600)</f>
        <v>19.114444444444445</v>
      </c>
      <c r="R8981" s="8">
        <v>99</v>
      </c>
      <c r="S8981" s="8">
        <v>99</v>
      </c>
      <c r="T8981" s="8">
        <v>99</v>
      </c>
      <c r="U8981" s="8">
        <v>99</v>
      </c>
      <c r="Y8981" s="8" t="s">
        <v>21</v>
      </c>
      <c r="Z8981" s="8" t="s">
        <v>39093</v>
      </c>
    </row>
    <row r="8982" spans="1:26" x14ac:dyDescent="0.2">
      <c r="A8982" s="8">
        <v>8981</v>
      </c>
      <c r="B8982" s="8" t="s">
        <v>39094</v>
      </c>
      <c r="C8982" s="8" t="s">
        <v>39094</v>
      </c>
      <c r="G8982" s="8">
        <v>20</v>
      </c>
      <c r="H8982" s="8" t="s">
        <v>21</v>
      </c>
      <c r="I8982" s="8" t="s">
        <v>22</v>
      </c>
      <c r="J8982" s="8" t="s">
        <v>22</v>
      </c>
      <c r="K8982" s="8" t="s">
        <v>64</v>
      </c>
      <c r="L8982" s="8" t="s">
        <v>26227</v>
      </c>
      <c r="M8982" s="8" t="s">
        <v>26228</v>
      </c>
      <c r="N8982" s="8" t="s">
        <v>39095</v>
      </c>
      <c r="O8982" s="8">
        <f>15+49/60+47/3600</f>
        <v>15.829722222222221</v>
      </c>
      <c r="P8982" s="8" t="s">
        <v>39096</v>
      </c>
      <c r="Q8982" s="8">
        <f>+(12+23/60+57/3600)</f>
        <v>12.399166666666666</v>
      </c>
      <c r="R8982" s="8">
        <v>13.9</v>
      </c>
      <c r="S8982" s="8">
        <v>14.6</v>
      </c>
      <c r="T8982" s="8">
        <v>0.7</v>
      </c>
      <c r="U8982" s="8">
        <v>13</v>
      </c>
      <c r="V8982" s="8">
        <v>0.7</v>
      </c>
      <c r="W8982" s="8">
        <v>0.7</v>
      </c>
      <c r="Y8982" s="8" t="s">
        <v>421</v>
      </c>
      <c r="Z8982" s="8" t="s">
        <v>422</v>
      </c>
    </row>
    <row r="8983" spans="1:26" x14ac:dyDescent="0.2">
      <c r="A8983" s="8">
        <v>8982</v>
      </c>
      <c r="B8983" s="8" t="s">
        <v>39097</v>
      </c>
      <c r="C8983" s="8" t="s">
        <v>39097</v>
      </c>
      <c r="G8983" s="8">
        <v>20</v>
      </c>
      <c r="H8983" s="8" t="s">
        <v>21</v>
      </c>
      <c r="I8983" s="8" t="s">
        <v>22</v>
      </c>
      <c r="J8983" s="8" t="s">
        <v>22</v>
      </c>
      <c r="K8983" s="8" t="s">
        <v>579</v>
      </c>
      <c r="L8983" s="8" t="s">
        <v>26227</v>
      </c>
      <c r="M8983" s="8" t="s">
        <v>26228</v>
      </c>
      <c r="N8983" s="8" t="s">
        <v>39098</v>
      </c>
      <c r="O8983" s="8">
        <f>15+50/60+25.9/3600</f>
        <v>15.840527777777778</v>
      </c>
      <c r="P8983" s="8" t="s">
        <v>39099</v>
      </c>
      <c r="Q8983" s="8">
        <f>+(18+8/60+24/3600)</f>
        <v>18.14</v>
      </c>
      <c r="R8983" s="8">
        <v>13.5</v>
      </c>
      <c r="S8983" s="8">
        <v>14.2</v>
      </c>
      <c r="T8983" s="8">
        <v>0.7</v>
      </c>
      <c r="U8983" s="8">
        <v>13.8</v>
      </c>
      <c r="V8983" s="8">
        <v>1.4</v>
      </c>
      <c r="W8983" s="8">
        <v>1.1000000000000001</v>
      </c>
      <c r="X8983" s="8">
        <v>144</v>
      </c>
      <c r="Y8983" s="8" t="s">
        <v>17353</v>
      </c>
      <c r="Z8983" s="8" t="s">
        <v>17354</v>
      </c>
    </row>
    <row r="8984" spans="1:26" x14ac:dyDescent="0.2">
      <c r="A8984" s="8">
        <v>8983</v>
      </c>
      <c r="B8984" s="8" t="s">
        <v>39100</v>
      </c>
      <c r="C8984" s="8" t="s">
        <v>39100</v>
      </c>
      <c r="G8984" s="8">
        <v>20</v>
      </c>
      <c r="H8984" s="8" t="s">
        <v>21</v>
      </c>
      <c r="I8984" s="8" t="s">
        <v>22</v>
      </c>
      <c r="J8984" s="8" t="s">
        <v>22</v>
      </c>
      <c r="K8984" s="8" t="s">
        <v>460</v>
      </c>
      <c r="L8984" s="8" t="s">
        <v>14586</v>
      </c>
      <c r="M8984" s="8" t="s">
        <v>14587</v>
      </c>
      <c r="N8984" s="8" t="s">
        <v>39101</v>
      </c>
      <c r="O8984" s="8">
        <f>15+30/60+55.8/3600</f>
        <v>15.515499999999999</v>
      </c>
      <c r="P8984" s="8" t="s">
        <v>39102</v>
      </c>
      <c r="Q8984" s="8">
        <f>+(82+27/60+23/3600)</f>
        <v>82.456388888888895</v>
      </c>
      <c r="R8984" s="8">
        <v>13.2</v>
      </c>
      <c r="S8984" s="8">
        <v>14.2</v>
      </c>
      <c r="T8984" s="8">
        <v>1</v>
      </c>
      <c r="U8984" s="8">
        <v>13.1</v>
      </c>
      <c r="V8984" s="8">
        <v>0.9</v>
      </c>
      <c r="W8984" s="8">
        <v>0.9</v>
      </c>
      <c r="Y8984" s="8" t="s">
        <v>39103</v>
      </c>
      <c r="Z8984" s="8" t="s">
        <v>39104</v>
      </c>
    </row>
    <row r="8985" spans="1:26" x14ac:dyDescent="0.2">
      <c r="A8985" s="8">
        <v>8984</v>
      </c>
      <c r="B8985" s="8" t="s">
        <v>39105</v>
      </c>
      <c r="C8985" s="8" t="s">
        <v>39105</v>
      </c>
      <c r="G8985" s="8">
        <v>20</v>
      </c>
      <c r="H8985" s="8" t="s">
        <v>21</v>
      </c>
      <c r="I8985" s="8" t="s">
        <v>22</v>
      </c>
      <c r="J8985" s="8" t="s">
        <v>22</v>
      </c>
      <c r="K8985" s="8" t="s">
        <v>58</v>
      </c>
      <c r="L8985" s="8" t="s">
        <v>26804</v>
      </c>
      <c r="M8985" s="8" t="s">
        <v>26805</v>
      </c>
      <c r="N8985" s="8" t="s">
        <v>39106</v>
      </c>
      <c r="O8985" s="8">
        <f>15+51/60+21.6/3600</f>
        <v>15.856</v>
      </c>
      <c r="P8985" s="8" t="s">
        <v>39107</v>
      </c>
      <c r="Q8985" s="8">
        <f>+(43+25/60+6/3600)</f>
        <v>43.418333333333329</v>
      </c>
      <c r="R8985" s="8">
        <v>13.5</v>
      </c>
      <c r="S8985" s="8">
        <v>14.5</v>
      </c>
      <c r="T8985" s="8">
        <v>1</v>
      </c>
      <c r="U8985" s="8">
        <v>12.8</v>
      </c>
      <c r="V8985" s="8">
        <v>1</v>
      </c>
      <c r="W8985" s="8">
        <v>0.6</v>
      </c>
      <c r="X8985" s="8">
        <v>100</v>
      </c>
      <c r="Y8985" s="8" t="s">
        <v>39108</v>
      </c>
      <c r="Z8985" s="8" t="s">
        <v>39109</v>
      </c>
    </row>
    <row r="8986" spans="1:26" x14ac:dyDescent="0.2">
      <c r="A8986" s="8">
        <v>8985</v>
      </c>
      <c r="B8986" s="8" t="s">
        <v>39110</v>
      </c>
      <c r="C8986" s="8" t="s">
        <v>39110</v>
      </c>
      <c r="G8986" s="8">
        <v>20</v>
      </c>
      <c r="H8986" s="8" t="s">
        <v>21</v>
      </c>
      <c r="I8986" s="8" t="s">
        <v>22</v>
      </c>
      <c r="J8986" s="8" t="s">
        <v>22</v>
      </c>
      <c r="K8986" s="8" t="s">
        <v>396</v>
      </c>
      <c r="L8986" s="8" t="s">
        <v>14586</v>
      </c>
      <c r="M8986" s="8" t="s">
        <v>14587</v>
      </c>
      <c r="N8986" s="8" t="s">
        <v>39111</v>
      </c>
      <c r="O8986" s="8">
        <f>15+44/60+8.3/3600</f>
        <v>15.735638888888888</v>
      </c>
      <c r="P8986" s="8" t="s">
        <v>39112</v>
      </c>
      <c r="Q8986" s="8">
        <f>+(72+25/60+51/3600)</f>
        <v>72.430833333333339</v>
      </c>
      <c r="R8986" s="8">
        <v>14.2</v>
      </c>
      <c r="S8986" s="8">
        <v>15</v>
      </c>
      <c r="T8986" s="8">
        <v>0.8</v>
      </c>
      <c r="U8986" s="8">
        <v>13.7</v>
      </c>
      <c r="V8986" s="8">
        <v>1.5</v>
      </c>
      <c r="W8986" s="8">
        <v>0.5</v>
      </c>
      <c r="X8986" s="8">
        <v>168</v>
      </c>
      <c r="Y8986" s="8" t="s">
        <v>21</v>
      </c>
      <c r="Z8986" s="8" t="s">
        <v>39113</v>
      </c>
    </row>
    <row r="8987" spans="1:26" x14ac:dyDescent="0.2">
      <c r="A8987" s="8">
        <v>8986</v>
      </c>
      <c r="B8987" s="8" t="s">
        <v>39114</v>
      </c>
      <c r="C8987" s="8" t="s">
        <v>39114</v>
      </c>
      <c r="G8987" s="8">
        <v>20</v>
      </c>
      <c r="H8987" s="8" t="s">
        <v>21</v>
      </c>
      <c r="I8987" s="8" t="s">
        <v>22</v>
      </c>
      <c r="J8987" s="8" t="s">
        <v>22</v>
      </c>
      <c r="K8987" s="8" t="s">
        <v>449</v>
      </c>
      <c r="L8987" s="8" t="s">
        <v>13395</v>
      </c>
      <c r="M8987" s="8" t="s">
        <v>13396</v>
      </c>
      <c r="N8987" s="8" t="s">
        <v>39115</v>
      </c>
      <c r="O8987" s="8">
        <f>15+48/60+22/3600</f>
        <v>15.806111111111111</v>
      </c>
      <c r="P8987" s="8" t="s">
        <v>39116</v>
      </c>
      <c r="Q8987" s="8">
        <f>+(69+23/60+10/3600)</f>
        <v>69.38611111111112</v>
      </c>
      <c r="R8987" s="8">
        <v>13.8</v>
      </c>
      <c r="S8987" s="8">
        <v>14.6</v>
      </c>
      <c r="T8987" s="8">
        <v>0.8</v>
      </c>
      <c r="U8987" s="8">
        <v>13.3</v>
      </c>
      <c r="V8987" s="8">
        <v>0.9</v>
      </c>
      <c r="W8987" s="8">
        <v>0.7</v>
      </c>
      <c r="X8987" s="8">
        <v>105</v>
      </c>
      <c r="Y8987" s="8" t="s">
        <v>39117</v>
      </c>
      <c r="Z8987" s="8" t="s">
        <v>39118</v>
      </c>
    </row>
    <row r="8988" spans="1:26" x14ac:dyDescent="0.2">
      <c r="A8988" s="8">
        <v>8987</v>
      </c>
      <c r="B8988" s="8" t="s">
        <v>39119</v>
      </c>
      <c r="C8988" s="8" t="s">
        <v>39119</v>
      </c>
      <c r="G8988" s="8">
        <v>20</v>
      </c>
      <c r="H8988" s="8" t="s">
        <v>21</v>
      </c>
      <c r="I8988" s="8" t="s">
        <v>22</v>
      </c>
      <c r="J8988" s="8" t="s">
        <v>22</v>
      </c>
      <c r="K8988" s="8" t="s">
        <v>449</v>
      </c>
      <c r="L8988" s="8" t="s">
        <v>13395</v>
      </c>
      <c r="M8988" s="8" t="s">
        <v>13396</v>
      </c>
      <c r="N8988" s="8" t="s">
        <v>39120</v>
      </c>
      <c r="O8988" s="8">
        <f>15+50/60+11.5/3600</f>
        <v>15.836527777777778</v>
      </c>
      <c r="P8988" s="8" t="s">
        <v>39121</v>
      </c>
      <c r="Q8988" s="8">
        <f>+(69+33/60+36/3600)</f>
        <v>69.56</v>
      </c>
      <c r="R8988" s="8">
        <v>14.6</v>
      </c>
      <c r="S8988" s="8">
        <v>15.4</v>
      </c>
      <c r="T8988" s="8">
        <v>0.8</v>
      </c>
      <c r="U8988" s="8">
        <v>13.3</v>
      </c>
      <c r="V8988" s="8">
        <v>0.6</v>
      </c>
      <c r="W8988" s="8">
        <v>0.6</v>
      </c>
      <c r="Y8988" s="8" t="s">
        <v>3290</v>
      </c>
      <c r="Z8988" s="8" t="s">
        <v>3291</v>
      </c>
    </row>
    <row r="8989" spans="1:26" x14ac:dyDescent="0.2">
      <c r="A8989" s="8">
        <v>8988</v>
      </c>
      <c r="B8989" s="8" t="s">
        <v>39122</v>
      </c>
      <c r="C8989" s="8" t="s">
        <v>39122</v>
      </c>
      <c r="G8989" s="8">
        <v>20</v>
      </c>
      <c r="H8989" s="8" t="s">
        <v>21</v>
      </c>
      <c r="I8989" s="8" t="s">
        <v>22</v>
      </c>
      <c r="J8989" s="8" t="s">
        <v>57</v>
      </c>
      <c r="K8989" s="8" t="s">
        <v>382</v>
      </c>
      <c r="L8989" s="8" t="s">
        <v>26227</v>
      </c>
      <c r="M8989" s="8" t="s">
        <v>26228</v>
      </c>
      <c r="N8989" s="8" t="s">
        <v>26835</v>
      </c>
      <c r="O8989" s="8">
        <f>15+57/60+8.1/3600</f>
        <v>15.952249999999999</v>
      </c>
      <c r="P8989" s="8" t="s">
        <v>26836</v>
      </c>
      <c r="Q8989" s="8">
        <f>+(22+24/60+18/3600)</f>
        <v>22.404999999999998</v>
      </c>
      <c r="R8989" s="8">
        <v>12.7</v>
      </c>
      <c r="S8989" s="8">
        <v>13.8</v>
      </c>
      <c r="T8989" s="8">
        <v>1.1000000000000001</v>
      </c>
      <c r="U8989" s="8">
        <v>13.1</v>
      </c>
      <c r="V8989" s="8">
        <v>1.4</v>
      </c>
      <c r="W8989" s="8">
        <v>1</v>
      </c>
      <c r="X8989" s="8">
        <v>140</v>
      </c>
      <c r="Y8989" s="8" t="s">
        <v>651</v>
      </c>
      <c r="Z8989" s="8" t="s">
        <v>12214</v>
      </c>
    </row>
    <row r="8990" spans="1:26" x14ac:dyDescent="0.2">
      <c r="A8990" s="8">
        <v>8989</v>
      </c>
      <c r="B8990" s="8" t="s">
        <v>39123</v>
      </c>
      <c r="C8990" s="8" t="s">
        <v>39123</v>
      </c>
      <c r="G8990" s="8">
        <v>20</v>
      </c>
      <c r="H8990" s="8" t="s">
        <v>21</v>
      </c>
      <c r="I8990" s="8" t="s">
        <v>22</v>
      </c>
      <c r="J8990" s="8" t="s">
        <v>22</v>
      </c>
      <c r="K8990" s="8" t="s">
        <v>396</v>
      </c>
      <c r="L8990" s="8" t="s">
        <v>26227</v>
      </c>
      <c r="M8990" s="8" t="s">
        <v>26228</v>
      </c>
      <c r="N8990" s="8" t="s">
        <v>39124</v>
      </c>
      <c r="O8990" s="8">
        <f>15+58/60+7.9/3600</f>
        <v>15.968861111111112</v>
      </c>
      <c r="P8990" s="8" t="s">
        <v>39125</v>
      </c>
      <c r="Q8990" s="8">
        <f>+(12+4/60+11/3600)</f>
        <v>12.069722222222222</v>
      </c>
      <c r="R8990" s="8">
        <v>13.3</v>
      </c>
      <c r="S8990" s="8">
        <v>14.1</v>
      </c>
      <c r="T8990" s="8">
        <v>0.8</v>
      </c>
      <c r="U8990" s="8">
        <v>13.3</v>
      </c>
      <c r="V8990" s="8">
        <v>1.2</v>
      </c>
      <c r="W8990" s="8">
        <v>1</v>
      </c>
      <c r="X8990" s="8">
        <v>160</v>
      </c>
      <c r="Y8990" s="8" t="s">
        <v>39126</v>
      </c>
      <c r="Z8990" s="8" t="s">
        <v>39127</v>
      </c>
    </row>
    <row r="8991" spans="1:26" x14ac:dyDescent="0.2">
      <c r="A8991" s="8">
        <v>8990</v>
      </c>
      <c r="B8991" s="8" t="s">
        <v>39128</v>
      </c>
      <c r="C8991" s="8" t="s">
        <v>39128</v>
      </c>
      <c r="G8991" s="8">
        <v>20</v>
      </c>
      <c r="H8991" s="8" t="s">
        <v>21</v>
      </c>
      <c r="I8991" s="8" t="s">
        <v>329</v>
      </c>
      <c r="J8991" s="8" t="s">
        <v>329</v>
      </c>
      <c r="K8991" s="8" t="s">
        <v>329</v>
      </c>
      <c r="L8991" s="8" t="s">
        <v>26227</v>
      </c>
      <c r="M8991" s="8" t="s">
        <v>26228</v>
      </c>
      <c r="N8991" s="8" t="s">
        <v>39129</v>
      </c>
      <c r="O8991" s="8">
        <f>15+58/60+18/3600</f>
        <v>15.971666666666668</v>
      </c>
      <c r="P8991" s="8" t="s">
        <v>39130</v>
      </c>
      <c r="Q8991" s="8">
        <f>+(15+52/60+30/3600)</f>
        <v>15.875</v>
      </c>
      <c r="R8991" s="8">
        <v>99</v>
      </c>
      <c r="S8991" s="8">
        <v>99</v>
      </c>
      <c r="T8991" s="8">
        <v>99</v>
      </c>
      <c r="U8991" s="8">
        <v>99</v>
      </c>
      <c r="Y8991" s="8" t="s">
        <v>21</v>
      </c>
      <c r="Z8991" s="8" t="s">
        <v>39131</v>
      </c>
    </row>
    <row r="8992" spans="1:26" x14ac:dyDescent="0.2">
      <c r="A8992" s="8">
        <v>8991</v>
      </c>
      <c r="B8992" s="8" t="s">
        <v>39132</v>
      </c>
      <c r="C8992" s="8" t="s">
        <v>39132</v>
      </c>
      <c r="G8992" s="8">
        <v>20</v>
      </c>
      <c r="H8992" s="8" t="s">
        <v>21</v>
      </c>
      <c r="I8992" s="8" t="s">
        <v>22</v>
      </c>
      <c r="J8992" s="8" t="s">
        <v>22</v>
      </c>
      <c r="K8992" s="8" t="s">
        <v>64</v>
      </c>
      <c r="L8992" s="8" t="s">
        <v>26227</v>
      </c>
      <c r="M8992" s="8" t="s">
        <v>26228</v>
      </c>
      <c r="N8992" s="8" t="s">
        <v>39133</v>
      </c>
      <c r="O8992" s="8">
        <f>15+58/60+32.3/3600</f>
        <v>15.97563888888889</v>
      </c>
      <c r="P8992" s="8" t="s">
        <v>39134</v>
      </c>
      <c r="Q8992" s="8">
        <f>+(17+26/60+27/3600)</f>
        <v>17.440833333333334</v>
      </c>
      <c r="R8992" s="8">
        <v>13</v>
      </c>
      <c r="S8992" s="8">
        <v>13.5</v>
      </c>
      <c r="T8992" s="8">
        <v>0.5</v>
      </c>
      <c r="U8992" s="8">
        <v>13.6</v>
      </c>
      <c r="V8992" s="8">
        <v>2.4</v>
      </c>
      <c r="W8992" s="8">
        <v>0.8</v>
      </c>
      <c r="X8992" s="8">
        <v>28</v>
      </c>
      <c r="Y8992" s="8" t="s">
        <v>34897</v>
      </c>
      <c r="Z8992" s="8" t="s">
        <v>34898</v>
      </c>
    </row>
    <row r="8993" spans="1:26" x14ac:dyDescent="0.2">
      <c r="A8993" s="8">
        <v>8992</v>
      </c>
      <c r="B8993" s="8" t="s">
        <v>39135</v>
      </c>
      <c r="C8993" s="8" t="s">
        <v>39135</v>
      </c>
      <c r="G8993" s="8">
        <v>20</v>
      </c>
      <c r="H8993" s="8" t="s">
        <v>21</v>
      </c>
      <c r="I8993" s="8" t="s">
        <v>22</v>
      </c>
      <c r="J8993" s="8" t="s">
        <v>22</v>
      </c>
      <c r="K8993" s="8" t="s">
        <v>460</v>
      </c>
      <c r="L8993" s="8" t="s">
        <v>26804</v>
      </c>
      <c r="M8993" s="8" t="s">
        <v>26805</v>
      </c>
      <c r="N8993" s="8" t="s">
        <v>39136</v>
      </c>
      <c r="O8993" s="8">
        <f>15+56/60+43.2/3600</f>
        <v>15.945333333333334</v>
      </c>
      <c r="P8993" s="8" t="s">
        <v>39137</v>
      </c>
      <c r="Q8993" s="8">
        <f>+(48+5/60+41/3600)</f>
        <v>48.094722222222224</v>
      </c>
      <c r="R8993" s="8">
        <v>13.1</v>
      </c>
      <c r="S8993" s="8">
        <v>14.1</v>
      </c>
      <c r="T8993" s="8">
        <v>1</v>
      </c>
      <c r="U8993" s="8">
        <v>13.6</v>
      </c>
      <c r="V8993" s="8">
        <v>1.2</v>
      </c>
      <c r="W8993" s="8">
        <v>1.2</v>
      </c>
      <c r="Y8993" s="8" t="s">
        <v>39138</v>
      </c>
      <c r="Z8993" s="8" t="s">
        <v>39139</v>
      </c>
    </row>
    <row r="8994" spans="1:26" x14ac:dyDescent="0.2">
      <c r="A8994" s="8">
        <v>8993</v>
      </c>
      <c r="B8994" s="8" t="s">
        <v>39140</v>
      </c>
      <c r="C8994" s="8" t="s">
        <v>39140</v>
      </c>
      <c r="G8994" s="8">
        <v>20</v>
      </c>
      <c r="H8994" s="8" t="s">
        <v>21</v>
      </c>
      <c r="I8994" s="8" t="s">
        <v>22</v>
      </c>
      <c r="J8994" s="8" t="s">
        <v>22</v>
      </c>
      <c r="K8994" s="8" t="s">
        <v>37</v>
      </c>
      <c r="L8994" s="8" t="s">
        <v>26804</v>
      </c>
      <c r="M8994" s="8" t="s">
        <v>26805</v>
      </c>
      <c r="N8994" s="8" t="s">
        <v>39141</v>
      </c>
      <c r="O8994" s="8">
        <f>15+57/60+3.1/3600</f>
        <v>15.950861111111111</v>
      </c>
      <c r="P8994" s="8" t="s">
        <v>39142</v>
      </c>
      <c r="Q8994" s="8">
        <f>+(48+10/60+7/3600)</f>
        <v>48.168611111111112</v>
      </c>
      <c r="R8994" s="8">
        <v>12.6</v>
      </c>
      <c r="S8994" s="8">
        <v>13.6</v>
      </c>
      <c r="T8994" s="8">
        <v>1</v>
      </c>
      <c r="U8994" s="8">
        <v>12.8</v>
      </c>
      <c r="V8994" s="8">
        <v>1.2</v>
      </c>
      <c r="W8994" s="8">
        <v>1.1000000000000001</v>
      </c>
      <c r="X8994" s="8">
        <v>156</v>
      </c>
      <c r="Y8994" s="8" t="s">
        <v>39143</v>
      </c>
      <c r="Z8994" s="8" t="s">
        <v>39144</v>
      </c>
    </row>
    <row r="8995" spans="1:26" x14ac:dyDescent="0.2">
      <c r="A8995" s="8">
        <v>8994</v>
      </c>
      <c r="B8995" s="8" t="s">
        <v>39145</v>
      </c>
      <c r="C8995" s="8" t="s">
        <v>39145</v>
      </c>
      <c r="G8995" s="8">
        <v>20</v>
      </c>
      <c r="H8995" s="8" t="s">
        <v>21</v>
      </c>
      <c r="I8995" s="8" t="s">
        <v>22</v>
      </c>
      <c r="J8995" s="8" t="s">
        <v>22</v>
      </c>
      <c r="K8995" s="8" t="s">
        <v>1136</v>
      </c>
      <c r="L8995" s="8" t="s">
        <v>14586</v>
      </c>
      <c r="M8995" s="8" t="s">
        <v>14587</v>
      </c>
      <c r="N8995" s="8" t="s">
        <v>39146</v>
      </c>
      <c r="O8995" s="8">
        <f>15+52/60+28.5/3600</f>
        <v>15.874583333333334</v>
      </c>
      <c r="P8995" s="8" t="s">
        <v>39147</v>
      </c>
      <c r="Q8995" s="8">
        <f>+(70+22/60+32/3600)</f>
        <v>70.37555555555555</v>
      </c>
      <c r="R8995" s="8">
        <v>13.3</v>
      </c>
      <c r="S8995" s="8">
        <v>14.3</v>
      </c>
      <c r="T8995" s="8">
        <v>1</v>
      </c>
      <c r="U8995" s="8">
        <v>13.1</v>
      </c>
      <c r="V8995" s="8">
        <v>1</v>
      </c>
      <c r="W8995" s="8">
        <v>0.8</v>
      </c>
      <c r="X8995" s="8">
        <v>145</v>
      </c>
      <c r="Y8995" s="8" t="s">
        <v>237</v>
      </c>
      <c r="Z8995" s="8" t="s">
        <v>238</v>
      </c>
    </row>
    <row r="8996" spans="1:26" x14ac:dyDescent="0.2">
      <c r="A8996" s="8">
        <v>8995</v>
      </c>
      <c r="B8996" s="8" t="s">
        <v>39148</v>
      </c>
      <c r="C8996" s="8" t="s">
        <v>39148</v>
      </c>
      <c r="G8996" s="8">
        <v>20</v>
      </c>
      <c r="H8996" s="8" t="s">
        <v>21</v>
      </c>
      <c r="I8996" s="8" t="s">
        <v>22</v>
      </c>
      <c r="J8996" s="8" t="s">
        <v>22</v>
      </c>
      <c r="K8996" s="8" t="s">
        <v>85</v>
      </c>
      <c r="L8996" s="8" t="s">
        <v>26227</v>
      </c>
      <c r="M8996" s="8" t="s">
        <v>26228</v>
      </c>
      <c r="N8996" s="8" t="s">
        <v>39149</v>
      </c>
      <c r="O8996" s="8">
        <f>16+0/60+35.7/3600</f>
        <v>16.009916666666665</v>
      </c>
      <c r="P8996" s="8" t="s">
        <v>39150</v>
      </c>
      <c r="Q8996" s="8">
        <f>+(15+41/60+9/3600)</f>
        <v>15.685833333333333</v>
      </c>
      <c r="R8996" s="8">
        <v>14.3</v>
      </c>
      <c r="S8996" s="8">
        <v>14.9</v>
      </c>
      <c r="T8996" s="8">
        <v>0.6</v>
      </c>
      <c r="U8996" s="8">
        <v>13.5</v>
      </c>
      <c r="V8996" s="8">
        <v>0.8</v>
      </c>
      <c r="W8996" s="8">
        <v>0.7</v>
      </c>
      <c r="X8996" s="8">
        <v>9</v>
      </c>
      <c r="Y8996" s="8" t="s">
        <v>37284</v>
      </c>
      <c r="Z8996" s="8" t="s">
        <v>37285</v>
      </c>
    </row>
    <row r="8997" spans="1:26" x14ac:dyDescent="0.2">
      <c r="A8997" s="8">
        <v>8996</v>
      </c>
      <c r="B8997" s="8" t="s">
        <v>39151</v>
      </c>
      <c r="C8997" s="8" t="s">
        <v>39151</v>
      </c>
      <c r="G8997" s="8">
        <v>20</v>
      </c>
      <c r="H8997" s="8" t="s">
        <v>21</v>
      </c>
      <c r="I8997" s="8" t="s">
        <v>22</v>
      </c>
      <c r="J8997" s="8" t="s">
        <v>22</v>
      </c>
      <c r="K8997" s="8" t="s">
        <v>1136</v>
      </c>
      <c r="L8997" s="8" t="s">
        <v>26804</v>
      </c>
      <c r="M8997" s="8" t="s">
        <v>26805</v>
      </c>
      <c r="N8997" s="8" t="s">
        <v>39152</v>
      </c>
      <c r="O8997" s="8">
        <f>16+0/60+37.3/3600</f>
        <v>16.010361111111113</v>
      </c>
      <c r="P8997" s="8" t="s">
        <v>39153</v>
      </c>
      <c r="Q8997" s="8">
        <f>+(19+43/60+26/3600)</f>
        <v>19.723888888888887</v>
      </c>
      <c r="R8997" s="8">
        <v>13.4</v>
      </c>
      <c r="S8997" s="8">
        <v>14.5</v>
      </c>
      <c r="T8997" s="8">
        <v>1.1000000000000001</v>
      </c>
      <c r="U8997" s="8">
        <v>13.2</v>
      </c>
      <c r="V8997" s="8">
        <v>1</v>
      </c>
      <c r="W8997" s="8">
        <v>0.8</v>
      </c>
      <c r="X8997" s="8">
        <v>0</v>
      </c>
      <c r="Y8997" s="8" t="s">
        <v>39154</v>
      </c>
      <c r="Z8997" s="8" t="s">
        <v>39155</v>
      </c>
    </row>
    <row r="8998" spans="1:26" x14ac:dyDescent="0.2">
      <c r="A8998" s="8">
        <v>8997</v>
      </c>
      <c r="B8998" s="8" t="s">
        <v>39156</v>
      </c>
      <c r="C8998" s="8" t="s">
        <v>39156</v>
      </c>
      <c r="G8998" s="8">
        <v>20</v>
      </c>
      <c r="H8998" s="8" t="s">
        <v>21</v>
      </c>
      <c r="I8998" s="8" t="s">
        <v>22</v>
      </c>
      <c r="J8998" s="8" t="s">
        <v>22</v>
      </c>
      <c r="K8998" s="8" t="s">
        <v>154</v>
      </c>
      <c r="L8998" s="8" t="s">
        <v>26227</v>
      </c>
      <c r="M8998" s="8" t="s">
        <v>26228</v>
      </c>
      <c r="N8998" s="8" t="s">
        <v>39157</v>
      </c>
      <c r="O8998" s="8">
        <f>16+0/60+56.2/3600</f>
        <v>16.015611111111109</v>
      </c>
      <c r="P8998" s="8" t="s">
        <v>39158</v>
      </c>
      <c r="Q8998" s="8">
        <f>+(15+31/60+36/3600)</f>
        <v>15.526666666666667</v>
      </c>
      <c r="R8998" s="8">
        <v>14.8</v>
      </c>
      <c r="S8998" s="8">
        <v>15.7</v>
      </c>
      <c r="T8998" s="8">
        <v>0.9</v>
      </c>
      <c r="U8998" s="8">
        <v>12.8</v>
      </c>
      <c r="V8998" s="8">
        <v>0.6</v>
      </c>
      <c r="W8998" s="8">
        <v>0.3</v>
      </c>
      <c r="X8998" s="8">
        <v>135</v>
      </c>
      <c r="Y8998" s="8" t="s">
        <v>282</v>
      </c>
      <c r="Z8998" s="8" t="s">
        <v>283</v>
      </c>
    </row>
    <row r="8999" spans="1:26" x14ac:dyDescent="0.2">
      <c r="A8999" s="8">
        <v>8998</v>
      </c>
      <c r="B8999" s="8" t="s">
        <v>39159</v>
      </c>
      <c r="C8999" s="8" t="s">
        <v>39159</v>
      </c>
      <c r="G8999" s="8">
        <v>20</v>
      </c>
      <c r="H8999" s="8" t="s">
        <v>21</v>
      </c>
      <c r="I8999" s="8" t="s">
        <v>22</v>
      </c>
      <c r="J8999" s="8" t="s">
        <v>22</v>
      </c>
      <c r="K8999" s="8" t="s">
        <v>64</v>
      </c>
      <c r="L8999" s="8" t="s">
        <v>26227</v>
      </c>
      <c r="M8999" s="8" t="s">
        <v>26228</v>
      </c>
      <c r="N8999" s="8" t="s">
        <v>39160</v>
      </c>
      <c r="O8999" s="8">
        <f>16+1/60+34.2/3600</f>
        <v>16.026166666666665</v>
      </c>
      <c r="P8999" s="8" t="s">
        <v>39161</v>
      </c>
      <c r="Q8999" s="8">
        <f>+(1+42/60+27/3600)</f>
        <v>1.7075</v>
      </c>
      <c r="R8999" s="8">
        <v>12.6</v>
      </c>
      <c r="S8999" s="8">
        <v>13.3</v>
      </c>
      <c r="T8999" s="8">
        <v>0.7</v>
      </c>
      <c r="U8999" s="8">
        <v>13.9</v>
      </c>
      <c r="V8999" s="8">
        <v>2.5</v>
      </c>
      <c r="W8999" s="8">
        <v>1.7</v>
      </c>
      <c r="X8999" s="8">
        <v>137</v>
      </c>
      <c r="Y8999" s="8" t="s">
        <v>39162</v>
      </c>
      <c r="Z8999" s="8" t="s">
        <v>39163</v>
      </c>
    </row>
    <row r="9000" spans="1:26" x14ac:dyDescent="0.2">
      <c r="A9000" s="8">
        <v>8999</v>
      </c>
      <c r="B9000" s="8" t="s">
        <v>39164</v>
      </c>
      <c r="C9000" s="8" t="s">
        <v>39164</v>
      </c>
      <c r="G9000" s="8">
        <v>20</v>
      </c>
      <c r="H9000" s="8" t="s">
        <v>21</v>
      </c>
      <c r="I9000" s="8" t="s">
        <v>22</v>
      </c>
      <c r="J9000" s="8" t="s">
        <v>22</v>
      </c>
      <c r="K9000" s="8" t="s">
        <v>449</v>
      </c>
      <c r="L9000" s="8" t="s">
        <v>26227</v>
      </c>
      <c r="M9000" s="8" t="s">
        <v>26228</v>
      </c>
      <c r="N9000" s="8" t="s">
        <v>39165</v>
      </c>
      <c r="O9000" s="8">
        <f>16+1/60+1.5/3600</f>
        <v>16.017083333333332</v>
      </c>
      <c r="P9000" s="8" t="s">
        <v>39166</v>
      </c>
      <c r="Q9000" s="8">
        <f>+(15+25/60+11/3600)</f>
        <v>15.419722222222221</v>
      </c>
      <c r="R9000" s="8">
        <v>15</v>
      </c>
      <c r="S9000" s="8">
        <v>15.8</v>
      </c>
      <c r="T9000" s="8">
        <v>0.8</v>
      </c>
      <c r="U9000" s="8">
        <v>13.3</v>
      </c>
      <c r="V9000" s="8">
        <v>0.6</v>
      </c>
      <c r="W9000" s="8">
        <v>0.4</v>
      </c>
      <c r="X9000" s="8">
        <v>45</v>
      </c>
      <c r="Y9000" s="8" t="s">
        <v>27240</v>
      </c>
      <c r="Z9000" s="8" t="s">
        <v>27241</v>
      </c>
    </row>
    <row r="9001" spans="1:26" x14ac:dyDescent="0.2">
      <c r="A9001" s="8">
        <v>9000</v>
      </c>
      <c r="B9001" s="8" t="s">
        <v>39167</v>
      </c>
      <c r="C9001" s="8" t="s">
        <v>39167</v>
      </c>
      <c r="G9001" s="8">
        <v>20</v>
      </c>
      <c r="H9001" s="8" t="s">
        <v>21</v>
      </c>
      <c r="I9001" s="8" t="s">
        <v>22</v>
      </c>
      <c r="J9001" s="8" t="s">
        <v>22</v>
      </c>
      <c r="K9001" s="8" t="s">
        <v>435</v>
      </c>
      <c r="L9001" s="8" t="s">
        <v>26227</v>
      </c>
      <c r="M9001" s="8" t="s">
        <v>26228</v>
      </c>
      <c r="N9001" s="8" t="s">
        <v>39168</v>
      </c>
      <c r="O9001" s="8">
        <f>16+1/60+2.6/3600</f>
        <v>16.017388888888888</v>
      </c>
      <c r="P9001" s="8" t="s">
        <v>39169</v>
      </c>
      <c r="Q9001" s="8">
        <f>+(15+29/60+42/3600)</f>
        <v>15.494999999999999</v>
      </c>
      <c r="R9001" s="8">
        <v>14.8</v>
      </c>
      <c r="S9001" s="8">
        <v>15.7</v>
      </c>
      <c r="T9001" s="8">
        <v>0.9</v>
      </c>
      <c r="U9001" s="8">
        <v>12.8</v>
      </c>
      <c r="V9001" s="8">
        <v>0.6</v>
      </c>
      <c r="W9001" s="8">
        <v>0.3</v>
      </c>
      <c r="X9001" s="8">
        <v>135</v>
      </c>
      <c r="Y9001" s="8" t="s">
        <v>421</v>
      </c>
      <c r="Z9001" s="8" t="s">
        <v>422</v>
      </c>
    </row>
    <row r="9002" spans="1:26" x14ac:dyDescent="0.2">
      <c r="A9002" s="8">
        <v>9001</v>
      </c>
      <c r="B9002" s="8" t="s">
        <v>39170</v>
      </c>
      <c r="C9002" s="8" t="s">
        <v>39170</v>
      </c>
      <c r="G9002" s="8">
        <v>20</v>
      </c>
      <c r="H9002" s="8" t="s">
        <v>21</v>
      </c>
      <c r="I9002" s="8" t="s">
        <v>22</v>
      </c>
      <c r="J9002" s="8" t="s">
        <v>22</v>
      </c>
      <c r="K9002" s="8" t="s">
        <v>460</v>
      </c>
      <c r="L9002" s="8" t="s">
        <v>26227</v>
      </c>
      <c r="M9002" s="8" t="s">
        <v>26228</v>
      </c>
      <c r="N9002" s="8" t="s">
        <v>39171</v>
      </c>
      <c r="O9002" s="8">
        <f>16+1/60+16.7/3600</f>
        <v>16.021305555555553</v>
      </c>
      <c r="P9002" s="8" t="s">
        <v>39172</v>
      </c>
      <c r="Q9002" s="8">
        <f>+(15+38/60+45/3600)</f>
        <v>15.645833333333332</v>
      </c>
      <c r="R9002" s="8">
        <v>14.1</v>
      </c>
      <c r="S9002" s="8">
        <v>15.1</v>
      </c>
      <c r="T9002" s="8">
        <v>1</v>
      </c>
      <c r="U9002" s="8">
        <v>13.7</v>
      </c>
      <c r="V9002" s="8">
        <v>0.8</v>
      </c>
      <c r="W9002" s="8">
        <v>0.8</v>
      </c>
      <c r="Y9002" s="8" t="s">
        <v>39173</v>
      </c>
      <c r="Z9002" s="8" t="s">
        <v>39174</v>
      </c>
    </row>
    <row r="9003" spans="1:26" x14ac:dyDescent="0.2">
      <c r="A9003" s="8">
        <v>9002</v>
      </c>
      <c r="B9003" s="8" t="s">
        <v>39175</v>
      </c>
      <c r="C9003" s="8" t="s">
        <v>39175</v>
      </c>
      <c r="G9003" s="8">
        <v>20</v>
      </c>
      <c r="H9003" s="8" t="s">
        <v>21</v>
      </c>
      <c r="I9003" s="8" t="s">
        <v>22</v>
      </c>
      <c r="J9003" s="8" t="s">
        <v>22</v>
      </c>
      <c r="K9003" s="8" t="s">
        <v>85</v>
      </c>
      <c r="L9003" s="8" t="s">
        <v>26804</v>
      </c>
      <c r="M9003" s="8" t="s">
        <v>26805</v>
      </c>
      <c r="N9003" s="8" t="s">
        <v>39176</v>
      </c>
      <c r="O9003" s="8">
        <f>16+1/60+16.3/3600</f>
        <v>16.021194444444443</v>
      </c>
      <c r="P9003" s="8" t="s">
        <v>39177</v>
      </c>
      <c r="Q9003" s="8">
        <f>+(17+40/60+39/3600)</f>
        <v>17.677500000000002</v>
      </c>
      <c r="R9003" s="8">
        <v>14.7</v>
      </c>
      <c r="S9003" s="8">
        <v>15.3</v>
      </c>
      <c r="T9003" s="8">
        <v>0.6</v>
      </c>
      <c r="U9003" s="8">
        <v>13.4</v>
      </c>
      <c r="V9003" s="8">
        <v>0.7</v>
      </c>
      <c r="W9003" s="8">
        <v>0.5</v>
      </c>
      <c r="Y9003" s="8" t="s">
        <v>21</v>
      </c>
      <c r="Z9003" s="8" t="s">
        <v>39178</v>
      </c>
    </row>
    <row r="9004" spans="1:26" x14ac:dyDescent="0.2">
      <c r="A9004" s="8">
        <v>9003</v>
      </c>
      <c r="B9004" s="8" t="s">
        <v>39179</v>
      </c>
      <c r="C9004" s="8" t="s">
        <v>39179</v>
      </c>
      <c r="G9004" s="8">
        <v>20</v>
      </c>
      <c r="H9004" s="8" t="s">
        <v>21</v>
      </c>
      <c r="I9004" s="8" t="s">
        <v>22</v>
      </c>
      <c r="J9004" s="8" t="s">
        <v>22</v>
      </c>
      <c r="K9004" s="8" t="s">
        <v>460</v>
      </c>
      <c r="L9004" s="8" t="s">
        <v>26227</v>
      </c>
      <c r="M9004" s="8" t="s">
        <v>26228</v>
      </c>
      <c r="N9004" s="8" t="s">
        <v>39180</v>
      </c>
      <c r="O9004" s="8">
        <f>16+1/60+30.6/3600</f>
        <v>16.025166666666667</v>
      </c>
      <c r="P9004" s="8" t="s">
        <v>39181</v>
      </c>
      <c r="Q9004" s="8">
        <f>+(15+30/60+16/3600)</f>
        <v>15.504444444444445</v>
      </c>
      <c r="R9004" s="8">
        <v>14</v>
      </c>
      <c r="S9004" s="8">
        <v>15</v>
      </c>
      <c r="T9004" s="8">
        <v>1</v>
      </c>
      <c r="U9004" s="8">
        <v>13.3</v>
      </c>
      <c r="V9004" s="8">
        <v>0.7</v>
      </c>
      <c r="W9004" s="8">
        <v>0.7</v>
      </c>
      <c r="Y9004" s="8" t="s">
        <v>39182</v>
      </c>
      <c r="Z9004" s="8" t="s">
        <v>39183</v>
      </c>
    </row>
    <row r="9005" spans="1:26" x14ac:dyDescent="0.2">
      <c r="A9005" s="8">
        <v>9004</v>
      </c>
      <c r="B9005" s="8" t="s">
        <v>39184</v>
      </c>
      <c r="C9005" s="8" t="s">
        <v>39184</v>
      </c>
      <c r="G9005" s="8">
        <v>20</v>
      </c>
      <c r="H9005" s="8" t="s">
        <v>21</v>
      </c>
      <c r="I9005" s="8" t="s">
        <v>72</v>
      </c>
      <c r="J9005" s="8" t="s">
        <v>72</v>
      </c>
      <c r="K9005" s="8" t="s">
        <v>20</v>
      </c>
      <c r="L9005" s="8" t="s">
        <v>14586</v>
      </c>
      <c r="M9005" s="8" t="s">
        <v>14587</v>
      </c>
      <c r="N9005" s="8" t="s">
        <v>39185</v>
      </c>
      <c r="O9005" s="8">
        <f>15+55/60+2.8/3600</f>
        <v>15.917444444444444</v>
      </c>
      <c r="P9005" s="8" t="s">
        <v>39186</v>
      </c>
      <c r="Q9005" s="8">
        <f>+(70+35/60+13/3600)</f>
        <v>70.586944444444441</v>
      </c>
      <c r="R9005" s="8">
        <v>99</v>
      </c>
      <c r="S9005" s="8">
        <v>14.4</v>
      </c>
      <c r="T9005" s="8">
        <v>99</v>
      </c>
      <c r="U9005" s="8">
        <v>99</v>
      </c>
      <c r="Y9005" s="8" t="s">
        <v>21</v>
      </c>
      <c r="Z9005" s="8" t="s">
        <v>39187</v>
      </c>
    </row>
    <row r="9006" spans="1:26" x14ac:dyDescent="0.2">
      <c r="A9006" s="8">
        <v>9005</v>
      </c>
      <c r="B9006" s="8" t="s">
        <v>39188</v>
      </c>
      <c r="C9006" s="8" t="s">
        <v>39188</v>
      </c>
      <c r="G9006" s="8">
        <v>20</v>
      </c>
      <c r="H9006" s="8" t="s">
        <v>21</v>
      </c>
      <c r="I9006" s="8" t="s">
        <v>22</v>
      </c>
      <c r="J9006" s="8" t="s">
        <v>22</v>
      </c>
      <c r="K9006" s="8" t="s">
        <v>58</v>
      </c>
      <c r="L9006" s="8" t="s">
        <v>26804</v>
      </c>
      <c r="M9006" s="8" t="s">
        <v>26805</v>
      </c>
      <c r="N9006" s="8" t="s">
        <v>39189</v>
      </c>
      <c r="O9006" s="8">
        <f>16+2/60+7.9/3600</f>
        <v>16.03552777777778</v>
      </c>
      <c r="P9006" s="8" t="s">
        <v>39190</v>
      </c>
      <c r="Q9006" s="8">
        <f>+(15+41/60+47/3600)</f>
        <v>15.696388888888889</v>
      </c>
      <c r="R9006" s="8">
        <v>14.2</v>
      </c>
      <c r="S9006" s="8">
        <v>15.2</v>
      </c>
      <c r="T9006" s="8">
        <v>1</v>
      </c>
      <c r="U9006" s="8">
        <v>13.1</v>
      </c>
      <c r="V9006" s="8">
        <v>0.8</v>
      </c>
      <c r="W9006" s="8">
        <v>0.5</v>
      </c>
      <c r="X9006" s="8">
        <v>156</v>
      </c>
      <c r="Y9006" s="8" t="s">
        <v>37284</v>
      </c>
      <c r="Z9006" s="8" t="s">
        <v>37285</v>
      </c>
    </row>
    <row r="9007" spans="1:26" x14ac:dyDescent="0.2">
      <c r="A9007" s="8">
        <v>9006</v>
      </c>
      <c r="B9007" s="8" t="s">
        <v>39191</v>
      </c>
      <c r="C9007" s="8" t="s">
        <v>39191</v>
      </c>
      <c r="E9007" s="8">
        <v>1</v>
      </c>
      <c r="G9007" s="8">
        <v>20</v>
      </c>
      <c r="H9007" s="8" t="s">
        <v>21</v>
      </c>
      <c r="I9007" s="8" t="s">
        <v>22</v>
      </c>
      <c r="J9007" s="8" t="s">
        <v>22</v>
      </c>
      <c r="K9007" s="8" t="s">
        <v>449</v>
      </c>
      <c r="L9007" s="8" t="s">
        <v>26398</v>
      </c>
      <c r="M9007" s="8" t="s">
        <v>26399</v>
      </c>
      <c r="N9007" s="8" t="s">
        <v>39192</v>
      </c>
      <c r="O9007" s="8">
        <f>16+2/60+8.9/3600</f>
        <v>16.035805555555559</v>
      </c>
      <c r="P9007" s="8" t="s">
        <v>39193</v>
      </c>
      <c r="Q9007" s="8">
        <f>+(26+19/60+30/3600)</f>
        <v>26.324999999999999</v>
      </c>
      <c r="R9007" s="8">
        <v>14.7</v>
      </c>
      <c r="S9007" s="8">
        <v>15.5</v>
      </c>
      <c r="T9007" s="8">
        <v>0.8</v>
      </c>
      <c r="U9007" s="8">
        <v>11.8</v>
      </c>
      <c r="V9007" s="8">
        <v>0.4</v>
      </c>
      <c r="W9007" s="8">
        <v>0.2</v>
      </c>
      <c r="X9007" s="8">
        <v>160</v>
      </c>
      <c r="Y9007" s="8" t="s">
        <v>21</v>
      </c>
      <c r="Z9007" s="8" t="s">
        <v>39194</v>
      </c>
    </row>
    <row r="9008" spans="1:26" x14ac:dyDescent="0.2">
      <c r="A9008" s="8">
        <v>9007</v>
      </c>
      <c r="B9008" s="8" t="s">
        <v>39195</v>
      </c>
      <c r="C9008" s="8" t="s">
        <v>39195</v>
      </c>
      <c r="G9008" s="8">
        <v>20</v>
      </c>
      <c r="H9008" s="8" t="s">
        <v>21</v>
      </c>
      <c r="I9008" s="8" t="s">
        <v>22</v>
      </c>
      <c r="J9008" s="8" t="s">
        <v>22</v>
      </c>
      <c r="K9008" s="8" t="s">
        <v>37</v>
      </c>
      <c r="L9008" s="8" t="s">
        <v>26227</v>
      </c>
      <c r="M9008" s="8" t="s">
        <v>26228</v>
      </c>
      <c r="N9008" s="8" t="s">
        <v>39196</v>
      </c>
      <c r="O9008" s="8">
        <f>16+3/60+52.9/3600</f>
        <v>16.064694444444445</v>
      </c>
      <c r="P9008" s="8" t="s">
        <v>39197</v>
      </c>
      <c r="Q9008" s="8">
        <f>+(14+56/60+46/3600)</f>
        <v>14.946111111111112</v>
      </c>
      <c r="R9008" s="8">
        <v>14.2</v>
      </c>
      <c r="S9008" s="8">
        <v>15.2</v>
      </c>
      <c r="T9008" s="8">
        <v>1</v>
      </c>
      <c r="U9008" s="8">
        <v>13.3</v>
      </c>
      <c r="V9008" s="8">
        <v>0.7</v>
      </c>
      <c r="W9008" s="8">
        <v>0.7</v>
      </c>
      <c r="Y9008" s="8" t="s">
        <v>2181</v>
      </c>
      <c r="Z9008" s="8" t="s">
        <v>2182</v>
      </c>
    </row>
    <row r="9009" spans="1:26" x14ac:dyDescent="0.2">
      <c r="A9009" s="8">
        <v>9008</v>
      </c>
      <c r="B9009" s="8" t="s">
        <v>39198</v>
      </c>
      <c r="C9009" s="8" t="s">
        <v>39198</v>
      </c>
      <c r="G9009" s="8">
        <v>20</v>
      </c>
      <c r="H9009" s="8" t="s">
        <v>21</v>
      </c>
      <c r="I9009" s="8" t="s">
        <v>22</v>
      </c>
      <c r="J9009" s="8" t="s">
        <v>22</v>
      </c>
      <c r="K9009" s="8" t="s">
        <v>460</v>
      </c>
      <c r="L9009" s="8" t="s">
        <v>26227</v>
      </c>
      <c r="M9009" s="8" t="s">
        <v>26228</v>
      </c>
      <c r="N9009" s="8" t="s">
        <v>39199</v>
      </c>
      <c r="O9009" s="8">
        <f>16+3/60+55.6/3600</f>
        <v>16.065444444444445</v>
      </c>
      <c r="P9009" s="8" t="s">
        <v>39200</v>
      </c>
      <c r="Q9009" s="8">
        <f>+(14+54/60+11/3600)</f>
        <v>14.903055555555556</v>
      </c>
      <c r="R9009" s="8">
        <v>14.5</v>
      </c>
      <c r="S9009" s="8">
        <v>15.5</v>
      </c>
      <c r="T9009" s="8">
        <v>1</v>
      </c>
      <c r="U9009" s="8">
        <v>13.8</v>
      </c>
      <c r="V9009" s="8">
        <v>0.7</v>
      </c>
      <c r="W9009" s="8">
        <v>0.7</v>
      </c>
      <c r="Y9009" s="8" t="s">
        <v>21</v>
      </c>
      <c r="Z9009" s="8" t="s">
        <v>39201</v>
      </c>
    </row>
    <row r="9010" spans="1:26" x14ac:dyDescent="0.2">
      <c r="A9010" s="8">
        <v>9009</v>
      </c>
      <c r="B9010" s="8" t="s">
        <v>39202</v>
      </c>
      <c r="C9010" s="8" t="s">
        <v>39202</v>
      </c>
      <c r="G9010" s="8">
        <v>20</v>
      </c>
      <c r="H9010" s="8" t="s">
        <v>21</v>
      </c>
      <c r="I9010" s="8" t="s">
        <v>22</v>
      </c>
      <c r="J9010" s="8" t="s">
        <v>22</v>
      </c>
      <c r="K9010" s="8" t="s">
        <v>23</v>
      </c>
      <c r="L9010" s="8" t="s">
        <v>26227</v>
      </c>
      <c r="M9010" s="8" t="s">
        <v>26228</v>
      </c>
      <c r="N9010" s="8" t="s">
        <v>39203</v>
      </c>
      <c r="O9010" s="8">
        <f>16+4/60+13.4/3600</f>
        <v>16.070388888888889</v>
      </c>
      <c r="P9010" s="8" t="s">
        <v>39204</v>
      </c>
      <c r="Q9010" s="8">
        <f>+(13+44/60+39/3600)</f>
        <v>13.744166666666667</v>
      </c>
      <c r="R9010" s="8">
        <v>13.3</v>
      </c>
      <c r="S9010" s="8">
        <v>14.1</v>
      </c>
      <c r="T9010" s="8">
        <v>0.8</v>
      </c>
      <c r="U9010" s="8">
        <v>12.6</v>
      </c>
      <c r="V9010" s="8">
        <v>1</v>
      </c>
      <c r="W9010" s="8">
        <v>0.6</v>
      </c>
      <c r="X9010" s="8">
        <v>10</v>
      </c>
      <c r="Y9010" s="8" t="s">
        <v>2287</v>
      </c>
      <c r="Z9010" s="8" t="s">
        <v>2288</v>
      </c>
    </row>
    <row r="9011" spans="1:26" x14ac:dyDescent="0.2">
      <c r="A9011" s="8">
        <v>9010</v>
      </c>
      <c r="B9011" s="8" t="s">
        <v>39205</v>
      </c>
      <c r="C9011" s="8" t="s">
        <v>39205</v>
      </c>
      <c r="G9011" s="8">
        <v>20</v>
      </c>
      <c r="H9011" s="8" t="s">
        <v>21</v>
      </c>
      <c r="I9011" s="8" t="s">
        <v>22</v>
      </c>
      <c r="J9011" s="8" t="s">
        <v>22</v>
      </c>
      <c r="K9011" s="8" t="s">
        <v>58</v>
      </c>
      <c r="L9011" s="8" t="s">
        <v>26804</v>
      </c>
      <c r="M9011" s="8" t="s">
        <v>26805</v>
      </c>
      <c r="N9011" s="8" t="s">
        <v>39206</v>
      </c>
      <c r="O9011" s="8">
        <f>16+4/60+31.6/3600</f>
        <v>16.075444444444443</v>
      </c>
      <c r="P9011" s="8" t="s">
        <v>26928</v>
      </c>
      <c r="Q9011" s="8">
        <f>+(17+43/60+17/3600)</f>
        <v>17.721388888888889</v>
      </c>
      <c r="R9011" s="8">
        <v>14.9</v>
      </c>
      <c r="S9011" s="8">
        <v>15.9</v>
      </c>
      <c r="T9011" s="8">
        <v>1</v>
      </c>
      <c r="U9011" s="8">
        <v>12.2</v>
      </c>
      <c r="V9011" s="8">
        <v>0.4</v>
      </c>
      <c r="W9011" s="8">
        <v>0.2</v>
      </c>
      <c r="X9011" s="8">
        <v>88</v>
      </c>
      <c r="Y9011" s="8" t="s">
        <v>21</v>
      </c>
      <c r="Z9011" s="8" t="s">
        <v>39207</v>
      </c>
    </row>
    <row r="9012" spans="1:26" x14ac:dyDescent="0.2">
      <c r="A9012" s="8">
        <v>9011</v>
      </c>
      <c r="B9012" s="8" t="s">
        <v>39208</v>
      </c>
      <c r="C9012" s="8" t="s">
        <v>39208</v>
      </c>
      <c r="G9012" s="8">
        <v>20</v>
      </c>
      <c r="H9012" s="8" t="s">
        <v>21</v>
      </c>
      <c r="I9012" s="8" t="s">
        <v>72</v>
      </c>
      <c r="J9012" s="8" t="s">
        <v>72</v>
      </c>
      <c r="K9012" s="8" t="s">
        <v>20</v>
      </c>
      <c r="L9012" s="8" t="s">
        <v>26804</v>
      </c>
      <c r="M9012" s="8" t="s">
        <v>26805</v>
      </c>
      <c r="N9012" s="8" t="s">
        <v>39209</v>
      </c>
      <c r="O9012" s="8">
        <f>16+4/60+51.9/3600</f>
        <v>16.081083333333332</v>
      </c>
      <c r="P9012" s="8" t="s">
        <v>39210</v>
      </c>
      <c r="Q9012" s="8">
        <f>+(17+58/60+43/3600)</f>
        <v>17.97861111111111</v>
      </c>
      <c r="R9012" s="8">
        <v>99</v>
      </c>
      <c r="S9012" s="8">
        <v>14.1</v>
      </c>
      <c r="T9012" s="8">
        <v>99</v>
      </c>
      <c r="U9012" s="8">
        <v>99</v>
      </c>
      <c r="Y9012" s="8" t="s">
        <v>21</v>
      </c>
      <c r="Z9012" s="8" t="s">
        <v>39211</v>
      </c>
    </row>
    <row r="9013" spans="1:26" x14ac:dyDescent="0.2">
      <c r="A9013" s="8">
        <v>9012</v>
      </c>
      <c r="B9013" s="8" t="s">
        <v>39212</v>
      </c>
      <c r="C9013" s="8" t="s">
        <v>39212</v>
      </c>
      <c r="G9013" s="8">
        <v>20</v>
      </c>
      <c r="H9013" s="8" t="s">
        <v>21</v>
      </c>
      <c r="I9013" s="8" t="s">
        <v>22</v>
      </c>
      <c r="J9013" s="8" t="s">
        <v>57</v>
      </c>
      <c r="K9013" s="8" t="s">
        <v>37</v>
      </c>
      <c r="L9013" s="8" t="s">
        <v>26804</v>
      </c>
      <c r="M9013" s="8" t="s">
        <v>26805</v>
      </c>
      <c r="N9013" s="8" t="s">
        <v>26936</v>
      </c>
      <c r="O9013" s="8">
        <f>16+4/60+59.6/3600</f>
        <v>16.083222222222222</v>
      </c>
      <c r="P9013" s="8" t="s">
        <v>26937</v>
      </c>
      <c r="Q9013" s="8">
        <f>+(17+52/60+13/3600)</f>
        <v>17.87027777777778</v>
      </c>
      <c r="R9013" s="8">
        <v>14.3</v>
      </c>
      <c r="S9013" s="8">
        <v>15.3</v>
      </c>
      <c r="T9013" s="8">
        <v>1</v>
      </c>
      <c r="U9013" s="8">
        <v>13</v>
      </c>
      <c r="V9013" s="8">
        <v>0.6</v>
      </c>
      <c r="W9013" s="8">
        <v>0.6</v>
      </c>
      <c r="Y9013" s="8" t="s">
        <v>37758</v>
      </c>
      <c r="Z9013" s="8" t="s">
        <v>39213</v>
      </c>
    </row>
    <row r="9014" spans="1:26" x14ac:dyDescent="0.2">
      <c r="A9014" s="8">
        <v>9013</v>
      </c>
      <c r="B9014" s="8" t="s">
        <v>39214</v>
      </c>
      <c r="C9014" s="8" t="s">
        <v>39214</v>
      </c>
      <c r="G9014" s="8">
        <v>20</v>
      </c>
      <c r="H9014" s="8" t="s">
        <v>21</v>
      </c>
      <c r="I9014" s="8" t="s">
        <v>22</v>
      </c>
      <c r="J9014" s="8" t="s">
        <v>22</v>
      </c>
      <c r="K9014" s="8" t="s">
        <v>64</v>
      </c>
      <c r="L9014" s="8" t="s">
        <v>26804</v>
      </c>
      <c r="M9014" s="8" t="s">
        <v>26805</v>
      </c>
      <c r="N9014" s="8" t="s">
        <v>39215</v>
      </c>
      <c r="O9014" s="8">
        <f>16+5/60+12.7/3600</f>
        <v>16.086861111111109</v>
      </c>
      <c r="P9014" s="8" t="s">
        <v>39216</v>
      </c>
      <c r="Q9014" s="8">
        <f>+(17+25/60+21/3600)</f>
        <v>17.422499999999999</v>
      </c>
      <c r="R9014" s="8">
        <v>14.7</v>
      </c>
      <c r="S9014" s="8">
        <v>15.5</v>
      </c>
      <c r="T9014" s="8">
        <v>0.8</v>
      </c>
      <c r="U9014" s="8">
        <v>13.7</v>
      </c>
      <c r="V9014" s="8">
        <v>0.9</v>
      </c>
      <c r="W9014" s="8">
        <v>0.5</v>
      </c>
      <c r="X9014" s="8">
        <v>55</v>
      </c>
      <c r="Y9014" s="8" t="s">
        <v>39217</v>
      </c>
      <c r="Z9014" s="8" t="s">
        <v>39218</v>
      </c>
    </row>
    <row r="9015" spans="1:26" x14ac:dyDescent="0.2">
      <c r="A9015" s="8">
        <v>9014</v>
      </c>
      <c r="B9015" s="8" t="s">
        <v>39219</v>
      </c>
      <c r="C9015" s="8" t="s">
        <v>39219</v>
      </c>
      <c r="G9015" s="8">
        <v>20</v>
      </c>
      <c r="H9015" s="8" t="s">
        <v>21</v>
      </c>
      <c r="I9015" s="8" t="s">
        <v>22</v>
      </c>
      <c r="J9015" s="8" t="s">
        <v>22</v>
      </c>
      <c r="K9015" s="8" t="s">
        <v>632</v>
      </c>
      <c r="L9015" s="8" t="s">
        <v>26227</v>
      </c>
      <c r="M9015" s="8" t="s">
        <v>26228</v>
      </c>
      <c r="N9015" s="8" t="s">
        <v>39220</v>
      </c>
      <c r="O9015" s="8">
        <f>16+5/60+26.9/3600</f>
        <v>16.090805555555555</v>
      </c>
      <c r="P9015" s="8" t="s">
        <v>39221</v>
      </c>
      <c r="Q9015" s="8">
        <f>+(15+1/60+31/3600)</f>
        <v>15.025277777777779</v>
      </c>
      <c r="R9015" s="8">
        <v>13.4</v>
      </c>
      <c r="S9015" s="8">
        <v>14.3</v>
      </c>
      <c r="T9015" s="8">
        <v>0.9</v>
      </c>
      <c r="U9015" s="8">
        <v>12.8</v>
      </c>
      <c r="V9015" s="8">
        <v>1</v>
      </c>
      <c r="W9015" s="8">
        <v>0.8</v>
      </c>
      <c r="X9015" s="8">
        <v>50</v>
      </c>
      <c r="Y9015" s="8" t="s">
        <v>21</v>
      </c>
      <c r="Z9015" s="8" t="s">
        <v>39222</v>
      </c>
    </row>
    <row r="9016" spans="1:26" x14ac:dyDescent="0.2">
      <c r="A9016" s="8">
        <v>9015</v>
      </c>
      <c r="B9016" s="8" t="s">
        <v>39223</v>
      </c>
      <c r="C9016" s="8" t="s">
        <v>39223</v>
      </c>
      <c r="G9016" s="8">
        <v>20</v>
      </c>
      <c r="H9016" s="8" t="s">
        <v>21</v>
      </c>
      <c r="I9016" s="8" t="s">
        <v>72</v>
      </c>
      <c r="J9016" s="8" t="s">
        <v>72</v>
      </c>
      <c r="K9016" s="8" t="s">
        <v>73</v>
      </c>
      <c r="L9016" s="8" t="s">
        <v>26804</v>
      </c>
      <c r="M9016" s="8" t="s">
        <v>26805</v>
      </c>
      <c r="N9016" s="8" t="s">
        <v>39224</v>
      </c>
      <c r="O9016" s="8">
        <f>16+5/60+22.7/3600</f>
        <v>16.089638888888889</v>
      </c>
      <c r="P9016" s="8" t="s">
        <v>39225</v>
      </c>
      <c r="Q9016" s="8">
        <f>+(18+9/60+47/3600)</f>
        <v>18.163055555555555</v>
      </c>
      <c r="R9016" s="8">
        <v>99</v>
      </c>
      <c r="S9016" s="8">
        <v>99</v>
      </c>
      <c r="T9016" s="8">
        <v>99</v>
      </c>
      <c r="U9016" s="8">
        <v>99</v>
      </c>
      <c r="Y9016" s="8" t="s">
        <v>21</v>
      </c>
      <c r="Z9016" s="8" t="s">
        <v>39226</v>
      </c>
    </row>
    <row r="9017" spans="1:26" x14ac:dyDescent="0.2">
      <c r="A9017" s="8">
        <v>9016</v>
      </c>
      <c r="B9017" s="8" t="s">
        <v>39227</v>
      </c>
      <c r="C9017" s="8" t="s">
        <v>39227</v>
      </c>
      <c r="G9017" s="8">
        <v>20</v>
      </c>
      <c r="H9017" s="8" t="s">
        <v>21</v>
      </c>
      <c r="I9017" s="8" t="s">
        <v>22</v>
      </c>
      <c r="J9017" s="8" t="s">
        <v>57</v>
      </c>
      <c r="K9017" s="8" t="s">
        <v>435</v>
      </c>
      <c r="L9017" s="8" t="s">
        <v>26804</v>
      </c>
      <c r="M9017" s="8" t="s">
        <v>26805</v>
      </c>
      <c r="N9017" s="8" t="s">
        <v>26982</v>
      </c>
      <c r="O9017" s="8">
        <f>16+5/60+31.1/3600</f>
        <v>16.091972222222221</v>
      </c>
      <c r="P9017" s="8" t="s">
        <v>26983</v>
      </c>
      <c r="Q9017" s="8">
        <f>+(17+57/60+46/3600)</f>
        <v>17.962777777777777</v>
      </c>
      <c r="R9017" s="8">
        <v>13.9</v>
      </c>
      <c r="S9017" s="8">
        <v>15</v>
      </c>
      <c r="T9017" s="8">
        <v>1.1000000000000001</v>
      </c>
      <c r="U9017" s="8">
        <v>12.9</v>
      </c>
      <c r="V9017" s="8">
        <v>0.9</v>
      </c>
      <c r="W9017" s="8">
        <v>0.5</v>
      </c>
      <c r="X9017" s="8">
        <v>56</v>
      </c>
      <c r="Y9017" s="8" t="s">
        <v>21</v>
      </c>
      <c r="Z9017" s="8" t="s">
        <v>39228</v>
      </c>
    </row>
    <row r="9018" spans="1:26" x14ac:dyDescent="0.2">
      <c r="A9018" s="8">
        <v>9017</v>
      </c>
      <c r="B9018" s="8" t="s">
        <v>39229</v>
      </c>
      <c r="C9018" s="8" t="s">
        <v>39229</v>
      </c>
      <c r="G9018" s="8">
        <v>20</v>
      </c>
      <c r="H9018" s="8" t="s">
        <v>21</v>
      </c>
      <c r="I9018" s="8" t="s">
        <v>22</v>
      </c>
      <c r="J9018" s="8" t="s">
        <v>22</v>
      </c>
      <c r="K9018" s="8" t="s">
        <v>632</v>
      </c>
      <c r="L9018" s="8" t="s">
        <v>26804</v>
      </c>
      <c r="M9018" s="8" t="s">
        <v>26805</v>
      </c>
      <c r="N9018" s="8" t="s">
        <v>39230</v>
      </c>
      <c r="O9018" s="8">
        <f>16+5/60+19.5/3600</f>
        <v>16.088749999999997</v>
      </c>
      <c r="P9018" s="8" t="s">
        <v>39231</v>
      </c>
      <c r="Q9018" s="8">
        <f>+(18+18/60+55/3600)</f>
        <v>18.31527777777778</v>
      </c>
      <c r="R9018" s="8">
        <v>15.3</v>
      </c>
      <c r="S9018" s="8">
        <v>16.2</v>
      </c>
      <c r="T9018" s="8">
        <v>0.9</v>
      </c>
      <c r="U9018" s="8">
        <v>13.4</v>
      </c>
      <c r="V9018" s="8">
        <v>0.5</v>
      </c>
      <c r="W9018" s="8">
        <v>0.4</v>
      </c>
      <c r="Y9018" s="8" t="s">
        <v>21</v>
      </c>
      <c r="Z9018" s="8" t="s">
        <v>39232</v>
      </c>
    </row>
    <row r="9019" spans="1:26" x14ac:dyDescent="0.2">
      <c r="A9019" s="8">
        <v>9018</v>
      </c>
      <c r="B9019" s="8" t="s">
        <v>39233</v>
      </c>
      <c r="C9019" s="8" t="s">
        <v>39233</v>
      </c>
      <c r="G9019" s="8">
        <v>20</v>
      </c>
      <c r="H9019" s="8" t="s">
        <v>21</v>
      </c>
      <c r="I9019" s="8" t="s">
        <v>22</v>
      </c>
      <c r="J9019" s="8" t="s">
        <v>22</v>
      </c>
      <c r="K9019" s="8" t="s">
        <v>58</v>
      </c>
      <c r="L9019" s="8" t="s">
        <v>26804</v>
      </c>
      <c r="M9019" s="8" t="s">
        <v>26805</v>
      </c>
      <c r="N9019" s="8" t="s">
        <v>39234</v>
      </c>
      <c r="O9019" s="8">
        <f>16+5/60+33/3600</f>
        <v>16.092499999999998</v>
      </c>
      <c r="P9019" s="8" t="s">
        <v>39235</v>
      </c>
      <c r="Q9019" s="8">
        <f>+(17+36/60+7/3600)</f>
        <v>17.601944444444445</v>
      </c>
      <c r="R9019" s="8">
        <v>14.1</v>
      </c>
      <c r="S9019" s="8">
        <v>15.2</v>
      </c>
      <c r="T9019" s="8">
        <v>1.1000000000000001</v>
      </c>
      <c r="U9019" s="8">
        <v>13.9</v>
      </c>
      <c r="V9019" s="8">
        <v>1</v>
      </c>
      <c r="W9019" s="8">
        <v>0.9</v>
      </c>
      <c r="X9019" s="8">
        <v>36</v>
      </c>
      <c r="Y9019" s="8" t="s">
        <v>39236</v>
      </c>
      <c r="Z9019" s="8" t="s">
        <v>39237</v>
      </c>
    </row>
    <row r="9020" spans="1:26" x14ac:dyDescent="0.2">
      <c r="A9020" s="8">
        <v>9019</v>
      </c>
      <c r="B9020" s="8" t="s">
        <v>39238</v>
      </c>
      <c r="C9020" s="8" t="s">
        <v>39238</v>
      </c>
      <c r="D9020" s="8" t="s">
        <v>351</v>
      </c>
      <c r="G9020" s="8">
        <v>20</v>
      </c>
      <c r="H9020" s="8" t="s">
        <v>21</v>
      </c>
      <c r="I9020" s="8" t="s">
        <v>22</v>
      </c>
      <c r="J9020" s="8" t="s">
        <v>57</v>
      </c>
      <c r="K9020" s="8" t="s">
        <v>64</v>
      </c>
      <c r="L9020" s="8" t="s">
        <v>26804</v>
      </c>
      <c r="M9020" s="8" t="s">
        <v>26805</v>
      </c>
      <c r="N9020" s="8" t="s">
        <v>26959</v>
      </c>
      <c r="O9020" s="8">
        <f>16+5/60+23.5/3600</f>
        <v>16.089861111111109</v>
      </c>
      <c r="P9020" s="8" t="s">
        <v>18935</v>
      </c>
      <c r="Q9020" s="8">
        <f>+(17+45/60+26/3600)</f>
        <v>17.757222222222222</v>
      </c>
      <c r="R9020" s="8">
        <v>14.7</v>
      </c>
      <c r="S9020" s="8">
        <v>15.4</v>
      </c>
      <c r="T9020" s="8">
        <v>0.7</v>
      </c>
      <c r="U9020" s="8">
        <v>13.9</v>
      </c>
      <c r="V9020" s="8">
        <v>0.9</v>
      </c>
      <c r="W9020" s="8">
        <v>0.6</v>
      </c>
      <c r="X9020" s="8">
        <v>132</v>
      </c>
      <c r="Y9020" s="8" t="s">
        <v>21</v>
      </c>
      <c r="Z9020" s="8" t="s">
        <v>39239</v>
      </c>
    </row>
    <row r="9021" spans="1:26" x14ac:dyDescent="0.2">
      <c r="A9021" s="8">
        <v>9020</v>
      </c>
      <c r="B9021" s="8" t="s">
        <v>39240</v>
      </c>
      <c r="C9021" s="8" t="s">
        <v>39240</v>
      </c>
      <c r="G9021" s="8">
        <v>20</v>
      </c>
      <c r="H9021" s="8" t="s">
        <v>21</v>
      </c>
      <c r="I9021" s="8" t="s">
        <v>72</v>
      </c>
      <c r="J9021" s="8" t="s">
        <v>72</v>
      </c>
      <c r="K9021" s="8" t="s">
        <v>20</v>
      </c>
      <c r="L9021" s="8" t="s">
        <v>26804</v>
      </c>
      <c r="M9021" s="8" t="s">
        <v>26805</v>
      </c>
      <c r="N9021" s="8" t="s">
        <v>39241</v>
      </c>
      <c r="O9021" s="8">
        <f>16+5/60+30/3600</f>
        <v>16.091666666666665</v>
      </c>
      <c r="P9021" s="8" t="s">
        <v>39242</v>
      </c>
      <c r="Q9021" s="8">
        <f>+(18+8/60+58/3600)</f>
        <v>18.149444444444445</v>
      </c>
      <c r="R9021" s="8">
        <v>99</v>
      </c>
      <c r="S9021" s="8">
        <v>99</v>
      </c>
      <c r="T9021" s="8">
        <v>99</v>
      </c>
      <c r="U9021" s="8">
        <v>99</v>
      </c>
      <c r="Y9021" s="8" t="s">
        <v>21</v>
      </c>
      <c r="Z9021" s="8" t="s">
        <v>39243</v>
      </c>
    </row>
    <row r="9022" spans="1:26" x14ac:dyDescent="0.2">
      <c r="A9022" s="8">
        <v>9021</v>
      </c>
      <c r="B9022" s="8" t="s">
        <v>39244</v>
      </c>
      <c r="C9022" s="8" t="s">
        <v>39244</v>
      </c>
      <c r="G9022" s="8">
        <v>20</v>
      </c>
      <c r="H9022" s="8" t="s">
        <v>21</v>
      </c>
      <c r="I9022" s="8" t="s">
        <v>22</v>
      </c>
      <c r="J9022" s="8" t="s">
        <v>22</v>
      </c>
      <c r="K9022" s="8" t="s">
        <v>435</v>
      </c>
      <c r="L9022" s="8" t="s">
        <v>26804</v>
      </c>
      <c r="M9022" s="8" t="s">
        <v>26805</v>
      </c>
      <c r="N9022" s="8" t="s">
        <v>39245</v>
      </c>
      <c r="O9022" s="8">
        <f>16+5/60+33.9/3600</f>
        <v>16.092749999999999</v>
      </c>
      <c r="P9022" s="8" t="s">
        <v>39246</v>
      </c>
      <c r="Q9022" s="8">
        <f>+(17+35/60+37/3600)</f>
        <v>17.593611111111109</v>
      </c>
      <c r="R9022" s="8">
        <v>14.8</v>
      </c>
      <c r="S9022" s="8">
        <v>15.9</v>
      </c>
      <c r="T9022" s="8">
        <v>1.1000000000000001</v>
      </c>
      <c r="U9022" s="8">
        <v>14</v>
      </c>
      <c r="V9022" s="8">
        <v>0.8</v>
      </c>
      <c r="W9022" s="8">
        <v>0.4</v>
      </c>
      <c r="X9022" s="8">
        <v>70</v>
      </c>
      <c r="Y9022" s="8" t="s">
        <v>21</v>
      </c>
      <c r="Z9022" s="8" t="s">
        <v>39247</v>
      </c>
    </row>
    <row r="9023" spans="1:26" x14ac:dyDescent="0.2">
      <c r="A9023" s="8">
        <v>9022</v>
      </c>
      <c r="B9023" s="8" t="s">
        <v>39248</v>
      </c>
      <c r="C9023" s="8" t="s">
        <v>39248</v>
      </c>
      <c r="G9023" s="8">
        <v>20</v>
      </c>
      <c r="H9023" s="8" t="s">
        <v>21</v>
      </c>
      <c r="I9023" s="8" t="s">
        <v>22</v>
      </c>
      <c r="J9023" s="8" t="s">
        <v>22</v>
      </c>
      <c r="K9023" s="8" t="s">
        <v>632</v>
      </c>
      <c r="L9023" s="8" t="s">
        <v>26804</v>
      </c>
      <c r="M9023" s="8" t="s">
        <v>26805</v>
      </c>
      <c r="N9023" s="8" t="s">
        <v>39249</v>
      </c>
      <c r="O9023" s="8">
        <f>16+5/60+36.7/3600</f>
        <v>16.093527777777776</v>
      </c>
      <c r="P9023" s="8" t="s">
        <v>39250</v>
      </c>
      <c r="Q9023" s="8">
        <f>+(17+48/60+10/3600)</f>
        <v>17.802777777777777</v>
      </c>
      <c r="R9023" s="8">
        <v>14.2</v>
      </c>
      <c r="S9023" s="8">
        <v>15.2</v>
      </c>
      <c r="T9023" s="8">
        <v>1</v>
      </c>
      <c r="U9023" s="8">
        <v>12.9</v>
      </c>
      <c r="V9023" s="8">
        <v>1</v>
      </c>
      <c r="W9023" s="8">
        <v>0.5</v>
      </c>
      <c r="X9023" s="8">
        <v>81</v>
      </c>
      <c r="Y9023" s="8" t="s">
        <v>35080</v>
      </c>
      <c r="Z9023" s="8" t="s">
        <v>35081</v>
      </c>
    </row>
    <row r="9024" spans="1:26" x14ac:dyDescent="0.2">
      <c r="A9024" s="8">
        <v>9023</v>
      </c>
      <c r="B9024" s="8" t="s">
        <v>39251</v>
      </c>
      <c r="C9024" s="8" t="s">
        <v>39251</v>
      </c>
      <c r="G9024" s="8">
        <v>20</v>
      </c>
      <c r="H9024" s="8" t="s">
        <v>21</v>
      </c>
      <c r="I9024" s="8" t="s">
        <v>22</v>
      </c>
      <c r="J9024" s="8" t="s">
        <v>57</v>
      </c>
      <c r="K9024" s="8" t="s">
        <v>224</v>
      </c>
      <c r="L9024" s="8" t="s">
        <v>26804</v>
      </c>
      <c r="M9024" s="8" t="s">
        <v>26805</v>
      </c>
      <c r="N9024" s="8" t="s">
        <v>26974</v>
      </c>
      <c r="O9024" s="8">
        <f>16+5/60+38.1/3600</f>
        <v>16.093916666666665</v>
      </c>
      <c r="P9024" s="8" t="s">
        <v>26975</v>
      </c>
      <c r="Q9024" s="8">
        <f>+(17+46/60+3/3600)</f>
        <v>17.767499999999998</v>
      </c>
      <c r="R9024" s="8">
        <v>14.2</v>
      </c>
      <c r="S9024" s="8">
        <v>15.3</v>
      </c>
      <c r="T9024" s="8">
        <v>1.1000000000000001</v>
      </c>
      <c r="U9024" s="8">
        <v>12.9</v>
      </c>
      <c r="V9024" s="8">
        <v>0.8</v>
      </c>
      <c r="W9024" s="8">
        <v>0.4</v>
      </c>
      <c r="X9024" s="8">
        <v>65</v>
      </c>
      <c r="Y9024" s="8" t="s">
        <v>39252</v>
      </c>
      <c r="Z9024" s="8" t="s">
        <v>39253</v>
      </c>
    </row>
    <row r="9025" spans="1:26" x14ac:dyDescent="0.2">
      <c r="A9025" s="8">
        <v>9024</v>
      </c>
      <c r="B9025" s="8" t="s">
        <v>39254</v>
      </c>
      <c r="C9025" s="8" t="s">
        <v>39254</v>
      </c>
      <c r="G9025" s="8">
        <v>20</v>
      </c>
      <c r="H9025" s="8" t="s">
        <v>21</v>
      </c>
      <c r="I9025" s="8" t="s">
        <v>72</v>
      </c>
      <c r="J9025" s="8" t="s">
        <v>72</v>
      </c>
      <c r="K9025" s="8" t="s">
        <v>73</v>
      </c>
      <c r="L9025" s="8" t="s">
        <v>26804</v>
      </c>
      <c r="M9025" s="8" t="s">
        <v>26805</v>
      </c>
      <c r="N9025" s="8" t="s">
        <v>39255</v>
      </c>
      <c r="O9025" s="8">
        <f>16+5/60+42.9/3600</f>
        <v>16.09525</v>
      </c>
      <c r="P9025" s="8" t="s">
        <v>39256</v>
      </c>
      <c r="Q9025" s="8">
        <f>+(17+47/60+21/3600)</f>
        <v>17.789166666666667</v>
      </c>
      <c r="R9025" s="8">
        <v>99</v>
      </c>
      <c r="S9025" s="8">
        <v>99</v>
      </c>
      <c r="T9025" s="8">
        <v>99</v>
      </c>
      <c r="U9025" s="8">
        <v>99</v>
      </c>
      <c r="Y9025" s="8" t="s">
        <v>21</v>
      </c>
      <c r="Z9025" s="8" t="s">
        <v>39187</v>
      </c>
    </row>
    <row r="9026" spans="1:26" x14ac:dyDescent="0.2">
      <c r="A9026" s="8">
        <v>9025</v>
      </c>
      <c r="B9026" s="8" t="s">
        <v>39257</v>
      </c>
      <c r="C9026" s="8" t="s">
        <v>39257</v>
      </c>
      <c r="G9026" s="8">
        <v>20</v>
      </c>
      <c r="H9026" s="8" t="s">
        <v>21</v>
      </c>
      <c r="I9026" s="8" t="s">
        <v>22</v>
      </c>
      <c r="J9026" s="8" t="s">
        <v>22</v>
      </c>
      <c r="K9026" s="8" t="s">
        <v>31</v>
      </c>
      <c r="L9026" s="8" t="s">
        <v>26804</v>
      </c>
      <c r="M9026" s="8" t="s">
        <v>26805</v>
      </c>
      <c r="N9026" s="8" t="s">
        <v>39258</v>
      </c>
      <c r="O9026" s="8">
        <f>16+5/60+44.6/3600</f>
        <v>16.095722222222221</v>
      </c>
      <c r="P9026" s="8" t="s">
        <v>39259</v>
      </c>
      <c r="Q9026" s="8">
        <f>+(17+43/60+2/3600)</f>
        <v>17.717222222222219</v>
      </c>
      <c r="R9026" s="8">
        <v>13.9</v>
      </c>
      <c r="S9026" s="8">
        <v>14.9</v>
      </c>
      <c r="T9026" s="8">
        <v>1</v>
      </c>
      <c r="U9026" s="8">
        <v>12.7</v>
      </c>
      <c r="V9026" s="8">
        <v>0.8</v>
      </c>
      <c r="W9026" s="8">
        <v>0.5</v>
      </c>
      <c r="X9026" s="8">
        <v>0</v>
      </c>
      <c r="Y9026" s="8" t="s">
        <v>21</v>
      </c>
      <c r="Z9026" s="8" t="s">
        <v>39260</v>
      </c>
    </row>
    <row r="9027" spans="1:26" x14ac:dyDescent="0.2">
      <c r="A9027" s="8">
        <v>9026</v>
      </c>
      <c r="B9027" s="8" t="s">
        <v>39261</v>
      </c>
      <c r="C9027" s="8" t="s">
        <v>39261</v>
      </c>
      <c r="G9027" s="8">
        <v>20</v>
      </c>
      <c r="H9027" s="8" t="s">
        <v>21</v>
      </c>
      <c r="I9027" s="8" t="s">
        <v>22</v>
      </c>
      <c r="J9027" s="8" t="s">
        <v>22</v>
      </c>
      <c r="K9027" s="8" t="s">
        <v>218</v>
      </c>
      <c r="L9027" s="8" t="s">
        <v>26804</v>
      </c>
      <c r="M9027" s="8" t="s">
        <v>26805</v>
      </c>
      <c r="N9027" s="8" t="s">
        <v>39262</v>
      </c>
      <c r="O9027" s="8">
        <f>16+5/60+44.2/3600</f>
        <v>16.095611111111111</v>
      </c>
      <c r="P9027" s="8" t="s">
        <v>39263</v>
      </c>
      <c r="Q9027" s="8">
        <f>+(17+21/60+44/3600)</f>
        <v>17.362222222222222</v>
      </c>
      <c r="R9027" s="8">
        <v>14.6</v>
      </c>
      <c r="S9027" s="8">
        <v>15.5</v>
      </c>
      <c r="T9027" s="8">
        <v>0.9</v>
      </c>
      <c r="U9027" s="8">
        <v>13.3</v>
      </c>
      <c r="V9027" s="8">
        <v>0.8</v>
      </c>
      <c r="W9027" s="8">
        <v>0.5</v>
      </c>
      <c r="X9027" s="8">
        <v>0</v>
      </c>
      <c r="Y9027" s="8" t="s">
        <v>33652</v>
      </c>
      <c r="Z9027" s="8" t="s">
        <v>33653</v>
      </c>
    </row>
    <row r="9028" spans="1:26" x14ac:dyDescent="0.2">
      <c r="A9028" s="8">
        <v>9027</v>
      </c>
      <c r="B9028" s="8" t="s">
        <v>39264</v>
      </c>
      <c r="C9028" s="8" t="s">
        <v>39264</v>
      </c>
      <c r="G9028" s="8">
        <v>20</v>
      </c>
      <c r="H9028" s="8" t="s">
        <v>21</v>
      </c>
      <c r="I9028" s="8" t="s">
        <v>22</v>
      </c>
      <c r="J9028" s="8" t="s">
        <v>22</v>
      </c>
      <c r="K9028" s="8" t="s">
        <v>476</v>
      </c>
      <c r="L9028" s="8" t="s">
        <v>14586</v>
      </c>
      <c r="M9028" s="8" t="s">
        <v>14587</v>
      </c>
      <c r="N9028" s="8" t="s">
        <v>39265</v>
      </c>
      <c r="O9028" s="8">
        <f>15+59/60+10.1/3600</f>
        <v>15.986138888888888</v>
      </c>
      <c r="P9028" s="8" t="s">
        <v>39266</v>
      </c>
      <c r="Q9028" s="8">
        <f>+(70+33/60+27/3600)</f>
        <v>70.55749999999999</v>
      </c>
      <c r="R9028" s="8">
        <v>15</v>
      </c>
      <c r="S9028" s="8">
        <v>15.8</v>
      </c>
      <c r="T9028" s="8">
        <v>0.8</v>
      </c>
      <c r="U9028" s="8">
        <v>12.1</v>
      </c>
      <c r="V9028" s="8">
        <v>0.4</v>
      </c>
      <c r="W9028" s="8">
        <v>0.2</v>
      </c>
      <c r="X9028" s="8">
        <v>93</v>
      </c>
      <c r="Y9028" s="8" t="s">
        <v>35100</v>
      </c>
      <c r="Z9028" s="8" t="s">
        <v>35101</v>
      </c>
    </row>
    <row r="9029" spans="1:26" x14ac:dyDescent="0.2">
      <c r="A9029" s="8">
        <v>9028</v>
      </c>
      <c r="B9029" s="8" t="s">
        <v>39267</v>
      </c>
      <c r="C9029" s="8" t="s">
        <v>39267</v>
      </c>
      <c r="G9029" s="8">
        <v>20</v>
      </c>
      <c r="H9029" s="8" t="s">
        <v>21</v>
      </c>
      <c r="I9029" s="8" t="s">
        <v>22</v>
      </c>
      <c r="J9029" s="8" t="s">
        <v>22</v>
      </c>
      <c r="K9029" s="8" t="s">
        <v>632</v>
      </c>
      <c r="L9029" s="8" t="s">
        <v>26804</v>
      </c>
      <c r="M9029" s="8" t="s">
        <v>26805</v>
      </c>
      <c r="N9029" s="8" t="s">
        <v>39268</v>
      </c>
      <c r="O9029" s="8">
        <f>16+6/60+7.3/3600</f>
        <v>16.102027777777778</v>
      </c>
      <c r="P9029" s="8" t="s">
        <v>39269</v>
      </c>
      <c r="Q9029" s="8">
        <f>+(17+27/60+37/3600)</f>
        <v>17.460277777777776</v>
      </c>
      <c r="R9029" s="8">
        <v>15</v>
      </c>
      <c r="S9029" s="8">
        <v>15.9</v>
      </c>
      <c r="T9029" s="8">
        <v>0.9</v>
      </c>
      <c r="U9029" s="8">
        <v>12.1</v>
      </c>
      <c r="V9029" s="8">
        <v>0.4</v>
      </c>
      <c r="W9029" s="8">
        <v>0.2</v>
      </c>
      <c r="X9029" s="8">
        <v>0</v>
      </c>
      <c r="Y9029" s="8" t="s">
        <v>17508</v>
      </c>
      <c r="Z9029" s="8" t="s">
        <v>17509</v>
      </c>
    </row>
    <row r="9030" spans="1:26" x14ac:dyDescent="0.2">
      <c r="A9030" s="8">
        <v>9029</v>
      </c>
      <c r="B9030" s="8" t="s">
        <v>39270</v>
      </c>
      <c r="C9030" s="8" t="s">
        <v>39270</v>
      </c>
      <c r="G9030" s="8">
        <v>20</v>
      </c>
      <c r="H9030" s="8" t="s">
        <v>21</v>
      </c>
      <c r="I9030" s="8" t="s">
        <v>22</v>
      </c>
      <c r="J9030" s="8" t="s">
        <v>22</v>
      </c>
      <c r="K9030" s="8" t="s">
        <v>39271</v>
      </c>
      <c r="L9030" s="8" t="s">
        <v>26804</v>
      </c>
      <c r="M9030" s="8" t="s">
        <v>26805</v>
      </c>
      <c r="N9030" s="8" t="s">
        <v>39272</v>
      </c>
      <c r="O9030" s="8">
        <f>16+6/60+14.6/3600</f>
        <v>16.104055555555558</v>
      </c>
      <c r="P9030" s="8" t="s">
        <v>39273</v>
      </c>
      <c r="Q9030" s="8">
        <f>+(18+10/60+57/3600)</f>
        <v>18.182500000000001</v>
      </c>
      <c r="R9030" s="8">
        <v>14.5</v>
      </c>
      <c r="S9030" s="8">
        <v>15.4</v>
      </c>
      <c r="T9030" s="8">
        <v>0.9</v>
      </c>
      <c r="U9030" s="8">
        <v>12.9</v>
      </c>
      <c r="V9030" s="8">
        <v>0.7</v>
      </c>
      <c r="W9030" s="8">
        <v>0.4</v>
      </c>
      <c r="X9030" s="8">
        <v>175</v>
      </c>
      <c r="Y9030" s="8" t="s">
        <v>39274</v>
      </c>
      <c r="Z9030" s="8" t="s">
        <v>39275</v>
      </c>
    </row>
    <row r="9031" spans="1:26" x14ac:dyDescent="0.2">
      <c r="A9031" s="8">
        <v>9030</v>
      </c>
      <c r="B9031" s="8" t="s">
        <v>39276</v>
      </c>
      <c r="C9031" s="8" t="s">
        <v>39276</v>
      </c>
      <c r="G9031" s="8">
        <v>20</v>
      </c>
      <c r="H9031" s="8" t="s">
        <v>21</v>
      </c>
      <c r="I9031" s="8" t="s">
        <v>22</v>
      </c>
      <c r="J9031" s="8" t="s">
        <v>22</v>
      </c>
      <c r="K9031" s="8" t="s">
        <v>218</v>
      </c>
      <c r="L9031" s="8" t="s">
        <v>26804</v>
      </c>
      <c r="M9031" s="8" t="s">
        <v>26805</v>
      </c>
      <c r="N9031" s="8" t="s">
        <v>39277</v>
      </c>
      <c r="O9031" s="8">
        <f>16+5/60+52.4/3600</f>
        <v>16.097888888888889</v>
      </c>
      <c r="P9031" s="8" t="s">
        <v>39278</v>
      </c>
      <c r="Q9031" s="8">
        <f>+(18+13/60+14/3600)</f>
        <v>18.220555555555553</v>
      </c>
      <c r="R9031" s="8">
        <v>14.7</v>
      </c>
      <c r="S9031" s="8">
        <v>15.6</v>
      </c>
      <c r="T9031" s="8">
        <v>0.9</v>
      </c>
      <c r="U9031" s="8">
        <v>13.8</v>
      </c>
      <c r="V9031" s="8">
        <v>1.3</v>
      </c>
      <c r="W9031" s="8">
        <v>0.4</v>
      </c>
      <c r="X9031" s="8">
        <v>120</v>
      </c>
      <c r="Y9031" s="8" t="s">
        <v>21</v>
      </c>
      <c r="Z9031" s="8" t="s">
        <v>39279</v>
      </c>
    </row>
    <row r="9032" spans="1:26" x14ac:dyDescent="0.2">
      <c r="A9032" s="8">
        <v>9031</v>
      </c>
      <c r="B9032" s="8" t="s">
        <v>39280</v>
      </c>
      <c r="C9032" s="8" t="s">
        <v>39280</v>
      </c>
      <c r="G9032" s="8">
        <v>20</v>
      </c>
      <c r="H9032" s="8" t="s">
        <v>21</v>
      </c>
      <c r="I9032" s="8" t="s">
        <v>22</v>
      </c>
      <c r="J9032" s="8" t="s">
        <v>22</v>
      </c>
      <c r="K9032" s="8" t="s">
        <v>476</v>
      </c>
      <c r="L9032" s="8" t="s">
        <v>26804</v>
      </c>
      <c r="M9032" s="8" t="s">
        <v>26805</v>
      </c>
      <c r="N9032" s="8" t="s">
        <v>39281</v>
      </c>
      <c r="O9032" s="8">
        <f>16+6/60+28.9/3600</f>
        <v>16.108027777777778</v>
      </c>
      <c r="P9032" s="8" t="s">
        <v>39282</v>
      </c>
      <c r="Q9032" s="8">
        <f>+(18+16/60+8/3600)</f>
        <v>18.268888888888888</v>
      </c>
      <c r="R9032" s="8">
        <v>15.5</v>
      </c>
      <c r="S9032" s="8">
        <v>16.3</v>
      </c>
      <c r="T9032" s="8">
        <v>0.8</v>
      </c>
      <c r="U9032" s="8">
        <v>12.1</v>
      </c>
      <c r="V9032" s="8">
        <v>0.5</v>
      </c>
      <c r="W9032" s="8">
        <v>0.1</v>
      </c>
      <c r="X9032" s="8">
        <v>170</v>
      </c>
      <c r="Y9032" s="8" t="s">
        <v>23422</v>
      </c>
      <c r="Z9032" s="8" t="s">
        <v>23423</v>
      </c>
    </row>
    <row r="9033" spans="1:26" x14ac:dyDescent="0.2">
      <c r="A9033" s="8">
        <v>9032</v>
      </c>
      <c r="B9033" s="8" t="s">
        <v>39283</v>
      </c>
      <c r="C9033" s="8" t="s">
        <v>39283</v>
      </c>
      <c r="G9033" s="8">
        <v>20</v>
      </c>
      <c r="H9033" s="8" t="s">
        <v>21</v>
      </c>
      <c r="I9033" s="8" t="s">
        <v>22</v>
      </c>
      <c r="J9033" s="8" t="s">
        <v>22</v>
      </c>
      <c r="K9033" s="8" t="s">
        <v>23</v>
      </c>
      <c r="L9033" s="8" t="s">
        <v>26804</v>
      </c>
      <c r="M9033" s="8" t="s">
        <v>26805</v>
      </c>
      <c r="N9033" s="8" t="s">
        <v>39284</v>
      </c>
      <c r="O9033" s="8">
        <f>16+6/60+33/3600</f>
        <v>16.109166666666667</v>
      </c>
      <c r="P9033" s="8" t="s">
        <v>39285</v>
      </c>
      <c r="Q9033" s="8">
        <f>+(17+46/60+34/3600)</f>
        <v>17.77611111111111</v>
      </c>
      <c r="R9033" s="8">
        <v>14.8</v>
      </c>
      <c r="S9033" s="8">
        <v>15.8</v>
      </c>
      <c r="T9033" s="8">
        <v>1</v>
      </c>
      <c r="U9033" s="8">
        <v>12.2</v>
      </c>
      <c r="V9033" s="8">
        <v>0.6</v>
      </c>
      <c r="W9033" s="8">
        <v>0.2</v>
      </c>
      <c r="X9033" s="8">
        <v>115</v>
      </c>
      <c r="Y9033" s="8" t="s">
        <v>39286</v>
      </c>
      <c r="Z9033" s="8" t="s">
        <v>39287</v>
      </c>
    </row>
    <row r="9034" spans="1:26" x14ac:dyDescent="0.2">
      <c r="A9034" s="8">
        <v>9033</v>
      </c>
      <c r="B9034" s="8" t="s">
        <v>39288</v>
      </c>
      <c r="C9034" s="8" t="s">
        <v>39288</v>
      </c>
      <c r="G9034" s="8">
        <v>20</v>
      </c>
      <c r="H9034" s="8" t="s">
        <v>21</v>
      </c>
      <c r="I9034" s="8" t="s">
        <v>22</v>
      </c>
      <c r="J9034" s="8" t="s">
        <v>22</v>
      </c>
      <c r="K9034" s="8" t="s">
        <v>632</v>
      </c>
      <c r="L9034" s="8" t="s">
        <v>26804</v>
      </c>
      <c r="M9034" s="8" t="s">
        <v>26805</v>
      </c>
      <c r="N9034" s="8" t="s">
        <v>39289</v>
      </c>
      <c r="O9034" s="8">
        <f>16+6/60+32.2/3600</f>
        <v>16.108944444444447</v>
      </c>
      <c r="P9034" s="8" t="s">
        <v>39290</v>
      </c>
      <c r="Q9034" s="8">
        <f>+(17+42/60+50/3600)</f>
        <v>17.713888888888889</v>
      </c>
      <c r="R9034" s="8">
        <v>14.3</v>
      </c>
      <c r="S9034" s="8">
        <v>15.4</v>
      </c>
      <c r="T9034" s="8">
        <v>1.1000000000000001</v>
      </c>
      <c r="U9034" s="8">
        <v>13.1</v>
      </c>
      <c r="V9034" s="8">
        <v>0.7</v>
      </c>
      <c r="W9034" s="8">
        <v>0.5</v>
      </c>
      <c r="X9034" s="8">
        <v>5</v>
      </c>
      <c r="Y9034" s="8" t="s">
        <v>19961</v>
      </c>
      <c r="Z9034" s="8" t="s">
        <v>19962</v>
      </c>
    </row>
    <row r="9035" spans="1:26" x14ac:dyDescent="0.2">
      <c r="A9035" s="8">
        <v>9034</v>
      </c>
      <c r="B9035" s="8" t="s">
        <v>39291</v>
      </c>
      <c r="C9035" s="8" t="s">
        <v>39291</v>
      </c>
      <c r="G9035" s="8">
        <v>20</v>
      </c>
      <c r="H9035" s="8" t="s">
        <v>21</v>
      </c>
      <c r="I9035" s="8" t="s">
        <v>22</v>
      </c>
      <c r="J9035" s="8" t="s">
        <v>22</v>
      </c>
      <c r="K9035" s="8" t="s">
        <v>632</v>
      </c>
      <c r="L9035" s="8" t="s">
        <v>26804</v>
      </c>
      <c r="M9035" s="8" t="s">
        <v>26805</v>
      </c>
      <c r="N9035" s="8" t="s">
        <v>39292</v>
      </c>
      <c r="O9035" s="8">
        <f>16+6/60+38.7/3600</f>
        <v>16.110750000000003</v>
      </c>
      <c r="P9035" s="8" t="s">
        <v>39293</v>
      </c>
      <c r="Q9035" s="8">
        <f>+(17+47/60+0/3600)</f>
        <v>17.783333333333335</v>
      </c>
      <c r="R9035" s="8">
        <v>15.6</v>
      </c>
      <c r="S9035" s="8">
        <v>16.5</v>
      </c>
      <c r="T9035" s="8">
        <v>0.9</v>
      </c>
      <c r="U9035" s="8">
        <v>12.9</v>
      </c>
      <c r="V9035" s="8">
        <v>0.3</v>
      </c>
      <c r="W9035" s="8">
        <v>0.3</v>
      </c>
      <c r="Y9035" s="8" t="s">
        <v>35401</v>
      </c>
      <c r="Z9035" s="8" t="s">
        <v>35402</v>
      </c>
    </row>
    <row r="9036" spans="1:26" x14ac:dyDescent="0.2">
      <c r="A9036" s="8">
        <v>9035</v>
      </c>
      <c r="B9036" s="8" t="s">
        <v>39294</v>
      </c>
      <c r="C9036" s="8" t="s">
        <v>39294</v>
      </c>
      <c r="G9036" s="8">
        <v>20</v>
      </c>
      <c r="H9036" s="8" t="s">
        <v>21</v>
      </c>
      <c r="I9036" s="8" t="s">
        <v>22</v>
      </c>
      <c r="J9036" s="8" t="s">
        <v>22</v>
      </c>
      <c r="K9036" s="8" t="s">
        <v>85</v>
      </c>
      <c r="L9036" s="8" t="s">
        <v>26804</v>
      </c>
      <c r="M9036" s="8" t="s">
        <v>26805</v>
      </c>
      <c r="N9036" s="8" t="s">
        <v>39295</v>
      </c>
      <c r="O9036" s="8">
        <f>16+6/60+40.8/3600</f>
        <v>16.111333333333334</v>
      </c>
      <c r="P9036" s="8" t="s">
        <v>39296</v>
      </c>
      <c r="Q9036" s="8">
        <f>+(17+11/60+31/3600)</f>
        <v>17.191944444444445</v>
      </c>
      <c r="R9036" s="8">
        <v>14.8</v>
      </c>
      <c r="S9036" s="8">
        <v>15.6</v>
      </c>
      <c r="T9036" s="8">
        <v>0.8</v>
      </c>
      <c r="U9036" s="8">
        <v>13.1</v>
      </c>
      <c r="V9036" s="8">
        <v>0.6</v>
      </c>
      <c r="W9036" s="8">
        <v>0.4</v>
      </c>
      <c r="X9036" s="8">
        <v>10</v>
      </c>
      <c r="Y9036" s="8" t="s">
        <v>17508</v>
      </c>
      <c r="Z9036" s="8" t="s">
        <v>17509</v>
      </c>
    </row>
    <row r="9037" spans="1:26" x14ac:dyDescent="0.2">
      <c r="A9037" s="8">
        <v>9036</v>
      </c>
      <c r="B9037" s="8" t="s">
        <v>39297</v>
      </c>
      <c r="C9037" s="8" t="s">
        <v>39297</v>
      </c>
      <c r="G9037" s="8">
        <v>20</v>
      </c>
      <c r="H9037" s="8" t="s">
        <v>21</v>
      </c>
      <c r="I9037" s="8" t="s">
        <v>22</v>
      </c>
      <c r="J9037" s="8" t="s">
        <v>22</v>
      </c>
      <c r="K9037" s="8" t="s">
        <v>91</v>
      </c>
      <c r="L9037" s="8" t="s">
        <v>26227</v>
      </c>
      <c r="M9037" s="8" t="s">
        <v>26228</v>
      </c>
      <c r="N9037" s="8" t="s">
        <v>39298</v>
      </c>
      <c r="O9037" s="8">
        <f>16+7/60+58.4/3600</f>
        <v>16.132888888888889</v>
      </c>
      <c r="P9037" s="8" t="s">
        <v>39299</v>
      </c>
      <c r="Q9037" s="8">
        <f>+(10+46/60+48/3600)</f>
        <v>10.780000000000001</v>
      </c>
      <c r="R9037" s="8">
        <v>13.7</v>
      </c>
      <c r="S9037" s="8">
        <v>14.6</v>
      </c>
      <c r="T9037" s="8">
        <v>0.9</v>
      </c>
      <c r="U9037" s="8">
        <v>12.8</v>
      </c>
      <c r="V9037" s="8">
        <v>1.1000000000000001</v>
      </c>
      <c r="W9037" s="8">
        <v>0.6</v>
      </c>
      <c r="X9037" s="8">
        <v>3</v>
      </c>
      <c r="Y9037" s="8" t="s">
        <v>21</v>
      </c>
      <c r="Z9037" s="8" t="s">
        <v>39300</v>
      </c>
    </row>
    <row r="9038" spans="1:26" x14ac:dyDescent="0.2">
      <c r="A9038" s="8">
        <v>9037</v>
      </c>
      <c r="B9038" s="8" t="s">
        <v>39301</v>
      </c>
      <c r="C9038" s="8" t="s">
        <v>39301</v>
      </c>
      <c r="G9038" s="8">
        <v>20</v>
      </c>
      <c r="H9038" s="8" t="s">
        <v>21</v>
      </c>
      <c r="I9038" s="8" t="s">
        <v>22</v>
      </c>
      <c r="J9038" s="8" t="s">
        <v>22</v>
      </c>
      <c r="K9038" s="8" t="s">
        <v>160</v>
      </c>
      <c r="L9038" s="8" t="s">
        <v>26227</v>
      </c>
      <c r="M9038" s="8" t="s">
        <v>26228</v>
      </c>
      <c r="N9038" s="8" t="s">
        <v>39302</v>
      </c>
      <c r="O9038" s="8">
        <f>16+8/60+17.3/3600</f>
        <v>16.138138888888889</v>
      </c>
      <c r="P9038" s="8" t="s">
        <v>39303</v>
      </c>
      <c r="Q9038" s="8">
        <f>+(7+32/60+21/3600)</f>
        <v>7.5391666666666666</v>
      </c>
      <c r="R9038" s="8">
        <v>13.4</v>
      </c>
      <c r="S9038" s="8">
        <v>14.1</v>
      </c>
      <c r="T9038" s="8">
        <v>0.7</v>
      </c>
      <c r="U9038" s="8">
        <v>13.7</v>
      </c>
      <c r="V9038" s="8">
        <v>2.9</v>
      </c>
      <c r="W9038" s="8">
        <v>0.5</v>
      </c>
      <c r="X9038" s="8">
        <v>56</v>
      </c>
      <c r="Y9038" s="8" t="s">
        <v>21</v>
      </c>
      <c r="Z9038" s="8" t="s">
        <v>39304</v>
      </c>
    </row>
    <row r="9039" spans="1:26" x14ac:dyDescent="0.2">
      <c r="A9039" s="8">
        <v>9038</v>
      </c>
      <c r="B9039" s="8" t="s">
        <v>39305</v>
      </c>
      <c r="C9039" s="8" t="s">
        <v>39305</v>
      </c>
      <c r="G9039" s="8">
        <v>20</v>
      </c>
      <c r="H9039" s="8" t="s">
        <v>21</v>
      </c>
      <c r="I9039" s="8" t="s">
        <v>22</v>
      </c>
      <c r="J9039" s="8" t="s">
        <v>22</v>
      </c>
      <c r="K9039" s="8" t="s">
        <v>160</v>
      </c>
      <c r="L9039" s="8" t="s">
        <v>26227</v>
      </c>
      <c r="M9039" s="8" t="s">
        <v>26228</v>
      </c>
      <c r="N9039" s="8" t="s">
        <v>39306</v>
      </c>
      <c r="O9039" s="8">
        <f>16+8/60+36.3/3600</f>
        <v>16.143416666666667</v>
      </c>
      <c r="P9039" s="8" t="s">
        <v>39307</v>
      </c>
      <c r="Q9039" s="8">
        <f>+(12+19/60+50/3600)</f>
        <v>12.330555555555556</v>
      </c>
      <c r="R9039" s="8">
        <v>14.3</v>
      </c>
      <c r="S9039" s="8">
        <v>15</v>
      </c>
      <c r="T9039" s="8">
        <v>0.7</v>
      </c>
      <c r="U9039" s="8">
        <v>12.3</v>
      </c>
      <c r="V9039" s="8">
        <v>0.6</v>
      </c>
      <c r="W9039" s="8">
        <v>0.3</v>
      </c>
      <c r="X9039" s="8">
        <v>105</v>
      </c>
      <c r="Y9039" s="8" t="s">
        <v>36910</v>
      </c>
      <c r="Z9039" s="8" t="s">
        <v>36911</v>
      </c>
    </row>
    <row r="9040" spans="1:26" x14ac:dyDescent="0.2">
      <c r="A9040" s="8">
        <v>9039</v>
      </c>
      <c r="B9040" s="8" t="s">
        <v>39308</v>
      </c>
      <c r="C9040" s="8" t="s">
        <v>39308</v>
      </c>
      <c r="G9040" s="8">
        <v>20</v>
      </c>
      <c r="H9040" s="8" t="s">
        <v>21</v>
      </c>
      <c r="I9040" s="8" t="s">
        <v>22</v>
      </c>
      <c r="J9040" s="8" t="s">
        <v>22</v>
      </c>
      <c r="K9040" s="8" t="s">
        <v>396</v>
      </c>
      <c r="L9040" s="8" t="s">
        <v>26227</v>
      </c>
      <c r="M9040" s="8" t="s">
        <v>26228</v>
      </c>
      <c r="N9040" s="8" t="s">
        <v>39309</v>
      </c>
      <c r="O9040" s="8">
        <f>16+10/60+34.4/3600</f>
        <v>16.176222222222222</v>
      </c>
      <c r="P9040" s="8" t="s">
        <v>39310</v>
      </c>
      <c r="Q9040" s="8">
        <f>+(10+2/60+24/3600)</f>
        <v>10.039999999999999</v>
      </c>
      <c r="R9040" s="8">
        <v>13.6</v>
      </c>
      <c r="S9040" s="8">
        <v>14.4</v>
      </c>
      <c r="T9040" s="8">
        <v>0.8</v>
      </c>
      <c r="U9040" s="8">
        <v>13</v>
      </c>
      <c r="V9040" s="8">
        <v>1.3</v>
      </c>
      <c r="W9040" s="8">
        <v>0.5</v>
      </c>
      <c r="X9040" s="8">
        <v>157</v>
      </c>
      <c r="Y9040" s="8" t="s">
        <v>21</v>
      </c>
      <c r="Z9040" s="8" t="s">
        <v>39311</v>
      </c>
    </row>
    <row r="9041" spans="1:26" x14ac:dyDescent="0.2">
      <c r="A9041" s="8">
        <v>9040</v>
      </c>
      <c r="B9041" s="8" t="s">
        <v>39312</v>
      </c>
      <c r="C9041" s="8" t="s">
        <v>39312</v>
      </c>
      <c r="G9041" s="8">
        <v>20</v>
      </c>
      <c r="H9041" s="8" t="s">
        <v>21</v>
      </c>
      <c r="I9041" s="8" t="s">
        <v>22</v>
      </c>
      <c r="J9041" s="8" t="s">
        <v>57</v>
      </c>
      <c r="K9041" s="8" t="s">
        <v>382</v>
      </c>
      <c r="L9041" s="8" t="s">
        <v>13395</v>
      </c>
      <c r="M9041" s="8" t="s">
        <v>13396</v>
      </c>
      <c r="N9041" s="8" t="s">
        <v>27079</v>
      </c>
      <c r="O9041" s="8">
        <f>16+4/60+28.7/3600</f>
        <v>16.074638888888888</v>
      </c>
      <c r="P9041" s="8" t="s">
        <v>27080</v>
      </c>
      <c r="Q9041" s="8">
        <f>+(69+39/60+58/3600)</f>
        <v>69.666111111111121</v>
      </c>
      <c r="R9041" s="8">
        <v>12.7</v>
      </c>
      <c r="S9041" s="8">
        <v>13.7</v>
      </c>
      <c r="T9041" s="8">
        <v>1</v>
      </c>
      <c r="U9041" s="8">
        <v>13.1</v>
      </c>
      <c r="V9041" s="8">
        <v>1.4</v>
      </c>
      <c r="W9041" s="8">
        <v>1</v>
      </c>
      <c r="X9041" s="8">
        <v>150</v>
      </c>
      <c r="Y9041" s="8" t="s">
        <v>21</v>
      </c>
      <c r="Z9041" s="8" t="s">
        <v>39313</v>
      </c>
    </row>
    <row r="9042" spans="1:26" x14ac:dyDescent="0.2">
      <c r="A9042" s="8">
        <v>9041</v>
      </c>
      <c r="B9042" s="8" t="s">
        <v>39314</v>
      </c>
      <c r="C9042" s="8" t="s">
        <v>39314</v>
      </c>
      <c r="G9042" s="8">
        <v>20</v>
      </c>
      <c r="H9042" s="8" t="s">
        <v>21</v>
      </c>
      <c r="I9042" s="8" t="s">
        <v>22</v>
      </c>
      <c r="J9042" s="8" t="s">
        <v>22</v>
      </c>
      <c r="K9042" s="8" t="s">
        <v>39315</v>
      </c>
      <c r="L9042" s="8" t="s">
        <v>13395</v>
      </c>
      <c r="M9042" s="8" t="s">
        <v>13396</v>
      </c>
      <c r="N9042" s="8" t="s">
        <v>39316</v>
      </c>
      <c r="O9042" s="8">
        <f>16+5/60+41.5/3600</f>
        <v>16.094861111111111</v>
      </c>
      <c r="P9042" s="8" t="s">
        <v>39317</v>
      </c>
      <c r="Q9042" s="8">
        <f>+(69+35/60+38/3600)</f>
        <v>69.593888888888884</v>
      </c>
      <c r="R9042" s="8">
        <v>15</v>
      </c>
      <c r="S9042" s="8">
        <v>15.8</v>
      </c>
      <c r="T9042" s="8">
        <v>0.8</v>
      </c>
      <c r="U9042" s="8">
        <v>13.7</v>
      </c>
      <c r="V9042" s="8">
        <v>1.2</v>
      </c>
      <c r="W9042" s="8">
        <v>0.3</v>
      </c>
      <c r="X9042" s="8">
        <v>118</v>
      </c>
      <c r="Y9042" s="8" t="s">
        <v>39318</v>
      </c>
      <c r="Z9042" s="8" t="s">
        <v>39319</v>
      </c>
    </row>
    <row r="9043" spans="1:26" x14ac:dyDescent="0.2">
      <c r="A9043" s="8">
        <v>9042</v>
      </c>
      <c r="B9043" s="8" t="s">
        <v>39320</v>
      </c>
      <c r="C9043" s="8" t="s">
        <v>39320</v>
      </c>
      <c r="G9043" s="8">
        <v>20</v>
      </c>
      <c r="H9043" s="8" t="s">
        <v>21</v>
      </c>
      <c r="I9043" s="8" t="s">
        <v>22</v>
      </c>
      <c r="J9043" s="8" t="s">
        <v>57</v>
      </c>
      <c r="K9043" s="8" t="s">
        <v>37</v>
      </c>
      <c r="L9043" s="8" t="s">
        <v>26804</v>
      </c>
      <c r="M9043" s="8" t="s">
        <v>26805</v>
      </c>
      <c r="N9043" s="8" t="s">
        <v>27087</v>
      </c>
      <c r="O9043" s="8">
        <f>16+12/60+56.8/3600</f>
        <v>16.215777777777777</v>
      </c>
      <c r="P9043" s="8" t="s">
        <v>27088</v>
      </c>
      <c r="Q9043" s="8">
        <f>+(9+52/60+4/3600)</f>
        <v>9.8677777777777784</v>
      </c>
      <c r="R9043" s="8">
        <v>13.5</v>
      </c>
      <c r="S9043" s="8">
        <v>14.5</v>
      </c>
      <c r="T9043" s="8">
        <v>1</v>
      </c>
      <c r="U9043" s="8">
        <v>13.5</v>
      </c>
      <c r="V9043" s="8">
        <v>1.8</v>
      </c>
      <c r="W9043" s="8">
        <v>0.6</v>
      </c>
      <c r="X9043" s="8">
        <v>131</v>
      </c>
      <c r="Y9043" s="8" t="s">
        <v>4170</v>
      </c>
      <c r="Z9043" s="8" t="s">
        <v>4171</v>
      </c>
    </row>
    <row r="9044" spans="1:26" x14ac:dyDescent="0.2">
      <c r="A9044" s="8">
        <v>9043</v>
      </c>
      <c r="B9044" s="8" t="s">
        <v>39321</v>
      </c>
      <c r="C9044" s="8" t="s">
        <v>39321</v>
      </c>
      <c r="G9044" s="8">
        <v>20</v>
      </c>
      <c r="H9044" s="8" t="s">
        <v>21</v>
      </c>
      <c r="I9044" s="8" t="s">
        <v>329</v>
      </c>
      <c r="J9044" s="8" t="s">
        <v>329</v>
      </c>
      <c r="K9044" s="8" t="s">
        <v>329</v>
      </c>
      <c r="L9044" s="8" t="s">
        <v>26735</v>
      </c>
      <c r="M9044" s="8" t="s">
        <v>26736</v>
      </c>
      <c r="N9044" s="8" t="s">
        <v>39322</v>
      </c>
      <c r="O9044" s="8">
        <f>16+15/60+16/3600</f>
        <v>16.254444444444445</v>
      </c>
      <c r="P9044" s="8" t="s">
        <v>39323</v>
      </c>
      <c r="Q9044" s="8">
        <f>-(22+20/60+18/3600)</f>
        <v>-22.338333333333331</v>
      </c>
      <c r="R9044" s="8">
        <v>99</v>
      </c>
      <c r="S9044" s="8">
        <v>99</v>
      </c>
      <c r="T9044" s="8">
        <v>99</v>
      </c>
      <c r="U9044" s="8">
        <v>99</v>
      </c>
      <c r="Y9044" s="8" t="s">
        <v>1694</v>
      </c>
      <c r="Z9044" s="8" t="s">
        <v>38252</v>
      </c>
    </row>
    <row r="9045" spans="1:26" x14ac:dyDescent="0.2">
      <c r="A9045" s="8">
        <v>9044</v>
      </c>
      <c r="B9045" s="8" t="s">
        <v>39324</v>
      </c>
      <c r="C9045" s="8" t="s">
        <v>39324</v>
      </c>
      <c r="G9045" s="8">
        <v>20</v>
      </c>
      <c r="H9045" s="8" t="s">
        <v>21</v>
      </c>
      <c r="I9045" s="8" t="s">
        <v>22</v>
      </c>
      <c r="J9045" s="8" t="s">
        <v>22</v>
      </c>
      <c r="K9045" s="8" t="s">
        <v>476</v>
      </c>
      <c r="L9045" s="8" t="s">
        <v>14586</v>
      </c>
      <c r="M9045" s="8" t="s">
        <v>14587</v>
      </c>
      <c r="N9045" s="8" t="s">
        <v>39325</v>
      </c>
      <c r="O9045" s="8">
        <f>16+7/60+15.3/3600</f>
        <v>16.120916666666666</v>
      </c>
      <c r="P9045" s="8" t="s">
        <v>39326</v>
      </c>
      <c r="Q9045" s="8">
        <f>+(69+55/60+54/3600)</f>
        <v>69.931666666666672</v>
      </c>
      <c r="R9045" s="8">
        <v>14.7</v>
      </c>
      <c r="S9045" s="8">
        <v>15.5</v>
      </c>
      <c r="T9045" s="8">
        <v>0.8</v>
      </c>
      <c r="U9045" s="8">
        <v>12.7</v>
      </c>
      <c r="V9045" s="8">
        <v>0.6</v>
      </c>
      <c r="W9045" s="8">
        <v>0.3</v>
      </c>
      <c r="X9045" s="8">
        <v>60</v>
      </c>
      <c r="Y9045" s="8" t="s">
        <v>21</v>
      </c>
      <c r="Z9045" s="8" t="s">
        <v>39327</v>
      </c>
    </row>
    <row r="9046" spans="1:26" x14ac:dyDescent="0.2">
      <c r="A9046" s="8">
        <v>9045</v>
      </c>
      <c r="B9046" s="8" t="s">
        <v>39328</v>
      </c>
      <c r="C9046" s="8" t="s">
        <v>39328</v>
      </c>
      <c r="G9046" s="8">
        <v>20</v>
      </c>
      <c r="H9046" s="8" t="s">
        <v>21</v>
      </c>
      <c r="I9046" s="8" t="s">
        <v>22</v>
      </c>
      <c r="J9046" s="8" t="s">
        <v>22</v>
      </c>
      <c r="K9046" s="8" t="s">
        <v>31</v>
      </c>
      <c r="L9046" s="8" t="s">
        <v>26804</v>
      </c>
      <c r="M9046" s="8" t="s">
        <v>26805</v>
      </c>
      <c r="N9046" s="8" t="s">
        <v>39329</v>
      </c>
      <c r="O9046" s="8">
        <f>16+14/60+15.8/3600</f>
        <v>16.237722222222224</v>
      </c>
      <c r="P9046" s="8" t="s">
        <v>39330</v>
      </c>
      <c r="Q9046" s="8">
        <f>+(9+32/60+15/3600)</f>
        <v>9.5374999999999996</v>
      </c>
      <c r="R9046" s="8">
        <v>13.7</v>
      </c>
      <c r="S9046" s="8">
        <v>14.5</v>
      </c>
      <c r="T9046" s="8">
        <v>0.8</v>
      </c>
      <c r="U9046" s="8">
        <v>12</v>
      </c>
      <c r="V9046" s="8">
        <v>0.5</v>
      </c>
      <c r="W9046" s="8">
        <v>0.5</v>
      </c>
      <c r="Y9046" s="8" t="s">
        <v>39331</v>
      </c>
      <c r="Z9046" s="8" t="s">
        <v>39332</v>
      </c>
    </row>
    <row r="9047" spans="1:26" x14ac:dyDescent="0.2">
      <c r="A9047" s="8">
        <v>9046</v>
      </c>
      <c r="B9047" s="8" t="s">
        <v>39333</v>
      </c>
      <c r="C9047" s="8" t="s">
        <v>39333</v>
      </c>
      <c r="G9047" s="8">
        <v>20</v>
      </c>
      <c r="H9047" s="8" t="s">
        <v>21</v>
      </c>
      <c r="I9047" s="8" t="s">
        <v>22</v>
      </c>
      <c r="J9047" s="8" t="s">
        <v>22</v>
      </c>
      <c r="K9047" s="8" t="s">
        <v>31</v>
      </c>
      <c r="L9047" s="8" t="s">
        <v>26804</v>
      </c>
      <c r="M9047" s="8" t="s">
        <v>26805</v>
      </c>
      <c r="N9047" s="8" t="s">
        <v>39334</v>
      </c>
      <c r="O9047" s="8">
        <f>16+15/60+13/3600</f>
        <v>16.253611111111113</v>
      </c>
      <c r="P9047" s="8" t="s">
        <v>39335</v>
      </c>
      <c r="Q9047" s="8">
        <f>+(11+17/60+50/3600)</f>
        <v>11.297222222222222</v>
      </c>
      <c r="R9047" s="8">
        <v>13.6</v>
      </c>
      <c r="S9047" s="8">
        <v>14.4</v>
      </c>
      <c r="T9047" s="8">
        <v>0.8</v>
      </c>
      <c r="U9047" s="8">
        <v>13.4</v>
      </c>
      <c r="V9047" s="8">
        <v>1.1000000000000001</v>
      </c>
      <c r="W9047" s="8">
        <v>0.6</v>
      </c>
      <c r="X9047" s="8">
        <v>2</v>
      </c>
      <c r="Y9047" s="8" t="s">
        <v>227</v>
      </c>
      <c r="Z9047" s="8" t="s">
        <v>228</v>
      </c>
    </row>
    <row r="9048" spans="1:26" x14ac:dyDescent="0.2">
      <c r="A9048" s="8">
        <v>9047</v>
      </c>
      <c r="B9048" s="8" t="s">
        <v>39336</v>
      </c>
      <c r="C9048" s="8" t="s">
        <v>39336</v>
      </c>
      <c r="G9048" s="8">
        <v>20</v>
      </c>
      <c r="H9048" s="8" t="s">
        <v>21</v>
      </c>
      <c r="I9048" s="8" t="s">
        <v>72</v>
      </c>
      <c r="J9048" s="8" t="s">
        <v>72</v>
      </c>
      <c r="K9048" s="8" t="s">
        <v>1405</v>
      </c>
      <c r="L9048" s="8" t="s">
        <v>26735</v>
      </c>
      <c r="M9048" s="8" t="s">
        <v>26736</v>
      </c>
      <c r="N9048" s="8" t="s">
        <v>39337</v>
      </c>
      <c r="O9048" s="8">
        <f>16+19/60+26/3600</f>
        <v>16.323888888888888</v>
      </c>
      <c r="P9048" s="8" t="s">
        <v>39338</v>
      </c>
      <c r="Q9048" s="8">
        <f>-(29+38/60+36/3600)</f>
        <v>-29.643333333333334</v>
      </c>
      <c r="R9048" s="8">
        <v>99</v>
      </c>
      <c r="S9048" s="8">
        <v>99</v>
      </c>
      <c r="T9048" s="8">
        <v>99</v>
      </c>
      <c r="U9048" s="8">
        <v>99</v>
      </c>
      <c r="Y9048" s="8" t="s">
        <v>1694</v>
      </c>
      <c r="Z9048" s="8" t="s">
        <v>38252</v>
      </c>
    </row>
    <row r="9049" spans="1:26" x14ac:dyDescent="0.2">
      <c r="A9049" s="8">
        <v>9048</v>
      </c>
      <c r="B9049" s="8" t="s">
        <v>39339</v>
      </c>
      <c r="C9049" s="8" t="s">
        <v>39339</v>
      </c>
      <c r="G9049" s="8">
        <v>20</v>
      </c>
      <c r="H9049" s="8" t="s">
        <v>21</v>
      </c>
      <c r="I9049" s="8" t="s">
        <v>22</v>
      </c>
      <c r="J9049" s="8" t="s">
        <v>22</v>
      </c>
      <c r="K9049" s="8" t="s">
        <v>632</v>
      </c>
      <c r="L9049" s="8" t="s">
        <v>26398</v>
      </c>
      <c r="M9049" s="8" t="s">
        <v>26399</v>
      </c>
      <c r="N9049" s="8" t="s">
        <v>39340</v>
      </c>
      <c r="O9049" s="8">
        <f>16+15/60+47.8/3600</f>
        <v>16.263277777777777</v>
      </c>
      <c r="P9049" s="8" t="s">
        <v>39341</v>
      </c>
      <c r="Q9049" s="8">
        <f>+(36+31/60+39/3600)</f>
        <v>36.527499999999996</v>
      </c>
      <c r="R9049" s="8">
        <v>14.4</v>
      </c>
      <c r="S9049" s="8">
        <v>15.3</v>
      </c>
      <c r="T9049" s="8">
        <v>0.9</v>
      </c>
      <c r="U9049" s="8">
        <v>12.5</v>
      </c>
      <c r="V9049" s="8">
        <v>1</v>
      </c>
      <c r="W9049" s="8">
        <v>0.2</v>
      </c>
      <c r="X9049" s="8">
        <v>95</v>
      </c>
      <c r="Y9049" s="8" t="s">
        <v>21</v>
      </c>
      <c r="Z9049" s="8" t="s">
        <v>39342</v>
      </c>
    </row>
    <row r="9050" spans="1:26" x14ac:dyDescent="0.2">
      <c r="A9050" s="8">
        <v>9049</v>
      </c>
      <c r="B9050" s="8" t="s">
        <v>39343</v>
      </c>
      <c r="C9050" s="8" t="s">
        <v>39343</v>
      </c>
      <c r="G9050" s="8">
        <v>20</v>
      </c>
      <c r="H9050" s="8" t="s">
        <v>21</v>
      </c>
      <c r="I9050" s="8" t="s">
        <v>22</v>
      </c>
      <c r="J9050" s="8" t="s">
        <v>22</v>
      </c>
      <c r="K9050" s="8" t="s">
        <v>58</v>
      </c>
      <c r="L9050" s="8" t="s">
        <v>26804</v>
      </c>
      <c r="M9050" s="8" t="s">
        <v>26805</v>
      </c>
      <c r="N9050" s="8" t="s">
        <v>39344</v>
      </c>
      <c r="O9050" s="8">
        <f>16+18/60+39.5/3600</f>
        <v>16.310972222222222</v>
      </c>
      <c r="P9050" s="8" t="s">
        <v>39345</v>
      </c>
      <c r="Q9050" s="8">
        <f>+(15+33/60+32/3600)</f>
        <v>15.558888888888889</v>
      </c>
      <c r="R9050" s="8">
        <v>13.3</v>
      </c>
      <c r="S9050" s="8">
        <v>14.3</v>
      </c>
      <c r="T9050" s="8">
        <v>1</v>
      </c>
      <c r="U9050" s="8">
        <v>13.1</v>
      </c>
      <c r="V9050" s="8">
        <v>1.1000000000000001</v>
      </c>
      <c r="W9050" s="8">
        <v>0.8</v>
      </c>
      <c r="X9050" s="8">
        <v>5</v>
      </c>
      <c r="Y9050" s="8" t="s">
        <v>39346</v>
      </c>
      <c r="Z9050" s="8" t="s">
        <v>39347</v>
      </c>
    </row>
    <row r="9051" spans="1:26" x14ac:dyDescent="0.2">
      <c r="A9051" s="8">
        <v>9050</v>
      </c>
      <c r="B9051" s="8" t="s">
        <v>39348</v>
      </c>
      <c r="C9051" s="8" t="s">
        <v>39348</v>
      </c>
      <c r="G9051" s="8">
        <v>20</v>
      </c>
      <c r="H9051" s="8" t="s">
        <v>21</v>
      </c>
      <c r="I9051" s="8" t="s">
        <v>22</v>
      </c>
      <c r="J9051" s="8" t="s">
        <v>22</v>
      </c>
      <c r="K9051" s="8" t="s">
        <v>31</v>
      </c>
      <c r="L9051" s="8" t="s">
        <v>13395</v>
      </c>
      <c r="M9051" s="8" t="s">
        <v>13396</v>
      </c>
      <c r="N9051" s="8" t="s">
        <v>39349</v>
      </c>
      <c r="O9051" s="8">
        <f>16+14/60+30/3600</f>
        <v>16.241666666666667</v>
      </c>
      <c r="P9051" s="8" t="s">
        <v>39350</v>
      </c>
      <c r="Q9051" s="8">
        <f>+(62+32/60+10/3600)</f>
        <v>62.536111111111111</v>
      </c>
      <c r="R9051" s="8">
        <v>13.1</v>
      </c>
      <c r="S9051" s="8">
        <v>14</v>
      </c>
      <c r="T9051" s="8">
        <v>0.9</v>
      </c>
      <c r="U9051" s="8">
        <v>12.7</v>
      </c>
      <c r="V9051" s="8">
        <v>1.6</v>
      </c>
      <c r="W9051" s="8">
        <v>0.5</v>
      </c>
      <c r="X9051" s="8">
        <v>168</v>
      </c>
      <c r="Y9051" s="8" t="s">
        <v>39351</v>
      </c>
      <c r="Z9051" s="8" t="s">
        <v>39352</v>
      </c>
    </row>
    <row r="9052" spans="1:26" x14ac:dyDescent="0.2">
      <c r="A9052" s="8">
        <v>9051</v>
      </c>
      <c r="B9052" s="8" t="s">
        <v>39353</v>
      </c>
      <c r="C9052" s="8" t="s">
        <v>39353</v>
      </c>
      <c r="G9052" s="8">
        <v>20</v>
      </c>
      <c r="H9052" s="8" t="s">
        <v>21</v>
      </c>
      <c r="I9052" s="8" t="s">
        <v>22</v>
      </c>
      <c r="J9052" s="8" t="s">
        <v>22</v>
      </c>
      <c r="K9052" s="8" t="s">
        <v>183</v>
      </c>
      <c r="L9052" s="8" t="s">
        <v>13395</v>
      </c>
      <c r="M9052" s="8" t="s">
        <v>13396</v>
      </c>
      <c r="N9052" s="8" t="s">
        <v>39354</v>
      </c>
      <c r="O9052" s="8">
        <f>16+16/60+51.9/3600</f>
        <v>16.281083333333331</v>
      </c>
      <c r="P9052" s="8" t="s">
        <v>39355</v>
      </c>
      <c r="Q9052" s="8">
        <f>+(53+0/60+22/3600)</f>
        <v>53.00611111111111</v>
      </c>
      <c r="R9052" s="8">
        <v>12.7</v>
      </c>
      <c r="S9052" s="8">
        <v>13.7</v>
      </c>
      <c r="T9052" s="8">
        <v>1</v>
      </c>
      <c r="U9052" s="8">
        <v>12.7</v>
      </c>
      <c r="V9052" s="8">
        <v>1</v>
      </c>
      <c r="W9052" s="8">
        <v>0.9</v>
      </c>
      <c r="X9052" s="8">
        <v>42</v>
      </c>
      <c r="Y9052" s="8" t="s">
        <v>8732</v>
      </c>
      <c r="Z9052" s="8" t="s">
        <v>8733</v>
      </c>
    </row>
    <row r="9053" spans="1:26" x14ac:dyDescent="0.2">
      <c r="A9053" s="8">
        <v>9052</v>
      </c>
      <c r="B9053" s="8" t="s">
        <v>39356</v>
      </c>
      <c r="C9053" s="8" t="s">
        <v>39356</v>
      </c>
      <c r="G9053" s="8">
        <v>20</v>
      </c>
      <c r="H9053" s="8" t="s">
        <v>21</v>
      </c>
      <c r="I9053" s="8" t="s">
        <v>22</v>
      </c>
      <c r="J9053" s="8" t="s">
        <v>22</v>
      </c>
      <c r="K9053" s="8" t="s">
        <v>424</v>
      </c>
      <c r="L9053" s="8" t="s">
        <v>13395</v>
      </c>
      <c r="M9053" s="8" t="s">
        <v>13396</v>
      </c>
      <c r="N9053" s="8" t="s">
        <v>39357</v>
      </c>
      <c r="O9053" s="8">
        <f>16+15/60+30.7/3600</f>
        <v>16.258527777777779</v>
      </c>
      <c r="P9053" s="8" t="s">
        <v>39358</v>
      </c>
      <c r="Q9053" s="8">
        <f>+(64+13/60+31/3600)</f>
        <v>64.225277777777777</v>
      </c>
      <c r="R9053" s="8">
        <v>14.6</v>
      </c>
      <c r="S9053" s="8">
        <v>15.6</v>
      </c>
      <c r="T9053" s="8">
        <v>1</v>
      </c>
      <c r="U9053" s="8">
        <v>12.9</v>
      </c>
      <c r="V9053" s="8">
        <v>0.5</v>
      </c>
      <c r="W9053" s="8">
        <v>0.5</v>
      </c>
      <c r="Y9053" s="8" t="s">
        <v>21</v>
      </c>
      <c r="Z9053" s="8" t="s">
        <v>39359</v>
      </c>
    </row>
    <row r="9054" spans="1:26" x14ac:dyDescent="0.2">
      <c r="A9054" s="8">
        <v>9053</v>
      </c>
      <c r="B9054" s="8" t="s">
        <v>39360</v>
      </c>
      <c r="C9054" s="8" t="s">
        <v>39360</v>
      </c>
      <c r="G9054" s="8">
        <v>20</v>
      </c>
      <c r="H9054" s="8" t="s">
        <v>21</v>
      </c>
      <c r="I9054" s="8" t="s">
        <v>22</v>
      </c>
      <c r="J9054" s="8" t="s">
        <v>57</v>
      </c>
      <c r="K9054" s="8" t="s">
        <v>460</v>
      </c>
      <c r="L9054" s="8" t="s">
        <v>26227</v>
      </c>
      <c r="M9054" s="8" t="s">
        <v>26228</v>
      </c>
      <c r="N9054" s="8" t="s">
        <v>27468</v>
      </c>
      <c r="O9054" s="8">
        <f>16+22/60+10.2/3600</f>
        <v>16.369500000000002</v>
      </c>
      <c r="P9054" s="8" t="s">
        <v>27469</v>
      </c>
      <c r="Q9054" s="8">
        <f>-(1+30/60+51/3600)</f>
        <v>-1.5141666666666667</v>
      </c>
      <c r="R9054" s="8">
        <v>12.8</v>
      </c>
      <c r="S9054" s="8">
        <v>13.8</v>
      </c>
      <c r="T9054" s="8">
        <v>1</v>
      </c>
      <c r="U9054" s="8">
        <v>12.4</v>
      </c>
      <c r="V9054" s="8">
        <v>0.8</v>
      </c>
      <c r="W9054" s="8">
        <v>0.8</v>
      </c>
      <c r="Y9054" s="8" t="s">
        <v>2181</v>
      </c>
      <c r="Z9054" s="8" t="s">
        <v>2182</v>
      </c>
    </row>
    <row r="9055" spans="1:26" x14ac:dyDescent="0.2">
      <c r="A9055" s="8">
        <v>9054</v>
      </c>
      <c r="B9055" s="8" t="s">
        <v>39361</v>
      </c>
      <c r="C9055" s="8" t="s">
        <v>39361</v>
      </c>
      <c r="G9055" s="8">
        <v>20</v>
      </c>
      <c r="H9055" s="8" t="s">
        <v>21</v>
      </c>
      <c r="I9055" s="8" t="s">
        <v>22</v>
      </c>
      <c r="J9055" s="8" t="s">
        <v>22</v>
      </c>
      <c r="K9055" s="8" t="s">
        <v>632</v>
      </c>
      <c r="L9055" s="8" t="s">
        <v>13395</v>
      </c>
      <c r="M9055" s="8" t="s">
        <v>13396</v>
      </c>
      <c r="N9055" s="8" t="s">
        <v>39362</v>
      </c>
      <c r="O9055" s="8">
        <f>16+16/60+11.4/3600</f>
        <v>16.269833333333331</v>
      </c>
      <c r="P9055" s="8" t="s">
        <v>39363</v>
      </c>
      <c r="Q9055" s="8">
        <f>+(65+58/60+7/3600)</f>
        <v>65.968611111111116</v>
      </c>
      <c r="R9055" s="8">
        <v>14</v>
      </c>
      <c r="S9055" s="8">
        <v>14.9</v>
      </c>
      <c r="T9055" s="8">
        <v>0.9</v>
      </c>
      <c r="U9055" s="8">
        <v>13.7</v>
      </c>
      <c r="V9055" s="8">
        <v>1.4</v>
      </c>
      <c r="W9055" s="8">
        <v>0.6</v>
      </c>
      <c r="X9055" s="8">
        <v>18</v>
      </c>
      <c r="Y9055" s="8" t="s">
        <v>227</v>
      </c>
      <c r="Z9055" s="8" t="s">
        <v>228</v>
      </c>
    </row>
    <row r="9056" spans="1:26" x14ac:dyDescent="0.2">
      <c r="A9056" s="8">
        <v>9055</v>
      </c>
      <c r="B9056" s="8" t="s">
        <v>39364</v>
      </c>
      <c r="C9056" s="8" t="s">
        <v>39364</v>
      </c>
      <c r="G9056" s="8">
        <v>20</v>
      </c>
      <c r="H9056" s="8" t="s">
        <v>21</v>
      </c>
      <c r="I9056" s="8" t="s">
        <v>22</v>
      </c>
      <c r="J9056" s="8" t="s">
        <v>22</v>
      </c>
      <c r="K9056" s="8" t="s">
        <v>12818</v>
      </c>
      <c r="L9056" s="8" t="s">
        <v>13395</v>
      </c>
      <c r="M9056" s="8" t="s">
        <v>13396</v>
      </c>
      <c r="N9056" s="8" t="s">
        <v>39365</v>
      </c>
      <c r="O9056" s="8">
        <f>16+15/60+35/3600</f>
        <v>16.259722222222223</v>
      </c>
      <c r="P9056" s="8" t="s">
        <v>39366</v>
      </c>
      <c r="Q9056" s="8">
        <f>+(68+23/60+50/3600)</f>
        <v>68.397222222222226</v>
      </c>
      <c r="R9056" s="8">
        <v>13.2</v>
      </c>
      <c r="S9056" s="8">
        <v>14.1</v>
      </c>
      <c r="T9056" s="8">
        <v>0.9</v>
      </c>
      <c r="U9056" s="8">
        <v>12.8</v>
      </c>
      <c r="V9056" s="8">
        <v>1.1000000000000001</v>
      </c>
      <c r="W9056" s="8">
        <v>0.7</v>
      </c>
      <c r="X9056" s="8">
        <v>10</v>
      </c>
      <c r="Y9056" s="8" t="s">
        <v>39367</v>
      </c>
      <c r="Z9056" s="8" t="s">
        <v>39368</v>
      </c>
    </row>
    <row r="9057" spans="1:26" x14ac:dyDescent="0.2">
      <c r="A9057" s="8">
        <v>9056</v>
      </c>
      <c r="B9057" s="8" t="s">
        <v>39369</v>
      </c>
      <c r="C9057" s="8" t="s">
        <v>39369</v>
      </c>
      <c r="G9057" s="8">
        <v>20</v>
      </c>
      <c r="H9057" s="8" t="s">
        <v>21</v>
      </c>
      <c r="I9057" s="8" t="s">
        <v>22</v>
      </c>
      <c r="J9057" s="8" t="s">
        <v>22</v>
      </c>
      <c r="K9057" s="8" t="s">
        <v>160</v>
      </c>
      <c r="L9057" s="8" t="s">
        <v>13395</v>
      </c>
      <c r="M9057" s="8" t="s">
        <v>13396</v>
      </c>
      <c r="N9057" s="8" t="s">
        <v>39370</v>
      </c>
      <c r="O9057" s="8">
        <f>16+15/60+55.3/3600</f>
        <v>16.265361111111112</v>
      </c>
      <c r="P9057" s="8" t="s">
        <v>39371</v>
      </c>
      <c r="Q9057" s="8">
        <f>+(68+20/60+58/3600)</f>
        <v>68.349444444444444</v>
      </c>
      <c r="R9057" s="8">
        <v>14.1</v>
      </c>
      <c r="S9057" s="8">
        <v>14.8</v>
      </c>
      <c r="T9057" s="8">
        <v>0.7</v>
      </c>
      <c r="U9057" s="8">
        <v>13.8</v>
      </c>
      <c r="V9057" s="8">
        <v>1</v>
      </c>
      <c r="W9057" s="8">
        <v>0.9</v>
      </c>
      <c r="X9057" s="8">
        <v>33</v>
      </c>
      <c r="Y9057" s="8" t="s">
        <v>39372</v>
      </c>
      <c r="Z9057" s="8" t="s">
        <v>39373</v>
      </c>
    </row>
    <row r="9058" spans="1:26" x14ac:dyDescent="0.2">
      <c r="A9058" s="8">
        <v>9057</v>
      </c>
      <c r="B9058" s="8" t="s">
        <v>39374</v>
      </c>
      <c r="C9058" s="8" t="s">
        <v>39374</v>
      </c>
      <c r="G9058" s="8">
        <v>20</v>
      </c>
      <c r="H9058" s="8" t="s">
        <v>21</v>
      </c>
      <c r="I9058" s="8" t="s">
        <v>329</v>
      </c>
      <c r="J9058" s="8" t="s">
        <v>329</v>
      </c>
      <c r="K9058" s="8" t="s">
        <v>329</v>
      </c>
      <c r="L9058" s="8" t="s">
        <v>13395</v>
      </c>
      <c r="M9058" s="8" t="s">
        <v>13396</v>
      </c>
      <c r="N9058" s="8" t="s">
        <v>39375</v>
      </c>
      <c r="O9058" s="8">
        <f>16+16/60+3.7/3600</f>
        <v>16.267694444444444</v>
      </c>
      <c r="P9058" s="8" t="s">
        <v>39376</v>
      </c>
      <c r="Q9058" s="8">
        <f>+(69+40/60+35/3600)</f>
        <v>69.676388888888894</v>
      </c>
      <c r="R9058" s="8">
        <v>99</v>
      </c>
      <c r="S9058" s="8">
        <v>99</v>
      </c>
      <c r="T9058" s="8">
        <v>99</v>
      </c>
      <c r="U9058" s="8">
        <v>99</v>
      </c>
      <c r="Y9058" s="8" t="s">
        <v>4937</v>
      </c>
      <c r="Z9058" s="8" t="s">
        <v>4938</v>
      </c>
    </row>
    <row r="9059" spans="1:26" x14ac:dyDescent="0.2">
      <c r="A9059" s="8">
        <v>9058</v>
      </c>
      <c r="B9059" s="8" t="s">
        <v>39377</v>
      </c>
      <c r="C9059" s="8" t="s">
        <v>39377</v>
      </c>
      <c r="G9059" s="8">
        <v>20</v>
      </c>
      <c r="H9059" s="8" t="s">
        <v>21</v>
      </c>
      <c r="I9059" s="8" t="s">
        <v>22</v>
      </c>
      <c r="J9059" s="8" t="s">
        <v>22</v>
      </c>
      <c r="K9059" s="8" t="s">
        <v>476</v>
      </c>
      <c r="L9059" s="8" t="s">
        <v>13395</v>
      </c>
      <c r="M9059" s="8" t="s">
        <v>13396</v>
      </c>
      <c r="N9059" s="8" t="s">
        <v>39378</v>
      </c>
      <c r="O9059" s="8">
        <f>16+16/60+37.3/3600</f>
        <v>16.277027777777779</v>
      </c>
      <c r="P9059" s="8" t="s">
        <v>39379</v>
      </c>
      <c r="Q9059" s="8">
        <f>+(68+12/60+11/3600)</f>
        <v>68.203055555555565</v>
      </c>
      <c r="R9059" s="8">
        <v>13.6</v>
      </c>
      <c r="S9059" s="8">
        <v>14.5</v>
      </c>
      <c r="T9059" s="8">
        <v>0.9</v>
      </c>
      <c r="U9059" s="8">
        <v>12.3</v>
      </c>
      <c r="V9059" s="8">
        <v>1.1000000000000001</v>
      </c>
      <c r="W9059" s="8">
        <v>0.3</v>
      </c>
      <c r="X9059" s="8">
        <v>57</v>
      </c>
      <c r="Y9059" s="8" t="s">
        <v>2500</v>
      </c>
      <c r="Z9059" s="8" t="s">
        <v>2501</v>
      </c>
    </row>
    <row r="9060" spans="1:26" x14ac:dyDescent="0.2">
      <c r="A9060" s="8">
        <v>9059</v>
      </c>
      <c r="B9060" s="8" t="s">
        <v>39380</v>
      </c>
      <c r="C9060" s="8" t="s">
        <v>39380</v>
      </c>
      <c r="G9060" s="8">
        <v>20</v>
      </c>
      <c r="H9060" s="8" t="s">
        <v>21</v>
      </c>
      <c r="I9060" s="8" t="s">
        <v>22</v>
      </c>
      <c r="J9060" s="8" t="s">
        <v>22</v>
      </c>
      <c r="K9060" s="8" t="s">
        <v>37</v>
      </c>
      <c r="L9060" s="8" t="s">
        <v>26804</v>
      </c>
      <c r="M9060" s="8" t="s">
        <v>26805</v>
      </c>
      <c r="N9060" s="8" t="s">
        <v>39381</v>
      </c>
      <c r="O9060" s="8">
        <f>16+24/60+27.4/3600</f>
        <v>16.407611111111109</v>
      </c>
      <c r="P9060" s="8" t="s">
        <v>39382</v>
      </c>
      <c r="Q9060" s="8">
        <f>+(19+29/60+1/3600)</f>
        <v>19.483611111111113</v>
      </c>
      <c r="R9060" s="8">
        <v>14.2</v>
      </c>
      <c r="S9060" s="8">
        <v>15.2</v>
      </c>
      <c r="T9060" s="8">
        <v>1</v>
      </c>
      <c r="U9060" s="8">
        <v>13.4</v>
      </c>
      <c r="V9060" s="8">
        <v>1.1000000000000001</v>
      </c>
      <c r="W9060" s="8">
        <v>0.5</v>
      </c>
      <c r="X9060" s="8">
        <v>125</v>
      </c>
      <c r="Y9060" s="8" t="s">
        <v>21</v>
      </c>
      <c r="Z9060" s="8" t="s">
        <v>39383</v>
      </c>
    </row>
    <row r="9061" spans="1:26" x14ac:dyDescent="0.2">
      <c r="A9061" s="8">
        <v>9060</v>
      </c>
      <c r="B9061" s="8" t="s">
        <v>39384</v>
      </c>
      <c r="C9061" s="8" t="s">
        <v>39384</v>
      </c>
      <c r="G9061" s="8">
        <v>20</v>
      </c>
      <c r="H9061" s="8" t="s">
        <v>21</v>
      </c>
      <c r="I9061" s="8" t="s">
        <v>22</v>
      </c>
      <c r="J9061" s="8" t="s">
        <v>22</v>
      </c>
      <c r="K9061" s="8" t="s">
        <v>460</v>
      </c>
      <c r="L9061" s="8" t="s">
        <v>26804</v>
      </c>
      <c r="M9061" s="8" t="s">
        <v>26805</v>
      </c>
      <c r="N9061" s="8" t="s">
        <v>39385</v>
      </c>
      <c r="O9061" s="8">
        <f>16+29/60+38.2/3600</f>
        <v>16.493944444444445</v>
      </c>
      <c r="P9061" s="8" t="s">
        <v>39386</v>
      </c>
      <c r="Q9061" s="8">
        <f>+(8+27/60+2/3600)</f>
        <v>8.4505555555555549</v>
      </c>
      <c r="R9061" s="8">
        <v>14</v>
      </c>
      <c r="S9061" s="8">
        <v>15</v>
      </c>
      <c r="T9061" s="8">
        <v>1</v>
      </c>
      <c r="U9061" s="8">
        <v>13.8</v>
      </c>
      <c r="V9061" s="8">
        <v>1</v>
      </c>
      <c r="W9061" s="8">
        <v>1</v>
      </c>
      <c r="Y9061" s="8" t="s">
        <v>39387</v>
      </c>
      <c r="Z9061" s="8" t="s">
        <v>39388</v>
      </c>
    </row>
    <row r="9062" spans="1:26" x14ac:dyDescent="0.2">
      <c r="A9062" s="8">
        <v>9061</v>
      </c>
      <c r="B9062" s="8" t="s">
        <v>39389</v>
      </c>
      <c r="C9062" s="8" t="s">
        <v>39389</v>
      </c>
      <c r="G9062" s="8">
        <v>20</v>
      </c>
      <c r="H9062" s="8" t="s">
        <v>21</v>
      </c>
      <c r="I9062" s="8" t="s">
        <v>22</v>
      </c>
      <c r="J9062" s="8" t="s">
        <v>22</v>
      </c>
      <c r="K9062" s="8" t="s">
        <v>160</v>
      </c>
      <c r="L9062" s="8" t="s">
        <v>26804</v>
      </c>
      <c r="M9062" s="8" t="s">
        <v>26805</v>
      </c>
      <c r="N9062" s="8" t="s">
        <v>39390</v>
      </c>
      <c r="O9062" s="8">
        <f>16+34/60+41.5/3600</f>
        <v>16.578194444444446</v>
      </c>
      <c r="P9062" s="8" t="s">
        <v>39391</v>
      </c>
      <c r="Q9062" s="8">
        <f>+(46+23/60+30/3600)</f>
        <v>46.391666666666666</v>
      </c>
      <c r="R9062" s="8">
        <v>13.8</v>
      </c>
      <c r="S9062" s="8">
        <v>14.5</v>
      </c>
      <c r="T9062" s="8">
        <v>0.7</v>
      </c>
      <c r="U9062" s="8">
        <v>14</v>
      </c>
      <c r="V9062" s="8">
        <v>1.3</v>
      </c>
      <c r="W9062" s="8">
        <v>1.1000000000000001</v>
      </c>
      <c r="X9062" s="8">
        <v>0</v>
      </c>
      <c r="Y9062" s="8" t="s">
        <v>39392</v>
      </c>
      <c r="Z9062" s="8" t="s">
        <v>39393</v>
      </c>
    </row>
    <row r="9063" spans="1:26" x14ac:dyDescent="0.2">
      <c r="A9063" s="8">
        <v>9062</v>
      </c>
      <c r="B9063" s="8" t="s">
        <v>39394</v>
      </c>
      <c r="C9063" s="8" t="s">
        <v>39394</v>
      </c>
      <c r="G9063" s="8">
        <v>20</v>
      </c>
      <c r="H9063" s="8" t="s">
        <v>21</v>
      </c>
      <c r="I9063" s="8" t="s">
        <v>22</v>
      </c>
      <c r="J9063" s="8" t="s">
        <v>22</v>
      </c>
      <c r="K9063" s="8" t="s">
        <v>85</v>
      </c>
      <c r="L9063" s="8" t="s">
        <v>26804</v>
      </c>
      <c r="M9063" s="8" t="s">
        <v>26805</v>
      </c>
      <c r="N9063" s="8" t="s">
        <v>39395</v>
      </c>
      <c r="O9063" s="8">
        <f>16+35/60+9/3600</f>
        <v>16.585833333333333</v>
      </c>
      <c r="P9063" s="8" t="s">
        <v>39396</v>
      </c>
      <c r="Q9063" s="8">
        <f>+(46+12/60+49/3600)</f>
        <v>46.213611111111113</v>
      </c>
      <c r="R9063" s="8">
        <v>13.5</v>
      </c>
      <c r="S9063" s="8">
        <v>14.2</v>
      </c>
      <c r="T9063" s="8">
        <v>0.7</v>
      </c>
      <c r="U9063" s="8">
        <v>14.2</v>
      </c>
      <c r="V9063" s="8">
        <v>1.7</v>
      </c>
      <c r="W9063" s="8">
        <v>1.3</v>
      </c>
      <c r="X9063" s="8">
        <v>50</v>
      </c>
      <c r="Y9063" s="8" t="s">
        <v>39397</v>
      </c>
      <c r="Z9063" s="8" t="s">
        <v>39398</v>
      </c>
    </row>
    <row r="9064" spans="1:26" x14ac:dyDescent="0.2">
      <c r="A9064" s="8">
        <v>9063</v>
      </c>
      <c r="B9064" s="8" t="s">
        <v>39399</v>
      </c>
      <c r="C9064" s="8" t="s">
        <v>39399</v>
      </c>
      <c r="G9064" s="8">
        <v>20</v>
      </c>
      <c r="H9064" s="8" t="s">
        <v>21</v>
      </c>
      <c r="I9064" s="8" t="s">
        <v>22</v>
      </c>
      <c r="J9064" s="8" t="s">
        <v>22</v>
      </c>
      <c r="K9064" s="8" t="s">
        <v>37986</v>
      </c>
      <c r="L9064" s="8" t="s">
        <v>26804</v>
      </c>
      <c r="M9064" s="8" t="s">
        <v>26805</v>
      </c>
      <c r="N9064" s="8" t="s">
        <v>39400</v>
      </c>
      <c r="O9064" s="8">
        <f>16+35/60+42.4/3600</f>
        <v>16.595111111111109</v>
      </c>
      <c r="P9064" s="8" t="s">
        <v>39401</v>
      </c>
      <c r="Q9064" s="8">
        <f>+(49+13/60+16/3600)</f>
        <v>49.221111111111114</v>
      </c>
      <c r="R9064" s="8">
        <v>14.4</v>
      </c>
      <c r="S9064" s="8">
        <v>15.2</v>
      </c>
      <c r="T9064" s="8">
        <v>0.8</v>
      </c>
      <c r="U9064" s="8">
        <v>13.7</v>
      </c>
      <c r="V9064" s="8">
        <v>0.9</v>
      </c>
      <c r="W9064" s="8">
        <v>0.7</v>
      </c>
      <c r="X9064" s="8">
        <v>18</v>
      </c>
      <c r="Y9064" s="8" t="s">
        <v>21</v>
      </c>
      <c r="Z9064" s="8" t="s">
        <v>39402</v>
      </c>
    </row>
    <row r="9065" spans="1:26" x14ac:dyDescent="0.2">
      <c r="A9065" s="8">
        <v>9064</v>
      </c>
      <c r="B9065" s="8" t="s">
        <v>39403</v>
      </c>
      <c r="C9065" s="8" t="s">
        <v>39403</v>
      </c>
      <c r="G9065" s="8">
        <v>20</v>
      </c>
      <c r="H9065" s="8" t="s">
        <v>21</v>
      </c>
      <c r="I9065" s="8" t="s">
        <v>22</v>
      </c>
      <c r="J9065" s="8" t="s">
        <v>22</v>
      </c>
      <c r="K9065" s="8" t="s">
        <v>424</v>
      </c>
      <c r="L9065" s="8" t="s">
        <v>26804</v>
      </c>
      <c r="M9065" s="8" t="s">
        <v>26805</v>
      </c>
      <c r="N9065" s="8" t="s">
        <v>39404</v>
      </c>
      <c r="O9065" s="8">
        <f>16+42/60+56.2/3600</f>
        <v>16.715611111111109</v>
      </c>
      <c r="P9065" s="8" t="s">
        <v>39405</v>
      </c>
      <c r="Q9065" s="8">
        <f>+(19+15/60+18/3600)</f>
        <v>19.254999999999999</v>
      </c>
      <c r="R9065" s="8">
        <v>14.4</v>
      </c>
      <c r="S9065" s="8">
        <v>15.4</v>
      </c>
      <c r="T9065" s="8">
        <v>1</v>
      </c>
      <c r="U9065" s="8">
        <v>13.5</v>
      </c>
      <c r="V9065" s="8">
        <v>0.8</v>
      </c>
      <c r="W9065" s="8">
        <v>0.6</v>
      </c>
      <c r="X9065" s="8">
        <v>90</v>
      </c>
      <c r="Y9065" s="8" t="s">
        <v>25259</v>
      </c>
      <c r="Z9065" s="8" t="s">
        <v>25260</v>
      </c>
    </row>
    <row r="9066" spans="1:26" x14ac:dyDescent="0.2">
      <c r="A9066" s="8">
        <v>9065</v>
      </c>
      <c r="B9066" s="8" t="s">
        <v>39406</v>
      </c>
      <c r="C9066" s="8" t="s">
        <v>39406</v>
      </c>
      <c r="G9066" s="8">
        <v>20</v>
      </c>
      <c r="H9066" s="8" t="s">
        <v>21</v>
      </c>
      <c r="I9066" s="8" t="s">
        <v>22</v>
      </c>
      <c r="J9066" s="8" t="s">
        <v>22</v>
      </c>
      <c r="K9066" s="8" t="s">
        <v>218</v>
      </c>
      <c r="L9066" s="8" t="s">
        <v>13395</v>
      </c>
      <c r="M9066" s="8" t="s">
        <v>13396</v>
      </c>
      <c r="N9066" s="8" t="s">
        <v>39407</v>
      </c>
      <c r="O9066" s="8">
        <f>16+36/60+52.3/3600</f>
        <v>16.614527777777781</v>
      </c>
      <c r="P9066" s="8" t="s">
        <v>39408</v>
      </c>
      <c r="Q9066" s="8">
        <f>+(67+37/60+45/3600)</f>
        <v>67.629166666666663</v>
      </c>
      <c r="R9066" s="8">
        <v>14.5</v>
      </c>
      <c r="S9066" s="8">
        <v>15.3</v>
      </c>
      <c r="T9066" s="8">
        <v>0.8</v>
      </c>
      <c r="U9066" s="8">
        <v>13.7</v>
      </c>
      <c r="V9066" s="8">
        <v>1.4</v>
      </c>
      <c r="W9066" s="8">
        <v>0.4</v>
      </c>
      <c r="X9066" s="8">
        <v>73</v>
      </c>
      <c r="Y9066" s="8" t="s">
        <v>21</v>
      </c>
      <c r="Z9066" s="8" t="s">
        <v>39409</v>
      </c>
    </row>
    <row r="9067" spans="1:26" x14ac:dyDescent="0.2">
      <c r="A9067" s="8">
        <v>9066</v>
      </c>
      <c r="B9067" s="8" t="s">
        <v>39410</v>
      </c>
      <c r="C9067" s="8" t="s">
        <v>39410</v>
      </c>
      <c r="G9067" s="8">
        <v>20</v>
      </c>
      <c r="H9067" s="8" t="s">
        <v>21</v>
      </c>
      <c r="I9067" s="8" t="s">
        <v>22</v>
      </c>
      <c r="J9067" s="8" t="s">
        <v>22</v>
      </c>
      <c r="K9067" s="8" t="s">
        <v>449</v>
      </c>
      <c r="L9067" s="8" t="s">
        <v>26804</v>
      </c>
      <c r="M9067" s="8" t="s">
        <v>26805</v>
      </c>
      <c r="N9067" s="8" t="s">
        <v>39411</v>
      </c>
      <c r="O9067" s="8">
        <f>16+41/60+6.5/3600</f>
        <v>16.68513888888889</v>
      </c>
      <c r="P9067" s="8" t="s">
        <v>39412</v>
      </c>
      <c r="Q9067" s="8">
        <f>+(46+0/60+14/3600)</f>
        <v>46.003888888888888</v>
      </c>
      <c r="R9067" s="8">
        <v>14.6</v>
      </c>
      <c r="S9067" s="8">
        <v>15.4</v>
      </c>
      <c r="T9067" s="8">
        <v>0.8</v>
      </c>
      <c r="U9067" s="8">
        <v>12.1</v>
      </c>
      <c r="V9067" s="8">
        <v>0.4</v>
      </c>
      <c r="W9067" s="8">
        <v>0.3</v>
      </c>
      <c r="X9067" s="8">
        <v>30</v>
      </c>
      <c r="Y9067" s="8" t="s">
        <v>21</v>
      </c>
      <c r="Z9067" s="8" t="s">
        <v>39413</v>
      </c>
    </row>
    <row r="9068" spans="1:26" x14ac:dyDescent="0.2">
      <c r="A9068" s="8">
        <v>9067</v>
      </c>
      <c r="B9068" s="8" t="s">
        <v>39414</v>
      </c>
      <c r="C9068" s="8" t="s">
        <v>39414</v>
      </c>
      <c r="G9068" s="8">
        <v>20</v>
      </c>
      <c r="H9068" s="8" t="s">
        <v>21</v>
      </c>
      <c r="I9068" s="8" t="s">
        <v>22</v>
      </c>
      <c r="J9068" s="8" t="s">
        <v>57</v>
      </c>
      <c r="K9068" s="8" t="s">
        <v>37</v>
      </c>
      <c r="L9068" s="8" t="s">
        <v>13395</v>
      </c>
      <c r="M9068" s="8" t="s">
        <v>13396</v>
      </c>
      <c r="N9068" s="8" t="s">
        <v>27609</v>
      </c>
      <c r="O9068" s="8">
        <f>16+40/60+7.9/3600</f>
        <v>16.668861111111113</v>
      </c>
      <c r="P9068" s="8" t="s">
        <v>27610</v>
      </c>
      <c r="Q9068" s="8">
        <f>+(58+37/60+2/3600)</f>
        <v>58.617222222222225</v>
      </c>
      <c r="R9068" s="8">
        <v>13.6</v>
      </c>
      <c r="S9068" s="8">
        <v>14.6</v>
      </c>
      <c r="T9068" s="8">
        <v>1</v>
      </c>
      <c r="U9068" s="8">
        <v>12.6</v>
      </c>
      <c r="V9068" s="8">
        <v>0.7</v>
      </c>
      <c r="W9068" s="8">
        <v>0.7</v>
      </c>
      <c r="Y9068" s="8" t="s">
        <v>24591</v>
      </c>
      <c r="Z9068" s="8" t="s">
        <v>39415</v>
      </c>
    </row>
    <row r="9069" spans="1:26" x14ac:dyDescent="0.2">
      <c r="A9069" s="8">
        <v>9068</v>
      </c>
      <c r="B9069" s="8" t="s">
        <v>39416</v>
      </c>
      <c r="C9069" s="8" t="s">
        <v>39416</v>
      </c>
      <c r="G9069" s="8">
        <v>20</v>
      </c>
      <c r="H9069" s="8" t="s">
        <v>21</v>
      </c>
      <c r="I9069" s="8" t="s">
        <v>22</v>
      </c>
      <c r="J9069" s="8" t="s">
        <v>22</v>
      </c>
      <c r="K9069" s="8" t="s">
        <v>406</v>
      </c>
      <c r="L9069" s="8" t="s">
        <v>13395</v>
      </c>
      <c r="M9069" s="8" t="s">
        <v>13396</v>
      </c>
      <c r="N9069" s="8" t="s">
        <v>39417</v>
      </c>
      <c r="O9069" s="8">
        <f>16+42/60+6.4/3600</f>
        <v>16.701777777777778</v>
      </c>
      <c r="P9069" s="8" t="s">
        <v>39418</v>
      </c>
      <c r="Q9069" s="8">
        <f>+(65+35/60+8/3600)</f>
        <v>65.585555555555544</v>
      </c>
      <c r="R9069" s="8">
        <v>13.3</v>
      </c>
      <c r="S9069" s="8">
        <v>14.1</v>
      </c>
      <c r="T9069" s="8">
        <v>0.8</v>
      </c>
      <c r="U9069" s="8">
        <v>14.1</v>
      </c>
      <c r="V9069" s="8">
        <v>1.6</v>
      </c>
      <c r="W9069" s="8">
        <v>1.5</v>
      </c>
      <c r="X9069" s="8">
        <v>39</v>
      </c>
      <c r="Y9069" s="8" t="s">
        <v>21</v>
      </c>
      <c r="Z9069" s="8" t="s">
        <v>39419</v>
      </c>
    </row>
    <row r="9070" spans="1:26" x14ac:dyDescent="0.2">
      <c r="A9070" s="8">
        <v>9069</v>
      </c>
      <c r="B9070" s="8" t="s">
        <v>39420</v>
      </c>
      <c r="C9070" s="8" t="s">
        <v>39420</v>
      </c>
      <c r="G9070" s="8">
        <v>20</v>
      </c>
      <c r="H9070" s="8" t="s">
        <v>21</v>
      </c>
      <c r="I9070" s="8" t="s">
        <v>22</v>
      </c>
      <c r="J9070" s="8" t="s">
        <v>22</v>
      </c>
      <c r="K9070" s="8" t="s">
        <v>37986</v>
      </c>
      <c r="L9070" s="8" t="s">
        <v>13395</v>
      </c>
      <c r="M9070" s="8" t="s">
        <v>13396</v>
      </c>
      <c r="N9070" s="8" t="s">
        <v>39421</v>
      </c>
      <c r="O9070" s="8">
        <f>16+44/60+58.7/3600</f>
        <v>16.749638888888889</v>
      </c>
      <c r="P9070" s="8" t="s">
        <v>39422</v>
      </c>
      <c r="Q9070" s="8">
        <f>+(51+18/60+29/3600)</f>
        <v>51.308055555555555</v>
      </c>
      <c r="R9070" s="8">
        <v>15.7</v>
      </c>
      <c r="S9070" s="8">
        <v>16.5</v>
      </c>
      <c r="T9070" s="8">
        <v>0.8</v>
      </c>
      <c r="U9070" s="8">
        <v>13.2</v>
      </c>
      <c r="V9070" s="8">
        <v>0.4</v>
      </c>
      <c r="W9070" s="8">
        <v>0.3</v>
      </c>
      <c r="X9070" s="8">
        <v>90</v>
      </c>
      <c r="Y9070" s="8" t="s">
        <v>39423</v>
      </c>
      <c r="Z9070" s="8" t="s">
        <v>39424</v>
      </c>
    </row>
    <row r="9071" spans="1:26" x14ac:dyDescent="0.2">
      <c r="A9071" s="8">
        <v>9070</v>
      </c>
      <c r="B9071" s="8" t="s">
        <v>39425</v>
      </c>
      <c r="C9071" s="8" t="s">
        <v>39425</v>
      </c>
      <c r="G9071" s="8">
        <v>20</v>
      </c>
      <c r="H9071" s="8" t="s">
        <v>21</v>
      </c>
      <c r="I9071" s="8" t="s">
        <v>22</v>
      </c>
      <c r="J9071" s="8" t="s">
        <v>22</v>
      </c>
      <c r="K9071" s="8" t="s">
        <v>24713</v>
      </c>
      <c r="L9071" s="8" t="s">
        <v>26804</v>
      </c>
      <c r="M9071" s="8" t="s">
        <v>26805</v>
      </c>
      <c r="N9071" s="8" t="s">
        <v>39426</v>
      </c>
      <c r="O9071" s="8">
        <f>16+45/60+1.4/3600</f>
        <v>16.750388888888889</v>
      </c>
      <c r="P9071" s="8" t="s">
        <v>39427</v>
      </c>
      <c r="Q9071" s="8">
        <f>+(51+15/60+36/3600)</f>
        <v>51.26</v>
      </c>
      <c r="R9071" s="8">
        <v>14.7</v>
      </c>
      <c r="S9071" s="8">
        <v>15.5</v>
      </c>
      <c r="T9071" s="8">
        <v>0.8</v>
      </c>
      <c r="U9071" s="8">
        <v>14.3</v>
      </c>
      <c r="V9071" s="8">
        <v>0.9</v>
      </c>
      <c r="W9071" s="8">
        <v>0.9</v>
      </c>
      <c r="Y9071" s="8" t="s">
        <v>25795</v>
      </c>
      <c r="Z9071" s="8" t="s">
        <v>39428</v>
      </c>
    </row>
    <row r="9072" spans="1:26" x14ac:dyDescent="0.2">
      <c r="A9072" s="8">
        <v>9071</v>
      </c>
      <c r="B9072" s="8" t="s">
        <v>39429</v>
      </c>
      <c r="C9072" s="8" t="s">
        <v>39429</v>
      </c>
      <c r="G9072" s="8">
        <v>20</v>
      </c>
      <c r="H9072" s="8" t="s">
        <v>21</v>
      </c>
      <c r="I9072" s="8" t="s">
        <v>22</v>
      </c>
      <c r="J9072" s="8" t="s">
        <v>22</v>
      </c>
      <c r="K9072" s="8" t="s">
        <v>160</v>
      </c>
      <c r="L9072" s="8" t="s">
        <v>13395</v>
      </c>
      <c r="M9072" s="8" t="s">
        <v>13396</v>
      </c>
      <c r="N9072" s="8" t="s">
        <v>39430</v>
      </c>
      <c r="O9072" s="8">
        <f>16+46/60+59.1/3600</f>
        <v>16.783083333333334</v>
      </c>
      <c r="P9072" s="8" t="s">
        <v>39431</v>
      </c>
      <c r="Q9072" s="8">
        <f>+(58+25/60+22/3600)</f>
        <v>58.422777777777775</v>
      </c>
      <c r="R9072" s="8">
        <v>12.9</v>
      </c>
      <c r="S9072" s="8">
        <v>13.6</v>
      </c>
      <c r="T9072" s="8">
        <v>0.7</v>
      </c>
      <c r="U9072" s="8">
        <v>13.6</v>
      </c>
      <c r="V9072" s="8">
        <v>2.2000000000000002</v>
      </c>
      <c r="W9072" s="8">
        <v>1</v>
      </c>
      <c r="X9072" s="8">
        <v>155</v>
      </c>
      <c r="Y9072" s="8" t="s">
        <v>21</v>
      </c>
      <c r="Z9072" s="8" t="s">
        <v>39432</v>
      </c>
    </row>
    <row r="9073" spans="1:26" x14ac:dyDescent="0.2">
      <c r="A9073" s="8">
        <v>9072</v>
      </c>
      <c r="B9073" s="8" t="s">
        <v>39433</v>
      </c>
      <c r="C9073" s="8" t="s">
        <v>39433</v>
      </c>
      <c r="G9073" s="8">
        <v>20</v>
      </c>
      <c r="H9073" s="8" t="s">
        <v>21</v>
      </c>
      <c r="I9073" s="8" t="s">
        <v>329</v>
      </c>
      <c r="J9073" s="8" t="s">
        <v>329</v>
      </c>
      <c r="K9073" s="8" t="s">
        <v>329</v>
      </c>
      <c r="L9073" s="8" t="s">
        <v>26804</v>
      </c>
      <c r="M9073" s="8" t="s">
        <v>26805</v>
      </c>
      <c r="N9073" s="8" t="s">
        <v>39434</v>
      </c>
      <c r="O9073" s="8">
        <f>16+49/60+42/3600</f>
        <v>16.828333333333333</v>
      </c>
      <c r="P9073" s="8" t="s">
        <v>39435</v>
      </c>
      <c r="Q9073" s="8">
        <f>+(46+5/60+22/3600)</f>
        <v>46.089444444444446</v>
      </c>
      <c r="R9073" s="8">
        <v>99</v>
      </c>
      <c r="S9073" s="8">
        <v>99</v>
      </c>
      <c r="T9073" s="8">
        <v>99</v>
      </c>
      <c r="U9073" s="8">
        <v>99</v>
      </c>
      <c r="Y9073" s="8" t="s">
        <v>39436</v>
      </c>
      <c r="Z9073" s="8" t="s">
        <v>39437</v>
      </c>
    </row>
    <row r="9074" spans="1:26" x14ac:dyDescent="0.2">
      <c r="A9074" s="8">
        <v>9073</v>
      </c>
      <c r="B9074" s="8" t="s">
        <v>39438</v>
      </c>
      <c r="C9074" s="8" t="s">
        <v>39438</v>
      </c>
      <c r="G9074" s="8">
        <v>20</v>
      </c>
      <c r="H9074" s="8" t="s">
        <v>21</v>
      </c>
      <c r="I9074" s="8" t="s">
        <v>329</v>
      </c>
      <c r="J9074" s="8" t="s">
        <v>329</v>
      </c>
      <c r="K9074" s="8" t="s">
        <v>329</v>
      </c>
      <c r="L9074" s="8" t="s">
        <v>13395</v>
      </c>
      <c r="M9074" s="8" t="s">
        <v>13396</v>
      </c>
      <c r="N9074" s="8" t="s">
        <v>39439</v>
      </c>
      <c r="O9074" s="8">
        <f>16+48/60+24/3600</f>
        <v>16.806666666666668</v>
      </c>
      <c r="P9074" s="8" t="s">
        <v>39440</v>
      </c>
      <c r="Q9074" s="8">
        <f>+(63+8/60+0/3600)</f>
        <v>63.133333333333333</v>
      </c>
      <c r="R9074" s="8">
        <v>99</v>
      </c>
      <c r="S9074" s="8">
        <v>99</v>
      </c>
      <c r="T9074" s="8">
        <v>99</v>
      </c>
      <c r="U9074" s="8">
        <v>99</v>
      </c>
      <c r="Y9074" s="8" t="s">
        <v>39441</v>
      </c>
      <c r="Z9074" s="8" t="s">
        <v>39442</v>
      </c>
    </row>
    <row r="9075" spans="1:26" x14ac:dyDescent="0.2">
      <c r="A9075" s="8">
        <v>9074</v>
      </c>
      <c r="B9075" s="8" t="s">
        <v>39443</v>
      </c>
      <c r="C9075" s="8" t="s">
        <v>39443</v>
      </c>
      <c r="G9075" s="8">
        <v>20</v>
      </c>
      <c r="H9075" s="8" t="s">
        <v>21</v>
      </c>
      <c r="I9075" s="8" t="s">
        <v>72</v>
      </c>
      <c r="J9075" s="8" t="s">
        <v>72</v>
      </c>
      <c r="K9075" s="8" t="s">
        <v>20</v>
      </c>
      <c r="L9075" s="8" t="s">
        <v>13395</v>
      </c>
      <c r="M9075" s="8" t="s">
        <v>13396</v>
      </c>
      <c r="N9075" s="8" t="s">
        <v>39444</v>
      </c>
      <c r="O9075" s="8">
        <f>16+52/60+50.6/3600</f>
        <v>16.880722222222222</v>
      </c>
      <c r="P9075" s="8" t="s">
        <v>39445</v>
      </c>
      <c r="Q9075" s="8">
        <f>+(56+52/60+42/3600)</f>
        <v>56.87833333333333</v>
      </c>
      <c r="R9075" s="8">
        <v>99</v>
      </c>
      <c r="S9075" s="8">
        <v>99</v>
      </c>
      <c r="T9075" s="8">
        <v>99</v>
      </c>
      <c r="U9075" s="8">
        <v>99</v>
      </c>
      <c r="Y9075" s="8" t="s">
        <v>21</v>
      </c>
      <c r="Z9075" s="8" t="s">
        <v>39446</v>
      </c>
    </row>
    <row r="9076" spans="1:26" x14ac:dyDescent="0.2">
      <c r="A9076" s="8">
        <v>9075</v>
      </c>
      <c r="B9076" s="8" t="s">
        <v>39447</v>
      </c>
      <c r="C9076" s="8" t="s">
        <v>39447</v>
      </c>
      <c r="G9076" s="8">
        <v>20</v>
      </c>
      <c r="H9076" s="8" t="s">
        <v>21</v>
      </c>
      <c r="I9076" s="8" t="s">
        <v>22</v>
      </c>
      <c r="J9076" s="8" t="s">
        <v>22</v>
      </c>
      <c r="K9076" s="8" t="s">
        <v>449</v>
      </c>
      <c r="L9076" s="8" t="s">
        <v>13395</v>
      </c>
      <c r="M9076" s="8" t="s">
        <v>13396</v>
      </c>
      <c r="N9076" s="8" t="s">
        <v>39448</v>
      </c>
      <c r="O9076" s="8">
        <f>16+52/60+3.1/3600</f>
        <v>16.867527777777777</v>
      </c>
      <c r="P9076" s="8" t="s">
        <v>39449</v>
      </c>
      <c r="Q9076" s="8">
        <f>+(63+6/60+58/3600)</f>
        <v>63.11611111111111</v>
      </c>
      <c r="R9076" s="8">
        <v>14.1</v>
      </c>
      <c r="S9076" s="8">
        <v>14.9</v>
      </c>
      <c r="T9076" s="8">
        <v>0.8</v>
      </c>
      <c r="U9076" s="8">
        <v>13</v>
      </c>
      <c r="V9076" s="8">
        <v>0.8</v>
      </c>
      <c r="W9076" s="8">
        <v>0.5</v>
      </c>
      <c r="X9076" s="8">
        <v>21</v>
      </c>
      <c r="Y9076" s="8" t="s">
        <v>21</v>
      </c>
      <c r="Z9076" s="8" t="s">
        <v>39450</v>
      </c>
    </row>
    <row r="9077" spans="1:26" x14ac:dyDescent="0.2">
      <c r="A9077" s="8">
        <v>9076</v>
      </c>
      <c r="B9077" s="8" t="s">
        <v>39451</v>
      </c>
      <c r="C9077" s="8" t="s">
        <v>39451</v>
      </c>
      <c r="G9077" s="8">
        <v>20</v>
      </c>
      <c r="H9077" s="8" t="s">
        <v>21</v>
      </c>
      <c r="I9077" s="8" t="s">
        <v>22</v>
      </c>
      <c r="J9077" s="8" t="s">
        <v>22</v>
      </c>
      <c r="K9077" s="8" t="s">
        <v>64</v>
      </c>
      <c r="L9077" s="8" t="s">
        <v>26804</v>
      </c>
      <c r="M9077" s="8" t="s">
        <v>26805</v>
      </c>
      <c r="N9077" s="8" t="s">
        <v>39452</v>
      </c>
      <c r="O9077" s="8">
        <f>16+58/60+29.7/3600</f>
        <v>16.974916666666665</v>
      </c>
      <c r="P9077" s="8" t="s">
        <v>39453</v>
      </c>
      <c r="Q9077" s="8">
        <f>+(20+2/60+27/3600)</f>
        <v>20.040833333333335</v>
      </c>
      <c r="R9077" s="8">
        <v>13.6</v>
      </c>
      <c r="S9077" s="8">
        <v>14.2</v>
      </c>
      <c r="T9077" s="8">
        <v>0.6</v>
      </c>
      <c r="U9077" s="8">
        <v>13.8</v>
      </c>
      <c r="V9077" s="8">
        <v>1</v>
      </c>
      <c r="W9077" s="8">
        <v>0.8</v>
      </c>
      <c r="X9077" s="8">
        <v>51</v>
      </c>
      <c r="Y9077" s="8" t="s">
        <v>39454</v>
      </c>
      <c r="Z9077" s="8" t="s">
        <v>39455</v>
      </c>
    </row>
    <row r="9078" spans="1:26" x14ac:dyDescent="0.2">
      <c r="A9078" s="8">
        <v>9077</v>
      </c>
      <c r="B9078" s="8" t="s">
        <v>39456</v>
      </c>
      <c r="C9078" s="8" t="s">
        <v>39456</v>
      </c>
      <c r="G9078" s="8">
        <v>20</v>
      </c>
      <c r="H9078" s="8" t="s">
        <v>21</v>
      </c>
      <c r="I9078" s="8" t="s">
        <v>22</v>
      </c>
      <c r="J9078" s="8" t="s">
        <v>22</v>
      </c>
      <c r="K9078" s="8" t="s">
        <v>85</v>
      </c>
      <c r="L9078" s="8" t="s">
        <v>13395</v>
      </c>
      <c r="M9078" s="8" t="s">
        <v>13396</v>
      </c>
      <c r="N9078" s="8" t="s">
        <v>39457</v>
      </c>
      <c r="O9078" s="8">
        <f>16+56/60+15.9/3600</f>
        <v>16.937750000000001</v>
      </c>
      <c r="P9078" s="8" t="s">
        <v>39458</v>
      </c>
      <c r="Q9078" s="8">
        <f>+(55+1/60+37/3600)</f>
        <v>55.026944444444446</v>
      </c>
      <c r="R9078" s="8">
        <v>13.6</v>
      </c>
      <c r="S9078" s="8">
        <v>14.4</v>
      </c>
      <c r="T9078" s="8">
        <v>0.8</v>
      </c>
      <c r="U9078" s="8">
        <v>14.1</v>
      </c>
      <c r="V9078" s="8">
        <v>1.9</v>
      </c>
      <c r="W9078" s="8">
        <v>1</v>
      </c>
      <c r="X9078" s="8">
        <v>20</v>
      </c>
      <c r="Y9078" s="8" t="s">
        <v>21</v>
      </c>
      <c r="Z9078" s="8" t="s">
        <v>20959</v>
      </c>
    </row>
    <row r="9079" spans="1:26" x14ac:dyDescent="0.2">
      <c r="A9079" s="8">
        <v>9078</v>
      </c>
      <c r="B9079" s="8" t="s">
        <v>39459</v>
      </c>
      <c r="C9079" s="8" t="s">
        <v>39459</v>
      </c>
      <c r="G9079" s="8">
        <v>20</v>
      </c>
      <c r="H9079" s="8" t="s">
        <v>21</v>
      </c>
      <c r="I9079" s="8" t="s">
        <v>72</v>
      </c>
      <c r="J9079" s="8" t="s">
        <v>72</v>
      </c>
      <c r="K9079" s="8" t="s">
        <v>73</v>
      </c>
      <c r="L9079" s="8" t="s">
        <v>26804</v>
      </c>
      <c r="M9079" s="8" t="s">
        <v>26805</v>
      </c>
      <c r="N9079" s="8" t="s">
        <v>39460</v>
      </c>
      <c r="O9079" s="8">
        <f>17+0/60+30.3/3600</f>
        <v>17.008416666666665</v>
      </c>
      <c r="P9079" s="8" t="s">
        <v>39461</v>
      </c>
      <c r="Q9079" s="8">
        <f>+(23+4/60+36/3600)</f>
        <v>23.076666666666668</v>
      </c>
      <c r="R9079" s="8">
        <v>99</v>
      </c>
      <c r="S9079" s="8">
        <v>99</v>
      </c>
      <c r="T9079" s="8">
        <v>99</v>
      </c>
      <c r="U9079" s="8">
        <v>99</v>
      </c>
      <c r="Y9079" s="8" t="s">
        <v>21</v>
      </c>
      <c r="Z9079" s="8" t="s">
        <v>39462</v>
      </c>
    </row>
    <row r="9080" spans="1:26" x14ac:dyDescent="0.2">
      <c r="A9080" s="8">
        <v>9079</v>
      </c>
      <c r="B9080" s="8" t="s">
        <v>39463</v>
      </c>
      <c r="C9080" s="8" t="s">
        <v>39463</v>
      </c>
      <c r="G9080" s="8">
        <v>20</v>
      </c>
      <c r="H9080" s="8" t="s">
        <v>21</v>
      </c>
      <c r="I9080" s="8" t="s">
        <v>22</v>
      </c>
      <c r="J9080" s="8" t="s">
        <v>57</v>
      </c>
      <c r="K9080" s="8" t="s">
        <v>37</v>
      </c>
      <c r="L9080" s="8" t="s">
        <v>26804</v>
      </c>
      <c r="M9080" s="8" t="s">
        <v>26805</v>
      </c>
      <c r="N9080" s="8" t="s">
        <v>27902</v>
      </c>
      <c r="O9080" s="8">
        <f>17+0/60+45/3600</f>
        <v>17.012499999999999</v>
      </c>
      <c r="P9080" s="8" t="s">
        <v>27903</v>
      </c>
      <c r="Q9080" s="8">
        <f>+(23+2/60+40/3600)</f>
        <v>23.044444444444448</v>
      </c>
      <c r="R9080" s="8">
        <v>14.6</v>
      </c>
      <c r="S9080" s="8">
        <v>15.6</v>
      </c>
      <c r="T9080" s="8">
        <v>1</v>
      </c>
      <c r="U9080" s="8">
        <v>12.2</v>
      </c>
      <c r="V9080" s="8">
        <v>0.4</v>
      </c>
      <c r="W9080" s="8">
        <v>0.3</v>
      </c>
      <c r="X9080" s="8">
        <v>123</v>
      </c>
      <c r="Y9080" s="8" t="s">
        <v>21</v>
      </c>
      <c r="Z9080" s="8" t="s">
        <v>39464</v>
      </c>
    </row>
    <row r="9081" spans="1:26" x14ac:dyDescent="0.2">
      <c r="A9081" s="8">
        <v>9080</v>
      </c>
      <c r="B9081" s="8" t="s">
        <v>39465</v>
      </c>
      <c r="C9081" s="8" t="s">
        <v>39465</v>
      </c>
      <c r="G9081" s="8">
        <v>20</v>
      </c>
      <c r="H9081" s="8" t="s">
        <v>21</v>
      </c>
      <c r="I9081" s="8" t="s">
        <v>329</v>
      </c>
      <c r="J9081" s="8" t="s">
        <v>329</v>
      </c>
      <c r="K9081" s="8" t="s">
        <v>329</v>
      </c>
      <c r="L9081" s="8" t="s">
        <v>13395</v>
      </c>
      <c r="M9081" s="8" t="s">
        <v>13396</v>
      </c>
      <c r="N9081" s="8" t="s">
        <v>39466</v>
      </c>
      <c r="O9081" s="8">
        <f>17+0/60+59.7/3600</f>
        <v>17.016583333333333</v>
      </c>
      <c r="P9081" s="8" t="s">
        <v>39467</v>
      </c>
      <c r="Q9081" s="8">
        <f>+(61+3/60+0/3600)</f>
        <v>61.05</v>
      </c>
      <c r="R9081" s="8">
        <v>99</v>
      </c>
      <c r="S9081" s="8">
        <v>99</v>
      </c>
      <c r="T9081" s="8">
        <v>99</v>
      </c>
      <c r="U9081" s="8">
        <v>99</v>
      </c>
      <c r="Y9081" s="8" t="s">
        <v>39468</v>
      </c>
      <c r="Z9081" s="8" t="s">
        <v>39469</v>
      </c>
    </row>
    <row r="9082" spans="1:26" x14ac:dyDescent="0.2">
      <c r="A9082" s="8">
        <v>9081</v>
      </c>
      <c r="B9082" s="8" t="s">
        <v>39470</v>
      </c>
      <c r="C9082" s="8" t="s">
        <v>39470</v>
      </c>
      <c r="G9082" s="8">
        <v>20</v>
      </c>
      <c r="H9082" s="8" t="s">
        <v>21</v>
      </c>
      <c r="I9082" s="8" t="s">
        <v>22</v>
      </c>
      <c r="J9082" s="8" t="s">
        <v>22</v>
      </c>
      <c r="K9082" s="8" t="s">
        <v>449</v>
      </c>
      <c r="L9082" s="8" t="s">
        <v>13395</v>
      </c>
      <c r="M9082" s="8" t="s">
        <v>13396</v>
      </c>
      <c r="N9082" s="8" t="s">
        <v>39471</v>
      </c>
      <c r="O9082" s="8">
        <f>17+1/60+28.1/3600</f>
        <v>17.024472222222222</v>
      </c>
      <c r="P9082" s="8" t="s">
        <v>39472</v>
      </c>
      <c r="Q9082" s="8">
        <f>+(63+41/60+28/3600)</f>
        <v>63.691111111111105</v>
      </c>
      <c r="R9082" s="8">
        <v>13.1</v>
      </c>
      <c r="S9082" s="8">
        <v>14</v>
      </c>
      <c r="T9082" s="8">
        <v>0.9</v>
      </c>
      <c r="U9082" s="8">
        <v>13.1</v>
      </c>
      <c r="V9082" s="8">
        <v>1.2</v>
      </c>
      <c r="W9082" s="8">
        <v>1</v>
      </c>
      <c r="X9082" s="8">
        <v>165</v>
      </c>
      <c r="Y9082" s="8" t="s">
        <v>4170</v>
      </c>
      <c r="Z9082" s="8" t="s">
        <v>4171</v>
      </c>
    </row>
    <row r="9083" spans="1:26" x14ac:dyDescent="0.2">
      <c r="A9083" s="8">
        <v>9082</v>
      </c>
      <c r="B9083" s="8" t="s">
        <v>39473</v>
      </c>
      <c r="C9083" s="8" t="s">
        <v>39473</v>
      </c>
      <c r="G9083" s="8">
        <v>20</v>
      </c>
      <c r="H9083" s="8" t="s">
        <v>21</v>
      </c>
      <c r="I9083" s="8" t="s">
        <v>22</v>
      </c>
      <c r="J9083" s="8" t="s">
        <v>22</v>
      </c>
      <c r="K9083" s="8" t="s">
        <v>23</v>
      </c>
      <c r="L9083" s="8" t="s">
        <v>26994</v>
      </c>
      <c r="M9083" s="8" t="s">
        <v>26995</v>
      </c>
      <c r="N9083" s="8" t="s">
        <v>39474</v>
      </c>
      <c r="O9083" s="8">
        <f>17+8/60+42.9/3600</f>
        <v>17.145250000000001</v>
      </c>
      <c r="P9083" s="8" t="s">
        <v>39475</v>
      </c>
      <c r="Q9083" s="8">
        <f>+(4+2/60+59/3600)</f>
        <v>4.049722222222222</v>
      </c>
      <c r="R9083" s="8">
        <v>13.8</v>
      </c>
      <c r="S9083" s="8">
        <v>14.6</v>
      </c>
      <c r="T9083" s="8">
        <v>0.8</v>
      </c>
      <c r="U9083" s="8">
        <v>13</v>
      </c>
      <c r="V9083" s="8">
        <v>0.9</v>
      </c>
      <c r="W9083" s="8">
        <v>0.6</v>
      </c>
      <c r="X9083" s="8">
        <v>130</v>
      </c>
      <c r="Y9083" s="8" t="s">
        <v>39476</v>
      </c>
      <c r="Z9083" s="8" t="s">
        <v>39477</v>
      </c>
    </row>
    <row r="9084" spans="1:26" x14ac:dyDescent="0.2">
      <c r="A9084" s="8">
        <v>9083</v>
      </c>
      <c r="B9084" s="8" t="s">
        <v>39478</v>
      </c>
      <c r="C9084" s="8" t="s">
        <v>39478</v>
      </c>
      <c r="G9084" s="8">
        <v>20</v>
      </c>
      <c r="H9084" s="8" t="s">
        <v>21</v>
      </c>
      <c r="I9084" s="8" t="s">
        <v>72</v>
      </c>
      <c r="J9084" s="8" t="s">
        <v>72</v>
      </c>
      <c r="K9084" s="8" t="s">
        <v>1405</v>
      </c>
      <c r="L9084" s="8" t="s">
        <v>26994</v>
      </c>
      <c r="M9084" s="8" t="s">
        <v>26995</v>
      </c>
      <c r="N9084" s="8" t="s">
        <v>39479</v>
      </c>
      <c r="O9084" s="8">
        <f>17+10/60+24.5/3600</f>
        <v>17.173472222222223</v>
      </c>
      <c r="P9084" s="8" t="s">
        <v>39480</v>
      </c>
      <c r="Q9084" s="8">
        <f>+(10+46/60+2/3600)</f>
        <v>10.767222222222223</v>
      </c>
      <c r="R9084" s="8">
        <v>99</v>
      </c>
      <c r="S9084" s="8">
        <v>99</v>
      </c>
      <c r="T9084" s="8">
        <v>99</v>
      </c>
      <c r="U9084" s="8">
        <v>99</v>
      </c>
      <c r="V9084" s="8">
        <v>1.5</v>
      </c>
      <c r="W9084" s="8">
        <v>0.5</v>
      </c>
      <c r="Y9084" s="8" t="s">
        <v>39481</v>
      </c>
      <c r="Z9084" s="8" t="s">
        <v>39482</v>
      </c>
    </row>
    <row r="9085" spans="1:26" x14ac:dyDescent="0.2">
      <c r="A9085" s="8">
        <v>9084</v>
      </c>
      <c r="B9085" s="8" t="s">
        <v>39483</v>
      </c>
      <c r="C9085" s="8" t="s">
        <v>39483</v>
      </c>
      <c r="G9085" s="8">
        <v>20</v>
      </c>
      <c r="H9085" s="8" t="s">
        <v>21</v>
      </c>
      <c r="I9085" s="8" t="s">
        <v>22</v>
      </c>
      <c r="J9085" s="8" t="s">
        <v>22</v>
      </c>
      <c r="K9085" s="8" t="s">
        <v>476</v>
      </c>
      <c r="L9085" s="8" t="s">
        <v>26804</v>
      </c>
      <c r="M9085" s="8" t="s">
        <v>26805</v>
      </c>
      <c r="N9085" s="8" t="s">
        <v>39484</v>
      </c>
      <c r="O9085" s="8">
        <f>17+10/60+33.6/3600</f>
        <v>17.176000000000002</v>
      </c>
      <c r="P9085" s="8" t="s">
        <v>39485</v>
      </c>
      <c r="Q9085" s="8">
        <f>+(36+18/60+14/3600)</f>
        <v>36.303888888888885</v>
      </c>
      <c r="R9085" s="8">
        <v>13.9</v>
      </c>
      <c r="S9085" s="8">
        <v>14.8</v>
      </c>
      <c r="T9085" s="8">
        <v>0.9</v>
      </c>
      <c r="U9085" s="8">
        <v>13.7</v>
      </c>
      <c r="V9085" s="8">
        <v>1</v>
      </c>
      <c r="W9085" s="8">
        <v>1</v>
      </c>
      <c r="Y9085" s="8" t="s">
        <v>28383</v>
      </c>
      <c r="Z9085" s="8" t="s">
        <v>28384</v>
      </c>
    </row>
    <row r="9086" spans="1:26" x14ac:dyDescent="0.2">
      <c r="A9086" s="8">
        <v>9085</v>
      </c>
      <c r="B9086" s="8" t="s">
        <v>39486</v>
      </c>
      <c r="C9086" s="8" t="s">
        <v>39486</v>
      </c>
      <c r="G9086" s="8">
        <v>20</v>
      </c>
      <c r="H9086" s="8" t="s">
        <v>21</v>
      </c>
      <c r="I9086" s="8" t="s">
        <v>22</v>
      </c>
      <c r="J9086" s="8" t="s">
        <v>22</v>
      </c>
      <c r="K9086" s="8" t="s">
        <v>37</v>
      </c>
      <c r="L9086" s="8" t="s">
        <v>26804</v>
      </c>
      <c r="M9086" s="8" t="s">
        <v>26805</v>
      </c>
      <c r="N9086" s="8" t="s">
        <v>39487</v>
      </c>
      <c r="O9086" s="8">
        <f>17+12/60+36.8/3600</f>
        <v>17.210222222222221</v>
      </c>
      <c r="P9086" s="8" t="s">
        <v>39488</v>
      </c>
      <c r="Q9086" s="8">
        <f>+(38+1/60+13/3600)</f>
        <v>38.020277777777778</v>
      </c>
      <c r="R9086" s="8">
        <v>13.7</v>
      </c>
      <c r="S9086" s="8">
        <v>14.7</v>
      </c>
      <c r="T9086" s="8">
        <v>1</v>
      </c>
      <c r="U9086" s="8">
        <v>14</v>
      </c>
      <c r="V9086" s="8">
        <v>1.7</v>
      </c>
      <c r="W9086" s="8">
        <v>0.9</v>
      </c>
      <c r="X9086" s="8">
        <v>125</v>
      </c>
      <c r="Y9086" s="8" t="s">
        <v>39489</v>
      </c>
      <c r="Z9086" s="8" t="s">
        <v>39490</v>
      </c>
    </row>
    <row r="9087" spans="1:26" x14ac:dyDescent="0.2">
      <c r="A9087" s="8">
        <v>9086</v>
      </c>
      <c r="B9087" s="8" t="s">
        <v>39491</v>
      </c>
      <c r="C9087" s="8" t="s">
        <v>39491</v>
      </c>
      <c r="G9087" s="8">
        <v>20</v>
      </c>
      <c r="H9087" s="8" t="s">
        <v>21</v>
      </c>
      <c r="I9087" s="8" t="s">
        <v>72</v>
      </c>
      <c r="J9087" s="8" t="s">
        <v>72</v>
      </c>
      <c r="K9087" s="8" t="s">
        <v>20</v>
      </c>
      <c r="L9087" s="8" t="s">
        <v>26804</v>
      </c>
      <c r="M9087" s="8" t="s">
        <v>26805</v>
      </c>
      <c r="N9087" s="8" t="s">
        <v>39492</v>
      </c>
      <c r="O9087" s="8">
        <f>17+14/60+12.4/3600</f>
        <v>17.236777777777778</v>
      </c>
      <c r="P9087" s="8" t="s">
        <v>39493</v>
      </c>
      <c r="Q9087" s="8">
        <f>+(20+14/60+13/3600)</f>
        <v>20.236944444444447</v>
      </c>
      <c r="R9087" s="8">
        <v>99</v>
      </c>
      <c r="S9087" s="8">
        <v>99</v>
      </c>
      <c r="T9087" s="8">
        <v>99</v>
      </c>
      <c r="U9087" s="8">
        <v>99</v>
      </c>
      <c r="Y9087" s="8" t="s">
        <v>21</v>
      </c>
      <c r="Z9087" s="8" t="s">
        <v>39494</v>
      </c>
    </row>
    <row r="9088" spans="1:26" x14ac:dyDescent="0.2">
      <c r="A9088" s="8">
        <v>9087</v>
      </c>
      <c r="B9088" s="8" t="s">
        <v>39495</v>
      </c>
      <c r="C9088" s="8" t="s">
        <v>39495</v>
      </c>
      <c r="G9088" s="8">
        <v>20</v>
      </c>
      <c r="H9088" s="8" t="s">
        <v>21</v>
      </c>
      <c r="I9088" s="8" t="s">
        <v>72</v>
      </c>
      <c r="J9088" s="8" t="s">
        <v>72</v>
      </c>
      <c r="K9088" s="8" t="s">
        <v>20</v>
      </c>
      <c r="L9088" s="8" t="s">
        <v>26994</v>
      </c>
      <c r="M9088" s="8" t="s">
        <v>26995</v>
      </c>
      <c r="N9088" s="8" t="s">
        <v>39496</v>
      </c>
      <c r="O9088" s="8">
        <f>17+16/60+22/3600</f>
        <v>17.272777777777776</v>
      </c>
      <c r="P9088" s="8" t="s">
        <v>35544</v>
      </c>
      <c r="Q9088" s="8">
        <f>-(12+46/60+53/3600)</f>
        <v>-12.781388888888889</v>
      </c>
      <c r="R9088" s="8">
        <v>99</v>
      </c>
      <c r="S9088" s="8">
        <v>99</v>
      </c>
      <c r="T9088" s="8">
        <v>99</v>
      </c>
      <c r="U9088" s="8">
        <v>99</v>
      </c>
      <c r="Y9088" s="8" t="s">
        <v>21</v>
      </c>
      <c r="Z9088" s="8" t="s">
        <v>39497</v>
      </c>
    </row>
    <row r="9089" spans="1:26" x14ac:dyDescent="0.2">
      <c r="A9089" s="8">
        <v>9088</v>
      </c>
      <c r="B9089" s="8" t="s">
        <v>39498</v>
      </c>
      <c r="C9089" s="8" t="s">
        <v>39498</v>
      </c>
      <c r="G9089" s="8">
        <v>20</v>
      </c>
      <c r="H9089" s="8" t="s">
        <v>21</v>
      </c>
      <c r="I9089" s="8" t="s">
        <v>22</v>
      </c>
      <c r="J9089" s="8" t="s">
        <v>22</v>
      </c>
      <c r="K9089" s="8" t="s">
        <v>64</v>
      </c>
      <c r="L9089" s="8" t="s">
        <v>13395</v>
      </c>
      <c r="M9089" s="8" t="s">
        <v>13396</v>
      </c>
      <c r="N9089" s="8" t="s">
        <v>39499</v>
      </c>
      <c r="O9089" s="8">
        <f>17+11/60+39.9/3600</f>
        <v>17.194416666666665</v>
      </c>
      <c r="P9089" s="8" t="s">
        <v>39500</v>
      </c>
      <c r="Q9089" s="8">
        <f>+(59+59/60+42/3600)</f>
        <v>59.994999999999997</v>
      </c>
      <c r="R9089" s="8">
        <v>13.6</v>
      </c>
      <c r="S9089" s="8">
        <v>14.3</v>
      </c>
      <c r="T9089" s="8">
        <v>0.7</v>
      </c>
      <c r="U9089" s="8">
        <v>13.1</v>
      </c>
      <c r="V9089" s="8">
        <v>0.9</v>
      </c>
      <c r="W9089" s="8">
        <v>0.8</v>
      </c>
      <c r="X9089" s="8">
        <v>30</v>
      </c>
      <c r="Y9089" s="8" t="s">
        <v>21</v>
      </c>
      <c r="Z9089" s="8" t="s">
        <v>39501</v>
      </c>
    </row>
    <row r="9090" spans="1:26" x14ac:dyDescent="0.2">
      <c r="A9090" s="8">
        <v>9089</v>
      </c>
      <c r="B9090" s="8" t="s">
        <v>39502</v>
      </c>
      <c r="C9090" s="8" t="s">
        <v>39502</v>
      </c>
      <c r="G9090" s="8">
        <v>20</v>
      </c>
      <c r="H9090" s="8" t="s">
        <v>21</v>
      </c>
      <c r="I9090" s="8" t="s">
        <v>22</v>
      </c>
      <c r="J9090" s="8" t="s">
        <v>22</v>
      </c>
      <c r="K9090" s="8" t="s">
        <v>460</v>
      </c>
      <c r="L9090" s="8" t="s">
        <v>26804</v>
      </c>
      <c r="M9090" s="8" t="s">
        <v>26805</v>
      </c>
      <c r="N9090" s="8" t="s">
        <v>39503</v>
      </c>
      <c r="O9090" s="8">
        <f>17+14/60+54.9/3600</f>
        <v>17.248583333333336</v>
      </c>
      <c r="P9090" s="8" t="s">
        <v>39504</v>
      </c>
      <c r="Q9090" s="8">
        <f>+(35+31/60+14/3600)</f>
        <v>35.520555555555553</v>
      </c>
      <c r="R9090" s="8">
        <v>14</v>
      </c>
      <c r="S9090" s="8">
        <v>15</v>
      </c>
      <c r="T9090" s="8">
        <v>1</v>
      </c>
      <c r="U9090" s="8">
        <v>12.7</v>
      </c>
      <c r="V9090" s="8">
        <v>0.6</v>
      </c>
      <c r="W9090" s="8">
        <v>0.6</v>
      </c>
      <c r="Y9090" s="8" t="s">
        <v>21</v>
      </c>
      <c r="Z9090" s="8" t="s">
        <v>39505</v>
      </c>
    </row>
    <row r="9091" spans="1:26" x14ac:dyDescent="0.2">
      <c r="A9091" s="8">
        <v>9090</v>
      </c>
      <c r="B9091" s="8" t="s">
        <v>39506</v>
      </c>
      <c r="C9091" s="8" t="s">
        <v>39506</v>
      </c>
      <c r="G9091" s="8">
        <v>20</v>
      </c>
      <c r="H9091" s="8" t="s">
        <v>21</v>
      </c>
      <c r="I9091" s="8" t="s">
        <v>22</v>
      </c>
      <c r="J9091" s="8" t="s">
        <v>22</v>
      </c>
      <c r="K9091" s="8" t="s">
        <v>449</v>
      </c>
      <c r="L9091" s="8" t="s">
        <v>13395</v>
      </c>
      <c r="M9091" s="8" t="s">
        <v>13396</v>
      </c>
      <c r="N9091" s="8" t="s">
        <v>39507</v>
      </c>
      <c r="O9091" s="8">
        <f>17+14/60+29/3600</f>
        <v>17.241388888888888</v>
      </c>
      <c r="P9091" s="8" t="s">
        <v>39508</v>
      </c>
      <c r="Q9091" s="8">
        <f>+(57+25/60+2/3600)</f>
        <v>57.417222222222222</v>
      </c>
      <c r="R9091" s="8">
        <v>15.2</v>
      </c>
      <c r="S9091" s="8">
        <v>16</v>
      </c>
      <c r="T9091" s="8">
        <v>0.8</v>
      </c>
      <c r="U9091" s="8">
        <v>12.3</v>
      </c>
      <c r="V9091" s="8">
        <v>0.4</v>
      </c>
      <c r="W9091" s="8">
        <v>0.2</v>
      </c>
      <c r="X9091" s="8">
        <v>60</v>
      </c>
      <c r="Y9091" s="8" t="s">
        <v>39509</v>
      </c>
      <c r="Z9091" s="8" t="s">
        <v>39510</v>
      </c>
    </row>
    <row r="9092" spans="1:26" x14ac:dyDescent="0.2">
      <c r="A9092" s="8">
        <v>9091</v>
      </c>
      <c r="B9092" s="8" t="s">
        <v>39511</v>
      </c>
      <c r="C9092" s="8" t="s">
        <v>39511</v>
      </c>
      <c r="G9092" s="8">
        <v>20</v>
      </c>
      <c r="H9092" s="8" t="s">
        <v>21</v>
      </c>
      <c r="I9092" s="8" t="s">
        <v>22</v>
      </c>
      <c r="J9092" s="8" t="s">
        <v>22</v>
      </c>
      <c r="K9092" s="8" t="s">
        <v>160</v>
      </c>
      <c r="L9092" s="8" t="s">
        <v>13395</v>
      </c>
      <c r="M9092" s="8" t="s">
        <v>13396</v>
      </c>
      <c r="N9092" s="8" t="s">
        <v>39512</v>
      </c>
      <c r="O9092" s="8">
        <f>17+10/60+12.9/3600</f>
        <v>17.170250000000003</v>
      </c>
      <c r="P9092" s="8" t="s">
        <v>39513</v>
      </c>
      <c r="Q9092" s="8">
        <f>+(72+24/60+35/3600)</f>
        <v>72.409722222222229</v>
      </c>
      <c r="R9092" s="8">
        <v>13.5</v>
      </c>
      <c r="S9092" s="8">
        <v>14.2</v>
      </c>
      <c r="T9092" s="8">
        <v>0.7</v>
      </c>
      <c r="U9092" s="8">
        <v>13.8</v>
      </c>
      <c r="V9092" s="8">
        <v>1.5</v>
      </c>
      <c r="W9092" s="8">
        <v>1</v>
      </c>
      <c r="X9092" s="8">
        <v>71</v>
      </c>
      <c r="Y9092" s="8" t="s">
        <v>21</v>
      </c>
      <c r="Z9092" s="8" t="s">
        <v>39514</v>
      </c>
    </row>
    <row r="9093" spans="1:26" x14ac:dyDescent="0.2">
      <c r="A9093" s="8">
        <v>9092</v>
      </c>
      <c r="B9093" s="8" t="s">
        <v>39515</v>
      </c>
      <c r="C9093" s="8" t="s">
        <v>39515</v>
      </c>
      <c r="G9093" s="8">
        <v>20</v>
      </c>
      <c r="H9093" s="8" t="s">
        <v>21</v>
      </c>
      <c r="I9093" s="8" t="s">
        <v>22</v>
      </c>
      <c r="J9093" s="8" t="s">
        <v>22</v>
      </c>
      <c r="K9093" s="8" t="s">
        <v>31</v>
      </c>
      <c r="L9093" s="8" t="s">
        <v>13395</v>
      </c>
      <c r="M9093" s="8" t="s">
        <v>13396</v>
      </c>
      <c r="N9093" s="8" t="s">
        <v>39516</v>
      </c>
      <c r="O9093" s="8">
        <f>17+15/60+50/3600</f>
        <v>17.263888888888889</v>
      </c>
      <c r="P9093" s="8" t="s">
        <v>39517</v>
      </c>
      <c r="Q9093" s="8">
        <f>+(57+22/60+1/3600)</f>
        <v>57.366944444444442</v>
      </c>
      <c r="R9093" s="8">
        <v>14.9</v>
      </c>
      <c r="S9093" s="8">
        <v>15.7</v>
      </c>
      <c r="T9093" s="8">
        <v>0.8</v>
      </c>
      <c r="U9093" s="8">
        <v>13</v>
      </c>
      <c r="V9093" s="8">
        <v>1</v>
      </c>
      <c r="W9093" s="8">
        <v>0.2</v>
      </c>
      <c r="X9093" s="8">
        <v>142</v>
      </c>
      <c r="Y9093" s="8" t="s">
        <v>39518</v>
      </c>
      <c r="Z9093" s="8" t="s">
        <v>39519</v>
      </c>
    </row>
    <row r="9094" spans="1:26" x14ac:dyDescent="0.2">
      <c r="A9094" s="8">
        <v>9093</v>
      </c>
      <c r="B9094" s="8" t="s">
        <v>39520</v>
      </c>
      <c r="C9094" s="8" t="s">
        <v>39520</v>
      </c>
      <c r="G9094" s="8">
        <v>20</v>
      </c>
      <c r="H9094" s="8" t="s">
        <v>21</v>
      </c>
      <c r="I9094" s="8" t="s">
        <v>22</v>
      </c>
      <c r="J9094" s="8" t="s">
        <v>57</v>
      </c>
      <c r="K9094" s="8" t="s">
        <v>218</v>
      </c>
      <c r="L9094" s="8" t="s">
        <v>26804</v>
      </c>
      <c r="M9094" s="8" t="s">
        <v>26805</v>
      </c>
      <c r="N9094" s="8" t="s">
        <v>28212</v>
      </c>
      <c r="O9094" s="8">
        <f>17+19/60+54.6/3600</f>
        <v>17.331833333333332</v>
      </c>
      <c r="P9094" s="8" t="s">
        <v>28213</v>
      </c>
      <c r="Q9094" s="8">
        <f>+(16+39/60+38/3600)</f>
        <v>16.660555555555554</v>
      </c>
      <c r="R9094" s="8">
        <v>13.7</v>
      </c>
      <c r="S9094" s="8">
        <v>14.5</v>
      </c>
      <c r="T9094" s="8">
        <v>0.8</v>
      </c>
      <c r="U9094" s="8">
        <v>13.4</v>
      </c>
      <c r="V9094" s="8">
        <v>1.2</v>
      </c>
      <c r="W9094" s="8">
        <v>0.7</v>
      </c>
      <c r="X9094" s="8">
        <v>100</v>
      </c>
      <c r="Y9094" s="8" t="s">
        <v>2802</v>
      </c>
      <c r="Z9094" s="8" t="s">
        <v>1021</v>
      </c>
    </row>
    <row r="9095" spans="1:26" x14ac:dyDescent="0.2">
      <c r="A9095" s="8">
        <v>9094</v>
      </c>
      <c r="B9095" s="8" t="s">
        <v>39521</v>
      </c>
      <c r="C9095" s="8" t="s">
        <v>39521</v>
      </c>
      <c r="G9095" s="8">
        <v>20</v>
      </c>
      <c r="H9095" s="8" t="s">
        <v>21</v>
      </c>
      <c r="I9095" s="8" t="s">
        <v>22</v>
      </c>
      <c r="J9095" s="8" t="s">
        <v>22</v>
      </c>
      <c r="K9095" s="8" t="s">
        <v>218</v>
      </c>
      <c r="L9095" s="8" t="s">
        <v>13395</v>
      </c>
      <c r="M9095" s="8" t="s">
        <v>13396</v>
      </c>
      <c r="N9095" s="8" t="s">
        <v>39522</v>
      </c>
      <c r="O9095" s="8">
        <f>17+11/60+33.3/3600</f>
        <v>17.192583333333335</v>
      </c>
      <c r="P9095" s="8" t="s">
        <v>39523</v>
      </c>
      <c r="Q9095" s="8">
        <f>+(72+24/60+6/3600)</f>
        <v>72.401666666666671</v>
      </c>
      <c r="R9095" s="8">
        <v>13.8</v>
      </c>
      <c r="S9095" s="8">
        <v>15</v>
      </c>
      <c r="T9095" s="8">
        <v>1.2</v>
      </c>
      <c r="U9095" s="8">
        <v>13.7</v>
      </c>
      <c r="V9095" s="8">
        <v>1.6</v>
      </c>
      <c r="W9095" s="8">
        <v>0.7</v>
      </c>
      <c r="X9095" s="8">
        <v>32</v>
      </c>
      <c r="Y9095" s="8" t="s">
        <v>39524</v>
      </c>
      <c r="Z9095" s="8" t="s">
        <v>39525</v>
      </c>
    </row>
    <row r="9096" spans="1:26" x14ac:dyDescent="0.2">
      <c r="A9096" s="8">
        <v>9095</v>
      </c>
      <c r="B9096" s="8" t="s">
        <v>39526</v>
      </c>
      <c r="C9096" s="8" t="s">
        <v>39526</v>
      </c>
      <c r="G9096" s="8">
        <v>20</v>
      </c>
      <c r="H9096" s="8" t="s">
        <v>21</v>
      </c>
      <c r="I9096" s="8" t="s">
        <v>22</v>
      </c>
      <c r="J9096" s="8" t="s">
        <v>22</v>
      </c>
      <c r="K9096" s="8" t="s">
        <v>160</v>
      </c>
      <c r="L9096" s="8" t="s">
        <v>26994</v>
      </c>
      <c r="M9096" s="8" t="s">
        <v>26995</v>
      </c>
      <c r="N9096" s="8" t="s">
        <v>39527</v>
      </c>
      <c r="O9096" s="8">
        <f>17+23/60+5.4/3600</f>
        <v>17.384833333333333</v>
      </c>
      <c r="P9096" s="8" t="s">
        <v>39528</v>
      </c>
      <c r="Q9096" s="8">
        <f>+(12+41/60+46/3600)</f>
        <v>12.696111111111112</v>
      </c>
      <c r="R9096" s="8">
        <v>13.4</v>
      </c>
      <c r="S9096" s="8">
        <v>14.1</v>
      </c>
      <c r="T9096" s="8">
        <v>0.7</v>
      </c>
      <c r="U9096" s="8">
        <v>12.6</v>
      </c>
      <c r="V9096" s="8">
        <v>1</v>
      </c>
      <c r="W9096" s="8">
        <v>0.5</v>
      </c>
      <c r="X9096" s="8">
        <v>12</v>
      </c>
      <c r="Y9096" s="8" t="s">
        <v>21</v>
      </c>
      <c r="Z9096" s="8" t="s">
        <v>39529</v>
      </c>
    </row>
    <row r="9097" spans="1:26" x14ac:dyDescent="0.2">
      <c r="A9097" s="8">
        <v>9096</v>
      </c>
      <c r="B9097" s="8" t="s">
        <v>39530</v>
      </c>
      <c r="C9097" s="8" t="s">
        <v>39530</v>
      </c>
      <c r="G9097" s="8">
        <v>20</v>
      </c>
      <c r="H9097" s="8" t="s">
        <v>21</v>
      </c>
      <c r="I9097" s="8" t="s">
        <v>22</v>
      </c>
      <c r="J9097" s="8" t="s">
        <v>22</v>
      </c>
      <c r="K9097" s="8" t="s">
        <v>23</v>
      </c>
      <c r="L9097" s="8" t="s">
        <v>26804</v>
      </c>
      <c r="M9097" s="8" t="s">
        <v>26805</v>
      </c>
      <c r="N9097" s="8" t="s">
        <v>39531</v>
      </c>
      <c r="O9097" s="8">
        <f>17+23/60+47.3/3600</f>
        <v>17.396472222222222</v>
      </c>
      <c r="P9097" s="8" t="s">
        <v>39532</v>
      </c>
      <c r="Q9097" s="8">
        <f>+(26+29/60+11/3600)</f>
        <v>26.486388888888889</v>
      </c>
      <c r="R9097" s="8">
        <v>13.2</v>
      </c>
      <c r="S9097" s="8">
        <v>14</v>
      </c>
      <c r="T9097" s="8">
        <v>0.8</v>
      </c>
      <c r="U9097" s="8">
        <v>13.7</v>
      </c>
      <c r="V9097" s="8">
        <v>1.6</v>
      </c>
      <c r="W9097" s="8">
        <v>1.1000000000000001</v>
      </c>
      <c r="X9097" s="8">
        <v>97</v>
      </c>
      <c r="Y9097" s="8" t="s">
        <v>34977</v>
      </c>
      <c r="Z9097" s="8" t="s">
        <v>34978</v>
      </c>
    </row>
    <row r="9098" spans="1:26" x14ac:dyDescent="0.2">
      <c r="A9098" s="8">
        <v>9097</v>
      </c>
      <c r="B9098" s="8" t="s">
        <v>39533</v>
      </c>
      <c r="C9098" s="8" t="s">
        <v>39533</v>
      </c>
      <c r="G9098" s="8">
        <v>13</v>
      </c>
      <c r="H9098" s="8" t="s">
        <v>21</v>
      </c>
      <c r="I9098" s="8" t="s">
        <v>567</v>
      </c>
      <c r="J9098" s="8" t="s">
        <v>567</v>
      </c>
      <c r="K9098" s="8" t="s">
        <v>8821</v>
      </c>
      <c r="L9098" s="8" t="s">
        <v>26994</v>
      </c>
      <c r="M9098" s="8" t="s">
        <v>26995</v>
      </c>
      <c r="N9098" s="8" t="s">
        <v>39534</v>
      </c>
      <c r="O9098" s="8">
        <f>17+27/60+8.4/3600</f>
        <v>17.452333333333332</v>
      </c>
      <c r="P9098" s="8" t="s">
        <v>39535</v>
      </c>
      <c r="Q9098" s="8">
        <f>-(7+5/60+37/3600)</f>
        <v>-7.0936111111111106</v>
      </c>
      <c r="R9098" s="8">
        <v>13.1</v>
      </c>
      <c r="S9098" s="8">
        <v>99</v>
      </c>
      <c r="T9098" s="8">
        <v>99</v>
      </c>
      <c r="U9098" s="8">
        <v>99</v>
      </c>
      <c r="V9098" s="8">
        <v>5</v>
      </c>
      <c r="Y9098" s="8" t="s">
        <v>1182</v>
      </c>
      <c r="Z9098" s="8" t="s">
        <v>1183</v>
      </c>
    </row>
    <row r="9099" spans="1:26" x14ac:dyDescent="0.2">
      <c r="A9099" s="8">
        <v>9098</v>
      </c>
      <c r="B9099" s="8" t="s">
        <v>39536</v>
      </c>
      <c r="C9099" s="8" t="s">
        <v>39536</v>
      </c>
      <c r="G9099" s="8">
        <v>20</v>
      </c>
      <c r="H9099" s="8" t="s">
        <v>21</v>
      </c>
      <c r="I9099" s="8" t="s">
        <v>22</v>
      </c>
      <c r="J9099" s="8" t="s">
        <v>22</v>
      </c>
      <c r="K9099" s="8" t="s">
        <v>91</v>
      </c>
      <c r="L9099" s="8" t="s">
        <v>13395</v>
      </c>
      <c r="M9099" s="8" t="s">
        <v>13396</v>
      </c>
      <c r="N9099" s="8" t="s">
        <v>39537</v>
      </c>
      <c r="O9099" s="8">
        <f>17+27/60+17.2/3600</f>
        <v>17.454777777777778</v>
      </c>
      <c r="P9099" s="8" t="s">
        <v>39538</v>
      </c>
      <c r="Q9099" s="8">
        <f>+(58+29/60+7/3600)</f>
        <v>58.485277777777782</v>
      </c>
      <c r="R9099" s="8">
        <v>13.5</v>
      </c>
      <c r="S9099" s="8">
        <v>14.4</v>
      </c>
      <c r="T9099" s="8">
        <v>0.9</v>
      </c>
      <c r="U9099" s="8">
        <v>12.8</v>
      </c>
      <c r="V9099" s="8">
        <v>0.9</v>
      </c>
      <c r="W9099" s="8">
        <v>0.7</v>
      </c>
      <c r="X9099" s="8">
        <v>65</v>
      </c>
      <c r="Y9099" s="8" t="s">
        <v>39539</v>
      </c>
      <c r="Z9099" s="8" t="s">
        <v>39540</v>
      </c>
    </row>
    <row r="9100" spans="1:26" x14ac:dyDescent="0.2">
      <c r="A9100" s="8">
        <v>9099</v>
      </c>
      <c r="B9100" s="8" t="s">
        <v>39541</v>
      </c>
      <c r="C9100" s="8" t="s">
        <v>39541</v>
      </c>
      <c r="E9100" s="8">
        <v>2</v>
      </c>
      <c r="G9100" s="8">
        <v>20</v>
      </c>
      <c r="H9100" s="8" t="s">
        <v>21</v>
      </c>
      <c r="I9100" s="8" t="s">
        <v>22</v>
      </c>
      <c r="J9100" s="8" t="s">
        <v>22</v>
      </c>
      <c r="K9100" s="8" t="s">
        <v>24713</v>
      </c>
      <c r="L9100" s="8" t="s">
        <v>13395</v>
      </c>
      <c r="M9100" s="8" t="s">
        <v>13396</v>
      </c>
      <c r="N9100" s="8" t="s">
        <v>39542</v>
      </c>
      <c r="O9100" s="8">
        <f>17+27/60+26.7/3600</f>
        <v>17.457416666666667</v>
      </c>
      <c r="P9100" s="8" t="s">
        <v>39543</v>
      </c>
      <c r="Q9100" s="8">
        <f>+(58+30/60+59/3600)</f>
        <v>58.516388888888891</v>
      </c>
      <c r="R9100" s="8">
        <v>13.1</v>
      </c>
      <c r="S9100" s="8">
        <v>13.9</v>
      </c>
      <c r="T9100" s="8">
        <v>0.8</v>
      </c>
      <c r="U9100" s="8">
        <v>13.2</v>
      </c>
      <c r="V9100" s="8">
        <v>0.3</v>
      </c>
      <c r="W9100" s="8">
        <v>0.3</v>
      </c>
      <c r="Y9100" s="8" t="s">
        <v>39544</v>
      </c>
      <c r="Z9100" s="8" t="s">
        <v>39545</v>
      </c>
    </row>
    <row r="9101" spans="1:26" x14ac:dyDescent="0.2">
      <c r="A9101" s="8">
        <v>9100</v>
      </c>
      <c r="B9101" s="8" t="s">
        <v>39546</v>
      </c>
      <c r="C9101" s="8" t="s">
        <v>39546</v>
      </c>
      <c r="G9101" s="8">
        <v>20</v>
      </c>
      <c r="H9101" s="8" t="s">
        <v>21</v>
      </c>
      <c r="I9101" s="8" t="s">
        <v>22</v>
      </c>
      <c r="J9101" s="8" t="s">
        <v>22</v>
      </c>
      <c r="K9101" s="8" t="s">
        <v>424</v>
      </c>
      <c r="L9101" s="8" t="s">
        <v>13395</v>
      </c>
      <c r="M9101" s="8" t="s">
        <v>13396</v>
      </c>
      <c r="N9101" s="8" t="s">
        <v>39547</v>
      </c>
      <c r="O9101" s="8">
        <f>17+27/60+31.6/3600</f>
        <v>17.458777777777776</v>
      </c>
      <c r="P9101" s="8" t="s">
        <v>39548</v>
      </c>
      <c r="Q9101" s="8">
        <f>+(58+28/60+35/3600)</f>
        <v>58.476388888888891</v>
      </c>
      <c r="R9101" s="8">
        <v>14.7</v>
      </c>
      <c r="S9101" s="8">
        <v>15.7</v>
      </c>
      <c r="T9101" s="8">
        <v>1</v>
      </c>
      <c r="U9101" s="8">
        <v>11.9</v>
      </c>
      <c r="V9101" s="8">
        <v>0.3</v>
      </c>
      <c r="W9101" s="8">
        <v>0.3</v>
      </c>
      <c r="Y9101" s="8" t="s">
        <v>28209</v>
      </c>
      <c r="Z9101" s="8" t="s">
        <v>28210</v>
      </c>
    </row>
    <row r="9102" spans="1:26" x14ac:dyDescent="0.2">
      <c r="A9102" s="8">
        <v>9101</v>
      </c>
      <c r="B9102" s="8" t="s">
        <v>39549</v>
      </c>
      <c r="C9102" s="8" t="s">
        <v>39549</v>
      </c>
      <c r="E9102" s="8">
        <v>1</v>
      </c>
      <c r="G9102" s="8">
        <v>20</v>
      </c>
      <c r="H9102" s="8" t="s">
        <v>21</v>
      </c>
      <c r="I9102" s="8" t="s">
        <v>22</v>
      </c>
      <c r="J9102" s="8" t="s">
        <v>22</v>
      </c>
      <c r="K9102" s="8" t="s">
        <v>58</v>
      </c>
      <c r="L9102" s="8" t="s">
        <v>13395</v>
      </c>
      <c r="M9102" s="8" t="s">
        <v>13396</v>
      </c>
      <c r="N9102" s="8" t="s">
        <v>39550</v>
      </c>
      <c r="O9102" s="8">
        <f>17+23/60+20.7/3600</f>
        <v>17.389083333333332</v>
      </c>
      <c r="P9102" s="8" t="s">
        <v>39551</v>
      </c>
      <c r="Q9102" s="8">
        <f>+(71+15/60+50/3600)</f>
        <v>71.263888888888886</v>
      </c>
      <c r="R9102" s="8">
        <v>15</v>
      </c>
      <c r="S9102" s="8">
        <v>16</v>
      </c>
      <c r="T9102" s="8">
        <v>1</v>
      </c>
      <c r="U9102" s="8">
        <v>14.4</v>
      </c>
      <c r="V9102" s="8">
        <v>0.8</v>
      </c>
      <c r="W9102" s="8">
        <v>0.7</v>
      </c>
      <c r="X9102" s="8">
        <v>90</v>
      </c>
      <c r="Y9102" s="8" t="s">
        <v>215</v>
      </c>
      <c r="Z9102" s="8" t="s">
        <v>216</v>
      </c>
    </row>
    <row r="9103" spans="1:26" x14ac:dyDescent="0.2">
      <c r="A9103" s="8">
        <v>9102</v>
      </c>
      <c r="B9103" s="8" t="s">
        <v>39552</v>
      </c>
      <c r="C9103" s="8" t="s">
        <v>39552</v>
      </c>
      <c r="G9103" s="8">
        <v>20</v>
      </c>
      <c r="H9103" s="8" t="s">
        <v>21</v>
      </c>
      <c r="I9103" s="8" t="s">
        <v>22</v>
      </c>
      <c r="J9103" s="8" t="s">
        <v>22</v>
      </c>
      <c r="K9103" s="8" t="s">
        <v>1068</v>
      </c>
      <c r="L9103" s="8" t="s">
        <v>26804</v>
      </c>
      <c r="M9103" s="8" t="s">
        <v>26805</v>
      </c>
      <c r="N9103" s="8" t="s">
        <v>39553</v>
      </c>
      <c r="O9103" s="8">
        <f>17+33/60+2/3600</f>
        <v>17.550555555555555</v>
      </c>
      <c r="P9103" s="8" t="s">
        <v>39554</v>
      </c>
      <c r="Q9103" s="8">
        <f>+(43+45/60+35/3600)</f>
        <v>43.759722222222223</v>
      </c>
      <c r="R9103" s="8">
        <v>13.6</v>
      </c>
      <c r="S9103" s="8">
        <v>14.7</v>
      </c>
      <c r="T9103" s="8">
        <v>1.1000000000000001</v>
      </c>
      <c r="U9103" s="8">
        <v>13.3</v>
      </c>
      <c r="V9103" s="8">
        <v>1.2</v>
      </c>
      <c r="W9103" s="8">
        <v>0.6</v>
      </c>
      <c r="X9103" s="8">
        <v>85</v>
      </c>
      <c r="Y9103" s="8" t="s">
        <v>39555</v>
      </c>
      <c r="Z9103" s="8" t="s">
        <v>39556</v>
      </c>
    </row>
    <row r="9104" spans="1:26" x14ac:dyDescent="0.2">
      <c r="A9104" s="8">
        <v>9103</v>
      </c>
      <c r="B9104" s="8" t="s">
        <v>39557</v>
      </c>
      <c r="C9104" s="8" t="s">
        <v>39557</v>
      </c>
      <c r="G9104" s="8">
        <v>20</v>
      </c>
      <c r="H9104" s="8" t="s">
        <v>21</v>
      </c>
      <c r="I9104" s="8" t="s">
        <v>22</v>
      </c>
      <c r="J9104" s="8" t="s">
        <v>22</v>
      </c>
      <c r="K9104" s="8" t="s">
        <v>37986</v>
      </c>
      <c r="L9104" s="8" t="s">
        <v>26804</v>
      </c>
      <c r="M9104" s="8" t="s">
        <v>26805</v>
      </c>
      <c r="N9104" s="8" t="s">
        <v>39558</v>
      </c>
      <c r="O9104" s="8">
        <f>17+33/60+7/3600</f>
        <v>17.551944444444445</v>
      </c>
      <c r="P9104" s="8" t="s">
        <v>39559</v>
      </c>
      <c r="Q9104" s="8">
        <f>+(43+49/60+18/3600)</f>
        <v>43.821666666666673</v>
      </c>
      <c r="R9104" s="8">
        <v>13.7</v>
      </c>
      <c r="S9104" s="8">
        <v>14.5</v>
      </c>
      <c r="T9104" s="8">
        <v>0.8</v>
      </c>
      <c r="U9104" s="8">
        <v>13.8</v>
      </c>
      <c r="V9104" s="8">
        <v>1.6</v>
      </c>
      <c r="W9104" s="8">
        <v>0.7</v>
      </c>
      <c r="X9104" s="8">
        <v>168</v>
      </c>
      <c r="Y9104" s="8" t="s">
        <v>39560</v>
      </c>
      <c r="Z9104" s="8" t="s">
        <v>39561</v>
      </c>
    </row>
    <row r="9105" spans="1:26" x14ac:dyDescent="0.2">
      <c r="A9105" s="8">
        <v>9104</v>
      </c>
      <c r="B9105" s="8" t="s">
        <v>39562</v>
      </c>
      <c r="C9105" s="8" t="s">
        <v>39562</v>
      </c>
      <c r="G9105" s="8">
        <v>20</v>
      </c>
      <c r="H9105" s="8" t="s">
        <v>21</v>
      </c>
      <c r="I9105" s="8" t="s">
        <v>22</v>
      </c>
      <c r="J9105" s="8" t="s">
        <v>22</v>
      </c>
      <c r="K9105" s="8" t="s">
        <v>224</v>
      </c>
      <c r="L9105" s="8" t="s">
        <v>26804</v>
      </c>
      <c r="M9105" s="8" t="s">
        <v>26805</v>
      </c>
      <c r="N9105" s="8" t="s">
        <v>39563</v>
      </c>
      <c r="O9105" s="8">
        <f>17+33/60+16.8/3600</f>
        <v>17.554666666666666</v>
      </c>
      <c r="P9105" s="8" t="s">
        <v>39564</v>
      </c>
      <c r="Q9105" s="8">
        <f>+(43+37/60+44/3600)</f>
        <v>43.628888888888888</v>
      </c>
      <c r="R9105" s="8">
        <v>14</v>
      </c>
      <c r="S9105" s="8">
        <v>15</v>
      </c>
      <c r="T9105" s="8">
        <v>1</v>
      </c>
      <c r="U9105" s="8">
        <v>14.2</v>
      </c>
      <c r="V9105" s="8">
        <v>1.2</v>
      </c>
      <c r="W9105" s="8">
        <v>1.1000000000000001</v>
      </c>
      <c r="X9105" s="8">
        <v>39</v>
      </c>
      <c r="Y9105" s="8" t="s">
        <v>39565</v>
      </c>
      <c r="Z9105" s="8" t="s">
        <v>39566</v>
      </c>
    </row>
    <row r="9106" spans="1:26" x14ac:dyDescent="0.2">
      <c r="A9106" s="8">
        <v>9105</v>
      </c>
      <c r="B9106" s="8" t="s">
        <v>39567</v>
      </c>
      <c r="C9106" s="8" t="s">
        <v>39567</v>
      </c>
      <c r="G9106" s="8">
        <v>20</v>
      </c>
      <c r="H9106" s="8" t="s">
        <v>21</v>
      </c>
      <c r="I9106" s="8" t="s">
        <v>22</v>
      </c>
      <c r="J9106" s="8" t="s">
        <v>22</v>
      </c>
      <c r="K9106" s="8" t="s">
        <v>31</v>
      </c>
      <c r="L9106" s="8" t="s">
        <v>26804</v>
      </c>
      <c r="M9106" s="8" t="s">
        <v>26805</v>
      </c>
      <c r="N9106" s="8" t="s">
        <v>39568</v>
      </c>
      <c r="O9106" s="8">
        <f>17+36/60+39.3/3600</f>
        <v>17.610916666666668</v>
      </c>
      <c r="P9106" s="8" t="s">
        <v>39569</v>
      </c>
      <c r="Q9106" s="8">
        <f>+(42+5/60+20/3600)</f>
        <v>42.088888888888889</v>
      </c>
      <c r="R9106" s="8">
        <v>12.3</v>
      </c>
      <c r="S9106" s="8">
        <v>13.2</v>
      </c>
      <c r="T9106" s="8">
        <v>0.9</v>
      </c>
      <c r="U9106" s="8">
        <v>12.8</v>
      </c>
      <c r="V9106" s="8">
        <v>2</v>
      </c>
      <c r="W9106" s="8">
        <v>0.9</v>
      </c>
      <c r="X9106" s="8">
        <v>80</v>
      </c>
      <c r="Y9106" s="8" t="s">
        <v>23422</v>
      </c>
      <c r="Z9106" s="8" t="s">
        <v>23423</v>
      </c>
    </row>
    <row r="9107" spans="1:26" x14ac:dyDescent="0.2">
      <c r="A9107" s="8">
        <v>9106</v>
      </c>
      <c r="B9107" s="8" t="s">
        <v>39570</v>
      </c>
      <c r="C9107" s="8" t="s">
        <v>39570</v>
      </c>
      <c r="G9107" s="8">
        <v>20</v>
      </c>
      <c r="H9107" s="8" t="s">
        <v>21</v>
      </c>
      <c r="I9107" s="8" t="s">
        <v>241</v>
      </c>
      <c r="J9107" s="8" t="s">
        <v>241</v>
      </c>
      <c r="K9107" s="8" t="s">
        <v>241</v>
      </c>
      <c r="L9107" s="8" t="s">
        <v>27529</v>
      </c>
      <c r="M9107" s="8" t="s">
        <v>27530</v>
      </c>
      <c r="N9107" s="8" t="s">
        <v>39571</v>
      </c>
      <c r="O9107" s="8">
        <f>17+45/60+35.5/3600</f>
        <v>17.75986111111111</v>
      </c>
      <c r="P9107" s="8" t="s">
        <v>39572</v>
      </c>
      <c r="Q9107" s="8">
        <f>-(46+5/60+19/3600)</f>
        <v>-46.088611111111113</v>
      </c>
      <c r="R9107" s="8">
        <v>99</v>
      </c>
      <c r="S9107" s="8">
        <v>12.1</v>
      </c>
      <c r="T9107" s="8">
        <v>99</v>
      </c>
      <c r="U9107" s="8">
        <v>99</v>
      </c>
      <c r="V9107" s="8">
        <v>0.17</v>
      </c>
      <c r="Y9107" s="8" t="s">
        <v>21</v>
      </c>
      <c r="Z9107" s="8" t="s">
        <v>39573</v>
      </c>
    </row>
    <row r="9108" spans="1:26" x14ac:dyDescent="0.2">
      <c r="A9108" s="8">
        <v>9107</v>
      </c>
      <c r="B9108" s="8" t="s">
        <v>39574</v>
      </c>
      <c r="C9108" s="8" t="s">
        <v>39574</v>
      </c>
      <c r="G9108" s="8">
        <v>20</v>
      </c>
      <c r="H9108" s="8" t="s">
        <v>21</v>
      </c>
      <c r="I9108" s="8" t="s">
        <v>22</v>
      </c>
      <c r="J9108" s="8" t="s">
        <v>22</v>
      </c>
      <c r="K9108" s="8" t="s">
        <v>218</v>
      </c>
      <c r="L9108" s="8" t="s">
        <v>13395</v>
      </c>
      <c r="M9108" s="8" t="s">
        <v>13396</v>
      </c>
      <c r="N9108" s="8" t="s">
        <v>39575</v>
      </c>
      <c r="O9108" s="8">
        <f>17+38/60+45.9/3600</f>
        <v>17.646083333333333</v>
      </c>
      <c r="P9108" s="8" t="s">
        <v>39576</v>
      </c>
      <c r="Q9108" s="8">
        <f>+(59+22/60+21/3600)</f>
        <v>59.372500000000002</v>
      </c>
      <c r="R9108" s="8">
        <v>13.4</v>
      </c>
      <c r="S9108" s="8">
        <v>14.2</v>
      </c>
      <c r="T9108" s="8">
        <v>0.8</v>
      </c>
      <c r="U9108" s="8">
        <v>13.7</v>
      </c>
      <c r="V9108" s="8">
        <v>1.5</v>
      </c>
      <c r="W9108" s="8">
        <v>1</v>
      </c>
      <c r="X9108" s="8">
        <v>35</v>
      </c>
      <c r="Y9108" s="8" t="s">
        <v>3161</v>
      </c>
      <c r="Z9108" s="8" t="s">
        <v>3162</v>
      </c>
    </row>
    <row r="9109" spans="1:26" x14ac:dyDescent="0.2">
      <c r="A9109" s="8">
        <v>9108</v>
      </c>
      <c r="B9109" s="8" t="s">
        <v>39577</v>
      </c>
      <c r="C9109" s="8" t="s">
        <v>39577</v>
      </c>
      <c r="G9109" s="8">
        <v>20</v>
      </c>
      <c r="H9109" s="8" t="s">
        <v>21</v>
      </c>
      <c r="I9109" s="8" t="s">
        <v>22</v>
      </c>
      <c r="J9109" s="8" t="s">
        <v>57</v>
      </c>
      <c r="K9109" s="8" t="s">
        <v>160</v>
      </c>
      <c r="L9109" s="8" t="s">
        <v>26804</v>
      </c>
      <c r="M9109" s="8" t="s">
        <v>26805</v>
      </c>
      <c r="N9109" s="8" t="s">
        <v>28733</v>
      </c>
      <c r="O9109" s="8">
        <f>17+50/60+39.2/3600</f>
        <v>17.844222222222221</v>
      </c>
      <c r="P9109" s="8" t="s">
        <v>28734</v>
      </c>
      <c r="Q9109" s="8">
        <f>+(17+12/60+36/3600)</f>
        <v>17.21</v>
      </c>
      <c r="R9109" s="8">
        <v>14.3</v>
      </c>
      <c r="S9109" s="8">
        <v>15</v>
      </c>
      <c r="T9109" s="8">
        <v>0.7</v>
      </c>
      <c r="U9109" s="8">
        <v>13.3</v>
      </c>
      <c r="V9109" s="8">
        <v>0.7</v>
      </c>
      <c r="W9109" s="8">
        <v>0.5</v>
      </c>
      <c r="X9109" s="8">
        <v>117</v>
      </c>
      <c r="Y9109" s="8" t="s">
        <v>3161</v>
      </c>
      <c r="Z9109" s="8" t="s">
        <v>3162</v>
      </c>
    </row>
    <row r="9110" spans="1:26" x14ac:dyDescent="0.2">
      <c r="A9110" s="8">
        <v>9109</v>
      </c>
      <c r="B9110" s="8" t="s">
        <v>39578</v>
      </c>
      <c r="C9110" s="8" t="s">
        <v>39578</v>
      </c>
      <c r="G9110" s="8">
        <v>20</v>
      </c>
      <c r="H9110" s="8" t="s">
        <v>21</v>
      </c>
      <c r="I9110" s="8" t="s">
        <v>22</v>
      </c>
      <c r="J9110" s="8" t="s">
        <v>22</v>
      </c>
      <c r="K9110" s="8" t="s">
        <v>396</v>
      </c>
      <c r="L9110" s="8" t="s">
        <v>26804</v>
      </c>
      <c r="M9110" s="8" t="s">
        <v>26805</v>
      </c>
      <c r="N9110" s="8" t="s">
        <v>39579</v>
      </c>
      <c r="O9110" s="8">
        <f>17+52/60+5.9/3600</f>
        <v>17.868305555555555</v>
      </c>
      <c r="P9110" s="8" t="s">
        <v>14807</v>
      </c>
      <c r="Q9110" s="8">
        <f>+(21+34/60+8/3600)</f>
        <v>21.568888888888889</v>
      </c>
      <c r="R9110" s="8">
        <v>12.8</v>
      </c>
      <c r="S9110" s="8">
        <v>13.4</v>
      </c>
      <c r="T9110" s="8">
        <v>0.6</v>
      </c>
      <c r="U9110" s="8">
        <v>13.5</v>
      </c>
      <c r="V9110" s="8">
        <v>1.7</v>
      </c>
      <c r="W9110" s="8">
        <v>1.3</v>
      </c>
      <c r="X9110" s="8">
        <v>125</v>
      </c>
      <c r="Y9110" s="8" t="s">
        <v>39580</v>
      </c>
      <c r="Z9110" s="8" t="s">
        <v>39581</v>
      </c>
    </row>
    <row r="9111" spans="1:26" x14ac:dyDescent="0.2">
      <c r="A9111" s="8">
        <v>9110</v>
      </c>
      <c r="B9111" s="8" t="s">
        <v>39582</v>
      </c>
      <c r="C9111" s="8" t="s">
        <v>39582</v>
      </c>
      <c r="G9111" s="8">
        <v>20</v>
      </c>
      <c r="H9111" s="8" t="s">
        <v>21</v>
      </c>
      <c r="I9111" s="8" t="s">
        <v>72</v>
      </c>
      <c r="J9111" s="8" t="s">
        <v>72</v>
      </c>
      <c r="K9111" s="8" t="s">
        <v>20</v>
      </c>
      <c r="L9111" s="8" t="s">
        <v>13395</v>
      </c>
      <c r="M9111" s="8" t="s">
        <v>13396</v>
      </c>
      <c r="N9111" s="8" t="s">
        <v>39583</v>
      </c>
      <c r="O9111" s="8">
        <f>17+47/60+57.3/3600</f>
        <v>17.799250000000001</v>
      </c>
      <c r="P9111" s="8" t="s">
        <v>39584</v>
      </c>
      <c r="Q9111" s="8">
        <f>+(62+13/60+27/3600)</f>
        <v>62.224166666666669</v>
      </c>
      <c r="R9111" s="8">
        <v>99</v>
      </c>
      <c r="S9111" s="8">
        <v>13</v>
      </c>
      <c r="T9111" s="8">
        <v>99</v>
      </c>
      <c r="U9111" s="8">
        <v>99</v>
      </c>
      <c r="Y9111" s="8" t="s">
        <v>21</v>
      </c>
      <c r="Z9111" s="8" t="s">
        <v>39585</v>
      </c>
    </row>
    <row r="9112" spans="1:26" x14ac:dyDescent="0.2">
      <c r="A9112" s="8">
        <v>9111</v>
      </c>
      <c r="B9112" s="8" t="s">
        <v>39586</v>
      </c>
      <c r="C9112" s="8" t="s">
        <v>39586</v>
      </c>
      <c r="G9112" s="8">
        <v>20</v>
      </c>
      <c r="H9112" s="8" t="s">
        <v>21</v>
      </c>
      <c r="I9112" s="8" t="s">
        <v>1283</v>
      </c>
      <c r="J9112" s="8" t="s">
        <v>1283</v>
      </c>
      <c r="K9112" s="8" t="s">
        <v>9495</v>
      </c>
      <c r="L9112" s="8" t="s">
        <v>28576</v>
      </c>
      <c r="M9112" s="8" t="s">
        <v>28577</v>
      </c>
      <c r="N9112" s="8" t="s">
        <v>29039</v>
      </c>
      <c r="O9112" s="8">
        <f>18+5/60+13/3600</f>
        <v>18.086944444444445</v>
      </c>
      <c r="P9112" s="8" t="s">
        <v>39587</v>
      </c>
      <c r="Q9112" s="8">
        <f>-(24+24/60+38/3600)</f>
        <v>-24.410555555555554</v>
      </c>
      <c r="R9112" s="8">
        <v>99</v>
      </c>
      <c r="S9112" s="8">
        <v>99</v>
      </c>
      <c r="T9112" s="8">
        <v>99</v>
      </c>
      <c r="U9112" s="8">
        <v>99</v>
      </c>
      <c r="Y9112" s="8" t="s">
        <v>39588</v>
      </c>
      <c r="Z9112" s="8" t="s">
        <v>39589</v>
      </c>
    </row>
    <row r="9113" spans="1:26" x14ac:dyDescent="0.2">
      <c r="A9113" s="8">
        <v>9112</v>
      </c>
      <c r="B9113" s="8" t="s">
        <v>39590</v>
      </c>
      <c r="C9113" s="8" t="s">
        <v>39590</v>
      </c>
      <c r="G9113" s="8">
        <v>20</v>
      </c>
      <c r="H9113" s="8" t="s">
        <v>21</v>
      </c>
      <c r="I9113" s="8" t="s">
        <v>72</v>
      </c>
      <c r="J9113" s="8" t="s">
        <v>72</v>
      </c>
      <c r="K9113" s="8" t="s">
        <v>1405</v>
      </c>
      <c r="L9113" s="8" t="s">
        <v>26804</v>
      </c>
      <c r="M9113" s="8" t="s">
        <v>26805</v>
      </c>
      <c r="N9113" s="8" t="s">
        <v>39591</v>
      </c>
      <c r="O9113" s="8">
        <f>18+4/60+55.8/3600</f>
        <v>18.082166666666666</v>
      </c>
      <c r="P9113" s="8" t="s">
        <v>39592</v>
      </c>
      <c r="Q9113" s="8">
        <f>+(25+7/60+45/3600)</f>
        <v>25.129166666666666</v>
      </c>
      <c r="R9113" s="8">
        <v>99</v>
      </c>
      <c r="S9113" s="8">
        <v>99</v>
      </c>
      <c r="T9113" s="8">
        <v>99</v>
      </c>
      <c r="U9113" s="8">
        <v>99</v>
      </c>
      <c r="Y9113" s="8" t="s">
        <v>39593</v>
      </c>
      <c r="Z9113" s="8" t="s">
        <v>39594</v>
      </c>
    </row>
    <row r="9114" spans="1:26" x14ac:dyDescent="0.2">
      <c r="A9114" s="8">
        <v>9113</v>
      </c>
      <c r="B9114" s="8" t="s">
        <v>39595</v>
      </c>
      <c r="C9114" s="8" t="s">
        <v>39595</v>
      </c>
      <c r="G9114" s="8">
        <v>20</v>
      </c>
      <c r="H9114" s="8" t="s">
        <v>21</v>
      </c>
      <c r="I9114" s="8" t="s">
        <v>72</v>
      </c>
      <c r="J9114" s="8" t="s">
        <v>72</v>
      </c>
      <c r="K9114" s="8" t="s">
        <v>73</v>
      </c>
      <c r="L9114" s="8" t="s">
        <v>26804</v>
      </c>
      <c r="M9114" s="8" t="s">
        <v>26805</v>
      </c>
      <c r="N9114" s="8" t="s">
        <v>39596</v>
      </c>
      <c r="O9114" s="8">
        <f>18+5/60+3/3600</f>
        <v>18.084166666666665</v>
      </c>
      <c r="P9114" s="8" t="s">
        <v>39597</v>
      </c>
      <c r="Q9114" s="8">
        <f>+(25+8/60+2/3600)</f>
        <v>25.133888888888887</v>
      </c>
      <c r="R9114" s="8">
        <v>99</v>
      </c>
      <c r="S9114" s="8">
        <v>99</v>
      </c>
      <c r="T9114" s="8">
        <v>99</v>
      </c>
      <c r="U9114" s="8">
        <v>99</v>
      </c>
      <c r="Y9114" s="8" t="s">
        <v>21</v>
      </c>
      <c r="Z9114" s="8" t="s">
        <v>39598</v>
      </c>
    </row>
    <row r="9115" spans="1:26" x14ac:dyDescent="0.2">
      <c r="A9115" s="8">
        <v>9114</v>
      </c>
      <c r="B9115" s="8" t="s">
        <v>39599</v>
      </c>
      <c r="C9115" s="8" t="s">
        <v>39599</v>
      </c>
      <c r="G9115" s="8">
        <v>20</v>
      </c>
      <c r="H9115" s="8" t="s">
        <v>21</v>
      </c>
      <c r="I9115" s="8" t="s">
        <v>1283</v>
      </c>
      <c r="J9115" s="8" t="s">
        <v>1283</v>
      </c>
      <c r="K9115" s="8" t="s">
        <v>9495</v>
      </c>
      <c r="L9115" s="8" t="s">
        <v>28576</v>
      </c>
      <c r="M9115" s="8" t="s">
        <v>28577</v>
      </c>
      <c r="N9115" s="8" t="s">
        <v>39600</v>
      </c>
      <c r="O9115" s="8">
        <f>18+9/60+50/3600</f>
        <v>18.163888888888888</v>
      </c>
      <c r="P9115" s="8" t="s">
        <v>39601</v>
      </c>
      <c r="Q9115" s="8">
        <f>-(23+38/60+54/3600)</f>
        <v>-23.648333333333333</v>
      </c>
      <c r="R9115" s="8">
        <v>99</v>
      </c>
      <c r="S9115" s="8">
        <v>99</v>
      </c>
      <c r="T9115" s="8">
        <v>99</v>
      </c>
      <c r="U9115" s="8">
        <v>99</v>
      </c>
      <c r="V9115" s="8">
        <v>6</v>
      </c>
      <c r="W9115" s="8">
        <v>5</v>
      </c>
      <c r="Y9115" s="8" t="s">
        <v>21</v>
      </c>
      <c r="Z9115" s="8" t="s">
        <v>39602</v>
      </c>
    </row>
    <row r="9116" spans="1:26" x14ac:dyDescent="0.2">
      <c r="A9116" s="8">
        <v>9115</v>
      </c>
      <c r="B9116" s="8" t="s">
        <v>39603</v>
      </c>
      <c r="C9116" s="8" t="s">
        <v>39603</v>
      </c>
      <c r="G9116" s="8">
        <v>20</v>
      </c>
      <c r="H9116" s="8" t="s">
        <v>21</v>
      </c>
      <c r="I9116" s="8" t="s">
        <v>1283</v>
      </c>
      <c r="J9116" s="8" t="s">
        <v>1283</v>
      </c>
      <c r="K9116" s="8" t="s">
        <v>9495</v>
      </c>
      <c r="L9116" s="8" t="s">
        <v>28576</v>
      </c>
      <c r="M9116" s="8" t="s">
        <v>28577</v>
      </c>
      <c r="N9116" s="8" t="s">
        <v>39604</v>
      </c>
      <c r="O9116" s="8">
        <f>18+10/60+7/3600</f>
        <v>18.168611111111112</v>
      </c>
      <c r="P9116" s="8" t="s">
        <v>39605</v>
      </c>
      <c r="Q9116" s="8">
        <f>-(23+45/60+42/3600)</f>
        <v>-23.761666666666667</v>
      </c>
      <c r="R9116" s="8">
        <v>99</v>
      </c>
      <c r="S9116" s="8">
        <v>99</v>
      </c>
      <c r="T9116" s="8">
        <v>99</v>
      </c>
      <c r="U9116" s="8">
        <v>99</v>
      </c>
      <c r="Y9116" s="8" t="s">
        <v>21</v>
      </c>
      <c r="Z9116" s="8" t="s">
        <v>39606</v>
      </c>
    </row>
    <row r="9117" spans="1:26" x14ac:dyDescent="0.2">
      <c r="A9117" s="8">
        <v>9116</v>
      </c>
      <c r="B9117" s="8" t="s">
        <v>39607</v>
      </c>
      <c r="C9117" s="8" t="s">
        <v>39607</v>
      </c>
      <c r="G9117" s="8">
        <v>20</v>
      </c>
      <c r="H9117" s="8" t="s">
        <v>21</v>
      </c>
      <c r="I9117" s="8" t="s">
        <v>567</v>
      </c>
      <c r="J9117" s="8" t="s">
        <v>567</v>
      </c>
      <c r="K9117" s="8" t="s">
        <v>19801</v>
      </c>
      <c r="L9117" s="8" t="s">
        <v>26227</v>
      </c>
      <c r="M9117" s="8" t="s">
        <v>26228</v>
      </c>
      <c r="N9117" s="8" t="s">
        <v>39608</v>
      </c>
      <c r="O9117" s="8">
        <f>18+10/60+45.7/3600</f>
        <v>18.179361111111113</v>
      </c>
      <c r="P9117" s="8" t="s">
        <v>39609</v>
      </c>
      <c r="Q9117" s="8">
        <f>-(7+12/60+40/3600)</f>
        <v>-7.2111111111111112</v>
      </c>
      <c r="R9117" s="8">
        <v>10.3</v>
      </c>
      <c r="S9117" s="8">
        <v>99</v>
      </c>
      <c r="T9117" s="8">
        <v>99</v>
      </c>
      <c r="U9117" s="8">
        <v>99</v>
      </c>
      <c r="V9117" s="8">
        <v>8</v>
      </c>
      <c r="Y9117" s="8" t="s">
        <v>21</v>
      </c>
      <c r="Z9117" s="8" t="s">
        <v>39610</v>
      </c>
    </row>
    <row r="9118" spans="1:26" x14ac:dyDescent="0.2">
      <c r="A9118" s="8">
        <v>9117</v>
      </c>
      <c r="B9118" s="8" t="s">
        <v>39611</v>
      </c>
      <c r="C9118" s="8" t="s">
        <v>39611</v>
      </c>
      <c r="G9118" s="8">
        <v>20</v>
      </c>
      <c r="H9118" s="8" t="s">
        <v>21</v>
      </c>
      <c r="I9118" s="8" t="s">
        <v>22</v>
      </c>
      <c r="J9118" s="8" t="s">
        <v>22</v>
      </c>
      <c r="K9118" s="8" t="s">
        <v>160</v>
      </c>
      <c r="L9118" s="8" t="s">
        <v>26804</v>
      </c>
      <c r="M9118" s="8" t="s">
        <v>26805</v>
      </c>
      <c r="N9118" s="8" t="s">
        <v>39612</v>
      </c>
      <c r="O9118" s="8">
        <f>18+10/60+27.3/3600</f>
        <v>18.174250000000001</v>
      </c>
      <c r="P9118" s="8" t="s">
        <v>39613</v>
      </c>
      <c r="Q9118" s="8">
        <f>+(31+0/60+12/3600)</f>
        <v>31.003333333333334</v>
      </c>
      <c r="R9118" s="8">
        <v>13.4</v>
      </c>
      <c r="S9118" s="8">
        <v>14.1</v>
      </c>
      <c r="T9118" s="8">
        <v>0.7</v>
      </c>
      <c r="U9118" s="8">
        <v>13.3</v>
      </c>
      <c r="V9118" s="8">
        <v>1.2</v>
      </c>
      <c r="W9118" s="8">
        <v>0.9</v>
      </c>
      <c r="X9118" s="8">
        <v>25</v>
      </c>
      <c r="Y9118" s="8" t="s">
        <v>39593</v>
      </c>
      <c r="Z9118" s="8" t="s">
        <v>39594</v>
      </c>
    </row>
    <row r="9119" spans="1:26" x14ac:dyDescent="0.2">
      <c r="A9119" s="8">
        <v>9118</v>
      </c>
      <c r="B9119" s="8" t="s">
        <v>39614</v>
      </c>
      <c r="C9119" s="8" t="s">
        <v>39614</v>
      </c>
      <c r="G9119" s="8">
        <v>20</v>
      </c>
      <c r="H9119" s="8" t="s">
        <v>21</v>
      </c>
      <c r="I9119" s="8" t="s">
        <v>72</v>
      </c>
      <c r="J9119" s="8" t="s">
        <v>72</v>
      </c>
      <c r="K9119" s="8" t="s">
        <v>1405</v>
      </c>
      <c r="L9119" s="8" t="s">
        <v>26804</v>
      </c>
      <c r="M9119" s="8" t="s">
        <v>26805</v>
      </c>
      <c r="N9119" s="8" t="s">
        <v>39615</v>
      </c>
      <c r="O9119" s="8">
        <f>18+10/60+41.9/3600</f>
        <v>18.178305555555557</v>
      </c>
      <c r="P9119" s="8" t="s">
        <v>39616</v>
      </c>
      <c r="Q9119" s="8">
        <f>+(31+8/60+59/3600)</f>
        <v>31.149722222222223</v>
      </c>
      <c r="R9119" s="8">
        <v>99</v>
      </c>
      <c r="S9119" s="8">
        <v>99</v>
      </c>
      <c r="T9119" s="8">
        <v>99</v>
      </c>
      <c r="U9119" s="8">
        <v>99</v>
      </c>
      <c r="V9119" s="8">
        <v>0.8</v>
      </c>
      <c r="Y9119" s="8" t="s">
        <v>21</v>
      </c>
      <c r="Z9119" s="8" t="s">
        <v>39617</v>
      </c>
    </row>
    <row r="9120" spans="1:26" x14ac:dyDescent="0.2">
      <c r="A9120" s="8">
        <v>9119</v>
      </c>
      <c r="B9120" s="8" t="s">
        <v>39618</v>
      </c>
      <c r="C9120" s="8" t="s">
        <v>39618</v>
      </c>
      <c r="G9120" s="8">
        <v>20</v>
      </c>
      <c r="H9120" s="8" t="s">
        <v>21</v>
      </c>
      <c r="I9120" s="8" t="s">
        <v>22</v>
      </c>
      <c r="J9120" s="8" t="s">
        <v>22</v>
      </c>
      <c r="K9120" s="8" t="s">
        <v>23</v>
      </c>
      <c r="L9120" s="8" t="s">
        <v>26804</v>
      </c>
      <c r="M9120" s="8" t="s">
        <v>26805</v>
      </c>
      <c r="N9120" s="8" t="s">
        <v>39619</v>
      </c>
      <c r="O9120" s="8">
        <f>18+11/60+15.4/3600</f>
        <v>18.18761111111111</v>
      </c>
      <c r="P9120" s="8" t="s">
        <v>39620</v>
      </c>
      <c r="Q9120" s="8">
        <f>+(36+0/60+27/3600)</f>
        <v>36.0075</v>
      </c>
      <c r="R9120" s="8">
        <v>13.5</v>
      </c>
      <c r="S9120" s="8">
        <v>14.3</v>
      </c>
      <c r="T9120" s="8">
        <v>0.8</v>
      </c>
      <c r="U9120" s="8">
        <v>13.8</v>
      </c>
      <c r="V9120" s="8">
        <v>2.6</v>
      </c>
      <c r="W9120" s="8">
        <v>0.6</v>
      </c>
      <c r="X9120" s="8">
        <v>159</v>
      </c>
      <c r="Y9120" s="8" t="s">
        <v>3161</v>
      </c>
      <c r="Z9120" s="8" t="s">
        <v>3162</v>
      </c>
    </row>
    <row r="9121" spans="1:26" x14ac:dyDescent="0.2">
      <c r="A9121" s="8">
        <v>9120</v>
      </c>
      <c r="B9121" s="8" t="s">
        <v>39621</v>
      </c>
      <c r="C9121" s="8" t="s">
        <v>39621</v>
      </c>
      <c r="G9121" s="8">
        <v>20</v>
      </c>
      <c r="H9121" s="8" t="s">
        <v>21</v>
      </c>
      <c r="I9121" s="8" t="s">
        <v>22</v>
      </c>
      <c r="J9121" s="8" t="s">
        <v>57</v>
      </c>
      <c r="K9121" s="8" t="s">
        <v>424</v>
      </c>
      <c r="L9121" s="8" t="s">
        <v>26804</v>
      </c>
      <c r="M9121" s="8" t="s">
        <v>26805</v>
      </c>
      <c r="N9121" s="8" t="s">
        <v>29233</v>
      </c>
      <c r="O9121" s="8">
        <f>18+12/60+18.3/3600</f>
        <v>18.205083333333334</v>
      </c>
      <c r="P9121" s="8" t="s">
        <v>29234</v>
      </c>
      <c r="Q9121" s="8">
        <f>+(25+39/60+46/3600)</f>
        <v>25.662777777777777</v>
      </c>
      <c r="R9121" s="8">
        <v>14.3</v>
      </c>
      <c r="S9121" s="8">
        <v>15.3</v>
      </c>
      <c r="T9121" s="8">
        <v>1</v>
      </c>
      <c r="U9121" s="8">
        <v>12.2</v>
      </c>
      <c r="V9121" s="8">
        <v>0.4</v>
      </c>
      <c r="W9121" s="8">
        <v>0.4</v>
      </c>
      <c r="Y9121" s="8" t="s">
        <v>39045</v>
      </c>
      <c r="Z9121" s="8" t="s">
        <v>39046</v>
      </c>
    </row>
    <row r="9122" spans="1:26" x14ac:dyDescent="0.2">
      <c r="A9122" s="8">
        <v>9121</v>
      </c>
      <c r="B9122" s="8" t="s">
        <v>39622</v>
      </c>
      <c r="C9122" s="8" t="s">
        <v>39622</v>
      </c>
      <c r="G9122" s="8">
        <v>20</v>
      </c>
      <c r="H9122" s="8" t="s">
        <v>21</v>
      </c>
      <c r="I9122" s="8" t="s">
        <v>22</v>
      </c>
      <c r="J9122" s="8" t="s">
        <v>22</v>
      </c>
      <c r="K9122" s="8" t="s">
        <v>449</v>
      </c>
      <c r="L9122" s="8" t="s">
        <v>26804</v>
      </c>
      <c r="M9122" s="8" t="s">
        <v>26805</v>
      </c>
      <c r="N9122" s="8" t="s">
        <v>39623</v>
      </c>
      <c r="O9122" s="8">
        <f>18+11/60+38.1/3600</f>
        <v>18.193916666666667</v>
      </c>
      <c r="P9122" s="8" t="s">
        <v>39624</v>
      </c>
      <c r="Q9122" s="8">
        <f>+(35+59/60+52/3600)</f>
        <v>35.997777777777777</v>
      </c>
      <c r="R9122" s="8">
        <v>14.9</v>
      </c>
      <c r="S9122" s="8">
        <v>15.7</v>
      </c>
      <c r="T9122" s="8">
        <v>0.8</v>
      </c>
      <c r="U9122" s="8">
        <v>12.7</v>
      </c>
      <c r="V9122" s="8">
        <v>0.5</v>
      </c>
      <c r="W9122" s="8">
        <v>0.3</v>
      </c>
      <c r="X9122" s="8">
        <v>3</v>
      </c>
      <c r="Y9122" s="8" t="s">
        <v>21</v>
      </c>
      <c r="Z9122" s="8" t="s">
        <v>39625</v>
      </c>
    </row>
    <row r="9123" spans="1:26" x14ac:dyDescent="0.2">
      <c r="A9123" s="8">
        <v>9122</v>
      </c>
      <c r="B9123" s="8" t="s">
        <v>39626</v>
      </c>
      <c r="C9123" s="8" t="s">
        <v>39626</v>
      </c>
      <c r="G9123" s="8">
        <v>20</v>
      </c>
      <c r="H9123" s="8" t="s">
        <v>21</v>
      </c>
      <c r="I9123" s="8" t="s">
        <v>72</v>
      </c>
      <c r="J9123" s="8" t="s">
        <v>72</v>
      </c>
      <c r="K9123" s="8" t="s">
        <v>5802</v>
      </c>
      <c r="L9123" s="8" t="s">
        <v>26804</v>
      </c>
      <c r="M9123" s="8" t="s">
        <v>26805</v>
      </c>
      <c r="N9123" s="8" t="s">
        <v>39627</v>
      </c>
      <c r="O9123" s="8">
        <f>18+14/60+5.3/3600</f>
        <v>18.234805555555557</v>
      </c>
      <c r="P9123" s="8" t="s">
        <v>39628</v>
      </c>
      <c r="Q9123" s="8">
        <f>+(21+6/60+6/3600)</f>
        <v>21.101666666666667</v>
      </c>
      <c r="R9123" s="8">
        <v>99</v>
      </c>
      <c r="S9123" s="8">
        <v>99</v>
      </c>
      <c r="T9123" s="8">
        <v>99</v>
      </c>
      <c r="U9123" s="8">
        <v>99</v>
      </c>
      <c r="Y9123" s="8" t="s">
        <v>21</v>
      </c>
      <c r="Z9123" s="8" t="s">
        <v>39629</v>
      </c>
    </row>
    <row r="9124" spans="1:26" x14ac:dyDescent="0.2">
      <c r="A9124" s="8">
        <v>9123</v>
      </c>
      <c r="B9124" s="8" t="s">
        <v>39630</v>
      </c>
      <c r="C9124" s="8" t="s">
        <v>39630</v>
      </c>
      <c r="G9124" s="8">
        <v>20</v>
      </c>
      <c r="H9124" s="8" t="s">
        <v>21</v>
      </c>
      <c r="I9124" s="8" t="s">
        <v>1283</v>
      </c>
      <c r="J9124" s="8" t="s">
        <v>1283</v>
      </c>
      <c r="K9124" s="8" t="s">
        <v>1284</v>
      </c>
      <c r="L9124" s="8" t="s">
        <v>28576</v>
      </c>
      <c r="M9124" s="8" t="s">
        <v>28577</v>
      </c>
      <c r="N9124" s="8" t="s">
        <v>39631</v>
      </c>
      <c r="O9124" s="8">
        <f>18+17/60+16.7/3600</f>
        <v>18.287972222222223</v>
      </c>
      <c r="P9124" s="8" t="s">
        <v>39632</v>
      </c>
      <c r="Q9124" s="8">
        <f>-(19+45/60+44/3600)</f>
        <v>-19.762222222222221</v>
      </c>
      <c r="R9124" s="8">
        <v>99</v>
      </c>
      <c r="S9124" s="8">
        <v>99</v>
      </c>
      <c r="T9124" s="8">
        <v>99</v>
      </c>
      <c r="U9124" s="8">
        <v>99</v>
      </c>
      <c r="V9124" s="8">
        <v>3</v>
      </c>
      <c r="W9124" s="8">
        <v>3</v>
      </c>
      <c r="Y9124" s="8" t="s">
        <v>21</v>
      </c>
      <c r="Z9124" s="8" t="s">
        <v>39633</v>
      </c>
    </row>
    <row r="9125" spans="1:26" x14ac:dyDescent="0.2">
      <c r="A9125" s="8">
        <v>9124</v>
      </c>
      <c r="B9125" s="8" t="s">
        <v>39634</v>
      </c>
      <c r="C9125" s="8" t="s">
        <v>39634</v>
      </c>
      <c r="G9125" s="8">
        <v>20</v>
      </c>
      <c r="H9125" s="8" t="s">
        <v>21</v>
      </c>
      <c r="I9125" s="8" t="s">
        <v>1283</v>
      </c>
      <c r="J9125" s="8" t="s">
        <v>1283</v>
      </c>
      <c r="K9125" s="8" t="s">
        <v>9495</v>
      </c>
      <c r="L9125" s="8" t="s">
        <v>28576</v>
      </c>
      <c r="M9125" s="8" t="s">
        <v>28577</v>
      </c>
      <c r="N9125" s="8" t="s">
        <v>39635</v>
      </c>
      <c r="O9125" s="8">
        <f>18+17/60+39.5/3600</f>
        <v>18.294305555555557</v>
      </c>
      <c r="P9125" s="8" t="s">
        <v>39636</v>
      </c>
      <c r="Q9125" s="8">
        <f>-(19+40/60+19/3600)</f>
        <v>-19.671944444444446</v>
      </c>
      <c r="R9125" s="8">
        <v>99</v>
      </c>
      <c r="S9125" s="8">
        <v>99</v>
      </c>
      <c r="T9125" s="8">
        <v>99</v>
      </c>
      <c r="U9125" s="8">
        <v>99</v>
      </c>
      <c r="V9125" s="8">
        <v>17</v>
      </c>
      <c r="W9125" s="8">
        <v>15</v>
      </c>
      <c r="Y9125" s="8" t="s">
        <v>21</v>
      </c>
      <c r="Z9125" s="8" t="s">
        <v>39637</v>
      </c>
    </row>
    <row r="9126" spans="1:26" x14ac:dyDescent="0.2">
      <c r="A9126" s="8">
        <v>9125</v>
      </c>
      <c r="B9126" s="8" t="s">
        <v>39638</v>
      </c>
      <c r="C9126" s="8" t="s">
        <v>39638</v>
      </c>
      <c r="G9126" s="8">
        <v>20</v>
      </c>
      <c r="H9126" s="8" t="s">
        <v>21</v>
      </c>
      <c r="I9126" s="8" t="s">
        <v>72</v>
      </c>
      <c r="J9126" s="8" t="s">
        <v>72</v>
      </c>
      <c r="K9126" s="8" t="s">
        <v>1405</v>
      </c>
      <c r="L9126" s="8" t="s">
        <v>26804</v>
      </c>
      <c r="M9126" s="8" t="s">
        <v>26805</v>
      </c>
      <c r="N9126" s="8" t="s">
        <v>39639</v>
      </c>
      <c r="O9126" s="8">
        <f>18+16/60+9.8/3600</f>
        <v>18.269388888888887</v>
      </c>
      <c r="P9126" s="8" t="s">
        <v>39640</v>
      </c>
      <c r="Q9126" s="8">
        <f>+(25+6/60+8/3600)</f>
        <v>25.102222222222224</v>
      </c>
      <c r="R9126" s="8">
        <v>99</v>
      </c>
      <c r="S9126" s="8">
        <v>99</v>
      </c>
      <c r="T9126" s="8">
        <v>99</v>
      </c>
      <c r="U9126" s="8">
        <v>99</v>
      </c>
      <c r="Y9126" s="8" t="s">
        <v>39593</v>
      </c>
      <c r="Z9126" s="8" t="s">
        <v>39594</v>
      </c>
    </row>
    <row r="9127" spans="1:26" x14ac:dyDescent="0.2">
      <c r="A9127" s="8">
        <v>9126</v>
      </c>
      <c r="B9127" s="8" t="s">
        <v>39641</v>
      </c>
      <c r="C9127" s="8" t="s">
        <v>39641</v>
      </c>
      <c r="G9127" s="8">
        <v>20</v>
      </c>
      <c r="H9127" s="8" t="s">
        <v>21</v>
      </c>
      <c r="I9127" s="8" t="s">
        <v>22</v>
      </c>
      <c r="J9127" s="8" t="s">
        <v>22</v>
      </c>
      <c r="K9127" s="8" t="s">
        <v>31</v>
      </c>
      <c r="L9127" s="8" t="s">
        <v>13395</v>
      </c>
      <c r="M9127" s="8" t="s">
        <v>13396</v>
      </c>
      <c r="N9127" s="8" t="s">
        <v>39642</v>
      </c>
      <c r="O9127" s="8">
        <f>18+16/60+14.4/3600</f>
        <v>18.270666666666667</v>
      </c>
      <c r="P9127" s="8" t="s">
        <v>39643</v>
      </c>
      <c r="Q9127" s="8">
        <f>+(55+35/60+24/3600)</f>
        <v>55.59</v>
      </c>
      <c r="R9127" s="8">
        <v>13.8</v>
      </c>
      <c r="S9127" s="8">
        <v>14.6</v>
      </c>
      <c r="T9127" s="8">
        <v>0.8</v>
      </c>
      <c r="U9127" s="8">
        <v>13.3</v>
      </c>
      <c r="V9127" s="8">
        <v>1.4</v>
      </c>
      <c r="W9127" s="8">
        <v>0.5</v>
      </c>
      <c r="X9127" s="8">
        <v>87</v>
      </c>
      <c r="Y9127" s="8" t="s">
        <v>39644</v>
      </c>
      <c r="Z9127" s="8" t="s">
        <v>39645</v>
      </c>
    </row>
    <row r="9128" spans="1:26" x14ac:dyDescent="0.2">
      <c r="A9128" s="8">
        <v>9127</v>
      </c>
      <c r="B9128" s="8" t="s">
        <v>39646</v>
      </c>
      <c r="C9128" s="8" t="s">
        <v>39646</v>
      </c>
      <c r="G9128" s="8">
        <v>20</v>
      </c>
      <c r="H9128" s="8" t="s">
        <v>21</v>
      </c>
      <c r="I9128" s="8" t="s">
        <v>1283</v>
      </c>
      <c r="J9128" s="8" t="s">
        <v>1283</v>
      </c>
      <c r="K9128" s="8" t="s">
        <v>6208</v>
      </c>
      <c r="L9128" s="8" t="s">
        <v>29416</v>
      </c>
      <c r="M9128" s="8" t="s">
        <v>29417</v>
      </c>
      <c r="N9128" s="8" t="s">
        <v>39647</v>
      </c>
      <c r="O9128" s="8">
        <f>18+31/60+26/3600</f>
        <v>18.523888888888887</v>
      </c>
      <c r="P9128" s="8" t="s">
        <v>39648</v>
      </c>
      <c r="Q9128" s="8">
        <f>-(10+47/60+42/3600)</f>
        <v>-10.795</v>
      </c>
      <c r="R9128" s="8">
        <v>99</v>
      </c>
      <c r="S9128" s="8">
        <v>99</v>
      </c>
      <c r="T9128" s="8">
        <v>99</v>
      </c>
      <c r="U9128" s="8">
        <v>99</v>
      </c>
      <c r="V9128" s="8">
        <v>20</v>
      </c>
      <c r="W9128" s="8">
        <v>10</v>
      </c>
      <c r="Y9128" s="8" t="s">
        <v>21</v>
      </c>
      <c r="Z9128" s="8" t="s">
        <v>39649</v>
      </c>
    </row>
    <row r="9129" spans="1:26" x14ac:dyDescent="0.2">
      <c r="A9129" s="8">
        <v>9128</v>
      </c>
      <c r="B9129" s="8" t="s">
        <v>39650</v>
      </c>
      <c r="C9129" s="8" t="s">
        <v>39650</v>
      </c>
      <c r="G9129" s="8">
        <v>20</v>
      </c>
      <c r="H9129" s="8" t="s">
        <v>21</v>
      </c>
      <c r="I9129" s="8" t="s">
        <v>22</v>
      </c>
      <c r="J9129" s="8" t="s">
        <v>22</v>
      </c>
      <c r="K9129" s="8" t="s">
        <v>154</v>
      </c>
      <c r="L9129" s="8" t="s">
        <v>29334</v>
      </c>
      <c r="M9129" s="8" t="s">
        <v>29335</v>
      </c>
      <c r="N9129" s="8" t="s">
        <v>39651</v>
      </c>
      <c r="O9129" s="8">
        <f>18+29/60+22.5/3600</f>
        <v>18.489583333333336</v>
      </c>
      <c r="P9129" s="8" t="s">
        <v>39652</v>
      </c>
      <c r="Q9129" s="8">
        <f>+(39+42/60+50/3600)</f>
        <v>39.713888888888889</v>
      </c>
      <c r="R9129" s="8">
        <v>13.4</v>
      </c>
      <c r="S9129" s="8">
        <v>14.3</v>
      </c>
      <c r="T9129" s="8">
        <v>0.9</v>
      </c>
      <c r="U9129" s="8">
        <v>13</v>
      </c>
      <c r="V9129" s="8">
        <v>1.1000000000000001</v>
      </c>
      <c r="W9129" s="8">
        <v>0.7</v>
      </c>
      <c r="X9129" s="8">
        <v>2</v>
      </c>
      <c r="Y9129" s="8" t="s">
        <v>39653</v>
      </c>
      <c r="Z9129" s="8" t="s">
        <v>39654</v>
      </c>
    </row>
    <row r="9130" spans="1:26" x14ac:dyDescent="0.2">
      <c r="A9130" s="8">
        <v>9129</v>
      </c>
      <c r="B9130" s="8" t="s">
        <v>39655</v>
      </c>
      <c r="C9130" s="8" t="s">
        <v>39655</v>
      </c>
      <c r="G9130" s="8">
        <v>20</v>
      </c>
      <c r="H9130" s="8" t="s">
        <v>21</v>
      </c>
      <c r="I9130" s="8" t="s">
        <v>22</v>
      </c>
      <c r="J9130" s="8" t="s">
        <v>22</v>
      </c>
      <c r="K9130" s="8" t="s">
        <v>449</v>
      </c>
      <c r="L9130" s="8" t="s">
        <v>29334</v>
      </c>
      <c r="M9130" s="8" t="s">
        <v>29335</v>
      </c>
      <c r="N9130" s="8" t="s">
        <v>39656</v>
      </c>
      <c r="O9130" s="8">
        <f>18+30/60+2.2/3600</f>
        <v>18.500611111111112</v>
      </c>
      <c r="P9130" s="8" t="s">
        <v>39657</v>
      </c>
      <c r="Q9130" s="8">
        <f>+(39+57/60+53/3600)</f>
        <v>39.964722222222228</v>
      </c>
      <c r="R9130" s="8">
        <v>15</v>
      </c>
      <c r="S9130" s="8">
        <v>15.8</v>
      </c>
      <c r="T9130" s="8">
        <v>0.8</v>
      </c>
      <c r="U9130" s="8">
        <v>13.2</v>
      </c>
      <c r="V9130" s="8">
        <v>0.7</v>
      </c>
      <c r="W9130" s="8">
        <v>0.3</v>
      </c>
      <c r="X9130" s="8">
        <v>145</v>
      </c>
      <c r="Y9130" s="8" t="s">
        <v>39658</v>
      </c>
      <c r="Z9130" s="8" t="s">
        <v>39659</v>
      </c>
    </row>
    <row r="9131" spans="1:26" x14ac:dyDescent="0.2">
      <c r="A9131" s="8">
        <v>9130</v>
      </c>
      <c r="B9131" s="8" t="s">
        <v>39660</v>
      </c>
      <c r="C9131" s="8" t="s">
        <v>39660</v>
      </c>
      <c r="G9131" s="8">
        <v>20</v>
      </c>
      <c r="H9131" s="8" t="s">
        <v>21</v>
      </c>
      <c r="I9131" s="8" t="s">
        <v>72</v>
      </c>
      <c r="J9131" s="8" t="s">
        <v>72</v>
      </c>
      <c r="K9131" s="8" t="s">
        <v>1405</v>
      </c>
      <c r="L9131" s="8" t="s">
        <v>28576</v>
      </c>
      <c r="M9131" s="8" t="s">
        <v>28577</v>
      </c>
      <c r="N9131" s="8" t="s">
        <v>39661</v>
      </c>
      <c r="O9131" s="8">
        <f>18+38/60+28/3600</f>
        <v>18.641111111111112</v>
      </c>
      <c r="P9131" s="8" t="s">
        <v>39662</v>
      </c>
      <c r="Q9131" s="8">
        <f>-(24+6/60+48/3600)</f>
        <v>-24.113333333333333</v>
      </c>
      <c r="R9131" s="8">
        <v>99</v>
      </c>
      <c r="S9131" s="8">
        <v>99</v>
      </c>
      <c r="T9131" s="8">
        <v>99</v>
      </c>
      <c r="U9131" s="8">
        <v>99</v>
      </c>
      <c r="V9131" s="8">
        <v>2</v>
      </c>
      <c r="W9131" s="8">
        <v>1</v>
      </c>
      <c r="Y9131" s="8" t="s">
        <v>1694</v>
      </c>
      <c r="Z9131" s="8" t="s">
        <v>38252</v>
      </c>
    </row>
    <row r="9132" spans="1:26" x14ac:dyDescent="0.2">
      <c r="A9132" s="8">
        <v>9131</v>
      </c>
      <c r="B9132" s="8" t="s">
        <v>39663</v>
      </c>
      <c r="C9132" s="8" t="s">
        <v>39663</v>
      </c>
      <c r="G9132" s="8">
        <v>20</v>
      </c>
      <c r="H9132" s="8" t="s">
        <v>21</v>
      </c>
      <c r="I9132" s="8" t="s">
        <v>22</v>
      </c>
      <c r="J9132" s="8" t="s">
        <v>22</v>
      </c>
      <c r="K9132" s="8" t="s">
        <v>773</v>
      </c>
      <c r="L9132" s="8" t="s">
        <v>13395</v>
      </c>
      <c r="M9132" s="8" t="s">
        <v>13396</v>
      </c>
      <c r="N9132" s="8" t="s">
        <v>39664</v>
      </c>
      <c r="O9132" s="8">
        <f>18+33/60+52.4/3600</f>
        <v>18.564555555555557</v>
      </c>
      <c r="P9132" s="8" t="s">
        <v>39665</v>
      </c>
      <c r="Q9132" s="8">
        <f>+(49+16/60+43/3600)</f>
        <v>49.278611111111111</v>
      </c>
      <c r="R9132" s="8">
        <v>13</v>
      </c>
      <c r="S9132" s="8">
        <v>13.5</v>
      </c>
      <c r="T9132" s="8">
        <v>0.5</v>
      </c>
      <c r="U9132" s="8">
        <v>13.9</v>
      </c>
      <c r="V9132" s="8">
        <v>1.8</v>
      </c>
      <c r="W9132" s="8">
        <v>1.4</v>
      </c>
      <c r="X9132" s="8">
        <v>39</v>
      </c>
      <c r="Y9132" s="8" t="s">
        <v>39666</v>
      </c>
      <c r="Z9132" s="8" t="s">
        <v>39667</v>
      </c>
    </row>
    <row r="9133" spans="1:26" x14ac:dyDescent="0.2">
      <c r="A9133" s="8">
        <v>9132</v>
      </c>
      <c r="B9133" s="8" t="s">
        <v>39668</v>
      </c>
      <c r="C9133" s="8" t="s">
        <v>39668</v>
      </c>
      <c r="G9133" s="8">
        <v>20</v>
      </c>
      <c r="H9133" s="8" t="s">
        <v>21</v>
      </c>
      <c r="I9133" s="8" t="s">
        <v>329</v>
      </c>
      <c r="J9133" s="8" t="s">
        <v>329</v>
      </c>
      <c r="K9133" s="8" t="s">
        <v>329</v>
      </c>
      <c r="L9133" s="8" t="s">
        <v>28576</v>
      </c>
      <c r="M9133" s="8" t="s">
        <v>28577</v>
      </c>
      <c r="N9133" s="8" t="s">
        <v>39669</v>
      </c>
      <c r="O9133" s="8">
        <f>18+44/60+40.3/3600</f>
        <v>18.74452777777778</v>
      </c>
      <c r="P9133" s="8" t="s">
        <v>39670</v>
      </c>
      <c r="Q9133" s="8">
        <f>-(27+48/60+54/3600)</f>
        <v>-27.815000000000001</v>
      </c>
      <c r="R9133" s="8">
        <v>99</v>
      </c>
      <c r="S9133" s="8">
        <v>99</v>
      </c>
      <c r="T9133" s="8">
        <v>99</v>
      </c>
      <c r="U9133" s="8">
        <v>99</v>
      </c>
      <c r="Y9133" s="8" t="s">
        <v>21</v>
      </c>
      <c r="Z9133" s="8" t="s">
        <v>39671</v>
      </c>
    </row>
    <row r="9134" spans="1:26" x14ac:dyDescent="0.2">
      <c r="A9134" s="8">
        <v>9133</v>
      </c>
      <c r="B9134" s="8" t="s">
        <v>39672</v>
      </c>
      <c r="C9134" s="8" t="s">
        <v>39672</v>
      </c>
      <c r="G9134" s="8">
        <v>20</v>
      </c>
      <c r="H9134" s="8" t="s">
        <v>21</v>
      </c>
      <c r="I9134" s="8" t="s">
        <v>72</v>
      </c>
      <c r="J9134" s="8" t="s">
        <v>72</v>
      </c>
      <c r="K9134" s="8" t="s">
        <v>1405</v>
      </c>
      <c r="L9134" s="8" t="s">
        <v>13395</v>
      </c>
      <c r="M9134" s="8" t="s">
        <v>13396</v>
      </c>
      <c r="N9134" s="8" t="s">
        <v>39673</v>
      </c>
      <c r="O9134" s="8">
        <f>18+41/60+38/3600</f>
        <v>18.693888888888889</v>
      </c>
      <c r="P9134" s="8" t="s">
        <v>39674</v>
      </c>
      <c r="Q9134" s="8">
        <f>+(56+19/60+2/3600)</f>
        <v>56.317222222222227</v>
      </c>
      <c r="R9134" s="8">
        <v>99</v>
      </c>
      <c r="S9134" s="8">
        <v>99</v>
      </c>
      <c r="T9134" s="8">
        <v>99</v>
      </c>
      <c r="U9134" s="8">
        <v>99</v>
      </c>
      <c r="Y9134" s="8" t="s">
        <v>21</v>
      </c>
      <c r="Z9134" s="8" t="s">
        <v>39675</v>
      </c>
    </row>
    <row r="9135" spans="1:26" x14ac:dyDescent="0.2">
      <c r="A9135" s="8">
        <v>9134</v>
      </c>
      <c r="B9135" s="8" t="s">
        <v>39676</v>
      </c>
      <c r="C9135" s="8" t="s">
        <v>39676</v>
      </c>
      <c r="G9135" s="8">
        <v>20</v>
      </c>
      <c r="H9135" s="8" t="s">
        <v>21</v>
      </c>
      <c r="I9135" s="8" t="s">
        <v>72</v>
      </c>
      <c r="J9135" s="8" t="s">
        <v>72</v>
      </c>
      <c r="K9135" s="8" t="s">
        <v>1405</v>
      </c>
      <c r="L9135" s="8" t="s">
        <v>29334</v>
      </c>
      <c r="M9135" s="8" t="s">
        <v>29335</v>
      </c>
      <c r="N9135" s="8" t="s">
        <v>39677</v>
      </c>
      <c r="O9135" s="8">
        <f>18+49/60+50.5/3600</f>
        <v>18.830694444444443</v>
      </c>
      <c r="P9135" s="8" t="s">
        <v>39678</v>
      </c>
      <c r="Q9135" s="8">
        <f>+(40+12/60+33/3600)</f>
        <v>40.209166666666668</v>
      </c>
      <c r="R9135" s="8">
        <v>99</v>
      </c>
      <c r="S9135" s="8">
        <v>99</v>
      </c>
      <c r="T9135" s="8">
        <v>99</v>
      </c>
      <c r="U9135" s="8">
        <v>99</v>
      </c>
      <c r="Y9135" s="8" t="s">
        <v>39679</v>
      </c>
      <c r="Z9135" s="8" t="s">
        <v>39680</v>
      </c>
    </row>
    <row r="9136" spans="1:26" x14ac:dyDescent="0.2">
      <c r="A9136" s="8">
        <v>9135</v>
      </c>
      <c r="B9136" s="8" t="s">
        <v>39681</v>
      </c>
      <c r="C9136" s="8" t="s">
        <v>39681</v>
      </c>
      <c r="G9136" s="8">
        <v>13</v>
      </c>
      <c r="H9136" s="8" t="s">
        <v>21</v>
      </c>
      <c r="I9136" s="8" t="s">
        <v>241</v>
      </c>
      <c r="J9136" s="8" t="s">
        <v>241</v>
      </c>
      <c r="K9136" s="8" t="s">
        <v>241</v>
      </c>
      <c r="L9136" s="8" t="s">
        <v>29416</v>
      </c>
      <c r="M9136" s="8" t="s">
        <v>29417</v>
      </c>
      <c r="N9136" s="8" t="s">
        <v>39682</v>
      </c>
      <c r="O9136" s="8">
        <f>18+54/60+37.1/3600</f>
        <v>18.910305555555553</v>
      </c>
      <c r="P9136" s="8" t="s">
        <v>39683</v>
      </c>
      <c r="Q9136" s="8">
        <f>-(8+49/60+35/3600)</f>
        <v>-8.8263888888888893</v>
      </c>
      <c r="R9136" s="8">
        <v>12.5</v>
      </c>
      <c r="S9136" s="8">
        <v>15</v>
      </c>
      <c r="T9136" s="8">
        <v>99</v>
      </c>
      <c r="U9136" s="8">
        <v>99</v>
      </c>
      <c r="V9136" s="8">
        <v>1.5</v>
      </c>
      <c r="Y9136" s="8" t="s">
        <v>39684</v>
      </c>
      <c r="Z9136" s="8" t="s">
        <v>39685</v>
      </c>
    </row>
    <row r="9137" spans="1:26" x14ac:dyDescent="0.2">
      <c r="A9137" s="8">
        <v>9136</v>
      </c>
      <c r="B9137" s="8" t="s">
        <v>39686</v>
      </c>
      <c r="C9137" s="8" t="s">
        <v>39686</v>
      </c>
      <c r="G9137" s="8">
        <v>20</v>
      </c>
      <c r="H9137" s="8" t="s">
        <v>21</v>
      </c>
      <c r="I9137" s="8" t="s">
        <v>22</v>
      </c>
      <c r="J9137" s="8" t="s">
        <v>22</v>
      </c>
      <c r="K9137" s="8" t="s">
        <v>85</v>
      </c>
      <c r="L9137" s="8" t="s">
        <v>29334</v>
      </c>
      <c r="M9137" s="8" t="s">
        <v>29335</v>
      </c>
      <c r="N9137" s="8" t="s">
        <v>39687</v>
      </c>
      <c r="O9137" s="8">
        <f>18+53/60+18.8/3600</f>
        <v>18.888555555555556</v>
      </c>
      <c r="P9137" s="8" t="s">
        <v>2212</v>
      </c>
      <c r="Q9137" s="8">
        <f>+(33+3/60+59/3600)</f>
        <v>33.066388888888888</v>
      </c>
      <c r="R9137" s="8">
        <v>14</v>
      </c>
      <c r="S9137" s="8">
        <v>14.8</v>
      </c>
      <c r="T9137" s="8">
        <v>0.8</v>
      </c>
      <c r="U9137" s="8">
        <v>13.7</v>
      </c>
      <c r="V9137" s="8">
        <v>1.1000000000000001</v>
      </c>
      <c r="W9137" s="8">
        <v>0.8</v>
      </c>
      <c r="X9137" s="8">
        <v>80</v>
      </c>
      <c r="Y9137" s="8" t="s">
        <v>21</v>
      </c>
      <c r="Z9137" s="8" t="s">
        <v>39688</v>
      </c>
    </row>
    <row r="9138" spans="1:26" x14ac:dyDescent="0.2">
      <c r="A9138" s="8">
        <v>9137</v>
      </c>
      <c r="B9138" s="8" t="s">
        <v>39689</v>
      </c>
      <c r="C9138" s="8" t="s">
        <v>39689</v>
      </c>
      <c r="G9138" s="8">
        <v>13</v>
      </c>
      <c r="H9138" s="8" t="s">
        <v>21</v>
      </c>
      <c r="I9138" s="8" t="s">
        <v>241</v>
      </c>
      <c r="J9138" s="8" t="s">
        <v>241</v>
      </c>
      <c r="K9138" s="8" t="s">
        <v>241</v>
      </c>
      <c r="L9138" s="8" t="s">
        <v>29060</v>
      </c>
      <c r="M9138" s="8" t="s">
        <v>29061</v>
      </c>
      <c r="N9138" s="8" t="s">
        <v>39690</v>
      </c>
      <c r="O9138" s="8">
        <f>19+17/60+23.4/3600</f>
        <v>19.289833333333334</v>
      </c>
      <c r="P9138" s="8" t="s">
        <v>39691</v>
      </c>
      <c r="Q9138" s="8">
        <f>-(39+36/60+45/3600)</f>
        <v>-39.612500000000004</v>
      </c>
      <c r="R9138" s="8">
        <v>10.7</v>
      </c>
      <c r="S9138" s="8">
        <v>10.6</v>
      </c>
      <c r="T9138" s="8">
        <v>99</v>
      </c>
      <c r="U9138" s="8">
        <v>99</v>
      </c>
      <c r="V9138" s="8">
        <v>0.4</v>
      </c>
      <c r="Y9138" s="8" t="s">
        <v>21</v>
      </c>
      <c r="Z9138" s="8" t="s">
        <v>39573</v>
      </c>
    </row>
    <row r="9139" spans="1:26" x14ac:dyDescent="0.2">
      <c r="A9139" s="8">
        <v>9138</v>
      </c>
      <c r="B9139" s="8" t="s">
        <v>39692</v>
      </c>
      <c r="C9139" s="8" t="s">
        <v>39692</v>
      </c>
      <c r="G9139" s="8">
        <v>20</v>
      </c>
      <c r="H9139" s="8" t="s">
        <v>21</v>
      </c>
      <c r="I9139" s="8" t="s">
        <v>72</v>
      </c>
      <c r="J9139" s="8" t="s">
        <v>72</v>
      </c>
      <c r="K9139" s="8" t="s">
        <v>1405</v>
      </c>
      <c r="L9139" s="8" t="s">
        <v>29781</v>
      </c>
      <c r="M9139" s="8" t="s">
        <v>29782</v>
      </c>
      <c r="N9139" s="8" t="s">
        <v>39693</v>
      </c>
      <c r="O9139" s="8">
        <f>19+18/60+35.4/3600</f>
        <v>19.309833333333334</v>
      </c>
      <c r="P9139" s="8" t="s">
        <v>39694</v>
      </c>
      <c r="Q9139" s="8">
        <f>-(1+35/60+46/3600)</f>
        <v>-1.5961111111111113</v>
      </c>
      <c r="R9139" s="8">
        <v>99</v>
      </c>
      <c r="S9139" s="8">
        <v>99</v>
      </c>
      <c r="T9139" s="8">
        <v>99</v>
      </c>
      <c r="U9139" s="8">
        <v>99</v>
      </c>
      <c r="Y9139" s="8" t="s">
        <v>21</v>
      </c>
      <c r="Z9139" s="8" t="s">
        <v>39695</v>
      </c>
    </row>
    <row r="9140" spans="1:26" x14ac:dyDescent="0.2">
      <c r="A9140" s="8">
        <v>9139</v>
      </c>
      <c r="B9140" s="8" t="s">
        <v>39696</v>
      </c>
      <c r="C9140" s="8" t="s">
        <v>39696</v>
      </c>
      <c r="G9140" s="8">
        <v>20</v>
      </c>
      <c r="H9140" s="8" t="s">
        <v>21</v>
      </c>
      <c r="I9140" s="8" t="s">
        <v>557</v>
      </c>
      <c r="J9140" s="8" t="s">
        <v>557</v>
      </c>
      <c r="K9140" s="8" t="s">
        <v>557</v>
      </c>
      <c r="L9140" s="8" t="s">
        <v>30153</v>
      </c>
      <c r="M9140" s="8" t="s">
        <v>30154</v>
      </c>
      <c r="N9140" s="8" t="s">
        <v>39697</v>
      </c>
      <c r="O9140" s="8">
        <f>19+22/60+42/3600</f>
        <v>19.378333333333334</v>
      </c>
      <c r="P9140" s="8" t="s">
        <v>39698</v>
      </c>
      <c r="Q9140" s="8">
        <f>+(20+44/60+24/3600)</f>
        <v>20.740000000000002</v>
      </c>
      <c r="R9140" s="8">
        <v>99</v>
      </c>
      <c r="S9140" s="8">
        <v>14</v>
      </c>
      <c r="T9140" s="8">
        <v>99</v>
      </c>
      <c r="U9140" s="8">
        <v>99</v>
      </c>
      <c r="V9140" s="8">
        <v>2</v>
      </c>
      <c r="W9140" s="8">
        <v>1</v>
      </c>
      <c r="Y9140" s="8" t="s">
        <v>21</v>
      </c>
      <c r="Z9140" s="8" t="s">
        <v>39699</v>
      </c>
    </row>
    <row r="9141" spans="1:26" x14ac:dyDescent="0.2">
      <c r="A9141" s="8">
        <v>9140</v>
      </c>
      <c r="B9141" s="8" t="s">
        <v>39700</v>
      </c>
      <c r="C9141" s="8" t="s">
        <v>39700</v>
      </c>
      <c r="G9141" s="8">
        <v>20</v>
      </c>
      <c r="H9141" s="8" t="s">
        <v>21</v>
      </c>
      <c r="I9141" s="8" t="s">
        <v>22</v>
      </c>
      <c r="J9141" s="8" t="s">
        <v>57</v>
      </c>
      <c r="K9141" s="8" t="s">
        <v>37</v>
      </c>
      <c r="L9141" s="8" t="s">
        <v>30032</v>
      </c>
      <c r="M9141" s="8" t="s">
        <v>30033</v>
      </c>
      <c r="N9141" s="8" t="s">
        <v>30178</v>
      </c>
      <c r="O9141" s="8">
        <f>19+24/60+3.1/3600</f>
        <v>19.400861111111109</v>
      </c>
      <c r="P9141" s="8" t="s">
        <v>30179</v>
      </c>
      <c r="Q9141" s="8">
        <f>+(53+37/60+27/3600)</f>
        <v>53.624166666666667</v>
      </c>
      <c r="R9141" s="8">
        <v>13.2</v>
      </c>
      <c r="S9141" s="8">
        <v>14.2</v>
      </c>
      <c r="T9141" s="8">
        <v>1</v>
      </c>
      <c r="U9141" s="8">
        <v>13.5</v>
      </c>
      <c r="V9141" s="8">
        <v>1.6</v>
      </c>
      <c r="W9141" s="8">
        <v>0.9</v>
      </c>
      <c r="X9141" s="8">
        <v>141</v>
      </c>
      <c r="Y9141" s="8" t="s">
        <v>385</v>
      </c>
      <c r="Z9141" s="8" t="s">
        <v>386</v>
      </c>
    </row>
    <row r="9142" spans="1:26" x14ac:dyDescent="0.2">
      <c r="A9142" s="8">
        <v>9141</v>
      </c>
      <c r="B9142" s="8" t="s">
        <v>39701</v>
      </c>
      <c r="C9142" s="8" t="s">
        <v>39701</v>
      </c>
      <c r="G9142" s="8">
        <v>20</v>
      </c>
      <c r="H9142" s="8" t="s">
        <v>21</v>
      </c>
      <c r="I9142" s="8" t="s">
        <v>22</v>
      </c>
      <c r="J9142" s="8" t="s">
        <v>22</v>
      </c>
      <c r="K9142" s="8" t="s">
        <v>632</v>
      </c>
      <c r="L9142" s="8" t="s">
        <v>30032</v>
      </c>
      <c r="M9142" s="8" t="s">
        <v>30033</v>
      </c>
      <c r="N9142" s="8" t="s">
        <v>39702</v>
      </c>
      <c r="O9142" s="8">
        <f>19+26/60+31.9/3600</f>
        <v>19.442194444444446</v>
      </c>
      <c r="P9142" s="8" t="s">
        <v>39703</v>
      </c>
      <c r="Q9142" s="8">
        <f>+(50+7/60+33/3600)</f>
        <v>50.125833333333333</v>
      </c>
      <c r="R9142" s="8">
        <v>13.3</v>
      </c>
      <c r="S9142" s="8">
        <v>14.2</v>
      </c>
      <c r="T9142" s="8">
        <v>0.9</v>
      </c>
      <c r="U9142" s="8">
        <v>13</v>
      </c>
      <c r="V9142" s="8">
        <v>1.2</v>
      </c>
      <c r="W9142" s="8">
        <v>0.7</v>
      </c>
      <c r="X9142" s="8">
        <v>17</v>
      </c>
      <c r="Y9142" s="8" t="s">
        <v>39704</v>
      </c>
      <c r="Z9142" s="8" t="s">
        <v>39705</v>
      </c>
    </row>
    <row r="9143" spans="1:26" x14ac:dyDescent="0.2">
      <c r="A9143" s="8">
        <v>9142</v>
      </c>
      <c r="B9143" s="8" t="s">
        <v>39706</v>
      </c>
      <c r="C9143" s="8" t="s">
        <v>39706</v>
      </c>
      <c r="G9143" s="8">
        <v>20</v>
      </c>
      <c r="H9143" s="8" t="s">
        <v>21</v>
      </c>
      <c r="I9143" s="8" t="s">
        <v>22</v>
      </c>
      <c r="J9143" s="8" t="s">
        <v>22</v>
      </c>
      <c r="K9143" s="8" t="s">
        <v>64</v>
      </c>
      <c r="L9143" s="8" t="s">
        <v>30032</v>
      </c>
      <c r="M9143" s="8" t="s">
        <v>30033</v>
      </c>
      <c r="N9143" s="8" t="s">
        <v>39707</v>
      </c>
      <c r="O9143" s="8">
        <f>19+30/60+52.8/3600</f>
        <v>19.514666666666667</v>
      </c>
      <c r="P9143" s="8" t="s">
        <v>39708</v>
      </c>
      <c r="Q9143" s="8">
        <f>+(35+47/60+6/3600)</f>
        <v>35.784999999999997</v>
      </c>
      <c r="R9143" s="8">
        <v>13.4</v>
      </c>
      <c r="S9143" s="8">
        <v>14.1</v>
      </c>
      <c r="T9143" s="8">
        <v>0.7</v>
      </c>
      <c r="U9143" s="8">
        <v>12.2</v>
      </c>
      <c r="V9143" s="8">
        <v>0.9</v>
      </c>
      <c r="W9143" s="8">
        <v>0.4</v>
      </c>
      <c r="X9143" s="8">
        <v>45</v>
      </c>
      <c r="Y9143" s="8" t="s">
        <v>21</v>
      </c>
      <c r="Z9143" s="8" t="s">
        <v>39709</v>
      </c>
    </row>
    <row r="9144" spans="1:26" x14ac:dyDescent="0.2">
      <c r="A9144" s="8">
        <v>9143</v>
      </c>
      <c r="B9144" s="8" t="s">
        <v>39710</v>
      </c>
      <c r="C9144" s="8" t="s">
        <v>39710</v>
      </c>
      <c r="G9144" s="8">
        <v>20</v>
      </c>
      <c r="H9144" s="8" t="s">
        <v>21</v>
      </c>
      <c r="I9144" s="8" t="s">
        <v>22</v>
      </c>
      <c r="J9144" s="8" t="s">
        <v>22</v>
      </c>
      <c r="K9144" s="8" t="s">
        <v>160</v>
      </c>
      <c r="L9144" s="8" t="s">
        <v>30032</v>
      </c>
      <c r="M9144" s="8" t="s">
        <v>30033</v>
      </c>
      <c r="N9144" s="8" t="s">
        <v>39711</v>
      </c>
      <c r="O9144" s="8">
        <f>19+31/60+30.2/3600</f>
        <v>19.525055555555554</v>
      </c>
      <c r="P9144" s="8" t="s">
        <v>39712</v>
      </c>
      <c r="Q9144" s="8">
        <f>+(35+52/60+33/3600)</f>
        <v>35.875833333333333</v>
      </c>
      <c r="R9144" s="8">
        <v>14.3</v>
      </c>
      <c r="S9144" s="8">
        <v>15</v>
      </c>
      <c r="T9144" s="8">
        <v>0.7</v>
      </c>
      <c r="U9144" s="8">
        <v>13.7</v>
      </c>
      <c r="V9144" s="8">
        <v>1.3</v>
      </c>
      <c r="W9144" s="8">
        <v>0.8</v>
      </c>
      <c r="X9144" s="8">
        <v>106</v>
      </c>
      <c r="Y9144" s="8" t="s">
        <v>21</v>
      </c>
      <c r="Z9144" s="8" t="s">
        <v>39713</v>
      </c>
    </row>
    <row r="9145" spans="1:26" x14ac:dyDescent="0.2">
      <c r="A9145" s="8">
        <v>9144</v>
      </c>
      <c r="B9145" s="8" t="s">
        <v>39714</v>
      </c>
      <c r="C9145" s="8" t="s">
        <v>39714</v>
      </c>
      <c r="G9145" s="8">
        <v>20</v>
      </c>
      <c r="H9145" s="8" t="s">
        <v>21</v>
      </c>
      <c r="I9145" s="8" t="s">
        <v>72</v>
      </c>
      <c r="J9145" s="8" t="s">
        <v>72</v>
      </c>
      <c r="K9145" s="8" t="s">
        <v>1405</v>
      </c>
      <c r="L9145" s="8" t="s">
        <v>30032</v>
      </c>
      <c r="M9145" s="8" t="s">
        <v>30033</v>
      </c>
      <c r="N9145" s="8" t="s">
        <v>39715</v>
      </c>
      <c r="O9145" s="8">
        <f>19+35/60+36/3600</f>
        <v>19.593333333333334</v>
      </c>
      <c r="P9145" s="8" t="s">
        <v>39716</v>
      </c>
      <c r="Q9145" s="8">
        <f>+(41+6/60+36/3600)</f>
        <v>41.11</v>
      </c>
      <c r="R9145" s="8">
        <v>99</v>
      </c>
      <c r="S9145" s="8">
        <v>99</v>
      </c>
      <c r="T9145" s="8">
        <v>99</v>
      </c>
      <c r="U9145" s="8">
        <v>99</v>
      </c>
      <c r="Y9145" s="8" t="s">
        <v>21</v>
      </c>
      <c r="Z9145" s="8" t="s">
        <v>39717</v>
      </c>
    </row>
    <row r="9146" spans="1:26" x14ac:dyDescent="0.2">
      <c r="A9146" s="8">
        <v>9145</v>
      </c>
      <c r="B9146" s="8" t="s">
        <v>39718</v>
      </c>
      <c r="C9146" s="8" t="s">
        <v>39718</v>
      </c>
      <c r="G9146" s="8">
        <v>20</v>
      </c>
      <c r="H9146" s="8" t="s">
        <v>21</v>
      </c>
      <c r="I9146" s="8" t="s">
        <v>72</v>
      </c>
      <c r="J9146" s="8" t="s">
        <v>72</v>
      </c>
      <c r="K9146" s="8" t="s">
        <v>1405</v>
      </c>
      <c r="L9146" s="8" t="s">
        <v>30153</v>
      </c>
      <c r="M9146" s="8" t="s">
        <v>30154</v>
      </c>
      <c r="N9146" s="8" t="s">
        <v>39719</v>
      </c>
      <c r="O9146" s="8">
        <f>19+39/60+18/3600</f>
        <v>19.654999999999998</v>
      </c>
      <c r="P9146" s="8" t="s">
        <v>39720</v>
      </c>
      <c r="Q9146" s="8">
        <f>+(20+11/60+40/3600)</f>
        <v>20.194444444444446</v>
      </c>
      <c r="R9146" s="8">
        <v>99</v>
      </c>
      <c r="S9146" s="8">
        <v>99</v>
      </c>
      <c r="T9146" s="8">
        <v>99</v>
      </c>
      <c r="U9146" s="8">
        <v>99</v>
      </c>
      <c r="Y9146" s="8" t="s">
        <v>21</v>
      </c>
      <c r="Z9146" s="8" t="s">
        <v>39721</v>
      </c>
    </row>
    <row r="9147" spans="1:26" x14ac:dyDescent="0.2">
      <c r="A9147" s="8">
        <v>9146</v>
      </c>
      <c r="B9147" s="8" t="s">
        <v>39722</v>
      </c>
      <c r="C9147" s="8" t="s">
        <v>39722</v>
      </c>
      <c r="G9147" s="8">
        <v>20</v>
      </c>
      <c r="H9147" s="8" t="s">
        <v>21</v>
      </c>
      <c r="I9147" s="8" t="s">
        <v>72</v>
      </c>
      <c r="J9147" s="8" t="s">
        <v>72</v>
      </c>
      <c r="K9147" s="8" t="s">
        <v>1405</v>
      </c>
      <c r="L9147" s="8" t="s">
        <v>30032</v>
      </c>
      <c r="M9147" s="8" t="s">
        <v>30033</v>
      </c>
      <c r="N9147" s="8" t="s">
        <v>39723</v>
      </c>
      <c r="O9147" s="8">
        <f>19+41/60+42/3600</f>
        <v>19.695</v>
      </c>
      <c r="P9147" s="8" t="s">
        <v>39724</v>
      </c>
      <c r="Q9147" s="8">
        <f>+(37+41/60+30/3600)</f>
        <v>37.691666666666663</v>
      </c>
      <c r="R9147" s="8">
        <v>99</v>
      </c>
      <c r="S9147" s="8">
        <v>99</v>
      </c>
      <c r="T9147" s="8">
        <v>99</v>
      </c>
      <c r="U9147" s="8">
        <v>99</v>
      </c>
      <c r="Y9147" s="8" t="s">
        <v>21</v>
      </c>
      <c r="Z9147" s="8" t="s">
        <v>39725</v>
      </c>
    </row>
    <row r="9148" spans="1:26" x14ac:dyDescent="0.2">
      <c r="A9148" s="8">
        <v>9147</v>
      </c>
      <c r="B9148" s="8" t="s">
        <v>39726</v>
      </c>
      <c r="C9148" s="8" t="s">
        <v>39726</v>
      </c>
      <c r="G9148" s="8">
        <v>20</v>
      </c>
      <c r="H9148" s="8" t="s">
        <v>21</v>
      </c>
      <c r="I9148" s="8" t="s">
        <v>72</v>
      </c>
      <c r="J9148" s="8" t="s">
        <v>72</v>
      </c>
      <c r="K9148" s="8" t="s">
        <v>1405</v>
      </c>
      <c r="L9148" s="8" t="s">
        <v>30153</v>
      </c>
      <c r="M9148" s="8" t="s">
        <v>30154</v>
      </c>
      <c r="N9148" s="8" t="s">
        <v>39727</v>
      </c>
      <c r="O9148" s="8">
        <f>19+42/60+29/3600</f>
        <v>19.708055555555553</v>
      </c>
      <c r="P9148" s="8" t="s">
        <v>39728</v>
      </c>
      <c r="Q9148" s="8">
        <f>+(27+45/60+6/3600)</f>
        <v>27.751666666666665</v>
      </c>
      <c r="R9148" s="8">
        <v>99</v>
      </c>
      <c r="S9148" s="8">
        <v>99</v>
      </c>
      <c r="T9148" s="8">
        <v>99</v>
      </c>
      <c r="U9148" s="8">
        <v>99</v>
      </c>
      <c r="Y9148" s="8" t="s">
        <v>39729</v>
      </c>
      <c r="Z9148" s="8" t="s">
        <v>39730</v>
      </c>
    </row>
    <row r="9149" spans="1:26" x14ac:dyDescent="0.2">
      <c r="A9149" s="8">
        <v>9148</v>
      </c>
      <c r="B9149" s="8" t="s">
        <v>39731</v>
      </c>
      <c r="C9149" s="8" t="s">
        <v>39731</v>
      </c>
      <c r="G9149" s="8">
        <v>20</v>
      </c>
      <c r="H9149" s="8" t="s">
        <v>21</v>
      </c>
      <c r="I9149" s="8" t="s">
        <v>1075</v>
      </c>
      <c r="J9149" s="8" t="s">
        <v>1075</v>
      </c>
      <c r="K9149" s="8" t="s">
        <v>1075</v>
      </c>
      <c r="L9149" s="8" t="s">
        <v>28576</v>
      </c>
      <c r="M9149" s="8" t="s">
        <v>28577</v>
      </c>
      <c r="N9149" s="8" t="s">
        <v>39732</v>
      </c>
      <c r="O9149" s="8">
        <f>19+45/60+5.2/3600</f>
        <v>19.751444444444445</v>
      </c>
      <c r="P9149" s="8" t="s">
        <v>39733</v>
      </c>
      <c r="Q9149" s="8">
        <f>-(14+43/60+17/3600)</f>
        <v>-14.721388888888889</v>
      </c>
      <c r="R9149" s="8">
        <v>14</v>
      </c>
      <c r="S9149" s="8">
        <v>99</v>
      </c>
      <c r="T9149" s="8">
        <v>99</v>
      </c>
      <c r="U9149" s="8">
        <v>99</v>
      </c>
      <c r="V9149" s="8">
        <v>0.6</v>
      </c>
      <c r="Y9149" s="8" t="s">
        <v>21</v>
      </c>
      <c r="Z9149" s="8" t="s">
        <v>39734</v>
      </c>
    </row>
    <row r="9150" spans="1:26" x14ac:dyDescent="0.2">
      <c r="A9150" s="8">
        <v>9149</v>
      </c>
      <c r="B9150" s="8" t="s">
        <v>39735</v>
      </c>
      <c r="C9150" s="8" t="s">
        <v>39735</v>
      </c>
      <c r="G9150" s="8">
        <v>20</v>
      </c>
      <c r="H9150" s="8" t="s">
        <v>21</v>
      </c>
      <c r="I9150" s="8" t="s">
        <v>22</v>
      </c>
      <c r="J9150" s="8" t="s">
        <v>22</v>
      </c>
      <c r="K9150" s="8" t="s">
        <v>85</v>
      </c>
      <c r="L9150" s="8" t="s">
        <v>28576</v>
      </c>
      <c r="M9150" s="8" t="s">
        <v>28577</v>
      </c>
      <c r="N9150" s="8" t="s">
        <v>39736</v>
      </c>
      <c r="O9150" s="8">
        <f>20+3/60+1.4/3600</f>
        <v>20.050388888888889</v>
      </c>
      <c r="P9150" s="8" t="s">
        <v>39737</v>
      </c>
      <c r="Q9150" s="8">
        <f>-(17+13/60+57/3600)</f>
        <v>-17.232499999999998</v>
      </c>
      <c r="R9150" s="8">
        <v>14.2</v>
      </c>
      <c r="S9150" s="8">
        <v>15</v>
      </c>
      <c r="T9150" s="8">
        <v>0.8</v>
      </c>
      <c r="U9150" s="8">
        <v>13.5</v>
      </c>
      <c r="V9150" s="8">
        <v>0.9</v>
      </c>
      <c r="W9150" s="8">
        <v>0.7</v>
      </c>
      <c r="X9150" s="8">
        <v>35</v>
      </c>
      <c r="Y9150" s="8" t="s">
        <v>34876</v>
      </c>
      <c r="Z9150" s="8" t="s">
        <v>34877</v>
      </c>
    </row>
    <row r="9151" spans="1:26" x14ac:dyDescent="0.2">
      <c r="A9151" s="8">
        <v>9150</v>
      </c>
      <c r="B9151" s="8" t="s">
        <v>39738</v>
      </c>
      <c r="C9151" s="8" t="s">
        <v>39738</v>
      </c>
      <c r="G9151" s="8">
        <v>9</v>
      </c>
      <c r="H9151" s="8" t="s">
        <v>21</v>
      </c>
      <c r="I9151" s="8" t="s">
        <v>557</v>
      </c>
      <c r="J9151" s="8" t="s">
        <v>557</v>
      </c>
      <c r="K9151" s="8" t="s">
        <v>3602</v>
      </c>
      <c r="L9151" s="8" t="s">
        <v>30032</v>
      </c>
      <c r="M9151" s="8" t="s">
        <v>30033</v>
      </c>
      <c r="N9151" s="8" t="s">
        <v>39739</v>
      </c>
      <c r="O9151" s="8">
        <f>20+10/60+1/3600</f>
        <v>20.166944444444447</v>
      </c>
      <c r="P9151" s="8" t="s">
        <v>39740</v>
      </c>
      <c r="Q9151" s="8">
        <f>+(34+58/60+6/3600)</f>
        <v>34.968333333333334</v>
      </c>
      <c r="R9151" s="8">
        <v>99</v>
      </c>
      <c r="S9151" s="8">
        <v>99</v>
      </c>
      <c r="T9151" s="8">
        <v>99</v>
      </c>
      <c r="U9151" s="8">
        <v>99</v>
      </c>
      <c r="V9151" s="8">
        <v>3</v>
      </c>
      <c r="Y9151" s="8" t="s">
        <v>21</v>
      </c>
      <c r="Z9151" s="8" t="s">
        <v>39717</v>
      </c>
    </row>
    <row r="9152" spans="1:26" x14ac:dyDescent="0.2">
      <c r="A9152" s="8">
        <v>9151</v>
      </c>
      <c r="B9152" s="8" t="s">
        <v>39741</v>
      </c>
      <c r="C9152" s="8" t="s">
        <v>39741</v>
      </c>
      <c r="G9152" s="8">
        <v>13</v>
      </c>
      <c r="H9152" s="8" t="s">
        <v>21</v>
      </c>
      <c r="I9152" s="8" t="s">
        <v>557</v>
      </c>
      <c r="J9152" s="8" t="s">
        <v>557</v>
      </c>
      <c r="K9152" s="8" t="s">
        <v>39742</v>
      </c>
      <c r="L9152" s="8" t="s">
        <v>30032</v>
      </c>
      <c r="M9152" s="8" t="s">
        <v>30033</v>
      </c>
      <c r="N9152" s="8" t="s">
        <v>39743</v>
      </c>
      <c r="O9152" s="8">
        <f>20+10/60+48/3600</f>
        <v>20.18</v>
      </c>
      <c r="P9152" s="8" t="s">
        <v>39744</v>
      </c>
      <c r="Q9152" s="8">
        <f>+(41+10/60+24/3600)</f>
        <v>41.173333333333332</v>
      </c>
      <c r="R9152" s="8">
        <v>13.1</v>
      </c>
      <c r="S9152" s="8">
        <v>99</v>
      </c>
      <c r="T9152" s="8">
        <v>99</v>
      </c>
      <c r="U9152" s="8">
        <v>99</v>
      </c>
      <c r="V9152" s="8">
        <v>5</v>
      </c>
      <c r="Y9152" s="8" t="s">
        <v>21</v>
      </c>
      <c r="Z9152" s="8" t="s">
        <v>39745</v>
      </c>
    </row>
    <row r="9153" spans="1:26" x14ac:dyDescent="0.2">
      <c r="A9153" s="8">
        <v>9152</v>
      </c>
      <c r="B9153" s="8" t="s">
        <v>39746</v>
      </c>
      <c r="C9153" s="8" t="s">
        <v>39746</v>
      </c>
      <c r="G9153" s="8">
        <v>20</v>
      </c>
      <c r="H9153" s="8" t="s">
        <v>21</v>
      </c>
      <c r="I9153" s="8" t="s">
        <v>72</v>
      </c>
      <c r="J9153" s="8" t="s">
        <v>72</v>
      </c>
      <c r="K9153" s="8" t="s">
        <v>1405</v>
      </c>
      <c r="L9153" s="8" t="s">
        <v>30367</v>
      </c>
      <c r="M9153" s="8" t="s">
        <v>30368</v>
      </c>
      <c r="N9153" s="8" t="s">
        <v>39747</v>
      </c>
      <c r="O9153" s="8">
        <f>20+16/60+51.5/3600</f>
        <v>20.280972222222221</v>
      </c>
      <c r="P9153" s="8" t="s">
        <v>39748</v>
      </c>
      <c r="Q9153" s="8">
        <f>+(18+2/60+45/3600)</f>
        <v>18.045833333333334</v>
      </c>
      <c r="R9153" s="8">
        <v>99</v>
      </c>
      <c r="S9153" s="8">
        <v>99</v>
      </c>
      <c r="T9153" s="8">
        <v>99</v>
      </c>
      <c r="U9153" s="8">
        <v>99</v>
      </c>
      <c r="Y9153" s="8" t="s">
        <v>3014</v>
      </c>
      <c r="Z9153" s="8" t="s">
        <v>3015</v>
      </c>
    </row>
    <row r="9154" spans="1:26" x14ac:dyDescent="0.2">
      <c r="A9154" s="8">
        <v>9153</v>
      </c>
      <c r="B9154" s="8" t="s">
        <v>39749</v>
      </c>
      <c r="C9154" s="8" t="s">
        <v>39749</v>
      </c>
      <c r="G9154" s="8">
        <v>20</v>
      </c>
      <c r="H9154" s="8" t="s">
        <v>21</v>
      </c>
      <c r="I9154" s="8" t="s">
        <v>22</v>
      </c>
      <c r="J9154" s="8" t="s">
        <v>22</v>
      </c>
      <c r="K9154" s="8" t="s">
        <v>406</v>
      </c>
      <c r="L9154" s="8" t="s">
        <v>30635</v>
      </c>
      <c r="M9154" s="8" t="s">
        <v>30636</v>
      </c>
      <c r="N9154" s="8" t="s">
        <v>39750</v>
      </c>
      <c r="O9154" s="8">
        <f>20+18/60+43.6/3600</f>
        <v>20.312111111111111</v>
      </c>
      <c r="P9154" s="8" t="s">
        <v>39751</v>
      </c>
      <c r="Q9154" s="8">
        <f>-(16+56/60+46/3600)</f>
        <v>-16.946111111111112</v>
      </c>
      <c r="R9154" s="8">
        <v>14.1</v>
      </c>
      <c r="S9154" s="8">
        <v>14.9</v>
      </c>
      <c r="T9154" s="8">
        <v>0.8</v>
      </c>
      <c r="U9154" s="8">
        <v>15.5</v>
      </c>
      <c r="V9154" s="8">
        <v>2.1</v>
      </c>
      <c r="W9154" s="8">
        <v>1.9</v>
      </c>
      <c r="X9154" s="8">
        <v>29</v>
      </c>
      <c r="Y9154" s="8" t="s">
        <v>39752</v>
      </c>
      <c r="Z9154" s="8" t="s">
        <v>39753</v>
      </c>
    </row>
    <row r="9155" spans="1:26" x14ac:dyDescent="0.2">
      <c r="A9155" s="8">
        <v>9154</v>
      </c>
      <c r="B9155" s="8" t="s">
        <v>39754</v>
      </c>
      <c r="C9155" s="8" t="s">
        <v>39754</v>
      </c>
      <c r="G9155" s="8">
        <v>20</v>
      </c>
      <c r="H9155" s="8" t="s">
        <v>21</v>
      </c>
      <c r="I9155" s="8" t="s">
        <v>72</v>
      </c>
      <c r="J9155" s="8" t="s">
        <v>72</v>
      </c>
      <c r="K9155" s="8" t="s">
        <v>1405</v>
      </c>
      <c r="L9155" s="8" t="s">
        <v>30153</v>
      </c>
      <c r="M9155" s="8" t="s">
        <v>30154</v>
      </c>
      <c r="N9155" s="8" t="s">
        <v>39755</v>
      </c>
      <c r="O9155" s="8">
        <f>20+17/60+47/3600</f>
        <v>20.296388888888892</v>
      </c>
      <c r="P9155" s="8" t="s">
        <v>39756</v>
      </c>
      <c r="Q9155" s="8">
        <f>+(25+5/60+48/3600)</f>
        <v>25.096666666666664</v>
      </c>
      <c r="R9155" s="8">
        <v>99</v>
      </c>
      <c r="S9155" s="8">
        <v>99</v>
      </c>
      <c r="T9155" s="8">
        <v>99</v>
      </c>
      <c r="U9155" s="8">
        <v>99</v>
      </c>
      <c r="V9155" s="8">
        <v>25</v>
      </c>
      <c r="Y9155" s="8" t="s">
        <v>21</v>
      </c>
      <c r="Z9155" s="8" t="s">
        <v>39757</v>
      </c>
    </row>
    <row r="9156" spans="1:26" x14ac:dyDescent="0.2">
      <c r="A9156" s="8">
        <v>9155</v>
      </c>
      <c r="B9156" s="8" t="s">
        <v>39758</v>
      </c>
      <c r="C9156" s="8" t="s">
        <v>39758</v>
      </c>
      <c r="G9156" s="8">
        <v>20</v>
      </c>
      <c r="H9156" s="8" t="s">
        <v>21</v>
      </c>
      <c r="I9156" s="8" t="s">
        <v>72</v>
      </c>
      <c r="J9156" s="8" t="s">
        <v>72</v>
      </c>
      <c r="K9156" s="8" t="s">
        <v>1405</v>
      </c>
      <c r="L9156" s="8" t="s">
        <v>30032</v>
      </c>
      <c r="M9156" s="8" t="s">
        <v>30033</v>
      </c>
      <c r="N9156" s="8" t="s">
        <v>39759</v>
      </c>
      <c r="O9156" s="8">
        <f>20+17/60+21.7/3600</f>
        <v>20.289361111111113</v>
      </c>
      <c r="P9156" s="8" t="s">
        <v>39760</v>
      </c>
      <c r="Q9156" s="8">
        <f>+(30+41/60+17/3600)</f>
        <v>30.688055555555557</v>
      </c>
      <c r="R9156" s="8">
        <v>99</v>
      </c>
      <c r="S9156" s="8">
        <v>99</v>
      </c>
      <c r="T9156" s="8">
        <v>99</v>
      </c>
      <c r="U9156" s="8">
        <v>99</v>
      </c>
      <c r="Y9156" s="8" t="s">
        <v>21</v>
      </c>
      <c r="Z9156" s="8" t="s">
        <v>39761</v>
      </c>
    </row>
    <row r="9157" spans="1:26" x14ac:dyDescent="0.2">
      <c r="A9157" s="8">
        <v>9156</v>
      </c>
      <c r="B9157" s="8" t="s">
        <v>39762</v>
      </c>
      <c r="C9157" s="8" t="s">
        <v>39762</v>
      </c>
      <c r="G9157" s="8">
        <v>20</v>
      </c>
      <c r="H9157" s="8" t="s">
        <v>21</v>
      </c>
      <c r="I9157" s="8" t="s">
        <v>329</v>
      </c>
      <c r="J9157" s="8" t="s">
        <v>329</v>
      </c>
      <c r="K9157" s="8" t="s">
        <v>329</v>
      </c>
      <c r="L9157" s="8" t="s">
        <v>29781</v>
      </c>
      <c r="M9157" s="8" t="s">
        <v>29782</v>
      </c>
      <c r="N9157" s="8" t="s">
        <v>39763</v>
      </c>
      <c r="O9157" s="8">
        <f>20+22/60+25.8/3600</f>
        <v>20.373833333333334</v>
      </c>
      <c r="P9157" s="8" t="s">
        <v>39764</v>
      </c>
      <c r="Q9157" s="8">
        <f>+(6+30/60+6/3600)</f>
        <v>6.5016666666666669</v>
      </c>
      <c r="R9157" s="8">
        <v>99</v>
      </c>
      <c r="S9157" s="8">
        <v>99</v>
      </c>
      <c r="T9157" s="8">
        <v>99</v>
      </c>
      <c r="U9157" s="8">
        <v>99</v>
      </c>
      <c r="Y9157" s="8" t="s">
        <v>39765</v>
      </c>
      <c r="Z9157" s="8" t="s">
        <v>39766</v>
      </c>
    </row>
    <row r="9158" spans="1:26" x14ac:dyDescent="0.2">
      <c r="A9158" s="8">
        <v>9157</v>
      </c>
      <c r="B9158" s="8" t="s">
        <v>39767</v>
      </c>
      <c r="C9158" s="8" t="s">
        <v>39767</v>
      </c>
      <c r="G9158" s="8">
        <v>20</v>
      </c>
      <c r="H9158" s="8" t="s">
        <v>21</v>
      </c>
      <c r="I9158" s="8" t="s">
        <v>22</v>
      </c>
      <c r="J9158" s="8" t="s">
        <v>22</v>
      </c>
      <c r="K9158" s="8" t="s">
        <v>183</v>
      </c>
      <c r="L9158" s="8" t="s">
        <v>29781</v>
      </c>
      <c r="M9158" s="8" t="s">
        <v>29782</v>
      </c>
      <c r="N9158" s="8" t="s">
        <v>39768</v>
      </c>
      <c r="O9158" s="8">
        <f>20+23/60+15.5/3600</f>
        <v>20.387638888888887</v>
      </c>
      <c r="P9158" s="8" t="s">
        <v>39769</v>
      </c>
      <c r="Q9158" s="8">
        <f>+(0+39/60+53/3600)</f>
        <v>0.66472222222222221</v>
      </c>
      <c r="R9158" s="8">
        <v>13.8</v>
      </c>
      <c r="S9158" s="8">
        <v>14.6</v>
      </c>
      <c r="T9158" s="8">
        <v>0.8</v>
      </c>
      <c r="U9158" s="8">
        <v>12.9</v>
      </c>
      <c r="V9158" s="8">
        <v>0.7</v>
      </c>
      <c r="W9158" s="8">
        <v>0.6</v>
      </c>
      <c r="X9158" s="8">
        <v>80</v>
      </c>
      <c r="Y9158" s="8" t="s">
        <v>21</v>
      </c>
      <c r="Z9158" s="8" t="s">
        <v>39770</v>
      </c>
    </row>
    <row r="9159" spans="1:26" x14ac:dyDescent="0.2">
      <c r="A9159" s="8">
        <v>9158</v>
      </c>
      <c r="B9159" s="8" t="s">
        <v>39771</v>
      </c>
      <c r="C9159" s="8" t="s">
        <v>39771</v>
      </c>
      <c r="G9159" s="8">
        <v>12</v>
      </c>
      <c r="H9159" s="8" t="s">
        <v>39772</v>
      </c>
      <c r="I9159" s="8" t="s">
        <v>1283</v>
      </c>
      <c r="J9159" s="8" t="s">
        <v>1283</v>
      </c>
      <c r="K9159" s="8" t="s">
        <v>1284</v>
      </c>
      <c r="L9159" s="8" t="s">
        <v>30032</v>
      </c>
      <c r="M9159" s="8" t="s">
        <v>30033</v>
      </c>
      <c r="N9159" s="8" t="s">
        <v>39773</v>
      </c>
      <c r="O9159" s="8">
        <f>20+22/60+14/3600</f>
        <v>20.370555555555555</v>
      </c>
      <c r="P9159" s="8" t="s">
        <v>39774</v>
      </c>
      <c r="Q9159" s="8">
        <f>+(40+15/60+24/3600)</f>
        <v>40.256666666666668</v>
      </c>
      <c r="R9159" s="8">
        <v>99</v>
      </c>
      <c r="S9159" s="8">
        <v>99</v>
      </c>
      <c r="T9159" s="8">
        <v>99</v>
      </c>
      <c r="U9159" s="8">
        <v>99</v>
      </c>
      <c r="V9159" s="8">
        <v>50</v>
      </c>
      <c r="W9159" s="8">
        <v>30</v>
      </c>
      <c r="Y9159" s="8" t="s">
        <v>21</v>
      </c>
      <c r="Z9159" s="8" t="s">
        <v>39775</v>
      </c>
    </row>
    <row r="9160" spans="1:26" x14ac:dyDescent="0.2">
      <c r="A9160" s="8">
        <v>9159</v>
      </c>
      <c r="B9160" s="8" t="s">
        <v>39776</v>
      </c>
      <c r="C9160" s="8" t="s">
        <v>39776</v>
      </c>
      <c r="G9160" s="8">
        <v>20</v>
      </c>
      <c r="H9160" s="8" t="s">
        <v>21</v>
      </c>
      <c r="I9160" s="8" t="s">
        <v>22</v>
      </c>
      <c r="J9160" s="8" t="s">
        <v>22</v>
      </c>
      <c r="K9160" s="8" t="s">
        <v>396</v>
      </c>
      <c r="L9160" s="8" t="s">
        <v>30635</v>
      </c>
      <c r="M9160" s="8" t="s">
        <v>30636</v>
      </c>
      <c r="N9160" s="8" t="s">
        <v>39777</v>
      </c>
      <c r="O9160" s="8">
        <f>20+26/60+1.2/3600</f>
        <v>20.433666666666667</v>
      </c>
      <c r="P9160" s="8" t="s">
        <v>39778</v>
      </c>
      <c r="Q9160" s="8">
        <f>-(18+30/60+15/3600)</f>
        <v>-18.504166666666666</v>
      </c>
      <c r="R9160" s="8">
        <v>13.8</v>
      </c>
      <c r="S9160" s="8">
        <v>14.6</v>
      </c>
      <c r="T9160" s="8">
        <v>0.8</v>
      </c>
      <c r="U9160" s="8">
        <v>12.7</v>
      </c>
      <c r="V9160" s="8">
        <v>0.8</v>
      </c>
      <c r="W9160" s="8">
        <v>0.5</v>
      </c>
      <c r="X9160" s="8">
        <v>12</v>
      </c>
      <c r="Y9160" s="8" t="s">
        <v>39779</v>
      </c>
      <c r="Z9160" s="8" t="s">
        <v>39780</v>
      </c>
    </row>
    <row r="9161" spans="1:26" x14ac:dyDescent="0.2">
      <c r="A9161" s="8">
        <v>9160</v>
      </c>
      <c r="B9161" s="8" t="s">
        <v>39781</v>
      </c>
      <c r="C9161" s="8" t="s">
        <v>39781</v>
      </c>
      <c r="G9161" s="8">
        <v>20</v>
      </c>
      <c r="H9161" s="8" t="s">
        <v>21</v>
      </c>
      <c r="I9161" s="8" t="s">
        <v>22</v>
      </c>
      <c r="J9161" s="8" t="s">
        <v>22</v>
      </c>
      <c r="K9161" s="8" t="s">
        <v>23</v>
      </c>
      <c r="L9161" s="8" t="s">
        <v>30604</v>
      </c>
      <c r="M9161" s="8" t="s">
        <v>30605</v>
      </c>
      <c r="N9161" s="8" t="s">
        <v>39782</v>
      </c>
      <c r="O9161" s="8">
        <f>20+26/60+25.7/3600</f>
        <v>20.440472222222223</v>
      </c>
      <c r="P9161" s="8" t="s">
        <v>39783</v>
      </c>
      <c r="Q9161" s="8">
        <f>+(2+54/60+34/3600)</f>
        <v>2.9094444444444445</v>
      </c>
      <c r="R9161" s="8">
        <v>13.6</v>
      </c>
      <c r="S9161" s="8">
        <v>14.4</v>
      </c>
      <c r="T9161" s="8">
        <v>0.8</v>
      </c>
      <c r="U9161" s="8">
        <v>12.9</v>
      </c>
      <c r="V9161" s="8">
        <v>1</v>
      </c>
      <c r="W9161" s="8">
        <v>0.6</v>
      </c>
      <c r="X9161" s="8">
        <v>87</v>
      </c>
      <c r="Y9161" s="8" t="s">
        <v>17260</v>
      </c>
      <c r="Z9161" s="8" t="s">
        <v>17261</v>
      </c>
    </row>
    <row r="9162" spans="1:26" x14ac:dyDescent="0.2">
      <c r="A9162" s="8">
        <v>9161</v>
      </c>
      <c r="B9162" s="8" t="s">
        <v>39784</v>
      </c>
      <c r="C9162" s="8" t="s">
        <v>39784</v>
      </c>
      <c r="G9162" s="8">
        <v>20</v>
      </c>
      <c r="H9162" s="8" t="s">
        <v>21</v>
      </c>
      <c r="I9162" s="8" t="s">
        <v>22</v>
      </c>
      <c r="J9162" s="8" t="s">
        <v>22</v>
      </c>
      <c r="K9162" s="8" t="s">
        <v>396</v>
      </c>
      <c r="L9162" s="8" t="s">
        <v>30635</v>
      </c>
      <c r="M9162" s="8" t="s">
        <v>30636</v>
      </c>
      <c r="N9162" s="8" t="s">
        <v>39785</v>
      </c>
      <c r="O9162" s="8">
        <f>20+28/60+11/3600</f>
        <v>20.46972222222222</v>
      </c>
      <c r="P9162" s="8" t="s">
        <v>39786</v>
      </c>
      <c r="Q9162" s="8">
        <f>-(18+17/60+31/3600)</f>
        <v>-18.291944444444447</v>
      </c>
      <c r="R9162" s="8">
        <v>14.4</v>
      </c>
      <c r="S9162" s="8">
        <v>15.2</v>
      </c>
      <c r="T9162" s="8">
        <v>0.8</v>
      </c>
      <c r="U9162" s="8">
        <v>14.1</v>
      </c>
      <c r="V9162" s="8">
        <v>1.1000000000000001</v>
      </c>
      <c r="W9162" s="8">
        <v>0.8</v>
      </c>
      <c r="X9162" s="8">
        <v>85</v>
      </c>
      <c r="Y9162" s="8" t="s">
        <v>11914</v>
      </c>
      <c r="Z9162" s="8" t="s">
        <v>11915</v>
      </c>
    </row>
    <row r="9163" spans="1:26" x14ac:dyDescent="0.2">
      <c r="A9163" s="8">
        <v>9162</v>
      </c>
      <c r="B9163" s="8" t="s">
        <v>39787</v>
      </c>
      <c r="C9163" s="8" t="s">
        <v>39787</v>
      </c>
      <c r="G9163" s="8">
        <v>20</v>
      </c>
      <c r="H9163" s="8" t="s">
        <v>21</v>
      </c>
      <c r="I9163" s="8" t="s">
        <v>22</v>
      </c>
      <c r="J9163" s="8" t="s">
        <v>22</v>
      </c>
      <c r="K9163" s="8" t="s">
        <v>37986</v>
      </c>
      <c r="L9163" s="8" t="s">
        <v>30635</v>
      </c>
      <c r="M9163" s="8" t="s">
        <v>30636</v>
      </c>
      <c r="N9163" s="8" t="s">
        <v>39788</v>
      </c>
      <c r="O9163" s="8">
        <f>20+30/60+8.4/3600</f>
        <v>20.502333333333333</v>
      </c>
      <c r="P9163" s="8" t="s">
        <v>39789</v>
      </c>
      <c r="Q9163" s="8">
        <f>-(15+13/60+40/3600)</f>
        <v>-15.227777777777778</v>
      </c>
      <c r="R9163" s="8">
        <v>14.1</v>
      </c>
      <c r="S9163" s="8">
        <v>14.9</v>
      </c>
      <c r="T9163" s="8">
        <v>0.8</v>
      </c>
      <c r="U9163" s="8">
        <v>12.8</v>
      </c>
      <c r="V9163" s="8">
        <v>0.9</v>
      </c>
      <c r="W9163" s="8">
        <v>0.4</v>
      </c>
      <c r="X9163" s="8">
        <v>100</v>
      </c>
      <c r="Y9163" s="8" t="s">
        <v>2181</v>
      </c>
      <c r="Z9163" s="8" t="s">
        <v>2182</v>
      </c>
    </row>
    <row r="9164" spans="1:26" x14ac:dyDescent="0.2">
      <c r="A9164" s="8">
        <v>9163</v>
      </c>
      <c r="B9164" s="8" t="s">
        <v>39790</v>
      </c>
      <c r="C9164" s="8" t="s">
        <v>39790</v>
      </c>
      <c r="G9164" s="8">
        <v>20</v>
      </c>
      <c r="H9164" s="8" t="s">
        <v>21</v>
      </c>
      <c r="I9164" s="8" t="s">
        <v>72</v>
      </c>
      <c r="J9164" s="8" t="s">
        <v>72</v>
      </c>
      <c r="K9164" s="8" t="s">
        <v>20</v>
      </c>
      <c r="L9164" s="8" t="s">
        <v>30635</v>
      </c>
      <c r="M9164" s="8" t="s">
        <v>30636</v>
      </c>
      <c r="N9164" s="8" t="s">
        <v>39791</v>
      </c>
      <c r="O9164" s="8">
        <f>20+30/60+29.7/3600</f>
        <v>20.50825</v>
      </c>
      <c r="P9164" s="8" t="s">
        <v>39792</v>
      </c>
      <c r="Q9164" s="8">
        <f>-(15+10/60+57/3600)</f>
        <v>-15.182499999999999</v>
      </c>
      <c r="R9164" s="8">
        <v>99</v>
      </c>
      <c r="S9164" s="8">
        <v>99</v>
      </c>
      <c r="T9164" s="8">
        <v>99</v>
      </c>
      <c r="U9164" s="8">
        <v>99</v>
      </c>
      <c r="Y9164" s="8" t="s">
        <v>21</v>
      </c>
      <c r="Z9164" s="8" t="s">
        <v>39793</v>
      </c>
    </row>
    <row r="9165" spans="1:26" x14ac:dyDescent="0.2">
      <c r="A9165" s="8">
        <v>9164</v>
      </c>
      <c r="B9165" s="8" t="s">
        <v>39794</v>
      </c>
      <c r="C9165" s="8" t="s">
        <v>39794</v>
      </c>
      <c r="G9165" s="8">
        <v>20</v>
      </c>
      <c r="H9165" s="8" t="s">
        <v>21</v>
      </c>
      <c r="I9165" s="8" t="s">
        <v>22</v>
      </c>
      <c r="J9165" s="8" t="s">
        <v>22</v>
      </c>
      <c r="K9165" s="8" t="s">
        <v>632</v>
      </c>
      <c r="L9165" s="8" t="s">
        <v>30635</v>
      </c>
      <c r="M9165" s="8" t="s">
        <v>30636</v>
      </c>
      <c r="N9165" s="8" t="s">
        <v>39795</v>
      </c>
      <c r="O9165" s="8">
        <f>20+32/60+12.2/3600</f>
        <v>20.536722222222224</v>
      </c>
      <c r="P9165" s="8" t="s">
        <v>39796</v>
      </c>
      <c r="Q9165" s="8">
        <f>-(9+3/60+20/3600)</f>
        <v>-9.0555555555555571</v>
      </c>
      <c r="R9165" s="8">
        <v>13.5</v>
      </c>
      <c r="S9165" s="8">
        <v>14.4</v>
      </c>
      <c r="T9165" s="8">
        <v>0.9</v>
      </c>
      <c r="U9165" s="8">
        <v>14.2</v>
      </c>
      <c r="V9165" s="8">
        <v>1.5</v>
      </c>
      <c r="W9165" s="8">
        <v>1.4</v>
      </c>
      <c r="X9165" s="8">
        <v>39</v>
      </c>
      <c r="Y9165" s="8" t="s">
        <v>21</v>
      </c>
      <c r="Z9165" s="8" t="s">
        <v>39797</v>
      </c>
    </row>
    <row r="9166" spans="1:26" x14ac:dyDescent="0.2">
      <c r="A9166" s="8">
        <v>9165</v>
      </c>
      <c r="B9166" s="8" t="s">
        <v>39798</v>
      </c>
      <c r="C9166" s="8" t="s">
        <v>39798</v>
      </c>
      <c r="G9166" s="8">
        <v>20</v>
      </c>
      <c r="H9166" s="8" t="s">
        <v>21</v>
      </c>
      <c r="I9166" s="8" t="s">
        <v>22</v>
      </c>
      <c r="J9166" s="8" t="s">
        <v>57</v>
      </c>
      <c r="K9166" s="8" t="s">
        <v>406</v>
      </c>
      <c r="L9166" s="8" t="s">
        <v>30604</v>
      </c>
      <c r="M9166" s="8" t="s">
        <v>30605</v>
      </c>
      <c r="N9166" s="8" t="s">
        <v>30775</v>
      </c>
      <c r="O9166" s="8">
        <f>20+32/60+50.1/3600</f>
        <v>20.547250000000002</v>
      </c>
      <c r="P9166" s="8" t="s">
        <v>30776</v>
      </c>
      <c r="Q9166" s="8">
        <f>+(9+55/60+39/3600)</f>
        <v>9.9275000000000002</v>
      </c>
      <c r="R9166" s="8">
        <v>12.2</v>
      </c>
      <c r="S9166" s="8">
        <v>13.2</v>
      </c>
      <c r="T9166" s="8">
        <v>1</v>
      </c>
      <c r="U9166" s="8">
        <v>12.4</v>
      </c>
      <c r="V9166" s="8">
        <v>2.1</v>
      </c>
      <c r="W9166" s="8">
        <v>0.6</v>
      </c>
      <c r="X9166" s="8">
        <v>106</v>
      </c>
      <c r="Y9166" s="8" t="s">
        <v>39799</v>
      </c>
      <c r="Z9166" s="8" t="s">
        <v>39800</v>
      </c>
    </row>
    <row r="9167" spans="1:26" x14ac:dyDescent="0.2">
      <c r="A9167" s="8">
        <v>9166</v>
      </c>
      <c r="B9167" s="8" t="s">
        <v>39801</v>
      </c>
      <c r="C9167" s="8" t="s">
        <v>39801</v>
      </c>
      <c r="G9167" s="8">
        <v>20</v>
      </c>
      <c r="H9167" s="8" t="s">
        <v>21</v>
      </c>
      <c r="I9167" s="8" t="s">
        <v>22</v>
      </c>
      <c r="J9167" s="8" t="s">
        <v>57</v>
      </c>
      <c r="K9167" s="8" t="s">
        <v>406</v>
      </c>
      <c r="L9167" s="8" t="s">
        <v>30604</v>
      </c>
      <c r="M9167" s="8" t="s">
        <v>30605</v>
      </c>
      <c r="N9167" s="8" t="s">
        <v>30784</v>
      </c>
      <c r="O9167" s="8">
        <f>20+32/60+58.8/3600</f>
        <v>20.549666666666667</v>
      </c>
      <c r="P9167" s="8" t="s">
        <v>30785</v>
      </c>
      <c r="Q9167" s="8">
        <f>+(9+52/60+26/3600)</f>
        <v>9.8738888888888887</v>
      </c>
      <c r="R9167" s="8">
        <v>12.8</v>
      </c>
      <c r="S9167" s="8">
        <v>13.6</v>
      </c>
      <c r="T9167" s="8">
        <v>0.8</v>
      </c>
      <c r="U9167" s="8">
        <v>12.1</v>
      </c>
      <c r="V9167" s="8">
        <v>1.2</v>
      </c>
      <c r="W9167" s="8">
        <v>0.5</v>
      </c>
      <c r="X9167" s="8">
        <v>8</v>
      </c>
      <c r="Y9167" s="8" t="s">
        <v>21</v>
      </c>
      <c r="Z9167" s="8" t="s">
        <v>39802</v>
      </c>
    </row>
    <row r="9168" spans="1:26" x14ac:dyDescent="0.2">
      <c r="A9168" s="8">
        <v>9167</v>
      </c>
      <c r="B9168" s="8" t="s">
        <v>39803</v>
      </c>
      <c r="C9168" s="8" t="s">
        <v>39803</v>
      </c>
      <c r="G9168" s="8">
        <v>20</v>
      </c>
      <c r="H9168" s="8" t="s">
        <v>21</v>
      </c>
      <c r="I9168" s="8" t="s">
        <v>22</v>
      </c>
      <c r="J9168" s="8" t="s">
        <v>22</v>
      </c>
      <c r="K9168" s="8" t="s">
        <v>632</v>
      </c>
      <c r="L9168" s="8" t="s">
        <v>29781</v>
      </c>
      <c r="M9168" s="8" t="s">
        <v>29782</v>
      </c>
      <c r="N9168" s="8" t="s">
        <v>39804</v>
      </c>
      <c r="O9168" s="8">
        <f>20+35/60+41.3/3600</f>
        <v>20.594805555555553</v>
      </c>
      <c r="P9168" s="8" t="s">
        <v>39805</v>
      </c>
      <c r="Q9168" s="8">
        <f>-(0+0/60+19/3600)</f>
        <v>-5.2777777777777779E-3</v>
      </c>
      <c r="R9168" s="8">
        <v>14</v>
      </c>
      <c r="S9168" s="8">
        <v>14.9</v>
      </c>
      <c r="T9168" s="8">
        <v>0.9</v>
      </c>
      <c r="U9168" s="8">
        <v>13.5</v>
      </c>
      <c r="V9168" s="8">
        <v>0.9</v>
      </c>
      <c r="W9168" s="8">
        <v>0.8</v>
      </c>
      <c r="X9168" s="8">
        <v>170</v>
      </c>
      <c r="Y9168" s="8" t="s">
        <v>21</v>
      </c>
      <c r="Z9168" s="8" t="s">
        <v>39806</v>
      </c>
    </row>
    <row r="9169" spans="1:26" x14ac:dyDescent="0.2">
      <c r="A9169" s="8">
        <v>9168</v>
      </c>
      <c r="B9169" s="8" t="s">
        <v>39807</v>
      </c>
      <c r="C9169" s="8" t="s">
        <v>39807</v>
      </c>
      <c r="G9169" s="8">
        <v>20</v>
      </c>
      <c r="H9169" s="8" t="s">
        <v>21</v>
      </c>
      <c r="I9169" s="8" t="s">
        <v>22</v>
      </c>
      <c r="J9169" s="8" t="s">
        <v>22</v>
      </c>
      <c r="K9169" s="8" t="s">
        <v>160</v>
      </c>
      <c r="L9169" s="8" t="s">
        <v>30635</v>
      </c>
      <c r="M9169" s="8" t="s">
        <v>30636</v>
      </c>
      <c r="N9169" s="8" t="s">
        <v>39808</v>
      </c>
      <c r="O9169" s="8">
        <f>20+41/60+57/3600</f>
        <v>20.699166666666667</v>
      </c>
      <c r="P9169" s="8" t="s">
        <v>39809</v>
      </c>
      <c r="Q9169" s="8">
        <f>-(19+37/60+59/3600)</f>
        <v>-19.633055555555558</v>
      </c>
      <c r="R9169" s="8">
        <v>14.1</v>
      </c>
      <c r="S9169" s="8">
        <v>14.8</v>
      </c>
      <c r="T9169" s="8">
        <v>0.7</v>
      </c>
      <c r="U9169" s="8">
        <v>12.7</v>
      </c>
      <c r="V9169" s="8">
        <v>0.8</v>
      </c>
      <c r="W9169" s="8">
        <v>0.4</v>
      </c>
      <c r="X9169" s="8">
        <v>49</v>
      </c>
      <c r="Y9169" s="8" t="s">
        <v>39810</v>
      </c>
      <c r="Z9169" s="8" t="s">
        <v>39811</v>
      </c>
    </row>
    <row r="9170" spans="1:26" x14ac:dyDescent="0.2">
      <c r="A9170" s="8">
        <v>9169</v>
      </c>
      <c r="B9170" s="8" t="s">
        <v>39812</v>
      </c>
      <c r="C9170" s="8" t="s">
        <v>39812</v>
      </c>
      <c r="G9170" s="8">
        <v>20</v>
      </c>
      <c r="H9170" s="8" t="s">
        <v>21</v>
      </c>
      <c r="I9170" s="8" t="s">
        <v>72</v>
      </c>
      <c r="J9170" s="8" t="s">
        <v>72</v>
      </c>
      <c r="K9170" s="8" t="s">
        <v>1405</v>
      </c>
      <c r="L9170" s="8" t="s">
        <v>30604</v>
      </c>
      <c r="M9170" s="8" t="s">
        <v>30605</v>
      </c>
      <c r="N9170" s="8" t="s">
        <v>39813</v>
      </c>
      <c r="O9170" s="8">
        <f>20+43/60+42.3/3600</f>
        <v>20.728416666666664</v>
      </c>
      <c r="P9170" s="8" t="s">
        <v>39814</v>
      </c>
      <c r="Q9170" s="8">
        <f>+(15+35/60+16/3600)</f>
        <v>15.587777777777779</v>
      </c>
      <c r="R9170" s="8">
        <v>99</v>
      </c>
      <c r="S9170" s="8">
        <v>99</v>
      </c>
      <c r="T9170" s="8">
        <v>99</v>
      </c>
      <c r="U9170" s="8">
        <v>99</v>
      </c>
      <c r="Y9170" s="8" t="s">
        <v>21</v>
      </c>
      <c r="Z9170" s="8" t="s">
        <v>39815</v>
      </c>
    </row>
    <row r="9171" spans="1:26" x14ac:dyDescent="0.2">
      <c r="A9171" s="8">
        <v>9170</v>
      </c>
      <c r="B9171" s="8" t="s">
        <v>39816</v>
      </c>
      <c r="C9171" s="8" t="s">
        <v>39816</v>
      </c>
      <c r="G9171" s="8">
        <v>20</v>
      </c>
      <c r="H9171" s="8" t="s">
        <v>21</v>
      </c>
      <c r="I9171" s="8" t="s">
        <v>22</v>
      </c>
      <c r="J9171" s="8" t="s">
        <v>22</v>
      </c>
      <c r="K9171" s="8" t="s">
        <v>160</v>
      </c>
      <c r="L9171" s="8" t="s">
        <v>30854</v>
      </c>
      <c r="M9171" s="8" t="s">
        <v>30855</v>
      </c>
      <c r="N9171" s="8" t="s">
        <v>39817</v>
      </c>
      <c r="O9171" s="8">
        <f>20+46/60+14.8/3600</f>
        <v>20.770777777777777</v>
      </c>
      <c r="P9171" s="8" t="s">
        <v>39818</v>
      </c>
      <c r="Q9171" s="8">
        <f>-(14+1/60+22/3600)</f>
        <v>-14.022777777777778</v>
      </c>
      <c r="R9171" s="8">
        <v>14</v>
      </c>
      <c r="S9171" s="8">
        <v>14.7</v>
      </c>
      <c r="T9171" s="8">
        <v>0.7</v>
      </c>
      <c r="U9171" s="8">
        <v>13</v>
      </c>
      <c r="V9171" s="8">
        <v>1.2</v>
      </c>
      <c r="W9171" s="8">
        <v>0.4</v>
      </c>
      <c r="X9171" s="8">
        <v>115</v>
      </c>
      <c r="Y9171" s="8" t="s">
        <v>36717</v>
      </c>
      <c r="Z9171" s="8" t="s">
        <v>36718</v>
      </c>
    </row>
    <row r="9172" spans="1:26" x14ac:dyDescent="0.2">
      <c r="A9172" s="8">
        <v>9171</v>
      </c>
      <c r="B9172" s="8" t="s">
        <v>39819</v>
      </c>
      <c r="C9172" s="8" t="s">
        <v>39819</v>
      </c>
      <c r="G9172" s="8">
        <v>20</v>
      </c>
      <c r="H9172" s="8" t="s">
        <v>21</v>
      </c>
      <c r="I9172" s="8" t="s">
        <v>22</v>
      </c>
      <c r="J9172" s="8" t="s">
        <v>22</v>
      </c>
      <c r="K9172" s="8" t="s">
        <v>632</v>
      </c>
      <c r="L9172" s="8" t="s">
        <v>30854</v>
      </c>
      <c r="M9172" s="8" t="s">
        <v>30855</v>
      </c>
      <c r="N9172" s="8" t="s">
        <v>39820</v>
      </c>
      <c r="O9172" s="8">
        <f>20+47/60+48.8/3600</f>
        <v>20.796888888888891</v>
      </c>
      <c r="P9172" s="8" t="s">
        <v>39821</v>
      </c>
      <c r="Q9172" s="8">
        <f>-(9+59/60+44/3600)</f>
        <v>-9.9955555555555549</v>
      </c>
      <c r="R9172" s="8">
        <v>13.7</v>
      </c>
      <c r="S9172" s="8">
        <v>14.6</v>
      </c>
      <c r="T9172" s="8">
        <v>0.9</v>
      </c>
      <c r="U9172" s="8">
        <v>13.7</v>
      </c>
      <c r="V9172" s="8">
        <v>1.8</v>
      </c>
      <c r="W9172" s="8">
        <v>0.6</v>
      </c>
      <c r="X9172" s="8">
        <v>85</v>
      </c>
      <c r="Y9172" s="8" t="s">
        <v>38256</v>
      </c>
      <c r="Z9172" s="8" t="s">
        <v>38257</v>
      </c>
    </row>
    <row r="9173" spans="1:26" x14ac:dyDescent="0.2">
      <c r="A9173" s="8">
        <v>9172</v>
      </c>
      <c r="B9173" s="8" t="s">
        <v>39822</v>
      </c>
      <c r="C9173" s="8" t="s">
        <v>39822</v>
      </c>
      <c r="G9173" s="8">
        <v>20</v>
      </c>
      <c r="H9173" s="8" t="s">
        <v>21</v>
      </c>
      <c r="I9173" s="8" t="s">
        <v>22</v>
      </c>
      <c r="J9173" s="8" t="s">
        <v>22</v>
      </c>
      <c r="K9173" s="8" t="s">
        <v>23</v>
      </c>
      <c r="L9173" s="8" t="s">
        <v>30854</v>
      </c>
      <c r="M9173" s="8" t="s">
        <v>30855</v>
      </c>
      <c r="N9173" s="8" t="s">
        <v>39823</v>
      </c>
      <c r="O9173" s="8">
        <f>20+51/60+51.3/3600</f>
        <v>20.864250000000002</v>
      </c>
      <c r="P9173" s="8" t="s">
        <v>39824</v>
      </c>
      <c r="Q9173" s="8">
        <f>-(13+42/60+40/3600)</f>
        <v>-13.71111111111111</v>
      </c>
      <c r="R9173" s="8">
        <v>13.5</v>
      </c>
      <c r="S9173" s="8">
        <v>14.3</v>
      </c>
      <c r="T9173" s="8">
        <v>0.8</v>
      </c>
      <c r="U9173" s="8">
        <v>12.7</v>
      </c>
      <c r="V9173" s="8">
        <v>0.9</v>
      </c>
      <c r="W9173" s="8">
        <v>0.6</v>
      </c>
      <c r="X9173" s="8">
        <v>66</v>
      </c>
      <c r="Y9173" s="8" t="s">
        <v>2181</v>
      </c>
      <c r="Z9173" s="8" t="s">
        <v>2182</v>
      </c>
    </row>
    <row r="9174" spans="1:26" x14ac:dyDescent="0.2">
      <c r="A9174" s="8">
        <v>9173</v>
      </c>
      <c r="B9174" s="8" t="s">
        <v>39825</v>
      </c>
      <c r="C9174" s="8" t="s">
        <v>39825</v>
      </c>
      <c r="G9174" s="8">
        <v>20</v>
      </c>
      <c r="H9174" s="8" t="s">
        <v>21</v>
      </c>
      <c r="I9174" s="8" t="s">
        <v>22</v>
      </c>
      <c r="J9174" s="8" t="s">
        <v>22</v>
      </c>
      <c r="K9174" s="8" t="s">
        <v>632</v>
      </c>
      <c r="L9174" s="8" t="s">
        <v>30635</v>
      </c>
      <c r="M9174" s="8" t="s">
        <v>30636</v>
      </c>
      <c r="N9174" s="8" t="s">
        <v>39826</v>
      </c>
      <c r="O9174" s="8">
        <f>20+52/60+17.1/3600</f>
        <v>20.871416666666669</v>
      </c>
      <c r="P9174" s="8" t="s">
        <v>39827</v>
      </c>
      <c r="Q9174" s="8">
        <f>-(16+17/60+9/3600)</f>
        <v>-16.285833333333336</v>
      </c>
      <c r="R9174" s="8">
        <v>13.6</v>
      </c>
      <c r="S9174" s="8">
        <v>14.5</v>
      </c>
      <c r="T9174" s="8">
        <v>0.9</v>
      </c>
      <c r="U9174" s="8">
        <v>13.7</v>
      </c>
      <c r="V9174" s="8">
        <v>1.5</v>
      </c>
      <c r="W9174" s="8">
        <v>0.8</v>
      </c>
      <c r="X9174" s="8">
        <v>69</v>
      </c>
      <c r="Y9174" s="8" t="s">
        <v>39828</v>
      </c>
      <c r="Z9174" s="8" t="s">
        <v>29561</v>
      </c>
    </row>
    <row r="9175" spans="1:26" x14ac:dyDescent="0.2">
      <c r="A9175" s="8">
        <v>9174</v>
      </c>
      <c r="B9175" s="8" t="s">
        <v>39829</v>
      </c>
      <c r="C9175" s="8" t="s">
        <v>39829</v>
      </c>
      <c r="G9175" s="8">
        <v>20</v>
      </c>
      <c r="H9175" s="8" t="s">
        <v>21</v>
      </c>
      <c r="I9175" s="8" t="s">
        <v>22</v>
      </c>
      <c r="J9175" s="8" t="s">
        <v>57</v>
      </c>
      <c r="K9175" s="8" t="s">
        <v>632</v>
      </c>
      <c r="L9175" s="8" t="s">
        <v>30635</v>
      </c>
      <c r="M9175" s="8" t="s">
        <v>30636</v>
      </c>
      <c r="N9175" s="8" t="s">
        <v>39826</v>
      </c>
      <c r="O9175" s="8">
        <f>20+52/60+17.1/3600</f>
        <v>20.871416666666669</v>
      </c>
      <c r="P9175" s="8" t="s">
        <v>39827</v>
      </c>
      <c r="Q9175" s="8">
        <f>-(16+17/60+9/3600)</f>
        <v>-16.285833333333336</v>
      </c>
      <c r="R9175" s="8">
        <v>13.6</v>
      </c>
      <c r="S9175" s="8">
        <v>14.5</v>
      </c>
      <c r="T9175" s="8">
        <v>0.9</v>
      </c>
      <c r="U9175" s="8">
        <v>13.7</v>
      </c>
      <c r="V9175" s="8">
        <v>1.5</v>
      </c>
      <c r="W9175" s="8">
        <v>0.8</v>
      </c>
      <c r="X9175" s="8">
        <v>69</v>
      </c>
      <c r="Y9175" s="8" t="s">
        <v>4065</v>
      </c>
      <c r="Z9175" s="8" t="s">
        <v>4066</v>
      </c>
    </row>
    <row r="9176" spans="1:26" x14ac:dyDescent="0.2">
      <c r="A9176" s="8">
        <v>9175</v>
      </c>
      <c r="B9176" s="8" t="s">
        <v>39830</v>
      </c>
      <c r="C9176" s="8" t="s">
        <v>39830</v>
      </c>
      <c r="G9176" s="8">
        <v>20</v>
      </c>
      <c r="H9176" s="8" t="s">
        <v>21</v>
      </c>
      <c r="I9176" s="8" t="s">
        <v>22</v>
      </c>
      <c r="J9176" s="8" t="s">
        <v>22</v>
      </c>
      <c r="K9176" s="8" t="s">
        <v>460</v>
      </c>
      <c r="L9176" s="8" t="s">
        <v>30635</v>
      </c>
      <c r="M9176" s="8" t="s">
        <v>30636</v>
      </c>
      <c r="N9176" s="8" t="s">
        <v>39831</v>
      </c>
      <c r="O9176" s="8">
        <f>20+53/60+6/3600</f>
        <v>20.884999999999998</v>
      </c>
      <c r="P9176" s="8" t="s">
        <v>39832</v>
      </c>
      <c r="Q9176" s="8">
        <f>-(16+20/60+6/3600)</f>
        <v>-16.334999999999997</v>
      </c>
      <c r="R9176" s="8">
        <v>14.7</v>
      </c>
      <c r="S9176" s="8">
        <v>15.7</v>
      </c>
      <c r="T9176" s="8">
        <v>1</v>
      </c>
      <c r="U9176" s="8">
        <v>13.3</v>
      </c>
      <c r="V9176" s="8">
        <v>0.5</v>
      </c>
      <c r="W9176" s="8">
        <v>0.5</v>
      </c>
      <c r="Y9176" s="8" t="s">
        <v>2513</v>
      </c>
      <c r="Z9176" s="8" t="s">
        <v>2514</v>
      </c>
    </row>
    <row r="9177" spans="1:26" x14ac:dyDescent="0.2">
      <c r="A9177" s="8">
        <v>9176</v>
      </c>
      <c r="B9177" s="8" t="s">
        <v>39833</v>
      </c>
      <c r="C9177" s="8" t="s">
        <v>39833</v>
      </c>
      <c r="G9177" s="8">
        <v>20</v>
      </c>
      <c r="H9177" s="8" t="s">
        <v>21</v>
      </c>
      <c r="I9177" s="8" t="s">
        <v>22</v>
      </c>
      <c r="J9177" s="8" t="s">
        <v>22</v>
      </c>
      <c r="K9177" s="8" t="s">
        <v>31</v>
      </c>
      <c r="L9177" s="8" t="s">
        <v>30635</v>
      </c>
      <c r="M9177" s="8" t="s">
        <v>30636</v>
      </c>
      <c r="N9177" s="8" t="s">
        <v>39834</v>
      </c>
      <c r="O9177" s="8">
        <f>20+55/60+5/3600</f>
        <v>20.918055555555558</v>
      </c>
      <c r="P9177" s="8" t="s">
        <v>39835</v>
      </c>
      <c r="Q9177" s="8">
        <f>-(18+2/60+19/3600)</f>
        <v>-18.038611111111113</v>
      </c>
      <c r="R9177" s="8">
        <v>14.3</v>
      </c>
      <c r="S9177" s="8">
        <v>15.1</v>
      </c>
      <c r="T9177" s="8">
        <v>0.8</v>
      </c>
      <c r="U9177" s="8">
        <v>12.8</v>
      </c>
      <c r="V9177" s="8">
        <v>0.8</v>
      </c>
      <c r="W9177" s="8">
        <v>0.5</v>
      </c>
      <c r="X9177" s="8">
        <v>36</v>
      </c>
      <c r="Y9177" s="8" t="s">
        <v>39836</v>
      </c>
      <c r="Z9177" s="8" t="s">
        <v>39837</v>
      </c>
    </row>
    <row r="9178" spans="1:26" x14ac:dyDescent="0.2">
      <c r="A9178" s="8">
        <v>9177</v>
      </c>
      <c r="B9178" s="8" t="s">
        <v>39838</v>
      </c>
      <c r="C9178" s="8" t="s">
        <v>39838</v>
      </c>
      <c r="G9178" s="8">
        <v>20</v>
      </c>
      <c r="H9178" s="8" t="s">
        <v>21</v>
      </c>
      <c r="I9178" s="8" t="s">
        <v>22</v>
      </c>
      <c r="J9178" s="8" t="s">
        <v>22</v>
      </c>
      <c r="K9178" s="8" t="s">
        <v>23</v>
      </c>
      <c r="L9178" s="8" t="s">
        <v>30635</v>
      </c>
      <c r="M9178" s="8" t="s">
        <v>30636</v>
      </c>
      <c r="N9178" s="8" t="s">
        <v>39839</v>
      </c>
      <c r="O9178" s="8">
        <f>20+56/60+52.6/3600</f>
        <v>20.947944444444445</v>
      </c>
      <c r="P9178" s="8" t="s">
        <v>39840</v>
      </c>
      <c r="Q9178" s="8">
        <f>-(16+35/60+6/3600)</f>
        <v>-16.584999999999997</v>
      </c>
      <c r="R9178" s="8">
        <v>13.8</v>
      </c>
      <c r="S9178" s="8">
        <v>14.6</v>
      </c>
      <c r="T9178" s="8">
        <v>0.8</v>
      </c>
      <c r="U9178" s="8">
        <v>12.9</v>
      </c>
      <c r="V9178" s="8">
        <v>0.8</v>
      </c>
      <c r="W9178" s="8">
        <v>0.6</v>
      </c>
      <c r="X9178" s="8">
        <v>178</v>
      </c>
      <c r="Y9178" s="8" t="s">
        <v>530</v>
      </c>
      <c r="Z9178" s="8" t="s">
        <v>531</v>
      </c>
    </row>
    <row r="9179" spans="1:26" x14ac:dyDescent="0.2">
      <c r="A9179" s="8">
        <v>9178</v>
      </c>
      <c r="B9179" s="8" t="s">
        <v>39841</v>
      </c>
      <c r="C9179" s="8" t="s">
        <v>39841</v>
      </c>
      <c r="G9179" s="8">
        <v>20</v>
      </c>
      <c r="H9179" s="8" t="s">
        <v>21</v>
      </c>
      <c r="I9179" s="8" t="s">
        <v>22</v>
      </c>
      <c r="J9179" s="8" t="s">
        <v>22</v>
      </c>
      <c r="K9179" s="8" t="s">
        <v>37986</v>
      </c>
      <c r="L9179" s="8" t="s">
        <v>30635</v>
      </c>
      <c r="M9179" s="8" t="s">
        <v>30636</v>
      </c>
      <c r="N9179" s="8" t="s">
        <v>39842</v>
      </c>
      <c r="O9179" s="8">
        <f>20+56/60+57.7/3600</f>
        <v>20.949361111111113</v>
      </c>
      <c r="P9179" s="8" t="s">
        <v>22599</v>
      </c>
      <c r="Q9179" s="8">
        <f>-(16+29/60+32/3600)</f>
        <v>-16.492222222222225</v>
      </c>
      <c r="R9179" s="8">
        <v>14.9</v>
      </c>
      <c r="S9179" s="8">
        <v>15.7</v>
      </c>
      <c r="T9179" s="8">
        <v>0.8</v>
      </c>
      <c r="U9179" s="8">
        <v>13.4</v>
      </c>
      <c r="V9179" s="8">
        <v>0.7</v>
      </c>
      <c r="W9179" s="8">
        <v>0.4</v>
      </c>
      <c r="X9179" s="8">
        <v>40</v>
      </c>
      <c r="Y9179" s="8" t="s">
        <v>35151</v>
      </c>
      <c r="Z9179" s="8" t="s">
        <v>35152</v>
      </c>
    </row>
    <row r="9180" spans="1:26" x14ac:dyDescent="0.2">
      <c r="A9180" s="8">
        <v>9179</v>
      </c>
      <c r="B9180" s="8" t="s">
        <v>39843</v>
      </c>
      <c r="C9180" s="8" t="s">
        <v>39843</v>
      </c>
      <c r="G9180" s="8">
        <v>20</v>
      </c>
      <c r="H9180" s="8" t="s">
        <v>21</v>
      </c>
      <c r="I9180" s="8" t="s">
        <v>22</v>
      </c>
      <c r="J9180" s="8" t="s">
        <v>22</v>
      </c>
      <c r="K9180" s="8" t="s">
        <v>218</v>
      </c>
      <c r="L9180" s="8" t="s">
        <v>30635</v>
      </c>
      <c r="M9180" s="8" t="s">
        <v>30636</v>
      </c>
      <c r="N9180" s="8" t="s">
        <v>39844</v>
      </c>
      <c r="O9180" s="8">
        <f>20+57/60+55.5/3600</f>
        <v>20.965416666666666</v>
      </c>
      <c r="P9180" s="8" t="s">
        <v>39845</v>
      </c>
      <c r="Q9180" s="8">
        <f>-(17+56/60+32/3600)</f>
        <v>-17.942222222222224</v>
      </c>
      <c r="R9180" s="8">
        <v>13.2</v>
      </c>
      <c r="S9180" s="8">
        <v>14</v>
      </c>
      <c r="T9180" s="8">
        <v>0.8</v>
      </c>
      <c r="U9180" s="8">
        <v>13.3</v>
      </c>
      <c r="V9180" s="8">
        <v>1.4</v>
      </c>
      <c r="W9180" s="8">
        <v>0.8</v>
      </c>
      <c r="X9180" s="8">
        <v>55</v>
      </c>
      <c r="Y9180" s="8" t="s">
        <v>39828</v>
      </c>
      <c r="Z9180" s="8" t="s">
        <v>39846</v>
      </c>
    </row>
    <row r="9181" spans="1:26" x14ac:dyDescent="0.2">
      <c r="A9181" s="8">
        <v>9180</v>
      </c>
      <c r="B9181" s="8" t="s">
        <v>39847</v>
      </c>
      <c r="C9181" s="8" t="s">
        <v>39847</v>
      </c>
      <c r="G9181" s="8">
        <v>20</v>
      </c>
      <c r="H9181" s="8" t="s">
        <v>21</v>
      </c>
      <c r="I9181" s="8" t="s">
        <v>1283</v>
      </c>
      <c r="J9181" s="8" t="s">
        <v>1283</v>
      </c>
      <c r="K9181" s="8" t="s">
        <v>8889</v>
      </c>
      <c r="L9181" s="8" t="s">
        <v>30032</v>
      </c>
      <c r="M9181" s="8" t="s">
        <v>30033</v>
      </c>
      <c r="N9181" s="8" t="s">
        <v>39848</v>
      </c>
      <c r="O9181" s="8">
        <f>20+56/60+8/3600</f>
        <v>20.935555555555556</v>
      </c>
      <c r="P9181" s="8" t="s">
        <v>39849</v>
      </c>
      <c r="Q9181" s="8">
        <f>+(31+2/60+54/3600)</f>
        <v>31.048333333333336</v>
      </c>
      <c r="R9181" s="8">
        <v>99</v>
      </c>
      <c r="S9181" s="8">
        <v>99</v>
      </c>
      <c r="T9181" s="8">
        <v>99</v>
      </c>
      <c r="U9181" s="8">
        <v>99</v>
      </c>
      <c r="V9181" s="8">
        <v>25</v>
      </c>
      <c r="W9181" s="8">
        <v>20</v>
      </c>
      <c r="Y9181" s="8" t="s">
        <v>21</v>
      </c>
      <c r="Z9181" s="8" t="s">
        <v>39850</v>
      </c>
    </row>
    <row r="9182" spans="1:26" x14ac:dyDescent="0.2">
      <c r="A9182" s="8">
        <v>9181</v>
      </c>
      <c r="B9182" s="8" t="s">
        <v>39851</v>
      </c>
      <c r="C9182" s="8" t="s">
        <v>39851</v>
      </c>
      <c r="G9182" s="8">
        <v>20</v>
      </c>
      <c r="H9182" s="8" t="s">
        <v>21</v>
      </c>
      <c r="I9182" s="8" t="s">
        <v>22</v>
      </c>
      <c r="J9182" s="8" t="s">
        <v>22</v>
      </c>
      <c r="K9182" s="8" t="s">
        <v>37</v>
      </c>
      <c r="L9182" s="8" t="s">
        <v>30854</v>
      </c>
      <c r="M9182" s="8" t="s">
        <v>30855</v>
      </c>
      <c r="N9182" s="8" t="s">
        <v>39852</v>
      </c>
      <c r="O9182" s="8">
        <f>21+0/60+16.6/3600</f>
        <v>21.00461111111111</v>
      </c>
      <c r="P9182" s="8" t="s">
        <v>39853</v>
      </c>
      <c r="Q9182" s="8">
        <f>-(13+58/60+33/3600)</f>
        <v>-13.975833333333334</v>
      </c>
      <c r="R9182" s="8">
        <v>14.3</v>
      </c>
      <c r="S9182" s="8">
        <v>15.3</v>
      </c>
      <c r="T9182" s="8">
        <v>1</v>
      </c>
      <c r="U9182" s="8">
        <v>12.1</v>
      </c>
      <c r="V9182" s="8">
        <v>0.5</v>
      </c>
      <c r="W9182" s="8">
        <v>0.3</v>
      </c>
      <c r="X9182" s="8">
        <v>73</v>
      </c>
      <c r="Y9182" s="8" t="s">
        <v>1212</v>
      </c>
      <c r="Z9182" s="8" t="s">
        <v>1213</v>
      </c>
    </row>
    <row r="9183" spans="1:26" x14ac:dyDescent="0.2">
      <c r="A9183" s="8">
        <v>9182</v>
      </c>
      <c r="B9183" s="8" t="s">
        <v>39854</v>
      </c>
      <c r="C9183" s="8" t="s">
        <v>39854</v>
      </c>
      <c r="G9183" s="8">
        <v>20</v>
      </c>
      <c r="H9183" s="8" t="s">
        <v>21</v>
      </c>
      <c r="I9183" s="8" t="s">
        <v>22</v>
      </c>
      <c r="J9183" s="8" t="s">
        <v>22</v>
      </c>
      <c r="K9183" s="8" t="s">
        <v>160</v>
      </c>
      <c r="L9183" s="8" t="s">
        <v>30854</v>
      </c>
      <c r="M9183" s="8" t="s">
        <v>30855</v>
      </c>
      <c r="N9183" s="8" t="s">
        <v>39855</v>
      </c>
      <c r="O9183" s="8">
        <f>21+0/60+25.5/3600</f>
        <v>21.007083333333334</v>
      </c>
      <c r="P9183" s="8" t="s">
        <v>39856</v>
      </c>
      <c r="Q9183" s="8">
        <f>-(14+29/60+42/3600)</f>
        <v>-14.494999999999999</v>
      </c>
      <c r="R9183" s="8">
        <v>13.9</v>
      </c>
      <c r="S9183" s="8">
        <v>14.6</v>
      </c>
      <c r="T9183" s="8">
        <v>0.7</v>
      </c>
      <c r="U9183" s="8">
        <v>12.2</v>
      </c>
      <c r="V9183" s="8">
        <v>0.8</v>
      </c>
      <c r="W9183" s="8">
        <v>0.3</v>
      </c>
      <c r="X9183" s="8">
        <v>78</v>
      </c>
      <c r="Y9183" s="8" t="s">
        <v>39857</v>
      </c>
      <c r="Z9183" s="8" t="s">
        <v>39858</v>
      </c>
    </row>
    <row r="9184" spans="1:26" x14ac:dyDescent="0.2">
      <c r="A9184" s="8">
        <v>9183</v>
      </c>
      <c r="B9184" s="8" t="s">
        <v>39859</v>
      </c>
      <c r="C9184" s="8" t="s">
        <v>39859</v>
      </c>
      <c r="G9184" s="8">
        <v>20</v>
      </c>
      <c r="H9184" s="8" t="s">
        <v>21</v>
      </c>
      <c r="I9184" s="8" t="s">
        <v>22</v>
      </c>
      <c r="J9184" s="8" t="s">
        <v>22</v>
      </c>
      <c r="K9184" s="8" t="s">
        <v>449</v>
      </c>
      <c r="L9184" s="8" t="s">
        <v>30635</v>
      </c>
      <c r="M9184" s="8" t="s">
        <v>30636</v>
      </c>
      <c r="N9184" s="8" t="s">
        <v>39860</v>
      </c>
      <c r="O9184" s="8">
        <f>21+1/60+0.7/3600</f>
        <v>21.016861111111112</v>
      </c>
      <c r="P9184" s="8" t="s">
        <v>39861</v>
      </c>
      <c r="Q9184" s="8">
        <f>-(15+24/60+13/3600)</f>
        <v>-15.403611111111111</v>
      </c>
      <c r="R9184" s="8">
        <v>14.9</v>
      </c>
      <c r="S9184" s="8">
        <v>15.7</v>
      </c>
      <c r="T9184" s="8">
        <v>0.8</v>
      </c>
      <c r="U9184" s="8">
        <v>14</v>
      </c>
      <c r="V9184" s="8">
        <v>1</v>
      </c>
      <c r="W9184" s="8">
        <v>0.5</v>
      </c>
      <c r="X9184" s="8">
        <v>177</v>
      </c>
      <c r="Y9184" s="8" t="s">
        <v>39862</v>
      </c>
      <c r="Z9184" s="8" t="s">
        <v>39863</v>
      </c>
    </row>
    <row r="9185" spans="1:26" x14ac:dyDescent="0.2">
      <c r="A9185" s="8">
        <v>9184</v>
      </c>
      <c r="B9185" s="8" t="s">
        <v>39864</v>
      </c>
      <c r="C9185" s="8" t="s">
        <v>39864</v>
      </c>
      <c r="G9185" s="8">
        <v>20</v>
      </c>
      <c r="H9185" s="8" t="s">
        <v>21</v>
      </c>
      <c r="I9185" s="8" t="s">
        <v>22</v>
      </c>
      <c r="J9185" s="8" t="s">
        <v>22</v>
      </c>
      <c r="K9185" s="8" t="s">
        <v>449</v>
      </c>
      <c r="L9185" s="8" t="s">
        <v>30854</v>
      </c>
      <c r="M9185" s="8" t="s">
        <v>30855</v>
      </c>
      <c r="N9185" s="8" t="s">
        <v>39865</v>
      </c>
      <c r="O9185" s="8">
        <f>21+1/60+16.5/3600</f>
        <v>21.021249999999998</v>
      </c>
      <c r="P9185" s="8" t="s">
        <v>16257</v>
      </c>
      <c r="Q9185" s="8">
        <f>-(13+22/60+49/3600)</f>
        <v>-13.380277777777778</v>
      </c>
      <c r="R9185" s="8">
        <v>13.7</v>
      </c>
      <c r="S9185" s="8">
        <v>14.5</v>
      </c>
      <c r="T9185" s="8">
        <v>0.8</v>
      </c>
      <c r="U9185" s="8">
        <v>12.5</v>
      </c>
      <c r="V9185" s="8">
        <v>1</v>
      </c>
      <c r="W9185" s="8">
        <v>0.4</v>
      </c>
      <c r="X9185" s="8">
        <v>54</v>
      </c>
      <c r="Y9185" s="8" t="s">
        <v>39866</v>
      </c>
      <c r="Z9185" s="8" t="s">
        <v>39867</v>
      </c>
    </row>
    <row r="9186" spans="1:26" x14ac:dyDescent="0.2">
      <c r="A9186" s="8">
        <v>9185</v>
      </c>
      <c r="B9186" s="8" t="s">
        <v>39868</v>
      </c>
      <c r="C9186" s="8" t="s">
        <v>39868</v>
      </c>
      <c r="G9186" s="8">
        <v>20</v>
      </c>
      <c r="H9186" s="8" t="s">
        <v>21</v>
      </c>
      <c r="I9186" s="8" t="s">
        <v>22</v>
      </c>
      <c r="J9186" s="8" t="s">
        <v>22</v>
      </c>
      <c r="K9186" s="8" t="s">
        <v>460</v>
      </c>
      <c r="L9186" s="8" t="s">
        <v>30854</v>
      </c>
      <c r="M9186" s="8" t="s">
        <v>30855</v>
      </c>
      <c r="N9186" s="8" t="s">
        <v>39869</v>
      </c>
      <c r="O9186" s="8">
        <f>21+1/60+22.1/3600</f>
        <v>21.022805555555554</v>
      </c>
      <c r="P9186" s="8" t="s">
        <v>39870</v>
      </c>
      <c r="Q9186" s="8">
        <f>-(13+23/60+51/3600)</f>
        <v>-13.397499999999999</v>
      </c>
      <c r="R9186" s="8">
        <v>14.6</v>
      </c>
      <c r="S9186" s="8">
        <v>15.6</v>
      </c>
      <c r="T9186" s="8">
        <v>1</v>
      </c>
      <c r="U9186" s="8">
        <v>13.2</v>
      </c>
      <c r="V9186" s="8">
        <v>0.5</v>
      </c>
      <c r="W9186" s="8">
        <v>0.5</v>
      </c>
      <c r="Y9186" s="8" t="s">
        <v>5445</v>
      </c>
      <c r="Z9186" s="8" t="s">
        <v>577</v>
      </c>
    </row>
    <row r="9187" spans="1:26" x14ac:dyDescent="0.2">
      <c r="A9187" s="8">
        <v>9186</v>
      </c>
      <c r="B9187" s="8" t="s">
        <v>39871</v>
      </c>
      <c r="C9187" s="8" t="s">
        <v>39871</v>
      </c>
      <c r="G9187" s="8">
        <v>20</v>
      </c>
      <c r="H9187" s="8" t="s">
        <v>21</v>
      </c>
      <c r="I9187" s="8" t="s">
        <v>22</v>
      </c>
      <c r="J9187" s="8" t="s">
        <v>22</v>
      </c>
      <c r="K9187" s="8" t="s">
        <v>218</v>
      </c>
      <c r="L9187" s="8" t="s">
        <v>30854</v>
      </c>
      <c r="M9187" s="8" t="s">
        <v>30855</v>
      </c>
      <c r="N9187" s="8" t="s">
        <v>39872</v>
      </c>
      <c r="O9187" s="8">
        <f>21+1/60+37.1/3600</f>
        <v>21.02697222222222</v>
      </c>
      <c r="P9187" s="8" t="s">
        <v>39873</v>
      </c>
      <c r="Q9187" s="8">
        <f>-(13+57/60+37/3600)</f>
        <v>-13.960277777777778</v>
      </c>
      <c r="R9187" s="8">
        <v>14.1</v>
      </c>
      <c r="S9187" s="8">
        <v>14.9</v>
      </c>
      <c r="T9187" s="8">
        <v>0.8</v>
      </c>
      <c r="U9187" s="8">
        <v>13.5</v>
      </c>
      <c r="V9187" s="8">
        <v>1.2</v>
      </c>
      <c r="W9187" s="8">
        <v>0.6</v>
      </c>
      <c r="X9187" s="8">
        <v>102</v>
      </c>
      <c r="Y9187" s="8" t="s">
        <v>9839</v>
      </c>
      <c r="Z9187" s="8" t="s">
        <v>9840</v>
      </c>
    </row>
    <row r="9188" spans="1:26" x14ac:dyDescent="0.2">
      <c r="A9188" s="8">
        <v>9187</v>
      </c>
      <c r="B9188" s="8" t="s">
        <v>39874</v>
      </c>
      <c r="C9188" s="8" t="s">
        <v>39874</v>
      </c>
      <c r="G9188" s="8">
        <v>20</v>
      </c>
      <c r="H9188" s="8" t="s">
        <v>21</v>
      </c>
      <c r="I9188" s="8" t="s">
        <v>22</v>
      </c>
      <c r="J9188" s="8" t="s">
        <v>22</v>
      </c>
      <c r="K9188" s="8" t="s">
        <v>37</v>
      </c>
      <c r="L9188" s="8" t="s">
        <v>30854</v>
      </c>
      <c r="M9188" s="8" t="s">
        <v>30855</v>
      </c>
      <c r="N9188" s="8" t="s">
        <v>39875</v>
      </c>
      <c r="O9188" s="8">
        <f>21+1/60+44.3/3600</f>
        <v>21.028972222222222</v>
      </c>
      <c r="P9188" s="8" t="s">
        <v>39876</v>
      </c>
      <c r="Q9188" s="8">
        <f>-(13+18/60+46/3600)</f>
        <v>-13.312777777777779</v>
      </c>
      <c r="R9188" s="8">
        <v>14.4</v>
      </c>
      <c r="S9188" s="8">
        <v>15.3</v>
      </c>
      <c r="T9188" s="8">
        <v>0.9</v>
      </c>
      <c r="U9188" s="8">
        <v>13.5</v>
      </c>
      <c r="V9188" s="8">
        <v>0.8</v>
      </c>
      <c r="W9188" s="8">
        <v>0.6</v>
      </c>
      <c r="X9188" s="8">
        <v>18</v>
      </c>
      <c r="Y9188" s="8" t="s">
        <v>21483</v>
      </c>
      <c r="Z9188" s="8" t="s">
        <v>21484</v>
      </c>
    </row>
    <row r="9189" spans="1:26" x14ac:dyDescent="0.2">
      <c r="A9189" s="8">
        <v>9188</v>
      </c>
      <c r="B9189" s="8" t="s">
        <v>39877</v>
      </c>
      <c r="C9189" s="8" t="s">
        <v>39877</v>
      </c>
      <c r="G9189" s="8">
        <v>20</v>
      </c>
      <c r="H9189" s="8" t="s">
        <v>21</v>
      </c>
      <c r="I9189" s="8" t="s">
        <v>22</v>
      </c>
      <c r="J9189" s="8" t="s">
        <v>22</v>
      </c>
      <c r="K9189" s="8" t="s">
        <v>37</v>
      </c>
      <c r="L9189" s="8" t="s">
        <v>30854</v>
      </c>
      <c r="M9189" s="8" t="s">
        <v>30855</v>
      </c>
      <c r="N9189" s="8" t="s">
        <v>39878</v>
      </c>
      <c r="O9189" s="8">
        <f>21+1/60+43.9/3600</f>
        <v>21.028861111111109</v>
      </c>
      <c r="P9189" s="8" t="s">
        <v>39879</v>
      </c>
      <c r="Q9189" s="8">
        <f>-(13+21/60+25/3600)</f>
        <v>-13.356944444444444</v>
      </c>
      <c r="R9189" s="8">
        <v>14.3</v>
      </c>
      <c r="S9189" s="8">
        <v>15.3</v>
      </c>
      <c r="T9189" s="8">
        <v>1</v>
      </c>
      <c r="U9189" s="8">
        <v>12.9</v>
      </c>
      <c r="V9189" s="8">
        <v>0.8</v>
      </c>
      <c r="W9189" s="8">
        <v>0.4</v>
      </c>
      <c r="X9189" s="8">
        <v>150</v>
      </c>
      <c r="Y9189" s="8" t="s">
        <v>3952</v>
      </c>
      <c r="Z9189" s="8" t="s">
        <v>3953</v>
      </c>
    </row>
    <row r="9190" spans="1:26" x14ac:dyDescent="0.2">
      <c r="A9190" s="8">
        <v>9189</v>
      </c>
      <c r="B9190" s="8" t="s">
        <v>39880</v>
      </c>
      <c r="C9190" s="8" t="s">
        <v>39880</v>
      </c>
      <c r="G9190" s="8">
        <v>20</v>
      </c>
      <c r="H9190" s="8" t="s">
        <v>21</v>
      </c>
      <c r="I9190" s="8" t="s">
        <v>22</v>
      </c>
      <c r="J9190" s="8" t="s">
        <v>22</v>
      </c>
      <c r="K9190" s="8" t="s">
        <v>449</v>
      </c>
      <c r="L9190" s="8" t="s">
        <v>30854</v>
      </c>
      <c r="M9190" s="8" t="s">
        <v>30855</v>
      </c>
      <c r="N9190" s="8" t="s">
        <v>39881</v>
      </c>
      <c r="O9190" s="8">
        <f>21+1/60+50.4/3600</f>
        <v>21.030666666666665</v>
      </c>
      <c r="P9190" s="8" t="s">
        <v>39882</v>
      </c>
      <c r="Q9190" s="8">
        <f>-(13+15/60+54/3600)</f>
        <v>-13.265000000000001</v>
      </c>
      <c r="R9190" s="8">
        <v>14.7</v>
      </c>
      <c r="S9190" s="8">
        <v>15.5</v>
      </c>
      <c r="T9190" s="8">
        <v>0.8</v>
      </c>
      <c r="U9190" s="8">
        <v>12.7</v>
      </c>
      <c r="V9190" s="8">
        <v>0.6</v>
      </c>
      <c r="W9190" s="8">
        <v>0.3</v>
      </c>
      <c r="X9190" s="8">
        <v>50</v>
      </c>
      <c r="Y9190" s="8" t="s">
        <v>3357</v>
      </c>
      <c r="Z9190" s="8" t="s">
        <v>3358</v>
      </c>
    </row>
    <row r="9191" spans="1:26" x14ac:dyDescent="0.2">
      <c r="A9191" s="8">
        <v>9190</v>
      </c>
      <c r="B9191" s="8" t="s">
        <v>39883</v>
      </c>
      <c r="C9191" s="8" t="s">
        <v>39883</v>
      </c>
      <c r="G9191" s="8">
        <v>20</v>
      </c>
      <c r="H9191" s="8" t="s">
        <v>21</v>
      </c>
      <c r="I9191" s="8" t="s">
        <v>22</v>
      </c>
      <c r="J9191" s="8" t="s">
        <v>57</v>
      </c>
      <c r="K9191" s="8" t="s">
        <v>449</v>
      </c>
      <c r="L9191" s="8" t="s">
        <v>30854</v>
      </c>
      <c r="M9191" s="8" t="s">
        <v>30855</v>
      </c>
      <c r="N9191" s="8" t="s">
        <v>39884</v>
      </c>
      <c r="O9191" s="8">
        <f>21+1/60+52.2/3600</f>
        <v>21.031166666666667</v>
      </c>
      <c r="P9191" s="8" t="s">
        <v>39885</v>
      </c>
      <c r="Q9191" s="8">
        <f>-(13+51/60+8/3600)</f>
        <v>-13.852222222222222</v>
      </c>
      <c r="R9191" s="8">
        <v>15.2</v>
      </c>
      <c r="S9191" s="8">
        <v>16</v>
      </c>
      <c r="T9191" s="8">
        <v>0.8</v>
      </c>
      <c r="U9191" s="8">
        <v>13.7</v>
      </c>
      <c r="V9191" s="8">
        <v>0.7</v>
      </c>
      <c r="W9191" s="8">
        <v>0.4</v>
      </c>
      <c r="X9191" s="8">
        <v>171</v>
      </c>
      <c r="Y9191" s="8" t="s">
        <v>39886</v>
      </c>
      <c r="Z9191" s="8" t="s">
        <v>39887</v>
      </c>
    </row>
    <row r="9192" spans="1:26" x14ac:dyDescent="0.2">
      <c r="A9192" s="8">
        <v>9191</v>
      </c>
      <c r="B9192" s="8" t="s">
        <v>39888</v>
      </c>
      <c r="C9192" s="8" t="s">
        <v>39888</v>
      </c>
      <c r="G9192" s="8">
        <v>20</v>
      </c>
      <c r="H9192" s="8" t="s">
        <v>21</v>
      </c>
      <c r="I9192" s="8" t="s">
        <v>22</v>
      </c>
      <c r="J9192" s="8" t="s">
        <v>22</v>
      </c>
      <c r="K9192" s="8" t="s">
        <v>37</v>
      </c>
      <c r="L9192" s="8" t="s">
        <v>30854</v>
      </c>
      <c r="M9192" s="8" t="s">
        <v>30855</v>
      </c>
      <c r="N9192" s="8" t="s">
        <v>39889</v>
      </c>
      <c r="O9192" s="8">
        <f>21+1/60+52.3/3600</f>
        <v>21.031194444444445</v>
      </c>
      <c r="P9192" s="8" t="s">
        <v>39890</v>
      </c>
      <c r="Q9192" s="8">
        <f>-(13+12/60+5/3600)</f>
        <v>-13.201388888888888</v>
      </c>
      <c r="R9192" s="8">
        <v>14.7</v>
      </c>
      <c r="S9192" s="8">
        <v>15.7</v>
      </c>
      <c r="T9192" s="8">
        <v>1</v>
      </c>
      <c r="U9192" s="8">
        <v>12.1</v>
      </c>
      <c r="V9192" s="8">
        <v>0.5</v>
      </c>
      <c r="W9192" s="8">
        <v>0.2</v>
      </c>
      <c r="X9192" s="8">
        <v>20</v>
      </c>
      <c r="Y9192" s="8" t="s">
        <v>1212</v>
      </c>
      <c r="Z9192" s="8" t="s">
        <v>1213</v>
      </c>
    </row>
    <row r="9193" spans="1:26" x14ac:dyDescent="0.2">
      <c r="A9193" s="8">
        <v>9192</v>
      </c>
      <c r="B9193" s="8" t="s">
        <v>39891</v>
      </c>
      <c r="C9193" s="8" t="s">
        <v>39891</v>
      </c>
      <c r="G9193" s="8">
        <v>20</v>
      </c>
      <c r="H9193" s="8" t="s">
        <v>21</v>
      </c>
      <c r="I9193" s="8" t="s">
        <v>22</v>
      </c>
      <c r="J9193" s="8" t="s">
        <v>22</v>
      </c>
      <c r="K9193" s="8" t="s">
        <v>449</v>
      </c>
      <c r="L9193" s="8" t="s">
        <v>30854</v>
      </c>
      <c r="M9193" s="8" t="s">
        <v>30855</v>
      </c>
      <c r="N9193" s="8" t="s">
        <v>39892</v>
      </c>
      <c r="O9193" s="8">
        <f>21+1/60+54.8/3600</f>
        <v>21.031888888888886</v>
      </c>
      <c r="P9193" s="8" t="s">
        <v>39893</v>
      </c>
      <c r="Q9193" s="8">
        <f>-(13+23/60+4/3600)</f>
        <v>-13.384444444444444</v>
      </c>
      <c r="R9193" s="8">
        <v>15.7</v>
      </c>
      <c r="S9193" s="8">
        <v>16.5</v>
      </c>
      <c r="T9193" s="8">
        <v>0.8</v>
      </c>
      <c r="U9193" s="8">
        <v>11.7</v>
      </c>
      <c r="V9193" s="8">
        <v>0.3</v>
      </c>
      <c r="W9193" s="8">
        <v>0.1</v>
      </c>
      <c r="X9193" s="8">
        <v>10</v>
      </c>
      <c r="Y9193" s="8" t="s">
        <v>15781</v>
      </c>
      <c r="Z9193" s="8" t="s">
        <v>15782</v>
      </c>
    </row>
    <row r="9194" spans="1:26" x14ac:dyDescent="0.2">
      <c r="A9194" s="8">
        <v>9193</v>
      </c>
      <c r="B9194" s="8" t="s">
        <v>39894</v>
      </c>
      <c r="C9194" s="8" t="s">
        <v>39894</v>
      </c>
      <c r="G9194" s="8">
        <v>20</v>
      </c>
      <c r="H9194" s="8" t="s">
        <v>21</v>
      </c>
      <c r="I9194" s="8" t="s">
        <v>22</v>
      </c>
      <c r="J9194" s="8" t="s">
        <v>22</v>
      </c>
      <c r="K9194" s="8" t="s">
        <v>449</v>
      </c>
      <c r="L9194" s="8" t="s">
        <v>30854</v>
      </c>
      <c r="M9194" s="8" t="s">
        <v>30855</v>
      </c>
      <c r="N9194" s="8" t="s">
        <v>39895</v>
      </c>
      <c r="O9194" s="8">
        <f>21+1/60+56.3/3600</f>
        <v>21.032305555555556</v>
      </c>
      <c r="P9194" s="8" t="s">
        <v>39896</v>
      </c>
      <c r="Q9194" s="8">
        <f>-(13+16/60+21/3600)</f>
        <v>-13.272500000000001</v>
      </c>
      <c r="R9194" s="8">
        <v>15.7</v>
      </c>
      <c r="S9194" s="8">
        <v>16.5</v>
      </c>
      <c r="T9194" s="8">
        <v>0.8</v>
      </c>
      <c r="U9194" s="8">
        <v>12.5</v>
      </c>
      <c r="V9194" s="8">
        <v>0.3</v>
      </c>
      <c r="W9194" s="8">
        <v>0.2</v>
      </c>
      <c r="X9194" s="8">
        <v>90</v>
      </c>
      <c r="Y9194" s="8" t="s">
        <v>421</v>
      </c>
      <c r="Z9194" s="8" t="s">
        <v>422</v>
      </c>
    </row>
    <row r="9195" spans="1:26" x14ac:dyDescent="0.2">
      <c r="A9195" s="8">
        <v>9194</v>
      </c>
      <c r="B9195" s="8" t="s">
        <v>39897</v>
      </c>
      <c r="C9195" s="8" t="s">
        <v>39897</v>
      </c>
      <c r="G9195" s="8">
        <v>20</v>
      </c>
      <c r="H9195" s="8" t="s">
        <v>21</v>
      </c>
      <c r="I9195" s="8" t="s">
        <v>22</v>
      </c>
      <c r="J9195" s="8" t="s">
        <v>22</v>
      </c>
      <c r="K9195" s="8" t="s">
        <v>449</v>
      </c>
      <c r="L9195" s="8" t="s">
        <v>30854</v>
      </c>
      <c r="M9195" s="8" t="s">
        <v>30855</v>
      </c>
      <c r="N9195" s="8" t="s">
        <v>39884</v>
      </c>
      <c r="O9195" s="8">
        <f>21+1/60+52.2/3600</f>
        <v>21.031166666666667</v>
      </c>
      <c r="P9195" s="8" t="s">
        <v>39885</v>
      </c>
      <c r="Q9195" s="8">
        <f>-(13+51/60+8/3600)</f>
        <v>-13.852222222222222</v>
      </c>
      <c r="R9195" s="8">
        <v>15.2</v>
      </c>
      <c r="S9195" s="8">
        <v>16</v>
      </c>
      <c r="T9195" s="8">
        <v>0.8</v>
      </c>
      <c r="U9195" s="8">
        <v>13.7</v>
      </c>
      <c r="V9195" s="8">
        <v>0.7</v>
      </c>
      <c r="W9195" s="8">
        <v>0.4</v>
      </c>
      <c r="X9195" s="8">
        <v>171</v>
      </c>
      <c r="Y9195" s="8" t="s">
        <v>3952</v>
      </c>
      <c r="Z9195" s="8" t="s">
        <v>3953</v>
      </c>
    </row>
    <row r="9196" spans="1:26" x14ac:dyDescent="0.2">
      <c r="A9196" s="8">
        <v>9195</v>
      </c>
      <c r="B9196" s="8" t="s">
        <v>39898</v>
      </c>
      <c r="C9196" s="8" t="s">
        <v>39898</v>
      </c>
      <c r="G9196" s="8">
        <v>20</v>
      </c>
      <c r="H9196" s="8" t="s">
        <v>21</v>
      </c>
      <c r="I9196" s="8" t="s">
        <v>22</v>
      </c>
      <c r="J9196" s="8" t="s">
        <v>22</v>
      </c>
      <c r="K9196" s="8" t="s">
        <v>460</v>
      </c>
      <c r="L9196" s="8" t="s">
        <v>30854</v>
      </c>
      <c r="M9196" s="8" t="s">
        <v>30855</v>
      </c>
      <c r="N9196" s="8" t="s">
        <v>39899</v>
      </c>
      <c r="O9196" s="8">
        <f>21+1/60+58.3/3600</f>
        <v>21.03286111111111</v>
      </c>
      <c r="P9196" s="8" t="s">
        <v>39900</v>
      </c>
      <c r="Q9196" s="8">
        <f>-(13+10/60+21/3600)</f>
        <v>-13.172499999999999</v>
      </c>
      <c r="R9196" s="8">
        <v>14.3</v>
      </c>
      <c r="S9196" s="8">
        <v>15.3</v>
      </c>
      <c r="T9196" s="8">
        <v>1</v>
      </c>
      <c r="U9196" s="8">
        <v>12.4</v>
      </c>
      <c r="V9196" s="8">
        <v>0.4</v>
      </c>
      <c r="W9196" s="8">
        <v>0.4</v>
      </c>
      <c r="Y9196" s="8" t="s">
        <v>3952</v>
      </c>
      <c r="Z9196" s="8" t="s">
        <v>3953</v>
      </c>
    </row>
    <row r="9197" spans="1:26" x14ac:dyDescent="0.2">
      <c r="A9197" s="8">
        <v>9196</v>
      </c>
      <c r="B9197" s="8" t="s">
        <v>39901</v>
      </c>
      <c r="C9197" s="8" t="s">
        <v>39901</v>
      </c>
      <c r="G9197" s="8">
        <v>20</v>
      </c>
      <c r="H9197" s="8" t="s">
        <v>21</v>
      </c>
      <c r="I9197" s="8" t="s">
        <v>22</v>
      </c>
      <c r="J9197" s="8" t="s">
        <v>22</v>
      </c>
      <c r="K9197" s="8" t="s">
        <v>382</v>
      </c>
      <c r="L9197" s="8" t="s">
        <v>30635</v>
      </c>
      <c r="M9197" s="8" t="s">
        <v>30636</v>
      </c>
      <c r="N9197" s="8" t="s">
        <v>39902</v>
      </c>
      <c r="O9197" s="8">
        <f>21+2/60+53/3600</f>
        <v>21.048055555555557</v>
      </c>
      <c r="P9197" s="8" t="s">
        <v>39903</v>
      </c>
      <c r="Q9197" s="8">
        <f>-(15+48/60+43/3600)</f>
        <v>-15.811944444444444</v>
      </c>
      <c r="R9197" s="8">
        <v>14.6</v>
      </c>
      <c r="S9197" s="8">
        <v>15.6</v>
      </c>
      <c r="T9197" s="8">
        <v>1</v>
      </c>
      <c r="U9197" s="8">
        <v>14.3</v>
      </c>
      <c r="V9197" s="8">
        <v>1.1000000000000001</v>
      </c>
      <c r="W9197" s="8">
        <v>0.8</v>
      </c>
      <c r="X9197" s="8">
        <v>168</v>
      </c>
      <c r="Y9197" s="8" t="s">
        <v>39904</v>
      </c>
      <c r="Z9197" s="8" t="s">
        <v>39905</v>
      </c>
    </row>
    <row r="9198" spans="1:26" x14ac:dyDescent="0.2">
      <c r="A9198" s="8">
        <v>9197</v>
      </c>
      <c r="B9198" s="8" t="s">
        <v>39906</v>
      </c>
      <c r="C9198" s="8" t="s">
        <v>39906</v>
      </c>
      <c r="G9198" s="8">
        <v>20</v>
      </c>
      <c r="H9198" s="8" t="s">
        <v>21</v>
      </c>
      <c r="I9198" s="8" t="s">
        <v>22</v>
      </c>
      <c r="J9198" s="8" t="s">
        <v>22</v>
      </c>
      <c r="K9198" s="8" t="s">
        <v>91</v>
      </c>
      <c r="L9198" s="8" t="s">
        <v>30854</v>
      </c>
      <c r="M9198" s="8" t="s">
        <v>30855</v>
      </c>
      <c r="N9198" s="8" t="s">
        <v>39907</v>
      </c>
      <c r="O9198" s="8">
        <f>21+5/60+57.2/3600</f>
        <v>21.09922222222222</v>
      </c>
      <c r="P9198" s="8" t="s">
        <v>39908</v>
      </c>
      <c r="Q9198" s="8">
        <f>-(10+42/60+57/3600)</f>
        <v>-10.715833333333332</v>
      </c>
      <c r="R9198" s="8">
        <v>14.3</v>
      </c>
      <c r="S9198" s="8">
        <v>15.2</v>
      </c>
      <c r="T9198" s="8">
        <v>0.9</v>
      </c>
      <c r="U9198" s="8">
        <v>14</v>
      </c>
      <c r="V9198" s="8">
        <v>1.3</v>
      </c>
      <c r="W9198" s="8">
        <v>0.7</v>
      </c>
      <c r="X9198" s="8">
        <v>39</v>
      </c>
      <c r="Y9198" s="8" t="s">
        <v>39909</v>
      </c>
      <c r="Z9198" s="8" t="s">
        <v>39910</v>
      </c>
    </row>
    <row r="9199" spans="1:26" x14ac:dyDescent="0.2">
      <c r="A9199" s="8">
        <v>9198</v>
      </c>
      <c r="B9199" s="8" t="s">
        <v>39911</v>
      </c>
      <c r="C9199" s="8" t="s">
        <v>39911</v>
      </c>
      <c r="G9199" s="8">
        <v>20</v>
      </c>
      <c r="H9199" s="8" t="s">
        <v>21</v>
      </c>
      <c r="I9199" s="8" t="s">
        <v>22</v>
      </c>
      <c r="J9199" s="8" t="s">
        <v>22</v>
      </c>
      <c r="K9199" s="8" t="s">
        <v>449</v>
      </c>
      <c r="L9199" s="8" t="s">
        <v>30635</v>
      </c>
      <c r="M9199" s="8" t="s">
        <v>30636</v>
      </c>
      <c r="N9199" s="8" t="s">
        <v>39912</v>
      </c>
      <c r="O9199" s="8">
        <f>21+6/60+29.7/3600</f>
        <v>21.108250000000002</v>
      </c>
      <c r="P9199" s="8" t="s">
        <v>39913</v>
      </c>
      <c r="Q9199" s="8">
        <f>-(16+12/60+13/3600)</f>
        <v>-16.203611111111112</v>
      </c>
      <c r="R9199" s="8">
        <v>15.2</v>
      </c>
      <c r="S9199" s="8">
        <v>16</v>
      </c>
      <c r="T9199" s="8">
        <v>0.8</v>
      </c>
      <c r="U9199" s="8">
        <v>12.3</v>
      </c>
      <c r="V9199" s="8">
        <v>0.4</v>
      </c>
      <c r="W9199" s="8">
        <v>0.2</v>
      </c>
      <c r="X9199" s="8">
        <v>45</v>
      </c>
      <c r="Y9199" s="8" t="s">
        <v>282</v>
      </c>
      <c r="Z9199" s="8" t="s">
        <v>283</v>
      </c>
    </row>
    <row r="9200" spans="1:26" x14ac:dyDescent="0.2">
      <c r="A9200" s="8">
        <v>9199</v>
      </c>
      <c r="B9200" s="8" t="s">
        <v>39914</v>
      </c>
      <c r="C9200" s="8" t="s">
        <v>39914</v>
      </c>
      <c r="G9200" s="8">
        <v>20</v>
      </c>
      <c r="H9200" s="8" t="s">
        <v>21</v>
      </c>
      <c r="I9200" s="8" t="s">
        <v>22</v>
      </c>
      <c r="J9200" s="8" t="s">
        <v>22</v>
      </c>
      <c r="K9200" s="8" t="s">
        <v>476</v>
      </c>
      <c r="L9200" s="8" t="s">
        <v>30604</v>
      </c>
      <c r="M9200" s="8" t="s">
        <v>30605</v>
      </c>
      <c r="N9200" s="8" t="s">
        <v>39915</v>
      </c>
      <c r="O9200" s="8">
        <f>21+8/60+43/3600</f>
        <v>21.145277777777778</v>
      </c>
      <c r="P9200" s="8" t="s">
        <v>39916</v>
      </c>
      <c r="Q9200" s="8">
        <f>+(12+29/60+2/3600)</f>
        <v>12.483888888888888</v>
      </c>
      <c r="R9200" s="8">
        <v>13.9</v>
      </c>
      <c r="S9200" s="8">
        <v>14.8</v>
      </c>
      <c r="T9200" s="8">
        <v>0.9</v>
      </c>
      <c r="U9200" s="8">
        <v>12.9</v>
      </c>
      <c r="V9200" s="8">
        <v>1.2</v>
      </c>
      <c r="W9200" s="8">
        <v>0.4</v>
      </c>
      <c r="X9200" s="8">
        <v>175</v>
      </c>
      <c r="Y9200" s="8" t="s">
        <v>21</v>
      </c>
      <c r="Z9200" s="8" t="s">
        <v>39917</v>
      </c>
    </row>
    <row r="9201" spans="1:26" x14ac:dyDescent="0.2">
      <c r="A9201" s="8">
        <v>9200</v>
      </c>
      <c r="B9201" s="8" t="s">
        <v>39918</v>
      </c>
      <c r="C9201" s="8" t="s">
        <v>39918</v>
      </c>
      <c r="G9201" s="8">
        <v>20</v>
      </c>
      <c r="H9201" s="8" t="s">
        <v>21</v>
      </c>
      <c r="I9201" s="8" t="s">
        <v>22</v>
      </c>
      <c r="J9201" s="8" t="s">
        <v>22</v>
      </c>
      <c r="K9201" s="8" t="s">
        <v>449</v>
      </c>
      <c r="L9201" s="8" t="s">
        <v>31150</v>
      </c>
      <c r="M9201" s="8" t="s">
        <v>31151</v>
      </c>
      <c r="N9201" s="8" t="s">
        <v>39919</v>
      </c>
      <c r="O9201" s="8">
        <f>21+10/60+50.3/3600</f>
        <v>21.18063888888889</v>
      </c>
      <c r="P9201" s="8" t="s">
        <v>39920</v>
      </c>
      <c r="Q9201" s="8">
        <f>+(5+4/60+18/3600)</f>
        <v>5.0716666666666663</v>
      </c>
      <c r="R9201" s="8">
        <v>14.5</v>
      </c>
      <c r="S9201" s="8">
        <v>15.3</v>
      </c>
      <c r="T9201" s="8">
        <v>0.8</v>
      </c>
      <c r="U9201" s="8">
        <v>12.7</v>
      </c>
      <c r="V9201" s="8">
        <v>0.7</v>
      </c>
      <c r="W9201" s="8">
        <v>0.3</v>
      </c>
      <c r="X9201" s="8">
        <v>20</v>
      </c>
      <c r="Y9201" s="8" t="s">
        <v>39921</v>
      </c>
      <c r="Z9201" s="8" t="s">
        <v>39922</v>
      </c>
    </row>
    <row r="9202" spans="1:26" x14ac:dyDescent="0.2">
      <c r="A9202" s="8">
        <v>9201</v>
      </c>
      <c r="B9202" s="8" t="s">
        <v>39923</v>
      </c>
      <c r="C9202" s="8" t="s">
        <v>39923</v>
      </c>
      <c r="G9202" s="8">
        <v>20</v>
      </c>
      <c r="H9202" s="8" t="s">
        <v>21</v>
      </c>
      <c r="I9202" s="8" t="s">
        <v>22</v>
      </c>
      <c r="J9202" s="8" t="s">
        <v>22</v>
      </c>
      <c r="K9202" s="8" t="s">
        <v>476</v>
      </c>
      <c r="L9202" s="8" t="s">
        <v>31150</v>
      </c>
      <c r="M9202" s="8" t="s">
        <v>31151</v>
      </c>
      <c r="N9202" s="8" t="s">
        <v>39924</v>
      </c>
      <c r="O9202" s="8">
        <f>21+11/60+29.1/3600</f>
        <v>21.191416666666665</v>
      </c>
      <c r="P9202" s="8" t="s">
        <v>39925</v>
      </c>
      <c r="Q9202" s="8">
        <f>+(5+3/60+17/3600)</f>
        <v>5.0547222222222219</v>
      </c>
      <c r="R9202" s="8">
        <v>14.2</v>
      </c>
      <c r="S9202" s="8">
        <v>15.1</v>
      </c>
      <c r="T9202" s="8">
        <v>0.9</v>
      </c>
      <c r="U9202" s="8">
        <v>13.4</v>
      </c>
      <c r="V9202" s="8">
        <v>0.9</v>
      </c>
      <c r="W9202" s="8">
        <v>0.6</v>
      </c>
      <c r="X9202" s="8">
        <v>45</v>
      </c>
      <c r="Y9202" s="8" t="s">
        <v>35151</v>
      </c>
      <c r="Z9202" s="8" t="s">
        <v>35152</v>
      </c>
    </row>
    <row r="9203" spans="1:26" x14ac:dyDescent="0.2">
      <c r="A9203" s="8">
        <v>9202</v>
      </c>
      <c r="B9203" s="8" t="s">
        <v>39926</v>
      </c>
      <c r="C9203" s="8" t="s">
        <v>39926</v>
      </c>
      <c r="G9203" s="8">
        <v>20</v>
      </c>
      <c r="H9203" s="8" t="s">
        <v>21</v>
      </c>
      <c r="I9203" s="8" t="s">
        <v>22</v>
      </c>
      <c r="J9203" s="8" t="s">
        <v>22</v>
      </c>
      <c r="K9203" s="8" t="s">
        <v>818</v>
      </c>
      <c r="L9203" s="8" t="s">
        <v>30854</v>
      </c>
      <c r="M9203" s="8" t="s">
        <v>30855</v>
      </c>
      <c r="N9203" s="8" t="s">
        <v>39927</v>
      </c>
      <c r="O9203" s="8">
        <f>21+11/60+52.6/3600</f>
        <v>21.197944444444445</v>
      </c>
      <c r="P9203" s="8" t="s">
        <v>39928</v>
      </c>
      <c r="Q9203" s="8">
        <f>+(2+19/60+46/3600)</f>
        <v>2.3294444444444444</v>
      </c>
      <c r="R9203" s="8">
        <v>14.6</v>
      </c>
      <c r="S9203" s="8">
        <v>15.6</v>
      </c>
      <c r="T9203" s="8">
        <v>1</v>
      </c>
      <c r="U9203" s="8">
        <v>11.6</v>
      </c>
      <c r="V9203" s="8">
        <v>0.3</v>
      </c>
      <c r="W9203" s="8">
        <v>0.2</v>
      </c>
      <c r="X9203" s="8">
        <v>0</v>
      </c>
      <c r="Y9203" s="8" t="s">
        <v>21</v>
      </c>
      <c r="Z9203" s="8" t="s">
        <v>39929</v>
      </c>
    </row>
    <row r="9204" spans="1:26" x14ac:dyDescent="0.2">
      <c r="A9204" s="8">
        <v>9203</v>
      </c>
      <c r="B9204" s="8" t="s">
        <v>39930</v>
      </c>
      <c r="C9204" s="8" t="s">
        <v>39930</v>
      </c>
      <c r="G9204" s="8">
        <v>20</v>
      </c>
      <c r="H9204" s="8" t="s">
        <v>21</v>
      </c>
      <c r="I9204" s="8" t="s">
        <v>72</v>
      </c>
      <c r="J9204" s="8" t="s">
        <v>72</v>
      </c>
      <c r="K9204" s="8" t="s">
        <v>1405</v>
      </c>
      <c r="L9204" s="8" t="s">
        <v>30032</v>
      </c>
      <c r="M9204" s="8" t="s">
        <v>30033</v>
      </c>
      <c r="N9204" s="8" t="s">
        <v>39931</v>
      </c>
      <c r="O9204" s="8">
        <f>21+10/60+40/3600</f>
        <v>21.177777777777781</v>
      </c>
      <c r="P9204" s="8" t="s">
        <v>39932</v>
      </c>
      <c r="Q9204" s="8">
        <f>+(46+52/60+12/3600)</f>
        <v>46.87</v>
      </c>
      <c r="R9204" s="8">
        <v>99</v>
      </c>
      <c r="S9204" s="8">
        <v>99</v>
      </c>
      <c r="T9204" s="8">
        <v>99</v>
      </c>
      <c r="U9204" s="8">
        <v>99</v>
      </c>
      <c r="Y9204" s="8" t="s">
        <v>21</v>
      </c>
      <c r="Z9204" s="8" t="s">
        <v>39933</v>
      </c>
    </row>
    <row r="9205" spans="1:26" x14ac:dyDescent="0.2">
      <c r="A9205" s="8">
        <v>9204</v>
      </c>
      <c r="B9205" s="8" t="s">
        <v>39934</v>
      </c>
      <c r="C9205" s="8" t="s">
        <v>39934</v>
      </c>
      <c r="G9205" s="8">
        <v>20</v>
      </c>
      <c r="H9205" s="8" t="s">
        <v>21</v>
      </c>
      <c r="I9205" s="8" t="s">
        <v>22</v>
      </c>
      <c r="J9205" s="8" t="s">
        <v>22</v>
      </c>
      <c r="K9205" s="8" t="s">
        <v>424</v>
      </c>
      <c r="L9205" s="8" t="s">
        <v>31150</v>
      </c>
      <c r="M9205" s="8" t="s">
        <v>31151</v>
      </c>
      <c r="N9205" s="8" t="s">
        <v>39935</v>
      </c>
      <c r="O9205" s="8">
        <f>21+13/60+24.6/3600</f>
        <v>21.223499999999998</v>
      </c>
      <c r="P9205" s="8" t="s">
        <v>39936</v>
      </c>
      <c r="Q9205" s="8">
        <f>+(2+46/60+13/3600)</f>
        <v>2.7702777777777778</v>
      </c>
      <c r="R9205" s="8">
        <v>13.8</v>
      </c>
      <c r="S9205" s="8">
        <v>14.8</v>
      </c>
      <c r="T9205" s="8">
        <v>1</v>
      </c>
      <c r="U9205" s="8">
        <v>13.1</v>
      </c>
      <c r="V9205" s="8">
        <v>1</v>
      </c>
      <c r="W9205" s="8">
        <v>0.6</v>
      </c>
      <c r="X9205" s="8">
        <v>130</v>
      </c>
      <c r="Y9205" s="8" t="s">
        <v>15519</v>
      </c>
      <c r="Z9205" s="8" t="s">
        <v>15520</v>
      </c>
    </row>
    <row r="9206" spans="1:26" x14ac:dyDescent="0.2">
      <c r="A9206" s="8">
        <v>9205</v>
      </c>
      <c r="B9206" s="8" t="s">
        <v>39937</v>
      </c>
      <c r="C9206" s="8" t="s">
        <v>39937</v>
      </c>
      <c r="G9206" s="8">
        <v>14</v>
      </c>
      <c r="H9206" s="8" t="s">
        <v>39938</v>
      </c>
      <c r="I9206" s="8" t="s">
        <v>22</v>
      </c>
      <c r="J9206" s="8" t="s">
        <v>22</v>
      </c>
      <c r="K9206" s="8" t="s">
        <v>50</v>
      </c>
      <c r="L9206" s="8" t="s">
        <v>31150</v>
      </c>
      <c r="M9206" s="8" t="s">
        <v>31151</v>
      </c>
      <c r="N9206" s="8" t="s">
        <v>39939</v>
      </c>
      <c r="O9206" s="8">
        <f>21+13/60+56/3600</f>
        <v>21.232222222222219</v>
      </c>
      <c r="P9206" s="8" t="s">
        <v>39940</v>
      </c>
      <c r="Q9206" s="8">
        <f>+(2+33/60+55/3600)</f>
        <v>2.5652777777777778</v>
      </c>
      <c r="R9206" s="8">
        <v>13.7</v>
      </c>
      <c r="S9206" s="8">
        <v>14.7</v>
      </c>
      <c r="T9206" s="8">
        <v>1</v>
      </c>
      <c r="U9206" s="8">
        <v>13.5</v>
      </c>
      <c r="V9206" s="8">
        <v>1.1000000000000001</v>
      </c>
      <c r="W9206" s="8">
        <v>0.7</v>
      </c>
      <c r="X9206" s="8">
        <v>57</v>
      </c>
      <c r="Y9206" s="8" t="s">
        <v>21</v>
      </c>
      <c r="Z9206" s="8" t="s">
        <v>39941</v>
      </c>
    </row>
    <row r="9207" spans="1:26" x14ac:dyDescent="0.2">
      <c r="A9207" s="8">
        <v>9206</v>
      </c>
      <c r="B9207" s="8" t="s">
        <v>39942</v>
      </c>
      <c r="C9207" s="8" t="s">
        <v>39942</v>
      </c>
      <c r="G9207" s="8">
        <v>20</v>
      </c>
      <c r="H9207" s="8" t="s">
        <v>21</v>
      </c>
      <c r="I9207" s="8" t="s">
        <v>22</v>
      </c>
      <c r="J9207" s="8" t="s">
        <v>22</v>
      </c>
      <c r="K9207" s="8" t="s">
        <v>449</v>
      </c>
      <c r="L9207" s="8" t="s">
        <v>30854</v>
      </c>
      <c r="M9207" s="8" t="s">
        <v>30855</v>
      </c>
      <c r="N9207" s="8" t="s">
        <v>39943</v>
      </c>
      <c r="O9207" s="8">
        <f>21+14/60+7.9/3600</f>
        <v>21.235527777777779</v>
      </c>
      <c r="P9207" s="8" t="s">
        <v>39944</v>
      </c>
      <c r="Q9207" s="8">
        <f>+(1+46/60+36/3600)</f>
        <v>1.7766666666666666</v>
      </c>
      <c r="R9207" s="8">
        <v>14.5</v>
      </c>
      <c r="S9207" s="8">
        <v>15.3</v>
      </c>
      <c r="T9207" s="8">
        <v>0.8</v>
      </c>
      <c r="U9207" s="8">
        <v>11.6</v>
      </c>
      <c r="V9207" s="8">
        <v>0.4</v>
      </c>
      <c r="W9207" s="8">
        <v>0.2</v>
      </c>
      <c r="X9207" s="8">
        <v>10</v>
      </c>
      <c r="Y9207" s="8" t="s">
        <v>21</v>
      </c>
      <c r="Z9207" s="8" t="s">
        <v>39945</v>
      </c>
    </row>
    <row r="9208" spans="1:26" x14ac:dyDescent="0.2">
      <c r="A9208" s="8">
        <v>9207</v>
      </c>
      <c r="B9208" s="8" t="s">
        <v>39946</v>
      </c>
      <c r="C9208" s="8" t="s">
        <v>39946</v>
      </c>
      <c r="G9208" s="8">
        <v>20</v>
      </c>
      <c r="H9208" s="8" t="s">
        <v>21</v>
      </c>
      <c r="I9208" s="8" t="s">
        <v>22</v>
      </c>
      <c r="J9208" s="8" t="s">
        <v>22</v>
      </c>
      <c r="K9208" s="8" t="s">
        <v>449</v>
      </c>
      <c r="L9208" s="8" t="s">
        <v>31150</v>
      </c>
      <c r="M9208" s="8" t="s">
        <v>31151</v>
      </c>
      <c r="N9208" s="8" t="s">
        <v>39947</v>
      </c>
      <c r="O9208" s="8">
        <f>21+14/60+9.6/3600</f>
        <v>21.236000000000001</v>
      </c>
      <c r="P9208" s="8" t="s">
        <v>39948</v>
      </c>
      <c r="Q9208" s="8">
        <f>+(2+59/60+40/3600)</f>
        <v>2.9944444444444445</v>
      </c>
      <c r="R9208" s="8">
        <v>14.1</v>
      </c>
      <c r="S9208" s="8">
        <v>14.9</v>
      </c>
      <c r="T9208" s="8">
        <v>0.8</v>
      </c>
      <c r="U9208" s="8">
        <v>10.9</v>
      </c>
      <c r="V9208" s="8">
        <v>0.3</v>
      </c>
      <c r="W9208" s="8">
        <v>0.2</v>
      </c>
      <c r="X9208" s="8">
        <v>140</v>
      </c>
      <c r="Y9208" s="8" t="s">
        <v>39949</v>
      </c>
      <c r="Z9208" s="8" t="s">
        <v>39950</v>
      </c>
    </row>
    <row r="9209" spans="1:26" x14ac:dyDescent="0.2">
      <c r="A9209" s="8">
        <v>9208</v>
      </c>
      <c r="B9209" s="8" t="s">
        <v>39951</v>
      </c>
      <c r="C9209" s="8" t="s">
        <v>39951</v>
      </c>
      <c r="G9209" s="8">
        <v>20</v>
      </c>
      <c r="H9209" s="8" t="s">
        <v>21</v>
      </c>
      <c r="I9209" s="8" t="s">
        <v>22</v>
      </c>
      <c r="J9209" s="8" t="s">
        <v>22</v>
      </c>
      <c r="K9209" s="8" t="s">
        <v>91</v>
      </c>
      <c r="L9209" s="8" t="s">
        <v>30854</v>
      </c>
      <c r="M9209" s="8" t="s">
        <v>30855</v>
      </c>
      <c r="N9209" s="8" t="s">
        <v>39952</v>
      </c>
      <c r="O9209" s="8">
        <f>21+14/60+12.6/3600</f>
        <v>21.236833333333333</v>
      </c>
      <c r="P9209" s="8" t="s">
        <v>39953</v>
      </c>
      <c r="Q9209" s="8">
        <f>+(2+10/60+42/3600)</f>
        <v>2.1783333333333332</v>
      </c>
      <c r="R9209" s="8">
        <v>13.4</v>
      </c>
      <c r="S9209" s="8">
        <v>14.3</v>
      </c>
      <c r="T9209" s="8">
        <v>0.9</v>
      </c>
      <c r="U9209" s="8">
        <v>12.5</v>
      </c>
      <c r="V9209" s="8">
        <v>1.2</v>
      </c>
      <c r="W9209" s="8">
        <v>0.4</v>
      </c>
      <c r="X9209" s="8">
        <v>48</v>
      </c>
      <c r="Y9209" s="8" t="s">
        <v>4937</v>
      </c>
      <c r="Z9209" s="8" t="s">
        <v>4938</v>
      </c>
    </row>
    <row r="9210" spans="1:26" x14ac:dyDescent="0.2">
      <c r="A9210" s="8">
        <v>9209</v>
      </c>
      <c r="B9210" s="8" t="s">
        <v>39954</v>
      </c>
      <c r="C9210" s="8" t="s">
        <v>39954</v>
      </c>
      <c r="G9210" s="8">
        <v>13</v>
      </c>
      <c r="H9210" s="8" t="s">
        <v>21</v>
      </c>
      <c r="I9210" s="8" t="s">
        <v>557</v>
      </c>
      <c r="J9210" s="8" t="s">
        <v>557</v>
      </c>
      <c r="K9210" s="8" t="s">
        <v>29710</v>
      </c>
      <c r="L9210" s="8" t="s">
        <v>30032</v>
      </c>
      <c r="M9210" s="8" t="s">
        <v>30033</v>
      </c>
      <c r="N9210" s="8" t="s">
        <v>39955</v>
      </c>
      <c r="O9210" s="8">
        <f>21+12/60+9/3600</f>
        <v>21.202500000000001</v>
      </c>
      <c r="P9210" s="8" t="s">
        <v>39956</v>
      </c>
      <c r="Q9210" s="8">
        <f>+(47+46/60+0/3600)</f>
        <v>47.766666666666666</v>
      </c>
      <c r="R9210" s="8">
        <v>8.8000000000000007</v>
      </c>
      <c r="S9210" s="8">
        <v>99</v>
      </c>
      <c r="T9210" s="8">
        <v>99</v>
      </c>
      <c r="U9210" s="8">
        <v>99</v>
      </c>
      <c r="V9210" s="8">
        <v>5</v>
      </c>
      <c r="Y9210" s="8" t="s">
        <v>21</v>
      </c>
      <c r="Z9210" s="8" t="s">
        <v>39957</v>
      </c>
    </row>
    <row r="9211" spans="1:26" x14ac:dyDescent="0.2">
      <c r="A9211" s="8">
        <v>9210</v>
      </c>
      <c r="B9211" s="8" t="s">
        <v>39958</v>
      </c>
      <c r="C9211" s="8" t="s">
        <v>39958</v>
      </c>
      <c r="G9211" s="8">
        <v>20</v>
      </c>
      <c r="H9211" s="8" t="s">
        <v>21</v>
      </c>
      <c r="I9211" s="8" t="s">
        <v>22</v>
      </c>
      <c r="J9211" s="8" t="s">
        <v>22</v>
      </c>
      <c r="K9211" s="8" t="s">
        <v>39959</v>
      </c>
      <c r="L9211" s="8" t="s">
        <v>30854</v>
      </c>
      <c r="M9211" s="8" t="s">
        <v>30855</v>
      </c>
      <c r="N9211" s="8" t="s">
        <v>39960</v>
      </c>
      <c r="O9211" s="8">
        <f>21+15/60+14.3/3600</f>
        <v>21.253972222222224</v>
      </c>
      <c r="P9211" s="8" t="s">
        <v>39961</v>
      </c>
      <c r="Q9211" s="8">
        <f>+(2+11/60+32/3600)</f>
        <v>2.1922222222222221</v>
      </c>
      <c r="R9211" s="8">
        <v>14.6</v>
      </c>
      <c r="S9211" s="8">
        <v>15.1</v>
      </c>
      <c r="T9211" s="8">
        <v>0.5</v>
      </c>
      <c r="U9211" s="8">
        <v>12.1</v>
      </c>
      <c r="V9211" s="8">
        <v>1.6</v>
      </c>
      <c r="W9211" s="8">
        <v>0.5</v>
      </c>
      <c r="X9211" s="8">
        <v>131</v>
      </c>
      <c r="Y9211" s="8" t="s">
        <v>39962</v>
      </c>
      <c r="Z9211" s="8" t="s">
        <v>39963</v>
      </c>
    </row>
    <row r="9212" spans="1:26" x14ac:dyDescent="0.2">
      <c r="A9212" s="8">
        <v>9211</v>
      </c>
      <c r="B9212" s="8" t="s">
        <v>39964</v>
      </c>
      <c r="C9212" s="8" t="s">
        <v>39964</v>
      </c>
      <c r="G9212" s="8">
        <v>20</v>
      </c>
      <c r="H9212" s="8" t="s">
        <v>21</v>
      </c>
      <c r="I9212" s="8" t="s">
        <v>22</v>
      </c>
      <c r="J9212" s="8" t="s">
        <v>22</v>
      </c>
      <c r="K9212" s="8" t="s">
        <v>58</v>
      </c>
      <c r="L9212" s="8" t="s">
        <v>30854</v>
      </c>
      <c r="M9212" s="8" t="s">
        <v>30855</v>
      </c>
      <c r="N9212" s="8" t="s">
        <v>39965</v>
      </c>
      <c r="O9212" s="8">
        <f>21+20/60+15.6/3600</f>
        <v>21.337666666666667</v>
      </c>
      <c r="P9212" s="8" t="s">
        <v>39966</v>
      </c>
      <c r="Q9212" s="8">
        <f>-(4+52/60+34/3600)</f>
        <v>-4.8761111111111113</v>
      </c>
      <c r="R9212" s="8">
        <v>13.8</v>
      </c>
      <c r="S9212" s="8">
        <v>14.8</v>
      </c>
      <c r="T9212" s="8">
        <v>1</v>
      </c>
      <c r="U9212" s="8">
        <v>13.4</v>
      </c>
      <c r="V9212" s="8">
        <v>0.9</v>
      </c>
      <c r="W9212" s="8">
        <v>0.7</v>
      </c>
      <c r="X9212" s="8">
        <v>15</v>
      </c>
      <c r="Y9212" s="8" t="s">
        <v>39967</v>
      </c>
      <c r="Z9212" s="8" t="s">
        <v>39968</v>
      </c>
    </row>
    <row r="9213" spans="1:26" x14ac:dyDescent="0.2">
      <c r="A9213" s="8">
        <v>9212</v>
      </c>
      <c r="B9213" s="8" t="s">
        <v>39969</v>
      </c>
      <c r="C9213" s="8" t="s">
        <v>39969</v>
      </c>
      <c r="G9213" s="8">
        <v>20</v>
      </c>
      <c r="H9213" s="8" t="s">
        <v>21</v>
      </c>
      <c r="I9213" s="8" t="s">
        <v>22</v>
      </c>
      <c r="J9213" s="8" t="s">
        <v>22</v>
      </c>
      <c r="K9213" s="8" t="s">
        <v>449</v>
      </c>
      <c r="L9213" s="8" t="s">
        <v>30854</v>
      </c>
      <c r="M9213" s="8" t="s">
        <v>30855</v>
      </c>
      <c r="N9213" s="8" t="s">
        <v>39970</v>
      </c>
      <c r="O9213" s="8">
        <f>21+20/60+17.1/3600</f>
        <v>21.338083333333334</v>
      </c>
      <c r="P9213" s="8" t="s">
        <v>39971</v>
      </c>
      <c r="Q9213" s="8">
        <f>-(5+36/60+17/3600)</f>
        <v>-5.6047222222222217</v>
      </c>
      <c r="R9213" s="8">
        <v>14.7</v>
      </c>
      <c r="S9213" s="8">
        <v>15.5</v>
      </c>
      <c r="T9213" s="8">
        <v>0.8</v>
      </c>
      <c r="U9213" s="8">
        <v>13.3</v>
      </c>
      <c r="V9213" s="8">
        <v>0.8</v>
      </c>
      <c r="W9213" s="8">
        <v>0.4</v>
      </c>
      <c r="X9213" s="8">
        <v>140</v>
      </c>
      <c r="Y9213" s="8" t="s">
        <v>39972</v>
      </c>
      <c r="Z9213" s="8" t="s">
        <v>39973</v>
      </c>
    </row>
    <row r="9214" spans="1:26" x14ac:dyDescent="0.2">
      <c r="A9214" s="8">
        <v>9213</v>
      </c>
      <c r="B9214" s="8" t="s">
        <v>39974</v>
      </c>
      <c r="C9214" s="8" t="s">
        <v>39974</v>
      </c>
      <c r="G9214" s="8">
        <v>20</v>
      </c>
      <c r="H9214" s="8" t="s">
        <v>21</v>
      </c>
      <c r="I9214" s="8" t="s">
        <v>22</v>
      </c>
      <c r="J9214" s="8" t="s">
        <v>22</v>
      </c>
      <c r="K9214" s="8" t="s">
        <v>37</v>
      </c>
      <c r="L9214" s="8" t="s">
        <v>30854</v>
      </c>
      <c r="M9214" s="8" t="s">
        <v>30855</v>
      </c>
      <c r="N9214" s="8" t="s">
        <v>39975</v>
      </c>
      <c r="O9214" s="8">
        <f>21+20/60+37.1/3600</f>
        <v>21.343638888888886</v>
      </c>
      <c r="P9214" s="8" t="s">
        <v>39976</v>
      </c>
      <c r="Q9214" s="8">
        <f>+(1+5/60+35/3600)</f>
        <v>1.0930555555555554</v>
      </c>
      <c r="R9214" s="8">
        <v>14.5</v>
      </c>
      <c r="S9214" s="8">
        <v>15.5</v>
      </c>
      <c r="T9214" s="8">
        <v>1</v>
      </c>
      <c r="U9214" s="8">
        <v>11.7</v>
      </c>
      <c r="V9214" s="8">
        <v>0.3</v>
      </c>
      <c r="W9214" s="8">
        <v>0.3</v>
      </c>
      <c r="Y9214" s="8" t="s">
        <v>21</v>
      </c>
      <c r="Z9214" s="8" t="s">
        <v>39977</v>
      </c>
    </row>
    <row r="9215" spans="1:26" x14ac:dyDescent="0.2">
      <c r="A9215" s="8">
        <v>9214</v>
      </c>
      <c r="B9215" s="8" t="s">
        <v>39978</v>
      </c>
      <c r="C9215" s="8" t="s">
        <v>39978</v>
      </c>
      <c r="G9215" s="8">
        <v>20</v>
      </c>
      <c r="H9215" s="8" t="s">
        <v>21</v>
      </c>
      <c r="I9215" s="8" t="s">
        <v>22</v>
      </c>
      <c r="J9215" s="8" t="s">
        <v>22</v>
      </c>
      <c r="K9215" s="8" t="s">
        <v>476</v>
      </c>
      <c r="L9215" s="8" t="s">
        <v>30854</v>
      </c>
      <c r="M9215" s="8" t="s">
        <v>30855</v>
      </c>
      <c r="N9215" s="8" t="s">
        <v>39979</v>
      </c>
      <c r="O9215" s="8">
        <f>21+21/60+2.6/3600</f>
        <v>21.350722222222224</v>
      </c>
      <c r="P9215" s="8" t="s">
        <v>39980</v>
      </c>
      <c r="Q9215" s="8">
        <f>+(1+42/60+49/3600)</f>
        <v>1.713611111111111</v>
      </c>
      <c r="R9215" s="8">
        <v>15.1</v>
      </c>
      <c r="S9215" s="8">
        <v>15.9</v>
      </c>
      <c r="T9215" s="8">
        <v>0.8</v>
      </c>
      <c r="U9215" s="8">
        <v>11.9</v>
      </c>
      <c r="V9215" s="8">
        <v>0.3</v>
      </c>
      <c r="W9215" s="8">
        <v>0.2</v>
      </c>
      <c r="X9215" s="8">
        <v>90</v>
      </c>
      <c r="Y9215" s="8" t="s">
        <v>27526</v>
      </c>
      <c r="Z9215" s="8" t="s">
        <v>22882</v>
      </c>
    </row>
    <row r="9216" spans="1:26" x14ac:dyDescent="0.2">
      <c r="A9216" s="8">
        <v>9215</v>
      </c>
      <c r="B9216" s="8" t="s">
        <v>39981</v>
      </c>
      <c r="C9216" s="8" t="s">
        <v>39981</v>
      </c>
      <c r="G9216" s="8">
        <v>20</v>
      </c>
      <c r="H9216" s="8" t="s">
        <v>21</v>
      </c>
      <c r="I9216" s="8" t="s">
        <v>22</v>
      </c>
      <c r="J9216" s="8" t="s">
        <v>22</v>
      </c>
      <c r="K9216" s="8" t="s">
        <v>424</v>
      </c>
      <c r="L9216" s="8" t="s">
        <v>31150</v>
      </c>
      <c r="M9216" s="8" t="s">
        <v>31151</v>
      </c>
      <c r="N9216" s="8" t="s">
        <v>39982</v>
      </c>
      <c r="O9216" s="8">
        <f>21+20/60+59.7/3600</f>
        <v>21.349916666666665</v>
      </c>
      <c r="P9216" s="8" t="s">
        <v>39983</v>
      </c>
      <c r="Q9216" s="8">
        <f>+(3+59/60+9/3600)</f>
        <v>3.9858333333333333</v>
      </c>
      <c r="R9216" s="8">
        <v>14.2</v>
      </c>
      <c r="S9216" s="8">
        <v>15.1</v>
      </c>
      <c r="T9216" s="8">
        <v>0.9</v>
      </c>
      <c r="U9216" s="8">
        <v>13.7</v>
      </c>
      <c r="V9216" s="8">
        <v>1</v>
      </c>
      <c r="W9216" s="8">
        <v>0.7</v>
      </c>
      <c r="X9216" s="8">
        <v>138</v>
      </c>
      <c r="Y9216" s="8" t="s">
        <v>39984</v>
      </c>
      <c r="Z9216" s="8" t="s">
        <v>39985</v>
      </c>
    </row>
    <row r="9217" spans="1:26" x14ac:dyDescent="0.2">
      <c r="A9217" s="8">
        <v>9216</v>
      </c>
      <c r="B9217" s="8" t="s">
        <v>39986</v>
      </c>
      <c r="C9217" s="8" t="s">
        <v>39986</v>
      </c>
      <c r="G9217" s="8">
        <v>20</v>
      </c>
      <c r="H9217" s="8" t="s">
        <v>21</v>
      </c>
      <c r="I9217" s="8" t="s">
        <v>329</v>
      </c>
      <c r="J9217" s="8" t="s">
        <v>329</v>
      </c>
      <c r="K9217" s="8" t="s">
        <v>329</v>
      </c>
      <c r="L9217" s="8" t="s">
        <v>30854</v>
      </c>
      <c r="M9217" s="8" t="s">
        <v>30855</v>
      </c>
      <c r="N9217" s="8" t="s">
        <v>39987</v>
      </c>
      <c r="O9217" s="8">
        <f>21+24/60+42/3600</f>
        <v>21.411666666666665</v>
      </c>
      <c r="P9217" s="8" t="s">
        <v>39988</v>
      </c>
      <c r="Q9217" s="8">
        <f>-(5+44/60+34/3600)</f>
        <v>-5.7427777777777775</v>
      </c>
      <c r="R9217" s="8">
        <v>99</v>
      </c>
      <c r="S9217" s="8">
        <v>99</v>
      </c>
      <c r="T9217" s="8">
        <v>99</v>
      </c>
      <c r="U9217" s="8">
        <v>99</v>
      </c>
      <c r="Y9217" s="8" t="s">
        <v>1694</v>
      </c>
      <c r="Z9217" s="8" t="s">
        <v>38252</v>
      </c>
    </row>
    <row r="9218" spans="1:26" x14ac:dyDescent="0.2">
      <c r="A9218" s="8">
        <v>9217</v>
      </c>
      <c r="B9218" s="8" t="s">
        <v>39989</v>
      </c>
      <c r="C9218" s="8" t="s">
        <v>39989</v>
      </c>
      <c r="G9218" s="8">
        <v>20</v>
      </c>
      <c r="H9218" s="8" t="s">
        <v>21</v>
      </c>
      <c r="I9218" s="8" t="s">
        <v>22</v>
      </c>
      <c r="J9218" s="8" t="s">
        <v>22</v>
      </c>
      <c r="K9218" s="8" t="s">
        <v>160</v>
      </c>
      <c r="L9218" s="8" t="s">
        <v>31150</v>
      </c>
      <c r="M9218" s="8" t="s">
        <v>31151</v>
      </c>
      <c r="N9218" s="8" t="s">
        <v>39990</v>
      </c>
      <c r="O9218" s="8">
        <f>21+25/60+26.8/3600</f>
        <v>21.424111111111113</v>
      </c>
      <c r="P9218" s="8" t="s">
        <v>39991</v>
      </c>
      <c r="Q9218" s="8">
        <f>+(4+18/60+51/3600)</f>
        <v>4.3141666666666669</v>
      </c>
      <c r="R9218" s="8">
        <v>14.3</v>
      </c>
      <c r="S9218" s="8">
        <v>15</v>
      </c>
      <c r="T9218" s="8">
        <v>0.7</v>
      </c>
      <c r="U9218" s="8">
        <v>13.5</v>
      </c>
      <c r="V9218" s="8">
        <v>0.8</v>
      </c>
      <c r="W9218" s="8">
        <v>0.7</v>
      </c>
      <c r="X9218" s="8">
        <v>120</v>
      </c>
      <c r="Y9218" s="8" t="s">
        <v>13469</v>
      </c>
      <c r="Z9218" s="8" t="s">
        <v>13470</v>
      </c>
    </row>
    <row r="9219" spans="1:26" x14ac:dyDescent="0.2">
      <c r="A9219" s="8">
        <v>9218</v>
      </c>
      <c r="B9219" s="8" t="s">
        <v>39992</v>
      </c>
      <c r="C9219" s="8" t="s">
        <v>39992</v>
      </c>
      <c r="G9219" s="8">
        <v>20</v>
      </c>
      <c r="H9219" s="8" t="s">
        <v>21</v>
      </c>
      <c r="I9219" s="8" t="s">
        <v>72</v>
      </c>
      <c r="J9219" s="8" t="s">
        <v>72</v>
      </c>
      <c r="K9219" s="8" t="s">
        <v>1405</v>
      </c>
      <c r="L9219" s="8" t="s">
        <v>242</v>
      </c>
      <c r="M9219" s="8" t="s">
        <v>243</v>
      </c>
      <c r="N9219" s="8" t="s">
        <v>39993</v>
      </c>
      <c r="O9219" s="8">
        <f>21+22/60+52/3600</f>
        <v>21.38111111111111</v>
      </c>
      <c r="P9219" s="8" t="s">
        <v>39994</v>
      </c>
      <c r="Q9219" s="8">
        <f>+(55+27/60+50/3600)</f>
        <v>55.463888888888889</v>
      </c>
      <c r="R9219" s="8">
        <v>99</v>
      </c>
      <c r="S9219" s="8">
        <v>99</v>
      </c>
      <c r="T9219" s="8">
        <v>99</v>
      </c>
      <c r="U9219" s="8">
        <v>99</v>
      </c>
      <c r="Y9219" s="8" t="s">
        <v>39995</v>
      </c>
      <c r="Z9219" s="8" t="s">
        <v>39996</v>
      </c>
    </row>
    <row r="9220" spans="1:26" x14ac:dyDescent="0.2">
      <c r="A9220" s="8">
        <v>9219</v>
      </c>
      <c r="B9220" s="8" t="s">
        <v>39997</v>
      </c>
      <c r="C9220" s="8" t="s">
        <v>39997</v>
      </c>
      <c r="G9220" s="8">
        <v>20</v>
      </c>
      <c r="H9220" s="8" t="s">
        <v>21</v>
      </c>
      <c r="I9220" s="8" t="s">
        <v>22</v>
      </c>
      <c r="J9220" s="8" t="s">
        <v>22</v>
      </c>
      <c r="K9220" s="8" t="s">
        <v>460</v>
      </c>
      <c r="L9220" s="8" t="s">
        <v>31150</v>
      </c>
      <c r="M9220" s="8" t="s">
        <v>31151</v>
      </c>
      <c r="N9220" s="8" t="s">
        <v>39998</v>
      </c>
      <c r="O9220" s="8">
        <f>21+26/60+1.1/3600</f>
        <v>21.43363888888889</v>
      </c>
      <c r="P9220" s="8" t="s">
        <v>39999</v>
      </c>
      <c r="Q9220" s="8">
        <f>+(3+5/60+50/3600)</f>
        <v>3.0972222222222223</v>
      </c>
      <c r="R9220" s="8">
        <v>14.5</v>
      </c>
      <c r="S9220" s="8">
        <v>15.5</v>
      </c>
      <c r="T9220" s="8">
        <v>1</v>
      </c>
      <c r="U9220" s="8">
        <v>12</v>
      </c>
      <c r="V9220" s="8">
        <v>0.3</v>
      </c>
      <c r="W9220" s="8">
        <v>0.3</v>
      </c>
      <c r="Y9220" s="8" t="s">
        <v>40000</v>
      </c>
      <c r="Z9220" s="8" t="s">
        <v>40001</v>
      </c>
    </row>
    <row r="9221" spans="1:26" x14ac:dyDescent="0.2">
      <c r="A9221" s="8">
        <v>9220</v>
      </c>
      <c r="B9221" s="8" t="s">
        <v>40002</v>
      </c>
      <c r="C9221" s="8" t="s">
        <v>40002</v>
      </c>
      <c r="G9221" s="8">
        <v>20</v>
      </c>
      <c r="H9221" s="8" t="s">
        <v>21</v>
      </c>
      <c r="I9221" s="8" t="s">
        <v>22</v>
      </c>
      <c r="J9221" s="8" t="s">
        <v>22</v>
      </c>
      <c r="K9221" s="8" t="s">
        <v>424</v>
      </c>
      <c r="L9221" s="8" t="s">
        <v>24</v>
      </c>
      <c r="M9221" s="8" t="s">
        <v>25</v>
      </c>
      <c r="N9221" s="8" t="s">
        <v>40003</v>
      </c>
      <c r="O9221" s="8">
        <f>21+27/60+10.9/3600</f>
        <v>21.453027777777777</v>
      </c>
      <c r="P9221" s="8" t="s">
        <v>40004</v>
      </c>
      <c r="Q9221" s="8">
        <f>+(2+43/60+5/3600)</f>
        <v>2.7180555555555559</v>
      </c>
      <c r="R9221" s="8">
        <v>14.3</v>
      </c>
      <c r="S9221" s="8">
        <v>15.3</v>
      </c>
      <c r="T9221" s="8">
        <v>1</v>
      </c>
      <c r="U9221" s="8">
        <v>11.5</v>
      </c>
      <c r="V9221" s="8">
        <v>0.3</v>
      </c>
      <c r="W9221" s="8">
        <v>0.3</v>
      </c>
      <c r="Y9221" s="8" t="s">
        <v>22516</v>
      </c>
      <c r="Z9221" s="8" t="s">
        <v>22517</v>
      </c>
    </row>
    <row r="9222" spans="1:26" x14ac:dyDescent="0.2">
      <c r="A9222" s="8">
        <v>9221</v>
      </c>
      <c r="B9222" s="8" t="s">
        <v>40005</v>
      </c>
      <c r="C9222" s="8" t="s">
        <v>40005</v>
      </c>
      <c r="G9222" s="8">
        <v>20</v>
      </c>
      <c r="H9222" s="8" t="s">
        <v>21</v>
      </c>
      <c r="I9222" s="8" t="s">
        <v>22</v>
      </c>
      <c r="J9222" s="8" t="s">
        <v>22</v>
      </c>
      <c r="K9222" s="8" t="s">
        <v>37986</v>
      </c>
      <c r="L9222" s="8" t="s">
        <v>30854</v>
      </c>
      <c r="M9222" s="8" t="s">
        <v>30855</v>
      </c>
      <c r="N9222" s="8" t="s">
        <v>40006</v>
      </c>
      <c r="O9222" s="8">
        <f>21+27/60+33.6/3600</f>
        <v>21.459333333333333</v>
      </c>
      <c r="P9222" s="8" t="s">
        <v>40007</v>
      </c>
      <c r="Q9222" s="8">
        <f>-(1+11/60+17/3600)</f>
        <v>-1.1880555555555556</v>
      </c>
      <c r="R9222" s="8">
        <v>14.6</v>
      </c>
      <c r="S9222" s="8">
        <v>15.4</v>
      </c>
      <c r="T9222" s="8">
        <v>0.8</v>
      </c>
      <c r="U9222" s="8">
        <v>13.5</v>
      </c>
      <c r="V9222" s="8">
        <v>0.8</v>
      </c>
      <c r="W9222" s="8">
        <v>0.5</v>
      </c>
      <c r="X9222" s="8">
        <v>57</v>
      </c>
      <c r="Y9222" s="8" t="s">
        <v>3952</v>
      </c>
      <c r="Z9222" s="8" t="s">
        <v>3953</v>
      </c>
    </row>
    <row r="9223" spans="1:26" x14ac:dyDescent="0.2">
      <c r="A9223" s="8">
        <v>9222</v>
      </c>
      <c r="B9223" s="8" t="s">
        <v>40008</v>
      </c>
      <c r="C9223" s="8" t="s">
        <v>40008</v>
      </c>
      <c r="G9223" s="8">
        <v>20</v>
      </c>
      <c r="H9223" s="8" t="s">
        <v>21</v>
      </c>
      <c r="I9223" s="8" t="s">
        <v>22</v>
      </c>
      <c r="J9223" s="8" t="s">
        <v>57</v>
      </c>
      <c r="K9223" s="8" t="s">
        <v>85</v>
      </c>
      <c r="L9223" s="8" t="s">
        <v>24</v>
      </c>
      <c r="M9223" s="8" t="s">
        <v>25</v>
      </c>
      <c r="N9223" s="8" t="s">
        <v>31326</v>
      </c>
      <c r="O9223" s="8">
        <f>21+22/60+7.5/3600</f>
        <v>21.368750000000002</v>
      </c>
      <c r="P9223" s="8" t="s">
        <v>31327</v>
      </c>
      <c r="Q9223" s="8">
        <f>+(18+39/60+56/3600)</f>
        <v>18.665555555555553</v>
      </c>
      <c r="R9223" s="8">
        <v>12.9</v>
      </c>
      <c r="S9223" s="8">
        <v>13.7</v>
      </c>
      <c r="T9223" s="8">
        <v>0.8</v>
      </c>
      <c r="U9223" s="8">
        <v>12.7</v>
      </c>
      <c r="V9223" s="8">
        <v>1.5</v>
      </c>
      <c r="W9223" s="8">
        <v>0.9</v>
      </c>
      <c r="X9223" s="8">
        <v>57</v>
      </c>
      <c r="Y9223" s="8" t="s">
        <v>26587</v>
      </c>
      <c r="Z9223" s="8" t="s">
        <v>26588</v>
      </c>
    </row>
    <row r="9224" spans="1:26" x14ac:dyDescent="0.2">
      <c r="A9224" s="8">
        <v>9223</v>
      </c>
      <c r="B9224" s="8" t="s">
        <v>40009</v>
      </c>
      <c r="C9224" s="8" t="s">
        <v>40009</v>
      </c>
      <c r="G9224" s="8">
        <v>20</v>
      </c>
      <c r="H9224" s="8" t="s">
        <v>21</v>
      </c>
      <c r="I9224" s="8" t="s">
        <v>22</v>
      </c>
      <c r="J9224" s="8" t="s">
        <v>22</v>
      </c>
      <c r="K9224" s="8" t="s">
        <v>449</v>
      </c>
      <c r="L9224" s="8" t="s">
        <v>30854</v>
      </c>
      <c r="M9224" s="8" t="s">
        <v>30855</v>
      </c>
      <c r="N9224" s="8" t="s">
        <v>40010</v>
      </c>
      <c r="O9224" s="8">
        <f>21+27/60+39.5/3600</f>
        <v>21.460972222222221</v>
      </c>
      <c r="P9224" s="8" t="s">
        <v>40011</v>
      </c>
      <c r="Q9224" s="8">
        <f>-(1+6/60+8/3600)</f>
        <v>-1.1022222222222222</v>
      </c>
      <c r="R9224" s="8">
        <v>14.5</v>
      </c>
      <c r="S9224" s="8">
        <v>15.3</v>
      </c>
      <c r="T9224" s="8">
        <v>0.8</v>
      </c>
      <c r="U9224" s="8">
        <v>11.6</v>
      </c>
      <c r="V9224" s="8">
        <v>0.4</v>
      </c>
      <c r="W9224" s="8">
        <v>0.2</v>
      </c>
      <c r="X9224" s="8">
        <v>140</v>
      </c>
      <c r="Y9224" s="8" t="s">
        <v>5926</v>
      </c>
      <c r="Z9224" s="8" t="s">
        <v>23179</v>
      </c>
    </row>
    <row r="9225" spans="1:26" x14ac:dyDescent="0.2">
      <c r="A9225" s="8">
        <v>9224</v>
      </c>
      <c r="B9225" s="8" t="s">
        <v>40012</v>
      </c>
      <c r="C9225" s="8" t="s">
        <v>40012</v>
      </c>
      <c r="G9225" s="8">
        <v>20</v>
      </c>
      <c r="H9225" s="8" t="s">
        <v>21</v>
      </c>
      <c r="I9225" s="8" t="s">
        <v>22</v>
      </c>
      <c r="J9225" s="8" t="s">
        <v>22</v>
      </c>
      <c r="K9225" s="8" t="s">
        <v>4219</v>
      </c>
      <c r="L9225" s="8" t="s">
        <v>30854</v>
      </c>
      <c r="M9225" s="8" t="s">
        <v>30855</v>
      </c>
      <c r="N9225" s="8" t="s">
        <v>40013</v>
      </c>
      <c r="O9225" s="8">
        <f>21+27/60+53/3600</f>
        <v>21.464722222222221</v>
      </c>
      <c r="P9225" s="8" t="s">
        <v>40014</v>
      </c>
      <c r="Q9225" s="8">
        <f>-(1+22/60+7/3600)</f>
        <v>-1.3686111111111112</v>
      </c>
      <c r="R9225" s="8">
        <v>14.7</v>
      </c>
      <c r="S9225" s="8">
        <v>15.4</v>
      </c>
      <c r="T9225" s="8">
        <v>0.7</v>
      </c>
      <c r="U9225" s="8">
        <v>13.4</v>
      </c>
      <c r="V9225" s="8">
        <v>0.7</v>
      </c>
      <c r="W9225" s="8">
        <v>0.5</v>
      </c>
      <c r="Y9225" s="8" t="s">
        <v>421</v>
      </c>
      <c r="Z9225" s="8" t="s">
        <v>422</v>
      </c>
    </row>
    <row r="9226" spans="1:26" x14ac:dyDescent="0.2">
      <c r="A9226" s="8">
        <v>9225</v>
      </c>
      <c r="B9226" s="8" t="s">
        <v>40015</v>
      </c>
      <c r="C9226" s="8" t="s">
        <v>40015</v>
      </c>
      <c r="G9226" s="8">
        <v>20</v>
      </c>
      <c r="H9226" s="8" t="s">
        <v>21</v>
      </c>
      <c r="I9226" s="8" t="s">
        <v>22</v>
      </c>
      <c r="J9226" s="8" t="s">
        <v>22</v>
      </c>
      <c r="K9226" s="8" t="s">
        <v>1445</v>
      </c>
      <c r="L9226" s="8" t="s">
        <v>30854</v>
      </c>
      <c r="M9226" s="8" t="s">
        <v>30855</v>
      </c>
      <c r="N9226" s="8" t="s">
        <v>40016</v>
      </c>
      <c r="O9226" s="8">
        <f>21+28/60+51.1/3600</f>
        <v>21.480861111111111</v>
      </c>
      <c r="P9226" s="8" t="s">
        <v>40017</v>
      </c>
      <c r="Q9226" s="8">
        <f>-(1+4/60+11/3600)</f>
        <v>-1.0697222222222222</v>
      </c>
      <c r="R9226" s="8">
        <v>15</v>
      </c>
      <c r="S9226" s="8">
        <v>15.8</v>
      </c>
      <c r="T9226" s="8">
        <v>0.8</v>
      </c>
      <c r="U9226" s="8">
        <v>12.9</v>
      </c>
      <c r="V9226" s="8">
        <v>0.4</v>
      </c>
      <c r="W9226" s="8">
        <v>0.4</v>
      </c>
      <c r="Y9226" s="8" t="s">
        <v>12996</v>
      </c>
      <c r="Z9226" s="8" t="s">
        <v>12997</v>
      </c>
    </row>
    <row r="9227" spans="1:26" x14ac:dyDescent="0.2">
      <c r="A9227" s="8">
        <v>9226</v>
      </c>
      <c r="B9227" s="8" t="s">
        <v>40018</v>
      </c>
      <c r="C9227" s="8" t="s">
        <v>40018</v>
      </c>
      <c r="G9227" s="8">
        <v>20</v>
      </c>
      <c r="H9227" s="8" t="s">
        <v>21</v>
      </c>
      <c r="I9227" s="8" t="s">
        <v>22</v>
      </c>
      <c r="J9227" s="8" t="s">
        <v>22</v>
      </c>
      <c r="K9227" s="8" t="s">
        <v>58</v>
      </c>
      <c r="L9227" s="8" t="s">
        <v>30635</v>
      </c>
      <c r="M9227" s="8" t="s">
        <v>30636</v>
      </c>
      <c r="N9227" s="8" t="s">
        <v>40019</v>
      </c>
      <c r="O9227" s="8">
        <f>21+29/60+37.4/3600</f>
        <v>21.493722222222225</v>
      </c>
      <c r="P9227" s="8" t="s">
        <v>40020</v>
      </c>
      <c r="Q9227" s="8">
        <f>-(21+11/60+44/3600)</f>
        <v>-21.195555555555554</v>
      </c>
      <c r="R9227" s="8">
        <v>13.1</v>
      </c>
      <c r="S9227" s="8">
        <v>14.2</v>
      </c>
      <c r="T9227" s="8">
        <v>1.1000000000000001</v>
      </c>
      <c r="U9227" s="8">
        <v>13</v>
      </c>
      <c r="V9227" s="8">
        <v>1.5</v>
      </c>
      <c r="W9227" s="8">
        <v>1.1000000000000001</v>
      </c>
      <c r="X9227" s="8">
        <v>130</v>
      </c>
      <c r="Y9227" s="8" t="s">
        <v>21</v>
      </c>
      <c r="Z9227" s="8" t="s">
        <v>40021</v>
      </c>
    </row>
    <row r="9228" spans="1:26" x14ac:dyDescent="0.2">
      <c r="A9228" s="8">
        <v>9227</v>
      </c>
      <c r="B9228" s="8" t="s">
        <v>40022</v>
      </c>
      <c r="C9228" s="8" t="s">
        <v>40022</v>
      </c>
      <c r="G9228" s="8">
        <v>20</v>
      </c>
      <c r="H9228" s="8" t="s">
        <v>21</v>
      </c>
      <c r="I9228" s="8" t="s">
        <v>22</v>
      </c>
      <c r="J9228" s="8" t="s">
        <v>22</v>
      </c>
      <c r="K9228" s="8" t="s">
        <v>382</v>
      </c>
      <c r="L9228" s="8" t="s">
        <v>30854</v>
      </c>
      <c r="M9228" s="8" t="s">
        <v>30855</v>
      </c>
      <c r="N9228" s="8" t="s">
        <v>40023</v>
      </c>
      <c r="O9228" s="8">
        <f>21+29/60+34.4/3600</f>
        <v>21.492888888888888</v>
      </c>
      <c r="P9228" s="8" t="s">
        <v>40024</v>
      </c>
      <c r="Q9228" s="8">
        <f>-(1+21/60+2/3600)</f>
        <v>-1.3505555555555557</v>
      </c>
      <c r="R9228" s="8">
        <v>14.5</v>
      </c>
      <c r="S9228" s="8">
        <v>15.5</v>
      </c>
      <c r="T9228" s="8">
        <v>1</v>
      </c>
      <c r="U9228" s="8">
        <v>12.3</v>
      </c>
      <c r="V9228" s="8">
        <v>0.4</v>
      </c>
      <c r="W9228" s="8">
        <v>0.3</v>
      </c>
      <c r="X9228" s="8">
        <v>6</v>
      </c>
      <c r="Y9228" s="8" t="s">
        <v>34725</v>
      </c>
      <c r="Z9228" s="8" t="s">
        <v>40025</v>
      </c>
    </row>
    <row r="9229" spans="1:26" x14ac:dyDescent="0.2">
      <c r="A9229" s="8">
        <v>9228</v>
      </c>
      <c r="B9229" s="8" t="s">
        <v>40026</v>
      </c>
      <c r="C9229" s="8" t="s">
        <v>40026</v>
      </c>
      <c r="G9229" s="8">
        <v>20</v>
      </c>
      <c r="H9229" s="8" t="s">
        <v>21</v>
      </c>
      <c r="I9229" s="8" t="s">
        <v>22</v>
      </c>
      <c r="J9229" s="8" t="s">
        <v>22</v>
      </c>
      <c r="K9229" s="8" t="s">
        <v>449</v>
      </c>
      <c r="L9229" s="8" t="s">
        <v>30854</v>
      </c>
      <c r="M9229" s="8" t="s">
        <v>30855</v>
      </c>
      <c r="N9229" s="8" t="s">
        <v>40027</v>
      </c>
      <c r="O9229" s="8">
        <f>21+29/60+52.1/3600</f>
        <v>21.497805555555555</v>
      </c>
      <c r="P9229" s="8" t="s">
        <v>40028</v>
      </c>
      <c r="Q9229" s="8">
        <f>-(0+37/60+51/3600)</f>
        <v>-0.63083333333333336</v>
      </c>
      <c r="R9229" s="8">
        <v>14.2</v>
      </c>
      <c r="S9229" s="8">
        <v>15</v>
      </c>
      <c r="T9229" s="8">
        <v>0.8</v>
      </c>
      <c r="U9229" s="8">
        <v>11.3</v>
      </c>
      <c r="V9229" s="8">
        <v>0.4</v>
      </c>
      <c r="W9229" s="8">
        <v>0.2</v>
      </c>
      <c r="X9229" s="8">
        <v>135</v>
      </c>
      <c r="Y9229" s="8" t="s">
        <v>40029</v>
      </c>
      <c r="Z9229" s="8" t="s">
        <v>40030</v>
      </c>
    </row>
    <row r="9230" spans="1:26" x14ac:dyDescent="0.2">
      <c r="A9230" s="8">
        <v>9229</v>
      </c>
      <c r="B9230" s="8" t="s">
        <v>40031</v>
      </c>
      <c r="C9230" s="8" t="s">
        <v>40031</v>
      </c>
      <c r="G9230" s="8">
        <v>20</v>
      </c>
      <c r="H9230" s="8" t="s">
        <v>21</v>
      </c>
      <c r="I9230" s="8" t="s">
        <v>22</v>
      </c>
      <c r="J9230" s="8" t="s">
        <v>22</v>
      </c>
      <c r="K9230" s="8" t="s">
        <v>160</v>
      </c>
      <c r="L9230" s="8" t="s">
        <v>30635</v>
      </c>
      <c r="M9230" s="8" t="s">
        <v>30636</v>
      </c>
      <c r="N9230" s="8" t="s">
        <v>40032</v>
      </c>
      <c r="O9230" s="8">
        <f>21+32/60+8/3600</f>
        <v>21.535555555555558</v>
      </c>
      <c r="P9230" s="8" t="s">
        <v>40033</v>
      </c>
      <c r="Q9230" s="8">
        <f>-(18+1/60+9/3600)</f>
        <v>-18.019166666666667</v>
      </c>
      <c r="R9230" s="8">
        <v>14.5</v>
      </c>
      <c r="S9230" s="8">
        <v>15.4</v>
      </c>
      <c r="T9230" s="8">
        <v>0.9</v>
      </c>
      <c r="U9230" s="8">
        <v>12.9</v>
      </c>
      <c r="V9230" s="8">
        <v>0.7</v>
      </c>
      <c r="W9230" s="8">
        <v>0.5</v>
      </c>
      <c r="X9230" s="8">
        <v>120</v>
      </c>
      <c r="Y9230" s="8" t="s">
        <v>530</v>
      </c>
      <c r="Z9230" s="8" t="s">
        <v>531</v>
      </c>
    </row>
    <row r="9231" spans="1:26" x14ac:dyDescent="0.2">
      <c r="A9231" s="8">
        <v>9230</v>
      </c>
      <c r="B9231" s="8" t="s">
        <v>40034</v>
      </c>
      <c r="C9231" s="8" t="s">
        <v>40034</v>
      </c>
      <c r="G9231" s="8">
        <v>20</v>
      </c>
      <c r="H9231" s="8" t="s">
        <v>21</v>
      </c>
      <c r="I9231" s="8" t="s">
        <v>22</v>
      </c>
      <c r="J9231" s="8" t="s">
        <v>22</v>
      </c>
      <c r="K9231" s="8" t="s">
        <v>64</v>
      </c>
      <c r="L9231" s="8" t="s">
        <v>30854</v>
      </c>
      <c r="M9231" s="8" t="s">
        <v>30855</v>
      </c>
      <c r="N9231" s="8" t="s">
        <v>40035</v>
      </c>
      <c r="O9231" s="8">
        <f>21+32/60+24.9/3600</f>
        <v>21.54025</v>
      </c>
      <c r="P9231" s="8" t="s">
        <v>40036</v>
      </c>
      <c r="Q9231" s="8">
        <f>-(1+51/60+43/3600)</f>
        <v>-1.8619444444444446</v>
      </c>
      <c r="R9231" s="8">
        <v>14.5</v>
      </c>
      <c r="S9231" s="8">
        <v>15.5</v>
      </c>
      <c r="T9231" s="8">
        <v>1</v>
      </c>
      <c r="U9231" s="8">
        <v>13.4</v>
      </c>
      <c r="V9231" s="8">
        <v>0.7</v>
      </c>
      <c r="W9231" s="8">
        <v>0.6</v>
      </c>
      <c r="X9231" s="8">
        <v>162</v>
      </c>
      <c r="Y9231" s="8" t="s">
        <v>3952</v>
      </c>
      <c r="Z9231" s="8" t="s">
        <v>3953</v>
      </c>
    </row>
    <row r="9232" spans="1:26" x14ac:dyDescent="0.2">
      <c r="A9232" s="8">
        <v>9231</v>
      </c>
      <c r="B9232" s="8" t="s">
        <v>40037</v>
      </c>
      <c r="C9232" s="8" t="s">
        <v>40037</v>
      </c>
      <c r="G9232" s="8">
        <v>20</v>
      </c>
      <c r="H9232" s="8" t="s">
        <v>21</v>
      </c>
      <c r="I9232" s="8" t="s">
        <v>22</v>
      </c>
      <c r="J9232" s="8" t="s">
        <v>22</v>
      </c>
      <c r="K9232" s="8" t="s">
        <v>818</v>
      </c>
      <c r="L9232" s="8" t="s">
        <v>30854</v>
      </c>
      <c r="M9232" s="8" t="s">
        <v>30855</v>
      </c>
      <c r="N9232" s="8" t="s">
        <v>40038</v>
      </c>
      <c r="O9232" s="8">
        <f>21+35/60+0.4/3600</f>
        <v>21.583444444444442</v>
      </c>
      <c r="P9232" s="8" t="s">
        <v>40039</v>
      </c>
      <c r="Q9232" s="8">
        <f>-(0+30/60+41/3600)</f>
        <v>-0.51138888888888889</v>
      </c>
      <c r="R9232" s="8">
        <v>14.7</v>
      </c>
      <c r="S9232" s="8">
        <v>15.7</v>
      </c>
      <c r="T9232" s="8">
        <v>1</v>
      </c>
      <c r="U9232" s="8">
        <v>11.3</v>
      </c>
      <c r="V9232" s="8">
        <v>0.2</v>
      </c>
      <c r="W9232" s="8">
        <v>0.2</v>
      </c>
      <c r="Y9232" s="8" t="s">
        <v>17508</v>
      </c>
      <c r="Z9232" s="8" t="s">
        <v>17509</v>
      </c>
    </row>
    <row r="9233" spans="1:26" x14ac:dyDescent="0.2">
      <c r="A9233" s="8">
        <v>9232</v>
      </c>
      <c r="B9233" s="8" t="s">
        <v>40040</v>
      </c>
      <c r="C9233" s="8" t="s">
        <v>40040</v>
      </c>
      <c r="G9233" s="8">
        <v>20</v>
      </c>
      <c r="H9233" s="8" t="s">
        <v>21</v>
      </c>
      <c r="I9233" s="8" t="s">
        <v>22</v>
      </c>
      <c r="J9233" s="8" t="s">
        <v>22</v>
      </c>
      <c r="K9233" s="8" t="s">
        <v>58</v>
      </c>
      <c r="L9233" s="8" t="s">
        <v>30032</v>
      </c>
      <c r="M9233" s="8" t="s">
        <v>30033</v>
      </c>
      <c r="N9233" s="8" t="s">
        <v>40041</v>
      </c>
      <c r="O9233" s="8">
        <f>21+35/60+32.6/3600</f>
        <v>21.592388888888888</v>
      </c>
      <c r="P9233" s="8" t="s">
        <v>40042</v>
      </c>
      <c r="Q9233" s="8">
        <f>+(35+23/60+55/3600)</f>
        <v>35.398611111111109</v>
      </c>
      <c r="R9233" s="8">
        <v>12</v>
      </c>
      <c r="S9233" s="8">
        <v>13</v>
      </c>
      <c r="T9233" s="8">
        <v>1</v>
      </c>
      <c r="U9233" s="8">
        <v>11.8</v>
      </c>
      <c r="V9233" s="8">
        <v>1.1000000000000001</v>
      </c>
      <c r="W9233" s="8">
        <v>0.7</v>
      </c>
      <c r="X9233" s="8">
        <v>75</v>
      </c>
      <c r="Y9233" s="8" t="s">
        <v>21</v>
      </c>
      <c r="Z9233" s="8" t="s">
        <v>40043</v>
      </c>
    </row>
    <row r="9234" spans="1:26" x14ac:dyDescent="0.2">
      <c r="A9234" s="8">
        <v>9233</v>
      </c>
      <c r="B9234" s="8" t="s">
        <v>40044</v>
      </c>
      <c r="C9234" s="8" t="s">
        <v>40044</v>
      </c>
      <c r="G9234" s="8">
        <v>20</v>
      </c>
      <c r="H9234" s="8" t="s">
        <v>21</v>
      </c>
      <c r="I9234" s="8" t="s">
        <v>22</v>
      </c>
      <c r="J9234" s="8" t="s">
        <v>22</v>
      </c>
      <c r="K9234" s="8" t="s">
        <v>37</v>
      </c>
      <c r="L9234" s="8" t="s">
        <v>30635</v>
      </c>
      <c r="M9234" s="8" t="s">
        <v>30636</v>
      </c>
      <c r="N9234" s="8" t="s">
        <v>40045</v>
      </c>
      <c r="O9234" s="8">
        <f>21+40/60+14.1/3600</f>
        <v>21.670583333333333</v>
      </c>
      <c r="P9234" s="8" t="s">
        <v>40046</v>
      </c>
      <c r="Q9234" s="8">
        <f>-(22+24/60+40/3600)</f>
        <v>-22.411111111111111</v>
      </c>
      <c r="R9234" s="8">
        <v>14.6</v>
      </c>
      <c r="S9234" s="8">
        <v>15.6</v>
      </c>
      <c r="T9234" s="8">
        <v>1</v>
      </c>
      <c r="U9234" s="8">
        <v>13.7</v>
      </c>
      <c r="V9234" s="8">
        <v>0.6</v>
      </c>
      <c r="W9234" s="8">
        <v>0.4</v>
      </c>
      <c r="X9234" s="8">
        <v>174</v>
      </c>
      <c r="Y9234" s="8" t="s">
        <v>34789</v>
      </c>
      <c r="Z9234" s="8" t="s">
        <v>34790</v>
      </c>
    </row>
    <row r="9235" spans="1:26" x14ac:dyDescent="0.2">
      <c r="A9235" s="8">
        <v>9234</v>
      </c>
      <c r="B9235" s="8" t="s">
        <v>40047</v>
      </c>
      <c r="C9235" s="8" t="s">
        <v>40047</v>
      </c>
      <c r="G9235" s="8">
        <v>20</v>
      </c>
      <c r="H9235" s="8" t="s">
        <v>21</v>
      </c>
      <c r="I9235" s="8" t="s">
        <v>22</v>
      </c>
      <c r="J9235" s="8" t="s">
        <v>22</v>
      </c>
      <c r="K9235" s="8" t="s">
        <v>424</v>
      </c>
      <c r="L9235" s="8" t="s">
        <v>24</v>
      </c>
      <c r="M9235" s="8" t="s">
        <v>25</v>
      </c>
      <c r="N9235" s="8" t="s">
        <v>40048</v>
      </c>
      <c r="O9235" s="8">
        <f>21+40/60+12.9/3600</f>
        <v>21.670250000000003</v>
      </c>
      <c r="P9235" s="8" t="s">
        <v>40049</v>
      </c>
      <c r="Q9235" s="8">
        <f>+(14+38/60+1/3600)</f>
        <v>14.63361111111111</v>
      </c>
      <c r="R9235" s="8">
        <v>14.2</v>
      </c>
      <c r="S9235" s="8">
        <v>15.2</v>
      </c>
      <c r="T9235" s="8">
        <v>1</v>
      </c>
      <c r="U9235" s="8">
        <v>13.9</v>
      </c>
      <c r="V9235" s="8">
        <v>1</v>
      </c>
      <c r="W9235" s="8">
        <v>0.9</v>
      </c>
      <c r="X9235" s="8">
        <v>177</v>
      </c>
      <c r="Y9235" s="8" t="s">
        <v>227</v>
      </c>
      <c r="Z9235" s="8" t="s">
        <v>228</v>
      </c>
    </row>
    <row r="9236" spans="1:26" x14ac:dyDescent="0.2">
      <c r="A9236" s="8">
        <v>9235</v>
      </c>
      <c r="B9236" s="8" t="s">
        <v>40050</v>
      </c>
      <c r="C9236" s="8" t="s">
        <v>40050</v>
      </c>
      <c r="G9236" s="8">
        <v>20</v>
      </c>
      <c r="H9236" s="8" t="s">
        <v>21</v>
      </c>
      <c r="I9236" s="8" t="s">
        <v>22</v>
      </c>
      <c r="J9236" s="8" t="s">
        <v>22</v>
      </c>
      <c r="K9236" s="8" t="s">
        <v>424</v>
      </c>
      <c r="L9236" s="8" t="s">
        <v>24</v>
      </c>
      <c r="M9236" s="8" t="s">
        <v>25</v>
      </c>
      <c r="N9236" s="8" t="s">
        <v>31547</v>
      </c>
      <c r="O9236" s="8">
        <f>21+41/60+41.3/3600</f>
        <v>21.694805555555554</v>
      </c>
      <c r="P9236" s="8" t="s">
        <v>40051</v>
      </c>
      <c r="Q9236" s="8">
        <f>+(4+6/60+18/3600)</f>
        <v>4.1049999999999995</v>
      </c>
      <c r="R9236" s="8">
        <v>14.4</v>
      </c>
      <c r="S9236" s="8">
        <v>15.4</v>
      </c>
      <c r="T9236" s="8">
        <v>1</v>
      </c>
      <c r="U9236" s="8">
        <v>11.6</v>
      </c>
      <c r="V9236" s="8">
        <v>0.3</v>
      </c>
      <c r="W9236" s="8">
        <v>0.3</v>
      </c>
      <c r="Y9236" s="8" t="s">
        <v>40052</v>
      </c>
      <c r="Z9236" s="8" t="s">
        <v>40053</v>
      </c>
    </row>
    <row r="9237" spans="1:26" x14ac:dyDescent="0.2">
      <c r="A9237" s="8">
        <v>9236</v>
      </c>
      <c r="B9237" s="8" t="s">
        <v>40054</v>
      </c>
      <c r="C9237" s="8" t="s">
        <v>40054</v>
      </c>
      <c r="G9237" s="8">
        <v>5</v>
      </c>
      <c r="H9237" s="8" t="s">
        <v>40055</v>
      </c>
      <c r="I9237" s="8" t="s">
        <v>1283</v>
      </c>
      <c r="J9237" s="8" t="s">
        <v>1283</v>
      </c>
      <c r="K9237" s="8" t="s">
        <v>1284</v>
      </c>
      <c r="L9237" s="8" t="s">
        <v>242</v>
      </c>
      <c r="M9237" s="8" t="s">
        <v>243</v>
      </c>
      <c r="N9237" s="8" t="s">
        <v>40056</v>
      </c>
      <c r="O9237" s="8">
        <f>21+38/60+54/3600</f>
        <v>21.648333333333333</v>
      </c>
      <c r="P9237" s="8" t="s">
        <v>40057</v>
      </c>
      <c r="Q9237" s="8">
        <f>+(57+29/60+20/3600)</f>
        <v>57.488888888888887</v>
      </c>
      <c r="R9237" s="8">
        <v>99</v>
      </c>
      <c r="S9237" s="8">
        <v>99</v>
      </c>
      <c r="T9237" s="8">
        <v>99</v>
      </c>
      <c r="U9237" s="8">
        <v>99</v>
      </c>
      <c r="V9237" s="8">
        <v>170</v>
      </c>
      <c r="W9237" s="8">
        <v>140</v>
      </c>
      <c r="Y9237" s="8" t="s">
        <v>21</v>
      </c>
      <c r="Z9237" s="8" t="s">
        <v>40058</v>
      </c>
    </row>
    <row r="9238" spans="1:26" x14ac:dyDescent="0.2">
      <c r="A9238" s="8">
        <v>9237</v>
      </c>
      <c r="B9238" s="8" t="s">
        <v>40059</v>
      </c>
      <c r="C9238" s="8" t="s">
        <v>40059</v>
      </c>
      <c r="G9238" s="8">
        <v>20</v>
      </c>
      <c r="H9238" s="8" t="s">
        <v>21</v>
      </c>
      <c r="I9238" s="8" t="s">
        <v>22</v>
      </c>
      <c r="J9238" s="8" t="s">
        <v>22</v>
      </c>
      <c r="K9238" s="8" t="s">
        <v>449</v>
      </c>
      <c r="L9238" s="8" t="s">
        <v>30854</v>
      </c>
      <c r="M9238" s="8" t="s">
        <v>30855</v>
      </c>
      <c r="N9238" s="8" t="s">
        <v>40060</v>
      </c>
      <c r="O9238" s="8">
        <f>21+44/60+2.2/3600</f>
        <v>21.733944444444447</v>
      </c>
      <c r="P9238" s="8" t="s">
        <v>40061</v>
      </c>
      <c r="Q9238" s="8">
        <f>-(4+53/60+4/3600)</f>
        <v>-4.8844444444444441</v>
      </c>
      <c r="R9238" s="8">
        <v>14.5</v>
      </c>
      <c r="S9238" s="8">
        <v>15.3</v>
      </c>
      <c r="T9238" s="8">
        <v>0.8</v>
      </c>
      <c r="U9238" s="8">
        <v>12.7</v>
      </c>
      <c r="V9238" s="8">
        <v>0.7</v>
      </c>
      <c r="W9238" s="8">
        <v>0.3</v>
      </c>
      <c r="X9238" s="8">
        <v>0</v>
      </c>
      <c r="Y9238" s="8" t="s">
        <v>256</v>
      </c>
      <c r="Z9238" s="8" t="s">
        <v>2209</v>
      </c>
    </row>
    <row r="9239" spans="1:26" x14ac:dyDescent="0.2">
      <c r="A9239" s="8">
        <v>9238</v>
      </c>
      <c r="B9239" s="8" t="s">
        <v>40062</v>
      </c>
      <c r="C9239" s="8" t="s">
        <v>40062</v>
      </c>
      <c r="G9239" s="8">
        <v>20</v>
      </c>
      <c r="H9239" s="8" t="s">
        <v>21</v>
      </c>
      <c r="I9239" s="8" t="s">
        <v>22</v>
      </c>
      <c r="J9239" s="8" t="s">
        <v>22</v>
      </c>
      <c r="K9239" s="8" t="s">
        <v>160</v>
      </c>
      <c r="L9239" s="8" t="s">
        <v>24</v>
      </c>
      <c r="M9239" s="8" t="s">
        <v>25</v>
      </c>
      <c r="N9239" s="8" t="s">
        <v>40063</v>
      </c>
      <c r="O9239" s="8">
        <f>21+45/60+51.4/3600</f>
        <v>21.764277777777778</v>
      </c>
      <c r="P9239" s="8" t="s">
        <v>40064</v>
      </c>
      <c r="Q9239" s="8">
        <f>+(9+28/60+32/3600)</f>
        <v>9.4755555555555553</v>
      </c>
      <c r="R9239" s="8">
        <v>14.6</v>
      </c>
      <c r="S9239" s="8">
        <v>15.3</v>
      </c>
      <c r="T9239" s="8">
        <v>0.7</v>
      </c>
      <c r="U9239" s="8">
        <v>13.3</v>
      </c>
      <c r="V9239" s="8">
        <v>0.9</v>
      </c>
      <c r="W9239" s="8">
        <v>0.4</v>
      </c>
      <c r="X9239" s="8">
        <v>81</v>
      </c>
      <c r="Y9239" s="8" t="s">
        <v>7702</v>
      </c>
      <c r="Z9239" s="8" t="s">
        <v>7703</v>
      </c>
    </row>
    <row r="9240" spans="1:26" x14ac:dyDescent="0.2">
      <c r="A9240" s="8">
        <v>9239</v>
      </c>
      <c r="B9240" s="8" t="s">
        <v>40065</v>
      </c>
      <c r="C9240" s="8" t="s">
        <v>40065</v>
      </c>
      <c r="G9240" s="8">
        <v>20</v>
      </c>
      <c r="H9240" s="8" t="s">
        <v>21</v>
      </c>
      <c r="I9240" s="8" t="s">
        <v>22</v>
      </c>
      <c r="J9240" s="8" t="s">
        <v>22</v>
      </c>
      <c r="K9240" s="8" t="s">
        <v>424</v>
      </c>
      <c r="L9240" s="8" t="s">
        <v>24</v>
      </c>
      <c r="M9240" s="8" t="s">
        <v>25</v>
      </c>
      <c r="N9240" s="8" t="s">
        <v>40066</v>
      </c>
      <c r="O9240" s="8">
        <f>21+46/60+8.8/3600</f>
        <v>21.769111111111108</v>
      </c>
      <c r="P9240" s="8" t="s">
        <v>40067</v>
      </c>
      <c r="Q9240" s="8">
        <f>+(4+24/60+10/3600)</f>
        <v>4.4027777777777786</v>
      </c>
      <c r="R9240" s="8">
        <v>14.7</v>
      </c>
      <c r="S9240" s="8">
        <v>15.7</v>
      </c>
      <c r="T9240" s="8">
        <v>1</v>
      </c>
      <c r="U9240" s="8">
        <v>11.9</v>
      </c>
      <c r="V9240" s="8">
        <v>0.3</v>
      </c>
      <c r="W9240" s="8">
        <v>0.3</v>
      </c>
      <c r="Y9240" s="8" t="s">
        <v>1948</v>
      </c>
      <c r="Z9240" s="8" t="s">
        <v>1949</v>
      </c>
    </row>
    <row r="9241" spans="1:26" x14ac:dyDescent="0.2">
      <c r="A9241" s="8">
        <v>9240</v>
      </c>
      <c r="B9241" s="8" t="s">
        <v>40068</v>
      </c>
      <c r="C9241" s="8" t="s">
        <v>40068</v>
      </c>
      <c r="G9241" s="8">
        <v>20</v>
      </c>
      <c r="H9241" s="8" t="s">
        <v>21</v>
      </c>
      <c r="I9241" s="8" t="s">
        <v>72</v>
      </c>
      <c r="J9241" s="8" t="s">
        <v>72</v>
      </c>
      <c r="K9241" s="8" t="s">
        <v>1405</v>
      </c>
      <c r="L9241" s="8" t="s">
        <v>30032</v>
      </c>
      <c r="M9241" s="8" t="s">
        <v>30033</v>
      </c>
      <c r="N9241" s="8" t="s">
        <v>31517</v>
      </c>
      <c r="O9241" s="8">
        <f>21+44/60+16/3600</f>
        <v>21.737777777777779</v>
      </c>
      <c r="P9241" s="8" t="s">
        <v>40069</v>
      </c>
      <c r="Q9241" s="8">
        <f>+(52+58/60+0/3600)</f>
        <v>52.966666666666669</v>
      </c>
      <c r="R9241" s="8">
        <v>99</v>
      </c>
      <c r="S9241" s="8">
        <v>99</v>
      </c>
      <c r="T9241" s="8">
        <v>99</v>
      </c>
      <c r="U9241" s="8">
        <v>99</v>
      </c>
      <c r="Y9241" s="8" t="s">
        <v>21</v>
      </c>
      <c r="Z9241" s="8" t="s">
        <v>40070</v>
      </c>
    </row>
    <row r="9242" spans="1:26" x14ac:dyDescent="0.2">
      <c r="A9242" s="8">
        <v>9241</v>
      </c>
      <c r="B9242" s="8" t="s">
        <v>40071</v>
      </c>
      <c r="C9242" s="8" t="s">
        <v>40071</v>
      </c>
      <c r="G9242" s="8">
        <v>20</v>
      </c>
      <c r="H9242" s="8" t="s">
        <v>21</v>
      </c>
      <c r="I9242" s="8" t="s">
        <v>22</v>
      </c>
      <c r="J9242" s="8" t="s">
        <v>22</v>
      </c>
      <c r="K9242" s="8" t="s">
        <v>396</v>
      </c>
      <c r="L9242" s="8" t="s">
        <v>30854</v>
      </c>
      <c r="M9242" s="8" t="s">
        <v>30855</v>
      </c>
      <c r="N9242" s="8" t="s">
        <v>40072</v>
      </c>
      <c r="O9242" s="8">
        <f>21+46/60+59.5/3600</f>
        <v>21.783194444444444</v>
      </c>
      <c r="P9242" s="8" t="s">
        <v>40073</v>
      </c>
      <c r="Q9242" s="8">
        <f>+(1+42/60+41/3600)</f>
        <v>1.7113888888888888</v>
      </c>
      <c r="R9242" s="8">
        <v>13.8</v>
      </c>
      <c r="S9242" s="8">
        <v>14.4</v>
      </c>
      <c r="T9242" s="8">
        <v>0.6</v>
      </c>
      <c r="U9242" s="8">
        <v>13.8</v>
      </c>
      <c r="V9242" s="8">
        <v>1.8</v>
      </c>
      <c r="W9242" s="8">
        <v>0.7</v>
      </c>
      <c r="X9242" s="8">
        <v>175</v>
      </c>
      <c r="Y9242" s="8" t="s">
        <v>40074</v>
      </c>
      <c r="Z9242" s="8" t="s">
        <v>40075</v>
      </c>
    </row>
    <row r="9243" spans="1:26" x14ac:dyDescent="0.2">
      <c r="A9243" s="8">
        <v>9242</v>
      </c>
      <c r="B9243" s="8" t="s">
        <v>40076</v>
      </c>
      <c r="C9243" s="8" t="s">
        <v>40076</v>
      </c>
      <c r="G9243" s="8">
        <v>20</v>
      </c>
      <c r="H9243" s="8" t="s">
        <v>21</v>
      </c>
      <c r="I9243" s="8" t="s">
        <v>72</v>
      </c>
      <c r="J9243" s="8" t="s">
        <v>72</v>
      </c>
      <c r="K9243" s="8" t="s">
        <v>1405</v>
      </c>
      <c r="L9243" s="8" t="s">
        <v>30032</v>
      </c>
      <c r="M9243" s="8" t="s">
        <v>30033</v>
      </c>
      <c r="N9243" s="8" t="s">
        <v>40077</v>
      </c>
      <c r="O9243" s="8">
        <f>21+44/60+58/3600</f>
        <v>21.749444444444446</v>
      </c>
      <c r="P9243" s="8" t="s">
        <v>40078</v>
      </c>
      <c r="Q9243" s="8">
        <f>+(53+15/60+48/3600)</f>
        <v>53.263333333333335</v>
      </c>
      <c r="R9243" s="8">
        <v>99</v>
      </c>
      <c r="S9243" s="8">
        <v>99</v>
      </c>
      <c r="T9243" s="8">
        <v>99</v>
      </c>
      <c r="U9243" s="8">
        <v>99</v>
      </c>
      <c r="Y9243" s="8" t="s">
        <v>21</v>
      </c>
      <c r="Z9243" s="8" t="s">
        <v>40079</v>
      </c>
    </row>
    <row r="9244" spans="1:26" x14ac:dyDescent="0.2">
      <c r="A9244" s="8">
        <v>9243</v>
      </c>
      <c r="B9244" s="8" t="s">
        <v>40080</v>
      </c>
      <c r="C9244" s="8" t="s">
        <v>40080</v>
      </c>
      <c r="G9244" s="8">
        <v>20</v>
      </c>
      <c r="H9244" s="8" t="s">
        <v>21</v>
      </c>
      <c r="I9244" s="8" t="s">
        <v>22</v>
      </c>
      <c r="J9244" s="8" t="s">
        <v>22</v>
      </c>
      <c r="K9244" s="8" t="s">
        <v>449</v>
      </c>
      <c r="L9244" s="8" t="s">
        <v>30854</v>
      </c>
      <c r="M9244" s="8" t="s">
        <v>30855</v>
      </c>
      <c r="N9244" s="8" t="s">
        <v>40081</v>
      </c>
      <c r="O9244" s="8">
        <f>21+50/60+29/3600</f>
        <v>21.841388888888886</v>
      </c>
      <c r="P9244" s="8" t="s">
        <v>40082</v>
      </c>
      <c r="Q9244" s="8">
        <f>-(2+42/60+56/3600)</f>
        <v>-2.7155555555555559</v>
      </c>
      <c r="R9244" s="8">
        <v>15.8</v>
      </c>
      <c r="S9244" s="8">
        <v>16.600000000000001</v>
      </c>
      <c r="T9244" s="8">
        <v>0.8</v>
      </c>
      <c r="U9244" s="8">
        <v>13.6</v>
      </c>
      <c r="V9244" s="8">
        <v>0.5</v>
      </c>
      <c r="W9244" s="8">
        <v>0.3</v>
      </c>
      <c r="X9244" s="8">
        <v>160</v>
      </c>
      <c r="Y9244" s="8" t="s">
        <v>40083</v>
      </c>
      <c r="Z9244" s="8" t="s">
        <v>40084</v>
      </c>
    </row>
    <row r="9245" spans="1:26" x14ac:dyDescent="0.2">
      <c r="A9245" s="8">
        <v>9244</v>
      </c>
      <c r="B9245" s="8" t="s">
        <v>40085</v>
      </c>
      <c r="C9245" s="8" t="s">
        <v>40085</v>
      </c>
      <c r="G9245" s="8">
        <v>20</v>
      </c>
      <c r="H9245" s="8" t="s">
        <v>21</v>
      </c>
      <c r="I9245" s="8" t="s">
        <v>22</v>
      </c>
      <c r="J9245" s="8" t="s">
        <v>22</v>
      </c>
      <c r="K9245" s="8" t="s">
        <v>460</v>
      </c>
      <c r="L9245" s="8" t="s">
        <v>30635</v>
      </c>
      <c r="M9245" s="8" t="s">
        <v>30636</v>
      </c>
      <c r="N9245" s="8" t="s">
        <v>40086</v>
      </c>
      <c r="O9245" s="8">
        <f>21+50/60+56.3/3600</f>
        <v>21.848972222222223</v>
      </c>
      <c r="P9245" s="8" t="s">
        <v>40087</v>
      </c>
      <c r="Q9245" s="8">
        <f>-(9+15/60+58/3600)</f>
        <v>-9.2661111111111119</v>
      </c>
      <c r="R9245" s="8">
        <v>14</v>
      </c>
      <c r="S9245" s="8">
        <v>15</v>
      </c>
      <c r="T9245" s="8">
        <v>1</v>
      </c>
      <c r="U9245" s="8">
        <v>13.6</v>
      </c>
      <c r="V9245" s="8">
        <v>0.8</v>
      </c>
      <c r="W9245" s="8">
        <v>0.8</v>
      </c>
      <c r="Y9245" s="8" t="s">
        <v>40088</v>
      </c>
      <c r="Z9245" s="8" t="s">
        <v>40089</v>
      </c>
    </row>
    <row r="9246" spans="1:26" x14ac:dyDescent="0.2">
      <c r="A9246" s="8">
        <v>9245</v>
      </c>
      <c r="B9246" s="8" t="s">
        <v>40090</v>
      </c>
      <c r="C9246" s="8" t="s">
        <v>40090</v>
      </c>
      <c r="G9246" s="8">
        <v>20</v>
      </c>
      <c r="H9246" s="8" t="s">
        <v>21</v>
      </c>
      <c r="I9246" s="8" t="s">
        <v>22</v>
      </c>
      <c r="J9246" s="8" t="s">
        <v>22</v>
      </c>
      <c r="K9246" s="8" t="s">
        <v>406</v>
      </c>
      <c r="L9246" s="8" t="s">
        <v>30854</v>
      </c>
      <c r="M9246" s="8" t="s">
        <v>30855</v>
      </c>
      <c r="N9246" s="8" t="s">
        <v>40091</v>
      </c>
      <c r="O9246" s="8">
        <f>21+50/60+49.8/3600</f>
        <v>21.847166666666666</v>
      </c>
      <c r="P9246" s="8" t="s">
        <v>40092</v>
      </c>
      <c r="Q9246" s="8">
        <f>+(2+1/60+17/3600)</f>
        <v>2.0213888888888887</v>
      </c>
      <c r="R9246" s="8">
        <v>13.8</v>
      </c>
      <c r="S9246" s="8">
        <v>14.6</v>
      </c>
      <c r="T9246" s="8">
        <v>0.8</v>
      </c>
      <c r="U9246" s="8">
        <v>13.2</v>
      </c>
      <c r="V9246" s="8">
        <v>0.9</v>
      </c>
      <c r="W9246" s="8">
        <v>0.7</v>
      </c>
      <c r="X9246" s="8">
        <v>115</v>
      </c>
      <c r="Y9246" s="8" t="s">
        <v>8732</v>
      </c>
      <c r="Z9246" s="8" t="s">
        <v>8733</v>
      </c>
    </row>
    <row r="9247" spans="1:26" x14ac:dyDescent="0.2">
      <c r="A9247" s="8">
        <v>9246</v>
      </c>
      <c r="B9247" s="8" t="s">
        <v>40093</v>
      </c>
      <c r="C9247" s="8" t="s">
        <v>40093</v>
      </c>
      <c r="G9247" s="8">
        <v>20</v>
      </c>
      <c r="H9247" s="8" t="s">
        <v>21</v>
      </c>
      <c r="I9247" s="8" t="s">
        <v>22</v>
      </c>
      <c r="J9247" s="8" t="s">
        <v>22</v>
      </c>
      <c r="K9247" s="8" t="s">
        <v>460</v>
      </c>
      <c r="L9247" s="8" t="s">
        <v>30854</v>
      </c>
      <c r="M9247" s="8" t="s">
        <v>30855</v>
      </c>
      <c r="N9247" s="8" t="s">
        <v>40094</v>
      </c>
      <c r="O9247" s="8">
        <f>21+51/60+4.8/3600</f>
        <v>21.851333333333336</v>
      </c>
      <c r="P9247" s="8" t="s">
        <v>40095</v>
      </c>
      <c r="Q9247" s="8">
        <f>+(1+59/60+15/3600)</f>
        <v>1.9875</v>
      </c>
      <c r="R9247" s="8">
        <v>14.7</v>
      </c>
      <c r="S9247" s="8">
        <v>15.7</v>
      </c>
      <c r="T9247" s="8">
        <v>1</v>
      </c>
      <c r="U9247" s="8">
        <v>12.2</v>
      </c>
      <c r="V9247" s="8">
        <v>0.3</v>
      </c>
      <c r="W9247" s="8">
        <v>0.3</v>
      </c>
      <c r="Y9247" s="8" t="s">
        <v>5926</v>
      </c>
      <c r="Z9247" s="8" t="s">
        <v>23179</v>
      </c>
    </row>
    <row r="9248" spans="1:26" x14ac:dyDescent="0.2">
      <c r="A9248" s="8">
        <v>9247</v>
      </c>
      <c r="B9248" s="8" t="s">
        <v>40096</v>
      </c>
      <c r="C9248" s="8" t="s">
        <v>40096</v>
      </c>
      <c r="E9248" s="8">
        <v>1</v>
      </c>
      <c r="G9248" s="8">
        <v>20</v>
      </c>
      <c r="H9248" s="8" t="s">
        <v>21</v>
      </c>
      <c r="I9248" s="8" t="s">
        <v>22</v>
      </c>
      <c r="J9248" s="8" t="s">
        <v>22</v>
      </c>
      <c r="K9248" s="8" t="s">
        <v>424</v>
      </c>
      <c r="L9248" s="8" t="s">
        <v>24</v>
      </c>
      <c r="M9248" s="8" t="s">
        <v>25</v>
      </c>
      <c r="N9248" s="8" t="s">
        <v>40097</v>
      </c>
      <c r="O9248" s="8">
        <f>21+52/60+23.4/3600</f>
        <v>21.873166666666666</v>
      </c>
      <c r="P9248" s="8" t="s">
        <v>40098</v>
      </c>
      <c r="Q9248" s="8">
        <f>+(3+25/60+36/3600)</f>
        <v>3.4266666666666663</v>
      </c>
      <c r="R9248" s="8">
        <v>14.3</v>
      </c>
      <c r="S9248" s="8">
        <v>15.3</v>
      </c>
      <c r="T9248" s="8">
        <v>1</v>
      </c>
      <c r="U9248" s="8">
        <v>12.4</v>
      </c>
      <c r="V9248" s="8">
        <v>0.4</v>
      </c>
      <c r="W9248" s="8">
        <v>0.3</v>
      </c>
      <c r="Y9248" s="8" t="s">
        <v>19961</v>
      </c>
      <c r="Z9248" s="8" t="s">
        <v>19962</v>
      </c>
    </row>
    <row r="9249" spans="1:26" x14ac:dyDescent="0.2">
      <c r="A9249" s="8">
        <v>9248</v>
      </c>
      <c r="B9249" s="8" t="s">
        <v>40099</v>
      </c>
      <c r="C9249" s="8" t="s">
        <v>40099</v>
      </c>
      <c r="G9249" s="8">
        <v>20</v>
      </c>
      <c r="H9249" s="8" t="s">
        <v>21</v>
      </c>
      <c r="I9249" s="8" t="s">
        <v>22</v>
      </c>
      <c r="J9249" s="8" t="s">
        <v>22</v>
      </c>
      <c r="K9249" s="8" t="s">
        <v>37</v>
      </c>
      <c r="L9249" s="8" t="s">
        <v>30635</v>
      </c>
      <c r="M9249" s="8" t="s">
        <v>30636</v>
      </c>
      <c r="N9249" s="8" t="s">
        <v>40100</v>
      </c>
      <c r="O9249" s="8">
        <f>21+53/60+8.9/3600</f>
        <v>21.885805555555557</v>
      </c>
      <c r="P9249" s="8" t="s">
        <v>40101</v>
      </c>
      <c r="Q9249" s="8">
        <f>-(13+20/60+47/3600)</f>
        <v>-13.346388888888889</v>
      </c>
      <c r="R9249" s="8">
        <v>13.9</v>
      </c>
      <c r="S9249" s="8">
        <v>14.9</v>
      </c>
      <c r="T9249" s="8">
        <v>1</v>
      </c>
      <c r="U9249" s="8">
        <v>12.8</v>
      </c>
      <c r="V9249" s="8">
        <v>1</v>
      </c>
      <c r="W9249" s="8">
        <v>0.4</v>
      </c>
      <c r="X9249" s="8">
        <v>33</v>
      </c>
      <c r="Y9249" s="8" t="s">
        <v>3952</v>
      </c>
      <c r="Z9249" s="8" t="s">
        <v>3953</v>
      </c>
    </row>
    <row r="9250" spans="1:26" x14ac:dyDescent="0.2">
      <c r="A9250" s="8">
        <v>9249</v>
      </c>
      <c r="B9250" s="8" t="s">
        <v>40102</v>
      </c>
      <c r="C9250" s="8" t="s">
        <v>40102</v>
      </c>
      <c r="G9250" s="8">
        <v>20</v>
      </c>
      <c r="H9250" s="8" t="s">
        <v>21</v>
      </c>
      <c r="I9250" s="8" t="s">
        <v>22</v>
      </c>
      <c r="J9250" s="8" t="s">
        <v>22</v>
      </c>
      <c r="K9250" s="8" t="s">
        <v>449</v>
      </c>
      <c r="L9250" s="8" t="s">
        <v>30854</v>
      </c>
      <c r="M9250" s="8" t="s">
        <v>30855</v>
      </c>
      <c r="N9250" s="8" t="s">
        <v>40103</v>
      </c>
      <c r="O9250" s="8">
        <f>21+53/60+19.5/3600</f>
        <v>21.888749999999998</v>
      </c>
      <c r="P9250" s="8" t="s">
        <v>40104</v>
      </c>
      <c r="Q9250" s="8">
        <f>-(7+29/60+59/3600)</f>
        <v>-7.4997222222222222</v>
      </c>
      <c r="R9250" s="8">
        <v>15.2</v>
      </c>
      <c r="S9250" s="8">
        <v>16</v>
      </c>
      <c r="T9250" s="8">
        <v>0.8</v>
      </c>
      <c r="U9250" s="8">
        <v>13</v>
      </c>
      <c r="V9250" s="8">
        <v>0.5</v>
      </c>
      <c r="W9250" s="8">
        <v>0.3</v>
      </c>
      <c r="X9250" s="8">
        <v>20</v>
      </c>
      <c r="Y9250" s="8" t="s">
        <v>37602</v>
      </c>
      <c r="Z9250" s="8" t="s">
        <v>37603</v>
      </c>
    </row>
    <row r="9251" spans="1:26" x14ac:dyDescent="0.2">
      <c r="A9251" s="8">
        <v>9250</v>
      </c>
      <c r="B9251" s="8" t="s">
        <v>40105</v>
      </c>
      <c r="C9251" s="8" t="s">
        <v>40105</v>
      </c>
      <c r="G9251" s="8">
        <v>20</v>
      </c>
      <c r="H9251" s="8" t="s">
        <v>21</v>
      </c>
      <c r="I9251" s="8" t="s">
        <v>22</v>
      </c>
      <c r="J9251" s="8" t="s">
        <v>22</v>
      </c>
      <c r="K9251" s="8" t="s">
        <v>50</v>
      </c>
      <c r="L9251" s="8" t="s">
        <v>30854</v>
      </c>
      <c r="M9251" s="8" t="s">
        <v>30855</v>
      </c>
      <c r="N9251" s="8" t="s">
        <v>40106</v>
      </c>
      <c r="O9251" s="8">
        <f>21+56/60+2.1/3600</f>
        <v>21.933916666666669</v>
      </c>
      <c r="P9251" s="8" t="s">
        <v>40107</v>
      </c>
      <c r="Q9251" s="8">
        <f>-(2+53/60+59/3600)</f>
        <v>-2.8997222222222221</v>
      </c>
      <c r="R9251" s="8">
        <v>14.9</v>
      </c>
      <c r="S9251" s="8">
        <v>15.9</v>
      </c>
      <c r="T9251" s="8">
        <v>1</v>
      </c>
      <c r="U9251" s="8">
        <v>12.9</v>
      </c>
      <c r="V9251" s="8">
        <v>0.5</v>
      </c>
      <c r="W9251" s="8">
        <v>0.3</v>
      </c>
      <c r="X9251" s="8">
        <v>130</v>
      </c>
      <c r="Y9251" s="8" t="s">
        <v>40108</v>
      </c>
      <c r="Z9251" s="8" t="s">
        <v>40109</v>
      </c>
    </row>
    <row r="9252" spans="1:26" x14ac:dyDescent="0.2">
      <c r="A9252" s="8">
        <v>9251</v>
      </c>
      <c r="B9252" s="8" t="s">
        <v>40110</v>
      </c>
      <c r="C9252" s="8" t="s">
        <v>40110</v>
      </c>
      <c r="G9252" s="8">
        <v>20</v>
      </c>
      <c r="H9252" s="8" t="s">
        <v>21</v>
      </c>
      <c r="I9252" s="8" t="s">
        <v>22</v>
      </c>
      <c r="J9252" s="8" t="s">
        <v>22</v>
      </c>
      <c r="K9252" s="8" t="s">
        <v>50</v>
      </c>
      <c r="L9252" s="8" t="s">
        <v>30854</v>
      </c>
      <c r="M9252" s="8" t="s">
        <v>30855</v>
      </c>
      <c r="N9252" s="8" t="s">
        <v>40111</v>
      </c>
      <c r="O9252" s="8">
        <f>21+56/60+0.5/3600</f>
        <v>21.933472222222221</v>
      </c>
      <c r="P9252" s="8" t="s">
        <v>40112</v>
      </c>
      <c r="Q9252" s="8">
        <f>-(1+31/60+0/3600)</f>
        <v>-1.5166666666666666</v>
      </c>
      <c r="R9252" s="8">
        <v>13.4</v>
      </c>
      <c r="S9252" s="8">
        <v>14.4</v>
      </c>
      <c r="T9252" s="8">
        <v>1</v>
      </c>
      <c r="U9252" s="8">
        <v>12.5</v>
      </c>
      <c r="V9252" s="8">
        <v>0.9</v>
      </c>
      <c r="W9252" s="8">
        <v>0.5</v>
      </c>
      <c r="X9252" s="8">
        <v>31</v>
      </c>
      <c r="Y9252" s="8" t="s">
        <v>36930</v>
      </c>
      <c r="Z9252" s="8" t="s">
        <v>36931</v>
      </c>
    </row>
    <row r="9253" spans="1:26" x14ac:dyDescent="0.2">
      <c r="A9253" s="8">
        <v>9252</v>
      </c>
      <c r="B9253" s="8" t="s">
        <v>40113</v>
      </c>
      <c r="C9253" s="8" t="s">
        <v>40113</v>
      </c>
      <c r="G9253" s="8">
        <v>20</v>
      </c>
      <c r="H9253" s="8" t="s">
        <v>21</v>
      </c>
      <c r="I9253" s="8" t="s">
        <v>22</v>
      </c>
      <c r="J9253" s="8" t="s">
        <v>22</v>
      </c>
      <c r="K9253" s="8" t="s">
        <v>435</v>
      </c>
      <c r="L9253" s="8" t="s">
        <v>30635</v>
      </c>
      <c r="M9253" s="8" t="s">
        <v>30636</v>
      </c>
      <c r="N9253" s="8" t="s">
        <v>40114</v>
      </c>
      <c r="O9253" s="8">
        <f>21+58/60+18.5/3600</f>
        <v>21.971805555555555</v>
      </c>
      <c r="P9253" s="8" t="s">
        <v>40115</v>
      </c>
      <c r="Q9253" s="8">
        <f>-(17+10/60+36/3600)</f>
        <v>-17.176666666666669</v>
      </c>
      <c r="R9253" s="8">
        <v>13.5</v>
      </c>
      <c r="S9253" s="8">
        <v>14.4</v>
      </c>
      <c r="T9253" s="8">
        <v>0.9</v>
      </c>
      <c r="U9253" s="8">
        <v>12.2</v>
      </c>
      <c r="V9253" s="8">
        <v>0.9</v>
      </c>
      <c r="W9253" s="8">
        <v>0.4</v>
      </c>
      <c r="X9253" s="8">
        <v>99</v>
      </c>
      <c r="Y9253" s="8" t="s">
        <v>21</v>
      </c>
      <c r="Z9253" s="8" t="s">
        <v>40116</v>
      </c>
    </row>
    <row r="9254" spans="1:26" x14ac:dyDescent="0.2">
      <c r="A9254" s="8">
        <v>9253</v>
      </c>
      <c r="B9254" s="8" t="s">
        <v>40117</v>
      </c>
      <c r="C9254" s="8" t="s">
        <v>40117</v>
      </c>
      <c r="E9254" s="8">
        <v>2</v>
      </c>
      <c r="G9254" s="8">
        <v>20</v>
      </c>
      <c r="H9254" s="8" t="s">
        <v>21</v>
      </c>
      <c r="I9254" s="8" t="s">
        <v>22</v>
      </c>
      <c r="J9254" s="8" t="s">
        <v>22</v>
      </c>
      <c r="K9254" s="8" t="s">
        <v>449</v>
      </c>
      <c r="L9254" s="8" t="s">
        <v>30854</v>
      </c>
      <c r="M9254" s="8" t="s">
        <v>30855</v>
      </c>
      <c r="N9254" s="8" t="s">
        <v>40118</v>
      </c>
      <c r="O9254" s="8">
        <f>21+58/60+26.8/3600</f>
        <v>21.97411111111111</v>
      </c>
      <c r="P9254" s="8" t="s">
        <v>40119</v>
      </c>
      <c r="Q9254" s="8">
        <f>-(3+6/60+6/3600)</f>
        <v>-3.1016666666666666</v>
      </c>
      <c r="R9254" s="8">
        <v>15.2</v>
      </c>
      <c r="S9254" s="8">
        <v>16</v>
      </c>
      <c r="T9254" s="8">
        <v>0.8</v>
      </c>
      <c r="U9254" s="8">
        <v>12.9</v>
      </c>
      <c r="V9254" s="8">
        <v>0.7</v>
      </c>
      <c r="W9254" s="8">
        <v>0.2</v>
      </c>
      <c r="X9254" s="8">
        <v>73</v>
      </c>
      <c r="Y9254" s="8" t="s">
        <v>2513</v>
      </c>
      <c r="Z9254" s="8" t="s">
        <v>2514</v>
      </c>
    </row>
    <row r="9255" spans="1:26" x14ac:dyDescent="0.2">
      <c r="A9255" s="8">
        <v>9254</v>
      </c>
      <c r="B9255" s="8" t="s">
        <v>40120</v>
      </c>
      <c r="C9255" s="8" t="s">
        <v>40120</v>
      </c>
      <c r="G9255" s="8">
        <v>20</v>
      </c>
      <c r="H9255" s="8" t="s">
        <v>21</v>
      </c>
      <c r="I9255" s="8" t="s">
        <v>22</v>
      </c>
      <c r="J9255" s="8" t="s">
        <v>22</v>
      </c>
      <c r="K9255" s="8" t="s">
        <v>37</v>
      </c>
      <c r="L9255" s="8" t="s">
        <v>24</v>
      </c>
      <c r="M9255" s="8" t="s">
        <v>25</v>
      </c>
      <c r="N9255" s="8" t="s">
        <v>40121</v>
      </c>
      <c r="O9255" s="8">
        <f>21+58/60+18/3600</f>
        <v>21.971666666666664</v>
      </c>
      <c r="P9255" s="8" t="s">
        <v>39003</v>
      </c>
      <c r="Q9255" s="8">
        <f>+(8+25/60+26/3600)</f>
        <v>8.4238888888888876</v>
      </c>
      <c r="R9255" s="8">
        <v>14</v>
      </c>
      <c r="S9255" s="8">
        <v>15</v>
      </c>
      <c r="T9255" s="8">
        <v>1</v>
      </c>
      <c r="U9255" s="8">
        <v>12.4</v>
      </c>
      <c r="V9255" s="8">
        <v>0.5</v>
      </c>
      <c r="W9255" s="8">
        <v>0.5</v>
      </c>
      <c r="Y9255" s="8" t="s">
        <v>21</v>
      </c>
      <c r="Z9255" s="8" t="s">
        <v>40122</v>
      </c>
    </row>
    <row r="9256" spans="1:26" x14ac:dyDescent="0.2">
      <c r="A9256" s="8">
        <v>9255</v>
      </c>
      <c r="B9256" s="8" t="s">
        <v>40123</v>
      </c>
      <c r="C9256" s="8" t="s">
        <v>40123</v>
      </c>
      <c r="G9256" s="8">
        <v>20</v>
      </c>
      <c r="H9256" s="8" t="s">
        <v>21</v>
      </c>
      <c r="I9256" s="8" t="s">
        <v>329</v>
      </c>
      <c r="J9256" s="8" t="s">
        <v>329</v>
      </c>
      <c r="K9256" s="8" t="s">
        <v>329</v>
      </c>
      <c r="L9256" s="8" t="s">
        <v>30854</v>
      </c>
      <c r="M9256" s="8" t="s">
        <v>30855</v>
      </c>
      <c r="N9256" s="8" t="s">
        <v>40124</v>
      </c>
      <c r="O9256" s="8">
        <f>21+58/60+42.6/3600</f>
        <v>21.978499999999997</v>
      </c>
      <c r="P9256" s="8" t="s">
        <v>40125</v>
      </c>
      <c r="Q9256" s="8">
        <f>+(1+21/60+1/3600)</f>
        <v>1.3502777777777779</v>
      </c>
      <c r="R9256" s="8">
        <v>99</v>
      </c>
      <c r="S9256" s="8">
        <v>99</v>
      </c>
      <c r="T9256" s="8">
        <v>99</v>
      </c>
      <c r="U9256" s="8">
        <v>99</v>
      </c>
      <c r="Y9256" s="8" t="s">
        <v>21</v>
      </c>
      <c r="Z9256" s="8" t="s">
        <v>40126</v>
      </c>
    </row>
    <row r="9257" spans="1:26" x14ac:dyDescent="0.2">
      <c r="A9257" s="8">
        <v>9256</v>
      </c>
      <c r="B9257" s="8" t="s">
        <v>40127</v>
      </c>
      <c r="C9257" s="8" t="s">
        <v>40127</v>
      </c>
      <c r="G9257" s="8">
        <v>20</v>
      </c>
      <c r="H9257" s="8" t="s">
        <v>21</v>
      </c>
      <c r="I9257" s="8" t="s">
        <v>329</v>
      </c>
      <c r="J9257" s="8" t="s">
        <v>329</v>
      </c>
      <c r="K9257" s="8" t="s">
        <v>329</v>
      </c>
      <c r="L9257" s="8" t="s">
        <v>30854</v>
      </c>
      <c r="M9257" s="8" t="s">
        <v>30855</v>
      </c>
      <c r="N9257" s="8" t="s">
        <v>40128</v>
      </c>
      <c r="O9257" s="8">
        <f>21+58/60+49.5/3600</f>
        <v>21.980416666666667</v>
      </c>
      <c r="P9257" s="8" t="s">
        <v>40129</v>
      </c>
      <c r="Q9257" s="8">
        <f>+(1+27/60+5/3600)</f>
        <v>1.4513888888888888</v>
      </c>
      <c r="R9257" s="8">
        <v>99</v>
      </c>
      <c r="S9257" s="8">
        <v>99</v>
      </c>
      <c r="T9257" s="8">
        <v>99</v>
      </c>
      <c r="U9257" s="8">
        <v>99</v>
      </c>
      <c r="Y9257" s="8" t="s">
        <v>21</v>
      </c>
      <c r="Z9257" s="8" t="s">
        <v>40130</v>
      </c>
    </row>
    <row r="9258" spans="1:26" x14ac:dyDescent="0.2">
      <c r="A9258" s="8">
        <v>9257</v>
      </c>
      <c r="B9258" s="8" t="s">
        <v>40131</v>
      </c>
      <c r="C9258" s="8" t="s">
        <v>40131</v>
      </c>
      <c r="G9258" s="8">
        <v>20</v>
      </c>
      <c r="H9258" s="8" t="s">
        <v>21</v>
      </c>
      <c r="I9258" s="8" t="s">
        <v>22</v>
      </c>
      <c r="J9258" s="8" t="s">
        <v>22</v>
      </c>
      <c r="K9258" s="8" t="s">
        <v>23</v>
      </c>
      <c r="L9258" s="8" t="s">
        <v>30854</v>
      </c>
      <c r="M9258" s="8" t="s">
        <v>30855</v>
      </c>
      <c r="N9258" s="8" t="s">
        <v>40132</v>
      </c>
      <c r="O9258" s="8">
        <f>22+0/60+21.7/3600</f>
        <v>22.006027777777778</v>
      </c>
      <c r="P9258" s="8" t="s">
        <v>40133</v>
      </c>
      <c r="Q9258" s="8">
        <f>-(13+8/60+49/3600)</f>
        <v>-13.146944444444443</v>
      </c>
      <c r="R9258" s="8">
        <v>13.7</v>
      </c>
      <c r="S9258" s="8">
        <v>14.5</v>
      </c>
      <c r="T9258" s="8">
        <v>0.8</v>
      </c>
      <c r="U9258" s="8">
        <v>12.8</v>
      </c>
      <c r="V9258" s="8">
        <v>1.3</v>
      </c>
      <c r="W9258" s="8">
        <v>0.4</v>
      </c>
      <c r="X9258" s="8">
        <v>108</v>
      </c>
      <c r="Y9258" s="8" t="s">
        <v>21</v>
      </c>
      <c r="Z9258" s="8" t="s">
        <v>40134</v>
      </c>
    </row>
    <row r="9259" spans="1:26" x14ac:dyDescent="0.2">
      <c r="A9259" s="8">
        <v>9258</v>
      </c>
      <c r="B9259" s="8" t="s">
        <v>40135</v>
      </c>
      <c r="C9259" s="8" t="s">
        <v>40135</v>
      </c>
      <c r="G9259" s="8">
        <v>20</v>
      </c>
      <c r="H9259" s="8" t="s">
        <v>21</v>
      </c>
      <c r="I9259" s="8" t="s">
        <v>22</v>
      </c>
      <c r="J9259" s="8" t="s">
        <v>22</v>
      </c>
      <c r="K9259" s="8" t="s">
        <v>476</v>
      </c>
      <c r="L9259" s="8" t="s">
        <v>24</v>
      </c>
      <c r="M9259" s="8" t="s">
        <v>25</v>
      </c>
      <c r="N9259" s="8" t="s">
        <v>40136</v>
      </c>
      <c r="O9259" s="8">
        <f>22+1/60+59.9/3600</f>
        <v>22.033305555555554</v>
      </c>
      <c r="P9259" s="8" t="s">
        <v>40137</v>
      </c>
      <c r="Q9259" s="8">
        <f>+(4+23/60+5/3600)</f>
        <v>4.3847222222222229</v>
      </c>
      <c r="R9259" s="8">
        <v>14</v>
      </c>
      <c r="S9259" s="8">
        <v>14.9</v>
      </c>
      <c r="T9259" s="8">
        <v>0.9</v>
      </c>
      <c r="U9259" s="8">
        <v>13.6</v>
      </c>
      <c r="V9259" s="8">
        <v>0.9</v>
      </c>
      <c r="W9259" s="8">
        <v>0.7</v>
      </c>
      <c r="X9259" s="8">
        <v>0</v>
      </c>
      <c r="Y9259" s="8" t="s">
        <v>1511</v>
      </c>
      <c r="Z9259" s="8" t="s">
        <v>1512</v>
      </c>
    </row>
    <row r="9260" spans="1:26" x14ac:dyDescent="0.2">
      <c r="A9260" s="8">
        <v>9259</v>
      </c>
      <c r="B9260" s="8" t="s">
        <v>40138</v>
      </c>
      <c r="C9260" s="8" t="s">
        <v>40138</v>
      </c>
      <c r="G9260" s="8">
        <v>20</v>
      </c>
      <c r="H9260" s="8" t="s">
        <v>21</v>
      </c>
      <c r="I9260" s="8" t="s">
        <v>22</v>
      </c>
      <c r="J9260" s="8" t="s">
        <v>22</v>
      </c>
      <c r="K9260" s="8" t="s">
        <v>449</v>
      </c>
      <c r="L9260" s="8" t="s">
        <v>30854</v>
      </c>
      <c r="M9260" s="8" t="s">
        <v>30855</v>
      </c>
      <c r="N9260" s="8" t="s">
        <v>40139</v>
      </c>
      <c r="O9260" s="8">
        <f>22+2/60+58.8/3600</f>
        <v>22.049666666666667</v>
      </c>
      <c r="P9260" s="8" t="s">
        <v>40140</v>
      </c>
      <c r="Q9260" s="8">
        <f>-(9+55/60+14/3600)</f>
        <v>-9.9205555555555556</v>
      </c>
      <c r="R9260" s="8">
        <v>15.2</v>
      </c>
      <c r="S9260" s="8">
        <v>16</v>
      </c>
      <c r="T9260" s="8">
        <v>0.8</v>
      </c>
      <c r="U9260" s="8">
        <v>12.3</v>
      </c>
      <c r="V9260" s="8">
        <v>0.4</v>
      </c>
      <c r="W9260" s="8">
        <v>0.2</v>
      </c>
      <c r="X9260" s="8">
        <v>170</v>
      </c>
      <c r="Y9260" s="8" t="s">
        <v>40141</v>
      </c>
      <c r="Z9260" s="8" t="s">
        <v>40142</v>
      </c>
    </row>
    <row r="9261" spans="1:26" x14ac:dyDescent="0.2">
      <c r="A9261" s="8">
        <v>9260</v>
      </c>
      <c r="B9261" s="8" t="s">
        <v>40143</v>
      </c>
      <c r="C9261" s="8" t="s">
        <v>40143</v>
      </c>
      <c r="G9261" s="8">
        <v>20</v>
      </c>
      <c r="H9261" s="8" t="s">
        <v>21</v>
      </c>
      <c r="I9261" s="8" t="s">
        <v>22</v>
      </c>
      <c r="J9261" s="8" t="s">
        <v>22</v>
      </c>
      <c r="K9261" s="8" t="s">
        <v>37986</v>
      </c>
      <c r="L9261" s="8" t="s">
        <v>24</v>
      </c>
      <c r="M9261" s="8" t="s">
        <v>25</v>
      </c>
      <c r="N9261" s="8" t="s">
        <v>40144</v>
      </c>
      <c r="O9261" s="8">
        <f>22+2/60+31.5/3600</f>
        <v>22.042083333333334</v>
      </c>
      <c r="P9261" s="8" t="s">
        <v>40145</v>
      </c>
      <c r="Q9261" s="8">
        <f>+(19+45/60+0/3600)</f>
        <v>19.75</v>
      </c>
      <c r="R9261" s="8">
        <v>13.2</v>
      </c>
      <c r="S9261" s="8">
        <v>14</v>
      </c>
      <c r="T9261" s="8">
        <v>0.8</v>
      </c>
      <c r="U9261" s="8">
        <v>13</v>
      </c>
      <c r="V9261" s="8">
        <v>1.2</v>
      </c>
      <c r="W9261" s="8">
        <v>0.8</v>
      </c>
      <c r="X9261" s="8">
        <v>90</v>
      </c>
      <c r="Y9261" s="8" t="s">
        <v>38940</v>
      </c>
      <c r="Z9261" s="8" t="s">
        <v>38941</v>
      </c>
    </row>
    <row r="9262" spans="1:26" x14ac:dyDescent="0.2">
      <c r="A9262" s="8">
        <v>9261</v>
      </c>
      <c r="B9262" s="8" t="s">
        <v>40146</v>
      </c>
      <c r="C9262" s="8" t="s">
        <v>40146</v>
      </c>
      <c r="G9262" s="8">
        <v>20</v>
      </c>
      <c r="H9262" s="8" t="s">
        <v>21</v>
      </c>
      <c r="I9262" s="8" t="s">
        <v>22</v>
      </c>
      <c r="J9262" s="8" t="s">
        <v>22</v>
      </c>
      <c r="K9262" s="8" t="s">
        <v>382</v>
      </c>
      <c r="L9262" s="8" t="s">
        <v>30854</v>
      </c>
      <c r="M9262" s="8" t="s">
        <v>30855</v>
      </c>
      <c r="N9262" s="8" t="s">
        <v>40147</v>
      </c>
      <c r="O9262" s="8">
        <f>22+3/60+3.9/3600</f>
        <v>22.051083333333334</v>
      </c>
      <c r="P9262" s="8" t="s">
        <v>40148</v>
      </c>
      <c r="Q9262" s="8">
        <f>-(9+58/60+40/3600)</f>
        <v>-9.9777777777777779</v>
      </c>
      <c r="R9262" s="8">
        <v>14.8</v>
      </c>
      <c r="S9262" s="8">
        <v>15.8</v>
      </c>
      <c r="T9262" s="8">
        <v>1</v>
      </c>
      <c r="U9262" s="8">
        <v>12.6</v>
      </c>
      <c r="V9262" s="8">
        <v>0.4</v>
      </c>
      <c r="W9262" s="8">
        <v>0.3</v>
      </c>
      <c r="X9262" s="8">
        <v>60</v>
      </c>
      <c r="Y9262" s="8" t="s">
        <v>21</v>
      </c>
      <c r="Z9262" s="8" t="s">
        <v>37703</v>
      </c>
    </row>
    <row r="9263" spans="1:26" x14ac:dyDescent="0.2">
      <c r="A9263" s="8">
        <v>9262</v>
      </c>
      <c r="B9263" s="8" t="s">
        <v>40149</v>
      </c>
      <c r="C9263" s="8" t="s">
        <v>40149</v>
      </c>
      <c r="G9263" s="8">
        <v>20</v>
      </c>
      <c r="H9263" s="8" t="s">
        <v>21</v>
      </c>
      <c r="I9263" s="8" t="s">
        <v>22</v>
      </c>
      <c r="J9263" s="8" t="s">
        <v>22</v>
      </c>
      <c r="K9263" s="8" t="s">
        <v>449</v>
      </c>
      <c r="L9263" s="8" t="s">
        <v>24</v>
      </c>
      <c r="M9263" s="8" t="s">
        <v>25</v>
      </c>
      <c r="N9263" s="8" t="s">
        <v>40150</v>
      </c>
      <c r="O9263" s="8">
        <f>22+3/60+0/3600</f>
        <v>22.05</v>
      </c>
      <c r="P9263" s="8" t="s">
        <v>40151</v>
      </c>
      <c r="Q9263" s="8">
        <f>+(2+35/60+58/3600)</f>
        <v>2.5994444444444444</v>
      </c>
      <c r="R9263" s="8">
        <v>14.5</v>
      </c>
      <c r="S9263" s="8">
        <v>15.3</v>
      </c>
      <c r="T9263" s="8">
        <v>0.8</v>
      </c>
      <c r="U9263" s="8">
        <v>11.6</v>
      </c>
      <c r="V9263" s="8">
        <v>0.4</v>
      </c>
      <c r="W9263" s="8">
        <v>0.2</v>
      </c>
      <c r="X9263" s="8">
        <v>135</v>
      </c>
      <c r="Y9263" s="8" t="s">
        <v>21</v>
      </c>
      <c r="Z9263" s="8" t="s">
        <v>40152</v>
      </c>
    </row>
    <row r="9264" spans="1:26" x14ac:dyDescent="0.2">
      <c r="A9264" s="8">
        <v>9263</v>
      </c>
      <c r="B9264" s="8" t="s">
        <v>40153</v>
      </c>
      <c r="C9264" s="8" t="s">
        <v>40153</v>
      </c>
      <c r="G9264" s="8">
        <v>20</v>
      </c>
      <c r="H9264" s="8" t="s">
        <v>21</v>
      </c>
      <c r="I9264" s="8" t="s">
        <v>22</v>
      </c>
      <c r="J9264" s="8" t="s">
        <v>22</v>
      </c>
      <c r="K9264" s="8" t="s">
        <v>218</v>
      </c>
      <c r="L9264" s="8" t="s">
        <v>24</v>
      </c>
      <c r="M9264" s="8" t="s">
        <v>25</v>
      </c>
      <c r="N9264" s="8" t="s">
        <v>40154</v>
      </c>
      <c r="O9264" s="8">
        <f>22+3/60+12.8/3600</f>
        <v>22.053555555555555</v>
      </c>
      <c r="P9264" s="8" t="s">
        <v>40155</v>
      </c>
      <c r="Q9264" s="8">
        <f>+(4+17/60+53/3600)</f>
        <v>4.2980555555555551</v>
      </c>
      <c r="R9264" s="8">
        <v>13.9</v>
      </c>
      <c r="S9264" s="8">
        <v>14.7</v>
      </c>
      <c r="T9264" s="8">
        <v>0.8</v>
      </c>
      <c r="U9264" s="8">
        <v>13</v>
      </c>
      <c r="V9264" s="8">
        <v>1</v>
      </c>
      <c r="W9264" s="8">
        <v>0.5</v>
      </c>
      <c r="X9264" s="8">
        <v>35</v>
      </c>
      <c r="Y9264" s="8" t="s">
        <v>40156</v>
      </c>
      <c r="Z9264" s="8" t="s">
        <v>40157</v>
      </c>
    </row>
    <row r="9265" spans="1:26" x14ac:dyDescent="0.2">
      <c r="A9265" s="8">
        <v>9264</v>
      </c>
      <c r="B9265" s="8" t="s">
        <v>40158</v>
      </c>
      <c r="C9265" s="8" t="s">
        <v>40158</v>
      </c>
      <c r="G9265" s="8">
        <v>20</v>
      </c>
      <c r="H9265" s="8" t="s">
        <v>21</v>
      </c>
      <c r="I9265" s="8" t="s">
        <v>72</v>
      </c>
      <c r="J9265" s="8" t="s">
        <v>72</v>
      </c>
      <c r="K9265" s="8" t="s">
        <v>20</v>
      </c>
      <c r="L9265" s="8" t="s">
        <v>24</v>
      </c>
      <c r="M9265" s="8" t="s">
        <v>25</v>
      </c>
      <c r="N9265" s="8" t="s">
        <v>40159</v>
      </c>
      <c r="O9265" s="8">
        <f>22+3/60+9.3/3600</f>
        <v>22.052583333333335</v>
      </c>
      <c r="P9265" s="8" t="s">
        <v>40160</v>
      </c>
      <c r="Q9265" s="8">
        <f>+(11+11/60+52/3600)</f>
        <v>11.197777777777778</v>
      </c>
      <c r="R9265" s="8">
        <v>99</v>
      </c>
      <c r="S9265" s="8">
        <v>99</v>
      </c>
      <c r="T9265" s="8">
        <v>99</v>
      </c>
      <c r="U9265" s="8">
        <v>99</v>
      </c>
      <c r="Y9265" s="8" t="s">
        <v>21</v>
      </c>
      <c r="Z9265" s="8" t="s">
        <v>40161</v>
      </c>
    </row>
    <row r="9266" spans="1:26" x14ac:dyDescent="0.2">
      <c r="A9266" s="8">
        <v>9265</v>
      </c>
      <c r="B9266" s="8" t="s">
        <v>40162</v>
      </c>
      <c r="C9266" s="8" t="s">
        <v>40162</v>
      </c>
      <c r="G9266" s="8">
        <v>20</v>
      </c>
      <c r="H9266" s="8" t="s">
        <v>21</v>
      </c>
      <c r="I9266" s="8" t="s">
        <v>22</v>
      </c>
      <c r="J9266" s="8" t="s">
        <v>22</v>
      </c>
      <c r="K9266" s="8" t="s">
        <v>449</v>
      </c>
      <c r="L9266" s="8" t="s">
        <v>24</v>
      </c>
      <c r="M9266" s="8" t="s">
        <v>25</v>
      </c>
      <c r="N9266" s="8" t="s">
        <v>40163</v>
      </c>
      <c r="O9266" s="8">
        <f>22+3/60+24.4/3600</f>
        <v>22.056777777777778</v>
      </c>
      <c r="P9266" s="8" t="s">
        <v>30895</v>
      </c>
      <c r="Q9266" s="8">
        <f>+(2+35/60+43/3600)</f>
        <v>2.595277777777778</v>
      </c>
      <c r="R9266" s="8">
        <v>14.3</v>
      </c>
      <c r="S9266" s="8">
        <v>15</v>
      </c>
      <c r="T9266" s="8">
        <v>0.7</v>
      </c>
      <c r="U9266" s="8">
        <v>12.1</v>
      </c>
      <c r="V9266" s="8">
        <v>0.5</v>
      </c>
      <c r="W9266" s="8">
        <v>0.4</v>
      </c>
      <c r="X9266" s="8">
        <v>100</v>
      </c>
      <c r="Y9266" s="8" t="s">
        <v>40164</v>
      </c>
      <c r="Z9266" s="8" t="s">
        <v>40165</v>
      </c>
    </row>
    <row r="9267" spans="1:26" x14ac:dyDescent="0.2">
      <c r="A9267" s="8">
        <v>9266</v>
      </c>
      <c r="B9267" s="8" t="s">
        <v>40166</v>
      </c>
      <c r="C9267" s="8" t="s">
        <v>40166</v>
      </c>
      <c r="G9267" s="8">
        <v>20</v>
      </c>
      <c r="H9267" s="8" t="s">
        <v>21</v>
      </c>
      <c r="I9267" s="8" t="s">
        <v>329</v>
      </c>
      <c r="J9267" s="8" t="s">
        <v>329</v>
      </c>
      <c r="K9267" s="8" t="s">
        <v>329</v>
      </c>
      <c r="L9267" s="8" t="s">
        <v>30854</v>
      </c>
      <c r="M9267" s="8" t="s">
        <v>30855</v>
      </c>
      <c r="N9267" s="8" t="s">
        <v>40167</v>
      </c>
      <c r="O9267" s="8">
        <f>22+3/60+53.1/3600</f>
        <v>22.06475</v>
      </c>
      <c r="P9267" s="8" t="s">
        <v>40168</v>
      </c>
      <c r="Q9267" s="8">
        <f>-(9+54/60+35/3600)</f>
        <v>-9.9097222222222232</v>
      </c>
      <c r="R9267" s="8">
        <v>99</v>
      </c>
      <c r="S9267" s="8">
        <v>99</v>
      </c>
      <c r="T9267" s="8">
        <v>99</v>
      </c>
      <c r="U9267" s="8">
        <v>99</v>
      </c>
      <c r="Y9267" s="8" t="s">
        <v>40169</v>
      </c>
      <c r="Z9267" s="8" t="s">
        <v>40170</v>
      </c>
    </row>
    <row r="9268" spans="1:26" x14ac:dyDescent="0.2">
      <c r="A9268" s="8">
        <v>9267</v>
      </c>
      <c r="B9268" s="8" t="s">
        <v>40171</v>
      </c>
      <c r="C9268" s="8" t="s">
        <v>40171</v>
      </c>
      <c r="G9268" s="8">
        <v>20</v>
      </c>
      <c r="H9268" s="8" t="s">
        <v>21</v>
      </c>
      <c r="I9268" s="8" t="s">
        <v>22</v>
      </c>
      <c r="J9268" s="8" t="s">
        <v>22</v>
      </c>
      <c r="K9268" s="8" t="s">
        <v>183</v>
      </c>
      <c r="L9268" s="8" t="s">
        <v>24</v>
      </c>
      <c r="M9268" s="8" t="s">
        <v>25</v>
      </c>
      <c r="N9268" s="8" t="s">
        <v>40172</v>
      </c>
      <c r="O9268" s="8">
        <f>22+3/60+35.1/3600</f>
        <v>22.059750000000001</v>
      </c>
      <c r="P9268" s="8" t="s">
        <v>40173</v>
      </c>
      <c r="Q9268" s="8">
        <f>+(15+6/60+26/3600)</f>
        <v>15.107222222222221</v>
      </c>
      <c r="R9268" s="8">
        <v>13.7</v>
      </c>
      <c r="S9268" s="8">
        <v>14.7</v>
      </c>
      <c r="T9268" s="8">
        <v>1</v>
      </c>
      <c r="U9268" s="8">
        <v>13.8</v>
      </c>
      <c r="V9268" s="8">
        <v>1</v>
      </c>
      <c r="W9268" s="8">
        <v>0.9</v>
      </c>
      <c r="X9268" s="8">
        <v>105</v>
      </c>
      <c r="Y9268" s="8" t="s">
        <v>282</v>
      </c>
      <c r="Z9268" s="8" t="s">
        <v>283</v>
      </c>
    </row>
    <row r="9269" spans="1:26" x14ac:dyDescent="0.2">
      <c r="A9269" s="8">
        <v>9268</v>
      </c>
      <c r="B9269" s="8" t="s">
        <v>40174</v>
      </c>
      <c r="C9269" s="8" t="s">
        <v>40174</v>
      </c>
      <c r="G9269" s="8">
        <v>20</v>
      </c>
      <c r="H9269" s="8" t="s">
        <v>21</v>
      </c>
      <c r="I9269" s="8" t="s">
        <v>22</v>
      </c>
      <c r="J9269" s="8" t="s">
        <v>22</v>
      </c>
      <c r="K9269" s="8" t="s">
        <v>449</v>
      </c>
      <c r="L9269" s="8" t="s">
        <v>24</v>
      </c>
      <c r="M9269" s="8" t="s">
        <v>25</v>
      </c>
      <c r="N9269" s="8" t="s">
        <v>40175</v>
      </c>
      <c r="O9269" s="8">
        <f>22+4/60+27.7/3600</f>
        <v>22.074361111111109</v>
      </c>
      <c r="P9269" s="8" t="s">
        <v>40176</v>
      </c>
      <c r="Q9269" s="8">
        <f>+(2+37/60+52/3600)</f>
        <v>2.6311111111111112</v>
      </c>
      <c r="R9269" s="8">
        <v>14.4</v>
      </c>
      <c r="S9269" s="8">
        <v>15.2</v>
      </c>
      <c r="T9269" s="8">
        <v>0.8</v>
      </c>
      <c r="U9269" s="8">
        <v>11.5</v>
      </c>
      <c r="V9269" s="8">
        <v>0.4</v>
      </c>
      <c r="W9269" s="8">
        <v>0.2</v>
      </c>
      <c r="X9269" s="8">
        <v>50</v>
      </c>
      <c r="Y9269" s="8" t="s">
        <v>40177</v>
      </c>
      <c r="Z9269" s="8" t="s">
        <v>40178</v>
      </c>
    </row>
    <row r="9270" spans="1:26" x14ac:dyDescent="0.2">
      <c r="A9270" s="8">
        <v>9269</v>
      </c>
      <c r="B9270" s="8" t="s">
        <v>40179</v>
      </c>
      <c r="C9270" s="8" t="s">
        <v>40179</v>
      </c>
      <c r="G9270" s="8">
        <v>20</v>
      </c>
      <c r="H9270" s="8" t="s">
        <v>21</v>
      </c>
      <c r="I9270" s="8" t="s">
        <v>72</v>
      </c>
      <c r="J9270" s="8" t="s">
        <v>72</v>
      </c>
      <c r="K9270" s="8" t="s">
        <v>20</v>
      </c>
      <c r="L9270" s="8" t="s">
        <v>24</v>
      </c>
      <c r="M9270" s="8" t="s">
        <v>25</v>
      </c>
      <c r="N9270" s="8" t="s">
        <v>40180</v>
      </c>
      <c r="O9270" s="8">
        <f>22+7/60+2.5/3600</f>
        <v>22.117361111111112</v>
      </c>
      <c r="P9270" s="8" t="s">
        <v>40181</v>
      </c>
      <c r="Q9270" s="8">
        <f>+(10+6/60+32/3600)</f>
        <v>10.108888888888888</v>
      </c>
      <c r="R9270" s="8">
        <v>99</v>
      </c>
      <c r="S9270" s="8">
        <v>14.9</v>
      </c>
      <c r="T9270" s="8">
        <v>99</v>
      </c>
      <c r="U9270" s="8">
        <v>99</v>
      </c>
      <c r="Y9270" s="8" t="s">
        <v>21</v>
      </c>
      <c r="Z9270" s="8" t="s">
        <v>40182</v>
      </c>
    </row>
    <row r="9271" spans="1:26" x14ac:dyDescent="0.2">
      <c r="A9271" s="8">
        <v>9270</v>
      </c>
      <c r="B9271" s="8" t="s">
        <v>40183</v>
      </c>
      <c r="C9271" s="8" t="s">
        <v>40183</v>
      </c>
      <c r="G9271" s="8">
        <v>20</v>
      </c>
      <c r="H9271" s="8" t="s">
        <v>21</v>
      </c>
      <c r="I9271" s="8" t="s">
        <v>22</v>
      </c>
      <c r="J9271" s="8" t="s">
        <v>22</v>
      </c>
      <c r="K9271" s="8" t="s">
        <v>460</v>
      </c>
      <c r="L9271" s="8" t="s">
        <v>30854</v>
      </c>
      <c r="M9271" s="8" t="s">
        <v>30855</v>
      </c>
      <c r="N9271" s="8" t="s">
        <v>40184</v>
      </c>
      <c r="O9271" s="8">
        <f>22+7/60+29.7/3600</f>
        <v>22.124916666666667</v>
      </c>
      <c r="P9271" s="8" t="s">
        <v>40185</v>
      </c>
      <c r="Q9271" s="8">
        <f>-(13+34/60+51/3600)</f>
        <v>-13.580833333333333</v>
      </c>
      <c r="R9271" s="8">
        <v>15</v>
      </c>
      <c r="S9271" s="8">
        <v>16</v>
      </c>
      <c r="T9271" s="8">
        <v>1</v>
      </c>
      <c r="U9271" s="8">
        <v>13.1</v>
      </c>
      <c r="V9271" s="8">
        <v>0.4</v>
      </c>
      <c r="W9271" s="8">
        <v>0.4</v>
      </c>
      <c r="Y9271" s="8" t="s">
        <v>40186</v>
      </c>
      <c r="Z9271" s="8" t="s">
        <v>40187</v>
      </c>
    </row>
    <row r="9272" spans="1:26" x14ac:dyDescent="0.2">
      <c r="A9272" s="8">
        <v>9271</v>
      </c>
      <c r="B9272" s="8" t="s">
        <v>40188</v>
      </c>
      <c r="C9272" s="8" t="s">
        <v>40188</v>
      </c>
      <c r="G9272" s="8">
        <v>20</v>
      </c>
      <c r="H9272" s="8" t="s">
        <v>21</v>
      </c>
      <c r="I9272" s="8" t="s">
        <v>22</v>
      </c>
      <c r="J9272" s="8" t="s">
        <v>22</v>
      </c>
      <c r="K9272" s="8" t="s">
        <v>91</v>
      </c>
      <c r="L9272" s="8" t="s">
        <v>30854</v>
      </c>
      <c r="M9272" s="8" t="s">
        <v>30855</v>
      </c>
      <c r="N9272" s="8" t="s">
        <v>40189</v>
      </c>
      <c r="O9272" s="8">
        <f>22+7/60+39.5/3600</f>
        <v>22.127638888888889</v>
      </c>
      <c r="P9272" s="8" t="s">
        <v>40190</v>
      </c>
      <c r="Q9272" s="8">
        <f>-(13+30/60+48/3600)</f>
        <v>-13.513333333333334</v>
      </c>
      <c r="R9272" s="8">
        <v>14.2</v>
      </c>
      <c r="S9272" s="8">
        <v>15.1</v>
      </c>
      <c r="T9272" s="8">
        <v>0.9</v>
      </c>
      <c r="U9272" s="8">
        <v>13.3</v>
      </c>
      <c r="V9272" s="8">
        <v>0.8</v>
      </c>
      <c r="W9272" s="8">
        <v>0.7</v>
      </c>
      <c r="X9272" s="8">
        <v>150</v>
      </c>
      <c r="Y9272" s="8" t="s">
        <v>40191</v>
      </c>
      <c r="Z9272" s="8" t="s">
        <v>40192</v>
      </c>
    </row>
    <row r="9273" spans="1:26" x14ac:dyDescent="0.2">
      <c r="A9273" s="8">
        <v>9272</v>
      </c>
      <c r="B9273" s="8" t="s">
        <v>40193</v>
      </c>
      <c r="C9273" s="8" t="s">
        <v>40193</v>
      </c>
      <c r="G9273" s="8">
        <v>20</v>
      </c>
      <c r="H9273" s="8" t="s">
        <v>21</v>
      </c>
      <c r="I9273" s="8" t="s">
        <v>22</v>
      </c>
      <c r="J9273" s="8" t="s">
        <v>22</v>
      </c>
      <c r="K9273" s="8" t="s">
        <v>449</v>
      </c>
      <c r="L9273" s="8" t="s">
        <v>24</v>
      </c>
      <c r="M9273" s="8" t="s">
        <v>25</v>
      </c>
      <c r="N9273" s="8" t="s">
        <v>40194</v>
      </c>
      <c r="O9273" s="8">
        <f>22+10/60+3.9/3600</f>
        <v>22.167750000000002</v>
      </c>
      <c r="P9273" s="8" t="s">
        <v>40195</v>
      </c>
      <c r="Q9273" s="8">
        <f>+(3+41/60+24/3600)</f>
        <v>3.6900000000000004</v>
      </c>
      <c r="R9273" s="8">
        <v>16</v>
      </c>
      <c r="S9273" s="8">
        <v>16.8</v>
      </c>
      <c r="T9273" s="8">
        <v>0.8</v>
      </c>
      <c r="U9273" s="8">
        <v>12.8</v>
      </c>
      <c r="V9273" s="8">
        <v>0.3</v>
      </c>
      <c r="W9273" s="8">
        <v>0.2</v>
      </c>
      <c r="X9273" s="8">
        <v>10</v>
      </c>
      <c r="Y9273" s="8" t="s">
        <v>40196</v>
      </c>
      <c r="Z9273" s="8" t="s">
        <v>40197</v>
      </c>
    </row>
    <row r="9274" spans="1:26" x14ac:dyDescent="0.2">
      <c r="A9274" s="8">
        <v>9273</v>
      </c>
      <c r="B9274" s="8" t="s">
        <v>40198</v>
      </c>
      <c r="C9274" s="8" t="s">
        <v>40198</v>
      </c>
      <c r="G9274" s="8">
        <v>20</v>
      </c>
      <c r="H9274" s="8" t="s">
        <v>21</v>
      </c>
      <c r="I9274" s="8" t="s">
        <v>22</v>
      </c>
      <c r="J9274" s="8" t="s">
        <v>22</v>
      </c>
      <c r="K9274" s="8" t="s">
        <v>1174</v>
      </c>
      <c r="L9274" s="8" t="s">
        <v>30854</v>
      </c>
      <c r="M9274" s="8" t="s">
        <v>30855</v>
      </c>
      <c r="N9274" s="8" t="s">
        <v>40199</v>
      </c>
      <c r="O9274" s="8">
        <f>22+12/60+10.5/3600</f>
        <v>22.202916666666667</v>
      </c>
      <c r="P9274" s="8" t="s">
        <v>40200</v>
      </c>
      <c r="Q9274" s="8">
        <f>-(12+45/60+54/3600)</f>
        <v>-12.765000000000001</v>
      </c>
      <c r="R9274" s="8">
        <v>14.7</v>
      </c>
      <c r="S9274" s="8">
        <v>15.7</v>
      </c>
      <c r="T9274" s="8">
        <v>1</v>
      </c>
      <c r="U9274" s="8">
        <v>13.4</v>
      </c>
      <c r="V9274" s="8">
        <v>0.7</v>
      </c>
      <c r="W9274" s="8">
        <v>0.5</v>
      </c>
      <c r="X9274" s="8">
        <v>111</v>
      </c>
      <c r="Y9274" s="8" t="s">
        <v>40201</v>
      </c>
      <c r="Z9274" s="8" t="s">
        <v>40202</v>
      </c>
    </row>
    <row r="9275" spans="1:26" x14ac:dyDescent="0.2">
      <c r="A9275" s="8">
        <v>9274</v>
      </c>
      <c r="B9275" s="8" t="s">
        <v>40203</v>
      </c>
      <c r="C9275" s="8" t="s">
        <v>40203</v>
      </c>
      <c r="G9275" s="8">
        <v>9</v>
      </c>
      <c r="H9275" s="8" t="s">
        <v>21</v>
      </c>
      <c r="I9275" s="8" t="s">
        <v>557</v>
      </c>
      <c r="J9275" s="8" t="s">
        <v>557</v>
      </c>
      <c r="K9275" s="8" t="s">
        <v>3602</v>
      </c>
      <c r="L9275" s="8" t="s">
        <v>31943</v>
      </c>
      <c r="M9275" s="8" t="s">
        <v>31944</v>
      </c>
      <c r="N9275" s="8" t="s">
        <v>40204</v>
      </c>
      <c r="O9275" s="8">
        <f>22+10/60+30/3600</f>
        <v>22.175000000000001</v>
      </c>
      <c r="P9275" s="8" t="s">
        <v>7906</v>
      </c>
      <c r="Q9275" s="8">
        <f>+(52+50/60+0/3600)</f>
        <v>52.833333333333336</v>
      </c>
      <c r="R9275" s="8">
        <v>9</v>
      </c>
      <c r="S9275" s="8">
        <v>99</v>
      </c>
      <c r="T9275" s="8">
        <v>99</v>
      </c>
      <c r="U9275" s="8">
        <v>99</v>
      </c>
      <c r="V9275" s="8">
        <v>7</v>
      </c>
      <c r="Y9275" s="8" t="s">
        <v>21</v>
      </c>
      <c r="Z9275" s="8" t="s">
        <v>40205</v>
      </c>
    </row>
    <row r="9276" spans="1:26" x14ac:dyDescent="0.2">
      <c r="A9276" s="8">
        <v>9275</v>
      </c>
      <c r="B9276" s="8" t="s">
        <v>40206</v>
      </c>
      <c r="C9276" s="8" t="s">
        <v>40206</v>
      </c>
      <c r="G9276" s="8">
        <v>20</v>
      </c>
      <c r="H9276" s="8" t="s">
        <v>21</v>
      </c>
      <c r="I9276" s="8" t="s">
        <v>22</v>
      </c>
      <c r="J9276" s="8" t="s">
        <v>22</v>
      </c>
      <c r="K9276" s="8" t="s">
        <v>396</v>
      </c>
      <c r="L9276" s="8" t="s">
        <v>30854</v>
      </c>
      <c r="M9276" s="8" t="s">
        <v>30855</v>
      </c>
      <c r="N9276" s="8" t="s">
        <v>40207</v>
      </c>
      <c r="O9276" s="8">
        <f>22+13/60+26.1/3600</f>
        <v>22.223916666666664</v>
      </c>
      <c r="P9276" s="8" t="s">
        <v>40208</v>
      </c>
      <c r="Q9276" s="8">
        <f>-(22+5/60+47/3600)</f>
        <v>-22.096388888888889</v>
      </c>
      <c r="R9276" s="8">
        <v>13.1</v>
      </c>
      <c r="S9276" s="8">
        <v>13.9</v>
      </c>
      <c r="T9276" s="8">
        <v>0.8</v>
      </c>
      <c r="U9276" s="8">
        <v>12.4</v>
      </c>
      <c r="V9276" s="8">
        <v>1</v>
      </c>
      <c r="W9276" s="8">
        <v>0.6</v>
      </c>
      <c r="X9276" s="8">
        <v>8</v>
      </c>
      <c r="Y9276" s="8" t="s">
        <v>4065</v>
      </c>
      <c r="Z9276" s="8" t="s">
        <v>4066</v>
      </c>
    </row>
    <row r="9277" spans="1:26" x14ac:dyDescent="0.2">
      <c r="A9277" s="8">
        <v>9276</v>
      </c>
      <c r="B9277" s="8" t="s">
        <v>40209</v>
      </c>
      <c r="C9277" s="8" t="s">
        <v>40209</v>
      </c>
      <c r="G9277" s="8">
        <v>20</v>
      </c>
      <c r="H9277" s="8" t="s">
        <v>21</v>
      </c>
      <c r="I9277" s="8" t="s">
        <v>22</v>
      </c>
      <c r="J9277" s="8" t="s">
        <v>22</v>
      </c>
      <c r="K9277" s="8" t="s">
        <v>58</v>
      </c>
      <c r="L9277" s="8" t="s">
        <v>30854</v>
      </c>
      <c r="M9277" s="8" t="s">
        <v>30855</v>
      </c>
      <c r="N9277" s="8" t="s">
        <v>40210</v>
      </c>
      <c r="O9277" s="8">
        <f>22+13/60+51.3/3600</f>
        <v>22.230916666666666</v>
      </c>
      <c r="P9277" s="8" t="s">
        <v>40211</v>
      </c>
      <c r="Q9277" s="8">
        <f>-(10+11/60+29/3600)</f>
        <v>-10.191388888888889</v>
      </c>
      <c r="R9277" s="8">
        <v>14.8</v>
      </c>
      <c r="S9277" s="8">
        <v>15.8</v>
      </c>
      <c r="T9277" s="8">
        <v>1</v>
      </c>
      <c r="U9277" s="8">
        <v>13.9</v>
      </c>
      <c r="V9277" s="8">
        <v>0.7</v>
      </c>
      <c r="W9277" s="8">
        <v>0.6</v>
      </c>
      <c r="X9277" s="8">
        <v>63</v>
      </c>
      <c r="Y9277" s="8" t="s">
        <v>40212</v>
      </c>
      <c r="Z9277" s="8" t="s">
        <v>40213</v>
      </c>
    </row>
    <row r="9278" spans="1:26" x14ac:dyDescent="0.2">
      <c r="A9278" s="8">
        <v>9277</v>
      </c>
      <c r="B9278" s="8" t="s">
        <v>40214</v>
      </c>
      <c r="C9278" s="8" t="s">
        <v>40214</v>
      </c>
      <c r="G9278" s="8">
        <v>20</v>
      </c>
      <c r="H9278" s="8" t="s">
        <v>21</v>
      </c>
      <c r="I9278" s="8" t="s">
        <v>22</v>
      </c>
      <c r="J9278" s="8" t="s">
        <v>22</v>
      </c>
      <c r="K9278" s="8" t="s">
        <v>632</v>
      </c>
      <c r="L9278" s="8" t="s">
        <v>30854</v>
      </c>
      <c r="M9278" s="8" t="s">
        <v>30855</v>
      </c>
      <c r="N9278" s="8" t="s">
        <v>40215</v>
      </c>
      <c r="O9278" s="8">
        <f>22+15/60+44.9/3600</f>
        <v>22.262472222222222</v>
      </c>
      <c r="P9278" s="8" t="s">
        <v>40216</v>
      </c>
      <c r="Q9278" s="8">
        <f>+(2+3/60+57/3600)</f>
        <v>2.065833333333333</v>
      </c>
      <c r="R9278" s="8">
        <v>13.5</v>
      </c>
      <c r="S9278" s="8">
        <v>14.4</v>
      </c>
      <c r="T9278" s="8">
        <v>0.9</v>
      </c>
      <c r="U9278" s="8">
        <v>13.2</v>
      </c>
      <c r="V9278" s="8">
        <v>1.1000000000000001</v>
      </c>
      <c r="W9278" s="8">
        <v>1</v>
      </c>
      <c r="X9278" s="8">
        <v>72</v>
      </c>
      <c r="Y9278" s="8" t="s">
        <v>39862</v>
      </c>
      <c r="Z9278" s="8" t="s">
        <v>39863</v>
      </c>
    </row>
    <row r="9279" spans="1:26" x14ac:dyDescent="0.2">
      <c r="A9279" s="8">
        <v>9278</v>
      </c>
      <c r="B9279" s="8" t="s">
        <v>40217</v>
      </c>
      <c r="C9279" s="8" t="s">
        <v>40217</v>
      </c>
      <c r="G9279" s="8">
        <v>20</v>
      </c>
      <c r="H9279" s="8" t="s">
        <v>21</v>
      </c>
      <c r="I9279" s="8" t="s">
        <v>22</v>
      </c>
      <c r="J9279" s="8" t="s">
        <v>22</v>
      </c>
      <c r="K9279" s="8" t="s">
        <v>154</v>
      </c>
      <c r="L9279" s="8" t="s">
        <v>30854</v>
      </c>
      <c r="M9279" s="8" t="s">
        <v>30855</v>
      </c>
      <c r="N9279" s="8" t="s">
        <v>40218</v>
      </c>
      <c r="O9279" s="8">
        <f>22+16/60+29/3600</f>
        <v>22.27472222222222</v>
      </c>
      <c r="P9279" s="8" t="s">
        <v>40219</v>
      </c>
      <c r="Q9279" s="8">
        <f>-(21+25/60+51/3600)</f>
        <v>-21.430833333333336</v>
      </c>
      <c r="R9279" s="8">
        <v>11.9</v>
      </c>
      <c r="S9279" s="8">
        <v>12.8</v>
      </c>
      <c r="T9279" s="8">
        <v>0.9</v>
      </c>
      <c r="U9279" s="8">
        <v>13.5</v>
      </c>
      <c r="V9279" s="8">
        <v>2.4</v>
      </c>
      <c r="W9279" s="8">
        <v>2.1</v>
      </c>
      <c r="X9279" s="8">
        <v>2</v>
      </c>
      <c r="Y9279" s="8" t="s">
        <v>11851</v>
      </c>
      <c r="Z9279" s="8" t="s">
        <v>11852</v>
      </c>
    </row>
    <row r="9280" spans="1:26" x14ac:dyDescent="0.2">
      <c r="A9280" s="8">
        <v>9279</v>
      </c>
      <c r="B9280" s="8" t="s">
        <v>40220</v>
      </c>
      <c r="C9280" s="8" t="s">
        <v>40220</v>
      </c>
      <c r="G9280" s="8">
        <v>20</v>
      </c>
      <c r="H9280" s="8" t="s">
        <v>21</v>
      </c>
      <c r="I9280" s="8" t="s">
        <v>22</v>
      </c>
      <c r="J9280" s="8" t="s">
        <v>22</v>
      </c>
      <c r="K9280" s="8" t="s">
        <v>154</v>
      </c>
      <c r="L9280" s="8" t="s">
        <v>30854</v>
      </c>
      <c r="M9280" s="8" t="s">
        <v>30855</v>
      </c>
      <c r="N9280" s="8" t="s">
        <v>40221</v>
      </c>
      <c r="O9280" s="8">
        <f>22+16/60+40.2/3600</f>
        <v>22.277833333333334</v>
      </c>
      <c r="P9280" s="8" t="s">
        <v>40222</v>
      </c>
      <c r="Q9280" s="8">
        <f>-(21+29/60+8/3600)</f>
        <v>-21.485555555555557</v>
      </c>
      <c r="R9280" s="8">
        <v>13.7</v>
      </c>
      <c r="S9280" s="8">
        <v>14.6</v>
      </c>
      <c r="T9280" s="8">
        <v>0.9</v>
      </c>
      <c r="U9280" s="8">
        <v>13.5</v>
      </c>
      <c r="V9280" s="8">
        <v>1.3</v>
      </c>
      <c r="W9280" s="8">
        <v>0.9</v>
      </c>
      <c r="X9280" s="8">
        <v>33</v>
      </c>
      <c r="Y9280" s="8" t="s">
        <v>5912</v>
      </c>
      <c r="Z9280" s="8" t="s">
        <v>442</v>
      </c>
    </row>
    <row r="9281" spans="1:26" x14ac:dyDescent="0.2">
      <c r="A9281" s="8">
        <v>9280</v>
      </c>
      <c r="B9281" s="8" t="s">
        <v>40223</v>
      </c>
      <c r="C9281" s="8" t="s">
        <v>40223</v>
      </c>
      <c r="G9281" s="8">
        <v>20</v>
      </c>
      <c r="H9281" s="8" t="s">
        <v>21</v>
      </c>
      <c r="I9281" s="8" t="s">
        <v>22</v>
      </c>
      <c r="J9281" s="8" t="s">
        <v>22</v>
      </c>
      <c r="K9281" s="8" t="s">
        <v>818</v>
      </c>
      <c r="L9281" s="8" t="s">
        <v>30854</v>
      </c>
      <c r="M9281" s="8" t="s">
        <v>30855</v>
      </c>
      <c r="N9281" s="8" t="s">
        <v>40224</v>
      </c>
      <c r="O9281" s="8">
        <f>22+16/60+33.2/3600</f>
        <v>22.275888888888886</v>
      </c>
      <c r="P9281" s="8" t="s">
        <v>40225</v>
      </c>
      <c r="Q9281" s="8">
        <f>-(16+0/60+59/3600)</f>
        <v>-16.016388888888891</v>
      </c>
      <c r="R9281" s="8">
        <v>13.9</v>
      </c>
      <c r="S9281" s="8">
        <v>14.9</v>
      </c>
      <c r="T9281" s="8">
        <v>1</v>
      </c>
      <c r="U9281" s="8">
        <v>12.9</v>
      </c>
      <c r="V9281" s="8">
        <v>1.2</v>
      </c>
      <c r="W9281" s="8">
        <v>0.3</v>
      </c>
      <c r="X9281" s="8">
        <v>78</v>
      </c>
      <c r="Y9281" s="8" t="s">
        <v>2513</v>
      </c>
      <c r="Z9281" s="8" t="s">
        <v>2514</v>
      </c>
    </row>
    <row r="9282" spans="1:26" x14ac:dyDescent="0.2">
      <c r="A9282" s="8">
        <v>9281</v>
      </c>
      <c r="B9282" s="8" t="s">
        <v>40226</v>
      </c>
      <c r="C9282" s="8" t="s">
        <v>40226</v>
      </c>
      <c r="G9282" s="8">
        <v>20</v>
      </c>
      <c r="H9282" s="8" t="s">
        <v>21</v>
      </c>
      <c r="I9282" s="8" t="s">
        <v>22</v>
      </c>
      <c r="J9282" s="8" t="s">
        <v>22</v>
      </c>
      <c r="K9282" s="8" t="s">
        <v>154</v>
      </c>
      <c r="L9282" s="8" t="s">
        <v>31943</v>
      </c>
      <c r="M9282" s="8" t="s">
        <v>31944</v>
      </c>
      <c r="N9282" s="8" t="s">
        <v>40227</v>
      </c>
      <c r="O9282" s="8">
        <f>22+15/60+19.1/3600</f>
        <v>22.255305555555555</v>
      </c>
      <c r="P9282" s="8" t="s">
        <v>40228</v>
      </c>
      <c r="Q9282" s="8">
        <f>+(37+18/60+3/3600)</f>
        <v>37.30083333333333</v>
      </c>
      <c r="R9282" s="8">
        <v>14.6</v>
      </c>
      <c r="S9282" s="8">
        <v>15.5</v>
      </c>
      <c r="T9282" s="8">
        <v>0.9</v>
      </c>
      <c r="U9282" s="8">
        <v>12.8</v>
      </c>
      <c r="V9282" s="8">
        <v>0.7</v>
      </c>
      <c r="W9282" s="8">
        <v>0.3</v>
      </c>
      <c r="X9282" s="8">
        <v>30</v>
      </c>
      <c r="Y9282" s="8" t="s">
        <v>21</v>
      </c>
      <c r="Z9282" s="8" t="s">
        <v>40229</v>
      </c>
    </row>
    <row r="9283" spans="1:26" x14ac:dyDescent="0.2">
      <c r="A9283" s="8">
        <v>9282</v>
      </c>
      <c r="B9283" s="8" t="s">
        <v>40230</v>
      </c>
      <c r="C9283" s="8" t="s">
        <v>40230</v>
      </c>
      <c r="G9283" s="8">
        <v>20</v>
      </c>
      <c r="H9283" s="8" t="s">
        <v>21</v>
      </c>
      <c r="I9283" s="8" t="s">
        <v>557</v>
      </c>
      <c r="J9283" s="8" t="s">
        <v>557</v>
      </c>
      <c r="K9283" s="8" t="s">
        <v>2722</v>
      </c>
      <c r="L9283" s="8" t="s">
        <v>31943</v>
      </c>
      <c r="M9283" s="8" t="s">
        <v>31944</v>
      </c>
      <c r="N9283" s="8" t="s">
        <v>40231</v>
      </c>
      <c r="O9283" s="8">
        <f>22+16/60+6/3600</f>
        <v>22.268333333333331</v>
      </c>
      <c r="P9283" s="8" t="s">
        <v>40232</v>
      </c>
      <c r="Q9283" s="8">
        <f>+(53+59/60+30/3600)</f>
        <v>53.991666666666667</v>
      </c>
      <c r="R9283" s="8">
        <v>9.1</v>
      </c>
      <c r="S9283" s="8">
        <v>99</v>
      </c>
      <c r="T9283" s="8">
        <v>99</v>
      </c>
      <c r="U9283" s="8">
        <v>99</v>
      </c>
      <c r="V9283" s="8">
        <v>5</v>
      </c>
      <c r="Y9283" s="8" t="s">
        <v>21</v>
      </c>
      <c r="Z9283" s="8" t="s">
        <v>40233</v>
      </c>
    </row>
    <row r="9284" spans="1:26" x14ac:dyDescent="0.2">
      <c r="A9284" s="8">
        <v>9283</v>
      </c>
      <c r="B9284" s="8" t="s">
        <v>40234</v>
      </c>
      <c r="C9284" s="8" t="s">
        <v>40234</v>
      </c>
      <c r="G9284" s="8">
        <v>20</v>
      </c>
      <c r="H9284" s="8" t="s">
        <v>21</v>
      </c>
      <c r="I9284" s="8" t="s">
        <v>22</v>
      </c>
      <c r="J9284" s="8" t="s">
        <v>22</v>
      </c>
      <c r="K9284" s="8" t="s">
        <v>1136</v>
      </c>
      <c r="L9284" s="8" t="s">
        <v>30854</v>
      </c>
      <c r="M9284" s="8" t="s">
        <v>30855</v>
      </c>
      <c r="N9284" s="8" t="s">
        <v>40235</v>
      </c>
      <c r="O9284" s="8">
        <f>22+19/60+3.6/3600</f>
        <v>22.317666666666668</v>
      </c>
      <c r="P9284" s="8" t="s">
        <v>40236</v>
      </c>
      <c r="Q9284" s="8">
        <f>-(20+56/60+24/3600)</f>
        <v>-20.94</v>
      </c>
      <c r="R9284" s="8">
        <v>12.5</v>
      </c>
      <c r="S9284" s="8">
        <v>13.5</v>
      </c>
      <c r="T9284" s="8">
        <v>1</v>
      </c>
      <c r="U9284" s="8">
        <v>11.9</v>
      </c>
      <c r="V9284" s="8">
        <v>0.8</v>
      </c>
      <c r="W9284" s="8">
        <v>0.7</v>
      </c>
      <c r="X9284" s="8">
        <v>36</v>
      </c>
      <c r="Y9284" s="8" t="s">
        <v>40237</v>
      </c>
      <c r="Z9284" s="8" t="s">
        <v>40238</v>
      </c>
    </row>
    <row r="9285" spans="1:26" x14ac:dyDescent="0.2">
      <c r="A9285" s="8">
        <v>9284</v>
      </c>
      <c r="B9285" s="8" t="s">
        <v>40239</v>
      </c>
      <c r="C9285" s="8" t="s">
        <v>40239</v>
      </c>
      <c r="G9285" s="8">
        <v>20</v>
      </c>
      <c r="H9285" s="8" t="s">
        <v>21</v>
      </c>
      <c r="I9285" s="8" t="s">
        <v>22</v>
      </c>
      <c r="J9285" s="8" t="s">
        <v>22</v>
      </c>
      <c r="K9285" s="8" t="s">
        <v>1136</v>
      </c>
      <c r="L9285" s="8" t="s">
        <v>24</v>
      </c>
      <c r="M9285" s="8" t="s">
        <v>25</v>
      </c>
      <c r="N9285" s="8" t="s">
        <v>40240</v>
      </c>
      <c r="O9285" s="8">
        <f>22+22/60+23.8/3600</f>
        <v>22.37327777777778</v>
      </c>
      <c r="P9285" s="8" t="s">
        <v>40241</v>
      </c>
      <c r="Q9285" s="8">
        <f>+(5+8/60+23/3600)</f>
        <v>5.1397222222222227</v>
      </c>
      <c r="R9285" s="8">
        <v>14.3</v>
      </c>
      <c r="S9285" s="8">
        <v>15.3</v>
      </c>
      <c r="T9285" s="8">
        <v>1</v>
      </c>
      <c r="U9285" s="8">
        <v>12.6</v>
      </c>
      <c r="V9285" s="8">
        <v>0.5</v>
      </c>
      <c r="W9285" s="8">
        <v>0.4</v>
      </c>
      <c r="Y9285" s="8" t="s">
        <v>40242</v>
      </c>
      <c r="Z9285" s="8" t="s">
        <v>40243</v>
      </c>
    </row>
    <row r="9286" spans="1:26" x14ac:dyDescent="0.2">
      <c r="A9286" s="8">
        <v>9285</v>
      </c>
      <c r="B9286" s="8" t="s">
        <v>40244</v>
      </c>
      <c r="C9286" s="8" t="s">
        <v>40244</v>
      </c>
      <c r="G9286" s="8">
        <v>20</v>
      </c>
      <c r="H9286" s="8" t="s">
        <v>21</v>
      </c>
      <c r="I9286" s="8" t="s">
        <v>22</v>
      </c>
      <c r="J9286" s="8" t="s">
        <v>22</v>
      </c>
      <c r="K9286" s="8" t="s">
        <v>58</v>
      </c>
      <c r="L9286" s="8" t="s">
        <v>30854</v>
      </c>
      <c r="M9286" s="8" t="s">
        <v>30855</v>
      </c>
      <c r="N9286" s="8" t="s">
        <v>40245</v>
      </c>
      <c r="O9286" s="8">
        <f>22+25/60+30.2/3600</f>
        <v>22.425055555555556</v>
      </c>
      <c r="P9286" s="8" t="s">
        <v>40246</v>
      </c>
      <c r="Q9286" s="8">
        <f>-(17+14/60+37/3600)</f>
        <v>-17.243611111111111</v>
      </c>
      <c r="R9286" s="8">
        <v>12.7</v>
      </c>
      <c r="S9286" s="8">
        <v>13.5</v>
      </c>
      <c r="T9286" s="8">
        <v>0.8</v>
      </c>
      <c r="U9286" s="8">
        <v>13.4</v>
      </c>
      <c r="V9286" s="8">
        <v>1.6</v>
      </c>
      <c r="W9286" s="8">
        <v>1.3</v>
      </c>
      <c r="X9286" s="8">
        <v>80</v>
      </c>
      <c r="Y9286" s="8" t="s">
        <v>40247</v>
      </c>
      <c r="Z9286" s="8" t="s">
        <v>40248</v>
      </c>
    </row>
    <row r="9287" spans="1:26" x14ac:dyDescent="0.2">
      <c r="A9287" s="8">
        <v>9286</v>
      </c>
      <c r="B9287" s="8" t="s">
        <v>40249</v>
      </c>
      <c r="C9287" s="8" t="s">
        <v>40249</v>
      </c>
      <c r="G9287" s="8">
        <v>20</v>
      </c>
      <c r="H9287" s="8" t="s">
        <v>21</v>
      </c>
      <c r="I9287" s="8" t="s">
        <v>22</v>
      </c>
      <c r="J9287" s="8" t="s">
        <v>22</v>
      </c>
      <c r="K9287" s="8" t="s">
        <v>449</v>
      </c>
      <c r="L9287" s="8" t="s">
        <v>30854</v>
      </c>
      <c r="M9287" s="8" t="s">
        <v>30855</v>
      </c>
      <c r="N9287" s="8" t="s">
        <v>40250</v>
      </c>
      <c r="O9287" s="8">
        <f>22+29/60+4.6/3600</f>
        <v>22.484611111111111</v>
      </c>
      <c r="P9287" s="8" t="s">
        <v>40251</v>
      </c>
      <c r="Q9287" s="8">
        <f>-(1+11/60+3/3600)</f>
        <v>-1.1841666666666666</v>
      </c>
      <c r="R9287" s="8">
        <v>15.1</v>
      </c>
      <c r="S9287" s="8">
        <v>15.9</v>
      </c>
      <c r="T9287" s="8">
        <v>0.8</v>
      </c>
      <c r="U9287" s="8">
        <v>13.1</v>
      </c>
      <c r="V9287" s="8">
        <v>0.6</v>
      </c>
      <c r="W9287" s="8">
        <v>0.3</v>
      </c>
      <c r="X9287" s="8">
        <v>15</v>
      </c>
      <c r="Y9287" s="8" t="s">
        <v>3344</v>
      </c>
      <c r="Z9287" s="8" t="s">
        <v>3345</v>
      </c>
    </row>
    <row r="9288" spans="1:26" x14ac:dyDescent="0.2">
      <c r="A9288" s="8">
        <v>9287</v>
      </c>
      <c r="B9288" s="8" t="s">
        <v>40252</v>
      </c>
      <c r="C9288" s="8" t="s">
        <v>40252</v>
      </c>
      <c r="G9288" s="8">
        <v>20</v>
      </c>
      <c r="H9288" s="8" t="s">
        <v>21</v>
      </c>
      <c r="I9288" s="8" t="s">
        <v>22</v>
      </c>
      <c r="J9288" s="8" t="s">
        <v>22</v>
      </c>
      <c r="K9288" s="8" t="s">
        <v>23</v>
      </c>
      <c r="L9288" s="8" t="s">
        <v>30854</v>
      </c>
      <c r="M9288" s="8" t="s">
        <v>30855</v>
      </c>
      <c r="N9288" s="8" t="s">
        <v>40253</v>
      </c>
      <c r="O9288" s="8">
        <f>22+29/60+59.8/3600</f>
        <v>22.499944444444445</v>
      </c>
      <c r="P9288" s="8" t="s">
        <v>40254</v>
      </c>
      <c r="Q9288" s="8">
        <f>-(5+7/60+10/3600)</f>
        <v>-5.1194444444444445</v>
      </c>
      <c r="R9288" s="8">
        <v>12.8</v>
      </c>
      <c r="S9288" s="8">
        <v>13.6</v>
      </c>
      <c r="T9288" s="8">
        <v>0.8</v>
      </c>
      <c r="U9288" s="8">
        <v>12.8</v>
      </c>
      <c r="V9288" s="8">
        <v>1.5</v>
      </c>
      <c r="W9288" s="8">
        <v>0.8</v>
      </c>
      <c r="X9288" s="8">
        <v>108</v>
      </c>
      <c r="Y9288" s="8" t="s">
        <v>21</v>
      </c>
      <c r="Z9288" s="8" t="s">
        <v>40255</v>
      </c>
    </row>
    <row r="9289" spans="1:26" x14ac:dyDescent="0.2">
      <c r="A9289" s="8">
        <v>9288</v>
      </c>
      <c r="B9289" s="8" t="s">
        <v>40256</v>
      </c>
      <c r="C9289" s="8" t="s">
        <v>40256</v>
      </c>
      <c r="G9289" s="8">
        <v>20</v>
      </c>
      <c r="H9289" s="8" t="s">
        <v>21</v>
      </c>
      <c r="I9289" s="8" t="s">
        <v>22</v>
      </c>
      <c r="J9289" s="8" t="s">
        <v>57</v>
      </c>
      <c r="K9289" s="8" t="s">
        <v>58</v>
      </c>
      <c r="L9289" s="8" t="s">
        <v>30854</v>
      </c>
      <c r="M9289" s="8" t="s">
        <v>30855</v>
      </c>
      <c r="N9289" s="8" t="s">
        <v>32408</v>
      </c>
      <c r="O9289" s="8">
        <f>22+34/60+32/3600</f>
        <v>22.575555555555557</v>
      </c>
      <c r="P9289" s="8" t="s">
        <v>32409</v>
      </c>
      <c r="Q9289" s="8">
        <f>-(12+56/60+1/3600)</f>
        <v>-12.933611111111111</v>
      </c>
      <c r="R9289" s="8">
        <v>13.7</v>
      </c>
      <c r="S9289" s="8">
        <v>14.7</v>
      </c>
      <c r="T9289" s="8">
        <v>1</v>
      </c>
      <c r="U9289" s="8">
        <v>13.9</v>
      </c>
      <c r="V9289" s="8">
        <v>1.2</v>
      </c>
      <c r="W9289" s="8">
        <v>0.9</v>
      </c>
      <c r="X9289" s="8">
        <v>145</v>
      </c>
      <c r="Y9289" s="8" t="s">
        <v>40257</v>
      </c>
      <c r="Z9289" s="8" t="s">
        <v>40258</v>
      </c>
    </row>
    <row r="9290" spans="1:26" x14ac:dyDescent="0.2">
      <c r="A9290" s="8">
        <v>9289</v>
      </c>
      <c r="B9290" s="8" t="s">
        <v>40259</v>
      </c>
      <c r="C9290" s="8" t="s">
        <v>40259</v>
      </c>
      <c r="G9290" s="8">
        <v>20</v>
      </c>
      <c r="H9290" s="8" t="s">
        <v>21</v>
      </c>
      <c r="I9290" s="8" t="s">
        <v>22</v>
      </c>
      <c r="J9290" s="8" t="s">
        <v>22</v>
      </c>
      <c r="K9290" s="8" t="s">
        <v>449</v>
      </c>
      <c r="L9290" s="8" t="s">
        <v>30854</v>
      </c>
      <c r="M9290" s="8" t="s">
        <v>30855</v>
      </c>
      <c r="N9290" s="8" t="s">
        <v>40260</v>
      </c>
      <c r="O9290" s="8">
        <f>22+35/60+7/3600</f>
        <v>22.585277777777776</v>
      </c>
      <c r="P9290" s="8" t="s">
        <v>40261</v>
      </c>
      <c r="Q9290" s="8">
        <f>-(8+45/60+56/3600)</f>
        <v>-8.7655555555555562</v>
      </c>
      <c r="R9290" s="8">
        <v>15</v>
      </c>
      <c r="S9290" s="8">
        <v>15.8</v>
      </c>
      <c r="T9290" s="8">
        <v>0.8</v>
      </c>
      <c r="U9290" s="8">
        <v>13.1</v>
      </c>
      <c r="V9290" s="8">
        <v>0.5</v>
      </c>
      <c r="W9290" s="8">
        <v>0.4</v>
      </c>
      <c r="X9290" s="8">
        <v>45</v>
      </c>
      <c r="Y9290" s="8" t="s">
        <v>40262</v>
      </c>
      <c r="Z9290" s="8" t="s">
        <v>40263</v>
      </c>
    </row>
    <row r="9291" spans="1:26" x14ac:dyDescent="0.2">
      <c r="A9291" s="8">
        <v>9290</v>
      </c>
      <c r="B9291" s="8" t="s">
        <v>40264</v>
      </c>
      <c r="C9291" s="8" t="s">
        <v>40264</v>
      </c>
      <c r="G9291" s="8">
        <v>20</v>
      </c>
      <c r="H9291" s="8" t="s">
        <v>21</v>
      </c>
      <c r="I9291" s="8" t="s">
        <v>72</v>
      </c>
      <c r="J9291" s="8" t="s">
        <v>72</v>
      </c>
      <c r="K9291" s="8" t="s">
        <v>73</v>
      </c>
      <c r="L9291" s="8" t="s">
        <v>24</v>
      </c>
      <c r="M9291" s="8" t="s">
        <v>25</v>
      </c>
      <c r="N9291" s="8" t="s">
        <v>40265</v>
      </c>
      <c r="O9291" s="8">
        <f>22+37/60+58/3600</f>
        <v>22.632777777777779</v>
      </c>
      <c r="P9291" s="8" t="s">
        <v>40266</v>
      </c>
      <c r="Q9291" s="8">
        <f>+(34+32/60+9/3600)</f>
        <v>34.535833333333329</v>
      </c>
      <c r="R9291" s="8">
        <v>99</v>
      </c>
      <c r="S9291" s="8">
        <v>99</v>
      </c>
      <c r="T9291" s="8">
        <v>99</v>
      </c>
      <c r="U9291" s="8">
        <v>99</v>
      </c>
      <c r="Y9291" s="8" t="s">
        <v>4787</v>
      </c>
      <c r="Z9291" s="8" t="s">
        <v>2313</v>
      </c>
    </row>
    <row r="9292" spans="1:26" x14ac:dyDescent="0.2">
      <c r="A9292" s="8">
        <v>9291</v>
      </c>
      <c r="B9292" s="8" t="s">
        <v>40267</v>
      </c>
      <c r="C9292" s="8" t="s">
        <v>40267</v>
      </c>
      <c r="G9292" s="8">
        <v>20</v>
      </c>
      <c r="H9292" s="8" t="s">
        <v>21</v>
      </c>
      <c r="I9292" s="8" t="s">
        <v>22</v>
      </c>
      <c r="J9292" s="8" t="s">
        <v>22</v>
      </c>
      <c r="K9292" s="8" t="s">
        <v>160</v>
      </c>
      <c r="L9292" s="8" t="s">
        <v>30854</v>
      </c>
      <c r="M9292" s="8" t="s">
        <v>30855</v>
      </c>
      <c r="N9292" s="8" t="s">
        <v>40268</v>
      </c>
      <c r="O9292" s="8">
        <f>22+46/60+7.4/3600</f>
        <v>22.76872222222222</v>
      </c>
      <c r="P9292" s="8" t="s">
        <v>40269</v>
      </c>
      <c r="Q9292" s="8">
        <f>-(10+22/60+13/3600)</f>
        <v>-10.370277777777778</v>
      </c>
      <c r="R9292" s="8">
        <v>14.2</v>
      </c>
      <c r="S9292" s="8">
        <v>14.9</v>
      </c>
      <c r="T9292" s="8">
        <v>0.7</v>
      </c>
      <c r="U9292" s="8">
        <v>12.5</v>
      </c>
      <c r="V9292" s="8">
        <v>0.5</v>
      </c>
      <c r="W9292" s="8">
        <v>0.5</v>
      </c>
      <c r="Y9292" s="8" t="s">
        <v>21</v>
      </c>
      <c r="Z9292" s="8" t="s">
        <v>40270</v>
      </c>
    </row>
    <row r="9293" spans="1:26" x14ac:dyDescent="0.2">
      <c r="A9293" s="8">
        <v>9292</v>
      </c>
      <c r="B9293" s="8" t="s">
        <v>40271</v>
      </c>
      <c r="C9293" s="8" t="s">
        <v>40271</v>
      </c>
      <c r="G9293" s="8">
        <v>20</v>
      </c>
      <c r="H9293" s="8" t="s">
        <v>21</v>
      </c>
      <c r="I9293" s="8" t="s">
        <v>22</v>
      </c>
      <c r="J9293" s="8" t="s">
        <v>22</v>
      </c>
      <c r="K9293" s="8" t="s">
        <v>58</v>
      </c>
      <c r="L9293" s="8" t="s">
        <v>24</v>
      </c>
      <c r="M9293" s="8" t="s">
        <v>25</v>
      </c>
      <c r="N9293" s="8" t="s">
        <v>40272</v>
      </c>
      <c r="O9293" s="8">
        <f>22+45/60+59.2/3600</f>
        <v>22.766444444444446</v>
      </c>
      <c r="P9293" s="8" t="s">
        <v>40273</v>
      </c>
      <c r="Q9293" s="8">
        <f>+(10+52/60+5/3600)</f>
        <v>10.868055555555555</v>
      </c>
      <c r="R9293" s="8">
        <v>14.5</v>
      </c>
      <c r="S9293" s="8">
        <v>15.5</v>
      </c>
      <c r="T9293" s="8">
        <v>1</v>
      </c>
      <c r="U9293" s="8">
        <v>11.8</v>
      </c>
      <c r="V9293" s="8">
        <v>0.4</v>
      </c>
      <c r="W9293" s="8">
        <v>0.2</v>
      </c>
      <c r="X9293" s="8">
        <v>160</v>
      </c>
      <c r="Y9293" s="8" t="s">
        <v>21</v>
      </c>
      <c r="Z9293" s="8" t="s">
        <v>40274</v>
      </c>
    </row>
    <row r="9294" spans="1:26" x14ac:dyDescent="0.2">
      <c r="A9294" s="8">
        <v>9293</v>
      </c>
      <c r="B9294" s="8" t="s">
        <v>40275</v>
      </c>
      <c r="C9294" s="8" t="s">
        <v>40275</v>
      </c>
      <c r="G9294" s="8">
        <v>20</v>
      </c>
      <c r="H9294" s="8" t="s">
        <v>21</v>
      </c>
      <c r="I9294" s="8" t="s">
        <v>22</v>
      </c>
      <c r="J9294" s="8" t="s">
        <v>22</v>
      </c>
      <c r="K9294" s="8" t="s">
        <v>218</v>
      </c>
      <c r="L9294" s="8" t="s">
        <v>30854</v>
      </c>
      <c r="M9294" s="8" t="s">
        <v>30855</v>
      </c>
      <c r="N9294" s="8" t="s">
        <v>40276</v>
      </c>
      <c r="O9294" s="8">
        <f>22+46/60+54.4/3600</f>
        <v>22.781777777777776</v>
      </c>
      <c r="P9294" s="8" t="s">
        <v>40277</v>
      </c>
      <c r="Q9294" s="8">
        <f>-(13+26/60+58/3600)</f>
        <v>-13.449444444444445</v>
      </c>
      <c r="R9294" s="8">
        <v>14.3</v>
      </c>
      <c r="S9294" s="8">
        <v>15.1</v>
      </c>
      <c r="T9294" s="8">
        <v>0.8</v>
      </c>
      <c r="U9294" s="8">
        <v>13.2</v>
      </c>
      <c r="V9294" s="8">
        <v>0.7</v>
      </c>
      <c r="W9294" s="8">
        <v>0.6</v>
      </c>
      <c r="X9294" s="8">
        <v>156</v>
      </c>
      <c r="Y9294" s="8" t="s">
        <v>40278</v>
      </c>
      <c r="Z9294" s="8" t="s">
        <v>40279</v>
      </c>
    </row>
    <row r="9295" spans="1:26" x14ac:dyDescent="0.2">
      <c r="A9295" s="8">
        <v>9294</v>
      </c>
      <c r="B9295" s="8" t="s">
        <v>40280</v>
      </c>
      <c r="C9295" s="8" t="s">
        <v>40280</v>
      </c>
      <c r="G9295" s="8">
        <v>20</v>
      </c>
      <c r="H9295" s="8" t="s">
        <v>21</v>
      </c>
      <c r="I9295" s="8" t="s">
        <v>241</v>
      </c>
      <c r="J9295" s="8" t="s">
        <v>241</v>
      </c>
      <c r="K9295" s="8" t="s">
        <v>241</v>
      </c>
      <c r="L9295" s="8" t="s">
        <v>242</v>
      </c>
      <c r="M9295" s="8" t="s">
        <v>243</v>
      </c>
      <c r="N9295" s="8" t="s">
        <v>40281</v>
      </c>
      <c r="O9295" s="8">
        <f>22+42/60+24.5/3600</f>
        <v>22.706805555555555</v>
      </c>
      <c r="P9295" s="8" t="s">
        <v>40282</v>
      </c>
      <c r="Q9295" s="8">
        <f>+(80+26/60+35/3600)</f>
        <v>80.44305555555556</v>
      </c>
      <c r="R9295" s="8">
        <v>14</v>
      </c>
      <c r="S9295" s="8">
        <v>14.8</v>
      </c>
      <c r="T9295" s="8">
        <v>99</v>
      </c>
      <c r="U9295" s="8">
        <v>99</v>
      </c>
      <c r="V9295" s="8">
        <v>0.63</v>
      </c>
      <c r="Y9295" s="8" t="s">
        <v>21</v>
      </c>
      <c r="Z9295" s="8" t="s">
        <v>40283</v>
      </c>
    </row>
    <row r="9296" spans="1:26" x14ac:dyDescent="0.2">
      <c r="A9296" s="8">
        <v>9295</v>
      </c>
      <c r="B9296" s="8" t="s">
        <v>40284</v>
      </c>
      <c r="C9296" s="8" t="s">
        <v>40284</v>
      </c>
      <c r="G9296" s="8">
        <v>20</v>
      </c>
      <c r="H9296" s="8" t="s">
        <v>21</v>
      </c>
      <c r="I9296" s="8" t="s">
        <v>22</v>
      </c>
      <c r="J9296" s="8" t="s">
        <v>22</v>
      </c>
      <c r="K9296" s="8" t="s">
        <v>154</v>
      </c>
      <c r="L9296" s="8" t="s">
        <v>38</v>
      </c>
      <c r="M9296" s="8" t="s">
        <v>39</v>
      </c>
      <c r="N9296" s="8" t="s">
        <v>40285</v>
      </c>
      <c r="O9296" s="8">
        <f>22+53/60+46/3600</f>
        <v>22.896111111111111</v>
      </c>
      <c r="P9296" s="8" t="s">
        <v>40286</v>
      </c>
      <c r="Q9296" s="8">
        <f>+(1+22/60+21/3600)</f>
        <v>1.3725000000000001</v>
      </c>
      <c r="R9296" s="8">
        <v>13.8</v>
      </c>
      <c r="S9296" s="8">
        <v>14.7</v>
      </c>
      <c r="T9296" s="8">
        <v>0.9</v>
      </c>
      <c r="U9296" s="8">
        <v>13</v>
      </c>
      <c r="V9296" s="8">
        <v>0.9</v>
      </c>
      <c r="W9296" s="8">
        <v>0.6</v>
      </c>
      <c r="X9296" s="8">
        <v>30</v>
      </c>
      <c r="Y9296" s="8" t="s">
        <v>40287</v>
      </c>
      <c r="Z9296" s="8" t="s">
        <v>40288</v>
      </c>
    </row>
    <row r="9297" spans="1:26" x14ac:dyDescent="0.2">
      <c r="A9297" s="8">
        <v>9296</v>
      </c>
      <c r="B9297" s="8" t="s">
        <v>40289</v>
      </c>
      <c r="C9297" s="8" t="s">
        <v>40289</v>
      </c>
      <c r="G9297" s="8">
        <v>20</v>
      </c>
      <c r="H9297" s="8" t="s">
        <v>21</v>
      </c>
      <c r="I9297" s="8" t="s">
        <v>22</v>
      </c>
      <c r="J9297" s="8" t="s">
        <v>22</v>
      </c>
      <c r="K9297" s="8" t="s">
        <v>37</v>
      </c>
      <c r="L9297" s="8" t="s">
        <v>30854</v>
      </c>
      <c r="M9297" s="8" t="s">
        <v>30855</v>
      </c>
      <c r="N9297" s="8" t="s">
        <v>40290</v>
      </c>
      <c r="O9297" s="8">
        <f>22+55/60+18.2/3600</f>
        <v>22.921722222222222</v>
      </c>
      <c r="P9297" s="8" t="s">
        <v>40291</v>
      </c>
      <c r="Q9297" s="8">
        <f>-(12+43/60+55/3600)</f>
        <v>-12.731944444444444</v>
      </c>
      <c r="R9297" s="8">
        <v>15</v>
      </c>
      <c r="S9297" s="8">
        <v>16</v>
      </c>
      <c r="T9297" s="8">
        <v>1</v>
      </c>
      <c r="U9297" s="8">
        <v>12.8</v>
      </c>
      <c r="V9297" s="8">
        <v>0.7</v>
      </c>
      <c r="W9297" s="8">
        <v>0.2</v>
      </c>
      <c r="X9297" s="8">
        <v>120</v>
      </c>
      <c r="Y9297" s="8" t="s">
        <v>282</v>
      </c>
      <c r="Z9297" s="8" t="s">
        <v>283</v>
      </c>
    </row>
    <row r="9298" spans="1:26" x14ac:dyDescent="0.2">
      <c r="A9298" s="8">
        <v>9297</v>
      </c>
      <c r="B9298" s="8" t="s">
        <v>40292</v>
      </c>
      <c r="C9298" s="8" t="s">
        <v>40292</v>
      </c>
      <c r="G9298" s="8">
        <v>20</v>
      </c>
      <c r="H9298" s="8" t="s">
        <v>21</v>
      </c>
      <c r="I9298" s="8" t="s">
        <v>72</v>
      </c>
      <c r="J9298" s="8" t="s">
        <v>72</v>
      </c>
      <c r="K9298" s="8" t="s">
        <v>20</v>
      </c>
      <c r="L9298" s="8" t="s">
        <v>30854</v>
      </c>
      <c r="M9298" s="8" t="s">
        <v>30855</v>
      </c>
      <c r="N9298" s="8" t="s">
        <v>40293</v>
      </c>
      <c r="O9298" s="8">
        <f>22+55/60+23.8/3600</f>
        <v>22.923277777777781</v>
      </c>
      <c r="P9298" s="8" t="s">
        <v>40294</v>
      </c>
      <c r="Q9298" s="8">
        <f>-(5+33/60+45/3600)</f>
        <v>-5.5625</v>
      </c>
      <c r="R9298" s="8">
        <v>99</v>
      </c>
      <c r="S9298" s="8">
        <v>99</v>
      </c>
      <c r="T9298" s="8">
        <v>99</v>
      </c>
      <c r="U9298" s="8">
        <v>99</v>
      </c>
      <c r="Y9298" s="8" t="s">
        <v>21</v>
      </c>
      <c r="Z9298" s="8" t="s">
        <v>40295</v>
      </c>
    </row>
    <row r="9299" spans="1:26" x14ac:dyDescent="0.2">
      <c r="A9299" s="8">
        <v>9298</v>
      </c>
      <c r="B9299" s="8" t="s">
        <v>40296</v>
      </c>
      <c r="C9299" s="8" t="s">
        <v>40296</v>
      </c>
      <c r="G9299" s="8">
        <v>20</v>
      </c>
      <c r="H9299" s="8" t="s">
        <v>21</v>
      </c>
      <c r="I9299" s="8" t="s">
        <v>22</v>
      </c>
      <c r="J9299" s="8" t="s">
        <v>57</v>
      </c>
      <c r="K9299" s="8" t="s">
        <v>160</v>
      </c>
      <c r="L9299" s="8" t="s">
        <v>30854</v>
      </c>
      <c r="M9299" s="8" t="s">
        <v>30855</v>
      </c>
      <c r="N9299" s="8" t="s">
        <v>32964</v>
      </c>
      <c r="O9299" s="8">
        <f>22+56/60+41.4/3600</f>
        <v>22.944833333333335</v>
      </c>
      <c r="P9299" s="8" t="s">
        <v>32965</v>
      </c>
      <c r="Q9299" s="8">
        <f>-(7+22/60+47/3600)</f>
        <v>-7.3797222222222221</v>
      </c>
      <c r="R9299" s="8">
        <v>13.8</v>
      </c>
      <c r="S9299" s="8">
        <v>14.5</v>
      </c>
      <c r="T9299" s="8">
        <v>0.7</v>
      </c>
      <c r="U9299" s="8">
        <v>13.7</v>
      </c>
      <c r="V9299" s="8">
        <v>1.3</v>
      </c>
      <c r="W9299" s="8">
        <v>0.8</v>
      </c>
      <c r="X9299" s="8">
        <v>144</v>
      </c>
      <c r="Y9299" s="8" t="s">
        <v>34897</v>
      </c>
      <c r="Z9299" s="8" t="s">
        <v>34898</v>
      </c>
    </row>
    <row r="9300" spans="1:26" x14ac:dyDescent="0.2">
      <c r="A9300" s="8">
        <v>9299</v>
      </c>
      <c r="B9300" s="8" t="s">
        <v>40297</v>
      </c>
      <c r="C9300" s="8" t="s">
        <v>40297</v>
      </c>
      <c r="G9300" s="8">
        <v>3</v>
      </c>
      <c r="H9300" s="8" t="s">
        <v>21</v>
      </c>
      <c r="I9300" s="8" t="s">
        <v>22</v>
      </c>
      <c r="J9300" s="8" t="s">
        <v>22</v>
      </c>
      <c r="K9300" s="8" t="s">
        <v>382</v>
      </c>
      <c r="L9300" s="8" t="s">
        <v>31389</v>
      </c>
      <c r="M9300" s="8" t="s">
        <v>31390</v>
      </c>
      <c r="N9300" s="8" t="s">
        <v>40298</v>
      </c>
      <c r="O9300" s="8">
        <f>22+57/60+10.4/3600</f>
        <v>22.952888888888889</v>
      </c>
      <c r="P9300" s="8" t="s">
        <v>40299</v>
      </c>
      <c r="Q9300" s="8">
        <f>-(36+27/60+45/3600)</f>
        <v>-36.462500000000006</v>
      </c>
      <c r="R9300" s="8">
        <v>10</v>
      </c>
      <c r="S9300" s="8">
        <v>11</v>
      </c>
      <c r="T9300" s="8">
        <v>1</v>
      </c>
      <c r="U9300" s="8">
        <v>13.2</v>
      </c>
      <c r="V9300" s="8">
        <v>5.2</v>
      </c>
      <c r="W9300" s="8">
        <v>1.8</v>
      </c>
      <c r="X9300" s="8">
        <v>40</v>
      </c>
      <c r="Y9300" s="8" t="s">
        <v>21</v>
      </c>
      <c r="Z9300" s="8" t="s">
        <v>40300</v>
      </c>
    </row>
    <row r="9301" spans="1:26" x14ac:dyDescent="0.2">
      <c r="A9301" s="8">
        <v>9300</v>
      </c>
      <c r="B9301" s="8" t="s">
        <v>40301</v>
      </c>
      <c r="C9301" s="8" t="s">
        <v>40301</v>
      </c>
      <c r="G9301" s="8">
        <v>20</v>
      </c>
      <c r="H9301" s="8" t="s">
        <v>21</v>
      </c>
      <c r="I9301" s="8" t="s">
        <v>22</v>
      </c>
      <c r="J9301" s="8" t="s">
        <v>22</v>
      </c>
      <c r="K9301" s="8" t="s">
        <v>1136</v>
      </c>
      <c r="L9301" s="8" t="s">
        <v>38</v>
      </c>
      <c r="M9301" s="8" t="s">
        <v>39</v>
      </c>
      <c r="N9301" s="8" t="s">
        <v>40302</v>
      </c>
      <c r="O9301" s="8">
        <f>22+57/60+4/3600</f>
        <v>22.951111111111111</v>
      </c>
      <c r="P9301" s="8" t="s">
        <v>40303</v>
      </c>
      <c r="Q9301" s="8">
        <f>+(4+40/60+39/3600)</f>
        <v>4.6775000000000002</v>
      </c>
      <c r="R9301" s="8">
        <v>14.4</v>
      </c>
      <c r="S9301" s="8">
        <v>15.1</v>
      </c>
      <c r="T9301" s="8">
        <v>0.7</v>
      </c>
      <c r="U9301" s="8">
        <v>12.2</v>
      </c>
      <c r="V9301" s="8">
        <v>0.5</v>
      </c>
      <c r="W9301" s="8">
        <v>0.5</v>
      </c>
      <c r="Y9301" s="8" t="s">
        <v>40304</v>
      </c>
      <c r="Z9301" s="8" t="s">
        <v>40305</v>
      </c>
    </row>
    <row r="9302" spans="1:26" x14ac:dyDescent="0.2">
      <c r="A9302" s="8">
        <v>9301</v>
      </c>
      <c r="B9302" s="8" t="s">
        <v>40306</v>
      </c>
      <c r="C9302" s="8" t="s">
        <v>40306</v>
      </c>
      <c r="G9302" s="8">
        <v>20</v>
      </c>
      <c r="H9302" s="8" t="s">
        <v>21</v>
      </c>
      <c r="I9302" s="8" t="s">
        <v>22</v>
      </c>
      <c r="J9302" s="8" t="s">
        <v>22</v>
      </c>
      <c r="K9302" s="8" t="s">
        <v>476</v>
      </c>
      <c r="L9302" s="8" t="s">
        <v>24</v>
      </c>
      <c r="M9302" s="8" t="s">
        <v>25</v>
      </c>
      <c r="N9302" s="8" t="s">
        <v>40307</v>
      </c>
      <c r="O9302" s="8">
        <f>22+58/60+34.2/3600</f>
        <v>22.976166666666664</v>
      </c>
      <c r="P9302" s="8" t="s">
        <v>40308</v>
      </c>
      <c r="Q9302" s="8">
        <f>+(15+10/60+24/3600)</f>
        <v>15.173333333333332</v>
      </c>
      <c r="R9302" s="8">
        <v>14.2</v>
      </c>
      <c r="S9302" s="8">
        <v>15.1</v>
      </c>
      <c r="T9302" s="8">
        <v>0.9</v>
      </c>
      <c r="U9302" s="8">
        <v>12.5</v>
      </c>
      <c r="V9302" s="8">
        <v>0.6</v>
      </c>
      <c r="W9302" s="8">
        <v>0.4</v>
      </c>
      <c r="X9302" s="8">
        <v>144</v>
      </c>
      <c r="Y9302" s="8" t="s">
        <v>15791</v>
      </c>
      <c r="Z9302" s="8" t="s">
        <v>15792</v>
      </c>
    </row>
    <row r="9303" spans="1:26" x14ac:dyDescent="0.2">
      <c r="A9303" s="8">
        <v>9302</v>
      </c>
      <c r="B9303" s="8" t="s">
        <v>40309</v>
      </c>
      <c r="C9303" s="8" t="s">
        <v>40309</v>
      </c>
      <c r="G9303" s="8">
        <v>20</v>
      </c>
      <c r="H9303" s="8" t="s">
        <v>21</v>
      </c>
      <c r="I9303" s="8" t="s">
        <v>72</v>
      </c>
      <c r="J9303" s="8" t="s">
        <v>72</v>
      </c>
      <c r="K9303" s="8" t="s">
        <v>20</v>
      </c>
      <c r="L9303" s="8" t="s">
        <v>24</v>
      </c>
      <c r="M9303" s="8" t="s">
        <v>25</v>
      </c>
      <c r="N9303" s="8" t="s">
        <v>40310</v>
      </c>
      <c r="O9303" s="8">
        <f>22+58/60+37.2/3600</f>
        <v>22.976999999999997</v>
      </c>
      <c r="P9303" s="8" t="s">
        <v>40311</v>
      </c>
      <c r="Q9303" s="8">
        <f>+(8+26/60+28/3600)</f>
        <v>8.4411111111111108</v>
      </c>
      <c r="R9303" s="8">
        <v>99</v>
      </c>
      <c r="S9303" s="8">
        <v>14.3</v>
      </c>
      <c r="T9303" s="8">
        <v>99</v>
      </c>
      <c r="U9303" s="8">
        <v>99</v>
      </c>
      <c r="Y9303" s="8" t="s">
        <v>21</v>
      </c>
      <c r="Z9303" s="8" t="s">
        <v>40312</v>
      </c>
    </row>
    <row r="9304" spans="1:26" x14ac:dyDescent="0.2">
      <c r="A9304" s="8">
        <v>9303</v>
      </c>
      <c r="B9304" s="8" t="s">
        <v>40313</v>
      </c>
      <c r="C9304" s="8" t="s">
        <v>40313</v>
      </c>
      <c r="G9304" s="8">
        <v>20</v>
      </c>
      <c r="H9304" s="8" t="s">
        <v>21</v>
      </c>
      <c r="I9304" s="8" t="s">
        <v>72</v>
      </c>
      <c r="J9304" s="8" t="s">
        <v>72</v>
      </c>
      <c r="K9304" s="8" t="s">
        <v>73</v>
      </c>
      <c r="L9304" s="8" t="s">
        <v>30854</v>
      </c>
      <c r="M9304" s="8" t="s">
        <v>30855</v>
      </c>
      <c r="N9304" s="8" t="s">
        <v>40314</v>
      </c>
      <c r="O9304" s="8">
        <f>22+59/60+21.1/3600</f>
        <v>22.989194444444447</v>
      </c>
      <c r="P9304" s="8" t="s">
        <v>40315</v>
      </c>
      <c r="Q9304" s="8">
        <f>-(10+31/60+51/3600)</f>
        <v>-10.530833333333334</v>
      </c>
      <c r="R9304" s="8">
        <v>99</v>
      </c>
      <c r="S9304" s="8">
        <v>99</v>
      </c>
      <c r="T9304" s="8">
        <v>99</v>
      </c>
      <c r="U9304" s="8">
        <v>99</v>
      </c>
      <c r="Y9304" s="8" t="s">
        <v>21</v>
      </c>
      <c r="Z9304" s="8" t="s">
        <v>37703</v>
      </c>
    </row>
    <row r="9305" spans="1:26" x14ac:dyDescent="0.2">
      <c r="A9305" s="8">
        <v>9304</v>
      </c>
      <c r="B9305" s="8" t="s">
        <v>40316</v>
      </c>
      <c r="C9305" s="8" t="s">
        <v>40316</v>
      </c>
      <c r="D9305" s="8" t="s">
        <v>351</v>
      </c>
      <c r="G9305" s="8">
        <v>20</v>
      </c>
      <c r="H9305" s="8" t="s">
        <v>21</v>
      </c>
      <c r="I9305" s="8" t="s">
        <v>22</v>
      </c>
      <c r="J9305" s="8" t="s">
        <v>22</v>
      </c>
      <c r="K9305" s="8" t="s">
        <v>24713</v>
      </c>
      <c r="L9305" s="8" t="s">
        <v>30854</v>
      </c>
      <c r="M9305" s="8" t="s">
        <v>30855</v>
      </c>
      <c r="N9305" s="8" t="s">
        <v>40317</v>
      </c>
      <c r="O9305" s="8">
        <f>23+3/60+11/3600</f>
        <v>23.053055555555556</v>
      </c>
      <c r="P9305" s="8" t="s">
        <v>40318</v>
      </c>
      <c r="Q9305" s="8">
        <f>-(8+59/60+19/3600)</f>
        <v>-8.9886111111111102</v>
      </c>
      <c r="R9305" s="8">
        <v>14.6</v>
      </c>
      <c r="S9305" s="8">
        <v>15.4</v>
      </c>
      <c r="T9305" s="8">
        <v>0.8</v>
      </c>
      <c r="U9305" s="8">
        <v>13.1</v>
      </c>
      <c r="V9305" s="8">
        <v>0.7</v>
      </c>
      <c r="W9305" s="8">
        <v>0.4</v>
      </c>
      <c r="X9305" s="8">
        <v>15</v>
      </c>
      <c r="Y9305" s="8" t="s">
        <v>40319</v>
      </c>
      <c r="Z9305" s="8" t="s">
        <v>40320</v>
      </c>
    </row>
    <row r="9306" spans="1:26" x14ac:dyDescent="0.2">
      <c r="A9306" s="8">
        <v>9305</v>
      </c>
      <c r="B9306" s="8" t="s">
        <v>40321</v>
      </c>
      <c r="C9306" s="8" t="s">
        <v>40321</v>
      </c>
      <c r="G9306" s="8">
        <v>20</v>
      </c>
      <c r="H9306" s="8" t="s">
        <v>21</v>
      </c>
      <c r="I9306" s="8" t="s">
        <v>72</v>
      </c>
      <c r="J9306" s="8" t="s">
        <v>72</v>
      </c>
      <c r="K9306" s="8" t="s">
        <v>73</v>
      </c>
      <c r="L9306" s="8" t="s">
        <v>24</v>
      </c>
      <c r="M9306" s="8" t="s">
        <v>25</v>
      </c>
      <c r="N9306" s="8" t="s">
        <v>40322</v>
      </c>
      <c r="O9306" s="8">
        <f>23+2/60+53.5/3600</f>
        <v>23.048194444444444</v>
      </c>
      <c r="P9306" s="8" t="s">
        <v>40323</v>
      </c>
      <c r="Q9306" s="8">
        <f>+(16+34/60+57/3600)</f>
        <v>16.5825</v>
      </c>
      <c r="R9306" s="8">
        <v>99</v>
      </c>
      <c r="S9306" s="8">
        <v>99</v>
      </c>
      <c r="T9306" s="8">
        <v>99</v>
      </c>
      <c r="U9306" s="8">
        <v>99</v>
      </c>
      <c r="Y9306" s="8" t="s">
        <v>40324</v>
      </c>
      <c r="Z9306" s="8" t="s">
        <v>36776</v>
      </c>
    </row>
    <row r="9307" spans="1:26" x14ac:dyDescent="0.2">
      <c r="A9307" s="8">
        <v>9306</v>
      </c>
      <c r="B9307" s="8" t="s">
        <v>40325</v>
      </c>
      <c r="C9307" s="8" t="s">
        <v>40325</v>
      </c>
      <c r="G9307" s="8">
        <v>20</v>
      </c>
      <c r="H9307" s="8" t="s">
        <v>21</v>
      </c>
      <c r="I9307" s="8" t="s">
        <v>22</v>
      </c>
      <c r="J9307" s="8" t="s">
        <v>22</v>
      </c>
      <c r="K9307" s="8" t="s">
        <v>37</v>
      </c>
      <c r="L9307" s="8" t="s">
        <v>38</v>
      </c>
      <c r="M9307" s="8" t="s">
        <v>39</v>
      </c>
      <c r="N9307" s="8" t="s">
        <v>40326</v>
      </c>
      <c r="O9307" s="8">
        <f>23+3/60+39/3600</f>
        <v>23.060833333333335</v>
      </c>
      <c r="P9307" s="8" t="s">
        <v>40327</v>
      </c>
      <c r="Q9307" s="8">
        <f>-(2+46/60+32/3600)</f>
        <v>-2.7755555555555556</v>
      </c>
      <c r="R9307" s="8">
        <v>13.4</v>
      </c>
      <c r="S9307" s="8">
        <v>14.4</v>
      </c>
      <c r="T9307" s="8">
        <v>1</v>
      </c>
      <c r="U9307" s="8">
        <v>11.5</v>
      </c>
      <c r="V9307" s="8">
        <v>0.5</v>
      </c>
      <c r="W9307" s="8">
        <v>0.4</v>
      </c>
      <c r="X9307" s="8">
        <v>130</v>
      </c>
      <c r="Y9307" s="8" t="s">
        <v>34725</v>
      </c>
      <c r="Z9307" s="8" t="s">
        <v>40025</v>
      </c>
    </row>
    <row r="9308" spans="1:26" x14ac:dyDescent="0.2">
      <c r="A9308" s="8">
        <v>9307</v>
      </c>
      <c r="B9308" s="8" t="s">
        <v>40328</v>
      </c>
      <c r="C9308" s="8" t="s">
        <v>40328</v>
      </c>
      <c r="G9308" s="8">
        <v>20</v>
      </c>
      <c r="H9308" s="8" t="s">
        <v>21</v>
      </c>
      <c r="I9308" s="8" t="s">
        <v>22</v>
      </c>
      <c r="J9308" s="8" t="s">
        <v>22</v>
      </c>
      <c r="K9308" s="8" t="s">
        <v>160</v>
      </c>
      <c r="L9308" s="8" t="s">
        <v>38</v>
      </c>
      <c r="M9308" s="8" t="s">
        <v>39</v>
      </c>
      <c r="N9308" s="8" t="s">
        <v>40329</v>
      </c>
      <c r="O9308" s="8">
        <f>23+4/60+49.6/3600</f>
        <v>23.080444444444446</v>
      </c>
      <c r="P9308" s="8" t="s">
        <v>40330</v>
      </c>
      <c r="Q9308" s="8">
        <f>-(3+13/60+52/3600)</f>
        <v>-3.2311111111111113</v>
      </c>
      <c r="R9308" s="8">
        <v>14.2</v>
      </c>
      <c r="S9308" s="8">
        <v>14.9</v>
      </c>
      <c r="T9308" s="8">
        <v>0.7</v>
      </c>
      <c r="U9308" s="8">
        <v>12.5</v>
      </c>
      <c r="V9308" s="8">
        <v>0.8</v>
      </c>
      <c r="W9308" s="8">
        <v>0.3</v>
      </c>
      <c r="X9308" s="8">
        <v>5</v>
      </c>
      <c r="Y9308" s="8" t="s">
        <v>40331</v>
      </c>
      <c r="Z9308" s="8" t="s">
        <v>40332</v>
      </c>
    </row>
    <row r="9309" spans="1:26" x14ac:dyDescent="0.2">
      <c r="A9309" s="8">
        <v>9308</v>
      </c>
      <c r="B9309" s="8" t="s">
        <v>40333</v>
      </c>
      <c r="C9309" s="8" t="s">
        <v>40333</v>
      </c>
      <c r="G9309" s="8">
        <v>20</v>
      </c>
      <c r="H9309" s="8" t="s">
        <v>21</v>
      </c>
      <c r="I9309" s="8" t="s">
        <v>22</v>
      </c>
      <c r="J9309" s="8" t="s">
        <v>22</v>
      </c>
      <c r="K9309" s="8" t="s">
        <v>632</v>
      </c>
      <c r="L9309" s="8" t="s">
        <v>38</v>
      </c>
      <c r="M9309" s="8" t="s">
        <v>39</v>
      </c>
      <c r="N9309" s="8" t="s">
        <v>40334</v>
      </c>
      <c r="O9309" s="8">
        <f>23+5/60+7.3/3600</f>
        <v>23.085361111111109</v>
      </c>
      <c r="P9309" s="8" t="s">
        <v>40335</v>
      </c>
      <c r="Q9309" s="8">
        <f>-(3+12/60+19/3600)</f>
        <v>-3.2052777777777779</v>
      </c>
      <c r="R9309" s="8">
        <v>14.2</v>
      </c>
      <c r="S9309" s="8">
        <v>15.1</v>
      </c>
      <c r="T9309" s="8">
        <v>0.9</v>
      </c>
      <c r="U9309" s="8">
        <v>13.5</v>
      </c>
      <c r="V9309" s="8">
        <v>1.1000000000000001</v>
      </c>
      <c r="W9309" s="8">
        <v>0.5</v>
      </c>
      <c r="X9309" s="8">
        <v>156</v>
      </c>
      <c r="Y9309" s="8" t="s">
        <v>34700</v>
      </c>
      <c r="Z9309" s="8" t="s">
        <v>34701</v>
      </c>
    </row>
    <row r="9310" spans="1:26" x14ac:dyDescent="0.2">
      <c r="A9310" s="8">
        <v>9309</v>
      </c>
      <c r="B9310" s="8" t="s">
        <v>40336</v>
      </c>
      <c r="C9310" s="8" t="s">
        <v>40336</v>
      </c>
      <c r="G9310" s="8">
        <v>20</v>
      </c>
      <c r="H9310" s="8" t="s">
        <v>21</v>
      </c>
      <c r="I9310" s="8" t="s">
        <v>22</v>
      </c>
      <c r="J9310" s="8" t="s">
        <v>22</v>
      </c>
      <c r="K9310" s="8" t="s">
        <v>50</v>
      </c>
      <c r="L9310" s="8" t="s">
        <v>30854</v>
      </c>
      <c r="M9310" s="8" t="s">
        <v>30855</v>
      </c>
      <c r="N9310" s="8" t="s">
        <v>40337</v>
      </c>
      <c r="O9310" s="8">
        <f>23+6/60+28.5/3600</f>
        <v>23.107916666666668</v>
      </c>
      <c r="P9310" s="8" t="s">
        <v>40338</v>
      </c>
      <c r="Q9310" s="8">
        <f>-(13+32/60+11/3600)</f>
        <v>-13.536388888888888</v>
      </c>
      <c r="R9310" s="8">
        <v>15</v>
      </c>
      <c r="S9310" s="8">
        <v>16</v>
      </c>
      <c r="T9310" s="8">
        <v>1</v>
      </c>
      <c r="U9310" s="8">
        <v>13</v>
      </c>
      <c r="V9310" s="8">
        <v>0.5</v>
      </c>
      <c r="W9310" s="8">
        <v>0.3</v>
      </c>
      <c r="X9310" s="8">
        <v>85</v>
      </c>
      <c r="Y9310" s="8" t="s">
        <v>40339</v>
      </c>
      <c r="Z9310" s="8" t="s">
        <v>40340</v>
      </c>
    </row>
    <row r="9311" spans="1:26" x14ac:dyDescent="0.2">
      <c r="A9311" s="8">
        <v>9310</v>
      </c>
      <c r="B9311" s="8" t="s">
        <v>40341</v>
      </c>
      <c r="C9311" s="8" t="s">
        <v>40341</v>
      </c>
      <c r="G9311" s="8">
        <v>13</v>
      </c>
      <c r="H9311" s="8" t="s">
        <v>21</v>
      </c>
      <c r="I9311" s="8" t="s">
        <v>1283</v>
      </c>
      <c r="J9311" s="8" t="s">
        <v>1283</v>
      </c>
      <c r="K9311" s="8" t="s">
        <v>1284</v>
      </c>
      <c r="L9311" s="8" t="s">
        <v>242</v>
      </c>
      <c r="M9311" s="8" t="s">
        <v>243</v>
      </c>
      <c r="N9311" s="8" t="s">
        <v>40342</v>
      </c>
      <c r="O9311" s="8">
        <f>23+5/60+10.4/3600</f>
        <v>23.086222222222222</v>
      </c>
      <c r="P9311" s="8" t="s">
        <v>40343</v>
      </c>
      <c r="Q9311" s="8">
        <f>+(60+14/60+32/3600)</f>
        <v>60.242222222222225</v>
      </c>
      <c r="R9311" s="8">
        <v>99</v>
      </c>
      <c r="S9311" s="8">
        <v>99</v>
      </c>
      <c r="T9311" s="8">
        <v>99</v>
      </c>
      <c r="U9311" s="8">
        <v>99</v>
      </c>
      <c r="V9311" s="8">
        <v>1</v>
      </c>
      <c r="W9311" s="8">
        <v>1</v>
      </c>
      <c r="Y9311" s="8" t="s">
        <v>21</v>
      </c>
      <c r="Z9311" s="8" t="s">
        <v>40344</v>
      </c>
    </row>
    <row r="9312" spans="1:26" x14ac:dyDescent="0.2">
      <c r="A9312" s="8">
        <v>9311</v>
      </c>
      <c r="B9312" s="8" t="s">
        <v>40345</v>
      </c>
      <c r="C9312" s="8" t="s">
        <v>40345</v>
      </c>
      <c r="G9312" s="8">
        <v>20</v>
      </c>
      <c r="H9312" s="8" t="s">
        <v>21</v>
      </c>
      <c r="I9312" s="8" t="s">
        <v>22</v>
      </c>
      <c r="J9312" s="8" t="s">
        <v>22</v>
      </c>
      <c r="K9312" s="8" t="s">
        <v>476</v>
      </c>
      <c r="L9312" s="8" t="s">
        <v>30854</v>
      </c>
      <c r="M9312" s="8" t="s">
        <v>30855</v>
      </c>
      <c r="N9312" s="8" t="s">
        <v>40346</v>
      </c>
      <c r="O9312" s="8">
        <f>23+8/60+45/3600</f>
        <v>23.145833333333332</v>
      </c>
      <c r="P9312" s="8" t="s">
        <v>40347</v>
      </c>
      <c r="Q9312" s="8">
        <f>-(12+38/60+21/3600)</f>
        <v>-12.639166666666666</v>
      </c>
      <c r="R9312" s="8">
        <v>13.6</v>
      </c>
      <c r="S9312" s="8">
        <v>14.5</v>
      </c>
      <c r="T9312" s="8">
        <v>0.9</v>
      </c>
      <c r="U9312" s="8">
        <v>12.2</v>
      </c>
      <c r="V9312" s="8">
        <v>0.8</v>
      </c>
      <c r="W9312" s="8">
        <v>0.4</v>
      </c>
      <c r="X9312" s="8">
        <v>165</v>
      </c>
      <c r="Y9312" s="8" t="s">
        <v>121</v>
      </c>
      <c r="Z9312" s="8" t="s">
        <v>122</v>
      </c>
    </row>
    <row r="9313" spans="1:26" x14ac:dyDescent="0.2">
      <c r="A9313" s="8">
        <v>9312</v>
      </c>
      <c r="B9313" s="8" t="s">
        <v>40348</v>
      </c>
      <c r="C9313" s="8" t="s">
        <v>40348</v>
      </c>
      <c r="G9313" s="8">
        <v>20</v>
      </c>
      <c r="H9313" s="8" t="s">
        <v>21</v>
      </c>
      <c r="I9313" s="8" t="s">
        <v>22</v>
      </c>
      <c r="J9313" s="8" t="s">
        <v>22</v>
      </c>
      <c r="K9313" s="8" t="s">
        <v>632</v>
      </c>
      <c r="L9313" s="8" t="s">
        <v>24</v>
      </c>
      <c r="M9313" s="8" t="s">
        <v>25</v>
      </c>
      <c r="N9313" s="8" t="s">
        <v>40349</v>
      </c>
      <c r="O9313" s="8">
        <f>23+9/60+6.6/3600</f>
        <v>23.151833333333332</v>
      </c>
      <c r="P9313" s="8" t="s">
        <v>40350</v>
      </c>
      <c r="Q9313" s="8">
        <f>+(17+15/60+35/3600)</f>
        <v>17.259722222222223</v>
      </c>
      <c r="R9313" s="8">
        <v>14.2</v>
      </c>
      <c r="S9313" s="8">
        <v>15.1</v>
      </c>
      <c r="T9313" s="8">
        <v>0.9</v>
      </c>
      <c r="U9313" s="8">
        <v>13.7</v>
      </c>
      <c r="V9313" s="8">
        <v>1.2</v>
      </c>
      <c r="W9313" s="8">
        <v>0.6</v>
      </c>
      <c r="X9313" s="8">
        <v>57</v>
      </c>
      <c r="Y9313" s="8" t="s">
        <v>40351</v>
      </c>
      <c r="Z9313" s="8" t="s">
        <v>40352</v>
      </c>
    </row>
    <row r="9314" spans="1:26" x14ac:dyDescent="0.2">
      <c r="A9314" s="8">
        <v>9313</v>
      </c>
      <c r="B9314" s="8" t="s">
        <v>40353</v>
      </c>
      <c r="C9314" s="8" t="s">
        <v>40353</v>
      </c>
      <c r="G9314" s="8">
        <v>20</v>
      </c>
      <c r="H9314" s="8" t="s">
        <v>21</v>
      </c>
      <c r="I9314" s="8" t="s">
        <v>22</v>
      </c>
      <c r="J9314" s="8" t="s">
        <v>22</v>
      </c>
      <c r="K9314" s="8" t="s">
        <v>37</v>
      </c>
      <c r="L9314" s="8" t="s">
        <v>24</v>
      </c>
      <c r="M9314" s="8" t="s">
        <v>25</v>
      </c>
      <c r="N9314" s="8" t="s">
        <v>40354</v>
      </c>
      <c r="O9314" s="8">
        <f>23+11/60+5.2/3600</f>
        <v>23.184777777777779</v>
      </c>
      <c r="P9314" s="8" t="s">
        <v>40355</v>
      </c>
      <c r="Q9314" s="8">
        <f>+(29+38/60+35/3600)</f>
        <v>29.643055555555556</v>
      </c>
      <c r="R9314" s="8">
        <v>12.9</v>
      </c>
      <c r="S9314" s="8">
        <v>13.9</v>
      </c>
      <c r="T9314" s="8">
        <v>1</v>
      </c>
      <c r="U9314" s="8">
        <v>13.6</v>
      </c>
      <c r="V9314" s="8">
        <v>2.1</v>
      </c>
      <c r="W9314" s="8">
        <v>1</v>
      </c>
      <c r="X9314" s="8">
        <v>176</v>
      </c>
      <c r="Y9314" s="8" t="s">
        <v>30467</v>
      </c>
      <c r="Z9314" s="8" t="s">
        <v>30468</v>
      </c>
    </row>
    <row r="9315" spans="1:26" x14ac:dyDescent="0.2">
      <c r="A9315" s="8">
        <v>9314</v>
      </c>
      <c r="B9315" s="8" t="s">
        <v>40356</v>
      </c>
      <c r="C9315" s="8" t="s">
        <v>40356</v>
      </c>
      <c r="G9315" s="8">
        <v>20</v>
      </c>
      <c r="H9315" s="8" t="s">
        <v>21</v>
      </c>
      <c r="I9315" s="8" t="s">
        <v>22</v>
      </c>
      <c r="J9315" s="8" t="s">
        <v>22</v>
      </c>
      <c r="K9315" s="8" t="s">
        <v>160</v>
      </c>
      <c r="L9315" s="8" t="s">
        <v>38</v>
      </c>
      <c r="M9315" s="8" t="s">
        <v>39</v>
      </c>
      <c r="N9315" s="8" t="s">
        <v>40357</v>
      </c>
      <c r="O9315" s="8">
        <f>23+12/60+51.3/3600</f>
        <v>23.21425</v>
      </c>
      <c r="P9315" s="8" t="s">
        <v>40358</v>
      </c>
      <c r="Q9315" s="8">
        <f>+(5+48/60+21/3600)</f>
        <v>5.8058333333333332</v>
      </c>
      <c r="R9315" s="8">
        <v>13.9</v>
      </c>
      <c r="S9315" s="8">
        <v>14.7</v>
      </c>
      <c r="T9315" s="8">
        <v>0.8</v>
      </c>
      <c r="U9315" s="8">
        <v>13.1</v>
      </c>
      <c r="V9315" s="8">
        <v>1.1000000000000001</v>
      </c>
      <c r="W9315" s="8">
        <v>0.5</v>
      </c>
      <c r="X9315" s="8">
        <v>150</v>
      </c>
      <c r="Y9315" s="8" t="s">
        <v>40359</v>
      </c>
      <c r="Z9315" s="8" t="s">
        <v>40360</v>
      </c>
    </row>
    <row r="9316" spans="1:26" x14ac:dyDescent="0.2">
      <c r="A9316" s="8">
        <v>9315</v>
      </c>
      <c r="B9316" s="8" t="s">
        <v>40361</v>
      </c>
      <c r="C9316" s="8" t="s">
        <v>40361</v>
      </c>
      <c r="G9316" s="8">
        <v>20</v>
      </c>
      <c r="H9316" s="8" t="s">
        <v>21</v>
      </c>
      <c r="I9316" s="8" t="s">
        <v>329</v>
      </c>
      <c r="J9316" s="8" t="s">
        <v>329</v>
      </c>
      <c r="K9316" s="8" t="s">
        <v>329</v>
      </c>
      <c r="L9316" s="8" t="s">
        <v>65</v>
      </c>
      <c r="M9316" s="8" t="s">
        <v>66</v>
      </c>
      <c r="N9316" s="8" t="s">
        <v>40362</v>
      </c>
      <c r="O9316" s="8">
        <f>23+14/60+2/3600</f>
        <v>23.233888888888888</v>
      </c>
      <c r="P9316" s="8" t="s">
        <v>40363</v>
      </c>
      <c r="Q9316" s="8">
        <f>-(28+25/60+18/3600)</f>
        <v>-28.421666666666667</v>
      </c>
      <c r="R9316" s="8">
        <v>99</v>
      </c>
      <c r="S9316" s="8">
        <v>99</v>
      </c>
      <c r="T9316" s="8">
        <v>99</v>
      </c>
      <c r="U9316" s="8">
        <v>99</v>
      </c>
      <c r="Y9316" s="8" t="s">
        <v>651</v>
      </c>
      <c r="Z9316" s="8" t="s">
        <v>12214</v>
      </c>
    </row>
    <row r="9317" spans="1:26" x14ac:dyDescent="0.2">
      <c r="A9317" s="8">
        <v>9316</v>
      </c>
      <c r="B9317" s="8" t="s">
        <v>40364</v>
      </c>
      <c r="C9317" s="8" t="s">
        <v>40364</v>
      </c>
      <c r="G9317" s="8">
        <v>20</v>
      </c>
      <c r="H9317" s="8" t="s">
        <v>21</v>
      </c>
      <c r="I9317" s="8" t="s">
        <v>22</v>
      </c>
      <c r="J9317" s="8" t="s">
        <v>22</v>
      </c>
      <c r="K9317" s="8" t="s">
        <v>476</v>
      </c>
      <c r="L9317" s="8" t="s">
        <v>24</v>
      </c>
      <c r="M9317" s="8" t="s">
        <v>25</v>
      </c>
      <c r="N9317" s="8" t="s">
        <v>40365</v>
      </c>
      <c r="O9317" s="8">
        <f>23+14/60+16.3/3600</f>
        <v>23.237861111111112</v>
      </c>
      <c r="P9317" s="8" t="s">
        <v>40366</v>
      </c>
      <c r="Q9317" s="8">
        <f>+(30+33/60+7/3600)</f>
        <v>30.551944444444445</v>
      </c>
      <c r="R9317" s="8">
        <v>14.7</v>
      </c>
      <c r="S9317" s="8">
        <v>15.5</v>
      </c>
      <c r="T9317" s="8">
        <v>0.8</v>
      </c>
      <c r="U9317" s="8">
        <v>13.8</v>
      </c>
      <c r="V9317" s="8">
        <v>0.7</v>
      </c>
      <c r="W9317" s="8">
        <v>0.7</v>
      </c>
      <c r="Y9317" s="8" t="s">
        <v>21</v>
      </c>
      <c r="Z9317" s="8" t="s">
        <v>40367</v>
      </c>
    </row>
    <row r="9318" spans="1:26" x14ac:dyDescent="0.2">
      <c r="A9318" s="8">
        <v>9317</v>
      </c>
      <c r="B9318" s="8" t="s">
        <v>40368</v>
      </c>
      <c r="C9318" s="8" t="s">
        <v>40368</v>
      </c>
      <c r="G9318" s="8">
        <v>20</v>
      </c>
      <c r="H9318" s="8" t="s">
        <v>21</v>
      </c>
      <c r="I9318" s="8" t="s">
        <v>22</v>
      </c>
      <c r="J9318" s="8" t="s">
        <v>57</v>
      </c>
      <c r="K9318" s="8" t="s">
        <v>37</v>
      </c>
      <c r="L9318" s="8" t="s">
        <v>30854</v>
      </c>
      <c r="M9318" s="8" t="s">
        <v>30855</v>
      </c>
      <c r="N9318" s="8" t="s">
        <v>33599</v>
      </c>
      <c r="O9318" s="8">
        <f>23+17/60+12/3600</f>
        <v>23.286666666666669</v>
      </c>
      <c r="P9318" s="8" t="s">
        <v>33600</v>
      </c>
      <c r="Q9318" s="8">
        <f>-(6+54/60+42/3600)</f>
        <v>-6.9116666666666671</v>
      </c>
      <c r="R9318" s="8">
        <v>14.2</v>
      </c>
      <c r="S9318" s="8">
        <v>15.2</v>
      </c>
      <c r="T9318" s="8">
        <v>1</v>
      </c>
      <c r="U9318" s="8">
        <v>13.3</v>
      </c>
      <c r="V9318" s="8">
        <v>1</v>
      </c>
      <c r="W9318" s="8">
        <v>0.5</v>
      </c>
      <c r="X9318" s="8">
        <v>34</v>
      </c>
      <c r="Y9318" s="8" t="s">
        <v>19961</v>
      </c>
      <c r="Z9318" s="8" t="s">
        <v>19962</v>
      </c>
    </row>
    <row r="9319" spans="1:26" x14ac:dyDescent="0.2">
      <c r="A9319" s="8">
        <v>9318</v>
      </c>
      <c r="B9319" s="8" t="s">
        <v>40369</v>
      </c>
      <c r="C9319" s="8" t="s">
        <v>40369</v>
      </c>
      <c r="G9319" s="8">
        <v>20</v>
      </c>
      <c r="H9319" s="8" t="s">
        <v>21</v>
      </c>
      <c r="I9319" s="8" t="s">
        <v>22</v>
      </c>
      <c r="J9319" s="8" t="s">
        <v>57</v>
      </c>
      <c r="K9319" s="8" t="s">
        <v>23</v>
      </c>
      <c r="L9319" s="8" t="s">
        <v>24</v>
      </c>
      <c r="M9319" s="8" t="s">
        <v>25</v>
      </c>
      <c r="N9319" s="8" t="s">
        <v>33591</v>
      </c>
      <c r="O9319" s="8">
        <f>23+18/60+13.9/3600</f>
        <v>23.303861111111111</v>
      </c>
      <c r="P9319" s="8" t="s">
        <v>33592</v>
      </c>
      <c r="Q9319" s="8">
        <f>+(10+17/60+52/3600)</f>
        <v>10.297777777777778</v>
      </c>
      <c r="R9319" s="8">
        <v>13.7</v>
      </c>
      <c r="S9319" s="8">
        <v>14.6</v>
      </c>
      <c r="T9319" s="8">
        <v>0.9</v>
      </c>
      <c r="U9319" s="8">
        <v>13.9</v>
      </c>
      <c r="V9319" s="8">
        <v>1.4</v>
      </c>
      <c r="W9319" s="8">
        <v>0.9</v>
      </c>
      <c r="X9319" s="8">
        <v>30</v>
      </c>
      <c r="Y9319" s="8" t="s">
        <v>17508</v>
      </c>
      <c r="Z9319" s="8" t="s">
        <v>17509</v>
      </c>
    </row>
    <row r="9320" spans="1:26" x14ac:dyDescent="0.2">
      <c r="A9320" s="8">
        <v>9319</v>
      </c>
      <c r="B9320" s="8" t="s">
        <v>40370</v>
      </c>
      <c r="C9320" s="8" t="s">
        <v>40370</v>
      </c>
      <c r="G9320" s="8">
        <v>20</v>
      </c>
      <c r="H9320" s="8" t="s">
        <v>21</v>
      </c>
      <c r="I9320" s="8" t="s">
        <v>22</v>
      </c>
      <c r="J9320" s="8" t="s">
        <v>22</v>
      </c>
      <c r="K9320" s="8" t="s">
        <v>58</v>
      </c>
      <c r="L9320" s="8" t="s">
        <v>30854</v>
      </c>
      <c r="M9320" s="8" t="s">
        <v>30855</v>
      </c>
      <c r="N9320" s="8" t="s">
        <v>40371</v>
      </c>
      <c r="O9320" s="8">
        <f>23+18/60+46.3/3600</f>
        <v>23.312861111111111</v>
      </c>
      <c r="P9320" s="8" t="s">
        <v>40372</v>
      </c>
      <c r="Q9320" s="8">
        <f>-(10+23/60+55/3600)</f>
        <v>-10.39861111111111</v>
      </c>
      <c r="R9320" s="8">
        <v>13.7</v>
      </c>
      <c r="S9320" s="8">
        <v>14.7</v>
      </c>
      <c r="T9320" s="8">
        <v>1</v>
      </c>
      <c r="U9320" s="8">
        <v>13.9</v>
      </c>
      <c r="V9320" s="8">
        <v>1.1000000000000001</v>
      </c>
      <c r="W9320" s="8">
        <v>1</v>
      </c>
      <c r="X9320" s="8">
        <v>18</v>
      </c>
      <c r="Y9320" s="8" t="s">
        <v>25810</v>
      </c>
      <c r="Z9320" s="8" t="s">
        <v>25811</v>
      </c>
    </row>
    <row r="9321" spans="1:26" x14ac:dyDescent="0.2">
      <c r="A9321" s="8">
        <v>9320</v>
      </c>
      <c r="B9321" s="8" t="s">
        <v>40373</v>
      </c>
      <c r="C9321" s="8" t="s">
        <v>40373</v>
      </c>
      <c r="G9321" s="8">
        <v>20</v>
      </c>
      <c r="H9321" s="8" t="s">
        <v>21</v>
      </c>
      <c r="I9321" s="8" t="s">
        <v>72</v>
      </c>
      <c r="J9321" s="8" t="s">
        <v>57</v>
      </c>
      <c r="K9321" s="8" t="s">
        <v>73</v>
      </c>
      <c r="L9321" s="8" t="s">
        <v>24</v>
      </c>
      <c r="M9321" s="8" t="s">
        <v>25</v>
      </c>
      <c r="N9321" s="8" t="s">
        <v>40374</v>
      </c>
      <c r="O9321" s="8">
        <f>23+18/60+59.4/3600</f>
        <v>23.316500000000001</v>
      </c>
      <c r="P9321" s="8" t="s">
        <v>40375</v>
      </c>
      <c r="Q9321" s="8">
        <f>+(11+20/60+31/3600)</f>
        <v>11.341944444444445</v>
      </c>
      <c r="R9321" s="8">
        <v>99</v>
      </c>
      <c r="S9321" s="8">
        <v>99</v>
      </c>
      <c r="T9321" s="8">
        <v>99</v>
      </c>
      <c r="U9321" s="8">
        <v>99</v>
      </c>
      <c r="Y9321" s="8" t="s">
        <v>40376</v>
      </c>
      <c r="Z9321" s="8" t="s">
        <v>40377</v>
      </c>
    </row>
    <row r="9322" spans="1:26" x14ac:dyDescent="0.2">
      <c r="A9322" s="8">
        <v>9321</v>
      </c>
      <c r="B9322" s="8" t="s">
        <v>40378</v>
      </c>
      <c r="C9322" s="8" t="s">
        <v>40378</v>
      </c>
      <c r="G9322" s="8">
        <v>20</v>
      </c>
      <c r="H9322" s="8" t="s">
        <v>21</v>
      </c>
      <c r="I9322" s="8" t="s">
        <v>22</v>
      </c>
      <c r="J9322" s="8" t="s">
        <v>22</v>
      </c>
      <c r="K9322" s="8" t="s">
        <v>476</v>
      </c>
      <c r="L9322" s="8" t="s">
        <v>38</v>
      </c>
      <c r="M9322" s="8" t="s">
        <v>39</v>
      </c>
      <c r="N9322" s="8" t="s">
        <v>40379</v>
      </c>
      <c r="O9322" s="8">
        <f>23+19/60+25/3600</f>
        <v>23.323611111111109</v>
      </c>
      <c r="P9322" s="8" t="s">
        <v>40380</v>
      </c>
      <c r="Q9322" s="8">
        <f>+(5+54/60+21/3600)</f>
        <v>5.9058333333333337</v>
      </c>
      <c r="R9322" s="8">
        <v>13.5</v>
      </c>
      <c r="S9322" s="8">
        <v>14.4</v>
      </c>
      <c r="T9322" s="8">
        <v>0.9</v>
      </c>
      <c r="U9322" s="8">
        <v>12.7</v>
      </c>
      <c r="V9322" s="8">
        <v>0.8</v>
      </c>
      <c r="W9322" s="8">
        <v>0.7</v>
      </c>
      <c r="X9322" s="8">
        <v>42</v>
      </c>
      <c r="Y9322" s="8" t="s">
        <v>421</v>
      </c>
      <c r="Z9322" s="8" t="s">
        <v>422</v>
      </c>
    </row>
    <row r="9323" spans="1:26" x14ac:dyDescent="0.2">
      <c r="A9323" s="8">
        <v>9322</v>
      </c>
      <c r="B9323" s="8" t="s">
        <v>40381</v>
      </c>
      <c r="C9323" s="8" t="s">
        <v>40381</v>
      </c>
      <c r="G9323" s="8">
        <v>20</v>
      </c>
      <c r="H9323" s="8" t="s">
        <v>21</v>
      </c>
      <c r="I9323" s="8" t="s">
        <v>22</v>
      </c>
      <c r="J9323" s="8" t="s">
        <v>22</v>
      </c>
      <c r="K9323" s="8" t="s">
        <v>382</v>
      </c>
      <c r="L9323" s="8" t="s">
        <v>38</v>
      </c>
      <c r="M9323" s="8" t="s">
        <v>39</v>
      </c>
      <c r="N9323" s="8" t="s">
        <v>40382</v>
      </c>
      <c r="O9323" s="8">
        <f>23+20/60+49.4/3600</f>
        <v>23.347055555555553</v>
      </c>
      <c r="P9323" s="8" t="s">
        <v>40383</v>
      </c>
      <c r="Q9323" s="8">
        <f>+(1+44/60+22/3600)</f>
        <v>1.7394444444444446</v>
      </c>
      <c r="R9323" s="8">
        <v>14.4</v>
      </c>
      <c r="S9323" s="8">
        <v>15.4</v>
      </c>
      <c r="T9323" s="8">
        <v>1</v>
      </c>
      <c r="U9323" s="8">
        <v>12.9</v>
      </c>
      <c r="V9323" s="8">
        <v>0.6</v>
      </c>
      <c r="W9323" s="8">
        <v>0.4</v>
      </c>
      <c r="X9323" s="8">
        <v>123</v>
      </c>
      <c r="Y9323" s="8" t="s">
        <v>12996</v>
      </c>
      <c r="Z9323" s="8" t="s">
        <v>12997</v>
      </c>
    </row>
    <row r="9324" spans="1:26" x14ac:dyDescent="0.2">
      <c r="A9324" s="8">
        <v>9323</v>
      </c>
      <c r="B9324" s="8" t="s">
        <v>40384</v>
      </c>
      <c r="C9324" s="8" t="s">
        <v>40384</v>
      </c>
      <c r="G9324" s="8">
        <v>20</v>
      </c>
      <c r="H9324" s="8" t="s">
        <v>21</v>
      </c>
      <c r="I9324" s="8" t="s">
        <v>22</v>
      </c>
      <c r="J9324" s="8" t="s">
        <v>57</v>
      </c>
      <c r="K9324" s="8" t="s">
        <v>449</v>
      </c>
      <c r="L9324" s="8" t="s">
        <v>24</v>
      </c>
      <c r="M9324" s="8" t="s">
        <v>25</v>
      </c>
      <c r="N9324" s="8" t="s">
        <v>33759</v>
      </c>
      <c r="O9324" s="8">
        <f>23+22/60+33/3600</f>
        <v>23.375833333333333</v>
      </c>
      <c r="P9324" s="8" t="s">
        <v>33760</v>
      </c>
      <c r="Q9324" s="8">
        <f>+(11+19/60+46/3600)</f>
        <v>11.329444444444444</v>
      </c>
      <c r="R9324" s="8">
        <v>14.9</v>
      </c>
      <c r="S9324" s="8">
        <v>15.7</v>
      </c>
      <c r="T9324" s="8">
        <v>0.8</v>
      </c>
      <c r="U9324" s="8">
        <v>13.6</v>
      </c>
      <c r="V9324" s="8">
        <v>0.6</v>
      </c>
      <c r="W9324" s="8">
        <v>0.6</v>
      </c>
      <c r="Y9324" s="8" t="s">
        <v>12039</v>
      </c>
      <c r="Z9324" s="8" t="s">
        <v>11239</v>
      </c>
    </row>
    <row r="9325" spans="1:26" x14ac:dyDescent="0.2">
      <c r="A9325" s="8">
        <v>9324</v>
      </c>
      <c r="B9325" s="8" t="s">
        <v>40385</v>
      </c>
      <c r="C9325" s="8" t="s">
        <v>40385</v>
      </c>
      <c r="G9325" s="8">
        <v>20</v>
      </c>
      <c r="H9325" s="8" t="s">
        <v>21</v>
      </c>
      <c r="I9325" s="8" t="s">
        <v>22</v>
      </c>
      <c r="J9325" s="8" t="s">
        <v>22</v>
      </c>
      <c r="K9325" s="8" t="s">
        <v>449</v>
      </c>
      <c r="L9325" s="8" t="s">
        <v>24</v>
      </c>
      <c r="M9325" s="8" t="s">
        <v>25</v>
      </c>
      <c r="N9325" s="8" t="s">
        <v>40386</v>
      </c>
      <c r="O9325" s="8">
        <f>23+22/60+39.9/3600</f>
        <v>23.377749999999999</v>
      </c>
      <c r="P9325" s="8" t="s">
        <v>16158</v>
      </c>
      <c r="Q9325" s="8">
        <f>+(11+23/60+6/3600)</f>
        <v>11.385</v>
      </c>
      <c r="R9325" s="8">
        <v>17</v>
      </c>
      <c r="S9325" s="8">
        <v>17.8</v>
      </c>
      <c r="T9325" s="8">
        <v>0.8</v>
      </c>
      <c r="U9325" s="8">
        <v>14.1</v>
      </c>
      <c r="V9325" s="8">
        <v>0.4</v>
      </c>
      <c r="W9325" s="8">
        <v>0.2</v>
      </c>
      <c r="X9325" s="8">
        <v>45</v>
      </c>
      <c r="Y9325" s="8" t="s">
        <v>282</v>
      </c>
      <c r="Z9325" s="8" t="s">
        <v>283</v>
      </c>
    </row>
    <row r="9326" spans="1:26" x14ac:dyDescent="0.2">
      <c r="A9326" s="8">
        <v>9325</v>
      </c>
      <c r="B9326" s="8" t="s">
        <v>40387</v>
      </c>
      <c r="C9326" s="8" t="s">
        <v>40387</v>
      </c>
      <c r="G9326" s="8">
        <v>20</v>
      </c>
      <c r="H9326" s="8" t="s">
        <v>21</v>
      </c>
      <c r="I9326" s="8" t="s">
        <v>22</v>
      </c>
      <c r="J9326" s="8" t="s">
        <v>57</v>
      </c>
      <c r="K9326" s="8" t="s">
        <v>58</v>
      </c>
      <c r="L9326" s="8" t="s">
        <v>24</v>
      </c>
      <c r="M9326" s="8" t="s">
        <v>25</v>
      </c>
      <c r="N9326" s="8" t="s">
        <v>33764</v>
      </c>
      <c r="O9326" s="8">
        <f>23+22/60+48.2/3600</f>
        <v>23.380055555555558</v>
      </c>
      <c r="P9326" s="8" t="s">
        <v>33765</v>
      </c>
      <c r="Q9326" s="8">
        <f>+(11+22/60+24/3600)</f>
        <v>11.373333333333333</v>
      </c>
      <c r="R9326" s="8">
        <v>14.6</v>
      </c>
      <c r="S9326" s="8">
        <v>15.6</v>
      </c>
      <c r="T9326" s="8">
        <v>1</v>
      </c>
      <c r="U9326" s="8">
        <v>12.9</v>
      </c>
      <c r="V9326" s="8">
        <v>0.5</v>
      </c>
      <c r="W9326" s="8">
        <v>0.4</v>
      </c>
      <c r="X9326" s="8">
        <v>123</v>
      </c>
      <c r="Y9326" s="8" t="s">
        <v>36287</v>
      </c>
      <c r="Z9326" s="8" t="s">
        <v>36288</v>
      </c>
    </row>
    <row r="9327" spans="1:26" x14ac:dyDescent="0.2">
      <c r="A9327" s="8">
        <v>9326</v>
      </c>
      <c r="B9327" s="8" t="s">
        <v>40388</v>
      </c>
      <c r="C9327" s="8" t="s">
        <v>40388</v>
      </c>
      <c r="G9327" s="8">
        <v>20</v>
      </c>
      <c r="H9327" s="8" t="s">
        <v>21</v>
      </c>
      <c r="I9327" s="8" t="s">
        <v>22</v>
      </c>
      <c r="J9327" s="8" t="s">
        <v>57</v>
      </c>
      <c r="K9327" s="8" t="s">
        <v>37</v>
      </c>
      <c r="L9327" s="8" t="s">
        <v>24</v>
      </c>
      <c r="M9327" s="8" t="s">
        <v>25</v>
      </c>
      <c r="N9327" s="8" t="s">
        <v>33795</v>
      </c>
      <c r="O9327" s="8">
        <f>23+23/60+54.2/3600</f>
        <v>23.398388888888888</v>
      </c>
      <c r="P9327" s="8" t="s">
        <v>33796</v>
      </c>
      <c r="Q9327" s="8">
        <f>+(9+40/60+6/3600)</f>
        <v>9.668333333333333</v>
      </c>
      <c r="R9327" s="8">
        <v>13</v>
      </c>
      <c r="S9327" s="8">
        <v>13.8</v>
      </c>
      <c r="T9327" s="8">
        <v>0.8</v>
      </c>
      <c r="U9327" s="8">
        <v>13.4</v>
      </c>
      <c r="V9327" s="8">
        <v>1.6</v>
      </c>
      <c r="W9327" s="8">
        <v>1</v>
      </c>
      <c r="X9327" s="8">
        <v>85</v>
      </c>
      <c r="Y9327" s="8" t="s">
        <v>1511</v>
      </c>
      <c r="Z9327" s="8" t="s">
        <v>1512</v>
      </c>
    </row>
    <row r="9328" spans="1:26" x14ac:dyDescent="0.2">
      <c r="A9328" s="8">
        <v>9327</v>
      </c>
      <c r="B9328" s="8" t="s">
        <v>40389</v>
      </c>
      <c r="C9328" s="8" t="s">
        <v>40389</v>
      </c>
      <c r="G9328" s="8">
        <v>20</v>
      </c>
      <c r="H9328" s="8" t="s">
        <v>21</v>
      </c>
      <c r="I9328" s="8" t="s">
        <v>22</v>
      </c>
      <c r="J9328" s="8" t="s">
        <v>57</v>
      </c>
      <c r="K9328" s="8" t="s">
        <v>1136</v>
      </c>
      <c r="L9328" s="8" t="s">
        <v>24</v>
      </c>
      <c r="M9328" s="8" t="s">
        <v>25</v>
      </c>
      <c r="N9328" s="8" t="s">
        <v>33800</v>
      </c>
      <c r="O9328" s="8">
        <f>23+24/60+20.1/3600</f>
        <v>23.405583333333333</v>
      </c>
      <c r="P9328" s="8" t="s">
        <v>33801</v>
      </c>
      <c r="Q9328" s="8">
        <f>+(14+38/60+49/3600)</f>
        <v>14.646944444444443</v>
      </c>
      <c r="R9328" s="8">
        <v>14</v>
      </c>
      <c r="S9328" s="8">
        <v>15</v>
      </c>
      <c r="T9328" s="8">
        <v>1</v>
      </c>
      <c r="U9328" s="8">
        <v>14.1</v>
      </c>
      <c r="V9328" s="8">
        <v>1.3</v>
      </c>
      <c r="W9328" s="8">
        <v>1</v>
      </c>
      <c r="X9328" s="8">
        <v>80</v>
      </c>
      <c r="Y9328" s="8" t="s">
        <v>40390</v>
      </c>
      <c r="Z9328" s="8" t="s">
        <v>40391</v>
      </c>
    </row>
    <row r="9329" spans="1:26" x14ac:dyDescent="0.2">
      <c r="A9329" s="8">
        <v>9328</v>
      </c>
      <c r="B9329" s="8" t="s">
        <v>40392</v>
      </c>
      <c r="C9329" s="8" t="s">
        <v>40392</v>
      </c>
      <c r="G9329" s="8">
        <v>20</v>
      </c>
      <c r="H9329" s="8" t="s">
        <v>21</v>
      </c>
      <c r="I9329" s="8" t="s">
        <v>22</v>
      </c>
      <c r="J9329" s="8" t="s">
        <v>22</v>
      </c>
      <c r="K9329" s="8" t="s">
        <v>37</v>
      </c>
      <c r="L9329" s="8" t="s">
        <v>24</v>
      </c>
      <c r="M9329" s="8" t="s">
        <v>25</v>
      </c>
      <c r="N9329" s="8" t="s">
        <v>40393</v>
      </c>
      <c r="O9329" s="8">
        <f>23+25/60+38.5/3600</f>
        <v>23.427361111111111</v>
      </c>
      <c r="P9329" s="8" t="s">
        <v>40394</v>
      </c>
      <c r="Q9329" s="8">
        <f>+(15+21/60+14/3600)</f>
        <v>15.353888888888889</v>
      </c>
      <c r="R9329" s="8">
        <v>14.8</v>
      </c>
      <c r="S9329" s="8">
        <v>15.8</v>
      </c>
      <c r="T9329" s="8">
        <v>1</v>
      </c>
      <c r="U9329" s="8">
        <v>12.8</v>
      </c>
      <c r="V9329" s="8">
        <v>0.9</v>
      </c>
      <c r="W9329" s="8">
        <v>0.2</v>
      </c>
      <c r="X9329" s="8">
        <v>170</v>
      </c>
      <c r="Y9329" s="8" t="s">
        <v>21</v>
      </c>
      <c r="Z9329" s="8" t="s">
        <v>40395</v>
      </c>
    </row>
    <row r="9330" spans="1:26" x14ac:dyDescent="0.2">
      <c r="A9330" s="8">
        <v>9329</v>
      </c>
      <c r="B9330" s="8" t="s">
        <v>40396</v>
      </c>
      <c r="C9330" s="8" t="s">
        <v>40396</v>
      </c>
      <c r="G9330" s="8">
        <v>20</v>
      </c>
      <c r="H9330" s="8" t="s">
        <v>21</v>
      </c>
      <c r="I9330" s="8" t="s">
        <v>22</v>
      </c>
      <c r="J9330" s="8" t="s">
        <v>22</v>
      </c>
      <c r="K9330" s="8" t="s">
        <v>449</v>
      </c>
      <c r="L9330" s="8" t="s">
        <v>30854</v>
      </c>
      <c r="M9330" s="8" t="s">
        <v>30855</v>
      </c>
      <c r="N9330" s="8" t="s">
        <v>40397</v>
      </c>
      <c r="O9330" s="8">
        <f>23+26/60+32.1/3600</f>
        <v>23.442250000000001</v>
      </c>
      <c r="P9330" s="8" t="s">
        <v>40398</v>
      </c>
      <c r="Q9330" s="8">
        <f>-(12+30/60+59/3600)</f>
        <v>-12.516388888888889</v>
      </c>
      <c r="R9330" s="8">
        <v>14.2</v>
      </c>
      <c r="S9330" s="8">
        <v>15</v>
      </c>
      <c r="T9330" s="8">
        <v>0.8</v>
      </c>
      <c r="U9330" s="8">
        <v>11.3</v>
      </c>
      <c r="V9330" s="8">
        <v>0.4</v>
      </c>
      <c r="W9330" s="8">
        <v>0.2</v>
      </c>
      <c r="X9330" s="8">
        <v>30</v>
      </c>
      <c r="Y9330" s="8" t="s">
        <v>21</v>
      </c>
      <c r="Z9330" s="8" t="s">
        <v>40399</v>
      </c>
    </row>
    <row r="9331" spans="1:26" x14ac:dyDescent="0.2">
      <c r="A9331" s="8">
        <v>9330</v>
      </c>
      <c r="B9331" s="8" t="s">
        <v>40400</v>
      </c>
      <c r="C9331" s="8" t="s">
        <v>40400</v>
      </c>
      <c r="G9331" s="8">
        <v>20</v>
      </c>
      <c r="H9331" s="8" t="s">
        <v>21</v>
      </c>
      <c r="I9331" s="8" t="s">
        <v>22</v>
      </c>
      <c r="J9331" s="8" t="s">
        <v>57</v>
      </c>
      <c r="K9331" s="8" t="s">
        <v>85</v>
      </c>
      <c r="L9331" s="8" t="s">
        <v>38</v>
      </c>
      <c r="M9331" s="8" t="s">
        <v>39</v>
      </c>
      <c r="N9331" s="8" t="s">
        <v>40401</v>
      </c>
      <c r="O9331" s="8">
        <f>23+59/60+10.7/3600</f>
        <v>23.986305555555557</v>
      </c>
      <c r="P9331" s="8" t="s">
        <v>40402</v>
      </c>
      <c r="Q9331" s="8">
        <f>-(4+7/60+37/3600)</f>
        <v>-4.1269444444444439</v>
      </c>
      <c r="R9331" s="8">
        <v>14.1</v>
      </c>
      <c r="S9331" s="8">
        <v>14.9</v>
      </c>
      <c r="T9331" s="8">
        <v>0.8</v>
      </c>
      <c r="U9331" s="8">
        <v>14.2</v>
      </c>
      <c r="V9331" s="8">
        <v>1.7</v>
      </c>
      <c r="W9331" s="8">
        <v>0.7</v>
      </c>
      <c r="X9331" s="8">
        <v>80</v>
      </c>
      <c r="Y9331" s="8" t="s">
        <v>21</v>
      </c>
      <c r="Z9331" s="8" t="s">
        <v>40403</v>
      </c>
    </row>
    <row r="9332" spans="1:26" x14ac:dyDescent="0.2">
      <c r="A9332" s="8">
        <v>9331</v>
      </c>
      <c r="B9332" s="8" t="s">
        <v>40404</v>
      </c>
      <c r="C9332" s="8" t="s">
        <v>40404</v>
      </c>
      <c r="G9332" s="8">
        <v>20</v>
      </c>
      <c r="H9332" s="8" t="s">
        <v>21</v>
      </c>
      <c r="I9332" s="8" t="s">
        <v>22</v>
      </c>
      <c r="J9332" s="8" t="s">
        <v>22</v>
      </c>
      <c r="K9332" s="8" t="s">
        <v>476</v>
      </c>
      <c r="L9332" s="8" t="s">
        <v>30854</v>
      </c>
      <c r="M9332" s="8" t="s">
        <v>30855</v>
      </c>
      <c r="N9332" s="8" t="s">
        <v>40405</v>
      </c>
      <c r="O9332" s="8">
        <f>23+29/60+24.5/3600</f>
        <v>23.49013888888889</v>
      </c>
      <c r="P9332" s="8" t="s">
        <v>40406</v>
      </c>
      <c r="Q9332" s="8">
        <f>-(16+18/60+58/3600)</f>
        <v>-16.316111111111113</v>
      </c>
      <c r="R9332" s="8">
        <v>14.1</v>
      </c>
      <c r="S9332" s="8">
        <v>15</v>
      </c>
      <c r="T9332" s="8">
        <v>0.9</v>
      </c>
      <c r="U9332" s="8">
        <v>11.9</v>
      </c>
      <c r="V9332" s="8">
        <v>0.5</v>
      </c>
      <c r="W9332" s="8">
        <v>0.3</v>
      </c>
      <c r="X9332" s="8">
        <v>159</v>
      </c>
      <c r="Y9332" s="8" t="s">
        <v>895</v>
      </c>
      <c r="Z9332" s="8" t="s">
        <v>896</v>
      </c>
    </row>
    <row r="9333" spans="1:26" x14ac:dyDescent="0.2">
      <c r="A9333" s="8">
        <v>9332</v>
      </c>
      <c r="B9333" s="8" t="s">
        <v>40407</v>
      </c>
      <c r="C9333" s="8" t="s">
        <v>40407</v>
      </c>
      <c r="G9333" s="8">
        <v>20</v>
      </c>
      <c r="H9333" s="8" t="s">
        <v>21</v>
      </c>
      <c r="I9333" s="8" t="s">
        <v>22</v>
      </c>
      <c r="J9333" s="8" t="s">
        <v>22</v>
      </c>
      <c r="K9333" s="8" t="s">
        <v>632</v>
      </c>
      <c r="L9333" s="8" t="s">
        <v>38</v>
      </c>
      <c r="M9333" s="8" t="s">
        <v>39</v>
      </c>
      <c r="N9333" s="8" t="s">
        <v>40408</v>
      </c>
      <c r="O9333" s="8">
        <f>23+30/60+36/3600</f>
        <v>23.51</v>
      </c>
      <c r="P9333" s="8" t="s">
        <v>40409</v>
      </c>
      <c r="Q9333" s="8">
        <f>-(3+2/60+22/3600)</f>
        <v>-3.0394444444444444</v>
      </c>
      <c r="R9333" s="8">
        <v>13.3</v>
      </c>
      <c r="S9333" s="8">
        <v>14.2</v>
      </c>
      <c r="T9333" s="8">
        <v>0.9</v>
      </c>
      <c r="U9333" s="8">
        <v>12.9</v>
      </c>
      <c r="V9333" s="8">
        <v>1</v>
      </c>
      <c r="W9333" s="8">
        <v>0.8</v>
      </c>
      <c r="X9333" s="8">
        <v>36</v>
      </c>
      <c r="Y9333" s="8" t="s">
        <v>40410</v>
      </c>
      <c r="Z9333" s="8" t="s">
        <v>40411</v>
      </c>
    </row>
    <row r="9334" spans="1:26" x14ac:dyDescent="0.2">
      <c r="A9334" s="8">
        <v>9333</v>
      </c>
      <c r="B9334" s="8" t="s">
        <v>40412</v>
      </c>
      <c r="C9334" s="8" t="s">
        <v>40412</v>
      </c>
      <c r="G9334" s="8">
        <v>20</v>
      </c>
      <c r="H9334" s="8" t="s">
        <v>21</v>
      </c>
      <c r="I9334" s="8" t="s">
        <v>22</v>
      </c>
      <c r="J9334" s="8" t="s">
        <v>22</v>
      </c>
      <c r="K9334" s="8" t="s">
        <v>449</v>
      </c>
      <c r="L9334" s="8" t="s">
        <v>24</v>
      </c>
      <c r="M9334" s="8" t="s">
        <v>25</v>
      </c>
      <c r="N9334" s="8" t="s">
        <v>40413</v>
      </c>
      <c r="O9334" s="8">
        <f>23+30/60+27.4/3600</f>
        <v>23.50761111111111</v>
      </c>
      <c r="P9334" s="8" t="s">
        <v>40414</v>
      </c>
      <c r="Q9334" s="8">
        <f>+(14+27/60+30/3600)</f>
        <v>14.458333333333332</v>
      </c>
      <c r="R9334" s="8">
        <v>15.4</v>
      </c>
      <c r="S9334" s="8">
        <v>16.2</v>
      </c>
      <c r="T9334" s="8">
        <v>0.8</v>
      </c>
      <c r="U9334" s="8">
        <v>13.7</v>
      </c>
      <c r="V9334" s="8">
        <v>0.5</v>
      </c>
      <c r="W9334" s="8">
        <v>0.3</v>
      </c>
      <c r="X9334" s="8">
        <v>135</v>
      </c>
      <c r="Y9334" s="8" t="s">
        <v>21</v>
      </c>
      <c r="Z9334" s="8" t="s">
        <v>40415</v>
      </c>
    </row>
    <row r="9335" spans="1:26" x14ac:dyDescent="0.2">
      <c r="A9335" s="8">
        <v>9334</v>
      </c>
      <c r="B9335" s="8" t="s">
        <v>40416</v>
      </c>
      <c r="C9335" s="8" t="s">
        <v>40416</v>
      </c>
      <c r="G9335" s="8">
        <v>20</v>
      </c>
      <c r="H9335" s="8" t="s">
        <v>21</v>
      </c>
      <c r="I9335" s="8" t="s">
        <v>22</v>
      </c>
      <c r="J9335" s="8" t="s">
        <v>22</v>
      </c>
      <c r="K9335" s="8" t="s">
        <v>449</v>
      </c>
      <c r="L9335" s="8" t="s">
        <v>30854</v>
      </c>
      <c r="M9335" s="8" t="s">
        <v>30855</v>
      </c>
      <c r="N9335" s="8" t="s">
        <v>40417</v>
      </c>
      <c r="O9335" s="8">
        <f>23+30/60+46.1/3600</f>
        <v>23.512805555555556</v>
      </c>
      <c r="P9335" s="8" t="s">
        <v>40418</v>
      </c>
      <c r="Q9335" s="8">
        <f>-(12+43/60+27/3600)</f>
        <v>-12.724166666666667</v>
      </c>
      <c r="R9335" s="8">
        <v>15.1</v>
      </c>
      <c r="S9335" s="8">
        <v>15.9</v>
      </c>
      <c r="T9335" s="8">
        <v>0.8</v>
      </c>
      <c r="U9335" s="8">
        <v>12.5</v>
      </c>
      <c r="V9335" s="8">
        <v>0.5</v>
      </c>
      <c r="W9335" s="8">
        <v>0.2</v>
      </c>
      <c r="X9335" s="8">
        <v>120</v>
      </c>
      <c r="Y9335" s="8" t="s">
        <v>6750</v>
      </c>
      <c r="Z9335" s="8" t="s">
        <v>6751</v>
      </c>
    </row>
    <row r="9336" spans="1:26" x14ac:dyDescent="0.2">
      <c r="A9336" s="8">
        <v>9335</v>
      </c>
      <c r="B9336" s="8" t="s">
        <v>40419</v>
      </c>
      <c r="C9336" s="8" t="s">
        <v>40419</v>
      </c>
      <c r="G9336" s="8">
        <v>20</v>
      </c>
      <c r="H9336" s="8" t="s">
        <v>21</v>
      </c>
      <c r="I9336" s="8" t="s">
        <v>22</v>
      </c>
      <c r="J9336" s="8" t="s">
        <v>57</v>
      </c>
      <c r="K9336" s="8" t="s">
        <v>23</v>
      </c>
      <c r="L9336" s="8" t="s">
        <v>30854</v>
      </c>
      <c r="M9336" s="8" t="s">
        <v>30855</v>
      </c>
      <c r="N9336" s="8" t="s">
        <v>40420</v>
      </c>
      <c r="O9336" s="8">
        <f>23+30/60+47.5/3600</f>
        <v>23.513194444444444</v>
      </c>
      <c r="P9336" s="8" t="s">
        <v>40421</v>
      </c>
      <c r="Q9336" s="8">
        <f>-(13+29/60+7/3600)</f>
        <v>-13.485277777777776</v>
      </c>
      <c r="R9336" s="8">
        <v>13.3</v>
      </c>
      <c r="S9336" s="8">
        <v>14.1</v>
      </c>
      <c r="T9336" s="8">
        <v>0.8</v>
      </c>
      <c r="U9336" s="8">
        <v>13.5</v>
      </c>
      <c r="V9336" s="8">
        <v>1.4</v>
      </c>
      <c r="W9336" s="8">
        <v>1</v>
      </c>
      <c r="X9336" s="8">
        <v>170</v>
      </c>
      <c r="Y9336" s="8" t="s">
        <v>12039</v>
      </c>
      <c r="Z9336" s="8" t="s">
        <v>11239</v>
      </c>
    </row>
    <row r="9337" spans="1:26" x14ac:dyDescent="0.2">
      <c r="A9337" s="8">
        <v>9336</v>
      </c>
      <c r="B9337" s="8" t="s">
        <v>40422</v>
      </c>
      <c r="C9337" s="8" t="s">
        <v>40422</v>
      </c>
      <c r="G9337" s="8">
        <v>20</v>
      </c>
      <c r="H9337" s="8" t="s">
        <v>21</v>
      </c>
      <c r="I9337" s="8" t="s">
        <v>22</v>
      </c>
      <c r="J9337" s="8" t="s">
        <v>22</v>
      </c>
      <c r="K9337" s="8" t="s">
        <v>632</v>
      </c>
      <c r="L9337" s="8" t="s">
        <v>38</v>
      </c>
      <c r="M9337" s="8" t="s">
        <v>39</v>
      </c>
      <c r="N9337" s="8" t="s">
        <v>40423</v>
      </c>
      <c r="O9337" s="8">
        <f>23+30/60+53.4/3600</f>
        <v>23.514833333333332</v>
      </c>
      <c r="P9337" s="8" t="s">
        <v>40424</v>
      </c>
      <c r="Q9337" s="8">
        <f>-(2+56/60+2/3600)</f>
        <v>-2.9338888888888892</v>
      </c>
      <c r="R9337" s="8">
        <v>13.4</v>
      </c>
      <c r="S9337" s="8">
        <v>14.3</v>
      </c>
      <c r="T9337" s="8">
        <v>0.9</v>
      </c>
      <c r="U9337" s="8">
        <v>14.2</v>
      </c>
      <c r="V9337" s="8">
        <v>1.7</v>
      </c>
      <c r="W9337" s="8">
        <v>1.4</v>
      </c>
      <c r="X9337" s="8">
        <v>85</v>
      </c>
      <c r="Y9337" s="8" t="s">
        <v>37255</v>
      </c>
      <c r="Z9337" s="8" t="s">
        <v>37256</v>
      </c>
    </row>
    <row r="9338" spans="1:26" x14ac:dyDescent="0.2">
      <c r="A9338" s="8">
        <v>9337</v>
      </c>
      <c r="B9338" s="8" t="s">
        <v>40425</v>
      </c>
      <c r="C9338" s="8" t="s">
        <v>40425</v>
      </c>
      <c r="G9338" s="8">
        <v>20</v>
      </c>
      <c r="H9338" s="8" t="s">
        <v>21</v>
      </c>
      <c r="I9338" s="8" t="s">
        <v>329</v>
      </c>
      <c r="J9338" s="8" t="s">
        <v>329</v>
      </c>
      <c r="K9338" s="8" t="s">
        <v>329</v>
      </c>
      <c r="L9338" s="8" t="s">
        <v>24</v>
      </c>
      <c r="M9338" s="8" t="s">
        <v>25</v>
      </c>
      <c r="N9338" s="8" t="s">
        <v>40426</v>
      </c>
      <c r="O9338" s="8">
        <f>23+28/60+50/3600</f>
        <v>23.480555555555554</v>
      </c>
      <c r="P9338" s="8" t="s">
        <v>40427</v>
      </c>
      <c r="Q9338" s="8">
        <f>+(11+59/60+13/3600)</f>
        <v>11.986944444444443</v>
      </c>
      <c r="R9338" s="8">
        <v>99</v>
      </c>
      <c r="S9338" s="8">
        <v>99</v>
      </c>
      <c r="T9338" s="8">
        <v>99</v>
      </c>
      <c r="U9338" s="8">
        <v>99</v>
      </c>
      <c r="Y9338" s="8" t="s">
        <v>40428</v>
      </c>
      <c r="Z9338" s="8" t="s">
        <v>13845</v>
      </c>
    </row>
    <row r="9339" spans="1:26" x14ac:dyDescent="0.2">
      <c r="A9339" s="8">
        <v>9338</v>
      </c>
      <c r="B9339" s="8" t="s">
        <v>40429</v>
      </c>
      <c r="C9339" s="8" t="s">
        <v>40429</v>
      </c>
      <c r="G9339" s="8">
        <v>20</v>
      </c>
      <c r="H9339" s="8" t="s">
        <v>21</v>
      </c>
      <c r="I9339" s="8" t="s">
        <v>22</v>
      </c>
      <c r="J9339" s="8" t="s">
        <v>22</v>
      </c>
      <c r="K9339" s="8" t="s">
        <v>91</v>
      </c>
      <c r="L9339" s="8" t="s">
        <v>30854</v>
      </c>
      <c r="M9339" s="8" t="s">
        <v>30855</v>
      </c>
      <c r="N9339" s="8" t="s">
        <v>40430</v>
      </c>
      <c r="O9339" s="8">
        <f>23+31/60+53.5/3600</f>
        <v>23.531527777777775</v>
      </c>
      <c r="P9339" s="8" t="s">
        <v>40431</v>
      </c>
      <c r="Q9339" s="8">
        <f>-(5+0/60+23/3600)</f>
        <v>-5.006388888888889</v>
      </c>
      <c r="R9339" s="8">
        <v>13.7</v>
      </c>
      <c r="S9339" s="8">
        <v>14.6</v>
      </c>
      <c r="T9339" s="8">
        <v>0.9</v>
      </c>
      <c r="U9339" s="8">
        <v>13.7</v>
      </c>
      <c r="V9339" s="8">
        <v>1.9</v>
      </c>
      <c r="W9339" s="8">
        <v>0.6</v>
      </c>
      <c r="X9339" s="8">
        <v>11</v>
      </c>
      <c r="Y9339" s="8" t="s">
        <v>21</v>
      </c>
      <c r="Z9339" s="8" t="s">
        <v>40432</v>
      </c>
    </row>
    <row r="9340" spans="1:26" x14ac:dyDescent="0.2">
      <c r="A9340" s="8">
        <v>9339</v>
      </c>
      <c r="B9340" s="8" t="s">
        <v>40433</v>
      </c>
      <c r="C9340" s="8" t="s">
        <v>40433</v>
      </c>
      <c r="G9340" s="8">
        <v>20</v>
      </c>
      <c r="H9340" s="8" t="s">
        <v>21</v>
      </c>
      <c r="I9340" s="8" t="s">
        <v>72</v>
      </c>
      <c r="J9340" s="8" t="s">
        <v>72</v>
      </c>
      <c r="K9340" s="8" t="s">
        <v>73</v>
      </c>
      <c r="L9340" s="8" t="s">
        <v>30854</v>
      </c>
      <c r="M9340" s="8" t="s">
        <v>30855</v>
      </c>
      <c r="N9340" s="8" t="s">
        <v>40434</v>
      </c>
      <c r="O9340" s="8">
        <f>23+31/60+57/3600</f>
        <v>23.532499999999999</v>
      </c>
      <c r="P9340" s="8" t="s">
        <v>40435</v>
      </c>
      <c r="Q9340" s="8">
        <f>-(13+26/60+22/3600)</f>
        <v>-13.439444444444444</v>
      </c>
      <c r="R9340" s="8">
        <v>99</v>
      </c>
      <c r="S9340" s="8">
        <v>99</v>
      </c>
      <c r="T9340" s="8">
        <v>99</v>
      </c>
      <c r="U9340" s="8">
        <v>99</v>
      </c>
      <c r="Y9340" s="8" t="s">
        <v>19376</v>
      </c>
      <c r="Z9340" s="8" t="s">
        <v>19377</v>
      </c>
    </row>
    <row r="9341" spans="1:26" x14ac:dyDescent="0.2">
      <c r="A9341" s="8">
        <v>9340</v>
      </c>
      <c r="B9341" s="8" t="s">
        <v>40436</v>
      </c>
      <c r="C9341" s="8" t="s">
        <v>40436</v>
      </c>
      <c r="G9341" s="8">
        <v>20</v>
      </c>
      <c r="H9341" s="8" t="s">
        <v>21</v>
      </c>
      <c r="I9341" s="8" t="s">
        <v>22</v>
      </c>
      <c r="J9341" s="8" t="s">
        <v>22</v>
      </c>
      <c r="K9341" s="8" t="s">
        <v>449</v>
      </c>
      <c r="L9341" s="8" t="s">
        <v>38</v>
      </c>
      <c r="M9341" s="8" t="s">
        <v>39</v>
      </c>
      <c r="N9341" s="8" t="s">
        <v>40437</v>
      </c>
      <c r="O9341" s="8">
        <f>23+33/60+9.5/3600</f>
        <v>23.55263888888889</v>
      </c>
      <c r="P9341" s="8" t="s">
        <v>40438</v>
      </c>
      <c r="Q9341" s="8">
        <f>+(4+33/60+9/3600)</f>
        <v>4.5525000000000002</v>
      </c>
      <c r="R9341" s="8">
        <v>14.6</v>
      </c>
      <c r="S9341" s="8">
        <v>15.4</v>
      </c>
      <c r="T9341" s="8">
        <v>0.8</v>
      </c>
      <c r="U9341" s="8">
        <v>12.4</v>
      </c>
      <c r="V9341" s="8">
        <v>0.5</v>
      </c>
      <c r="W9341" s="8">
        <v>0.3</v>
      </c>
      <c r="X9341" s="8">
        <v>10</v>
      </c>
      <c r="Y9341" s="8" t="s">
        <v>40439</v>
      </c>
      <c r="Z9341" s="8" t="s">
        <v>40440</v>
      </c>
    </row>
    <row r="9342" spans="1:26" x14ac:dyDescent="0.2">
      <c r="A9342" s="8">
        <v>9341</v>
      </c>
      <c r="B9342" s="8" t="s">
        <v>40441</v>
      </c>
      <c r="C9342" s="8" t="s">
        <v>40441</v>
      </c>
      <c r="G9342" s="8">
        <v>20</v>
      </c>
      <c r="H9342" s="8" t="s">
        <v>21</v>
      </c>
      <c r="I9342" s="8" t="s">
        <v>22</v>
      </c>
      <c r="J9342" s="8" t="s">
        <v>22</v>
      </c>
      <c r="K9342" s="8" t="s">
        <v>85</v>
      </c>
      <c r="L9342" s="8" t="s">
        <v>38</v>
      </c>
      <c r="M9342" s="8" t="s">
        <v>39</v>
      </c>
      <c r="N9342" s="8" t="s">
        <v>40442</v>
      </c>
      <c r="O9342" s="8">
        <f>23+34/60+40.1/3600</f>
        <v>23.577805555555557</v>
      </c>
      <c r="P9342" s="8" t="s">
        <v>40443</v>
      </c>
      <c r="Q9342" s="8">
        <f>-(3+9/60+13/3600)</f>
        <v>-3.1536111111111111</v>
      </c>
      <c r="R9342" s="8">
        <v>13.8</v>
      </c>
      <c r="S9342" s="8">
        <v>14.6</v>
      </c>
      <c r="T9342" s="8">
        <v>0.8</v>
      </c>
      <c r="U9342" s="8">
        <v>13.8</v>
      </c>
      <c r="V9342" s="8">
        <v>1.6</v>
      </c>
      <c r="W9342" s="8">
        <v>0.7</v>
      </c>
      <c r="X9342" s="8">
        <v>136</v>
      </c>
      <c r="Y9342" s="8" t="s">
        <v>17508</v>
      </c>
      <c r="Z9342" s="8" t="s">
        <v>17509</v>
      </c>
    </row>
    <row r="9343" spans="1:26" x14ac:dyDescent="0.2">
      <c r="A9343" s="8">
        <v>9342</v>
      </c>
      <c r="B9343" s="8" t="s">
        <v>40444</v>
      </c>
      <c r="C9343" s="8" t="s">
        <v>40444</v>
      </c>
      <c r="G9343" s="8">
        <v>20</v>
      </c>
      <c r="H9343" s="8" t="s">
        <v>21</v>
      </c>
      <c r="I9343" s="8" t="s">
        <v>22</v>
      </c>
      <c r="J9343" s="8" t="s">
        <v>22</v>
      </c>
      <c r="K9343" s="8" t="s">
        <v>632</v>
      </c>
      <c r="L9343" s="8" t="s">
        <v>242</v>
      </c>
      <c r="M9343" s="8" t="s">
        <v>243</v>
      </c>
      <c r="N9343" s="8" t="s">
        <v>40445</v>
      </c>
      <c r="O9343" s="8">
        <f>23+36/60+20.1/3600</f>
        <v>23.605583333333335</v>
      </c>
      <c r="P9343" s="8" t="s">
        <v>40446</v>
      </c>
      <c r="Q9343" s="8">
        <f>+(75+38/60+51/3600)</f>
        <v>75.647500000000008</v>
      </c>
      <c r="R9343" s="8">
        <v>13.9</v>
      </c>
      <c r="S9343" s="8">
        <v>14.8</v>
      </c>
      <c r="T9343" s="8">
        <v>0.9</v>
      </c>
      <c r="U9343" s="8">
        <v>12.6</v>
      </c>
      <c r="V9343" s="8">
        <v>1.1000000000000001</v>
      </c>
      <c r="W9343" s="8">
        <v>0.3</v>
      </c>
      <c r="X9343" s="8">
        <v>52</v>
      </c>
      <c r="Y9343" s="8" t="s">
        <v>40447</v>
      </c>
      <c r="Z9343" s="8" t="s">
        <v>40448</v>
      </c>
    </row>
    <row r="9344" spans="1:26" x14ac:dyDescent="0.2">
      <c r="A9344" s="8">
        <v>9343</v>
      </c>
      <c r="B9344" s="8" t="s">
        <v>40449</v>
      </c>
      <c r="C9344" s="8" t="s">
        <v>40449</v>
      </c>
      <c r="G9344" s="8">
        <v>20</v>
      </c>
      <c r="H9344" s="8" t="s">
        <v>21</v>
      </c>
      <c r="I9344" s="8" t="s">
        <v>22</v>
      </c>
      <c r="J9344" s="8" t="s">
        <v>22</v>
      </c>
      <c r="K9344" s="8" t="s">
        <v>3523</v>
      </c>
      <c r="L9344" s="8" t="s">
        <v>38</v>
      </c>
      <c r="M9344" s="8" t="s">
        <v>39</v>
      </c>
      <c r="N9344" s="8" t="s">
        <v>40450</v>
      </c>
      <c r="O9344" s="8">
        <f>23+38/60+27.2/3600</f>
        <v>23.640888888888888</v>
      </c>
      <c r="P9344" s="8" t="s">
        <v>40451</v>
      </c>
      <c r="Q9344" s="8">
        <f>+(4+48/60+5/3600)</f>
        <v>4.8013888888888889</v>
      </c>
      <c r="R9344" s="8">
        <v>13.7</v>
      </c>
      <c r="S9344" s="8">
        <v>14.3</v>
      </c>
      <c r="T9344" s="8">
        <v>0.6</v>
      </c>
      <c r="U9344" s="8">
        <v>12.8</v>
      </c>
      <c r="V9344" s="8">
        <v>0.9</v>
      </c>
      <c r="W9344" s="8">
        <v>0.4</v>
      </c>
      <c r="X9344" s="8">
        <v>65</v>
      </c>
      <c r="Y9344" s="8" t="s">
        <v>6420</v>
      </c>
      <c r="Z9344" s="8" t="s">
        <v>6421</v>
      </c>
    </row>
    <row r="9345" spans="1:26" x14ac:dyDescent="0.2">
      <c r="A9345" s="8">
        <v>9344</v>
      </c>
      <c r="B9345" s="8" t="s">
        <v>40452</v>
      </c>
      <c r="C9345" s="8" t="s">
        <v>40452</v>
      </c>
      <c r="G9345" s="8">
        <v>20</v>
      </c>
      <c r="H9345" s="8" t="s">
        <v>21</v>
      </c>
      <c r="I9345" s="8" t="s">
        <v>22</v>
      </c>
      <c r="J9345" s="8" t="s">
        <v>22</v>
      </c>
      <c r="K9345" s="8" t="s">
        <v>23</v>
      </c>
      <c r="L9345" s="8" t="s">
        <v>38</v>
      </c>
      <c r="M9345" s="8" t="s">
        <v>39</v>
      </c>
      <c r="N9345" s="8" t="s">
        <v>40453</v>
      </c>
      <c r="O9345" s="8">
        <f>23+41/60+19.6/3600</f>
        <v>23.688777777777776</v>
      </c>
      <c r="P9345" s="8" t="s">
        <v>40454</v>
      </c>
      <c r="Q9345" s="8">
        <f>+(4+1/60+6/3600)</f>
        <v>4.0183333333333335</v>
      </c>
      <c r="R9345" s="8">
        <v>13.5</v>
      </c>
      <c r="S9345" s="8">
        <v>14.3</v>
      </c>
      <c r="T9345" s="8">
        <v>0.8</v>
      </c>
      <c r="U9345" s="8">
        <v>13.1</v>
      </c>
      <c r="V9345" s="8">
        <v>1.7</v>
      </c>
      <c r="W9345" s="8">
        <v>0.5</v>
      </c>
      <c r="X9345" s="8">
        <v>94</v>
      </c>
      <c r="Y9345" s="8" t="s">
        <v>36974</v>
      </c>
      <c r="Z9345" s="8" t="s">
        <v>36975</v>
      </c>
    </row>
    <row r="9346" spans="1:26" x14ac:dyDescent="0.2">
      <c r="A9346" s="8">
        <v>9345</v>
      </c>
      <c r="B9346" s="8" t="s">
        <v>40455</v>
      </c>
      <c r="C9346" s="8" t="s">
        <v>40455</v>
      </c>
      <c r="G9346" s="8">
        <v>20</v>
      </c>
      <c r="H9346" s="8" t="s">
        <v>21</v>
      </c>
      <c r="I9346" s="8" t="s">
        <v>22</v>
      </c>
      <c r="J9346" s="8" t="s">
        <v>22</v>
      </c>
      <c r="K9346" s="8" t="s">
        <v>1136</v>
      </c>
      <c r="L9346" s="8" t="s">
        <v>30854</v>
      </c>
      <c r="M9346" s="8" t="s">
        <v>30855</v>
      </c>
      <c r="N9346" s="8" t="s">
        <v>40456</v>
      </c>
      <c r="O9346" s="8">
        <f>23+41/60+37/3600</f>
        <v>23.69361111111111</v>
      </c>
      <c r="P9346" s="8" t="s">
        <v>40457</v>
      </c>
      <c r="Q9346" s="8">
        <f>-(3+33/60+53/3600)</f>
        <v>-3.5647222222222221</v>
      </c>
      <c r="R9346" s="8">
        <v>13.7</v>
      </c>
      <c r="S9346" s="8">
        <v>14.7</v>
      </c>
      <c r="T9346" s="8">
        <v>1</v>
      </c>
      <c r="U9346" s="8">
        <v>13.3</v>
      </c>
      <c r="V9346" s="8">
        <v>0.9</v>
      </c>
      <c r="W9346" s="8">
        <v>0.7</v>
      </c>
      <c r="X9346" s="8">
        <v>156</v>
      </c>
      <c r="Y9346" s="8" t="s">
        <v>40458</v>
      </c>
      <c r="Z9346" s="8" t="s">
        <v>40459</v>
      </c>
    </row>
    <row r="9347" spans="1:26" x14ac:dyDescent="0.2">
      <c r="A9347" s="8">
        <v>9346</v>
      </c>
      <c r="B9347" s="8" t="s">
        <v>40460</v>
      </c>
      <c r="C9347" s="8" t="s">
        <v>40460</v>
      </c>
      <c r="G9347" s="8">
        <v>20</v>
      </c>
      <c r="H9347" s="8" t="s">
        <v>21</v>
      </c>
      <c r="I9347" s="8" t="s">
        <v>22</v>
      </c>
      <c r="J9347" s="8" t="s">
        <v>22</v>
      </c>
      <c r="K9347" s="8" t="s">
        <v>449</v>
      </c>
      <c r="L9347" s="8" t="s">
        <v>38</v>
      </c>
      <c r="M9347" s="8" t="s">
        <v>39</v>
      </c>
      <c r="N9347" s="8" t="s">
        <v>40461</v>
      </c>
      <c r="O9347" s="8">
        <f>23+44/60+48.3/3600</f>
        <v>23.746750000000002</v>
      </c>
      <c r="P9347" s="8" t="s">
        <v>40462</v>
      </c>
      <c r="Q9347" s="8">
        <f>+(4+44/60+10/3600)</f>
        <v>4.7361111111111116</v>
      </c>
      <c r="R9347" s="8">
        <v>14.5</v>
      </c>
      <c r="S9347" s="8">
        <v>15.3</v>
      </c>
      <c r="T9347" s="8">
        <v>0.8</v>
      </c>
      <c r="U9347" s="8">
        <v>13</v>
      </c>
      <c r="V9347" s="8">
        <v>0.7</v>
      </c>
      <c r="W9347" s="8">
        <v>0.4</v>
      </c>
      <c r="X9347" s="8">
        <v>135</v>
      </c>
      <c r="Y9347" s="8" t="s">
        <v>40463</v>
      </c>
      <c r="Z9347" s="8" t="s">
        <v>40464</v>
      </c>
    </row>
    <row r="9348" spans="1:26" x14ac:dyDescent="0.2">
      <c r="A9348" s="8">
        <v>9347</v>
      </c>
      <c r="B9348" s="8" t="s">
        <v>40465</v>
      </c>
      <c r="C9348" s="8" t="s">
        <v>40465</v>
      </c>
      <c r="G9348" s="8">
        <v>20</v>
      </c>
      <c r="H9348" s="8" t="s">
        <v>21</v>
      </c>
      <c r="I9348" s="8" t="s">
        <v>22</v>
      </c>
      <c r="J9348" s="8" t="s">
        <v>22</v>
      </c>
      <c r="K9348" s="8" t="s">
        <v>632</v>
      </c>
      <c r="L9348" s="8" t="s">
        <v>38</v>
      </c>
      <c r="M9348" s="8" t="s">
        <v>39</v>
      </c>
      <c r="N9348" s="8" t="s">
        <v>40466</v>
      </c>
      <c r="O9348" s="8">
        <f>23+45/60+33/3600</f>
        <v>23.759166666666665</v>
      </c>
      <c r="P9348" s="8" t="s">
        <v>34981</v>
      </c>
      <c r="Q9348" s="8">
        <f>+(1+41/60+21/3600)</f>
        <v>1.6891666666666667</v>
      </c>
      <c r="R9348" s="8">
        <v>13.6</v>
      </c>
      <c r="S9348" s="8">
        <v>14.5</v>
      </c>
      <c r="T9348" s="8">
        <v>0.9</v>
      </c>
      <c r="U9348" s="8">
        <v>13.2</v>
      </c>
      <c r="V9348" s="8">
        <v>1.3</v>
      </c>
      <c r="W9348" s="8">
        <v>0.5</v>
      </c>
      <c r="X9348" s="8">
        <v>134</v>
      </c>
      <c r="Y9348" s="8" t="s">
        <v>40467</v>
      </c>
      <c r="Z9348" s="8" t="s">
        <v>40468</v>
      </c>
    </row>
    <row r="9349" spans="1:26" x14ac:dyDescent="0.2">
      <c r="A9349" s="8">
        <v>9348</v>
      </c>
      <c r="B9349" s="8" t="s">
        <v>40469</v>
      </c>
      <c r="C9349" s="8" t="s">
        <v>40469</v>
      </c>
      <c r="G9349" s="8">
        <v>20</v>
      </c>
      <c r="H9349" s="8" t="s">
        <v>21</v>
      </c>
      <c r="I9349" s="8" t="s">
        <v>22</v>
      </c>
      <c r="J9349" s="8" t="s">
        <v>22</v>
      </c>
      <c r="K9349" s="8" t="s">
        <v>3523</v>
      </c>
      <c r="L9349" s="8" t="s">
        <v>24</v>
      </c>
      <c r="M9349" s="8" t="s">
        <v>25</v>
      </c>
      <c r="N9349" s="8" t="s">
        <v>40470</v>
      </c>
      <c r="O9349" s="8">
        <f>23+45/60+55.1/3600</f>
        <v>23.765305555555557</v>
      </c>
      <c r="P9349" s="8" t="s">
        <v>40471</v>
      </c>
      <c r="Q9349" s="8">
        <f>+(12+3/60+40/3600)</f>
        <v>12.061111111111112</v>
      </c>
      <c r="R9349" s="8">
        <v>13.3</v>
      </c>
      <c r="S9349" s="8">
        <v>13.9</v>
      </c>
      <c r="T9349" s="8">
        <v>0.6</v>
      </c>
      <c r="U9349" s="8">
        <v>13.2</v>
      </c>
      <c r="V9349" s="8">
        <v>2</v>
      </c>
      <c r="W9349" s="8">
        <v>0.5</v>
      </c>
      <c r="X9349" s="8">
        <v>168</v>
      </c>
      <c r="Y9349" s="8" t="s">
        <v>35090</v>
      </c>
      <c r="Z9349" s="8" t="s">
        <v>35091</v>
      </c>
    </row>
    <row r="9350" spans="1:26" x14ac:dyDescent="0.2">
      <c r="A9350" s="8">
        <v>9349</v>
      </c>
      <c r="B9350" s="8" t="s">
        <v>40472</v>
      </c>
      <c r="C9350" s="8" t="s">
        <v>40472</v>
      </c>
      <c r="G9350" s="8">
        <v>20</v>
      </c>
      <c r="H9350" s="8" t="s">
        <v>21</v>
      </c>
      <c r="I9350" s="8" t="s">
        <v>22</v>
      </c>
      <c r="J9350" s="8" t="s">
        <v>22</v>
      </c>
      <c r="K9350" s="8" t="s">
        <v>160</v>
      </c>
      <c r="L9350" s="8" t="s">
        <v>30854</v>
      </c>
      <c r="M9350" s="8" t="s">
        <v>30855</v>
      </c>
      <c r="N9350" s="8" t="s">
        <v>40473</v>
      </c>
      <c r="O9350" s="8">
        <f>23+47/60+16.6/3600</f>
        <v>23.787944444444445</v>
      </c>
      <c r="P9350" s="8" t="s">
        <v>40474</v>
      </c>
      <c r="Q9350" s="8">
        <f>-(15+18/60+26/3600)</f>
        <v>-15.307222222222222</v>
      </c>
      <c r="R9350" s="8">
        <v>14.5</v>
      </c>
      <c r="S9350" s="8">
        <v>15.2</v>
      </c>
      <c r="T9350" s="8">
        <v>0.7</v>
      </c>
      <c r="U9350" s="8">
        <v>13</v>
      </c>
      <c r="V9350" s="8">
        <v>1.4</v>
      </c>
      <c r="W9350" s="8">
        <v>0.2</v>
      </c>
      <c r="X9350" s="8">
        <v>12</v>
      </c>
      <c r="Y9350" s="8" t="s">
        <v>40475</v>
      </c>
      <c r="Z9350" s="8" t="s">
        <v>40476</v>
      </c>
    </row>
    <row r="9351" spans="1:26" x14ac:dyDescent="0.2">
      <c r="A9351" s="8">
        <v>9350</v>
      </c>
      <c r="B9351" s="8" t="s">
        <v>40477</v>
      </c>
      <c r="C9351" s="8" t="s">
        <v>40477</v>
      </c>
      <c r="E9351" s="8">
        <v>2</v>
      </c>
      <c r="G9351" s="8">
        <v>20</v>
      </c>
      <c r="H9351" s="8" t="s">
        <v>21</v>
      </c>
      <c r="I9351" s="8" t="s">
        <v>22</v>
      </c>
      <c r="J9351" s="8" t="s">
        <v>22</v>
      </c>
      <c r="K9351" s="8" t="s">
        <v>449</v>
      </c>
      <c r="L9351" s="8" t="s">
        <v>38</v>
      </c>
      <c r="M9351" s="8" t="s">
        <v>39</v>
      </c>
      <c r="N9351" s="8" t="s">
        <v>40478</v>
      </c>
      <c r="O9351" s="8">
        <f>23+50/60+33/3600</f>
        <v>23.842499999999998</v>
      </c>
      <c r="P9351" s="8" t="s">
        <v>40479</v>
      </c>
      <c r="Q9351" s="8">
        <f>+(2+4/60+20/3600)</f>
        <v>2.0722222222222224</v>
      </c>
      <c r="R9351" s="8">
        <v>14.7</v>
      </c>
      <c r="S9351" s="8">
        <v>15.5</v>
      </c>
      <c r="T9351" s="8">
        <v>0.8</v>
      </c>
      <c r="U9351" s="8">
        <v>13.6</v>
      </c>
      <c r="V9351" s="8">
        <v>0.6</v>
      </c>
      <c r="W9351" s="8">
        <v>0.4</v>
      </c>
      <c r="X9351" s="8">
        <v>70</v>
      </c>
      <c r="Y9351" s="8" t="s">
        <v>40480</v>
      </c>
      <c r="Z9351" s="8" t="s">
        <v>40481</v>
      </c>
    </row>
    <row r="9352" spans="1:26" x14ac:dyDescent="0.2">
      <c r="A9352" s="8">
        <v>9351</v>
      </c>
      <c r="B9352" s="8" t="s">
        <v>40482</v>
      </c>
      <c r="C9352" s="8" t="s">
        <v>40482</v>
      </c>
      <c r="G9352" s="8">
        <v>20</v>
      </c>
      <c r="H9352" s="8" t="s">
        <v>21</v>
      </c>
      <c r="I9352" s="8" t="s">
        <v>72</v>
      </c>
      <c r="J9352" s="8" t="s">
        <v>72</v>
      </c>
      <c r="K9352" s="8" t="s">
        <v>20</v>
      </c>
      <c r="L9352" s="8" t="s">
        <v>24</v>
      </c>
      <c r="M9352" s="8" t="s">
        <v>25</v>
      </c>
      <c r="N9352" s="8" t="s">
        <v>40483</v>
      </c>
      <c r="O9352" s="8">
        <f>23+51/60+0.4/3600</f>
        <v>23.850111111111111</v>
      </c>
      <c r="P9352" s="8" t="s">
        <v>40484</v>
      </c>
      <c r="Q9352" s="8">
        <f>+(27+3/60+46/3600)</f>
        <v>27.062777777777779</v>
      </c>
      <c r="R9352" s="8">
        <v>99</v>
      </c>
      <c r="S9352" s="8">
        <v>99</v>
      </c>
      <c r="T9352" s="8">
        <v>99</v>
      </c>
      <c r="U9352" s="8">
        <v>99</v>
      </c>
      <c r="Y9352" s="8" t="s">
        <v>21</v>
      </c>
      <c r="Z9352" s="8" t="s">
        <v>40485</v>
      </c>
    </row>
    <row r="9353" spans="1:26" x14ac:dyDescent="0.2">
      <c r="A9353" s="8">
        <v>9352</v>
      </c>
      <c r="B9353" s="8" t="s">
        <v>40486</v>
      </c>
      <c r="C9353" s="8" t="s">
        <v>40486</v>
      </c>
      <c r="G9353" s="8">
        <v>20</v>
      </c>
      <c r="H9353" s="8" t="s">
        <v>21</v>
      </c>
      <c r="I9353" s="8" t="s">
        <v>72</v>
      </c>
      <c r="J9353" s="8" t="s">
        <v>72</v>
      </c>
      <c r="K9353" s="8" t="s">
        <v>20</v>
      </c>
      <c r="L9353" s="8" t="s">
        <v>24</v>
      </c>
      <c r="M9353" s="8" t="s">
        <v>25</v>
      </c>
      <c r="N9353" s="8" t="s">
        <v>40487</v>
      </c>
      <c r="O9353" s="8">
        <f>23+51/60+1.4/3600</f>
        <v>23.85038888888889</v>
      </c>
      <c r="P9353" s="8" t="s">
        <v>40488</v>
      </c>
      <c r="Q9353" s="8">
        <f>+(27+1/60+38/3600)</f>
        <v>27.027222222222221</v>
      </c>
      <c r="R9353" s="8">
        <v>99</v>
      </c>
      <c r="S9353" s="8">
        <v>14</v>
      </c>
      <c r="T9353" s="8">
        <v>99</v>
      </c>
      <c r="U9353" s="8">
        <v>99</v>
      </c>
      <c r="Y9353" s="8" t="s">
        <v>39045</v>
      </c>
      <c r="Z9353" s="8" t="s">
        <v>39046</v>
      </c>
    </row>
    <row r="9354" spans="1:26" x14ac:dyDescent="0.2">
      <c r="A9354" s="8">
        <v>9353</v>
      </c>
      <c r="B9354" s="8" t="s">
        <v>40489</v>
      </c>
      <c r="C9354" s="8" t="s">
        <v>40489</v>
      </c>
      <c r="G9354" s="8">
        <v>20</v>
      </c>
      <c r="H9354" s="8" t="s">
        <v>21</v>
      </c>
      <c r="I9354" s="8" t="s">
        <v>22</v>
      </c>
      <c r="J9354" s="8" t="s">
        <v>22</v>
      </c>
      <c r="K9354" s="8" t="s">
        <v>396</v>
      </c>
      <c r="L9354" s="8" t="s">
        <v>24</v>
      </c>
      <c r="M9354" s="8" t="s">
        <v>25</v>
      </c>
      <c r="N9354" s="8" t="s">
        <v>40490</v>
      </c>
      <c r="O9354" s="8">
        <f>23+53/60+29.2/3600</f>
        <v>23.891444444444446</v>
      </c>
      <c r="P9354" s="8" t="s">
        <v>40491</v>
      </c>
      <c r="Q9354" s="8">
        <f>+(11+19/60+4/3600)</f>
        <v>11.317777777777778</v>
      </c>
      <c r="R9354" s="8">
        <v>14.3</v>
      </c>
      <c r="S9354" s="8">
        <v>15.1</v>
      </c>
      <c r="T9354" s="8">
        <v>0.8</v>
      </c>
      <c r="U9354" s="8">
        <v>12.8</v>
      </c>
      <c r="V9354" s="8">
        <v>1</v>
      </c>
      <c r="W9354" s="8">
        <v>0.3</v>
      </c>
      <c r="X9354" s="8">
        <v>107</v>
      </c>
      <c r="Y9354" s="8" t="s">
        <v>40492</v>
      </c>
      <c r="Z9354" s="8" t="s">
        <v>40493</v>
      </c>
    </row>
    <row r="9355" spans="1:26" x14ac:dyDescent="0.2">
      <c r="A9355" s="8">
        <v>9354</v>
      </c>
      <c r="B9355" s="8" t="s">
        <v>40494</v>
      </c>
      <c r="C9355" s="8" t="s">
        <v>40494</v>
      </c>
      <c r="G9355" s="8">
        <v>20</v>
      </c>
      <c r="H9355" s="8" t="s">
        <v>21</v>
      </c>
      <c r="I9355" s="8" t="s">
        <v>22</v>
      </c>
      <c r="J9355" s="8" t="s">
        <v>57</v>
      </c>
      <c r="K9355" s="8" t="s">
        <v>91</v>
      </c>
      <c r="L9355" s="8" t="s">
        <v>30854</v>
      </c>
      <c r="M9355" s="8" t="s">
        <v>30855</v>
      </c>
      <c r="N9355" s="8" t="s">
        <v>34349</v>
      </c>
      <c r="O9355" s="8">
        <f>23+54/60+16.5/3600</f>
        <v>23.904583333333331</v>
      </c>
      <c r="P9355" s="8" t="s">
        <v>34350</v>
      </c>
      <c r="Q9355" s="8">
        <f>-(13+35/60+11/3600)</f>
        <v>-13.586388888888889</v>
      </c>
      <c r="R9355" s="8">
        <v>13.9</v>
      </c>
      <c r="S9355" s="8">
        <v>14.8</v>
      </c>
      <c r="T9355" s="8">
        <v>0.9</v>
      </c>
      <c r="U9355" s="8">
        <v>12.5</v>
      </c>
      <c r="V9355" s="8">
        <v>0.9</v>
      </c>
      <c r="W9355" s="8">
        <v>0.3</v>
      </c>
      <c r="X9355" s="8">
        <v>153</v>
      </c>
      <c r="Y9355" s="8" t="s">
        <v>21</v>
      </c>
      <c r="Z9355" s="8" t="s">
        <v>40495</v>
      </c>
    </row>
    <row r="9356" spans="1:26" x14ac:dyDescent="0.2">
      <c r="A9356" s="8">
        <v>9355</v>
      </c>
      <c r="B9356" s="8" t="s">
        <v>40496</v>
      </c>
      <c r="C9356" s="8" t="s">
        <v>40496</v>
      </c>
      <c r="G9356" s="8">
        <v>20</v>
      </c>
      <c r="H9356" s="8" t="s">
        <v>21</v>
      </c>
      <c r="I9356" s="8" t="s">
        <v>22</v>
      </c>
      <c r="J9356" s="8" t="s">
        <v>22</v>
      </c>
      <c r="K9356" s="8" t="s">
        <v>218</v>
      </c>
      <c r="L9356" s="8" t="s">
        <v>38</v>
      </c>
      <c r="M9356" s="8" t="s">
        <v>39</v>
      </c>
      <c r="N9356" s="8" t="s">
        <v>40497</v>
      </c>
      <c r="O9356" s="8">
        <f>23+56/60+4.1/3600</f>
        <v>23.934472222222222</v>
      </c>
      <c r="P9356" s="8" t="s">
        <v>40498</v>
      </c>
      <c r="Q9356" s="8">
        <f>-(0+59/60+19/3600)</f>
        <v>-0.98861111111111111</v>
      </c>
      <c r="R9356" s="8">
        <v>13.5</v>
      </c>
      <c r="S9356" s="8">
        <v>14.3</v>
      </c>
      <c r="T9356" s="8">
        <v>0.8</v>
      </c>
      <c r="U9356" s="8">
        <v>13.2</v>
      </c>
      <c r="V9356" s="8">
        <v>1.2</v>
      </c>
      <c r="W9356" s="8">
        <v>1</v>
      </c>
      <c r="X9356" s="8">
        <v>13</v>
      </c>
      <c r="Y9356" s="8" t="s">
        <v>40499</v>
      </c>
      <c r="Z9356" s="8" t="s">
        <v>40500</v>
      </c>
    </row>
    <row r="9357" spans="1:26" x14ac:dyDescent="0.2">
      <c r="A9357" s="8">
        <v>9356</v>
      </c>
      <c r="B9357" s="8" t="s">
        <v>40501</v>
      </c>
      <c r="C9357" s="8" t="s">
        <v>40501</v>
      </c>
      <c r="G9357" s="8">
        <v>20</v>
      </c>
      <c r="H9357" s="8" t="s">
        <v>21</v>
      </c>
      <c r="I9357" s="8" t="s">
        <v>22</v>
      </c>
      <c r="J9357" s="8" t="s">
        <v>22</v>
      </c>
      <c r="K9357" s="8" t="s">
        <v>396</v>
      </c>
      <c r="L9357" s="8" t="s">
        <v>38</v>
      </c>
      <c r="M9357" s="8" t="s">
        <v>39</v>
      </c>
      <c r="N9357" s="8" t="s">
        <v>40502</v>
      </c>
      <c r="O9357" s="8">
        <f>23+56/60+7.1/3600</f>
        <v>23.935305555555555</v>
      </c>
      <c r="P9357" s="8" t="s">
        <v>40503</v>
      </c>
      <c r="Q9357" s="8">
        <f>-(0+55/60+1/3600)</f>
        <v>-0.91694444444444445</v>
      </c>
      <c r="R9357" s="8">
        <v>13.1</v>
      </c>
      <c r="S9357" s="8">
        <v>13.9</v>
      </c>
      <c r="T9357" s="8">
        <v>0.8</v>
      </c>
      <c r="U9357" s="8">
        <v>14.1</v>
      </c>
      <c r="V9357" s="8">
        <v>1.8</v>
      </c>
      <c r="W9357" s="8">
        <v>1.6</v>
      </c>
      <c r="X9357" s="8">
        <v>65</v>
      </c>
      <c r="Y9357" s="8" t="s">
        <v>40504</v>
      </c>
      <c r="Z9357" s="8" t="s">
        <v>40505</v>
      </c>
    </row>
    <row r="9358" spans="1:26" x14ac:dyDescent="0.2">
      <c r="A9358" s="8">
        <v>9357</v>
      </c>
      <c r="B9358" s="8" t="s">
        <v>40506</v>
      </c>
      <c r="C9358" s="8" t="s">
        <v>40506</v>
      </c>
      <c r="G9358" s="8">
        <v>20</v>
      </c>
      <c r="H9358" s="8" t="s">
        <v>21</v>
      </c>
      <c r="I9358" s="8" t="s">
        <v>22</v>
      </c>
      <c r="J9358" s="8" t="s">
        <v>22</v>
      </c>
      <c r="K9358" s="8" t="s">
        <v>460</v>
      </c>
      <c r="L9358" s="8" t="s">
        <v>38</v>
      </c>
      <c r="M9358" s="8" t="s">
        <v>39</v>
      </c>
      <c r="N9358" s="8" t="s">
        <v>40507</v>
      </c>
      <c r="O9358" s="8">
        <f>23+56/60+18.9/3600</f>
        <v>23.938583333333334</v>
      </c>
      <c r="P9358" s="8" t="s">
        <v>40508</v>
      </c>
      <c r="Q9358" s="8">
        <f>-(0+18/60+20/3600)</f>
        <v>-0.30555555555555552</v>
      </c>
      <c r="R9358" s="8">
        <v>13.8</v>
      </c>
      <c r="S9358" s="8">
        <v>14.8</v>
      </c>
      <c r="T9358" s="8">
        <v>1</v>
      </c>
      <c r="U9358" s="8">
        <v>13.4</v>
      </c>
      <c r="V9358" s="8">
        <v>0.8</v>
      </c>
      <c r="W9358" s="8">
        <v>0.8</v>
      </c>
      <c r="Y9358" s="8" t="s">
        <v>40509</v>
      </c>
      <c r="Z9358" s="8" t="s">
        <v>40510</v>
      </c>
    </row>
    <row r="9359" spans="1:26" x14ac:dyDescent="0.2">
      <c r="A9359" s="8">
        <v>9358</v>
      </c>
      <c r="B9359" s="8" t="s">
        <v>40511</v>
      </c>
      <c r="C9359" s="8" t="s">
        <v>40511</v>
      </c>
      <c r="G9359" s="8">
        <v>20</v>
      </c>
      <c r="H9359" s="8" t="s">
        <v>21</v>
      </c>
      <c r="I9359" s="8" t="s">
        <v>22</v>
      </c>
      <c r="J9359" s="8" t="s">
        <v>22</v>
      </c>
      <c r="K9359" s="8" t="s">
        <v>58</v>
      </c>
      <c r="L9359" s="8" t="s">
        <v>24</v>
      </c>
      <c r="M9359" s="8" t="s">
        <v>25</v>
      </c>
      <c r="N9359" s="8" t="s">
        <v>40512</v>
      </c>
      <c r="O9359" s="8">
        <f>23+57/60+6/3600</f>
        <v>23.951666666666664</v>
      </c>
      <c r="P9359" s="8" t="s">
        <v>40513</v>
      </c>
      <c r="Q9359" s="8">
        <f>+(12+27/60+56/3600)</f>
        <v>12.465555555555556</v>
      </c>
      <c r="R9359" s="8">
        <v>14.6</v>
      </c>
      <c r="S9359" s="8">
        <v>15.6</v>
      </c>
      <c r="T9359" s="8">
        <v>1</v>
      </c>
      <c r="U9359" s="8">
        <v>11.6</v>
      </c>
      <c r="V9359" s="8">
        <v>0.3</v>
      </c>
      <c r="W9359" s="8">
        <v>0.2</v>
      </c>
      <c r="X9359" s="8">
        <v>80</v>
      </c>
      <c r="Y9359" s="8" t="s">
        <v>421</v>
      </c>
      <c r="Z9359" s="8" t="s">
        <v>422</v>
      </c>
    </row>
    <row r="9360" spans="1:26" x14ac:dyDescent="0.2">
      <c r="A9360" s="8">
        <v>9359</v>
      </c>
      <c r="B9360" s="8" t="s">
        <v>40514</v>
      </c>
      <c r="C9360" s="8" t="s">
        <v>40514</v>
      </c>
      <c r="G9360" s="8">
        <v>20</v>
      </c>
      <c r="H9360" s="8" t="s">
        <v>21</v>
      </c>
      <c r="I9360" s="8" t="s">
        <v>22</v>
      </c>
      <c r="J9360" s="8" t="s">
        <v>22</v>
      </c>
      <c r="K9360" s="8" t="s">
        <v>58</v>
      </c>
      <c r="L9360" s="8" t="s">
        <v>24</v>
      </c>
      <c r="M9360" s="8" t="s">
        <v>25</v>
      </c>
      <c r="N9360" s="8" t="s">
        <v>40515</v>
      </c>
      <c r="O9360" s="8">
        <f>23+57/60+8.3/3600</f>
        <v>23.952305555555554</v>
      </c>
      <c r="P9360" s="8" t="s">
        <v>40516</v>
      </c>
      <c r="Q9360" s="8">
        <f>+(12+27/60+29/3600)</f>
        <v>12.458055555555555</v>
      </c>
      <c r="R9360" s="8">
        <v>14.6</v>
      </c>
      <c r="S9360" s="8">
        <v>15.6</v>
      </c>
      <c r="T9360" s="8">
        <v>1</v>
      </c>
      <c r="U9360" s="8">
        <v>13.7</v>
      </c>
      <c r="V9360" s="8">
        <v>0.7</v>
      </c>
      <c r="W9360" s="8">
        <v>0.6</v>
      </c>
      <c r="Y9360" s="8" t="s">
        <v>40517</v>
      </c>
      <c r="Z9360" s="8" t="s">
        <v>40518</v>
      </c>
    </row>
    <row r="9361" spans="1:26" x14ac:dyDescent="0.2">
      <c r="A9361" s="8">
        <v>9360</v>
      </c>
      <c r="B9361" s="8" t="s">
        <v>40519</v>
      </c>
      <c r="C9361" s="8" t="s">
        <v>40519</v>
      </c>
      <c r="G9361" s="8">
        <v>20</v>
      </c>
      <c r="H9361" s="8" t="s">
        <v>21</v>
      </c>
      <c r="I9361" s="8" t="s">
        <v>22</v>
      </c>
      <c r="J9361" s="8" t="s">
        <v>22</v>
      </c>
      <c r="K9361" s="8" t="s">
        <v>160</v>
      </c>
      <c r="L9361" s="8" t="s">
        <v>125</v>
      </c>
      <c r="M9361" s="8" t="s">
        <v>126</v>
      </c>
      <c r="N9361" s="8" t="s">
        <v>40520</v>
      </c>
      <c r="O9361" s="8">
        <f>23+57/60+54.5/3600</f>
        <v>23.965138888888887</v>
      </c>
      <c r="P9361" s="8" t="s">
        <v>40521</v>
      </c>
      <c r="Q9361" s="8">
        <f>-(14+2/60+20/3600)</f>
        <v>-14.03888888888889</v>
      </c>
      <c r="R9361" s="8">
        <v>13.8</v>
      </c>
      <c r="S9361" s="8">
        <v>14.5</v>
      </c>
      <c r="T9361" s="8">
        <v>0.7</v>
      </c>
      <c r="U9361" s="8">
        <v>12.7</v>
      </c>
      <c r="V9361" s="8">
        <v>0.7</v>
      </c>
      <c r="W9361" s="8">
        <v>0.6</v>
      </c>
      <c r="X9361" s="8">
        <v>165</v>
      </c>
      <c r="Y9361" s="8" t="s">
        <v>19885</v>
      </c>
      <c r="Z9361" s="8" t="s">
        <v>4076</v>
      </c>
    </row>
    <row r="9362" spans="1:26" x14ac:dyDescent="0.2">
      <c r="A9362" s="8">
        <v>9361</v>
      </c>
      <c r="B9362" s="8" t="s">
        <v>40522</v>
      </c>
      <c r="C9362" s="8" t="s">
        <v>40522</v>
      </c>
      <c r="G9362" s="8">
        <v>20</v>
      </c>
      <c r="H9362" s="8" t="s">
        <v>21</v>
      </c>
      <c r="I9362" s="8" t="s">
        <v>22</v>
      </c>
      <c r="J9362" s="8" t="s">
        <v>22</v>
      </c>
      <c r="K9362" s="8" t="s">
        <v>50</v>
      </c>
      <c r="L9362" s="8" t="s">
        <v>125</v>
      </c>
      <c r="M9362" s="8" t="s">
        <v>126</v>
      </c>
      <c r="N9362" s="8" t="s">
        <v>34440</v>
      </c>
      <c r="O9362" s="8">
        <f>23+58/60+59.7/3600</f>
        <v>23.983249999999998</v>
      </c>
      <c r="P9362" s="8" t="s">
        <v>40523</v>
      </c>
      <c r="Q9362" s="8">
        <f>-(7+8/60+46/3600)</f>
        <v>-7.1461111111111117</v>
      </c>
      <c r="R9362" s="8">
        <v>15</v>
      </c>
      <c r="S9362" s="8">
        <v>16</v>
      </c>
      <c r="T9362" s="8">
        <v>1</v>
      </c>
      <c r="U9362" s="8">
        <v>13</v>
      </c>
      <c r="V9362" s="8">
        <v>0.5</v>
      </c>
      <c r="W9362" s="8">
        <v>0.3</v>
      </c>
      <c r="X9362" s="8">
        <v>110</v>
      </c>
      <c r="Y9362" s="8" t="s">
        <v>5139</v>
      </c>
      <c r="Z9362" s="8" t="s">
        <v>5140</v>
      </c>
    </row>
    <row r="9363" spans="1:26" x14ac:dyDescent="0.2">
      <c r="A9363" s="8">
        <v>9362</v>
      </c>
      <c r="B9363" s="8" t="s">
        <v>40524</v>
      </c>
      <c r="C9363" s="8" t="s">
        <v>40524</v>
      </c>
      <c r="G9363" s="8">
        <v>20</v>
      </c>
      <c r="H9363" s="8" t="s">
        <v>21</v>
      </c>
      <c r="I9363" s="8" t="s">
        <v>22</v>
      </c>
      <c r="J9363" s="8" t="s">
        <v>22</v>
      </c>
      <c r="K9363" s="8" t="s">
        <v>396</v>
      </c>
      <c r="L9363" s="8" t="s">
        <v>38</v>
      </c>
      <c r="M9363" s="8" t="s">
        <v>39</v>
      </c>
      <c r="N9363" s="8" t="s">
        <v>40525</v>
      </c>
      <c r="O9363" s="8">
        <f>23+59/60+3.4/3600</f>
        <v>23.98427777777778</v>
      </c>
      <c r="P9363" s="8" t="s">
        <v>40526</v>
      </c>
      <c r="Q9363" s="8">
        <f>+(1+43/60+13/3600)</f>
        <v>1.7202777777777778</v>
      </c>
      <c r="R9363" s="8">
        <v>14.5</v>
      </c>
      <c r="S9363" s="8">
        <v>15.3</v>
      </c>
      <c r="T9363" s="8">
        <v>0.8</v>
      </c>
      <c r="U9363" s="8">
        <v>13</v>
      </c>
      <c r="V9363" s="8">
        <v>1</v>
      </c>
      <c r="W9363" s="8">
        <v>0.3</v>
      </c>
      <c r="X9363" s="8">
        <v>12</v>
      </c>
      <c r="Y9363" s="8" t="s">
        <v>36806</v>
      </c>
      <c r="Z9363" s="8" t="s">
        <v>36807</v>
      </c>
    </row>
    <row r="9364" spans="1:26" x14ac:dyDescent="0.2">
      <c r="A9364" s="8">
        <v>9363</v>
      </c>
      <c r="B9364" s="8" t="s">
        <v>40527</v>
      </c>
      <c r="C9364" s="8" t="s">
        <v>40527</v>
      </c>
      <c r="G9364" s="8">
        <v>20</v>
      </c>
      <c r="H9364" s="8" t="s">
        <v>21</v>
      </c>
      <c r="I9364" s="8" t="s">
        <v>22</v>
      </c>
      <c r="J9364" s="8" t="s">
        <v>22</v>
      </c>
      <c r="K9364" s="8" t="s">
        <v>382</v>
      </c>
      <c r="L9364" s="8" t="s">
        <v>38</v>
      </c>
      <c r="M9364" s="8" t="s">
        <v>39</v>
      </c>
      <c r="N9364" s="8" t="s">
        <v>40528</v>
      </c>
      <c r="O9364" s="8">
        <f>23+59/60+6.5/3600</f>
        <v>23.985138888888891</v>
      </c>
      <c r="P9364" s="8" t="s">
        <v>40529</v>
      </c>
      <c r="Q9364" s="8">
        <f>+(6+52/60+25/3600)</f>
        <v>6.8736111111111118</v>
      </c>
      <c r="R9364" s="8">
        <v>15.3</v>
      </c>
      <c r="S9364" s="8">
        <v>16.3</v>
      </c>
      <c r="T9364" s="8">
        <v>1</v>
      </c>
      <c r="U9364" s="8">
        <v>12.3</v>
      </c>
      <c r="V9364" s="8">
        <v>0.3</v>
      </c>
      <c r="W9364" s="8">
        <v>0.2</v>
      </c>
      <c r="X9364" s="8">
        <v>10</v>
      </c>
      <c r="Y9364" s="8" t="s">
        <v>21</v>
      </c>
      <c r="Z9364" s="8" t="s">
        <v>40530</v>
      </c>
    </row>
    <row r="9365" spans="1:26" x14ac:dyDescent="0.2">
      <c r="A9365" s="8">
        <v>9364</v>
      </c>
      <c r="B9365" s="8" t="s">
        <v>40531</v>
      </c>
      <c r="C9365" s="8" t="s">
        <v>40531</v>
      </c>
      <c r="G9365" s="8">
        <v>20</v>
      </c>
      <c r="H9365" s="8" t="s">
        <v>21</v>
      </c>
      <c r="I9365" s="8" t="s">
        <v>22</v>
      </c>
      <c r="J9365" s="8" t="s">
        <v>22</v>
      </c>
      <c r="K9365" s="8" t="s">
        <v>85</v>
      </c>
      <c r="L9365" s="8" t="s">
        <v>38</v>
      </c>
      <c r="M9365" s="8" t="s">
        <v>39</v>
      </c>
      <c r="N9365" s="8" t="s">
        <v>40401</v>
      </c>
      <c r="O9365" s="8">
        <f>23+59/60+10.7/3600</f>
        <v>23.986305555555557</v>
      </c>
      <c r="P9365" s="8" t="s">
        <v>40402</v>
      </c>
      <c r="Q9365" s="8">
        <f>-(4+7/60+37/3600)</f>
        <v>-4.1269444444444439</v>
      </c>
      <c r="R9365" s="8">
        <v>14.1</v>
      </c>
      <c r="S9365" s="8">
        <v>14.9</v>
      </c>
      <c r="T9365" s="8">
        <v>0.8</v>
      </c>
      <c r="U9365" s="8">
        <v>14.2</v>
      </c>
      <c r="V9365" s="8">
        <v>1.7</v>
      </c>
      <c r="W9365" s="8">
        <v>0.7</v>
      </c>
      <c r="X9365" s="8">
        <v>80</v>
      </c>
      <c r="Y9365" s="8" t="s">
        <v>1694</v>
      </c>
      <c r="Z9365" s="8" t="s">
        <v>1695</v>
      </c>
    </row>
    <row r="9366" spans="1:26" x14ac:dyDescent="0.2">
      <c r="A9366" s="8">
        <v>9365</v>
      </c>
      <c r="B9366" s="8" t="s">
        <v>40532</v>
      </c>
      <c r="C9366" s="8" t="s">
        <v>40532</v>
      </c>
      <c r="G9366" s="8">
        <v>20</v>
      </c>
      <c r="H9366" s="8" t="s">
        <v>21</v>
      </c>
      <c r="I9366" s="8" t="s">
        <v>22</v>
      </c>
      <c r="J9366" s="8" t="s">
        <v>22</v>
      </c>
      <c r="K9366" s="8" t="s">
        <v>218</v>
      </c>
      <c r="L9366" s="8" t="s">
        <v>51</v>
      </c>
      <c r="M9366" s="8" t="s">
        <v>52</v>
      </c>
      <c r="N9366" s="8" t="s">
        <v>40533</v>
      </c>
      <c r="O9366" s="8">
        <f>23+59/60+15.7/3600</f>
        <v>23.987694444444447</v>
      </c>
      <c r="P9366" s="8" t="s">
        <v>40534</v>
      </c>
      <c r="Q9366" s="8">
        <f>+(46+53/60+22/3600)</f>
        <v>46.889444444444443</v>
      </c>
      <c r="R9366" s="8">
        <v>12.2</v>
      </c>
      <c r="S9366" s="8">
        <v>13</v>
      </c>
      <c r="T9366" s="8">
        <v>0.8</v>
      </c>
      <c r="U9366" s="8">
        <v>13.1</v>
      </c>
      <c r="V9366" s="8">
        <v>1.9</v>
      </c>
      <c r="W9366" s="8">
        <v>1.4</v>
      </c>
      <c r="X9366" s="8">
        <v>20</v>
      </c>
      <c r="Y9366" s="8" t="s">
        <v>17524</v>
      </c>
      <c r="Z9366" s="8" t="s">
        <v>17525</v>
      </c>
    </row>
    <row r="9367" spans="1:26" x14ac:dyDescent="0.2">
      <c r="A9367" s="8">
        <v>9366</v>
      </c>
      <c r="B9367" s="8" t="s">
        <v>40535</v>
      </c>
      <c r="C9367" s="8" t="s">
        <v>40535</v>
      </c>
      <c r="G9367" s="8">
        <v>20</v>
      </c>
      <c r="H9367" s="8" t="s">
        <v>21</v>
      </c>
      <c r="I9367" s="8" t="s">
        <v>22</v>
      </c>
      <c r="J9367" s="8" t="s">
        <v>22</v>
      </c>
      <c r="K9367" s="8" t="s">
        <v>160</v>
      </c>
      <c r="L9367" s="8" t="s">
        <v>24</v>
      </c>
      <c r="M9367" s="8" t="s">
        <v>25</v>
      </c>
      <c r="N9367" s="8" t="s">
        <v>40536</v>
      </c>
      <c r="O9367" s="8">
        <f>0+1/60+31.5/3600</f>
        <v>2.5416666666666667E-2</v>
      </c>
      <c r="P9367" s="8" t="s">
        <v>40537</v>
      </c>
      <c r="Q9367" s="8">
        <f>+(11+20/60+48/3600)</f>
        <v>11.346666666666668</v>
      </c>
      <c r="R9367" s="8">
        <v>14.4</v>
      </c>
      <c r="S9367" s="8">
        <v>15.1</v>
      </c>
      <c r="T9367" s="8">
        <v>0.7</v>
      </c>
      <c r="U9367" s="8">
        <v>12.2</v>
      </c>
      <c r="V9367" s="8">
        <v>0.5</v>
      </c>
      <c r="W9367" s="8">
        <v>0.3</v>
      </c>
      <c r="X9367" s="8">
        <v>129</v>
      </c>
      <c r="Y9367" s="8" t="s">
        <v>40538</v>
      </c>
      <c r="Z9367" s="8" t="s">
        <v>40539</v>
      </c>
    </row>
    <row r="9368" spans="1:26" x14ac:dyDescent="0.2">
      <c r="A9368" s="8">
        <v>9367</v>
      </c>
      <c r="B9368" s="8" t="s">
        <v>40540</v>
      </c>
      <c r="C9368" s="8" t="s">
        <v>40540</v>
      </c>
      <c r="G9368" s="8">
        <v>20</v>
      </c>
      <c r="H9368" s="8" t="s">
        <v>21</v>
      </c>
      <c r="I9368" s="8" t="s">
        <v>22</v>
      </c>
      <c r="J9368" s="8" t="s">
        <v>22</v>
      </c>
      <c r="K9368" s="8" t="s">
        <v>23</v>
      </c>
      <c r="L9368" s="8" t="s">
        <v>38</v>
      </c>
      <c r="M9368" s="8" t="s">
        <v>39</v>
      </c>
      <c r="N9368" s="8" t="s">
        <v>40541</v>
      </c>
      <c r="O9368" s="8">
        <f>0+2/60+21.5/3600</f>
        <v>3.9305555555555552E-2</v>
      </c>
      <c r="P9368" s="8" t="s">
        <v>40542</v>
      </c>
      <c r="Q9368" s="8">
        <f>+(4+5/60+25/3600)</f>
        <v>4.0902777777777777</v>
      </c>
      <c r="R9368" s="8">
        <v>14.6</v>
      </c>
      <c r="S9368" s="8">
        <v>15.4</v>
      </c>
      <c r="T9368" s="8">
        <v>0.8</v>
      </c>
      <c r="U9368" s="8">
        <v>14.3</v>
      </c>
      <c r="V9368" s="8">
        <v>1.3</v>
      </c>
      <c r="W9368" s="8">
        <v>0.7</v>
      </c>
      <c r="X9368" s="8">
        <v>147</v>
      </c>
      <c r="Y9368" s="8" t="s">
        <v>40543</v>
      </c>
      <c r="Z9368" s="8" t="s">
        <v>40544</v>
      </c>
    </row>
    <row r="9369" spans="1:26" x14ac:dyDescent="0.2">
      <c r="A9369" s="8">
        <v>9368</v>
      </c>
      <c r="B9369" s="8" t="s">
        <v>40545</v>
      </c>
      <c r="C9369" s="8" t="s">
        <v>40545</v>
      </c>
      <c r="G9369" s="8">
        <v>20</v>
      </c>
      <c r="H9369" s="8" t="s">
        <v>21</v>
      </c>
      <c r="I9369" s="8" t="s">
        <v>22</v>
      </c>
      <c r="J9369" s="8" t="s">
        <v>22</v>
      </c>
      <c r="K9369" s="8" t="s">
        <v>218</v>
      </c>
      <c r="L9369" s="8" t="s">
        <v>125</v>
      </c>
      <c r="M9369" s="8" t="s">
        <v>126</v>
      </c>
      <c r="N9369" s="8" t="s">
        <v>40546</v>
      </c>
      <c r="O9369" s="8">
        <f>0+5/60+5.3/3600</f>
        <v>8.4805555555555551E-2</v>
      </c>
      <c r="P9369" s="8" t="s">
        <v>40547</v>
      </c>
      <c r="Q9369" s="8">
        <f>-(7+7/60+5/3600)</f>
        <v>-7.1180555555555554</v>
      </c>
      <c r="R9369" s="8">
        <v>12.7</v>
      </c>
      <c r="S9369" s="8">
        <v>13.5</v>
      </c>
      <c r="T9369" s="8">
        <v>0.8</v>
      </c>
      <c r="U9369" s="8">
        <v>13.5</v>
      </c>
      <c r="V9369" s="8">
        <v>2.4</v>
      </c>
      <c r="W9369" s="8">
        <v>1.1000000000000001</v>
      </c>
      <c r="X9369" s="8">
        <v>74</v>
      </c>
      <c r="Y9369" s="8" t="s">
        <v>1694</v>
      </c>
      <c r="Z9369" s="8" t="s">
        <v>1695</v>
      </c>
    </row>
    <row r="9370" spans="1:26" x14ac:dyDescent="0.2">
      <c r="A9370" s="8">
        <v>9369</v>
      </c>
      <c r="B9370" s="8" t="s">
        <v>40548</v>
      </c>
      <c r="C9370" s="8" t="s">
        <v>40548</v>
      </c>
      <c r="G9370" s="8">
        <v>20</v>
      </c>
      <c r="H9370" s="8" t="s">
        <v>21</v>
      </c>
      <c r="I9370" s="8" t="s">
        <v>22</v>
      </c>
      <c r="J9370" s="8" t="s">
        <v>22</v>
      </c>
      <c r="K9370" s="8" t="s">
        <v>37</v>
      </c>
      <c r="L9370" s="8" t="s">
        <v>125</v>
      </c>
      <c r="M9370" s="8" t="s">
        <v>126</v>
      </c>
      <c r="N9370" s="8" t="s">
        <v>40549</v>
      </c>
      <c r="O9370" s="8">
        <f>0+5/60+13.1/3600</f>
        <v>8.6972222222222215E-2</v>
      </c>
      <c r="P9370" s="8" t="s">
        <v>40550</v>
      </c>
      <c r="Q9370" s="8">
        <f>-(11+30/60+8/3600)</f>
        <v>-11.502222222222223</v>
      </c>
      <c r="R9370" s="8">
        <v>13.6</v>
      </c>
      <c r="S9370" s="8">
        <v>14.6</v>
      </c>
      <c r="T9370" s="8">
        <v>1</v>
      </c>
      <c r="U9370" s="8">
        <v>13.8</v>
      </c>
      <c r="V9370" s="8">
        <v>1.2</v>
      </c>
      <c r="W9370" s="8">
        <v>1.1000000000000001</v>
      </c>
      <c r="X9370" s="8">
        <v>0</v>
      </c>
      <c r="Y9370" s="8" t="s">
        <v>40551</v>
      </c>
      <c r="Z9370" s="8" t="s">
        <v>40552</v>
      </c>
    </row>
    <row r="9371" spans="1:26" x14ac:dyDescent="0.2">
      <c r="A9371" s="8">
        <v>9370</v>
      </c>
      <c r="B9371" s="8" t="s">
        <v>40553</v>
      </c>
      <c r="C9371" s="8" t="s">
        <v>40553</v>
      </c>
      <c r="G9371" s="8">
        <v>20</v>
      </c>
      <c r="H9371" s="8" t="s">
        <v>21</v>
      </c>
      <c r="I9371" s="8" t="s">
        <v>22</v>
      </c>
      <c r="J9371" s="8" t="s">
        <v>57</v>
      </c>
      <c r="K9371" s="8" t="s">
        <v>23</v>
      </c>
      <c r="L9371" s="8" t="s">
        <v>51</v>
      </c>
      <c r="M9371" s="8" t="s">
        <v>52</v>
      </c>
      <c r="N9371" s="8" t="s">
        <v>34596</v>
      </c>
      <c r="O9371" s="8">
        <f>0+7/60+19.3/3600</f>
        <v>0.12202777777777778</v>
      </c>
      <c r="P9371" s="8" t="s">
        <v>34597</v>
      </c>
      <c r="Q9371" s="8">
        <f>+(32+36/60+33/3600)</f>
        <v>32.609166666666667</v>
      </c>
      <c r="R9371" s="8">
        <v>12.8</v>
      </c>
      <c r="S9371" s="8">
        <v>13.6</v>
      </c>
      <c r="T9371" s="8">
        <v>0.8</v>
      </c>
      <c r="U9371" s="8">
        <v>11.8</v>
      </c>
      <c r="V9371" s="8">
        <v>1.5</v>
      </c>
      <c r="W9371" s="8">
        <v>0.3</v>
      </c>
      <c r="X9371" s="8">
        <v>38</v>
      </c>
      <c r="Y9371" s="8" t="s">
        <v>36900</v>
      </c>
      <c r="Z9371" s="8" t="s">
        <v>36901</v>
      </c>
    </row>
    <row r="9372" spans="1:26" x14ac:dyDescent="0.2">
      <c r="A9372" s="8">
        <v>9371</v>
      </c>
      <c r="B9372" s="8" t="s">
        <v>40554</v>
      </c>
      <c r="C9372" s="8" t="s">
        <v>40554</v>
      </c>
      <c r="G9372" s="8">
        <v>20</v>
      </c>
      <c r="H9372" s="8" t="s">
        <v>21</v>
      </c>
      <c r="I9372" s="8" t="s">
        <v>22</v>
      </c>
      <c r="J9372" s="8" t="s">
        <v>22</v>
      </c>
      <c r="K9372" s="8" t="s">
        <v>224</v>
      </c>
      <c r="L9372" s="8" t="s">
        <v>65</v>
      </c>
      <c r="M9372" s="8" t="s">
        <v>66</v>
      </c>
      <c r="N9372" s="8" t="s">
        <v>40555</v>
      </c>
      <c r="O9372" s="8">
        <f>0+9/60+35.5/3600</f>
        <v>0.15986111111111109</v>
      </c>
      <c r="P9372" s="8" t="s">
        <v>40556</v>
      </c>
      <c r="Q9372" s="8">
        <f>-(32+16/60+36/3600)</f>
        <v>-32.276666666666664</v>
      </c>
      <c r="R9372" s="8">
        <v>12.4</v>
      </c>
      <c r="S9372" s="8">
        <v>13.4</v>
      </c>
      <c r="T9372" s="8">
        <v>1</v>
      </c>
      <c r="U9372" s="8">
        <v>13.3</v>
      </c>
      <c r="V9372" s="8">
        <v>1.8</v>
      </c>
      <c r="W9372" s="8">
        <v>1.4</v>
      </c>
      <c r="X9372" s="8">
        <v>138</v>
      </c>
      <c r="Y9372" s="8" t="s">
        <v>40557</v>
      </c>
      <c r="Z9372" s="8" t="s">
        <v>40558</v>
      </c>
    </row>
    <row r="9373" spans="1:26" x14ac:dyDescent="0.2">
      <c r="A9373" s="8">
        <v>9372</v>
      </c>
      <c r="B9373" s="8" t="s">
        <v>40559</v>
      </c>
      <c r="C9373" s="8" t="s">
        <v>40559</v>
      </c>
      <c r="G9373" s="8">
        <v>20</v>
      </c>
      <c r="H9373" s="8" t="s">
        <v>21</v>
      </c>
      <c r="I9373" s="8" t="s">
        <v>22</v>
      </c>
      <c r="J9373" s="8" t="s">
        <v>22</v>
      </c>
      <c r="K9373" s="8" t="s">
        <v>85</v>
      </c>
      <c r="L9373" s="8" t="s">
        <v>310</v>
      </c>
      <c r="M9373" s="8" t="s">
        <v>311</v>
      </c>
      <c r="N9373" s="8" t="s">
        <v>40560</v>
      </c>
      <c r="O9373" s="8">
        <f>0+9/60+53.4/3600</f>
        <v>0.16483333333333333</v>
      </c>
      <c r="P9373" s="8" t="s">
        <v>40561</v>
      </c>
      <c r="Q9373" s="8">
        <f>-(64+22/60+16/3600)</f>
        <v>-64.371111111111105</v>
      </c>
      <c r="R9373" s="8">
        <v>14</v>
      </c>
      <c r="S9373" s="8">
        <v>14.8</v>
      </c>
      <c r="T9373" s="8">
        <v>0.8</v>
      </c>
      <c r="U9373" s="8">
        <v>13.6</v>
      </c>
      <c r="V9373" s="8">
        <v>1.6</v>
      </c>
      <c r="W9373" s="8">
        <v>0.5</v>
      </c>
      <c r="X9373" s="8">
        <v>74</v>
      </c>
      <c r="Y9373" s="8" t="s">
        <v>40562</v>
      </c>
      <c r="Z9373" s="8" t="s">
        <v>40563</v>
      </c>
    </row>
    <row r="9374" spans="1:26" x14ac:dyDescent="0.2">
      <c r="A9374" s="8">
        <v>9373</v>
      </c>
      <c r="B9374" s="8" t="s">
        <v>40564</v>
      </c>
      <c r="C9374" s="8" t="s">
        <v>40564</v>
      </c>
      <c r="G9374" s="8">
        <v>20</v>
      </c>
      <c r="H9374" s="8" t="s">
        <v>21</v>
      </c>
      <c r="I9374" s="8" t="s">
        <v>329</v>
      </c>
      <c r="J9374" s="8" t="s">
        <v>329</v>
      </c>
      <c r="K9374" s="8" t="s">
        <v>329</v>
      </c>
      <c r="L9374" s="8" t="s">
        <v>125</v>
      </c>
      <c r="M9374" s="8" t="s">
        <v>126</v>
      </c>
      <c r="N9374" s="8" t="s">
        <v>40565</v>
      </c>
      <c r="O9374" s="8">
        <f>0+10/60+36.8/3600</f>
        <v>0.17688888888888887</v>
      </c>
      <c r="P9374" s="8" t="s">
        <v>40566</v>
      </c>
      <c r="Q9374" s="8">
        <f>-(7+24/60+55/3600)</f>
        <v>-7.4152777777777779</v>
      </c>
      <c r="R9374" s="8">
        <v>99</v>
      </c>
      <c r="S9374" s="8">
        <v>99</v>
      </c>
      <c r="T9374" s="8">
        <v>99</v>
      </c>
      <c r="U9374" s="8">
        <v>99</v>
      </c>
      <c r="Y9374" s="8" t="s">
        <v>21</v>
      </c>
      <c r="Z9374" s="8" t="s">
        <v>40567</v>
      </c>
    </row>
    <row r="9375" spans="1:26" x14ac:dyDescent="0.2">
      <c r="A9375" s="8">
        <v>9374</v>
      </c>
      <c r="B9375" s="8" t="s">
        <v>40568</v>
      </c>
      <c r="C9375" s="8" t="s">
        <v>40568</v>
      </c>
      <c r="G9375" s="8">
        <v>20</v>
      </c>
      <c r="H9375" s="8" t="s">
        <v>21</v>
      </c>
      <c r="I9375" s="8" t="s">
        <v>22</v>
      </c>
      <c r="J9375" s="8" t="s">
        <v>22</v>
      </c>
      <c r="K9375" s="8" t="s">
        <v>37</v>
      </c>
      <c r="L9375" s="8" t="s">
        <v>51</v>
      </c>
      <c r="M9375" s="8" t="s">
        <v>52</v>
      </c>
      <c r="N9375" s="8" t="s">
        <v>40569</v>
      </c>
      <c r="O9375" s="8">
        <f>0+13/60+45.4/3600</f>
        <v>0.22927777777777777</v>
      </c>
      <c r="P9375" s="8" t="s">
        <v>40570</v>
      </c>
      <c r="Q9375" s="8">
        <f>+(48+9/60+7/3600)</f>
        <v>48.151944444444446</v>
      </c>
      <c r="R9375" s="8">
        <v>13.8</v>
      </c>
      <c r="S9375" s="8">
        <v>14.8</v>
      </c>
      <c r="T9375" s="8">
        <v>1</v>
      </c>
      <c r="U9375" s="8">
        <v>12.6</v>
      </c>
      <c r="V9375" s="8">
        <v>1</v>
      </c>
      <c r="W9375" s="8">
        <v>0.5</v>
      </c>
      <c r="X9375" s="8">
        <v>72</v>
      </c>
      <c r="Y9375" s="8" t="s">
        <v>21</v>
      </c>
      <c r="Z9375" s="8" t="s">
        <v>40571</v>
      </c>
    </row>
    <row r="9376" spans="1:26" x14ac:dyDescent="0.2">
      <c r="A9376" s="8">
        <v>9375</v>
      </c>
      <c r="B9376" s="8" t="s">
        <v>40572</v>
      </c>
      <c r="C9376" s="8" t="s">
        <v>40572</v>
      </c>
      <c r="G9376" s="8">
        <v>20</v>
      </c>
      <c r="H9376" s="8" t="s">
        <v>21</v>
      </c>
      <c r="I9376" s="8" t="s">
        <v>22</v>
      </c>
      <c r="J9376" s="8" t="s">
        <v>22</v>
      </c>
      <c r="K9376" s="8" t="s">
        <v>23</v>
      </c>
      <c r="L9376" s="8" t="s">
        <v>51</v>
      </c>
      <c r="M9376" s="8" t="s">
        <v>52</v>
      </c>
      <c r="N9376" s="8" t="s">
        <v>40573</v>
      </c>
      <c r="O9376" s="8">
        <f>0+13/60+57.2/3600</f>
        <v>0.23255555555555557</v>
      </c>
      <c r="P9376" s="8" t="s">
        <v>40574</v>
      </c>
      <c r="Q9376" s="8">
        <f>+(48+9/60+27/3600)</f>
        <v>48.157499999999999</v>
      </c>
      <c r="R9376" s="8">
        <v>14.3</v>
      </c>
      <c r="S9376" s="8">
        <v>15.1</v>
      </c>
      <c r="T9376" s="8">
        <v>0.8</v>
      </c>
      <c r="U9376" s="8">
        <v>13.1</v>
      </c>
      <c r="V9376" s="8">
        <v>1.3</v>
      </c>
      <c r="W9376" s="8">
        <v>0.3</v>
      </c>
      <c r="X9376" s="8">
        <v>170</v>
      </c>
      <c r="Y9376" s="8" t="s">
        <v>21</v>
      </c>
      <c r="Z9376" s="8" t="s">
        <v>40575</v>
      </c>
    </row>
    <row r="9377" spans="1:26" x14ac:dyDescent="0.2">
      <c r="A9377" s="8">
        <v>9376</v>
      </c>
      <c r="B9377" s="8" t="s">
        <v>40576</v>
      </c>
      <c r="C9377" s="8" t="s">
        <v>40576</v>
      </c>
      <c r="G9377" s="8">
        <v>20</v>
      </c>
      <c r="H9377" s="8" t="s">
        <v>21</v>
      </c>
      <c r="I9377" s="8" t="s">
        <v>22</v>
      </c>
      <c r="J9377" s="8" t="s">
        <v>22</v>
      </c>
      <c r="K9377" s="8" t="s">
        <v>58</v>
      </c>
      <c r="L9377" s="8" t="s">
        <v>51</v>
      </c>
      <c r="M9377" s="8" t="s">
        <v>52</v>
      </c>
      <c r="N9377" s="8" t="s">
        <v>40577</v>
      </c>
      <c r="O9377" s="8">
        <f>0+14/60+18.9/3600</f>
        <v>0.23858333333333334</v>
      </c>
      <c r="P9377" s="8" t="s">
        <v>40578</v>
      </c>
      <c r="Q9377" s="8">
        <f>+(48+8/60+38/3600)</f>
        <v>48.143888888888888</v>
      </c>
      <c r="R9377" s="8">
        <v>14.3</v>
      </c>
      <c r="S9377" s="8">
        <v>15.3</v>
      </c>
      <c r="T9377" s="8">
        <v>1</v>
      </c>
      <c r="U9377" s="8">
        <v>13.1</v>
      </c>
      <c r="V9377" s="8">
        <v>0.7</v>
      </c>
      <c r="W9377" s="8">
        <v>0.5</v>
      </c>
      <c r="X9377" s="8">
        <v>171</v>
      </c>
      <c r="Y9377" s="8" t="s">
        <v>895</v>
      </c>
      <c r="Z9377" s="8" t="s">
        <v>896</v>
      </c>
    </row>
    <row r="9378" spans="1:26" x14ac:dyDescent="0.2">
      <c r="A9378" s="8">
        <v>9377</v>
      </c>
      <c r="B9378" s="8" t="s">
        <v>40579</v>
      </c>
      <c r="C9378" s="8" t="s">
        <v>40579</v>
      </c>
      <c r="G9378" s="8">
        <v>20</v>
      </c>
      <c r="H9378" s="8" t="s">
        <v>21</v>
      </c>
      <c r="I9378" s="8" t="s">
        <v>1075</v>
      </c>
      <c r="J9378" s="8" t="s">
        <v>1075</v>
      </c>
      <c r="K9378" s="8" t="s">
        <v>1075</v>
      </c>
      <c r="L9378" s="8" t="s">
        <v>65</v>
      </c>
      <c r="M9378" s="8" t="s">
        <v>66</v>
      </c>
      <c r="N9378" s="8" t="s">
        <v>40580</v>
      </c>
      <c r="O9378" s="8">
        <f>0+15/60+49.5/3600</f>
        <v>0.26374999999999998</v>
      </c>
      <c r="P9378" s="8" t="s">
        <v>40581</v>
      </c>
      <c r="Q9378" s="8">
        <f>-(39+15/60+39/3600)</f>
        <v>-39.260833333333331</v>
      </c>
      <c r="R9378" s="8">
        <v>15</v>
      </c>
      <c r="S9378" s="8">
        <v>99</v>
      </c>
      <c r="T9378" s="8">
        <v>99</v>
      </c>
      <c r="U9378" s="8">
        <v>99</v>
      </c>
      <c r="V9378" s="8">
        <v>0.5</v>
      </c>
      <c r="Y9378" s="8" t="s">
        <v>21</v>
      </c>
      <c r="Z9378" s="8" t="s">
        <v>40582</v>
      </c>
    </row>
    <row r="9379" spans="1:26" x14ac:dyDescent="0.2">
      <c r="A9379" s="8">
        <v>9378</v>
      </c>
      <c r="B9379" s="8" t="s">
        <v>40583</v>
      </c>
      <c r="C9379" s="8" t="s">
        <v>40583</v>
      </c>
      <c r="G9379" s="8">
        <v>20</v>
      </c>
      <c r="H9379" s="8" t="s">
        <v>21</v>
      </c>
      <c r="I9379" s="8" t="s">
        <v>329</v>
      </c>
      <c r="J9379" s="8" t="s">
        <v>329</v>
      </c>
      <c r="K9379" s="8" t="s">
        <v>329</v>
      </c>
      <c r="L9379" s="8" t="s">
        <v>51</v>
      </c>
      <c r="M9379" s="8" t="s">
        <v>52</v>
      </c>
      <c r="N9379" s="8" t="s">
        <v>40584</v>
      </c>
      <c r="O9379" s="8">
        <f>0+18/60+0.5/3600</f>
        <v>0.3001388888888889</v>
      </c>
      <c r="P9379" s="8" t="s">
        <v>40585</v>
      </c>
      <c r="Q9379" s="8">
        <f>+(30+1/60+40/3600)</f>
        <v>30.027777777777779</v>
      </c>
      <c r="R9379" s="8">
        <v>99</v>
      </c>
      <c r="S9379" s="8">
        <v>99</v>
      </c>
      <c r="T9379" s="8">
        <v>99</v>
      </c>
      <c r="U9379" s="8">
        <v>99</v>
      </c>
      <c r="Y9379" s="8" t="s">
        <v>47</v>
      </c>
      <c r="Z9379" s="8" t="s">
        <v>48</v>
      </c>
    </row>
    <row r="9380" spans="1:26" x14ac:dyDescent="0.2">
      <c r="A9380" s="8">
        <v>9379</v>
      </c>
      <c r="B9380" s="8" t="s">
        <v>40586</v>
      </c>
      <c r="C9380" s="8" t="s">
        <v>40586</v>
      </c>
      <c r="G9380" s="8">
        <v>20</v>
      </c>
      <c r="H9380" s="8" t="s">
        <v>21</v>
      </c>
      <c r="I9380" s="8" t="s">
        <v>22</v>
      </c>
      <c r="J9380" s="8" t="s">
        <v>57</v>
      </c>
      <c r="K9380" s="8" t="s">
        <v>396</v>
      </c>
      <c r="L9380" s="8" t="s">
        <v>51</v>
      </c>
      <c r="M9380" s="8" t="s">
        <v>52</v>
      </c>
      <c r="N9380" s="8" t="s">
        <v>397</v>
      </c>
      <c r="O9380" s="8">
        <f>0+18/60+22.4/3600</f>
        <v>0.30622222222222223</v>
      </c>
      <c r="P9380" s="8" t="s">
        <v>398</v>
      </c>
      <c r="Q9380" s="8">
        <f>+(30+4/60+44/3600)</f>
        <v>30.078888888888887</v>
      </c>
      <c r="R9380" s="8">
        <v>13.5</v>
      </c>
      <c r="S9380" s="8">
        <v>14.3</v>
      </c>
      <c r="T9380" s="8">
        <v>0.8</v>
      </c>
      <c r="U9380" s="8">
        <v>13.9</v>
      </c>
      <c r="V9380" s="8">
        <v>1.6</v>
      </c>
      <c r="W9380" s="8">
        <v>1.4</v>
      </c>
      <c r="X9380" s="8">
        <v>0</v>
      </c>
      <c r="Y9380" s="8" t="s">
        <v>40587</v>
      </c>
      <c r="Z9380" s="8" t="s">
        <v>40588</v>
      </c>
    </row>
    <row r="9381" spans="1:26" x14ac:dyDescent="0.2">
      <c r="A9381" s="8">
        <v>9380</v>
      </c>
      <c r="B9381" s="8" t="s">
        <v>40589</v>
      </c>
      <c r="C9381" s="8" t="s">
        <v>40589</v>
      </c>
      <c r="G9381" s="8">
        <v>20</v>
      </c>
      <c r="H9381" s="8" t="s">
        <v>21</v>
      </c>
      <c r="I9381" s="8" t="s">
        <v>22</v>
      </c>
      <c r="J9381" s="8" t="s">
        <v>22</v>
      </c>
      <c r="K9381" s="8" t="s">
        <v>218</v>
      </c>
      <c r="L9381" s="8" t="s">
        <v>51</v>
      </c>
      <c r="M9381" s="8" t="s">
        <v>52</v>
      </c>
      <c r="N9381" s="8" t="s">
        <v>40590</v>
      </c>
      <c r="O9381" s="8">
        <f>0+19/60+48.8/3600</f>
        <v>0.33022222222222219</v>
      </c>
      <c r="P9381" s="8" t="s">
        <v>40591</v>
      </c>
      <c r="Q9381" s="8">
        <f>+(23+46/60+21/3600)</f>
        <v>23.772499999999997</v>
      </c>
      <c r="R9381" s="8">
        <v>14.1</v>
      </c>
      <c r="S9381" s="8">
        <v>14.9</v>
      </c>
      <c r="T9381" s="8">
        <v>0.8</v>
      </c>
      <c r="U9381" s="8">
        <v>12.8</v>
      </c>
      <c r="V9381" s="8">
        <v>0.9</v>
      </c>
      <c r="W9381" s="8">
        <v>0.4</v>
      </c>
      <c r="X9381" s="8">
        <v>27</v>
      </c>
      <c r="Y9381" s="8" t="s">
        <v>22305</v>
      </c>
      <c r="Z9381" s="8" t="s">
        <v>22306</v>
      </c>
    </row>
    <row r="9382" spans="1:26" x14ac:dyDescent="0.2">
      <c r="A9382" s="8">
        <v>9381</v>
      </c>
      <c r="B9382" s="8" t="s">
        <v>40592</v>
      </c>
      <c r="C9382" s="8" t="s">
        <v>40592</v>
      </c>
      <c r="G9382" s="8">
        <v>20</v>
      </c>
      <c r="H9382" s="8" t="s">
        <v>21</v>
      </c>
      <c r="I9382" s="8" t="s">
        <v>22</v>
      </c>
      <c r="J9382" s="8" t="s">
        <v>22</v>
      </c>
      <c r="K9382" s="8" t="s">
        <v>449</v>
      </c>
      <c r="L9382" s="8" t="s">
        <v>51</v>
      </c>
      <c r="M9382" s="8" t="s">
        <v>52</v>
      </c>
      <c r="N9382" s="8" t="s">
        <v>40593</v>
      </c>
      <c r="O9382" s="8">
        <f>0+20/60+2/3600</f>
        <v>0.33388888888888885</v>
      </c>
      <c r="P9382" s="8" t="s">
        <v>40594</v>
      </c>
      <c r="Q9382" s="8">
        <f>+(22+0/60+2/3600)</f>
        <v>22.000555555555554</v>
      </c>
      <c r="R9382" s="8">
        <v>14.5</v>
      </c>
      <c r="S9382" s="8">
        <v>15.3</v>
      </c>
      <c r="T9382" s="8">
        <v>0.8</v>
      </c>
      <c r="U9382" s="8">
        <v>12</v>
      </c>
      <c r="V9382" s="8">
        <v>0.6</v>
      </c>
      <c r="W9382" s="8">
        <v>0.2</v>
      </c>
      <c r="X9382" s="8">
        <v>32</v>
      </c>
      <c r="Y9382" s="8" t="s">
        <v>37996</v>
      </c>
      <c r="Z9382" s="8" t="s">
        <v>37997</v>
      </c>
    </row>
    <row r="9383" spans="1:26" x14ac:dyDescent="0.2">
      <c r="A9383" s="8">
        <v>9382</v>
      </c>
      <c r="B9383" s="8" t="s">
        <v>40595</v>
      </c>
      <c r="C9383" s="8" t="s">
        <v>40595</v>
      </c>
      <c r="G9383" s="8">
        <v>20</v>
      </c>
      <c r="H9383" s="8" t="s">
        <v>21</v>
      </c>
      <c r="I9383" s="8" t="s">
        <v>22</v>
      </c>
      <c r="J9383" s="8" t="s">
        <v>22</v>
      </c>
      <c r="K9383" s="8" t="s">
        <v>449</v>
      </c>
      <c r="L9383" s="8" t="s">
        <v>51</v>
      </c>
      <c r="M9383" s="8" t="s">
        <v>52</v>
      </c>
      <c r="N9383" s="8" t="s">
        <v>40596</v>
      </c>
      <c r="O9383" s="8">
        <f>0+20/60+41.4/3600</f>
        <v>0.34483333333333333</v>
      </c>
      <c r="P9383" s="8" t="s">
        <v>40597</v>
      </c>
      <c r="Q9383" s="8">
        <f>+(22+35/60+34/3600)</f>
        <v>22.592777777777776</v>
      </c>
      <c r="R9383" s="8">
        <v>14.1</v>
      </c>
      <c r="S9383" s="8">
        <v>14.9</v>
      </c>
      <c r="T9383" s="8">
        <v>0.8</v>
      </c>
      <c r="U9383" s="8">
        <v>12.8</v>
      </c>
      <c r="V9383" s="8">
        <v>0.7</v>
      </c>
      <c r="W9383" s="8">
        <v>0.5</v>
      </c>
      <c r="X9383" s="8">
        <v>78</v>
      </c>
      <c r="Y9383" s="8" t="s">
        <v>40598</v>
      </c>
      <c r="Z9383" s="8" t="s">
        <v>40599</v>
      </c>
    </row>
    <row r="9384" spans="1:26" x14ac:dyDescent="0.2">
      <c r="A9384" s="8">
        <v>9383</v>
      </c>
      <c r="B9384" s="8" t="s">
        <v>40600</v>
      </c>
      <c r="C9384" s="8" t="s">
        <v>40600</v>
      </c>
      <c r="G9384" s="8">
        <v>20</v>
      </c>
      <c r="H9384" s="8" t="s">
        <v>21</v>
      </c>
      <c r="I9384" s="8" t="s">
        <v>22</v>
      </c>
      <c r="J9384" s="8" t="s">
        <v>22</v>
      </c>
      <c r="K9384" s="8" t="s">
        <v>396</v>
      </c>
      <c r="L9384" s="8" t="s">
        <v>51</v>
      </c>
      <c r="M9384" s="8" t="s">
        <v>52</v>
      </c>
      <c r="N9384" s="8" t="s">
        <v>40601</v>
      </c>
      <c r="O9384" s="8">
        <f>0+20/60+55.6/3600</f>
        <v>0.34877777777777774</v>
      </c>
      <c r="P9384" s="8" t="s">
        <v>40602</v>
      </c>
      <c r="Q9384" s="8">
        <f>+(21+51/60+56/3600)</f>
        <v>21.865555555555556</v>
      </c>
      <c r="R9384" s="8">
        <v>13.4</v>
      </c>
      <c r="S9384" s="8">
        <v>14.2</v>
      </c>
      <c r="T9384" s="8">
        <v>0.8</v>
      </c>
      <c r="U9384" s="8">
        <v>12.5</v>
      </c>
      <c r="V9384" s="8">
        <v>0.7</v>
      </c>
      <c r="W9384" s="8">
        <v>0.7</v>
      </c>
      <c r="Y9384" s="8" t="s">
        <v>12301</v>
      </c>
      <c r="Z9384" s="8" t="s">
        <v>12302</v>
      </c>
    </row>
    <row r="9385" spans="1:26" x14ac:dyDescent="0.2">
      <c r="A9385" s="8">
        <v>9384</v>
      </c>
      <c r="B9385" s="8" t="s">
        <v>40603</v>
      </c>
      <c r="C9385" s="8" t="s">
        <v>40603</v>
      </c>
      <c r="G9385" s="8">
        <v>20</v>
      </c>
      <c r="H9385" s="8" t="s">
        <v>21</v>
      </c>
      <c r="I9385" s="8" t="s">
        <v>22</v>
      </c>
      <c r="J9385" s="8" t="s">
        <v>22</v>
      </c>
      <c r="K9385" s="8" t="s">
        <v>64</v>
      </c>
      <c r="L9385" s="8" t="s">
        <v>51</v>
      </c>
      <c r="M9385" s="8" t="s">
        <v>52</v>
      </c>
      <c r="N9385" s="8" t="s">
        <v>455</v>
      </c>
      <c r="O9385" s="8">
        <f>0+21/60+17.6/3600</f>
        <v>0.35488888888888886</v>
      </c>
      <c r="P9385" s="8" t="s">
        <v>40604</v>
      </c>
      <c r="Q9385" s="8">
        <f>+(23+5/60+27/3600)</f>
        <v>23.090833333333332</v>
      </c>
      <c r="R9385" s="8">
        <v>13.7</v>
      </c>
      <c r="S9385" s="8">
        <v>14.4</v>
      </c>
      <c r="T9385" s="8">
        <v>0.7</v>
      </c>
      <c r="U9385" s="8">
        <v>13.8</v>
      </c>
      <c r="V9385" s="8">
        <v>1.2</v>
      </c>
      <c r="W9385" s="8">
        <v>0.8</v>
      </c>
      <c r="X9385" s="8">
        <v>150</v>
      </c>
      <c r="Y9385" s="8" t="s">
        <v>25183</v>
      </c>
      <c r="Z9385" s="8" t="s">
        <v>25184</v>
      </c>
    </row>
    <row r="9386" spans="1:26" x14ac:dyDescent="0.2">
      <c r="A9386" s="8">
        <v>9385</v>
      </c>
      <c r="B9386" s="8" t="s">
        <v>40605</v>
      </c>
      <c r="C9386" s="8" t="s">
        <v>40605</v>
      </c>
      <c r="G9386" s="8">
        <v>20</v>
      </c>
      <c r="H9386" s="8" t="s">
        <v>21</v>
      </c>
      <c r="I9386" s="8" t="s">
        <v>22</v>
      </c>
      <c r="J9386" s="8" t="s">
        <v>22</v>
      </c>
      <c r="K9386" s="8" t="s">
        <v>382</v>
      </c>
      <c r="L9386" s="8" t="s">
        <v>51</v>
      </c>
      <c r="M9386" s="8" t="s">
        <v>52</v>
      </c>
      <c r="N9386" s="8" t="s">
        <v>40606</v>
      </c>
      <c r="O9386" s="8">
        <f>0+21/60+20.8/3600</f>
        <v>0.35577777777777775</v>
      </c>
      <c r="P9386" s="8" t="s">
        <v>40607</v>
      </c>
      <c r="Q9386" s="8">
        <f>+(21+59/60+2/3600)</f>
        <v>21.983888888888888</v>
      </c>
      <c r="R9386" s="8">
        <v>15.7</v>
      </c>
      <c r="S9386" s="8">
        <v>16.7</v>
      </c>
      <c r="T9386" s="8">
        <v>1</v>
      </c>
      <c r="U9386" s="8">
        <v>12.7</v>
      </c>
      <c r="V9386" s="8">
        <v>0.3</v>
      </c>
      <c r="W9386" s="8">
        <v>0.2</v>
      </c>
      <c r="X9386" s="8">
        <v>0</v>
      </c>
      <c r="Y9386" s="8" t="s">
        <v>40608</v>
      </c>
      <c r="Z9386" s="8" t="s">
        <v>40609</v>
      </c>
    </row>
    <row r="9387" spans="1:26" x14ac:dyDescent="0.2">
      <c r="A9387" s="8">
        <v>9386</v>
      </c>
      <c r="B9387" s="8" t="s">
        <v>40610</v>
      </c>
      <c r="C9387" s="8" t="s">
        <v>40610</v>
      </c>
      <c r="G9387" s="8">
        <v>20</v>
      </c>
      <c r="H9387" s="8" t="s">
        <v>21</v>
      </c>
      <c r="I9387" s="8" t="s">
        <v>22</v>
      </c>
      <c r="J9387" s="8" t="s">
        <v>22</v>
      </c>
      <c r="K9387" s="8" t="s">
        <v>396</v>
      </c>
      <c r="L9387" s="8" t="s">
        <v>51</v>
      </c>
      <c r="M9387" s="8" t="s">
        <v>52</v>
      </c>
      <c r="N9387" s="8" t="s">
        <v>40611</v>
      </c>
      <c r="O9387" s="8">
        <f>0+21/60+29.1/3600</f>
        <v>0.35808333333333331</v>
      </c>
      <c r="P9387" s="8" t="s">
        <v>40612</v>
      </c>
      <c r="Q9387" s="8">
        <f>+(22+30/60+23/3600)</f>
        <v>22.506388888888889</v>
      </c>
      <c r="R9387" s="8">
        <v>14.7</v>
      </c>
      <c r="S9387" s="8">
        <v>15.5</v>
      </c>
      <c r="T9387" s="8">
        <v>0.8</v>
      </c>
      <c r="U9387" s="8">
        <v>13.1</v>
      </c>
      <c r="V9387" s="8">
        <v>0.9</v>
      </c>
      <c r="W9387" s="8">
        <v>0.3</v>
      </c>
      <c r="X9387" s="8">
        <v>129</v>
      </c>
      <c r="Y9387" s="8" t="s">
        <v>40613</v>
      </c>
      <c r="Z9387" s="8" t="s">
        <v>40614</v>
      </c>
    </row>
    <row r="9388" spans="1:26" x14ac:dyDescent="0.2">
      <c r="A9388" s="8">
        <v>9387</v>
      </c>
      <c r="B9388" s="8" t="s">
        <v>40615</v>
      </c>
      <c r="C9388" s="8" t="s">
        <v>40615</v>
      </c>
      <c r="G9388" s="8">
        <v>20</v>
      </c>
      <c r="H9388" s="8" t="s">
        <v>21</v>
      </c>
      <c r="I9388" s="8" t="s">
        <v>329</v>
      </c>
      <c r="J9388" s="8" t="s">
        <v>329</v>
      </c>
      <c r="K9388" s="8" t="s">
        <v>329</v>
      </c>
      <c r="L9388" s="8" t="s">
        <v>51</v>
      </c>
      <c r="M9388" s="8" t="s">
        <v>52</v>
      </c>
      <c r="N9388" s="8" t="s">
        <v>40616</v>
      </c>
      <c r="O9388" s="8">
        <f>0+21/60+35.7/3600</f>
        <v>0.35991666666666666</v>
      </c>
      <c r="P9388" s="8" t="s">
        <v>40617</v>
      </c>
      <c r="Q9388" s="8">
        <f>+(22+1/60+24/3600)</f>
        <v>22.023333333333333</v>
      </c>
      <c r="R9388" s="8">
        <v>99</v>
      </c>
      <c r="S9388" s="8">
        <v>99</v>
      </c>
      <c r="T9388" s="8">
        <v>99</v>
      </c>
      <c r="U9388" s="8">
        <v>99</v>
      </c>
      <c r="Y9388" s="8" t="s">
        <v>40618</v>
      </c>
      <c r="Z9388" s="8" t="s">
        <v>40619</v>
      </c>
    </row>
    <row r="9389" spans="1:26" x14ac:dyDescent="0.2">
      <c r="A9389" s="8">
        <v>9388</v>
      </c>
      <c r="B9389" s="8" t="s">
        <v>40620</v>
      </c>
      <c r="C9389" s="8" t="s">
        <v>40620</v>
      </c>
      <c r="G9389" s="8">
        <v>20</v>
      </c>
      <c r="H9389" s="8" t="s">
        <v>21</v>
      </c>
      <c r="I9389" s="8" t="s">
        <v>22</v>
      </c>
      <c r="J9389" s="8" t="s">
        <v>22</v>
      </c>
      <c r="K9389" s="8" t="s">
        <v>449</v>
      </c>
      <c r="L9389" s="8" t="s">
        <v>51</v>
      </c>
      <c r="M9389" s="8" t="s">
        <v>52</v>
      </c>
      <c r="N9389" s="8" t="s">
        <v>40621</v>
      </c>
      <c r="O9389" s="8">
        <f>0+21/60+55.1/3600</f>
        <v>0.36530555555555555</v>
      </c>
      <c r="P9389" s="8" t="s">
        <v>40622</v>
      </c>
      <c r="Q9389" s="8">
        <f>+(22+0/60+25/3600)</f>
        <v>22.006944444444443</v>
      </c>
      <c r="R9389" s="8">
        <v>14.7</v>
      </c>
      <c r="S9389" s="8">
        <v>15.5</v>
      </c>
      <c r="T9389" s="8">
        <v>0.8</v>
      </c>
      <c r="U9389" s="8">
        <v>14</v>
      </c>
      <c r="V9389" s="8">
        <v>0.9</v>
      </c>
      <c r="W9389" s="8">
        <v>0.7</v>
      </c>
      <c r="X9389" s="8">
        <v>85</v>
      </c>
      <c r="Y9389" s="8" t="s">
        <v>5926</v>
      </c>
      <c r="Z9389" s="8" t="s">
        <v>5927</v>
      </c>
    </row>
    <row r="9390" spans="1:26" x14ac:dyDescent="0.2">
      <c r="A9390" s="8">
        <v>9389</v>
      </c>
      <c r="B9390" s="8" t="s">
        <v>40623</v>
      </c>
      <c r="C9390" s="8" t="s">
        <v>40623</v>
      </c>
      <c r="G9390" s="8">
        <v>20</v>
      </c>
      <c r="H9390" s="8" t="s">
        <v>21</v>
      </c>
      <c r="I9390" s="8" t="s">
        <v>22</v>
      </c>
      <c r="J9390" s="8" t="s">
        <v>22</v>
      </c>
      <c r="K9390" s="8" t="s">
        <v>476</v>
      </c>
      <c r="L9390" s="8" t="s">
        <v>38</v>
      </c>
      <c r="M9390" s="8" t="s">
        <v>39</v>
      </c>
      <c r="N9390" s="8" t="s">
        <v>40624</v>
      </c>
      <c r="O9390" s="8">
        <f>0+22/60+49.8/3600</f>
        <v>0.38049999999999995</v>
      </c>
      <c r="P9390" s="8" t="s">
        <v>40625</v>
      </c>
      <c r="Q9390" s="8">
        <f>+(6+57/60+53/3600)</f>
        <v>6.964722222222222</v>
      </c>
      <c r="R9390" s="8">
        <v>13.8</v>
      </c>
      <c r="S9390" s="8">
        <v>14.7</v>
      </c>
      <c r="T9390" s="8">
        <v>0.9</v>
      </c>
      <c r="U9390" s="8">
        <v>13.2</v>
      </c>
      <c r="V9390" s="8">
        <v>0.8</v>
      </c>
      <c r="W9390" s="8">
        <v>0.8</v>
      </c>
      <c r="Y9390" s="8" t="s">
        <v>21</v>
      </c>
      <c r="Z9390" s="8" t="s">
        <v>40626</v>
      </c>
    </row>
    <row r="9391" spans="1:26" x14ac:dyDescent="0.2">
      <c r="A9391" s="8">
        <v>9390</v>
      </c>
      <c r="B9391" s="8" t="s">
        <v>40627</v>
      </c>
      <c r="C9391" s="8" t="s">
        <v>40627</v>
      </c>
      <c r="G9391" s="8">
        <v>20</v>
      </c>
      <c r="H9391" s="8" t="s">
        <v>21</v>
      </c>
      <c r="I9391" s="8" t="s">
        <v>22</v>
      </c>
      <c r="J9391" s="8" t="s">
        <v>22</v>
      </c>
      <c r="K9391" s="8" t="s">
        <v>37</v>
      </c>
      <c r="L9391" s="8" t="s">
        <v>51</v>
      </c>
      <c r="M9391" s="8" t="s">
        <v>52</v>
      </c>
      <c r="N9391" s="8" t="s">
        <v>40628</v>
      </c>
      <c r="O9391" s="8">
        <f>0+24/60+27.8/3600</f>
        <v>0.40772222222222226</v>
      </c>
      <c r="P9391" s="8" t="s">
        <v>40629</v>
      </c>
      <c r="Q9391" s="8">
        <f>+(38+11/60+7/3600)</f>
        <v>38.185277777777777</v>
      </c>
      <c r="R9391" s="8">
        <v>13.9</v>
      </c>
      <c r="S9391" s="8">
        <v>14.9</v>
      </c>
      <c r="T9391" s="8">
        <v>1</v>
      </c>
      <c r="U9391" s="8">
        <v>13.1</v>
      </c>
      <c r="V9391" s="8">
        <v>0.9</v>
      </c>
      <c r="W9391" s="8">
        <v>0.6</v>
      </c>
      <c r="X9391" s="8">
        <v>159</v>
      </c>
      <c r="Y9391" s="8" t="s">
        <v>40630</v>
      </c>
      <c r="Z9391" s="8" t="s">
        <v>40631</v>
      </c>
    </row>
    <row r="9392" spans="1:26" x14ac:dyDescent="0.2">
      <c r="A9392" s="8">
        <v>9391</v>
      </c>
      <c r="B9392" s="8" t="s">
        <v>40632</v>
      </c>
      <c r="C9392" s="8" t="s">
        <v>40632</v>
      </c>
      <c r="G9392" s="8">
        <v>20</v>
      </c>
      <c r="H9392" s="8" t="s">
        <v>21</v>
      </c>
      <c r="I9392" s="8" t="s">
        <v>22</v>
      </c>
      <c r="J9392" s="8" t="s">
        <v>22</v>
      </c>
      <c r="K9392" s="8" t="s">
        <v>23</v>
      </c>
      <c r="L9392" s="8" t="s">
        <v>38</v>
      </c>
      <c r="M9392" s="8" t="s">
        <v>39</v>
      </c>
      <c r="N9392" s="8" t="s">
        <v>40633</v>
      </c>
      <c r="O9392" s="8">
        <f>0+27/60+35.5/3600</f>
        <v>0.45986111111111111</v>
      </c>
      <c r="P9392" s="8" t="s">
        <v>40634</v>
      </c>
      <c r="Q9392" s="8">
        <f>+(8+52/60+39/3600)</f>
        <v>8.8775000000000013</v>
      </c>
      <c r="R9392" s="8">
        <v>13.7</v>
      </c>
      <c r="S9392" s="8">
        <v>14.5</v>
      </c>
      <c r="T9392" s="8">
        <v>0.8</v>
      </c>
      <c r="U9392" s="8">
        <v>14.7</v>
      </c>
      <c r="V9392" s="8">
        <v>2.5</v>
      </c>
      <c r="W9392" s="8">
        <v>1.2</v>
      </c>
      <c r="X9392" s="8">
        <v>15</v>
      </c>
      <c r="Y9392" s="8" t="s">
        <v>34876</v>
      </c>
      <c r="Z9392" s="8" t="s">
        <v>34877</v>
      </c>
    </row>
    <row r="9393" spans="1:26" x14ac:dyDescent="0.2">
      <c r="A9393" s="8">
        <v>9392</v>
      </c>
      <c r="B9393" s="8" t="s">
        <v>40635</v>
      </c>
      <c r="C9393" s="8" t="s">
        <v>40635</v>
      </c>
      <c r="G9393" s="8">
        <v>20</v>
      </c>
      <c r="H9393" s="8" t="s">
        <v>21</v>
      </c>
      <c r="I9393" s="8" t="s">
        <v>22</v>
      </c>
      <c r="J9393" s="8" t="s">
        <v>22</v>
      </c>
      <c r="K9393" s="8" t="s">
        <v>396</v>
      </c>
      <c r="L9393" s="8" t="s">
        <v>38</v>
      </c>
      <c r="M9393" s="8" t="s">
        <v>39</v>
      </c>
      <c r="N9393" s="8" t="s">
        <v>40636</v>
      </c>
      <c r="O9393" s="8">
        <f>0+29/60+43.9/3600</f>
        <v>0.49552777777777779</v>
      </c>
      <c r="P9393" s="8" t="s">
        <v>40637</v>
      </c>
      <c r="Q9393" s="8">
        <f>+(21+28/60+35/3600)</f>
        <v>21.476388888888888</v>
      </c>
      <c r="R9393" s="8">
        <v>14.6</v>
      </c>
      <c r="S9393" s="8">
        <v>15.4</v>
      </c>
      <c r="T9393" s="8">
        <v>0.8</v>
      </c>
      <c r="U9393" s="8">
        <v>12.6</v>
      </c>
      <c r="V9393" s="8">
        <v>0.9</v>
      </c>
      <c r="W9393" s="8">
        <v>0.2</v>
      </c>
      <c r="X9393" s="8">
        <v>127</v>
      </c>
      <c r="Y9393" s="8" t="s">
        <v>17648</v>
      </c>
      <c r="Z9393" s="8" t="s">
        <v>17649</v>
      </c>
    </row>
    <row r="9394" spans="1:26" x14ac:dyDescent="0.2">
      <c r="A9394" s="8">
        <v>9393</v>
      </c>
      <c r="B9394" s="8" t="s">
        <v>40638</v>
      </c>
      <c r="C9394" s="8" t="s">
        <v>40638</v>
      </c>
      <c r="G9394" s="8">
        <v>20</v>
      </c>
      <c r="H9394" s="8" t="s">
        <v>21</v>
      </c>
      <c r="I9394" s="8" t="s">
        <v>22</v>
      </c>
      <c r="J9394" s="8" t="s">
        <v>22</v>
      </c>
      <c r="K9394" s="8" t="s">
        <v>476</v>
      </c>
      <c r="L9394" s="8" t="s">
        <v>65</v>
      </c>
      <c r="M9394" s="8" t="s">
        <v>66</v>
      </c>
      <c r="N9394" s="8" t="s">
        <v>40639</v>
      </c>
      <c r="O9394" s="8">
        <f>0+32/60+40/3600</f>
        <v>0.5444444444444444</v>
      </c>
      <c r="P9394" s="8" t="s">
        <v>40640</v>
      </c>
      <c r="Q9394" s="8">
        <f>-(25+36/60+32/3600)</f>
        <v>-25.608888888888892</v>
      </c>
      <c r="R9394" s="8">
        <v>13.6</v>
      </c>
      <c r="S9394" s="8">
        <v>14.5</v>
      </c>
      <c r="T9394" s="8">
        <v>0.9</v>
      </c>
      <c r="U9394" s="8">
        <v>12.4</v>
      </c>
      <c r="V9394" s="8">
        <v>1.2</v>
      </c>
      <c r="W9394" s="8">
        <v>0.3</v>
      </c>
      <c r="X9394" s="8">
        <v>15</v>
      </c>
      <c r="Y9394" s="8" t="s">
        <v>40641</v>
      </c>
      <c r="Z9394" s="8" t="s">
        <v>40642</v>
      </c>
    </row>
    <row r="9395" spans="1:26" x14ac:dyDescent="0.2">
      <c r="A9395" s="8">
        <v>9394</v>
      </c>
      <c r="B9395" s="8" t="s">
        <v>40643</v>
      </c>
      <c r="C9395" s="8" t="s">
        <v>40643</v>
      </c>
      <c r="G9395" s="8">
        <v>20</v>
      </c>
      <c r="H9395" s="8" t="s">
        <v>21</v>
      </c>
      <c r="I9395" s="8" t="s">
        <v>329</v>
      </c>
      <c r="J9395" s="8" t="s">
        <v>329</v>
      </c>
      <c r="K9395" s="8" t="s">
        <v>329</v>
      </c>
      <c r="L9395" s="8" t="s">
        <v>65</v>
      </c>
      <c r="M9395" s="8" t="s">
        <v>66</v>
      </c>
      <c r="N9395" s="8" t="s">
        <v>40644</v>
      </c>
      <c r="O9395" s="8">
        <f>0+32/60+50.2/3600</f>
        <v>0.54727777777777775</v>
      </c>
      <c r="P9395" s="8" t="s">
        <v>40645</v>
      </c>
      <c r="Q9395" s="8">
        <f>-(32+1/60+53/3600)</f>
        <v>-32.031388888888891</v>
      </c>
      <c r="R9395" s="8">
        <v>99</v>
      </c>
      <c r="S9395" s="8">
        <v>99</v>
      </c>
      <c r="T9395" s="8">
        <v>99</v>
      </c>
      <c r="U9395" s="8">
        <v>99</v>
      </c>
      <c r="Y9395" s="8" t="s">
        <v>40646</v>
      </c>
      <c r="Z9395" s="8" t="s">
        <v>40647</v>
      </c>
    </row>
    <row r="9396" spans="1:26" x14ac:dyDescent="0.2">
      <c r="A9396" s="8">
        <v>9395</v>
      </c>
      <c r="B9396" s="8" t="s">
        <v>40648</v>
      </c>
      <c r="C9396" s="8" t="s">
        <v>40648</v>
      </c>
      <c r="G9396" s="8">
        <v>20</v>
      </c>
      <c r="H9396" s="8" t="s">
        <v>21</v>
      </c>
      <c r="I9396" s="8" t="s">
        <v>22</v>
      </c>
      <c r="J9396" s="8" t="s">
        <v>22</v>
      </c>
      <c r="K9396" s="8" t="s">
        <v>579</v>
      </c>
      <c r="L9396" s="8" t="s">
        <v>65</v>
      </c>
      <c r="M9396" s="8" t="s">
        <v>66</v>
      </c>
      <c r="N9396" s="8" t="s">
        <v>40649</v>
      </c>
      <c r="O9396" s="8">
        <f>0+34/60+32.8/3600</f>
        <v>0.57577777777777772</v>
      </c>
      <c r="P9396" s="8" t="s">
        <v>40650</v>
      </c>
      <c r="Q9396" s="8">
        <f>-(30+1/60+3/3600)</f>
        <v>-30.017499999999998</v>
      </c>
      <c r="R9396" s="8">
        <v>13.7</v>
      </c>
      <c r="S9396" s="8">
        <v>14.4</v>
      </c>
      <c r="T9396" s="8">
        <v>0.7</v>
      </c>
      <c r="U9396" s="8">
        <v>13.7</v>
      </c>
      <c r="V9396" s="8">
        <v>1.3</v>
      </c>
      <c r="W9396" s="8">
        <v>0.9</v>
      </c>
      <c r="X9396" s="8">
        <v>126</v>
      </c>
      <c r="Y9396" s="8" t="s">
        <v>40651</v>
      </c>
      <c r="Z9396" s="8" t="s">
        <v>40652</v>
      </c>
    </row>
    <row r="9397" spans="1:26" x14ac:dyDescent="0.2">
      <c r="A9397" s="8">
        <v>9396</v>
      </c>
      <c r="B9397" s="8" t="s">
        <v>40653</v>
      </c>
      <c r="C9397" s="8" t="s">
        <v>40653</v>
      </c>
      <c r="G9397" s="8">
        <v>20</v>
      </c>
      <c r="H9397" s="8" t="s">
        <v>21</v>
      </c>
      <c r="I9397" s="8" t="s">
        <v>329</v>
      </c>
      <c r="J9397" s="8" t="s">
        <v>329</v>
      </c>
      <c r="K9397" s="8" t="s">
        <v>329</v>
      </c>
      <c r="L9397" s="8" t="s">
        <v>125</v>
      </c>
      <c r="M9397" s="8" t="s">
        <v>126</v>
      </c>
      <c r="N9397" s="8" t="s">
        <v>40654</v>
      </c>
      <c r="O9397" s="8">
        <f>0+35/60+6/3600</f>
        <v>0.58500000000000008</v>
      </c>
      <c r="P9397" s="8" t="s">
        <v>40655</v>
      </c>
      <c r="Q9397" s="8">
        <f>-(9+34/60+0/3600)</f>
        <v>-9.5666666666666664</v>
      </c>
      <c r="R9397" s="8">
        <v>99</v>
      </c>
      <c r="S9397" s="8">
        <v>99</v>
      </c>
      <c r="T9397" s="8">
        <v>99</v>
      </c>
      <c r="U9397" s="8">
        <v>99</v>
      </c>
      <c r="Y9397" s="8" t="s">
        <v>3161</v>
      </c>
      <c r="Z9397" s="8" t="s">
        <v>3162</v>
      </c>
    </row>
    <row r="9398" spans="1:26" x14ac:dyDescent="0.2">
      <c r="A9398" s="8">
        <v>9397</v>
      </c>
      <c r="B9398" s="8" t="s">
        <v>40656</v>
      </c>
      <c r="C9398" s="8" t="s">
        <v>40656</v>
      </c>
      <c r="G9398" s="8">
        <v>20</v>
      </c>
      <c r="H9398" s="8" t="s">
        <v>21</v>
      </c>
      <c r="I9398" s="8" t="s">
        <v>22</v>
      </c>
      <c r="J9398" s="8" t="s">
        <v>22</v>
      </c>
      <c r="K9398" s="8" t="s">
        <v>449</v>
      </c>
      <c r="L9398" s="8" t="s">
        <v>125</v>
      </c>
      <c r="M9398" s="8" t="s">
        <v>126</v>
      </c>
      <c r="N9398" s="8" t="s">
        <v>40657</v>
      </c>
      <c r="O9398" s="8">
        <f>0+35/60+34.4/3600</f>
        <v>0.59288888888888891</v>
      </c>
      <c r="P9398" s="8" t="s">
        <v>40658</v>
      </c>
      <c r="Q9398" s="8">
        <f>-(2+52/60+33/3600)</f>
        <v>-2.8758333333333335</v>
      </c>
      <c r="R9398" s="8">
        <v>15</v>
      </c>
      <c r="S9398" s="8">
        <v>15.8</v>
      </c>
      <c r="T9398" s="8">
        <v>0.8</v>
      </c>
      <c r="U9398" s="8">
        <v>12.4</v>
      </c>
      <c r="V9398" s="8">
        <v>0.5</v>
      </c>
      <c r="W9398" s="8">
        <v>0.2</v>
      </c>
      <c r="X9398" s="8">
        <v>135</v>
      </c>
      <c r="Y9398" s="8" t="s">
        <v>40659</v>
      </c>
      <c r="Z9398" s="8" t="s">
        <v>40660</v>
      </c>
    </row>
    <row r="9399" spans="1:26" x14ac:dyDescent="0.2">
      <c r="A9399" s="8">
        <v>9398</v>
      </c>
      <c r="B9399" s="8" t="s">
        <v>40661</v>
      </c>
      <c r="C9399" s="8" t="s">
        <v>40661</v>
      </c>
      <c r="G9399" s="8">
        <v>20</v>
      </c>
      <c r="H9399" s="8" t="s">
        <v>21</v>
      </c>
      <c r="I9399" s="8" t="s">
        <v>22</v>
      </c>
      <c r="J9399" s="8" t="s">
        <v>22</v>
      </c>
      <c r="K9399" s="8" t="s">
        <v>323</v>
      </c>
      <c r="L9399" s="8" t="s">
        <v>65</v>
      </c>
      <c r="M9399" s="8" t="s">
        <v>66</v>
      </c>
      <c r="N9399" s="8" t="s">
        <v>40662</v>
      </c>
      <c r="O9399" s="8">
        <f>0+35/60+47.1/3600</f>
        <v>0.59641666666666671</v>
      </c>
      <c r="P9399" s="8" t="s">
        <v>40663</v>
      </c>
      <c r="Q9399" s="8">
        <f>-(25+22/60+28/3600)</f>
        <v>-25.374444444444446</v>
      </c>
      <c r="R9399" s="8">
        <v>12.2</v>
      </c>
      <c r="S9399" s="8">
        <v>12.6</v>
      </c>
      <c r="T9399" s="8">
        <v>0.4</v>
      </c>
      <c r="U9399" s="8">
        <v>14.3</v>
      </c>
      <c r="V9399" s="8">
        <v>3.3</v>
      </c>
      <c r="W9399" s="8">
        <v>2.4</v>
      </c>
      <c r="X9399" s="8">
        <v>150</v>
      </c>
      <c r="Y9399" s="8" t="s">
        <v>40664</v>
      </c>
      <c r="Z9399" s="8" t="s">
        <v>40665</v>
      </c>
    </row>
    <row r="9400" spans="1:26" x14ac:dyDescent="0.2">
      <c r="A9400" s="8">
        <v>9399</v>
      </c>
      <c r="B9400" s="8" t="s">
        <v>40666</v>
      </c>
      <c r="C9400" s="8" t="s">
        <v>40666</v>
      </c>
      <c r="G9400" s="8">
        <v>18</v>
      </c>
      <c r="H9400" s="8" t="s">
        <v>21</v>
      </c>
      <c r="I9400" s="8" t="s">
        <v>22</v>
      </c>
      <c r="J9400" s="8" t="s">
        <v>22</v>
      </c>
      <c r="K9400" s="8" t="s">
        <v>632</v>
      </c>
      <c r="L9400" s="8" t="s">
        <v>51</v>
      </c>
      <c r="M9400" s="8" t="s">
        <v>52</v>
      </c>
      <c r="N9400" s="8" t="s">
        <v>40667</v>
      </c>
      <c r="O9400" s="8">
        <f>0+36/60+52.2/3600</f>
        <v>0.61449999999999994</v>
      </c>
      <c r="P9400" s="8" t="s">
        <v>40668</v>
      </c>
      <c r="Q9400" s="8">
        <f>+(23+59/60+6/3600)</f>
        <v>23.984999999999999</v>
      </c>
      <c r="R9400" s="8">
        <v>14</v>
      </c>
      <c r="S9400" s="8">
        <v>14.7</v>
      </c>
      <c r="T9400" s="8">
        <v>0.7</v>
      </c>
      <c r="U9400" s="8">
        <v>12.7</v>
      </c>
      <c r="V9400" s="8">
        <v>0.4</v>
      </c>
      <c r="W9400" s="8">
        <v>0.3</v>
      </c>
      <c r="X9400" s="8">
        <v>10</v>
      </c>
      <c r="Y9400" s="8" t="s">
        <v>40669</v>
      </c>
      <c r="Z9400" s="8" t="s">
        <v>40670</v>
      </c>
    </row>
    <row r="9401" spans="1:26" x14ac:dyDescent="0.2">
      <c r="A9401" s="8">
        <v>9400</v>
      </c>
      <c r="B9401" s="8" t="s">
        <v>40671</v>
      </c>
      <c r="C9401" s="8" t="s">
        <v>40671</v>
      </c>
      <c r="G9401" s="8">
        <v>20</v>
      </c>
      <c r="H9401" s="8" t="s">
        <v>21</v>
      </c>
      <c r="I9401" s="8" t="s">
        <v>329</v>
      </c>
      <c r="J9401" s="8" t="s">
        <v>329</v>
      </c>
      <c r="K9401" s="8" t="s">
        <v>329</v>
      </c>
      <c r="L9401" s="8" t="s">
        <v>125</v>
      </c>
      <c r="M9401" s="8" t="s">
        <v>126</v>
      </c>
      <c r="N9401" s="8" t="s">
        <v>40672</v>
      </c>
      <c r="O9401" s="8">
        <f>0+37/60+40/3600</f>
        <v>0.62777777777777777</v>
      </c>
      <c r="P9401" s="8" t="s">
        <v>40673</v>
      </c>
      <c r="Q9401" s="8">
        <f>+(2+40/60+18/3600)</f>
        <v>2.6716666666666664</v>
      </c>
      <c r="R9401" s="8">
        <v>99</v>
      </c>
      <c r="S9401" s="8">
        <v>99</v>
      </c>
      <c r="T9401" s="8">
        <v>99</v>
      </c>
      <c r="U9401" s="8">
        <v>99</v>
      </c>
      <c r="Y9401" s="8" t="s">
        <v>40674</v>
      </c>
      <c r="Z9401" s="8" t="s">
        <v>40675</v>
      </c>
    </row>
    <row r="9402" spans="1:26" x14ac:dyDescent="0.2">
      <c r="A9402" s="8">
        <v>9401</v>
      </c>
      <c r="B9402" s="8" t="s">
        <v>40676</v>
      </c>
      <c r="C9402" s="8" t="s">
        <v>40676</v>
      </c>
      <c r="G9402" s="8">
        <v>20</v>
      </c>
      <c r="H9402" s="8" t="s">
        <v>21</v>
      </c>
      <c r="I9402" s="8" t="s">
        <v>22</v>
      </c>
      <c r="J9402" s="8" t="s">
        <v>22</v>
      </c>
      <c r="K9402" s="8" t="s">
        <v>218</v>
      </c>
      <c r="L9402" s="8" t="s">
        <v>125</v>
      </c>
      <c r="M9402" s="8" t="s">
        <v>126</v>
      </c>
      <c r="N9402" s="8" t="s">
        <v>40677</v>
      </c>
      <c r="O9402" s="8">
        <f>0+38/60+32.4/3600</f>
        <v>0.64233333333333331</v>
      </c>
      <c r="P9402" s="8" t="s">
        <v>40678</v>
      </c>
      <c r="Q9402" s="8">
        <f>-(24+20/60+25/3600)</f>
        <v>-24.340277777777775</v>
      </c>
      <c r="R9402" s="8">
        <v>14.1</v>
      </c>
      <c r="S9402" s="8">
        <v>14.9</v>
      </c>
      <c r="T9402" s="8">
        <v>0.8</v>
      </c>
      <c r="U9402" s="8">
        <v>13.4</v>
      </c>
      <c r="V9402" s="8">
        <v>1.2</v>
      </c>
      <c r="W9402" s="8">
        <v>0.5</v>
      </c>
      <c r="X9402" s="8">
        <v>97</v>
      </c>
      <c r="Y9402" s="8" t="s">
        <v>40679</v>
      </c>
      <c r="Z9402" s="8" t="s">
        <v>40680</v>
      </c>
    </row>
    <row r="9403" spans="1:26" x14ac:dyDescent="0.2">
      <c r="A9403" s="8">
        <v>9402</v>
      </c>
      <c r="B9403" s="8" t="s">
        <v>40681</v>
      </c>
      <c r="C9403" s="8" t="s">
        <v>40681</v>
      </c>
      <c r="G9403" s="8">
        <v>20</v>
      </c>
      <c r="H9403" s="8" t="s">
        <v>21</v>
      </c>
      <c r="I9403" s="8" t="s">
        <v>22</v>
      </c>
      <c r="J9403" s="8" t="s">
        <v>22</v>
      </c>
      <c r="K9403" s="8" t="s">
        <v>64</v>
      </c>
      <c r="L9403" s="8" t="s">
        <v>125</v>
      </c>
      <c r="M9403" s="8" t="s">
        <v>126</v>
      </c>
      <c r="N9403" s="8" t="s">
        <v>40682</v>
      </c>
      <c r="O9403" s="8">
        <f>0+38/60+33.8/3600</f>
        <v>0.64272222222222219</v>
      </c>
      <c r="P9403" s="8" t="s">
        <v>40683</v>
      </c>
      <c r="Q9403" s="8">
        <f>-(24+16/60+26/3600)</f>
        <v>-24.273888888888887</v>
      </c>
      <c r="R9403" s="8">
        <v>12.8</v>
      </c>
      <c r="S9403" s="8">
        <v>13.5</v>
      </c>
      <c r="T9403" s="8">
        <v>0.7</v>
      </c>
      <c r="U9403" s="8">
        <v>13.6</v>
      </c>
      <c r="V9403" s="8">
        <v>1.6</v>
      </c>
      <c r="W9403" s="8">
        <v>1.5</v>
      </c>
      <c r="X9403" s="8">
        <v>170</v>
      </c>
      <c r="Y9403" s="8" t="s">
        <v>40684</v>
      </c>
      <c r="Z9403" s="8" t="s">
        <v>40685</v>
      </c>
    </row>
    <row r="9404" spans="1:26" x14ac:dyDescent="0.2">
      <c r="A9404" s="8">
        <v>9403</v>
      </c>
      <c r="B9404" s="8" t="s">
        <v>40686</v>
      </c>
      <c r="C9404" s="8" t="s">
        <v>40686</v>
      </c>
      <c r="G9404" s="8">
        <v>20</v>
      </c>
      <c r="H9404" s="8" t="s">
        <v>21</v>
      </c>
      <c r="I9404" s="8" t="s">
        <v>22</v>
      </c>
      <c r="J9404" s="8" t="s">
        <v>22</v>
      </c>
      <c r="K9404" s="8" t="s">
        <v>643</v>
      </c>
      <c r="L9404" s="8" t="s">
        <v>125</v>
      </c>
      <c r="M9404" s="8" t="s">
        <v>126</v>
      </c>
      <c r="N9404" s="8" t="s">
        <v>40687</v>
      </c>
      <c r="O9404" s="8">
        <f>0+39/60+0.1/3600</f>
        <v>0.65002777777777776</v>
      </c>
      <c r="P9404" s="8" t="s">
        <v>40688</v>
      </c>
      <c r="Q9404" s="8">
        <f>-(9+0/60+54/3600)</f>
        <v>-9.0150000000000006</v>
      </c>
      <c r="R9404" s="8">
        <v>14</v>
      </c>
      <c r="S9404" s="8">
        <v>15</v>
      </c>
      <c r="T9404" s="8">
        <v>1</v>
      </c>
      <c r="U9404" s="8">
        <v>12.9</v>
      </c>
      <c r="V9404" s="8">
        <v>0.7</v>
      </c>
      <c r="W9404" s="8">
        <v>0.6</v>
      </c>
      <c r="X9404" s="8">
        <v>143</v>
      </c>
      <c r="Y9404" s="8" t="s">
        <v>40689</v>
      </c>
      <c r="Z9404" s="8" t="s">
        <v>40690</v>
      </c>
    </row>
    <row r="9405" spans="1:26" x14ac:dyDescent="0.2">
      <c r="A9405" s="8">
        <v>9404</v>
      </c>
      <c r="B9405" s="8" t="s">
        <v>40691</v>
      </c>
      <c r="C9405" s="8" t="s">
        <v>40691</v>
      </c>
      <c r="G9405" s="8">
        <v>20</v>
      </c>
      <c r="H9405" s="8" t="s">
        <v>21</v>
      </c>
      <c r="I9405" s="8" t="s">
        <v>22</v>
      </c>
      <c r="J9405" s="8" t="s">
        <v>22</v>
      </c>
      <c r="K9405" s="8" t="s">
        <v>85</v>
      </c>
      <c r="L9405" s="8" t="s">
        <v>38</v>
      </c>
      <c r="M9405" s="8" t="s">
        <v>39</v>
      </c>
      <c r="N9405" s="8" t="s">
        <v>40692</v>
      </c>
      <c r="O9405" s="8">
        <f>0+39/60+5.2/3600</f>
        <v>0.65144444444444449</v>
      </c>
      <c r="P9405" s="8" t="s">
        <v>40693</v>
      </c>
      <c r="Q9405" s="8">
        <f>+(6+1/60+16/3600)</f>
        <v>6.0211111111111109</v>
      </c>
      <c r="R9405" s="8">
        <v>14</v>
      </c>
      <c r="S9405" s="8">
        <v>14.8</v>
      </c>
      <c r="T9405" s="8">
        <v>0.8</v>
      </c>
      <c r="U9405" s="8">
        <v>13.1</v>
      </c>
      <c r="V9405" s="8">
        <v>1</v>
      </c>
      <c r="W9405" s="8">
        <v>0.5</v>
      </c>
      <c r="X9405" s="8">
        <v>83</v>
      </c>
      <c r="Y9405" s="8" t="s">
        <v>47</v>
      </c>
      <c r="Z9405" s="8" t="s">
        <v>48</v>
      </c>
    </row>
    <row r="9406" spans="1:26" x14ac:dyDescent="0.2">
      <c r="A9406" s="8">
        <v>9405</v>
      </c>
      <c r="B9406" s="8" t="s">
        <v>40694</v>
      </c>
      <c r="C9406" s="8" t="s">
        <v>40694</v>
      </c>
      <c r="G9406" s="8">
        <v>20</v>
      </c>
      <c r="H9406" s="8" t="s">
        <v>21</v>
      </c>
      <c r="I9406" s="8" t="s">
        <v>22</v>
      </c>
      <c r="J9406" s="8" t="s">
        <v>57</v>
      </c>
      <c r="K9406" s="8" t="s">
        <v>460</v>
      </c>
      <c r="L9406" s="8" t="s">
        <v>38</v>
      </c>
      <c r="M9406" s="8" t="s">
        <v>39</v>
      </c>
      <c r="N9406" s="8" t="s">
        <v>40695</v>
      </c>
      <c r="O9406" s="8">
        <f>0+39/60+26.2/3600</f>
        <v>0.65727777777777785</v>
      </c>
      <c r="P9406" s="8" t="s">
        <v>40696</v>
      </c>
      <c r="Q9406" s="8">
        <f>+(6+44/60+3/3600)</f>
        <v>6.7341666666666669</v>
      </c>
      <c r="R9406" s="8">
        <v>13.4</v>
      </c>
      <c r="S9406" s="8">
        <v>14.4</v>
      </c>
      <c r="T9406" s="8">
        <v>1</v>
      </c>
      <c r="U9406" s="8">
        <v>13.5</v>
      </c>
      <c r="V9406" s="8">
        <v>1</v>
      </c>
      <c r="W9406" s="8">
        <v>1</v>
      </c>
      <c r="Y9406" s="8" t="s">
        <v>6420</v>
      </c>
      <c r="Z9406" s="8" t="s">
        <v>6421</v>
      </c>
    </row>
    <row r="9407" spans="1:26" x14ac:dyDescent="0.2">
      <c r="A9407" s="8">
        <v>9406</v>
      </c>
      <c r="B9407" s="8" t="s">
        <v>40697</v>
      </c>
      <c r="C9407" s="8" t="s">
        <v>40697</v>
      </c>
      <c r="G9407" s="8">
        <v>20</v>
      </c>
      <c r="H9407" s="8" t="s">
        <v>21</v>
      </c>
      <c r="I9407" s="8" t="s">
        <v>22</v>
      </c>
      <c r="J9407" s="8" t="s">
        <v>22</v>
      </c>
      <c r="K9407" s="8" t="s">
        <v>632</v>
      </c>
      <c r="L9407" s="8" t="s">
        <v>38</v>
      </c>
      <c r="M9407" s="8" t="s">
        <v>39</v>
      </c>
      <c r="N9407" s="8" t="s">
        <v>40698</v>
      </c>
      <c r="O9407" s="8">
        <f>0+39/60+33.3/3600</f>
        <v>0.65925</v>
      </c>
      <c r="P9407" s="8" t="s">
        <v>40699</v>
      </c>
      <c r="Q9407" s="8">
        <f>+(6+48/60+56/3600)</f>
        <v>6.8155555555555551</v>
      </c>
      <c r="R9407" s="8">
        <v>14.8</v>
      </c>
      <c r="S9407" s="8">
        <v>15.7</v>
      </c>
      <c r="T9407" s="8">
        <v>0.9</v>
      </c>
      <c r="U9407" s="8">
        <v>13.7</v>
      </c>
      <c r="V9407" s="8">
        <v>0.7</v>
      </c>
      <c r="W9407" s="8">
        <v>0.6</v>
      </c>
      <c r="X9407" s="8">
        <v>126</v>
      </c>
      <c r="Y9407" s="8" t="s">
        <v>37070</v>
      </c>
      <c r="Z9407" s="8" t="s">
        <v>37071</v>
      </c>
    </row>
    <row r="9408" spans="1:26" x14ac:dyDescent="0.2">
      <c r="A9408" s="8">
        <v>9407</v>
      </c>
      <c r="B9408" s="8" t="s">
        <v>40700</v>
      </c>
      <c r="C9408" s="8" t="s">
        <v>40700</v>
      </c>
      <c r="G9408" s="8">
        <v>20</v>
      </c>
      <c r="H9408" s="8" t="s">
        <v>21</v>
      </c>
      <c r="I9408" s="8" t="s">
        <v>22</v>
      </c>
      <c r="J9408" s="8" t="s">
        <v>22</v>
      </c>
      <c r="K9408" s="8" t="s">
        <v>460</v>
      </c>
      <c r="L9408" s="8" t="s">
        <v>38</v>
      </c>
      <c r="M9408" s="8" t="s">
        <v>39</v>
      </c>
      <c r="N9408" s="8" t="s">
        <v>40695</v>
      </c>
      <c r="O9408" s="8">
        <f>0+39/60+26.2/3600</f>
        <v>0.65727777777777785</v>
      </c>
      <c r="P9408" s="8" t="s">
        <v>40696</v>
      </c>
      <c r="Q9408" s="8">
        <f>+(6+44/60+3/3600)</f>
        <v>6.7341666666666669</v>
      </c>
      <c r="R9408" s="8">
        <v>13.4</v>
      </c>
      <c r="S9408" s="8">
        <v>14.4</v>
      </c>
      <c r="T9408" s="8">
        <v>1</v>
      </c>
      <c r="U9408" s="8">
        <v>13.5</v>
      </c>
      <c r="V9408" s="8">
        <v>1</v>
      </c>
      <c r="W9408" s="8">
        <v>1</v>
      </c>
      <c r="Y9408" s="8" t="s">
        <v>6420</v>
      </c>
      <c r="Z9408" s="8" t="s">
        <v>12214</v>
      </c>
    </row>
    <row r="9409" spans="1:26" x14ac:dyDescent="0.2">
      <c r="A9409" s="8">
        <v>9408</v>
      </c>
      <c r="B9409" s="8" t="s">
        <v>40701</v>
      </c>
      <c r="C9409" s="8" t="s">
        <v>40701</v>
      </c>
      <c r="G9409" s="8">
        <v>20</v>
      </c>
      <c r="H9409" s="8" t="s">
        <v>21</v>
      </c>
      <c r="I9409" s="8" t="s">
        <v>22</v>
      </c>
      <c r="J9409" s="8" t="s">
        <v>22</v>
      </c>
      <c r="K9409" s="8" t="s">
        <v>37</v>
      </c>
      <c r="L9409" s="8" t="s">
        <v>38</v>
      </c>
      <c r="M9409" s="8" t="s">
        <v>39</v>
      </c>
      <c r="N9409" s="8" t="s">
        <v>40702</v>
      </c>
      <c r="O9409" s="8">
        <f>0+39/60+55.9/3600</f>
        <v>0.66552777777777783</v>
      </c>
      <c r="P9409" s="8" t="s">
        <v>40703</v>
      </c>
      <c r="Q9409" s="8">
        <f>+(6+50/60+57/3600)</f>
        <v>6.8491666666666662</v>
      </c>
      <c r="R9409" s="8">
        <v>14.2</v>
      </c>
      <c r="S9409" s="8">
        <v>15.2</v>
      </c>
      <c r="T9409" s="8">
        <v>1</v>
      </c>
      <c r="U9409" s="8">
        <v>13.6</v>
      </c>
      <c r="V9409" s="8">
        <v>0.8</v>
      </c>
      <c r="W9409" s="8">
        <v>0.8</v>
      </c>
      <c r="Y9409" s="8" t="s">
        <v>37070</v>
      </c>
      <c r="Z9409" s="8" t="s">
        <v>37071</v>
      </c>
    </row>
    <row r="9410" spans="1:26" x14ac:dyDescent="0.2">
      <c r="A9410" s="8">
        <v>9409</v>
      </c>
      <c r="B9410" s="8" t="s">
        <v>40704</v>
      </c>
      <c r="C9410" s="8" t="s">
        <v>40704</v>
      </c>
      <c r="G9410" s="8">
        <v>20</v>
      </c>
      <c r="H9410" s="8" t="s">
        <v>21</v>
      </c>
      <c r="I9410" s="8" t="s">
        <v>22</v>
      </c>
      <c r="J9410" s="8" t="s">
        <v>22</v>
      </c>
      <c r="K9410" s="8" t="s">
        <v>37</v>
      </c>
      <c r="L9410" s="8" t="s">
        <v>38</v>
      </c>
      <c r="M9410" s="8" t="s">
        <v>39</v>
      </c>
      <c r="N9410" s="8" t="s">
        <v>40705</v>
      </c>
      <c r="O9410" s="8">
        <f>0+40/60+28/3600</f>
        <v>0.6744444444444444</v>
      </c>
      <c r="P9410" s="8" t="s">
        <v>40706</v>
      </c>
      <c r="Q9410" s="8">
        <f>+(6+43/60+11/3600)</f>
        <v>6.7197222222222219</v>
      </c>
      <c r="R9410" s="8">
        <v>14.6</v>
      </c>
      <c r="S9410" s="8">
        <v>15.6</v>
      </c>
      <c r="T9410" s="8">
        <v>1</v>
      </c>
      <c r="U9410" s="8">
        <v>12.5</v>
      </c>
      <c r="V9410" s="8">
        <v>0.4</v>
      </c>
      <c r="W9410" s="8">
        <v>0.4</v>
      </c>
      <c r="Y9410" s="8" t="s">
        <v>1858</v>
      </c>
      <c r="Z9410" s="8" t="s">
        <v>1859</v>
      </c>
    </row>
    <row r="9411" spans="1:26" x14ac:dyDescent="0.2">
      <c r="A9411" s="8">
        <v>9410</v>
      </c>
      <c r="B9411" s="8" t="s">
        <v>40707</v>
      </c>
      <c r="C9411" s="8" t="s">
        <v>40707</v>
      </c>
      <c r="G9411" s="8">
        <v>20</v>
      </c>
      <c r="H9411" s="8" t="s">
        <v>21</v>
      </c>
      <c r="I9411" s="8" t="s">
        <v>22</v>
      </c>
      <c r="J9411" s="8" t="s">
        <v>22</v>
      </c>
      <c r="K9411" s="8" t="s">
        <v>124</v>
      </c>
      <c r="L9411" s="8" t="s">
        <v>38</v>
      </c>
      <c r="M9411" s="8" t="s">
        <v>39</v>
      </c>
      <c r="N9411" s="8" t="s">
        <v>40708</v>
      </c>
      <c r="O9411" s="8">
        <f>0+40/60+34.2/3600</f>
        <v>0.67616666666666658</v>
      </c>
      <c r="P9411" s="8" t="s">
        <v>40709</v>
      </c>
      <c r="Q9411" s="8">
        <f>+(6+45/60+12/3600)</f>
        <v>6.753333333333333</v>
      </c>
      <c r="R9411" s="8">
        <v>16.2</v>
      </c>
      <c r="S9411" s="8">
        <v>17</v>
      </c>
      <c r="T9411" s="8">
        <v>0.8</v>
      </c>
      <c r="U9411" s="8">
        <v>13.3</v>
      </c>
      <c r="V9411" s="8">
        <v>0.4</v>
      </c>
      <c r="W9411" s="8">
        <v>0.2</v>
      </c>
      <c r="X9411" s="8">
        <v>179</v>
      </c>
      <c r="Y9411" s="8" t="s">
        <v>40710</v>
      </c>
      <c r="Z9411" s="8" t="s">
        <v>40711</v>
      </c>
    </row>
    <row r="9412" spans="1:26" x14ac:dyDescent="0.2">
      <c r="A9412" s="8">
        <v>9411</v>
      </c>
      <c r="B9412" s="8" t="s">
        <v>40712</v>
      </c>
      <c r="C9412" s="8" t="s">
        <v>40712</v>
      </c>
      <c r="G9412" s="8">
        <v>20</v>
      </c>
      <c r="H9412" s="8" t="s">
        <v>21</v>
      </c>
      <c r="I9412" s="8" t="s">
        <v>22</v>
      </c>
      <c r="J9412" s="8" t="s">
        <v>22</v>
      </c>
      <c r="K9412" s="8" t="s">
        <v>23</v>
      </c>
      <c r="L9412" s="8" t="s">
        <v>125</v>
      </c>
      <c r="M9412" s="8" t="s">
        <v>126</v>
      </c>
      <c r="N9412" s="8" t="s">
        <v>40713</v>
      </c>
      <c r="O9412" s="8">
        <f>0+40/60+37.8/3600</f>
        <v>0.67716666666666658</v>
      </c>
      <c r="P9412" s="8" t="s">
        <v>40714</v>
      </c>
      <c r="Q9412" s="8">
        <f>-(0+19/60+49/3600)</f>
        <v>-0.33027777777777778</v>
      </c>
      <c r="R9412" s="8">
        <v>13.7</v>
      </c>
      <c r="S9412" s="8">
        <v>14.5</v>
      </c>
      <c r="T9412" s="8">
        <v>0.8</v>
      </c>
      <c r="U9412" s="8">
        <v>14.1</v>
      </c>
      <c r="V9412" s="8">
        <v>1.5</v>
      </c>
      <c r="W9412" s="8">
        <v>1.2</v>
      </c>
      <c r="X9412" s="8">
        <v>42</v>
      </c>
      <c r="Y9412" s="8" t="s">
        <v>34999</v>
      </c>
      <c r="Z9412" s="8" t="s">
        <v>35000</v>
      </c>
    </row>
    <row r="9413" spans="1:26" x14ac:dyDescent="0.2">
      <c r="A9413" s="8">
        <v>9412</v>
      </c>
      <c r="B9413" s="8" t="s">
        <v>40715</v>
      </c>
      <c r="C9413" s="8" t="s">
        <v>40715</v>
      </c>
      <c r="G9413" s="8">
        <v>20</v>
      </c>
      <c r="H9413" s="8" t="s">
        <v>21</v>
      </c>
      <c r="I9413" s="8" t="s">
        <v>329</v>
      </c>
      <c r="J9413" s="8" t="s">
        <v>329</v>
      </c>
      <c r="K9413" s="8" t="s">
        <v>329</v>
      </c>
      <c r="L9413" s="8" t="s">
        <v>38</v>
      </c>
      <c r="M9413" s="8" t="s">
        <v>39</v>
      </c>
      <c r="N9413" s="8" t="s">
        <v>40716</v>
      </c>
      <c r="O9413" s="8">
        <f>0+41/60+12/3600</f>
        <v>0.68666666666666665</v>
      </c>
      <c r="P9413" s="8" t="s">
        <v>40717</v>
      </c>
      <c r="Q9413" s="8">
        <f>+(16+14/60+18/3600)</f>
        <v>16.238333333333333</v>
      </c>
      <c r="R9413" s="8">
        <v>99</v>
      </c>
      <c r="S9413" s="8">
        <v>99</v>
      </c>
      <c r="T9413" s="8">
        <v>99</v>
      </c>
      <c r="U9413" s="8">
        <v>99</v>
      </c>
      <c r="Y9413" s="8" t="s">
        <v>40718</v>
      </c>
      <c r="Z9413" s="8" t="s">
        <v>40719</v>
      </c>
    </row>
    <row r="9414" spans="1:26" x14ac:dyDescent="0.2">
      <c r="A9414" s="8">
        <v>9413</v>
      </c>
      <c r="B9414" s="8" t="s">
        <v>40720</v>
      </c>
      <c r="C9414" s="8" t="s">
        <v>40720</v>
      </c>
      <c r="G9414" s="8">
        <v>20</v>
      </c>
      <c r="H9414" s="8" t="s">
        <v>21</v>
      </c>
      <c r="I9414" s="8" t="s">
        <v>22</v>
      </c>
      <c r="J9414" s="8" t="s">
        <v>22</v>
      </c>
      <c r="K9414" s="8" t="s">
        <v>160</v>
      </c>
      <c r="L9414" s="8" t="s">
        <v>125</v>
      </c>
      <c r="M9414" s="8" t="s">
        <v>126</v>
      </c>
      <c r="N9414" s="8" t="s">
        <v>40721</v>
      </c>
      <c r="O9414" s="8">
        <f>0+42/60+10.2/3600</f>
        <v>0.70283333333333331</v>
      </c>
      <c r="P9414" s="8" t="s">
        <v>40722</v>
      </c>
      <c r="Q9414" s="8">
        <f>-(23+35/60+32/3600)</f>
        <v>-23.592222222222222</v>
      </c>
      <c r="R9414" s="8">
        <v>16</v>
      </c>
      <c r="S9414" s="8">
        <v>16.7</v>
      </c>
      <c r="T9414" s="8">
        <v>0.7</v>
      </c>
      <c r="U9414" s="8">
        <v>13.5</v>
      </c>
      <c r="V9414" s="8">
        <v>1.2</v>
      </c>
      <c r="W9414" s="8">
        <v>0.1</v>
      </c>
      <c r="X9414" s="8">
        <v>70</v>
      </c>
      <c r="Y9414" s="8" t="s">
        <v>40723</v>
      </c>
      <c r="Z9414" s="8" t="s">
        <v>40724</v>
      </c>
    </row>
    <row r="9415" spans="1:26" x14ac:dyDescent="0.2">
      <c r="A9415" s="8">
        <v>9414</v>
      </c>
      <c r="B9415" s="8" t="s">
        <v>40725</v>
      </c>
      <c r="C9415" s="8" t="s">
        <v>40725</v>
      </c>
      <c r="G9415" s="8">
        <v>20</v>
      </c>
      <c r="H9415" s="8" t="s">
        <v>21</v>
      </c>
      <c r="I9415" s="8" t="s">
        <v>22</v>
      </c>
      <c r="J9415" s="8" t="s">
        <v>22</v>
      </c>
      <c r="K9415" s="8" t="s">
        <v>107</v>
      </c>
      <c r="L9415" s="8" t="s">
        <v>125</v>
      </c>
      <c r="M9415" s="8" t="s">
        <v>126</v>
      </c>
      <c r="N9415" s="8" t="s">
        <v>40726</v>
      </c>
      <c r="O9415" s="8">
        <f>0+43/60+4/3600</f>
        <v>0.71777777777777774</v>
      </c>
      <c r="P9415" s="8" t="s">
        <v>40727</v>
      </c>
      <c r="Q9415" s="8">
        <f>-(22+14/60+46/3600)</f>
        <v>-22.246111111111112</v>
      </c>
      <c r="R9415" s="8">
        <v>13.7</v>
      </c>
      <c r="S9415" s="8">
        <v>14.3</v>
      </c>
      <c r="T9415" s="8">
        <v>0.6</v>
      </c>
      <c r="U9415" s="8">
        <v>14.1</v>
      </c>
      <c r="V9415" s="8">
        <v>2.1</v>
      </c>
      <c r="W9415" s="8">
        <v>0.8</v>
      </c>
      <c r="X9415" s="8">
        <v>175</v>
      </c>
      <c r="Y9415" s="8" t="s">
        <v>40728</v>
      </c>
      <c r="Z9415" s="8" t="s">
        <v>40729</v>
      </c>
    </row>
    <row r="9416" spans="1:26" x14ac:dyDescent="0.2">
      <c r="A9416" s="8">
        <v>9415</v>
      </c>
      <c r="B9416" s="8" t="s">
        <v>40730</v>
      </c>
      <c r="C9416" s="8" t="s">
        <v>40730</v>
      </c>
      <c r="D9416" s="8" t="s">
        <v>1619</v>
      </c>
      <c r="G9416" s="8">
        <v>20</v>
      </c>
      <c r="H9416" s="8" t="s">
        <v>21</v>
      </c>
      <c r="I9416" s="8" t="s">
        <v>22</v>
      </c>
      <c r="J9416" s="8" t="s">
        <v>22</v>
      </c>
      <c r="K9416" s="8" t="s">
        <v>1174</v>
      </c>
      <c r="L9416" s="8" t="s">
        <v>125</v>
      </c>
      <c r="M9416" s="8" t="s">
        <v>126</v>
      </c>
      <c r="N9416" s="8" t="s">
        <v>40731</v>
      </c>
      <c r="O9416" s="8">
        <f>0+43/60+33.6/3600</f>
        <v>0.72599999999999998</v>
      </c>
      <c r="P9416" s="8" t="s">
        <v>40732</v>
      </c>
      <c r="Q9416" s="8">
        <f>-(4+7/60+10/3600)</f>
        <v>-4.1194444444444445</v>
      </c>
      <c r="R9416" s="8">
        <v>13.2</v>
      </c>
      <c r="S9416" s="8">
        <v>14</v>
      </c>
      <c r="T9416" s="8">
        <v>0.8</v>
      </c>
      <c r="U9416" s="8">
        <v>13.5</v>
      </c>
      <c r="V9416" s="8">
        <v>1.5</v>
      </c>
      <c r="W9416" s="8">
        <v>1</v>
      </c>
      <c r="X9416" s="8">
        <v>30</v>
      </c>
      <c r="Y9416" s="8" t="s">
        <v>40733</v>
      </c>
      <c r="Z9416" s="8" t="s">
        <v>40734</v>
      </c>
    </row>
    <row r="9417" spans="1:26" x14ac:dyDescent="0.2">
      <c r="A9417" s="8">
        <v>9416</v>
      </c>
      <c r="B9417" s="8" t="s">
        <v>40735</v>
      </c>
      <c r="C9417" s="8" t="s">
        <v>40735</v>
      </c>
      <c r="G9417" s="8">
        <v>20</v>
      </c>
      <c r="H9417" s="8" t="s">
        <v>21</v>
      </c>
      <c r="I9417" s="8" t="s">
        <v>22</v>
      </c>
      <c r="J9417" s="8" t="s">
        <v>22</v>
      </c>
      <c r="K9417" s="8" t="s">
        <v>396</v>
      </c>
      <c r="L9417" s="8" t="s">
        <v>65</v>
      </c>
      <c r="M9417" s="8" t="s">
        <v>66</v>
      </c>
      <c r="N9417" s="8" t="s">
        <v>40736</v>
      </c>
      <c r="O9417" s="8">
        <f>0+44/60+13.8/3600</f>
        <v>0.73716666666666664</v>
      </c>
      <c r="P9417" s="8" t="s">
        <v>40737</v>
      </c>
      <c r="Q9417" s="8">
        <f>-(25+6/60+33/3600)</f>
        <v>-25.109166666666667</v>
      </c>
      <c r="R9417" s="8">
        <v>14.7</v>
      </c>
      <c r="S9417" s="8">
        <v>15.5</v>
      </c>
      <c r="T9417" s="8">
        <v>0.8</v>
      </c>
      <c r="U9417" s="8">
        <v>13.2</v>
      </c>
      <c r="V9417" s="8">
        <v>0.7</v>
      </c>
      <c r="W9417" s="8">
        <v>0.4</v>
      </c>
      <c r="X9417" s="8">
        <v>144</v>
      </c>
      <c r="Y9417" s="8" t="s">
        <v>40738</v>
      </c>
      <c r="Z9417" s="8" t="s">
        <v>40739</v>
      </c>
    </row>
    <row r="9418" spans="1:26" x14ac:dyDescent="0.2">
      <c r="A9418" s="8">
        <v>9417</v>
      </c>
      <c r="B9418" s="8" t="s">
        <v>40740</v>
      </c>
      <c r="C9418" s="8" t="s">
        <v>40740</v>
      </c>
      <c r="G9418" s="8">
        <v>20</v>
      </c>
      <c r="H9418" s="8" t="s">
        <v>21</v>
      </c>
      <c r="I9418" s="8" t="s">
        <v>22</v>
      </c>
      <c r="J9418" s="8" t="s">
        <v>57</v>
      </c>
      <c r="K9418" s="8" t="s">
        <v>37</v>
      </c>
      <c r="L9418" s="8" t="s">
        <v>125</v>
      </c>
      <c r="M9418" s="8" t="s">
        <v>126</v>
      </c>
      <c r="N9418" s="8" t="s">
        <v>34828</v>
      </c>
      <c r="O9418" s="8">
        <f>0+43/60+34.4/3600</f>
        <v>0.72622222222222221</v>
      </c>
      <c r="P9418" s="8" t="s">
        <v>34829</v>
      </c>
      <c r="Q9418" s="8">
        <f>-(8+11/60+8/3600)</f>
        <v>-8.1855555555555561</v>
      </c>
      <c r="R9418" s="8">
        <v>13.1</v>
      </c>
      <c r="S9418" s="8">
        <v>14</v>
      </c>
      <c r="T9418" s="8">
        <v>0.9</v>
      </c>
      <c r="U9418" s="8">
        <v>12.7</v>
      </c>
      <c r="V9418" s="8">
        <v>1</v>
      </c>
      <c r="W9418" s="8">
        <v>0.8</v>
      </c>
      <c r="X9418" s="8">
        <v>25</v>
      </c>
      <c r="Y9418" s="8" t="s">
        <v>40741</v>
      </c>
      <c r="Z9418" s="8" t="s">
        <v>40742</v>
      </c>
    </row>
    <row r="9419" spans="1:26" x14ac:dyDescent="0.2">
      <c r="A9419" s="8">
        <v>9418</v>
      </c>
      <c r="B9419" s="8" t="s">
        <v>40743</v>
      </c>
      <c r="C9419" s="8" t="s">
        <v>40743</v>
      </c>
      <c r="G9419" s="8">
        <v>20</v>
      </c>
      <c r="H9419" s="8" t="s">
        <v>21</v>
      </c>
      <c r="I9419" s="8" t="s">
        <v>22</v>
      </c>
      <c r="J9419" s="8" t="s">
        <v>22</v>
      </c>
      <c r="K9419" s="8" t="s">
        <v>396</v>
      </c>
      <c r="L9419" s="8" t="s">
        <v>65</v>
      </c>
      <c r="M9419" s="8" t="s">
        <v>66</v>
      </c>
      <c r="N9419" s="8" t="s">
        <v>40744</v>
      </c>
      <c r="O9419" s="8">
        <f>0+44/60+25.8/3600</f>
        <v>0.74049999999999994</v>
      </c>
      <c r="P9419" s="8" t="s">
        <v>40745</v>
      </c>
      <c r="Q9419" s="8">
        <f>-(25+4/60+35/3600)</f>
        <v>-25.076388888888889</v>
      </c>
      <c r="R9419" s="8">
        <v>14.5</v>
      </c>
      <c r="S9419" s="8">
        <v>15.3</v>
      </c>
      <c r="T9419" s="8">
        <v>0.8</v>
      </c>
      <c r="U9419" s="8">
        <v>12.8</v>
      </c>
      <c r="V9419" s="8">
        <v>0.8</v>
      </c>
      <c r="W9419" s="8">
        <v>0.3</v>
      </c>
      <c r="X9419" s="8">
        <v>18</v>
      </c>
      <c r="Y9419" s="8" t="s">
        <v>40746</v>
      </c>
      <c r="Z9419" s="8" t="s">
        <v>40747</v>
      </c>
    </row>
    <row r="9420" spans="1:26" x14ac:dyDescent="0.2">
      <c r="A9420" s="8">
        <v>9419</v>
      </c>
      <c r="B9420" s="8" t="s">
        <v>40748</v>
      </c>
      <c r="C9420" s="8" t="s">
        <v>40748</v>
      </c>
      <c r="G9420" s="8">
        <v>20</v>
      </c>
      <c r="H9420" s="8" t="s">
        <v>21</v>
      </c>
      <c r="I9420" s="8" t="s">
        <v>22</v>
      </c>
      <c r="J9420" s="8" t="s">
        <v>22</v>
      </c>
      <c r="K9420" s="8" t="s">
        <v>85</v>
      </c>
      <c r="L9420" s="8" t="s">
        <v>65</v>
      </c>
      <c r="M9420" s="8" t="s">
        <v>66</v>
      </c>
      <c r="N9420" s="8" t="s">
        <v>40749</v>
      </c>
      <c r="O9420" s="8">
        <f>0+45/60+32.2/3600</f>
        <v>0.75894444444444442</v>
      </c>
      <c r="P9420" s="8" t="s">
        <v>40750</v>
      </c>
      <c r="Q9420" s="8">
        <f>-(26+33/60+52/3600)</f>
        <v>-26.564444444444444</v>
      </c>
      <c r="R9420" s="8">
        <v>14.1</v>
      </c>
      <c r="S9420" s="8">
        <v>14.9</v>
      </c>
      <c r="T9420" s="8">
        <v>0.8</v>
      </c>
      <c r="U9420" s="8">
        <v>13.2</v>
      </c>
      <c r="V9420" s="8">
        <v>0.9</v>
      </c>
      <c r="W9420" s="8">
        <v>0.6</v>
      </c>
      <c r="X9420" s="8">
        <v>5</v>
      </c>
      <c r="Y9420" s="8" t="s">
        <v>40751</v>
      </c>
      <c r="Z9420" s="8" t="s">
        <v>40752</v>
      </c>
    </row>
    <row r="9421" spans="1:26" x14ac:dyDescent="0.2">
      <c r="A9421" s="8">
        <v>9420</v>
      </c>
      <c r="B9421" s="8" t="s">
        <v>40753</v>
      </c>
      <c r="C9421" s="8" t="s">
        <v>40753</v>
      </c>
      <c r="G9421" s="8">
        <v>20</v>
      </c>
      <c r="H9421" s="8" t="s">
        <v>21</v>
      </c>
      <c r="I9421" s="8" t="s">
        <v>72</v>
      </c>
      <c r="J9421" s="8" t="s">
        <v>72</v>
      </c>
      <c r="K9421" s="8" t="s">
        <v>73</v>
      </c>
      <c r="L9421" s="8" t="s">
        <v>51</v>
      </c>
      <c r="M9421" s="8" t="s">
        <v>52</v>
      </c>
      <c r="N9421" s="8" t="s">
        <v>40754</v>
      </c>
      <c r="O9421" s="8">
        <f>0+46/60+21.3/3600</f>
        <v>0.7725833333333334</v>
      </c>
      <c r="P9421" s="8" t="s">
        <v>40755</v>
      </c>
      <c r="Q9421" s="8">
        <f>+(29+56/60+14/3600)</f>
        <v>29.937222222222221</v>
      </c>
      <c r="R9421" s="8">
        <v>99</v>
      </c>
      <c r="S9421" s="8">
        <v>99</v>
      </c>
      <c r="T9421" s="8">
        <v>99</v>
      </c>
      <c r="U9421" s="8">
        <v>99</v>
      </c>
      <c r="Y9421" s="8" t="s">
        <v>3541</v>
      </c>
      <c r="Z9421" s="8" t="s">
        <v>40756</v>
      </c>
    </row>
    <row r="9422" spans="1:26" x14ac:dyDescent="0.2">
      <c r="A9422" s="8">
        <v>9421</v>
      </c>
      <c r="B9422" s="8" t="s">
        <v>40757</v>
      </c>
      <c r="C9422" s="8" t="s">
        <v>40757</v>
      </c>
      <c r="G9422" s="8">
        <v>20</v>
      </c>
      <c r="H9422" s="8" t="s">
        <v>21</v>
      </c>
      <c r="I9422" s="8" t="s">
        <v>22</v>
      </c>
      <c r="J9422" s="8" t="s">
        <v>22</v>
      </c>
      <c r="K9422" s="8" t="s">
        <v>396</v>
      </c>
      <c r="L9422" s="8" t="s">
        <v>65</v>
      </c>
      <c r="M9422" s="8" t="s">
        <v>66</v>
      </c>
      <c r="N9422" s="8" t="s">
        <v>40758</v>
      </c>
      <c r="O9422" s="8">
        <f>0+45/60+46.4/3600</f>
        <v>0.76288888888888884</v>
      </c>
      <c r="P9422" s="8" t="s">
        <v>40759</v>
      </c>
      <c r="Q9422" s="8">
        <f>-(25+55/60+10/3600)</f>
        <v>-25.919444444444444</v>
      </c>
      <c r="R9422" s="8">
        <v>15.4</v>
      </c>
      <c r="S9422" s="8">
        <v>16.2</v>
      </c>
      <c r="T9422" s="8">
        <v>0.8</v>
      </c>
      <c r="U9422" s="8">
        <v>13.4</v>
      </c>
      <c r="V9422" s="8">
        <v>0.9</v>
      </c>
      <c r="W9422" s="8">
        <v>0.2</v>
      </c>
      <c r="X9422" s="8">
        <v>46</v>
      </c>
      <c r="Y9422" s="8" t="s">
        <v>40760</v>
      </c>
      <c r="Z9422" s="8" t="s">
        <v>40761</v>
      </c>
    </row>
    <row r="9423" spans="1:26" x14ac:dyDescent="0.2">
      <c r="A9423" s="8">
        <v>9422</v>
      </c>
      <c r="B9423" s="8" t="s">
        <v>40762</v>
      </c>
      <c r="C9423" s="8" t="s">
        <v>40762</v>
      </c>
      <c r="G9423" s="8">
        <v>20</v>
      </c>
      <c r="H9423" s="8" t="s">
        <v>21</v>
      </c>
      <c r="I9423" s="8" t="s">
        <v>22</v>
      </c>
      <c r="J9423" s="8" t="s">
        <v>22</v>
      </c>
      <c r="K9423" s="8" t="s">
        <v>396</v>
      </c>
      <c r="L9423" s="8" t="s">
        <v>125</v>
      </c>
      <c r="M9423" s="8" t="s">
        <v>126</v>
      </c>
      <c r="N9423" s="8" t="s">
        <v>40763</v>
      </c>
      <c r="O9423" s="8">
        <f>0+46/60+16.8/3600</f>
        <v>0.77133333333333343</v>
      </c>
      <c r="P9423" s="8" t="s">
        <v>40764</v>
      </c>
      <c r="Q9423" s="8">
        <f>-(24+16/60+47/3600)</f>
        <v>-24.279722222222222</v>
      </c>
      <c r="R9423" s="8">
        <v>15.1</v>
      </c>
      <c r="S9423" s="8">
        <v>15.9</v>
      </c>
      <c r="T9423" s="8">
        <v>0.8</v>
      </c>
      <c r="U9423" s="8">
        <v>13.7</v>
      </c>
      <c r="V9423" s="8">
        <v>1.1000000000000001</v>
      </c>
      <c r="W9423" s="8">
        <v>0.3</v>
      </c>
      <c r="X9423" s="8">
        <v>46</v>
      </c>
      <c r="Y9423" s="8" t="s">
        <v>40765</v>
      </c>
      <c r="Z9423" s="8" t="s">
        <v>40766</v>
      </c>
    </row>
    <row r="9424" spans="1:26" x14ac:dyDescent="0.2">
      <c r="A9424" s="8">
        <v>9423</v>
      </c>
      <c r="B9424" s="8" t="s">
        <v>40767</v>
      </c>
      <c r="C9424" s="8" t="s">
        <v>40767</v>
      </c>
      <c r="G9424" s="8">
        <v>20</v>
      </c>
      <c r="H9424" s="8" t="s">
        <v>21</v>
      </c>
      <c r="I9424" s="8" t="s">
        <v>22</v>
      </c>
      <c r="J9424" s="8" t="s">
        <v>22</v>
      </c>
      <c r="K9424" s="8" t="s">
        <v>449</v>
      </c>
      <c r="L9424" s="8" t="s">
        <v>51</v>
      </c>
      <c r="M9424" s="8" t="s">
        <v>52</v>
      </c>
      <c r="N9424" s="8" t="s">
        <v>40768</v>
      </c>
      <c r="O9424" s="8">
        <f>0+47/60+10.2/3600</f>
        <v>0.78616666666666668</v>
      </c>
      <c r="P9424" s="8" t="s">
        <v>40769</v>
      </c>
      <c r="Q9424" s="8">
        <f>+(23+4/60+28/3600)</f>
        <v>23.074444444444445</v>
      </c>
      <c r="R9424" s="8">
        <v>14.9</v>
      </c>
      <c r="S9424" s="8">
        <v>15.7</v>
      </c>
      <c r="T9424" s="8">
        <v>0.8</v>
      </c>
      <c r="U9424" s="8">
        <v>12.7</v>
      </c>
      <c r="V9424" s="8">
        <v>0.5</v>
      </c>
      <c r="W9424" s="8">
        <v>0.3</v>
      </c>
      <c r="X9424" s="8">
        <v>21</v>
      </c>
      <c r="Y9424" s="8" t="s">
        <v>22652</v>
      </c>
      <c r="Z9424" s="8" t="s">
        <v>40770</v>
      </c>
    </row>
    <row r="9425" spans="1:26" x14ac:dyDescent="0.2">
      <c r="A9425" s="8">
        <v>9424</v>
      </c>
      <c r="B9425" s="8" t="s">
        <v>40771</v>
      </c>
      <c r="C9425" s="8" t="s">
        <v>40771</v>
      </c>
      <c r="G9425" s="8">
        <v>20</v>
      </c>
      <c r="H9425" s="8" t="s">
        <v>21</v>
      </c>
      <c r="I9425" s="8" t="s">
        <v>22</v>
      </c>
      <c r="J9425" s="8" t="s">
        <v>22</v>
      </c>
      <c r="K9425" s="8" t="s">
        <v>1445</v>
      </c>
      <c r="L9425" s="8" t="s">
        <v>51</v>
      </c>
      <c r="M9425" s="8" t="s">
        <v>52</v>
      </c>
      <c r="N9425" s="8" t="s">
        <v>40772</v>
      </c>
      <c r="O9425" s="8">
        <f>0+47/60+18.5/3600</f>
        <v>0.78847222222222224</v>
      </c>
      <c r="P9425" s="8" t="s">
        <v>40773</v>
      </c>
      <c r="Q9425" s="8">
        <f>+(27+49/60+42/3600)</f>
        <v>27.828333333333333</v>
      </c>
      <c r="R9425" s="8">
        <v>13.6</v>
      </c>
      <c r="S9425" s="8">
        <v>14.5</v>
      </c>
      <c r="T9425" s="8">
        <v>0.9</v>
      </c>
      <c r="U9425" s="8">
        <v>14.3</v>
      </c>
      <c r="V9425" s="8">
        <v>1.6</v>
      </c>
      <c r="W9425" s="8">
        <v>1.4</v>
      </c>
      <c r="X9425" s="8">
        <v>90</v>
      </c>
      <c r="Y9425" s="8" t="s">
        <v>40774</v>
      </c>
      <c r="Z9425" s="8" t="s">
        <v>40775</v>
      </c>
    </row>
    <row r="9426" spans="1:26" x14ac:dyDescent="0.2">
      <c r="A9426" s="8">
        <v>9425</v>
      </c>
      <c r="B9426" s="8" t="s">
        <v>40776</v>
      </c>
      <c r="C9426" s="8" t="s">
        <v>40776</v>
      </c>
      <c r="G9426" s="8">
        <v>20</v>
      </c>
      <c r="H9426" s="8" t="s">
        <v>21</v>
      </c>
      <c r="I9426" s="8" t="s">
        <v>22</v>
      </c>
      <c r="J9426" s="8" t="s">
        <v>22</v>
      </c>
      <c r="K9426" s="8" t="s">
        <v>424</v>
      </c>
      <c r="L9426" s="8" t="s">
        <v>51</v>
      </c>
      <c r="M9426" s="8" t="s">
        <v>52</v>
      </c>
      <c r="N9426" s="8" t="s">
        <v>40777</v>
      </c>
      <c r="O9426" s="8">
        <f>0+47/60+14.2/3600</f>
        <v>0.78727777777777774</v>
      </c>
      <c r="P9426" s="8" t="s">
        <v>40778</v>
      </c>
      <c r="Q9426" s="8">
        <f>+(23+3/60+15/3600)</f>
        <v>23.054166666666667</v>
      </c>
      <c r="R9426" s="8">
        <v>14.6</v>
      </c>
      <c r="S9426" s="8">
        <v>15.6</v>
      </c>
      <c r="T9426" s="8">
        <v>1</v>
      </c>
      <c r="U9426" s="8">
        <v>13.5</v>
      </c>
      <c r="V9426" s="8">
        <v>0.8</v>
      </c>
      <c r="W9426" s="8">
        <v>0.5</v>
      </c>
      <c r="X9426" s="8">
        <v>108</v>
      </c>
      <c r="Y9426" s="8" t="s">
        <v>22652</v>
      </c>
      <c r="Z9426" s="8" t="s">
        <v>40770</v>
      </c>
    </row>
    <row r="9427" spans="1:26" x14ac:dyDescent="0.2">
      <c r="A9427" s="8">
        <v>9426</v>
      </c>
      <c r="B9427" s="8" t="s">
        <v>40779</v>
      </c>
      <c r="C9427" s="8" t="s">
        <v>40779</v>
      </c>
      <c r="G9427" s="8">
        <v>20</v>
      </c>
      <c r="H9427" s="8" t="s">
        <v>21</v>
      </c>
      <c r="I9427" s="8" t="s">
        <v>22</v>
      </c>
      <c r="J9427" s="8" t="s">
        <v>22</v>
      </c>
      <c r="K9427" s="8" t="s">
        <v>424</v>
      </c>
      <c r="L9427" s="8" t="s">
        <v>51</v>
      </c>
      <c r="M9427" s="8" t="s">
        <v>52</v>
      </c>
      <c r="N9427" s="8" t="s">
        <v>40780</v>
      </c>
      <c r="O9427" s="8">
        <f>0+47/60+56.5/3600</f>
        <v>0.79902777777777778</v>
      </c>
      <c r="P9427" s="8" t="s">
        <v>40781</v>
      </c>
      <c r="Q9427" s="8">
        <f>+(22+22/60+24/3600)</f>
        <v>22.373333333333335</v>
      </c>
      <c r="R9427" s="8">
        <v>14</v>
      </c>
      <c r="S9427" s="8">
        <v>15</v>
      </c>
      <c r="T9427" s="8">
        <v>1</v>
      </c>
      <c r="U9427" s="8">
        <v>12.1</v>
      </c>
      <c r="V9427" s="8">
        <v>0.3</v>
      </c>
      <c r="W9427" s="8">
        <v>0.2</v>
      </c>
      <c r="X9427" s="8">
        <v>0</v>
      </c>
      <c r="Y9427" s="8" t="s">
        <v>37584</v>
      </c>
      <c r="Z9427" s="8" t="s">
        <v>37595</v>
      </c>
    </row>
    <row r="9428" spans="1:26" x14ac:dyDescent="0.2">
      <c r="A9428" s="8">
        <v>9427</v>
      </c>
      <c r="B9428" s="8" t="s">
        <v>40782</v>
      </c>
      <c r="C9428" s="8" t="s">
        <v>40782</v>
      </c>
      <c r="G9428" s="8">
        <v>20</v>
      </c>
      <c r="H9428" s="8" t="s">
        <v>21</v>
      </c>
      <c r="I9428" s="8" t="s">
        <v>22</v>
      </c>
      <c r="J9428" s="8" t="s">
        <v>22</v>
      </c>
      <c r="K9428" s="8" t="s">
        <v>37</v>
      </c>
      <c r="L9428" s="8" t="s">
        <v>125</v>
      </c>
      <c r="M9428" s="8" t="s">
        <v>126</v>
      </c>
      <c r="N9428" s="8" t="s">
        <v>40783</v>
      </c>
      <c r="O9428" s="8">
        <f>0+48/60+43.2/3600</f>
        <v>0.81200000000000006</v>
      </c>
      <c r="P9428" s="8" t="s">
        <v>1206</v>
      </c>
      <c r="Q9428" s="8">
        <f>-(23+33/60+42/3600)</f>
        <v>-23.561666666666667</v>
      </c>
      <c r="R9428" s="8">
        <v>14.3</v>
      </c>
      <c r="S9428" s="8">
        <v>15.3</v>
      </c>
      <c r="T9428" s="8">
        <v>1</v>
      </c>
      <c r="U9428" s="8">
        <v>13.6</v>
      </c>
      <c r="V9428" s="8">
        <v>1.4</v>
      </c>
      <c r="W9428" s="8">
        <v>0.4</v>
      </c>
      <c r="X9428" s="8">
        <v>36</v>
      </c>
      <c r="Y9428" s="8" t="s">
        <v>40784</v>
      </c>
      <c r="Z9428" s="8" t="s">
        <v>40785</v>
      </c>
    </row>
    <row r="9429" spans="1:26" x14ac:dyDescent="0.2">
      <c r="A9429" s="8">
        <v>9428</v>
      </c>
      <c r="B9429" s="8" t="s">
        <v>40786</v>
      </c>
      <c r="C9429" s="8" t="s">
        <v>40786</v>
      </c>
      <c r="G9429" s="8">
        <v>20</v>
      </c>
      <c r="H9429" s="8" t="s">
        <v>21</v>
      </c>
      <c r="I9429" s="8" t="s">
        <v>22</v>
      </c>
      <c r="J9429" s="8" t="s">
        <v>22</v>
      </c>
      <c r="K9429" s="8" t="s">
        <v>37</v>
      </c>
      <c r="L9429" s="8" t="s">
        <v>125</v>
      </c>
      <c r="M9429" s="8" t="s">
        <v>126</v>
      </c>
      <c r="N9429" s="8" t="s">
        <v>40787</v>
      </c>
      <c r="O9429" s="8">
        <f>0+50/60+57.7/3600</f>
        <v>0.84936111111111112</v>
      </c>
      <c r="P9429" s="8" t="s">
        <v>40788</v>
      </c>
      <c r="Q9429" s="8">
        <f>-(23+33/60+31/3600)</f>
        <v>-23.558611111111112</v>
      </c>
      <c r="R9429" s="8">
        <v>14.9</v>
      </c>
      <c r="S9429" s="8">
        <v>15.9</v>
      </c>
      <c r="T9429" s="8">
        <v>1</v>
      </c>
      <c r="U9429" s="8">
        <v>13</v>
      </c>
      <c r="V9429" s="8">
        <v>0.7</v>
      </c>
      <c r="W9429" s="8">
        <v>0.3</v>
      </c>
      <c r="X9429" s="8">
        <v>155</v>
      </c>
      <c r="Y9429" s="8" t="s">
        <v>40789</v>
      </c>
      <c r="Z9429" s="8" t="s">
        <v>40790</v>
      </c>
    </row>
    <row r="9430" spans="1:26" x14ac:dyDescent="0.2">
      <c r="A9430" s="8">
        <v>9429</v>
      </c>
      <c r="B9430" s="8" t="s">
        <v>40791</v>
      </c>
      <c r="C9430" s="8" t="s">
        <v>40791</v>
      </c>
      <c r="G9430" s="8">
        <v>20</v>
      </c>
      <c r="H9430" s="8" t="s">
        <v>21</v>
      </c>
      <c r="I9430" s="8" t="s">
        <v>72</v>
      </c>
      <c r="J9430" s="8" t="s">
        <v>72</v>
      </c>
      <c r="K9430" s="8" t="s">
        <v>73</v>
      </c>
      <c r="L9430" s="8" t="s">
        <v>65</v>
      </c>
      <c r="M9430" s="8" t="s">
        <v>66</v>
      </c>
      <c r="N9430" s="8" t="s">
        <v>40792</v>
      </c>
      <c r="O9430" s="8">
        <f>0+51/60+59.3/3600</f>
        <v>0.8664722222222222</v>
      </c>
      <c r="P9430" s="8" t="s">
        <v>40793</v>
      </c>
      <c r="Q9430" s="8">
        <f>-(34+25/60+19/3600)</f>
        <v>-34.421944444444442</v>
      </c>
      <c r="R9430" s="8">
        <v>99</v>
      </c>
      <c r="S9430" s="8">
        <v>99</v>
      </c>
      <c r="T9430" s="8">
        <v>99</v>
      </c>
      <c r="U9430" s="8">
        <v>99</v>
      </c>
      <c r="Y9430" s="8" t="s">
        <v>40794</v>
      </c>
      <c r="Z9430" s="8" t="s">
        <v>40795</v>
      </c>
    </row>
    <row r="9431" spans="1:26" x14ac:dyDescent="0.2">
      <c r="A9431" s="8">
        <v>9430</v>
      </c>
      <c r="B9431" s="8" t="s">
        <v>40796</v>
      </c>
      <c r="C9431" s="8" t="s">
        <v>40796</v>
      </c>
      <c r="G9431" s="8">
        <v>14</v>
      </c>
      <c r="H9431" s="8" t="s">
        <v>21</v>
      </c>
      <c r="I9431" s="8" t="s">
        <v>557</v>
      </c>
      <c r="J9431" s="8" t="s">
        <v>557</v>
      </c>
      <c r="K9431" s="8" t="s">
        <v>1816</v>
      </c>
      <c r="L9431" s="8" t="s">
        <v>559</v>
      </c>
      <c r="M9431" s="8" t="s">
        <v>560</v>
      </c>
      <c r="N9431" s="8" t="s">
        <v>40797</v>
      </c>
      <c r="O9431" s="8">
        <f>0+52/60+48/3600</f>
        <v>0.88</v>
      </c>
      <c r="P9431" s="8" t="s">
        <v>40798</v>
      </c>
      <c r="Q9431" s="8">
        <f>+(56+37/60+54/3600)</f>
        <v>56.631666666666668</v>
      </c>
      <c r="R9431" s="8">
        <v>99</v>
      </c>
      <c r="S9431" s="8">
        <v>99</v>
      </c>
      <c r="T9431" s="8">
        <v>99</v>
      </c>
      <c r="U9431" s="8">
        <v>99</v>
      </c>
      <c r="Y9431" s="8" t="s">
        <v>40799</v>
      </c>
      <c r="Z9431" s="8" t="s">
        <v>40800</v>
      </c>
    </row>
    <row r="9432" spans="1:26" x14ac:dyDescent="0.2">
      <c r="A9432" s="8">
        <v>9431</v>
      </c>
      <c r="B9432" s="8" t="s">
        <v>40801</v>
      </c>
      <c r="C9432" s="8" t="s">
        <v>40801</v>
      </c>
      <c r="G9432" s="8">
        <v>20</v>
      </c>
      <c r="H9432" s="8" t="s">
        <v>21</v>
      </c>
      <c r="I9432" s="8" t="s">
        <v>22</v>
      </c>
      <c r="J9432" s="8" t="s">
        <v>57</v>
      </c>
      <c r="K9432" s="8" t="s">
        <v>218</v>
      </c>
      <c r="L9432" s="8" t="s">
        <v>125</v>
      </c>
      <c r="M9432" s="8" t="s">
        <v>126</v>
      </c>
      <c r="N9432" s="8" t="s">
        <v>1425</v>
      </c>
      <c r="O9432" s="8">
        <f>0+52/60+6.5/3600</f>
        <v>0.8684722222222222</v>
      </c>
      <c r="P9432" s="8" t="s">
        <v>1426</v>
      </c>
      <c r="Q9432" s="8">
        <f>-(22+40/60+49/3600)</f>
        <v>-22.680277777777778</v>
      </c>
      <c r="R9432" s="8">
        <v>14.7</v>
      </c>
      <c r="S9432" s="8">
        <v>15.5</v>
      </c>
      <c r="T9432" s="8">
        <v>0.8</v>
      </c>
      <c r="U9432" s="8">
        <v>13.6</v>
      </c>
      <c r="V9432" s="8">
        <v>1</v>
      </c>
      <c r="W9432" s="8">
        <v>0.4</v>
      </c>
      <c r="X9432" s="8">
        <v>90</v>
      </c>
      <c r="Y9432" s="8" t="s">
        <v>40802</v>
      </c>
      <c r="Z9432" s="8" t="s">
        <v>40803</v>
      </c>
    </row>
    <row r="9433" spans="1:26" x14ac:dyDescent="0.2">
      <c r="A9433" s="8">
        <v>9432</v>
      </c>
      <c r="B9433" s="8" t="s">
        <v>40804</v>
      </c>
      <c r="C9433" s="8" t="s">
        <v>40804</v>
      </c>
      <c r="G9433" s="8">
        <v>20</v>
      </c>
      <c r="H9433" s="8" t="s">
        <v>21</v>
      </c>
      <c r="I9433" s="8" t="s">
        <v>22</v>
      </c>
      <c r="J9433" s="8" t="s">
        <v>22</v>
      </c>
      <c r="K9433" s="8" t="s">
        <v>476</v>
      </c>
      <c r="L9433" s="8" t="s">
        <v>38</v>
      </c>
      <c r="M9433" s="8" t="s">
        <v>39</v>
      </c>
      <c r="N9433" s="8" t="s">
        <v>40805</v>
      </c>
      <c r="O9433" s="8">
        <f>0+53/60+27.1/3600</f>
        <v>0.8908611111111111</v>
      </c>
      <c r="P9433" s="8" t="s">
        <v>40806</v>
      </c>
      <c r="Q9433" s="8">
        <f>+(5+46/60+11/3600)</f>
        <v>5.7697222222222218</v>
      </c>
      <c r="R9433" s="8">
        <v>14.1</v>
      </c>
      <c r="S9433" s="8">
        <v>15</v>
      </c>
      <c r="T9433" s="8">
        <v>0.9</v>
      </c>
      <c r="U9433" s="8">
        <v>13.3</v>
      </c>
      <c r="V9433" s="8">
        <v>1</v>
      </c>
      <c r="W9433" s="8">
        <v>0.7</v>
      </c>
      <c r="X9433" s="8">
        <v>165</v>
      </c>
      <c r="Y9433" s="8" t="s">
        <v>40807</v>
      </c>
      <c r="Z9433" s="8" t="s">
        <v>40808</v>
      </c>
    </row>
    <row r="9434" spans="1:26" x14ac:dyDescent="0.2">
      <c r="A9434" s="8">
        <v>9433</v>
      </c>
      <c r="B9434" s="8" t="s">
        <v>40809</v>
      </c>
      <c r="C9434" s="8" t="s">
        <v>40809</v>
      </c>
      <c r="G9434" s="8">
        <v>20</v>
      </c>
      <c r="H9434" s="8" t="s">
        <v>21</v>
      </c>
      <c r="I9434" s="8" t="s">
        <v>72</v>
      </c>
      <c r="J9434" s="8" t="s">
        <v>72</v>
      </c>
      <c r="K9434" s="8" t="s">
        <v>73</v>
      </c>
      <c r="L9434" s="8" t="s">
        <v>38</v>
      </c>
      <c r="M9434" s="8" t="s">
        <v>39</v>
      </c>
      <c r="N9434" s="8" t="s">
        <v>40810</v>
      </c>
      <c r="O9434" s="8">
        <f>0+54/60+39.5/3600</f>
        <v>0.91097222222222229</v>
      </c>
      <c r="P9434" s="8" t="s">
        <v>40811</v>
      </c>
      <c r="Q9434" s="8">
        <f>+(32+31/60+11/3600)</f>
        <v>32.519722222222221</v>
      </c>
      <c r="R9434" s="8">
        <v>99</v>
      </c>
      <c r="S9434" s="8">
        <v>99</v>
      </c>
      <c r="T9434" s="8">
        <v>99</v>
      </c>
      <c r="U9434" s="8">
        <v>99</v>
      </c>
      <c r="Y9434" s="8" t="s">
        <v>40812</v>
      </c>
      <c r="Z9434" s="8" t="s">
        <v>40813</v>
      </c>
    </row>
    <row r="9435" spans="1:26" x14ac:dyDescent="0.2">
      <c r="A9435" s="8">
        <v>9434</v>
      </c>
      <c r="B9435" s="8" t="s">
        <v>40814</v>
      </c>
      <c r="C9435" s="8" t="s">
        <v>40814</v>
      </c>
      <c r="G9435" s="8">
        <v>20</v>
      </c>
      <c r="H9435" s="8" t="s">
        <v>21</v>
      </c>
      <c r="I9435" s="8" t="s">
        <v>22</v>
      </c>
      <c r="J9435" s="8" t="s">
        <v>22</v>
      </c>
      <c r="K9435" s="8" t="s">
        <v>218</v>
      </c>
      <c r="L9435" s="8" t="s">
        <v>166</v>
      </c>
      <c r="M9435" s="8" t="s">
        <v>167</v>
      </c>
      <c r="N9435" s="8" t="s">
        <v>40815</v>
      </c>
      <c r="O9435" s="8">
        <f>0+53/60+45.2/3600</f>
        <v>0.89588888888888885</v>
      </c>
      <c r="P9435" s="8" t="s">
        <v>40816</v>
      </c>
      <c r="Q9435" s="8">
        <f>-(47+38/60+52/3600)</f>
        <v>-47.647777777777776</v>
      </c>
      <c r="R9435" s="8">
        <v>14.4</v>
      </c>
      <c r="S9435" s="8">
        <v>15.2</v>
      </c>
      <c r="T9435" s="8">
        <v>0.8</v>
      </c>
      <c r="U9435" s="8">
        <v>13.5</v>
      </c>
      <c r="V9435" s="8">
        <v>1.3</v>
      </c>
      <c r="W9435" s="8">
        <v>0.4</v>
      </c>
      <c r="X9435" s="8">
        <v>130</v>
      </c>
      <c r="Y9435" s="8" t="s">
        <v>40817</v>
      </c>
      <c r="Z9435" s="8" t="s">
        <v>40818</v>
      </c>
    </row>
    <row r="9436" spans="1:26" x14ac:dyDescent="0.2">
      <c r="A9436" s="8">
        <v>9435</v>
      </c>
      <c r="B9436" s="8" t="s">
        <v>40819</v>
      </c>
      <c r="C9436" s="8" t="s">
        <v>40819</v>
      </c>
      <c r="G9436" s="8">
        <v>20</v>
      </c>
      <c r="H9436" s="8" t="s">
        <v>21</v>
      </c>
      <c r="I9436" s="8" t="s">
        <v>22</v>
      </c>
      <c r="J9436" s="8" t="s">
        <v>22</v>
      </c>
      <c r="K9436" s="8" t="s">
        <v>23</v>
      </c>
      <c r="L9436" s="8" t="s">
        <v>166</v>
      </c>
      <c r="M9436" s="8" t="s">
        <v>167</v>
      </c>
      <c r="N9436" s="8" t="s">
        <v>40820</v>
      </c>
      <c r="O9436" s="8">
        <f>0+53/60+47/3600</f>
        <v>0.8963888888888889</v>
      </c>
      <c r="P9436" s="8" t="s">
        <v>40821</v>
      </c>
      <c r="Q9436" s="8">
        <f>-(45+11/60+11/3600)</f>
        <v>-45.186388888888885</v>
      </c>
      <c r="R9436" s="8">
        <v>14.3</v>
      </c>
      <c r="S9436" s="8">
        <v>15.1</v>
      </c>
      <c r="T9436" s="8">
        <v>0.8</v>
      </c>
      <c r="U9436" s="8">
        <v>12.7</v>
      </c>
      <c r="V9436" s="8">
        <v>1.5</v>
      </c>
      <c r="W9436" s="8">
        <v>0.2</v>
      </c>
      <c r="X9436" s="8">
        <v>12</v>
      </c>
      <c r="Y9436" s="8" t="s">
        <v>40822</v>
      </c>
      <c r="Z9436" s="8" t="s">
        <v>40823</v>
      </c>
    </row>
    <row r="9437" spans="1:26" x14ac:dyDescent="0.2">
      <c r="A9437" s="8">
        <v>9436</v>
      </c>
      <c r="B9437" s="8" t="s">
        <v>40824</v>
      </c>
      <c r="C9437" s="8" t="s">
        <v>40824</v>
      </c>
      <c r="G9437" s="8">
        <v>20</v>
      </c>
      <c r="H9437" s="8" t="s">
        <v>21</v>
      </c>
      <c r="I9437" s="8" t="s">
        <v>22</v>
      </c>
      <c r="J9437" s="8" t="s">
        <v>22</v>
      </c>
      <c r="K9437" s="8" t="s">
        <v>396</v>
      </c>
      <c r="L9437" s="8" t="s">
        <v>38</v>
      </c>
      <c r="M9437" s="8" t="s">
        <v>39</v>
      </c>
      <c r="N9437" s="8" t="s">
        <v>40825</v>
      </c>
      <c r="O9437" s="8">
        <f>0+54/60+42.7/3600</f>
        <v>0.91186111111111112</v>
      </c>
      <c r="P9437" s="8" t="s">
        <v>40826</v>
      </c>
      <c r="Q9437" s="8">
        <f>+(21+31/60+23/3600)</f>
        <v>21.523055555555555</v>
      </c>
      <c r="R9437" s="8">
        <v>13.8</v>
      </c>
      <c r="S9437" s="8">
        <v>14.6</v>
      </c>
      <c r="T9437" s="8">
        <v>0.8</v>
      </c>
      <c r="U9437" s="8">
        <v>13.7</v>
      </c>
      <c r="V9437" s="8">
        <v>1.8</v>
      </c>
      <c r="W9437" s="8">
        <v>0.6</v>
      </c>
      <c r="X9437" s="8">
        <v>120</v>
      </c>
      <c r="Y9437" s="8" t="s">
        <v>40827</v>
      </c>
      <c r="Z9437" s="8" t="s">
        <v>40828</v>
      </c>
    </row>
    <row r="9438" spans="1:26" x14ac:dyDescent="0.2">
      <c r="A9438" s="8">
        <v>9437</v>
      </c>
      <c r="B9438" s="8" t="s">
        <v>40829</v>
      </c>
      <c r="C9438" s="8" t="s">
        <v>40829</v>
      </c>
      <c r="G9438" s="8">
        <v>20</v>
      </c>
      <c r="H9438" s="8" t="s">
        <v>21</v>
      </c>
      <c r="I9438" s="8" t="s">
        <v>22</v>
      </c>
      <c r="J9438" s="8" t="s">
        <v>22</v>
      </c>
      <c r="K9438" s="8" t="s">
        <v>23</v>
      </c>
      <c r="L9438" s="8" t="s">
        <v>310</v>
      </c>
      <c r="M9438" s="8" t="s">
        <v>311</v>
      </c>
      <c r="N9438" s="8" t="s">
        <v>40830</v>
      </c>
      <c r="O9438" s="8">
        <f>0+53/60+32.1/3600</f>
        <v>0.89224999999999999</v>
      </c>
      <c r="P9438" s="8" t="s">
        <v>40831</v>
      </c>
      <c r="Q9438" s="8">
        <f>-(58+6/60+26/3600)</f>
        <v>-58.107222222222227</v>
      </c>
      <c r="R9438" s="8">
        <v>14.2</v>
      </c>
      <c r="S9438" s="8">
        <v>15</v>
      </c>
      <c r="T9438" s="8">
        <v>0.8</v>
      </c>
      <c r="U9438" s="8">
        <v>13.3</v>
      </c>
      <c r="V9438" s="8">
        <v>1.7</v>
      </c>
      <c r="W9438" s="8">
        <v>0.3</v>
      </c>
      <c r="X9438" s="8">
        <v>151</v>
      </c>
      <c r="Y9438" s="8" t="s">
        <v>40832</v>
      </c>
      <c r="Z9438" s="8" t="s">
        <v>40833</v>
      </c>
    </row>
    <row r="9439" spans="1:26" x14ac:dyDescent="0.2">
      <c r="A9439" s="8">
        <v>9438</v>
      </c>
      <c r="B9439" s="8" t="s">
        <v>40834</v>
      </c>
      <c r="C9439" s="8" t="s">
        <v>40834</v>
      </c>
      <c r="G9439" s="8">
        <v>20</v>
      </c>
      <c r="H9439" s="8" t="s">
        <v>21</v>
      </c>
      <c r="I9439" s="8" t="s">
        <v>22</v>
      </c>
      <c r="J9439" s="8" t="s">
        <v>22</v>
      </c>
      <c r="K9439" s="8" t="s">
        <v>91</v>
      </c>
      <c r="L9439" s="8" t="s">
        <v>38</v>
      </c>
      <c r="M9439" s="8" t="s">
        <v>39</v>
      </c>
      <c r="N9439" s="8" t="s">
        <v>40835</v>
      </c>
      <c r="O9439" s="8">
        <f>0+54/60+41.7/3600</f>
        <v>0.91158333333333341</v>
      </c>
      <c r="P9439" s="8" t="s">
        <v>40836</v>
      </c>
      <c r="Q9439" s="8">
        <f>+(5+46/60+27/3600)</f>
        <v>5.7741666666666669</v>
      </c>
      <c r="R9439" s="8">
        <v>13.9</v>
      </c>
      <c r="S9439" s="8">
        <v>14.8</v>
      </c>
      <c r="T9439" s="8">
        <v>0.9</v>
      </c>
      <c r="U9439" s="8">
        <v>13.1</v>
      </c>
      <c r="V9439" s="8">
        <v>1</v>
      </c>
      <c r="W9439" s="8">
        <v>0.5</v>
      </c>
      <c r="X9439" s="8">
        <v>2</v>
      </c>
      <c r="Y9439" s="8" t="s">
        <v>40837</v>
      </c>
      <c r="Z9439" s="8" t="s">
        <v>40838</v>
      </c>
    </row>
    <row r="9440" spans="1:26" x14ac:dyDescent="0.2">
      <c r="A9440" s="8">
        <v>9439</v>
      </c>
      <c r="B9440" s="8" t="s">
        <v>40839</v>
      </c>
      <c r="C9440" s="8" t="s">
        <v>40839</v>
      </c>
      <c r="G9440" s="8">
        <v>20</v>
      </c>
      <c r="H9440" s="8" t="s">
        <v>21</v>
      </c>
      <c r="I9440" s="8" t="s">
        <v>22</v>
      </c>
      <c r="J9440" s="8" t="s">
        <v>22</v>
      </c>
      <c r="K9440" s="8" t="s">
        <v>160</v>
      </c>
      <c r="L9440" s="8" t="s">
        <v>125</v>
      </c>
      <c r="M9440" s="8" t="s">
        <v>126</v>
      </c>
      <c r="N9440" s="8" t="s">
        <v>40840</v>
      </c>
      <c r="O9440" s="8">
        <f>0+54/60+32.7/3600</f>
        <v>0.90908333333333335</v>
      </c>
      <c r="P9440" s="8" t="s">
        <v>40841</v>
      </c>
      <c r="Q9440" s="8">
        <f>-(23+29/60+40/3600)</f>
        <v>-23.494444444444447</v>
      </c>
      <c r="R9440" s="8">
        <v>14.8</v>
      </c>
      <c r="S9440" s="8">
        <v>15.5</v>
      </c>
      <c r="T9440" s="8">
        <v>0.7</v>
      </c>
      <c r="U9440" s="8">
        <v>13</v>
      </c>
      <c r="V9440" s="8">
        <v>1.1000000000000001</v>
      </c>
      <c r="W9440" s="8">
        <v>0.2</v>
      </c>
      <c r="X9440" s="8">
        <v>106</v>
      </c>
      <c r="Y9440" s="8" t="s">
        <v>40842</v>
      </c>
      <c r="Z9440" s="8" t="s">
        <v>40843</v>
      </c>
    </row>
    <row r="9441" spans="1:26" x14ac:dyDescent="0.2">
      <c r="A9441" s="8">
        <v>9440</v>
      </c>
      <c r="B9441" s="8" t="s">
        <v>40844</v>
      </c>
      <c r="C9441" s="8" t="s">
        <v>40844</v>
      </c>
      <c r="G9441" s="8">
        <v>20</v>
      </c>
      <c r="H9441" s="8" t="s">
        <v>21</v>
      </c>
      <c r="I9441" s="8" t="s">
        <v>22</v>
      </c>
      <c r="J9441" s="8" t="s">
        <v>22</v>
      </c>
      <c r="K9441" s="8" t="s">
        <v>23</v>
      </c>
      <c r="L9441" s="8" t="s">
        <v>125</v>
      </c>
      <c r="M9441" s="8" t="s">
        <v>126</v>
      </c>
      <c r="N9441" s="8" t="s">
        <v>40845</v>
      </c>
      <c r="O9441" s="8">
        <f>0+55/60+4.2/3600</f>
        <v>0.91783333333333328</v>
      </c>
      <c r="P9441" s="8" t="s">
        <v>40846</v>
      </c>
      <c r="Q9441" s="8">
        <f>-(23+31/60+28/3600)</f>
        <v>-23.524444444444445</v>
      </c>
      <c r="R9441" s="8">
        <v>14.8</v>
      </c>
      <c r="S9441" s="8">
        <v>15.6</v>
      </c>
      <c r="T9441" s="8">
        <v>0.8</v>
      </c>
      <c r="U9441" s="8">
        <v>13.4</v>
      </c>
      <c r="V9441" s="8">
        <v>0.8</v>
      </c>
      <c r="W9441" s="8">
        <v>0.4</v>
      </c>
      <c r="X9441" s="8">
        <v>88</v>
      </c>
      <c r="Y9441" s="8" t="s">
        <v>40847</v>
      </c>
      <c r="Z9441" s="8" t="s">
        <v>40848</v>
      </c>
    </row>
    <row r="9442" spans="1:26" x14ac:dyDescent="0.2">
      <c r="A9442" s="8">
        <v>9441</v>
      </c>
      <c r="B9442" s="8" t="s">
        <v>40849</v>
      </c>
      <c r="C9442" s="8" t="s">
        <v>40849</v>
      </c>
      <c r="G9442" s="8">
        <v>20</v>
      </c>
      <c r="H9442" s="8" t="s">
        <v>21</v>
      </c>
      <c r="I9442" s="8" t="s">
        <v>22</v>
      </c>
      <c r="J9442" s="8" t="s">
        <v>22</v>
      </c>
      <c r="K9442" s="8" t="s">
        <v>31</v>
      </c>
      <c r="L9442" s="8" t="s">
        <v>125</v>
      </c>
      <c r="M9442" s="8" t="s">
        <v>126</v>
      </c>
      <c r="N9442" s="8" t="s">
        <v>40850</v>
      </c>
      <c r="O9442" s="8">
        <f>0+55/60+34.7/3600</f>
        <v>0.92630555555555549</v>
      </c>
      <c r="P9442" s="8" t="s">
        <v>40851</v>
      </c>
      <c r="Q9442" s="8">
        <f>-(24+9/60+12/3600)</f>
        <v>-24.153333333333332</v>
      </c>
      <c r="R9442" s="8">
        <v>13.7</v>
      </c>
      <c r="S9442" s="8">
        <v>14.5</v>
      </c>
      <c r="T9442" s="8">
        <v>0.8</v>
      </c>
      <c r="U9442" s="8">
        <v>12.4</v>
      </c>
      <c r="V9442" s="8">
        <v>0.9</v>
      </c>
      <c r="W9442" s="8">
        <v>0.4</v>
      </c>
      <c r="X9442" s="8">
        <v>117</v>
      </c>
      <c r="Y9442" s="8" t="s">
        <v>21</v>
      </c>
      <c r="Z9442" s="8" t="s">
        <v>40852</v>
      </c>
    </row>
    <row r="9443" spans="1:26" x14ac:dyDescent="0.2">
      <c r="A9443" s="8">
        <v>9442</v>
      </c>
      <c r="B9443" s="8" t="s">
        <v>40853</v>
      </c>
      <c r="C9443" s="8" t="s">
        <v>40853</v>
      </c>
      <c r="G9443" s="8">
        <v>20</v>
      </c>
      <c r="H9443" s="8" t="s">
        <v>21</v>
      </c>
      <c r="I9443" s="8" t="s">
        <v>22</v>
      </c>
      <c r="J9443" s="8" t="s">
        <v>22</v>
      </c>
      <c r="K9443" s="8" t="s">
        <v>183</v>
      </c>
      <c r="L9443" s="8" t="s">
        <v>125</v>
      </c>
      <c r="M9443" s="8" t="s">
        <v>126</v>
      </c>
      <c r="N9443" s="8" t="s">
        <v>40854</v>
      </c>
      <c r="O9443" s="8">
        <f>0+55/60+51.8/3600</f>
        <v>0.93105555555555553</v>
      </c>
      <c r="P9443" s="8" t="s">
        <v>40855</v>
      </c>
      <c r="Q9443" s="8">
        <f>-(9+59/60+7/3600)</f>
        <v>-9.9852777777777764</v>
      </c>
      <c r="R9443" s="8">
        <v>14.3</v>
      </c>
      <c r="S9443" s="8">
        <v>15.3</v>
      </c>
      <c r="T9443" s="8">
        <v>1</v>
      </c>
      <c r="U9443" s="8">
        <v>13.4</v>
      </c>
      <c r="V9443" s="8">
        <v>0.7</v>
      </c>
      <c r="W9443" s="8">
        <v>0.6</v>
      </c>
      <c r="X9443" s="8">
        <v>174</v>
      </c>
      <c r="Y9443" s="8" t="s">
        <v>21</v>
      </c>
      <c r="Z9443" s="8" t="s">
        <v>40856</v>
      </c>
    </row>
    <row r="9444" spans="1:26" x14ac:dyDescent="0.2">
      <c r="A9444" s="8">
        <v>9443</v>
      </c>
      <c r="B9444" s="8" t="s">
        <v>40857</v>
      </c>
      <c r="C9444" s="8" t="s">
        <v>40857</v>
      </c>
      <c r="G9444" s="8">
        <v>20</v>
      </c>
      <c r="H9444" s="8" t="s">
        <v>21</v>
      </c>
      <c r="I9444" s="8" t="s">
        <v>22</v>
      </c>
      <c r="J9444" s="8" t="s">
        <v>22</v>
      </c>
      <c r="K9444" s="8" t="s">
        <v>160</v>
      </c>
      <c r="L9444" s="8" t="s">
        <v>166</v>
      </c>
      <c r="M9444" s="8" t="s">
        <v>167</v>
      </c>
      <c r="N9444" s="8" t="s">
        <v>40858</v>
      </c>
      <c r="O9444" s="8">
        <f>0+56/60+59.7/3600</f>
        <v>0.94991666666666663</v>
      </c>
      <c r="P9444" s="8" t="s">
        <v>40859</v>
      </c>
      <c r="Q9444" s="8">
        <f>-(45+24/60+46/3600)</f>
        <v>-45.412777777777777</v>
      </c>
      <c r="R9444" s="8">
        <v>13.8</v>
      </c>
      <c r="S9444" s="8">
        <v>14.5</v>
      </c>
      <c r="T9444" s="8">
        <v>0.7</v>
      </c>
      <c r="U9444" s="8">
        <v>13.9</v>
      </c>
      <c r="V9444" s="8">
        <v>1.3</v>
      </c>
      <c r="W9444" s="8">
        <v>0.8</v>
      </c>
      <c r="X9444" s="8">
        <v>111</v>
      </c>
      <c r="Y9444" s="8" t="s">
        <v>21</v>
      </c>
      <c r="Z9444" s="8" t="s">
        <v>40860</v>
      </c>
    </row>
    <row r="9445" spans="1:26" x14ac:dyDescent="0.2">
      <c r="A9445" s="8">
        <v>9444</v>
      </c>
      <c r="B9445" s="8" t="s">
        <v>40861</v>
      </c>
      <c r="C9445" s="8" t="s">
        <v>40861</v>
      </c>
      <c r="G9445" s="8">
        <v>20</v>
      </c>
      <c r="H9445" s="8" t="s">
        <v>21</v>
      </c>
      <c r="I9445" s="8" t="s">
        <v>329</v>
      </c>
      <c r="J9445" s="8" t="s">
        <v>329</v>
      </c>
      <c r="K9445" s="8" t="s">
        <v>329</v>
      </c>
      <c r="L9445" s="8" t="s">
        <v>125</v>
      </c>
      <c r="M9445" s="8" t="s">
        <v>126</v>
      </c>
      <c r="N9445" s="8" t="s">
        <v>40862</v>
      </c>
      <c r="O9445" s="8">
        <f>0+58/60+0/3600</f>
        <v>0.96666666666666667</v>
      </c>
      <c r="P9445" s="8" t="s">
        <v>40863</v>
      </c>
      <c r="Q9445" s="8">
        <f>-(16+13/60+0/3600)</f>
        <v>-16.216666666666665</v>
      </c>
      <c r="R9445" s="8">
        <v>99</v>
      </c>
      <c r="S9445" s="8">
        <v>99</v>
      </c>
      <c r="T9445" s="8">
        <v>99</v>
      </c>
      <c r="U9445" s="8">
        <v>99</v>
      </c>
      <c r="Y9445" s="8" t="s">
        <v>21</v>
      </c>
      <c r="Z9445" s="8" t="s">
        <v>40864</v>
      </c>
    </row>
    <row r="9446" spans="1:26" x14ac:dyDescent="0.2">
      <c r="A9446" s="8">
        <v>9445</v>
      </c>
      <c r="B9446" s="8" t="s">
        <v>40865</v>
      </c>
      <c r="C9446" s="8" t="s">
        <v>40865</v>
      </c>
      <c r="G9446" s="8">
        <v>20</v>
      </c>
      <c r="H9446" s="8" t="s">
        <v>21</v>
      </c>
      <c r="I9446" s="8" t="s">
        <v>22</v>
      </c>
      <c r="J9446" s="8" t="s">
        <v>22</v>
      </c>
      <c r="K9446" s="8" t="s">
        <v>85</v>
      </c>
      <c r="L9446" s="8" t="s">
        <v>166</v>
      </c>
      <c r="M9446" s="8" t="s">
        <v>167</v>
      </c>
      <c r="N9446" s="8" t="s">
        <v>40866</v>
      </c>
      <c r="O9446" s="8">
        <f>0+57/60+37.4/3600</f>
        <v>0.96038888888888885</v>
      </c>
      <c r="P9446" s="8" t="s">
        <v>40867</v>
      </c>
      <c r="Q9446" s="8">
        <f>-(48+54/60+10/3600)</f>
        <v>-48.902777777777779</v>
      </c>
      <c r="R9446" s="8">
        <v>12.9</v>
      </c>
      <c r="S9446" s="8">
        <v>13.7</v>
      </c>
      <c r="T9446" s="8">
        <v>0.8</v>
      </c>
      <c r="U9446" s="8">
        <v>13.5</v>
      </c>
      <c r="V9446" s="8">
        <v>1.6</v>
      </c>
      <c r="W9446" s="8">
        <v>1.3</v>
      </c>
      <c r="X9446" s="8">
        <v>138</v>
      </c>
      <c r="Y9446" s="8" t="s">
        <v>27240</v>
      </c>
      <c r="Z9446" s="8" t="s">
        <v>27241</v>
      </c>
    </row>
    <row r="9447" spans="1:26" x14ac:dyDescent="0.2">
      <c r="A9447" s="8">
        <v>9446</v>
      </c>
      <c r="B9447" s="8" t="s">
        <v>40868</v>
      </c>
      <c r="C9447" s="8" t="s">
        <v>40868</v>
      </c>
      <c r="G9447" s="8">
        <v>20</v>
      </c>
      <c r="H9447" s="8" t="s">
        <v>21</v>
      </c>
      <c r="I9447" s="8" t="s">
        <v>329</v>
      </c>
      <c r="J9447" s="8" t="s">
        <v>329</v>
      </c>
      <c r="K9447" s="8" t="s">
        <v>329</v>
      </c>
      <c r="L9447" s="8" t="s">
        <v>125</v>
      </c>
      <c r="M9447" s="8" t="s">
        <v>126</v>
      </c>
      <c r="N9447" s="8" t="s">
        <v>40869</v>
      </c>
      <c r="O9447" s="8">
        <f>0+58/60+22.3/3600</f>
        <v>0.97286111111111107</v>
      </c>
      <c r="P9447" s="8" t="s">
        <v>40870</v>
      </c>
      <c r="Q9447" s="8">
        <f>-(12+10/60+47/3600)</f>
        <v>-12.179722222222221</v>
      </c>
      <c r="R9447" s="8">
        <v>99</v>
      </c>
      <c r="S9447" s="8">
        <v>99</v>
      </c>
      <c r="T9447" s="8">
        <v>99</v>
      </c>
      <c r="U9447" s="8">
        <v>99</v>
      </c>
      <c r="Y9447" s="8" t="s">
        <v>21</v>
      </c>
      <c r="Z9447" s="8" t="s">
        <v>40871</v>
      </c>
    </row>
    <row r="9448" spans="1:26" x14ac:dyDescent="0.2">
      <c r="A9448" s="8">
        <v>9447</v>
      </c>
      <c r="B9448" s="8" t="s">
        <v>40872</v>
      </c>
      <c r="C9448" s="8" t="s">
        <v>40872</v>
      </c>
      <c r="G9448" s="8">
        <v>20</v>
      </c>
      <c r="H9448" s="8" t="s">
        <v>21</v>
      </c>
      <c r="I9448" s="8" t="s">
        <v>22</v>
      </c>
      <c r="J9448" s="8" t="s">
        <v>22</v>
      </c>
      <c r="K9448" s="8" t="s">
        <v>476</v>
      </c>
      <c r="L9448" s="8" t="s">
        <v>125</v>
      </c>
      <c r="M9448" s="8" t="s">
        <v>126</v>
      </c>
      <c r="N9448" s="8" t="s">
        <v>40873</v>
      </c>
      <c r="O9448" s="8">
        <f>0+58/60+48.9/3600</f>
        <v>0.98024999999999995</v>
      </c>
      <c r="P9448" s="8" t="s">
        <v>40874</v>
      </c>
      <c r="Q9448" s="8">
        <f>+(0+35/60+14/3600)</f>
        <v>0.58722222222222231</v>
      </c>
      <c r="R9448" s="8">
        <v>13.4</v>
      </c>
      <c r="S9448" s="8">
        <v>14.3</v>
      </c>
      <c r="T9448" s="8">
        <v>0.9</v>
      </c>
      <c r="U9448" s="8">
        <v>13</v>
      </c>
      <c r="V9448" s="8">
        <v>0.9</v>
      </c>
      <c r="W9448" s="8">
        <v>0.9</v>
      </c>
      <c r="Y9448" s="8" t="s">
        <v>5343</v>
      </c>
      <c r="Z9448" s="8" t="s">
        <v>4250</v>
      </c>
    </row>
    <row r="9449" spans="1:26" x14ac:dyDescent="0.2">
      <c r="A9449" s="8">
        <v>9448</v>
      </c>
      <c r="B9449" s="8" t="s">
        <v>40875</v>
      </c>
      <c r="C9449" s="8" t="s">
        <v>40875</v>
      </c>
      <c r="G9449" s="8">
        <v>20</v>
      </c>
      <c r="H9449" s="8" t="s">
        <v>21</v>
      </c>
      <c r="I9449" s="8" t="s">
        <v>22</v>
      </c>
      <c r="J9449" s="8" t="s">
        <v>22</v>
      </c>
      <c r="K9449" s="8" t="s">
        <v>632</v>
      </c>
      <c r="L9449" s="8" t="s">
        <v>65</v>
      </c>
      <c r="M9449" s="8" t="s">
        <v>66</v>
      </c>
      <c r="N9449" s="8" t="s">
        <v>40876</v>
      </c>
      <c r="O9449" s="8">
        <f>0+59/60+24.2/3600</f>
        <v>0.99005555555555547</v>
      </c>
      <c r="P9449" s="8" t="s">
        <v>40877</v>
      </c>
      <c r="Q9449" s="8">
        <f>-(34+19/60+47/3600)</f>
        <v>-34.329722222222223</v>
      </c>
      <c r="R9449" s="8">
        <v>12.4</v>
      </c>
      <c r="S9449" s="8">
        <v>13.3</v>
      </c>
      <c r="T9449" s="8">
        <v>0.9</v>
      </c>
      <c r="U9449" s="8">
        <v>12.9</v>
      </c>
      <c r="V9449" s="8">
        <v>2</v>
      </c>
      <c r="W9449" s="8">
        <v>0.9</v>
      </c>
      <c r="X9449" s="8">
        <v>170</v>
      </c>
      <c r="Y9449" s="8" t="s">
        <v>21</v>
      </c>
      <c r="Z9449" s="8" t="s">
        <v>40878</v>
      </c>
    </row>
    <row r="9450" spans="1:26" x14ac:dyDescent="0.2">
      <c r="A9450" s="8">
        <v>9449</v>
      </c>
      <c r="B9450" s="8" t="s">
        <v>40879</v>
      </c>
      <c r="C9450" s="8" t="s">
        <v>40879</v>
      </c>
      <c r="G9450" s="8">
        <v>20</v>
      </c>
      <c r="H9450" s="8" t="s">
        <v>21</v>
      </c>
      <c r="I9450" s="8" t="s">
        <v>22</v>
      </c>
      <c r="J9450" s="8" t="s">
        <v>22</v>
      </c>
      <c r="K9450" s="8" t="s">
        <v>37</v>
      </c>
      <c r="L9450" s="8" t="s">
        <v>166</v>
      </c>
      <c r="M9450" s="8" t="s">
        <v>167</v>
      </c>
      <c r="N9450" s="8" t="s">
        <v>40880</v>
      </c>
      <c r="O9450" s="8">
        <f>0+59/60+46.7/3600</f>
        <v>0.99630555555555556</v>
      </c>
      <c r="P9450" s="8" t="s">
        <v>40881</v>
      </c>
      <c r="Q9450" s="8">
        <f>-(40+20/60+1/3600)</f>
        <v>-40.333611111111111</v>
      </c>
      <c r="R9450" s="8">
        <v>12.6</v>
      </c>
      <c r="S9450" s="8">
        <v>13.6</v>
      </c>
      <c r="T9450" s="8">
        <v>1</v>
      </c>
      <c r="U9450" s="8">
        <v>13.2</v>
      </c>
      <c r="V9450" s="8">
        <v>1.4</v>
      </c>
      <c r="W9450" s="8">
        <v>1.4</v>
      </c>
      <c r="Y9450" s="8" t="s">
        <v>421</v>
      </c>
      <c r="Z9450" s="8" t="s">
        <v>422</v>
      </c>
    </row>
    <row r="9451" spans="1:26" x14ac:dyDescent="0.2">
      <c r="A9451" s="8">
        <v>9450</v>
      </c>
      <c r="B9451" s="8" t="s">
        <v>40882</v>
      </c>
      <c r="C9451" s="8" t="s">
        <v>40882</v>
      </c>
      <c r="G9451" s="8">
        <v>20</v>
      </c>
      <c r="H9451" s="8" t="s">
        <v>21</v>
      </c>
      <c r="I9451" s="8" t="s">
        <v>22</v>
      </c>
      <c r="J9451" s="8" t="s">
        <v>22</v>
      </c>
      <c r="K9451" s="8" t="s">
        <v>632</v>
      </c>
      <c r="L9451" s="8" t="s">
        <v>125</v>
      </c>
      <c r="M9451" s="8" t="s">
        <v>126</v>
      </c>
      <c r="N9451" s="8" t="s">
        <v>40883</v>
      </c>
      <c r="O9451" s="8">
        <f>1+1/60+42.7/3600</f>
        <v>1.0285277777777777</v>
      </c>
      <c r="P9451" s="8" t="s">
        <v>40884</v>
      </c>
      <c r="Q9451" s="8">
        <f>-(15+34/60+4/3600)</f>
        <v>-15.567777777777778</v>
      </c>
      <c r="R9451" s="8">
        <v>12.9</v>
      </c>
      <c r="S9451" s="8">
        <v>13.8</v>
      </c>
      <c r="T9451" s="8">
        <v>0.9</v>
      </c>
      <c r="U9451" s="8">
        <v>13.2</v>
      </c>
      <c r="V9451" s="8">
        <v>1.4</v>
      </c>
      <c r="W9451" s="8">
        <v>1</v>
      </c>
      <c r="X9451" s="8">
        <v>110</v>
      </c>
      <c r="Y9451" s="8" t="s">
        <v>40885</v>
      </c>
      <c r="Z9451" s="8" t="s">
        <v>40886</v>
      </c>
    </row>
    <row r="9452" spans="1:26" x14ac:dyDescent="0.2">
      <c r="A9452" s="8">
        <v>9451</v>
      </c>
      <c r="B9452" s="8" t="s">
        <v>40887</v>
      </c>
      <c r="C9452" s="8" t="s">
        <v>40887</v>
      </c>
      <c r="G9452" s="8">
        <v>20</v>
      </c>
      <c r="H9452" s="8" t="s">
        <v>21</v>
      </c>
      <c r="I9452" s="8" t="s">
        <v>557</v>
      </c>
      <c r="J9452" s="8" t="s">
        <v>557</v>
      </c>
      <c r="K9452" s="8" t="s">
        <v>557</v>
      </c>
      <c r="L9452" s="8" t="s">
        <v>310</v>
      </c>
      <c r="M9452" s="8" t="s">
        <v>311</v>
      </c>
      <c r="N9452" s="8" t="s">
        <v>40888</v>
      </c>
      <c r="O9452" s="8">
        <f>0+59/60+48.7/3600</f>
        <v>0.99686111111111109</v>
      </c>
      <c r="P9452" s="8" t="s">
        <v>40889</v>
      </c>
      <c r="Q9452" s="8">
        <f>-(72+19/60+57/3600)</f>
        <v>-72.332499999999996</v>
      </c>
      <c r="R9452" s="8">
        <v>12</v>
      </c>
      <c r="S9452" s="8">
        <v>99</v>
      </c>
      <c r="T9452" s="8">
        <v>99</v>
      </c>
      <c r="U9452" s="8">
        <v>99</v>
      </c>
      <c r="V9452" s="8">
        <v>1</v>
      </c>
      <c r="Y9452" s="8" t="s">
        <v>36198</v>
      </c>
      <c r="Z9452" s="8" t="s">
        <v>36199</v>
      </c>
    </row>
    <row r="9453" spans="1:26" x14ac:dyDescent="0.2">
      <c r="A9453" s="8">
        <v>9452</v>
      </c>
      <c r="B9453" s="8" t="s">
        <v>40890</v>
      </c>
      <c r="C9453" s="8" t="s">
        <v>40890</v>
      </c>
      <c r="G9453" s="8">
        <v>20</v>
      </c>
      <c r="H9453" s="8" t="s">
        <v>21</v>
      </c>
      <c r="I9453" s="8" t="s">
        <v>557</v>
      </c>
      <c r="J9453" s="8" t="s">
        <v>557</v>
      </c>
      <c r="K9453" s="8" t="s">
        <v>557</v>
      </c>
      <c r="L9453" s="8" t="s">
        <v>310</v>
      </c>
      <c r="M9453" s="8" t="s">
        <v>311</v>
      </c>
      <c r="N9453" s="8" t="s">
        <v>40891</v>
      </c>
      <c r="O9453" s="8">
        <f>0+59/60+59.6/3600</f>
        <v>0.99988888888888883</v>
      </c>
      <c r="P9453" s="8" t="s">
        <v>40892</v>
      </c>
      <c r="Q9453" s="8">
        <f>-(72+22/60+15/3600)</f>
        <v>-72.370833333333323</v>
      </c>
      <c r="R9453" s="8">
        <v>12.5</v>
      </c>
      <c r="S9453" s="8">
        <v>99</v>
      </c>
      <c r="T9453" s="8">
        <v>99</v>
      </c>
      <c r="U9453" s="8">
        <v>99</v>
      </c>
      <c r="V9453" s="8">
        <v>0.7</v>
      </c>
      <c r="Y9453" s="8" t="s">
        <v>266</v>
      </c>
      <c r="Z9453" s="8" t="s">
        <v>267</v>
      </c>
    </row>
    <row r="9454" spans="1:26" x14ac:dyDescent="0.2">
      <c r="A9454" s="8">
        <v>9453</v>
      </c>
      <c r="B9454" s="8" t="s">
        <v>40893</v>
      </c>
      <c r="C9454" s="8" t="s">
        <v>40893</v>
      </c>
      <c r="G9454" s="8">
        <v>2</v>
      </c>
      <c r="H9454" s="8" t="s">
        <v>21</v>
      </c>
      <c r="I9454" s="8" t="s">
        <v>22</v>
      </c>
      <c r="J9454" s="8" t="s">
        <v>22</v>
      </c>
      <c r="K9454" s="8" t="s">
        <v>107</v>
      </c>
      <c r="L9454" s="8" t="s">
        <v>125</v>
      </c>
      <c r="M9454" s="8" t="s">
        <v>126</v>
      </c>
      <c r="N9454" s="8" t="s">
        <v>40894</v>
      </c>
      <c r="O9454" s="8">
        <f>1+4/60+47.5/3600</f>
        <v>1.0798611111111112</v>
      </c>
      <c r="P9454" s="8" t="s">
        <v>40895</v>
      </c>
      <c r="Q9454" s="8">
        <f>+(2+7/60+7/3600)</f>
        <v>2.118611111111111</v>
      </c>
      <c r="R9454" s="8">
        <v>9.1999999999999993</v>
      </c>
      <c r="S9454" s="8">
        <v>9.9</v>
      </c>
      <c r="T9454" s="8">
        <v>0.7</v>
      </c>
      <c r="U9454" s="8">
        <v>15</v>
      </c>
      <c r="V9454" s="8">
        <v>16.600000000000001</v>
      </c>
      <c r="W9454" s="8">
        <v>14.9</v>
      </c>
      <c r="X9454" s="8">
        <v>50</v>
      </c>
      <c r="Y9454" s="8" t="s">
        <v>40896</v>
      </c>
      <c r="Z9454" s="8" t="s">
        <v>40897</v>
      </c>
    </row>
    <row r="9455" spans="1:26" x14ac:dyDescent="0.2">
      <c r="A9455" s="8">
        <v>9454</v>
      </c>
      <c r="B9455" s="8" t="s">
        <v>40898</v>
      </c>
      <c r="C9455" s="8" t="s">
        <v>40898</v>
      </c>
      <c r="G9455" s="8">
        <v>20</v>
      </c>
      <c r="H9455" s="8" t="s">
        <v>21</v>
      </c>
      <c r="I9455" s="8" t="s">
        <v>22</v>
      </c>
      <c r="J9455" s="8" t="s">
        <v>22</v>
      </c>
      <c r="K9455" s="8" t="s">
        <v>460</v>
      </c>
      <c r="L9455" s="8" t="s">
        <v>38</v>
      </c>
      <c r="M9455" s="8" t="s">
        <v>39</v>
      </c>
      <c r="N9455" s="8" t="s">
        <v>40899</v>
      </c>
      <c r="O9455" s="8">
        <f>1+5/60+6.9/3600</f>
        <v>1.0852499999999998</v>
      </c>
      <c r="P9455" s="8" t="s">
        <v>40900</v>
      </c>
      <c r="Q9455" s="8">
        <f>+(33+11/60+25/3600)</f>
        <v>33.190277777777773</v>
      </c>
      <c r="R9455" s="8">
        <v>16.600000000000001</v>
      </c>
      <c r="S9455" s="8">
        <v>17.600000000000001</v>
      </c>
      <c r="T9455" s="8">
        <v>1</v>
      </c>
      <c r="U9455" s="8">
        <v>14.1</v>
      </c>
      <c r="V9455" s="8">
        <v>0.3</v>
      </c>
      <c r="W9455" s="8">
        <v>0.3</v>
      </c>
      <c r="Y9455" s="8" t="s">
        <v>40901</v>
      </c>
      <c r="Z9455" s="8" t="s">
        <v>40902</v>
      </c>
    </row>
    <row r="9456" spans="1:26" x14ac:dyDescent="0.2">
      <c r="A9456" s="8">
        <v>9455</v>
      </c>
      <c r="B9456" s="8" t="s">
        <v>40903</v>
      </c>
      <c r="C9456" s="8" t="s">
        <v>40903</v>
      </c>
      <c r="G9456" s="8">
        <v>20</v>
      </c>
      <c r="H9456" s="8" t="s">
        <v>21</v>
      </c>
      <c r="I9456" s="8" t="s">
        <v>22</v>
      </c>
      <c r="J9456" s="8" t="s">
        <v>22</v>
      </c>
      <c r="K9456" s="8" t="s">
        <v>396</v>
      </c>
      <c r="L9456" s="8" t="s">
        <v>166</v>
      </c>
      <c r="M9456" s="8" t="s">
        <v>167</v>
      </c>
      <c r="N9456" s="8" t="s">
        <v>40904</v>
      </c>
      <c r="O9456" s="8">
        <f>1+4/60+6.8/3600</f>
        <v>1.0685555555555555</v>
      </c>
      <c r="P9456" s="8" t="s">
        <v>40905</v>
      </c>
      <c r="Q9456" s="8">
        <f>-(51+7/60+58/3600)</f>
        <v>-51.132777777777775</v>
      </c>
      <c r="R9456" s="8">
        <v>13.4</v>
      </c>
      <c r="S9456" s="8">
        <v>14.2</v>
      </c>
      <c r="T9456" s="8">
        <v>0.8</v>
      </c>
      <c r="U9456" s="8">
        <v>12.9</v>
      </c>
      <c r="V9456" s="8">
        <v>1.3</v>
      </c>
      <c r="W9456" s="8">
        <v>0.6</v>
      </c>
      <c r="X9456" s="8">
        <v>143</v>
      </c>
      <c r="Y9456" s="8" t="s">
        <v>40906</v>
      </c>
      <c r="Z9456" s="8" t="s">
        <v>40907</v>
      </c>
    </row>
    <row r="9457" spans="1:26" x14ac:dyDescent="0.2">
      <c r="A9457" s="8">
        <v>9456</v>
      </c>
      <c r="B9457" s="8" t="s">
        <v>40908</v>
      </c>
      <c r="C9457" s="8" t="s">
        <v>40908</v>
      </c>
      <c r="G9457" s="8">
        <v>20</v>
      </c>
      <c r="H9457" s="8" t="s">
        <v>21</v>
      </c>
      <c r="I9457" s="8" t="s">
        <v>22</v>
      </c>
      <c r="J9457" s="8" t="s">
        <v>22</v>
      </c>
      <c r="K9457" s="8" t="s">
        <v>85</v>
      </c>
      <c r="L9457" s="8" t="s">
        <v>65</v>
      </c>
      <c r="M9457" s="8" t="s">
        <v>66</v>
      </c>
      <c r="N9457" s="8" t="s">
        <v>40909</v>
      </c>
      <c r="O9457" s="8">
        <f>1+4/60+56.1/3600</f>
        <v>1.0822499999999999</v>
      </c>
      <c r="P9457" s="8" t="s">
        <v>40910</v>
      </c>
      <c r="Q9457" s="8">
        <f>-(27+25/60+44/3600)</f>
        <v>-27.428888888888888</v>
      </c>
      <c r="R9457" s="8">
        <v>12.6</v>
      </c>
      <c r="S9457" s="8">
        <v>13.4</v>
      </c>
      <c r="T9457" s="8">
        <v>0.8</v>
      </c>
      <c r="U9457" s="8">
        <v>13.3</v>
      </c>
      <c r="V9457" s="8">
        <v>1.6</v>
      </c>
      <c r="W9457" s="8">
        <v>1.4</v>
      </c>
      <c r="X9457" s="8">
        <v>4</v>
      </c>
      <c r="Y9457" s="8" t="s">
        <v>21</v>
      </c>
      <c r="Z9457" s="8" t="s">
        <v>40911</v>
      </c>
    </row>
    <row r="9458" spans="1:26" x14ac:dyDescent="0.2">
      <c r="A9458" s="8">
        <v>9457</v>
      </c>
      <c r="B9458" s="8" t="s">
        <v>40912</v>
      </c>
      <c r="C9458" s="8" t="s">
        <v>40912</v>
      </c>
      <c r="G9458" s="8">
        <v>20</v>
      </c>
      <c r="H9458" s="8" t="s">
        <v>21</v>
      </c>
      <c r="I9458" s="8" t="s">
        <v>22</v>
      </c>
      <c r="J9458" s="8" t="s">
        <v>22</v>
      </c>
      <c r="K9458" s="8" t="s">
        <v>632</v>
      </c>
      <c r="L9458" s="8" t="s">
        <v>166</v>
      </c>
      <c r="M9458" s="8" t="s">
        <v>167</v>
      </c>
      <c r="N9458" s="8" t="s">
        <v>40913</v>
      </c>
      <c r="O9458" s="8">
        <f>1+4/60+16.7/3600</f>
        <v>1.0713055555555555</v>
      </c>
      <c r="P9458" s="8" t="s">
        <v>40914</v>
      </c>
      <c r="Q9458" s="8">
        <f>-(51+1/60+57/3600)</f>
        <v>-51.032499999999999</v>
      </c>
      <c r="R9458" s="8">
        <v>13.7</v>
      </c>
      <c r="S9458" s="8">
        <v>14.6</v>
      </c>
      <c r="T9458" s="8">
        <v>0.9</v>
      </c>
      <c r="U9458" s="8">
        <v>13.4</v>
      </c>
      <c r="V9458" s="8">
        <v>1.4</v>
      </c>
      <c r="W9458" s="8">
        <v>0.6</v>
      </c>
      <c r="X9458" s="8">
        <v>125</v>
      </c>
      <c r="Y9458" s="8" t="s">
        <v>40915</v>
      </c>
      <c r="Z9458" s="8" t="s">
        <v>40916</v>
      </c>
    </row>
    <row r="9459" spans="1:26" x14ac:dyDescent="0.2">
      <c r="A9459" s="8">
        <v>9458</v>
      </c>
      <c r="B9459" s="8" t="s">
        <v>40917</v>
      </c>
      <c r="C9459" s="8" t="s">
        <v>40917</v>
      </c>
      <c r="G9459" s="8">
        <v>20</v>
      </c>
      <c r="H9459" s="8" t="s">
        <v>21</v>
      </c>
      <c r="I9459" s="8" t="s">
        <v>22</v>
      </c>
      <c r="J9459" s="8" t="s">
        <v>22</v>
      </c>
      <c r="K9459" s="8" t="s">
        <v>37</v>
      </c>
      <c r="L9459" s="8" t="s">
        <v>38</v>
      </c>
      <c r="M9459" s="8" t="s">
        <v>39</v>
      </c>
      <c r="N9459" s="8" t="s">
        <v>34943</v>
      </c>
      <c r="O9459" s="8">
        <f>1+5/60+55.9/3600</f>
        <v>1.0988611111111111</v>
      </c>
      <c r="P9459" s="8" t="s">
        <v>40918</v>
      </c>
      <c r="Q9459" s="8">
        <f>+(32+24/60+46/3600)</f>
        <v>32.412777777777777</v>
      </c>
      <c r="R9459" s="8">
        <v>14.7</v>
      </c>
      <c r="S9459" s="8">
        <v>15.7</v>
      </c>
      <c r="T9459" s="8">
        <v>1</v>
      </c>
      <c r="U9459" s="8">
        <v>14</v>
      </c>
      <c r="V9459" s="8">
        <v>1.2</v>
      </c>
      <c r="W9459" s="8">
        <v>0.5</v>
      </c>
      <c r="X9459" s="8">
        <v>159</v>
      </c>
      <c r="Y9459" s="8" t="s">
        <v>1511</v>
      </c>
      <c r="Z9459" s="8" t="s">
        <v>1512</v>
      </c>
    </row>
    <row r="9460" spans="1:26" x14ac:dyDescent="0.2">
      <c r="A9460" s="8">
        <v>9459</v>
      </c>
      <c r="B9460" s="8" t="s">
        <v>40919</v>
      </c>
      <c r="C9460" s="8" t="s">
        <v>40919</v>
      </c>
      <c r="G9460" s="8">
        <v>20</v>
      </c>
      <c r="H9460" s="8" t="s">
        <v>21</v>
      </c>
      <c r="I9460" s="8" t="s">
        <v>22</v>
      </c>
      <c r="J9460" s="8" t="s">
        <v>22</v>
      </c>
      <c r="K9460" s="8" t="s">
        <v>476</v>
      </c>
      <c r="L9460" s="8" t="s">
        <v>38</v>
      </c>
      <c r="M9460" s="8" t="s">
        <v>39</v>
      </c>
      <c r="N9460" s="8" t="s">
        <v>40920</v>
      </c>
      <c r="O9460" s="8">
        <f>1+7/60+22.4/3600</f>
        <v>1.1228888888888888</v>
      </c>
      <c r="P9460" s="8" t="s">
        <v>40921</v>
      </c>
      <c r="Q9460" s="8">
        <f>+(33+4/60+1/3600)</f>
        <v>33.066944444444445</v>
      </c>
      <c r="R9460" s="8">
        <v>14.6</v>
      </c>
      <c r="S9460" s="8">
        <v>15.5</v>
      </c>
      <c r="T9460" s="8">
        <v>0.9</v>
      </c>
      <c r="U9460" s="8">
        <v>13.3</v>
      </c>
      <c r="V9460" s="8">
        <v>0.7</v>
      </c>
      <c r="W9460" s="8">
        <v>0.5</v>
      </c>
      <c r="X9460" s="8">
        <v>102</v>
      </c>
      <c r="Y9460" s="8" t="s">
        <v>21</v>
      </c>
      <c r="Z9460" s="8" t="s">
        <v>40922</v>
      </c>
    </row>
    <row r="9461" spans="1:26" x14ac:dyDescent="0.2">
      <c r="A9461" s="8">
        <v>9460</v>
      </c>
      <c r="B9461" s="8" t="s">
        <v>40923</v>
      </c>
      <c r="C9461" s="8" t="s">
        <v>40923</v>
      </c>
      <c r="G9461" s="8">
        <v>20</v>
      </c>
      <c r="H9461" s="8" t="s">
        <v>21</v>
      </c>
      <c r="I9461" s="8" t="s">
        <v>22</v>
      </c>
      <c r="J9461" s="8" t="s">
        <v>22</v>
      </c>
      <c r="K9461" s="8" t="s">
        <v>85</v>
      </c>
      <c r="L9461" s="8" t="s">
        <v>38</v>
      </c>
      <c r="M9461" s="8" t="s">
        <v>39</v>
      </c>
      <c r="N9461" s="8" t="s">
        <v>40924</v>
      </c>
      <c r="O9461" s="8">
        <f>1+7/60+14/3600</f>
        <v>1.1205555555555555</v>
      </c>
      <c r="P9461" s="8" t="s">
        <v>40925</v>
      </c>
      <c r="Q9461" s="8">
        <f>+(13+57/60+18/3600)</f>
        <v>13.955</v>
      </c>
      <c r="R9461" s="8">
        <v>13.4</v>
      </c>
      <c r="S9461" s="8">
        <v>14.2</v>
      </c>
      <c r="T9461" s="8">
        <v>0.8</v>
      </c>
      <c r="U9461" s="8">
        <v>12.9</v>
      </c>
      <c r="V9461" s="8">
        <v>1</v>
      </c>
      <c r="W9461" s="8">
        <v>0.7</v>
      </c>
      <c r="X9461" s="8">
        <v>90</v>
      </c>
      <c r="Y9461" s="8" t="s">
        <v>40926</v>
      </c>
      <c r="Z9461" s="8" t="s">
        <v>40927</v>
      </c>
    </row>
    <row r="9462" spans="1:26" x14ac:dyDescent="0.2">
      <c r="A9462" s="8">
        <v>9461</v>
      </c>
      <c r="B9462" s="8" t="s">
        <v>40928</v>
      </c>
      <c r="C9462" s="8" t="s">
        <v>40928</v>
      </c>
      <c r="G9462" s="8">
        <v>20</v>
      </c>
      <c r="H9462" s="8" t="s">
        <v>21</v>
      </c>
      <c r="I9462" s="8" t="s">
        <v>22</v>
      </c>
      <c r="J9462" s="8" t="s">
        <v>22</v>
      </c>
      <c r="K9462" s="8" t="s">
        <v>396</v>
      </c>
      <c r="L9462" s="8" t="s">
        <v>166</v>
      </c>
      <c r="M9462" s="8" t="s">
        <v>167</v>
      </c>
      <c r="N9462" s="8" t="s">
        <v>40929</v>
      </c>
      <c r="O9462" s="8">
        <f>1+6/60+22.6/3600</f>
        <v>1.1062777777777779</v>
      </c>
      <c r="P9462" s="8" t="s">
        <v>40930</v>
      </c>
      <c r="Q9462" s="8">
        <f>-(46+43/60+31/3600)</f>
        <v>-46.725277777777777</v>
      </c>
      <c r="R9462" s="8">
        <v>13.2</v>
      </c>
      <c r="S9462" s="8">
        <v>14</v>
      </c>
      <c r="T9462" s="8">
        <v>0.8</v>
      </c>
      <c r="U9462" s="8">
        <v>12.3</v>
      </c>
      <c r="V9462" s="8">
        <v>1.3</v>
      </c>
      <c r="W9462" s="8">
        <v>0.4</v>
      </c>
      <c r="X9462" s="8">
        <v>3</v>
      </c>
      <c r="Y9462" s="8" t="s">
        <v>40931</v>
      </c>
      <c r="Z9462" s="8" t="s">
        <v>40932</v>
      </c>
    </row>
    <row r="9463" spans="1:26" x14ac:dyDescent="0.2">
      <c r="A9463" s="8">
        <v>9462</v>
      </c>
      <c r="B9463" s="8" t="s">
        <v>40933</v>
      </c>
      <c r="C9463" s="8" t="s">
        <v>40933</v>
      </c>
      <c r="G9463" s="8">
        <v>20</v>
      </c>
      <c r="H9463" s="8" t="s">
        <v>21</v>
      </c>
      <c r="I9463" s="8" t="s">
        <v>22</v>
      </c>
      <c r="J9463" s="8" t="s">
        <v>22</v>
      </c>
      <c r="K9463" s="8" t="s">
        <v>476</v>
      </c>
      <c r="L9463" s="8" t="s">
        <v>125</v>
      </c>
      <c r="M9463" s="8" t="s">
        <v>126</v>
      </c>
      <c r="N9463" s="8" t="s">
        <v>40934</v>
      </c>
      <c r="O9463" s="8">
        <f>1+7/60+36.6/3600</f>
        <v>1.1268333333333334</v>
      </c>
      <c r="P9463" s="8" t="s">
        <v>40935</v>
      </c>
      <c r="Q9463" s="8">
        <f>-(17+32/60+19/3600)</f>
        <v>-17.538611111111113</v>
      </c>
      <c r="R9463" s="8">
        <v>13.7</v>
      </c>
      <c r="S9463" s="8">
        <v>14.6</v>
      </c>
      <c r="T9463" s="8">
        <v>0.9</v>
      </c>
      <c r="U9463" s="8">
        <v>12.4</v>
      </c>
      <c r="V9463" s="8">
        <v>0.7</v>
      </c>
      <c r="W9463" s="8">
        <v>0.5</v>
      </c>
      <c r="X9463" s="8">
        <v>165</v>
      </c>
      <c r="Y9463" s="8" t="s">
        <v>39138</v>
      </c>
      <c r="Z9463" s="8" t="s">
        <v>39139</v>
      </c>
    </row>
    <row r="9464" spans="1:26" x14ac:dyDescent="0.2">
      <c r="A9464" s="8">
        <v>9463</v>
      </c>
      <c r="B9464" s="8" t="s">
        <v>40936</v>
      </c>
      <c r="C9464" s="8" t="s">
        <v>40936</v>
      </c>
      <c r="D9464" s="8" t="s">
        <v>351</v>
      </c>
      <c r="G9464" s="8">
        <v>20</v>
      </c>
      <c r="H9464" s="8" t="s">
        <v>21</v>
      </c>
      <c r="I9464" s="8" t="s">
        <v>22</v>
      </c>
      <c r="J9464" s="8" t="s">
        <v>22</v>
      </c>
      <c r="K9464" s="8" t="s">
        <v>4219</v>
      </c>
      <c r="L9464" s="8" t="s">
        <v>125</v>
      </c>
      <c r="M9464" s="8" t="s">
        <v>126</v>
      </c>
      <c r="N9464" s="8" t="s">
        <v>40937</v>
      </c>
      <c r="O9464" s="8">
        <f>1+7/60+46.8/3600</f>
        <v>1.1296666666666666</v>
      </c>
      <c r="P9464" s="8" t="s">
        <v>40938</v>
      </c>
      <c r="Q9464" s="8">
        <f>-(17+30/60+24/3600)</f>
        <v>-17.506666666666668</v>
      </c>
      <c r="R9464" s="8">
        <v>13.9</v>
      </c>
      <c r="S9464" s="8">
        <v>14.5</v>
      </c>
      <c r="T9464" s="8">
        <v>0.6</v>
      </c>
      <c r="U9464" s="8">
        <v>13.2</v>
      </c>
      <c r="V9464" s="8">
        <v>0.9</v>
      </c>
      <c r="W9464" s="8">
        <v>0.7</v>
      </c>
      <c r="X9464" s="8">
        <v>12</v>
      </c>
      <c r="Y9464" s="8" t="s">
        <v>40939</v>
      </c>
      <c r="Z9464" s="8" t="s">
        <v>40940</v>
      </c>
    </row>
    <row r="9465" spans="1:26" x14ac:dyDescent="0.2">
      <c r="A9465" s="8">
        <v>9464</v>
      </c>
      <c r="B9465" s="8" t="s">
        <v>40941</v>
      </c>
      <c r="C9465" s="8" t="s">
        <v>40941</v>
      </c>
      <c r="G9465" s="8">
        <v>20</v>
      </c>
      <c r="H9465" s="8" t="s">
        <v>21</v>
      </c>
      <c r="I9465" s="8" t="s">
        <v>557</v>
      </c>
      <c r="J9465" s="8" t="s">
        <v>557</v>
      </c>
      <c r="K9465" s="8" t="s">
        <v>557</v>
      </c>
      <c r="L9465" s="8" t="s">
        <v>310</v>
      </c>
      <c r="M9465" s="8" t="s">
        <v>311</v>
      </c>
      <c r="N9465" s="8" t="s">
        <v>40942</v>
      </c>
      <c r="O9465" s="8">
        <f>1+5/60+21.9/3600</f>
        <v>1.0894166666666667</v>
      </c>
      <c r="P9465" s="8" t="s">
        <v>40943</v>
      </c>
      <c r="Q9465" s="8">
        <f>-(72+2/60+33/3600)</f>
        <v>-72.042500000000004</v>
      </c>
      <c r="R9465" s="8">
        <v>12.9</v>
      </c>
      <c r="S9465" s="8">
        <v>99</v>
      </c>
      <c r="T9465" s="8">
        <v>99</v>
      </c>
      <c r="U9465" s="8">
        <v>99</v>
      </c>
      <c r="V9465" s="8">
        <v>0.7</v>
      </c>
      <c r="Y9465" s="8" t="s">
        <v>170</v>
      </c>
      <c r="Z9465" s="8" t="s">
        <v>171</v>
      </c>
    </row>
    <row r="9466" spans="1:26" x14ac:dyDescent="0.2">
      <c r="A9466" s="8">
        <v>9465</v>
      </c>
      <c r="B9466" s="8" t="s">
        <v>40944</v>
      </c>
      <c r="C9466" s="8" t="s">
        <v>40944</v>
      </c>
      <c r="G9466" s="8">
        <v>20</v>
      </c>
      <c r="H9466" s="8" t="s">
        <v>21</v>
      </c>
      <c r="I9466" s="8" t="s">
        <v>22</v>
      </c>
      <c r="J9466" s="8" t="s">
        <v>22</v>
      </c>
      <c r="K9466" s="8" t="s">
        <v>58</v>
      </c>
      <c r="L9466" s="8" t="s">
        <v>166</v>
      </c>
      <c r="M9466" s="8" t="s">
        <v>167</v>
      </c>
      <c r="N9466" s="8" t="s">
        <v>40945</v>
      </c>
      <c r="O9466" s="8">
        <f>1+7/60+42.6/3600</f>
        <v>1.1285000000000001</v>
      </c>
      <c r="P9466" s="8" t="s">
        <v>40946</v>
      </c>
      <c r="Q9466" s="8">
        <f>-(46+54/60+30/3600)</f>
        <v>-46.908333333333331</v>
      </c>
      <c r="R9466" s="8">
        <v>12</v>
      </c>
      <c r="S9466" s="8">
        <v>12.9</v>
      </c>
      <c r="T9466" s="8">
        <v>0.9</v>
      </c>
      <c r="U9466" s="8">
        <v>12.6</v>
      </c>
      <c r="V9466" s="8">
        <v>1.6</v>
      </c>
      <c r="W9466" s="8">
        <v>1.2</v>
      </c>
      <c r="X9466" s="8">
        <v>7</v>
      </c>
      <c r="Y9466" s="8" t="s">
        <v>40947</v>
      </c>
      <c r="Z9466" s="8" t="s">
        <v>40948</v>
      </c>
    </row>
    <row r="9467" spans="1:26" x14ac:dyDescent="0.2">
      <c r="A9467" s="8">
        <v>9466</v>
      </c>
      <c r="B9467" s="8" t="s">
        <v>40949</v>
      </c>
      <c r="C9467" s="8" t="s">
        <v>40949</v>
      </c>
      <c r="G9467" s="8">
        <v>20</v>
      </c>
      <c r="H9467" s="8" t="s">
        <v>21</v>
      </c>
      <c r="I9467" s="8" t="s">
        <v>557</v>
      </c>
      <c r="J9467" s="8" t="s">
        <v>557</v>
      </c>
      <c r="K9467" s="8" t="s">
        <v>557</v>
      </c>
      <c r="L9467" s="8" t="s">
        <v>310</v>
      </c>
      <c r="M9467" s="8" t="s">
        <v>311</v>
      </c>
      <c r="N9467" s="8" t="s">
        <v>40950</v>
      </c>
      <c r="O9467" s="8">
        <f>1+6/60+13.4/3600</f>
        <v>1.1037222222222223</v>
      </c>
      <c r="P9467" s="8" t="s">
        <v>40951</v>
      </c>
      <c r="Q9467" s="8">
        <f>-(73+17/60+53/3600)</f>
        <v>-73.29805555555555</v>
      </c>
      <c r="R9467" s="8">
        <v>99</v>
      </c>
      <c r="S9467" s="8">
        <v>99</v>
      </c>
      <c r="T9467" s="8">
        <v>99</v>
      </c>
      <c r="U9467" s="8">
        <v>99</v>
      </c>
      <c r="Y9467" s="8" t="s">
        <v>11836</v>
      </c>
      <c r="Z9467" s="8" t="s">
        <v>11837</v>
      </c>
    </row>
    <row r="9468" spans="1:26" x14ac:dyDescent="0.2">
      <c r="A9468" s="8">
        <v>9467</v>
      </c>
      <c r="B9468" s="8" t="s">
        <v>40952</v>
      </c>
      <c r="C9468" s="8" t="s">
        <v>40952</v>
      </c>
      <c r="G9468" s="8">
        <v>20</v>
      </c>
      <c r="H9468" s="8" t="s">
        <v>21</v>
      </c>
      <c r="I9468" s="8" t="s">
        <v>22</v>
      </c>
      <c r="J9468" s="8" t="s">
        <v>22</v>
      </c>
      <c r="K9468" s="8" t="s">
        <v>218</v>
      </c>
      <c r="L9468" s="8" t="s">
        <v>166</v>
      </c>
      <c r="M9468" s="8" t="s">
        <v>167</v>
      </c>
      <c r="N9468" s="8" t="s">
        <v>40953</v>
      </c>
      <c r="O9468" s="8">
        <f>1+8/60+10.8/3600</f>
        <v>1.1363333333333332</v>
      </c>
      <c r="P9468" s="8" t="s">
        <v>40954</v>
      </c>
      <c r="Q9468" s="8">
        <f>-(46+5/60+38/3600)</f>
        <v>-46.093888888888891</v>
      </c>
      <c r="R9468" s="8">
        <v>12.9</v>
      </c>
      <c r="S9468" s="8">
        <v>13.7</v>
      </c>
      <c r="T9468" s="8">
        <v>0.8</v>
      </c>
      <c r="U9468" s="8">
        <v>13.2</v>
      </c>
      <c r="V9468" s="8">
        <v>2.5</v>
      </c>
      <c r="W9468" s="8">
        <v>0.6</v>
      </c>
      <c r="X9468" s="8">
        <v>139</v>
      </c>
      <c r="Y9468" s="8" t="s">
        <v>21</v>
      </c>
      <c r="Z9468" s="8" t="s">
        <v>40955</v>
      </c>
    </row>
    <row r="9469" spans="1:26" x14ac:dyDescent="0.2">
      <c r="A9469" s="8">
        <v>9468</v>
      </c>
      <c r="B9469" s="8" t="s">
        <v>40956</v>
      </c>
      <c r="C9469" s="8" t="s">
        <v>40956</v>
      </c>
      <c r="G9469" s="8">
        <v>20</v>
      </c>
      <c r="H9469" s="8" t="s">
        <v>21</v>
      </c>
      <c r="I9469" s="8" t="s">
        <v>22</v>
      </c>
      <c r="J9469" s="8" t="s">
        <v>22</v>
      </c>
      <c r="K9469" s="8" t="s">
        <v>402</v>
      </c>
      <c r="L9469" s="8" t="s">
        <v>65</v>
      </c>
      <c r="M9469" s="8" t="s">
        <v>66</v>
      </c>
      <c r="N9469" s="8" t="s">
        <v>40957</v>
      </c>
      <c r="O9469" s="8">
        <f>1+8/60+47.5/3600</f>
        <v>1.1465277777777778</v>
      </c>
      <c r="P9469" s="8" t="s">
        <v>40958</v>
      </c>
      <c r="Q9469" s="8">
        <f>-(28+34/60+56/3600)</f>
        <v>-28.582222222222221</v>
      </c>
      <c r="R9469" s="8">
        <v>12.5</v>
      </c>
      <c r="S9469" s="8">
        <v>13.5</v>
      </c>
      <c r="T9469" s="8">
        <v>1</v>
      </c>
      <c r="U9469" s="8">
        <v>12.9</v>
      </c>
      <c r="V9469" s="8">
        <v>1.1000000000000001</v>
      </c>
      <c r="W9469" s="8">
        <v>1.1000000000000001</v>
      </c>
      <c r="Y9469" s="8" t="s">
        <v>21</v>
      </c>
      <c r="Z9469" s="8" t="s">
        <v>40959</v>
      </c>
    </row>
    <row r="9470" spans="1:26" x14ac:dyDescent="0.2">
      <c r="A9470" s="8">
        <v>9469</v>
      </c>
      <c r="B9470" s="8" t="s">
        <v>40960</v>
      </c>
      <c r="C9470" s="8" t="s">
        <v>40960</v>
      </c>
      <c r="G9470" s="8">
        <v>20</v>
      </c>
      <c r="H9470" s="8" t="s">
        <v>21</v>
      </c>
      <c r="I9470" s="8" t="s">
        <v>22</v>
      </c>
      <c r="J9470" s="8" t="s">
        <v>22</v>
      </c>
      <c r="K9470" s="8" t="s">
        <v>424</v>
      </c>
      <c r="L9470" s="8" t="s">
        <v>125</v>
      </c>
      <c r="M9470" s="8" t="s">
        <v>126</v>
      </c>
      <c r="N9470" s="8" t="s">
        <v>40961</v>
      </c>
      <c r="O9470" s="8">
        <f>1+9/60+18.1/3600</f>
        <v>1.1550277777777778</v>
      </c>
      <c r="P9470" s="8" t="s">
        <v>40962</v>
      </c>
      <c r="Q9470" s="8">
        <f>+(2+34/60+5/3600)</f>
        <v>2.5680555555555555</v>
      </c>
      <c r="R9470" s="8">
        <v>14.4</v>
      </c>
      <c r="S9470" s="8">
        <v>15.4</v>
      </c>
      <c r="T9470" s="8">
        <v>1</v>
      </c>
      <c r="U9470" s="8">
        <v>11.9</v>
      </c>
      <c r="V9470" s="8">
        <v>0.4</v>
      </c>
      <c r="W9470" s="8">
        <v>0.3</v>
      </c>
      <c r="X9470" s="8">
        <v>50</v>
      </c>
      <c r="Y9470" s="8" t="s">
        <v>5926</v>
      </c>
      <c r="Z9470" s="8" t="s">
        <v>5927</v>
      </c>
    </row>
    <row r="9471" spans="1:26" x14ac:dyDescent="0.2">
      <c r="A9471" s="8">
        <v>9470</v>
      </c>
      <c r="B9471" s="8" t="s">
        <v>40963</v>
      </c>
      <c r="C9471" s="8" t="s">
        <v>40963</v>
      </c>
      <c r="G9471" s="8">
        <v>20</v>
      </c>
      <c r="H9471" s="8" t="s">
        <v>21</v>
      </c>
      <c r="I9471" s="8" t="s">
        <v>22</v>
      </c>
      <c r="J9471" s="8" t="s">
        <v>22</v>
      </c>
      <c r="K9471" s="8" t="s">
        <v>23</v>
      </c>
      <c r="L9471" s="8" t="s">
        <v>166</v>
      </c>
      <c r="M9471" s="8" t="s">
        <v>167</v>
      </c>
      <c r="N9471" s="8" t="s">
        <v>40964</v>
      </c>
      <c r="O9471" s="8">
        <f>1+8/60+16.8/3600</f>
        <v>1.1379999999999999</v>
      </c>
      <c r="P9471" s="8" t="s">
        <v>40965</v>
      </c>
      <c r="Q9471" s="8">
        <f>-(46+45/60+15/3600)</f>
        <v>-46.75416666666667</v>
      </c>
      <c r="R9471" s="8">
        <v>14.3</v>
      </c>
      <c r="S9471" s="8">
        <v>15.1</v>
      </c>
      <c r="T9471" s="8">
        <v>0.8</v>
      </c>
      <c r="U9471" s="8">
        <v>13.3</v>
      </c>
      <c r="V9471" s="8">
        <v>1.5</v>
      </c>
      <c r="W9471" s="8">
        <v>0.3</v>
      </c>
      <c r="X9471" s="8">
        <v>65</v>
      </c>
      <c r="Y9471" s="8" t="s">
        <v>21</v>
      </c>
      <c r="Z9471" s="8" t="s">
        <v>40966</v>
      </c>
    </row>
    <row r="9472" spans="1:26" x14ac:dyDescent="0.2">
      <c r="A9472" s="8">
        <v>9471</v>
      </c>
      <c r="B9472" s="8" t="s">
        <v>40967</v>
      </c>
      <c r="C9472" s="8" t="s">
        <v>40967</v>
      </c>
      <c r="G9472" s="8">
        <v>20</v>
      </c>
      <c r="H9472" s="8" t="s">
        <v>21</v>
      </c>
      <c r="I9472" s="8" t="s">
        <v>22</v>
      </c>
      <c r="J9472" s="8" t="s">
        <v>22</v>
      </c>
      <c r="K9472" s="8" t="s">
        <v>31</v>
      </c>
      <c r="L9472" s="8" t="s">
        <v>166</v>
      </c>
      <c r="M9472" s="8" t="s">
        <v>167</v>
      </c>
      <c r="N9472" s="8" t="s">
        <v>40968</v>
      </c>
      <c r="O9472" s="8">
        <f>1+8/60+44.7/3600</f>
        <v>1.14575</v>
      </c>
      <c r="P9472" s="8" t="s">
        <v>40969</v>
      </c>
      <c r="Q9472" s="8">
        <f>-(46+28/60+31/3600)</f>
        <v>-46.475277777777777</v>
      </c>
      <c r="R9472" s="8">
        <v>13.3</v>
      </c>
      <c r="S9472" s="8">
        <v>14.1</v>
      </c>
      <c r="T9472" s="8">
        <v>0.8</v>
      </c>
      <c r="U9472" s="8">
        <v>12.5</v>
      </c>
      <c r="V9472" s="8">
        <v>0.9</v>
      </c>
      <c r="W9472" s="8">
        <v>0.6</v>
      </c>
      <c r="X9472" s="8">
        <v>82</v>
      </c>
      <c r="Y9472" s="8" t="s">
        <v>40970</v>
      </c>
      <c r="Z9472" s="8" t="s">
        <v>40971</v>
      </c>
    </row>
    <row r="9473" spans="1:26" x14ac:dyDescent="0.2">
      <c r="A9473" s="8">
        <v>9472</v>
      </c>
      <c r="B9473" s="8" t="s">
        <v>40972</v>
      </c>
      <c r="C9473" s="8" t="s">
        <v>40972</v>
      </c>
      <c r="G9473" s="8">
        <v>20</v>
      </c>
      <c r="H9473" s="8" t="s">
        <v>21</v>
      </c>
      <c r="I9473" s="8" t="s">
        <v>22</v>
      </c>
      <c r="J9473" s="8" t="s">
        <v>22</v>
      </c>
      <c r="K9473" s="8" t="s">
        <v>460</v>
      </c>
      <c r="L9473" s="8" t="s">
        <v>38</v>
      </c>
      <c r="M9473" s="8" t="s">
        <v>39</v>
      </c>
      <c r="N9473" s="8" t="s">
        <v>40973</v>
      </c>
      <c r="O9473" s="8">
        <f>1+10/60+43.4/3600</f>
        <v>1.1787222222222222</v>
      </c>
      <c r="P9473" s="8" t="s">
        <v>40974</v>
      </c>
      <c r="Q9473" s="8">
        <f>+(17+41/60+0/3600)</f>
        <v>17.683333333333334</v>
      </c>
      <c r="R9473" s="8">
        <v>15.5</v>
      </c>
      <c r="S9473" s="8">
        <v>16.5</v>
      </c>
      <c r="T9473" s="8">
        <v>1</v>
      </c>
      <c r="U9473" s="8">
        <v>12.1</v>
      </c>
      <c r="V9473" s="8">
        <v>0.2</v>
      </c>
      <c r="W9473" s="8">
        <v>0.2</v>
      </c>
      <c r="Y9473" s="8" t="s">
        <v>21</v>
      </c>
      <c r="Z9473" s="8" t="s">
        <v>40975</v>
      </c>
    </row>
    <row r="9474" spans="1:26" x14ac:dyDescent="0.2">
      <c r="A9474" s="8">
        <v>9473</v>
      </c>
      <c r="B9474" s="8" t="s">
        <v>40976</v>
      </c>
      <c r="C9474" s="8" t="s">
        <v>40976</v>
      </c>
      <c r="G9474" s="8">
        <v>10</v>
      </c>
      <c r="H9474" s="8" t="s">
        <v>21</v>
      </c>
      <c r="I9474" s="8" t="s">
        <v>22</v>
      </c>
      <c r="J9474" s="8" t="s">
        <v>22</v>
      </c>
      <c r="K9474" s="8" t="s">
        <v>183</v>
      </c>
      <c r="L9474" s="8" t="s">
        <v>166</v>
      </c>
      <c r="M9474" s="8" t="s">
        <v>167</v>
      </c>
      <c r="N9474" s="8" t="s">
        <v>40977</v>
      </c>
      <c r="O9474" s="8">
        <f>1+9/60+55.5/3600</f>
        <v>1.1654166666666665</v>
      </c>
      <c r="P9474" s="8" t="s">
        <v>40978</v>
      </c>
      <c r="Q9474" s="8">
        <f>-(45+55/60+53/3600)</f>
        <v>-45.93138888888889</v>
      </c>
      <c r="R9474" s="8">
        <v>11.5</v>
      </c>
      <c r="S9474" s="8">
        <v>12.6</v>
      </c>
      <c r="T9474" s="8">
        <v>1.1000000000000001</v>
      </c>
      <c r="U9474" s="8">
        <v>13.6</v>
      </c>
      <c r="V9474" s="8">
        <v>2.6</v>
      </c>
      <c r="W9474" s="8">
        <v>2.4</v>
      </c>
      <c r="X9474" s="8">
        <v>93</v>
      </c>
      <c r="Y9474" s="8" t="s">
        <v>40979</v>
      </c>
      <c r="Z9474" s="8" t="s">
        <v>40980</v>
      </c>
    </row>
    <row r="9475" spans="1:26" x14ac:dyDescent="0.2">
      <c r="A9475" s="8">
        <v>9474</v>
      </c>
      <c r="B9475" s="8" t="s">
        <v>40981</v>
      </c>
      <c r="C9475" s="8" t="s">
        <v>40981</v>
      </c>
      <c r="G9475" s="8">
        <v>20</v>
      </c>
      <c r="H9475" s="8" t="s">
        <v>21</v>
      </c>
      <c r="I9475" s="8" t="s">
        <v>22</v>
      </c>
      <c r="J9475" s="8" t="s">
        <v>22</v>
      </c>
      <c r="K9475" s="8" t="s">
        <v>460</v>
      </c>
      <c r="L9475" s="8" t="s">
        <v>38</v>
      </c>
      <c r="M9475" s="8" t="s">
        <v>39</v>
      </c>
      <c r="N9475" s="8" t="s">
        <v>40982</v>
      </c>
      <c r="O9475" s="8">
        <f>1+11/60+3/3600</f>
        <v>1.1841666666666666</v>
      </c>
      <c r="P9475" s="8" t="s">
        <v>40983</v>
      </c>
      <c r="Q9475" s="8">
        <f>+(17+39/60+45/3600)</f>
        <v>17.662499999999998</v>
      </c>
      <c r="R9475" s="8">
        <v>14.7</v>
      </c>
      <c r="S9475" s="8">
        <v>15.7</v>
      </c>
      <c r="T9475" s="8">
        <v>1</v>
      </c>
      <c r="U9475" s="8">
        <v>12.8</v>
      </c>
      <c r="V9475" s="8">
        <v>0.4</v>
      </c>
      <c r="W9475" s="8">
        <v>0.4</v>
      </c>
      <c r="Y9475" s="8" t="s">
        <v>37070</v>
      </c>
      <c r="Z9475" s="8" t="s">
        <v>37071</v>
      </c>
    </row>
    <row r="9476" spans="1:26" x14ac:dyDescent="0.2">
      <c r="A9476" s="8">
        <v>9475</v>
      </c>
      <c r="B9476" s="8" t="s">
        <v>40984</v>
      </c>
      <c r="C9476" s="8" t="s">
        <v>40984</v>
      </c>
      <c r="G9476" s="8">
        <v>20</v>
      </c>
      <c r="H9476" s="8" t="s">
        <v>21</v>
      </c>
      <c r="I9476" s="8" t="s">
        <v>22</v>
      </c>
      <c r="J9476" s="8" t="s">
        <v>22</v>
      </c>
      <c r="K9476" s="8" t="s">
        <v>460</v>
      </c>
      <c r="L9476" s="8" t="s">
        <v>38</v>
      </c>
      <c r="M9476" s="8" t="s">
        <v>39</v>
      </c>
      <c r="N9476" s="8" t="s">
        <v>40985</v>
      </c>
      <c r="O9476" s="8">
        <f>1+11/60+3.6/3600</f>
        <v>1.1843333333333332</v>
      </c>
      <c r="P9476" s="8" t="s">
        <v>40986</v>
      </c>
      <c r="Q9476" s="8">
        <f>+(17+39/60+6/3600)</f>
        <v>17.651666666666664</v>
      </c>
      <c r="R9476" s="8">
        <v>14.7</v>
      </c>
      <c r="S9476" s="8">
        <v>15.7</v>
      </c>
      <c r="T9476" s="8">
        <v>1</v>
      </c>
      <c r="U9476" s="8">
        <v>12.2</v>
      </c>
      <c r="V9476" s="8">
        <v>0.3</v>
      </c>
      <c r="W9476" s="8">
        <v>0.3</v>
      </c>
      <c r="Y9476" s="8" t="s">
        <v>37070</v>
      </c>
      <c r="Z9476" s="8" t="s">
        <v>37071</v>
      </c>
    </row>
    <row r="9477" spans="1:26" x14ac:dyDescent="0.2">
      <c r="A9477" s="8">
        <v>9476</v>
      </c>
      <c r="B9477" s="8" t="s">
        <v>40987</v>
      </c>
      <c r="C9477" s="8" t="s">
        <v>40987</v>
      </c>
      <c r="G9477" s="8">
        <v>20</v>
      </c>
      <c r="H9477" s="8" t="s">
        <v>21</v>
      </c>
      <c r="I9477" s="8" t="s">
        <v>22</v>
      </c>
      <c r="J9477" s="8" t="s">
        <v>22</v>
      </c>
      <c r="K9477" s="8" t="s">
        <v>37</v>
      </c>
      <c r="L9477" s="8" t="s">
        <v>38</v>
      </c>
      <c r="M9477" s="8" t="s">
        <v>39</v>
      </c>
      <c r="N9477" s="8" t="s">
        <v>40988</v>
      </c>
      <c r="O9477" s="8">
        <f>1+11/60+37.3/3600</f>
        <v>1.1936944444444444</v>
      </c>
      <c r="P9477" s="8" t="s">
        <v>40989</v>
      </c>
      <c r="Q9477" s="8">
        <f>+(33+21/60+18/3600)</f>
        <v>33.355000000000004</v>
      </c>
      <c r="R9477" s="8">
        <v>14.4</v>
      </c>
      <c r="S9477" s="8">
        <v>15.4</v>
      </c>
      <c r="T9477" s="8">
        <v>1</v>
      </c>
      <c r="U9477" s="8">
        <v>12.3</v>
      </c>
      <c r="V9477" s="8">
        <v>0.3</v>
      </c>
      <c r="W9477" s="8">
        <v>0.2</v>
      </c>
      <c r="X9477" s="8">
        <v>90</v>
      </c>
      <c r="Y9477" s="8" t="s">
        <v>40990</v>
      </c>
      <c r="Z9477" s="8" t="s">
        <v>40991</v>
      </c>
    </row>
    <row r="9478" spans="1:26" x14ac:dyDescent="0.2">
      <c r="A9478" s="8">
        <v>9477</v>
      </c>
      <c r="B9478" s="8" t="s">
        <v>40992</v>
      </c>
      <c r="C9478" s="8" t="s">
        <v>40992</v>
      </c>
      <c r="G9478" s="8">
        <v>20</v>
      </c>
      <c r="H9478" s="8" t="s">
        <v>21</v>
      </c>
      <c r="I9478" s="8" t="s">
        <v>22</v>
      </c>
      <c r="J9478" s="8" t="s">
        <v>22</v>
      </c>
      <c r="K9478" s="8" t="s">
        <v>64</v>
      </c>
      <c r="L9478" s="8" t="s">
        <v>65</v>
      </c>
      <c r="M9478" s="8" t="s">
        <v>66</v>
      </c>
      <c r="N9478" s="8" t="s">
        <v>40993</v>
      </c>
      <c r="O9478" s="8">
        <f>1+11/60+1.2/3600</f>
        <v>1.1836666666666666</v>
      </c>
      <c r="P9478" s="8" t="s">
        <v>40994</v>
      </c>
      <c r="Q9478" s="8">
        <f>-(30+26/60+19/3600)</f>
        <v>-30.438611111111111</v>
      </c>
      <c r="R9478" s="8">
        <v>12.8</v>
      </c>
      <c r="S9478" s="8">
        <v>13.5</v>
      </c>
      <c r="T9478" s="8">
        <v>0.7</v>
      </c>
      <c r="U9478" s="8">
        <v>13.5</v>
      </c>
      <c r="V9478" s="8">
        <v>1.7</v>
      </c>
      <c r="W9478" s="8">
        <v>1.3</v>
      </c>
      <c r="X9478" s="8">
        <v>90</v>
      </c>
      <c r="Y9478" s="8" t="s">
        <v>40970</v>
      </c>
      <c r="Z9478" s="8" t="s">
        <v>40971</v>
      </c>
    </row>
    <row r="9479" spans="1:26" x14ac:dyDescent="0.2">
      <c r="A9479" s="8">
        <v>9478</v>
      </c>
      <c r="B9479" s="8" t="s">
        <v>40995</v>
      </c>
      <c r="C9479" s="8" t="s">
        <v>40995</v>
      </c>
      <c r="G9479" s="8">
        <v>20</v>
      </c>
      <c r="H9479" s="8" t="s">
        <v>21</v>
      </c>
      <c r="I9479" s="8" t="s">
        <v>22</v>
      </c>
      <c r="J9479" s="8" t="s">
        <v>22</v>
      </c>
      <c r="K9479" s="8" t="s">
        <v>37</v>
      </c>
      <c r="L9479" s="8" t="s">
        <v>38</v>
      </c>
      <c r="M9479" s="8" t="s">
        <v>39</v>
      </c>
      <c r="N9479" s="8" t="s">
        <v>40996</v>
      </c>
      <c r="O9479" s="8">
        <f>1+12/60+21.7/3600</f>
        <v>1.2060277777777777</v>
      </c>
      <c r="P9479" s="8" t="s">
        <v>10566</v>
      </c>
      <c r="Q9479" s="8">
        <f>+(33+21/60+54/3600)</f>
        <v>33.365000000000002</v>
      </c>
      <c r="R9479" s="8">
        <v>14.1</v>
      </c>
      <c r="S9479" s="8">
        <v>15.1</v>
      </c>
      <c r="T9479" s="8">
        <v>1</v>
      </c>
      <c r="U9479" s="8">
        <v>13.2</v>
      </c>
      <c r="V9479" s="8">
        <v>0.7</v>
      </c>
      <c r="W9479" s="8">
        <v>0.7</v>
      </c>
      <c r="Y9479" s="8" t="s">
        <v>40997</v>
      </c>
      <c r="Z9479" s="8" t="s">
        <v>40998</v>
      </c>
    </row>
    <row r="9480" spans="1:26" x14ac:dyDescent="0.2">
      <c r="A9480" s="8">
        <v>9479</v>
      </c>
      <c r="B9480" s="8" t="s">
        <v>40999</v>
      </c>
      <c r="C9480" s="8" t="s">
        <v>40999</v>
      </c>
      <c r="G9480" s="8">
        <v>20</v>
      </c>
      <c r="H9480" s="8" t="s">
        <v>21</v>
      </c>
      <c r="I9480" s="8" t="s">
        <v>22</v>
      </c>
      <c r="J9480" s="8" t="s">
        <v>22</v>
      </c>
      <c r="K9480" s="8" t="s">
        <v>1174</v>
      </c>
      <c r="L9480" s="8" t="s">
        <v>125</v>
      </c>
      <c r="M9480" s="8" t="s">
        <v>126</v>
      </c>
      <c r="N9480" s="8" t="s">
        <v>41000</v>
      </c>
      <c r="O9480" s="8">
        <f>1+11/60+46.5/3600</f>
        <v>1.19625</v>
      </c>
      <c r="P9480" s="8" t="s">
        <v>41001</v>
      </c>
      <c r="Q9480" s="8">
        <f>-(0+39/60+50/3600)</f>
        <v>-0.66388888888888886</v>
      </c>
      <c r="R9480" s="8">
        <v>13.1</v>
      </c>
      <c r="S9480" s="8">
        <v>14.1</v>
      </c>
      <c r="T9480" s="8">
        <v>1</v>
      </c>
      <c r="U9480" s="8">
        <v>12.6</v>
      </c>
      <c r="V9480" s="8">
        <v>0.9</v>
      </c>
      <c r="W9480" s="8">
        <v>0.8</v>
      </c>
      <c r="X9480" s="8">
        <v>100</v>
      </c>
      <c r="Y9480" s="8" t="s">
        <v>41002</v>
      </c>
      <c r="Z9480" s="8" t="s">
        <v>41003</v>
      </c>
    </row>
    <row r="9481" spans="1:26" x14ac:dyDescent="0.2">
      <c r="A9481" s="8">
        <v>9480</v>
      </c>
      <c r="B9481" s="8" t="s">
        <v>41004</v>
      </c>
      <c r="C9481" s="8" t="s">
        <v>41004</v>
      </c>
      <c r="G9481" s="8">
        <v>20</v>
      </c>
      <c r="H9481" s="8" t="s">
        <v>21</v>
      </c>
      <c r="I9481" s="8" t="s">
        <v>22</v>
      </c>
      <c r="J9481" s="8" t="s">
        <v>22</v>
      </c>
      <c r="K9481" s="8" t="s">
        <v>424</v>
      </c>
      <c r="L9481" s="8" t="s">
        <v>125</v>
      </c>
      <c r="M9481" s="8" t="s">
        <v>126</v>
      </c>
      <c r="N9481" s="8" t="s">
        <v>41005</v>
      </c>
      <c r="O9481" s="8">
        <f>1+11/60+51.2/3600</f>
        <v>1.1975555555555555</v>
      </c>
      <c r="P9481" s="8" t="s">
        <v>41006</v>
      </c>
      <c r="Q9481" s="8">
        <f>-(0+37/60+50/3600)</f>
        <v>-0.63055555555555554</v>
      </c>
      <c r="R9481" s="8">
        <v>14.4</v>
      </c>
      <c r="S9481" s="8">
        <v>15.4</v>
      </c>
      <c r="T9481" s="8">
        <v>1</v>
      </c>
      <c r="U9481" s="8">
        <v>10.8</v>
      </c>
      <c r="V9481" s="8">
        <v>0.2</v>
      </c>
      <c r="W9481" s="8">
        <v>0.2</v>
      </c>
      <c r="Y9481" s="8" t="s">
        <v>41007</v>
      </c>
      <c r="Z9481" s="8" t="s">
        <v>41008</v>
      </c>
    </row>
    <row r="9482" spans="1:26" x14ac:dyDescent="0.2">
      <c r="A9482" s="8">
        <v>9481</v>
      </c>
      <c r="B9482" s="8" t="s">
        <v>41009</v>
      </c>
      <c r="C9482" s="8" t="s">
        <v>41009</v>
      </c>
      <c r="G9482" s="8">
        <v>20</v>
      </c>
      <c r="H9482" s="8" t="s">
        <v>21</v>
      </c>
      <c r="I9482" s="8" t="s">
        <v>557</v>
      </c>
      <c r="J9482" s="8" t="s">
        <v>557</v>
      </c>
      <c r="K9482" s="8" t="s">
        <v>557</v>
      </c>
      <c r="L9482" s="8" t="s">
        <v>310</v>
      </c>
      <c r="M9482" s="8" t="s">
        <v>311</v>
      </c>
      <c r="N9482" s="8" t="s">
        <v>41010</v>
      </c>
      <c r="O9482" s="8">
        <f>1+9/60+39.1/3600</f>
        <v>1.1608611111111111</v>
      </c>
      <c r="P9482" s="8" t="s">
        <v>41011</v>
      </c>
      <c r="Q9482" s="8">
        <f>-(71+46/60+8/3600)</f>
        <v>-71.768888888888881</v>
      </c>
      <c r="R9482" s="8">
        <v>99</v>
      </c>
      <c r="S9482" s="8">
        <v>99</v>
      </c>
      <c r="T9482" s="8">
        <v>99</v>
      </c>
      <c r="U9482" s="8">
        <v>99</v>
      </c>
      <c r="Y9482" s="8" t="s">
        <v>1829</v>
      </c>
      <c r="Z9482" s="8" t="s">
        <v>1830</v>
      </c>
    </row>
    <row r="9483" spans="1:26" x14ac:dyDescent="0.2">
      <c r="A9483" s="8">
        <v>9482</v>
      </c>
      <c r="B9483" s="8" t="s">
        <v>41012</v>
      </c>
      <c r="C9483" s="8" t="s">
        <v>41012</v>
      </c>
      <c r="G9483" s="8">
        <v>20</v>
      </c>
      <c r="H9483" s="8" t="s">
        <v>21</v>
      </c>
      <c r="I9483" s="8" t="s">
        <v>22</v>
      </c>
      <c r="J9483" s="8" t="s">
        <v>22</v>
      </c>
      <c r="K9483" s="8" t="s">
        <v>58</v>
      </c>
      <c r="L9483" s="8" t="s">
        <v>38</v>
      </c>
      <c r="M9483" s="8" t="s">
        <v>39</v>
      </c>
      <c r="N9483" s="8" t="s">
        <v>41013</v>
      </c>
      <c r="O9483" s="8">
        <f>1+12/60+27.3/3600</f>
        <v>1.2075833333333332</v>
      </c>
      <c r="P9483" s="8" t="s">
        <v>41014</v>
      </c>
      <c r="Q9483" s="8">
        <f>+(15+45/60+2/3600)</f>
        <v>15.750555555555556</v>
      </c>
      <c r="R9483" s="8">
        <v>15.5</v>
      </c>
      <c r="S9483" s="8">
        <v>16.5</v>
      </c>
      <c r="T9483" s="8">
        <v>1</v>
      </c>
      <c r="U9483" s="8">
        <v>13.6</v>
      </c>
      <c r="V9483" s="8">
        <v>0.4</v>
      </c>
      <c r="W9483" s="8">
        <v>0.4</v>
      </c>
      <c r="Y9483" s="8" t="s">
        <v>41015</v>
      </c>
      <c r="Z9483" s="8" t="s">
        <v>41016</v>
      </c>
    </row>
    <row r="9484" spans="1:26" x14ac:dyDescent="0.2">
      <c r="A9484" s="8">
        <v>9483</v>
      </c>
      <c r="B9484" s="8" t="s">
        <v>41017</v>
      </c>
      <c r="C9484" s="8" t="s">
        <v>41017</v>
      </c>
      <c r="G9484" s="8">
        <v>20</v>
      </c>
      <c r="H9484" s="8" t="s">
        <v>21</v>
      </c>
      <c r="I9484" s="8" t="s">
        <v>22</v>
      </c>
      <c r="J9484" s="8" t="s">
        <v>22</v>
      </c>
      <c r="K9484" s="8" t="s">
        <v>449</v>
      </c>
      <c r="L9484" s="8" t="s">
        <v>125</v>
      </c>
      <c r="M9484" s="8" t="s">
        <v>126</v>
      </c>
      <c r="N9484" s="8" t="s">
        <v>41018</v>
      </c>
      <c r="O9484" s="8">
        <f>1+12/60+8.5/3600</f>
        <v>1.202361111111111</v>
      </c>
      <c r="P9484" s="8" t="s">
        <v>37201</v>
      </c>
      <c r="Q9484" s="8">
        <f>-(0+24/60+35/3600)</f>
        <v>-0.40972222222222227</v>
      </c>
      <c r="R9484" s="8">
        <v>14.2</v>
      </c>
      <c r="S9484" s="8">
        <v>15</v>
      </c>
      <c r="T9484" s="8">
        <v>0.8</v>
      </c>
      <c r="U9484" s="8">
        <v>13.6</v>
      </c>
      <c r="V9484" s="8">
        <v>0.8</v>
      </c>
      <c r="W9484" s="8">
        <v>0.8</v>
      </c>
      <c r="Y9484" s="8" t="s">
        <v>6420</v>
      </c>
      <c r="Z9484" s="8" t="s">
        <v>6421</v>
      </c>
    </row>
    <row r="9485" spans="1:26" x14ac:dyDescent="0.2">
      <c r="A9485" s="8">
        <v>9484</v>
      </c>
      <c r="B9485" s="8" t="s">
        <v>41019</v>
      </c>
      <c r="C9485" s="8" t="s">
        <v>41019</v>
      </c>
      <c r="G9485" s="8">
        <v>20</v>
      </c>
      <c r="H9485" s="8" t="s">
        <v>21</v>
      </c>
      <c r="I9485" s="8" t="s">
        <v>1283</v>
      </c>
      <c r="J9485" s="8" t="s">
        <v>1283</v>
      </c>
      <c r="K9485" s="8" t="s">
        <v>1284</v>
      </c>
      <c r="L9485" s="8" t="s">
        <v>310</v>
      </c>
      <c r="M9485" s="8" t="s">
        <v>311</v>
      </c>
      <c r="N9485" s="8" t="s">
        <v>41020</v>
      </c>
      <c r="O9485" s="8">
        <f>1+9/60+12/3600</f>
        <v>1.1533333333333333</v>
      </c>
      <c r="P9485" s="8" t="s">
        <v>41021</v>
      </c>
      <c r="Q9485" s="8">
        <f>-(73+11/60+44/3600)</f>
        <v>-73.195555555555558</v>
      </c>
      <c r="R9485" s="8">
        <v>99</v>
      </c>
      <c r="S9485" s="8">
        <v>99</v>
      </c>
      <c r="T9485" s="8">
        <v>99</v>
      </c>
      <c r="U9485" s="8">
        <v>99</v>
      </c>
      <c r="Y9485" s="8" t="s">
        <v>27388</v>
      </c>
      <c r="Z9485" s="8" t="s">
        <v>41022</v>
      </c>
    </row>
    <row r="9486" spans="1:26" x14ac:dyDescent="0.2">
      <c r="A9486" s="8">
        <v>9485</v>
      </c>
      <c r="B9486" s="8" t="s">
        <v>41023</v>
      </c>
      <c r="C9486" s="8" t="s">
        <v>41023</v>
      </c>
      <c r="G9486" s="8">
        <v>20</v>
      </c>
      <c r="H9486" s="8" t="s">
        <v>21</v>
      </c>
      <c r="I9486" s="8" t="s">
        <v>22</v>
      </c>
      <c r="J9486" s="8" t="s">
        <v>57</v>
      </c>
      <c r="K9486" s="8" t="s">
        <v>58</v>
      </c>
      <c r="L9486" s="8" t="s">
        <v>38</v>
      </c>
      <c r="M9486" s="8" t="s">
        <v>39</v>
      </c>
      <c r="N9486" s="8" t="s">
        <v>41013</v>
      </c>
      <c r="O9486" s="8">
        <f>1+12/60+27.3/3600</f>
        <v>1.2075833333333332</v>
      </c>
      <c r="P9486" s="8" t="s">
        <v>41014</v>
      </c>
      <c r="Q9486" s="8">
        <f>+(15+45/60+2/3600)</f>
        <v>15.750555555555556</v>
      </c>
      <c r="R9486" s="8">
        <v>15.5</v>
      </c>
      <c r="S9486" s="8">
        <v>16.5</v>
      </c>
      <c r="T9486" s="8">
        <v>1</v>
      </c>
      <c r="U9486" s="8">
        <v>13.6</v>
      </c>
      <c r="V9486" s="8">
        <v>0.4</v>
      </c>
      <c r="W9486" s="8">
        <v>0.4</v>
      </c>
      <c r="Y9486" s="8" t="s">
        <v>36797</v>
      </c>
      <c r="Z9486" s="8" t="s">
        <v>36798</v>
      </c>
    </row>
    <row r="9487" spans="1:26" x14ac:dyDescent="0.2">
      <c r="A9487" s="8">
        <v>9486</v>
      </c>
      <c r="B9487" s="8" t="s">
        <v>41024</v>
      </c>
      <c r="C9487" s="8" t="s">
        <v>41024</v>
      </c>
      <c r="G9487" s="8">
        <v>20</v>
      </c>
      <c r="H9487" s="8" t="s">
        <v>21</v>
      </c>
      <c r="I9487" s="8" t="s">
        <v>22</v>
      </c>
      <c r="J9487" s="8" t="s">
        <v>22</v>
      </c>
      <c r="K9487" s="8" t="s">
        <v>85</v>
      </c>
      <c r="L9487" s="8" t="s">
        <v>38</v>
      </c>
      <c r="M9487" s="8" t="s">
        <v>39</v>
      </c>
      <c r="N9487" s="8" t="s">
        <v>41025</v>
      </c>
      <c r="O9487" s="8">
        <f>1+12/60+43.8/3600</f>
        <v>1.2121666666666666</v>
      </c>
      <c r="P9487" s="8" t="s">
        <v>41026</v>
      </c>
      <c r="Q9487" s="8">
        <f>+(15+42/60+25/3600)</f>
        <v>15.706944444444444</v>
      </c>
      <c r="R9487" s="8">
        <v>14.5</v>
      </c>
      <c r="S9487" s="8">
        <v>15.3</v>
      </c>
      <c r="T9487" s="8">
        <v>0.8</v>
      </c>
      <c r="U9487" s="8">
        <v>12.8</v>
      </c>
      <c r="V9487" s="8">
        <v>0.5</v>
      </c>
      <c r="W9487" s="8">
        <v>0.5</v>
      </c>
      <c r="Y9487" s="8" t="s">
        <v>26493</v>
      </c>
      <c r="Z9487" s="8" t="s">
        <v>26494</v>
      </c>
    </row>
    <row r="9488" spans="1:26" x14ac:dyDescent="0.2">
      <c r="A9488" s="8">
        <v>9487</v>
      </c>
      <c r="B9488" s="8" t="s">
        <v>41027</v>
      </c>
      <c r="C9488" s="8" t="s">
        <v>41027</v>
      </c>
      <c r="G9488" s="8">
        <v>20</v>
      </c>
      <c r="H9488" s="8" t="s">
        <v>21</v>
      </c>
      <c r="I9488" s="8" t="s">
        <v>22</v>
      </c>
      <c r="J9488" s="8" t="s">
        <v>22</v>
      </c>
      <c r="K9488" s="8" t="s">
        <v>160</v>
      </c>
      <c r="L9488" s="8" t="s">
        <v>51</v>
      </c>
      <c r="M9488" s="8" t="s">
        <v>52</v>
      </c>
      <c r="N9488" s="8" t="s">
        <v>41028</v>
      </c>
      <c r="O9488" s="8">
        <f>1+13/60+14.5/3600</f>
        <v>1.2206944444444445</v>
      </c>
      <c r="P9488" s="8" t="s">
        <v>41029</v>
      </c>
      <c r="Q9488" s="8">
        <f>+(38+53/60+7/3600)</f>
        <v>38.88527777777778</v>
      </c>
      <c r="R9488" s="8">
        <v>15</v>
      </c>
      <c r="S9488" s="8">
        <v>15.7</v>
      </c>
      <c r="T9488" s="8">
        <v>0.7</v>
      </c>
      <c r="U9488" s="8">
        <v>13.2</v>
      </c>
      <c r="V9488" s="8">
        <v>0.7</v>
      </c>
      <c r="W9488" s="8">
        <v>0.3</v>
      </c>
      <c r="X9488" s="8">
        <v>39</v>
      </c>
      <c r="Y9488" s="8" t="s">
        <v>38829</v>
      </c>
      <c r="Z9488" s="8" t="s">
        <v>38830</v>
      </c>
    </row>
    <row r="9489" spans="1:26" x14ac:dyDescent="0.2">
      <c r="A9489" s="8">
        <v>9488</v>
      </c>
      <c r="B9489" s="8" t="s">
        <v>41030</v>
      </c>
      <c r="C9489" s="8" t="s">
        <v>41030</v>
      </c>
      <c r="G9489" s="8">
        <v>20</v>
      </c>
      <c r="H9489" s="8" t="s">
        <v>21</v>
      </c>
      <c r="I9489" s="8" t="s">
        <v>22</v>
      </c>
      <c r="J9489" s="8" t="s">
        <v>22</v>
      </c>
      <c r="K9489" s="8" t="s">
        <v>37</v>
      </c>
      <c r="L9489" s="8" t="s">
        <v>38</v>
      </c>
      <c r="M9489" s="8" t="s">
        <v>39</v>
      </c>
      <c r="N9489" s="8" t="s">
        <v>41031</v>
      </c>
      <c r="O9489" s="8">
        <f>1+13/60+42.2/3600</f>
        <v>1.228388888888889</v>
      </c>
      <c r="P9489" s="8" t="s">
        <v>41032</v>
      </c>
      <c r="Q9489" s="8">
        <f>+(33+13/60+5/3600)</f>
        <v>33.218055555555559</v>
      </c>
      <c r="R9489" s="8">
        <v>14.4</v>
      </c>
      <c r="S9489" s="8">
        <v>15.4</v>
      </c>
      <c r="T9489" s="8">
        <v>1</v>
      </c>
      <c r="U9489" s="8">
        <v>12.7</v>
      </c>
      <c r="V9489" s="8">
        <v>0.4</v>
      </c>
      <c r="W9489" s="8">
        <v>0.3</v>
      </c>
      <c r="X9489" s="8">
        <v>132</v>
      </c>
      <c r="Y9489" s="8" t="s">
        <v>41033</v>
      </c>
      <c r="Z9489" s="8" t="s">
        <v>41034</v>
      </c>
    </row>
    <row r="9490" spans="1:26" x14ac:dyDescent="0.2">
      <c r="A9490" s="8">
        <v>9489</v>
      </c>
      <c r="B9490" s="8" t="s">
        <v>41035</v>
      </c>
      <c r="C9490" s="8" t="s">
        <v>41035</v>
      </c>
      <c r="G9490" s="8">
        <v>20</v>
      </c>
      <c r="H9490" s="8" t="s">
        <v>21</v>
      </c>
      <c r="I9490" s="8" t="s">
        <v>22</v>
      </c>
      <c r="J9490" s="8" t="s">
        <v>22</v>
      </c>
      <c r="K9490" s="8" t="s">
        <v>396</v>
      </c>
      <c r="L9490" s="8" t="s">
        <v>166</v>
      </c>
      <c r="M9490" s="8" t="s">
        <v>167</v>
      </c>
      <c r="N9490" s="8" t="s">
        <v>41036</v>
      </c>
      <c r="O9490" s="8">
        <f>1+11/60+50.8/3600</f>
        <v>1.1974444444444445</v>
      </c>
      <c r="P9490" s="8" t="s">
        <v>41037</v>
      </c>
      <c r="Q9490" s="8">
        <f>-(55+51/60+24/3600)</f>
        <v>-55.856666666666669</v>
      </c>
      <c r="R9490" s="8">
        <v>13.9</v>
      </c>
      <c r="S9490" s="8">
        <v>14.7</v>
      </c>
      <c r="T9490" s="8">
        <v>0.8</v>
      </c>
      <c r="U9490" s="8">
        <v>13</v>
      </c>
      <c r="V9490" s="8">
        <v>1.7</v>
      </c>
      <c r="W9490" s="8">
        <v>0.3</v>
      </c>
      <c r="X9490" s="8">
        <v>136</v>
      </c>
      <c r="Y9490" s="8" t="s">
        <v>21</v>
      </c>
      <c r="Z9490" s="8" t="s">
        <v>41038</v>
      </c>
    </row>
    <row r="9491" spans="1:26" x14ac:dyDescent="0.2">
      <c r="A9491" s="8">
        <v>9490</v>
      </c>
      <c r="B9491" s="8" t="s">
        <v>41039</v>
      </c>
      <c r="C9491" s="8" t="s">
        <v>41039</v>
      </c>
      <c r="G9491" s="8">
        <v>20</v>
      </c>
      <c r="H9491" s="8" t="s">
        <v>21</v>
      </c>
      <c r="I9491" s="8" t="s">
        <v>22</v>
      </c>
      <c r="J9491" s="8" t="s">
        <v>22</v>
      </c>
      <c r="K9491" s="8" t="s">
        <v>218</v>
      </c>
      <c r="L9491" s="8" t="s">
        <v>166</v>
      </c>
      <c r="M9491" s="8" t="s">
        <v>167</v>
      </c>
      <c r="N9491" s="8" t="s">
        <v>41040</v>
      </c>
      <c r="O9491" s="8">
        <f>1+12/60+18.9/3600</f>
        <v>1.2052499999999999</v>
      </c>
      <c r="P9491" s="8" t="s">
        <v>41041</v>
      </c>
      <c r="Q9491" s="8">
        <f>-(50+24/60+7/3600)</f>
        <v>-50.401944444444446</v>
      </c>
      <c r="R9491" s="8">
        <v>13.6</v>
      </c>
      <c r="S9491" s="8">
        <v>14.4</v>
      </c>
      <c r="T9491" s="8">
        <v>0.8</v>
      </c>
      <c r="U9491" s="8">
        <v>13.4</v>
      </c>
      <c r="V9491" s="8">
        <v>1.3</v>
      </c>
      <c r="W9491" s="8">
        <v>0.7</v>
      </c>
      <c r="X9491" s="8">
        <v>62</v>
      </c>
      <c r="Y9491" s="8" t="s">
        <v>21</v>
      </c>
      <c r="Z9491" s="8" t="s">
        <v>41042</v>
      </c>
    </row>
    <row r="9492" spans="1:26" x14ac:dyDescent="0.2">
      <c r="A9492" s="8">
        <v>9491</v>
      </c>
      <c r="B9492" s="8" t="s">
        <v>41043</v>
      </c>
      <c r="C9492" s="8" t="s">
        <v>41043</v>
      </c>
      <c r="G9492" s="8">
        <v>20</v>
      </c>
      <c r="H9492" s="8" t="s">
        <v>21</v>
      </c>
      <c r="I9492" s="8" t="s">
        <v>72</v>
      </c>
      <c r="J9492" s="8" t="s">
        <v>72</v>
      </c>
      <c r="K9492" s="8" t="s">
        <v>1802</v>
      </c>
      <c r="L9492" s="8" t="s">
        <v>125</v>
      </c>
      <c r="M9492" s="8" t="s">
        <v>126</v>
      </c>
      <c r="N9492" s="8" t="s">
        <v>41044</v>
      </c>
      <c r="O9492" s="8">
        <f>1+13/60+27.6/3600</f>
        <v>1.2243333333333335</v>
      </c>
      <c r="P9492" s="8" t="s">
        <v>41045</v>
      </c>
      <c r="Q9492" s="8">
        <f>+(2+4/60+7/3600)</f>
        <v>2.0686111111111112</v>
      </c>
      <c r="R9492" s="8">
        <v>99</v>
      </c>
      <c r="S9492" s="8">
        <v>99</v>
      </c>
      <c r="T9492" s="8">
        <v>99</v>
      </c>
      <c r="U9492" s="8">
        <v>99</v>
      </c>
      <c r="Y9492" s="8" t="s">
        <v>21</v>
      </c>
      <c r="Z9492" s="8" t="s">
        <v>41046</v>
      </c>
    </row>
    <row r="9493" spans="1:26" x14ac:dyDescent="0.2">
      <c r="A9493" s="8">
        <v>9492</v>
      </c>
      <c r="B9493" s="8" t="s">
        <v>41047</v>
      </c>
      <c r="C9493" s="8" t="s">
        <v>41047</v>
      </c>
      <c r="G9493" s="8">
        <v>20</v>
      </c>
      <c r="H9493" s="8" t="s">
        <v>21</v>
      </c>
      <c r="I9493" s="8" t="s">
        <v>22</v>
      </c>
      <c r="J9493" s="8" t="s">
        <v>22</v>
      </c>
      <c r="K9493" s="8" t="s">
        <v>632</v>
      </c>
      <c r="L9493" s="8" t="s">
        <v>38</v>
      </c>
      <c r="M9493" s="8" t="s">
        <v>39</v>
      </c>
      <c r="N9493" s="8" t="s">
        <v>41048</v>
      </c>
      <c r="O9493" s="8">
        <f>1+14/60+56.5/3600</f>
        <v>1.2490277777777778</v>
      </c>
      <c r="P9493" s="8" t="s">
        <v>41049</v>
      </c>
      <c r="Q9493" s="8">
        <f>+(31+56/60+52/3600)</f>
        <v>31.947777777777777</v>
      </c>
      <c r="R9493" s="8">
        <v>13.5</v>
      </c>
      <c r="S9493" s="8">
        <v>14.4</v>
      </c>
      <c r="T9493" s="8">
        <v>0.9</v>
      </c>
      <c r="U9493" s="8">
        <v>12.3</v>
      </c>
      <c r="V9493" s="8">
        <v>1.1000000000000001</v>
      </c>
      <c r="W9493" s="8">
        <v>0.3</v>
      </c>
      <c r="X9493" s="8">
        <v>169</v>
      </c>
      <c r="Y9493" s="8" t="s">
        <v>21</v>
      </c>
      <c r="Z9493" s="8" t="s">
        <v>41050</v>
      </c>
    </row>
    <row r="9494" spans="1:26" x14ac:dyDescent="0.2">
      <c r="A9494" s="8">
        <v>9493</v>
      </c>
      <c r="B9494" s="8" t="s">
        <v>41051</v>
      </c>
      <c r="C9494" s="8" t="s">
        <v>41051</v>
      </c>
      <c r="G9494" s="8">
        <v>20</v>
      </c>
      <c r="H9494" s="8" t="s">
        <v>21</v>
      </c>
      <c r="I9494" s="8" t="s">
        <v>22</v>
      </c>
      <c r="J9494" s="8" t="s">
        <v>57</v>
      </c>
      <c r="K9494" s="8" t="s">
        <v>449</v>
      </c>
      <c r="L9494" s="8" t="s">
        <v>38</v>
      </c>
      <c r="M9494" s="8" t="s">
        <v>39</v>
      </c>
      <c r="N9494" s="8" t="s">
        <v>2194</v>
      </c>
      <c r="O9494" s="8">
        <f>1+15/60+7.5/3600</f>
        <v>1.2520833333333334</v>
      </c>
      <c r="P9494" s="8" t="s">
        <v>2195</v>
      </c>
      <c r="Q9494" s="8">
        <f>+(33+22/60+40/3600)</f>
        <v>33.37777777777778</v>
      </c>
      <c r="R9494" s="8">
        <v>13.1</v>
      </c>
      <c r="S9494" s="8">
        <v>13.9</v>
      </c>
      <c r="T9494" s="8">
        <v>0.8</v>
      </c>
      <c r="U9494" s="8">
        <v>12.3</v>
      </c>
      <c r="V9494" s="8">
        <v>0.8</v>
      </c>
      <c r="W9494" s="8">
        <v>0.7</v>
      </c>
      <c r="X9494" s="8">
        <v>57</v>
      </c>
      <c r="Y9494" s="8" t="s">
        <v>40997</v>
      </c>
      <c r="Z9494" s="8" t="s">
        <v>40998</v>
      </c>
    </row>
    <row r="9495" spans="1:26" x14ac:dyDescent="0.2">
      <c r="A9495" s="8">
        <v>9494</v>
      </c>
      <c r="B9495" s="8" t="s">
        <v>41052</v>
      </c>
      <c r="C9495" s="8" t="s">
        <v>41052</v>
      </c>
      <c r="G9495" s="8">
        <v>20</v>
      </c>
      <c r="H9495" s="8" t="s">
        <v>21</v>
      </c>
      <c r="I9495" s="8" t="s">
        <v>22</v>
      </c>
      <c r="J9495" s="8" t="s">
        <v>22</v>
      </c>
      <c r="K9495" s="8" t="s">
        <v>154</v>
      </c>
      <c r="L9495" s="8" t="s">
        <v>38</v>
      </c>
      <c r="M9495" s="8" t="s">
        <v>39</v>
      </c>
      <c r="N9495" s="8" t="s">
        <v>41053</v>
      </c>
      <c r="O9495" s="8">
        <f>1+15/60+11.8/3600</f>
        <v>1.2532777777777777</v>
      </c>
      <c r="P9495" s="8" t="s">
        <v>41054</v>
      </c>
      <c r="Q9495" s="8">
        <f>+(30+11/60+43/3600)</f>
        <v>30.195277777777779</v>
      </c>
      <c r="R9495" s="8">
        <v>13.2</v>
      </c>
      <c r="S9495" s="8">
        <v>14.1</v>
      </c>
      <c r="T9495" s="8">
        <v>0.9</v>
      </c>
      <c r="U9495" s="8">
        <v>13.5</v>
      </c>
      <c r="V9495" s="8">
        <v>1.3</v>
      </c>
      <c r="W9495" s="8">
        <v>1.2</v>
      </c>
      <c r="X9495" s="8">
        <v>42</v>
      </c>
      <c r="Y9495" s="8" t="s">
        <v>21</v>
      </c>
      <c r="Z9495" s="8" t="s">
        <v>41055</v>
      </c>
    </row>
    <row r="9496" spans="1:26" x14ac:dyDescent="0.2">
      <c r="A9496" s="8">
        <v>9495</v>
      </c>
      <c r="B9496" s="8" t="s">
        <v>41056</v>
      </c>
      <c r="C9496" s="8" t="s">
        <v>41056</v>
      </c>
      <c r="G9496" s="8">
        <v>20</v>
      </c>
      <c r="H9496" s="8" t="s">
        <v>21</v>
      </c>
      <c r="I9496" s="8" t="s">
        <v>557</v>
      </c>
      <c r="J9496" s="8" t="s">
        <v>557</v>
      </c>
      <c r="K9496" s="8" t="s">
        <v>557</v>
      </c>
      <c r="L9496" s="8" t="s">
        <v>310</v>
      </c>
      <c r="M9496" s="8" t="s">
        <v>311</v>
      </c>
      <c r="N9496" s="8" t="s">
        <v>41057</v>
      </c>
      <c r="O9496" s="8">
        <f>1+11/60+53.8/3600</f>
        <v>1.1982777777777778</v>
      </c>
      <c r="P9496" s="8" t="s">
        <v>9757</v>
      </c>
      <c r="Q9496" s="8">
        <f>-(71+19/60+54/3600)</f>
        <v>-71.331666666666663</v>
      </c>
      <c r="R9496" s="8">
        <v>99</v>
      </c>
      <c r="S9496" s="8">
        <v>99</v>
      </c>
      <c r="T9496" s="8">
        <v>99</v>
      </c>
      <c r="U9496" s="8">
        <v>99</v>
      </c>
      <c r="V9496" s="8">
        <v>1</v>
      </c>
      <c r="Y9496" s="8" t="s">
        <v>41058</v>
      </c>
      <c r="Z9496" s="8" t="s">
        <v>41059</v>
      </c>
    </row>
    <row r="9497" spans="1:26" x14ac:dyDescent="0.2">
      <c r="A9497" s="8">
        <v>9496</v>
      </c>
      <c r="B9497" s="8" t="s">
        <v>41060</v>
      </c>
      <c r="C9497" s="8" t="s">
        <v>41060</v>
      </c>
      <c r="G9497" s="8">
        <v>20</v>
      </c>
      <c r="H9497" s="8" t="s">
        <v>21</v>
      </c>
      <c r="I9497" s="8" t="s">
        <v>22</v>
      </c>
      <c r="J9497" s="8" t="s">
        <v>57</v>
      </c>
      <c r="K9497" s="8" t="s">
        <v>435</v>
      </c>
      <c r="L9497" s="8" t="s">
        <v>38</v>
      </c>
      <c r="M9497" s="8" t="s">
        <v>39</v>
      </c>
      <c r="N9497" s="8" t="s">
        <v>2211</v>
      </c>
      <c r="O9497" s="8">
        <f>1+15/60+37.9/3600</f>
        <v>1.2605277777777777</v>
      </c>
      <c r="P9497" s="8" t="s">
        <v>2212</v>
      </c>
      <c r="Q9497" s="8">
        <f>+(33+3/60+59/3600)</f>
        <v>33.066388888888888</v>
      </c>
      <c r="R9497" s="8">
        <v>14</v>
      </c>
      <c r="S9497" s="8">
        <v>15.1</v>
      </c>
      <c r="T9497" s="8">
        <v>1.1000000000000001</v>
      </c>
      <c r="U9497" s="8">
        <v>15.6</v>
      </c>
      <c r="V9497" s="8">
        <v>2.2000000000000002</v>
      </c>
      <c r="W9497" s="8">
        <v>2.2000000000000002</v>
      </c>
      <c r="Y9497" s="8" t="s">
        <v>21</v>
      </c>
      <c r="Z9497" s="8" t="s">
        <v>41061</v>
      </c>
    </row>
    <row r="9498" spans="1:26" x14ac:dyDescent="0.2">
      <c r="A9498" s="8">
        <v>9497</v>
      </c>
      <c r="B9498" s="8" t="s">
        <v>41062</v>
      </c>
      <c r="C9498" s="8" t="s">
        <v>41062</v>
      </c>
      <c r="G9498" s="8">
        <v>20</v>
      </c>
      <c r="H9498" s="8" t="s">
        <v>21</v>
      </c>
      <c r="I9498" s="8" t="s">
        <v>22</v>
      </c>
      <c r="J9498" s="8" t="s">
        <v>22</v>
      </c>
      <c r="K9498" s="8" t="s">
        <v>85</v>
      </c>
      <c r="L9498" s="8" t="s">
        <v>65</v>
      </c>
      <c r="M9498" s="8" t="s">
        <v>66</v>
      </c>
      <c r="N9498" s="8" t="s">
        <v>41063</v>
      </c>
      <c r="O9498" s="8">
        <f>1+14/60+6.8/3600</f>
        <v>1.2352222222222222</v>
      </c>
      <c r="P9498" s="8" t="s">
        <v>41064</v>
      </c>
      <c r="Q9498" s="8">
        <f>-(32+39/60+2/3600)</f>
        <v>-32.650555555555556</v>
      </c>
      <c r="R9498" s="8">
        <v>12.4</v>
      </c>
      <c r="S9498" s="8">
        <v>13.2</v>
      </c>
      <c r="T9498" s="8">
        <v>0.8</v>
      </c>
      <c r="U9498" s="8">
        <v>12.6</v>
      </c>
      <c r="V9498" s="8">
        <v>2.4</v>
      </c>
      <c r="W9498" s="8">
        <v>0.6</v>
      </c>
      <c r="X9498" s="8">
        <v>170</v>
      </c>
      <c r="Y9498" s="8" t="s">
        <v>41065</v>
      </c>
      <c r="Z9498" s="8" t="s">
        <v>41066</v>
      </c>
    </row>
    <row r="9499" spans="1:26" x14ac:dyDescent="0.2">
      <c r="A9499" s="8">
        <v>9498</v>
      </c>
      <c r="B9499" s="8" t="s">
        <v>41067</v>
      </c>
      <c r="C9499" s="8" t="s">
        <v>41067</v>
      </c>
      <c r="G9499" s="8">
        <v>20</v>
      </c>
      <c r="H9499" s="8" t="s">
        <v>21</v>
      </c>
      <c r="I9499" s="8" t="s">
        <v>22</v>
      </c>
      <c r="J9499" s="8" t="s">
        <v>57</v>
      </c>
      <c r="K9499" s="8" t="s">
        <v>579</v>
      </c>
      <c r="L9499" s="8" t="s">
        <v>38</v>
      </c>
      <c r="M9499" s="8" t="s">
        <v>39</v>
      </c>
      <c r="N9499" s="8" t="s">
        <v>2199</v>
      </c>
      <c r="O9499" s="8">
        <f>1+15/60+49.6/3600</f>
        <v>1.2637777777777779</v>
      </c>
      <c r="P9499" s="8" t="s">
        <v>2200</v>
      </c>
      <c r="Q9499" s="8">
        <f>+(31+4/60+50/3600)</f>
        <v>31.080555555555556</v>
      </c>
      <c r="R9499" s="8">
        <v>14.3</v>
      </c>
      <c r="S9499" s="8">
        <v>15</v>
      </c>
      <c r="T9499" s="8">
        <v>0.7</v>
      </c>
      <c r="U9499" s="8">
        <v>13.9</v>
      </c>
      <c r="V9499" s="8">
        <v>1.9</v>
      </c>
      <c r="W9499" s="8">
        <v>0.4</v>
      </c>
      <c r="X9499" s="8">
        <v>157</v>
      </c>
      <c r="Y9499" s="8" t="s">
        <v>41068</v>
      </c>
      <c r="Z9499" s="8" t="s">
        <v>41069</v>
      </c>
    </row>
    <row r="9500" spans="1:26" x14ac:dyDescent="0.2">
      <c r="A9500" s="8">
        <v>9499</v>
      </c>
      <c r="B9500" s="8" t="s">
        <v>41070</v>
      </c>
      <c r="C9500" s="8" t="s">
        <v>41070</v>
      </c>
      <c r="G9500" s="8">
        <v>20</v>
      </c>
      <c r="H9500" s="8" t="s">
        <v>21</v>
      </c>
      <c r="I9500" s="8" t="s">
        <v>22</v>
      </c>
      <c r="J9500" s="8" t="s">
        <v>22</v>
      </c>
      <c r="K9500" s="8" t="s">
        <v>382</v>
      </c>
      <c r="L9500" s="8" t="s">
        <v>38</v>
      </c>
      <c r="M9500" s="8" t="s">
        <v>39</v>
      </c>
      <c r="N9500" s="8" t="s">
        <v>41071</v>
      </c>
      <c r="O9500" s="8">
        <f>1+16/60+6.2/3600</f>
        <v>1.2683888888888888</v>
      </c>
      <c r="P9500" s="8" t="s">
        <v>41072</v>
      </c>
      <c r="Q9500" s="8">
        <f>+(30+20/60+54/3600)</f>
        <v>30.348333333333333</v>
      </c>
      <c r="R9500" s="8">
        <v>13.1</v>
      </c>
      <c r="S9500" s="8">
        <v>14.1</v>
      </c>
      <c r="T9500" s="8">
        <v>1</v>
      </c>
      <c r="U9500" s="8">
        <v>13.3</v>
      </c>
      <c r="V9500" s="8">
        <v>1.2</v>
      </c>
      <c r="W9500" s="8">
        <v>0.9</v>
      </c>
      <c r="X9500" s="8">
        <v>20</v>
      </c>
      <c r="Y9500" s="8" t="s">
        <v>41073</v>
      </c>
      <c r="Z9500" s="8" t="s">
        <v>41074</v>
      </c>
    </row>
    <row r="9501" spans="1:26" x14ac:dyDescent="0.2">
      <c r="A9501" s="8">
        <v>9500</v>
      </c>
      <c r="B9501" s="8" t="s">
        <v>41075</v>
      </c>
      <c r="C9501" s="8" t="s">
        <v>41075</v>
      </c>
      <c r="G9501" s="8">
        <v>20</v>
      </c>
      <c r="H9501" s="8" t="s">
        <v>21</v>
      </c>
      <c r="I9501" s="8" t="s">
        <v>557</v>
      </c>
      <c r="J9501" s="8" t="s">
        <v>557</v>
      </c>
      <c r="K9501" s="8" t="s">
        <v>557</v>
      </c>
      <c r="L9501" s="8" t="s">
        <v>310</v>
      </c>
      <c r="M9501" s="8" t="s">
        <v>311</v>
      </c>
      <c r="N9501" s="8" t="s">
        <v>41076</v>
      </c>
      <c r="O9501" s="8">
        <f>1+12/60+38.4/3600</f>
        <v>1.2106666666666666</v>
      </c>
      <c r="P9501" s="8" t="s">
        <v>41077</v>
      </c>
      <c r="Q9501" s="8">
        <f>-(71+45/60+41/3600)</f>
        <v>-71.761388888888888</v>
      </c>
      <c r="R9501" s="8">
        <v>99</v>
      </c>
      <c r="S9501" s="8">
        <v>99</v>
      </c>
      <c r="T9501" s="8">
        <v>99</v>
      </c>
      <c r="U9501" s="8">
        <v>99</v>
      </c>
      <c r="Y9501" s="8" t="s">
        <v>21</v>
      </c>
      <c r="Z9501" s="8" t="s">
        <v>41078</v>
      </c>
    </row>
    <row r="9502" spans="1:26" x14ac:dyDescent="0.2">
      <c r="A9502" s="8">
        <v>9501</v>
      </c>
      <c r="B9502" s="8" t="s">
        <v>41079</v>
      </c>
      <c r="C9502" s="8" t="s">
        <v>41079</v>
      </c>
      <c r="G9502" s="8">
        <v>20</v>
      </c>
      <c r="H9502" s="8" t="s">
        <v>21</v>
      </c>
      <c r="I9502" s="8" t="s">
        <v>22</v>
      </c>
      <c r="J9502" s="8" t="s">
        <v>57</v>
      </c>
      <c r="K9502" s="8" t="s">
        <v>160</v>
      </c>
      <c r="L9502" s="8" t="s">
        <v>38</v>
      </c>
      <c r="M9502" s="8" t="s">
        <v>39</v>
      </c>
      <c r="N9502" s="8" t="s">
        <v>2231</v>
      </c>
      <c r="O9502" s="8">
        <f>1+16/60+12.4/3600</f>
        <v>1.270111111111111</v>
      </c>
      <c r="P9502" s="8" t="s">
        <v>2232</v>
      </c>
      <c r="Q9502" s="8">
        <f>+(33+3/60+49/3600)</f>
        <v>33.063611111111108</v>
      </c>
      <c r="R9502" s="8">
        <v>14</v>
      </c>
      <c r="S9502" s="8">
        <v>14.7</v>
      </c>
      <c r="T9502" s="8">
        <v>0.7</v>
      </c>
      <c r="U9502" s="8">
        <v>12.7</v>
      </c>
      <c r="V9502" s="8">
        <v>0.7</v>
      </c>
      <c r="W9502" s="8">
        <v>0.5</v>
      </c>
      <c r="X9502" s="8">
        <v>35</v>
      </c>
      <c r="Y9502" s="8" t="s">
        <v>227</v>
      </c>
      <c r="Z9502" s="8" t="s">
        <v>228</v>
      </c>
    </row>
    <row r="9503" spans="1:26" x14ac:dyDescent="0.2">
      <c r="A9503" s="8">
        <v>9502</v>
      </c>
      <c r="B9503" s="8" t="s">
        <v>41080</v>
      </c>
      <c r="C9503" s="8" t="s">
        <v>41080</v>
      </c>
      <c r="G9503" s="8">
        <v>20</v>
      </c>
      <c r="H9503" s="8" t="s">
        <v>21</v>
      </c>
      <c r="I9503" s="8" t="s">
        <v>557</v>
      </c>
      <c r="J9503" s="8" t="s">
        <v>557</v>
      </c>
      <c r="K9503" s="8" t="s">
        <v>557</v>
      </c>
      <c r="L9503" s="8" t="s">
        <v>310</v>
      </c>
      <c r="M9503" s="8" t="s">
        <v>311</v>
      </c>
      <c r="N9503" s="8" t="s">
        <v>41081</v>
      </c>
      <c r="O9503" s="8">
        <f>1+12/60+33.3/3600</f>
        <v>1.2092499999999999</v>
      </c>
      <c r="P9503" s="8" t="s">
        <v>41082</v>
      </c>
      <c r="Q9503" s="8">
        <f>-(73+27/60+25/3600)</f>
        <v>-73.456944444444446</v>
      </c>
      <c r="R9503" s="8">
        <v>99</v>
      </c>
      <c r="S9503" s="8">
        <v>99</v>
      </c>
      <c r="T9503" s="8">
        <v>99</v>
      </c>
      <c r="U9503" s="8">
        <v>99</v>
      </c>
      <c r="Y9503" s="8" t="s">
        <v>41083</v>
      </c>
      <c r="Z9503" s="8" t="s">
        <v>41084</v>
      </c>
    </row>
    <row r="9504" spans="1:26" x14ac:dyDescent="0.2">
      <c r="A9504" s="8">
        <v>9503</v>
      </c>
      <c r="B9504" s="8" t="s">
        <v>41085</v>
      </c>
      <c r="C9504" s="8" t="s">
        <v>41085</v>
      </c>
      <c r="G9504" s="8">
        <v>20</v>
      </c>
      <c r="H9504" s="8" t="s">
        <v>21</v>
      </c>
      <c r="I9504" s="8" t="s">
        <v>22</v>
      </c>
      <c r="J9504" s="8" t="s">
        <v>57</v>
      </c>
      <c r="K9504" s="8" t="s">
        <v>85</v>
      </c>
      <c r="L9504" s="8" t="s">
        <v>65</v>
      </c>
      <c r="M9504" s="8" t="s">
        <v>66</v>
      </c>
      <c r="N9504" s="8" t="s">
        <v>41063</v>
      </c>
      <c r="O9504" s="8">
        <f>1+14/60+6.8/3600</f>
        <v>1.2352222222222222</v>
      </c>
      <c r="P9504" s="8" t="s">
        <v>41064</v>
      </c>
      <c r="Q9504" s="8">
        <f>-(32+39/60+2/3600)</f>
        <v>-32.650555555555556</v>
      </c>
      <c r="R9504" s="8">
        <v>12.4</v>
      </c>
      <c r="S9504" s="8">
        <v>13.2</v>
      </c>
      <c r="T9504" s="8">
        <v>0.8</v>
      </c>
      <c r="U9504" s="8">
        <v>12.6</v>
      </c>
      <c r="V9504" s="8">
        <v>2.4</v>
      </c>
      <c r="W9504" s="8">
        <v>0.6</v>
      </c>
      <c r="X9504" s="8">
        <v>170</v>
      </c>
      <c r="Y9504" s="8" t="s">
        <v>21</v>
      </c>
      <c r="Z9504" s="8" t="s">
        <v>41086</v>
      </c>
    </row>
    <row r="9505" spans="1:26" x14ac:dyDescent="0.2">
      <c r="A9505" s="8">
        <v>9504</v>
      </c>
      <c r="B9505" s="8" t="s">
        <v>41087</v>
      </c>
      <c r="C9505" s="8" t="s">
        <v>41087</v>
      </c>
      <c r="G9505" s="8">
        <v>20</v>
      </c>
      <c r="H9505" s="8" t="s">
        <v>21</v>
      </c>
      <c r="I9505" s="8" t="s">
        <v>72</v>
      </c>
      <c r="J9505" s="8" t="s">
        <v>72</v>
      </c>
      <c r="K9505" s="8" t="s">
        <v>73</v>
      </c>
      <c r="L9505" s="8" t="s">
        <v>310</v>
      </c>
      <c r="M9505" s="8" t="s">
        <v>311</v>
      </c>
      <c r="N9505" s="8" t="s">
        <v>41088</v>
      </c>
      <c r="O9505" s="8">
        <f>1+14/60+18.5/3600</f>
        <v>1.2384722222222222</v>
      </c>
      <c r="P9505" s="8" t="s">
        <v>41089</v>
      </c>
      <c r="Q9505" s="8">
        <f>-(69+48/60+42/3600)</f>
        <v>-69.811666666666667</v>
      </c>
      <c r="R9505" s="8">
        <v>99</v>
      </c>
      <c r="S9505" s="8">
        <v>99</v>
      </c>
      <c r="T9505" s="8">
        <v>99</v>
      </c>
      <c r="U9505" s="8">
        <v>99</v>
      </c>
      <c r="Y9505" s="8" t="s">
        <v>21</v>
      </c>
      <c r="Z9505" s="8" t="s">
        <v>41090</v>
      </c>
    </row>
    <row r="9506" spans="1:26" x14ac:dyDescent="0.2">
      <c r="A9506" s="8">
        <v>9505</v>
      </c>
      <c r="B9506" s="8" t="s">
        <v>41091</v>
      </c>
      <c r="C9506" s="8" t="s">
        <v>41091</v>
      </c>
      <c r="G9506" s="8">
        <v>20</v>
      </c>
      <c r="H9506" s="8" t="s">
        <v>21</v>
      </c>
      <c r="I9506" s="8" t="s">
        <v>72</v>
      </c>
      <c r="J9506" s="8" t="s">
        <v>72</v>
      </c>
      <c r="K9506" s="8" t="s">
        <v>1802</v>
      </c>
      <c r="L9506" s="8" t="s">
        <v>51</v>
      </c>
      <c r="M9506" s="8" t="s">
        <v>52</v>
      </c>
      <c r="N9506" s="8" t="s">
        <v>41092</v>
      </c>
      <c r="O9506" s="8">
        <f>1+17/60+45/3600</f>
        <v>1.2958333333333332</v>
      </c>
      <c r="P9506" s="8" t="s">
        <v>41093</v>
      </c>
      <c r="Q9506" s="8">
        <f>+(34+42/60+6/3600)</f>
        <v>34.701666666666668</v>
      </c>
      <c r="R9506" s="8">
        <v>99</v>
      </c>
      <c r="S9506" s="8">
        <v>99</v>
      </c>
      <c r="T9506" s="8">
        <v>99</v>
      </c>
      <c r="U9506" s="8">
        <v>99</v>
      </c>
      <c r="Y9506" s="8" t="s">
        <v>21</v>
      </c>
      <c r="Z9506" s="8" t="s">
        <v>41094</v>
      </c>
    </row>
    <row r="9507" spans="1:26" x14ac:dyDescent="0.2">
      <c r="A9507" s="8">
        <v>9506</v>
      </c>
      <c r="B9507" s="8" t="s">
        <v>41095</v>
      </c>
      <c r="C9507" s="8" t="s">
        <v>41095</v>
      </c>
      <c r="G9507" s="8">
        <v>20</v>
      </c>
      <c r="H9507" s="8" t="s">
        <v>21</v>
      </c>
      <c r="I9507" s="8" t="s">
        <v>22</v>
      </c>
      <c r="J9507" s="8" t="s">
        <v>22</v>
      </c>
      <c r="K9507" s="8" t="s">
        <v>160</v>
      </c>
      <c r="L9507" s="8" t="s">
        <v>38</v>
      </c>
      <c r="M9507" s="8" t="s">
        <v>39</v>
      </c>
      <c r="N9507" s="8" t="s">
        <v>41096</v>
      </c>
      <c r="O9507" s="8">
        <f>1+19/60+53.4/3600</f>
        <v>1.3314999999999999</v>
      </c>
      <c r="P9507" s="8" t="s">
        <v>41097</v>
      </c>
      <c r="Q9507" s="8">
        <f>+(32+28/60+0/3600)</f>
        <v>32.466666666666669</v>
      </c>
      <c r="R9507" s="8">
        <v>13.5</v>
      </c>
      <c r="S9507" s="8">
        <v>14.2</v>
      </c>
      <c r="T9507" s="8">
        <v>0.7</v>
      </c>
      <c r="U9507" s="8">
        <v>13.5</v>
      </c>
      <c r="V9507" s="8">
        <v>1.1000000000000001</v>
      </c>
      <c r="W9507" s="8">
        <v>1</v>
      </c>
      <c r="X9507" s="8">
        <v>72</v>
      </c>
      <c r="Y9507" s="8" t="s">
        <v>41098</v>
      </c>
      <c r="Z9507" s="8" t="s">
        <v>41099</v>
      </c>
    </row>
    <row r="9508" spans="1:26" x14ac:dyDescent="0.2">
      <c r="A9508" s="8">
        <v>9507</v>
      </c>
      <c r="B9508" s="8" t="s">
        <v>41100</v>
      </c>
      <c r="C9508" s="8" t="s">
        <v>41100</v>
      </c>
      <c r="G9508" s="8">
        <v>20</v>
      </c>
      <c r="H9508" s="8" t="s">
        <v>21</v>
      </c>
      <c r="I9508" s="8" t="s">
        <v>22</v>
      </c>
      <c r="J9508" s="8" t="s">
        <v>22</v>
      </c>
      <c r="K9508" s="8" t="s">
        <v>476</v>
      </c>
      <c r="L9508" s="8" t="s">
        <v>125</v>
      </c>
      <c r="M9508" s="8" t="s">
        <v>126</v>
      </c>
      <c r="N9508" s="8" t="s">
        <v>41101</v>
      </c>
      <c r="O9508" s="8">
        <f>1+18/60+42.2/3600</f>
        <v>1.3117222222222222</v>
      </c>
      <c r="P9508" s="8" t="s">
        <v>41102</v>
      </c>
      <c r="Q9508" s="8">
        <f>-(17+3/60+1/3600)</f>
        <v>-17.050277777777779</v>
      </c>
      <c r="R9508" s="8">
        <v>13.6</v>
      </c>
      <c r="S9508" s="8">
        <v>14.5</v>
      </c>
      <c r="T9508" s="8">
        <v>0.9</v>
      </c>
      <c r="U9508" s="8">
        <v>13.3</v>
      </c>
      <c r="V9508" s="8">
        <v>1</v>
      </c>
      <c r="W9508" s="8">
        <v>0.9</v>
      </c>
      <c r="X9508" s="8">
        <v>69</v>
      </c>
      <c r="Y9508" s="8" t="s">
        <v>4170</v>
      </c>
      <c r="Z9508" s="8" t="s">
        <v>4171</v>
      </c>
    </row>
    <row r="9509" spans="1:26" x14ac:dyDescent="0.2">
      <c r="A9509" s="8">
        <v>9508</v>
      </c>
      <c r="B9509" s="8" t="s">
        <v>41103</v>
      </c>
      <c r="C9509" s="8" t="s">
        <v>41103</v>
      </c>
      <c r="G9509" s="8">
        <v>20</v>
      </c>
      <c r="H9509" s="8" t="s">
        <v>21</v>
      </c>
      <c r="I9509" s="8" t="s">
        <v>22</v>
      </c>
      <c r="J9509" s="8" t="s">
        <v>22</v>
      </c>
      <c r="K9509" s="8" t="s">
        <v>476</v>
      </c>
      <c r="L9509" s="8" t="s">
        <v>38</v>
      </c>
      <c r="M9509" s="8" t="s">
        <v>39</v>
      </c>
      <c r="N9509" s="8" t="s">
        <v>41104</v>
      </c>
      <c r="O9509" s="8">
        <f>1+18/60+53.2/3600</f>
        <v>1.3147777777777778</v>
      </c>
      <c r="P9509" s="8" t="s">
        <v>41105</v>
      </c>
      <c r="Q9509" s="8">
        <f>+(33+10/60+20/3600)</f>
        <v>33.172222222222217</v>
      </c>
      <c r="R9509" s="8">
        <v>15.2</v>
      </c>
      <c r="S9509" s="8">
        <v>16</v>
      </c>
      <c r="T9509" s="8">
        <v>0.8</v>
      </c>
      <c r="U9509" s="8">
        <v>12.4</v>
      </c>
      <c r="V9509" s="8">
        <v>0.3</v>
      </c>
      <c r="W9509" s="8">
        <v>0.3</v>
      </c>
      <c r="Y9509" s="8" t="s">
        <v>41106</v>
      </c>
      <c r="Z9509" s="8" t="s">
        <v>41107</v>
      </c>
    </row>
    <row r="9510" spans="1:26" x14ac:dyDescent="0.2">
      <c r="A9510" s="8">
        <v>9509</v>
      </c>
      <c r="B9510" s="8" t="s">
        <v>41108</v>
      </c>
      <c r="C9510" s="8" t="s">
        <v>41108</v>
      </c>
      <c r="G9510" s="8">
        <v>20</v>
      </c>
      <c r="H9510" s="8" t="s">
        <v>21</v>
      </c>
      <c r="I9510" s="8" t="s">
        <v>22</v>
      </c>
      <c r="J9510" s="8" t="s">
        <v>22</v>
      </c>
      <c r="K9510" s="8" t="s">
        <v>449</v>
      </c>
      <c r="L9510" s="8" t="s">
        <v>38</v>
      </c>
      <c r="M9510" s="8" t="s">
        <v>39</v>
      </c>
      <c r="N9510" s="8" t="s">
        <v>41109</v>
      </c>
      <c r="O9510" s="8">
        <f>1+20/60+6.9/3600</f>
        <v>1.3352499999999998</v>
      </c>
      <c r="P9510" s="8" t="s">
        <v>41110</v>
      </c>
      <c r="Q9510" s="8">
        <f>+(33+11/60+2/3600)</f>
        <v>33.183888888888887</v>
      </c>
      <c r="R9510" s="8">
        <v>14.8</v>
      </c>
      <c r="S9510" s="8">
        <v>15.6</v>
      </c>
      <c r="T9510" s="8">
        <v>0.8</v>
      </c>
      <c r="U9510" s="8">
        <v>12.9</v>
      </c>
      <c r="V9510" s="8">
        <v>1</v>
      </c>
      <c r="W9510" s="8">
        <v>0.2</v>
      </c>
      <c r="X9510" s="8">
        <v>5</v>
      </c>
      <c r="Y9510" s="8" t="s">
        <v>17508</v>
      </c>
      <c r="Z9510" s="8" t="s">
        <v>17509</v>
      </c>
    </row>
    <row r="9511" spans="1:26" x14ac:dyDescent="0.2">
      <c r="A9511" s="8">
        <v>9510</v>
      </c>
      <c r="B9511" s="8" t="s">
        <v>41111</v>
      </c>
      <c r="C9511" s="8" t="s">
        <v>41111</v>
      </c>
      <c r="D9511" s="8" t="s">
        <v>351</v>
      </c>
      <c r="G9511" s="8">
        <v>20</v>
      </c>
      <c r="H9511" s="8" t="s">
        <v>21</v>
      </c>
      <c r="I9511" s="8" t="s">
        <v>22</v>
      </c>
      <c r="J9511" s="8" t="s">
        <v>22</v>
      </c>
      <c r="K9511" s="8" t="s">
        <v>396</v>
      </c>
      <c r="L9511" s="8" t="s">
        <v>125</v>
      </c>
      <c r="M9511" s="8" t="s">
        <v>126</v>
      </c>
      <c r="N9511" s="8" t="s">
        <v>41112</v>
      </c>
      <c r="O9511" s="8">
        <f>1+18/60+48.7/3600</f>
        <v>1.3135277777777778</v>
      </c>
      <c r="P9511" s="8" t="s">
        <v>41113</v>
      </c>
      <c r="Q9511" s="8">
        <f>-(16+48/60+13/3600)</f>
        <v>-16.803611111111113</v>
      </c>
      <c r="R9511" s="8">
        <v>13.6</v>
      </c>
      <c r="S9511" s="8">
        <v>14.4</v>
      </c>
      <c r="T9511" s="8">
        <v>0.8</v>
      </c>
      <c r="U9511" s="8">
        <v>13.2</v>
      </c>
      <c r="V9511" s="8">
        <v>1.9</v>
      </c>
      <c r="W9511" s="8">
        <v>0.4</v>
      </c>
      <c r="X9511" s="8">
        <v>126</v>
      </c>
      <c r="Y9511" s="8" t="s">
        <v>21</v>
      </c>
      <c r="Z9511" s="8" t="s">
        <v>41114</v>
      </c>
    </row>
    <row r="9512" spans="1:26" x14ac:dyDescent="0.2">
      <c r="A9512" s="8">
        <v>9511</v>
      </c>
      <c r="B9512" s="8" t="s">
        <v>41115</v>
      </c>
      <c r="C9512" s="8" t="s">
        <v>41115</v>
      </c>
      <c r="G9512" s="8">
        <v>20</v>
      </c>
      <c r="H9512" s="8" t="s">
        <v>21</v>
      </c>
      <c r="I9512" s="8" t="s">
        <v>22</v>
      </c>
      <c r="J9512" s="8" t="s">
        <v>57</v>
      </c>
      <c r="K9512" s="8" t="s">
        <v>23</v>
      </c>
      <c r="L9512" s="8" t="s">
        <v>125</v>
      </c>
      <c r="M9512" s="8" t="s">
        <v>126</v>
      </c>
      <c r="N9512" s="8" t="s">
        <v>35023</v>
      </c>
      <c r="O9512" s="8">
        <f>1+19/60+2.2/3600</f>
        <v>1.3172777777777778</v>
      </c>
      <c r="P9512" s="8" t="s">
        <v>35024</v>
      </c>
      <c r="Q9512" s="8">
        <f>-(17+3/60+40/3600)</f>
        <v>-17.061111111111114</v>
      </c>
      <c r="R9512" s="8">
        <v>13.2</v>
      </c>
      <c r="S9512" s="8">
        <v>14</v>
      </c>
      <c r="T9512" s="8">
        <v>0.8</v>
      </c>
      <c r="U9512" s="8">
        <v>12.8</v>
      </c>
      <c r="V9512" s="8">
        <v>1.3</v>
      </c>
      <c r="W9512" s="8">
        <v>0.6</v>
      </c>
      <c r="X9512" s="8">
        <v>170</v>
      </c>
      <c r="Y9512" s="8" t="s">
        <v>41116</v>
      </c>
      <c r="Z9512" s="8" t="s">
        <v>41117</v>
      </c>
    </row>
    <row r="9513" spans="1:26" x14ac:dyDescent="0.2">
      <c r="A9513" s="8">
        <v>9512</v>
      </c>
      <c r="B9513" s="8" t="s">
        <v>41118</v>
      </c>
      <c r="C9513" s="8" t="s">
        <v>41118</v>
      </c>
      <c r="G9513" s="8">
        <v>20</v>
      </c>
      <c r="H9513" s="8" t="s">
        <v>21</v>
      </c>
      <c r="I9513" s="8" t="s">
        <v>22</v>
      </c>
      <c r="J9513" s="8" t="s">
        <v>22</v>
      </c>
      <c r="K9513" s="8" t="s">
        <v>23</v>
      </c>
      <c r="L9513" s="8" t="s">
        <v>38</v>
      </c>
      <c r="M9513" s="8" t="s">
        <v>39</v>
      </c>
      <c r="N9513" s="8" t="s">
        <v>41119</v>
      </c>
      <c r="O9513" s="8">
        <f>1+20/60+38.3/3600</f>
        <v>1.3439722222222221</v>
      </c>
      <c r="P9513" s="8" t="s">
        <v>41120</v>
      </c>
      <c r="Q9513" s="8">
        <f>+(29+41/60+56/3600)</f>
        <v>29.698888888888888</v>
      </c>
      <c r="R9513" s="8">
        <v>13</v>
      </c>
      <c r="S9513" s="8">
        <v>13.8</v>
      </c>
      <c r="T9513" s="8">
        <v>0.8</v>
      </c>
      <c r="U9513" s="8">
        <v>13.1</v>
      </c>
      <c r="V9513" s="8">
        <v>1.3</v>
      </c>
      <c r="W9513" s="8">
        <v>1</v>
      </c>
      <c r="X9513" s="8">
        <v>140</v>
      </c>
      <c r="Y9513" s="8" t="s">
        <v>41121</v>
      </c>
      <c r="Z9513" s="8" t="s">
        <v>41122</v>
      </c>
    </row>
    <row r="9514" spans="1:26" x14ac:dyDescent="0.2">
      <c r="A9514" s="8">
        <v>9513</v>
      </c>
      <c r="B9514" s="8" t="s">
        <v>41123</v>
      </c>
      <c r="C9514" s="8" t="s">
        <v>41123</v>
      </c>
      <c r="G9514" s="8">
        <v>20</v>
      </c>
      <c r="H9514" s="8" t="s">
        <v>21</v>
      </c>
      <c r="I9514" s="8" t="s">
        <v>22</v>
      </c>
      <c r="J9514" s="8" t="s">
        <v>22</v>
      </c>
      <c r="K9514" s="8" t="s">
        <v>460</v>
      </c>
      <c r="L9514" s="8" t="s">
        <v>38</v>
      </c>
      <c r="M9514" s="8" t="s">
        <v>39</v>
      </c>
      <c r="N9514" s="8" t="s">
        <v>41124</v>
      </c>
      <c r="O9514" s="8">
        <f>1+20/60+46.3/3600</f>
        <v>1.3461944444444445</v>
      </c>
      <c r="P9514" s="8" t="s">
        <v>41125</v>
      </c>
      <c r="Q9514" s="8">
        <f>+(33+2/60+44/3600)</f>
        <v>33.045555555555552</v>
      </c>
      <c r="R9514" s="8">
        <v>14.1</v>
      </c>
      <c r="S9514" s="8">
        <v>15.1</v>
      </c>
      <c r="T9514" s="8">
        <v>1</v>
      </c>
      <c r="U9514" s="8">
        <v>11.6</v>
      </c>
      <c r="V9514" s="8">
        <v>0.3</v>
      </c>
      <c r="W9514" s="8">
        <v>0.3</v>
      </c>
      <c r="Y9514" s="8" t="s">
        <v>41126</v>
      </c>
      <c r="Z9514" s="8" t="s">
        <v>41127</v>
      </c>
    </row>
    <row r="9515" spans="1:26" x14ac:dyDescent="0.2">
      <c r="A9515" s="8">
        <v>9514</v>
      </c>
      <c r="B9515" s="8" t="s">
        <v>41128</v>
      </c>
      <c r="C9515" s="8" t="s">
        <v>41128</v>
      </c>
      <c r="G9515" s="8">
        <v>20</v>
      </c>
      <c r="H9515" s="8" t="s">
        <v>21</v>
      </c>
      <c r="I9515" s="8" t="s">
        <v>329</v>
      </c>
      <c r="J9515" s="8" t="s">
        <v>329</v>
      </c>
      <c r="K9515" s="8" t="s">
        <v>329</v>
      </c>
      <c r="L9515" s="8" t="s">
        <v>166</v>
      </c>
      <c r="M9515" s="8" t="s">
        <v>167</v>
      </c>
      <c r="N9515" s="8" t="s">
        <v>41129</v>
      </c>
      <c r="O9515" s="8">
        <f>1+19/60+0/3600</f>
        <v>1.3166666666666667</v>
      </c>
      <c r="P9515" s="8" t="s">
        <v>41130</v>
      </c>
      <c r="Q9515" s="8">
        <f>-(50+38/60+0/3600)</f>
        <v>-50.633333333333333</v>
      </c>
      <c r="R9515" s="8">
        <v>99</v>
      </c>
      <c r="S9515" s="8">
        <v>99</v>
      </c>
      <c r="T9515" s="8">
        <v>99</v>
      </c>
      <c r="U9515" s="8">
        <v>99</v>
      </c>
      <c r="Y9515" s="8" t="s">
        <v>21</v>
      </c>
      <c r="Z9515" s="8" t="s">
        <v>41131</v>
      </c>
    </row>
    <row r="9516" spans="1:26" x14ac:dyDescent="0.2">
      <c r="A9516" s="8">
        <v>9515</v>
      </c>
      <c r="B9516" s="8" t="s">
        <v>41132</v>
      </c>
      <c r="C9516" s="8" t="s">
        <v>41132</v>
      </c>
      <c r="G9516" s="8">
        <v>20</v>
      </c>
      <c r="H9516" s="8" t="s">
        <v>21</v>
      </c>
      <c r="I9516" s="8" t="s">
        <v>22</v>
      </c>
      <c r="J9516" s="8" t="s">
        <v>22</v>
      </c>
      <c r="K9516" s="8" t="s">
        <v>449</v>
      </c>
      <c r="L9516" s="8" t="s">
        <v>51</v>
      </c>
      <c r="M9516" s="8" t="s">
        <v>52</v>
      </c>
      <c r="N9516" s="8" t="s">
        <v>41133</v>
      </c>
      <c r="O9516" s="8">
        <f>1+21/60+0.1/3600</f>
        <v>1.3500277777777778</v>
      </c>
      <c r="P9516" s="8" t="s">
        <v>41134</v>
      </c>
      <c r="Q9516" s="8">
        <f>+(34+14/60+56/3600)</f>
        <v>34.248888888888892</v>
      </c>
      <c r="R9516" s="8">
        <v>13.4</v>
      </c>
      <c r="S9516" s="8">
        <v>14.2</v>
      </c>
      <c r="T9516" s="8">
        <v>0.8</v>
      </c>
      <c r="U9516" s="8">
        <v>11.7</v>
      </c>
      <c r="V9516" s="8">
        <v>0.8</v>
      </c>
      <c r="W9516" s="8">
        <v>0.3</v>
      </c>
      <c r="X9516" s="8">
        <v>69</v>
      </c>
      <c r="Y9516" s="8" t="s">
        <v>4065</v>
      </c>
      <c r="Z9516" s="8" t="s">
        <v>4066</v>
      </c>
    </row>
    <row r="9517" spans="1:26" x14ac:dyDescent="0.2">
      <c r="A9517" s="8">
        <v>9516</v>
      </c>
      <c r="B9517" s="8" t="s">
        <v>41135</v>
      </c>
      <c r="C9517" s="8" t="s">
        <v>41135</v>
      </c>
      <c r="G9517" s="8">
        <v>20</v>
      </c>
      <c r="H9517" s="8" t="s">
        <v>21</v>
      </c>
      <c r="I9517" s="8" t="s">
        <v>22</v>
      </c>
      <c r="J9517" s="8" t="s">
        <v>22</v>
      </c>
      <c r="K9517" s="8" t="s">
        <v>449</v>
      </c>
      <c r="L9517" s="8" t="s">
        <v>38</v>
      </c>
      <c r="M9517" s="8" t="s">
        <v>39</v>
      </c>
      <c r="N9517" s="8" t="s">
        <v>41136</v>
      </c>
      <c r="O9517" s="8">
        <f>1+20/60+58.5/3600</f>
        <v>1.3495833333333334</v>
      </c>
      <c r="P9517" s="8" t="s">
        <v>41137</v>
      </c>
      <c r="Q9517" s="8">
        <f>+(30+15/60+36/3600)</f>
        <v>30.26</v>
      </c>
      <c r="R9517" s="8">
        <v>14.6</v>
      </c>
      <c r="S9517" s="8">
        <v>15.4</v>
      </c>
      <c r="T9517" s="8">
        <v>0.8</v>
      </c>
      <c r="U9517" s="8">
        <v>12.7</v>
      </c>
      <c r="V9517" s="8">
        <v>0.5</v>
      </c>
      <c r="W9517" s="8">
        <v>0.4</v>
      </c>
      <c r="X9517" s="8">
        <v>0</v>
      </c>
      <c r="Y9517" s="8" t="s">
        <v>27107</v>
      </c>
      <c r="Z9517" s="8" t="s">
        <v>41138</v>
      </c>
    </row>
    <row r="9518" spans="1:26" x14ac:dyDescent="0.2">
      <c r="A9518" s="8">
        <v>9517</v>
      </c>
      <c r="B9518" s="8" t="s">
        <v>41139</v>
      </c>
      <c r="C9518" s="8" t="s">
        <v>41139</v>
      </c>
      <c r="G9518" s="8">
        <v>20</v>
      </c>
      <c r="H9518" s="8" t="s">
        <v>21</v>
      </c>
      <c r="I9518" s="8" t="s">
        <v>22</v>
      </c>
      <c r="J9518" s="8" t="s">
        <v>22</v>
      </c>
      <c r="K9518" s="8" t="s">
        <v>476</v>
      </c>
      <c r="L9518" s="8" t="s">
        <v>38</v>
      </c>
      <c r="M9518" s="8" t="s">
        <v>39</v>
      </c>
      <c r="N9518" s="8" t="s">
        <v>41140</v>
      </c>
      <c r="O9518" s="8">
        <f>1+21/60+7.1/3600</f>
        <v>1.3519722222222224</v>
      </c>
      <c r="P9518" s="8" t="s">
        <v>41141</v>
      </c>
      <c r="Q9518" s="8">
        <f>+(33+12/60+56/3600)</f>
        <v>33.215555555555561</v>
      </c>
      <c r="R9518" s="8">
        <v>14.1</v>
      </c>
      <c r="S9518" s="8">
        <v>15</v>
      </c>
      <c r="T9518" s="8">
        <v>0.9</v>
      </c>
      <c r="U9518" s="8">
        <v>13.1</v>
      </c>
      <c r="V9518" s="8">
        <v>0.9</v>
      </c>
      <c r="W9518" s="8">
        <v>0.5</v>
      </c>
      <c r="X9518" s="8">
        <v>120</v>
      </c>
      <c r="Y9518" s="8" t="s">
        <v>41142</v>
      </c>
      <c r="Z9518" s="8" t="s">
        <v>41143</v>
      </c>
    </row>
    <row r="9519" spans="1:26" x14ac:dyDescent="0.2">
      <c r="A9519" s="8">
        <v>9518</v>
      </c>
      <c r="B9519" s="8" t="s">
        <v>41144</v>
      </c>
      <c r="C9519" s="8" t="s">
        <v>41144</v>
      </c>
      <c r="G9519" s="8">
        <v>20</v>
      </c>
      <c r="H9519" s="8" t="s">
        <v>21</v>
      </c>
      <c r="I9519" s="8" t="s">
        <v>22</v>
      </c>
      <c r="J9519" s="8" t="s">
        <v>22</v>
      </c>
      <c r="K9519" s="8" t="s">
        <v>424</v>
      </c>
      <c r="L9519" s="8" t="s">
        <v>38</v>
      </c>
      <c r="M9519" s="8" t="s">
        <v>39</v>
      </c>
      <c r="N9519" s="8" t="s">
        <v>41145</v>
      </c>
      <c r="O9519" s="8">
        <f>1+21/60+2.6/3600</f>
        <v>1.3507222222222224</v>
      </c>
      <c r="P9519" s="8" t="s">
        <v>41146</v>
      </c>
      <c r="Q9519" s="8">
        <f>+(5+33/60+37/3600)</f>
        <v>5.5602777777777774</v>
      </c>
      <c r="R9519" s="8">
        <v>14.4</v>
      </c>
      <c r="S9519" s="8">
        <v>15.4</v>
      </c>
      <c r="T9519" s="8">
        <v>1</v>
      </c>
      <c r="U9519" s="8">
        <v>12.3</v>
      </c>
      <c r="V9519" s="8">
        <v>0.4</v>
      </c>
      <c r="W9519" s="8">
        <v>0.4</v>
      </c>
      <c r="Y9519" s="8" t="s">
        <v>5926</v>
      </c>
      <c r="Z9519" s="8" t="s">
        <v>5927</v>
      </c>
    </row>
    <row r="9520" spans="1:26" x14ac:dyDescent="0.2">
      <c r="A9520" s="8">
        <v>9519</v>
      </c>
      <c r="B9520" s="8" t="s">
        <v>41147</v>
      </c>
      <c r="C9520" s="8" t="s">
        <v>41147</v>
      </c>
      <c r="G9520" s="8">
        <v>20</v>
      </c>
      <c r="H9520" s="8" t="s">
        <v>21</v>
      </c>
      <c r="I9520" s="8" t="s">
        <v>22</v>
      </c>
      <c r="J9520" s="8" t="s">
        <v>22</v>
      </c>
      <c r="K9520" s="8" t="s">
        <v>476</v>
      </c>
      <c r="L9520" s="8" t="s">
        <v>38</v>
      </c>
      <c r="M9520" s="8" t="s">
        <v>39</v>
      </c>
      <c r="N9520" s="8" t="s">
        <v>41148</v>
      </c>
      <c r="O9520" s="8">
        <f>1+21/60+44.5/3600</f>
        <v>1.3623611111111111</v>
      </c>
      <c r="P9520" s="8" t="s">
        <v>41149</v>
      </c>
      <c r="Q9520" s="8">
        <f>+(33+29/60+34/3600)</f>
        <v>33.492777777777782</v>
      </c>
      <c r="R9520" s="8">
        <v>14.8</v>
      </c>
      <c r="S9520" s="8">
        <v>15.7</v>
      </c>
      <c r="T9520" s="8">
        <v>0.9</v>
      </c>
      <c r="U9520" s="8">
        <v>12.9</v>
      </c>
      <c r="V9520" s="8">
        <v>0.5</v>
      </c>
      <c r="W9520" s="8">
        <v>0.4</v>
      </c>
      <c r="X9520" s="8">
        <v>54</v>
      </c>
      <c r="Y9520" s="8" t="s">
        <v>41150</v>
      </c>
      <c r="Z9520" s="8" t="s">
        <v>41151</v>
      </c>
    </row>
    <row r="9521" spans="1:26" x14ac:dyDescent="0.2">
      <c r="A9521" s="8">
        <v>9520</v>
      </c>
      <c r="B9521" s="8" t="s">
        <v>41152</v>
      </c>
      <c r="C9521" s="8" t="s">
        <v>41152</v>
      </c>
      <c r="G9521" s="8">
        <v>20</v>
      </c>
      <c r="H9521" s="8" t="s">
        <v>21</v>
      </c>
      <c r="I9521" s="8" t="s">
        <v>22</v>
      </c>
      <c r="J9521" s="8" t="s">
        <v>22</v>
      </c>
      <c r="K9521" s="8" t="s">
        <v>632</v>
      </c>
      <c r="L9521" s="8" t="s">
        <v>38</v>
      </c>
      <c r="M9521" s="8" t="s">
        <v>39</v>
      </c>
      <c r="N9521" s="8" t="s">
        <v>41153</v>
      </c>
      <c r="O9521" s="8">
        <f>1+21/60+51.4/3600</f>
        <v>1.3642777777777779</v>
      </c>
      <c r="P9521" s="8" t="s">
        <v>41154</v>
      </c>
      <c r="Q9521" s="8">
        <f>+(33+16/60+55/3600)</f>
        <v>33.281944444444441</v>
      </c>
      <c r="R9521" s="8">
        <v>14.4</v>
      </c>
      <c r="S9521" s="8">
        <v>15.3</v>
      </c>
      <c r="T9521" s="8">
        <v>0.9</v>
      </c>
      <c r="U9521" s="8">
        <v>13.1</v>
      </c>
      <c r="V9521" s="8">
        <v>0.7</v>
      </c>
      <c r="W9521" s="8">
        <v>0.5</v>
      </c>
      <c r="X9521" s="8">
        <v>90</v>
      </c>
      <c r="Y9521" s="8" t="s">
        <v>41155</v>
      </c>
      <c r="Z9521" s="8" t="s">
        <v>41156</v>
      </c>
    </row>
    <row r="9522" spans="1:26" x14ac:dyDescent="0.2">
      <c r="A9522" s="8">
        <v>9521</v>
      </c>
      <c r="B9522" s="8" t="s">
        <v>41157</v>
      </c>
      <c r="C9522" s="8" t="s">
        <v>41157</v>
      </c>
      <c r="G9522" s="8">
        <v>20</v>
      </c>
      <c r="H9522" s="8" t="s">
        <v>21</v>
      </c>
      <c r="I9522" s="8" t="s">
        <v>22</v>
      </c>
      <c r="J9522" s="8" t="s">
        <v>22</v>
      </c>
      <c r="K9522" s="8" t="s">
        <v>476</v>
      </c>
      <c r="L9522" s="8" t="s">
        <v>125</v>
      </c>
      <c r="M9522" s="8" t="s">
        <v>126</v>
      </c>
      <c r="N9522" s="8" t="s">
        <v>41158</v>
      </c>
      <c r="O9522" s="8">
        <f>1+21/60+21.2/3600</f>
        <v>1.3558888888888889</v>
      </c>
      <c r="P9522" s="8" t="s">
        <v>41159</v>
      </c>
      <c r="Q9522" s="8">
        <f>+(0+5/60+26/3600)</f>
        <v>9.0555555555555556E-2</v>
      </c>
      <c r="R9522" s="8">
        <v>13.8</v>
      </c>
      <c r="S9522" s="8">
        <v>14.7</v>
      </c>
      <c r="T9522" s="8">
        <v>0.9</v>
      </c>
      <c r="U9522" s="8">
        <v>12.6</v>
      </c>
      <c r="V9522" s="8">
        <v>1</v>
      </c>
      <c r="W9522" s="8">
        <v>0.5</v>
      </c>
      <c r="X9522" s="8">
        <v>99</v>
      </c>
      <c r="Y9522" s="8" t="s">
        <v>37070</v>
      </c>
      <c r="Z9522" s="8" t="s">
        <v>37071</v>
      </c>
    </row>
    <row r="9523" spans="1:26" x14ac:dyDescent="0.2">
      <c r="A9523" s="8">
        <v>9522</v>
      </c>
      <c r="B9523" s="8" t="s">
        <v>41160</v>
      </c>
      <c r="C9523" s="8" t="s">
        <v>41160</v>
      </c>
      <c r="G9523" s="8">
        <v>20</v>
      </c>
      <c r="H9523" s="8" t="s">
        <v>21</v>
      </c>
      <c r="I9523" s="8" t="s">
        <v>22</v>
      </c>
      <c r="J9523" s="8" t="s">
        <v>22</v>
      </c>
      <c r="K9523" s="8" t="s">
        <v>476</v>
      </c>
      <c r="L9523" s="8" t="s">
        <v>38</v>
      </c>
      <c r="M9523" s="8" t="s">
        <v>39</v>
      </c>
      <c r="N9523" s="8" t="s">
        <v>41161</v>
      </c>
      <c r="O9523" s="8">
        <f>1+22/60+13.4/3600</f>
        <v>1.3703888888888889</v>
      </c>
      <c r="P9523" s="8" t="s">
        <v>41162</v>
      </c>
      <c r="Q9523" s="8">
        <f>+(33+15/60+35/3600)</f>
        <v>33.259722222222223</v>
      </c>
      <c r="R9523" s="8">
        <v>13.6</v>
      </c>
      <c r="S9523" s="8">
        <v>14.5</v>
      </c>
      <c r="T9523" s="8">
        <v>0.9</v>
      </c>
      <c r="U9523" s="8">
        <v>12.2</v>
      </c>
      <c r="V9523" s="8">
        <v>0.8</v>
      </c>
      <c r="W9523" s="8">
        <v>0.4</v>
      </c>
      <c r="X9523" s="8">
        <v>126</v>
      </c>
      <c r="Y9523" s="8" t="s">
        <v>5926</v>
      </c>
      <c r="Z9523" s="8" t="s">
        <v>5927</v>
      </c>
    </row>
    <row r="9524" spans="1:26" x14ac:dyDescent="0.2">
      <c r="A9524" s="8">
        <v>9523</v>
      </c>
      <c r="B9524" s="8" t="s">
        <v>41163</v>
      </c>
      <c r="C9524" s="8" t="s">
        <v>41163</v>
      </c>
      <c r="G9524" s="8">
        <v>20</v>
      </c>
      <c r="H9524" s="8" t="s">
        <v>21</v>
      </c>
      <c r="I9524" s="8" t="s">
        <v>22</v>
      </c>
      <c r="J9524" s="8" t="s">
        <v>22</v>
      </c>
      <c r="K9524" s="8" t="s">
        <v>160</v>
      </c>
      <c r="L9524" s="8" t="s">
        <v>51</v>
      </c>
      <c r="M9524" s="8" t="s">
        <v>52</v>
      </c>
      <c r="N9524" s="8" t="s">
        <v>41164</v>
      </c>
      <c r="O9524" s="8">
        <f>1+22/60+39.1/3600</f>
        <v>1.3775277777777779</v>
      </c>
      <c r="P9524" s="8" t="s">
        <v>41165</v>
      </c>
      <c r="Q9524" s="8">
        <f>+(34+26/60+14/3600)</f>
        <v>34.437222222222218</v>
      </c>
      <c r="R9524" s="8">
        <v>13.5</v>
      </c>
      <c r="S9524" s="8">
        <v>14.2</v>
      </c>
      <c r="T9524" s="8">
        <v>0.7</v>
      </c>
      <c r="U9524" s="8">
        <v>12.9</v>
      </c>
      <c r="V9524" s="8">
        <v>1.3</v>
      </c>
      <c r="W9524" s="8">
        <v>0.6</v>
      </c>
      <c r="X9524" s="8">
        <v>177</v>
      </c>
      <c r="Y9524" s="8" t="s">
        <v>41166</v>
      </c>
      <c r="Z9524" s="8" t="s">
        <v>41167</v>
      </c>
    </row>
    <row r="9525" spans="1:26" x14ac:dyDescent="0.2">
      <c r="A9525" s="8">
        <v>9524</v>
      </c>
      <c r="B9525" s="8" t="s">
        <v>41168</v>
      </c>
      <c r="C9525" s="8" t="s">
        <v>41168</v>
      </c>
      <c r="G9525" s="8">
        <v>20</v>
      </c>
      <c r="H9525" s="8" t="s">
        <v>21</v>
      </c>
      <c r="I9525" s="8" t="s">
        <v>22</v>
      </c>
      <c r="J9525" s="8" t="s">
        <v>22</v>
      </c>
      <c r="K9525" s="8" t="s">
        <v>449</v>
      </c>
      <c r="L9525" s="8" t="s">
        <v>38</v>
      </c>
      <c r="M9525" s="8" t="s">
        <v>39</v>
      </c>
      <c r="N9525" s="8" t="s">
        <v>41169</v>
      </c>
      <c r="O9525" s="8">
        <f>1+22/60+53.2/3600</f>
        <v>1.3814444444444445</v>
      </c>
      <c r="P9525" s="8" t="s">
        <v>41170</v>
      </c>
      <c r="Q9525" s="8">
        <f>+(33+24/60+47/3600)</f>
        <v>33.413055555555552</v>
      </c>
      <c r="R9525" s="8">
        <v>15</v>
      </c>
      <c r="S9525" s="8">
        <v>15.8</v>
      </c>
      <c r="T9525" s="8">
        <v>0.8</v>
      </c>
      <c r="U9525" s="8">
        <v>13</v>
      </c>
      <c r="V9525" s="8">
        <v>0.6</v>
      </c>
      <c r="W9525" s="8">
        <v>0.3</v>
      </c>
      <c r="X9525" s="8">
        <v>125</v>
      </c>
      <c r="Y9525" s="8" t="s">
        <v>36797</v>
      </c>
      <c r="Z9525" s="8" t="s">
        <v>36798</v>
      </c>
    </row>
    <row r="9526" spans="1:26" x14ac:dyDescent="0.2">
      <c r="A9526" s="8">
        <v>9525</v>
      </c>
      <c r="B9526" s="8" t="s">
        <v>41171</v>
      </c>
      <c r="C9526" s="8" t="s">
        <v>41171</v>
      </c>
      <c r="G9526" s="8">
        <v>20</v>
      </c>
      <c r="H9526" s="8" t="s">
        <v>21</v>
      </c>
      <c r="I9526" s="8" t="s">
        <v>22</v>
      </c>
      <c r="J9526" s="8" t="s">
        <v>22</v>
      </c>
      <c r="K9526" s="8" t="s">
        <v>449</v>
      </c>
      <c r="L9526" s="8" t="s">
        <v>38</v>
      </c>
      <c r="M9526" s="8" t="s">
        <v>39</v>
      </c>
      <c r="N9526" s="8" t="s">
        <v>41172</v>
      </c>
      <c r="O9526" s="8">
        <f>1+23/60+6.7/3600</f>
        <v>1.3851944444444444</v>
      </c>
      <c r="P9526" s="8" t="s">
        <v>41173</v>
      </c>
      <c r="Q9526" s="8">
        <f>+(33+11/60+27/3600)</f>
        <v>33.19083333333333</v>
      </c>
      <c r="R9526" s="8">
        <v>14.7</v>
      </c>
      <c r="S9526" s="8">
        <v>15.5</v>
      </c>
      <c r="T9526" s="8">
        <v>0.8</v>
      </c>
      <c r="U9526" s="8">
        <v>12.8</v>
      </c>
      <c r="V9526" s="8">
        <v>0.5</v>
      </c>
      <c r="W9526" s="8">
        <v>0.4</v>
      </c>
      <c r="X9526" s="8">
        <v>25</v>
      </c>
      <c r="Y9526" s="8" t="s">
        <v>41174</v>
      </c>
      <c r="Z9526" s="8" t="s">
        <v>41175</v>
      </c>
    </row>
    <row r="9527" spans="1:26" x14ac:dyDescent="0.2">
      <c r="A9527" s="8">
        <v>9526</v>
      </c>
      <c r="B9527" s="8" t="s">
        <v>41176</v>
      </c>
      <c r="C9527" s="8" t="s">
        <v>41176</v>
      </c>
      <c r="G9527" s="8">
        <v>20</v>
      </c>
      <c r="H9527" s="8" t="s">
        <v>21</v>
      </c>
      <c r="I9527" s="8" t="s">
        <v>22</v>
      </c>
      <c r="J9527" s="8" t="s">
        <v>57</v>
      </c>
      <c r="K9527" s="8" t="s">
        <v>58</v>
      </c>
      <c r="L9527" s="8" t="s">
        <v>38</v>
      </c>
      <c r="M9527" s="8" t="s">
        <v>39</v>
      </c>
      <c r="N9527" s="8" t="s">
        <v>2448</v>
      </c>
      <c r="O9527" s="8">
        <f>1+23/60+11.5/3600</f>
        <v>1.3865277777777778</v>
      </c>
      <c r="P9527" s="8" t="s">
        <v>2449</v>
      </c>
      <c r="Q9527" s="8">
        <f>+(33+27/60+35/3600)</f>
        <v>33.459722222222226</v>
      </c>
      <c r="R9527" s="8">
        <v>12.1</v>
      </c>
      <c r="S9527" s="8">
        <v>13.2</v>
      </c>
      <c r="T9527" s="8">
        <v>1.1000000000000001</v>
      </c>
      <c r="U9527" s="8">
        <v>12.8</v>
      </c>
      <c r="V9527" s="8">
        <v>1.7</v>
      </c>
      <c r="W9527" s="8">
        <v>1.3</v>
      </c>
      <c r="X9527" s="8">
        <v>84</v>
      </c>
      <c r="Y9527" s="8" t="s">
        <v>41177</v>
      </c>
      <c r="Z9527" s="8" t="s">
        <v>41178</v>
      </c>
    </row>
    <row r="9528" spans="1:26" x14ac:dyDescent="0.2">
      <c r="A9528" s="8">
        <v>9527</v>
      </c>
      <c r="B9528" s="8" t="s">
        <v>41179</v>
      </c>
      <c r="C9528" s="8" t="s">
        <v>41179</v>
      </c>
      <c r="G9528" s="8">
        <v>20</v>
      </c>
      <c r="H9528" s="8" t="s">
        <v>21</v>
      </c>
      <c r="I9528" s="8" t="s">
        <v>22</v>
      </c>
      <c r="J9528" s="8" t="s">
        <v>22</v>
      </c>
      <c r="K9528" s="8" t="s">
        <v>424</v>
      </c>
      <c r="L9528" s="8" t="s">
        <v>38</v>
      </c>
      <c r="M9528" s="8" t="s">
        <v>39</v>
      </c>
      <c r="N9528" s="8" t="s">
        <v>41180</v>
      </c>
      <c r="O9528" s="8">
        <f>1+23/60+19.3/3600</f>
        <v>1.3886944444444445</v>
      </c>
      <c r="P9528" s="8" t="s">
        <v>41181</v>
      </c>
      <c r="Q9528" s="8">
        <f>+(33+16/60+37/3600)</f>
        <v>33.276944444444446</v>
      </c>
      <c r="R9528" s="8">
        <v>13.7</v>
      </c>
      <c r="S9528" s="8">
        <v>14.7</v>
      </c>
      <c r="T9528" s="8">
        <v>1</v>
      </c>
      <c r="U9528" s="8">
        <v>11.5</v>
      </c>
      <c r="V9528" s="8">
        <v>0.5</v>
      </c>
      <c r="W9528" s="8">
        <v>0.3</v>
      </c>
      <c r="X9528" s="8">
        <v>3</v>
      </c>
      <c r="Y9528" s="8" t="s">
        <v>3668</v>
      </c>
      <c r="Z9528" s="8" t="s">
        <v>3669</v>
      </c>
    </row>
    <row r="9529" spans="1:26" x14ac:dyDescent="0.2">
      <c r="A9529" s="8">
        <v>9528</v>
      </c>
      <c r="B9529" s="8" t="s">
        <v>41182</v>
      </c>
      <c r="C9529" s="8" t="s">
        <v>41182</v>
      </c>
      <c r="G9529" s="8">
        <v>20</v>
      </c>
      <c r="H9529" s="8" t="s">
        <v>21</v>
      </c>
      <c r="I9529" s="8" t="s">
        <v>22</v>
      </c>
      <c r="J9529" s="8" t="s">
        <v>22</v>
      </c>
      <c r="K9529" s="8" t="s">
        <v>382</v>
      </c>
      <c r="L9529" s="8" t="s">
        <v>38</v>
      </c>
      <c r="M9529" s="8" t="s">
        <v>39</v>
      </c>
      <c r="N9529" s="8" t="s">
        <v>41183</v>
      </c>
      <c r="O9529" s="8">
        <f>1+23/60+28.2/3600</f>
        <v>1.3911666666666667</v>
      </c>
      <c r="P9529" s="8" t="s">
        <v>41184</v>
      </c>
      <c r="Q9529" s="8">
        <f>+(33+4/60+58/3600)</f>
        <v>33.082777777777778</v>
      </c>
      <c r="R9529" s="8">
        <v>15</v>
      </c>
      <c r="S9529" s="8">
        <v>16</v>
      </c>
      <c r="T9529" s="8">
        <v>1</v>
      </c>
      <c r="U9529" s="8">
        <v>12.8</v>
      </c>
      <c r="V9529" s="8">
        <v>0.4</v>
      </c>
      <c r="W9529" s="8">
        <v>0.3</v>
      </c>
      <c r="X9529" s="8">
        <v>40</v>
      </c>
      <c r="Y9529" s="8" t="s">
        <v>3668</v>
      </c>
      <c r="Z9529" s="8" t="s">
        <v>3669</v>
      </c>
    </row>
    <row r="9530" spans="1:26" x14ac:dyDescent="0.2">
      <c r="A9530" s="8">
        <v>9529</v>
      </c>
      <c r="B9530" s="8" t="s">
        <v>41185</v>
      </c>
      <c r="C9530" s="8" t="s">
        <v>41185</v>
      </c>
      <c r="G9530" s="8">
        <v>20</v>
      </c>
      <c r="H9530" s="8" t="s">
        <v>21</v>
      </c>
      <c r="I9530" s="8" t="s">
        <v>22</v>
      </c>
      <c r="J9530" s="8" t="s">
        <v>22</v>
      </c>
      <c r="K9530" s="8" t="s">
        <v>41186</v>
      </c>
      <c r="L9530" s="8" t="s">
        <v>38</v>
      </c>
      <c r="M9530" s="8" t="s">
        <v>39</v>
      </c>
      <c r="N9530" s="8" t="s">
        <v>41187</v>
      </c>
      <c r="O9530" s="8">
        <f>1+23/60+48/3600</f>
        <v>1.3966666666666667</v>
      </c>
      <c r="P9530" s="8" t="s">
        <v>41188</v>
      </c>
      <c r="Q9530" s="8">
        <f>+(33+3/60+18/3600)</f>
        <v>33.055</v>
      </c>
      <c r="R9530" s="8">
        <v>13.8</v>
      </c>
      <c r="S9530" s="8">
        <v>14.8</v>
      </c>
      <c r="T9530" s="8">
        <v>1</v>
      </c>
      <c r="U9530" s="8">
        <v>12.8</v>
      </c>
      <c r="V9530" s="8">
        <v>0.9</v>
      </c>
      <c r="W9530" s="8">
        <v>0.5</v>
      </c>
      <c r="X9530" s="8">
        <v>165</v>
      </c>
      <c r="Y9530" s="8" t="s">
        <v>21</v>
      </c>
      <c r="Z9530" s="8" t="s">
        <v>41189</v>
      </c>
    </row>
    <row r="9531" spans="1:26" x14ac:dyDescent="0.2">
      <c r="A9531" s="8">
        <v>9530</v>
      </c>
      <c r="B9531" s="8" t="s">
        <v>41190</v>
      </c>
      <c r="C9531" s="8" t="s">
        <v>41190</v>
      </c>
      <c r="G9531" s="8">
        <v>20</v>
      </c>
      <c r="H9531" s="8" t="s">
        <v>21</v>
      </c>
      <c r="I9531" s="8" t="s">
        <v>22</v>
      </c>
      <c r="J9531" s="8" t="s">
        <v>22</v>
      </c>
      <c r="K9531" s="8" t="s">
        <v>37</v>
      </c>
      <c r="L9531" s="8" t="s">
        <v>38</v>
      </c>
      <c r="M9531" s="8" t="s">
        <v>39</v>
      </c>
      <c r="N9531" s="8" t="s">
        <v>41191</v>
      </c>
      <c r="O9531" s="8">
        <f>1+23/60+49.5/3600</f>
        <v>1.3970833333333332</v>
      </c>
      <c r="P9531" s="8" t="s">
        <v>41192</v>
      </c>
      <c r="Q9531" s="8">
        <f>+(33+9/60+25/3600)</f>
        <v>33.156944444444441</v>
      </c>
      <c r="R9531" s="8">
        <v>13.9</v>
      </c>
      <c r="S9531" s="8">
        <v>14.9</v>
      </c>
      <c r="T9531" s="8">
        <v>1</v>
      </c>
      <c r="U9531" s="8">
        <v>12.1</v>
      </c>
      <c r="V9531" s="8">
        <v>0.5</v>
      </c>
      <c r="W9531" s="8">
        <v>0.3</v>
      </c>
      <c r="X9531" s="8">
        <v>135</v>
      </c>
      <c r="Y9531" s="8" t="s">
        <v>5926</v>
      </c>
      <c r="Z9531" s="8" t="s">
        <v>5927</v>
      </c>
    </row>
    <row r="9532" spans="1:26" x14ac:dyDescent="0.2">
      <c r="A9532" s="8">
        <v>9531</v>
      </c>
      <c r="B9532" s="8" t="s">
        <v>41193</v>
      </c>
      <c r="C9532" s="8" t="s">
        <v>41193</v>
      </c>
      <c r="G9532" s="8">
        <v>20</v>
      </c>
      <c r="H9532" s="8" t="s">
        <v>21</v>
      </c>
      <c r="I9532" s="8" t="s">
        <v>22</v>
      </c>
      <c r="J9532" s="8" t="s">
        <v>22</v>
      </c>
      <c r="K9532" s="8" t="s">
        <v>449</v>
      </c>
      <c r="L9532" s="8" t="s">
        <v>38</v>
      </c>
      <c r="M9532" s="8" t="s">
        <v>39</v>
      </c>
      <c r="N9532" s="8" t="s">
        <v>41194</v>
      </c>
      <c r="O9532" s="8">
        <f>1+24/60+25.9/3600</f>
        <v>1.4071944444444444</v>
      </c>
      <c r="P9532" s="8" t="s">
        <v>41195</v>
      </c>
      <c r="Q9532" s="8">
        <f>+(33+24/60+24/3600)</f>
        <v>33.406666666666666</v>
      </c>
      <c r="R9532" s="8">
        <v>15.2</v>
      </c>
      <c r="S9532" s="8">
        <v>16</v>
      </c>
      <c r="T9532" s="8">
        <v>0.8</v>
      </c>
      <c r="U9532" s="8">
        <v>12.7</v>
      </c>
      <c r="V9532" s="8">
        <v>0.4</v>
      </c>
      <c r="W9532" s="8">
        <v>0.3</v>
      </c>
      <c r="X9532" s="8">
        <v>115</v>
      </c>
      <c r="Y9532" s="8" t="s">
        <v>41196</v>
      </c>
      <c r="Z9532" s="8" t="s">
        <v>41197</v>
      </c>
    </row>
    <row r="9533" spans="1:26" x14ac:dyDescent="0.2">
      <c r="A9533" s="8">
        <v>9532</v>
      </c>
      <c r="B9533" s="8" t="s">
        <v>41198</v>
      </c>
      <c r="C9533" s="8" t="s">
        <v>41198</v>
      </c>
      <c r="G9533" s="8">
        <v>20</v>
      </c>
      <c r="H9533" s="8" t="s">
        <v>21</v>
      </c>
      <c r="I9533" s="8" t="s">
        <v>22</v>
      </c>
      <c r="J9533" s="8" t="s">
        <v>22</v>
      </c>
      <c r="K9533" s="8" t="s">
        <v>382</v>
      </c>
      <c r="L9533" s="8" t="s">
        <v>38</v>
      </c>
      <c r="M9533" s="8" t="s">
        <v>39</v>
      </c>
      <c r="N9533" s="8" t="s">
        <v>41199</v>
      </c>
      <c r="O9533" s="8">
        <f>1+24/60+39.7/3600</f>
        <v>1.4110277777777778</v>
      </c>
      <c r="P9533" s="8" t="s">
        <v>41200</v>
      </c>
      <c r="Q9533" s="8">
        <f>+(33+14/60+7/3600)</f>
        <v>33.235277777777782</v>
      </c>
      <c r="R9533" s="8">
        <v>14.6</v>
      </c>
      <c r="S9533" s="8">
        <v>15.6</v>
      </c>
      <c r="T9533" s="8">
        <v>1</v>
      </c>
      <c r="U9533" s="8">
        <v>12.4</v>
      </c>
      <c r="V9533" s="8">
        <v>0.4</v>
      </c>
      <c r="W9533" s="8">
        <v>0.3</v>
      </c>
      <c r="X9533" s="8">
        <v>140</v>
      </c>
      <c r="Y9533" s="8" t="s">
        <v>37584</v>
      </c>
      <c r="Z9533" s="8" t="s">
        <v>37595</v>
      </c>
    </row>
    <row r="9534" spans="1:26" x14ac:dyDescent="0.2">
      <c r="A9534" s="8">
        <v>9533</v>
      </c>
      <c r="B9534" s="8" t="s">
        <v>41201</v>
      </c>
      <c r="C9534" s="8" t="s">
        <v>41201</v>
      </c>
      <c r="G9534" s="8">
        <v>20</v>
      </c>
      <c r="H9534" s="8" t="s">
        <v>21</v>
      </c>
      <c r="I9534" s="8" t="s">
        <v>22</v>
      </c>
      <c r="J9534" s="8" t="s">
        <v>22</v>
      </c>
      <c r="K9534" s="8" t="s">
        <v>37</v>
      </c>
      <c r="L9534" s="8" t="s">
        <v>125</v>
      </c>
      <c r="M9534" s="8" t="s">
        <v>126</v>
      </c>
      <c r="N9534" s="8" t="s">
        <v>41202</v>
      </c>
      <c r="O9534" s="8">
        <f>1+24/60+2.3/3600</f>
        <v>1.4006388888888888</v>
      </c>
      <c r="P9534" s="8" t="s">
        <v>41203</v>
      </c>
      <c r="Q9534" s="8">
        <f>-(1+39/60+25/3600)</f>
        <v>-1.6569444444444443</v>
      </c>
      <c r="R9534" s="8">
        <v>15.2</v>
      </c>
      <c r="S9534" s="8">
        <v>16.2</v>
      </c>
      <c r="T9534" s="8">
        <v>1</v>
      </c>
      <c r="U9534" s="8">
        <v>12.6</v>
      </c>
      <c r="V9534" s="8">
        <v>0.5</v>
      </c>
      <c r="W9534" s="8">
        <v>0.2</v>
      </c>
      <c r="X9534" s="8">
        <v>162</v>
      </c>
      <c r="Y9534" s="8" t="s">
        <v>21</v>
      </c>
      <c r="Z9534" s="8" t="s">
        <v>41204</v>
      </c>
    </row>
    <row r="9535" spans="1:26" x14ac:dyDescent="0.2">
      <c r="A9535" s="8">
        <v>9534</v>
      </c>
      <c r="B9535" s="8" t="s">
        <v>41205</v>
      </c>
      <c r="C9535" s="8" t="s">
        <v>41205</v>
      </c>
      <c r="G9535" s="8">
        <v>20</v>
      </c>
      <c r="H9535" s="8" t="s">
        <v>21</v>
      </c>
      <c r="I9535" s="8" t="s">
        <v>22</v>
      </c>
      <c r="J9535" s="8" t="s">
        <v>22</v>
      </c>
      <c r="K9535" s="8" t="s">
        <v>449</v>
      </c>
      <c r="L9535" s="8" t="s">
        <v>125</v>
      </c>
      <c r="M9535" s="8" t="s">
        <v>126</v>
      </c>
      <c r="N9535" s="8" t="s">
        <v>41206</v>
      </c>
      <c r="O9535" s="8">
        <f>1+24/60+47.7/3600</f>
        <v>1.4132499999999999</v>
      </c>
      <c r="P9535" s="8" t="s">
        <v>41207</v>
      </c>
      <c r="Q9535" s="8">
        <f>+(1+36/60+28/3600)</f>
        <v>1.607777777777778</v>
      </c>
      <c r="R9535" s="8">
        <v>14.1</v>
      </c>
      <c r="S9535" s="8">
        <v>14.9</v>
      </c>
      <c r="T9535" s="8">
        <v>0.8</v>
      </c>
      <c r="U9535" s="8">
        <v>12.4</v>
      </c>
      <c r="V9535" s="8">
        <v>0.6</v>
      </c>
      <c r="W9535" s="8">
        <v>0.4</v>
      </c>
      <c r="X9535" s="8">
        <v>3</v>
      </c>
      <c r="Y9535" s="8" t="s">
        <v>13176</v>
      </c>
      <c r="Z9535" s="8" t="s">
        <v>13177</v>
      </c>
    </row>
    <row r="9536" spans="1:26" x14ac:dyDescent="0.2">
      <c r="A9536" s="8">
        <v>9535</v>
      </c>
      <c r="B9536" s="8" t="s">
        <v>41208</v>
      </c>
      <c r="C9536" s="8" t="s">
        <v>41208</v>
      </c>
      <c r="G9536" s="8">
        <v>20</v>
      </c>
      <c r="H9536" s="8" t="s">
        <v>21</v>
      </c>
      <c r="I9536" s="8" t="s">
        <v>22</v>
      </c>
      <c r="J9536" s="8" t="s">
        <v>22</v>
      </c>
      <c r="K9536" s="8" t="s">
        <v>424</v>
      </c>
      <c r="L9536" s="8" t="s">
        <v>38</v>
      </c>
      <c r="M9536" s="8" t="s">
        <v>39</v>
      </c>
      <c r="N9536" s="8" t="s">
        <v>41209</v>
      </c>
      <c r="O9536" s="8">
        <f>1+25/60+7.5/3600</f>
        <v>1.4187500000000002</v>
      </c>
      <c r="P9536" s="8" t="s">
        <v>41210</v>
      </c>
      <c r="Q9536" s="8">
        <f>+(8+41/60+57/3600)</f>
        <v>8.6991666666666667</v>
      </c>
      <c r="R9536" s="8">
        <v>14</v>
      </c>
      <c r="S9536" s="8">
        <v>15</v>
      </c>
      <c r="T9536" s="8">
        <v>1</v>
      </c>
      <c r="U9536" s="8">
        <v>13.1</v>
      </c>
      <c r="V9536" s="8">
        <v>0.7</v>
      </c>
      <c r="W9536" s="8">
        <v>0.7</v>
      </c>
      <c r="Y9536" s="8" t="s">
        <v>21</v>
      </c>
      <c r="Z9536" s="8" t="s">
        <v>41211</v>
      </c>
    </row>
    <row r="9537" spans="1:26" x14ac:dyDescent="0.2">
      <c r="A9537" s="8">
        <v>9536</v>
      </c>
      <c r="B9537" s="8" t="s">
        <v>41212</v>
      </c>
      <c r="C9537" s="8" t="s">
        <v>41212</v>
      </c>
      <c r="G9537" s="8">
        <v>20</v>
      </c>
      <c r="H9537" s="8" t="s">
        <v>21</v>
      </c>
      <c r="I9537" s="8" t="s">
        <v>22</v>
      </c>
      <c r="J9537" s="8" t="s">
        <v>22</v>
      </c>
      <c r="K9537" s="8" t="s">
        <v>183</v>
      </c>
      <c r="L9537" s="8" t="s">
        <v>125</v>
      </c>
      <c r="M9537" s="8" t="s">
        <v>126</v>
      </c>
      <c r="N9537" s="8" t="s">
        <v>41213</v>
      </c>
      <c r="O9537" s="8">
        <f>1+24/60+52.4/3600</f>
        <v>1.4145555555555556</v>
      </c>
      <c r="P9537" s="8" t="s">
        <v>41214</v>
      </c>
      <c r="Q9537" s="8">
        <f>-(1+37/60+2/3600)</f>
        <v>-1.6172222222222223</v>
      </c>
      <c r="R9537" s="8">
        <v>13.6</v>
      </c>
      <c r="S9537" s="8">
        <v>14.6</v>
      </c>
      <c r="T9537" s="8">
        <v>1</v>
      </c>
      <c r="U9537" s="8">
        <v>13.2</v>
      </c>
      <c r="V9537" s="8">
        <v>0.9</v>
      </c>
      <c r="W9537" s="8">
        <v>0.8</v>
      </c>
      <c r="X9537" s="8">
        <v>10</v>
      </c>
      <c r="Y9537" s="8" t="s">
        <v>21</v>
      </c>
      <c r="Z9537" s="8" t="s">
        <v>41215</v>
      </c>
    </row>
    <row r="9538" spans="1:26" x14ac:dyDescent="0.2">
      <c r="A9538" s="8">
        <v>9537</v>
      </c>
      <c r="B9538" s="8" t="s">
        <v>41216</v>
      </c>
      <c r="C9538" s="8" t="s">
        <v>41216</v>
      </c>
      <c r="G9538" s="8">
        <v>20</v>
      </c>
      <c r="H9538" s="8" t="s">
        <v>21</v>
      </c>
      <c r="I9538" s="8" t="s">
        <v>22</v>
      </c>
      <c r="J9538" s="8" t="s">
        <v>22</v>
      </c>
      <c r="K9538" s="8" t="s">
        <v>449</v>
      </c>
      <c r="L9538" s="8" t="s">
        <v>125</v>
      </c>
      <c r="M9538" s="8" t="s">
        <v>126</v>
      </c>
      <c r="N9538" s="8" t="s">
        <v>41217</v>
      </c>
      <c r="O9538" s="8">
        <f>1+25/60+2.9/3600</f>
        <v>1.4174722222222222</v>
      </c>
      <c r="P9538" s="8" t="s">
        <v>41218</v>
      </c>
      <c r="Q9538" s="8">
        <f>+(0+26/60+42/3600)</f>
        <v>0.44500000000000001</v>
      </c>
      <c r="R9538" s="8">
        <v>13.8</v>
      </c>
      <c r="S9538" s="8">
        <v>14.6</v>
      </c>
      <c r="T9538" s="8">
        <v>0.8</v>
      </c>
      <c r="U9538" s="8">
        <v>13</v>
      </c>
      <c r="V9538" s="8">
        <v>0.9</v>
      </c>
      <c r="W9538" s="8">
        <v>0.6</v>
      </c>
      <c r="X9538" s="8">
        <v>110</v>
      </c>
      <c r="Y9538" s="8" t="s">
        <v>530</v>
      </c>
      <c r="Z9538" s="8" t="s">
        <v>531</v>
      </c>
    </row>
    <row r="9539" spans="1:26" x14ac:dyDescent="0.2">
      <c r="A9539" s="8">
        <v>9538</v>
      </c>
      <c r="B9539" s="8" t="s">
        <v>41219</v>
      </c>
      <c r="C9539" s="8" t="s">
        <v>41219</v>
      </c>
      <c r="G9539" s="8">
        <v>20</v>
      </c>
      <c r="H9539" s="8" t="s">
        <v>21</v>
      </c>
      <c r="I9539" s="8" t="s">
        <v>22</v>
      </c>
      <c r="J9539" s="8" t="s">
        <v>22</v>
      </c>
      <c r="K9539" s="8" t="s">
        <v>37</v>
      </c>
      <c r="L9539" s="8" t="s">
        <v>38</v>
      </c>
      <c r="M9539" s="8" t="s">
        <v>39</v>
      </c>
      <c r="N9539" s="8" t="s">
        <v>41220</v>
      </c>
      <c r="O9539" s="8">
        <f>1+25/60+22.1/3600</f>
        <v>1.4228055555555557</v>
      </c>
      <c r="P9539" s="8" t="s">
        <v>41221</v>
      </c>
      <c r="Q9539" s="8">
        <f>+(14+50/60+18/3600)</f>
        <v>14.838333333333335</v>
      </c>
      <c r="R9539" s="8">
        <v>13.5</v>
      </c>
      <c r="S9539" s="8">
        <v>14.5</v>
      </c>
      <c r="T9539" s="8">
        <v>1</v>
      </c>
      <c r="U9539" s="8">
        <v>12.7</v>
      </c>
      <c r="V9539" s="8">
        <v>1.3</v>
      </c>
      <c r="W9539" s="8">
        <v>0.4</v>
      </c>
      <c r="X9539" s="8">
        <v>120</v>
      </c>
      <c r="Y9539" s="8" t="s">
        <v>41222</v>
      </c>
      <c r="Z9539" s="8" t="s">
        <v>41223</v>
      </c>
    </row>
    <row r="9540" spans="1:26" x14ac:dyDescent="0.2">
      <c r="A9540" s="8">
        <v>9539</v>
      </c>
      <c r="B9540" s="8" t="s">
        <v>41224</v>
      </c>
      <c r="C9540" s="8" t="s">
        <v>41224</v>
      </c>
      <c r="G9540" s="8">
        <v>20</v>
      </c>
      <c r="H9540" s="8" t="s">
        <v>21</v>
      </c>
      <c r="I9540" s="8" t="s">
        <v>329</v>
      </c>
      <c r="J9540" s="8" t="s">
        <v>329</v>
      </c>
      <c r="K9540" s="8" t="s">
        <v>329</v>
      </c>
      <c r="L9540" s="8" t="s">
        <v>38</v>
      </c>
      <c r="M9540" s="8" t="s">
        <v>39</v>
      </c>
      <c r="N9540" s="8" t="s">
        <v>41225</v>
      </c>
      <c r="O9540" s="8">
        <f>1+25/60+5.6/3600</f>
        <v>1.4182222222222223</v>
      </c>
      <c r="P9540" s="8" t="s">
        <v>41226</v>
      </c>
      <c r="Q9540" s="8">
        <f>+(14+54/60+40/3600)</f>
        <v>14.911111111111111</v>
      </c>
      <c r="R9540" s="8">
        <v>99</v>
      </c>
      <c r="S9540" s="8">
        <v>99</v>
      </c>
      <c r="T9540" s="8">
        <v>99</v>
      </c>
      <c r="U9540" s="8">
        <v>99</v>
      </c>
      <c r="Y9540" s="8" t="s">
        <v>1858</v>
      </c>
      <c r="Z9540" s="8" t="s">
        <v>1859</v>
      </c>
    </row>
    <row r="9541" spans="1:26" x14ac:dyDescent="0.2">
      <c r="A9541" s="8">
        <v>9540</v>
      </c>
      <c r="B9541" s="8" t="s">
        <v>41227</v>
      </c>
      <c r="C9541" s="8" t="s">
        <v>41227</v>
      </c>
      <c r="G9541" s="8">
        <v>20</v>
      </c>
      <c r="H9541" s="8" t="s">
        <v>21</v>
      </c>
      <c r="I9541" s="8" t="s">
        <v>22</v>
      </c>
      <c r="J9541" s="8" t="s">
        <v>57</v>
      </c>
      <c r="K9541" s="8" t="s">
        <v>382</v>
      </c>
      <c r="L9541" s="8" t="s">
        <v>38</v>
      </c>
      <c r="M9541" s="8" t="s">
        <v>39</v>
      </c>
      <c r="N9541" s="8" t="s">
        <v>35083</v>
      </c>
      <c r="O9541" s="8">
        <f>1+25/60+24.7/3600</f>
        <v>1.4235277777777779</v>
      </c>
      <c r="P9541" s="8" t="s">
        <v>35084</v>
      </c>
      <c r="Q9541" s="8">
        <f>+(14+51/60+53/3600)</f>
        <v>14.864722222222222</v>
      </c>
      <c r="R9541" s="8">
        <v>12.9</v>
      </c>
      <c r="S9541" s="8">
        <v>13.9</v>
      </c>
      <c r="T9541" s="8">
        <v>1</v>
      </c>
      <c r="U9541" s="8">
        <v>12.6</v>
      </c>
      <c r="V9541" s="8">
        <v>1</v>
      </c>
      <c r="W9541" s="8">
        <v>0.7</v>
      </c>
      <c r="X9541" s="8">
        <v>27</v>
      </c>
      <c r="Y9541" s="8" t="s">
        <v>41228</v>
      </c>
      <c r="Z9541" s="8" t="s">
        <v>41229</v>
      </c>
    </row>
    <row r="9542" spans="1:26" x14ac:dyDescent="0.2">
      <c r="A9542" s="8">
        <v>9541</v>
      </c>
      <c r="B9542" s="8" t="s">
        <v>41230</v>
      </c>
      <c r="C9542" s="8" t="s">
        <v>41230</v>
      </c>
      <c r="G9542" s="8">
        <v>20</v>
      </c>
      <c r="H9542" s="8" t="s">
        <v>21</v>
      </c>
      <c r="I9542" s="8" t="s">
        <v>22</v>
      </c>
      <c r="J9542" s="8" t="s">
        <v>22</v>
      </c>
      <c r="K9542" s="8" t="s">
        <v>424</v>
      </c>
      <c r="L9542" s="8" t="s">
        <v>38</v>
      </c>
      <c r="M9542" s="8" t="s">
        <v>39</v>
      </c>
      <c r="N9542" s="8" t="s">
        <v>41231</v>
      </c>
      <c r="O9542" s="8">
        <f>1+25/60+50.3/3600</f>
        <v>1.430638888888889</v>
      </c>
      <c r="P9542" s="8" t="s">
        <v>41232</v>
      </c>
      <c r="Q9542" s="8">
        <f>+(18+11/60+6/3600)</f>
        <v>18.184999999999999</v>
      </c>
      <c r="R9542" s="8">
        <v>14.4</v>
      </c>
      <c r="S9542" s="8">
        <v>15.4</v>
      </c>
      <c r="T9542" s="8">
        <v>1</v>
      </c>
      <c r="U9542" s="8">
        <v>14.4</v>
      </c>
      <c r="V9542" s="8">
        <v>1.2</v>
      </c>
      <c r="W9542" s="8">
        <v>1</v>
      </c>
      <c r="X9542" s="8">
        <v>99</v>
      </c>
      <c r="Y9542" s="8" t="s">
        <v>21</v>
      </c>
      <c r="Z9542" s="8" t="s">
        <v>41233</v>
      </c>
    </row>
    <row r="9543" spans="1:26" x14ac:dyDescent="0.2">
      <c r="A9543" s="8">
        <v>9542</v>
      </c>
      <c r="B9543" s="8" t="s">
        <v>41234</v>
      </c>
      <c r="C9543" s="8" t="s">
        <v>41234</v>
      </c>
      <c r="G9543" s="8">
        <v>20</v>
      </c>
      <c r="H9543" s="8" t="s">
        <v>21</v>
      </c>
      <c r="I9543" s="8" t="s">
        <v>22</v>
      </c>
      <c r="J9543" s="8" t="s">
        <v>22</v>
      </c>
      <c r="K9543" s="8" t="s">
        <v>160</v>
      </c>
      <c r="L9543" s="8" t="s">
        <v>38</v>
      </c>
      <c r="M9543" s="8" t="s">
        <v>39</v>
      </c>
      <c r="N9543" s="8" t="s">
        <v>41235</v>
      </c>
      <c r="O9543" s="8">
        <f>1+25/60+56.2/3600</f>
        <v>1.4322777777777778</v>
      </c>
      <c r="P9543" s="8" t="s">
        <v>41236</v>
      </c>
      <c r="Q9543" s="8">
        <f>+(16+36/60+4/3600)</f>
        <v>16.601111111111113</v>
      </c>
      <c r="R9543" s="8">
        <v>13.6</v>
      </c>
      <c r="S9543" s="8">
        <v>14.3</v>
      </c>
      <c r="T9543" s="8">
        <v>0.7</v>
      </c>
      <c r="U9543" s="8">
        <v>13.6</v>
      </c>
      <c r="V9543" s="8">
        <v>1.2</v>
      </c>
      <c r="W9543" s="8">
        <v>1</v>
      </c>
      <c r="X9543" s="8">
        <v>170</v>
      </c>
      <c r="Y9543" s="8" t="s">
        <v>41237</v>
      </c>
      <c r="Z9543" s="8" t="s">
        <v>41238</v>
      </c>
    </row>
    <row r="9544" spans="1:26" x14ac:dyDescent="0.2">
      <c r="A9544" s="8">
        <v>9543</v>
      </c>
      <c r="B9544" s="8" t="s">
        <v>41239</v>
      </c>
      <c r="C9544" s="8" t="s">
        <v>41239</v>
      </c>
      <c r="G9544" s="8">
        <v>20</v>
      </c>
      <c r="H9544" s="8" t="s">
        <v>21</v>
      </c>
      <c r="I9544" s="8" t="s">
        <v>22</v>
      </c>
      <c r="J9544" s="8" t="s">
        <v>57</v>
      </c>
      <c r="K9544" s="8" t="s">
        <v>435</v>
      </c>
      <c r="L9544" s="8" t="s">
        <v>125</v>
      </c>
      <c r="M9544" s="8" t="s">
        <v>126</v>
      </c>
      <c r="N9544" s="8" t="s">
        <v>2712</v>
      </c>
      <c r="O9544" s="8">
        <f>1+26/60+25.1/3600</f>
        <v>1.4403055555555555</v>
      </c>
      <c r="P9544" s="8" t="s">
        <v>2713</v>
      </c>
      <c r="Q9544" s="8">
        <f>-(1+38/60+18/3600)</f>
        <v>-1.6383333333333332</v>
      </c>
      <c r="R9544" s="8">
        <v>13.5</v>
      </c>
      <c r="S9544" s="8">
        <v>14.4</v>
      </c>
      <c r="T9544" s="8">
        <v>0.9</v>
      </c>
      <c r="U9544" s="8">
        <v>13.4</v>
      </c>
      <c r="V9544" s="8">
        <v>1.8</v>
      </c>
      <c r="W9544" s="8">
        <v>0.6</v>
      </c>
      <c r="X9544" s="8">
        <v>123</v>
      </c>
      <c r="Y9544" s="8" t="s">
        <v>35064</v>
      </c>
      <c r="Z9544" s="8" t="s">
        <v>35065</v>
      </c>
    </row>
    <row r="9545" spans="1:26" x14ac:dyDescent="0.2">
      <c r="A9545" s="8">
        <v>9544</v>
      </c>
      <c r="B9545" s="8" t="s">
        <v>41240</v>
      </c>
      <c r="C9545" s="8" t="s">
        <v>41240</v>
      </c>
      <c r="G9545" s="8">
        <v>20</v>
      </c>
      <c r="H9545" s="8" t="s">
        <v>21</v>
      </c>
      <c r="I9545" s="8" t="s">
        <v>22</v>
      </c>
      <c r="J9545" s="8" t="s">
        <v>22</v>
      </c>
      <c r="K9545" s="8" t="s">
        <v>396</v>
      </c>
      <c r="L9545" s="8" t="s">
        <v>38</v>
      </c>
      <c r="M9545" s="8" t="s">
        <v>39</v>
      </c>
      <c r="N9545" s="8" t="s">
        <v>41241</v>
      </c>
      <c r="O9545" s="8">
        <f>1+27/60+9.5/3600</f>
        <v>1.4526388888888888</v>
      </c>
      <c r="P9545" s="8" t="s">
        <v>41242</v>
      </c>
      <c r="Q9545" s="8">
        <f>+(14+46/60+33/3600)</f>
        <v>14.775833333333335</v>
      </c>
      <c r="R9545" s="8">
        <v>13.3</v>
      </c>
      <c r="S9545" s="8">
        <v>14.1</v>
      </c>
      <c r="T9545" s="8">
        <v>0.8</v>
      </c>
      <c r="U9545" s="8">
        <v>13</v>
      </c>
      <c r="V9545" s="8">
        <v>1.1000000000000001</v>
      </c>
      <c r="W9545" s="8">
        <v>0.8</v>
      </c>
      <c r="X9545" s="8">
        <v>165</v>
      </c>
      <c r="Y9545" s="8" t="s">
        <v>41243</v>
      </c>
      <c r="Z9545" s="8" t="s">
        <v>41244</v>
      </c>
    </row>
    <row r="9546" spans="1:26" x14ac:dyDescent="0.2">
      <c r="A9546" s="8">
        <v>9545</v>
      </c>
      <c r="B9546" s="8" t="s">
        <v>41245</v>
      </c>
      <c r="C9546" s="8" t="s">
        <v>41245</v>
      </c>
      <c r="G9546" s="8">
        <v>20</v>
      </c>
      <c r="H9546" s="8" t="s">
        <v>21</v>
      </c>
      <c r="I9546" s="8" t="s">
        <v>22</v>
      </c>
      <c r="J9546" s="8" t="s">
        <v>22</v>
      </c>
      <c r="K9546" s="8" t="s">
        <v>1136</v>
      </c>
      <c r="L9546" s="8" t="s">
        <v>125</v>
      </c>
      <c r="M9546" s="8" t="s">
        <v>126</v>
      </c>
      <c r="N9546" s="8" t="s">
        <v>41246</v>
      </c>
      <c r="O9546" s="8">
        <f>1+26/60+44.8/3600</f>
        <v>1.4457777777777778</v>
      </c>
      <c r="P9546" s="8" t="s">
        <v>41247</v>
      </c>
      <c r="Q9546" s="8">
        <f>-(3+30/60+6/3600)</f>
        <v>-3.5016666666666665</v>
      </c>
      <c r="R9546" s="8">
        <v>13.4</v>
      </c>
      <c r="S9546" s="8">
        <v>14.4</v>
      </c>
      <c r="T9546" s="8">
        <v>1</v>
      </c>
      <c r="U9546" s="8">
        <v>12.9</v>
      </c>
      <c r="V9546" s="8">
        <v>0.9</v>
      </c>
      <c r="W9546" s="8">
        <v>0.7</v>
      </c>
      <c r="X9546" s="8">
        <v>3</v>
      </c>
      <c r="Y9546" s="8" t="s">
        <v>21</v>
      </c>
      <c r="Z9546" s="8" t="s">
        <v>41248</v>
      </c>
    </row>
    <row r="9547" spans="1:26" x14ac:dyDescent="0.2">
      <c r="A9547" s="8">
        <v>9546</v>
      </c>
      <c r="B9547" s="8" t="s">
        <v>41249</v>
      </c>
      <c r="C9547" s="8" t="s">
        <v>41249</v>
      </c>
      <c r="E9547" s="8">
        <v>1</v>
      </c>
      <c r="G9547" s="8">
        <v>20</v>
      </c>
      <c r="H9547" s="8" t="s">
        <v>21</v>
      </c>
      <c r="I9547" s="8" t="s">
        <v>22</v>
      </c>
      <c r="J9547" s="8" t="s">
        <v>22</v>
      </c>
      <c r="K9547" s="8" t="s">
        <v>424</v>
      </c>
      <c r="L9547" s="8" t="s">
        <v>38</v>
      </c>
      <c r="M9547" s="8" t="s">
        <v>39</v>
      </c>
      <c r="N9547" s="8" t="s">
        <v>41250</v>
      </c>
      <c r="O9547" s="8">
        <f>1+27/60+30.8/3600</f>
        <v>1.4585555555555556</v>
      </c>
      <c r="P9547" s="8" t="s">
        <v>41251</v>
      </c>
      <c r="Q9547" s="8">
        <f>+(14+49/60+9/3600)</f>
        <v>14.819166666666666</v>
      </c>
      <c r="R9547" s="8">
        <v>15</v>
      </c>
      <c r="S9547" s="8">
        <v>16</v>
      </c>
      <c r="T9547" s="8">
        <v>1</v>
      </c>
      <c r="U9547" s="8">
        <v>12.2</v>
      </c>
      <c r="V9547" s="8">
        <v>0.3</v>
      </c>
      <c r="W9547" s="8">
        <v>0.3</v>
      </c>
      <c r="Y9547" s="8" t="s">
        <v>41252</v>
      </c>
      <c r="Z9547" s="8" t="s">
        <v>35612</v>
      </c>
    </row>
    <row r="9548" spans="1:26" x14ac:dyDescent="0.2">
      <c r="A9548" s="8">
        <v>9547</v>
      </c>
      <c r="B9548" s="8" t="s">
        <v>41253</v>
      </c>
      <c r="C9548" s="8" t="s">
        <v>41253</v>
      </c>
      <c r="G9548" s="8">
        <v>20</v>
      </c>
      <c r="H9548" s="8" t="s">
        <v>21</v>
      </c>
      <c r="I9548" s="8" t="s">
        <v>329</v>
      </c>
      <c r="J9548" s="8" t="s">
        <v>329</v>
      </c>
      <c r="K9548" s="8" t="s">
        <v>329</v>
      </c>
      <c r="L9548" s="8" t="s">
        <v>51</v>
      </c>
      <c r="M9548" s="8" t="s">
        <v>52</v>
      </c>
      <c r="N9548" s="8" t="s">
        <v>41254</v>
      </c>
      <c r="O9548" s="8">
        <f>1+28/60+0/3600</f>
        <v>1.4666666666666668</v>
      </c>
      <c r="P9548" s="8" t="s">
        <v>41255</v>
      </c>
      <c r="Q9548" s="8">
        <f>+(37+7/60+2/3600)</f>
        <v>37.117222222222225</v>
      </c>
      <c r="R9548" s="8">
        <v>99</v>
      </c>
      <c r="S9548" s="8">
        <v>99</v>
      </c>
      <c r="T9548" s="8">
        <v>99</v>
      </c>
      <c r="U9548" s="8">
        <v>99</v>
      </c>
      <c r="Y9548" s="8" t="s">
        <v>21</v>
      </c>
      <c r="Z9548" s="8" t="s">
        <v>41256</v>
      </c>
    </row>
    <row r="9549" spans="1:26" x14ac:dyDescent="0.2">
      <c r="A9549" s="8">
        <v>9548</v>
      </c>
      <c r="B9549" s="8" t="s">
        <v>41257</v>
      </c>
      <c r="C9549" s="8" t="s">
        <v>41257</v>
      </c>
      <c r="G9549" s="8">
        <v>20</v>
      </c>
      <c r="H9549" s="8" t="s">
        <v>21</v>
      </c>
      <c r="I9549" s="8" t="s">
        <v>557</v>
      </c>
      <c r="J9549" s="8" t="s">
        <v>557</v>
      </c>
      <c r="K9549" s="8" t="s">
        <v>557</v>
      </c>
      <c r="L9549" s="8" t="s">
        <v>2916</v>
      </c>
      <c r="M9549" s="8" t="s">
        <v>2917</v>
      </c>
      <c r="N9549" s="8" t="s">
        <v>41258</v>
      </c>
      <c r="O9549" s="8">
        <f>1+24/60+56.5/3600</f>
        <v>1.4156944444444444</v>
      </c>
      <c r="P9549" s="8" t="s">
        <v>41259</v>
      </c>
      <c r="Q9549" s="8">
        <f>-(71+11/60+2/3600)</f>
        <v>-71.183888888888887</v>
      </c>
      <c r="R9549" s="8">
        <v>99</v>
      </c>
      <c r="S9549" s="8">
        <v>99</v>
      </c>
      <c r="T9549" s="8">
        <v>99</v>
      </c>
      <c r="U9549" s="8">
        <v>99</v>
      </c>
      <c r="Y9549" s="8" t="s">
        <v>41260</v>
      </c>
      <c r="Z9549" s="8" t="s">
        <v>41261</v>
      </c>
    </row>
    <row r="9550" spans="1:26" x14ac:dyDescent="0.2">
      <c r="A9550" s="8">
        <v>9549</v>
      </c>
      <c r="B9550" s="8" t="s">
        <v>41262</v>
      </c>
      <c r="C9550" s="8" t="s">
        <v>41262</v>
      </c>
      <c r="G9550" s="8">
        <v>20</v>
      </c>
      <c r="H9550" s="8" t="s">
        <v>21</v>
      </c>
      <c r="I9550" s="8" t="s">
        <v>22</v>
      </c>
      <c r="J9550" s="8" t="s">
        <v>57</v>
      </c>
      <c r="K9550" s="8" t="s">
        <v>58</v>
      </c>
      <c r="L9550" s="8" t="s">
        <v>65</v>
      </c>
      <c r="M9550" s="8" t="s">
        <v>66</v>
      </c>
      <c r="N9550" s="8" t="s">
        <v>2761</v>
      </c>
      <c r="O9550" s="8">
        <f>1+27/60+56.9/3600</f>
        <v>1.4658055555555556</v>
      </c>
      <c r="P9550" s="8" t="s">
        <v>2762</v>
      </c>
      <c r="Q9550" s="8">
        <f>-(35+43/60+3/3600)</f>
        <v>-35.717500000000001</v>
      </c>
      <c r="R9550" s="8">
        <v>12.6</v>
      </c>
      <c r="S9550" s="8">
        <v>13.6</v>
      </c>
      <c r="T9550" s="8">
        <v>1</v>
      </c>
      <c r="U9550" s="8">
        <v>13.7</v>
      </c>
      <c r="V9550" s="8">
        <v>2.2000000000000002</v>
      </c>
      <c r="W9550" s="8">
        <v>1.3</v>
      </c>
      <c r="X9550" s="8">
        <v>140</v>
      </c>
      <c r="Y9550" s="8" t="s">
        <v>4095</v>
      </c>
      <c r="Z9550" s="8" t="s">
        <v>4096</v>
      </c>
    </row>
    <row r="9551" spans="1:26" x14ac:dyDescent="0.2">
      <c r="A9551" s="8">
        <v>9550</v>
      </c>
      <c r="B9551" s="8" t="s">
        <v>41263</v>
      </c>
      <c r="C9551" s="8" t="s">
        <v>41263</v>
      </c>
      <c r="G9551" s="8">
        <v>20</v>
      </c>
      <c r="H9551" s="8" t="s">
        <v>21</v>
      </c>
      <c r="I9551" s="8" t="s">
        <v>22</v>
      </c>
      <c r="J9551" s="8" t="s">
        <v>57</v>
      </c>
      <c r="K9551" s="8" t="s">
        <v>64</v>
      </c>
      <c r="L9551" s="8" t="s">
        <v>38</v>
      </c>
      <c r="M9551" s="8" t="s">
        <v>39</v>
      </c>
      <c r="N9551" s="8" t="s">
        <v>2790</v>
      </c>
      <c r="O9551" s="8">
        <f>1+30/60+46.4/3600</f>
        <v>1.5128888888888889</v>
      </c>
      <c r="P9551" s="8" t="s">
        <v>2791</v>
      </c>
      <c r="Q9551" s="8">
        <f>+(21+26/60+25/3600)</f>
        <v>21.440277777777776</v>
      </c>
      <c r="R9551" s="8">
        <v>12.8</v>
      </c>
      <c r="S9551" s="8">
        <v>13.5</v>
      </c>
      <c r="T9551" s="8">
        <v>0.7</v>
      </c>
      <c r="U9551" s="8">
        <v>13.7</v>
      </c>
      <c r="V9551" s="8">
        <v>1.7</v>
      </c>
      <c r="W9551" s="8">
        <v>1.6</v>
      </c>
      <c r="X9551" s="8">
        <v>66</v>
      </c>
      <c r="Y9551" s="8" t="s">
        <v>21</v>
      </c>
      <c r="Z9551" s="8" t="s">
        <v>41264</v>
      </c>
    </row>
    <row r="9552" spans="1:26" x14ac:dyDescent="0.2">
      <c r="A9552" s="8">
        <v>9551</v>
      </c>
      <c r="B9552" s="8" t="s">
        <v>41265</v>
      </c>
      <c r="C9552" s="8" t="s">
        <v>41265</v>
      </c>
      <c r="G9552" s="8">
        <v>20</v>
      </c>
      <c r="H9552" s="8" t="s">
        <v>21</v>
      </c>
      <c r="I9552" s="8" t="s">
        <v>22</v>
      </c>
      <c r="J9552" s="8" t="s">
        <v>22</v>
      </c>
      <c r="K9552" s="8" t="s">
        <v>23</v>
      </c>
      <c r="L9552" s="8" t="s">
        <v>38</v>
      </c>
      <c r="M9552" s="8" t="s">
        <v>39</v>
      </c>
      <c r="N9552" s="8" t="s">
        <v>41266</v>
      </c>
      <c r="O9552" s="8">
        <f>1+30/60+55.2/3600</f>
        <v>1.5153333333333334</v>
      </c>
      <c r="P9552" s="8" t="s">
        <v>41267</v>
      </c>
      <c r="Q9552" s="8">
        <f>+(17+11/60+20/3600)</f>
        <v>17.18888888888889</v>
      </c>
      <c r="R9552" s="8">
        <v>13.6</v>
      </c>
      <c r="S9552" s="8">
        <v>14.4</v>
      </c>
      <c r="T9552" s="8">
        <v>0.8</v>
      </c>
      <c r="U9552" s="8">
        <v>13.7</v>
      </c>
      <c r="V9552" s="8">
        <v>2.6</v>
      </c>
      <c r="W9552" s="8">
        <v>0.5</v>
      </c>
      <c r="X9552" s="8">
        <v>43</v>
      </c>
      <c r="Y9552" s="8" t="s">
        <v>41268</v>
      </c>
      <c r="Z9552" s="8" t="s">
        <v>41269</v>
      </c>
    </row>
    <row r="9553" spans="1:26" x14ac:dyDescent="0.2">
      <c r="A9553" s="8">
        <v>9552</v>
      </c>
      <c r="B9553" s="8" t="s">
        <v>41270</v>
      </c>
      <c r="C9553" s="8" t="s">
        <v>41270</v>
      </c>
      <c r="G9553" s="8">
        <v>20</v>
      </c>
      <c r="H9553" s="8" t="s">
        <v>21</v>
      </c>
      <c r="I9553" s="8" t="s">
        <v>22</v>
      </c>
      <c r="J9553" s="8" t="s">
        <v>57</v>
      </c>
      <c r="K9553" s="8" t="s">
        <v>50</v>
      </c>
      <c r="L9553" s="8" t="s">
        <v>125</v>
      </c>
      <c r="M9553" s="8" t="s">
        <v>126</v>
      </c>
      <c r="N9553" s="8" t="s">
        <v>2831</v>
      </c>
      <c r="O9553" s="8">
        <f>1+31/60+20.5/3600</f>
        <v>1.5223611111111111</v>
      </c>
      <c r="P9553" s="8" t="s">
        <v>2832</v>
      </c>
      <c r="Q9553" s="8">
        <f>-(6+52/60+2/3600)</f>
        <v>-6.8672222222222228</v>
      </c>
      <c r="R9553" s="8">
        <v>10.5</v>
      </c>
      <c r="S9553" s="8">
        <v>11.4</v>
      </c>
      <c r="T9553" s="8">
        <v>0.9</v>
      </c>
      <c r="U9553" s="8">
        <v>12.9</v>
      </c>
      <c r="V9553" s="8">
        <v>4.0999999999999996</v>
      </c>
      <c r="W9553" s="8">
        <v>2</v>
      </c>
      <c r="X9553" s="8">
        <v>72</v>
      </c>
      <c r="Y9553" s="8" t="s">
        <v>1694</v>
      </c>
      <c r="Z9553" s="8" t="s">
        <v>38252</v>
      </c>
    </row>
    <row r="9554" spans="1:26" x14ac:dyDescent="0.2">
      <c r="A9554" s="8">
        <v>9553</v>
      </c>
      <c r="B9554" s="8" t="s">
        <v>41271</v>
      </c>
      <c r="C9554" s="8" t="s">
        <v>41271</v>
      </c>
      <c r="G9554" s="8">
        <v>20</v>
      </c>
      <c r="H9554" s="8" t="s">
        <v>21</v>
      </c>
      <c r="I9554" s="8" t="s">
        <v>72</v>
      </c>
      <c r="J9554" s="8" t="s">
        <v>72</v>
      </c>
      <c r="K9554" s="8" t="s">
        <v>20</v>
      </c>
      <c r="L9554" s="8" t="s">
        <v>2809</v>
      </c>
      <c r="M9554" s="8" t="s">
        <v>2810</v>
      </c>
      <c r="N9554" s="8" t="s">
        <v>41272</v>
      </c>
      <c r="O9554" s="8">
        <f>1+32/60+43.8/3600</f>
        <v>1.5454999999999999</v>
      </c>
      <c r="P9554" s="8" t="s">
        <v>41273</v>
      </c>
      <c r="Q9554" s="8">
        <f>+(35+19/60+28/3600)</f>
        <v>35.324444444444445</v>
      </c>
      <c r="R9554" s="8">
        <v>99</v>
      </c>
      <c r="S9554" s="8">
        <v>14</v>
      </c>
      <c r="T9554" s="8">
        <v>99</v>
      </c>
      <c r="U9554" s="8">
        <v>99</v>
      </c>
      <c r="Y9554" s="8" t="s">
        <v>39045</v>
      </c>
      <c r="Z9554" s="8" t="s">
        <v>41274</v>
      </c>
    </row>
    <row r="9555" spans="1:26" x14ac:dyDescent="0.2">
      <c r="A9555" s="8">
        <v>9554</v>
      </c>
      <c r="B9555" s="8" t="s">
        <v>41275</v>
      </c>
      <c r="C9555" s="8" t="s">
        <v>41275</v>
      </c>
      <c r="G9555" s="8">
        <v>20</v>
      </c>
      <c r="H9555" s="8" t="s">
        <v>21</v>
      </c>
      <c r="I9555" s="8" t="s">
        <v>22</v>
      </c>
      <c r="J9555" s="8" t="s">
        <v>22</v>
      </c>
      <c r="K9555" s="8" t="s">
        <v>37986</v>
      </c>
      <c r="L9555" s="8" t="s">
        <v>125</v>
      </c>
      <c r="M9555" s="8" t="s">
        <v>126</v>
      </c>
      <c r="N9555" s="8" t="s">
        <v>41276</v>
      </c>
      <c r="O9555" s="8">
        <f>1+32/60+53.1/3600</f>
        <v>1.5480833333333333</v>
      </c>
      <c r="P9555" s="8" t="s">
        <v>41277</v>
      </c>
      <c r="Q9555" s="8">
        <f>-(13+1/60+29/3600)</f>
        <v>-13.024722222222223</v>
      </c>
      <c r="R9555" s="8">
        <v>15.2</v>
      </c>
      <c r="S9555" s="8">
        <v>16</v>
      </c>
      <c r="T9555" s="8">
        <v>0.8</v>
      </c>
      <c r="U9555" s="8">
        <v>13.5</v>
      </c>
      <c r="V9555" s="8">
        <v>0.5</v>
      </c>
      <c r="W9555" s="8">
        <v>0.5</v>
      </c>
      <c r="Y9555" s="8" t="s">
        <v>21</v>
      </c>
      <c r="Z9555" s="8" t="s">
        <v>41278</v>
      </c>
    </row>
    <row r="9556" spans="1:26" x14ac:dyDescent="0.2">
      <c r="A9556" s="8">
        <v>9555</v>
      </c>
      <c r="B9556" s="8" t="s">
        <v>41279</v>
      </c>
      <c r="C9556" s="8" t="s">
        <v>41279</v>
      </c>
      <c r="G9556" s="8">
        <v>20</v>
      </c>
      <c r="H9556" s="8" t="s">
        <v>21</v>
      </c>
      <c r="I9556" s="8" t="s">
        <v>22</v>
      </c>
      <c r="J9556" s="8" t="s">
        <v>22</v>
      </c>
      <c r="K9556" s="8" t="s">
        <v>3616</v>
      </c>
      <c r="L9556" s="8" t="s">
        <v>38</v>
      </c>
      <c r="M9556" s="8" t="s">
        <v>39</v>
      </c>
      <c r="N9556" s="8" t="s">
        <v>41280</v>
      </c>
      <c r="O9556" s="8">
        <f>1+33/60+34.4/3600</f>
        <v>1.5595555555555556</v>
      </c>
      <c r="P9556" s="8" t="s">
        <v>41281</v>
      </c>
      <c r="Q9556" s="8">
        <f>+(12+35/60+8/3600)</f>
        <v>12.585555555555556</v>
      </c>
      <c r="R9556" s="8">
        <v>14</v>
      </c>
      <c r="S9556" s="8">
        <v>14.6</v>
      </c>
      <c r="T9556" s="8">
        <v>0.6</v>
      </c>
      <c r="U9556" s="8">
        <v>12.7</v>
      </c>
      <c r="V9556" s="8">
        <v>0.7</v>
      </c>
      <c r="W9556" s="8">
        <v>0.5</v>
      </c>
      <c r="X9556" s="8">
        <v>100</v>
      </c>
      <c r="Y9556" s="8" t="s">
        <v>41073</v>
      </c>
      <c r="Z9556" s="8" t="s">
        <v>41074</v>
      </c>
    </row>
    <row r="9557" spans="1:26" x14ac:dyDescent="0.2">
      <c r="A9557" s="8">
        <v>9556</v>
      </c>
      <c r="B9557" s="8" t="s">
        <v>41282</v>
      </c>
      <c r="C9557" s="8" t="s">
        <v>41282</v>
      </c>
      <c r="G9557" s="8">
        <v>20</v>
      </c>
      <c r="H9557" s="8" t="s">
        <v>21</v>
      </c>
      <c r="I9557" s="8" t="s">
        <v>72</v>
      </c>
      <c r="J9557" s="8" t="s">
        <v>72</v>
      </c>
      <c r="K9557" s="8" t="s">
        <v>20</v>
      </c>
      <c r="L9557" s="8" t="s">
        <v>125</v>
      </c>
      <c r="M9557" s="8" t="s">
        <v>126</v>
      </c>
      <c r="N9557" s="8" t="s">
        <v>41283</v>
      </c>
      <c r="O9557" s="8">
        <f>1+33/60+26.8/3600</f>
        <v>1.5574444444444444</v>
      </c>
      <c r="P9557" s="8" t="s">
        <v>41284</v>
      </c>
      <c r="Q9557" s="8">
        <f>-(12+18/60+29/3600)</f>
        <v>-12.308055555555557</v>
      </c>
      <c r="R9557" s="8">
        <v>99</v>
      </c>
      <c r="S9557" s="8">
        <v>15.3</v>
      </c>
      <c r="T9557" s="8">
        <v>99</v>
      </c>
      <c r="U9557" s="8">
        <v>99</v>
      </c>
      <c r="Y9557" s="8" t="s">
        <v>41285</v>
      </c>
      <c r="Z9557" s="8" t="s">
        <v>41286</v>
      </c>
    </row>
    <row r="9558" spans="1:26" x14ac:dyDescent="0.2">
      <c r="A9558" s="8">
        <v>9557</v>
      </c>
      <c r="B9558" s="8" t="s">
        <v>41287</v>
      </c>
      <c r="C9558" s="8" t="s">
        <v>41287</v>
      </c>
      <c r="G9558" s="8">
        <v>20</v>
      </c>
      <c r="H9558" s="8" t="s">
        <v>21</v>
      </c>
      <c r="I9558" s="8" t="s">
        <v>329</v>
      </c>
      <c r="J9558" s="8" t="s">
        <v>329</v>
      </c>
      <c r="K9558" s="8" t="s">
        <v>329</v>
      </c>
      <c r="L9558" s="8" t="s">
        <v>2916</v>
      </c>
      <c r="M9558" s="8" t="s">
        <v>2917</v>
      </c>
      <c r="N9558" s="8" t="s">
        <v>41288</v>
      </c>
      <c r="O9558" s="8">
        <f>1+32/60+30/3600</f>
        <v>1.5416666666666665</v>
      </c>
      <c r="P9558" s="8" t="s">
        <v>41289</v>
      </c>
      <c r="Q9558" s="8">
        <f>-(67+32/60+0/3600)</f>
        <v>-67.533333333333331</v>
      </c>
      <c r="R9558" s="8">
        <v>99</v>
      </c>
      <c r="S9558" s="8">
        <v>99</v>
      </c>
      <c r="T9558" s="8">
        <v>99</v>
      </c>
      <c r="U9558" s="8">
        <v>99</v>
      </c>
      <c r="Y9558" s="8" t="s">
        <v>41290</v>
      </c>
      <c r="Z9558" s="8" t="s">
        <v>41291</v>
      </c>
    </row>
    <row r="9559" spans="1:26" x14ac:dyDescent="0.2">
      <c r="A9559" s="8">
        <v>9558</v>
      </c>
      <c r="B9559" s="8" t="s">
        <v>41292</v>
      </c>
      <c r="C9559" s="8" t="s">
        <v>41292</v>
      </c>
      <c r="G9559" s="8">
        <v>20</v>
      </c>
      <c r="H9559" s="8" t="s">
        <v>21</v>
      </c>
      <c r="I9559" s="8" t="s">
        <v>22</v>
      </c>
      <c r="J9559" s="8" t="s">
        <v>22</v>
      </c>
      <c r="K9559" s="8" t="s">
        <v>424</v>
      </c>
      <c r="L9559" s="8" t="s">
        <v>2809</v>
      </c>
      <c r="M9559" s="8" t="s">
        <v>2810</v>
      </c>
      <c r="N9559" s="8" t="s">
        <v>41293</v>
      </c>
      <c r="O9559" s="8">
        <f>1+38/60+26.9/3600</f>
        <v>1.6408055555555556</v>
      </c>
      <c r="P9559" s="8" t="s">
        <v>41294</v>
      </c>
      <c r="Q9559" s="8">
        <f>+(33+21/60+55/3600)</f>
        <v>33.365277777777777</v>
      </c>
      <c r="R9559" s="8">
        <v>14.4</v>
      </c>
      <c r="S9559" s="8">
        <v>15.4</v>
      </c>
      <c r="T9559" s="8">
        <v>1</v>
      </c>
      <c r="U9559" s="8">
        <v>12.2</v>
      </c>
      <c r="V9559" s="8">
        <v>0.6</v>
      </c>
      <c r="W9559" s="8">
        <v>0.3</v>
      </c>
      <c r="X9559" s="8">
        <v>129</v>
      </c>
      <c r="Y9559" s="8" t="s">
        <v>21</v>
      </c>
      <c r="Z9559" s="8" t="s">
        <v>41295</v>
      </c>
    </row>
    <row r="9560" spans="1:26" x14ac:dyDescent="0.2">
      <c r="A9560" s="8">
        <v>9559</v>
      </c>
      <c r="B9560" s="8" t="s">
        <v>41296</v>
      </c>
      <c r="C9560" s="8" t="s">
        <v>41296</v>
      </c>
      <c r="G9560" s="8">
        <v>20</v>
      </c>
      <c r="H9560" s="8" t="s">
        <v>21</v>
      </c>
      <c r="I9560" s="8" t="s">
        <v>22</v>
      </c>
      <c r="J9560" s="8" t="s">
        <v>22</v>
      </c>
      <c r="K9560" s="8" t="s">
        <v>37</v>
      </c>
      <c r="L9560" s="8" t="s">
        <v>65</v>
      </c>
      <c r="M9560" s="8" t="s">
        <v>66</v>
      </c>
      <c r="N9560" s="8" t="s">
        <v>41297</v>
      </c>
      <c r="O9560" s="8">
        <f>1+37/60+35.8/3600</f>
        <v>1.6266111111111112</v>
      </c>
      <c r="P9560" s="8" t="s">
        <v>41298</v>
      </c>
      <c r="Q9560" s="8">
        <f>-(33+55/60+27/3600)</f>
        <v>-33.924166666666665</v>
      </c>
      <c r="R9560" s="8">
        <v>12.6</v>
      </c>
      <c r="S9560" s="8">
        <v>13.6</v>
      </c>
      <c r="T9560" s="8">
        <v>1</v>
      </c>
      <c r="U9560" s="8">
        <v>13.2</v>
      </c>
      <c r="V9560" s="8">
        <v>1.6</v>
      </c>
      <c r="W9560" s="8">
        <v>1.2</v>
      </c>
      <c r="X9560" s="8">
        <v>174</v>
      </c>
      <c r="Y9560" s="8" t="s">
        <v>21</v>
      </c>
      <c r="Z9560" s="8" t="s">
        <v>41299</v>
      </c>
    </row>
    <row r="9561" spans="1:26" x14ac:dyDescent="0.2">
      <c r="A9561" s="8">
        <v>9560</v>
      </c>
      <c r="B9561" s="8" t="s">
        <v>41300</v>
      </c>
      <c r="C9561" s="8" t="s">
        <v>41300</v>
      </c>
      <c r="G9561" s="8">
        <v>20</v>
      </c>
      <c r="H9561" s="8" t="s">
        <v>21</v>
      </c>
      <c r="I9561" s="8" t="s">
        <v>22</v>
      </c>
      <c r="J9561" s="8" t="s">
        <v>22</v>
      </c>
      <c r="K9561" s="8" t="s">
        <v>396</v>
      </c>
      <c r="L9561" s="8" t="s">
        <v>65</v>
      </c>
      <c r="M9561" s="8" t="s">
        <v>66</v>
      </c>
      <c r="N9561" s="8" t="s">
        <v>41301</v>
      </c>
      <c r="O9561" s="8">
        <f>1+40/60+21.4/3600</f>
        <v>1.672611111111111</v>
      </c>
      <c r="P9561" s="8" t="s">
        <v>41302</v>
      </c>
      <c r="Q9561" s="8">
        <f>-(28+54/60+50/3600)</f>
        <v>-28.913888888888888</v>
      </c>
      <c r="R9561" s="8">
        <v>12.9</v>
      </c>
      <c r="S9561" s="8">
        <v>13.7</v>
      </c>
      <c r="T9561" s="8">
        <v>0.8</v>
      </c>
      <c r="U9561" s="8">
        <v>13.3</v>
      </c>
      <c r="V9561" s="8">
        <v>1.5</v>
      </c>
      <c r="W9561" s="8">
        <v>1.1000000000000001</v>
      </c>
      <c r="X9561" s="8">
        <v>162</v>
      </c>
      <c r="Y9561" s="8" t="s">
        <v>41303</v>
      </c>
      <c r="Z9561" s="8" t="s">
        <v>41304</v>
      </c>
    </row>
    <row r="9562" spans="1:26" x14ac:dyDescent="0.2">
      <c r="A9562" s="8">
        <v>9561</v>
      </c>
      <c r="B9562" s="8" t="s">
        <v>41305</v>
      </c>
      <c r="C9562" s="8" t="s">
        <v>41305</v>
      </c>
      <c r="G9562" s="8">
        <v>20</v>
      </c>
      <c r="H9562" s="8" t="s">
        <v>21</v>
      </c>
      <c r="I9562" s="8" t="s">
        <v>22</v>
      </c>
      <c r="J9562" s="8" t="s">
        <v>22</v>
      </c>
      <c r="K9562" s="8" t="s">
        <v>476</v>
      </c>
      <c r="L9562" s="8" t="s">
        <v>38</v>
      </c>
      <c r="M9562" s="8" t="s">
        <v>39</v>
      </c>
      <c r="N9562" s="8" t="s">
        <v>41306</v>
      </c>
      <c r="O9562" s="8">
        <f>1+41/60+24.4/3600</f>
        <v>1.6901111111111111</v>
      </c>
      <c r="P9562" s="8" t="s">
        <v>41307</v>
      </c>
      <c r="Q9562" s="8">
        <f>+(8+31/60+34/3600)</f>
        <v>8.5261111111111116</v>
      </c>
      <c r="R9562" s="8">
        <v>13.3</v>
      </c>
      <c r="S9562" s="8">
        <v>14.2</v>
      </c>
      <c r="T9562" s="8">
        <v>0.9</v>
      </c>
      <c r="U9562" s="8">
        <v>12.4</v>
      </c>
      <c r="V9562" s="8">
        <v>1</v>
      </c>
      <c r="W9562" s="8">
        <v>0.5</v>
      </c>
      <c r="X9562" s="8">
        <v>94</v>
      </c>
      <c r="Y9562" s="8" t="s">
        <v>41308</v>
      </c>
      <c r="Z9562" s="8" t="s">
        <v>41309</v>
      </c>
    </row>
    <row r="9563" spans="1:26" x14ac:dyDescent="0.2">
      <c r="A9563" s="8">
        <v>9562</v>
      </c>
      <c r="B9563" s="8" t="s">
        <v>41310</v>
      </c>
      <c r="C9563" s="8" t="s">
        <v>41310</v>
      </c>
      <c r="G9563" s="8">
        <v>20</v>
      </c>
      <c r="H9563" s="8" t="s">
        <v>21</v>
      </c>
      <c r="I9563" s="8" t="s">
        <v>22</v>
      </c>
      <c r="J9563" s="8" t="s">
        <v>22</v>
      </c>
      <c r="K9563" s="8" t="s">
        <v>85</v>
      </c>
      <c r="L9563" s="8" t="s">
        <v>65</v>
      </c>
      <c r="M9563" s="8" t="s">
        <v>66</v>
      </c>
      <c r="N9563" s="8" t="s">
        <v>41311</v>
      </c>
      <c r="O9563" s="8">
        <f>1+43/60+2.7/3600</f>
        <v>1.7174166666666668</v>
      </c>
      <c r="P9563" s="8" t="s">
        <v>41312</v>
      </c>
      <c r="Q9563" s="8">
        <f>-(34+11/60+17/3600)</f>
        <v>-34.18805555555555</v>
      </c>
      <c r="R9563" s="8">
        <v>13.9</v>
      </c>
      <c r="S9563" s="8">
        <v>14.7</v>
      </c>
      <c r="T9563" s="8">
        <v>0.8</v>
      </c>
      <c r="U9563" s="8">
        <v>13.4</v>
      </c>
      <c r="V9563" s="8">
        <v>1.5</v>
      </c>
      <c r="W9563" s="8">
        <v>0.5</v>
      </c>
      <c r="X9563" s="8">
        <v>50</v>
      </c>
      <c r="Y9563" s="8" t="s">
        <v>41313</v>
      </c>
      <c r="Z9563" s="8" t="s">
        <v>41314</v>
      </c>
    </row>
    <row r="9564" spans="1:26" x14ac:dyDescent="0.2">
      <c r="A9564" s="8">
        <v>9563</v>
      </c>
      <c r="B9564" s="8" t="s">
        <v>41315</v>
      </c>
      <c r="C9564" s="8" t="s">
        <v>41315</v>
      </c>
      <c r="G9564" s="8">
        <v>20</v>
      </c>
      <c r="H9564" s="8" t="s">
        <v>21</v>
      </c>
      <c r="I9564" s="8" t="s">
        <v>22</v>
      </c>
      <c r="J9564" s="8" t="s">
        <v>22</v>
      </c>
      <c r="K9564" s="8" t="s">
        <v>23</v>
      </c>
      <c r="L9564" s="8" t="s">
        <v>38</v>
      </c>
      <c r="M9564" s="8" t="s">
        <v>39</v>
      </c>
      <c r="N9564" s="8" t="s">
        <v>41316</v>
      </c>
      <c r="O9564" s="8">
        <f>1+43/60+14.1/3600</f>
        <v>1.7205833333333334</v>
      </c>
      <c r="P9564" s="8" t="s">
        <v>41317</v>
      </c>
      <c r="Q9564" s="8">
        <f>+(8+53/60+20/3600)</f>
        <v>8.8888888888888893</v>
      </c>
      <c r="R9564" s="8">
        <v>13.1</v>
      </c>
      <c r="S9564" s="8">
        <v>13.9</v>
      </c>
      <c r="T9564" s="8">
        <v>0.8</v>
      </c>
      <c r="U9564" s="8">
        <v>14</v>
      </c>
      <c r="V9564" s="8">
        <v>3.3</v>
      </c>
      <c r="W9564" s="8">
        <v>0.8</v>
      </c>
      <c r="X9564" s="8">
        <v>29</v>
      </c>
      <c r="Y9564" s="8" t="s">
        <v>41318</v>
      </c>
      <c r="Z9564" s="8" t="s">
        <v>41319</v>
      </c>
    </row>
    <row r="9565" spans="1:26" x14ac:dyDescent="0.2">
      <c r="A9565" s="8">
        <v>9564</v>
      </c>
      <c r="B9565" s="8" t="s">
        <v>41320</v>
      </c>
      <c r="C9565" s="8" t="s">
        <v>41320</v>
      </c>
      <c r="G9565" s="8">
        <v>20</v>
      </c>
      <c r="H9565" s="8" t="s">
        <v>21</v>
      </c>
      <c r="I9565" s="8" t="s">
        <v>22</v>
      </c>
      <c r="J9565" s="8" t="s">
        <v>22</v>
      </c>
      <c r="K9565" s="8" t="s">
        <v>632</v>
      </c>
      <c r="L9565" s="8" t="s">
        <v>65</v>
      </c>
      <c r="M9565" s="8" t="s">
        <v>66</v>
      </c>
      <c r="N9565" s="8" t="s">
        <v>41321</v>
      </c>
      <c r="O9565" s="8">
        <f>1+43/60+9.5/3600</f>
        <v>1.7193055555555556</v>
      </c>
      <c r="P9565" s="8" t="s">
        <v>41322</v>
      </c>
      <c r="Q9565" s="8">
        <f>-(34+14/60+32/3600)</f>
        <v>-34.242222222222225</v>
      </c>
      <c r="R9565" s="8">
        <v>12.9</v>
      </c>
      <c r="S9565" s="8">
        <v>13.8</v>
      </c>
      <c r="T9565" s="8">
        <v>0.9</v>
      </c>
      <c r="U9565" s="8">
        <v>12.3</v>
      </c>
      <c r="V9565" s="8">
        <v>1.3</v>
      </c>
      <c r="W9565" s="8">
        <v>0.5</v>
      </c>
      <c r="X9565" s="8">
        <v>126</v>
      </c>
      <c r="Y9565" s="8" t="s">
        <v>21</v>
      </c>
      <c r="Z9565" s="8" t="s">
        <v>41323</v>
      </c>
    </row>
    <row r="9566" spans="1:26" x14ac:dyDescent="0.2">
      <c r="A9566" s="8">
        <v>9565</v>
      </c>
      <c r="B9566" s="8" t="s">
        <v>41324</v>
      </c>
      <c r="C9566" s="8" t="s">
        <v>41324</v>
      </c>
      <c r="G9566" s="8">
        <v>20</v>
      </c>
      <c r="H9566" s="8" t="s">
        <v>21</v>
      </c>
      <c r="I9566" s="8" t="s">
        <v>22</v>
      </c>
      <c r="J9566" s="8" t="s">
        <v>22</v>
      </c>
      <c r="K9566" s="8" t="s">
        <v>160</v>
      </c>
      <c r="L9566" s="8" t="s">
        <v>38</v>
      </c>
      <c r="M9566" s="8" t="s">
        <v>39</v>
      </c>
      <c r="N9566" s="8" t="s">
        <v>41325</v>
      </c>
      <c r="O9566" s="8">
        <f>1+45/60+11.9/3600</f>
        <v>1.7533055555555555</v>
      </c>
      <c r="P9566" s="8" t="s">
        <v>41326</v>
      </c>
      <c r="Q9566" s="8">
        <f>+(21+46/60+36/3600)</f>
        <v>21.776666666666667</v>
      </c>
      <c r="R9566" s="8">
        <v>14.6</v>
      </c>
      <c r="S9566" s="8">
        <v>15.3</v>
      </c>
      <c r="T9566" s="8">
        <v>0.7</v>
      </c>
      <c r="U9566" s="8">
        <v>11.8</v>
      </c>
      <c r="V9566" s="8">
        <v>0.3</v>
      </c>
      <c r="W9566" s="8">
        <v>0.3</v>
      </c>
      <c r="Y9566" s="8" t="s">
        <v>41327</v>
      </c>
      <c r="Z9566" s="8" t="s">
        <v>41328</v>
      </c>
    </row>
    <row r="9567" spans="1:26" x14ac:dyDescent="0.2">
      <c r="A9567" s="8">
        <v>9566</v>
      </c>
      <c r="B9567" s="8" t="s">
        <v>41329</v>
      </c>
      <c r="C9567" s="8" t="s">
        <v>41329</v>
      </c>
      <c r="G9567" s="8">
        <v>20</v>
      </c>
      <c r="H9567" s="8" t="s">
        <v>21</v>
      </c>
      <c r="I9567" s="8" t="s">
        <v>22</v>
      </c>
      <c r="J9567" s="8" t="s">
        <v>22</v>
      </c>
      <c r="K9567" s="8" t="s">
        <v>424</v>
      </c>
      <c r="L9567" s="8" t="s">
        <v>38</v>
      </c>
      <c r="M9567" s="8" t="s">
        <v>39</v>
      </c>
      <c r="N9567" s="8" t="s">
        <v>41330</v>
      </c>
      <c r="O9567" s="8">
        <f>1+45/60+19.6/3600</f>
        <v>1.7554444444444444</v>
      </c>
      <c r="P9567" s="8" t="s">
        <v>41331</v>
      </c>
      <c r="Q9567" s="8">
        <f>+(4+37/60+9/3600)</f>
        <v>4.6191666666666675</v>
      </c>
      <c r="R9567" s="8">
        <v>13.8</v>
      </c>
      <c r="S9567" s="8">
        <v>14.8</v>
      </c>
      <c r="T9567" s="8">
        <v>1</v>
      </c>
      <c r="U9567" s="8">
        <v>11.3</v>
      </c>
      <c r="V9567" s="8">
        <v>0.3</v>
      </c>
      <c r="W9567" s="8">
        <v>0.2</v>
      </c>
      <c r="X9567" s="8">
        <v>24</v>
      </c>
      <c r="Y9567" s="8" t="s">
        <v>41332</v>
      </c>
      <c r="Z9567" s="8" t="s">
        <v>41333</v>
      </c>
    </row>
    <row r="9568" spans="1:26" x14ac:dyDescent="0.2">
      <c r="A9568" s="8">
        <v>9567</v>
      </c>
      <c r="B9568" s="8" t="s">
        <v>41334</v>
      </c>
      <c r="C9568" s="8" t="s">
        <v>41334</v>
      </c>
      <c r="G9568" s="8">
        <v>20</v>
      </c>
      <c r="H9568" s="8" t="s">
        <v>21</v>
      </c>
      <c r="I9568" s="8" t="s">
        <v>22</v>
      </c>
      <c r="J9568" s="8" t="s">
        <v>22</v>
      </c>
      <c r="K9568" s="8" t="s">
        <v>323</v>
      </c>
      <c r="L9568" s="8" t="s">
        <v>2809</v>
      </c>
      <c r="M9568" s="8" t="s">
        <v>2810</v>
      </c>
      <c r="N9568" s="8" t="s">
        <v>41335</v>
      </c>
      <c r="O9568" s="8">
        <f>1+47/60+30/3600</f>
        <v>1.7916666666666665</v>
      </c>
      <c r="P9568" s="8" t="s">
        <v>41336</v>
      </c>
      <c r="Q9568" s="8">
        <f>+(27+19/60+57/3600)</f>
        <v>27.3325</v>
      </c>
      <c r="R9568" s="8">
        <v>11.5</v>
      </c>
      <c r="S9568" s="8">
        <v>12.1</v>
      </c>
      <c r="T9568" s="8">
        <v>0.6</v>
      </c>
      <c r="U9568" s="8">
        <v>14.7</v>
      </c>
      <c r="V9568" s="8">
        <v>5.7</v>
      </c>
      <c r="W9568" s="8">
        <v>2.4</v>
      </c>
      <c r="X9568" s="8">
        <v>150</v>
      </c>
      <c r="Y9568" s="8" t="s">
        <v>21</v>
      </c>
      <c r="Z9568" s="8" t="s">
        <v>41337</v>
      </c>
    </row>
    <row r="9569" spans="1:26" x14ac:dyDescent="0.2">
      <c r="A9569" s="8">
        <v>9568</v>
      </c>
      <c r="B9569" s="8" t="s">
        <v>41338</v>
      </c>
      <c r="C9569" s="8" t="s">
        <v>41338</v>
      </c>
      <c r="G9569" s="8">
        <v>20</v>
      </c>
      <c r="H9569" s="8" t="s">
        <v>21</v>
      </c>
      <c r="I9569" s="8" t="s">
        <v>22</v>
      </c>
      <c r="J9569" s="8" t="s">
        <v>22</v>
      </c>
      <c r="K9569" s="8" t="s">
        <v>85</v>
      </c>
      <c r="L9569" s="8" t="s">
        <v>3335</v>
      </c>
      <c r="M9569" s="8" t="s">
        <v>3336</v>
      </c>
      <c r="N9569" s="8" t="s">
        <v>41339</v>
      </c>
      <c r="O9569" s="8">
        <f>1+47/60+44.4/3600</f>
        <v>1.7956666666666665</v>
      </c>
      <c r="P9569" s="8" t="s">
        <v>41340</v>
      </c>
      <c r="Q9569" s="8">
        <f>-(33+36/60+6/3600)</f>
        <v>-33.601666666666667</v>
      </c>
      <c r="R9569" s="8">
        <v>13.3</v>
      </c>
      <c r="S9569" s="8">
        <v>14.1</v>
      </c>
      <c r="T9569" s="8">
        <v>0.8</v>
      </c>
      <c r="U9569" s="8">
        <v>13.3</v>
      </c>
      <c r="V9569" s="8">
        <v>1.3</v>
      </c>
      <c r="W9569" s="8">
        <v>0.8</v>
      </c>
      <c r="X9569" s="8">
        <v>3</v>
      </c>
      <c r="Y9569" s="8" t="s">
        <v>41341</v>
      </c>
      <c r="Z9569" s="8" t="s">
        <v>41342</v>
      </c>
    </row>
    <row r="9570" spans="1:26" x14ac:dyDescent="0.2">
      <c r="A9570" s="8">
        <v>9569</v>
      </c>
      <c r="B9570" s="8" t="s">
        <v>41343</v>
      </c>
      <c r="C9570" s="8" t="s">
        <v>41343</v>
      </c>
      <c r="G9570" s="8">
        <v>20</v>
      </c>
      <c r="H9570" s="8" t="s">
        <v>21</v>
      </c>
      <c r="I9570" s="8" t="s">
        <v>22</v>
      </c>
      <c r="J9570" s="8" t="s">
        <v>22</v>
      </c>
      <c r="K9570" s="8" t="s">
        <v>58</v>
      </c>
      <c r="L9570" s="8" t="s">
        <v>3335</v>
      </c>
      <c r="M9570" s="8" t="s">
        <v>3336</v>
      </c>
      <c r="N9570" s="8" t="s">
        <v>41344</v>
      </c>
      <c r="O9570" s="8">
        <f>1+47/60+55.2/3600</f>
        <v>1.7986666666666666</v>
      </c>
      <c r="P9570" s="8" t="s">
        <v>41345</v>
      </c>
      <c r="Q9570" s="8">
        <f>-(26+53/60+31/3600)</f>
        <v>-26.891944444444444</v>
      </c>
      <c r="R9570" s="8">
        <v>12.6</v>
      </c>
      <c r="S9570" s="8">
        <v>13.5</v>
      </c>
      <c r="T9570" s="8">
        <v>0.9</v>
      </c>
      <c r="U9570" s="8">
        <v>13</v>
      </c>
      <c r="V9570" s="8">
        <v>1.6</v>
      </c>
      <c r="W9570" s="8">
        <v>0.9</v>
      </c>
      <c r="X9570" s="8">
        <v>150</v>
      </c>
      <c r="Y9570" s="8" t="s">
        <v>41346</v>
      </c>
      <c r="Z9570" s="8" t="s">
        <v>41347</v>
      </c>
    </row>
    <row r="9571" spans="1:26" x14ac:dyDescent="0.2">
      <c r="A9571" s="8">
        <v>9570</v>
      </c>
      <c r="B9571" s="8" t="s">
        <v>41348</v>
      </c>
      <c r="C9571" s="8" t="s">
        <v>41348</v>
      </c>
      <c r="G9571" s="8">
        <v>20</v>
      </c>
      <c r="H9571" s="8" t="s">
        <v>21</v>
      </c>
      <c r="I9571" s="8" t="s">
        <v>22</v>
      </c>
      <c r="J9571" s="8" t="s">
        <v>22</v>
      </c>
      <c r="K9571" s="8" t="s">
        <v>37</v>
      </c>
      <c r="L9571" s="8" t="s">
        <v>3256</v>
      </c>
      <c r="M9571" s="8" t="s">
        <v>3257</v>
      </c>
      <c r="N9571" s="8" t="s">
        <v>41349</v>
      </c>
      <c r="O9571" s="8">
        <f>1+49/60+57.9/3600</f>
        <v>1.8327499999999999</v>
      </c>
      <c r="P9571" s="8" t="s">
        <v>41350</v>
      </c>
      <c r="Q9571" s="8">
        <f>+(22+0/60+46/3600)</f>
        <v>22.012777777777778</v>
      </c>
      <c r="R9571" s="8">
        <v>14.4</v>
      </c>
      <c r="S9571" s="8">
        <v>15.4</v>
      </c>
      <c r="T9571" s="8">
        <v>1</v>
      </c>
      <c r="U9571" s="8">
        <v>13.3</v>
      </c>
      <c r="V9571" s="8">
        <v>0.8</v>
      </c>
      <c r="W9571" s="8">
        <v>0.5</v>
      </c>
      <c r="X9571" s="8">
        <v>65</v>
      </c>
      <c r="Y9571" s="8" t="s">
        <v>6420</v>
      </c>
      <c r="Z9571" s="8" t="s">
        <v>6421</v>
      </c>
    </row>
    <row r="9572" spans="1:26" x14ac:dyDescent="0.2">
      <c r="A9572" s="8">
        <v>9571</v>
      </c>
      <c r="B9572" s="8" t="s">
        <v>41351</v>
      </c>
      <c r="C9572" s="8" t="s">
        <v>41351</v>
      </c>
      <c r="G9572" s="8">
        <v>20</v>
      </c>
      <c r="H9572" s="8" t="s">
        <v>21</v>
      </c>
      <c r="I9572" s="8" t="s">
        <v>22</v>
      </c>
      <c r="J9572" s="8" t="s">
        <v>22</v>
      </c>
      <c r="K9572" s="8" t="s">
        <v>64</v>
      </c>
      <c r="L9572" s="8" t="s">
        <v>2809</v>
      </c>
      <c r="M9572" s="8" t="s">
        <v>2810</v>
      </c>
      <c r="N9572" s="8" t="s">
        <v>41352</v>
      </c>
      <c r="O9572" s="8">
        <f>1+50/60+12.5/3600</f>
        <v>1.8368055555555558</v>
      </c>
      <c r="P9572" s="8" t="s">
        <v>41353</v>
      </c>
      <c r="Q9572" s="8">
        <f>+(27+11/60+46/3600)</f>
        <v>27.196111111111112</v>
      </c>
      <c r="R9572" s="8">
        <v>13.3</v>
      </c>
      <c r="S9572" s="8">
        <v>14</v>
      </c>
      <c r="T9572" s="8">
        <v>0.7</v>
      </c>
      <c r="U9572" s="8">
        <v>13.6</v>
      </c>
      <c r="V9572" s="8">
        <v>1.5</v>
      </c>
      <c r="W9572" s="8">
        <v>1</v>
      </c>
      <c r="X9572" s="8">
        <v>140</v>
      </c>
      <c r="Y9572" s="8" t="s">
        <v>41354</v>
      </c>
      <c r="Z9572" s="8" t="s">
        <v>41355</v>
      </c>
    </row>
    <row r="9573" spans="1:26" x14ac:dyDescent="0.2">
      <c r="A9573" s="8">
        <v>9572</v>
      </c>
      <c r="B9573" s="8" t="s">
        <v>41356</v>
      </c>
      <c r="C9573" s="8" t="s">
        <v>41356</v>
      </c>
      <c r="G9573" s="8">
        <v>20</v>
      </c>
      <c r="H9573" s="8" t="s">
        <v>21</v>
      </c>
      <c r="I9573" s="8" t="s">
        <v>22</v>
      </c>
      <c r="J9573" s="8" t="s">
        <v>22</v>
      </c>
      <c r="K9573" s="8" t="s">
        <v>476</v>
      </c>
      <c r="L9573" s="8" t="s">
        <v>51</v>
      </c>
      <c r="M9573" s="8" t="s">
        <v>52</v>
      </c>
      <c r="N9573" s="8" t="s">
        <v>41357</v>
      </c>
      <c r="O9573" s="8">
        <f>1+50/60+48/3600</f>
        <v>1.8466666666666669</v>
      </c>
      <c r="P9573" s="8" t="s">
        <v>41358</v>
      </c>
      <c r="Q9573" s="8">
        <f>+(35+55/60+59/3600)</f>
        <v>35.933055555555555</v>
      </c>
      <c r="R9573" s="8">
        <v>14</v>
      </c>
      <c r="S9573" s="8">
        <v>14.9</v>
      </c>
      <c r="T9573" s="8">
        <v>0.9</v>
      </c>
      <c r="U9573" s="8">
        <v>13.3</v>
      </c>
      <c r="V9573" s="8">
        <v>1.5</v>
      </c>
      <c r="W9573" s="8">
        <v>0.4</v>
      </c>
      <c r="X9573" s="8">
        <v>62</v>
      </c>
      <c r="Y9573" s="8" t="s">
        <v>41359</v>
      </c>
      <c r="Z9573" s="8" t="s">
        <v>41360</v>
      </c>
    </row>
    <row r="9574" spans="1:26" x14ac:dyDescent="0.2">
      <c r="A9574" s="8">
        <v>9573</v>
      </c>
      <c r="B9574" s="8" t="s">
        <v>41361</v>
      </c>
      <c r="C9574" s="8" t="s">
        <v>41361</v>
      </c>
      <c r="G9574" s="8">
        <v>20</v>
      </c>
      <c r="H9574" s="8" t="s">
        <v>21</v>
      </c>
      <c r="I9574" s="8" t="s">
        <v>22</v>
      </c>
      <c r="J9574" s="8" t="s">
        <v>22</v>
      </c>
      <c r="K9574" s="8" t="s">
        <v>1136</v>
      </c>
      <c r="L9574" s="8" t="s">
        <v>2809</v>
      </c>
      <c r="M9574" s="8" t="s">
        <v>2810</v>
      </c>
      <c r="N9574" s="8" t="s">
        <v>41362</v>
      </c>
      <c r="O9574" s="8">
        <f>1+50/60+42.9/3600</f>
        <v>1.8452500000000001</v>
      </c>
      <c r="P9574" s="8" t="s">
        <v>41363</v>
      </c>
      <c r="Q9574" s="8">
        <f>+(33+4/60+56/3600)</f>
        <v>33.082222222222228</v>
      </c>
      <c r="R9574" s="8">
        <v>13</v>
      </c>
      <c r="S9574" s="8">
        <v>14.1</v>
      </c>
      <c r="T9574" s="8">
        <v>1.1000000000000001</v>
      </c>
      <c r="U9574" s="8">
        <v>13.7</v>
      </c>
      <c r="V9574" s="8">
        <v>1.2</v>
      </c>
      <c r="W9574" s="8">
        <v>1</v>
      </c>
      <c r="X9574" s="8">
        <v>50</v>
      </c>
      <c r="Y9574" s="8" t="s">
        <v>41364</v>
      </c>
      <c r="Z9574" s="8" t="s">
        <v>41365</v>
      </c>
    </row>
    <row r="9575" spans="1:26" x14ac:dyDescent="0.2">
      <c r="A9575" s="8">
        <v>9574</v>
      </c>
      <c r="B9575" s="8" t="s">
        <v>41366</v>
      </c>
      <c r="C9575" s="8" t="s">
        <v>41366</v>
      </c>
      <c r="G9575" s="8">
        <v>20</v>
      </c>
      <c r="H9575" s="8" t="s">
        <v>21</v>
      </c>
      <c r="I9575" s="8" t="s">
        <v>22</v>
      </c>
      <c r="J9575" s="8" t="s">
        <v>22</v>
      </c>
      <c r="K9575" s="8" t="s">
        <v>64</v>
      </c>
      <c r="L9575" s="8" t="s">
        <v>3335</v>
      </c>
      <c r="M9575" s="8" t="s">
        <v>3336</v>
      </c>
      <c r="N9575" s="8" t="s">
        <v>41367</v>
      </c>
      <c r="O9575" s="8">
        <f>1+49/60+16.8/3600</f>
        <v>1.8213333333333332</v>
      </c>
      <c r="P9575" s="8" t="s">
        <v>41368</v>
      </c>
      <c r="Q9575" s="8">
        <f>-(32+44/60+36/3600)</f>
        <v>-32.743333333333332</v>
      </c>
      <c r="R9575" s="8">
        <v>12.8</v>
      </c>
      <c r="S9575" s="8">
        <v>13.4</v>
      </c>
      <c r="T9575" s="8">
        <v>0.6</v>
      </c>
      <c r="U9575" s="8">
        <v>13.4</v>
      </c>
      <c r="V9575" s="8">
        <v>1.6</v>
      </c>
      <c r="W9575" s="8">
        <v>1.4</v>
      </c>
      <c r="X9575" s="8">
        <v>28</v>
      </c>
      <c r="Y9575" s="8" t="s">
        <v>21</v>
      </c>
      <c r="Z9575" s="8" t="s">
        <v>41369</v>
      </c>
    </row>
    <row r="9576" spans="1:26" x14ac:dyDescent="0.2">
      <c r="A9576" s="8">
        <v>9575</v>
      </c>
      <c r="B9576" s="8" t="s">
        <v>41370</v>
      </c>
      <c r="C9576" s="8" t="s">
        <v>41370</v>
      </c>
      <c r="G9576" s="8">
        <v>20</v>
      </c>
      <c r="H9576" s="8" t="s">
        <v>21</v>
      </c>
      <c r="I9576" s="8" t="s">
        <v>22</v>
      </c>
      <c r="J9576" s="8" t="s">
        <v>22</v>
      </c>
      <c r="K9576" s="8" t="s">
        <v>37</v>
      </c>
      <c r="L9576" s="8" t="s">
        <v>2809</v>
      </c>
      <c r="M9576" s="8" t="s">
        <v>2810</v>
      </c>
      <c r="N9576" s="8" t="s">
        <v>41371</v>
      </c>
      <c r="O9576" s="8">
        <f>1+50/60+51.8/3600</f>
        <v>1.8477222222222223</v>
      </c>
      <c r="P9576" s="8" t="s">
        <v>41372</v>
      </c>
      <c r="Q9576" s="8">
        <f>+(33+5/60+31/3600)</f>
        <v>33.091944444444444</v>
      </c>
      <c r="R9576" s="8">
        <v>15.2</v>
      </c>
      <c r="S9576" s="8">
        <v>16</v>
      </c>
      <c r="T9576" s="8">
        <v>0.8</v>
      </c>
      <c r="U9576" s="8">
        <v>13</v>
      </c>
      <c r="V9576" s="8">
        <v>0.5</v>
      </c>
      <c r="W9576" s="8">
        <v>0.3</v>
      </c>
      <c r="X9576" s="8">
        <v>149</v>
      </c>
      <c r="Y9576" s="8" t="s">
        <v>421</v>
      </c>
      <c r="Z9576" s="8" t="s">
        <v>422</v>
      </c>
    </row>
    <row r="9577" spans="1:26" x14ac:dyDescent="0.2">
      <c r="A9577" s="8">
        <v>9576</v>
      </c>
      <c r="B9577" s="8" t="s">
        <v>41373</v>
      </c>
      <c r="C9577" s="8" t="s">
        <v>41373</v>
      </c>
      <c r="G9577" s="8">
        <v>20</v>
      </c>
      <c r="H9577" s="8" t="s">
        <v>21</v>
      </c>
      <c r="I9577" s="8" t="s">
        <v>22</v>
      </c>
      <c r="J9577" s="8" t="s">
        <v>22</v>
      </c>
      <c r="K9577" s="8" t="s">
        <v>396</v>
      </c>
      <c r="L9577" s="8" t="s">
        <v>3256</v>
      </c>
      <c r="M9577" s="8" t="s">
        <v>3257</v>
      </c>
      <c r="N9577" s="8" t="s">
        <v>41374</v>
      </c>
      <c r="O9577" s="8">
        <f>1+50/60+53.2/3600</f>
        <v>1.8481111111111113</v>
      </c>
      <c r="P9577" s="8" t="s">
        <v>41375</v>
      </c>
      <c r="Q9577" s="8">
        <f>+(18+18/60+9/3600)</f>
        <v>18.302500000000002</v>
      </c>
      <c r="R9577" s="8">
        <v>14.1</v>
      </c>
      <c r="S9577" s="8">
        <v>14.9</v>
      </c>
      <c r="T9577" s="8">
        <v>0.8</v>
      </c>
      <c r="U9577" s="8">
        <v>13.1</v>
      </c>
      <c r="V9577" s="8">
        <v>1.1000000000000001</v>
      </c>
      <c r="W9577" s="8">
        <v>0.4</v>
      </c>
      <c r="X9577" s="8">
        <v>120</v>
      </c>
      <c r="Y9577" s="8" t="s">
        <v>41376</v>
      </c>
      <c r="Z9577" s="8" t="s">
        <v>41377</v>
      </c>
    </row>
    <row r="9578" spans="1:26" x14ac:dyDescent="0.2">
      <c r="A9578" s="8">
        <v>9577</v>
      </c>
      <c r="B9578" s="8" t="s">
        <v>41378</v>
      </c>
      <c r="C9578" s="8" t="s">
        <v>41378</v>
      </c>
      <c r="G9578" s="8">
        <v>20</v>
      </c>
      <c r="H9578" s="8" t="s">
        <v>21</v>
      </c>
      <c r="I9578" s="8" t="s">
        <v>72</v>
      </c>
      <c r="J9578" s="8" t="s">
        <v>72</v>
      </c>
      <c r="K9578" s="8" t="s">
        <v>73</v>
      </c>
      <c r="L9578" s="8" t="s">
        <v>51</v>
      </c>
      <c r="M9578" s="8" t="s">
        <v>52</v>
      </c>
      <c r="N9578" s="8" t="s">
        <v>41379</v>
      </c>
      <c r="O9578" s="8">
        <f>1+51/60+42.4/3600</f>
        <v>1.861777777777778</v>
      </c>
      <c r="P9578" s="8" t="s">
        <v>41380</v>
      </c>
      <c r="Q9578" s="8">
        <f>+(36+15/60+0/3600)</f>
        <v>36.25</v>
      </c>
      <c r="R9578" s="8">
        <v>99</v>
      </c>
      <c r="S9578" s="8">
        <v>99</v>
      </c>
      <c r="T9578" s="8">
        <v>99</v>
      </c>
      <c r="U9578" s="8">
        <v>99</v>
      </c>
      <c r="Y9578" s="8" t="s">
        <v>21</v>
      </c>
      <c r="Z9578" s="8" t="s">
        <v>41381</v>
      </c>
    </row>
    <row r="9579" spans="1:26" x14ac:dyDescent="0.2">
      <c r="A9579" s="8">
        <v>9578</v>
      </c>
      <c r="B9579" s="8" t="s">
        <v>41382</v>
      </c>
      <c r="C9579" s="8" t="s">
        <v>41382</v>
      </c>
      <c r="G9579" s="8">
        <v>20</v>
      </c>
      <c r="H9579" s="8" t="s">
        <v>21</v>
      </c>
      <c r="I9579" s="8" t="s">
        <v>22</v>
      </c>
      <c r="J9579" s="8" t="s">
        <v>22</v>
      </c>
      <c r="K9579" s="8" t="s">
        <v>218</v>
      </c>
      <c r="L9579" s="8" t="s">
        <v>125</v>
      </c>
      <c r="M9579" s="8" t="s">
        <v>126</v>
      </c>
      <c r="N9579" s="8" t="s">
        <v>41383</v>
      </c>
      <c r="O9579" s="8">
        <f>1+51/60+7.7/3600</f>
        <v>1.852138888888889</v>
      </c>
      <c r="P9579" s="8" t="s">
        <v>41384</v>
      </c>
      <c r="Q9579" s="8">
        <f>-(9+47/60+35/3600)</f>
        <v>-9.7930555555555561</v>
      </c>
      <c r="R9579" s="8">
        <v>13.9</v>
      </c>
      <c r="S9579" s="8">
        <v>14.7</v>
      </c>
      <c r="T9579" s="8">
        <v>0.8</v>
      </c>
      <c r="U9579" s="8">
        <v>13.2</v>
      </c>
      <c r="V9579" s="8">
        <v>0.9</v>
      </c>
      <c r="W9579" s="8">
        <v>0.7</v>
      </c>
      <c r="X9579" s="8">
        <v>80</v>
      </c>
      <c r="Y9579" s="8" t="s">
        <v>21</v>
      </c>
      <c r="Z9579" s="8" t="s">
        <v>41385</v>
      </c>
    </row>
    <row r="9580" spans="1:26" x14ac:dyDescent="0.2">
      <c r="A9580" s="8">
        <v>9579</v>
      </c>
      <c r="B9580" s="8" t="s">
        <v>41386</v>
      </c>
      <c r="C9580" s="8" t="s">
        <v>41386</v>
      </c>
      <c r="G9580" s="8">
        <v>20</v>
      </c>
      <c r="H9580" s="8" t="s">
        <v>21</v>
      </c>
      <c r="I9580" s="8" t="s">
        <v>22</v>
      </c>
      <c r="J9580" s="8" t="s">
        <v>22</v>
      </c>
      <c r="K9580" s="8" t="s">
        <v>23</v>
      </c>
      <c r="L9580" s="8" t="s">
        <v>3335</v>
      </c>
      <c r="M9580" s="8" t="s">
        <v>3336</v>
      </c>
      <c r="N9580" s="8" t="s">
        <v>41387</v>
      </c>
      <c r="O9580" s="8">
        <f>1+50/60+29.3/3600</f>
        <v>1.8414722222222224</v>
      </c>
      <c r="P9580" s="8" t="s">
        <v>41388</v>
      </c>
      <c r="Q9580" s="8">
        <f>-(34+3/60+20/3600)</f>
        <v>-34.05555555555555</v>
      </c>
      <c r="R9580" s="8">
        <v>14.1</v>
      </c>
      <c r="S9580" s="8">
        <v>14.9</v>
      </c>
      <c r="T9580" s="8">
        <v>0.8</v>
      </c>
      <c r="U9580" s="8">
        <v>13</v>
      </c>
      <c r="V9580" s="8">
        <v>0.8</v>
      </c>
      <c r="W9580" s="8">
        <v>0.5</v>
      </c>
      <c r="X9580" s="8">
        <v>94</v>
      </c>
      <c r="Y9580" s="8" t="s">
        <v>41389</v>
      </c>
      <c r="Z9580" s="8" t="s">
        <v>41390</v>
      </c>
    </row>
    <row r="9581" spans="1:26" x14ac:dyDescent="0.2">
      <c r="A9581" s="8">
        <v>9580</v>
      </c>
      <c r="B9581" s="8" t="s">
        <v>41391</v>
      </c>
      <c r="C9581" s="8" t="s">
        <v>41391</v>
      </c>
      <c r="G9581" s="8">
        <v>20</v>
      </c>
      <c r="H9581" s="8" t="s">
        <v>21</v>
      </c>
      <c r="I9581" s="8" t="s">
        <v>72</v>
      </c>
      <c r="J9581" s="8" t="s">
        <v>72</v>
      </c>
      <c r="K9581" s="8" t="s">
        <v>73</v>
      </c>
      <c r="L9581" s="8" t="s">
        <v>3335</v>
      </c>
      <c r="M9581" s="8" t="s">
        <v>3336</v>
      </c>
      <c r="N9581" s="8" t="s">
        <v>41392</v>
      </c>
      <c r="O9581" s="8">
        <f>1+48/60+51.6/3600</f>
        <v>1.8143333333333334</v>
      </c>
      <c r="P9581" s="8" t="s">
        <v>41393</v>
      </c>
      <c r="Q9581" s="8">
        <f>-(30+5/60+11/3600)</f>
        <v>-30.086388888888887</v>
      </c>
      <c r="R9581" s="8">
        <v>99</v>
      </c>
      <c r="S9581" s="8">
        <v>99</v>
      </c>
      <c r="T9581" s="8">
        <v>99</v>
      </c>
      <c r="U9581" s="8">
        <v>99</v>
      </c>
      <c r="Y9581" s="8" t="s">
        <v>21</v>
      </c>
      <c r="Z9581" s="8" t="s">
        <v>41394</v>
      </c>
    </row>
    <row r="9582" spans="1:26" x14ac:dyDescent="0.2">
      <c r="A9582" s="8">
        <v>9581</v>
      </c>
      <c r="B9582" s="8" t="s">
        <v>41395</v>
      </c>
      <c r="C9582" s="8" t="s">
        <v>41395</v>
      </c>
      <c r="G9582" s="8">
        <v>20</v>
      </c>
      <c r="H9582" s="8" t="s">
        <v>21</v>
      </c>
      <c r="I9582" s="8" t="s">
        <v>22</v>
      </c>
      <c r="J9582" s="8" t="s">
        <v>22</v>
      </c>
      <c r="K9582" s="8" t="s">
        <v>632</v>
      </c>
      <c r="L9582" s="8" t="s">
        <v>125</v>
      </c>
      <c r="M9582" s="8" t="s">
        <v>126</v>
      </c>
      <c r="N9582" s="8" t="s">
        <v>41396</v>
      </c>
      <c r="O9582" s="8">
        <f>1+51/60+56.7/3600</f>
        <v>1.86575</v>
      </c>
      <c r="P9582" s="8" t="s">
        <v>41397</v>
      </c>
      <c r="Q9582" s="8">
        <f>-(16+47/60+15/3600)</f>
        <v>-16.787500000000001</v>
      </c>
      <c r="R9582" s="8">
        <v>14.2</v>
      </c>
      <c r="S9582" s="8">
        <v>15.1</v>
      </c>
      <c r="T9582" s="8">
        <v>0.9</v>
      </c>
      <c r="U9582" s="8">
        <v>12.8</v>
      </c>
      <c r="V9582" s="8">
        <v>0.8</v>
      </c>
      <c r="W9582" s="8">
        <v>0.4</v>
      </c>
      <c r="X9582" s="8">
        <v>171</v>
      </c>
      <c r="Y9582" s="8" t="s">
        <v>21</v>
      </c>
      <c r="Z9582" s="8" t="s">
        <v>41398</v>
      </c>
    </row>
    <row r="9583" spans="1:26" x14ac:dyDescent="0.2">
      <c r="A9583" s="8">
        <v>9582</v>
      </c>
      <c r="B9583" s="8" t="s">
        <v>41399</v>
      </c>
      <c r="C9583" s="8" t="s">
        <v>41399</v>
      </c>
      <c r="G9583" s="8">
        <v>20</v>
      </c>
      <c r="H9583" s="8" t="s">
        <v>21</v>
      </c>
      <c r="I9583" s="8" t="s">
        <v>22</v>
      </c>
      <c r="J9583" s="8" t="s">
        <v>22</v>
      </c>
      <c r="K9583" s="8" t="s">
        <v>160</v>
      </c>
      <c r="L9583" s="8" t="s">
        <v>3256</v>
      </c>
      <c r="M9583" s="8" t="s">
        <v>3257</v>
      </c>
      <c r="N9583" s="8" t="s">
        <v>41400</v>
      </c>
      <c r="O9583" s="8">
        <f>1+53/60+14.3/3600</f>
        <v>1.8873055555555556</v>
      </c>
      <c r="P9583" s="8" t="s">
        <v>41401</v>
      </c>
      <c r="Q9583" s="8">
        <f>+(22+43/60+16/3600)</f>
        <v>22.72111111111111</v>
      </c>
      <c r="R9583" s="8">
        <v>14.2</v>
      </c>
      <c r="S9583" s="8">
        <v>14.9</v>
      </c>
      <c r="T9583" s="8">
        <v>0.7</v>
      </c>
      <c r="U9583" s="8">
        <v>12.7</v>
      </c>
      <c r="V9583" s="8">
        <v>0.8</v>
      </c>
      <c r="W9583" s="8">
        <v>0.5</v>
      </c>
      <c r="X9583" s="8">
        <v>36</v>
      </c>
      <c r="Y9583" s="8" t="s">
        <v>41402</v>
      </c>
      <c r="Z9583" s="8" t="s">
        <v>41403</v>
      </c>
    </row>
    <row r="9584" spans="1:26" x14ac:dyDescent="0.2">
      <c r="A9584" s="8">
        <v>9583</v>
      </c>
      <c r="B9584" s="8" t="s">
        <v>41404</v>
      </c>
      <c r="C9584" s="8" t="s">
        <v>41404</v>
      </c>
      <c r="G9584" s="8">
        <v>20</v>
      </c>
      <c r="H9584" s="8" t="s">
        <v>21</v>
      </c>
      <c r="I9584" s="8" t="s">
        <v>22</v>
      </c>
      <c r="J9584" s="8" t="s">
        <v>57</v>
      </c>
      <c r="K9584" s="8" t="s">
        <v>154</v>
      </c>
      <c r="L9584" s="8" t="s">
        <v>3256</v>
      </c>
      <c r="M9584" s="8" t="s">
        <v>3257</v>
      </c>
      <c r="N9584" s="8" t="s">
        <v>3478</v>
      </c>
      <c r="O9584" s="8">
        <f>1+52/60+59.5/3600</f>
        <v>1.8831944444444444</v>
      </c>
      <c r="P9584" s="8" t="s">
        <v>3479</v>
      </c>
      <c r="Q9584" s="8">
        <f>+(12+42/60+30/3600)</f>
        <v>12.708333333333332</v>
      </c>
      <c r="R9584" s="8">
        <v>12.9</v>
      </c>
      <c r="S9584" s="8">
        <v>13.8</v>
      </c>
      <c r="T9584" s="8">
        <v>0.9</v>
      </c>
      <c r="U9584" s="8">
        <v>13</v>
      </c>
      <c r="V9584" s="8">
        <v>1.8</v>
      </c>
      <c r="W9584" s="8">
        <v>0.8</v>
      </c>
      <c r="X9584" s="8">
        <v>57</v>
      </c>
      <c r="Y9584" s="8" t="s">
        <v>21</v>
      </c>
      <c r="Z9584" s="8" t="s">
        <v>41405</v>
      </c>
    </row>
    <row r="9585" spans="1:26" x14ac:dyDescent="0.2">
      <c r="A9585" s="8">
        <v>9584</v>
      </c>
      <c r="B9585" s="8" t="s">
        <v>41406</v>
      </c>
      <c r="C9585" s="8" t="s">
        <v>41406</v>
      </c>
      <c r="G9585" s="8">
        <v>20</v>
      </c>
      <c r="H9585" s="8" t="s">
        <v>21</v>
      </c>
      <c r="I9585" s="8" t="s">
        <v>22</v>
      </c>
      <c r="J9585" s="8" t="s">
        <v>57</v>
      </c>
      <c r="K9585" s="8" t="s">
        <v>37</v>
      </c>
      <c r="L9585" s="8" t="s">
        <v>3256</v>
      </c>
      <c r="M9585" s="8" t="s">
        <v>3257</v>
      </c>
      <c r="N9585" s="8" t="s">
        <v>3493</v>
      </c>
      <c r="O9585" s="8">
        <f>1+53/60+38.8/3600</f>
        <v>1.8941111111111111</v>
      </c>
      <c r="P9585" s="8" t="s">
        <v>3494</v>
      </c>
      <c r="Q9585" s="8">
        <f>+(19+50/60+27/3600)</f>
        <v>19.840833333333332</v>
      </c>
      <c r="R9585" s="8">
        <v>13.2</v>
      </c>
      <c r="S9585" s="8">
        <v>14.2</v>
      </c>
      <c r="T9585" s="8">
        <v>1</v>
      </c>
      <c r="U9585" s="8">
        <v>13.6</v>
      </c>
      <c r="V9585" s="8">
        <v>1.4</v>
      </c>
      <c r="W9585" s="8">
        <v>1.1000000000000001</v>
      </c>
      <c r="X9585" s="8">
        <v>150</v>
      </c>
      <c r="Y9585" s="8" t="s">
        <v>1837</v>
      </c>
      <c r="Z9585" s="8" t="s">
        <v>1838</v>
      </c>
    </row>
    <row r="9586" spans="1:26" x14ac:dyDescent="0.2">
      <c r="A9586" s="8">
        <v>9585</v>
      </c>
      <c r="B9586" s="8" t="s">
        <v>41407</v>
      </c>
      <c r="C9586" s="8" t="s">
        <v>41407</v>
      </c>
      <c r="G9586" s="8">
        <v>20</v>
      </c>
      <c r="H9586" s="8" t="s">
        <v>21</v>
      </c>
      <c r="I9586" s="8" t="s">
        <v>22</v>
      </c>
      <c r="J9586" s="8" t="s">
        <v>22</v>
      </c>
      <c r="K9586" s="8" t="s">
        <v>449</v>
      </c>
      <c r="L9586" s="8" t="s">
        <v>125</v>
      </c>
      <c r="M9586" s="8" t="s">
        <v>126</v>
      </c>
      <c r="N9586" s="8" t="s">
        <v>41408</v>
      </c>
      <c r="O9586" s="8">
        <f>1+52/60+59/3600</f>
        <v>1.8830555555555555</v>
      </c>
      <c r="P9586" s="8" t="s">
        <v>41409</v>
      </c>
      <c r="Q9586" s="8">
        <f>-(16+40/60+9/3600)</f>
        <v>-16.669166666666669</v>
      </c>
      <c r="R9586" s="8">
        <v>15.4</v>
      </c>
      <c r="S9586" s="8">
        <v>16.2</v>
      </c>
      <c r="T9586" s="8">
        <v>0.8</v>
      </c>
      <c r="U9586" s="8">
        <v>13.2</v>
      </c>
      <c r="V9586" s="8">
        <v>0.5</v>
      </c>
      <c r="W9586" s="8">
        <v>0.3</v>
      </c>
      <c r="X9586" s="8">
        <v>130</v>
      </c>
      <c r="Y9586" s="8" t="s">
        <v>962</v>
      </c>
      <c r="Z9586" s="8" t="s">
        <v>963</v>
      </c>
    </row>
    <row r="9587" spans="1:26" x14ac:dyDescent="0.2">
      <c r="A9587" s="8">
        <v>9586</v>
      </c>
      <c r="B9587" s="8" t="s">
        <v>41410</v>
      </c>
      <c r="C9587" s="8" t="s">
        <v>41410</v>
      </c>
      <c r="G9587" s="8">
        <v>20</v>
      </c>
      <c r="H9587" s="8" t="s">
        <v>21</v>
      </c>
      <c r="I9587" s="8" t="s">
        <v>22</v>
      </c>
      <c r="J9587" s="8" t="s">
        <v>22</v>
      </c>
      <c r="K9587" s="8" t="s">
        <v>37</v>
      </c>
      <c r="L9587" s="8" t="s">
        <v>38</v>
      </c>
      <c r="M9587" s="8" t="s">
        <v>39</v>
      </c>
      <c r="N9587" s="8" t="s">
        <v>41411</v>
      </c>
      <c r="O9587" s="8">
        <f>1+54/60+24.2/3600</f>
        <v>1.9067222222222222</v>
      </c>
      <c r="P9587" s="8" t="s">
        <v>41412</v>
      </c>
      <c r="Q9587" s="8">
        <f>+(4+48/60+13/3600)</f>
        <v>4.8036111111111106</v>
      </c>
      <c r="R9587" s="8">
        <v>13.8</v>
      </c>
      <c r="S9587" s="8">
        <v>14.8</v>
      </c>
      <c r="T9587" s="8">
        <v>1</v>
      </c>
      <c r="U9587" s="8">
        <v>13</v>
      </c>
      <c r="V9587" s="8">
        <v>1.4</v>
      </c>
      <c r="W9587" s="8">
        <v>0.5</v>
      </c>
      <c r="X9587" s="8">
        <v>93</v>
      </c>
      <c r="Y9587" s="8" t="s">
        <v>41413</v>
      </c>
      <c r="Z9587" s="8" t="s">
        <v>41414</v>
      </c>
    </row>
    <row r="9588" spans="1:26" x14ac:dyDescent="0.2">
      <c r="A9588" s="8">
        <v>9587</v>
      </c>
      <c r="B9588" s="8" t="s">
        <v>41415</v>
      </c>
      <c r="C9588" s="8" t="s">
        <v>41415</v>
      </c>
      <c r="G9588" s="8">
        <v>13</v>
      </c>
      <c r="H9588" s="8" t="s">
        <v>21</v>
      </c>
      <c r="I9588" s="8" t="s">
        <v>241</v>
      </c>
      <c r="J9588" s="8" t="s">
        <v>241</v>
      </c>
      <c r="K9588" s="8" t="s">
        <v>241</v>
      </c>
      <c r="L9588" s="8" t="s">
        <v>559</v>
      </c>
      <c r="M9588" s="8" t="s">
        <v>560</v>
      </c>
      <c r="N9588" s="8" t="s">
        <v>41416</v>
      </c>
      <c r="O9588" s="8">
        <f>1+57/60+35.8/3600</f>
        <v>1.9599444444444445</v>
      </c>
      <c r="P9588" s="8" t="s">
        <v>41417</v>
      </c>
      <c r="Q9588" s="8">
        <f>+(63+19/60+22/3600)</f>
        <v>63.32277777777778</v>
      </c>
      <c r="R9588" s="8">
        <v>12</v>
      </c>
      <c r="S9588" s="8">
        <v>13.6</v>
      </c>
      <c r="T9588" s="8">
        <v>99</v>
      </c>
      <c r="U9588" s="8">
        <v>99</v>
      </c>
      <c r="V9588" s="8">
        <v>0.32</v>
      </c>
      <c r="Y9588" s="8" t="s">
        <v>27388</v>
      </c>
      <c r="Z9588" s="8" t="s">
        <v>41022</v>
      </c>
    </row>
    <row r="9589" spans="1:26" x14ac:dyDescent="0.2">
      <c r="A9589" s="8">
        <v>9588</v>
      </c>
      <c r="B9589" s="8" t="s">
        <v>41418</v>
      </c>
      <c r="C9589" s="8" t="s">
        <v>41418</v>
      </c>
      <c r="G9589" s="8">
        <v>20</v>
      </c>
      <c r="H9589" s="8" t="s">
        <v>21</v>
      </c>
      <c r="I9589" s="8" t="s">
        <v>22</v>
      </c>
      <c r="J9589" s="8" t="s">
        <v>22</v>
      </c>
      <c r="K9589" s="8" t="s">
        <v>85</v>
      </c>
      <c r="L9589" s="8" t="s">
        <v>3256</v>
      </c>
      <c r="M9589" s="8" t="s">
        <v>3257</v>
      </c>
      <c r="N9589" s="8" t="s">
        <v>41419</v>
      </c>
      <c r="O9589" s="8">
        <f>1+56/60+8.8/3600</f>
        <v>1.9357777777777778</v>
      </c>
      <c r="P9589" s="8" t="s">
        <v>41420</v>
      </c>
      <c r="Q9589" s="8">
        <f>+(17+38/60+28/3600)</f>
        <v>17.641111111111112</v>
      </c>
      <c r="R9589" s="8">
        <v>13.7</v>
      </c>
      <c r="S9589" s="8">
        <v>14.5</v>
      </c>
      <c r="T9589" s="8">
        <v>0.8</v>
      </c>
      <c r="U9589" s="8">
        <v>13</v>
      </c>
      <c r="V9589" s="8">
        <v>1</v>
      </c>
      <c r="W9589" s="8">
        <v>0.7</v>
      </c>
      <c r="X9589" s="8">
        <v>130</v>
      </c>
      <c r="Y9589" s="8" t="s">
        <v>297</v>
      </c>
      <c r="Z9589" s="8" t="s">
        <v>298</v>
      </c>
    </row>
    <row r="9590" spans="1:26" x14ac:dyDescent="0.2">
      <c r="A9590" s="8">
        <v>9589</v>
      </c>
      <c r="B9590" s="8" t="s">
        <v>41421</v>
      </c>
      <c r="C9590" s="8" t="s">
        <v>41421</v>
      </c>
      <c r="G9590" s="8">
        <v>20</v>
      </c>
      <c r="H9590" s="8" t="s">
        <v>21</v>
      </c>
      <c r="I9590" s="8" t="s">
        <v>22</v>
      </c>
      <c r="J9590" s="8" t="s">
        <v>22</v>
      </c>
      <c r="K9590" s="8" t="s">
        <v>37</v>
      </c>
      <c r="L9590" s="8" t="s">
        <v>38</v>
      </c>
      <c r="M9590" s="8" t="s">
        <v>39</v>
      </c>
      <c r="N9590" s="8" t="s">
        <v>41422</v>
      </c>
      <c r="O9590" s="8">
        <f>1+56/60+11/3600</f>
        <v>1.9363888888888889</v>
      </c>
      <c r="P9590" s="8" t="s">
        <v>41423</v>
      </c>
      <c r="Q9590" s="8">
        <f>+(6+44/60+44/3600)</f>
        <v>6.7455555555555557</v>
      </c>
      <c r="R9590" s="8">
        <v>13.6</v>
      </c>
      <c r="S9590" s="8">
        <v>14.6</v>
      </c>
      <c r="T9590" s="8">
        <v>1</v>
      </c>
      <c r="U9590" s="8">
        <v>13</v>
      </c>
      <c r="V9590" s="8">
        <v>0.9</v>
      </c>
      <c r="W9590" s="8">
        <v>0.7</v>
      </c>
      <c r="X9590" s="8">
        <v>149</v>
      </c>
      <c r="Y9590" s="8" t="s">
        <v>41424</v>
      </c>
      <c r="Z9590" s="8" t="s">
        <v>41425</v>
      </c>
    </row>
    <row r="9591" spans="1:26" x14ac:dyDescent="0.2">
      <c r="A9591" s="8">
        <v>9590</v>
      </c>
      <c r="B9591" s="8" t="s">
        <v>41426</v>
      </c>
      <c r="C9591" s="8" t="s">
        <v>41426</v>
      </c>
      <c r="G9591" s="8">
        <v>20</v>
      </c>
      <c r="H9591" s="8" t="s">
        <v>21</v>
      </c>
      <c r="I9591" s="8" t="s">
        <v>22</v>
      </c>
      <c r="J9591" s="8" t="s">
        <v>22</v>
      </c>
      <c r="K9591" s="8" t="s">
        <v>632</v>
      </c>
      <c r="L9591" s="8" t="s">
        <v>38</v>
      </c>
      <c r="M9591" s="8" t="s">
        <v>39</v>
      </c>
      <c r="N9591" s="8" t="s">
        <v>41427</v>
      </c>
      <c r="O9591" s="8">
        <f>1+56/60+18.7/3600</f>
        <v>1.9385277777777778</v>
      </c>
      <c r="P9591" s="8" t="s">
        <v>41428</v>
      </c>
      <c r="Q9591" s="8">
        <f>+(4+4/60+35/3600)</f>
        <v>4.0763888888888884</v>
      </c>
      <c r="R9591" s="8">
        <v>14.6</v>
      </c>
      <c r="S9591" s="8">
        <v>15.5</v>
      </c>
      <c r="T9591" s="8">
        <v>0.9</v>
      </c>
      <c r="U9591" s="8">
        <v>12.6</v>
      </c>
      <c r="V9591" s="8">
        <v>0.9</v>
      </c>
      <c r="W9591" s="8">
        <v>0.2</v>
      </c>
      <c r="X9591" s="8">
        <v>64</v>
      </c>
      <c r="Y9591" s="8" t="s">
        <v>41429</v>
      </c>
      <c r="Z9591" s="8" t="s">
        <v>41430</v>
      </c>
    </row>
    <row r="9592" spans="1:26" x14ac:dyDescent="0.2">
      <c r="A9592" s="8">
        <v>9591</v>
      </c>
      <c r="B9592" s="8" t="s">
        <v>41431</v>
      </c>
      <c r="C9592" s="8" t="s">
        <v>41431</v>
      </c>
      <c r="G9592" s="8">
        <v>20</v>
      </c>
      <c r="H9592" s="8" t="s">
        <v>21</v>
      </c>
      <c r="I9592" s="8" t="s">
        <v>22</v>
      </c>
      <c r="J9592" s="8" t="s">
        <v>57</v>
      </c>
      <c r="K9592" s="8" t="s">
        <v>460</v>
      </c>
      <c r="L9592" s="8" t="s">
        <v>38</v>
      </c>
      <c r="M9592" s="8" t="s">
        <v>39</v>
      </c>
      <c r="N9592" s="8" t="s">
        <v>3592</v>
      </c>
      <c r="O9592" s="8">
        <f>1+56/60+20.9/3600</f>
        <v>1.939138888888889</v>
      </c>
      <c r="P9592" s="8" t="s">
        <v>3593</v>
      </c>
      <c r="Q9592" s="8">
        <f>+(5+37/60+43/3600)</f>
        <v>5.6286111111111117</v>
      </c>
      <c r="R9592" s="8">
        <v>11.1</v>
      </c>
      <c r="S9592" s="8">
        <v>12.2</v>
      </c>
      <c r="T9592" s="8">
        <v>1.1000000000000001</v>
      </c>
      <c r="U9592" s="8">
        <v>13.4</v>
      </c>
      <c r="V9592" s="8">
        <v>3</v>
      </c>
      <c r="W9592" s="8">
        <v>2.9</v>
      </c>
      <c r="X9592" s="8">
        <v>90</v>
      </c>
      <c r="Y9592" s="8" t="s">
        <v>41432</v>
      </c>
      <c r="Z9592" s="8" t="s">
        <v>41433</v>
      </c>
    </row>
    <row r="9593" spans="1:26" x14ac:dyDescent="0.2">
      <c r="A9593" s="8">
        <v>9592</v>
      </c>
      <c r="B9593" s="8" t="s">
        <v>41434</v>
      </c>
      <c r="C9593" s="8" t="s">
        <v>41434</v>
      </c>
      <c r="G9593" s="8">
        <v>20</v>
      </c>
      <c r="H9593" s="8" t="s">
        <v>21</v>
      </c>
      <c r="I9593" s="8" t="s">
        <v>22</v>
      </c>
      <c r="J9593" s="8" t="s">
        <v>22</v>
      </c>
      <c r="K9593" s="8" t="s">
        <v>424</v>
      </c>
      <c r="L9593" s="8" t="s">
        <v>2809</v>
      </c>
      <c r="M9593" s="8" t="s">
        <v>2810</v>
      </c>
      <c r="N9593" s="8" t="s">
        <v>41435</v>
      </c>
      <c r="O9593" s="8">
        <f>1+57/60+15.4/3600</f>
        <v>1.9542777777777778</v>
      </c>
      <c r="P9593" s="8" t="s">
        <v>41436</v>
      </c>
      <c r="Q9593" s="8">
        <f>+(28+36/60+51/3600)</f>
        <v>28.614166666666669</v>
      </c>
      <c r="R9593" s="8">
        <v>15.3</v>
      </c>
      <c r="S9593" s="8">
        <v>16.3</v>
      </c>
      <c r="T9593" s="8">
        <v>1</v>
      </c>
      <c r="U9593" s="8">
        <v>12.1</v>
      </c>
      <c r="V9593" s="8">
        <v>0.3</v>
      </c>
      <c r="W9593" s="8">
        <v>0.2</v>
      </c>
      <c r="X9593" s="8">
        <v>110</v>
      </c>
      <c r="Y9593" s="8" t="s">
        <v>21</v>
      </c>
      <c r="Z9593" s="8" t="s">
        <v>41437</v>
      </c>
    </row>
    <row r="9594" spans="1:26" x14ac:dyDescent="0.2">
      <c r="A9594" s="8">
        <v>9593</v>
      </c>
      <c r="B9594" s="8" t="s">
        <v>41438</v>
      </c>
      <c r="C9594" s="8" t="s">
        <v>41438</v>
      </c>
      <c r="G9594" s="8">
        <v>20</v>
      </c>
      <c r="H9594" s="8" t="s">
        <v>21</v>
      </c>
      <c r="I9594" s="8" t="s">
        <v>22</v>
      </c>
      <c r="J9594" s="8" t="s">
        <v>22</v>
      </c>
      <c r="K9594" s="8" t="s">
        <v>818</v>
      </c>
      <c r="L9594" s="8" t="s">
        <v>2809</v>
      </c>
      <c r="M9594" s="8" t="s">
        <v>2810</v>
      </c>
      <c r="N9594" s="8" t="s">
        <v>41439</v>
      </c>
      <c r="O9594" s="8">
        <f>1+57/60+19.3/3600</f>
        <v>1.9553611111111111</v>
      </c>
      <c r="P9594" s="8" t="s">
        <v>41440</v>
      </c>
      <c r="Q9594" s="8">
        <f>+(28+35/60+22/3600)</f>
        <v>28.589444444444442</v>
      </c>
      <c r="R9594" s="8">
        <v>13.9</v>
      </c>
      <c r="S9594" s="8">
        <v>14.9</v>
      </c>
      <c r="T9594" s="8">
        <v>1</v>
      </c>
      <c r="U9594" s="8">
        <v>12</v>
      </c>
      <c r="V9594" s="8">
        <v>0.4</v>
      </c>
      <c r="W9594" s="8">
        <v>0.4</v>
      </c>
      <c r="Y9594" s="8" t="s">
        <v>21</v>
      </c>
      <c r="Z9594" s="8" t="s">
        <v>41441</v>
      </c>
    </row>
    <row r="9595" spans="1:26" x14ac:dyDescent="0.2">
      <c r="A9595" s="8">
        <v>9594</v>
      </c>
      <c r="B9595" s="8" t="s">
        <v>41442</v>
      </c>
      <c r="C9595" s="8" t="s">
        <v>41442</v>
      </c>
      <c r="G9595" s="8">
        <v>20</v>
      </c>
      <c r="H9595" s="8" t="s">
        <v>21</v>
      </c>
      <c r="I9595" s="8" t="s">
        <v>22</v>
      </c>
      <c r="J9595" s="8" t="s">
        <v>22</v>
      </c>
      <c r="K9595" s="8" t="s">
        <v>424</v>
      </c>
      <c r="L9595" s="8" t="s">
        <v>38</v>
      </c>
      <c r="M9595" s="8" t="s">
        <v>39</v>
      </c>
      <c r="N9595" s="8" t="s">
        <v>41443</v>
      </c>
      <c r="O9595" s="8">
        <f>1+56/60+49.8/3600</f>
        <v>1.9471666666666667</v>
      </c>
      <c r="P9595" s="8" t="s">
        <v>41444</v>
      </c>
      <c r="Q9595" s="8">
        <f>+(4+1/60+34/3600)</f>
        <v>4.0261111111111108</v>
      </c>
      <c r="R9595" s="8">
        <v>14.5</v>
      </c>
      <c r="S9595" s="8">
        <v>15.5</v>
      </c>
      <c r="T9595" s="8">
        <v>1</v>
      </c>
      <c r="U9595" s="8">
        <v>13.9</v>
      </c>
      <c r="V9595" s="8">
        <v>0.8</v>
      </c>
      <c r="W9595" s="8">
        <v>0.8</v>
      </c>
      <c r="Y9595" s="8" t="s">
        <v>34977</v>
      </c>
      <c r="Z9595" s="8" t="s">
        <v>34978</v>
      </c>
    </row>
    <row r="9596" spans="1:26" x14ac:dyDescent="0.2">
      <c r="A9596" s="8">
        <v>9595</v>
      </c>
      <c r="B9596" s="8" t="s">
        <v>41445</v>
      </c>
      <c r="C9596" s="8" t="s">
        <v>41445</v>
      </c>
      <c r="G9596" s="8">
        <v>20</v>
      </c>
      <c r="H9596" s="8" t="s">
        <v>21</v>
      </c>
      <c r="I9596" s="8" t="s">
        <v>22</v>
      </c>
      <c r="J9596" s="8" t="s">
        <v>22</v>
      </c>
      <c r="K9596" s="8" t="s">
        <v>91</v>
      </c>
      <c r="L9596" s="8" t="s">
        <v>3256</v>
      </c>
      <c r="M9596" s="8" t="s">
        <v>3257</v>
      </c>
      <c r="N9596" s="8" t="s">
        <v>41446</v>
      </c>
      <c r="O9596" s="8">
        <f>1+57/60+9.8/3600</f>
        <v>1.9527222222222222</v>
      </c>
      <c r="P9596" s="8" t="s">
        <v>41447</v>
      </c>
      <c r="Q9596" s="8">
        <f>+(14+32/60+59/3600)</f>
        <v>14.549722222222222</v>
      </c>
      <c r="R9596" s="8">
        <v>13.8</v>
      </c>
      <c r="S9596" s="8">
        <v>14.7</v>
      </c>
      <c r="T9596" s="8">
        <v>0.9</v>
      </c>
      <c r="U9596" s="8">
        <v>12.7</v>
      </c>
      <c r="V9596" s="8">
        <v>1.4</v>
      </c>
      <c r="W9596" s="8">
        <v>0.3</v>
      </c>
      <c r="X9596" s="8">
        <v>154</v>
      </c>
      <c r="Y9596" s="8" t="s">
        <v>33652</v>
      </c>
      <c r="Z9596" s="8" t="s">
        <v>33653</v>
      </c>
    </row>
    <row r="9597" spans="1:26" x14ac:dyDescent="0.2">
      <c r="A9597" s="8">
        <v>9596</v>
      </c>
      <c r="B9597" s="8" t="s">
        <v>41448</v>
      </c>
      <c r="C9597" s="8" t="s">
        <v>41448</v>
      </c>
      <c r="G9597" s="8">
        <v>20</v>
      </c>
      <c r="H9597" s="8" t="s">
        <v>21</v>
      </c>
      <c r="I9597" s="8" t="s">
        <v>22</v>
      </c>
      <c r="J9597" s="8" t="s">
        <v>22</v>
      </c>
      <c r="K9597" s="8" t="s">
        <v>160</v>
      </c>
      <c r="L9597" s="8" t="s">
        <v>125</v>
      </c>
      <c r="M9597" s="8" t="s">
        <v>126</v>
      </c>
      <c r="N9597" s="8" t="s">
        <v>41449</v>
      </c>
      <c r="O9597" s="8">
        <f>1+57/60+5.2/3600</f>
        <v>1.9514444444444443</v>
      </c>
      <c r="P9597" s="8" t="s">
        <v>41450</v>
      </c>
      <c r="Q9597" s="8">
        <f>-(0+28/60+6/3600)</f>
        <v>-0.46833333333333332</v>
      </c>
      <c r="R9597" s="8">
        <v>14.6</v>
      </c>
      <c r="S9597" s="8">
        <v>15.3</v>
      </c>
      <c r="T9597" s="8">
        <v>0.7</v>
      </c>
      <c r="U9597" s="8">
        <v>13</v>
      </c>
      <c r="V9597" s="8">
        <v>1.4</v>
      </c>
      <c r="W9597" s="8">
        <v>0.2</v>
      </c>
      <c r="X9597" s="8">
        <v>155</v>
      </c>
      <c r="Y9597" s="8" t="s">
        <v>21</v>
      </c>
      <c r="Z9597" s="8" t="s">
        <v>41451</v>
      </c>
    </row>
    <row r="9598" spans="1:26" x14ac:dyDescent="0.2">
      <c r="A9598" s="8">
        <v>9597</v>
      </c>
      <c r="B9598" s="8" t="s">
        <v>41452</v>
      </c>
      <c r="C9598" s="8" t="s">
        <v>41452</v>
      </c>
      <c r="G9598" s="8">
        <v>20</v>
      </c>
      <c r="H9598" s="8" t="s">
        <v>21</v>
      </c>
      <c r="I9598" s="8" t="s">
        <v>22</v>
      </c>
      <c r="J9598" s="8" t="s">
        <v>22</v>
      </c>
      <c r="K9598" s="8" t="s">
        <v>1174</v>
      </c>
      <c r="L9598" s="8" t="s">
        <v>125</v>
      </c>
      <c r="M9598" s="8" t="s">
        <v>126</v>
      </c>
      <c r="N9598" s="8" t="s">
        <v>41453</v>
      </c>
      <c r="O9598" s="8">
        <f>1+57/60+11.5/3600</f>
        <v>1.9531944444444445</v>
      </c>
      <c r="P9598" s="8" t="s">
        <v>41454</v>
      </c>
      <c r="Q9598" s="8">
        <f>-(0+28/60+25/3600)</f>
        <v>-0.47361111111111109</v>
      </c>
      <c r="R9598" s="8">
        <v>15.7</v>
      </c>
      <c r="S9598" s="8">
        <v>16.5</v>
      </c>
      <c r="T9598" s="8">
        <v>0.8</v>
      </c>
      <c r="U9598" s="8">
        <v>13.2</v>
      </c>
      <c r="V9598" s="8">
        <v>0.6</v>
      </c>
      <c r="W9598" s="8">
        <v>0.2</v>
      </c>
      <c r="X9598" s="8">
        <v>60</v>
      </c>
      <c r="Y9598" s="8" t="s">
        <v>385</v>
      </c>
      <c r="Z9598" s="8" t="s">
        <v>386</v>
      </c>
    </row>
    <row r="9599" spans="1:26" x14ac:dyDescent="0.2">
      <c r="A9599" s="8">
        <v>9598</v>
      </c>
      <c r="B9599" s="8" t="s">
        <v>41455</v>
      </c>
      <c r="C9599" s="8" t="s">
        <v>41455</v>
      </c>
      <c r="G9599" s="8">
        <v>20</v>
      </c>
      <c r="H9599" s="8" t="s">
        <v>21</v>
      </c>
      <c r="I9599" s="8" t="s">
        <v>22</v>
      </c>
      <c r="J9599" s="8" t="s">
        <v>22</v>
      </c>
      <c r="K9599" s="8" t="s">
        <v>37</v>
      </c>
      <c r="L9599" s="8" t="s">
        <v>125</v>
      </c>
      <c r="M9599" s="8" t="s">
        <v>126</v>
      </c>
      <c r="N9599" s="8" t="s">
        <v>41456</v>
      </c>
      <c r="O9599" s="8">
        <f>1+56/60+52.5/3600</f>
        <v>1.9479166666666667</v>
      </c>
      <c r="P9599" s="8" t="s">
        <v>41457</v>
      </c>
      <c r="Q9599" s="8">
        <f>-(16+32/60+30/3600)</f>
        <v>-16.541666666666668</v>
      </c>
      <c r="R9599" s="8">
        <v>15</v>
      </c>
      <c r="S9599" s="8">
        <v>16</v>
      </c>
      <c r="T9599" s="8">
        <v>1</v>
      </c>
      <c r="U9599" s="8">
        <v>12.6</v>
      </c>
      <c r="V9599" s="8">
        <v>0.6</v>
      </c>
      <c r="W9599" s="8">
        <v>0.2</v>
      </c>
      <c r="X9599" s="8">
        <v>45</v>
      </c>
      <c r="Y9599" s="8" t="s">
        <v>21</v>
      </c>
      <c r="Z9599" s="8" t="s">
        <v>41458</v>
      </c>
    </row>
    <row r="9600" spans="1:26" x14ac:dyDescent="0.2">
      <c r="A9600" s="8">
        <v>9599</v>
      </c>
      <c r="B9600" s="8" t="s">
        <v>41459</v>
      </c>
      <c r="C9600" s="8" t="s">
        <v>41459</v>
      </c>
      <c r="G9600" s="8">
        <v>20</v>
      </c>
      <c r="H9600" s="8" t="s">
        <v>21</v>
      </c>
      <c r="I9600" s="8" t="s">
        <v>22</v>
      </c>
      <c r="J9600" s="8" t="s">
        <v>22</v>
      </c>
      <c r="K9600" s="8" t="s">
        <v>396</v>
      </c>
      <c r="L9600" s="8" t="s">
        <v>3335</v>
      </c>
      <c r="M9600" s="8" t="s">
        <v>3336</v>
      </c>
      <c r="N9600" s="8" t="s">
        <v>41460</v>
      </c>
      <c r="O9600" s="8">
        <f>1+57/60+55.5/3600</f>
        <v>1.9654166666666666</v>
      </c>
      <c r="P9600" s="8" t="s">
        <v>41461</v>
      </c>
      <c r="Q9600" s="8">
        <f>-(32+59/60+14/3600)</f>
        <v>-32.987222222222222</v>
      </c>
      <c r="R9600" s="8">
        <v>12.9</v>
      </c>
      <c r="S9600" s="8">
        <v>13.7</v>
      </c>
      <c r="T9600" s="8">
        <v>0.8</v>
      </c>
      <c r="U9600" s="8">
        <v>13.6</v>
      </c>
      <c r="V9600" s="8">
        <v>1.5</v>
      </c>
      <c r="W9600" s="8">
        <v>1.4</v>
      </c>
      <c r="X9600" s="8">
        <v>169</v>
      </c>
      <c r="Y9600" s="8" t="s">
        <v>21</v>
      </c>
      <c r="Z9600" s="8" t="s">
        <v>41462</v>
      </c>
    </row>
    <row r="9601" spans="1:26" x14ac:dyDescent="0.2">
      <c r="A9601" s="8">
        <v>9600</v>
      </c>
      <c r="B9601" s="8" t="s">
        <v>41463</v>
      </c>
      <c r="C9601" s="8" t="s">
        <v>41463</v>
      </c>
      <c r="G9601" s="8">
        <v>20</v>
      </c>
      <c r="H9601" s="8" t="s">
        <v>21</v>
      </c>
      <c r="I9601" s="8" t="s">
        <v>22</v>
      </c>
      <c r="J9601" s="8" t="s">
        <v>57</v>
      </c>
      <c r="K9601" s="8" t="s">
        <v>396</v>
      </c>
      <c r="L9601" s="8" t="s">
        <v>3335</v>
      </c>
      <c r="M9601" s="8" t="s">
        <v>3336</v>
      </c>
      <c r="N9601" s="8" t="s">
        <v>41460</v>
      </c>
      <c r="O9601" s="8">
        <f>1+57/60+55.5/3600</f>
        <v>1.9654166666666666</v>
      </c>
      <c r="P9601" s="8" t="s">
        <v>41461</v>
      </c>
      <c r="Q9601" s="8">
        <f>-(32+59/60+14/3600)</f>
        <v>-32.987222222222222</v>
      </c>
      <c r="R9601" s="8">
        <v>12.9</v>
      </c>
      <c r="S9601" s="8">
        <v>13.7</v>
      </c>
      <c r="T9601" s="8">
        <v>0.8</v>
      </c>
      <c r="U9601" s="8">
        <v>13.6</v>
      </c>
      <c r="V9601" s="8">
        <v>1.5</v>
      </c>
      <c r="W9601" s="8">
        <v>1.4</v>
      </c>
      <c r="X9601" s="8">
        <v>169</v>
      </c>
      <c r="Y9601" s="8" t="s">
        <v>41464</v>
      </c>
      <c r="Z9601" s="8" t="s">
        <v>41465</v>
      </c>
    </row>
    <row r="9602" spans="1:26" x14ac:dyDescent="0.2">
      <c r="A9602" s="8">
        <v>9601</v>
      </c>
      <c r="B9602" s="8" t="s">
        <v>41466</v>
      </c>
      <c r="C9602" s="8" t="s">
        <v>41466</v>
      </c>
      <c r="G9602" s="8">
        <v>20</v>
      </c>
      <c r="H9602" s="8" t="s">
        <v>21</v>
      </c>
      <c r="I9602" s="8" t="s">
        <v>22</v>
      </c>
      <c r="J9602" s="8" t="s">
        <v>22</v>
      </c>
      <c r="K9602" s="8" t="s">
        <v>632</v>
      </c>
      <c r="L9602" s="8" t="s">
        <v>125</v>
      </c>
      <c r="M9602" s="8" t="s">
        <v>126</v>
      </c>
      <c r="N9602" s="8" t="s">
        <v>41467</v>
      </c>
      <c r="O9602" s="8">
        <f>1+58/60+52.2/3600</f>
        <v>1.9811666666666667</v>
      </c>
      <c r="P9602" s="8" t="s">
        <v>41468</v>
      </c>
      <c r="Q9602" s="8">
        <f>+(0+34/60+8/3600)</f>
        <v>0.56888888888888889</v>
      </c>
      <c r="R9602" s="8">
        <v>14.4</v>
      </c>
      <c r="S9602" s="8">
        <v>15.3</v>
      </c>
      <c r="T9602" s="8">
        <v>0.9</v>
      </c>
      <c r="U9602" s="8">
        <v>13.4</v>
      </c>
      <c r="V9602" s="8">
        <v>0.9</v>
      </c>
      <c r="W9602" s="8">
        <v>0.5</v>
      </c>
      <c r="X9602" s="8">
        <v>45</v>
      </c>
      <c r="Y9602" s="8" t="s">
        <v>38858</v>
      </c>
      <c r="Z9602" s="8" t="s">
        <v>38859</v>
      </c>
    </row>
    <row r="9603" spans="1:26" x14ac:dyDescent="0.2">
      <c r="A9603" s="8">
        <v>9602</v>
      </c>
      <c r="B9603" s="8" t="s">
        <v>41469</v>
      </c>
      <c r="C9603" s="8" t="s">
        <v>41469</v>
      </c>
      <c r="G9603" s="8">
        <v>20</v>
      </c>
      <c r="H9603" s="8" t="s">
        <v>21</v>
      </c>
      <c r="I9603" s="8" t="s">
        <v>22</v>
      </c>
      <c r="J9603" s="8" t="s">
        <v>22</v>
      </c>
      <c r="K9603" s="8" t="s">
        <v>85</v>
      </c>
      <c r="L9603" s="8" t="s">
        <v>3335</v>
      </c>
      <c r="M9603" s="8" t="s">
        <v>3336</v>
      </c>
      <c r="N9603" s="8" t="s">
        <v>41470</v>
      </c>
      <c r="O9603" s="8">
        <f>1+57/60+48.6/3600</f>
        <v>1.9635</v>
      </c>
      <c r="P9603" s="8" t="s">
        <v>41471</v>
      </c>
      <c r="Q9603" s="8">
        <f>-(33+14/60+23/3600)</f>
        <v>-33.23972222222222</v>
      </c>
      <c r="R9603" s="8">
        <v>13.5</v>
      </c>
      <c r="S9603" s="8">
        <v>14.3</v>
      </c>
      <c r="T9603" s="8">
        <v>0.8</v>
      </c>
      <c r="U9603" s="8">
        <v>13.5</v>
      </c>
      <c r="V9603" s="8">
        <v>1.8</v>
      </c>
      <c r="W9603" s="8">
        <v>0.4</v>
      </c>
      <c r="X9603" s="8">
        <v>43</v>
      </c>
      <c r="Y9603" s="8" t="s">
        <v>41472</v>
      </c>
      <c r="Z9603" s="8" t="s">
        <v>41473</v>
      </c>
    </row>
    <row r="9604" spans="1:26" x14ac:dyDescent="0.2">
      <c r="A9604" s="8">
        <v>9603</v>
      </c>
      <c r="B9604" s="8" t="s">
        <v>41474</v>
      </c>
      <c r="C9604" s="8" t="s">
        <v>41474</v>
      </c>
      <c r="G9604" s="8">
        <v>20</v>
      </c>
      <c r="H9604" s="8" t="s">
        <v>21</v>
      </c>
      <c r="I9604" s="8" t="s">
        <v>22</v>
      </c>
      <c r="J9604" s="8" t="s">
        <v>22</v>
      </c>
      <c r="K9604" s="8" t="s">
        <v>396</v>
      </c>
      <c r="L9604" s="8" t="s">
        <v>3335</v>
      </c>
      <c r="M9604" s="8" t="s">
        <v>3336</v>
      </c>
      <c r="N9604" s="8" t="s">
        <v>41475</v>
      </c>
      <c r="O9604" s="8">
        <f>1+59/60+11.5/3600</f>
        <v>1.9865277777777779</v>
      </c>
      <c r="P9604" s="8" t="s">
        <v>41476</v>
      </c>
      <c r="Q9604" s="8">
        <f>-(27+48/60+41/3600)</f>
        <v>-27.811388888888889</v>
      </c>
      <c r="R9604" s="8">
        <v>13.8</v>
      </c>
      <c r="S9604" s="8">
        <v>14.6</v>
      </c>
      <c r="T9604" s="8">
        <v>0.8</v>
      </c>
      <c r="U9604" s="8">
        <v>13.6</v>
      </c>
      <c r="V9604" s="8">
        <v>1</v>
      </c>
      <c r="W9604" s="8">
        <v>0.8</v>
      </c>
      <c r="X9604" s="8">
        <v>32</v>
      </c>
      <c r="Y9604" s="8" t="s">
        <v>21</v>
      </c>
      <c r="Z9604" s="8" t="s">
        <v>41477</v>
      </c>
    </row>
    <row r="9605" spans="1:26" x14ac:dyDescent="0.2">
      <c r="A9605" s="8">
        <v>9604</v>
      </c>
      <c r="B9605" s="8" t="s">
        <v>41478</v>
      </c>
      <c r="C9605" s="8" t="s">
        <v>41478</v>
      </c>
      <c r="G9605" s="8">
        <v>20</v>
      </c>
      <c r="H9605" s="8" t="s">
        <v>21</v>
      </c>
      <c r="I9605" s="8" t="s">
        <v>22</v>
      </c>
      <c r="J9605" s="8" t="s">
        <v>22</v>
      </c>
      <c r="K9605" s="8" t="s">
        <v>218</v>
      </c>
      <c r="L9605" s="8" t="s">
        <v>3256</v>
      </c>
      <c r="M9605" s="8" t="s">
        <v>3257</v>
      </c>
      <c r="N9605" s="8" t="s">
        <v>41479</v>
      </c>
      <c r="O9605" s="8">
        <f>2+0/60+23.3/3600</f>
        <v>2.0064722222222224</v>
      </c>
      <c r="P9605" s="8" t="s">
        <v>41480</v>
      </c>
      <c r="Q9605" s="8">
        <f>+(24+34/60+47/3600)</f>
        <v>24.579722222222223</v>
      </c>
      <c r="R9605" s="8">
        <v>13.3</v>
      </c>
      <c r="S9605" s="8">
        <v>14.1</v>
      </c>
      <c r="T9605" s="8">
        <v>0.8</v>
      </c>
      <c r="U9605" s="8">
        <v>13.1</v>
      </c>
      <c r="V9605" s="8">
        <v>1.2</v>
      </c>
      <c r="W9605" s="8">
        <v>0.8</v>
      </c>
      <c r="X9605" s="8">
        <v>174</v>
      </c>
      <c r="Y9605" s="8" t="s">
        <v>1212</v>
      </c>
      <c r="Z9605" s="8" t="s">
        <v>1213</v>
      </c>
    </row>
    <row r="9606" spans="1:26" x14ac:dyDescent="0.2">
      <c r="A9606" s="8">
        <v>9605</v>
      </c>
      <c r="B9606" s="8" t="s">
        <v>41481</v>
      </c>
      <c r="C9606" s="8" t="s">
        <v>41481</v>
      </c>
      <c r="G9606" s="8">
        <v>20</v>
      </c>
      <c r="H9606" s="8" t="s">
        <v>21</v>
      </c>
      <c r="I9606" s="8" t="s">
        <v>22</v>
      </c>
      <c r="J9606" s="8" t="s">
        <v>57</v>
      </c>
      <c r="K9606" s="8" t="s">
        <v>160</v>
      </c>
      <c r="L9606" s="8" t="s">
        <v>2809</v>
      </c>
      <c r="M9606" s="8" t="s">
        <v>2810</v>
      </c>
      <c r="N9606" s="8" t="s">
        <v>3782</v>
      </c>
      <c r="O9606" s="8">
        <f>2+1/60+6.6/3600</f>
        <v>2.0185</v>
      </c>
      <c r="P9606" s="8" t="s">
        <v>3783</v>
      </c>
      <c r="Q9606" s="8">
        <f>+(31+52/60+55/3600)</f>
        <v>31.881944444444446</v>
      </c>
      <c r="R9606" s="8">
        <v>12.2</v>
      </c>
      <c r="S9606" s="8">
        <v>12.9</v>
      </c>
      <c r="T9606" s="8">
        <v>0.7</v>
      </c>
      <c r="U9606" s="8">
        <v>12.9</v>
      </c>
      <c r="V9606" s="8">
        <v>1.6</v>
      </c>
      <c r="W9606" s="8">
        <v>1.4</v>
      </c>
      <c r="X9606" s="8">
        <v>35</v>
      </c>
      <c r="Y9606" s="8" t="s">
        <v>21</v>
      </c>
      <c r="Z9606" s="8" t="s">
        <v>41482</v>
      </c>
    </row>
    <row r="9607" spans="1:26" x14ac:dyDescent="0.2">
      <c r="A9607" s="8">
        <v>9606</v>
      </c>
      <c r="B9607" s="8" t="s">
        <v>41483</v>
      </c>
      <c r="C9607" s="8" t="s">
        <v>41483</v>
      </c>
      <c r="G9607" s="8">
        <v>20</v>
      </c>
      <c r="H9607" s="8" t="s">
        <v>21</v>
      </c>
      <c r="I9607" s="8" t="s">
        <v>22</v>
      </c>
      <c r="J9607" s="8" t="s">
        <v>57</v>
      </c>
      <c r="K9607" s="8" t="s">
        <v>58</v>
      </c>
      <c r="L9607" s="8" t="s">
        <v>2809</v>
      </c>
      <c r="M9607" s="8" t="s">
        <v>2810</v>
      </c>
      <c r="N9607" s="8" t="s">
        <v>3792</v>
      </c>
      <c r="O9607" s="8">
        <f>2+1/60+40/3600</f>
        <v>2.0277777777777777</v>
      </c>
      <c r="P9607" s="8" t="s">
        <v>3793</v>
      </c>
      <c r="Q9607" s="8">
        <f>+(31+49/60+36/3600)</f>
        <v>31.826666666666668</v>
      </c>
      <c r="R9607" s="8">
        <v>13</v>
      </c>
      <c r="S9607" s="8">
        <v>14</v>
      </c>
      <c r="T9607" s="8">
        <v>1</v>
      </c>
      <c r="U9607" s="8">
        <v>13.3</v>
      </c>
      <c r="V9607" s="8">
        <v>1.5</v>
      </c>
      <c r="W9607" s="8">
        <v>1.1000000000000001</v>
      </c>
      <c r="X9607" s="8">
        <v>83</v>
      </c>
      <c r="Y9607" s="8" t="s">
        <v>1694</v>
      </c>
      <c r="Z9607" s="8" t="s">
        <v>38252</v>
      </c>
    </row>
    <row r="9608" spans="1:26" x14ac:dyDescent="0.2">
      <c r="A9608" s="8">
        <v>9607</v>
      </c>
      <c r="B9608" s="8" t="s">
        <v>41484</v>
      </c>
      <c r="C9608" s="8" t="s">
        <v>41484</v>
      </c>
      <c r="G9608" s="8">
        <v>20</v>
      </c>
      <c r="H9608" s="8" t="s">
        <v>21</v>
      </c>
      <c r="I9608" s="8" t="s">
        <v>22</v>
      </c>
      <c r="J9608" s="8" t="s">
        <v>22</v>
      </c>
      <c r="K9608" s="8" t="s">
        <v>632</v>
      </c>
      <c r="L9608" s="8" t="s">
        <v>125</v>
      </c>
      <c r="M9608" s="8" t="s">
        <v>126</v>
      </c>
      <c r="N9608" s="8" t="s">
        <v>41485</v>
      </c>
      <c r="O9608" s="8">
        <f>1+59/60+59.4/3600</f>
        <v>1.9998333333333334</v>
      </c>
      <c r="P9608" s="8" t="s">
        <v>41486</v>
      </c>
      <c r="Q9608" s="8">
        <f>-(11+4/60+43/3600)</f>
        <v>-11.07861111111111</v>
      </c>
      <c r="R9608" s="8">
        <v>13.6</v>
      </c>
      <c r="S9608" s="8">
        <v>14.5</v>
      </c>
      <c r="T9608" s="8">
        <v>0.9</v>
      </c>
      <c r="U9608" s="8">
        <v>13.7</v>
      </c>
      <c r="V9608" s="8">
        <v>1.8</v>
      </c>
      <c r="W9608" s="8">
        <v>0.7</v>
      </c>
      <c r="X9608" s="8">
        <v>75</v>
      </c>
      <c r="Y9608" s="8" t="s">
        <v>21</v>
      </c>
      <c r="Z9608" s="8" t="s">
        <v>41487</v>
      </c>
    </row>
    <row r="9609" spans="1:26" x14ac:dyDescent="0.2">
      <c r="A9609" s="8">
        <v>9608</v>
      </c>
      <c r="B9609" s="8" t="s">
        <v>41488</v>
      </c>
      <c r="C9609" s="8" t="s">
        <v>41488</v>
      </c>
      <c r="G9609" s="8">
        <v>20</v>
      </c>
      <c r="H9609" s="8" t="s">
        <v>21</v>
      </c>
      <c r="I9609" s="8" t="s">
        <v>22</v>
      </c>
      <c r="J9609" s="8" t="s">
        <v>22</v>
      </c>
      <c r="K9609" s="8" t="s">
        <v>37</v>
      </c>
      <c r="L9609" s="8" t="s">
        <v>3335</v>
      </c>
      <c r="M9609" s="8" t="s">
        <v>3336</v>
      </c>
      <c r="N9609" s="8" t="s">
        <v>41489</v>
      </c>
      <c r="O9609" s="8">
        <f>2+0/60+49.8/3600</f>
        <v>2.0138333333333334</v>
      </c>
      <c r="P9609" s="8" t="s">
        <v>41490</v>
      </c>
      <c r="Q9609" s="8">
        <f>-(25+1/60+35/3600)</f>
        <v>-25.026388888888889</v>
      </c>
      <c r="R9609" s="8">
        <v>13</v>
      </c>
      <c r="S9609" s="8">
        <v>14</v>
      </c>
      <c r="T9609" s="8">
        <v>1</v>
      </c>
      <c r="U9609" s="8">
        <v>12.1</v>
      </c>
      <c r="V9609" s="8">
        <v>0.7</v>
      </c>
      <c r="W9609" s="8">
        <v>0.7</v>
      </c>
      <c r="Y9609" s="8" t="s">
        <v>21</v>
      </c>
      <c r="Z9609" s="8" t="s">
        <v>41491</v>
      </c>
    </row>
    <row r="9610" spans="1:26" x14ac:dyDescent="0.2">
      <c r="A9610" s="8">
        <v>9609</v>
      </c>
      <c r="B9610" s="8" t="s">
        <v>41492</v>
      </c>
      <c r="C9610" s="8" t="s">
        <v>41492</v>
      </c>
      <c r="G9610" s="8">
        <v>20</v>
      </c>
      <c r="H9610" s="8" t="s">
        <v>21</v>
      </c>
      <c r="I9610" s="8" t="s">
        <v>22</v>
      </c>
      <c r="J9610" s="8" t="s">
        <v>22</v>
      </c>
      <c r="K9610" s="8" t="s">
        <v>396</v>
      </c>
      <c r="L9610" s="8" t="s">
        <v>3335</v>
      </c>
      <c r="M9610" s="8" t="s">
        <v>3336</v>
      </c>
      <c r="N9610" s="8" t="s">
        <v>41493</v>
      </c>
      <c r="O9610" s="8">
        <f>2+0/60+54.8/3600</f>
        <v>2.015222222222222</v>
      </c>
      <c r="P9610" s="8" t="s">
        <v>41494</v>
      </c>
      <c r="Q9610" s="8">
        <f>-(31+55/60+14/3600)</f>
        <v>-31.920555555555556</v>
      </c>
      <c r="R9610" s="8">
        <v>14.7</v>
      </c>
      <c r="S9610" s="8">
        <v>15.5</v>
      </c>
      <c r="T9610" s="8">
        <v>0.8</v>
      </c>
      <c r="U9610" s="8">
        <v>12.6</v>
      </c>
      <c r="V9610" s="8">
        <v>0.8</v>
      </c>
      <c r="W9610" s="8">
        <v>0.2</v>
      </c>
      <c r="X9610" s="8">
        <v>77</v>
      </c>
      <c r="Y9610" s="8" t="s">
        <v>41495</v>
      </c>
      <c r="Z9610" s="8" t="s">
        <v>41496</v>
      </c>
    </row>
    <row r="9611" spans="1:26" x14ac:dyDescent="0.2">
      <c r="A9611" s="8">
        <v>9610</v>
      </c>
      <c r="B9611" s="8" t="s">
        <v>41497</v>
      </c>
      <c r="C9611" s="8" t="s">
        <v>41497</v>
      </c>
      <c r="G9611" s="8">
        <v>20</v>
      </c>
      <c r="H9611" s="8" t="s">
        <v>21</v>
      </c>
      <c r="I9611" s="8" t="s">
        <v>22</v>
      </c>
      <c r="J9611" s="8" t="s">
        <v>22</v>
      </c>
      <c r="K9611" s="8" t="s">
        <v>37</v>
      </c>
      <c r="L9611" s="8" t="s">
        <v>38</v>
      </c>
      <c r="M9611" s="8" t="s">
        <v>39</v>
      </c>
      <c r="N9611" s="8" t="s">
        <v>41498</v>
      </c>
      <c r="O9611" s="8">
        <f>2+2/60+14.4/3600</f>
        <v>2.0373333333333332</v>
      </c>
      <c r="P9611" s="8" t="s">
        <v>41499</v>
      </c>
      <c r="Q9611" s="8">
        <f>+(9+58/60+51/3600)</f>
        <v>9.980833333333333</v>
      </c>
      <c r="R9611" s="8">
        <v>13.8</v>
      </c>
      <c r="S9611" s="8">
        <v>14.8</v>
      </c>
      <c r="T9611" s="8">
        <v>1</v>
      </c>
      <c r="U9611" s="8">
        <v>13.3</v>
      </c>
      <c r="V9611" s="8">
        <v>1</v>
      </c>
      <c r="W9611" s="8">
        <v>0.7</v>
      </c>
      <c r="X9611" s="8">
        <v>63</v>
      </c>
      <c r="Y9611" s="8" t="s">
        <v>5926</v>
      </c>
      <c r="Z9611" s="8" t="s">
        <v>5927</v>
      </c>
    </row>
    <row r="9612" spans="1:26" x14ac:dyDescent="0.2">
      <c r="A9612" s="8">
        <v>9611</v>
      </c>
      <c r="B9612" s="8" t="s">
        <v>41500</v>
      </c>
      <c r="C9612" s="8" t="s">
        <v>41500</v>
      </c>
      <c r="G9612" s="8">
        <v>20</v>
      </c>
      <c r="H9612" s="8" t="s">
        <v>21</v>
      </c>
      <c r="I9612" s="8" t="s">
        <v>22</v>
      </c>
      <c r="J9612" s="8" t="s">
        <v>22</v>
      </c>
      <c r="K9612" s="8" t="s">
        <v>37</v>
      </c>
      <c r="L9612" s="8" t="s">
        <v>38</v>
      </c>
      <c r="M9612" s="8" t="s">
        <v>39</v>
      </c>
      <c r="N9612" s="8" t="s">
        <v>41501</v>
      </c>
      <c r="O9612" s="8">
        <f>2+2/60+15.8/3600</f>
        <v>2.037722222222222</v>
      </c>
      <c r="P9612" s="8" t="s">
        <v>41502</v>
      </c>
      <c r="Q9612" s="8">
        <f>+(9+58/60+7/3600)</f>
        <v>9.9686111111111106</v>
      </c>
      <c r="R9612" s="8">
        <v>14.2</v>
      </c>
      <c r="S9612" s="8">
        <v>15.2</v>
      </c>
      <c r="T9612" s="8">
        <v>1</v>
      </c>
      <c r="U9612" s="8">
        <v>12.6</v>
      </c>
      <c r="V9612" s="8">
        <v>0.5</v>
      </c>
      <c r="W9612" s="8">
        <v>0.5</v>
      </c>
      <c r="Y9612" s="8" t="s">
        <v>5926</v>
      </c>
      <c r="Z9612" s="8" t="s">
        <v>5927</v>
      </c>
    </row>
    <row r="9613" spans="1:26" x14ac:dyDescent="0.2">
      <c r="A9613" s="8">
        <v>9612</v>
      </c>
      <c r="B9613" s="8" t="s">
        <v>41503</v>
      </c>
      <c r="C9613" s="8" t="s">
        <v>41503</v>
      </c>
      <c r="G9613" s="8">
        <v>20</v>
      </c>
      <c r="H9613" s="8" t="s">
        <v>21</v>
      </c>
      <c r="I9613" s="8" t="s">
        <v>22</v>
      </c>
      <c r="J9613" s="8" t="s">
        <v>22</v>
      </c>
      <c r="K9613" s="8" t="s">
        <v>424</v>
      </c>
      <c r="L9613" s="8" t="s">
        <v>38</v>
      </c>
      <c r="M9613" s="8" t="s">
        <v>39</v>
      </c>
      <c r="N9613" s="8" t="s">
        <v>41504</v>
      </c>
      <c r="O9613" s="8">
        <f>2+2/60+42.8/3600</f>
        <v>2.0452222222222223</v>
      </c>
      <c r="P9613" s="8" t="s">
        <v>41505</v>
      </c>
      <c r="Q9613" s="8">
        <f>+(7+44/60+44/3600)</f>
        <v>7.7455555555555557</v>
      </c>
      <c r="R9613" s="8">
        <v>13.6</v>
      </c>
      <c r="S9613" s="8">
        <v>14.6</v>
      </c>
      <c r="T9613" s="8">
        <v>1</v>
      </c>
      <c r="U9613" s="8">
        <v>12.7</v>
      </c>
      <c r="V9613" s="8">
        <v>0.7</v>
      </c>
      <c r="W9613" s="8">
        <v>0.7</v>
      </c>
      <c r="Y9613" s="8" t="s">
        <v>21</v>
      </c>
      <c r="Z9613" s="8" t="s">
        <v>41506</v>
      </c>
    </row>
    <row r="9614" spans="1:26" x14ac:dyDescent="0.2">
      <c r="A9614" s="8">
        <v>9613</v>
      </c>
      <c r="B9614" s="8" t="s">
        <v>41507</v>
      </c>
      <c r="C9614" s="8" t="s">
        <v>41507</v>
      </c>
      <c r="G9614" s="8">
        <v>20</v>
      </c>
      <c r="H9614" s="8" t="s">
        <v>21</v>
      </c>
      <c r="I9614" s="8" t="s">
        <v>22</v>
      </c>
      <c r="J9614" s="8" t="s">
        <v>57</v>
      </c>
      <c r="K9614" s="8" t="s">
        <v>37</v>
      </c>
      <c r="L9614" s="8" t="s">
        <v>2809</v>
      </c>
      <c r="M9614" s="8" t="s">
        <v>2810</v>
      </c>
      <c r="N9614" s="8" t="s">
        <v>3879</v>
      </c>
      <c r="O9614" s="8">
        <f>2+4/60+2.2/3600</f>
        <v>2.067277777777778</v>
      </c>
      <c r="P9614" s="8" t="s">
        <v>3880</v>
      </c>
      <c r="Q9614" s="8">
        <f>+(30+49/60+57/3600)</f>
        <v>30.8325</v>
      </c>
      <c r="R9614" s="8">
        <v>13.7</v>
      </c>
      <c r="S9614" s="8">
        <v>14.7</v>
      </c>
      <c r="T9614" s="8">
        <v>1</v>
      </c>
      <c r="U9614" s="8">
        <v>12.6</v>
      </c>
      <c r="V9614" s="8">
        <v>1.4</v>
      </c>
      <c r="W9614" s="8">
        <v>0.3</v>
      </c>
      <c r="X9614" s="8">
        <v>7</v>
      </c>
      <c r="Y9614" s="8" t="s">
        <v>41508</v>
      </c>
      <c r="Z9614" s="8" t="s">
        <v>41509</v>
      </c>
    </row>
    <row r="9615" spans="1:26" x14ac:dyDescent="0.2">
      <c r="A9615" s="8">
        <v>9614</v>
      </c>
      <c r="B9615" s="8" t="s">
        <v>41510</v>
      </c>
      <c r="C9615" s="8" t="s">
        <v>41510</v>
      </c>
      <c r="G9615" s="8">
        <v>20</v>
      </c>
      <c r="H9615" s="8" t="s">
        <v>21</v>
      </c>
      <c r="I9615" s="8" t="s">
        <v>22</v>
      </c>
      <c r="J9615" s="8" t="s">
        <v>22</v>
      </c>
      <c r="K9615" s="8" t="s">
        <v>1277</v>
      </c>
      <c r="L9615" s="8" t="s">
        <v>3256</v>
      </c>
      <c r="M9615" s="8" t="s">
        <v>3257</v>
      </c>
      <c r="N9615" s="8" t="s">
        <v>41511</v>
      </c>
      <c r="O9615" s="8">
        <f>2+3/60+59/3600</f>
        <v>2.0663888888888886</v>
      </c>
      <c r="P9615" s="8" t="s">
        <v>41512</v>
      </c>
      <c r="Q9615" s="8">
        <f>+(15+19/60+4/3600)</f>
        <v>15.317777777777778</v>
      </c>
      <c r="R9615" s="8">
        <v>13.9</v>
      </c>
      <c r="S9615" s="8">
        <v>14.6</v>
      </c>
      <c r="T9615" s="8">
        <v>0.7</v>
      </c>
      <c r="U9615" s="8">
        <v>14.5</v>
      </c>
      <c r="V9615" s="8">
        <v>1.6</v>
      </c>
      <c r="W9615" s="8">
        <v>1.2</v>
      </c>
      <c r="X9615" s="8">
        <v>140</v>
      </c>
      <c r="Y9615" s="8" t="s">
        <v>17353</v>
      </c>
      <c r="Z9615" s="8" t="s">
        <v>17354</v>
      </c>
    </row>
    <row r="9616" spans="1:26" x14ac:dyDescent="0.2">
      <c r="A9616" s="8">
        <v>9615</v>
      </c>
      <c r="B9616" s="8" t="s">
        <v>41513</v>
      </c>
      <c r="C9616" s="8" t="s">
        <v>41513</v>
      </c>
      <c r="G9616" s="8">
        <v>20</v>
      </c>
      <c r="H9616" s="8" t="s">
        <v>21</v>
      </c>
      <c r="I9616" s="8" t="s">
        <v>22</v>
      </c>
      <c r="J9616" s="8" t="s">
        <v>22</v>
      </c>
      <c r="K9616" s="8" t="s">
        <v>85</v>
      </c>
      <c r="L9616" s="8" t="s">
        <v>3256</v>
      </c>
      <c r="M9616" s="8" t="s">
        <v>3257</v>
      </c>
      <c r="N9616" s="8" t="s">
        <v>41514</v>
      </c>
      <c r="O9616" s="8">
        <f>2+5/60+17.5/3600</f>
        <v>2.0881944444444445</v>
      </c>
      <c r="P9616" s="8" t="s">
        <v>41515</v>
      </c>
      <c r="Q9616" s="8">
        <f>+(13+30/60+20/3600)</f>
        <v>13.505555555555556</v>
      </c>
      <c r="R9616" s="8">
        <v>15</v>
      </c>
      <c r="S9616" s="8">
        <v>15.8</v>
      </c>
      <c r="T9616" s="8">
        <v>0.8</v>
      </c>
      <c r="U9616" s="8">
        <v>14.1</v>
      </c>
      <c r="V9616" s="8">
        <v>0.7</v>
      </c>
      <c r="W9616" s="8">
        <v>0.7</v>
      </c>
      <c r="Y9616" s="8" t="s">
        <v>41516</v>
      </c>
      <c r="Z9616" s="8" t="s">
        <v>41517</v>
      </c>
    </row>
    <row r="9617" spans="1:26" x14ac:dyDescent="0.2">
      <c r="A9617" s="8">
        <v>9616</v>
      </c>
      <c r="B9617" s="8" t="s">
        <v>41518</v>
      </c>
      <c r="C9617" s="8" t="s">
        <v>41518</v>
      </c>
      <c r="G9617" s="8">
        <v>20</v>
      </c>
      <c r="H9617" s="8" t="s">
        <v>21</v>
      </c>
      <c r="I9617" s="8" t="s">
        <v>22</v>
      </c>
      <c r="J9617" s="8" t="s">
        <v>22</v>
      </c>
      <c r="K9617" s="8" t="s">
        <v>1277</v>
      </c>
      <c r="L9617" s="8" t="s">
        <v>38</v>
      </c>
      <c r="M9617" s="8" t="s">
        <v>39</v>
      </c>
      <c r="N9617" s="8" t="s">
        <v>41519</v>
      </c>
      <c r="O9617" s="8">
        <f>2+5/60+15.1/3600</f>
        <v>2.0875277777777779</v>
      </c>
      <c r="P9617" s="8" t="s">
        <v>41520</v>
      </c>
      <c r="Q9617" s="8">
        <f>+(6+6/60+20/3600)</f>
        <v>6.1055555555555552</v>
      </c>
      <c r="R9617" s="8">
        <v>13.2</v>
      </c>
      <c r="S9617" s="8">
        <v>13.9</v>
      </c>
      <c r="T9617" s="8">
        <v>0.7</v>
      </c>
      <c r="U9617" s="8">
        <v>13.4</v>
      </c>
      <c r="V9617" s="8">
        <v>1.3</v>
      </c>
      <c r="W9617" s="8">
        <v>1.1000000000000001</v>
      </c>
      <c r="X9617" s="8">
        <v>159</v>
      </c>
      <c r="Y9617" s="8" t="s">
        <v>41521</v>
      </c>
      <c r="Z9617" s="8" t="s">
        <v>41522</v>
      </c>
    </row>
    <row r="9618" spans="1:26" x14ac:dyDescent="0.2">
      <c r="A9618" s="8">
        <v>9617</v>
      </c>
      <c r="B9618" s="8" t="s">
        <v>41523</v>
      </c>
      <c r="C9618" s="8" t="s">
        <v>41523</v>
      </c>
      <c r="G9618" s="8">
        <v>20</v>
      </c>
      <c r="H9618" s="8" t="s">
        <v>21</v>
      </c>
      <c r="I9618" s="8" t="s">
        <v>22</v>
      </c>
      <c r="J9618" s="8" t="s">
        <v>22</v>
      </c>
      <c r="K9618" s="8" t="s">
        <v>449</v>
      </c>
      <c r="L9618" s="8" t="s">
        <v>3256</v>
      </c>
      <c r="M9618" s="8" t="s">
        <v>3257</v>
      </c>
      <c r="N9618" s="8" t="s">
        <v>41524</v>
      </c>
      <c r="O9618" s="8">
        <f>2+6/60+8.6/3600</f>
        <v>2.1023888888888891</v>
      </c>
      <c r="P9618" s="8" t="s">
        <v>41525</v>
      </c>
      <c r="Q9618" s="8">
        <f>+(15+12/60+36/3600)</f>
        <v>15.209999999999999</v>
      </c>
      <c r="R9618" s="8">
        <v>14.8</v>
      </c>
      <c r="S9618" s="8">
        <v>15.6</v>
      </c>
      <c r="T9618" s="8">
        <v>0.8</v>
      </c>
      <c r="U9618" s="8">
        <v>13.9</v>
      </c>
      <c r="V9618" s="8">
        <v>0.7</v>
      </c>
      <c r="W9618" s="8">
        <v>0.7</v>
      </c>
      <c r="Y9618" s="8" t="s">
        <v>41526</v>
      </c>
      <c r="Z9618" s="8" t="s">
        <v>41527</v>
      </c>
    </row>
    <row r="9619" spans="1:26" x14ac:dyDescent="0.2">
      <c r="A9619" s="8">
        <v>9618</v>
      </c>
      <c r="B9619" s="8" t="s">
        <v>41528</v>
      </c>
      <c r="C9619" s="8" t="s">
        <v>41528</v>
      </c>
      <c r="G9619" s="8">
        <v>20</v>
      </c>
      <c r="H9619" s="8" t="s">
        <v>21</v>
      </c>
      <c r="I9619" s="8" t="s">
        <v>22</v>
      </c>
      <c r="J9619" s="8" t="s">
        <v>57</v>
      </c>
      <c r="K9619" s="8" t="s">
        <v>31</v>
      </c>
      <c r="L9619" s="8" t="s">
        <v>38</v>
      </c>
      <c r="M9619" s="8" t="s">
        <v>39</v>
      </c>
      <c r="N9619" s="8" t="s">
        <v>35460</v>
      </c>
      <c r="O9619" s="8">
        <f>2+6/60+19.4/3600</f>
        <v>2.1053888888888892</v>
      </c>
      <c r="P9619" s="8" t="s">
        <v>35461</v>
      </c>
      <c r="Q9619" s="8">
        <f>+(9+13/60+38/3600)</f>
        <v>9.2272222222222222</v>
      </c>
      <c r="R9619" s="8">
        <v>14</v>
      </c>
      <c r="S9619" s="8">
        <v>14.8</v>
      </c>
      <c r="T9619" s="8">
        <v>0.8</v>
      </c>
      <c r="U9619" s="8">
        <v>13.8</v>
      </c>
      <c r="V9619" s="8">
        <v>1.4</v>
      </c>
      <c r="W9619" s="8">
        <v>0.8</v>
      </c>
      <c r="X9619" s="8">
        <v>25</v>
      </c>
      <c r="Y9619" s="8" t="s">
        <v>12301</v>
      </c>
      <c r="Z9619" s="8" t="s">
        <v>12302</v>
      </c>
    </row>
    <row r="9620" spans="1:26" x14ac:dyDescent="0.2">
      <c r="A9620" s="8">
        <v>9619</v>
      </c>
      <c r="B9620" s="8" t="s">
        <v>41529</v>
      </c>
      <c r="C9620" s="8" t="s">
        <v>41529</v>
      </c>
      <c r="G9620" s="8">
        <v>20</v>
      </c>
      <c r="H9620" s="8" t="s">
        <v>21</v>
      </c>
      <c r="I9620" s="8" t="s">
        <v>22</v>
      </c>
      <c r="J9620" s="8" t="s">
        <v>22</v>
      </c>
      <c r="K9620" s="8" t="s">
        <v>382</v>
      </c>
      <c r="L9620" s="8" t="s">
        <v>38</v>
      </c>
      <c r="M9620" s="8" t="s">
        <v>39</v>
      </c>
      <c r="N9620" s="8" t="s">
        <v>41530</v>
      </c>
      <c r="O9620" s="8">
        <f>2+6/60+25.9/3600</f>
        <v>2.1071944444444446</v>
      </c>
      <c r="P9620" s="8" t="s">
        <v>41531</v>
      </c>
      <c r="Q9620" s="8">
        <f>+(3+42/60+23/3600)</f>
        <v>3.7063888888888892</v>
      </c>
      <c r="R9620" s="8">
        <v>13.8</v>
      </c>
      <c r="S9620" s="8">
        <v>14.8</v>
      </c>
      <c r="T9620" s="8">
        <v>1</v>
      </c>
      <c r="U9620" s="8">
        <v>11.6</v>
      </c>
      <c r="V9620" s="8">
        <v>0.4</v>
      </c>
      <c r="W9620" s="8">
        <v>0.3</v>
      </c>
      <c r="X9620" s="8">
        <v>100</v>
      </c>
      <c r="Y9620" s="8" t="s">
        <v>41532</v>
      </c>
      <c r="Z9620" s="8" t="s">
        <v>41533</v>
      </c>
    </row>
    <row r="9621" spans="1:26" x14ac:dyDescent="0.2">
      <c r="A9621" s="8">
        <v>9620</v>
      </c>
      <c r="B9621" s="8" t="s">
        <v>41534</v>
      </c>
      <c r="C9621" s="8" t="s">
        <v>41534</v>
      </c>
      <c r="G9621" s="8">
        <v>20</v>
      </c>
      <c r="H9621" s="8" t="s">
        <v>21</v>
      </c>
      <c r="I9621" s="8" t="s">
        <v>22</v>
      </c>
      <c r="J9621" s="8" t="s">
        <v>22</v>
      </c>
      <c r="K9621" s="8" t="s">
        <v>476</v>
      </c>
      <c r="L9621" s="8" t="s">
        <v>3256</v>
      </c>
      <c r="M9621" s="8" t="s">
        <v>3257</v>
      </c>
      <c r="N9621" s="8" t="s">
        <v>41535</v>
      </c>
      <c r="O9621" s="8">
        <f>2+6/60+51.1/3600</f>
        <v>2.1141944444444447</v>
      </c>
      <c r="P9621" s="8" t="s">
        <v>41536</v>
      </c>
      <c r="Q9621" s="8">
        <f>+(14+43/60+20/3600)</f>
        <v>14.722222222222223</v>
      </c>
      <c r="R9621" s="8">
        <v>14.9</v>
      </c>
      <c r="S9621" s="8">
        <v>15.8</v>
      </c>
      <c r="T9621" s="8">
        <v>0.9</v>
      </c>
      <c r="U9621" s="8">
        <v>13.1</v>
      </c>
      <c r="V9621" s="8">
        <v>0.7</v>
      </c>
      <c r="W9621" s="8">
        <v>0.3</v>
      </c>
      <c r="X9621" s="8">
        <v>9</v>
      </c>
      <c r="Y9621" s="8" t="s">
        <v>21</v>
      </c>
      <c r="Z9621" s="8" t="s">
        <v>41537</v>
      </c>
    </row>
    <row r="9622" spans="1:26" x14ac:dyDescent="0.2">
      <c r="A9622" s="8">
        <v>9621</v>
      </c>
      <c r="B9622" s="8" t="s">
        <v>41538</v>
      </c>
      <c r="C9622" s="8" t="s">
        <v>41538</v>
      </c>
      <c r="G9622" s="8">
        <v>20</v>
      </c>
      <c r="H9622" s="8" t="s">
        <v>21</v>
      </c>
      <c r="I9622" s="8" t="s">
        <v>22</v>
      </c>
      <c r="J9622" s="8" t="s">
        <v>22</v>
      </c>
      <c r="K9622" s="8" t="s">
        <v>476</v>
      </c>
      <c r="L9622" s="8" t="s">
        <v>125</v>
      </c>
      <c r="M9622" s="8" t="s">
        <v>126</v>
      </c>
      <c r="N9622" s="8" t="s">
        <v>41539</v>
      </c>
      <c r="O9622" s="8">
        <f>2+6/60+52.8/3600</f>
        <v>2.1146666666666669</v>
      </c>
      <c r="P9622" s="8" t="s">
        <v>41540</v>
      </c>
      <c r="Q9622" s="8">
        <f>-(0+31/60+5/3600)</f>
        <v>-0.5180555555555556</v>
      </c>
      <c r="R9622" s="8">
        <v>14.5</v>
      </c>
      <c r="S9622" s="8">
        <v>15.3</v>
      </c>
      <c r="T9622" s="8">
        <v>0.8</v>
      </c>
      <c r="U9622" s="8">
        <v>12.4</v>
      </c>
      <c r="V9622" s="8">
        <v>0.4</v>
      </c>
      <c r="W9622" s="8">
        <v>0.4</v>
      </c>
      <c r="Y9622" s="8" t="s">
        <v>41541</v>
      </c>
      <c r="Z9622" s="8" t="s">
        <v>41542</v>
      </c>
    </row>
    <row r="9623" spans="1:26" x14ac:dyDescent="0.2">
      <c r="A9623" s="8">
        <v>9622</v>
      </c>
      <c r="B9623" s="8" t="s">
        <v>41543</v>
      </c>
      <c r="C9623" s="8" t="s">
        <v>41543</v>
      </c>
      <c r="G9623" s="8">
        <v>20</v>
      </c>
      <c r="H9623" s="8" t="s">
        <v>21</v>
      </c>
      <c r="I9623" s="8" t="s">
        <v>22</v>
      </c>
      <c r="J9623" s="8" t="s">
        <v>57</v>
      </c>
      <c r="K9623" s="8" t="s">
        <v>58</v>
      </c>
      <c r="L9623" s="8" t="s">
        <v>3335</v>
      </c>
      <c r="M9623" s="8" t="s">
        <v>3336</v>
      </c>
      <c r="N9623" s="8" t="s">
        <v>3965</v>
      </c>
      <c r="O9623" s="8">
        <f>2+7/60+20/3600</f>
        <v>2.1222222222222222</v>
      </c>
      <c r="P9623" s="8" t="s">
        <v>3966</v>
      </c>
      <c r="Q9623" s="8">
        <f>-(25+26/60+30/3600)</f>
        <v>-25.441666666666666</v>
      </c>
      <c r="R9623" s="8">
        <v>12.8</v>
      </c>
      <c r="S9623" s="8">
        <v>13.8</v>
      </c>
      <c r="T9623" s="8">
        <v>1</v>
      </c>
      <c r="U9623" s="8">
        <v>13.7</v>
      </c>
      <c r="V9623" s="8">
        <v>1.7</v>
      </c>
      <c r="W9623" s="8">
        <v>1.3</v>
      </c>
      <c r="X9623" s="8">
        <v>102</v>
      </c>
      <c r="Y9623" s="8" t="s">
        <v>21</v>
      </c>
      <c r="Z9623" s="8" t="s">
        <v>41544</v>
      </c>
    </row>
    <row r="9624" spans="1:26" x14ac:dyDescent="0.2">
      <c r="A9624" s="8">
        <v>9623</v>
      </c>
      <c r="B9624" s="8" t="s">
        <v>41545</v>
      </c>
      <c r="C9624" s="8" t="s">
        <v>41545</v>
      </c>
      <c r="G9624" s="8">
        <v>20</v>
      </c>
      <c r="H9624" s="8" t="s">
        <v>21</v>
      </c>
      <c r="I9624" s="8" t="s">
        <v>22</v>
      </c>
      <c r="J9624" s="8" t="s">
        <v>22</v>
      </c>
      <c r="K9624" s="8" t="s">
        <v>23</v>
      </c>
      <c r="L9624" s="8" t="s">
        <v>3335</v>
      </c>
      <c r="M9624" s="8" t="s">
        <v>3336</v>
      </c>
      <c r="N9624" s="8" t="s">
        <v>41546</v>
      </c>
      <c r="O9624" s="8">
        <f>2+10/60+6/3600</f>
        <v>2.168333333333333</v>
      </c>
      <c r="P9624" s="8" t="s">
        <v>41547</v>
      </c>
      <c r="Q9624" s="8">
        <f>-(32+56/60+23/3600)</f>
        <v>-32.939722222222215</v>
      </c>
      <c r="R9624" s="8">
        <v>12.5</v>
      </c>
      <c r="S9624" s="8">
        <v>13.2</v>
      </c>
      <c r="T9624" s="8">
        <v>0.7</v>
      </c>
      <c r="U9624" s="8">
        <v>12.9</v>
      </c>
      <c r="V9624" s="8">
        <v>2</v>
      </c>
      <c r="W9624" s="8">
        <v>0.8</v>
      </c>
      <c r="X9624" s="8">
        <v>3</v>
      </c>
      <c r="Y9624" s="8" t="s">
        <v>41548</v>
      </c>
      <c r="Z9624" s="8" t="s">
        <v>41549</v>
      </c>
    </row>
    <row r="9625" spans="1:26" x14ac:dyDescent="0.2">
      <c r="A9625" s="8">
        <v>9624</v>
      </c>
      <c r="B9625" s="8" t="s">
        <v>41550</v>
      </c>
      <c r="C9625" s="8" t="s">
        <v>41550</v>
      </c>
      <c r="G9625" s="8">
        <v>20</v>
      </c>
      <c r="H9625" s="8" t="s">
        <v>21</v>
      </c>
      <c r="I9625" s="8" t="s">
        <v>22</v>
      </c>
      <c r="J9625" s="8" t="s">
        <v>22</v>
      </c>
      <c r="K9625" s="8" t="s">
        <v>79</v>
      </c>
      <c r="L9625" s="8" t="s">
        <v>2809</v>
      </c>
      <c r="M9625" s="8" t="s">
        <v>2810</v>
      </c>
      <c r="N9625" s="8" t="s">
        <v>41551</v>
      </c>
      <c r="O9625" s="8">
        <f>2+16/60+12.8/3600</f>
        <v>2.2702222222222224</v>
      </c>
      <c r="P9625" s="8" t="s">
        <v>41552</v>
      </c>
      <c r="Q9625" s="8">
        <f>+(32+38/60+57/3600)</f>
        <v>32.649166666666666</v>
      </c>
      <c r="R9625" s="8">
        <v>13.1</v>
      </c>
      <c r="S9625" s="8">
        <v>14</v>
      </c>
      <c r="T9625" s="8">
        <v>0.9</v>
      </c>
      <c r="U9625" s="8">
        <v>13.5</v>
      </c>
      <c r="V9625" s="8">
        <v>1.4</v>
      </c>
      <c r="W9625" s="8">
        <v>0.7</v>
      </c>
      <c r="X9625" s="8">
        <v>88</v>
      </c>
      <c r="Y9625" s="8" t="s">
        <v>41553</v>
      </c>
      <c r="Z9625" s="8" t="s">
        <v>41554</v>
      </c>
    </row>
    <row r="9626" spans="1:26" x14ac:dyDescent="0.2">
      <c r="A9626" s="8">
        <v>9625</v>
      </c>
      <c r="B9626" s="8" t="s">
        <v>41555</v>
      </c>
      <c r="C9626" s="8" t="s">
        <v>41555</v>
      </c>
      <c r="G9626" s="8">
        <v>20</v>
      </c>
      <c r="H9626" s="8" t="s">
        <v>21</v>
      </c>
      <c r="I9626" s="8" t="s">
        <v>22</v>
      </c>
      <c r="J9626" s="8" t="s">
        <v>22</v>
      </c>
      <c r="K9626" s="8" t="s">
        <v>58</v>
      </c>
      <c r="L9626" s="8" t="s">
        <v>2809</v>
      </c>
      <c r="M9626" s="8" t="s">
        <v>2810</v>
      </c>
      <c r="N9626" s="8" t="s">
        <v>41556</v>
      </c>
      <c r="O9626" s="8">
        <f>2+16/60+21/3600</f>
        <v>2.2725</v>
      </c>
      <c r="P9626" s="8" t="s">
        <v>41557</v>
      </c>
      <c r="Q9626" s="8">
        <f>+(32+40/60+1/3600)</f>
        <v>32.666944444444439</v>
      </c>
      <c r="R9626" s="8">
        <v>14.7</v>
      </c>
      <c r="S9626" s="8">
        <v>15.7</v>
      </c>
      <c r="T9626" s="8">
        <v>1</v>
      </c>
      <c r="U9626" s="8">
        <v>13.7</v>
      </c>
      <c r="V9626" s="8">
        <v>0.9</v>
      </c>
      <c r="W9626" s="8">
        <v>0.4</v>
      </c>
      <c r="X9626" s="8">
        <v>144</v>
      </c>
      <c r="Y9626" s="8" t="s">
        <v>36155</v>
      </c>
      <c r="Z9626" s="8" t="s">
        <v>41558</v>
      </c>
    </row>
    <row r="9627" spans="1:26" x14ac:dyDescent="0.2">
      <c r="A9627" s="8">
        <v>9626</v>
      </c>
      <c r="B9627" s="8" t="s">
        <v>41559</v>
      </c>
      <c r="C9627" s="8" t="s">
        <v>41559</v>
      </c>
      <c r="G9627" s="8">
        <v>20</v>
      </c>
      <c r="H9627" s="8" t="s">
        <v>21</v>
      </c>
      <c r="I9627" s="8" t="s">
        <v>22</v>
      </c>
      <c r="J9627" s="8" t="s">
        <v>22</v>
      </c>
      <c r="K9627" s="8" t="s">
        <v>449</v>
      </c>
      <c r="L9627" s="8" t="s">
        <v>125</v>
      </c>
      <c r="M9627" s="8" t="s">
        <v>126</v>
      </c>
      <c r="N9627" s="8" t="s">
        <v>41560</v>
      </c>
      <c r="O9627" s="8">
        <f>2+16/60+5.5/3600</f>
        <v>2.2681944444444442</v>
      </c>
      <c r="P9627" s="8" t="s">
        <v>41561</v>
      </c>
      <c r="Q9627" s="8">
        <f>+(5+8/60+46/3600)</f>
        <v>5.1461111111111117</v>
      </c>
      <c r="R9627" s="8">
        <v>14.4</v>
      </c>
      <c r="S9627" s="8">
        <v>15.2</v>
      </c>
      <c r="T9627" s="8">
        <v>0.8</v>
      </c>
      <c r="U9627" s="8">
        <v>11.5</v>
      </c>
      <c r="V9627" s="8">
        <v>0.4</v>
      </c>
      <c r="W9627" s="8">
        <v>0.2</v>
      </c>
      <c r="X9627" s="8">
        <v>160</v>
      </c>
      <c r="Y9627" s="8" t="s">
        <v>41562</v>
      </c>
      <c r="Z9627" s="8" t="s">
        <v>41563</v>
      </c>
    </row>
    <row r="9628" spans="1:26" x14ac:dyDescent="0.2">
      <c r="A9628" s="8">
        <v>9627</v>
      </c>
      <c r="B9628" s="8" t="s">
        <v>41564</v>
      </c>
      <c r="C9628" s="8" t="s">
        <v>41564</v>
      </c>
      <c r="G9628" s="8">
        <v>20</v>
      </c>
      <c r="H9628" s="8" t="s">
        <v>21</v>
      </c>
      <c r="I9628" s="8" t="s">
        <v>22</v>
      </c>
      <c r="J9628" s="8" t="s">
        <v>57</v>
      </c>
      <c r="K9628" s="8" t="s">
        <v>160</v>
      </c>
      <c r="L9628" s="8" t="s">
        <v>125</v>
      </c>
      <c r="M9628" s="8" t="s">
        <v>126</v>
      </c>
      <c r="N9628" s="8" t="s">
        <v>35532</v>
      </c>
      <c r="O9628" s="8">
        <f>2+16/60+10.6/3600</f>
        <v>2.2696111111111112</v>
      </c>
      <c r="P9628" s="8" t="s">
        <v>35533</v>
      </c>
      <c r="Q9628" s="8">
        <f>-(11+55/60+32/3600)</f>
        <v>-11.925555555555555</v>
      </c>
      <c r="R9628" s="8">
        <v>13.6</v>
      </c>
      <c r="S9628" s="8">
        <v>14.3</v>
      </c>
      <c r="T9628" s="8">
        <v>0.7</v>
      </c>
      <c r="U9628" s="8">
        <v>13.6</v>
      </c>
      <c r="V9628" s="8">
        <v>2.2000000000000002</v>
      </c>
      <c r="W9628" s="8">
        <v>0.5</v>
      </c>
      <c r="X9628" s="8">
        <v>39</v>
      </c>
      <c r="Y9628" s="8" t="s">
        <v>41565</v>
      </c>
      <c r="Z9628" s="8" t="s">
        <v>41566</v>
      </c>
    </row>
    <row r="9629" spans="1:26" x14ac:dyDescent="0.2">
      <c r="A9629" s="8">
        <v>9628</v>
      </c>
      <c r="B9629" s="8" t="s">
        <v>41567</v>
      </c>
      <c r="C9629" s="8" t="s">
        <v>41567</v>
      </c>
      <c r="G9629" s="8">
        <v>20</v>
      </c>
      <c r="H9629" s="8" t="s">
        <v>21</v>
      </c>
      <c r="I9629" s="8" t="s">
        <v>22</v>
      </c>
      <c r="J9629" s="8" t="s">
        <v>22</v>
      </c>
      <c r="K9629" s="8" t="s">
        <v>85</v>
      </c>
      <c r="L9629" s="8" t="s">
        <v>3335</v>
      </c>
      <c r="M9629" s="8" t="s">
        <v>3336</v>
      </c>
      <c r="N9629" s="8" t="s">
        <v>41568</v>
      </c>
      <c r="O9629" s="8">
        <f>2+15/60+50.2/3600</f>
        <v>2.2639444444444443</v>
      </c>
      <c r="P9629" s="8" t="s">
        <v>32245</v>
      </c>
      <c r="Q9629" s="8">
        <f>-(31+12/60+4/3600)</f>
        <v>-31.201111111111111</v>
      </c>
      <c r="R9629" s="8">
        <v>11.6</v>
      </c>
      <c r="S9629" s="8">
        <v>12.3</v>
      </c>
      <c r="T9629" s="8">
        <v>0.7</v>
      </c>
      <c r="U9629" s="8">
        <v>13.3</v>
      </c>
      <c r="V9629" s="8">
        <v>2.6</v>
      </c>
      <c r="W9629" s="8">
        <v>1.1000000000000001</v>
      </c>
      <c r="X9629" s="8">
        <v>27</v>
      </c>
      <c r="Y9629" s="8" t="s">
        <v>41569</v>
      </c>
      <c r="Z9629" s="8" t="s">
        <v>41570</v>
      </c>
    </row>
    <row r="9630" spans="1:26" x14ac:dyDescent="0.2">
      <c r="A9630" s="8">
        <v>9629</v>
      </c>
      <c r="B9630" s="8" t="s">
        <v>41571</v>
      </c>
      <c r="C9630" s="8" t="s">
        <v>41571</v>
      </c>
      <c r="G9630" s="8">
        <v>20</v>
      </c>
      <c r="H9630" s="8" t="s">
        <v>21</v>
      </c>
      <c r="I9630" s="8" t="s">
        <v>22</v>
      </c>
      <c r="J9630" s="8" t="s">
        <v>22</v>
      </c>
      <c r="K9630" s="8" t="s">
        <v>91</v>
      </c>
      <c r="L9630" s="8" t="s">
        <v>2809</v>
      </c>
      <c r="M9630" s="8" t="s">
        <v>2810</v>
      </c>
      <c r="N9630" s="8" t="s">
        <v>41572</v>
      </c>
      <c r="O9630" s="8">
        <f>2+17/60+51.3/3600</f>
        <v>2.2975833333333333</v>
      </c>
      <c r="P9630" s="8" t="s">
        <v>41573</v>
      </c>
      <c r="Q9630" s="8">
        <f>+(32+23/60+44/3600)</f>
        <v>32.395555555555553</v>
      </c>
      <c r="R9630" s="8">
        <v>13.7</v>
      </c>
      <c r="S9630" s="8">
        <v>14.6</v>
      </c>
      <c r="T9630" s="8">
        <v>0.9</v>
      </c>
      <c r="U9630" s="8">
        <v>13.4</v>
      </c>
      <c r="V9630" s="8">
        <v>2.2000000000000002</v>
      </c>
      <c r="W9630" s="8">
        <v>0.4</v>
      </c>
      <c r="X9630" s="8">
        <v>27</v>
      </c>
      <c r="Y9630" s="8" t="s">
        <v>41574</v>
      </c>
      <c r="Z9630" s="8" t="s">
        <v>41575</v>
      </c>
    </row>
    <row r="9631" spans="1:26" x14ac:dyDescent="0.2">
      <c r="A9631" s="8">
        <v>9630</v>
      </c>
      <c r="B9631" s="8" t="s">
        <v>41576</v>
      </c>
      <c r="C9631" s="8" t="s">
        <v>41576</v>
      </c>
      <c r="G9631" s="8">
        <v>20</v>
      </c>
      <c r="H9631" s="8" t="s">
        <v>21</v>
      </c>
      <c r="I9631" s="8" t="s">
        <v>22</v>
      </c>
      <c r="J9631" s="8" t="s">
        <v>22</v>
      </c>
      <c r="K9631" s="8" t="s">
        <v>160</v>
      </c>
      <c r="L9631" s="8" t="s">
        <v>3256</v>
      </c>
      <c r="M9631" s="8" t="s">
        <v>3257</v>
      </c>
      <c r="N9631" s="8" t="s">
        <v>41577</v>
      </c>
      <c r="O9631" s="8">
        <f>2+17/60+37.9/3600</f>
        <v>2.2938611111111111</v>
      </c>
      <c r="P9631" s="8" t="s">
        <v>41578</v>
      </c>
      <c r="Q9631" s="8">
        <f>+(12+30/60+33/3600)</f>
        <v>12.509166666666667</v>
      </c>
      <c r="R9631" s="8">
        <v>14.9</v>
      </c>
      <c r="S9631" s="8">
        <v>15.6</v>
      </c>
      <c r="T9631" s="8">
        <v>0.7</v>
      </c>
      <c r="U9631" s="8">
        <v>13.4</v>
      </c>
      <c r="V9631" s="8">
        <v>1</v>
      </c>
      <c r="W9631" s="8">
        <v>0.3</v>
      </c>
      <c r="X9631" s="8">
        <v>65</v>
      </c>
      <c r="Y9631" s="8" t="s">
        <v>33652</v>
      </c>
      <c r="Z9631" s="8" t="s">
        <v>33653</v>
      </c>
    </row>
    <row r="9632" spans="1:26" x14ac:dyDescent="0.2">
      <c r="A9632" s="8">
        <v>9631</v>
      </c>
      <c r="B9632" s="8" t="s">
        <v>41579</v>
      </c>
      <c r="C9632" s="8" t="s">
        <v>41579</v>
      </c>
      <c r="G9632" s="8">
        <v>20</v>
      </c>
      <c r="H9632" s="8" t="s">
        <v>21</v>
      </c>
      <c r="I9632" s="8" t="s">
        <v>22</v>
      </c>
      <c r="J9632" s="8" t="s">
        <v>22</v>
      </c>
      <c r="K9632" s="8" t="s">
        <v>37</v>
      </c>
      <c r="L9632" s="8" t="s">
        <v>3256</v>
      </c>
      <c r="M9632" s="8" t="s">
        <v>3257</v>
      </c>
      <c r="N9632" s="8" t="s">
        <v>41580</v>
      </c>
      <c r="O9632" s="8">
        <f>2+17/60+41.3/3600</f>
        <v>2.2948055555555555</v>
      </c>
      <c r="P9632" s="8" t="s">
        <v>41581</v>
      </c>
      <c r="Q9632" s="8">
        <f>+(12+28/60+13/3600)</f>
        <v>12.470277777777778</v>
      </c>
      <c r="R9632" s="8">
        <v>13.3</v>
      </c>
      <c r="S9632" s="8">
        <v>14.3</v>
      </c>
      <c r="T9632" s="8">
        <v>1</v>
      </c>
      <c r="U9632" s="8">
        <v>13.1</v>
      </c>
      <c r="V9632" s="8">
        <v>1</v>
      </c>
      <c r="W9632" s="8">
        <v>1</v>
      </c>
      <c r="Y9632" s="8" t="s">
        <v>21</v>
      </c>
      <c r="Z9632" s="8" t="s">
        <v>41582</v>
      </c>
    </row>
    <row r="9633" spans="1:26" x14ac:dyDescent="0.2">
      <c r="A9633" s="8">
        <v>9632</v>
      </c>
      <c r="B9633" s="8" t="s">
        <v>41583</v>
      </c>
      <c r="C9633" s="8" t="s">
        <v>41583</v>
      </c>
      <c r="G9633" s="8">
        <v>20</v>
      </c>
      <c r="H9633" s="8" t="s">
        <v>21</v>
      </c>
      <c r="I9633" s="8" t="s">
        <v>22</v>
      </c>
      <c r="J9633" s="8" t="s">
        <v>22</v>
      </c>
      <c r="K9633" s="8" t="s">
        <v>31</v>
      </c>
      <c r="L9633" s="8" t="s">
        <v>2809</v>
      </c>
      <c r="M9633" s="8" t="s">
        <v>2810</v>
      </c>
      <c r="N9633" s="8" t="s">
        <v>41584</v>
      </c>
      <c r="O9633" s="8">
        <f>2+19/60+1.1/3600</f>
        <v>2.3169722222222218</v>
      </c>
      <c r="P9633" s="8" t="s">
        <v>41585</v>
      </c>
      <c r="Q9633" s="8">
        <f>+(34+27/60+42/3600)</f>
        <v>34.461666666666666</v>
      </c>
      <c r="R9633" s="8">
        <v>13.6</v>
      </c>
      <c r="S9633" s="8">
        <v>14.4</v>
      </c>
      <c r="T9633" s="8">
        <v>0.8</v>
      </c>
      <c r="U9633" s="8">
        <v>13.1</v>
      </c>
      <c r="V9633" s="8">
        <v>1.1000000000000001</v>
      </c>
      <c r="W9633" s="8">
        <v>0.7</v>
      </c>
      <c r="X9633" s="8">
        <v>33</v>
      </c>
      <c r="Y9633" s="8" t="s">
        <v>41586</v>
      </c>
      <c r="Z9633" s="8" t="s">
        <v>41587</v>
      </c>
    </row>
    <row r="9634" spans="1:26" x14ac:dyDescent="0.2">
      <c r="A9634" s="8">
        <v>9633</v>
      </c>
      <c r="B9634" s="8" t="s">
        <v>41588</v>
      </c>
      <c r="C9634" s="8" t="s">
        <v>41588</v>
      </c>
      <c r="G9634" s="8">
        <v>20</v>
      </c>
      <c r="H9634" s="8" t="s">
        <v>21</v>
      </c>
      <c r="I9634" s="8" t="s">
        <v>22</v>
      </c>
      <c r="J9634" s="8" t="s">
        <v>22</v>
      </c>
      <c r="K9634" s="8" t="s">
        <v>31</v>
      </c>
      <c r="L9634" s="8" t="s">
        <v>2809</v>
      </c>
      <c r="M9634" s="8" t="s">
        <v>2810</v>
      </c>
      <c r="N9634" s="8" t="s">
        <v>41589</v>
      </c>
      <c r="O9634" s="8">
        <f>2+21/60+32.2/3600</f>
        <v>2.3589444444444445</v>
      </c>
      <c r="P9634" s="8" t="s">
        <v>41590</v>
      </c>
      <c r="Q9634" s="8">
        <f>+(32+32/60+39/3600)</f>
        <v>32.544166666666662</v>
      </c>
      <c r="R9634" s="8">
        <v>13.8</v>
      </c>
      <c r="S9634" s="8">
        <v>14.6</v>
      </c>
      <c r="T9634" s="8">
        <v>0.8</v>
      </c>
      <c r="U9634" s="8">
        <v>13.4</v>
      </c>
      <c r="V9634" s="8">
        <v>1.5</v>
      </c>
      <c r="W9634" s="8">
        <v>0.5</v>
      </c>
      <c r="X9634" s="8">
        <v>34</v>
      </c>
      <c r="Y9634" s="8" t="s">
        <v>41591</v>
      </c>
      <c r="Z9634" s="8" t="s">
        <v>41592</v>
      </c>
    </row>
    <row r="9635" spans="1:26" x14ac:dyDescent="0.2">
      <c r="A9635" s="8">
        <v>9634</v>
      </c>
      <c r="B9635" s="8" t="s">
        <v>41593</v>
      </c>
      <c r="C9635" s="8" t="s">
        <v>41593</v>
      </c>
      <c r="G9635" s="8">
        <v>20</v>
      </c>
      <c r="H9635" s="8" t="s">
        <v>21</v>
      </c>
      <c r="I9635" s="8" t="s">
        <v>22</v>
      </c>
      <c r="J9635" s="8" t="s">
        <v>22</v>
      </c>
      <c r="K9635" s="8" t="s">
        <v>632</v>
      </c>
      <c r="L9635" s="8" t="s">
        <v>3256</v>
      </c>
      <c r="M9635" s="8" t="s">
        <v>3257</v>
      </c>
      <c r="N9635" s="8" t="s">
        <v>41594</v>
      </c>
      <c r="O9635" s="8">
        <f>2+21/60+30.1/3600</f>
        <v>2.3583611111111114</v>
      </c>
      <c r="P9635" s="8" t="s">
        <v>41595</v>
      </c>
      <c r="Q9635" s="8">
        <f>+(15+45/60+44/3600)</f>
        <v>15.762222222222222</v>
      </c>
      <c r="R9635" s="8">
        <v>13.8</v>
      </c>
      <c r="S9635" s="8">
        <v>14.7</v>
      </c>
      <c r="T9635" s="8">
        <v>0.9</v>
      </c>
      <c r="U9635" s="8">
        <v>13</v>
      </c>
      <c r="V9635" s="8">
        <v>0.9</v>
      </c>
      <c r="W9635" s="8">
        <v>0.7</v>
      </c>
      <c r="X9635" s="8">
        <v>108</v>
      </c>
      <c r="Y9635" s="8" t="s">
        <v>41596</v>
      </c>
      <c r="Z9635" s="8" t="s">
        <v>41597</v>
      </c>
    </row>
    <row r="9636" spans="1:26" x14ac:dyDescent="0.2">
      <c r="A9636" s="8">
        <v>9635</v>
      </c>
      <c r="B9636" s="8" t="s">
        <v>41598</v>
      </c>
      <c r="C9636" s="8" t="s">
        <v>41598</v>
      </c>
      <c r="G9636" s="8">
        <v>13</v>
      </c>
      <c r="H9636" s="8" t="s">
        <v>41599</v>
      </c>
      <c r="I9636" s="8" t="s">
        <v>1283</v>
      </c>
      <c r="J9636" s="8" t="s">
        <v>57</v>
      </c>
      <c r="K9636" s="8" t="s">
        <v>1284</v>
      </c>
      <c r="L9636" s="8" t="s">
        <v>559</v>
      </c>
      <c r="M9636" s="8" t="s">
        <v>560</v>
      </c>
      <c r="N9636" s="8" t="s">
        <v>4304</v>
      </c>
      <c r="O9636" s="8">
        <f>2+25/60+27.8/3600</f>
        <v>2.4243888888888887</v>
      </c>
      <c r="P9636" s="8" t="s">
        <v>4305</v>
      </c>
      <c r="Q9636" s="8">
        <f>+(62+1/60+10/3600)</f>
        <v>62.019444444444446</v>
      </c>
      <c r="R9636" s="8">
        <v>99</v>
      </c>
      <c r="S9636" s="8">
        <v>99</v>
      </c>
      <c r="T9636" s="8">
        <v>99</v>
      </c>
      <c r="U9636" s="8">
        <v>99</v>
      </c>
      <c r="V9636" s="8">
        <v>10</v>
      </c>
      <c r="W9636" s="8">
        <v>10</v>
      </c>
      <c r="Y9636" s="8" t="s">
        <v>21</v>
      </c>
      <c r="Z9636" s="8" t="s">
        <v>41600</v>
      </c>
    </row>
    <row r="9637" spans="1:26" x14ac:dyDescent="0.2">
      <c r="A9637" s="8">
        <v>9636</v>
      </c>
      <c r="B9637" s="8" t="s">
        <v>41601</v>
      </c>
      <c r="C9637" s="8" t="s">
        <v>41601</v>
      </c>
      <c r="G9637" s="8">
        <v>20</v>
      </c>
      <c r="H9637" s="8" t="s">
        <v>21</v>
      </c>
      <c r="I9637" s="8" t="s">
        <v>22</v>
      </c>
      <c r="J9637" s="8" t="s">
        <v>22</v>
      </c>
      <c r="K9637" s="8" t="s">
        <v>118</v>
      </c>
      <c r="L9637" s="8" t="s">
        <v>166</v>
      </c>
      <c r="M9637" s="8" t="s">
        <v>167</v>
      </c>
      <c r="N9637" s="8" t="s">
        <v>41602</v>
      </c>
      <c r="O9637" s="8">
        <f>2+22/60+47.3/3600</f>
        <v>2.3798055555555555</v>
      </c>
      <c r="P9637" s="8" t="s">
        <v>41603</v>
      </c>
      <c r="Q9637" s="8">
        <f>-(41+22/60+15/3600)</f>
        <v>-41.370833333333337</v>
      </c>
      <c r="R9637" s="8">
        <v>12</v>
      </c>
      <c r="S9637" s="8">
        <v>13</v>
      </c>
      <c r="T9637" s="8">
        <v>1</v>
      </c>
      <c r="U9637" s="8">
        <v>11.9</v>
      </c>
      <c r="V9637" s="8">
        <v>1.1000000000000001</v>
      </c>
      <c r="W9637" s="8">
        <v>0.9</v>
      </c>
      <c r="X9637" s="8">
        <v>86</v>
      </c>
      <c r="Y9637" s="8" t="s">
        <v>421</v>
      </c>
      <c r="Z9637" s="8" t="s">
        <v>422</v>
      </c>
    </row>
    <row r="9638" spans="1:26" x14ac:dyDescent="0.2">
      <c r="A9638" s="8">
        <v>9637</v>
      </c>
      <c r="B9638" s="8" t="s">
        <v>41604</v>
      </c>
      <c r="C9638" s="8" t="s">
        <v>41604</v>
      </c>
      <c r="G9638" s="8">
        <v>20</v>
      </c>
      <c r="H9638" s="8" t="s">
        <v>21</v>
      </c>
      <c r="I9638" s="8" t="s">
        <v>22</v>
      </c>
      <c r="J9638" s="8" t="s">
        <v>22</v>
      </c>
      <c r="K9638" s="8" t="s">
        <v>64</v>
      </c>
      <c r="L9638" s="8" t="s">
        <v>3256</v>
      </c>
      <c r="M9638" s="8" t="s">
        <v>3257</v>
      </c>
      <c r="N9638" s="8" t="s">
        <v>41605</v>
      </c>
      <c r="O9638" s="8">
        <f>2+25/60+27.9/3600</f>
        <v>2.4244166666666667</v>
      </c>
      <c r="P9638" s="8" t="s">
        <v>41606</v>
      </c>
      <c r="Q9638" s="8">
        <f>+(20+23/60+44/3600)</f>
        <v>20.395555555555553</v>
      </c>
      <c r="R9638" s="8">
        <v>14.7</v>
      </c>
      <c r="S9638" s="8">
        <v>15.4</v>
      </c>
      <c r="T9638" s="8">
        <v>0.7</v>
      </c>
      <c r="U9638" s="8">
        <v>12.4</v>
      </c>
      <c r="V9638" s="8">
        <v>0.7</v>
      </c>
      <c r="W9638" s="8">
        <v>0.2</v>
      </c>
      <c r="X9638" s="8">
        <v>138</v>
      </c>
      <c r="Y9638" s="8" t="s">
        <v>41607</v>
      </c>
      <c r="Z9638" s="8" t="s">
        <v>41608</v>
      </c>
    </row>
    <row r="9639" spans="1:26" x14ac:dyDescent="0.2">
      <c r="A9639" s="8">
        <v>9638</v>
      </c>
      <c r="B9639" s="8" t="s">
        <v>41609</v>
      </c>
      <c r="C9639" s="8" t="s">
        <v>41609</v>
      </c>
      <c r="G9639" s="8">
        <v>20</v>
      </c>
      <c r="H9639" s="8" t="s">
        <v>21</v>
      </c>
      <c r="I9639" s="8" t="s">
        <v>22</v>
      </c>
      <c r="J9639" s="8" t="s">
        <v>22</v>
      </c>
      <c r="K9639" s="8" t="s">
        <v>460</v>
      </c>
      <c r="L9639" s="8" t="s">
        <v>3256</v>
      </c>
      <c r="M9639" s="8" t="s">
        <v>3257</v>
      </c>
      <c r="N9639" s="8" t="s">
        <v>41610</v>
      </c>
      <c r="O9639" s="8">
        <f>2+26/60+15.5/3600</f>
        <v>2.4376388888888889</v>
      </c>
      <c r="P9639" s="8" t="s">
        <v>41611</v>
      </c>
      <c r="Q9639" s="8">
        <f>+(13+25/60+51/3600)</f>
        <v>13.430833333333332</v>
      </c>
      <c r="R9639" s="8">
        <v>15.5</v>
      </c>
      <c r="S9639" s="8">
        <v>16.5</v>
      </c>
      <c r="T9639" s="8">
        <v>1</v>
      </c>
      <c r="U9639" s="8">
        <v>13</v>
      </c>
      <c r="V9639" s="8">
        <v>0.3</v>
      </c>
      <c r="W9639" s="8">
        <v>0.3</v>
      </c>
      <c r="Y9639" s="8" t="s">
        <v>41612</v>
      </c>
      <c r="Z9639" s="8" t="s">
        <v>41613</v>
      </c>
    </row>
    <row r="9640" spans="1:26" x14ac:dyDescent="0.2">
      <c r="A9640" s="8">
        <v>9639</v>
      </c>
      <c r="B9640" s="8" t="s">
        <v>41614</v>
      </c>
      <c r="C9640" s="8" t="s">
        <v>41614</v>
      </c>
      <c r="G9640" s="8">
        <v>20</v>
      </c>
      <c r="H9640" s="8" t="s">
        <v>21</v>
      </c>
      <c r="I9640" s="8" t="s">
        <v>22</v>
      </c>
      <c r="J9640" s="8" t="s">
        <v>57</v>
      </c>
      <c r="K9640" s="8" t="s">
        <v>476</v>
      </c>
      <c r="L9640" s="8" t="s">
        <v>51</v>
      </c>
      <c r="M9640" s="8" t="s">
        <v>52</v>
      </c>
      <c r="N9640" s="8" t="s">
        <v>4398</v>
      </c>
      <c r="O9640" s="8">
        <f>2+28/60+45.8/3600</f>
        <v>2.4793888888888889</v>
      </c>
      <c r="P9640" s="8" t="s">
        <v>4399</v>
      </c>
      <c r="Q9640" s="8">
        <f>+(45+58/60+16/3600)</f>
        <v>45.971111111111114</v>
      </c>
      <c r="R9640" s="8">
        <v>13.7</v>
      </c>
      <c r="S9640" s="8">
        <v>14.6</v>
      </c>
      <c r="T9640" s="8">
        <v>0.9</v>
      </c>
      <c r="U9640" s="8">
        <v>12.8</v>
      </c>
      <c r="V9640" s="8">
        <v>1.1000000000000001</v>
      </c>
      <c r="W9640" s="8">
        <v>0.4</v>
      </c>
      <c r="X9640" s="8">
        <v>34</v>
      </c>
      <c r="Y9640" s="8" t="s">
        <v>21</v>
      </c>
      <c r="Z9640" s="8" t="s">
        <v>41615</v>
      </c>
    </row>
    <row r="9641" spans="1:26" x14ac:dyDescent="0.2">
      <c r="A9641" s="8">
        <v>9640</v>
      </c>
      <c r="B9641" s="8" t="s">
        <v>41616</v>
      </c>
      <c r="C9641" s="8" t="s">
        <v>41616</v>
      </c>
      <c r="G9641" s="8">
        <v>20</v>
      </c>
      <c r="H9641" s="8" t="s">
        <v>21</v>
      </c>
      <c r="I9641" s="8" t="s">
        <v>72</v>
      </c>
      <c r="J9641" s="8" t="s">
        <v>72</v>
      </c>
      <c r="K9641" s="8" t="s">
        <v>73</v>
      </c>
      <c r="L9641" s="8" t="s">
        <v>2809</v>
      </c>
      <c r="M9641" s="8" t="s">
        <v>2810</v>
      </c>
      <c r="N9641" s="8" t="s">
        <v>41617</v>
      </c>
      <c r="O9641" s="8">
        <f>2+28/60+31.4/3600</f>
        <v>2.4753888888888889</v>
      </c>
      <c r="P9641" s="8" t="s">
        <v>41618</v>
      </c>
      <c r="Q9641" s="8">
        <f>+(31+24/60+48/3600)</f>
        <v>31.41333333333333</v>
      </c>
      <c r="R9641" s="8">
        <v>99</v>
      </c>
      <c r="S9641" s="8">
        <v>99</v>
      </c>
      <c r="T9641" s="8">
        <v>99</v>
      </c>
      <c r="U9641" s="8">
        <v>99</v>
      </c>
      <c r="Y9641" s="8" t="s">
        <v>21</v>
      </c>
      <c r="Z9641" s="8" t="s">
        <v>41619</v>
      </c>
    </row>
    <row r="9642" spans="1:26" x14ac:dyDescent="0.2">
      <c r="A9642" s="8">
        <v>9641</v>
      </c>
      <c r="B9642" s="8" t="s">
        <v>41620</v>
      </c>
      <c r="C9642" s="8" t="s">
        <v>41620</v>
      </c>
      <c r="G9642" s="8">
        <v>20</v>
      </c>
      <c r="H9642" s="8" t="s">
        <v>21</v>
      </c>
      <c r="I9642" s="8" t="s">
        <v>22</v>
      </c>
      <c r="J9642" s="8" t="s">
        <v>22</v>
      </c>
      <c r="K9642" s="8" t="s">
        <v>218</v>
      </c>
      <c r="L9642" s="8" t="s">
        <v>3256</v>
      </c>
      <c r="M9642" s="8" t="s">
        <v>3257</v>
      </c>
      <c r="N9642" s="8" t="s">
        <v>41621</v>
      </c>
      <c r="O9642" s="8">
        <f>2+28/60+12.9/3600</f>
        <v>2.4702500000000001</v>
      </c>
      <c r="P9642" s="8" t="s">
        <v>41622</v>
      </c>
      <c r="Q9642" s="8">
        <f>+(19+34/60+59/3600)</f>
        <v>19.583055555555557</v>
      </c>
      <c r="R9642" s="8">
        <v>13.8</v>
      </c>
      <c r="S9642" s="8">
        <v>14.6</v>
      </c>
      <c r="T9642" s="8">
        <v>0.8</v>
      </c>
      <c r="U9642" s="8">
        <v>13.6</v>
      </c>
      <c r="V9642" s="8">
        <v>1.6</v>
      </c>
      <c r="W9642" s="8">
        <v>0.6</v>
      </c>
      <c r="X9642" s="8">
        <v>40</v>
      </c>
      <c r="Y9642" s="8" t="s">
        <v>41623</v>
      </c>
      <c r="Z9642" s="8" t="s">
        <v>41624</v>
      </c>
    </row>
    <row r="9643" spans="1:26" x14ac:dyDescent="0.2">
      <c r="A9643" s="8">
        <v>9642</v>
      </c>
      <c r="B9643" s="8" t="s">
        <v>41625</v>
      </c>
      <c r="C9643" s="8" t="s">
        <v>41625</v>
      </c>
      <c r="G9643" s="8">
        <v>20</v>
      </c>
      <c r="H9643" s="8" t="s">
        <v>21</v>
      </c>
      <c r="I9643" s="8" t="s">
        <v>22</v>
      </c>
      <c r="J9643" s="8" t="s">
        <v>22</v>
      </c>
      <c r="K9643" s="8" t="s">
        <v>37</v>
      </c>
      <c r="L9643" s="8" t="s">
        <v>3256</v>
      </c>
      <c r="M9643" s="8" t="s">
        <v>3257</v>
      </c>
      <c r="N9643" s="8" t="s">
        <v>41626</v>
      </c>
      <c r="O9643" s="8">
        <f>2+29/60+13.9/3600</f>
        <v>2.4871944444444445</v>
      </c>
      <c r="P9643" s="8" t="s">
        <v>41627</v>
      </c>
      <c r="Q9643" s="8">
        <f>+(23+5/60+0/3600)</f>
        <v>23.083333333333332</v>
      </c>
      <c r="R9643" s="8">
        <v>13.4</v>
      </c>
      <c r="S9643" s="8">
        <v>14.6</v>
      </c>
      <c r="T9643" s="8">
        <v>1.2</v>
      </c>
      <c r="U9643" s="8">
        <v>13.6</v>
      </c>
      <c r="V9643" s="8">
        <v>1.3</v>
      </c>
      <c r="W9643" s="8">
        <v>1.1000000000000001</v>
      </c>
      <c r="X9643" s="8">
        <v>115</v>
      </c>
      <c r="Y9643" s="8" t="s">
        <v>41628</v>
      </c>
      <c r="Z9643" s="8" t="s">
        <v>41629</v>
      </c>
    </row>
    <row r="9644" spans="1:26" x14ac:dyDescent="0.2">
      <c r="A9644" s="8">
        <v>9643</v>
      </c>
      <c r="B9644" s="8" t="s">
        <v>41630</v>
      </c>
      <c r="C9644" s="8" t="s">
        <v>41630</v>
      </c>
      <c r="G9644" s="8">
        <v>20</v>
      </c>
      <c r="H9644" s="8" t="s">
        <v>21</v>
      </c>
      <c r="I9644" s="8" t="s">
        <v>22</v>
      </c>
      <c r="J9644" s="8" t="s">
        <v>22</v>
      </c>
      <c r="K9644" s="8" t="s">
        <v>424</v>
      </c>
      <c r="L9644" s="8" t="s">
        <v>3256</v>
      </c>
      <c r="M9644" s="8" t="s">
        <v>3257</v>
      </c>
      <c r="N9644" s="8" t="s">
        <v>41631</v>
      </c>
      <c r="O9644" s="8">
        <f>2+29/60+17.2/3600</f>
        <v>2.4881111111111114</v>
      </c>
      <c r="P9644" s="8" t="s">
        <v>41632</v>
      </c>
      <c r="Q9644" s="8">
        <f>+(23+8/60+27/3600)</f>
        <v>23.140833333333333</v>
      </c>
      <c r="R9644" s="8">
        <v>15</v>
      </c>
      <c r="S9644" s="8">
        <v>16</v>
      </c>
      <c r="T9644" s="8">
        <v>1</v>
      </c>
      <c r="U9644" s="8">
        <v>11.8</v>
      </c>
      <c r="V9644" s="8">
        <v>0.3</v>
      </c>
      <c r="W9644" s="8">
        <v>0.2</v>
      </c>
      <c r="X9644" s="8">
        <v>0</v>
      </c>
      <c r="Y9644" s="8" t="s">
        <v>41633</v>
      </c>
      <c r="Z9644" s="8" t="s">
        <v>41634</v>
      </c>
    </row>
    <row r="9645" spans="1:26" x14ac:dyDescent="0.2">
      <c r="A9645" s="8">
        <v>9644</v>
      </c>
      <c r="B9645" s="8" t="s">
        <v>41635</v>
      </c>
      <c r="C9645" s="8" t="s">
        <v>41635</v>
      </c>
      <c r="E9645" s="8">
        <v>1</v>
      </c>
      <c r="G9645" s="8">
        <v>20</v>
      </c>
      <c r="H9645" s="8" t="s">
        <v>21</v>
      </c>
      <c r="I9645" s="8" t="s">
        <v>22</v>
      </c>
      <c r="J9645" s="8" t="s">
        <v>22</v>
      </c>
      <c r="K9645" s="8" t="s">
        <v>50</v>
      </c>
      <c r="L9645" s="8" t="s">
        <v>3256</v>
      </c>
      <c r="M9645" s="8" t="s">
        <v>3257</v>
      </c>
      <c r="N9645" s="8" t="s">
        <v>41636</v>
      </c>
      <c r="O9645" s="8">
        <f>2+29/60+54.4/3600</f>
        <v>2.4984444444444445</v>
      </c>
      <c r="P9645" s="8" t="s">
        <v>41637</v>
      </c>
      <c r="Q9645" s="8">
        <f>+(23+5/60+50/3600)</f>
        <v>23.097222222222221</v>
      </c>
      <c r="R9645" s="8">
        <v>13.9</v>
      </c>
      <c r="S9645" s="8">
        <v>14.9</v>
      </c>
      <c r="T9645" s="8">
        <v>1</v>
      </c>
      <c r="U9645" s="8">
        <v>13</v>
      </c>
      <c r="V9645" s="8">
        <v>0.8</v>
      </c>
      <c r="W9645" s="8">
        <v>0.5</v>
      </c>
      <c r="Y9645" s="8" t="s">
        <v>1694</v>
      </c>
      <c r="Z9645" s="8" t="s">
        <v>38252</v>
      </c>
    </row>
    <row r="9646" spans="1:26" x14ac:dyDescent="0.2">
      <c r="A9646" s="8">
        <v>9645</v>
      </c>
      <c r="B9646" s="8" t="s">
        <v>41638</v>
      </c>
      <c r="C9646" s="8" t="s">
        <v>41638</v>
      </c>
      <c r="G9646" s="8">
        <v>5</v>
      </c>
      <c r="H9646" s="8" t="s">
        <v>41639</v>
      </c>
      <c r="I9646" s="8" t="s">
        <v>557</v>
      </c>
      <c r="J9646" s="8" t="s">
        <v>557</v>
      </c>
      <c r="K9646" s="8" t="s">
        <v>32704</v>
      </c>
      <c r="L9646" s="8" t="s">
        <v>559</v>
      </c>
      <c r="M9646" s="8" t="s">
        <v>560</v>
      </c>
      <c r="N9646" s="8" t="s">
        <v>41640</v>
      </c>
      <c r="O9646" s="8">
        <f>2+32/60+48/3600</f>
        <v>2.5466666666666664</v>
      </c>
      <c r="P9646" s="8" t="s">
        <v>41641</v>
      </c>
      <c r="Q9646" s="8">
        <f>+(61+27/60+42/3600)</f>
        <v>61.461666666666666</v>
      </c>
      <c r="R9646" s="8">
        <v>6.5</v>
      </c>
      <c r="S9646" s="8">
        <v>99</v>
      </c>
      <c r="T9646" s="8">
        <v>99</v>
      </c>
      <c r="U9646" s="8">
        <v>99</v>
      </c>
      <c r="V9646" s="8">
        <v>20</v>
      </c>
      <c r="Y9646" s="8" t="s">
        <v>21</v>
      </c>
      <c r="Z9646" s="8" t="s">
        <v>41642</v>
      </c>
    </row>
    <row r="9647" spans="1:26" x14ac:dyDescent="0.2">
      <c r="A9647" s="8">
        <v>9646</v>
      </c>
      <c r="B9647" s="8" t="s">
        <v>41643</v>
      </c>
      <c r="C9647" s="8" t="s">
        <v>41643</v>
      </c>
      <c r="G9647" s="8">
        <v>20</v>
      </c>
      <c r="H9647" s="8" t="s">
        <v>21</v>
      </c>
      <c r="I9647" s="8" t="s">
        <v>22</v>
      </c>
      <c r="J9647" s="8" t="s">
        <v>22</v>
      </c>
      <c r="K9647" s="8" t="s">
        <v>382</v>
      </c>
      <c r="L9647" s="8" t="s">
        <v>3256</v>
      </c>
      <c r="M9647" s="8" t="s">
        <v>3257</v>
      </c>
      <c r="N9647" s="8" t="s">
        <v>41644</v>
      </c>
      <c r="O9647" s="8">
        <f>2+29/60+34.9/3600</f>
        <v>2.4930277777777778</v>
      </c>
      <c r="P9647" s="8" t="s">
        <v>41645</v>
      </c>
      <c r="Q9647" s="8">
        <f>+(22+56/60+38/3600)</f>
        <v>22.943888888888889</v>
      </c>
      <c r="R9647" s="8">
        <v>15.1</v>
      </c>
      <c r="S9647" s="8">
        <v>16.100000000000001</v>
      </c>
      <c r="T9647" s="8">
        <v>1</v>
      </c>
      <c r="U9647" s="8">
        <v>14</v>
      </c>
      <c r="V9647" s="8">
        <v>0.7</v>
      </c>
      <c r="W9647" s="8">
        <v>0.5</v>
      </c>
      <c r="X9647" s="8">
        <v>135</v>
      </c>
      <c r="Y9647" s="8" t="s">
        <v>3668</v>
      </c>
      <c r="Z9647" s="8" t="s">
        <v>3669</v>
      </c>
    </row>
    <row r="9648" spans="1:26" x14ac:dyDescent="0.2">
      <c r="A9648" s="8">
        <v>9647</v>
      </c>
      <c r="B9648" s="8" t="s">
        <v>41646</v>
      </c>
      <c r="C9648" s="8" t="s">
        <v>41646</v>
      </c>
      <c r="G9648" s="8">
        <v>20</v>
      </c>
      <c r="H9648" s="8" t="s">
        <v>21</v>
      </c>
      <c r="I9648" s="8" t="s">
        <v>22</v>
      </c>
      <c r="J9648" s="8" t="s">
        <v>22</v>
      </c>
      <c r="K9648" s="8" t="s">
        <v>460</v>
      </c>
      <c r="L9648" s="8" t="s">
        <v>3256</v>
      </c>
      <c r="M9648" s="8" t="s">
        <v>3257</v>
      </c>
      <c r="N9648" s="8" t="s">
        <v>41647</v>
      </c>
      <c r="O9648" s="8">
        <f>2+30/60+30.9/3600</f>
        <v>2.5085833333333332</v>
      </c>
      <c r="P9648" s="8" t="s">
        <v>41648</v>
      </c>
      <c r="Q9648" s="8">
        <f>+(22+57/60+1/3600)</f>
        <v>22.950277777777778</v>
      </c>
      <c r="R9648" s="8">
        <v>14.7</v>
      </c>
      <c r="S9648" s="8">
        <v>15.7</v>
      </c>
      <c r="T9648" s="8">
        <v>1</v>
      </c>
      <c r="U9648" s="8">
        <v>12.8</v>
      </c>
      <c r="V9648" s="8">
        <v>0.4</v>
      </c>
      <c r="W9648" s="8">
        <v>0.4</v>
      </c>
      <c r="Y9648" s="8" t="s">
        <v>1212</v>
      </c>
      <c r="Z9648" s="8" t="s">
        <v>1213</v>
      </c>
    </row>
    <row r="9649" spans="1:26" x14ac:dyDescent="0.2">
      <c r="A9649" s="8">
        <v>9648</v>
      </c>
      <c r="B9649" s="8" t="s">
        <v>41649</v>
      </c>
      <c r="C9649" s="8" t="s">
        <v>41649</v>
      </c>
      <c r="G9649" s="8">
        <v>20</v>
      </c>
      <c r="H9649" s="8" t="s">
        <v>21</v>
      </c>
      <c r="I9649" s="8" t="s">
        <v>22</v>
      </c>
      <c r="J9649" s="8" t="s">
        <v>57</v>
      </c>
      <c r="K9649" s="8" t="s">
        <v>4219</v>
      </c>
      <c r="L9649" s="8" t="s">
        <v>125</v>
      </c>
      <c r="M9649" s="8" t="s">
        <v>126</v>
      </c>
      <c r="N9649" s="8" t="s">
        <v>4593</v>
      </c>
      <c r="O9649" s="8">
        <f>2+30/60+31.1/3600</f>
        <v>2.5086388888888891</v>
      </c>
      <c r="P9649" s="8" t="s">
        <v>4594</v>
      </c>
      <c r="Q9649" s="8">
        <f>-(4+12/60+56/3600)</f>
        <v>-4.2155555555555555</v>
      </c>
      <c r="R9649" s="8">
        <v>13.7</v>
      </c>
      <c r="S9649" s="8">
        <v>14.3</v>
      </c>
      <c r="T9649" s="8">
        <v>0.6</v>
      </c>
      <c r="U9649" s="8">
        <v>12.8</v>
      </c>
      <c r="V9649" s="8">
        <v>0.7</v>
      </c>
      <c r="W9649" s="8">
        <v>0.7</v>
      </c>
      <c r="Y9649" s="8" t="s">
        <v>37584</v>
      </c>
      <c r="Z9649" s="8" t="s">
        <v>37595</v>
      </c>
    </row>
    <row r="9650" spans="1:26" x14ac:dyDescent="0.2">
      <c r="A9650" s="8">
        <v>9649</v>
      </c>
      <c r="B9650" s="8" t="s">
        <v>41650</v>
      </c>
      <c r="C9650" s="8" t="s">
        <v>41650</v>
      </c>
      <c r="G9650" s="8">
        <v>20</v>
      </c>
      <c r="H9650" s="8" t="s">
        <v>21</v>
      </c>
      <c r="I9650" s="8" t="s">
        <v>22</v>
      </c>
      <c r="J9650" s="8" t="s">
        <v>22</v>
      </c>
      <c r="K9650" s="8" t="s">
        <v>218</v>
      </c>
      <c r="L9650" s="8" t="s">
        <v>3256</v>
      </c>
      <c r="M9650" s="8" t="s">
        <v>3257</v>
      </c>
      <c r="N9650" s="8" t="s">
        <v>41651</v>
      </c>
      <c r="O9650" s="8">
        <f>2+31/60+40.5/3600</f>
        <v>2.5279166666666666</v>
      </c>
      <c r="P9650" s="8" t="s">
        <v>41652</v>
      </c>
      <c r="Q9650" s="8">
        <f>+(22+55/60+3/3600)</f>
        <v>22.9175</v>
      </c>
      <c r="R9650" s="8">
        <v>13.9</v>
      </c>
      <c r="S9650" s="8">
        <v>14.7</v>
      </c>
      <c r="T9650" s="8">
        <v>0.8</v>
      </c>
      <c r="U9650" s="8">
        <v>13</v>
      </c>
      <c r="V9650" s="8">
        <v>0.9</v>
      </c>
      <c r="W9650" s="8">
        <v>0.7</v>
      </c>
      <c r="X9650" s="8">
        <v>128</v>
      </c>
      <c r="Y9650" s="8" t="s">
        <v>41653</v>
      </c>
      <c r="Z9650" s="8" t="s">
        <v>41654</v>
      </c>
    </row>
    <row r="9651" spans="1:26" x14ac:dyDescent="0.2">
      <c r="A9651" s="8">
        <v>9650</v>
      </c>
      <c r="B9651" s="8" t="s">
        <v>41655</v>
      </c>
      <c r="C9651" s="8" t="s">
        <v>41655</v>
      </c>
      <c r="G9651" s="8">
        <v>20</v>
      </c>
      <c r="H9651" s="8" t="s">
        <v>21</v>
      </c>
      <c r="I9651" s="8" t="s">
        <v>22</v>
      </c>
      <c r="J9651" s="8" t="s">
        <v>22</v>
      </c>
      <c r="K9651" s="8" t="s">
        <v>406</v>
      </c>
      <c r="L9651" s="8" t="s">
        <v>3328</v>
      </c>
      <c r="M9651" s="8" t="s">
        <v>3329</v>
      </c>
      <c r="N9651" s="8" t="s">
        <v>41656</v>
      </c>
      <c r="O9651" s="8">
        <f>2+29/60+26.6/3600</f>
        <v>2.4907222222222223</v>
      </c>
      <c r="P9651" s="8" t="s">
        <v>41657</v>
      </c>
      <c r="Q9651" s="8">
        <f>-(43+4/60+36/3600)</f>
        <v>-43.076666666666668</v>
      </c>
      <c r="R9651" s="8">
        <v>13.2</v>
      </c>
      <c r="S9651" s="8">
        <v>14</v>
      </c>
      <c r="T9651" s="8">
        <v>0.8</v>
      </c>
      <c r="U9651" s="8">
        <v>13.3</v>
      </c>
      <c r="V9651" s="8">
        <v>1.3</v>
      </c>
      <c r="W9651" s="8">
        <v>1</v>
      </c>
      <c r="X9651" s="8">
        <v>122</v>
      </c>
      <c r="Y9651" s="8" t="s">
        <v>41658</v>
      </c>
      <c r="Z9651" s="8" t="s">
        <v>41659</v>
      </c>
    </row>
    <row r="9652" spans="1:26" x14ac:dyDescent="0.2">
      <c r="A9652" s="8">
        <v>9651</v>
      </c>
      <c r="B9652" s="8" t="s">
        <v>41660</v>
      </c>
      <c r="C9652" s="8" t="s">
        <v>41660</v>
      </c>
      <c r="G9652" s="8">
        <v>20</v>
      </c>
      <c r="H9652" s="8" t="s">
        <v>21</v>
      </c>
      <c r="I9652" s="8" t="s">
        <v>22</v>
      </c>
      <c r="J9652" s="8" t="s">
        <v>22</v>
      </c>
      <c r="K9652" s="8" t="s">
        <v>406</v>
      </c>
      <c r="L9652" s="8" t="s">
        <v>3335</v>
      </c>
      <c r="M9652" s="8" t="s">
        <v>3336</v>
      </c>
      <c r="N9652" s="8" t="s">
        <v>41661</v>
      </c>
      <c r="O9652" s="8">
        <f>2+30/60+38/3600</f>
        <v>2.5105555555555554</v>
      </c>
      <c r="P9652" s="8" t="s">
        <v>41662</v>
      </c>
      <c r="Q9652" s="8">
        <f>-(34+15/60+53/3600)</f>
        <v>-34.264722222222225</v>
      </c>
      <c r="R9652" s="8">
        <v>13.4</v>
      </c>
      <c r="S9652" s="8">
        <v>14.2</v>
      </c>
      <c r="T9652" s="8">
        <v>0.8</v>
      </c>
      <c r="U9652" s="8">
        <v>13.1</v>
      </c>
      <c r="V9652" s="8">
        <v>1.3</v>
      </c>
      <c r="W9652" s="8">
        <v>0.9</v>
      </c>
      <c r="X9652" s="8">
        <v>7</v>
      </c>
      <c r="Y9652" s="8" t="s">
        <v>21</v>
      </c>
      <c r="Z9652" s="8" t="s">
        <v>41663</v>
      </c>
    </row>
    <row r="9653" spans="1:26" x14ac:dyDescent="0.2">
      <c r="A9653" s="8">
        <v>9652</v>
      </c>
      <c r="B9653" s="8" t="s">
        <v>41664</v>
      </c>
      <c r="C9653" s="8" t="s">
        <v>41664</v>
      </c>
      <c r="G9653" s="8">
        <v>20</v>
      </c>
      <c r="H9653" s="8" t="s">
        <v>21</v>
      </c>
      <c r="I9653" s="8" t="s">
        <v>22</v>
      </c>
      <c r="J9653" s="8" t="s">
        <v>22</v>
      </c>
      <c r="K9653" s="8" t="s">
        <v>1136</v>
      </c>
      <c r="L9653" s="8" t="s">
        <v>3328</v>
      </c>
      <c r="M9653" s="8" t="s">
        <v>3329</v>
      </c>
      <c r="N9653" s="8" t="s">
        <v>41665</v>
      </c>
      <c r="O9653" s="8">
        <f>2+29/60+31.8/3600</f>
        <v>2.4921666666666669</v>
      </c>
      <c r="P9653" s="8" t="s">
        <v>41666</v>
      </c>
      <c r="Q9653" s="8">
        <f>-(42+48/60+41/3600)</f>
        <v>-42.811388888888885</v>
      </c>
      <c r="R9653" s="8">
        <v>12.2</v>
      </c>
      <c r="S9653" s="8">
        <v>13.2</v>
      </c>
      <c r="T9653" s="8">
        <v>1</v>
      </c>
      <c r="U9653" s="8">
        <v>13.3</v>
      </c>
      <c r="V9653" s="8">
        <v>2</v>
      </c>
      <c r="W9653" s="8">
        <v>1.6</v>
      </c>
      <c r="X9653" s="8">
        <v>24</v>
      </c>
      <c r="Y9653" s="8" t="s">
        <v>36198</v>
      </c>
      <c r="Z9653" s="8" t="s">
        <v>36199</v>
      </c>
    </row>
    <row r="9654" spans="1:26" x14ac:dyDescent="0.2">
      <c r="A9654" s="8">
        <v>9653</v>
      </c>
      <c r="B9654" s="8" t="s">
        <v>41667</v>
      </c>
      <c r="C9654" s="8" t="s">
        <v>41667</v>
      </c>
      <c r="G9654" s="8">
        <v>20</v>
      </c>
      <c r="H9654" s="8" t="s">
        <v>21</v>
      </c>
      <c r="I9654" s="8" t="s">
        <v>22</v>
      </c>
      <c r="J9654" s="8" t="s">
        <v>22</v>
      </c>
      <c r="K9654" s="8" t="s">
        <v>632</v>
      </c>
      <c r="L9654" s="8" t="s">
        <v>3335</v>
      </c>
      <c r="M9654" s="8" t="s">
        <v>3336</v>
      </c>
      <c r="N9654" s="8" t="s">
        <v>41668</v>
      </c>
      <c r="O9654" s="8">
        <f>2+30/60+49.6/3600</f>
        <v>2.5137777777777779</v>
      </c>
      <c r="P9654" s="8" t="s">
        <v>41669</v>
      </c>
      <c r="Q9654" s="8">
        <f>-(34+13/60+18/3600)</f>
        <v>-34.221666666666671</v>
      </c>
      <c r="R9654" s="8">
        <v>13.2</v>
      </c>
      <c r="S9654" s="8">
        <v>14.1</v>
      </c>
      <c r="T9654" s="8">
        <v>0.9</v>
      </c>
      <c r="U9654" s="8">
        <v>13.1</v>
      </c>
      <c r="V9654" s="8">
        <v>1.2</v>
      </c>
      <c r="W9654" s="8">
        <v>0.8</v>
      </c>
      <c r="X9654" s="8">
        <v>102</v>
      </c>
      <c r="Y9654" s="8" t="s">
        <v>21</v>
      </c>
      <c r="Z9654" s="8" t="s">
        <v>41670</v>
      </c>
    </row>
    <row r="9655" spans="1:26" x14ac:dyDescent="0.2">
      <c r="A9655" s="8">
        <v>9654</v>
      </c>
      <c r="B9655" s="8" t="s">
        <v>41671</v>
      </c>
      <c r="C9655" s="8" t="s">
        <v>41671</v>
      </c>
      <c r="G9655" s="8">
        <v>20</v>
      </c>
      <c r="H9655" s="8" t="s">
        <v>21</v>
      </c>
      <c r="I9655" s="8" t="s">
        <v>22</v>
      </c>
      <c r="J9655" s="8" t="s">
        <v>57</v>
      </c>
      <c r="K9655" s="8" t="s">
        <v>31</v>
      </c>
      <c r="L9655" s="8" t="s">
        <v>3335</v>
      </c>
      <c r="M9655" s="8" t="s">
        <v>3336</v>
      </c>
      <c r="N9655" s="8" t="s">
        <v>4598</v>
      </c>
      <c r="O9655" s="8">
        <f>2+31/60+5.7/3600</f>
        <v>2.5182500000000001</v>
      </c>
      <c r="P9655" s="8" t="s">
        <v>4599</v>
      </c>
      <c r="Q9655" s="8">
        <f>-(36+2/60+5/3600)</f>
        <v>-36.034722222222221</v>
      </c>
      <c r="R9655" s="8">
        <v>12.4</v>
      </c>
      <c r="S9655" s="8">
        <v>13.2</v>
      </c>
      <c r="T9655" s="8">
        <v>0.8</v>
      </c>
      <c r="U9655" s="8">
        <v>12.2</v>
      </c>
      <c r="V9655" s="8">
        <v>2.1</v>
      </c>
      <c r="W9655" s="8">
        <v>0.5</v>
      </c>
      <c r="X9655" s="8">
        <v>31</v>
      </c>
      <c r="Y9655" s="8" t="s">
        <v>41672</v>
      </c>
      <c r="Z9655" s="8" t="s">
        <v>29602</v>
      </c>
    </row>
    <row r="9656" spans="1:26" x14ac:dyDescent="0.2">
      <c r="A9656" s="8">
        <v>9655</v>
      </c>
      <c r="B9656" s="8" t="s">
        <v>41673</v>
      </c>
      <c r="C9656" s="8" t="s">
        <v>41673</v>
      </c>
      <c r="G9656" s="8">
        <v>20</v>
      </c>
      <c r="H9656" s="8" t="s">
        <v>21</v>
      </c>
      <c r="I9656" s="8" t="s">
        <v>22</v>
      </c>
      <c r="J9656" s="8" t="s">
        <v>22</v>
      </c>
      <c r="K9656" s="8" t="s">
        <v>224</v>
      </c>
      <c r="L9656" s="8" t="s">
        <v>2809</v>
      </c>
      <c r="M9656" s="8" t="s">
        <v>2810</v>
      </c>
      <c r="N9656" s="8" t="s">
        <v>41674</v>
      </c>
      <c r="O9656" s="8">
        <f>2+34/60+19.9/3600</f>
        <v>2.572194444444444</v>
      </c>
      <c r="P9656" s="8" t="s">
        <v>41675</v>
      </c>
      <c r="Q9656" s="8">
        <f>+(32+25/60+48/3600)</f>
        <v>32.43</v>
      </c>
      <c r="R9656" s="8">
        <v>13.3</v>
      </c>
      <c r="S9656" s="8">
        <v>14.3</v>
      </c>
      <c r="T9656" s="8">
        <v>1</v>
      </c>
      <c r="U9656" s="8">
        <v>13.6</v>
      </c>
      <c r="V9656" s="8">
        <v>1.4</v>
      </c>
      <c r="W9656" s="8">
        <v>1.1000000000000001</v>
      </c>
      <c r="X9656" s="8">
        <v>141</v>
      </c>
      <c r="Y9656" s="8" t="s">
        <v>12301</v>
      </c>
      <c r="Z9656" s="8" t="s">
        <v>12302</v>
      </c>
    </row>
    <row r="9657" spans="1:26" x14ac:dyDescent="0.2">
      <c r="A9657" s="8">
        <v>9656</v>
      </c>
      <c r="B9657" s="8" t="s">
        <v>41676</v>
      </c>
      <c r="C9657" s="8" t="s">
        <v>41676</v>
      </c>
      <c r="G9657" s="8">
        <v>20</v>
      </c>
      <c r="H9657" s="8" t="s">
        <v>21</v>
      </c>
      <c r="I9657" s="8" t="s">
        <v>22</v>
      </c>
      <c r="J9657" s="8" t="s">
        <v>22</v>
      </c>
      <c r="K9657" s="8" t="s">
        <v>406</v>
      </c>
      <c r="L9657" s="8" t="s">
        <v>3335</v>
      </c>
      <c r="M9657" s="8" t="s">
        <v>3336</v>
      </c>
      <c r="N9657" s="8" t="s">
        <v>41677</v>
      </c>
      <c r="O9657" s="8">
        <f>2+31/60+51/3600</f>
        <v>2.5308333333333333</v>
      </c>
      <c r="P9657" s="8" t="s">
        <v>41678</v>
      </c>
      <c r="Q9657" s="8">
        <f>-(36+40/60+20/3600)</f>
        <v>-36.672222222222217</v>
      </c>
      <c r="R9657" s="8">
        <v>12.8</v>
      </c>
      <c r="S9657" s="8">
        <v>13.6</v>
      </c>
      <c r="T9657" s="8">
        <v>0.8</v>
      </c>
      <c r="U9657" s="8">
        <v>13.2</v>
      </c>
      <c r="V9657" s="8">
        <v>1.4</v>
      </c>
      <c r="W9657" s="8">
        <v>1.2</v>
      </c>
      <c r="X9657" s="8">
        <v>167</v>
      </c>
      <c r="Y9657" s="8" t="s">
        <v>21</v>
      </c>
      <c r="Z9657" s="8" t="s">
        <v>41679</v>
      </c>
    </row>
    <row r="9658" spans="1:26" x14ac:dyDescent="0.2">
      <c r="A9658" s="8">
        <v>9657</v>
      </c>
      <c r="B9658" s="8" t="s">
        <v>41680</v>
      </c>
      <c r="C9658" s="8" t="s">
        <v>41680</v>
      </c>
      <c r="E9658" s="8">
        <v>1</v>
      </c>
      <c r="G9658" s="8">
        <v>20</v>
      </c>
      <c r="H9658" s="8" t="s">
        <v>21</v>
      </c>
      <c r="I9658" s="8" t="s">
        <v>22</v>
      </c>
      <c r="J9658" s="8" t="s">
        <v>22</v>
      </c>
      <c r="K9658" s="8" t="s">
        <v>3523</v>
      </c>
      <c r="L9658" s="8" t="s">
        <v>3256</v>
      </c>
      <c r="M9658" s="8" t="s">
        <v>3257</v>
      </c>
      <c r="N9658" s="8" t="s">
        <v>41681</v>
      </c>
      <c r="O9658" s="8">
        <f>2+33/60+49.5/3600</f>
        <v>2.5637499999999998</v>
      </c>
      <c r="P9658" s="8" t="s">
        <v>41682</v>
      </c>
      <c r="Q9658" s="8">
        <f>+(11+12/60+12/3600)</f>
        <v>11.203333333333333</v>
      </c>
      <c r="R9658" s="8">
        <v>14.7</v>
      </c>
      <c r="S9658" s="8">
        <v>15.3</v>
      </c>
      <c r="T9658" s="8">
        <v>0.6</v>
      </c>
      <c r="U9658" s="8">
        <v>11.8</v>
      </c>
      <c r="V9658" s="8">
        <v>0.4</v>
      </c>
      <c r="W9658" s="8">
        <v>0.2</v>
      </c>
      <c r="X9658" s="8">
        <v>10</v>
      </c>
      <c r="Y9658" s="8" t="s">
        <v>41683</v>
      </c>
      <c r="Z9658" s="8" t="s">
        <v>41684</v>
      </c>
    </row>
    <row r="9659" spans="1:26" x14ac:dyDescent="0.2">
      <c r="A9659" s="8">
        <v>9658</v>
      </c>
      <c r="B9659" s="8" t="s">
        <v>41685</v>
      </c>
      <c r="C9659" s="8" t="s">
        <v>41685</v>
      </c>
      <c r="G9659" s="8">
        <v>20</v>
      </c>
      <c r="H9659" s="8" t="s">
        <v>21</v>
      </c>
      <c r="I9659" s="8" t="s">
        <v>22</v>
      </c>
      <c r="J9659" s="8" t="s">
        <v>22</v>
      </c>
      <c r="K9659" s="8" t="s">
        <v>460</v>
      </c>
      <c r="L9659" s="8" t="s">
        <v>125</v>
      </c>
      <c r="M9659" s="8" t="s">
        <v>126</v>
      </c>
      <c r="N9659" s="8" t="s">
        <v>41686</v>
      </c>
      <c r="O9659" s="8">
        <f>2+34/60+7.1/3600</f>
        <v>2.5686388888888887</v>
      </c>
      <c r="P9659" s="8" t="s">
        <v>41687</v>
      </c>
      <c r="Q9659" s="8">
        <f>-(11+2/60+25/3600)</f>
        <v>-11.040277777777778</v>
      </c>
      <c r="R9659" s="8">
        <v>14.4</v>
      </c>
      <c r="S9659" s="8">
        <v>15.4</v>
      </c>
      <c r="T9659" s="8">
        <v>1</v>
      </c>
      <c r="U9659" s="8">
        <v>13</v>
      </c>
      <c r="V9659" s="8">
        <v>0.5</v>
      </c>
      <c r="W9659" s="8">
        <v>0.5</v>
      </c>
      <c r="Y9659" s="8" t="s">
        <v>21</v>
      </c>
      <c r="Z9659" s="8" t="s">
        <v>41688</v>
      </c>
    </row>
    <row r="9660" spans="1:26" x14ac:dyDescent="0.2">
      <c r="A9660" s="8">
        <v>9659</v>
      </c>
      <c r="B9660" s="8" t="s">
        <v>41689</v>
      </c>
      <c r="C9660" s="8" t="s">
        <v>41689</v>
      </c>
      <c r="G9660" s="8">
        <v>20</v>
      </c>
      <c r="H9660" s="8" t="s">
        <v>21</v>
      </c>
      <c r="I9660" s="8" t="s">
        <v>22</v>
      </c>
      <c r="J9660" s="8" t="s">
        <v>22</v>
      </c>
      <c r="K9660" s="8" t="s">
        <v>37</v>
      </c>
      <c r="L9660" s="8" t="s">
        <v>125</v>
      </c>
      <c r="M9660" s="8" t="s">
        <v>126</v>
      </c>
      <c r="N9660" s="8" t="s">
        <v>41690</v>
      </c>
      <c r="O9660" s="8">
        <f>2+35/60+41.8/3600</f>
        <v>2.5949444444444447</v>
      </c>
      <c r="P9660" s="8" t="s">
        <v>41691</v>
      </c>
      <c r="Q9660" s="8">
        <f>+(4+3/60+8/3600)</f>
        <v>4.0522222222222224</v>
      </c>
      <c r="R9660" s="8">
        <v>14</v>
      </c>
      <c r="S9660" s="8">
        <v>15</v>
      </c>
      <c r="T9660" s="8">
        <v>1</v>
      </c>
      <c r="U9660" s="8">
        <v>13.2</v>
      </c>
      <c r="V9660" s="8">
        <v>1.6</v>
      </c>
      <c r="W9660" s="8">
        <v>0.6</v>
      </c>
      <c r="X9660" s="8">
        <v>36</v>
      </c>
      <c r="Y9660" s="8" t="s">
        <v>2181</v>
      </c>
      <c r="Z9660" s="8" t="s">
        <v>2182</v>
      </c>
    </row>
    <row r="9661" spans="1:26" x14ac:dyDescent="0.2">
      <c r="A9661" s="8">
        <v>9660</v>
      </c>
      <c r="B9661" s="8" t="s">
        <v>41692</v>
      </c>
      <c r="C9661" s="8" t="s">
        <v>41692</v>
      </c>
      <c r="G9661" s="8">
        <v>20</v>
      </c>
      <c r="H9661" s="8" t="s">
        <v>21</v>
      </c>
      <c r="I9661" s="8" t="s">
        <v>22</v>
      </c>
      <c r="J9661" s="8" t="s">
        <v>22</v>
      </c>
      <c r="K9661" s="8" t="s">
        <v>449</v>
      </c>
      <c r="L9661" s="8" t="s">
        <v>125</v>
      </c>
      <c r="M9661" s="8" t="s">
        <v>126</v>
      </c>
      <c r="N9661" s="8" t="s">
        <v>41693</v>
      </c>
      <c r="O9661" s="8">
        <f>2+35/60+52.7/3600</f>
        <v>2.5979722222222223</v>
      </c>
      <c r="P9661" s="8" t="s">
        <v>41694</v>
      </c>
      <c r="Q9661" s="8">
        <f>+(6+2/60+27/3600)</f>
        <v>6.0408333333333335</v>
      </c>
      <c r="R9661" s="8">
        <v>14.3</v>
      </c>
      <c r="S9661" s="8">
        <v>15.1</v>
      </c>
      <c r="T9661" s="8">
        <v>0.8</v>
      </c>
      <c r="U9661" s="8">
        <v>11.7</v>
      </c>
      <c r="V9661" s="8">
        <v>0.5</v>
      </c>
      <c r="W9661" s="8">
        <v>0.2</v>
      </c>
      <c r="X9661" s="8">
        <v>70</v>
      </c>
      <c r="Y9661" s="8" t="s">
        <v>3668</v>
      </c>
      <c r="Z9661" s="8" t="s">
        <v>3669</v>
      </c>
    </row>
    <row r="9662" spans="1:26" x14ac:dyDescent="0.2">
      <c r="A9662" s="8">
        <v>9661</v>
      </c>
      <c r="B9662" s="8" t="s">
        <v>41695</v>
      </c>
      <c r="C9662" s="8" t="s">
        <v>41695</v>
      </c>
      <c r="E9662" s="8">
        <v>1</v>
      </c>
      <c r="G9662" s="8">
        <v>20</v>
      </c>
      <c r="H9662" s="8" t="s">
        <v>21</v>
      </c>
      <c r="I9662" s="8" t="s">
        <v>22</v>
      </c>
      <c r="J9662" s="8" t="s">
        <v>22</v>
      </c>
      <c r="K9662" s="8" t="s">
        <v>449</v>
      </c>
      <c r="L9662" s="8" t="s">
        <v>3256</v>
      </c>
      <c r="M9662" s="8" t="s">
        <v>3257</v>
      </c>
      <c r="N9662" s="8" t="s">
        <v>41696</v>
      </c>
      <c r="O9662" s="8">
        <f>2+36/60+25.3/3600</f>
        <v>2.6070277777777777</v>
      </c>
      <c r="P9662" s="8" t="s">
        <v>38622</v>
      </c>
      <c r="Q9662" s="8">
        <f>+(13+46/60+50/3600)</f>
        <v>13.780555555555557</v>
      </c>
      <c r="R9662" s="8">
        <v>14.3</v>
      </c>
      <c r="S9662" s="8">
        <v>15.1</v>
      </c>
      <c r="T9662" s="8">
        <v>0.8</v>
      </c>
      <c r="U9662" s="8">
        <v>12.6</v>
      </c>
      <c r="V9662" s="8">
        <v>0.6</v>
      </c>
      <c r="W9662" s="8">
        <v>0.4</v>
      </c>
      <c r="X9662" s="8">
        <v>90</v>
      </c>
      <c r="Y9662" s="8" t="s">
        <v>41697</v>
      </c>
      <c r="Z9662" s="8" t="s">
        <v>41698</v>
      </c>
    </row>
    <row r="9663" spans="1:26" x14ac:dyDescent="0.2">
      <c r="A9663" s="8">
        <v>9662</v>
      </c>
      <c r="B9663" s="8" t="s">
        <v>41699</v>
      </c>
      <c r="C9663" s="8" t="s">
        <v>41699</v>
      </c>
      <c r="G9663" s="8">
        <v>20</v>
      </c>
      <c r="H9663" s="8" t="s">
        <v>21</v>
      </c>
      <c r="I9663" s="8" t="s">
        <v>72</v>
      </c>
      <c r="J9663" s="8" t="s">
        <v>72</v>
      </c>
      <c r="K9663" s="8" t="s">
        <v>20</v>
      </c>
      <c r="L9663" s="8" t="s">
        <v>125</v>
      </c>
      <c r="M9663" s="8" t="s">
        <v>126</v>
      </c>
      <c r="N9663" s="8" t="s">
        <v>41700</v>
      </c>
      <c r="O9663" s="8">
        <f>2+35/60+42.3/3600</f>
        <v>2.5950833333333336</v>
      </c>
      <c r="P9663" s="8" t="s">
        <v>41701</v>
      </c>
      <c r="Q9663" s="8">
        <f>-(8+33/60+44/3600)</f>
        <v>-8.5622222222222231</v>
      </c>
      <c r="R9663" s="8">
        <v>99</v>
      </c>
      <c r="S9663" s="8">
        <v>99</v>
      </c>
      <c r="T9663" s="8">
        <v>99</v>
      </c>
      <c r="U9663" s="8">
        <v>99</v>
      </c>
      <c r="Y9663" s="8" t="s">
        <v>21</v>
      </c>
      <c r="Z9663" s="8" t="s">
        <v>41702</v>
      </c>
    </row>
    <row r="9664" spans="1:26" x14ac:dyDescent="0.2">
      <c r="A9664" s="8">
        <v>9663</v>
      </c>
      <c r="B9664" s="8" t="s">
        <v>41703</v>
      </c>
      <c r="C9664" s="8" t="s">
        <v>41703</v>
      </c>
      <c r="G9664" s="8">
        <v>20</v>
      </c>
      <c r="H9664" s="8" t="s">
        <v>21</v>
      </c>
      <c r="I9664" s="8" t="s">
        <v>22</v>
      </c>
      <c r="J9664" s="8" t="s">
        <v>22</v>
      </c>
      <c r="K9664" s="8" t="s">
        <v>64</v>
      </c>
      <c r="L9664" s="8" t="s">
        <v>2809</v>
      </c>
      <c r="M9664" s="8" t="s">
        <v>2810</v>
      </c>
      <c r="N9664" s="8" t="s">
        <v>41704</v>
      </c>
      <c r="O9664" s="8">
        <f>2+38/60+36.9/3600</f>
        <v>2.6435833333333334</v>
      </c>
      <c r="P9664" s="8" t="s">
        <v>41705</v>
      </c>
      <c r="Q9664" s="8">
        <f>+(32+4/60+13/3600)</f>
        <v>32.070277777777783</v>
      </c>
      <c r="R9664" s="8">
        <v>13.5</v>
      </c>
      <c r="S9664" s="8">
        <v>14.2</v>
      </c>
      <c r="T9664" s="8">
        <v>0.7</v>
      </c>
      <c r="U9664" s="8">
        <v>14.9</v>
      </c>
      <c r="V9664" s="8">
        <v>2.1</v>
      </c>
      <c r="W9664" s="8">
        <v>2</v>
      </c>
      <c r="X9664" s="8">
        <v>72</v>
      </c>
      <c r="Y9664" s="8" t="s">
        <v>41706</v>
      </c>
      <c r="Z9664" s="8" t="s">
        <v>41707</v>
      </c>
    </row>
    <row r="9665" spans="1:26" x14ac:dyDescent="0.2">
      <c r="A9665" s="8">
        <v>9664</v>
      </c>
      <c r="B9665" s="8" t="s">
        <v>41708</v>
      </c>
      <c r="C9665" s="8" t="s">
        <v>41708</v>
      </c>
      <c r="G9665" s="8">
        <v>20</v>
      </c>
      <c r="H9665" s="8" t="s">
        <v>21</v>
      </c>
      <c r="I9665" s="8" t="s">
        <v>557</v>
      </c>
      <c r="J9665" s="8" t="s">
        <v>57</v>
      </c>
      <c r="K9665" s="8" t="s">
        <v>987</v>
      </c>
      <c r="L9665" s="8" t="s">
        <v>559</v>
      </c>
      <c r="M9665" s="8" t="s">
        <v>560</v>
      </c>
      <c r="N9665" s="8" t="s">
        <v>4862</v>
      </c>
      <c r="O9665" s="8">
        <f>2+42/60+36/3600</f>
        <v>2.71</v>
      </c>
      <c r="P9665" s="8" t="s">
        <v>4863</v>
      </c>
      <c r="Q9665" s="8">
        <f>+(61+35/60+42/3600)</f>
        <v>61.594999999999999</v>
      </c>
      <c r="R9665" s="8">
        <v>6.7</v>
      </c>
      <c r="S9665" s="8">
        <v>99</v>
      </c>
      <c r="T9665" s="8">
        <v>99</v>
      </c>
      <c r="U9665" s="8">
        <v>99</v>
      </c>
      <c r="V9665" s="8">
        <v>15</v>
      </c>
      <c r="Y9665" s="8" t="s">
        <v>41709</v>
      </c>
      <c r="Z9665" s="8" t="s">
        <v>41710</v>
      </c>
    </row>
    <row r="9666" spans="1:26" x14ac:dyDescent="0.2">
      <c r="A9666" s="8">
        <v>9665</v>
      </c>
      <c r="B9666" s="8" t="s">
        <v>41711</v>
      </c>
      <c r="C9666" s="8" t="s">
        <v>41711</v>
      </c>
      <c r="G9666" s="8">
        <v>20</v>
      </c>
      <c r="H9666" s="8" t="s">
        <v>21</v>
      </c>
      <c r="I9666" s="8" t="s">
        <v>22</v>
      </c>
      <c r="J9666" s="8" t="s">
        <v>22</v>
      </c>
      <c r="K9666" s="8" t="s">
        <v>160</v>
      </c>
      <c r="L9666" s="8" t="s">
        <v>125</v>
      </c>
      <c r="M9666" s="8" t="s">
        <v>126</v>
      </c>
      <c r="N9666" s="8" t="s">
        <v>41712</v>
      </c>
      <c r="O9666" s="8">
        <f>2+38/60+55.5/3600</f>
        <v>2.6487500000000002</v>
      </c>
      <c r="P9666" s="8" t="s">
        <v>41713</v>
      </c>
      <c r="Q9666" s="8">
        <f>+(9+5/60+49/3600)</f>
        <v>9.0969444444444445</v>
      </c>
      <c r="R9666" s="8">
        <v>13.9</v>
      </c>
      <c r="S9666" s="8">
        <v>14.6</v>
      </c>
      <c r="T9666" s="8">
        <v>0.7</v>
      </c>
      <c r="U9666" s="8">
        <v>13.9</v>
      </c>
      <c r="V9666" s="8">
        <v>1.2</v>
      </c>
      <c r="W9666" s="8">
        <v>0.8</v>
      </c>
      <c r="X9666" s="8">
        <v>15</v>
      </c>
      <c r="Y9666" s="8" t="s">
        <v>12301</v>
      </c>
      <c r="Z9666" s="8" t="s">
        <v>12302</v>
      </c>
    </row>
    <row r="9667" spans="1:26" x14ac:dyDescent="0.2">
      <c r="A9667" s="8">
        <v>9666</v>
      </c>
      <c r="B9667" s="8" t="s">
        <v>41714</v>
      </c>
      <c r="C9667" s="8" t="s">
        <v>41714</v>
      </c>
      <c r="G9667" s="8">
        <v>20</v>
      </c>
      <c r="H9667" s="8" t="s">
        <v>21</v>
      </c>
      <c r="I9667" s="8" t="s">
        <v>22</v>
      </c>
      <c r="J9667" s="8" t="s">
        <v>22</v>
      </c>
      <c r="K9667" s="8" t="s">
        <v>435</v>
      </c>
      <c r="L9667" s="8" t="s">
        <v>3335</v>
      </c>
      <c r="M9667" s="8" t="s">
        <v>3336</v>
      </c>
      <c r="N9667" s="8" t="s">
        <v>41715</v>
      </c>
      <c r="O9667" s="8">
        <f>2+39/60+3.7/3600</f>
        <v>2.6510277777777778</v>
      </c>
      <c r="P9667" s="8" t="s">
        <v>41716</v>
      </c>
      <c r="Q9667" s="8">
        <f>-(27+26/60+35/3600)</f>
        <v>-27.443055555555556</v>
      </c>
      <c r="R9667" s="8">
        <v>12.8</v>
      </c>
      <c r="S9667" s="8">
        <v>13.2</v>
      </c>
      <c r="T9667" s="8">
        <v>0.4</v>
      </c>
      <c r="U9667" s="8">
        <v>13.5</v>
      </c>
      <c r="V9667" s="8">
        <v>1.7</v>
      </c>
      <c r="W9667" s="8">
        <v>1.4</v>
      </c>
      <c r="X9667" s="8">
        <v>137</v>
      </c>
      <c r="Y9667" s="8" t="s">
        <v>21</v>
      </c>
      <c r="Z9667" s="8" t="s">
        <v>41717</v>
      </c>
    </row>
    <row r="9668" spans="1:26" x14ac:dyDescent="0.2">
      <c r="A9668" s="8">
        <v>9667</v>
      </c>
      <c r="B9668" s="8" t="s">
        <v>41718</v>
      </c>
      <c r="C9668" s="8" t="s">
        <v>41718</v>
      </c>
      <c r="G9668" s="8">
        <v>20</v>
      </c>
      <c r="H9668" s="8" t="s">
        <v>21</v>
      </c>
      <c r="I9668" s="8" t="s">
        <v>22</v>
      </c>
      <c r="J9668" s="8" t="s">
        <v>22</v>
      </c>
      <c r="K9668" s="8" t="s">
        <v>91</v>
      </c>
      <c r="L9668" s="8" t="s">
        <v>125</v>
      </c>
      <c r="M9668" s="8" t="s">
        <v>126</v>
      </c>
      <c r="N9668" s="8" t="s">
        <v>41719</v>
      </c>
      <c r="O9668" s="8">
        <f>2+39/60+46.4/3600</f>
        <v>2.6628888888888889</v>
      </c>
      <c r="P9668" s="8" t="s">
        <v>41720</v>
      </c>
      <c r="Q9668" s="8">
        <f>+(1+33/60+30/3600)</f>
        <v>1.5583333333333333</v>
      </c>
      <c r="R9668" s="8">
        <v>13.7</v>
      </c>
      <c r="S9668" s="8">
        <v>14.6</v>
      </c>
      <c r="T9668" s="8">
        <v>0.9</v>
      </c>
      <c r="U9668" s="8">
        <v>11.9</v>
      </c>
      <c r="V9668" s="8">
        <v>1.1000000000000001</v>
      </c>
      <c r="W9668" s="8">
        <v>0.2</v>
      </c>
      <c r="X9668" s="8">
        <v>154</v>
      </c>
      <c r="Y9668" s="8" t="s">
        <v>21</v>
      </c>
      <c r="Z9668" s="8" t="s">
        <v>41721</v>
      </c>
    </row>
    <row r="9669" spans="1:26" x14ac:dyDescent="0.2">
      <c r="A9669" s="8">
        <v>9668</v>
      </c>
      <c r="B9669" s="8" t="s">
        <v>41722</v>
      </c>
      <c r="C9669" s="8" t="s">
        <v>41722</v>
      </c>
      <c r="G9669" s="8">
        <v>20</v>
      </c>
      <c r="H9669" s="8" t="s">
        <v>21</v>
      </c>
      <c r="I9669" s="8" t="s">
        <v>22</v>
      </c>
      <c r="J9669" s="8" t="s">
        <v>57</v>
      </c>
      <c r="K9669" s="8" t="s">
        <v>1174</v>
      </c>
      <c r="L9669" s="8" t="s">
        <v>3256</v>
      </c>
      <c r="M9669" s="8" t="s">
        <v>3257</v>
      </c>
      <c r="N9669" s="8" t="s">
        <v>4903</v>
      </c>
      <c r="O9669" s="8">
        <f>2+40/60+29/3600</f>
        <v>2.674722222222222</v>
      </c>
      <c r="P9669" s="8" t="s">
        <v>4904</v>
      </c>
      <c r="Q9669" s="8">
        <f>+(19+17/60+49/3600)</f>
        <v>19.296944444444446</v>
      </c>
      <c r="R9669" s="8">
        <v>13.2</v>
      </c>
      <c r="S9669" s="8">
        <v>13.8</v>
      </c>
      <c r="T9669" s="8">
        <v>0.6</v>
      </c>
      <c r="U9669" s="8">
        <v>13.6</v>
      </c>
      <c r="V9669" s="8">
        <v>1.5</v>
      </c>
      <c r="W9669" s="8">
        <v>1.1000000000000001</v>
      </c>
      <c r="X9669" s="8">
        <v>2</v>
      </c>
      <c r="Y9669" s="8" t="s">
        <v>41723</v>
      </c>
      <c r="Z9669" s="8" t="s">
        <v>41724</v>
      </c>
    </row>
    <row r="9670" spans="1:26" x14ac:dyDescent="0.2">
      <c r="A9670" s="8">
        <v>9669</v>
      </c>
      <c r="B9670" s="8" t="s">
        <v>41725</v>
      </c>
      <c r="C9670" s="8" t="s">
        <v>41725</v>
      </c>
      <c r="G9670" s="8">
        <v>20</v>
      </c>
      <c r="H9670" s="8" t="s">
        <v>21</v>
      </c>
      <c r="I9670" s="8" t="s">
        <v>22</v>
      </c>
      <c r="J9670" s="8" t="s">
        <v>22</v>
      </c>
      <c r="K9670" s="8" t="s">
        <v>424</v>
      </c>
      <c r="L9670" s="8" t="s">
        <v>3256</v>
      </c>
      <c r="M9670" s="8" t="s">
        <v>3257</v>
      </c>
      <c r="N9670" s="8" t="s">
        <v>4953</v>
      </c>
      <c r="O9670" s="8">
        <f>2+40/60+32.8/3600</f>
        <v>2.6757777777777778</v>
      </c>
      <c r="P9670" s="8" t="s">
        <v>41726</v>
      </c>
      <c r="Q9670" s="8">
        <f>+(14+17/60+53/3600)</f>
        <v>14.298055555555555</v>
      </c>
      <c r="R9670" s="8">
        <v>14.6</v>
      </c>
      <c r="S9670" s="8">
        <v>15.6</v>
      </c>
      <c r="T9670" s="8">
        <v>1</v>
      </c>
      <c r="U9670" s="8">
        <v>14</v>
      </c>
      <c r="V9670" s="8">
        <v>0.8</v>
      </c>
      <c r="W9670" s="8">
        <v>0.8</v>
      </c>
      <c r="Y9670" s="8" t="s">
        <v>41727</v>
      </c>
      <c r="Z9670" s="8" t="s">
        <v>41728</v>
      </c>
    </row>
    <row r="9671" spans="1:26" x14ac:dyDescent="0.2">
      <c r="A9671" s="8">
        <v>9670</v>
      </c>
      <c r="B9671" s="8" t="s">
        <v>41729</v>
      </c>
      <c r="C9671" s="8" t="s">
        <v>41729</v>
      </c>
      <c r="G9671" s="8">
        <v>20</v>
      </c>
      <c r="H9671" s="8" t="s">
        <v>21</v>
      </c>
      <c r="I9671" s="8" t="s">
        <v>22</v>
      </c>
      <c r="J9671" s="8" t="s">
        <v>57</v>
      </c>
      <c r="K9671" s="8" t="s">
        <v>435</v>
      </c>
      <c r="L9671" s="8" t="s">
        <v>3335</v>
      </c>
      <c r="M9671" s="8" t="s">
        <v>3336</v>
      </c>
      <c r="N9671" s="8" t="s">
        <v>41715</v>
      </c>
      <c r="O9671" s="8">
        <f>2+39/60+3.7/3600</f>
        <v>2.6510277777777778</v>
      </c>
      <c r="P9671" s="8" t="s">
        <v>41716</v>
      </c>
      <c r="Q9671" s="8">
        <f>-(27+26/60+35/3600)</f>
        <v>-27.443055555555556</v>
      </c>
      <c r="R9671" s="8">
        <v>12.8</v>
      </c>
      <c r="S9671" s="8">
        <v>13.2</v>
      </c>
      <c r="T9671" s="8">
        <v>0.4</v>
      </c>
      <c r="U9671" s="8">
        <v>13.5</v>
      </c>
      <c r="V9671" s="8">
        <v>1.7</v>
      </c>
      <c r="W9671" s="8">
        <v>1.4</v>
      </c>
      <c r="X9671" s="8">
        <v>137</v>
      </c>
      <c r="Y9671" s="8" t="s">
        <v>21</v>
      </c>
      <c r="Z9671" s="8" t="s">
        <v>41730</v>
      </c>
    </row>
    <row r="9672" spans="1:26" x14ac:dyDescent="0.2">
      <c r="A9672" s="8">
        <v>9671</v>
      </c>
      <c r="B9672" s="8" t="s">
        <v>41731</v>
      </c>
      <c r="C9672" s="8" t="s">
        <v>41731</v>
      </c>
      <c r="G9672" s="8">
        <v>20</v>
      </c>
      <c r="H9672" s="8" t="s">
        <v>21</v>
      </c>
      <c r="I9672" s="8" t="s">
        <v>1283</v>
      </c>
      <c r="J9672" s="8" t="s">
        <v>1283</v>
      </c>
      <c r="K9672" s="8" t="s">
        <v>1284</v>
      </c>
      <c r="L9672" s="8" t="s">
        <v>559</v>
      </c>
      <c r="M9672" s="8" t="s">
        <v>560</v>
      </c>
      <c r="N9672" s="8" t="s">
        <v>41732</v>
      </c>
      <c r="O9672" s="8">
        <f>2+44/60+0/3600</f>
        <v>2.7333333333333334</v>
      </c>
      <c r="P9672" s="8" t="s">
        <v>41733</v>
      </c>
      <c r="Q9672" s="8">
        <f>+(63+0/60+36/3600)</f>
        <v>63.01</v>
      </c>
      <c r="R9672" s="8">
        <v>99</v>
      </c>
      <c r="S9672" s="8">
        <v>99</v>
      </c>
      <c r="T9672" s="8">
        <v>99</v>
      </c>
      <c r="U9672" s="8">
        <v>99</v>
      </c>
      <c r="V9672" s="8">
        <v>120</v>
      </c>
      <c r="Y9672" s="8" t="s">
        <v>41734</v>
      </c>
      <c r="Z9672" s="8" t="s">
        <v>41735</v>
      </c>
    </row>
    <row r="9673" spans="1:26" x14ac:dyDescent="0.2">
      <c r="A9673" s="8">
        <v>9672</v>
      </c>
      <c r="B9673" s="8" t="s">
        <v>41736</v>
      </c>
      <c r="C9673" s="8" t="s">
        <v>41736</v>
      </c>
      <c r="G9673" s="8">
        <v>20</v>
      </c>
      <c r="H9673" s="8" t="s">
        <v>21</v>
      </c>
      <c r="I9673" s="8" t="s">
        <v>22</v>
      </c>
      <c r="J9673" s="8" t="s">
        <v>22</v>
      </c>
      <c r="K9673" s="8" t="s">
        <v>37</v>
      </c>
      <c r="L9673" s="8" t="s">
        <v>3256</v>
      </c>
      <c r="M9673" s="8" t="s">
        <v>3257</v>
      </c>
      <c r="N9673" s="8" t="s">
        <v>41737</v>
      </c>
      <c r="O9673" s="8">
        <f>2+41/60+57.6/3600</f>
        <v>2.6993333333333336</v>
      </c>
      <c r="P9673" s="8" t="s">
        <v>41738</v>
      </c>
      <c r="Q9673" s="8">
        <f>+(19+1/60+50/3600)</f>
        <v>19.030555555555555</v>
      </c>
      <c r="R9673" s="8">
        <v>14.1</v>
      </c>
      <c r="S9673" s="8">
        <v>15.1</v>
      </c>
      <c r="T9673" s="8">
        <v>1</v>
      </c>
      <c r="U9673" s="8">
        <v>13.1</v>
      </c>
      <c r="V9673" s="8">
        <v>0.7</v>
      </c>
      <c r="W9673" s="8">
        <v>0.6</v>
      </c>
      <c r="X9673" s="8">
        <v>30</v>
      </c>
      <c r="Y9673" s="8" t="s">
        <v>21</v>
      </c>
      <c r="Z9673" s="8" t="s">
        <v>41739</v>
      </c>
    </row>
    <row r="9674" spans="1:26" x14ac:dyDescent="0.2">
      <c r="A9674" s="8">
        <v>9673</v>
      </c>
      <c r="B9674" s="8" t="s">
        <v>41740</v>
      </c>
      <c r="C9674" s="8" t="s">
        <v>41740</v>
      </c>
      <c r="G9674" s="8">
        <v>20</v>
      </c>
      <c r="H9674" s="8" t="s">
        <v>21</v>
      </c>
      <c r="I9674" s="8" t="s">
        <v>22</v>
      </c>
      <c r="J9674" s="8" t="s">
        <v>22</v>
      </c>
      <c r="K9674" s="8" t="s">
        <v>224</v>
      </c>
      <c r="L9674" s="8" t="s">
        <v>3335</v>
      </c>
      <c r="M9674" s="8" t="s">
        <v>3336</v>
      </c>
      <c r="N9674" s="8" t="s">
        <v>41741</v>
      </c>
      <c r="O9674" s="8">
        <f>2+41/60+38.6/3600</f>
        <v>2.6940555555555559</v>
      </c>
      <c r="P9674" s="8" t="s">
        <v>41742</v>
      </c>
      <c r="Q9674" s="8">
        <f>-(28+10/60+18/3600)</f>
        <v>-28.171666666666667</v>
      </c>
      <c r="R9674" s="8">
        <v>13.1</v>
      </c>
      <c r="S9674" s="8">
        <v>14.1</v>
      </c>
      <c r="T9674" s="8">
        <v>1</v>
      </c>
      <c r="U9674" s="8">
        <v>13.2</v>
      </c>
      <c r="V9674" s="8">
        <v>1.5</v>
      </c>
      <c r="W9674" s="8">
        <v>0.8</v>
      </c>
      <c r="X9674" s="8">
        <v>61</v>
      </c>
      <c r="Y9674" s="8" t="s">
        <v>21</v>
      </c>
      <c r="Z9674" s="8" t="s">
        <v>41743</v>
      </c>
    </row>
    <row r="9675" spans="1:26" x14ac:dyDescent="0.2">
      <c r="A9675" s="8">
        <v>9674</v>
      </c>
      <c r="B9675" s="8" t="s">
        <v>41744</v>
      </c>
      <c r="C9675" s="8" t="s">
        <v>41744</v>
      </c>
      <c r="G9675" s="8">
        <v>20</v>
      </c>
      <c r="H9675" s="8" t="s">
        <v>21</v>
      </c>
      <c r="I9675" s="8" t="s">
        <v>22</v>
      </c>
      <c r="J9675" s="8" t="s">
        <v>22</v>
      </c>
      <c r="K9675" s="8" t="s">
        <v>23</v>
      </c>
      <c r="L9675" s="8" t="s">
        <v>125</v>
      </c>
      <c r="M9675" s="8" t="s">
        <v>126</v>
      </c>
      <c r="N9675" s="8" t="s">
        <v>41745</v>
      </c>
      <c r="O9675" s="8">
        <f>2+42/60+48/3600</f>
        <v>2.7133333333333334</v>
      </c>
      <c r="P9675" s="8" t="s">
        <v>41746</v>
      </c>
      <c r="Q9675" s="8">
        <f>+(3+5/60+2/3600)</f>
        <v>3.0838888888888891</v>
      </c>
      <c r="R9675" s="8">
        <v>14</v>
      </c>
      <c r="S9675" s="8">
        <v>14.8</v>
      </c>
      <c r="T9675" s="8">
        <v>0.8</v>
      </c>
      <c r="U9675" s="8">
        <v>13</v>
      </c>
      <c r="V9675" s="8">
        <v>0.9</v>
      </c>
      <c r="W9675" s="8">
        <v>0.8</v>
      </c>
      <c r="X9675" s="8">
        <v>156</v>
      </c>
      <c r="Y9675" s="8" t="s">
        <v>41747</v>
      </c>
      <c r="Z9675" s="8" t="s">
        <v>41748</v>
      </c>
    </row>
    <row r="9676" spans="1:26" x14ac:dyDescent="0.2">
      <c r="A9676" s="8">
        <v>9675</v>
      </c>
      <c r="B9676" s="8" t="s">
        <v>41749</v>
      </c>
      <c r="C9676" s="8" t="s">
        <v>41749</v>
      </c>
      <c r="E9676" s="8">
        <v>1</v>
      </c>
      <c r="G9676" s="8">
        <v>20</v>
      </c>
      <c r="H9676" s="8" t="s">
        <v>21</v>
      </c>
      <c r="I9676" s="8" t="s">
        <v>22</v>
      </c>
      <c r="J9676" s="8" t="s">
        <v>22</v>
      </c>
      <c r="K9676" s="8" t="s">
        <v>449</v>
      </c>
      <c r="L9676" s="8" t="s">
        <v>3256</v>
      </c>
      <c r="M9676" s="8" t="s">
        <v>3257</v>
      </c>
      <c r="N9676" s="8" t="s">
        <v>41750</v>
      </c>
      <c r="O9676" s="8">
        <f>2+43/60+49/3600</f>
        <v>2.7302777777777778</v>
      </c>
      <c r="P9676" s="8" t="s">
        <v>41751</v>
      </c>
      <c r="Q9676" s="8">
        <f>+(14+53/60+22/3600)</f>
        <v>14.889444444444443</v>
      </c>
      <c r="R9676" s="8">
        <v>14.6</v>
      </c>
      <c r="S9676" s="8">
        <v>15.4</v>
      </c>
      <c r="T9676" s="8">
        <v>0.8</v>
      </c>
      <c r="U9676" s="8">
        <v>12.9</v>
      </c>
      <c r="V9676" s="8">
        <v>0.5</v>
      </c>
      <c r="W9676" s="8">
        <v>0.5</v>
      </c>
      <c r="Y9676" s="8" t="s">
        <v>36797</v>
      </c>
      <c r="Z9676" s="8" t="s">
        <v>36798</v>
      </c>
    </row>
    <row r="9677" spans="1:26" x14ac:dyDescent="0.2">
      <c r="A9677" s="8">
        <v>9676</v>
      </c>
      <c r="B9677" s="8" t="s">
        <v>41752</v>
      </c>
      <c r="C9677" s="8" t="s">
        <v>41752</v>
      </c>
      <c r="G9677" s="8">
        <v>20</v>
      </c>
      <c r="H9677" s="8" t="s">
        <v>21</v>
      </c>
      <c r="I9677" s="8" t="s">
        <v>22</v>
      </c>
      <c r="J9677" s="8" t="s">
        <v>22</v>
      </c>
      <c r="K9677" s="8" t="s">
        <v>449</v>
      </c>
      <c r="L9677" s="8" t="s">
        <v>125</v>
      </c>
      <c r="M9677" s="8" t="s">
        <v>126</v>
      </c>
      <c r="N9677" s="8" t="s">
        <v>41753</v>
      </c>
      <c r="O9677" s="8">
        <f>2+43/60+23.3/3600</f>
        <v>2.7231388888888892</v>
      </c>
      <c r="P9677" s="8" t="s">
        <v>41754</v>
      </c>
      <c r="Q9677" s="8">
        <f>+(3+6/60+18/3600)</f>
        <v>3.105</v>
      </c>
      <c r="R9677" s="8">
        <v>15.5</v>
      </c>
      <c r="S9677" s="8">
        <v>16.3</v>
      </c>
      <c r="T9677" s="8">
        <v>0.8</v>
      </c>
      <c r="U9677" s="8">
        <v>13.8</v>
      </c>
      <c r="V9677" s="8">
        <v>0.5</v>
      </c>
      <c r="W9677" s="8">
        <v>0.5</v>
      </c>
      <c r="Y9677" s="8" t="s">
        <v>25183</v>
      </c>
      <c r="Z9677" s="8" t="s">
        <v>25184</v>
      </c>
    </row>
    <row r="9678" spans="1:26" x14ac:dyDescent="0.2">
      <c r="A9678" s="8">
        <v>9677</v>
      </c>
      <c r="B9678" s="8" t="s">
        <v>41755</v>
      </c>
      <c r="C9678" s="8" t="s">
        <v>41755</v>
      </c>
      <c r="G9678" s="8">
        <v>20</v>
      </c>
      <c r="H9678" s="8" t="s">
        <v>21</v>
      </c>
      <c r="I9678" s="8" t="s">
        <v>22</v>
      </c>
      <c r="J9678" s="8" t="s">
        <v>57</v>
      </c>
      <c r="K9678" s="8" t="s">
        <v>218</v>
      </c>
      <c r="L9678" s="8" t="s">
        <v>125</v>
      </c>
      <c r="M9678" s="8" t="s">
        <v>126</v>
      </c>
      <c r="N9678" s="8" t="s">
        <v>5064</v>
      </c>
      <c r="O9678" s="8">
        <f>2+43/60+31.3/3600</f>
        <v>2.7253611111111113</v>
      </c>
      <c r="P9678" s="8" t="s">
        <v>5065</v>
      </c>
      <c r="Q9678" s="8">
        <f>+(0+18/60+25/3600)</f>
        <v>0.30694444444444441</v>
      </c>
      <c r="R9678" s="8">
        <v>13.4</v>
      </c>
      <c r="S9678" s="8">
        <v>14.2</v>
      </c>
      <c r="T9678" s="8">
        <v>0.8</v>
      </c>
      <c r="U9678" s="8">
        <v>12.9</v>
      </c>
      <c r="V9678" s="8">
        <v>1.5</v>
      </c>
      <c r="W9678" s="8">
        <v>0.5</v>
      </c>
      <c r="X9678" s="8">
        <v>11</v>
      </c>
      <c r="Y9678" s="8" t="s">
        <v>37584</v>
      </c>
      <c r="Z9678" s="8" t="s">
        <v>37595</v>
      </c>
    </row>
    <row r="9679" spans="1:26" x14ac:dyDescent="0.2">
      <c r="A9679" s="8">
        <v>9678</v>
      </c>
      <c r="B9679" s="8" t="s">
        <v>41756</v>
      </c>
      <c r="C9679" s="8" t="s">
        <v>41756</v>
      </c>
      <c r="E9679" s="8">
        <v>1</v>
      </c>
      <c r="G9679" s="8">
        <v>20</v>
      </c>
      <c r="H9679" s="8" t="s">
        <v>21</v>
      </c>
      <c r="I9679" s="8" t="s">
        <v>22</v>
      </c>
      <c r="J9679" s="8" t="s">
        <v>22</v>
      </c>
      <c r="K9679" s="8" t="s">
        <v>160</v>
      </c>
      <c r="L9679" s="8" t="s">
        <v>3256</v>
      </c>
      <c r="M9679" s="8" t="s">
        <v>3257</v>
      </c>
      <c r="N9679" s="8" t="s">
        <v>41757</v>
      </c>
      <c r="O9679" s="8">
        <f>2+44/60+43/3600</f>
        <v>2.7452777777777779</v>
      </c>
      <c r="P9679" s="8" t="s">
        <v>41758</v>
      </c>
      <c r="Q9679" s="8">
        <f>+(19+27/60+18/3600)</f>
        <v>19.454999999999998</v>
      </c>
      <c r="R9679" s="8">
        <v>14.6</v>
      </c>
      <c r="S9679" s="8">
        <v>15.3</v>
      </c>
      <c r="T9679" s="8">
        <v>0.7</v>
      </c>
      <c r="U9679" s="8">
        <v>12.4</v>
      </c>
      <c r="V9679" s="8">
        <v>0.5</v>
      </c>
      <c r="W9679" s="8">
        <v>0.3</v>
      </c>
      <c r="X9679" s="8">
        <v>0</v>
      </c>
      <c r="Y9679" s="8" t="s">
        <v>41759</v>
      </c>
      <c r="Z9679" s="8" t="s">
        <v>41760</v>
      </c>
    </row>
    <row r="9680" spans="1:26" x14ac:dyDescent="0.2">
      <c r="A9680" s="8">
        <v>9679</v>
      </c>
      <c r="B9680" s="8" t="s">
        <v>41761</v>
      </c>
      <c r="C9680" s="8" t="s">
        <v>41761</v>
      </c>
      <c r="G9680" s="8">
        <v>20</v>
      </c>
      <c r="H9680" s="8" t="s">
        <v>21</v>
      </c>
      <c r="I9680" s="8" t="s">
        <v>22</v>
      </c>
      <c r="J9680" s="8" t="s">
        <v>22</v>
      </c>
      <c r="K9680" s="8" t="s">
        <v>396</v>
      </c>
      <c r="L9680" s="8" t="s">
        <v>3256</v>
      </c>
      <c r="M9680" s="8" t="s">
        <v>3257</v>
      </c>
      <c r="N9680" s="8" t="s">
        <v>41757</v>
      </c>
      <c r="O9680" s="8">
        <f>2+44/60+43/3600</f>
        <v>2.7452777777777779</v>
      </c>
      <c r="P9680" s="8" t="s">
        <v>41762</v>
      </c>
      <c r="Q9680" s="8">
        <f>+(15+14/60+22/3600)</f>
        <v>15.239444444444443</v>
      </c>
      <c r="R9680" s="8">
        <v>14.3</v>
      </c>
      <c r="S9680" s="8">
        <v>15.1</v>
      </c>
      <c r="T9680" s="8">
        <v>0.8</v>
      </c>
      <c r="U9680" s="8">
        <v>13.4</v>
      </c>
      <c r="V9680" s="8">
        <v>1</v>
      </c>
      <c r="W9680" s="8">
        <v>0.5</v>
      </c>
      <c r="X9680" s="8">
        <v>97</v>
      </c>
      <c r="Y9680" s="8" t="s">
        <v>36095</v>
      </c>
      <c r="Z9680" s="8" t="s">
        <v>36096</v>
      </c>
    </row>
    <row r="9681" spans="1:26" x14ac:dyDescent="0.2">
      <c r="A9681" s="8">
        <v>9680</v>
      </c>
      <c r="B9681" s="8" t="s">
        <v>41763</v>
      </c>
      <c r="C9681" s="8" t="s">
        <v>41763</v>
      </c>
      <c r="G9681" s="8">
        <v>20</v>
      </c>
      <c r="H9681" s="8" t="s">
        <v>21</v>
      </c>
      <c r="I9681" s="8" t="s">
        <v>22</v>
      </c>
      <c r="J9681" s="8" t="s">
        <v>57</v>
      </c>
      <c r="K9681" s="8" t="s">
        <v>23</v>
      </c>
      <c r="L9681" s="8" t="s">
        <v>125</v>
      </c>
      <c r="M9681" s="8" t="s">
        <v>126</v>
      </c>
      <c r="N9681" s="8" t="s">
        <v>5213</v>
      </c>
      <c r="O9681" s="8">
        <f>2+43/60+41.9/3600</f>
        <v>2.7283055555555555</v>
      </c>
      <c r="P9681" s="8" t="s">
        <v>5214</v>
      </c>
      <c r="Q9681" s="8">
        <f>-(15+42/60+21/3600)</f>
        <v>-15.705833333333333</v>
      </c>
      <c r="R9681" s="8">
        <v>14.3</v>
      </c>
      <c r="S9681" s="8">
        <v>15.1</v>
      </c>
      <c r="T9681" s="8">
        <v>0.8</v>
      </c>
      <c r="U9681" s="8">
        <v>13.4</v>
      </c>
      <c r="V9681" s="8">
        <v>0.7</v>
      </c>
      <c r="W9681" s="8">
        <v>0.7</v>
      </c>
      <c r="Y9681" s="8" t="s">
        <v>21</v>
      </c>
      <c r="Z9681" s="8" t="s">
        <v>41764</v>
      </c>
    </row>
    <row r="9682" spans="1:26" x14ac:dyDescent="0.2">
      <c r="A9682" s="8">
        <v>9681</v>
      </c>
      <c r="B9682" s="8" t="s">
        <v>41765</v>
      </c>
      <c r="C9682" s="8" t="s">
        <v>41765</v>
      </c>
      <c r="G9682" s="8">
        <v>20</v>
      </c>
      <c r="H9682" s="8" t="s">
        <v>21</v>
      </c>
      <c r="I9682" s="8" t="s">
        <v>22</v>
      </c>
      <c r="J9682" s="8" t="s">
        <v>22</v>
      </c>
      <c r="K9682" s="8" t="s">
        <v>218</v>
      </c>
      <c r="L9682" s="8" t="s">
        <v>3256</v>
      </c>
      <c r="M9682" s="8" t="s">
        <v>3257</v>
      </c>
      <c r="N9682" s="8" t="s">
        <v>41766</v>
      </c>
      <c r="O9682" s="8">
        <f>2+45/60+36.3/3600</f>
        <v>2.7600833333333332</v>
      </c>
      <c r="P9682" s="8" t="s">
        <v>41767</v>
      </c>
      <c r="Q9682" s="8">
        <f>+(18+55/60+45/3600)</f>
        <v>18.929166666666667</v>
      </c>
      <c r="R9682" s="8">
        <v>14.3</v>
      </c>
      <c r="S9682" s="8">
        <v>15.1</v>
      </c>
      <c r="T9682" s="8">
        <v>0.8</v>
      </c>
      <c r="U9682" s="8">
        <v>13</v>
      </c>
      <c r="V9682" s="8">
        <v>0.7</v>
      </c>
      <c r="W9682" s="8">
        <v>0.5</v>
      </c>
      <c r="X9682" s="8">
        <v>51</v>
      </c>
      <c r="Y9682" s="8" t="s">
        <v>40156</v>
      </c>
      <c r="Z9682" s="8" t="s">
        <v>40157</v>
      </c>
    </row>
    <row r="9683" spans="1:26" x14ac:dyDescent="0.2">
      <c r="A9683" s="8">
        <v>9682</v>
      </c>
      <c r="B9683" s="8" t="s">
        <v>41768</v>
      </c>
      <c r="C9683" s="8" t="s">
        <v>41768</v>
      </c>
      <c r="G9683" s="8">
        <v>20</v>
      </c>
      <c r="H9683" s="8" t="s">
        <v>21</v>
      </c>
      <c r="I9683" s="8" t="s">
        <v>22</v>
      </c>
      <c r="J9683" s="8" t="s">
        <v>22</v>
      </c>
      <c r="K9683" s="8" t="s">
        <v>37</v>
      </c>
      <c r="L9683" s="8" t="s">
        <v>3256</v>
      </c>
      <c r="M9683" s="8" t="s">
        <v>3257</v>
      </c>
      <c r="N9683" s="8" t="s">
        <v>41769</v>
      </c>
      <c r="O9683" s="8">
        <f>2+45/60+23.4/3600</f>
        <v>2.7565</v>
      </c>
      <c r="P9683" s="8" t="s">
        <v>41770</v>
      </c>
      <c r="Q9683" s="8">
        <f>+(11+27/60+32/3600)</f>
        <v>11.458888888888888</v>
      </c>
      <c r="R9683" s="8">
        <v>14.5</v>
      </c>
      <c r="S9683" s="8">
        <v>15.5</v>
      </c>
      <c r="T9683" s="8">
        <v>1</v>
      </c>
      <c r="U9683" s="8">
        <v>13.2</v>
      </c>
      <c r="V9683" s="8">
        <v>1.1000000000000001</v>
      </c>
      <c r="W9683" s="8">
        <v>0.3</v>
      </c>
      <c r="X9683" s="8">
        <v>25</v>
      </c>
      <c r="Y9683" s="8" t="s">
        <v>359</v>
      </c>
      <c r="Z9683" s="8" t="s">
        <v>360</v>
      </c>
    </row>
    <row r="9684" spans="1:26" x14ac:dyDescent="0.2">
      <c r="A9684" s="8">
        <v>9683</v>
      </c>
      <c r="B9684" s="8" t="s">
        <v>41771</v>
      </c>
      <c r="C9684" s="8" t="s">
        <v>41771</v>
      </c>
      <c r="G9684" s="8">
        <v>20</v>
      </c>
      <c r="H9684" s="8" t="s">
        <v>21</v>
      </c>
      <c r="I9684" s="8" t="s">
        <v>22</v>
      </c>
      <c r="J9684" s="8" t="s">
        <v>22</v>
      </c>
      <c r="K9684" s="8" t="s">
        <v>406</v>
      </c>
      <c r="L9684" s="8" t="s">
        <v>125</v>
      </c>
      <c r="M9684" s="8" t="s">
        <v>126</v>
      </c>
      <c r="N9684" s="8" t="s">
        <v>41772</v>
      </c>
      <c r="O9684" s="8">
        <f>2+45/60+24.9/3600</f>
        <v>2.7569166666666667</v>
      </c>
      <c r="P9684" s="8" t="s">
        <v>41773</v>
      </c>
      <c r="Q9684" s="8">
        <f>+(2+52/60+50/3600)</f>
        <v>2.8805555555555555</v>
      </c>
      <c r="R9684" s="8">
        <v>13.1</v>
      </c>
      <c r="S9684" s="8">
        <v>13.9</v>
      </c>
      <c r="T9684" s="8">
        <v>0.8</v>
      </c>
      <c r="U9684" s="8">
        <v>12.7</v>
      </c>
      <c r="V9684" s="8">
        <v>1.1000000000000001</v>
      </c>
      <c r="W9684" s="8">
        <v>0.7</v>
      </c>
      <c r="X9684" s="8">
        <v>70</v>
      </c>
      <c r="Y9684" s="8" t="s">
        <v>41683</v>
      </c>
      <c r="Z9684" s="8" t="s">
        <v>41684</v>
      </c>
    </row>
    <row r="9685" spans="1:26" x14ac:dyDescent="0.2">
      <c r="A9685" s="8">
        <v>9684</v>
      </c>
      <c r="B9685" s="8" t="s">
        <v>41774</v>
      </c>
      <c r="C9685" s="8" t="s">
        <v>41774</v>
      </c>
      <c r="G9685" s="8">
        <v>20</v>
      </c>
      <c r="H9685" s="8" t="s">
        <v>21</v>
      </c>
      <c r="I9685" s="8" t="s">
        <v>22</v>
      </c>
      <c r="J9685" s="8" t="s">
        <v>22</v>
      </c>
      <c r="K9685" s="8" t="s">
        <v>91</v>
      </c>
      <c r="L9685" s="8" t="s">
        <v>125</v>
      </c>
      <c r="M9685" s="8" t="s">
        <v>126</v>
      </c>
      <c r="N9685" s="8" t="s">
        <v>41775</v>
      </c>
      <c r="O9685" s="8">
        <f>2+45/60+49.2/3600</f>
        <v>2.7636666666666665</v>
      </c>
      <c r="P9685" s="8" t="s">
        <v>41776</v>
      </c>
      <c r="Q9685" s="8">
        <f>+(3+13/60+50/3600)</f>
        <v>3.2305555555555556</v>
      </c>
      <c r="R9685" s="8">
        <v>14.4</v>
      </c>
      <c r="S9685" s="8">
        <v>15.3</v>
      </c>
      <c r="T9685" s="8">
        <v>0.9</v>
      </c>
      <c r="U9685" s="8">
        <v>12.7</v>
      </c>
      <c r="V9685" s="8">
        <v>0.8</v>
      </c>
      <c r="W9685" s="8">
        <v>0.3</v>
      </c>
      <c r="X9685" s="8">
        <v>105</v>
      </c>
      <c r="Y9685" s="8" t="s">
        <v>41777</v>
      </c>
      <c r="Z9685" s="8" t="s">
        <v>41778</v>
      </c>
    </row>
    <row r="9686" spans="1:26" x14ac:dyDescent="0.2">
      <c r="A9686" s="8">
        <v>9685</v>
      </c>
      <c r="B9686" s="8" t="s">
        <v>41779</v>
      </c>
      <c r="C9686" s="8" t="s">
        <v>41779</v>
      </c>
      <c r="G9686" s="8">
        <v>20</v>
      </c>
      <c r="H9686" s="8" t="s">
        <v>21</v>
      </c>
      <c r="I9686" s="8" t="s">
        <v>72</v>
      </c>
      <c r="J9686" s="8" t="s">
        <v>72</v>
      </c>
      <c r="K9686" s="8" t="s">
        <v>73</v>
      </c>
      <c r="L9686" s="8" t="s">
        <v>3335</v>
      </c>
      <c r="M9686" s="8" t="s">
        <v>3336</v>
      </c>
      <c r="N9686" s="8" t="s">
        <v>41780</v>
      </c>
      <c r="O9686" s="8">
        <f>2+43/60+56.7/3600</f>
        <v>2.7324166666666669</v>
      </c>
      <c r="P9686" s="8" t="s">
        <v>41781</v>
      </c>
      <c r="Q9686" s="8">
        <f>-(27+58/60+5/3600)</f>
        <v>-27.968055555555555</v>
      </c>
      <c r="R9686" s="8">
        <v>99</v>
      </c>
      <c r="S9686" s="8">
        <v>99</v>
      </c>
      <c r="T9686" s="8">
        <v>99</v>
      </c>
      <c r="U9686" s="8">
        <v>99</v>
      </c>
      <c r="Y9686" s="8" t="s">
        <v>41782</v>
      </c>
      <c r="Z9686" s="8" t="s">
        <v>41783</v>
      </c>
    </row>
    <row r="9687" spans="1:26" x14ac:dyDescent="0.2">
      <c r="A9687" s="8">
        <v>9686</v>
      </c>
      <c r="B9687" s="8" t="s">
        <v>41784</v>
      </c>
      <c r="C9687" s="8" t="s">
        <v>41784</v>
      </c>
      <c r="G9687" s="8">
        <v>20</v>
      </c>
      <c r="H9687" s="8" t="s">
        <v>21</v>
      </c>
      <c r="I9687" s="8" t="s">
        <v>22</v>
      </c>
      <c r="J9687" s="8" t="s">
        <v>57</v>
      </c>
      <c r="K9687" s="8" t="s">
        <v>424</v>
      </c>
      <c r="L9687" s="8" t="s">
        <v>3256</v>
      </c>
      <c r="M9687" s="8" t="s">
        <v>3257</v>
      </c>
      <c r="N9687" s="8" t="s">
        <v>5227</v>
      </c>
      <c r="O9687" s="8">
        <f>2+47/60+43.5/3600</f>
        <v>2.7954166666666667</v>
      </c>
      <c r="P9687" s="8" t="s">
        <v>5228</v>
      </c>
      <c r="Q9687" s="8">
        <f>+(13+15/60+20/3600)</f>
        <v>13.255555555555556</v>
      </c>
      <c r="R9687" s="8">
        <v>14.4</v>
      </c>
      <c r="S9687" s="8">
        <v>15.4</v>
      </c>
      <c r="T9687" s="8">
        <v>1</v>
      </c>
      <c r="U9687" s="8">
        <v>13</v>
      </c>
      <c r="V9687" s="8">
        <v>0.6</v>
      </c>
      <c r="W9687" s="8">
        <v>0.5</v>
      </c>
      <c r="X9687" s="8">
        <v>150</v>
      </c>
      <c r="Y9687" s="8" t="s">
        <v>41785</v>
      </c>
      <c r="Z9687" s="8" t="s">
        <v>41786</v>
      </c>
    </row>
    <row r="9688" spans="1:26" x14ac:dyDescent="0.2">
      <c r="A9688" s="8">
        <v>9687</v>
      </c>
      <c r="B9688" s="8" t="s">
        <v>41787</v>
      </c>
      <c r="C9688" s="8" t="s">
        <v>41787</v>
      </c>
      <c r="G9688" s="8">
        <v>20</v>
      </c>
      <c r="H9688" s="8" t="s">
        <v>21</v>
      </c>
      <c r="I9688" s="8" t="s">
        <v>22</v>
      </c>
      <c r="J9688" s="8" t="s">
        <v>22</v>
      </c>
      <c r="K9688" s="8" t="s">
        <v>449</v>
      </c>
      <c r="L9688" s="8" t="s">
        <v>3256</v>
      </c>
      <c r="M9688" s="8" t="s">
        <v>3257</v>
      </c>
      <c r="N9688" s="8" t="s">
        <v>41788</v>
      </c>
      <c r="O9688" s="8">
        <f>2+47/60+53.6/3600</f>
        <v>2.7982222222222219</v>
      </c>
      <c r="P9688" s="8" t="s">
        <v>41789</v>
      </c>
      <c r="Q9688" s="8">
        <f>+(14+30/60+20/3600)</f>
        <v>14.505555555555556</v>
      </c>
      <c r="R9688" s="8">
        <v>14.6</v>
      </c>
      <c r="S9688" s="8">
        <v>15.4</v>
      </c>
      <c r="T9688" s="8">
        <v>0.8</v>
      </c>
      <c r="U9688" s="8">
        <v>12.1</v>
      </c>
      <c r="V9688" s="8">
        <v>0.4</v>
      </c>
      <c r="W9688" s="8">
        <v>0.3</v>
      </c>
      <c r="X9688" s="8">
        <v>135</v>
      </c>
      <c r="Y9688" s="8" t="s">
        <v>11914</v>
      </c>
      <c r="Z9688" s="8" t="s">
        <v>11915</v>
      </c>
    </row>
    <row r="9689" spans="1:26" x14ac:dyDescent="0.2">
      <c r="A9689" s="8">
        <v>9688</v>
      </c>
      <c r="B9689" s="8" t="s">
        <v>41790</v>
      </c>
      <c r="C9689" s="8" t="s">
        <v>41790</v>
      </c>
      <c r="G9689" s="8">
        <v>5</v>
      </c>
      <c r="H9689" s="8" t="s">
        <v>21</v>
      </c>
      <c r="I9689" s="8" t="s">
        <v>557</v>
      </c>
      <c r="J9689" s="8" t="s">
        <v>557</v>
      </c>
      <c r="K9689" s="8" t="s">
        <v>10468</v>
      </c>
      <c r="L9689" s="8" t="s">
        <v>559</v>
      </c>
      <c r="M9689" s="8" t="s">
        <v>560</v>
      </c>
      <c r="N9689" s="8" t="s">
        <v>41791</v>
      </c>
      <c r="O9689" s="8">
        <f>2+51/60+18/3600</f>
        <v>2.855</v>
      </c>
      <c r="P9689" s="8" t="s">
        <v>41792</v>
      </c>
      <c r="Q9689" s="8">
        <f>+(60+24/60+30/3600)</f>
        <v>60.408333333333331</v>
      </c>
      <c r="R9689" s="8">
        <v>6.5</v>
      </c>
      <c r="S9689" s="8">
        <v>99</v>
      </c>
      <c r="T9689" s="8">
        <v>99</v>
      </c>
      <c r="U9689" s="8">
        <v>99</v>
      </c>
      <c r="V9689" s="8">
        <v>18</v>
      </c>
      <c r="Y9689" s="8" t="s">
        <v>21</v>
      </c>
      <c r="Z9689" s="8" t="s">
        <v>41793</v>
      </c>
    </row>
    <row r="9690" spans="1:26" x14ac:dyDescent="0.2">
      <c r="A9690" s="8">
        <v>9689</v>
      </c>
      <c r="B9690" s="8" t="s">
        <v>41794</v>
      </c>
      <c r="C9690" s="8" t="s">
        <v>41794</v>
      </c>
      <c r="G9690" s="8">
        <v>20</v>
      </c>
      <c r="H9690" s="8" t="s">
        <v>21</v>
      </c>
      <c r="I9690" s="8" t="s">
        <v>22</v>
      </c>
      <c r="J9690" s="8" t="s">
        <v>22</v>
      </c>
      <c r="K9690" s="8" t="s">
        <v>818</v>
      </c>
      <c r="L9690" s="8" t="s">
        <v>125</v>
      </c>
      <c r="M9690" s="8" t="s">
        <v>126</v>
      </c>
      <c r="N9690" s="8" t="s">
        <v>41795</v>
      </c>
      <c r="O9690" s="8">
        <f>2+47/60+44.7/3600</f>
        <v>2.79575</v>
      </c>
      <c r="P9690" s="8" t="s">
        <v>41796</v>
      </c>
      <c r="Q9690" s="8">
        <f>+(9+21/60+24/3600)</f>
        <v>9.3566666666666656</v>
      </c>
      <c r="R9690" s="8">
        <v>14.4</v>
      </c>
      <c r="S9690" s="8">
        <v>15.4</v>
      </c>
      <c r="T9690" s="8">
        <v>1</v>
      </c>
      <c r="U9690" s="8">
        <v>13.8</v>
      </c>
      <c r="V9690" s="8">
        <v>0.9</v>
      </c>
      <c r="W9690" s="8">
        <v>0.6</v>
      </c>
      <c r="X9690" s="8">
        <v>90</v>
      </c>
      <c r="Y9690" s="8" t="s">
        <v>5926</v>
      </c>
      <c r="Z9690" s="8" t="s">
        <v>5927</v>
      </c>
    </row>
    <row r="9691" spans="1:26" x14ac:dyDescent="0.2">
      <c r="A9691" s="8">
        <v>9690</v>
      </c>
      <c r="B9691" s="8" t="s">
        <v>41797</v>
      </c>
      <c r="C9691" s="8" t="s">
        <v>41797</v>
      </c>
      <c r="G9691" s="8">
        <v>20</v>
      </c>
      <c r="H9691" s="8" t="s">
        <v>21</v>
      </c>
      <c r="I9691" s="8" t="s">
        <v>22</v>
      </c>
      <c r="J9691" s="8" t="s">
        <v>57</v>
      </c>
      <c r="K9691" s="8" t="s">
        <v>449</v>
      </c>
      <c r="L9691" s="8" t="s">
        <v>3256</v>
      </c>
      <c r="M9691" s="8" t="s">
        <v>3257</v>
      </c>
      <c r="N9691" s="8" t="s">
        <v>5235</v>
      </c>
      <c r="O9691" s="8">
        <f>2+48/60+39.3/3600</f>
        <v>2.8109166666666665</v>
      </c>
      <c r="P9691" s="8" t="s">
        <v>5236</v>
      </c>
      <c r="Q9691" s="8">
        <f>+(13+15/60+33/3600)</f>
        <v>13.259166666666667</v>
      </c>
      <c r="R9691" s="8">
        <v>15.2</v>
      </c>
      <c r="S9691" s="8">
        <v>16</v>
      </c>
      <c r="T9691" s="8">
        <v>0.8</v>
      </c>
      <c r="U9691" s="8">
        <v>12.6</v>
      </c>
      <c r="V9691" s="8">
        <v>0.5</v>
      </c>
      <c r="W9691" s="8">
        <v>0.2</v>
      </c>
      <c r="X9691" s="8">
        <v>5</v>
      </c>
      <c r="Y9691" s="8" t="s">
        <v>33652</v>
      </c>
      <c r="Z9691" s="8" t="s">
        <v>33653</v>
      </c>
    </row>
    <row r="9692" spans="1:26" x14ac:dyDescent="0.2">
      <c r="A9692" s="8">
        <v>9691</v>
      </c>
      <c r="B9692" s="8" t="s">
        <v>41798</v>
      </c>
      <c r="C9692" s="8" t="s">
        <v>41798</v>
      </c>
      <c r="G9692" s="8">
        <v>20</v>
      </c>
      <c r="H9692" s="8" t="s">
        <v>21</v>
      </c>
      <c r="I9692" s="8" t="s">
        <v>72</v>
      </c>
      <c r="J9692" s="8" t="s">
        <v>72</v>
      </c>
      <c r="K9692" s="8" t="s">
        <v>20</v>
      </c>
      <c r="L9692" s="8" t="s">
        <v>559</v>
      </c>
      <c r="M9692" s="8" t="s">
        <v>560</v>
      </c>
      <c r="N9692" s="8" t="s">
        <v>41799</v>
      </c>
      <c r="O9692" s="8">
        <f>2+51/60+45.9/3600</f>
        <v>2.8627500000000001</v>
      </c>
      <c r="P9692" s="8" t="s">
        <v>41800</v>
      </c>
      <c r="Q9692" s="8">
        <f>+(58+18/60+52/3600)</f>
        <v>58.31444444444444</v>
      </c>
      <c r="R9692" s="8">
        <v>99</v>
      </c>
      <c r="S9692" s="8">
        <v>6.5</v>
      </c>
      <c r="T9692" s="8">
        <v>99</v>
      </c>
      <c r="U9692" s="8">
        <v>99</v>
      </c>
      <c r="Y9692" s="8" t="s">
        <v>41801</v>
      </c>
      <c r="Z9692" s="8" t="s">
        <v>41802</v>
      </c>
    </row>
    <row r="9693" spans="1:26" x14ac:dyDescent="0.2">
      <c r="A9693" s="8">
        <v>9692</v>
      </c>
      <c r="B9693" s="8" t="s">
        <v>41803</v>
      </c>
      <c r="C9693" s="8" t="s">
        <v>41803</v>
      </c>
      <c r="G9693" s="8">
        <v>20</v>
      </c>
      <c r="H9693" s="8" t="s">
        <v>21</v>
      </c>
      <c r="I9693" s="8" t="s">
        <v>22</v>
      </c>
      <c r="J9693" s="8" t="s">
        <v>57</v>
      </c>
      <c r="K9693" s="8" t="s">
        <v>64</v>
      </c>
      <c r="L9693" s="8" t="s">
        <v>3256</v>
      </c>
      <c r="M9693" s="8" t="s">
        <v>3257</v>
      </c>
      <c r="N9693" s="8" t="s">
        <v>5238</v>
      </c>
      <c r="O9693" s="8">
        <f>2+49/60+0.4/3600</f>
        <v>2.8167777777777774</v>
      </c>
      <c r="P9693" s="8" t="s">
        <v>5239</v>
      </c>
      <c r="Q9693" s="8">
        <f>+(13+13/60+25/3600)</f>
        <v>13.223611111111111</v>
      </c>
      <c r="R9693" s="8">
        <v>13.8</v>
      </c>
      <c r="S9693" s="8">
        <v>14.5</v>
      </c>
      <c r="T9693" s="8">
        <v>0.7</v>
      </c>
      <c r="U9693" s="8">
        <v>13</v>
      </c>
      <c r="V9693" s="8">
        <v>1.2</v>
      </c>
      <c r="W9693" s="8">
        <v>0.9</v>
      </c>
      <c r="X9693" s="8">
        <v>3</v>
      </c>
      <c r="Y9693" s="8" t="s">
        <v>1323</v>
      </c>
      <c r="Z9693" s="8" t="s">
        <v>1324</v>
      </c>
    </row>
    <row r="9694" spans="1:26" x14ac:dyDescent="0.2">
      <c r="A9694" s="8">
        <v>9693</v>
      </c>
      <c r="B9694" s="8" t="s">
        <v>41804</v>
      </c>
      <c r="C9694" s="8" t="s">
        <v>41804</v>
      </c>
      <c r="G9694" s="8">
        <v>20</v>
      </c>
      <c r="H9694" s="8" t="s">
        <v>21</v>
      </c>
      <c r="I9694" s="8" t="s">
        <v>22</v>
      </c>
      <c r="J9694" s="8" t="s">
        <v>22</v>
      </c>
      <c r="K9694" s="8" t="s">
        <v>23</v>
      </c>
      <c r="L9694" s="8" t="s">
        <v>3328</v>
      </c>
      <c r="M9694" s="8" t="s">
        <v>3329</v>
      </c>
      <c r="N9694" s="8" t="s">
        <v>41805</v>
      </c>
      <c r="O9694" s="8">
        <f>2+48/60+4.3/3600</f>
        <v>2.8011944444444441</v>
      </c>
      <c r="P9694" s="8" t="s">
        <v>41806</v>
      </c>
      <c r="Q9694" s="8">
        <f>-(13+59/60+36/3600)</f>
        <v>-13.993333333333332</v>
      </c>
      <c r="R9694" s="8">
        <v>13.7</v>
      </c>
      <c r="S9694" s="8">
        <v>14.2</v>
      </c>
      <c r="T9694" s="8">
        <v>0.5</v>
      </c>
      <c r="U9694" s="8">
        <v>13.1</v>
      </c>
      <c r="V9694" s="8">
        <v>1.1000000000000001</v>
      </c>
      <c r="W9694" s="8">
        <v>0.4</v>
      </c>
      <c r="X9694" s="8">
        <v>91</v>
      </c>
      <c r="Y9694" s="8" t="s">
        <v>41807</v>
      </c>
      <c r="Z9694" s="8" t="s">
        <v>41808</v>
      </c>
    </row>
    <row r="9695" spans="1:26" x14ac:dyDescent="0.2">
      <c r="A9695" s="8">
        <v>9694</v>
      </c>
      <c r="B9695" s="8" t="s">
        <v>41809</v>
      </c>
      <c r="C9695" s="8" t="s">
        <v>41809</v>
      </c>
      <c r="G9695" s="8">
        <v>20</v>
      </c>
      <c r="H9695" s="8" t="s">
        <v>21</v>
      </c>
      <c r="I9695" s="8" t="s">
        <v>22</v>
      </c>
      <c r="J9695" s="8" t="s">
        <v>22</v>
      </c>
      <c r="K9695" s="8" t="s">
        <v>37</v>
      </c>
      <c r="L9695" s="8" t="s">
        <v>3256</v>
      </c>
      <c r="M9695" s="8" t="s">
        <v>3257</v>
      </c>
      <c r="N9695" s="8" t="s">
        <v>41810</v>
      </c>
      <c r="O9695" s="8">
        <f>2+49/60+20.6/3600</f>
        <v>2.8223888888888888</v>
      </c>
      <c r="P9695" s="8" t="s">
        <v>41811</v>
      </c>
      <c r="Q9695" s="8">
        <f>+(19+18/60+16/3600)</f>
        <v>19.304444444444446</v>
      </c>
      <c r="R9695" s="8">
        <v>13.9</v>
      </c>
      <c r="S9695" s="8">
        <v>14.9</v>
      </c>
      <c r="T9695" s="8">
        <v>1</v>
      </c>
      <c r="U9695" s="8">
        <v>12.1</v>
      </c>
      <c r="V9695" s="8">
        <v>0.6</v>
      </c>
      <c r="W9695" s="8">
        <v>0.5</v>
      </c>
      <c r="X9695" s="8">
        <v>162</v>
      </c>
      <c r="Y9695" s="8" t="s">
        <v>41812</v>
      </c>
      <c r="Z9695" s="8" t="s">
        <v>3669</v>
      </c>
    </row>
    <row r="9696" spans="1:26" x14ac:dyDescent="0.2">
      <c r="A9696" s="8">
        <v>9695</v>
      </c>
      <c r="B9696" s="8" t="s">
        <v>41813</v>
      </c>
      <c r="C9696" s="8" t="s">
        <v>41813</v>
      </c>
      <c r="G9696" s="8">
        <v>20</v>
      </c>
      <c r="H9696" s="8" t="s">
        <v>21</v>
      </c>
      <c r="I9696" s="8" t="s">
        <v>22</v>
      </c>
      <c r="J9696" s="8" t="s">
        <v>22</v>
      </c>
      <c r="K9696" s="8" t="s">
        <v>424</v>
      </c>
      <c r="L9696" s="8" t="s">
        <v>3256</v>
      </c>
      <c r="M9696" s="8" t="s">
        <v>3257</v>
      </c>
      <c r="N9696" s="8" t="s">
        <v>41814</v>
      </c>
      <c r="O9696" s="8">
        <f>2+49/60+4.3/3600</f>
        <v>2.8178611111111107</v>
      </c>
      <c r="P9696" s="8" t="s">
        <v>41815</v>
      </c>
      <c r="Q9696" s="8">
        <f>+(13+26/60+34/3600)</f>
        <v>13.442777777777778</v>
      </c>
      <c r="R9696" s="8">
        <v>15</v>
      </c>
      <c r="S9696" s="8">
        <v>16</v>
      </c>
      <c r="T9696" s="8">
        <v>1</v>
      </c>
      <c r="U9696" s="8">
        <v>12.2</v>
      </c>
      <c r="V9696" s="8">
        <v>0.3</v>
      </c>
      <c r="W9696" s="8">
        <v>0.3</v>
      </c>
      <c r="Y9696" s="8" t="s">
        <v>41816</v>
      </c>
      <c r="Z9696" s="8" t="s">
        <v>41817</v>
      </c>
    </row>
    <row r="9697" spans="1:26" x14ac:dyDescent="0.2">
      <c r="A9697" s="8">
        <v>9696</v>
      </c>
      <c r="B9697" s="8" t="s">
        <v>41818</v>
      </c>
      <c r="C9697" s="8" t="s">
        <v>41818</v>
      </c>
      <c r="G9697" s="8">
        <v>20</v>
      </c>
      <c r="H9697" s="8" t="s">
        <v>21</v>
      </c>
      <c r="I9697" s="8" t="s">
        <v>22</v>
      </c>
      <c r="J9697" s="8" t="s">
        <v>22</v>
      </c>
      <c r="K9697" s="8" t="s">
        <v>406</v>
      </c>
      <c r="L9697" s="8" t="s">
        <v>125</v>
      </c>
      <c r="M9697" s="8" t="s">
        <v>126</v>
      </c>
      <c r="N9697" s="8" t="s">
        <v>41819</v>
      </c>
      <c r="O9697" s="8">
        <f>2+48/60+50.8/3600</f>
        <v>2.814111111111111</v>
      </c>
      <c r="P9697" s="8" t="s">
        <v>41820</v>
      </c>
      <c r="Q9697" s="8">
        <f>-(0+46/60+2/3600)</f>
        <v>-0.76722222222222225</v>
      </c>
      <c r="R9697" s="8">
        <v>13.5</v>
      </c>
      <c r="S9697" s="8">
        <v>14.3</v>
      </c>
      <c r="T9697" s="8">
        <v>0.8</v>
      </c>
      <c r="U9697" s="8">
        <v>12.9</v>
      </c>
      <c r="V9697" s="8">
        <v>1.1000000000000001</v>
      </c>
      <c r="W9697" s="8">
        <v>0.6</v>
      </c>
      <c r="X9697" s="8">
        <v>60</v>
      </c>
      <c r="Y9697" s="8" t="s">
        <v>41821</v>
      </c>
      <c r="Z9697" s="8" t="s">
        <v>41822</v>
      </c>
    </row>
    <row r="9698" spans="1:26" x14ac:dyDescent="0.2">
      <c r="A9698" s="8">
        <v>9697</v>
      </c>
      <c r="B9698" s="8" t="s">
        <v>41823</v>
      </c>
      <c r="C9698" s="8" t="s">
        <v>41823</v>
      </c>
      <c r="G9698" s="8">
        <v>20</v>
      </c>
      <c r="H9698" s="8" t="s">
        <v>21</v>
      </c>
      <c r="I9698" s="8" t="s">
        <v>22</v>
      </c>
      <c r="J9698" s="8" t="s">
        <v>22</v>
      </c>
      <c r="K9698" s="8" t="s">
        <v>396</v>
      </c>
      <c r="L9698" s="8" t="s">
        <v>3256</v>
      </c>
      <c r="M9698" s="8" t="s">
        <v>3257</v>
      </c>
      <c r="N9698" s="8" t="s">
        <v>41824</v>
      </c>
      <c r="O9698" s="8">
        <f>2+49/60+38.8/3600</f>
        <v>2.8274444444444442</v>
      </c>
      <c r="P9698" s="8" t="s">
        <v>41825</v>
      </c>
      <c r="Q9698" s="8">
        <f>+(14+37/60+12/3600)</f>
        <v>14.620000000000001</v>
      </c>
      <c r="R9698" s="8">
        <v>14</v>
      </c>
      <c r="S9698" s="8">
        <v>14.8</v>
      </c>
      <c r="T9698" s="8">
        <v>0.8</v>
      </c>
      <c r="U9698" s="8">
        <v>12.9</v>
      </c>
      <c r="V9698" s="8">
        <v>1</v>
      </c>
      <c r="W9698" s="8">
        <v>0.5</v>
      </c>
      <c r="X9698" s="8">
        <v>150</v>
      </c>
      <c r="Y9698" s="8" t="s">
        <v>1837</v>
      </c>
      <c r="Z9698" s="8" t="s">
        <v>1838</v>
      </c>
    </row>
    <row r="9699" spans="1:26" x14ac:dyDescent="0.2">
      <c r="A9699" s="8">
        <v>9698</v>
      </c>
      <c r="B9699" s="8" t="s">
        <v>41826</v>
      </c>
      <c r="C9699" s="8" t="s">
        <v>41826</v>
      </c>
      <c r="G9699" s="8">
        <v>20</v>
      </c>
      <c r="H9699" s="8" t="s">
        <v>21</v>
      </c>
      <c r="I9699" s="8" t="s">
        <v>22</v>
      </c>
      <c r="J9699" s="8" t="s">
        <v>22</v>
      </c>
      <c r="K9699" s="8" t="s">
        <v>632</v>
      </c>
      <c r="L9699" s="8" t="s">
        <v>3335</v>
      </c>
      <c r="M9699" s="8" t="s">
        <v>3336</v>
      </c>
      <c r="N9699" s="8" t="s">
        <v>41827</v>
      </c>
      <c r="O9699" s="8">
        <f>2+49/60+8.4/3600</f>
        <v>2.819</v>
      </c>
      <c r="P9699" s="8" t="s">
        <v>41828</v>
      </c>
      <c r="Q9699" s="8">
        <f>-(31+17/60+22/3600)</f>
        <v>-31.289444444444445</v>
      </c>
      <c r="R9699" s="8">
        <v>13.1</v>
      </c>
      <c r="S9699" s="8">
        <v>14</v>
      </c>
      <c r="T9699" s="8">
        <v>0.9</v>
      </c>
      <c r="U9699" s="8">
        <v>13.1</v>
      </c>
      <c r="V9699" s="8">
        <v>1.7</v>
      </c>
      <c r="W9699" s="8">
        <v>0.5</v>
      </c>
      <c r="X9699" s="8">
        <v>176</v>
      </c>
      <c r="Y9699" s="8" t="s">
        <v>41829</v>
      </c>
      <c r="Z9699" s="8" t="s">
        <v>41830</v>
      </c>
    </row>
    <row r="9700" spans="1:26" x14ac:dyDescent="0.2">
      <c r="A9700" s="8">
        <v>9699</v>
      </c>
      <c r="B9700" s="8" t="s">
        <v>41831</v>
      </c>
      <c r="C9700" s="8" t="s">
        <v>41831</v>
      </c>
      <c r="G9700" s="8">
        <v>20</v>
      </c>
      <c r="H9700" s="8" t="s">
        <v>21</v>
      </c>
      <c r="I9700" s="8" t="s">
        <v>22</v>
      </c>
      <c r="J9700" s="8" t="s">
        <v>22</v>
      </c>
      <c r="K9700" s="8" t="s">
        <v>396</v>
      </c>
      <c r="L9700" s="8" t="s">
        <v>3335</v>
      </c>
      <c r="M9700" s="8" t="s">
        <v>3336</v>
      </c>
      <c r="N9700" s="8" t="s">
        <v>41832</v>
      </c>
      <c r="O9700" s="8">
        <f>2+49/60+3.8/3600</f>
        <v>2.8177222222222218</v>
      </c>
      <c r="P9700" s="8" t="s">
        <v>41833</v>
      </c>
      <c r="Q9700" s="8">
        <f>-(31+10/60+21/3600)</f>
        <v>-31.172499999999999</v>
      </c>
      <c r="R9700" s="8">
        <v>13.3</v>
      </c>
      <c r="S9700" s="8">
        <v>14.1</v>
      </c>
      <c r="T9700" s="8">
        <v>0.8</v>
      </c>
      <c r="U9700" s="8">
        <v>13.3</v>
      </c>
      <c r="V9700" s="8">
        <v>1.2</v>
      </c>
      <c r="W9700" s="8">
        <v>0.8</v>
      </c>
      <c r="X9700" s="8">
        <v>21</v>
      </c>
      <c r="Y9700" s="8" t="s">
        <v>41834</v>
      </c>
      <c r="Z9700" s="8" t="s">
        <v>41835</v>
      </c>
    </row>
    <row r="9701" spans="1:26" x14ac:dyDescent="0.2">
      <c r="A9701" s="8">
        <v>9700</v>
      </c>
      <c r="B9701" s="8" t="s">
        <v>41836</v>
      </c>
      <c r="C9701" s="8" t="s">
        <v>41836</v>
      </c>
      <c r="G9701" s="8">
        <v>20</v>
      </c>
      <c r="H9701" s="8" t="s">
        <v>21</v>
      </c>
      <c r="I9701" s="8" t="s">
        <v>22</v>
      </c>
      <c r="J9701" s="8" t="s">
        <v>22</v>
      </c>
      <c r="K9701" s="8" t="s">
        <v>50</v>
      </c>
      <c r="L9701" s="8" t="s">
        <v>3335</v>
      </c>
      <c r="M9701" s="8" t="s">
        <v>3336</v>
      </c>
      <c r="N9701" s="8" t="s">
        <v>41837</v>
      </c>
      <c r="O9701" s="8">
        <f>2+49/60+33.7/3600</f>
        <v>2.8260277777777776</v>
      </c>
      <c r="P9701" s="8" t="s">
        <v>41838</v>
      </c>
      <c r="Q9701" s="8">
        <f>-(31+11/60+23/3600)</f>
        <v>-31.189722222222223</v>
      </c>
      <c r="R9701" s="8">
        <v>12.7</v>
      </c>
      <c r="S9701" s="8">
        <v>13.7</v>
      </c>
      <c r="T9701" s="8">
        <v>1</v>
      </c>
      <c r="U9701" s="8">
        <v>13.5</v>
      </c>
      <c r="V9701" s="8">
        <v>2.2000000000000002</v>
      </c>
      <c r="W9701" s="8">
        <v>1.7</v>
      </c>
      <c r="X9701" s="8">
        <v>6</v>
      </c>
      <c r="Y9701" s="8" t="s">
        <v>41839</v>
      </c>
      <c r="Z9701" s="8" t="s">
        <v>41840</v>
      </c>
    </row>
    <row r="9702" spans="1:26" x14ac:dyDescent="0.2">
      <c r="A9702" s="8">
        <v>9701</v>
      </c>
      <c r="B9702" s="8" t="s">
        <v>41841</v>
      </c>
      <c r="C9702" s="8" t="s">
        <v>41841</v>
      </c>
      <c r="G9702" s="8">
        <v>20</v>
      </c>
      <c r="H9702" s="8" t="s">
        <v>21</v>
      </c>
      <c r="I9702" s="8" t="s">
        <v>22</v>
      </c>
      <c r="J9702" s="8" t="s">
        <v>22</v>
      </c>
      <c r="K9702" s="8" t="s">
        <v>37</v>
      </c>
      <c r="L9702" s="8" t="s">
        <v>3256</v>
      </c>
      <c r="M9702" s="8" t="s">
        <v>3257</v>
      </c>
      <c r="N9702" s="8" t="s">
        <v>41842</v>
      </c>
      <c r="O9702" s="8">
        <f>2+53/60+7/3600</f>
        <v>2.8852777777777776</v>
      </c>
      <c r="P9702" s="8" t="s">
        <v>41843</v>
      </c>
      <c r="Q9702" s="8">
        <f>+(25+29/60+25/3600)</f>
        <v>25.490277777777777</v>
      </c>
      <c r="R9702" s="8">
        <v>13.3</v>
      </c>
      <c r="S9702" s="8">
        <v>14.3</v>
      </c>
      <c r="T9702" s="8">
        <v>1</v>
      </c>
      <c r="U9702" s="8">
        <v>13.2</v>
      </c>
      <c r="V9702" s="8">
        <v>1.2</v>
      </c>
      <c r="W9702" s="8">
        <v>0.8</v>
      </c>
      <c r="X9702" s="8">
        <v>150</v>
      </c>
      <c r="Y9702" s="8" t="s">
        <v>41844</v>
      </c>
      <c r="Z9702" s="8" t="s">
        <v>41845</v>
      </c>
    </row>
    <row r="9703" spans="1:26" x14ac:dyDescent="0.2">
      <c r="A9703" s="8">
        <v>9702</v>
      </c>
      <c r="B9703" s="8" t="s">
        <v>41846</v>
      </c>
      <c r="C9703" s="8" t="s">
        <v>41846</v>
      </c>
      <c r="G9703" s="8">
        <v>20</v>
      </c>
      <c r="H9703" s="8" t="s">
        <v>21</v>
      </c>
      <c r="I9703" s="8" t="s">
        <v>22</v>
      </c>
      <c r="J9703" s="8" t="s">
        <v>22</v>
      </c>
      <c r="K9703" s="8" t="s">
        <v>396</v>
      </c>
      <c r="L9703" s="8" t="s">
        <v>3335</v>
      </c>
      <c r="M9703" s="8" t="s">
        <v>3336</v>
      </c>
      <c r="N9703" s="8" t="s">
        <v>41847</v>
      </c>
      <c r="O9703" s="8">
        <f>2+51/60+58.8/3600</f>
        <v>2.8663333333333334</v>
      </c>
      <c r="P9703" s="8" t="s">
        <v>41848</v>
      </c>
      <c r="Q9703" s="8">
        <f>-(33+20/60+24/3600)</f>
        <v>-33.340000000000003</v>
      </c>
      <c r="R9703" s="8">
        <v>13.3</v>
      </c>
      <c r="S9703" s="8">
        <v>14.1</v>
      </c>
      <c r="T9703" s="8">
        <v>0.8</v>
      </c>
      <c r="U9703" s="8">
        <v>13</v>
      </c>
      <c r="V9703" s="8">
        <v>3</v>
      </c>
      <c r="W9703" s="8">
        <v>0.3</v>
      </c>
      <c r="X9703" s="8">
        <v>3</v>
      </c>
      <c r="Y9703" s="8" t="s">
        <v>41849</v>
      </c>
      <c r="Z9703" s="8" t="s">
        <v>41850</v>
      </c>
    </row>
    <row r="9704" spans="1:26" x14ac:dyDescent="0.2">
      <c r="A9704" s="8">
        <v>9703</v>
      </c>
      <c r="B9704" s="8" t="s">
        <v>41851</v>
      </c>
      <c r="C9704" s="8" t="s">
        <v>41851</v>
      </c>
      <c r="G9704" s="8">
        <v>20</v>
      </c>
      <c r="H9704" s="8" t="s">
        <v>21</v>
      </c>
      <c r="I9704" s="8" t="s">
        <v>22</v>
      </c>
      <c r="J9704" s="8" t="s">
        <v>22</v>
      </c>
      <c r="K9704" s="8" t="s">
        <v>424</v>
      </c>
      <c r="L9704" s="8" t="s">
        <v>125</v>
      </c>
      <c r="M9704" s="8" t="s">
        <v>126</v>
      </c>
      <c r="N9704" s="8" t="s">
        <v>41852</v>
      </c>
      <c r="O9704" s="8">
        <f>2+54/60+50.7/3600</f>
        <v>2.9140833333333331</v>
      </c>
      <c r="P9704" s="8" t="s">
        <v>41853</v>
      </c>
      <c r="Q9704" s="8">
        <f>+(8+47/60+6/3600)</f>
        <v>8.7850000000000001</v>
      </c>
      <c r="R9704" s="8">
        <v>14.7</v>
      </c>
      <c r="S9704" s="8">
        <v>15.7</v>
      </c>
      <c r="T9704" s="8">
        <v>1</v>
      </c>
      <c r="U9704" s="8">
        <v>12.6</v>
      </c>
      <c r="V9704" s="8">
        <v>0.4</v>
      </c>
      <c r="W9704" s="8">
        <v>0.4</v>
      </c>
      <c r="Y9704" s="8" t="s">
        <v>41854</v>
      </c>
      <c r="Z9704" s="8" t="s">
        <v>41855</v>
      </c>
    </row>
    <row r="9705" spans="1:26" x14ac:dyDescent="0.2">
      <c r="A9705" s="8">
        <v>9704</v>
      </c>
      <c r="B9705" s="8" t="s">
        <v>41856</v>
      </c>
      <c r="C9705" s="8" t="s">
        <v>41856</v>
      </c>
      <c r="G9705" s="8">
        <v>20</v>
      </c>
      <c r="H9705" s="8" t="s">
        <v>21</v>
      </c>
      <c r="I9705" s="8" t="s">
        <v>22</v>
      </c>
      <c r="J9705" s="8" t="s">
        <v>22</v>
      </c>
      <c r="K9705" s="8" t="s">
        <v>50</v>
      </c>
      <c r="L9705" s="8" t="s">
        <v>3335</v>
      </c>
      <c r="M9705" s="8" t="s">
        <v>3336</v>
      </c>
      <c r="N9705" s="8" t="s">
        <v>41857</v>
      </c>
      <c r="O9705" s="8">
        <f>2+53/60+39.4/3600</f>
        <v>2.8942777777777779</v>
      </c>
      <c r="P9705" s="8" t="s">
        <v>41858</v>
      </c>
      <c r="Q9705" s="8">
        <f>-(34+11/60+53/3600)</f>
        <v>-34.198055555555555</v>
      </c>
      <c r="R9705" s="8">
        <v>11.6</v>
      </c>
      <c r="S9705" s="8">
        <v>12.6</v>
      </c>
      <c r="T9705" s="8">
        <v>1</v>
      </c>
      <c r="U9705" s="8">
        <v>12.4</v>
      </c>
      <c r="V9705" s="8">
        <v>1.2</v>
      </c>
      <c r="W9705" s="8">
        <v>0.7</v>
      </c>
      <c r="X9705" s="8">
        <v>63</v>
      </c>
      <c r="Y9705" s="8" t="s">
        <v>227</v>
      </c>
      <c r="Z9705" s="8" t="s">
        <v>228</v>
      </c>
    </row>
    <row r="9706" spans="1:26" x14ac:dyDescent="0.2">
      <c r="A9706" s="8">
        <v>9705</v>
      </c>
      <c r="B9706" s="8" t="s">
        <v>41859</v>
      </c>
      <c r="C9706" s="8" t="s">
        <v>41859</v>
      </c>
      <c r="G9706" s="8">
        <v>20</v>
      </c>
      <c r="H9706" s="8" t="s">
        <v>21</v>
      </c>
      <c r="I9706" s="8" t="s">
        <v>22</v>
      </c>
      <c r="J9706" s="8" t="s">
        <v>22</v>
      </c>
      <c r="K9706" s="8" t="s">
        <v>396</v>
      </c>
      <c r="L9706" s="8" t="s">
        <v>125</v>
      </c>
      <c r="M9706" s="8" t="s">
        <v>126</v>
      </c>
      <c r="N9706" s="8" t="s">
        <v>41860</v>
      </c>
      <c r="O9706" s="8">
        <f>2+55/60+20/3600</f>
        <v>2.9222222222222221</v>
      </c>
      <c r="P9706" s="8" t="s">
        <v>41861</v>
      </c>
      <c r="Q9706" s="8">
        <f>+(8+49/60+41/3600)</f>
        <v>8.8280555555555544</v>
      </c>
      <c r="R9706" s="8">
        <v>13.9</v>
      </c>
      <c r="S9706" s="8">
        <v>14.7</v>
      </c>
      <c r="T9706" s="8">
        <v>0.8</v>
      </c>
      <c r="U9706" s="8">
        <v>14.3</v>
      </c>
      <c r="V9706" s="8">
        <v>1.5</v>
      </c>
      <c r="W9706" s="8">
        <v>1.1000000000000001</v>
      </c>
      <c r="X9706" s="8">
        <v>90</v>
      </c>
      <c r="Y9706" s="8" t="s">
        <v>37584</v>
      </c>
      <c r="Z9706" s="8" t="s">
        <v>37595</v>
      </c>
    </row>
    <row r="9707" spans="1:26" x14ac:dyDescent="0.2">
      <c r="A9707" s="8">
        <v>9706</v>
      </c>
      <c r="B9707" s="8" t="s">
        <v>41862</v>
      </c>
      <c r="C9707" s="8" t="s">
        <v>41862</v>
      </c>
      <c r="G9707" s="8">
        <v>20</v>
      </c>
      <c r="H9707" s="8" t="s">
        <v>21</v>
      </c>
      <c r="I9707" s="8" t="s">
        <v>22</v>
      </c>
      <c r="J9707" s="8" t="s">
        <v>22</v>
      </c>
      <c r="K9707" s="8" t="s">
        <v>58</v>
      </c>
      <c r="L9707" s="8" t="s">
        <v>3328</v>
      </c>
      <c r="M9707" s="8" t="s">
        <v>3329</v>
      </c>
      <c r="N9707" s="8" t="s">
        <v>41863</v>
      </c>
      <c r="O9707" s="8">
        <f>2+54/60+52.9/3600</f>
        <v>2.9146944444444443</v>
      </c>
      <c r="P9707" s="8" t="s">
        <v>41864</v>
      </c>
      <c r="Q9707" s="8">
        <f>-(15+39/60+10/3600)</f>
        <v>-15.652777777777779</v>
      </c>
      <c r="R9707" s="8">
        <v>14</v>
      </c>
      <c r="S9707" s="8">
        <v>15</v>
      </c>
      <c r="T9707" s="8">
        <v>1</v>
      </c>
      <c r="U9707" s="8">
        <v>13.8</v>
      </c>
      <c r="V9707" s="8">
        <v>1.1000000000000001</v>
      </c>
      <c r="W9707" s="8">
        <v>0.7</v>
      </c>
      <c r="X9707" s="8">
        <v>90</v>
      </c>
      <c r="Y9707" s="8" t="s">
        <v>15769</v>
      </c>
      <c r="Z9707" s="8" t="s">
        <v>15770</v>
      </c>
    </row>
    <row r="9708" spans="1:26" x14ac:dyDescent="0.2">
      <c r="A9708" s="8">
        <v>9707</v>
      </c>
      <c r="B9708" s="8" t="s">
        <v>41865</v>
      </c>
      <c r="C9708" s="8" t="s">
        <v>41865</v>
      </c>
      <c r="G9708" s="8">
        <v>20</v>
      </c>
      <c r="H9708" s="8" t="s">
        <v>21</v>
      </c>
      <c r="I9708" s="8" t="s">
        <v>22</v>
      </c>
      <c r="J9708" s="8" t="s">
        <v>22</v>
      </c>
      <c r="K9708" s="8" t="s">
        <v>37</v>
      </c>
      <c r="L9708" s="8" t="s">
        <v>125</v>
      </c>
      <c r="M9708" s="8" t="s">
        <v>126</v>
      </c>
      <c r="N9708" s="8" t="s">
        <v>41866</v>
      </c>
      <c r="O9708" s="8">
        <f>2+55/60+52.2/3600</f>
        <v>2.9311666666666665</v>
      </c>
      <c r="P9708" s="8" t="s">
        <v>41867</v>
      </c>
      <c r="Q9708" s="8">
        <f>+(9+18/60+44/3600)</f>
        <v>9.3122222222222231</v>
      </c>
      <c r="R9708" s="8">
        <v>14.1</v>
      </c>
      <c r="S9708" s="8">
        <v>15.1</v>
      </c>
      <c r="T9708" s="8">
        <v>1</v>
      </c>
      <c r="U9708" s="8">
        <v>14.6</v>
      </c>
      <c r="V9708" s="8">
        <v>1.5</v>
      </c>
      <c r="W9708" s="8">
        <v>1.2</v>
      </c>
      <c r="X9708" s="8">
        <v>15</v>
      </c>
      <c r="Y9708" s="8" t="s">
        <v>41413</v>
      </c>
      <c r="Z9708" s="8" t="s">
        <v>41414</v>
      </c>
    </row>
    <row r="9709" spans="1:26" x14ac:dyDescent="0.2">
      <c r="A9709" s="8">
        <v>9708</v>
      </c>
      <c r="B9709" s="8" t="s">
        <v>41868</v>
      </c>
      <c r="C9709" s="8" t="s">
        <v>41868</v>
      </c>
      <c r="G9709" s="8">
        <v>20</v>
      </c>
      <c r="H9709" s="8" t="s">
        <v>21</v>
      </c>
      <c r="I9709" s="8" t="s">
        <v>22</v>
      </c>
      <c r="J9709" s="8" t="s">
        <v>22</v>
      </c>
      <c r="K9709" s="8" t="s">
        <v>449</v>
      </c>
      <c r="L9709" s="8" t="s">
        <v>125</v>
      </c>
      <c r="M9709" s="8" t="s">
        <v>126</v>
      </c>
      <c r="N9709" s="8" t="s">
        <v>41869</v>
      </c>
      <c r="O9709" s="8">
        <f>2+56/60+5.8/3600</f>
        <v>2.9349444444444446</v>
      </c>
      <c r="P9709" s="8" t="s">
        <v>41870</v>
      </c>
      <c r="Q9709" s="8">
        <f>+(9+22/60+46/3600)</f>
        <v>9.3794444444444451</v>
      </c>
      <c r="R9709" s="8">
        <v>15.1</v>
      </c>
      <c r="S9709" s="8">
        <v>15.9</v>
      </c>
      <c r="T9709" s="8">
        <v>0.8</v>
      </c>
      <c r="U9709" s="8">
        <v>12.6</v>
      </c>
      <c r="V9709" s="8">
        <v>0.4</v>
      </c>
      <c r="W9709" s="8">
        <v>0.3</v>
      </c>
      <c r="X9709" s="8">
        <v>70</v>
      </c>
      <c r="Y9709" s="8" t="s">
        <v>5926</v>
      </c>
      <c r="Z9709" s="8" t="s">
        <v>5927</v>
      </c>
    </row>
    <row r="9710" spans="1:26" x14ac:dyDescent="0.2">
      <c r="A9710" s="8">
        <v>9709</v>
      </c>
      <c r="B9710" s="8" t="s">
        <v>41871</v>
      </c>
      <c r="C9710" s="8" t="s">
        <v>41871</v>
      </c>
      <c r="G9710" s="8">
        <v>20</v>
      </c>
      <c r="H9710" s="8" t="s">
        <v>21</v>
      </c>
      <c r="I9710" s="8" t="s">
        <v>22</v>
      </c>
      <c r="J9710" s="8" t="s">
        <v>22</v>
      </c>
      <c r="K9710" s="8" t="s">
        <v>37</v>
      </c>
      <c r="L9710" s="8" t="s">
        <v>125</v>
      </c>
      <c r="M9710" s="8" t="s">
        <v>126</v>
      </c>
      <c r="N9710" s="8" t="s">
        <v>41872</v>
      </c>
      <c r="O9710" s="8">
        <f>2+58/60+11.7/3600</f>
        <v>2.9699166666666668</v>
      </c>
      <c r="P9710" s="8" t="s">
        <v>41873</v>
      </c>
      <c r="Q9710" s="8">
        <f>+(5+50/60+12/3600)</f>
        <v>5.836666666666666</v>
      </c>
      <c r="R9710" s="8">
        <v>14.4</v>
      </c>
      <c r="S9710" s="8">
        <v>15.4</v>
      </c>
      <c r="T9710" s="8">
        <v>1</v>
      </c>
      <c r="U9710" s="8">
        <v>12</v>
      </c>
      <c r="V9710" s="8">
        <v>0.6</v>
      </c>
      <c r="W9710" s="8">
        <v>0.2</v>
      </c>
      <c r="X9710" s="8">
        <v>120</v>
      </c>
      <c r="Y9710" s="8" t="s">
        <v>21</v>
      </c>
      <c r="Z9710" s="8" t="s">
        <v>41874</v>
      </c>
    </row>
    <row r="9711" spans="1:26" x14ac:dyDescent="0.2">
      <c r="A9711" s="8">
        <v>9710</v>
      </c>
      <c r="B9711" s="8" t="s">
        <v>41875</v>
      </c>
      <c r="C9711" s="8" t="s">
        <v>41875</v>
      </c>
      <c r="G9711" s="8">
        <v>20</v>
      </c>
      <c r="H9711" s="8" t="s">
        <v>21</v>
      </c>
      <c r="I9711" s="8" t="s">
        <v>22</v>
      </c>
      <c r="J9711" s="8" t="s">
        <v>22</v>
      </c>
      <c r="K9711" s="8" t="s">
        <v>323</v>
      </c>
      <c r="L9711" s="8" t="s">
        <v>3328</v>
      </c>
      <c r="M9711" s="8" t="s">
        <v>3329</v>
      </c>
      <c r="N9711" s="8" t="s">
        <v>41876</v>
      </c>
      <c r="O9711" s="8">
        <f>2+57/60+53.5/3600</f>
        <v>2.9648611111111114</v>
      </c>
      <c r="P9711" s="8" t="s">
        <v>41877</v>
      </c>
      <c r="Q9711" s="8">
        <f>-(2+20/60+48/3600)</f>
        <v>-2.3466666666666667</v>
      </c>
      <c r="R9711" s="8">
        <v>13.2</v>
      </c>
      <c r="S9711" s="8">
        <v>13.8</v>
      </c>
      <c r="T9711" s="8">
        <v>0.6</v>
      </c>
      <c r="U9711" s="8">
        <v>14.7</v>
      </c>
      <c r="V9711" s="8">
        <v>2.8</v>
      </c>
      <c r="W9711" s="8">
        <v>1.6</v>
      </c>
      <c r="X9711" s="8">
        <v>132</v>
      </c>
      <c r="Y9711" s="8" t="s">
        <v>41878</v>
      </c>
      <c r="Z9711" s="8" t="s">
        <v>41879</v>
      </c>
    </row>
    <row r="9712" spans="1:26" x14ac:dyDescent="0.2">
      <c r="A9712" s="8">
        <v>9711</v>
      </c>
      <c r="B9712" s="8" t="s">
        <v>41880</v>
      </c>
      <c r="C9712" s="8" t="s">
        <v>41880</v>
      </c>
      <c r="G9712" s="8">
        <v>20</v>
      </c>
      <c r="H9712" s="8" t="s">
        <v>21</v>
      </c>
      <c r="I9712" s="8" t="s">
        <v>1283</v>
      </c>
      <c r="J9712" s="8" t="s">
        <v>1283</v>
      </c>
      <c r="K9712" s="8" t="s">
        <v>1284</v>
      </c>
      <c r="L9712" s="8" t="s">
        <v>559</v>
      </c>
      <c r="M9712" s="8" t="s">
        <v>560</v>
      </c>
      <c r="N9712" s="8" t="s">
        <v>41881</v>
      </c>
      <c r="O9712" s="8">
        <f>2+57/60+21.7/3600</f>
        <v>2.9560277777777779</v>
      </c>
      <c r="P9712" s="8" t="s">
        <v>41882</v>
      </c>
      <c r="Q9712" s="8">
        <f>+(60+40/60+20/3600)</f>
        <v>60.672222222222217</v>
      </c>
      <c r="R9712" s="8">
        <v>99</v>
      </c>
      <c r="S9712" s="8">
        <v>99</v>
      </c>
      <c r="T9712" s="8">
        <v>99</v>
      </c>
      <c r="U9712" s="8">
        <v>99</v>
      </c>
      <c r="Y9712" s="8" t="s">
        <v>21</v>
      </c>
      <c r="Z9712" s="8" t="s">
        <v>41883</v>
      </c>
    </row>
    <row r="9713" spans="1:26" x14ac:dyDescent="0.2">
      <c r="A9713" s="8">
        <v>9712</v>
      </c>
      <c r="B9713" s="8" t="s">
        <v>41884</v>
      </c>
      <c r="C9713" s="8" t="s">
        <v>41884</v>
      </c>
      <c r="G9713" s="8">
        <v>20</v>
      </c>
      <c r="H9713" s="8" t="s">
        <v>21</v>
      </c>
      <c r="I9713" s="8" t="s">
        <v>72</v>
      </c>
      <c r="J9713" s="8" t="s">
        <v>72</v>
      </c>
      <c r="K9713" s="8" t="s">
        <v>5802</v>
      </c>
      <c r="L9713" s="8" t="s">
        <v>3147</v>
      </c>
      <c r="M9713" s="8" t="s">
        <v>3148</v>
      </c>
      <c r="N9713" s="8" t="s">
        <v>41885</v>
      </c>
      <c r="O9713" s="8">
        <f>3+4/60+34.9/3600</f>
        <v>3.0763611111111113</v>
      </c>
      <c r="P9713" s="8" t="s">
        <v>41886</v>
      </c>
      <c r="Q9713" s="8">
        <f>+(42+48/60+34/3600)</f>
        <v>42.809444444444445</v>
      </c>
      <c r="R9713" s="8">
        <v>99</v>
      </c>
      <c r="S9713" s="8">
        <v>16</v>
      </c>
      <c r="T9713" s="8">
        <v>99</v>
      </c>
      <c r="U9713" s="8">
        <v>99</v>
      </c>
      <c r="Y9713" s="8" t="s">
        <v>11441</v>
      </c>
      <c r="Z9713" s="8" t="s">
        <v>29855</v>
      </c>
    </row>
    <row r="9714" spans="1:26" x14ac:dyDescent="0.2">
      <c r="A9714" s="8">
        <v>9713</v>
      </c>
      <c r="B9714" s="8" t="s">
        <v>41887</v>
      </c>
      <c r="C9714" s="8" t="s">
        <v>41887</v>
      </c>
      <c r="E9714" s="8">
        <v>1</v>
      </c>
      <c r="G9714" s="8">
        <v>20</v>
      </c>
      <c r="H9714" s="8" t="s">
        <v>21</v>
      </c>
      <c r="I9714" s="8" t="s">
        <v>22</v>
      </c>
      <c r="J9714" s="8" t="s">
        <v>22</v>
      </c>
      <c r="K9714" s="8" t="s">
        <v>37</v>
      </c>
      <c r="L9714" s="8" t="s">
        <v>125</v>
      </c>
      <c r="M9714" s="8" t="s">
        <v>126</v>
      </c>
      <c r="N9714" s="8" t="s">
        <v>41888</v>
      </c>
      <c r="O9714" s="8">
        <f>3+3/60+52.8/3600</f>
        <v>3.0646666666666667</v>
      </c>
      <c r="P9714" s="8" t="s">
        <v>41889</v>
      </c>
      <c r="Q9714" s="8">
        <f>+(9+36/60+50/3600)</f>
        <v>9.6138888888888889</v>
      </c>
      <c r="R9714" s="8">
        <v>14.3</v>
      </c>
      <c r="S9714" s="8">
        <v>15.3</v>
      </c>
      <c r="T9714" s="8">
        <v>1</v>
      </c>
      <c r="U9714" s="8">
        <v>13.9</v>
      </c>
      <c r="V9714" s="8">
        <v>1.1000000000000001</v>
      </c>
      <c r="W9714" s="8">
        <v>0.7</v>
      </c>
      <c r="X9714" s="8">
        <v>24</v>
      </c>
      <c r="Y9714" s="8" t="s">
        <v>41890</v>
      </c>
      <c r="Z9714" s="8" t="s">
        <v>41891</v>
      </c>
    </row>
    <row r="9715" spans="1:26" x14ac:dyDescent="0.2">
      <c r="A9715" s="8">
        <v>9714</v>
      </c>
      <c r="B9715" s="8" t="s">
        <v>41892</v>
      </c>
      <c r="C9715" s="8" t="s">
        <v>41892</v>
      </c>
      <c r="G9715" s="8">
        <v>20</v>
      </c>
      <c r="H9715" s="8" t="s">
        <v>21</v>
      </c>
      <c r="I9715" s="8" t="s">
        <v>22</v>
      </c>
      <c r="J9715" s="8" t="s">
        <v>22</v>
      </c>
      <c r="K9715" s="8" t="s">
        <v>435</v>
      </c>
      <c r="L9715" s="8" t="s">
        <v>3147</v>
      </c>
      <c r="M9715" s="8" t="s">
        <v>3148</v>
      </c>
      <c r="N9715" s="8" t="s">
        <v>41893</v>
      </c>
      <c r="O9715" s="8">
        <f>3+6/60+21.9/3600</f>
        <v>3.1060833333333333</v>
      </c>
      <c r="P9715" s="8" t="s">
        <v>41894</v>
      </c>
      <c r="Q9715" s="8">
        <f>+(36+0/60+54/3600)</f>
        <v>36.015000000000001</v>
      </c>
      <c r="R9715" s="8">
        <v>13.7</v>
      </c>
      <c r="S9715" s="8">
        <v>14.6</v>
      </c>
      <c r="T9715" s="8">
        <v>0.9</v>
      </c>
      <c r="U9715" s="8">
        <v>13.2</v>
      </c>
      <c r="V9715" s="8">
        <v>1</v>
      </c>
      <c r="W9715" s="8">
        <v>0.7</v>
      </c>
      <c r="X9715" s="8">
        <v>96</v>
      </c>
      <c r="Y9715" s="8" t="s">
        <v>41895</v>
      </c>
      <c r="Z9715" s="8" t="s">
        <v>41896</v>
      </c>
    </row>
    <row r="9716" spans="1:26" x14ac:dyDescent="0.2">
      <c r="A9716" s="8">
        <v>9715</v>
      </c>
      <c r="B9716" s="8" t="s">
        <v>41897</v>
      </c>
      <c r="C9716" s="8" t="s">
        <v>41897</v>
      </c>
      <c r="G9716" s="8">
        <v>20</v>
      </c>
      <c r="H9716" s="8" t="s">
        <v>21</v>
      </c>
      <c r="I9716" s="8" t="s">
        <v>22</v>
      </c>
      <c r="J9716" s="8" t="s">
        <v>22</v>
      </c>
      <c r="K9716" s="8" t="s">
        <v>118</v>
      </c>
      <c r="L9716" s="8" t="s">
        <v>3335</v>
      </c>
      <c r="M9716" s="8" t="s">
        <v>3336</v>
      </c>
      <c r="N9716" s="8" t="s">
        <v>41898</v>
      </c>
      <c r="O9716" s="8">
        <f>3+3/60+56.6/3600</f>
        <v>3.065722222222222</v>
      </c>
      <c r="P9716" s="8" t="s">
        <v>41899</v>
      </c>
      <c r="Q9716" s="8">
        <f>-(39+26/60+27/3600)</f>
        <v>-39.44083333333333</v>
      </c>
      <c r="R9716" s="8">
        <v>12.5</v>
      </c>
      <c r="S9716" s="8">
        <v>13.4</v>
      </c>
      <c r="T9716" s="8">
        <v>0.9</v>
      </c>
      <c r="U9716" s="8">
        <v>12.9</v>
      </c>
      <c r="V9716" s="8">
        <v>1.4</v>
      </c>
      <c r="W9716" s="8">
        <v>1.2</v>
      </c>
      <c r="X9716" s="8">
        <v>3</v>
      </c>
      <c r="Y9716" s="8" t="s">
        <v>21</v>
      </c>
      <c r="Z9716" s="8" t="s">
        <v>41900</v>
      </c>
    </row>
    <row r="9717" spans="1:26" x14ac:dyDescent="0.2">
      <c r="A9717" s="8">
        <v>9716</v>
      </c>
      <c r="B9717" s="8" t="s">
        <v>41901</v>
      </c>
      <c r="C9717" s="8" t="s">
        <v>41901</v>
      </c>
      <c r="G9717" s="8">
        <v>20</v>
      </c>
      <c r="H9717" s="8" t="s">
        <v>21</v>
      </c>
      <c r="I9717" s="8" t="s">
        <v>22</v>
      </c>
      <c r="J9717" s="8" t="s">
        <v>22</v>
      </c>
      <c r="K9717" s="8" t="s">
        <v>643</v>
      </c>
      <c r="L9717" s="8" t="s">
        <v>3335</v>
      </c>
      <c r="M9717" s="8" t="s">
        <v>3336</v>
      </c>
      <c r="N9717" s="8" t="s">
        <v>5514</v>
      </c>
      <c r="O9717" s="8">
        <f>3+4/60+32.3/3600</f>
        <v>3.0756388888888893</v>
      </c>
      <c r="P9717" s="8" t="s">
        <v>41902</v>
      </c>
      <c r="Q9717" s="8">
        <f>-(27+27/60+36/3600)</f>
        <v>-27.46</v>
      </c>
      <c r="R9717" s="8">
        <v>14.1</v>
      </c>
      <c r="S9717" s="8">
        <v>14.4</v>
      </c>
      <c r="T9717" s="8">
        <v>0.3</v>
      </c>
      <c r="U9717" s="8">
        <v>14.1</v>
      </c>
      <c r="V9717" s="8">
        <v>1.1000000000000001</v>
      </c>
      <c r="W9717" s="8">
        <v>1</v>
      </c>
      <c r="X9717" s="8">
        <v>3</v>
      </c>
      <c r="Y9717" s="8" t="s">
        <v>41903</v>
      </c>
      <c r="Z9717" s="8" t="s">
        <v>41904</v>
      </c>
    </row>
    <row r="9718" spans="1:26" x14ac:dyDescent="0.2">
      <c r="A9718" s="8">
        <v>9717</v>
      </c>
      <c r="B9718" s="8" t="s">
        <v>41905</v>
      </c>
      <c r="C9718" s="8" t="s">
        <v>41905</v>
      </c>
      <c r="G9718" s="8">
        <v>20</v>
      </c>
      <c r="H9718" s="8" t="s">
        <v>21</v>
      </c>
      <c r="I9718" s="8" t="s">
        <v>22</v>
      </c>
      <c r="J9718" s="8" t="s">
        <v>22</v>
      </c>
      <c r="K9718" s="8" t="s">
        <v>23</v>
      </c>
      <c r="L9718" s="8" t="s">
        <v>4263</v>
      </c>
      <c r="M9718" s="8" t="s">
        <v>4264</v>
      </c>
      <c r="N9718" s="8" t="s">
        <v>41906</v>
      </c>
      <c r="O9718" s="8">
        <f>3+3/60+9.6/3600</f>
        <v>3.0526666666666666</v>
      </c>
      <c r="P9718" s="8" t="s">
        <v>41907</v>
      </c>
      <c r="Q9718" s="8">
        <f>-(50+30/60+41/3600)</f>
        <v>-50.511388888888888</v>
      </c>
      <c r="R9718" s="8">
        <v>15.4</v>
      </c>
      <c r="S9718" s="8">
        <v>16.2</v>
      </c>
      <c r="T9718" s="8">
        <v>0.8</v>
      </c>
      <c r="U9718" s="8">
        <v>13.3</v>
      </c>
      <c r="V9718" s="8">
        <v>0.8</v>
      </c>
      <c r="W9718" s="8">
        <v>0.2</v>
      </c>
      <c r="X9718" s="8">
        <v>155</v>
      </c>
      <c r="Y9718" s="8" t="s">
        <v>21</v>
      </c>
      <c r="Z9718" s="8" t="s">
        <v>41908</v>
      </c>
    </row>
    <row r="9719" spans="1:26" x14ac:dyDescent="0.2">
      <c r="A9719" s="8">
        <v>9718</v>
      </c>
      <c r="B9719" s="8" t="s">
        <v>41909</v>
      </c>
      <c r="C9719" s="8" t="s">
        <v>41909</v>
      </c>
      <c r="E9719" s="8">
        <v>2</v>
      </c>
      <c r="G9719" s="8">
        <v>20</v>
      </c>
      <c r="H9719" s="8" t="s">
        <v>21</v>
      </c>
      <c r="I9719" s="8" t="s">
        <v>22</v>
      </c>
      <c r="J9719" s="8" t="s">
        <v>22</v>
      </c>
      <c r="K9719" s="8" t="s">
        <v>91</v>
      </c>
      <c r="L9719" s="8" t="s">
        <v>4263</v>
      </c>
      <c r="M9719" s="8" t="s">
        <v>4264</v>
      </c>
      <c r="N9719" s="8" t="s">
        <v>5572</v>
      </c>
      <c r="O9719" s="8">
        <f>3+3/60+43.4/3600</f>
        <v>3.0620555555555553</v>
      </c>
      <c r="P9719" s="8" t="s">
        <v>41910</v>
      </c>
      <c r="Q9719" s="8">
        <f>-(52+6/60+6/3600)</f>
        <v>-52.101666666666667</v>
      </c>
      <c r="R9719" s="8">
        <v>14.6</v>
      </c>
      <c r="S9719" s="8">
        <v>15.5</v>
      </c>
      <c r="T9719" s="8">
        <v>0.9</v>
      </c>
      <c r="U9719" s="8">
        <v>11.7</v>
      </c>
      <c r="V9719" s="8">
        <v>0.4</v>
      </c>
      <c r="W9719" s="8">
        <v>0.2</v>
      </c>
      <c r="X9719" s="8">
        <v>50</v>
      </c>
      <c r="Y9719" s="8" t="s">
        <v>21</v>
      </c>
      <c r="Z9719" s="8" t="s">
        <v>41911</v>
      </c>
    </row>
    <row r="9720" spans="1:26" x14ac:dyDescent="0.2">
      <c r="A9720" s="8">
        <v>9719</v>
      </c>
      <c r="B9720" s="8" t="s">
        <v>41912</v>
      </c>
      <c r="C9720" s="8" t="s">
        <v>41912</v>
      </c>
      <c r="G9720" s="8">
        <v>20</v>
      </c>
      <c r="H9720" s="8" t="s">
        <v>21</v>
      </c>
      <c r="I9720" s="8" t="s">
        <v>22</v>
      </c>
      <c r="J9720" s="8" t="s">
        <v>22</v>
      </c>
      <c r="K9720" s="8" t="s">
        <v>476</v>
      </c>
      <c r="L9720" s="8" t="s">
        <v>4263</v>
      </c>
      <c r="M9720" s="8" t="s">
        <v>4264</v>
      </c>
      <c r="N9720" s="8" t="s">
        <v>41913</v>
      </c>
      <c r="O9720" s="8">
        <f>3+3/60+52.5/3600</f>
        <v>3.0645833333333332</v>
      </c>
      <c r="P9720" s="8" t="s">
        <v>41914</v>
      </c>
      <c r="Q9720" s="8">
        <f>-(52+7/60+4/3600)</f>
        <v>-52.117777777777775</v>
      </c>
      <c r="R9720" s="8">
        <v>15.1</v>
      </c>
      <c r="S9720" s="8">
        <v>15.9</v>
      </c>
      <c r="T9720" s="8">
        <v>0.8</v>
      </c>
      <c r="U9720" s="8">
        <v>13.4</v>
      </c>
      <c r="V9720" s="8">
        <v>1.2</v>
      </c>
      <c r="W9720" s="8">
        <v>0.2</v>
      </c>
      <c r="X9720" s="8">
        <v>136</v>
      </c>
      <c r="Y9720" s="8" t="s">
        <v>41915</v>
      </c>
      <c r="Z9720" s="8" t="s">
        <v>41916</v>
      </c>
    </row>
    <row r="9721" spans="1:26" x14ac:dyDescent="0.2">
      <c r="A9721" s="8">
        <v>9720</v>
      </c>
      <c r="B9721" s="8" t="s">
        <v>41917</v>
      </c>
      <c r="C9721" s="8" t="s">
        <v>41917</v>
      </c>
      <c r="G9721" s="8">
        <v>20</v>
      </c>
      <c r="H9721" s="8" t="s">
        <v>21</v>
      </c>
      <c r="I9721" s="8" t="s">
        <v>22</v>
      </c>
      <c r="J9721" s="8" t="s">
        <v>22</v>
      </c>
      <c r="K9721" s="8" t="s">
        <v>58</v>
      </c>
      <c r="L9721" s="8" t="s">
        <v>3328</v>
      </c>
      <c r="M9721" s="8" t="s">
        <v>3329</v>
      </c>
      <c r="N9721" s="8" t="s">
        <v>41918</v>
      </c>
      <c r="O9721" s="8">
        <f>3+6/60+28.4/3600</f>
        <v>3.1078888888888891</v>
      </c>
      <c r="P9721" s="8" t="s">
        <v>9952</v>
      </c>
      <c r="Q9721" s="8">
        <f>-(9+43/60+50/3600)</f>
        <v>-9.7305555555555561</v>
      </c>
      <c r="R9721" s="8">
        <v>13</v>
      </c>
      <c r="S9721" s="8">
        <v>14</v>
      </c>
      <c r="T9721" s="8">
        <v>1</v>
      </c>
      <c r="U9721" s="8">
        <v>13.7</v>
      </c>
      <c r="V9721" s="8">
        <v>1.6</v>
      </c>
      <c r="W9721" s="8">
        <v>1.1000000000000001</v>
      </c>
      <c r="X9721" s="8">
        <v>30</v>
      </c>
      <c r="Y9721" s="8" t="s">
        <v>21</v>
      </c>
      <c r="Z9721" s="8" t="s">
        <v>41919</v>
      </c>
    </row>
    <row r="9722" spans="1:26" x14ac:dyDescent="0.2">
      <c r="A9722" s="8">
        <v>9721</v>
      </c>
      <c r="B9722" s="8" t="s">
        <v>41920</v>
      </c>
      <c r="C9722" s="8" t="s">
        <v>41920</v>
      </c>
      <c r="G9722" s="8">
        <v>20</v>
      </c>
      <c r="H9722" s="8" t="s">
        <v>21</v>
      </c>
      <c r="I9722" s="8" t="s">
        <v>22</v>
      </c>
      <c r="J9722" s="8" t="s">
        <v>57</v>
      </c>
      <c r="K9722" s="8" t="s">
        <v>3523</v>
      </c>
      <c r="L9722" s="8" t="s">
        <v>3147</v>
      </c>
      <c r="M9722" s="8" t="s">
        <v>3148</v>
      </c>
      <c r="N9722" s="8" t="s">
        <v>5686</v>
      </c>
      <c r="O9722" s="8">
        <f>3+9/60+17.3/3600</f>
        <v>3.1548055555555554</v>
      </c>
      <c r="P9722" s="8" t="s">
        <v>5687</v>
      </c>
      <c r="Q9722" s="8">
        <f>+(38+38/60+57/3600)</f>
        <v>38.649166666666666</v>
      </c>
      <c r="R9722" s="8">
        <v>14.4</v>
      </c>
      <c r="S9722" s="8">
        <v>15</v>
      </c>
      <c r="T9722" s="8">
        <v>0.6</v>
      </c>
      <c r="U9722" s="8">
        <v>15.3</v>
      </c>
      <c r="V9722" s="8">
        <v>1.8</v>
      </c>
      <c r="W9722" s="8">
        <v>1.4</v>
      </c>
      <c r="X9722" s="8">
        <v>54</v>
      </c>
      <c r="Y9722" s="8" t="s">
        <v>41921</v>
      </c>
      <c r="Z9722" s="8" t="s">
        <v>41922</v>
      </c>
    </row>
    <row r="9723" spans="1:26" x14ac:dyDescent="0.2">
      <c r="A9723" s="8">
        <v>9722</v>
      </c>
      <c r="B9723" s="8" t="s">
        <v>41923</v>
      </c>
      <c r="C9723" s="8" t="s">
        <v>41923</v>
      </c>
      <c r="G9723" s="8">
        <v>20</v>
      </c>
      <c r="H9723" s="8" t="s">
        <v>21</v>
      </c>
      <c r="I9723" s="8" t="s">
        <v>22</v>
      </c>
      <c r="J9723" s="8" t="s">
        <v>22</v>
      </c>
      <c r="K9723" s="8" t="s">
        <v>396</v>
      </c>
      <c r="L9723" s="8" t="s">
        <v>125</v>
      </c>
      <c r="M9723" s="8" t="s">
        <v>126</v>
      </c>
      <c r="N9723" s="8" t="s">
        <v>41924</v>
      </c>
      <c r="O9723" s="8">
        <f>3+7/60+49.5/3600</f>
        <v>3.1304166666666666</v>
      </c>
      <c r="P9723" s="8" t="s">
        <v>41925</v>
      </c>
      <c r="Q9723" s="8">
        <f>+(3+8/60+50/3600)</f>
        <v>3.1472222222222221</v>
      </c>
      <c r="R9723" s="8">
        <v>14</v>
      </c>
      <c r="S9723" s="8">
        <v>14.8</v>
      </c>
      <c r="T9723" s="8">
        <v>0.8</v>
      </c>
      <c r="U9723" s="8">
        <v>13.2</v>
      </c>
      <c r="V9723" s="8">
        <v>0.9</v>
      </c>
      <c r="W9723" s="8">
        <v>0.5</v>
      </c>
      <c r="X9723" s="8">
        <v>20</v>
      </c>
      <c r="Y9723" s="8" t="s">
        <v>41926</v>
      </c>
      <c r="Z9723" s="8" t="s">
        <v>41927</v>
      </c>
    </row>
    <row r="9724" spans="1:26" x14ac:dyDescent="0.2">
      <c r="A9724" s="8">
        <v>9723</v>
      </c>
      <c r="B9724" s="8" t="s">
        <v>41928</v>
      </c>
      <c r="C9724" s="8" t="s">
        <v>41928</v>
      </c>
      <c r="G9724" s="8">
        <v>20</v>
      </c>
      <c r="H9724" s="8" t="s">
        <v>21</v>
      </c>
      <c r="I9724" s="8" t="s">
        <v>22</v>
      </c>
      <c r="J9724" s="8" t="s">
        <v>57</v>
      </c>
      <c r="K9724" s="8" t="s">
        <v>632</v>
      </c>
      <c r="L9724" s="8" t="s">
        <v>3147</v>
      </c>
      <c r="M9724" s="8" t="s">
        <v>3148</v>
      </c>
      <c r="N9724" s="8" t="s">
        <v>5681</v>
      </c>
      <c r="O9724" s="8">
        <f>3+9/60+42.3/3600</f>
        <v>3.1617500000000001</v>
      </c>
      <c r="P9724" s="8" t="s">
        <v>5682</v>
      </c>
      <c r="Q9724" s="8">
        <f>+(40+53/60+35/3600)</f>
        <v>40.893055555555556</v>
      </c>
      <c r="R9724" s="8">
        <v>14.6</v>
      </c>
      <c r="S9724" s="8">
        <v>15.5</v>
      </c>
      <c r="T9724" s="8">
        <v>0.9</v>
      </c>
      <c r="U9724" s="8">
        <v>13.7</v>
      </c>
      <c r="V9724" s="8">
        <v>1</v>
      </c>
      <c r="W9724" s="8">
        <v>0.5</v>
      </c>
      <c r="X9724" s="8">
        <v>22</v>
      </c>
      <c r="Y9724" s="8" t="s">
        <v>41929</v>
      </c>
      <c r="Z9724" s="8" t="s">
        <v>41930</v>
      </c>
    </row>
    <row r="9725" spans="1:26" x14ac:dyDescent="0.2">
      <c r="A9725" s="8">
        <v>9724</v>
      </c>
      <c r="B9725" s="8" t="s">
        <v>41931</v>
      </c>
      <c r="C9725" s="8" t="s">
        <v>41931</v>
      </c>
      <c r="G9725" s="8">
        <v>20</v>
      </c>
      <c r="H9725" s="8" t="s">
        <v>21</v>
      </c>
      <c r="I9725" s="8" t="s">
        <v>22</v>
      </c>
      <c r="J9725" s="8" t="s">
        <v>57</v>
      </c>
      <c r="K9725" s="8" t="s">
        <v>23</v>
      </c>
      <c r="L9725" s="8" t="s">
        <v>3147</v>
      </c>
      <c r="M9725" s="8" t="s">
        <v>3148</v>
      </c>
      <c r="N9725" s="8" t="s">
        <v>35824</v>
      </c>
      <c r="O9725" s="8">
        <f>3+9/60+42.8/3600</f>
        <v>3.161888888888889</v>
      </c>
      <c r="P9725" s="8" t="s">
        <v>35825</v>
      </c>
      <c r="Q9725" s="8">
        <f>+(40+58/60+30/3600)</f>
        <v>40.975000000000001</v>
      </c>
      <c r="R9725" s="8">
        <v>14.8</v>
      </c>
      <c r="S9725" s="8">
        <v>15.6</v>
      </c>
      <c r="T9725" s="8">
        <v>0.8</v>
      </c>
      <c r="U9725" s="8">
        <v>13</v>
      </c>
      <c r="V9725" s="8">
        <v>1.1000000000000001</v>
      </c>
      <c r="W9725" s="8">
        <v>0.2</v>
      </c>
      <c r="X9725" s="8">
        <v>131</v>
      </c>
      <c r="Y9725" s="8" t="s">
        <v>41932</v>
      </c>
      <c r="Z9725" s="8" t="s">
        <v>41933</v>
      </c>
    </row>
    <row r="9726" spans="1:26" x14ac:dyDescent="0.2">
      <c r="A9726" s="8">
        <v>9725</v>
      </c>
      <c r="B9726" s="8" t="s">
        <v>41934</v>
      </c>
      <c r="C9726" s="8" t="s">
        <v>41934</v>
      </c>
      <c r="G9726" s="8">
        <v>20</v>
      </c>
      <c r="H9726" s="8" t="s">
        <v>21</v>
      </c>
      <c r="I9726" s="8" t="s">
        <v>22</v>
      </c>
      <c r="J9726" s="8" t="s">
        <v>22</v>
      </c>
      <c r="K9726" s="8" t="s">
        <v>160</v>
      </c>
      <c r="L9726" s="8" t="s">
        <v>3335</v>
      </c>
      <c r="M9726" s="8" t="s">
        <v>3336</v>
      </c>
      <c r="N9726" s="8" t="s">
        <v>41935</v>
      </c>
      <c r="O9726" s="8">
        <f>3+6/60+40.3/3600</f>
        <v>3.1111944444444446</v>
      </c>
      <c r="P9726" s="8" t="s">
        <v>41936</v>
      </c>
      <c r="Q9726" s="8">
        <f>-(32+51/60+51/3600)</f>
        <v>-32.864166666666669</v>
      </c>
      <c r="R9726" s="8">
        <v>14.1</v>
      </c>
      <c r="S9726" s="8">
        <v>14.8</v>
      </c>
      <c r="T9726" s="8">
        <v>0.7</v>
      </c>
      <c r="U9726" s="8">
        <v>13.6</v>
      </c>
      <c r="V9726" s="8">
        <v>1.4</v>
      </c>
      <c r="W9726" s="8">
        <v>0.5</v>
      </c>
      <c r="X9726" s="8">
        <v>138</v>
      </c>
      <c r="Y9726" s="8" t="s">
        <v>41937</v>
      </c>
      <c r="Z9726" s="8" t="s">
        <v>41938</v>
      </c>
    </row>
    <row r="9727" spans="1:26" x14ac:dyDescent="0.2">
      <c r="A9727" s="8">
        <v>9726</v>
      </c>
      <c r="B9727" s="8" t="s">
        <v>41939</v>
      </c>
      <c r="C9727" s="8" t="s">
        <v>41939</v>
      </c>
      <c r="G9727" s="8">
        <v>20</v>
      </c>
      <c r="H9727" s="8" t="s">
        <v>21</v>
      </c>
      <c r="I9727" s="8" t="s">
        <v>22</v>
      </c>
      <c r="J9727" s="8" t="s">
        <v>22</v>
      </c>
      <c r="K9727" s="8" t="s">
        <v>37</v>
      </c>
      <c r="L9727" s="8" t="s">
        <v>3328</v>
      </c>
      <c r="M9727" s="8" t="s">
        <v>3329</v>
      </c>
      <c r="N9727" s="8" t="s">
        <v>41940</v>
      </c>
      <c r="O9727" s="8">
        <f>3+8/60+3.2/3600</f>
        <v>3.1342222222222222</v>
      </c>
      <c r="P9727" s="8" t="s">
        <v>41941</v>
      </c>
      <c r="Q9727" s="8">
        <f>-(4+24/60+0/3600)</f>
        <v>-4.4000000000000004</v>
      </c>
      <c r="R9727" s="8">
        <v>13.9</v>
      </c>
      <c r="S9727" s="8">
        <v>14.9</v>
      </c>
      <c r="T9727" s="8">
        <v>1</v>
      </c>
      <c r="U9727" s="8">
        <v>13.6</v>
      </c>
      <c r="V9727" s="8">
        <v>1</v>
      </c>
      <c r="W9727" s="8">
        <v>0.7</v>
      </c>
      <c r="X9727" s="8">
        <v>0</v>
      </c>
      <c r="Y9727" s="8" t="s">
        <v>21</v>
      </c>
      <c r="Z9727" s="8" t="s">
        <v>41942</v>
      </c>
    </row>
    <row r="9728" spans="1:26" x14ac:dyDescent="0.2">
      <c r="A9728" s="8">
        <v>9727</v>
      </c>
      <c r="B9728" s="8" t="s">
        <v>41943</v>
      </c>
      <c r="C9728" s="8" t="s">
        <v>41943</v>
      </c>
      <c r="G9728" s="8">
        <v>20</v>
      </c>
      <c r="H9728" s="8" t="s">
        <v>21</v>
      </c>
      <c r="I9728" s="8" t="s">
        <v>22</v>
      </c>
      <c r="J9728" s="8" t="s">
        <v>57</v>
      </c>
      <c r="K9728" s="8" t="s">
        <v>3523</v>
      </c>
      <c r="L9728" s="8" t="s">
        <v>3147</v>
      </c>
      <c r="M9728" s="8" t="s">
        <v>3148</v>
      </c>
      <c r="N9728" s="8" t="s">
        <v>35830</v>
      </c>
      <c r="O9728" s="8">
        <f>3+10/60+12.9/3600</f>
        <v>3.1702499999999998</v>
      </c>
      <c r="P9728" s="8" t="s">
        <v>35831</v>
      </c>
      <c r="Q9728" s="8">
        <f>+(40+45/60+57/3600)</f>
        <v>40.765833333333333</v>
      </c>
      <c r="R9728" s="8">
        <v>13.5</v>
      </c>
      <c r="S9728" s="8">
        <v>14.2</v>
      </c>
      <c r="T9728" s="8">
        <v>0.7</v>
      </c>
      <c r="U9728" s="8">
        <v>13.1</v>
      </c>
      <c r="V9728" s="8">
        <v>1.2</v>
      </c>
      <c r="W9728" s="8">
        <v>0.7</v>
      </c>
      <c r="X9728" s="8">
        <v>75</v>
      </c>
      <c r="Y9728" s="8" t="s">
        <v>21</v>
      </c>
      <c r="Z9728" s="8" t="s">
        <v>41944</v>
      </c>
    </row>
    <row r="9729" spans="1:26" x14ac:dyDescent="0.2">
      <c r="A9729" s="8">
        <v>9728</v>
      </c>
      <c r="B9729" s="8" t="s">
        <v>41945</v>
      </c>
      <c r="C9729" s="8" t="s">
        <v>41945</v>
      </c>
      <c r="G9729" s="8">
        <v>20</v>
      </c>
      <c r="H9729" s="8" t="s">
        <v>21</v>
      </c>
      <c r="I9729" s="8" t="s">
        <v>22</v>
      </c>
      <c r="J9729" s="8" t="s">
        <v>57</v>
      </c>
      <c r="K9729" s="8" t="s">
        <v>58</v>
      </c>
      <c r="L9729" s="8" t="s">
        <v>3147</v>
      </c>
      <c r="M9729" s="8" t="s">
        <v>3148</v>
      </c>
      <c r="N9729" s="8" t="s">
        <v>35835</v>
      </c>
      <c r="O9729" s="8">
        <f>3+10/60+56.1/3600</f>
        <v>3.1822499999999998</v>
      </c>
      <c r="P9729" s="8" t="s">
        <v>35836</v>
      </c>
      <c r="Q9729" s="8">
        <f>+(41+8/60+16/3600)</f>
        <v>41.137777777777778</v>
      </c>
      <c r="R9729" s="8">
        <v>14.3</v>
      </c>
      <c r="S9729" s="8">
        <v>15.3</v>
      </c>
      <c r="T9729" s="8">
        <v>1</v>
      </c>
      <c r="U9729" s="8">
        <v>12.8</v>
      </c>
      <c r="V9729" s="8">
        <v>0.6</v>
      </c>
      <c r="W9729" s="8">
        <v>0.4</v>
      </c>
      <c r="X9729" s="8">
        <v>90</v>
      </c>
      <c r="Y9729" s="8" t="s">
        <v>1511</v>
      </c>
      <c r="Z9729" s="8" t="s">
        <v>1512</v>
      </c>
    </row>
    <row r="9730" spans="1:26" x14ac:dyDescent="0.2">
      <c r="A9730" s="8">
        <v>9729</v>
      </c>
      <c r="B9730" s="8" t="s">
        <v>41946</v>
      </c>
      <c r="C9730" s="8" t="s">
        <v>41946</v>
      </c>
      <c r="G9730" s="8">
        <v>20</v>
      </c>
      <c r="H9730" s="8" t="s">
        <v>21</v>
      </c>
      <c r="I9730" s="8" t="s">
        <v>22</v>
      </c>
      <c r="J9730" s="8" t="s">
        <v>57</v>
      </c>
      <c r="K9730" s="8" t="s">
        <v>435</v>
      </c>
      <c r="L9730" s="8" t="s">
        <v>3147</v>
      </c>
      <c r="M9730" s="8" t="s">
        <v>3148</v>
      </c>
      <c r="N9730" s="8" t="s">
        <v>35838</v>
      </c>
      <c r="O9730" s="8">
        <f>3+11/60+3.1/3600</f>
        <v>3.1841944444444441</v>
      </c>
      <c r="P9730" s="8" t="s">
        <v>35839</v>
      </c>
      <c r="Q9730" s="8">
        <f>+(40+37/60+18/3600)</f>
        <v>40.62166666666667</v>
      </c>
      <c r="R9730" s="8">
        <v>13.9</v>
      </c>
      <c r="S9730" s="8">
        <v>14.8</v>
      </c>
      <c r="T9730" s="8">
        <v>0.9</v>
      </c>
      <c r="U9730" s="8">
        <v>15</v>
      </c>
      <c r="V9730" s="8">
        <v>2.1</v>
      </c>
      <c r="W9730" s="8">
        <v>1.5</v>
      </c>
      <c r="X9730" s="8">
        <v>123</v>
      </c>
      <c r="Y9730" s="8" t="s">
        <v>41947</v>
      </c>
      <c r="Z9730" s="8" t="s">
        <v>41948</v>
      </c>
    </row>
    <row r="9731" spans="1:26" x14ac:dyDescent="0.2">
      <c r="A9731" s="8">
        <v>9730</v>
      </c>
      <c r="B9731" s="8" t="s">
        <v>41949</v>
      </c>
      <c r="C9731" s="8" t="s">
        <v>41949</v>
      </c>
      <c r="G9731" s="8">
        <v>20</v>
      </c>
      <c r="H9731" s="8" t="s">
        <v>21</v>
      </c>
      <c r="I9731" s="8" t="s">
        <v>22</v>
      </c>
      <c r="J9731" s="8" t="s">
        <v>22</v>
      </c>
      <c r="K9731" s="8" t="s">
        <v>37</v>
      </c>
      <c r="L9731" s="8" t="s">
        <v>3256</v>
      </c>
      <c r="M9731" s="8" t="s">
        <v>3257</v>
      </c>
      <c r="N9731" s="8" t="s">
        <v>41950</v>
      </c>
      <c r="O9731" s="8">
        <f>3+9/60+58.4/3600</f>
        <v>3.1662222222222223</v>
      </c>
      <c r="P9731" s="8" t="s">
        <v>41951</v>
      </c>
      <c r="Q9731" s="8">
        <f>+(19+12/60+31/3600)</f>
        <v>19.208611111111111</v>
      </c>
      <c r="R9731" s="8">
        <v>14.6</v>
      </c>
      <c r="S9731" s="8">
        <v>15.6</v>
      </c>
      <c r="T9731" s="8">
        <v>1</v>
      </c>
      <c r="U9731" s="8">
        <v>13.7</v>
      </c>
      <c r="V9731" s="8">
        <v>0.7</v>
      </c>
      <c r="W9731" s="8">
        <v>0.7</v>
      </c>
      <c r="Y9731" s="8" t="s">
        <v>41952</v>
      </c>
      <c r="Z9731" s="8" t="s">
        <v>41953</v>
      </c>
    </row>
    <row r="9732" spans="1:26" x14ac:dyDescent="0.2">
      <c r="A9732" s="8">
        <v>9731</v>
      </c>
      <c r="B9732" s="8" t="s">
        <v>41954</v>
      </c>
      <c r="C9732" s="8" t="s">
        <v>41954</v>
      </c>
      <c r="G9732" s="8">
        <v>20</v>
      </c>
      <c r="H9732" s="8" t="s">
        <v>21</v>
      </c>
      <c r="I9732" s="8" t="s">
        <v>22</v>
      </c>
      <c r="J9732" s="8" t="s">
        <v>22</v>
      </c>
      <c r="K9732" s="8" t="s">
        <v>449</v>
      </c>
      <c r="L9732" s="8" t="s">
        <v>3256</v>
      </c>
      <c r="M9732" s="8" t="s">
        <v>3257</v>
      </c>
      <c r="N9732" s="8" t="s">
        <v>41955</v>
      </c>
      <c r="O9732" s="8">
        <f>3+10/60+12/3600</f>
        <v>3.17</v>
      </c>
      <c r="P9732" s="8" t="s">
        <v>41956</v>
      </c>
      <c r="Q9732" s="8">
        <f>+(19+36/60+24/3600)</f>
        <v>19.606666666666669</v>
      </c>
      <c r="R9732" s="8">
        <v>15.2</v>
      </c>
      <c r="S9732" s="8">
        <v>16</v>
      </c>
      <c r="T9732" s="8">
        <v>0.8</v>
      </c>
      <c r="U9732" s="8">
        <v>12</v>
      </c>
      <c r="V9732" s="8">
        <v>0.3</v>
      </c>
      <c r="W9732" s="8">
        <v>0.2</v>
      </c>
      <c r="X9732" s="8">
        <v>45</v>
      </c>
      <c r="Y9732" s="8" t="s">
        <v>41957</v>
      </c>
      <c r="Z9732" s="8" t="s">
        <v>41958</v>
      </c>
    </row>
    <row r="9733" spans="1:26" x14ac:dyDescent="0.2">
      <c r="A9733" s="8">
        <v>9732</v>
      </c>
      <c r="B9733" s="8" t="s">
        <v>41959</v>
      </c>
      <c r="C9733" s="8" t="s">
        <v>41959</v>
      </c>
      <c r="G9733" s="8">
        <v>20</v>
      </c>
      <c r="H9733" s="8" t="s">
        <v>21</v>
      </c>
      <c r="I9733" s="8" t="s">
        <v>22</v>
      </c>
      <c r="J9733" s="8" t="s">
        <v>22</v>
      </c>
      <c r="K9733" s="8" t="s">
        <v>12818</v>
      </c>
      <c r="L9733" s="8" t="s">
        <v>3328</v>
      </c>
      <c r="M9733" s="8" t="s">
        <v>3329</v>
      </c>
      <c r="N9733" s="8" t="s">
        <v>41960</v>
      </c>
      <c r="O9733" s="8">
        <f>3+8/60+27.2/3600</f>
        <v>3.1408888888888891</v>
      </c>
      <c r="P9733" s="8" t="s">
        <v>41961</v>
      </c>
      <c r="Q9733" s="8">
        <f>-(23+3/60+20/3600)</f>
        <v>-23.055555555555557</v>
      </c>
      <c r="R9733" s="8">
        <v>12.9</v>
      </c>
      <c r="S9733" s="8">
        <v>13.8</v>
      </c>
      <c r="T9733" s="8">
        <v>0.9</v>
      </c>
      <c r="U9733" s="8">
        <v>13.6</v>
      </c>
      <c r="V9733" s="8">
        <v>1.9</v>
      </c>
      <c r="W9733" s="8">
        <v>1.1000000000000001</v>
      </c>
      <c r="X9733" s="8">
        <v>10</v>
      </c>
      <c r="Y9733" s="8" t="s">
        <v>21</v>
      </c>
      <c r="Z9733" s="8" t="s">
        <v>41962</v>
      </c>
    </row>
    <row r="9734" spans="1:26" x14ac:dyDescent="0.2">
      <c r="A9734" s="8">
        <v>9733</v>
      </c>
      <c r="B9734" s="8" t="s">
        <v>41963</v>
      </c>
      <c r="C9734" s="8" t="s">
        <v>41963</v>
      </c>
      <c r="G9734" s="8">
        <v>20</v>
      </c>
      <c r="H9734" s="8" t="s">
        <v>21</v>
      </c>
      <c r="I9734" s="8" t="s">
        <v>22</v>
      </c>
      <c r="J9734" s="8" t="s">
        <v>22</v>
      </c>
      <c r="K9734" s="8" t="s">
        <v>449</v>
      </c>
      <c r="L9734" s="8" t="s">
        <v>3256</v>
      </c>
      <c r="M9734" s="8" t="s">
        <v>3257</v>
      </c>
      <c r="N9734" s="8" t="s">
        <v>41964</v>
      </c>
      <c r="O9734" s="8">
        <f>3+10/60+16.5/3600</f>
        <v>3.1712499999999997</v>
      </c>
      <c r="P9734" s="8" t="s">
        <v>41965</v>
      </c>
      <c r="Q9734" s="8">
        <f>+(19+37/60+1/3600)</f>
        <v>19.616944444444446</v>
      </c>
      <c r="R9734" s="8">
        <v>15.7</v>
      </c>
      <c r="S9734" s="8">
        <v>16.5</v>
      </c>
      <c r="T9734" s="8">
        <v>0.8</v>
      </c>
      <c r="U9734" s="8">
        <v>11.3</v>
      </c>
      <c r="V9734" s="8">
        <v>0.2</v>
      </c>
      <c r="W9734" s="8">
        <v>0.1</v>
      </c>
      <c r="X9734" s="8">
        <v>50</v>
      </c>
      <c r="Y9734" s="8" t="s">
        <v>21</v>
      </c>
      <c r="Z9734" s="8" t="s">
        <v>41966</v>
      </c>
    </row>
    <row r="9735" spans="1:26" x14ac:dyDescent="0.2">
      <c r="A9735" s="8">
        <v>9734</v>
      </c>
      <c r="B9735" s="8" t="s">
        <v>41967</v>
      </c>
      <c r="C9735" s="8" t="s">
        <v>41967</v>
      </c>
      <c r="G9735" s="8">
        <v>20</v>
      </c>
      <c r="H9735" s="8" t="s">
        <v>21</v>
      </c>
      <c r="I9735" s="8" t="s">
        <v>22</v>
      </c>
      <c r="J9735" s="8" t="s">
        <v>22</v>
      </c>
      <c r="K9735" s="8" t="s">
        <v>37</v>
      </c>
      <c r="L9735" s="8" t="s">
        <v>3256</v>
      </c>
      <c r="M9735" s="8" t="s">
        <v>3257</v>
      </c>
      <c r="N9735" s="8" t="s">
        <v>41968</v>
      </c>
      <c r="O9735" s="8">
        <f>3+10/60+25.4/3600</f>
        <v>3.1737222222222221</v>
      </c>
      <c r="P9735" s="8" t="s">
        <v>41969</v>
      </c>
      <c r="Q9735" s="8">
        <f>+(19+36/60+26/3600)</f>
        <v>19.607222222222223</v>
      </c>
      <c r="R9735" s="8">
        <v>14.6</v>
      </c>
      <c r="S9735" s="8">
        <v>15.6</v>
      </c>
      <c r="T9735" s="8">
        <v>1</v>
      </c>
      <c r="U9735" s="8">
        <v>12</v>
      </c>
      <c r="V9735" s="8">
        <v>0.5</v>
      </c>
      <c r="W9735" s="8">
        <v>0.2</v>
      </c>
      <c r="X9735" s="8">
        <v>5</v>
      </c>
      <c r="Y9735" s="8" t="s">
        <v>41970</v>
      </c>
      <c r="Z9735" s="8" t="s">
        <v>41971</v>
      </c>
    </row>
    <row r="9736" spans="1:26" x14ac:dyDescent="0.2">
      <c r="A9736" s="8">
        <v>9735</v>
      </c>
      <c r="B9736" s="8" t="s">
        <v>41972</v>
      </c>
      <c r="C9736" s="8" t="s">
        <v>41972</v>
      </c>
      <c r="G9736" s="8">
        <v>20</v>
      </c>
      <c r="H9736" s="8" t="s">
        <v>21</v>
      </c>
      <c r="I9736" s="8" t="s">
        <v>22</v>
      </c>
      <c r="J9736" s="8" t="s">
        <v>22</v>
      </c>
      <c r="K9736" s="8" t="s">
        <v>435</v>
      </c>
      <c r="L9736" s="8" t="s">
        <v>3335</v>
      </c>
      <c r="M9736" s="8" t="s">
        <v>3336</v>
      </c>
      <c r="N9736" s="8" t="s">
        <v>41973</v>
      </c>
      <c r="O9736" s="8">
        <f>3+9/60+36.2/3600</f>
        <v>3.1600555555555556</v>
      </c>
      <c r="P9736" s="8" t="s">
        <v>41974</v>
      </c>
      <c r="Q9736" s="8">
        <f>-(25+15/60+12/3600)</f>
        <v>-25.253333333333334</v>
      </c>
      <c r="R9736" s="8">
        <v>13.3</v>
      </c>
      <c r="S9736" s="8">
        <v>14.2</v>
      </c>
      <c r="T9736" s="8">
        <v>0.9</v>
      </c>
      <c r="U9736" s="8">
        <v>13.8</v>
      </c>
      <c r="V9736" s="8">
        <v>1.5</v>
      </c>
      <c r="W9736" s="8">
        <v>1.1000000000000001</v>
      </c>
      <c r="X9736" s="8">
        <v>153</v>
      </c>
      <c r="Y9736" s="8" t="s">
        <v>21</v>
      </c>
      <c r="Z9736" s="8" t="s">
        <v>41975</v>
      </c>
    </row>
    <row r="9737" spans="1:26" x14ac:dyDescent="0.2">
      <c r="A9737" s="8">
        <v>9736</v>
      </c>
      <c r="B9737" s="8" t="s">
        <v>41976</v>
      </c>
      <c r="C9737" s="8" t="s">
        <v>41976</v>
      </c>
      <c r="G9737" s="8">
        <v>20</v>
      </c>
      <c r="H9737" s="8" t="s">
        <v>21</v>
      </c>
      <c r="I9737" s="8" t="s">
        <v>22</v>
      </c>
      <c r="J9737" s="8" t="s">
        <v>22</v>
      </c>
      <c r="K9737" s="8" t="s">
        <v>31</v>
      </c>
      <c r="L9737" s="8" t="s">
        <v>4263</v>
      </c>
      <c r="M9737" s="8" t="s">
        <v>4264</v>
      </c>
      <c r="N9737" s="8" t="s">
        <v>41977</v>
      </c>
      <c r="O9737" s="8">
        <f>3+7/60+52.9/3600</f>
        <v>3.131361111111111</v>
      </c>
      <c r="P9737" s="8" t="s">
        <v>41978</v>
      </c>
      <c r="Q9737" s="8">
        <f>-(54+12/60+50/3600)</f>
        <v>-54.213888888888889</v>
      </c>
      <c r="R9737" s="8">
        <v>15</v>
      </c>
      <c r="S9737" s="8">
        <v>15.8</v>
      </c>
      <c r="T9737" s="8">
        <v>0.8</v>
      </c>
      <c r="U9737" s="8">
        <v>13.2</v>
      </c>
      <c r="V9737" s="8">
        <v>0.7</v>
      </c>
      <c r="W9737" s="8">
        <v>0.3</v>
      </c>
      <c r="X9737" s="8">
        <v>16</v>
      </c>
      <c r="Y9737" s="8" t="s">
        <v>41979</v>
      </c>
      <c r="Z9737" s="8" t="s">
        <v>41980</v>
      </c>
    </row>
    <row r="9738" spans="1:26" x14ac:dyDescent="0.2">
      <c r="A9738" s="8">
        <v>9737</v>
      </c>
      <c r="B9738" s="8" t="s">
        <v>41981</v>
      </c>
      <c r="C9738" s="8" t="s">
        <v>41981</v>
      </c>
      <c r="G9738" s="8">
        <v>20</v>
      </c>
      <c r="H9738" s="8" t="s">
        <v>21</v>
      </c>
      <c r="I9738" s="8" t="s">
        <v>22</v>
      </c>
      <c r="J9738" s="8" t="s">
        <v>22</v>
      </c>
      <c r="K9738" s="8" t="s">
        <v>1445</v>
      </c>
      <c r="L9738" s="8" t="s">
        <v>3328</v>
      </c>
      <c r="M9738" s="8" t="s">
        <v>3329</v>
      </c>
      <c r="N9738" s="8" t="s">
        <v>41982</v>
      </c>
      <c r="O9738" s="8">
        <f>3+10/60+45.9/3600</f>
        <v>3.1794166666666666</v>
      </c>
      <c r="P9738" s="8" t="s">
        <v>41983</v>
      </c>
      <c r="Q9738" s="8">
        <f>-(10+47/60+44/3600)</f>
        <v>-10.795555555555556</v>
      </c>
      <c r="R9738" s="8">
        <v>14.1</v>
      </c>
      <c r="S9738" s="8">
        <v>14.9</v>
      </c>
      <c r="T9738" s="8">
        <v>0.8</v>
      </c>
      <c r="U9738" s="8">
        <v>12.4</v>
      </c>
      <c r="V9738" s="8">
        <v>0.5</v>
      </c>
      <c r="W9738" s="8">
        <v>0.5</v>
      </c>
      <c r="Y9738" s="8" t="s">
        <v>21</v>
      </c>
      <c r="Z9738" s="8" t="s">
        <v>41984</v>
      </c>
    </row>
    <row r="9739" spans="1:26" x14ac:dyDescent="0.2">
      <c r="A9739" s="8">
        <v>9738</v>
      </c>
      <c r="B9739" s="8" t="s">
        <v>41985</v>
      </c>
      <c r="C9739" s="8" t="s">
        <v>41985</v>
      </c>
      <c r="G9739" s="8">
        <v>20</v>
      </c>
      <c r="H9739" s="8" t="s">
        <v>21</v>
      </c>
      <c r="I9739" s="8" t="s">
        <v>22</v>
      </c>
      <c r="J9739" s="8" t="s">
        <v>22</v>
      </c>
      <c r="K9739" s="8" t="s">
        <v>64</v>
      </c>
      <c r="L9739" s="8" t="s">
        <v>3328</v>
      </c>
      <c r="M9739" s="8" t="s">
        <v>3329</v>
      </c>
      <c r="N9739" s="8" t="s">
        <v>41986</v>
      </c>
      <c r="O9739" s="8">
        <f>3+10/60+20.4/3600</f>
        <v>3.172333333333333</v>
      </c>
      <c r="P9739" s="8" t="s">
        <v>41987</v>
      </c>
      <c r="Q9739" s="8">
        <f>-(22+24/60+14/3600)</f>
        <v>-22.403888888888886</v>
      </c>
      <c r="R9739" s="8">
        <v>12.7</v>
      </c>
      <c r="S9739" s="8">
        <v>13.4</v>
      </c>
      <c r="T9739" s="8">
        <v>0.7</v>
      </c>
      <c r="U9739" s="8">
        <v>13.3</v>
      </c>
      <c r="V9739" s="8">
        <v>3.6</v>
      </c>
      <c r="W9739" s="8">
        <v>0.6</v>
      </c>
      <c r="X9739" s="8">
        <v>73</v>
      </c>
      <c r="Y9739" s="8" t="s">
        <v>21</v>
      </c>
      <c r="Z9739" s="8" t="s">
        <v>41988</v>
      </c>
    </row>
    <row r="9740" spans="1:26" x14ac:dyDescent="0.2">
      <c r="A9740" s="8">
        <v>9739</v>
      </c>
      <c r="B9740" s="8" t="s">
        <v>41989</v>
      </c>
      <c r="C9740" s="8" t="s">
        <v>41989</v>
      </c>
      <c r="G9740" s="8">
        <v>20</v>
      </c>
      <c r="H9740" s="8" t="s">
        <v>21</v>
      </c>
      <c r="I9740" s="8" t="s">
        <v>22</v>
      </c>
      <c r="J9740" s="8" t="s">
        <v>22</v>
      </c>
      <c r="K9740" s="8" t="s">
        <v>632</v>
      </c>
      <c r="L9740" s="8" t="s">
        <v>3335</v>
      </c>
      <c r="M9740" s="8" t="s">
        <v>3336</v>
      </c>
      <c r="N9740" s="8" t="s">
        <v>41990</v>
      </c>
      <c r="O9740" s="8">
        <f>3+12/60+13/3600</f>
        <v>3.2036111111111114</v>
      </c>
      <c r="P9740" s="8" t="s">
        <v>41991</v>
      </c>
      <c r="Q9740" s="8">
        <f>-(25+18/60+18/3600)</f>
        <v>-25.305</v>
      </c>
      <c r="R9740" s="8">
        <v>13.4</v>
      </c>
      <c r="S9740" s="8">
        <v>14.3</v>
      </c>
      <c r="T9740" s="8">
        <v>0.9</v>
      </c>
      <c r="U9740" s="8">
        <v>12.1</v>
      </c>
      <c r="V9740" s="8">
        <v>1.1000000000000001</v>
      </c>
      <c r="W9740" s="8">
        <v>0.3</v>
      </c>
      <c r="X9740" s="8">
        <v>165</v>
      </c>
      <c r="Y9740" s="8" t="s">
        <v>41992</v>
      </c>
      <c r="Z9740" s="8" t="s">
        <v>41993</v>
      </c>
    </row>
    <row r="9741" spans="1:26" x14ac:dyDescent="0.2">
      <c r="A9741" s="8">
        <v>9740</v>
      </c>
      <c r="B9741" s="8" t="s">
        <v>41994</v>
      </c>
      <c r="C9741" s="8" t="s">
        <v>41994</v>
      </c>
      <c r="G9741" s="8">
        <v>20</v>
      </c>
      <c r="H9741" s="8" t="s">
        <v>21</v>
      </c>
      <c r="I9741" s="8" t="s">
        <v>22</v>
      </c>
      <c r="J9741" s="8" t="s">
        <v>22</v>
      </c>
      <c r="K9741" s="8" t="s">
        <v>37</v>
      </c>
      <c r="L9741" s="8" t="s">
        <v>3147</v>
      </c>
      <c r="M9741" s="8" t="s">
        <v>3148</v>
      </c>
      <c r="N9741" s="8" t="s">
        <v>41995</v>
      </c>
      <c r="O9741" s="8">
        <f>3+15/60+55.2/3600</f>
        <v>3.2653333333333334</v>
      </c>
      <c r="P9741" s="8" t="s">
        <v>41996</v>
      </c>
      <c r="Q9741" s="8">
        <f>+(37+9/60+17/3600)</f>
        <v>37.154722222222219</v>
      </c>
      <c r="R9741" s="8">
        <v>14</v>
      </c>
      <c r="S9741" s="8">
        <v>15</v>
      </c>
      <c r="T9741" s="8">
        <v>1</v>
      </c>
      <c r="U9741" s="8">
        <v>12.1</v>
      </c>
      <c r="V9741" s="8">
        <v>0.5</v>
      </c>
      <c r="W9741" s="8">
        <v>0.4</v>
      </c>
      <c r="X9741" s="8">
        <v>96</v>
      </c>
      <c r="Y9741" s="8" t="s">
        <v>41997</v>
      </c>
      <c r="Z9741" s="8" t="s">
        <v>41998</v>
      </c>
    </row>
    <row r="9742" spans="1:26" x14ac:dyDescent="0.2">
      <c r="A9742" s="8">
        <v>9741</v>
      </c>
      <c r="B9742" s="8" t="s">
        <v>41999</v>
      </c>
      <c r="C9742" s="8" t="s">
        <v>41999</v>
      </c>
      <c r="G9742" s="8">
        <v>20</v>
      </c>
      <c r="H9742" s="8" t="s">
        <v>21</v>
      </c>
      <c r="I9742" s="8" t="s">
        <v>22</v>
      </c>
      <c r="J9742" s="8" t="s">
        <v>22</v>
      </c>
      <c r="K9742" s="8" t="s">
        <v>91</v>
      </c>
      <c r="L9742" s="8" t="s">
        <v>3147</v>
      </c>
      <c r="M9742" s="8" t="s">
        <v>3148</v>
      </c>
      <c r="N9742" s="8" t="s">
        <v>42000</v>
      </c>
      <c r="O9742" s="8">
        <f>3+16/60+2.5/3600</f>
        <v>3.2673611111111112</v>
      </c>
      <c r="P9742" s="8" t="s">
        <v>42001</v>
      </c>
      <c r="Q9742" s="8">
        <f>+(37+6/60+47/3600)</f>
        <v>37.113055555555555</v>
      </c>
      <c r="R9742" s="8">
        <v>14.9</v>
      </c>
      <c r="S9742" s="8">
        <v>15.7</v>
      </c>
      <c r="T9742" s="8">
        <v>0.8</v>
      </c>
      <c r="U9742" s="8">
        <v>12.8</v>
      </c>
      <c r="V9742" s="8">
        <v>0.8</v>
      </c>
      <c r="W9742" s="8">
        <v>0.2</v>
      </c>
      <c r="X9742" s="8">
        <v>170</v>
      </c>
      <c r="Y9742" s="8" t="s">
        <v>41854</v>
      </c>
      <c r="Z9742" s="8" t="s">
        <v>41855</v>
      </c>
    </row>
    <row r="9743" spans="1:26" x14ac:dyDescent="0.2">
      <c r="A9743" s="8">
        <v>9742</v>
      </c>
      <c r="B9743" s="8" t="s">
        <v>42002</v>
      </c>
      <c r="C9743" s="8" t="s">
        <v>42002</v>
      </c>
      <c r="G9743" s="8">
        <v>20</v>
      </c>
      <c r="H9743" s="8" t="s">
        <v>21</v>
      </c>
      <c r="I9743" s="8" t="s">
        <v>22</v>
      </c>
      <c r="J9743" s="8" t="s">
        <v>22</v>
      </c>
      <c r="K9743" s="8" t="s">
        <v>632</v>
      </c>
      <c r="L9743" s="8" t="s">
        <v>3147</v>
      </c>
      <c r="M9743" s="8" t="s">
        <v>3148</v>
      </c>
      <c r="N9743" s="8" t="s">
        <v>42003</v>
      </c>
      <c r="O9743" s="8">
        <f>3+16/60+12.4/3600</f>
        <v>3.270111111111111</v>
      </c>
      <c r="P9743" s="8" t="s">
        <v>42004</v>
      </c>
      <c r="Q9743" s="8">
        <f>+(37+10/60+41/3600)</f>
        <v>37.178055555555552</v>
      </c>
      <c r="R9743" s="8">
        <v>14.6</v>
      </c>
      <c r="S9743" s="8">
        <v>15.5</v>
      </c>
      <c r="T9743" s="8">
        <v>0.9</v>
      </c>
      <c r="U9743" s="8">
        <v>12.5</v>
      </c>
      <c r="V9743" s="8">
        <v>0.4</v>
      </c>
      <c r="W9743" s="8">
        <v>0.4</v>
      </c>
      <c r="Y9743" s="8" t="s">
        <v>41759</v>
      </c>
      <c r="Z9743" s="8" t="s">
        <v>41760</v>
      </c>
    </row>
    <row r="9744" spans="1:26" x14ac:dyDescent="0.2">
      <c r="A9744" s="8">
        <v>9743</v>
      </c>
      <c r="B9744" s="8" t="s">
        <v>42005</v>
      </c>
      <c r="C9744" s="8" t="s">
        <v>42005</v>
      </c>
      <c r="E9744" s="8">
        <v>2</v>
      </c>
      <c r="G9744" s="8">
        <v>20</v>
      </c>
      <c r="H9744" s="8" t="s">
        <v>21</v>
      </c>
      <c r="I9744" s="8" t="s">
        <v>22</v>
      </c>
      <c r="J9744" s="8" t="s">
        <v>22</v>
      </c>
      <c r="K9744" s="8" t="s">
        <v>58</v>
      </c>
      <c r="L9744" s="8" t="s">
        <v>4263</v>
      </c>
      <c r="M9744" s="8" t="s">
        <v>4264</v>
      </c>
      <c r="N9744" s="8" t="s">
        <v>42006</v>
      </c>
      <c r="O9744" s="8">
        <f>3+13/60+12.6/3600</f>
        <v>3.2201666666666666</v>
      </c>
      <c r="P9744" s="8" t="s">
        <v>42007</v>
      </c>
      <c r="Q9744" s="8">
        <f>-(50+34/60+41/3600)</f>
        <v>-50.578055555555558</v>
      </c>
      <c r="R9744" s="8">
        <v>15</v>
      </c>
      <c r="S9744" s="8">
        <v>16</v>
      </c>
      <c r="T9744" s="8">
        <v>1</v>
      </c>
      <c r="U9744" s="8">
        <v>13.5</v>
      </c>
      <c r="V9744" s="8">
        <v>0.8</v>
      </c>
      <c r="W9744" s="8">
        <v>0.3</v>
      </c>
      <c r="X9744" s="8">
        <v>6</v>
      </c>
      <c r="Y9744" s="8" t="s">
        <v>42008</v>
      </c>
      <c r="Z9744" s="8" t="s">
        <v>42009</v>
      </c>
    </row>
    <row r="9745" spans="1:26" x14ac:dyDescent="0.2">
      <c r="A9745" s="8">
        <v>9744</v>
      </c>
      <c r="B9745" s="8" t="s">
        <v>42010</v>
      </c>
      <c r="C9745" s="8" t="s">
        <v>42010</v>
      </c>
      <c r="G9745" s="8">
        <v>20</v>
      </c>
      <c r="H9745" s="8" t="s">
        <v>21</v>
      </c>
      <c r="I9745" s="8" t="s">
        <v>22</v>
      </c>
      <c r="J9745" s="8" t="s">
        <v>22</v>
      </c>
      <c r="K9745" s="8" t="s">
        <v>406</v>
      </c>
      <c r="L9745" s="8" t="s">
        <v>3335</v>
      </c>
      <c r="M9745" s="8" t="s">
        <v>3336</v>
      </c>
      <c r="N9745" s="8" t="s">
        <v>42011</v>
      </c>
      <c r="O9745" s="8">
        <f>3+15/60+0.9/3600</f>
        <v>3.2502499999999999</v>
      </c>
      <c r="P9745" s="8" t="s">
        <v>42012</v>
      </c>
      <c r="Q9745" s="8">
        <f>-(30+42/60+30/3600)</f>
        <v>-30.708333333333332</v>
      </c>
      <c r="R9745" s="8">
        <v>13.4</v>
      </c>
      <c r="S9745" s="8">
        <v>14.2</v>
      </c>
      <c r="T9745" s="8">
        <v>0.8</v>
      </c>
      <c r="U9745" s="8">
        <v>13</v>
      </c>
      <c r="V9745" s="8">
        <v>1.4</v>
      </c>
      <c r="W9745" s="8">
        <v>0.6</v>
      </c>
      <c r="X9745" s="8">
        <v>108</v>
      </c>
      <c r="Y9745" s="8" t="s">
        <v>42013</v>
      </c>
      <c r="Z9745" s="8" t="s">
        <v>42014</v>
      </c>
    </row>
    <row r="9746" spans="1:26" x14ac:dyDescent="0.2">
      <c r="A9746" s="8">
        <v>9745</v>
      </c>
      <c r="B9746" s="8" t="s">
        <v>42015</v>
      </c>
      <c r="C9746" s="8" t="s">
        <v>42015</v>
      </c>
      <c r="G9746" s="8">
        <v>20</v>
      </c>
      <c r="H9746" s="8" t="s">
        <v>21</v>
      </c>
      <c r="I9746" s="8" t="s">
        <v>72</v>
      </c>
      <c r="J9746" s="8" t="s">
        <v>72</v>
      </c>
      <c r="K9746" s="8" t="s">
        <v>1802</v>
      </c>
      <c r="L9746" s="8" t="s">
        <v>3147</v>
      </c>
      <c r="M9746" s="8" t="s">
        <v>3148</v>
      </c>
      <c r="N9746" s="8" t="s">
        <v>42016</v>
      </c>
      <c r="O9746" s="8">
        <f>3+18/60+48/3600</f>
        <v>3.313333333333333</v>
      </c>
      <c r="P9746" s="8" t="s">
        <v>42017</v>
      </c>
      <c r="Q9746" s="8">
        <f>+(41+21/60+59/3600)</f>
        <v>41.366388888888892</v>
      </c>
      <c r="R9746" s="8">
        <v>99</v>
      </c>
      <c r="S9746" s="8">
        <v>99</v>
      </c>
      <c r="T9746" s="8">
        <v>99</v>
      </c>
      <c r="U9746" s="8">
        <v>99</v>
      </c>
      <c r="Y9746" s="8" t="s">
        <v>42018</v>
      </c>
      <c r="Z9746" s="8" t="s">
        <v>42019</v>
      </c>
    </row>
    <row r="9747" spans="1:26" x14ac:dyDescent="0.2">
      <c r="A9747" s="8">
        <v>9746</v>
      </c>
      <c r="B9747" s="8" t="s">
        <v>42020</v>
      </c>
      <c r="C9747" s="8" t="s">
        <v>42020</v>
      </c>
      <c r="G9747" s="8">
        <v>20</v>
      </c>
      <c r="H9747" s="8" t="s">
        <v>21</v>
      </c>
      <c r="I9747" s="8" t="s">
        <v>22</v>
      </c>
      <c r="J9747" s="8" t="s">
        <v>22</v>
      </c>
      <c r="K9747" s="8" t="s">
        <v>85</v>
      </c>
      <c r="L9747" s="8" t="s">
        <v>3335</v>
      </c>
      <c r="M9747" s="8" t="s">
        <v>3336</v>
      </c>
      <c r="N9747" s="8" t="s">
        <v>42021</v>
      </c>
      <c r="O9747" s="8">
        <f>3+16/60+5.7/3600</f>
        <v>3.2682500000000001</v>
      </c>
      <c r="P9747" s="8" t="s">
        <v>42022</v>
      </c>
      <c r="Q9747" s="8">
        <f>-(34+21/60+36/3600)</f>
        <v>-34.36</v>
      </c>
      <c r="R9747" s="8">
        <v>13.5</v>
      </c>
      <c r="S9747" s="8">
        <v>14.3</v>
      </c>
      <c r="T9747" s="8">
        <v>0.8</v>
      </c>
      <c r="U9747" s="8">
        <v>12.7</v>
      </c>
      <c r="V9747" s="8">
        <v>1.2</v>
      </c>
      <c r="W9747" s="8">
        <v>0.4</v>
      </c>
      <c r="X9747" s="8">
        <v>63</v>
      </c>
      <c r="Y9747" s="8" t="s">
        <v>21</v>
      </c>
      <c r="Z9747" s="8" t="s">
        <v>42023</v>
      </c>
    </row>
    <row r="9748" spans="1:26" x14ac:dyDescent="0.2">
      <c r="A9748" s="8">
        <v>9747</v>
      </c>
      <c r="B9748" s="8" t="s">
        <v>42024</v>
      </c>
      <c r="C9748" s="8" t="s">
        <v>42024</v>
      </c>
      <c r="G9748" s="8">
        <v>20</v>
      </c>
      <c r="H9748" s="8" t="s">
        <v>21</v>
      </c>
      <c r="I9748" s="8" t="s">
        <v>22</v>
      </c>
      <c r="J9748" s="8" t="s">
        <v>57</v>
      </c>
      <c r="K9748" s="8" t="s">
        <v>1136</v>
      </c>
      <c r="L9748" s="8" t="s">
        <v>3147</v>
      </c>
      <c r="M9748" s="8" t="s">
        <v>3148</v>
      </c>
      <c r="N9748" s="8" t="s">
        <v>5968</v>
      </c>
      <c r="O9748" s="8">
        <f>3+19/60+54.1/3600</f>
        <v>3.3316944444444441</v>
      </c>
      <c r="P9748" s="8" t="s">
        <v>5969</v>
      </c>
      <c r="Q9748" s="8">
        <f>+(41+33/60+49/3600)</f>
        <v>41.563611111111108</v>
      </c>
      <c r="R9748" s="8">
        <v>12.4</v>
      </c>
      <c r="S9748" s="8">
        <v>13.6</v>
      </c>
      <c r="T9748" s="8">
        <v>1.2</v>
      </c>
      <c r="U9748" s="8">
        <v>13</v>
      </c>
      <c r="V9748" s="8">
        <v>1.4</v>
      </c>
      <c r="W9748" s="8">
        <v>1.1000000000000001</v>
      </c>
      <c r="X9748" s="8">
        <v>102</v>
      </c>
      <c r="Y9748" s="8" t="s">
        <v>42025</v>
      </c>
      <c r="Z9748" s="8" t="s">
        <v>42026</v>
      </c>
    </row>
    <row r="9749" spans="1:26" x14ac:dyDescent="0.2">
      <c r="A9749" s="8">
        <v>9748</v>
      </c>
      <c r="B9749" s="8" t="s">
        <v>42027</v>
      </c>
      <c r="C9749" s="8" t="s">
        <v>42027</v>
      </c>
      <c r="E9749" s="8">
        <v>1</v>
      </c>
      <c r="G9749" s="8">
        <v>20</v>
      </c>
      <c r="H9749" s="8" t="s">
        <v>21</v>
      </c>
      <c r="I9749" s="8" t="s">
        <v>22</v>
      </c>
      <c r="J9749" s="8" t="s">
        <v>22</v>
      </c>
      <c r="K9749" s="8" t="s">
        <v>218</v>
      </c>
      <c r="L9749" s="8" t="s">
        <v>4263</v>
      </c>
      <c r="M9749" s="8" t="s">
        <v>4264</v>
      </c>
      <c r="N9749" s="8" t="s">
        <v>42028</v>
      </c>
      <c r="O9749" s="8">
        <f>3+15/60+5.1/3600</f>
        <v>3.2514166666666666</v>
      </c>
      <c r="P9749" s="8" t="s">
        <v>42029</v>
      </c>
      <c r="Q9749" s="8">
        <f>-(54+49/60+9/3600)</f>
        <v>-54.819166666666668</v>
      </c>
      <c r="R9749" s="8">
        <v>14</v>
      </c>
      <c r="S9749" s="8">
        <v>14.7</v>
      </c>
      <c r="T9749" s="8">
        <v>0.7</v>
      </c>
      <c r="U9749" s="8">
        <v>14.1</v>
      </c>
      <c r="V9749" s="8">
        <v>1.3</v>
      </c>
      <c r="W9749" s="8">
        <v>0.9</v>
      </c>
      <c r="X9749" s="8">
        <v>45</v>
      </c>
      <c r="Y9749" s="8" t="s">
        <v>42030</v>
      </c>
      <c r="Z9749" s="8" t="s">
        <v>42031</v>
      </c>
    </row>
    <row r="9750" spans="1:26" x14ac:dyDescent="0.2">
      <c r="A9750" s="8">
        <v>9749</v>
      </c>
      <c r="B9750" s="8" t="s">
        <v>42032</v>
      </c>
      <c r="C9750" s="8" t="s">
        <v>42032</v>
      </c>
      <c r="G9750" s="8">
        <v>20</v>
      </c>
      <c r="H9750" s="8" t="s">
        <v>21</v>
      </c>
      <c r="I9750" s="8" t="s">
        <v>22</v>
      </c>
      <c r="J9750" s="8" t="s">
        <v>22</v>
      </c>
      <c r="K9750" s="8" t="s">
        <v>218</v>
      </c>
      <c r="L9750" s="8" t="s">
        <v>3335</v>
      </c>
      <c r="M9750" s="8" t="s">
        <v>3336</v>
      </c>
      <c r="N9750" s="8" t="s">
        <v>42033</v>
      </c>
      <c r="O9750" s="8">
        <f>3+17/60+20/3600</f>
        <v>3.2888888888888888</v>
      </c>
      <c r="P9750" s="8" t="s">
        <v>42034</v>
      </c>
      <c r="Q9750" s="8">
        <f>-(33+41/60+25/3600)</f>
        <v>-33.690277777777773</v>
      </c>
      <c r="R9750" s="8">
        <v>13.5</v>
      </c>
      <c r="S9750" s="8">
        <v>14.3</v>
      </c>
      <c r="T9750" s="8">
        <v>0.8</v>
      </c>
      <c r="U9750" s="8">
        <v>12.9</v>
      </c>
      <c r="V9750" s="8">
        <v>1.2</v>
      </c>
      <c r="W9750" s="8">
        <v>0.6</v>
      </c>
      <c r="X9750" s="8">
        <v>60</v>
      </c>
      <c r="Y9750" s="8" t="s">
        <v>42035</v>
      </c>
      <c r="Z9750" s="8" t="s">
        <v>42036</v>
      </c>
    </row>
    <row r="9751" spans="1:26" x14ac:dyDescent="0.2">
      <c r="A9751" s="8">
        <v>9750</v>
      </c>
      <c r="B9751" s="8" t="s">
        <v>42037</v>
      </c>
      <c r="C9751" s="8" t="s">
        <v>42037</v>
      </c>
      <c r="G9751" s="8">
        <v>20</v>
      </c>
      <c r="H9751" s="8" t="s">
        <v>21</v>
      </c>
      <c r="I9751" s="8" t="s">
        <v>329</v>
      </c>
      <c r="J9751" s="8" t="s">
        <v>329</v>
      </c>
      <c r="K9751" s="8" t="s">
        <v>329</v>
      </c>
      <c r="L9751" s="8" t="s">
        <v>3328</v>
      </c>
      <c r="M9751" s="8" t="s">
        <v>3329</v>
      </c>
      <c r="N9751" s="8" t="s">
        <v>42038</v>
      </c>
      <c r="O9751" s="8">
        <f>3+17/60+55.7/3600</f>
        <v>3.2988055555555555</v>
      </c>
      <c r="P9751" s="8" t="s">
        <v>42039</v>
      </c>
      <c r="Q9751" s="8">
        <f>-(21+26/60+5/3600)</f>
        <v>-21.434722222222224</v>
      </c>
      <c r="R9751" s="8">
        <v>99</v>
      </c>
      <c r="S9751" s="8">
        <v>99</v>
      </c>
      <c r="T9751" s="8">
        <v>99</v>
      </c>
      <c r="U9751" s="8">
        <v>99</v>
      </c>
      <c r="Y9751" s="8" t="s">
        <v>21</v>
      </c>
      <c r="Z9751" s="8" t="s">
        <v>42040</v>
      </c>
    </row>
    <row r="9752" spans="1:26" x14ac:dyDescent="0.2">
      <c r="A9752" s="8">
        <v>9751</v>
      </c>
      <c r="B9752" s="8" t="s">
        <v>42041</v>
      </c>
      <c r="C9752" s="8" t="s">
        <v>42041</v>
      </c>
      <c r="G9752" s="8">
        <v>20</v>
      </c>
      <c r="H9752" s="8" t="s">
        <v>21</v>
      </c>
      <c r="I9752" s="8" t="s">
        <v>329</v>
      </c>
      <c r="J9752" s="8" t="s">
        <v>329</v>
      </c>
      <c r="K9752" s="8" t="s">
        <v>329</v>
      </c>
      <c r="L9752" s="8" t="s">
        <v>3147</v>
      </c>
      <c r="M9752" s="8" t="s">
        <v>3148</v>
      </c>
      <c r="N9752" s="8" t="s">
        <v>42042</v>
      </c>
      <c r="O9752" s="8">
        <f>3+20/60+46/3600</f>
        <v>3.3461111111111115</v>
      </c>
      <c r="P9752" s="8" t="s">
        <v>42043</v>
      </c>
      <c r="Q9752" s="8">
        <f>+(35+17/60+40/3600)</f>
        <v>35.294444444444444</v>
      </c>
      <c r="R9752" s="8">
        <v>99</v>
      </c>
      <c r="S9752" s="8">
        <v>99</v>
      </c>
      <c r="T9752" s="8">
        <v>99</v>
      </c>
      <c r="U9752" s="8">
        <v>99</v>
      </c>
      <c r="Y9752" s="8" t="s">
        <v>21</v>
      </c>
      <c r="Z9752" s="8" t="s">
        <v>42044</v>
      </c>
    </row>
    <row r="9753" spans="1:26" x14ac:dyDescent="0.2">
      <c r="A9753" s="8">
        <v>9752</v>
      </c>
      <c r="B9753" s="8" t="s">
        <v>42045</v>
      </c>
      <c r="C9753" s="8" t="s">
        <v>42045</v>
      </c>
      <c r="G9753" s="8">
        <v>20</v>
      </c>
      <c r="H9753" s="8" t="s">
        <v>21</v>
      </c>
      <c r="I9753" s="8" t="s">
        <v>22</v>
      </c>
      <c r="J9753" s="8" t="s">
        <v>22</v>
      </c>
      <c r="K9753" s="8" t="s">
        <v>42046</v>
      </c>
      <c r="L9753" s="8" t="s">
        <v>4263</v>
      </c>
      <c r="M9753" s="8" t="s">
        <v>4264</v>
      </c>
      <c r="N9753" s="8" t="s">
        <v>42047</v>
      </c>
      <c r="O9753" s="8">
        <f>3+16/60+43.3/3600</f>
        <v>3.2786944444444446</v>
      </c>
      <c r="P9753" s="8" t="s">
        <v>42048</v>
      </c>
      <c r="Q9753" s="8">
        <f>-(50+39/60+18/3600)</f>
        <v>-50.655000000000001</v>
      </c>
      <c r="R9753" s="8">
        <v>15</v>
      </c>
      <c r="S9753" s="8">
        <v>15.8</v>
      </c>
      <c r="T9753" s="8">
        <v>0.8</v>
      </c>
      <c r="U9753" s="8">
        <v>13</v>
      </c>
      <c r="V9753" s="8">
        <v>0.9</v>
      </c>
      <c r="W9753" s="8">
        <v>0.2</v>
      </c>
      <c r="X9753" s="8">
        <v>6</v>
      </c>
      <c r="Y9753" s="8" t="s">
        <v>42049</v>
      </c>
      <c r="Z9753" s="8" t="s">
        <v>42050</v>
      </c>
    </row>
    <row r="9754" spans="1:26" x14ac:dyDescent="0.2">
      <c r="A9754" s="8">
        <v>9753</v>
      </c>
      <c r="B9754" s="8" t="s">
        <v>42051</v>
      </c>
      <c r="C9754" s="8" t="s">
        <v>42051</v>
      </c>
      <c r="G9754" s="8">
        <v>20</v>
      </c>
      <c r="H9754" s="8" t="s">
        <v>21</v>
      </c>
      <c r="I9754" s="8" t="s">
        <v>22</v>
      </c>
      <c r="J9754" s="8" t="s">
        <v>22</v>
      </c>
      <c r="K9754" s="8" t="s">
        <v>218</v>
      </c>
      <c r="L9754" s="8" t="s">
        <v>3335</v>
      </c>
      <c r="M9754" s="8" t="s">
        <v>3336</v>
      </c>
      <c r="N9754" s="8" t="s">
        <v>42052</v>
      </c>
      <c r="O9754" s="8">
        <f>3+19/60+34.5/3600</f>
        <v>3.3262499999999999</v>
      </c>
      <c r="P9754" s="8" t="s">
        <v>42053</v>
      </c>
      <c r="Q9754" s="8">
        <f>-(32+27/60+54/3600)</f>
        <v>-32.465000000000003</v>
      </c>
      <c r="R9754" s="8">
        <v>13.6</v>
      </c>
      <c r="S9754" s="8">
        <v>14.4</v>
      </c>
      <c r="T9754" s="8">
        <v>0.8</v>
      </c>
      <c r="U9754" s="8">
        <v>12.8</v>
      </c>
      <c r="V9754" s="8">
        <v>1.9</v>
      </c>
      <c r="W9754" s="8">
        <v>0.3</v>
      </c>
      <c r="X9754" s="8">
        <v>149</v>
      </c>
      <c r="Y9754" s="8" t="s">
        <v>42054</v>
      </c>
      <c r="Z9754" s="8" t="s">
        <v>42055</v>
      </c>
    </row>
    <row r="9755" spans="1:26" x14ac:dyDescent="0.2">
      <c r="A9755" s="8">
        <v>9754</v>
      </c>
      <c r="B9755" s="8" t="s">
        <v>42056</v>
      </c>
      <c r="C9755" s="8" t="s">
        <v>42056</v>
      </c>
      <c r="G9755" s="8">
        <v>20</v>
      </c>
      <c r="H9755" s="8" t="s">
        <v>21</v>
      </c>
      <c r="I9755" s="8" t="s">
        <v>22</v>
      </c>
      <c r="J9755" s="8" t="s">
        <v>22</v>
      </c>
      <c r="K9755" s="8" t="s">
        <v>1277</v>
      </c>
      <c r="L9755" s="8" t="s">
        <v>4263</v>
      </c>
      <c r="M9755" s="8" t="s">
        <v>4264</v>
      </c>
      <c r="N9755" s="8" t="s">
        <v>6020</v>
      </c>
      <c r="O9755" s="8">
        <f>3+19/60+25.1/3600</f>
        <v>3.3236388888888886</v>
      </c>
      <c r="P9755" s="8" t="s">
        <v>42057</v>
      </c>
      <c r="Q9755" s="8">
        <f>-(49+35/60+57/3600)</f>
        <v>-49.599166666666669</v>
      </c>
      <c r="R9755" s="8">
        <v>12.9</v>
      </c>
      <c r="S9755" s="8">
        <v>13.3</v>
      </c>
      <c r="T9755" s="8">
        <v>0.4</v>
      </c>
      <c r="U9755" s="8">
        <v>14.9</v>
      </c>
      <c r="V9755" s="8">
        <v>3.4</v>
      </c>
      <c r="W9755" s="8">
        <v>1.6</v>
      </c>
      <c r="X9755" s="8">
        <v>99</v>
      </c>
      <c r="Y9755" s="8" t="s">
        <v>21</v>
      </c>
      <c r="Z9755" s="8" t="s">
        <v>42058</v>
      </c>
    </row>
    <row r="9756" spans="1:26" x14ac:dyDescent="0.2">
      <c r="A9756" s="8">
        <v>9755</v>
      </c>
      <c r="B9756" s="8" t="s">
        <v>42059</v>
      </c>
      <c r="C9756" s="8" t="s">
        <v>42059</v>
      </c>
      <c r="G9756" s="8">
        <v>20</v>
      </c>
      <c r="H9756" s="8" t="s">
        <v>21</v>
      </c>
      <c r="I9756" s="8" t="s">
        <v>22</v>
      </c>
      <c r="J9756" s="8" t="s">
        <v>22</v>
      </c>
      <c r="K9756" s="8" t="s">
        <v>42060</v>
      </c>
      <c r="L9756" s="8" t="s">
        <v>4263</v>
      </c>
      <c r="M9756" s="8" t="s">
        <v>4264</v>
      </c>
      <c r="N9756" s="8" t="s">
        <v>42061</v>
      </c>
      <c r="O9756" s="8">
        <f>3+19/60+51.8/3600</f>
        <v>3.3310555555555554</v>
      </c>
      <c r="P9756" s="8" t="s">
        <v>42062</v>
      </c>
      <c r="Q9756" s="8">
        <f>-(50+41/60+31/3600)</f>
        <v>-50.691944444444438</v>
      </c>
      <c r="R9756" s="8">
        <v>15.4</v>
      </c>
      <c r="S9756" s="8">
        <v>16.2</v>
      </c>
      <c r="T9756" s="8">
        <v>0.8</v>
      </c>
      <c r="U9756" s="8">
        <v>13.9</v>
      </c>
      <c r="V9756" s="8">
        <v>0.6</v>
      </c>
      <c r="W9756" s="8">
        <v>0.5</v>
      </c>
      <c r="X9756" s="8">
        <v>82</v>
      </c>
      <c r="Y9756" s="8" t="s">
        <v>42063</v>
      </c>
      <c r="Z9756" s="8" t="s">
        <v>42064</v>
      </c>
    </row>
    <row r="9757" spans="1:26" x14ac:dyDescent="0.2">
      <c r="A9757" s="8">
        <v>9756</v>
      </c>
      <c r="B9757" s="8" t="s">
        <v>42065</v>
      </c>
      <c r="C9757" s="8" t="s">
        <v>42065</v>
      </c>
      <c r="G9757" s="8">
        <v>20</v>
      </c>
      <c r="H9757" s="8" t="s">
        <v>21</v>
      </c>
      <c r="I9757" s="8" t="s">
        <v>22</v>
      </c>
      <c r="J9757" s="8" t="s">
        <v>22</v>
      </c>
      <c r="K9757" s="8" t="s">
        <v>1445</v>
      </c>
      <c r="L9757" s="8" t="s">
        <v>4263</v>
      </c>
      <c r="M9757" s="8" t="s">
        <v>4264</v>
      </c>
      <c r="N9757" s="8" t="s">
        <v>42066</v>
      </c>
      <c r="O9757" s="8">
        <f>3+20/60+16.2/3600</f>
        <v>3.3378333333333337</v>
      </c>
      <c r="P9757" s="8" t="s">
        <v>42067</v>
      </c>
      <c r="Q9757" s="8">
        <f>-(49+2/60+30/3600)</f>
        <v>-49.041666666666664</v>
      </c>
      <c r="R9757" s="8">
        <v>14.6</v>
      </c>
      <c r="S9757" s="8">
        <v>15.4</v>
      </c>
      <c r="T9757" s="8">
        <v>0.8</v>
      </c>
      <c r="U9757" s="8">
        <v>13.5</v>
      </c>
      <c r="V9757" s="8">
        <v>0.7</v>
      </c>
      <c r="W9757" s="8">
        <v>0.6</v>
      </c>
      <c r="X9757" s="8">
        <v>86</v>
      </c>
      <c r="Y9757" s="8" t="s">
        <v>42068</v>
      </c>
      <c r="Z9757" s="8" t="s">
        <v>42069</v>
      </c>
    </row>
    <row r="9758" spans="1:26" x14ac:dyDescent="0.2">
      <c r="A9758" s="8">
        <v>9757</v>
      </c>
      <c r="B9758" s="8" t="s">
        <v>42070</v>
      </c>
      <c r="C9758" s="8" t="s">
        <v>42070</v>
      </c>
      <c r="G9758" s="8">
        <v>20</v>
      </c>
      <c r="H9758" s="8" t="s">
        <v>21</v>
      </c>
      <c r="I9758" s="8" t="s">
        <v>22</v>
      </c>
      <c r="J9758" s="8" t="s">
        <v>22</v>
      </c>
      <c r="K9758" s="8" t="s">
        <v>424</v>
      </c>
      <c r="L9758" s="8" t="s">
        <v>4263</v>
      </c>
      <c r="M9758" s="8" t="s">
        <v>4264</v>
      </c>
      <c r="N9758" s="8" t="s">
        <v>42071</v>
      </c>
      <c r="O9758" s="8">
        <f>3+22/60+12.3/3600</f>
        <v>3.3700833333333335</v>
      </c>
      <c r="P9758" s="8" t="s">
        <v>42072</v>
      </c>
      <c r="Q9758" s="8">
        <f>-(53+11/60+8/3600)</f>
        <v>-53.185555555555553</v>
      </c>
      <c r="R9758" s="8">
        <v>15</v>
      </c>
      <c r="S9758" s="8">
        <v>16</v>
      </c>
      <c r="T9758" s="8">
        <v>1</v>
      </c>
      <c r="U9758" s="8">
        <v>12.2</v>
      </c>
      <c r="V9758" s="8">
        <v>0.3</v>
      </c>
      <c r="W9758" s="8">
        <v>0.3</v>
      </c>
      <c r="Y9758" s="8" t="s">
        <v>42063</v>
      </c>
      <c r="Z9758" s="8" t="s">
        <v>42064</v>
      </c>
    </row>
    <row r="9759" spans="1:26" x14ac:dyDescent="0.2">
      <c r="A9759" s="8">
        <v>9758</v>
      </c>
      <c r="B9759" s="8" t="s">
        <v>42073</v>
      </c>
      <c r="C9759" s="8" t="s">
        <v>42073</v>
      </c>
      <c r="G9759" s="8">
        <v>20</v>
      </c>
      <c r="H9759" s="8" t="s">
        <v>21</v>
      </c>
      <c r="I9759" s="8" t="s">
        <v>22</v>
      </c>
      <c r="J9759" s="8" t="s">
        <v>22</v>
      </c>
      <c r="K9759" s="8" t="s">
        <v>449</v>
      </c>
      <c r="L9759" s="8" t="s">
        <v>6115</v>
      </c>
      <c r="M9759" s="8" t="s">
        <v>6116</v>
      </c>
      <c r="N9759" s="8" t="s">
        <v>42074</v>
      </c>
      <c r="O9759" s="8">
        <f>3+26/60+17.8/3600</f>
        <v>3.438277777777778</v>
      </c>
      <c r="P9759" s="8" t="s">
        <v>42075</v>
      </c>
      <c r="Q9759" s="8">
        <f>+(4+32/60+30/3600)</f>
        <v>4.541666666666667</v>
      </c>
      <c r="R9759" s="8">
        <v>14.1</v>
      </c>
      <c r="S9759" s="8">
        <v>14.9</v>
      </c>
      <c r="T9759" s="8">
        <v>0.8</v>
      </c>
      <c r="U9759" s="8">
        <v>11.2</v>
      </c>
      <c r="V9759" s="8">
        <v>0.4</v>
      </c>
      <c r="W9759" s="8">
        <v>0.2</v>
      </c>
      <c r="X9759" s="8">
        <v>160</v>
      </c>
      <c r="Y9759" s="8" t="s">
        <v>41623</v>
      </c>
      <c r="Z9759" s="8" t="s">
        <v>41624</v>
      </c>
    </row>
    <row r="9760" spans="1:26" x14ac:dyDescent="0.2">
      <c r="A9760" s="8">
        <v>9759</v>
      </c>
      <c r="B9760" s="8" t="s">
        <v>42076</v>
      </c>
      <c r="C9760" s="8" t="s">
        <v>42076</v>
      </c>
      <c r="G9760" s="8">
        <v>20</v>
      </c>
      <c r="H9760" s="8" t="s">
        <v>21</v>
      </c>
      <c r="I9760" s="8" t="s">
        <v>22</v>
      </c>
      <c r="J9760" s="8" t="s">
        <v>22</v>
      </c>
      <c r="K9760" s="8" t="s">
        <v>58</v>
      </c>
      <c r="L9760" s="8" t="s">
        <v>3335</v>
      </c>
      <c r="M9760" s="8" t="s">
        <v>3336</v>
      </c>
      <c r="N9760" s="8" t="s">
        <v>42077</v>
      </c>
      <c r="O9760" s="8">
        <f>3+26/60+2.1/3600</f>
        <v>3.4339166666666667</v>
      </c>
      <c r="P9760" s="8" t="s">
        <v>42078</v>
      </c>
      <c r="Q9760" s="8">
        <f>-(32+53/60+41/3600)</f>
        <v>-32.894722222222221</v>
      </c>
      <c r="R9760" s="8">
        <v>13</v>
      </c>
      <c r="S9760" s="8">
        <v>13.8</v>
      </c>
      <c r="T9760" s="8">
        <v>0.8</v>
      </c>
      <c r="U9760" s="8">
        <v>13.2</v>
      </c>
      <c r="V9760" s="8">
        <v>1.3</v>
      </c>
      <c r="W9760" s="8">
        <v>1</v>
      </c>
      <c r="X9760" s="8">
        <v>84</v>
      </c>
      <c r="Y9760" s="8" t="s">
        <v>21</v>
      </c>
      <c r="Z9760" s="8" t="s">
        <v>42079</v>
      </c>
    </row>
    <row r="9761" spans="1:26" x14ac:dyDescent="0.2">
      <c r="A9761" s="8">
        <v>9760</v>
      </c>
      <c r="B9761" s="8" t="s">
        <v>42080</v>
      </c>
      <c r="C9761" s="8" t="s">
        <v>42080</v>
      </c>
      <c r="G9761" s="8">
        <v>20</v>
      </c>
      <c r="H9761" s="8" t="s">
        <v>21</v>
      </c>
      <c r="I9761" s="8" t="s">
        <v>22</v>
      </c>
      <c r="J9761" s="8" t="s">
        <v>22</v>
      </c>
      <c r="K9761" s="8" t="s">
        <v>154</v>
      </c>
      <c r="L9761" s="8" t="s">
        <v>4263</v>
      </c>
      <c r="M9761" s="8" t="s">
        <v>4264</v>
      </c>
      <c r="N9761" s="8" t="s">
        <v>42081</v>
      </c>
      <c r="O9761" s="8">
        <f>3+24/60+24.4/3600</f>
        <v>3.4067777777777777</v>
      </c>
      <c r="P9761" s="8" t="s">
        <v>42082</v>
      </c>
      <c r="Q9761" s="8">
        <f>-(52+42/60+49/3600)</f>
        <v>-52.713611111111113</v>
      </c>
      <c r="R9761" s="8">
        <v>15.5</v>
      </c>
      <c r="S9761" s="8">
        <v>16.399999999999999</v>
      </c>
      <c r="T9761" s="8">
        <v>0.9</v>
      </c>
      <c r="U9761" s="8">
        <v>13</v>
      </c>
      <c r="V9761" s="8">
        <v>0.4</v>
      </c>
      <c r="W9761" s="8">
        <v>0.3</v>
      </c>
      <c r="X9761" s="8">
        <v>160</v>
      </c>
      <c r="Y9761" s="8" t="s">
        <v>1588</v>
      </c>
      <c r="Z9761" s="8" t="s">
        <v>1589</v>
      </c>
    </row>
    <row r="9762" spans="1:26" x14ac:dyDescent="0.2">
      <c r="A9762" s="8">
        <v>9761</v>
      </c>
      <c r="B9762" s="8" t="s">
        <v>42083</v>
      </c>
      <c r="C9762" s="8" t="s">
        <v>42083</v>
      </c>
      <c r="G9762" s="8">
        <v>20</v>
      </c>
      <c r="H9762" s="8" t="s">
        <v>21</v>
      </c>
      <c r="I9762" s="8" t="s">
        <v>72</v>
      </c>
      <c r="J9762" s="8" t="s">
        <v>72</v>
      </c>
      <c r="K9762" s="8" t="s">
        <v>20</v>
      </c>
      <c r="L9762" s="8" t="s">
        <v>4263</v>
      </c>
      <c r="M9762" s="8" t="s">
        <v>4264</v>
      </c>
      <c r="N9762" s="8" t="s">
        <v>42084</v>
      </c>
      <c r="O9762" s="8">
        <f>3+24/60+42/3600</f>
        <v>3.4116666666666666</v>
      </c>
      <c r="P9762" s="8" t="s">
        <v>42085</v>
      </c>
      <c r="Q9762" s="8">
        <f>-(50+41/60+54/3600)</f>
        <v>-50.698333333333331</v>
      </c>
      <c r="R9762" s="8">
        <v>99</v>
      </c>
      <c r="S9762" s="8">
        <v>99</v>
      </c>
      <c r="T9762" s="8">
        <v>99</v>
      </c>
      <c r="U9762" s="8">
        <v>99</v>
      </c>
      <c r="Y9762" s="8" t="s">
        <v>1588</v>
      </c>
      <c r="Z9762" s="8" t="s">
        <v>1589</v>
      </c>
    </row>
    <row r="9763" spans="1:26" x14ac:dyDescent="0.2">
      <c r="A9763" s="8">
        <v>9762</v>
      </c>
      <c r="B9763" s="8" t="s">
        <v>42086</v>
      </c>
      <c r="C9763" s="8" t="s">
        <v>42086</v>
      </c>
      <c r="G9763" s="8">
        <v>20</v>
      </c>
      <c r="H9763" s="8" t="s">
        <v>21</v>
      </c>
      <c r="I9763" s="8" t="s">
        <v>22</v>
      </c>
      <c r="J9763" s="8" t="s">
        <v>22</v>
      </c>
      <c r="K9763" s="8" t="s">
        <v>42046</v>
      </c>
      <c r="L9763" s="8" t="s">
        <v>4263</v>
      </c>
      <c r="M9763" s="8" t="s">
        <v>4264</v>
      </c>
      <c r="N9763" s="8" t="s">
        <v>42087</v>
      </c>
      <c r="O9763" s="8">
        <f>3+24/60+43/3600</f>
        <v>3.4119444444444444</v>
      </c>
      <c r="P9763" s="8" t="s">
        <v>42088</v>
      </c>
      <c r="Q9763" s="8">
        <f>-(50+44/60+25/3600)</f>
        <v>-50.740277777777777</v>
      </c>
      <c r="R9763" s="8">
        <v>16.100000000000001</v>
      </c>
      <c r="S9763" s="8">
        <v>16.899999999999999</v>
      </c>
      <c r="T9763" s="8">
        <v>0.8</v>
      </c>
      <c r="U9763" s="8">
        <v>13.2</v>
      </c>
      <c r="V9763" s="8">
        <v>0.4</v>
      </c>
      <c r="W9763" s="8">
        <v>0.2</v>
      </c>
      <c r="X9763" s="8">
        <v>46</v>
      </c>
      <c r="Y9763" s="8" t="s">
        <v>1588</v>
      </c>
      <c r="Z9763" s="8" t="s">
        <v>1589</v>
      </c>
    </row>
    <row r="9764" spans="1:26" x14ac:dyDescent="0.2">
      <c r="A9764" s="8">
        <v>9763</v>
      </c>
      <c r="B9764" s="8" t="s">
        <v>42089</v>
      </c>
      <c r="C9764" s="8" t="s">
        <v>42089</v>
      </c>
      <c r="G9764" s="8">
        <v>20</v>
      </c>
      <c r="H9764" s="8" t="s">
        <v>21</v>
      </c>
      <c r="I9764" s="8" t="s">
        <v>22</v>
      </c>
      <c r="J9764" s="8" t="s">
        <v>22</v>
      </c>
      <c r="K9764" s="8" t="s">
        <v>1554</v>
      </c>
      <c r="L9764" s="8" t="s">
        <v>4263</v>
      </c>
      <c r="M9764" s="8" t="s">
        <v>4264</v>
      </c>
      <c r="N9764" s="8" t="s">
        <v>42090</v>
      </c>
      <c r="O9764" s="8">
        <f>3+24/60+53/3600</f>
        <v>3.4147222222222222</v>
      </c>
      <c r="P9764" s="8" t="s">
        <v>42091</v>
      </c>
      <c r="Q9764" s="8">
        <f>-(50+33/60+20/3600)</f>
        <v>-50.55555555555555</v>
      </c>
      <c r="R9764" s="8">
        <v>16.100000000000001</v>
      </c>
      <c r="S9764" s="8">
        <v>17.5</v>
      </c>
      <c r="T9764" s="8">
        <v>1.4</v>
      </c>
      <c r="U9764" s="8">
        <v>14</v>
      </c>
      <c r="V9764" s="8">
        <v>0.5</v>
      </c>
      <c r="W9764" s="8">
        <v>0.2</v>
      </c>
      <c r="X9764" s="8">
        <v>91</v>
      </c>
      <c r="Y9764" s="8" t="s">
        <v>1588</v>
      </c>
      <c r="Z9764" s="8" t="s">
        <v>1589</v>
      </c>
    </row>
    <row r="9765" spans="1:26" x14ac:dyDescent="0.2">
      <c r="A9765" s="8">
        <v>9764</v>
      </c>
      <c r="B9765" s="8" t="s">
        <v>42092</v>
      </c>
      <c r="C9765" s="8" t="s">
        <v>42092</v>
      </c>
      <c r="G9765" s="8">
        <v>20</v>
      </c>
      <c r="H9765" s="8" t="s">
        <v>21</v>
      </c>
      <c r="I9765" s="8" t="s">
        <v>22</v>
      </c>
      <c r="J9765" s="8" t="s">
        <v>22</v>
      </c>
      <c r="K9765" s="8" t="s">
        <v>42046</v>
      </c>
      <c r="L9765" s="8" t="s">
        <v>4263</v>
      </c>
      <c r="M9765" s="8" t="s">
        <v>4264</v>
      </c>
      <c r="N9765" s="8" t="s">
        <v>42093</v>
      </c>
      <c r="O9765" s="8">
        <f>3+25/60+7.5/3600</f>
        <v>3.4187499999999997</v>
      </c>
      <c r="P9765" s="8" t="s">
        <v>42094</v>
      </c>
      <c r="Q9765" s="8">
        <f>-(51+42/60+12/3600)</f>
        <v>-51.703333333333333</v>
      </c>
      <c r="R9765" s="8">
        <v>15.9</v>
      </c>
      <c r="S9765" s="8">
        <v>16.7</v>
      </c>
      <c r="T9765" s="8">
        <v>0.8</v>
      </c>
      <c r="U9765" s="8">
        <v>13.7</v>
      </c>
      <c r="V9765" s="8">
        <v>0.5</v>
      </c>
      <c r="W9765" s="8">
        <v>0.3</v>
      </c>
      <c r="X9765" s="8">
        <v>75</v>
      </c>
      <c r="Y9765" s="8" t="s">
        <v>42095</v>
      </c>
      <c r="Z9765" s="8" t="s">
        <v>42096</v>
      </c>
    </row>
    <row r="9766" spans="1:26" x14ac:dyDescent="0.2">
      <c r="A9766" s="8">
        <v>9765</v>
      </c>
      <c r="B9766" s="8" t="s">
        <v>42097</v>
      </c>
      <c r="C9766" s="8" t="s">
        <v>42097</v>
      </c>
      <c r="G9766" s="8">
        <v>20</v>
      </c>
      <c r="H9766" s="8" t="s">
        <v>21</v>
      </c>
      <c r="I9766" s="8" t="s">
        <v>22</v>
      </c>
      <c r="J9766" s="8" t="s">
        <v>22</v>
      </c>
      <c r="K9766" s="8" t="s">
        <v>31</v>
      </c>
      <c r="L9766" s="8" t="s">
        <v>4263</v>
      </c>
      <c r="M9766" s="8" t="s">
        <v>4264</v>
      </c>
      <c r="N9766" s="8" t="s">
        <v>42098</v>
      </c>
      <c r="O9766" s="8">
        <f>3+25/60+25.6/3600</f>
        <v>3.4237777777777776</v>
      </c>
      <c r="P9766" s="8" t="s">
        <v>42099</v>
      </c>
      <c r="Q9766" s="8">
        <f>-(51+16/60+0/3600)</f>
        <v>-51.266666666666666</v>
      </c>
      <c r="R9766" s="8">
        <v>14.1</v>
      </c>
      <c r="S9766" s="8">
        <v>14.8</v>
      </c>
      <c r="T9766" s="8">
        <v>0.7</v>
      </c>
      <c r="U9766" s="8">
        <v>13.2</v>
      </c>
      <c r="V9766" s="8">
        <v>0.8</v>
      </c>
      <c r="W9766" s="8">
        <v>0.6</v>
      </c>
      <c r="X9766" s="8">
        <v>143</v>
      </c>
      <c r="Y9766" s="8" t="s">
        <v>42100</v>
      </c>
      <c r="Z9766" s="8" t="s">
        <v>42101</v>
      </c>
    </row>
    <row r="9767" spans="1:26" x14ac:dyDescent="0.2">
      <c r="A9767" s="8">
        <v>9766</v>
      </c>
      <c r="B9767" s="8" t="s">
        <v>42102</v>
      </c>
      <c r="C9767" s="8" t="s">
        <v>42102</v>
      </c>
      <c r="G9767" s="8">
        <v>20</v>
      </c>
      <c r="H9767" s="8" t="s">
        <v>21</v>
      </c>
      <c r="I9767" s="8" t="s">
        <v>22</v>
      </c>
      <c r="J9767" s="8" t="s">
        <v>22</v>
      </c>
      <c r="K9767" s="8" t="s">
        <v>42046</v>
      </c>
      <c r="L9767" s="8" t="s">
        <v>4263</v>
      </c>
      <c r="M9767" s="8" t="s">
        <v>4264</v>
      </c>
      <c r="N9767" s="8" t="s">
        <v>42103</v>
      </c>
      <c r="O9767" s="8">
        <f>3+25/60+18.8/3600</f>
        <v>3.4218888888888888</v>
      </c>
      <c r="P9767" s="8" t="s">
        <v>42104</v>
      </c>
      <c r="Q9767" s="8">
        <f>-(51+42/60+4/3600)</f>
        <v>-51.701111111111111</v>
      </c>
      <c r="R9767" s="8">
        <v>15.8</v>
      </c>
      <c r="S9767" s="8">
        <v>16.600000000000001</v>
      </c>
      <c r="T9767" s="8">
        <v>0.8</v>
      </c>
      <c r="U9767" s="8">
        <v>13.2</v>
      </c>
      <c r="V9767" s="8">
        <v>0.5</v>
      </c>
      <c r="W9767" s="8">
        <v>0.2</v>
      </c>
      <c r="X9767" s="8">
        <v>80</v>
      </c>
      <c r="Y9767" s="8" t="s">
        <v>42095</v>
      </c>
      <c r="Z9767" s="8" t="s">
        <v>42105</v>
      </c>
    </row>
    <row r="9768" spans="1:26" x14ac:dyDescent="0.2">
      <c r="A9768" s="8">
        <v>9767</v>
      </c>
      <c r="B9768" s="8" t="s">
        <v>42106</v>
      </c>
      <c r="C9768" s="8" t="s">
        <v>42106</v>
      </c>
      <c r="G9768" s="8">
        <v>20</v>
      </c>
      <c r="H9768" s="8" t="s">
        <v>21</v>
      </c>
      <c r="I9768" s="8" t="s">
        <v>72</v>
      </c>
      <c r="J9768" s="8" t="s">
        <v>72</v>
      </c>
      <c r="K9768" s="8" t="s">
        <v>73</v>
      </c>
      <c r="L9768" s="8" t="s">
        <v>4263</v>
      </c>
      <c r="M9768" s="8" t="s">
        <v>4264</v>
      </c>
      <c r="N9768" s="8" t="s">
        <v>42107</v>
      </c>
      <c r="O9768" s="8">
        <f>3+25/60+13/3600</f>
        <v>3.4202777777777778</v>
      </c>
      <c r="P9768" s="8" t="s">
        <v>42108</v>
      </c>
      <c r="Q9768" s="8">
        <f>-(51+43/60+56/3600)</f>
        <v>-51.732222222222227</v>
      </c>
      <c r="R9768" s="8">
        <v>99</v>
      </c>
      <c r="S9768" s="8">
        <v>99</v>
      </c>
      <c r="T9768" s="8">
        <v>99</v>
      </c>
      <c r="U9768" s="8">
        <v>99</v>
      </c>
      <c r="Y9768" s="8" t="s">
        <v>297</v>
      </c>
      <c r="Z9768" s="8" t="s">
        <v>298</v>
      </c>
    </row>
    <row r="9769" spans="1:26" x14ac:dyDescent="0.2">
      <c r="A9769" s="8">
        <v>9768</v>
      </c>
      <c r="B9769" s="8" t="s">
        <v>42109</v>
      </c>
      <c r="C9769" s="8" t="s">
        <v>42109</v>
      </c>
      <c r="G9769" s="8">
        <v>20</v>
      </c>
      <c r="H9769" s="8" t="s">
        <v>21</v>
      </c>
      <c r="I9769" s="8" t="s">
        <v>22</v>
      </c>
      <c r="J9769" s="8" t="s">
        <v>22</v>
      </c>
      <c r="K9769" s="8" t="s">
        <v>31</v>
      </c>
      <c r="L9769" s="8" t="s">
        <v>3328</v>
      </c>
      <c r="M9769" s="8" t="s">
        <v>3329</v>
      </c>
      <c r="N9769" s="8" t="s">
        <v>42110</v>
      </c>
      <c r="O9769" s="8">
        <f>3+27/60+29.1/3600</f>
        <v>3.4580833333333336</v>
      </c>
      <c r="P9769" s="8" t="s">
        <v>42111</v>
      </c>
      <c r="Q9769" s="8">
        <f>-(21+33/60+35/3600)</f>
        <v>-21.559722222222224</v>
      </c>
      <c r="R9769" s="8">
        <v>13.1</v>
      </c>
      <c r="S9769" s="8">
        <v>13.9</v>
      </c>
      <c r="T9769" s="8">
        <v>0.8</v>
      </c>
      <c r="U9769" s="8">
        <v>12.5</v>
      </c>
      <c r="V9769" s="8">
        <v>1.6</v>
      </c>
      <c r="W9769" s="8">
        <v>0.4</v>
      </c>
      <c r="X9769" s="8">
        <v>30</v>
      </c>
      <c r="Y9769" s="8" t="s">
        <v>42112</v>
      </c>
      <c r="Z9769" s="8" t="s">
        <v>42113</v>
      </c>
    </row>
    <row r="9770" spans="1:26" x14ac:dyDescent="0.2">
      <c r="A9770" s="8">
        <v>9769</v>
      </c>
      <c r="B9770" s="8" t="s">
        <v>42114</v>
      </c>
      <c r="C9770" s="8" t="s">
        <v>42114</v>
      </c>
      <c r="G9770" s="8">
        <v>20</v>
      </c>
      <c r="H9770" s="8" t="s">
        <v>21</v>
      </c>
      <c r="I9770" s="8" t="s">
        <v>22</v>
      </c>
      <c r="J9770" s="8" t="s">
        <v>57</v>
      </c>
      <c r="K9770" s="8" t="s">
        <v>31</v>
      </c>
      <c r="L9770" s="8" t="s">
        <v>4263</v>
      </c>
      <c r="M9770" s="8" t="s">
        <v>4264</v>
      </c>
      <c r="N9770" s="8" t="s">
        <v>42098</v>
      </c>
      <c r="O9770" s="8">
        <f>3+25/60+25.6/3600</f>
        <v>3.4237777777777776</v>
      </c>
      <c r="P9770" s="8" t="s">
        <v>42099</v>
      </c>
      <c r="Q9770" s="8">
        <f>-(51+16/60+0/3600)</f>
        <v>-51.266666666666666</v>
      </c>
      <c r="R9770" s="8">
        <v>14.1</v>
      </c>
      <c r="S9770" s="8">
        <v>14.8</v>
      </c>
      <c r="T9770" s="8">
        <v>0.7</v>
      </c>
      <c r="U9770" s="8">
        <v>13.2</v>
      </c>
      <c r="V9770" s="8">
        <v>0.8</v>
      </c>
      <c r="W9770" s="8">
        <v>0.6</v>
      </c>
      <c r="X9770" s="8">
        <v>143</v>
      </c>
      <c r="Y9770" s="8" t="s">
        <v>42115</v>
      </c>
      <c r="Z9770" s="8" t="s">
        <v>42116</v>
      </c>
    </row>
    <row r="9771" spans="1:26" x14ac:dyDescent="0.2">
      <c r="A9771" s="8">
        <v>9770</v>
      </c>
      <c r="B9771" s="8" t="s">
        <v>42117</v>
      </c>
      <c r="C9771" s="8" t="s">
        <v>42117</v>
      </c>
      <c r="G9771" s="8">
        <v>20</v>
      </c>
      <c r="H9771" s="8" t="s">
        <v>21</v>
      </c>
      <c r="I9771" s="8" t="s">
        <v>22</v>
      </c>
      <c r="J9771" s="8" t="s">
        <v>22</v>
      </c>
      <c r="K9771" s="8" t="s">
        <v>382</v>
      </c>
      <c r="L9771" s="8" t="s">
        <v>6115</v>
      </c>
      <c r="M9771" s="8" t="s">
        <v>6116</v>
      </c>
      <c r="N9771" s="8" t="s">
        <v>42118</v>
      </c>
      <c r="O9771" s="8">
        <f>3+28/60+46.1/3600</f>
        <v>3.4794722222222223</v>
      </c>
      <c r="P9771" s="8" t="s">
        <v>42119</v>
      </c>
      <c r="Q9771" s="8">
        <f>+(4+23/60+2/3600)</f>
        <v>4.3838888888888894</v>
      </c>
      <c r="R9771" s="8">
        <v>15</v>
      </c>
      <c r="S9771" s="8">
        <v>16</v>
      </c>
      <c r="T9771" s="8">
        <v>1</v>
      </c>
      <c r="U9771" s="8">
        <v>12.8</v>
      </c>
      <c r="V9771" s="8">
        <v>0.4</v>
      </c>
      <c r="W9771" s="8">
        <v>0.3</v>
      </c>
      <c r="X9771" s="8">
        <v>0</v>
      </c>
      <c r="Y9771" s="8" t="s">
        <v>21</v>
      </c>
      <c r="Z9771" s="8" t="s">
        <v>42120</v>
      </c>
    </row>
    <row r="9772" spans="1:26" x14ac:dyDescent="0.2">
      <c r="A9772" s="8">
        <v>9771</v>
      </c>
      <c r="B9772" s="8" t="s">
        <v>42121</v>
      </c>
      <c r="C9772" s="8" t="s">
        <v>42121</v>
      </c>
      <c r="G9772" s="8">
        <v>20</v>
      </c>
      <c r="H9772" s="8" t="s">
        <v>21</v>
      </c>
      <c r="I9772" s="8" t="s">
        <v>22</v>
      </c>
      <c r="J9772" s="8" t="s">
        <v>22</v>
      </c>
      <c r="K9772" s="8" t="s">
        <v>17644</v>
      </c>
      <c r="L9772" s="8" t="s">
        <v>6115</v>
      </c>
      <c r="M9772" s="8" t="s">
        <v>6116</v>
      </c>
      <c r="N9772" s="8" t="s">
        <v>42122</v>
      </c>
      <c r="O9772" s="8">
        <f>3+28/60+57.8/3600</f>
        <v>3.4827222222222223</v>
      </c>
      <c r="P9772" s="8" t="s">
        <v>42123</v>
      </c>
      <c r="Q9772" s="8">
        <f>+(1+45/60+2/3600)</f>
        <v>1.7505555555555556</v>
      </c>
      <c r="R9772" s="8">
        <v>14.7</v>
      </c>
      <c r="S9772" s="8">
        <v>15.3</v>
      </c>
      <c r="T9772" s="8">
        <v>0.6</v>
      </c>
      <c r="U9772" s="8">
        <v>14.1</v>
      </c>
      <c r="V9772" s="8">
        <v>0.8</v>
      </c>
      <c r="W9772" s="8">
        <v>0.8</v>
      </c>
      <c r="Y9772" s="8" t="s">
        <v>17353</v>
      </c>
      <c r="Z9772" s="8" t="s">
        <v>17354</v>
      </c>
    </row>
    <row r="9773" spans="1:26" x14ac:dyDescent="0.2">
      <c r="A9773" s="8">
        <v>9772</v>
      </c>
      <c r="B9773" s="8" t="s">
        <v>42124</v>
      </c>
      <c r="C9773" s="8" t="s">
        <v>42124</v>
      </c>
      <c r="G9773" s="8">
        <v>20</v>
      </c>
      <c r="H9773" s="8" t="s">
        <v>21</v>
      </c>
      <c r="I9773" s="8" t="s">
        <v>22</v>
      </c>
      <c r="J9773" s="8" t="s">
        <v>22</v>
      </c>
      <c r="K9773" s="8" t="s">
        <v>42125</v>
      </c>
      <c r="L9773" s="8" t="s">
        <v>4263</v>
      </c>
      <c r="M9773" s="8" t="s">
        <v>4264</v>
      </c>
      <c r="N9773" s="8" t="s">
        <v>42126</v>
      </c>
      <c r="O9773" s="8">
        <f>3+25/60+54/3600</f>
        <v>3.4316666666666666</v>
      </c>
      <c r="P9773" s="8" t="s">
        <v>42127</v>
      </c>
      <c r="Q9773" s="8">
        <f>-(51+20/60+34/3600)</f>
        <v>-51.342777777777783</v>
      </c>
      <c r="R9773" s="8">
        <v>14.5</v>
      </c>
      <c r="S9773" s="8">
        <v>15.4</v>
      </c>
      <c r="T9773" s="8">
        <v>0.9</v>
      </c>
      <c r="U9773" s="8">
        <v>13.5</v>
      </c>
      <c r="V9773" s="8">
        <v>0.7</v>
      </c>
      <c r="W9773" s="8">
        <v>0.6</v>
      </c>
      <c r="X9773" s="8">
        <v>15</v>
      </c>
      <c r="Y9773" s="8" t="s">
        <v>42063</v>
      </c>
      <c r="Z9773" s="8" t="s">
        <v>42064</v>
      </c>
    </row>
    <row r="9774" spans="1:26" x14ac:dyDescent="0.2">
      <c r="A9774" s="8">
        <v>9773</v>
      </c>
      <c r="B9774" s="8" t="s">
        <v>42128</v>
      </c>
      <c r="C9774" s="8" t="s">
        <v>42128</v>
      </c>
      <c r="G9774" s="8">
        <v>13</v>
      </c>
      <c r="H9774" s="8" t="s">
        <v>21</v>
      </c>
      <c r="I9774" s="8" t="s">
        <v>22</v>
      </c>
      <c r="J9774" s="8" t="s">
        <v>22</v>
      </c>
      <c r="K9774" s="8" t="s">
        <v>64</v>
      </c>
      <c r="L9774" s="8" t="s">
        <v>4263</v>
      </c>
      <c r="M9774" s="8" t="s">
        <v>4264</v>
      </c>
      <c r="N9774" s="8" t="s">
        <v>42129</v>
      </c>
      <c r="O9774" s="8">
        <f>3+25/60+39.9/3600</f>
        <v>3.4277499999999996</v>
      </c>
      <c r="P9774" s="8" t="s">
        <v>42130</v>
      </c>
      <c r="Q9774" s="8">
        <f>-(52+47/60+5/3600)</f>
        <v>-52.784722222222221</v>
      </c>
      <c r="R9774" s="8">
        <v>12.5</v>
      </c>
      <c r="S9774" s="8">
        <v>12.9</v>
      </c>
      <c r="T9774" s="8">
        <v>0.4</v>
      </c>
      <c r="U9774" s="8">
        <v>13.5</v>
      </c>
      <c r="V9774" s="8">
        <v>2.2000000000000002</v>
      </c>
      <c r="W9774" s="8">
        <v>1.1000000000000001</v>
      </c>
      <c r="X9774" s="8">
        <v>55</v>
      </c>
      <c r="Y9774" s="8" t="s">
        <v>21</v>
      </c>
      <c r="Z9774" s="8" t="s">
        <v>42131</v>
      </c>
    </row>
    <row r="9775" spans="1:26" x14ac:dyDescent="0.2">
      <c r="A9775" s="8">
        <v>9774</v>
      </c>
      <c r="B9775" s="8" t="s">
        <v>42132</v>
      </c>
      <c r="C9775" s="8" t="s">
        <v>42132</v>
      </c>
      <c r="G9775" s="8">
        <v>20</v>
      </c>
      <c r="H9775" s="8" t="s">
        <v>21</v>
      </c>
      <c r="I9775" s="8" t="s">
        <v>22</v>
      </c>
      <c r="J9775" s="8" t="s">
        <v>22</v>
      </c>
      <c r="K9775" s="8" t="s">
        <v>37</v>
      </c>
      <c r="L9775" s="8" t="s">
        <v>3147</v>
      </c>
      <c r="M9775" s="8" t="s">
        <v>3148</v>
      </c>
      <c r="N9775" s="8" t="s">
        <v>42133</v>
      </c>
      <c r="O9775" s="8">
        <f>3+31/60+13.9/3600</f>
        <v>3.5205277777777777</v>
      </c>
      <c r="P9775" s="8" t="s">
        <v>42134</v>
      </c>
      <c r="Q9775" s="8">
        <f>+(42+47/60+34/3600)</f>
        <v>42.792777777777779</v>
      </c>
      <c r="R9775" s="8">
        <v>14</v>
      </c>
      <c r="S9775" s="8">
        <v>15</v>
      </c>
      <c r="T9775" s="8">
        <v>1</v>
      </c>
      <c r="U9775" s="8">
        <v>13.3</v>
      </c>
      <c r="V9775" s="8">
        <v>1.2</v>
      </c>
      <c r="W9775" s="8">
        <v>0.5</v>
      </c>
      <c r="X9775" s="8">
        <v>137</v>
      </c>
      <c r="Y9775" s="8" t="s">
        <v>21</v>
      </c>
      <c r="Z9775" s="8" t="s">
        <v>42135</v>
      </c>
    </row>
    <row r="9776" spans="1:26" x14ac:dyDescent="0.2">
      <c r="A9776" s="8">
        <v>9775</v>
      </c>
      <c r="B9776" s="8" t="s">
        <v>42136</v>
      </c>
      <c r="C9776" s="8" t="s">
        <v>42136</v>
      </c>
      <c r="G9776" s="8">
        <v>20</v>
      </c>
      <c r="H9776" s="8" t="s">
        <v>21</v>
      </c>
      <c r="I9776" s="8" t="s">
        <v>22</v>
      </c>
      <c r="J9776" s="8" t="s">
        <v>22</v>
      </c>
      <c r="K9776" s="8" t="s">
        <v>160</v>
      </c>
      <c r="L9776" s="8" t="s">
        <v>4263</v>
      </c>
      <c r="M9776" s="8" t="s">
        <v>4264</v>
      </c>
      <c r="N9776" s="8" t="s">
        <v>42137</v>
      </c>
      <c r="O9776" s="8">
        <f>3+26/60+13.3/3600</f>
        <v>3.4370277777777778</v>
      </c>
      <c r="P9776" s="8" t="s">
        <v>42138</v>
      </c>
      <c r="Q9776" s="8">
        <f>-(50+0/60+38/3600)</f>
        <v>-50.010555555555555</v>
      </c>
      <c r="R9776" s="8">
        <v>14.3</v>
      </c>
      <c r="S9776" s="8">
        <v>14.7</v>
      </c>
      <c r="T9776" s="8">
        <v>0.4</v>
      </c>
      <c r="U9776" s="8">
        <v>13.9</v>
      </c>
      <c r="V9776" s="8">
        <v>1.1000000000000001</v>
      </c>
      <c r="W9776" s="8">
        <v>0.7</v>
      </c>
      <c r="X9776" s="8">
        <v>65</v>
      </c>
      <c r="Y9776" s="8" t="s">
        <v>21</v>
      </c>
      <c r="Z9776" s="8" t="s">
        <v>42139</v>
      </c>
    </row>
    <row r="9777" spans="1:26" x14ac:dyDescent="0.2">
      <c r="A9777" s="8">
        <v>9776</v>
      </c>
      <c r="B9777" s="8" t="s">
        <v>42140</v>
      </c>
      <c r="C9777" s="8" t="s">
        <v>42140</v>
      </c>
      <c r="G9777" s="8">
        <v>20</v>
      </c>
      <c r="H9777" s="8" t="s">
        <v>21</v>
      </c>
      <c r="I9777" s="8" t="s">
        <v>22</v>
      </c>
      <c r="J9777" s="8" t="s">
        <v>22</v>
      </c>
      <c r="K9777" s="8" t="s">
        <v>449</v>
      </c>
      <c r="L9777" s="8" t="s">
        <v>4263</v>
      </c>
      <c r="M9777" s="8" t="s">
        <v>4264</v>
      </c>
      <c r="N9777" s="8" t="s">
        <v>42141</v>
      </c>
      <c r="O9777" s="8">
        <f>3+26/60+27.9/3600</f>
        <v>3.4410833333333337</v>
      </c>
      <c r="P9777" s="8" t="s">
        <v>42142</v>
      </c>
      <c r="Q9777" s="8">
        <f>-(51+19/60+23/3600)</f>
        <v>-51.323055555555555</v>
      </c>
      <c r="R9777" s="8">
        <v>15.2</v>
      </c>
      <c r="S9777" s="8">
        <v>16</v>
      </c>
      <c r="T9777" s="8">
        <v>0.8</v>
      </c>
      <c r="U9777" s="8">
        <v>12.9</v>
      </c>
      <c r="V9777" s="8">
        <v>0.7</v>
      </c>
      <c r="W9777" s="8">
        <v>0.2</v>
      </c>
      <c r="X9777" s="8">
        <v>153</v>
      </c>
      <c r="Y9777" s="8" t="s">
        <v>21</v>
      </c>
      <c r="Z9777" s="8" t="s">
        <v>42143</v>
      </c>
    </row>
    <row r="9778" spans="1:26" x14ac:dyDescent="0.2">
      <c r="A9778" s="8">
        <v>9777</v>
      </c>
      <c r="B9778" s="8" t="s">
        <v>42144</v>
      </c>
      <c r="C9778" s="8" t="s">
        <v>42144</v>
      </c>
      <c r="G9778" s="8">
        <v>20</v>
      </c>
      <c r="H9778" s="8" t="s">
        <v>21</v>
      </c>
      <c r="I9778" s="8" t="s">
        <v>22</v>
      </c>
      <c r="J9778" s="8" t="s">
        <v>22</v>
      </c>
      <c r="K9778" s="8" t="s">
        <v>42046</v>
      </c>
      <c r="L9778" s="8" t="s">
        <v>4263</v>
      </c>
      <c r="M9778" s="8" t="s">
        <v>4264</v>
      </c>
      <c r="N9778" s="8" t="s">
        <v>42145</v>
      </c>
      <c r="O9778" s="8">
        <f>3+26/60+47.4/3600</f>
        <v>3.4465000000000003</v>
      </c>
      <c r="P9778" s="8" t="s">
        <v>42146</v>
      </c>
      <c r="Q9778" s="8">
        <f>-(48+42/60+10/3600)</f>
        <v>-48.702777777777783</v>
      </c>
      <c r="R9778" s="8">
        <v>14.1</v>
      </c>
      <c r="S9778" s="8">
        <v>15</v>
      </c>
      <c r="T9778" s="8">
        <v>0.9</v>
      </c>
      <c r="U9778" s="8">
        <v>13.4</v>
      </c>
      <c r="V9778" s="8">
        <v>0.9</v>
      </c>
      <c r="W9778" s="8">
        <v>0.5</v>
      </c>
      <c r="X9778" s="8">
        <v>52</v>
      </c>
      <c r="Y9778" s="8" t="s">
        <v>115</v>
      </c>
      <c r="Z9778" s="8" t="s">
        <v>116</v>
      </c>
    </row>
    <row r="9779" spans="1:26" x14ac:dyDescent="0.2">
      <c r="A9779" s="8">
        <v>9778</v>
      </c>
      <c r="B9779" s="8" t="s">
        <v>42147</v>
      </c>
      <c r="C9779" s="8" t="s">
        <v>42147</v>
      </c>
      <c r="G9779" s="8">
        <v>20</v>
      </c>
      <c r="H9779" s="8" t="s">
        <v>21</v>
      </c>
      <c r="I9779" s="8" t="s">
        <v>22</v>
      </c>
      <c r="J9779" s="8" t="s">
        <v>22</v>
      </c>
      <c r="K9779" s="8" t="s">
        <v>23</v>
      </c>
      <c r="L9779" s="8" t="s">
        <v>4263</v>
      </c>
      <c r="M9779" s="8" t="s">
        <v>4264</v>
      </c>
      <c r="N9779" s="8" t="s">
        <v>42148</v>
      </c>
      <c r="O9779" s="8">
        <f>3+27/60+10.4/3600</f>
        <v>3.4528888888888889</v>
      </c>
      <c r="P9779" s="8" t="s">
        <v>42149</v>
      </c>
      <c r="Q9779" s="8">
        <f>-(53+0/60+36/3600)</f>
        <v>-53.01</v>
      </c>
      <c r="R9779" s="8">
        <v>14.7</v>
      </c>
      <c r="S9779" s="8">
        <v>15.5</v>
      </c>
      <c r="T9779" s="8">
        <v>0.8</v>
      </c>
      <c r="U9779" s="8">
        <v>13.8</v>
      </c>
      <c r="V9779" s="8">
        <v>0.8</v>
      </c>
      <c r="W9779" s="8">
        <v>0.6</v>
      </c>
      <c r="Y9779" s="8" t="s">
        <v>21</v>
      </c>
      <c r="Z9779" s="8" t="s">
        <v>42150</v>
      </c>
    </row>
    <row r="9780" spans="1:26" x14ac:dyDescent="0.2">
      <c r="A9780" s="8">
        <v>9779</v>
      </c>
      <c r="B9780" s="8" t="s">
        <v>42151</v>
      </c>
      <c r="C9780" s="8" t="s">
        <v>42151</v>
      </c>
      <c r="G9780" s="8">
        <v>20</v>
      </c>
      <c r="H9780" s="8" t="s">
        <v>21</v>
      </c>
      <c r="I9780" s="8" t="s">
        <v>329</v>
      </c>
      <c r="J9780" s="8" t="s">
        <v>329</v>
      </c>
      <c r="K9780" s="8" t="s">
        <v>329</v>
      </c>
      <c r="L9780" s="8" t="s">
        <v>4263</v>
      </c>
      <c r="M9780" s="8" t="s">
        <v>4264</v>
      </c>
      <c r="N9780" s="8" t="s">
        <v>42152</v>
      </c>
      <c r="O9780" s="8">
        <f>3+27/60+45/3600</f>
        <v>3.4625000000000004</v>
      </c>
      <c r="P9780" s="8" t="s">
        <v>42153</v>
      </c>
      <c r="Q9780" s="8">
        <f>-(51+4/60+18/3600)</f>
        <v>-51.071666666666673</v>
      </c>
      <c r="R9780" s="8">
        <v>99</v>
      </c>
      <c r="S9780" s="8">
        <v>99</v>
      </c>
      <c r="T9780" s="8">
        <v>99</v>
      </c>
      <c r="U9780" s="8">
        <v>99</v>
      </c>
      <c r="Y9780" s="8" t="s">
        <v>42154</v>
      </c>
      <c r="Z9780" s="8" t="s">
        <v>42155</v>
      </c>
    </row>
    <row r="9781" spans="1:26" x14ac:dyDescent="0.2">
      <c r="A9781" s="8">
        <v>9780</v>
      </c>
      <c r="B9781" s="8" t="s">
        <v>42156</v>
      </c>
      <c r="C9781" s="8" t="s">
        <v>42156</v>
      </c>
      <c r="G9781" s="8">
        <v>20</v>
      </c>
      <c r="H9781" s="8" t="s">
        <v>21</v>
      </c>
      <c r="I9781" s="8" t="s">
        <v>22</v>
      </c>
      <c r="J9781" s="8" t="s">
        <v>22</v>
      </c>
      <c r="K9781" s="8" t="s">
        <v>406</v>
      </c>
      <c r="L9781" s="8" t="s">
        <v>4263</v>
      </c>
      <c r="M9781" s="8" t="s">
        <v>4264</v>
      </c>
      <c r="N9781" s="8" t="s">
        <v>42157</v>
      </c>
      <c r="O9781" s="8">
        <f>3+27/60+42/3600</f>
        <v>3.4616666666666669</v>
      </c>
      <c r="P9781" s="8" t="s">
        <v>42158</v>
      </c>
      <c r="Q9781" s="8">
        <f>-(52+8/60+22/3600)</f>
        <v>-52.139444444444443</v>
      </c>
      <c r="R9781" s="8">
        <v>13.7</v>
      </c>
      <c r="S9781" s="8">
        <v>14.5</v>
      </c>
      <c r="T9781" s="8">
        <v>0.8</v>
      </c>
      <c r="U9781" s="8">
        <v>13.3</v>
      </c>
      <c r="V9781" s="8">
        <v>0.9</v>
      </c>
      <c r="W9781" s="8">
        <v>0.9</v>
      </c>
      <c r="Y9781" s="8" t="s">
        <v>42159</v>
      </c>
      <c r="Z9781" s="8" t="s">
        <v>42160</v>
      </c>
    </row>
    <row r="9782" spans="1:26" x14ac:dyDescent="0.2">
      <c r="A9782" s="8">
        <v>9781</v>
      </c>
      <c r="B9782" s="8" t="s">
        <v>42161</v>
      </c>
      <c r="C9782" s="8" t="s">
        <v>42161</v>
      </c>
      <c r="G9782" s="8">
        <v>20</v>
      </c>
      <c r="H9782" s="8" t="s">
        <v>21</v>
      </c>
      <c r="I9782" s="8" t="s">
        <v>72</v>
      </c>
      <c r="J9782" s="8" t="s">
        <v>72</v>
      </c>
      <c r="K9782" s="8" t="s">
        <v>1802</v>
      </c>
      <c r="L9782" s="8" t="s">
        <v>6115</v>
      </c>
      <c r="M9782" s="8" t="s">
        <v>6116</v>
      </c>
      <c r="N9782" s="8" t="s">
        <v>42162</v>
      </c>
      <c r="O9782" s="8">
        <f>3+32/60+14.8/3600</f>
        <v>3.5374444444444442</v>
      </c>
      <c r="P9782" s="8" t="s">
        <v>42163</v>
      </c>
      <c r="Q9782" s="8">
        <f>+(24+23/60+2/3600)</f>
        <v>24.383888888888887</v>
      </c>
      <c r="R9782" s="8">
        <v>99</v>
      </c>
      <c r="S9782" s="8">
        <v>99</v>
      </c>
      <c r="T9782" s="8">
        <v>99</v>
      </c>
      <c r="U9782" s="8">
        <v>99</v>
      </c>
      <c r="Y9782" s="8" t="s">
        <v>21</v>
      </c>
      <c r="Z9782" s="8" t="s">
        <v>42164</v>
      </c>
    </row>
    <row r="9783" spans="1:26" x14ac:dyDescent="0.2">
      <c r="A9783" s="8">
        <v>9782</v>
      </c>
      <c r="B9783" s="8" t="s">
        <v>42165</v>
      </c>
      <c r="C9783" s="8" t="s">
        <v>42165</v>
      </c>
      <c r="G9783" s="8">
        <v>20</v>
      </c>
      <c r="H9783" s="8" t="s">
        <v>21</v>
      </c>
      <c r="I9783" s="8" t="s">
        <v>22</v>
      </c>
      <c r="J9783" s="8" t="s">
        <v>22</v>
      </c>
      <c r="K9783" s="8" t="s">
        <v>382</v>
      </c>
      <c r="L9783" s="8" t="s">
        <v>4263</v>
      </c>
      <c r="M9783" s="8" t="s">
        <v>4264</v>
      </c>
      <c r="N9783" s="8" t="s">
        <v>42166</v>
      </c>
      <c r="O9783" s="8">
        <f>3+27/60+54/3600</f>
        <v>3.4650000000000003</v>
      </c>
      <c r="P9783" s="8" t="s">
        <v>42167</v>
      </c>
      <c r="Q9783" s="8">
        <f>-(52+40/60+32/3600)</f>
        <v>-52.675555555555555</v>
      </c>
      <c r="R9783" s="8">
        <v>14.4</v>
      </c>
      <c r="S9783" s="8">
        <v>15.4</v>
      </c>
      <c r="T9783" s="8">
        <v>1</v>
      </c>
      <c r="U9783" s="8">
        <v>13.3</v>
      </c>
      <c r="V9783" s="8">
        <v>0.7</v>
      </c>
      <c r="W9783" s="8">
        <v>0.5</v>
      </c>
      <c r="X9783" s="8">
        <v>11</v>
      </c>
      <c r="Y9783" s="8" t="s">
        <v>21</v>
      </c>
      <c r="Z9783" s="8" t="s">
        <v>42168</v>
      </c>
    </row>
    <row r="9784" spans="1:26" x14ac:dyDescent="0.2">
      <c r="A9784" s="8">
        <v>9783</v>
      </c>
      <c r="B9784" s="8" t="s">
        <v>42169</v>
      </c>
      <c r="C9784" s="8" t="s">
        <v>42169</v>
      </c>
      <c r="G9784" s="8">
        <v>20</v>
      </c>
      <c r="H9784" s="8" t="s">
        <v>21</v>
      </c>
      <c r="I9784" s="8" t="s">
        <v>22</v>
      </c>
      <c r="J9784" s="8" t="s">
        <v>57</v>
      </c>
      <c r="K9784" s="8" t="s">
        <v>58</v>
      </c>
      <c r="L9784" s="8" t="s">
        <v>4263</v>
      </c>
      <c r="M9784" s="8" t="s">
        <v>4264</v>
      </c>
      <c r="N9784" s="8" t="s">
        <v>6559</v>
      </c>
      <c r="O9784" s="8">
        <f>3+38/60+44.9/3600</f>
        <v>3.6458055555555555</v>
      </c>
      <c r="P9784" s="8" t="s">
        <v>6560</v>
      </c>
      <c r="Q9784" s="8">
        <f>-(44+6/60+2/3600)</f>
        <v>-44.100555555555559</v>
      </c>
      <c r="R9784" s="8">
        <v>11.3</v>
      </c>
      <c r="S9784" s="8">
        <v>12.2</v>
      </c>
      <c r="T9784" s="8">
        <v>0.9</v>
      </c>
      <c r="U9784" s="8">
        <v>12.6</v>
      </c>
      <c r="V9784" s="8">
        <v>1.8</v>
      </c>
      <c r="W9784" s="8">
        <v>1.4</v>
      </c>
      <c r="X9784" s="8">
        <v>6</v>
      </c>
      <c r="Y9784" s="8" t="s">
        <v>13469</v>
      </c>
      <c r="Z9784" s="8" t="s">
        <v>13470</v>
      </c>
    </row>
    <row r="9785" spans="1:26" x14ac:dyDescent="0.2">
      <c r="A9785" s="8">
        <v>9784</v>
      </c>
      <c r="B9785" s="8" t="s">
        <v>42170</v>
      </c>
      <c r="C9785" s="8" t="s">
        <v>42170</v>
      </c>
      <c r="G9785" s="8">
        <v>20</v>
      </c>
      <c r="H9785" s="8" t="s">
        <v>21</v>
      </c>
      <c r="I9785" s="8" t="s">
        <v>22</v>
      </c>
      <c r="J9785" s="8" t="s">
        <v>22</v>
      </c>
      <c r="K9785" s="8" t="s">
        <v>449</v>
      </c>
      <c r="L9785" s="8" t="s">
        <v>4263</v>
      </c>
      <c r="M9785" s="8" t="s">
        <v>4264</v>
      </c>
      <c r="N9785" s="8" t="s">
        <v>42171</v>
      </c>
      <c r="O9785" s="8">
        <f>3+29/60+39.9/3600</f>
        <v>3.4944166666666665</v>
      </c>
      <c r="P9785" s="8" t="s">
        <v>42172</v>
      </c>
      <c r="Q9785" s="8">
        <f>-(47+59/60+47/3600)</f>
        <v>-47.996388888888887</v>
      </c>
      <c r="R9785" s="8">
        <v>14.9</v>
      </c>
      <c r="S9785" s="8">
        <v>15.7</v>
      </c>
      <c r="T9785" s="8">
        <v>0.8</v>
      </c>
      <c r="U9785" s="8">
        <v>13</v>
      </c>
      <c r="V9785" s="8">
        <v>0.5</v>
      </c>
      <c r="W9785" s="8">
        <v>0.4</v>
      </c>
      <c r="X9785" s="8">
        <v>12</v>
      </c>
      <c r="Y9785" s="8" t="s">
        <v>42173</v>
      </c>
      <c r="Z9785" s="8" t="s">
        <v>42174</v>
      </c>
    </row>
    <row r="9786" spans="1:26" x14ac:dyDescent="0.2">
      <c r="A9786" s="8">
        <v>9785</v>
      </c>
      <c r="B9786" s="8" t="s">
        <v>42175</v>
      </c>
      <c r="C9786" s="8" t="s">
        <v>42175</v>
      </c>
      <c r="G9786" s="8">
        <v>20</v>
      </c>
      <c r="H9786" s="8" t="s">
        <v>21</v>
      </c>
      <c r="I9786" s="8" t="s">
        <v>22</v>
      </c>
      <c r="J9786" s="8" t="s">
        <v>22</v>
      </c>
      <c r="K9786" s="8" t="s">
        <v>37</v>
      </c>
      <c r="L9786" s="8" t="s">
        <v>4263</v>
      </c>
      <c r="M9786" s="8" t="s">
        <v>4264</v>
      </c>
      <c r="N9786" s="8" t="s">
        <v>42176</v>
      </c>
      <c r="O9786" s="8">
        <f>3+29/60+16.4/3600</f>
        <v>3.487888888888889</v>
      </c>
      <c r="P9786" s="8" t="s">
        <v>42177</v>
      </c>
      <c r="Q9786" s="8">
        <f>-(52+37/60+37/3600)</f>
        <v>-52.626944444444447</v>
      </c>
      <c r="R9786" s="8">
        <v>15</v>
      </c>
      <c r="S9786" s="8">
        <v>16</v>
      </c>
      <c r="T9786" s="8">
        <v>1</v>
      </c>
      <c r="U9786" s="8">
        <v>12.9</v>
      </c>
      <c r="V9786" s="8">
        <v>0.8</v>
      </c>
      <c r="W9786" s="8">
        <v>0.2</v>
      </c>
      <c r="X9786" s="8">
        <v>129</v>
      </c>
      <c r="Y9786" s="8" t="s">
        <v>21</v>
      </c>
      <c r="Z9786" s="8" t="s">
        <v>42178</v>
      </c>
    </row>
    <row r="9787" spans="1:26" x14ac:dyDescent="0.2">
      <c r="A9787" s="8">
        <v>9786</v>
      </c>
      <c r="B9787" s="8" t="s">
        <v>42179</v>
      </c>
      <c r="C9787" s="8" t="s">
        <v>42179</v>
      </c>
      <c r="G9787" s="8">
        <v>20</v>
      </c>
      <c r="H9787" s="8" t="s">
        <v>21</v>
      </c>
      <c r="I9787" s="8" t="s">
        <v>22</v>
      </c>
      <c r="J9787" s="8" t="s">
        <v>22</v>
      </c>
      <c r="K9787" s="8" t="s">
        <v>435</v>
      </c>
      <c r="L9787" s="8" t="s">
        <v>4263</v>
      </c>
      <c r="M9787" s="8" t="s">
        <v>4264</v>
      </c>
      <c r="N9787" s="8" t="s">
        <v>42180</v>
      </c>
      <c r="O9787" s="8">
        <f>3+29/60+22/3600</f>
        <v>3.4894444444444446</v>
      </c>
      <c r="P9787" s="8" t="s">
        <v>42181</v>
      </c>
      <c r="Q9787" s="8">
        <f>-(52+37/60+10/3600)</f>
        <v>-52.619444444444447</v>
      </c>
      <c r="R9787" s="8">
        <v>14.4</v>
      </c>
      <c r="S9787" s="8">
        <v>15.3</v>
      </c>
      <c r="T9787" s="8">
        <v>0.9</v>
      </c>
      <c r="U9787" s="8">
        <v>13.1</v>
      </c>
      <c r="V9787" s="8">
        <v>0.9</v>
      </c>
      <c r="W9787" s="8">
        <v>0.4</v>
      </c>
      <c r="X9787" s="8">
        <v>62</v>
      </c>
      <c r="Y9787" s="8" t="s">
        <v>21</v>
      </c>
      <c r="Z9787" s="8" t="s">
        <v>42178</v>
      </c>
    </row>
    <row r="9788" spans="1:26" x14ac:dyDescent="0.2">
      <c r="A9788" s="8">
        <v>9787</v>
      </c>
      <c r="B9788" s="8" t="s">
        <v>42182</v>
      </c>
      <c r="C9788" s="8" t="s">
        <v>42182</v>
      </c>
      <c r="G9788" s="8">
        <v>20</v>
      </c>
      <c r="H9788" s="8" t="s">
        <v>21</v>
      </c>
      <c r="I9788" s="8" t="s">
        <v>22</v>
      </c>
      <c r="J9788" s="8" t="s">
        <v>22</v>
      </c>
      <c r="K9788" s="8" t="s">
        <v>1136</v>
      </c>
      <c r="L9788" s="8" t="s">
        <v>4263</v>
      </c>
      <c r="M9788" s="8" t="s">
        <v>4264</v>
      </c>
      <c r="N9788" s="8" t="s">
        <v>42183</v>
      </c>
      <c r="O9788" s="8">
        <f>3+30/60+32.6/3600</f>
        <v>3.5090555555555554</v>
      </c>
      <c r="P9788" s="8" t="s">
        <v>42184</v>
      </c>
      <c r="Q9788" s="8">
        <f>-(50+20/60+20/3600)</f>
        <v>-50.338888888888889</v>
      </c>
      <c r="R9788" s="8">
        <v>14.8</v>
      </c>
      <c r="S9788" s="8">
        <v>15.5</v>
      </c>
      <c r="T9788" s="8">
        <v>0.7</v>
      </c>
      <c r="U9788" s="8">
        <v>13.1</v>
      </c>
      <c r="V9788" s="8">
        <v>0.5</v>
      </c>
      <c r="W9788" s="8">
        <v>0.4</v>
      </c>
      <c r="X9788" s="8">
        <v>137</v>
      </c>
      <c r="Y9788" s="8" t="s">
        <v>21</v>
      </c>
      <c r="Z9788" s="8" t="s">
        <v>42178</v>
      </c>
    </row>
    <row r="9789" spans="1:26" x14ac:dyDescent="0.2">
      <c r="A9789" s="8">
        <v>9788</v>
      </c>
      <c r="B9789" s="8" t="s">
        <v>42185</v>
      </c>
      <c r="C9789" s="8" t="s">
        <v>42185</v>
      </c>
      <c r="G9789" s="8">
        <v>20</v>
      </c>
      <c r="H9789" s="8" t="s">
        <v>21</v>
      </c>
      <c r="I9789" s="8" t="s">
        <v>22</v>
      </c>
      <c r="J9789" s="8" t="s">
        <v>22</v>
      </c>
      <c r="K9789" s="8" t="s">
        <v>396</v>
      </c>
      <c r="L9789" s="8" t="s">
        <v>4263</v>
      </c>
      <c r="M9789" s="8" t="s">
        <v>4264</v>
      </c>
      <c r="N9789" s="8" t="s">
        <v>42186</v>
      </c>
      <c r="O9789" s="8">
        <f>3+30/60+49.9/3600</f>
        <v>3.5138611111111113</v>
      </c>
      <c r="P9789" s="8" t="s">
        <v>42187</v>
      </c>
      <c r="Q9789" s="8">
        <f>-(47+57/60+52/3600)</f>
        <v>-47.964444444444446</v>
      </c>
      <c r="R9789" s="8">
        <v>14.7</v>
      </c>
      <c r="S9789" s="8">
        <v>15.5</v>
      </c>
      <c r="T9789" s="8">
        <v>0.8</v>
      </c>
      <c r="U9789" s="8">
        <v>13.9</v>
      </c>
      <c r="V9789" s="8">
        <v>0.8</v>
      </c>
      <c r="W9789" s="8">
        <v>0.7</v>
      </c>
      <c r="Y9789" s="8" t="s">
        <v>7509</v>
      </c>
      <c r="Z9789" s="8" t="s">
        <v>3537</v>
      </c>
    </row>
    <row r="9790" spans="1:26" x14ac:dyDescent="0.2">
      <c r="A9790" s="8">
        <v>9789</v>
      </c>
      <c r="B9790" s="8" t="s">
        <v>42188</v>
      </c>
      <c r="C9790" s="8" t="s">
        <v>42188</v>
      </c>
      <c r="G9790" s="8">
        <v>20</v>
      </c>
      <c r="H9790" s="8" t="s">
        <v>21</v>
      </c>
      <c r="I9790" s="8" t="s">
        <v>22</v>
      </c>
      <c r="J9790" s="8" t="s">
        <v>22</v>
      </c>
      <c r="K9790" s="8" t="s">
        <v>396</v>
      </c>
      <c r="L9790" s="8" t="s">
        <v>4263</v>
      </c>
      <c r="M9790" s="8" t="s">
        <v>4264</v>
      </c>
      <c r="N9790" s="8" t="s">
        <v>42189</v>
      </c>
      <c r="O9790" s="8">
        <f>3+30/60+52.9/3600</f>
        <v>3.5146944444444443</v>
      </c>
      <c r="P9790" s="8" t="s">
        <v>42190</v>
      </c>
      <c r="Q9790" s="8">
        <f>-(47+58/60+47/3600)</f>
        <v>-47.979722222222222</v>
      </c>
      <c r="R9790" s="8">
        <v>13.1</v>
      </c>
      <c r="S9790" s="8">
        <v>13.7</v>
      </c>
      <c r="T9790" s="8">
        <v>0.6</v>
      </c>
      <c r="U9790" s="8">
        <v>12.9</v>
      </c>
      <c r="V9790" s="8">
        <v>1.1000000000000001</v>
      </c>
      <c r="W9790" s="8">
        <v>0.9</v>
      </c>
      <c r="X9790" s="8">
        <v>27</v>
      </c>
      <c r="Y9790" s="8" t="s">
        <v>42191</v>
      </c>
      <c r="Z9790" s="8" t="s">
        <v>42192</v>
      </c>
    </row>
    <row r="9791" spans="1:26" x14ac:dyDescent="0.2">
      <c r="A9791" s="8">
        <v>9790</v>
      </c>
      <c r="B9791" s="8" t="s">
        <v>42193</v>
      </c>
      <c r="C9791" s="8" t="s">
        <v>42193</v>
      </c>
      <c r="G9791" s="8">
        <v>20</v>
      </c>
      <c r="H9791" s="8" t="s">
        <v>21</v>
      </c>
      <c r="I9791" s="8" t="s">
        <v>22</v>
      </c>
      <c r="J9791" s="8" t="s">
        <v>22</v>
      </c>
      <c r="K9791" s="8" t="s">
        <v>160</v>
      </c>
      <c r="L9791" s="8" t="s">
        <v>4263</v>
      </c>
      <c r="M9791" s="8" t="s">
        <v>4264</v>
      </c>
      <c r="N9791" s="8" t="s">
        <v>42194</v>
      </c>
      <c r="O9791" s="8">
        <f>3+31/60+4.3/3600</f>
        <v>3.5178611111111109</v>
      </c>
      <c r="P9791" s="8" t="s">
        <v>42195</v>
      </c>
      <c r="Q9791" s="8">
        <f>-(50+25/60+58/3600)</f>
        <v>-50.432777777777773</v>
      </c>
      <c r="R9791" s="8">
        <v>14.5</v>
      </c>
      <c r="S9791" s="8">
        <v>15.1</v>
      </c>
      <c r="T9791" s="8">
        <v>0.6</v>
      </c>
      <c r="U9791" s="8">
        <v>13.8</v>
      </c>
      <c r="V9791" s="8">
        <v>1.4</v>
      </c>
      <c r="W9791" s="8">
        <v>0.4</v>
      </c>
      <c r="X9791" s="8">
        <v>153</v>
      </c>
      <c r="Y9791" s="8" t="s">
        <v>42115</v>
      </c>
      <c r="Z9791" s="8" t="s">
        <v>42116</v>
      </c>
    </row>
    <row r="9792" spans="1:26" x14ac:dyDescent="0.2">
      <c r="A9792" s="8">
        <v>9791</v>
      </c>
      <c r="B9792" s="8" t="s">
        <v>42196</v>
      </c>
      <c r="C9792" s="8" t="s">
        <v>42196</v>
      </c>
      <c r="G9792" s="8">
        <v>20</v>
      </c>
      <c r="H9792" s="8" t="s">
        <v>21</v>
      </c>
      <c r="I9792" s="8" t="s">
        <v>22</v>
      </c>
      <c r="J9792" s="8" t="s">
        <v>22</v>
      </c>
      <c r="K9792" s="8" t="s">
        <v>396</v>
      </c>
      <c r="L9792" s="8" t="s">
        <v>4263</v>
      </c>
      <c r="M9792" s="8" t="s">
        <v>4264</v>
      </c>
      <c r="N9792" s="8" t="s">
        <v>42197</v>
      </c>
      <c r="O9792" s="8">
        <f>3+30/60+56.4/3600</f>
        <v>3.5156666666666667</v>
      </c>
      <c r="P9792" s="8" t="s">
        <v>42198</v>
      </c>
      <c r="Q9792" s="8">
        <f>-(53+7/60+34/3600)</f>
        <v>-53.126111111111115</v>
      </c>
      <c r="R9792" s="8">
        <v>16.3</v>
      </c>
      <c r="S9792" s="8">
        <v>17.100000000000001</v>
      </c>
      <c r="T9792" s="8">
        <v>0.8</v>
      </c>
      <c r="U9792" s="8">
        <v>13.7</v>
      </c>
      <c r="V9792" s="8">
        <v>0.5</v>
      </c>
      <c r="W9792" s="8">
        <v>0.2</v>
      </c>
      <c r="X9792" s="8">
        <v>54</v>
      </c>
      <c r="Y9792" s="8" t="s">
        <v>42199</v>
      </c>
      <c r="Z9792" s="8" t="s">
        <v>42200</v>
      </c>
    </row>
    <row r="9793" spans="1:26" x14ac:dyDescent="0.2">
      <c r="A9793" s="8">
        <v>9792</v>
      </c>
      <c r="B9793" s="8" t="s">
        <v>42201</v>
      </c>
      <c r="C9793" s="8" t="s">
        <v>42201</v>
      </c>
      <c r="G9793" s="8">
        <v>20</v>
      </c>
      <c r="H9793" s="8" t="s">
        <v>21</v>
      </c>
      <c r="I9793" s="8" t="s">
        <v>22</v>
      </c>
      <c r="J9793" s="8" t="s">
        <v>22</v>
      </c>
      <c r="K9793" s="8" t="s">
        <v>85</v>
      </c>
      <c r="L9793" s="8" t="s">
        <v>3328</v>
      </c>
      <c r="M9793" s="8" t="s">
        <v>3329</v>
      </c>
      <c r="N9793" s="8" t="s">
        <v>42202</v>
      </c>
      <c r="O9793" s="8">
        <f>3+33/60+26.6/3600</f>
        <v>3.5573888888888887</v>
      </c>
      <c r="P9793" s="8" t="s">
        <v>42203</v>
      </c>
      <c r="Q9793" s="8">
        <f>-(23+42/60+46/3600)</f>
        <v>-23.712777777777777</v>
      </c>
      <c r="R9793" s="8">
        <v>12.7</v>
      </c>
      <c r="S9793" s="8">
        <v>13.5</v>
      </c>
      <c r="T9793" s="8">
        <v>0.8</v>
      </c>
      <c r="U9793" s="8">
        <v>13</v>
      </c>
      <c r="V9793" s="8">
        <v>2.6</v>
      </c>
      <c r="W9793" s="8">
        <v>0.6</v>
      </c>
      <c r="X9793" s="8">
        <v>141</v>
      </c>
      <c r="Y9793" s="8" t="s">
        <v>21</v>
      </c>
      <c r="Z9793" s="8" t="s">
        <v>42204</v>
      </c>
    </row>
    <row r="9794" spans="1:26" x14ac:dyDescent="0.2">
      <c r="A9794" s="8">
        <v>9793</v>
      </c>
      <c r="B9794" s="8" t="s">
        <v>42205</v>
      </c>
      <c r="C9794" s="8" t="s">
        <v>42205</v>
      </c>
      <c r="G9794" s="8">
        <v>13</v>
      </c>
      <c r="H9794" s="8" t="s">
        <v>21</v>
      </c>
      <c r="I9794" s="8" t="s">
        <v>22</v>
      </c>
      <c r="J9794" s="8" t="s">
        <v>22</v>
      </c>
      <c r="K9794" s="8" t="s">
        <v>64</v>
      </c>
      <c r="L9794" s="8" t="s">
        <v>3328</v>
      </c>
      <c r="M9794" s="8" t="s">
        <v>3329</v>
      </c>
      <c r="N9794" s="8" t="s">
        <v>42206</v>
      </c>
      <c r="O9794" s="8">
        <f>3+33/60+41.8/3600</f>
        <v>3.5616111111111111</v>
      </c>
      <c r="P9794" s="8" t="s">
        <v>42207</v>
      </c>
      <c r="Q9794" s="8">
        <f>-(21+28/60+42/3600)</f>
        <v>-21.478333333333332</v>
      </c>
      <c r="R9794" s="8">
        <v>11.7</v>
      </c>
      <c r="S9794" s="8">
        <v>12.2</v>
      </c>
      <c r="T9794" s="8">
        <v>0.5</v>
      </c>
      <c r="U9794" s="8">
        <v>13.5</v>
      </c>
      <c r="V9794" s="8">
        <v>2.9</v>
      </c>
      <c r="W9794" s="8">
        <v>2.1</v>
      </c>
      <c r="X9794" s="8">
        <v>121</v>
      </c>
      <c r="Y9794" s="8" t="s">
        <v>21</v>
      </c>
      <c r="Z9794" s="8" t="s">
        <v>42208</v>
      </c>
    </row>
    <row r="9795" spans="1:26" x14ac:dyDescent="0.2">
      <c r="A9795" s="8">
        <v>9794</v>
      </c>
      <c r="B9795" s="8" t="s">
        <v>42209</v>
      </c>
      <c r="C9795" s="8" t="s">
        <v>42209</v>
      </c>
      <c r="G9795" s="8">
        <v>13</v>
      </c>
      <c r="H9795" s="8" t="s">
        <v>21</v>
      </c>
      <c r="I9795" s="8" t="s">
        <v>22</v>
      </c>
      <c r="J9795" s="8" t="s">
        <v>22</v>
      </c>
      <c r="K9795" s="8" t="s">
        <v>218</v>
      </c>
      <c r="L9795" s="8" t="s">
        <v>4263</v>
      </c>
      <c r="M9795" s="8" t="s">
        <v>4264</v>
      </c>
      <c r="N9795" s="8" t="s">
        <v>42210</v>
      </c>
      <c r="O9795" s="8">
        <f>3+31/60+31.1/3600</f>
        <v>3.5253055555555557</v>
      </c>
      <c r="P9795" s="8" t="s">
        <v>42211</v>
      </c>
      <c r="Q9795" s="8">
        <f>-(51+54/60+15/3600)</f>
        <v>-51.904166666666669</v>
      </c>
      <c r="R9795" s="8">
        <v>11.6</v>
      </c>
      <c r="S9795" s="8">
        <v>12.2</v>
      </c>
      <c r="T9795" s="8">
        <v>0.6</v>
      </c>
      <c r="U9795" s="8">
        <v>13.2</v>
      </c>
      <c r="V9795" s="8">
        <v>3</v>
      </c>
      <c r="W9795" s="8">
        <v>1.5</v>
      </c>
      <c r="X9795" s="8">
        <v>66</v>
      </c>
      <c r="Y9795" s="8" t="s">
        <v>42212</v>
      </c>
      <c r="Z9795" s="8" t="s">
        <v>42213</v>
      </c>
    </row>
    <row r="9796" spans="1:26" x14ac:dyDescent="0.2">
      <c r="A9796" s="8">
        <v>9795</v>
      </c>
      <c r="B9796" s="8" t="s">
        <v>42214</v>
      </c>
      <c r="C9796" s="8" t="s">
        <v>42214</v>
      </c>
      <c r="G9796" s="8">
        <v>20</v>
      </c>
      <c r="H9796" s="8" t="s">
        <v>21</v>
      </c>
      <c r="I9796" s="8" t="s">
        <v>22</v>
      </c>
      <c r="J9796" s="8" t="s">
        <v>22</v>
      </c>
      <c r="K9796" s="8" t="s">
        <v>396</v>
      </c>
      <c r="L9796" s="8" t="s">
        <v>6120</v>
      </c>
      <c r="M9796" s="8" t="s">
        <v>6121</v>
      </c>
      <c r="N9796" s="8" t="s">
        <v>42215</v>
      </c>
      <c r="O9796" s="8">
        <f>3+31/60+24.7/3600</f>
        <v>3.5235277777777778</v>
      </c>
      <c r="P9796" s="8" t="s">
        <v>42216</v>
      </c>
      <c r="Q9796" s="8">
        <f>-(57+14/60+31/3600)</f>
        <v>-57.241944444444442</v>
      </c>
      <c r="R9796" s="8">
        <v>15</v>
      </c>
      <c r="S9796" s="8">
        <v>15.8</v>
      </c>
      <c r="T9796" s="8">
        <v>0.8</v>
      </c>
      <c r="U9796" s="8">
        <v>13.9</v>
      </c>
      <c r="V9796" s="8">
        <v>0.7</v>
      </c>
      <c r="W9796" s="8">
        <v>0.6</v>
      </c>
      <c r="Y9796" s="8" t="s">
        <v>385</v>
      </c>
      <c r="Z9796" s="8" t="s">
        <v>386</v>
      </c>
    </row>
    <row r="9797" spans="1:26" x14ac:dyDescent="0.2">
      <c r="A9797" s="8">
        <v>9796</v>
      </c>
      <c r="B9797" s="8" t="s">
        <v>42217</v>
      </c>
      <c r="C9797" s="8" t="s">
        <v>42217</v>
      </c>
      <c r="G9797" s="8">
        <v>20</v>
      </c>
      <c r="H9797" s="8" t="s">
        <v>21</v>
      </c>
      <c r="I9797" s="8" t="s">
        <v>22</v>
      </c>
      <c r="J9797" s="8" t="s">
        <v>22</v>
      </c>
      <c r="K9797" s="8" t="s">
        <v>85</v>
      </c>
      <c r="L9797" s="8" t="s">
        <v>6115</v>
      </c>
      <c r="M9797" s="8" t="s">
        <v>6116</v>
      </c>
      <c r="N9797" s="8" t="s">
        <v>42218</v>
      </c>
      <c r="O9797" s="8">
        <f>3+35/60+33.2/3600</f>
        <v>3.5925555555555557</v>
      </c>
      <c r="P9797" s="8" t="s">
        <v>42219</v>
      </c>
      <c r="Q9797" s="8">
        <f>+(5+4/60+2/3600)</f>
        <v>5.0672222222222221</v>
      </c>
      <c r="R9797" s="8">
        <v>14.6</v>
      </c>
      <c r="S9797" s="8">
        <v>15.4</v>
      </c>
      <c r="T9797" s="8">
        <v>0.8</v>
      </c>
      <c r="U9797" s="8">
        <v>13.7</v>
      </c>
      <c r="V9797" s="8">
        <v>1.6</v>
      </c>
      <c r="W9797" s="8">
        <v>0.3</v>
      </c>
      <c r="X9797" s="8">
        <v>34</v>
      </c>
      <c r="Y9797" s="8" t="s">
        <v>21</v>
      </c>
      <c r="Z9797" s="8" t="s">
        <v>42220</v>
      </c>
    </row>
    <row r="9798" spans="1:26" x14ac:dyDescent="0.2">
      <c r="A9798" s="8">
        <v>9797</v>
      </c>
      <c r="B9798" s="8" t="s">
        <v>42221</v>
      </c>
      <c r="C9798" s="8" t="s">
        <v>42221</v>
      </c>
      <c r="G9798" s="8">
        <v>20</v>
      </c>
      <c r="H9798" s="8" t="s">
        <v>21</v>
      </c>
      <c r="I9798" s="8" t="s">
        <v>22</v>
      </c>
      <c r="J9798" s="8" t="s">
        <v>22</v>
      </c>
      <c r="K9798" s="8" t="s">
        <v>396</v>
      </c>
      <c r="L9798" s="8" t="s">
        <v>4263</v>
      </c>
      <c r="M9798" s="8" t="s">
        <v>4264</v>
      </c>
      <c r="N9798" s="8" t="s">
        <v>42222</v>
      </c>
      <c r="O9798" s="8">
        <f>3+32/60+13.4/3600</f>
        <v>3.5370555555555554</v>
      </c>
      <c r="P9798" s="8" t="s">
        <v>42223</v>
      </c>
      <c r="Q9798" s="8">
        <f>-(52+27/60+25/3600)</f>
        <v>-52.456944444444446</v>
      </c>
      <c r="R9798" s="8">
        <v>15.7</v>
      </c>
      <c r="S9798" s="8">
        <v>16.5</v>
      </c>
      <c r="T9798" s="8">
        <v>0.8</v>
      </c>
      <c r="U9798" s="8">
        <v>13.7</v>
      </c>
      <c r="V9798" s="8">
        <v>0.9</v>
      </c>
      <c r="W9798" s="8">
        <v>0.2</v>
      </c>
      <c r="X9798" s="8">
        <v>33</v>
      </c>
      <c r="Y9798" s="8" t="s">
        <v>42199</v>
      </c>
      <c r="Z9798" s="8" t="s">
        <v>42200</v>
      </c>
    </row>
    <row r="9799" spans="1:26" x14ac:dyDescent="0.2">
      <c r="A9799" s="8">
        <v>9798</v>
      </c>
      <c r="B9799" s="8" t="s">
        <v>42224</v>
      </c>
      <c r="C9799" s="8" t="s">
        <v>42224</v>
      </c>
      <c r="G9799" s="8">
        <v>20</v>
      </c>
      <c r="H9799" s="8" t="s">
        <v>21</v>
      </c>
      <c r="I9799" s="8" t="s">
        <v>22</v>
      </c>
      <c r="J9799" s="8" t="s">
        <v>22</v>
      </c>
      <c r="K9799" s="8" t="s">
        <v>449</v>
      </c>
      <c r="L9799" s="8" t="s">
        <v>4263</v>
      </c>
      <c r="M9799" s="8" t="s">
        <v>4264</v>
      </c>
      <c r="N9799" s="8" t="s">
        <v>42225</v>
      </c>
      <c r="O9799" s="8">
        <f>3+32/60+46.6/3600</f>
        <v>3.5462777777777776</v>
      </c>
      <c r="P9799" s="8" t="s">
        <v>42226</v>
      </c>
      <c r="Q9799" s="8">
        <f>-(51+26/60+28/3600)</f>
        <v>-51.441111111111105</v>
      </c>
      <c r="R9799" s="8">
        <v>15.2</v>
      </c>
      <c r="S9799" s="8">
        <v>16</v>
      </c>
      <c r="T9799" s="8">
        <v>0.8</v>
      </c>
      <c r="U9799" s="8">
        <v>12.7</v>
      </c>
      <c r="V9799" s="8">
        <v>0.4</v>
      </c>
      <c r="W9799" s="8">
        <v>0.3</v>
      </c>
      <c r="X9799" s="8">
        <v>85</v>
      </c>
      <c r="Y9799" s="8" t="s">
        <v>21</v>
      </c>
      <c r="Z9799" s="8" t="s">
        <v>42178</v>
      </c>
    </row>
    <row r="9800" spans="1:26" x14ac:dyDescent="0.2">
      <c r="A9800" s="8">
        <v>9799</v>
      </c>
      <c r="B9800" s="8" t="s">
        <v>42227</v>
      </c>
      <c r="C9800" s="8" t="s">
        <v>42227</v>
      </c>
      <c r="G9800" s="8">
        <v>20</v>
      </c>
      <c r="H9800" s="8" t="s">
        <v>21</v>
      </c>
      <c r="I9800" s="8" t="s">
        <v>22</v>
      </c>
      <c r="J9800" s="8" t="s">
        <v>22</v>
      </c>
      <c r="K9800" s="8" t="s">
        <v>323</v>
      </c>
      <c r="L9800" s="8" t="s">
        <v>4263</v>
      </c>
      <c r="M9800" s="8" t="s">
        <v>4264</v>
      </c>
      <c r="N9800" s="8" t="s">
        <v>42228</v>
      </c>
      <c r="O9800" s="8">
        <f>3+33/60+12.1/3600</f>
        <v>3.5533611111111107</v>
      </c>
      <c r="P9800" s="8" t="s">
        <v>42229</v>
      </c>
      <c r="Q9800" s="8">
        <f>-(50+24/60+44/3600)</f>
        <v>-50.412222222222219</v>
      </c>
      <c r="R9800" s="8">
        <v>12.8</v>
      </c>
      <c r="S9800" s="8">
        <v>13.2</v>
      </c>
      <c r="T9800" s="8">
        <v>0.4</v>
      </c>
      <c r="U9800" s="8">
        <v>13.4</v>
      </c>
      <c r="V9800" s="8">
        <v>2.9</v>
      </c>
      <c r="W9800" s="8">
        <v>0.7</v>
      </c>
      <c r="X9800" s="8">
        <v>147</v>
      </c>
      <c r="Y9800" s="8" t="s">
        <v>42115</v>
      </c>
      <c r="Z9800" s="8" t="s">
        <v>42116</v>
      </c>
    </row>
    <row r="9801" spans="1:26" x14ac:dyDescent="0.2">
      <c r="A9801" s="8">
        <v>9800</v>
      </c>
      <c r="B9801" s="8" t="s">
        <v>42230</v>
      </c>
      <c r="C9801" s="8" t="s">
        <v>42230</v>
      </c>
      <c r="G9801" s="8">
        <v>20</v>
      </c>
      <c r="H9801" s="8" t="s">
        <v>21</v>
      </c>
      <c r="I9801" s="8" t="s">
        <v>22</v>
      </c>
      <c r="J9801" s="8" t="s">
        <v>22</v>
      </c>
      <c r="K9801" s="8" t="s">
        <v>31</v>
      </c>
      <c r="L9801" s="8" t="s">
        <v>6120</v>
      </c>
      <c r="M9801" s="8" t="s">
        <v>6121</v>
      </c>
      <c r="N9801" s="8" t="s">
        <v>42231</v>
      </c>
      <c r="O9801" s="8">
        <f>3+32/60+32.8/3600</f>
        <v>3.5424444444444445</v>
      </c>
      <c r="P9801" s="8" t="s">
        <v>42232</v>
      </c>
      <c r="Q9801" s="8">
        <f>-(57+12/60+25/3600)</f>
        <v>-57.206944444444446</v>
      </c>
      <c r="R9801" s="8">
        <v>14.4</v>
      </c>
      <c r="S9801" s="8">
        <v>15.2</v>
      </c>
      <c r="T9801" s="8">
        <v>0.8</v>
      </c>
      <c r="U9801" s="8">
        <v>13</v>
      </c>
      <c r="V9801" s="8">
        <v>1.1000000000000001</v>
      </c>
      <c r="W9801" s="8">
        <v>0.3</v>
      </c>
      <c r="X9801" s="8">
        <v>110</v>
      </c>
      <c r="Y9801" s="8" t="s">
        <v>1829</v>
      </c>
      <c r="Z9801" s="8" t="s">
        <v>1830</v>
      </c>
    </row>
    <row r="9802" spans="1:26" x14ac:dyDescent="0.2">
      <c r="A9802" s="8">
        <v>9801</v>
      </c>
      <c r="B9802" s="8" t="s">
        <v>42233</v>
      </c>
      <c r="C9802" s="8" t="s">
        <v>42233</v>
      </c>
      <c r="G9802" s="8">
        <v>20</v>
      </c>
      <c r="H9802" s="8" t="s">
        <v>21</v>
      </c>
      <c r="I9802" s="8" t="s">
        <v>22</v>
      </c>
      <c r="J9802" s="8" t="s">
        <v>22</v>
      </c>
      <c r="K9802" s="8" t="s">
        <v>160</v>
      </c>
      <c r="L9802" s="8" t="s">
        <v>4263</v>
      </c>
      <c r="M9802" s="8" t="s">
        <v>4264</v>
      </c>
      <c r="N9802" s="8" t="s">
        <v>42234</v>
      </c>
      <c r="O9802" s="8">
        <f>3+33/60+33.3/3600</f>
        <v>3.55925</v>
      </c>
      <c r="P9802" s="8" t="s">
        <v>42235</v>
      </c>
      <c r="Q9802" s="8">
        <f>-(48+57/60+3/3600)</f>
        <v>-48.950833333333335</v>
      </c>
      <c r="R9802" s="8">
        <v>14.8</v>
      </c>
      <c r="S9802" s="8">
        <v>15.5</v>
      </c>
      <c r="T9802" s="8">
        <v>0.7</v>
      </c>
      <c r="U9802" s="8">
        <v>13.1</v>
      </c>
      <c r="V9802" s="8">
        <v>0.6</v>
      </c>
      <c r="W9802" s="8">
        <v>0.4</v>
      </c>
      <c r="X9802" s="8">
        <v>24</v>
      </c>
      <c r="Y9802" s="8" t="s">
        <v>42236</v>
      </c>
      <c r="Z9802" s="8" t="s">
        <v>42237</v>
      </c>
    </row>
    <row r="9803" spans="1:26" x14ac:dyDescent="0.2">
      <c r="A9803" s="8">
        <v>9802</v>
      </c>
      <c r="B9803" s="8" t="s">
        <v>42238</v>
      </c>
      <c r="C9803" s="8" t="s">
        <v>42238</v>
      </c>
      <c r="G9803" s="8">
        <v>20</v>
      </c>
      <c r="H9803" s="8" t="s">
        <v>21</v>
      </c>
      <c r="I9803" s="8" t="s">
        <v>22</v>
      </c>
      <c r="J9803" s="8" t="s">
        <v>22</v>
      </c>
      <c r="K9803" s="8" t="s">
        <v>269</v>
      </c>
      <c r="L9803" s="8" t="s">
        <v>3328</v>
      </c>
      <c r="M9803" s="8" t="s">
        <v>3329</v>
      </c>
      <c r="N9803" s="8" t="s">
        <v>42239</v>
      </c>
      <c r="O9803" s="8">
        <f>3+35/60+37.3/3600</f>
        <v>3.5936944444444445</v>
      </c>
      <c r="P9803" s="8" t="s">
        <v>42240</v>
      </c>
      <c r="Q9803" s="8">
        <f>-(21+17/60+31/3600)</f>
        <v>-21.291944444444447</v>
      </c>
      <c r="R9803" s="8">
        <v>14.1</v>
      </c>
      <c r="S9803" s="8">
        <v>14.7</v>
      </c>
      <c r="T9803" s="8">
        <v>0.6</v>
      </c>
      <c r="U9803" s="8">
        <v>14.3</v>
      </c>
      <c r="V9803" s="8">
        <v>2.7</v>
      </c>
      <c r="W9803" s="8">
        <v>0.5</v>
      </c>
      <c r="X9803" s="8">
        <v>2</v>
      </c>
      <c r="Y9803" s="8" t="s">
        <v>42241</v>
      </c>
      <c r="Z9803" s="8" t="s">
        <v>42242</v>
      </c>
    </row>
    <row r="9804" spans="1:26" x14ac:dyDescent="0.2">
      <c r="A9804" s="8">
        <v>9803</v>
      </c>
      <c r="B9804" s="8" t="s">
        <v>42243</v>
      </c>
      <c r="C9804" s="8" t="s">
        <v>42243</v>
      </c>
      <c r="G9804" s="8">
        <v>20</v>
      </c>
      <c r="H9804" s="8" t="s">
        <v>21</v>
      </c>
      <c r="I9804" s="8" t="s">
        <v>22</v>
      </c>
      <c r="J9804" s="8" t="s">
        <v>22</v>
      </c>
      <c r="K9804" s="8" t="s">
        <v>37</v>
      </c>
      <c r="L9804" s="8" t="s">
        <v>3335</v>
      </c>
      <c r="M9804" s="8" t="s">
        <v>3336</v>
      </c>
      <c r="N9804" s="8" t="s">
        <v>36005</v>
      </c>
      <c r="O9804" s="8">
        <f>3+35/60+31.2/3600</f>
        <v>3.5920000000000001</v>
      </c>
      <c r="P9804" s="8" t="s">
        <v>36006</v>
      </c>
      <c r="Q9804" s="8">
        <f>-(34+26/60+48/3600)</f>
        <v>-34.446666666666665</v>
      </c>
      <c r="R9804" s="8">
        <v>12.1</v>
      </c>
      <c r="S9804" s="8">
        <v>13.1</v>
      </c>
      <c r="T9804" s="8">
        <v>1</v>
      </c>
      <c r="U9804" s="8">
        <v>12.6</v>
      </c>
      <c r="V9804" s="8">
        <v>2.6</v>
      </c>
      <c r="W9804" s="8">
        <v>0.7</v>
      </c>
      <c r="X9804" s="8">
        <v>84</v>
      </c>
      <c r="Y9804" s="8" t="s">
        <v>42244</v>
      </c>
      <c r="Z9804" s="8" t="s">
        <v>42245</v>
      </c>
    </row>
    <row r="9805" spans="1:26" x14ac:dyDescent="0.2">
      <c r="A9805" s="8">
        <v>9804</v>
      </c>
      <c r="B9805" s="8" t="s">
        <v>42246</v>
      </c>
      <c r="C9805" s="8" t="s">
        <v>42246</v>
      </c>
      <c r="G9805" s="8">
        <v>20</v>
      </c>
      <c r="H9805" s="8" t="s">
        <v>21</v>
      </c>
      <c r="I9805" s="8" t="s">
        <v>22</v>
      </c>
      <c r="J9805" s="8" t="s">
        <v>22</v>
      </c>
      <c r="K9805" s="8" t="s">
        <v>42046</v>
      </c>
      <c r="L9805" s="8" t="s">
        <v>6120</v>
      </c>
      <c r="M9805" s="8" t="s">
        <v>6121</v>
      </c>
      <c r="N9805" s="8" t="s">
        <v>42247</v>
      </c>
      <c r="O9805" s="8">
        <f>3+33/60+30.2/3600</f>
        <v>3.5583888888888886</v>
      </c>
      <c r="P9805" s="8" t="s">
        <v>42248</v>
      </c>
      <c r="Q9805" s="8">
        <f>-(53+10/60+22/3600)</f>
        <v>-53.172777777777775</v>
      </c>
      <c r="R9805" s="8">
        <v>15.8</v>
      </c>
      <c r="S9805" s="8">
        <v>16.600000000000001</v>
      </c>
      <c r="T9805" s="8">
        <v>0.8</v>
      </c>
      <c r="U9805" s="8">
        <v>13.6</v>
      </c>
      <c r="V9805" s="8">
        <v>0.5</v>
      </c>
      <c r="W9805" s="8">
        <v>0.3</v>
      </c>
      <c r="X9805" s="8">
        <v>81</v>
      </c>
      <c r="Y9805" s="8" t="s">
        <v>42154</v>
      </c>
      <c r="Z9805" s="8" t="s">
        <v>42155</v>
      </c>
    </row>
    <row r="9806" spans="1:26" x14ac:dyDescent="0.2">
      <c r="A9806" s="8">
        <v>9805</v>
      </c>
      <c r="B9806" s="8" t="s">
        <v>42249</v>
      </c>
      <c r="C9806" s="8" t="s">
        <v>42249</v>
      </c>
      <c r="G9806" s="8">
        <v>20</v>
      </c>
      <c r="H9806" s="8" t="s">
        <v>21</v>
      </c>
      <c r="I9806" s="8" t="s">
        <v>22</v>
      </c>
      <c r="J9806" s="8" t="s">
        <v>22</v>
      </c>
      <c r="K9806" s="8" t="s">
        <v>64</v>
      </c>
      <c r="L9806" s="8" t="s">
        <v>6120</v>
      </c>
      <c r="M9806" s="8" t="s">
        <v>6121</v>
      </c>
      <c r="N9806" s="8" t="s">
        <v>42250</v>
      </c>
      <c r="O9806" s="8">
        <f>3+33/60+10.9/3600</f>
        <v>3.5530277777777775</v>
      </c>
      <c r="P9806" s="8" t="s">
        <v>42251</v>
      </c>
      <c r="Q9806" s="8">
        <f>-(56+33/60+14/3600)</f>
        <v>-56.553888888888885</v>
      </c>
      <c r="R9806" s="8">
        <v>15.1</v>
      </c>
      <c r="S9806" s="8">
        <v>15.6</v>
      </c>
      <c r="T9806" s="8">
        <v>0.5</v>
      </c>
      <c r="U9806" s="8">
        <v>14.7</v>
      </c>
      <c r="V9806" s="8">
        <v>1</v>
      </c>
      <c r="W9806" s="8">
        <v>0.8</v>
      </c>
      <c r="X9806" s="8">
        <v>105</v>
      </c>
      <c r="Y9806" s="8" t="s">
        <v>42252</v>
      </c>
      <c r="Z9806" s="8" t="s">
        <v>42253</v>
      </c>
    </row>
    <row r="9807" spans="1:26" x14ac:dyDescent="0.2">
      <c r="A9807" s="8">
        <v>9806</v>
      </c>
      <c r="B9807" s="8" t="s">
        <v>42254</v>
      </c>
      <c r="C9807" s="8" t="s">
        <v>42254</v>
      </c>
      <c r="G9807" s="8">
        <v>20</v>
      </c>
      <c r="H9807" s="8" t="s">
        <v>21</v>
      </c>
      <c r="I9807" s="8" t="s">
        <v>22</v>
      </c>
      <c r="J9807" s="8" t="s">
        <v>22</v>
      </c>
      <c r="K9807" s="8" t="s">
        <v>42046</v>
      </c>
      <c r="L9807" s="8" t="s">
        <v>4263</v>
      </c>
      <c r="M9807" s="8" t="s">
        <v>4264</v>
      </c>
      <c r="N9807" s="8" t="s">
        <v>42255</v>
      </c>
      <c r="O9807" s="8">
        <f>3+34/60+3.3/3600</f>
        <v>3.5675833333333329</v>
      </c>
      <c r="P9807" s="8" t="s">
        <v>42256</v>
      </c>
      <c r="Q9807" s="8">
        <f>-(51+19/60+20/3600)</f>
        <v>-51.322222222222223</v>
      </c>
      <c r="R9807" s="8">
        <v>14.8</v>
      </c>
      <c r="S9807" s="8">
        <v>15.6</v>
      </c>
      <c r="T9807" s="8">
        <v>0.8</v>
      </c>
      <c r="U9807" s="8">
        <v>12.8</v>
      </c>
      <c r="V9807" s="8">
        <v>0.6</v>
      </c>
      <c r="W9807" s="8">
        <v>0.3</v>
      </c>
      <c r="X9807" s="8">
        <v>120</v>
      </c>
      <c r="Y9807" s="8" t="s">
        <v>21</v>
      </c>
      <c r="Z9807" s="8" t="s">
        <v>42178</v>
      </c>
    </row>
    <row r="9808" spans="1:26" x14ac:dyDescent="0.2">
      <c r="A9808" s="8">
        <v>9807</v>
      </c>
      <c r="B9808" s="8" t="s">
        <v>42257</v>
      </c>
      <c r="C9808" s="8" t="s">
        <v>42257</v>
      </c>
      <c r="G9808" s="8">
        <v>20</v>
      </c>
      <c r="H9808" s="8" t="s">
        <v>21</v>
      </c>
      <c r="I9808" s="8" t="s">
        <v>22</v>
      </c>
      <c r="J9808" s="8" t="s">
        <v>22</v>
      </c>
      <c r="K9808" s="8" t="s">
        <v>476</v>
      </c>
      <c r="L9808" s="8" t="s">
        <v>6115</v>
      </c>
      <c r="M9808" s="8" t="s">
        <v>6116</v>
      </c>
      <c r="N9808" s="8" t="s">
        <v>42258</v>
      </c>
      <c r="O9808" s="8">
        <f>3+37/60+47.8/3600</f>
        <v>3.6299444444444444</v>
      </c>
      <c r="P9808" s="8" t="s">
        <v>42259</v>
      </c>
      <c r="Q9808" s="8">
        <f>+(3+16/60+13/3600)</f>
        <v>3.2702777777777778</v>
      </c>
      <c r="R9808" s="8">
        <v>15</v>
      </c>
      <c r="S9808" s="8">
        <v>15.8</v>
      </c>
      <c r="T9808" s="8">
        <v>0.8</v>
      </c>
      <c r="U9808" s="8">
        <v>13.7</v>
      </c>
      <c r="V9808" s="8">
        <v>0.9</v>
      </c>
      <c r="W9808" s="8">
        <v>0.4</v>
      </c>
      <c r="X9808" s="8">
        <v>57</v>
      </c>
      <c r="Y9808" s="8" t="s">
        <v>7206</v>
      </c>
      <c r="Z9808" s="8" t="s">
        <v>7207</v>
      </c>
    </row>
    <row r="9809" spans="1:26" x14ac:dyDescent="0.2">
      <c r="A9809" s="8">
        <v>9808</v>
      </c>
      <c r="B9809" s="8" t="s">
        <v>42260</v>
      </c>
      <c r="C9809" s="8" t="s">
        <v>42260</v>
      </c>
      <c r="G9809" s="8">
        <v>20</v>
      </c>
      <c r="H9809" s="8" t="s">
        <v>21</v>
      </c>
      <c r="I9809" s="8" t="s">
        <v>22</v>
      </c>
      <c r="J9809" s="8" t="s">
        <v>22</v>
      </c>
      <c r="K9809" s="8" t="s">
        <v>160</v>
      </c>
      <c r="L9809" s="8" t="s">
        <v>4263</v>
      </c>
      <c r="M9809" s="8" t="s">
        <v>4264</v>
      </c>
      <c r="N9809" s="8" t="s">
        <v>42261</v>
      </c>
      <c r="O9809" s="8">
        <f>3+34/60+37.8/3600</f>
        <v>3.5771666666666664</v>
      </c>
      <c r="P9809" s="8" t="s">
        <v>42262</v>
      </c>
      <c r="Q9809" s="8">
        <f>-(50+39/60+5/3600)</f>
        <v>-50.651388888888889</v>
      </c>
      <c r="R9809" s="8">
        <v>15.4</v>
      </c>
      <c r="S9809" s="8">
        <v>16.2</v>
      </c>
      <c r="T9809" s="8">
        <v>0.8</v>
      </c>
      <c r="U9809" s="8">
        <v>13.2</v>
      </c>
      <c r="V9809" s="8">
        <v>0.5</v>
      </c>
      <c r="W9809" s="8">
        <v>0.3</v>
      </c>
      <c r="X9809" s="8">
        <v>92</v>
      </c>
      <c r="Y9809" s="8" t="s">
        <v>21</v>
      </c>
      <c r="Z9809" s="8" t="s">
        <v>42178</v>
      </c>
    </row>
    <row r="9810" spans="1:26" x14ac:dyDescent="0.2">
      <c r="A9810" s="8">
        <v>9809</v>
      </c>
      <c r="B9810" s="8" t="s">
        <v>42263</v>
      </c>
      <c r="C9810" s="8" t="s">
        <v>42263</v>
      </c>
      <c r="G9810" s="8">
        <v>20</v>
      </c>
      <c r="H9810" s="8" t="s">
        <v>21</v>
      </c>
      <c r="I9810" s="8" t="s">
        <v>22</v>
      </c>
      <c r="J9810" s="8" t="s">
        <v>22</v>
      </c>
      <c r="K9810" s="8" t="s">
        <v>31</v>
      </c>
      <c r="L9810" s="8" t="s">
        <v>4263</v>
      </c>
      <c r="M9810" s="8" t="s">
        <v>4264</v>
      </c>
      <c r="N9810" s="8" t="s">
        <v>42264</v>
      </c>
      <c r="O9810" s="8">
        <f>3+36/60+13.9/3600</f>
        <v>3.6038611111111112</v>
      </c>
      <c r="P9810" s="8" t="s">
        <v>42265</v>
      </c>
      <c r="Q9810" s="8">
        <f>-(45+10/60+45/3600)</f>
        <v>-45.179166666666667</v>
      </c>
      <c r="R9810" s="8">
        <v>14.8</v>
      </c>
      <c r="S9810" s="8">
        <v>15.6</v>
      </c>
      <c r="T9810" s="8">
        <v>0.8</v>
      </c>
      <c r="U9810" s="8">
        <v>13.2</v>
      </c>
      <c r="V9810" s="8">
        <v>1.3</v>
      </c>
      <c r="W9810" s="8">
        <v>0.2</v>
      </c>
      <c r="X9810" s="8">
        <v>42</v>
      </c>
      <c r="Y9810" s="8" t="s">
        <v>42266</v>
      </c>
      <c r="Z9810" s="8" t="s">
        <v>42267</v>
      </c>
    </row>
    <row r="9811" spans="1:26" x14ac:dyDescent="0.2">
      <c r="A9811" s="8">
        <v>9810</v>
      </c>
      <c r="B9811" s="8" t="s">
        <v>42268</v>
      </c>
      <c r="C9811" s="8" t="s">
        <v>42268</v>
      </c>
      <c r="G9811" s="8">
        <v>20</v>
      </c>
      <c r="H9811" s="8" t="s">
        <v>21</v>
      </c>
      <c r="I9811" s="8" t="s">
        <v>22</v>
      </c>
      <c r="J9811" s="8" t="s">
        <v>22</v>
      </c>
      <c r="K9811" s="8" t="s">
        <v>23</v>
      </c>
      <c r="L9811" s="8" t="s">
        <v>4263</v>
      </c>
      <c r="M9811" s="8" t="s">
        <v>4264</v>
      </c>
      <c r="N9811" s="8" t="s">
        <v>42269</v>
      </c>
      <c r="O9811" s="8">
        <f>3+36/60+31.2/3600</f>
        <v>3.6086666666666667</v>
      </c>
      <c r="P9811" s="8" t="s">
        <v>42270</v>
      </c>
      <c r="Q9811" s="8">
        <f>-(43+57/60+24/3600)</f>
        <v>-43.956666666666671</v>
      </c>
      <c r="R9811" s="8">
        <v>12</v>
      </c>
      <c r="S9811" s="8">
        <v>12.8</v>
      </c>
      <c r="T9811" s="8">
        <v>0.8</v>
      </c>
      <c r="U9811" s="8">
        <v>12.5</v>
      </c>
      <c r="V9811" s="8">
        <v>3.1</v>
      </c>
      <c r="W9811" s="8">
        <v>0.6</v>
      </c>
      <c r="X9811" s="8">
        <v>78</v>
      </c>
      <c r="Y9811" s="8" t="s">
        <v>42271</v>
      </c>
      <c r="Z9811" s="8" t="s">
        <v>42272</v>
      </c>
    </row>
    <row r="9812" spans="1:26" x14ac:dyDescent="0.2">
      <c r="A9812" s="8">
        <v>9811</v>
      </c>
      <c r="B9812" s="8" t="s">
        <v>42273</v>
      </c>
      <c r="C9812" s="8" t="s">
        <v>42273</v>
      </c>
      <c r="G9812" s="8">
        <v>20</v>
      </c>
      <c r="H9812" s="8" t="s">
        <v>21</v>
      </c>
      <c r="I9812" s="8" t="s">
        <v>22</v>
      </c>
      <c r="J9812" s="8" t="s">
        <v>22</v>
      </c>
      <c r="K9812" s="8" t="s">
        <v>42274</v>
      </c>
      <c r="L9812" s="8" t="s">
        <v>4263</v>
      </c>
      <c r="M9812" s="8" t="s">
        <v>4264</v>
      </c>
      <c r="N9812" s="8" t="s">
        <v>42275</v>
      </c>
      <c r="O9812" s="8">
        <f>3+35/60+57.5/3600</f>
        <v>3.5993055555555555</v>
      </c>
      <c r="P9812" s="8" t="s">
        <v>42276</v>
      </c>
      <c r="Q9812" s="8">
        <f>-(52+39/60+0/3600)</f>
        <v>-52.65</v>
      </c>
      <c r="R9812" s="8">
        <v>15.1</v>
      </c>
      <c r="S9812" s="8">
        <v>15.9</v>
      </c>
      <c r="T9812" s="8">
        <v>0.8</v>
      </c>
      <c r="U9812" s="8">
        <v>13.3</v>
      </c>
      <c r="V9812" s="8">
        <v>0.7</v>
      </c>
      <c r="W9812" s="8">
        <v>0.3</v>
      </c>
      <c r="X9812" s="8">
        <v>173</v>
      </c>
      <c r="Y9812" s="8" t="s">
        <v>42154</v>
      </c>
      <c r="Z9812" s="8" t="s">
        <v>42155</v>
      </c>
    </row>
    <row r="9813" spans="1:26" x14ac:dyDescent="0.2">
      <c r="A9813" s="8">
        <v>9812</v>
      </c>
      <c r="B9813" s="8" t="s">
        <v>42277</v>
      </c>
      <c r="C9813" s="8" t="s">
        <v>42277</v>
      </c>
      <c r="G9813" s="8">
        <v>20</v>
      </c>
      <c r="H9813" s="8" t="s">
        <v>21</v>
      </c>
      <c r="I9813" s="8" t="s">
        <v>22</v>
      </c>
      <c r="J9813" s="8" t="s">
        <v>22</v>
      </c>
      <c r="K9813" s="8" t="s">
        <v>42046</v>
      </c>
      <c r="L9813" s="8" t="s">
        <v>4263</v>
      </c>
      <c r="M9813" s="8" t="s">
        <v>4264</v>
      </c>
      <c r="N9813" s="8" t="s">
        <v>42278</v>
      </c>
      <c r="O9813" s="8">
        <f>3+36/60+21.2/3600</f>
        <v>3.6058888888888889</v>
      </c>
      <c r="P9813" s="8" t="s">
        <v>42279</v>
      </c>
      <c r="Q9813" s="8">
        <f>-(51+58/60+4/3600)</f>
        <v>-51.967777777777776</v>
      </c>
      <c r="R9813" s="8">
        <v>15.6</v>
      </c>
      <c r="S9813" s="8">
        <v>16.399999999999999</v>
      </c>
      <c r="T9813" s="8">
        <v>0.8</v>
      </c>
      <c r="U9813" s="8">
        <v>13.5</v>
      </c>
      <c r="V9813" s="8">
        <v>0.8</v>
      </c>
      <c r="W9813" s="8">
        <v>0.2</v>
      </c>
      <c r="X9813" s="8">
        <v>154</v>
      </c>
      <c r="Y9813" s="8" t="s">
        <v>42280</v>
      </c>
      <c r="Z9813" s="8" t="s">
        <v>2572</v>
      </c>
    </row>
    <row r="9814" spans="1:26" x14ac:dyDescent="0.2">
      <c r="A9814" s="8">
        <v>9813</v>
      </c>
      <c r="B9814" s="8" t="s">
        <v>42281</v>
      </c>
      <c r="C9814" s="8" t="s">
        <v>42281</v>
      </c>
      <c r="G9814" s="8">
        <v>20</v>
      </c>
      <c r="H9814" s="8" t="s">
        <v>21</v>
      </c>
      <c r="I9814" s="8" t="s">
        <v>22</v>
      </c>
      <c r="J9814" s="8" t="s">
        <v>22</v>
      </c>
      <c r="K9814" s="8" t="s">
        <v>449</v>
      </c>
      <c r="L9814" s="8" t="s">
        <v>4263</v>
      </c>
      <c r="M9814" s="8" t="s">
        <v>4264</v>
      </c>
      <c r="N9814" s="8" t="s">
        <v>42282</v>
      </c>
      <c r="O9814" s="8">
        <f>3+36/60+20.9/3600</f>
        <v>3.6058055555555555</v>
      </c>
      <c r="P9814" s="8" t="s">
        <v>42283</v>
      </c>
      <c r="Q9814" s="8">
        <f>-(51+59/60+38/3600)</f>
        <v>-51.99388888888889</v>
      </c>
      <c r="R9814" s="8">
        <v>15.9</v>
      </c>
      <c r="S9814" s="8">
        <v>16.7</v>
      </c>
      <c r="T9814" s="8">
        <v>0.8</v>
      </c>
      <c r="U9814" s="8">
        <v>13.3</v>
      </c>
      <c r="V9814" s="8">
        <v>0.5</v>
      </c>
      <c r="W9814" s="8">
        <v>0.2</v>
      </c>
      <c r="X9814" s="8">
        <v>11</v>
      </c>
      <c r="Y9814" s="8" t="s">
        <v>42280</v>
      </c>
      <c r="Z9814" s="8" t="s">
        <v>2572</v>
      </c>
    </row>
    <row r="9815" spans="1:26" x14ac:dyDescent="0.2">
      <c r="A9815" s="8">
        <v>9814</v>
      </c>
      <c r="B9815" s="8" t="s">
        <v>42284</v>
      </c>
      <c r="C9815" s="8" t="s">
        <v>42284</v>
      </c>
      <c r="G9815" s="8">
        <v>20</v>
      </c>
      <c r="H9815" s="8" t="s">
        <v>21</v>
      </c>
      <c r="I9815" s="8" t="s">
        <v>22</v>
      </c>
      <c r="J9815" s="8" t="s">
        <v>22</v>
      </c>
      <c r="K9815" s="8" t="s">
        <v>42046</v>
      </c>
      <c r="L9815" s="8" t="s">
        <v>4263</v>
      </c>
      <c r="M9815" s="8" t="s">
        <v>4264</v>
      </c>
      <c r="N9815" s="8" t="s">
        <v>42285</v>
      </c>
      <c r="O9815" s="8">
        <f>3+36/60+42.2/3600</f>
        <v>3.6117222222222223</v>
      </c>
      <c r="P9815" s="8" t="s">
        <v>42286</v>
      </c>
      <c r="Q9815" s="8">
        <f>-(49+33/60+1/3600)</f>
        <v>-49.550277777777772</v>
      </c>
      <c r="R9815" s="8">
        <v>15.1</v>
      </c>
      <c r="S9815" s="8">
        <v>15.9</v>
      </c>
      <c r="T9815" s="8">
        <v>0.8</v>
      </c>
      <c r="U9815" s="8">
        <v>13.4</v>
      </c>
      <c r="V9815" s="8">
        <v>0.8</v>
      </c>
      <c r="W9815" s="8">
        <v>0.3</v>
      </c>
      <c r="X9815" s="8">
        <v>160</v>
      </c>
      <c r="Y9815" s="8" t="s">
        <v>42115</v>
      </c>
      <c r="Z9815" s="8" t="s">
        <v>42116</v>
      </c>
    </row>
    <row r="9816" spans="1:26" x14ac:dyDescent="0.2">
      <c r="A9816" s="8">
        <v>9815</v>
      </c>
      <c r="B9816" s="8" t="s">
        <v>42287</v>
      </c>
      <c r="C9816" s="8" t="s">
        <v>42287</v>
      </c>
      <c r="G9816" s="8">
        <v>20</v>
      </c>
      <c r="H9816" s="8" t="s">
        <v>21</v>
      </c>
      <c r="I9816" s="8" t="s">
        <v>22</v>
      </c>
      <c r="J9816" s="8" t="s">
        <v>22</v>
      </c>
      <c r="K9816" s="8" t="s">
        <v>1174</v>
      </c>
      <c r="L9816" s="8" t="s">
        <v>3328</v>
      </c>
      <c r="M9816" s="8" t="s">
        <v>3329</v>
      </c>
      <c r="N9816" s="8" t="s">
        <v>42288</v>
      </c>
      <c r="O9816" s="8">
        <f>3+39/60+3.5/3600</f>
        <v>3.6509722222222223</v>
      </c>
      <c r="P9816" s="8" t="s">
        <v>42289</v>
      </c>
      <c r="Q9816" s="8">
        <f>-(15+29/60+59/3600)</f>
        <v>-15.499722222222221</v>
      </c>
      <c r="R9816" s="8">
        <v>14.8</v>
      </c>
      <c r="S9816" s="8">
        <v>15.6</v>
      </c>
      <c r="T9816" s="8">
        <v>0.8</v>
      </c>
      <c r="U9816" s="8">
        <v>12</v>
      </c>
      <c r="V9816" s="8">
        <v>0.3</v>
      </c>
      <c r="W9816" s="8">
        <v>0.3</v>
      </c>
      <c r="Y9816" s="8" t="s">
        <v>21</v>
      </c>
      <c r="Z9816" s="8" t="s">
        <v>42290</v>
      </c>
    </row>
    <row r="9817" spans="1:26" x14ac:dyDescent="0.2">
      <c r="A9817" s="8">
        <v>9816</v>
      </c>
      <c r="B9817" s="8" t="s">
        <v>42291</v>
      </c>
      <c r="C9817" s="8" t="s">
        <v>42291</v>
      </c>
      <c r="G9817" s="8">
        <v>20</v>
      </c>
      <c r="H9817" s="8" t="s">
        <v>21</v>
      </c>
      <c r="I9817" s="8" t="s">
        <v>22</v>
      </c>
      <c r="J9817" s="8" t="s">
        <v>22</v>
      </c>
      <c r="K9817" s="8" t="s">
        <v>42046</v>
      </c>
      <c r="L9817" s="8" t="s">
        <v>4263</v>
      </c>
      <c r="M9817" s="8" t="s">
        <v>4264</v>
      </c>
      <c r="N9817" s="8" t="s">
        <v>42292</v>
      </c>
      <c r="O9817" s="8">
        <f>3+37/60+8.9/3600</f>
        <v>3.6191388888888891</v>
      </c>
      <c r="P9817" s="8" t="s">
        <v>42293</v>
      </c>
      <c r="Q9817" s="8">
        <f>-(47+26/60+16/3600)</f>
        <v>-47.437777777777775</v>
      </c>
      <c r="R9817" s="8">
        <v>15</v>
      </c>
      <c r="S9817" s="8">
        <v>15.8</v>
      </c>
      <c r="T9817" s="8">
        <v>0.8</v>
      </c>
      <c r="U9817" s="8">
        <v>13.9</v>
      </c>
      <c r="V9817" s="8">
        <v>0.8</v>
      </c>
      <c r="W9817" s="8">
        <v>0.5</v>
      </c>
      <c r="X9817" s="8">
        <v>122</v>
      </c>
      <c r="Y9817" s="8" t="s">
        <v>1829</v>
      </c>
      <c r="Z9817" s="8" t="s">
        <v>1830</v>
      </c>
    </row>
    <row r="9818" spans="1:26" x14ac:dyDescent="0.2">
      <c r="A9818" s="8">
        <v>9817</v>
      </c>
      <c r="B9818" s="8" t="s">
        <v>42294</v>
      </c>
      <c r="C9818" s="8" t="s">
        <v>42294</v>
      </c>
      <c r="G9818" s="8">
        <v>20</v>
      </c>
      <c r="H9818" s="8" t="s">
        <v>21</v>
      </c>
      <c r="I9818" s="8" t="s">
        <v>22</v>
      </c>
      <c r="J9818" s="8" t="s">
        <v>22</v>
      </c>
      <c r="K9818" s="8" t="s">
        <v>218</v>
      </c>
      <c r="L9818" s="8" t="s">
        <v>6115</v>
      </c>
      <c r="M9818" s="8" t="s">
        <v>6116</v>
      </c>
      <c r="N9818" s="8" t="s">
        <v>42295</v>
      </c>
      <c r="O9818" s="8">
        <f>3+40/60+45/3600</f>
        <v>3.6791666666666667</v>
      </c>
      <c r="P9818" s="8" t="s">
        <v>42296</v>
      </c>
      <c r="Q9818" s="8">
        <f>+(17+44/60+27/3600)</f>
        <v>17.740833333333335</v>
      </c>
      <c r="R9818" s="8">
        <v>13.5</v>
      </c>
      <c r="S9818" s="8">
        <v>14.3</v>
      </c>
      <c r="T9818" s="8">
        <v>0.8</v>
      </c>
      <c r="U9818" s="8">
        <v>13.5</v>
      </c>
      <c r="V9818" s="8">
        <v>1.4</v>
      </c>
      <c r="W9818" s="8">
        <v>0.8</v>
      </c>
      <c r="X9818" s="8">
        <v>177</v>
      </c>
      <c r="Y9818" s="8" t="s">
        <v>42297</v>
      </c>
      <c r="Z9818" s="8" t="s">
        <v>42298</v>
      </c>
    </row>
    <row r="9819" spans="1:26" x14ac:dyDescent="0.2">
      <c r="A9819" s="8">
        <v>9818</v>
      </c>
      <c r="B9819" s="8" t="s">
        <v>42299</v>
      </c>
      <c r="C9819" s="8" t="s">
        <v>42299</v>
      </c>
      <c r="G9819" s="8">
        <v>20</v>
      </c>
      <c r="H9819" s="8" t="s">
        <v>21</v>
      </c>
      <c r="I9819" s="8" t="s">
        <v>22</v>
      </c>
      <c r="J9819" s="8" t="s">
        <v>22</v>
      </c>
      <c r="K9819" s="8" t="s">
        <v>31</v>
      </c>
      <c r="L9819" s="8" t="s">
        <v>4263</v>
      </c>
      <c r="M9819" s="8" t="s">
        <v>4264</v>
      </c>
      <c r="N9819" s="8" t="s">
        <v>42300</v>
      </c>
      <c r="O9819" s="8">
        <f>3+37/60+5.5/3600</f>
        <v>3.6181944444444443</v>
      </c>
      <c r="P9819" s="8" t="s">
        <v>42301</v>
      </c>
      <c r="Q9819" s="8">
        <f>-(50+9/60+4/3600)</f>
        <v>-50.151111111111106</v>
      </c>
      <c r="R9819" s="8">
        <v>14.9</v>
      </c>
      <c r="S9819" s="8">
        <v>15.7</v>
      </c>
      <c r="T9819" s="8">
        <v>0.8</v>
      </c>
      <c r="U9819" s="8">
        <v>13.1</v>
      </c>
      <c r="V9819" s="8">
        <v>1.1000000000000001</v>
      </c>
      <c r="W9819" s="8">
        <v>0.2</v>
      </c>
      <c r="X9819" s="8">
        <v>7</v>
      </c>
      <c r="Y9819" s="8" t="s">
        <v>42063</v>
      </c>
      <c r="Z9819" s="8" t="s">
        <v>42064</v>
      </c>
    </row>
    <row r="9820" spans="1:26" x14ac:dyDescent="0.2">
      <c r="A9820" s="8">
        <v>9819</v>
      </c>
      <c r="B9820" s="8" t="s">
        <v>42302</v>
      </c>
      <c r="C9820" s="8" t="s">
        <v>42302</v>
      </c>
      <c r="G9820" s="8">
        <v>20</v>
      </c>
      <c r="H9820" s="8" t="s">
        <v>21</v>
      </c>
      <c r="I9820" s="8" t="s">
        <v>72</v>
      </c>
      <c r="J9820" s="8" t="s">
        <v>72</v>
      </c>
      <c r="K9820" s="8" t="s">
        <v>73</v>
      </c>
      <c r="L9820" s="8" t="s">
        <v>6120</v>
      </c>
      <c r="M9820" s="8" t="s">
        <v>6121</v>
      </c>
      <c r="N9820" s="8" t="s">
        <v>6455</v>
      </c>
      <c r="O9820" s="8">
        <f>3+36/60+46.3/3600</f>
        <v>3.6128611111111111</v>
      </c>
      <c r="P9820" s="8" t="s">
        <v>42303</v>
      </c>
      <c r="Q9820" s="8">
        <f>-(57+56/60+40/3600)</f>
        <v>-57.944444444444443</v>
      </c>
      <c r="R9820" s="8">
        <v>99</v>
      </c>
      <c r="S9820" s="8">
        <v>99</v>
      </c>
      <c r="T9820" s="8">
        <v>99</v>
      </c>
      <c r="U9820" s="8">
        <v>99</v>
      </c>
      <c r="Y9820" s="8" t="s">
        <v>21</v>
      </c>
      <c r="Z9820" s="8" t="s">
        <v>42304</v>
      </c>
    </row>
    <row r="9821" spans="1:26" x14ac:dyDescent="0.2">
      <c r="A9821" s="8">
        <v>9820</v>
      </c>
      <c r="B9821" s="8" t="s">
        <v>42305</v>
      </c>
      <c r="C9821" s="8" t="s">
        <v>42305</v>
      </c>
      <c r="G9821" s="8">
        <v>20</v>
      </c>
      <c r="H9821" s="8" t="s">
        <v>21</v>
      </c>
      <c r="I9821" s="8" t="s">
        <v>22</v>
      </c>
      <c r="J9821" s="8" t="s">
        <v>22</v>
      </c>
      <c r="K9821" s="8" t="s">
        <v>23</v>
      </c>
      <c r="L9821" s="8" t="s">
        <v>6120</v>
      </c>
      <c r="M9821" s="8" t="s">
        <v>6121</v>
      </c>
      <c r="N9821" s="8" t="s">
        <v>42306</v>
      </c>
      <c r="O9821" s="8">
        <f>3+36/60+58.9/3600</f>
        <v>3.6163611111111114</v>
      </c>
      <c r="P9821" s="8" t="s">
        <v>42307</v>
      </c>
      <c r="Q9821" s="8">
        <f>-(57+58/60+25/3600)</f>
        <v>-57.973611111111111</v>
      </c>
      <c r="R9821" s="8">
        <v>14.2</v>
      </c>
      <c r="S9821" s="8">
        <v>15</v>
      </c>
      <c r="T9821" s="8">
        <v>0.8</v>
      </c>
      <c r="U9821" s="8">
        <v>13</v>
      </c>
      <c r="V9821" s="8">
        <v>1.1000000000000001</v>
      </c>
      <c r="W9821" s="8">
        <v>0.5</v>
      </c>
      <c r="X9821" s="8">
        <v>20</v>
      </c>
      <c r="Y9821" s="8" t="s">
        <v>21</v>
      </c>
      <c r="Z9821" s="8" t="s">
        <v>42308</v>
      </c>
    </row>
    <row r="9822" spans="1:26" x14ac:dyDescent="0.2">
      <c r="A9822" s="8">
        <v>9821</v>
      </c>
      <c r="B9822" s="8" t="s">
        <v>42309</v>
      </c>
      <c r="C9822" s="8" t="s">
        <v>42309</v>
      </c>
      <c r="G9822" s="8">
        <v>20</v>
      </c>
      <c r="H9822" s="8" t="s">
        <v>21</v>
      </c>
      <c r="I9822" s="8" t="s">
        <v>22</v>
      </c>
      <c r="J9822" s="8" t="s">
        <v>57</v>
      </c>
      <c r="K9822" s="8" t="s">
        <v>224</v>
      </c>
      <c r="L9822" s="8" t="s">
        <v>3335</v>
      </c>
      <c r="M9822" s="8" t="s">
        <v>3336</v>
      </c>
      <c r="N9822" s="8" t="s">
        <v>6564</v>
      </c>
      <c r="O9822" s="8">
        <f>3+40/60+29.3/3600</f>
        <v>3.6748055555555554</v>
      </c>
      <c r="P9822" s="8" t="s">
        <v>6565</v>
      </c>
      <c r="Q9822" s="8">
        <f>-(26+51/60+43/3600)</f>
        <v>-26.861944444444447</v>
      </c>
      <c r="R9822" s="8">
        <v>12.5</v>
      </c>
      <c r="S9822" s="8">
        <v>13.5</v>
      </c>
      <c r="T9822" s="8">
        <v>1</v>
      </c>
      <c r="U9822" s="8">
        <v>12.6</v>
      </c>
      <c r="V9822" s="8">
        <v>1.8</v>
      </c>
      <c r="W9822" s="8">
        <v>0.7</v>
      </c>
      <c r="X9822" s="8">
        <v>131</v>
      </c>
      <c r="Y9822" s="8" t="s">
        <v>42310</v>
      </c>
      <c r="Z9822" s="8" t="s">
        <v>42311</v>
      </c>
    </row>
    <row r="9823" spans="1:26" x14ac:dyDescent="0.2">
      <c r="A9823" s="8">
        <v>9822</v>
      </c>
      <c r="B9823" s="8" t="s">
        <v>42312</v>
      </c>
      <c r="C9823" s="8" t="s">
        <v>42312</v>
      </c>
      <c r="G9823" s="8">
        <v>20</v>
      </c>
      <c r="H9823" s="8" t="s">
        <v>21</v>
      </c>
      <c r="I9823" s="8" t="s">
        <v>22</v>
      </c>
      <c r="J9823" s="8" t="s">
        <v>22</v>
      </c>
      <c r="K9823" s="8" t="s">
        <v>31</v>
      </c>
      <c r="L9823" s="8" t="s">
        <v>6120</v>
      </c>
      <c r="M9823" s="8" t="s">
        <v>6121</v>
      </c>
      <c r="N9823" s="8" t="s">
        <v>42313</v>
      </c>
      <c r="O9823" s="8">
        <f>3+37/60+42.4/3600</f>
        <v>3.6284444444444444</v>
      </c>
      <c r="P9823" s="8" t="s">
        <v>42314</v>
      </c>
      <c r="Q9823" s="8">
        <f>-(57+46/60+35/3600)</f>
        <v>-57.776388888888889</v>
      </c>
      <c r="R9823" s="8">
        <v>14.8</v>
      </c>
      <c r="S9823" s="8">
        <v>15.6</v>
      </c>
      <c r="T9823" s="8">
        <v>0.8</v>
      </c>
      <c r="U9823" s="8">
        <v>13.1</v>
      </c>
      <c r="V9823" s="8">
        <v>0.5</v>
      </c>
      <c r="W9823" s="8">
        <v>0.5</v>
      </c>
      <c r="Y9823" s="8" t="s">
        <v>42315</v>
      </c>
      <c r="Z9823" s="8" t="s">
        <v>42316</v>
      </c>
    </row>
    <row r="9824" spans="1:26" x14ac:dyDescent="0.2">
      <c r="A9824" s="8">
        <v>9823</v>
      </c>
      <c r="B9824" s="8" t="s">
        <v>42317</v>
      </c>
      <c r="C9824" s="8" t="s">
        <v>42317</v>
      </c>
      <c r="G9824" s="8">
        <v>20</v>
      </c>
      <c r="H9824" s="8" t="s">
        <v>21</v>
      </c>
      <c r="I9824" s="8" t="s">
        <v>22</v>
      </c>
      <c r="J9824" s="8" t="s">
        <v>57</v>
      </c>
      <c r="K9824" s="8" t="s">
        <v>632</v>
      </c>
      <c r="L9824" s="8" t="s">
        <v>3328</v>
      </c>
      <c r="M9824" s="8" t="s">
        <v>3329</v>
      </c>
      <c r="N9824" s="8" t="s">
        <v>6577</v>
      </c>
      <c r="O9824" s="8">
        <f>3+40/60+56.9/3600</f>
        <v>3.6824722222222221</v>
      </c>
      <c r="P9824" s="8" t="s">
        <v>6578</v>
      </c>
      <c r="Q9824" s="8">
        <f>-(22+33/60+51/3600)</f>
        <v>-22.564166666666669</v>
      </c>
      <c r="R9824" s="8">
        <v>11.9</v>
      </c>
      <c r="S9824" s="8">
        <v>12.8</v>
      </c>
      <c r="T9824" s="8">
        <v>0.9</v>
      </c>
      <c r="U9824" s="8">
        <v>13.7</v>
      </c>
      <c r="V9824" s="8">
        <v>3.6</v>
      </c>
      <c r="W9824" s="8">
        <v>1.7</v>
      </c>
      <c r="X9824" s="8">
        <v>148</v>
      </c>
      <c r="Y9824" s="8" t="s">
        <v>237</v>
      </c>
      <c r="Z9824" s="8" t="s">
        <v>238</v>
      </c>
    </row>
    <row r="9825" spans="1:26" x14ac:dyDescent="0.2">
      <c r="A9825" s="8">
        <v>9824</v>
      </c>
      <c r="B9825" s="8" t="s">
        <v>42318</v>
      </c>
      <c r="C9825" s="8" t="s">
        <v>42318</v>
      </c>
      <c r="G9825" s="8">
        <v>20</v>
      </c>
      <c r="H9825" s="8" t="s">
        <v>21</v>
      </c>
      <c r="I9825" s="8" t="s">
        <v>22</v>
      </c>
      <c r="J9825" s="8" t="s">
        <v>22</v>
      </c>
      <c r="K9825" s="8" t="s">
        <v>396</v>
      </c>
      <c r="L9825" s="8" t="s">
        <v>4263</v>
      </c>
      <c r="M9825" s="8" t="s">
        <v>4264</v>
      </c>
      <c r="N9825" s="8" t="s">
        <v>42319</v>
      </c>
      <c r="O9825" s="8">
        <f>3+39/60+50.2/3600</f>
        <v>3.6639444444444442</v>
      </c>
      <c r="P9825" s="8" t="s">
        <v>42320</v>
      </c>
      <c r="Q9825" s="8">
        <f>-(47+4/60+35/3600)</f>
        <v>-47.076388888888893</v>
      </c>
      <c r="R9825" s="8">
        <v>15.2</v>
      </c>
      <c r="S9825" s="8">
        <v>16</v>
      </c>
      <c r="T9825" s="8">
        <v>0.8</v>
      </c>
      <c r="U9825" s="8">
        <v>12.9</v>
      </c>
      <c r="V9825" s="8">
        <v>0.7</v>
      </c>
      <c r="W9825" s="8">
        <v>0.2</v>
      </c>
      <c r="X9825" s="8">
        <v>140</v>
      </c>
      <c r="Y9825" s="8" t="s">
        <v>42321</v>
      </c>
      <c r="Z9825" s="8" t="s">
        <v>42322</v>
      </c>
    </row>
    <row r="9826" spans="1:26" x14ac:dyDescent="0.2">
      <c r="A9826" s="8">
        <v>9825</v>
      </c>
      <c r="B9826" s="8" t="s">
        <v>42323</v>
      </c>
      <c r="C9826" s="8" t="s">
        <v>42323</v>
      </c>
      <c r="G9826" s="8">
        <v>20</v>
      </c>
      <c r="H9826" s="8" t="s">
        <v>21</v>
      </c>
      <c r="I9826" s="8" t="s">
        <v>557</v>
      </c>
      <c r="J9826" s="8" t="s">
        <v>57</v>
      </c>
      <c r="K9826" s="8" t="s">
        <v>36063</v>
      </c>
      <c r="L9826" s="8" t="s">
        <v>3147</v>
      </c>
      <c r="M9826" s="8" t="s">
        <v>3148</v>
      </c>
      <c r="N9826" s="8" t="s">
        <v>36064</v>
      </c>
      <c r="O9826" s="8">
        <f>3+44/60+34.1/3600</f>
        <v>3.7428055555555555</v>
      </c>
      <c r="P9826" s="8" t="s">
        <v>36065</v>
      </c>
      <c r="Q9826" s="8">
        <f>+(32+9/60+47/3600)</f>
        <v>32.163055555555552</v>
      </c>
      <c r="R9826" s="8">
        <v>7.3</v>
      </c>
      <c r="S9826" s="8">
        <v>99</v>
      </c>
      <c r="T9826" s="8">
        <v>99</v>
      </c>
      <c r="U9826" s="8">
        <v>99</v>
      </c>
      <c r="V9826" s="8">
        <v>10</v>
      </c>
      <c r="Y9826" s="8" t="s">
        <v>21</v>
      </c>
      <c r="Z9826" s="8" t="s">
        <v>42324</v>
      </c>
    </row>
    <row r="9827" spans="1:26" x14ac:dyDescent="0.2">
      <c r="A9827" s="8">
        <v>9826</v>
      </c>
      <c r="B9827" s="8" t="s">
        <v>42325</v>
      </c>
      <c r="C9827" s="8" t="s">
        <v>42325</v>
      </c>
      <c r="G9827" s="8">
        <v>20</v>
      </c>
      <c r="H9827" s="8" t="s">
        <v>21</v>
      </c>
      <c r="I9827" s="8" t="s">
        <v>22</v>
      </c>
      <c r="J9827" s="8" t="s">
        <v>22</v>
      </c>
      <c r="K9827" s="8" t="s">
        <v>4103</v>
      </c>
      <c r="L9827" s="8" t="s">
        <v>4263</v>
      </c>
      <c r="M9827" s="8" t="s">
        <v>4264</v>
      </c>
      <c r="N9827" s="8" t="s">
        <v>42326</v>
      </c>
      <c r="O9827" s="8">
        <f>3+40/60+35.2/3600</f>
        <v>3.6764444444444444</v>
      </c>
      <c r="P9827" s="8" t="s">
        <v>42327</v>
      </c>
      <c r="Q9827" s="8">
        <f>-(45+21/60+21/3600)</f>
        <v>-45.355833333333337</v>
      </c>
      <c r="R9827" s="8">
        <v>14.3</v>
      </c>
      <c r="S9827" s="8">
        <v>14.9</v>
      </c>
      <c r="T9827" s="8">
        <v>0.6</v>
      </c>
      <c r="U9827" s="8">
        <v>13.7</v>
      </c>
      <c r="V9827" s="8">
        <v>1</v>
      </c>
      <c r="W9827" s="8">
        <v>0.7</v>
      </c>
      <c r="X9827" s="8">
        <v>120</v>
      </c>
      <c r="Y9827" s="8" t="s">
        <v>42328</v>
      </c>
      <c r="Z9827" s="8" t="s">
        <v>42329</v>
      </c>
    </row>
    <row r="9828" spans="1:26" x14ac:dyDescent="0.2">
      <c r="A9828" s="8">
        <v>9827</v>
      </c>
      <c r="B9828" s="8" t="s">
        <v>42330</v>
      </c>
      <c r="C9828" s="8" t="s">
        <v>42330</v>
      </c>
      <c r="E9828" s="8">
        <v>1</v>
      </c>
      <c r="G9828" s="8">
        <v>20</v>
      </c>
      <c r="H9828" s="8" t="s">
        <v>21</v>
      </c>
      <c r="I9828" s="8" t="s">
        <v>22</v>
      </c>
      <c r="J9828" s="8" t="s">
        <v>22</v>
      </c>
      <c r="K9828" s="8" t="s">
        <v>1136</v>
      </c>
      <c r="L9828" s="8" t="s">
        <v>6120</v>
      </c>
      <c r="M9828" s="8" t="s">
        <v>6121</v>
      </c>
      <c r="N9828" s="8" t="s">
        <v>6569</v>
      </c>
      <c r="O9828" s="8">
        <f>3+40/60+11.5/3600</f>
        <v>3.669861111111111</v>
      </c>
      <c r="P9828" s="8" t="s">
        <v>42331</v>
      </c>
      <c r="Q9828" s="8">
        <f>-(55+3/60+33/3600)</f>
        <v>-55.059166666666663</v>
      </c>
      <c r="R9828" s="8">
        <v>14.9</v>
      </c>
      <c r="S9828" s="8">
        <v>15.9</v>
      </c>
      <c r="T9828" s="8">
        <v>1</v>
      </c>
      <c r="U9828" s="8">
        <v>13.2</v>
      </c>
      <c r="V9828" s="8">
        <v>0.5</v>
      </c>
      <c r="W9828" s="8">
        <v>0.4</v>
      </c>
      <c r="Y9828" s="8" t="s">
        <v>385</v>
      </c>
      <c r="Z9828" s="8" t="s">
        <v>386</v>
      </c>
    </row>
    <row r="9829" spans="1:26" x14ac:dyDescent="0.2">
      <c r="A9829" s="8">
        <v>9828</v>
      </c>
      <c r="B9829" s="8" t="s">
        <v>42332</v>
      </c>
      <c r="C9829" s="8" t="s">
        <v>42332</v>
      </c>
      <c r="G9829" s="8">
        <v>20</v>
      </c>
      <c r="H9829" s="8" t="s">
        <v>21</v>
      </c>
      <c r="I9829" s="8" t="s">
        <v>329</v>
      </c>
      <c r="J9829" s="8" t="s">
        <v>329</v>
      </c>
      <c r="K9829" s="8" t="s">
        <v>329</v>
      </c>
      <c r="L9829" s="8" t="s">
        <v>3328</v>
      </c>
      <c r="M9829" s="8" t="s">
        <v>3329</v>
      </c>
      <c r="N9829" s="8" t="s">
        <v>42333</v>
      </c>
      <c r="O9829" s="8">
        <f>3+42/60+45/3600</f>
        <v>3.7125000000000004</v>
      </c>
      <c r="P9829" s="8" t="s">
        <v>42334</v>
      </c>
      <c r="Q9829" s="8">
        <f>-(39+53/60+13/3600)</f>
        <v>-39.886944444444445</v>
      </c>
      <c r="R9829" s="8">
        <v>99</v>
      </c>
      <c r="S9829" s="8">
        <v>99</v>
      </c>
      <c r="T9829" s="8">
        <v>99</v>
      </c>
      <c r="U9829" s="8">
        <v>99</v>
      </c>
      <c r="Y9829" s="8" t="s">
        <v>21</v>
      </c>
      <c r="Z9829" s="8" t="s">
        <v>42335</v>
      </c>
    </row>
    <row r="9830" spans="1:26" x14ac:dyDescent="0.2">
      <c r="A9830" s="8">
        <v>9829</v>
      </c>
      <c r="B9830" s="8" t="s">
        <v>42336</v>
      </c>
      <c r="C9830" s="8" t="s">
        <v>42336</v>
      </c>
      <c r="G9830" s="8">
        <v>20</v>
      </c>
      <c r="H9830" s="8" t="s">
        <v>21</v>
      </c>
      <c r="I9830" s="8" t="s">
        <v>22</v>
      </c>
      <c r="J9830" s="8" t="s">
        <v>22</v>
      </c>
      <c r="K9830" s="8" t="s">
        <v>58</v>
      </c>
      <c r="L9830" s="8" t="s">
        <v>4263</v>
      </c>
      <c r="M9830" s="8" t="s">
        <v>4264</v>
      </c>
      <c r="N9830" s="8" t="s">
        <v>42337</v>
      </c>
      <c r="O9830" s="8">
        <f>3+41/60+54.4/3600</f>
        <v>3.6984444444444446</v>
      </c>
      <c r="P9830" s="8" t="s">
        <v>42338</v>
      </c>
      <c r="Q9830" s="8">
        <f>-(50+57/60+28/3600)</f>
        <v>-50.957777777777778</v>
      </c>
      <c r="R9830" s="8">
        <v>13.5</v>
      </c>
      <c r="S9830" s="8">
        <v>14.5</v>
      </c>
      <c r="T9830" s="8">
        <v>1</v>
      </c>
      <c r="U9830" s="8">
        <v>12.7</v>
      </c>
      <c r="V9830" s="8">
        <v>1.1000000000000001</v>
      </c>
      <c r="W9830" s="8">
        <v>0.7</v>
      </c>
      <c r="X9830" s="8">
        <v>131</v>
      </c>
      <c r="Y9830" s="8" t="s">
        <v>1588</v>
      </c>
      <c r="Z9830" s="8" t="s">
        <v>42339</v>
      </c>
    </row>
    <row r="9831" spans="1:26" x14ac:dyDescent="0.2">
      <c r="A9831" s="8">
        <v>9830</v>
      </c>
      <c r="B9831" s="8" t="s">
        <v>42340</v>
      </c>
      <c r="C9831" s="8" t="s">
        <v>42340</v>
      </c>
      <c r="G9831" s="8">
        <v>20</v>
      </c>
      <c r="H9831" s="8" t="s">
        <v>21</v>
      </c>
      <c r="I9831" s="8" t="s">
        <v>1283</v>
      </c>
      <c r="J9831" s="8" t="s">
        <v>1283</v>
      </c>
      <c r="K9831" s="8" t="s">
        <v>1284</v>
      </c>
      <c r="L9831" s="8" t="s">
        <v>6115</v>
      </c>
      <c r="M9831" s="8" t="s">
        <v>6116</v>
      </c>
      <c r="N9831" s="8" t="s">
        <v>42341</v>
      </c>
      <c r="O9831" s="8">
        <f>3+47/60+13.8/3600</f>
        <v>3.7871666666666663</v>
      </c>
      <c r="P9831" s="8" t="s">
        <v>42342</v>
      </c>
      <c r="Q9831" s="8">
        <f>+(24+20/60+2/3600)</f>
        <v>24.333888888888886</v>
      </c>
      <c r="R9831" s="8">
        <v>99</v>
      </c>
      <c r="S9831" s="8">
        <v>99</v>
      </c>
      <c r="T9831" s="8">
        <v>99</v>
      </c>
      <c r="U9831" s="8">
        <v>99</v>
      </c>
      <c r="Y9831" s="8" t="s">
        <v>21</v>
      </c>
      <c r="Z9831" s="8" t="s">
        <v>42343</v>
      </c>
    </row>
    <row r="9832" spans="1:26" x14ac:dyDescent="0.2">
      <c r="A9832" s="8">
        <v>9831</v>
      </c>
      <c r="B9832" s="8" t="s">
        <v>42344</v>
      </c>
      <c r="C9832" s="8" t="s">
        <v>42344</v>
      </c>
      <c r="G9832" s="8">
        <v>20</v>
      </c>
      <c r="H9832" s="8" t="s">
        <v>21</v>
      </c>
      <c r="I9832" s="8" t="s">
        <v>22</v>
      </c>
      <c r="J9832" s="8" t="s">
        <v>22</v>
      </c>
      <c r="K9832" s="8" t="s">
        <v>42046</v>
      </c>
      <c r="L9832" s="8" t="s">
        <v>4263</v>
      </c>
      <c r="M9832" s="8" t="s">
        <v>4264</v>
      </c>
      <c r="N9832" s="8" t="s">
        <v>42345</v>
      </c>
      <c r="O9832" s="8">
        <f>3+44/60+46.4/3600</f>
        <v>3.7462222222222223</v>
      </c>
      <c r="P9832" s="8" t="s">
        <v>42346</v>
      </c>
      <c r="Q9832" s="8">
        <f>-(51+31/60+26/3600)</f>
        <v>-51.523888888888891</v>
      </c>
      <c r="R9832" s="8">
        <v>15.4</v>
      </c>
      <c r="S9832" s="8">
        <v>16.2</v>
      </c>
      <c r="T9832" s="8">
        <v>0.8</v>
      </c>
      <c r="U9832" s="8">
        <v>13.6</v>
      </c>
      <c r="V9832" s="8">
        <v>0.7</v>
      </c>
      <c r="W9832" s="8">
        <v>0.3</v>
      </c>
      <c r="X9832" s="8">
        <v>39</v>
      </c>
      <c r="Y9832" s="8" t="s">
        <v>42347</v>
      </c>
      <c r="Z9832" s="8" t="s">
        <v>42348</v>
      </c>
    </row>
    <row r="9833" spans="1:26" x14ac:dyDescent="0.2">
      <c r="A9833" s="8">
        <v>9832</v>
      </c>
      <c r="B9833" s="8" t="s">
        <v>42349</v>
      </c>
      <c r="C9833" s="8" t="s">
        <v>42349</v>
      </c>
      <c r="G9833" s="8">
        <v>20</v>
      </c>
      <c r="H9833" s="8" t="s">
        <v>21</v>
      </c>
      <c r="I9833" s="8" t="s">
        <v>329</v>
      </c>
      <c r="J9833" s="8" t="s">
        <v>329</v>
      </c>
      <c r="K9833" s="8" t="s">
        <v>329</v>
      </c>
      <c r="L9833" s="8" t="s">
        <v>4263</v>
      </c>
      <c r="M9833" s="8" t="s">
        <v>4264</v>
      </c>
      <c r="N9833" s="8" t="s">
        <v>42350</v>
      </c>
      <c r="O9833" s="8">
        <f>3+45/60+8/3600</f>
        <v>3.7522222222222221</v>
      </c>
      <c r="P9833" s="8" t="s">
        <v>42351</v>
      </c>
      <c r="Q9833" s="8">
        <f>-(51+0/60+18/3600)</f>
        <v>-51.005000000000003</v>
      </c>
      <c r="R9833" s="8">
        <v>99</v>
      </c>
      <c r="S9833" s="8">
        <v>99</v>
      </c>
      <c r="T9833" s="8">
        <v>99</v>
      </c>
      <c r="U9833" s="8">
        <v>99</v>
      </c>
      <c r="Y9833" s="8" t="s">
        <v>1588</v>
      </c>
      <c r="Z9833" s="8" t="s">
        <v>42339</v>
      </c>
    </row>
    <row r="9834" spans="1:26" x14ac:dyDescent="0.2">
      <c r="A9834" s="8">
        <v>9833</v>
      </c>
      <c r="B9834" s="8" t="s">
        <v>42352</v>
      </c>
      <c r="C9834" s="8" t="s">
        <v>42352</v>
      </c>
      <c r="G9834" s="8">
        <v>20</v>
      </c>
      <c r="H9834" s="8" t="s">
        <v>21</v>
      </c>
      <c r="I9834" s="8" t="s">
        <v>22</v>
      </c>
      <c r="J9834" s="8" t="s">
        <v>22</v>
      </c>
      <c r="K9834" s="8" t="s">
        <v>218</v>
      </c>
      <c r="L9834" s="8" t="s">
        <v>3335</v>
      </c>
      <c r="M9834" s="8" t="s">
        <v>3336</v>
      </c>
      <c r="N9834" s="8" t="s">
        <v>42353</v>
      </c>
      <c r="O9834" s="8">
        <f>3+47/60+4.8/3600</f>
        <v>3.7846666666666664</v>
      </c>
      <c r="P9834" s="8" t="s">
        <v>42354</v>
      </c>
      <c r="Q9834" s="8">
        <f>-(33+42/60+38/3600)</f>
        <v>-33.710555555555558</v>
      </c>
      <c r="R9834" s="8">
        <v>11.7</v>
      </c>
      <c r="S9834" s="8">
        <v>12.4</v>
      </c>
      <c r="T9834" s="8">
        <v>0.7</v>
      </c>
      <c r="U9834" s="8">
        <v>13.2</v>
      </c>
      <c r="V9834" s="8">
        <v>2.5</v>
      </c>
      <c r="W9834" s="8">
        <v>2.2000000000000002</v>
      </c>
      <c r="X9834" s="8">
        <v>56</v>
      </c>
      <c r="Y9834" s="8" t="s">
        <v>21</v>
      </c>
      <c r="Z9834" s="8" t="s">
        <v>42355</v>
      </c>
    </row>
    <row r="9835" spans="1:26" x14ac:dyDescent="0.2">
      <c r="A9835" s="8">
        <v>9834</v>
      </c>
      <c r="B9835" s="8" t="s">
        <v>42356</v>
      </c>
      <c r="C9835" s="8" t="s">
        <v>42356</v>
      </c>
      <c r="G9835" s="8">
        <v>20</v>
      </c>
      <c r="H9835" s="8" t="s">
        <v>21</v>
      </c>
      <c r="I9835" s="8" t="s">
        <v>22</v>
      </c>
      <c r="J9835" s="8" t="s">
        <v>22</v>
      </c>
      <c r="K9835" s="8" t="s">
        <v>449</v>
      </c>
      <c r="L9835" s="8" t="s">
        <v>4263</v>
      </c>
      <c r="M9835" s="8" t="s">
        <v>4264</v>
      </c>
      <c r="N9835" s="8" t="s">
        <v>42357</v>
      </c>
      <c r="O9835" s="8">
        <f>3+45/60+55.1/3600</f>
        <v>3.7653055555555555</v>
      </c>
      <c r="P9835" s="8" t="s">
        <v>42358</v>
      </c>
      <c r="Q9835" s="8">
        <f>-(51+38/60+36/3600)</f>
        <v>-51.643333333333331</v>
      </c>
      <c r="R9835" s="8">
        <v>15.2</v>
      </c>
      <c r="S9835" s="8">
        <v>16</v>
      </c>
      <c r="T9835" s="8">
        <v>0.8</v>
      </c>
      <c r="U9835" s="8">
        <v>12.9</v>
      </c>
      <c r="V9835" s="8">
        <v>0.7</v>
      </c>
      <c r="W9835" s="8">
        <v>0.2</v>
      </c>
      <c r="X9835" s="8">
        <v>4</v>
      </c>
      <c r="Y9835" s="8" t="s">
        <v>42063</v>
      </c>
      <c r="Z9835" s="8" t="s">
        <v>42064</v>
      </c>
    </row>
    <row r="9836" spans="1:26" x14ac:dyDescent="0.2">
      <c r="A9836" s="8">
        <v>9835</v>
      </c>
      <c r="B9836" s="8" t="s">
        <v>42359</v>
      </c>
      <c r="C9836" s="8" t="s">
        <v>42359</v>
      </c>
      <c r="G9836" s="8">
        <v>20</v>
      </c>
      <c r="H9836" s="8" t="s">
        <v>21</v>
      </c>
      <c r="I9836" s="8" t="s">
        <v>1283</v>
      </c>
      <c r="J9836" s="8" t="s">
        <v>1283</v>
      </c>
      <c r="K9836" s="8" t="s">
        <v>6208</v>
      </c>
      <c r="L9836" s="8" t="s">
        <v>6115</v>
      </c>
      <c r="M9836" s="8" t="s">
        <v>6116</v>
      </c>
      <c r="N9836" s="8" t="s">
        <v>42360</v>
      </c>
      <c r="O9836" s="8">
        <f>3+50/60+18.5/3600</f>
        <v>3.8384722222222223</v>
      </c>
      <c r="P9836" s="8" t="s">
        <v>42361</v>
      </c>
      <c r="Q9836" s="8">
        <f>+(25+34/60+51/3600)</f>
        <v>25.580833333333334</v>
      </c>
      <c r="R9836" s="8">
        <v>99</v>
      </c>
      <c r="S9836" s="8">
        <v>99</v>
      </c>
      <c r="T9836" s="8">
        <v>99</v>
      </c>
      <c r="U9836" s="8">
        <v>99</v>
      </c>
      <c r="V9836" s="8">
        <v>135</v>
      </c>
      <c r="W9836" s="8">
        <v>135</v>
      </c>
      <c r="Y9836" s="8" t="s">
        <v>21</v>
      </c>
      <c r="Z9836" s="8" t="s">
        <v>42362</v>
      </c>
    </row>
    <row r="9837" spans="1:26" x14ac:dyDescent="0.2">
      <c r="A9837" s="8">
        <v>9836</v>
      </c>
      <c r="B9837" s="8" t="s">
        <v>42363</v>
      </c>
      <c r="C9837" s="8" t="s">
        <v>42363</v>
      </c>
      <c r="G9837" s="8">
        <v>20</v>
      </c>
      <c r="H9837" s="8" t="s">
        <v>21</v>
      </c>
      <c r="I9837" s="8" t="s">
        <v>22</v>
      </c>
      <c r="J9837" s="8" t="s">
        <v>22</v>
      </c>
      <c r="K9837" s="8" t="s">
        <v>42046</v>
      </c>
      <c r="L9837" s="8" t="s">
        <v>6120</v>
      </c>
      <c r="M9837" s="8" t="s">
        <v>6121</v>
      </c>
      <c r="N9837" s="8" t="s">
        <v>42364</v>
      </c>
      <c r="O9837" s="8">
        <f>3+45/60+7.9/3600</f>
        <v>3.7521944444444446</v>
      </c>
      <c r="P9837" s="8" t="s">
        <v>42365</v>
      </c>
      <c r="Q9837" s="8">
        <f>-(57+19/60+28/3600)</f>
        <v>-57.324444444444445</v>
      </c>
      <c r="R9837" s="8">
        <v>15.6</v>
      </c>
      <c r="S9837" s="8">
        <v>16.399999999999999</v>
      </c>
      <c r="T9837" s="8">
        <v>0.8</v>
      </c>
      <c r="U9837" s="8">
        <v>13.5</v>
      </c>
      <c r="V9837" s="8">
        <v>0.8</v>
      </c>
      <c r="W9837" s="8">
        <v>0.2</v>
      </c>
      <c r="X9837" s="8">
        <v>102</v>
      </c>
      <c r="Y9837" s="8" t="s">
        <v>42366</v>
      </c>
      <c r="Z9837" s="8" t="s">
        <v>42367</v>
      </c>
    </row>
    <row r="9838" spans="1:26" x14ac:dyDescent="0.2">
      <c r="A9838" s="8">
        <v>9837</v>
      </c>
      <c r="B9838" s="8" t="s">
        <v>42368</v>
      </c>
      <c r="C9838" s="8" t="s">
        <v>42368</v>
      </c>
      <c r="G9838" s="8">
        <v>20</v>
      </c>
      <c r="H9838" s="8" t="s">
        <v>21</v>
      </c>
      <c r="I9838" s="8" t="s">
        <v>22</v>
      </c>
      <c r="J9838" s="8" t="s">
        <v>22</v>
      </c>
      <c r="K9838" s="8" t="s">
        <v>91</v>
      </c>
      <c r="L9838" s="8" t="s">
        <v>6120</v>
      </c>
      <c r="M9838" s="8" t="s">
        <v>6121</v>
      </c>
      <c r="N9838" s="8" t="s">
        <v>42369</v>
      </c>
      <c r="O9838" s="8">
        <f>3+44/60+51.9/3600</f>
        <v>3.7477499999999999</v>
      </c>
      <c r="P9838" s="8" t="s">
        <v>42370</v>
      </c>
      <c r="Q9838" s="8">
        <f>-(59+8/60+15/3600)</f>
        <v>-59.137500000000003</v>
      </c>
      <c r="R9838" s="8">
        <v>13.4</v>
      </c>
      <c r="S9838" s="8">
        <v>13.9</v>
      </c>
      <c r="T9838" s="8">
        <v>0.5</v>
      </c>
      <c r="U9838" s="8">
        <v>12.8</v>
      </c>
      <c r="V9838" s="8">
        <v>1.2</v>
      </c>
      <c r="W9838" s="8">
        <v>0.6</v>
      </c>
      <c r="X9838" s="8">
        <v>73</v>
      </c>
      <c r="Y9838" s="8" t="s">
        <v>42371</v>
      </c>
      <c r="Z9838" s="8" t="s">
        <v>42372</v>
      </c>
    </row>
    <row r="9839" spans="1:26" x14ac:dyDescent="0.2">
      <c r="A9839" s="8">
        <v>9838</v>
      </c>
      <c r="B9839" s="8" t="s">
        <v>42373</v>
      </c>
      <c r="C9839" s="8" t="s">
        <v>42373</v>
      </c>
      <c r="G9839" s="8">
        <v>20</v>
      </c>
      <c r="H9839" s="8" t="s">
        <v>21</v>
      </c>
      <c r="I9839" s="8" t="s">
        <v>22</v>
      </c>
      <c r="J9839" s="8" t="s">
        <v>22</v>
      </c>
      <c r="K9839" s="8" t="s">
        <v>1136</v>
      </c>
      <c r="L9839" s="8" t="s">
        <v>6115</v>
      </c>
      <c r="M9839" s="8" t="s">
        <v>6116</v>
      </c>
      <c r="N9839" s="8" t="s">
        <v>42374</v>
      </c>
      <c r="O9839" s="8">
        <f>3+51/60+31.2/3600</f>
        <v>3.8586666666666667</v>
      </c>
      <c r="P9839" s="8" t="s">
        <v>42375</v>
      </c>
      <c r="Q9839" s="8">
        <f>+(1+11/60+25/3600)</f>
        <v>1.1902777777777778</v>
      </c>
      <c r="R9839" s="8">
        <v>14.4</v>
      </c>
      <c r="S9839" s="8">
        <v>15.4</v>
      </c>
      <c r="T9839" s="8">
        <v>1</v>
      </c>
      <c r="U9839" s="8">
        <v>14</v>
      </c>
      <c r="V9839" s="8">
        <v>0.9</v>
      </c>
      <c r="W9839" s="8">
        <v>0.7</v>
      </c>
      <c r="Y9839" s="8" t="s">
        <v>22600</v>
      </c>
      <c r="Z9839" s="8" t="s">
        <v>22601</v>
      </c>
    </row>
    <row r="9840" spans="1:26" x14ac:dyDescent="0.2">
      <c r="A9840" s="8">
        <v>9839</v>
      </c>
      <c r="B9840" s="8" t="s">
        <v>42376</v>
      </c>
      <c r="C9840" s="8" t="s">
        <v>42376</v>
      </c>
      <c r="G9840" s="8">
        <v>20</v>
      </c>
      <c r="H9840" s="8" t="s">
        <v>21</v>
      </c>
      <c r="I9840" s="8" t="s">
        <v>22</v>
      </c>
      <c r="J9840" s="8" t="s">
        <v>22</v>
      </c>
      <c r="K9840" s="8" t="s">
        <v>42274</v>
      </c>
      <c r="L9840" s="8" t="s">
        <v>6120</v>
      </c>
      <c r="M9840" s="8" t="s">
        <v>6121</v>
      </c>
      <c r="N9840" s="8" t="s">
        <v>42377</v>
      </c>
      <c r="O9840" s="8">
        <f>3+47/60+43/3600</f>
        <v>3.7952777777777778</v>
      </c>
      <c r="P9840" s="8" t="s">
        <v>42378</v>
      </c>
      <c r="Q9840" s="8">
        <f>-(56+57/60+7/3600)</f>
        <v>-56.95194444444445</v>
      </c>
      <c r="R9840" s="8">
        <v>14.7</v>
      </c>
      <c r="S9840" s="8">
        <v>15.5</v>
      </c>
      <c r="T9840" s="8">
        <v>0.8</v>
      </c>
      <c r="U9840" s="8">
        <v>13.2</v>
      </c>
      <c r="V9840" s="8">
        <v>0.6</v>
      </c>
      <c r="W9840" s="8">
        <v>0.5</v>
      </c>
      <c r="Y9840" s="8" t="s">
        <v>42379</v>
      </c>
      <c r="Z9840" s="8" t="s">
        <v>42380</v>
      </c>
    </row>
    <row r="9841" spans="1:26" x14ac:dyDescent="0.2">
      <c r="A9841" s="8">
        <v>9840</v>
      </c>
      <c r="B9841" s="8" t="s">
        <v>42381</v>
      </c>
      <c r="C9841" s="8" t="s">
        <v>42381</v>
      </c>
      <c r="G9841" s="8">
        <v>20</v>
      </c>
      <c r="H9841" s="8" t="s">
        <v>21</v>
      </c>
      <c r="I9841" s="8" t="s">
        <v>22</v>
      </c>
      <c r="J9841" s="8" t="s">
        <v>22</v>
      </c>
      <c r="K9841" s="8" t="s">
        <v>64</v>
      </c>
      <c r="L9841" s="8" t="s">
        <v>4263</v>
      </c>
      <c r="M9841" s="8" t="s">
        <v>4264</v>
      </c>
      <c r="N9841" s="8" t="s">
        <v>42382</v>
      </c>
      <c r="O9841" s="8">
        <f>3+49/60+7.6/3600</f>
        <v>3.8187777777777776</v>
      </c>
      <c r="P9841" s="8" t="s">
        <v>42383</v>
      </c>
      <c r="Q9841" s="8">
        <f>-(48+51/60+30/3600)</f>
        <v>-48.858333333333334</v>
      </c>
      <c r="R9841" s="8">
        <v>11.9</v>
      </c>
      <c r="S9841" s="8">
        <v>12.6</v>
      </c>
      <c r="T9841" s="8">
        <v>0.7</v>
      </c>
      <c r="U9841" s="8">
        <v>13</v>
      </c>
      <c r="V9841" s="8">
        <v>4.0999999999999996</v>
      </c>
      <c r="W9841" s="8">
        <v>0.8</v>
      </c>
      <c r="X9841" s="8">
        <v>83</v>
      </c>
      <c r="Y9841" s="8" t="s">
        <v>21</v>
      </c>
      <c r="Z9841" s="8" t="s">
        <v>42384</v>
      </c>
    </row>
    <row r="9842" spans="1:26" x14ac:dyDescent="0.2">
      <c r="A9842" s="8">
        <v>9841</v>
      </c>
      <c r="B9842" s="8" t="s">
        <v>42385</v>
      </c>
      <c r="C9842" s="8" t="s">
        <v>42385</v>
      </c>
      <c r="G9842" s="8">
        <v>20</v>
      </c>
      <c r="H9842" s="8" t="s">
        <v>21</v>
      </c>
      <c r="I9842" s="8" t="s">
        <v>72</v>
      </c>
      <c r="J9842" s="8" t="s">
        <v>72</v>
      </c>
      <c r="K9842" s="8" t="s">
        <v>73</v>
      </c>
      <c r="L9842" s="8" t="s">
        <v>4263</v>
      </c>
      <c r="M9842" s="8" t="s">
        <v>4264</v>
      </c>
      <c r="N9842" s="8" t="s">
        <v>42386</v>
      </c>
      <c r="O9842" s="8">
        <f>3+50/60+51.7/3600</f>
        <v>3.8476944444444445</v>
      </c>
      <c r="P9842" s="8" t="s">
        <v>42387</v>
      </c>
      <c r="Q9842" s="8">
        <f>-(48+36/60+0/3600)</f>
        <v>-48.6</v>
      </c>
      <c r="R9842" s="8">
        <v>99</v>
      </c>
      <c r="S9842" s="8">
        <v>99</v>
      </c>
      <c r="T9842" s="8">
        <v>99</v>
      </c>
      <c r="U9842" s="8">
        <v>99</v>
      </c>
      <c r="Y9842" s="8" t="s">
        <v>42388</v>
      </c>
      <c r="Z9842" s="8" t="s">
        <v>42389</v>
      </c>
    </row>
    <row r="9843" spans="1:26" x14ac:dyDescent="0.2">
      <c r="A9843" s="8">
        <v>9842</v>
      </c>
      <c r="B9843" s="8" t="s">
        <v>42390</v>
      </c>
      <c r="C9843" s="8" t="s">
        <v>42390</v>
      </c>
      <c r="G9843" s="8">
        <v>20</v>
      </c>
      <c r="H9843" s="8" t="s">
        <v>21</v>
      </c>
      <c r="I9843" s="8" t="s">
        <v>22</v>
      </c>
      <c r="J9843" s="8" t="s">
        <v>57</v>
      </c>
      <c r="K9843" s="8" t="s">
        <v>154</v>
      </c>
      <c r="L9843" s="8" t="s">
        <v>6115</v>
      </c>
      <c r="M9843" s="8" t="s">
        <v>6116</v>
      </c>
      <c r="N9843" s="8" t="s">
        <v>6847</v>
      </c>
      <c r="O9843" s="8">
        <f>3+54/60+30.3/3600</f>
        <v>3.9084166666666667</v>
      </c>
      <c r="P9843" s="8" t="s">
        <v>6848</v>
      </c>
      <c r="Q9843" s="8">
        <f>+(10+42/60+25/3600)</f>
        <v>10.706944444444444</v>
      </c>
      <c r="R9843" s="8">
        <v>13.8</v>
      </c>
      <c r="S9843" s="8">
        <v>14.7</v>
      </c>
      <c r="T9843" s="8">
        <v>0.9</v>
      </c>
      <c r="U9843" s="8">
        <v>13.9</v>
      </c>
      <c r="V9843" s="8">
        <v>1.1000000000000001</v>
      </c>
      <c r="W9843" s="8">
        <v>1</v>
      </c>
      <c r="X9843" s="8">
        <v>0</v>
      </c>
      <c r="Y9843" s="8" t="s">
        <v>42391</v>
      </c>
      <c r="Z9843" s="8" t="s">
        <v>42392</v>
      </c>
    </row>
    <row r="9844" spans="1:26" x14ac:dyDescent="0.2">
      <c r="A9844" s="8">
        <v>9843</v>
      </c>
      <c r="B9844" s="8" t="s">
        <v>42393</v>
      </c>
      <c r="C9844" s="8" t="s">
        <v>42393</v>
      </c>
      <c r="G9844" s="8">
        <v>13</v>
      </c>
      <c r="H9844" s="8" t="s">
        <v>21</v>
      </c>
      <c r="I9844" s="8" t="s">
        <v>241</v>
      </c>
      <c r="J9844" s="8" t="s">
        <v>241</v>
      </c>
      <c r="K9844" s="8" t="s">
        <v>241</v>
      </c>
      <c r="L9844" s="8" t="s">
        <v>3147</v>
      </c>
      <c r="M9844" s="8" t="s">
        <v>3148</v>
      </c>
      <c r="N9844" s="8" t="s">
        <v>42394</v>
      </c>
      <c r="O9844" s="8">
        <f>3+56/60+22/3600</f>
        <v>3.9394444444444447</v>
      </c>
      <c r="P9844" s="8" t="s">
        <v>42395</v>
      </c>
      <c r="Q9844" s="8">
        <f>+(33+52/60+32/3600)</f>
        <v>33.875555555555557</v>
      </c>
      <c r="R9844" s="8">
        <v>11.4</v>
      </c>
      <c r="S9844" s="8">
        <v>12.6</v>
      </c>
      <c r="T9844" s="8">
        <v>99</v>
      </c>
      <c r="U9844" s="8">
        <v>99</v>
      </c>
      <c r="V9844" s="8">
        <v>0.33</v>
      </c>
      <c r="Y9844" s="8" t="s">
        <v>21</v>
      </c>
      <c r="Z9844" s="8" t="s">
        <v>42396</v>
      </c>
    </row>
    <row r="9845" spans="1:26" x14ac:dyDescent="0.2">
      <c r="A9845" s="8">
        <v>9844</v>
      </c>
      <c r="B9845" s="8" t="s">
        <v>42397</v>
      </c>
      <c r="C9845" s="8" t="s">
        <v>42397</v>
      </c>
      <c r="G9845" s="8">
        <v>20</v>
      </c>
      <c r="H9845" s="8" t="s">
        <v>21</v>
      </c>
      <c r="I9845" s="8" t="s">
        <v>22</v>
      </c>
      <c r="J9845" s="8" t="s">
        <v>22</v>
      </c>
      <c r="K9845" s="8" t="s">
        <v>91</v>
      </c>
      <c r="L9845" s="8" t="s">
        <v>4263</v>
      </c>
      <c r="M9845" s="8" t="s">
        <v>4264</v>
      </c>
      <c r="N9845" s="8" t="s">
        <v>42398</v>
      </c>
      <c r="O9845" s="8">
        <f>3+51/60+45.6/3600</f>
        <v>3.8626666666666667</v>
      </c>
      <c r="P9845" s="8" t="s">
        <v>42399</v>
      </c>
      <c r="Q9845" s="8">
        <f>-(49+25/60+9/3600)</f>
        <v>-49.419166666666662</v>
      </c>
      <c r="R9845" s="8">
        <v>14.2</v>
      </c>
      <c r="S9845" s="8">
        <v>15.1</v>
      </c>
      <c r="T9845" s="8">
        <v>0.9</v>
      </c>
      <c r="U9845" s="8">
        <v>13</v>
      </c>
      <c r="V9845" s="8">
        <v>0.8</v>
      </c>
      <c r="W9845" s="8">
        <v>0.6</v>
      </c>
      <c r="X9845" s="8">
        <v>46</v>
      </c>
      <c r="Y9845" s="8" t="s">
        <v>745</v>
      </c>
      <c r="Z9845" s="8" t="s">
        <v>746</v>
      </c>
    </row>
    <row r="9846" spans="1:26" x14ac:dyDescent="0.2">
      <c r="A9846" s="8">
        <v>9845</v>
      </c>
      <c r="B9846" s="8" t="s">
        <v>42400</v>
      </c>
      <c r="C9846" s="8" t="s">
        <v>42400</v>
      </c>
      <c r="G9846" s="8">
        <v>20</v>
      </c>
      <c r="H9846" s="8" t="s">
        <v>21</v>
      </c>
      <c r="I9846" s="8" t="s">
        <v>22</v>
      </c>
      <c r="J9846" s="8" t="s">
        <v>22</v>
      </c>
      <c r="K9846" s="8" t="s">
        <v>449</v>
      </c>
      <c r="L9846" s="8" t="s">
        <v>3147</v>
      </c>
      <c r="M9846" s="8" t="s">
        <v>3148</v>
      </c>
      <c r="N9846" s="8" t="s">
        <v>42401</v>
      </c>
      <c r="O9846" s="8">
        <f>3+57/60+39.5/3600</f>
        <v>3.9609722222222223</v>
      </c>
      <c r="P9846" s="8" t="s">
        <v>42402</v>
      </c>
      <c r="Q9846" s="8">
        <f>+(36+47/60+15/3600)</f>
        <v>36.787500000000001</v>
      </c>
      <c r="R9846" s="8">
        <v>14.8</v>
      </c>
      <c r="S9846" s="8">
        <v>15.6</v>
      </c>
      <c r="T9846" s="8">
        <v>0.8</v>
      </c>
      <c r="U9846" s="8">
        <v>11.2</v>
      </c>
      <c r="V9846" s="8">
        <v>0.4</v>
      </c>
      <c r="W9846" s="8">
        <v>0.1</v>
      </c>
      <c r="X9846" s="8">
        <v>5</v>
      </c>
      <c r="Y9846" s="8" t="s">
        <v>5926</v>
      </c>
      <c r="Z9846" s="8" t="s">
        <v>5927</v>
      </c>
    </row>
    <row r="9847" spans="1:26" x14ac:dyDescent="0.2">
      <c r="A9847" s="8">
        <v>9846</v>
      </c>
      <c r="B9847" s="8" t="s">
        <v>42403</v>
      </c>
      <c r="C9847" s="8" t="s">
        <v>42403</v>
      </c>
      <c r="G9847" s="8">
        <v>13</v>
      </c>
      <c r="H9847" s="8" t="s">
        <v>21</v>
      </c>
      <c r="I9847" s="8" t="s">
        <v>22</v>
      </c>
      <c r="J9847" s="8" t="s">
        <v>22</v>
      </c>
      <c r="K9847" s="8" t="s">
        <v>58</v>
      </c>
      <c r="L9847" s="8" t="s">
        <v>3328</v>
      </c>
      <c r="M9847" s="8" t="s">
        <v>3329</v>
      </c>
      <c r="N9847" s="8" t="s">
        <v>42404</v>
      </c>
      <c r="O9847" s="8">
        <f>3+54/60+28.3/3600</f>
        <v>3.907861111111111</v>
      </c>
      <c r="P9847" s="8" t="s">
        <v>42405</v>
      </c>
      <c r="Q9847" s="8">
        <f>-(35+58/60+2/3600)</f>
        <v>-35.967222222222226</v>
      </c>
      <c r="R9847" s="8">
        <v>11.3</v>
      </c>
      <c r="S9847" s="8">
        <v>12.2</v>
      </c>
      <c r="T9847" s="8">
        <v>0.9</v>
      </c>
      <c r="U9847" s="8">
        <v>12.7</v>
      </c>
      <c r="V9847" s="8">
        <v>1.9</v>
      </c>
      <c r="W9847" s="8">
        <v>1.6</v>
      </c>
      <c r="X9847" s="8">
        <v>36</v>
      </c>
      <c r="Y9847" s="8" t="s">
        <v>42406</v>
      </c>
      <c r="Z9847" s="8" t="s">
        <v>42407</v>
      </c>
    </row>
    <row r="9848" spans="1:26" x14ac:dyDescent="0.2">
      <c r="A9848" s="8">
        <v>9847</v>
      </c>
      <c r="B9848" s="8" t="s">
        <v>42408</v>
      </c>
      <c r="C9848" s="8" t="s">
        <v>42408</v>
      </c>
      <c r="G9848" s="8">
        <v>20</v>
      </c>
      <c r="H9848" s="8" t="s">
        <v>21</v>
      </c>
      <c r="I9848" s="8" t="s">
        <v>22</v>
      </c>
      <c r="J9848" s="8" t="s">
        <v>57</v>
      </c>
      <c r="K9848" s="8" t="s">
        <v>396</v>
      </c>
      <c r="L9848" s="8" t="s">
        <v>3328</v>
      </c>
      <c r="M9848" s="8" t="s">
        <v>3329</v>
      </c>
      <c r="N9848" s="8" t="s">
        <v>42409</v>
      </c>
      <c r="O9848" s="8">
        <f>3+55/60+22.6/3600</f>
        <v>3.9229444444444441</v>
      </c>
      <c r="P9848" s="8" t="s">
        <v>42410</v>
      </c>
      <c r="Q9848" s="8">
        <f>-(28+9/60+32/3600)</f>
        <v>-28.158888888888889</v>
      </c>
      <c r="R9848" s="8">
        <v>13</v>
      </c>
      <c r="S9848" s="8">
        <v>13.8</v>
      </c>
      <c r="T9848" s="8">
        <v>0.8</v>
      </c>
      <c r="U9848" s="8">
        <v>12.9</v>
      </c>
      <c r="V9848" s="8">
        <v>1.3</v>
      </c>
      <c r="W9848" s="8">
        <v>0.8</v>
      </c>
      <c r="X9848" s="8">
        <v>52</v>
      </c>
      <c r="Y9848" s="8" t="s">
        <v>21</v>
      </c>
      <c r="Z9848" s="8" t="s">
        <v>42411</v>
      </c>
    </row>
    <row r="9849" spans="1:26" x14ac:dyDescent="0.2">
      <c r="A9849" s="8">
        <v>9848</v>
      </c>
      <c r="B9849" s="8" t="s">
        <v>42412</v>
      </c>
      <c r="C9849" s="8" t="s">
        <v>42412</v>
      </c>
      <c r="G9849" s="8">
        <v>20</v>
      </c>
      <c r="H9849" s="8" t="s">
        <v>21</v>
      </c>
      <c r="I9849" s="8" t="s">
        <v>22</v>
      </c>
      <c r="J9849" s="8" t="s">
        <v>22</v>
      </c>
      <c r="K9849" s="8" t="s">
        <v>396</v>
      </c>
      <c r="L9849" s="8" t="s">
        <v>3328</v>
      </c>
      <c r="M9849" s="8" t="s">
        <v>3329</v>
      </c>
      <c r="N9849" s="8" t="s">
        <v>42409</v>
      </c>
      <c r="O9849" s="8">
        <f>3+55/60+22.6/3600</f>
        <v>3.9229444444444441</v>
      </c>
      <c r="P9849" s="8" t="s">
        <v>42410</v>
      </c>
      <c r="Q9849" s="8">
        <f>-(28+9/60+32/3600)</f>
        <v>-28.158888888888889</v>
      </c>
      <c r="R9849" s="8">
        <v>13</v>
      </c>
      <c r="S9849" s="8">
        <v>13.8</v>
      </c>
      <c r="T9849" s="8">
        <v>0.8</v>
      </c>
      <c r="U9849" s="8">
        <v>12.9</v>
      </c>
      <c r="V9849" s="8">
        <v>1.3</v>
      </c>
      <c r="W9849" s="8">
        <v>0.8</v>
      </c>
      <c r="X9849" s="8">
        <v>52</v>
      </c>
      <c r="Y9849" s="8" t="s">
        <v>21</v>
      </c>
      <c r="Z9849" s="8" t="s">
        <v>42413</v>
      </c>
    </row>
    <row r="9850" spans="1:26" x14ac:dyDescent="0.2">
      <c r="A9850" s="8">
        <v>9849</v>
      </c>
      <c r="B9850" s="8" t="s">
        <v>42414</v>
      </c>
      <c r="C9850" s="8" t="s">
        <v>42414</v>
      </c>
      <c r="G9850" s="8">
        <v>20</v>
      </c>
      <c r="H9850" s="8" t="s">
        <v>21</v>
      </c>
      <c r="I9850" s="8" t="s">
        <v>22</v>
      </c>
      <c r="J9850" s="8" t="s">
        <v>22</v>
      </c>
      <c r="K9850" s="8" t="s">
        <v>107</v>
      </c>
      <c r="L9850" s="8" t="s">
        <v>4263</v>
      </c>
      <c r="M9850" s="8" t="s">
        <v>4264</v>
      </c>
      <c r="N9850" s="8" t="s">
        <v>42415</v>
      </c>
      <c r="O9850" s="8">
        <f>3+53/60+34.6/3600</f>
        <v>3.8929444444444443</v>
      </c>
      <c r="P9850" s="8" t="s">
        <v>42416</v>
      </c>
      <c r="Q9850" s="8">
        <f>-(48+59/60+28/3600)</f>
        <v>-48.99111111111111</v>
      </c>
      <c r="R9850" s="8">
        <v>13.8</v>
      </c>
      <c r="S9850" s="8">
        <v>14.4</v>
      </c>
      <c r="T9850" s="8">
        <v>0.6</v>
      </c>
      <c r="U9850" s="8">
        <v>14.3</v>
      </c>
      <c r="V9850" s="8">
        <v>1.8</v>
      </c>
      <c r="W9850" s="8">
        <v>1.2</v>
      </c>
      <c r="X9850" s="8">
        <v>51</v>
      </c>
      <c r="Y9850" s="8" t="s">
        <v>745</v>
      </c>
      <c r="Z9850" s="8" t="s">
        <v>746</v>
      </c>
    </row>
    <row r="9851" spans="1:26" x14ac:dyDescent="0.2">
      <c r="A9851" s="8">
        <v>9850</v>
      </c>
      <c r="B9851" s="8" t="s">
        <v>42417</v>
      </c>
      <c r="C9851" s="8" t="s">
        <v>42417</v>
      </c>
      <c r="G9851" s="8">
        <v>20</v>
      </c>
      <c r="H9851" s="8" t="s">
        <v>21</v>
      </c>
      <c r="I9851" s="8" t="s">
        <v>22</v>
      </c>
      <c r="J9851" s="8" t="s">
        <v>22</v>
      </c>
      <c r="K9851" s="8" t="s">
        <v>91</v>
      </c>
      <c r="L9851" s="8" t="s">
        <v>6120</v>
      </c>
      <c r="M9851" s="8" t="s">
        <v>6121</v>
      </c>
      <c r="N9851" s="8" t="s">
        <v>42418</v>
      </c>
      <c r="O9851" s="8">
        <f>3+51/60+58.2/3600</f>
        <v>3.866166666666667</v>
      </c>
      <c r="P9851" s="8" t="s">
        <v>42419</v>
      </c>
      <c r="Q9851" s="8">
        <f>-(59+55/60+45/3600)</f>
        <v>-59.929166666666667</v>
      </c>
      <c r="R9851" s="8">
        <v>13.7</v>
      </c>
      <c r="S9851" s="8">
        <v>14.4</v>
      </c>
      <c r="T9851" s="8">
        <v>0.7</v>
      </c>
      <c r="U9851" s="8">
        <v>12.9</v>
      </c>
      <c r="V9851" s="8">
        <v>1.2</v>
      </c>
      <c r="W9851" s="8">
        <v>0.5</v>
      </c>
      <c r="X9851" s="8">
        <v>70</v>
      </c>
      <c r="Y9851" s="8" t="s">
        <v>21</v>
      </c>
      <c r="Z9851" s="8" t="s">
        <v>42420</v>
      </c>
    </row>
    <row r="9852" spans="1:26" x14ac:dyDescent="0.2">
      <c r="A9852" s="8">
        <v>9851</v>
      </c>
      <c r="B9852" s="8" t="s">
        <v>42421</v>
      </c>
      <c r="C9852" s="8" t="s">
        <v>42421</v>
      </c>
      <c r="G9852" s="8">
        <v>20</v>
      </c>
      <c r="H9852" s="8" t="s">
        <v>21</v>
      </c>
      <c r="I9852" s="8" t="s">
        <v>72</v>
      </c>
      <c r="J9852" s="8" t="s">
        <v>72</v>
      </c>
      <c r="K9852" s="8" t="s">
        <v>73</v>
      </c>
      <c r="L9852" s="8" t="s">
        <v>6120</v>
      </c>
      <c r="M9852" s="8" t="s">
        <v>6121</v>
      </c>
      <c r="N9852" s="8" t="s">
        <v>42422</v>
      </c>
      <c r="O9852" s="8">
        <f>3+52/60+27.4/3600</f>
        <v>3.8742777777777779</v>
      </c>
      <c r="P9852" s="8" t="s">
        <v>42423</v>
      </c>
      <c r="Q9852" s="8">
        <f>-(57+28/60+5/3600)</f>
        <v>-57.468055555555559</v>
      </c>
      <c r="R9852" s="8">
        <v>99</v>
      </c>
      <c r="S9852" s="8">
        <v>99</v>
      </c>
      <c r="T9852" s="8">
        <v>99</v>
      </c>
      <c r="U9852" s="8">
        <v>99</v>
      </c>
      <c r="Y9852" s="8" t="s">
        <v>15791</v>
      </c>
      <c r="Z9852" s="8" t="s">
        <v>15792</v>
      </c>
    </row>
    <row r="9853" spans="1:26" x14ac:dyDescent="0.2">
      <c r="A9853" s="8">
        <v>9852</v>
      </c>
      <c r="B9853" s="8" t="s">
        <v>42424</v>
      </c>
      <c r="C9853" s="8" t="s">
        <v>42424</v>
      </c>
      <c r="G9853" s="8">
        <v>20</v>
      </c>
      <c r="H9853" s="8" t="s">
        <v>21</v>
      </c>
      <c r="I9853" s="8" t="s">
        <v>22</v>
      </c>
      <c r="J9853" s="8" t="s">
        <v>22</v>
      </c>
      <c r="K9853" s="8" t="s">
        <v>476</v>
      </c>
      <c r="L9853" s="8" t="s">
        <v>6120</v>
      </c>
      <c r="M9853" s="8" t="s">
        <v>6121</v>
      </c>
      <c r="N9853" s="8" t="s">
        <v>42425</v>
      </c>
      <c r="O9853" s="8">
        <f>3+52/60+55.3/3600</f>
        <v>3.8820277777777776</v>
      </c>
      <c r="P9853" s="8" t="s">
        <v>42426</v>
      </c>
      <c r="Q9853" s="8">
        <f>-(58+38/60+57/3600)</f>
        <v>-58.649166666666666</v>
      </c>
      <c r="R9853" s="8">
        <v>15.5</v>
      </c>
      <c r="S9853" s="8">
        <v>16.3</v>
      </c>
      <c r="T9853" s="8">
        <v>0.8</v>
      </c>
      <c r="U9853" s="8">
        <v>13.8</v>
      </c>
      <c r="V9853" s="8">
        <v>0.6</v>
      </c>
      <c r="W9853" s="8">
        <v>0.4</v>
      </c>
      <c r="X9853" s="8">
        <v>5</v>
      </c>
      <c r="Y9853" s="8" t="s">
        <v>42427</v>
      </c>
      <c r="Z9853" s="8" t="s">
        <v>42428</v>
      </c>
    </row>
    <row r="9854" spans="1:26" x14ac:dyDescent="0.2">
      <c r="A9854" s="8">
        <v>9853</v>
      </c>
      <c r="B9854" s="8" t="s">
        <v>42429</v>
      </c>
      <c r="C9854" s="8" t="s">
        <v>42429</v>
      </c>
      <c r="G9854" s="8">
        <v>20</v>
      </c>
      <c r="H9854" s="8" t="s">
        <v>21</v>
      </c>
      <c r="I9854" s="8" t="s">
        <v>329</v>
      </c>
      <c r="J9854" s="8" t="s">
        <v>329</v>
      </c>
      <c r="K9854" s="8" t="s">
        <v>329</v>
      </c>
      <c r="L9854" s="8" t="s">
        <v>3328</v>
      </c>
      <c r="M9854" s="8" t="s">
        <v>3329</v>
      </c>
      <c r="N9854" s="8" t="s">
        <v>42430</v>
      </c>
      <c r="O9854" s="8">
        <f>3+56/60+44/3600</f>
        <v>3.9455555555555559</v>
      </c>
      <c r="P9854" s="8" t="s">
        <v>42431</v>
      </c>
      <c r="Q9854" s="8">
        <f>-(17+6/60+36/3600)</f>
        <v>-17.110000000000003</v>
      </c>
      <c r="R9854" s="8">
        <v>99</v>
      </c>
      <c r="S9854" s="8">
        <v>99</v>
      </c>
      <c r="T9854" s="8">
        <v>99</v>
      </c>
      <c r="U9854" s="8">
        <v>99</v>
      </c>
      <c r="Y9854" s="8" t="s">
        <v>42432</v>
      </c>
      <c r="Z9854" s="8" t="s">
        <v>42433</v>
      </c>
    </row>
    <row r="9855" spans="1:26" x14ac:dyDescent="0.2">
      <c r="A9855" s="8">
        <v>9854</v>
      </c>
      <c r="B9855" s="8" t="s">
        <v>42434</v>
      </c>
      <c r="C9855" s="8" t="s">
        <v>42434</v>
      </c>
      <c r="G9855" s="8">
        <v>20</v>
      </c>
      <c r="H9855" s="8" t="s">
        <v>21</v>
      </c>
      <c r="I9855" s="8" t="s">
        <v>22</v>
      </c>
      <c r="J9855" s="8" t="s">
        <v>22</v>
      </c>
      <c r="K9855" s="8" t="s">
        <v>64</v>
      </c>
      <c r="L9855" s="8" t="s">
        <v>6120</v>
      </c>
      <c r="M9855" s="8" t="s">
        <v>6121</v>
      </c>
      <c r="N9855" s="8" t="s">
        <v>42435</v>
      </c>
      <c r="O9855" s="8">
        <f>3+55/60+21.7/3600</f>
        <v>3.9226944444444443</v>
      </c>
      <c r="P9855" s="8" t="s">
        <v>42436</v>
      </c>
      <c r="Q9855" s="8">
        <f>-(56+44/60+48/3600)</f>
        <v>-56.74666666666667</v>
      </c>
      <c r="R9855" s="8">
        <v>14.8</v>
      </c>
      <c r="S9855" s="8">
        <v>15.5</v>
      </c>
      <c r="T9855" s="8">
        <v>0.7</v>
      </c>
      <c r="U9855" s="8">
        <v>14</v>
      </c>
      <c r="V9855" s="8">
        <v>1.1000000000000001</v>
      </c>
      <c r="W9855" s="8">
        <v>0.5</v>
      </c>
      <c r="X9855" s="8">
        <v>17</v>
      </c>
      <c r="Y9855" s="8" t="s">
        <v>15791</v>
      </c>
      <c r="Z9855" s="8" t="s">
        <v>15792</v>
      </c>
    </row>
    <row r="9856" spans="1:26" x14ac:dyDescent="0.2">
      <c r="A9856" s="8">
        <v>9855</v>
      </c>
      <c r="B9856" s="8" t="s">
        <v>42437</v>
      </c>
      <c r="C9856" s="8" t="s">
        <v>42437</v>
      </c>
      <c r="G9856" s="8">
        <v>20</v>
      </c>
      <c r="H9856" s="8" t="s">
        <v>21</v>
      </c>
      <c r="I9856" s="8" t="s">
        <v>22</v>
      </c>
      <c r="J9856" s="8" t="s">
        <v>22</v>
      </c>
      <c r="K9856" s="8" t="s">
        <v>160</v>
      </c>
      <c r="L9856" s="8" t="s">
        <v>4263</v>
      </c>
      <c r="M9856" s="8" t="s">
        <v>4264</v>
      </c>
      <c r="N9856" s="8" t="s">
        <v>42438</v>
      </c>
      <c r="O9856" s="8">
        <f>3+58/60+11.4/3600</f>
        <v>3.9698333333333333</v>
      </c>
      <c r="P9856" s="8" t="s">
        <v>42439</v>
      </c>
      <c r="Q9856" s="8">
        <f>-(40+23/60+21/3600)</f>
        <v>-40.389166666666668</v>
      </c>
      <c r="R9856" s="8">
        <v>14.9</v>
      </c>
      <c r="S9856" s="8">
        <v>15.6</v>
      </c>
      <c r="T9856" s="8">
        <v>0.7</v>
      </c>
      <c r="U9856" s="8">
        <v>13</v>
      </c>
      <c r="V9856" s="8">
        <v>0.5</v>
      </c>
      <c r="W9856" s="8">
        <v>0.4</v>
      </c>
      <c r="Y9856" s="8" t="s">
        <v>42440</v>
      </c>
      <c r="Z9856" s="8" t="s">
        <v>42441</v>
      </c>
    </row>
    <row r="9857" spans="1:26" x14ac:dyDescent="0.2">
      <c r="A9857" s="8">
        <v>9856</v>
      </c>
      <c r="B9857" s="8" t="s">
        <v>42442</v>
      </c>
      <c r="C9857" s="8" t="s">
        <v>42442</v>
      </c>
      <c r="G9857" s="8">
        <v>20</v>
      </c>
      <c r="H9857" s="8" t="s">
        <v>21</v>
      </c>
      <c r="I9857" s="8" t="s">
        <v>22</v>
      </c>
      <c r="J9857" s="8" t="s">
        <v>22</v>
      </c>
      <c r="K9857" s="8" t="s">
        <v>37</v>
      </c>
      <c r="L9857" s="8" t="s">
        <v>6115</v>
      </c>
      <c r="M9857" s="8" t="s">
        <v>6116</v>
      </c>
      <c r="N9857" s="8" t="s">
        <v>42443</v>
      </c>
      <c r="O9857" s="8">
        <f>4+1/60+59.9/3600</f>
        <v>4.0333055555555557</v>
      </c>
      <c r="P9857" s="8" t="s">
        <v>42444</v>
      </c>
      <c r="Q9857" s="8">
        <f>+(20+14/60+26/3600)</f>
        <v>20.240555555555556</v>
      </c>
      <c r="R9857" s="8">
        <v>14.6</v>
      </c>
      <c r="S9857" s="8">
        <v>15.6</v>
      </c>
      <c r="T9857" s="8">
        <v>1</v>
      </c>
      <c r="U9857" s="8">
        <v>11.7</v>
      </c>
      <c r="V9857" s="8">
        <v>0.4</v>
      </c>
      <c r="W9857" s="8">
        <v>0.2</v>
      </c>
      <c r="X9857" s="8">
        <v>5</v>
      </c>
      <c r="Y9857" s="8" t="s">
        <v>21</v>
      </c>
      <c r="Z9857" s="8" t="s">
        <v>42445</v>
      </c>
    </row>
    <row r="9858" spans="1:26" x14ac:dyDescent="0.2">
      <c r="A9858" s="8">
        <v>9857</v>
      </c>
      <c r="B9858" s="8" t="s">
        <v>42446</v>
      </c>
      <c r="C9858" s="8" t="s">
        <v>42446</v>
      </c>
      <c r="G9858" s="8">
        <v>20</v>
      </c>
      <c r="H9858" s="8" t="s">
        <v>21</v>
      </c>
      <c r="I9858" s="8" t="s">
        <v>22</v>
      </c>
      <c r="J9858" s="8" t="s">
        <v>22</v>
      </c>
      <c r="K9858" s="8" t="s">
        <v>37</v>
      </c>
      <c r="L9858" s="8" t="s">
        <v>6120</v>
      </c>
      <c r="M9858" s="8" t="s">
        <v>6121</v>
      </c>
      <c r="N9858" s="8" t="s">
        <v>42447</v>
      </c>
      <c r="O9858" s="8">
        <f>3+56/60+38.7/3600</f>
        <v>3.9440833333333334</v>
      </c>
      <c r="P9858" s="8" t="s">
        <v>42448</v>
      </c>
      <c r="Q9858" s="8">
        <f>-(59+23/60+40/3600)</f>
        <v>-59.394444444444446</v>
      </c>
      <c r="R9858" s="8">
        <v>13.8</v>
      </c>
      <c r="S9858" s="8">
        <v>14.8</v>
      </c>
      <c r="T9858" s="8">
        <v>1</v>
      </c>
      <c r="U9858" s="8">
        <v>12.8</v>
      </c>
      <c r="V9858" s="8">
        <v>1.1000000000000001</v>
      </c>
      <c r="W9858" s="8">
        <v>0.7</v>
      </c>
      <c r="X9858" s="8">
        <v>19</v>
      </c>
      <c r="Y9858" s="8" t="s">
        <v>385</v>
      </c>
      <c r="Z9858" s="8" t="s">
        <v>386</v>
      </c>
    </row>
    <row r="9859" spans="1:26" x14ac:dyDescent="0.2">
      <c r="A9859" s="8">
        <v>9858</v>
      </c>
      <c r="B9859" s="8" t="s">
        <v>42449</v>
      </c>
      <c r="C9859" s="8" t="s">
        <v>42449</v>
      </c>
      <c r="G9859" s="8">
        <v>20</v>
      </c>
      <c r="H9859" s="8" t="s">
        <v>21</v>
      </c>
      <c r="I9859" s="8" t="s">
        <v>22</v>
      </c>
      <c r="J9859" s="8" t="s">
        <v>22</v>
      </c>
      <c r="K9859" s="8" t="s">
        <v>38045</v>
      </c>
      <c r="L9859" s="8" t="s">
        <v>55972</v>
      </c>
      <c r="M9859" s="8" t="s">
        <v>6970</v>
      </c>
      <c r="N9859" s="8" t="s">
        <v>42450</v>
      </c>
      <c r="O9859" s="8">
        <f>3+57/60+54.4/3600</f>
        <v>3.9651111111111113</v>
      </c>
      <c r="P9859" s="8" t="s">
        <v>42451</v>
      </c>
      <c r="Q9859" s="8">
        <f>-(52+46/60+50/3600)</f>
        <v>-52.780555555555551</v>
      </c>
      <c r="R9859" s="8">
        <v>14.8</v>
      </c>
      <c r="S9859" s="8">
        <v>15.6</v>
      </c>
      <c r="T9859" s="8">
        <v>0.8</v>
      </c>
      <c r="U9859" s="8">
        <v>13.8</v>
      </c>
      <c r="V9859" s="8">
        <v>0.8</v>
      </c>
      <c r="W9859" s="8">
        <v>0.5</v>
      </c>
      <c r="X9859" s="8">
        <v>140</v>
      </c>
      <c r="Y9859" s="8" t="s">
        <v>385</v>
      </c>
      <c r="Z9859" s="8" t="s">
        <v>386</v>
      </c>
    </row>
    <row r="9860" spans="1:26" x14ac:dyDescent="0.2">
      <c r="A9860" s="8">
        <v>9859</v>
      </c>
      <c r="B9860" s="8" t="s">
        <v>42452</v>
      </c>
      <c r="C9860" s="8" t="s">
        <v>42452</v>
      </c>
      <c r="E9860" s="8">
        <v>1</v>
      </c>
      <c r="G9860" s="8">
        <v>20</v>
      </c>
      <c r="H9860" s="8" t="s">
        <v>21</v>
      </c>
      <c r="I9860" s="8" t="s">
        <v>22</v>
      </c>
      <c r="J9860" s="8" t="s">
        <v>22</v>
      </c>
      <c r="K9860" s="8" t="s">
        <v>449</v>
      </c>
      <c r="L9860" s="8" t="s">
        <v>6115</v>
      </c>
      <c r="M9860" s="8" t="s">
        <v>6116</v>
      </c>
      <c r="N9860" s="8" t="s">
        <v>42453</v>
      </c>
      <c r="O9860" s="8">
        <f>4+1/60+53.7/3600</f>
        <v>4.0315833333333329</v>
      </c>
      <c r="P9860" s="8" t="s">
        <v>42454</v>
      </c>
      <c r="Q9860" s="8">
        <f>+(5+38/60+21/3600)</f>
        <v>5.6391666666666662</v>
      </c>
      <c r="R9860" s="8">
        <v>14.5</v>
      </c>
      <c r="S9860" s="8">
        <v>15.3</v>
      </c>
      <c r="T9860" s="8">
        <v>0.8</v>
      </c>
      <c r="U9860" s="8">
        <v>13.1</v>
      </c>
      <c r="V9860" s="8">
        <v>0.8</v>
      </c>
      <c r="W9860" s="8">
        <v>0.4</v>
      </c>
      <c r="X9860" s="8">
        <v>45</v>
      </c>
      <c r="Y9860" s="8" t="s">
        <v>42455</v>
      </c>
      <c r="Z9860" s="8" t="s">
        <v>42456</v>
      </c>
    </row>
    <row r="9861" spans="1:26" x14ac:dyDescent="0.2">
      <c r="A9861" s="8">
        <v>9860</v>
      </c>
      <c r="B9861" s="8" t="s">
        <v>42457</v>
      </c>
      <c r="C9861" s="8" t="s">
        <v>42457</v>
      </c>
      <c r="G9861" s="8">
        <v>20</v>
      </c>
      <c r="H9861" s="8" t="s">
        <v>21</v>
      </c>
      <c r="I9861" s="8" t="s">
        <v>22</v>
      </c>
      <c r="J9861" s="8" t="s">
        <v>22</v>
      </c>
      <c r="K9861" s="8" t="s">
        <v>160</v>
      </c>
      <c r="L9861" s="8" t="s">
        <v>6120</v>
      </c>
      <c r="M9861" s="8" t="s">
        <v>6121</v>
      </c>
      <c r="N9861" s="8" t="s">
        <v>42458</v>
      </c>
      <c r="O9861" s="8">
        <f>3+58/60+53/3600</f>
        <v>3.9813888888888891</v>
      </c>
      <c r="P9861" s="8" t="s">
        <v>42459</v>
      </c>
      <c r="Q9861" s="8">
        <f>-(54+3/60+30/3600)</f>
        <v>-54.05833333333333</v>
      </c>
      <c r="R9861" s="8">
        <v>14.9</v>
      </c>
      <c r="S9861" s="8">
        <v>15.6</v>
      </c>
      <c r="T9861" s="8">
        <v>0.7</v>
      </c>
      <c r="U9861" s="8">
        <v>13.4</v>
      </c>
      <c r="V9861" s="8">
        <v>0.6</v>
      </c>
      <c r="W9861" s="8">
        <v>0.5</v>
      </c>
      <c r="Y9861" s="8" t="s">
        <v>385</v>
      </c>
      <c r="Z9861" s="8" t="s">
        <v>386</v>
      </c>
    </row>
    <row r="9862" spans="1:26" x14ac:dyDescent="0.2">
      <c r="A9862" s="8">
        <v>9861</v>
      </c>
      <c r="B9862" s="8" t="s">
        <v>42460</v>
      </c>
      <c r="C9862" s="8" t="s">
        <v>42460</v>
      </c>
      <c r="G9862" s="8">
        <v>20</v>
      </c>
      <c r="H9862" s="8" t="s">
        <v>21</v>
      </c>
      <c r="I9862" s="8" t="s">
        <v>22</v>
      </c>
      <c r="J9862" s="8" t="s">
        <v>22</v>
      </c>
      <c r="K9862" s="8" t="s">
        <v>396</v>
      </c>
      <c r="L9862" s="8" t="s">
        <v>55972</v>
      </c>
      <c r="M9862" s="8" t="s">
        <v>6970</v>
      </c>
      <c r="N9862" s="8" t="s">
        <v>42461</v>
      </c>
      <c r="O9862" s="8">
        <f>3+59/60+23.9/3600</f>
        <v>3.9899722222222223</v>
      </c>
      <c r="P9862" s="8" t="s">
        <v>42462</v>
      </c>
      <c r="Q9862" s="8">
        <f>-(52+39/60+24/3600)</f>
        <v>-52.656666666666666</v>
      </c>
      <c r="R9862" s="8">
        <v>15</v>
      </c>
      <c r="S9862" s="8">
        <v>15.8</v>
      </c>
      <c r="T9862" s="8">
        <v>0.8</v>
      </c>
      <c r="U9862" s="8">
        <v>13.5</v>
      </c>
      <c r="V9862" s="8">
        <v>0.7</v>
      </c>
      <c r="W9862" s="8">
        <v>0.4</v>
      </c>
      <c r="X9862" s="8">
        <v>120</v>
      </c>
      <c r="Y9862" s="8" t="s">
        <v>385</v>
      </c>
      <c r="Z9862" s="8" t="s">
        <v>386</v>
      </c>
    </row>
    <row r="9863" spans="1:26" x14ac:dyDescent="0.2">
      <c r="A9863" s="8">
        <v>9862</v>
      </c>
      <c r="B9863" s="8" t="s">
        <v>42463</v>
      </c>
      <c r="C9863" s="8" t="s">
        <v>42463</v>
      </c>
      <c r="G9863" s="8">
        <v>20</v>
      </c>
      <c r="H9863" s="8" t="s">
        <v>21</v>
      </c>
      <c r="I9863" s="8" t="s">
        <v>22</v>
      </c>
      <c r="J9863" s="8" t="s">
        <v>22</v>
      </c>
      <c r="K9863" s="8" t="s">
        <v>449</v>
      </c>
      <c r="L9863" s="8" t="s">
        <v>6120</v>
      </c>
      <c r="M9863" s="8" t="s">
        <v>6121</v>
      </c>
      <c r="N9863" s="8" t="s">
        <v>42464</v>
      </c>
      <c r="O9863" s="8">
        <f>3+58/60+40.2/3600</f>
        <v>3.9778333333333333</v>
      </c>
      <c r="P9863" s="8" t="s">
        <v>42465</v>
      </c>
      <c r="Q9863" s="8">
        <f>-(59+2/60+39/3600)</f>
        <v>-59.044166666666662</v>
      </c>
      <c r="R9863" s="8">
        <v>15.3</v>
      </c>
      <c r="S9863" s="8">
        <v>16.100000000000001</v>
      </c>
      <c r="T9863" s="8">
        <v>0.8</v>
      </c>
      <c r="U9863" s="8">
        <v>13.5</v>
      </c>
      <c r="V9863" s="8">
        <v>1.1000000000000001</v>
      </c>
      <c r="W9863" s="8">
        <v>0.2</v>
      </c>
      <c r="X9863" s="8">
        <v>0</v>
      </c>
      <c r="Y9863" s="8" t="s">
        <v>42466</v>
      </c>
      <c r="Z9863" s="8" t="s">
        <v>42467</v>
      </c>
    </row>
    <row r="9864" spans="1:26" x14ac:dyDescent="0.2">
      <c r="A9864" s="8">
        <v>9863</v>
      </c>
      <c r="B9864" s="8" t="s">
        <v>42468</v>
      </c>
      <c r="C9864" s="8" t="s">
        <v>42468</v>
      </c>
      <c r="G9864" s="8">
        <v>20</v>
      </c>
      <c r="H9864" s="8" t="s">
        <v>21</v>
      </c>
      <c r="I9864" s="8" t="s">
        <v>22</v>
      </c>
      <c r="J9864" s="8" t="s">
        <v>22</v>
      </c>
      <c r="K9864" s="8" t="s">
        <v>449</v>
      </c>
      <c r="L9864" s="8" t="s">
        <v>55972</v>
      </c>
      <c r="M9864" s="8" t="s">
        <v>6970</v>
      </c>
      <c r="N9864" s="8" t="s">
        <v>42469</v>
      </c>
      <c r="O9864" s="8">
        <f>3+59/60+40.8/3600</f>
        <v>3.9946666666666668</v>
      </c>
      <c r="P9864" s="8" t="s">
        <v>42470</v>
      </c>
      <c r="Q9864" s="8">
        <f>-(52+40/60+49/3600)</f>
        <v>-52.680277777777775</v>
      </c>
      <c r="R9864" s="8">
        <v>15.1</v>
      </c>
      <c r="S9864" s="8">
        <v>15.9</v>
      </c>
      <c r="T9864" s="8">
        <v>0.8</v>
      </c>
      <c r="U9864" s="8">
        <v>13.2</v>
      </c>
      <c r="V9864" s="8">
        <v>0.5</v>
      </c>
      <c r="W9864" s="8">
        <v>0.4</v>
      </c>
      <c r="Y9864" s="8" t="s">
        <v>385</v>
      </c>
      <c r="Z9864" s="8" t="s">
        <v>386</v>
      </c>
    </row>
    <row r="9865" spans="1:26" x14ac:dyDescent="0.2">
      <c r="A9865" s="8">
        <v>9864</v>
      </c>
      <c r="B9865" s="8" t="s">
        <v>42471</v>
      </c>
      <c r="C9865" s="8" t="s">
        <v>42471</v>
      </c>
      <c r="G9865" s="8">
        <v>20</v>
      </c>
      <c r="H9865" s="8" t="s">
        <v>21</v>
      </c>
      <c r="I9865" s="8" t="s">
        <v>22</v>
      </c>
      <c r="J9865" s="8" t="s">
        <v>22</v>
      </c>
      <c r="K9865" s="8" t="s">
        <v>64</v>
      </c>
      <c r="L9865" s="8" t="s">
        <v>6120</v>
      </c>
      <c r="M9865" s="8" t="s">
        <v>6121</v>
      </c>
      <c r="N9865" s="8" t="s">
        <v>42472</v>
      </c>
      <c r="O9865" s="8">
        <f>4+0/60+4/3600</f>
        <v>4.0011111111111113</v>
      </c>
      <c r="P9865" s="8" t="s">
        <v>42473</v>
      </c>
      <c r="Q9865" s="8">
        <f>-(53+22/60+19/3600)</f>
        <v>-53.371944444444445</v>
      </c>
      <c r="R9865" s="8">
        <v>14.8</v>
      </c>
      <c r="S9865" s="8">
        <v>15.5</v>
      </c>
      <c r="T9865" s="8">
        <v>0.7</v>
      </c>
      <c r="U9865" s="8">
        <v>13.4</v>
      </c>
      <c r="V9865" s="8">
        <v>1.1000000000000001</v>
      </c>
      <c r="W9865" s="8">
        <v>0.3</v>
      </c>
      <c r="X9865" s="8">
        <v>29</v>
      </c>
      <c r="Y9865" s="8" t="s">
        <v>42474</v>
      </c>
      <c r="Z9865" s="8" t="s">
        <v>42475</v>
      </c>
    </row>
    <row r="9866" spans="1:26" x14ac:dyDescent="0.2">
      <c r="A9866" s="8">
        <v>9865</v>
      </c>
      <c r="B9866" s="8" t="s">
        <v>42476</v>
      </c>
      <c r="C9866" s="8" t="s">
        <v>42476</v>
      </c>
      <c r="G9866" s="8">
        <v>20</v>
      </c>
      <c r="H9866" s="8" t="s">
        <v>21</v>
      </c>
      <c r="I9866" s="8" t="s">
        <v>22</v>
      </c>
      <c r="J9866" s="8" t="s">
        <v>22</v>
      </c>
      <c r="K9866" s="8" t="s">
        <v>23</v>
      </c>
      <c r="L9866" s="8" t="s">
        <v>6120</v>
      </c>
      <c r="M9866" s="8" t="s">
        <v>6121</v>
      </c>
      <c r="N9866" s="8" t="s">
        <v>42477</v>
      </c>
      <c r="O9866" s="8">
        <f>4+0/60+22.8/3600</f>
        <v>4.0063333333333331</v>
      </c>
      <c r="P9866" s="8" t="s">
        <v>42478</v>
      </c>
      <c r="Q9866" s="8">
        <f>-(53+3/60+54/3600)</f>
        <v>-53.064999999999998</v>
      </c>
      <c r="R9866" s="8">
        <v>15.4</v>
      </c>
      <c r="S9866" s="8">
        <v>16.2</v>
      </c>
      <c r="T9866" s="8">
        <v>0.8</v>
      </c>
      <c r="U9866" s="8">
        <v>13.5</v>
      </c>
      <c r="V9866" s="8">
        <v>1.1000000000000001</v>
      </c>
      <c r="W9866" s="8">
        <v>0.2</v>
      </c>
      <c r="X9866" s="8">
        <v>120</v>
      </c>
      <c r="Y9866" s="8" t="s">
        <v>42479</v>
      </c>
      <c r="Z9866" s="8" t="s">
        <v>42480</v>
      </c>
    </row>
    <row r="9867" spans="1:26" x14ac:dyDescent="0.2">
      <c r="A9867" s="8">
        <v>9866</v>
      </c>
      <c r="B9867" s="8" t="s">
        <v>42481</v>
      </c>
      <c r="C9867" s="8" t="s">
        <v>42481</v>
      </c>
      <c r="G9867" s="8">
        <v>20</v>
      </c>
      <c r="H9867" s="8" t="s">
        <v>21</v>
      </c>
      <c r="I9867" s="8" t="s">
        <v>22</v>
      </c>
      <c r="J9867" s="8" t="s">
        <v>57</v>
      </c>
      <c r="K9867" s="8" t="s">
        <v>91</v>
      </c>
      <c r="L9867" s="8" t="s">
        <v>3328</v>
      </c>
      <c r="M9867" s="8" t="s">
        <v>3329</v>
      </c>
      <c r="N9867" s="8" t="s">
        <v>7014</v>
      </c>
      <c r="O9867" s="8">
        <f>4+3/60+55.1/3600</f>
        <v>4.0653055555555557</v>
      </c>
      <c r="P9867" s="8" t="s">
        <v>7015</v>
      </c>
      <c r="Q9867" s="8">
        <f>-(11+10/60+43/3600)</f>
        <v>-11.17861111111111</v>
      </c>
      <c r="R9867" s="8">
        <v>13.7</v>
      </c>
      <c r="S9867" s="8">
        <v>14.6</v>
      </c>
      <c r="T9867" s="8">
        <v>0.9</v>
      </c>
      <c r="U9867" s="8">
        <v>13</v>
      </c>
      <c r="V9867" s="8">
        <v>0.9</v>
      </c>
      <c r="W9867" s="8">
        <v>0.7</v>
      </c>
      <c r="X9867" s="8">
        <v>50</v>
      </c>
      <c r="Y9867" s="8" t="s">
        <v>1948</v>
      </c>
      <c r="Z9867" s="8" t="s">
        <v>24023</v>
      </c>
    </row>
    <row r="9868" spans="1:26" x14ac:dyDescent="0.2">
      <c r="A9868" s="8">
        <v>9867</v>
      </c>
      <c r="B9868" s="8" t="s">
        <v>42482</v>
      </c>
      <c r="C9868" s="8" t="s">
        <v>42482</v>
      </c>
      <c r="G9868" s="8">
        <v>20</v>
      </c>
      <c r="H9868" s="8" t="s">
        <v>21</v>
      </c>
      <c r="I9868" s="8" t="s">
        <v>22</v>
      </c>
      <c r="J9868" s="8" t="s">
        <v>22</v>
      </c>
      <c r="K9868" s="8" t="s">
        <v>460</v>
      </c>
      <c r="L9868" s="8" t="s">
        <v>3147</v>
      </c>
      <c r="M9868" s="8" t="s">
        <v>3148</v>
      </c>
      <c r="N9868" s="8" t="s">
        <v>42483</v>
      </c>
      <c r="O9868" s="8">
        <f>4+6/60+39.6/3600</f>
        <v>4.1109999999999998</v>
      </c>
      <c r="P9868" s="8" t="s">
        <v>42484</v>
      </c>
      <c r="Q9868" s="8">
        <f>+(37+6/60+57/3600)</f>
        <v>37.115833333333335</v>
      </c>
      <c r="R9868" s="8">
        <v>14.1</v>
      </c>
      <c r="S9868" s="8">
        <v>15.1</v>
      </c>
      <c r="T9868" s="8">
        <v>1</v>
      </c>
      <c r="U9868" s="8">
        <v>12.2</v>
      </c>
      <c r="V9868" s="8">
        <v>0.4</v>
      </c>
      <c r="W9868" s="8">
        <v>0.4</v>
      </c>
      <c r="Y9868" s="8" t="s">
        <v>36930</v>
      </c>
      <c r="Z9868" s="8" t="s">
        <v>36931</v>
      </c>
    </row>
    <row r="9869" spans="1:26" x14ac:dyDescent="0.2">
      <c r="A9869" s="8">
        <v>9868</v>
      </c>
      <c r="B9869" s="8" t="s">
        <v>42485</v>
      </c>
      <c r="C9869" s="8" t="s">
        <v>42485</v>
      </c>
      <c r="G9869" s="8">
        <v>20</v>
      </c>
      <c r="H9869" s="8" t="s">
        <v>21</v>
      </c>
      <c r="I9869" s="8" t="s">
        <v>22</v>
      </c>
      <c r="J9869" s="8" t="s">
        <v>22</v>
      </c>
      <c r="K9869" s="8" t="s">
        <v>160</v>
      </c>
      <c r="L9869" s="8" t="s">
        <v>55972</v>
      </c>
      <c r="M9869" s="8" t="s">
        <v>6970</v>
      </c>
      <c r="N9869" s="8" t="s">
        <v>42486</v>
      </c>
      <c r="O9869" s="8">
        <f>4+1/60+18.1/3600</f>
        <v>4.021694444444444</v>
      </c>
      <c r="P9869" s="8" t="s">
        <v>42487</v>
      </c>
      <c r="Q9869" s="8">
        <f>-(52+42/60+27/3600)</f>
        <v>-52.707500000000003</v>
      </c>
      <c r="R9869" s="8">
        <v>14.2</v>
      </c>
      <c r="S9869" s="8">
        <v>15.1</v>
      </c>
      <c r="T9869" s="8">
        <v>0.9</v>
      </c>
      <c r="U9869" s="8">
        <v>13.2</v>
      </c>
      <c r="V9869" s="8">
        <v>0.8</v>
      </c>
      <c r="W9869" s="8">
        <v>0.6</v>
      </c>
      <c r="X9869" s="8">
        <v>53</v>
      </c>
      <c r="Y9869" s="8" t="s">
        <v>19137</v>
      </c>
      <c r="Z9869" s="8" t="s">
        <v>19138</v>
      </c>
    </row>
    <row r="9870" spans="1:26" x14ac:dyDescent="0.2">
      <c r="A9870" s="8">
        <v>9869</v>
      </c>
      <c r="B9870" s="8" t="s">
        <v>42488</v>
      </c>
      <c r="C9870" s="8" t="s">
        <v>42488</v>
      </c>
      <c r="G9870" s="8">
        <v>20</v>
      </c>
      <c r="H9870" s="8" t="s">
        <v>21</v>
      </c>
      <c r="I9870" s="8" t="s">
        <v>22</v>
      </c>
      <c r="J9870" s="8" t="s">
        <v>22</v>
      </c>
      <c r="K9870" s="8" t="s">
        <v>64</v>
      </c>
      <c r="L9870" s="8" t="s">
        <v>55972</v>
      </c>
      <c r="M9870" s="8" t="s">
        <v>6970</v>
      </c>
      <c r="N9870" s="8" t="s">
        <v>42489</v>
      </c>
      <c r="O9870" s="8">
        <f>4+1/60+17.8/3600</f>
        <v>4.0216111111111115</v>
      </c>
      <c r="P9870" s="8" t="s">
        <v>42490</v>
      </c>
      <c r="Q9870" s="8">
        <f>-(52+48/60+3/3600)</f>
        <v>-52.80083333333333</v>
      </c>
      <c r="R9870" s="8">
        <v>14.6</v>
      </c>
      <c r="S9870" s="8">
        <v>15.3</v>
      </c>
      <c r="T9870" s="8">
        <v>0.7</v>
      </c>
      <c r="U9870" s="8">
        <v>13.3</v>
      </c>
      <c r="V9870" s="8">
        <v>0.9</v>
      </c>
      <c r="W9870" s="8">
        <v>0.4</v>
      </c>
      <c r="X9870" s="8">
        <v>178</v>
      </c>
      <c r="Y9870" s="8" t="s">
        <v>385</v>
      </c>
      <c r="Z9870" s="8" t="s">
        <v>386</v>
      </c>
    </row>
    <row r="9871" spans="1:26" x14ac:dyDescent="0.2">
      <c r="A9871" s="8">
        <v>9870</v>
      </c>
      <c r="B9871" s="8" t="s">
        <v>42491</v>
      </c>
      <c r="C9871" s="8" t="s">
        <v>42491</v>
      </c>
      <c r="G9871" s="8">
        <v>20</v>
      </c>
      <c r="H9871" s="8" t="s">
        <v>21</v>
      </c>
      <c r="I9871" s="8" t="s">
        <v>329</v>
      </c>
      <c r="J9871" s="8" t="s">
        <v>329</v>
      </c>
      <c r="K9871" s="8" t="s">
        <v>329</v>
      </c>
      <c r="L9871" s="8" t="s">
        <v>3328</v>
      </c>
      <c r="M9871" s="8" t="s">
        <v>3329</v>
      </c>
      <c r="N9871" s="8" t="s">
        <v>42492</v>
      </c>
      <c r="O9871" s="8">
        <f>4+4/60+56/3600</f>
        <v>4.0822222222222218</v>
      </c>
      <c r="P9871" s="8" t="s">
        <v>42493</v>
      </c>
      <c r="Q9871" s="8">
        <f>-(19+13/60+40/3600)</f>
        <v>-19.227777777777778</v>
      </c>
      <c r="R9871" s="8">
        <v>99</v>
      </c>
      <c r="S9871" s="8">
        <v>99</v>
      </c>
      <c r="T9871" s="8">
        <v>99</v>
      </c>
      <c r="U9871" s="8">
        <v>99</v>
      </c>
      <c r="Y9871" s="8" t="s">
        <v>21</v>
      </c>
      <c r="Z9871" s="8" t="s">
        <v>42494</v>
      </c>
    </row>
    <row r="9872" spans="1:26" x14ac:dyDescent="0.2">
      <c r="A9872" s="8">
        <v>9871</v>
      </c>
      <c r="B9872" s="8" t="s">
        <v>42495</v>
      </c>
      <c r="C9872" s="8" t="s">
        <v>42495</v>
      </c>
      <c r="G9872" s="8">
        <v>20</v>
      </c>
      <c r="H9872" s="8" t="s">
        <v>21</v>
      </c>
      <c r="I9872" s="8" t="s">
        <v>22</v>
      </c>
      <c r="J9872" s="8" t="s">
        <v>22</v>
      </c>
      <c r="K9872" s="8" t="s">
        <v>424</v>
      </c>
      <c r="L9872" s="8" t="s">
        <v>3328</v>
      </c>
      <c r="M9872" s="8" t="s">
        <v>3329</v>
      </c>
      <c r="N9872" s="8" t="s">
        <v>42496</v>
      </c>
      <c r="O9872" s="8">
        <f>4+6/60+14.7/3600</f>
        <v>4.1040833333333326</v>
      </c>
      <c r="P9872" s="8" t="s">
        <v>42497</v>
      </c>
      <c r="Q9872" s="8">
        <f>-(5+39/60+7/3600)</f>
        <v>-5.6519444444444451</v>
      </c>
      <c r="R9872" s="8">
        <v>15</v>
      </c>
      <c r="S9872" s="8">
        <v>16</v>
      </c>
      <c r="T9872" s="8">
        <v>1</v>
      </c>
      <c r="U9872" s="8">
        <v>13.3</v>
      </c>
      <c r="V9872" s="8">
        <v>0.5</v>
      </c>
      <c r="W9872" s="8">
        <v>0.5</v>
      </c>
      <c r="Y9872" s="8" t="s">
        <v>42498</v>
      </c>
      <c r="Z9872" s="8" t="s">
        <v>42499</v>
      </c>
    </row>
    <row r="9873" spans="1:26" x14ac:dyDescent="0.2">
      <c r="A9873" s="8">
        <v>9872</v>
      </c>
      <c r="B9873" s="8" t="s">
        <v>42500</v>
      </c>
      <c r="C9873" s="8" t="s">
        <v>42500</v>
      </c>
      <c r="G9873" s="8">
        <v>20</v>
      </c>
      <c r="H9873" s="8" t="s">
        <v>21</v>
      </c>
      <c r="I9873" s="8" t="s">
        <v>22</v>
      </c>
      <c r="J9873" s="8" t="s">
        <v>22</v>
      </c>
      <c r="K9873" s="8" t="s">
        <v>107</v>
      </c>
      <c r="L9873" s="8" t="s">
        <v>55972</v>
      </c>
      <c r="M9873" s="8" t="s">
        <v>6970</v>
      </c>
      <c r="N9873" s="8" t="s">
        <v>42501</v>
      </c>
      <c r="O9873" s="8">
        <f>4+7/60+3.2/3600</f>
        <v>4.1175555555555547</v>
      </c>
      <c r="P9873" s="8" t="s">
        <v>42502</v>
      </c>
      <c r="Q9873" s="8">
        <f>-(55+19/60+23/3600)</f>
        <v>-55.323055555555555</v>
      </c>
      <c r="R9873" s="8">
        <v>14.1</v>
      </c>
      <c r="S9873" s="8">
        <v>14.7</v>
      </c>
      <c r="T9873" s="8">
        <v>0.6</v>
      </c>
      <c r="U9873" s="8">
        <v>14</v>
      </c>
      <c r="V9873" s="8">
        <v>1.4</v>
      </c>
      <c r="W9873" s="8">
        <v>0.8</v>
      </c>
      <c r="X9873" s="8">
        <v>78</v>
      </c>
      <c r="Y9873" s="8" t="s">
        <v>385</v>
      </c>
      <c r="Z9873" s="8" t="s">
        <v>386</v>
      </c>
    </row>
    <row r="9874" spans="1:26" x14ac:dyDescent="0.2">
      <c r="A9874" s="8">
        <v>9873</v>
      </c>
      <c r="B9874" s="8" t="s">
        <v>42503</v>
      </c>
      <c r="C9874" s="8" t="s">
        <v>42503</v>
      </c>
      <c r="G9874" s="8">
        <v>20</v>
      </c>
      <c r="H9874" s="8" t="s">
        <v>21</v>
      </c>
      <c r="I9874" s="8" t="s">
        <v>22</v>
      </c>
      <c r="J9874" s="8" t="s">
        <v>22</v>
      </c>
      <c r="K9874" s="8" t="s">
        <v>154</v>
      </c>
      <c r="L9874" s="8" t="s">
        <v>55972</v>
      </c>
      <c r="M9874" s="8" t="s">
        <v>6970</v>
      </c>
      <c r="N9874" s="8" t="s">
        <v>42504</v>
      </c>
      <c r="O9874" s="8">
        <f>4+7/60+14.5/3600</f>
        <v>4.1206944444444442</v>
      </c>
      <c r="P9874" s="8" t="s">
        <v>42505</v>
      </c>
      <c r="Q9874" s="8">
        <f>-(53+40/60+52/3600)</f>
        <v>-53.681111111111107</v>
      </c>
      <c r="R9874" s="8">
        <v>13.9</v>
      </c>
      <c r="S9874" s="8">
        <v>14.8</v>
      </c>
      <c r="T9874" s="8">
        <v>0.9</v>
      </c>
      <c r="U9874" s="8">
        <v>13.6</v>
      </c>
      <c r="V9874" s="8">
        <v>1.2</v>
      </c>
      <c r="W9874" s="8">
        <v>0.6</v>
      </c>
      <c r="X9874" s="8">
        <v>127</v>
      </c>
      <c r="Y9874" s="8" t="s">
        <v>42506</v>
      </c>
      <c r="Z9874" s="8" t="s">
        <v>42507</v>
      </c>
    </row>
    <row r="9875" spans="1:26" x14ac:dyDescent="0.2">
      <c r="A9875" s="8">
        <v>9874</v>
      </c>
      <c r="B9875" s="8" t="s">
        <v>42508</v>
      </c>
      <c r="C9875" s="8" t="s">
        <v>42508</v>
      </c>
      <c r="G9875" s="8">
        <v>20</v>
      </c>
      <c r="H9875" s="8" t="s">
        <v>21</v>
      </c>
      <c r="I9875" s="8" t="s">
        <v>22</v>
      </c>
      <c r="J9875" s="8" t="s">
        <v>22</v>
      </c>
      <c r="K9875" s="8" t="s">
        <v>160</v>
      </c>
      <c r="L9875" s="8" t="s">
        <v>6120</v>
      </c>
      <c r="M9875" s="8" t="s">
        <v>6121</v>
      </c>
      <c r="N9875" s="8" t="s">
        <v>42509</v>
      </c>
      <c r="O9875" s="8">
        <f>4+6/60+36.8/3600</f>
        <v>4.1102222222222222</v>
      </c>
      <c r="P9875" s="8" t="s">
        <v>42510</v>
      </c>
      <c r="Q9875" s="8">
        <f>-(57+57/60+42/3600)</f>
        <v>-57.961666666666666</v>
      </c>
      <c r="R9875" s="8">
        <v>15.2</v>
      </c>
      <c r="S9875" s="8">
        <v>15.9</v>
      </c>
      <c r="T9875" s="8">
        <v>0.7</v>
      </c>
      <c r="U9875" s="8">
        <v>13.5</v>
      </c>
      <c r="V9875" s="8">
        <v>1.2</v>
      </c>
      <c r="W9875" s="8">
        <v>0.2</v>
      </c>
      <c r="X9875" s="8">
        <v>118</v>
      </c>
      <c r="Y9875" s="8" t="s">
        <v>21</v>
      </c>
      <c r="Z9875" s="8" t="s">
        <v>42511</v>
      </c>
    </row>
    <row r="9876" spans="1:26" x14ac:dyDescent="0.2">
      <c r="A9876" s="8">
        <v>9875</v>
      </c>
      <c r="B9876" s="8" t="s">
        <v>42512</v>
      </c>
      <c r="C9876" s="8" t="s">
        <v>42512</v>
      </c>
      <c r="G9876" s="8">
        <v>13</v>
      </c>
      <c r="H9876" s="8" t="s">
        <v>21</v>
      </c>
      <c r="I9876" s="8" t="s">
        <v>22</v>
      </c>
      <c r="J9876" s="8" t="s">
        <v>22</v>
      </c>
      <c r="K9876" s="8" t="s">
        <v>224</v>
      </c>
      <c r="L9876" s="8" t="s">
        <v>4263</v>
      </c>
      <c r="M9876" s="8" t="s">
        <v>4264</v>
      </c>
      <c r="N9876" s="8" t="s">
        <v>42513</v>
      </c>
      <c r="O9876" s="8">
        <f>4+9/60+1.8/3600</f>
        <v>4.1505000000000001</v>
      </c>
      <c r="P9876" s="8" t="s">
        <v>42514</v>
      </c>
      <c r="Q9876" s="8">
        <f>-(45+31/60+2/3600)</f>
        <v>-45.517222222222223</v>
      </c>
      <c r="R9876" s="8">
        <v>11.8</v>
      </c>
      <c r="S9876" s="8">
        <v>12.5</v>
      </c>
      <c r="T9876" s="8">
        <v>0.7</v>
      </c>
      <c r="U9876" s="8">
        <v>11.7</v>
      </c>
      <c r="V9876" s="8">
        <v>1.2</v>
      </c>
      <c r="W9876" s="8">
        <v>0.9</v>
      </c>
      <c r="X9876" s="8">
        <v>86</v>
      </c>
      <c r="Y9876" s="8" t="s">
        <v>2181</v>
      </c>
      <c r="Z9876" s="8" t="s">
        <v>2182</v>
      </c>
    </row>
    <row r="9877" spans="1:26" x14ac:dyDescent="0.2">
      <c r="A9877" s="8">
        <v>9876</v>
      </c>
      <c r="B9877" s="8" t="s">
        <v>42515</v>
      </c>
      <c r="C9877" s="8" t="s">
        <v>42515</v>
      </c>
      <c r="G9877" s="8">
        <v>20</v>
      </c>
      <c r="H9877" s="8" t="s">
        <v>21</v>
      </c>
      <c r="I9877" s="8" t="s">
        <v>22</v>
      </c>
      <c r="J9877" s="8" t="s">
        <v>22</v>
      </c>
      <c r="K9877" s="8" t="s">
        <v>64</v>
      </c>
      <c r="L9877" s="8" t="s">
        <v>4263</v>
      </c>
      <c r="M9877" s="8" t="s">
        <v>4264</v>
      </c>
      <c r="N9877" s="8" t="s">
        <v>42516</v>
      </c>
      <c r="O9877" s="8">
        <f>4+9/60+55/3600</f>
        <v>4.1652777777777779</v>
      </c>
      <c r="P9877" s="8" t="s">
        <v>42517</v>
      </c>
      <c r="Q9877" s="8">
        <f>-(39+41/60+19/3600)</f>
        <v>-39.688611111111108</v>
      </c>
      <c r="R9877" s="8">
        <v>13.5</v>
      </c>
      <c r="S9877" s="8">
        <v>14.2</v>
      </c>
      <c r="T9877" s="8">
        <v>0.7</v>
      </c>
      <c r="U9877" s="8">
        <v>12.8</v>
      </c>
      <c r="V9877" s="8">
        <v>1</v>
      </c>
      <c r="W9877" s="8">
        <v>0.8</v>
      </c>
      <c r="X9877" s="8">
        <v>82</v>
      </c>
      <c r="Y9877" s="8" t="s">
        <v>42518</v>
      </c>
      <c r="Z9877" s="8" t="s">
        <v>42519</v>
      </c>
    </row>
    <row r="9878" spans="1:26" x14ac:dyDescent="0.2">
      <c r="A9878" s="8">
        <v>9877</v>
      </c>
      <c r="B9878" s="8" t="s">
        <v>42520</v>
      </c>
      <c r="C9878" s="8" t="s">
        <v>42520</v>
      </c>
      <c r="G9878" s="8">
        <v>20</v>
      </c>
      <c r="H9878" s="8" t="s">
        <v>21</v>
      </c>
      <c r="I9878" s="8" t="s">
        <v>22</v>
      </c>
      <c r="J9878" s="8" t="s">
        <v>22</v>
      </c>
      <c r="K9878" s="8" t="s">
        <v>23</v>
      </c>
      <c r="L9878" s="8" t="s">
        <v>6120</v>
      </c>
      <c r="M9878" s="8" t="s">
        <v>6121</v>
      </c>
      <c r="N9878" s="8" t="s">
        <v>42521</v>
      </c>
      <c r="O9878" s="8">
        <f>4+8/60+19.3/3600</f>
        <v>4.1386944444444449</v>
      </c>
      <c r="P9878" s="8" t="s">
        <v>42522</v>
      </c>
      <c r="Q9878" s="8">
        <f>-(58+45/60+4/3600)</f>
        <v>-58.751111111111108</v>
      </c>
      <c r="R9878" s="8">
        <v>13.8</v>
      </c>
      <c r="S9878" s="8">
        <v>14.6</v>
      </c>
      <c r="T9878" s="8">
        <v>0.8</v>
      </c>
      <c r="U9878" s="8">
        <v>12.8</v>
      </c>
      <c r="V9878" s="8">
        <v>1.6</v>
      </c>
      <c r="W9878" s="8">
        <v>0.3</v>
      </c>
      <c r="X9878" s="8">
        <v>92</v>
      </c>
      <c r="Y9878" s="8" t="s">
        <v>42523</v>
      </c>
      <c r="Z9878" s="8" t="s">
        <v>42524</v>
      </c>
    </row>
    <row r="9879" spans="1:26" x14ac:dyDescent="0.2">
      <c r="A9879" s="8">
        <v>9878</v>
      </c>
      <c r="B9879" s="8" t="s">
        <v>42525</v>
      </c>
      <c r="C9879" s="8" t="s">
        <v>42525</v>
      </c>
      <c r="G9879" s="8">
        <v>20</v>
      </c>
      <c r="H9879" s="8" t="s">
        <v>21</v>
      </c>
      <c r="I9879" s="8" t="s">
        <v>22</v>
      </c>
      <c r="J9879" s="8" t="s">
        <v>22</v>
      </c>
      <c r="K9879" s="8" t="s">
        <v>579</v>
      </c>
      <c r="L9879" s="8" t="s">
        <v>55972</v>
      </c>
      <c r="M9879" s="8" t="s">
        <v>6970</v>
      </c>
      <c r="N9879" s="8" t="s">
        <v>42526</v>
      </c>
      <c r="O9879" s="8">
        <f>4+8/60+54.2/3600</f>
        <v>4.1483888888888893</v>
      </c>
      <c r="P9879" s="8" t="s">
        <v>42527</v>
      </c>
      <c r="Q9879" s="8">
        <f>-(55+59/60+33/3600)</f>
        <v>-55.9925</v>
      </c>
      <c r="R9879" s="8">
        <v>14.8</v>
      </c>
      <c r="S9879" s="8">
        <v>15.5</v>
      </c>
      <c r="T9879" s="8">
        <v>0.7</v>
      </c>
      <c r="U9879" s="8">
        <v>14.3</v>
      </c>
      <c r="V9879" s="8">
        <v>1.8</v>
      </c>
      <c r="W9879" s="8">
        <v>0.4</v>
      </c>
      <c r="X9879" s="8">
        <v>152</v>
      </c>
      <c r="Y9879" s="8" t="s">
        <v>42528</v>
      </c>
      <c r="Z9879" s="8" t="s">
        <v>42529</v>
      </c>
    </row>
    <row r="9880" spans="1:26" x14ac:dyDescent="0.2">
      <c r="A9880" s="8">
        <v>9879</v>
      </c>
      <c r="B9880" s="8" t="s">
        <v>42530</v>
      </c>
      <c r="C9880" s="8" t="s">
        <v>42530</v>
      </c>
      <c r="G9880" s="8">
        <v>20</v>
      </c>
      <c r="H9880" s="8" t="s">
        <v>21</v>
      </c>
      <c r="I9880" s="8" t="s">
        <v>22</v>
      </c>
      <c r="J9880" s="8" t="s">
        <v>22</v>
      </c>
      <c r="K9880" s="8" t="s">
        <v>58</v>
      </c>
      <c r="L9880" s="8" t="s">
        <v>55972</v>
      </c>
      <c r="M9880" s="8" t="s">
        <v>6970</v>
      </c>
      <c r="N9880" s="8" t="s">
        <v>42531</v>
      </c>
      <c r="O9880" s="8">
        <f>4+9/60+2.6/3600</f>
        <v>4.1507222222222229</v>
      </c>
      <c r="P9880" s="8" t="s">
        <v>42532</v>
      </c>
      <c r="Q9880" s="8">
        <f>-(56+0/60+40/3600)</f>
        <v>-56.011111111111113</v>
      </c>
      <c r="R9880" s="8">
        <v>14.2</v>
      </c>
      <c r="S9880" s="8">
        <v>14.9</v>
      </c>
      <c r="T9880" s="8">
        <v>0.7</v>
      </c>
      <c r="U9880" s="8">
        <v>13.5</v>
      </c>
      <c r="V9880" s="8">
        <v>0.9</v>
      </c>
      <c r="W9880" s="8">
        <v>0.7</v>
      </c>
      <c r="X9880" s="8">
        <v>131</v>
      </c>
      <c r="Y9880" s="8" t="s">
        <v>385</v>
      </c>
      <c r="Z9880" s="8" t="s">
        <v>386</v>
      </c>
    </row>
    <row r="9881" spans="1:26" x14ac:dyDescent="0.2">
      <c r="A9881" s="8">
        <v>9880</v>
      </c>
      <c r="B9881" s="8" t="s">
        <v>42533</v>
      </c>
      <c r="C9881" s="8" t="s">
        <v>42533</v>
      </c>
      <c r="G9881" s="8">
        <v>20</v>
      </c>
      <c r="H9881" s="8" t="s">
        <v>21</v>
      </c>
      <c r="I9881" s="8" t="s">
        <v>22</v>
      </c>
      <c r="J9881" s="8" t="s">
        <v>22</v>
      </c>
      <c r="K9881" s="8" t="s">
        <v>37</v>
      </c>
      <c r="L9881" s="8" t="s">
        <v>3328</v>
      </c>
      <c r="M9881" s="8" t="s">
        <v>3329</v>
      </c>
      <c r="N9881" s="8" t="s">
        <v>42534</v>
      </c>
      <c r="O9881" s="8">
        <f>4+12/60+59.6/3600</f>
        <v>4.2165555555555558</v>
      </c>
      <c r="P9881" s="8" t="s">
        <v>42535</v>
      </c>
      <c r="Q9881" s="8">
        <f>-(32+33/60+14/3600)</f>
        <v>-32.553888888888885</v>
      </c>
      <c r="R9881" s="8">
        <v>13.1</v>
      </c>
      <c r="S9881" s="8">
        <v>14.1</v>
      </c>
      <c r="T9881" s="8">
        <v>1</v>
      </c>
      <c r="U9881" s="8">
        <v>13</v>
      </c>
      <c r="V9881" s="8">
        <v>1.4</v>
      </c>
      <c r="W9881" s="8">
        <v>0.8</v>
      </c>
      <c r="X9881" s="8">
        <v>65</v>
      </c>
      <c r="Y9881" s="8" t="s">
        <v>21</v>
      </c>
      <c r="Z9881" s="8" t="s">
        <v>42536</v>
      </c>
    </row>
    <row r="9882" spans="1:26" x14ac:dyDescent="0.2">
      <c r="A9882" s="8">
        <v>9881</v>
      </c>
      <c r="B9882" s="8" t="s">
        <v>42537</v>
      </c>
      <c r="C9882" s="8" t="s">
        <v>42537</v>
      </c>
      <c r="G9882" s="8">
        <v>20</v>
      </c>
      <c r="H9882" s="8" t="s">
        <v>21</v>
      </c>
      <c r="I9882" s="8" t="s">
        <v>22</v>
      </c>
      <c r="J9882" s="8" t="s">
        <v>22</v>
      </c>
      <c r="K9882" s="8" t="s">
        <v>224</v>
      </c>
      <c r="L9882" s="8" t="s">
        <v>3328</v>
      </c>
      <c r="M9882" s="8" t="s">
        <v>3329</v>
      </c>
      <c r="N9882" s="8" t="s">
        <v>42538</v>
      </c>
      <c r="O9882" s="8">
        <f>4+12/60+34.9/3600</f>
        <v>4.2096944444444446</v>
      </c>
      <c r="P9882" s="8" t="s">
        <v>42539</v>
      </c>
      <c r="Q9882" s="8">
        <f>-(32+49/60+3/3600)</f>
        <v>-32.817500000000003</v>
      </c>
      <c r="R9882" s="8">
        <v>14</v>
      </c>
      <c r="S9882" s="8">
        <v>14.9</v>
      </c>
      <c r="T9882" s="8">
        <v>0.9</v>
      </c>
      <c r="U9882" s="8">
        <v>13.1</v>
      </c>
      <c r="V9882" s="8">
        <v>1.1000000000000001</v>
      </c>
      <c r="W9882" s="8">
        <v>0.6</v>
      </c>
      <c r="X9882" s="8">
        <v>136</v>
      </c>
      <c r="Y9882" s="8" t="s">
        <v>21</v>
      </c>
      <c r="Z9882" s="8" t="s">
        <v>42540</v>
      </c>
    </row>
    <row r="9883" spans="1:26" x14ac:dyDescent="0.2">
      <c r="A9883" s="8">
        <v>9882</v>
      </c>
      <c r="B9883" s="8" t="s">
        <v>42541</v>
      </c>
      <c r="C9883" s="8" t="s">
        <v>42541</v>
      </c>
      <c r="G9883" s="8">
        <v>20</v>
      </c>
      <c r="H9883" s="8" t="s">
        <v>21</v>
      </c>
      <c r="I9883" s="8" t="s">
        <v>72</v>
      </c>
      <c r="J9883" s="8" t="s">
        <v>72</v>
      </c>
      <c r="K9883" s="8" t="s">
        <v>20</v>
      </c>
      <c r="L9883" s="8" t="s">
        <v>4263</v>
      </c>
      <c r="M9883" s="8" t="s">
        <v>4264</v>
      </c>
      <c r="N9883" s="8" t="s">
        <v>42542</v>
      </c>
      <c r="O9883" s="8">
        <f>4+11/60+43/3600</f>
        <v>4.1952777777777781</v>
      </c>
      <c r="P9883" s="8" t="s">
        <v>42543</v>
      </c>
      <c r="Q9883" s="8">
        <f>-(47+16/60+17/3600)</f>
        <v>-47.271388888888886</v>
      </c>
      <c r="R9883" s="8">
        <v>99</v>
      </c>
      <c r="S9883" s="8">
        <v>10.9</v>
      </c>
      <c r="T9883" s="8">
        <v>99</v>
      </c>
      <c r="U9883" s="8">
        <v>99</v>
      </c>
      <c r="Y9883" s="8" t="s">
        <v>21</v>
      </c>
      <c r="Z9883" s="8" t="s">
        <v>42544</v>
      </c>
    </row>
    <row r="9884" spans="1:26" x14ac:dyDescent="0.2">
      <c r="A9884" s="8">
        <v>9883</v>
      </c>
      <c r="B9884" s="8" t="s">
        <v>42545</v>
      </c>
      <c r="C9884" s="8" t="s">
        <v>42545</v>
      </c>
      <c r="G9884" s="8">
        <v>20</v>
      </c>
      <c r="H9884" s="8" t="s">
        <v>21</v>
      </c>
      <c r="I9884" s="8" t="s">
        <v>22</v>
      </c>
      <c r="J9884" s="8" t="s">
        <v>22</v>
      </c>
      <c r="K9884" s="8" t="s">
        <v>23</v>
      </c>
      <c r="L9884" s="8" t="s">
        <v>55972</v>
      </c>
      <c r="M9884" s="8" t="s">
        <v>6970</v>
      </c>
      <c r="N9884" s="8" t="s">
        <v>42546</v>
      </c>
      <c r="O9884" s="8">
        <f>4+11/60+9.8/3600</f>
        <v>4.1860555555555559</v>
      </c>
      <c r="P9884" s="8" t="s">
        <v>42547</v>
      </c>
      <c r="Q9884" s="8">
        <f>-(53+41/60+11/3600)</f>
        <v>-53.686388888888885</v>
      </c>
      <c r="R9884" s="8">
        <v>14.6</v>
      </c>
      <c r="S9884" s="8">
        <v>15.5</v>
      </c>
      <c r="T9884" s="8">
        <v>0.9</v>
      </c>
      <c r="U9884" s="8">
        <v>13.1</v>
      </c>
      <c r="V9884" s="8">
        <v>1.4</v>
      </c>
      <c r="W9884" s="8">
        <v>0.2</v>
      </c>
      <c r="X9884" s="8">
        <v>15</v>
      </c>
      <c r="Y9884" s="8" t="s">
        <v>42548</v>
      </c>
      <c r="Z9884" s="8" t="s">
        <v>42549</v>
      </c>
    </row>
    <row r="9885" spans="1:26" x14ac:dyDescent="0.2">
      <c r="A9885" s="8">
        <v>9884</v>
      </c>
      <c r="B9885" s="8" t="s">
        <v>42550</v>
      </c>
      <c r="C9885" s="8" t="s">
        <v>42550</v>
      </c>
      <c r="G9885" s="8">
        <v>20</v>
      </c>
      <c r="H9885" s="8" t="s">
        <v>21</v>
      </c>
      <c r="I9885" s="8" t="s">
        <v>22</v>
      </c>
      <c r="J9885" s="8" t="s">
        <v>22</v>
      </c>
      <c r="K9885" s="8" t="s">
        <v>1445</v>
      </c>
      <c r="L9885" s="8" t="s">
        <v>55972</v>
      </c>
      <c r="M9885" s="8" t="s">
        <v>6970</v>
      </c>
      <c r="N9885" s="8" t="s">
        <v>42551</v>
      </c>
      <c r="O9885" s="8">
        <f>4+11/60+14/3600</f>
        <v>4.1872222222222222</v>
      </c>
      <c r="P9885" s="8" t="s">
        <v>42552</v>
      </c>
      <c r="Q9885" s="8">
        <f>-(54+31/60+56/3600)</f>
        <v>-54.532222222222224</v>
      </c>
      <c r="R9885" s="8">
        <v>15.7</v>
      </c>
      <c r="S9885" s="8">
        <v>16.5</v>
      </c>
      <c r="T9885" s="8">
        <v>0.8</v>
      </c>
      <c r="U9885" s="8">
        <v>13.8</v>
      </c>
      <c r="V9885" s="8">
        <v>0.5</v>
      </c>
      <c r="W9885" s="8">
        <v>0.4</v>
      </c>
      <c r="X9885" s="8">
        <v>54</v>
      </c>
      <c r="Y9885" s="8" t="s">
        <v>385</v>
      </c>
      <c r="Z9885" s="8" t="s">
        <v>386</v>
      </c>
    </row>
    <row r="9886" spans="1:26" x14ac:dyDescent="0.2">
      <c r="A9886" s="8">
        <v>9885</v>
      </c>
      <c r="B9886" s="8" t="s">
        <v>42553</v>
      </c>
      <c r="C9886" s="8" t="s">
        <v>42553</v>
      </c>
      <c r="G9886" s="8">
        <v>20</v>
      </c>
      <c r="H9886" s="8" t="s">
        <v>21</v>
      </c>
      <c r="I9886" s="8" t="s">
        <v>22</v>
      </c>
      <c r="J9886" s="8" t="s">
        <v>22</v>
      </c>
      <c r="K9886" s="8" t="s">
        <v>382</v>
      </c>
      <c r="L9886" s="8" t="s">
        <v>3328</v>
      </c>
      <c r="M9886" s="8" t="s">
        <v>3329</v>
      </c>
      <c r="N9886" s="8" t="s">
        <v>42554</v>
      </c>
      <c r="O9886" s="8">
        <f>4+14/60+36/3600</f>
        <v>4.2433333333333332</v>
      </c>
      <c r="P9886" s="8" t="s">
        <v>42555</v>
      </c>
      <c r="Q9886" s="8">
        <f>-(13+10/60+30/3600)</f>
        <v>-13.174999999999999</v>
      </c>
      <c r="R9886" s="8">
        <v>14.4</v>
      </c>
      <c r="S9886" s="8">
        <v>15.4</v>
      </c>
      <c r="T9886" s="8">
        <v>1</v>
      </c>
      <c r="U9886" s="8">
        <v>13.8</v>
      </c>
      <c r="V9886" s="8">
        <v>1</v>
      </c>
      <c r="W9886" s="8">
        <v>0.7</v>
      </c>
      <c r="X9886" s="8">
        <v>125</v>
      </c>
      <c r="Y9886" s="8" t="s">
        <v>21</v>
      </c>
      <c r="Z9886" s="8" t="s">
        <v>42556</v>
      </c>
    </row>
    <row r="9887" spans="1:26" x14ac:dyDescent="0.2">
      <c r="A9887" s="8">
        <v>9886</v>
      </c>
      <c r="B9887" s="8" t="s">
        <v>42557</v>
      </c>
      <c r="C9887" s="8" t="s">
        <v>42557</v>
      </c>
      <c r="G9887" s="8">
        <v>20</v>
      </c>
      <c r="H9887" s="8" t="s">
        <v>21</v>
      </c>
      <c r="I9887" s="8" t="s">
        <v>22</v>
      </c>
      <c r="J9887" s="8" t="s">
        <v>22</v>
      </c>
      <c r="K9887" s="8" t="s">
        <v>85</v>
      </c>
      <c r="L9887" s="8" t="s">
        <v>55972</v>
      </c>
      <c r="M9887" s="8" t="s">
        <v>6970</v>
      </c>
      <c r="N9887" s="8" t="s">
        <v>42558</v>
      </c>
      <c r="O9887" s="8">
        <f>4+11/60+24.5/3600</f>
        <v>4.1901388888888889</v>
      </c>
      <c r="P9887" s="8" t="s">
        <v>42559</v>
      </c>
      <c r="Q9887" s="8">
        <f>-(54+40/60+23/3600)</f>
        <v>-54.67305555555555</v>
      </c>
      <c r="R9887" s="8">
        <v>14.3</v>
      </c>
      <c r="S9887" s="8">
        <v>15.1</v>
      </c>
      <c r="T9887" s="8">
        <v>0.8</v>
      </c>
      <c r="U9887" s="8">
        <v>13.2</v>
      </c>
      <c r="V9887" s="8">
        <v>0.8</v>
      </c>
      <c r="W9887" s="8">
        <v>0.5</v>
      </c>
      <c r="X9887" s="8">
        <v>104</v>
      </c>
      <c r="Y9887" s="8" t="s">
        <v>421</v>
      </c>
      <c r="Z9887" s="8" t="s">
        <v>422</v>
      </c>
    </row>
    <row r="9888" spans="1:26" x14ac:dyDescent="0.2">
      <c r="A9888" s="8">
        <v>9887</v>
      </c>
      <c r="B9888" s="8" t="s">
        <v>42560</v>
      </c>
      <c r="C9888" s="8" t="s">
        <v>42560</v>
      </c>
      <c r="G9888" s="8">
        <v>20</v>
      </c>
      <c r="H9888" s="8" t="s">
        <v>21</v>
      </c>
      <c r="I9888" s="8" t="s">
        <v>22</v>
      </c>
      <c r="J9888" s="8" t="s">
        <v>57</v>
      </c>
      <c r="K9888" s="8" t="s">
        <v>476</v>
      </c>
      <c r="L9888" s="8" t="s">
        <v>3328</v>
      </c>
      <c r="M9888" s="8" t="s">
        <v>3329</v>
      </c>
      <c r="N9888" s="8" t="s">
        <v>7154</v>
      </c>
      <c r="O9888" s="8">
        <f>4+14/60+56/3600</f>
        <v>4.2488888888888887</v>
      </c>
      <c r="P9888" s="8" t="s">
        <v>7155</v>
      </c>
      <c r="Q9888" s="8">
        <f>-(13+11/60+29/3600)</f>
        <v>-13.191388888888889</v>
      </c>
      <c r="R9888" s="8">
        <v>15.1</v>
      </c>
      <c r="S9888" s="8">
        <v>16</v>
      </c>
      <c r="T9888" s="8">
        <v>0.9</v>
      </c>
      <c r="U9888" s="8">
        <v>13.6</v>
      </c>
      <c r="V9888" s="8">
        <v>0.6</v>
      </c>
      <c r="W9888" s="8">
        <v>0.5</v>
      </c>
      <c r="Y9888" s="8" t="s">
        <v>21</v>
      </c>
      <c r="Z9888" s="8" t="s">
        <v>42561</v>
      </c>
    </row>
    <row r="9889" spans="1:26" x14ac:dyDescent="0.2">
      <c r="A9889" s="8">
        <v>9888</v>
      </c>
      <c r="B9889" s="8" t="s">
        <v>42562</v>
      </c>
      <c r="C9889" s="8" t="s">
        <v>42562</v>
      </c>
      <c r="G9889" s="8">
        <v>20</v>
      </c>
      <c r="H9889" s="8" t="s">
        <v>21</v>
      </c>
      <c r="I9889" s="8" t="s">
        <v>329</v>
      </c>
      <c r="J9889" s="8" t="s">
        <v>329</v>
      </c>
      <c r="K9889" s="8" t="s">
        <v>329</v>
      </c>
      <c r="L9889" s="8" t="s">
        <v>3328</v>
      </c>
      <c r="M9889" s="8" t="s">
        <v>3329</v>
      </c>
      <c r="N9889" s="8" t="s">
        <v>42563</v>
      </c>
      <c r="O9889" s="8">
        <f>4+14/60+21/3600</f>
        <v>4.2391666666666667</v>
      </c>
      <c r="P9889" s="8" t="s">
        <v>42564</v>
      </c>
      <c r="Q9889" s="8">
        <f>-(33+7/60+18/3600)</f>
        <v>-33.12166666666667</v>
      </c>
      <c r="R9889" s="8">
        <v>99</v>
      </c>
      <c r="S9889" s="8">
        <v>99</v>
      </c>
      <c r="T9889" s="8">
        <v>99</v>
      </c>
      <c r="U9889" s="8">
        <v>99</v>
      </c>
      <c r="Y9889" s="8" t="s">
        <v>42565</v>
      </c>
      <c r="Z9889" s="8" t="s">
        <v>42566</v>
      </c>
    </row>
    <row r="9890" spans="1:26" x14ac:dyDescent="0.2">
      <c r="A9890" s="8">
        <v>9889</v>
      </c>
      <c r="B9890" s="8" t="s">
        <v>42567</v>
      </c>
      <c r="C9890" s="8" t="s">
        <v>42567</v>
      </c>
      <c r="G9890" s="8">
        <v>20</v>
      </c>
      <c r="H9890" s="8" t="s">
        <v>21</v>
      </c>
      <c r="I9890" s="8" t="s">
        <v>22</v>
      </c>
      <c r="J9890" s="8" t="s">
        <v>22</v>
      </c>
      <c r="K9890" s="8" t="s">
        <v>1277</v>
      </c>
      <c r="L9890" s="8" t="s">
        <v>6120</v>
      </c>
      <c r="M9890" s="8" t="s">
        <v>6121</v>
      </c>
      <c r="N9890" s="8" t="s">
        <v>42568</v>
      </c>
      <c r="O9890" s="8">
        <f>4+12/60+4.3/3600</f>
        <v>4.2011944444444449</v>
      </c>
      <c r="P9890" s="8" t="s">
        <v>42569</v>
      </c>
      <c r="Q9890" s="8">
        <f>-(58+33/60+27/3600)</f>
        <v>-58.557499999999997</v>
      </c>
      <c r="R9890" s="8">
        <v>14.2</v>
      </c>
      <c r="S9890" s="8">
        <v>14.9</v>
      </c>
      <c r="T9890" s="8">
        <v>0.7</v>
      </c>
      <c r="U9890" s="8">
        <v>14</v>
      </c>
      <c r="V9890" s="8">
        <v>1</v>
      </c>
      <c r="W9890" s="8">
        <v>0.9</v>
      </c>
      <c r="X9890" s="8">
        <v>168</v>
      </c>
      <c r="Y9890" s="8" t="s">
        <v>385</v>
      </c>
      <c r="Z9890" s="8" t="s">
        <v>386</v>
      </c>
    </row>
    <row r="9891" spans="1:26" x14ac:dyDescent="0.2">
      <c r="A9891" s="8">
        <v>9890</v>
      </c>
      <c r="B9891" s="8" t="s">
        <v>42570</v>
      </c>
      <c r="C9891" s="8" t="s">
        <v>42570</v>
      </c>
      <c r="G9891" s="8">
        <v>20</v>
      </c>
      <c r="H9891" s="8" t="s">
        <v>21</v>
      </c>
      <c r="I9891" s="8" t="s">
        <v>22</v>
      </c>
      <c r="J9891" s="8" t="s">
        <v>22</v>
      </c>
      <c r="K9891" s="8" t="s">
        <v>218</v>
      </c>
      <c r="L9891" s="8" t="s">
        <v>55972</v>
      </c>
      <c r="M9891" s="8" t="s">
        <v>6970</v>
      </c>
      <c r="N9891" s="8" t="s">
        <v>42571</v>
      </c>
      <c r="O9891" s="8">
        <f>4+13/60+56.2/3600</f>
        <v>4.232277777777778</v>
      </c>
      <c r="P9891" s="8" t="s">
        <v>42572</v>
      </c>
      <c r="Q9891" s="8">
        <f>-(53+28/60+33/3600)</f>
        <v>-53.475833333333334</v>
      </c>
      <c r="R9891" s="8">
        <v>13.7</v>
      </c>
      <c r="S9891" s="8">
        <v>14.4</v>
      </c>
      <c r="T9891" s="8">
        <v>0.7</v>
      </c>
      <c r="U9891" s="8">
        <v>13.4</v>
      </c>
      <c r="V9891" s="8">
        <v>1.1000000000000001</v>
      </c>
      <c r="W9891" s="8">
        <v>0.8</v>
      </c>
      <c r="X9891" s="8">
        <v>23</v>
      </c>
      <c r="Y9891" s="8" t="s">
        <v>42573</v>
      </c>
      <c r="Z9891" s="8" t="s">
        <v>42574</v>
      </c>
    </row>
    <row r="9892" spans="1:26" x14ac:dyDescent="0.2">
      <c r="A9892" s="8">
        <v>9891</v>
      </c>
      <c r="B9892" s="8" t="s">
        <v>42575</v>
      </c>
      <c r="C9892" s="8" t="s">
        <v>42575</v>
      </c>
      <c r="G9892" s="8">
        <v>20</v>
      </c>
      <c r="H9892" s="8" t="s">
        <v>21</v>
      </c>
      <c r="I9892" s="8" t="s">
        <v>22</v>
      </c>
      <c r="J9892" s="8" t="s">
        <v>22</v>
      </c>
      <c r="K9892" s="8" t="s">
        <v>85</v>
      </c>
      <c r="L9892" s="8" t="s">
        <v>7071</v>
      </c>
      <c r="M9892" s="8" t="s">
        <v>7072</v>
      </c>
      <c r="N9892" s="8" t="s">
        <v>42576</v>
      </c>
      <c r="O9892" s="8">
        <f>3+52/60+0.3/3600</f>
        <v>3.8667500000000001</v>
      </c>
      <c r="P9892" s="8" t="s">
        <v>42577</v>
      </c>
      <c r="Q9892" s="8">
        <f>-(83+49/60+55/3600)</f>
        <v>-83.831944444444446</v>
      </c>
      <c r="R9892" s="8">
        <v>11.5</v>
      </c>
      <c r="S9892" s="8">
        <v>12.3</v>
      </c>
      <c r="T9892" s="8">
        <v>0.8</v>
      </c>
      <c r="U9892" s="8">
        <v>12.9</v>
      </c>
      <c r="V9892" s="8">
        <v>2.6</v>
      </c>
      <c r="W9892" s="8">
        <v>1.6</v>
      </c>
      <c r="X9892" s="8">
        <v>67</v>
      </c>
      <c r="Y9892" s="8" t="s">
        <v>21</v>
      </c>
      <c r="Z9892" s="8" t="s">
        <v>42578</v>
      </c>
    </row>
    <row r="9893" spans="1:26" x14ac:dyDescent="0.2">
      <c r="A9893" s="8">
        <v>9892</v>
      </c>
      <c r="B9893" s="8" t="s">
        <v>42579</v>
      </c>
      <c r="C9893" s="8" t="s">
        <v>42579</v>
      </c>
      <c r="G9893" s="8">
        <v>20</v>
      </c>
      <c r="H9893" s="8" t="s">
        <v>21</v>
      </c>
      <c r="I9893" s="8" t="s">
        <v>22</v>
      </c>
      <c r="J9893" s="8" t="s">
        <v>22</v>
      </c>
      <c r="K9893" s="8" t="s">
        <v>396</v>
      </c>
      <c r="L9893" s="8" t="s">
        <v>55972</v>
      </c>
      <c r="M9893" s="8" t="s">
        <v>6970</v>
      </c>
      <c r="N9893" s="8" t="s">
        <v>42580</v>
      </c>
      <c r="O9893" s="8">
        <f>4+14/60+58.7/3600</f>
        <v>4.2496388888888887</v>
      </c>
      <c r="P9893" s="8" t="s">
        <v>42581</v>
      </c>
      <c r="Q9893" s="8">
        <f>-(54+20/60+11/3600)</f>
        <v>-54.336388888888891</v>
      </c>
      <c r="R9893" s="8">
        <v>14.6</v>
      </c>
      <c r="S9893" s="8">
        <v>15.4</v>
      </c>
      <c r="T9893" s="8">
        <v>0.8</v>
      </c>
      <c r="U9893" s="8">
        <v>13.3</v>
      </c>
      <c r="V9893" s="8">
        <v>0.9</v>
      </c>
      <c r="W9893" s="8">
        <v>0.4</v>
      </c>
      <c r="X9893" s="8">
        <v>165</v>
      </c>
      <c r="Y9893" s="8" t="s">
        <v>42582</v>
      </c>
      <c r="Z9893" s="8" t="s">
        <v>42583</v>
      </c>
    </row>
    <row r="9894" spans="1:26" x14ac:dyDescent="0.2">
      <c r="A9894" s="8">
        <v>9893</v>
      </c>
      <c r="B9894" s="8" t="s">
        <v>42584</v>
      </c>
      <c r="C9894" s="8" t="s">
        <v>42584</v>
      </c>
      <c r="G9894" s="8">
        <v>20</v>
      </c>
      <c r="H9894" s="8" t="s">
        <v>21</v>
      </c>
      <c r="I9894" s="8" t="s">
        <v>329</v>
      </c>
      <c r="J9894" s="8" t="s">
        <v>329</v>
      </c>
      <c r="K9894" s="8" t="s">
        <v>329</v>
      </c>
      <c r="L9894" s="8" t="s">
        <v>55972</v>
      </c>
      <c r="M9894" s="8" t="s">
        <v>6970</v>
      </c>
      <c r="N9894" s="8" t="s">
        <v>42585</v>
      </c>
      <c r="O9894" s="8">
        <f>4+15/60+48/3600</f>
        <v>4.2633333333333336</v>
      </c>
      <c r="P9894" s="8" t="s">
        <v>42586</v>
      </c>
      <c r="Q9894" s="8">
        <f>-(49+22/60+8/3600)</f>
        <v>-49.36888888888889</v>
      </c>
      <c r="R9894" s="8">
        <v>99</v>
      </c>
      <c r="S9894" s="8">
        <v>99</v>
      </c>
      <c r="T9894" s="8">
        <v>99</v>
      </c>
      <c r="U9894" s="8">
        <v>99</v>
      </c>
      <c r="Y9894" s="8" t="s">
        <v>42587</v>
      </c>
      <c r="Z9894" s="8" t="s">
        <v>42588</v>
      </c>
    </row>
    <row r="9895" spans="1:26" x14ac:dyDescent="0.2">
      <c r="A9895" s="8">
        <v>9894</v>
      </c>
      <c r="B9895" s="8" t="s">
        <v>42589</v>
      </c>
      <c r="C9895" s="8" t="s">
        <v>42589</v>
      </c>
      <c r="G9895" s="8">
        <v>20</v>
      </c>
      <c r="H9895" s="8" t="s">
        <v>21</v>
      </c>
      <c r="I9895" s="8" t="s">
        <v>22</v>
      </c>
      <c r="J9895" s="8" t="s">
        <v>22</v>
      </c>
      <c r="K9895" s="8" t="s">
        <v>42274</v>
      </c>
      <c r="L9895" s="8" t="s">
        <v>7071</v>
      </c>
      <c r="M9895" s="8" t="s">
        <v>7072</v>
      </c>
      <c r="N9895" s="8" t="s">
        <v>42590</v>
      </c>
      <c r="O9895" s="8">
        <f>4+7/60+26.7/3600</f>
        <v>4.1240833333333331</v>
      </c>
      <c r="P9895" s="8" t="s">
        <v>42591</v>
      </c>
      <c r="Q9895" s="8">
        <f>-(78+15/60+13/3600)</f>
        <v>-78.253611111111113</v>
      </c>
      <c r="R9895" s="8">
        <v>15.6</v>
      </c>
      <c r="S9895" s="8">
        <v>16.399999999999999</v>
      </c>
      <c r="T9895" s="8">
        <v>0.8</v>
      </c>
      <c r="U9895" s="8">
        <v>13.7</v>
      </c>
      <c r="V9895" s="8">
        <v>0.5</v>
      </c>
      <c r="W9895" s="8">
        <v>0.4</v>
      </c>
      <c r="Y9895" s="8" t="s">
        <v>21</v>
      </c>
      <c r="Z9895" s="8" t="s">
        <v>42592</v>
      </c>
    </row>
    <row r="9896" spans="1:26" x14ac:dyDescent="0.2">
      <c r="A9896" s="8">
        <v>9895</v>
      </c>
      <c r="B9896" s="8" t="s">
        <v>42593</v>
      </c>
      <c r="C9896" s="8" t="s">
        <v>42593</v>
      </c>
      <c r="G9896" s="8">
        <v>20</v>
      </c>
      <c r="H9896" s="8" t="s">
        <v>21</v>
      </c>
      <c r="I9896" s="8" t="s">
        <v>329</v>
      </c>
      <c r="J9896" s="8" t="s">
        <v>329</v>
      </c>
      <c r="K9896" s="8" t="s">
        <v>329</v>
      </c>
      <c r="L9896" s="8" t="s">
        <v>55972</v>
      </c>
      <c r="M9896" s="8" t="s">
        <v>6970</v>
      </c>
      <c r="N9896" s="8" t="s">
        <v>42594</v>
      </c>
      <c r="O9896" s="8">
        <f>4+17/60+48/3600</f>
        <v>4.2966666666666669</v>
      </c>
      <c r="P9896" s="8" t="s">
        <v>42595</v>
      </c>
      <c r="Q9896" s="8">
        <f>-(48+55/60+24/3600)</f>
        <v>-48.923333333333332</v>
      </c>
      <c r="R9896" s="8">
        <v>99</v>
      </c>
      <c r="S9896" s="8">
        <v>99</v>
      </c>
      <c r="T9896" s="8">
        <v>99</v>
      </c>
      <c r="U9896" s="8">
        <v>99</v>
      </c>
      <c r="Y9896" s="8" t="s">
        <v>42596</v>
      </c>
      <c r="Z9896" s="8" t="s">
        <v>42597</v>
      </c>
    </row>
    <row r="9897" spans="1:26" x14ac:dyDescent="0.2">
      <c r="A9897" s="8">
        <v>9896</v>
      </c>
      <c r="B9897" s="8" t="s">
        <v>42598</v>
      </c>
      <c r="C9897" s="8" t="s">
        <v>42598</v>
      </c>
      <c r="G9897" s="8">
        <v>13</v>
      </c>
      <c r="H9897" s="8" t="s">
        <v>21</v>
      </c>
      <c r="I9897" s="8" t="s">
        <v>22</v>
      </c>
      <c r="J9897" s="8" t="s">
        <v>22</v>
      </c>
      <c r="K9897" s="8" t="s">
        <v>85</v>
      </c>
      <c r="L9897" s="8" t="s">
        <v>6120</v>
      </c>
      <c r="M9897" s="8" t="s">
        <v>6121</v>
      </c>
      <c r="N9897" s="8" t="s">
        <v>42599</v>
      </c>
      <c r="O9897" s="8">
        <f>4+16/60+24.8/3600</f>
        <v>4.2735555555555553</v>
      </c>
      <c r="P9897" s="8" t="s">
        <v>42600</v>
      </c>
      <c r="Q9897" s="8">
        <f>-(60+12/60+23/3600)</f>
        <v>-60.206388888888888</v>
      </c>
      <c r="R9897" s="8">
        <v>11.9</v>
      </c>
      <c r="S9897" s="8">
        <v>12.5</v>
      </c>
      <c r="T9897" s="8">
        <v>0.6</v>
      </c>
      <c r="U9897" s="8">
        <v>12.9</v>
      </c>
      <c r="V9897" s="8">
        <v>1.9</v>
      </c>
      <c r="W9897" s="8">
        <v>1.6</v>
      </c>
      <c r="X9897" s="8">
        <v>8</v>
      </c>
      <c r="Y9897" s="8" t="s">
        <v>42601</v>
      </c>
      <c r="Z9897" s="8" t="s">
        <v>42602</v>
      </c>
    </row>
    <row r="9898" spans="1:26" x14ac:dyDescent="0.2">
      <c r="A9898" s="8">
        <v>9897</v>
      </c>
      <c r="B9898" s="8" t="s">
        <v>42603</v>
      </c>
      <c r="C9898" s="8" t="s">
        <v>42603</v>
      </c>
      <c r="G9898" s="8">
        <v>20</v>
      </c>
      <c r="H9898" s="8" t="s">
        <v>21</v>
      </c>
      <c r="I9898" s="8" t="s">
        <v>22</v>
      </c>
      <c r="J9898" s="8" t="s">
        <v>22</v>
      </c>
      <c r="K9898" s="8" t="s">
        <v>476</v>
      </c>
      <c r="L9898" s="8" t="s">
        <v>6115</v>
      </c>
      <c r="M9898" s="8" t="s">
        <v>6116</v>
      </c>
      <c r="N9898" s="8" t="s">
        <v>42604</v>
      </c>
      <c r="O9898" s="8">
        <f>4+21/60+56/3600</f>
        <v>4.365555555555555</v>
      </c>
      <c r="P9898" s="8" t="s">
        <v>42605</v>
      </c>
      <c r="Q9898" s="8">
        <f>+(4+2/60+53/3600)</f>
        <v>4.0480555555555551</v>
      </c>
      <c r="R9898" s="8">
        <v>14.4</v>
      </c>
      <c r="S9898" s="8">
        <v>15.2</v>
      </c>
      <c r="T9898" s="8">
        <v>0.8</v>
      </c>
      <c r="U9898" s="8">
        <v>13.3</v>
      </c>
      <c r="V9898" s="8">
        <v>0.7</v>
      </c>
      <c r="W9898" s="8">
        <v>0.6</v>
      </c>
      <c r="Y9898" s="8" t="s">
        <v>24508</v>
      </c>
      <c r="Z9898" s="8" t="s">
        <v>24509</v>
      </c>
    </row>
    <row r="9899" spans="1:26" x14ac:dyDescent="0.2">
      <c r="A9899" s="8">
        <v>9898</v>
      </c>
      <c r="B9899" s="8" t="s">
        <v>42606</v>
      </c>
      <c r="C9899" s="8" t="s">
        <v>42606</v>
      </c>
      <c r="G9899" s="8">
        <v>20</v>
      </c>
      <c r="H9899" s="8" t="s">
        <v>21</v>
      </c>
      <c r="I9899" s="8" t="s">
        <v>22</v>
      </c>
      <c r="J9899" s="8" t="s">
        <v>22</v>
      </c>
      <c r="K9899" s="8" t="s">
        <v>579</v>
      </c>
      <c r="L9899" s="8" t="s">
        <v>55972</v>
      </c>
      <c r="M9899" s="8" t="s">
        <v>6970</v>
      </c>
      <c r="N9899" s="8" t="s">
        <v>42607</v>
      </c>
      <c r="O9899" s="8">
        <f>4+17/60+54.5/3600</f>
        <v>4.2984722222222222</v>
      </c>
      <c r="P9899" s="8" t="s">
        <v>42608</v>
      </c>
      <c r="Q9899" s="8">
        <f>-(55+55/60+51/3600)</f>
        <v>-55.930833333333332</v>
      </c>
      <c r="R9899" s="8">
        <v>13.2</v>
      </c>
      <c r="S9899" s="8">
        <v>13.9</v>
      </c>
      <c r="T9899" s="8">
        <v>0.7</v>
      </c>
      <c r="U9899" s="8">
        <v>13.2</v>
      </c>
      <c r="V9899" s="8">
        <v>2.9</v>
      </c>
      <c r="W9899" s="8">
        <v>0.4</v>
      </c>
      <c r="X9899" s="8">
        <v>18</v>
      </c>
      <c r="Y9899" s="8" t="s">
        <v>42609</v>
      </c>
      <c r="Z9899" s="8" t="s">
        <v>42610</v>
      </c>
    </row>
    <row r="9900" spans="1:26" x14ac:dyDescent="0.2">
      <c r="A9900" s="8">
        <v>9899</v>
      </c>
      <c r="B9900" s="8" t="s">
        <v>42611</v>
      </c>
      <c r="C9900" s="8" t="s">
        <v>42611</v>
      </c>
      <c r="G9900" s="8">
        <v>20</v>
      </c>
      <c r="H9900" s="8" t="s">
        <v>21</v>
      </c>
      <c r="I9900" s="8" t="s">
        <v>22</v>
      </c>
      <c r="J9900" s="8" t="s">
        <v>22</v>
      </c>
      <c r="K9900" s="8" t="s">
        <v>224</v>
      </c>
      <c r="L9900" s="8" t="s">
        <v>3328</v>
      </c>
      <c r="M9900" s="8" t="s">
        <v>3329</v>
      </c>
      <c r="N9900" s="8" t="s">
        <v>42612</v>
      </c>
      <c r="O9900" s="8">
        <f>4+20/60+26.2/3600</f>
        <v>4.3406111111111105</v>
      </c>
      <c r="P9900" s="8" t="s">
        <v>42613</v>
      </c>
      <c r="Q9900" s="8">
        <f>-(31+43/60+28/3600)</f>
        <v>-31.724444444444444</v>
      </c>
      <c r="R9900" s="8">
        <v>12.9</v>
      </c>
      <c r="S9900" s="8">
        <v>13.9</v>
      </c>
      <c r="T9900" s="8">
        <v>1</v>
      </c>
      <c r="U9900" s="8">
        <v>12</v>
      </c>
      <c r="V9900" s="8">
        <v>1.3</v>
      </c>
      <c r="W9900" s="8">
        <v>0.4</v>
      </c>
      <c r="X9900" s="8">
        <v>172</v>
      </c>
      <c r="Y9900" s="8" t="s">
        <v>13360</v>
      </c>
      <c r="Z9900" s="8" t="s">
        <v>13361</v>
      </c>
    </row>
    <row r="9901" spans="1:26" x14ac:dyDescent="0.2">
      <c r="A9901" s="8">
        <v>9900</v>
      </c>
      <c r="B9901" s="8" t="s">
        <v>42614</v>
      </c>
      <c r="C9901" s="8" t="s">
        <v>42614</v>
      </c>
      <c r="G9901" s="8">
        <v>20</v>
      </c>
      <c r="H9901" s="8" t="s">
        <v>21</v>
      </c>
      <c r="I9901" s="8" t="s">
        <v>22</v>
      </c>
      <c r="J9901" s="8" t="s">
        <v>22</v>
      </c>
      <c r="K9901" s="8" t="s">
        <v>58</v>
      </c>
      <c r="L9901" s="8" t="s">
        <v>6120</v>
      </c>
      <c r="M9901" s="8" t="s">
        <v>6121</v>
      </c>
      <c r="N9901" s="8" t="s">
        <v>42615</v>
      </c>
      <c r="O9901" s="8">
        <f>4+17/60+53.5/3600</f>
        <v>4.2981944444444444</v>
      </c>
      <c r="P9901" s="8" t="s">
        <v>42616</v>
      </c>
      <c r="Q9901" s="8">
        <f>-(56+36/60+58/3600)</f>
        <v>-56.61611111111111</v>
      </c>
      <c r="R9901" s="8">
        <v>14</v>
      </c>
      <c r="S9901" s="8">
        <v>14.9</v>
      </c>
      <c r="T9901" s="8">
        <v>0.9</v>
      </c>
      <c r="U9901" s="8">
        <v>14.4</v>
      </c>
      <c r="V9901" s="8">
        <v>1.5</v>
      </c>
      <c r="W9901" s="8">
        <v>1.1000000000000001</v>
      </c>
      <c r="X9901" s="8">
        <v>148</v>
      </c>
      <c r="Y9901" s="8" t="s">
        <v>4430</v>
      </c>
      <c r="Z9901" s="8" t="s">
        <v>4431</v>
      </c>
    </row>
    <row r="9902" spans="1:26" x14ac:dyDescent="0.2">
      <c r="A9902" s="8">
        <v>9901</v>
      </c>
      <c r="B9902" s="8" t="s">
        <v>42617</v>
      </c>
      <c r="C9902" s="8" t="s">
        <v>42617</v>
      </c>
      <c r="G9902" s="8">
        <v>20</v>
      </c>
      <c r="H9902" s="8" t="s">
        <v>21</v>
      </c>
      <c r="I9902" s="8" t="s">
        <v>329</v>
      </c>
      <c r="J9902" s="8" t="s">
        <v>329</v>
      </c>
      <c r="K9902" s="8" t="s">
        <v>329</v>
      </c>
      <c r="L9902" s="8" t="s">
        <v>6115</v>
      </c>
      <c r="M9902" s="8" t="s">
        <v>6116</v>
      </c>
      <c r="N9902" s="8" t="s">
        <v>42618</v>
      </c>
      <c r="O9902" s="8">
        <f>4+24/60+0/3600</f>
        <v>4.4000000000000004</v>
      </c>
      <c r="P9902" s="8" t="s">
        <v>42619</v>
      </c>
      <c r="Q9902" s="8">
        <f>+(21+5/60+0/3600)</f>
        <v>21.083333333333332</v>
      </c>
      <c r="R9902" s="8">
        <v>99</v>
      </c>
      <c r="S9902" s="8">
        <v>99</v>
      </c>
      <c r="T9902" s="8">
        <v>99</v>
      </c>
      <c r="U9902" s="8">
        <v>99</v>
      </c>
      <c r="Y9902" s="8" t="s">
        <v>42620</v>
      </c>
      <c r="Z9902" s="8" t="s">
        <v>42621</v>
      </c>
    </row>
    <row r="9903" spans="1:26" x14ac:dyDescent="0.2">
      <c r="A9903" s="8">
        <v>9902</v>
      </c>
      <c r="B9903" s="8" t="s">
        <v>42622</v>
      </c>
      <c r="C9903" s="8" t="s">
        <v>42622</v>
      </c>
      <c r="G9903" s="8">
        <v>20</v>
      </c>
      <c r="H9903" s="8" t="s">
        <v>21</v>
      </c>
      <c r="I9903" s="8" t="s">
        <v>72</v>
      </c>
      <c r="J9903" s="8" t="s">
        <v>72</v>
      </c>
      <c r="K9903" s="8" t="s">
        <v>20</v>
      </c>
      <c r="L9903" s="8" t="s">
        <v>6823</v>
      </c>
      <c r="M9903" s="8" t="s">
        <v>6824</v>
      </c>
      <c r="N9903" s="8" t="s">
        <v>42623</v>
      </c>
      <c r="O9903" s="8">
        <f>4+32/60+2.1/3600</f>
        <v>4.5339166666666664</v>
      </c>
      <c r="P9903" s="8" t="s">
        <v>42624</v>
      </c>
      <c r="Q9903" s="8">
        <f>+(71+55/60+11/3600)</f>
        <v>71.919722222222234</v>
      </c>
      <c r="R9903" s="8">
        <v>99</v>
      </c>
      <c r="S9903" s="8">
        <v>99</v>
      </c>
      <c r="T9903" s="8">
        <v>99</v>
      </c>
      <c r="U9903" s="8">
        <v>99</v>
      </c>
      <c r="Y9903" s="8" t="s">
        <v>47</v>
      </c>
      <c r="Z9903" s="8" t="s">
        <v>48</v>
      </c>
    </row>
    <row r="9904" spans="1:26" x14ac:dyDescent="0.2">
      <c r="A9904" s="8">
        <v>9903</v>
      </c>
      <c r="B9904" s="8" t="s">
        <v>42625</v>
      </c>
      <c r="C9904" s="8" t="s">
        <v>42625</v>
      </c>
      <c r="G9904" s="8">
        <v>20</v>
      </c>
      <c r="H9904" s="8" t="s">
        <v>21</v>
      </c>
      <c r="I9904" s="8" t="s">
        <v>22</v>
      </c>
      <c r="J9904" s="8" t="s">
        <v>22</v>
      </c>
      <c r="K9904" s="8" t="s">
        <v>449</v>
      </c>
      <c r="L9904" s="8" t="s">
        <v>3328</v>
      </c>
      <c r="M9904" s="8" t="s">
        <v>3329</v>
      </c>
      <c r="N9904" s="8" t="s">
        <v>42626</v>
      </c>
      <c r="O9904" s="8">
        <f>4+22/60+40.2/3600</f>
        <v>4.3778333333333332</v>
      </c>
      <c r="P9904" s="8" t="s">
        <v>42627</v>
      </c>
      <c r="Q9904" s="8">
        <f>-(15+39/60+40/3600)</f>
        <v>-15.661111111111111</v>
      </c>
      <c r="R9904" s="8">
        <v>14.2</v>
      </c>
      <c r="S9904" s="8">
        <v>15</v>
      </c>
      <c r="T9904" s="8">
        <v>0.8</v>
      </c>
      <c r="U9904" s="8">
        <v>12.2</v>
      </c>
      <c r="V9904" s="8">
        <v>0.6</v>
      </c>
      <c r="W9904" s="8">
        <v>0.3</v>
      </c>
      <c r="X9904" s="8">
        <v>0</v>
      </c>
      <c r="Y9904" s="8" t="s">
        <v>21</v>
      </c>
      <c r="Z9904" s="8" t="s">
        <v>42628</v>
      </c>
    </row>
    <row r="9905" spans="1:26" x14ac:dyDescent="0.2">
      <c r="A9905" s="8">
        <v>9904</v>
      </c>
      <c r="B9905" s="8" t="s">
        <v>42629</v>
      </c>
      <c r="C9905" s="8" t="s">
        <v>42629</v>
      </c>
      <c r="G9905" s="8">
        <v>20</v>
      </c>
      <c r="H9905" s="8" t="s">
        <v>21</v>
      </c>
      <c r="I9905" s="8" t="s">
        <v>22</v>
      </c>
      <c r="J9905" s="8" t="s">
        <v>22</v>
      </c>
      <c r="K9905" s="8" t="s">
        <v>460</v>
      </c>
      <c r="L9905" s="8" t="s">
        <v>3328</v>
      </c>
      <c r="M9905" s="8" t="s">
        <v>3329</v>
      </c>
      <c r="N9905" s="8" t="s">
        <v>42630</v>
      </c>
      <c r="O9905" s="8">
        <f>4+23/60+26.7/3600</f>
        <v>4.3907500000000006</v>
      </c>
      <c r="P9905" s="8" t="s">
        <v>42631</v>
      </c>
      <c r="Q9905" s="8">
        <f>-(15+41/60+7/3600)</f>
        <v>-15.685277777777777</v>
      </c>
      <c r="R9905" s="8">
        <v>14.8</v>
      </c>
      <c r="S9905" s="8">
        <v>15.8</v>
      </c>
      <c r="T9905" s="8">
        <v>1</v>
      </c>
      <c r="U9905" s="8">
        <v>12.9</v>
      </c>
      <c r="V9905" s="8">
        <v>0.4</v>
      </c>
      <c r="W9905" s="8">
        <v>0.4</v>
      </c>
      <c r="Y9905" s="8" t="s">
        <v>21</v>
      </c>
      <c r="Z9905" s="8" t="s">
        <v>42632</v>
      </c>
    </row>
    <row r="9906" spans="1:26" x14ac:dyDescent="0.2">
      <c r="A9906" s="8">
        <v>9905</v>
      </c>
      <c r="B9906" s="8" t="s">
        <v>42633</v>
      </c>
      <c r="C9906" s="8" t="s">
        <v>42633</v>
      </c>
      <c r="G9906" s="8">
        <v>20</v>
      </c>
      <c r="H9906" s="8" t="s">
        <v>21</v>
      </c>
      <c r="I9906" s="8" t="s">
        <v>22</v>
      </c>
      <c r="J9906" s="8" t="s">
        <v>22</v>
      </c>
      <c r="K9906" s="8" t="s">
        <v>91</v>
      </c>
      <c r="L9906" s="8" t="s">
        <v>55972</v>
      </c>
      <c r="M9906" s="8" t="s">
        <v>6970</v>
      </c>
      <c r="N9906" s="8" t="s">
        <v>42634</v>
      </c>
      <c r="O9906" s="8">
        <f>4+21/60+28.1/3600</f>
        <v>4.3578055555555553</v>
      </c>
      <c r="P9906" s="8" t="s">
        <v>42635</v>
      </c>
      <c r="Q9906" s="8">
        <f>-(55+55/60+58/3600)</f>
        <v>-55.932777777777773</v>
      </c>
      <c r="R9906" s="8">
        <v>13.7</v>
      </c>
      <c r="S9906" s="8">
        <v>14.6</v>
      </c>
      <c r="T9906" s="8">
        <v>0.9</v>
      </c>
      <c r="U9906" s="8">
        <v>12.8</v>
      </c>
      <c r="V9906" s="8">
        <v>1.2</v>
      </c>
      <c r="W9906" s="8">
        <v>0.4</v>
      </c>
      <c r="X9906" s="8">
        <v>37</v>
      </c>
      <c r="Y9906" s="8" t="s">
        <v>42636</v>
      </c>
      <c r="Z9906" s="8" t="s">
        <v>42637</v>
      </c>
    </row>
    <row r="9907" spans="1:26" x14ac:dyDescent="0.2">
      <c r="A9907" s="8">
        <v>9906</v>
      </c>
      <c r="B9907" s="8" t="s">
        <v>42638</v>
      </c>
      <c r="C9907" s="8" t="s">
        <v>42638</v>
      </c>
      <c r="G9907" s="8">
        <v>20</v>
      </c>
      <c r="H9907" s="8" t="s">
        <v>21</v>
      </c>
      <c r="I9907" s="8" t="s">
        <v>22</v>
      </c>
      <c r="J9907" s="8" t="s">
        <v>22</v>
      </c>
      <c r="K9907" s="8" t="s">
        <v>64</v>
      </c>
      <c r="L9907" s="8" t="s">
        <v>55972</v>
      </c>
      <c r="M9907" s="8" t="s">
        <v>6970</v>
      </c>
      <c r="N9907" s="8" t="s">
        <v>42639</v>
      </c>
      <c r="O9907" s="8">
        <f>4+23/60+32.2/3600</f>
        <v>4.3922777777777782</v>
      </c>
      <c r="P9907" s="8" t="s">
        <v>42640</v>
      </c>
      <c r="Q9907" s="8">
        <f>-(54+44/60+0/3600)</f>
        <v>-54.733333333333334</v>
      </c>
      <c r="R9907" s="8">
        <v>14.6</v>
      </c>
      <c r="S9907" s="8">
        <v>15.3</v>
      </c>
      <c r="T9907" s="8">
        <v>0.7</v>
      </c>
      <c r="U9907" s="8">
        <v>13.7</v>
      </c>
      <c r="V9907" s="8">
        <v>0.8</v>
      </c>
      <c r="W9907" s="8">
        <v>0.6</v>
      </c>
      <c r="X9907" s="8">
        <v>129</v>
      </c>
      <c r="Y9907" s="8" t="s">
        <v>15791</v>
      </c>
      <c r="Z9907" s="8" t="s">
        <v>15792</v>
      </c>
    </row>
    <row r="9908" spans="1:26" x14ac:dyDescent="0.2">
      <c r="A9908" s="8">
        <v>9907</v>
      </c>
      <c r="B9908" s="8" t="s">
        <v>42641</v>
      </c>
      <c r="C9908" s="8" t="s">
        <v>42641</v>
      </c>
      <c r="G9908" s="8">
        <v>20</v>
      </c>
      <c r="H9908" s="8" t="s">
        <v>21</v>
      </c>
      <c r="I9908" s="8" t="s">
        <v>1283</v>
      </c>
      <c r="J9908" s="8" t="s">
        <v>1283</v>
      </c>
      <c r="K9908" s="8" t="s">
        <v>1284</v>
      </c>
      <c r="L9908" s="8" t="s">
        <v>3147</v>
      </c>
      <c r="M9908" s="8" t="s">
        <v>3148</v>
      </c>
      <c r="N9908" s="8" t="s">
        <v>42642</v>
      </c>
      <c r="O9908" s="8">
        <f>4+30/60+52/3600</f>
        <v>4.514444444444444</v>
      </c>
      <c r="P9908" s="8" t="s">
        <v>42643</v>
      </c>
      <c r="Q9908" s="8">
        <f>+(35+26/60+42/3600)</f>
        <v>35.444999999999993</v>
      </c>
      <c r="R9908" s="8">
        <v>99</v>
      </c>
      <c r="S9908" s="8">
        <v>99</v>
      </c>
      <c r="T9908" s="8">
        <v>99</v>
      </c>
      <c r="U9908" s="8">
        <v>99</v>
      </c>
      <c r="Y9908" s="8" t="s">
        <v>21</v>
      </c>
      <c r="Z9908" s="8" t="s">
        <v>42644</v>
      </c>
    </row>
    <row r="9909" spans="1:26" x14ac:dyDescent="0.2">
      <c r="A9909" s="8">
        <v>9908</v>
      </c>
      <c r="B9909" s="8" t="s">
        <v>42645</v>
      </c>
      <c r="C9909" s="8" t="s">
        <v>42645</v>
      </c>
      <c r="G9909" s="8">
        <v>20</v>
      </c>
      <c r="H9909" s="8" t="s">
        <v>21</v>
      </c>
      <c r="I9909" s="8" t="s">
        <v>22</v>
      </c>
      <c r="J9909" s="8" t="s">
        <v>22</v>
      </c>
      <c r="K9909" s="8" t="s">
        <v>632</v>
      </c>
      <c r="L9909" s="8" t="s">
        <v>7243</v>
      </c>
      <c r="M9909" s="8" t="s">
        <v>7244</v>
      </c>
      <c r="N9909" s="8" t="s">
        <v>42646</v>
      </c>
      <c r="O9909" s="8">
        <f>4+26/60+36.8/3600</f>
        <v>4.4435555555555561</v>
      </c>
      <c r="P9909" s="8" t="s">
        <v>42647</v>
      </c>
      <c r="Q9909" s="8">
        <f>-(42+5/60+37/3600)</f>
        <v>-42.093611111111116</v>
      </c>
      <c r="R9909" s="8">
        <v>13.3</v>
      </c>
      <c r="S9909" s="8">
        <v>14.2</v>
      </c>
      <c r="T9909" s="8">
        <v>0.9</v>
      </c>
      <c r="U9909" s="8">
        <v>13.1</v>
      </c>
      <c r="V9909" s="8">
        <v>1.2</v>
      </c>
      <c r="W9909" s="8">
        <v>0.8</v>
      </c>
      <c r="X9909" s="8">
        <v>153</v>
      </c>
      <c r="Y9909" s="8" t="s">
        <v>21</v>
      </c>
      <c r="Z9909" s="8" t="s">
        <v>42648</v>
      </c>
    </row>
    <row r="9910" spans="1:26" x14ac:dyDescent="0.2">
      <c r="A9910" s="8">
        <v>9909</v>
      </c>
      <c r="B9910" s="8" t="s">
        <v>42649</v>
      </c>
      <c r="C9910" s="8" t="s">
        <v>42649</v>
      </c>
      <c r="G9910" s="8">
        <v>20</v>
      </c>
      <c r="H9910" s="8" t="s">
        <v>21</v>
      </c>
      <c r="I9910" s="8" t="s">
        <v>329</v>
      </c>
      <c r="J9910" s="8" t="s">
        <v>329</v>
      </c>
      <c r="K9910" s="8" t="s">
        <v>329</v>
      </c>
      <c r="L9910" s="8" t="s">
        <v>7243</v>
      </c>
      <c r="M9910" s="8" t="s">
        <v>7244</v>
      </c>
      <c r="N9910" s="8" t="s">
        <v>42650</v>
      </c>
      <c r="O9910" s="8">
        <f>4+25/60+56/3600</f>
        <v>4.4322222222222223</v>
      </c>
      <c r="P9910" s="8" t="s">
        <v>42651</v>
      </c>
      <c r="Q9910" s="8">
        <f>-(48+12/60+30/3600)</f>
        <v>-48.208333333333336</v>
      </c>
      <c r="R9910" s="8">
        <v>99</v>
      </c>
      <c r="S9910" s="8">
        <v>99</v>
      </c>
      <c r="T9910" s="8">
        <v>99</v>
      </c>
      <c r="U9910" s="8">
        <v>99</v>
      </c>
      <c r="Y9910" s="8" t="s">
        <v>42652</v>
      </c>
      <c r="Z9910" s="8" t="s">
        <v>42653</v>
      </c>
    </row>
    <row r="9911" spans="1:26" x14ac:dyDescent="0.2">
      <c r="A9911" s="8">
        <v>9910</v>
      </c>
      <c r="B9911" s="8" t="s">
        <v>42654</v>
      </c>
      <c r="C9911" s="8" t="s">
        <v>42654</v>
      </c>
      <c r="G9911" s="8">
        <v>20</v>
      </c>
      <c r="H9911" s="8" t="s">
        <v>21</v>
      </c>
      <c r="I9911" s="8" t="s">
        <v>22</v>
      </c>
      <c r="J9911" s="8" t="s">
        <v>22</v>
      </c>
      <c r="K9911" s="8" t="s">
        <v>64</v>
      </c>
      <c r="L9911" s="8" t="s">
        <v>55972</v>
      </c>
      <c r="M9911" s="8" t="s">
        <v>6970</v>
      </c>
      <c r="N9911" s="8" t="s">
        <v>42655</v>
      </c>
      <c r="O9911" s="8">
        <f>4+24/60+35.6/3600</f>
        <v>4.4098888888888892</v>
      </c>
      <c r="P9911" s="8" t="s">
        <v>42656</v>
      </c>
      <c r="Q9911" s="8">
        <f>-(57+58/60+52/3600)</f>
        <v>-57.981111111111112</v>
      </c>
      <c r="R9911" s="8">
        <v>13.8</v>
      </c>
      <c r="S9911" s="8">
        <v>14.5</v>
      </c>
      <c r="T9911" s="8">
        <v>0.7</v>
      </c>
      <c r="U9911" s="8">
        <v>13.9</v>
      </c>
      <c r="V9911" s="8">
        <v>1.4</v>
      </c>
      <c r="W9911" s="8">
        <v>0.9</v>
      </c>
      <c r="X9911" s="8">
        <v>85</v>
      </c>
      <c r="Y9911" s="8" t="s">
        <v>42657</v>
      </c>
      <c r="Z9911" s="8" t="s">
        <v>42658</v>
      </c>
    </row>
    <row r="9912" spans="1:26" x14ac:dyDescent="0.2">
      <c r="A9912" s="8">
        <v>9911</v>
      </c>
      <c r="B9912" s="8" t="s">
        <v>42659</v>
      </c>
      <c r="C9912" s="8" t="s">
        <v>42659</v>
      </c>
      <c r="G9912" s="8">
        <v>20</v>
      </c>
      <c r="H9912" s="8" t="s">
        <v>21</v>
      </c>
      <c r="I9912" s="8" t="s">
        <v>22</v>
      </c>
      <c r="J9912" s="8" t="s">
        <v>22</v>
      </c>
      <c r="K9912" s="8" t="s">
        <v>124</v>
      </c>
      <c r="L9912" s="8" t="s">
        <v>55972</v>
      </c>
      <c r="M9912" s="8" t="s">
        <v>6970</v>
      </c>
      <c r="N9912" s="8" t="s">
        <v>42660</v>
      </c>
      <c r="O9912" s="8">
        <f>4+26/60+14.3/3600</f>
        <v>4.4373055555555556</v>
      </c>
      <c r="P9912" s="8" t="s">
        <v>42661</v>
      </c>
      <c r="Q9912" s="8">
        <f>-(53+9/60+5/3600)</f>
        <v>-53.151388888888889</v>
      </c>
      <c r="R9912" s="8">
        <v>15.7</v>
      </c>
      <c r="S9912" s="8">
        <v>16.5</v>
      </c>
      <c r="T9912" s="8">
        <v>0.8</v>
      </c>
      <c r="U9912" s="8">
        <v>13.2</v>
      </c>
      <c r="V9912" s="8">
        <v>0.4</v>
      </c>
      <c r="W9912" s="8">
        <v>0.3</v>
      </c>
      <c r="X9912" s="8">
        <v>85</v>
      </c>
      <c r="Y9912" s="8" t="s">
        <v>21</v>
      </c>
      <c r="Z9912" s="8" t="s">
        <v>42662</v>
      </c>
    </row>
    <row r="9913" spans="1:26" x14ac:dyDescent="0.2">
      <c r="A9913" s="8">
        <v>9912</v>
      </c>
      <c r="B9913" s="8" t="s">
        <v>42663</v>
      </c>
      <c r="C9913" s="8" t="s">
        <v>42663</v>
      </c>
      <c r="G9913" s="8">
        <v>20</v>
      </c>
      <c r="H9913" s="8" t="s">
        <v>21</v>
      </c>
      <c r="I9913" s="8" t="s">
        <v>329</v>
      </c>
      <c r="J9913" s="8" t="s">
        <v>329</v>
      </c>
      <c r="K9913" s="8" t="s">
        <v>329</v>
      </c>
      <c r="L9913" s="8" t="s">
        <v>7243</v>
      </c>
      <c r="M9913" s="8" t="s">
        <v>7244</v>
      </c>
      <c r="N9913" s="8" t="s">
        <v>42664</v>
      </c>
      <c r="O9913" s="8">
        <f>4+26/60+54/3600</f>
        <v>4.4483333333333333</v>
      </c>
      <c r="P9913" s="8" t="s">
        <v>42665</v>
      </c>
      <c r="Q9913" s="8">
        <f>-(48+22/60+36/3600)</f>
        <v>-48.376666666666665</v>
      </c>
      <c r="R9913" s="8">
        <v>99</v>
      </c>
      <c r="S9913" s="8">
        <v>99</v>
      </c>
      <c r="T9913" s="8">
        <v>99</v>
      </c>
      <c r="U9913" s="8">
        <v>99</v>
      </c>
      <c r="Y9913" s="8" t="s">
        <v>42666</v>
      </c>
      <c r="Z9913" s="8" t="s">
        <v>42667</v>
      </c>
    </row>
    <row r="9914" spans="1:26" x14ac:dyDescent="0.2">
      <c r="A9914" s="8">
        <v>9913</v>
      </c>
      <c r="B9914" s="8" t="s">
        <v>42668</v>
      </c>
      <c r="C9914" s="8" t="s">
        <v>42668</v>
      </c>
      <c r="G9914" s="8">
        <v>20</v>
      </c>
      <c r="H9914" s="8" t="s">
        <v>21</v>
      </c>
      <c r="I9914" s="8" t="s">
        <v>22</v>
      </c>
      <c r="J9914" s="8" t="s">
        <v>22</v>
      </c>
      <c r="K9914" s="8" t="s">
        <v>64</v>
      </c>
      <c r="L9914" s="8" t="s">
        <v>55972</v>
      </c>
      <c r="M9914" s="8" t="s">
        <v>6970</v>
      </c>
      <c r="N9914" s="8" t="s">
        <v>42669</v>
      </c>
      <c r="O9914" s="8">
        <f>4+26/60+33.4/3600</f>
        <v>4.4426111111111117</v>
      </c>
      <c r="P9914" s="8" t="s">
        <v>42670</v>
      </c>
      <c r="Q9914" s="8">
        <f>-(53+11/60+18/3600)</f>
        <v>-53.188333333333333</v>
      </c>
      <c r="R9914" s="8">
        <v>13.8</v>
      </c>
      <c r="S9914" s="8">
        <v>14.6</v>
      </c>
      <c r="T9914" s="8">
        <v>0.8</v>
      </c>
      <c r="U9914" s="8">
        <v>13.1</v>
      </c>
      <c r="V9914" s="8">
        <v>1.2</v>
      </c>
      <c r="W9914" s="8">
        <v>0.5</v>
      </c>
      <c r="X9914" s="8">
        <v>49</v>
      </c>
      <c r="Y9914" s="8" t="s">
        <v>21</v>
      </c>
      <c r="Z9914" s="8" t="s">
        <v>42671</v>
      </c>
    </row>
    <row r="9915" spans="1:26" x14ac:dyDescent="0.2">
      <c r="A9915" s="8">
        <v>9914</v>
      </c>
      <c r="B9915" s="8" t="s">
        <v>42672</v>
      </c>
      <c r="C9915" s="8" t="s">
        <v>42672</v>
      </c>
      <c r="G9915" s="8">
        <v>20</v>
      </c>
      <c r="H9915" s="8" t="s">
        <v>21</v>
      </c>
      <c r="I9915" s="8" t="s">
        <v>72</v>
      </c>
      <c r="J9915" s="8" t="s">
        <v>72</v>
      </c>
      <c r="K9915" s="8" t="s">
        <v>1802</v>
      </c>
      <c r="L9915" s="8" t="s">
        <v>6115</v>
      </c>
      <c r="M9915" s="8" t="s">
        <v>6116</v>
      </c>
      <c r="N9915" s="8" t="s">
        <v>42673</v>
      </c>
      <c r="O9915" s="8">
        <f>4+31/60+23/3600</f>
        <v>4.5230555555555556</v>
      </c>
      <c r="P9915" s="8" t="s">
        <v>42674</v>
      </c>
      <c r="Q9915" s="8">
        <f>+(7+42/60+12/3600)</f>
        <v>7.7033333333333331</v>
      </c>
      <c r="R9915" s="8">
        <v>99</v>
      </c>
      <c r="S9915" s="8">
        <v>99</v>
      </c>
      <c r="T9915" s="8">
        <v>99</v>
      </c>
      <c r="U9915" s="8">
        <v>99</v>
      </c>
      <c r="Y9915" s="8" t="s">
        <v>42675</v>
      </c>
      <c r="Z9915" s="8" t="s">
        <v>42676</v>
      </c>
    </row>
    <row r="9916" spans="1:26" x14ac:dyDescent="0.2">
      <c r="A9916" s="8">
        <v>9915</v>
      </c>
      <c r="B9916" s="8" t="s">
        <v>42677</v>
      </c>
      <c r="C9916" s="8" t="s">
        <v>42677</v>
      </c>
      <c r="G9916" s="8">
        <v>20</v>
      </c>
      <c r="H9916" s="8" t="s">
        <v>21</v>
      </c>
      <c r="I9916" s="8" t="s">
        <v>22</v>
      </c>
      <c r="J9916" s="8" t="s">
        <v>57</v>
      </c>
      <c r="K9916" s="8" t="s">
        <v>85</v>
      </c>
      <c r="L9916" s="8" t="s">
        <v>3328</v>
      </c>
      <c r="M9916" s="8" t="s">
        <v>3329</v>
      </c>
      <c r="N9916" s="8" t="s">
        <v>7405</v>
      </c>
      <c r="O9916" s="8">
        <f>4+30/60+51.5/3600</f>
        <v>4.5143055555555556</v>
      </c>
      <c r="P9916" s="8" t="s">
        <v>7406</v>
      </c>
      <c r="Q9916" s="8">
        <f>-(5+47/60+52/3600)</f>
        <v>-5.7977777777777773</v>
      </c>
      <c r="R9916" s="8">
        <v>13</v>
      </c>
      <c r="S9916" s="8">
        <v>13.8</v>
      </c>
      <c r="T9916" s="8">
        <v>0.8</v>
      </c>
      <c r="U9916" s="8">
        <v>13.8</v>
      </c>
      <c r="V9916" s="8">
        <v>1.8</v>
      </c>
      <c r="W9916" s="8">
        <v>1.3</v>
      </c>
      <c r="X9916" s="8">
        <v>60</v>
      </c>
      <c r="Y9916" s="8" t="s">
        <v>42678</v>
      </c>
      <c r="Z9916" s="8" t="s">
        <v>42679</v>
      </c>
    </row>
    <row r="9917" spans="1:26" x14ac:dyDescent="0.2">
      <c r="A9917" s="8">
        <v>9916</v>
      </c>
      <c r="B9917" s="8" t="s">
        <v>42680</v>
      </c>
      <c r="C9917" s="8" t="s">
        <v>42680</v>
      </c>
      <c r="G9917" s="8">
        <v>20</v>
      </c>
      <c r="H9917" s="8" t="s">
        <v>21</v>
      </c>
      <c r="I9917" s="8" t="s">
        <v>329</v>
      </c>
      <c r="J9917" s="8" t="s">
        <v>329</v>
      </c>
      <c r="K9917" s="8" t="s">
        <v>329</v>
      </c>
      <c r="L9917" s="8" t="s">
        <v>7243</v>
      </c>
      <c r="M9917" s="8" t="s">
        <v>7244</v>
      </c>
      <c r="N9917" s="8" t="s">
        <v>42681</v>
      </c>
      <c r="O9917" s="8">
        <f>4+28/60+7/3600</f>
        <v>4.4686111111111115</v>
      </c>
      <c r="P9917" s="8" t="s">
        <v>42682</v>
      </c>
      <c r="Q9917" s="8">
        <f>-(48+13/60+42/3600)</f>
        <v>-48.228333333333332</v>
      </c>
      <c r="R9917" s="8">
        <v>99</v>
      </c>
      <c r="S9917" s="8">
        <v>99</v>
      </c>
      <c r="T9917" s="8">
        <v>99</v>
      </c>
      <c r="U9917" s="8">
        <v>99</v>
      </c>
      <c r="Y9917" s="8" t="s">
        <v>42683</v>
      </c>
      <c r="Z9917" s="8" t="s">
        <v>42684</v>
      </c>
    </row>
    <row r="9918" spans="1:26" x14ac:dyDescent="0.2">
      <c r="A9918" s="8">
        <v>9917</v>
      </c>
      <c r="B9918" s="8" t="s">
        <v>42685</v>
      </c>
      <c r="C9918" s="8" t="s">
        <v>42685</v>
      </c>
      <c r="G9918" s="8">
        <v>20</v>
      </c>
      <c r="H9918" s="8" t="s">
        <v>21</v>
      </c>
      <c r="I9918" s="8" t="s">
        <v>22</v>
      </c>
      <c r="J9918" s="8" t="s">
        <v>57</v>
      </c>
      <c r="K9918" s="8" t="s">
        <v>37</v>
      </c>
      <c r="L9918" s="8" t="s">
        <v>6115</v>
      </c>
      <c r="M9918" s="8" t="s">
        <v>6116</v>
      </c>
      <c r="N9918" s="8" t="s">
        <v>7402</v>
      </c>
      <c r="O9918" s="8">
        <f>4+32/60+6.1/3600</f>
        <v>4.5350277777777777</v>
      </c>
      <c r="P9918" s="8" t="s">
        <v>7403</v>
      </c>
      <c r="Q9918" s="8">
        <f>+(0+34/60+4/3600)</f>
        <v>0.56777777777777771</v>
      </c>
      <c r="R9918" s="8">
        <v>13.4</v>
      </c>
      <c r="S9918" s="8">
        <v>14.4</v>
      </c>
      <c r="T9918" s="8">
        <v>1</v>
      </c>
      <c r="U9918" s="8">
        <v>13.3</v>
      </c>
      <c r="V9918" s="8">
        <v>1.6</v>
      </c>
      <c r="W9918" s="8">
        <v>0.6</v>
      </c>
      <c r="X9918" s="8">
        <v>130</v>
      </c>
      <c r="Y9918" s="8" t="s">
        <v>40990</v>
      </c>
      <c r="Z9918" s="8" t="s">
        <v>40991</v>
      </c>
    </row>
    <row r="9919" spans="1:26" x14ac:dyDescent="0.2">
      <c r="A9919" s="8">
        <v>9918</v>
      </c>
      <c r="B9919" s="8" t="s">
        <v>42686</v>
      </c>
      <c r="C9919" s="8" t="s">
        <v>42686</v>
      </c>
      <c r="G9919" s="8">
        <v>20</v>
      </c>
      <c r="H9919" s="8" t="s">
        <v>21</v>
      </c>
      <c r="I9919" s="8" t="s">
        <v>72</v>
      </c>
      <c r="J9919" s="8" t="s">
        <v>72</v>
      </c>
      <c r="K9919" s="8" t="s">
        <v>20</v>
      </c>
      <c r="L9919" s="8" t="s">
        <v>3328</v>
      </c>
      <c r="M9919" s="8" t="s">
        <v>3329</v>
      </c>
      <c r="N9919" s="8" t="s">
        <v>42687</v>
      </c>
      <c r="O9919" s="8">
        <f>4+31/60+52.3/3600</f>
        <v>4.5311944444444441</v>
      </c>
      <c r="P9919" s="8" t="s">
        <v>42688</v>
      </c>
      <c r="Q9919" s="8">
        <f>-(4+41/60+55/3600)</f>
        <v>-4.6986111111111111</v>
      </c>
      <c r="R9919" s="8">
        <v>99</v>
      </c>
      <c r="S9919" s="8">
        <v>14.9</v>
      </c>
      <c r="T9919" s="8">
        <v>99</v>
      </c>
      <c r="U9919" s="8">
        <v>99</v>
      </c>
      <c r="Y9919" s="8" t="s">
        <v>17524</v>
      </c>
      <c r="Z9919" s="8" t="s">
        <v>17525</v>
      </c>
    </row>
    <row r="9920" spans="1:26" x14ac:dyDescent="0.2">
      <c r="A9920" s="8">
        <v>9919</v>
      </c>
      <c r="B9920" s="8" t="s">
        <v>42689</v>
      </c>
      <c r="C9920" s="8" t="s">
        <v>42689</v>
      </c>
      <c r="G9920" s="8">
        <v>20</v>
      </c>
      <c r="H9920" s="8" t="s">
        <v>21</v>
      </c>
      <c r="I9920" s="8" t="s">
        <v>22</v>
      </c>
      <c r="J9920" s="8" t="s">
        <v>22</v>
      </c>
      <c r="K9920" s="8" t="s">
        <v>406</v>
      </c>
      <c r="L9920" s="8" t="s">
        <v>55972</v>
      </c>
      <c r="M9920" s="8" t="s">
        <v>6970</v>
      </c>
      <c r="N9920" s="8" t="s">
        <v>42690</v>
      </c>
      <c r="O9920" s="8">
        <f>4+28/60+30.7/3600</f>
        <v>4.4751944444444449</v>
      </c>
      <c r="P9920" s="8" t="s">
        <v>42691</v>
      </c>
      <c r="Q9920" s="8">
        <f>-(53+44/60+17/3600)</f>
        <v>-53.738055555555555</v>
      </c>
      <c r="R9920" s="8">
        <v>13.9</v>
      </c>
      <c r="S9920" s="8">
        <v>14.7</v>
      </c>
      <c r="T9920" s="8">
        <v>0.8</v>
      </c>
      <c r="U9920" s="8">
        <v>13</v>
      </c>
      <c r="V9920" s="8">
        <v>1.2</v>
      </c>
      <c r="W9920" s="8">
        <v>0.4</v>
      </c>
      <c r="X9920" s="8">
        <v>125</v>
      </c>
      <c r="Y9920" s="8" t="s">
        <v>42692</v>
      </c>
      <c r="Z9920" s="8" t="s">
        <v>42693</v>
      </c>
    </row>
    <row r="9921" spans="1:26" x14ac:dyDescent="0.2">
      <c r="A9921" s="8">
        <v>9920</v>
      </c>
      <c r="B9921" s="8" t="s">
        <v>42694</v>
      </c>
      <c r="C9921" s="8" t="s">
        <v>42694</v>
      </c>
      <c r="G9921" s="8">
        <v>20</v>
      </c>
      <c r="H9921" s="8" t="s">
        <v>21</v>
      </c>
      <c r="I9921" s="8" t="s">
        <v>22</v>
      </c>
      <c r="J9921" s="8" t="s">
        <v>22</v>
      </c>
      <c r="K9921" s="8" t="s">
        <v>37</v>
      </c>
      <c r="L9921" s="8" t="s">
        <v>3328</v>
      </c>
      <c r="M9921" s="8" t="s">
        <v>3329</v>
      </c>
      <c r="N9921" s="8" t="s">
        <v>42695</v>
      </c>
      <c r="O9921" s="8">
        <f>4+31/60+52.1/3600</f>
        <v>4.531138888888889</v>
      </c>
      <c r="P9921" s="8" t="s">
        <v>42696</v>
      </c>
      <c r="Q9921" s="8">
        <f>-(5+45/60+25/3600)</f>
        <v>-5.7569444444444446</v>
      </c>
      <c r="R9921" s="8">
        <v>14.8</v>
      </c>
      <c r="S9921" s="8">
        <v>15.8</v>
      </c>
      <c r="T9921" s="8">
        <v>1</v>
      </c>
      <c r="U9921" s="8">
        <v>12.9</v>
      </c>
      <c r="V9921" s="8">
        <v>0.5</v>
      </c>
      <c r="W9921" s="8">
        <v>0.4</v>
      </c>
      <c r="Y9921" s="8" t="s">
        <v>21</v>
      </c>
      <c r="Z9921" s="8" t="s">
        <v>42697</v>
      </c>
    </row>
    <row r="9922" spans="1:26" x14ac:dyDescent="0.2">
      <c r="A9922" s="8">
        <v>9921</v>
      </c>
      <c r="B9922" s="8" t="s">
        <v>42698</v>
      </c>
      <c r="C9922" s="8" t="s">
        <v>42698</v>
      </c>
      <c r="G9922" s="8">
        <v>20</v>
      </c>
      <c r="H9922" s="8" t="s">
        <v>21</v>
      </c>
      <c r="I9922" s="8" t="s">
        <v>22</v>
      </c>
      <c r="J9922" s="8" t="s">
        <v>22</v>
      </c>
      <c r="K9922" s="8" t="s">
        <v>118</v>
      </c>
      <c r="L9922" s="8" t="s">
        <v>55972</v>
      </c>
      <c r="M9922" s="8" t="s">
        <v>6970</v>
      </c>
      <c r="N9922" s="8" t="s">
        <v>42699</v>
      </c>
      <c r="O9922" s="8">
        <f>4+29/60+0.7/3600</f>
        <v>4.4835277777777778</v>
      </c>
      <c r="P9922" s="8" t="s">
        <v>42700</v>
      </c>
      <c r="Q9922" s="8">
        <f>-(53+36/60+49/3600)</f>
        <v>-53.613611111111112</v>
      </c>
      <c r="R9922" s="8">
        <v>13.3</v>
      </c>
      <c r="S9922" s="8">
        <v>14.3</v>
      </c>
      <c r="T9922" s="8">
        <v>1</v>
      </c>
      <c r="U9922" s="8">
        <v>13</v>
      </c>
      <c r="V9922" s="8">
        <v>1.2</v>
      </c>
      <c r="W9922" s="8">
        <v>0.8</v>
      </c>
      <c r="X9922" s="8">
        <v>92</v>
      </c>
      <c r="Y9922" s="8" t="s">
        <v>399</v>
      </c>
      <c r="Z9922" s="8" t="s">
        <v>400</v>
      </c>
    </row>
    <row r="9923" spans="1:26" x14ac:dyDescent="0.2">
      <c r="A9923" s="8">
        <v>9922</v>
      </c>
      <c r="B9923" s="8" t="s">
        <v>42701</v>
      </c>
      <c r="C9923" s="8" t="s">
        <v>42701</v>
      </c>
      <c r="G9923" s="8">
        <v>20</v>
      </c>
      <c r="H9923" s="8" t="s">
        <v>21</v>
      </c>
      <c r="I9923" s="8" t="s">
        <v>22</v>
      </c>
      <c r="J9923" s="8" t="s">
        <v>22</v>
      </c>
      <c r="K9923" s="8" t="s">
        <v>58</v>
      </c>
      <c r="L9923" s="8" t="s">
        <v>55972</v>
      </c>
      <c r="M9923" s="8" t="s">
        <v>6970</v>
      </c>
      <c r="N9923" s="8" t="s">
        <v>42702</v>
      </c>
      <c r="O9923" s="8">
        <f>4+29/60+7.8/3600</f>
        <v>4.4855</v>
      </c>
      <c r="P9923" s="8" t="s">
        <v>42703</v>
      </c>
      <c r="Q9923" s="8">
        <f>-(53+49/60+40/3600)</f>
        <v>-53.827777777777783</v>
      </c>
      <c r="R9923" s="8">
        <v>12.7</v>
      </c>
      <c r="S9923" s="8">
        <v>13.8</v>
      </c>
      <c r="T9923" s="8">
        <v>1.1000000000000001</v>
      </c>
      <c r="U9923" s="8">
        <v>12.7</v>
      </c>
      <c r="V9923" s="8">
        <v>1.3</v>
      </c>
      <c r="W9923" s="8">
        <v>0.8</v>
      </c>
      <c r="X9923" s="8">
        <v>136</v>
      </c>
      <c r="Y9923" s="8" t="s">
        <v>1932</v>
      </c>
      <c r="Z9923" s="8" t="s">
        <v>1933</v>
      </c>
    </row>
    <row r="9924" spans="1:26" x14ac:dyDescent="0.2">
      <c r="A9924" s="8">
        <v>9923</v>
      </c>
      <c r="B9924" s="8" t="s">
        <v>42704</v>
      </c>
      <c r="C9924" s="8" t="s">
        <v>42704</v>
      </c>
      <c r="G9924" s="8">
        <v>20</v>
      </c>
      <c r="H9924" s="8" t="s">
        <v>21</v>
      </c>
      <c r="I9924" s="8" t="s">
        <v>22</v>
      </c>
      <c r="J9924" s="8" t="s">
        <v>22</v>
      </c>
      <c r="K9924" s="8" t="s">
        <v>435</v>
      </c>
      <c r="L9924" s="8" t="s">
        <v>55972</v>
      </c>
      <c r="M9924" s="8" t="s">
        <v>6970</v>
      </c>
      <c r="N9924" s="8" t="s">
        <v>42705</v>
      </c>
      <c r="O9924" s="8">
        <f>4+30/60+44.1/3600</f>
        <v>4.5122499999999999</v>
      </c>
      <c r="P9924" s="8" t="s">
        <v>42706</v>
      </c>
      <c r="Q9924" s="8">
        <f>-(53+58/60+51/3600)</f>
        <v>-53.980833333333337</v>
      </c>
      <c r="R9924" s="8">
        <v>14</v>
      </c>
      <c r="S9924" s="8">
        <v>14.9</v>
      </c>
      <c r="T9924" s="8">
        <v>0.9</v>
      </c>
      <c r="U9924" s="8">
        <v>13.4</v>
      </c>
      <c r="V9924" s="8">
        <v>1.1000000000000001</v>
      </c>
      <c r="W9924" s="8">
        <v>0.6</v>
      </c>
      <c r="X9924" s="8">
        <v>128</v>
      </c>
      <c r="Y9924" s="8" t="s">
        <v>385</v>
      </c>
      <c r="Z9924" s="8" t="s">
        <v>386</v>
      </c>
    </row>
    <row r="9925" spans="1:26" x14ac:dyDescent="0.2">
      <c r="A9925" s="8">
        <v>9924</v>
      </c>
      <c r="B9925" s="8" t="s">
        <v>42707</v>
      </c>
      <c r="C9925" s="8" t="s">
        <v>42707</v>
      </c>
      <c r="G9925" s="8">
        <v>20</v>
      </c>
      <c r="H9925" s="8" t="s">
        <v>21</v>
      </c>
      <c r="I9925" s="8" t="s">
        <v>329</v>
      </c>
      <c r="J9925" s="8" t="s">
        <v>329</v>
      </c>
      <c r="K9925" s="8" t="s">
        <v>329</v>
      </c>
      <c r="L9925" s="8" t="s">
        <v>7243</v>
      </c>
      <c r="M9925" s="8" t="s">
        <v>7244</v>
      </c>
      <c r="N9925" s="8" t="s">
        <v>42708</v>
      </c>
      <c r="O9925" s="8">
        <f>4+32/60+6.2/3600</f>
        <v>4.5350555555555552</v>
      </c>
      <c r="P9925" s="8" t="s">
        <v>42709</v>
      </c>
      <c r="Q9925" s="8">
        <f>-(48+17/60+18/3600)</f>
        <v>-48.288333333333334</v>
      </c>
      <c r="R9925" s="8">
        <v>99</v>
      </c>
      <c r="S9925" s="8">
        <v>99</v>
      </c>
      <c r="T9925" s="8">
        <v>99</v>
      </c>
      <c r="U9925" s="8">
        <v>99</v>
      </c>
      <c r="Y9925" s="8" t="s">
        <v>42710</v>
      </c>
      <c r="Z9925" s="8" t="s">
        <v>42711</v>
      </c>
    </row>
    <row r="9926" spans="1:26" x14ac:dyDescent="0.2">
      <c r="A9926" s="8">
        <v>9925</v>
      </c>
      <c r="B9926" s="8" t="s">
        <v>42712</v>
      </c>
      <c r="C9926" s="8" t="s">
        <v>42712</v>
      </c>
      <c r="G9926" s="8">
        <v>20</v>
      </c>
      <c r="H9926" s="8" t="s">
        <v>21</v>
      </c>
      <c r="I9926" s="8" t="s">
        <v>22</v>
      </c>
      <c r="J9926" s="8" t="s">
        <v>22</v>
      </c>
      <c r="K9926" s="8" t="s">
        <v>224</v>
      </c>
      <c r="L9926" s="8" t="s">
        <v>55972</v>
      </c>
      <c r="M9926" s="8" t="s">
        <v>6970</v>
      </c>
      <c r="N9926" s="8" t="s">
        <v>42713</v>
      </c>
      <c r="O9926" s="8">
        <f>4+31/60+24.4/3600</f>
        <v>4.5234444444444444</v>
      </c>
      <c r="P9926" s="8" t="s">
        <v>42714</v>
      </c>
      <c r="Q9926" s="8">
        <f>-(54+24/60+58/3600)</f>
        <v>-54.416111111111107</v>
      </c>
      <c r="R9926" s="8">
        <v>13.1</v>
      </c>
      <c r="S9926" s="8">
        <v>13.9</v>
      </c>
      <c r="T9926" s="8">
        <v>0.8</v>
      </c>
      <c r="U9926" s="8">
        <v>13.2</v>
      </c>
      <c r="V9926" s="8">
        <v>2.2999999999999998</v>
      </c>
      <c r="W9926" s="8">
        <v>0.4</v>
      </c>
      <c r="X9926" s="8">
        <v>119</v>
      </c>
      <c r="Y9926" s="8" t="s">
        <v>42715</v>
      </c>
      <c r="Z9926" s="8" t="s">
        <v>42716</v>
      </c>
    </row>
    <row r="9927" spans="1:26" x14ac:dyDescent="0.2">
      <c r="A9927" s="8">
        <v>9926</v>
      </c>
      <c r="B9927" s="8" t="s">
        <v>42717</v>
      </c>
      <c r="C9927" s="8" t="s">
        <v>42717</v>
      </c>
      <c r="G9927" s="8">
        <v>20</v>
      </c>
      <c r="H9927" s="8" t="s">
        <v>21</v>
      </c>
      <c r="I9927" s="8" t="s">
        <v>22</v>
      </c>
      <c r="J9927" s="8" t="s">
        <v>22</v>
      </c>
      <c r="K9927" s="8" t="s">
        <v>460</v>
      </c>
      <c r="L9927" s="8" t="s">
        <v>55972</v>
      </c>
      <c r="M9927" s="8" t="s">
        <v>6970</v>
      </c>
      <c r="N9927" s="8" t="s">
        <v>42718</v>
      </c>
      <c r="O9927" s="8">
        <f>4+31/60+32.1/3600</f>
        <v>4.5255833333333335</v>
      </c>
      <c r="P9927" s="8" t="s">
        <v>42719</v>
      </c>
      <c r="Q9927" s="8">
        <f>-(53+38/60+51/3600)</f>
        <v>-53.647500000000001</v>
      </c>
      <c r="R9927" s="8">
        <v>14.6</v>
      </c>
      <c r="S9927" s="8">
        <v>15.6</v>
      </c>
      <c r="T9927" s="8">
        <v>1</v>
      </c>
      <c r="U9927" s="8">
        <v>12.7</v>
      </c>
      <c r="V9927" s="8">
        <v>0.4</v>
      </c>
      <c r="W9927" s="8">
        <v>0.4</v>
      </c>
      <c r="Y9927" s="8" t="s">
        <v>15791</v>
      </c>
      <c r="Z9927" s="8" t="s">
        <v>15792</v>
      </c>
    </row>
    <row r="9928" spans="1:26" x14ac:dyDescent="0.2">
      <c r="A9928" s="8">
        <v>9927</v>
      </c>
      <c r="B9928" s="8" t="s">
        <v>42720</v>
      </c>
      <c r="C9928" s="8" t="s">
        <v>42720</v>
      </c>
      <c r="G9928" s="8">
        <v>13</v>
      </c>
      <c r="H9928" s="8" t="s">
        <v>21</v>
      </c>
      <c r="I9928" s="8" t="s">
        <v>1283</v>
      </c>
      <c r="J9928" s="8" t="s">
        <v>1283</v>
      </c>
      <c r="K9928" s="8" t="s">
        <v>6208</v>
      </c>
      <c r="L9928" s="8" t="s">
        <v>6115</v>
      </c>
      <c r="M9928" s="8" t="s">
        <v>6116</v>
      </c>
      <c r="N9928" s="8" t="s">
        <v>42721</v>
      </c>
      <c r="O9928" s="8">
        <f>4+40/60+0/3600</f>
        <v>4.666666666666667</v>
      </c>
      <c r="P9928" s="8" t="s">
        <v>42722</v>
      </c>
      <c r="Q9928" s="8">
        <f>+(25+44/60+32/3600)</f>
        <v>25.742222222222225</v>
      </c>
      <c r="R9928" s="8">
        <v>99</v>
      </c>
      <c r="S9928" s="8">
        <v>99</v>
      </c>
      <c r="T9928" s="8">
        <v>99</v>
      </c>
      <c r="U9928" s="8">
        <v>99</v>
      </c>
      <c r="V9928" s="8">
        <v>4</v>
      </c>
      <c r="W9928" s="8">
        <v>4</v>
      </c>
      <c r="Y9928" s="8" t="s">
        <v>21</v>
      </c>
      <c r="Z9928" s="8" t="s">
        <v>42723</v>
      </c>
    </row>
    <row r="9929" spans="1:26" x14ac:dyDescent="0.2">
      <c r="A9929" s="8">
        <v>9928</v>
      </c>
      <c r="B9929" s="8" t="s">
        <v>42724</v>
      </c>
      <c r="C9929" s="8" t="s">
        <v>42724</v>
      </c>
      <c r="G9929" s="8">
        <v>20</v>
      </c>
      <c r="H9929" s="8" t="s">
        <v>21</v>
      </c>
      <c r="I9929" s="8" t="s">
        <v>1283</v>
      </c>
      <c r="J9929" s="8" t="s">
        <v>1283</v>
      </c>
      <c r="K9929" s="8" t="s">
        <v>1284</v>
      </c>
      <c r="L9929" s="8" t="s">
        <v>6115</v>
      </c>
      <c r="M9929" s="8" t="s">
        <v>6116</v>
      </c>
      <c r="N9929" s="8" t="s">
        <v>42725</v>
      </c>
      <c r="O9929" s="8">
        <f>4+31/60+0/3600</f>
        <v>4.5166666666666666</v>
      </c>
      <c r="P9929" s="8" t="s">
        <v>42726</v>
      </c>
      <c r="Q9929" s="8">
        <f>+(26+36/60+0/3600)</f>
        <v>26.6</v>
      </c>
      <c r="R9929" s="8">
        <v>99</v>
      </c>
      <c r="S9929" s="8">
        <v>99</v>
      </c>
      <c r="T9929" s="8">
        <v>99</v>
      </c>
      <c r="U9929" s="8">
        <v>99</v>
      </c>
      <c r="V9929" s="8">
        <v>360</v>
      </c>
      <c r="Y9929" s="8" t="s">
        <v>21</v>
      </c>
      <c r="Z9929" s="8" t="s">
        <v>42727</v>
      </c>
    </row>
    <row r="9930" spans="1:26" x14ac:dyDescent="0.2">
      <c r="A9930" s="8">
        <v>9929</v>
      </c>
      <c r="B9930" s="8" t="s">
        <v>42728</v>
      </c>
      <c r="C9930" s="8" t="s">
        <v>42728</v>
      </c>
      <c r="G9930" s="8">
        <v>20</v>
      </c>
      <c r="H9930" s="8" t="s">
        <v>21</v>
      </c>
      <c r="I9930" s="8" t="s">
        <v>22</v>
      </c>
      <c r="J9930" s="8" t="s">
        <v>22</v>
      </c>
      <c r="K9930" s="8" t="s">
        <v>4103</v>
      </c>
      <c r="L9930" s="8" t="s">
        <v>7071</v>
      </c>
      <c r="M9930" s="8" t="s">
        <v>7072</v>
      </c>
      <c r="N9930" s="8" t="s">
        <v>42729</v>
      </c>
      <c r="O9930" s="8">
        <f>4+32/60+50.6/3600</f>
        <v>4.5473888888888885</v>
      </c>
      <c r="P9930" s="8" t="s">
        <v>42730</v>
      </c>
      <c r="Q9930" s="8">
        <f>-(75+32/60+25/3600)</f>
        <v>-75.540277777777774</v>
      </c>
      <c r="R9930" s="8">
        <v>14.5</v>
      </c>
      <c r="S9930" s="8">
        <v>15.1</v>
      </c>
      <c r="T9930" s="8">
        <v>0.6</v>
      </c>
      <c r="U9930" s="8">
        <v>14.3</v>
      </c>
      <c r="V9930" s="8">
        <v>1.1000000000000001</v>
      </c>
      <c r="W9930" s="8">
        <v>0.9</v>
      </c>
      <c r="Y9930" s="8" t="s">
        <v>21</v>
      </c>
      <c r="Z9930" s="8" t="s">
        <v>42731</v>
      </c>
    </row>
    <row r="9931" spans="1:26" x14ac:dyDescent="0.2">
      <c r="A9931" s="8">
        <v>9930</v>
      </c>
      <c r="B9931" s="8" t="s">
        <v>42732</v>
      </c>
      <c r="C9931" s="8" t="s">
        <v>42732</v>
      </c>
      <c r="G9931" s="8">
        <v>20</v>
      </c>
      <c r="H9931" s="8" t="s">
        <v>21</v>
      </c>
      <c r="I9931" s="8" t="s">
        <v>329</v>
      </c>
      <c r="J9931" s="8" t="s">
        <v>329</v>
      </c>
      <c r="K9931" s="8" t="s">
        <v>329</v>
      </c>
      <c r="L9931" s="8" t="s">
        <v>7243</v>
      </c>
      <c r="M9931" s="8" t="s">
        <v>7244</v>
      </c>
      <c r="N9931" s="8" t="s">
        <v>42733</v>
      </c>
      <c r="O9931" s="8">
        <f>4+44/60+45/3600</f>
        <v>4.7458333333333336</v>
      </c>
      <c r="P9931" s="8" t="s">
        <v>42734</v>
      </c>
      <c r="Q9931" s="8">
        <f>-(33+59/60+33/3600)</f>
        <v>-33.9925</v>
      </c>
      <c r="R9931" s="8">
        <v>99</v>
      </c>
      <c r="S9931" s="8">
        <v>99</v>
      </c>
      <c r="T9931" s="8">
        <v>99</v>
      </c>
      <c r="U9931" s="8">
        <v>99</v>
      </c>
      <c r="Y9931" s="8" t="s">
        <v>21</v>
      </c>
      <c r="Z9931" s="8" t="s">
        <v>42735</v>
      </c>
    </row>
    <row r="9932" spans="1:26" x14ac:dyDescent="0.2">
      <c r="A9932" s="8">
        <v>9931</v>
      </c>
      <c r="B9932" s="8" t="s">
        <v>42736</v>
      </c>
      <c r="C9932" s="8" t="s">
        <v>42736</v>
      </c>
      <c r="G9932" s="8">
        <v>20</v>
      </c>
      <c r="H9932" s="8" t="s">
        <v>21</v>
      </c>
      <c r="I9932" s="8" t="s">
        <v>72</v>
      </c>
      <c r="J9932" s="8" t="s">
        <v>72</v>
      </c>
      <c r="K9932" s="8" t="s">
        <v>1405</v>
      </c>
      <c r="L9932" s="8" t="s">
        <v>3328</v>
      </c>
      <c r="M9932" s="8" t="s">
        <v>3329</v>
      </c>
      <c r="N9932" s="8" t="s">
        <v>42737</v>
      </c>
      <c r="O9932" s="8">
        <f>4+46/60+40.1/3600</f>
        <v>4.7778055555555552</v>
      </c>
      <c r="P9932" s="8" t="s">
        <v>42738</v>
      </c>
      <c r="Q9932" s="8">
        <f>-(4+40/60+24/3600)</f>
        <v>-4.6733333333333338</v>
      </c>
      <c r="R9932" s="8">
        <v>99</v>
      </c>
      <c r="S9932" s="8">
        <v>99</v>
      </c>
      <c r="T9932" s="8">
        <v>99</v>
      </c>
      <c r="U9932" s="8">
        <v>99</v>
      </c>
      <c r="V9932" s="8">
        <v>0.6</v>
      </c>
      <c r="Y9932" s="8" t="s">
        <v>42739</v>
      </c>
      <c r="Z9932" s="8" t="s">
        <v>42740</v>
      </c>
    </row>
    <row r="9933" spans="1:26" x14ac:dyDescent="0.2">
      <c r="A9933" s="8">
        <v>9932</v>
      </c>
      <c r="B9933" s="8" t="s">
        <v>42741</v>
      </c>
      <c r="C9933" s="8" t="s">
        <v>42741</v>
      </c>
      <c r="G9933" s="8">
        <v>20</v>
      </c>
      <c r="H9933" s="8" t="s">
        <v>21</v>
      </c>
      <c r="I9933" s="8" t="s">
        <v>72</v>
      </c>
      <c r="J9933" s="8" t="s">
        <v>72</v>
      </c>
      <c r="K9933" s="8" t="s">
        <v>1802</v>
      </c>
      <c r="L9933" s="8" t="s">
        <v>3328</v>
      </c>
      <c r="M9933" s="8" t="s">
        <v>3329</v>
      </c>
      <c r="N9933" s="8" t="s">
        <v>42742</v>
      </c>
      <c r="O9933" s="8">
        <f>4+46/60+47.6/3600</f>
        <v>4.7798888888888884</v>
      </c>
      <c r="P9933" s="8" t="s">
        <v>42743</v>
      </c>
      <c r="Q9933" s="8">
        <f>-(4+56/60+39/3600)</f>
        <v>-4.9441666666666668</v>
      </c>
      <c r="R9933" s="8">
        <v>99</v>
      </c>
      <c r="S9933" s="8">
        <v>99</v>
      </c>
      <c r="T9933" s="8">
        <v>99</v>
      </c>
      <c r="U9933" s="8">
        <v>99</v>
      </c>
      <c r="Y9933" s="8" t="s">
        <v>21</v>
      </c>
      <c r="Z9933" s="8" t="s">
        <v>42744</v>
      </c>
    </row>
    <row r="9934" spans="1:26" x14ac:dyDescent="0.2">
      <c r="A9934" s="8">
        <v>9933</v>
      </c>
      <c r="B9934" s="8" t="s">
        <v>42745</v>
      </c>
      <c r="C9934" s="8" t="s">
        <v>42745</v>
      </c>
      <c r="G9934" s="8">
        <v>20</v>
      </c>
      <c r="H9934" s="8" t="s">
        <v>21</v>
      </c>
      <c r="I9934" s="8" t="s">
        <v>72</v>
      </c>
      <c r="J9934" s="8" t="s">
        <v>72</v>
      </c>
      <c r="K9934" s="8" t="s">
        <v>20</v>
      </c>
      <c r="L9934" s="8" t="s">
        <v>7698</v>
      </c>
      <c r="M9934" s="8" t="s">
        <v>7699</v>
      </c>
      <c r="N9934" s="8" t="s">
        <v>42746</v>
      </c>
      <c r="O9934" s="8">
        <f>4+47/60+32.4/3600</f>
        <v>4.7923333333333336</v>
      </c>
      <c r="P9934" s="8" t="s">
        <v>42747</v>
      </c>
      <c r="Q9934" s="8">
        <f>-(2+42/60+34/3600)</f>
        <v>-2.7094444444444448</v>
      </c>
      <c r="R9934" s="8">
        <v>99</v>
      </c>
      <c r="S9934" s="8">
        <v>15.2</v>
      </c>
      <c r="T9934" s="8">
        <v>99</v>
      </c>
      <c r="U9934" s="8">
        <v>99</v>
      </c>
      <c r="Y9934" s="8" t="s">
        <v>3344</v>
      </c>
      <c r="Z9934" s="8" t="s">
        <v>42748</v>
      </c>
    </row>
    <row r="9935" spans="1:26" x14ac:dyDescent="0.2">
      <c r="A9935" s="8">
        <v>9934</v>
      </c>
      <c r="B9935" s="8" t="s">
        <v>42749</v>
      </c>
      <c r="C9935" s="8" t="s">
        <v>42749</v>
      </c>
      <c r="G9935" s="8">
        <v>20</v>
      </c>
      <c r="H9935" s="8" t="s">
        <v>21</v>
      </c>
      <c r="I9935" s="8" t="s">
        <v>22</v>
      </c>
      <c r="J9935" s="8" t="s">
        <v>22</v>
      </c>
      <c r="K9935" s="8" t="s">
        <v>449</v>
      </c>
      <c r="L9935" s="8" t="s">
        <v>3328</v>
      </c>
      <c r="M9935" s="8" t="s">
        <v>3329</v>
      </c>
      <c r="N9935" s="8" t="s">
        <v>42750</v>
      </c>
      <c r="O9935" s="8">
        <f>4+48/60+24.8/3600</f>
        <v>4.8068888888888885</v>
      </c>
      <c r="P9935" s="8" t="s">
        <v>42751</v>
      </c>
      <c r="Q9935" s="8">
        <f>-(5+21/60+9/3600)</f>
        <v>-5.3525</v>
      </c>
      <c r="R9935" s="8">
        <v>14.2</v>
      </c>
      <c r="S9935" s="8">
        <v>15</v>
      </c>
      <c r="T9935" s="8">
        <v>0.8</v>
      </c>
      <c r="U9935" s="8">
        <v>12.5</v>
      </c>
      <c r="V9935" s="8">
        <v>0.8</v>
      </c>
      <c r="W9935" s="8">
        <v>0.3</v>
      </c>
      <c r="X9935" s="8">
        <v>77</v>
      </c>
      <c r="Y9935" s="8" t="s">
        <v>21</v>
      </c>
      <c r="Z9935" s="8" t="s">
        <v>42752</v>
      </c>
    </row>
    <row r="9936" spans="1:26" x14ac:dyDescent="0.2">
      <c r="A9936" s="8">
        <v>9935</v>
      </c>
      <c r="B9936" s="8" t="s">
        <v>42753</v>
      </c>
      <c r="C9936" s="8" t="s">
        <v>42753</v>
      </c>
      <c r="G9936" s="8">
        <v>20</v>
      </c>
      <c r="H9936" s="8" t="s">
        <v>21</v>
      </c>
      <c r="I9936" s="8" t="s">
        <v>22</v>
      </c>
      <c r="J9936" s="8" t="s">
        <v>22</v>
      </c>
      <c r="K9936" s="8" t="s">
        <v>160</v>
      </c>
      <c r="L9936" s="8" t="s">
        <v>3328</v>
      </c>
      <c r="M9936" s="8" t="s">
        <v>3329</v>
      </c>
      <c r="N9936" s="8" t="s">
        <v>42754</v>
      </c>
      <c r="O9936" s="8">
        <f>4+48/60+45.8/3600</f>
        <v>4.8127222222222219</v>
      </c>
      <c r="P9936" s="8" t="s">
        <v>42755</v>
      </c>
      <c r="Q9936" s="8">
        <f>-(5+7/60+30/3600)</f>
        <v>-5.125</v>
      </c>
      <c r="R9936" s="8">
        <v>15.2</v>
      </c>
      <c r="S9936" s="8">
        <v>15.9</v>
      </c>
      <c r="T9936" s="8">
        <v>0.7</v>
      </c>
      <c r="U9936" s="8">
        <v>13.7</v>
      </c>
      <c r="V9936" s="8">
        <v>1.4</v>
      </c>
      <c r="W9936" s="8">
        <v>0.2</v>
      </c>
      <c r="X9936" s="8">
        <v>48</v>
      </c>
      <c r="Y9936" s="8" t="s">
        <v>21</v>
      </c>
      <c r="Z9936" s="8" t="s">
        <v>42756</v>
      </c>
    </row>
    <row r="9937" spans="1:26" x14ac:dyDescent="0.2">
      <c r="A9937" s="8">
        <v>9936</v>
      </c>
      <c r="B9937" s="8" t="s">
        <v>42757</v>
      </c>
      <c r="C9937" s="8" t="s">
        <v>42757</v>
      </c>
      <c r="G9937" s="8">
        <v>20</v>
      </c>
      <c r="H9937" s="8" t="s">
        <v>21</v>
      </c>
      <c r="I9937" s="8" t="s">
        <v>72</v>
      </c>
      <c r="J9937" s="8" t="s">
        <v>72</v>
      </c>
      <c r="K9937" s="8" t="s">
        <v>1802</v>
      </c>
      <c r="L9937" s="8" t="s">
        <v>3328</v>
      </c>
      <c r="M9937" s="8" t="s">
        <v>3329</v>
      </c>
      <c r="N9937" s="8" t="s">
        <v>42758</v>
      </c>
      <c r="O9937" s="8">
        <f>4+49/60+41/3600</f>
        <v>4.8280555555555553</v>
      </c>
      <c r="P9937" s="8" t="s">
        <v>42759</v>
      </c>
      <c r="Q9937" s="8">
        <f>-(4+58/60+43/3600)</f>
        <v>-4.9786111111111113</v>
      </c>
      <c r="R9937" s="8">
        <v>99</v>
      </c>
      <c r="S9937" s="8">
        <v>99</v>
      </c>
      <c r="T9937" s="8">
        <v>99</v>
      </c>
      <c r="U9937" s="8">
        <v>99</v>
      </c>
      <c r="Y9937" s="8" t="s">
        <v>21</v>
      </c>
      <c r="Z9937" s="8" t="s">
        <v>42760</v>
      </c>
    </row>
    <row r="9938" spans="1:26" x14ac:dyDescent="0.2">
      <c r="A9938" s="8">
        <v>9937</v>
      </c>
      <c r="B9938" s="8" t="s">
        <v>42761</v>
      </c>
      <c r="C9938" s="8" t="s">
        <v>42761</v>
      </c>
      <c r="G9938" s="8">
        <v>20</v>
      </c>
      <c r="H9938" s="8" t="s">
        <v>21</v>
      </c>
      <c r="I9938" s="8" t="s">
        <v>22</v>
      </c>
      <c r="J9938" s="8" t="s">
        <v>22</v>
      </c>
      <c r="K9938" s="8" t="s">
        <v>4219</v>
      </c>
      <c r="L9938" s="8" t="s">
        <v>3328</v>
      </c>
      <c r="M9938" s="8" t="s">
        <v>3329</v>
      </c>
      <c r="N9938" s="8" t="s">
        <v>42762</v>
      </c>
      <c r="O9938" s="8">
        <f>4+50/60+23.8/3600</f>
        <v>4.8399444444444439</v>
      </c>
      <c r="P9938" s="8" t="s">
        <v>42763</v>
      </c>
      <c r="Q9938" s="8">
        <f>-(5+4/60+51/3600)</f>
        <v>-5.0808333333333335</v>
      </c>
      <c r="R9938" s="8">
        <v>15.2</v>
      </c>
      <c r="S9938" s="8">
        <v>15.8</v>
      </c>
      <c r="T9938" s="8">
        <v>0.6</v>
      </c>
      <c r="U9938" s="8">
        <v>14.3</v>
      </c>
      <c r="V9938" s="8">
        <v>1.2</v>
      </c>
      <c r="W9938" s="8">
        <v>0.4</v>
      </c>
      <c r="X9938" s="8">
        <v>120</v>
      </c>
      <c r="Y9938" s="8" t="s">
        <v>21</v>
      </c>
      <c r="Z9938" s="8" t="s">
        <v>42764</v>
      </c>
    </row>
    <row r="9939" spans="1:26" x14ac:dyDescent="0.2">
      <c r="A9939" s="8">
        <v>9938</v>
      </c>
      <c r="B9939" s="8" t="s">
        <v>42765</v>
      </c>
      <c r="C9939" s="8" t="s">
        <v>42765</v>
      </c>
      <c r="G9939" s="8">
        <v>20</v>
      </c>
      <c r="H9939" s="8" t="s">
        <v>21</v>
      </c>
      <c r="I9939" s="8" t="s">
        <v>22</v>
      </c>
      <c r="J9939" s="8" t="s">
        <v>22</v>
      </c>
      <c r="K9939" s="8" t="s">
        <v>160</v>
      </c>
      <c r="L9939" s="8" t="s">
        <v>3328</v>
      </c>
      <c r="M9939" s="8" t="s">
        <v>3329</v>
      </c>
      <c r="N9939" s="8" t="s">
        <v>42766</v>
      </c>
      <c r="O9939" s="8">
        <f>4+50/60+44.2/3600</f>
        <v>4.8456111111111104</v>
      </c>
      <c r="P9939" s="8" t="s">
        <v>42767</v>
      </c>
      <c r="Q9939" s="8">
        <f>-(5+25/60+6/3600)</f>
        <v>-5.4183333333333339</v>
      </c>
      <c r="R9939" s="8">
        <v>13.7</v>
      </c>
      <c r="S9939" s="8">
        <v>14.4</v>
      </c>
      <c r="T9939" s="8">
        <v>0.7</v>
      </c>
      <c r="U9939" s="8">
        <v>13.1</v>
      </c>
      <c r="V9939" s="8">
        <v>2.1</v>
      </c>
      <c r="W9939" s="8">
        <v>0.3</v>
      </c>
      <c r="X9939" s="8">
        <v>95</v>
      </c>
      <c r="Y9939" s="8" t="s">
        <v>21</v>
      </c>
      <c r="Z9939" s="8" t="s">
        <v>42768</v>
      </c>
    </row>
    <row r="9940" spans="1:26" x14ac:dyDescent="0.2">
      <c r="A9940" s="8">
        <v>9939</v>
      </c>
      <c r="B9940" s="8" t="s">
        <v>42769</v>
      </c>
      <c r="C9940" s="8" t="s">
        <v>42769</v>
      </c>
      <c r="G9940" s="8">
        <v>20</v>
      </c>
      <c r="H9940" s="8" t="s">
        <v>21</v>
      </c>
      <c r="I9940" s="8" t="s">
        <v>22</v>
      </c>
      <c r="J9940" s="8" t="s">
        <v>22</v>
      </c>
      <c r="K9940" s="8" t="s">
        <v>37</v>
      </c>
      <c r="L9940" s="8" t="s">
        <v>3328</v>
      </c>
      <c r="M9940" s="8" t="s">
        <v>3329</v>
      </c>
      <c r="N9940" s="8" t="s">
        <v>42770</v>
      </c>
      <c r="O9940" s="8">
        <f>4+50/60+51.9/3600</f>
        <v>4.8477499999999996</v>
      </c>
      <c r="P9940" s="8" t="s">
        <v>42771</v>
      </c>
      <c r="Q9940" s="8">
        <f>-(4+53/60+31/3600)</f>
        <v>-4.8919444444444435</v>
      </c>
      <c r="R9940" s="8">
        <v>14</v>
      </c>
      <c r="S9940" s="8">
        <v>15</v>
      </c>
      <c r="T9940" s="8">
        <v>1</v>
      </c>
      <c r="U9940" s="8">
        <v>13</v>
      </c>
      <c r="V9940" s="8">
        <v>1.1000000000000001</v>
      </c>
      <c r="W9940" s="8">
        <v>0.4</v>
      </c>
      <c r="X9940" s="8">
        <v>139</v>
      </c>
      <c r="Y9940" s="8" t="s">
        <v>42772</v>
      </c>
      <c r="Z9940" s="8" t="s">
        <v>42773</v>
      </c>
    </row>
    <row r="9941" spans="1:26" x14ac:dyDescent="0.2">
      <c r="A9941" s="8">
        <v>9940</v>
      </c>
      <c r="B9941" s="8" t="s">
        <v>42774</v>
      </c>
      <c r="C9941" s="8" t="s">
        <v>42774</v>
      </c>
      <c r="G9941" s="8">
        <v>20</v>
      </c>
      <c r="H9941" s="8" t="s">
        <v>21</v>
      </c>
      <c r="I9941" s="8" t="s">
        <v>72</v>
      </c>
      <c r="J9941" s="8" t="s">
        <v>72</v>
      </c>
      <c r="K9941" s="8" t="s">
        <v>73</v>
      </c>
      <c r="L9941" s="8" t="s">
        <v>3328</v>
      </c>
      <c r="M9941" s="8" t="s">
        <v>3329</v>
      </c>
      <c r="N9941" s="8" t="s">
        <v>42775</v>
      </c>
      <c r="O9941" s="8">
        <f>4+51/60+15.1/3600</f>
        <v>4.8541944444444445</v>
      </c>
      <c r="P9941" s="8" t="s">
        <v>42776</v>
      </c>
      <c r="Q9941" s="8">
        <f>-(4+49/60+47/3600)</f>
        <v>-4.8297222222222222</v>
      </c>
      <c r="R9941" s="8">
        <v>99</v>
      </c>
      <c r="S9941" s="8">
        <v>99</v>
      </c>
      <c r="T9941" s="8">
        <v>99</v>
      </c>
      <c r="U9941" s="8">
        <v>99</v>
      </c>
      <c r="Y9941" s="8" t="s">
        <v>21</v>
      </c>
      <c r="Z9941" s="8" t="s">
        <v>42777</v>
      </c>
    </row>
    <row r="9942" spans="1:26" x14ac:dyDescent="0.2">
      <c r="A9942" s="8">
        <v>9941</v>
      </c>
      <c r="B9942" s="8" t="s">
        <v>42778</v>
      </c>
      <c r="C9942" s="8" t="s">
        <v>42778</v>
      </c>
      <c r="G9942" s="8">
        <v>20</v>
      </c>
      <c r="H9942" s="8" t="s">
        <v>21</v>
      </c>
      <c r="I9942" s="8" t="s">
        <v>22</v>
      </c>
      <c r="J9942" s="8" t="s">
        <v>22</v>
      </c>
      <c r="K9942" s="8" t="s">
        <v>160</v>
      </c>
      <c r="L9942" s="8" t="s">
        <v>3328</v>
      </c>
      <c r="M9942" s="8" t="s">
        <v>3329</v>
      </c>
      <c r="N9942" s="8" t="s">
        <v>42779</v>
      </c>
      <c r="O9942" s="8">
        <f>4+51/60+42/3600</f>
        <v>4.8616666666666664</v>
      </c>
      <c r="P9942" s="8" t="s">
        <v>42780</v>
      </c>
      <c r="Q9942" s="8">
        <f>-(6+13/60+50/3600)</f>
        <v>-6.2305555555555561</v>
      </c>
      <c r="R9942" s="8">
        <v>13.7</v>
      </c>
      <c r="S9942" s="8">
        <v>14.4</v>
      </c>
      <c r="T9942" s="8">
        <v>0.7</v>
      </c>
      <c r="U9942" s="8">
        <v>13.1</v>
      </c>
      <c r="V9942" s="8">
        <v>1.7</v>
      </c>
      <c r="W9942" s="8">
        <v>0.4</v>
      </c>
      <c r="X9942" s="8">
        <v>147</v>
      </c>
      <c r="Y9942" s="8" t="s">
        <v>41354</v>
      </c>
      <c r="Z9942" s="8" t="s">
        <v>41355</v>
      </c>
    </row>
    <row r="9943" spans="1:26" x14ac:dyDescent="0.2">
      <c r="A9943" s="8">
        <v>9942</v>
      </c>
      <c r="B9943" s="8" t="s">
        <v>42781</v>
      </c>
      <c r="C9943" s="8" t="s">
        <v>42781</v>
      </c>
      <c r="G9943" s="8">
        <v>20</v>
      </c>
      <c r="H9943" s="8" t="s">
        <v>21</v>
      </c>
      <c r="I9943" s="8" t="s">
        <v>22</v>
      </c>
      <c r="J9943" s="8" t="s">
        <v>22</v>
      </c>
      <c r="K9943" s="8" t="s">
        <v>160</v>
      </c>
      <c r="L9943" s="8" t="s">
        <v>3328</v>
      </c>
      <c r="M9943" s="8" t="s">
        <v>3329</v>
      </c>
      <c r="N9943" s="8" t="s">
        <v>42782</v>
      </c>
      <c r="O9943" s="8">
        <f>4+51/60+55.2/3600</f>
        <v>4.8653333333333331</v>
      </c>
      <c r="P9943" s="8" t="s">
        <v>42783</v>
      </c>
      <c r="Q9943" s="8">
        <f>-(4+57/60+8/3600)</f>
        <v>-4.9522222222222227</v>
      </c>
      <c r="R9943" s="8">
        <v>13.8</v>
      </c>
      <c r="S9943" s="8">
        <v>14.5</v>
      </c>
      <c r="T9943" s="8">
        <v>0.7</v>
      </c>
      <c r="U9943" s="8">
        <v>13.7</v>
      </c>
      <c r="V9943" s="8">
        <v>1.2</v>
      </c>
      <c r="W9943" s="8">
        <v>0.9</v>
      </c>
      <c r="X9943" s="8">
        <v>144</v>
      </c>
      <c r="Y9943" s="8" t="s">
        <v>42784</v>
      </c>
      <c r="Z9943" s="8" t="s">
        <v>42785</v>
      </c>
    </row>
    <row r="9944" spans="1:26" x14ac:dyDescent="0.2">
      <c r="A9944" s="8">
        <v>9943</v>
      </c>
      <c r="B9944" s="8" t="s">
        <v>42786</v>
      </c>
      <c r="C9944" s="8" t="s">
        <v>42786</v>
      </c>
      <c r="G9944" s="8">
        <v>20</v>
      </c>
      <c r="H9944" s="8" t="s">
        <v>21</v>
      </c>
      <c r="I9944" s="8" t="s">
        <v>22</v>
      </c>
      <c r="J9944" s="8" t="s">
        <v>22</v>
      </c>
      <c r="K9944" s="8" t="s">
        <v>160</v>
      </c>
      <c r="L9944" s="8" t="s">
        <v>7071</v>
      </c>
      <c r="M9944" s="8" t="s">
        <v>7072</v>
      </c>
      <c r="N9944" s="8" t="s">
        <v>42787</v>
      </c>
      <c r="O9944" s="8">
        <f>4+39/60+47.7/3600</f>
        <v>4.6632500000000006</v>
      </c>
      <c r="P9944" s="8" t="s">
        <v>42788</v>
      </c>
      <c r="Q9944" s="8">
        <f>-(76+50/60+12/3600)</f>
        <v>-76.836666666666659</v>
      </c>
      <c r="R9944" s="8">
        <v>13.6</v>
      </c>
      <c r="S9944" s="8">
        <v>14.3</v>
      </c>
      <c r="T9944" s="8">
        <v>0.7</v>
      </c>
      <c r="U9944" s="8">
        <v>12.8</v>
      </c>
      <c r="V9944" s="8">
        <v>1.8</v>
      </c>
      <c r="W9944" s="8">
        <v>0.3</v>
      </c>
      <c r="X9944" s="8">
        <v>89</v>
      </c>
      <c r="Y9944" s="8" t="s">
        <v>21</v>
      </c>
      <c r="Z9944" s="8" t="s">
        <v>42789</v>
      </c>
    </row>
    <row r="9945" spans="1:26" x14ac:dyDescent="0.2">
      <c r="A9945" s="8">
        <v>9944</v>
      </c>
      <c r="B9945" s="8" t="s">
        <v>42790</v>
      </c>
      <c r="C9945" s="8" t="s">
        <v>42790</v>
      </c>
      <c r="G9945" s="8">
        <v>20</v>
      </c>
      <c r="H9945" s="8" t="s">
        <v>21</v>
      </c>
      <c r="I9945" s="8" t="s">
        <v>22</v>
      </c>
      <c r="J9945" s="8" t="s">
        <v>22</v>
      </c>
      <c r="K9945" s="8" t="s">
        <v>85</v>
      </c>
      <c r="L9945" s="8" t="s">
        <v>7915</v>
      </c>
      <c r="M9945" s="8" t="s">
        <v>7916</v>
      </c>
      <c r="N9945" s="8" t="s">
        <v>42791</v>
      </c>
      <c r="O9945" s="8">
        <f>4+56/60+18.9/3600</f>
        <v>4.9385833333333338</v>
      </c>
      <c r="P9945" s="8" t="s">
        <v>42792</v>
      </c>
      <c r="Q9945" s="8">
        <f>-(15+47/60+52/3600)</f>
        <v>-15.797777777777778</v>
      </c>
      <c r="R9945" s="8">
        <v>13</v>
      </c>
      <c r="S9945" s="8">
        <v>13.8</v>
      </c>
      <c r="T9945" s="8">
        <v>0.8</v>
      </c>
      <c r="U9945" s="8">
        <v>13.9</v>
      </c>
      <c r="V9945" s="8">
        <v>2.5</v>
      </c>
      <c r="W9945" s="8">
        <v>1.1000000000000001</v>
      </c>
      <c r="X9945" s="8">
        <v>105</v>
      </c>
      <c r="Y9945" s="8" t="s">
        <v>42793</v>
      </c>
      <c r="Z9945" s="8" t="s">
        <v>42794</v>
      </c>
    </row>
    <row r="9946" spans="1:26" x14ac:dyDescent="0.2">
      <c r="A9946" s="8">
        <v>9945</v>
      </c>
      <c r="B9946" s="8" t="s">
        <v>42795</v>
      </c>
      <c r="C9946" s="8" t="s">
        <v>42795</v>
      </c>
      <c r="G9946" s="8">
        <v>20</v>
      </c>
      <c r="H9946" s="8" t="s">
        <v>21</v>
      </c>
      <c r="I9946" s="8" t="s">
        <v>1283</v>
      </c>
      <c r="J9946" s="8" t="s">
        <v>1283</v>
      </c>
      <c r="K9946" s="8" t="s">
        <v>1284</v>
      </c>
      <c r="L9946" s="8" t="s">
        <v>55972</v>
      </c>
      <c r="M9946" s="8" t="s">
        <v>6970</v>
      </c>
      <c r="N9946" s="8" t="s">
        <v>42796</v>
      </c>
      <c r="O9946" s="8">
        <f>4+49/60+26.7/3600</f>
        <v>4.8240833333333333</v>
      </c>
      <c r="P9946" s="8" t="s">
        <v>42797</v>
      </c>
      <c r="Q9946" s="8">
        <f>-(69+12/60+3/3600)</f>
        <v>-69.200833333333335</v>
      </c>
      <c r="R9946" s="8">
        <v>99</v>
      </c>
      <c r="S9946" s="8">
        <v>99</v>
      </c>
      <c r="T9946" s="8">
        <v>99</v>
      </c>
      <c r="U9946" s="8">
        <v>99</v>
      </c>
      <c r="Y9946" s="8" t="s">
        <v>27388</v>
      </c>
      <c r="Z9946" s="8" t="s">
        <v>42798</v>
      </c>
    </row>
    <row r="9947" spans="1:26" x14ac:dyDescent="0.2">
      <c r="A9947" s="8">
        <v>9946</v>
      </c>
      <c r="B9947" s="8" t="s">
        <v>42799</v>
      </c>
      <c r="C9947" s="8" t="s">
        <v>42799</v>
      </c>
      <c r="G9947" s="8">
        <v>20</v>
      </c>
      <c r="H9947" s="8" t="s">
        <v>21</v>
      </c>
      <c r="I9947" s="8" t="s">
        <v>22</v>
      </c>
      <c r="J9947" s="8" t="s">
        <v>22</v>
      </c>
      <c r="K9947" s="8" t="s">
        <v>218</v>
      </c>
      <c r="L9947" s="8" t="s">
        <v>7243</v>
      </c>
      <c r="M9947" s="8" t="s">
        <v>7244</v>
      </c>
      <c r="N9947" s="8" t="s">
        <v>42800</v>
      </c>
      <c r="O9947" s="8">
        <f>4+56/60+33.8/3600</f>
        <v>4.9427222222222227</v>
      </c>
      <c r="P9947" s="8" t="s">
        <v>42801</v>
      </c>
      <c r="Q9947" s="8">
        <f>-(28+30/60+14/3600)</f>
        <v>-28.503888888888888</v>
      </c>
      <c r="R9947" s="8">
        <v>13</v>
      </c>
      <c r="S9947" s="8">
        <v>13.8</v>
      </c>
      <c r="T9947" s="8">
        <v>0.8</v>
      </c>
      <c r="U9947" s="8">
        <v>13.3</v>
      </c>
      <c r="V9947" s="8">
        <v>1.7</v>
      </c>
      <c r="W9947" s="8">
        <v>0.9</v>
      </c>
      <c r="X9947" s="8">
        <v>157</v>
      </c>
      <c r="Y9947" s="8" t="s">
        <v>21</v>
      </c>
      <c r="Z9947" s="8" t="s">
        <v>42802</v>
      </c>
    </row>
    <row r="9948" spans="1:26" x14ac:dyDescent="0.2">
      <c r="A9948" s="8">
        <v>9947</v>
      </c>
      <c r="B9948" s="8" t="s">
        <v>42803</v>
      </c>
      <c r="C9948" s="8" t="s">
        <v>42803</v>
      </c>
      <c r="G9948" s="8">
        <v>20</v>
      </c>
      <c r="H9948" s="8" t="s">
        <v>21</v>
      </c>
      <c r="I9948" s="8" t="s">
        <v>72</v>
      </c>
      <c r="J9948" s="8" t="s">
        <v>57</v>
      </c>
      <c r="K9948" s="8" t="s">
        <v>1405</v>
      </c>
      <c r="L9948" s="8" t="s">
        <v>7698</v>
      </c>
      <c r="M9948" s="8" t="s">
        <v>7699</v>
      </c>
      <c r="N9948" s="8" t="s">
        <v>7900</v>
      </c>
      <c r="O9948" s="8">
        <f>4+58/60+21.1/3600</f>
        <v>4.9725277777777777</v>
      </c>
      <c r="P9948" s="8" t="s">
        <v>7901</v>
      </c>
      <c r="Q9948" s="8">
        <f>+(8+14/60+20/3600)</f>
        <v>8.2388888888888889</v>
      </c>
      <c r="R9948" s="8">
        <v>99</v>
      </c>
      <c r="S9948" s="8">
        <v>99</v>
      </c>
      <c r="T9948" s="8">
        <v>99</v>
      </c>
      <c r="U9948" s="8">
        <v>99</v>
      </c>
      <c r="V9948" s="8">
        <v>1</v>
      </c>
      <c r="Y9948" s="8" t="s">
        <v>42804</v>
      </c>
      <c r="Z9948" s="8" t="s">
        <v>42805</v>
      </c>
    </row>
    <row r="9949" spans="1:26" x14ac:dyDescent="0.2">
      <c r="A9949" s="8">
        <v>9948</v>
      </c>
      <c r="B9949" s="8" t="s">
        <v>42806</v>
      </c>
      <c r="C9949" s="8" t="s">
        <v>42806</v>
      </c>
      <c r="G9949" s="8">
        <v>20</v>
      </c>
      <c r="H9949" s="8" t="s">
        <v>21</v>
      </c>
      <c r="I9949" s="8" t="s">
        <v>22</v>
      </c>
      <c r="J9949" s="8" t="s">
        <v>57</v>
      </c>
      <c r="K9949" s="8" t="s">
        <v>58</v>
      </c>
      <c r="L9949" s="8" t="s">
        <v>7915</v>
      </c>
      <c r="M9949" s="8" t="s">
        <v>7916</v>
      </c>
      <c r="N9949" s="8" t="s">
        <v>7917</v>
      </c>
      <c r="O9949" s="8">
        <f>4+57/60+16.8/3600</f>
        <v>4.9546666666666672</v>
      </c>
      <c r="P9949" s="8" t="s">
        <v>7918</v>
      </c>
      <c r="Q9949" s="8">
        <f>-(15+17/60+20/3600)</f>
        <v>-15.28888888888889</v>
      </c>
      <c r="R9949" s="8">
        <v>12.7</v>
      </c>
      <c r="S9949" s="8">
        <v>13.7</v>
      </c>
      <c r="T9949" s="8">
        <v>1</v>
      </c>
      <c r="U9949" s="8">
        <v>13.2</v>
      </c>
      <c r="V9949" s="8">
        <v>1.3</v>
      </c>
      <c r="W9949" s="8">
        <v>1</v>
      </c>
      <c r="X9949" s="8">
        <v>15</v>
      </c>
      <c r="Y9949" s="8" t="s">
        <v>21</v>
      </c>
      <c r="Z9949" s="8" t="s">
        <v>42807</v>
      </c>
    </row>
    <row r="9950" spans="1:26" x14ac:dyDescent="0.2">
      <c r="A9950" s="8">
        <v>9949</v>
      </c>
      <c r="B9950" s="8" t="s">
        <v>42808</v>
      </c>
      <c r="C9950" s="8" t="s">
        <v>42808</v>
      </c>
      <c r="G9950" s="8">
        <v>20</v>
      </c>
      <c r="H9950" s="8" t="s">
        <v>21</v>
      </c>
      <c r="I9950" s="8" t="s">
        <v>72</v>
      </c>
      <c r="J9950" s="8" t="s">
        <v>72</v>
      </c>
      <c r="K9950" s="8" t="s">
        <v>20</v>
      </c>
      <c r="L9950" s="8" t="s">
        <v>7698</v>
      </c>
      <c r="M9950" s="8" t="s">
        <v>7699</v>
      </c>
      <c r="N9950" s="8" t="s">
        <v>42809</v>
      </c>
      <c r="O9950" s="8">
        <f>4+58/60+59.3/3600</f>
        <v>4.983138888888889</v>
      </c>
      <c r="P9950" s="8" t="s">
        <v>40508</v>
      </c>
      <c r="Q9950" s="8">
        <f>-(0+18/60+20/3600)</f>
        <v>-0.30555555555555552</v>
      </c>
      <c r="R9950" s="8">
        <v>99</v>
      </c>
      <c r="S9950" s="8">
        <v>15.2</v>
      </c>
      <c r="T9950" s="8">
        <v>99</v>
      </c>
      <c r="U9950" s="8">
        <v>99</v>
      </c>
      <c r="Y9950" s="8" t="s">
        <v>21</v>
      </c>
      <c r="Z9950" s="8" t="s">
        <v>42810</v>
      </c>
    </row>
    <row r="9951" spans="1:26" x14ac:dyDescent="0.2">
      <c r="A9951" s="8">
        <v>9950</v>
      </c>
      <c r="B9951" s="8" t="s">
        <v>42811</v>
      </c>
      <c r="C9951" s="8" t="s">
        <v>42811</v>
      </c>
      <c r="G9951" s="8">
        <v>20</v>
      </c>
      <c r="H9951" s="8" t="s">
        <v>21</v>
      </c>
      <c r="I9951" s="8" t="s">
        <v>72</v>
      </c>
      <c r="J9951" s="8" t="s">
        <v>72</v>
      </c>
      <c r="K9951" s="8" t="s">
        <v>20</v>
      </c>
      <c r="L9951" s="8" t="s">
        <v>7698</v>
      </c>
      <c r="M9951" s="8" t="s">
        <v>7699</v>
      </c>
      <c r="N9951" s="8" t="s">
        <v>42812</v>
      </c>
      <c r="O9951" s="8">
        <f>4+59/60+1.9/3600</f>
        <v>4.9838611111111115</v>
      </c>
      <c r="P9951" s="8" t="s">
        <v>42813</v>
      </c>
      <c r="Q9951" s="8">
        <f>-(0+18/60+10/3600)</f>
        <v>-0.30277777777777776</v>
      </c>
      <c r="R9951" s="8">
        <v>99</v>
      </c>
      <c r="S9951" s="8">
        <v>14.3</v>
      </c>
      <c r="T9951" s="8">
        <v>99</v>
      </c>
      <c r="U9951" s="8">
        <v>99</v>
      </c>
      <c r="Y9951" s="8" t="s">
        <v>21</v>
      </c>
      <c r="Z9951" s="8" t="s">
        <v>42810</v>
      </c>
    </row>
    <row r="9952" spans="1:26" x14ac:dyDescent="0.2">
      <c r="A9952" s="8">
        <v>9951</v>
      </c>
      <c r="B9952" s="8" t="s">
        <v>42814</v>
      </c>
      <c r="C9952" s="8" t="s">
        <v>42814</v>
      </c>
      <c r="G9952" s="8">
        <v>20</v>
      </c>
      <c r="H9952" s="8" t="s">
        <v>21</v>
      </c>
      <c r="I9952" s="8" t="s">
        <v>1283</v>
      </c>
      <c r="J9952" s="8" t="s">
        <v>1283</v>
      </c>
      <c r="K9952" s="8" t="s">
        <v>1284</v>
      </c>
      <c r="L9952" s="8" t="s">
        <v>55972</v>
      </c>
      <c r="M9952" s="8" t="s">
        <v>6970</v>
      </c>
      <c r="N9952" s="8" t="s">
        <v>42815</v>
      </c>
      <c r="O9952" s="8">
        <f>4+51/60+51.4/3600</f>
        <v>4.8642777777777777</v>
      </c>
      <c r="P9952" s="8" t="s">
        <v>42816</v>
      </c>
      <c r="Q9952" s="8">
        <f>-(69+23/60+37/3600)</f>
        <v>-69.393611111111113</v>
      </c>
      <c r="R9952" s="8">
        <v>99</v>
      </c>
      <c r="S9952" s="8">
        <v>99</v>
      </c>
      <c r="T9952" s="8">
        <v>99</v>
      </c>
      <c r="U9952" s="8">
        <v>99</v>
      </c>
      <c r="Y9952" s="8" t="s">
        <v>27388</v>
      </c>
      <c r="Z9952" s="8" t="s">
        <v>42798</v>
      </c>
    </row>
    <row r="9953" spans="1:26" x14ac:dyDescent="0.2">
      <c r="A9953" s="8">
        <v>9952</v>
      </c>
      <c r="B9953" s="8" t="s">
        <v>42817</v>
      </c>
      <c r="C9953" s="8" t="s">
        <v>42817</v>
      </c>
      <c r="G9953" s="8">
        <v>20</v>
      </c>
      <c r="H9953" s="8" t="s">
        <v>21</v>
      </c>
      <c r="I9953" s="8" t="s">
        <v>22</v>
      </c>
      <c r="J9953" s="8" t="s">
        <v>22</v>
      </c>
      <c r="K9953" s="8" t="s">
        <v>449</v>
      </c>
      <c r="L9953" s="8" t="s">
        <v>7698</v>
      </c>
      <c r="M9953" s="8" t="s">
        <v>7699</v>
      </c>
      <c r="N9953" s="8" t="s">
        <v>42818</v>
      </c>
      <c r="O9953" s="8">
        <f>5+0/60+30/3600</f>
        <v>5.0083333333333337</v>
      </c>
      <c r="P9953" s="8" t="s">
        <v>42819</v>
      </c>
      <c r="Q9953" s="8">
        <f>+(4+23/60+11/3600)</f>
        <v>4.3863888888888889</v>
      </c>
      <c r="R9953" s="8">
        <v>14.2</v>
      </c>
      <c r="S9953" s="8">
        <v>15</v>
      </c>
      <c r="T9953" s="8">
        <v>0.8</v>
      </c>
      <c r="U9953" s="8">
        <v>11.6</v>
      </c>
      <c r="V9953" s="8">
        <v>0.5</v>
      </c>
      <c r="W9953" s="8">
        <v>0.2</v>
      </c>
      <c r="X9953" s="8">
        <v>30</v>
      </c>
      <c r="Y9953" s="8" t="s">
        <v>26493</v>
      </c>
      <c r="Z9953" s="8" t="s">
        <v>26494</v>
      </c>
    </row>
    <row r="9954" spans="1:26" x14ac:dyDescent="0.2">
      <c r="A9954" s="8">
        <v>9953</v>
      </c>
      <c r="B9954" s="8" t="s">
        <v>42820</v>
      </c>
      <c r="C9954" s="8" t="s">
        <v>42820</v>
      </c>
      <c r="G9954" s="8">
        <v>20</v>
      </c>
      <c r="H9954" s="8" t="s">
        <v>21</v>
      </c>
      <c r="I9954" s="8" t="s">
        <v>22</v>
      </c>
      <c r="J9954" s="8" t="s">
        <v>57</v>
      </c>
      <c r="K9954" s="8" t="s">
        <v>154</v>
      </c>
      <c r="L9954" s="8" t="s">
        <v>7915</v>
      </c>
      <c r="M9954" s="8" t="s">
        <v>7916</v>
      </c>
      <c r="N9954" s="8" t="s">
        <v>8007</v>
      </c>
      <c r="O9954" s="8">
        <f>4+59/60+31.7/3600</f>
        <v>4.9921388888888893</v>
      </c>
      <c r="P9954" s="8" t="s">
        <v>8008</v>
      </c>
      <c r="Q9954" s="8">
        <f>-(15+49/60+24/3600)</f>
        <v>-15.823333333333332</v>
      </c>
      <c r="R9954" s="8">
        <v>12.3</v>
      </c>
      <c r="S9954" s="8">
        <v>13.2</v>
      </c>
      <c r="T9954" s="8">
        <v>0.9</v>
      </c>
      <c r="U9954" s="8">
        <v>13.1</v>
      </c>
      <c r="V9954" s="8">
        <v>2.2999999999999998</v>
      </c>
      <c r="W9954" s="8">
        <v>1</v>
      </c>
      <c r="X9954" s="8">
        <v>100</v>
      </c>
      <c r="Y9954" s="8" t="s">
        <v>21</v>
      </c>
      <c r="Z9954" s="8" t="s">
        <v>42821</v>
      </c>
    </row>
    <row r="9955" spans="1:26" x14ac:dyDescent="0.2">
      <c r="A9955" s="8">
        <v>9954</v>
      </c>
      <c r="B9955" s="8" t="s">
        <v>42822</v>
      </c>
      <c r="C9955" s="8" t="s">
        <v>42822</v>
      </c>
      <c r="G9955" s="8">
        <v>20</v>
      </c>
      <c r="H9955" s="8" t="s">
        <v>21</v>
      </c>
      <c r="I9955" s="8" t="s">
        <v>1283</v>
      </c>
      <c r="J9955" s="8" t="s">
        <v>57</v>
      </c>
      <c r="K9955" s="8" t="s">
        <v>1284</v>
      </c>
      <c r="L9955" s="8" t="s">
        <v>55972</v>
      </c>
      <c r="M9955" s="8" t="s">
        <v>6970</v>
      </c>
      <c r="N9955" s="8" t="s">
        <v>8098</v>
      </c>
      <c r="O9955" s="8">
        <f>4+54/60+23.7/3600</f>
        <v>4.9065833333333337</v>
      </c>
      <c r="P9955" s="8" t="s">
        <v>8099</v>
      </c>
      <c r="Q9955" s="8">
        <f>-(69+11/60+6/3600)</f>
        <v>-69.185000000000002</v>
      </c>
      <c r="R9955" s="8">
        <v>99</v>
      </c>
      <c r="S9955" s="8">
        <v>99</v>
      </c>
      <c r="T9955" s="8">
        <v>99</v>
      </c>
      <c r="U9955" s="8">
        <v>99</v>
      </c>
      <c r="Y9955" s="8" t="s">
        <v>27388</v>
      </c>
      <c r="Z9955" s="8" t="s">
        <v>42798</v>
      </c>
    </row>
    <row r="9956" spans="1:26" x14ac:dyDescent="0.2">
      <c r="A9956" s="8">
        <v>9955</v>
      </c>
      <c r="B9956" s="8" t="s">
        <v>42823</v>
      </c>
      <c r="C9956" s="8" t="s">
        <v>42823</v>
      </c>
      <c r="G9956" s="8">
        <v>20</v>
      </c>
      <c r="H9956" s="8" t="s">
        <v>21</v>
      </c>
      <c r="I9956" s="8" t="s">
        <v>72</v>
      </c>
      <c r="J9956" s="8" t="s">
        <v>72</v>
      </c>
      <c r="K9956" s="8" t="s">
        <v>20</v>
      </c>
      <c r="L9956" s="8" t="s">
        <v>55972</v>
      </c>
      <c r="M9956" s="8" t="s">
        <v>6970</v>
      </c>
      <c r="N9956" s="8" t="s">
        <v>42824</v>
      </c>
      <c r="O9956" s="8">
        <f>4+57/60+8.8/3600</f>
        <v>4.9524444444444446</v>
      </c>
      <c r="P9956" s="8" t="s">
        <v>42825</v>
      </c>
      <c r="Q9956" s="8">
        <f>-(66+23/60+25/3600)</f>
        <v>-66.390277777777783</v>
      </c>
      <c r="R9956" s="8">
        <v>99</v>
      </c>
      <c r="S9956" s="8">
        <v>11.5</v>
      </c>
      <c r="T9956" s="8">
        <v>99</v>
      </c>
      <c r="U9956" s="8">
        <v>99</v>
      </c>
      <c r="Y9956" s="8" t="s">
        <v>27388</v>
      </c>
      <c r="Z9956" s="8" t="s">
        <v>42798</v>
      </c>
    </row>
    <row r="9957" spans="1:26" x14ac:dyDescent="0.2">
      <c r="A9957" s="8">
        <v>9956</v>
      </c>
      <c r="B9957" s="8" t="s">
        <v>42826</v>
      </c>
      <c r="C9957" s="8" t="s">
        <v>42826</v>
      </c>
      <c r="G9957" s="8">
        <v>20</v>
      </c>
      <c r="H9957" s="8" t="s">
        <v>21</v>
      </c>
      <c r="I9957" s="8" t="s">
        <v>72</v>
      </c>
      <c r="J9957" s="8" t="s">
        <v>72</v>
      </c>
      <c r="K9957" s="8" t="s">
        <v>20</v>
      </c>
      <c r="L9957" s="8" t="s">
        <v>55972</v>
      </c>
      <c r="M9957" s="8" t="s">
        <v>6970</v>
      </c>
      <c r="N9957" s="8" t="s">
        <v>42827</v>
      </c>
      <c r="O9957" s="8">
        <f>4+57/60+16.2/3600</f>
        <v>4.9545000000000003</v>
      </c>
      <c r="P9957" s="8" t="s">
        <v>42828</v>
      </c>
      <c r="Q9957" s="8">
        <f>-(66+23/60+21/3600)</f>
        <v>-66.389166666666668</v>
      </c>
      <c r="R9957" s="8">
        <v>99</v>
      </c>
      <c r="S9957" s="8">
        <v>11.3</v>
      </c>
      <c r="T9957" s="8">
        <v>99</v>
      </c>
      <c r="U9957" s="8">
        <v>99</v>
      </c>
      <c r="Y9957" s="8" t="s">
        <v>27388</v>
      </c>
      <c r="Z9957" s="8" t="s">
        <v>42798</v>
      </c>
    </row>
    <row r="9958" spans="1:26" x14ac:dyDescent="0.2">
      <c r="A9958" s="8">
        <v>9957</v>
      </c>
      <c r="B9958" s="8" t="s">
        <v>42829</v>
      </c>
      <c r="C9958" s="8" t="s">
        <v>42829</v>
      </c>
      <c r="G9958" s="8">
        <v>20</v>
      </c>
      <c r="H9958" s="8" t="s">
        <v>21</v>
      </c>
      <c r="I9958" s="8" t="s">
        <v>1283</v>
      </c>
      <c r="J9958" s="8" t="s">
        <v>1283</v>
      </c>
      <c r="K9958" s="8" t="s">
        <v>1284</v>
      </c>
      <c r="L9958" s="8" t="s">
        <v>55972</v>
      </c>
      <c r="M9958" s="8" t="s">
        <v>6970</v>
      </c>
      <c r="N9958" s="8" t="s">
        <v>42830</v>
      </c>
      <c r="O9958" s="8">
        <f>4+57/60+14.3/3600</f>
        <v>4.9539722222222222</v>
      </c>
      <c r="P9958" s="8" t="s">
        <v>42831</v>
      </c>
      <c r="Q9958" s="8">
        <f>-(68+26/60+32/3600)</f>
        <v>-68.442222222222227</v>
      </c>
      <c r="R9958" s="8">
        <v>99</v>
      </c>
      <c r="S9958" s="8">
        <v>99</v>
      </c>
      <c r="T9958" s="8">
        <v>99</v>
      </c>
      <c r="U9958" s="8">
        <v>99</v>
      </c>
      <c r="V9958" s="8">
        <v>1.8</v>
      </c>
      <c r="Y9958" s="8" t="s">
        <v>27388</v>
      </c>
      <c r="Z9958" s="8" t="s">
        <v>42798</v>
      </c>
    </row>
    <row r="9959" spans="1:26" x14ac:dyDescent="0.2">
      <c r="A9959" s="8">
        <v>9958</v>
      </c>
      <c r="B9959" s="8" t="s">
        <v>42832</v>
      </c>
      <c r="C9959" s="8" t="s">
        <v>42832</v>
      </c>
      <c r="G9959" s="8">
        <v>14</v>
      </c>
      <c r="H9959" s="8" t="s">
        <v>42833</v>
      </c>
      <c r="I9959" s="8" t="s">
        <v>1283</v>
      </c>
      <c r="J9959" s="8" t="s">
        <v>1283</v>
      </c>
      <c r="K9959" s="8" t="s">
        <v>6208</v>
      </c>
      <c r="L9959" s="8" t="s">
        <v>3328</v>
      </c>
      <c r="M9959" s="8" t="s">
        <v>3329</v>
      </c>
      <c r="N9959" s="8" t="s">
        <v>42834</v>
      </c>
      <c r="O9959" s="8">
        <f>5+4/60+54/3600</f>
        <v>5.0816666666666661</v>
      </c>
      <c r="P9959" s="8" t="s">
        <v>42835</v>
      </c>
      <c r="Q9959" s="8">
        <f>-(7+15/60+0/3600)</f>
        <v>-7.25</v>
      </c>
      <c r="R9959" s="8">
        <v>99</v>
      </c>
      <c r="S9959" s="8">
        <v>99</v>
      </c>
      <c r="T9959" s="8">
        <v>99</v>
      </c>
      <c r="U9959" s="8">
        <v>99</v>
      </c>
      <c r="V9959" s="8">
        <v>180</v>
      </c>
      <c r="W9959" s="8">
        <v>60</v>
      </c>
      <c r="Y9959" s="8" t="s">
        <v>21</v>
      </c>
      <c r="Z9959" s="8" t="s">
        <v>42836</v>
      </c>
    </row>
    <row r="9960" spans="1:26" x14ac:dyDescent="0.2">
      <c r="A9960" s="8">
        <v>9959</v>
      </c>
      <c r="B9960" s="8" t="s">
        <v>42837</v>
      </c>
      <c r="C9960" s="8" t="s">
        <v>42837</v>
      </c>
      <c r="G9960" s="8">
        <v>20</v>
      </c>
      <c r="H9960" s="8" t="s">
        <v>21</v>
      </c>
      <c r="I9960" s="8" t="s">
        <v>22</v>
      </c>
      <c r="J9960" s="8" t="s">
        <v>22</v>
      </c>
      <c r="K9960" s="8" t="s">
        <v>23</v>
      </c>
      <c r="L9960" s="8" t="s">
        <v>7915</v>
      </c>
      <c r="M9960" s="8" t="s">
        <v>7916</v>
      </c>
      <c r="N9960" s="8" t="s">
        <v>42838</v>
      </c>
      <c r="O9960" s="8">
        <f>5+6/60+50.9/3600</f>
        <v>5.1141388888888883</v>
      </c>
      <c r="P9960" s="8" t="s">
        <v>42839</v>
      </c>
      <c r="Q9960" s="8">
        <f>-(20+20/60+45/3600)</f>
        <v>-20.345833333333331</v>
      </c>
      <c r="R9960" s="8">
        <v>13.6</v>
      </c>
      <c r="S9960" s="8">
        <v>14.4</v>
      </c>
      <c r="T9960" s="8">
        <v>0.8</v>
      </c>
      <c r="U9960" s="8">
        <v>13.3</v>
      </c>
      <c r="V9960" s="8">
        <v>1.1000000000000001</v>
      </c>
      <c r="W9960" s="8">
        <v>0.7</v>
      </c>
      <c r="X9960" s="8">
        <v>56</v>
      </c>
      <c r="Y9960" s="8" t="s">
        <v>21</v>
      </c>
      <c r="Z9960" s="8" t="s">
        <v>42840</v>
      </c>
    </row>
    <row r="9961" spans="1:26" x14ac:dyDescent="0.2">
      <c r="A9961" s="8">
        <v>9960</v>
      </c>
      <c r="B9961" s="8" t="s">
        <v>42841</v>
      </c>
      <c r="C9961" s="8" t="s">
        <v>42841</v>
      </c>
      <c r="G9961" s="8">
        <v>20</v>
      </c>
      <c r="H9961" s="8" t="s">
        <v>21</v>
      </c>
      <c r="I9961" s="8" t="s">
        <v>329</v>
      </c>
      <c r="J9961" s="8" t="s">
        <v>329</v>
      </c>
      <c r="K9961" s="8" t="s">
        <v>329</v>
      </c>
      <c r="L9961" s="8" t="s">
        <v>7717</v>
      </c>
      <c r="M9961" s="8" t="s">
        <v>7718</v>
      </c>
      <c r="N9961" s="8" t="s">
        <v>42842</v>
      </c>
      <c r="O9961" s="8">
        <f>5+19/60+10.3/3600</f>
        <v>5.3195277777777772</v>
      </c>
      <c r="P9961" s="8" t="s">
        <v>42843</v>
      </c>
      <c r="Q9961" s="8">
        <f>+(38+11/60+6/3600)</f>
        <v>38.184999999999995</v>
      </c>
      <c r="R9961" s="8">
        <v>99</v>
      </c>
      <c r="S9961" s="8">
        <v>99</v>
      </c>
      <c r="T9961" s="8">
        <v>99</v>
      </c>
      <c r="U9961" s="8">
        <v>99</v>
      </c>
      <c r="Y9961" s="8" t="s">
        <v>47</v>
      </c>
      <c r="Z9961" s="8" t="s">
        <v>48</v>
      </c>
    </row>
    <row r="9962" spans="1:26" x14ac:dyDescent="0.2">
      <c r="A9962" s="8">
        <v>9961</v>
      </c>
      <c r="B9962" s="8" t="s">
        <v>42844</v>
      </c>
      <c r="C9962" s="8" t="s">
        <v>42844</v>
      </c>
      <c r="G9962" s="8">
        <v>20</v>
      </c>
      <c r="H9962" s="8" t="s">
        <v>21</v>
      </c>
      <c r="I9962" s="8" t="s">
        <v>22</v>
      </c>
      <c r="J9962" s="8" t="s">
        <v>57</v>
      </c>
      <c r="K9962" s="8" t="s">
        <v>224</v>
      </c>
      <c r="L9962" s="8" t="s">
        <v>7915</v>
      </c>
      <c r="M9962" s="8" t="s">
        <v>7916</v>
      </c>
      <c r="N9962" s="8" t="s">
        <v>36319</v>
      </c>
      <c r="O9962" s="8">
        <f>5+19/60+44.7/3600</f>
        <v>5.3290833333333332</v>
      </c>
      <c r="P9962" s="8" t="s">
        <v>36320</v>
      </c>
      <c r="Q9962" s="8">
        <f>-(25+3/60+52/3600)</f>
        <v>-25.064444444444444</v>
      </c>
      <c r="R9962" s="8">
        <v>12.3</v>
      </c>
      <c r="S9962" s="8">
        <v>13.3</v>
      </c>
      <c r="T9962" s="8">
        <v>1</v>
      </c>
      <c r="U9962" s="8">
        <v>13</v>
      </c>
      <c r="V9962" s="8">
        <v>1.9</v>
      </c>
      <c r="W9962" s="8">
        <v>1.1000000000000001</v>
      </c>
      <c r="X9962" s="8">
        <v>160</v>
      </c>
      <c r="Y9962" s="8" t="s">
        <v>42845</v>
      </c>
      <c r="Z9962" s="8" t="s">
        <v>42846</v>
      </c>
    </row>
    <row r="9963" spans="1:26" x14ac:dyDescent="0.2">
      <c r="A9963" s="8">
        <v>9962</v>
      </c>
      <c r="B9963" s="8" t="s">
        <v>42847</v>
      </c>
      <c r="C9963" s="8" t="s">
        <v>42847</v>
      </c>
      <c r="G9963" s="8">
        <v>20</v>
      </c>
      <c r="H9963" s="8" t="s">
        <v>21</v>
      </c>
      <c r="I9963" s="8" t="s">
        <v>22</v>
      </c>
      <c r="J9963" s="8" t="s">
        <v>22</v>
      </c>
      <c r="K9963" s="8" t="s">
        <v>58</v>
      </c>
      <c r="L9963" s="8" t="s">
        <v>8298</v>
      </c>
      <c r="M9963" s="8" t="s">
        <v>8299</v>
      </c>
      <c r="N9963" s="8" t="s">
        <v>42848</v>
      </c>
      <c r="O9963" s="8">
        <f>5+19/60+1.4/3600</f>
        <v>5.3170555555555552</v>
      </c>
      <c r="P9963" s="8" t="s">
        <v>42849</v>
      </c>
      <c r="Q9963" s="8">
        <f>-(37+5/60+21/3600)</f>
        <v>-37.089166666666671</v>
      </c>
      <c r="R9963" s="8">
        <v>12.7</v>
      </c>
      <c r="S9963" s="8">
        <v>13.7</v>
      </c>
      <c r="T9963" s="8">
        <v>1</v>
      </c>
      <c r="U9963" s="8">
        <v>13.3</v>
      </c>
      <c r="V9963" s="8">
        <v>1.5</v>
      </c>
      <c r="W9963" s="8">
        <v>1.3</v>
      </c>
      <c r="X9963" s="8">
        <v>67</v>
      </c>
      <c r="Y9963" s="8" t="s">
        <v>21</v>
      </c>
      <c r="Z9963" s="8" t="s">
        <v>42850</v>
      </c>
    </row>
    <row r="9964" spans="1:26" x14ac:dyDescent="0.2">
      <c r="A9964" s="8">
        <v>9963</v>
      </c>
      <c r="B9964" s="8" t="s">
        <v>42851</v>
      </c>
      <c r="C9964" s="8" t="s">
        <v>42851</v>
      </c>
      <c r="G9964" s="8">
        <v>20</v>
      </c>
      <c r="H9964" s="8" t="s">
        <v>21</v>
      </c>
      <c r="I9964" s="8" t="s">
        <v>22</v>
      </c>
      <c r="J9964" s="8" t="s">
        <v>57</v>
      </c>
      <c r="K9964" s="8" t="s">
        <v>31</v>
      </c>
      <c r="L9964" s="8" t="s">
        <v>7698</v>
      </c>
      <c r="M9964" s="8" t="s">
        <v>7699</v>
      </c>
      <c r="N9964" s="8" t="s">
        <v>36340</v>
      </c>
      <c r="O9964" s="8">
        <f>5+21/60+56.7/3600</f>
        <v>5.3657499999999994</v>
      </c>
      <c r="P9964" s="8" t="s">
        <v>36341</v>
      </c>
      <c r="Q9964" s="8">
        <f>+(3+29/60+11/3600)</f>
        <v>3.486388888888889</v>
      </c>
      <c r="R9964" s="8">
        <v>13.7</v>
      </c>
      <c r="S9964" s="8">
        <v>14.5</v>
      </c>
      <c r="T9964" s="8">
        <v>0.8</v>
      </c>
      <c r="U9964" s="8">
        <v>13.2</v>
      </c>
      <c r="V9964" s="8">
        <v>1.3</v>
      </c>
      <c r="W9964" s="8">
        <v>0.6</v>
      </c>
      <c r="X9964" s="8">
        <v>3</v>
      </c>
      <c r="Y9964" s="8" t="s">
        <v>21</v>
      </c>
      <c r="Z9964" s="8" t="s">
        <v>42852</v>
      </c>
    </row>
    <row r="9965" spans="1:26" x14ac:dyDescent="0.2">
      <c r="A9965" s="8">
        <v>9964</v>
      </c>
      <c r="B9965" s="8" t="s">
        <v>42853</v>
      </c>
      <c r="C9965" s="8" t="s">
        <v>42853</v>
      </c>
      <c r="G9965" s="8">
        <v>20</v>
      </c>
      <c r="H9965" s="8" t="s">
        <v>21</v>
      </c>
      <c r="I9965" s="8" t="s">
        <v>22</v>
      </c>
      <c r="J9965" s="8" t="s">
        <v>57</v>
      </c>
      <c r="K9965" s="8" t="s">
        <v>37</v>
      </c>
      <c r="L9965" s="8" t="s">
        <v>7698</v>
      </c>
      <c r="M9965" s="8" t="s">
        <v>7699</v>
      </c>
      <c r="N9965" s="8" t="s">
        <v>36345</v>
      </c>
      <c r="O9965" s="8">
        <f>5+21/60+58.7/3600</f>
        <v>5.366305555555555</v>
      </c>
      <c r="P9965" s="8" t="s">
        <v>36346</v>
      </c>
      <c r="Q9965" s="8">
        <f>+(3+28/60+56/3600)</f>
        <v>3.4822222222222226</v>
      </c>
      <c r="R9965" s="8">
        <v>13.8</v>
      </c>
      <c r="S9965" s="8">
        <v>14.8</v>
      </c>
      <c r="T9965" s="8">
        <v>1</v>
      </c>
      <c r="U9965" s="8">
        <v>13.2</v>
      </c>
      <c r="V9965" s="8">
        <v>0.9</v>
      </c>
      <c r="W9965" s="8">
        <v>0.7</v>
      </c>
      <c r="X9965" s="8">
        <v>159</v>
      </c>
      <c r="Y9965" s="8" t="s">
        <v>21</v>
      </c>
      <c r="Z9965" s="8" t="s">
        <v>42852</v>
      </c>
    </row>
    <row r="9966" spans="1:26" x14ac:dyDescent="0.2">
      <c r="A9966" s="8">
        <v>9965</v>
      </c>
      <c r="B9966" s="8" t="s">
        <v>42854</v>
      </c>
      <c r="C9966" s="8" t="s">
        <v>42854</v>
      </c>
      <c r="G9966" s="8">
        <v>20</v>
      </c>
      <c r="H9966" s="8" t="s">
        <v>21</v>
      </c>
      <c r="I9966" s="8" t="s">
        <v>22</v>
      </c>
      <c r="J9966" s="8" t="s">
        <v>22</v>
      </c>
      <c r="K9966" s="8" t="s">
        <v>37</v>
      </c>
      <c r="L9966" s="8" t="s">
        <v>7915</v>
      </c>
      <c r="M9966" s="8" t="s">
        <v>7916</v>
      </c>
      <c r="N9966" s="8" t="s">
        <v>42855</v>
      </c>
      <c r="O9966" s="8">
        <f>5+24/60+28.1/3600</f>
        <v>5.407805555555556</v>
      </c>
      <c r="P9966" s="8" t="s">
        <v>42856</v>
      </c>
      <c r="Q9966" s="8">
        <f>-(27+0/60+57/3600)</f>
        <v>-27.015833333333333</v>
      </c>
      <c r="R9966" s="8">
        <v>13.3</v>
      </c>
      <c r="S9966" s="8">
        <v>14.3</v>
      </c>
      <c r="T9966" s="8">
        <v>1</v>
      </c>
      <c r="U9966" s="8">
        <v>12.8</v>
      </c>
      <c r="V9966" s="8">
        <v>1</v>
      </c>
      <c r="W9966" s="8">
        <v>0.7</v>
      </c>
      <c r="X9966" s="8">
        <v>125</v>
      </c>
      <c r="Y9966" s="8" t="s">
        <v>369</v>
      </c>
      <c r="Z9966" s="8" t="s">
        <v>370</v>
      </c>
    </row>
    <row r="9967" spans="1:26" x14ac:dyDescent="0.2">
      <c r="A9967" s="8">
        <v>9966</v>
      </c>
      <c r="B9967" s="8" t="s">
        <v>42857</v>
      </c>
      <c r="C9967" s="8" t="s">
        <v>42857</v>
      </c>
      <c r="G9967" s="8">
        <v>20</v>
      </c>
      <c r="H9967" s="8" t="s">
        <v>21</v>
      </c>
      <c r="I9967" s="8" t="s">
        <v>1283</v>
      </c>
      <c r="J9967" s="8" t="s">
        <v>57</v>
      </c>
      <c r="K9967" s="8" t="s">
        <v>1284</v>
      </c>
      <c r="L9967" s="8" t="s">
        <v>55972</v>
      </c>
      <c r="M9967" s="8" t="s">
        <v>6970</v>
      </c>
      <c r="N9967" s="8" t="s">
        <v>8967</v>
      </c>
      <c r="O9967" s="8">
        <f>5+21/60+58.8/3600</f>
        <v>5.3663333333333334</v>
      </c>
      <c r="P9967" s="8" t="s">
        <v>8968</v>
      </c>
      <c r="Q9967" s="8">
        <f>-(67+57/60+27/3600)</f>
        <v>-67.957499999999996</v>
      </c>
      <c r="R9967" s="8">
        <v>99</v>
      </c>
      <c r="S9967" s="8">
        <v>99</v>
      </c>
      <c r="T9967" s="8">
        <v>99</v>
      </c>
      <c r="U9967" s="8">
        <v>99</v>
      </c>
      <c r="Y9967" s="8" t="s">
        <v>27388</v>
      </c>
      <c r="Z9967" s="8" t="s">
        <v>42798</v>
      </c>
    </row>
    <row r="9968" spans="1:26" x14ac:dyDescent="0.2">
      <c r="A9968" s="8">
        <v>9967</v>
      </c>
      <c r="B9968" s="8" t="s">
        <v>42858</v>
      </c>
      <c r="C9968" s="8" t="s">
        <v>42858</v>
      </c>
      <c r="G9968" s="8">
        <v>20</v>
      </c>
      <c r="H9968" s="8" t="s">
        <v>21</v>
      </c>
      <c r="I9968" s="8" t="s">
        <v>1283</v>
      </c>
      <c r="J9968" s="8" t="s">
        <v>57</v>
      </c>
      <c r="K9968" s="8" t="s">
        <v>1284</v>
      </c>
      <c r="L9968" s="8" t="s">
        <v>55972</v>
      </c>
      <c r="M9968" s="8" t="s">
        <v>6970</v>
      </c>
      <c r="N9968" s="8" t="s">
        <v>8972</v>
      </c>
      <c r="O9968" s="8">
        <f>5+22/60+14.6/3600</f>
        <v>5.3707222222222217</v>
      </c>
      <c r="P9968" s="8" t="s">
        <v>8973</v>
      </c>
      <c r="Q9968" s="8">
        <f>-(67+58/60+34/3600)</f>
        <v>-67.976111111111109</v>
      </c>
      <c r="R9968" s="8">
        <v>99</v>
      </c>
      <c r="S9968" s="8">
        <v>99</v>
      </c>
      <c r="T9968" s="8">
        <v>99</v>
      </c>
      <c r="U9968" s="8">
        <v>99</v>
      </c>
      <c r="Y9968" s="8" t="s">
        <v>27388</v>
      </c>
      <c r="Z9968" s="8" t="s">
        <v>42798</v>
      </c>
    </row>
    <row r="9969" spans="1:26" x14ac:dyDescent="0.2">
      <c r="A9969" s="8">
        <v>9968</v>
      </c>
      <c r="B9969" s="8" t="s">
        <v>42859</v>
      </c>
      <c r="C9969" s="8" t="s">
        <v>42859</v>
      </c>
      <c r="G9969" s="8">
        <v>20</v>
      </c>
      <c r="H9969" s="8" t="s">
        <v>21</v>
      </c>
      <c r="I9969" s="8" t="s">
        <v>557</v>
      </c>
      <c r="J9969" s="8" t="s">
        <v>557</v>
      </c>
      <c r="K9969" s="8" t="s">
        <v>557</v>
      </c>
      <c r="L9969" s="8" t="s">
        <v>55972</v>
      </c>
      <c r="M9969" s="8" t="s">
        <v>6970</v>
      </c>
      <c r="N9969" s="8" t="s">
        <v>42860</v>
      </c>
      <c r="O9969" s="8">
        <f>5+22/60+42/3600</f>
        <v>5.378333333333333</v>
      </c>
      <c r="P9969" s="8" t="s">
        <v>42861</v>
      </c>
      <c r="Q9969" s="8">
        <f>-(68+3/60+40/3600)</f>
        <v>-68.061111111111103</v>
      </c>
      <c r="R9969" s="8">
        <v>99</v>
      </c>
      <c r="S9969" s="8">
        <v>99</v>
      </c>
      <c r="T9969" s="8">
        <v>99</v>
      </c>
      <c r="U9969" s="8">
        <v>99</v>
      </c>
      <c r="Y9969" s="8" t="s">
        <v>21</v>
      </c>
      <c r="Z9969" s="8" t="s">
        <v>42862</v>
      </c>
    </row>
    <row r="9970" spans="1:26" x14ac:dyDescent="0.2">
      <c r="A9970" s="8">
        <v>9969</v>
      </c>
      <c r="B9970" s="8" t="s">
        <v>42863</v>
      </c>
      <c r="C9970" s="8" t="s">
        <v>42863</v>
      </c>
      <c r="G9970" s="8">
        <v>20</v>
      </c>
      <c r="H9970" s="8" t="s">
        <v>21</v>
      </c>
      <c r="I9970" s="8" t="s">
        <v>329</v>
      </c>
      <c r="J9970" s="8" t="s">
        <v>329</v>
      </c>
      <c r="K9970" s="8" t="s">
        <v>329</v>
      </c>
      <c r="L9970" s="8" t="s">
        <v>7915</v>
      </c>
      <c r="M9970" s="8" t="s">
        <v>7916</v>
      </c>
      <c r="N9970" s="8" t="s">
        <v>42864</v>
      </c>
      <c r="O9970" s="8">
        <f>5+31/60+16.1/3600</f>
        <v>5.5211388888888893</v>
      </c>
      <c r="P9970" s="8" t="s">
        <v>42865</v>
      </c>
      <c r="Q9970" s="8">
        <f>-(23+3/60+46/3600)</f>
        <v>-23.062777777777779</v>
      </c>
      <c r="R9970" s="8">
        <v>99</v>
      </c>
      <c r="S9970" s="8">
        <v>99</v>
      </c>
      <c r="T9970" s="8">
        <v>99</v>
      </c>
      <c r="U9970" s="8">
        <v>99</v>
      </c>
      <c r="Y9970" s="8" t="s">
        <v>21</v>
      </c>
      <c r="Z9970" s="8" t="s">
        <v>42866</v>
      </c>
    </row>
    <row r="9971" spans="1:26" x14ac:dyDescent="0.2">
      <c r="A9971" s="8">
        <v>9970</v>
      </c>
      <c r="B9971" s="8" t="s">
        <v>42867</v>
      </c>
      <c r="C9971" s="8" t="s">
        <v>42867</v>
      </c>
      <c r="G9971" s="8">
        <v>20</v>
      </c>
      <c r="H9971" s="8" t="s">
        <v>21</v>
      </c>
      <c r="I9971" s="8" t="s">
        <v>22</v>
      </c>
      <c r="J9971" s="8" t="s">
        <v>22</v>
      </c>
      <c r="K9971" s="8" t="s">
        <v>269</v>
      </c>
      <c r="L9971" s="8" t="s">
        <v>7915</v>
      </c>
      <c r="M9971" s="8" t="s">
        <v>7916</v>
      </c>
      <c r="N9971" s="8" t="s">
        <v>42868</v>
      </c>
      <c r="O9971" s="8">
        <f>5+31/60+50.3/3600</f>
        <v>5.5306388888888884</v>
      </c>
      <c r="P9971" s="8" t="s">
        <v>42869</v>
      </c>
      <c r="Q9971" s="8">
        <f>-(23+8/60+44/3600)</f>
        <v>-23.145555555555553</v>
      </c>
      <c r="R9971" s="8">
        <v>13.1</v>
      </c>
      <c r="S9971" s="8">
        <v>13.7</v>
      </c>
      <c r="T9971" s="8">
        <v>0.6</v>
      </c>
      <c r="U9971" s="8">
        <v>13.4</v>
      </c>
      <c r="V9971" s="8">
        <v>1.8</v>
      </c>
      <c r="W9971" s="8">
        <v>0.9</v>
      </c>
      <c r="X9971" s="8">
        <v>103</v>
      </c>
      <c r="Y9971" s="8" t="s">
        <v>21</v>
      </c>
      <c r="Z9971" s="8" t="s">
        <v>42870</v>
      </c>
    </row>
    <row r="9972" spans="1:26" x14ac:dyDescent="0.2">
      <c r="A9972" s="8">
        <v>9971</v>
      </c>
      <c r="B9972" s="8" t="s">
        <v>42871</v>
      </c>
      <c r="C9972" s="8" t="s">
        <v>42871</v>
      </c>
      <c r="G9972" s="8">
        <v>20</v>
      </c>
      <c r="H9972" s="8" t="s">
        <v>21</v>
      </c>
      <c r="I9972" s="8" t="s">
        <v>22</v>
      </c>
      <c r="J9972" s="8" t="s">
        <v>57</v>
      </c>
      <c r="K9972" s="8" t="s">
        <v>460</v>
      </c>
      <c r="L9972" s="8" t="s">
        <v>7915</v>
      </c>
      <c r="M9972" s="8" t="s">
        <v>7916</v>
      </c>
      <c r="N9972" s="8" t="s">
        <v>36386</v>
      </c>
      <c r="O9972" s="8">
        <f>5+32/60+18.5/3600</f>
        <v>5.5384722222222225</v>
      </c>
      <c r="P9972" s="8" t="s">
        <v>36387</v>
      </c>
      <c r="Q9972" s="8">
        <f>-(17+13/60+26/3600)</f>
        <v>-17.223888888888887</v>
      </c>
      <c r="R9972" s="8">
        <v>13.3</v>
      </c>
      <c r="S9972" s="8">
        <v>14.3</v>
      </c>
      <c r="T9972" s="8">
        <v>1</v>
      </c>
      <c r="U9972" s="8">
        <v>12.4</v>
      </c>
      <c r="V9972" s="8">
        <v>0.7</v>
      </c>
      <c r="W9972" s="8">
        <v>0.7</v>
      </c>
      <c r="Y9972" s="8" t="s">
        <v>12996</v>
      </c>
      <c r="Z9972" s="8" t="s">
        <v>12997</v>
      </c>
    </row>
    <row r="9973" spans="1:26" x14ac:dyDescent="0.2">
      <c r="A9973" s="8">
        <v>9972</v>
      </c>
      <c r="B9973" s="8" t="s">
        <v>42872</v>
      </c>
      <c r="C9973" s="8" t="s">
        <v>42872</v>
      </c>
      <c r="G9973" s="8">
        <v>20</v>
      </c>
      <c r="H9973" s="8" t="s">
        <v>21</v>
      </c>
      <c r="I9973" s="8" t="s">
        <v>22</v>
      </c>
      <c r="J9973" s="8" t="s">
        <v>22</v>
      </c>
      <c r="K9973" s="8" t="s">
        <v>91</v>
      </c>
      <c r="L9973" s="8" t="s">
        <v>7915</v>
      </c>
      <c r="M9973" s="8" t="s">
        <v>7916</v>
      </c>
      <c r="N9973" s="8" t="s">
        <v>42873</v>
      </c>
      <c r="O9973" s="8">
        <f>5+32/60+28.6/3600</f>
        <v>5.5412777777777773</v>
      </c>
      <c r="P9973" s="8" t="s">
        <v>42874</v>
      </c>
      <c r="Q9973" s="8">
        <f>-(13+55/60+36/3600)</f>
        <v>-13.926666666666666</v>
      </c>
      <c r="R9973" s="8">
        <v>13.3</v>
      </c>
      <c r="S9973" s="8">
        <v>14.2</v>
      </c>
      <c r="T9973" s="8">
        <v>0.9</v>
      </c>
      <c r="U9973" s="8">
        <v>13.2</v>
      </c>
      <c r="V9973" s="8">
        <v>1.5</v>
      </c>
      <c r="W9973" s="8">
        <v>0.8</v>
      </c>
      <c r="X9973" s="8">
        <v>177</v>
      </c>
      <c r="Y9973" s="8" t="s">
        <v>1511</v>
      </c>
      <c r="Z9973" s="8" t="s">
        <v>1512</v>
      </c>
    </row>
    <row r="9974" spans="1:26" x14ac:dyDescent="0.2">
      <c r="A9974" s="8">
        <v>9973</v>
      </c>
      <c r="B9974" s="8" t="s">
        <v>42875</v>
      </c>
      <c r="C9974" s="8" t="s">
        <v>42875</v>
      </c>
      <c r="G9974" s="8">
        <v>20</v>
      </c>
      <c r="H9974" s="8" t="s">
        <v>21</v>
      </c>
      <c r="I9974" s="8" t="s">
        <v>22</v>
      </c>
      <c r="J9974" s="8" t="s">
        <v>57</v>
      </c>
      <c r="K9974" s="8" t="s">
        <v>85</v>
      </c>
      <c r="L9974" s="8" t="s">
        <v>6823</v>
      </c>
      <c r="M9974" s="8" t="s">
        <v>6824</v>
      </c>
      <c r="N9974" s="8" t="s">
        <v>9089</v>
      </c>
      <c r="O9974" s="8">
        <f>5+42/60+3.9/3600</f>
        <v>5.7010833333333339</v>
      </c>
      <c r="P9974" s="8" t="s">
        <v>9090</v>
      </c>
      <c r="Q9974" s="8">
        <f>+(69+22/60+43/3600)</f>
        <v>69.378611111111098</v>
      </c>
      <c r="R9974" s="8">
        <v>11</v>
      </c>
      <c r="S9974" s="8">
        <v>11.7</v>
      </c>
      <c r="T9974" s="8">
        <v>0.7</v>
      </c>
      <c r="U9974" s="8">
        <v>13.7</v>
      </c>
      <c r="V9974" s="8">
        <v>4.5</v>
      </c>
      <c r="W9974" s="8">
        <v>3.1</v>
      </c>
      <c r="X9974" s="8">
        <v>85</v>
      </c>
      <c r="Y9974" s="8" t="s">
        <v>21</v>
      </c>
      <c r="Z9974" s="8" t="s">
        <v>42876</v>
      </c>
    </row>
    <row r="9975" spans="1:26" x14ac:dyDescent="0.2">
      <c r="A9975" s="8">
        <v>9974</v>
      </c>
      <c r="B9975" s="8" t="s">
        <v>42877</v>
      </c>
      <c r="C9975" s="8" t="s">
        <v>42877</v>
      </c>
      <c r="G9975" s="8">
        <v>20</v>
      </c>
      <c r="H9975" s="8" t="s">
        <v>21</v>
      </c>
      <c r="I9975" s="8" t="s">
        <v>567</v>
      </c>
      <c r="J9975" s="8" t="s">
        <v>567</v>
      </c>
      <c r="K9975" s="8" t="s">
        <v>567</v>
      </c>
      <c r="L9975" s="8" t="s">
        <v>7071</v>
      </c>
      <c r="M9975" s="8" t="s">
        <v>7072</v>
      </c>
      <c r="N9975" s="8" t="s">
        <v>42878</v>
      </c>
      <c r="O9975" s="8">
        <f>5+23/60+7.2/3600</f>
        <v>5.3853333333333335</v>
      </c>
      <c r="P9975" s="8" t="s">
        <v>42879</v>
      </c>
      <c r="Q9975" s="8">
        <f>-(75+26/60+47/3600)</f>
        <v>-75.44638888888889</v>
      </c>
      <c r="R9975" s="8">
        <v>99</v>
      </c>
      <c r="S9975" s="8">
        <v>99</v>
      </c>
      <c r="T9975" s="8">
        <v>99</v>
      </c>
      <c r="U9975" s="8">
        <v>99</v>
      </c>
      <c r="V9975" s="8">
        <v>1</v>
      </c>
      <c r="Y9975" s="8" t="s">
        <v>42880</v>
      </c>
      <c r="Z9975" s="8" t="s">
        <v>42881</v>
      </c>
    </row>
    <row r="9976" spans="1:26" x14ac:dyDescent="0.2">
      <c r="A9976" s="8">
        <v>9975</v>
      </c>
      <c r="B9976" s="8" t="s">
        <v>42882</v>
      </c>
      <c r="C9976" s="8" t="s">
        <v>42882</v>
      </c>
      <c r="G9976" s="8">
        <v>20</v>
      </c>
      <c r="H9976" s="8" t="s">
        <v>21</v>
      </c>
      <c r="I9976" s="8" t="s">
        <v>22</v>
      </c>
      <c r="J9976" s="8" t="s">
        <v>57</v>
      </c>
      <c r="K9976" s="8" t="s">
        <v>160</v>
      </c>
      <c r="L9976" s="8" t="s">
        <v>8298</v>
      </c>
      <c r="M9976" s="8" t="s">
        <v>8299</v>
      </c>
      <c r="N9976" s="8" t="s">
        <v>42883</v>
      </c>
      <c r="O9976" s="8">
        <f>5+33/60+13.2/3600</f>
        <v>5.5536666666666665</v>
      </c>
      <c r="P9976" s="8" t="s">
        <v>42884</v>
      </c>
      <c r="Q9976" s="8">
        <f>-(36+23/60+58/3600)</f>
        <v>-36.399444444444441</v>
      </c>
      <c r="R9976" s="8">
        <v>12.5</v>
      </c>
      <c r="S9976" s="8">
        <v>13.2</v>
      </c>
      <c r="T9976" s="8">
        <v>0.7</v>
      </c>
      <c r="U9976" s="8">
        <v>12.9</v>
      </c>
      <c r="V9976" s="8">
        <v>2.8</v>
      </c>
      <c r="W9976" s="8">
        <v>0.6</v>
      </c>
      <c r="X9976" s="8">
        <v>109</v>
      </c>
      <c r="Y9976" s="8" t="s">
        <v>42885</v>
      </c>
      <c r="Z9976" s="8" t="s">
        <v>42886</v>
      </c>
    </row>
    <row r="9977" spans="1:26" x14ac:dyDescent="0.2">
      <c r="A9977" s="8">
        <v>9976</v>
      </c>
      <c r="B9977" s="8" t="s">
        <v>42887</v>
      </c>
      <c r="C9977" s="8" t="s">
        <v>42887</v>
      </c>
      <c r="G9977" s="8">
        <v>20</v>
      </c>
      <c r="H9977" s="8" t="s">
        <v>21</v>
      </c>
      <c r="I9977" s="8" t="s">
        <v>22</v>
      </c>
      <c r="J9977" s="8" t="s">
        <v>22</v>
      </c>
      <c r="K9977" s="8" t="s">
        <v>160</v>
      </c>
      <c r="L9977" s="8" t="s">
        <v>8298</v>
      </c>
      <c r="M9977" s="8" t="s">
        <v>8299</v>
      </c>
      <c r="N9977" s="8" t="s">
        <v>42883</v>
      </c>
      <c r="O9977" s="8">
        <f>5+33/60+13.2/3600</f>
        <v>5.5536666666666665</v>
      </c>
      <c r="P9977" s="8" t="s">
        <v>42884</v>
      </c>
      <c r="Q9977" s="8">
        <f>-(36+23/60+58/3600)</f>
        <v>-36.399444444444441</v>
      </c>
      <c r="R9977" s="8">
        <v>12.5</v>
      </c>
      <c r="S9977" s="8">
        <v>13.2</v>
      </c>
      <c r="T9977" s="8">
        <v>0.7</v>
      </c>
      <c r="U9977" s="8">
        <v>12.9</v>
      </c>
      <c r="V9977" s="8">
        <v>2.8</v>
      </c>
      <c r="W9977" s="8">
        <v>0.6</v>
      </c>
      <c r="X9977" s="8">
        <v>109</v>
      </c>
      <c r="Y9977" s="8" t="s">
        <v>42888</v>
      </c>
      <c r="Z9977" s="8" t="s">
        <v>42889</v>
      </c>
    </row>
    <row r="9978" spans="1:26" x14ac:dyDescent="0.2">
      <c r="A9978" s="8">
        <v>9977</v>
      </c>
      <c r="B9978" s="8" t="s">
        <v>42890</v>
      </c>
      <c r="C9978" s="8" t="s">
        <v>42890</v>
      </c>
      <c r="G9978" s="8">
        <v>20</v>
      </c>
      <c r="H9978" s="8" t="s">
        <v>21</v>
      </c>
      <c r="I9978" s="8" t="s">
        <v>22</v>
      </c>
      <c r="J9978" s="8" t="s">
        <v>22</v>
      </c>
      <c r="K9978" s="8" t="s">
        <v>31</v>
      </c>
      <c r="L9978" s="8" t="s">
        <v>7915</v>
      </c>
      <c r="M9978" s="8" t="s">
        <v>7916</v>
      </c>
      <c r="N9978" s="8" t="s">
        <v>42891</v>
      </c>
      <c r="O9978" s="8">
        <f>5+34/60+21.5/3600</f>
        <v>5.5726388888888883</v>
      </c>
      <c r="P9978" s="8" t="s">
        <v>42892</v>
      </c>
      <c r="Q9978" s="8">
        <f>-(23+32/60+0/3600)</f>
        <v>-23.533333333333335</v>
      </c>
      <c r="R9978" s="8">
        <v>13</v>
      </c>
      <c r="S9978" s="8">
        <v>13.8</v>
      </c>
      <c r="T9978" s="8">
        <v>0.8</v>
      </c>
      <c r="U9978" s="8">
        <v>12.8</v>
      </c>
      <c r="V9978" s="8">
        <v>1.2</v>
      </c>
      <c r="W9978" s="8">
        <v>0.8</v>
      </c>
      <c r="X9978" s="8">
        <v>88</v>
      </c>
      <c r="Y9978" s="8" t="s">
        <v>21</v>
      </c>
      <c r="Z9978" s="8" t="s">
        <v>42893</v>
      </c>
    </row>
    <row r="9979" spans="1:26" x14ac:dyDescent="0.2">
      <c r="A9979" s="8">
        <v>9978</v>
      </c>
      <c r="B9979" s="8" t="s">
        <v>42894</v>
      </c>
      <c r="C9979" s="8" t="s">
        <v>42894</v>
      </c>
      <c r="G9979" s="8">
        <v>20</v>
      </c>
      <c r="H9979" s="8" t="s">
        <v>21</v>
      </c>
      <c r="I9979" s="8" t="s">
        <v>22</v>
      </c>
      <c r="J9979" s="8" t="s">
        <v>57</v>
      </c>
      <c r="K9979" s="8" t="s">
        <v>31</v>
      </c>
      <c r="L9979" s="8" t="s">
        <v>7915</v>
      </c>
      <c r="M9979" s="8" t="s">
        <v>7916</v>
      </c>
      <c r="N9979" s="8" t="s">
        <v>42891</v>
      </c>
      <c r="O9979" s="8">
        <f>5+34/60+21.5/3600</f>
        <v>5.5726388888888883</v>
      </c>
      <c r="P9979" s="8" t="s">
        <v>42892</v>
      </c>
      <c r="Q9979" s="8">
        <f>-(23+32/60+0/3600)</f>
        <v>-23.533333333333335</v>
      </c>
      <c r="R9979" s="8">
        <v>13</v>
      </c>
      <c r="S9979" s="8">
        <v>13.8</v>
      </c>
      <c r="T9979" s="8">
        <v>0.8</v>
      </c>
      <c r="U9979" s="8">
        <v>12.8</v>
      </c>
      <c r="V9979" s="8">
        <v>1.2</v>
      </c>
      <c r="W9979" s="8">
        <v>0.8</v>
      </c>
      <c r="X9979" s="8">
        <v>88</v>
      </c>
      <c r="Y9979" s="8" t="s">
        <v>21</v>
      </c>
      <c r="Z9979" s="8" t="s">
        <v>42895</v>
      </c>
    </row>
    <row r="9980" spans="1:26" x14ac:dyDescent="0.2">
      <c r="A9980" s="8">
        <v>9979</v>
      </c>
      <c r="B9980" s="8" t="s">
        <v>42896</v>
      </c>
      <c r="C9980" s="8" t="s">
        <v>42896</v>
      </c>
      <c r="G9980" s="8">
        <v>20</v>
      </c>
      <c r="H9980" s="8" t="s">
        <v>21</v>
      </c>
      <c r="I9980" s="8" t="s">
        <v>72</v>
      </c>
      <c r="J9980" s="8" t="s">
        <v>72</v>
      </c>
      <c r="K9980" s="8" t="s">
        <v>1802</v>
      </c>
      <c r="L9980" s="8" t="s">
        <v>7915</v>
      </c>
      <c r="M9980" s="8" t="s">
        <v>7916</v>
      </c>
      <c r="N9980" s="8" t="s">
        <v>42897</v>
      </c>
      <c r="O9980" s="8">
        <f>5+35/60+15.2/3600</f>
        <v>5.5875555555555554</v>
      </c>
      <c r="P9980" s="8" t="s">
        <v>42898</v>
      </c>
      <c r="Q9980" s="8">
        <f>-(17+56/60+2/3600)</f>
        <v>-17.933888888888887</v>
      </c>
      <c r="R9980" s="8">
        <v>99</v>
      </c>
      <c r="S9980" s="8">
        <v>99</v>
      </c>
      <c r="T9980" s="8">
        <v>99</v>
      </c>
      <c r="U9980" s="8">
        <v>99</v>
      </c>
      <c r="Y9980" s="8" t="s">
        <v>21</v>
      </c>
      <c r="Z9980" s="8" t="s">
        <v>42899</v>
      </c>
    </row>
    <row r="9981" spans="1:26" x14ac:dyDescent="0.2">
      <c r="A9981" s="8">
        <v>9980</v>
      </c>
      <c r="B9981" s="8" t="s">
        <v>42900</v>
      </c>
      <c r="C9981" s="8" t="s">
        <v>42900</v>
      </c>
      <c r="G9981" s="8">
        <v>20</v>
      </c>
      <c r="H9981" s="8" t="s">
        <v>21</v>
      </c>
      <c r="I9981" s="8" t="s">
        <v>567</v>
      </c>
      <c r="J9981" s="8" t="s">
        <v>567</v>
      </c>
      <c r="K9981" s="8" t="s">
        <v>567</v>
      </c>
      <c r="L9981" s="8" t="s">
        <v>7071</v>
      </c>
      <c r="M9981" s="8" t="s">
        <v>7072</v>
      </c>
      <c r="N9981" s="8" t="s">
        <v>36391</v>
      </c>
      <c r="O9981" s="8">
        <f>5+33/60+22/3600</f>
        <v>5.556111111111111</v>
      </c>
      <c r="P9981" s="8" t="s">
        <v>42901</v>
      </c>
      <c r="Q9981" s="8">
        <f>-(75+22/60+31/3600)</f>
        <v>-75.375277777777768</v>
      </c>
      <c r="R9981" s="8">
        <v>99</v>
      </c>
      <c r="S9981" s="8">
        <v>99</v>
      </c>
      <c r="T9981" s="8">
        <v>99</v>
      </c>
      <c r="U9981" s="8">
        <v>99</v>
      </c>
      <c r="V9981" s="8">
        <v>2.1</v>
      </c>
      <c r="Y9981" s="8" t="s">
        <v>21</v>
      </c>
      <c r="Z9981" s="8" t="s">
        <v>42902</v>
      </c>
    </row>
    <row r="9982" spans="1:26" x14ac:dyDescent="0.2">
      <c r="A9982" s="8">
        <v>9981</v>
      </c>
      <c r="B9982" s="8" t="s">
        <v>42903</v>
      </c>
      <c r="C9982" s="8" t="s">
        <v>42903</v>
      </c>
      <c r="G9982" s="8">
        <v>20</v>
      </c>
      <c r="H9982" s="8" t="s">
        <v>21</v>
      </c>
      <c r="I9982" s="8" t="s">
        <v>72</v>
      </c>
      <c r="J9982" s="8" t="s">
        <v>72</v>
      </c>
      <c r="K9982" s="8" t="s">
        <v>1802</v>
      </c>
      <c r="L9982" s="8" t="s">
        <v>7782</v>
      </c>
      <c r="M9982" s="8" t="s">
        <v>7783</v>
      </c>
      <c r="N9982" s="8" t="s">
        <v>42904</v>
      </c>
      <c r="O9982" s="8">
        <f>5+42/60+22.3/3600</f>
        <v>5.7061944444444448</v>
      </c>
      <c r="P9982" s="8" t="s">
        <v>40914</v>
      </c>
      <c r="Q9982" s="8">
        <f>-(51+1/60+57/3600)</f>
        <v>-51.032499999999999</v>
      </c>
      <c r="R9982" s="8">
        <v>99</v>
      </c>
      <c r="S9982" s="8">
        <v>99</v>
      </c>
      <c r="T9982" s="8">
        <v>99</v>
      </c>
      <c r="U9982" s="8">
        <v>99</v>
      </c>
      <c r="Y9982" s="8" t="s">
        <v>3952</v>
      </c>
      <c r="Z9982" s="8" t="s">
        <v>3953</v>
      </c>
    </row>
    <row r="9983" spans="1:26" x14ac:dyDescent="0.2">
      <c r="A9983" s="8">
        <v>9982</v>
      </c>
      <c r="B9983" s="8" t="s">
        <v>42905</v>
      </c>
      <c r="C9983" s="8" t="s">
        <v>42905</v>
      </c>
      <c r="G9983" s="8">
        <v>20</v>
      </c>
      <c r="H9983" s="8" t="s">
        <v>21</v>
      </c>
      <c r="I9983" s="8" t="s">
        <v>22</v>
      </c>
      <c r="J9983" s="8" t="s">
        <v>22</v>
      </c>
      <c r="K9983" s="8" t="s">
        <v>160</v>
      </c>
      <c r="L9983" s="8" t="s">
        <v>7071</v>
      </c>
      <c r="M9983" s="8" t="s">
        <v>7072</v>
      </c>
      <c r="N9983" s="8" t="s">
        <v>42906</v>
      </c>
      <c r="O9983" s="8">
        <f>5+33/60+8.9/3600</f>
        <v>5.5524722222222218</v>
      </c>
      <c r="P9983" s="8" t="s">
        <v>42907</v>
      </c>
      <c r="Q9983" s="8">
        <f>-(78+1/60+10/3600)</f>
        <v>-78.019444444444446</v>
      </c>
      <c r="R9983" s="8">
        <v>14.7</v>
      </c>
      <c r="S9983" s="8">
        <v>15.5</v>
      </c>
      <c r="T9983" s="8">
        <v>0.8</v>
      </c>
      <c r="U9983" s="8">
        <v>13.3</v>
      </c>
      <c r="V9983" s="8">
        <v>0.8</v>
      </c>
      <c r="W9983" s="8">
        <v>0.4</v>
      </c>
      <c r="X9983" s="8">
        <v>31</v>
      </c>
      <c r="Y9983" s="8" t="s">
        <v>21</v>
      </c>
      <c r="Z9983" s="8" t="s">
        <v>42908</v>
      </c>
    </row>
    <row r="9984" spans="1:26" x14ac:dyDescent="0.2">
      <c r="A9984" s="8">
        <v>9983</v>
      </c>
      <c r="B9984" s="8" t="s">
        <v>42909</v>
      </c>
      <c r="C9984" s="8" t="s">
        <v>42909</v>
      </c>
      <c r="G9984" s="8">
        <v>20</v>
      </c>
      <c r="H9984" s="8" t="s">
        <v>21</v>
      </c>
      <c r="I9984" s="8" t="s">
        <v>22</v>
      </c>
      <c r="J9984" s="8" t="s">
        <v>22</v>
      </c>
      <c r="K9984" s="8" t="s">
        <v>218</v>
      </c>
      <c r="L9984" s="8" t="s">
        <v>7915</v>
      </c>
      <c r="M9984" s="8" t="s">
        <v>7916</v>
      </c>
      <c r="N9984" s="8" t="s">
        <v>42910</v>
      </c>
      <c r="O9984" s="8">
        <f>5+46/60+52.4/3600</f>
        <v>5.7812222222222225</v>
      </c>
      <c r="P9984" s="8" t="s">
        <v>42911</v>
      </c>
      <c r="Q9984" s="8">
        <f>-(18+43/60+33/3600)</f>
        <v>-18.72583333333333</v>
      </c>
      <c r="R9984" s="8">
        <v>12.5</v>
      </c>
      <c r="S9984" s="8">
        <v>13.3</v>
      </c>
      <c r="T9984" s="8">
        <v>0.8</v>
      </c>
      <c r="U9984" s="8">
        <v>12.8</v>
      </c>
      <c r="V9984" s="8">
        <v>2</v>
      </c>
      <c r="W9984" s="8">
        <v>0.8</v>
      </c>
      <c r="X9984" s="8">
        <v>98</v>
      </c>
      <c r="Y9984" s="8" t="s">
        <v>42912</v>
      </c>
      <c r="Z9984" s="8" t="s">
        <v>42913</v>
      </c>
    </row>
    <row r="9985" spans="1:26" x14ac:dyDescent="0.2">
      <c r="A9985" s="8">
        <v>9984</v>
      </c>
      <c r="B9985" s="8" t="s">
        <v>42914</v>
      </c>
      <c r="C9985" s="8" t="s">
        <v>42914</v>
      </c>
      <c r="G9985" s="8">
        <v>20</v>
      </c>
      <c r="H9985" s="8" t="s">
        <v>21</v>
      </c>
      <c r="I9985" s="8" t="s">
        <v>1283</v>
      </c>
      <c r="J9985" s="8" t="s">
        <v>1283</v>
      </c>
      <c r="K9985" s="8" t="s">
        <v>1284</v>
      </c>
      <c r="L9985" s="8" t="s">
        <v>6115</v>
      </c>
      <c r="M9985" s="8" t="s">
        <v>6116</v>
      </c>
      <c r="N9985" s="8" t="s">
        <v>42915</v>
      </c>
      <c r="O9985" s="8">
        <f>5+50/60+14/3600</f>
        <v>5.8372222222222216</v>
      </c>
      <c r="P9985" s="8" t="s">
        <v>42916</v>
      </c>
      <c r="Q9985" s="8">
        <f>+(23+52/60+20/3600)</f>
        <v>23.872222222222224</v>
      </c>
      <c r="R9985" s="8">
        <v>99</v>
      </c>
      <c r="S9985" s="8">
        <v>99</v>
      </c>
      <c r="T9985" s="8">
        <v>99</v>
      </c>
      <c r="U9985" s="8">
        <v>99</v>
      </c>
      <c r="V9985" s="8">
        <v>1</v>
      </c>
      <c r="Y9985" s="8" t="s">
        <v>21</v>
      </c>
      <c r="Z9985" s="8" t="s">
        <v>42917</v>
      </c>
    </row>
    <row r="9986" spans="1:26" x14ac:dyDescent="0.2">
      <c r="A9986" s="8">
        <v>9985</v>
      </c>
      <c r="B9986" s="8" t="s">
        <v>42918</v>
      </c>
      <c r="C9986" s="8" t="s">
        <v>42918</v>
      </c>
      <c r="G9986" s="8">
        <v>20</v>
      </c>
      <c r="H9986" s="8" t="s">
        <v>21</v>
      </c>
      <c r="I9986" s="8" t="s">
        <v>1283</v>
      </c>
      <c r="J9986" s="8" t="s">
        <v>1283</v>
      </c>
      <c r="K9986" s="8" t="s">
        <v>1284</v>
      </c>
      <c r="L9986" s="8" t="s">
        <v>55972</v>
      </c>
      <c r="M9986" s="8" t="s">
        <v>6970</v>
      </c>
      <c r="N9986" s="8" t="s">
        <v>42919</v>
      </c>
      <c r="O9986" s="8">
        <f>5+40/60+23.9/3600</f>
        <v>5.6733055555555563</v>
      </c>
      <c r="P9986" s="8" t="s">
        <v>42920</v>
      </c>
      <c r="Q9986" s="8">
        <f>-(69+40/60+17/3600)</f>
        <v>-69.671388888888899</v>
      </c>
      <c r="R9986" s="8">
        <v>99</v>
      </c>
      <c r="S9986" s="8">
        <v>99</v>
      </c>
      <c r="T9986" s="8">
        <v>99</v>
      </c>
      <c r="U9986" s="8">
        <v>99</v>
      </c>
      <c r="V9986" s="8">
        <v>2</v>
      </c>
      <c r="Y9986" s="8" t="s">
        <v>27388</v>
      </c>
      <c r="Z9986" s="8" t="s">
        <v>42798</v>
      </c>
    </row>
    <row r="9987" spans="1:26" x14ac:dyDescent="0.2">
      <c r="A9987" s="8">
        <v>9986</v>
      </c>
      <c r="B9987" s="8" t="s">
        <v>42921</v>
      </c>
      <c r="C9987" s="8" t="s">
        <v>42921</v>
      </c>
      <c r="G9987" s="8">
        <v>20</v>
      </c>
      <c r="H9987" s="8" t="s">
        <v>21</v>
      </c>
      <c r="I9987" s="8" t="s">
        <v>567</v>
      </c>
      <c r="J9987" s="8" t="s">
        <v>567</v>
      </c>
      <c r="K9987" s="8" t="s">
        <v>567</v>
      </c>
      <c r="L9987" s="8" t="s">
        <v>7071</v>
      </c>
      <c r="M9987" s="8" t="s">
        <v>7072</v>
      </c>
      <c r="N9987" s="8" t="s">
        <v>42922</v>
      </c>
      <c r="O9987" s="8">
        <f>5+37/60+46/3600</f>
        <v>5.6294444444444451</v>
      </c>
      <c r="P9987" s="8" t="s">
        <v>42923</v>
      </c>
      <c r="Q9987" s="8">
        <f>-(74+46/60+50/3600)</f>
        <v>-74.780555555555551</v>
      </c>
      <c r="R9987" s="8">
        <v>99</v>
      </c>
      <c r="S9987" s="8">
        <v>99</v>
      </c>
      <c r="T9987" s="8">
        <v>99</v>
      </c>
      <c r="U9987" s="8">
        <v>99</v>
      </c>
      <c r="V9987" s="8">
        <v>2.6</v>
      </c>
      <c r="Y9987" s="8" t="s">
        <v>42924</v>
      </c>
      <c r="Z9987" s="8" t="s">
        <v>42925</v>
      </c>
    </row>
    <row r="9988" spans="1:26" x14ac:dyDescent="0.2">
      <c r="A9988" s="8">
        <v>9987</v>
      </c>
      <c r="B9988" s="8" t="s">
        <v>42926</v>
      </c>
      <c r="C9988" s="8" t="s">
        <v>42926</v>
      </c>
      <c r="G9988" s="8">
        <v>20</v>
      </c>
      <c r="H9988" s="8" t="s">
        <v>21</v>
      </c>
      <c r="I9988" s="8" t="s">
        <v>329</v>
      </c>
      <c r="J9988" s="8" t="s">
        <v>329</v>
      </c>
      <c r="K9988" s="8" t="s">
        <v>329</v>
      </c>
      <c r="L9988" s="8" t="s">
        <v>8298</v>
      </c>
      <c r="M9988" s="8" t="s">
        <v>8299</v>
      </c>
      <c r="N9988" s="8" t="s">
        <v>42927</v>
      </c>
      <c r="O9988" s="8">
        <f>5+47/60+48.1/3600</f>
        <v>5.7966944444444444</v>
      </c>
      <c r="P9988" s="8" t="s">
        <v>42928</v>
      </c>
      <c r="Q9988" s="8">
        <f>-(30+29/60+52/3600)</f>
        <v>-30.497777777777777</v>
      </c>
      <c r="R9988" s="8">
        <v>99</v>
      </c>
      <c r="S9988" s="8">
        <v>99</v>
      </c>
      <c r="T9988" s="8">
        <v>99</v>
      </c>
      <c r="U9988" s="8">
        <v>99</v>
      </c>
      <c r="Y9988" s="8" t="s">
        <v>42929</v>
      </c>
      <c r="Z9988" s="8" t="s">
        <v>42930</v>
      </c>
    </row>
    <row r="9989" spans="1:26" x14ac:dyDescent="0.2">
      <c r="A9989" s="8">
        <v>9988</v>
      </c>
      <c r="B9989" s="8" t="s">
        <v>42931</v>
      </c>
      <c r="C9989" s="8" t="s">
        <v>42931</v>
      </c>
      <c r="G9989" s="8">
        <v>20</v>
      </c>
      <c r="H9989" s="8" t="s">
        <v>21</v>
      </c>
      <c r="I9989" s="8" t="s">
        <v>567</v>
      </c>
      <c r="J9989" s="8" t="s">
        <v>567</v>
      </c>
      <c r="K9989" s="8" t="s">
        <v>567</v>
      </c>
      <c r="L9989" s="8" t="s">
        <v>7071</v>
      </c>
      <c r="M9989" s="8" t="s">
        <v>7072</v>
      </c>
      <c r="N9989" s="8" t="s">
        <v>42932</v>
      </c>
      <c r="O9989" s="8">
        <f>5+39/60+12/3600</f>
        <v>5.6533333333333333</v>
      </c>
      <c r="P9989" s="8" t="s">
        <v>42933</v>
      </c>
      <c r="Q9989" s="8">
        <f>-(75+33/60+45/3600)</f>
        <v>-75.5625</v>
      </c>
      <c r="R9989" s="8">
        <v>99</v>
      </c>
      <c r="S9989" s="8">
        <v>99</v>
      </c>
      <c r="T9989" s="8">
        <v>99</v>
      </c>
      <c r="U9989" s="8">
        <v>99</v>
      </c>
      <c r="V9989" s="8">
        <v>1.1000000000000001</v>
      </c>
      <c r="Y9989" s="8" t="s">
        <v>7702</v>
      </c>
      <c r="Z9989" s="8" t="s">
        <v>7703</v>
      </c>
    </row>
    <row r="9990" spans="1:26" x14ac:dyDescent="0.2">
      <c r="A9990" s="8">
        <v>9989</v>
      </c>
      <c r="B9990" s="8" t="s">
        <v>42934</v>
      </c>
      <c r="C9990" s="8" t="s">
        <v>42934</v>
      </c>
      <c r="G9990" s="8">
        <v>5</v>
      </c>
      <c r="H9990" s="8" t="s">
        <v>21</v>
      </c>
      <c r="I9990" s="8" t="s">
        <v>241</v>
      </c>
      <c r="J9990" s="8" t="s">
        <v>241</v>
      </c>
      <c r="K9990" s="8" t="s">
        <v>241</v>
      </c>
      <c r="L9990" s="8" t="s">
        <v>7717</v>
      </c>
      <c r="M9990" s="8" t="s">
        <v>7718</v>
      </c>
      <c r="N9990" s="8" t="s">
        <v>42935</v>
      </c>
      <c r="O9990" s="8">
        <f>5+56/60+23.9/3600</f>
        <v>5.9399722222222229</v>
      </c>
      <c r="P9990" s="8" t="s">
        <v>42936</v>
      </c>
      <c r="Q9990" s="8">
        <f>+(46+6/60+19/3600)</f>
        <v>46.105277777777779</v>
      </c>
      <c r="R9990" s="8">
        <v>10.6</v>
      </c>
      <c r="S9990" s="8">
        <v>11.2</v>
      </c>
      <c r="T9990" s="8">
        <v>99</v>
      </c>
      <c r="U9990" s="8">
        <v>99</v>
      </c>
      <c r="V9990" s="8">
        <v>0.56999999999999995</v>
      </c>
      <c r="Y9990" s="8" t="s">
        <v>27388</v>
      </c>
      <c r="Z9990" s="8" t="s">
        <v>42798</v>
      </c>
    </row>
    <row r="9991" spans="1:26" x14ac:dyDescent="0.2">
      <c r="A9991" s="8">
        <v>9990</v>
      </c>
      <c r="B9991" s="8" t="s">
        <v>42937</v>
      </c>
      <c r="C9991" s="8" t="s">
        <v>42937</v>
      </c>
      <c r="G9991" s="8">
        <v>20</v>
      </c>
      <c r="H9991" s="8" t="s">
        <v>21</v>
      </c>
      <c r="I9991" s="8" t="s">
        <v>22</v>
      </c>
      <c r="J9991" s="8" t="s">
        <v>22</v>
      </c>
      <c r="K9991" s="8" t="s">
        <v>160</v>
      </c>
      <c r="L9991" s="8" t="s">
        <v>8298</v>
      </c>
      <c r="M9991" s="8" t="s">
        <v>8299</v>
      </c>
      <c r="N9991" s="8" t="s">
        <v>42938</v>
      </c>
      <c r="O9991" s="8">
        <f>5+51/60+18.5/3600</f>
        <v>5.8551388888888889</v>
      </c>
      <c r="P9991" s="8" t="s">
        <v>42939</v>
      </c>
      <c r="Q9991" s="8">
        <f>-(38+19/60+16/3600)</f>
        <v>-38.321111111111115</v>
      </c>
      <c r="R9991" s="8">
        <v>12.8</v>
      </c>
      <c r="S9991" s="8">
        <v>13.5</v>
      </c>
      <c r="T9991" s="8">
        <v>0.7</v>
      </c>
      <c r="U9991" s="8">
        <v>13.4</v>
      </c>
      <c r="V9991" s="8">
        <v>2.6</v>
      </c>
      <c r="W9991" s="8">
        <v>0.8</v>
      </c>
      <c r="X9991" s="8">
        <v>84</v>
      </c>
      <c r="Y9991" s="8" t="s">
        <v>42940</v>
      </c>
      <c r="Z9991" s="8" t="s">
        <v>42941</v>
      </c>
    </row>
    <row r="9992" spans="1:26" x14ac:dyDescent="0.2">
      <c r="A9992" s="8">
        <v>9991</v>
      </c>
      <c r="B9992" s="8" t="s">
        <v>42942</v>
      </c>
      <c r="C9992" s="8" t="s">
        <v>42942</v>
      </c>
      <c r="G9992" s="8">
        <v>20</v>
      </c>
      <c r="H9992" s="8" t="s">
        <v>21</v>
      </c>
      <c r="I9992" s="8" t="s">
        <v>22</v>
      </c>
      <c r="J9992" s="8" t="s">
        <v>22</v>
      </c>
      <c r="K9992" s="8" t="s">
        <v>85</v>
      </c>
      <c r="L9992" s="8" t="s">
        <v>7915</v>
      </c>
      <c r="M9992" s="8" t="s">
        <v>7916</v>
      </c>
      <c r="N9992" s="8" t="s">
        <v>42943</v>
      </c>
      <c r="O9992" s="8">
        <f>5+52/60+36.8/3600</f>
        <v>5.8768888888888897</v>
      </c>
      <c r="P9992" s="8" t="s">
        <v>42944</v>
      </c>
      <c r="Q9992" s="8">
        <f>-(17+47/60+15/3600)</f>
        <v>-17.787500000000001</v>
      </c>
      <c r="R9992" s="8">
        <v>13.3</v>
      </c>
      <c r="S9992" s="8">
        <v>14.1</v>
      </c>
      <c r="T9992" s="8">
        <v>0.8</v>
      </c>
      <c r="U9992" s="8">
        <v>13.5</v>
      </c>
      <c r="V9992" s="8">
        <v>1.5</v>
      </c>
      <c r="W9992" s="8">
        <v>0.9</v>
      </c>
      <c r="X9992" s="8">
        <v>99</v>
      </c>
      <c r="Y9992" s="8" t="s">
        <v>21</v>
      </c>
      <c r="Z9992" s="8" t="s">
        <v>42945</v>
      </c>
    </row>
    <row r="9993" spans="1:26" x14ac:dyDescent="0.2">
      <c r="A9993" s="8">
        <v>9992</v>
      </c>
      <c r="B9993" s="8" t="s">
        <v>42946</v>
      </c>
      <c r="C9993" s="8" t="s">
        <v>42946</v>
      </c>
      <c r="G9993" s="8">
        <v>20</v>
      </c>
      <c r="H9993" s="8" t="s">
        <v>21</v>
      </c>
      <c r="I9993" s="8" t="s">
        <v>22</v>
      </c>
      <c r="J9993" s="8" t="s">
        <v>22</v>
      </c>
      <c r="K9993" s="8" t="s">
        <v>154</v>
      </c>
      <c r="L9993" s="8" t="s">
        <v>7915</v>
      </c>
      <c r="M9993" s="8" t="s">
        <v>7916</v>
      </c>
      <c r="N9993" s="8" t="s">
        <v>42947</v>
      </c>
      <c r="O9993" s="8">
        <f>5+57/60+53.3/3600</f>
        <v>5.9648055555555555</v>
      </c>
      <c r="P9993" s="8" t="s">
        <v>42948</v>
      </c>
      <c r="Q9993" s="8">
        <f>-(23+10/60+50/3600)</f>
        <v>-23.180555555555557</v>
      </c>
      <c r="R9993" s="8">
        <v>12.6</v>
      </c>
      <c r="S9993" s="8">
        <v>13.5</v>
      </c>
      <c r="T9993" s="8">
        <v>0.9</v>
      </c>
      <c r="U9993" s="8">
        <v>13.1</v>
      </c>
      <c r="V9993" s="8">
        <v>1.7</v>
      </c>
      <c r="W9993" s="8">
        <v>1.2</v>
      </c>
      <c r="X9993" s="8">
        <v>54</v>
      </c>
      <c r="Y9993" s="8" t="s">
        <v>21</v>
      </c>
      <c r="Z9993" s="8" t="s">
        <v>42949</v>
      </c>
    </row>
    <row r="9994" spans="1:26" x14ac:dyDescent="0.2">
      <c r="A9994" s="8">
        <v>9993</v>
      </c>
      <c r="B9994" s="8" t="s">
        <v>42950</v>
      </c>
      <c r="C9994" s="8" t="s">
        <v>42950</v>
      </c>
      <c r="G9994" s="8">
        <v>20</v>
      </c>
      <c r="H9994" s="8" t="s">
        <v>21</v>
      </c>
      <c r="I9994" s="8" t="s">
        <v>22</v>
      </c>
      <c r="J9994" s="8" t="s">
        <v>22</v>
      </c>
      <c r="K9994" s="8" t="s">
        <v>1174</v>
      </c>
      <c r="L9994" s="8" t="s">
        <v>8298</v>
      </c>
      <c r="M9994" s="8" t="s">
        <v>8299</v>
      </c>
      <c r="N9994" s="8" t="s">
        <v>42951</v>
      </c>
      <c r="O9994" s="8">
        <f>6+0/60+4.8/3600</f>
        <v>6.0013333333333332</v>
      </c>
      <c r="P9994" s="8" t="s">
        <v>42952</v>
      </c>
      <c r="Q9994" s="8">
        <f>-(33+55/60+10/3600)</f>
        <v>-33.919444444444444</v>
      </c>
      <c r="R9994" s="8">
        <v>13.5</v>
      </c>
      <c r="S9994" s="8">
        <v>14.5</v>
      </c>
      <c r="T9994" s="8">
        <v>1</v>
      </c>
      <c r="U9994" s="8">
        <v>13.1</v>
      </c>
      <c r="V9994" s="8">
        <v>1.1000000000000001</v>
      </c>
      <c r="W9994" s="8">
        <v>0.8</v>
      </c>
      <c r="X9994" s="8">
        <v>72</v>
      </c>
      <c r="Y9994" s="8" t="s">
        <v>42953</v>
      </c>
      <c r="Z9994" s="8" t="s">
        <v>42954</v>
      </c>
    </row>
    <row r="9995" spans="1:26" x14ac:dyDescent="0.2">
      <c r="A9995" s="8">
        <v>9994</v>
      </c>
      <c r="B9995" s="8" t="s">
        <v>42955</v>
      </c>
      <c r="C9995" s="8" t="s">
        <v>42955</v>
      </c>
      <c r="G9995" s="8">
        <v>20</v>
      </c>
      <c r="H9995" s="8" t="s">
        <v>21</v>
      </c>
      <c r="I9995" s="8" t="s">
        <v>22</v>
      </c>
      <c r="J9995" s="8" t="s">
        <v>57</v>
      </c>
      <c r="K9995" s="8" t="s">
        <v>64</v>
      </c>
      <c r="L9995" s="8" t="s">
        <v>7915</v>
      </c>
      <c r="M9995" s="8" t="s">
        <v>7916</v>
      </c>
      <c r="N9995" s="8" t="s">
        <v>9907</v>
      </c>
      <c r="O9995" s="8">
        <f>6+1/60+8/3600</f>
        <v>6.0188888888888892</v>
      </c>
      <c r="P9995" s="8" t="s">
        <v>9908</v>
      </c>
      <c r="Q9995" s="8">
        <f>-(23+40/60+22/3600)</f>
        <v>-23.672777777777778</v>
      </c>
      <c r="R9995" s="8">
        <v>11.6</v>
      </c>
      <c r="S9995" s="8">
        <v>12</v>
      </c>
      <c r="T9995" s="8">
        <v>0.4</v>
      </c>
      <c r="U9995" s="8">
        <v>13.3</v>
      </c>
      <c r="V9995" s="8">
        <v>2.4</v>
      </c>
      <c r="W9995" s="8">
        <v>1.9</v>
      </c>
      <c r="X9995" s="8">
        <v>140</v>
      </c>
      <c r="Y9995" s="8" t="s">
        <v>21</v>
      </c>
      <c r="Z9995" s="8" t="s">
        <v>42956</v>
      </c>
    </row>
    <row r="9996" spans="1:26" x14ac:dyDescent="0.2">
      <c r="A9996" s="8">
        <v>9995</v>
      </c>
      <c r="B9996" s="8" t="s">
        <v>42957</v>
      </c>
      <c r="C9996" s="8" t="s">
        <v>42957</v>
      </c>
      <c r="G9996" s="8">
        <v>20</v>
      </c>
      <c r="H9996" s="8" t="s">
        <v>21</v>
      </c>
      <c r="I9996" s="8" t="s">
        <v>329</v>
      </c>
      <c r="J9996" s="8" t="s">
        <v>329</v>
      </c>
      <c r="K9996" s="8" t="s">
        <v>329</v>
      </c>
      <c r="L9996" s="8" t="s">
        <v>8298</v>
      </c>
      <c r="M9996" s="8" t="s">
        <v>8299</v>
      </c>
      <c r="N9996" s="8" t="s">
        <v>42958</v>
      </c>
      <c r="O9996" s="8">
        <f>6+0/60+49/3600</f>
        <v>6.0136111111111115</v>
      </c>
      <c r="P9996" s="8" t="s">
        <v>42959</v>
      </c>
      <c r="Q9996" s="8">
        <f>-(34+0/60+50/3600)</f>
        <v>-34.013888888888886</v>
      </c>
      <c r="R9996" s="8">
        <v>99</v>
      </c>
      <c r="S9996" s="8">
        <v>99</v>
      </c>
      <c r="T9996" s="8">
        <v>99</v>
      </c>
      <c r="U9996" s="8">
        <v>99</v>
      </c>
      <c r="Y9996" s="8" t="s">
        <v>40947</v>
      </c>
      <c r="Z9996" s="8" t="s">
        <v>40948</v>
      </c>
    </row>
    <row r="9997" spans="1:26" x14ac:dyDescent="0.2">
      <c r="A9997" s="8">
        <v>9996</v>
      </c>
      <c r="B9997" s="8" t="s">
        <v>42960</v>
      </c>
      <c r="C9997" s="8" t="s">
        <v>42960</v>
      </c>
      <c r="G9997" s="8">
        <v>20</v>
      </c>
      <c r="H9997" s="8" t="s">
        <v>21</v>
      </c>
      <c r="I9997" s="8" t="s">
        <v>72</v>
      </c>
      <c r="J9997" s="8" t="s">
        <v>72</v>
      </c>
      <c r="K9997" s="8" t="s">
        <v>1405</v>
      </c>
      <c r="L9997" s="8" t="s">
        <v>9862</v>
      </c>
      <c r="M9997" s="8" t="s">
        <v>9863</v>
      </c>
      <c r="N9997" s="8" t="s">
        <v>42961</v>
      </c>
      <c r="O9997" s="8">
        <f>6+4/60+50.6/3600</f>
        <v>6.0807222222222217</v>
      </c>
      <c r="P9997" s="8" t="s">
        <v>36636</v>
      </c>
      <c r="Q9997" s="8">
        <f>+(24+9/60+37/3600)</f>
        <v>24.160277777777775</v>
      </c>
      <c r="R9997" s="8">
        <v>99</v>
      </c>
      <c r="S9997" s="8">
        <v>99</v>
      </c>
      <c r="T9997" s="8">
        <v>99</v>
      </c>
      <c r="U9997" s="8">
        <v>99</v>
      </c>
      <c r="V9997" s="8">
        <v>3.5</v>
      </c>
      <c r="Y9997" s="8" t="s">
        <v>42962</v>
      </c>
      <c r="Z9997" s="8" t="s">
        <v>42963</v>
      </c>
    </row>
    <row r="9998" spans="1:26" x14ac:dyDescent="0.2">
      <c r="A9998" s="8">
        <v>9997</v>
      </c>
      <c r="B9998" s="8" t="s">
        <v>42964</v>
      </c>
      <c r="C9998" s="8" t="s">
        <v>42964</v>
      </c>
      <c r="G9998" s="8">
        <v>12</v>
      </c>
      <c r="H9998" s="8" t="s">
        <v>21</v>
      </c>
      <c r="I9998" s="8" t="s">
        <v>557</v>
      </c>
      <c r="J9998" s="8" t="s">
        <v>557</v>
      </c>
      <c r="K9998" s="8" t="s">
        <v>987</v>
      </c>
      <c r="L9998" s="8" t="s">
        <v>9862</v>
      </c>
      <c r="M9998" s="8" t="s">
        <v>9863</v>
      </c>
      <c r="N9998" s="8" t="s">
        <v>42965</v>
      </c>
      <c r="O9998" s="8">
        <f>6+4/60+49.8/3600</f>
        <v>6.0804999999999998</v>
      </c>
      <c r="P9998" s="8" t="s">
        <v>42966</v>
      </c>
      <c r="Q9998" s="8">
        <f>+(24+3/60+21/3600)</f>
        <v>24.055833333333332</v>
      </c>
      <c r="R9998" s="8">
        <v>8.4</v>
      </c>
      <c r="S9998" s="8">
        <v>99</v>
      </c>
      <c r="T9998" s="8">
        <v>99</v>
      </c>
      <c r="U9998" s="8">
        <v>99</v>
      </c>
      <c r="V9998" s="8">
        <v>5</v>
      </c>
      <c r="Y9998" s="8" t="s">
        <v>1843</v>
      </c>
      <c r="Z9998" s="8" t="s">
        <v>1844</v>
      </c>
    </row>
    <row r="9999" spans="1:26" x14ac:dyDescent="0.2">
      <c r="A9999" s="8">
        <v>9998</v>
      </c>
      <c r="B9999" s="8" t="s">
        <v>42967</v>
      </c>
      <c r="C9999" s="8" t="s">
        <v>42967</v>
      </c>
      <c r="G9999" s="8">
        <v>20</v>
      </c>
      <c r="H9999" s="8" t="s">
        <v>21</v>
      </c>
      <c r="I9999" s="8" t="s">
        <v>22</v>
      </c>
      <c r="J9999" s="8" t="s">
        <v>22</v>
      </c>
      <c r="K9999" s="8" t="s">
        <v>406</v>
      </c>
      <c r="L9999" s="8" t="s">
        <v>8298</v>
      </c>
      <c r="M9999" s="8" t="s">
        <v>8299</v>
      </c>
      <c r="N9999" s="8" t="s">
        <v>42968</v>
      </c>
      <c r="O9999" s="8">
        <f>6+5/60+17.9/3600</f>
        <v>6.0883055555555554</v>
      </c>
      <c r="P9999" s="8" t="s">
        <v>42969</v>
      </c>
      <c r="Q9999" s="8">
        <f>-(27+51/60+25/3600)</f>
        <v>-27.856944444444444</v>
      </c>
      <c r="R9999" s="8">
        <v>12.1</v>
      </c>
      <c r="S9999" s="8">
        <v>12.9</v>
      </c>
      <c r="T9999" s="8">
        <v>0.8</v>
      </c>
      <c r="U9999" s="8">
        <v>12.8</v>
      </c>
      <c r="V9999" s="8">
        <v>1.7</v>
      </c>
      <c r="W9999" s="8">
        <v>1.3</v>
      </c>
      <c r="X9999" s="8">
        <v>107</v>
      </c>
      <c r="Y9999" s="8" t="s">
        <v>21</v>
      </c>
      <c r="Z9999" s="8" t="s">
        <v>42970</v>
      </c>
    </row>
    <row r="10000" spans="1:26" x14ac:dyDescent="0.2">
      <c r="A10000" s="8">
        <v>9999</v>
      </c>
      <c r="B10000" s="8" t="s">
        <v>42971</v>
      </c>
      <c r="C10000" s="8" t="s">
        <v>42971</v>
      </c>
      <c r="G10000" s="8">
        <v>20</v>
      </c>
      <c r="H10000" s="8" t="s">
        <v>21</v>
      </c>
      <c r="I10000" s="8" t="s">
        <v>1283</v>
      </c>
      <c r="J10000" s="8" t="s">
        <v>1283</v>
      </c>
      <c r="K10000" s="8" t="s">
        <v>1284</v>
      </c>
      <c r="L10000" s="8" t="s">
        <v>7698</v>
      </c>
      <c r="M10000" s="8" t="s">
        <v>7699</v>
      </c>
      <c r="N10000" s="8" t="s">
        <v>42972</v>
      </c>
      <c r="O10000" s="8">
        <f>6+9/60+57/3600</f>
        <v>6.1658333333333335</v>
      </c>
      <c r="P10000" s="8" t="s">
        <v>42973</v>
      </c>
      <c r="Q10000" s="8">
        <f>+(20+25/60+54/3600)</f>
        <v>20.431666666666668</v>
      </c>
      <c r="R10000" s="8">
        <v>99</v>
      </c>
      <c r="S10000" s="8">
        <v>99</v>
      </c>
      <c r="T10000" s="8">
        <v>99</v>
      </c>
      <c r="U10000" s="8">
        <v>99</v>
      </c>
      <c r="Y10000" s="8" t="s">
        <v>42974</v>
      </c>
      <c r="Z10000" s="8" t="s">
        <v>42975</v>
      </c>
    </row>
    <row r="10001" spans="1:26" x14ac:dyDescent="0.2">
      <c r="A10001" s="8">
        <v>10000</v>
      </c>
      <c r="B10001" s="8" t="s">
        <v>42976</v>
      </c>
      <c r="C10001" s="8" t="s">
        <v>42976</v>
      </c>
      <c r="G10001" s="8">
        <v>20</v>
      </c>
      <c r="H10001" s="8" t="s">
        <v>21</v>
      </c>
      <c r="I10001" s="8" t="s">
        <v>22</v>
      </c>
      <c r="J10001" s="8" t="s">
        <v>22</v>
      </c>
      <c r="K10001" s="8" t="s">
        <v>64</v>
      </c>
      <c r="L10001" s="8" t="s">
        <v>7071</v>
      </c>
      <c r="M10001" s="8" t="s">
        <v>7072</v>
      </c>
      <c r="N10001" s="8" t="s">
        <v>42977</v>
      </c>
      <c r="O10001" s="8">
        <f>5+55/60+28.7/3600</f>
        <v>5.9246388888888895</v>
      </c>
      <c r="P10001" s="8" t="s">
        <v>42978</v>
      </c>
      <c r="Q10001" s="8">
        <f>-(76+55/60+13/3600)</f>
        <v>-76.920277777777784</v>
      </c>
      <c r="R10001" s="8">
        <v>13.1</v>
      </c>
      <c r="S10001" s="8">
        <v>13.9</v>
      </c>
      <c r="T10001" s="8">
        <v>0.8</v>
      </c>
      <c r="U10001" s="8">
        <v>13.5</v>
      </c>
      <c r="V10001" s="8">
        <v>2.1</v>
      </c>
      <c r="W10001" s="8">
        <v>0.8</v>
      </c>
      <c r="X10001" s="8">
        <v>107</v>
      </c>
      <c r="Y10001" s="8" t="s">
        <v>10537</v>
      </c>
      <c r="Z10001" s="8" t="s">
        <v>21942</v>
      </c>
    </row>
    <row r="10002" spans="1:26" x14ac:dyDescent="0.2">
      <c r="A10002" s="8">
        <v>10001</v>
      </c>
      <c r="B10002" s="8" t="s">
        <v>42979</v>
      </c>
      <c r="C10002" s="8" t="s">
        <v>42979</v>
      </c>
      <c r="G10002" s="8">
        <v>20</v>
      </c>
      <c r="H10002" s="8" t="s">
        <v>21</v>
      </c>
      <c r="I10002" s="8" t="s">
        <v>567</v>
      </c>
      <c r="J10002" s="8" t="s">
        <v>567</v>
      </c>
      <c r="K10002" s="8" t="s">
        <v>567</v>
      </c>
      <c r="L10002" s="8" t="s">
        <v>7071</v>
      </c>
      <c r="M10002" s="8" t="s">
        <v>7072</v>
      </c>
      <c r="N10002" s="8" t="s">
        <v>9822</v>
      </c>
      <c r="O10002" s="8">
        <f>5+57/60+26.9/3600</f>
        <v>5.9574722222222221</v>
      </c>
      <c r="P10002" s="8" t="s">
        <v>42980</v>
      </c>
      <c r="Q10002" s="8">
        <f>-(75+8/60+22/3600)</f>
        <v>-75.13944444444445</v>
      </c>
      <c r="R10002" s="8">
        <v>99</v>
      </c>
      <c r="S10002" s="8">
        <v>99</v>
      </c>
      <c r="T10002" s="8">
        <v>99</v>
      </c>
      <c r="U10002" s="8">
        <v>99</v>
      </c>
      <c r="V10002" s="8">
        <v>1.5</v>
      </c>
      <c r="Y10002" s="8" t="s">
        <v>42981</v>
      </c>
      <c r="Z10002" s="8" t="s">
        <v>42982</v>
      </c>
    </row>
    <row r="10003" spans="1:26" x14ac:dyDescent="0.2">
      <c r="A10003" s="8">
        <v>10002</v>
      </c>
      <c r="B10003" s="8" t="s">
        <v>42983</v>
      </c>
      <c r="C10003" s="8" t="s">
        <v>42983</v>
      </c>
      <c r="G10003" s="8">
        <v>20</v>
      </c>
      <c r="H10003" s="8" t="s">
        <v>21</v>
      </c>
      <c r="I10003" s="8" t="s">
        <v>1283</v>
      </c>
      <c r="J10003" s="8" t="s">
        <v>1283</v>
      </c>
      <c r="K10003" s="8" t="s">
        <v>1284</v>
      </c>
      <c r="L10003" s="8" t="s">
        <v>7698</v>
      </c>
      <c r="M10003" s="8" t="s">
        <v>7699</v>
      </c>
      <c r="N10003" s="8" t="s">
        <v>42984</v>
      </c>
      <c r="O10003" s="8">
        <f>6+13/60+6/3600</f>
        <v>6.2183333333333337</v>
      </c>
      <c r="P10003" s="8" t="s">
        <v>42985</v>
      </c>
      <c r="Q10003" s="8">
        <f>+(17+58/60+48/3600)</f>
        <v>17.979999999999997</v>
      </c>
      <c r="R10003" s="8">
        <v>99</v>
      </c>
      <c r="S10003" s="8">
        <v>99</v>
      </c>
      <c r="T10003" s="8">
        <v>99</v>
      </c>
      <c r="U10003" s="8">
        <v>99</v>
      </c>
      <c r="V10003" s="8">
        <v>3</v>
      </c>
      <c r="W10003" s="8">
        <v>3</v>
      </c>
      <c r="Y10003" s="8" t="s">
        <v>21</v>
      </c>
      <c r="Z10003" s="8" t="s">
        <v>42986</v>
      </c>
    </row>
    <row r="10004" spans="1:26" x14ac:dyDescent="0.2">
      <c r="A10004" s="8">
        <v>10003</v>
      </c>
      <c r="B10004" s="8" t="s">
        <v>42987</v>
      </c>
      <c r="C10004" s="8" t="s">
        <v>42987</v>
      </c>
      <c r="G10004" s="8">
        <v>9</v>
      </c>
      <c r="H10004" s="8" t="s">
        <v>21</v>
      </c>
      <c r="I10004" s="8" t="s">
        <v>22</v>
      </c>
      <c r="J10004" s="8" t="s">
        <v>22</v>
      </c>
      <c r="K10004" s="8" t="s">
        <v>64</v>
      </c>
      <c r="L10004" s="8" t="s">
        <v>10194</v>
      </c>
      <c r="M10004" s="8" t="s">
        <v>10195</v>
      </c>
      <c r="N10004" s="8" t="s">
        <v>42988</v>
      </c>
      <c r="O10004" s="8">
        <f>6+16/60+28/3600</f>
        <v>6.2744444444444447</v>
      </c>
      <c r="P10004" s="8" t="s">
        <v>42989</v>
      </c>
      <c r="Q10004" s="8">
        <f>-(21+22/60+35/3600)</f>
        <v>-21.37638888888889</v>
      </c>
      <c r="R10004" s="8">
        <v>11.7</v>
      </c>
      <c r="S10004" s="8">
        <v>12.4</v>
      </c>
      <c r="T10004" s="8">
        <v>0.7</v>
      </c>
      <c r="U10004" s="8">
        <v>12.9</v>
      </c>
      <c r="V10004" s="8">
        <v>3</v>
      </c>
      <c r="W10004" s="8">
        <v>1.2</v>
      </c>
      <c r="X10004" s="8">
        <v>98</v>
      </c>
      <c r="Y10004" s="8" t="s">
        <v>21</v>
      </c>
      <c r="Z10004" s="8" t="s">
        <v>42990</v>
      </c>
    </row>
    <row r="10005" spans="1:26" x14ac:dyDescent="0.2">
      <c r="A10005" s="8">
        <v>10004</v>
      </c>
      <c r="B10005" s="8" t="s">
        <v>42991</v>
      </c>
      <c r="C10005" s="8" t="s">
        <v>42991</v>
      </c>
      <c r="G10005" s="8">
        <v>20</v>
      </c>
      <c r="H10005" s="8" t="s">
        <v>21</v>
      </c>
      <c r="I10005" s="8" t="s">
        <v>22</v>
      </c>
      <c r="J10005" s="8" t="s">
        <v>22</v>
      </c>
      <c r="K10005" s="8" t="s">
        <v>31</v>
      </c>
      <c r="L10005" s="8" t="s">
        <v>7071</v>
      </c>
      <c r="M10005" s="8" t="s">
        <v>7072</v>
      </c>
      <c r="N10005" s="8" t="s">
        <v>42992</v>
      </c>
      <c r="O10005" s="8">
        <f>6+6/60+52.4/3600</f>
        <v>6.1145555555555555</v>
      </c>
      <c r="P10005" s="8" t="s">
        <v>42993</v>
      </c>
      <c r="Q10005" s="8">
        <f>-(75+21/60+54/3600)</f>
        <v>-75.364999999999995</v>
      </c>
      <c r="R10005" s="8">
        <v>13.4</v>
      </c>
      <c r="S10005" s="8">
        <v>14.2</v>
      </c>
      <c r="T10005" s="8">
        <v>0.8</v>
      </c>
      <c r="U10005" s="8">
        <v>13.1</v>
      </c>
      <c r="V10005" s="8">
        <v>1.1000000000000001</v>
      </c>
      <c r="W10005" s="8">
        <v>0.9</v>
      </c>
      <c r="X10005" s="8">
        <v>131</v>
      </c>
      <c r="Y10005" s="8" t="s">
        <v>42994</v>
      </c>
      <c r="Z10005" s="8" t="s">
        <v>42995</v>
      </c>
    </row>
    <row r="10006" spans="1:26" x14ac:dyDescent="0.2">
      <c r="A10006" s="8">
        <v>10005</v>
      </c>
      <c r="B10006" s="8" t="s">
        <v>42996</v>
      </c>
      <c r="C10006" s="8" t="s">
        <v>42996</v>
      </c>
      <c r="G10006" s="8">
        <v>5</v>
      </c>
      <c r="H10006" s="8" t="s">
        <v>21</v>
      </c>
      <c r="I10006" s="8" t="s">
        <v>241</v>
      </c>
      <c r="J10006" s="8" t="s">
        <v>241</v>
      </c>
      <c r="K10006" s="8" t="s">
        <v>241</v>
      </c>
      <c r="L10006" s="8" t="s">
        <v>10194</v>
      </c>
      <c r="M10006" s="8" t="s">
        <v>10195</v>
      </c>
      <c r="N10006" s="8" t="s">
        <v>42997</v>
      </c>
      <c r="O10006" s="8">
        <f>6+21/60+42.7/3600</f>
        <v>6.3618611111111107</v>
      </c>
      <c r="P10006" s="8" t="s">
        <v>42998</v>
      </c>
      <c r="Q10006" s="8">
        <f>-(12+59/60+12/3600)</f>
        <v>-12.986666666666666</v>
      </c>
      <c r="R10006" s="8">
        <v>10.5</v>
      </c>
      <c r="S10006" s="8">
        <v>12.9</v>
      </c>
      <c r="T10006" s="8">
        <v>99</v>
      </c>
      <c r="U10006" s="8">
        <v>99</v>
      </c>
      <c r="V10006" s="8">
        <v>0.47</v>
      </c>
      <c r="Y10006" s="8" t="s">
        <v>27388</v>
      </c>
      <c r="Z10006" s="8" t="s">
        <v>42798</v>
      </c>
    </row>
    <row r="10007" spans="1:26" x14ac:dyDescent="0.2">
      <c r="A10007" s="8">
        <v>10006</v>
      </c>
      <c r="B10007" s="8" t="s">
        <v>42999</v>
      </c>
      <c r="C10007" s="8" t="s">
        <v>42999</v>
      </c>
      <c r="G10007" s="8">
        <v>20</v>
      </c>
      <c r="H10007" s="8" t="s">
        <v>21</v>
      </c>
      <c r="I10007" s="8" t="s">
        <v>22</v>
      </c>
      <c r="J10007" s="8" t="s">
        <v>22</v>
      </c>
      <c r="K10007" s="8" t="s">
        <v>85</v>
      </c>
      <c r="L10007" s="8" t="s">
        <v>10511</v>
      </c>
      <c r="M10007" s="8" t="s">
        <v>10512</v>
      </c>
      <c r="N10007" s="8" t="s">
        <v>43000</v>
      </c>
      <c r="O10007" s="8">
        <f>6+26/60+55.8/3600</f>
        <v>6.4488333333333339</v>
      </c>
      <c r="P10007" s="8" t="s">
        <v>43001</v>
      </c>
      <c r="Q10007" s="8">
        <f>+(59+4/60+47/3600)</f>
        <v>59.079722222222223</v>
      </c>
      <c r="R10007" s="8">
        <v>12.4</v>
      </c>
      <c r="S10007" s="8">
        <v>13.2</v>
      </c>
      <c r="T10007" s="8">
        <v>0.8</v>
      </c>
      <c r="U10007" s="8">
        <v>14.2</v>
      </c>
      <c r="V10007" s="8">
        <v>3</v>
      </c>
      <c r="W10007" s="8">
        <v>2.1</v>
      </c>
      <c r="X10007" s="8">
        <v>115</v>
      </c>
      <c r="Y10007" s="8" t="s">
        <v>21</v>
      </c>
      <c r="Z10007" s="8" t="s">
        <v>43002</v>
      </c>
    </row>
    <row r="10008" spans="1:26" x14ac:dyDescent="0.2">
      <c r="A10008" s="8">
        <v>10007</v>
      </c>
      <c r="B10008" s="8" t="s">
        <v>43003</v>
      </c>
      <c r="C10008" s="8" t="s">
        <v>43003</v>
      </c>
      <c r="G10008" s="8">
        <v>20</v>
      </c>
      <c r="H10008" s="8" t="s">
        <v>21</v>
      </c>
      <c r="I10008" s="8" t="s">
        <v>1283</v>
      </c>
      <c r="J10008" s="8" t="s">
        <v>57</v>
      </c>
      <c r="K10008" s="8" t="s">
        <v>36496</v>
      </c>
      <c r="L10008" s="8" t="s">
        <v>9917</v>
      </c>
      <c r="M10008" s="8" t="s">
        <v>9918</v>
      </c>
      <c r="N10008" s="8" t="s">
        <v>36497</v>
      </c>
      <c r="O10008" s="8">
        <f>6+31/60+6/3600</f>
        <v>6.5183333333333335</v>
      </c>
      <c r="P10008" s="8" t="s">
        <v>36498</v>
      </c>
      <c r="Q10008" s="8">
        <f>+(10+27/60+35/3600)</f>
        <v>10.459722222222222</v>
      </c>
      <c r="R10008" s="8">
        <v>99</v>
      </c>
      <c r="S10008" s="8">
        <v>99</v>
      </c>
      <c r="T10008" s="8">
        <v>99</v>
      </c>
      <c r="U10008" s="8">
        <v>99</v>
      </c>
      <c r="V10008" s="8">
        <v>5</v>
      </c>
      <c r="W10008" s="8">
        <v>4</v>
      </c>
      <c r="Y10008" s="8" t="s">
        <v>21</v>
      </c>
      <c r="Z10008" s="8" t="s">
        <v>43004</v>
      </c>
    </row>
    <row r="10009" spans="1:26" x14ac:dyDescent="0.2">
      <c r="A10009" s="8">
        <v>10008</v>
      </c>
      <c r="B10009" s="8" t="s">
        <v>43005</v>
      </c>
      <c r="C10009" s="8" t="s">
        <v>43005</v>
      </c>
      <c r="G10009" s="8">
        <v>20</v>
      </c>
      <c r="H10009" s="8" t="s">
        <v>21</v>
      </c>
      <c r="I10009" s="8" t="s">
        <v>72</v>
      </c>
      <c r="J10009" s="8" t="s">
        <v>72</v>
      </c>
      <c r="K10009" s="8" t="s">
        <v>73</v>
      </c>
      <c r="L10009" s="8" t="s">
        <v>7717</v>
      </c>
      <c r="M10009" s="8" t="s">
        <v>7718</v>
      </c>
      <c r="N10009" s="8" t="s">
        <v>43006</v>
      </c>
      <c r="O10009" s="8">
        <f>6+33/60+47.7/3600</f>
        <v>6.56325</v>
      </c>
      <c r="P10009" s="8" t="s">
        <v>43007</v>
      </c>
      <c r="Q10009" s="8">
        <f>+(44+41/60+10/3600)</f>
        <v>44.68611111111111</v>
      </c>
      <c r="R10009" s="8">
        <v>99</v>
      </c>
      <c r="S10009" s="8">
        <v>99</v>
      </c>
      <c r="T10009" s="8">
        <v>99</v>
      </c>
      <c r="U10009" s="8">
        <v>99</v>
      </c>
      <c r="Y10009" s="8" t="s">
        <v>21</v>
      </c>
      <c r="Z10009" s="8" t="s">
        <v>43008</v>
      </c>
    </row>
    <row r="10010" spans="1:26" x14ac:dyDescent="0.2">
      <c r="A10010" s="8">
        <v>10009</v>
      </c>
      <c r="B10010" s="8" t="s">
        <v>43009</v>
      </c>
      <c r="C10010" s="8" t="s">
        <v>43009</v>
      </c>
      <c r="G10010" s="8">
        <v>20</v>
      </c>
      <c r="H10010" s="8" t="s">
        <v>21</v>
      </c>
      <c r="I10010" s="8" t="s">
        <v>1283</v>
      </c>
      <c r="J10010" s="8" t="s">
        <v>57</v>
      </c>
      <c r="K10010" s="8" t="s">
        <v>6208</v>
      </c>
      <c r="L10010" s="8" t="s">
        <v>9917</v>
      </c>
      <c r="M10010" s="8" t="s">
        <v>9918</v>
      </c>
      <c r="N10010" s="8" t="s">
        <v>36502</v>
      </c>
      <c r="O10010" s="8">
        <f>6+31/60+4/3600</f>
        <v>6.5177777777777779</v>
      </c>
      <c r="P10010" s="8" t="s">
        <v>36503</v>
      </c>
      <c r="Q10010" s="8">
        <f>+(9+52/60+0/3600)</f>
        <v>9.8666666666666671</v>
      </c>
      <c r="R10010" s="8">
        <v>99</v>
      </c>
      <c r="S10010" s="8">
        <v>99</v>
      </c>
      <c r="T10010" s="8">
        <v>99</v>
      </c>
      <c r="U10010" s="8">
        <v>99</v>
      </c>
      <c r="V10010" s="8">
        <v>25</v>
      </c>
      <c r="W10010" s="8">
        <v>20</v>
      </c>
      <c r="Y10010" s="8" t="s">
        <v>21</v>
      </c>
      <c r="Z10010" s="8" t="s">
        <v>43010</v>
      </c>
    </row>
    <row r="10011" spans="1:26" x14ac:dyDescent="0.2">
      <c r="A10011" s="8">
        <v>10010</v>
      </c>
      <c r="B10011" s="8" t="s">
        <v>43011</v>
      </c>
      <c r="C10011" s="8" t="s">
        <v>43011</v>
      </c>
      <c r="G10011" s="8">
        <v>20</v>
      </c>
      <c r="H10011" s="8" t="s">
        <v>21</v>
      </c>
      <c r="I10011" s="8" t="s">
        <v>329</v>
      </c>
      <c r="J10011" s="8" t="s">
        <v>329</v>
      </c>
      <c r="K10011" s="8" t="s">
        <v>329</v>
      </c>
      <c r="L10011" s="8" t="s">
        <v>7717</v>
      </c>
      <c r="M10011" s="8" t="s">
        <v>7718</v>
      </c>
      <c r="N10011" s="8" t="s">
        <v>43012</v>
      </c>
      <c r="O10011" s="8">
        <f>6+34/60+5/3600</f>
        <v>6.5680555555555555</v>
      </c>
      <c r="P10011" s="8" t="s">
        <v>43013</v>
      </c>
      <c r="Q10011" s="8">
        <f>+(44+41/60+20/3600)</f>
        <v>44.688888888888883</v>
      </c>
      <c r="R10011" s="8">
        <v>99</v>
      </c>
      <c r="S10011" s="8">
        <v>99</v>
      </c>
      <c r="T10011" s="8">
        <v>99</v>
      </c>
      <c r="U10011" s="8">
        <v>99</v>
      </c>
      <c r="Y10011" s="8" t="s">
        <v>21</v>
      </c>
      <c r="Z10011" s="8" t="s">
        <v>43014</v>
      </c>
    </row>
    <row r="10012" spans="1:26" x14ac:dyDescent="0.2">
      <c r="A10012" s="8">
        <v>10011</v>
      </c>
      <c r="B10012" s="8" t="s">
        <v>43015</v>
      </c>
      <c r="C10012" s="8" t="s">
        <v>43015</v>
      </c>
      <c r="G10012" s="8">
        <v>12</v>
      </c>
      <c r="H10012" s="8" t="s">
        <v>21</v>
      </c>
      <c r="I10012" s="8" t="s">
        <v>329</v>
      </c>
      <c r="J10012" s="8" t="s">
        <v>329</v>
      </c>
      <c r="K10012" s="8" t="s">
        <v>329</v>
      </c>
      <c r="L10012" s="8" t="s">
        <v>10194</v>
      </c>
      <c r="M10012" s="8" t="s">
        <v>10195</v>
      </c>
      <c r="N10012" s="8" t="s">
        <v>43016</v>
      </c>
      <c r="O10012" s="8">
        <f>6+45/60+13/3600</f>
        <v>6.7536111111111108</v>
      </c>
      <c r="P10012" s="8" t="s">
        <v>43017</v>
      </c>
      <c r="Q10012" s="8">
        <f>-(17+40/60+24/3600)</f>
        <v>-17.673333333333336</v>
      </c>
      <c r="R10012" s="8">
        <v>99</v>
      </c>
      <c r="S10012" s="8">
        <v>99</v>
      </c>
      <c r="T10012" s="8">
        <v>99</v>
      </c>
      <c r="U10012" s="8">
        <v>99</v>
      </c>
      <c r="Y10012" s="8" t="s">
        <v>21</v>
      </c>
      <c r="Z10012" s="8" t="s">
        <v>43018</v>
      </c>
    </row>
    <row r="10013" spans="1:26" x14ac:dyDescent="0.2">
      <c r="A10013" s="8">
        <v>10012</v>
      </c>
      <c r="B10013" s="8" t="s">
        <v>43019</v>
      </c>
      <c r="C10013" s="8" t="s">
        <v>43019</v>
      </c>
      <c r="G10013" s="8">
        <v>20</v>
      </c>
      <c r="H10013" s="8" t="s">
        <v>21</v>
      </c>
      <c r="I10013" s="8" t="s">
        <v>1283</v>
      </c>
      <c r="J10013" s="8" t="s">
        <v>57</v>
      </c>
      <c r="K10013" s="8" t="s">
        <v>6208</v>
      </c>
      <c r="L10013" s="8" t="s">
        <v>9917</v>
      </c>
      <c r="M10013" s="8" t="s">
        <v>9918</v>
      </c>
      <c r="N10013" s="8" t="s">
        <v>10551</v>
      </c>
      <c r="O10013" s="8">
        <f>6+46/60+51.2/3600</f>
        <v>6.7808888888888887</v>
      </c>
      <c r="P10013" s="8" t="s">
        <v>10552</v>
      </c>
      <c r="Q10013" s="8">
        <f>+(1+18/60+54/3600)</f>
        <v>1.3149999999999999</v>
      </c>
      <c r="R10013" s="8">
        <v>99</v>
      </c>
      <c r="S10013" s="8">
        <v>99</v>
      </c>
      <c r="T10013" s="8">
        <v>99</v>
      </c>
      <c r="U10013" s="8">
        <v>99</v>
      </c>
      <c r="V10013" s="8">
        <v>3</v>
      </c>
      <c r="W10013" s="8">
        <v>3</v>
      </c>
      <c r="Y10013" s="8" t="s">
        <v>16235</v>
      </c>
      <c r="Z10013" s="8" t="s">
        <v>43020</v>
      </c>
    </row>
    <row r="10014" spans="1:26" x14ac:dyDescent="0.2">
      <c r="A10014" s="8">
        <v>10013</v>
      </c>
      <c r="B10014" s="8" t="s">
        <v>43021</v>
      </c>
      <c r="C10014" s="8" t="s">
        <v>43021</v>
      </c>
      <c r="G10014" s="8">
        <v>20</v>
      </c>
      <c r="H10014" s="8" t="s">
        <v>21</v>
      </c>
      <c r="I10014" s="8" t="s">
        <v>72</v>
      </c>
      <c r="J10014" s="8" t="s">
        <v>72</v>
      </c>
      <c r="K10014" s="8" t="s">
        <v>20</v>
      </c>
      <c r="L10014" s="8" t="s">
        <v>9862</v>
      </c>
      <c r="M10014" s="8" t="s">
        <v>9863</v>
      </c>
      <c r="N10014" s="8" t="s">
        <v>43022</v>
      </c>
      <c r="O10014" s="8">
        <f>6+50/60+47.2/3600</f>
        <v>6.8464444444444439</v>
      </c>
      <c r="P10014" s="8" t="s">
        <v>43023</v>
      </c>
      <c r="Q10014" s="8">
        <f>+(33+27/60+27/3600)</f>
        <v>33.457500000000003</v>
      </c>
      <c r="R10014" s="8">
        <v>99</v>
      </c>
      <c r="S10014" s="8">
        <v>99</v>
      </c>
      <c r="T10014" s="8">
        <v>99</v>
      </c>
      <c r="U10014" s="8">
        <v>99</v>
      </c>
      <c r="Y10014" s="8" t="s">
        <v>21</v>
      </c>
      <c r="Z10014" s="8" t="s">
        <v>43024</v>
      </c>
    </row>
    <row r="10015" spans="1:26" x14ac:dyDescent="0.2">
      <c r="A10015" s="8">
        <v>10014</v>
      </c>
      <c r="B10015" s="8" t="s">
        <v>43025</v>
      </c>
      <c r="C10015" s="8" t="s">
        <v>43025</v>
      </c>
      <c r="G10015" s="8">
        <v>20</v>
      </c>
      <c r="H10015" s="8" t="s">
        <v>21</v>
      </c>
      <c r="I10015" s="8" t="s">
        <v>22</v>
      </c>
      <c r="J10015" s="8" t="s">
        <v>22</v>
      </c>
      <c r="K10015" s="8" t="s">
        <v>154</v>
      </c>
      <c r="L10015" s="8" t="s">
        <v>6823</v>
      </c>
      <c r="M10015" s="8" t="s">
        <v>6824</v>
      </c>
      <c r="N10015" s="8" t="s">
        <v>43026</v>
      </c>
      <c r="O10015" s="8">
        <f>7+9/60+5/3600</f>
        <v>7.1513888888888895</v>
      </c>
      <c r="P10015" s="8" t="s">
        <v>43027</v>
      </c>
      <c r="Q10015" s="8">
        <f>+(75+21/60+13/3600)</f>
        <v>75.353611111111107</v>
      </c>
      <c r="R10015" s="8">
        <v>13.5</v>
      </c>
      <c r="S10015" s="8">
        <v>14.3</v>
      </c>
      <c r="T10015" s="8">
        <v>0.8</v>
      </c>
      <c r="U10015" s="8">
        <v>13.2</v>
      </c>
      <c r="V10015" s="8">
        <v>0.9</v>
      </c>
      <c r="W10015" s="8">
        <v>0.7</v>
      </c>
      <c r="X10015" s="8">
        <v>42</v>
      </c>
      <c r="Y10015" s="8" t="s">
        <v>21310</v>
      </c>
      <c r="Z10015" s="8" t="s">
        <v>21311</v>
      </c>
    </row>
    <row r="10016" spans="1:26" x14ac:dyDescent="0.2">
      <c r="A10016" s="8">
        <v>10015</v>
      </c>
      <c r="B10016" s="8" t="s">
        <v>43028</v>
      </c>
      <c r="C10016" s="8" t="s">
        <v>43028</v>
      </c>
      <c r="G10016" s="8">
        <v>20</v>
      </c>
      <c r="H10016" s="8" t="s">
        <v>21</v>
      </c>
      <c r="I10016" s="8" t="s">
        <v>72</v>
      </c>
      <c r="J10016" s="8" t="s">
        <v>72</v>
      </c>
      <c r="K10016" s="8" t="s">
        <v>73</v>
      </c>
      <c r="L10016" s="8" t="s">
        <v>9862</v>
      </c>
      <c r="M10016" s="8" t="s">
        <v>9863</v>
      </c>
      <c r="N10016" s="8" t="s">
        <v>43029</v>
      </c>
      <c r="O10016" s="8">
        <f>7+8/60+39.6/3600</f>
        <v>7.1443333333333339</v>
      </c>
      <c r="P10016" s="8" t="s">
        <v>43030</v>
      </c>
      <c r="Q10016" s="8">
        <f>+(35+17/60+17/3600)</f>
        <v>35.288055555555552</v>
      </c>
      <c r="R10016" s="8">
        <v>99</v>
      </c>
      <c r="S10016" s="8">
        <v>99</v>
      </c>
      <c r="T10016" s="8">
        <v>99</v>
      </c>
      <c r="U10016" s="8">
        <v>99</v>
      </c>
      <c r="Y10016" s="8" t="s">
        <v>43031</v>
      </c>
      <c r="Z10016" s="8" t="s">
        <v>43032</v>
      </c>
    </row>
    <row r="10017" spans="1:26" x14ac:dyDescent="0.2">
      <c r="A10017" s="8">
        <v>10016</v>
      </c>
      <c r="B10017" s="8" t="s">
        <v>43033</v>
      </c>
      <c r="C10017" s="8" t="s">
        <v>43033</v>
      </c>
      <c r="G10017" s="8">
        <v>20</v>
      </c>
      <c r="H10017" s="8" t="s">
        <v>21</v>
      </c>
      <c r="I10017" s="8" t="s">
        <v>22</v>
      </c>
      <c r="J10017" s="8" t="s">
        <v>22</v>
      </c>
      <c r="K10017" s="8" t="s">
        <v>449</v>
      </c>
      <c r="L10017" s="8" t="s">
        <v>9862</v>
      </c>
      <c r="M10017" s="8" t="s">
        <v>9863</v>
      </c>
      <c r="N10017" s="8" t="s">
        <v>43034</v>
      </c>
      <c r="O10017" s="8">
        <f>7+7/60+31.8/3600</f>
        <v>7.1254999999999997</v>
      </c>
      <c r="P10017" s="8" t="s">
        <v>43035</v>
      </c>
      <c r="Q10017" s="8">
        <f>+(32+28/60+13/3600)</f>
        <v>32.470277777777781</v>
      </c>
      <c r="R10017" s="8">
        <v>14.1</v>
      </c>
      <c r="S10017" s="8">
        <v>14.9</v>
      </c>
      <c r="T10017" s="8">
        <v>0.8</v>
      </c>
      <c r="U10017" s="8">
        <v>12.9</v>
      </c>
      <c r="V10017" s="8">
        <v>0.9</v>
      </c>
      <c r="W10017" s="8">
        <v>0.4</v>
      </c>
      <c r="X10017" s="8">
        <v>6</v>
      </c>
      <c r="Y10017" s="8" t="s">
        <v>25259</v>
      </c>
      <c r="Z10017" s="8" t="s">
        <v>26907</v>
      </c>
    </row>
    <row r="10018" spans="1:26" x14ac:dyDescent="0.2">
      <c r="A10018" s="8">
        <v>10017</v>
      </c>
      <c r="B10018" s="8" t="s">
        <v>43036</v>
      </c>
      <c r="C10018" s="8" t="s">
        <v>43036</v>
      </c>
      <c r="G10018" s="8">
        <v>12</v>
      </c>
      <c r="H10018" s="8" t="s">
        <v>21</v>
      </c>
      <c r="I10018" s="8" t="s">
        <v>1283</v>
      </c>
      <c r="J10018" s="8" t="s">
        <v>1283</v>
      </c>
      <c r="K10018" s="8" t="s">
        <v>1284</v>
      </c>
      <c r="L10018" s="8" t="s">
        <v>9917</v>
      </c>
      <c r="M10018" s="8" t="s">
        <v>9918</v>
      </c>
      <c r="N10018" s="8" t="s">
        <v>43037</v>
      </c>
      <c r="O10018" s="8">
        <f>7+4/60+25.3/3600</f>
        <v>7.0736944444444445</v>
      </c>
      <c r="P10018" s="8" t="s">
        <v>43038</v>
      </c>
      <c r="Q10018" s="8">
        <f>-(10+27/60+13/3600)</f>
        <v>-10.45361111111111</v>
      </c>
      <c r="R10018" s="8">
        <v>99</v>
      </c>
      <c r="S10018" s="8">
        <v>99</v>
      </c>
      <c r="T10018" s="8">
        <v>99</v>
      </c>
      <c r="U10018" s="8">
        <v>99</v>
      </c>
      <c r="V10018" s="8">
        <v>20</v>
      </c>
      <c r="W10018" s="8">
        <v>20</v>
      </c>
      <c r="Y10018" s="8" t="s">
        <v>43039</v>
      </c>
      <c r="Z10018" s="8" t="s">
        <v>43040</v>
      </c>
    </row>
    <row r="10019" spans="1:26" x14ac:dyDescent="0.2">
      <c r="A10019" s="8">
        <v>10018</v>
      </c>
      <c r="B10019" s="8" t="s">
        <v>43041</v>
      </c>
      <c r="C10019" s="8" t="s">
        <v>43041</v>
      </c>
      <c r="G10019" s="8">
        <v>20</v>
      </c>
      <c r="H10019" s="8" t="s">
        <v>21</v>
      </c>
      <c r="I10019" s="8" t="s">
        <v>22</v>
      </c>
      <c r="J10019" s="8" t="s">
        <v>22</v>
      </c>
      <c r="K10019" s="8" t="s">
        <v>449</v>
      </c>
      <c r="L10019" s="8" t="s">
        <v>9862</v>
      </c>
      <c r="M10019" s="8" t="s">
        <v>9863</v>
      </c>
      <c r="N10019" s="8" t="s">
        <v>43042</v>
      </c>
      <c r="O10019" s="8">
        <f>7+7/60+37.6/3600</f>
        <v>7.1271111111111107</v>
      </c>
      <c r="P10019" s="8" t="s">
        <v>43043</v>
      </c>
      <c r="Q10019" s="8">
        <f>+(32+30/60+47/3600)</f>
        <v>32.513055555555553</v>
      </c>
      <c r="R10019" s="8">
        <v>15</v>
      </c>
      <c r="S10019" s="8">
        <v>15.8</v>
      </c>
      <c r="T10019" s="8">
        <v>0.8</v>
      </c>
      <c r="U10019" s="8">
        <v>12.1</v>
      </c>
      <c r="V10019" s="8">
        <v>0.4</v>
      </c>
      <c r="W10019" s="8">
        <v>0.2</v>
      </c>
      <c r="X10019" s="8">
        <v>130</v>
      </c>
      <c r="Y10019" s="8" t="s">
        <v>4698</v>
      </c>
      <c r="Z10019" s="8" t="s">
        <v>4699</v>
      </c>
    </row>
    <row r="10020" spans="1:26" x14ac:dyDescent="0.2">
      <c r="A10020" s="8">
        <v>10019</v>
      </c>
      <c r="B10020" s="8" t="s">
        <v>43044</v>
      </c>
      <c r="C10020" s="8" t="s">
        <v>43044</v>
      </c>
      <c r="G10020" s="8">
        <v>20</v>
      </c>
      <c r="H10020" s="8" t="s">
        <v>21</v>
      </c>
      <c r="I10020" s="8" t="s">
        <v>22</v>
      </c>
      <c r="J10020" s="8" t="s">
        <v>22</v>
      </c>
      <c r="K10020" s="8" t="s">
        <v>183</v>
      </c>
      <c r="L10020" s="8" t="s">
        <v>6823</v>
      </c>
      <c r="M10020" s="8" t="s">
        <v>6824</v>
      </c>
      <c r="N10020" s="8" t="s">
        <v>43045</v>
      </c>
      <c r="O10020" s="8">
        <f>7+15/60+32.3/3600</f>
        <v>7.2589722222222219</v>
      </c>
      <c r="P10020" s="8" t="s">
        <v>43046</v>
      </c>
      <c r="Q10020" s="8">
        <f>+(64+55/60+34/3600)</f>
        <v>64.926111111111112</v>
      </c>
      <c r="R10020" s="8">
        <v>12.4</v>
      </c>
      <c r="S10020" s="8">
        <v>13.5</v>
      </c>
      <c r="T10020" s="8">
        <v>1.1000000000000001</v>
      </c>
      <c r="U10020" s="8">
        <v>12.6</v>
      </c>
      <c r="V10020" s="8">
        <v>1.1000000000000001</v>
      </c>
      <c r="W10020" s="8">
        <v>1.1000000000000001</v>
      </c>
      <c r="Y10020" s="8" t="s">
        <v>21</v>
      </c>
      <c r="Z10020" s="8" t="s">
        <v>43047</v>
      </c>
    </row>
    <row r="10021" spans="1:26" x14ac:dyDescent="0.2">
      <c r="A10021" s="8">
        <v>10020</v>
      </c>
      <c r="B10021" s="8" t="s">
        <v>43048</v>
      </c>
      <c r="C10021" s="8" t="s">
        <v>43048</v>
      </c>
      <c r="G10021" s="8">
        <v>20</v>
      </c>
      <c r="H10021" s="8" t="s">
        <v>21</v>
      </c>
      <c r="I10021" s="8" t="s">
        <v>22</v>
      </c>
      <c r="J10021" s="8" t="s">
        <v>22</v>
      </c>
      <c r="K10021" s="8" t="s">
        <v>31</v>
      </c>
      <c r="L10021" s="8" t="s">
        <v>9862</v>
      </c>
      <c r="M10021" s="8" t="s">
        <v>9863</v>
      </c>
      <c r="N10021" s="8" t="s">
        <v>43049</v>
      </c>
      <c r="O10021" s="8">
        <f>7+11/60+19.5/3600</f>
        <v>7.1887500000000006</v>
      </c>
      <c r="P10021" s="8" t="s">
        <v>43050</v>
      </c>
      <c r="Q10021" s="8">
        <f>+(26+22/60+15/3600)</f>
        <v>26.370833333333334</v>
      </c>
      <c r="R10021" s="8">
        <v>13.6</v>
      </c>
      <c r="S10021" s="8">
        <v>14.4</v>
      </c>
      <c r="T10021" s="8">
        <v>0.8</v>
      </c>
      <c r="U10021" s="8">
        <v>13</v>
      </c>
      <c r="V10021" s="8">
        <v>1.1000000000000001</v>
      </c>
      <c r="W10021" s="8">
        <v>0.8</v>
      </c>
      <c r="X10021" s="8">
        <v>0</v>
      </c>
      <c r="Y10021" s="8" t="s">
        <v>41706</v>
      </c>
      <c r="Z10021" s="8" t="s">
        <v>41707</v>
      </c>
    </row>
    <row r="10022" spans="1:26" x14ac:dyDescent="0.2">
      <c r="A10022" s="8">
        <v>10021</v>
      </c>
      <c r="B10022" s="8" t="s">
        <v>43051</v>
      </c>
      <c r="C10022" s="8" t="s">
        <v>43051</v>
      </c>
      <c r="G10022" s="8">
        <v>20</v>
      </c>
      <c r="H10022" s="8" t="s">
        <v>21</v>
      </c>
      <c r="I10022" s="8" t="s">
        <v>22</v>
      </c>
      <c r="J10022" s="8" t="s">
        <v>22</v>
      </c>
      <c r="K10022" s="8" t="s">
        <v>31</v>
      </c>
      <c r="L10022" s="8" t="s">
        <v>9862</v>
      </c>
      <c r="M10022" s="8" t="s">
        <v>9863</v>
      </c>
      <c r="N10022" s="8" t="s">
        <v>43052</v>
      </c>
      <c r="O10022" s="8">
        <f>7+13/60+10.3/3600</f>
        <v>7.2195277777777775</v>
      </c>
      <c r="P10022" s="8" t="s">
        <v>43053</v>
      </c>
      <c r="Q10022" s="8">
        <f>+(18+59/60+47/3600)</f>
        <v>18.996388888888891</v>
      </c>
      <c r="R10022" s="8">
        <v>13.6</v>
      </c>
      <c r="S10022" s="8">
        <v>14.4</v>
      </c>
      <c r="T10022" s="8">
        <v>0.8</v>
      </c>
      <c r="U10022" s="8">
        <v>12.6</v>
      </c>
      <c r="V10022" s="8">
        <v>0.9</v>
      </c>
      <c r="W10022" s="8">
        <v>0.5</v>
      </c>
      <c r="X10022" s="8">
        <v>140</v>
      </c>
      <c r="Y10022" s="8" t="s">
        <v>36155</v>
      </c>
      <c r="Z10022" s="8" t="s">
        <v>41558</v>
      </c>
    </row>
    <row r="10023" spans="1:26" x14ac:dyDescent="0.2">
      <c r="A10023" s="8">
        <v>10022</v>
      </c>
      <c r="B10023" s="8" t="s">
        <v>43054</v>
      </c>
      <c r="C10023" s="8" t="s">
        <v>43054</v>
      </c>
      <c r="G10023" s="8">
        <v>20</v>
      </c>
      <c r="H10023" s="8" t="s">
        <v>21</v>
      </c>
      <c r="I10023" s="8" t="s">
        <v>22</v>
      </c>
      <c r="J10023" s="8" t="s">
        <v>22</v>
      </c>
      <c r="K10023" s="8" t="s">
        <v>449</v>
      </c>
      <c r="L10023" s="8" t="s">
        <v>9862</v>
      </c>
      <c r="M10023" s="8" t="s">
        <v>9863</v>
      </c>
      <c r="N10023" s="8" t="s">
        <v>43055</v>
      </c>
      <c r="O10023" s="8">
        <f>7+14/60+11/3600</f>
        <v>7.2363888888888885</v>
      </c>
      <c r="P10023" s="8" t="s">
        <v>43056</v>
      </c>
      <c r="Q10023" s="8">
        <f>+(18+56/60+42/3600)</f>
        <v>18.945</v>
      </c>
      <c r="R10023" s="8">
        <v>15</v>
      </c>
      <c r="S10023" s="8">
        <v>15.8</v>
      </c>
      <c r="T10023" s="8">
        <v>0.8</v>
      </c>
      <c r="U10023" s="8">
        <v>13.3</v>
      </c>
      <c r="V10023" s="8">
        <v>0.5</v>
      </c>
      <c r="W10023" s="8">
        <v>0.5</v>
      </c>
      <c r="Y10023" s="8" t="s">
        <v>43057</v>
      </c>
      <c r="Z10023" s="8" t="s">
        <v>43058</v>
      </c>
    </row>
    <row r="10024" spans="1:26" x14ac:dyDescent="0.2">
      <c r="A10024" s="8">
        <v>10023</v>
      </c>
      <c r="B10024" s="8" t="s">
        <v>43059</v>
      </c>
      <c r="C10024" s="8" t="s">
        <v>43059</v>
      </c>
      <c r="G10024" s="8">
        <v>20</v>
      </c>
      <c r="H10024" s="8" t="s">
        <v>21</v>
      </c>
      <c r="I10024" s="8" t="s">
        <v>329</v>
      </c>
      <c r="J10024" s="8" t="s">
        <v>329</v>
      </c>
      <c r="K10024" s="8" t="s">
        <v>329</v>
      </c>
      <c r="L10024" s="8" t="s">
        <v>10194</v>
      </c>
      <c r="M10024" s="8" t="s">
        <v>10195</v>
      </c>
      <c r="N10024" s="8" t="s">
        <v>43060</v>
      </c>
      <c r="O10024" s="8">
        <f>7+16/60+56/3600</f>
        <v>7.2822222222222219</v>
      </c>
      <c r="P10024" s="8" t="s">
        <v>43061</v>
      </c>
      <c r="Q10024" s="8">
        <f>-(20+24/60+36/3600)</f>
        <v>-20.41</v>
      </c>
      <c r="R10024" s="8">
        <v>99</v>
      </c>
      <c r="S10024" s="8">
        <v>99</v>
      </c>
      <c r="T10024" s="8">
        <v>99</v>
      </c>
      <c r="U10024" s="8">
        <v>99</v>
      </c>
      <c r="Y10024" s="8" t="s">
        <v>21</v>
      </c>
      <c r="Z10024" s="8" t="s">
        <v>43062</v>
      </c>
    </row>
    <row r="10025" spans="1:26" x14ac:dyDescent="0.2">
      <c r="A10025" s="8">
        <v>10024</v>
      </c>
      <c r="B10025" s="8" t="s">
        <v>43063</v>
      </c>
      <c r="C10025" s="8" t="s">
        <v>43063</v>
      </c>
      <c r="G10025" s="8">
        <v>20</v>
      </c>
      <c r="H10025" s="8" t="s">
        <v>21</v>
      </c>
      <c r="I10025" s="8" t="s">
        <v>22</v>
      </c>
      <c r="J10025" s="8" t="s">
        <v>22</v>
      </c>
      <c r="K10025" s="8" t="s">
        <v>396</v>
      </c>
      <c r="L10025" s="8" t="s">
        <v>6823</v>
      </c>
      <c r="M10025" s="8" t="s">
        <v>6824</v>
      </c>
      <c r="N10025" s="8" t="s">
        <v>43064</v>
      </c>
      <c r="O10025" s="8">
        <f>7+29/60+24.9/3600</f>
        <v>7.4902499999999996</v>
      </c>
      <c r="P10025" s="8" t="s">
        <v>43065</v>
      </c>
      <c r="Q10025" s="8">
        <f>+(72+7/60+43/3600)</f>
        <v>72.128611111111098</v>
      </c>
      <c r="R10025" s="8">
        <v>13.1</v>
      </c>
      <c r="S10025" s="8">
        <v>13.9</v>
      </c>
      <c r="T10025" s="8">
        <v>0.8</v>
      </c>
      <c r="U10025" s="8">
        <v>12.7</v>
      </c>
      <c r="V10025" s="8">
        <v>0.8</v>
      </c>
      <c r="W10025" s="8">
        <v>0.7</v>
      </c>
      <c r="X10025" s="8">
        <v>0</v>
      </c>
      <c r="Y10025" s="8" t="s">
        <v>43066</v>
      </c>
      <c r="Z10025" s="8" t="s">
        <v>43067</v>
      </c>
    </row>
    <row r="10026" spans="1:26" x14ac:dyDescent="0.2">
      <c r="A10026" s="8">
        <v>10025</v>
      </c>
      <c r="B10026" s="8" t="s">
        <v>43068</v>
      </c>
      <c r="C10026" s="8" t="s">
        <v>43068</v>
      </c>
      <c r="G10026" s="8">
        <v>20</v>
      </c>
      <c r="H10026" s="8" t="s">
        <v>21</v>
      </c>
      <c r="I10026" s="8" t="s">
        <v>22</v>
      </c>
      <c r="J10026" s="8" t="s">
        <v>22</v>
      </c>
      <c r="K10026" s="8" t="s">
        <v>160</v>
      </c>
      <c r="L10026" s="8" t="s">
        <v>9862</v>
      </c>
      <c r="M10026" s="8" t="s">
        <v>9863</v>
      </c>
      <c r="N10026" s="8" t="s">
        <v>43069</v>
      </c>
      <c r="O10026" s="8">
        <f>7+23/60+16.1/3600</f>
        <v>7.3878055555555564</v>
      </c>
      <c r="P10026" s="8" t="s">
        <v>43070</v>
      </c>
      <c r="Q10026" s="8">
        <f>+(32+29/60+41/3600)</f>
        <v>32.494722222222222</v>
      </c>
      <c r="R10026" s="8">
        <v>14.4</v>
      </c>
      <c r="S10026" s="8">
        <v>15.1</v>
      </c>
      <c r="T10026" s="8">
        <v>0.7</v>
      </c>
      <c r="U10026" s="8">
        <v>12.7</v>
      </c>
      <c r="V10026" s="8">
        <v>0.6</v>
      </c>
      <c r="W10026" s="8">
        <v>0.4</v>
      </c>
      <c r="X10026" s="8">
        <v>135</v>
      </c>
      <c r="Y10026" s="8" t="s">
        <v>895</v>
      </c>
      <c r="Z10026" s="8" t="s">
        <v>896</v>
      </c>
    </row>
    <row r="10027" spans="1:26" x14ac:dyDescent="0.2">
      <c r="A10027" s="8">
        <v>10026</v>
      </c>
      <c r="B10027" s="8" t="s">
        <v>43071</v>
      </c>
      <c r="C10027" s="8" t="s">
        <v>43071</v>
      </c>
      <c r="G10027" s="8">
        <v>20</v>
      </c>
      <c r="H10027" s="8" t="s">
        <v>21</v>
      </c>
      <c r="I10027" s="8" t="s">
        <v>22</v>
      </c>
      <c r="J10027" s="8" t="s">
        <v>22</v>
      </c>
      <c r="K10027" s="8" t="s">
        <v>449</v>
      </c>
      <c r="L10027" s="8" t="s">
        <v>9862</v>
      </c>
      <c r="M10027" s="8" t="s">
        <v>9863</v>
      </c>
      <c r="N10027" s="8" t="s">
        <v>43072</v>
      </c>
      <c r="O10027" s="8">
        <f>7+22/60+43.1/3600</f>
        <v>7.3786388888888883</v>
      </c>
      <c r="P10027" s="8" t="s">
        <v>43073</v>
      </c>
      <c r="Q10027" s="8">
        <f>+(21+30/60+49/3600)</f>
        <v>21.513611111111111</v>
      </c>
      <c r="R10027" s="8">
        <v>13.9</v>
      </c>
      <c r="S10027" s="8">
        <v>14.7</v>
      </c>
      <c r="T10027" s="8">
        <v>0.8</v>
      </c>
      <c r="U10027" s="8">
        <v>12.8</v>
      </c>
      <c r="V10027" s="8">
        <v>0.9</v>
      </c>
      <c r="W10027" s="8">
        <v>0.6</v>
      </c>
      <c r="X10027" s="8">
        <v>111</v>
      </c>
      <c r="Y10027" s="8" t="s">
        <v>37070</v>
      </c>
      <c r="Z10027" s="8" t="s">
        <v>37071</v>
      </c>
    </row>
    <row r="10028" spans="1:26" x14ac:dyDescent="0.2">
      <c r="A10028" s="8">
        <v>10027</v>
      </c>
      <c r="B10028" s="8" t="s">
        <v>43074</v>
      </c>
      <c r="C10028" s="8" t="s">
        <v>43074</v>
      </c>
      <c r="G10028" s="8">
        <v>20</v>
      </c>
      <c r="H10028" s="8" t="s">
        <v>21</v>
      </c>
      <c r="I10028" s="8" t="s">
        <v>22</v>
      </c>
      <c r="J10028" s="8" t="s">
        <v>22</v>
      </c>
      <c r="K10028" s="8" t="s">
        <v>58</v>
      </c>
      <c r="L10028" s="8" t="s">
        <v>9862</v>
      </c>
      <c r="M10028" s="8" t="s">
        <v>9863</v>
      </c>
      <c r="N10028" s="8" t="s">
        <v>43075</v>
      </c>
      <c r="O10028" s="8">
        <f>7+22/60+43.3/3600</f>
        <v>7.3786944444444442</v>
      </c>
      <c r="P10028" s="8" t="s">
        <v>43076</v>
      </c>
      <c r="Q10028" s="8">
        <f>+(21+28/60+58/3600)</f>
        <v>21.482777777777777</v>
      </c>
      <c r="R10028" s="8">
        <v>13.9</v>
      </c>
      <c r="S10028" s="8">
        <v>14.9</v>
      </c>
      <c r="T10028" s="8">
        <v>1</v>
      </c>
      <c r="U10028" s="8">
        <v>11.8</v>
      </c>
      <c r="V10028" s="8">
        <v>0.4</v>
      </c>
      <c r="W10028" s="8">
        <v>0.4</v>
      </c>
      <c r="Y10028" s="8" t="s">
        <v>21</v>
      </c>
      <c r="Z10028" s="8" t="s">
        <v>43077</v>
      </c>
    </row>
    <row r="10029" spans="1:26" x14ac:dyDescent="0.2">
      <c r="A10029" s="8">
        <v>10028</v>
      </c>
      <c r="B10029" s="8" t="s">
        <v>43078</v>
      </c>
      <c r="C10029" s="8" t="s">
        <v>43078</v>
      </c>
      <c r="G10029" s="8">
        <v>20</v>
      </c>
      <c r="H10029" s="8" t="s">
        <v>21</v>
      </c>
      <c r="I10029" s="8" t="s">
        <v>22</v>
      </c>
      <c r="J10029" s="8" t="s">
        <v>57</v>
      </c>
      <c r="K10029" s="8" t="s">
        <v>449</v>
      </c>
      <c r="L10029" s="8" t="s">
        <v>9862</v>
      </c>
      <c r="M10029" s="8" t="s">
        <v>9863</v>
      </c>
      <c r="N10029" s="8" t="s">
        <v>43072</v>
      </c>
      <c r="O10029" s="8">
        <f>7+22/60+43.1/3600</f>
        <v>7.3786388888888883</v>
      </c>
      <c r="P10029" s="8" t="s">
        <v>43073</v>
      </c>
      <c r="Q10029" s="8">
        <f>+(21+30/60+49/3600)</f>
        <v>21.513611111111111</v>
      </c>
      <c r="R10029" s="8">
        <v>13.9</v>
      </c>
      <c r="S10029" s="8">
        <v>14.7</v>
      </c>
      <c r="T10029" s="8">
        <v>0.8</v>
      </c>
      <c r="U10029" s="8">
        <v>12.8</v>
      </c>
      <c r="V10029" s="8">
        <v>0.9</v>
      </c>
      <c r="W10029" s="8">
        <v>0.6</v>
      </c>
      <c r="X10029" s="8">
        <v>111</v>
      </c>
      <c r="Y10029" s="8" t="s">
        <v>43079</v>
      </c>
      <c r="Z10029" s="8" t="s">
        <v>43080</v>
      </c>
    </row>
    <row r="10030" spans="1:26" x14ac:dyDescent="0.2">
      <c r="A10030" s="8">
        <v>10029</v>
      </c>
      <c r="B10030" s="8" t="s">
        <v>43081</v>
      </c>
      <c r="C10030" s="8" t="s">
        <v>43081</v>
      </c>
      <c r="G10030" s="8">
        <v>20</v>
      </c>
      <c r="H10030" s="8" t="s">
        <v>21</v>
      </c>
      <c r="I10030" s="8" t="s">
        <v>72</v>
      </c>
      <c r="J10030" s="8" t="s">
        <v>72</v>
      </c>
      <c r="K10030" s="8" t="s">
        <v>20</v>
      </c>
      <c r="L10030" s="8" t="s">
        <v>10848</v>
      </c>
      <c r="M10030" s="8" t="s">
        <v>10849</v>
      </c>
      <c r="N10030" s="8" t="s">
        <v>43082</v>
      </c>
      <c r="O10030" s="8">
        <f>7+24/60+57/3600</f>
        <v>7.4158333333333335</v>
      </c>
      <c r="P10030" s="8" t="s">
        <v>43083</v>
      </c>
      <c r="Q10030" s="8">
        <f>+(8+55/60+12/3600)</f>
        <v>8.92</v>
      </c>
      <c r="R10030" s="8">
        <v>99</v>
      </c>
      <c r="S10030" s="8">
        <v>99</v>
      </c>
      <c r="T10030" s="8">
        <v>99</v>
      </c>
      <c r="U10030" s="8">
        <v>99</v>
      </c>
      <c r="Y10030" s="8" t="s">
        <v>27388</v>
      </c>
      <c r="Z10030" s="8" t="s">
        <v>41022</v>
      </c>
    </row>
    <row r="10031" spans="1:26" x14ac:dyDescent="0.2">
      <c r="A10031" s="8">
        <v>10030</v>
      </c>
      <c r="B10031" s="8" t="s">
        <v>43084</v>
      </c>
      <c r="C10031" s="8" t="s">
        <v>43084</v>
      </c>
      <c r="G10031" s="8">
        <v>20</v>
      </c>
      <c r="H10031" s="8" t="s">
        <v>21</v>
      </c>
      <c r="I10031" s="8" t="s">
        <v>22</v>
      </c>
      <c r="J10031" s="8" t="s">
        <v>22</v>
      </c>
      <c r="K10031" s="8" t="s">
        <v>85</v>
      </c>
      <c r="L10031" s="8" t="s">
        <v>7717</v>
      </c>
      <c r="M10031" s="8" t="s">
        <v>7718</v>
      </c>
      <c r="N10031" s="8" t="s">
        <v>43085</v>
      </c>
      <c r="O10031" s="8">
        <f>7+29/60+54.3/3600</f>
        <v>7.4984166666666665</v>
      </c>
      <c r="P10031" s="8" t="s">
        <v>43086</v>
      </c>
      <c r="Q10031" s="8">
        <f>+(37+27/60+6/3600)</f>
        <v>37.451666666666668</v>
      </c>
      <c r="R10031" s="8">
        <v>14</v>
      </c>
      <c r="S10031" s="8">
        <v>14.8</v>
      </c>
      <c r="T10031" s="8">
        <v>0.8</v>
      </c>
      <c r="U10031" s="8">
        <v>13</v>
      </c>
      <c r="V10031" s="8">
        <v>0.9</v>
      </c>
      <c r="W10031" s="8">
        <v>0.5</v>
      </c>
      <c r="X10031" s="8">
        <v>21</v>
      </c>
      <c r="Y10031" s="8" t="s">
        <v>40926</v>
      </c>
      <c r="Z10031" s="8" t="s">
        <v>40927</v>
      </c>
    </row>
    <row r="10032" spans="1:26" x14ac:dyDescent="0.2">
      <c r="A10032" s="8">
        <v>10031</v>
      </c>
      <c r="B10032" s="8" t="s">
        <v>43087</v>
      </c>
      <c r="C10032" s="8" t="s">
        <v>43087</v>
      </c>
      <c r="G10032" s="8">
        <v>20</v>
      </c>
      <c r="H10032" s="8" t="s">
        <v>21</v>
      </c>
      <c r="I10032" s="8" t="s">
        <v>22</v>
      </c>
      <c r="J10032" s="8" t="s">
        <v>22</v>
      </c>
      <c r="K10032" s="8" t="s">
        <v>37</v>
      </c>
      <c r="L10032" s="8" t="s">
        <v>9862</v>
      </c>
      <c r="M10032" s="8" t="s">
        <v>9863</v>
      </c>
      <c r="N10032" s="8" t="s">
        <v>43088</v>
      </c>
      <c r="O10032" s="8">
        <f>7+30/60+17.4/3600</f>
        <v>7.504833333333333</v>
      </c>
      <c r="P10032" s="8" t="s">
        <v>43089</v>
      </c>
      <c r="Q10032" s="8">
        <f>+(24+19/60+42/3600)</f>
        <v>24.328333333333333</v>
      </c>
      <c r="R10032" s="8">
        <v>14.1</v>
      </c>
      <c r="S10032" s="8">
        <v>15.1</v>
      </c>
      <c r="T10032" s="8">
        <v>1</v>
      </c>
      <c r="U10032" s="8">
        <v>13.5</v>
      </c>
      <c r="V10032" s="8">
        <v>0.9</v>
      </c>
      <c r="W10032" s="8">
        <v>0.7</v>
      </c>
      <c r="Y10032" s="8" t="s">
        <v>5926</v>
      </c>
      <c r="Z10032" s="8" t="s">
        <v>5927</v>
      </c>
    </row>
    <row r="10033" spans="1:26" x14ac:dyDescent="0.2">
      <c r="A10033" s="8">
        <v>10032</v>
      </c>
      <c r="B10033" s="8" t="s">
        <v>43090</v>
      </c>
      <c r="C10033" s="8" t="s">
        <v>43090</v>
      </c>
      <c r="G10033" s="8">
        <v>20</v>
      </c>
      <c r="H10033" s="8" t="s">
        <v>21</v>
      </c>
      <c r="I10033" s="8" t="s">
        <v>22</v>
      </c>
      <c r="J10033" s="8" t="s">
        <v>22</v>
      </c>
      <c r="K10033" s="8" t="s">
        <v>424</v>
      </c>
      <c r="L10033" s="8" t="s">
        <v>9862</v>
      </c>
      <c r="M10033" s="8" t="s">
        <v>9863</v>
      </c>
      <c r="N10033" s="8" t="s">
        <v>43091</v>
      </c>
      <c r="O10033" s="8">
        <f>7+33/60+19.8/3600</f>
        <v>7.5554999999999994</v>
      </c>
      <c r="P10033" s="8" t="s">
        <v>43092</v>
      </c>
      <c r="Q10033" s="8">
        <f>+(31+33/60+12/3600)</f>
        <v>31.553333333333335</v>
      </c>
      <c r="R10033" s="8">
        <v>15</v>
      </c>
      <c r="S10033" s="8">
        <v>16</v>
      </c>
      <c r="T10033" s="8">
        <v>1</v>
      </c>
      <c r="U10033" s="8">
        <v>12.2</v>
      </c>
      <c r="V10033" s="8">
        <v>0.3</v>
      </c>
      <c r="W10033" s="8">
        <v>0.3</v>
      </c>
      <c r="Y10033" s="8" t="s">
        <v>21</v>
      </c>
      <c r="Z10033" s="8" t="s">
        <v>43093</v>
      </c>
    </row>
    <row r="10034" spans="1:26" x14ac:dyDescent="0.2">
      <c r="A10034" s="8">
        <v>10033</v>
      </c>
      <c r="B10034" s="8" t="s">
        <v>43094</v>
      </c>
      <c r="C10034" s="8" t="s">
        <v>43094</v>
      </c>
      <c r="G10034" s="8">
        <v>20</v>
      </c>
      <c r="H10034" s="8" t="s">
        <v>21</v>
      </c>
      <c r="I10034" s="8" t="s">
        <v>22</v>
      </c>
      <c r="J10034" s="8" t="s">
        <v>22</v>
      </c>
      <c r="K10034" s="8" t="s">
        <v>23</v>
      </c>
      <c r="L10034" s="8" t="s">
        <v>9862</v>
      </c>
      <c r="M10034" s="8" t="s">
        <v>9863</v>
      </c>
      <c r="N10034" s="8" t="s">
        <v>43095</v>
      </c>
      <c r="O10034" s="8">
        <f>7+33/60+23.6/3600</f>
        <v>7.5565555555555557</v>
      </c>
      <c r="P10034" s="8" t="s">
        <v>43096</v>
      </c>
      <c r="Q10034" s="8">
        <f>+(31+29/60+0/3600)</f>
        <v>31.483333333333334</v>
      </c>
      <c r="R10034" s="8">
        <v>13.4</v>
      </c>
      <c r="S10034" s="8">
        <v>14.2</v>
      </c>
      <c r="T10034" s="8">
        <v>0.8</v>
      </c>
      <c r="U10034" s="8">
        <v>13.3</v>
      </c>
      <c r="V10034" s="8">
        <v>1.5</v>
      </c>
      <c r="W10034" s="8">
        <v>0.9</v>
      </c>
      <c r="X10034" s="8">
        <v>87</v>
      </c>
      <c r="Y10034" s="8" t="s">
        <v>21</v>
      </c>
      <c r="Z10034" s="8" t="s">
        <v>43097</v>
      </c>
    </row>
    <row r="10035" spans="1:26" x14ac:dyDescent="0.2">
      <c r="A10035" s="8">
        <v>10034</v>
      </c>
      <c r="B10035" s="8" t="s">
        <v>43098</v>
      </c>
      <c r="C10035" s="8" t="s">
        <v>43098</v>
      </c>
      <c r="G10035" s="8">
        <v>20</v>
      </c>
      <c r="H10035" s="8" t="s">
        <v>21</v>
      </c>
      <c r="I10035" s="8" t="s">
        <v>22</v>
      </c>
      <c r="J10035" s="8" t="s">
        <v>22</v>
      </c>
      <c r="K10035" s="8" t="s">
        <v>476</v>
      </c>
      <c r="L10035" s="8" t="s">
        <v>9862</v>
      </c>
      <c r="M10035" s="8" t="s">
        <v>9863</v>
      </c>
      <c r="N10035" s="8" t="s">
        <v>43099</v>
      </c>
      <c r="O10035" s="8">
        <f>7+33/60+40.2/3600</f>
        <v>7.5611666666666668</v>
      </c>
      <c r="P10035" s="8" t="s">
        <v>43100</v>
      </c>
      <c r="Q10035" s="8">
        <f>+(31+20/60+4/3600)</f>
        <v>31.334444444444443</v>
      </c>
      <c r="R10035" s="8">
        <v>13.9</v>
      </c>
      <c r="S10035" s="8">
        <v>14.8</v>
      </c>
      <c r="T10035" s="8">
        <v>0.9</v>
      </c>
      <c r="U10035" s="8">
        <v>12.3</v>
      </c>
      <c r="V10035" s="8">
        <v>1.1000000000000001</v>
      </c>
      <c r="W10035" s="8">
        <v>0.3</v>
      </c>
      <c r="X10035" s="8">
        <v>48</v>
      </c>
      <c r="Y10035" s="8" t="s">
        <v>37070</v>
      </c>
      <c r="Z10035" s="8" t="s">
        <v>37071</v>
      </c>
    </row>
    <row r="10036" spans="1:26" x14ac:dyDescent="0.2">
      <c r="A10036" s="8">
        <v>10035</v>
      </c>
      <c r="B10036" s="8" t="s">
        <v>43101</v>
      </c>
      <c r="C10036" s="8" t="s">
        <v>43101</v>
      </c>
      <c r="G10036" s="8">
        <v>20</v>
      </c>
      <c r="H10036" s="8" t="s">
        <v>21</v>
      </c>
      <c r="I10036" s="8" t="s">
        <v>329</v>
      </c>
      <c r="J10036" s="8" t="s">
        <v>329</v>
      </c>
      <c r="K10036" s="8" t="s">
        <v>329</v>
      </c>
      <c r="L10036" s="8" t="s">
        <v>10135</v>
      </c>
      <c r="M10036" s="8" t="s">
        <v>10136</v>
      </c>
      <c r="N10036" s="8" t="s">
        <v>43102</v>
      </c>
      <c r="O10036" s="8">
        <f>7+28/60+27/3600</f>
        <v>7.4741666666666671</v>
      </c>
      <c r="P10036" s="8" t="s">
        <v>43103</v>
      </c>
      <c r="Q10036" s="8">
        <f>-(51+15/60+24/3600)</f>
        <v>-51.256666666666668</v>
      </c>
      <c r="R10036" s="8">
        <v>99</v>
      </c>
      <c r="S10036" s="8">
        <v>99</v>
      </c>
      <c r="T10036" s="8">
        <v>99</v>
      </c>
      <c r="U10036" s="8">
        <v>99</v>
      </c>
      <c r="Y10036" s="8" t="s">
        <v>43104</v>
      </c>
      <c r="Z10036" s="8" t="s">
        <v>43105</v>
      </c>
    </row>
    <row r="10037" spans="1:26" x14ac:dyDescent="0.2">
      <c r="A10037" s="8">
        <v>10036</v>
      </c>
      <c r="B10037" s="8" t="s">
        <v>43106</v>
      </c>
      <c r="C10037" s="8" t="s">
        <v>43106</v>
      </c>
      <c r="G10037" s="8">
        <v>20</v>
      </c>
      <c r="H10037" s="8" t="s">
        <v>21</v>
      </c>
      <c r="I10037" s="8" t="s">
        <v>22</v>
      </c>
      <c r="J10037" s="8" t="s">
        <v>22</v>
      </c>
      <c r="K10037" s="8" t="s">
        <v>1136</v>
      </c>
      <c r="L10037" s="8" t="s">
        <v>9862</v>
      </c>
      <c r="M10037" s="8" t="s">
        <v>9863</v>
      </c>
      <c r="N10037" s="8" t="s">
        <v>43107</v>
      </c>
      <c r="O10037" s="8">
        <f>7+34/60+9.7/3600</f>
        <v>7.5693611111111112</v>
      </c>
      <c r="P10037" s="8" t="s">
        <v>43108</v>
      </c>
      <c r="Q10037" s="8">
        <f>+(31+24/60+22/3600)</f>
        <v>31.406111111111109</v>
      </c>
      <c r="R10037" s="8">
        <v>12.7</v>
      </c>
      <c r="S10037" s="8">
        <v>13.7</v>
      </c>
      <c r="T10037" s="8">
        <v>1</v>
      </c>
      <c r="U10037" s="8">
        <v>13.2</v>
      </c>
      <c r="V10037" s="8">
        <v>1.4</v>
      </c>
      <c r="W10037" s="8">
        <v>1.1000000000000001</v>
      </c>
      <c r="X10037" s="8">
        <v>150</v>
      </c>
      <c r="Y10037" s="8" t="s">
        <v>21</v>
      </c>
      <c r="Z10037" s="8" t="s">
        <v>43109</v>
      </c>
    </row>
    <row r="10038" spans="1:26" x14ac:dyDescent="0.2">
      <c r="A10038" s="8">
        <v>10037</v>
      </c>
      <c r="B10038" s="8" t="s">
        <v>43110</v>
      </c>
      <c r="C10038" s="8" t="s">
        <v>43110</v>
      </c>
      <c r="E10038" s="8">
        <v>1</v>
      </c>
      <c r="G10038" s="8">
        <v>20</v>
      </c>
      <c r="H10038" s="8" t="s">
        <v>21</v>
      </c>
      <c r="I10038" s="8" t="s">
        <v>22</v>
      </c>
      <c r="J10038" s="8" t="s">
        <v>22</v>
      </c>
      <c r="K10038" s="8" t="s">
        <v>449</v>
      </c>
      <c r="L10038" s="8" t="s">
        <v>9862</v>
      </c>
      <c r="M10038" s="8" t="s">
        <v>9863</v>
      </c>
      <c r="N10038" s="8" t="s">
        <v>43111</v>
      </c>
      <c r="O10038" s="8">
        <f>7+34/60+18.9/3600</f>
        <v>7.5719166666666666</v>
      </c>
      <c r="P10038" s="8" t="s">
        <v>43112</v>
      </c>
      <c r="Q10038" s="8">
        <f>+(31+20/60+14/3600)</f>
        <v>31.33722222222222</v>
      </c>
      <c r="R10038" s="8">
        <v>15.4</v>
      </c>
      <c r="S10038" s="8">
        <v>16.2</v>
      </c>
      <c r="T10038" s="8">
        <v>0.8</v>
      </c>
      <c r="U10038" s="8">
        <v>13.3</v>
      </c>
      <c r="V10038" s="8">
        <v>0.4</v>
      </c>
      <c r="W10038" s="8">
        <v>0.4</v>
      </c>
      <c r="Y10038" s="8" t="s">
        <v>22704</v>
      </c>
      <c r="Z10038" s="8" t="s">
        <v>22705</v>
      </c>
    </row>
    <row r="10039" spans="1:26" x14ac:dyDescent="0.2">
      <c r="A10039" s="8">
        <v>10038</v>
      </c>
      <c r="B10039" s="8" t="s">
        <v>43113</v>
      </c>
      <c r="C10039" s="8" t="s">
        <v>43113</v>
      </c>
      <c r="G10039" s="8">
        <v>20</v>
      </c>
      <c r="H10039" s="8" t="s">
        <v>21</v>
      </c>
      <c r="I10039" s="8" t="s">
        <v>22</v>
      </c>
      <c r="J10039" s="8" t="s">
        <v>22</v>
      </c>
      <c r="K10039" s="8" t="s">
        <v>460</v>
      </c>
      <c r="L10039" s="8" t="s">
        <v>9862</v>
      </c>
      <c r="M10039" s="8" t="s">
        <v>9863</v>
      </c>
      <c r="N10039" s="8" t="s">
        <v>43114</v>
      </c>
      <c r="O10039" s="8">
        <f>7+34/60+11.1/3600</f>
        <v>7.56975</v>
      </c>
      <c r="P10039" s="8" t="s">
        <v>43115</v>
      </c>
      <c r="Q10039" s="8">
        <f>+(23+57/60+59/3600)</f>
        <v>23.96638888888889</v>
      </c>
      <c r="R10039" s="8">
        <v>14.1</v>
      </c>
      <c r="S10039" s="8">
        <v>15.1</v>
      </c>
      <c r="T10039" s="8">
        <v>1</v>
      </c>
      <c r="U10039" s="8">
        <v>12.2</v>
      </c>
      <c r="V10039" s="8">
        <v>0.4</v>
      </c>
      <c r="W10039" s="8">
        <v>0.4</v>
      </c>
      <c r="Y10039" s="8" t="s">
        <v>37070</v>
      </c>
      <c r="Z10039" s="8" t="s">
        <v>37071</v>
      </c>
    </row>
    <row r="10040" spans="1:26" x14ac:dyDescent="0.2">
      <c r="A10040" s="8">
        <v>10039</v>
      </c>
      <c r="B10040" s="8" t="s">
        <v>43116</v>
      </c>
      <c r="C10040" s="8" t="s">
        <v>43116</v>
      </c>
      <c r="G10040" s="8">
        <v>14</v>
      </c>
      <c r="H10040" s="8" t="s">
        <v>43117</v>
      </c>
      <c r="I10040" s="8" t="s">
        <v>22</v>
      </c>
      <c r="J10040" s="8" t="s">
        <v>22</v>
      </c>
      <c r="K10040" s="8" t="s">
        <v>64</v>
      </c>
      <c r="L10040" s="8" t="s">
        <v>9862</v>
      </c>
      <c r="M10040" s="8" t="s">
        <v>9863</v>
      </c>
      <c r="N10040" s="8" t="s">
        <v>43118</v>
      </c>
      <c r="O10040" s="8">
        <f>7+34/60+55.6/3600</f>
        <v>7.5821111111111108</v>
      </c>
      <c r="P10040" s="8" t="s">
        <v>43119</v>
      </c>
      <c r="Q10040" s="8">
        <f>+(31+16/60+33/3600)</f>
        <v>31.275833333333331</v>
      </c>
      <c r="R10040" s="8">
        <v>13.2</v>
      </c>
      <c r="S10040" s="8">
        <v>13.9</v>
      </c>
      <c r="T10040" s="8">
        <v>0.7</v>
      </c>
      <c r="U10040" s="8">
        <v>12.6</v>
      </c>
      <c r="V10040" s="8">
        <v>1.1000000000000001</v>
      </c>
      <c r="W10040" s="8">
        <v>0.6</v>
      </c>
      <c r="X10040" s="8">
        <v>25</v>
      </c>
      <c r="Y10040" s="8" t="s">
        <v>4065</v>
      </c>
      <c r="Z10040" s="8" t="s">
        <v>4066</v>
      </c>
    </row>
    <row r="10041" spans="1:26" x14ac:dyDescent="0.2">
      <c r="A10041" s="8">
        <v>10040</v>
      </c>
      <c r="B10041" s="8" t="s">
        <v>43120</v>
      </c>
      <c r="C10041" s="8" t="s">
        <v>43120</v>
      </c>
      <c r="G10041" s="8">
        <v>20</v>
      </c>
      <c r="H10041" s="8" t="s">
        <v>21</v>
      </c>
      <c r="I10041" s="8" t="s">
        <v>22</v>
      </c>
      <c r="J10041" s="8" t="s">
        <v>22</v>
      </c>
      <c r="K10041" s="8" t="s">
        <v>79</v>
      </c>
      <c r="L10041" s="8" t="s">
        <v>10135</v>
      </c>
      <c r="M10041" s="8" t="s">
        <v>10136</v>
      </c>
      <c r="N10041" s="8" t="s">
        <v>43121</v>
      </c>
      <c r="O10041" s="8">
        <f>7+28/60+17.4/3600</f>
        <v>7.4714999999999998</v>
      </c>
      <c r="P10041" s="8" t="s">
        <v>43122</v>
      </c>
      <c r="Q10041" s="8">
        <f>-(62+21/60+10/3600)</f>
        <v>-62.352777777777781</v>
      </c>
      <c r="R10041" s="8">
        <v>13.2</v>
      </c>
      <c r="S10041" s="8">
        <v>14.1</v>
      </c>
      <c r="T10041" s="8">
        <v>0.9</v>
      </c>
      <c r="U10041" s="8">
        <v>13</v>
      </c>
      <c r="V10041" s="8">
        <v>1.2</v>
      </c>
      <c r="W10041" s="8">
        <v>0.7</v>
      </c>
      <c r="X10041" s="8">
        <v>58</v>
      </c>
      <c r="Y10041" s="8" t="s">
        <v>43123</v>
      </c>
      <c r="Z10041" s="8" t="s">
        <v>43124</v>
      </c>
    </row>
    <row r="10042" spans="1:26" x14ac:dyDescent="0.2">
      <c r="A10042" s="8">
        <v>10041</v>
      </c>
      <c r="B10042" s="8" t="s">
        <v>43125</v>
      </c>
      <c r="C10042" s="8" t="s">
        <v>43125</v>
      </c>
      <c r="G10042" s="8">
        <v>20</v>
      </c>
      <c r="H10042" s="8" t="s">
        <v>21</v>
      </c>
      <c r="I10042" s="8" t="s">
        <v>22</v>
      </c>
      <c r="J10042" s="8" t="s">
        <v>22</v>
      </c>
      <c r="K10042" s="8" t="s">
        <v>91</v>
      </c>
      <c r="L10042" s="8" t="s">
        <v>9862</v>
      </c>
      <c r="M10042" s="8" t="s">
        <v>9863</v>
      </c>
      <c r="N10042" s="8" t="s">
        <v>43126</v>
      </c>
      <c r="O10042" s="8">
        <f>7+36/60+16.8/3600</f>
        <v>7.6046666666666667</v>
      </c>
      <c r="P10042" s="8" t="s">
        <v>43127</v>
      </c>
      <c r="Q10042" s="8">
        <f>+(33+7/60+23/3600)</f>
        <v>33.123055555555553</v>
      </c>
      <c r="R10042" s="8">
        <v>14</v>
      </c>
      <c r="S10042" s="8">
        <v>14.9</v>
      </c>
      <c r="T10042" s="8">
        <v>0.9</v>
      </c>
      <c r="U10042" s="8">
        <v>12.8</v>
      </c>
      <c r="V10042" s="8">
        <v>1.3</v>
      </c>
      <c r="W10042" s="8">
        <v>0.3</v>
      </c>
      <c r="X10042" s="8">
        <v>67</v>
      </c>
      <c r="Y10042" s="8" t="s">
        <v>37584</v>
      </c>
      <c r="Z10042" s="8" t="s">
        <v>37595</v>
      </c>
    </row>
    <row r="10043" spans="1:26" x14ac:dyDescent="0.2">
      <c r="A10043" s="8">
        <v>10042</v>
      </c>
      <c r="B10043" s="8" t="s">
        <v>43128</v>
      </c>
      <c r="C10043" s="8" t="s">
        <v>43128</v>
      </c>
      <c r="G10043" s="8">
        <v>20</v>
      </c>
      <c r="H10043" s="8" t="s">
        <v>21</v>
      </c>
      <c r="I10043" s="8" t="s">
        <v>22</v>
      </c>
      <c r="J10043" s="8" t="s">
        <v>22</v>
      </c>
      <c r="K10043" s="8" t="s">
        <v>396</v>
      </c>
      <c r="L10043" s="8" t="s">
        <v>10656</v>
      </c>
      <c r="M10043" s="8" t="s">
        <v>10657</v>
      </c>
      <c r="N10043" s="8" t="s">
        <v>43129</v>
      </c>
      <c r="O10043" s="8">
        <f>7+27/60+54.9/3600</f>
        <v>7.4652500000000002</v>
      </c>
      <c r="P10043" s="8" t="s">
        <v>43130</v>
      </c>
      <c r="Q10043" s="8">
        <f>-(67+34/60+28/3600)</f>
        <v>-67.574444444444438</v>
      </c>
      <c r="R10043" s="8">
        <v>12.9</v>
      </c>
      <c r="S10043" s="8">
        <v>13.7</v>
      </c>
      <c r="T10043" s="8">
        <v>0.8</v>
      </c>
      <c r="U10043" s="8">
        <v>13.1</v>
      </c>
      <c r="V10043" s="8">
        <v>2</v>
      </c>
      <c r="W10043" s="8">
        <v>0.7</v>
      </c>
      <c r="X10043" s="8">
        <v>165</v>
      </c>
      <c r="Y10043" s="8" t="s">
        <v>1829</v>
      </c>
      <c r="Z10043" s="8" t="s">
        <v>1830</v>
      </c>
    </row>
    <row r="10044" spans="1:26" x14ac:dyDescent="0.2">
      <c r="A10044" s="8">
        <v>10043</v>
      </c>
      <c r="B10044" s="8" t="s">
        <v>43131</v>
      </c>
      <c r="C10044" s="8" t="s">
        <v>43131</v>
      </c>
      <c r="G10044" s="8">
        <v>20</v>
      </c>
      <c r="H10044" s="8" t="s">
        <v>21</v>
      </c>
      <c r="I10044" s="8" t="s">
        <v>22</v>
      </c>
      <c r="J10044" s="8" t="s">
        <v>22</v>
      </c>
      <c r="K10044" s="8" t="s">
        <v>64</v>
      </c>
      <c r="L10044" s="8" t="s">
        <v>9862</v>
      </c>
      <c r="M10044" s="8" t="s">
        <v>9863</v>
      </c>
      <c r="N10044" s="8" t="s">
        <v>43132</v>
      </c>
      <c r="O10044" s="8">
        <f>7+40/60+33.6/3600</f>
        <v>7.6760000000000002</v>
      </c>
      <c r="P10044" s="8" t="s">
        <v>43133</v>
      </c>
      <c r="Q10044" s="8">
        <f>+(34+13/60+48/3600)</f>
        <v>34.230000000000004</v>
      </c>
      <c r="R10044" s="8">
        <v>13.6</v>
      </c>
      <c r="S10044" s="8">
        <v>14.3</v>
      </c>
      <c r="T10044" s="8">
        <v>0.7</v>
      </c>
      <c r="U10044" s="8">
        <v>13.6</v>
      </c>
      <c r="V10044" s="8">
        <v>1.2</v>
      </c>
      <c r="W10044" s="8">
        <v>1</v>
      </c>
      <c r="X10044" s="8">
        <v>162</v>
      </c>
      <c r="Y10044" s="8" t="s">
        <v>37070</v>
      </c>
      <c r="Z10044" s="8" t="s">
        <v>37071</v>
      </c>
    </row>
    <row r="10045" spans="1:26" x14ac:dyDescent="0.2">
      <c r="A10045" s="8">
        <v>10044</v>
      </c>
      <c r="B10045" s="8" t="s">
        <v>43134</v>
      </c>
      <c r="C10045" s="8" t="s">
        <v>43134</v>
      </c>
      <c r="G10045" s="8">
        <v>20</v>
      </c>
      <c r="H10045" s="8" t="s">
        <v>21</v>
      </c>
      <c r="I10045" s="8" t="s">
        <v>22</v>
      </c>
      <c r="J10045" s="8" t="s">
        <v>22</v>
      </c>
      <c r="K10045" s="8" t="s">
        <v>406</v>
      </c>
      <c r="L10045" s="8" t="s">
        <v>9862</v>
      </c>
      <c r="M10045" s="8" t="s">
        <v>9863</v>
      </c>
      <c r="N10045" s="8" t="s">
        <v>43135</v>
      </c>
      <c r="O10045" s="8">
        <f>7+41/60+18.1/3600</f>
        <v>7.688361111111111</v>
      </c>
      <c r="P10045" s="8" t="s">
        <v>43136</v>
      </c>
      <c r="Q10045" s="8">
        <f>+(34+13/60+53/3600)</f>
        <v>34.231388888888894</v>
      </c>
      <c r="R10045" s="8">
        <v>15</v>
      </c>
      <c r="S10045" s="8">
        <v>15.8</v>
      </c>
      <c r="T10045" s="8">
        <v>0.8</v>
      </c>
      <c r="U10045" s="8">
        <v>14.8</v>
      </c>
      <c r="V10045" s="8">
        <v>1.1000000000000001</v>
      </c>
      <c r="W10045" s="8">
        <v>0.9</v>
      </c>
      <c r="X10045" s="8">
        <v>51</v>
      </c>
      <c r="Y10045" s="8" t="s">
        <v>21</v>
      </c>
      <c r="Z10045" s="8" t="s">
        <v>43137</v>
      </c>
    </row>
    <row r="10046" spans="1:26" x14ac:dyDescent="0.2">
      <c r="A10046" s="8">
        <v>10045</v>
      </c>
      <c r="B10046" s="8" t="s">
        <v>43138</v>
      </c>
      <c r="C10046" s="8" t="s">
        <v>43138</v>
      </c>
      <c r="G10046" s="8">
        <v>20</v>
      </c>
      <c r="H10046" s="8" t="s">
        <v>21</v>
      </c>
      <c r="I10046" s="8" t="s">
        <v>22</v>
      </c>
      <c r="J10046" s="8" t="s">
        <v>22</v>
      </c>
      <c r="K10046" s="8" t="s">
        <v>449</v>
      </c>
      <c r="L10046" s="8" t="s">
        <v>9862</v>
      </c>
      <c r="M10046" s="8" t="s">
        <v>9863</v>
      </c>
      <c r="N10046" s="8" t="s">
        <v>43139</v>
      </c>
      <c r="O10046" s="8">
        <f>7+46/60+54.5/3600</f>
        <v>7.7818055555555556</v>
      </c>
      <c r="P10046" s="8" t="s">
        <v>43140</v>
      </c>
      <c r="Q10046" s="8">
        <f>+(26+52/60+22/3600)</f>
        <v>26.872777777777777</v>
      </c>
      <c r="R10046" s="8">
        <v>14.1</v>
      </c>
      <c r="S10046" s="8">
        <v>14.9</v>
      </c>
      <c r="T10046" s="8">
        <v>0.8</v>
      </c>
      <c r="U10046" s="8">
        <v>11.9</v>
      </c>
      <c r="V10046" s="8">
        <v>0.5</v>
      </c>
      <c r="W10046" s="8">
        <v>0.3</v>
      </c>
      <c r="X10046" s="8">
        <v>45</v>
      </c>
      <c r="Y10046" s="8" t="s">
        <v>21</v>
      </c>
      <c r="Z10046" s="8" t="s">
        <v>43141</v>
      </c>
    </row>
    <row r="10047" spans="1:26" x14ac:dyDescent="0.2">
      <c r="A10047" s="8">
        <v>10046</v>
      </c>
      <c r="B10047" s="8" t="s">
        <v>43142</v>
      </c>
      <c r="C10047" s="8" t="s">
        <v>43142</v>
      </c>
      <c r="G10047" s="8">
        <v>20</v>
      </c>
      <c r="H10047" s="8" t="s">
        <v>21</v>
      </c>
      <c r="I10047" s="8" t="s">
        <v>72</v>
      </c>
      <c r="J10047" s="8" t="s">
        <v>72</v>
      </c>
      <c r="K10047" s="8" t="s">
        <v>73</v>
      </c>
      <c r="L10047" s="8" t="s">
        <v>10175</v>
      </c>
      <c r="M10047" s="8" t="s">
        <v>10176</v>
      </c>
      <c r="N10047" s="8" t="s">
        <v>43143</v>
      </c>
      <c r="O10047" s="8">
        <f>7+45/60+46.1/3600</f>
        <v>7.7628055555555555</v>
      </c>
      <c r="P10047" s="8" t="s">
        <v>43144</v>
      </c>
      <c r="Q10047" s="8">
        <f>-(34+22/60+11/3600)</f>
        <v>-34.369722222222222</v>
      </c>
      <c r="R10047" s="8">
        <v>99</v>
      </c>
      <c r="S10047" s="8">
        <v>9.5</v>
      </c>
      <c r="T10047" s="8">
        <v>99</v>
      </c>
      <c r="U10047" s="8">
        <v>99</v>
      </c>
      <c r="Y10047" s="8" t="s">
        <v>21</v>
      </c>
      <c r="Z10047" s="8" t="s">
        <v>43145</v>
      </c>
    </row>
    <row r="10048" spans="1:26" x14ac:dyDescent="0.2">
      <c r="A10048" s="8">
        <v>10047</v>
      </c>
      <c r="B10048" s="8" t="s">
        <v>43146</v>
      </c>
      <c r="C10048" s="8" t="s">
        <v>43146</v>
      </c>
      <c r="G10048" s="8">
        <v>20</v>
      </c>
      <c r="H10048" s="8" t="s">
        <v>21</v>
      </c>
      <c r="I10048" s="8" t="s">
        <v>22</v>
      </c>
      <c r="J10048" s="8" t="s">
        <v>22</v>
      </c>
      <c r="K10048" s="8" t="s">
        <v>160</v>
      </c>
      <c r="L10048" s="8" t="s">
        <v>9862</v>
      </c>
      <c r="M10048" s="8" t="s">
        <v>9863</v>
      </c>
      <c r="N10048" s="8" t="s">
        <v>43147</v>
      </c>
      <c r="O10048" s="8">
        <f>7+49/60+50.8/3600</f>
        <v>7.8307777777777776</v>
      </c>
      <c r="P10048" s="8" t="s">
        <v>43148</v>
      </c>
      <c r="Q10048" s="8">
        <f>+(33+57/60+45/3600)</f>
        <v>33.962500000000006</v>
      </c>
      <c r="R10048" s="8">
        <v>14.5</v>
      </c>
      <c r="S10048" s="8">
        <v>15.2</v>
      </c>
      <c r="T10048" s="8">
        <v>0.7</v>
      </c>
      <c r="U10048" s="8">
        <v>13.8</v>
      </c>
      <c r="V10048" s="8">
        <v>2</v>
      </c>
      <c r="W10048" s="8">
        <v>0.3</v>
      </c>
      <c r="X10048" s="8">
        <v>124</v>
      </c>
      <c r="Y10048" s="8" t="s">
        <v>21</v>
      </c>
      <c r="Z10048" s="8" t="s">
        <v>43149</v>
      </c>
    </row>
    <row r="10049" spans="1:26" x14ac:dyDescent="0.2">
      <c r="A10049" s="8">
        <v>10048</v>
      </c>
      <c r="B10049" s="8" t="s">
        <v>43150</v>
      </c>
      <c r="C10049" s="8" t="s">
        <v>43150</v>
      </c>
      <c r="G10049" s="8">
        <v>20</v>
      </c>
      <c r="H10049" s="8" t="s">
        <v>21</v>
      </c>
      <c r="I10049" s="8" t="s">
        <v>22</v>
      </c>
      <c r="J10049" s="8" t="s">
        <v>22</v>
      </c>
      <c r="K10049" s="8" t="s">
        <v>37</v>
      </c>
      <c r="L10049" s="8" t="s">
        <v>9862</v>
      </c>
      <c r="M10049" s="8" t="s">
        <v>9863</v>
      </c>
      <c r="N10049" s="8" t="s">
        <v>43151</v>
      </c>
      <c r="O10049" s="8">
        <f>7+52/60+7.9/3600</f>
        <v>7.8688611111111113</v>
      </c>
      <c r="P10049" s="8" t="s">
        <v>43152</v>
      </c>
      <c r="Q10049" s="8">
        <f>+(27+29/60+3/3600)</f>
        <v>27.484166666666667</v>
      </c>
      <c r="R10049" s="8">
        <v>14</v>
      </c>
      <c r="S10049" s="8">
        <v>15</v>
      </c>
      <c r="T10049" s="8">
        <v>1</v>
      </c>
      <c r="U10049" s="8">
        <v>13.5</v>
      </c>
      <c r="V10049" s="8">
        <v>1</v>
      </c>
      <c r="W10049" s="8">
        <v>0.7</v>
      </c>
      <c r="X10049" s="8">
        <v>20</v>
      </c>
      <c r="Y10049" s="8" t="s">
        <v>36797</v>
      </c>
      <c r="Z10049" s="8" t="s">
        <v>36798</v>
      </c>
    </row>
    <row r="10050" spans="1:26" x14ac:dyDescent="0.2">
      <c r="A10050" s="8">
        <v>10049</v>
      </c>
      <c r="B10050" s="8" t="s">
        <v>43153</v>
      </c>
      <c r="C10050" s="8" t="s">
        <v>43153</v>
      </c>
      <c r="G10050" s="8">
        <v>20</v>
      </c>
      <c r="H10050" s="8" t="s">
        <v>21</v>
      </c>
      <c r="I10050" s="8" t="s">
        <v>22</v>
      </c>
      <c r="J10050" s="8" t="s">
        <v>22</v>
      </c>
      <c r="K10050" s="8" t="s">
        <v>218</v>
      </c>
      <c r="L10050" s="8" t="s">
        <v>6823</v>
      </c>
      <c r="M10050" s="8" t="s">
        <v>6824</v>
      </c>
      <c r="N10050" s="8" t="s">
        <v>43154</v>
      </c>
      <c r="O10050" s="8">
        <f>7+56/60+14.2/3600</f>
        <v>7.9372777777777781</v>
      </c>
      <c r="P10050" s="8" t="s">
        <v>43155</v>
      </c>
      <c r="Q10050" s="8">
        <f>+(60+18/60+14/3600)</f>
        <v>60.303888888888885</v>
      </c>
      <c r="R10050" s="8">
        <v>13.7</v>
      </c>
      <c r="S10050" s="8">
        <v>14.3</v>
      </c>
      <c r="T10050" s="8">
        <v>0.6</v>
      </c>
      <c r="U10050" s="8">
        <v>13.6</v>
      </c>
      <c r="V10050" s="8">
        <v>1.1000000000000001</v>
      </c>
      <c r="W10050" s="8">
        <v>0.9</v>
      </c>
      <c r="X10050" s="8">
        <v>145</v>
      </c>
      <c r="Y10050" s="8" t="s">
        <v>21497</v>
      </c>
      <c r="Z10050" s="8" t="s">
        <v>21498</v>
      </c>
    </row>
    <row r="10051" spans="1:26" x14ac:dyDescent="0.2">
      <c r="A10051" s="8">
        <v>10050</v>
      </c>
      <c r="B10051" s="8" t="s">
        <v>43156</v>
      </c>
      <c r="C10051" s="8" t="s">
        <v>43156</v>
      </c>
      <c r="G10051" s="8">
        <v>20</v>
      </c>
      <c r="H10051" s="8" t="s">
        <v>21</v>
      </c>
      <c r="I10051" s="8" t="s">
        <v>72</v>
      </c>
      <c r="J10051" s="8" t="s">
        <v>72</v>
      </c>
      <c r="K10051" s="8" t="s">
        <v>73</v>
      </c>
      <c r="L10051" s="8" t="s">
        <v>10511</v>
      </c>
      <c r="M10051" s="8" t="s">
        <v>10512</v>
      </c>
      <c r="N10051" s="8" t="s">
        <v>43157</v>
      </c>
      <c r="O10051" s="8">
        <f>7+56/60+56.3/3600</f>
        <v>7.9489722222222223</v>
      </c>
      <c r="P10051" s="8" t="s">
        <v>43158</v>
      </c>
      <c r="Q10051" s="8">
        <f>+(56+40/60+50/3600)</f>
        <v>56.68055555555555</v>
      </c>
      <c r="R10051" s="8">
        <v>99</v>
      </c>
      <c r="S10051" s="8">
        <v>99</v>
      </c>
      <c r="T10051" s="8">
        <v>99</v>
      </c>
      <c r="U10051" s="8">
        <v>99</v>
      </c>
      <c r="Y10051" s="8" t="s">
        <v>43159</v>
      </c>
      <c r="Z10051" s="8" t="s">
        <v>43160</v>
      </c>
    </row>
    <row r="10052" spans="1:26" x14ac:dyDescent="0.2">
      <c r="A10052" s="8">
        <v>10051</v>
      </c>
      <c r="B10052" s="8" t="s">
        <v>43161</v>
      </c>
      <c r="C10052" s="8" t="s">
        <v>43161</v>
      </c>
      <c r="G10052" s="8">
        <v>20</v>
      </c>
      <c r="H10052" s="8" t="s">
        <v>21</v>
      </c>
      <c r="I10052" s="8" t="s">
        <v>22</v>
      </c>
      <c r="J10052" s="8" t="s">
        <v>22</v>
      </c>
      <c r="K10052" s="8" t="s">
        <v>91</v>
      </c>
      <c r="L10052" s="8" t="s">
        <v>9862</v>
      </c>
      <c r="M10052" s="8" t="s">
        <v>9863</v>
      </c>
      <c r="N10052" s="8" t="s">
        <v>43162</v>
      </c>
      <c r="O10052" s="8">
        <f>7+57/60+45.6/3600</f>
        <v>7.9626666666666672</v>
      </c>
      <c r="P10052" s="8" t="s">
        <v>43163</v>
      </c>
      <c r="Q10052" s="8">
        <f>+(32+33/60+31/3600)</f>
        <v>32.558611111111105</v>
      </c>
      <c r="R10052" s="8">
        <v>13.7</v>
      </c>
      <c r="S10052" s="8">
        <v>14.6</v>
      </c>
      <c r="T10052" s="8">
        <v>0.9</v>
      </c>
      <c r="U10052" s="8">
        <v>12.7</v>
      </c>
      <c r="V10052" s="8">
        <v>0.8</v>
      </c>
      <c r="W10052" s="8">
        <v>0.4</v>
      </c>
      <c r="X10052" s="8">
        <v>140</v>
      </c>
      <c r="Y10052" s="8" t="s">
        <v>43164</v>
      </c>
      <c r="Z10052" s="8" t="s">
        <v>43165</v>
      </c>
    </row>
    <row r="10053" spans="1:26" x14ac:dyDescent="0.2">
      <c r="A10053" s="8">
        <v>10052</v>
      </c>
      <c r="B10053" s="8" t="s">
        <v>43166</v>
      </c>
      <c r="C10053" s="8" t="s">
        <v>43166</v>
      </c>
      <c r="G10053" s="8">
        <v>20</v>
      </c>
      <c r="H10053" s="8" t="s">
        <v>21</v>
      </c>
      <c r="I10053" s="8" t="s">
        <v>22</v>
      </c>
      <c r="J10053" s="8" t="s">
        <v>22</v>
      </c>
      <c r="K10053" s="8" t="s">
        <v>449</v>
      </c>
      <c r="L10053" s="8" t="s">
        <v>9862</v>
      </c>
      <c r="M10053" s="8" t="s">
        <v>9863</v>
      </c>
      <c r="N10053" s="8" t="s">
        <v>43167</v>
      </c>
      <c r="O10053" s="8">
        <f>7+58/60+57.1/3600</f>
        <v>7.9825277777777783</v>
      </c>
      <c r="P10053" s="8" t="s">
        <v>43168</v>
      </c>
      <c r="Q10053" s="8">
        <f>+(32+36/60+46/3600)</f>
        <v>32.612777777777779</v>
      </c>
      <c r="R10053" s="8">
        <v>14.5</v>
      </c>
      <c r="S10053" s="8">
        <v>15.3</v>
      </c>
      <c r="T10053" s="8">
        <v>0.8</v>
      </c>
      <c r="U10053" s="8">
        <v>12.8</v>
      </c>
      <c r="V10053" s="8">
        <v>0.5</v>
      </c>
      <c r="W10053" s="8">
        <v>0.5</v>
      </c>
      <c r="Y10053" s="8" t="s">
        <v>43169</v>
      </c>
      <c r="Z10053" s="8" t="s">
        <v>43170</v>
      </c>
    </row>
    <row r="10054" spans="1:26" x14ac:dyDescent="0.2">
      <c r="A10054" s="8">
        <v>10053</v>
      </c>
      <c r="B10054" s="8" t="s">
        <v>43171</v>
      </c>
      <c r="C10054" s="8" t="s">
        <v>43171</v>
      </c>
      <c r="G10054" s="8">
        <v>20</v>
      </c>
      <c r="H10054" s="8" t="s">
        <v>21</v>
      </c>
      <c r="I10054" s="8" t="s">
        <v>22</v>
      </c>
      <c r="J10054" s="8" t="s">
        <v>22</v>
      </c>
      <c r="K10054" s="8" t="s">
        <v>23</v>
      </c>
      <c r="L10054" s="8" t="s">
        <v>9862</v>
      </c>
      <c r="M10054" s="8" t="s">
        <v>9863</v>
      </c>
      <c r="N10054" s="8" t="s">
        <v>43172</v>
      </c>
      <c r="O10054" s="8">
        <f>7+59/60+6.5/3600</f>
        <v>7.9851388888888888</v>
      </c>
      <c r="P10054" s="8" t="s">
        <v>43173</v>
      </c>
      <c r="Q10054" s="8">
        <f>+(27+27/60+52/3600)</f>
        <v>27.464444444444442</v>
      </c>
      <c r="R10054" s="8">
        <v>14.5</v>
      </c>
      <c r="S10054" s="8">
        <v>15.3</v>
      </c>
      <c r="T10054" s="8">
        <v>0.8</v>
      </c>
      <c r="U10054" s="8">
        <v>13.6</v>
      </c>
      <c r="V10054" s="8">
        <v>0.8</v>
      </c>
      <c r="W10054" s="8">
        <v>0.6</v>
      </c>
      <c r="X10054" s="8">
        <v>45</v>
      </c>
      <c r="Y10054" s="8" t="s">
        <v>41015</v>
      </c>
      <c r="Z10054" s="8" t="s">
        <v>41016</v>
      </c>
    </row>
    <row r="10055" spans="1:26" x14ac:dyDescent="0.2">
      <c r="A10055" s="8">
        <v>10054</v>
      </c>
      <c r="B10055" s="8" t="s">
        <v>43174</v>
      </c>
      <c r="C10055" s="8" t="s">
        <v>43174</v>
      </c>
      <c r="G10055" s="8">
        <v>20</v>
      </c>
      <c r="H10055" s="8" t="s">
        <v>21</v>
      </c>
      <c r="I10055" s="8" t="s">
        <v>22</v>
      </c>
      <c r="J10055" s="8" t="s">
        <v>22</v>
      </c>
      <c r="K10055" s="8" t="s">
        <v>406</v>
      </c>
      <c r="L10055" s="8" t="s">
        <v>10511</v>
      </c>
      <c r="M10055" s="8" t="s">
        <v>10512</v>
      </c>
      <c r="N10055" s="8" t="s">
        <v>43175</v>
      </c>
      <c r="O10055" s="8">
        <f>7+59/60+53.8/3600</f>
        <v>7.998277777777778</v>
      </c>
      <c r="P10055" s="8" t="s">
        <v>43176</v>
      </c>
      <c r="Q10055" s="8">
        <f>+(33+17/60+25/3600)</f>
        <v>33.290277777777774</v>
      </c>
      <c r="R10055" s="8">
        <v>13.6</v>
      </c>
      <c r="S10055" s="8">
        <v>14.4</v>
      </c>
      <c r="T10055" s="8">
        <v>0.8</v>
      </c>
      <c r="U10055" s="8">
        <v>12.8</v>
      </c>
      <c r="V10055" s="8">
        <v>0.8</v>
      </c>
      <c r="W10055" s="8">
        <v>0.7</v>
      </c>
      <c r="X10055" s="8">
        <v>51</v>
      </c>
      <c r="Y10055" s="8" t="s">
        <v>41228</v>
      </c>
      <c r="Z10055" s="8" t="s">
        <v>41229</v>
      </c>
    </row>
    <row r="10056" spans="1:26" x14ac:dyDescent="0.2">
      <c r="A10056" s="8">
        <v>10055</v>
      </c>
      <c r="B10056" s="8" t="s">
        <v>43177</v>
      </c>
      <c r="C10056" s="8" t="s">
        <v>43177</v>
      </c>
      <c r="G10056" s="8">
        <v>20</v>
      </c>
      <c r="H10056" s="8" t="s">
        <v>21</v>
      </c>
      <c r="I10056" s="8" t="s">
        <v>72</v>
      </c>
      <c r="J10056" s="8" t="s">
        <v>72</v>
      </c>
      <c r="K10056" s="8" t="s">
        <v>73</v>
      </c>
      <c r="L10056" s="8" t="s">
        <v>9862</v>
      </c>
      <c r="M10056" s="8" t="s">
        <v>9863</v>
      </c>
      <c r="N10056" s="8" t="s">
        <v>43178</v>
      </c>
      <c r="O10056" s="8">
        <f>7+59/60+33/3600</f>
        <v>7.9924999999999997</v>
      </c>
      <c r="P10056" s="8" t="s">
        <v>43179</v>
      </c>
      <c r="Q10056" s="8">
        <f>+(24+55/60+44/3600)</f>
        <v>24.928888888888888</v>
      </c>
      <c r="R10056" s="8">
        <v>99</v>
      </c>
      <c r="S10056" s="8">
        <v>99</v>
      </c>
      <c r="T10056" s="8">
        <v>99</v>
      </c>
      <c r="U10056" s="8">
        <v>99</v>
      </c>
      <c r="Y10056" s="8" t="s">
        <v>43180</v>
      </c>
      <c r="Z10056" s="8" t="s">
        <v>43181</v>
      </c>
    </row>
    <row r="10057" spans="1:26" x14ac:dyDescent="0.2">
      <c r="A10057" s="8">
        <v>10056</v>
      </c>
      <c r="B10057" s="8" t="s">
        <v>43182</v>
      </c>
      <c r="C10057" s="8" t="s">
        <v>43182</v>
      </c>
      <c r="G10057" s="8">
        <v>20</v>
      </c>
      <c r="H10057" s="8" t="s">
        <v>21</v>
      </c>
      <c r="I10057" s="8" t="s">
        <v>72</v>
      </c>
      <c r="J10057" s="8" t="s">
        <v>72</v>
      </c>
      <c r="K10057" s="8" t="s">
        <v>73</v>
      </c>
      <c r="L10057" s="8" t="s">
        <v>10848</v>
      </c>
      <c r="M10057" s="8" t="s">
        <v>10849</v>
      </c>
      <c r="N10057" s="8" t="s">
        <v>43183</v>
      </c>
      <c r="O10057" s="8">
        <f>7+59/60+27.7/3600</f>
        <v>7.9910277777777781</v>
      </c>
      <c r="P10057" s="8" t="s">
        <v>43184</v>
      </c>
      <c r="Q10057" s="8">
        <f>+(5+36/60+52/3600)</f>
        <v>5.6144444444444437</v>
      </c>
      <c r="R10057" s="8">
        <v>99</v>
      </c>
      <c r="S10057" s="8">
        <v>99</v>
      </c>
      <c r="T10057" s="8">
        <v>99</v>
      </c>
      <c r="U10057" s="8">
        <v>99</v>
      </c>
      <c r="Y10057" s="8" t="s">
        <v>43185</v>
      </c>
      <c r="Z10057" s="8" t="s">
        <v>43186</v>
      </c>
    </row>
    <row r="10058" spans="1:26" x14ac:dyDescent="0.2">
      <c r="A10058" s="8">
        <v>10057</v>
      </c>
      <c r="B10058" s="8" t="s">
        <v>43187</v>
      </c>
      <c r="C10058" s="8" t="s">
        <v>43187</v>
      </c>
      <c r="G10058" s="8">
        <v>20</v>
      </c>
      <c r="H10058" s="8" t="s">
        <v>21</v>
      </c>
      <c r="I10058" s="8" t="s">
        <v>22</v>
      </c>
      <c r="J10058" s="8" t="s">
        <v>22</v>
      </c>
      <c r="K10058" s="8" t="s">
        <v>476</v>
      </c>
      <c r="L10058" s="8" t="s">
        <v>11551</v>
      </c>
      <c r="M10058" s="8" t="s">
        <v>11552</v>
      </c>
      <c r="N10058" s="8" t="s">
        <v>43188</v>
      </c>
      <c r="O10058" s="8">
        <f>8+0/60+49.8/3600</f>
        <v>8.0138333333333325</v>
      </c>
      <c r="P10058" s="8" t="s">
        <v>43189</v>
      </c>
      <c r="Q10058" s="8">
        <f>+(27+30/60+1/3600)</f>
        <v>27.500277777777779</v>
      </c>
      <c r="R10058" s="8">
        <v>13.5</v>
      </c>
      <c r="S10058" s="8">
        <v>14.4</v>
      </c>
      <c r="T10058" s="8">
        <v>0.9</v>
      </c>
      <c r="U10058" s="8">
        <v>11.8</v>
      </c>
      <c r="V10058" s="8">
        <v>0.6</v>
      </c>
      <c r="W10058" s="8">
        <v>0.4</v>
      </c>
      <c r="X10058" s="8">
        <v>80</v>
      </c>
      <c r="Y10058" s="8" t="s">
        <v>43190</v>
      </c>
      <c r="Z10058" s="8" t="s">
        <v>43191</v>
      </c>
    </row>
    <row r="10059" spans="1:26" x14ac:dyDescent="0.2">
      <c r="A10059" s="8">
        <v>10058</v>
      </c>
      <c r="B10059" s="8" t="s">
        <v>43192</v>
      </c>
      <c r="C10059" s="8" t="s">
        <v>43192</v>
      </c>
      <c r="E10059" s="8">
        <v>1</v>
      </c>
      <c r="G10059" s="8">
        <v>20</v>
      </c>
      <c r="H10059" s="8" t="s">
        <v>21</v>
      </c>
      <c r="I10059" s="8" t="s">
        <v>22</v>
      </c>
      <c r="J10059" s="8" t="s">
        <v>22</v>
      </c>
      <c r="K10059" s="8" t="s">
        <v>24713</v>
      </c>
      <c r="L10059" s="8" t="s">
        <v>11551</v>
      </c>
      <c r="M10059" s="8" t="s">
        <v>11552</v>
      </c>
      <c r="N10059" s="8" t="s">
        <v>43193</v>
      </c>
      <c r="O10059" s="8">
        <f>8+1/60+38.4/3600</f>
        <v>8.0273333333333348</v>
      </c>
      <c r="P10059" s="8" t="s">
        <v>43194</v>
      </c>
      <c r="Q10059" s="8">
        <f>+(24+25/60+55/3600)</f>
        <v>24.431944444444447</v>
      </c>
      <c r="R10059" s="8">
        <v>14.9</v>
      </c>
      <c r="S10059" s="8">
        <v>15.7</v>
      </c>
      <c r="T10059" s="8">
        <v>0.8</v>
      </c>
      <c r="U10059" s="8">
        <v>12.4</v>
      </c>
      <c r="V10059" s="8">
        <v>0.6</v>
      </c>
      <c r="W10059" s="8">
        <v>0.2</v>
      </c>
      <c r="X10059" s="8">
        <v>15</v>
      </c>
      <c r="Y10059" s="8" t="s">
        <v>21</v>
      </c>
      <c r="Z10059" s="8" t="s">
        <v>43195</v>
      </c>
    </row>
    <row r="10060" spans="1:26" x14ac:dyDescent="0.2">
      <c r="A10060" s="8">
        <v>10059</v>
      </c>
      <c r="B10060" s="8" t="s">
        <v>43196</v>
      </c>
      <c r="C10060" s="8" t="s">
        <v>43196</v>
      </c>
      <c r="G10060" s="8">
        <v>20</v>
      </c>
      <c r="H10060" s="8" t="s">
        <v>21</v>
      </c>
      <c r="I10060" s="8" t="s">
        <v>22</v>
      </c>
      <c r="J10060" s="8" t="s">
        <v>22</v>
      </c>
      <c r="K10060" s="8" t="s">
        <v>160</v>
      </c>
      <c r="L10060" s="8" t="s">
        <v>11551</v>
      </c>
      <c r="M10060" s="8" t="s">
        <v>11552</v>
      </c>
      <c r="N10060" s="8" t="s">
        <v>43197</v>
      </c>
      <c r="O10060" s="8">
        <f>8+2/60+36.5/3600</f>
        <v>8.0434722222222224</v>
      </c>
      <c r="P10060" s="8" t="s">
        <v>43198</v>
      </c>
      <c r="Q10060" s="8">
        <f>+(27+26/60+14/3600)</f>
        <v>27.437222222222221</v>
      </c>
      <c r="R10060" s="8">
        <v>13.7</v>
      </c>
      <c r="S10060" s="8">
        <v>14.4</v>
      </c>
      <c r="T10060" s="8">
        <v>0.7</v>
      </c>
      <c r="U10060" s="8">
        <v>13.3</v>
      </c>
      <c r="V10060" s="8">
        <v>1.3</v>
      </c>
      <c r="W10060" s="8">
        <v>0.6</v>
      </c>
      <c r="X10060" s="8">
        <v>175</v>
      </c>
      <c r="Y10060" s="8" t="s">
        <v>43199</v>
      </c>
      <c r="Z10060" s="8" t="s">
        <v>43200</v>
      </c>
    </row>
    <row r="10061" spans="1:26" x14ac:dyDescent="0.2">
      <c r="A10061" s="8">
        <v>10060</v>
      </c>
      <c r="B10061" s="8" t="s">
        <v>43201</v>
      </c>
      <c r="C10061" s="8" t="s">
        <v>43201</v>
      </c>
      <c r="G10061" s="8">
        <v>10</v>
      </c>
      <c r="H10061" s="8" t="s">
        <v>43202</v>
      </c>
      <c r="I10061" s="8" t="s">
        <v>1283</v>
      </c>
      <c r="J10061" s="8" t="s">
        <v>1283</v>
      </c>
      <c r="K10061" s="8" t="s">
        <v>9495</v>
      </c>
      <c r="L10061" s="8" t="s">
        <v>10135</v>
      </c>
      <c r="M10061" s="8" t="s">
        <v>10136</v>
      </c>
      <c r="N10061" s="8" t="s">
        <v>43203</v>
      </c>
      <c r="O10061" s="8">
        <f>7+56/60+51.3/3600</f>
        <v>7.9475833333333332</v>
      </c>
      <c r="P10061" s="8" t="s">
        <v>43204</v>
      </c>
      <c r="Q10061" s="8">
        <f>-(59+7/60+31/3600)</f>
        <v>-59.125277777777775</v>
      </c>
      <c r="R10061" s="8">
        <v>99</v>
      </c>
      <c r="S10061" s="8">
        <v>99</v>
      </c>
      <c r="T10061" s="8">
        <v>99</v>
      </c>
      <c r="U10061" s="8">
        <v>99</v>
      </c>
      <c r="V10061" s="8">
        <v>5</v>
      </c>
      <c r="W10061" s="8">
        <v>5</v>
      </c>
      <c r="Y10061" s="8" t="s">
        <v>21</v>
      </c>
      <c r="Z10061" s="8" t="s">
        <v>43205</v>
      </c>
    </row>
    <row r="10062" spans="1:26" x14ac:dyDescent="0.2">
      <c r="A10062" s="8">
        <v>10061</v>
      </c>
      <c r="B10062" s="8" t="s">
        <v>43206</v>
      </c>
      <c r="C10062" s="8" t="s">
        <v>43206</v>
      </c>
      <c r="G10062" s="8">
        <v>20</v>
      </c>
      <c r="H10062" s="8" t="s">
        <v>21</v>
      </c>
      <c r="I10062" s="8" t="s">
        <v>22</v>
      </c>
      <c r="J10062" s="8" t="s">
        <v>22</v>
      </c>
      <c r="K10062" s="8" t="s">
        <v>460</v>
      </c>
      <c r="L10062" s="8" t="s">
        <v>10511</v>
      </c>
      <c r="M10062" s="8" t="s">
        <v>10512</v>
      </c>
      <c r="N10062" s="8" t="s">
        <v>43207</v>
      </c>
      <c r="O10062" s="8">
        <f>8+5/60+8/3600</f>
        <v>8.0855555555555565</v>
      </c>
      <c r="P10062" s="8" t="s">
        <v>43208</v>
      </c>
      <c r="Q10062" s="8">
        <f>+(37+27/60+2/3600)</f>
        <v>37.45055555555556</v>
      </c>
      <c r="R10062" s="8">
        <v>15.2</v>
      </c>
      <c r="S10062" s="8">
        <v>16.2</v>
      </c>
      <c r="T10062" s="8">
        <v>1</v>
      </c>
      <c r="U10062" s="8">
        <v>11.8</v>
      </c>
      <c r="V10062" s="8">
        <v>0.2</v>
      </c>
      <c r="W10062" s="8">
        <v>0.2</v>
      </c>
      <c r="Y10062" s="8" t="s">
        <v>43209</v>
      </c>
      <c r="Z10062" s="8" t="s">
        <v>43210</v>
      </c>
    </row>
    <row r="10063" spans="1:26" x14ac:dyDescent="0.2">
      <c r="A10063" s="8">
        <v>10062</v>
      </c>
      <c r="B10063" s="8" t="s">
        <v>43211</v>
      </c>
      <c r="C10063" s="8" t="s">
        <v>43211</v>
      </c>
      <c r="G10063" s="8">
        <v>20</v>
      </c>
      <c r="H10063" s="8" t="s">
        <v>21</v>
      </c>
      <c r="I10063" s="8" t="s">
        <v>22</v>
      </c>
      <c r="J10063" s="8" t="s">
        <v>22</v>
      </c>
      <c r="K10063" s="8" t="s">
        <v>85</v>
      </c>
      <c r="L10063" s="8" t="s">
        <v>10511</v>
      </c>
      <c r="M10063" s="8" t="s">
        <v>10512</v>
      </c>
      <c r="N10063" s="8" t="s">
        <v>43212</v>
      </c>
      <c r="O10063" s="8">
        <f>8+5/60+14.8/3600</f>
        <v>8.0874444444444453</v>
      </c>
      <c r="P10063" s="8" t="s">
        <v>43213</v>
      </c>
      <c r="Q10063" s="8">
        <f>+(37+28/60+21/3600)</f>
        <v>37.472500000000004</v>
      </c>
      <c r="R10063" s="8">
        <v>14.5</v>
      </c>
      <c r="S10063" s="8">
        <v>15.3</v>
      </c>
      <c r="T10063" s="8">
        <v>0.8</v>
      </c>
      <c r="U10063" s="8">
        <v>11.6</v>
      </c>
      <c r="V10063" s="8">
        <v>0.4</v>
      </c>
      <c r="W10063" s="8">
        <v>0.2</v>
      </c>
      <c r="X10063" s="8">
        <v>120</v>
      </c>
      <c r="Y10063" s="8" t="s">
        <v>43214</v>
      </c>
      <c r="Z10063" s="8" t="s">
        <v>43215</v>
      </c>
    </row>
    <row r="10064" spans="1:26" x14ac:dyDescent="0.2">
      <c r="A10064" s="8">
        <v>10063</v>
      </c>
      <c r="B10064" s="8" t="s">
        <v>43216</v>
      </c>
      <c r="C10064" s="8" t="s">
        <v>43216</v>
      </c>
      <c r="G10064" s="8">
        <v>20</v>
      </c>
      <c r="H10064" s="8" t="s">
        <v>21</v>
      </c>
      <c r="I10064" s="8" t="s">
        <v>329</v>
      </c>
      <c r="J10064" s="8" t="s">
        <v>329</v>
      </c>
      <c r="K10064" s="8" t="s">
        <v>329</v>
      </c>
      <c r="L10064" s="8" t="s">
        <v>10511</v>
      </c>
      <c r="M10064" s="8" t="s">
        <v>10512</v>
      </c>
      <c r="N10064" s="8" t="s">
        <v>43217</v>
      </c>
      <c r="O10064" s="8">
        <f>8+5/60+46/3600</f>
        <v>8.0961111111111119</v>
      </c>
      <c r="P10064" s="8" t="s">
        <v>43218</v>
      </c>
      <c r="Q10064" s="8">
        <f>+(37+27/60+45/3600)</f>
        <v>37.462500000000006</v>
      </c>
      <c r="R10064" s="8">
        <v>99</v>
      </c>
      <c r="S10064" s="8">
        <v>99</v>
      </c>
      <c r="T10064" s="8">
        <v>99</v>
      </c>
      <c r="U10064" s="8">
        <v>99</v>
      </c>
      <c r="Y10064" s="8" t="s">
        <v>36797</v>
      </c>
      <c r="Z10064" s="8" t="s">
        <v>36798</v>
      </c>
    </row>
    <row r="10065" spans="1:26" x14ac:dyDescent="0.2">
      <c r="A10065" s="8">
        <v>10064</v>
      </c>
      <c r="B10065" s="8" t="s">
        <v>43219</v>
      </c>
      <c r="C10065" s="8" t="s">
        <v>43219</v>
      </c>
      <c r="G10065" s="8">
        <v>20</v>
      </c>
      <c r="H10065" s="8" t="s">
        <v>21</v>
      </c>
      <c r="I10065" s="8" t="s">
        <v>22</v>
      </c>
      <c r="J10065" s="8" t="s">
        <v>22</v>
      </c>
      <c r="K10065" s="8" t="s">
        <v>424</v>
      </c>
      <c r="L10065" s="8" t="s">
        <v>10511</v>
      </c>
      <c r="M10065" s="8" t="s">
        <v>10512</v>
      </c>
      <c r="N10065" s="8" t="s">
        <v>43220</v>
      </c>
      <c r="O10065" s="8">
        <f>8+5/60+50.3/3600</f>
        <v>8.0973055555555558</v>
      </c>
      <c r="P10065" s="8" t="s">
        <v>43221</v>
      </c>
      <c r="Q10065" s="8">
        <f>+(37+27/60+35/3600)</f>
        <v>37.459722222222226</v>
      </c>
      <c r="R10065" s="8">
        <v>14.5</v>
      </c>
      <c r="S10065" s="8">
        <v>15.5</v>
      </c>
      <c r="T10065" s="8">
        <v>1</v>
      </c>
      <c r="U10065" s="8">
        <v>12.4</v>
      </c>
      <c r="V10065" s="8">
        <v>0.4</v>
      </c>
      <c r="W10065" s="8">
        <v>0.4</v>
      </c>
      <c r="Y10065" s="8" t="s">
        <v>43222</v>
      </c>
      <c r="Z10065" s="8" t="s">
        <v>43223</v>
      </c>
    </row>
    <row r="10066" spans="1:26" x14ac:dyDescent="0.2">
      <c r="A10066" s="8">
        <v>10065</v>
      </c>
      <c r="B10066" s="8" t="s">
        <v>43224</v>
      </c>
      <c r="C10066" s="8" t="s">
        <v>43224</v>
      </c>
      <c r="G10066" s="8">
        <v>20</v>
      </c>
      <c r="H10066" s="8" t="s">
        <v>21</v>
      </c>
      <c r="I10066" s="8" t="s">
        <v>22</v>
      </c>
      <c r="J10066" s="8" t="s">
        <v>22</v>
      </c>
      <c r="K10066" s="8" t="s">
        <v>435</v>
      </c>
      <c r="L10066" s="8" t="s">
        <v>10511</v>
      </c>
      <c r="M10066" s="8" t="s">
        <v>10512</v>
      </c>
      <c r="N10066" s="8" t="s">
        <v>43225</v>
      </c>
      <c r="O10066" s="8">
        <f>8+5/60+28.1/3600</f>
        <v>8.0911388888888887</v>
      </c>
      <c r="P10066" s="8" t="s">
        <v>43226</v>
      </c>
      <c r="Q10066" s="8">
        <f>+(35+56/60+49/3600)</f>
        <v>35.946944444444441</v>
      </c>
      <c r="R10066" s="8">
        <v>13.9</v>
      </c>
      <c r="S10066" s="8">
        <v>14.8</v>
      </c>
      <c r="T10066" s="8">
        <v>0.9</v>
      </c>
      <c r="U10066" s="8">
        <v>13.2</v>
      </c>
      <c r="V10066" s="8">
        <v>0.9</v>
      </c>
      <c r="W10066" s="8">
        <v>0.7</v>
      </c>
      <c r="X10066" s="8">
        <v>84</v>
      </c>
      <c r="Y10066" s="8" t="s">
        <v>43227</v>
      </c>
      <c r="Z10066" s="8" t="s">
        <v>43228</v>
      </c>
    </row>
    <row r="10067" spans="1:26" x14ac:dyDescent="0.2">
      <c r="A10067" s="8">
        <v>10066</v>
      </c>
      <c r="B10067" s="8" t="s">
        <v>43229</v>
      </c>
      <c r="C10067" s="8" t="s">
        <v>43229</v>
      </c>
      <c r="G10067" s="8">
        <v>20</v>
      </c>
      <c r="H10067" s="8" t="s">
        <v>21</v>
      </c>
      <c r="I10067" s="8" t="s">
        <v>22</v>
      </c>
      <c r="J10067" s="8" t="s">
        <v>22</v>
      </c>
      <c r="K10067" s="8" t="s">
        <v>31</v>
      </c>
      <c r="L10067" s="8" t="s">
        <v>11551</v>
      </c>
      <c r="M10067" s="8" t="s">
        <v>11552</v>
      </c>
      <c r="N10067" s="8" t="s">
        <v>43230</v>
      </c>
      <c r="O10067" s="8">
        <f>8+6/60+11.1/3600</f>
        <v>8.1030833333333323</v>
      </c>
      <c r="P10067" s="8" t="s">
        <v>43231</v>
      </c>
      <c r="Q10067" s="8">
        <f>+(12+32/60+39/3600)</f>
        <v>12.544166666666667</v>
      </c>
      <c r="R10067" s="8">
        <v>13.4</v>
      </c>
      <c r="S10067" s="8">
        <v>14.2</v>
      </c>
      <c r="T10067" s="8">
        <v>0.8</v>
      </c>
      <c r="U10067" s="8">
        <v>12.7</v>
      </c>
      <c r="V10067" s="8">
        <v>0.9</v>
      </c>
      <c r="W10067" s="8">
        <v>0.7</v>
      </c>
      <c r="X10067" s="8">
        <v>150</v>
      </c>
      <c r="Y10067" s="8" t="s">
        <v>4065</v>
      </c>
      <c r="Z10067" s="8" t="s">
        <v>4066</v>
      </c>
    </row>
    <row r="10068" spans="1:26" x14ac:dyDescent="0.2">
      <c r="A10068" s="8">
        <v>10067</v>
      </c>
      <c r="B10068" s="8" t="s">
        <v>43232</v>
      </c>
      <c r="C10068" s="8" t="s">
        <v>43232</v>
      </c>
      <c r="G10068" s="8">
        <v>20</v>
      </c>
      <c r="H10068" s="8" t="s">
        <v>21</v>
      </c>
      <c r="I10068" s="8" t="s">
        <v>22</v>
      </c>
      <c r="J10068" s="8" t="s">
        <v>22</v>
      </c>
      <c r="K10068" s="8" t="s">
        <v>58</v>
      </c>
      <c r="L10068" s="8" t="s">
        <v>10511</v>
      </c>
      <c r="M10068" s="8" t="s">
        <v>10512</v>
      </c>
      <c r="N10068" s="8" t="s">
        <v>43233</v>
      </c>
      <c r="O10068" s="8">
        <f>8+7/60+7.1/3600</f>
        <v>8.1186388888888885</v>
      </c>
      <c r="P10068" s="8" t="s">
        <v>43234</v>
      </c>
      <c r="Q10068" s="8">
        <f>+(36+14/60+0/3600)</f>
        <v>36.233333333333334</v>
      </c>
      <c r="R10068" s="8">
        <v>14.1</v>
      </c>
      <c r="S10068" s="8">
        <v>15.1</v>
      </c>
      <c r="T10068" s="8">
        <v>1</v>
      </c>
      <c r="U10068" s="8">
        <v>12.8</v>
      </c>
      <c r="V10068" s="8">
        <v>0.7</v>
      </c>
      <c r="W10068" s="8">
        <v>0.7</v>
      </c>
      <c r="Y10068" s="8" t="s">
        <v>21</v>
      </c>
      <c r="Z10068" s="8" t="s">
        <v>43235</v>
      </c>
    </row>
    <row r="10069" spans="1:26" x14ac:dyDescent="0.2">
      <c r="A10069" s="8">
        <v>10068</v>
      </c>
      <c r="B10069" s="8" t="s">
        <v>43236</v>
      </c>
      <c r="C10069" s="8" t="s">
        <v>43236</v>
      </c>
      <c r="G10069" s="8">
        <v>20</v>
      </c>
      <c r="H10069" s="8" t="s">
        <v>21</v>
      </c>
      <c r="I10069" s="8" t="s">
        <v>72</v>
      </c>
      <c r="J10069" s="8" t="s">
        <v>72</v>
      </c>
      <c r="K10069" s="8" t="s">
        <v>20</v>
      </c>
      <c r="L10069" s="8" t="s">
        <v>11551</v>
      </c>
      <c r="M10069" s="8" t="s">
        <v>11552</v>
      </c>
      <c r="N10069" s="8" t="s">
        <v>43237</v>
      </c>
      <c r="O10069" s="8">
        <f>8+7/60+5.4/3600</f>
        <v>8.1181666666666672</v>
      </c>
      <c r="P10069" s="8" t="s">
        <v>43238</v>
      </c>
      <c r="Q10069" s="8">
        <f>+(8+1/60+33/3600)</f>
        <v>8.0258333333333347</v>
      </c>
      <c r="R10069" s="8">
        <v>99</v>
      </c>
      <c r="S10069" s="8">
        <v>99</v>
      </c>
      <c r="T10069" s="8">
        <v>99</v>
      </c>
      <c r="U10069" s="8">
        <v>99</v>
      </c>
      <c r="Y10069" s="8" t="s">
        <v>43239</v>
      </c>
      <c r="Z10069" s="8" t="s">
        <v>43240</v>
      </c>
    </row>
    <row r="10070" spans="1:26" x14ac:dyDescent="0.2">
      <c r="A10070" s="8">
        <v>10069</v>
      </c>
      <c r="B10070" s="8" t="s">
        <v>43241</v>
      </c>
      <c r="C10070" s="8" t="s">
        <v>43241</v>
      </c>
      <c r="G10070" s="8">
        <v>20</v>
      </c>
      <c r="H10070" s="8" t="s">
        <v>21</v>
      </c>
      <c r="I10070" s="8" t="s">
        <v>22</v>
      </c>
      <c r="J10070" s="8" t="s">
        <v>57</v>
      </c>
      <c r="K10070" s="8" t="s">
        <v>396</v>
      </c>
      <c r="L10070" s="8" t="s">
        <v>11551</v>
      </c>
      <c r="M10070" s="8" t="s">
        <v>11552</v>
      </c>
      <c r="N10070" s="8" t="s">
        <v>36691</v>
      </c>
      <c r="O10070" s="8">
        <f>8+9/60+43.9/3600</f>
        <v>8.1621944444444452</v>
      </c>
      <c r="P10070" s="8" t="s">
        <v>36692</v>
      </c>
      <c r="Q10070" s="8">
        <f>+(25+52/60+52/3600)</f>
        <v>25.88111111111111</v>
      </c>
      <c r="R10070" s="8">
        <v>15.2</v>
      </c>
      <c r="S10070" s="8">
        <v>16</v>
      </c>
      <c r="T10070" s="8">
        <v>0.8</v>
      </c>
      <c r="U10070" s="8">
        <v>14.1</v>
      </c>
      <c r="V10070" s="8">
        <v>0.8</v>
      </c>
      <c r="W10070" s="8">
        <v>0.5</v>
      </c>
      <c r="X10070" s="8">
        <v>108</v>
      </c>
      <c r="Y10070" s="8" t="s">
        <v>43242</v>
      </c>
      <c r="Z10070" s="8" t="s">
        <v>43243</v>
      </c>
    </row>
    <row r="10071" spans="1:26" x14ac:dyDescent="0.2">
      <c r="A10071" s="8">
        <v>10070</v>
      </c>
      <c r="B10071" s="8" t="s">
        <v>43244</v>
      </c>
      <c r="C10071" s="8" t="s">
        <v>43244</v>
      </c>
      <c r="G10071" s="8">
        <v>20</v>
      </c>
      <c r="H10071" s="8" t="s">
        <v>21</v>
      </c>
      <c r="I10071" s="8" t="s">
        <v>22</v>
      </c>
      <c r="J10071" s="8" t="s">
        <v>22</v>
      </c>
      <c r="K10071" s="8" t="s">
        <v>424</v>
      </c>
      <c r="L10071" s="8" t="s">
        <v>11551</v>
      </c>
      <c r="M10071" s="8" t="s">
        <v>11552</v>
      </c>
      <c r="N10071" s="8" t="s">
        <v>43245</v>
      </c>
      <c r="O10071" s="8">
        <f>8+10/60+56.5/3600</f>
        <v>8.1823611111111099</v>
      </c>
      <c r="P10071" s="8" t="s">
        <v>43246</v>
      </c>
      <c r="Q10071" s="8">
        <f>+(25+41/60+7/3600)</f>
        <v>25.685277777777777</v>
      </c>
      <c r="R10071" s="8">
        <v>14.6</v>
      </c>
      <c r="S10071" s="8">
        <v>15.6</v>
      </c>
      <c r="T10071" s="8">
        <v>1</v>
      </c>
      <c r="U10071" s="8">
        <v>11.4</v>
      </c>
      <c r="V10071" s="8">
        <v>0.3</v>
      </c>
      <c r="W10071" s="8">
        <v>0.2</v>
      </c>
      <c r="X10071" s="8">
        <v>160</v>
      </c>
      <c r="Y10071" s="8" t="s">
        <v>36717</v>
      </c>
      <c r="Z10071" s="8" t="s">
        <v>36718</v>
      </c>
    </row>
    <row r="10072" spans="1:26" x14ac:dyDescent="0.2">
      <c r="A10072" s="8">
        <v>10071</v>
      </c>
      <c r="B10072" s="8" t="s">
        <v>43247</v>
      </c>
      <c r="C10072" s="8" t="s">
        <v>43247</v>
      </c>
      <c r="G10072" s="8">
        <v>20</v>
      </c>
      <c r="H10072" s="8" t="s">
        <v>21</v>
      </c>
      <c r="I10072" s="8" t="s">
        <v>22</v>
      </c>
      <c r="J10072" s="8" t="s">
        <v>22</v>
      </c>
      <c r="K10072" s="8" t="s">
        <v>460</v>
      </c>
      <c r="L10072" s="8" t="s">
        <v>10848</v>
      </c>
      <c r="M10072" s="8" t="s">
        <v>10849</v>
      </c>
      <c r="N10072" s="8" t="s">
        <v>43248</v>
      </c>
      <c r="O10072" s="8">
        <f>8+11/60+1.4/3600</f>
        <v>8.1837222222222223</v>
      </c>
      <c r="P10072" s="8" t="s">
        <v>43249</v>
      </c>
      <c r="Q10072" s="8">
        <f>+(5+5/60+15/3600)</f>
        <v>5.0874999999999995</v>
      </c>
      <c r="R10072" s="8">
        <v>14</v>
      </c>
      <c r="S10072" s="8">
        <v>15</v>
      </c>
      <c r="T10072" s="8">
        <v>1</v>
      </c>
      <c r="U10072" s="8">
        <v>14.1</v>
      </c>
      <c r="V10072" s="8">
        <v>1</v>
      </c>
      <c r="W10072" s="8">
        <v>1</v>
      </c>
      <c r="Y10072" s="8" t="s">
        <v>43250</v>
      </c>
      <c r="Z10072" s="8" t="s">
        <v>43251</v>
      </c>
    </row>
    <row r="10073" spans="1:26" x14ac:dyDescent="0.2">
      <c r="A10073" s="8">
        <v>10072</v>
      </c>
      <c r="B10073" s="8" t="s">
        <v>43252</v>
      </c>
      <c r="C10073" s="8" t="s">
        <v>43252</v>
      </c>
      <c r="G10073" s="8">
        <v>20</v>
      </c>
      <c r="H10073" s="8" t="s">
        <v>21</v>
      </c>
      <c r="I10073" s="8" t="s">
        <v>22</v>
      </c>
      <c r="J10073" s="8" t="s">
        <v>57</v>
      </c>
      <c r="K10073" s="8" t="s">
        <v>218</v>
      </c>
      <c r="L10073" s="8" t="s">
        <v>10511</v>
      </c>
      <c r="M10073" s="8" t="s">
        <v>10512</v>
      </c>
      <c r="N10073" s="8" t="s">
        <v>11735</v>
      </c>
      <c r="O10073" s="8">
        <f>8+12/60+57.8/3600</f>
        <v>8.2160555555555543</v>
      </c>
      <c r="P10073" s="8" t="s">
        <v>11736</v>
      </c>
      <c r="Q10073" s="8">
        <f>+(36+15/60+13/3600)</f>
        <v>36.253611111111113</v>
      </c>
      <c r="R10073" s="8">
        <v>11.9</v>
      </c>
      <c r="S10073" s="8">
        <v>12.7</v>
      </c>
      <c r="T10073" s="8">
        <v>0.8</v>
      </c>
      <c r="U10073" s="8">
        <v>12.9</v>
      </c>
      <c r="V10073" s="8">
        <v>2.2999999999999998</v>
      </c>
      <c r="W10073" s="8">
        <v>1.2</v>
      </c>
      <c r="X10073" s="8">
        <v>45</v>
      </c>
      <c r="Y10073" s="8" t="s">
        <v>43253</v>
      </c>
      <c r="Z10073" s="8" t="s">
        <v>43254</v>
      </c>
    </row>
    <row r="10074" spans="1:26" x14ac:dyDescent="0.2">
      <c r="A10074" s="8">
        <v>10073</v>
      </c>
      <c r="B10074" s="8" t="s">
        <v>43255</v>
      </c>
      <c r="C10074" s="8" t="s">
        <v>43255</v>
      </c>
      <c r="G10074" s="8">
        <v>20</v>
      </c>
      <c r="H10074" s="8" t="s">
        <v>21</v>
      </c>
      <c r="I10074" s="8" t="s">
        <v>22</v>
      </c>
      <c r="J10074" s="8" t="s">
        <v>22</v>
      </c>
      <c r="K10074" s="8" t="s">
        <v>1277</v>
      </c>
      <c r="L10074" s="8" t="s">
        <v>10511</v>
      </c>
      <c r="M10074" s="8" t="s">
        <v>10512</v>
      </c>
      <c r="N10074" s="8" t="s">
        <v>43256</v>
      </c>
      <c r="O10074" s="8">
        <f>8+13/60+59/3600</f>
        <v>8.2330555555555556</v>
      </c>
      <c r="P10074" s="8" t="s">
        <v>43257</v>
      </c>
      <c r="Q10074" s="8">
        <f>+(45+44/60+23/3600)</f>
        <v>45.73972222222222</v>
      </c>
      <c r="R10074" s="8">
        <v>12.6</v>
      </c>
      <c r="S10074" s="8">
        <v>13.1</v>
      </c>
      <c r="T10074" s="8">
        <v>0.5</v>
      </c>
      <c r="U10074" s="8">
        <v>13.3</v>
      </c>
      <c r="V10074" s="8">
        <v>4.5999999999999996</v>
      </c>
      <c r="W10074" s="8">
        <v>0.5</v>
      </c>
      <c r="X10074" s="8">
        <v>172</v>
      </c>
      <c r="Y10074" s="8" t="s">
        <v>21</v>
      </c>
      <c r="Z10074" s="8" t="s">
        <v>43258</v>
      </c>
    </row>
    <row r="10075" spans="1:26" x14ac:dyDescent="0.2">
      <c r="A10075" s="8">
        <v>10074</v>
      </c>
      <c r="B10075" s="8" t="s">
        <v>43259</v>
      </c>
      <c r="C10075" s="8" t="s">
        <v>43259</v>
      </c>
      <c r="G10075" s="8">
        <v>20</v>
      </c>
      <c r="H10075" s="8" t="s">
        <v>21</v>
      </c>
      <c r="I10075" s="8" t="s">
        <v>22</v>
      </c>
      <c r="J10075" s="8" t="s">
        <v>22</v>
      </c>
      <c r="K10075" s="8" t="s">
        <v>460</v>
      </c>
      <c r="L10075" s="8" t="s">
        <v>10511</v>
      </c>
      <c r="M10075" s="8" t="s">
        <v>10512</v>
      </c>
      <c r="N10075" s="8" t="s">
        <v>43260</v>
      </c>
      <c r="O10075" s="8">
        <f>8+13/60+51.6/3600</f>
        <v>8.2309999999999999</v>
      </c>
      <c r="P10075" s="8" t="s">
        <v>43261</v>
      </c>
      <c r="Q10075" s="8">
        <f>+(35+29/60+36/3600)</f>
        <v>35.493333333333332</v>
      </c>
      <c r="R10075" s="8">
        <v>15.5</v>
      </c>
      <c r="S10075" s="8">
        <v>16.5</v>
      </c>
      <c r="T10075" s="8">
        <v>1</v>
      </c>
      <c r="U10075" s="8">
        <v>13</v>
      </c>
      <c r="V10075" s="8">
        <v>0.3</v>
      </c>
      <c r="W10075" s="8">
        <v>0.3</v>
      </c>
      <c r="Y10075" s="8" t="s">
        <v>43262</v>
      </c>
      <c r="Z10075" s="8" t="s">
        <v>43263</v>
      </c>
    </row>
    <row r="10076" spans="1:26" x14ac:dyDescent="0.2">
      <c r="A10076" s="8">
        <v>10075</v>
      </c>
      <c r="B10076" s="8" t="s">
        <v>43264</v>
      </c>
      <c r="C10076" s="8" t="s">
        <v>43264</v>
      </c>
      <c r="G10076" s="8">
        <v>20</v>
      </c>
      <c r="H10076" s="8" t="s">
        <v>21</v>
      </c>
      <c r="I10076" s="8" t="s">
        <v>72</v>
      </c>
      <c r="J10076" s="8" t="s">
        <v>72</v>
      </c>
      <c r="K10076" s="8" t="s">
        <v>73</v>
      </c>
      <c r="L10076" s="8" t="s">
        <v>11551</v>
      </c>
      <c r="M10076" s="8" t="s">
        <v>11552</v>
      </c>
      <c r="N10076" s="8" t="s">
        <v>43265</v>
      </c>
      <c r="O10076" s="8">
        <f>8+13/60+34.1/3600</f>
        <v>8.2261388888888884</v>
      </c>
      <c r="P10076" s="8" t="s">
        <v>43266</v>
      </c>
      <c r="Q10076" s="8">
        <f>+(24+4/60+41/3600)</f>
        <v>24.078055555555554</v>
      </c>
      <c r="R10076" s="8">
        <v>99</v>
      </c>
      <c r="S10076" s="8">
        <v>99</v>
      </c>
      <c r="T10076" s="8">
        <v>99</v>
      </c>
      <c r="U10076" s="8">
        <v>99</v>
      </c>
      <c r="Y10076" s="8" t="s">
        <v>43267</v>
      </c>
      <c r="Z10076" s="8" t="s">
        <v>43268</v>
      </c>
    </row>
    <row r="10077" spans="1:26" x14ac:dyDescent="0.2">
      <c r="A10077" s="8">
        <v>10076</v>
      </c>
      <c r="B10077" s="8" t="s">
        <v>43269</v>
      </c>
      <c r="C10077" s="8" t="s">
        <v>43269</v>
      </c>
      <c r="G10077" s="8">
        <v>20</v>
      </c>
      <c r="H10077" s="8" t="s">
        <v>21</v>
      </c>
      <c r="I10077" s="8" t="s">
        <v>72</v>
      </c>
      <c r="J10077" s="8" t="s">
        <v>72</v>
      </c>
      <c r="K10077" s="8" t="s">
        <v>1802</v>
      </c>
      <c r="L10077" s="8" t="s">
        <v>11551</v>
      </c>
      <c r="M10077" s="8" t="s">
        <v>11552</v>
      </c>
      <c r="N10077" s="8" t="s">
        <v>43270</v>
      </c>
      <c r="O10077" s="8">
        <f>8+13/60+37.6/3600</f>
        <v>8.2271111111111104</v>
      </c>
      <c r="P10077" s="8" t="s">
        <v>43271</v>
      </c>
      <c r="Q10077" s="8">
        <f>+(24+2/60+55/3600)</f>
        <v>24.048611111111114</v>
      </c>
      <c r="R10077" s="8">
        <v>99</v>
      </c>
      <c r="S10077" s="8">
        <v>99</v>
      </c>
      <c r="T10077" s="8">
        <v>99</v>
      </c>
      <c r="U10077" s="8">
        <v>99</v>
      </c>
      <c r="Y10077" s="8" t="s">
        <v>43272</v>
      </c>
      <c r="Z10077" s="8" t="s">
        <v>43273</v>
      </c>
    </row>
    <row r="10078" spans="1:26" x14ac:dyDescent="0.2">
      <c r="A10078" s="8">
        <v>10077</v>
      </c>
      <c r="B10078" s="8" t="s">
        <v>43274</v>
      </c>
      <c r="C10078" s="8" t="s">
        <v>43274</v>
      </c>
      <c r="G10078" s="8">
        <v>20</v>
      </c>
      <c r="H10078" s="8" t="s">
        <v>21</v>
      </c>
      <c r="I10078" s="8" t="s">
        <v>72</v>
      </c>
      <c r="J10078" s="8" t="s">
        <v>72</v>
      </c>
      <c r="K10078" s="8" t="s">
        <v>20</v>
      </c>
      <c r="L10078" s="8" t="s">
        <v>11551</v>
      </c>
      <c r="M10078" s="8" t="s">
        <v>11552</v>
      </c>
      <c r="N10078" s="8" t="s">
        <v>43275</v>
      </c>
      <c r="O10078" s="8">
        <f>8+14/60+8/3600</f>
        <v>8.2355555555555551</v>
      </c>
      <c r="P10078" s="8" t="s">
        <v>43276</v>
      </c>
      <c r="Q10078" s="8">
        <f>+(24+41/60+43/3600)</f>
        <v>24.695277777777779</v>
      </c>
      <c r="R10078" s="8">
        <v>99</v>
      </c>
      <c r="S10078" s="8">
        <v>99</v>
      </c>
      <c r="T10078" s="8">
        <v>99</v>
      </c>
      <c r="U10078" s="8">
        <v>99</v>
      </c>
      <c r="Y10078" s="8" t="s">
        <v>21</v>
      </c>
      <c r="Z10078" s="8" t="s">
        <v>43277</v>
      </c>
    </row>
    <row r="10079" spans="1:26" x14ac:dyDescent="0.2">
      <c r="A10079" s="8">
        <v>10078</v>
      </c>
      <c r="B10079" s="8" t="s">
        <v>43278</v>
      </c>
      <c r="C10079" s="8" t="s">
        <v>43278</v>
      </c>
      <c r="G10079" s="8">
        <v>20</v>
      </c>
      <c r="H10079" s="8" t="s">
        <v>21</v>
      </c>
      <c r="I10079" s="8" t="s">
        <v>72</v>
      </c>
      <c r="J10079" s="8" t="s">
        <v>72</v>
      </c>
      <c r="K10079" s="8" t="s">
        <v>20</v>
      </c>
      <c r="L10079" s="8" t="s">
        <v>11551</v>
      </c>
      <c r="M10079" s="8" t="s">
        <v>11552</v>
      </c>
      <c r="N10079" s="8" t="s">
        <v>43279</v>
      </c>
      <c r="O10079" s="8">
        <f>8+14/60+8.6/3600</f>
        <v>8.2357222222222219</v>
      </c>
      <c r="P10079" s="8" t="s">
        <v>43280</v>
      </c>
      <c r="Q10079" s="8">
        <f>+(24+39/60+42/3600)</f>
        <v>24.661666666666665</v>
      </c>
      <c r="R10079" s="8">
        <v>99</v>
      </c>
      <c r="S10079" s="8">
        <v>99</v>
      </c>
      <c r="T10079" s="8">
        <v>99</v>
      </c>
      <c r="U10079" s="8">
        <v>99</v>
      </c>
      <c r="Y10079" s="8" t="s">
        <v>43281</v>
      </c>
      <c r="Z10079" s="8" t="s">
        <v>43282</v>
      </c>
    </row>
    <row r="10080" spans="1:26" x14ac:dyDescent="0.2">
      <c r="A10080" s="8">
        <v>10079</v>
      </c>
      <c r="B10080" s="8" t="s">
        <v>43283</v>
      </c>
      <c r="C10080" s="8" t="s">
        <v>43283</v>
      </c>
      <c r="G10080" s="8">
        <v>20</v>
      </c>
      <c r="H10080" s="8" t="s">
        <v>21</v>
      </c>
      <c r="I10080" s="8" t="s">
        <v>22</v>
      </c>
      <c r="J10080" s="8" t="s">
        <v>22</v>
      </c>
      <c r="K10080" s="8" t="s">
        <v>37</v>
      </c>
      <c r="L10080" s="8" t="s">
        <v>11551</v>
      </c>
      <c r="M10080" s="8" t="s">
        <v>11552</v>
      </c>
      <c r="N10080" s="8" t="s">
        <v>43284</v>
      </c>
      <c r="O10080" s="8">
        <f>8+14/60+6.7/3600</f>
        <v>8.2351944444444438</v>
      </c>
      <c r="P10080" s="8" t="s">
        <v>43285</v>
      </c>
      <c r="Q10080" s="8">
        <f>+(23+51/60+59/3600)</f>
        <v>23.866388888888892</v>
      </c>
      <c r="R10080" s="8">
        <v>13.6</v>
      </c>
      <c r="S10080" s="8">
        <v>14.6</v>
      </c>
      <c r="T10080" s="8">
        <v>1</v>
      </c>
      <c r="U10080" s="8">
        <v>13.1</v>
      </c>
      <c r="V10080" s="8">
        <v>1</v>
      </c>
      <c r="W10080" s="8">
        <v>0.7</v>
      </c>
      <c r="X10080" s="8">
        <v>168</v>
      </c>
      <c r="Y10080" s="8" t="s">
        <v>43286</v>
      </c>
      <c r="Z10080" s="8" t="s">
        <v>43287</v>
      </c>
    </row>
    <row r="10081" spans="1:26" x14ac:dyDescent="0.2">
      <c r="A10081" s="8">
        <v>10080</v>
      </c>
      <c r="B10081" s="8" t="s">
        <v>43288</v>
      </c>
      <c r="C10081" s="8" t="s">
        <v>43288</v>
      </c>
      <c r="G10081" s="8">
        <v>20</v>
      </c>
      <c r="H10081" s="8" t="s">
        <v>21</v>
      </c>
      <c r="I10081" s="8" t="s">
        <v>72</v>
      </c>
      <c r="J10081" s="8" t="s">
        <v>72</v>
      </c>
      <c r="K10081" s="8" t="s">
        <v>20</v>
      </c>
      <c r="L10081" s="8" t="s">
        <v>11551</v>
      </c>
      <c r="M10081" s="8" t="s">
        <v>11552</v>
      </c>
      <c r="N10081" s="8" t="s">
        <v>43289</v>
      </c>
      <c r="O10081" s="8">
        <f>8+14/60+47.5/3600</f>
        <v>8.2465277777777768</v>
      </c>
      <c r="P10081" s="8" t="s">
        <v>43290</v>
      </c>
      <c r="Q10081" s="8">
        <f>+(24+28/60+3/3600)</f>
        <v>24.467499999999998</v>
      </c>
      <c r="R10081" s="8">
        <v>99</v>
      </c>
      <c r="S10081" s="8">
        <v>99</v>
      </c>
      <c r="T10081" s="8">
        <v>99</v>
      </c>
      <c r="U10081" s="8">
        <v>99</v>
      </c>
      <c r="Y10081" s="8" t="s">
        <v>21</v>
      </c>
      <c r="Z10081" s="8" t="s">
        <v>43291</v>
      </c>
    </row>
    <row r="10082" spans="1:26" x14ac:dyDescent="0.2">
      <c r="A10082" s="8">
        <v>10081</v>
      </c>
      <c r="B10082" s="8" t="s">
        <v>43292</v>
      </c>
      <c r="C10082" s="8" t="s">
        <v>43292</v>
      </c>
      <c r="G10082" s="8">
        <v>20</v>
      </c>
      <c r="H10082" s="8" t="s">
        <v>21</v>
      </c>
      <c r="I10082" s="8" t="s">
        <v>72</v>
      </c>
      <c r="J10082" s="8" t="s">
        <v>72</v>
      </c>
      <c r="K10082" s="8" t="s">
        <v>20</v>
      </c>
      <c r="L10082" s="8" t="s">
        <v>11551</v>
      </c>
      <c r="M10082" s="8" t="s">
        <v>11552</v>
      </c>
      <c r="N10082" s="8" t="s">
        <v>43293</v>
      </c>
      <c r="O10082" s="8">
        <f>8+15/60+8.9/3600</f>
        <v>8.252472222222222</v>
      </c>
      <c r="P10082" s="8" t="s">
        <v>43294</v>
      </c>
      <c r="Q10082" s="8">
        <f>+(24+7/60+48/3600)</f>
        <v>24.13</v>
      </c>
      <c r="R10082" s="8">
        <v>99</v>
      </c>
      <c r="S10082" s="8">
        <v>99</v>
      </c>
      <c r="T10082" s="8">
        <v>99</v>
      </c>
      <c r="U10082" s="8">
        <v>99</v>
      </c>
      <c r="Y10082" s="8" t="s">
        <v>35499</v>
      </c>
      <c r="Z10082" s="8" t="s">
        <v>35500</v>
      </c>
    </row>
    <row r="10083" spans="1:26" x14ac:dyDescent="0.2">
      <c r="A10083" s="8">
        <v>10082</v>
      </c>
      <c r="B10083" s="8" t="s">
        <v>43295</v>
      </c>
      <c r="C10083" s="8" t="s">
        <v>43295</v>
      </c>
      <c r="G10083" s="8">
        <v>20</v>
      </c>
      <c r="H10083" s="8" t="s">
        <v>21</v>
      </c>
      <c r="I10083" s="8" t="s">
        <v>72</v>
      </c>
      <c r="J10083" s="8" t="s">
        <v>72</v>
      </c>
      <c r="K10083" s="8" t="s">
        <v>20</v>
      </c>
      <c r="L10083" s="8" t="s">
        <v>11551</v>
      </c>
      <c r="M10083" s="8" t="s">
        <v>11552</v>
      </c>
      <c r="N10083" s="8" t="s">
        <v>43296</v>
      </c>
      <c r="O10083" s="8">
        <f>8+15/60+11.7/3600</f>
        <v>8.2532499999999995</v>
      </c>
      <c r="P10083" s="8" t="s">
        <v>43297</v>
      </c>
      <c r="Q10083" s="8">
        <f>+(24+7/60+59/3600)</f>
        <v>24.133055555555558</v>
      </c>
      <c r="R10083" s="8">
        <v>99</v>
      </c>
      <c r="S10083" s="8">
        <v>99</v>
      </c>
      <c r="T10083" s="8">
        <v>99</v>
      </c>
      <c r="U10083" s="8">
        <v>99</v>
      </c>
      <c r="Y10083" s="8" t="s">
        <v>43281</v>
      </c>
      <c r="Z10083" s="8" t="s">
        <v>43282</v>
      </c>
    </row>
    <row r="10084" spans="1:26" x14ac:dyDescent="0.2">
      <c r="A10084" s="8">
        <v>10083</v>
      </c>
      <c r="B10084" s="8" t="s">
        <v>43298</v>
      </c>
      <c r="C10084" s="8" t="s">
        <v>43298</v>
      </c>
      <c r="G10084" s="8">
        <v>20</v>
      </c>
      <c r="H10084" s="8" t="s">
        <v>21</v>
      </c>
      <c r="I10084" s="8" t="s">
        <v>72</v>
      </c>
      <c r="J10084" s="8" t="s">
        <v>72</v>
      </c>
      <c r="K10084" s="8" t="s">
        <v>20</v>
      </c>
      <c r="L10084" s="8" t="s">
        <v>11551</v>
      </c>
      <c r="M10084" s="8" t="s">
        <v>11552</v>
      </c>
      <c r="N10084" s="8" t="s">
        <v>43299</v>
      </c>
      <c r="O10084" s="8">
        <f>8+15/60+18.5/3600</f>
        <v>8.2551388888888884</v>
      </c>
      <c r="P10084" s="8" t="s">
        <v>43300</v>
      </c>
      <c r="Q10084" s="8">
        <f>+(23+57/60+45/3600)</f>
        <v>23.962499999999999</v>
      </c>
      <c r="R10084" s="8">
        <v>99</v>
      </c>
      <c r="S10084" s="8">
        <v>99</v>
      </c>
      <c r="T10084" s="8">
        <v>99</v>
      </c>
      <c r="U10084" s="8">
        <v>99</v>
      </c>
      <c r="Y10084" s="8" t="s">
        <v>43301</v>
      </c>
      <c r="Z10084" s="8" t="s">
        <v>43302</v>
      </c>
    </row>
    <row r="10085" spans="1:26" x14ac:dyDescent="0.2">
      <c r="A10085" s="8">
        <v>10084</v>
      </c>
      <c r="B10085" s="8" t="s">
        <v>43303</v>
      </c>
      <c r="C10085" s="8" t="s">
        <v>43303</v>
      </c>
      <c r="G10085" s="8">
        <v>20</v>
      </c>
      <c r="H10085" s="8" t="s">
        <v>21</v>
      </c>
      <c r="I10085" s="8" t="s">
        <v>72</v>
      </c>
      <c r="J10085" s="8" t="s">
        <v>72</v>
      </c>
      <c r="K10085" s="8" t="s">
        <v>20</v>
      </c>
      <c r="L10085" s="8" t="s">
        <v>11551</v>
      </c>
      <c r="M10085" s="8" t="s">
        <v>11552</v>
      </c>
      <c r="N10085" s="8" t="s">
        <v>43304</v>
      </c>
      <c r="O10085" s="8">
        <f>8+15/60+22.3/3600</f>
        <v>8.2561944444444446</v>
      </c>
      <c r="P10085" s="8" t="s">
        <v>43305</v>
      </c>
      <c r="Q10085" s="8">
        <f>+(24+32/60+45/3600)</f>
        <v>24.545833333333334</v>
      </c>
      <c r="R10085" s="8">
        <v>99</v>
      </c>
      <c r="S10085" s="8">
        <v>99</v>
      </c>
      <c r="T10085" s="8">
        <v>99</v>
      </c>
      <c r="U10085" s="8">
        <v>99</v>
      </c>
      <c r="Y10085" s="8" t="s">
        <v>43306</v>
      </c>
      <c r="Z10085" s="8" t="s">
        <v>43307</v>
      </c>
    </row>
    <row r="10086" spans="1:26" x14ac:dyDescent="0.2">
      <c r="A10086" s="8">
        <v>10085</v>
      </c>
      <c r="B10086" s="8" t="s">
        <v>43308</v>
      </c>
      <c r="C10086" s="8" t="s">
        <v>43308</v>
      </c>
      <c r="G10086" s="8">
        <v>20</v>
      </c>
      <c r="H10086" s="8" t="s">
        <v>21</v>
      </c>
      <c r="I10086" s="8" t="s">
        <v>72</v>
      </c>
      <c r="J10086" s="8" t="s">
        <v>72</v>
      </c>
      <c r="K10086" s="8" t="s">
        <v>20</v>
      </c>
      <c r="L10086" s="8" t="s">
        <v>11551</v>
      </c>
      <c r="M10086" s="8" t="s">
        <v>11552</v>
      </c>
      <c r="N10086" s="8" t="s">
        <v>43309</v>
      </c>
      <c r="O10086" s="8">
        <f>8+15/60+28.4/3600</f>
        <v>8.2578888888888891</v>
      </c>
      <c r="P10086" s="8" t="s">
        <v>43310</v>
      </c>
      <c r="Q10086" s="8">
        <f>+(24+32/60+8/3600)</f>
        <v>24.535555555555558</v>
      </c>
      <c r="R10086" s="8">
        <v>99</v>
      </c>
      <c r="S10086" s="8">
        <v>99</v>
      </c>
      <c r="T10086" s="8">
        <v>99</v>
      </c>
      <c r="U10086" s="8">
        <v>99</v>
      </c>
      <c r="Y10086" s="8" t="s">
        <v>5139</v>
      </c>
      <c r="Z10086" s="8" t="s">
        <v>5140</v>
      </c>
    </row>
    <row r="10087" spans="1:26" x14ac:dyDescent="0.2">
      <c r="A10087" s="8">
        <v>10086</v>
      </c>
      <c r="B10087" s="8" t="s">
        <v>43311</v>
      </c>
      <c r="C10087" s="8" t="s">
        <v>43311</v>
      </c>
      <c r="G10087" s="8">
        <v>20</v>
      </c>
      <c r="H10087" s="8" t="s">
        <v>21</v>
      </c>
      <c r="I10087" s="8" t="s">
        <v>72</v>
      </c>
      <c r="J10087" s="8" t="s">
        <v>72</v>
      </c>
      <c r="K10087" s="8" t="s">
        <v>20</v>
      </c>
      <c r="L10087" s="8" t="s">
        <v>11551</v>
      </c>
      <c r="M10087" s="8" t="s">
        <v>11552</v>
      </c>
      <c r="N10087" s="8" t="s">
        <v>43312</v>
      </c>
      <c r="O10087" s="8">
        <f>8+16/60+1/3600</f>
        <v>8.2669444444444444</v>
      </c>
      <c r="P10087" s="8" t="s">
        <v>43313</v>
      </c>
      <c r="Q10087" s="8">
        <f>+(23+50/60+58/3600)</f>
        <v>23.849444444444444</v>
      </c>
      <c r="R10087" s="8">
        <v>99</v>
      </c>
      <c r="S10087" s="8">
        <v>99</v>
      </c>
      <c r="T10087" s="8">
        <v>99</v>
      </c>
      <c r="U10087" s="8">
        <v>99</v>
      </c>
      <c r="Y10087" s="8" t="s">
        <v>43314</v>
      </c>
      <c r="Z10087" s="8" t="s">
        <v>43315</v>
      </c>
    </row>
    <row r="10088" spans="1:26" x14ac:dyDescent="0.2">
      <c r="A10088" s="8">
        <v>10087</v>
      </c>
      <c r="B10088" s="8" t="s">
        <v>43316</v>
      </c>
      <c r="C10088" s="8" t="s">
        <v>43316</v>
      </c>
      <c r="G10088" s="8">
        <v>20</v>
      </c>
      <c r="H10088" s="8" t="s">
        <v>21</v>
      </c>
      <c r="I10088" s="8" t="s">
        <v>22</v>
      </c>
      <c r="J10088" s="8" t="s">
        <v>22</v>
      </c>
      <c r="K10088" s="8" t="s">
        <v>396</v>
      </c>
      <c r="L10088" s="8" t="s">
        <v>11551</v>
      </c>
      <c r="M10088" s="8" t="s">
        <v>11552</v>
      </c>
      <c r="N10088" s="8" t="s">
        <v>43317</v>
      </c>
      <c r="O10088" s="8">
        <f>8+15/60+59/3600</f>
        <v>8.2663888888888888</v>
      </c>
      <c r="P10088" s="8" t="s">
        <v>43318</v>
      </c>
      <c r="Q10088" s="8">
        <f>+(23+11/60+59/3600)</f>
        <v>23.199722222222224</v>
      </c>
      <c r="R10088" s="8">
        <v>13.2</v>
      </c>
      <c r="S10088" s="8">
        <v>14</v>
      </c>
      <c r="T10088" s="8">
        <v>0.8</v>
      </c>
      <c r="U10088" s="8">
        <v>12.4</v>
      </c>
      <c r="V10088" s="8">
        <v>1.8</v>
      </c>
      <c r="W10088" s="8">
        <v>0.3</v>
      </c>
      <c r="X10088" s="8">
        <v>150</v>
      </c>
      <c r="Y10088" s="8" t="s">
        <v>43319</v>
      </c>
      <c r="Z10088" s="8" t="s">
        <v>43320</v>
      </c>
    </row>
    <row r="10089" spans="1:26" x14ac:dyDescent="0.2">
      <c r="A10089" s="8">
        <v>10088</v>
      </c>
      <c r="B10089" s="8" t="s">
        <v>43321</v>
      </c>
      <c r="C10089" s="8" t="s">
        <v>43321</v>
      </c>
      <c r="G10089" s="8">
        <v>20</v>
      </c>
      <c r="H10089" s="8" t="s">
        <v>21</v>
      </c>
      <c r="I10089" s="8" t="s">
        <v>22</v>
      </c>
      <c r="J10089" s="8" t="s">
        <v>22</v>
      </c>
      <c r="K10089" s="8" t="s">
        <v>476</v>
      </c>
      <c r="L10089" s="8" t="s">
        <v>11551</v>
      </c>
      <c r="M10089" s="8" t="s">
        <v>11552</v>
      </c>
      <c r="N10089" s="8" t="s">
        <v>43322</v>
      </c>
      <c r="O10089" s="8">
        <f>8+16/60+4.7/3600</f>
        <v>8.2679722222222232</v>
      </c>
      <c r="P10089" s="8" t="s">
        <v>43323</v>
      </c>
      <c r="Q10089" s="8">
        <f>+(23+8/60+4/3600)</f>
        <v>23.134444444444444</v>
      </c>
      <c r="R10089" s="8">
        <v>14.4</v>
      </c>
      <c r="S10089" s="8">
        <v>15.3</v>
      </c>
      <c r="T10089" s="8">
        <v>0.9</v>
      </c>
      <c r="U10089" s="8">
        <v>14.1</v>
      </c>
      <c r="V10089" s="8">
        <v>1.1000000000000001</v>
      </c>
      <c r="W10089" s="8">
        <v>0.8</v>
      </c>
      <c r="X10089" s="8">
        <v>0</v>
      </c>
      <c r="Y10089" s="8" t="s">
        <v>21</v>
      </c>
      <c r="Z10089" s="8" t="s">
        <v>43324</v>
      </c>
    </row>
    <row r="10090" spans="1:26" x14ac:dyDescent="0.2">
      <c r="A10090" s="8">
        <v>10089</v>
      </c>
      <c r="B10090" s="8" t="s">
        <v>43325</v>
      </c>
      <c r="C10090" s="8" t="s">
        <v>43325</v>
      </c>
      <c r="G10090" s="8">
        <v>20</v>
      </c>
      <c r="H10090" s="8" t="s">
        <v>21</v>
      </c>
      <c r="I10090" s="8" t="s">
        <v>22</v>
      </c>
      <c r="J10090" s="8" t="s">
        <v>22</v>
      </c>
      <c r="K10090" s="8" t="s">
        <v>476</v>
      </c>
      <c r="L10090" s="8" t="s">
        <v>11551</v>
      </c>
      <c r="M10090" s="8" t="s">
        <v>11552</v>
      </c>
      <c r="N10090" s="8" t="s">
        <v>43326</v>
      </c>
      <c r="O10090" s="8">
        <f>8+16/60+34.5/3600</f>
        <v>8.276250000000001</v>
      </c>
      <c r="P10090" s="8" t="s">
        <v>43327</v>
      </c>
      <c r="Q10090" s="8">
        <f>+(24+29/60+35/3600)</f>
        <v>24.493055555555557</v>
      </c>
      <c r="R10090" s="8">
        <v>15.7</v>
      </c>
      <c r="S10090" s="8">
        <v>16.5</v>
      </c>
      <c r="T10090" s="8">
        <v>0.8</v>
      </c>
      <c r="U10090" s="8">
        <v>12.9</v>
      </c>
      <c r="V10090" s="8">
        <v>0.3</v>
      </c>
      <c r="W10090" s="8">
        <v>0.3</v>
      </c>
      <c r="Y10090" s="8" t="s">
        <v>21</v>
      </c>
      <c r="Z10090" s="8" t="s">
        <v>43328</v>
      </c>
    </row>
    <row r="10091" spans="1:26" x14ac:dyDescent="0.2">
      <c r="A10091" s="8">
        <v>10090</v>
      </c>
      <c r="B10091" s="8" t="s">
        <v>43329</v>
      </c>
      <c r="C10091" s="8" t="s">
        <v>43329</v>
      </c>
      <c r="G10091" s="8">
        <v>20</v>
      </c>
      <c r="H10091" s="8" t="s">
        <v>21</v>
      </c>
      <c r="I10091" s="8" t="s">
        <v>22</v>
      </c>
      <c r="J10091" s="8" t="s">
        <v>22</v>
      </c>
      <c r="K10091" s="8" t="s">
        <v>1174</v>
      </c>
      <c r="L10091" s="8" t="s">
        <v>11551</v>
      </c>
      <c r="M10091" s="8" t="s">
        <v>11552</v>
      </c>
      <c r="N10091" s="8" t="s">
        <v>43330</v>
      </c>
      <c r="O10091" s="8">
        <f>8+16/60+32.3/3600</f>
        <v>8.2756388888888903</v>
      </c>
      <c r="P10091" s="8" t="s">
        <v>43331</v>
      </c>
      <c r="Q10091" s="8">
        <f>+(23+37/60+57/3600)</f>
        <v>23.6325</v>
      </c>
      <c r="R10091" s="8">
        <v>15.7</v>
      </c>
      <c r="S10091" s="8">
        <v>16.5</v>
      </c>
      <c r="T10091" s="8">
        <v>0.8</v>
      </c>
      <c r="U10091" s="8">
        <v>12.1</v>
      </c>
      <c r="V10091" s="8">
        <v>0.2</v>
      </c>
      <c r="W10091" s="8">
        <v>0.2</v>
      </c>
      <c r="Y10091" s="8" t="s">
        <v>33652</v>
      </c>
      <c r="Z10091" s="8" t="s">
        <v>33653</v>
      </c>
    </row>
    <row r="10092" spans="1:26" x14ac:dyDescent="0.2">
      <c r="A10092" s="8">
        <v>10091</v>
      </c>
      <c r="B10092" s="8" t="s">
        <v>43332</v>
      </c>
      <c r="C10092" s="8" t="s">
        <v>43332</v>
      </c>
      <c r="G10092" s="8">
        <v>20</v>
      </c>
      <c r="H10092" s="8" t="s">
        <v>21</v>
      </c>
      <c r="I10092" s="8" t="s">
        <v>72</v>
      </c>
      <c r="J10092" s="8" t="s">
        <v>72</v>
      </c>
      <c r="K10092" s="8" t="s">
        <v>73</v>
      </c>
      <c r="L10092" s="8" t="s">
        <v>11551</v>
      </c>
      <c r="M10092" s="8" t="s">
        <v>11552</v>
      </c>
      <c r="N10092" s="8" t="s">
        <v>43333</v>
      </c>
      <c r="O10092" s="8">
        <f>8+16/60+38.9/3600</f>
        <v>8.2774722222222223</v>
      </c>
      <c r="P10092" s="8" t="s">
        <v>43334</v>
      </c>
      <c r="Q10092" s="8">
        <f>+(23+56/60+58/3600)</f>
        <v>23.949444444444445</v>
      </c>
      <c r="R10092" s="8">
        <v>99</v>
      </c>
      <c r="S10092" s="8">
        <v>99</v>
      </c>
      <c r="T10092" s="8">
        <v>99</v>
      </c>
      <c r="U10092" s="8">
        <v>99</v>
      </c>
      <c r="Y10092" s="8" t="s">
        <v>43335</v>
      </c>
      <c r="Z10092" s="8" t="s">
        <v>43336</v>
      </c>
    </row>
    <row r="10093" spans="1:26" x14ac:dyDescent="0.2">
      <c r="A10093" s="8">
        <v>10092</v>
      </c>
      <c r="B10093" s="8" t="s">
        <v>43337</v>
      </c>
      <c r="C10093" s="8" t="s">
        <v>43337</v>
      </c>
      <c r="G10093" s="8">
        <v>20</v>
      </c>
      <c r="H10093" s="8" t="s">
        <v>21</v>
      </c>
      <c r="I10093" s="8" t="s">
        <v>72</v>
      </c>
      <c r="J10093" s="8" t="s">
        <v>72</v>
      </c>
      <c r="K10093" s="8" t="s">
        <v>20</v>
      </c>
      <c r="L10093" s="8" t="s">
        <v>11551</v>
      </c>
      <c r="M10093" s="8" t="s">
        <v>11552</v>
      </c>
      <c r="N10093" s="8" t="s">
        <v>43338</v>
      </c>
      <c r="O10093" s="8">
        <f>8+16/60+42/3600</f>
        <v>8.2783333333333342</v>
      </c>
      <c r="P10093" s="8" t="s">
        <v>43339</v>
      </c>
      <c r="Q10093" s="8">
        <f>+(24+41/60+36/3600)</f>
        <v>24.693333333333335</v>
      </c>
      <c r="R10093" s="8">
        <v>99</v>
      </c>
      <c r="S10093" s="8">
        <v>99</v>
      </c>
      <c r="T10093" s="8">
        <v>99</v>
      </c>
      <c r="U10093" s="8">
        <v>99</v>
      </c>
      <c r="Y10093" s="8" t="s">
        <v>824</v>
      </c>
      <c r="Z10093" s="8" t="s">
        <v>825</v>
      </c>
    </row>
    <row r="10094" spans="1:26" x14ac:dyDescent="0.2">
      <c r="A10094" s="8">
        <v>10093</v>
      </c>
      <c r="B10094" s="8" t="s">
        <v>43340</v>
      </c>
      <c r="C10094" s="8" t="s">
        <v>43340</v>
      </c>
      <c r="G10094" s="8">
        <v>20</v>
      </c>
      <c r="H10094" s="8" t="s">
        <v>21</v>
      </c>
      <c r="I10094" s="8" t="s">
        <v>22</v>
      </c>
      <c r="J10094" s="8" t="s">
        <v>22</v>
      </c>
      <c r="K10094" s="8" t="s">
        <v>818</v>
      </c>
      <c r="L10094" s="8" t="s">
        <v>11551</v>
      </c>
      <c r="M10094" s="8" t="s">
        <v>11552</v>
      </c>
      <c r="N10094" s="8" t="s">
        <v>43341</v>
      </c>
      <c r="O10094" s="8">
        <f>8+16/60+33.9/3600</f>
        <v>8.2760833333333341</v>
      </c>
      <c r="P10094" s="8" t="s">
        <v>43342</v>
      </c>
      <c r="Q10094" s="8">
        <f>+(21+24/60+37/3600)</f>
        <v>21.410277777777775</v>
      </c>
      <c r="R10094" s="8">
        <v>13.9</v>
      </c>
      <c r="S10094" s="8">
        <v>14.9</v>
      </c>
      <c r="T10094" s="8">
        <v>1</v>
      </c>
      <c r="U10094" s="8">
        <v>12.8</v>
      </c>
      <c r="V10094" s="8">
        <v>0.7</v>
      </c>
      <c r="W10094" s="8">
        <v>0.5</v>
      </c>
      <c r="X10094" s="8">
        <v>168</v>
      </c>
      <c r="Y10094" s="8" t="s">
        <v>5926</v>
      </c>
      <c r="Z10094" s="8" t="s">
        <v>5927</v>
      </c>
    </row>
    <row r="10095" spans="1:26" x14ac:dyDescent="0.2">
      <c r="A10095" s="8">
        <v>10094</v>
      </c>
      <c r="B10095" s="8" t="s">
        <v>43343</v>
      </c>
      <c r="C10095" s="8" t="s">
        <v>43343</v>
      </c>
      <c r="G10095" s="8">
        <v>20</v>
      </c>
      <c r="H10095" s="8" t="s">
        <v>21</v>
      </c>
      <c r="I10095" s="8" t="s">
        <v>22</v>
      </c>
      <c r="J10095" s="8" t="s">
        <v>22</v>
      </c>
      <c r="K10095" s="8" t="s">
        <v>449</v>
      </c>
      <c r="L10095" s="8" t="s">
        <v>11551</v>
      </c>
      <c r="M10095" s="8" t="s">
        <v>11552</v>
      </c>
      <c r="N10095" s="8" t="s">
        <v>43344</v>
      </c>
      <c r="O10095" s="8">
        <f>8+16/60+45.5/3600</f>
        <v>8.2793055555555561</v>
      </c>
      <c r="P10095" s="8" t="s">
        <v>43345</v>
      </c>
      <c r="Q10095" s="8">
        <f>+(24+46/60+49/3600)</f>
        <v>24.780277777777776</v>
      </c>
      <c r="R10095" s="8">
        <v>14.4</v>
      </c>
      <c r="S10095" s="8">
        <v>15.2</v>
      </c>
      <c r="T10095" s="8">
        <v>0.8</v>
      </c>
      <c r="U10095" s="8">
        <v>11.2</v>
      </c>
      <c r="V10095" s="8">
        <v>0.3</v>
      </c>
      <c r="W10095" s="8">
        <v>0.2</v>
      </c>
      <c r="X10095" s="8">
        <v>120</v>
      </c>
      <c r="Y10095" s="8" t="s">
        <v>21</v>
      </c>
      <c r="Z10095" s="8" t="s">
        <v>43346</v>
      </c>
    </row>
    <row r="10096" spans="1:26" x14ac:dyDescent="0.2">
      <c r="A10096" s="8">
        <v>10095</v>
      </c>
      <c r="B10096" s="8" t="s">
        <v>43347</v>
      </c>
      <c r="C10096" s="8" t="s">
        <v>43347</v>
      </c>
      <c r="G10096" s="8">
        <v>20</v>
      </c>
      <c r="H10096" s="8" t="s">
        <v>21</v>
      </c>
      <c r="I10096" s="8" t="s">
        <v>72</v>
      </c>
      <c r="J10096" s="8" t="s">
        <v>72</v>
      </c>
      <c r="K10096" s="8" t="s">
        <v>73</v>
      </c>
      <c r="L10096" s="8" t="s">
        <v>11551</v>
      </c>
      <c r="M10096" s="8" t="s">
        <v>11552</v>
      </c>
      <c r="N10096" s="8" t="s">
        <v>43348</v>
      </c>
      <c r="O10096" s="8">
        <f>8+16/60+43/3600</f>
        <v>8.2786111111111111</v>
      </c>
      <c r="P10096" s="8" t="s">
        <v>43349</v>
      </c>
      <c r="Q10096" s="8">
        <f>+(23+27/60+26/3600)</f>
        <v>23.457222222222221</v>
      </c>
      <c r="R10096" s="8">
        <v>99</v>
      </c>
      <c r="S10096" s="8">
        <v>99</v>
      </c>
      <c r="T10096" s="8">
        <v>99</v>
      </c>
      <c r="U10096" s="8">
        <v>99</v>
      </c>
      <c r="Y10096" s="8" t="s">
        <v>43350</v>
      </c>
      <c r="Z10096" s="8" t="s">
        <v>43351</v>
      </c>
    </row>
    <row r="10097" spans="1:26" x14ac:dyDescent="0.2">
      <c r="A10097" s="8">
        <v>10096</v>
      </c>
      <c r="B10097" s="8" t="s">
        <v>43352</v>
      </c>
      <c r="C10097" s="8" t="s">
        <v>43352</v>
      </c>
      <c r="G10097" s="8">
        <v>20</v>
      </c>
      <c r="H10097" s="8" t="s">
        <v>21</v>
      </c>
      <c r="I10097" s="8" t="s">
        <v>22</v>
      </c>
      <c r="J10097" s="8" t="s">
        <v>22</v>
      </c>
      <c r="K10097" s="8" t="s">
        <v>160</v>
      </c>
      <c r="L10097" s="8" t="s">
        <v>11551</v>
      </c>
      <c r="M10097" s="8" t="s">
        <v>11552</v>
      </c>
      <c r="N10097" s="8" t="s">
        <v>43353</v>
      </c>
      <c r="O10097" s="8">
        <f>8+16/60+54.4/3600</f>
        <v>8.2817777777777781</v>
      </c>
      <c r="P10097" s="8" t="s">
        <v>43354</v>
      </c>
      <c r="Q10097" s="8">
        <f>+(24+10/60+36/3600)</f>
        <v>24.176666666666669</v>
      </c>
      <c r="R10097" s="8">
        <v>14.6</v>
      </c>
      <c r="S10097" s="8">
        <v>15.3</v>
      </c>
      <c r="T10097" s="8">
        <v>0.7</v>
      </c>
      <c r="U10097" s="8">
        <v>12.8</v>
      </c>
      <c r="V10097" s="8">
        <v>0.7</v>
      </c>
      <c r="W10097" s="8">
        <v>0.3</v>
      </c>
      <c r="X10097" s="8">
        <v>10</v>
      </c>
      <c r="Y10097" s="8" t="s">
        <v>21</v>
      </c>
      <c r="Z10097" s="8" t="s">
        <v>43355</v>
      </c>
    </row>
    <row r="10098" spans="1:26" x14ac:dyDescent="0.2">
      <c r="A10098" s="8">
        <v>10097</v>
      </c>
      <c r="B10098" s="8" t="s">
        <v>43356</v>
      </c>
      <c r="C10098" s="8" t="s">
        <v>43356</v>
      </c>
      <c r="G10098" s="8">
        <v>20</v>
      </c>
      <c r="H10098" s="8" t="s">
        <v>21</v>
      </c>
      <c r="I10098" s="8" t="s">
        <v>72</v>
      </c>
      <c r="J10098" s="8" t="s">
        <v>72</v>
      </c>
      <c r="K10098" s="8" t="s">
        <v>73</v>
      </c>
      <c r="L10098" s="8" t="s">
        <v>11551</v>
      </c>
      <c r="M10098" s="8" t="s">
        <v>11552</v>
      </c>
      <c r="N10098" s="8" t="s">
        <v>43357</v>
      </c>
      <c r="O10098" s="8">
        <f>8+17/60+10.8/3600</f>
        <v>8.2863333333333333</v>
      </c>
      <c r="P10098" s="8" t="s">
        <v>43358</v>
      </c>
      <c r="Q10098" s="8">
        <f>+(23+39/60+0/3600)</f>
        <v>23.65</v>
      </c>
      <c r="R10098" s="8">
        <v>99</v>
      </c>
      <c r="S10098" s="8">
        <v>99</v>
      </c>
      <c r="T10098" s="8">
        <v>99</v>
      </c>
      <c r="U10098" s="8">
        <v>99</v>
      </c>
      <c r="Y10098" s="8" t="s">
        <v>12039</v>
      </c>
      <c r="Z10098" s="8" t="s">
        <v>11239</v>
      </c>
    </row>
    <row r="10099" spans="1:26" x14ac:dyDescent="0.2">
      <c r="A10099" s="8">
        <v>10098</v>
      </c>
      <c r="B10099" s="8" t="s">
        <v>43359</v>
      </c>
      <c r="C10099" s="8" t="s">
        <v>43359</v>
      </c>
      <c r="G10099" s="8">
        <v>20</v>
      </c>
      <c r="H10099" s="8" t="s">
        <v>21</v>
      </c>
      <c r="I10099" s="8" t="s">
        <v>72</v>
      </c>
      <c r="J10099" s="8" t="s">
        <v>72</v>
      </c>
      <c r="K10099" s="8" t="s">
        <v>73</v>
      </c>
      <c r="L10099" s="8" t="s">
        <v>11551</v>
      </c>
      <c r="M10099" s="8" t="s">
        <v>11552</v>
      </c>
      <c r="N10099" s="8" t="s">
        <v>43360</v>
      </c>
      <c r="O10099" s="8">
        <f>8+17/60+16.2/3600</f>
        <v>8.2878333333333334</v>
      </c>
      <c r="P10099" s="8" t="s">
        <v>43361</v>
      </c>
      <c r="Q10099" s="8">
        <f>+(23+34/60+39/3600)</f>
        <v>23.577500000000001</v>
      </c>
      <c r="R10099" s="8">
        <v>99</v>
      </c>
      <c r="S10099" s="8">
        <v>99</v>
      </c>
      <c r="T10099" s="8">
        <v>99</v>
      </c>
      <c r="U10099" s="8">
        <v>99</v>
      </c>
      <c r="Y10099" s="8" t="s">
        <v>43362</v>
      </c>
      <c r="Z10099" s="8" t="s">
        <v>43363</v>
      </c>
    </row>
    <row r="10100" spans="1:26" x14ac:dyDescent="0.2">
      <c r="A10100" s="8">
        <v>10099</v>
      </c>
      <c r="B10100" s="8" t="s">
        <v>43364</v>
      </c>
      <c r="C10100" s="8" t="s">
        <v>43364</v>
      </c>
      <c r="G10100" s="8">
        <v>20</v>
      </c>
      <c r="H10100" s="8" t="s">
        <v>21</v>
      </c>
      <c r="I10100" s="8" t="s">
        <v>72</v>
      </c>
      <c r="J10100" s="8" t="s">
        <v>72</v>
      </c>
      <c r="K10100" s="8" t="s">
        <v>20</v>
      </c>
      <c r="L10100" s="8" t="s">
        <v>11551</v>
      </c>
      <c r="M10100" s="8" t="s">
        <v>11552</v>
      </c>
      <c r="N10100" s="8" t="s">
        <v>43365</v>
      </c>
      <c r="O10100" s="8">
        <f>8+17/60+18/3600</f>
        <v>8.288333333333334</v>
      </c>
      <c r="P10100" s="8" t="s">
        <v>43361</v>
      </c>
      <c r="Q10100" s="8">
        <f>+(23+34/60+39/3600)</f>
        <v>23.577500000000001</v>
      </c>
      <c r="R10100" s="8">
        <v>99</v>
      </c>
      <c r="S10100" s="8">
        <v>99</v>
      </c>
      <c r="T10100" s="8">
        <v>99</v>
      </c>
      <c r="U10100" s="8">
        <v>99</v>
      </c>
      <c r="Y10100" s="8" t="s">
        <v>36640</v>
      </c>
      <c r="Z10100" s="8" t="s">
        <v>36641</v>
      </c>
    </row>
    <row r="10101" spans="1:26" x14ac:dyDescent="0.2">
      <c r="A10101" s="8">
        <v>10100</v>
      </c>
      <c r="B10101" s="8" t="s">
        <v>43366</v>
      </c>
      <c r="C10101" s="8" t="s">
        <v>43366</v>
      </c>
      <c r="G10101" s="8">
        <v>20</v>
      </c>
      <c r="H10101" s="8" t="s">
        <v>21</v>
      </c>
      <c r="I10101" s="8" t="s">
        <v>72</v>
      </c>
      <c r="J10101" s="8" t="s">
        <v>72</v>
      </c>
      <c r="K10101" s="8" t="s">
        <v>20</v>
      </c>
      <c r="L10101" s="8" t="s">
        <v>11551</v>
      </c>
      <c r="M10101" s="8" t="s">
        <v>11552</v>
      </c>
      <c r="N10101" s="8" t="s">
        <v>43367</v>
      </c>
      <c r="O10101" s="8">
        <f>8+17/60+27.5/3600</f>
        <v>8.2909722222222229</v>
      </c>
      <c r="P10101" s="8" t="s">
        <v>43368</v>
      </c>
      <c r="Q10101" s="8">
        <f>+(24+40/60+24/3600)</f>
        <v>24.673333333333336</v>
      </c>
      <c r="R10101" s="8">
        <v>99</v>
      </c>
      <c r="S10101" s="8">
        <v>99</v>
      </c>
      <c r="T10101" s="8">
        <v>99</v>
      </c>
      <c r="U10101" s="8">
        <v>99</v>
      </c>
      <c r="Y10101" s="8" t="s">
        <v>43369</v>
      </c>
      <c r="Z10101" s="8" t="s">
        <v>43370</v>
      </c>
    </row>
    <row r="10102" spans="1:26" x14ac:dyDescent="0.2">
      <c r="A10102" s="8">
        <v>10101</v>
      </c>
      <c r="B10102" s="8" t="s">
        <v>43371</v>
      </c>
      <c r="C10102" s="8" t="s">
        <v>43371</v>
      </c>
      <c r="G10102" s="8">
        <v>20</v>
      </c>
      <c r="H10102" s="8" t="s">
        <v>21</v>
      </c>
      <c r="I10102" s="8" t="s">
        <v>72</v>
      </c>
      <c r="J10102" s="8" t="s">
        <v>72</v>
      </c>
      <c r="K10102" s="8" t="s">
        <v>73</v>
      </c>
      <c r="L10102" s="8" t="s">
        <v>11551</v>
      </c>
      <c r="M10102" s="8" t="s">
        <v>11552</v>
      </c>
      <c r="N10102" s="8" t="s">
        <v>43372</v>
      </c>
      <c r="O10102" s="8">
        <f>8+17/60+32.7/3600</f>
        <v>8.2924166666666661</v>
      </c>
      <c r="P10102" s="8" t="s">
        <v>43373</v>
      </c>
      <c r="Q10102" s="8">
        <f>+(23+30/60+44/3600)</f>
        <v>23.512222222222221</v>
      </c>
      <c r="R10102" s="8">
        <v>99</v>
      </c>
      <c r="S10102" s="8">
        <v>99</v>
      </c>
      <c r="T10102" s="8">
        <v>99</v>
      </c>
      <c r="U10102" s="8">
        <v>99</v>
      </c>
      <c r="Y10102" s="8" t="s">
        <v>21</v>
      </c>
      <c r="Z10102" s="8" t="s">
        <v>43374</v>
      </c>
    </row>
    <row r="10103" spans="1:26" x14ac:dyDescent="0.2">
      <c r="A10103" s="8">
        <v>10102</v>
      </c>
      <c r="B10103" s="8" t="s">
        <v>43375</v>
      </c>
      <c r="C10103" s="8" t="s">
        <v>43375</v>
      </c>
      <c r="G10103" s="8">
        <v>20</v>
      </c>
      <c r="H10103" s="8" t="s">
        <v>21</v>
      </c>
      <c r="I10103" s="8" t="s">
        <v>72</v>
      </c>
      <c r="J10103" s="8" t="s">
        <v>72</v>
      </c>
      <c r="K10103" s="8" t="s">
        <v>20</v>
      </c>
      <c r="L10103" s="8" t="s">
        <v>11551</v>
      </c>
      <c r="M10103" s="8" t="s">
        <v>11552</v>
      </c>
      <c r="N10103" s="8" t="s">
        <v>43376</v>
      </c>
      <c r="O10103" s="8">
        <f>8+17/60+22.6/3600</f>
        <v>8.2896111111111104</v>
      </c>
      <c r="P10103" s="8" t="s">
        <v>43377</v>
      </c>
      <c r="Q10103" s="8">
        <f>+(18+27/60+16/3600)</f>
        <v>18.454444444444444</v>
      </c>
      <c r="R10103" s="8">
        <v>99</v>
      </c>
      <c r="S10103" s="8">
        <v>14.4</v>
      </c>
      <c r="T10103" s="8">
        <v>99</v>
      </c>
      <c r="U10103" s="8">
        <v>99</v>
      </c>
      <c r="Y10103" s="8" t="s">
        <v>43378</v>
      </c>
      <c r="Z10103" s="8" t="s">
        <v>43379</v>
      </c>
    </row>
    <row r="10104" spans="1:26" x14ac:dyDescent="0.2">
      <c r="A10104" s="8">
        <v>10103</v>
      </c>
      <c r="B10104" s="8" t="s">
        <v>43380</v>
      </c>
      <c r="C10104" s="8" t="s">
        <v>43380</v>
      </c>
      <c r="G10104" s="8">
        <v>20</v>
      </c>
      <c r="H10104" s="8" t="s">
        <v>21</v>
      </c>
      <c r="I10104" s="8" t="s">
        <v>72</v>
      </c>
      <c r="J10104" s="8" t="s">
        <v>72</v>
      </c>
      <c r="K10104" s="8" t="s">
        <v>20</v>
      </c>
      <c r="L10104" s="8" t="s">
        <v>11551</v>
      </c>
      <c r="M10104" s="8" t="s">
        <v>11552</v>
      </c>
      <c r="N10104" s="8" t="s">
        <v>43381</v>
      </c>
      <c r="O10104" s="8">
        <f>8+17/60+40.9/3600</f>
        <v>8.2946944444444437</v>
      </c>
      <c r="P10104" s="8" t="s">
        <v>43382</v>
      </c>
      <c r="Q10104" s="8">
        <f>+(23+34/60+48/3600)</f>
        <v>23.58</v>
      </c>
      <c r="R10104" s="8">
        <v>99</v>
      </c>
      <c r="S10104" s="8">
        <v>99</v>
      </c>
      <c r="T10104" s="8">
        <v>99</v>
      </c>
      <c r="U10104" s="8">
        <v>99</v>
      </c>
      <c r="Y10104" s="8" t="s">
        <v>43383</v>
      </c>
      <c r="Z10104" s="8" t="s">
        <v>43384</v>
      </c>
    </row>
    <row r="10105" spans="1:26" x14ac:dyDescent="0.2">
      <c r="A10105" s="8">
        <v>10104</v>
      </c>
      <c r="B10105" s="8" t="s">
        <v>43385</v>
      </c>
      <c r="C10105" s="8" t="s">
        <v>43385</v>
      </c>
      <c r="G10105" s="8">
        <v>20</v>
      </c>
      <c r="H10105" s="8" t="s">
        <v>21</v>
      </c>
      <c r="I10105" s="8" t="s">
        <v>72</v>
      </c>
      <c r="J10105" s="8" t="s">
        <v>72</v>
      </c>
      <c r="K10105" s="8" t="s">
        <v>20</v>
      </c>
      <c r="L10105" s="8" t="s">
        <v>11551</v>
      </c>
      <c r="M10105" s="8" t="s">
        <v>11552</v>
      </c>
      <c r="N10105" s="8" t="s">
        <v>43386</v>
      </c>
      <c r="O10105" s="8">
        <f>8+17/60+44.9/3600</f>
        <v>8.295805555555555</v>
      </c>
      <c r="P10105" s="8" t="s">
        <v>43387</v>
      </c>
      <c r="Q10105" s="8">
        <f>+(23+42/60+52/3600)</f>
        <v>23.714444444444442</v>
      </c>
      <c r="R10105" s="8">
        <v>99</v>
      </c>
      <c r="S10105" s="8">
        <v>99</v>
      </c>
      <c r="T10105" s="8">
        <v>99</v>
      </c>
      <c r="U10105" s="8">
        <v>99</v>
      </c>
      <c r="Y10105" s="8" t="s">
        <v>43388</v>
      </c>
      <c r="Z10105" s="8" t="s">
        <v>43389</v>
      </c>
    </row>
    <row r="10106" spans="1:26" x14ac:dyDescent="0.2">
      <c r="A10106" s="8">
        <v>10105</v>
      </c>
      <c r="B10106" s="8" t="s">
        <v>43390</v>
      </c>
      <c r="C10106" s="8" t="s">
        <v>43390</v>
      </c>
      <c r="G10106" s="8">
        <v>20</v>
      </c>
      <c r="H10106" s="8" t="s">
        <v>21</v>
      </c>
      <c r="I10106" s="8" t="s">
        <v>72</v>
      </c>
      <c r="J10106" s="8" t="s">
        <v>72</v>
      </c>
      <c r="K10106" s="8" t="s">
        <v>20</v>
      </c>
      <c r="L10106" s="8" t="s">
        <v>11551</v>
      </c>
      <c r="M10106" s="8" t="s">
        <v>11552</v>
      </c>
      <c r="N10106" s="8" t="s">
        <v>43391</v>
      </c>
      <c r="O10106" s="8">
        <f>8+17/60+50.4/3600</f>
        <v>8.2973333333333326</v>
      </c>
      <c r="P10106" s="8" t="s">
        <v>43392</v>
      </c>
      <c r="Q10106" s="8">
        <f>+(24+11/60+37/3600)</f>
        <v>24.19361111111111</v>
      </c>
      <c r="R10106" s="8">
        <v>99</v>
      </c>
      <c r="S10106" s="8">
        <v>99</v>
      </c>
      <c r="T10106" s="8">
        <v>99</v>
      </c>
      <c r="U10106" s="8">
        <v>99</v>
      </c>
      <c r="Y10106" s="8" t="s">
        <v>41196</v>
      </c>
      <c r="Z10106" s="8" t="s">
        <v>41197</v>
      </c>
    </row>
    <row r="10107" spans="1:26" x14ac:dyDescent="0.2">
      <c r="A10107" s="8">
        <v>10106</v>
      </c>
      <c r="B10107" s="8" t="s">
        <v>43393</v>
      </c>
      <c r="C10107" s="8" t="s">
        <v>43393</v>
      </c>
      <c r="G10107" s="8">
        <v>20</v>
      </c>
      <c r="H10107" s="8" t="s">
        <v>21</v>
      </c>
      <c r="I10107" s="8" t="s">
        <v>72</v>
      </c>
      <c r="J10107" s="8" t="s">
        <v>72</v>
      </c>
      <c r="K10107" s="8" t="s">
        <v>20</v>
      </c>
      <c r="L10107" s="8" t="s">
        <v>11551</v>
      </c>
      <c r="M10107" s="8" t="s">
        <v>11552</v>
      </c>
      <c r="N10107" s="8" t="s">
        <v>43394</v>
      </c>
      <c r="O10107" s="8">
        <f>8+17/60+38.4/3600</f>
        <v>8.2940000000000005</v>
      </c>
      <c r="P10107" s="8" t="s">
        <v>43395</v>
      </c>
      <c r="Q10107" s="8">
        <f>+(18+24/60+39/3600)</f>
        <v>18.410833333333333</v>
      </c>
      <c r="R10107" s="8">
        <v>99</v>
      </c>
      <c r="S10107" s="8">
        <v>99</v>
      </c>
      <c r="T10107" s="8">
        <v>99</v>
      </c>
      <c r="U10107" s="8">
        <v>99</v>
      </c>
      <c r="Y10107" s="8" t="s">
        <v>21</v>
      </c>
      <c r="Z10107" s="8" t="s">
        <v>43396</v>
      </c>
    </row>
    <row r="10108" spans="1:26" x14ac:dyDescent="0.2">
      <c r="A10108" s="8">
        <v>10107</v>
      </c>
      <c r="B10108" s="8" t="s">
        <v>43397</v>
      </c>
      <c r="C10108" s="8" t="s">
        <v>43397</v>
      </c>
      <c r="G10108" s="8">
        <v>20</v>
      </c>
      <c r="H10108" s="8" t="s">
        <v>21</v>
      </c>
      <c r="I10108" s="8" t="s">
        <v>22</v>
      </c>
      <c r="J10108" s="8" t="s">
        <v>22</v>
      </c>
      <c r="K10108" s="8" t="s">
        <v>64</v>
      </c>
      <c r="L10108" s="8" t="s">
        <v>11551</v>
      </c>
      <c r="M10108" s="8" t="s">
        <v>11552</v>
      </c>
      <c r="N10108" s="8" t="s">
        <v>43398</v>
      </c>
      <c r="O10108" s="8">
        <f>8+18/60+1.5/3600</f>
        <v>8.300416666666667</v>
      </c>
      <c r="P10108" s="8" t="s">
        <v>43399</v>
      </c>
      <c r="Q10108" s="8">
        <f>+(24+44/60+10/3600)</f>
        <v>24.736111111111111</v>
      </c>
      <c r="R10108" s="8">
        <v>14.1</v>
      </c>
      <c r="S10108" s="8">
        <v>14.8</v>
      </c>
      <c r="T10108" s="8">
        <v>0.7</v>
      </c>
      <c r="U10108" s="8">
        <v>13.5</v>
      </c>
      <c r="V10108" s="8">
        <v>2.1</v>
      </c>
      <c r="W10108" s="8">
        <v>0.3</v>
      </c>
      <c r="X10108" s="8">
        <v>153</v>
      </c>
      <c r="Y10108" s="8" t="s">
        <v>21</v>
      </c>
      <c r="Z10108" s="8" t="s">
        <v>43400</v>
      </c>
    </row>
    <row r="10109" spans="1:26" x14ac:dyDescent="0.2">
      <c r="A10109" s="8">
        <v>10108</v>
      </c>
      <c r="B10109" s="8" t="s">
        <v>43401</v>
      </c>
      <c r="C10109" s="8" t="s">
        <v>43401</v>
      </c>
      <c r="G10109" s="8">
        <v>20</v>
      </c>
      <c r="H10109" s="8" t="s">
        <v>21</v>
      </c>
      <c r="I10109" s="8" t="s">
        <v>22</v>
      </c>
      <c r="J10109" s="8" t="s">
        <v>22</v>
      </c>
      <c r="K10109" s="8" t="s">
        <v>424</v>
      </c>
      <c r="L10109" s="8" t="s">
        <v>11551</v>
      </c>
      <c r="M10109" s="8" t="s">
        <v>11552</v>
      </c>
      <c r="N10109" s="8" t="s">
        <v>43402</v>
      </c>
      <c r="O10109" s="8">
        <f>8+18/60+6.5/3600</f>
        <v>8.301805555555557</v>
      </c>
      <c r="P10109" s="8" t="s">
        <v>43403</v>
      </c>
      <c r="Q10109" s="8">
        <f>+(24+47/60+46/3600)</f>
        <v>24.796111111111113</v>
      </c>
      <c r="R10109" s="8">
        <v>14.5</v>
      </c>
      <c r="S10109" s="8">
        <v>15.5</v>
      </c>
      <c r="T10109" s="8">
        <v>1</v>
      </c>
      <c r="U10109" s="8">
        <v>10.9</v>
      </c>
      <c r="V10109" s="8">
        <v>0.2</v>
      </c>
      <c r="W10109" s="8">
        <v>0.2</v>
      </c>
      <c r="Y10109" s="8" t="s">
        <v>2171</v>
      </c>
      <c r="Z10109" s="8" t="s">
        <v>2172</v>
      </c>
    </row>
    <row r="10110" spans="1:26" x14ac:dyDescent="0.2">
      <c r="A10110" s="8">
        <v>10109</v>
      </c>
      <c r="B10110" s="8" t="s">
        <v>43404</v>
      </c>
      <c r="C10110" s="8" t="s">
        <v>43404</v>
      </c>
      <c r="G10110" s="8">
        <v>20</v>
      </c>
      <c r="H10110" s="8" t="s">
        <v>21</v>
      </c>
      <c r="I10110" s="8" t="s">
        <v>22</v>
      </c>
      <c r="J10110" s="8" t="s">
        <v>22</v>
      </c>
      <c r="K10110" s="8" t="s">
        <v>449</v>
      </c>
      <c r="L10110" s="8" t="s">
        <v>11551</v>
      </c>
      <c r="M10110" s="8" t="s">
        <v>11552</v>
      </c>
      <c r="N10110" s="8" t="s">
        <v>43405</v>
      </c>
      <c r="O10110" s="8">
        <f>8+18/60+8.6/3600</f>
        <v>8.3023888888888902</v>
      </c>
      <c r="P10110" s="8" t="s">
        <v>43406</v>
      </c>
      <c r="Q10110" s="8">
        <f>+(23+2/60+50/3600)</f>
        <v>23.047222222222224</v>
      </c>
      <c r="R10110" s="8">
        <v>14.8</v>
      </c>
      <c r="S10110" s="8">
        <v>15.6</v>
      </c>
      <c r="T10110" s="8">
        <v>0.8</v>
      </c>
      <c r="U10110" s="8">
        <v>11.4</v>
      </c>
      <c r="V10110" s="8">
        <v>0.5</v>
      </c>
      <c r="W10110" s="8">
        <v>0.1</v>
      </c>
      <c r="X10110" s="8">
        <v>30</v>
      </c>
      <c r="Y10110" s="8" t="s">
        <v>43407</v>
      </c>
      <c r="Z10110" s="8" t="s">
        <v>43408</v>
      </c>
    </row>
    <row r="10111" spans="1:26" x14ac:dyDescent="0.2">
      <c r="A10111" s="8">
        <v>10110</v>
      </c>
      <c r="B10111" s="8" t="s">
        <v>43409</v>
      </c>
      <c r="C10111" s="8" t="s">
        <v>43409</v>
      </c>
      <c r="G10111" s="8">
        <v>20</v>
      </c>
      <c r="H10111" s="8" t="s">
        <v>21</v>
      </c>
      <c r="I10111" s="8" t="s">
        <v>72</v>
      </c>
      <c r="J10111" s="8" t="s">
        <v>72</v>
      </c>
      <c r="K10111" s="8" t="s">
        <v>73</v>
      </c>
      <c r="L10111" s="8" t="s">
        <v>11551</v>
      </c>
      <c r="M10111" s="8" t="s">
        <v>11552</v>
      </c>
      <c r="N10111" s="8" t="s">
        <v>43410</v>
      </c>
      <c r="O10111" s="8">
        <f>8+18/60+0.4/3600</f>
        <v>8.3001111111111125</v>
      </c>
      <c r="P10111" s="8" t="s">
        <v>43411</v>
      </c>
      <c r="Q10111" s="8">
        <f>+(19+5/60+52/3600)</f>
        <v>19.097777777777775</v>
      </c>
      <c r="R10111" s="8">
        <v>99</v>
      </c>
      <c r="S10111" s="8">
        <v>99</v>
      </c>
      <c r="T10111" s="8">
        <v>99</v>
      </c>
      <c r="U10111" s="8">
        <v>99</v>
      </c>
      <c r="Y10111" s="8" t="s">
        <v>21</v>
      </c>
      <c r="Z10111" s="8" t="s">
        <v>43412</v>
      </c>
    </row>
    <row r="10112" spans="1:26" x14ac:dyDescent="0.2">
      <c r="A10112" s="8">
        <v>10111</v>
      </c>
      <c r="B10112" s="8" t="s">
        <v>43413</v>
      </c>
      <c r="C10112" s="8" t="s">
        <v>43413</v>
      </c>
      <c r="G10112" s="8">
        <v>20</v>
      </c>
      <c r="H10112" s="8" t="s">
        <v>21</v>
      </c>
      <c r="I10112" s="8" t="s">
        <v>22</v>
      </c>
      <c r="J10112" s="8" t="s">
        <v>22</v>
      </c>
      <c r="K10112" s="8" t="s">
        <v>424</v>
      </c>
      <c r="L10112" s="8" t="s">
        <v>11551</v>
      </c>
      <c r="M10112" s="8" t="s">
        <v>11552</v>
      </c>
      <c r="N10112" s="8" t="s">
        <v>43414</v>
      </c>
      <c r="O10112" s="8">
        <f>8+18/60+19.7/3600</f>
        <v>8.3054722222222228</v>
      </c>
      <c r="P10112" s="8" t="s">
        <v>43415</v>
      </c>
      <c r="Q10112" s="8">
        <f>+(24+31/60+39/3600)</f>
        <v>24.5275</v>
      </c>
      <c r="R10112" s="8">
        <v>14.2</v>
      </c>
      <c r="S10112" s="8">
        <v>15.2</v>
      </c>
      <c r="T10112" s="8">
        <v>1</v>
      </c>
      <c r="U10112" s="8">
        <v>11</v>
      </c>
      <c r="V10112" s="8">
        <v>0.3</v>
      </c>
      <c r="W10112" s="8">
        <v>0.2</v>
      </c>
      <c r="X10112" s="8">
        <v>135</v>
      </c>
      <c r="Y10112" s="8" t="s">
        <v>17761</v>
      </c>
      <c r="Z10112" s="8" t="s">
        <v>17762</v>
      </c>
    </row>
    <row r="10113" spans="1:26" x14ac:dyDescent="0.2">
      <c r="A10113" s="8">
        <v>10112</v>
      </c>
      <c r="B10113" s="8" t="s">
        <v>43416</v>
      </c>
      <c r="C10113" s="8" t="s">
        <v>43416</v>
      </c>
      <c r="G10113" s="8">
        <v>20</v>
      </c>
      <c r="H10113" s="8" t="s">
        <v>21</v>
      </c>
      <c r="I10113" s="8" t="s">
        <v>72</v>
      </c>
      <c r="J10113" s="8" t="s">
        <v>72</v>
      </c>
      <c r="K10113" s="8" t="s">
        <v>73</v>
      </c>
      <c r="L10113" s="8" t="s">
        <v>11551</v>
      </c>
      <c r="M10113" s="8" t="s">
        <v>11552</v>
      </c>
      <c r="N10113" s="8" t="s">
        <v>43417</v>
      </c>
      <c r="O10113" s="8">
        <f>8+18/60+6.6/3600</f>
        <v>8.3018333333333345</v>
      </c>
      <c r="P10113" s="8" t="s">
        <v>43418</v>
      </c>
      <c r="Q10113" s="8">
        <f>+(18+44/60+4/3600)</f>
        <v>18.734444444444446</v>
      </c>
      <c r="R10113" s="8">
        <v>99</v>
      </c>
      <c r="S10113" s="8">
        <v>99</v>
      </c>
      <c r="T10113" s="8">
        <v>99</v>
      </c>
      <c r="U10113" s="8">
        <v>99</v>
      </c>
      <c r="Y10113" s="8" t="s">
        <v>43419</v>
      </c>
      <c r="Z10113" s="8" t="s">
        <v>43420</v>
      </c>
    </row>
    <row r="10114" spans="1:26" x14ac:dyDescent="0.2">
      <c r="A10114" s="8">
        <v>10113</v>
      </c>
      <c r="B10114" s="8" t="s">
        <v>43421</v>
      </c>
      <c r="C10114" s="8" t="s">
        <v>43421</v>
      </c>
      <c r="G10114" s="8">
        <v>20</v>
      </c>
      <c r="H10114" s="8" t="s">
        <v>21</v>
      </c>
      <c r="I10114" s="8" t="s">
        <v>72</v>
      </c>
      <c r="J10114" s="8" t="s">
        <v>72</v>
      </c>
      <c r="K10114" s="8" t="s">
        <v>20</v>
      </c>
      <c r="L10114" s="8" t="s">
        <v>11551</v>
      </c>
      <c r="M10114" s="8" t="s">
        <v>11552</v>
      </c>
      <c r="N10114" s="8" t="s">
        <v>43422</v>
      </c>
      <c r="O10114" s="8">
        <f>8+18/60+12.9/3600</f>
        <v>8.303583333333334</v>
      </c>
      <c r="P10114" s="8" t="s">
        <v>43423</v>
      </c>
      <c r="Q10114" s="8">
        <f>+(18+24/60+4/3600)</f>
        <v>18.40111111111111</v>
      </c>
      <c r="R10114" s="8">
        <v>99</v>
      </c>
      <c r="S10114" s="8">
        <v>99</v>
      </c>
      <c r="T10114" s="8">
        <v>99</v>
      </c>
      <c r="U10114" s="8">
        <v>99</v>
      </c>
      <c r="Y10114" s="8" t="s">
        <v>16549</v>
      </c>
      <c r="Z10114" s="8" t="s">
        <v>16550</v>
      </c>
    </row>
    <row r="10115" spans="1:26" x14ac:dyDescent="0.2">
      <c r="A10115" s="8">
        <v>10114</v>
      </c>
      <c r="B10115" s="8" t="s">
        <v>43424</v>
      </c>
      <c r="C10115" s="8" t="s">
        <v>43424</v>
      </c>
      <c r="G10115" s="8">
        <v>20</v>
      </c>
      <c r="H10115" s="8" t="s">
        <v>21</v>
      </c>
      <c r="I10115" s="8" t="s">
        <v>72</v>
      </c>
      <c r="J10115" s="8" t="s">
        <v>72</v>
      </c>
      <c r="K10115" s="8" t="s">
        <v>1802</v>
      </c>
      <c r="L10115" s="8" t="s">
        <v>11551</v>
      </c>
      <c r="M10115" s="8" t="s">
        <v>11552</v>
      </c>
      <c r="N10115" s="8" t="s">
        <v>43425</v>
      </c>
      <c r="O10115" s="8">
        <f>8+18/60+14.2/3600</f>
        <v>8.3039444444444452</v>
      </c>
      <c r="P10115" s="8" t="s">
        <v>31327</v>
      </c>
      <c r="Q10115" s="8">
        <f>+(18+39/60+56/3600)</f>
        <v>18.665555555555553</v>
      </c>
      <c r="R10115" s="8">
        <v>99</v>
      </c>
      <c r="S10115" s="8">
        <v>99</v>
      </c>
      <c r="T10115" s="8">
        <v>99</v>
      </c>
      <c r="U10115" s="8">
        <v>99</v>
      </c>
      <c r="Y10115" s="8" t="s">
        <v>21</v>
      </c>
      <c r="Z10115" s="8" t="s">
        <v>43426</v>
      </c>
    </row>
    <row r="10116" spans="1:26" x14ac:dyDescent="0.2">
      <c r="A10116" s="8">
        <v>10115</v>
      </c>
      <c r="B10116" s="8" t="s">
        <v>43427</v>
      </c>
      <c r="C10116" s="8" t="s">
        <v>43427</v>
      </c>
      <c r="G10116" s="8">
        <v>20</v>
      </c>
      <c r="H10116" s="8" t="s">
        <v>21</v>
      </c>
      <c r="I10116" s="8" t="s">
        <v>72</v>
      </c>
      <c r="J10116" s="8" t="s">
        <v>72</v>
      </c>
      <c r="K10116" s="8" t="s">
        <v>20</v>
      </c>
      <c r="L10116" s="8" t="s">
        <v>11551</v>
      </c>
      <c r="M10116" s="8" t="s">
        <v>11552</v>
      </c>
      <c r="N10116" s="8" t="s">
        <v>43428</v>
      </c>
      <c r="O10116" s="8">
        <f>8+18/60+13.7/3600</f>
        <v>8.3038055555555559</v>
      </c>
      <c r="P10116" s="8" t="s">
        <v>43429</v>
      </c>
      <c r="Q10116" s="8">
        <f>+(18+24/60+41/3600)</f>
        <v>18.411388888888887</v>
      </c>
      <c r="R10116" s="8">
        <v>99</v>
      </c>
      <c r="S10116" s="8">
        <v>99</v>
      </c>
      <c r="T10116" s="8">
        <v>99</v>
      </c>
      <c r="U10116" s="8">
        <v>99</v>
      </c>
      <c r="Y10116" s="8" t="s">
        <v>38515</v>
      </c>
      <c r="Z10116" s="8" t="s">
        <v>38516</v>
      </c>
    </row>
    <row r="10117" spans="1:26" x14ac:dyDescent="0.2">
      <c r="A10117" s="8">
        <v>10116</v>
      </c>
      <c r="B10117" s="8" t="s">
        <v>43430</v>
      </c>
      <c r="C10117" s="8" t="s">
        <v>43430</v>
      </c>
      <c r="G10117" s="8">
        <v>20</v>
      </c>
      <c r="H10117" s="8" t="s">
        <v>21</v>
      </c>
      <c r="I10117" s="8" t="s">
        <v>329</v>
      </c>
      <c r="J10117" s="8" t="s">
        <v>329</v>
      </c>
      <c r="K10117" s="8" t="s">
        <v>329</v>
      </c>
      <c r="L10117" s="8" t="s">
        <v>11551</v>
      </c>
      <c r="M10117" s="8" t="s">
        <v>11552</v>
      </c>
      <c r="N10117" s="8" t="s">
        <v>43431</v>
      </c>
      <c r="O10117" s="8">
        <f>8+18/60+29.3/3600</f>
        <v>8.3081388888888892</v>
      </c>
      <c r="P10117" s="8" t="s">
        <v>43432</v>
      </c>
      <c r="Q10117" s="8">
        <f>+(18+28/60+40/3600)</f>
        <v>18.477777777777778</v>
      </c>
      <c r="R10117" s="8">
        <v>99</v>
      </c>
      <c r="S10117" s="8">
        <v>99</v>
      </c>
      <c r="T10117" s="8">
        <v>99</v>
      </c>
      <c r="U10117" s="8">
        <v>99</v>
      </c>
      <c r="Y10117" s="8" t="s">
        <v>21</v>
      </c>
      <c r="Z10117" s="8" t="s">
        <v>43433</v>
      </c>
    </row>
    <row r="10118" spans="1:26" x14ac:dyDescent="0.2">
      <c r="A10118" s="8">
        <v>10117</v>
      </c>
      <c r="B10118" s="8" t="s">
        <v>43434</v>
      </c>
      <c r="C10118" s="8" t="s">
        <v>43434</v>
      </c>
      <c r="G10118" s="8">
        <v>20</v>
      </c>
      <c r="H10118" s="8" t="s">
        <v>21</v>
      </c>
      <c r="I10118" s="8" t="s">
        <v>72</v>
      </c>
      <c r="J10118" s="8" t="s">
        <v>72</v>
      </c>
      <c r="K10118" s="8" t="s">
        <v>20</v>
      </c>
      <c r="L10118" s="8" t="s">
        <v>11551</v>
      </c>
      <c r="M10118" s="8" t="s">
        <v>11552</v>
      </c>
      <c r="N10118" s="8" t="s">
        <v>43435</v>
      </c>
      <c r="O10118" s="8">
        <f>8+18/60+32.4/3600</f>
        <v>8.3090000000000011</v>
      </c>
      <c r="P10118" s="8" t="s">
        <v>43436</v>
      </c>
      <c r="Q10118" s="8">
        <f>+(18+39/60+0/3600)</f>
        <v>18.649999999999999</v>
      </c>
      <c r="R10118" s="8">
        <v>99</v>
      </c>
      <c r="S10118" s="8">
        <v>14.6</v>
      </c>
      <c r="T10118" s="8">
        <v>99</v>
      </c>
      <c r="U10118" s="8">
        <v>99</v>
      </c>
      <c r="Y10118" s="8" t="s">
        <v>37014</v>
      </c>
      <c r="Z10118" s="8" t="s">
        <v>37015</v>
      </c>
    </row>
    <row r="10119" spans="1:26" x14ac:dyDescent="0.2">
      <c r="A10119" s="8">
        <v>10118</v>
      </c>
      <c r="B10119" s="8" t="s">
        <v>43437</v>
      </c>
      <c r="C10119" s="8" t="s">
        <v>43437</v>
      </c>
      <c r="G10119" s="8">
        <v>20</v>
      </c>
      <c r="H10119" s="8" t="s">
        <v>21</v>
      </c>
      <c r="I10119" s="8" t="s">
        <v>329</v>
      </c>
      <c r="J10119" s="8" t="s">
        <v>329</v>
      </c>
      <c r="K10119" s="8" t="s">
        <v>329</v>
      </c>
      <c r="L10119" s="8" t="s">
        <v>11551</v>
      </c>
      <c r="M10119" s="8" t="s">
        <v>11552</v>
      </c>
      <c r="N10119" s="8" t="s">
        <v>43438</v>
      </c>
      <c r="O10119" s="8">
        <f>8+18/60+34.5/3600</f>
        <v>8.3095833333333342</v>
      </c>
      <c r="P10119" s="8" t="s">
        <v>43439</v>
      </c>
      <c r="Q10119" s="8">
        <f>+(18+27/60+40/3600)</f>
        <v>18.461111111111112</v>
      </c>
      <c r="R10119" s="8">
        <v>99</v>
      </c>
      <c r="S10119" s="8">
        <v>99</v>
      </c>
      <c r="T10119" s="8">
        <v>99</v>
      </c>
      <c r="U10119" s="8">
        <v>99</v>
      </c>
      <c r="Y10119" s="8" t="s">
        <v>21</v>
      </c>
      <c r="Z10119" s="8" t="s">
        <v>43440</v>
      </c>
    </row>
    <row r="10120" spans="1:26" x14ac:dyDescent="0.2">
      <c r="A10120" s="8">
        <v>10119</v>
      </c>
      <c r="B10120" s="8" t="s">
        <v>43441</v>
      </c>
      <c r="C10120" s="8" t="s">
        <v>43441</v>
      </c>
      <c r="G10120" s="8">
        <v>20</v>
      </c>
      <c r="H10120" s="8" t="s">
        <v>21</v>
      </c>
      <c r="I10120" s="8" t="s">
        <v>72</v>
      </c>
      <c r="J10120" s="8" t="s">
        <v>72</v>
      </c>
      <c r="K10120" s="8" t="s">
        <v>20</v>
      </c>
      <c r="L10120" s="8" t="s">
        <v>11551</v>
      </c>
      <c r="M10120" s="8" t="s">
        <v>11552</v>
      </c>
      <c r="N10120" s="8" t="s">
        <v>43442</v>
      </c>
      <c r="O10120" s="8">
        <f>8+18/60+35.5/3600</f>
        <v>8.3098611111111111</v>
      </c>
      <c r="P10120" s="8" t="s">
        <v>43443</v>
      </c>
      <c r="Q10120" s="8">
        <f>+(18+34/60+7/3600)</f>
        <v>18.56861111111111</v>
      </c>
      <c r="R10120" s="8">
        <v>99</v>
      </c>
      <c r="S10120" s="8">
        <v>99</v>
      </c>
      <c r="T10120" s="8">
        <v>99</v>
      </c>
      <c r="U10120" s="8">
        <v>99</v>
      </c>
      <c r="Y10120" s="8" t="s">
        <v>33652</v>
      </c>
      <c r="Z10120" s="8" t="s">
        <v>33653</v>
      </c>
    </row>
    <row r="10121" spans="1:26" x14ac:dyDescent="0.2">
      <c r="A10121" s="8">
        <v>10120</v>
      </c>
      <c r="B10121" s="8" t="s">
        <v>43444</v>
      </c>
      <c r="C10121" s="8" t="s">
        <v>43444</v>
      </c>
      <c r="G10121" s="8">
        <v>20</v>
      </c>
      <c r="H10121" s="8" t="s">
        <v>21</v>
      </c>
      <c r="I10121" s="8" t="s">
        <v>72</v>
      </c>
      <c r="J10121" s="8" t="s">
        <v>72</v>
      </c>
      <c r="K10121" s="8" t="s">
        <v>20</v>
      </c>
      <c r="L10121" s="8" t="s">
        <v>11551</v>
      </c>
      <c r="M10121" s="8" t="s">
        <v>11552</v>
      </c>
      <c r="N10121" s="8" t="s">
        <v>43445</v>
      </c>
      <c r="O10121" s="8">
        <f>8+18/60+38.5/3600</f>
        <v>8.3106944444444455</v>
      </c>
      <c r="P10121" s="8" t="s">
        <v>43446</v>
      </c>
      <c r="Q10121" s="8">
        <f>+(18+27/60+1/3600)</f>
        <v>18.450277777777778</v>
      </c>
      <c r="R10121" s="8">
        <v>99</v>
      </c>
      <c r="S10121" s="8">
        <v>99</v>
      </c>
      <c r="T10121" s="8">
        <v>99</v>
      </c>
      <c r="U10121" s="8">
        <v>99</v>
      </c>
      <c r="Y10121" s="8" t="s">
        <v>21</v>
      </c>
      <c r="Z10121" s="8" t="s">
        <v>43447</v>
      </c>
    </row>
    <row r="10122" spans="1:26" x14ac:dyDescent="0.2">
      <c r="A10122" s="8">
        <v>10121</v>
      </c>
      <c r="B10122" s="8" t="s">
        <v>43448</v>
      </c>
      <c r="C10122" s="8" t="s">
        <v>43448</v>
      </c>
      <c r="G10122" s="8">
        <v>20</v>
      </c>
      <c r="H10122" s="8" t="s">
        <v>21</v>
      </c>
      <c r="I10122" s="8" t="s">
        <v>72</v>
      </c>
      <c r="J10122" s="8" t="s">
        <v>72</v>
      </c>
      <c r="K10122" s="8" t="s">
        <v>20</v>
      </c>
      <c r="L10122" s="8" t="s">
        <v>11551</v>
      </c>
      <c r="M10122" s="8" t="s">
        <v>11552</v>
      </c>
      <c r="N10122" s="8" t="s">
        <v>43449</v>
      </c>
      <c r="O10122" s="8">
        <f>8+18/60+54.1/3600</f>
        <v>8.3150277777777788</v>
      </c>
      <c r="P10122" s="8" t="s">
        <v>43450</v>
      </c>
      <c r="Q10122" s="8">
        <f>+(18+54/60+33/3600)</f>
        <v>18.909166666666664</v>
      </c>
      <c r="R10122" s="8">
        <v>99</v>
      </c>
      <c r="S10122" s="8">
        <v>12.3</v>
      </c>
      <c r="T10122" s="8">
        <v>99</v>
      </c>
      <c r="U10122" s="8">
        <v>99</v>
      </c>
      <c r="Y10122" s="8" t="s">
        <v>21</v>
      </c>
      <c r="Z10122" s="8" t="s">
        <v>43451</v>
      </c>
    </row>
    <row r="10123" spans="1:26" x14ac:dyDescent="0.2">
      <c r="A10123" s="8">
        <v>10122</v>
      </c>
      <c r="B10123" s="8" t="s">
        <v>43452</v>
      </c>
      <c r="C10123" s="8" t="s">
        <v>43452</v>
      </c>
      <c r="G10123" s="8">
        <v>20</v>
      </c>
      <c r="H10123" s="8" t="s">
        <v>21</v>
      </c>
      <c r="I10123" s="8" t="s">
        <v>22</v>
      </c>
      <c r="J10123" s="8" t="s">
        <v>22</v>
      </c>
      <c r="K10123" s="8" t="s">
        <v>23</v>
      </c>
      <c r="L10123" s="8" t="s">
        <v>11551</v>
      </c>
      <c r="M10123" s="8" t="s">
        <v>11552</v>
      </c>
      <c r="N10123" s="8" t="s">
        <v>43453</v>
      </c>
      <c r="O10123" s="8">
        <f>8+19/60+15.6/3600</f>
        <v>8.3209999999999997</v>
      </c>
      <c r="P10123" s="8" t="s">
        <v>43454</v>
      </c>
      <c r="Q10123" s="8">
        <f>+(24+47/60+35/3600)</f>
        <v>24.793055555555558</v>
      </c>
      <c r="R10123" s="8">
        <v>13.9</v>
      </c>
      <c r="S10123" s="8">
        <v>14.7</v>
      </c>
      <c r="T10123" s="8">
        <v>0.8</v>
      </c>
      <c r="U10123" s="8">
        <v>13.5</v>
      </c>
      <c r="V10123" s="8">
        <v>1</v>
      </c>
      <c r="W10123" s="8">
        <v>0.8</v>
      </c>
      <c r="Y10123" s="8" t="s">
        <v>43455</v>
      </c>
      <c r="Z10123" s="8" t="s">
        <v>43456</v>
      </c>
    </row>
    <row r="10124" spans="1:26" x14ac:dyDescent="0.2">
      <c r="A10124" s="8">
        <v>10123</v>
      </c>
      <c r="B10124" s="8" t="s">
        <v>43457</v>
      </c>
      <c r="C10124" s="8" t="s">
        <v>43457</v>
      </c>
      <c r="G10124" s="8">
        <v>20</v>
      </c>
      <c r="H10124" s="8" t="s">
        <v>21</v>
      </c>
      <c r="I10124" s="8" t="s">
        <v>72</v>
      </c>
      <c r="J10124" s="8" t="s">
        <v>72</v>
      </c>
      <c r="K10124" s="8" t="s">
        <v>20</v>
      </c>
      <c r="L10124" s="8" t="s">
        <v>11551</v>
      </c>
      <c r="M10124" s="8" t="s">
        <v>11552</v>
      </c>
      <c r="N10124" s="8" t="s">
        <v>43458</v>
      </c>
      <c r="O10124" s="8">
        <f>8+19/60+17.5/3600</f>
        <v>8.3215277777777779</v>
      </c>
      <c r="P10124" s="8" t="s">
        <v>43459</v>
      </c>
      <c r="Q10124" s="8">
        <f>+(24+47/60+11/3600)</f>
        <v>24.78638888888889</v>
      </c>
      <c r="R10124" s="8">
        <v>99</v>
      </c>
      <c r="S10124" s="8">
        <v>99</v>
      </c>
      <c r="T10124" s="8">
        <v>99</v>
      </c>
      <c r="U10124" s="8">
        <v>99</v>
      </c>
      <c r="Y10124" s="8" t="s">
        <v>21</v>
      </c>
      <c r="Z10124" s="8" t="s">
        <v>43460</v>
      </c>
    </row>
    <row r="10125" spans="1:26" x14ac:dyDescent="0.2">
      <c r="A10125" s="8">
        <v>10124</v>
      </c>
      <c r="B10125" s="8" t="s">
        <v>43461</v>
      </c>
      <c r="C10125" s="8" t="s">
        <v>43461</v>
      </c>
      <c r="G10125" s="8">
        <v>20</v>
      </c>
      <c r="H10125" s="8" t="s">
        <v>21</v>
      </c>
      <c r="I10125" s="8" t="s">
        <v>72</v>
      </c>
      <c r="J10125" s="8" t="s">
        <v>72</v>
      </c>
      <c r="K10125" s="8" t="s">
        <v>20</v>
      </c>
      <c r="L10125" s="8" t="s">
        <v>11551</v>
      </c>
      <c r="M10125" s="8" t="s">
        <v>11552</v>
      </c>
      <c r="N10125" s="8" t="s">
        <v>43462</v>
      </c>
      <c r="O10125" s="8">
        <f>8+18/60+58.7/3600</f>
        <v>8.3163055555555569</v>
      </c>
      <c r="P10125" s="8" t="s">
        <v>43463</v>
      </c>
      <c r="Q10125" s="8">
        <f>+(18+36/60+23/3600)</f>
        <v>18.60638888888889</v>
      </c>
      <c r="R10125" s="8">
        <v>99</v>
      </c>
      <c r="S10125" s="8">
        <v>99</v>
      </c>
      <c r="T10125" s="8">
        <v>99</v>
      </c>
      <c r="U10125" s="8">
        <v>99</v>
      </c>
      <c r="Y10125" s="8" t="s">
        <v>21</v>
      </c>
      <c r="Z10125" s="8" t="s">
        <v>43464</v>
      </c>
    </row>
    <row r="10126" spans="1:26" x14ac:dyDescent="0.2">
      <c r="A10126" s="8">
        <v>10125</v>
      </c>
      <c r="B10126" s="8" t="s">
        <v>43465</v>
      </c>
      <c r="C10126" s="8" t="s">
        <v>43465</v>
      </c>
      <c r="G10126" s="8">
        <v>20</v>
      </c>
      <c r="H10126" s="8" t="s">
        <v>21</v>
      </c>
      <c r="I10126" s="8" t="s">
        <v>72</v>
      </c>
      <c r="J10126" s="8" t="s">
        <v>72</v>
      </c>
      <c r="K10126" s="8" t="s">
        <v>73</v>
      </c>
      <c r="L10126" s="8" t="s">
        <v>11551</v>
      </c>
      <c r="M10126" s="8" t="s">
        <v>11552</v>
      </c>
      <c r="N10126" s="8" t="s">
        <v>43466</v>
      </c>
      <c r="O10126" s="8">
        <f>8+19/60+2.9/3600</f>
        <v>8.3174722222222215</v>
      </c>
      <c r="P10126" s="8" t="s">
        <v>43467</v>
      </c>
      <c r="Q10126" s="8">
        <f>+(18+54/60+55/3600)</f>
        <v>18.915277777777778</v>
      </c>
      <c r="R10126" s="8">
        <v>99</v>
      </c>
      <c r="S10126" s="8">
        <v>99</v>
      </c>
      <c r="T10126" s="8">
        <v>99</v>
      </c>
      <c r="U10126" s="8">
        <v>99</v>
      </c>
      <c r="Y10126" s="8" t="s">
        <v>21</v>
      </c>
      <c r="Z10126" s="8" t="s">
        <v>43468</v>
      </c>
    </row>
    <row r="10127" spans="1:26" x14ac:dyDescent="0.2">
      <c r="A10127" s="8">
        <v>10126</v>
      </c>
      <c r="B10127" s="8" t="s">
        <v>43469</v>
      </c>
      <c r="C10127" s="8" t="s">
        <v>43469</v>
      </c>
      <c r="G10127" s="8">
        <v>20</v>
      </c>
      <c r="H10127" s="8" t="s">
        <v>21</v>
      </c>
      <c r="I10127" s="8" t="s">
        <v>72</v>
      </c>
      <c r="J10127" s="8" t="s">
        <v>72</v>
      </c>
      <c r="K10127" s="8" t="s">
        <v>20</v>
      </c>
      <c r="L10127" s="8" t="s">
        <v>11551</v>
      </c>
      <c r="M10127" s="8" t="s">
        <v>11552</v>
      </c>
      <c r="N10127" s="8" t="s">
        <v>43470</v>
      </c>
      <c r="O10127" s="8">
        <f>8+19/60+4.1/3600</f>
        <v>8.3178055555555552</v>
      </c>
      <c r="P10127" s="8" t="s">
        <v>43471</v>
      </c>
      <c r="Q10127" s="8">
        <f>+(18+57/60+22/3600)</f>
        <v>18.95611111111111</v>
      </c>
      <c r="R10127" s="8">
        <v>99</v>
      </c>
      <c r="S10127" s="8">
        <v>15.4</v>
      </c>
      <c r="T10127" s="8">
        <v>99</v>
      </c>
      <c r="U10127" s="8">
        <v>99</v>
      </c>
      <c r="Y10127" s="8" t="s">
        <v>43472</v>
      </c>
      <c r="Z10127" s="8" t="s">
        <v>43473</v>
      </c>
    </row>
    <row r="10128" spans="1:26" x14ac:dyDescent="0.2">
      <c r="A10128" s="8">
        <v>10127</v>
      </c>
      <c r="B10128" s="8" t="s">
        <v>43474</v>
      </c>
      <c r="C10128" s="8" t="s">
        <v>43474</v>
      </c>
      <c r="G10128" s="8">
        <v>20</v>
      </c>
      <c r="H10128" s="8" t="s">
        <v>21</v>
      </c>
      <c r="I10128" s="8" t="s">
        <v>72</v>
      </c>
      <c r="J10128" s="8" t="s">
        <v>72</v>
      </c>
      <c r="K10128" s="8" t="s">
        <v>20</v>
      </c>
      <c r="L10128" s="8" t="s">
        <v>11551</v>
      </c>
      <c r="M10128" s="8" t="s">
        <v>11552</v>
      </c>
      <c r="N10128" s="8" t="s">
        <v>43475</v>
      </c>
      <c r="O10128" s="8">
        <f>8+19/60+7.6/3600</f>
        <v>8.3187777777777772</v>
      </c>
      <c r="P10128" s="8" t="s">
        <v>43476</v>
      </c>
      <c r="Q10128" s="8">
        <f>+(19+24/60+0/3600)</f>
        <v>19.399999999999999</v>
      </c>
      <c r="R10128" s="8">
        <v>99</v>
      </c>
      <c r="S10128" s="8">
        <v>99</v>
      </c>
      <c r="T10128" s="8">
        <v>99</v>
      </c>
      <c r="U10128" s="8">
        <v>99</v>
      </c>
      <c r="Y10128" s="8" t="s">
        <v>43477</v>
      </c>
      <c r="Z10128" s="8" t="s">
        <v>43478</v>
      </c>
    </row>
    <row r="10129" spans="1:26" x14ac:dyDescent="0.2">
      <c r="A10129" s="8">
        <v>10128</v>
      </c>
      <c r="B10129" s="8" t="s">
        <v>43479</v>
      </c>
      <c r="C10129" s="8" t="s">
        <v>43479</v>
      </c>
      <c r="G10129" s="8">
        <v>20</v>
      </c>
      <c r="H10129" s="8" t="s">
        <v>21</v>
      </c>
      <c r="I10129" s="8" t="s">
        <v>22</v>
      </c>
      <c r="J10129" s="8" t="s">
        <v>22</v>
      </c>
      <c r="K10129" s="8" t="s">
        <v>396</v>
      </c>
      <c r="L10129" s="8" t="s">
        <v>11551</v>
      </c>
      <c r="M10129" s="8" t="s">
        <v>11552</v>
      </c>
      <c r="N10129" s="8" t="s">
        <v>43480</v>
      </c>
      <c r="O10129" s="8">
        <f>8+19/60+22.3/3600</f>
        <v>8.322861111111111</v>
      </c>
      <c r="P10129" s="8" t="s">
        <v>43481</v>
      </c>
      <c r="Q10129" s="8">
        <f>+(23+44/60+50/3600)</f>
        <v>23.747222222222224</v>
      </c>
      <c r="R10129" s="8">
        <v>14.8</v>
      </c>
      <c r="S10129" s="8">
        <v>15.6</v>
      </c>
      <c r="T10129" s="8">
        <v>0.8</v>
      </c>
      <c r="U10129" s="8">
        <v>12.8</v>
      </c>
      <c r="V10129" s="8">
        <v>0.6</v>
      </c>
      <c r="W10129" s="8">
        <v>0.3</v>
      </c>
      <c r="X10129" s="8">
        <v>70</v>
      </c>
      <c r="Y10129" s="8" t="s">
        <v>43482</v>
      </c>
      <c r="Z10129" s="8" t="s">
        <v>43483</v>
      </c>
    </row>
    <row r="10130" spans="1:26" x14ac:dyDescent="0.2">
      <c r="A10130" s="8">
        <v>10129</v>
      </c>
      <c r="B10130" s="8" t="s">
        <v>43484</v>
      </c>
      <c r="C10130" s="8" t="s">
        <v>43484</v>
      </c>
      <c r="G10130" s="8">
        <v>20</v>
      </c>
      <c r="H10130" s="8" t="s">
        <v>21</v>
      </c>
      <c r="I10130" s="8" t="s">
        <v>72</v>
      </c>
      <c r="J10130" s="8" t="s">
        <v>72</v>
      </c>
      <c r="K10130" s="8" t="s">
        <v>20</v>
      </c>
      <c r="L10130" s="8" t="s">
        <v>11551</v>
      </c>
      <c r="M10130" s="8" t="s">
        <v>11552</v>
      </c>
      <c r="N10130" s="8" t="s">
        <v>43485</v>
      </c>
      <c r="O10130" s="8">
        <f>8+19/60+7.8/3600</f>
        <v>8.318833333333334</v>
      </c>
      <c r="P10130" s="8" t="s">
        <v>43486</v>
      </c>
      <c r="Q10130" s="8">
        <f>+(18+29/60+54/3600)</f>
        <v>18.498333333333335</v>
      </c>
      <c r="R10130" s="8">
        <v>99</v>
      </c>
      <c r="S10130" s="8">
        <v>99</v>
      </c>
      <c r="T10130" s="8">
        <v>99</v>
      </c>
      <c r="U10130" s="8">
        <v>99</v>
      </c>
      <c r="Y10130" s="8" t="s">
        <v>43487</v>
      </c>
      <c r="Z10130" s="8" t="s">
        <v>43488</v>
      </c>
    </row>
    <row r="10131" spans="1:26" x14ac:dyDescent="0.2">
      <c r="A10131" s="8">
        <v>10130</v>
      </c>
      <c r="B10131" s="8" t="s">
        <v>43489</v>
      </c>
      <c r="C10131" s="8" t="s">
        <v>43489</v>
      </c>
      <c r="G10131" s="8">
        <v>20</v>
      </c>
      <c r="H10131" s="8" t="s">
        <v>21</v>
      </c>
      <c r="I10131" s="8" t="s">
        <v>22</v>
      </c>
      <c r="J10131" s="8" t="s">
        <v>22</v>
      </c>
      <c r="K10131" s="8" t="s">
        <v>382</v>
      </c>
      <c r="L10131" s="8" t="s">
        <v>11551</v>
      </c>
      <c r="M10131" s="8" t="s">
        <v>11552</v>
      </c>
      <c r="N10131" s="8" t="s">
        <v>43490</v>
      </c>
      <c r="O10131" s="8">
        <f>8+19/60+15.7/3600</f>
        <v>8.3210277777777772</v>
      </c>
      <c r="P10131" s="8" t="s">
        <v>43491</v>
      </c>
      <c r="Q10131" s="8">
        <f>+(19+18/60+49/3600)</f>
        <v>19.313611111111111</v>
      </c>
      <c r="R10131" s="8">
        <v>14.3</v>
      </c>
      <c r="S10131" s="8">
        <v>15.3</v>
      </c>
      <c r="T10131" s="8">
        <v>1</v>
      </c>
      <c r="U10131" s="8">
        <v>12.1</v>
      </c>
      <c r="V10131" s="8">
        <v>0.4</v>
      </c>
      <c r="W10131" s="8">
        <v>0.3</v>
      </c>
      <c r="X10131" s="8">
        <v>150</v>
      </c>
      <c r="Y10131" s="8" t="s">
        <v>43492</v>
      </c>
      <c r="Z10131" s="8" t="s">
        <v>43493</v>
      </c>
    </row>
    <row r="10132" spans="1:26" x14ac:dyDescent="0.2">
      <c r="A10132" s="8">
        <v>10131</v>
      </c>
      <c r="B10132" s="8" t="s">
        <v>43494</v>
      </c>
      <c r="C10132" s="8" t="s">
        <v>43494</v>
      </c>
      <c r="G10132" s="8">
        <v>20</v>
      </c>
      <c r="H10132" s="8" t="s">
        <v>21</v>
      </c>
      <c r="I10132" s="8" t="s">
        <v>72</v>
      </c>
      <c r="J10132" s="8" t="s">
        <v>72</v>
      </c>
      <c r="K10132" s="8" t="s">
        <v>20</v>
      </c>
      <c r="L10132" s="8" t="s">
        <v>11551</v>
      </c>
      <c r="M10132" s="8" t="s">
        <v>11552</v>
      </c>
      <c r="N10132" s="8" t="s">
        <v>43495</v>
      </c>
      <c r="O10132" s="8">
        <f>8+19/60+18.2/3600</f>
        <v>8.3217222222222222</v>
      </c>
      <c r="P10132" s="8" t="s">
        <v>43496</v>
      </c>
      <c r="Q10132" s="8">
        <f>+(18+30/60+30/3600)</f>
        <v>18.508333333333333</v>
      </c>
      <c r="R10132" s="8">
        <v>99</v>
      </c>
      <c r="S10132" s="8">
        <v>99</v>
      </c>
      <c r="T10132" s="8">
        <v>99</v>
      </c>
      <c r="U10132" s="8">
        <v>99</v>
      </c>
      <c r="Y10132" s="8" t="s">
        <v>43497</v>
      </c>
      <c r="Z10132" s="8" t="s">
        <v>43498</v>
      </c>
    </row>
    <row r="10133" spans="1:26" x14ac:dyDescent="0.2">
      <c r="A10133" s="8">
        <v>10132</v>
      </c>
      <c r="B10133" s="8" t="s">
        <v>43499</v>
      </c>
      <c r="C10133" s="8" t="s">
        <v>43499</v>
      </c>
      <c r="G10133" s="8">
        <v>20</v>
      </c>
      <c r="H10133" s="8" t="s">
        <v>21</v>
      </c>
      <c r="I10133" s="8" t="s">
        <v>72</v>
      </c>
      <c r="J10133" s="8" t="s">
        <v>72</v>
      </c>
      <c r="K10133" s="8" t="s">
        <v>20</v>
      </c>
      <c r="L10133" s="8" t="s">
        <v>11551</v>
      </c>
      <c r="M10133" s="8" t="s">
        <v>11552</v>
      </c>
      <c r="N10133" s="8" t="s">
        <v>43500</v>
      </c>
      <c r="O10133" s="8">
        <f>8+19/60+22/3600</f>
        <v>8.3227777777777767</v>
      </c>
      <c r="P10133" s="8" t="s">
        <v>43501</v>
      </c>
      <c r="Q10133" s="8">
        <f>+(19+33/60+47/3600)</f>
        <v>19.563055555555557</v>
      </c>
      <c r="R10133" s="8">
        <v>99</v>
      </c>
      <c r="S10133" s="8">
        <v>99</v>
      </c>
      <c r="T10133" s="8">
        <v>99</v>
      </c>
      <c r="U10133" s="8">
        <v>99</v>
      </c>
      <c r="Y10133" s="8" t="s">
        <v>43502</v>
      </c>
      <c r="Z10133" s="8" t="s">
        <v>43503</v>
      </c>
    </row>
    <row r="10134" spans="1:26" x14ac:dyDescent="0.2">
      <c r="A10134" s="8">
        <v>10133</v>
      </c>
      <c r="B10134" s="8" t="s">
        <v>43504</v>
      </c>
      <c r="C10134" s="8" t="s">
        <v>43504</v>
      </c>
      <c r="G10134" s="8">
        <v>20</v>
      </c>
      <c r="H10134" s="8" t="s">
        <v>21</v>
      </c>
      <c r="I10134" s="8" t="s">
        <v>22</v>
      </c>
      <c r="J10134" s="8" t="s">
        <v>22</v>
      </c>
      <c r="K10134" s="8" t="s">
        <v>31</v>
      </c>
      <c r="L10134" s="8" t="s">
        <v>11551</v>
      </c>
      <c r="M10134" s="8" t="s">
        <v>11552</v>
      </c>
      <c r="N10134" s="8" t="s">
        <v>43505</v>
      </c>
      <c r="O10134" s="8">
        <f>8+19/60+32.1/3600</f>
        <v>8.3255833333333324</v>
      </c>
      <c r="P10134" s="8" t="s">
        <v>43506</v>
      </c>
      <c r="Q10134" s="8">
        <f>+(21+23/60+40/3600)</f>
        <v>21.394444444444446</v>
      </c>
      <c r="R10134" s="8">
        <v>14</v>
      </c>
      <c r="S10134" s="8">
        <v>14.8</v>
      </c>
      <c r="T10134" s="8">
        <v>0.8</v>
      </c>
      <c r="U10134" s="8">
        <v>13.4</v>
      </c>
      <c r="V10134" s="8">
        <v>0.9</v>
      </c>
      <c r="W10134" s="8">
        <v>0.7</v>
      </c>
      <c r="X10134" s="8">
        <v>123</v>
      </c>
      <c r="Y10134" s="8" t="s">
        <v>40926</v>
      </c>
      <c r="Z10134" s="8" t="s">
        <v>40927</v>
      </c>
    </row>
    <row r="10135" spans="1:26" x14ac:dyDescent="0.2">
      <c r="A10135" s="8">
        <v>10134</v>
      </c>
      <c r="B10135" s="8" t="s">
        <v>43507</v>
      </c>
      <c r="C10135" s="8" t="s">
        <v>43507</v>
      </c>
      <c r="G10135" s="8">
        <v>20</v>
      </c>
      <c r="H10135" s="8" t="s">
        <v>21</v>
      </c>
      <c r="I10135" s="8" t="s">
        <v>72</v>
      </c>
      <c r="J10135" s="8" t="s">
        <v>72</v>
      </c>
      <c r="K10135" s="8" t="s">
        <v>20</v>
      </c>
      <c r="L10135" s="8" t="s">
        <v>11551</v>
      </c>
      <c r="M10135" s="8" t="s">
        <v>11552</v>
      </c>
      <c r="N10135" s="8" t="s">
        <v>43508</v>
      </c>
      <c r="O10135" s="8">
        <f>8+19/60+25.9/3600</f>
        <v>8.3238611111111105</v>
      </c>
      <c r="P10135" s="8" t="s">
        <v>43509</v>
      </c>
      <c r="Q10135" s="8">
        <f>+(18+59/60+7/3600)</f>
        <v>18.985277777777778</v>
      </c>
      <c r="R10135" s="8">
        <v>99</v>
      </c>
      <c r="S10135" s="8">
        <v>99</v>
      </c>
      <c r="T10135" s="8">
        <v>99</v>
      </c>
      <c r="U10135" s="8">
        <v>99</v>
      </c>
      <c r="Y10135" s="8" t="s">
        <v>37014</v>
      </c>
      <c r="Z10135" s="8" t="s">
        <v>37015</v>
      </c>
    </row>
    <row r="10136" spans="1:26" x14ac:dyDescent="0.2">
      <c r="A10136" s="8">
        <v>10135</v>
      </c>
      <c r="B10136" s="8" t="s">
        <v>43510</v>
      </c>
      <c r="C10136" s="8" t="s">
        <v>43510</v>
      </c>
      <c r="G10136" s="8">
        <v>20</v>
      </c>
      <c r="H10136" s="8" t="s">
        <v>21</v>
      </c>
      <c r="I10136" s="8" t="s">
        <v>72</v>
      </c>
      <c r="J10136" s="8" t="s">
        <v>72</v>
      </c>
      <c r="K10136" s="8" t="s">
        <v>20</v>
      </c>
      <c r="L10136" s="8" t="s">
        <v>11551</v>
      </c>
      <c r="M10136" s="8" t="s">
        <v>11552</v>
      </c>
      <c r="N10136" s="8" t="s">
        <v>43508</v>
      </c>
      <c r="O10136" s="8">
        <f>8+19/60+25.9/3600</f>
        <v>8.3238611111111105</v>
      </c>
      <c r="P10136" s="8" t="s">
        <v>43429</v>
      </c>
      <c r="Q10136" s="8">
        <f>+(18+24/60+41/3600)</f>
        <v>18.411388888888887</v>
      </c>
      <c r="R10136" s="8">
        <v>99</v>
      </c>
      <c r="S10136" s="8">
        <v>99</v>
      </c>
      <c r="T10136" s="8">
        <v>99</v>
      </c>
      <c r="U10136" s="8">
        <v>99</v>
      </c>
      <c r="Y10136" s="8" t="s">
        <v>43511</v>
      </c>
      <c r="Z10136" s="8" t="s">
        <v>43512</v>
      </c>
    </row>
    <row r="10137" spans="1:26" x14ac:dyDescent="0.2">
      <c r="A10137" s="8">
        <v>10136</v>
      </c>
      <c r="B10137" s="8" t="s">
        <v>43513</v>
      </c>
      <c r="C10137" s="8" t="s">
        <v>43513</v>
      </c>
      <c r="G10137" s="8">
        <v>20</v>
      </c>
      <c r="H10137" s="8" t="s">
        <v>21</v>
      </c>
      <c r="I10137" s="8" t="s">
        <v>72</v>
      </c>
      <c r="J10137" s="8" t="s">
        <v>72</v>
      </c>
      <c r="K10137" s="8" t="s">
        <v>20</v>
      </c>
      <c r="L10137" s="8" t="s">
        <v>11551</v>
      </c>
      <c r="M10137" s="8" t="s">
        <v>11552</v>
      </c>
      <c r="N10137" s="8" t="s">
        <v>43514</v>
      </c>
      <c r="O10137" s="8">
        <f>8+19/60+28.5/3600</f>
        <v>8.324583333333333</v>
      </c>
      <c r="P10137" s="8" t="s">
        <v>43515</v>
      </c>
      <c r="Q10137" s="8">
        <f>+(18+53/60+55/3600)</f>
        <v>18.898611111111112</v>
      </c>
      <c r="R10137" s="8">
        <v>99</v>
      </c>
      <c r="S10137" s="8">
        <v>99</v>
      </c>
      <c r="T10137" s="8">
        <v>99</v>
      </c>
      <c r="U10137" s="8">
        <v>99</v>
      </c>
      <c r="Y10137" s="8" t="s">
        <v>43516</v>
      </c>
      <c r="Z10137" s="8" t="s">
        <v>43517</v>
      </c>
    </row>
    <row r="10138" spans="1:26" x14ac:dyDescent="0.2">
      <c r="A10138" s="8">
        <v>10137</v>
      </c>
      <c r="B10138" s="8" t="s">
        <v>43518</v>
      </c>
      <c r="C10138" s="8" t="s">
        <v>43518</v>
      </c>
      <c r="G10138" s="8">
        <v>20</v>
      </c>
      <c r="H10138" s="8" t="s">
        <v>21</v>
      </c>
      <c r="I10138" s="8" t="s">
        <v>72</v>
      </c>
      <c r="J10138" s="8" t="s">
        <v>72</v>
      </c>
      <c r="K10138" s="8" t="s">
        <v>20</v>
      </c>
      <c r="L10138" s="8" t="s">
        <v>11551</v>
      </c>
      <c r="M10138" s="8" t="s">
        <v>11552</v>
      </c>
      <c r="N10138" s="8" t="s">
        <v>43519</v>
      </c>
      <c r="O10138" s="8">
        <f>8+20/60+4.4/3600</f>
        <v>8.3345555555555553</v>
      </c>
      <c r="P10138" s="8" t="s">
        <v>43520</v>
      </c>
      <c r="Q10138" s="8">
        <f>+(18+22/60+52/3600)</f>
        <v>18.38111111111111</v>
      </c>
      <c r="R10138" s="8">
        <v>99</v>
      </c>
      <c r="S10138" s="8">
        <v>14.2</v>
      </c>
      <c r="T10138" s="8">
        <v>99</v>
      </c>
      <c r="U10138" s="8">
        <v>99</v>
      </c>
      <c r="Y10138" s="8" t="s">
        <v>43521</v>
      </c>
      <c r="Z10138" s="8" t="s">
        <v>43522</v>
      </c>
    </row>
    <row r="10139" spans="1:26" x14ac:dyDescent="0.2">
      <c r="A10139" s="8">
        <v>10138</v>
      </c>
      <c r="B10139" s="8" t="s">
        <v>43523</v>
      </c>
      <c r="C10139" s="8" t="s">
        <v>43523</v>
      </c>
      <c r="G10139" s="8">
        <v>20</v>
      </c>
      <c r="H10139" s="8" t="s">
        <v>21</v>
      </c>
      <c r="I10139" s="8" t="s">
        <v>72</v>
      </c>
      <c r="J10139" s="8" t="s">
        <v>72</v>
      </c>
      <c r="K10139" s="8" t="s">
        <v>20</v>
      </c>
      <c r="L10139" s="8" t="s">
        <v>11551</v>
      </c>
      <c r="M10139" s="8" t="s">
        <v>11552</v>
      </c>
      <c r="N10139" s="8" t="s">
        <v>43524</v>
      </c>
      <c r="O10139" s="8">
        <f>8+20/60+7.1/3600</f>
        <v>8.3353055555555553</v>
      </c>
      <c r="P10139" s="8" t="s">
        <v>43525</v>
      </c>
      <c r="Q10139" s="8">
        <f>+(18+24/60+10/3600)</f>
        <v>18.402777777777775</v>
      </c>
      <c r="R10139" s="8">
        <v>99</v>
      </c>
      <c r="S10139" s="8">
        <v>99</v>
      </c>
      <c r="T10139" s="8">
        <v>99</v>
      </c>
      <c r="U10139" s="8">
        <v>99</v>
      </c>
      <c r="Y10139" s="8" t="s">
        <v>21</v>
      </c>
      <c r="Z10139" s="8" t="s">
        <v>43526</v>
      </c>
    </row>
    <row r="10140" spans="1:26" x14ac:dyDescent="0.2">
      <c r="A10140" s="8">
        <v>10139</v>
      </c>
      <c r="B10140" s="8" t="s">
        <v>43527</v>
      </c>
      <c r="C10140" s="8" t="s">
        <v>43527</v>
      </c>
      <c r="G10140" s="8">
        <v>20</v>
      </c>
      <c r="H10140" s="8" t="s">
        <v>21</v>
      </c>
      <c r="I10140" s="8" t="s">
        <v>72</v>
      </c>
      <c r="J10140" s="8" t="s">
        <v>72</v>
      </c>
      <c r="K10140" s="8" t="s">
        <v>73</v>
      </c>
      <c r="L10140" s="8" t="s">
        <v>11551</v>
      </c>
      <c r="M10140" s="8" t="s">
        <v>11552</v>
      </c>
      <c r="N10140" s="8" t="s">
        <v>43528</v>
      </c>
      <c r="O10140" s="8">
        <f>8+20/60+9.7/3600</f>
        <v>8.3360277777777778</v>
      </c>
      <c r="P10140" s="8" t="s">
        <v>43529</v>
      </c>
      <c r="Q10140" s="8">
        <f>+(19+20/60+17/3600)</f>
        <v>19.338055555555556</v>
      </c>
      <c r="R10140" s="8">
        <v>99</v>
      </c>
      <c r="S10140" s="8">
        <v>99</v>
      </c>
      <c r="T10140" s="8">
        <v>99</v>
      </c>
      <c r="U10140" s="8">
        <v>99</v>
      </c>
      <c r="Y10140" s="8" t="s">
        <v>21</v>
      </c>
      <c r="Z10140" s="8" t="s">
        <v>43530</v>
      </c>
    </row>
    <row r="10141" spans="1:26" x14ac:dyDescent="0.2">
      <c r="A10141" s="8">
        <v>10140</v>
      </c>
      <c r="B10141" s="8" t="s">
        <v>43531</v>
      </c>
      <c r="C10141" s="8" t="s">
        <v>43531</v>
      </c>
      <c r="G10141" s="8">
        <v>20</v>
      </c>
      <c r="H10141" s="8" t="s">
        <v>21</v>
      </c>
      <c r="I10141" s="8" t="s">
        <v>72</v>
      </c>
      <c r="J10141" s="8" t="s">
        <v>72</v>
      </c>
      <c r="K10141" s="8" t="s">
        <v>20</v>
      </c>
      <c r="L10141" s="8" t="s">
        <v>11551</v>
      </c>
      <c r="M10141" s="8" t="s">
        <v>11552</v>
      </c>
      <c r="N10141" s="8" t="s">
        <v>43532</v>
      </c>
      <c r="O10141" s="8">
        <f>8+20/60+12.7/3600</f>
        <v>8.3368611111111122</v>
      </c>
      <c r="P10141" s="8" t="s">
        <v>43533</v>
      </c>
      <c r="Q10141" s="8">
        <f>+(18+25/60+12/3600)</f>
        <v>18.420000000000002</v>
      </c>
      <c r="R10141" s="8">
        <v>99</v>
      </c>
      <c r="S10141" s="8">
        <v>99</v>
      </c>
      <c r="T10141" s="8">
        <v>99</v>
      </c>
      <c r="U10141" s="8">
        <v>99</v>
      </c>
      <c r="Y10141" s="8" t="s">
        <v>21</v>
      </c>
      <c r="Z10141" s="8" t="s">
        <v>43534</v>
      </c>
    </row>
    <row r="10142" spans="1:26" x14ac:dyDescent="0.2">
      <c r="A10142" s="8">
        <v>10141</v>
      </c>
      <c r="B10142" s="8" t="s">
        <v>43535</v>
      </c>
      <c r="C10142" s="8" t="s">
        <v>43535</v>
      </c>
      <c r="G10142" s="8">
        <v>20</v>
      </c>
      <c r="H10142" s="8" t="s">
        <v>21</v>
      </c>
      <c r="I10142" s="8" t="s">
        <v>72</v>
      </c>
      <c r="J10142" s="8" t="s">
        <v>72</v>
      </c>
      <c r="K10142" s="8" t="s">
        <v>20</v>
      </c>
      <c r="L10142" s="8" t="s">
        <v>11551</v>
      </c>
      <c r="M10142" s="8" t="s">
        <v>11552</v>
      </c>
      <c r="N10142" s="8" t="s">
        <v>43536</v>
      </c>
      <c r="O10142" s="8">
        <f>8+20/60+13.9/3600</f>
        <v>8.3371944444444459</v>
      </c>
      <c r="P10142" s="8" t="s">
        <v>43537</v>
      </c>
      <c r="Q10142" s="8">
        <f>+(18+26/60+4/3600)</f>
        <v>18.434444444444445</v>
      </c>
      <c r="R10142" s="8">
        <v>99</v>
      </c>
      <c r="S10142" s="8">
        <v>99</v>
      </c>
      <c r="T10142" s="8">
        <v>99</v>
      </c>
      <c r="U10142" s="8">
        <v>99</v>
      </c>
      <c r="Y10142" s="8" t="s">
        <v>21</v>
      </c>
      <c r="Z10142" s="8" t="s">
        <v>43538</v>
      </c>
    </row>
    <row r="10143" spans="1:26" x14ac:dyDescent="0.2">
      <c r="A10143" s="8">
        <v>10142</v>
      </c>
      <c r="B10143" s="8" t="s">
        <v>43539</v>
      </c>
      <c r="C10143" s="8" t="s">
        <v>43539</v>
      </c>
      <c r="G10143" s="8">
        <v>20</v>
      </c>
      <c r="H10143" s="8" t="s">
        <v>21</v>
      </c>
      <c r="I10143" s="8" t="s">
        <v>72</v>
      </c>
      <c r="J10143" s="8" t="s">
        <v>72</v>
      </c>
      <c r="K10143" s="8" t="s">
        <v>20</v>
      </c>
      <c r="L10143" s="8" t="s">
        <v>11551</v>
      </c>
      <c r="M10143" s="8" t="s">
        <v>11552</v>
      </c>
      <c r="N10143" s="8" t="s">
        <v>43540</v>
      </c>
      <c r="O10143" s="8">
        <f>8+20/60+17.3/3600</f>
        <v>8.3381388888888903</v>
      </c>
      <c r="P10143" s="8" t="s">
        <v>43541</v>
      </c>
      <c r="Q10143" s="8">
        <f>+(19+21/60+24/3600)</f>
        <v>19.356666666666669</v>
      </c>
      <c r="R10143" s="8">
        <v>99</v>
      </c>
      <c r="S10143" s="8">
        <v>99</v>
      </c>
      <c r="T10143" s="8">
        <v>99</v>
      </c>
      <c r="U10143" s="8">
        <v>99</v>
      </c>
      <c r="Y10143" s="8" t="s">
        <v>36930</v>
      </c>
      <c r="Z10143" s="8" t="s">
        <v>36931</v>
      </c>
    </row>
    <row r="10144" spans="1:26" x14ac:dyDescent="0.2">
      <c r="A10144" s="8">
        <v>10143</v>
      </c>
      <c r="B10144" s="8" t="s">
        <v>43542</v>
      </c>
      <c r="C10144" s="8" t="s">
        <v>43542</v>
      </c>
      <c r="G10144" s="8">
        <v>20</v>
      </c>
      <c r="H10144" s="8" t="s">
        <v>21</v>
      </c>
      <c r="I10144" s="8" t="s">
        <v>72</v>
      </c>
      <c r="J10144" s="8" t="s">
        <v>72</v>
      </c>
      <c r="K10144" s="8" t="s">
        <v>20</v>
      </c>
      <c r="L10144" s="8" t="s">
        <v>11551</v>
      </c>
      <c r="M10144" s="8" t="s">
        <v>11552</v>
      </c>
      <c r="N10144" s="8" t="s">
        <v>43543</v>
      </c>
      <c r="O10144" s="8">
        <f>8+20/60+19.4/3600</f>
        <v>8.3387222222222235</v>
      </c>
      <c r="P10144" s="8" t="s">
        <v>43544</v>
      </c>
      <c r="Q10144" s="8">
        <f>+(19+25/60+9/3600)</f>
        <v>19.419166666666669</v>
      </c>
      <c r="R10144" s="8">
        <v>99</v>
      </c>
      <c r="S10144" s="8">
        <v>99</v>
      </c>
      <c r="T10144" s="8">
        <v>99</v>
      </c>
      <c r="U10144" s="8">
        <v>99</v>
      </c>
      <c r="Y10144" s="8" t="s">
        <v>43545</v>
      </c>
      <c r="Z10144" s="8" t="s">
        <v>43546</v>
      </c>
    </row>
    <row r="10145" spans="1:26" x14ac:dyDescent="0.2">
      <c r="A10145" s="8">
        <v>10144</v>
      </c>
      <c r="B10145" s="8" t="s">
        <v>43547</v>
      </c>
      <c r="C10145" s="8" t="s">
        <v>43547</v>
      </c>
      <c r="G10145" s="8">
        <v>20</v>
      </c>
      <c r="H10145" s="8" t="s">
        <v>21</v>
      </c>
      <c r="I10145" s="8" t="s">
        <v>72</v>
      </c>
      <c r="J10145" s="8" t="s">
        <v>72</v>
      </c>
      <c r="K10145" s="8" t="s">
        <v>73</v>
      </c>
      <c r="L10145" s="8" t="s">
        <v>11551</v>
      </c>
      <c r="M10145" s="8" t="s">
        <v>11552</v>
      </c>
      <c r="N10145" s="8" t="s">
        <v>43548</v>
      </c>
      <c r="O10145" s="8">
        <f>8+20/60+35.8/3600</f>
        <v>8.3432777777777787</v>
      </c>
      <c r="P10145" s="8" t="s">
        <v>43549</v>
      </c>
      <c r="Q10145" s="8">
        <f>+(19+26/60+22/3600)</f>
        <v>19.439444444444444</v>
      </c>
      <c r="R10145" s="8">
        <v>99</v>
      </c>
      <c r="S10145" s="8">
        <v>99</v>
      </c>
      <c r="T10145" s="8">
        <v>99</v>
      </c>
      <c r="U10145" s="8">
        <v>99</v>
      </c>
      <c r="Y10145" s="8" t="s">
        <v>43550</v>
      </c>
      <c r="Z10145" s="8" t="s">
        <v>43551</v>
      </c>
    </row>
    <row r="10146" spans="1:26" x14ac:dyDescent="0.2">
      <c r="A10146" s="8">
        <v>10145</v>
      </c>
      <c r="B10146" s="8" t="s">
        <v>43552</v>
      </c>
      <c r="C10146" s="8" t="s">
        <v>43552</v>
      </c>
      <c r="G10146" s="8">
        <v>20</v>
      </c>
      <c r="H10146" s="8" t="s">
        <v>21</v>
      </c>
      <c r="I10146" s="8" t="s">
        <v>72</v>
      </c>
      <c r="J10146" s="8" t="s">
        <v>72</v>
      </c>
      <c r="K10146" s="8" t="s">
        <v>20</v>
      </c>
      <c r="L10146" s="8" t="s">
        <v>11551</v>
      </c>
      <c r="M10146" s="8" t="s">
        <v>11552</v>
      </c>
      <c r="N10146" s="8" t="s">
        <v>43553</v>
      </c>
      <c r="O10146" s="8">
        <f>8+20/60+40.2/3600</f>
        <v>8.3445</v>
      </c>
      <c r="P10146" s="8" t="s">
        <v>43554</v>
      </c>
      <c r="Q10146" s="8">
        <f>+(19+27/60+10/3600)</f>
        <v>19.452777777777776</v>
      </c>
      <c r="R10146" s="8">
        <v>99</v>
      </c>
      <c r="S10146" s="8">
        <v>99</v>
      </c>
      <c r="T10146" s="8">
        <v>99</v>
      </c>
      <c r="U10146" s="8">
        <v>99</v>
      </c>
      <c r="Y10146" s="8" t="s">
        <v>43555</v>
      </c>
      <c r="Z10146" s="8" t="s">
        <v>43556</v>
      </c>
    </row>
    <row r="10147" spans="1:26" x14ac:dyDescent="0.2">
      <c r="A10147" s="8">
        <v>10146</v>
      </c>
      <c r="B10147" s="8" t="s">
        <v>43557</v>
      </c>
      <c r="C10147" s="8" t="s">
        <v>43557</v>
      </c>
      <c r="G10147" s="8">
        <v>20</v>
      </c>
      <c r="H10147" s="8" t="s">
        <v>21</v>
      </c>
      <c r="I10147" s="8" t="s">
        <v>72</v>
      </c>
      <c r="J10147" s="8" t="s">
        <v>72</v>
      </c>
      <c r="K10147" s="8" t="s">
        <v>20</v>
      </c>
      <c r="L10147" s="8" t="s">
        <v>11551</v>
      </c>
      <c r="M10147" s="8" t="s">
        <v>11552</v>
      </c>
      <c r="N10147" s="8" t="s">
        <v>43558</v>
      </c>
      <c r="O10147" s="8">
        <f>8+20/60+39.5/3600</f>
        <v>8.3443055555555556</v>
      </c>
      <c r="P10147" s="8" t="s">
        <v>43559</v>
      </c>
      <c r="Q10147" s="8">
        <f>+(19+6/60+36/3600)</f>
        <v>19.110000000000003</v>
      </c>
      <c r="R10147" s="8">
        <v>99</v>
      </c>
      <c r="S10147" s="8">
        <v>99</v>
      </c>
      <c r="T10147" s="8">
        <v>99</v>
      </c>
      <c r="U10147" s="8">
        <v>99</v>
      </c>
      <c r="Y10147" s="8" t="s">
        <v>3952</v>
      </c>
      <c r="Z10147" s="8" t="s">
        <v>3953</v>
      </c>
    </row>
    <row r="10148" spans="1:26" x14ac:dyDescent="0.2">
      <c r="A10148" s="8">
        <v>10147</v>
      </c>
      <c r="B10148" s="8" t="s">
        <v>43560</v>
      </c>
      <c r="C10148" s="8" t="s">
        <v>43560</v>
      </c>
      <c r="G10148" s="8">
        <v>20</v>
      </c>
      <c r="H10148" s="8" t="s">
        <v>21</v>
      </c>
      <c r="I10148" s="8" t="s">
        <v>22</v>
      </c>
      <c r="J10148" s="8" t="s">
        <v>22</v>
      </c>
      <c r="K10148" s="8" t="s">
        <v>449</v>
      </c>
      <c r="L10148" s="8" t="s">
        <v>11551</v>
      </c>
      <c r="M10148" s="8" t="s">
        <v>11552</v>
      </c>
      <c r="N10148" s="8" t="s">
        <v>43561</v>
      </c>
      <c r="O10148" s="8">
        <f>8+20/60+42.9/3600</f>
        <v>8.3452500000000001</v>
      </c>
      <c r="P10148" s="8" t="s">
        <v>43562</v>
      </c>
      <c r="Q10148" s="8">
        <f>+(19+26/60+27/3600)</f>
        <v>19.440833333333334</v>
      </c>
      <c r="R10148" s="8">
        <v>14.5</v>
      </c>
      <c r="S10148" s="8">
        <v>15.3</v>
      </c>
      <c r="T10148" s="8">
        <v>0.8</v>
      </c>
      <c r="U10148" s="8">
        <v>12.5</v>
      </c>
      <c r="V10148" s="8">
        <v>0.6</v>
      </c>
      <c r="W10148" s="8">
        <v>0.3</v>
      </c>
      <c r="X10148" s="8">
        <v>165</v>
      </c>
      <c r="Y10148" s="8" t="s">
        <v>43563</v>
      </c>
      <c r="Z10148" s="8" t="s">
        <v>43564</v>
      </c>
    </row>
    <row r="10149" spans="1:26" x14ac:dyDescent="0.2">
      <c r="A10149" s="8">
        <v>10148</v>
      </c>
      <c r="B10149" s="8" t="s">
        <v>43565</v>
      </c>
      <c r="C10149" s="8" t="s">
        <v>43565</v>
      </c>
      <c r="G10149" s="8">
        <v>20</v>
      </c>
      <c r="H10149" s="8" t="s">
        <v>21</v>
      </c>
      <c r="I10149" s="8" t="s">
        <v>22</v>
      </c>
      <c r="J10149" s="8" t="s">
        <v>22</v>
      </c>
      <c r="K10149" s="8" t="s">
        <v>160</v>
      </c>
      <c r="L10149" s="8" t="s">
        <v>11551</v>
      </c>
      <c r="M10149" s="8" t="s">
        <v>11552</v>
      </c>
      <c r="N10149" s="8" t="s">
        <v>43566</v>
      </c>
      <c r="O10149" s="8">
        <f>8+20/60+45.3/3600</f>
        <v>8.3459166666666675</v>
      </c>
      <c r="P10149" s="8" t="s">
        <v>43567</v>
      </c>
      <c r="Q10149" s="8">
        <f>+(19+21/60+42/3600)</f>
        <v>19.361666666666668</v>
      </c>
      <c r="R10149" s="8">
        <v>14.9</v>
      </c>
      <c r="S10149" s="8">
        <v>15.6</v>
      </c>
      <c r="T10149" s="8">
        <v>0.7</v>
      </c>
      <c r="U10149" s="8">
        <v>12.9</v>
      </c>
      <c r="V10149" s="8">
        <v>0.6</v>
      </c>
      <c r="W10149" s="8">
        <v>0.3</v>
      </c>
      <c r="X10149" s="8">
        <v>90</v>
      </c>
      <c r="Y10149" s="8" t="s">
        <v>43568</v>
      </c>
      <c r="Z10149" s="8" t="s">
        <v>43569</v>
      </c>
    </row>
    <row r="10150" spans="1:26" x14ac:dyDescent="0.2">
      <c r="A10150" s="8">
        <v>10149</v>
      </c>
      <c r="B10150" s="8" t="s">
        <v>43570</v>
      </c>
      <c r="C10150" s="8" t="s">
        <v>43570</v>
      </c>
      <c r="G10150" s="8">
        <v>20</v>
      </c>
      <c r="H10150" s="8" t="s">
        <v>21</v>
      </c>
      <c r="I10150" s="8" t="s">
        <v>22</v>
      </c>
      <c r="J10150" s="8" t="s">
        <v>22</v>
      </c>
      <c r="K10150" s="8" t="s">
        <v>449</v>
      </c>
      <c r="L10150" s="8" t="s">
        <v>11551</v>
      </c>
      <c r="M10150" s="8" t="s">
        <v>11552</v>
      </c>
      <c r="N10150" s="8" t="s">
        <v>43571</v>
      </c>
      <c r="O10150" s="8">
        <f>8+20/60+43.6/3600</f>
        <v>8.3454444444444444</v>
      </c>
      <c r="P10150" s="8" t="s">
        <v>43572</v>
      </c>
      <c r="Q10150" s="8">
        <f>+(18+23/60+50/3600)</f>
        <v>18.397222222222222</v>
      </c>
      <c r="R10150" s="8">
        <v>14.6</v>
      </c>
      <c r="S10150" s="8">
        <v>15.4</v>
      </c>
      <c r="T10150" s="8">
        <v>0.8</v>
      </c>
      <c r="U10150" s="8">
        <v>12.5</v>
      </c>
      <c r="V10150" s="8">
        <v>0.8</v>
      </c>
      <c r="W10150" s="8">
        <v>0.2</v>
      </c>
      <c r="X10150" s="8">
        <v>5</v>
      </c>
      <c r="Y10150" s="8" t="s">
        <v>21</v>
      </c>
      <c r="Z10150" s="8" t="s">
        <v>43573</v>
      </c>
    </row>
    <row r="10151" spans="1:26" x14ac:dyDescent="0.2">
      <c r="A10151" s="8">
        <v>10150</v>
      </c>
      <c r="B10151" s="8" t="s">
        <v>43574</v>
      </c>
      <c r="C10151" s="8" t="s">
        <v>43574</v>
      </c>
      <c r="G10151" s="8">
        <v>20</v>
      </c>
      <c r="H10151" s="8" t="s">
        <v>21</v>
      </c>
      <c r="I10151" s="8" t="s">
        <v>72</v>
      </c>
      <c r="J10151" s="8" t="s">
        <v>72</v>
      </c>
      <c r="K10151" s="8" t="s">
        <v>20</v>
      </c>
      <c r="L10151" s="8" t="s">
        <v>11551</v>
      </c>
      <c r="M10151" s="8" t="s">
        <v>11552</v>
      </c>
      <c r="N10151" s="8" t="s">
        <v>43575</v>
      </c>
      <c r="O10151" s="8">
        <f>8+20/60+46.3/3600</f>
        <v>8.3461944444444445</v>
      </c>
      <c r="P10151" s="8" t="s">
        <v>43576</v>
      </c>
      <c r="Q10151" s="8">
        <f>+(18+27/60+48/3600)</f>
        <v>18.463333333333331</v>
      </c>
      <c r="R10151" s="8">
        <v>99</v>
      </c>
      <c r="S10151" s="8">
        <v>99</v>
      </c>
      <c r="T10151" s="8">
        <v>99</v>
      </c>
      <c r="U10151" s="8">
        <v>99</v>
      </c>
      <c r="Y10151" s="8" t="s">
        <v>43577</v>
      </c>
      <c r="Z10151" s="8" t="s">
        <v>43578</v>
      </c>
    </row>
    <row r="10152" spans="1:26" x14ac:dyDescent="0.2">
      <c r="A10152" s="8">
        <v>10151</v>
      </c>
      <c r="B10152" s="8" t="s">
        <v>43579</v>
      </c>
      <c r="C10152" s="8" t="s">
        <v>43579</v>
      </c>
      <c r="G10152" s="8">
        <v>20</v>
      </c>
      <c r="H10152" s="8" t="s">
        <v>21</v>
      </c>
      <c r="I10152" s="8" t="s">
        <v>22</v>
      </c>
      <c r="J10152" s="8" t="s">
        <v>22</v>
      </c>
      <c r="K10152" s="8" t="s">
        <v>460</v>
      </c>
      <c r="L10152" s="8" t="s">
        <v>10175</v>
      </c>
      <c r="M10152" s="8" t="s">
        <v>10176</v>
      </c>
      <c r="N10152" s="8" t="s">
        <v>43580</v>
      </c>
      <c r="O10152" s="8">
        <f>8+18/60+45.9/3600</f>
        <v>8.3127500000000012</v>
      </c>
      <c r="P10152" s="8" t="s">
        <v>43581</v>
      </c>
      <c r="Q10152" s="8">
        <f>-(25+22/60+12/3600)</f>
        <v>-25.37</v>
      </c>
      <c r="R10152" s="8">
        <v>11.5</v>
      </c>
      <c r="S10152" s="8">
        <v>12.5</v>
      </c>
      <c r="T10152" s="8">
        <v>1</v>
      </c>
      <c r="U10152" s="8">
        <v>13</v>
      </c>
      <c r="V10152" s="8">
        <v>1.3</v>
      </c>
      <c r="W10152" s="8">
        <v>1.3</v>
      </c>
      <c r="Y10152" s="8" t="s">
        <v>21</v>
      </c>
      <c r="Z10152" s="8" t="s">
        <v>43582</v>
      </c>
    </row>
    <row r="10153" spans="1:26" x14ac:dyDescent="0.2">
      <c r="A10153" s="8">
        <v>10152</v>
      </c>
      <c r="B10153" s="8" t="s">
        <v>43583</v>
      </c>
      <c r="C10153" s="8" t="s">
        <v>43583</v>
      </c>
      <c r="E10153" s="8">
        <v>1</v>
      </c>
      <c r="G10153" s="8">
        <v>20</v>
      </c>
      <c r="H10153" s="8" t="s">
        <v>21</v>
      </c>
      <c r="I10153" s="8" t="s">
        <v>22</v>
      </c>
      <c r="J10153" s="8" t="s">
        <v>22</v>
      </c>
      <c r="K10153" s="8" t="s">
        <v>449</v>
      </c>
      <c r="L10153" s="8" t="s">
        <v>11551</v>
      </c>
      <c r="M10153" s="8" t="s">
        <v>11552</v>
      </c>
      <c r="N10153" s="8" t="s">
        <v>43584</v>
      </c>
      <c r="O10153" s="8">
        <f>8+20/60+53.2/3600</f>
        <v>8.3481111111111126</v>
      </c>
      <c r="P10153" s="8" t="s">
        <v>43496</v>
      </c>
      <c r="Q10153" s="8">
        <f>+(18+30/60+30/3600)</f>
        <v>18.508333333333333</v>
      </c>
      <c r="R10153" s="8">
        <v>15.2</v>
      </c>
      <c r="S10153" s="8">
        <v>16</v>
      </c>
      <c r="T10153" s="8">
        <v>0.8</v>
      </c>
      <c r="U10153" s="8">
        <v>13.1</v>
      </c>
      <c r="V10153" s="8">
        <v>0.4</v>
      </c>
      <c r="W10153" s="8">
        <v>0.4</v>
      </c>
      <c r="Y10153" s="8" t="s">
        <v>43585</v>
      </c>
      <c r="Z10153" s="8" t="s">
        <v>43586</v>
      </c>
    </row>
    <row r="10154" spans="1:26" x14ac:dyDescent="0.2">
      <c r="A10154" s="8">
        <v>10153</v>
      </c>
      <c r="B10154" s="8" t="s">
        <v>43587</v>
      </c>
      <c r="C10154" s="8" t="s">
        <v>43587</v>
      </c>
      <c r="G10154" s="8">
        <v>20</v>
      </c>
      <c r="H10154" s="8" t="s">
        <v>21</v>
      </c>
      <c r="I10154" s="8" t="s">
        <v>72</v>
      </c>
      <c r="J10154" s="8" t="s">
        <v>72</v>
      </c>
      <c r="K10154" s="8" t="s">
        <v>20</v>
      </c>
      <c r="L10154" s="8" t="s">
        <v>11551</v>
      </c>
      <c r="M10154" s="8" t="s">
        <v>11552</v>
      </c>
      <c r="N10154" s="8" t="s">
        <v>43588</v>
      </c>
      <c r="O10154" s="8">
        <f>8+20/60+54.6/3600</f>
        <v>8.3485000000000014</v>
      </c>
      <c r="P10154" s="8" t="s">
        <v>43589</v>
      </c>
      <c r="Q10154" s="8">
        <f>+(18+30/60+52/3600)</f>
        <v>18.514444444444443</v>
      </c>
      <c r="R10154" s="8">
        <v>99</v>
      </c>
      <c r="S10154" s="8">
        <v>14.8</v>
      </c>
      <c r="T10154" s="8">
        <v>99</v>
      </c>
      <c r="U10154" s="8">
        <v>99</v>
      </c>
      <c r="Y10154" s="8" t="s">
        <v>43590</v>
      </c>
      <c r="Z10154" s="8" t="s">
        <v>43591</v>
      </c>
    </row>
    <row r="10155" spans="1:26" x14ac:dyDescent="0.2">
      <c r="A10155" s="8">
        <v>10154</v>
      </c>
      <c r="B10155" s="8" t="s">
        <v>43592</v>
      </c>
      <c r="C10155" s="8" t="s">
        <v>43592</v>
      </c>
      <c r="G10155" s="8">
        <v>20</v>
      </c>
      <c r="H10155" s="8" t="s">
        <v>21</v>
      </c>
      <c r="I10155" s="8" t="s">
        <v>72</v>
      </c>
      <c r="J10155" s="8" t="s">
        <v>72</v>
      </c>
      <c r="K10155" s="8" t="s">
        <v>73</v>
      </c>
      <c r="L10155" s="8" t="s">
        <v>11551</v>
      </c>
      <c r="M10155" s="8" t="s">
        <v>11552</v>
      </c>
      <c r="N10155" s="8" t="s">
        <v>43593</v>
      </c>
      <c r="O10155" s="8">
        <f>8+21/60+3.7/3600</f>
        <v>8.3510277777777766</v>
      </c>
      <c r="P10155" s="8" t="s">
        <v>43594</v>
      </c>
      <c r="Q10155" s="8">
        <f>+(18+45/60+47/3600)</f>
        <v>18.763055555555557</v>
      </c>
      <c r="R10155" s="8">
        <v>99</v>
      </c>
      <c r="S10155" s="8">
        <v>99</v>
      </c>
      <c r="T10155" s="8">
        <v>99</v>
      </c>
      <c r="U10155" s="8">
        <v>99</v>
      </c>
      <c r="Y10155" s="8" t="s">
        <v>43595</v>
      </c>
      <c r="Z10155" s="8" t="s">
        <v>43596</v>
      </c>
    </row>
    <row r="10156" spans="1:26" x14ac:dyDescent="0.2">
      <c r="A10156" s="8">
        <v>10155</v>
      </c>
      <c r="B10156" s="8" t="s">
        <v>43597</v>
      </c>
      <c r="C10156" s="8" t="s">
        <v>43597</v>
      </c>
      <c r="G10156" s="8">
        <v>20</v>
      </c>
      <c r="H10156" s="8" t="s">
        <v>21</v>
      </c>
      <c r="I10156" s="8" t="s">
        <v>72</v>
      </c>
      <c r="J10156" s="8" t="s">
        <v>72</v>
      </c>
      <c r="K10156" s="8" t="s">
        <v>20</v>
      </c>
      <c r="L10156" s="8" t="s">
        <v>11551</v>
      </c>
      <c r="M10156" s="8" t="s">
        <v>11552</v>
      </c>
      <c r="N10156" s="8" t="s">
        <v>43598</v>
      </c>
      <c r="O10156" s="8">
        <f>8+21/60+10.9/3600</f>
        <v>8.3530277777777773</v>
      </c>
      <c r="P10156" s="8" t="s">
        <v>43599</v>
      </c>
      <c r="Q10156" s="8">
        <f>+(18+54/60+53/3600)</f>
        <v>18.91472222222222</v>
      </c>
      <c r="R10156" s="8">
        <v>99</v>
      </c>
      <c r="S10156" s="8">
        <v>99</v>
      </c>
      <c r="T10156" s="8">
        <v>99</v>
      </c>
      <c r="U10156" s="8">
        <v>99</v>
      </c>
      <c r="Y10156" s="8" t="s">
        <v>43600</v>
      </c>
      <c r="Z10156" s="8" t="s">
        <v>43601</v>
      </c>
    </row>
    <row r="10157" spans="1:26" x14ac:dyDescent="0.2">
      <c r="A10157" s="8">
        <v>10156</v>
      </c>
      <c r="B10157" s="8" t="s">
        <v>43602</v>
      </c>
      <c r="C10157" s="8" t="s">
        <v>43602</v>
      </c>
      <c r="G10157" s="8">
        <v>20</v>
      </c>
      <c r="H10157" s="8" t="s">
        <v>21</v>
      </c>
      <c r="I10157" s="8" t="s">
        <v>72</v>
      </c>
      <c r="J10157" s="8" t="s">
        <v>72</v>
      </c>
      <c r="K10157" s="8" t="s">
        <v>73</v>
      </c>
      <c r="L10157" s="8" t="s">
        <v>11551</v>
      </c>
      <c r="M10157" s="8" t="s">
        <v>11552</v>
      </c>
      <c r="N10157" s="8" t="s">
        <v>43603</v>
      </c>
      <c r="O10157" s="8">
        <f>8+21/60+15.3/3600</f>
        <v>8.3542500000000004</v>
      </c>
      <c r="P10157" s="8" t="s">
        <v>43604</v>
      </c>
      <c r="Q10157" s="8">
        <f>+(19+45/60+36/3600)</f>
        <v>19.760000000000002</v>
      </c>
      <c r="R10157" s="8">
        <v>99</v>
      </c>
      <c r="S10157" s="8">
        <v>99</v>
      </c>
      <c r="T10157" s="8">
        <v>99</v>
      </c>
      <c r="U10157" s="8">
        <v>99</v>
      </c>
      <c r="Y10157" s="8" t="s">
        <v>21</v>
      </c>
      <c r="Z10157" s="8" t="s">
        <v>43605</v>
      </c>
    </row>
    <row r="10158" spans="1:26" x14ac:dyDescent="0.2">
      <c r="A10158" s="8">
        <v>10157</v>
      </c>
      <c r="B10158" s="8" t="s">
        <v>43606</v>
      </c>
      <c r="C10158" s="8" t="s">
        <v>43606</v>
      </c>
      <c r="G10158" s="8">
        <v>20</v>
      </c>
      <c r="H10158" s="8" t="s">
        <v>21</v>
      </c>
      <c r="I10158" s="8" t="s">
        <v>72</v>
      </c>
      <c r="J10158" s="8" t="s">
        <v>72</v>
      </c>
      <c r="K10158" s="8" t="s">
        <v>20</v>
      </c>
      <c r="L10158" s="8" t="s">
        <v>11551</v>
      </c>
      <c r="M10158" s="8" t="s">
        <v>11552</v>
      </c>
      <c r="N10158" s="8" t="s">
        <v>43607</v>
      </c>
      <c r="O10158" s="8">
        <f>8+21/60+21.6/3600</f>
        <v>8.3559999999999999</v>
      </c>
      <c r="P10158" s="8" t="s">
        <v>43608</v>
      </c>
      <c r="Q10158" s="8">
        <f>+(18+50/60+40/3600)</f>
        <v>18.844444444444445</v>
      </c>
      <c r="R10158" s="8">
        <v>99</v>
      </c>
      <c r="S10158" s="8">
        <v>99</v>
      </c>
      <c r="T10158" s="8">
        <v>99</v>
      </c>
      <c r="U10158" s="8">
        <v>99</v>
      </c>
      <c r="Y10158" s="8" t="s">
        <v>43609</v>
      </c>
      <c r="Z10158" s="8" t="s">
        <v>43610</v>
      </c>
    </row>
    <row r="10159" spans="1:26" x14ac:dyDescent="0.2">
      <c r="A10159" s="8">
        <v>10158</v>
      </c>
      <c r="B10159" s="8" t="s">
        <v>43611</v>
      </c>
      <c r="C10159" s="8" t="s">
        <v>43611</v>
      </c>
      <c r="G10159" s="8">
        <v>20</v>
      </c>
      <c r="H10159" s="8" t="s">
        <v>21</v>
      </c>
      <c r="I10159" s="8" t="s">
        <v>72</v>
      </c>
      <c r="J10159" s="8" t="s">
        <v>72</v>
      </c>
      <c r="K10159" s="8" t="s">
        <v>20</v>
      </c>
      <c r="L10159" s="8" t="s">
        <v>11551</v>
      </c>
      <c r="M10159" s="8" t="s">
        <v>11552</v>
      </c>
      <c r="N10159" s="8" t="s">
        <v>43612</v>
      </c>
      <c r="O10159" s="8">
        <f>8+21/60+32.8/3600</f>
        <v>8.35911111111111</v>
      </c>
      <c r="P10159" s="8" t="s">
        <v>43613</v>
      </c>
      <c r="Q10159" s="8">
        <f>+(18+37/60+23/3600)</f>
        <v>18.623055555555556</v>
      </c>
      <c r="R10159" s="8">
        <v>99</v>
      </c>
      <c r="S10159" s="8">
        <v>99</v>
      </c>
      <c r="T10159" s="8">
        <v>99</v>
      </c>
      <c r="U10159" s="8">
        <v>99</v>
      </c>
      <c r="Y10159" s="8" t="s">
        <v>43614</v>
      </c>
      <c r="Z10159" s="8" t="s">
        <v>43615</v>
      </c>
    </row>
    <row r="10160" spans="1:26" x14ac:dyDescent="0.2">
      <c r="A10160" s="8">
        <v>10159</v>
      </c>
      <c r="B10160" s="8" t="s">
        <v>43616</v>
      </c>
      <c r="C10160" s="8" t="s">
        <v>43616</v>
      </c>
      <c r="G10160" s="8">
        <v>20</v>
      </c>
      <c r="H10160" s="8" t="s">
        <v>21</v>
      </c>
      <c r="I10160" s="8" t="s">
        <v>72</v>
      </c>
      <c r="J10160" s="8" t="s">
        <v>72</v>
      </c>
      <c r="K10160" s="8" t="s">
        <v>20</v>
      </c>
      <c r="L10160" s="8" t="s">
        <v>11551</v>
      </c>
      <c r="M10160" s="8" t="s">
        <v>11552</v>
      </c>
      <c r="N10160" s="8" t="s">
        <v>43617</v>
      </c>
      <c r="O10160" s="8">
        <f>8+21/60+33.1/3600</f>
        <v>8.3591944444444444</v>
      </c>
      <c r="P10160" s="8" t="s">
        <v>43618</v>
      </c>
      <c r="Q10160" s="8">
        <f>+(18+28/60+34/3600)</f>
        <v>18.476111111111109</v>
      </c>
      <c r="R10160" s="8">
        <v>99</v>
      </c>
      <c r="S10160" s="8">
        <v>99</v>
      </c>
      <c r="T10160" s="8">
        <v>99</v>
      </c>
      <c r="U10160" s="8">
        <v>99</v>
      </c>
      <c r="Y10160" s="8" t="s">
        <v>895</v>
      </c>
      <c r="Z10160" s="8" t="s">
        <v>896</v>
      </c>
    </row>
    <row r="10161" spans="1:26" x14ac:dyDescent="0.2">
      <c r="A10161" s="8">
        <v>10160</v>
      </c>
      <c r="B10161" s="8" t="s">
        <v>43619</v>
      </c>
      <c r="C10161" s="8" t="s">
        <v>43619</v>
      </c>
      <c r="G10161" s="8">
        <v>20</v>
      </c>
      <c r="H10161" s="8" t="s">
        <v>21</v>
      </c>
      <c r="I10161" s="8" t="s">
        <v>72</v>
      </c>
      <c r="J10161" s="8" t="s">
        <v>72</v>
      </c>
      <c r="K10161" s="8" t="s">
        <v>20</v>
      </c>
      <c r="L10161" s="8" t="s">
        <v>11551</v>
      </c>
      <c r="M10161" s="8" t="s">
        <v>11552</v>
      </c>
      <c r="N10161" s="8" t="s">
        <v>43620</v>
      </c>
      <c r="O10161" s="8">
        <f>8+21/60+35.4/3600</f>
        <v>8.3598333333333326</v>
      </c>
      <c r="P10161" s="8" t="s">
        <v>43621</v>
      </c>
      <c r="Q10161" s="8">
        <f>+(18+40/60+13/3600)</f>
        <v>18.67027777777778</v>
      </c>
      <c r="R10161" s="8">
        <v>99</v>
      </c>
      <c r="S10161" s="8">
        <v>99</v>
      </c>
      <c r="T10161" s="8">
        <v>99</v>
      </c>
      <c r="U10161" s="8">
        <v>99</v>
      </c>
      <c r="Y10161" s="8" t="s">
        <v>43614</v>
      </c>
      <c r="Z10161" s="8" t="s">
        <v>43615</v>
      </c>
    </row>
    <row r="10162" spans="1:26" x14ac:dyDescent="0.2">
      <c r="A10162" s="8">
        <v>10161</v>
      </c>
      <c r="B10162" s="8" t="s">
        <v>43622</v>
      </c>
      <c r="C10162" s="8" t="s">
        <v>43622</v>
      </c>
      <c r="G10162" s="8">
        <v>20</v>
      </c>
      <c r="H10162" s="8" t="s">
        <v>21</v>
      </c>
      <c r="I10162" s="8" t="s">
        <v>72</v>
      </c>
      <c r="J10162" s="8" t="s">
        <v>72</v>
      </c>
      <c r="K10162" s="8" t="s">
        <v>20</v>
      </c>
      <c r="L10162" s="8" t="s">
        <v>11551</v>
      </c>
      <c r="M10162" s="8" t="s">
        <v>11552</v>
      </c>
      <c r="N10162" s="8" t="s">
        <v>43623</v>
      </c>
      <c r="O10162" s="8">
        <f>8+21/60+39.1/3600</f>
        <v>8.3608611111111113</v>
      </c>
      <c r="P10162" s="8" t="s">
        <v>43624</v>
      </c>
      <c r="Q10162" s="8">
        <f>+(18+28/60+7/3600)</f>
        <v>18.468611111111109</v>
      </c>
      <c r="R10162" s="8">
        <v>99</v>
      </c>
      <c r="S10162" s="8">
        <v>99</v>
      </c>
      <c r="T10162" s="8">
        <v>99</v>
      </c>
      <c r="U10162" s="8">
        <v>99</v>
      </c>
      <c r="Y10162" s="8" t="s">
        <v>12996</v>
      </c>
      <c r="Z10162" s="8" t="s">
        <v>12997</v>
      </c>
    </row>
    <row r="10163" spans="1:26" x14ac:dyDescent="0.2">
      <c r="A10163" s="8">
        <v>10162</v>
      </c>
      <c r="B10163" s="8" t="s">
        <v>43625</v>
      </c>
      <c r="C10163" s="8" t="s">
        <v>43625</v>
      </c>
      <c r="G10163" s="8">
        <v>20</v>
      </c>
      <c r="H10163" s="8" t="s">
        <v>21</v>
      </c>
      <c r="I10163" s="8" t="s">
        <v>72</v>
      </c>
      <c r="J10163" s="8" t="s">
        <v>72</v>
      </c>
      <c r="K10163" s="8" t="s">
        <v>20</v>
      </c>
      <c r="L10163" s="8" t="s">
        <v>11551</v>
      </c>
      <c r="M10163" s="8" t="s">
        <v>11552</v>
      </c>
      <c r="N10163" s="8" t="s">
        <v>43626</v>
      </c>
      <c r="O10163" s="8">
        <f>8+21/60+39/3600</f>
        <v>8.3608333333333338</v>
      </c>
      <c r="P10163" s="8" t="s">
        <v>43627</v>
      </c>
      <c r="Q10163" s="8">
        <f>+(18+29/60+2/3600)</f>
        <v>18.483888888888888</v>
      </c>
      <c r="R10163" s="8">
        <v>99</v>
      </c>
      <c r="S10163" s="8">
        <v>99</v>
      </c>
      <c r="T10163" s="8">
        <v>99</v>
      </c>
      <c r="U10163" s="8">
        <v>99</v>
      </c>
      <c r="Y10163" s="8" t="s">
        <v>33652</v>
      </c>
      <c r="Z10163" s="8" t="s">
        <v>33653</v>
      </c>
    </row>
    <row r="10164" spans="1:26" x14ac:dyDescent="0.2">
      <c r="A10164" s="8">
        <v>10163</v>
      </c>
      <c r="B10164" s="8" t="s">
        <v>43628</v>
      </c>
      <c r="C10164" s="8" t="s">
        <v>43628</v>
      </c>
      <c r="G10164" s="8">
        <v>20</v>
      </c>
      <c r="H10164" s="8" t="s">
        <v>21</v>
      </c>
      <c r="I10164" s="8" t="s">
        <v>72</v>
      </c>
      <c r="J10164" s="8" t="s">
        <v>72</v>
      </c>
      <c r="K10164" s="8" t="s">
        <v>20</v>
      </c>
      <c r="L10164" s="8" t="s">
        <v>11551</v>
      </c>
      <c r="M10164" s="8" t="s">
        <v>11552</v>
      </c>
      <c r="N10164" s="8" t="s">
        <v>43629</v>
      </c>
      <c r="O10164" s="8">
        <f>8+21/60+41.3/3600</f>
        <v>8.361472222222222</v>
      </c>
      <c r="P10164" s="8" t="s">
        <v>43630</v>
      </c>
      <c r="Q10164" s="8">
        <f>+(18+36/60+48/3600)</f>
        <v>18.613333333333333</v>
      </c>
      <c r="R10164" s="8">
        <v>99</v>
      </c>
      <c r="S10164" s="8">
        <v>99</v>
      </c>
      <c r="T10164" s="8">
        <v>99</v>
      </c>
      <c r="U10164" s="8">
        <v>99</v>
      </c>
      <c r="Y10164" s="8" t="s">
        <v>824</v>
      </c>
      <c r="Z10164" s="8" t="s">
        <v>825</v>
      </c>
    </row>
    <row r="10165" spans="1:26" x14ac:dyDescent="0.2">
      <c r="A10165" s="8">
        <v>10164</v>
      </c>
      <c r="B10165" s="8" t="s">
        <v>43631</v>
      </c>
      <c r="C10165" s="8" t="s">
        <v>43631</v>
      </c>
      <c r="G10165" s="8">
        <v>20</v>
      </c>
      <c r="H10165" s="8" t="s">
        <v>21</v>
      </c>
      <c r="I10165" s="8" t="s">
        <v>72</v>
      </c>
      <c r="J10165" s="8" t="s">
        <v>72</v>
      </c>
      <c r="K10165" s="8" t="s">
        <v>20</v>
      </c>
      <c r="L10165" s="8" t="s">
        <v>11551</v>
      </c>
      <c r="M10165" s="8" t="s">
        <v>11552</v>
      </c>
      <c r="N10165" s="8" t="s">
        <v>43632</v>
      </c>
      <c r="O10165" s="8">
        <f>8+21/60+58.8/3600</f>
        <v>8.3663333333333334</v>
      </c>
      <c r="P10165" s="8" t="s">
        <v>43633</v>
      </c>
      <c r="Q10165" s="8">
        <f>+(19+11/60+38/3600)</f>
        <v>19.193888888888889</v>
      </c>
      <c r="R10165" s="8">
        <v>99</v>
      </c>
      <c r="S10165" s="8">
        <v>99</v>
      </c>
      <c r="T10165" s="8">
        <v>99</v>
      </c>
      <c r="U10165" s="8">
        <v>99</v>
      </c>
      <c r="Y10165" s="8" t="s">
        <v>21</v>
      </c>
      <c r="Z10165" s="8" t="s">
        <v>43634</v>
      </c>
    </row>
    <row r="10166" spans="1:26" x14ac:dyDescent="0.2">
      <c r="A10166" s="8">
        <v>10165</v>
      </c>
      <c r="B10166" s="8" t="s">
        <v>43635</v>
      </c>
      <c r="C10166" s="8" t="s">
        <v>43635</v>
      </c>
      <c r="G10166" s="8">
        <v>20</v>
      </c>
      <c r="H10166" s="8" t="s">
        <v>21</v>
      </c>
      <c r="I10166" s="8" t="s">
        <v>329</v>
      </c>
      <c r="J10166" s="8" t="s">
        <v>329</v>
      </c>
      <c r="K10166" s="8" t="s">
        <v>329</v>
      </c>
      <c r="L10166" s="8" t="s">
        <v>11551</v>
      </c>
      <c r="M10166" s="8" t="s">
        <v>11552</v>
      </c>
      <c r="N10166" s="8" t="s">
        <v>43636</v>
      </c>
      <c r="O10166" s="8">
        <f>8+22/60+8.7/3600</f>
        <v>8.3690833333333341</v>
      </c>
      <c r="P10166" s="8" t="s">
        <v>43637</v>
      </c>
      <c r="Q10166" s="8">
        <f>+(18+54/60+42/3600)</f>
        <v>18.911666666666665</v>
      </c>
      <c r="R10166" s="8">
        <v>99</v>
      </c>
      <c r="S10166" s="8">
        <v>99</v>
      </c>
      <c r="T10166" s="8">
        <v>99</v>
      </c>
      <c r="U10166" s="8">
        <v>99</v>
      </c>
      <c r="Y10166" s="8" t="s">
        <v>43638</v>
      </c>
      <c r="Z10166" s="8" t="s">
        <v>43639</v>
      </c>
    </row>
    <row r="10167" spans="1:26" x14ac:dyDescent="0.2">
      <c r="A10167" s="8">
        <v>10166</v>
      </c>
      <c r="B10167" s="8" t="s">
        <v>43640</v>
      </c>
      <c r="C10167" s="8" t="s">
        <v>43640</v>
      </c>
      <c r="G10167" s="8">
        <v>20</v>
      </c>
      <c r="H10167" s="8" t="s">
        <v>21</v>
      </c>
      <c r="I10167" s="8" t="s">
        <v>72</v>
      </c>
      <c r="J10167" s="8" t="s">
        <v>72</v>
      </c>
      <c r="K10167" s="8" t="s">
        <v>20</v>
      </c>
      <c r="L10167" s="8" t="s">
        <v>11551</v>
      </c>
      <c r="M10167" s="8" t="s">
        <v>11552</v>
      </c>
      <c r="N10167" s="8" t="s">
        <v>43641</v>
      </c>
      <c r="O10167" s="8">
        <f>8+22/60+12/3600</f>
        <v>8.370000000000001</v>
      </c>
      <c r="P10167" s="8" t="s">
        <v>43642</v>
      </c>
      <c r="Q10167" s="8">
        <f>+(19+0/60+42/3600)</f>
        <v>19.011666666666667</v>
      </c>
      <c r="R10167" s="8">
        <v>99</v>
      </c>
      <c r="S10167" s="8">
        <v>99</v>
      </c>
      <c r="T10167" s="8">
        <v>99</v>
      </c>
      <c r="U10167" s="8">
        <v>99</v>
      </c>
      <c r="Y10167" s="8" t="s">
        <v>21</v>
      </c>
      <c r="Z10167" s="8" t="s">
        <v>43643</v>
      </c>
    </row>
    <row r="10168" spans="1:26" x14ac:dyDescent="0.2">
      <c r="A10168" s="8">
        <v>10167</v>
      </c>
      <c r="B10168" s="8" t="s">
        <v>43644</v>
      </c>
      <c r="C10168" s="8" t="s">
        <v>43644</v>
      </c>
      <c r="G10168" s="8">
        <v>20</v>
      </c>
      <c r="H10168" s="8" t="s">
        <v>21</v>
      </c>
      <c r="I10168" s="8" t="s">
        <v>22</v>
      </c>
      <c r="J10168" s="8" t="s">
        <v>22</v>
      </c>
      <c r="K10168" s="8" t="s">
        <v>91</v>
      </c>
      <c r="L10168" s="8" t="s">
        <v>11765</v>
      </c>
      <c r="M10168" s="8" t="s">
        <v>11766</v>
      </c>
      <c r="N10168" s="8" t="s">
        <v>11927</v>
      </c>
      <c r="O10168" s="8">
        <f>8+21/60+28/3600</f>
        <v>8.3577777777777769</v>
      </c>
      <c r="P10168" s="8" t="s">
        <v>43645</v>
      </c>
      <c r="Q10168" s="8">
        <f>+(3+10/60+8/3600)</f>
        <v>3.1688888888888886</v>
      </c>
      <c r="R10168" s="8">
        <v>13.3</v>
      </c>
      <c r="S10168" s="8">
        <v>14.2</v>
      </c>
      <c r="T10168" s="8">
        <v>0.9</v>
      </c>
      <c r="U10168" s="8">
        <v>12.4</v>
      </c>
      <c r="V10168" s="8">
        <v>1.4</v>
      </c>
      <c r="W10168" s="8">
        <v>0.4</v>
      </c>
      <c r="X10168" s="8">
        <v>174</v>
      </c>
      <c r="Y10168" s="8" t="s">
        <v>33652</v>
      </c>
      <c r="Z10168" s="8" t="s">
        <v>33653</v>
      </c>
    </row>
    <row r="10169" spans="1:26" x14ac:dyDescent="0.2">
      <c r="A10169" s="8">
        <v>10168</v>
      </c>
      <c r="B10169" s="8" t="s">
        <v>43646</v>
      </c>
      <c r="C10169" s="8" t="s">
        <v>43646</v>
      </c>
      <c r="G10169" s="8">
        <v>20</v>
      </c>
      <c r="H10169" s="8" t="s">
        <v>21</v>
      </c>
      <c r="I10169" s="8" t="s">
        <v>329</v>
      </c>
      <c r="J10169" s="8" t="s">
        <v>329</v>
      </c>
      <c r="K10169" s="8" t="s">
        <v>329</v>
      </c>
      <c r="L10169" s="8" t="s">
        <v>11551</v>
      </c>
      <c r="M10169" s="8" t="s">
        <v>11552</v>
      </c>
      <c r="N10169" s="8" t="s">
        <v>43647</v>
      </c>
      <c r="O10169" s="8">
        <f>8+22/60+17.3/3600</f>
        <v>8.3714722222222235</v>
      </c>
      <c r="P10169" s="8" t="s">
        <v>43648</v>
      </c>
      <c r="Q10169" s="8">
        <f>+(19+36/60+59/3600)</f>
        <v>19.616388888888892</v>
      </c>
      <c r="R10169" s="8">
        <v>99</v>
      </c>
      <c r="S10169" s="8">
        <v>99</v>
      </c>
      <c r="T10169" s="8">
        <v>99</v>
      </c>
      <c r="U10169" s="8">
        <v>99</v>
      </c>
      <c r="Y10169" s="8" t="s">
        <v>21</v>
      </c>
      <c r="Z10169" s="8" t="s">
        <v>43649</v>
      </c>
    </row>
    <row r="10170" spans="1:26" x14ac:dyDescent="0.2">
      <c r="A10170" s="8">
        <v>10169</v>
      </c>
      <c r="B10170" s="8" t="s">
        <v>43650</v>
      </c>
      <c r="C10170" s="8" t="s">
        <v>43650</v>
      </c>
      <c r="G10170" s="8">
        <v>20</v>
      </c>
      <c r="H10170" s="8" t="s">
        <v>21</v>
      </c>
      <c r="I10170" s="8" t="s">
        <v>22</v>
      </c>
      <c r="J10170" s="8" t="s">
        <v>22</v>
      </c>
      <c r="K10170" s="8" t="s">
        <v>3523</v>
      </c>
      <c r="L10170" s="8" t="s">
        <v>11551</v>
      </c>
      <c r="M10170" s="8" t="s">
        <v>11552</v>
      </c>
      <c r="N10170" s="8" t="s">
        <v>43651</v>
      </c>
      <c r="O10170" s="8">
        <f>8+22/60+19.4/3600</f>
        <v>8.3720555555555567</v>
      </c>
      <c r="P10170" s="8" t="s">
        <v>43652</v>
      </c>
      <c r="Q10170" s="8">
        <f>+(19+24/60+56/3600)</f>
        <v>19.415555555555553</v>
      </c>
      <c r="R10170" s="8">
        <v>14</v>
      </c>
      <c r="S10170" s="8">
        <v>14.6</v>
      </c>
      <c r="T10170" s="8">
        <v>0.6</v>
      </c>
      <c r="U10170" s="8">
        <v>13.7</v>
      </c>
      <c r="V10170" s="8">
        <v>2.1</v>
      </c>
      <c r="W10170" s="8">
        <v>0.4</v>
      </c>
      <c r="X10170" s="8">
        <v>117</v>
      </c>
      <c r="Y10170" s="8" t="s">
        <v>21</v>
      </c>
      <c r="Z10170" s="8" t="s">
        <v>43653</v>
      </c>
    </row>
    <row r="10171" spans="1:26" x14ac:dyDescent="0.2">
      <c r="A10171" s="8">
        <v>10170</v>
      </c>
      <c r="B10171" s="8" t="s">
        <v>43654</v>
      </c>
      <c r="C10171" s="8" t="s">
        <v>43654</v>
      </c>
      <c r="G10171" s="8">
        <v>20</v>
      </c>
      <c r="H10171" s="8" t="s">
        <v>21</v>
      </c>
      <c r="I10171" s="8" t="s">
        <v>329</v>
      </c>
      <c r="J10171" s="8" t="s">
        <v>329</v>
      </c>
      <c r="K10171" s="8" t="s">
        <v>329</v>
      </c>
      <c r="L10171" s="8" t="s">
        <v>11551</v>
      </c>
      <c r="M10171" s="8" t="s">
        <v>11552</v>
      </c>
      <c r="N10171" s="8" t="s">
        <v>43655</v>
      </c>
      <c r="O10171" s="8">
        <f>8+22/60+23.2/3600</f>
        <v>8.3731111111111112</v>
      </c>
      <c r="P10171" s="8" t="s">
        <v>43656</v>
      </c>
      <c r="Q10171" s="8">
        <f>+(18+51/60+12/3600)</f>
        <v>18.853333333333335</v>
      </c>
      <c r="R10171" s="8">
        <v>99</v>
      </c>
      <c r="S10171" s="8">
        <v>99</v>
      </c>
      <c r="T10171" s="8">
        <v>99</v>
      </c>
      <c r="U10171" s="8">
        <v>99</v>
      </c>
      <c r="Y10171" s="8" t="s">
        <v>21</v>
      </c>
      <c r="Z10171" s="8" t="s">
        <v>43657</v>
      </c>
    </row>
    <row r="10172" spans="1:26" x14ac:dyDescent="0.2">
      <c r="A10172" s="8">
        <v>10171</v>
      </c>
      <c r="B10172" s="8" t="s">
        <v>43658</v>
      </c>
      <c r="C10172" s="8" t="s">
        <v>43658</v>
      </c>
      <c r="G10172" s="8">
        <v>20</v>
      </c>
      <c r="H10172" s="8" t="s">
        <v>21</v>
      </c>
      <c r="I10172" s="8" t="s">
        <v>72</v>
      </c>
      <c r="J10172" s="8" t="s">
        <v>72</v>
      </c>
      <c r="K10172" s="8" t="s">
        <v>73</v>
      </c>
      <c r="L10172" s="8" t="s">
        <v>11551</v>
      </c>
      <c r="M10172" s="8" t="s">
        <v>11552</v>
      </c>
      <c r="N10172" s="8" t="s">
        <v>43659</v>
      </c>
      <c r="O10172" s="8">
        <f>8+22/60+35.2/3600</f>
        <v>8.376444444444445</v>
      </c>
      <c r="P10172" s="8" t="s">
        <v>43660</v>
      </c>
      <c r="Q10172" s="8">
        <f>+(19+40/60+45/3600)</f>
        <v>19.679166666666667</v>
      </c>
      <c r="R10172" s="8">
        <v>99</v>
      </c>
      <c r="S10172" s="8">
        <v>99</v>
      </c>
      <c r="T10172" s="8">
        <v>99</v>
      </c>
      <c r="U10172" s="8">
        <v>99</v>
      </c>
      <c r="Y10172" s="8" t="s">
        <v>30358</v>
      </c>
      <c r="Z10172" s="8" t="s">
        <v>30359</v>
      </c>
    </row>
    <row r="10173" spans="1:26" x14ac:dyDescent="0.2">
      <c r="A10173" s="8">
        <v>10172</v>
      </c>
      <c r="B10173" s="8" t="s">
        <v>43661</v>
      </c>
      <c r="C10173" s="8" t="s">
        <v>43661</v>
      </c>
      <c r="G10173" s="8">
        <v>20</v>
      </c>
      <c r="H10173" s="8" t="s">
        <v>21</v>
      </c>
      <c r="I10173" s="8" t="s">
        <v>72</v>
      </c>
      <c r="J10173" s="8" t="s">
        <v>72</v>
      </c>
      <c r="K10173" s="8" t="s">
        <v>20</v>
      </c>
      <c r="L10173" s="8" t="s">
        <v>11551</v>
      </c>
      <c r="M10173" s="8" t="s">
        <v>11552</v>
      </c>
      <c r="N10173" s="8" t="s">
        <v>43662</v>
      </c>
      <c r="O10173" s="8">
        <f>8+22/60+39.7/3600</f>
        <v>8.3776944444444457</v>
      </c>
      <c r="P10173" s="8" t="s">
        <v>43663</v>
      </c>
      <c r="Q10173" s="8">
        <f>+(19+55/60+13/3600)</f>
        <v>19.92027777777778</v>
      </c>
      <c r="R10173" s="8">
        <v>99</v>
      </c>
      <c r="S10173" s="8">
        <v>14.1</v>
      </c>
      <c r="T10173" s="8">
        <v>99</v>
      </c>
      <c r="U10173" s="8">
        <v>99</v>
      </c>
      <c r="Y10173" s="8" t="s">
        <v>21</v>
      </c>
      <c r="Z10173" s="8" t="s">
        <v>43664</v>
      </c>
    </row>
    <row r="10174" spans="1:26" x14ac:dyDescent="0.2">
      <c r="A10174" s="8">
        <v>10173</v>
      </c>
      <c r="B10174" s="8" t="s">
        <v>43665</v>
      </c>
      <c r="C10174" s="8" t="s">
        <v>43665</v>
      </c>
      <c r="G10174" s="8">
        <v>20</v>
      </c>
      <c r="H10174" s="8" t="s">
        <v>21</v>
      </c>
      <c r="I10174" s="8" t="s">
        <v>72</v>
      </c>
      <c r="J10174" s="8" t="s">
        <v>72</v>
      </c>
      <c r="K10174" s="8" t="s">
        <v>20</v>
      </c>
      <c r="L10174" s="8" t="s">
        <v>11551</v>
      </c>
      <c r="M10174" s="8" t="s">
        <v>11552</v>
      </c>
      <c r="N10174" s="8" t="s">
        <v>43666</v>
      </c>
      <c r="O10174" s="8">
        <f>8+23/60+1/3600</f>
        <v>8.3836111111111098</v>
      </c>
      <c r="P10174" s="8" t="s">
        <v>43667</v>
      </c>
      <c r="Q10174" s="8">
        <f>+(19+4/60+54/3600)</f>
        <v>19.081666666666667</v>
      </c>
      <c r="R10174" s="8">
        <v>99</v>
      </c>
      <c r="S10174" s="8">
        <v>99</v>
      </c>
      <c r="T10174" s="8">
        <v>99</v>
      </c>
      <c r="U10174" s="8">
        <v>99</v>
      </c>
      <c r="Y10174" s="8" t="s">
        <v>43668</v>
      </c>
      <c r="Z10174" s="8" t="s">
        <v>43669</v>
      </c>
    </row>
    <row r="10175" spans="1:26" x14ac:dyDescent="0.2">
      <c r="A10175" s="8">
        <v>10174</v>
      </c>
      <c r="B10175" s="8" t="s">
        <v>43670</v>
      </c>
      <c r="C10175" s="8" t="s">
        <v>43670</v>
      </c>
      <c r="G10175" s="8">
        <v>20</v>
      </c>
      <c r="H10175" s="8" t="s">
        <v>21</v>
      </c>
      <c r="I10175" s="8" t="s">
        <v>72</v>
      </c>
      <c r="J10175" s="8" t="s">
        <v>72</v>
      </c>
      <c r="K10175" s="8" t="s">
        <v>20</v>
      </c>
      <c r="L10175" s="8" t="s">
        <v>11551</v>
      </c>
      <c r="M10175" s="8" t="s">
        <v>11552</v>
      </c>
      <c r="N10175" s="8" t="s">
        <v>43671</v>
      </c>
      <c r="O10175" s="8">
        <f>8+23/60+0/3600</f>
        <v>8.3833333333333329</v>
      </c>
      <c r="P10175" s="8" t="s">
        <v>43672</v>
      </c>
      <c r="Q10175" s="8">
        <f>+(18+36/60+52/3600)</f>
        <v>18.614444444444445</v>
      </c>
      <c r="R10175" s="8">
        <v>99</v>
      </c>
      <c r="S10175" s="8">
        <v>99</v>
      </c>
      <c r="T10175" s="8">
        <v>99</v>
      </c>
      <c r="U10175" s="8">
        <v>99</v>
      </c>
      <c r="Y10175" s="8" t="s">
        <v>824</v>
      </c>
      <c r="Z10175" s="8" t="s">
        <v>825</v>
      </c>
    </row>
    <row r="10176" spans="1:26" x14ac:dyDescent="0.2">
      <c r="A10176" s="8">
        <v>10175</v>
      </c>
      <c r="B10176" s="8" t="s">
        <v>43673</v>
      </c>
      <c r="C10176" s="8" t="s">
        <v>43673</v>
      </c>
      <c r="G10176" s="8">
        <v>20</v>
      </c>
      <c r="H10176" s="8" t="s">
        <v>21</v>
      </c>
      <c r="I10176" s="8" t="s">
        <v>22</v>
      </c>
      <c r="J10176" s="8" t="s">
        <v>22</v>
      </c>
      <c r="K10176" s="8" t="s">
        <v>382</v>
      </c>
      <c r="L10176" s="8" t="s">
        <v>11551</v>
      </c>
      <c r="M10176" s="8" t="s">
        <v>11552</v>
      </c>
      <c r="N10176" s="8" t="s">
        <v>43674</v>
      </c>
      <c r="O10176" s="8">
        <f>8+23/60+7.1/3600</f>
        <v>8.3853055555555542</v>
      </c>
      <c r="P10176" s="8" t="s">
        <v>43675</v>
      </c>
      <c r="Q10176" s="8">
        <f>+(19+24/60+27/3600)</f>
        <v>19.407499999999999</v>
      </c>
      <c r="R10176" s="8">
        <v>15.2</v>
      </c>
      <c r="S10176" s="8">
        <v>16.2</v>
      </c>
      <c r="T10176" s="8">
        <v>1</v>
      </c>
      <c r="U10176" s="8">
        <v>12.2</v>
      </c>
      <c r="V10176" s="8">
        <v>0.3</v>
      </c>
      <c r="W10176" s="8">
        <v>0.2</v>
      </c>
      <c r="X10176" s="8">
        <v>170</v>
      </c>
      <c r="Y10176" s="8" t="s">
        <v>43676</v>
      </c>
      <c r="Z10176" s="8" t="s">
        <v>43677</v>
      </c>
    </row>
    <row r="10177" spans="1:26" x14ac:dyDescent="0.2">
      <c r="A10177" s="8">
        <v>10176</v>
      </c>
      <c r="B10177" s="8" t="s">
        <v>43678</v>
      </c>
      <c r="C10177" s="8" t="s">
        <v>43678</v>
      </c>
      <c r="G10177" s="8">
        <v>20</v>
      </c>
      <c r="H10177" s="8" t="s">
        <v>21</v>
      </c>
      <c r="I10177" s="8" t="s">
        <v>72</v>
      </c>
      <c r="J10177" s="8" t="s">
        <v>72</v>
      </c>
      <c r="K10177" s="8" t="s">
        <v>20</v>
      </c>
      <c r="L10177" s="8" t="s">
        <v>11551</v>
      </c>
      <c r="M10177" s="8" t="s">
        <v>11552</v>
      </c>
      <c r="N10177" s="8" t="s">
        <v>43679</v>
      </c>
      <c r="O10177" s="8">
        <f>8+23/60+19.1/3600</f>
        <v>8.3886388888888881</v>
      </c>
      <c r="P10177" s="8" t="s">
        <v>43680</v>
      </c>
      <c r="Q10177" s="8">
        <f>+(18+32/60+14/3600)</f>
        <v>18.537222222222223</v>
      </c>
      <c r="R10177" s="8">
        <v>99</v>
      </c>
      <c r="S10177" s="8">
        <v>99</v>
      </c>
      <c r="T10177" s="8">
        <v>99</v>
      </c>
      <c r="U10177" s="8">
        <v>99</v>
      </c>
      <c r="Y10177" s="8" t="s">
        <v>421</v>
      </c>
      <c r="Z10177" s="8" t="s">
        <v>422</v>
      </c>
    </row>
    <row r="10178" spans="1:26" x14ac:dyDescent="0.2">
      <c r="A10178" s="8">
        <v>10177</v>
      </c>
      <c r="B10178" s="8" t="s">
        <v>43681</v>
      </c>
      <c r="C10178" s="8" t="s">
        <v>43681</v>
      </c>
      <c r="G10178" s="8">
        <v>20</v>
      </c>
      <c r="H10178" s="8" t="s">
        <v>21</v>
      </c>
      <c r="I10178" s="8" t="s">
        <v>22</v>
      </c>
      <c r="J10178" s="8" t="s">
        <v>22</v>
      </c>
      <c r="K10178" s="8" t="s">
        <v>449</v>
      </c>
      <c r="L10178" s="8" t="s">
        <v>11551</v>
      </c>
      <c r="M10178" s="8" t="s">
        <v>11552</v>
      </c>
      <c r="N10178" s="8" t="s">
        <v>43682</v>
      </c>
      <c r="O10178" s="8">
        <f>8+23/60+20.3/3600</f>
        <v>8.3889722222222218</v>
      </c>
      <c r="P10178" s="8" t="s">
        <v>43683</v>
      </c>
      <c r="Q10178" s="8">
        <f>+(18+32/60+8/3600)</f>
        <v>18.535555555555558</v>
      </c>
      <c r="R10178" s="8">
        <v>14.9</v>
      </c>
      <c r="S10178" s="8">
        <v>15.7</v>
      </c>
      <c r="T10178" s="8">
        <v>0.8</v>
      </c>
      <c r="U10178" s="8">
        <v>10.9</v>
      </c>
      <c r="V10178" s="8">
        <v>0.3</v>
      </c>
      <c r="W10178" s="8">
        <v>0.1</v>
      </c>
      <c r="X10178" s="8">
        <v>45</v>
      </c>
      <c r="Y10178" s="8" t="s">
        <v>2181</v>
      </c>
      <c r="Z10178" s="8" t="s">
        <v>2182</v>
      </c>
    </row>
    <row r="10179" spans="1:26" x14ac:dyDescent="0.2">
      <c r="A10179" s="8">
        <v>10178</v>
      </c>
      <c r="B10179" s="8" t="s">
        <v>43684</v>
      </c>
      <c r="C10179" s="8" t="s">
        <v>43684</v>
      </c>
      <c r="G10179" s="8">
        <v>20</v>
      </c>
      <c r="H10179" s="8" t="s">
        <v>21</v>
      </c>
      <c r="I10179" s="8" t="s">
        <v>22</v>
      </c>
      <c r="J10179" s="8" t="s">
        <v>22</v>
      </c>
      <c r="K10179" s="8" t="s">
        <v>64</v>
      </c>
      <c r="L10179" s="8" t="s">
        <v>11551</v>
      </c>
      <c r="M10179" s="8" t="s">
        <v>11552</v>
      </c>
      <c r="N10179" s="8" t="s">
        <v>43685</v>
      </c>
      <c r="O10179" s="8">
        <f>8+23/60+32.7/3600</f>
        <v>8.3924166666666657</v>
      </c>
      <c r="P10179" s="8" t="s">
        <v>43686</v>
      </c>
      <c r="Q10179" s="8">
        <f>+(21+20/60+16/3600)</f>
        <v>21.337777777777777</v>
      </c>
      <c r="R10179" s="8">
        <v>14</v>
      </c>
      <c r="S10179" s="8">
        <v>14.7</v>
      </c>
      <c r="T10179" s="8">
        <v>0.7</v>
      </c>
      <c r="U10179" s="8">
        <v>12.1</v>
      </c>
      <c r="V10179" s="8">
        <v>0.5</v>
      </c>
      <c r="W10179" s="8">
        <v>0.4</v>
      </c>
      <c r="Y10179" s="8" t="s">
        <v>41155</v>
      </c>
      <c r="Z10179" s="8" t="s">
        <v>41156</v>
      </c>
    </row>
    <row r="10180" spans="1:26" x14ac:dyDescent="0.2">
      <c r="A10180" s="8">
        <v>10179</v>
      </c>
      <c r="B10180" s="8" t="s">
        <v>43687</v>
      </c>
      <c r="C10180" s="8" t="s">
        <v>43687</v>
      </c>
      <c r="G10180" s="8">
        <v>20</v>
      </c>
      <c r="H10180" s="8" t="s">
        <v>21</v>
      </c>
      <c r="I10180" s="8" t="s">
        <v>22</v>
      </c>
      <c r="J10180" s="8" t="s">
        <v>22</v>
      </c>
      <c r="K10180" s="8" t="s">
        <v>64</v>
      </c>
      <c r="L10180" s="8" t="s">
        <v>11551</v>
      </c>
      <c r="M10180" s="8" t="s">
        <v>11552</v>
      </c>
      <c r="N10180" s="8" t="s">
        <v>43688</v>
      </c>
      <c r="O10180" s="8">
        <f>8+23/60+34.2/3600</f>
        <v>8.392833333333332</v>
      </c>
      <c r="P10180" s="8" t="s">
        <v>43689</v>
      </c>
      <c r="Q10180" s="8">
        <f>+(21+20/60+51/3600)</f>
        <v>21.3475</v>
      </c>
      <c r="R10180" s="8">
        <v>14.4</v>
      </c>
      <c r="S10180" s="8">
        <v>15.1</v>
      </c>
      <c r="T10180" s="8">
        <v>0.7</v>
      </c>
      <c r="U10180" s="8">
        <v>13.8</v>
      </c>
      <c r="V10180" s="8">
        <v>1.1000000000000001</v>
      </c>
      <c r="W10180" s="8">
        <v>0.6</v>
      </c>
      <c r="X10180" s="8">
        <v>60</v>
      </c>
      <c r="Y10180" s="8" t="s">
        <v>22600</v>
      </c>
      <c r="Z10180" s="8" t="s">
        <v>22601</v>
      </c>
    </row>
    <row r="10181" spans="1:26" x14ac:dyDescent="0.2">
      <c r="A10181" s="8">
        <v>10180</v>
      </c>
      <c r="B10181" s="8" t="s">
        <v>43690</v>
      </c>
      <c r="C10181" s="8" t="s">
        <v>43690</v>
      </c>
      <c r="G10181" s="8">
        <v>20</v>
      </c>
      <c r="H10181" s="8" t="s">
        <v>21</v>
      </c>
      <c r="I10181" s="8" t="s">
        <v>22</v>
      </c>
      <c r="J10181" s="8" t="s">
        <v>22</v>
      </c>
      <c r="K10181" s="8" t="s">
        <v>37</v>
      </c>
      <c r="L10181" s="8" t="s">
        <v>11551</v>
      </c>
      <c r="M10181" s="8" t="s">
        <v>11552</v>
      </c>
      <c r="N10181" s="8" t="s">
        <v>43691</v>
      </c>
      <c r="O10181" s="8">
        <f>8+23/60+30.2/3600</f>
        <v>8.3917222222222225</v>
      </c>
      <c r="P10181" s="8" t="s">
        <v>43692</v>
      </c>
      <c r="Q10181" s="8">
        <f>+(18+44/60+58/3600)</f>
        <v>18.749444444444446</v>
      </c>
      <c r="R10181" s="8">
        <v>13.9</v>
      </c>
      <c r="S10181" s="8">
        <v>14.9</v>
      </c>
      <c r="T10181" s="8">
        <v>1</v>
      </c>
      <c r="U10181" s="8">
        <v>12.6</v>
      </c>
      <c r="V10181" s="8">
        <v>0.7</v>
      </c>
      <c r="W10181" s="8">
        <v>0.5</v>
      </c>
      <c r="X10181" s="8">
        <v>171</v>
      </c>
      <c r="Y10181" s="8" t="s">
        <v>43693</v>
      </c>
      <c r="Z10181" s="8" t="s">
        <v>43694</v>
      </c>
    </row>
    <row r="10182" spans="1:26" x14ac:dyDescent="0.2">
      <c r="A10182" s="8">
        <v>10181</v>
      </c>
      <c r="B10182" s="8" t="s">
        <v>43695</v>
      </c>
      <c r="C10182" s="8" t="s">
        <v>43695</v>
      </c>
      <c r="G10182" s="8">
        <v>20</v>
      </c>
      <c r="H10182" s="8" t="s">
        <v>21</v>
      </c>
      <c r="I10182" s="8" t="s">
        <v>22</v>
      </c>
      <c r="J10182" s="8" t="s">
        <v>22</v>
      </c>
      <c r="K10182" s="8" t="s">
        <v>58</v>
      </c>
      <c r="L10182" s="8" t="s">
        <v>11551</v>
      </c>
      <c r="M10182" s="8" t="s">
        <v>11552</v>
      </c>
      <c r="N10182" s="8" t="s">
        <v>43696</v>
      </c>
      <c r="O10182" s="8">
        <f>8+23/60+41.4/3600</f>
        <v>8.3948333333333327</v>
      </c>
      <c r="P10182" s="8" t="s">
        <v>43697</v>
      </c>
      <c r="Q10182" s="8">
        <f>+(21+26/60+6/3600)</f>
        <v>21.434999999999999</v>
      </c>
      <c r="R10182" s="8">
        <v>13.6</v>
      </c>
      <c r="S10182" s="8">
        <v>14.6</v>
      </c>
      <c r="T10182" s="8">
        <v>1</v>
      </c>
      <c r="U10182" s="8">
        <v>13.2</v>
      </c>
      <c r="V10182" s="8">
        <v>1.3</v>
      </c>
      <c r="W10182" s="8">
        <v>0.6</v>
      </c>
      <c r="X10182" s="8">
        <v>1</v>
      </c>
      <c r="Y10182" s="8" t="s">
        <v>22600</v>
      </c>
      <c r="Z10182" s="8" t="s">
        <v>22601</v>
      </c>
    </row>
    <row r="10183" spans="1:26" x14ac:dyDescent="0.2">
      <c r="A10183" s="8">
        <v>10182</v>
      </c>
      <c r="B10183" s="8" t="s">
        <v>43698</v>
      </c>
      <c r="C10183" s="8" t="s">
        <v>43698</v>
      </c>
      <c r="G10183" s="8">
        <v>20</v>
      </c>
      <c r="H10183" s="8" t="s">
        <v>21</v>
      </c>
      <c r="I10183" s="8" t="s">
        <v>72</v>
      </c>
      <c r="J10183" s="8" t="s">
        <v>72</v>
      </c>
      <c r="K10183" s="8" t="s">
        <v>20</v>
      </c>
      <c r="L10183" s="8" t="s">
        <v>11551</v>
      </c>
      <c r="M10183" s="8" t="s">
        <v>11552</v>
      </c>
      <c r="N10183" s="8" t="s">
        <v>43699</v>
      </c>
      <c r="O10183" s="8">
        <f>8+23/60+32.2/3600</f>
        <v>8.3922777777777782</v>
      </c>
      <c r="P10183" s="8" t="s">
        <v>43700</v>
      </c>
      <c r="Q10183" s="8">
        <f>+(18+34/60+46/3600)</f>
        <v>18.579444444444444</v>
      </c>
      <c r="R10183" s="8">
        <v>99</v>
      </c>
      <c r="S10183" s="8">
        <v>99</v>
      </c>
      <c r="T10183" s="8">
        <v>99</v>
      </c>
      <c r="U10183" s="8">
        <v>99</v>
      </c>
      <c r="Y10183" s="8" t="s">
        <v>21</v>
      </c>
      <c r="Z10183" s="8" t="s">
        <v>43701</v>
      </c>
    </row>
    <row r="10184" spans="1:26" x14ac:dyDescent="0.2">
      <c r="A10184" s="8">
        <v>10183</v>
      </c>
      <c r="B10184" s="8" t="s">
        <v>43702</v>
      </c>
      <c r="C10184" s="8" t="s">
        <v>43702</v>
      </c>
      <c r="G10184" s="8">
        <v>20</v>
      </c>
      <c r="H10184" s="8" t="s">
        <v>21</v>
      </c>
      <c r="I10184" s="8" t="s">
        <v>72</v>
      </c>
      <c r="J10184" s="8" t="s">
        <v>72</v>
      </c>
      <c r="K10184" s="8" t="s">
        <v>20</v>
      </c>
      <c r="L10184" s="8" t="s">
        <v>11551</v>
      </c>
      <c r="M10184" s="8" t="s">
        <v>11552</v>
      </c>
      <c r="N10184" s="8" t="s">
        <v>43699</v>
      </c>
      <c r="O10184" s="8">
        <f>8+23/60+32.2/3600</f>
        <v>8.3922777777777782</v>
      </c>
      <c r="P10184" s="8" t="s">
        <v>43703</v>
      </c>
      <c r="Q10184" s="8">
        <f>+(18+34/60+47/3600)</f>
        <v>18.579722222222223</v>
      </c>
      <c r="R10184" s="8">
        <v>99</v>
      </c>
      <c r="S10184" s="8">
        <v>15</v>
      </c>
      <c r="T10184" s="8">
        <v>99</v>
      </c>
      <c r="U10184" s="8">
        <v>99</v>
      </c>
      <c r="Y10184" s="8" t="s">
        <v>43704</v>
      </c>
      <c r="Z10184" s="8" t="s">
        <v>43705</v>
      </c>
    </row>
    <row r="10185" spans="1:26" x14ac:dyDescent="0.2">
      <c r="A10185" s="8">
        <v>10184</v>
      </c>
      <c r="B10185" s="8" t="s">
        <v>43706</v>
      </c>
      <c r="C10185" s="8" t="s">
        <v>43706</v>
      </c>
      <c r="G10185" s="8">
        <v>20</v>
      </c>
      <c r="H10185" s="8" t="s">
        <v>21</v>
      </c>
      <c r="I10185" s="8" t="s">
        <v>72</v>
      </c>
      <c r="J10185" s="8" t="s">
        <v>72</v>
      </c>
      <c r="K10185" s="8" t="s">
        <v>20</v>
      </c>
      <c r="L10185" s="8" t="s">
        <v>11551</v>
      </c>
      <c r="M10185" s="8" t="s">
        <v>11552</v>
      </c>
      <c r="N10185" s="8" t="s">
        <v>43707</v>
      </c>
      <c r="O10185" s="8">
        <f>8+23/60+54.9/3600</f>
        <v>8.3985833333333328</v>
      </c>
      <c r="P10185" s="8" t="s">
        <v>43708</v>
      </c>
      <c r="Q10185" s="8">
        <f>+(18+39/60+34/3600)</f>
        <v>18.659444444444443</v>
      </c>
      <c r="R10185" s="8">
        <v>99</v>
      </c>
      <c r="S10185" s="8">
        <v>99</v>
      </c>
      <c r="T10185" s="8">
        <v>99</v>
      </c>
      <c r="U10185" s="8">
        <v>99</v>
      </c>
      <c r="Y10185" s="8" t="s">
        <v>13326</v>
      </c>
      <c r="Z10185" s="8" t="s">
        <v>4130</v>
      </c>
    </row>
    <row r="10186" spans="1:26" x14ac:dyDescent="0.2">
      <c r="A10186" s="8">
        <v>10185</v>
      </c>
      <c r="B10186" s="8" t="s">
        <v>43709</v>
      </c>
      <c r="C10186" s="8" t="s">
        <v>43709</v>
      </c>
      <c r="G10186" s="8">
        <v>20</v>
      </c>
      <c r="H10186" s="8" t="s">
        <v>21</v>
      </c>
      <c r="I10186" s="8" t="s">
        <v>72</v>
      </c>
      <c r="J10186" s="8" t="s">
        <v>72</v>
      </c>
      <c r="K10186" s="8" t="s">
        <v>20</v>
      </c>
      <c r="L10186" s="8" t="s">
        <v>11551</v>
      </c>
      <c r="M10186" s="8" t="s">
        <v>11552</v>
      </c>
      <c r="N10186" s="8" t="s">
        <v>43710</v>
      </c>
      <c r="O10186" s="8">
        <f>8+24/60+8.5/3600</f>
        <v>8.4023611111111123</v>
      </c>
      <c r="P10186" s="8" t="s">
        <v>43711</v>
      </c>
      <c r="Q10186" s="8">
        <f>+(19+57/60+9/3600)</f>
        <v>19.952500000000001</v>
      </c>
      <c r="R10186" s="8">
        <v>99</v>
      </c>
      <c r="S10186" s="8">
        <v>99</v>
      </c>
      <c r="T10186" s="8">
        <v>99</v>
      </c>
      <c r="U10186" s="8">
        <v>99</v>
      </c>
      <c r="Y10186" s="8" t="s">
        <v>21</v>
      </c>
      <c r="Z10186" s="8" t="s">
        <v>43712</v>
      </c>
    </row>
    <row r="10187" spans="1:26" x14ac:dyDescent="0.2">
      <c r="A10187" s="8">
        <v>10186</v>
      </c>
      <c r="B10187" s="8" t="s">
        <v>43713</v>
      </c>
      <c r="C10187" s="8" t="s">
        <v>43713</v>
      </c>
      <c r="G10187" s="8">
        <v>20</v>
      </c>
      <c r="H10187" s="8" t="s">
        <v>21</v>
      </c>
      <c r="I10187" s="8" t="s">
        <v>72</v>
      </c>
      <c r="J10187" s="8" t="s">
        <v>72</v>
      </c>
      <c r="K10187" s="8" t="s">
        <v>73</v>
      </c>
      <c r="L10187" s="8" t="s">
        <v>11551</v>
      </c>
      <c r="M10187" s="8" t="s">
        <v>11552</v>
      </c>
      <c r="N10187" s="8" t="s">
        <v>43714</v>
      </c>
      <c r="O10187" s="8">
        <f>8+24/60+10.5/3600</f>
        <v>8.4029166666666661</v>
      </c>
      <c r="P10187" s="8" t="s">
        <v>43715</v>
      </c>
      <c r="Q10187" s="8">
        <f>+(19+42/60+20/3600)</f>
        <v>19.705555555555556</v>
      </c>
      <c r="R10187" s="8">
        <v>99</v>
      </c>
      <c r="S10187" s="8">
        <v>99</v>
      </c>
      <c r="T10187" s="8">
        <v>99</v>
      </c>
      <c r="U10187" s="8">
        <v>99</v>
      </c>
      <c r="Y10187" s="8" t="s">
        <v>21</v>
      </c>
      <c r="Z10187" s="8" t="s">
        <v>43716</v>
      </c>
    </row>
    <row r="10188" spans="1:26" x14ac:dyDescent="0.2">
      <c r="A10188" s="8">
        <v>10187</v>
      </c>
      <c r="B10188" s="8" t="s">
        <v>43717</v>
      </c>
      <c r="C10188" s="8" t="s">
        <v>43717</v>
      </c>
      <c r="G10188" s="8">
        <v>20</v>
      </c>
      <c r="H10188" s="8" t="s">
        <v>21</v>
      </c>
      <c r="I10188" s="8" t="s">
        <v>72</v>
      </c>
      <c r="J10188" s="8" t="s">
        <v>72</v>
      </c>
      <c r="K10188" s="8" t="s">
        <v>20</v>
      </c>
      <c r="L10188" s="8" t="s">
        <v>11551</v>
      </c>
      <c r="M10188" s="8" t="s">
        <v>11552</v>
      </c>
      <c r="N10188" s="8" t="s">
        <v>43718</v>
      </c>
      <c r="O10188" s="8">
        <f>8+24/60+14/3600</f>
        <v>8.4038888888888899</v>
      </c>
      <c r="P10188" s="8" t="s">
        <v>43719</v>
      </c>
      <c r="Q10188" s="8">
        <f>+(18+46/60+26/3600)</f>
        <v>18.773888888888887</v>
      </c>
      <c r="R10188" s="8">
        <v>99</v>
      </c>
      <c r="S10188" s="8">
        <v>99</v>
      </c>
      <c r="T10188" s="8">
        <v>99</v>
      </c>
      <c r="U10188" s="8">
        <v>99</v>
      </c>
      <c r="Y10188" s="8" t="s">
        <v>39286</v>
      </c>
      <c r="Z10188" s="8" t="s">
        <v>39287</v>
      </c>
    </row>
    <row r="10189" spans="1:26" x14ac:dyDescent="0.2">
      <c r="A10189" s="8">
        <v>10188</v>
      </c>
      <c r="B10189" s="8" t="s">
        <v>43720</v>
      </c>
      <c r="C10189" s="8" t="s">
        <v>43720</v>
      </c>
      <c r="G10189" s="8">
        <v>20</v>
      </c>
      <c r="H10189" s="8" t="s">
        <v>21</v>
      </c>
      <c r="I10189" s="8" t="s">
        <v>22</v>
      </c>
      <c r="J10189" s="8" t="s">
        <v>22</v>
      </c>
      <c r="K10189" s="8" t="s">
        <v>476</v>
      </c>
      <c r="L10189" s="8" t="s">
        <v>11551</v>
      </c>
      <c r="M10189" s="8" t="s">
        <v>11552</v>
      </c>
      <c r="N10189" s="8" t="s">
        <v>43721</v>
      </c>
      <c r="O10189" s="8">
        <f>8+24/60+20.2/3600</f>
        <v>8.4056111111111118</v>
      </c>
      <c r="P10189" s="8" t="s">
        <v>43722</v>
      </c>
      <c r="Q10189" s="8">
        <f>+(20+32/60+2/3600)</f>
        <v>20.533888888888889</v>
      </c>
      <c r="R10189" s="8">
        <v>15</v>
      </c>
      <c r="S10189" s="8">
        <v>15.7</v>
      </c>
      <c r="T10189" s="8">
        <v>0.7</v>
      </c>
      <c r="U10189" s="8">
        <v>13.3</v>
      </c>
      <c r="V10189" s="8">
        <v>0.7</v>
      </c>
      <c r="W10189" s="8">
        <v>0.4</v>
      </c>
      <c r="X10189" s="8">
        <v>90</v>
      </c>
      <c r="Y10189" s="8" t="s">
        <v>43723</v>
      </c>
      <c r="Z10189" s="8" t="s">
        <v>43724</v>
      </c>
    </row>
    <row r="10190" spans="1:26" x14ac:dyDescent="0.2">
      <c r="A10190" s="8">
        <v>10189</v>
      </c>
      <c r="B10190" s="8" t="s">
        <v>43725</v>
      </c>
      <c r="C10190" s="8" t="s">
        <v>43725</v>
      </c>
      <c r="G10190" s="8">
        <v>20</v>
      </c>
      <c r="H10190" s="8" t="s">
        <v>21</v>
      </c>
      <c r="I10190" s="8" t="s">
        <v>72</v>
      </c>
      <c r="J10190" s="8" t="s">
        <v>72</v>
      </c>
      <c r="K10190" s="8" t="s">
        <v>20</v>
      </c>
      <c r="L10190" s="8" t="s">
        <v>11551</v>
      </c>
      <c r="M10190" s="8" t="s">
        <v>11552</v>
      </c>
      <c r="N10190" s="8" t="s">
        <v>43726</v>
      </c>
      <c r="O10190" s="8">
        <f>8+24/60+17.1/3600</f>
        <v>8.4047499999999999</v>
      </c>
      <c r="P10190" s="8" t="s">
        <v>43727</v>
      </c>
      <c r="Q10190" s="8">
        <f>+(19+0/60+22/3600)</f>
        <v>19.00611111111111</v>
      </c>
      <c r="R10190" s="8">
        <v>99</v>
      </c>
      <c r="S10190" s="8">
        <v>99</v>
      </c>
      <c r="T10190" s="8">
        <v>99</v>
      </c>
      <c r="U10190" s="8">
        <v>99</v>
      </c>
      <c r="Y10190" s="8" t="s">
        <v>43728</v>
      </c>
      <c r="Z10190" s="8" t="s">
        <v>43729</v>
      </c>
    </row>
    <row r="10191" spans="1:26" x14ac:dyDescent="0.2">
      <c r="A10191" s="8">
        <v>10190</v>
      </c>
      <c r="B10191" s="8" t="s">
        <v>43730</v>
      </c>
      <c r="C10191" s="8" t="s">
        <v>43730</v>
      </c>
      <c r="G10191" s="8">
        <v>20</v>
      </c>
      <c r="H10191" s="8" t="s">
        <v>21</v>
      </c>
      <c r="I10191" s="8" t="s">
        <v>329</v>
      </c>
      <c r="J10191" s="8" t="s">
        <v>329</v>
      </c>
      <c r="K10191" s="8" t="s">
        <v>329</v>
      </c>
      <c r="L10191" s="8" t="s">
        <v>11551</v>
      </c>
      <c r="M10191" s="8" t="s">
        <v>11552</v>
      </c>
      <c r="N10191" s="8" t="s">
        <v>43731</v>
      </c>
      <c r="O10191" s="8">
        <f>8+24/60+28.3/3600</f>
        <v>8.4078611111111119</v>
      </c>
      <c r="P10191" s="8" t="s">
        <v>43732</v>
      </c>
      <c r="Q10191" s="8">
        <f>+(19+33/60+7/3600)</f>
        <v>19.551944444444445</v>
      </c>
      <c r="R10191" s="8">
        <v>99</v>
      </c>
      <c r="S10191" s="8">
        <v>99</v>
      </c>
      <c r="T10191" s="8">
        <v>99</v>
      </c>
      <c r="U10191" s="8">
        <v>99</v>
      </c>
      <c r="Y10191" s="8" t="s">
        <v>43733</v>
      </c>
      <c r="Z10191" s="8" t="s">
        <v>43734</v>
      </c>
    </row>
    <row r="10192" spans="1:26" x14ac:dyDescent="0.2">
      <c r="A10192" s="8">
        <v>10191</v>
      </c>
      <c r="B10192" s="8" t="s">
        <v>43735</v>
      </c>
      <c r="C10192" s="8" t="s">
        <v>43735</v>
      </c>
      <c r="G10192" s="8">
        <v>20</v>
      </c>
      <c r="H10192" s="8" t="s">
        <v>21</v>
      </c>
      <c r="I10192" s="8" t="s">
        <v>72</v>
      </c>
      <c r="J10192" s="8" t="s">
        <v>72</v>
      </c>
      <c r="K10192" s="8" t="s">
        <v>20</v>
      </c>
      <c r="L10192" s="8" t="s">
        <v>11551</v>
      </c>
      <c r="M10192" s="8" t="s">
        <v>11552</v>
      </c>
      <c r="N10192" s="8" t="s">
        <v>43736</v>
      </c>
      <c r="O10192" s="8">
        <f>8+24/60+30.3/3600</f>
        <v>8.4084166666666675</v>
      </c>
      <c r="P10192" s="8" t="s">
        <v>43737</v>
      </c>
      <c r="Q10192" s="8">
        <f>+(18+35/60+18/3600)</f>
        <v>18.588333333333331</v>
      </c>
      <c r="R10192" s="8">
        <v>99</v>
      </c>
      <c r="S10192" s="8">
        <v>99</v>
      </c>
      <c r="T10192" s="8">
        <v>99</v>
      </c>
      <c r="U10192" s="8">
        <v>99</v>
      </c>
      <c r="Y10192" s="8" t="s">
        <v>21</v>
      </c>
      <c r="Z10192" s="8" t="s">
        <v>43738</v>
      </c>
    </row>
    <row r="10193" spans="1:26" x14ac:dyDescent="0.2">
      <c r="A10193" s="8">
        <v>10192</v>
      </c>
      <c r="B10193" s="8" t="s">
        <v>43739</v>
      </c>
      <c r="C10193" s="8" t="s">
        <v>43739</v>
      </c>
      <c r="G10193" s="8">
        <v>20</v>
      </c>
      <c r="H10193" s="8" t="s">
        <v>21</v>
      </c>
      <c r="I10193" s="8" t="s">
        <v>72</v>
      </c>
      <c r="J10193" s="8" t="s">
        <v>72</v>
      </c>
      <c r="K10193" s="8" t="s">
        <v>20</v>
      </c>
      <c r="L10193" s="8" t="s">
        <v>11551</v>
      </c>
      <c r="M10193" s="8" t="s">
        <v>11552</v>
      </c>
      <c r="N10193" s="8" t="s">
        <v>43740</v>
      </c>
      <c r="O10193" s="8">
        <f>8+24/60+40/3600</f>
        <v>8.4111111111111114</v>
      </c>
      <c r="P10193" s="8" t="s">
        <v>43741</v>
      </c>
      <c r="Q10193" s="8">
        <f>+(19+36/60+8/3600)</f>
        <v>19.602222222222224</v>
      </c>
      <c r="R10193" s="8">
        <v>99</v>
      </c>
      <c r="S10193" s="8">
        <v>99</v>
      </c>
      <c r="T10193" s="8">
        <v>99</v>
      </c>
      <c r="U10193" s="8">
        <v>99</v>
      </c>
      <c r="Y10193" s="8" t="s">
        <v>21</v>
      </c>
      <c r="Z10193" s="8" t="s">
        <v>43742</v>
      </c>
    </row>
    <row r="10194" spans="1:26" x14ac:dyDescent="0.2">
      <c r="A10194" s="8">
        <v>10193</v>
      </c>
      <c r="B10194" s="8" t="s">
        <v>43743</v>
      </c>
      <c r="C10194" s="8" t="s">
        <v>43743</v>
      </c>
      <c r="G10194" s="8">
        <v>20</v>
      </c>
      <c r="H10194" s="8" t="s">
        <v>21</v>
      </c>
      <c r="I10194" s="8" t="s">
        <v>72</v>
      </c>
      <c r="J10194" s="8" t="s">
        <v>72</v>
      </c>
      <c r="K10194" s="8" t="s">
        <v>20</v>
      </c>
      <c r="L10194" s="8" t="s">
        <v>11551</v>
      </c>
      <c r="M10194" s="8" t="s">
        <v>11552</v>
      </c>
      <c r="N10194" s="8" t="s">
        <v>43744</v>
      </c>
      <c r="O10194" s="8">
        <f>8+24/60+18/3600</f>
        <v>8.4050000000000011</v>
      </c>
      <c r="P10194" s="8" t="s">
        <v>43745</v>
      </c>
      <c r="Q10194" s="8">
        <f>+(18+39/60+21/3600)</f>
        <v>18.65583333333333</v>
      </c>
      <c r="R10194" s="8">
        <v>99</v>
      </c>
      <c r="S10194" s="8">
        <v>99</v>
      </c>
      <c r="T10194" s="8">
        <v>99</v>
      </c>
      <c r="U10194" s="8">
        <v>99</v>
      </c>
      <c r="Y10194" s="8" t="s">
        <v>21</v>
      </c>
      <c r="Z10194" s="8" t="s">
        <v>43746</v>
      </c>
    </row>
    <row r="10195" spans="1:26" x14ac:dyDescent="0.2">
      <c r="A10195" s="8">
        <v>10194</v>
      </c>
      <c r="B10195" s="8" t="s">
        <v>43747</v>
      </c>
      <c r="C10195" s="8" t="s">
        <v>43747</v>
      </c>
      <c r="G10195" s="8">
        <v>20</v>
      </c>
      <c r="H10195" s="8" t="s">
        <v>21</v>
      </c>
      <c r="I10195" s="8" t="s">
        <v>72</v>
      </c>
      <c r="J10195" s="8" t="s">
        <v>72</v>
      </c>
      <c r="K10195" s="8" t="s">
        <v>73</v>
      </c>
      <c r="L10195" s="8" t="s">
        <v>11551</v>
      </c>
      <c r="M10195" s="8" t="s">
        <v>11552</v>
      </c>
      <c r="N10195" s="8" t="s">
        <v>43748</v>
      </c>
      <c r="O10195" s="8">
        <f>8+24/60+40.7/3600</f>
        <v>8.4113055555555558</v>
      </c>
      <c r="P10195" s="8" t="s">
        <v>43749</v>
      </c>
      <c r="Q10195" s="8">
        <f>+(18+39/60+59/3600)</f>
        <v>18.666388888888889</v>
      </c>
      <c r="R10195" s="8">
        <v>99</v>
      </c>
      <c r="S10195" s="8">
        <v>99</v>
      </c>
      <c r="T10195" s="8">
        <v>99</v>
      </c>
      <c r="U10195" s="8">
        <v>99</v>
      </c>
      <c r="Y10195" s="8" t="s">
        <v>43750</v>
      </c>
      <c r="Z10195" s="8" t="s">
        <v>43751</v>
      </c>
    </row>
    <row r="10196" spans="1:26" x14ac:dyDescent="0.2">
      <c r="A10196" s="8">
        <v>10195</v>
      </c>
      <c r="B10196" s="8" t="s">
        <v>43752</v>
      </c>
      <c r="C10196" s="8" t="s">
        <v>43752</v>
      </c>
      <c r="G10196" s="8">
        <v>20</v>
      </c>
      <c r="H10196" s="8" t="s">
        <v>21</v>
      </c>
      <c r="I10196" s="8" t="s">
        <v>72</v>
      </c>
      <c r="J10196" s="8" t="s">
        <v>72</v>
      </c>
      <c r="K10196" s="8" t="s">
        <v>73</v>
      </c>
      <c r="L10196" s="8" t="s">
        <v>11551</v>
      </c>
      <c r="M10196" s="8" t="s">
        <v>11552</v>
      </c>
      <c r="N10196" s="8" t="s">
        <v>43753</v>
      </c>
      <c r="O10196" s="8">
        <f>8+24/60+51.7/3600</f>
        <v>8.414361111111111</v>
      </c>
      <c r="P10196" s="8" t="s">
        <v>43754</v>
      </c>
      <c r="Q10196" s="8">
        <f>+(20+27/60+43/3600)</f>
        <v>20.461944444444445</v>
      </c>
      <c r="R10196" s="8">
        <v>99</v>
      </c>
      <c r="S10196" s="8">
        <v>99</v>
      </c>
      <c r="T10196" s="8">
        <v>99</v>
      </c>
      <c r="U10196" s="8">
        <v>99</v>
      </c>
      <c r="Y10196" s="8" t="s">
        <v>43286</v>
      </c>
      <c r="Z10196" s="8" t="s">
        <v>43287</v>
      </c>
    </row>
    <row r="10197" spans="1:26" x14ac:dyDescent="0.2">
      <c r="A10197" s="8">
        <v>10196</v>
      </c>
      <c r="B10197" s="8" t="s">
        <v>43755</v>
      </c>
      <c r="C10197" s="8" t="s">
        <v>43755</v>
      </c>
      <c r="G10197" s="8">
        <v>20</v>
      </c>
      <c r="H10197" s="8" t="s">
        <v>21</v>
      </c>
      <c r="I10197" s="8" t="s">
        <v>72</v>
      </c>
      <c r="J10197" s="8" t="s">
        <v>72</v>
      </c>
      <c r="K10197" s="8" t="s">
        <v>20</v>
      </c>
      <c r="L10197" s="8" t="s">
        <v>11551</v>
      </c>
      <c r="M10197" s="8" t="s">
        <v>11552</v>
      </c>
      <c r="N10197" s="8" t="s">
        <v>43756</v>
      </c>
      <c r="O10197" s="8">
        <f>8+25/60+0.8/3600</f>
        <v>8.416888888888888</v>
      </c>
      <c r="P10197" s="8" t="s">
        <v>43757</v>
      </c>
      <c r="Q10197" s="8">
        <f>+(19+29/60+50/3600)</f>
        <v>19.497222222222224</v>
      </c>
      <c r="R10197" s="8">
        <v>99</v>
      </c>
      <c r="S10197" s="8">
        <v>99</v>
      </c>
      <c r="T10197" s="8">
        <v>99</v>
      </c>
      <c r="U10197" s="8">
        <v>99</v>
      </c>
      <c r="Y10197" s="8" t="s">
        <v>43758</v>
      </c>
      <c r="Z10197" s="8" t="s">
        <v>43759</v>
      </c>
    </row>
    <row r="10198" spans="1:26" x14ac:dyDescent="0.2">
      <c r="A10198" s="8">
        <v>10197</v>
      </c>
      <c r="B10198" s="8" t="s">
        <v>43760</v>
      </c>
      <c r="C10198" s="8" t="s">
        <v>43760</v>
      </c>
      <c r="G10198" s="8">
        <v>20</v>
      </c>
      <c r="H10198" s="8" t="s">
        <v>21</v>
      </c>
      <c r="I10198" s="8" t="s">
        <v>72</v>
      </c>
      <c r="J10198" s="8" t="s">
        <v>72</v>
      </c>
      <c r="K10198" s="8" t="s">
        <v>20</v>
      </c>
      <c r="L10198" s="8" t="s">
        <v>11551</v>
      </c>
      <c r="M10198" s="8" t="s">
        <v>11552</v>
      </c>
      <c r="N10198" s="8" t="s">
        <v>43761</v>
      </c>
      <c r="O10198" s="8">
        <f>8+25/60+4.6/3600</f>
        <v>8.4179444444444442</v>
      </c>
      <c r="P10198" s="8" t="s">
        <v>43762</v>
      </c>
      <c r="Q10198" s="8">
        <f>+(19+30/60+31/3600)</f>
        <v>19.508611111111112</v>
      </c>
      <c r="R10198" s="8">
        <v>99</v>
      </c>
      <c r="S10198" s="8">
        <v>99</v>
      </c>
      <c r="T10198" s="8">
        <v>99</v>
      </c>
      <c r="U10198" s="8">
        <v>99</v>
      </c>
      <c r="Y10198" s="8" t="s">
        <v>43763</v>
      </c>
      <c r="Z10198" s="8" t="s">
        <v>43764</v>
      </c>
    </row>
    <row r="10199" spans="1:26" x14ac:dyDescent="0.2">
      <c r="A10199" s="8">
        <v>10198</v>
      </c>
      <c r="B10199" s="8" t="s">
        <v>43765</v>
      </c>
      <c r="C10199" s="8" t="s">
        <v>43765</v>
      </c>
      <c r="G10199" s="8">
        <v>20</v>
      </c>
      <c r="H10199" s="8" t="s">
        <v>21</v>
      </c>
      <c r="I10199" s="8" t="s">
        <v>72</v>
      </c>
      <c r="J10199" s="8" t="s">
        <v>72</v>
      </c>
      <c r="K10199" s="8" t="s">
        <v>20</v>
      </c>
      <c r="L10199" s="8" t="s">
        <v>11551</v>
      </c>
      <c r="M10199" s="8" t="s">
        <v>11552</v>
      </c>
      <c r="N10199" s="8" t="s">
        <v>43766</v>
      </c>
      <c r="O10199" s="8">
        <f>8+25/60+5.2/3600</f>
        <v>8.4181111111111111</v>
      </c>
      <c r="P10199" s="8" t="s">
        <v>43767</v>
      </c>
      <c r="Q10199" s="8">
        <f>+(19+29/60+43/3600)</f>
        <v>19.49527777777778</v>
      </c>
      <c r="R10199" s="8">
        <v>99</v>
      </c>
      <c r="S10199" s="8">
        <v>99</v>
      </c>
      <c r="T10199" s="8">
        <v>99</v>
      </c>
      <c r="U10199" s="8">
        <v>99</v>
      </c>
      <c r="Y10199" s="8" t="s">
        <v>21</v>
      </c>
      <c r="Z10199" s="8" t="s">
        <v>43768</v>
      </c>
    </row>
    <row r="10200" spans="1:26" x14ac:dyDescent="0.2">
      <c r="A10200" s="8">
        <v>10199</v>
      </c>
      <c r="B10200" s="8" t="s">
        <v>43769</v>
      </c>
      <c r="C10200" s="8" t="s">
        <v>43769</v>
      </c>
      <c r="G10200" s="8">
        <v>20</v>
      </c>
      <c r="H10200" s="8" t="s">
        <v>21</v>
      </c>
      <c r="I10200" s="8" t="s">
        <v>22</v>
      </c>
      <c r="J10200" s="8" t="s">
        <v>57</v>
      </c>
      <c r="K10200" s="8" t="s">
        <v>406</v>
      </c>
      <c r="L10200" s="8" t="s">
        <v>11551</v>
      </c>
      <c r="M10200" s="8" t="s">
        <v>11552</v>
      </c>
      <c r="N10200" s="8" t="s">
        <v>11937</v>
      </c>
      <c r="O10200" s="8">
        <f>8+25/60+12.1/3600</f>
        <v>8.4200277777777774</v>
      </c>
      <c r="P10200" s="8" t="s">
        <v>11938</v>
      </c>
      <c r="Q10200" s="8">
        <f>+(20+20/60+3/3600)</f>
        <v>20.334166666666665</v>
      </c>
      <c r="R10200" s="8">
        <v>13</v>
      </c>
      <c r="S10200" s="8">
        <v>13.9</v>
      </c>
      <c r="T10200" s="8">
        <v>0.9</v>
      </c>
      <c r="U10200" s="8">
        <v>13.3</v>
      </c>
      <c r="V10200" s="8">
        <v>1.2</v>
      </c>
      <c r="W10200" s="8">
        <v>1.2</v>
      </c>
      <c r="Y10200" s="8" t="s">
        <v>21</v>
      </c>
      <c r="Z10200" s="8" t="s">
        <v>43770</v>
      </c>
    </row>
    <row r="10201" spans="1:26" x14ac:dyDescent="0.2">
      <c r="A10201" s="8">
        <v>10200</v>
      </c>
      <c r="B10201" s="8" t="s">
        <v>43771</v>
      </c>
      <c r="C10201" s="8" t="s">
        <v>43771</v>
      </c>
      <c r="G10201" s="8">
        <v>20</v>
      </c>
      <c r="H10201" s="8" t="s">
        <v>21</v>
      </c>
      <c r="I10201" s="8" t="s">
        <v>72</v>
      </c>
      <c r="J10201" s="8" t="s">
        <v>72</v>
      </c>
      <c r="K10201" s="8" t="s">
        <v>20</v>
      </c>
      <c r="L10201" s="8" t="s">
        <v>11551</v>
      </c>
      <c r="M10201" s="8" t="s">
        <v>11552</v>
      </c>
      <c r="N10201" s="8" t="s">
        <v>43772</v>
      </c>
      <c r="O10201" s="8">
        <f>8+25/60+15.2/3600</f>
        <v>8.4208888888888875</v>
      </c>
      <c r="P10201" s="8" t="s">
        <v>43773</v>
      </c>
      <c r="Q10201" s="8">
        <f>+(19+31/60+0/3600)</f>
        <v>19.516666666666666</v>
      </c>
      <c r="R10201" s="8">
        <v>99</v>
      </c>
      <c r="S10201" s="8">
        <v>99</v>
      </c>
      <c r="T10201" s="8">
        <v>99</v>
      </c>
      <c r="U10201" s="8">
        <v>99</v>
      </c>
      <c r="Y10201" s="8" t="s">
        <v>21</v>
      </c>
      <c r="Z10201" s="8" t="s">
        <v>43774</v>
      </c>
    </row>
    <row r="10202" spans="1:26" x14ac:dyDescent="0.2">
      <c r="A10202" s="8">
        <v>10201</v>
      </c>
      <c r="B10202" s="8" t="s">
        <v>43775</v>
      </c>
      <c r="C10202" s="8" t="s">
        <v>43775</v>
      </c>
      <c r="G10202" s="8">
        <v>20</v>
      </c>
      <c r="H10202" s="8" t="s">
        <v>21</v>
      </c>
      <c r="I10202" s="8" t="s">
        <v>22</v>
      </c>
      <c r="J10202" s="8" t="s">
        <v>22</v>
      </c>
      <c r="K10202" s="8" t="s">
        <v>406</v>
      </c>
      <c r="L10202" s="8" t="s">
        <v>11551</v>
      </c>
      <c r="M10202" s="8" t="s">
        <v>11552</v>
      </c>
      <c r="N10202" s="8" t="s">
        <v>43776</v>
      </c>
      <c r="O10202" s="8">
        <f>8+25/60+44.4/3600</f>
        <v>8.4290000000000003</v>
      </c>
      <c r="P10202" s="8" t="s">
        <v>43777</v>
      </c>
      <c r="Q10202" s="8">
        <f>+(27+52/60+29/3600)</f>
        <v>27.874722222222221</v>
      </c>
      <c r="R10202" s="8">
        <v>13.9</v>
      </c>
      <c r="S10202" s="8">
        <v>14.7</v>
      </c>
      <c r="T10202" s="8">
        <v>0.8</v>
      </c>
      <c r="U10202" s="8">
        <v>13</v>
      </c>
      <c r="V10202" s="8">
        <v>1.1000000000000001</v>
      </c>
      <c r="W10202" s="8">
        <v>0.5</v>
      </c>
      <c r="X10202" s="8">
        <v>78</v>
      </c>
      <c r="Y10202" s="8" t="s">
        <v>43778</v>
      </c>
      <c r="Z10202" s="8" t="s">
        <v>43779</v>
      </c>
    </row>
    <row r="10203" spans="1:26" x14ac:dyDescent="0.2">
      <c r="A10203" s="8">
        <v>10202</v>
      </c>
      <c r="B10203" s="8" t="s">
        <v>43780</v>
      </c>
      <c r="C10203" s="8" t="s">
        <v>43780</v>
      </c>
      <c r="G10203" s="8">
        <v>20</v>
      </c>
      <c r="H10203" s="8" t="s">
        <v>21</v>
      </c>
      <c r="I10203" s="8" t="s">
        <v>72</v>
      </c>
      <c r="J10203" s="8" t="s">
        <v>72</v>
      </c>
      <c r="K10203" s="8" t="s">
        <v>73</v>
      </c>
      <c r="L10203" s="8" t="s">
        <v>11551</v>
      </c>
      <c r="M10203" s="8" t="s">
        <v>11552</v>
      </c>
      <c r="N10203" s="8" t="s">
        <v>43781</v>
      </c>
      <c r="O10203" s="8">
        <f>8+25/60+41.5/3600</f>
        <v>8.4281944444444434</v>
      </c>
      <c r="P10203" s="8" t="s">
        <v>43782</v>
      </c>
      <c r="Q10203" s="8">
        <f>+(19+56/60+28/3600)</f>
        <v>19.941111111111113</v>
      </c>
      <c r="R10203" s="8">
        <v>99</v>
      </c>
      <c r="S10203" s="8">
        <v>99</v>
      </c>
      <c r="T10203" s="8">
        <v>99</v>
      </c>
      <c r="U10203" s="8">
        <v>99</v>
      </c>
      <c r="Y10203" s="8" t="s">
        <v>21</v>
      </c>
      <c r="Z10203" s="8" t="s">
        <v>43783</v>
      </c>
    </row>
    <row r="10204" spans="1:26" x14ac:dyDescent="0.2">
      <c r="A10204" s="8">
        <v>10203</v>
      </c>
      <c r="B10204" s="8" t="s">
        <v>43784</v>
      </c>
      <c r="C10204" s="8" t="s">
        <v>43784</v>
      </c>
      <c r="G10204" s="8">
        <v>20</v>
      </c>
      <c r="H10204" s="8" t="s">
        <v>21</v>
      </c>
      <c r="I10204" s="8" t="s">
        <v>22</v>
      </c>
      <c r="J10204" s="8" t="s">
        <v>22</v>
      </c>
      <c r="K10204" s="8" t="s">
        <v>85</v>
      </c>
      <c r="L10204" s="8" t="s">
        <v>11551</v>
      </c>
      <c r="M10204" s="8" t="s">
        <v>11552</v>
      </c>
      <c r="N10204" s="8" t="s">
        <v>43785</v>
      </c>
      <c r="O10204" s="8">
        <f>8+25/60+45.5/3600</f>
        <v>8.4293055555555547</v>
      </c>
      <c r="P10204" s="8" t="s">
        <v>43786</v>
      </c>
      <c r="Q10204" s="8">
        <f>+(19+26/60+55/3600)</f>
        <v>19.448611111111113</v>
      </c>
      <c r="R10204" s="8">
        <v>13.9</v>
      </c>
      <c r="S10204" s="8">
        <v>14.7</v>
      </c>
      <c r="T10204" s="8">
        <v>0.8</v>
      </c>
      <c r="U10204" s="8">
        <v>13.3</v>
      </c>
      <c r="V10204" s="8">
        <v>0.8</v>
      </c>
      <c r="W10204" s="8">
        <v>0.8</v>
      </c>
      <c r="Y10204" s="8" t="s">
        <v>18328</v>
      </c>
      <c r="Z10204" s="8" t="s">
        <v>18329</v>
      </c>
    </row>
    <row r="10205" spans="1:26" x14ac:dyDescent="0.2">
      <c r="A10205" s="8">
        <v>10204</v>
      </c>
      <c r="B10205" s="8" t="s">
        <v>43787</v>
      </c>
      <c r="C10205" s="8" t="s">
        <v>43787</v>
      </c>
      <c r="G10205" s="8">
        <v>20</v>
      </c>
      <c r="H10205" s="8" t="s">
        <v>21</v>
      </c>
      <c r="I10205" s="8" t="s">
        <v>72</v>
      </c>
      <c r="J10205" s="8" t="s">
        <v>72</v>
      </c>
      <c r="K10205" s="8" t="s">
        <v>73</v>
      </c>
      <c r="L10205" s="8" t="s">
        <v>11551</v>
      </c>
      <c r="M10205" s="8" t="s">
        <v>11552</v>
      </c>
      <c r="N10205" s="8" t="s">
        <v>43788</v>
      </c>
      <c r="O10205" s="8">
        <f>8+25/60+51.5/3600</f>
        <v>8.4309722222222216</v>
      </c>
      <c r="P10205" s="8" t="s">
        <v>43789</v>
      </c>
      <c r="Q10205" s="8">
        <f>+(19+45/60+33/3600)</f>
        <v>19.759166666666665</v>
      </c>
      <c r="R10205" s="8">
        <v>99</v>
      </c>
      <c r="S10205" s="8">
        <v>99</v>
      </c>
      <c r="T10205" s="8">
        <v>99</v>
      </c>
      <c r="U10205" s="8">
        <v>99</v>
      </c>
      <c r="Y10205" s="8" t="s">
        <v>3034</v>
      </c>
      <c r="Z10205" s="8" t="s">
        <v>1899</v>
      </c>
    </row>
    <row r="10206" spans="1:26" x14ac:dyDescent="0.2">
      <c r="A10206" s="8">
        <v>10205</v>
      </c>
      <c r="B10206" s="8" t="s">
        <v>43790</v>
      </c>
      <c r="C10206" s="8" t="s">
        <v>43790</v>
      </c>
      <c r="G10206" s="8">
        <v>20</v>
      </c>
      <c r="H10206" s="8" t="s">
        <v>21</v>
      </c>
      <c r="I10206" s="8" t="s">
        <v>22</v>
      </c>
      <c r="J10206" s="8" t="s">
        <v>22</v>
      </c>
      <c r="K10206" s="8" t="s">
        <v>224</v>
      </c>
      <c r="L10206" s="8" t="s">
        <v>11551</v>
      </c>
      <c r="M10206" s="8" t="s">
        <v>11552</v>
      </c>
      <c r="N10206" s="8" t="s">
        <v>43791</v>
      </c>
      <c r="O10206" s="8">
        <f>8+26/60+18/3600</f>
        <v>8.4383333333333344</v>
      </c>
      <c r="P10206" s="8" t="s">
        <v>43792</v>
      </c>
      <c r="Q10206" s="8">
        <f>+(27+50/60+26/3600)</f>
        <v>27.840555555555554</v>
      </c>
      <c r="R10206" s="8">
        <v>13.4</v>
      </c>
      <c r="S10206" s="8">
        <v>14.4</v>
      </c>
      <c r="T10206" s="8">
        <v>1</v>
      </c>
      <c r="U10206" s="8">
        <v>13.1</v>
      </c>
      <c r="V10206" s="8">
        <v>1.1000000000000001</v>
      </c>
      <c r="W10206" s="8">
        <v>0.9</v>
      </c>
      <c r="X10206" s="8">
        <v>45</v>
      </c>
      <c r="Y10206" s="8" t="s">
        <v>34708</v>
      </c>
      <c r="Z10206" s="8" t="s">
        <v>43793</v>
      </c>
    </row>
    <row r="10207" spans="1:26" x14ac:dyDescent="0.2">
      <c r="A10207" s="8">
        <v>10206</v>
      </c>
      <c r="B10207" s="8" t="s">
        <v>43794</v>
      </c>
      <c r="C10207" s="8" t="s">
        <v>43794</v>
      </c>
      <c r="G10207" s="8">
        <v>20</v>
      </c>
      <c r="H10207" s="8" t="s">
        <v>21</v>
      </c>
      <c r="I10207" s="8" t="s">
        <v>22</v>
      </c>
      <c r="J10207" s="8" t="s">
        <v>57</v>
      </c>
      <c r="K10207" s="8" t="s">
        <v>224</v>
      </c>
      <c r="L10207" s="8" t="s">
        <v>11551</v>
      </c>
      <c r="M10207" s="8" t="s">
        <v>11552</v>
      </c>
      <c r="N10207" s="8" t="s">
        <v>43791</v>
      </c>
      <c r="O10207" s="8">
        <f>8+26/60+18/3600</f>
        <v>8.4383333333333344</v>
      </c>
      <c r="P10207" s="8" t="s">
        <v>43792</v>
      </c>
      <c r="Q10207" s="8">
        <f>+(27+50/60+26/3600)</f>
        <v>27.840555555555554</v>
      </c>
      <c r="R10207" s="8">
        <v>13.4</v>
      </c>
      <c r="S10207" s="8">
        <v>14.4</v>
      </c>
      <c r="T10207" s="8">
        <v>1</v>
      </c>
      <c r="U10207" s="8">
        <v>13.1</v>
      </c>
      <c r="V10207" s="8">
        <v>1.1000000000000001</v>
      </c>
      <c r="W10207" s="8">
        <v>0.9</v>
      </c>
      <c r="X10207" s="8">
        <v>45</v>
      </c>
      <c r="Y10207" s="8" t="s">
        <v>43795</v>
      </c>
      <c r="Z10207" s="8" t="s">
        <v>43796</v>
      </c>
    </row>
    <row r="10208" spans="1:26" x14ac:dyDescent="0.2">
      <c r="A10208" s="8">
        <v>10207</v>
      </c>
      <c r="B10208" s="8" t="s">
        <v>43797</v>
      </c>
      <c r="C10208" s="8" t="s">
        <v>43797</v>
      </c>
      <c r="G10208" s="8">
        <v>20</v>
      </c>
      <c r="H10208" s="8" t="s">
        <v>21</v>
      </c>
      <c r="I10208" s="8" t="s">
        <v>22</v>
      </c>
      <c r="J10208" s="8" t="s">
        <v>22</v>
      </c>
      <c r="K10208" s="8" t="s">
        <v>218</v>
      </c>
      <c r="L10208" s="8" t="s">
        <v>10175</v>
      </c>
      <c r="M10208" s="8" t="s">
        <v>10176</v>
      </c>
      <c r="N10208" s="8" t="s">
        <v>43798</v>
      </c>
      <c r="O10208" s="8">
        <f>8+24/60+10/3600</f>
        <v>8.4027777777777786</v>
      </c>
      <c r="P10208" s="8" t="s">
        <v>43799</v>
      </c>
      <c r="Q10208" s="8">
        <f>-(18+46/60+33/3600)</f>
        <v>-18.775833333333331</v>
      </c>
      <c r="R10208" s="8">
        <v>11.9</v>
      </c>
      <c r="S10208" s="8">
        <v>12.7</v>
      </c>
      <c r="T10208" s="8">
        <v>0.8</v>
      </c>
      <c r="U10208" s="8">
        <v>13.4</v>
      </c>
      <c r="V10208" s="8">
        <v>2.6</v>
      </c>
      <c r="W10208" s="8">
        <v>1.8</v>
      </c>
      <c r="X10208" s="8">
        <v>55</v>
      </c>
      <c r="Y10208" s="8" t="s">
        <v>22516</v>
      </c>
      <c r="Z10208" s="8" t="s">
        <v>22517</v>
      </c>
    </row>
    <row r="10209" spans="1:26" x14ac:dyDescent="0.2">
      <c r="A10209" s="8">
        <v>10208</v>
      </c>
      <c r="B10209" s="8" t="s">
        <v>43800</v>
      </c>
      <c r="C10209" s="8" t="s">
        <v>43800</v>
      </c>
      <c r="G10209" s="8">
        <v>20</v>
      </c>
      <c r="H10209" s="8" t="s">
        <v>21</v>
      </c>
      <c r="I10209" s="8" t="s">
        <v>72</v>
      </c>
      <c r="J10209" s="8" t="s">
        <v>72</v>
      </c>
      <c r="K10209" s="8" t="s">
        <v>20</v>
      </c>
      <c r="L10209" s="8" t="s">
        <v>11551</v>
      </c>
      <c r="M10209" s="8" t="s">
        <v>11552</v>
      </c>
      <c r="N10209" s="8" t="s">
        <v>43801</v>
      </c>
      <c r="O10209" s="8">
        <f>8+26/60+1.3/3600</f>
        <v>8.4336944444444448</v>
      </c>
      <c r="P10209" s="8" t="s">
        <v>43802</v>
      </c>
      <c r="Q10209" s="8">
        <f>+(19+52/60+59/3600)</f>
        <v>19.883055555555558</v>
      </c>
      <c r="R10209" s="8">
        <v>99</v>
      </c>
      <c r="S10209" s="8">
        <v>99</v>
      </c>
      <c r="T10209" s="8">
        <v>99</v>
      </c>
      <c r="U10209" s="8">
        <v>99</v>
      </c>
      <c r="Y10209" s="8" t="s">
        <v>43803</v>
      </c>
      <c r="Z10209" s="8" t="s">
        <v>43804</v>
      </c>
    </row>
    <row r="10210" spans="1:26" x14ac:dyDescent="0.2">
      <c r="A10210" s="8">
        <v>10209</v>
      </c>
      <c r="B10210" s="8" t="s">
        <v>43805</v>
      </c>
      <c r="C10210" s="8" t="s">
        <v>43805</v>
      </c>
      <c r="G10210" s="8">
        <v>20</v>
      </c>
      <c r="H10210" s="8" t="s">
        <v>21</v>
      </c>
      <c r="I10210" s="8" t="s">
        <v>72</v>
      </c>
      <c r="J10210" s="8" t="s">
        <v>72</v>
      </c>
      <c r="K10210" s="8" t="s">
        <v>20</v>
      </c>
      <c r="L10210" s="8" t="s">
        <v>11551</v>
      </c>
      <c r="M10210" s="8" t="s">
        <v>11552</v>
      </c>
      <c r="N10210" s="8" t="s">
        <v>43806</v>
      </c>
      <c r="O10210" s="8">
        <f>8+26/60+16.3/3600</f>
        <v>8.4378611111111113</v>
      </c>
      <c r="P10210" s="8" t="s">
        <v>43807</v>
      </c>
      <c r="Q10210" s="8">
        <f>+(20+13/60+57/3600)</f>
        <v>20.232499999999998</v>
      </c>
      <c r="R10210" s="8">
        <v>99</v>
      </c>
      <c r="S10210" s="8">
        <v>99</v>
      </c>
      <c r="T10210" s="8">
        <v>99</v>
      </c>
      <c r="U10210" s="8">
        <v>99</v>
      </c>
      <c r="Y10210" s="8" t="s">
        <v>43286</v>
      </c>
      <c r="Z10210" s="8" t="s">
        <v>43287</v>
      </c>
    </row>
    <row r="10211" spans="1:26" x14ac:dyDescent="0.2">
      <c r="A10211" s="8">
        <v>10210</v>
      </c>
      <c r="B10211" s="8" t="s">
        <v>43808</v>
      </c>
      <c r="C10211" s="8" t="s">
        <v>43808</v>
      </c>
      <c r="G10211" s="8">
        <v>20</v>
      </c>
      <c r="H10211" s="8" t="s">
        <v>21</v>
      </c>
      <c r="I10211" s="8" t="s">
        <v>72</v>
      </c>
      <c r="J10211" s="8" t="s">
        <v>72</v>
      </c>
      <c r="K10211" s="8" t="s">
        <v>20</v>
      </c>
      <c r="L10211" s="8" t="s">
        <v>11551</v>
      </c>
      <c r="M10211" s="8" t="s">
        <v>11552</v>
      </c>
      <c r="N10211" s="8" t="s">
        <v>43809</v>
      </c>
      <c r="O10211" s="8">
        <f>8+26/60+22.8/3600</f>
        <v>8.4396666666666675</v>
      </c>
      <c r="P10211" s="8" t="s">
        <v>43810</v>
      </c>
      <c r="Q10211" s="8">
        <f>+(19+38/60+18/3600)</f>
        <v>19.638333333333332</v>
      </c>
      <c r="R10211" s="8">
        <v>99</v>
      </c>
      <c r="S10211" s="8">
        <v>99</v>
      </c>
      <c r="T10211" s="8">
        <v>99</v>
      </c>
      <c r="U10211" s="8">
        <v>99</v>
      </c>
      <c r="Y10211" s="8" t="s">
        <v>43811</v>
      </c>
      <c r="Z10211" s="8" t="s">
        <v>43812</v>
      </c>
    </row>
    <row r="10212" spans="1:26" x14ac:dyDescent="0.2">
      <c r="A10212" s="8">
        <v>10211</v>
      </c>
      <c r="B10212" s="8" t="s">
        <v>43813</v>
      </c>
      <c r="C10212" s="8" t="s">
        <v>43813</v>
      </c>
      <c r="G10212" s="8">
        <v>20</v>
      </c>
      <c r="H10212" s="8" t="s">
        <v>21</v>
      </c>
      <c r="I10212" s="8" t="s">
        <v>72</v>
      </c>
      <c r="J10212" s="8" t="s">
        <v>72</v>
      </c>
      <c r="K10212" s="8" t="s">
        <v>20</v>
      </c>
      <c r="L10212" s="8" t="s">
        <v>11551</v>
      </c>
      <c r="M10212" s="8" t="s">
        <v>11552</v>
      </c>
      <c r="N10212" s="8" t="s">
        <v>43814</v>
      </c>
      <c r="O10212" s="8">
        <f>8+26/60+37/3600</f>
        <v>8.4436111111111121</v>
      </c>
      <c r="P10212" s="8" t="s">
        <v>43815</v>
      </c>
      <c r="Q10212" s="8">
        <f>+(19+47/60+55/3600)</f>
        <v>19.798611111111114</v>
      </c>
      <c r="R10212" s="8">
        <v>99</v>
      </c>
      <c r="S10212" s="8">
        <v>14.6</v>
      </c>
      <c r="T10212" s="8">
        <v>99</v>
      </c>
      <c r="U10212" s="8">
        <v>99</v>
      </c>
      <c r="Y10212" s="8" t="s">
        <v>43816</v>
      </c>
      <c r="Z10212" s="8" t="s">
        <v>43817</v>
      </c>
    </row>
    <row r="10213" spans="1:26" x14ac:dyDescent="0.2">
      <c r="A10213" s="8">
        <v>10212</v>
      </c>
      <c r="B10213" s="8" t="s">
        <v>43818</v>
      </c>
      <c r="C10213" s="8" t="s">
        <v>43818</v>
      </c>
      <c r="G10213" s="8">
        <v>20</v>
      </c>
      <c r="H10213" s="8" t="s">
        <v>21</v>
      </c>
      <c r="I10213" s="8" t="s">
        <v>72</v>
      </c>
      <c r="J10213" s="8" t="s">
        <v>72</v>
      </c>
      <c r="K10213" s="8" t="s">
        <v>20</v>
      </c>
      <c r="L10213" s="8" t="s">
        <v>11551</v>
      </c>
      <c r="M10213" s="8" t="s">
        <v>11552</v>
      </c>
      <c r="N10213" s="8" t="s">
        <v>43819</v>
      </c>
      <c r="O10213" s="8">
        <f>8+26/60+40.6/3600</f>
        <v>8.4446111111111115</v>
      </c>
      <c r="P10213" s="8" t="s">
        <v>43820</v>
      </c>
      <c r="Q10213" s="8">
        <f>+(19+52/60+58/3600)</f>
        <v>19.882777777777779</v>
      </c>
      <c r="R10213" s="8">
        <v>99</v>
      </c>
      <c r="S10213" s="8">
        <v>99</v>
      </c>
      <c r="T10213" s="8">
        <v>99</v>
      </c>
      <c r="U10213" s="8">
        <v>99</v>
      </c>
      <c r="Y10213" s="8" t="s">
        <v>21</v>
      </c>
      <c r="Z10213" s="8" t="s">
        <v>43821</v>
      </c>
    </row>
    <row r="10214" spans="1:26" x14ac:dyDescent="0.2">
      <c r="A10214" s="8">
        <v>10213</v>
      </c>
      <c r="B10214" s="8" t="s">
        <v>43822</v>
      </c>
      <c r="C10214" s="8" t="s">
        <v>43822</v>
      </c>
      <c r="G10214" s="8">
        <v>20</v>
      </c>
      <c r="H10214" s="8" t="s">
        <v>21</v>
      </c>
      <c r="I10214" s="8" t="s">
        <v>22</v>
      </c>
      <c r="J10214" s="8" t="s">
        <v>22</v>
      </c>
      <c r="K10214" s="8" t="s">
        <v>64</v>
      </c>
      <c r="L10214" s="8" t="s">
        <v>11551</v>
      </c>
      <c r="M10214" s="8" t="s">
        <v>11552</v>
      </c>
      <c r="N10214" s="8" t="s">
        <v>43823</v>
      </c>
      <c r="O10214" s="8">
        <f>8+26/60+49/3600</f>
        <v>8.4469444444444441</v>
      </c>
      <c r="P10214" s="8" t="s">
        <v>43824</v>
      </c>
      <c r="Q10214" s="8">
        <f>+(20+21/60+53/3600)</f>
        <v>20.364722222222223</v>
      </c>
      <c r="R10214" s="8">
        <v>14.7</v>
      </c>
      <c r="S10214" s="8">
        <v>15.1</v>
      </c>
      <c r="T10214" s="8">
        <v>0.4</v>
      </c>
      <c r="U10214" s="8">
        <v>14.7</v>
      </c>
      <c r="V10214" s="8">
        <v>0.9</v>
      </c>
      <c r="W10214" s="8">
        <v>0.9</v>
      </c>
      <c r="Y10214" s="8" t="s">
        <v>21</v>
      </c>
      <c r="Z10214" s="8" t="s">
        <v>43825</v>
      </c>
    </row>
    <row r="10215" spans="1:26" x14ac:dyDescent="0.2">
      <c r="A10215" s="8">
        <v>10214</v>
      </c>
      <c r="B10215" s="8" t="s">
        <v>43826</v>
      </c>
      <c r="C10215" s="8" t="s">
        <v>43826</v>
      </c>
      <c r="G10215" s="8">
        <v>20</v>
      </c>
      <c r="H10215" s="8" t="s">
        <v>21</v>
      </c>
      <c r="I10215" s="8" t="s">
        <v>22</v>
      </c>
      <c r="J10215" s="8" t="s">
        <v>22</v>
      </c>
      <c r="K10215" s="8" t="s">
        <v>218</v>
      </c>
      <c r="L10215" s="8" t="s">
        <v>11551</v>
      </c>
      <c r="M10215" s="8" t="s">
        <v>11552</v>
      </c>
      <c r="N10215" s="8" t="s">
        <v>43827</v>
      </c>
      <c r="O10215" s="8">
        <f>8+28/60+22.2/3600</f>
        <v>8.4728333333333339</v>
      </c>
      <c r="P10215" s="8" t="s">
        <v>43828</v>
      </c>
      <c r="Q10215" s="8">
        <f>+(30+26/60+35/3600)</f>
        <v>30.443055555555556</v>
      </c>
      <c r="R10215" s="8">
        <v>14.7</v>
      </c>
      <c r="S10215" s="8">
        <v>15.5</v>
      </c>
      <c r="T10215" s="8">
        <v>0.8</v>
      </c>
      <c r="U10215" s="8">
        <v>13.2</v>
      </c>
      <c r="V10215" s="8">
        <v>0.6</v>
      </c>
      <c r="W10215" s="8">
        <v>0.5</v>
      </c>
      <c r="Y10215" s="8" t="s">
        <v>43829</v>
      </c>
      <c r="Z10215" s="8" t="s">
        <v>43830</v>
      </c>
    </row>
    <row r="10216" spans="1:26" x14ac:dyDescent="0.2">
      <c r="A10216" s="8">
        <v>10215</v>
      </c>
      <c r="B10216" s="8" t="s">
        <v>43831</v>
      </c>
      <c r="C10216" s="8" t="s">
        <v>43831</v>
      </c>
      <c r="G10216" s="8">
        <v>20</v>
      </c>
      <c r="H10216" s="8" t="s">
        <v>21</v>
      </c>
      <c r="I10216" s="8" t="s">
        <v>22</v>
      </c>
      <c r="J10216" s="8" t="s">
        <v>22</v>
      </c>
      <c r="K10216" s="8" t="s">
        <v>218</v>
      </c>
      <c r="L10216" s="8" t="s">
        <v>10175</v>
      </c>
      <c r="M10216" s="8" t="s">
        <v>10176</v>
      </c>
      <c r="N10216" s="8" t="s">
        <v>43832</v>
      </c>
      <c r="O10216" s="8">
        <f>8+26/60+19.6/3600</f>
        <v>8.4387777777777782</v>
      </c>
      <c r="P10216" s="8" t="s">
        <v>43833</v>
      </c>
      <c r="Q10216" s="8">
        <f>-(13+18/60+11/3600)</f>
        <v>-13.303055555555556</v>
      </c>
      <c r="R10216" s="8">
        <v>13.1</v>
      </c>
      <c r="S10216" s="8">
        <v>13.9</v>
      </c>
      <c r="T10216" s="8">
        <v>0.8</v>
      </c>
      <c r="U10216" s="8">
        <v>12.7</v>
      </c>
      <c r="V10216" s="8">
        <v>1.9</v>
      </c>
      <c r="W10216" s="8">
        <v>0.4</v>
      </c>
      <c r="X10216" s="8">
        <v>83</v>
      </c>
      <c r="Y10216" s="8" t="s">
        <v>43834</v>
      </c>
      <c r="Z10216" s="8" t="s">
        <v>43835</v>
      </c>
    </row>
    <row r="10217" spans="1:26" x14ac:dyDescent="0.2">
      <c r="A10217" s="8">
        <v>10216</v>
      </c>
      <c r="B10217" s="8" t="s">
        <v>43836</v>
      </c>
      <c r="C10217" s="8" t="s">
        <v>43836</v>
      </c>
      <c r="G10217" s="8">
        <v>20</v>
      </c>
      <c r="H10217" s="8" t="s">
        <v>21</v>
      </c>
      <c r="I10217" s="8" t="s">
        <v>22</v>
      </c>
      <c r="J10217" s="8" t="s">
        <v>22</v>
      </c>
      <c r="K10217" s="8" t="s">
        <v>476</v>
      </c>
      <c r="L10217" s="8" t="s">
        <v>11551</v>
      </c>
      <c r="M10217" s="8" t="s">
        <v>11552</v>
      </c>
      <c r="N10217" s="8" t="s">
        <v>43837</v>
      </c>
      <c r="O10217" s="8">
        <f>8+28/60+26.1/3600</f>
        <v>8.4739166666666677</v>
      </c>
      <c r="P10217" s="8" t="s">
        <v>43838</v>
      </c>
      <c r="Q10217" s="8">
        <f>+(30+24/60+27/3600)</f>
        <v>30.407499999999999</v>
      </c>
      <c r="R10217" s="8">
        <v>14.5</v>
      </c>
      <c r="S10217" s="8">
        <v>15.3</v>
      </c>
      <c r="T10217" s="8">
        <v>0.8</v>
      </c>
      <c r="U10217" s="8">
        <v>13</v>
      </c>
      <c r="V10217" s="8">
        <v>0.7</v>
      </c>
      <c r="W10217" s="8">
        <v>0.4</v>
      </c>
      <c r="X10217" s="8">
        <v>70</v>
      </c>
      <c r="Y10217" s="8" t="s">
        <v>21</v>
      </c>
      <c r="Z10217" s="8" t="s">
        <v>43839</v>
      </c>
    </row>
    <row r="10218" spans="1:26" x14ac:dyDescent="0.2">
      <c r="A10218" s="8">
        <v>10217</v>
      </c>
      <c r="B10218" s="8" t="s">
        <v>43840</v>
      </c>
      <c r="C10218" s="8" t="s">
        <v>43840</v>
      </c>
      <c r="G10218" s="8">
        <v>20</v>
      </c>
      <c r="H10218" s="8" t="s">
        <v>21</v>
      </c>
      <c r="I10218" s="8" t="s">
        <v>22</v>
      </c>
      <c r="J10218" s="8" t="s">
        <v>22</v>
      </c>
      <c r="K10218" s="8" t="s">
        <v>435</v>
      </c>
      <c r="L10218" s="8" t="s">
        <v>10175</v>
      </c>
      <c r="M10218" s="8" t="s">
        <v>10176</v>
      </c>
      <c r="N10218" s="8" t="s">
        <v>43841</v>
      </c>
      <c r="O10218" s="8">
        <f>8+26/60+26/3600</f>
        <v>8.4405555555555551</v>
      </c>
      <c r="P10218" s="8" t="s">
        <v>43842</v>
      </c>
      <c r="Q10218" s="8">
        <f>-(13+18/60+25/3600)</f>
        <v>-13.306944444444445</v>
      </c>
      <c r="R10218" s="8">
        <v>13.4</v>
      </c>
      <c r="S10218" s="8">
        <v>14.3</v>
      </c>
      <c r="T10218" s="8">
        <v>0.9</v>
      </c>
      <c r="U10218" s="8">
        <v>11.8</v>
      </c>
      <c r="V10218" s="8">
        <v>0.7</v>
      </c>
      <c r="W10218" s="8">
        <v>0.4</v>
      </c>
      <c r="X10218" s="8">
        <v>36</v>
      </c>
      <c r="Y10218" s="8" t="s">
        <v>6862</v>
      </c>
      <c r="Z10218" s="8" t="s">
        <v>6863</v>
      </c>
    </row>
    <row r="10219" spans="1:26" x14ac:dyDescent="0.2">
      <c r="A10219" s="8">
        <v>10218</v>
      </c>
      <c r="B10219" s="8" t="s">
        <v>43843</v>
      </c>
      <c r="C10219" s="8" t="s">
        <v>43843</v>
      </c>
      <c r="G10219" s="8">
        <v>20</v>
      </c>
      <c r="H10219" s="8" t="s">
        <v>21</v>
      </c>
      <c r="I10219" s="8" t="s">
        <v>22</v>
      </c>
      <c r="J10219" s="8" t="s">
        <v>22</v>
      </c>
      <c r="K10219" s="8" t="s">
        <v>37</v>
      </c>
      <c r="L10219" s="8" t="s">
        <v>11551</v>
      </c>
      <c r="M10219" s="8" t="s">
        <v>11552</v>
      </c>
      <c r="N10219" s="8" t="s">
        <v>43844</v>
      </c>
      <c r="O10219" s="8">
        <f>8+28/60+31.6/3600</f>
        <v>8.4754444444444452</v>
      </c>
      <c r="P10219" s="8" t="s">
        <v>43845</v>
      </c>
      <c r="Q10219" s="8">
        <f>+(30+25/60+52/3600)</f>
        <v>30.431111111111111</v>
      </c>
      <c r="R10219" s="8">
        <v>14.3</v>
      </c>
      <c r="S10219" s="8">
        <v>15.3</v>
      </c>
      <c r="T10219" s="8">
        <v>1</v>
      </c>
      <c r="U10219" s="8">
        <v>13.7</v>
      </c>
      <c r="V10219" s="8">
        <v>0.8</v>
      </c>
      <c r="W10219" s="8">
        <v>0.8</v>
      </c>
      <c r="Y10219" s="8" t="s">
        <v>43846</v>
      </c>
      <c r="Z10219" s="8" t="s">
        <v>43847</v>
      </c>
    </row>
    <row r="10220" spans="1:26" x14ac:dyDescent="0.2">
      <c r="A10220" s="8">
        <v>10219</v>
      </c>
      <c r="B10220" s="8" t="s">
        <v>43848</v>
      </c>
      <c r="C10220" s="8" t="s">
        <v>43848</v>
      </c>
      <c r="G10220" s="8">
        <v>20</v>
      </c>
      <c r="H10220" s="8" t="s">
        <v>21</v>
      </c>
      <c r="I10220" s="8" t="s">
        <v>22</v>
      </c>
      <c r="J10220" s="8" t="s">
        <v>22</v>
      </c>
      <c r="K10220" s="8" t="s">
        <v>91</v>
      </c>
      <c r="L10220" s="8" t="s">
        <v>10175</v>
      </c>
      <c r="M10220" s="8" t="s">
        <v>10176</v>
      </c>
      <c r="N10220" s="8" t="s">
        <v>43849</v>
      </c>
      <c r="O10220" s="8">
        <f>8+26/60+27.7/3600</f>
        <v>8.4410277777777782</v>
      </c>
      <c r="P10220" s="8" t="s">
        <v>43850</v>
      </c>
      <c r="Q10220" s="8">
        <f>-(13+17/60+36/3600)</f>
        <v>-13.293333333333333</v>
      </c>
      <c r="R10220" s="8">
        <v>13.7</v>
      </c>
      <c r="S10220" s="8">
        <v>14.6</v>
      </c>
      <c r="T10220" s="8">
        <v>0.9</v>
      </c>
      <c r="U10220" s="8">
        <v>13</v>
      </c>
      <c r="V10220" s="8">
        <v>1</v>
      </c>
      <c r="W10220" s="8">
        <v>0.6</v>
      </c>
      <c r="X10220" s="8">
        <v>144</v>
      </c>
      <c r="Y10220" s="8" t="s">
        <v>43851</v>
      </c>
      <c r="Z10220" s="8" t="s">
        <v>43852</v>
      </c>
    </row>
    <row r="10221" spans="1:26" x14ac:dyDescent="0.2">
      <c r="A10221" s="8">
        <v>10220</v>
      </c>
      <c r="B10221" s="8" t="s">
        <v>43853</v>
      </c>
      <c r="C10221" s="8" t="s">
        <v>43853</v>
      </c>
      <c r="G10221" s="8">
        <v>20</v>
      </c>
      <c r="H10221" s="8" t="s">
        <v>21</v>
      </c>
      <c r="I10221" s="8" t="s">
        <v>22</v>
      </c>
      <c r="J10221" s="8" t="s">
        <v>22</v>
      </c>
      <c r="K10221" s="8" t="s">
        <v>91</v>
      </c>
      <c r="L10221" s="8" t="s">
        <v>11551</v>
      </c>
      <c r="M10221" s="8" t="s">
        <v>11552</v>
      </c>
      <c r="N10221" s="8" t="s">
        <v>43854</v>
      </c>
      <c r="O10221" s="8">
        <f>8+28/60+43.8/3600</f>
        <v>8.4788333333333341</v>
      </c>
      <c r="P10221" s="8" t="s">
        <v>43855</v>
      </c>
      <c r="Q10221" s="8">
        <f>+(30+24/60+18/3600)</f>
        <v>30.404999999999998</v>
      </c>
      <c r="R10221" s="8">
        <v>14.6</v>
      </c>
      <c r="S10221" s="8">
        <v>15.5</v>
      </c>
      <c r="T10221" s="8">
        <v>0.9</v>
      </c>
      <c r="U10221" s="8">
        <v>12.9</v>
      </c>
      <c r="V10221" s="8">
        <v>0.5</v>
      </c>
      <c r="W10221" s="8">
        <v>0.5</v>
      </c>
      <c r="Y10221" s="8" t="s">
        <v>37996</v>
      </c>
      <c r="Z10221" s="8" t="s">
        <v>37997</v>
      </c>
    </row>
    <row r="10222" spans="1:26" x14ac:dyDescent="0.2">
      <c r="A10222" s="8">
        <v>10221</v>
      </c>
      <c r="B10222" s="8" t="s">
        <v>43856</v>
      </c>
      <c r="C10222" s="8" t="s">
        <v>43856</v>
      </c>
      <c r="G10222" s="8">
        <v>20</v>
      </c>
      <c r="H10222" s="8" t="s">
        <v>21</v>
      </c>
      <c r="I10222" s="8" t="s">
        <v>72</v>
      </c>
      <c r="J10222" s="8" t="s">
        <v>72</v>
      </c>
      <c r="K10222" s="8" t="s">
        <v>73</v>
      </c>
      <c r="L10222" s="8" t="s">
        <v>11551</v>
      </c>
      <c r="M10222" s="8" t="s">
        <v>11552</v>
      </c>
      <c r="N10222" s="8" t="s">
        <v>43857</v>
      </c>
      <c r="O10222" s="8">
        <f>8+28/60+21.8/3600</f>
        <v>8.472722222222222</v>
      </c>
      <c r="P10222" s="8" t="s">
        <v>43858</v>
      </c>
      <c r="Q10222" s="8">
        <f>+(19+47/60+28/3600)</f>
        <v>19.791111111111114</v>
      </c>
      <c r="R10222" s="8">
        <v>99</v>
      </c>
      <c r="S10222" s="8">
        <v>99</v>
      </c>
      <c r="T10222" s="8">
        <v>99</v>
      </c>
      <c r="U10222" s="8">
        <v>99</v>
      </c>
      <c r="Y10222" s="8" t="s">
        <v>21</v>
      </c>
      <c r="Z10222" s="8" t="s">
        <v>43859</v>
      </c>
    </row>
    <row r="10223" spans="1:26" x14ac:dyDescent="0.2">
      <c r="A10223" s="8">
        <v>10222</v>
      </c>
      <c r="B10223" s="8" t="s">
        <v>43860</v>
      </c>
      <c r="C10223" s="8" t="s">
        <v>43860</v>
      </c>
      <c r="G10223" s="8">
        <v>20</v>
      </c>
      <c r="H10223" s="8" t="s">
        <v>21</v>
      </c>
      <c r="I10223" s="8" t="s">
        <v>22</v>
      </c>
      <c r="J10223" s="8" t="s">
        <v>22</v>
      </c>
      <c r="K10223" s="8" t="s">
        <v>476</v>
      </c>
      <c r="L10223" s="8" t="s">
        <v>11551</v>
      </c>
      <c r="M10223" s="8" t="s">
        <v>11552</v>
      </c>
      <c r="N10223" s="8" t="s">
        <v>43861</v>
      </c>
      <c r="O10223" s="8">
        <f>8+28/60+46.1/3600</f>
        <v>8.4794722222222223</v>
      </c>
      <c r="P10223" s="8" t="s">
        <v>43862</v>
      </c>
      <c r="Q10223" s="8">
        <f>+(22+3/60+12/3600)</f>
        <v>22.053333333333335</v>
      </c>
      <c r="R10223" s="8">
        <v>14.2</v>
      </c>
      <c r="S10223" s="8">
        <v>15.1</v>
      </c>
      <c r="T10223" s="8">
        <v>0.9</v>
      </c>
      <c r="U10223" s="8">
        <v>11.3</v>
      </c>
      <c r="V10223" s="8">
        <v>0.4</v>
      </c>
      <c r="W10223" s="8">
        <v>0.2</v>
      </c>
      <c r="X10223" s="8">
        <v>168</v>
      </c>
      <c r="Y10223" s="8" t="s">
        <v>43863</v>
      </c>
      <c r="Z10223" s="8" t="s">
        <v>43864</v>
      </c>
    </row>
    <row r="10224" spans="1:26" x14ac:dyDescent="0.2">
      <c r="A10224" s="8">
        <v>10223</v>
      </c>
      <c r="B10224" s="8" t="s">
        <v>43865</v>
      </c>
      <c r="C10224" s="8" t="s">
        <v>43865</v>
      </c>
      <c r="G10224" s="8">
        <v>20</v>
      </c>
      <c r="H10224" s="8" t="s">
        <v>21</v>
      </c>
      <c r="I10224" s="8" t="s">
        <v>22</v>
      </c>
      <c r="J10224" s="8" t="s">
        <v>22</v>
      </c>
      <c r="K10224" s="8" t="s">
        <v>460</v>
      </c>
      <c r="L10224" s="8" t="s">
        <v>11551</v>
      </c>
      <c r="M10224" s="8" t="s">
        <v>11552</v>
      </c>
      <c r="N10224" s="8" t="s">
        <v>43866</v>
      </c>
      <c r="O10224" s="8">
        <f>8+29/60+41.4/3600</f>
        <v>8.4948333333333323</v>
      </c>
      <c r="P10224" s="8" t="s">
        <v>39760</v>
      </c>
      <c r="Q10224" s="8">
        <f>+(30+41/60+17/3600)</f>
        <v>30.688055555555557</v>
      </c>
      <c r="R10224" s="8">
        <v>14.7</v>
      </c>
      <c r="S10224" s="8">
        <v>15.7</v>
      </c>
      <c r="T10224" s="8">
        <v>1</v>
      </c>
      <c r="U10224" s="8">
        <v>12.2</v>
      </c>
      <c r="V10224" s="8">
        <v>0.3</v>
      </c>
      <c r="W10224" s="8">
        <v>0.3</v>
      </c>
      <c r="Y10224" s="8" t="s">
        <v>3668</v>
      </c>
      <c r="Z10224" s="8" t="s">
        <v>3669</v>
      </c>
    </row>
    <row r="10225" spans="1:26" x14ac:dyDescent="0.2">
      <c r="A10225" s="8">
        <v>10224</v>
      </c>
      <c r="B10225" s="8" t="s">
        <v>43867</v>
      </c>
      <c r="C10225" s="8" t="s">
        <v>43867</v>
      </c>
      <c r="G10225" s="8">
        <v>20</v>
      </c>
      <c r="H10225" s="8" t="s">
        <v>21</v>
      </c>
      <c r="I10225" s="8" t="s">
        <v>22</v>
      </c>
      <c r="J10225" s="8" t="s">
        <v>22</v>
      </c>
      <c r="K10225" s="8" t="s">
        <v>435</v>
      </c>
      <c r="L10225" s="8" t="s">
        <v>11551</v>
      </c>
      <c r="M10225" s="8" t="s">
        <v>11552</v>
      </c>
      <c r="N10225" s="8" t="s">
        <v>43868</v>
      </c>
      <c r="O10225" s="8">
        <f>8+34/60+23.4/3600</f>
        <v>8.5731666666666673</v>
      </c>
      <c r="P10225" s="8" t="s">
        <v>43869</v>
      </c>
      <c r="Q10225" s="8">
        <f>+(32+26/60+7/3600)</f>
        <v>32.435277777777777</v>
      </c>
      <c r="R10225" s="8">
        <v>14.8</v>
      </c>
      <c r="S10225" s="8">
        <v>15.7</v>
      </c>
      <c r="T10225" s="8">
        <v>0.9</v>
      </c>
      <c r="U10225" s="8">
        <v>13.1</v>
      </c>
      <c r="V10225" s="8">
        <v>0.5</v>
      </c>
      <c r="W10225" s="8">
        <v>0.5</v>
      </c>
      <c r="Y10225" s="8" t="s">
        <v>36155</v>
      </c>
      <c r="Z10225" s="8" t="s">
        <v>41558</v>
      </c>
    </row>
    <row r="10226" spans="1:26" x14ac:dyDescent="0.2">
      <c r="A10226" s="8">
        <v>10225</v>
      </c>
      <c r="B10226" s="8" t="s">
        <v>43870</v>
      </c>
      <c r="C10226" s="8" t="s">
        <v>43870</v>
      </c>
      <c r="G10226" s="8">
        <v>20</v>
      </c>
      <c r="H10226" s="8" t="s">
        <v>21</v>
      </c>
      <c r="I10226" s="8" t="s">
        <v>22</v>
      </c>
      <c r="J10226" s="8" t="s">
        <v>22</v>
      </c>
      <c r="K10226" s="8" t="s">
        <v>23</v>
      </c>
      <c r="L10226" s="8" t="s">
        <v>10511</v>
      </c>
      <c r="M10226" s="8" t="s">
        <v>10512</v>
      </c>
      <c r="N10226" s="8" t="s">
        <v>43871</v>
      </c>
      <c r="O10226" s="8">
        <f>8+35/60+10.6/3600</f>
        <v>8.586277777777779</v>
      </c>
      <c r="P10226" s="8" t="s">
        <v>43872</v>
      </c>
      <c r="Q10226" s="8">
        <f>+(37+15/60+57/3600)</f>
        <v>37.265833333333333</v>
      </c>
      <c r="R10226" s="8">
        <v>14.3</v>
      </c>
      <c r="S10226" s="8">
        <v>15.1</v>
      </c>
      <c r="T10226" s="8">
        <v>0.8</v>
      </c>
      <c r="U10226" s="8">
        <v>13</v>
      </c>
      <c r="V10226" s="8">
        <v>0.7</v>
      </c>
      <c r="W10226" s="8">
        <v>0.5</v>
      </c>
      <c r="X10226" s="8">
        <v>18</v>
      </c>
      <c r="Y10226" s="8" t="s">
        <v>43214</v>
      </c>
      <c r="Z10226" s="8" t="s">
        <v>43215</v>
      </c>
    </row>
    <row r="10227" spans="1:26" x14ac:dyDescent="0.2">
      <c r="A10227" s="8">
        <v>10226</v>
      </c>
      <c r="B10227" s="8" t="s">
        <v>43873</v>
      </c>
      <c r="C10227" s="8" t="s">
        <v>43873</v>
      </c>
      <c r="G10227" s="8">
        <v>20</v>
      </c>
      <c r="H10227" s="8" t="s">
        <v>21</v>
      </c>
      <c r="I10227" s="8" t="s">
        <v>72</v>
      </c>
      <c r="J10227" s="8" t="s">
        <v>72</v>
      </c>
      <c r="K10227" s="8" t="s">
        <v>20</v>
      </c>
      <c r="L10227" s="8" t="s">
        <v>11551</v>
      </c>
      <c r="M10227" s="8" t="s">
        <v>11552</v>
      </c>
      <c r="N10227" s="8" t="s">
        <v>43874</v>
      </c>
      <c r="O10227" s="8">
        <f>8+34/60+43.9/3600</f>
        <v>8.5788611111111113</v>
      </c>
      <c r="P10227" s="8" t="s">
        <v>43875</v>
      </c>
      <c r="Q10227" s="8">
        <f>+(25+48/60+24/3600)</f>
        <v>25.806666666666668</v>
      </c>
      <c r="R10227" s="8">
        <v>99</v>
      </c>
      <c r="S10227" s="8">
        <v>15.3</v>
      </c>
      <c r="T10227" s="8">
        <v>99</v>
      </c>
      <c r="U10227" s="8">
        <v>99</v>
      </c>
      <c r="Y10227" s="8" t="s">
        <v>43876</v>
      </c>
      <c r="Z10227" s="8" t="s">
        <v>43877</v>
      </c>
    </row>
    <row r="10228" spans="1:26" x14ac:dyDescent="0.2">
      <c r="A10228" s="8">
        <v>10227</v>
      </c>
      <c r="B10228" s="8" t="s">
        <v>43878</v>
      </c>
      <c r="C10228" s="8" t="s">
        <v>43878</v>
      </c>
      <c r="G10228" s="8">
        <v>20</v>
      </c>
      <c r="H10228" s="8" t="s">
        <v>21</v>
      </c>
      <c r="I10228" s="8" t="s">
        <v>22</v>
      </c>
      <c r="J10228" s="8" t="s">
        <v>22</v>
      </c>
      <c r="K10228" s="8" t="s">
        <v>64</v>
      </c>
      <c r="L10228" s="8" t="s">
        <v>11551</v>
      </c>
      <c r="M10228" s="8" t="s">
        <v>11552</v>
      </c>
      <c r="N10228" s="8" t="s">
        <v>43879</v>
      </c>
      <c r="O10228" s="8">
        <f>8+38/60+33.9/3600</f>
        <v>8.6427499999999995</v>
      </c>
      <c r="P10228" s="8" t="s">
        <v>43880</v>
      </c>
      <c r="Q10228" s="8">
        <f>+(30+47/60+54/3600)</f>
        <v>30.798333333333336</v>
      </c>
      <c r="R10228" s="8">
        <v>14</v>
      </c>
      <c r="S10228" s="8">
        <v>14.7</v>
      </c>
      <c r="T10228" s="8">
        <v>0.7</v>
      </c>
      <c r="U10228" s="8">
        <v>13.2</v>
      </c>
      <c r="V10228" s="8">
        <v>1.1000000000000001</v>
      </c>
      <c r="W10228" s="8">
        <v>0.5</v>
      </c>
      <c r="X10228" s="8">
        <v>18</v>
      </c>
      <c r="Y10228" s="8" t="s">
        <v>43881</v>
      </c>
      <c r="Z10228" s="8" t="s">
        <v>43882</v>
      </c>
    </row>
    <row r="10229" spans="1:26" x14ac:dyDescent="0.2">
      <c r="A10229" s="8">
        <v>10228</v>
      </c>
      <c r="B10229" s="8" t="s">
        <v>43883</v>
      </c>
      <c r="C10229" s="8" t="s">
        <v>43883</v>
      </c>
      <c r="G10229" s="8">
        <v>20</v>
      </c>
      <c r="H10229" s="8" t="s">
        <v>21</v>
      </c>
      <c r="I10229" s="8" t="s">
        <v>22</v>
      </c>
      <c r="J10229" s="8" t="s">
        <v>22</v>
      </c>
      <c r="K10229" s="8" t="s">
        <v>449</v>
      </c>
      <c r="L10229" s="8" t="s">
        <v>11551</v>
      </c>
      <c r="M10229" s="8" t="s">
        <v>11552</v>
      </c>
      <c r="N10229" s="8" t="s">
        <v>43884</v>
      </c>
      <c r="O10229" s="8">
        <f>8+39/60+56.5/3600</f>
        <v>8.6656944444444441</v>
      </c>
      <c r="P10229" s="8" t="s">
        <v>43885</v>
      </c>
      <c r="Q10229" s="8">
        <f>+(19+38/60+41/3600)</f>
        <v>19.644722222222221</v>
      </c>
      <c r="R10229" s="8">
        <v>14.7</v>
      </c>
      <c r="S10229" s="8">
        <v>15.5</v>
      </c>
      <c r="T10229" s="8">
        <v>0.8</v>
      </c>
      <c r="U10229" s="8">
        <v>11.8</v>
      </c>
      <c r="V10229" s="8">
        <v>0.4</v>
      </c>
      <c r="W10229" s="8">
        <v>0.2</v>
      </c>
      <c r="X10229" s="8">
        <v>160</v>
      </c>
      <c r="Y10229" s="8" t="s">
        <v>21</v>
      </c>
      <c r="Z10229" s="8" t="s">
        <v>43886</v>
      </c>
    </row>
    <row r="10230" spans="1:26" x14ac:dyDescent="0.2">
      <c r="A10230" s="8">
        <v>10229</v>
      </c>
      <c r="B10230" s="8" t="s">
        <v>43887</v>
      </c>
      <c r="C10230" s="8" t="s">
        <v>43887</v>
      </c>
      <c r="G10230" s="8">
        <v>20</v>
      </c>
      <c r="H10230" s="8" t="s">
        <v>21</v>
      </c>
      <c r="I10230" s="8" t="s">
        <v>22</v>
      </c>
      <c r="J10230" s="8" t="s">
        <v>22</v>
      </c>
      <c r="K10230" s="8" t="s">
        <v>218</v>
      </c>
      <c r="L10230" s="8" t="s">
        <v>6823</v>
      </c>
      <c r="M10230" s="8" t="s">
        <v>6824</v>
      </c>
      <c r="N10230" s="8" t="s">
        <v>43888</v>
      </c>
      <c r="O10230" s="8">
        <f>8+47/60+58.3/3600</f>
        <v>8.7995277777777776</v>
      </c>
      <c r="P10230" s="8" t="s">
        <v>43889</v>
      </c>
      <c r="Q10230" s="8">
        <f>+(73+32/60+19/3600)</f>
        <v>73.538611111111109</v>
      </c>
      <c r="R10230" s="8">
        <v>13.4</v>
      </c>
      <c r="S10230" s="8">
        <v>14</v>
      </c>
      <c r="T10230" s="8">
        <v>0.6</v>
      </c>
      <c r="U10230" s="8">
        <v>12.5</v>
      </c>
      <c r="V10230" s="8">
        <v>1.4</v>
      </c>
      <c r="W10230" s="8">
        <v>0.3</v>
      </c>
      <c r="X10230" s="8">
        <v>126</v>
      </c>
      <c r="Y10230" s="8" t="s">
        <v>21497</v>
      </c>
      <c r="Z10230" s="8" t="s">
        <v>21498</v>
      </c>
    </row>
    <row r="10231" spans="1:26" x14ac:dyDescent="0.2">
      <c r="A10231" s="8">
        <v>10230</v>
      </c>
      <c r="B10231" s="8" t="s">
        <v>43890</v>
      </c>
      <c r="C10231" s="8" t="s">
        <v>43890</v>
      </c>
      <c r="G10231" s="8">
        <v>20</v>
      </c>
      <c r="H10231" s="8" t="s">
        <v>21</v>
      </c>
      <c r="I10231" s="8" t="s">
        <v>22</v>
      </c>
      <c r="J10231" s="8" t="s">
        <v>22</v>
      </c>
      <c r="K10231" s="8" t="s">
        <v>449</v>
      </c>
      <c r="L10231" s="8" t="s">
        <v>11551</v>
      </c>
      <c r="M10231" s="8" t="s">
        <v>11552</v>
      </c>
      <c r="N10231" s="8" t="s">
        <v>43891</v>
      </c>
      <c r="O10231" s="8">
        <f>8+41/60+51.7/3600</f>
        <v>8.6976944444444442</v>
      </c>
      <c r="P10231" s="8" t="s">
        <v>43892</v>
      </c>
      <c r="Q10231" s="8">
        <f>+(19+42/60+11/3600)</f>
        <v>19.703055555555554</v>
      </c>
      <c r="R10231" s="8">
        <v>14.9</v>
      </c>
      <c r="S10231" s="8">
        <v>15.7</v>
      </c>
      <c r="T10231" s="8">
        <v>0.8</v>
      </c>
      <c r="U10231" s="8">
        <v>13.3</v>
      </c>
      <c r="V10231" s="8">
        <v>0.6</v>
      </c>
      <c r="W10231" s="8">
        <v>0.4</v>
      </c>
      <c r="X10231" s="8">
        <v>30</v>
      </c>
      <c r="Y10231" s="8" t="s">
        <v>21</v>
      </c>
      <c r="Z10231" s="8" t="s">
        <v>43893</v>
      </c>
    </row>
    <row r="10232" spans="1:26" x14ac:dyDescent="0.2">
      <c r="A10232" s="8">
        <v>10231</v>
      </c>
      <c r="B10232" s="8" t="s">
        <v>43894</v>
      </c>
      <c r="C10232" s="8" t="s">
        <v>43894</v>
      </c>
      <c r="G10232" s="8">
        <v>2</v>
      </c>
      <c r="H10232" s="8" t="s">
        <v>43895</v>
      </c>
      <c r="I10232" s="8" t="s">
        <v>557</v>
      </c>
      <c r="J10232" s="8" t="s">
        <v>557</v>
      </c>
      <c r="K10232" s="8" t="s">
        <v>1840</v>
      </c>
      <c r="L10232" s="8" t="s">
        <v>11757</v>
      </c>
      <c r="M10232" s="8" t="s">
        <v>11758</v>
      </c>
      <c r="N10232" s="8" t="s">
        <v>43896</v>
      </c>
      <c r="O10232" s="8">
        <f>8+40/60+18/3600</f>
        <v>8.6716666666666669</v>
      </c>
      <c r="P10232" s="8" t="s">
        <v>43897</v>
      </c>
      <c r="Q10232" s="8">
        <f>-(52+55/60+0/3600)</f>
        <v>-52.916666666666664</v>
      </c>
      <c r="R10232" s="8">
        <v>2.6</v>
      </c>
      <c r="S10232" s="8">
        <v>99</v>
      </c>
      <c r="T10232" s="8">
        <v>99</v>
      </c>
      <c r="U10232" s="8">
        <v>99</v>
      </c>
      <c r="V10232" s="8">
        <v>60</v>
      </c>
      <c r="Y10232" s="8" t="s">
        <v>21</v>
      </c>
      <c r="Z10232" s="8" t="s">
        <v>43898</v>
      </c>
    </row>
    <row r="10233" spans="1:26" x14ac:dyDescent="0.2">
      <c r="A10233" s="8">
        <v>10232</v>
      </c>
      <c r="B10233" s="8" t="s">
        <v>43899</v>
      </c>
      <c r="C10233" s="8" t="s">
        <v>43899</v>
      </c>
      <c r="G10233" s="8">
        <v>20</v>
      </c>
      <c r="H10233" s="8" t="s">
        <v>21</v>
      </c>
      <c r="I10233" s="8" t="s">
        <v>22</v>
      </c>
      <c r="J10233" s="8" t="s">
        <v>22</v>
      </c>
      <c r="K10233" s="8" t="s">
        <v>476</v>
      </c>
      <c r="L10233" s="8" t="s">
        <v>11551</v>
      </c>
      <c r="M10233" s="8" t="s">
        <v>11552</v>
      </c>
      <c r="N10233" s="8" t="s">
        <v>43900</v>
      </c>
      <c r="O10233" s="8">
        <f>8+44/60+30.9/3600</f>
        <v>8.7419166666666666</v>
      </c>
      <c r="P10233" s="8" t="s">
        <v>43901</v>
      </c>
      <c r="Q10233" s="8">
        <f>+(18+17/60+10/3600)</f>
        <v>18.286111111111111</v>
      </c>
      <c r="R10233" s="8">
        <v>13.6</v>
      </c>
      <c r="S10233" s="8">
        <v>14.6</v>
      </c>
      <c r="T10233" s="8">
        <v>1</v>
      </c>
      <c r="U10233" s="8">
        <v>12.1</v>
      </c>
      <c r="V10233" s="8">
        <v>0.6</v>
      </c>
      <c r="W10233" s="8">
        <v>0.5</v>
      </c>
      <c r="X10233" s="8">
        <v>6</v>
      </c>
      <c r="Y10233" s="8" t="s">
        <v>43902</v>
      </c>
      <c r="Z10233" s="8" t="s">
        <v>43903</v>
      </c>
    </row>
    <row r="10234" spans="1:26" x14ac:dyDescent="0.2">
      <c r="A10234" s="8">
        <v>10233</v>
      </c>
      <c r="B10234" s="8" t="s">
        <v>43904</v>
      </c>
      <c r="C10234" s="8" t="s">
        <v>43904</v>
      </c>
      <c r="G10234" s="8">
        <v>20</v>
      </c>
      <c r="H10234" s="8" t="s">
        <v>21</v>
      </c>
      <c r="I10234" s="8" t="s">
        <v>22</v>
      </c>
      <c r="J10234" s="8" t="s">
        <v>22</v>
      </c>
      <c r="K10234" s="8" t="s">
        <v>382</v>
      </c>
      <c r="L10234" s="8" t="s">
        <v>11551</v>
      </c>
      <c r="M10234" s="8" t="s">
        <v>11552</v>
      </c>
      <c r="N10234" s="8" t="s">
        <v>43905</v>
      </c>
      <c r="O10234" s="8">
        <f>8+46/60+49.2/3600</f>
        <v>8.7803333333333349</v>
      </c>
      <c r="P10234" s="8" t="s">
        <v>43906</v>
      </c>
      <c r="Q10234" s="8">
        <f>+(28+10/60+15/3600)</f>
        <v>28.170833333333334</v>
      </c>
      <c r="R10234" s="8">
        <v>13.2</v>
      </c>
      <c r="S10234" s="8">
        <v>14.2</v>
      </c>
      <c r="T10234" s="8">
        <v>1</v>
      </c>
      <c r="U10234" s="8">
        <v>13.3</v>
      </c>
      <c r="V10234" s="8">
        <v>1.3</v>
      </c>
      <c r="W10234" s="8">
        <v>0.9</v>
      </c>
      <c r="X10234" s="8">
        <v>20</v>
      </c>
      <c r="Y10234" s="8" t="s">
        <v>41073</v>
      </c>
      <c r="Z10234" s="8" t="s">
        <v>41074</v>
      </c>
    </row>
    <row r="10235" spans="1:26" x14ac:dyDescent="0.2">
      <c r="A10235" s="8">
        <v>10234</v>
      </c>
      <c r="B10235" s="8" t="s">
        <v>43907</v>
      </c>
      <c r="C10235" s="8" t="s">
        <v>43907</v>
      </c>
      <c r="G10235" s="8">
        <v>20</v>
      </c>
      <c r="H10235" s="8" t="s">
        <v>21</v>
      </c>
      <c r="I10235" s="8" t="s">
        <v>22</v>
      </c>
      <c r="J10235" s="8" t="s">
        <v>22</v>
      </c>
      <c r="K10235" s="8" t="s">
        <v>218</v>
      </c>
      <c r="L10235" s="8" t="s">
        <v>11551</v>
      </c>
      <c r="M10235" s="8" t="s">
        <v>11552</v>
      </c>
      <c r="N10235" s="8" t="s">
        <v>43908</v>
      </c>
      <c r="O10235" s="8">
        <f>8+47/60+6.7/3600</f>
        <v>8.7851944444444445</v>
      </c>
      <c r="P10235" s="8" t="s">
        <v>43909</v>
      </c>
      <c r="Q10235" s="8">
        <f>+(28+14/60+11/3600)</f>
        <v>28.236388888888889</v>
      </c>
      <c r="R10235" s="8">
        <v>13.8</v>
      </c>
      <c r="S10235" s="8">
        <v>14.6</v>
      </c>
      <c r="T10235" s="8">
        <v>0.8</v>
      </c>
      <c r="U10235" s="8">
        <v>13.7</v>
      </c>
      <c r="V10235" s="8">
        <v>1.5</v>
      </c>
      <c r="W10235" s="8">
        <v>0.7</v>
      </c>
      <c r="X10235" s="8">
        <v>105</v>
      </c>
      <c r="Y10235" s="8" t="s">
        <v>6420</v>
      </c>
      <c r="Z10235" s="8" t="s">
        <v>6421</v>
      </c>
    </row>
    <row r="10236" spans="1:26" x14ac:dyDescent="0.2">
      <c r="A10236" s="8">
        <v>10235</v>
      </c>
      <c r="B10236" s="8" t="s">
        <v>43910</v>
      </c>
      <c r="C10236" s="8" t="s">
        <v>43910</v>
      </c>
      <c r="G10236" s="8">
        <v>4</v>
      </c>
      <c r="H10236" s="8" t="s">
        <v>21</v>
      </c>
      <c r="I10236" s="8" t="s">
        <v>557</v>
      </c>
      <c r="J10236" s="8" t="s">
        <v>557</v>
      </c>
      <c r="K10236" s="8" t="s">
        <v>1840</v>
      </c>
      <c r="L10236" s="8" t="s">
        <v>11757</v>
      </c>
      <c r="M10236" s="8" t="s">
        <v>11758</v>
      </c>
      <c r="N10236" s="8" t="s">
        <v>43911</v>
      </c>
      <c r="O10236" s="8">
        <f>8+42/60+30/3600</f>
        <v>8.7083333333333321</v>
      </c>
      <c r="P10236" s="8" t="s">
        <v>43912</v>
      </c>
      <c r="Q10236" s="8">
        <f>-(48+6/60+30/3600)</f>
        <v>-48.108333333333334</v>
      </c>
      <c r="R10236" s="8">
        <v>4.5999999999999996</v>
      </c>
      <c r="S10236" s="8">
        <v>99</v>
      </c>
      <c r="T10236" s="8">
        <v>99</v>
      </c>
      <c r="U10236" s="8">
        <v>99</v>
      </c>
      <c r="V10236" s="8">
        <v>13</v>
      </c>
      <c r="Y10236" s="8" t="s">
        <v>43913</v>
      </c>
      <c r="Z10236" s="8" t="s">
        <v>43914</v>
      </c>
    </row>
    <row r="10237" spans="1:26" x14ac:dyDescent="0.2">
      <c r="A10237" s="8">
        <v>10236</v>
      </c>
      <c r="B10237" s="8" t="s">
        <v>43915</v>
      </c>
      <c r="C10237" s="8" t="s">
        <v>43915</v>
      </c>
      <c r="G10237" s="8">
        <v>20</v>
      </c>
      <c r="H10237" s="8" t="s">
        <v>21</v>
      </c>
      <c r="I10237" s="8" t="s">
        <v>72</v>
      </c>
      <c r="J10237" s="8" t="s">
        <v>72</v>
      </c>
      <c r="K10237" s="8" t="s">
        <v>20</v>
      </c>
      <c r="L10237" s="8" t="s">
        <v>11551</v>
      </c>
      <c r="M10237" s="8" t="s">
        <v>11552</v>
      </c>
      <c r="N10237" s="8" t="s">
        <v>43916</v>
      </c>
      <c r="O10237" s="8">
        <f>8+46/60+40.6/3600</f>
        <v>8.7779444444444454</v>
      </c>
      <c r="P10237" s="8" t="s">
        <v>43917</v>
      </c>
      <c r="Q10237" s="8">
        <f>+(17+38/60+57/3600)</f>
        <v>17.649166666666666</v>
      </c>
      <c r="R10237" s="8">
        <v>99</v>
      </c>
      <c r="S10237" s="8">
        <v>99</v>
      </c>
      <c r="T10237" s="8">
        <v>99</v>
      </c>
      <c r="U10237" s="8">
        <v>99</v>
      </c>
      <c r="Y10237" s="8" t="s">
        <v>282</v>
      </c>
      <c r="Z10237" s="8" t="s">
        <v>283</v>
      </c>
    </row>
    <row r="10238" spans="1:26" x14ac:dyDescent="0.2">
      <c r="A10238" s="8">
        <v>10237</v>
      </c>
      <c r="B10238" s="8" t="s">
        <v>43918</v>
      </c>
      <c r="C10238" s="8" t="s">
        <v>43918</v>
      </c>
      <c r="G10238" s="8">
        <v>20</v>
      </c>
      <c r="H10238" s="8" t="s">
        <v>21</v>
      </c>
      <c r="I10238" s="8" t="s">
        <v>72</v>
      </c>
      <c r="J10238" s="8" t="s">
        <v>72</v>
      </c>
      <c r="K10238" s="8" t="s">
        <v>73</v>
      </c>
      <c r="L10238" s="8" t="s">
        <v>11551</v>
      </c>
      <c r="M10238" s="8" t="s">
        <v>11552</v>
      </c>
      <c r="N10238" s="8" t="s">
        <v>43919</v>
      </c>
      <c r="O10238" s="8">
        <f>8+46/60+41.7/3600</f>
        <v>8.7782500000000017</v>
      </c>
      <c r="P10238" s="8" t="s">
        <v>43920</v>
      </c>
      <c r="Q10238" s="8">
        <f>+(17+39/60+35/3600)</f>
        <v>17.659722222222221</v>
      </c>
      <c r="R10238" s="8">
        <v>99</v>
      </c>
      <c r="S10238" s="8">
        <v>99</v>
      </c>
      <c r="T10238" s="8">
        <v>99</v>
      </c>
      <c r="U10238" s="8">
        <v>99</v>
      </c>
      <c r="Y10238" s="8" t="s">
        <v>2181</v>
      </c>
      <c r="Z10238" s="8" t="s">
        <v>2182</v>
      </c>
    </row>
    <row r="10239" spans="1:26" x14ac:dyDescent="0.2">
      <c r="A10239" s="8">
        <v>10238</v>
      </c>
      <c r="B10239" s="8" t="s">
        <v>43921</v>
      </c>
      <c r="C10239" s="8" t="s">
        <v>43921</v>
      </c>
      <c r="G10239" s="8">
        <v>20</v>
      </c>
      <c r="H10239" s="8" t="s">
        <v>21</v>
      </c>
      <c r="I10239" s="8" t="s">
        <v>22</v>
      </c>
      <c r="J10239" s="8" t="s">
        <v>22</v>
      </c>
      <c r="K10239" s="8" t="s">
        <v>449</v>
      </c>
      <c r="L10239" s="8" t="s">
        <v>11551</v>
      </c>
      <c r="M10239" s="8" t="s">
        <v>11552</v>
      </c>
      <c r="N10239" s="8" t="s">
        <v>43922</v>
      </c>
      <c r="O10239" s="8">
        <f>8+46/60+44.5/3600</f>
        <v>8.7790277777777792</v>
      </c>
      <c r="P10239" s="8" t="s">
        <v>43923</v>
      </c>
      <c r="Q10239" s="8">
        <f>+(17+45/60+19/3600)</f>
        <v>17.755277777777778</v>
      </c>
      <c r="R10239" s="8">
        <v>14.9</v>
      </c>
      <c r="S10239" s="8">
        <v>15.7</v>
      </c>
      <c r="T10239" s="8">
        <v>0.8</v>
      </c>
      <c r="U10239" s="8">
        <v>12.7</v>
      </c>
      <c r="V10239" s="8">
        <v>0.5</v>
      </c>
      <c r="W10239" s="8">
        <v>0.3</v>
      </c>
      <c r="X10239" s="8">
        <v>5</v>
      </c>
      <c r="Y10239" s="8" t="s">
        <v>121</v>
      </c>
      <c r="Z10239" s="8" t="s">
        <v>122</v>
      </c>
    </row>
    <row r="10240" spans="1:26" x14ac:dyDescent="0.2">
      <c r="A10240" s="8">
        <v>10239</v>
      </c>
      <c r="B10240" s="8" t="s">
        <v>43924</v>
      </c>
      <c r="C10240" s="8" t="s">
        <v>43924</v>
      </c>
      <c r="G10240" s="8">
        <v>20</v>
      </c>
      <c r="H10240" s="8" t="s">
        <v>21</v>
      </c>
      <c r="I10240" s="8" t="s">
        <v>329</v>
      </c>
      <c r="J10240" s="8" t="s">
        <v>329</v>
      </c>
      <c r="K10240" s="8" t="s">
        <v>329</v>
      </c>
      <c r="L10240" s="8" t="s">
        <v>11551</v>
      </c>
      <c r="M10240" s="8" t="s">
        <v>11552</v>
      </c>
      <c r="N10240" s="8" t="s">
        <v>43925</v>
      </c>
      <c r="O10240" s="8">
        <f>8+46/60+50.1/3600</f>
        <v>8.7805833333333343</v>
      </c>
      <c r="P10240" s="8" t="s">
        <v>43467</v>
      </c>
      <c r="Q10240" s="8">
        <f>+(18+54/60+55/3600)</f>
        <v>18.915277777777778</v>
      </c>
      <c r="R10240" s="8">
        <v>99</v>
      </c>
      <c r="S10240" s="8">
        <v>99</v>
      </c>
      <c r="T10240" s="8">
        <v>99</v>
      </c>
      <c r="U10240" s="8">
        <v>99</v>
      </c>
      <c r="Y10240" s="8" t="s">
        <v>43926</v>
      </c>
      <c r="Z10240" s="8" t="s">
        <v>43927</v>
      </c>
    </row>
    <row r="10241" spans="1:26" x14ac:dyDescent="0.2">
      <c r="A10241" s="8">
        <v>10240</v>
      </c>
      <c r="B10241" s="8" t="s">
        <v>43928</v>
      </c>
      <c r="C10241" s="8" t="s">
        <v>43928</v>
      </c>
      <c r="G10241" s="8">
        <v>20</v>
      </c>
      <c r="H10241" s="8" t="s">
        <v>21</v>
      </c>
      <c r="I10241" s="8" t="s">
        <v>22</v>
      </c>
      <c r="J10241" s="8" t="s">
        <v>22</v>
      </c>
      <c r="K10241" s="8" t="s">
        <v>160</v>
      </c>
      <c r="L10241" s="8" t="s">
        <v>10511</v>
      </c>
      <c r="M10241" s="8" t="s">
        <v>10512</v>
      </c>
      <c r="N10241" s="8" t="s">
        <v>43929</v>
      </c>
      <c r="O10241" s="8">
        <f>8+47/60+59.1/3600</f>
        <v>8.7997499999999995</v>
      </c>
      <c r="P10241" s="8" t="s">
        <v>43930</v>
      </c>
      <c r="Q10241" s="8">
        <f>+(38+4/60+8/3600)</f>
        <v>38.068888888888893</v>
      </c>
      <c r="R10241" s="8">
        <v>14.3</v>
      </c>
      <c r="S10241" s="8">
        <v>15</v>
      </c>
      <c r="T10241" s="8">
        <v>0.7</v>
      </c>
      <c r="U10241" s="8">
        <v>12.5</v>
      </c>
      <c r="V10241" s="8">
        <v>0.8</v>
      </c>
      <c r="W10241" s="8">
        <v>0.3</v>
      </c>
      <c r="X10241" s="8">
        <v>111</v>
      </c>
      <c r="Y10241" s="8" t="s">
        <v>2513</v>
      </c>
      <c r="Z10241" s="8" t="s">
        <v>23624</v>
      </c>
    </row>
    <row r="10242" spans="1:26" x14ac:dyDescent="0.2">
      <c r="A10242" s="8">
        <v>10241</v>
      </c>
      <c r="B10242" s="8" t="s">
        <v>43931</v>
      </c>
      <c r="C10242" s="8" t="s">
        <v>43931</v>
      </c>
      <c r="G10242" s="8">
        <v>20</v>
      </c>
      <c r="H10242" s="8" t="s">
        <v>21</v>
      </c>
      <c r="I10242" s="8" t="s">
        <v>22</v>
      </c>
      <c r="J10242" s="8" t="s">
        <v>22</v>
      </c>
      <c r="K10242" s="8" t="s">
        <v>37</v>
      </c>
      <c r="L10242" s="8" t="s">
        <v>10511</v>
      </c>
      <c r="M10242" s="8" t="s">
        <v>10512</v>
      </c>
      <c r="N10242" s="8" t="s">
        <v>43932</v>
      </c>
      <c r="O10242" s="8">
        <f>8+48/60+10.2/3600</f>
        <v>8.802833333333334</v>
      </c>
      <c r="P10242" s="8" t="s">
        <v>43933</v>
      </c>
      <c r="Q10242" s="8">
        <f>+(37+45/60+21/3600)</f>
        <v>37.755833333333335</v>
      </c>
      <c r="R10242" s="8">
        <v>14.4</v>
      </c>
      <c r="S10242" s="8">
        <v>15.4</v>
      </c>
      <c r="T10242" s="8">
        <v>1</v>
      </c>
      <c r="U10242" s="8">
        <v>14.1</v>
      </c>
      <c r="V10242" s="8">
        <v>1.2</v>
      </c>
      <c r="W10242" s="8">
        <v>0.7</v>
      </c>
      <c r="X10242" s="8">
        <v>101</v>
      </c>
      <c r="Y10242" s="8" t="s">
        <v>41073</v>
      </c>
      <c r="Z10242" s="8" t="s">
        <v>41074</v>
      </c>
    </row>
    <row r="10243" spans="1:26" x14ac:dyDescent="0.2">
      <c r="A10243" s="8">
        <v>10242</v>
      </c>
      <c r="B10243" s="8" t="s">
        <v>43934</v>
      </c>
      <c r="C10243" s="8" t="s">
        <v>43934</v>
      </c>
      <c r="G10243" s="8">
        <v>20</v>
      </c>
      <c r="H10243" s="8" t="s">
        <v>21</v>
      </c>
      <c r="I10243" s="8" t="s">
        <v>22</v>
      </c>
      <c r="J10243" s="8" t="s">
        <v>22</v>
      </c>
      <c r="K10243" s="8" t="s">
        <v>632</v>
      </c>
      <c r="L10243" s="8" t="s">
        <v>11551</v>
      </c>
      <c r="M10243" s="8" t="s">
        <v>11552</v>
      </c>
      <c r="N10243" s="8" t="s">
        <v>43935</v>
      </c>
      <c r="O10243" s="8">
        <f>8+47/60+59/3600</f>
        <v>8.799722222222222</v>
      </c>
      <c r="P10243" s="8" t="s">
        <v>43936</v>
      </c>
      <c r="Q10243" s="8">
        <f>+(31+47/60+10/3600)</f>
        <v>31.786111111111111</v>
      </c>
      <c r="R10243" s="8">
        <v>14.7</v>
      </c>
      <c r="S10243" s="8">
        <v>15.6</v>
      </c>
      <c r="T10243" s="8">
        <v>0.9</v>
      </c>
      <c r="U10243" s="8">
        <v>13.1</v>
      </c>
      <c r="V10243" s="8">
        <v>0.5</v>
      </c>
      <c r="W10243" s="8">
        <v>0.5</v>
      </c>
      <c r="Y10243" s="8" t="s">
        <v>43937</v>
      </c>
      <c r="Z10243" s="8" t="s">
        <v>43938</v>
      </c>
    </row>
    <row r="10244" spans="1:26" x14ac:dyDescent="0.2">
      <c r="A10244" s="8">
        <v>10243</v>
      </c>
      <c r="B10244" s="8" t="s">
        <v>43939</v>
      </c>
      <c r="C10244" s="8" t="s">
        <v>43939</v>
      </c>
      <c r="G10244" s="8">
        <v>20</v>
      </c>
      <c r="H10244" s="8" t="s">
        <v>21</v>
      </c>
      <c r="I10244" s="8" t="s">
        <v>22</v>
      </c>
      <c r="J10244" s="8" t="s">
        <v>22</v>
      </c>
      <c r="K10244" s="8" t="s">
        <v>449</v>
      </c>
      <c r="L10244" s="8" t="s">
        <v>11765</v>
      </c>
      <c r="M10244" s="8" t="s">
        <v>11766</v>
      </c>
      <c r="N10244" s="8" t="s">
        <v>43940</v>
      </c>
      <c r="O10244" s="8">
        <f>8+46/60+9.3/3600</f>
        <v>8.7692500000000013</v>
      </c>
      <c r="P10244" s="8" t="s">
        <v>43941</v>
      </c>
      <c r="Q10244" s="8">
        <f>-(15+21/60+24/3600)</f>
        <v>-15.356666666666666</v>
      </c>
      <c r="R10244" s="8">
        <v>14.7</v>
      </c>
      <c r="S10244" s="8">
        <v>15.5</v>
      </c>
      <c r="T10244" s="8">
        <v>0.8</v>
      </c>
      <c r="U10244" s="8">
        <v>12.7</v>
      </c>
      <c r="V10244" s="8">
        <v>0.6</v>
      </c>
      <c r="W10244" s="8">
        <v>0.3</v>
      </c>
      <c r="X10244" s="8">
        <v>120</v>
      </c>
      <c r="Y10244" s="8" t="s">
        <v>25545</v>
      </c>
      <c r="Z10244" s="8" t="s">
        <v>25546</v>
      </c>
    </row>
    <row r="10245" spans="1:26" x14ac:dyDescent="0.2">
      <c r="A10245" s="8">
        <v>10244</v>
      </c>
      <c r="B10245" s="8" t="s">
        <v>43942</v>
      </c>
      <c r="C10245" s="8" t="s">
        <v>43942</v>
      </c>
      <c r="G10245" s="8">
        <v>20</v>
      </c>
      <c r="H10245" s="8" t="s">
        <v>21</v>
      </c>
      <c r="I10245" s="8" t="s">
        <v>22</v>
      </c>
      <c r="J10245" s="8" t="s">
        <v>22</v>
      </c>
      <c r="K10245" s="8" t="s">
        <v>37</v>
      </c>
      <c r="L10245" s="8" t="s">
        <v>11551</v>
      </c>
      <c r="M10245" s="8" t="s">
        <v>11552</v>
      </c>
      <c r="N10245" s="8" t="s">
        <v>43943</v>
      </c>
      <c r="O10245" s="8">
        <f>8+48/60+10.3/3600</f>
        <v>8.8028611111111115</v>
      </c>
      <c r="P10245" s="8" t="s">
        <v>43944</v>
      </c>
      <c r="Q10245" s="8">
        <f>+(29+29/60+29/3600)</f>
        <v>29.491388888888888</v>
      </c>
      <c r="R10245" s="8">
        <v>14.5</v>
      </c>
      <c r="S10245" s="8">
        <v>15.5</v>
      </c>
      <c r="T10245" s="8">
        <v>1</v>
      </c>
      <c r="U10245" s="8">
        <v>12.1</v>
      </c>
      <c r="V10245" s="8">
        <v>0.4</v>
      </c>
      <c r="W10245" s="8">
        <v>0.3</v>
      </c>
      <c r="X10245" s="8">
        <v>95</v>
      </c>
      <c r="Y10245" s="8" t="s">
        <v>43945</v>
      </c>
      <c r="Z10245" s="8" t="s">
        <v>43946</v>
      </c>
    </row>
    <row r="10246" spans="1:26" x14ac:dyDescent="0.2">
      <c r="A10246" s="8">
        <v>10245</v>
      </c>
      <c r="B10246" s="8" t="s">
        <v>43947</v>
      </c>
      <c r="C10246" s="8" t="s">
        <v>43947</v>
      </c>
      <c r="G10246" s="8">
        <v>20</v>
      </c>
      <c r="H10246" s="8" t="s">
        <v>21</v>
      </c>
      <c r="I10246" s="8" t="s">
        <v>22</v>
      </c>
      <c r="J10246" s="8" t="s">
        <v>22</v>
      </c>
      <c r="K10246" s="8" t="s">
        <v>396</v>
      </c>
      <c r="L10246" s="8" t="s">
        <v>10511</v>
      </c>
      <c r="M10246" s="8" t="s">
        <v>10512</v>
      </c>
      <c r="N10246" s="8" t="s">
        <v>43948</v>
      </c>
      <c r="O10246" s="8">
        <f>8+48/60+42.7/3600</f>
        <v>8.8118611111111118</v>
      </c>
      <c r="P10246" s="8" t="s">
        <v>43949</v>
      </c>
      <c r="Q10246" s="8">
        <f>+(37+13/60+6/3600)</f>
        <v>37.218333333333334</v>
      </c>
      <c r="R10246" s="8">
        <v>14.5</v>
      </c>
      <c r="S10246" s="8">
        <v>15.3</v>
      </c>
      <c r="T10246" s="8">
        <v>0.8</v>
      </c>
      <c r="U10246" s="8">
        <v>13.4</v>
      </c>
      <c r="V10246" s="8">
        <v>0.8</v>
      </c>
      <c r="W10246" s="8">
        <v>0.5</v>
      </c>
      <c r="X10246" s="8">
        <v>3</v>
      </c>
      <c r="Y10246" s="8" t="s">
        <v>6420</v>
      </c>
      <c r="Z10246" s="8" t="s">
        <v>6421</v>
      </c>
    </row>
    <row r="10247" spans="1:26" x14ac:dyDescent="0.2">
      <c r="A10247" s="8">
        <v>10246</v>
      </c>
      <c r="B10247" s="8" t="s">
        <v>43950</v>
      </c>
      <c r="C10247" s="8" t="s">
        <v>43950</v>
      </c>
      <c r="G10247" s="8">
        <v>20</v>
      </c>
      <c r="H10247" s="8" t="s">
        <v>21</v>
      </c>
      <c r="I10247" s="8" t="s">
        <v>22</v>
      </c>
      <c r="J10247" s="8" t="s">
        <v>22</v>
      </c>
      <c r="K10247" s="8" t="s">
        <v>632</v>
      </c>
      <c r="L10247" s="8" t="s">
        <v>11551</v>
      </c>
      <c r="M10247" s="8" t="s">
        <v>11552</v>
      </c>
      <c r="N10247" s="8" t="s">
        <v>43951</v>
      </c>
      <c r="O10247" s="8">
        <f>8+48/60+4.4/3600</f>
        <v>8.8012222222222221</v>
      </c>
      <c r="P10247" s="8" t="s">
        <v>43952</v>
      </c>
      <c r="Q10247" s="8">
        <f>+(17+42/60+8/3600)</f>
        <v>17.702222222222222</v>
      </c>
      <c r="R10247" s="8">
        <v>13.4</v>
      </c>
      <c r="S10247" s="8">
        <v>14.3</v>
      </c>
      <c r="T10247" s="8">
        <v>0.9</v>
      </c>
      <c r="U10247" s="8">
        <v>12.8</v>
      </c>
      <c r="V10247" s="8">
        <v>1.1000000000000001</v>
      </c>
      <c r="W10247" s="8">
        <v>0.6</v>
      </c>
      <c r="X10247" s="8">
        <v>173</v>
      </c>
      <c r="Y10247" s="8" t="s">
        <v>21</v>
      </c>
      <c r="Z10247" s="8" t="s">
        <v>43953</v>
      </c>
    </row>
    <row r="10248" spans="1:26" x14ac:dyDescent="0.2">
      <c r="A10248" s="8">
        <v>10247</v>
      </c>
      <c r="B10248" s="8" t="s">
        <v>43954</v>
      </c>
      <c r="C10248" s="8" t="s">
        <v>43954</v>
      </c>
      <c r="G10248" s="8">
        <v>20</v>
      </c>
      <c r="H10248" s="8" t="s">
        <v>21</v>
      </c>
      <c r="I10248" s="8" t="s">
        <v>22</v>
      </c>
      <c r="J10248" s="8" t="s">
        <v>22</v>
      </c>
      <c r="K10248" s="8" t="s">
        <v>396</v>
      </c>
      <c r="L10248" s="8" t="s">
        <v>11551</v>
      </c>
      <c r="M10248" s="8" t="s">
        <v>11552</v>
      </c>
      <c r="N10248" s="8" t="s">
        <v>43955</v>
      </c>
      <c r="O10248" s="8">
        <f>8+48/60+9.1/3600</f>
        <v>8.8025277777777777</v>
      </c>
      <c r="P10248" s="8" t="s">
        <v>37294</v>
      </c>
      <c r="Q10248" s="8">
        <f>+(17+36/60+42/3600)</f>
        <v>17.611666666666668</v>
      </c>
      <c r="R10248" s="8">
        <v>14.4</v>
      </c>
      <c r="S10248" s="8">
        <v>15.2</v>
      </c>
      <c r="T10248" s="8">
        <v>0.8</v>
      </c>
      <c r="U10248" s="8">
        <v>12.7</v>
      </c>
      <c r="V10248" s="8">
        <v>1.2</v>
      </c>
      <c r="W10248" s="8">
        <v>0.2</v>
      </c>
      <c r="X10248" s="8">
        <v>86</v>
      </c>
      <c r="Y10248" s="8" t="s">
        <v>43956</v>
      </c>
      <c r="Z10248" s="8" t="s">
        <v>43957</v>
      </c>
    </row>
    <row r="10249" spans="1:26" x14ac:dyDescent="0.2">
      <c r="A10249" s="8">
        <v>10248</v>
      </c>
      <c r="B10249" s="8" t="s">
        <v>43958</v>
      </c>
      <c r="C10249" s="8" t="s">
        <v>43958</v>
      </c>
      <c r="G10249" s="8">
        <v>20</v>
      </c>
      <c r="H10249" s="8" t="s">
        <v>21</v>
      </c>
      <c r="I10249" s="8" t="s">
        <v>72</v>
      </c>
      <c r="J10249" s="8" t="s">
        <v>72</v>
      </c>
      <c r="K10249" s="8" t="s">
        <v>20</v>
      </c>
      <c r="L10249" s="8" t="s">
        <v>11551</v>
      </c>
      <c r="M10249" s="8" t="s">
        <v>11552</v>
      </c>
      <c r="N10249" s="8" t="s">
        <v>43959</v>
      </c>
      <c r="O10249" s="8">
        <f>8+48/60+20.3/3600</f>
        <v>8.8056388888888897</v>
      </c>
      <c r="P10249" s="8" t="s">
        <v>43960</v>
      </c>
      <c r="Q10249" s="8">
        <f>+(19+2/60+12/3600)</f>
        <v>19.036666666666669</v>
      </c>
      <c r="R10249" s="8">
        <v>99</v>
      </c>
      <c r="S10249" s="8">
        <v>99</v>
      </c>
      <c r="T10249" s="8">
        <v>99</v>
      </c>
      <c r="U10249" s="8">
        <v>99</v>
      </c>
      <c r="Y10249" s="8" t="s">
        <v>32565</v>
      </c>
      <c r="Z10249" s="8" t="s">
        <v>27278</v>
      </c>
    </row>
    <row r="10250" spans="1:26" x14ac:dyDescent="0.2">
      <c r="A10250" s="8">
        <v>10249</v>
      </c>
      <c r="B10250" s="8" t="s">
        <v>43961</v>
      </c>
      <c r="C10250" s="8" t="s">
        <v>43961</v>
      </c>
      <c r="G10250" s="8">
        <v>20</v>
      </c>
      <c r="H10250" s="8" t="s">
        <v>21</v>
      </c>
      <c r="I10250" s="8" t="s">
        <v>22</v>
      </c>
      <c r="J10250" s="8" t="s">
        <v>22</v>
      </c>
      <c r="K10250" s="8" t="s">
        <v>154</v>
      </c>
      <c r="L10250" s="8" t="s">
        <v>11551</v>
      </c>
      <c r="M10250" s="8" t="s">
        <v>11552</v>
      </c>
      <c r="N10250" s="8" t="s">
        <v>43962</v>
      </c>
      <c r="O10250" s="8">
        <f>8+48/60+24.7/3600</f>
        <v>8.806861111111111</v>
      </c>
      <c r="P10250" s="8" t="s">
        <v>43963</v>
      </c>
      <c r="Q10250" s="8">
        <f>+(18+19/60+49/3600)</f>
        <v>18.330277777777777</v>
      </c>
      <c r="R10250" s="8">
        <v>13.5</v>
      </c>
      <c r="S10250" s="8">
        <v>14.4</v>
      </c>
      <c r="T10250" s="8">
        <v>0.9</v>
      </c>
      <c r="U10250" s="8">
        <v>13</v>
      </c>
      <c r="V10250" s="8">
        <v>1</v>
      </c>
      <c r="W10250" s="8">
        <v>0.7</v>
      </c>
      <c r="X10250" s="8">
        <v>165</v>
      </c>
      <c r="Y10250" s="8" t="s">
        <v>21</v>
      </c>
      <c r="Z10250" s="8" t="s">
        <v>43964</v>
      </c>
    </row>
    <row r="10251" spans="1:26" x14ac:dyDescent="0.2">
      <c r="A10251" s="8">
        <v>10250</v>
      </c>
      <c r="B10251" s="8" t="s">
        <v>43965</v>
      </c>
      <c r="C10251" s="8" t="s">
        <v>43965</v>
      </c>
      <c r="G10251" s="8">
        <v>20</v>
      </c>
      <c r="H10251" s="8" t="s">
        <v>21</v>
      </c>
      <c r="I10251" s="8" t="s">
        <v>22</v>
      </c>
      <c r="J10251" s="8" t="s">
        <v>57</v>
      </c>
      <c r="K10251" s="8" t="s">
        <v>476</v>
      </c>
      <c r="L10251" s="8" t="s">
        <v>11551</v>
      </c>
      <c r="M10251" s="8" t="s">
        <v>11552</v>
      </c>
      <c r="N10251" s="8" t="s">
        <v>12307</v>
      </c>
      <c r="O10251" s="8">
        <f>8+48/60+27.2/3600</f>
        <v>8.807555555555556</v>
      </c>
      <c r="P10251" s="8" t="s">
        <v>12308</v>
      </c>
      <c r="Q10251" s="8">
        <f>+(19+1/60+11/3600)</f>
        <v>19.019722222222221</v>
      </c>
      <c r="R10251" s="8">
        <v>14</v>
      </c>
      <c r="S10251" s="8">
        <v>14.9</v>
      </c>
      <c r="T10251" s="8">
        <v>0.9</v>
      </c>
      <c r="U10251" s="8">
        <v>12.3</v>
      </c>
      <c r="V10251" s="8">
        <v>0.8</v>
      </c>
      <c r="W10251" s="8">
        <v>0.3</v>
      </c>
      <c r="X10251" s="8">
        <v>78</v>
      </c>
      <c r="Y10251" s="8" t="s">
        <v>43966</v>
      </c>
      <c r="Z10251" s="8" t="s">
        <v>43967</v>
      </c>
    </row>
    <row r="10252" spans="1:26" x14ac:dyDescent="0.2">
      <c r="A10252" s="8">
        <v>10251</v>
      </c>
      <c r="B10252" s="8" t="s">
        <v>43968</v>
      </c>
      <c r="C10252" s="8" t="s">
        <v>43968</v>
      </c>
      <c r="G10252" s="8">
        <v>20</v>
      </c>
      <c r="H10252" s="8" t="s">
        <v>21</v>
      </c>
      <c r="I10252" s="8" t="s">
        <v>22</v>
      </c>
      <c r="J10252" s="8" t="s">
        <v>22</v>
      </c>
      <c r="K10252" s="8" t="s">
        <v>476</v>
      </c>
      <c r="L10252" s="8" t="s">
        <v>11551</v>
      </c>
      <c r="M10252" s="8" t="s">
        <v>11552</v>
      </c>
      <c r="N10252" s="8" t="s">
        <v>43969</v>
      </c>
      <c r="O10252" s="8">
        <f>8+48/60+30.2/3600</f>
        <v>8.8083888888888904</v>
      </c>
      <c r="P10252" s="8" t="s">
        <v>43970</v>
      </c>
      <c r="Q10252" s="8">
        <f>+(19+2/60+37/3600)</f>
        <v>19.043611111111112</v>
      </c>
      <c r="R10252" s="8">
        <v>14.7</v>
      </c>
      <c r="S10252" s="8">
        <v>15.5</v>
      </c>
      <c r="T10252" s="8">
        <v>0.8</v>
      </c>
      <c r="U10252" s="8">
        <v>12.6</v>
      </c>
      <c r="V10252" s="8">
        <v>0.8</v>
      </c>
      <c r="W10252" s="8">
        <v>0.2</v>
      </c>
      <c r="X10252" s="8">
        <v>45</v>
      </c>
      <c r="Y10252" s="8" t="s">
        <v>43971</v>
      </c>
      <c r="Z10252" s="8" t="s">
        <v>43972</v>
      </c>
    </row>
    <row r="10253" spans="1:26" x14ac:dyDescent="0.2">
      <c r="A10253" s="8">
        <v>10252</v>
      </c>
      <c r="B10253" s="8" t="s">
        <v>43973</v>
      </c>
      <c r="C10253" s="8" t="s">
        <v>43973</v>
      </c>
      <c r="G10253" s="8">
        <v>20</v>
      </c>
      <c r="H10253" s="8" t="s">
        <v>21</v>
      </c>
      <c r="I10253" s="8" t="s">
        <v>72</v>
      </c>
      <c r="J10253" s="8" t="s">
        <v>72</v>
      </c>
      <c r="K10253" s="8" t="s">
        <v>20</v>
      </c>
      <c r="L10253" s="8" t="s">
        <v>11551</v>
      </c>
      <c r="M10253" s="8" t="s">
        <v>11552</v>
      </c>
      <c r="N10253" s="8" t="s">
        <v>43974</v>
      </c>
      <c r="O10253" s="8">
        <f>8+49/60+23.8/3600</f>
        <v>8.8232777777777773</v>
      </c>
      <c r="P10253" s="8" t="s">
        <v>43975</v>
      </c>
      <c r="Q10253" s="8">
        <f>+(18+32/60+36/3600)</f>
        <v>18.543333333333337</v>
      </c>
      <c r="R10253" s="8">
        <v>99</v>
      </c>
      <c r="S10253" s="8">
        <v>15.2</v>
      </c>
      <c r="T10253" s="8">
        <v>99</v>
      </c>
      <c r="U10253" s="8">
        <v>99</v>
      </c>
      <c r="Y10253" s="8" t="s">
        <v>43976</v>
      </c>
      <c r="Z10253" s="8" t="s">
        <v>43977</v>
      </c>
    </row>
    <row r="10254" spans="1:26" x14ac:dyDescent="0.2">
      <c r="A10254" s="8">
        <v>10253</v>
      </c>
      <c r="B10254" s="8" t="s">
        <v>43978</v>
      </c>
      <c r="C10254" s="8" t="s">
        <v>43978</v>
      </c>
      <c r="G10254" s="8">
        <v>20</v>
      </c>
      <c r="H10254" s="8" t="s">
        <v>21</v>
      </c>
      <c r="I10254" s="8" t="s">
        <v>72</v>
      </c>
      <c r="J10254" s="8" t="s">
        <v>72</v>
      </c>
      <c r="K10254" s="8" t="s">
        <v>73</v>
      </c>
      <c r="L10254" s="8" t="s">
        <v>11551</v>
      </c>
      <c r="M10254" s="8" t="s">
        <v>11552</v>
      </c>
      <c r="N10254" s="8" t="s">
        <v>43979</v>
      </c>
      <c r="O10254" s="8">
        <f>8+49/60+31.5/3600</f>
        <v>8.8254166666666656</v>
      </c>
      <c r="P10254" s="8" t="s">
        <v>43980</v>
      </c>
      <c r="Q10254" s="8">
        <f>+(18+44/60+42/3600)</f>
        <v>18.745000000000001</v>
      </c>
      <c r="R10254" s="8">
        <v>99</v>
      </c>
      <c r="S10254" s="8">
        <v>99</v>
      </c>
      <c r="T10254" s="8">
        <v>99</v>
      </c>
      <c r="U10254" s="8">
        <v>99</v>
      </c>
      <c r="Y10254" s="8" t="s">
        <v>43981</v>
      </c>
      <c r="Z10254" s="8" t="s">
        <v>43982</v>
      </c>
    </row>
    <row r="10255" spans="1:26" x14ac:dyDescent="0.2">
      <c r="A10255" s="8">
        <v>10254</v>
      </c>
      <c r="B10255" s="8" t="s">
        <v>43983</v>
      </c>
      <c r="C10255" s="8" t="s">
        <v>43983</v>
      </c>
      <c r="G10255" s="8">
        <v>20</v>
      </c>
      <c r="H10255" s="8" t="s">
        <v>21</v>
      </c>
      <c r="I10255" s="8" t="s">
        <v>22</v>
      </c>
      <c r="J10255" s="8" t="s">
        <v>22</v>
      </c>
      <c r="K10255" s="8" t="s">
        <v>460</v>
      </c>
      <c r="L10255" s="8" t="s">
        <v>11551</v>
      </c>
      <c r="M10255" s="8" t="s">
        <v>11552</v>
      </c>
      <c r="N10255" s="8" t="s">
        <v>43984</v>
      </c>
      <c r="O10255" s="8">
        <f>8+49/60+50/3600</f>
        <v>8.8305555555555557</v>
      </c>
      <c r="P10255" s="8" t="s">
        <v>43985</v>
      </c>
      <c r="Q10255" s="8">
        <f>+(18+47/60+35/3600)</f>
        <v>18.793055555555558</v>
      </c>
      <c r="R10255" s="8">
        <v>14.5</v>
      </c>
      <c r="S10255" s="8">
        <v>15.5</v>
      </c>
      <c r="T10255" s="8">
        <v>1</v>
      </c>
      <c r="U10255" s="8">
        <v>12</v>
      </c>
      <c r="V10255" s="8">
        <v>0.3</v>
      </c>
      <c r="W10255" s="8">
        <v>0.3</v>
      </c>
      <c r="Y10255" s="8" t="s">
        <v>38048</v>
      </c>
      <c r="Z10255" s="8" t="s">
        <v>34893</v>
      </c>
    </row>
    <row r="10256" spans="1:26" x14ac:dyDescent="0.2">
      <c r="A10256" s="8">
        <v>10255</v>
      </c>
      <c r="B10256" s="8" t="s">
        <v>43986</v>
      </c>
      <c r="C10256" s="8" t="s">
        <v>43986</v>
      </c>
      <c r="G10256" s="8">
        <v>20</v>
      </c>
      <c r="H10256" s="8" t="s">
        <v>21</v>
      </c>
      <c r="I10256" s="8" t="s">
        <v>72</v>
      </c>
      <c r="J10256" s="8" t="s">
        <v>72</v>
      </c>
      <c r="K10256" s="8" t="s">
        <v>20</v>
      </c>
      <c r="L10256" s="8" t="s">
        <v>11551</v>
      </c>
      <c r="M10256" s="8" t="s">
        <v>11552</v>
      </c>
      <c r="N10256" s="8" t="s">
        <v>43987</v>
      </c>
      <c r="O10256" s="8">
        <f>8+50/60+2/3600</f>
        <v>8.8338888888888896</v>
      </c>
      <c r="P10256" s="8" t="s">
        <v>43988</v>
      </c>
      <c r="Q10256" s="8">
        <f>+(18+39/60+8/3600)</f>
        <v>18.652222222222221</v>
      </c>
      <c r="R10256" s="8">
        <v>99</v>
      </c>
      <c r="S10256" s="8">
        <v>99</v>
      </c>
      <c r="T10256" s="8">
        <v>99</v>
      </c>
      <c r="U10256" s="8">
        <v>99</v>
      </c>
      <c r="Y10256" s="8" t="s">
        <v>21</v>
      </c>
      <c r="Z10256" s="8" t="s">
        <v>43989</v>
      </c>
    </row>
    <row r="10257" spans="1:26" x14ac:dyDescent="0.2">
      <c r="A10257" s="8">
        <v>10256</v>
      </c>
      <c r="B10257" s="8" t="s">
        <v>43990</v>
      </c>
      <c r="C10257" s="8" t="s">
        <v>43990</v>
      </c>
      <c r="G10257" s="8">
        <v>20</v>
      </c>
      <c r="H10257" s="8" t="s">
        <v>21</v>
      </c>
      <c r="I10257" s="8" t="s">
        <v>72</v>
      </c>
      <c r="J10257" s="8" t="s">
        <v>72</v>
      </c>
      <c r="K10257" s="8" t="s">
        <v>20</v>
      </c>
      <c r="L10257" s="8" t="s">
        <v>11551</v>
      </c>
      <c r="M10257" s="8" t="s">
        <v>11552</v>
      </c>
      <c r="N10257" s="8" t="s">
        <v>43991</v>
      </c>
      <c r="O10257" s="8">
        <f>8+50/60+32.1/3600</f>
        <v>8.8422499999999999</v>
      </c>
      <c r="P10257" s="8" t="s">
        <v>43992</v>
      </c>
      <c r="Q10257" s="8">
        <f>+(18+33/60+35/3600)</f>
        <v>18.559722222222224</v>
      </c>
      <c r="R10257" s="8">
        <v>99</v>
      </c>
      <c r="S10257" s="8">
        <v>14.8</v>
      </c>
      <c r="T10257" s="8">
        <v>99</v>
      </c>
      <c r="U10257" s="8">
        <v>99</v>
      </c>
      <c r="Y10257" s="8" t="s">
        <v>13469</v>
      </c>
      <c r="Z10257" s="8" t="s">
        <v>13470</v>
      </c>
    </row>
    <row r="10258" spans="1:26" x14ac:dyDescent="0.2">
      <c r="A10258" s="8">
        <v>10257</v>
      </c>
      <c r="B10258" s="8" t="s">
        <v>43993</v>
      </c>
      <c r="C10258" s="8" t="s">
        <v>43993</v>
      </c>
      <c r="G10258" s="8">
        <v>20</v>
      </c>
      <c r="H10258" s="8" t="s">
        <v>21</v>
      </c>
      <c r="I10258" s="8" t="s">
        <v>72</v>
      </c>
      <c r="J10258" s="8" t="s">
        <v>72</v>
      </c>
      <c r="K10258" s="8" t="s">
        <v>20</v>
      </c>
      <c r="L10258" s="8" t="s">
        <v>11551</v>
      </c>
      <c r="M10258" s="8" t="s">
        <v>11552</v>
      </c>
      <c r="N10258" s="8" t="s">
        <v>43994</v>
      </c>
      <c r="O10258" s="8">
        <f>8+51/60+8.2/3600</f>
        <v>8.8522777777777772</v>
      </c>
      <c r="P10258" s="8" t="s">
        <v>43995</v>
      </c>
      <c r="Q10258" s="8">
        <f>+(18+37/60+30/3600)</f>
        <v>18.625</v>
      </c>
      <c r="R10258" s="8">
        <v>99</v>
      </c>
      <c r="S10258" s="8">
        <v>14.4</v>
      </c>
      <c r="T10258" s="8">
        <v>99</v>
      </c>
      <c r="U10258" s="8">
        <v>99</v>
      </c>
      <c r="Y10258" s="8" t="s">
        <v>43996</v>
      </c>
      <c r="Z10258" s="8" t="s">
        <v>43997</v>
      </c>
    </row>
    <row r="10259" spans="1:26" x14ac:dyDescent="0.2">
      <c r="A10259" s="8">
        <v>10258</v>
      </c>
      <c r="B10259" s="8" t="s">
        <v>43998</v>
      </c>
      <c r="C10259" s="8" t="s">
        <v>43998</v>
      </c>
      <c r="G10259" s="8">
        <v>20</v>
      </c>
      <c r="H10259" s="8" t="s">
        <v>21</v>
      </c>
      <c r="I10259" s="8" t="s">
        <v>22</v>
      </c>
      <c r="J10259" s="8" t="s">
        <v>22</v>
      </c>
      <c r="K10259" s="8" t="s">
        <v>424</v>
      </c>
      <c r="L10259" s="8" t="s">
        <v>11551</v>
      </c>
      <c r="M10259" s="8" t="s">
        <v>11552</v>
      </c>
      <c r="N10259" s="8" t="s">
        <v>43999</v>
      </c>
      <c r="O10259" s="8">
        <f>8+51/60+25/3600</f>
        <v>8.8569444444444443</v>
      </c>
      <c r="P10259" s="8" t="s">
        <v>44000</v>
      </c>
      <c r="Q10259" s="8">
        <f>+(17+56/60+41/3600)</f>
        <v>17.944722222222222</v>
      </c>
      <c r="R10259" s="8">
        <v>15.3</v>
      </c>
      <c r="S10259" s="8">
        <v>16.3</v>
      </c>
      <c r="T10259" s="8">
        <v>1</v>
      </c>
      <c r="U10259" s="8">
        <v>11.7</v>
      </c>
      <c r="V10259" s="8">
        <v>0.2</v>
      </c>
      <c r="W10259" s="8">
        <v>0.2</v>
      </c>
      <c r="Y10259" s="8" t="s">
        <v>21</v>
      </c>
      <c r="Z10259" s="8" t="s">
        <v>44001</v>
      </c>
    </row>
    <row r="10260" spans="1:26" x14ac:dyDescent="0.2">
      <c r="A10260" s="8">
        <v>10259</v>
      </c>
      <c r="B10260" s="8" t="s">
        <v>44002</v>
      </c>
      <c r="C10260" s="8" t="s">
        <v>44002</v>
      </c>
      <c r="G10260" s="8">
        <v>20</v>
      </c>
      <c r="H10260" s="8" t="s">
        <v>21</v>
      </c>
      <c r="I10260" s="8" t="s">
        <v>72</v>
      </c>
      <c r="J10260" s="8" t="s">
        <v>72</v>
      </c>
      <c r="K10260" s="8" t="s">
        <v>73</v>
      </c>
      <c r="L10260" s="8" t="s">
        <v>11551</v>
      </c>
      <c r="M10260" s="8" t="s">
        <v>11552</v>
      </c>
      <c r="N10260" s="8" t="s">
        <v>44003</v>
      </c>
      <c r="O10260" s="8">
        <f>8+52/60+9.5/3600</f>
        <v>8.869305555555556</v>
      </c>
      <c r="P10260" s="8" t="s">
        <v>44004</v>
      </c>
      <c r="Q10260" s="8">
        <f>+(18+6/60+5/3600)</f>
        <v>18.101388888888891</v>
      </c>
      <c r="R10260" s="8">
        <v>99</v>
      </c>
      <c r="S10260" s="8">
        <v>99</v>
      </c>
      <c r="T10260" s="8">
        <v>99</v>
      </c>
      <c r="U10260" s="8">
        <v>99</v>
      </c>
      <c r="Y10260" s="8" t="s">
        <v>44005</v>
      </c>
      <c r="Z10260" s="8" t="s">
        <v>44006</v>
      </c>
    </row>
    <row r="10261" spans="1:26" x14ac:dyDescent="0.2">
      <c r="A10261" s="8">
        <v>10260</v>
      </c>
      <c r="B10261" s="8" t="s">
        <v>44007</v>
      </c>
      <c r="C10261" s="8" t="s">
        <v>44007</v>
      </c>
      <c r="G10261" s="8">
        <v>20</v>
      </c>
      <c r="H10261" s="8" t="s">
        <v>21</v>
      </c>
      <c r="I10261" s="8" t="s">
        <v>22</v>
      </c>
      <c r="J10261" s="8" t="s">
        <v>22</v>
      </c>
      <c r="K10261" s="8" t="s">
        <v>424</v>
      </c>
      <c r="L10261" s="8" t="s">
        <v>11765</v>
      </c>
      <c r="M10261" s="8" t="s">
        <v>11766</v>
      </c>
      <c r="N10261" s="8" t="s">
        <v>44008</v>
      </c>
      <c r="O10261" s="8">
        <f>8+51/60+33.7/3600</f>
        <v>8.8593611111111112</v>
      </c>
      <c r="P10261" s="8" t="s">
        <v>44009</v>
      </c>
      <c r="Q10261" s="8">
        <f>+(3+6/60+4/3600)</f>
        <v>3.1011111111111114</v>
      </c>
      <c r="R10261" s="8">
        <v>13.7</v>
      </c>
      <c r="S10261" s="8">
        <v>14.7</v>
      </c>
      <c r="T10261" s="8">
        <v>1</v>
      </c>
      <c r="U10261" s="8">
        <v>12.4</v>
      </c>
      <c r="V10261" s="8">
        <v>0.6</v>
      </c>
      <c r="W10261" s="8">
        <v>0.6</v>
      </c>
      <c r="Y10261" s="8" t="s">
        <v>44010</v>
      </c>
      <c r="Z10261" s="8" t="s">
        <v>44011</v>
      </c>
    </row>
    <row r="10262" spans="1:26" x14ac:dyDescent="0.2">
      <c r="A10262" s="8">
        <v>10261</v>
      </c>
      <c r="B10262" s="8" t="s">
        <v>44012</v>
      </c>
      <c r="C10262" s="8" t="s">
        <v>44012</v>
      </c>
      <c r="G10262" s="8">
        <v>20</v>
      </c>
      <c r="H10262" s="8" t="s">
        <v>21</v>
      </c>
      <c r="I10262" s="8" t="s">
        <v>22</v>
      </c>
      <c r="J10262" s="8" t="s">
        <v>22</v>
      </c>
      <c r="K10262" s="8" t="s">
        <v>160</v>
      </c>
      <c r="L10262" s="8" t="s">
        <v>11551</v>
      </c>
      <c r="M10262" s="8" t="s">
        <v>11552</v>
      </c>
      <c r="N10262" s="8" t="s">
        <v>44013</v>
      </c>
      <c r="O10262" s="8">
        <f>8+54/60+21.5/3600</f>
        <v>8.9059722222222231</v>
      </c>
      <c r="P10262" s="8" t="s">
        <v>44014</v>
      </c>
      <c r="Q10262" s="8">
        <f>+(32+40/60+50/3600)</f>
        <v>32.68055555555555</v>
      </c>
      <c r="R10262" s="8">
        <v>13.3</v>
      </c>
      <c r="S10262" s="8">
        <v>13.9</v>
      </c>
      <c r="T10262" s="8">
        <v>0.6</v>
      </c>
      <c r="U10262" s="8">
        <v>14.8</v>
      </c>
      <c r="V10262" s="8">
        <v>2</v>
      </c>
      <c r="W10262" s="8">
        <v>1.5</v>
      </c>
      <c r="X10262" s="8">
        <v>147</v>
      </c>
      <c r="Y10262" s="8" t="s">
        <v>44015</v>
      </c>
      <c r="Z10262" s="8" t="s">
        <v>44016</v>
      </c>
    </row>
    <row r="10263" spans="1:26" x14ac:dyDescent="0.2">
      <c r="A10263" s="8">
        <v>10262</v>
      </c>
      <c r="B10263" s="8" t="s">
        <v>44017</v>
      </c>
      <c r="C10263" s="8" t="s">
        <v>44017</v>
      </c>
      <c r="G10263" s="8">
        <v>20</v>
      </c>
      <c r="H10263" s="8" t="s">
        <v>21</v>
      </c>
      <c r="I10263" s="8" t="s">
        <v>22</v>
      </c>
      <c r="J10263" s="8" t="s">
        <v>22</v>
      </c>
      <c r="K10263" s="8" t="s">
        <v>424</v>
      </c>
      <c r="L10263" s="8" t="s">
        <v>11551</v>
      </c>
      <c r="M10263" s="8" t="s">
        <v>11552</v>
      </c>
      <c r="N10263" s="8" t="s">
        <v>44018</v>
      </c>
      <c r="O10263" s="8">
        <f>8+54/60+24.3/3600</f>
        <v>8.9067500000000006</v>
      </c>
      <c r="P10263" s="8" t="s">
        <v>44019</v>
      </c>
      <c r="Q10263" s="8">
        <f>+(20+13/60+31/3600)</f>
        <v>20.225277777777777</v>
      </c>
      <c r="R10263" s="8">
        <v>14.6</v>
      </c>
      <c r="S10263" s="8">
        <v>15.6</v>
      </c>
      <c r="T10263" s="8">
        <v>1</v>
      </c>
      <c r="U10263" s="8">
        <v>12.9</v>
      </c>
      <c r="V10263" s="8">
        <v>0.5</v>
      </c>
      <c r="W10263" s="8">
        <v>0.5</v>
      </c>
      <c r="Y10263" s="8" t="s">
        <v>21</v>
      </c>
      <c r="Z10263" s="8" t="s">
        <v>44020</v>
      </c>
    </row>
    <row r="10264" spans="1:26" x14ac:dyDescent="0.2">
      <c r="A10264" s="8">
        <v>10263</v>
      </c>
      <c r="B10264" s="8" t="s">
        <v>44021</v>
      </c>
      <c r="C10264" s="8" t="s">
        <v>44021</v>
      </c>
      <c r="G10264" s="8">
        <v>20</v>
      </c>
      <c r="H10264" s="8" t="s">
        <v>21</v>
      </c>
      <c r="I10264" s="8" t="s">
        <v>22</v>
      </c>
      <c r="J10264" s="8" t="s">
        <v>22</v>
      </c>
      <c r="K10264" s="8" t="s">
        <v>218</v>
      </c>
      <c r="L10264" s="8" t="s">
        <v>11551</v>
      </c>
      <c r="M10264" s="8" t="s">
        <v>11552</v>
      </c>
      <c r="N10264" s="8" t="s">
        <v>44022</v>
      </c>
      <c r="O10264" s="8">
        <f>8+54/60+47.1/3600</f>
        <v>8.9130833333333328</v>
      </c>
      <c r="P10264" s="8" t="s">
        <v>44023</v>
      </c>
      <c r="Q10264" s="8">
        <f>+(20+13/60+13/3600)</f>
        <v>20.220277777777778</v>
      </c>
      <c r="R10264" s="8">
        <v>13.7</v>
      </c>
      <c r="S10264" s="8">
        <v>14.5</v>
      </c>
      <c r="T10264" s="8">
        <v>0.8</v>
      </c>
      <c r="U10264" s="8">
        <v>13.3</v>
      </c>
      <c r="V10264" s="8">
        <v>1</v>
      </c>
      <c r="W10264" s="8">
        <v>0.8</v>
      </c>
      <c r="X10264" s="8">
        <v>130</v>
      </c>
      <c r="Y10264" s="8" t="s">
        <v>36797</v>
      </c>
      <c r="Z10264" s="8" t="s">
        <v>36798</v>
      </c>
    </row>
    <row r="10265" spans="1:26" x14ac:dyDescent="0.2">
      <c r="A10265" s="8">
        <v>10264</v>
      </c>
      <c r="B10265" s="8" t="s">
        <v>44024</v>
      </c>
      <c r="C10265" s="8" t="s">
        <v>44024</v>
      </c>
      <c r="G10265" s="8">
        <v>20</v>
      </c>
      <c r="H10265" s="8" t="s">
        <v>21</v>
      </c>
      <c r="I10265" s="8" t="s">
        <v>22</v>
      </c>
      <c r="J10265" s="8" t="s">
        <v>57</v>
      </c>
      <c r="K10265" s="8" t="s">
        <v>406</v>
      </c>
      <c r="L10265" s="8" t="s">
        <v>10511</v>
      </c>
      <c r="M10265" s="8" t="s">
        <v>10512</v>
      </c>
      <c r="N10265" s="8" t="s">
        <v>12481</v>
      </c>
      <c r="O10265" s="8">
        <f>8+56/60+47.7/3600</f>
        <v>8.9465833333333329</v>
      </c>
      <c r="P10265" s="8" t="s">
        <v>12482</v>
      </c>
      <c r="Q10265" s="8">
        <f>+(39+22/60+57/3600)</f>
        <v>39.3825</v>
      </c>
      <c r="R10265" s="8">
        <v>13.5</v>
      </c>
      <c r="S10265" s="8">
        <v>14.3</v>
      </c>
      <c r="T10265" s="8">
        <v>0.8</v>
      </c>
      <c r="U10265" s="8">
        <v>13.4</v>
      </c>
      <c r="V10265" s="8">
        <v>1</v>
      </c>
      <c r="W10265" s="8">
        <v>1</v>
      </c>
      <c r="Y10265" s="8" t="s">
        <v>21</v>
      </c>
      <c r="Z10265" s="8" t="s">
        <v>44025</v>
      </c>
    </row>
    <row r="10266" spans="1:26" x14ac:dyDescent="0.2">
      <c r="A10266" s="8">
        <v>10265</v>
      </c>
      <c r="B10266" s="8" t="s">
        <v>44026</v>
      </c>
      <c r="C10266" s="8" t="s">
        <v>44026</v>
      </c>
      <c r="G10266" s="8">
        <v>20</v>
      </c>
      <c r="H10266" s="8" t="s">
        <v>21</v>
      </c>
      <c r="I10266" s="8" t="s">
        <v>72</v>
      </c>
      <c r="J10266" s="8" t="s">
        <v>72</v>
      </c>
      <c r="K10266" s="8" t="s">
        <v>20</v>
      </c>
      <c r="L10266" s="8" t="s">
        <v>11765</v>
      </c>
      <c r="M10266" s="8" t="s">
        <v>11766</v>
      </c>
      <c r="N10266" s="8" t="s">
        <v>44027</v>
      </c>
      <c r="O10266" s="8">
        <f>8+55/60+50.2/3600</f>
        <v>8.9306111111111104</v>
      </c>
      <c r="P10266" s="8" t="s">
        <v>44028</v>
      </c>
      <c r="Q10266" s="8">
        <f>-(3+25/60+25/3600)</f>
        <v>-3.4236111111111112</v>
      </c>
      <c r="R10266" s="8">
        <v>99</v>
      </c>
      <c r="S10266" s="8">
        <v>99</v>
      </c>
      <c r="T10266" s="8">
        <v>99</v>
      </c>
      <c r="U10266" s="8">
        <v>99</v>
      </c>
      <c r="Y10266" s="8" t="s">
        <v>38906</v>
      </c>
      <c r="Z10266" s="8" t="s">
        <v>38907</v>
      </c>
    </row>
    <row r="10267" spans="1:26" x14ac:dyDescent="0.2">
      <c r="A10267" s="8">
        <v>10266</v>
      </c>
      <c r="B10267" s="8" t="s">
        <v>44029</v>
      </c>
      <c r="C10267" s="8" t="s">
        <v>44029</v>
      </c>
      <c r="G10267" s="8">
        <v>20</v>
      </c>
      <c r="H10267" s="8" t="s">
        <v>21</v>
      </c>
      <c r="I10267" s="8" t="s">
        <v>22</v>
      </c>
      <c r="J10267" s="8" t="s">
        <v>22</v>
      </c>
      <c r="K10267" s="8" t="s">
        <v>449</v>
      </c>
      <c r="L10267" s="8" t="s">
        <v>11765</v>
      </c>
      <c r="M10267" s="8" t="s">
        <v>11766</v>
      </c>
      <c r="N10267" s="8" t="s">
        <v>44030</v>
      </c>
      <c r="O10267" s="8">
        <f>8+58/60+30.4/3600</f>
        <v>8.9751111111111115</v>
      </c>
      <c r="P10267" s="8" t="s">
        <v>44031</v>
      </c>
      <c r="Q10267" s="8">
        <f>+(2+55/60+34/3600)</f>
        <v>2.9261111111111111</v>
      </c>
      <c r="R10267" s="8">
        <v>14.7</v>
      </c>
      <c r="S10267" s="8">
        <v>15.5</v>
      </c>
      <c r="T10267" s="8">
        <v>0.8</v>
      </c>
      <c r="U10267" s="8">
        <v>11.8</v>
      </c>
      <c r="V10267" s="8">
        <v>0.4</v>
      </c>
      <c r="W10267" s="8">
        <v>0.2</v>
      </c>
      <c r="X10267" s="8">
        <v>111</v>
      </c>
      <c r="Y10267" s="8" t="s">
        <v>5926</v>
      </c>
      <c r="Z10267" s="8" t="s">
        <v>5927</v>
      </c>
    </row>
    <row r="10268" spans="1:26" x14ac:dyDescent="0.2">
      <c r="A10268" s="8">
        <v>10267</v>
      </c>
      <c r="B10268" s="8" t="s">
        <v>44032</v>
      </c>
      <c r="C10268" s="8" t="s">
        <v>44032</v>
      </c>
      <c r="G10268" s="8">
        <v>20</v>
      </c>
      <c r="H10268" s="8" t="s">
        <v>21</v>
      </c>
      <c r="I10268" s="8" t="s">
        <v>22</v>
      </c>
      <c r="J10268" s="8" t="s">
        <v>22</v>
      </c>
      <c r="K10268" s="8" t="s">
        <v>382</v>
      </c>
      <c r="L10268" s="8" t="s">
        <v>10511</v>
      </c>
      <c r="M10268" s="8" t="s">
        <v>10512</v>
      </c>
      <c r="N10268" s="8" t="s">
        <v>44033</v>
      </c>
      <c r="O10268" s="8">
        <f>9+1/60+1.6/3600</f>
        <v>9.0171111111111113</v>
      </c>
      <c r="P10268" s="8" t="s">
        <v>44034</v>
      </c>
      <c r="Q10268" s="8">
        <f>+(37+52/60+34/3600)</f>
        <v>37.876111111111115</v>
      </c>
      <c r="R10268" s="8">
        <v>14.9</v>
      </c>
      <c r="S10268" s="8">
        <v>15.9</v>
      </c>
      <c r="T10268" s="8">
        <v>1</v>
      </c>
      <c r="U10268" s="8">
        <v>12.7</v>
      </c>
      <c r="V10268" s="8">
        <v>0.4</v>
      </c>
      <c r="W10268" s="8">
        <v>0.3</v>
      </c>
      <c r="X10268" s="8">
        <v>90</v>
      </c>
      <c r="Y10268" s="8" t="s">
        <v>3952</v>
      </c>
      <c r="Z10268" s="8" t="s">
        <v>3953</v>
      </c>
    </row>
    <row r="10269" spans="1:26" x14ac:dyDescent="0.2">
      <c r="A10269" s="8">
        <v>10268</v>
      </c>
      <c r="B10269" s="8" t="s">
        <v>44035</v>
      </c>
      <c r="C10269" s="8" t="s">
        <v>44035</v>
      </c>
      <c r="G10269" s="8">
        <v>20</v>
      </c>
      <c r="H10269" s="8" t="s">
        <v>21</v>
      </c>
      <c r="I10269" s="8" t="s">
        <v>22</v>
      </c>
      <c r="J10269" s="8" t="s">
        <v>22</v>
      </c>
      <c r="K10269" s="8" t="s">
        <v>160</v>
      </c>
      <c r="L10269" s="8" t="s">
        <v>11551</v>
      </c>
      <c r="M10269" s="8" t="s">
        <v>11552</v>
      </c>
      <c r="N10269" s="8" t="s">
        <v>44036</v>
      </c>
      <c r="O10269" s="8">
        <f>9+3/60+14.7/3600</f>
        <v>9.0540833333333346</v>
      </c>
      <c r="P10269" s="8" t="s">
        <v>44037</v>
      </c>
      <c r="Q10269" s="8">
        <f>+(30+35/60+27/3600)</f>
        <v>30.590833333333332</v>
      </c>
      <c r="R10269" s="8">
        <v>13.8</v>
      </c>
      <c r="S10269" s="8">
        <v>14.5</v>
      </c>
      <c r="T10269" s="8">
        <v>0.7</v>
      </c>
      <c r="U10269" s="8">
        <v>13.3</v>
      </c>
      <c r="V10269" s="8">
        <v>1.9</v>
      </c>
      <c r="W10269" s="8">
        <v>0.4</v>
      </c>
      <c r="X10269" s="8">
        <v>75</v>
      </c>
      <c r="Y10269" s="8" t="s">
        <v>44038</v>
      </c>
      <c r="Z10269" s="8" t="s">
        <v>44039</v>
      </c>
    </row>
    <row r="10270" spans="1:26" x14ac:dyDescent="0.2">
      <c r="A10270" s="8">
        <v>10269</v>
      </c>
      <c r="B10270" s="8" t="s">
        <v>44040</v>
      </c>
      <c r="C10270" s="8" t="s">
        <v>44040</v>
      </c>
      <c r="G10270" s="8">
        <v>20</v>
      </c>
      <c r="H10270" s="8" t="s">
        <v>21</v>
      </c>
      <c r="I10270" s="8" t="s">
        <v>22</v>
      </c>
      <c r="J10270" s="8" t="s">
        <v>22</v>
      </c>
      <c r="K10270" s="8" t="s">
        <v>23</v>
      </c>
      <c r="L10270" s="8" t="s">
        <v>11551</v>
      </c>
      <c r="M10270" s="8" t="s">
        <v>11552</v>
      </c>
      <c r="N10270" s="8" t="s">
        <v>44041</v>
      </c>
      <c r="O10270" s="8">
        <f>9+3/60+42.5/3600</f>
        <v>9.0618055555555568</v>
      </c>
      <c r="P10270" s="8" t="s">
        <v>44042</v>
      </c>
      <c r="Q10270" s="8">
        <f>+(29+17/60+48/3600)</f>
        <v>29.296666666666667</v>
      </c>
      <c r="R10270" s="8">
        <v>14.4</v>
      </c>
      <c r="S10270" s="8">
        <v>15.2</v>
      </c>
      <c r="T10270" s="8">
        <v>0.8</v>
      </c>
      <c r="U10270" s="8">
        <v>11.5</v>
      </c>
      <c r="V10270" s="8">
        <v>0.4</v>
      </c>
      <c r="W10270" s="8">
        <v>0.2</v>
      </c>
      <c r="X10270" s="8">
        <v>160</v>
      </c>
      <c r="Y10270" s="8" t="s">
        <v>3668</v>
      </c>
      <c r="Z10270" s="8" t="s">
        <v>3669</v>
      </c>
    </row>
    <row r="10271" spans="1:26" x14ac:dyDescent="0.2">
      <c r="A10271" s="8">
        <v>10270</v>
      </c>
      <c r="B10271" s="8" t="s">
        <v>44043</v>
      </c>
      <c r="C10271" s="8" t="s">
        <v>44043</v>
      </c>
      <c r="G10271" s="8">
        <v>20</v>
      </c>
      <c r="H10271" s="8" t="s">
        <v>21</v>
      </c>
      <c r="I10271" s="8" t="s">
        <v>22</v>
      </c>
      <c r="J10271" s="8" t="s">
        <v>22</v>
      </c>
      <c r="K10271" s="8" t="s">
        <v>632</v>
      </c>
      <c r="L10271" s="8" t="s">
        <v>11551</v>
      </c>
      <c r="M10271" s="8" t="s">
        <v>11552</v>
      </c>
      <c r="N10271" s="8" t="s">
        <v>44044</v>
      </c>
      <c r="O10271" s="8">
        <f>9+4/60+22.8/3600</f>
        <v>9.0730000000000004</v>
      </c>
      <c r="P10271" s="8" t="s">
        <v>44045</v>
      </c>
      <c r="Q10271" s="8">
        <f>+(27+57/60+9/3600)</f>
        <v>27.952500000000001</v>
      </c>
      <c r="R10271" s="8">
        <v>13.5</v>
      </c>
      <c r="S10271" s="8">
        <v>14.4</v>
      </c>
      <c r="T10271" s="8">
        <v>0.9</v>
      </c>
      <c r="U10271" s="8">
        <v>12.9</v>
      </c>
      <c r="V10271" s="8">
        <v>1.1000000000000001</v>
      </c>
      <c r="W10271" s="8">
        <v>0.6</v>
      </c>
      <c r="X10271" s="8">
        <v>43</v>
      </c>
      <c r="Y10271" s="8" t="s">
        <v>37070</v>
      </c>
      <c r="Z10271" s="8" t="s">
        <v>37071</v>
      </c>
    </row>
    <row r="10272" spans="1:26" x14ac:dyDescent="0.2">
      <c r="A10272" s="8">
        <v>10271</v>
      </c>
      <c r="B10272" s="8" t="s">
        <v>44046</v>
      </c>
      <c r="C10272" s="8" t="s">
        <v>44046</v>
      </c>
      <c r="G10272" s="8">
        <v>14</v>
      </c>
      <c r="H10272" s="8" t="s">
        <v>44047</v>
      </c>
      <c r="I10272" s="8" t="s">
        <v>22</v>
      </c>
      <c r="J10272" s="8" t="s">
        <v>22</v>
      </c>
      <c r="K10272" s="8" t="s">
        <v>44048</v>
      </c>
      <c r="L10272" s="8" t="s">
        <v>11551</v>
      </c>
      <c r="M10272" s="8" t="s">
        <v>11552</v>
      </c>
      <c r="N10272" s="8" t="s">
        <v>44049</v>
      </c>
      <c r="O10272" s="8">
        <f>9+4/60+34.8/3600</f>
        <v>9.0763333333333325</v>
      </c>
      <c r="P10272" s="8" t="s">
        <v>44050</v>
      </c>
      <c r="Q10272" s="8">
        <f>+(14+35/60+43/3600)</f>
        <v>14.595277777777778</v>
      </c>
      <c r="R10272" s="8">
        <v>14</v>
      </c>
      <c r="S10272" s="8">
        <v>14.6</v>
      </c>
      <c r="T10272" s="8">
        <v>0.6</v>
      </c>
      <c r="U10272" s="8">
        <v>12.1</v>
      </c>
      <c r="V10272" s="8">
        <v>0.5</v>
      </c>
      <c r="W10272" s="8">
        <v>0.4</v>
      </c>
      <c r="X10272" s="8">
        <v>54</v>
      </c>
      <c r="Y10272" s="8" t="s">
        <v>41073</v>
      </c>
      <c r="Z10272" s="8" t="s">
        <v>41074</v>
      </c>
    </row>
    <row r="10273" spans="1:26" x14ac:dyDescent="0.2">
      <c r="A10273" s="8">
        <v>10272</v>
      </c>
      <c r="B10273" s="8" t="s">
        <v>44051</v>
      </c>
      <c r="C10273" s="8" t="s">
        <v>44051</v>
      </c>
      <c r="G10273" s="8">
        <v>20</v>
      </c>
      <c r="H10273" s="8" t="s">
        <v>21</v>
      </c>
      <c r="I10273" s="8" t="s">
        <v>22</v>
      </c>
      <c r="J10273" s="8" t="s">
        <v>22</v>
      </c>
      <c r="K10273" s="8" t="s">
        <v>449</v>
      </c>
      <c r="L10273" s="8" t="s">
        <v>11765</v>
      </c>
      <c r="M10273" s="8" t="s">
        <v>11766</v>
      </c>
      <c r="N10273" s="8" t="s">
        <v>44052</v>
      </c>
      <c r="O10273" s="8">
        <f>9+4/60+39.5/3600</f>
        <v>9.0776388888888881</v>
      </c>
      <c r="P10273" s="8" t="s">
        <v>44053</v>
      </c>
      <c r="Q10273" s="8">
        <f>+(5+30/60+45/3600)</f>
        <v>5.5125000000000002</v>
      </c>
      <c r="R10273" s="8">
        <v>14.6</v>
      </c>
      <c r="S10273" s="8">
        <v>15.4</v>
      </c>
      <c r="T10273" s="8">
        <v>0.8</v>
      </c>
      <c r="U10273" s="8">
        <v>12</v>
      </c>
      <c r="V10273" s="8">
        <v>0.5</v>
      </c>
      <c r="W10273" s="8">
        <v>0.2</v>
      </c>
      <c r="X10273" s="8">
        <v>135</v>
      </c>
      <c r="Y10273" s="8" t="s">
        <v>5775</v>
      </c>
      <c r="Z10273" s="8" t="s">
        <v>34785</v>
      </c>
    </row>
    <row r="10274" spans="1:26" x14ac:dyDescent="0.2">
      <c r="A10274" s="8">
        <v>10273</v>
      </c>
      <c r="B10274" s="8" t="s">
        <v>44054</v>
      </c>
      <c r="C10274" s="8" t="s">
        <v>44054</v>
      </c>
      <c r="G10274" s="8">
        <v>20</v>
      </c>
      <c r="H10274" s="8" t="s">
        <v>21</v>
      </c>
      <c r="I10274" s="8" t="s">
        <v>22</v>
      </c>
      <c r="J10274" s="8" t="s">
        <v>22</v>
      </c>
      <c r="K10274" s="8" t="s">
        <v>160</v>
      </c>
      <c r="L10274" s="8" t="s">
        <v>11551</v>
      </c>
      <c r="M10274" s="8" t="s">
        <v>11552</v>
      </c>
      <c r="N10274" s="8" t="s">
        <v>44055</v>
      </c>
      <c r="O10274" s="8">
        <f>9+5/60+28.6/3600</f>
        <v>9.091277777777778</v>
      </c>
      <c r="P10274" s="8" t="s">
        <v>44056</v>
      </c>
      <c r="Q10274" s="8">
        <f>+(22+36/60+7/3600)</f>
        <v>22.601944444444445</v>
      </c>
      <c r="R10274" s="8">
        <v>14.6</v>
      </c>
      <c r="S10274" s="8">
        <v>15.3</v>
      </c>
      <c r="T10274" s="8">
        <v>0.7</v>
      </c>
      <c r="U10274" s="8">
        <v>13.3</v>
      </c>
      <c r="V10274" s="8">
        <v>0.9</v>
      </c>
      <c r="W10274" s="8">
        <v>0.4</v>
      </c>
      <c r="X10274" s="8">
        <v>120</v>
      </c>
      <c r="Y10274" s="8" t="s">
        <v>44057</v>
      </c>
      <c r="Z10274" s="8" t="s">
        <v>44058</v>
      </c>
    </row>
    <row r="10275" spans="1:26" x14ac:dyDescent="0.2">
      <c r="A10275" s="8">
        <v>10274</v>
      </c>
      <c r="B10275" s="8" t="s">
        <v>44059</v>
      </c>
      <c r="C10275" s="8" t="s">
        <v>44059</v>
      </c>
      <c r="G10275" s="8">
        <v>20</v>
      </c>
      <c r="H10275" s="8" t="s">
        <v>21</v>
      </c>
      <c r="I10275" s="8" t="s">
        <v>22</v>
      </c>
      <c r="J10275" s="8" t="s">
        <v>22</v>
      </c>
      <c r="K10275" s="8" t="s">
        <v>12818</v>
      </c>
      <c r="L10275" s="8" t="s">
        <v>10511</v>
      </c>
      <c r="M10275" s="8" t="s">
        <v>10512</v>
      </c>
      <c r="N10275" s="8" t="s">
        <v>44060</v>
      </c>
      <c r="O10275" s="8">
        <f>9+7/60+15.9/3600</f>
        <v>9.121083333333333</v>
      </c>
      <c r="P10275" s="8" t="s">
        <v>44061</v>
      </c>
      <c r="Q10275" s="8">
        <f>+(37+12/60+56/3600)</f>
        <v>37.215555555555561</v>
      </c>
      <c r="R10275" s="8">
        <v>13.4</v>
      </c>
      <c r="S10275" s="8">
        <v>14.3</v>
      </c>
      <c r="T10275" s="8">
        <v>0.9</v>
      </c>
      <c r="U10275" s="8">
        <v>13.4</v>
      </c>
      <c r="V10275" s="8">
        <v>1.5</v>
      </c>
      <c r="W10275" s="8">
        <v>0.7</v>
      </c>
      <c r="X10275" s="8">
        <v>13</v>
      </c>
      <c r="Y10275" s="8" t="s">
        <v>44062</v>
      </c>
      <c r="Z10275" s="8" t="s">
        <v>44063</v>
      </c>
    </row>
    <row r="10276" spans="1:26" x14ac:dyDescent="0.2">
      <c r="A10276" s="8">
        <v>10275</v>
      </c>
      <c r="B10276" s="8" t="s">
        <v>44064</v>
      </c>
      <c r="C10276" s="8" t="s">
        <v>44064</v>
      </c>
      <c r="G10276" s="8">
        <v>20</v>
      </c>
      <c r="H10276" s="8" t="s">
        <v>21</v>
      </c>
      <c r="I10276" s="8" t="s">
        <v>22</v>
      </c>
      <c r="J10276" s="8" t="s">
        <v>22</v>
      </c>
      <c r="K10276" s="8" t="s">
        <v>1068</v>
      </c>
      <c r="L10276" s="8" t="s">
        <v>11551</v>
      </c>
      <c r="M10276" s="8" t="s">
        <v>11552</v>
      </c>
      <c r="N10276" s="8" t="s">
        <v>44065</v>
      </c>
      <c r="O10276" s="8">
        <f>9+6/60+49.7/3600</f>
        <v>9.1138055555555546</v>
      </c>
      <c r="P10276" s="8" t="s">
        <v>44066</v>
      </c>
      <c r="Q10276" s="8">
        <f>+(26+16/60+33/3600)</f>
        <v>26.275833333333331</v>
      </c>
      <c r="R10276" s="8">
        <v>13.8</v>
      </c>
      <c r="S10276" s="8">
        <v>14.8</v>
      </c>
      <c r="T10276" s="8">
        <v>1</v>
      </c>
      <c r="U10276" s="8">
        <v>12.6</v>
      </c>
      <c r="V10276" s="8">
        <v>0.8</v>
      </c>
      <c r="W10276" s="8">
        <v>0.4</v>
      </c>
      <c r="X10276" s="8">
        <v>120</v>
      </c>
      <c r="Y10276" s="8" t="s">
        <v>37070</v>
      </c>
      <c r="Z10276" s="8" t="s">
        <v>37071</v>
      </c>
    </row>
    <row r="10277" spans="1:26" x14ac:dyDescent="0.2">
      <c r="A10277" s="8">
        <v>10276</v>
      </c>
      <c r="B10277" s="8" t="s">
        <v>44067</v>
      </c>
      <c r="C10277" s="8" t="s">
        <v>44067</v>
      </c>
      <c r="G10277" s="8">
        <v>20</v>
      </c>
      <c r="H10277" s="8" t="s">
        <v>21</v>
      </c>
      <c r="I10277" s="8" t="s">
        <v>72</v>
      </c>
      <c r="J10277" s="8" t="s">
        <v>72</v>
      </c>
      <c r="K10277" s="8" t="s">
        <v>73</v>
      </c>
      <c r="L10277" s="8" t="s">
        <v>11765</v>
      </c>
      <c r="M10277" s="8" t="s">
        <v>11766</v>
      </c>
      <c r="N10277" s="8" t="s">
        <v>44068</v>
      </c>
      <c r="O10277" s="8">
        <f>9+5/60+23.1/3600</f>
        <v>9.0897500000000004</v>
      </c>
      <c r="P10277" s="8" t="s">
        <v>44069</v>
      </c>
      <c r="Q10277" s="8">
        <f>-(19+9/60+59/3600)</f>
        <v>-19.166388888888889</v>
      </c>
      <c r="R10277" s="8">
        <v>99</v>
      </c>
      <c r="S10277" s="8">
        <v>99</v>
      </c>
      <c r="T10277" s="8">
        <v>99</v>
      </c>
      <c r="U10277" s="8">
        <v>99</v>
      </c>
      <c r="Y10277" s="8" t="s">
        <v>44070</v>
      </c>
      <c r="Z10277" s="8" t="s">
        <v>44071</v>
      </c>
    </row>
    <row r="10278" spans="1:26" x14ac:dyDescent="0.2">
      <c r="A10278" s="8">
        <v>10277</v>
      </c>
      <c r="B10278" s="8" t="s">
        <v>44072</v>
      </c>
      <c r="C10278" s="8" t="s">
        <v>44072</v>
      </c>
      <c r="G10278" s="8">
        <v>20</v>
      </c>
      <c r="H10278" s="8" t="s">
        <v>21</v>
      </c>
      <c r="I10278" s="8" t="s">
        <v>22</v>
      </c>
      <c r="J10278" s="8" t="s">
        <v>22</v>
      </c>
      <c r="K10278" s="8" t="s">
        <v>58</v>
      </c>
      <c r="L10278" s="8" t="s">
        <v>11765</v>
      </c>
      <c r="M10278" s="8" t="s">
        <v>11766</v>
      </c>
      <c r="N10278" s="8" t="s">
        <v>44073</v>
      </c>
      <c r="O10278" s="8">
        <f>9+5/60+33.1/3600</f>
        <v>9.0925277777777787</v>
      </c>
      <c r="P10278" s="8" t="s">
        <v>44074</v>
      </c>
      <c r="Q10278" s="8">
        <f>-(19+12/60+26/3600)</f>
        <v>-19.207222222222221</v>
      </c>
      <c r="R10278" s="8">
        <v>12.9</v>
      </c>
      <c r="S10278" s="8">
        <v>13.9</v>
      </c>
      <c r="T10278" s="8">
        <v>1</v>
      </c>
      <c r="U10278" s="8">
        <v>13.6</v>
      </c>
      <c r="V10278" s="8">
        <v>1.8</v>
      </c>
      <c r="W10278" s="8">
        <v>1.1000000000000001</v>
      </c>
      <c r="X10278" s="8">
        <v>123</v>
      </c>
      <c r="Y10278" s="8" t="s">
        <v>21</v>
      </c>
      <c r="Z10278" s="8" t="s">
        <v>44075</v>
      </c>
    </row>
    <row r="10279" spans="1:26" x14ac:dyDescent="0.2">
      <c r="A10279" s="8">
        <v>10278</v>
      </c>
      <c r="B10279" s="8" t="s">
        <v>44076</v>
      </c>
      <c r="C10279" s="8" t="s">
        <v>44076</v>
      </c>
      <c r="G10279" s="8">
        <v>20</v>
      </c>
      <c r="H10279" s="8" t="s">
        <v>21</v>
      </c>
      <c r="I10279" s="8" t="s">
        <v>72</v>
      </c>
      <c r="J10279" s="8" t="s">
        <v>72</v>
      </c>
      <c r="K10279" s="8" t="s">
        <v>1405</v>
      </c>
      <c r="L10279" s="8" t="s">
        <v>6823</v>
      </c>
      <c r="M10279" s="8" t="s">
        <v>6824</v>
      </c>
      <c r="N10279" s="8" t="s">
        <v>44077</v>
      </c>
      <c r="O10279" s="8">
        <f>9+14/60+11/3600</f>
        <v>9.2363888888888876</v>
      </c>
      <c r="P10279" s="8" t="s">
        <v>44078</v>
      </c>
      <c r="Q10279" s="8">
        <f>+(73+24/60+50/3600)</f>
        <v>73.413888888888891</v>
      </c>
      <c r="R10279" s="8">
        <v>99</v>
      </c>
      <c r="S10279" s="8">
        <v>99</v>
      </c>
      <c r="T10279" s="8">
        <v>99</v>
      </c>
      <c r="U10279" s="8">
        <v>99</v>
      </c>
      <c r="Y10279" s="8" t="s">
        <v>21</v>
      </c>
      <c r="Z10279" s="8" t="s">
        <v>44079</v>
      </c>
    </row>
    <row r="10280" spans="1:26" x14ac:dyDescent="0.2">
      <c r="A10280" s="8">
        <v>10279</v>
      </c>
      <c r="B10280" s="8" t="s">
        <v>44080</v>
      </c>
      <c r="C10280" s="8" t="s">
        <v>44080</v>
      </c>
      <c r="G10280" s="8">
        <v>20</v>
      </c>
      <c r="H10280" s="8" t="s">
        <v>21</v>
      </c>
      <c r="I10280" s="8" t="s">
        <v>22</v>
      </c>
      <c r="J10280" s="8" t="s">
        <v>22</v>
      </c>
      <c r="K10280" s="8" t="s">
        <v>632</v>
      </c>
      <c r="L10280" s="8" t="s">
        <v>11551</v>
      </c>
      <c r="M10280" s="8" t="s">
        <v>11552</v>
      </c>
      <c r="N10280" s="8" t="s">
        <v>44081</v>
      </c>
      <c r="O10280" s="8">
        <f>9+8/60+38.4/3600</f>
        <v>9.1440000000000001</v>
      </c>
      <c r="P10280" s="8" t="s">
        <v>44082</v>
      </c>
      <c r="Q10280" s="8">
        <f>+(32+35/60+36/3600)</f>
        <v>32.593333333333334</v>
      </c>
      <c r="R10280" s="8">
        <v>13.9</v>
      </c>
      <c r="S10280" s="8">
        <v>14.8</v>
      </c>
      <c r="T10280" s="8">
        <v>0.9</v>
      </c>
      <c r="U10280" s="8">
        <v>12</v>
      </c>
      <c r="V10280" s="8">
        <v>1</v>
      </c>
      <c r="W10280" s="8">
        <v>0.2</v>
      </c>
      <c r="X10280" s="8">
        <v>30</v>
      </c>
      <c r="Y10280" s="8" t="s">
        <v>35604</v>
      </c>
      <c r="Z10280" s="8" t="s">
        <v>35605</v>
      </c>
    </row>
    <row r="10281" spans="1:26" x14ac:dyDescent="0.2">
      <c r="A10281" s="8">
        <v>10280</v>
      </c>
      <c r="B10281" s="8" t="s">
        <v>44083</v>
      </c>
      <c r="C10281" s="8" t="s">
        <v>44083</v>
      </c>
      <c r="G10281" s="8">
        <v>20</v>
      </c>
      <c r="H10281" s="8" t="s">
        <v>21</v>
      </c>
      <c r="I10281" s="8" t="s">
        <v>72</v>
      </c>
      <c r="J10281" s="8" t="s">
        <v>72</v>
      </c>
      <c r="K10281" s="8" t="s">
        <v>20</v>
      </c>
      <c r="L10281" s="8" t="s">
        <v>6823</v>
      </c>
      <c r="M10281" s="8" t="s">
        <v>6824</v>
      </c>
      <c r="N10281" s="8" t="s">
        <v>44084</v>
      </c>
      <c r="O10281" s="8">
        <f>9+15/60+50.4/3600</f>
        <v>9.2639999999999993</v>
      </c>
      <c r="P10281" s="8" t="s">
        <v>44085</v>
      </c>
      <c r="Q10281" s="8">
        <f>+(73+27/60+31/3600)</f>
        <v>73.458611111111111</v>
      </c>
      <c r="R10281" s="8">
        <v>99</v>
      </c>
      <c r="S10281" s="8">
        <v>14.6</v>
      </c>
      <c r="T10281" s="8">
        <v>99</v>
      </c>
      <c r="U10281" s="8">
        <v>99</v>
      </c>
      <c r="Y10281" s="8" t="s">
        <v>21</v>
      </c>
      <c r="Z10281" s="8" t="s">
        <v>44086</v>
      </c>
    </row>
    <row r="10282" spans="1:26" x14ac:dyDescent="0.2">
      <c r="A10282" s="8">
        <v>10281</v>
      </c>
      <c r="B10282" s="8" t="s">
        <v>44087</v>
      </c>
      <c r="C10282" s="8" t="s">
        <v>44087</v>
      </c>
      <c r="E10282" s="8">
        <v>2</v>
      </c>
      <c r="G10282" s="8">
        <v>20</v>
      </c>
      <c r="H10282" s="8" t="s">
        <v>21</v>
      </c>
      <c r="I10282" s="8" t="s">
        <v>22</v>
      </c>
      <c r="J10282" s="8" t="s">
        <v>22</v>
      </c>
      <c r="K10282" s="8" t="s">
        <v>382</v>
      </c>
      <c r="L10282" s="8" t="s">
        <v>11551</v>
      </c>
      <c r="M10282" s="8" t="s">
        <v>11552</v>
      </c>
      <c r="N10282" s="8" t="s">
        <v>44088</v>
      </c>
      <c r="O10282" s="8">
        <f>9+10/60+2.8/3600</f>
        <v>9.1674444444444436</v>
      </c>
      <c r="P10282" s="8" t="s">
        <v>44089</v>
      </c>
      <c r="Q10282" s="8">
        <f>+(22+51/60+6/3600)</f>
        <v>22.851666666666667</v>
      </c>
      <c r="R10282" s="8">
        <v>14.2</v>
      </c>
      <c r="S10282" s="8">
        <v>15.2</v>
      </c>
      <c r="T10282" s="8">
        <v>1</v>
      </c>
      <c r="U10282" s="8">
        <v>12</v>
      </c>
      <c r="V10282" s="8">
        <v>0.4</v>
      </c>
      <c r="W10282" s="8">
        <v>0.3</v>
      </c>
      <c r="X10282" s="8">
        <v>130</v>
      </c>
      <c r="Y10282" s="8" t="s">
        <v>44090</v>
      </c>
      <c r="Z10282" s="8" t="s">
        <v>44091</v>
      </c>
    </row>
    <row r="10283" spans="1:26" x14ac:dyDescent="0.2">
      <c r="A10283" s="8">
        <v>10282</v>
      </c>
      <c r="B10283" s="8" t="s">
        <v>44092</v>
      </c>
      <c r="C10283" s="8" t="s">
        <v>44092</v>
      </c>
      <c r="G10283" s="8">
        <v>20</v>
      </c>
      <c r="H10283" s="8" t="s">
        <v>21</v>
      </c>
      <c r="I10283" s="8" t="s">
        <v>22</v>
      </c>
      <c r="J10283" s="8" t="s">
        <v>22</v>
      </c>
      <c r="K10283" s="8" t="s">
        <v>460</v>
      </c>
      <c r="L10283" s="8" t="s">
        <v>11551</v>
      </c>
      <c r="M10283" s="8" t="s">
        <v>11552</v>
      </c>
      <c r="N10283" s="8" t="s">
        <v>44093</v>
      </c>
      <c r="O10283" s="8">
        <f>9+10/60+5.1/3600</f>
        <v>9.1680833333333336</v>
      </c>
      <c r="P10283" s="8" t="s">
        <v>44094</v>
      </c>
      <c r="Q10283" s="8">
        <f>+(22+50/60+20/3600)</f>
        <v>22.838888888888889</v>
      </c>
      <c r="R10283" s="8">
        <v>14.1</v>
      </c>
      <c r="S10283" s="8">
        <v>15.1</v>
      </c>
      <c r="T10283" s="8">
        <v>1</v>
      </c>
      <c r="U10283" s="8">
        <v>12.7</v>
      </c>
      <c r="V10283" s="8">
        <v>0.5</v>
      </c>
      <c r="W10283" s="8">
        <v>0.5</v>
      </c>
      <c r="Y10283" s="8" t="s">
        <v>2233</v>
      </c>
      <c r="Z10283" s="8" t="s">
        <v>2234</v>
      </c>
    </row>
    <row r="10284" spans="1:26" x14ac:dyDescent="0.2">
      <c r="A10284" s="8">
        <v>10283</v>
      </c>
      <c r="B10284" s="8" t="s">
        <v>44095</v>
      </c>
      <c r="C10284" s="8" t="s">
        <v>44095</v>
      </c>
      <c r="G10284" s="8">
        <v>20</v>
      </c>
      <c r="H10284" s="8" t="s">
        <v>21</v>
      </c>
      <c r="I10284" s="8" t="s">
        <v>22</v>
      </c>
      <c r="J10284" s="8" t="s">
        <v>22</v>
      </c>
      <c r="K10284" s="8" t="s">
        <v>224</v>
      </c>
      <c r="L10284" s="8" t="s">
        <v>11551</v>
      </c>
      <c r="M10284" s="8" t="s">
        <v>11552</v>
      </c>
      <c r="N10284" s="8" t="s">
        <v>44096</v>
      </c>
      <c r="O10284" s="8">
        <f>9+11/60+30.8/3600</f>
        <v>9.1918888888888883</v>
      </c>
      <c r="P10284" s="8" t="s">
        <v>44097</v>
      </c>
      <c r="Q10284" s="8">
        <f>+(28+49/60+37/3600)</f>
        <v>28.826944444444443</v>
      </c>
      <c r="R10284" s="8">
        <v>14.1</v>
      </c>
      <c r="S10284" s="8">
        <v>15.1</v>
      </c>
      <c r="T10284" s="8">
        <v>1</v>
      </c>
      <c r="U10284" s="8">
        <v>13</v>
      </c>
      <c r="V10284" s="8">
        <v>0.7</v>
      </c>
      <c r="W10284" s="8">
        <v>0.6</v>
      </c>
      <c r="X10284" s="8">
        <v>162</v>
      </c>
      <c r="Y10284" s="8" t="s">
        <v>12301</v>
      </c>
      <c r="Z10284" s="8" t="s">
        <v>12302</v>
      </c>
    </row>
    <row r="10285" spans="1:26" x14ac:dyDescent="0.2">
      <c r="A10285" s="8">
        <v>10284</v>
      </c>
      <c r="B10285" s="8" t="s">
        <v>44098</v>
      </c>
      <c r="C10285" s="8" t="s">
        <v>44098</v>
      </c>
      <c r="G10285" s="8">
        <v>20</v>
      </c>
      <c r="H10285" s="8" t="s">
        <v>21</v>
      </c>
      <c r="I10285" s="8" t="s">
        <v>22</v>
      </c>
      <c r="J10285" s="8" t="s">
        <v>22</v>
      </c>
      <c r="K10285" s="8" t="s">
        <v>435</v>
      </c>
      <c r="L10285" s="8" t="s">
        <v>11551</v>
      </c>
      <c r="M10285" s="8" t="s">
        <v>11552</v>
      </c>
      <c r="N10285" s="8" t="s">
        <v>44099</v>
      </c>
      <c r="O10285" s="8">
        <f>9+12/60+50.8/3600</f>
        <v>9.2141111111111105</v>
      </c>
      <c r="P10285" s="8" t="s">
        <v>44100</v>
      </c>
      <c r="Q10285" s="8">
        <f>+(30+12/60+46/3600)</f>
        <v>30.212777777777777</v>
      </c>
      <c r="R10285" s="8">
        <v>13.8</v>
      </c>
      <c r="S10285" s="8">
        <v>14.7</v>
      </c>
      <c r="T10285" s="8">
        <v>0.9</v>
      </c>
      <c r="U10285" s="8">
        <v>12.5</v>
      </c>
      <c r="V10285" s="8">
        <v>0.6</v>
      </c>
      <c r="W10285" s="8">
        <v>0.6</v>
      </c>
      <c r="Y10285" s="8" t="s">
        <v>5926</v>
      </c>
      <c r="Z10285" s="8" t="s">
        <v>5927</v>
      </c>
    </row>
    <row r="10286" spans="1:26" x14ac:dyDescent="0.2">
      <c r="A10286" s="8">
        <v>10285</v>
      </c>
      <c r="B10286" s="8" t="s">
        <v>44101</v>
      </c>
      <c r="C10286" s="8" t="s">
        <v>44101</v>
      </c>
      <c r="G10286" s="8">
        <v>20</v>
      </c>
      <c r="H10286" s="8" t="s">
        <v>21</v>
      </c>
      <c r="I10286" s="8" t="s">
        <v>22</v>
      </c>
      <c r="J10286" s="8" t="s">
        <v>22</v>
      </c>
      <c r="K10286" s="8" t="s">
        <v>406</v>
      </c>
      <c r="L10286" s="8" t="s">
        <v>11551</v>
      </c>
      <c r="M10286" s="8" t="s">
        <v>11552</v>
      </c>
      <c r="N10286" s="8" t="s">
        <v>44102</v>
      </c>
      <c r="O10286" s="8">
        <f>9+13/60+12.5/3600</f>
        <v>9.2201388888888882</v>
      </c>
      <c r="P10286" s="8" t="s">
        <v>44103</v>
      </c>
      <c r="Q10286" s="8">
        <f>+(31+48/60+27/3600)</f>
        <v>31.807500000000001</v>
      </c>
      <c r="R10286" s="8">
        <v>14.2</v>
      </c>
      <c r="S10286" s="8">
        <v>15</v>
      </c>
      <c r="T10286" s="8">
        <v>0.8</v>
      </c>
      <c r="U10286" s="8">
        <v>12.6</v>
      </c>
      <c r="V10286" s="8">
        <v>0.8</v>
      </c>
      <c r="W10286" s="8">
        <v>0.5</v>
      </c>
      <c r="X10286" s="8">
        <v>16</v>
      </c>
      <c r="Y10286" s="8" t="s">
        <v>43214</v>
      </c>
      <c r="Z10286" s="8" t="s">
        <v>43215</v>
      </c>
    </row>
    <row r="10287" spans="1:26" x14ac:dyDescent="0.2">
      <c r="A10287" s="8">
        <v>10286</v>
      </c>
      <c r="B10287" s="8" t="s">
        <v>44104</v>
      </c>
      <c r="C10287" s="8" t="s">
        <v>44104</v>
      </c>
      <c r="G10287" s="8">
        <v>20</v>
      </c>
      <c r="H10287" s="8" t="s">
        <v>21</v>
      </c>
      <c r="I10287" s="8" t="s">
        <v>22</v>
      </c>
      <c r="J10287" s="8" t="s">
        <v>22</v>
      </c>
      <c r="K10287" s="8" t="s">
        <v>91</v>
      </c>
      <c r="L10287" s="8" t="s">
        <v>11551</v>
      </c>
      <c r="M10287" s="8" t="s">
        <v>11552</v>
      </c>
      <c r="N10287" s="8" t="s">
        <v>44105</v>
      </c>
      <c r="O10287" s="8">
        <f>9+13/60+31.3/3600</f>
        <v>9.2253611111111109</v>
      </c>
      <c r="P10287" s="8" t="s">
        <v>44106</v>
      </c>
      <c r="Q10287" s="8">
        <f>+(28+57/60+5/3600)</f>
        <v>28.951388888888889</v>
      </c>
      <c r="R10287" s="8">
        <v>13.8</v>
      </c>
      <c r="S10287" s="8">
        <v>14.7</v>
      </c>
      <c r="T10287" s="8">
        <v>0.9</v>
      </c>
      <c r="U10287" s="8">
        <v>13.4</v>
      </c>
      <c r="V10287" s="8">
        <v>1.4</v>
      </c>
      <c r="W10287" s="8">
        <v>0.6</v>
      </c>
      <c r="X10287" s="8">
        <v>148</v>
      </c>
      <c r="Y10287" s="8" t="s">
        <v>44107</v>
      </c>
      <c r="Z10287" s="8" t="s">
        <v>44108</v>
      </c>
    </row>
    <row r="10288" spans="1:26" x14ac:dyDescent="0.2">
      <c r="A10288" s="8">
        <v>10287</v>
      </c>
      <c r="B10288" s="8" t="s">
        <v>44109</v>
      </c>
      <c r="C10288" s="8" t="s">
        <v>44109</v>
      </c>
      <c r="G10288" s="8">
        <v>20</v>
      </c>
      <c r="H10288" s="8" t="s">
        <v>21</v>
      </c>
      <c r="I10288" s="8" t="s">
        <v>329</v>
      </c>
      <c r="J10288" s="8" t="s">
        <v>329</v>
      </c>
      <c r="K10288" s="8" t="s">
        <v>329</v>
      </c>
      <c r="L10288" s="8" t="s">
        <v>11551</v>
      </c>
      <c r="M10288" s="8" t="s">
        <v>11552</v>
      </c>
      <c r="N10288" s="8" t="s">
        <v>44110</v>
      </c>
      <c r="O10288" s="8">
        <f>9+13/60+30/3600</f>
        <v>9.2249999999999996</v>
      </c>
      <c r="P10288" s="8" t="s">
        <v>44111</v>
      </c>
      <c r="Q10288" s="8">
        <f>+(28+44/60+30/3600)</f>
        <v>28.741666666666667</v>
      </c>
      <c r="R10288" s="8">
        <v>99</v>
      </c>
      <c r="S10288" s="8">
        <v>99</v>
      </c>
      <c r="T10288" s="8">
        <v>99</v>
      </c>
      <c r="U10288" s="8">
        <v>99</v>
      </c>
      <c r="Y10288" s="8" t="s">
        <v>12301</v>
      </c>
      <c r="Z10288" s="8" t="s">
        <v>12302</v>
      </c>
    </row>
    <row r="10289" spans="1:26" x14ac:dyDescent="0.2">
      <c r="A10289" s="8">
        <v>10288</v>
      </c>
      <c r="B10289" s="8" t="s">
        <v>44112</v>
      </c>
      <c r="C10289" s="8" t="s">
        <v>44112</v>
      </c>
      <c r="G10289" s="8">
        <v>13</v>
      </c>
      <c r="H10289" s="8" t="s">
        <v>21</v>
      </c>
      <c r="I10289" s="8" t="s">
        <v>241</v>
      </c>
      <c r="J10289" s="8" t="s">
        <v>241</v>
      </c>
      <c r="K10289" s="8" t="s">
        <v>241</v>
      </c>
      <c r="L10289" s="8" t="s">
        <v>10135</v>
      </c>
      <c r="M10289" s="8" t="s">
        <v>10136</v>
      </c>
      <c r="N10289" s="8" t="s">
        <v>44113</v>
      </c>
      <c r="O10289" s="8">
        <f>9+7/60+6.5/3600</f>
        <v>9.1184722222222234</v>
      </c>
      <c r="P10289" s="8" t="s">
        <v>44114</v>
      </c>
      <c r="Q10289" s="8">
        <f>-(69+56/60+29/3600)</f>
        <v>-69.941388888888895</v>
      </c>
      <c r="R10289" s="8">
        <v>10.4</v>
      </c>
      <c r="S10289" s="8">
        <v>11.5</v>
      </c>
      <c r="T10289" s="8">
        <v>99</v>
      </c>
      <c r="U10289" s="8">
        <v>99</v>
      </c>
      <c r="V10289" s="8">
        <v>0.45</v>
      </c>
      <c r="Y10289" s="8" t="s">
        <v>27388</v>
      </c>
      <c r="Z10289" s="8" t="s">
        <v>41022</v>
      </c>
    </row>
    <row r="10290" spans="1:26" x14ac:dyDescent="0.2">
      <c r="A10290" s="8">
        <v>10289</v>
      </c>
      <c r="B10290" s="8" t="s">
        <v>44115</v>
      </c>
      <c r="C10290" s="8" t="s">
        <v>44115</v>
      </c>
      <c r="G10290" s="8">
        <v>20</v>
      </c>
      <c r="H10290" s="8" t="s">
        <v>21</v>
      </c>
      <c r="I10290" s="8" t="s">
        <v>22</v>
      </c>
      <c r="J10290" s="8" t="s">
        <v>22</v>
      </c>
      <c r="K10290" s="8" t="s">
        <v>23</v>
      </c>
      <c r="L10290" s="8" t="s">
        <v>11551</v>
      </c>
      <c r="M10290" s="8" t="s">
        <v>11552</v>
      </c>
      <c r="N10290" s="8" t="s">
        <v>44116</v>
      </c>
      <c r="O10290" s="8">
        <f>9+13/60+32.9/3600</f>
        <v>9.2258055555555565</v>
      </c>
      <c r="P10290" s="8" t="s">
        <v>44117</v>
      </c>
      <c r="Q10290" s="8">
        <f>+(30+0/60+1/3600)</f>
        <v>30.000277777777779</v>
      </c>
      <c r="R10290" s="8">
        <v>14.3</v>
      </c>
      <c r="S10290" s="8">
        <v>15.1</v>
      </c>
      <c r="T10290" s="8">
        <v>0.8</v>
      </c>
      <c r="U10290" s="8">
        <v>13</v>
      </c>
      <c r="V10290" s="8">
        <v>1.7</v>
      </c>
      <c r="W10290" s="8">
        <v>0.2</v>
      </c>
      <c r="X10290" s="8">
        <v>77</v>
      </c>
      <c r="Y10290" s="8" t="s">
        <v>27526</v>
      </c>
      <c r="Z10290" s="8" t="s">
        <v>22882</v>
      </c>
    </row>
    <row r="10291" spans="1:26" x14ac:dyDescent="0.2">
      <c r="A10291" s="8">
        <v>10290</v>
      </c>
      <c r="B10291" s="8" t="s">
        <v>44118</v>
      </c>
      <c r="C10291" s="8" t="s">
        <v>44118</v>
      </c>
      <c r="G10291" s="8">
        <v>20</v>
      </c>
      <c r="H10291" s="8" t="s">
        <v>21</v>
      </c>
      <c r="I10291" s="8" t="s">
        <v>22</v>
      </c>
      <c r="J10291" s="8" t="s">
        <v>22</v>
      </c>
      <c r="K10291" s="8" t="s">
        <v>37</v>
      </c>
      <c r="L10291" s="8" t="s">
        <v>11551</v>
      </c>
      <c r="M10291" s="8" t="s">
        <v>11552</v>
      </c>
      <c r="N10291" s="8" t="s">
        <v>44119</v>
      </c>
      <c r="O10291" s="8">
        <f>9+17/60+5.5/3600</f>
        <v>9.2848611111111108</v>
      </c>
      <c r="P10291" s="8" t="s">
        <v>44120</v>
      </c>
      <c r="Q10291" s="8">
        <f>+(25+25/60+40/3600)</f>
        <v>25.427777777777781</v>
      </c>
      <c r="R10291" s="8">
        <v>12.8</v>
      </c>
      <c r="S10291" s="8">
        <v>13.8</v>
      </c>
      <c r="T10291" s="8">
        <v>1</v>
      </c>
      <c r="U10291" s="8">
        <v>12.9</v>
      </c>
      <c r="V10291" s="8">
        <v>1.5</v>
      </c>
      <c r="W10291" s="8">
        <v>0.8</v>
      </c>
      <c r="X10291" s="8">
        <v>157</v>
      </c>
      <c r="Y10291" s="8" t="s">
        <v>39828</v>
      </c>
      <c r="Z10291" s="8" t="s">
        <v>39846</v>
      </c>
    </row>
    <row r="10292" spans="1:26" x14ac:dyDescent="0.2">
      <c r="A10292" s="8">
        <v>10291</v>
      </c>
      <c r="B10292" s="8" t="s">
        <v>44121</v>
      </c>
      <c r="C10292" s="8" t="s">
        <v>44121</v>
      </c>
      <c r="G10292" s="8">
        <v>20</v>
      </c>
      <c r="H10292" s="8" t="s">
        <v>21</v>
      </c>
      <c r="I10292" s="8" t="s">
        <v>22</v>
      </c>
      <c r="J10292" s="8" t="s">
        <v>22</v>
      </c>
      <c r="K10292" s="8" t="s">
        <v>460</v>
      </c>
      <c r="L10292" s="8" t="s">
        <v>11551</v>
      </c>
      <c r="M10292" s="8" t="s">
        <v>11552</v>
      </c>
      <c r="N10292" s="8" t="s">
        <v>44122</v>
      </c>
      <c r="O10292" s="8">
        <f>9+15/60+47.7/3600</f>
        <v>9.2632499999999993</v>
      </c>
      <c r="P10292" s="8" t="s">
        <v>44123</v>
      </c>
      <c r="Q10292" s="8">
        <f>+(23+29/60+49/3600)</f>
        <v>23.496944444444445</v>
      </c>
      <c r="R10292" s="8">
        <v>14.5</v>
      </c>
      <c r="S10292" s="8">
        <v>15.5</v>
      </c>
      <c r="T10292" s="8">
        <v>1</v>
      </c>
      <c r="U10292" s="8">
        <v>12.6</v>
      </c>
      <c r="V10292" s="8">
        <v>0.4</v>
      </c>
      <c r="W10292" s="8">
        <v>0.4</v>
      </c>
      <c r="Y10292" s="8" t="s">
        <v>12301</v>
      </c>
      <c r="Z10292" s="8" t="s">
        <v>12302</v>
      </c>
    </row>
    <row r="10293" spans="1:26" x14ac:dyDescent="0.2">
      <c r="A10293" s="8">
        <v>10292</v>
      </c>
      <c r="B10293" s="8" t="s">
        <v>44124</v>
      </c>
      <c r="C10293" s="8" t="s">
        <v>44124</v>
      </c>
      <c r="G10293" s="8">
        <v>20</v>
      </c>
      <c r="H10293" s="8" t="s">
        <v>21</v>
      </c>
      <c r="I10293" s="8" t="s">
        <v>22</v>
      </c>
      <c r="J10293" s="8" t="s">
        <v>22</v>
      </c>
      <c r="K10293" s="8" t="s">
        <v>449</v>
      </c>
      <c r="L10293" s="8" t="s">
        <v>11551</v>
      </c>
      <c r="M10293" s="8" t="s">
        <v>11552</v>
      </c>
      <c r="N10293" s="8" t="s">
        <v>44125</v>
      </c>
      <c r="O10293" s="8">
        <f>9+15/60+57.5/3600</f>
        <v>9.2659722222222225</v>
      </c>
      <c r="P10293" s="8" t="s">
        <v>44126</v>
      </c>
      <c r="Q10293" s="8">
        <f>+(23+28/60+22/3600)</f>
        <v>23.472777777777775</v>
      </c>
      <c r="R10293" s="8">
        <v>14.6</v>
      </c>
      <c r="S10293" s="8">
        <v>15.4</v>
      </c>
      <c r="T10293" s="8">
        <v>0.8</v>
      </c>
      <c r="U10293" s="8">
        <v>11.7</v>
      </c>
      <c r="V10293" s="8">
        <v>0.4</v>
      </c>
      <c r="W10293" s="8">
        <v>0.2</v>
      </c>
      <c r="X10293" s="8">
        <v>135</v>
      </c>
      <c r="Y10293" s="8" t="s">
        <v>12301</v>
      </c>
      <c r="Z10293" s="8" t="s">
        <v>12302</v>
      </c>
    </row>
    <row r="10294" spans="1:26" x14ac:dyDescent="0.2">
      <c r="A10294" s="8">
        <v>10293</v>
      </c>
      <c r="B10294" s="8" t="s">
        <v>44127</v>
      </c>
      <c r="C10294" s="8" t="s">
        <v>44127</v>
      </c>
      <c r="G10294" s="8">
        <v>20</v>
      </c>
      <c r="H10294" s="8" t="s">
        <v>21</v>
      </c>
      <c r="I10294" s="8" t="s">
        <v>22</v>
      </c>
      <c r="J10294" s="8" t="s">
        <v>22</v>
      </c>
      <c r="K10294" s="8" t="s">
        <v>449</v>
      </c>
      <c r="L10294" s="8" t="s">
        <v>11551</v>
      </c>
      <c r="M10294" s="8" t="s">
        <v>11552</v>
      </c>
      <c r="N10294" s="8" t="s">
        <v>44128</v>
      </c>
      <c r="O10294" s="8">
        <f>9+15/60+54.5/3600</f>
        <v>9.2651388888888881</v>
      </c>
      <c r="P10294" s="8" t="s">
        <v>44129</v>
      </c>
      <c r="Q10294" s="8">
        <f>+(20+55/60+46/3600)</f>
        <v>20.929444444444446</v>
      </c>
      <c r="R10294" s="8">
        <v>14.6</v>
      </c>
      <c r="S10294" s="8">
        <v>15.4</v>
      </c>
      <c r="T10294" s="8">
        <v>0.8</v>
      </c>
      <c r="U10294" s="8">
        <v>12.4</v>
      </c>
      <c r="V10294" s="8">
        <v>0.5</v>
      </c>
      <c r="W10294" s="8">
        <v>0.3</v>
      </c>
      <c r="X10294" s="8">
        <v>60</v>
      </c>
      <c r="Y10294" s="8" t="s">
        <v>37070</v>
      </c>
      <c r="Z10294" s="8" t="s">
        <v>37071</v>
      </c>
    </row>
    <row r="10295" spans="1:26" x14ac:dyDescent="0.2">
      <c r="A10295" s="8">
        <v>10294</v>
      </c>
      <c r="B10295" s="8" t="s">
        <v>44130</v>
      </c>
      <c r="C10295" s="8" t="s">
        <v>44130</v>
      </c>
      <c r="G10295" s="8">
        <v>20</v>
      </c>
      <c r="H10295" s="8" t="s">
        <v>21</v>
      </c>
      <c r="I10295" s="8" t="s">
        <v>22</v>
      </c>
      <c r="J10295" s="8" t="s">
        <v>22</v>
      </c>
      <c r="K10295" s="8" t="s">
        <v>91</v>
      </c>
      <c r="L10295" s="8" t="s">
        <v>11551</v>
      </c>
      <c r="M10295" s="8" t="s">
        <v>11552</v>
      </c>
      <c r="N10295" s="8" t="s">
        <v>12884</v>
      </c>
      <c r="O10295" s="8">
        <f>9+16/60+1.7/3600</f>
        <v>9.2671388888888906</v>
      </c>
      <c r="P10295" s="8" t="s">
        <v>44131</v>
      </c>
      <c r="Q10295" s="8">
        <f>+(17+49/60+17/3600)</f>
        <v>17.82138888888889</v>
      </c>
      <c r="R10295" s="8">
        <v>13.2</v>
      </c>
      <c r="S10295" s="8">
        <v>14.1</v>
      </c>
      <c r="T10295" s="8">
        <v>0.9</v>
      </c>
      <c r="U10295" s="8">
        <v>12.4</v>
      </c>
      <c r="V10295" s="8">
        <v>0.9</v>
      </c>
      <c r="W10295" s="8">
        <v>0.6</v>
      </c>
      <c r="Y10295" s="8" t="s">
        <v>40990</v>
      </c>
      <c r="Z10295" s="8" t="s">
        <v>40991</v>
      </c>
    </row>
    <row r="10296" spans="1:26" x14ac:dyDescent="0.2">
      <c r="A10296" s="8">
        <v>10295</v>
      </c>
      <c r="B10296" s="8" t="s">
        <v>44132</v>
      </c>
      <c r="C10296" s="8" t="s">
        <v>44132</v>
      </c>
      <c r="G10296" s="8">
        <v>20</v>
      </c>
      <c r="H10296" s="8" t="s">
        <v>21</v>
      </c>
      <c r="I10296" s="8" t="s">
        <v>22</v>
      </c>
      <c r="J10296" s="8" t="s">
        <v>57</v>
      </c>
      <c r="K10296" s="8" t="s">
        <v>37</v>
      </c>
      <c r="L10296" s="8" t="s">
        <v>11551</v>
      </c>
      <c r="M10296" s="8" t="s">
        <v>11552</v>
      </c>
      <c r="N10296" s="8" t="s">
        <v>12927</v>
      </c>
      <c r="O10296" s="8">
        <f>9+16/60+49.9/3600</f>
        <v>9.2805277777777793</v>
      </c>
      <c r="P10296" s="8" t="s">
        <v>12928</v>
      </c>
      <c r="Q10296" s="8">
        <f>+(20+11/60+54/3600)</f>
        <v>20.198333333333334</v>
      </c>
      <c r="R10296" s="8">
        <v>12.8</v>
      </c>
      <c r="S10296" s="8">
        <v>13.9</v>
      </c>
      <c r="T10296" s="8">
        <v>1.1000000000000001</v>
      </c>
      <c r="U10296" s="8">
        <v>14.3</v>
      </c>
      <c r="V10296" s="8">
        <v>1.4</v>
      </c>
      <c r="W10296" s="8">
        <v>1.2</v>
      </c>
      <c r="X10296" s="8">
        <v>60</v>
      </c>
      <c r="Y10296" s="8" t="s">
        <v>44133</v>
      </c>
      <c r="Z10296" s="8" t="s">
        <v>44134</v>
      </c>
    </row>
    <row r="10297" spans="1:26" x14ac:dyDescent="0.2">
      <c r="A10297" s="8">
        <v>10296</v>
      </c>
      <c r="B10297" s="8" t="s">
        <v>44135</v>
      </c>
      <c r="C10297" s="8" t="s">
        <v>44135</v>
      </c>
      <c r="G10297" s="8">
        <v>20</v>
      </c>
      <c r="H10297" s="8" t="s">
        <v>21</v>
      </c>
      <c r="I10297" s="8" t="s">
        <v>22</v>
      </c>
      <c r="J10297" s="8" t="s">
        <v>22</v>
      </c>
      <c r="K10297" s="8" t="s">
        <v>449</v>
      </c>
      <c r="L10297" s="8" t="s">
        <v>10511</v>
      </c>
      <c r="M10297" s="8" t="s">
        <v>10512</v>
      </c>
      <c r="N10297" s="8" t="s">
        <v>44136</v>
      </c>
      <c r="O10297" s="8">
        <f>9+17/60+24.3/3600</f>
        <v>9.2900833333333335</v>
      </c>
      <c r="P10297" s="8" t="s">
        <v>44137</v>
      </c>
      <c r="Q10297" s="8">
        <f>+(34+40/60+29/3600)</f>
        <v>34.674722222222222</v>
      </c>
      <c r="R10297" s="8">
        <v>14.8</v>
      </c>
      <c r="S10297" s="8">
        <v>15.6</v>
      </c>
      <c r="T10297" s="8">
        <v>0.8</v>
      </c>
      <c r="U10297" s="8">
        <v>12.6</v>
      </c>
      <c r="V10297" s="8">
        <v>0.5</v>
      </c>
      <c r="W10297" s="8">
        <v>0.3</v>
      </c>
      <c r="X10297" s="8">
        <v>60</v>
      </c>
      <c r="Y10297" s="8" t="s">
        <v>35604</v>
      </c>
      <c r="Z10297" s="8" t="s">
        <v>35605</v>
      </c>
    </row>
    <row r="10298" spans="1:26" x14ac:dyDescent="0.2">
      <c r="A10298" s="8">
        <v>10297</v>
      </c>
      <c r="B10298" s="8" t="s">
        <v>44138</v>
      </c>
      <c r="C10298" s="8" t="s">
        <v>44138</v>
      </c>
      <c r="G10298" s="8">
        <v>20</v>
      </c>
      <c r="H10298" s="8" t="s">
        <v>21</v>
      </c>
      <c r="I10298" s="8" t="s">
        <v>22</v>
      </c>
      <c r="J10298" s="8" t="s">
        <v>22</v>
      </c>
      <c r="K10298" s="8" t="s">
        <v>449</v>
      </c>
      <c r="L10298" s="8" t="s">
        <v>11551</v>
      </c>
      <c r="M10298" s="8" t="s">
        <v>11552</v>
      </c>
      <c r="N10298" s="8" t="s">
        <v>44139</v>
      </c>
      <c r="O10298" s="8">
        <f>9+17/60+4.2/3600</f>
        <v>9.2844999999999995</v>
      </c>
      <c r="P10298" s="8" t="s">
        <v>44140</v>
      </c>
      <c r="Q10298" s="8">
        <f>+(20+5/60+37/3600)</f>
        <v>20.093611111111109</v>
      </c>
      <c r="R10298" s="8">
        <v>15</v>
      </c>
      <c r="S10298" s="8">
        <v>15.8</v>
      </c>
      <c r="T10298" s="8">
        <v>0.8</v>
      </c>
      <c r="U10298" s="8">
        <v>12.8</v>
      </c>
      <c r="V10298" s="8">
        <v>0.5</v>
      </c>
      <c r="W10298" s="8">
        <v>0.3</v>
      </c>
      <c r="X10298" s="8">
        <v>50</v>
      </c>
      <c r="Y10298" s="8" t="s">
        <v>36797</v>
      </c>
      <c r="Z10298" s="8" t="s">
        <v>36798</v>
      </c>
    </row>
    <row r="10299" spans="1:26" x14ac:dyDescent="0.2">
      <c r="A10299" s="8">
        <v>10298</v>
      </c>
      <c r="B10299" s="8" t="s">
        <v>44141</v>
      </c>
      <c r="C10299" s="8" t="s">
        <v>44141</v>
      </c>
      <c r="F10299" s="52"/>
      <c r="G10299" s="8">
        <v>20</v>
      </c>
      <c r="H10299" s="8" t="s">
        <v>21</v>
      </c>
      <c r="I10299" s="8" t="s">
        <v>22</v>
      </c>
      <c r="J10299" s="8" t="s">
        <v>57</v>
      </c>
      <c r="K10299" s="8" t="s">
        <v>632</v>
      </c>
      <c r="L10299" s="8" t="s">
        <v>12015</v>
      </c>
      <c r="M10299" s="8" t="s">
        <v>12016</v>
      </c>
      <c r="N10299" s="8" t="s">
        <v>44142</v>
      </c>
      <c r="O10299" s="8">
        <f>9+21/60+30.2/3600</f>
        <v>9.3583888888888893</v>
      </c>
      <c r="P10299" s="8" t="s">
        <v>44143</v>
      </c>
      <c r="Q10299" s="8">
        <f>+(64+14/60+18/3600)</f>
        <v>64.23833333333333</v>
      </c>
      <c r="R10299" s="8">
        <v>14.5</v>
      </c>
      <c r="S10299" s="8">
        <v>15.4</v>
      </c>
      <c r="T10299" s="8">
        <v>0.9</v>
      </c>
      <c r="U10299" s="8">
        <v>11.9</v>
      </c>
      <c r="V10299" s="8">
        <v>0.5</v>
      </c>
      <c r="W10299" s="8">
        <v>0.2</v>
      </c>
      <c r="X10299" s="8">
        <v>21</v>
      </c>
      <c r="Y10299" s="8" t="s">
        <v>21</v>
      </c>
      <c r="Z10299" s="8" t="s">
        <v>44144</v>
      </c>
    </row>
    <row r="10300" spans="1:26" x14ac:dyDescent="0.2">
      <c r="A10300" s="8">
        <v>10299</v>
      </c>
      <c r="B10300" s="8" t="s">
        <v>44145</v>
      </c>
      <c r="C10300" s="8" t="s">
        <v>44145</v>
      </c>
      <c r="G10300" s="8">
        <v>20</v>
      </c>
      <c r="H10300" s="8" t="s">
        <v>21</v>
      </c>
      <c r="I10300" s="8" t="s">
        <v>22</v>
      </c>
      <c r="J10300" s="8" t="s">
        <v>22</v>
      </c>
      <c r="K10300" s="8" t="s">
        <v>382</v>
      </c>
      <c r="L10300" s="8" t="s">
        <v>10511</v>
      </c>
      <c r="M10300" s="8" t="s">
        <v>10512</v>
      </c>
      <c r="N10300" s="8" t="s">
        <v>44146</v>
      </c>
      <c r="O10300" s="8">
        <f>9+18/60+59.4/3600</f>
        <v>9.3165000000000013</v>
      </c>
      <c r="P10300" s="8" t="s">
        <v>44147</v>
      </c>
      <c r="Q10300" s="8">
        <f>+(34+51/60+46/3600)</f>
        <v>34.862777777777779</v>
      </c>
      <c r="R10300" s="8">
        <v>14.7</v>
      </c>
      <c r="S10300" s="8">
        <v>15.7</v>
      </c>
      <c r="T10300" s="8">
        <v>1</v>
      </c>
      <c r="U10300" s="8">
        <v>12.5</v>
      </c>
      <c r="V10300" s="8">
        <v>0.4</v>
      </c>
      <c r="W10300" s="8">
        <v>0.3</v>
      </c>
      <c r="X10300" s="8">
        <v>100</v>
      </c>
      <c r="Y10300" s="8" t="s">
        <v>27097</v>
      </c>
      <c r="Z10300" s="8" t="s">
        <v>27098</v>
      </c>
    </row>
    <row r="10301" spans="1:26" x14ac:dyDescent="0.2">
      <c r="A10301" s="8">
        <v>10300</v>
      </c>
      <c r="B10301" s="8" t="s">
        <v>44148</v>
      </c>
      <c r="C10301" s="8" t="s">
        <v>44148</v>
      </c>
      <c r="G10301" s="8">
        <v>20</v>
      </c>
      <c r="H10301" s="8" t="s">
        <v>21</v>
      </c>
      <c r="I10301" s="8" t="s">
        <v>22</v>
      </c>
      <c r="J10301" s="8" t="s">
        <v>57</v>
      </c>
      <c r="K10301" s="8" t="s">
        <v>23</v>
      </c>
      <c r="L10301" s="8" t="s">
        <v>10511</v>
      </c>
      <c r="M10301" s="8" t="s">
        <v>10512</v>
      </c>
      <c r="N10301" s="8" t="s">
        <v>13029</v>
      </c>
      <c r="O10301" s="8">
        <f>9+19/60+18.9/3600</f>
        <v>9.3219166666666666</v>
      </c>
      <c r="P10301" s="8" t="s">
        <v>13030</v>
      </c>
      <c r="Q10301" s="8">
        <f>+(33+52/60+51/3600)</f>
        <v>33.880833333333335</v>
      </c>
      <c r="R10301" s="8">
        <v>14.8</v>
      </c>
      <c r="S10301" s="8">
        <v>15.6</v>
      </c>
      <c r="T10301" s="8">
        <v>0.8</v>
      </c>
      <c r="U10301" s="8">
        <v>13.1</v>
      </c>
      <c r="V10301" s="8">
        <v>0.8</v>
      </c>
      <c r="W10301" s="8">
        <v>0.3</v>
      </c>
      <c r="X10301" s="8">
        <v>6</v>
      </c>
      <c r="Y10301" s="8" t="s">
        <v>44149</v>
      </c>
      <c r="Z10301" s="8" t="s">
        <v>44150</v>
      </c>
    </row>
    <row r="10302" spans="1:26" x14ac:dyDescent="0.2">
      <c r="A10302" s="8">
        <v>10301</v>
      </c>
      <c r="B10302" s="8" t="s">
        <v>44151</v>
      </c>
      <c r="C10302" s="8" t="s">
        <v>44151</v>
      </c>
      <c r="G10302" s="8">
        <v>20</v>
      </c>
      <c r="H10302" s="8" t="s">
        <v>21</v>
      </c>
      <c r="I10302" s="8" t="s">
        <v>22</v>
      </c>
      <c r="J10302" s="8" t="s">
        <v>22</v>
      </c>
      <c r="K10302" s="8" t="s">
        <v>23</v>
      </c>
      <c r="L10302" s="8" t="s">
        <v>10511</v>
      </c>
      <c r="M10302" s="8" t="s">
        <v>10512</v>
      </c>
      <c r="N10302" s="8" t="s">
        <v>44152</v>
      </c>
      <c r="O10302" s="8">
        <f>9+19/60+58/3600</f>
        <v>9.3327777777777783</v>
      </c>
      <c r="P10302" s="8" t="s">
        <v>44153</v>
      </c>
      <c r="Q10302" s="8">
        <f>+(37+11/60+27/3600)</f>
        <v>37.19083333333333</v>
      </c>
      <c r="R10302" s="8">
        <v>14</v>
      </c>
      <c r="S10302" s="8">
        <v>14.8</v>
      </c>
      <c r="T10302" s="8">
        <v>0.8</v>
      </c>
      <c r="U10302" s="8">
        <v>13.8</v>
      </c>
      <c r="V10302" s="8">
        <v>2.2999999999999998</v>
      </c>
      <c r="W10302" s="8">
        <v>0.4</v>
      </c>
      <c r="X10302" s="8">
        <v>143</v>
      </c>
      <c r="Y10302" s="8" t="s">
        <v>44154</v>
      </c>
      <c r="Z10302" s="8" t="s">
        <v>44155</v>
      </c>
    </row>
    <row r="10303" spans="1:26" x14ac:dyDescent="0.2">
      <c r="A10303" s="8">
        <v>10302</v>
      </c>
      <c r="B10303" s="8" t="s">
        <v>44156</v>
      </c>
      <c r="C10303" s="8" t="s">
        <v>44156</v>
      </c>
      <c r="G10303" s="8">
        <v>20</v>
      </c>
      <c r="H10303" s="8" t="s">
        <v>21</v>
      </c>
      <c r="I10303" s="8" t="s">
        <v>22</v>
      </c>
      <c r="J10303" s="8" t="s">
        <v>22</v>
      </c>
      <c r="K10303" s="8" t="s">
        <v>449</v>
      </c>
      <c r="L10303" s="8" t="s">
        <v>13194</v>
      </c>
      <c r="M10303" s="8" t="s">
        <v>13195</v>
      </c>
      <c r="N10303" s="8" t="s">
        <v>44157</v>
      </c>
      <c r="O10303" s="8">
        <f>9+22/60+56.3/3600</f>
        <v>9.3823055555555559</v>
      </c>
      <c r="P10303" s="8" t="s">
        <v>44158</v>
      </c>
      <c r="Q10303" s="8">
        <f>+(22+41/60+10/3600)</f>
        <v>22.68611111111111</v>
      </c>
      <c r="R10303" s="8">
        <v>15</v>
      </c>
      <c r="S10303" s="8">
        <v>15.8</v>
      </c>
      <c r="T10303" s="8">
        <v>0.8</v>
      </c>
      <c r="U10303" s="8">
        <v>13</v>
      </c>
      <c r="V10303" s="8">
        <v>0.6</v>
      </c>
      <c r="W10303" s="8">
        <v>0.3</v>
      </c>
      <c r="X10303" s="8">
        <v>45</v>
      </c>
      <c r="Y10303" s="8" t="s">
        <v>44159</v>
      </c>
      <c r="Z10303" s="8" t="s">
        <v>44160</v>
      </c>
    </row>
    <row r="10304" spans="1:26" x14ac:dyDescent="0.2">
      <c r="A10304" s="8">
        <v>10303</v>
      </c>
      <c r="B10304" s="8" t="s">
        <v>44161</v>
      </c>
      <c r="C10304" s="8" t="s">
        <v>44161</v>
      </c>
      <c r="G10304" s="8">
        <v>20</v>
      </c>
      <c r="H10304" s="8" t="s">
        <v>21</v>
      </c>
      <c r="I10304" s="8" t="s">
        <v>22</v>
      </c>
      <c r="J10304" s="8" t="s">
        <v>22</v>
      </c>
      <c r="K10304" s="8" t="s">
        <v>424</v>
      </c>
      <c r="L10304" s="8" t="s">
        <v>13194</v>
      </c>
      <c r="M10304" s="8" t="s">
        <v>13195</v>
      </c>
      <c r="N10304" s="8" t="s">
        <v>44162</v>
      </c>
      <c r="O10304" s="8">
        <f>9+23/60+0.2/3600</f>
        <v>9.3833888888888879</v>
      </c>
      <c r="P10304" s="8" t="s">
        <v>467</v>
      </c>
      <c r="Q10304" s="8">
        <f>+(22+37/60+9/3600)</f>
        <v>22.619166666666668</v>
      </c>
      <c r="R10304" s="8">
        <v>14.5</v>
      </c>
      <c r="S10304" s="8">
        <v>15.5</v>
      </c>
      <c r="T10304" s="8">
        <v>1</v>
      </c>
      <c r="U10304" s="8">
        <v>11.7</v>
      </c>
      <c r="V10304" s="8">
        <v>0.3</v>
      </c>
      <c r="W10304" s="8">
        <v>0.3</v>
      </c>
      <c r="Y10304" s="8" t="s">
        <v>37070</v>
      </c>
      <c r="Z10304" s="8" t="s">
        <v>37071</v>
      </c>
    </row>
    <row r="10305" spans="1:26" x14ac:dyDescent="0.2">
      <c r="A10305" s="8">
        <v>10304</v>
      </c>
      <c r="B10305" s="8" t="s">
        <v>44163</v>
      </c>
      <c r="C10305" s="8" t="s">
        <v>44163</v>
      </c>
      <c r="G10305" s="8">
        <v>20</v>
      </c>
      <c r="H10305" s="8" t="s">
        <v>21</v>
      </c>
      <c r="I10305" s="8" t="s">
        <v>22</v>
      </c>
      <c r="J10305" s="8" t="s">
        <v>22</v>
      </c>
      <c r="K10305" s="8" t="s">
        <v>449</v>
      </c>
      <c r="L10305" s="8" t="s">
        <v>13194</v>
      </c>
      <c r="M10305" s="8" t="s">
        <v>13195</v>
      </c>
      <c r="N10305" s="8" t="s">
        <v>44164</v>
      </c>
      <c r="O10305" s="8">
        <f>9+23/60+22.2/3600</f>
        <v>9.3895</v>
      </c>
      <c r="P10305" s="8" t="s">
        <v>44165</v>
      </c>
      <c r="Q10305" s="8">
        <f>+(22+37/60+49/3600)</f>
        <v>22.630277777777778</v>
      </c>
      <c r="R10305" s="8">
        <v>14.5</v>
      </c>
      <c r="S10305" s="8">
        <v>15.3</v>
      </c>
      <c r="T10305" s="8">
        <v>0.8</v>
      </c>
      <c r="U10305" s="8">
        <v>13.4</v>
      </c>
      <c r="V10305" s="8">
        <v>0.7</v>
      </c>
      <c r="W10305" s="8">
        <v>0.6</v>
      </c>
      <c r="Y10305" s="8" t="s">
        <v>17260</v>
      </c>
      <c r="Z10305" s="8" t="s">
        <v>17261</v>
      </c>
    </row>
    <row r="10306" spans="1:26" x14ac:dyDescent="0.2">
      <c r="A10306" s="8">
        <v>10305</v>
      </c>
      <c r="B10306" s="8" t="s">
        <v>44166</v>
      </c>
      <c r="C10306" s="8" t="s">
        <v>44166</v>
      </c>
      <c r="G10306" s="8">
        <v>20</v>
      </c>
      <c r="H10306" s="8" t="s">
        <v>21</v>
      </c>
      <c r="I10306" s="8" t="s">
        <v>22</v>
      </c>
      <c r="J10306" s="8" t="s">
        <v>22</v>
      </c>
      <c r="K10306" s="8" t="s">
        <v>449</v>
      </c>
      <c r="L10306" s="8" t="s">
        <v>13194</v>
      </c>
      <c r="M10306" s="8" t="s">
        <v>13195</v>
      </c>
      <c r="N10306" s="8" t="s">
        <v>44167</v>
      </c>
      <c r="O10306" s="8">
        <f>9+23/60+31.5/3600</f>
        <v>9.392083333333332</v>
      </c>
      <c r="P10306" s="8" t="s">
        <v>44168</v>
      </c>
      <c r="Q10306" s="8">
        <f>+(24+26/60+46/3600)</f>
        <v>24.446111111111112</v>
      </c>
      <c r="R10306" s="8">
        <v>14.5</v>
      </c>
      <c r="S10306" s="8">
        <v>15.3</v>
      </c>
      <c r="T10306" s="8">
        <v>0.8</v>
      </c>
      <c r="U10306" s="8">
        <v>13.5</v>
      </c>
      <c r="V10306" s="8">
        <v>0.9</v>
      </c>
      <c r="W10306" s="8">
        <v>0.5</v>
      </c>
      <c r="X10306" s="8">
        <v>80</v>
      </c>
      <c r="Y10306" s="8" t="s">
        <v>33652</v>
      </c>
      <c r="Z10306" s="8" t="s">
        <v>33653</v>
      </c>
    </row>
    <row r="10307" spans="1:26" x14ac:dyDescent="0.2">
      <c r="A10307" s="8">
        <v>10306</v>
      </c>
      <c r="B10307" s="8" t="s">
        <v>44169</v>
      </c>
      <c r="C10307" s="8" t="s">
        <v>44169</v>
      </c>
      <c r="G10307" s="8">
        <v>20</v>
      </c>
      <c r="H10307" s="8" t="s">
        <v>21</v>
      </c>
      <c r="I10307" s="8" t="s">
        <v>22</v>
      </c>
      <c r="J10307" s="8" t="s">
        <v>22</v>
      </c>
      <c r="K10307" s="8" t="s">
        <v>449</v>
      </c>
      <c r="L10307" s="8" t="s">
        <v>13194</v>
      </c>
      <c r="M10307" s="8" t="s">
        <v>13195</v>
      </c>
      <c r="N10307" s="8" t="s">
        <v>44170</v>
      </c>
      <c r="O10307" s="8">
        <f>9+23/60+44.8/3600</f>
        <v>9.3957777777777771</v>
      </c>
      <c r="P10307" s="8" t="s">
        <v>44171</v>
      </c>
      <c r="Q10307" s="8">
        <f>+(24+31/60+5/3600)</f>
        <v>24.518055555555556</v>
      </c>
      <c r="R10307" s="8">
        <v>14.5</v>
      </c>
      <c r="S10307" s="8">
        <v>15.3</v>
      </c>
      <c r="T10307" s="8">
        <v>0.8</v>
      </c>
      <c r="U10307" s="8">
        <v>13.8</v>
      </c>
      <c r="V10307" s="8">
        <v>0.9</v>
      </c>
      <c r="W10307" s="8">
        <v>0.7</v>
      </c>
      <c r="Y10307" s="8" t="s">
        <v>21</v>
      </c>
      <c r="Z10307" s="8" t="s">
        <v>44172</v>
      </c>
    </row>
    <row r="10308" spans="1:26" x14ac:dyDescent="0.2">
      <c r="A10308" s="8">
        <v>10307</v>
      </c>
      <c r="B10308" s="8" t="s">
        <v>44173</v>
      </c>
      <c r="C10308" s="8" t="s">
        <v>44173</v>
      </c>
      <c r="G10308" s="8">
        <v>20</v>
      </c>
      <c r="H10308" s="8" t="s">
        <v>21</v>
      </c>
      <c r="I10308" s="8" t="s">
        <v>22</v>
      </c>
      <c r="J10308" s="8" t="s">
        <v>22</v>
      </c>
      <c r="K10308" s="8" t="s">
        <v>449</v>
      </c>
      <c r="L10308" s="8" t="s">
        <v>13179</v>
      </c>
      <c r="M10308" s="8" t="s">
        <v>13180</v>
      </c>
      <c r="N10308" s="8" t="s">
        <v>44174</v>
      </c>
      <c r="O10308" s="8">
        <f>9+24/60+52.7/3600</f>
        <v>9.4146388888888897</v>
      </c>
      <c r="P10308" s="8" t="s">
        <v>44175</v>
      </c>
      <c r="Q10308" s="8">
        <f>+(38+21/60+6/3600)</f>
        <v>38.351666666666667</v>
      </c>
      <c r="R10308" s="8">
        <v>14</v>
      </c>
      <c r="S10308" s="8">
        <v>14.8</v>
      </c>
      <c r="T10308" s="8">
        <v>0.8</v>
      </c>
      <c r="U10308" s="8">
        <v>13.1</v>
      </c>
      <c r="V10308" s="8">
        <v>0.7</v>
      </c>
      <c r="W10308" s="8">
        <v>0.7</v>
      </c>
      <c r="Y10308" s="8" t="s">
        <v>41854</v>
      </c>
      <c r="Z10308" s="8" t="s">
        <v>41855</v>
      </c>
    </row>
    <row r="10309" spans="1:26" x14ac:dyDescent="0.2">
      <c r="A10309" s="8">
        <v>10308</v>
      </c>
      <c r="B10309" s="8" t="s">
        <v>44176</v>
      </c>
      <c r="C10309" s="8" t="s">
        <v>44176</v>
      </c>
      <c r="G10309" s="8">
        <v>20</v>
      </c>
      <c r="H10309" s="8" t="s">
        <v>21</v>
      </c>
      <c r="I10309" s="8" t="s">
        <v>22</v>
      </c>
      <c r="J10309" s="8" t="s">
        <v>22</v>
      </c>
      <c r="K10309" s="8" t="s">
        <v>449</v>
      </c>
      <c r="L10309" s="8" t="s">
        <v>13179</v>
      </c>
      <c r="M10309" s="8" t="s">
        <v>13180</v>
      </c>
      <c r="N10309" s="8" t="s">
        <v>44177</v>
      </c>
      <c r="O10309" s="8">
        <f>9+24/60+52.6/3600</f>
        <v>9.4146111111111122</v>
      </c>
      <c r="P10309" s="8" t="s">
        <v>44178</v>
      </c>
      <c r="Q10309" s="8">
        <f>+(38+21/60+8/3600)</f>
        <v>38.352222222222224</v>
      </c>
      <c r="R10309" s="8">
        <v>15.1</v>
      </c>
      <c r="S10309" s="8">
        <v>15.9</v>
      </c>
      <c r="T10309" s="8">
        <v>0.8</v>
      </c>
      <c r="U10309" s="8">
        <v>13</v>
      </c>
      <c r="V10309" s="8">
        <v>0.4</v>
      </c>
      <c r="W10309" s="8">
        <v>0.4</v>
      </c>
      <c r="Y10309" s="8" t="s">
        <v>44179</v>
      </c>
      <c r="Z10309" s="8" t="s">
        <v>44180</v>
      </c>
    </row>
    <row r="10310" spans="1:26" x14ac:dyDescent="0.2">
      <c r="A10310" s="8">
        <v>10309</v>
      </c>
      <c r="B10310" s="8" t="s">
        <v>44181</v>
      </c>
      <c r="C10310" s="8" t="s">
        <v>44181</v>
      </c>
      <c r="G10310" s="8">
        <v>20</v>
      </c>
      <c r="H10310" s="8" t="s">
        <v>21</v>
      </c>
      <c r="I10310" s="8" t="s">
        <v>22</v>
      </c>
      <c r="J10310" s="8" t="s">
        <v>22</v>
      </c>
      <c r="K10310" s="8" t="s">
        <v>406</v>
      </c>
      <c r="L10310" s="8" t="s">
        <v>12074</v>
      </c>
      <c r="M10310" s="8" t="s">
        <v>12075</v>
      </c>
      <c r="N10310" s="8" t="s">
        <v>44182</v>
      </c>
      <c r="O10310" s="8">
        <f>9+23/60+1.4/3600</f>
        <v>9.3837222222222216</v>
      </c>
      <c r="P10310" s="8" t="s">
        <v>44183</v>
      </c>
      <c r="Q10310" s="8">
        <f>-(32+26/60+59/3600)</f>
        <v>-32.449722222222221</v>
      </c>
      <c r="R10310" s="8">
        <v>11.1</v>
      </c>
      <c r="S10310" s="8">
        <v>12</v>
      </c>
      <c r="T10310" s="8">
        <v>0.9</v>
      </c>
      <c r="U10310" s="8">
        <v>12.6</v>
      </c>
      <c r="V10310" s="8">
        <v>4.7</v>
      </c>
      <c r="W10310" s="8">
        <v>1</v>
      </c>
      <c r="X10310" s="8">
        <v>36</v>
      </c>
      <c r="Y10310" s="8" t="s">
        <v>21</v>
      </c>
      <c r="Z10310" s="8" t="s">
        <v>44184</v>
      </c>
    </row>
    <row r="10311" spans="1:26" x14ac:dyDescent="0.2">
      <c r="A10311" s="8">
        <v>10310</v>
      </c>
      <c r="B10311" s="8" t="s">
        <v>44185</v>
      </c>
      <c r="C10311" s="8" t="s">
        <v>44185</v>
      </c>
      <c r="G10311" s="8">
        <v>20</v>
      </c>
      <c r="H10311" s="8" t="s">
        <v>21</v>
      </c>
      <c r="I10311" s="8" t="s">
        <v>22</v>
      </c>
      <c r="J10311" s="8" t="s">
        <v>22</v>
      </c>
      <c r="K10311" s="8" t="s">
        <v>449</v>
      </c>
      <c r="L10311" s="8" t="s">
        <v>13194</v>
      </c>
      <c r="M10311" s="8" t="s">
        <v>13195</v>
      </c>
      <c r="N10311" s="8" t="s">
        <v>44186</v>
      </c>
      <c r="O10311" s="8">
        <f>9+25/60+41.2/3600</f>
        <v>9.4281111111111109</v>
      </c>
      <c r="P10311" s="8" t="s">
        <v>44187</v>
      </c>
      <c r="Q10311" s="8">
        <f>+(23+21/60+41/3600)</f>
        <v>23.361388888888889</v>
      </c>
      <c r="R10311" s="8">
        <v>14.7</v>
      </c>
      <c r="S10311" s="8">
        <v>15.5</v>
      </c>
      <c r="T10311" s="8">
        <v>0.8</v>
      </c>
      <c r="U10311" s="8">
        <v>13.8</v>
      </c>
      <c r="V10311" s="8">
        <v>0.7</v>
      </c>
      <c r="W10311" s="8">
        <v>0.7</v>
      </c>
      <c r="Y10311" s="8" t="s">
        <v>44188</v>
      </c>
      <c r="Z10311" s="8" t="s">
        <v>44189</v>
      </c>
    </row>
    <row r="10312" spans="1:26" x14ac:dyDescent="0.2">
      <c r="A10312" s="8">
        <v>10311</v>
      </c>
      <c r="B10312" s="8" t="s">
        <v>44190</v>
      </c>
      <c r="C10312" s="8" t="s">
        <v>44190</v>
      </c>
      <c r="G10312" s="8">
        <v>20</v>
      </c>
      <c r="H10312" s="8" t="s">
        <v>21</v>
      </c>
      <c r="I10312" s="8" t="s">
        <v>22</v>
      </c>
      <c r="J10312" s="8" t="s">
        <v>22</v>
      </c>
      <c r="K10312" s="8" t="s">
        <v>37</v>
      </c>
      <c r="L10312" s="8" t="s">
        <v>11765</v>
      </c>
      <c r="M10312" s="8" t="s">
        <v>11766</v>
      </c>
      <c r="N10312" s="8" t="s">
        <v>44191</v>
      </c>
      <c r="O10312" s="8">
        <f>9+25/60+12.2/3600</f>
        <v>9.420055555555555</v>
      </c>
      <c r="P10312" s="8" t="s">
        <v>44192</v>
      </c>
      <c r="Q10312" s="8">
        <f>-(6+49/60+48/3600)</f>
        <v>-6.83</v>
      </c>
      <c r="R10312" s="8">
        <v>13.7</v>
      </c>
      <c r="S10312" s="8">
        <v>14.7</v>
      </c>
      <c r="T10312" s="8">
        <v>1</v>
      </c>
      <c r="U10312" s="8">
        <v>13.3</v>
      </c>
      <c r="V10312" s="8">
        <v>1.1000000000000001</v>
      </c>
      <c r="W10312" s="8">
        <v>0.7</v>
      </c>
      <c r="X10312" s="8">
        <v>141</v>
      </c>
      <c r="Y10312" s="8" t="s">
        <v>21</v>
      </c>
      <c r="Z10312" s="8" t="s">
        <v>44193</v>
      </c>
    </row>
    <row r="10313" spans="1:26" x14ac:dyDescent="0.2">
      <c r="A10313" s="8">
        <v>10312</v>
      </c>
      <c r="B10313" s="8" t="s">
        <v>44194</v>
      </c>
      <c r="C10313" s="8" t="s">
        <v>44194</v>
      </c>
      <c r="G10313" s="8">
        <v>20</v>
      </c>
      <c r="H10313" s="8" t="s">
        <v>21</v>
      </c>
      <c r="I10313" s="8" t="s">
        <v>22</v>
      </c>
      <c r="J10313" s="8" t="s">
        <v>22</v>
      </c>
      <c r="K10313" s="8" t="s">
        <v>449</v>
      </c>
      <c r="L10313" s="8" t="s">
        <v>13194</v>
      </c>
      <c r="M10313" s="8" t="s">
        <v>13195</v>
      </c>
      <c r="N10313" s="8" t="s">
        <v>44195</v>
      </c>
      <c r="O10313" s="8">
        <f>9+26/60+33.5/3600</f>
        <v>9.4426388888888884</v>
      </c>
      <c r="P10313" s="8" t="s">
        <v>44196</v>
      </c>
      <c r="Q10313" s="8">
        <f>+(21+23/60+6/3600)</f>
        <v>21.384999999999998</v>
      </c>
      <c r="R10313" s="8">
        <v>14.7</v>
      </c>
      <c r="S10313" s="8">
        <v>15.5</v>
      </c>
      <c r="T10313" s="8">
        <v>0.8</v>
      </c>
      <c r="U10313" s="8">
        <v>12.5</v>
      </c>
      <c r="V10313" s="8">
        <v>0.5</v>
      </c>
      <c r="W10313" s="8">
        <v>0.3</v>
      </c>
      <c r="X10313" s="8">
        <v>5</v>
      </c>
      <c r="Y10313" s="8" t="s">
        <v>36797</v>
      </c>
      <c r="Z10313" s="8" t="s">
        <v>36798</v>
      </c>
    </row>
    <row r="10314" spans="1:26" x14ac:dyDescent="0.2">
      <c r="A10314" s="8">
        <v>10313</v>
      </c>
      <c r="B10314" s="8" t="s">
        <v>44197</v>
      </c>
      <c r="C10314" s="8" t="s">
        <v>44197</v>
      </c>
      <c r="G10314" s="8">
        <v>20</v>
      </c>
      <c r="H10314" s="8" t="s">
        <v>21</v>
      </c>
      <c r="I10314" s="8" t="s">
        <v>22</v>
      </c>
      <c r="J10314" s="8" t="s">
        <v>22</v>
      </c>
      <c r="K10314" s="8" t="s">
        <v>85</v>
      </c>
      <c r="L10314" s="8" t="s">
        <v>13194</v>
      </c>
      <c r="M10314" s="8" t="s">
        <v>13195</v>
      </c>
      <c r="N10314" s="8" t="s">
        <v>44198</v>
      </c>
      <c r="O10314" s="8">
        <f>9+27/60+23.4/3600</f>
        <v>9.4565000000000001</v>
      </c>
      <c r="P10314" s="8" t="s">
        <v>44199</v>
      </c>
      <c r="Q10314" s="8">
        <f>+(30+26/60+29/3600)</f>
        <v>30.441388888888888</v>
      </c>
      <c r="R10314" s="8">
        <v>13</v>
      </c>
      <c r="S10314" s="8">
        <v>13.8</v>
      </c>
      <c r="T10314" s="8">
        <v>0.8</v>
      </c>
      <c r="U10314" s="8">
        <v>13.6</v>
      </c>
      <c r="V10314" s="8">
        <v>1.6</v>
      </c>
      <c r="W10314" s="8">
        <v>1.3</v>
      </c>
      <c r="X10314" s="8">
        <v>18</v>
      </c>
      <c r="Y10314" s="8" t="s">
        <v>5172</v>
      </c>
      <c r="Z10314" s="8" t="s">
        <v>5173</v>
      </c>
    </row>
    <row r="10315" spans="1:26" x14ac:dyDescent="0.2">
      <c r="A10315" s="8">
        <v>10314</v>
      </c>
      <c r="B10315" s="8" t="s">
        <v>44200</v>
      </c>
      <c r="C10315" s="8" t="s">
        <v>44200</v>
      </c>
      <c r="G10315" s="8">
        <v>20</v>
      </c>
      <c r="H10315" s="8" t="s">
        <v>21</v>
      </c>
      <c r="I10315" s="8" t="s">
        <v>22</v>
      </c>
      <c r="J10315" s="8" t="s">
        <v>22</v>
      </c>
      <c r="K10315" s="8" t="s">
        <v>396</v>
      </c>
      <c r="L10315" s="8" t="s">
        <v>13194</v>
      </c>
      <c r="M10315" s="8" t="s">
        <v>13195</v>
      </c>
      <c r="N10315" s="8" t="s">
        <v>44201</v>
      </c>
      <c r="O10315" s="8">
        <f>9+27/60+11.2/3600</f>
        <v>9.4531111111111112</v>
      </c>
      <c r="P10315" s="8" t="s">
        <v>44202</v>
      </c>
      <c r="Q10315" s="8">
        <f>+(23+2/60+3/3600)</f>
        <v>23.034166666666668</v>
      </c>
      <c r="R10315" s="8">
        <v>14.7</v>
      </c>
      <c r="S10315" s="8">
        <v>15.5</v>
      </c>
      <c r="T10315" s="8">
        <v>0.8</v>
      </c>
      <c r="U10315" s="8">
        <v>12.1</v>
      </c>
      <c r="V10315" s="8">
        <v>0.5</v>
      </c>
      <c r="W10315" s="8">
        <v>0.2</v>
      </c>
      <c r="X10315" s="8">
        <v>95</v>
      </c>
      <c r="Y10315" s="8" t="s">
        <v>21</v>
      </c>
      <c r="Z10315" s="8" t="s">
        <v>44203</v>
      </c>
    </row>
    <row r="10316" spans="1:26" x14ac:dyDescent="0.2">
      <c r="A10316" s="8">
        <v>10315</v>
      </c>
      <c r="B10316" s="8" t="s">
        <v>44204</v>
      </c>
      <c r="C10316" s="8" t="s">
        <v>44204</v>
      </c>
      <c r="G10316" s="8">
        <v>20</v>
      </c>
      <c r="H10316" s="8" t="s">
        <v>21</v>
      </c>
      <c r="I10316" s="8" t="s">
        <v>22</v>
      </c>
      <c r="J10316" s="8" t="s">
        <v>22</v>
      </c>
      <c r="K10316" s="8" t="s">
        <v>23</v>
      </c>
      <c r="L10316" s="8" t="s">
        <v>13194</v>
      </c>
      <c r="M10316" s="8" t="s">
        <v>13195</v>
      </c>
      <c r="N10316" s="8" t="s">
        <v>44205</v>
      </c>
      <c r="O10316" s="8">
        <f>9+27/60+54.3/3600</f>
        <v>9.4650833333333324</v>
      </c>
      <c r="P10316" s="8" t="s">
        <v>44206</v>
      </c>
      <c r="Q10316" s="8">
        <f>+(29+47/60+32/3600)</f>
        <v>29.792222222222225</v>
      </c>
      <c r="R10316" s="8">
        <v>15.2</v>
      </c>
      <c r="S10316" s="8">
        <v>16</v>
      </c>
      <c r="T10316" s="8">
        <v>0.8</v>
      </c>
      <c r="U10316" s="8">
        <v>13.2</v>
      </c>
      <c r="V10316" s="8">
        <v>0.9</v>
      </c>
      <c r="W10316" s="8">
        <v>0.2</v>
      </c>
      <c r="X10316" s="8">
        <v>105</v>
      </c>
      <c r="Y10316" s="8" t="s">
        <v>1212</v>
      </c>
      <c r="Z10316" s="8" t="s">
        <v>1213</v>
      </c>
    </row>
    <row r="10317" spans="1:26" x14ac:dyDescent="0.2">
      <c r="A10317" s="8">
        <v>10316</v>
      </c>
      <c r="B10317" s="8" t="s">
        <v>44207</v>
      </c>
      <c r="C10317" s="8" t="s">
        <v>44207</v>
      </c>
      <c r="G10317" s="8">
        <v>20</v>
      </c>
      <c r="H10317" s="8" t="s">
        <v>21</v>
      </c>
      <c r="I10317" s="8" t="s">
        <v>22</v>
      </c>
      <c r="J10317" s="8" t="s">
        <v>22</v>
      </c>
      <c r="K10317" s="8" t="s">
        <v>58</v>
      </c>
      <c r="L10317" s="8" t="s">
        <v>13194</v>
      </c>
      <c r="M10317" s="8" t="s">
        <v>13195</v>
      </c>
      <c r="N10317" s="8" t="s">
        <v>44208</v>
      </c>
      <c r="O10317" s="8">
        <f>9+27/60+52.8/3600</f>
        <v>9.4646666666666661</v>
      </c>
      <c r="P10317" s="8" t="s">
        <v>44209</v>
      </c>
      <c r="Q10317" s="8">
        <f>+(29+59/60+9/3600)</f>
        <v>29.985833333333336</v>
      </c>
      <c r="R10317" s="8">
        <v>12.9</v>
      </c>
      <c r="S10317" s="8">
        <v>13.9</v>
      </c>
      <c r="T10317" s="8">
        <v>1</v>
      </c>
      <c r="U10317" s="8">
        <v>12.8</v>
      </c>
      <c r="V10317" s="8">
        <v>1.2</v>
      </c>
      <c r="W10317" s="8">
        <v>0.9</v>
      </c>
      <c r="X10317" s="8">
        <v>21</v>
      </c>
      <c r="Y10317" s="8" t="s">
        <v>2641</v>
      </c>
      <c r="Z10317" s="8" t="s">
        <v>2642</v>
      </c>
    </row>
    <row r="10318" spans="1:26" x14ac:dyDescent="0.2">
      <c r="A10318" s="8">
        <v>10317</v>
      </c>
      <c r="B10318" s="8" t="s">
        <v>44210</v>
      </c>
      <c r="C10318" s="8" t="s">
        <v>44210</v>
      </c>
      <c r="G10318" s="8">
        <v>20</v>
      </c>
      <c r="H10318" s="8" t="s">
        <v>21</v>
      </c>
      <c r="I10318" s="8" t="s">
        <v>329</v>
      </c>
      <c r="J10318" s="8" t="s">
        <v>329</v>
      </c>
      <c r="K10318" s="8" t="s">
        <v>329</v>
      </c>
      <c r="L10318" s="8" t="s">
        <v>13194</v>
      </c>
      <c r="M10318" s="8" t="s">
        <v>13195</v>
      </c>
      <c r="N10318" s="8" t="s">
        <v>44211</v>
      </c>
      <c r="O10318" s="8">
        <f>9+27/60+59.5/3600</f>
        <v>9.4665277777777774</v>
      </c>
      <c r="P10318" s="8" t="s">
        <v>44212</v>
      </c>
      <c r="Q10318" s="8">
        <f>+(29+42/60+20/3600)</f>
        <v>29.705555555555556</v>
      </c>
      <c r="R10318" s="8">
        <v>99</v>
      </c>
      <c r="S10318" s="8">
        <v>99</v>
      </c>
      <c r="T10318" s="8">
        <v>99</v>
      </c>
      <c r="U10318" s="8">
        <v>99</v>
      </c>
      <c r="Y10318" s="8" t="s">
        <v>39828</v>
      </c>
      <c r="Z10318" s="8" t="s">
        <v>39846</v>
      </c>
    </row>
    <row r="10319" spans="1:26" x14ac:dyDescent="0.2">
      <c r="A10319" s="8">
        <v>10318</v>
      </c>
      <c r="B10319" s="8" t="s">
        <v>44213</v>
      </c>
      <c r="C10319" s="8" t="s">
        <v>44213</v>
      </c>
      <c r="G10319" s="8">
        <v>20</v>
      </c>
      <c r="H10319" s="8" t="s">
        <v>21</v>
      </c>
      <c r="I10319" s="8" t="s">
        <v>22</v>
      </c>
      <c r="J10319" s="8" t="s">
        <v>22</v>
      </c>
      <c r="K10319" s="8" t="s">
        <v>424</v>
      </c>
      <c r="L10319" s="8" t="s">
        <v>13194</v>
      </c>
      <c r="M10319" s="8" t="s">
        <v>13195</v>
      </c>
      <c r="N10319" s="8" t="s">
        <v>44214</v>
      </c>
      <c r="O10319" s="8">
        <f>9+28/60+0.9/3600</f>
        <v>9.4669166666666662</v>
      </c>
      <c r="P10319" s="8" t="s">
        <v>44215</v>
      </c>
      <c r="Q10319" s="8">
        <f>+(30+2/60+15/3600)</f>
        <v>30.037500000000001</v>
      </c>
      <c r="R10319" s="8">
        <v>14.7</v>
      </c>
      <c r="S10319" s="8">
        <v>15.7</v>
      </c>
      <c r="T10319" s="8">
        <v>1</v>
      </c>
      <c r="U10319" s="8">
        <v>13.8</v>
      </c>
      <c r="V10319" s="8">
        <v>0.7</v>
      </c>
      <c r="W10319" s="8">
        <v>0.7</v>
      </c>
      <c r="Y10319" s="8" t="s">
        <v>43668</v>
      </c>
      <c r="Z10319" s="8" t="s">
        <v>43669</v>
      </c>
    </row>
    <row r="10320" spans="1:26" x14ac:dyDescent="0.2">
      <c r="A10320" s="8">
        <v>10319</v>
      </c>
      <c r="B10320" s="8" t="s">
        <v>44216</v>
      </c>
      <c r="C10320" s="8" t="s">
        <v>44216</v>
      </c>
      <c r="G10320" s="8">
        <v>20</v>
      </c>
      <c r="H10320" s="8" t="s">
        <v>21</v>
      </c>
      <c r="I10320" s="8" t="s">
        <v>22</v>
      </c>
      <c r="J10320" s="8" t="s">
        <v>22</v>
      </c>
      <c r="K10320" s="8" t="s">
        <v>218</v>
      </c>
      <c r="L10320" s="8" t="s">
        <v>13194</v>
      </c>
      <c r="M10320" s="8" t="s">
        <v>13195</v>
      </c>
      <c r="N10320" s="8" t="s">
        <v>44217</v>
      </c>
      <c r="O10320" s="8">
        <f>9+28/60+4.2/3600</f>
        <v>9.4678333333333331</v>
      </c>
      <c r="P10320" s="8" t="s">
        <v>44218</v>
      </c>
      <c r="Q10320" s="8">
        <f>+(29+59/60+28/3600)</f>
        <v>29.991111111111113</v>
      </c>
      <c r="R10320" s="8">
        <v>14.8</v>
      </c>
      <c r="S10320" s="8">
        <v>15.6</v>
      </c>
      <c r="T10320" s="8">
        <v>0.8</v>
      </c>
      <c r="U10320" s="8">
        <v>11.9</v>
      </c>
      <c r="V10320" s="8">
        <v>0.4</v>
      </c>
      <c r="W10320" s="8">
        <v>0.2</v>
      </c>
      <c r="X10320" s="8">
        <v>160</v>
      </c>
      <c r="Y10320" s="8" t="s">
        <v>25183</v>
      </c>
      <c r="Z10320" s="8" t="s">
        <v>25184</v>
      </c>
    </row>
    <row r="10321" spans="1:26" x14ac:dyDescent="0.2">
      <c r="A10321" s="8">
        <v>10320</v>
      </c>
      <c r="B10321" s="8" t="s">
        <v>44219</v>
      </c>
      <c r="C10321" s="8" t="s">
        <v>44219</v>
      </c>
      <c r="G10321" s="8">
        <v>20</v>
      </c>
      <c r="H10321" s="8" t="s">
        <v>21</v>
      </c>
      <c r="I10321" s="8" t="s">
        <v>22</v>
      </c>
      <c r="J10321" s="8" t="s">
        <v>22</v>
      </c>
      <c r="K10321" s="8" t="s">
        <v>44220</v>
      </c>
      <c r="L10321" s="8" t="s">
        <v>13194</v>
      </c>
      <c r="M10321" s="8" t="s">
        <v>13195</v>
      </c>
      <c r="N10321" s="8" t="s">
        <v>44221</v>
      </c>
      <c r="O10321" s="8">
        <f>9+28/60+17.8/3600</f>
        <v>9.4716111111111108</v>
      </c>
      <c r="P10321" s="8" t="s">
        <v>44222</v>
      </c>
      <c r="Q10321" s="8">
        <f>+(29+42/60+23/3600)</f>
        <v>29.706388888888888</v>
      </c>
      <c r="R10321" s="8">
        <v>14.5</v>
      </c>
      <c r="S10321" s="8">
        <v>15.4</v>
      </c>
      <c r="T10321" s="8">
        <v>0.9</v>
      </c>
      <c r="U10321" s="8">
        <v>13.4</v>
      </c>
      <c r="V10321" s="8">
        <v>0.8</v>
      </c>
      <c r="W10321" s="8">
        <v>0.5</v>
      </c>
      <c r="X10321" s="8">
        <v>170</v>
      </c>
      <c r="Y10321" s="8" t="s">
        <v>44223</v>
      </c>
      <c r="Z10321" s="8" t="s">
        <v>44224</v>
      </c>
    </row>
    <row r="10322" spans="1:26" x14ac:dyDescent="0.2">
      <c r="A10322" s="8">
        <v>10321</v>
      </c>
      <c r="B10322" s="8" t="s">
        <v>44225</v>
      </c>
      <c r="C10322" s="8" t="s">
        <v>44225</v>
      </c>
      <c r="G10322" s="8">
        <v>20</v>
      </c>
      <c r="H10322" s="8" t="s">
        <v>21</v>
      </c>
      <c r="I10322" s="8" t="s">
        <v>22</v>
      </c>
      <c r="J10322" s="8" t="s">
        <v>22</v>
      </c>
      <c r="K10322" s="8" t="s">
        <v>31</v>
      </c>
      <c r="L10322" s="8" t="s">
        <v>11765</v>
      </c>
      <c r="M10322" s="8" t="s">
        <v>11766</v>
      </c>
      <c r="N10322" s="8" t="s">
        <v>44226</v>
      </c>
      <c r="O10322" s="8">
        <f>9+27/60+28.8/3600</f>
        <v>9.4579999999999984</v>
      </c>
      <c r="P10322" s="8" t="s">
        <v>44227</v>
      </c>
      <c r="Q10322" s="8">
        <f>+(3+55/60+45/3600)</f>
        <v>3.9291666666666667</v>
      </c>
      <c r="R10322" s="8">
        <v>13.6</v>
      </c>
      <c r="S10322" s="8">
        <v>14.4</v>
      </c>
      <c r="T10322" s="8">
        <v>0.8</v>
      </c>
      <c r="U10322" s="8">
        <v>12.8</v>
      </c>
      <c r="V10322" s="8">
        <v>0.9</v>
      </c>
      <c r="W10322" s="8">
        <v>0.6</v>
      </c>
      <c r="X10322" s="8">
        <v>160</v>
      </c>
      <c r="Y10322" s="8" t="s">
        <v>44228</v>
      </c>
      <c r="Z10322" s="8" t="s">
        <v>44229</v>
      </c>
    </row>
    <row r="10323" spans="1:26" x14ac:dyDescent="0.2">
      <c r="A10323" s="8">
        <v>10322</v>
      </c>
      <c r="B10323" s="8" t="s">
        <v>44230</v>
      </c>
      <c r="C10323" s="8" t="s">
        <v>44230</v>
      </c>
      <c r="G10323" s="8">
        <v>20</v>
      </c>
      <c r="H10323" s="8" t="s">
        <v>21</v>
      </c>
      <c r="I10323" s="8" t="s">
        <v>22</v>
      </c>
      <c r="J10323" s="8" t="s">
        <v>22</v>
      </c>
      <c r="K10323" s="8" t="s">
        <v>382</v>
      </c>
      <c r="L10323" s="8" t="s">
        <v>11765</v>
      </c>
      <c r="M10323" s="8" t="s">
        <v>11766</v>
      </c>
      <c r="N10323" s="8" t="s">
        <v>44231</v>
      </c>
      <c r="O10323" s="8">
        <f>9+26/60+59.2/3600</f>
        <v>9.4497777777777774</v>
      </c>
      <c r="P10323" s="8" t="s">
        <v>44232</v>
      </c>
      <c r="Q10323" s="8">
        <f>-(12+6/60+30/3600)</f>
        <v>-12.108333333333333</v>
      </c>
      <c r="R10323" s="8">
        <v>11.5</v>
      </c>
      <c r="S10323" s="8">
        <v>12.5</v>
      </c>
      <c r="T10323" s="8">
        <v>1</v>
      </c>
      <c r="U10323" s="8">
        <v>13</v>
      </c>
      <c r="V10323" s="8">
        <v>2.2999999999999998</v>
      </c>
      <c r="W10323" s="8">
        <v>1.6</v>
      </c>
      <c r="X10323" s="8">
        <v>145</v>
      </c>
      <c r="Y10323" s="8" t="s">
        <v>21</v>
      </c>
      <c r="Z10323" s="8" t="s">
        <v>44233</v>
      </c>
    </row>
    <row r="10324" spans="1:26" x14ac:dyDescent="0.2">
      <c r="A10324" s="8">
        <v>10323</v>
      </c>
      <c r="B10324" s="8" t="s">
        <v>44234</v>
      </c>
      <c r="C10324" s="8" t="s">
        <v>44234</v>
      </c>
      <c r="G10324" s="8">
        <v>20</v>
      </c>
      <c r="H10324" s="8" t="s">
        <v>21</v>
      </c>
      <c r="I10324" s="8" t="s">
        <v>22</v>
      </c>
      <c r="J10324" s="8" t="s">
        <v>22</v>
      </c>
      <c r="K10324" s="8" t="s">
        <v>449</v>
      </c>
      <c r="L10324" s="8" t="s">
        <v>13194</v>
      </c>
      <c r="M10324" s="8" t="s">
        <v>13195</v>
      </c>
      <c r="N10324" s="8" t="s">
        <v>44235</v>
      </c>
      <c r="O10324" s="8">
        <f>9+29/60+25.7/3600</f>
        <v>9.4904722222222215</v>
      </c>
      <c r="P10324" s="8" t="s">
        <v>44236</v>
      </c>
      <c r="Q10324" s="8">
        <f>+(30+59/60+40/3600)</f>
        <v>30.994444444444447</v>
      </c>
      <c r="R10324" s="8">
        <v>14.9</v>
      </c>
      <c r="S10324" s="8">
        <v>15.7</v>
      </c>
      <c r="T10324" s="8">
        <v>0.8</v>
      </c>
      <c r="U10324" s="8">
        <v>12.4</v>
      </c>
      <c r="V10324" s="8">
        <v>0.4</v>
      </c>
      <c r="W10324" s="8">
        <v>0.3</v>
      </c>
      <c r="X10324" s="8">
        <v>100</v>
      </c>
      <c r="Y10324" s="8" t="s">
        <v>972</v>
      </c>
      <c r="Z10324" s="8" t="s">
        <v>973</v>
      </c>
    </row>
    <row r="10325" spans="1:26" x14ac:dyDescent="0.2">
      <c r="A10325" s="8">
        <v>10324</v>
      </c>
      <c r="B10325" s="8" t="s">
        <v>44237</v>
      </c>
      <c r="C10325" s="8" t="s">
        <v>44237</v>
      </c>
      <c r="G10325" s="8">
        <v>20</v>
      </c>
      <c r="H10325" s="8" t="s">
        <v>21</v>
      </c>
      <c r="I10325" s="8" t="s">
        <v>329</v>
      </c>
      <c r="J10325" s="8" t="s">
        <v>329</v>
      </c>
      <c r="K10325" s="8" t="s">
        <v>329</v>
      </c>
      <c r="L10325" s="8" t="s">
        <v>11757</v>
      </c>
      <c r="M10325" s="8" t="s">
        <v>11758</v>
      </c>
      <c r="N10325" s="8" t="s">
        <v>44238</v>
      </c>
      <c r="O10325" s="8">
        <f>9+26/60+50.3/3600</f>
        <v>9.4473055555555554</v>
      </c>
      <c r="P10325" s="8" t="s">
        <v>44239</v>
      </c>
      <c r="Q10325" s="8">
        <f>-(42+50/60+33/3600)</f>
        <v>-42.842500000000001</v>
      </c>
      <c r="R10325" s="8">
        <v>99</v>
      </c>
      <c r="S10325" s="8">
        <v>99</v>
      </c>
      <c r="T10325" s="8">
        <v>99</v>
      </c>
      <c r="U10325" s="8">
        <v>99</v>
      </c>
      <c r="Y10325" s="8" t="s">
        <v>44240</v>
      </c>
      <c r="Z10325" s="8" t="s">
        <v>44241</v>
      </c>
    </row>
    <row r="10326" spans="1:26" x14ac:dyDescent="0.2">
      <c r="A10326" s="8">
        <v>10325</v>
      </c>
      <c r="B10326" s="8" t="s">
        <v>44242</v>
      </c>
      <c r="C10326" s="8" t="s">
        <v>44242</v>
      </c>
      <c r="G10326" s="8">
        <v>20</v>
      </c>
      <c r="H10326" s="8" t="s">
        <v>21</v>
      </c>
      <c r="I10326" s="8" t="s">
        <v>329</v>
      </c>
      <c r="J10326" s="8" t="s">
        <v>329</v>
      </c>
      <c r="K10326" s="8" t="s">
        <v>329</v>
      </c>
      <c r="L10326" s="8" t="s">
        <v>13374</v>
      </c>
      <c r="M10326" s="8" t="s">
        <v>13375</v>
      </c>
      <c r="N10326" s="8" t="s">
        <v>44243</v>
      </c>
      <c r="O10326" s="8">
        <f>9+27/60+11.8/3600</f>
        <v>9.4532777777777763</v>
      </c>
      <c r="P10326" s="8" t="s">
        <v>44244</v>
      </c>
      <c r="Q10326" s="8">
        <f>-(39+17/60+5/3600)</f>
        <v>-39.284722222222221</v>
      </c>
      <c r="R10326" s="8">
        <v>99</v>
      </c>
      <c r="S10326" s="8">
        <v>99</v>
      </c>
      <c r="T10326" s="8">
        <v>99</v>
      </c>
      <c r="U10326" s="8">
        <v>99</v>
      </c>
      <c r="Y10326" s="8" t="s">
        <v>21</v>
      </c>
      <c r="Z10326" s="8" t="s">
        <v>44245</v>
      </c>
    </row>
    <row r="10327" spans="1:26" x14ac:dyDescent="0.2">
      <c r="A10327" s="8">
        <v>10326</v>
      </c>
      <c r="B10327" s="8" t="s">
        <v>44246</v>
      </c>
      <c r="C10327" s="8" t="s">
        <v>44246</v>
      </c>
      <c r="G10327" s="8">
        <v>20</v>
      </c>
      <c r="H10327" s="8" t="s">
        <v>21</v>
      </c>
      <c r="I10327" s="8" t="s">
        <v>22</v>
      </c>
      <c r="J10327" s="8" t="s">
        <v>22</v>
      </c>
      <c r="K10327" s="8" t="s">
        <v>85</v>
      </c>
      <c r="L10327" s="8" t="s">
        <v>13194</v>
      </c>
      <c r="M10327" s="8" t="s">
        <v>13195</v>
      </c>
      <c r="N10327" s="8" t="s">
        <v>44247</v>
      </c>
      <c r="O10327" s="8">
        <f>9+30/60+17.4/3600</f>
        <v>9.5048333333333339</v>
      </c>
      <c r="P10327" s="8" t="s">
        <v>44248</v>
      </c>
      <c r="Q10327" s="8">
        <f>+(26+38/60+28/3600)</f>
        <v>26.641111111111112</v>
      </c>
      <c r="R10327" s="8">
        <v>14</v>
      </c>
      <c r="S10327" s="8">
        <v>14.8</v>
      </c>
      <c r="T10327" s="8">
        <v>0.8</v>
      </c>
      <c r="U10327" s="8">
        <v>13.5</v>
      </c>
      <c r="V10327" s="8">
        <v>0.9</v>
      </c>
      <c r="W10327" s="8">
        <v>0.8</v>
      </c>
      <c r="X10327" s="8">
        <v>129</v>
      </c>
      <c r="Y10327" s="8" t="s">
        <v>44249</v>
      </c>
      <c r="Z10327" s="8" t="s">
        <v>44250</v>
      </c>
    </row>
    <row r="10328" spans="1:26" x14ac:dyDescent="0.2">
      <c r="A10328" s="8">
        <v>10327</v>
      </c>
      <c r="B10328" s="8" t="s">
        <v>44251</v>
      </c>
      <c r="C10328" s="8" t="s">
        <v>44251</v>
      </c>
      <c r="G10328" s="8">
        <v>20</v>
      </c>
      <c r="H10328" s="8" t="s">
        <v>21</v>
      </c>
      <c r="I10328" s="8" t="s">
        <v>22</v>
      </c>
      <c r="J10328" s="8" t="s">
        <v>22</v>
      </c>
      <c r="K10328" s="8" t="s">
        <v>23</v>
      </c>
      <c r="L10328" s="8" t="s">
        <v>13194</v>
      </c>
      <c r="M10328" s="8" t="s">
        <v>13195</v>
      </c>
      <c r="N10328" s="8" t="s">
        <v>44252</v>
      </c>
      <c r="O10328" s="8">
        <f>9+30/60+9/3600</f>
        <v>9.5024999999999995</v>
      </c>
      <c r="P10328" s="8" t="s">
        <v>44253</v>
      </c>
      <c r="Q10328" s="8">
        <f>+(20+5/60+24/3600)</f>
        <v>20.09</v>
      </c>
      <c r="R10328" s="8">
        <v>13.4</v>
      </c>
      <c r="S10328" s="8">
        <v>14.2</v>
      </c>
      <c r="T10328" s="8">
        <v>0.8</v>
      </c>
      <c r="U10328" s="8">
        <v>12.8</v>
      </c>
      <c r="V10328" s="8">
        <v>1.7</v>
      </c>
      <c r="W10328" s="8">
        <v>0.4</v>
      </c>
      <c r="X10328" s="8">
        <v>164</v>
      </c>
      <c r="Y10328" s="8" t="s">
        <v>44254</v>
      </c>
      <c r="Z10328" s="8" t="s">
        <v>44255</v>
      </c>
    </row>
    <row r="10329" spans="1:26" x14ac:dyDescent="0.2">
      <c r="A10329" s="8">
        <v>10328</v>
      </c>
      <c r="B10329" s="8" t="s">
        <v>44256</v>
      </c>
      <c r="C10329" s="8" t="s">
        <v>44256</v>
      </c>
      <c r="G10329" s="8">
        <v>4</v>
      </c>
      <c r="H10329" s="8" t="s">
        <v>44257</v>
      </c>
      <c r="I10329" s="8" t="s">
        <v>557</v>
      </c>
      <c r="J10329" s="8" t="s">
        <v>557</v>
      </c>
      <c r="K10329" s="8" t="s">
        <v>2722</v>
      </c>
      <c r="L10329" s="8" t="s">
        <v>11757</v>
      </c>
      <c r="M10329" s="8" t="s">
        <v>11758</v>
      </c>
      <c r="N10329" s="8" t="s">
        <v>44258</v>
      </c>
      <c r="O10329" s="8">
        <f>9+27/60+27/3600</f>
        <v>9.4574999999999996</v>
      </c>
      <c r="P10329" s="8" t="s">
        <v>44259</v>
      </c>
      <c r="Q10329" s="8">
        <f>-(56+57/60+24/3600)</f>
        <v>-56.956666666666671</v>
      </c>
      <c r="R10329" s="8">
        <v>7.4</v>
      </c>
      <c r="S10329" s="8">
        <v>99</v>
      </c>
      <c r="T10329" s="8">
        <v>99</v>
      </c>
      <c r="U10329" s="8">
        <v>99</v>
      </c>
      <c r="V10329" s="8">
        <v>18</v>
      </c>
      <c r="Y10329" s="8" t="s">
        <v>44260</v>
      </c>
      <c r="Z10329" s="8" t="s">
        <v>43914</v>
      </c>
    </row>
    <row r="10330" spans="1:26" x14ac:dyDescent="0.2">
      <c r="A10330" s="8">
        <v>10329</v>
      </c>
      <c r="B10330" s="8" t="s">
        <v>44261</v>
      </c>
      <c r="C10330" s="8" t="s">
        <v>44261</v>
      </c>
      <c r="G10330" s="8">
        <v>20</v>
      </c>
      <c r="H10330" s="8" t="s">
        <v>21</v>
      </c>
      <c r="I10330" s="8" t="s">
        <v>329</v>
      </c>
      <c r="J10330" s="8" t="s">
        <v>329</v>
      </c>
      <c r="K10330" s="8" t="s">
        <v>329</v>
      </c>
      <c r="L10330" s="8" t="s">
        <v>11765</v>
      </c>
      <c r="M10330" s="8" t="s">
        <v>11766</v>
      </c>
      <c r="N10330" s="8" t="s">
        <v>44262</v>
      </c>
      <c r="O10330" s="8">
        <f>9+30/60+36.6/3600</f>
        <v>9.5101666666666667</v>
      </c>
      <c r="P10330" s="8" t="s">
        <v>44263</v>
      </c>
      <c r="Q10330" s="8">
        <f>-(5+53/60+13/3600)</f>
        <v>-5.8869444444444436</v>
      </c>
      <c r="R10330" s="8">
        <v>99</v>
      </c>
      <c r="S10330" s="8">
        <v>99</v>
      </c>
      <c r="T10330" s="8">
        <v>99</v>
      </c>
      <c r="U10330" s="8">
        <v>99</v>
      </c>
      <c r="Y10330" s="8" t="s">
        <v>24832</v>
      </c>
      <c r="Z10330" s="8" t="s">
        <v>15727</v>
      </c>
    </row>
    <row r="10331" spans="1:26" x14ac:dyDescent="0.2">
      <c r="A10331" s="8">
        <v>10330</v>
      </c>
      <c r="B10331" s="8" t="s">
        <v>44264</v>
      </c>
      <c r="C10331" s="8" t="s">
        <v>44264</v>
      </c>
      <c r="G10331" s="8">
        <v>20</v>
      </c>
      <c r="H10331" s="8" t="s">
        <v>21</v>
      </c>
      <c r="I10331" s="8" t="s">
        <v>22</v>
      </c>
      <c r="J10331" s="8" t="s">
        <v>22</v>
      </c>
      <c r="K10331" s="8" t="s">
        <v>396</v>
      </c>
      <c r="L10331" s="8" t="s">
        <v>13194</v>
      </c>
      <c r="M10331" s="8" t="s">
        <v>13195</v>
      </c>
      <c r="N10331" s="8" t="s">
        <v>44265</v>
      </c>
      <c r="O10331" s="8">
        <f>9+33/60+3.7/3600</f>
        <v>9.5510277777777777</v>
      </c>
      <c r="P10331" s="8" t="s">
        <v>44266</v>
      </c>
      <c r="Q10331" s="8">
        <f>+(29+55/60+43/3600)</f>
        <v>29.928611111111113</v>
      </c>
      <c r="R10331" s="8">
        <v>13.4</v>
      </c>
      <c r="S10331" s="8">
        <v>14.2</v>
      </c>
      <c r="T10331" s="8">
        <v>0.8</v>
      </c>
      <c r="U10331" s="8">
        <v>13.5</v>
      </c>
      <c r="V10331" s="8">
        <v>1.5</v>
      </c>
      <c r="W10331" s="8">
        <v>1</v>
      </c>
      <c r="X10331" s="8">
        <v>175</v>
      </c>
      <c r="Y10331" s="8" t="s">
        <v>34977</v>
      </c>
      <c r="Z10331" s="8" t="s">
        <v>34978</v>
      </c>
    </row>
    <row r="10332" spans="1:26" x14ac:dyDescent="0.2">
      <c r="A10332" s="8">
        <v>10331</v>
      </c>
      <c r="B10332" s="8" t="s">
        <v>44267</v>
      </c>
      <c r="C10332" s="8" t="s">
        <v>44267</v>
      </c>
      <c r="G10332" s="8">
        <v>20</v>
      </c>
      <c r="H10332" s="8" t="s">
        <v>21</v>
      </c>
      <c r="I10332" s="8" t="s">
        <v>22</v>
      </c>
      <c r="J10332" s="8" t="s">
        <v>22</v>
      </c>
      <c r="K10332" s="8" t="s">
        <v>37</v>
      </c>
      <c r="L10332" s="8" t="s">
        <v>13179</v>
      </c>
      <c r="M10332" s="8" t="s">
        <v>13180</v>
      </c>
      <c r="N10332" s="8" t="s">
        <v>44268</v>
      </c>
      <c r="O10332" s="8">
        <f>9+35/60+14.2/3600</f>
        <v>9.5872777777777785</v>
      </c>
      <c r="P10332" s="8" t="s">
        <v>44269</v>
      </c>
      <c r="Q10332" s="8">
        <f>+(34+43/60+56/3600)</f>
        <v>34.732222222222227</v>
      </c>
      <c r="R10332" s="8">
        <v>13.7</v>
      </c>
      <c r="S10332" s="8">
        <v>14.7</v>
      </c>
      <c r="T10332" s="8">
        <v>1</v>
      </c>
      <c r="U10332" s="8">
        <v>13.5</v>
      </c>
      <c r="V10332" s="8">
        <v>1.1000000000000001</v>
      </c>
      <c r="W10332" s="8">
        <v>0.8</v>
      </c>
      <c r="X10332" s="8">
        <v>75</v>
      </c>
      <c r="Y10332" s="8" t="s">
        <v>37070</v>
      </c>
      <c r="Z10332" s="8" t="s">
        <v>37071</v>
      </c>
    </row>
    <row r="10333" spans="1:26" x14ac:dyDescent="0.2">
      <c r="A10333" s="8">
        <v>10332</v>
      </c>
      <c r="B10333" s="8" t="s">
        <v>44270</v>
      </c>
      <c r="C10333" s="8" t="s">
        <v>44270</v>
      </c>
      <c r="G10333" s="8">
        <v>20</v>
      </c>
      <c r="H10333" s="8" t="s">
        <v>21</v>
      </c>
      <c r="I10333" s="8" t="s">
        <v>22</v>
      </c>
      <c r="J10333" s="8" t="s">
        <v>22</v>
      </c>
      <c r="K10333" s="8" t="s">
        <v>31</v>
      </c>
      <c r="L10333" s="8" t="s">
        <v>13374</v>
      </c>
      <c r="M10333" s="8" t="s">
        <v>13375</v>
      </c>
      <c r="N10333" s="8" t="s">
        <v>44271</v>
      </c>
      <c r="O10333" s="8">
        <f>9+33/60+14.8/3600</f>
        <v>9.5541111111111121</v>
      </c>
      <c r="P10333" s="8" t="s">
        <v>44272</v>
      </c>
      <c r="Q10333" s="8">
        <f>-(37+52/60+0/3600)</f>
        <v>-37.866666666666667</v>
      </c>
      <c r="R10333" s="8">
        <v>15</v>
      </c>
      <c r="S10333" s="8">
        <v>15.8</v>
      </c>
      <c r="T10333" s="8">
        <v>0.8</v>
      </c>
      <c r="U10333" s="8">
        <v>13.2</v>
      </c>
      <c r="V10333" s="8">
        <v>0.7</v>
      </c>
      <c r="W10333" s="8">
        <v>0.3</v>
      </c>
      <c r="X10333" s="8">
        <v>43</v>
      </c>
      <c r="Y10333" s="8" t="s">
        <v>21</v>
      </c>
      <c r="Z10333" s="8" t="s">
        <v>44273</v>
      </c>
    </row>
    <row r="10334" spans="1:26" x14ac:dyDescent="0.2">
      <c r="A10334" s="8">
        <v>10333</v>
      </c>
      <c r="B10334" s="8" t="s">
        <v>44274</v>
      </c>
      <c r="C10334" s="8" t="s">
        <v>44274</v>
      </c>
      <c r="G10334" s="8">
        <v>20</v>
      </c>
      <c r="H10334" s="8" t="s">
        <v>21</v>
      </c>
      <c r="I10334" s="8" t="s">
        <v>22</v>
      </c>
      <c r="J10334" s="8" t="s">
        <v>22</v>
      </c>
      <c r="K10334" s="8" t="s">
        <v>37</v>
      </c>
      <c r="L10334" s="8" t="s">
        <v>13179</v>
      </c>
      <c r="M10334" s="8" t="s">
        <v>13180</v>
      </c>
      <c r="N10334" s="8" t="s">
        <v>44275</v>
      </c>
      <c r="O10334" s="8">
        <f>9+36/60+17.5/3600</f>
        <v>9.6048611111111111</v>
      </c>
      <c r="P10334" s="8" t="s">
        <v>44276</v>
      </c>
      <c r="Q10334" s="8">
        <f>+(37+21/60+52/3600)</f>
        <v>37.364444444444445</v>
      </c>
      <c r="R10334" s="8">
        <v>13.9</v>
      </c>
      <c r="S10334" s="8">
        <v>14.9</v>
      </c>
      <c r="T10334" s="8">
        <v>1</v>
      </c>
      <c r="U10334" s="8">
        <v>11.7</v>
      </c>
      <c r="V10334" s="8">
        <v>0.5</v>
      </c>
      <c r="W10334" s="8">
        <v>0.3</v>
      </c>
      <c r="X10334" s="8">
        <v>0</v>
      </c>
      <c r="Y10334" s="8" t="s">
        <v>256</v>
      </c>
      <c r="Z10334" s="8" t="s">
        <v>257</v>
      </c>
    </row>
    <row r="10335" spans="1:26" x14ac:dyDescent="0.2">
      <c r="A10335" s="8">
        <v>10334</v>
      </c>
      <c r="B10335" s="8" t="s">
        <v>44277</v>
      </c>
      <c r="C10335" s="8" t="s">
        <v>44277</v>
      </c>
      <c r="G10335" s="8">
        <v>20</v>
      </c>
      <c r="H10335" s="8" t="s">
        <v>21</v>
      </c>
      <c r="I10335" s="8" t="s">
        <v>22</v>
      </c>
      <c r="J10335" s="8" t="s">
        <v>57</v>
      </c>
      <c r="K10335" s="8" t="s">
        <v>85</v>
      </c>
      <c r="L10335" s="8" t="s">
        <v>11765</v>
      </c>
      <c r="M10335" s="8" t="s">
        <v>11766</v>
      </c>
      <c r="N10335" s="8" t="s">
        <v>13573</v>
      </c>
      <c r="O10335" s="8">
        <f>9+36/60+5.8/3600</f>
        <v>9.6016111111111115</v>
      </c>
      <c r="P10335" s="8" t="s">
        <v>13574</v>
      </c>
      <c r="Q10335" s="8">
        <f>-(12+26/60+12/3600)</f>
        <v>-12.436666666666667</v>
      </c>
      <c r="R10335" s="8">
        <v>12.1</v>
      </c>
      <c r="S10335" s="8">
        <v>12.9</v>
      </c>
      <c r="T10335" s="8">
        <v>0.8</v>
      </c>
      <c r="U10335" s="8">
        <v>12.7</v>
      </c>
      <c r="V10335" s="8">
        <v>1.5</v>
      </c>
      <c r="W10335" s="8">
        <v>1.4</v>
      </c>
      <c r="X10335" s="8">
        <v>25</v>
      </c>
      <c r="Y10335" s="8" t="s">
        <v>21</v>
      </c>
      <c r="Z10335" s="8" t="s">
        <v>44278</v>
      </c>
    </row>
    <row r="10336" spans="1:26" x14ac:dyDescent="0.2">
      <c r="A10336" s="8">
        <v>10335</v>
      </c>
      <c r="B10336" s="8" t="s">
        <v>44279</v>
      </c>
      <c r="C10336" s="8" t="s">
        <v>44279</v>
      </c>
      <c r="G10336" s="8">
        <v>20</v>
      </c>
      <c r="H10336" s="8" t="s">
        <v>21</v>
      </c>
      <c r="I10336" s="8" t="s">
        <v>22</v>
      </c>
      <c r="J10336" s="8" t="s">
        <v>22</v>
      </c>
      <c r="K10336" s="8" t="s">
        <v>31</v>
      </c>
      <c r="L10336" s="8" t="s">
        <v>13194</v>
      </c>
      <c r="M10336" s="8" t="s">
        <v>13195</v>
      </c>
      <c r="N10336" s="8" t="s">
        <v>44280</v>
      </c>
      <c r="O10336" s="8">
        <f>9+38/60+7.4/3600</f>
        <v>9.6353888888888886</v>
      </c>
      <c r="P10336" s="8" t="s">
        <v>44281</v>
      </c>
      <c r="Q10336" s="8">
        <f>+(28+3/60+29/3600)</f>
        <v>28.058055555555555</v>
      </c>
      <c r="R10336" s="8">
        <v>14</v>
      </c>
      <c r="S10336" s="8">
        <v>14.8</v>
      </c>
      <c r="T10336" s="8">
        <v>0.8</v>
      </c>
      <c r="U10336" s="8">
        <v>13.2</v>
      </c>
      <c r="V10336" s="8">
        <v>0.8</v>
      </c>
      <c r="W10336" s="8">
        <v>0.7</v>
      </c>
      <c r="X10336" s="8">
        <v>15</v>
      </c>
      <c r="Y10336" s="8" t="s">
        <v>44282</v>
      </c>
      <c r="Z10336" s="8" t="s">
        <v>44283</v>
      </c>
    </row>
    <row r="10337" spans="1:26" x14ac:dyDescent="0.2">
      <c r="A10337" s="8">
        <v>10336</v>
      </c>
      <c r="B10337" s="8" t="s">
        <v>44284</v>
      </c>
      <c r="C10337" s="8" t="s">
        <v>44284</v>
      </c>
      <c r="G10337" s="8">
        <v>20</v>
      </c>
      <c r="H10337" s="8" t="s">
        <v>21</v>
      </c>
      <c r="I10337" s="8" t="s">
        <v>22</v>
      </c>
      <c r="J10337" s="8" t="s">
        <v>22</v>
      </c>
      <c r="K10337" s="8" t="s">
        <v>396</v>
      </c>
      <c r="L10337" s="8" t="s">
        <v>13179</v>
      </c>
      <c r="M10337" s="8" t="s">
        <v>13180</v>
      </c>
      <c r="N10337" s="8" t="s">
        <v>44285</v>
      </c>
      <c r="O10337" s="8">
        <f>9+38/60+44.5/3600</f>
        <v>9.6456944444444446</v>
      </c>
      <c r="P10337" s="8" t="s">
        <v>44286</v>
      </c>
      <c r="Q10337" s="8">
        <f>+(34+43/60+36/3600)</f>
        <v>34.726666666666667</v>
      </c>
      <c r="R10337" s="8">
        <v>14.7</v>
      </c>
      <c r="S10337" s="8">
        <v>15.5</v>
      </c>
      <c r="T10337" s="8">
        <v>0.8</v>
      </c>
      <c r="U10337" s="8">
        <v>12.2</v>
      </c>
      <c r="V10337" s="8">
        <v>0.4</v>
      </c>
      <c r="W10337" s="8">
        <v>0.3</v>
      </c>
      <c r="X10337" s="8">
        <v>25</v>
      </c>
      <c r="Y10337" s="8" t="s">
        <v>34876</v>
      </c>
      <c r="Z10337" s="8" t="s">
        <v>34877</v>
      </c>
    </row>
    <row r="10338" spans="1:26" x14ac:dyDescent="0.2">
      <c r="A10338" s="8">
        <v>10337</v>
      </c>
      <c r="B10338" s="8" t="s">
        <v>44287</v>
      </c>
      <c r="C10338" s="8" t="s">
        <v>44287</v>
      </c>
      <c r="G10338" s="8">
        <v>20</v>
      </c>
      <c r="H10338" s="8" t="s">
        <v>21</v>
      </c>
      <c r="I10338" s="8" t="s">
        <v>22</v>
      </c>
      <c r="J10338" s="8" t="s">
        <v>22</v>
      </c>
      <c r="K10338" s="8" t="s">
        <v>449</v>
      </c>
      <c r="L10338" s="8" t="s">
        <v>13179</v>
      </c>
      <c r="M10338" s="8" t="s">
        <v>13180</v>
      </c>
      <c r="N10338" s="8" t="s">
        <v>44288</v>
      </c>
      <c r="O10338" s="8">
        <f>9+41/60+4/3600</f>
        <v>9.6844444444444449</v>
      </c>
      <c r="P10338" s="8" t="s">
        <v>44289</v>
      </c>
      <c r="Q10338" s="8">
        <f>+(34+44/60+1/3600)</f>
        <v>34.733611111111109</v>
      </c>
      <c r="R10338" s="8">
        <v>15</v>
      </c>
      <c r="S10338" s="8">
        <v>15.8</v>
      </c>
      <c r="T10338" s="8">
        <v>0.8</v>
      </c>
      <c r="U10338" s="8">
        <v>13</v>
      </c>
      <c r="V10338" s="8">
        <v>0.6</v>
      </c>
      <c r="W10338" s="8">
        <v>0.3</v>
      </c>
      <c r="X10338" s="8">
        <v>110</v>
      </c>
      <c r="Y10338" s="8" t="s">
        <v>7343</v>
      </c>
      <c r="Z10338" s="8" t="s">
        <v>7344</v>
      </c>
    </row>
    <row r="10339" spans="1:26" x14ac:dyDescent="0.2">
      <c r="A10339" s="8">
        <v>10338</v>
      </c>
      <c r="B10339" s="8" t="s">
        <v>44290</v>
      </c>
      <c r="C10339" s="8" t="s">
        <v>44290</v>
      </c>
      <c r="G10339" s="8">
        <v>20</v>
      </c>
      <c r="H10339" s="8" t="s">
        <v>21</v>
      </c>
      <c r="I10339" s="8" t="s">
        <v>22</v>
      </c>
      <c r="J10339" s="8" t="s">
        <v>22</v>
      </c>
      <c r="K10339" s="8" t="s">
        <v>23</v>
      </c>
      <c r="L10339" s="8" t="s">
        <v>13194</v>
      </c>
      <c r="M10339" s="8" t="s">
        <v>13195</v>
      </c>
      <c r="N10339" s="8" t="s">
        <v>44291</v>
      </c>
      <c r="O10339" s="8">
        <f>9+41/60+21.9/3600</f>
        <v>9.6894166666666663</v>
      </c>
      <c r="P10339" s="8" t="s">
        <v>44292</v>
      </c>
      <c r="Q10339" s="8">
        <f>+(28+6/60+52/3600)</f>
        <v>28.114444444444445</v>
      </c>
      <c r="R10339" s="8">
        <v>14.5</v>
      </c>
      <c r="S10339" s="8">
        <v>15.3</v>
      </c>
      <c r="T10339" s="8">
        <v>0.8</v>
      </c>
      <c r="U10339" s="8">
        <v>12</v>
      </c>
      <c r="V10339" s="8">
        <v>0.6</v>
      </c>
      <c r="W10339" s="8">
        <v>0.2</v>
      </c>
      <c r="X10339" s="8">
        <v>20</v>
      </c>
      <c r="Y10339" s="8" t="s">
        <v>44293</v>
      </c>
      <c r="Z10339" s="8" t="s">
        <v>44294</v>
      </c>
    </row>
    <row r="10340" spans="1:26" x14ac:dyDescent="0.2">
      <c r="A10340" s="8">
        <v>10339</v>
      </c>
      <c r="B10340" s="8" t="s">
        <v>44295</v>
      </c>
      <c r="C10340" s="8" t="s">
        <v>44295</v>
      </c>
      <c r="G10340" s="8">
        <v>20</v>
      </c>
      <c r="H10340" s="8" t="s">
        <v>21</v>
      </c>
      <c r="I10340" s="8" t="s">
        <v>22</v>
      </c>
      <c r="J10340" s="8" t="s">
        <v>22</v>
      </c>
      <c r="K10340" s="8" t="s">
        <v>1174</v>
      </c>
      <c r="L10340" s="8" t="s">
        <v>13194</v>
      </c>
      <c r="M10340" s="8" t="s">
        <v>13195</v>
      </c>
      <c r="N10340" s="8" t="s">
        <v>44296</v>
      </c>
      <c r="O10340" s="8">
        <f>9+41/60+24.5/3600</f>
        <v>9.6901388888888889</v>
      </c>
      <c r="P10340" s="8" t="s">
        <v>44297</v>
      </c>
      <c r="Q10340" s="8">
        <f>+(27+53/60+45/3600)</f>
        <v>27.895833333333332</v>
      </c>
      <c r="R10340" s="8">
        <v>15.4</v>
      </c>
      <c r="S10340" s="8">
        <v>16.2</v>
      </c>
      <c r="T10340" s="8">
        <v>0.8</v>
      </c>
      <c r="U10340" s="8">
        <v>12.5</v>
      </c>
      <c r="V10340" s="8">
        <v>0.4</v>
      </c>
      <c r="W10340" s="8">
        <v>0.2</v>
      </c>
      <c r="X10340" s="8">
        <v>120</v>
      </c>
      <c r="Y10340" s="8" t="s">
        <v>44298</v>
      </c>
      <c r="Z10340" s="8" t="s">
        <v>44299</v>
      </c>
    </row>
    <row r="10341" spans="1:26" x14ac:dyDescent="0.2">
      <c r="A10341" s="8">
        <v>10340</v>
      </c>
      <c r="B10341" s="8" t="s">
        <v>44300</v>
      </c>
      <c r="C10341" s="8" t="s">
        <v>44300</v>
      </c>
      <c r="G10341" s="8">
        <v>20</v>
      </c>
      <c r="H10341" s="8" t="s">
        <v>21</v>
      </c>
      <c r="I10341" s="8" t="s">
        <v>22</v>
      </c>
      <c r="J10341" s="8" t="s">
        <v>22</v>
      </c>
      <c r="K10341" s="8" t="s">
        <v>31</v>
      </c>
      <c r="L10341" s="8" t="s">
        <v>13179</v>
      </c>
      <c r="M10341" s="8" t="s">
        <v>13180</v>
      </c>
      <c r="N10341" s="8" t="s">
        <v>44301</v>
      </c>
      <c r="O10341" s="8">
        <f>9+42/60+23.3/3600</f>
        <v>9.7064722222222208</v>
      </c>
      <c r="P10341" s="8" t="s">
        <v>44302</v>
      </c>
      <c r="Q10341" s="8">
        <f>+(36+20/60+57/3600)</f>
        <v>36.349166666666669</v>
      </c>
      <c r="R10341" s="8">
        <v>14.3</v>
      </c>
      <c r="S10341" s="8">
        <v>15.1</v>
      </c>
      <c r="T10341" s="8">
        <v>0.8</v>
      </c>
      <c r="U10341" s="8">
        <v>13.5</v>
      </c>
      <c r="V10341" s="8">
        <v>1.1000000000000001</v>
      </c>
      <c r="W10341" s="8">
        <v>0.3</v>
      </c>
      <c r="X10341" s="8">
        <v>165</v>
      </c>
      <c r="Y10341" s="8" t="s">
        <v>44303</v>
      </c>
      <c r="Z10341" s="8" t="s">
        <v>44304</v>
      </c>
    </row>
    <row r="10342" spans="1:26" x14ac:dyDescent="0.2">
      <c r="A10342" s="8">
        <v>10341</v>
      </c>
      <c r="B10342" s="8" t="s">
        <v>44305</v>
      </c>
      <c r="C10342" s="8" t="s">
        <v>44305</v>
      </c>
      <c r="G10342" s="8">
        <v>13</v>
      </c>
      <c r="H10342" s="8" t="s">
        <v>21</v>
      </c>
      <c r="I10342" s="8" t="s">
        <v>241</v>
      </c>
      <c r="J10342" s="8" t="s">
        <v>241</v>
      </c>
      <c r="K10342" s="8" t="s">
        <v>241</v>
      </c>
      <c r="L10342" s="8" t="s">
        <v>10135</v>
      </c>
      <c r="M10342" s="8" t="s">
        <v>10136</v>
      </c>
      <c r="N10342" s="8" t="s">
        <v>44306</v>
      </c>
      <c r="O10342" s="8">
        <f>9+38/60+47.3/3600</f>
        <v>9.6464722222222221</v>
      </c>
      <c r="P10342" s="8" t="s">
        <v>44307</v>
      </c>
      <c r="Q10342" s="8">
        <f>-(60+5/60+29/3600)</f>
        <v>-60.091388888888893</v>
      </c>
      <c r="R10342" s="8">
        <v>10.4</v>
      </c>
      <c r="S10342" s="8">
        <v>11.3</v>
      </c>
      <c r="T10342" s="8">
        <v>99</v>
      </c>
      <c r="U10342" s="8">
        <v>99</v>
      </c>
      <c r="V10342" s="8">
        <v>0.03</v>
      </c>
      <c r="Y10342" s="8" t="s">
        <v>27388</v>
      </c>
      <c r="Z10342" s="8" t="s">
        <v>41022</v>
      </c>
    </row>
    <row r="10343" spans="1:26" x14ac:dyDescent="0.2">
      <c r="A10343" s="8">
        <v>10342</v>
      </c>
      <c r="B10343" s="8" t="s">
        <v>44308</v>
      </c>
      <c r="C10343" s="8" t="s">
        <v>44308</v>
      </c>
      <c r="G10343" s="8">
        <v>20</v>
      </c>
      <c r="H10343" s="8" t="s">
        <v>21</v>
      </c>
      <c r="I10343" s="8" t="s">
        <v>22</v>
      </c>
      <c r="J10343" s="8" t="s">
        <v>22</v>
      </c>
      <c r="K10343" s="8" t="s">
        <v>449</v>
      </c>
      <c r="L10343" s="8" t="s">
        <v>13179</v>
      </c>
      <c r="M10343" s="8" t="s">
        <v>13180</v>
      </c>
      <c r="N10343" s="8" t="s">
        <v>44309</v>
      </c>
      <c r="O10343" s="8">
        <f>9+43/60+15.4/3600</f>
        <v>9.7209444444444451</v>
      </c>
      <c r="P10343" s="8" t="s">
        <v>44310</v>
      </c>
      <c r="Q10343" s="8">
        <f>+(35+9/60+38/3600)</f>
        <v>35.160555555555554</v>
      </c>
      <c r="R10343" s="8">
        <v>15.1</v>
      </c>
      <c r="S10343" s="8">
        <v>15.9</v>
      </c>
      <c r="T10343" s="8">
        <v>0.8</v>
      </c>
      <c r="U10343" s="8">
        <v>13</v>
      </c>
      <c r="V10343" s="8">
        <v>0.4</v>
      </c>
      <c r="W10343" s="8">
        <v>0.4</v>
      </c>
      <c r="Y10343" s="8" t="s">
        <v>44311</v>
      </c>
      <c r="Z10343" s="8" t="s">
        <v>44312</v>
      </c>
    </row>
    <row r="10344" spans="1:26" x14ac:dyDescent="0.2">
      <c r="A10344" s="8">
        <v>10343</v>
      </c>
      <c r="B10344" s="8" t="s">
        <v>44313</v>
      </c>
      <c r="C10344" s="8" t="s">
        <v>44313</v>
      </c>
      <c r="G10344" s="8">
        <v>20</v>
      </c>
      <c r="H10344" s="8" t="s">
        <v>21</v>
      </c>
      <c r="I10344" s="8" t="s">
        <v>22</v>
      </c>
      <c r="J10344" s="8" t="s">
        <v>22</v>
      </c>
      <c r="K10344" s="8" t="s">
        <v>449</v>
      </c>
      <c r="L10344" s="8" t="s">
        <v>13179</v>
      </c>
      <c r="M10344" s="8" t="s">
        <v>13180</v>
      </c>
      <c r="N10344" s="8" t="s">
        <v>44314</v>
      </c>
      <c r="O10344" s="8">
        <f>9+43/60+15.9/3600</f>
        <v>9.7210833333333326</v>
      </c>
      <c r="P10344" s="8" t="s">
        <v>44315</v>
      </c>
      <c r="Q10344" s="8">
        <f>+(35+12/60+23/3600)</f>
        <v>35.206388888888888</v>
      </c>
      <c r="R10344" s="8">
        <v>15.5</v>
      </c>
      <c r="S10344" s="8">
        <v>16.5</v>
      </c>
      <c r="T10344" s="8">
        <v>1</v>
      </c>
      <c r="U10344" s="8">
        <v>12.6</v>
      </c>
      <c r="V10344" s="8">
        <v>0.4</v>
      </c>
      <c r="W10344" s="8">
        <v>0.2</v>
      </c>
      <c r="X10344" s="8">
        <v>105</v>
      </c>
      <c r="Y10344" s="8" t="s">
        <v>44316</v>
      </c>
      <c r="Z10344" s="8" t="s">
        <v>44317</v>
      </c>
    </row>
    <row r="10345" spans="1:26" x14ac:dyDescent="0.2">
      <c r="A10345" s="8">
        <v>10344</v>
      </c>
      <c r="B10345" s="8" t="s">
        <v>44318</v>
      </c>
      <c r="C10345" s="8" t="s">
        <v>44318</v>
      </c>
      <c r="G10345" s="8">
        <v>20</v>
      </c>
      <c r="H10345" s="8" t="s">
        <v>21</v>
      </c>
      <c r="I10345" s="8" t="s">
        <v>329</v>
      </c>
      <c r="J10345" s="8" t="s">
        <v>329</v>
      </c>
      <c r="K10345" s="8" t="s">
        <v>329</v>
      </c>
      <c r="L10345" s="8" t="s">
        <v>10135</v>
      </c>
      <c r="M10345" s="8" t="s">
        <v>10136</v>
      </c>
      <c r="N10345" s="8" t="s">
        <v>44319</v>
      </c>
      <c r="O10345" s="8">
        <f>9+38/60+33/3600</f>
        <v>9.6425000000000001</v>
      </c>
      <c r="P10345" s="8" t="s">
        <v>44320</v>
      </c>
      <c r="Q10345" s="8">
        <f>-(69+5/60+6/3600)</f>
        <v>-69.084999999999994</v>
      </c>
      <c r="R10345" s="8">
        <v>99</v>
      </c>
      <c r="S10345" s="8">
        <v>99</v>
      </c>
      <c r="T10345" s="8">
        <v>99</v>
      </c>
      <c r="U10345" s="8">
        <v>99</v>
      </c>
      <c r="Y10345" s="8" t="s">
        <v>44321</v>
      </c>
      <c r="Z10345" s="8" t="s">
        <v>44322</v>
      </c>
    </row>
    <row r="10346" spans="1:26" x14ac:dyDescent="0.2">
      <c r="A10346" s="8">
        <v>10345</v>
      </c>
      <c r="B10346" s="8" t="s">
        <v>44323</v>
      </c>
      <c r="C10346" s="8" t="s">
        <v>44323</v>
      </c>
      <c r="G10346" s="8">
        <v>20</v>
      </c>
      <c r="H10346" s="8" t="s">
        <v>21</v>
      </c>
      <c r="I10346" s="8" t="s">
        <v>22</v>
      </c>
      <c r="J10346" s="8" t="s">
        <v>22</v>
      </c>
      <c r="K10346" s="8" t="s">
        <v>31</v>
      </c>
      <c r="L10346" s="8" t="s">
        <v>13194</v>
      </c>
      <c r="M10346" s="8" t="s">
        <v>13195</v>
      </c>
      <c r="N10346" s="8" t="s">
        <v>44324</v>
      </c>
      <c r="O10346" s="8">
        <f>9+45/60+6.9/3600</f>
        <v>9.7519166666666663</v>
      </c>
      <c r="P10346" s="8" t="s">
        <v>44325</v>
      </c>
      <c r="Q10346" s="8">
        <f>+(27+16/60+9/3600)</f>
        <v>27.269166666666667</v>
      </c>
      <c r="R10346" s="8">
        <v>14.8</v>
      </c>
      <c r="S10346" s="8">
        <v>15.6</v>
      </c>
      <c r="T10346" s="8">
        <v>0.8</v>
      </c>
      <c r="U10346" s="8">
        <v>14.5</v>
      </c>
      <c r="V10346" s="8">
        <v>1</v>
      </c>
      <c r="W10346" s="8">
        <v>0.9</v>
      </c>
      <c r="X10346" s="8">
        <v>143</v>
      </c>
      <c r="Y10346" s="8" t="s">
        <v>25183</v>
      </c>
      <c r="Z10346" s="8" t="s">
        <v>25184</v>
      </c>
    </row>
    <row r="10347" spans="1:26" x14ac:dyDescent="0.2">
      <c r="A10347" s="8">
        <v>10346</v>
      </c>
      <c r="B10347" s="8" t="s">
        <v>44326</v>
      </c>
      <c r="C10347" s="8" t="s">
        <v>44326</v>
      </c>
      <c r="G10347" s="8">
        <v>20</v>
      </c>
      <c r="H10347" s="8" t="s">
        <v>21</v>
      </c>
      <c r="I10347" s="8" t="s">
        <v>22</v>
      </c>
      <c r="J10347" s="8" t="s">
        <v>22</v>
      </c>
      <c r="K10347" s="8" t="s">
        <v>31</v>
      </c>
      <c r="L10347" s="8" t="s">
        <v>13194</v>
      </c>
      <c r="M10347" s="8" t="s">
        <v>13195</v>
      </c>
      <c r="N10347" s="8" t="s">
        <v>44327</v>
      </c>
      <c r="O10347" s="8">
        <f>9+45/60+12.7/3600</f>
        <v>9.7535277777777782</v>
      </c>
      <c r="P10347" s="8" t="s">
        <v>44328</v>
      </c>
      <c r="Q10347" s="8">
        <f>+(27+15/60+9/3600)</f>
        <v>27.252500000000001</v>
      </c>
      <c r="R10347" s="8">
        <v>14.7</v>
      </c>
      <c r="S10347" s="8">
        <v>15.5</v>
      </c>
      <c r="T10347" s="8">
        <v>0.8</v>
      </c>
      <c r="U10347" s="8">
        <v>14</v>
      </c>
      <c r="V10347" s="8">
        <v>0.9</v>
      </c>
      <c r="W10347" s="8">
        <v>0.7</v>
      </c>
      <c r="X10347" s="8">
        <v>119</v>
      </c>
      <c r="Y10347" s="8" t="s">
        <v>43846</v>
      </c>
      <c r="Z10347" s="8" t="s">
        <v>43847</v>
      </c>
    </row>
    <row r="10348" spans="1:26" x14ac:dyDescent="0.2">
      <c r="A10348" s="8">
        <v>10347</v>
      </c>
      <c r="B10348" s="8" t="s">
        <v>44329</v>
      </c>
      <c r="C10348" s="8" t="s">
        <v>44329</v>
      </c>
      <c r="G10348" s="8">
        <v>20</v>
      </c>
      <c r="H10348" s="8" t="s">
        <v>21</v>
      </c>
      <c r="I10348" s="8" t="s">
        <v>22</v>
      </c>
      <c r="J10348" s="8" t="s">
        <v>22</v>
      </c>
      <c r="K10348" s="8" t="s">
        <v>107</v>
      </c>
      <c r="L10348" s="8" t="s">
        <v>13374</v>
      </c>
      <c r="M10348" s="8" t="s">
        <v>13375</v>
      </c>
      <c r="N10348" s="8" t="s">
        <v>44330</v>
      </c>
      <c r="O10348" s="8">
        <f>9+44/60+33.6/3600</f>
        <v>9.7426666666666666</v>
      </c>
      <c r="P10348" s="8" t="s">
        <v>44331</v>
      </c>
      <c r="Q10348" s="8">
        <f>-(31+47/60+26/3600)</f>
        <v>-31.790555555555557</v>
      </c>
      <c r="R10348" s="8">
        <v>12.7</v>
      </c>
      <c r="S10348" s="8">
        <v>13.3</v>
      </c>
      <c r="T10348" s="8">
        <v>0.6</v>
      </c>
      <c r="U10348" s="8">
        <v>12.9</v>
      </c>
      <c r="V10348" s="8">
        <v>1.7</v>
      </c>
      <c r="W10348" s="8">
        <v>0.8</v>
      </c>
      <c r="X10348" s="8">
        <v>43</v>
      </c>
      <c r="Y10348" s="8" t="s">
        <v>21</v>
      </c>
      <c r="Z10348" s="8" t="s">
        <v>44332</v>
      </c>
    </row>
    <row r="10349" spans="1:26" x14ac:dyDescent="0.2">
      <c r="A10349" s="8">
        <v>10348</v>
      </c>
      <c r="B10349" s="8" t="s">
        <v>44333</v>
      </c>
      <c r="C10349" s="8" t="s">
        <v>44333</v>
      </c>
      <c r="G10349" s="8">
        <v>20</v>
      </c>
      <c r="H10349" s="8" t="s">
        <v>21</v>
      </c>
      <c r="I10349" s="8" t="s">
        <v>22</v>
      </c>
      <c r="J10349" s="8" t="s">
        <v>22</v>
      </c>
      <c r="K10349" s="8" t="s">
        <v>382</v>
      </c>
      <c r="L10349" s="8" t="s">
        <v>13179</v>
      </c>
      <c r="M10349" s="8" t="s">
        <v>13180</v>
      </c>
      <c r="N10349" s="8" t="s">
        <v>44334</v>
      </c>
      <c r="O10349" s="8">
        <f>9+47/60+7/3600</f>
        <v>9.7852777777777771</v>
      </c>
      <c r="P10349" s="8" t="s">
        <v>44335</v>
      </c>
      <c r="Q10349" s="8">
        <f>+(33+30/60+31/3600)</f>
        <v>33.508611111111108</v>
      </c>
      <c r="R10349" s="8">
        <v>15</v>
      </c>
      <c r="S10349" s="8">
        <v>16</v>
      </c>
      <c r="T10349" s="8">
        <v>1</v>
      </c>
      <c r="U10349" s="8">
        <v>12.8</v>
      </c>
      <c r="V10349" s="8">
        <v>0.4</v>
      </c>
      <c r="W10349" s="8">
        <v>0.3</v>
      </c>
      <c r="X10349" s="8">
        <v>10</v>
      </c>
      <c r="Y10349" s="8" t="s">
        <v>44336</v>
      </c>
      <c r="Z10349" s="8" t="s">
        <v>44337</v>
      </c>
    </row>
    <row r="10350" spans="1:26" x14ac:dyDescent="0.2">
      <c r="A10350" s="8">
        <v>10349</v>
      </c>
      <c r="B10350" s="8" t="s">
        <v>44338</v>
      </c>
      <c r="C10350" s="8" t="s">
        <v>44338</v>
      </c>
      <c r="G10350" s="8">
        <v>20</v>
      </c>
      <c r="H10350" s="8" t="s">
        <v>21</v>
      </c>
      <c r="I10350" s="8" t="s">
        <v>72</v>
      </c>
      <c r="J10350" s="8" t="s">
        <v>72</v>
      </c>
      <c r="K10350" s="8" t="s">
        <v>20</v>
      </c>
      <c r="L10350" s="8" t="s">
        <v>12234</v>
      </c>
      <c r="M10350" s="8" t="s">
        <v>12235</v>
      </c>
      <c r="N10350" s="8" t="s">
        <v>44339</v>
      </c>
      <c r="O10350" s="8">
        <f>9+46/60+55.9/3600</f>
        <v>9.7821944444444444</v>
      </c>
      <c r="P10350" s="8" t="s">
        <v>44340</v>
      </c>
      <c r="Q10350" s="8">
        <f>+(5+42/60+8/3600)</f>
        <v>5.7022222222222227</v>
      </c>
      <c r="R10350" s="8">
        <v>99</v>
      </c>
      <c r="S10350" s="8">
        <v>15.1</v>
      </c>
      <c r="T10350" s="8">
        <v>99</v>
      </c>
      <c r="U10350" s="8">
        <v>99</v>
      </c>
      <c r="Y10350" s="8" t="s">
        <v>38906</v>
      </c>
      <c r="Z10350" s="8" t="s">
        <v>38907</v>
      </c>
    </row>
    <row r="10351" spans="1:26" x14ac:dyDescent="0.2">
      <c r="A10351" s="8">
        <v>10350</v>
      </c>
      <c r="B10351" s="8" t="s">
        <v>44341</v>
      </c>
      <c r="C10351" s="8" t="s">
        <v>44341</v>
      </c>
      <c r="G10351" s="8">
        <v>20</v>
      </c>
      <c r="H10351" s="8" t="s">
        <v>21</v>
      </c>
      <c r="I10351" s="8" t="s">
        <v>22</v>
      </c>
      <c r="J10351" s="8" t="s">
        <v>22</v>
      </c>
      <c r="K10351" s="8" t="s">
        <v>406</v>
      </c>
      <c r="L10351" s="8" t="s">
        <v>13374</v>
      </c>
      <c r="M10351" s="8" t="s">
        <v>13375</v>
      </c>
      <c r="N10351" s="8" t="s">
        <v>44342</v>
      </c>
      <c r="O10351" s="8">
        <f>9+47/60+43.5/3600</f>
        <v>9.7954166666666662</v>
      </c>
      <c r="P10351" s="8" t="s">
        <v>44343</v>
      </c>
      <c r="Q10351" s="8">
        <f>-(32+50/60+16/3600)</f>
        <v>-32.837777777777781</v>
      </c>
      <c r="R10351" s="8">
        <v>12.5</v>
      </c>
      <c r="S10351" s="8">
        <v>13.3</v>
      </c>
      <c r="T10351" s="8">
        <v>0.8</v>
      </c>
      <c r="U10351" s="8">
        <v>12.2</v>
      </c>
      <c r="V10351" s="8">
        <v>1.3</v>
      </c>
      <c r="W10351" s="8">
        <v>0.7</v>
      </c>
      <c r="X10351" s="8">
        <v>148</v>
      </c>
      <c r="Y10351" s="8" t="s">
        <v>44344</v>
      </c>
      <c r="Z10351" s="8" t="s">
        <v>44345</v>
      </c>
    </row>
    <row r="10352" spans="1:26" x14ac:dyDescent="0.2">
      <c r="A10352" s="8">
        <v>10351</v>
      </c>
      <c r="B10352" s="8" t="s">
        <v>44346</v>
      </c>
      <c r="C10352" s="8" t="s">
        <v>44346</v>
      </c>
      <c r="G10352" s="8">
        <v>20</v>
      </c>
      <c r="H10352" s="8" t="s">
        <v>21</v>
      </c>
      <c r="I10352" s="8" t="s">
        <v>22</v>
      </c>
      <c r="J10352" s="8" t="s">
        <v>22</v>
      </c>
      <c r="K10352" s="8" t="s">
        <v>406</v>
      </c>
      <c r="L10352" s="8" t="s">
        <v>13374</v>
      </c>
      <c r="M10352" s="8" t="s">
        <v>13375</v>
      </c>
      <c r="N10352" s="8" t="s">
        <v>44347</v>
      </c>
      <c r="O10352" s="8">
        <f>9+49/60+24.2/3600</f>
        <v>9.8233888888888892</v>
      </c>
      <c r="P10352" s="8" t="s">
        <v>44348</v>
      </c>
      <c r="Q10352" s="8">
        <f>-(32+50/60+21/3600)</f>
        <v>-32.839166666666671</v>
      </c>
      <c r="R10352" s="8">
        <v>12.1</v>
      </c>
      <c r="S10352" s="8">
        <v>12.9</v>
      </c>
      <c r="T10352" s="8">
        <v>0.8</v>
      </c>
      <c r="U10352" s="8">
        <v>12.6</v>
      </c>
      <c r="V10352" s="8">
        <v>2.9</v>
      </c>
      <c r="W10352" s="8">
        <v>0.6</v>
      </c>
      <c r="X10352" s="8">
        <v>38</v>
      </c>
      <c r="Y10352" s="8" t="s">
        <v>44349</v>
      </c>
      <c r="Z10352" s="8" t="s">
        <v>44350</v>
      </c>
    </row>
    <row r="10353" spans="1:26" x14ac:dyDescent="0.2">
      <c r="A10353" s="8">
        <v>10352</v>
      </c>
      <c r="B10353" s="8" t="s">
        <v>44351</v>
      </c>
      <c r="C10353" s="8" t="s">
        <v>44351</v>
      </c>
      <c r="G10353" s="8">
        <v>20</v>
      </c>
      <c r="H10353" s="8" t="s">
        <v>21</v>
      </c>
      <c r="I10353" s="8" t="s">
        <v>22</v>
      </c>
      <c r="J10353" s="8" t="s">
        <v>57</v>
      </c>
      <c r="K10353" s="8" t="s">
        <v>406</v>
      </c>
      <c r="L10353" s="8" t="s">
        <v>13374</v>
      </c>
      <c r="M10353" s="8" t="s">
        <v>13375</v>
      </c>
      <c r="N10353" s="8" t="s">
        <v>44347</v>
      </c>
      <c r="O10353" s="8">
        <f>9+49/60+24.2/3600</f>
        <v>9.8233888888888892</v>
      </c>
      <c r="P10353" s="8" t="s">
        <v>44348</v>
      </c>
      <c r="Q10353" s="8">
        <f>-(32+50/60+21/3600)</f>
        <v>-32.839166666666671</v>
      </c>
      <c r="R10353" s="8">
        <v>12.1</v>
      </c>
      <c r="S10353" s="8">
        <v>12.9</v>
      </c>
      <c r="T10353" s="8">
        <v>0.8</v>
      </c>
      <c r="U10353" s="8">
        <v>12.6</v>
      </c>
      <c r="V10353" s="8">
        <v>2.9</v>
      </c>
      <c r="W10353" s="8">
        <v>0.6</v>
      </c>
      <c r="X10353" s="8">
        <v>38</v>
      </c>
      <c r="Y10353" s="8" t="s">
        <v>44352</v>
      </c>
      <c r="Z10353" s="8" t="s">
        <v>44353</v>
      </c>
    </row>
    <row r="10354" spans="1:26" x14ac:dyDescent="0.2">
      <c r="A10354" s="8">
        <v>10353</v>
      </c>
      <c r="B10354" s="8" t="s">
        <v>44354</v>
      </c>
      <c r="C10354" s="8" t="s">
        <v>44354</v>
      </c>
      <c r="G10354" s="8">
        <v>20</v>
      </c>
      <c r="H10354" s="8" t="s">
        <v>21</v>
      </c>
      <c r="I10354" s="8" t="s">
        <v>22</v>
      </c>
      <c r="J10354" s="8" t="s">
        <v>57</v>
      </c>
      <c r="K10354" s="8" t="s">
        <v>31</v>
      </c>
      <c r="L10354" s="8" t="s">
        <v>13374</v>
      </c>
      <c r="M10354" s="8" t="s">
        <v>13375</v>
      </c>
      <c r="N10354" s="8" t="s">
        <v>44355</v>
      </c>
      <c r="O10354" s="8">
        <f>9+50/60+0.6/3600</f>
        <v>9.8335000000000008</v>
      </c>
      <c r="P10354" s="8" t="s">
        <v>44356</v>
      </c>
      <c r="Q10354" s="8">
        <f>-(32+53/60+2/3600)</f>
        <v>-32.88388888888889</v>
      </c>
      <c r="R10354" s="8">
        <v>12.5</v>
      </c>
      <c r="S10354" s="8">
        <v>13.3</v>
      </c>
      <c r="T10354" s="8">
        <v>0.8</v>
      </c>
      <c r="U10354" s="8">
        <v>13</v>
      </c>
      <c r="V10354" s="8">
        <v>3</v>
      </c>
      <c r="W10354" s="8">
        <v>0.6</v>
      </c>
      <c r="X10354" s="8">
        <v>61</v>
      </c>
      <c r="Y10354" s="8" t="s">
        <v>21</v>
      </c>
      <c r="Z10354" s="8" t="s">
        <v>44357</v>
      </c>
    </row>
    <row r="10355" spans="1:26" x14ac:dyDescent="0.2">
      <c r="A10355" s="8">
        <v>10354</v>
      </c>
      <c r="B10355" s="8" t="s">
        <v>44358</v>
      </c>
      <c r="C10355" s="8" t="s">
        <v>44358</v>
      </c>
      <c r="G10355" s="8">
        <v>20</v>
      </c>
      <c r="H10355" s="8" t="s">
        <v>21</v>
      </c>
      <c r="I10355" s="8" t="s">
        <v>22</v>
      </c>
      <c r="J10355" s="8" t="s">
        <v>22</v>
      </c>
      <c r="K10355" s="8" t="s">
        <v>31</v>
      </c>
      <c r="L10355" s="8" t="s">
        <v>13374</v>
      </c>
      <c r="M10355" s="8" t="s">
        <v>13375</v>
      </c>
      <c r="N10355" s="8" t="s">
        <v>44355</v>
      </c>
      <c r="O10355" s="8">
        <f>9+50/60+0.6/3600</f>
        <v>9.8335000000000008</v>
      </c>
      <c r="P10355" s="8" t="s">
        <v>44356</v>
      </c>
      <c r="Q10355" s="8">
        <f>-(32+53/60+2/3600)</f>
        <v>-32.88388888888889</v>
      </c>
      <c r="R10355" s="8">
        <v>12.5</v>
      </c>
      <c r="S10355" s="8">
        <v>13.3</v>
      </c>
      <c r="T10355" s="8">
        <v>0.8</v>
      </c>
      <c r="U10355" s="8">
        <v>13</v>
      </c>
      <c r="V10355" s="8">
        <v>3</v>
      </c>
      <c r="W10355" s="8">
        <v>0.6</v>
      </c>
      <c r="X10355" s="8">
        <v>61</v>
      </c>
      <c r="Y10355" s="8" t="s">
        <v>21</v>
      </c>
      <c r="Z10355" s="8" t="s">
        <v>44359</v>
      </c>
    </row>
    <row r="10356" spans="1:26" x14ac:dyDescent="0.2">
      <c r="A10356" s="8">
        <v>10355</v>
      </c>
      <c r="B10356" s="8" t="s">
        <v>44360</v>
      </c>
      <c r="C10356" s="8" t="s">
        <v>44360</v>
      </c>
      <c r="G10356" s="8">
        <v>20</v>
      </c>
      <c r="H10356" s="8" t="s">
        <v>21</v>
      </c>
      <c r="I10356" s="8" t="s">
        <v>22</v>
      </c>
      <c r="J10356" s="8" t="s">
        <v>22</v>
      </c>
      <c r="K10356" s="8" t="s">
        <v>23</v>
      </c>
      <c r="L10356" s="8" t="s">
        <v>13179</v>
      </c>
      <c r="M10356" s="8" t="s">
        <v>13180</v>
      </c>
      <c r="N10356" s="8" t="s">
        <v>44361</v>
      </c>
      <c r="O10356" s="8">
        <f>9+54/60+39.4/3600</f>
        <v>9.9109444444444446</v>
      </c>
      <c r="P10356" s="8" t="s">
        <v>44362</v>
      </c>
      <c r="Q10356" s="8">
        <f>+(37+24/60+30/3600)</f>
        <v>37.408333333333331</v>
      </c>
      <c r="R10356" s="8">
        <v>14.4</v>
      </c>
      <c r="S10356" s="8">
        <v>15.2</v>
      </c>
      <c r="T10356" s="8">
        <v>0.8</v>
      </c>
      <c r="U10356" s="8">
        <v>12.6</v>
      </c>
      <c r="V10356" s="8">
        <v>1.1000000000000001</v>
      </c>
      <c r="W10356" s="8">
        <v>0.2</v>
      </c>
      <c r="X10356" s="8">
        <v>173</v>
      </c>
      <c r="Y10356" s="8" t="s">
        <v>44363</v>
      </c>
      <c r="Z10356" s="8" t="s">
        <v>44364</v>
      </c>
    </row>
    <row r="10357" spans="1:26" x14ac:dyDescent="0.2">
      <c r="A10357" s="8">
        <v>10356</v>
      </c>
      <c r="B10357" s="8" t="s">
        <v>44365</v>
      </c>
      <c r="C10357" s="8" t="s">
        <v>44365</v>
      </c>
      <c r="G10357" s="8">
        <v>20</v>
      </c>
      <c r="H10357" s="8" t="s">
        <v>21</v>
      </c>
      <c r="I10357" s="8" t="s">
        <v>22</v>
      </c>
      <c r="J10357" s="8" t="s">
        <v>22</v>
      </c>
      <c r="K10357" s="8" t="s">
        <v>632</v>
      </c>
      <c r="L10357" s="8" t="s">
        <v>13179</v>
      </c>
      <c r="M10357" s="8" t="s">
        <v>13180</v>
      </c>
      <c r="N10357" s="8" t="s">
        <v>44366</v>
      </c>
      <c r="O10357" s="8">
        <f>9+54/60+48.3/3600</f>
        <v>9.9134166666666665</v>
      </c>
      <c r="P10357" s="8" t="s">
        <v>44367</v>
      </c>
      <c r="Q10357" s="8">
        <f>+(37+41/60+15/3600)</f>
        <v>37.6875</v>
      </c>
      <c r="R10357" s="8">
        <v>14.1</v>
      </c>
      <c r="S10357" s="8">
        <v>15</v>
      </c>
      <c r="T10357" s="8">
        <v>0.9</v>
      </c>
      <c r="U10357" s="8">
        <v>13.7</v>
      </c>
      <c r="V10357" s="8">
        <v>1</v>
      </c>
      <c r="W10357" s="8">
        <v>0.8</v>
      </c>
      <c r="X10357" s="8">
        <v>18</v>
      </c>
      <c r="Y10357" s="8" t="s">
        <v>6420</v>
      </c>
      <c r="Z10357" s="8" t="s">
        <v>6421</v>
      </c>
    </row>
    <row r="10358" spans="1:26" x14ac:dyDescent="0.2">
      <c r="A10358" s="8">
        <v>10357</v>
      </c>
      <c r="B10358" s="8" t="s">
        <v>44368</v>
      </c>
      <c r="C10358" s="8" t="s">
        <v>44368</v>
      </c>
      <c r="G10358" s="8">
        <v>20</v>
      </c>
      <c r="H10358" s="8" t="s">
        <v>21</v>
      </c>
      <c r="I10358" s="8" t="s">
        <v>22</v>
      </c>
      <c r="J10358" s="8" t="s">
        <v>22</v>
      </c>
      <c r="K10358" s="8" t="s">
        <v>42125</v>
      </c>
      <c r="L10358" s="8" t="s">
        <v>13374</v>
      </c>
      <c r="M10358" s="8" t="s">
        <v>13375</v>
      </c>
      <c r="N10358" s="8" t="s">
        <v>44369</v>
      </c>
      <c r="O10358" s="8">
        <f>9+52/60+50.7/3600</f>
        <v>9.8807500000000008</v>
      </c>
      <c r="P10358" s="8" t="s">
        <v>44370</v>
      </c>
      <c r="Q10358" s="8">
        <f>-(33+44/60+31/3600)</f>
        <v>-33.741944444444442</v>
      </c>
      <c r="R10358" s="8">
        <v>14.4</v>
      </c>
      <c r="S10358" s="8">
        <v>15.4</v>
      </c>
      <c r="T10358" s="8">
        <v>1</v>
      </c>
      <c r="U10358" s="8">
        <v>13</v>
      </c>
      <c r="V10358" s="8">
        <v>0.6</v>
      </c>
      <c r="W10358" s="8">
        <v>0.5</v>
      </c>
      <c r="X10358" s="8">
        <v>100</v>
      </c>
      <c r="Y10358" s="8" t="s">
        <v>42652</v>
      </c>
      <c r="Z10358" s="8" t="s">
        <v>42653</v>
      </c>
    </row>
    <row r="10359" spans="1:26" x14ac:dyDescent="0.2">
      <c r="A10359" s="8">
        <v>10358</v>
      </c>
      <c r="B10359" s="8" t="s">
        <v>44371</v>
      </c>
      <c r="C10359" s="8" t="s">
        <v>44371</v>
      </c>
      <c r="G10359" s="8">
        <v>20</v>
      </c>
      <c r="H10359" s="8" t="s">
        <v>21</v>
      </c>
      <c r="I10359" s="8" t="s">
        <v>22</v>
      </c>
      <c r="J10359" s="8" t="s">
        <v>22</v>
      </c>
      <c r="K10359" s="8" t="s">
        <v>424</v>
      </c>
      <c r="L10359" s="8" t="s">
        <v>13179</v>
      </c>
      <c r="M10359" s="8" t="s">
        <v>13180</v>
      </c>
      <c r="N10359" s="8" t="s">
        <v>44372</v>
      </c>
      <c r="O10359" s="8">
        <f>9+55/60+58.5/3600</f>
        <v>9.9329166666666655</v>
      </c>
      <c r="P10359" s="8" t="s">
        <v>44373</v>
      </c>
      <c r="Q10359" s="8">
        <f>+(37+9/60+22/3600)</f>
        <v>37.156111111111109</v>
      </c>
      <c r="R10359" s="8">
        <v>14.7</v>
      </c>
      <c r="S10359" s="8">
        <v>15.7</v>
      </c>
      <c r="T10359" s="8">
        <v>1</v>
      </c>
      <c r="U10359" s="8">
        <v>12.2</v>
      </c>
      <c r="V10359" s="8">
        <v>0.4</v>
      </c>
      <c r="W10359" s="8">
        <v>0.3</v>
      </c>
      <c r="X10359" s="8">
        <v>90</v>
      </c>
      <c r="Y10359" s="8" t="s">
        <v>972</v>
      </c>
      <c r="Z10359" s="8" t="s">
        <v>973</v>
      </c>
    </row>
    <row r="10360" spans="1:26" x14ac:dyDescent="0.2">
      <c r="A10360" s="8">
        <v>10359</v>
      </c>
      <c r="B10360" s="8" t="s">
        <v>44374</v>
      </c>
      <c r="C10360" s="8" t="s">
        <v>44374</v>
      </c>
      <c r="G10360" s="8">
        <v>20</v>
      </c>
      <c r="H10360" s="8" t="s">
        <v>21</v>
      </c>
      <c r="I10360" s="8" t="s">
        <v>22</v>
      </c>
      <c r="J10360" s="8" t="s">
        <v>22</v>
      </c>
      <c r="K10360" s="8" t="s">
        <v>424</v>
      </c>
      <c r="L10360" s="8" t="s">
        <v>13179</v>
      </c>
      <c r="M10360" s="8" t="s">
        <v>13180</v>
      </c>
      <c r="N10360" s="8" t="s">
        <v>44375</v>
      </c>
      <c r="O10360" s="8">
        <f>9+55/60+58.8/3600</f>
        <v>9.9329999999999998</v>
      </c>
      <c r="P10360" s="8" t="s">
        <v>44376</v>
      </c>
      <c r="Q10360" s="8">
        <f>+(34+2/60+11/3600)</f>
        <v>34.036388888888887</v>
      </c>
      <c r="R10360" s="8">
        <v>14.5</v>
      </c>
      <c r="S10360" s="8">
        <v>15.5</v>
      </c>
      <c r="T10360" s="8">
        <v>1</v>
      </c>
      <c r="U10360" s="8">
        <v>11.3</v>
      </c>
      <c r="V10360" s="8">
        <v>0.3</v>
      </c>
      <c r="W10360" s="8">
        <v>0.2</v>
      </c>
      <c r="X10360" s="8">
        <v>90</v>
      </c>
      <c r="Y10360" s="8" t="s">
        <v>5775</v>
      </c>
      <c r="Z10360" s="8" t="s">
        <v>34785</v>
      </c>
    </row>
    <row r="10361" spans="1:26" x14ac:dyDescent="0.2">
      <c r="A10361" s="8">
        <v>10360</v>
      </c>
      <c r="B10361" s="8" t="s">
        <v>44377</v>
      </c>
      <c r="C10361" s="8" t="s">
        <v>44377</v>
      </c>
      <c r="G10361" s="8">
        <v>20</v>
      </c>
      <c r="H10361" s="8" t="s">
        <v>21</v>
      </c>
      <c r="I10361" s="8" t="s">
        <v>22</v>
      </c>
      <c r="J10361" s="8" t="s">
        <v>22</v>
      </c>
      <c r="K10361" s="8" t="s">
        <v>1174</v>
      </c>
      <c r="L10361" s="8" t="s">
        <v>13194</v>
      </c>
      <c r="M10361" s="8" t="s">
        <v>13195</v>
      </c>
      <c r="N10361" s="8" t="s">
        <v>44378</v>
      </c>
      <c r="O10361" s="8">
        <f>9+56/60+20.3/3600</f>
        <v>9.9389722222222225</v>
      </c>
      <c r="P10361" s="8" t="s">
        <v>44379</v>
      </c>
      <c r="Q10361" s="8">
        <f>+(27+13/60+39/3600)</f>
        <v>27.227499999999999</v>
      </c>
      <c r="R10361" s="8">
        <v>13.4</v>
      </c>
      <c r="S10361" s="8">
        <v>14.4</v>
      </c>
      <c r="T10361" s="8">
        <v>1</v>
      </c>
      <c r="U10361" s="8">
        <v>12.3</v>
      </c>
      <c r="V10361" s="8">
        <v>0.7</v>
      </c>
      <c r="W10361" s="8">
        <v>0.6</v>
      </c>
      <c r="X10361" s="8">
        <v>90</v>
      </c>
      <c r="Y10361" s="8" t="s">
        <v>40997</v>
      </c>
      <c r="Z10361" s="8" t="s">
        <v>40998</v>
      </c>
    </row>
    <row r="10362" spans="1:26" x14ac:dyDescent="0.2">
      <c r="A10362" s="8">
        <v>10361</v>
      </c>
      <c r="B10362" s="8" t="s">
        <v>44380</v>
      </c>
      <c r="C10362" s="8" t="s">
        <v>44380</v>
      </c>
      <c r="G10362" s="8">
        <v>20</v>
      </c>
      <c r="H10362" s="8" t="s">
        <v>21</v>
      </c>
      <c r="I10362" s="8" t="s">
        <v>22</v>
      </c>
      <c r="J10362" s="8" t="s">
        <v>22</v>
      </c>
      <c r="K10362" s="8" t="s">
        <v>85</v>
      </c>
      <c r="L10362" s="8" t="s">
        <v>13179</v>
      </c>
      <c r="M10362" s="8" t="s">
        <v>13180</v>
      </c>
      <c r="N10362" s="8" t="s">
        <v>44381</v>
      </c>
      <c r="O10362" s="8">
        <f>9+57/60+15.7/3600</f>
        <v>9.9543611111111101</v>
      </c>
      <c r="P10362" s="8" t="s">
        <v>44382</v>
      </c>
      <c r="Q10362" s="8">
        <f>+(33+58/60+37/3600)</f>
        <v>33.976944444444449</v>
      </c>
      <c r="R10362" s="8">
        <v>15</v>
      </c>
      <c r="S10362" s="8">
        <v>15.8</v>
      </c>
      <c r="T10362" s="8">
        <v>0.8</v>
      </c>
      <c r="U10362" s="8">
        <v>13.3</v>
      </c>
      <c r="V10362" s="8">
        <v>0.5</v>
      </c>
      <c r="W10362" s="8">
        <v>0.5</v>
      </c>
      <c r="Y10362" s="8" t="s">
        <v>33652</v>
      </c>
      <c r="Z10362" s="8" t="s">
        <v>33653</v>
      </c>
    </row>
    <row r="10363" spans="1:26" x14ac:dyDescent="0.2">
      <c r="A10363" s="8">
        <v>10362</v>
      </c>
      <c r="B10363" s="8" t="s">
        <v>44383</v>
      </c>
      <c r="C10363" s="8" t="s">
        <v>44383</v>
      </c>
      <c r="G10363" s="8">
        <v>20</v>
      </c>
      <c r="H10363" s="8" t="s">
        <v>21</v>
      </c>
      <c r="I10363" s="8" t="s">
        <v>22</v>
      </c>
      <c r="J10363" s="8" t="s">
        <v>22</v>
      </c>
      <c r="K10363" s="8" t="s">
        <v>64</v>
      </c>
      <c r="L10363" s="8" t="s">
        <v>13374</v>
      </c>
      <c r="M10363" s="8" t="s">
        <v>13375</v>
      </c>
      <c r="N10363" s="8" t="s">
        <v>44384</v>
      </c>
      <c r="O10363" s="8">
        <f>9+55/60+8.9/3600</f>
        <v>9.9191388888888881</v>
      </c>
      <c r="P10363" s="8" t="s">
        <v>44385</v>
      </c>
      <c r="Q10363" s="8">
        <f>-(33+8/60+13/3600)</f>
        <v>-33.136944444444445</v>
      </c>
      <c r="R10363" s="8">
        <v>12.2</v>
      </c>
      <c r="S10363" s="8">
        <v>12.9</v>
      </c>
      <c r="T10363" s="8">
        <v>0.7</v>
      </c>
      <c r="U10363" s="8">
        <v>13.9</v>
      </c>
      <c r="V10363" s="8">
        <v>2.8</v>
      </c>
      <c r="W10363" s="8">
        <v>1.9</v>
      </c>
      <c r="X10363" s="8">
        <v>171</v>
      </c>
      <c r="Y10363" s="8" t="s">
        <v>21</v>
      </c>
      <c r="Z10363" s="8" t="s">
        <v>44386</v>
      </c>
    </row>
    <row r="10364" spans="1:26" x14ac:dyDescent="0.2">
      <c r="A10364" s="8">
        <v>10363</v>
      </c>
      <c r="B10364" s="8" t="s">
        <v>44387</v>
      </c>
      <c r="C10364" s="8" t="s">
        <v>44387</v>
      </c>
      <c r="G10364" s="8">
        <v>20</v>
      </c>
      <c r="H10364" s="8" t="s">
        <v>21</v>
      </c>
      <c r="I10364" s="8" t="s">
        <v>22</v>
      </c>
      <c r="J10364" s="8" t="s">
        <v>22</v>
      </c>
      <c r="K10364" s="8" t="s">
        <v>85</v>
      </c>
      <c r="L10364" s="8" t="s">
        <v>13374</v>
      </c>
      <c r="M10364" s="8" t="s">
        <v>13375</v>
      </c>
      <c r="N10364" s="8" t="s">
        <v>44388</v>
      </c>
      <c r="O10364" s="8">
        <f>9+55/60+9.4/3600</f>
        <v>9.9192777777777774</v>
      </c>
      <c r="P10364" s="8" t="s">
        <v>44389</v>
      </c>
      <c r="Q10364" s="8">
        <f>-(33+12/60+40/3600)</f>
        <v>-33.211111111111116</v>
      </c>
      <c r="R10364" s="8">
        <v>13</v>
      </c>
      <c r="S10364" s="8">
        <v>13.8</v>
      </c>
      <c r="T10364" s="8">
        <v>0.8</v>
      </c>
      <c r="U10364" s="8">
        <v>12.9</v>
      </c>
      <c r="V10364" s="8">
        <v>1.3</v>
      </c>
      <c r="W10364" s="8">
        <v>0.8</v>
      </c>
      <c r="X10364" s="8">
        <v>25</v>
      </c>
      <c r="Y10364" s="8" t="s">
        <v>44390</v>
      </c>
      <c r="Z10364" s="8" t="s">
        <v>44391</v>
      </c>
    </row>
    <row r="10365" spans="1:26" x14ac:dyDescent="0.2">
      <c r="A10365" s="8">
        <v>10364</v>
      </c>
      <c r="B10365" s="8" t="s">
        <v>44392</v>
      </c>
      <c r="C10365" s="8" t="s">
        <v>44392</v>
      </c>
      <c r="G10365" s="8">
        <v>20</v>
      </c>
      <c r="H10365" s="8" t="s">
        <v>21</v>
      </c>
      <c r="I10365" s="8" t="s">
        <v>22</v>
      </c>
      <c r="J10365" s="8" t="s">
        <v>22</v>
      </c>
      <c r="K10365" s="8" t="s">
        <v>632</v>
      </c>
      <c r="L10365" s="8" t="s">
        <v>13179</v>
      </c>
      <c r="M10365" s="8" t="s">
        <v>13180</v>
      </c>
      <c r="N10365" s="8" t="s">
        <v>44393</v>
      </c>
      <c r="O10365" s="8">
        <f>9+57/60+32.9/3600</f>
        <v>9.959138888888889</v>
      </c>
      <c r="P10365" s="8" t="s">
        <v>44394</v>
      </c>
      <c r="Q10365" s="8">
        <f>+(33+37/60+13/3600)</f>
        <v>33.62027777777778</v>
      </c>
      <c r="R10365" s="8">
        <v>14</v>
      </c>
      <c r="S10365" s="8">
        <v>14.9</v>
      </c>
      <c r="T10365" s="8">
        <v>0.9</v>
      </c>
      <c r="U10365" s="8">
        <v>12.3</v>
      </c>
      <c r="V10365" s="8">
        <v>0.6</v>
      </c>
      <c r="W10365" s="8">
        <v>0.4</v>
      </c>
      <c r="X10365" s="8">
        <v>63</v>
      </c>
      <c r="Y10365" s="8" t="s">
        <v>5926</v>
      </c>
      <c r="Z10365" s="8" t="s">
        <v>5927</v>
      </c>
    </row>
    <row r="10366" spans="1:26" x14ac:dyDescent="0.2">
      <c r="A10366" s="8">
        <v>10365</v>
      </c>
      <c r="B10366" s="8" t="s">
        <v>44395</v>
      </c>
      <c r="C10366" s="8" t="s">
        <v>44395</v>
      </c>
      <c r="G10366" s="8">
        <v>20</v>
      </c>
      <c r="H10366" s="8" t="s">
        <v>21</v>
      </c>
      <c r="I10366" s="8" t="s">
        <v>22</v>
      </c>
      <c r="J10366" s="8" t="s">
        <v>22</v>
      </c>
      <c r="K10366" s="8" t="s">
        <v>424</v>
      </c>
      <c r="L10366" s="8" t="s">
        <v>13179</v>
      </c>
      <c r="M10366" s="8" t="s">
        <v>13180</v>
      </c>
      <c r="N10366" s="8" t="s">
        <v>44396</v>
      </c>
      <c r="O10366" s="8">
        <f>9+58/60+24.9/3600</f>
        <v>9.9735833333333339</v>
      </c>
      <c r="P10366" s="8" t="s">
        <v>44397</v>
      </c>
      <c r="Q10366" s="8">
        <f>+(37+6/60+9/3600)</f>
        <v>37.102499999999999</v>
      </c>
      <c r="R10366" s="8">
        <v>14.6</v>
      </c>
      <c r="S10366" s="8">
        <v>15.6</v>
      </c>
      <c r="T10366" s="8">
        <v>1</v>
      </c>
      <c r="U10366" s="8">
        <v>11.8</v>
      </c>
      <c r="V10366" s="8">
        <v>0.3</v>
      </c>
      <c r="W10366" s="8">
        <v>0.3</v>
      </c>
      <c r="Y10366" s="8" t="s">
        <v>6420</v>
      </c>
      <c r="Z10366" s="8" t="s">
        <v>6421</v>
      </c>
    </row>
    <row r="10367" spans="1:26" x14ac:dyDescent="0.2">
      <c r="A10367" s="8">
        <v>10366</v>
      </c>
      <c r="B10367" s="8" t="s">
        <v>44398</v>
      </c>
      <c r="C10367" s="8" t="s">
        <v>44398</v>
      </c>
      <c r="G10367" s="8">
        <v>20</v>
      </c>
      <c r="H10367" s="8" t="s">
        <v>21</v>
      </c>
      <c r="I10367" s="8" t="s">
        <v>22</v>
      </c>
      <c r="J10367" s="8" t="s">
        <v>22</v>
      </c>
      <c r="K10367" s="8" t="s">
        <v>224</v>
      </c>
      <c r="L10367" s="8" t="s">
        <v>13374</v>
      </c>
      <c r="M10367" s="8" t="s">
        <v>13375</v>
      </c>
      <c r="N10367" s="8" t="s">
        <v>44399</v>
      </c>
      <c r="O10367" s="8">
        <f>9+57/60+2.9/3600</f>
        <v>9.9508055555555543</v>
      </c>
      <c r="P10367" s="8" t="s">
        <v>44400</v>
      </c>
      <c r="Q10367" s="8">
        <f>-(32+15/60+25/3600)</f>
        <v>-32.256944444444443</v>
      </c>
      <c r="R10367" s="8">
        <v>12.6</v>
      </c>
      <c r="S10367" s="8">
        <v>13.6</v>
      </c>
      <c r="T10367" s="8">
        <v>1</v>
      </c>
      <c r="U10367" s="8">
        <v>12.9</v>
      </c>
      <c r="V10367" s="8">
        <v>2.1</v>
      </c>
      <c r="W10367" s="8">
        <v>0.7</v>
      </c>
      <c r="X10367" s="8">
        <v>55</v>
      </c>
      <c r="Y10367" s="8" t="s">
        <v>21</v>
      </c>
      <c r="Z10367" s="8" t="s">
        <v>44401</v>
      </c>
    </row>
    <row r="10368" spans="1:26" x14ac:dyDescent="0.2">
      <c r="A10368" s="8">
        <v>10367</v>
      </c>
      <c r="B10368" s="8" t="s">
        <v>44402</v>
      </c>
      <c r="C10368" s="8" t="s">
        <v>44402</v>
      </c>
      <c r="G10368" s="8">
        <v>20</v>
      </c>
      <c r="H10368" s="8" t="s">
        <v>21</v>
      </c>
      <c r="I10368" s="8" t="s">
        <v>22</v>
      </c>
      <c r="J10368" s="8" t="s">
        <v>22</v>
      </c>
      <c r="K10368" s="8" t="s">
        <v>396</v>
      </c>
      <c r="L10368" s="8" t="s">
        <v>13179</v>
      </c>
      <c r="M10368" s="8" t="s">
        <v>13180</v>
      </c>
      <c r="N10368" s="8" t="s">
        <v>44403</v>
      </c>
      <c r="O10368" s="8">
        <f>10+0/60+6.5/3600</f>
        <v>10.001805555555556</v>
      </c>
      <c r="P10368" s="8" t="s">
        <v>44404</v>
      </c>
      <c r="Q10368" s="8">
        <f>+(38+10/60+22/3600)</f>
        <v>38.172777777777775</v>
      </c>
      <c r="R10368" s="8">
        <v>14.5</v>
      </c>
      <c r="S10368" s="8">
        <v>15.3</v>
      </c>
      <c r="T10368" s="8">
        <v>0.8</v>
      </c>
      <c r="U10368" s="8">
        <v>11.7</v>
      </c>
      <c r="V10368" s="8">
        <v>0.3</v>
      </c>
      <c r="W10368" s="8">
        <v>0.3</v>
      </c>
      <c r="Y10368" s="8" t="s">
        <v>41541</v>
      </c>
      <c r="Z10368" s="8" t="s">
        <v>41542</v>
      </c>
    </row>
    <row r="10369" spans="1:26" x14ac:dyDescent="0.2">
      <c r="A10369" s="8">
        <v>10368</v>
      </c>
      <c r="B10369" s="8" t="s">
        <v>44405</v>
      </c>
      <c r="C10369" s="8" t="s">
        <v>44405</v>
      </c>
      <c r="G10369" s="8">
        <v>20</v>
      </c>
      <c r="H10369" s="8" t="s">
        <v>21</v>
      </c>
      <c r="I10369" s="8" t="s">
        <v>22</v>
      </c>
      <c r="J10369" s="8" t="s">
        <v>57</v>
      </c>
      <c r="K10369" s="8" t="s">
        <v>4023</v>
      </c>
      <c r="L10369" s="8" t="s">
        <v>13374</v>
      </c>
      <c r="M10369" s="8" t="s">
        <v>13375</v>
      </c>
      <c r="N10369" s="8" t="s">
        <v>14208</v>
      </c>
      <c r="O10369" s="8">
        <f>9+59/60+6.1/3600</f>
        <v>9.9850277777777769</v>
      </c>
      <c r="P10369" s="8" t="s">
        <v>14209</v>
      </c>
      <c r="Q10369" s="8">
        <f>-(27+7/60+42/3600)</f>
        <v>-27.128333333333334</v>
      </c>
      <c r="R10369" s="8">
        <v>12.3</v>
      </c>
      <c r="S10369" s="8">
        <v>13.1</v>
      </c>
      <c r="T10369" s="8">
        <v>0.8</v>
      </c>
      <c r="U10369" s="8">
        <v>13.3</v>
      </c>
      <c r="V10369" s="8">
        <v>1.8</v>
      </c>
      <c r="W10369" s="8">
        <v>1.6</v>
      </c>
      <c r="X10369" s="8">
        <v>2</v>
      </c>
      <c r="Y10369" s="8" t="s">
        <v>21</v>
      </c>
      <c r="Z10369" s="8" t="s">
        <v>44406</v>
      </c>
    </row>
    <row r="10370" spans="1:26" x14ac:dyDescent="0.2">
      <c r="A10370" s="8">
        <v>10369</v>
      </c>
      <c r="B10370" s="8" t="s">
        <v>44407</v>
      </c>
      <c r="C10370" s="8" t="s">
        <v>44407</v>
      </c>
      <c r="G10370" s="8">
        <v>20</v>
      </c>
      <c r="H10370" s="8" t="s">
        <v>21</v>
      </c>
      <c r="I10370" s="8" t="s">
        <v>22</v>
      </c>
      <c r="J10370" s="8" t="s">
        <v>57</v>
      </c>
      <c r="K10370" s="8" t="s">
        <v>435</v>
      </c>
      <c r="L10370" s="8" t="s">
        <v>11765</v>
      </c>
      <c r="M10370" s="8" t="s">
        <v>11766</v>
      </c>
      <c r="N10370" s="8" t="s">
        <v>14196</v>
      </c>
      <c r="O10370" s="8">
        <f>9+59/60+29.5/3600</f>
        <v>9.9915277777777778</v>
      </c>
      <c r="P10370" s="8" t="s">
        <v>14197</v>
      </c>
      <c r="Q10370" s="8">
        <f>-(22+49/60+34/3600)</f>
        <v>-22.826111111111111</v>
      </c>
      <c r="R10370" s="8">
        <v>12</v>
      </c>
      <c r="S10370" s="8">
        <v>12.9</v>
      </c>
      <c r="T10370" s="8">
        <v>0.9</v>
      </c>
      <c r="U10370" s="8">
        <v>13.2</v>
      </c>
      <c r="V10370" s="8">
        <v>2.2000000000000002</v>
      </c>
      <c r="W10370" s="8">
        <v>1.8</v>
      </c>
      <c r="X10370" s="8">
        <v>74</v>
      </c>
      <c r="Y10370" s="8" t="s">
        <v>21</v>
      </c>
      <c r="Z10370" s="8" t="s">
        <v>44408</v>
      </c>
    </row>
    <row r="10371" spans="1:26" x14ac:dyDescent="0.2">
      <c r="A10371" s="8">
        <v>10370</v>
      </c>
      <c r="B10371" s="8" t="s">
        <v>44409</v>
      </c>
      <c r="C10371" s="8" t="s">
        <v>44409</v>
      </c>
      <c r="G10371" s="8">
        <v>20</v>
      </c>
      <c r="H10371" s="8" t="s">
        <v>21</v>
      </c>
      <c r="I10371" s="8" t="s">
        <v>22</v>
      </c>
      <c r="J10371" s="8" t="s">
        <v>22</v>
      </c>
      <c r="K10371" s="8" t="s">
        <v>37</v>
      </c>
      <c r="L10371" s="8" t="s">
        <v>13179</v>
      </c>
      <c r="M10371" s="8" t="s">
        <v>13180</v>
      </c>
      <c r="N10371" s="8" t="s">
        <v>44410</v>
      </c>
      <c r="O10371" s="8">
        <f>10+1/60+31/3600</f>
        <v>10.025277777777779</v>
      </c>
      <c r="P10371" s="8" t="s">
        <v>44411</v>
      </c>
      <c r="Q10371" s="8">
        <f>+(37+12/60+16/3600)</f>
        <v>37.204444444444448</v>
      </c>
      <c r="R10371" s="8">
        <v>14.3</v>
      </c>
      <c r="S10371" s="8">
        <v>15.3</v>
      </c>
      <c r="T10371" s="8">
        <v>1</v>
      </c>
      <c r="U10371" s="8">
        <v>13.1</v>
      </c>
      <c r="V10371" s="8">
        <v>0.6</v>
      </c>
      <c r="W10371" s="8">
        <v>0.6</v>
      </c>
      <c r="Y10371" s="8" t="s">
        <v>256</v>
      </c>
      <c r="Z10371" s="8" t="s">
        <v>257</v>
      </c>
    </row>
    <row r="10372" spans="1:26" x14ac:dyDescent="0.2">
      <c r="A10372" s="8">
        <v>10371</v>
      </c>
      <c r="B10372" s="8" t="s">
        <v>44412</v>
      </c>
      <c r="C10372" s="8" t="s">
        <v>44412</v>
      </c>
      <c r="G10372" s="8">
        <v>20</v>
      </c>
      <c r="H10372" s="8" t="s">
        <v>21</v>
      </c>
      <c r="I10372" s="8" t="s">
        <v>22</v>
      </c>
      <c r="J10372" s="8" t="s">
        <v>22</v>
      </c>
      <c r="K10372" s="8" t="s">
        <v>160</v>
      </c>
      <c r="L10372" s="8" t="s">
        <v>13374</v>
      </c>
      <c r="M10372" s="8" t="s">
        <v>13375</v>
      </c>
      <c r="N10372" s="8" t="s">
        <v>44413</v>
      </c>
      <c r="O10372" s="8">
        <f>9+59/60+55.7/3600</f>
        <v>9.9988055555555544</v>
      </c>
      <c r="P10372" s="8" t="s">
        <v>23094</v>
      </c>
      <c r="Q10372" s="8">
        <f>-(29+37/60+4/3600)</f>
        <v>-29.617777777777778</v>
      </c>
      <c r="R10372" s="8">
        <v>12</v>
      </c>
      <c r="S10372" s="8">
        <v>12.9</v>
      </c>
      <c r="T10372" s="8">
        <v>0.9</v>
      </c>
      <c r="U10372" s="8">
        <v>13.3</v>
      </c>
      <c r="V10372" s="8">
        <v>6.9</v>
      </c>
      <c r="W10372" s="8">
        <v>0.6</v>
      </c>
      <c r="X10372" s="8">
        <v>75</v>
      </c>
      <c r="Y10372" s="8" t="s">
        <v>21</v>
      </c>
      <c r="Z10372" s="8" t="s">
        <v>44414</v>
      </c>
    </row>
    <row r="10373" spans="1:26" x14ac:dyDescent="0.2">
      <c r="A10373" s="8">
        <v>10372</v>
      </c>
      <c r="B10373" s="8" t="s">
        <v>44415</v>
      </c>
      <c r="C10373" s="8" t="s">
        <v>44415</v>
      </c>
      <c r="G10373" s="8">
        <v>20</v>
      </c>
      <c r="H10373" s="8" t="s">
        <v>21</v>
      </c>
      <c r="I10373" s="8" t="s">
        <v>22</v>
      </c>
      <c r="J10373" s="8" t="s">
        <v>22</v>
      </c>
      <c r="K10373" s="8" t="s">
        <v>154</v>
      </c>
      <c r="L10373" s="8" t="s">
        <v>13374</v>
      </c>
      <c r="M10373" s="8" t="s">
        <v>13375</v>
      </c>
      <c r="N10373" s="8" t="s">
        <v>44416</v>
      </c>
      <c r="O10373" s="8">
        <f>10+0/60+5.4/3600</f>
        <v>10.0015</v>
      </c>
      <c r="P10373" s="8" t="s">
        <v>44417</v>
      </c>
      <c r="Q10373" s="8">
        <f>-(34+13/60+42/3600)</f>
        <v>-34.228333333333332</v>
      </c>
      <c r="R10373" s="8">
        <v>13.1</v>
      </c>
      <c r="S10373" s="8">
        <v>14</v>
      </c>
      <c r="T10373" s="8">
        <v>0.9</v>
      </c>
      <c r="U10373" s="8">
        <v>13.3</v>
      </c>
      <c r="V10373" s="8">
        <v>1.4</v>
      </c>
      <c r="W10373" s="8">
        <v>1</v>
      </c>
      <c r="X10373" s="8">
        <v>38</v>
      </c>
      <c r="Y10373" s="8" t="s">
        <v>44418</v>
      </c>
      <c r="Z10373" s="8" t="s">
        <v>44419</v>
      </c>
    </row>
    <row r="10374" spans="1:26" x14ac:dyDescent="0.2">
      <c r="A10374" s="8">
        <v>10373</v>
      </c>
      <c r="B10374" s="8" t="s">
        <v>44420</v>
      </c>
      <c r="C10374" s="8" t="s">
        <v>44420</v>
      </c>
      <c r="G10374" s="8">
        <v>20</v>
      </c>
      <c r="H10374" s="8" t="s">
        <v>21</v>
      </c>
      <c r="I10374" s="8" t="s">
        <v>22</v>
      </c>
      <c r="J10374" s="8" t="s">
        <v>22</v>
      </c>
      <c r="K10374" s="8" t="s">
        <v>58</v>
      </c>
      <c r="L10374" s="8" t="s">
        <v>13374</v>
      </c>
      <c r="M10374" s="8" t="s">
        <v>13375</v>
      </c>
      <c r="N10374" s="8" t="s">
        <v>44421</v>
      </c>
      <c r="O10374" s="8">
        <f>10+0/60+31.5/3600</f>
        <v>10.008749999999999</v>
      </c>
      <c r="P10374" s="8" t="s">
        <v>44422</v>
      </c>
      <c r="Q10374" s="8">
        <f>-(31+14/60+42/3600)</f>
        <v>-31.245000000000001</v>
      </c>
      <c r="R10374" s="8">
        <v>12</v>
      </c>
      <c r="S10374" s="8">
        <v>13</v>
      </c>
      <c r="T10374" s="8">
        <v>1</v>
      </c>
      <c r="U10374" s="8">
        <v>12.8</v>
      </c>
      <c r="V10374" s="8">
        <v>1.8</v>
      </c>
      <c r="W10374" s="8">
        <v>1.3</v>
      </c>
      <c r="X10374" s="8">
        <v>1</v>
      </c>
      <c r="Y10374" s="8" t="s">
        <v>44423</v>
      </c>
      <c r="Z10374" s="8" t="s">
        <v>44424</v>
      </c>
    </row>
    <row r="10375" spans="1:26" x14ac:dyDescent="0.2">
      <c r="A10375" s="8">
        <v>10374</v>
      </c>
      <c r="B10375" s="8" t="s">
        <v>44425</v>
      </c>
      <c r="C10375" s="8" t="s">
        <v>44425</v>
      </c>
      <c r="G10375" s="8">
        <v>20</v>
      </c>
      <c r="H10375" s="8" t="s">
        <v>21</v>
      </c>
      <c r="I10375" s="8" t="s">
        <v>22</v>
      </c>
      <c r="J10375" s="8" t="s">
        <v>22</v>
      </c>
      <c r="K10375" s="8" t="s">
        <v>632</v>
      </c>
      <c r="L10375" s="8" t="s">
        <v>13374</v>
      </c>
      <c r="M10375" s="8" t="s">
        <v>13375</v>
      </c>
      <c r="N10375" s="8" t="s">
        <v>44426</v>
      </c>
      <c r="O10375" s="8">
        <f>10+1/60+29.8/3600</f>
        <v>10.024944444444445</v>
      </c>
      <c r="P10375" s="8" t="s">
        <v>44427</v>
      </c>
      <c r="Q10375" s="8">
        <f>-(34+6/60+45/3600)</f>
        <v>-34.112500000000004</v>
      </c>
      <c r="R10375" s="8">
        <v>12.5</v>
      </c>
      <c r="S10375" s="8">
        <v>13.4</v>
      </c>
      <c r="T10375" s="8">
        <v>0.9</v>
      </c>
      <c r="U10375" s="8">
        <v>11.8</v>
      </c>
      <c r="V10375" s="8">
        <v>1</v>
      </c>
      <c r="W10375" s="8">
        <v>0.6</v>
      </c>
      <c r="X10375" s="8">
        <v>88</v>
      </c>
      <c r="Y10375" s="8" t="s">
        <v>44423</v>
      </c>
      <c r="Z10375" s="8" t="s">
        <v>44424</v>
      </c>
    </row>
    <row r="10376" spans="1:26" x14ac:dyDescent="0.2">
      <c r="A10376" s="8">
        <v>10375</v>
      </c>
      <c r="B10376" s="8" t="s">
        <v>44428</v>
      </c>
      <c r="C10376" s="8" t="s">
        <v>44428</v>
      </c>
      <c r="G10376" s="8">
        <v>20</v>
      </c>
      <c r="H10376" s="8" t="s">
        <v>21</v>
      </c>
      <c r="I10376" s="8" t="s">
        <v>22</v>
      </c>
      <c r="J10376" s="8" t="s">
        <v>22</v>
      </c>
      <c r="K10376" s="8" t="s">
        <v>23</v>
      </c>
      <c r="L10376" s="8" t="s">
        <v>13179</v>
      </c>
      <c r="M10376" s="8" t="s">
        <v>13180</v>
      </c>
      <c r="N10376" s="8" t="s">
        <v>14281</v>
      </c>
      <c r="O10376" s="8">
        <f>10+4/60+31.7/3600</f>
        <v>10.075472222222222</v>
      </c>
      <c r="P10376" s="8" t="s">
        <v>44429</v>
      </c>
      <c r="Q10376" s="8">
        <f>+(38+0/60+24/3600)</f>
        <v>38.006666666666668</v>
      </c>
      <c r="R10376" s="8">
        <v>13.8</v>
      </c>
      <c r="S10376" s="8">
        <v>14.6</v>
      </c>
      <c r="T10376" s="8">
        <v>0.8</v>
      </c>
      <c r="U10376" s="8">
        <v>12.9</v>
      </c>
      <c r="V10376" s="8">
        <v>0.8</v>
      </c>
      <c r="W10376" s="8">
        <v>0.6</v>
      </c>
      <c r="X10376" s="8">
        <v>90</v>
      </c>
      <c r="Y10376" s="8" t="s">
        <v>44430</v>
      </c>
      <c r="Z10376" s="8" t="s">
        <v>44431</v>
      </c>
    </row>
    <row r="10377" spans="1:26" x14ac:dyDescent="0.2">
      <c r="A10377" s="8">
        <v>10376</v>
      </c>
      <c r="B10377" s="8" t="s">
        <v>44432</v>
      </c>
      <c r="C10377" s="8" t="s">
        <v>44432</v>
      </c>
      <c r="G10377" s="8">
        <v>20</v>
      </c>
      <c r="H10377" s="8" t="s">
        <v>21</v>
      </c>
      <c r="I10377" s="8" t="s">
        <v>22</v>
      </c>
      <c r="J10377" s="8" t="s">
        <v>22</v>
      </c>
      <c r="K10377" s="8" t="s">
        <v>64</v>
      </c>
      <c r="L10377" s="8" t="s">
        <v>13374</v>
      </c>
      <c r="M10377" s="8" t="s">
        <v>13375</v>
      </c>
      <c r="N10377" s="8" t="s">
        <v>44433</v>
      </c>
      <c r="O10377" s="8">
        <f>10+3/60+30/3600</f>
        <v>10.058333333333334</v>
      </c>
      <c r="P10377" s="8" t="s">
        <v>44434</v>
      </c>
      <c r="Q10377" s="8">
        <f>-(33+57/60+1/3600)</f>
        <v>-33.950277777777778</v>
      </c>
      <c r="R10377" s="8">
        <v>13.6</v>
      </c>
      <c r="S10377" s="8">
        <v>14.3</v>
      </c>
      <c r="T10377" s="8">
        <v>0.7</v>
      </c>
      <c r="U10377" s="8">
        <v>13.2</v>
      </c>
      <c r="V10377" s="8">
        <v>1.9</v>
      </c>
      <c r="W10377" s="8">
        <v>0.4</v>
      </c>
      <c r="X10377" s="8">
        <v>45</v>
      </c>
      <c r="Y10377" s="8" t="s">
        <v>44435</v>
      </c>
      <c r="Z10377" s="8" t="s">
        <v>44436</v>
      </c>
    </row>
    <row r="10378" spans="1:26" x14ac:dyDescent="0.2">
      <c r="A10378" s="8">
        <v>10377</v>
      </c>
      <c r="B10378" s="8" t="s">
        <v>44437</v>
      </c>
      <c r="C10378" s="8" t="s">
        <v>44437</v>
      </c>
      <c r="G10378" s="8">
        <v>20</v>
      </c>
      <c r="H10378" s="8" t="s">
        <v>21</v>
      </c>
      <c r="I10378" s="8" t="s">
        <v>22</v>
      </c>
      <c r="J10378" s="8" t="s">
        <v>22</v>
      </c>
      <c r="K10378" s="8" t="s">
        <v>64</v>
      </c>
      <c r="L10378" s="8" t="s">
        <v>13374</v>
      </c>
      <c r="M10378" s="8" t="s">
        <v>13375</v>
      </c>
      <c r="N10378" s="8" t="s">
        <v>44438</v>
      </c>
      <c r="O10378" s="8">
        <f>10+3/60+51.8/3600</f>
        <v>10.064388888888889</v>
      </c>
      <c r="P10378" s="8" t="s">
        <v>44439</v>
      </c>
      <c r="Q10378" s="8">
        <f>-(27+34/60+17/3600)</f>
        <v>-27.57138888888889</v>
      </c>
      <c r="R10378" s="8">
        <v>12.1</v>
      </c>
      <c r="S10378" s="8">
        <v>12.8</v>
      </c>
      <c r="T10378" s="8">
        <v>0.7</v>
      </c>
      <c r="U10378" s="8">
        <v>13.6</v>
      </c>
      <c r="V10378" s="8">
        <v>2.5</v>
      </c>
      <c r="W10378" s="8">
        <v>1.7</v>
      </c>
      <c r="X10378" s="8">
        <v>26</v>
      </c>
      <c r="Y10378" s="8" t="s">
        <v>44440</v>
      </c>
      <c r="Z10378" s="8" t="s">
        <v>44441</v>
      </c>
    </row>
    <row r="10379" spans="1:26" x14ac:dyDescent="0.2">
      <c r="A10379" s="8">
        <v>10378</v>
      </c>
      <c r="B10379" s="8" t="s">
        <v>44442</v>
      </c>
      <c r="C10379" s="8" t="s">
        <v>44442</v>
      </c>
      <c r="G10379" s="8">
        <v>20</v>
      </c>
      <c r="H10379" s="8" t="s">
        <v>21</v>
      </c>
      <c r="I10379" s="8" t="s">
        <v>22</v>
      </c>
      <c r="J10379" s="8" t="s">
        <v>22</v>
      </c>
      <c r="K10379" s="8" t="s">
        <v>64</v>
      </c>
      <c r="L10379" s="8" t="s">
        <v>13374</v>
      </c>
      <c r="M10379" s="8" t="s">
        <v>13375</v>
      </c>
      <c r="N10379" s="8" t="s">
        <v>44443</v>
      </c>
      <c r="O10379" s="8">
        <f>10+3/60+56.6/3600</f>
        <v>10.065722222222224</v>
      </c>
      <c r="P10379" s="8" t="s">
        <v>44444</v>
      </c>
      <c r="Q10379" s="8">
        <f>-(34+48/60+26/3600)</f>
        <v>-34.807222222222222</v>
      </c>
      <c r="R10379" s="8">
        <v>13.7</v>
      </c>
      <c r="S10379" s="8">
        <v>14.4</v>
      </c>
      <c r="T10379" s="8">
        <v>0.7</v>
      </c>
      <c r="U10379" s="8">
        <v>13.7</v>
      </c>
      <c r="V10379" s="8">
        <v>1.5</v>
      </c>
      <c r="W10379" s="8">
        <v>0.8</v>
      </c>
      <c r="X10379" s="8">
        <v>1</v>
      </c>
      <c r="Y10379" s="8" t="s">
        <v>44445</v>
      </c>
      <c r="Z10379" s="8" t="s">
        <v>44446</v>
      </c>
    </row>
    <row r="10380" spans="1:26" x14ac:dyDescent="0.2">
      <c r="A10380" s="8">
        <v>10379</v>
      </c>
      <c r="B10380" s="8" t="s">
        <v>44447</v>
      </c>
      <c r="C10380" s="8" t="s">
        <v>44447</v>
      </c>
      <c r="G10380" s="8">
        <v>20</v>
      </c>
      <c r="H10380" s="8" t="s">
        <v>21</v>
      </c>
      <c r="I10380" s="8" t="s">
        <v>22</v>
      </c>
      <c r="J10380" s="8" t="s">
        <v>22</v>
      </c>
      <c r="K10380" s="8" t="s">
        <v>396</v>
      </c>
      <c r="L10380" s="8" t="s">
        <v>13374</v>
      </c>
      <c r="M10380" s="8" t="s">
        <v>13375</v>
      </c>
      <c r="N10380" s="8" t="s">
        <v>44448</v>
      </c>
      <c r="O10380" s="8">
        <f>10+4/60+16/3600</f>
        <v>10.071111111111112</v>
      </c>
      <c r="P10380" s="8" t="s">
        <v>44449</v>
      </c>
      <c r="Q10380" s="8">
        <f>-(31+21/60+45/3600)</f>
        <v>-31.362500000000001</v>
      </c>
      <c r="R10380" s="8">
        <v>13.1</v>
      </c>
      <c r="S10380" s="8">
        <v>13.9</v>
      </c>
      <c r="T10380" s="8">
        <v>0.8</v>
      </c>
      <c r="U10380" s="8">
        <v>12.9</v>
      </c>
      <c r="V10380" s="8">
        <v>1.9</v>
      </c>
      <c r="W10380" s="8">
        <v>0.5</v>
      </c>
      <c r="X10380" s="8">
        <v>25</v>
      </c>
      <c r="Y10380" s="8" t="s">
        <v>44450</v>
      </c>
      <c r="Z10380" s="8" t="s">
        <v>44451</v>
      </c>
    </row>
    <row r="10381" spans="1:26" x14ac:dyDescent="0.2">
      <c r="A10381" s="8">
        <v>10380</v>
      </c>
      <c r="B10381" s="8" t="s">
        <v>44452</v>
      </c>
      <c r="C10381" s="8" t="s">
        <v>44452</v>
      </c>
      <c r="G10381" s="8">
        <v>20</v>
      </c>
      <c r="H10381" s="8" t="s">
        <v>21</v>
      </c>
      <c r="I10381" s="8" t="s">
        <v>22</v>
      </c>
      <c r="J10381" s="8" t="s">
        <v>22</v>
      </c>
      <c r="K10381" s="8" t="s">
        <v>58</v>
      </c>
      <c r="L10381" s="8" t="s">
        <v>13179</v>
      </c>
      <c r="M10381" s="8" t="s">
        <v>13180</v>
      </c>
      <c r="N10381" s="8" t="s">
        <v>44453</v>
      </c>
      <c r="O10381" s="8">
        <f>10+6/60+46.7/3600</f>
        <v>10.112972222222222</v>
      </c>
      <c r="P10381" s="8" t="s">
        <v>44454</v>
      </c>
      <c r="Q10381" s="8">
        <f>+(31+28/60+34/3600)</f>
        <v>31.476111111111109</v>
      </c>
      <c r="R10381" s="8">
        <v>14.1</v>
      </c>
      <c r="S10381" s="8">
        <v>15.1</v>
      </c>
      <c r="T10381" s="8">
        <v>1</v>
      </c>
      <c r="U10381" s="8">
        <v>13.9</v>
      </c>
      <c r="V10381" s="8">
        <v>1</v>
      </c>
      <c r="W10381" s="8">
        <v>0.8</v>
      </c>
      <c r="Y10381" s="8" t="s">
        <v>41854</v>
      </c>
      <c r="Z10381" s="8" t="s">
        <v>41855</v>
      </c>
    </row>
    <row r="10382" spans="1:26" x14ac:dyDescent="0.2">
      <c r="A10382" s="8">
        <v>10381</v>
      </c>
      <c r="B10382" s="8" t="s">
        <v>44455</v>
      </c>
      <c r="C10382" s="8" t="s">
        <v>44455</v>
      </c>
      <c r="G10382" s="8">
        <v>20</v>
      </c>
      <c r="H10382" s="8" t="s">
        <v>21</v>
      </c>
      <c r="I10382" s="8" t="s">
        <v>22</v>
      </c>
      <c r="J10382" s="8" t="s">
        <v>22</v>
      </c>
      <c r="K10382" s="8" t="s">
        <v>396</v>
      </c>
      <c r="L10382" s="8" t="s">
        <v>11765</v>
      </c>
      <c r="M10382" s="8" t="s">
        <v>11766</v>
      </c>
      <c r="N10382" s="8" t="s">
        <v>44456</v>
      </c>
      <c r="O10382" s="8">
        <f>10+5/60+48/3600</f>
        <v>10.096666666666668</v>
      </c>
      <c r="P10382" s="8" t="s">
        <v>44457</v>
      </c>
      <c r="Q10382" s="8">
        <f>-(17+26/60+6/3600)</f>
        <v>-17.434999999999999</v>
      </c>
      <c r="R10382" s="8">
        <v>12.9</v>
      </c>
      <c r="S10382" s="8">
        <v>13.7</v>
      </c>
      <c r="T10382" s="8">
        <v>0.8</v>
      </c>
      <c r="U10382" s="8">
        <v>12.2</v>
      </c>
      <c r="V10382" s="8">
        <v>1.3</v>
      </c>
      <c r="W10382" s="8">
        <v>0.5</v>
      </c>
      <c r="X10382" s="8">
        <v>5</v>
      </c>
      <c r="Y10382" s="8" t="s">
        <v>44458</v>
      </c>
      <c r="Z10382" s="8" t="s">
        <v>44459</v>
      </c>
    </row>
    <row r="10383" spans="1:26" x14ac:dyDescent="0.2">
      <c r="A10383" s="8">
        <v>10382</v>
      </c>
      <c r="B10383" s="8" t="s">
        <v>44460</v>
      </c>
      <c r="C10383" s="8" t="s">
        <v>44460</v>
      </c>
      <c r="G10383" s="8">
        <v>20</v>
      </c>
      <c r="H10383" s="8" t="s">
        <v>21</v>
      </c>
      <c r="I10383" s="8" t="s">
        <v>22</v>
      </c>
      <c r="J10383" s="8" t="s">
        <v>22</v>
      </c>
      <c r="K10383" s="8" t="s">
        <v>64</v>
      </c>
      <c r="L10383" s="8" t="s">
        <v>13179</v>
      </c>
      <c r="M10383" s="8" t="s">
        <v>13180</v>
      </c>
      <c r="N10383" s="8" t="s">
        <v>44461</v>
      </c>
      <c r="O10383" s="8">
        <f>10+7/60+50.5/3600</f>
        <v>10.130694444444446</v>
      </c>
      <c r="P10383" s="8" t="s">
        <v>44462</v>
      </c>
      <c r="Q10383" s="8">
        <f>+(34+18/60+55/3600)</f>
        <v>34.315277777777773</v>
      </c>
      <c r="R10383" s="8">
        <v>13.9</v>
      </c>
      <c r="S10383" s="8">
        <v>14.6</v>
      </c>
      <c r="T10383" s="8">
        <v>0.7</v>
      </c>
      <c r="U10383" s="8">
        <v>13.4</v>
      </c>
      <c r="V10383" s="8">
        <v>0.9</v>
      </c>
      <c r="W10383" s="8">
        <v>0.8</v>
      </c>
      <c r="X10383" s="8">
        <v>177</v>
      </c>
      <c r="Y10383" s="8" t="s">
        <v>44463</v>
      </c>
      <c r="Z10383" s="8" t="s">
        <v>44464</v>
      </c>
    </row>
    <row r="10384" spans="1:26" x14ac:dyDescent="0.2">
      <c r="A10384" s="8">
        <v>10383</v>
      </c>
      <c r="B10384" s="8" t="s">
        <v>44465</v>
      </c>
      <c r="C10384" s="8" t="s">
        <v>44465</v>
      </c>
      <c r="E10384" s="8">
        <v>1</v>
      </c>
      <c r="G10384" s="8">
        <v>20</v>
      </c>
      <c r="H10384" s="8" t="s">
        <v>21</v>
      </c>
      <c r="I10384" s="8" t="s">
        <v>22</v>
      </c>
      <c r="J10384" s="8" t="s">
        <v>22</v>
      </c>
      <c r="K10384" s="8" t="s">
        <v>449</v>
      </c>
      <c r="L10384" s="8" t="s">
        <v>13179</v>
      </c>
      <c r="M10384" s="8" t="s">
        <v>13180</v>
      </c>
      <c r="N10384" s="8" t="s">
        <v>44466</v>
      </c>
      <c r="O10384" s="8">
        <f>10+8/60+23.5/3600</f>
        <v>10.139861111111111</v>
      </c>
      <c r="P10384" s="8" t="s">
        <v>44467</v>
      </c>
      <c r="Q10384" s="8">
        <f>+(37+50/60+27/3600)</f>
        <v>37.840833333333336</v>
      </c>
      <c r="R10384" s="8">
        <v>14.9</v>
      </c>
      <c r="S10384" s="8">
        <v>15.7</v>
      </c>
      <c r="T10384" s="8">
        <v>0.8</v>
      </c>
      <c r="U10384" s="8">
        <v>12.3</v>
      </c>
      <c r="V10384" s="8">
        <v>0.5</v>
      </c>
      <c r="W10384" s="8">
        <v>0.2</v>
      </c>
      <c r="X10384" s="8">
        <v>130</v>
      </c>
      <c r="Y10384" s="8" t="s">
        <v>41073</v>
      </c>
      <c r="Z10384" s="8" t="s">
        <v>41074</v>
      </c>
    </row>
    <row r="10385" spans="1:26" x14ac:dyDescent="0.2">
      <c r="A10385" s="8">
        <v>10384</v>
      </c>
      <c r="B10385" s="8" t="s">
        <v>44468</v>
      </c>
      <c r="C10385" s="8" t="s">
        <v>44468</v>
      </c>
      <c r="G10385" s="8">
        <v>20</v>
      </c>
      <c r="H10385" s="8" t="s">
        <v>21</v>
      </c>
      <c r="I10385" s="8" t="s">
        <v>22</v>
      </c>
      <c r="J10385" s="8" t="s">
        <v>22</v>
      </c>
      <c r="K10385" s="8" t="s">
        <v>1277</v>
      </c>
      <c r="L10385" s="8" t="s">
        <v>13179</v>
      </c>
      <c r="M10385" s="8" t="s">
        <v>13180</v>
      </c>
      <c r="N10385" s="8" t="s">
        <v>44469</v>
      </c>
      <c r="O10385" s="8">
        <f>10+8/60+29.6/3600</f>
        <v>10.141555555555556</v>
      </c>
      <c r="P10385" s="8" t="s">
        <v>44470</v>
      </c>
      <c r="Q10385" s="8">
        <f>+(33+20/60+46/3600)</f>
        <v>33.346111111111114</v>
      </c>
      <c r="R10385" s="8">
        <v>14.5</v>
      </c>
      <c r="S10385" s="8">
        <v>15.2</v>
      </c>
      <c r="T10385" s="8">
        <v>0.7</v>
      </c>
      <c r="U10385" s="8">
        <v>12.4</v>
      </c>
      <c r="V10385" s="8">
        <v>0.4</v>
      </c>
      <c r="W10385" s="8">
        <v>0.4</v>
      </c>
      <c r="Y10385" s="8" t="s">
        <v>33652</v>
      </c>
      <c r="Z10385" s="8" t="s">
        <v>33653</v>
      </c>
    </row>
    <row r="10386" spans="1:26" x14ac:dyDescent="0.2">
      <c r="A10386" s="8">
        <v>10385</v>
      </c>
      <c r="B10386" s="8" t="s">
        <v>44471</v>
      </c>
      <c r="C10386" s="8" t="s">
        <v>44471</v>
      </c>
      <c r="G10386" s="8">
        <v>20</v>
      </c>
      <c r="H10386" s="8" t="s">
        <v>21</v>
      </c>
      <c r="I10386" s="8" t="s">
        <v>72</v>
      </c>
      <c r="J10386" s="8" t="s">
        <v>72</v>
      </c>
      <c r="K10386" s="8" t="s">
        <v>73</v>
      </c>
      <c r="L10386" s="8" t="s">
        <v>13374</v>
      </c>
      <c r="M10386" s="8" t="s">
        <v>13375</v>
      </c>
      <c r="N10386" s="8" t="s">
        <v>44472</v>
      </c>
      <c r="O10386" s="8">
        <f>10+6/60+36/3600</f>
        <v>10.11</v>
      </c>
      <c r="P10386" s="8" t="s">
        <v>44473</v>
      </c>
      <c r="Q10386" s="8">
        <f>-(33+51/60+18/3600)</f>
        <v>-33.855000000000004</v>
      </c>
      <c r="R10386" s="8">
        <v>99</v>
      </c>
      <c r="S10386" s="8">
        <v>99</v>
      </c>
      <c r="T10386" s="8">
        <v>99</v>
      </c>
      <c r="U10386" s="8">
        <v>99</v>
      </c>
      <c r="Y10386" s="8" t="s">
        <v>44474</v>
      </c>
      <c r="Z10386" s="8" t="s">
        <v>44475</v>
      </c>
    </row>
    <row r="10387" spans="1:26" x14ac:dyDescent="0.2">
      <c r="A10387" s="8">
        <v>10386</v>
      </c>
      <c r="B10387" s="8" t="s">
        <v>44476</v>
      </c>
      <c r="C10387" s="8" t="s">
        <v>44476</v>
      </c>
      <c r="G10387" s="8">
        <v>20</v>
      </c>
      <c r="H10387" s="8" t="s">
        <v>21</v>
      </c>
      <c r="I10387" s="8" t="s">
        <v>22</v>
      </c>
      <c r="J10387" s="8" t="s">
        <v>22</v>
      </c>
      <c r="K10387" s="8" t="s">
        <v>449</v>
      </c>
      <c r="L10387" s="8" t="s">
        <v>13374</v>
      </c>
      <c r="M10387" s="8" t="s">
        <v>13375</v>
      </c>
      <c r="N10387" s="8" t="s">
        <v>44477</v>
      </c>
      <c r="O10387" s="8">
        <f>10+7/60+5/3600</f>
        <v>10.118055555555555</v>
      </c>
      <c r="P10387" s="8" t="s">
        <v>44478</v>
      </c>
      <c r="Q10387" s="8">
        <f>-(33+15/60+43/3600)</f>
        <v>-33.261944444444445</v>
      </c>
      <c r="R10387" s="8">
        <v>14.8</v>
      </c>
      <c r="S10387" s="8">
        <v>15.6</v>
      </c>
      <c r="T10387" s="8">
        <v>0.8</v>
      </c>
      <c r="U10387" s="8">
        <v>13.9</v>
      </c>
      <c r="V10387" s="8">
        <v>0.8</v>
      </c>
      <c r="W10387" s="8">
        <v>0.6</v>
      </c>
      <c r="X10387" s="8">
        <v>96</v>
      </c>
      <c r="Y10387" s="8" t="s">
        <v>44479</v>
      </c>
      <c r="Z10387" s="8" t="s">
        <v>44480</v>
      </c>
    </row>
    <row r="10388" spans="1:26" x14ac:dyDescent="0.2">
      <c r="A10388" s="8">
        <v>10387</v>
      </c>
      <c r="B10388" s="8" t="s">
        <v>44481</v>
      </c>
      <c r="C10388" s="8" t="s">
        <v>44481</v>
      </c>
      <c r="G10388" s="8">
        <v>20</v>
      </c>
      <c r="H10388" s="8" t="s">
        <v>21</v>
      </c>
      <c r="I10388" s="8" t="s">
        <v>22</v>
      </c>
      <c r="J10388" s="8" t="s">
        <v>22</v>
      </c>
      <c r="K10388" s="8" t="s">
        <v>449</v>
      </c>
      <c r="L10388" s="8" t="s">
        <v>13179</v>
      </c>
      <c r="M10388" s="8" t="s">
        <v>13180</v>
      </c>
      <c r="N10388" s="8" t="s">
        <v>44482</v>
      </c>
      <c r="O10388" s="8">
        <f>10+10/60+4.5/3600</f>
        <v>10.167916666666667</v>
      </c>
      <c r="P10388" s="8" t="s">
        <v>44483</v>
      </c>
      <c r="Q10388" s="8">
        <f>+(36+30/60+11/3600)</f>
        <v>36.503055555555555</v>
      </c>
      <c r="R10388" s="8">
        <v>14.9</v>
      </c>
      <c r="S10388" s="8">
        <v>15.7</v>
      </c>
      <c r="T10388" s="8">
        <v>0.8</v>
      </c>
      <c r="U10388" s="8">
        <v>12</v>
      </c>
      <c r="V10388" s="8">
        <v>0.4</v>
      </c>
      <c r="W10388" s="8">
        <v>0.2</v>
      </c>
      <c r="X10388" s="8">
        <v>125</v>
      </c>
      <c r="Y10388" s="8" t="s">
        <v>36797</v>
      </c>
      <c r="Z10388" s="8" t="s">
        <v>36798</v>
      </c>
    </row>
    <row r="10389" spans="1:26" x14ac:dyDescent="0.2">
      <c r="A10389" s="8">
        <v>10388</v>
      </c>
      <c r="B10389" s="8" t="s">
        <v>44484</v>
      </c>
      <c r="C10389" s="8" t="s">
        <v>44484</v>
      </c>
      <c r="G10389" s="8">
        <v>20</v>
      </c>
      <c r="H10389" s="8" t="s">
        <v>21</v>
      </c>
      <c r="I10389" s="8" t="s">
        <v>22</v>
      </c>
      <c r="J10389" s="8" t="s">
        <v>22</v>
      </c>
      <c r="K10389" s="8" t="s">
        <v>218</v>
      </c>
      <c r="L10389" s="8" t="s">
        <v>13374</v>
      </c>
      <c r="M10389" s="8" t="s">
        <v>13375</v>
      </c>
      <c r="N10389" s="8" t="s">
        <v>44485</v>
      </c>
      <c r="O10389" s="8">
        <f>10+7/60+54.9/3600</f>
        <v>10.131916666666667</v>
      </c>
      <c r="P10389" s="8" t="s">
        <v>44486</v>
      </c>
      <c r="Q10389" s="8">
        <f>-(35+13/60+47/3600)</f>
        <v>-35.229722222222222</v>
      </c>
      <c r="R10389" s="8">
        <v>13.1</v>
      </c>
      <c r="S10389" s="8">
        <v>13.9</v>
      </c>
      <c r="T10389" s="8">
        <v>0.8</v>
      </c>
      <c r="U10389" s="8">
        <v>14.2</v>
      </c>
      <c r="V10389" s="8">
        <v>1.9</v>
      </c>
      <c r="W10389" s="8">
        <v>1.7</v>
      </c>
      <c r="X10389" s="8">
        <v>65</v>
      </c>
      <c r="Y10389" s="8" t="s">
        <v>44487</v>
      </c>
      <c r="Z10389" s="8" t="s">
        <v>44488</v>
      </c>
    </row>
    <row r="10390" spans="1:26" x14ac:dyDescent="0.2">
      <c r="A10390" s="8">
        <v>10389</v>
      </c>
      <c r="B10390" s="8" t="s">
        <v>44489</v>
      </c>
      <c r="C10390" s="8" t="s">
        <v>44489</v>
      </c>
      <c r="G10390" s="8">
        <v>20</v>
      </c>
      <c r="H10390" s="8" t="s">
        <v>21</v>
      </c>
      <c r="I10390" s="8" t="s">
        <v>22</v>
      </c>
      <c r="J10390" s="8" t="s">
        <v>22</v>
      </c>
      <c r="K10390" s="8" t="s">
        <v>476</v>
      </c>
      <c r="L10390" s="8" t="s">
        <v>13179</v>
      </c>
      <c r="M10390" s="8" t="s">
        <v>13180</v>
      </c>
      <c r="N10390" s="8" t="s">
        <v>44490</v>
      </c>
      <c r="O10390" s="8">
        <f>10+10/60+10.1/3600</f>
        <v>10.169472222222222</v>
      </c>
      <c r="P10390" s="8" t="s">
        <v>44491</v>
      </c>
      <c r="Q10390" s="8">
        <f>+(36+27/60+55/3600)</f>
        <v>36.465277777777779</v>
      </c>
      <c r="R10390" s="8">
        <v>15.4</v>
      </c>
      <c r="S10390" s="8">
        <v>16.2</v>
      </c>
      <c r="T10390" s="8">
        <v>0.8</v>
      </c>
      <c r="U10390" s="8">
        <v>12.2</v>
      </c>
      <c r="V10390" s="8">
        <v>0.3</v>
      </c>
      <c r="W10390" s="8">
        <v>0.2</v>
      </c>
      <c r="X10390" s="8">
        <v>90</v>
      </c>
      <c r="Y10390" s="8" t="s">
        <v>27186</v>
      </c>
      <c r="Z10390" s="8" t="s">
        <v>27187</v>
      </c>
    </row>
    <row r="10391" spans="1:26" x14ac:dyDescent="0.2">
      <c r="A10391" s="8">
        <v>10390</v>
      </c>
      <c r="B10391" s="8" t="s">
        <v>44492</v>
      </c>
      <c r="C10391" s="8" t="s">
        <v>44492</v>
      </c>
      <c r="G10391" s="8">
        <v>20</v>
      </c>
      <c r="H10391" s="8" t="s">
        <v>21</v>
      </c>
      <c r="I10391" s="8" t="s">
        <v>22</v>
      </c>
      <c r="J10391" s="8" t="s">
        <v>22</v>
      </c>
      <c r="K10391" s="8" t="s">
        <v>218</v>
      </c>
      <c r="L10391" s="8" t="s">
        <v>13179</v>
      </c>
      <c r="M10391" s="8" t="s">
        <v>13180</v>
      </c>
      <c r="N10391" s="8" t="s">
        <v>44493</v>
      </c>
      <c r="O10391" s="8">
        <f>10+10/60+27.9/3600</f>
        <v>10.174416666666666</v>
      </c>
      <c r="P10391" s="8" t="s">
        <v>44494</v>
      </c>
      <c r="Q10391" s="8">
        <f>+(27+57/60+21/3600)</f>
        <v>27.955833333333331</v>
      </c>
      <c r="R10391" s="8">
        <v>13.7</v>
      </c>
      <c r="S10391" s="8">
        <v>14.5</v>
      </c>
      <c r="T10391" s="8">
        <v>0.8</v>
      </c>
      <c r="U10391" s="8">
        <v>13.3</v>
      </c>
      <c r="V10391" s="8">
        <v>1</v>
      </c>
      <c r="W10391" s="8">
        <v>0.8</v>
      </c>
      <c r="X10391" s="8">
        <v>135</v>
      </c>
      <c r="Y10391" s="8" t="s">
        <v>44495</v>
      </c>
      <c r="Z10391" s="8" t="s">
        <v>44496</v>
      </c>
    </row>
    <row r="10392" spans="1:26" x14ac:dyDescent="0.2">
      <c r="A10392" s="8">
        <v>10391</v>
      </c>
      <c r="B10392" s="8" t="s">
        <v>44497</v>
      </c>
      <c r="C10392" s="8" t="s">
        <v>44497</v>
      </c>
      <c r="G10392" s="8">
        <v>20</v>
      </c>
      <c r="H10392" s="8" t="s">
        <v>21</v>
      </c>
      <c r="I10392" s="8" t="s">
        <v>22</v>
      </c>
      <c r="J10392" s="8" t="s">
        <v>22</v>
      </c>
      <c r="K10392" s="8" t="s">
        <v>449</v>
      </c>
      <c r="L10392" s="8" t="s">
        <v>13194</v>
      </c>
      <c r="M10392" s="8" t="s">
        <v>13195</v>
      </c>
      <c r="N10392" s="8" t="s">
        <v>44498</v>
      </c>
      <c r="O10392" s="8">
        <f>10+10/60+40.3/3600</f>
        <v>10.17786111111111</v>
      </c>
      <c r="P10392" s="8" t="s">
        <v>44499</v>
      </c>
      <c r="Q10392" s="8">
        <f>+(24+24/60+53/3600)</f>
        <v>24.41472222222222</v>
      </c>
      <c r="R10392" s="8">
        <v>13.6</v>
      </c>
      <c r="S10392" s="8">
        <v>14.4</v>
      </c>
      <c r="T10392" s="8">
        <v>0.8</v>
      </c>
      <c r="U10392" s="8">
        <v>13.6</v>
      </c>
      <c r="V10392" s="8">
        <v>1</v>
      </c>
      <c r="W10392" s="8">
        <v>0.8</v>
      </c>
      <c r="X10392" s="8">
        <v>33</v>
      </c>
      <c r="Y10392" s="8" t="s">
        <v>5926</v>
      </c>
      <c r="Z10392" s="8" t="s">
        <v>5927</v>
      </c>
    </row>
    <row r="10393" spans="1:26" x14ac:dyDescent="0.2">
      <c r="A10393" s="8">
        <v>10392</v>
      </c>
      <c r="B10393" s="8" t="s">
        <v>44500</v>
      </c>
      <c r="C10393" s="8" t="s">
        <v>44500</v>
      </c>
      <c r="G10393" s="8">
        <v>20</v>
      </c>
      <c r="H10393" s="8" t="s">
        <v>21</v>
      </c>
      <c r="I10393" s="8" t="s">
        <v>22</v>
      </c>
      <c r="J10393" s="8" t="s">
        <v>22</v>
      </c>
      <c r="K10393" s="8" t="s">
        <v>118</v>
      </c>
      <c r="L10393" s="8" t="s">
        <v>13374</v>
      </c>
      <c r="M10393" s="8" t="s">
        <v>13375</v>
      </c>
      <c r="N10393" s="8" t="s">
        <v>44501</v>
      </c>
      <c r="O10393" s="8">
        <f>10+10/60+46.1/3600</f>
        <v>10.179472222222222</v>
      </c>
      <c r="P10393" s="8" t="s">
        <v>44502</v>
      </c>
      <c r="Q10393" s="8">
        <f>-(34+50/60+40/3600)</f>
        <v>-34.844444444444449</v>
      </c>
      <c r="R10393" s="8">
        <v>12.5</v>
      </c>
      <c r="S10393" s="8">
        <v>13.5</v>
      </c>
      <c r="T10393" s="8">
        <v>1</v>
      </c>
      <c r="U10393" s="8">
        <v>13.3</v>
      </c>
      <c r="V10393" s="8">
        <v>1.6</v>
      </c>
      <c r="W10393" s="8">
        <v>1.5</v>
      </c>
      <c r="X10393" s="8">
        <v>96</v>
      </c>
      <c r="Y10393" s="8" t="s">
        <v>44503</v>
      </c>
      <c r="Z10393" s="8" t="s">
        <v>44504</v>
      </c>
    </row>
    <row r="10394" spans="1:26" x14ac:dyDescent="0.2">
      <c r="A10394" s="8">
        <v>10393</v>
      </c>
      <c r="B10394" s="8" t="s">
        <v>44505</v>
      </c>
      <c r="C10394" s="8" t="s">
        <v>44505</v>
      </c>
      <c r="G10394" s="8">
        <v>13</v>
      </c>
      <c r="H10394" s="8" t="s">
        <v>21</v>
      </c>
      <c r="I10394" s="8" t="s">
        <v>241</v>
      </c>
      <c r="J10394" s="8" t="s">
        <v>241</v>
      </c>
      <c r="K10394" s="8" t="s">
        <v>241</v>
      </c>
      <c r="L10394" s="8" t="s">
        <v>10135</v>
      </c>
      <c r="M10394" s="8" t="s">
        <v>10136</v>
      </c>
      <c r="N10394" s="8" t="s">
        <v>44506</v>
      </c>
      <c r="O10394" s="8">
        <f>10+9/60+20.9/3600</f>
        <v>10.155805555555556</v>
      </c>
      <c r="P10394" s="8" t="s">
        <v>44507</v>
      </c>
      <c r="Q10394" s="8">
        <f>-(62+36/60+47/3600)</f>
        <v>-62.613055555555555</v>
      </c>
      <c r="R10394" s="8">
        <v>10.3</v>
      </c>
      <c r="S10394" s="8">
        <v>13</v>
      </c>
      <c r="T10394" s="8">
        <v>99</v>
      </c>
      <c r="U10394" s="8">
        <v>99</v>
      </c>
      <c r="V10394" s="8">
        <v>0.15</v>
      </c>
      <c r="Y10394" s="8" t="s">
        <v>27388</v>
      </c>
      <c r="Z10394" s="8" t="s">
        <v>42798</v>
      </c>
    </row>
    <row r="10395" spans="1:26" x14ac:dyDescent="0.2">
      <c r="A10395" s="8">
        <v>10394</v>
      </c>
      <c r="B10395" s="8" t="s">
        <v>44508</v>
      </c>
      <c r="C10395" s="8" t="s">
        <v>44508</v>
      </c>
      <c r="D10395" s="8" t="s">
        <v>351</v>
      </c>
      <c r="G10395" s="8">
        <v>20</v>
      </c>
      <c r="H10395" s="8" t="s">
        <v>21</v>
      </c>
      <c r="I10395" s="8" t="s">
        <v>22</v>
      </c>
      <c r="J10395" s="8" t="s">
        <v>22</v>
      </c>
      <c r="K10395" s="8" t="s">
        <v>85</v>
      </c>
      <c r="L10395" s="8" t="s">
        <v>10135</v>
      </c>
      <c r="M10395" s="8" t="s">
        <v>10136</v>
      </c>
      <c r="N10395" s="8" t="s">
        <v>44509</v>
      </c>
      <c r="O10395" s="8">
        <f>10+8/60+50.5/3600</f>
        <v>10.147361111111111</v>
      </c>
      <c r="P10395" s="8" t="s">
        <v>44510</v>
      </c>
      <c r="Q10395" s="8">
        <f>-(67+1/60+54/3600)</f>
        <v>-67.031666666666666</v>
      </c>
      <c r="R10395" s="8">
        <v>11.8</v>
      </c>
      <c r="S10395" s="8">
        <v>12.5</v>
      </c>
      <c r="T10395" s="8">
        <v>0.7</v>
      </c>
      <c r="U10395" s="8">
        <v>13.1</v>
      </c>
      <c r="V10395" s="8">
        <v>3</v>
      </c>
      <c r="W10395" s="8">
        <v>1.2</v>
      </c>
      <c r="X10395" s="8">
        <v>175</v>
      </c>
      <c r="Y10395" s="8" t="s">
        <v>44511</v>
      </c>
      <c r="Z10395" s="8" t="s">
        <v>44512</v>
      </c>
    </row>
    <row r="10396" spans="1:26" x14ac:dyDescent="0.2">
      <c r="A10396" s="8">
        <v>10395</v>
      </c>
      <c r="B10396" s="8" t="s">
        <v>44513</v>
      </c>
      <c r="C10396" s="8" t="s">
        <v>44513</v>
      </c>
      <c r="G10396" s="8">
        <v>20</v>
      </c>
      <c r="H10396" s="8" t="s">
        <v>21</v>
      </c>
      <c r="I10396" s="8" t="s">
        <v>22</v>
      </c>
      <c r="J10396" s="8" t="s">
        <v>57</v>
      </c>
      <c r="K10396" s="8" t="s">
        <v>64</v>
      </c>
      <c r="L10396" s="8" t="s">
        <v>13374</v>
      </c>
      <c r="M10396" s="8" t="s">
        <v>13375</v>
      </c>
      <c r="N10396" s="8" t="s">
        <v>14524</v>
      </c>
      <c r="O10396" s="8">
        <f>10+11/60+42.4/3600</f>
        <v>10.195111111111112</v>
      </c>
      <c r="P10396" s="8" t="s">
        <v>14525</v>
      </c>
      <c r="Q10396" s="8">
        <f>-(31+38/60+34/3600)</f>
        <v>-31.642777777777777</v>
      </c>
      <c r="R10396" s="8">
        <v>13.2</v>
      </c>
      <c r="S10396" s="8">
        <v>13.9</v>
      </c>
      <c r="T10396" s="8">
        <v>0.7</v>
      </c>
      <c r="U10396" s="8">
        <v>13.3</v>
      </c>
      <c r="V10396" s="8">
        <v>2.5</v>
      </c>
      <c r="W10396" s="8">
        <v>0.5</v>
      </c>
      <c r="X10396" s="8">
        <v>38</v>
      </c>
      <c r="Y10396" s="8" t="s">
        <v>44514</v>
      </c>
      <c r="Z10396" s="8" t="s">
        <v>44515</v>
      </c>
    </row>
    <row r="10397" spans="1:26" x14ac:dyDescent="0.2">
      <c r="A10397" s="8">
        <v>10396</v>
      </c>
      <c r="B10397" s="8" t="s">
        <v>44516</v>
      </c>
      <c r="C10397" s="8" t="s">
        <v>44516</v>
      </c>
      <c r="G10397" s="8">
        <v>20</v>
      </c>
      <c r="H10397" s="8" t="s">
        <v>21</v>
      </c>
      <c r="I10397" s="8" t="s">
        <v>22</v>
      </c>
      <c r="J10397" s="8" t="s">
        <v>22</v>
      </c>
      <c r="K10397" s="8" t="s">
        <v>1277</v>
      </c>
      <c r="L10397" s="8" t="s">
        <v>13374</v>
      </c>
      <c r="M10397" s="8" t="s">
        <v>13375</v>
      </c>
      <c r="N10397" s="8" t="s">
        <v>44517</v>
      </c>
      <c r="O10397" s="8">
        <f>10+12/60+37.5/3600</f>
        <v>10.210416666666665</v>
      </c>
      <c r="P10397" s="8" t="s">
        <v>44518</v>
      </c>
      <c r="Q10397" s="8">
        <f>-(34+43/60+42/3600)</f>
        <v>-34.728333333333332</v>
      </c>
      <c r="R10397" s="8">
        <v>13.7</v>
      </c>
      <c r="S10397" s="8">
        <v>14.4</v>
      </c>
      <c r="T10397" s="8">
        <v>0.7</v>
      </c>
      <c r="U10397" s="8">
        <v>14.3</v>
      </c>
      <c r="V10397" s="8">
        <v>2</v>
      </c>
      <c r="W10397" s="8">
        <v>1</v>
      </c>
      <c r="X10397" s="8">
        <v>108</v>
      </c>
      <c r="Y10397" s="8" t="s">
        <v>44519</v>
      </c>
      <c r="Z10397" s="8" t="s">
        <v>44520</v>
      </c>
    </row>
    <row r="10398" spans="1:26" x14ac:dyDescent="0.2">
      <c r="A10398" s="8">
        <v>10397</v>
      </c>
      <c r="B10398" s="8" t="s">
        <v>44521</v>
      </c>
      <c r="C10398" s="8" t="s">
        <v>44521</v>
      </c>
      <c r="G10398" s="8">
        <v>20</v>
      </c>
      <c r="H10398" s="8" t="s">
        <v>21</v>
      </c>
      <c r="I10398" s="8" t="s">
        <v>22</v>
      </c>
      <c r="J10398" s="8" t="s">
        <v>22</v>
      </c>
      <c r="K10398" s="8" t="s">
        <v>449</v>
      </c>
      <c r="L10398" s="8" t="s">
        <v>13179</v>
      </c>
      <c r="M10398" s="8" t="s">
        <v>13180</v>
      </c>
      <c r="N10398" s="8" t="s">
        <v>44522</v>
      </c>
      <c r="O10398" s="8">
        <f>10+16/60+5.8/3600</f>
        <v>10.268277777777779</v>
      </c>
      <c r="P10398" s="8" t="s">
        <v>44523</v>
      </c>
      <c r="Q10398" s="8">
        <f>+(38+6/60+30/3600)</f>
        <v>38.108333333333334</v>
      </c>
      <c r="R10398" s="8">
        <v>14.8</v>
      </c>
      <c r="S10398" s="8">
        <v>15.6</v>
      </c>
      <c r="T10398" s="8">
        <v>0.8</v>
      </c>
      <c r="U10398" s="8">
        <v>12.3</v>
      </c>
      <c r="V10398" s="8">
        <v>0.3</v>
      </c>
      <c r="W10398" s="8">
        <v>0.2</v>
      </c>
      <c r="X10398" s="8">
        <v>93</v>
      </c>
      <c r="Y10398" s="8" t="s">
        <v>421</v>
      </c>
      <c r="Z10398" s="8" t="s">
        <v>422</v>
      </c>
    </row>
    <row r="10399" spans="1:26" x14ac:dyDescent="0.2">
      <c r="A10399" s="8">
        <v>10398</v>
      </c>
      <c r="B10399" s="8" t="s">
        <v>44524</v>
      </c>
      <c r="C10399" s="8" t="s">
        <v>44524</v>
      </c>
      <c r="G10399" s="8">
        <v>20</v>
      </c>
      <c r="H10399" s="8" t="s">
        <v>21</v>
      </c>
      <c r="I10399" s="8" t="s">
        <v>22</v>
      </c>
      <c r="J10399" s="8" t="s">
        <v>22</v>
      </c>
      <c r="K10399" s="8" t="s">
        <v>3523</v>
      </c>
      <c r="L10399" s="8" t="s">
        <v>13374</v>
      </c>
      <c r="M10399" s="8" t="s">
        <v>13375</v>
      </c>
      <c r="N10399" s="8" t="s">
        <v>44525</v>
      </c>
      <c r="O10399" s="8">
        <f>10+14/60+44.4/3600</f>
        <v>10.245666666666667</v>
      </c>
      <c r="P10399" s="8" t="s">
        <v>44526</v>
      </c>
      <c r="Q10399" s="8">
        <f>-(34+20/60+13/3600)</f>
        <v>-34.336944444444448</v>
      </c>
      <c r="R10399" s="8">
        <v>13.7</v>
      </c>
      <c r="S10399" s="8">
        <v>14.3</v>
      </c>
      <c r="T10399" s="8">
        <v>0.6</v>
      </c>
      <c r="U10399" s="8">
        <v>13.4</v>
      </c>
      <c r="V10399" s="8">
        <v>1.2</v>
      </c>
      <c r="W10399" s="8">
        <v>0.7</v>
      </c>
      <c r="X10399" s="8">
        <v>13</v>
      </c>
      <c r="Y10399" s="8" t="s">
        <v>44527</v>
      </c>
      <c r="Z10399" s="8" t="s">
        <v>44528</v>
      </c>
    </row>
    <row r="10400" spans="1:26" x14ac:dyDescent="0.2">
      <c r="A10400" s="8">
        <v>10399</v>
      </c>
      <c r="B10400" s="8" t="s">
        <v>44529</v>
      </c>
      <c r="C10400" s="8" t="s">
        <v>44529</v>
      </c>
      <c r="G10400" s="8">
        <v>20</v>
      </c>
      <c r="H10400" s="8" t="s">
        <v>21</v>
      </c>
      <c r="I10400" s="8" t="s">
        <v>22</v>
      </c>
      <c r="J10400" s="8" t="s">
        <v>22</v>
      </c>
      <c r="K10400" s="8" t="s">
        <v>218</v>
      </c>
      <c r="L10400" s="8" t="s">
        <v>13374</v>
      </c>
      <c r="M10400" s="8" t="s">
        <v>13375</v>
      </c>
      <c r="N10400" s="8" t="s">
        <v>44530</v>
      </c>
      <c r="O10400" s="8">
        <f>10+14/60+45.3/3600</f>
        <v>10.245916666666666</v>
      </c>
      <c r="P10400" s="8" t="s">
        <v>44531</v>
      </c>
      <c r="Q10400" s="8">
        <f>-(34+3/60+31/3600)</f>
        <v>-34.058611111111105</v>
      </c>
      <c r="R10400" s="8">
        <v>13.4</v>
      </c>
      <c r="S10400" s="8">
        <v>14.2</v>
      </c>
      <c r="T10400" s="8">
        <v>0.8</v>
      </c>
      <c r="U10400" s="8">
        <v>13.4</v>
      </c>
      <c r="V10400" s="8">
        <v>1.7</v>
      </c>
      <c r="W10400" s="8">
        <v>0.7</v>
      </c>
      <c r="X10400" s="8">
        <v>18</v>
      </c>
      <c r="Y10400" s="8" t="s">
        <v>44532</v>
      </c>
      <c r="Z10400" s="8" t="s">
        <v>44533</v>
      </c>
    </row>
    <row r="10401" spans="1:26" x14ac:dyDescent="0.2">
      <c r="A10401" s="8">
        <v>10400</v>
      </c>
      <c r="B10401" s="8" t="s">
        <v>44534</v>
      </c>
      <c r="C10401" s="8" t="s">
        <v>44534</v>
      </c>
      <c r="G10401" s="8">
        <v>20</v>
      </c>
      <c r="H10401" s="8" t="s">
        <v>21</v>
      </c>
      <c r="I10401" s="8" t="s">
        <v>22</v>
      </c>
      <c r="J10401" s="8" t="s">
        <v>22</v>
      </c>
      <c r="K10401" s="8" t="s">
        <v>218</v>
      </c>
      <c r="L10401" s="8" t="s">
        <v>13374</v>
      </c>
      <c r="M10401" s="8" t="s">
        <v>13375</v>
      </c>
      <c r="N10401" s="8" t="s">
        <v>44535</v>
      </c>
      <c r="O10401" s="8">
        <f>10+16/60+18.6/3600</f>
        <v>10.271833333333333</v>
      </c>
      <c r="P10401" s="8" t="s">
        <v>44536</v>
      </c>
      <c r="Q10401" s="8">
        <f>-(33+33/60+48/3600)</f>
        <v>-33.563333333333333</v>
      </c>
      <c r="R10401" s="8">
        <v>11.7</v>
      </c>
      <c r="S10401" s="8">
        <v>12.5</v>
      </c>
      <c r="T10401" s="8">
        <v>0.8</v>
      </c>
      <c r="U10401" s="8">
        <v>13.5</v>
      </c>
      <c r="V10401" s="8">
        <v>3.1</v>
      </c>
      <c r="W10401" s="8">
        <v>2</v>
      </c>
      <c r="X10401" s="8">
        <v>45</v>
      </c>
      <c r="Y10401" s="8" t="s">
        <v>44537</v>
      </c>
      <c r="Z10401" s="8" t="s">
        <v>44538</v>
      </c>
    </row>
    <row r="10402" spans="1:26" x14ac:dyDescent="0.2">
      <c r="A10402" s="8">
        <v>10401</v>
      </c>
      <c r="B10402" s="8" t="s">
        <v>44539</v>
      </c>
      <c r="C10402" s="8" t="s">
        <v>44539</v>
      </c>
      <c r="G10402" s="8">
        <v>20</v>
      </c>
      <c r="H10402" s="8" t="s">
        <v>21</v>
      </c>
      <c r="I10402" s="8" t="s">
        <v>22</v>
      </c>
      <c r="J10402" s="8" t="s">
        <v>22</v>
      </c>
      <c r="K10402" s="8" t="s">
        <v>23</v>
      </c>
      <c r="L10402" s="8" t="s">
        <v>13179</v>
      </c>
      <c r="M10402" s="8" t="s">
        <v>13180</v>
      </c>
      <c r="N10402" s="8" t="s">
        <v>44540</v>
      </c>
      <c r="O10402" s="8">
        <f>10+19/60+8.5/3600</f>
        <v>10.319027777777778</v>
      </c>
      <c r="P10402" s="8" t="s">
        <v>44541</v>
      </c>
      <c r="Q10402" s="8">
        <f>+(34+40/60+28/3600)</f>
        <v>34.67444444444444</v>
      </c>
      <c r="R10402" s="8">
        <v>14.1</v>
      </c>
      <c r="S10402" s="8">
        <v>14.9</v>
      </c>
      <c r="T10402" s="8">
        <v>0.8</v>
      </c>
      <c r="U10402" s="8">
        <v>13.1</v>
      </c>
      <c r="V10402" s="8">
        <v>0.9</v>
      </c>
      <c r="W10402" s="8">
        <v>0.5</v>
      </c>
      <c r="X10402" s="8">
        <v>14</v>
      </c>
      <c r="Y10402" s="8" t="s">
        <v>44542</v>
      </c>
      <c r="Z10402" s="8" t="s">
        <v>44543</v>
      </c>
    </row>
    <row r="10403" spans="1:26" x14ac:dyDescent="0.2">
      <c r="A10403" s="8">
        <v>10402</v>
      </c>
      <c r="B10403" s="8" t="s">
        <v>44544</v>
      </c>
      <c r="C10403" s="8" t="s">
        <v>44544</v>
      </c>
      <c r="G10403" s="8">
        <v>20</v>
      </c>
      <c r="H10403" s="8" t="s">
        <v>21</v>
      </c>
      <c r="I10403" s="8" t="s">
        <v>22</v>
      </c>
      <c r="J10403" s="8" t="s">
        <v>22</v>
      </c>
      <c r="K10403" s="8" t="s">
        <v>160</v>
      </c>
      <c r="L10403" s="8" t="s">
        <v>13194</v>
      </c>
      <c r="M10403" s="8" t="s">
        <v>13195</v>
      </c>
      <c r="N10403" s="8" t="s">
        <v>44545</v>
      </c>
      <c r="O10403" s="8">
        <f>10+18/60+54.4/3600</f>
        <v>10.315111111111111</v>
      </c>
      <c r="P10403" s="8" t="s">
        <v>44546</v>
      </c>
      <c r="Q10403" s="8">
        <f>+(16+9/60+18/3600)</f>
        <v>16.154999999999998</v>
      </c>
      <c r="R10403" s="8">
        <v>14.5</v>
      </c>
      <c r="S10403" s="8">
        <v>15.2</v>
      </c>
      <c r="T10403" s="8">
        <v>0.7</v>
      </c>
      <c r="U10403" s="8">
        <v>13</v>
      </c>
      <c r="V10403" s="8">
        <v>0.7</v>
      </c>
      <c r="W10403" s="8">
        <v>0.4</v>
      </c>
      <c r="X10403" s="8">
        <v>170</v>
      </c>
      <c r="Y10403" s="8" t="s">
        <v>44547</v>
      </c>
      <c r="Z10403" s="8" t="s">
        <v>44548</v>
      </c>
    </row>
    <row r="10404" spans="1:26" x14ac:dyDescent="0.2">
      <c r="A10404" s="8">
        <v>10403</v>
      </c>
      <c r="B10404" s="8" t="s">
        <v>44549</v>
      </c>
      <c r="C10404" s="8" t="s">
        <v>44549</v>
      </c>
      <c r="G10404" s="8">
        <v>20</v>
      </c>
      <c r="H10404" s="8" t="s">
        <v>21</v>
      </c>
      <c r="I10404" s="8" t="s">
        <v>22</v>
      </c>
      <c r="J10404" s="8" t="s">
        <v>22</v>
      </c>
      <c r="K10404" s="8" t="s">
        <v>1420</v>
      </c>
      <c r="L10404" s="8" t="s">
        <v>13374</v>
      </c>
      <c r="M10404" s="8" t="s">
        <v>13375</v>
      </c>
      <c r="N10404" s="8" t="s">
        <v>44550</v>
      </c>
      <c r="O10404" s="8">
        <f>10+18/60+51.9/3600</f>
        <v>10.314416666666668</v>
      </c>
      <c r="P10404" s="8" t="s">
        <v>44551</v>
      </c>
      <c r="Q10404" s="8">
        <f>-(32+35/60+48/3600)</f>
        <v>-32.596666666666671</v>
      </c>
      <c r="R10404" s="8">
        <v>15</v>
      </c>
      <c r="S10404" s="8">
        <v>15.7</v>
      </c>
      <c r="T10404" s="8">
        <v>0.7</v>
      </c>
      <c r="U10404" s="8">
        <v>13.9</v>
      </c>
      <c r="V10404" s="8">
        <v>1.1000000000000001</v>
      </c>
      <c r="W10404" s="8">
        <v>0.5</v>
      </c>
      <c r="X10404" s="8">
        <v>106</v>
      </c>
      <c r="Y10404" s="8" t="s">
        <v>21</v>
      </c>
      <c r="Z10404" s="8" t="s">
        <v>44552</v>
      </c>
    </row>
    <row r="10405" spans="1:26" x14ac:dyDescent="0.2">
      <c r="A10405" s="8">
        <v>10404</v>
      </c>
      <c r="B10405" s="8" t="s">
        <v>44553</v>
      </c>
      <c r="C10405" s="8" t="s">
        <v>44553</v>
      </c>
      <c r="G10405" s="8">
        <v>20</v>
      </c>
      <c r="H10405" s="8" t="s">
        <v>21</v>
      </c>
      <c r="I10405" s="8" t="s">
        <v>22</v>
      </c>
      <c r="J10405" s="8" t="s">
        <v>22</v>
      </c>
      <c r="K10405" s="8" t="s">
        <v>460</v>
      </c>
      <c r="L10405" s="8" t="s">
        <v>13179</v>
      </c>
      <c r="M10405" s="8" t="s">
        <v>13180</v>
      </c>
      <c r="N10405" s="8" t="s">
        <v>44554</v>
      </c>
      <c r="O10405" s="8">
        <f>10+21/60+27.6/3600</f>
        <v>10.357666666666667</v>
      </c>
      <c r="P10405" s="8" t="s">
        <v>44555</v>
      </c>
      <c r="Q10405" s="8">
        <f>+(36+27/60+9/3600)</f>
        <v>36.452500000000001</v>
      </c>
      <c r="R10405" s="8">
        <v>15.2</v>
      </c>
      <c r="S10405" s="8">
        <v>16.2</v>
      </c>
      <c r="T10405" s="8">
        <v>1</v>
      </c>
      <c r="U10405" s="8">
        <v>13.3</v>
      </c>
      <c r="V10405" s="8">
        <v>0.4</v>
      </c>
      <c r="W10405" s="8">
        <v>0.4</v>
      </c>
      <c r="Y10405" s="8" t="s">
        <v>44556</v>
      </c>
      <c r="Z10405" s="8" t="s">
        <v>44557</v>
      </c>
    </row>
    <row r="10406" spans="1:26" x14ac:dyDescent="0.2">
      <c r="A10406" s="8">
        <v>10405</v>
      </c>
      <c r="B10406" s="8" t="s">
        <v>44558</v>
      </c>
      <c r="C10406" s="8" t="s">
        <v>44558</v>
      </c>
      <c r="G10406" s="8">
        <v>20</v>
      </c>
      <c r="H10406" s="8" t="s">
        <v>21</v>
      </c>
      <c r="I10406" s="8" t="s">
        <v>22</v>
      </c>
      <c r="J10406" s="8" t="s">
        <v>22</v>
      </c>
      <c r="K10406" s="8" t="s">
        <v>37</v>
      </c>
      <c r="L10406" s="8" t="s">
        <v>13179</v>
      </c>
      <c r="M10406" s="8" t="s">
        <v>13180</v>
      </c>
      <c r="N10406" s="8" t="s">
        <v>44559</v>
      </c>
      <c r="O10406" s="8">
        <f>10+21/60+17.9/3600</f>
        <v>10.354972222222221</v>
      </c>
      <c r="P10406" s="8" t="s">
        <v>44560</v>
      </c>
      <c r="Q10406" s="8">
        <f>+(27+55/60+48/3600)</f>
        <v>27.93</v>
      </c>
      <c r="R10406" s="8">
        <v>14.2</v>
      </c>
      <c r="S10406" s="8">
        <v>15.2</v>
      </c>
      <c r="T10406" s="8">
        <v>1</v>
      </c>
      <c r="U10406" s="8">
        <v>11.3</v>
      </c>
      <c r="V10406" s="8">
        <v>0.4</v>
      </c>
      <c r="W10406" s="8">
        <v>0.2</v>
      </c>
      <c r="X10406" s="8">
        <v>80</v>
      </c>
      <c r="Y10406" s="8" t="s">
        <v>5926</v>
      </c>
      <c r="Z10406" s="8" t="s">
        <v>5927</v>
      </c>
    </row>
    <row r="10407" spans="1:26" x14ac:dyDescent="0.2">
      <c r="A10407" s="8">
        <v>10406</v>
      </c>
      <c r="B10407" s="8" t="s">
        <v>44561</v>
      </c>
      <c r="C10407" s="8" t="s">
        <v>44561</v>
      </c>
      <c r="G10407" s="8">
        <v>20</v>
      </c>
      <c r="H10407" s="8" t="s">
        <v>21</v>
      </c>
      <c r="I10407" s="8" t="s">
        <v>22</v>
      </c>
      <c r="J10407" s="8" t="s">
        <v>22</v>
      </c>
      <c r="K10407" s="8" t="s">
        <v>37</v>
      </c>
      <c r="L10407" s="8" t="s">
        <v>13179</v>
      </c>
      <c r="M10407" s="8" t="s">
        <v>13180</v>
      </c>
      <c r="N10407" s="8" t="s">
        <v>44562</v>
      </c>
      <c r="O10407" s="8">
        <f>10+22/60+19.4/3600</f>
        <v>10.372055555555557</v>
      </c>
      <c r="P10407" s="8" t="s">
        <v>44563</v>
      </c>
      <c r="Q10407" s="8">
        <f>+(36+35/60+0/3600)</f>
        <v>36.583333333333336</v>
      </c>
      <c r="R10407" s="8">
        <v>14</v>
      </c>
      <c r="S10407" s="8">
        <v>15</v>
      </c>
      <c r="T10407" s="8">
        <v>1</v>
      </c>
      <c r="U10407" s="8">
        <v>12.9</v>
      </c>
      <c r="V10407" s="8">
        <v>0.8</v>
      </c>
      <c r="W10407" s="8">
        <v>0.5</v>
      </c>
      <c r="X10407" s="8">
        <v>3</v>
      </c>
      <c r="Y10407" s="8" t="s">
        <v>37070</v>
      </c>
      <c r="Z10407" s="8" t="s">
        <v>37071</v>
      </c>
    </row>
    <row r="10408" spans="1:26" x14ac:dyDescent="0.2">
      <c r="A10408" s="8">
        <v>10407</v>
      </c>
      <c r="B10408" s="8" t="s">
        <v>44564</v>
      </c>
      <c r="C10408" s="8" t="s">
        <v>44564</v>
      </c>
      <c r="G10408" s="8">
        <v>20</v>
      </c>
      <c r="H10408" s="8" t="s">
        <v>21</v>
      </c>
      <c r="I10408" s="8" t="s">
        <v>22</v>
      </c>
      <c r="J10408" s="8" t="s">
        <v>22</v>
      </c>
      <c r="K10408" s="8" t="s">
        <v>224</v>
      </c>
      <c r="L10408" s="8" t="s">
        <v>13194</v>
      </c>
      <c r="M10408" s="8" t="s">
        <v>13195</v>
      </c>
      <c r="N10408" s="8" t="s">
        <v>44565</v>
      </c>
      <c r="O10408" s="8">
        <f>10+21/60+57.9/3600</f>
        <v>10.366083333333332</v>
      </c>
      <c r="P10408" s="8" t="s">
        <v>44566</v>
      </c>
      <c r="Q10408" s="8">
        <f>+(24+39/60+19/3600)</f>
        <v>24.655277777777776</v>
      </c>
      <c r="R10408" s="8">
        <v>14.4</v>
      </c>
      <c r="S10408" s="8">
        <v>15.4</v>
      </c>
      <c r="T10408" s="8">
        <v>1</v>
      </c>
      <c r="U10408" s="8">
        <v>13.7</v>
      </c>
      <c r="V10408" s="8">
        <v>0.9</v>
      </c>
      <c r="W10408" s="8">
        <v>0.7</v>
      </c>
      <c r="Y10408" s="8" t="s">
        <v>34876</v>
      </c>
      <c r="Z10408" s="8" t="s">
        <v>34877</v>
      </c>
    </row>
    <row r="10409" spans="1:26" x14ac:dyDescent="0.2">
      <c r="A10409" s="8">
        <v>10408</v>
      </c>
      <c r="B10409" s="8" t="s">
        <v>44567</v>
      </c>
      <c r="C10409" s="8" t="s">
        <v>44567</v>
      </c>
      <c r="G10409" s="8">
        <v>20</v>
      </c>
      <c r="H10409" s="8" t="s">
        <v>21</v>
      </c>
      <c r="I10409" s="8" t="s">
        <v>22</v>
      </c>
      <c r="J10409" s="8" t="s">
        <v>22</v>
      </c>
      <c r="K10409" s="8" t="s">
        <v>154</v>
      </c>
      <c r="L10409" s="8" t="s">
        <v>13179</v>
      </c>
      <c r="M10409" s="8" t="s">
        <v>13180</v>
      </c>
      <c r="N10409" s="8" t="s">
        <v>44568</v>
      </c>
      <c r="O10409" s="8">
        <f>10+22/60+30/3600</f>
        <v>10.375</v>
      </c>
      <c r="P10409" s="8" t="s">
        <v>44569</v>
      </c>
      <c r="Q10409" s="8">
        <f>+(36+35/60+59/3600)</f>
        <v>36.599722222222226</v>
      </c>
      <c r="R10409" s="8">
        <v>14.1</v>
      </c>
      <c r="S10409" s="8">
        <v>15</v>
      </c>
      <c r="T10409" s="8">
        <v>0.9</v>
      </c>
      <c r="U10409" s="8">
        <v>13.6</v>
      </c>
      <c r="V10409" s="8">
        <v>1.2</v>
      </c>
      <c r="W10409" s="8">
        <v>0.6</v>
      </c>
      <c r="X10409" s="8">
        <v>98</v>
      </c>
      <c r="Y10409" s="8" t="s">
        <v>41073</v>
      </c>
      <c r="Z10409" s="8" t="s">
        <v>41074</v>
      </c>
    </row>
    <row r="10410" spans="1:26" x14ac:dyDescent="0.2">
      <c r="A10410" s="8">
        <v>10409</v>
      </c>
      <c r="B10410" s="8" t="s">
        <v>44570</v>
      </c>
      <c r="C10410" s="8" t="s">
        <v>44570</v>
      </c>
      <c r="G10410" s="8">
        <v>20</v>
      </c>
      <c r="H10410" s="8" t="s">
        <v>21</v>
      </c>
      <c r="I10410" s="8" t="s">
        <v>22</v>
      </c>
      <c r="J10410" s="8" t="s">
        <v>22</v>
      </c>
      <c r="K10410" s="8" t="s">
        <v>460</v>
      </c>
      <c r="L10410" s="8" t="s">
        <v>13194</v>
      </c>
      <c r="M10410" s="8" t="s">
        <v>13195</v>
      </c>
      <c r="N10410" s="8" t="s">
        <v>44571</v>
      </c>
      <c r="O10410" s="8">
        <f>10+22/60+53.5/3600</f>
        <v>10.381527777777778</v>
      </c>
      <c r="P10410" s="8" t="s">
        <v>44572</v>
      </c>
      <c r="Q10410" s="8">
        <f>+(24+36/60+25/3600)</f>
        <v>24.606944444444444</v>
      </c>
      <c r="R10410" s="8">
        <v>14.4</v>
      </c>
      <c r="S10410" s="8">
        <v>15.4</v>
      </c>
      <c r="T10410" s="8">
        <v>1</v>
      </c>
      <c r="U10410" s="8">
        <v>11.9</v>
      </c>
      <c r="V10410" s="8">
        <v>0.3</v>
      </c>
      <c r="W10410" s="8">
        <v>0.3</v>
      </c>
      <c r="Y10410" s="8" t="s">
        <v>44573</v>
      </c>
      <c r="Z10410" s="8" t="s">
        <v>44574</v>
      </c>
    </row>
    <row r="10411" spans="1:26" x14ac:dyDescent="0.2">
      <c r="A10411" s="8">
        <v>10410</v>
      </c>
      <c r="B10411" s="8" t="s">
        <v>44575</v>
      </c>
      <c r="C10411" s="8" t="s">
        <v>44575</v>
      </c>
      <c r="G10411" s="8">
        <v>20</v>
      </c>
      <c r="H10411" s="8" t="s">
        <v>21</v>
      </c>
      <c r="I10411" s="8" t="s">
        <v>22</v>
      </c>
      <c r="J10411" s="8" t="s">
        <v>22</v>
      </c>
      <c r="K10411" s="8" t="s">
        <v>85</v>
      </c>
      <c r="L10411" s="8" t="s">
        <v>13374</v>
      </c>
      <c r="M10411" s="8" t="s">
        <v>13375</v>
      </c>
      <c r="N10411" s="8" t="s">
        <v>44576</v>
      </c>
      <c r="O10411" s="8">
        <f>10+21/60+34.3/3600</f>
        <v>10.359527777777778</v>
      </c>
      <c r="P10411" s="8" t="s">
        <v>44577</v>
      </c>
      <c r="Q10411" s="8">
        <f>-(33+37/60+24/3600)</f>
        <v>-33.623333333333335</v>
      </c>
      <c r="R10411" s="8">
        <v>14.9</v>
      </c>
      <c r="S10411" s="8">
        <v>15.7</v>
      </c>
      <c r="T10411" s="8">
        <v>0.8</v>
      </c>
      <c r="U10411" s="8">
        <v>13.7</v>
      </c>
      <c r="V10411" s="8">
        <v>0.8</v>
      </c>
      <c r="W10411" s="8">
        <v>0.5</v>
      </c>
      <c r="X10411" s="8">
        <v>165</v>
      </c>
      <c r="Y10411" s="8" t="s">
        <v>44578</v>
      </c>
      <c r="Z10411" s="8" t="s">
        <v>44579</v>
      </c>
    </row>
    <row r="10412" spans="1:26" x14ac:dyDescent="0.2">
      <c r="A10412" s="8">
        <v>10411</v>
      </c>
      <c r="B10412" s="8" t="s">
        <v>44580</v>
      </c>
      <c r="C10412" s="8" t="s">
        <v>44580</v>
      </c>
      <c r="G10412" s="8">
        <v>20</v>
      </c>
      <c r="H10412" s="8" t="s">
        <v>21</v>
      </c>
      <c r="I10412" s="8" t="s">
        <v>22</v>
      </c>
      <c r="J10412" s="8" t="s">
        <v>57</v>
      </c>
      <c r="K10412" s="8" t="s">
        <v>23</v>
      </c>
      <c r="L10412" s="8" t="s">
        <v>13374</v>
      </c>
      <c r="M10412" s="8" t="s">
        <v>13375</v>
      </c>
      <c r="N10412" s="8" t="s">
        <v>14816</v>
      </c>
      <c r="O10412" s="8">
        <f>10+21/60+34.8/3600</f>
        <v>10.359666666666666</v>
      </c>
      <c r="P10412" s="8" t="s">
        <v>14817</v>
      </c>
      <c r="Q10412" s="8">
        <f>-(34+16/60+1/3600)</f>
        <v>-34.266944444444441</v>
      </c>
      <c r="R10412" s="8">
        <v>11</v>
      </c>
      <c r="S10412" s="8">
        <v>11.8</v>
      </c>
      <c r="T10412" s="8">
        <v>0.8</v>
      </c>
      <c r="U10412" s="8">
        <v>13.3</v>
      </c>
      <c r="V10412" s="8">
        <v>4.0999999999999996</v>
      </c>
      <c r="W10412" s="8">
        <v>2.7</v>
      </c>
      <c r="X10412" s="8">
        <v>135</v>
      </c>
      <c r="Y10412" s="8" t="s">
        <v>21</v>
      </c>
      <c r="Z10412" s="8" t="s">
        <v>44581</v>
      </c>
    </row>
    <row r="10413" spans="1:26" x14ac:dyDescent="0.2">
      <c r="A10413" s="8">
        <v>10412</v>
      </c>
      <c r="B10413" s="8" t="s">
        <v>44582</v>
      </c>
      <c r="C10413" s="8" t="s">
        <v>44582</v>
      </c>
      <c r="G10413" s="8">
        <v>20</v>
      </c>
      <c r="H10413" s="8" t="s">
        <v>21</v>
      </c>
      <c r="I10413" s="8" t="s">
        <v>22</v>
      </c>
      <c r="J10413" s="8" t="s">
        <v>22</v>
      </c>
      <c r="K10413" s="8" t="s">
        <v>12849</v>
      </c>
      <c r="L10413" s="8" t="s">
        <v>13179</v>
      </c>
      <c r="M10413" s="8" t="s">
        <v>13180</v>
      </c>
      <c r="N10413" s="8" t="s">
        <v>44583</v>
      </c>
      <c r="O10413" s="8">
        <f>10+25/60+7.2/3600</f>
        <v>10.418666666666667</v>
      </c>
      <c r="P10413" s="8" t="s">
        <v>44584</v>
      </c>
      <c r="Q10413" s="8">
        <f>+(28+5/60+39/3600)</f>
        <v>28.094166666666666</v>
      </c>
      <c r="R10413" s="8">
        <v>14.6</v>
      </c>
      <c r="S10413" s="8">
        <v>15.5</v>
      </c>
      <c r="T10413" s="8">
        <v>0.9</v>
      </c>
      <c r="U10413" s="8">
        <v>13.6</v>
      </c>
      <c r="V10413" s="8">
        <v>0.9</v>
      </c>
      <c r="W10413" s="8">
        <v>0.5</v>
      </c>
      <c r="X10413" s="8">
        <v>27</v>
      </c>
      <c r="Y10413" s="8" t="s">
        <v>43487</v>
      </c>
      <c r="Z10413" s="8" t="s">
        <v>43488</v>
      </c>
    </row>
    <row r="10414" spans="1:26" x14ac:dyDescent="0.2">
      <c r="A10414" s="8">
        <v>10413</v>
      </c>
      <c r="B10414" s="8" t="s">
        <v>44585</v>
      </c>
      <c r="C10414" s="8" t="s">
        <v>44585</v>
      </c>
      <c r="G10414" s="8">
        <v>20</v>
      </c>
      <c r="H10414" s="8" t="s">
        <v>21</v>
      </c>
      <c r="I10414" s="8" t="s">
        <v>22</v>
      </c>
      <c r="J10414" s="8" t="s">
        <v>22</v>
      </c>
      <c r="K10414" s="8" t="s">
        <v>1277</v>
      </c>
      <c r="L10414" s="8" t="s">
        <v>13374</v>
      </c>
      <c r="M10414" s="8" t="s">
        <v>13375</v>
      </c>
      <c r="N10414" s="8" t="s">
        <v>44586</v>
      </c>
      <c r="O10414" s="8">
        <f>10+23/60+30.2/3600</f>
        <v>10.391722222222223</v>
      </c>
      <c r="P10414" s="8" t="s">
        <v>44587</v>
      </c>
      <c r="Q10414" s="8">
        <f>-(35+27/60+23/3600)</f>
        <v>-35.456388888888888</v>
      </c>
      <c r="R10414" s="8">
        <v>14.5</v>
      </c>
      <c r="S10414" s="8">
        <v>15.2</v>
      </c>
      <c r="T10414" s="8">
        <v>0.7</v>
      </c>
      <c r="U10414" s="8">
        <v>13.5</v>
      </c>
      <c r="V10414" s="8">
        <v>1.5</v>
      </c>
      <c r="W10414" s="8">
        <v>0.4</v>
      </c>
      <c r="X10414" s="8">
        <v>2</v>
      </c>
      <c r="Y10414" s="8" t="s">
        <v>44588</v>
      </c>
      <c r="Z10414" s="8" t="s">
        <v>44589</v>
      </c>
    </row>
    <row r="10415" spans="1:26" x14ac:dyDescent="0.2">
      <c r="A10415" s="8">
        <v>10414</v>
      </c>
      <c r="B10415" s="8" t="s">
        <v>44590</v>
      </c>
      <c r="C10415" s="8" t="s">
        <v>44590</v>
      </c>
      <c r="G10415" s="8">
        <v>11</v>
      </c>
      <c r="H10415" s="8" t="s">
        <v>44591</v>
      </c>
      <c r="I10415" s="8" t="s">
        <v>22</v>
      </c>
      <c r="J10415" s="8" t="s">
        <v>22</v>
      </c>
      <c r="K10415" s="8" t="s">
        <v>323</v>
      </c>
      <c r="L10415" s="8" t="s">
        <v>12015</v>
      </c>
      <c r="M10415" s="8" t="s">
        <v>12016</v>
      </c>
      <c r="N10415" s="8" t="s">
        <v>44592</v>
      </c>
      <c r="O10415" s="8">
        <f>10+28/60+22.4/3600</f>
        <v>10.472888888888889</v>
      </c>
      <c r="P10415" s="8" t="s">
        <v>44593</v>
      </c>
      <c r="Q10415" s="8">
        <f>+(68+25/60+0/3600)</f>
        <v>68.416666666666671</v>
      </c>
      <c r="R10415" s="8">
        <v>10.4</v>
      </c>
      <c r="S10415" s="8">
        <v>10.8</v>
      </c>
      <c r="T10415" s="8">
        <v>0.4</v>
      </c>
      <c r="U10415" s="8">
        <v>14.8</v>
      </c>
      <c r="V10415" s="8">
        <v>13.2</v>
      </c>
      <c r="W10415" s="8">
        <v>5.4</v>
      </c>
      <c r="X10415" s="8">
        <v>41</v>
      </c>
      <c r="Y10415" s="8" t="s">
        <v>44594</v>
      </c>
      <c r="Z10415" s="8" t="s">
        <v>44595</v>
      </c>
    </row>
    <row r="10416" spans="1:26" x14ac:dyDescent="0.2">
      <c r="A10416" s="8">
        <v>10415</v>
      </c>
      <c r="B10416" s="8" t="s">
        <v>44596</v>
      </c>
      <c r="C10416" s="8" t="s">
        <v>44596</v>
      </c>
      <c r="G10416" s="8">
        <v>20</v>
      </c>
      <c r="H10416" s="8" t="s">
        <v>21</v>
      </c>
      <c r="I10416" s="8" t="s">
        <v>22</v>
      </c>
      <c r="J10416" s="8" t="s">
        <v>22</v>
      </c>
      <c r="K10416" s="8" t="s">
        <v>160</v>
      </c>
      <c r="L10416" s="8" t="s">
        <v>13374</v>
      </c>
      <c r="M10416" s="8" t="s">
        <v>13375</v>
      </c>
      <c r="N10416" s="8" t="s">
        <v>44597</v>
      </c>
      <c r="O10416" s="8">
        <f>10+25/60+24/3600</f>
        <v>10.423333333333332</v>
      </c>
      <c r="P10416" s="8" t="s">
        <v>44598</v>
      </c>
      <c r="Q10416" s="8">
        <f>-(32+38/60+10/3600)</f>
        <v>-32.636111111111113</v>
      </c>
      <c r="R10416" s="8">
        <v>15.1</v>
      </c>
      <c r="S10416" s="8">
        <v>15.9</v>
      </c>
      <c r="T10416" s="8">
        <v>0.8</v>
      </c>
      <c r="U10416" s="8">
        <v>13.8</v>
      </c>
      <c r="V10416" s="8">
        <v>0.7</v>
      </c>
      <c r="W10416" s="8">
        <v>0.5</v>
      </c>
      <c r="X10416" s="8">
        <v>120</v>
      </c>
      <c r="Y10416" s="8" t="s">
        <v>385</v>
      </c>
      <c r="Z10416" s="8" t="s">
        <v>386</v>
      </c>
    </row>
    <row r="10417" spans="1:26" x14ac:dyDescent="0.2">
      <c r="A10417" s="8">
        <v>10416</v>
      </c>
      <c r="B10417" s="8" t="s">
        <v>44599</v>
      </c>
      <c r="C10417" s="8" t="s">
        <v>44599</v>
      </c>
      <c r="G10417" s="8">
        <v>20</v>
      </c>
      <c r="H10417" s="8" t="s">
        <v>21</v>
      </c>
      <c r="I10417" s="8" t="s">
        <v>22</v>
      </c>
      <c r="J10417" s="8" t="s">
        <v>22</v>
      </c>
      <c r="K10417" s="8" t="s">
        <v>396</v>
      </c>
      <c r="L10417" s="8" t="s">
        <v>13374</v>
      </c>
      <c r="M10417" s="8" t="s">
        <v>13375</v>
      </c>
      <c r="N10417" s="8" t="s">
        <v>44600</v>
      </c>
      <c r="O10417" s="8">
        <f>10+25/60+58.9/3600</f>
        <v>10.433027777777777</v>
      </c>
      <c r="P10417" s="8" t="s">
        <v>44601</v>
      </c>
      <c r="Q10417" s="8">
        <f>-(32+54/60+13/3600)</f>
        <v>-32.903611111111111</v>
      </c>
      <c r="R10417" s="8">
        <v>14</v>
      </c>
      <c r="S10417" s="8">
        <v>14.8</v>
      </c>
      <c r="T10417" s="8">
        <v>0.8</v>
      </c>
      <c r="U10417" s="8">
        <v>13.2</v>
      </c>
      <c r="V10417" s="8">
        <v>0.8</v>
      </c>
      <c r="W10417" s="8">
        <v>0.7</v>
      </c>
      <c r="X10417" s="8">
        <v>48</v>
      </c>
      <c r="Y10417" s="8" t="s">
        <v>895</v>
      </c>
      <c r="Z10417" s="8" t="s">
        <v>896</v>
      </c>
    </row>
    <row r="10418" spans="1:26" x14ac:dyDescent="0.2">
      <c r="A10418" s="8">
        <v>10417</v>
      </c>
      <c r="B10418" s="8" t="s">
        <v>44602</v>
      </c>
      <c r="C10418" s="8" t="s">
        <v>44602</v>
      </c>
      <c r="G10418" s="8">
        <v>20</v>
      </c>
      <c r="H10418" s="8" t="s">
        <v>21</v>
      </c>
      <c r="I10418" s="8" t="s">
        <v>22</v>
      </c>
      <c r="J10418" s="8" t="s">
        <v>22</v>
      </c>
      <c r="K10418" s="8" t="s">
        <v>23</v>
      </c>
      <c r="L10418" s="8" t="s">
        <v>13179</v>
      </c>
      <c r="M10418" s="8" t="s">
        <v>13180</v>
      </c>
      <c r="N10418" s="8" t="s">
        <v>44603</v>
      </c>
      <c r="O10418" s="8">
        <f>10+28/60+1.4/3600</f>
        <v>10.467055555555556</v>
      </c>
      <c r="P10418" s="8" t="s">
        <v>44604</v>
      </c>
      <c r="Q10418" s="8">
        <f>+(32+45/60+48/3600)</f>
        <v>32.763333333333335</v>
      </c>
      <c r="R10418" s="8">
        <v>15.1</v>
      </c>
      <c r="S10418" s="8">
        <v>15.9</v>
      </c>
      <c r="T10418" s="8">
        <v>0.8</v>
      </c>
      <c r="U10418" s="8">
        <v>13.4</v>
      </c>
      <c r="V10418" s="8">
        <v>0.6</v>
      </c>
      <c r="W10418" s="8">
        <v>0.4</v>
      </c>
      <c r="X10418" s="8">
        <v>102</v>
      </c>
      <c r="Y10418" s="8" t="s">
        <v>44605</v>
      </c>
      <c r="Z10418" s="8" t="s">
        <v>44606</v>
      </c>
    </row>
    <row r="10419" spans="1:26" x14ac:dyDescent="0.2">
      <c r="A10419" s="8">
        <v>10418</v>
      </c>
      <c r="B10419" s="8" t="s">
        <v>44607</v>
      </c>
      <c r="C10419" s="8" t="s">
        <v>44607</v>
      </c>
      <c r="G10419" s="8">
        <v>20</v>
      </c>
      <c r="H10419" s="8" t="s">
        <v>21</v>
      </c>
      <c r="I10419" s="8" t="s">
        <v>22</v>
      </c>
      <c r="J10419" s="8" t="s">
        <v>22</v>
      </c>
      <c r="K10419" s="8" t="s">
        <v>160</v>
      </c>
      <c r="L10419" s="8" t="s">
        <v>13374</v>
      </c>
      <c r="M10419" s="8" t="s">
        <v>13375</v>
      </c>
      <c r="N10419" s="8" t="s">
        <v>44608</v>
      </c>
      <c r="O10419" s="8">
        <f>10+27/60+22.7/3600</f>
        <v>10.456305555555554</v>
      </c>
      <c r="P10419" s="8" t="s">
        <v>44609</v>
      </c>
      <c r="Q10419" s="8">
        <f>-(33+52/60+42/3600)</f>
        <v>-33.87833333333333</v>
      </c>
      <c r="R10419" s="8">
        <v>14.2</v>
      </c>
      <c r="S10419" s="8">
        <v>14.9</v>
      </c>
      <c r="T10419" s="8">
        <v>0.7</v>
      </c>
      <c r="U10419" s="8">
        <v>13.2</v>
      </c>
      <c r="V10419" s="8">
        <v>1.5</v>
      </c>
      <c r="W10419" s="8">
        <v>0.3</v>
      </c>
      <c r="X10419" s="8">
        <v>141</v>
      </c>
      <c r="Y10419" s="8" t="s">
        <v>21</v>
      </c>
      <c r="Z10419" s="8" t="s">
        <v>44610</v>
      </c>
    </row>
    <row r="10420" spans="1:26" x14ac:dyDescent="0.2">
      <c r="A10420" s="8">
        <v>10419</v>
      </c>
      <c r="B10420" s="8" t="s">
        <v>44611</v>
      </c>
      <c r="C10420" s="8" t="s">
        <v>44611</v>
      </c>
      <c r="G10420" s="8">
        <v>20</v>
      </c>
      <c r="H10420" s="8" t="s">
        <v>21</v>
      </c>
      <c r="I10420" s="8" t="s">
        <v>22</v>
      </c>
      <c r="J10420" s="8" t="s">
        <v>57</v>
      </c>
      <c r="K10420" s="8" t="s">
        <v>64</v>
      </c>
      <c r="L10420" s="8" t="s">
        <v>13194</v>
      </c>
      <c r="M10420" s="8" t="s">
        <v>13195</v>
      </c>
      <c r="N10420" s="8" t="s">
        <v>14950</v>
      </c>
      <c r="O10420" s="8">
        <f>10+29/60+16.5/3600</f>
        <v>10.487916666666665</v>
      </c>
      <c r="P10420" s="8" t="s">
        <v>14951</v>
      </c>
      <c r="Q10420" s="8">
        <f>+(26+5/60+56/3600)</f>
        <v>26.098888888888887</v>
      </c>
      <c r="R10420" s="8">
        <v>13.4</v>
      </c>
      <c r="S10420" s="8">
        <v>14.1</v>
      </c>
      <c r="T10420" s="8">
        <v>0.7</v>
      </c>
      <c r="U10420" s="8">
        <v>13</v>
      </c>
      <c r="V10420" s="8">
        <v>2</v>
      </c>
      <c r="W10420" s="8">
        <v>0.4</v>
      </c>
      <c r="X10420" s="8">
        <v>55</v>
      </c>
      <c r="Y10420" s="8" t="s">
        <v>21</v>
      </c>
      <c r="Z10420" s="8" t="s">
        <v>44612</v>
      </c>
    </row>
    <row r="10421" spans="1:26" x14ac:dyDescent="0.2">
      <c r="A10421" s="8">
        <v>10420</v>
      </c>
      <c r="B10421" s="8" t="s">
        <v>44613</v>
      </c>
      <c r="C10421" s="8" t="s">
        <v>44613</v>
      </c>
      <c r="G10421" s="8">
        <v>20</v>
      </c>
      <c r="H10421" s="8" t="s">
        <v>21</v>
      </c>
      <c r="I10421" s="8" t="s">
        <v>22</v>
      </c>
      <c r="J10421" s="8" t="s">
        <v>22</v>
      </c>
      <c r="K10421" s="8" t="s">
        <v>64</v>
      </c>
      <c r="L10421" s="8" t="s">
        <v>13374</v>
      </c>
      <c r="M10421" s="8" t="s">
        <v>13375</v>
      </c>
      <c r="N10421" s="8" t="s">
        <v>44614</v>
      </c>
      <c r="O10421" s="8">
        <f>10+28/60+17.7/3600</f>
        <v>10.471583333333333</v>
      </c>
      <c r="P10421" s="8" t="s">
        <v>44615</v>
      </c>
      <c r="Q10421" s="8">
        <f>-(31+31/60+4/3600)</f>
        <v>-31.517777777777777</v>
      </c>
      <c r="R10421" s="8">
        <v>12.5</v>
      </c>
      <c r="S10421" s="8">
        <v>13.2</v>
      </c>
      <c r="T10421" s="8">
        <v>0.7</v>
      </c>
      <c r="U10421" s="8">
        <v>13.7</v>
      </c>
      <c r="V10421" s="8">
        <v>1.9</v>
      </c>
      <c r="W10421" s="8">
        <v>1.7</v>
      </c>
      <c r="X10421" s="8">
        <v>154</v>
      </c>
      <c r="Y10421" s="8" t="s">
        <v>44616</v>
      </c>
      <c r="Z10421" s="8" t="s">
        <v>44617</v>
      </c>
    </row>
    <row r="10422" spans="1:26" x14ac:dyDescent="0.2">
      <c r="A10422" s="8">
        <v>10421</v>
      </c>
      <c r="B10422" s="8" t="s">
        <v>44618</v>
      </c>
      <c r="C10422" s="8" t="s">
        <v>44618</v>
      </c>
      <c r="G10422" s="8">
        <v>13</v>
      </c>
      <c r="H10422" s="8" t="s">
        <v>21</v>
      </c>
      <c r="I10422" s="8" t="s">
        <v>557</v>
      </c>
      <c r="J10422" s="8" t="s">
        <v>557</v>
      </c>
      <c r="K10422" s="8" t="s">
        <v>2158</v>
      </c>
      <c r="L10422" s="8" t="s">
        <v>10135</v>
      </c>
      <c r="M10422" s="8" t="s">
        <v>10136</v>
      </c>
      <c r="N10422" s="8" t="s">
        <v>44619</v>
      </c>
      <c r="O10422" s="8">
        <f>10+27/60+26.1/3600</f>
        <v>10.45725</v>
      </c>
      <c r="P10422" s="8" t="s">
        <v>44620</v>
      </c>
      <c r="Q10422" s="8">
        <f>-(57+37/60+32/3600)</f>
        <v>-57.625555555555557</v>
      </c>
      <c r="R10422" s="8">
        <v>4.3</v>
      </c>
      <c r="S10422" s="8">
        <v>99</v>
      </c>
      <c r="T10422" s="8">
        <v>99</v>
      </c>
      <c r="U10422" s="8">
        <v>99</v>
      </c>
      <c r="V10422" s="8">
        <v>5</v>
      </c>
      <c r="Y10422" s="8" t="s">
        <v>21</v>
      </c>
      <c r="Z10422" s="8" t="s">
        <v>44621</v>
      </c>
    </row>
    <row r="10423" spans="1:26" x14ac:dyDescent="0.2">
      <c r="A10423" s="8">
        <v>10422</v>
      </c>
      <c r="B10423" s="8" t="s">
        <v>44622</v>
      </c>
      <c r="C10423" s="8" t="s">
        <v>44622</v>
      </c>
      <c r="G10423" s="8">
        <v>20</v>
      </c>
      <c r="H10423" s="8" t="s">
        <v>21</v>
      </c>
      <c r="I10423" s="8" t="s">
        <v>22</v>
      </c>
      <c r="J10423" s="8" t="s">
        <v>22</v>
      </c>
      <c r="K10423" s="8" t="s">
        <v>64</v>
      </c>
      <c r="L10423" s="8" t="s">
        <v>13374</v>
      </c>
      <c r="M10423" s="8" t="s">
        <v>13375</v>
      </c>
      <c r="N10423" s="8" t="s">
        <v>44623</v>
      </c>
      <c r="O10423" s="8">
        <f>10+29/60+11.2/3600</f>
        <v>10.486444444444444</v>
      </c>
      <c r="P10423" s="8" t="s">
        <v>44624</v>
      </c>
      <c r="Q10423" s="8">
        <f>-(30+20/60+34/3600)</f>
        <v>-30.342777777777776</v>
      </c>
      <c r="R10423" s="8">
        <v>12.9</v>
      </c>
      <c r="S10423" s="8">
        <v>13.6</v>
      </c>
      <c r="T10423" s="8">
        <v>0.7</v>
      </c>
      <c r="U10423" s="8">
        <v>13.2</v>
      </c>
      <c r="V10423" s="8">
        <v>1.4</v>
      </c>
      <c r="W10423" s="8">
        <v>1.3</v>
      </c>
      <c r="X10423" s="8">
        <v>19</v>
      </c>
      <c r="Y10423" s="8" t="s">
        <v>21</v>
      </c>
      <c r="Z10423" s="8" t="s">
        <v>44625</v>
      </c>
    </row>
    <row r="10424" spans="1:26" x14ac:dyDescent="0.2">
      <c r="A10424" s="8">
        <v>10423</v>
      </c>
      <c r="B10424" s="8" t="s">
        <v>44626</v>
      </c>
      <c r="C10424" s="8" t="s">
        <v>44626</v>
      </c>
      <c r="G10424" s="8">
        <v>20</v>
      </c>
      <c r="H10424" s="8" t="s">
        <v>21</v>
      </c>
      <c r="I10424" s="8" t="s">
        <v>22</v>
      </c>
      <c r="J10424" s="8" t="s">
        <v>22</v>
      </c>
      <c r="K10424" s="8" t="s">
        <v>50</v>
      </c>
      <c r="L10424" s="8" t="s">
        <v>13194</v>
      </c>
      <c r="M10424" s="8" t="s">
        <v>13195</v>
      </c>
      <c r="N10424" s="8" t="s">
        <v>44627</v>
      </c>
      <c r="O10424" s="8">
        <f>10+31/60+10.5/3600</f>
        <v>10.519583333333333</v>
      </c>
      <c r="P10424" s="8" t="s">
        <v>44628</v>
      </c>
      <c r="Q10424" s="8">
        <f>+(26+3/60+17/3600)</f>
        <v>26.054722222222225</v>
      </c>
      <c r="R10424" s="8">
        <v>14.7</v>
      </c>
      <c r="S10424" s="8">
        <v>15.7</v>
      </c>
      <c r="T10424" s="8">
        <v>1</v>
      </c>
      <c r="U10424" s="8">
        <v>13.8</v>
      </c>
      <c r="V10424" s="8">
        <v>0.8</v>
      </c>
      <c r="W10424" s="8">
        <v>0.5</v>
      </c>
      <c r="X10424" s="8">
        <v>110</v>
      </c>
      <c r="Y10424" s="8" t="s">
        <v>5926</v>
      </c>
      <c r="Z10424" s="8" t="s">
        <v>5927</v>
      </c>
    </row>
    <row r="10425" spans="1:26" x14ac:dyDescent="0.2">
      <c r="A10425" s="8">
        <v>10424</v>
      </c>
      <c r="B10425" s="8" t="s">
        <v>44629</v>
      </c>
      <c r="C10425" s="8" t="s">
        <v>44629</v>
      </c>
      <c r="G10425" s="8">
        <v>20</v>
      </c>
      <c r="H10425" s="8" t="s">
        <v>21</v>
      </c>
      <c r="I10425" s="8" t="s">
        <v>22</v>
      </c>
      <c r="J10425" s="8" t="s">
        <v>22</v>
      </c>
      <c r="K10425" s="8" t="s">
        <v>37</v>
      </c>
      <c r="L10425" s="8" t="s">
        <v>13374</v>
      </c>
      <c r="M10425" s="8" t="s">
        <v>13375</v>
      </c>
      <c r="N10425" s="8" t="s">
        <v>44630</v>
      </c>
      <c r="O10425" s="8">
        <f>10+29/60+51.4/3600</f>
        <v>10.497611111111111</v>
      </c>
      <c r="P10425" s="8" t="s">
        <v>44631</v>
      </c>
      <c r="Q10425" s="8">
        <f>-(34+54/60+42/3600)</f>
        <v>-34.911666666666662</v>
      </c>
      <c r="R10425" s="8">
        <v>12.7</v>
      </c>
      <c r="S10425" s="8">
        <v>13.6</v>
      </c>
      <c r="T10425" s="8">
        <v>0.9</v>
      </c>
      <c r="U10425" s="8">
        <v>12.4</v>
      </c>
      <c r="V10425" s="8">
        <v>1.5</v>
      </c>
      <c r="W10425" s="8">
        <v>0.3</v>
      </c>
      <c r="X10425" s="8">
        <v>133</v>
      </c>
      <c r="Y10425" s="8" t="s">
        <v>44632</v>
      </c>
      <c r="Z10425" s="8" t="s">
        <v>44633</v>
      </c>
    </row>
    <row r="10426" spans="1:26" x14ac:dyDescent="0.2">
      <c r="A10426" s="8">
        <v>10425</v>
      </c>
      <c r="B10426" s="8" t="s">
        <v>44634</v>
      </c>
      <c r="C10426" s="8" t="s">
        <v>44634</v>
      </c>
      <c r="G10426" s="8">
        <v>20</v>
      </c>
      <c r="H10426" s="8" t="s">
        <v>21</v>
      </c>
      <c r="I10426" s="8" t="s">
        <v>22</v>
      </c>
      <c r="J10426" s="8" t="s">
        <v>57</v>
      </c>
      <c r="K10426" s="8" t="s">
        <v>224</v>
      </c>
      <c r="L10426" s="8" t="s">
        <v>13374</v>
      </c>
      <c r="M10426" s="8" t="s">
        <v>13375</v>
      </c>
      <c r="N10426" s="8" t="s">
        <v>15042</v>
      </c>
      <c r="O10426" s="8">
        <f>10+30/60+26.5/3600</f>
        <v>10.507361111111111</v>
      </c>
      <c r="P10426" s="8" t="s">
        <v>15043</v>
      </c>
      <c r="Q10426" s="8">
        <f>-(35+21/60+36/3600)</f>
        <v>-35.36</v>
      </c>
      <c r="R10426" s="8">
        <v>11.8</v>
      </c>
      <c r="S10426" s="8">
        <v>12.9</v>
      </c>
      <c r="T10426" s="8">
        <v>1.1000000000000001</v>
      </c>
      <c r="U10426" s="8">
        <v>13.5</v>
      </c>
      <c r="V10426" s="8">
        <v>3.3</v>
      </c>
      <c r="W10426" s="8">
        <v>1.8</v>
      </c>
      <c r="X10426" s="8">
        <v>106</v>
      </c>
      <c r="Y10426" s="8" t="s">
        <v>44632</v>
      </c>
      <c r="Z10426" s="8" t="s">
        <v>44633</v>
      </c>
    </row>
    <row r="10427" spans="1:26" x14ac:dyDescent="0.2">
      <c r="A10427" s="8">
        <v>10426</v>
      </c>
      <c r="B10427" s="8" t="s">
        <v>44635</v>
      </c>
      <c r="C10427" s="8" t="s">
        <v>44635</v>
      </c>
      <c r="G10427" s="8">
        <v>20</v>
      </c>
      <c r="H10427" s="8" t="s">
        <v>21</v>
      </c>
      <c r="I10427" s="8" t="s">
        <v>22</v>
      </c>
      <c r="J10427" s="8" t="s">
        <v>22</v>
      </c>
      <c r="K10427" s="8" t="s">
        <v>50</v>
      </c>
      <c r="L10427" s="8" t="s">
        <v>11765</v>
      </c>
      <c r="M10427" s="8" t="s">
        <v>11766</v>
      </c>
      <c r="N10427" s="8" t="s">
        <v>44636</v>
      </c>
      <c r="O10427" s="8">
        <f>10+31/60+2.3/3600</f>
        <v>10.517305555555556</v>
      </c>
      <c r="P10427" s="8" t="s">
        <v>44637</v>
      </c>
      <c r="Q10427" s="8">
        <f>-(28+43/60+1/3600)</f>
        <v>-28.716944444444444</v>
      </c>
      <c r="R10427" s="8">
        <v>12.5</v>
      </c>
      <c r="S10427" s="8">
        <v>13.5</v>
      </c>
      <c r="T10427" s="8">
        <v>1</v>
      </c>
      <c r="U10427" s="8">
        <v>13.1</v>
      </c>
      <c r="V10427" s="8">
        <v>0.9</v>
      </c>
      <c r="W10427" s="8">
        <v>0.5</v>
      </c>
      <c r="X10427" s="8">
        <v>79</v>
      </c>
      <c r="Y10427" s="8" t="s">
        <v>21</v>
      </c>
      <c r="Z10427" s="8" t="s">
        <v>44638</v>
      </c>
    </row>
    <row r="10428" spans="1:26" x14ac:dyDescent="0.2">
      <c r="A10428" s="8">
        <v>10427</v>
      </c>
      <c r="B10428" s="8" t="s">
        <v>44639</v>
      </c>
      <c r="C10428" s="8" t="s">
        <v>44639</v>
      </c>
      <c r="G10428" s="8">
        <v>20</v>
      </c>
      <c r="H10428" s="8" t="s">
        <v>21</v>
      </c>
      <c r="I10428" s="8" t="s">
        <v>22</v>
      </c>
      <c r="J10428" s="8" t="s">
        <v>22</v>
      </c>
      <c r="K10428" s="8" t="s">
        <v>118</v>
      </c>
      <c r="L10428" s="8" t="s">
        <v>13374</v>
      </c>
      <c r="M10428" s="8" t="s">
        <v>13375</v>
      </c>
      <c r="N10428" s="8" t="s">
        <v>44640</v>
      </c>
      <c r="O10428" s="8">
        <f>10+30/60+59.5/3600</f>
        <v>10.516527777777778</v>
      </c>
      <c r="P10428" s="8" t="s">
        <v>44641</v>
      </c>
      <c r="Q10428" s="8">
        <f>-(34+33/60+46/3600)</f>
        <v>-34.562777777777775</v>
      </c>
      <c r="R10428" s="8">
        <v>12.3</v>
      </c>
      <c r="S10428" s="8">
        <v>13.3</v>
      </c>
      <c r="T10428" s="8">
        <v>1</v>
      </c>
      <c r="U10428" s="8">
        <v>13.4</v>
      </c>
      <c r="V10428" s="8">
        <v>2</v>
      </c>
      <c r="W10428" s="8">
        <v>1.5</v>
      </c>
      <c r="X10428" s="8">
        <v>26</v>
      </c>
      <c r="Y10428" s="8" t="s">
        <v>44632</v>
      </c>
      <c r="Z10428" s="8" t="s">
        <v>44633</v>
      </c>
    </row>
    <row r="10429" spans="1:26" x14ac:dyDescent="0.2">
      <c r="A10429" s="8">
        <v>10428</v>
      </c>
      <c r="B10429" s="8" t="s">
        <v>44642</v>
      </c>
      <c r="C10429" s="8" t="s">
        <v>44642</v>
      </c>
      <c r="G10429" s="8">
        <v>20</v>
      </c>
      <c r="H10429" s="8" t="s">
        <v>21</v>
      </c>
      <c r="I10429" s="8" t="s">
        <v>22</v>
      </c>
      <c r="J10429" s="8" t="s">
        <v>22</v>
      </c>
      <c r="K10429" s="8" t="s">
        <v>154</v>
      </c>
      <c r="L10429" s="8" t="s">
        <v>13374</v>
      </c>
      <c r="M10429" s="8" t="s">
        <v>13375</v>
      </c>
      <c r="N10429" s="8" t="s">
        <v>44643</v>
      </c>
      <c r="O10429" s="8">
        <f>10+31/60+50.1/3600</f>
        <v>10.530583333333334</v>
      </c>
      <c r="P10429" s="8" t="s">
        <v>44644</v>
      </c>
      <c r="Q10429" s="8">
        <f>-(30+23/60+2/3600)</f>
        <v>-30.383888888888887</v>
      </c>
      <c r="R10429" s="8">
        <v>12.7</v>
      </c>
      <c r="S10429" s="8">
        <v>13.6</v>
      </c>
      <c r="T10429" s="8">
        <v>0.9</v>
      </c>
      <c r="U10429" s="8">
        <v>13.1</v>
      </c>
      <c r="V10429" s="8">
        <v>1.4</v>
      </c>
      <c r="W10429" s="8">
        <v>1.2</v>
      </c>
      <c r="X10429" s="8">
        <v>141</v>
      </c>
      <c r="Y10429" s="8" t="s">
        <v>21</v>
      </c>
      <c r="Z10429" s="8" t="s">
        <v>44645</v>
      </c>
    </row>
    <row r="10430" spans="1:26" x14ac:dyDescent="0.2">
      <c r="A10430" s="8">
        <v>10429</v>
      </c>
      <c r="B10430" s="8" t="s">
        <v>44646</v>
      </c>
      <c r="C10430" s="8" t="s">
        <v>44646</v>
      </c>
      <c r="G10430" s="8">
        <v>20</v>
      </c>
      <c r="H10430" s="8" t="s">
        <v>21</v>
      </c>
      <c r="I10430" s="8" t="s">
        <v>22</v>
      </c>
      <c r="J10430" s="8" t="s">
        <v>22</v>
      </c>
      <c r="K10430" s="8" t="s">
        <v>396</v>
      </c>
      <c r="L10430" s="8" t="s">
        <v>11765</v>
      </c>
      <c r="M10430" s="8" t="s">
        <v>11766</v>
      </c>
      <c r="N10430" s="8" t="s">
        <v>44647</v>
      </c>
      <c r="O10430" s="8">
        <f>10+32/60+20.7/3600</f>
        <v>10.539083333333334</v>
      </c>
      <c r="P10430" s="8" t="s">
        <v>44648</v>
      </c>
      <c r="Q10430" s="8">
        <f>-(24+2/60+14/3600)</f>
        <v>-24.037222222222223</v>
      </c>
      <c r="R10430" s="8">
        <v>13.4</v>
      </c>
      <c r="S10430" s="8">
        <v>14.2</v>
      </c>
      <c r="T10430" s="8">
        <v>0.8</v>
      </c>
      <c r="U10430" s="8">
        <v>12.6</v>
      </c>
      <c r="V10430" s="8">
        <v>0.9</v>
      </c>
      <c r="W10430" s="8">
        <v>0.6</v>
      </c>
      <c r="X10430" s="8">
        <v>12</v>
      </c>
      <c r="Y10430" s="8" t="s">
        <v>21</v>
      </c>
      <c r="Z10430" s="8" t="s">
        <v>44649</v>
      </c>
    </row>
    <row r="10431" spans="1:26" x14ac:dyDescent="0.2">
      <c r="A10431" s="8">
        <v>10430</v>
      </c>
      <c r="B10431" s="8" t="s">
        <v>44650</v>
      </c>
      <c r="C10431" s="8" t="s">
        <v>44650</v>
      </c>
      <c r="G10431" s="8">
        <v>20</v>
      </c>
      <c r="H10431" s="8" t="s">
        <v>21</v>
      </c>
      <c r="I10431" s="8" t="s">
        <v>22</v>
      </c>
      <c r="J10431" s="8" t="s">
        <v>22</v>
      </c>
      <c r="K10431" s="8" t="s">
        <v>37</v>
      </c>
      <c r="L10431" s="8" t="s">
        <v>13194</v>
      </c>
      <c r="M10431" s="8" t="s">
        <v>13195</v>
      </c>
      <c r="N10431" s="8" t="s">
        <v>44651</v>
      </c>
      <c r="O10431" s="8">
        <f>10+36/60+16.5/3600</f>
        <v>10.604583333333332</v>
      </c>
      <c r="P10431" s="8" t="s">
        <v>16635</v>
      </c>
      <c r="Q10431" s="8">
        <f>+(26+57/60+46/3600)</f>
        <v>26.962777777777777</v>
      </c>
      <c r="R10431" s="8">
        <v>13.3</v>
      </c>
      <c r="S10431" s="8">
        <v>14.3</v>
      </c>
      <c r="T10431" s="8">
        <v>1</v>
      </c>
      <c r="U10431" s="8">
        <v>13.3</v>
      </c>
      <c r="V10431" s="8">
        <v>1.1000000000000001</v>
      </c>
      <c r="W10431" s="8">
        <v>1.1000000000000001</v>
      </c>
      <c r="Y10431" s="8" t="s">
        <v>44652</v>
      </c>
      <c r="Z10431" s="8" t="s">
        <v>44653</v>
      </c>
    </row>
    <row r="10432" spans="1:26" x14ac:dyDescent="0.2">
      <c r="A10432" s="8">
        <v>10431</v>
      </c>
      <c r="B10432" s="8" t="s">
        <v>44654</v>
      </c>
      <c r="C10432" s="8" t="s">
        <v>44654</v>
      </c>
      <c r="G10432" s="8">
        <v>20</v>
      </c>
      <c r="H10432" s="8" t="s">
        <v>21</v>
      </c>
      <c r="I10432" s="8" t="s">
        <v>22</v>
      </c>
      <c r="J10432" s="8" t="s">
        <v>22</v>
      </c>
      <c r="K10432" s="8" t="s">
        <v>64</v>
      </c>
      <c r="L10432" s="8" t="s">
        <v>13179</v>
      </c>
      <c r="M10432" s="8" t="s">
        <v>13180</v>
      </c>
      <c r="N10432" s="8" t="s">
        <v>44655</v>
      </c>
      <c r="O10432" s="8">
        <f>10+36/60+38.6/3600</f>
        <v>10.610722222222222</v>
      </c>
      <c r="P10432" s="8" t="s">
        <v>44656</v>
      </c>
      <c r="Q10432" s="8">
        <f>+(35+3/60+12/3600)</f>
        <v>35.053333333333327</v>
      </c>
      <c r="R10432" s="8">
        <v>13.5</v>
      </c>
      <c r="S10432" s="8">
        <v>14.2</v>
      </c>
      <c r="T10432" s="8">
        <v>0.7</v>
      </c>
      <c r="U10432" s="8">
        <v>13.3</v>
      </c>
      <c r="V10432" s="8">
        <v>1.2</v>
      </c>
      <c r="W10432" s="8">
        <v>0.7</v>
      </c>
      <c r="X10432" s="8">
        <v>128</v>
      </c>
      <c r="Y10432" s="8" t="s">
        <v>44657</v>
      </c>
      <c r="Z10432" s="8" t="s">
        <v>44658</v>
      </c>
    </row>
    <row r="10433" spans="1:26" x14ac:dyDescent="0.2">
      <c r="A10433" s="8">
        <v>10432</v>
      </c>
      <c r="B10433" s="8" t="s">
        <v>44659</v>
      </c>
      <c r="C10433" s="8" t="s">
        <v>44659</v>
      </c>
      <c r="G10433" s="8">
        <v>20</v>
      </c>
      <c r="H10433" s="8" t="s">
        <v>21</v>
      </c>
      <c r="I10433" s="8" t="s">
        <v>22</v>
      </c>
      <c r="J10433" s="8" t="s">
        <v>57</v>
      </c>
      <c r="K10433" s="8" t="s">
        <v>218</v>
      </c>
      <c r="L10433" s="8" t="s">
        <v>11757</v>
      </c>
      <c r="M10433" s="8" t="s">
        <v>11758</v>
      </c>
      <c r="N10433" s="8" t="s">
        <v>15452</v>
      </c>
      <c r="O10433" s="8">
        <f>10+35/60+8.1/3600</f>
        <v>10.585583333333334</v>
      </c>
      <c r="P10433" s="8" t="s">
        <v>15453</v>
      </c>
      <c r="Q10433" s="8">
        <f>-(43+41/60+37/3600)</f>
        <v>-43.69361111111111</v>
      </c>
      <c r="R10433" s="8">
        <v>11.3</v>
      </c>
      <c r="S10433" s="8">
        <v>12</v>
      </c>
      <c r="T10433" s="8">
        <v>0.7</v>
      </c>
      <c r="U10433" s="8">
        <v>12.1</v>
      </c>
      <c r="V10433" s="8">
        <v>1.8</v>
      </c>
      <c r="W10433" s="8">
        <v>0.8</v>
      </c>
      <c r="X10433" s="8">
        <v>37</v>
      </c>
      <c r="Y10433" s="8" t="s">
        <v>21</v>
      </c>
      <c r="Z10433" s="8" t="s">
        <v>44660</v>
      </c>
    </row>
    <row r="10434" spans="1:26" x14ac:dyDescent="0.2">
      <c r="A10434" s="8">
        <v>10433</v>
      </c>
      <c r="B10434" s="8" t="s">
        <v>44661</v>
      </c>
      <c r="C10434" s="8" t="s">
        <v>44661</v>
      </c>
      <c r="G10434" s="8">
        <v>20</v>
      </c>
      <c r="H10434" s="8" t="s">
        <v>21</v>
      </c>
      <c r="I10434" s="8" t="s">
        <v>22</v>
      </c>
      <c r="J10434" s="8" t="s">
        <v>22</v>
      </c>
      <c r="K10434" s="8" t="s">
        <v>449</v>
      </c>
      <c r="L10434" s="8" t="s">
        <v>11765</v>
      </c>
      <c r="M10434" s="8" t="s">
        <v>11766</v>
      </c>
      <c r="N10434" s="8" t="s">
        <v>44662</v>
      </c>
      <c r="O10434" s="8">
        <f>10+36/60+15.9/3600</f>
        <v>10.604416666666665</v>
      </c>
      <c r="P10434" s="8" t="s">
        <v>44663</v>
      </c>
      <c r="Q10434" s="8">
        <f>-(12+43/60+31/3600)</f>
        <v>-12.725277777777778</v>
      </c>
      <c r="R10434" s="8">
        <v>15</v>
      </c>
      <c r="S10434" s="8">
        <v>15.8</v>
      </c>
      <c r="T10434" s="8">
        <v>0.8</v>
      </c>
      <c r="U10434" s="8">
        <v>12.5</v>
      </c>
      <c r="V10434" s="8">
        <v>0.4</v>
      </c>
      <c r="W10434" s="8">
        <v>0.3</v>
      </c>
      <c r="X10434" s="8">
        <v>90</v>
      </c>
      <c r="Y10434" s="8" t="s">
        <v>44664</v>
      </c>
      <c r="Z10434" s="8" t="s">
        <v>44665</v>
      </c>
    </row>
    <row r="10435" spans="1:26" x14ac:dyDescent="0.2">
      <c r="A10435" s="8">
        <v>10434</v>
      </c>
      <c r="B10435" s="8" t="s">
        <v>44666</v>
      </c>
      <c r="C10435" s="8" t="s">
        <v>44666</v>
      </c>
      <c r="G10435" s="8">
        <v>20</v>
      </c>
      <c r="H10435" s="8" t="s">
        <v>21</v>
      </c>
      <c r="I10435" s="8" t="s">
        <v>22</v>
      </c>
      <c r="J10435" s="8" t="s">
        <v>22</v>
      </c>
      <c r="K10435" s="8" t="s">
        <v>58</v>
      </c>
      <c r="L10435" s="8" t="s">
        <v>11765</v>
      </c>
      <c r="M10435" s="8" t="s">
        <v>11766</v>
      </c>
      <c r="N10435" s="8" t="s">
        <v>44667</v>
      </c>
      <c r="O10435" s="8">
        <f>10+36/60+4.2/3600</f>
        <v>10.601166666666666</v>
      </c>
      <c r="P10435" s="8" t="s">
        <v>44668</v>
      </c>
      <c r="Q10435" s="8">
        <f>-(24+19/60+22/3600)</f>
        <v>-24.322777777777777</v>
      </c>
      <c r="R10435" s="8">
        <v>12.4</v>
      </c>
      <c r="S10435" s="8">
        <v>13.4</v>
      </c>
      <c r="T10435" s="8">
        <v>1</v>
      </c>
      <c r="U10435" s="8">
        <v>13.2</v>
      </c>
      <c r="V10435" s="8">
        <v>1.4</v>
      </c>
      <c r="W10435" s="8">
        <v>1.4</v>
      </c>
      <c r="Y10435" s="8" t="s">
        <v>21</v>
      </c>
      <c r="Z10435" s="8" t="s">
        <v>44669</v>
      </c>
    </row>
    <row r="10436" spans="1:26" x14ac:dyDescent="0.2">
      <c r="A10436" s="8">
        <v>10435</v>
      </c>
      <c r="B10436" s="8" t="s">
        <v>44670</v>
      </c>
      <c r="C10436" s="8" t="s">
        <v>44670</v>
      </c>
      <c r="G10436" s="8">
        <v>20</v>
      </c>
      <c r="H10436" s="8" t="s">
        <v>21</v>
      </c>
      <c r="I10436" s="8" t="s">
        <v>329</v>
      </c>
      <c r="J10436" s="8" t="s">
        <v>329</v>
      </c>
      <c r="K10436" s="8" t="s">
        <v>329</v>
      </c>
      <c r="L10436" s="8" t="s">
        <v>12234</v>
      </c>
      <c r="M10436" s="8" t="s">
        <v>12235</v>
      </c>
      <c r="N10436" s="8" t="s">
        <v>44671</v>
      </c>
      <c r="O10436" s="8">
        <f>10+37/60+33/3600</f>
        <v>10.625833333333334</v>
      </c>
      <c r="P10436" s="8" t="s">
        <v>44672</v>
      </c>
      <c r="Q10436" s="8">
        <f>-(11+7/60+0/3600)</f>
        <v>-11.116666666666667</v>
      </c>
      <c r="R10436" s="8">
        <v>99</v>
      </c>
      <c r="S10436" s="8">
        <v>99</v>
      </c>
      <c r="T10436" s="8">
        <v>99</v>
      </c>
      <c r="U10436" s="8">
        <v>99</v>
      </c>
      <c r="Y10436" s="8" t="s">
        <v>44673</v>
      </c>
      <c r="Z10436" s="8" t="s">
        <v>44674</v>
      </c>
    </row>
    <row r="10437" spans="1:26" x14ac:dyDescent="0.2">
      <c r="A10437" s="8">
        <v>10436</v>
      </c>
      <c r="B10437" s="8" t="s">
        <v>44675</v>
      </c>
      <c r="C10437" s="8" t="s">
        <v>44675</v>
      </c>
      <c r="G10437" s="8">
        <v>20</v>
      </c>
      <c r="H10437" s="8" t="s">
        <v>21</v>
      </c>
      <c r="I10437" s="8" t="s">
        <v>22</v>
      </c>
      <c r="J10437" s="8" t="s">
        <v>22</v>
      </c>
      <c r="K10437" s="8" t="s">
        <v>406</v>
      </c>
      <c r="L10437" s="8" t="s">
        <v>10135</v>
      </c>
      <c r="M10437" s="8" t="s">
        <v>10136</v>
      </c>
      <c r="N10437" s="8" t="s">
        <v>44676</v>
      </c>
      <c r="O10437" s="8">
        <f>10+34/60+12.2/3600</f>
        <v>10.570055555555555</v>
      </c>
      <c r="P10437" s="8" t="s">
        <v>44677</v>
      </c>
      <c r="Q10437" s="8">
        <f>-(73+14/60+24/3600)</f>
        <v>-73.239999999999995</v>
      </c>
      <c r="R10437" s="8">
        <v>13.8</v>
      </c>
      <c r="S10437" s="8">
        <v>14.6</v>
      </c>
      <c r="T10437" s="8">
        <v>0.8</v>
      </c>
      <c r="U10437" s="8">
        <v>13.6</v>
      </c>
      <c r="V10437" s="8">
        <v>1.2</v>
      </c>
      <c r="W10437" s="8">
        <v>0.8</v>
      </c>
      <c r="X10437" s="8">
        <v>177</v>
      </c>
      <c r="Y10437" s="8" t="s">
        <v>44678</v>
      </c>
      <c r="Z10437" s="8" t="s">
        <v>44679</v>
      </c>
    </row>
    <row r="10438" spans="1:26" x14ac:dyDescent="0.2">
      <c r="A10438" s="8">
        <v>10437</v>
      </c>
      <c r="B10438" s="8" t="s">
        <v>44680</v>
      </c>
      <c r="C10438" s="8" t="s">
        <v>44680</v>
      </c>
      <c r="G10438" s="8">
        <v>20</v>
      </c>
      <c r="H10438" s="8" t="s">
        <v>21</v>
      </c>
      <c r="I10438" s="8" t="s">
        <v>22</v>
      </c>
      <c r="J10438" s="8" t="s">
        <v>22</v>
      </c>
      <c r="K10438" s="8" t="s">
        <v>1136</v>
      </c>
      <c r="L10438" s="8" t="s">
        <v>11765</v>
      </c>
      <c r="M10438" s="8" t="s">
        <v>11766</v>
      </c>
      <c r="N10438" s="8" t="s">
        <v>44681</v>
      </c>
      <c r="O10438" s="8">
        <f>10+37/60+47.3/3600</f>
        <v>10.629805555555556</v>
      </c>
      <c r="P10438" s="8" t="s">
        <v>44682</v>
      </c>
      <c r="Q10438" s="8">
        <f>-(27+4/60+51/3600)</f>
        <v>-27.080833333333334</v>
      </c>
      <c r="R10438" s="8">
        <v>11.8</v>
      </c>
      <c r="S10438" s="8">
        <v>12.8</v>
      </c>
      <c r="T10438" s="8">
        <v>1</v>
      </c>
      <c r="U10438" s="8">
        <v>13.5</v>
      </c>
      <c r="V10438" s="8">
        <v>1.5</v>
      </c>
      <c r="W10438" s="8">
        <v>1.2</v>
      </c>
      <c r="X10438" s="8">
        <v>4</v>
      </c>
      <c r="Y10438" s="8" t="s">
        <v>21</v>
      </c>
      <c r="Z10438" s="8" t="s">
        <v>44683</v>
      </c>
    </row>
    <row r="10439" spans="1:26" x14ac:dyDescent="0.2">
      <c r="A10439" s="8">
        <v>10438</v>
      </c>
      <c r="B10439" s="8" t="s">
        <v>44684</v>
      </c>
      <c r="C10439" s="8" t="s">
        <v>44684</v>
      </c>
      <c r="G10439" s="8">
        <v>20</v>
      </c>
      <c r="H10439" s="8" t="s">
        <v>21</v>
      </c>
      <c r="I10439" s="8" t="s">
        <v>22</v>
      </c>
      <c r="J10439" s="8" t="s">
        <v>22</v>
      </c>
      <c r="K10439" s="8" t="s">
        <v>91</v>
      </c>
      <c r="L10439" s="8" t="s">
        <v>13179</v>
      </c>
      <c r="M10439" s="8" t="s">
        <v>13180</v>
      </c>
      <c r="N10439" s="8" t="s">
        <v>44685</v>
      </c>
      <c r="O10439" s="8">
        <f>10+39/60+42.2/3600</f>
        <v>10.661722222222222</v>
      </c>
      <c r="P10439" s="8" t="s">
        <v>44686</v>
      </c>
      <c r="Q10439" s="8">
        <f>+(26+43/60+39/3600)</f>
        <v>26.727499999999999</v>
      </c>
      <c r="R10439" s="8">
        <v>14.1</v>
      </c>
      <c r="S10439" s="8">
        <v>15</v>
      </c>
      <c r="T10439" s="8">
        <v>0.9</v>
      </c>
      <c r="U10439" s="8">
        <v>12.1</v>
      </c>
      <c r="V10439" s="8">
        <v>0.4</v>
      </c>
      <c r="W10439" s="8">
        <v>0.2</v>
      </c>
      <c r="X10439" s="8">
        <v>144</v>
      </c>
      <c r="Y10439" s="8" t="s">
        <v>41073</v>
      </c>
      <c r="Z10439" s="8" t="s">
        <v>41074</v>
      </c>
    </row>
    <row r="10440" spans="1:26" x14ac:dyDescent="0.2">
      <c r="A10440" s="8">
        <v>10439</v>
      </c>
      <c r="B10440" s="8" t="s">
        <v>44687</v>
      </c>
      <c r="C10440" s="8" t="s">
        <v>44687</v>
      </c>
      <c r="G10440" s="8">
        <v>20</v>
      </c>
      <c r="H10440" s="8" t="s">
        <v>21</v>
      </c>
      <c r="I10440" s="8" t="s">
        <v>1283</v>
      </c>
      <c r="J10440" s="8" t="s">
        <v>1283</v>
      </c>
      <c r="K10440" s="8" t="s">
        <v>1284</v>
      </c>
      <c r="L10440" s="8" t="s">
        <v>10135</v>
      </c>
      <c r="M10440" s="8" t="s">
        <v>10136</v>
      </c>
      <c r="N10440" s="8" t="s">
        <v>44688</v>
      </c>
      <c r="O10440" s="8">
        <f>10+37/60+27/3600</f>
        <v>10.624166666666667</v>
      </c>
      <c r="P10440" s="8" t="s">
        <v>16191</v>
      </c>
      <c r="Q10440" s="8">
        <f>-(58+44/60+0/3600)</f>
        <v>-58.733333333333334</v>
      </c>
      <c r="R10440" s="8">
        <v>99</v>
      </c>
      <c r="S10440" s="8">
        <v>99</v>
      </c>
      <c r="T10440" s="8">
        <v>99</v>
      </c>
      <c r="U10440" s="8">
        <v>99</v>
      </c>
      <c r="Y10440" s="8" t="s">
        <v>21</v>
      </c>
      <c r="Z10440" s="8" t="s">
        <v>44689</v>
      </c>
    </row>
    <row r="10441" spans="1:26" x14ac:dyDescent="0.2">
      <c r="A10441" s="8">
        <v>10440</v>
      </c>
      <c r="B10441" s="8" t="s">
        <v>44690</v>
      </c>
      <c r="C10441" s="8" t="s">
        <v>44690</v>
      </c>
      <c r="G10441" s="8">
        <v>20</v>
      </c>
      <c r="H10441" s="8" t="s">
        <v>21</v>
      </c>
      <c r="I10441" s="8" t="s">
        <v>22</v>
      </c>
      <c r="J10441" s="8" t="s">
        <v>22</v>
      </c>
      <c r="K10441" s="8" t="s">
        <v>449</v>
      </c>
      <c r="L10441" s="8" t="s">
        <v>12015</v>
      </c>
      <c r="M10441" s="8" t="s">
        <v>12016</v>
      </c>
      <c r="N10441" s="8" t="s">
        <v>44691</v>
      </c>
      <c r="O10441" s="8">
        <f>10+46/60+38.7/3600</f>
        <v>10.777416666666667</v>
      </c>
      <c r="P10441" s="8" t="s">
        <v>44692</v>
      </c>
      <c r="Q10441" s="8">
        <f>+(72+19/60+14/3600)</f>
        <v>72.320555555555558</v>
      </c>
      <c r="R10441" s="8">
        <v>14.7</v>
      </c>
      <c r="S10441" s="8">
        <v>15.5</v>
      </c>
      <c r="T10441" s="8">
        <v>0.8</v>
      </c>
      <c r="U10441" s="8">
        <v>13</v>
      </c>
      <c r="V10441" s="8">
        <v>0.6</v>
      </c>
      <c r="W10441" s="8">
        <v>0.4</v>
      </c>
      <c r="X10441" s="8">
        <v>125</v>
      </c>
      <c r="Y10441" s="8" t="s">
        <v>44693</v>
      </c>
      <c r="Z10441" s="8" t="s">
        <v>44694</v>
      </c>
    </row>
    <row r="10442" spans="1:26" x14ac:dyDescent="0.2">
      <c r="A10442" s="8">
        <v>10441</v>
      </c>
      <c r="B10442" s="8" t="s">
        <v>44695</v>
      </c>
      <c r="C10442" s="8" t="s">
        <v>44695</v>
      </c>
      <c r="G10442" s="8">
        <v>20</v>
      </c>
      <c r="H10442" s="8" t="s">
        <v>21</v>
      </c>
      <c r="I10442" s="8" t="s">
        <v>22</v>
      </c>
      <c r="J10442" s="8" t="s">
        <v>22</v>
      </c>
      <c r="K10442" s="8" t="s">
        <v>460</v>
      </c>
      <c r="L10442" s="8" t="s">
        <v>12015</v>
      </c>
      <c r="M10442" s="8" t="s">
        <v>12016</v>
      </c>
      <c r="N10442" s="8" t="s">
        <v>44696</v>
      </c>
      <c r="O10442" s="8">
        <f>10+47/60+13.3/3600</f>
        <v>10.787027777777778</v>
      </c>
      <c r="P10442" s="8" t="s">
        <v>44697</v>
      </c>
      <c r="Q10442" s="8">
        <f>+(72+19/60+25/3600)</f>
        <v>72.323611111111106</v>
      </c>
      <c r="R10442" s="8">
        <v>14.7</v>
      </c>
      <c r="S10442" s="8">
        <v>15.7</v>
      </c>
      <c r="T10442" s="8">
        <v>1</v>
      </c>
      <c r="U10442" s="8">
        <v>13.3</v>
      </c>
      <c r="V10442" s="8">
        <v>0.5</v>
      </c>
      <c r="W10442" s="8">
        <v>0.5</v>
      </c>
      <c r="Y10442" s="8" t="s">
        <v>44698</v>
      </c>
      <c r="Z10442" s="8" t="s">
        <v>44699</v>
      </c>
    </row>
    <row r="10443" spans="1:26" x14ac:dyDescent="0.2">
      <c r="A10443" s="8">
        <v>10442</v>
      </c>
      <c r="B10443" s="8" t="s">
        <v>44700</v>
      </c>
      <c r="C10443" s="8" t="s">
        <v>44700</v>
      </c>
      <c r="G10443" s="8">
        <v>2</v>
      </c>
      <c r="H10443" s="8" t="s">
        <v>44701</v>
      </c>
      <c r="I10443" s="8" t="s">
        <v>557</v>
      </c>
      <c r="J10443" s="8" t="s">
        <v>557</v>
      </c>
      <c r="K10443" s="8" t="s">
        <v>3170</v>
      </c>
      <c r="L10443" s="8" t="s">
        <v>10135</v>
      </c>
      <c r="M10443" s="8" t="s">
        <v>10136</v>
      </c>
      <c r="N10443" s="8" t="s">
        <v>44702</v>
      </c>
      <c r="O10443" s="8">
        <f>10+42/60+56.5/3600</f>
        <v>10.715694444444443</v>
      </c>
      <c r="P10443" s="8" t="s">
        <v>44703</v>
      </c>
      <c r="Q10443" s="8">
        <f>-(64+23/60+39/3600)</f>
        <v>-64.394166666666678</v>
      </c>
      <c r="R10443" s="8">
        <v>1.6</v>
      </c>
      <c r="S10443" s="8">
        <v>99</v>
      </c>
      <c r="T10443" s="8">
        <v>99</v>
      </c>
      <c r="U10443" s="8">
        <v>99</v>
      </c>
      <c r="V10443" s="8">
        <v>100</v>
      </c>
      <c r="Y10443" s="8" t="s">
        <v>44704</v>
      </c>
      <c r="Z10443" s="8" t="s">
        <v>44705</v>
      </c>
    </row>
    <row r="10444" spans="1:26" x14ac:dyDescent="0.2">
      <c r="A10444" s="8">
        <v>10443</v>
      </c>
      <c r="B10444" s="8" t="s">
        <v>44706</v>
      </c>
      <c r="C10444" s="8" t="s">
        <v>44706</v>
      </c>
      <c r="G10444" s="8">
        <v>20</v>
      </c>
      <c r="H10444" s="8" t="s">
        <v>21</v>
      </c>
      <c r="I10444" s="8" t="s">
        <v>72</v>
      </c>
      <c r="J10444" s="8" t="s">
        <v>72</v>
      </c>
      <c r="K10444" s="8" t="s">
        <v>20</v>
      </c>
      <c r="L10444" s="8" t="s">
        <v>13179</v>
      </c>
      <c r="M10444" s="8" t="s">
        <v>13180</v>
      </c>
      <c r="N10444" s="8" t="s">
        <v>44707</v>
      </c>
      <c r="O10444" s="8">
        <f>10+48/60+25/3600</f>
        <v>10.806944444444445</v>
      </c>
      <c r="P10444" s="8" t="s">
        <v>44708</v>
      </c>
      <c r="Q10444" s="8">
        <f>+(32+55/60+36/3600)</f>
        <v>32.926666666666662</v>
      </c>
      <c r="R10444" s="8">
        <v>99</v>
      </c>
      <c r="S10444" s="8">
        <v>99</v>
      </c>
      <c r="T10444" s="8">
        <v>99</v>
      </c>
      <c r="U10444" s="8">
        <v>99</v>
      </c>
      <c r="Y10444" s="8" t="s">
        <v>21</v>
      </c>
      <c r="Z10444" s="8" t="s">
        <v>44709</v>
      </c>
    </row>
    <row r="10445" spans="1:26" x14ac:dyDescent="0.2">
      <c r="A10445" s="8">
        <v>10444</v>
      </c>
      <c r="B10445" s="8" t="s">
        <v>44710</v>
      </c>
      <c r="C10445" s="8" t="s">
        <v>44710</v>
      </c>
      <c r="G10445" s="8">
        <v>20</v>
      </c>
      <c r="H10445" s="8" t="s">
        <v>21</v>
      </c>
      <c r="I10445" s="8" t="s">
        <v>22</v>
      </c>
      <c r="J10445" s="8" t="s">
        <v>22</v>
      </c>
      <c r="K10445" s="8" t="s">
        <v>323</v>
      </c>
      <c r="L10445" s="8" t="s">
        <v>13179</v>
      </c>
      <c r="M10445" s="8" t="s">
        <v>13180</v>
      </c>
      <c r="N10445" s="8" t="s">
        <v>44711</v>
      </c>
      <c r="O10445" s="8">
        <f>10+49/60+25/3600</f>
        <v>10.823611111111111</v>
      </c>
      <c r="P10445" s="8" t="s">
        <v>44712</v>
      </c>
      <c r="Q10445" s="8">
        <f>+(32+46/60+21/3600)</f>
        <v>32.772500000000001</v>
      </c>
      <c r="R10445" s="8">
        <v>14.1</v>
      </c>
      <c r="S10445" s="8">
        <v>14.7</v>
      </c>
      <c r="T10445" s="8">
        <v>0.6</v>
      </c>
      <c r="U10445" s="8">
        <v>14.1</v>
      </c>
      <c r="V10445" s="8">
        <v>1.2</v>
      </c>
      <c r="W10445" s="8">
        <v>0.9</v>
      </c>
      <c r="X10445" s="8">
        <v>40</v>
      </c>
      <c r="Y10445" s="8" t="s">
        <v>44713</v>
      </c>
      <c r="Z10445" s="8" t="s">
        <v>44714</v>
      </c>
    </row>
    <row r="10446" spans="1:26" x14ac:dyDescent="0.2">
      <c r="A10446" s="8">
        <v>10445</v>
      </c>
      <c r="B10446" s="8" t="s">
        <v>44715</v>
      </c>
      <c r="C10446" s="8" t="s">
        <v>44715</v>
      </c>
      <c r="G10446" s="8">
        <v>20</v>
      </c>
      <c r="H10446" s="8" t="s">
        <v>21</v>
      </c>
      <c r="I10446" s="8" t="s">
        <v>1075</v>
      </c>
      <c r="J10446" s="8" t="s">
        <v>1075</v>
      </c>
      <c r="K10446" s="8" t="s">
        <v>1075</v>
      </c>
      <c r="L10446" s="8" t="s">
        <v>13179</v>
      </c>
      <c r="M10446" s="8" t="s">
        <v>13180</v>
      </c>
      <c r="N10446" s="8" t="s">
        <v>44716</v>
      </c>
      <c r="O10446" s="8">
        <f>10+49/60+47.5/3600</f>
        <v>10.829861111111111</v>
      </c>
      <c r="P10446" s="8" t="s">
        <v>44717</v>
      </c>
      <c r="Q10446" s="8">
        <f>+(32+58/60+18/3600)</f>
        <v>32.971666666666671</v>
      </c>
      <c r="R10446" s="8">
        <v>99</v>
      </c>
      <c r="S10446" s="8">
        <v>15.5</v>
      </c>
      <c r="T10446" s="8">
        <v>99</v>
      </c>
      <c r="U10446" s="8">
        <v>99</v>
      </c>
      <c r="V10446" s="8">
        <v>0.4</v>
      </c>
      <c r="W10446" s="8">
        <v>0.2</v>
      </c>
      <c r="X10446" s="8">
        <v>80</v>
      </c>
      <c r="Y10446" s="8" t="s">
        <v>21</v>
      </c>
      <c r="Z10446" s="8" t="s">
        <v>44718</v>
      </c>
    </row>
    <row r="10447" spans="1:26" x14ac:dyDescent="0.2">
      <c r="A10447" s="8">
        <v>10446</v>
      </c>
      <c r="B10447" s="8" t="s">
        <v>44719</v>
      </c>
      <c r="C10447" s="8" t="s">
        <v>44719</v>
      </c>
      <c r="G10447" s="8">
        <v>20</v>
      </c>
      <c r="H10447" s="8" t="s">
        <v>21</v>
      </c>
      <c r="I10447" s="8" t="s">
        <v>22</v>
      </c>
      <c r="J10447" s="8" t="s">
        <v>22</v>
      </c>
      <c r="K10447" s="8" t="s">
        <v>632</v>
      </c>
      <c r="L10447" s="8" t="s">
        <v>13179</v>
      </c>
      <c r="M10447" s="8" t="s">
        <v>13180</v>
      </c>
      <c r="N10447" s="8" t="s">
        <v>44720</v>
      </c>
      <c r="O10447" s="8">
        <f>10+50/60+17.5/3600</f>
        <v>10.838194444444445</v>
      </c>
      <c r="P10447" s="8" t="s">
        <v>44721</v>
      </c>
      <c r="Q10447" s="8">
        <f>+(37+57/60+23/3600)</f>
        <v>37.956388888888888</v>
      </c>
      <c r="R10447" s="8">
        <v>14</v>
      </c>
      <c r="S10447" s="8">
        <v>14.9</v>
      </c>
      <c r="T10447" s="8">
        <v>0.9</v>
      </c>
      <c r="U10447" s="8">
        <v>12.3</v>
      </c>
      <c r="V10447" s="8">
        <v>0.8</v>
      </c>
      <c r="W10447" s="8">
        <v>0.3</v>
      </c>
      <c r="X10447" s="8">
        <v>120</v>
      </c>
      <c r="Y10447" s="8" t="s">
        <v>44722</v>
      </c>
      <c r="Z10447" s="8" t="s">
        <v>44723</v>
      </c>
    </row>
    <row r="10448" spans="1:26" x14ac:dyDescent="0.2">
      <c r="A10448" s="8">
        <v>10447</v>
      </c>
      <c r="B10448" s="8" t="s">
        <v>44724</v>
      </c>
      <c r="C10448" s="8" t="s">
        <v>44724</v>
      </c>
      <c r="G10448" s="8">
        <v>20</v>
      </c>
      <c r="H10448" s="8" t="s">
        <v>21</v>
      </c>
      <c r="I10448" s="8" t="s">
        <v>22</v>
      </c>
      <c r="J10448" s="8" t="s">
        <v>22</v>
      </c>
      <c r="K10448" s="8" t="s">
        <v>406</v>
      </c>
      <c r="L10448" s="8" t="s">
        <v>13179</v>
      </c>
      <c r="M10448" s="8" t="s">
        <v>13180</v>
      </c>
      <c r="N10448" s="8" t="s">
        <v>44725</v>
      </c>
      <c r="O10448" s="8">
        <f>10+50/60+18.9/3600</f>
        <v>10.838583333333334</v>
      </c>
      <c r="P10448" s="8" t="s">
        <v>44726</v>
      </c>
      <c r="Q10448" s="8">
        <f>+(37+59/60+39/3600)</f>
        <v>37.994166666666665</v>
      </c>
      <c r="R10448" s="8">
        <v>14.8</v>
      </c>
      <c r="S10448" s="8">
        <v>15.6</v>
      </c>
      <c r="T10448" s="8">
        <v>0.8</v>
      </c>
      <c r="U10448" s="8">
        <v>13.3</v>
      </c>
      <c r="V10448" s="8">
        <v>0.7</v>
      </c>
      <c r="W10448" s="8">
        <v>0.4</v>
      </c>
      <c r="X10448" s="8">
        <v>65</v>
      </c>
      <c r="Y10448" s="8" t="s">
        <v>44727</v>
      </c>
      <c r="Z10448" s="8" t="s">
        <v>44728</v>
      </c>
    </row>
    <row r="10449" spans="1:26" x14ac:dyDescent="0.2">
      <c r="A10449" s="8">
        <v>10448</v>
      </c>
      <c r="B10449" s="8" t="s">
        <v>44729</v>
      </c>
      <c r="C10449" s="8" t="s">
        <v>44729</v>
      </c>
      <c r="G10449" s="8">
        <v>20</v>
      </c>
      <c r="H10449" s="8" t="s">
        <v>21</v>
      </c>
      <c r="I10449" s="8" t="s">
        <v>22</v>
      </c>
      <c r="J10449" s="8" t="s">
        <v>22</v>
      </c>
      <c r="K10449" s="8" t="s">
        <v>476</v>
      </c>
      <c r="L10449" s="8" t="s">
        <v>13179</v>
      </c>
      <c r="M10449" s="8" t="s">
        <v>13180</v>
      </c>
      <c r="N10449" s="8" t="s">
        <v>44730</v>
      </c>
      <c r="O10449" s="8">
        <f>10+50/60+15.4/3600</f>
        <v>10.837611111111112</v>
      </c>
      <c r="P10449" s="8" t="s">
        <v>44731</v>
      </c>
      <c r="Q10449" s="8">
        <f>+(32+46/60+8/3600)</f>
        <v>32.768888888888888</v>
      </c>
      <c r="R10449" s="8">
        <v>14.8</v>
      </c>
      <c r="S10449" s="8">
        <v>15.6</v>
      </c>
      <c r="T10449" s="8">
        <v>0.8</v>
      </c>
      <c r="U10449" s="8">
        <v>13.2</v>
      </c>
      <c r="V10449" s="8">
        <v>0.9</v>
      </c>
      <c r="W10449" s="8">
        <v>0.3</v>
      </c>
      <c r="X10449" s="8">
        <v>120</v>
      </c>
      <c r="Y10449" s="8" t="s">
        <v>44732</v>
      </c>
      <c r="Z10449" s="8" t="s">
        <v>44733</v>
      </c>
    </row>
    <row r="10450" spans="1:26" x14ac:dyDescent="0.2">
      <c r="A10450" s="8">
        <v>10449</v>
      </c>
      <c r="B10450" s="8" t="s">
        <v>44734</v>
      </c>
      <c r="C10450" s="8" t="s">
        <v>44734</v>
      </c>
      <c r="G10450" s="8">
        <v>20</v>
      </c>
      <c r="H10450" s="8" t="s">
        <v>21</v>
      </c>
      <c r="I10450" s="8" t="s">
        <v>22</v>
      </c>
      <c r="J10450" s="8" t="s">
        <v>57</v>
      </c>
      <c r="K10450" s="8" t="s">
        <v>406</v>
      </c>
      <c r="L10450" s="8" t="s">
        <v>11765</v>
      </c>
      <c r="M10450" s="8" t="s">
        <v>11766</v>
      </c>
      <c r="N10450" s="8" t="s">
        <v>15618</v>
      </c>
      <c r="O10450" s="8">
        <f>10+50/60+17.8/3600</f>
        <v>10.838277777777778</v>
      </c>
      <c r="P10450" s="8" t="s">
        <v>15619</v>
      </c>
      <c r="Q10450" s="8">
        <f>-(12+6/60+29/3600)</f>
        <v>-12.108055555555556</v>
      </c>
      <c r="R10450" s="8">
        <v>13.2</v>
      </c>
      <c r="S10450" s="8">
        <v>14</v>
      </c>
      <c r="T10450" s="8">
        <v>0.8</v>
      </c>
      <c r="U10450" s="8">
        <v>13.1</v>
      </c>
      <c r="V10450" s="8">
        <v>2.1</v>
      </c>
      <c r="W10450" s="8">
        <v>0.5</v>
      </c>
      <c r="X10450" s="8">
        <v>84</v>
      </c>
      <c r="Y10450" s="8" t="s">
        <v>21</v>
      </c>
      <c r="Z10450" s="8" t="s">
        <v>44735</v>
      </c>
    </row>
    <row r="10451" spans="1:26" x14ac:dyDescent="0.2">
      <c r="A10451" s="8">
        <v>10450</v>
      </c>
      <c r="B10451" s="8" t="s">
        <v>44736</v>
      </c>
      <c r="C10451" s="8" t="s">
        <v>44736</v>
      </c>
      <c r="G10451" s="8">
        <v>20</v>
      </c>
      <c r="H10451" s="8" t="s">
        <v>21</v>
      </c>
      <c r="I10451" s="8" t="s">
        <v>329</v>
      </c>
      <c r="J10451" s="8" t="s">
        <v>329</v>
      </c>
      <c r="K10451" s="8" t="s">
        <v>329</v>
      </c>
      <c r="L10451" s="8" t="s">
        <v>13179</v>
      </c>
      <c r="M10451" s="8" t="s">
        <v>13180</v>
      </c>
      <c r="N10451" s="8" t="s">
        <v>44737</v>
      </c>
      <c r="O10451" s="8">
        <f>10+52/60+8/3600</f>
        <v>10.86888888888889</v>
      </c>
      <c r="P10451" s="8" t="s">
        <v>44738</v>
      </c>
      <c r="Q10451" s="8">
        <f>+(33+5/60+0/3600)</f>
        <v>33.083333333333336</v>
      </c>
      <c r="R10451" s="8">
        <v>99</v>
      </c>
      <c r="S10451" s="8">
        <v>99</v>
      </c>
      <c r="T10451" s="8">
        <v>99</v>
      </c>
      <c r="U10451" s="8">
        <v>99</v>
      </c>
      <c r="Y10451" s="8" t="s">
        <v>21</v>
      </c>
      <c r="Z10451" s="8" t="s">
        <v>44739</v>
      </c>
    </row>
    <row r="10452" spans="1:26" x14ac:dyDescent="0.2">
      <c r="A10452" s="8">
        <v>10451</v>
      </c>
      <c r="B10452" s="8" t="s">
        <v>44740</v>
      </c>
      <c r="C10452" s="8" t="s">
        <v>44740</v>
      </c>
      <c r="G10452" s="8">
        <v>20</v>
      </c>
      <c r="H10452" s="8" t="s">
        <v>21</v>
      </c>
      <c r="I10452" s="8" t="s">
        <v>72</v>
      </c>
      <c r="J10452" s="8" t="s">
        <v>72</v>
      </c>
      <c r="K10452" s="8" t="s">
        <v>20</v>
      </c>
      <c r="L10452" s="8" t="s">
        <v>13194</v>
      </c>
      <c r="M10452" s="8" t="s">
        <v>13195</v>
      </c>
      <c r="N10452" s="8" t="s">
        <v>44741</v>
      </c>
      <c r="O10452" s="8">
        <f>10+52/60+39/3600</f>
        <v>10.877500000000001</v>
      </c>
      <c r="P10452" s="8" t="s">
        <v>44742</v>
      </c>
      <c r="Q10452" s="8">
        <f>+(10+8/60+11/3600)</f>
        <v>10.136388888888888</v>
      </c>
      <c r="R10452" s="8">
        <v>99</v>
      </c>
      <c r="S10452" s="8">
        <v>15</v>
      </c>
      <c r="T10452" s="8">
        <v>99</v>
      </c>
      <c r="U10452" s="8">
        <v>99</v>
      </c>
      <c r="Y10452" s="8" t="s">
        <v>47</v>
      </c>
      <c r="Z10452" s="8" t="s">
        <v>48</v>
      </c>
    </row>
    <row r="10453" spans="1:26" x14ac:dyDescent="0.2">
      <c r="A10453" s="8">
        <v>10452</v>
      </c>
      <c r="B10453" s="8" t="s">
        <v>44743</v>
      </c>
      <c r="C10453" s="8" t="s">
        <v>44743</v>
      </c>
      <c r="G10453" s="8">
        <v>20</v>
      </c>
      <c r="H10453" s="8" t="s">
        <v>21</v>
      </c>
      <c r="I10453" s="8" t="s">
        <v>22</v>
      </c>
      <c r="J10453" s="8" t="s">
        <v>22</v>
      </c>
      <c r="K10453" s="8" t="s">
        <v>58</v>
      </c>
      <c r="L10453" s="8" t="s">
        <v>13179</v>
      </c>
      <c r="M10453" s="8" t="s">
        <v>13180</v>
      </c>
      <c r="N10453" s="8" t="s">
        <v>44744</v>
      </c>
      <c r="O10453" s="8">
        <f>10+53/60+37.1/3600</f>
        <v>10.893638888888889</v>
      </c>
      <c r="P10453" s="8" t="s">
        <v>44745</v>
      </c>
      <c r="Q10453" s="8">
        <f>+(32+46/60+6/3600)</f>
        <v>32.768333333333331</v>
      </c>
      <c r="R10453" s="8">
        <v>15.6</v>
      </c>
      <c r="S10453" s="8">
        <v>16.600000000000001</v>
      </c>
      <c r="T10453" s="8">
        <v>1</v>
      </c>
      <c r="U10453" s="8">
        <v>13.4</v>
      </c>
      <c r="V10453" s="8">
        <v>0.4</v>
      </c>
      <c r="W10453" s="8">
        <v>0.3</v>
      </c>
      <c r="X10453" s="8">
        <v>95</v>
      </c>
      <c r="Y10453" s="8" t="s">
        <v>36797</v>
      </c>
      <c r="Z10453" s="8" t="s">
        <v>36798</v>
      </c>
    </row>
    <row r="10454" spans="1:26" x14ac:dyDescent="0.2">
      <c r="A10454" s="8">
        <v>10453</v>
      </c>
      <c r="B10454" s="8" t="s">
        <v>44746</v>
      </c>
      <c r="C10454" s="8" t="s">
        <v>44746</v>
      </c>
      <c r="G10454" s="8">
        <v>20</v>
      </c>
      <c r="H10454" s="8" t="s">
        <v>21</v>
      </c>
      <c r="I10454" s="8" t="s">
        <v>22</v>
      </c>
      <c r="J10454" s="8" t="s">
        <v>57</v>
      </c>
      <c r="K10454" s="8" t="s">
        <v>64</v>
      </c>
      <c r="L10454" s="8" t="s">
        <v>13179</v>
      </c>
      <c r="M10454" s="8" t="s">
        <v>13180</v>
      </c>
      <c r="N10454" s="8" t="s">
        <v>15582</v>
      </c>
      <c r="O10454" s="8">
        <f>10+49/60+49.9/3600</f>
        <v>10.830527777777778</v>
      </c>
      <c r="P10454" s="8" t="s">
        <v>15583</v>
      </c>
      <c r="Q10454" s="8">
        <f>+(32+58/60+53/3600)</f>
        <v>32.981388888888894</v>
      </c>
      <c r="R10454" s="8">
        <v>12.1</v>
      </c>
      <c r="S10454" s="8">
        <v>12.4</v>
      </c>
      <c r="T10454" s="8">
        <v>0.3</v>
      </c>
      <c r="U10454" s="8">
        <v>12.9</v>
      </c>
      <c r="V10454" s="8">
        <v>2.1</v>
      </c>
      <c r="W10454" s="8">
        <v>1.1000000000000001</v>
      </c>
      <c r="X10454" s="8">
        <v>50</v>
      </c>
      <c r="Y10454" s="8" t="s">
        <v>21</v>
      </c>
      <c r="Z10454" s="8" t="s">
        <v>44747</v>
      </c>
    </row>
    <row r="10455" spans="1:26" x14ac:dyDescent="0.2">
      <c r="A10455" s="8">
        <v>10454</v>
      </c>
      <c r="B10455" s="8" t="s">
        <v>44748</v>
      </c>
      <c r="C10455" s="8" t="s">
        <v>44748</v>
      </c>
      <c r="G10455" s="8">
        <v>20</v>
      </c>
      <c r="H10455" s="8" t="s">
        <v>21</v>
      </c>
      <c r="I10455" s="8" t="s">
        <v>22</v>
      </c>
      <c r="J10455" s="8" t="s">
        <v>22</v>
      </c>
      <c r="K10455" s="8" t="s">
        <v>460</v>
      </c>
      <c r="L10455" s="8" t="s">
        <v>12015</v>
      </c>
      <c r="M10455" s="8" t="s">
        <v>12016</v>
      </c>
      <c r="N10455" s="8" t="s">
        <v>44749</v>
      </c>
      <c r="O10455" s="8">
        <f>11+1/60+33.9/3600</f>
        <v>11.026083333333334</v>
      </c>
      <c r="P10455" s="8" t="s">
        <v>44750</v>
      </c>
      <c r="Q10455" s="8">
        <f>+(38+48/60+14/3600)</f>
        <v>38.803888888888885</v>
      </c>
      <c r="R10455" s="8">
        <v>15.5</v>
      </c>
      <c r="S10455" s="8">
        <v>16.5</v>
      </c>
      <c r="T10455" s="8">
        <v>1</v>
      </c>
      <c r="U10455" s="8">
        <v>12.1</v>
      </c>
      <c r="V10455" s="8">
        <v>0.2</v>
      </c>
      <c r="W10455" s="8">
        <v>0.2</v>
      </c>
      <c r="Y10455" s="8" t="s">
        <v>421</v>
      </c>
      <c r="Z10455" s="8" t="s">
        <v>422</v>
      </c>
    </row>
    <row r="10456" spans="1:26" x14ac:dyDescent="0.2">
      <c r="A10456" s="8">
        <v>10455</v>
      </c>
      <c r="B10456" s="8" t="s">
        <v>44751</v>
      </c>
      <c r="C10456" s="8" t="s">
        <v>44751</v>
      </c>
      <c r="G10456" s="8">
        <v>20</v>
      </c>
      <c r="H10456" s="8" t="s">
        <v>21</v>
      </c>
      <c r="I10456" s="8" t="s">
        <v>22</v>
      </c>
      <c r="J10456" s="8" t="s">
        <v>22</v>
      </c>
      <c r="K10456" s="8" t="s">
        <v>632</v>
      </c>
      <c r="L10456" s="8" t="s">
        <v>12015</v>
      </c>
      <c r="M10456" s="8" t="s">
        <v>12016</v>
      </c>
      <c r="N10456" s="8" t="s">
        <v>44752</v>
      </c>
      <c r="O10456" s="8">
        <f>11+2/60+2.2/3600</f>
        <v>11.033944444444444</v>
      </c>
      <c r="P10456" s="8" t="s">
        <v>44753</v>
      </c>
      <c r="Q10456" s="8">
        <f>+(37+56/60+44/3600)</f>
        <v>37.945555555555551</v>
      </c>
      <c r="R10456" s="8">
        <v>14.9</v>
      </c>
      <c r="S10456" s="8">
        <v>15.8</v>
      </c>
      <c r="T10456" s="8">
        <v>0.9</v>
      </c>
      <c r="U10456" s="8">
        <v>12.8</v>
      </c>
      <c r="V10456" s="8">
        <v>0.4</v>
      </c>
      <c r="W10456" s="8">
        <v>0.4</v>
      </c>
      <c r="Y10456" s="8" t="s">
        <v>1212</v>
      </c>
      <c r="Z10456" s="8" t="s">
        <v>1213</v>
      </c>
    </row>
    <row r="10457" spans="1:26" x14ac:dyDescent="0.2">
      <c r="A10457" s="8">
        <v>10456</v>
      </c>
      <c r="B10457" s="8" t="s">
        <v>44754</v>
      </c>
      <c r="C10457" s="8" t="s">
        <v>44754</v>
      </c>
      <c r="G10457" s="8">
        <v>20</v>
      </c>
      <c r="H10457" s="8" t="s">
        <v>21</v>
      </c>
      <c r="I10457" s="8" t="s">
        <v>22</v>
      </c>
      <c r="J10457" s="8" t="s">
        <v>22</v>
      </c>
      <c r="K10457" s="8" t="s">
        <v>449</v>
      </c>
      <c r="L10457" s="8" t="s">
        <v>12015</v>
      </c>
      <c r="M10457" s="8" t="s">
        <v>12016</v>
      </c>
      <c r="N10457" s="8" t="s">
        <v>44755</v>
      </c>
      <c r="O10457" s="8">
        <f>11+2/60+5.7/3600</f>
        <v>11.034916666666666</v>
      </c>
      <c r="P10457" s="8" t="s">
        <v>44756</v>
      </c>
      <c r="Q10457" s="8">
        <f>+(38+47/60+14/3600)</f>
        <v>38.787222222222219</v>
      </c>
      <c r="R10457" s="8">
        <v>14.8</v>
      </c>
      <c r="S10457" s="8">
        <v>15.6</v>
      </c>
      <c r="T10457" s="8">
        <v>0.8</v>
      </c>
      <c r="U10457" s="8">
        <v>11.6</v>
      </c>
      <c r="V10457" s="8">
        <v>0.3</v>
      </c>
      <c r="W10457" s="8">
        <v>0.2</v>
      </c>
      <c r="X10457" s="8">
        <v>85</v>
      </c>
      <c r="Y10457" s="8" t="s">
        <v>37070</v>
      </c>
      <c r="Z10457" s="8" t="s">
        <v>37071</v>
      </c>
    </row>
    <row r="10458" spans="1:26" x14ac:dyDescent="0.2">
      <c r="A10458" s="8">
        <v>10457</v>
      </c>
      <c r="B10458" s="8" t="s">
        <v>44757</v>
      </c>
      <c r="C10458" s="8" t="s">
        <v>44757</v>
      </c>
      <c r="G10458" s="8">
        <v>20</v>
      </c>
      <c r="H10458" s="8" t="s">
        <v>21</v>
      </c>
      <c r="I10458" s="8" t="s">
        <v>22</v>
      </c>
      <c r="J10458" s="8" t="s">
        <v>22</v>
      </c>
      <c r="K10458" s="8" t="s">
        <v>449</v>
      </c>
      <c r="L10458" s="8" t="s">
        <v>12015</v>
      </c>
      <c r="M10458" s="8" t="s">
        <v>12016</v>
      </c>
      <c r="N10458" s="8" t="s">
        <v>44758</v>
      </c>
      <c r="O10458" s="8">
        <f>11+2/60+7.6/3600</f>
        <v>11.035444444444444</v>
      </c>
      <c r="P10458" s="8" t="s">
        <v>44759</v>
      </c>
      <c r="Q10458" s="8">
        <f>+(38+39/60+52/3600)</f>
        <v>38.664444444444442</v>
      </c>
      <c r="R10458" s="8">
        <v>14.4</v>
      </c>
      <c r="S10458" s="8">
        <v>15.2</v>
      </c>
      <c r="T10458" s="8">
        <v>0.8</v>
      </c>
      <c r="U10458" s="8">
        <v>13.6</v>
      </c>
      <c r="V10458" s="8">
        <v>0.9</v>
      </c>
      <c r="W10458" s="8">
        <v>0.6</v>
      </c>
      <c r="X10458" s="8">
        <v>93</v>
      </c>
      <c r="Y10458" s="8" t="s">
        <v>44760</v>
      </c>
      <c r="Z10458" s="8" t="s">
        <v>44761</v>
      </c>
    </row>
    <row r="10459" spans="1:26" x14ac:dyDescent="0.2">
      <c r="A10459" s="8">
        <v>10458</v>
      </c>
      <c r="B10459" s="8" t="s">
        <v>44762</v>
      </c>
      <c r="C10459" s="8" t="s">
        <v>44762</v>
      </c>
      <c r="G10459" s="8">
        <v>20</v>
      </c>
      <c r="H10459" s="8" t="s">
        <v>21</v>
      </c>
      <c r="I10459" s="8" t="s">
        <v>72</v>
      </c>
      <c r="J10459" s="8" t="s">
        <v>72</v>
      </c>
      <c r="K10459" s="8" t="s">
        <v>20</v>
      </c>
      <c r="L10459" s="8" t="s">
        <v>13179</v>
      </c>
      <c r="M10459" s="8" t="s">
        <v>13180</v>
      </c>
      <c r="N10459" s="8" t="s">
        <v>44763</v>
      </c>
      <c r="O10459" s="8">
        <f>11+1/60+58.8/3600</f>
        <v>11.033000000000001</v>
      </c>
      <c r="P10459" s="8" t="s">
        <v>44764</v>
      </c>
      <c r="Q10459" s="8">
        <f>+(27+47/60+11/3600)</f>
        <v>27.78638888888889</v>
      </c>
      <c r="R10459" s="8">
        <v>99</v>
      </c>
      <c r="S10459" s="8">
        <v>14.6</v>
      </c>
      <c r="T10459" s="8">
        <v>99</v>
      </c>
      <c r="U10459" s="8">
        <v>99</v>
      </c>
      <c r="Y10459" s="8" t="s">
        <v>21</v>
      </c>
      <c r="Z10459" s="8" t="s">
        <v>44765</v>
      </c>
    </row>
    <row r="10460" spans="1:26" x14ac:dyDescent="0.2">
      <c r="A10460" s="8">
        <v>10459</v>
      </c>
      <c r="B10460" s="8" t="s">
        <v>44766</v>
      </c>
      <c r="C10460" s="8" t="s">
        <v>44766</v>
      </c>
      <c r="G10460" s="8">
        <v>20</v>
      </c>
      <c r="H10460" s="8" t="s">
        <v>21</v>
      </c>
      <c r="I10460" s="8" t="s">
        <v>22</v>
      </c>
      <c r="J10460" s="8" t="s">
        <v>22</v>
      </c>
      <c r="K10460" s="8" t="s">
        <v>17644</v>
      </c>
      <c r="L10460" s="8" t="s">
        <v>12015</v>
      </c>
      <c r="M10460" s="8" t="s">
        <v>12016</v>
      </c>
      <c r="N10460" s="8" t="s">
        <v>44767</v>
      </c>
      <c r="O10460" s="8">
        <f>11+2/60+15.2/3600</f>
        <v>11.037555555555555</v>
      </c>
      <c r="P10460" s="8" t="s">
        <v>44768</v>
      </c>
      <c r="Q10460" s="8">
        <f>+(37+57/60+59/3600)</f>
        <v>37.966388888888893</v>
      </c>
      <c r="R10460" s="8">
        <v>15.1</v>
      </c>
      <c r="S10460" s="8">
        <v>15.7</v>
      </c>
      <c r="T10460" s="8">
        <v>0.6</v>
      </c>
      <c r="U10460" s="8">
        <v>12.3</v>
      </c>
      <c r="V10460" s="8">
        <v>0.3</v>
      </c>
      <c r="W10460" s="8">
        <v>0.3</v>
      </c>
      <c r="Y10460" s="8" t="s">
        <v>21</v>
      </c>
      <c r="Z10460" s="8" t="s">
        <v>44769</v>
      </c>
    </row>
    <row r="10461" spans="1:26" x14ac:dyDescent="0.2">
      <c r="A10461" s="8">
        <v>10460</v>
      </c>
      <c r="B10461" s="8" t="s">
        <v>44770</v>
      </c>
      <c r="C10461" s="8" t="s">
        <v>44770</v>
      </c>
      <c r="G10461" s="8">
        <v>20</v>
      </c>
      <c r="H10461" s="8" t="s">
        <v>21</v>
      </c>
      <c r="I10461" s="8" t="s">
        <v>22</v>
      </c>
      <c r="J10461" s="8" t="s">
        <v>22</v>
      </c>
      <c r="K10461" s="8" t="s">
        <v>449</v>
      </c>
      <c r="L10461" s="8" t="s">
        <v>12015</v>
      </c>
      <c r="M10461" s="8" t="s">
        <v>12016</v>
      </c>
      <c r="N10461" s="8" t="s">
        <v>44771</v>
      </c>
      <c r="O10461" s="8">
        <f>11+2/60+23.9/3600</f>
        <v>11.039972222222222</v>
      </c>
      <c r="P10461" s="8" t="s">
        <v>44772</v>
      </c>
      <c r="Q10461" s="8">
        <f>+(38+30/60+20/3600)</f>
        <v>38.505555555555553</v>
      </c>
      <c r="R10461" s="8">
        <v>14.2</v>
      </c>
      <c r="S10461" s="8">
        <v>15.1</v>
      </c>
      <c r="T10461" s="8">
        <v>0.9</v>
      </c>
      <c r="U10461" s="8">
        <v>12</v>
      </c>
      <c r="V10461" s="8">
        <v>1</v>
      </c>
      <c r="W10461" s="8">
        <v>0.9</v>
      </c>
      <c r="X10461" s="8">
        <v>141</v>
      </c>
      <c r="Y10461" s="8" t="s">
        <v>41073</v>
      </c>
      <c r="Z10461" s="8" t="s">
        <v>41074</v>
      </c>
    </row>
    <row r="10462" spans="1:26" x14ac:dyDescent="0.2">
      <c r="A10462" s="8">
        <v>10461</v>
      </c>
      <c r="B10462" s="8" t="s">
        <v>44773</v>
      </c>
      <c r="C10462" s="8" t="s">
        <v>44773</v>
      </c>
      <c r="G10462" s="8">
        <v>13</v>
      </c>
      <c r="H10462" s="8" t="s">
        <v>21</v>
      </c>
      <c r="I10462" s="8" t="s">
        <v>241</v>
      </c>
      <c r="J10462" s="8" t="s">
        <v>241</v>
      </c>
      <c r="K10462" s="8" t="s">
        <v>241</v>
      </c>
      <c r="L10462" s="8" t="s">
        <v>10135</v>
      </c>
      <c r="M10462" s="8" t="s">
        <v>10136</v>
      </c>
      <c r="N10462" s="8" t="s">
        <v>44774</v>
      </c>
      <c r="O10462" s="8">
        <f>11+0/60+20.2/3600</f>
        <v>11.005611111111111</v>
      </c>
      <c r="P10462" s="8" t="s">
        <v>44775</v>
      </c>
      <c r="Q10462" s="8">
        <f>-(65+14/60+56/3600)</f>
        <v>-65.248888888888885</v>
      </c>
      <c r="R10462" s="8">
        <v>11.2</v>
      </c>
      <c r="S10462" s="8">
        <v>11.3</v>
      </c>
      <c r="T10462" s="8">
        <v>99</v>
      </c>
      <c r="U10462" s="8">
        <v>99</v>
      </c>
      <c r="V10462" s="8">
        <v>0.08</v>
      </c>
      <c r="Y10462" s="8" t="s">
        <v>21</v>
      </c>
      <c r="Z10462" s="8" t="s">
        <v>44776</v>
      </c>
    </row>
    <row r="10463" spans="1:26" x14ac:dyDescent="0.2">
      <c r="A10463" s="8">
        <v>10462</v>
      </c>
      <c r="B10463" s="8" t="s">
        <v>44777</v>
      </c>
      <c r="C10463" s="8" t="s">
        <v>44777</v>
      </c>
      <c r="G10463" s="8">
        <v>20</v>
      </c>
      <c r="H10463" s="8" t="s">
        <v>21</v>
      </c>
      <c r="I10463" s="8" t="s">
        <v>22</v>
      </c>
      <c r="J10463" s="8" t="s">
        <v>57</v>
      </c>
      <c r="K10463" s="8" t="s">
        <v>23</v>
      </c>
      <c r="L10463" s="8" t="s">
        <v>15699</v>
      </c>
      <c r="M10463" s="8" t="s">
        <v>15700</v>
      </c>
      <c r="N10463" s="8" t="s">
        <v>16071</v>
      </c>
      <c r="O10463" s="8">
        <f>11+2/60+59.7/3600</f>
        <v>11.049916666666666</v>
      </c>
      <c r="P10463" s="8" t="s">
        <v>16072</v>
      </c>
      <c r="Q10463" s="8">
        <f>-(16+17/60+19/3600)</f>
        <v>-16.288611111111113</v>
      </c>
      <c r="R10463" s="8">
        <v>12.4</v>
      </c>
      <c r="S10463" s="8">
        <v>13.2</v>
      </c>
      <c r="T10463" s="8">
        <v>0.8</v>
      </c>
      <c r="U10463" s="8">
        <v>12.1</v>
      </c>
      <c r="V10463" s="8">
        <v>1.1000000000000001</v>
      </c>
      <c r="W10463" s="8">
        <v>0.9</v>
      </c>
      <c r="X10463" s="8">
        <v>15</v>
      </c>
      <c r="Y10463" s="8" t="s">
        <v>21</v>
      </c>
      <c r="Z10463" s="8" t="s">
        <v>44778</v>
      </c>
    </row>
    <row r="10464" spans="1:26" x14ac:dyDescent="0.2">
      <c r="A10464" s="8">
        <v>10463</v>
      </c>
      <c r="B10464" s="8" t="s">
        <v>44779</v>
      </c>
      <c r="C10464" s="8" t="s">
        <v>44779</v>
      </c>
      <c r="G10464" s="8">
        <v>20</v>
      </c>
      <c r="H10464" s="8" t="s">
        <v>21</v>
      </c>
      <c r="I10464" s="8" t="s">
        <v>22</v>
      </c>
      <c r="J10464" s="8" t="s">
        <v>22</v>
      </c>
      <c r="K10464" s="8" t="s">
        <v>50</v>
      </c>
      <c r="L10464" s="8" t="s">
        <v>15699</v>
      </c>
      <c r="M10464" s="8" t="s">
        <v>15700</v>
      </c>
      <c r="N10464" s="8" t="s">
        <v>44780</v>
      </c>
      <c r="O10464" s="8">
        <f>11+3/60+50.9/3600</f>
        <v>11.064138888888889</v>
      </c>
      <c r="P10464" s="8" t="s">
        <v>44781</v>
      </c>
      <c r="Q10464" s="8">
        <f>-(20+5/60+35/3600)</f>
        <v>-20.093055555555555</v>
      </c>
      <c r="R10464" s="8">
        <v>13.5</v>
      </c>
      <c r="S10464" s="8">
        <v>14.5</v>
      </c>
      <c r="T10464" s="8">
        <v>1</v>
      </c>
      <c r="U10464" s="8">
        <v>12.5</v>
      </c>
      <c r="V10464" s="8">
        <v>0.8</v>
      </c>
      <c r="W10464" s="8">
        <v>0.5</v>
      </c>
      <c r="X10464" s="8">
        <v>70</v>
      </c>
      <c r="Y10464" s="8" t="s">
        <v>282</v>
      </c>
      <c r="Z10464" s="8" t="s">
        <v>283</v>
      </c>
    </row>
    <row r="10465" spans="1:26" x14ac:dyDescent="0.2">
      <c r="A10465" s="8">
        <v>10464</v>
      </c>
      <c r="B10465" s="8" t="s">
        <v>44782</v>
      </c>
      <c r="C10465" s="8" t="s">
        <v>44782</v>
      </c>
      <c r="G10465" s="8">
        <v>20</v>
      </c>
      <c r="H10465" s="8" t="s">
        <v>21</v>
      </c>
      <c r="I10465" s="8" t="s">
        <v>22</v>
      </c>
      <c r="J10465" s="8" t="s">
        <v>57</v>
      </c>
      <c r="K10465" s="8" t="s">
        <v>37</v>
      </c>
      <c r="L10465" s="8" t="s">
        <v>15699</v>
      </c>
      <c r="M10465" s="8" t="s">
        <v>15700</v>
      </c>
      <c r="N10465" s="8" t="s">
        <v>16035</v>
      </c>
      <c r="O10465" s="8">
        <f>11+7/60+18.1/3600</f>
        <v>11.121694444444445</v>
      </c>
      <c r="P10465" s="8" t="s">
        <v>16036</v>
      </c>
      <c r="Q10465" s="8">
        <f>-(19+28/60+17/3600)</f>
        <v>-19.471388888888889</v>
      </c>
      <c r="R10465" s="8">
        <v>11.9</v>
      </c>
      <c r="S10465" s="8">
        <v>12.9</v>
      </c>
      <c r="T10465" s="8">
        <v>1</v>
      </c>
      <c r="U10465" s="8">
        <v>13.2</v>
      </c>
      <c r="V10465" s="8">
        <v>2.6</v>
      </c>
      <c r="W10465" s="8">
        <v>1.5</v>
      </c>
      <c r="X10465" s="8">
        <v>59</v>
      </c>
      <c r="Y10465" s="8" t="s">
        <v>44783</v>
      </c>
      <c r="Z10465" s="8" t="s">
        <v>44784</v>
      </c>
    </row>
    <row r="10466" spans="1:26" x14ac:dyDescent="0.2">
      <c r="A10466" s="8">
        <v>10465</v>
      </c>
      <c r="B10466" s="8" t="s">
        <v>44785</v>
      </c>
      <c r="C10466" s="8" t="s">
        <v>44785</v>
      </c>
      <c r="G10466" s="8">
        <v>20</v>
      </c>
      <c r="H10466" s="8" t="s">
        <v>21</v>
      </c>
      <c r="I10466" s="8" t="s">
        <v>22</v>
      </c>
      <c r="J10466" s="8" t="s">
        <v>57</v>
      </c>
      <c r="K10466" s="8" t="s">
        <v>218</v>
      </c>
      <c r="L10466" s="8" t="s">
        <v>15699</v>
      </c>
      <c r="M10466" s="8" t="s">
        <v>15700</v>
      </c>
      <c r="N10466" s="8" t="s">
        <v>16177</v>
      </c>
      <c r="O10466" s="8">
        <f>11+7/60+19.2/3600</f>
        <v>11.122</v>
      </c>
      <c r="P10466" s="8" t="s">
        <v>16178</v>
      </c>
      <c r="Q10466" s="8">
        <f>-(19+33/60+22/3600)</f>
        <v>-19.556111111111111</v>
      </c>
      <c r="R10466" s="8">
        <v>13.1</v>
      </c>
      <c r="S10466" s="8">
        <v>13.9</v>
      </c>
      <c r="T10466" s="8">
        <v>0.8</v>
      </c>
      <c r="U10466" s="8">
        <v>12.7</v>
      </c>
      <c r="V10466" s="8">
        <v>1</v>
      </c>
      <c r="W10466" s="8">
        <v>0.8</v>
      </c>
      <c r="X10466" s="8">
        <v>55</v>
      </c>
      <c r="Y10466" s="8" t="s">
        <v>44786</v>
      </c>
      <c r="Z10466" s="8" t="s">
        <v>44787</v>
      </c>
    </row>
    <row r="10467" spans="1:26" x14ac:dyDescent="0.2">
      <c r="A10467" s="8">
        <v>10466</v>
      </c>
      <c r="B10467" s="8" t="s">
        <v>44788</v>
      </c>
      <c r="C10467" s="8" t="s">
        <v>44788</v>
      </c>
      <c r="G10467" s="8">
        <v>20</v>
      </c>
      <c r="H10467" s="8" t="s">
        <v>21</v>
      </c>
      <c r="I10467" s="8" t="s">
        <v>22</v>
      </c>
      <c r="J10467" s="8" t="s">
        <v>22</v>
      </c>
      <c r="K10467" s="8" t="s">
        <v>449</v>
      </c>
      <c r="L10467" s="8" t="s">
        <v>13194</v>
      </c>
      <c r="M10467" s="8" t="s">
        <v>13195</v>
      </c>
      <c r="N10467" s="8" t="s">
        <v>44789</v>
      </c>
      <c r="O10467" s="8">
        <f>11+9/60+3.8/3600</f>
        <v>11.151055555555557</v>
      </c>
      <c r="P10467" s="8" t="s">
        <v>44790</v>
      </c>
      <c r="Q10467" s="8">
        <f>+(26+54/60+16/3600)</f>
        <v>26.904444444444444</v>
      </c>
      <c r="R10467" s="8">
        <v>14.9</v>
      </c>
      <c r="S10467" s="8">
        <v>15.7</v>
      </c>
      <c r="T10467" s="8">
        <v>0.8</v>
      </c>
      <c r="U10467" s="8">
        <v>11.3</v>
      </c>
      <c r="V10467" s="8">
        <v>0.4</v>
      </c>
      <c r="W10467" s="8">
        <v>0.1</v>
      </c>
      <c r="X10467" s="8">
        <v>45</v>
      </c>
      <c r="Y10467" s="8" t="s">
        <v>44791</v>
      </c>
      <c r="Z10467" s="8" t="s">
        <v>44792</v>
      </c>
    </row>
    <row r="10468" spans="1:26" x14ac:dyDescent="0.2">
      <c r="A10468" s="8">
        <v>10467</v>
      </c>
      <c r="B10468" s="8" t="s">
        <v>44793</v>
      </c>
      <c r="C10468" s="8" t="s">
        <v>44793</v>
      </c>
      <c r="G10468" s="8">
        <v>13</v>
      </c>
      <c r="H10468" s="8" t="s">
        <v>21</v>
      </c>
      <c r="I10468" s="8" t="s">
        <v>22</v>
      </c>
      <c r="J10468" s="8" t="s">
        <v>22</v>
      </c>
      <c r="K10468" s="8" t="s">
        <v>85</v>
      </c>
      <c r="L10468" s="8" t="s">
        <v>15699</v>
      </c>
      <c r="M10468" s="8" t="s">
        <v>15700</v>
      </c>
      <c r="N10468" s="8" t="s">
        <v>44794</v>
      </c>
      <c r="O10468" s="8">
        <f>11+9/60+53.5/3600</f>
        <v>11.164861111111112</v>
      </c>
      <c r="P10468" s="8" t="s">
        <v>44795</v>
      </c>
      <c r="Q10468" s="8">
        <f>-(23+43/60+36/3600)</f>
        <v>-23.726666666666667</v>
      </c>
      <c r="R10468" s="8">
        <v>12</v>
      </c>
      <c r="S10468" s="8">
        <v>12.6</v>
      </c>
      <c r="T10468" s="8">
        <v>0.6</v>
      </c>
      <c r="U10468" s="8">
        <v>13.8</v>
      </c>
      <c r="V10468" s="8">
        <v>2.6</v>
      </c>
      <c r="W10468" s="8">
        <v>2.1</v>
      </c>
      <c r="X10468" s="8">
        <v>66</v>
      </c>
      <c r="Y10468" s="8" t="s">
        <v>44796</v>
      </c>
      <c r="Z10468" s="8" t="s">
        <v>44797</v>
      </c>
    </row>
    <row r="10469" spans="1:26" x14ac:dyDescent="0.2">
      <c r="A10469" s="8">
        <v>10468</v>
      </c>
      <c r="B10469" s="8" t="s">
        <v>44798</v>
      </c>
      <c r="C10469" s="8" t="s">
        <v>44798</v>
      </c>
      <c r="G10469" s="8">
        <v>20</v>
      </c>
      <c r="H10469" s="8" t="s">
        <v>21</v>
      </c>
      <c r="I10469" s="8" t="s">
        <v>22</v>
      </c>
      <c r="J10469" s="8" t="s">
        <v>22</v>
      </c>
      <c r="K10469" s="8" t="s">
        <v>382</v>
      </c>
      <c r="L10469" s="8" t="s">
        <v>13194</v>
      </c>
      <c r="M10469" s="8" t="s">
        <v>13195</v>
      </c>
      <c r="N10469" s="8" t="s">
        <v>44799</v>
      </c>
      <c r="O10469" s="8">
        <f>11+11/60+37.8/3600</f>
        <v>11.193833333333334</v>
      </c>
      <c r="P10469" s="8" t="s">
        <v>44800</v>
      </c>
      <c r="Q10469" s="8">
        <f>+(12+7/60+21/3600)</f>
        <v>12.1225</v>
      </c>
      <c r="R10469" s="8">
        <v>14.5</v>
      </c>
      <c r="S10469" s="8">
        <v>15.5</v>
      </c>
      <c r="T10469" s="8">
        <v>1</v>
      </c>
      <c r="U10469" s="8">
        <v>13.8</v>
      </c>
      <c r="V10469" s="8">
        <v>0.8</v>
      </c>
      <c r="W10469" s="8">
        <v>0.6</v>
      </c>
      <c r="X10469" s="8">
        <v>168</v>
      </c>
      <c r="Y10469" s="8" t="s">
        <v>44801</v>
      </c>
      <c r="Z10469" s="8" t="s">
        <v>44802</v>
      </c>
    </row>
    <row r="10470" spans="1:26" x14ac:dyDescent="0.2">
      <c r="A10470" s="8">
        <v>10469</v>
      </c>
      <c r="B10470" s="8" t="s">
        <v>44803</v>
      </c>
      <c r="C10470" s="8" t="s">
        <v>44803</v>
      </c>
      <c r="G10470" s="8">
        <v>20</v>
      </c>
      <c r="H10470" s="8" t="s">
        <v>21</v>
      </c>
      <c r="I10470" s="8" t="s">
        <v>22</v>
      </c>
      <c r="J10470" s="8" t="s">
        <v>22</v>
      </c>
      <c r="K10470" s="8" t="s">
        <v>449</v>
      </c>
      <c r="L10470" s="8" t="s">
        <v>13194</v>
      </c>
      <c r="M10470" s="8" t="s">
        <v>13195</v>
      </c>
      <c r="N10470" s="8" t="s">
        <v>44804</v>
      </c>
      <c r="O10470" s="8">
        <f>11+12/60+36.9/3600</f>
        <v>11.210249999999998</v>
      </c>
      <c r="P10470" s="8" t="s">
        <v>44805</v>
      </c>
      <c r="Q10470" s="8">
        <f>+(12+6/60+16/3600)</f>
        <v>12.104444444444445</v>
      </c>
      <c r="R10470" s="8">
        <v>15.2</v>
      </c>
      <c r="S10470" s="8">
        <v>16</v>
      </c>
      <c r="T10470" s="8">
        <v>0.8</v>
      </c>
      <c r="U10470" s="8">
        <v>12.6</v>
      </c>
      <c r="V10470" s="8">
        <v>0.5</v>
      </c>
      <c r="W10470" s="8">
        <v>0.2</v>
      </c>
      <c r="X10470" s="8">
        <v>40</v>
      </c>
      <c r="Y10470" s="8" t="s">
        <v>2641</v>
      </c>
      <c r="Z10470" s="8" t="s">
        <v>2642</v>
      </c>
    </row>
    <row r="10471" spans="1:26" x14ac:dyDescent="0.2">
      <c r="A10471" s="8">
        <v>10470</v>
      </c>
      <c r="B10471" s="8" t="s">
        <v>44806</v>
      </c>
      <c r="C10471" s="8" t="s">
        <v>44806</v>
      </c>
      <c r="G10471" s="8">
        <v>20</v>
      </c>
      <c r="H10471" s="8" t="s">
        <v>21</v>
      </c>
      <c r="I10471" s="8" t="s">
        <v>72</v>
      </c>
      <c r="J10471" s="8" t="s">
        <v>72</v>
      </c>
      <c r="K10471" s="8" t="s">
        <v>20</v>
      </c>
      <c r="L10471" s="8" t="s">
        <v>13194</v>
      </c>
      <c r="M10471" s="8" t="s">
        <v>13195</v>
      </c>
      <c r="N10471" s="8" t="s">
        <v>44807</v>
      </c>
      <c r="O10471" s="8">
        <f>11+12/60+43.2/3600</f>
        <v>11.212</v>
      </c>
      <c r="P10471" s="8" t="s">
        <v>44808</v>
      </c>
      <c r="Q10471" s="8">
        <f>+(12+19/60+9/3600)</f>
        <v>12.319166666666666</v>
      </c>
      <c r="R10471" s="8">
        <v>99</v>
      </c>
      <c r="S10471" s="8">
        <v>14.7</v>
      </c>
      <c r="T10471" s="8">
        <v>99</v>
      </c>
      <c r="U10471" s="8">
        <v>99</v>
      </c>
      <c r="Y10471" s="8" t="s">
        <v>44809</v>
      </c>
      <c r="Z10471" s="8" t="s">
        <v>44810</v>
      </c>
    </row>
    <row r="10472" spans="1:26" x14ac:dyDescent="0.2">
      <c r="A10472" s="8">
        <v>10471</v>
      </c>
      <c r="B10472" s="8" t="s">
        <v>44811</v>
      </c>
      <c r="C10472" s="8" t="s">
        <v>44811</v>
      </c>
      <c r="G10472" s="8">
        <v>20</v>
      </c>
      <c r="H10472" s="8" t="s">
        <v>21</v>
      </c>
      <c r="I10472" s="8" t="s">
        <v>1283</v>
      </c>
      <c r="J10472" s="8" t="s">
        <v>1283</v>
      </c>
      <c r="K10472" s="8" t="s">
        <v>6208</v>
      </c>
      <c r="L10472" s="8" t="s">
        <v>13429</v>
      </c>
      <c r="M10472" s="8" t="s">
        <v>13430</v>
      </c>
      <c r="N10472" s="8" t="s">
        <v>44812</v>
      </c>
      <c r="O10472" s="8">
        <f>11+9/60+52.4/3600</f>
        <v>11.164555555555555</v>
      </c>
      <c r="P10472" s="8" t="s">
        <v>44813</v>
      </c>
      <c r="Q10472" s="8">
        <f>-(76+36/60+57/3600)</f>
        <v>-76.615833333333327</v>
      </c>
      <c r="R10472" s="8">
        <v>99</v>
      </c>
      <c r="S10472" s="8">
        <v>99</v>
      </c>
      <c r="T10472" s="8">
        <v>99</v>
      </c>
      <c r="U10472" s="8">
        <v>99</v>
      </c>
      <c r="Y10472" s="8" t="s">
        <v>21</v>
      </c>
      <c r="Z10472" s="8" t="s">
        <v>44814</v>
      </c>
    </row>
    <row r="10473" spans="1:26" x14ac:dyDescent="0.2">
      <c r="A10473" s="8">
        <v>10472</v>
      </c>
      <c r="B10473" s="8" t="s">
        <v>44815</v>
      </c>
      <c r="C10473" s="8" t="s">
        <v>44815</v>
      </c>
      <c r="G10473" s="8">
        <v>20</v>
      </c>
      <c r="H10473" s="8" t="s">
        <v>21</v>
      </c>
      <c r="I10473" s="8" t="s">
        <v>22</v>
      </c>
      <c r="J10473" s="8" t="s">
        <v>22</v>
      </c>
      <c r="K10473" s="8" t="s">
        <v>460</v>
      </c>
      <c r="L10473" s="8" t="s">
        <v>13194</v>
      </c>
      <c r="M10473" s="8" t="s">
        <v>13195</v>
      </c>
      <c r="N10473" s="8" t="s">
        <v>44816</v>
      </c>
      <c r="O10473" s="8">
        <f>11+13/60+5.9/3600</f>
        <v>11.218305555555556</v>
      </c>
      <c r="P10473" s="8" t="s">
        <v>44817</v>
      </c>
      <c r="Q10473" s="8">
        <f>+(11+40/60+26/3600)</f>
        <v>11.673888888888888</v>
      </c>
      <c r="R10473" s="8">
        <v>16.7</v>
      </c>
      <c r="S10473" s="8">
        <v>17.7</v>
      </c>
      <c r="T10473" s="8">
        <v>1</v>
      </c>
      <c r="U10473" s="8">
        <v>14.2</v>
      </c>
      <c r="V10473" s="8">
        <v>0.3</v>
      </c>
      <c r="W10473" s="8">
        <v>0.3</v>
      </c>
      <c r="Y10473" s="8" t="s">
        <v>2641</v>
      </c>
      <c r="Z10473" s="8" t="s">
        <v>2642</v>
      </c>
    </row>
    <row r="10474" spans="1:26" x14ac:dyDescent="0.2">
      <c r="A10474" s="8">
        <v>10473</v>
      </c>
      <c r="B10474" s="8" t="s">
        <v>44818</v>
      </c>
      <c r="C10474" s="8" t="s">
        <v>44818</v>
      </c>
      <c r="G10474" s="8">
        <v>20</v>
      </c>
      <c r="H10474" s="8" t="s">
        <v>21</v>
      </c>
      <c r="I10474" s="8" t="s">
        <v>22</v>
      </c>
      <c r="J10474" s="8" t="s">
        <v>22</v>
      </c>
      <c r="K10474" s="8" t="s">
        <v>449</v>
      </c>
      <c r="L10474" s="8" t="s">
        <v>13194</v>
      </c>
      <c r="M10474" s="8" t="s">
        <v>13195</v>
      </c>
      <c r="N10474" s="8" t="s">
        <v>44819</v>
      </c>
      <c r="O10474" s="8">
        <f>11+13/60+10.1/3600</f>
        <v>11.219472222222223</v>
      </c>
      <c r="P10474" s="8" t="s">
        <v>44820</v>
      </c>
      <c r="Q10474" s="8">
        <f>+(11+36/60+5/3600)</f>
        <v>11.601388888888888</v>
      </c>
      <c r="R10474" s="8">
        <v>15.7</v>
      </c>
      <c r="S10474" s="8">
        <v>16.5</v>
      </c>
      <c r="T10474" s="8">
        <v>0.8</v>
      </c>
      <c r="U10474" s="8">
        <v>12.8</v>
      </c>
      <c r="V10474" s="8">
        <v>0.4</v>
      </c>
      <c r="W10474" s="8">
        <v>0.2</v>
      </c>
      <c r="X10474" s="8">
        <v>10</v>
      </c>
      <c r="Y10474" s="8" t="s">
        <v>44821</v>
      </c>
      <c r="Z10474" s="8" t="s">
        <v>44822</v>
      </c>
    </row>
    <row r="10475" spans="1:26" x14ac:dyDescent="0.2">
      <c r="A10475" s="8">
        <v>10474</v>
      </c>
      <c r="B10475" s="8" t="s">
        <v>44823</v>
      </c>
      <c r="C10475" s="8" t="s">
        <v>44823</v>
      </c>
      <c r="G10475" s="8">
        <v>20</v>
      </c>
      <c r="H10475" s="8" t="s">
        <v>21</v>
      </c>
      <c r="I10475" s="8" t="s">
        <v>22</v>
      </c>
      <c r="J10475" s="8" t="s">
        <v>22</v>
      </c>
      <c r="K10475" s="8" t="s">
        <v>23</v>
      </c>
      <c r="L10475" s="8" t="s">
        <v>13194</v>
      </c>
      <c r="M10475" s="8" t="s">
        <v>13195</v>
      </c>
      <c r="N10475" s="8" t="s">
        <v>44824</v>
      </c>
      <c r="O10475" s="8">
        <f>11+13/60+28.3/3600</f>
        <v>11.224527777777778</v>
      </c>
      <c r="P10475" s="8" t="s">
        <v>44825</v>
      </c>
      <c r="Q10475" s="8">
        <f>+(10+29/60+9/3600)</f>
        <v>10.485833333333332</v>
      </c>
      <c r="R10475" s="8">
        <v>14.5</v>
      </c>
      <c r="S10475" s="8">
        <v>15.3</v>
      </c>
      <c r="T10475" s="8">
        <v>0.8</v>
      </c>
      <c r="U10475" s="8">
        <v>13.2</v>
      </c>
      <c r="V10475" s="8">
        <v>0.7</v>
      </c>
      <c r="W10475" s="8">
        <v>0.5</v>
      </c>
      <c r="X10475" s="8">
        <v>114</v>
      </c>
      <c r="Y10475" s="8" t="s">
        <v>44826</v>
      </c>
      <c r="Z10475" s="8" t="s">
        <v>44827</v>
      </c>
    </row>
    <row r="10476" spans="1:26" x14ac:dyDescent="0.2">
      <c r="A10476" s="8">
        <v>10475</v>
      </c>
      <c r="B10476" s="8" t="s">
        <v>44828</v>
      </c>
      <c r="C10476" s="8" t="s">
        <v>44828</v>
      </c>
      <c r="G10476" s="8">
        <v>20</v>
      </c>
      <c r="H10476" s="8" t="s">
        <v>21</v>
      </c>
      <c r="I10476" s="8" t="s">
        <v>72</v>
      </c>
      <c r="J10476" s="8" t="s">
        <v>72</v>
      </c>
      <c r="K10476" s="8" t="s">
        <v>73</v>
      </c>
      <c r="L10476" s="8" t="s">
        <v>13194</v>
      </c>
      <c r="M10476" s="8" t="s">
        <v>13195</v>
      </c>
      <c r="N10476" s="8" t="s">
        <v>44829</v>
      </c>
      <c r="O10476" s="8">
        <f>11+13/60+29.8/3600</f>
        <v>11.224944444444445</v>
      </c>
      <c r="P10476" s="8" t="s">
        <v>44830</v>
      </c>
      <c r="Q10476" s="8">
        <f>+(11+27/60+50/3600)</f>
        <v>11.463888888888889</v>
      </c>
      <c r="R10476" s="8">
        <v>99</v>
      </c>
      <c r="S10476" s="8">
        <v>99</v>
      </c>
      <c r="T10476" s="8">
        <v>99</v>
      </c>
      <c r="U10476" s="8">
        <v>99</v>
      </c>
      <c r="Y10476" s="8" t="s">
        <v>44831</v>
      </c>
      <c r="Z10476" s="8" t="s">
        <v>44832</v>
      </c>
    </row>
    <row r="10477" spans="1:26" x14ac:dyDescent="0.2">
      <c r="A10477" s="8">
        <v>10476</v>
      </c>
      <c r="B10477" s="8" t="s">
        <v>44833</v>
      </c>
      <c r="C10477" s="8" t="s">
        <v>44833</v>
      </c>
      <c r="G10477" s="8">
        <v>20</v>
      </c>
      <c r="H10477" s="8" t="s">
        <v>21</v>
      </c>
      <c r="I10477" s="8" t="s">
        <v>22</v>
      </c>
      <c r="J10477" s="8" t="s">
        <v>22</v>
      </c>
      <c r="K10477" s="8" t="s">
        <v>449</v>
      </c>
      <c r="L10477" s="8" t="s">
        <v>13194</v>
      </c>
      <c r="M10477" s="8" t="s">
        <v>13195</v>
      </c>
      <c r="N10477" s="8" t="s">
        <v>44834</v>
      </c>
      <c r="O10477" s="8">
        <f>11+13/60+34/3600</f>
        <v>11.226111111111111</v>
      </c>
      <c r="P10477" s="8" t="s">
        <v>44835</v>
      </c>
      <c r="Q10477" s="8">
        <f>+(11+27/60+23/3600)</f>
        <v>11.456388888888888</v>
      </c>
      <c r="R10477" s="8">
        <v>16.5</v>
      </c>
      <c r="S10477" s="8">
        <v>17.3</v>
      </c>
      <c r="T10477" s="8">
        <v>0.8</v>
      </c>
      <c r="U10477" s="8">
        <v>13.6</v>
      </c>
      <c r="V10477" s="8">
        <v>0.4</v>
      </c>
      <c r="W10477" s="8">
        <v>0.2</v>
      </c>
      <c r="X10477" s="8">
        <v>80</v>
      </c>
      <c r="Y10477" s="8" t="s">
        <v>4430</v>
      </c>
      <c r="Z10477" s="8" t="s">
        <v>4431</v>
      </c>
    </row>
    <row r="10478" spans="1:26" x14ac:dyDescent="0.2">
      <c r="A10478" s="8">
        <v>10477</v>
      </c>
      <c r="B10478" s="8" t="s">
        <v>44836</v>
      </c>
      <c r="C10478" s="8" t="s">
        <v>44836</v>
      </c>
      <c r="G10478" s="8">
        <v>20</v>
      </c>
      <c r="H10478" s="8" t="s">
        <v>21</v>
      </c>
      <c r="I10478" s="8" t="s">
        <v>22</v>
      </c>
      <c r="J10478" s="8" t="s">
        <v>22</v>
      </c>
      <c r="K10478" s="8" t="s">
        <v>460</v>
      </c>
      <c r="L10478" s="8" t="s">
        <v>13194</v>
      </c>
      <c r="M10478" s="8" t="s">
        <v>13195</v>
      </c>
      <c r="N10478" s="8" t="s">
        <v>44837</v>
      </c>
      <c r="O10478" s="8">
        <f>11+13/60+49.6/3600</f>
        <v>11.230444444444444</v>
      </c>
      <c r="P10478" s="8" t="s">
        <v>44838</v>
      </c>
      <c r="Q10478" s="8">
        <f>+(9+35/60+12/3600)</f>
        <v>9.5866666666666678</v>
      </c>
      <c r="R10478" s="8">
        <v>12.9</v>
      </c>
      <c r="S10478" s="8">
        <v>13.9</v>
      </c>
      <c r="T10478" s="8">
        <v>1</v>
      </c>
      <c r="U10478" s="8">
        <v>12.5</v>
      </c>
      <c r="V10478" s="8">
        <v>0.8</v>
      </c>
      <c r="W10478" s="8">
        <v>0.8</v>
      </c>
      <c r="Y10478" s="8" t="s">
        <v>44839</v>
      </c>
      <c r="Z10478" s="8" t="s">
        <v>44840</v>
      </c>
    </row>
    <row r="10479" spans="1:26" x14ac:dyDescent="0.2">
      <c r="A10479" s="8">
        <v>10478</v>
      </c>
      <c r="B10479" s="8" t="s">
        <v>44841</v>
      </c>
      <c r="C10479" s="8" t="s">
        <v>44841</v>
      </c>
      <c r="G10479" s="8">
        <v>20</v>
      </c>
      <c r="H10479" s="8" t="s">
        <v>21</v>
      </c>
      <c r="I10479" s="8" t="s">
        <v>22</v>
      </c>
      <c r="J10479" s="8" t="s">
        <v>22</v>
      </c>
      <c r="K10479" s="8" t="s">
        <v>435</v>
      </c>
      <c r="L10479" s="8" t="s">
        <v>13194</v>
      </c>
      <c r="M10479" s="8" t="s">
        <v>13195</v>
      </c>
      <c r="N10479" s="8" t="s">
        <v>44842</v>
      </c>
      <c r="O10479" s="8">
        <f>11+13/60+51.8/3600</f>
        <v>11.231055555555555</v>
      </c>
      <c r="P10479" s="8" t="s">
        <v>44843</v>
      </c>
      <c r="Q10479" s="8">
        <f>+(10+33/60+48/3600)</f>
        <v>10.563333333333334</v>
      </c>
      <c r="R10479" s="8">
        <v>13.8</v>
      </c>
      <c r="S10479" s="8">
        <v>14.7</v>
      </c>
      <c r="T10479" s="8">
        <v>0.9</v>
      </c>
      <c r="U10479" s="8">
        <v>13.2</v>
      </c>
      <c r="V10479" s="8">
        <v>1</v>
      </c>
      <c r="W10479" s="8">
        <v>0.5</v>
      </c>
      <c r="X10479" s="8">
        <v>98</v>
      </c>
      <c r="Y10479" s="8" t="s">
        <v>44844</v>
      </c>
      <c r="Z10479" s="8" t="s">
        <v>44845</v>
      </c>
    </row>
    <row r="10480" spans="1:26" x14ac:dyDescent="0.2">
      <c r="A10480" s="8">
        <v>10479</v>
      </c>
      <c r="B10480" s="8" t="s">
        <v>44846</v>
      </c>
      <c r="C10480" s="8" t="s">
        <v>44846</v>
      </c>
      <c r="G10480" s="8">
        <v>20</v>
      </c>
      <c r="H10480" s="8" t="s">
        <v>21</v>
      </c>
      <c r="I10480" s="8" t="s">
        <v>22</v>
      </c>
      <c r="J10480" s="8" t="s">
        <v>22</v>
      </c>
      <c r="K10480" s="8" t="s">
        <v>460</v>
      </c>
      <c r="L10480" s="8" t="s">
        <v>13194</v>
      </c>
      <c r="M10480" s="8" t="s">
        <v>13195</v>
      </c>
      <c r="N10480" s="8" t="s">
        <v>44847</v>
      </c>
      <c r="O10480" s="8">
        <f>11+13/60+55.5/3600</f>
        <v>11.232083333333334</v>
      </c>
      <c r="P10480" s="8" t="s">
        <v>44848</v>
      </c>
      <c r="Q10480" s="8">
        <f>+(9+38/60+36/3600)</f>
        <v>9.6433333333333326</v>
      </c>
      <c r="R10480" s="8">
        <v>16.100000000000001</v>
      </c>
      <c r="S10480" s="8">
        <v>17.100000000000001</v>
      </c>
      <c r="T10480" s="8">
        <v>1</v>
      </c>
      <c r="U10480" s="8">
        <v>14.2</v>
      </c>
      <c r="V10480" s="8">
        <v>0.4</v>
      </c>
      <c r="W10480" s="8">
        <v>0.4</v>
      </c>
      <c r="Y10480" s="8" t="s">
        <v>44849</v>
      </c>
      <c r="Z10480" s="8" t="s">
        <v>44850</v>
      </c>
    </row>
    <row r="10481" spans="1:26" x14ac:dyDescent="0.2">
      <c r="A10481" s="8">
        <v>10480</v>
      </c>
      <c r="B10481" s="8" t="s">
        <v>44851</v>
      </c>
      <c r="C10481" s="8" t="s">
        <v>44851</v>
      </c>
      <c r="G10481" s="8">
        <v>20</v>
      </c>
      <c r="H10481" s="8" t="s">
        <v>21</v>
      </c>
      <c r="I10481" s="8" t="s">
        <v>22</v>
      </c>
      <c r="J10481" s="8" t="s">
        <v>22</v>
      </c>
      <c r="K10481" s="8" t="s">
        <v>382</v>
      </c>
      <c r="L10481" s="8" t="s">
        <v>13194</v>
      </c>
      <c r="M10481" s="8" t="s">
        <v>13195</v>
      </c>
      <c r="N10481" s="8" t="s">
        <v>44852</v>
      </c>
      <c r="O10481" s="8">
        <f>11+14/60+5.5/3600</f>
        <v>11.23486111111111</v>
      </c>
      <c r="P10481" s="8" t="s">
        <v>44853</v>
      </c>
      <c r="Q10481" s="8">
        <f>+(10+59/60+50/3600)</f>
        <v>10.997222222222222</v>
      </c>
      <c r="R10481" s="8">
        <v>15.2</v>
      </c>
      <c r="S10481" s="8">
        <v>16.2</v>
      </c>
      <c r="T10481" s="8">
        <v>1</v>
      </c>
      <c r="U10481" s="8">
        <v>12.2</v>
      </c>
      <c r="V10481" s="8">
        <v>0.3</v>
      </c>
      <c r="W10481" s="8">
        <v>0.2</v>
      </c>
      <c r="X10481" s="8">
        <v>120</v>
      </c>
      <c r="Y10481" s="8" t="s">
        <v>22305</v>
      </c>
      <c r="Z10481" s="8" t="s">
        <v>22306</v>
      </c>
    </row>
    <row r="10482" spans="1:26" x14ac:dyDescent="0.2">
      <c r="A10482" s="8">
        <v>10481</v>
      </c>
      <c r="B10482" s="8" t="s">
        <v>44854</v>
      </c>
      <c r="C10482" s="8" t="s">
        <v>44854</v>
      </c>
      <c r="G10482" s="8">
        <v>20</v>
      </c>
      <c r="H10482" s="8" t="s">
        <v>21</v>
      </c>
      <c r="I10482" s="8" t="s">
        <v>72</v>
      </c>
      <c r="J10482" s="8" t="s">
        <v>72</v>
      </c>
      <c r="K10482" s="8" t="s">
        <v>20</v>
      </c>
      <c r="L10482" s="8" t="s">
        <v>13194</v>
      </c>
      <c r="M10482" s="8" t="s">
        <v>13195</v>
      </c>
      <c r="N10482" s="8" t="s">
        <v>44855</v>
      </c>
      <c r="O10482" s="8">
        <f>11+14/60+10.6/3600</f>
        <v>11.236277777777778</v>
      </c>
      <c r="P10482" s="8" t="s">
        <v>44856</v>
      </c>
      <c r="Q10482" s="8">
        <f>+(9+23/60+57/3600)</f>
        <v>9.399166666666666</v>
      </c>
      <c r="R10482" s="8">
        <v>99</v>
      </c>
      <c r="S10482" s="8">
        <v>15.3</v>
      </c>
      <c r="T10482" s="8">
        <v>99</v>
      </c>
      <c r="U10482" s="8">
        <v>99</v>
      </c>
      <c r="Y10482" s="8" t="s">
        <v>22305</v>
      </c>
      <c r="Z10482" s="8" t="s">
        <v>22306</v>
      </c>
    </row>
    <row r="10483" spans="1:26" x14ac:dyDescent="0.2">
      <c r="A10483" s="8">
        <v>10482</v>
      </c>
      <c r="B10483" s="8" t="s">
        <v>44857</v>
      </c>
      <c r="C10483" s="8" t="s">
        <v>44857</v>
      </c>
      <c r="G10483" s="8">
        <v>20</v>
      </c>
      <c r="H10483" s="8" t="s">
        <v>21</v>
      </c>
      <c r="I10483" s="8" t="s">
        <v>72</v>
      </c>
      <c r="J10483" s="8" t="s">
        <v>72</v>
      </c>
      <c r="K10483" s="8" t="s">
        <v>20</v>
      </c>
      <c r="L10483" s="8" t="s">
        <v>13194</v>
      </c>
      <c r="M10483" s="8" t="s">
        <v>13195</v>
      </c>
      <c r="N10483" s="8" t="s">
        <v>44858</v>
      </c>
      <c r="O10483" s="8">
        <f>11+14/60+15.8/3600</f>
        <v>11.237722222222221</v>
      </c>
      <c r="P10483" s="8" t="s">
        <v>44859</v>
      </c>
      <c r="Q10483" s="8">
        <f>+(12+15/60+57/3600)</f>
        <v>12.265833333333333</v>
      </c>
      <c r="R10483" s="8">
        <v>99</v>
      </c>
      <c r="S10483" s="8">
        <v>15.5</v>
      </c>
      <c r="T10483" s="8">
        <v>99</v>
      </c>
      <c r="U10483" s="8">
        <v>99</v>
      </c>
      <c r="Y10483" s="8" t="s">
        <v>44860</v>
      </c>
      <c r="Z10483" s="8" t="s">
        <v>44861</v>
      </c>
    </row>
    <row r="10484" spans="1:26" x14ac:dyDescent="0.2">
      <c r="A10484" s="8">
        <v>10483</v>
      </c>
      <c r="B10484" s="8" t="s">
        <v>44862</v>
      </c>
      <c r="C10484" s="8" t="s">
        <v>44862</v>
      </c>
      <c r="G10484" s="8">
        <v>20</v>
      </c>
      <c r="H10484" s="8" t="s">
        <v>21</v>
      </c>
      <c r="I10484" s="8" t="s">
        <v>72</v>
      </c>
      <c r="J10484" s="8" t="s">
        <v>72</v>
      </c>
      <c r="K10484" s="8" t="s">
        <v>20</v>
      </c>
      <c r="L10484" s="8" t="s">
        <v>13194</v>
      </c>
      <c r="M10484" s="8" t="s">
        <v>13195</v>
      </c>
      <c r="N10484" s="8" t="s">
        <v>44863</v>
      </c>
      <c r="O10484" s="8">
        <f>11+14/60+26.6/3600</f>
        <v>11.240722222222221</v>
      </c>
      <c r="P10484" s="8" t="s">
        <v>44864</v>
      </c>
      <c r="Q10484" s="8">
        <f>+(10+7/60+35/3600)</f>
        <v>10.12638888888889</v>
      </c>
      <c r="R10484" s="8">
        <v>99</v>
      </c>
      <c r="S10484" s="8">
        <v>15.4</v>
      </c>
      <c r="T10484" s="8">
        <v>99</v>
      </c>
      <c r="U10484" s="8">
        <v>99</v>
      </c>
      <c r="Y10484" s="8" t="s">
        <v>11841</v>
      </c>
      <c r="Z10484" s="8" t="s">
        <v>11842</v>
      </c>
    </row>
    <row r="10485" spans="1:26" x14ac:dyDescent="0.2">
      <c r="A10485" s="8">
        <v>10484</v>
      </c>
      <c r="B10485" s="8" t="s">
        <v>44865</v>
      </c>
      <c r="C10485" s="8" t="s">
        <v>44865</v>
      </c>
      <c r="G10485" s="8">
        <v>20</v>
      </c>
      <c r="H10485" s="8" t="s">
        <v>21</v>
      </c>
      <c r="I10485" s="8" t="s">
        <v>22</v>
      </c>
      <c r="J10485" s="8" t="s">
        <v>22</v>
      </c>
      <c r="K10485" s="8" t="s">
        <v>449</v>
      </c>
      <c r="L10485" s="8" t="s">
        <v>13194</v>
      </c>
      <c r="M10485" s="8" t="s">
        <v>13195</v>
      </c>
      <c r="N10485" s="8" t="s">
        <v>44866</v>
      </c>
      <c r="O10485" s="8">
        <f>11+14/60+29.8/3600</f>
        <v>11.24161111111111</v>
      </c>
      <c r="P10485" s="8" t="s">
        <v>44867</v>
      </c>
      <c r="Q10485" s="8">
        <f>+(10+46/60+8/3600)</f>
        <v>10.76888888888889</v>
      </c>
      <c r="R10485" s="8">
        <v>15.2</v>
      </c>
      <c r="S10485" s="8">
        <v>16</v>
      </c>
      <c r="T10485" s="8">
        <v>0.8</v>
      </c>
      <c r="U10485" s="8">
        <v>12.3</v>
      </c>
      <c r="V10485" s="8">
        <v>0.4</v>
      </c>
      <c r="W10485" s="8">
        <v>0.2</v>
      </c>
      <c r="X10485" s="8">
        <v>90</v>
      </c>
      <c r="Y10485" s="8" t="s">
        <v>895</v>
      </c>
      <c r="Z10485" s="8" t="s">
        <v>896</v>
      </c>
    </row>
    <row r="10486" spans="1:26" x14ac:dyDescent="0.2">
      <c r="A10486" s="8">
        <v>10485</v>
      </c>
      <c r="B10486" s="8" t="s">
        <v>44868</v>
      </c>
      <c r="C10486" s="8" t="s">
        <v>44868</v>
      </c>
      <c r="G10486" s="8">
        <v>20</v>
      </c>
      <c r="H10486" s="8" t="s">
        <v>21</v>
      </c>
      <c r="I10486" s="8" t="s">
        <v>22</v>
      </c>
      <c r="J10486" s="8" t="s">
        <v>22</v>
      </c>
      <c r="K10486" s="8" t="s">
        <v>449</v>
      </c>
      <c r="L10486" s="8" t="s">
        <v>13194</v>
      </c>
      <c r="M10486" s="8" t="s">
        <v>13195</v>
      </c>
      <c r="N10486" s="8" t="s">
        <v>44869</v>
      </c>
      <c r="O10486" s="8">
        <f>11+14/60+30.8/3600</f>
        <v>11.241888888888887</v>
      </c>
      <c r="P10486" s="8" t="s">
        <v>44870</v>
      </c>
      <c r="Q10486" s="8">
        <f>+(11+53/60+12/3600)</f>
        <v>11.886666666666667</v>
      </c>
      <c r="R10486" s="8">
        <v>14.9</v>
      </c>
      <c r="S10486" s="8">
        <v>15.7</v>
      </c>
      <c r="T10486" s="8">
        <v>0.8</v>
      </c>
      <c r="U10486" s="8">
        <v>12.4</v>
      </c>
      <c r="V10486" s="8">
        <v>0.6</v>
      </c>
      <c r="W10486" s="8">
        <v>0.2</v>
      </c>
      <c r="X10486" s="8">
        <v>92</v>
      </c>
      <c r="Y10486" s="8" t="s">
        <v>3034</v>
      </c>
      <c r="Z10486" s="8" t="s">
        <v>1899</v>
      </c>
    </row>
    <row r="10487" spans="1:26" x14ac:dyDescent="0.2">
      <c r="A10487" s="8">
        <v>10486</v>
      </c>
      <c r="B10487" s="8" t="s">
        <v>44871</v>
      </c>
      <c r="C10487" s="8" t="s">
        <v>44871</v>
      </c>
      <c r="G10487" s="8">
        <v>20</v>
      </c>
      <c r="H10487" s="8" t="s">
        <v>21</v>
      </c>
      <c r="I10487" s="8" t="s">
        <v>22</v>
      </c>
      <c r="J10487" s="8" t="s">
        <v>22</v>
      </c>
      <c r="K10487" s="8" t="s">
        <v>1068</v>
      </c>
      <c r="L10487" s="8" t="s">
        <v>13194</v>
      </c>
      <c r="M10487" s="8" t="s">
        <v>13195</v>
      </c>
      <c r="N10487" s="8" t="s">
        <v>44872</v>
      </c>
      <c r="O10487" s="8">
        <f>11+14/60+37.6/3600</f>
        <v>11.243777777777776</v>
      </c>
      <c r="P10487" s="8" t="s">
        <v>44873</v>
      </c>
      <c r="Q10487" s="8">
        <f>+(12+31/60+43/3600)</f>
        <v>12.528611111111111</v>
      </c>
      <c r="R10487" s="8">
        <v>15</v>
      </c>
      <c r="S10487" s="8">
        <v>16</v>
      </c>
      <c r="T10487" s="8">
        <v>1</v>
      </c>
      <c r="U10487" s="8">
        <v>12.3</v>
      </c>
      <c r="V10487" s="8">
        <v>0.4</v>
      </c>
      <c r="W10487" s="8">
        <v>0.2</v>
      </c>
      <c r="X10487" s="8">
        <v>0</v>
      </c>
      <c r="Y10487" s="8" t="s">
        <v>3932</v>
      </c>
      <c r="Z10487" s="8" t="s">
        <v>3933</v>
      </c>
    </row>
    <row r="10488" spans="1:26" x14ac:dyDescent="0.2">
      <c r="A10488" s="8">
        <v>10487</v>
      </c>
      <c r="B10488" s="8" t="s">
        <v>44874</v>
      </c>
      <c r="C10488" s="8" t="s">
        <v>44874</v>
      </c>
      <c r="G10488" s="8">
        <v>20</v>
      </c>
      <c r="H10488" s="8" t="s">
        <v>21</v>
      </c>
      <c r="I10488" s="8" t="s">
        <v>72</v>
      </c>
      <c r="J10488" s="8" t="s">
        <v>72</v>
      </c>
      <c r="K10488" s="8" t="s">
        <v>20</v>
      </c>
      <c r="L10488" s="8" t="s">
        <v>13194</v>
      </c>
      <c r="M10488" s="8" t="s">
        <v>13195</v>
      </c>
      <c r="N10488" s="8" t="s">
        <v>44875</v>
      </c>
      <c r="O10488" s="8">
        <f>11+14/60+38.6/3600</f>
        <v>11.244055555555555</v>
      </c>
      <c r="P10488" s="8" t="s">
        <v>44876</v>
      </c>
      <c r="Q10488" s="8">
        <f>+(12+8/60+32/3600)</f>
        <v>12.142222222222221</v>
      </c>
      <c r="R10488" s="8">
        <v>99</v>
      </c>
      <c r="S10488" s="8">
        <v>99</v>
      </c>
      <c r="T10488" s="8">
        <v>99</v>
      </c>
      <c r="U10488" s="8">
        <v>99</v>
      </c>
      <c r="Y10488" s="8" t="s">
        <v>4306</v>
      </c>
      <c r="Z10488" s="8" t="s">
        <v>4307</v>
      </c>
    </row>
    <row r="10489" spans="1:26" x14ac:dyDescent="0.2">
      <c r="A10489" s="8">
        <v>10488</v>
      </c>
      <c r="B10489" s="8" t="s">
        <v>44877</v>
      </c>
      <c r="C10489" s="8" t="s">
        <v>44877</v>
      </c>
      <c r="G10489" s="8">
        <v>20</v>
      </c>
      <c r="H10489" s="8" t="s">
        <v>21</v>
      </c>
      <c r="I10489" s="8" t="s">
        <v>22</v>
      </c>
      <c r="J10489" s="8" t="s">
        <v>22</v>
      </c>
      <c r="K10489" s="8" t="s">
        <v>23</v>
      </c>
      <c r="L10489" s="8" t="s">
        <v>13194</v>
      </c>
      <c r="M10489" s="8" t="s">
        <v>13195</v>
      </c>
      <c r="N10489" s="8" t="s">
        <v>44878</v>
      </c>
      <c r="O10489" s="8">
        <f>11+14/60+45.6/3600</f>
        <v>11.245999999999999</v>
      </c>
      <c r="P10489" s="8" t="s">
        <v>44879</v>
      </c>
      <c r="Q10489" s="8">
        <f>+(10+13/60+31/3600)</f>
        <v>10.225277777777778</v>
      </c>
      <c r="R10489" s="8">
        <v>14.9</v>
      </c>
      <c r="S10489" s="8">
        <v>15.7</v>
      </c>
      <c r="T10489" s="8">
        <v>0.8</v>
      </c>
      <c r="U10489" s="8">
        <v>12.1</v>
      </c>
      <c r="V10489" s="8">
        <v>0.3</v>
      </c>
      <c r="W10489" s="8">
        <v>0.3</v>
      </c>
      <c r="Y10489" s="8" t="s">
        <v>3812</v>
      </c>
      <c r="Z10489" s="8" t="s">
        <v>3813</v>
      </c>
    </row>
    <row r="10490" spans="1:26" x14ac:dyDescent="0.2">
      <c r="A10490" s="8">
        <v>10489</v>
      </c>
      <c r="B10490" s="8" t="s">
        <v>44880</v>
      </c>
      <c r="C10490" s="8" t="s">
        <v>44880</v>
      </c>
      <c r="E10490" s="8">
        <v>2</v>
      </c>
      <c r="G10490" s="8">
        <v>20</v>
      </c>
      <c r="H10490" s="8" t="s">
        <v>21</v>
      </c>
      <c r="I10490" s="8" t="s">
        <v>22</v>
      </c>
      <c r="J10490" s="8" t="s">
        <v>22</v>
      </c>
      <c r="K10490" s="8" t="s">
        <v>424</v>
      </c>
      <c r="L10490" s="8" t="s">
        <v>13194</v>
      </c>
      <c r="M10490" s="8" t="s">
        <v>13195</v>
      </c>
      <c r="N10490" s="8" t="s">
        <v>44881</v>
      </c>
      <c r="O10490" s="8">
        <f>11+14/60+47.4/3600</f>
        <v>11.246499999999999</v>
      </c>
      <c r="P10490" s="8" t="s">
        <v>44882</v>
      </c>
      <c r="Q10490" s="8">
        <f>+(11+7/60+44/3600)</f>
        <v>11.128888888888889</v>
      </c>
      <c r="R10490" s="8">
        <v>13.9</v>
      </c>
      <c r="S10490" s="8">
        <v>14.9</v>
      </c>
      <c r="T10490" s="8">
        <v>1</v>
      </c>
      <c r="U10490" s="8">
        <v>11.1</v>
      </c>
      <c r="V10490" s="8">
        <v>0.3</v>
      </c>
      <c r="W10490" s="8">
        <v>0.3</v>
      </c>
      <c r="Y10490" s="8" t="s">
        <v>44883</v>
      </c>
      <c r="Z10490" s="8" t="s">
        <v>44884</v>
      </c>
    </row>
    <row r="10491" spans="1:26" x14ac:dyDescent="0.2">
      <c r="A10491" s="8">
        <v>10490</v>
      </c>
      <c r="B10491" s="8" t="s">
        <v>44885</v>
      </c>
      <c r="C10491" s="8" t="s">
        <v>44885</v>
      </c>
      <c r="G10491" s="8">
        <v>20</v>
      </c>
      <c r="H10491" s="8" t="s">
        <v>21</v>
      </c>
      <c r="I10491" s="8" t="s">
        <v>22</v>
      </c>
      <c r="J10491" s="8" t="s">
        <v>22</v>
      </c>
      <c r="K10491" s="8" t="s">
        <v>1174</v>
      </c>
      <c r="L10491" s="8" t="s">
        <v>13194</v>
      </c>
      <c r="M10491" s="8" t="s">
        <v>13195</v>
      </c>
      <c r="N10491" s="8" t="s">
        <v>44886</v>
      </c>
      <c r="O10491" s="8">
        <f>11+14/60+52.4/3600</f>
        <v>11.247888888888887</v>
      </c>
      <c r="P10491" s="8" t="s">
        <v>44887</v>
      </c>
      <c r="Q10491" s="8">
        <f>+(13+51/60+10/3600)</f>
        <v>13.852777777777778</v>
      </c>
      <c r="R10491" s="8">
        <v>15.2</v>
      </c>
      <c r="S10491" s="8">
        <v>16</v>
      </c>
      <c r="T10491" s="8">
        <v>0.8</v>
      </c>
      <c r="U10491" s="8">
        <v>13.1</v>
      </c>
      <c r="V10491" s="8">
        <v>0.4</v>
      </c>
      <c r="W10491" s="8">
        <v>0.4</v>
      </c>
      <c r="Y10491" s="8" t="s">
        <v>44888</v>
      </c>
      <c r="Z10491" s="8" t="s">
        <v>44889</v>
      </c>
    </row>
    <row r="10492" spans="1:26" x14ac:dyDescent="0.2">
      <c r="A10492" s="8">
        <v>10491</v>
      </c>
      <c r="B10492" s="8" t="s">
        <v>44890</v>
      </c>
      <c r="C10492" s="8" t="s">
        <v>44890</v>
      </c>
      <c r="G10492" s="8">
        <v>20</v>
      </c>
      <c r="H10492" s="8" t="s">
        <v>21</v>
      </c>
      <c r="I10492" s="8" t="s">
        <v>22</v>
      </c>
      <c r="J10492" s="8" t="s">
        <v>22</v>
      </c>
      <c r="K10492" s="8" t="s">
        <v>449</v>
      </c>
      <c r="L10492" s="8" t="s">
        <v>13194</v>
      </c>
      <c r="M10492" s="8" t="s">
        <v>13195</v>
      </c>
      <c r="N10492" s="8" t="s">
        <v>44891</v>
      </c>
      <c r="O10492" s="8">
        <f>11+14/60+52.2/3600</f>
        <v>11.247833333333332</v>
      </c>
      <c r="P10492" s="8" t="s">
        <v>44892</v>
      </c>
      <c r="Q10492" s="8">
        <f>+(12+14/60+23/3600)</f>
        <v>12.239722222222222</v>
      </c>
      <c r="R10492" s="8">
        <v>15.2</v>
      </c>
      <c r="S10492" s="8">
        <v>16</v>
      </c>
      <c r="T10492" s="8">
        <v>0.8</v>
      </c>
      <c r="U10492" s="8">
        <v>12.3</v>
      </c>
      <c r="V10492" s="8">
        <v>0.4</v>
      </c>
      <c r="W10492" s="8">
        <v>0.2</v>
      </c>
      <c r="X10492" s="8">
        <v>90</v>
      </c>
      <c r="Y10492" s="8" t="s">
        <v>2641</v>
      </c>
      <c r="Z10492" s="8" t="s">
        <v>2642</v>
      </c>
    </row>
    <row r="10493" spans="1:26" x14ac:dyDescent="0.2">
      <c r="A10493" s="8">
        <v>10492</v>
      </c>
      <c r="B10493" s="8" t="s">
        <v>44893</v>
      </c>
      <c r="C10493" s="8" t="s">
        <v>44893</v>
      </c>
      <c r="G10493" s="8">
        <v>20</v>
      </c>
      <c r="H10493" s="8" t="s">
        <v>21</v>
      </c>
      <c r="I10493" s="8" t="s">
        <v>22</v>
      </c>
      <c r="J10493" s="8" t="s">
        <v>22</v>
      </c>
      <c r="K10493" s="8" t="s">
        <v>460</v>
      </c>
      <c r="L10493" s="8" t="s">
        <v>13194</v>
      </c>
      <c r="M10493" s="8" t="s">
        <v>13195</v>
      </c>
      <c r="N10493" s="8" t="s">
        <v>44894</v>
      </c>
      <c r="O10493" s="8">
        <f>11+14/60+52.3/3600</f>
        <v>11.24786111111111</v>
      </c>
      <c r="P10493" s="8" t="s">
        <v>44895</v>
      </c>
      <c r="Q10493" s="8">
        <f>+(12+26/60+55/3600)</f>
        <v>12.448611111111111</v>
      </c>
      <c r="R10493" s="8">
        <v>16.100000000000001</v>
      </c>
      <c r="S10493" s="8">
        <v>17.100000000000001</v>
      </c>
      <c r="T10493" s="8">
        <v>1</v>
      </c>
      <c r="U10493" s="8">
        <v>14.7</v>
      </c>
      <c r="V10493" s="8">
        <v>0.5</v>
      </c>
      <c r="W10493" s="8">
        <v>0.5</v>
      </c>
      <c r="Y10493" s="8" t="s">
        <v>44896</v>
      </c>
      <c r="Z10493" s="8" t="s">
        <v>44897</v>
      </c>
    </row>
    <row r="10494" spans="1:26" x14ac:dyDescent="0.2">
      <c r="A10494" s="8">
        <v>10493</v>
      </c>
      <c r="B10494" s="8" t="s">
        <v>44898</v>
      </c>
      <c r="C10494" s="8" t="s">
        <v>44898</v>
      </c>
      <c r="G10494" s="8">
        <v>20</v>
      </c>
      <c r="H10494" s="8" t="s">
        <v>21</v>
      </c>
      <c r="I10494" s="8" t="s">
        <v>72</v>
      </c>
      <c r="J10494" s="8" t="s">
        <v>72</v>
      </c>
      <c r="K10494" s="8" t="s">
        <v>73</v>
      </c>
      <c r="L10494" s="8" t="s">
        <v>13194</v>
      </c>
      <c r="M10494" s="8" t="s">
        <v>13195</v>
      </c>
      <c r="N10494" s="8" t="s">
        <v>44899</v>
      </c>
      <c r="O10494" s="8">
        <f>11+14/60+53.5/3600</f>
        <v>11.248194444444444</v>
      </c>
      <c r="P10494" s="8" t="s">
        <v>44900</v>
      </c>
      <c r="Q10494" s="8">
        <f>+(10+32/60+54/3600)</f>
        <v>10.548333333333334</v>
      </c>
      <c r="R10494" s="8">
        <v>99</v>
      </c>
      <c r="S10494" s="8">
        <v>99</v>
      </c>
      <c r="T10494" s="8">
        <v>99</v>
      </c>
      <c r="U10494" s="8">
        <v>99</v>
      </c>
      <c r="Y10494" s="8" t="s">
        <v>170</v>
      </c>
      <c r="Z10494" s="8" t="s">
        <v>171</v>
      </c>
    </row>
    <row r="10495" spans="1:26" x14ac:dyDescent="0.2">
      <c r="A10495" s="8">
        <v>10494</v>
      </c>
      <c r="B10495" s="8" t="s">
        <v>44901</v>
      </c>
      <c r="C10495" s="8" t="s">
        <v>44901</v>
      </c>
      <c r="G10495" s="8">
        <v>20</v>
      </c>
      <c r="H10495" s="8" t="s">
        <v>21</v>
      </c>
      <c r="I10495" s="8" t="s">
        <v>22</v>
      </c>
      <c r="J10495" s="8" t="s">
        <v>22</v>
      </c>
      <c r="K10495" s="8" t="s">
        <v>449</v>
      </c>
      <c r="L10495" s="8" t="s">
        <v>13194</v>
      </c>
      <c r="M10495" s="8" t="s">
        <v>13195</v>
      </c>
      <c r="N10495" s="8" t="s">
        <v>44902</v>
      </c>
      <c r="O10495" s="8">
        <f>11+15/60+2.9/3600</f>
        <v>11.250805555555555</v>
      </c>
      <c r="P10495" s="8" t="s">
        <v>44903</v>
      </c>
      <c r="Q10495" s="8">
        <f>+(12+30/60+0/3600)</f>
        <v>12.5</v>
      </c>
      <c r="R10495" s="8">
        <v>15.2</v>
      </c>
      <c r="S10495" s="8">
        <v>16</v>
      </c>
      <c r="T10495" s="8">
        <v>0.8</v>
      </c>
      <c r="U10495" s="8">
        <v>12.7</v>
      </c>
      <c r="V10495" s="8">
        <v>0.4</v>
      </c>
      <c r="W10495" s="8">
        <v>0.3</v>
      </c>
      <c r="X10495" s="8">
        <v>90</v>
      </c>
      <c r="Y10495" s="8" t="s">
        <v>44904</v>
      </c>
      <c r="Z10495" s="8" t="s">
        <v>44905</v>
      </c>
    </row>
    <row r="10496" spans="1:26" x14ac:dyDescent="0.2">
      <c r="A10496" s="8">
        <v>10495</v>
      </c>
      <c r="B10496" s="8" t="s">
        <v>44906</v>
      </c>
      <c r="C10496" s="8" t="s">
        <v>44906</v>
      </c>
      <c r="G10496" s="8">
        <v>20</v>
      </c>
      <c r="H10496" s="8" t="s">
        <v>21</v>
      </c>
      <c r="I10496" s="8" t="s">
        <v>22</v>
      </c>
      <c r="J10496" s="8" t="s">
        <v>22</v>
      </c>
      <c r="K10496" s="8" t="s">
        <v>424</v>
      </c>
      <c r="L10496" s="8" t="s">
        <v>13194</v>
      </c>
      <c r="M10496" s="8" t="s">
        <v>13195</v>
      </c>
      <c r="N10496" s="8" t="s">
        <v>44907</v>
      </c>
      <c r="O10496" s="8">
        <f>11+15/60+5.2/3600</f>
        <v>11.251444444444445</v>
      </c>
      <c r="P10496" s="8" t="s">
        <v>30391</v>
      </c>
      <c r="Q10496" s="8">
        <f>+(12+9/60+52/3600)</f>
        <v>12.164444444444445</v>
      </c>
      <c r="R10496" s="8">
        <v>15.5</v>
      </c>
      <c r="S10496" s="8">
        <v>16.5</v>
      </c>
      <c r="T10496" s="8">
        <v>1</v>
      </c>
      <c r="U10496" s="8">
        <v>11.9</v>
      </c>
      <c r="V10496" s="8">
        <v>0.2</v>
      </c>
      <c r="W10496" s="8">
        <v>0.2</v>
      </c>
      <c r="Y10496" s="8" t="s">
        <v>37602</v>
      </c>
      <c r="Z10496" s="8" t="s">
        <v>37603</v>
      </c>
    </row>
    <row r="10497" spans="1:26" x14ac:dyDescent="0.2">
      <c r="A10497" s="8">
        <v>10496</v>
      </c>
      <c r="B10497" s="8" t="s">
        <v>44908</v>
      </c>
      <c r="C10497" s="8" t="s">
        <v>44908</v>
      </c>
      <c r="G10497" s="8">
        <v>20</v>
      </c>
      <c r="H10497" s="8" t="s">
        <v>21</v>
      </c>
      <c r="I10497" s="8" t="s">
        <v>22</v>
      </c>
      <c r="J10497" s="8" t="s">
        <v>22</v>
      </c>
      <c r="K10497" s="8" t="s">
        <v>449</v>
      </c>
      <c r="L10497" s="8" t="s">
        <v>13194</v>
      </c>
      <c r="M10497" s="8" t="s">
        <v>13195</v>
      </c>
      <c r="N10497" s="8" t="s">
        <v>44909</v>
      </c>
      <c r="O10497" s="8">
        <f>11+15/60+5.3/3600</f>
        <v>11.251472222222223</v>
      </c>
      <c r="P10497" s="8" t="s">
        <v>44910</v>
      </c>
      <c r="Q10497" s="8">
        <f>+(12+22/60+44/3600)</f>
        <v>12.378888888888889</v>
      </c>
      <c r="R10497" s="8">
        <v>15.2</v>
      </c>
      <c r="S10497" s="8">
        <v>16</v>
      </c>
      <c r="T10497" s="8">
        <v>0.8</v>
      </c>
      <c r="U10497" s="8">
        <v>12.6</v>
      </c>
      <c r="V10497" s="8">
        <v>0.5</v>
      </c>
      <c r="W10497" s="8">
        <v>0.2</v>
      </c>
      <c r="X10497" s="8">
        <v>120</v>
      </c>
      <c r="Y10497" s="8" t="s">
        <v>44911</v>
      </c>
      <c r="Z10497" s="8" t="s">
        <v>44912</v>
      </c>
    </row>
    <row r="10498" spans="1:26" x14ac:dyDescent="0.2">
      <c r="A10498" s="8">
        <v>10497</v>
      </c>
      <c r="B10498" s="8" t="s">
        <v>44913</v>
      </c>
      <c r="C10498" s="8" t="s">
        <v>44913</v>
      </c>
      <c r="G10498" s="8">
        <v>20</v>
      </c>
      <c r="H10498" s="8" t="s">
        <v>21</v>
      </c>
      <c r="I10498" s="8" t="s">
        <v>22</v>
      </c>
      <c r="J10498" s="8" t="s">
        <v>22</v>
      </c>
      <c r="K10498" s="8" t="s">
        <v>460</v>
      </c>
      <c r="L10498" s="8" t="s">
        <v>13194</v>
      </c>
      <c r="M10498" s="8" t="s">
        <v>13195</v>
      </c>
      <c r="N10498" s="8" t="s">
        <v>44914</v>
      </c>
      <c r="O10498" s="8">
        <f>11+15/60+8.7/3600</f>
        <v>11.252416666666667</v>
      </c>
      <c r="P10498" s="8" t="s">
        <v>44915</v>
      </c>
      <c r="Q10498" s="8">
        <f>+(13+41/60+41/3600)</f>
        <v>13.694722222222222</v>
      </c>
      <c r="R10498" s="8">
        <v>15.2</v>
      </c>
      <c r="S10498" s="8">
        <v>16.2</v>
      </c>
      <c r="T10498" s="8">
        <v>1</v>
      </c>
      <c r="U10498" s="8">
        <v>12.7</v>
      </c>
      <c r="V10498" s="8">
        <v>0.3</v>
      </c>
      <c r="W10498" s="8">
        <v>0.3</v>
      </c>
      <c r="Y10498" s="8" t="s">
        <v>44916</v>
      </c>
      <c r="Z10498" s="8" t="s">
        <v>44917</v>
      </c>
    </row>
    <row r="10499" spans="1:26" x14ac:dyDescent="0.2">
      <c r="A10499" s="8">
        <v>10498</v>
      </c>
      <c r="B10499" s="8" t="s">
        <v>44918</v>
      </c>
      <c r="C10499" s="8" t="s">
        <v>44918</v>
      </c>
      <c r="G10499" s="8">
        <v>20</v>
      </c>
      <c r="H10499" s="8" t="s">
        <v>21</v>
      </c>
      <c r="I10499" s="8" t="s">
        <v>72</v>
      </c>
      <c r="J10499" s="8" t="s">
        <v>72</v>
      </c>
      <c r="K10499" s="8" t="s">
        <v>20</v>
      </c>
      <c r="L10499" s="8" t="s">
        <v>13194</v>
      </c>
      <c r="M10499" s="8" t="s">
        <v>13195</v>
      </c>
      <c r="N10499" s="8" t="s">
        <v>44919</v>
      </c>
      <c r="O10499" s="8">
        <f>11+15/60+8.9/3600</f>
        <v>11.252472222222222</v>
      </c>
      <c r="P10499" s="8" t="s">
        <v>44920</v>
      </c>
      <c r="Q10499" s="8">
        <f>+(12+59/60+48/3600)</f>
        <v>12.996666666666666</v>
      </c>
      <c r="R10499" s="8">
        <v>99</v>
      </c>
      <c r="S10499" s="8">
        <v>99</v>
      </c>
      <c r="T10499" s="8">
        <v>99</v>
      </c>
      <c r="U10499" s="8">
        <v>99</v>
      </c>
      <c r="Y10499" s="8" t="s">
        <v>44921</v>
      </c>
      <c r="Z10499" s="8" t="s">
        <v>44922</v>
      </c>
    </row>
    <row r="10500" spans="1:26" x14ac:dyDescent="0.2">
      <c r="A10500" s="8">
        <v>10499</v>
      </c>
      <c r="B10500" s="8" t="s">
        <v>44923</v>
      </c>
      <c r="C10500" s="8" t="s">
        <v>44923</v>
      </c>
      <c r="G10500" s="8">
        <v>20</v>
      </c>
      <c r="H10500" s="8" t="s">
        <v>21</v>
      </c>
      <c r="I10500" s="8" t="s">
        <v>72</v>
      </c>
      <c r="J10500" s="8" t="s">
        <v>72</v>
      </c>
      <c r="K10500" s="8" t="s">
        <v>20</v>
      </c>
      <c r="L10500" s="8" t="s">
        <v>13194</v>
      </c>
      <c r="M10500" s="8" t="s">
        <v>13195</v>
      </c>
      <c r="N10500" s="8" t="s">
        <v>44924</v>
      </c>
      <c r="O10500" s="8">
        <f>11+15/60+28/3600</f>
        <v>11.257777777777777</v>
      </c>
      <c r="P10500" s="8" t="s">
        <v>44925</v>
      </c>
      <c r="Q10500" s="8">
        <f>+(12+53/60+14/3600)</f>
        <v>12.887222222222222</v>
      </c>
      <c r="R10500" s="8">
        <v>99</v>
      </c>
      <c r="S10500" s="8">
        <v>99</v>
      </c>
      <c r="T10500" s="8">
        <v>99</v>
      </c>
      <c r="U10500" s="8">
        <v>99</v>
      </c>
      <c r="Y10500" s="8" t="s">
        <v>44926</v>
      </c>
      <c r="Z10500" s="8" t="s">
        <v>44927</v>
      </c>
    </row>
    <row r="10501" spans="1:26" x14ac:dyDescent="0.2">
      <c r="A10501" s="8">
        <v>10500</v>
      </c>
      <c r="B10501" s="8" t="s">
        <v>44928</v>
      </c>
      <c r="C10501" s="8" t="s">
        <v>44928</v>
      </c>
      <c r="G10501" s="8">
        <v>20</v>
      </c>
      <c r="H10501" s="8" t="s">
        <v>21</v>
      </c>
      <c r="I10501" s="8" t="s">
        <v>22</v>
      </c>
      <c r="J10501" s="8" t="s">
        <v>22</v>
      </c>
      <c r="K10501" s="8" t="s">
        <v>382</v>
      </c>
      <c r="L10501" s="8" t="s">
        <v>13194</v>
      </c>
      <c r="M10501" s="8" t="s">
        <v>13195</v>
      </c>
      <c r="N10501" s="8" t="s">
        <v>44929</v>
      </c>
      <c r="O10501" s="8">
        <f>11+15/60+28.4/3600</f>
        <v>11.257888888888889</v>
      </c>
      <c r="P10501" s="8" t="s">
        <v>44930</v>
      </c>
      <c r="Q10501" s="8">
        <f>+(12+26/60+12/3600)</f>
        <v>12.436666666666667</v>
      </c>
      <c r="R10501" s="8">
        <v>15.2</v>
      </c>
      <c r="S10501" s="8">
        <v>16.2</v>
      </c>
      <c r="T10501" s="8">
        <v>1</v>
      </c>
      <c r="U10501" s="8">
        <v>13</v>
      </c>
      <c r="V10501" s="8">
        <v>0.4</v>
      </c>
      <c r="W10501" s="8">
        <v>0.3</v>
      </c>
      <c r="X10501" s="8">
        <v>160</v>
      </c>
      <c r="Y10501" s="8" t="s">
        <v>1511</v>
      </c>
      <c r="Z10501" s="8" t="s">
        <v>1512</v>
      </c>
    </row>
    <row r="10502" spans="1:26" x14ac:dyDescent="0.2">
      <c r="A10502" s="8">
        <v>10501</v>
      </c>
      <c r="B10502" s="8" t="s">
        <v>44931</v>
      </c>
      <c r="C10502" s="8" t="s">
        <v>44931</v>
      </c>
      <c r="G10502" s="8">
        <v>20</v>
      </c>
      <c r="H10502" s="8" t="s">
        <v>21</v>
      </c>
      <c r="I10502" s="8" t="s">
        <v>22</v>
      </c>
      <c r="J10502" s="8" t="s">
        <v>22</v>
      </c>
      <c r="K10502" s="8" t="s">
        <v>449</v>
      </c>
      <c r="L10502" s="8" t="s">
        <v>13194</v>
      </c>
      <c r="M10502" s="8" t="s">
        <v>13195</v>
      </c>
      <c r="N10502" s="8" t="s">
        <v>44932</v>
      </c>
      <c r="O10502" s="8">
        <f>11+15/60+29.1/3600</f>
        <v>11.258083333333333</v>
      </c>
      <c r="P10502" s="8" t="s">
        <v>44933</v>
      </c>
      <c r="Q10502" s="8">
        <f>+(13+36/60+32/3600)</f>
        <v>13.608888888888888</v>
      </c>
      <c r="R10502" s="8">
        <v>14.3</v>
      </c>
      <c r="S10502" s="8">
        <v>15.1</v>
      </c>
      <c r="T10502" s="8">
        <v>0.8</v>
      </c>
      <c r="U10502" s="8">
        <v>12</v>
      </c>
      <c r="V10502" s="8">
        <v>0.7</v>
      </c>
      <c r="W10502" s="8">
        <v>0.2</v>
      </c>
      <c r="X10502" s="8">
        <v>100</v>
      </c>
      <c r="Y10502" s="8" t="s">
        <v>44934</v>
      </c>
      <c r="Z10502" s="8" t="s">
        <v>44935</v>
      </c>
    </row>
    <row r="10503" spans="1:26" x14ac:dyDescent="0.2">
      <c r="A10503" s="8">
        <v>10502</v>
      </c>
      <c r="B10503" s="8" t="s">
        <v>44936</v>
      </c>
      <c r="C10503" s="8" t="s">
        <v>44936</v>
      </c>
      <c r="G10503" s="8">
        <v>20</v>
      </c>
      <c r="H10503" s="8" t="s">
        <v>21</v>
      </c>
      <c r="I10503" s="8" t="s">
        <v>329</v>
      </c>
      <c r="J10503" s="8" t="s">
        <v>329</v>
      </c>
      <c r="K10503" s="8" t="s">
        <v>329</v>
      </c>
      <c r="L10503" s="8" t="s">
        <v>13194</v>
      </c>
      <c r="M10503" s="8" t="s">
        <v>13195</v>
      </c>
      <c r="N10503" s="8" t="s">
        <v>44937</v>
      </c>
      <c r="O10503" s="8">
        <f>11+15/60+30.7/3600</f>
        <v>11.258527777777777</v>
      </c>
      <c r="P10503" s="8" t="s">
        <v>44938</v>
      </c>
      <c r="Q10503" s="8">
        <f>+(12+46/60+15/3600)</f>
        <v>12.770833333333334</v>
      </c>
      <c r="R10503" s="8">
        <v>99</v>
      </c>
      <c r="S10503" s="8">
        <v>99</v>
      </c>
      <c r="T10503" s="8">
        <v>99</v>
      </c>
      <c r="U10503" s="8">
        <v>99</v>
      </c>
      <c r="Y10503" s="8" t="s">
        <v>3952</v>
      </c>
      <c r="Z10503" s="8" t="s">
        <v>3953</v>
      </c>
    </row>
    <row r="10504" spans="1:26" x14ac:dyDescent="0.2">
      <c r="A10504" s="8">
        <v>10503</v>
      </c>
      <c r="B10504" s="8" t="s">
        <v>44939</v>
      </c>
      <c r="C10504" s="8" t="s">
        <v>44939</v>
      </c>
      <c r="G10504" s="8">
        <v>20</v>
      </c>
      <c r="H10504" s="8" t="s">
        <v>21</v>
      </c>
      <c r="I10504" s="8" t="s">
        <v>72</v>
      </c>
      <c r="J10504" s="8" t="s">
        <v>72</v>
      </c>
      <c r="K10504" s="8" t="s">
        <v>20</v>
      </c>
      <c r="L10504" s="8" t="s">
        <v>13194</v>
      </c>
      <c r="M10504" s="8" t="s">
        <v>13195</v>
      </c>
      <c r="N10504" s="8" t="s">
        <v>44940</v>
      </c>
      <c r="O10504" s="8">
        <f>11+15/60+32.6/3600</f>
        <v>11.259055555555555</v>
      </c>
      <c r="P10504" s="8" t="s">
        <v>44941</v>
      </c>
      <c r="Q10504" s="8">
        <f>+(12+36/60+15/3600)</f>
        <v>12.604166666666666</v>
      </c>
      <c r="R10504" s="8">
        <v>99</v>
      </c>
      <c r="S10504" s="8">
        <v>99</v>
      </c>
      <c r="T10504" s="8">
        <v>99</v>
      </c>
      <c r="U10504" s="8">
        <v>99</v>
      </c>
      <c r="Y10504" s="8" t="s">
        <v>44942</v>
      </c>
      <c r="Z10504" s="8" t="s">
        <v>44943</v>
      </c>
    </row>
    <row r="10505" spans="1:26" x14ac:dyDescent="0.2">
      <c r="A10505" s="8">
        <v>10504</v>
      </c>
      <c r="B10505" s="8" t="s">
        <v>44944</v>
      </c>
      <c r="C10505" s="8" t="s">
        <v>44944</v>
      </c>
      <c r="G10505" s="8">
        <v>20</v>
      </c>
      <c r="H10505" s="8" t="s">
        <v>21</v>
      </c>
      <c r="I10505" s="8" t="s">
        <v>72</v>
      </c>
      <c r="J10505" s="8" t="s">
        <v>72</v>
      </c>
      <c r="K10505" s="8" t="s">
        <v>73</v>
      </c>
      <c r="L10505" s="8" t="s">
        <v>13194</v>
      </c>
      <c r="M10505" s="8" t="s">
        <v>13195</v>
      </c>
      <c r="N10505" s="8" t="s">
        <v>44945</v>
      </c>
      <c r="O10505" s="8">
        <f>11+15/60+39.1/3600</f>
        <v>11.260861111111112</v>
      </c>
      <c r="P10505" s="8" t="s">
        <v>44946</v>
      </c>
      <c r="Q10505" s="8">
        <f>+(12+33/60+45/3600)</f>
        <v>12.5625</v>
      </c>
      <c r="R10505" s="8">
        <v>99</v>
      </c>
      <c r="S10505" s="8">
        <v>99</v>
      </c>
      <c r="T10505" s="8">
        <v>99</v>
      </c>
      <c r="U10505" s="8">
        <v>99</v>
      </c>
      <c r="Y10505" s="8" t="s">
        <v>21</v>
      </c>
      <c r="Z10505" s="8" t="s">
        <v>44947</v>
      </c>
    </row>
    <row r="10506" spans="1:26" x14ac:dyDescent="0.2">
      <c r="A10506" s="8">
        <v>10505</v>
      </c>
      <c r="B10506" s="8" t="s">
        <v>44948</v>
      </c>
      <c r="C10506" s="8" t="s">
        <v>44948</v>
      </c>
      <c r="G10506" s="8">
        <v>20</v>
      </c>
      <c r="H10506" s="8" t="s">
        <v>21</v>
      </c>
      <c r="I10506" s="8" t="s">
        <v>22</v>
      </c>
      <c r="J10506" s="8" t="s">
        <v>22</v>
      </c>
      <c r="K10506" s="8" t="s">
        <v>449</v>
      </c>
      <c r="L10506" s="8" t="s">
        <v>13194</v>
      </c>
      <c r="M10506" s="8" t="s">
        <v>13195</v>
      </c>
      <c r="N10506" s="8" t="s">
        <v>44949</v>
      </c>
      <c r="O10506" s="8">
        <f>11+15/60+40.8/3600</f>
        <v>11.261333333333333</v>
      </c>
      <c r="P10506" s="8" t="s">
        <v>44950</v>
      </c>
      <c r="Q10506" s="8">
        <f>+(11+43/60+26/3600)</f>
        <v>11.723888888888888</v>
      </c>
      <c r="R10506" s="8">
        <v>15.7</v>
      </c>
      <c r="S10506" s="8">
        <v>16.5</v>
      </c>
      <c r="T10506" s="8">
        <v>0.8</v>
      </c>
      <c r="U10506" s="8">
        <v>12.1</v>
      </c>
      <c r="V10506" s="8">
        <v>0.4</v>
      </c>
      <c r="W10506" s="8">
        <v>0.1</v>
      </c>
      <c r="X10506" s="8">
        <v>100</v>
      </c>
      <c r="Y10506" s="8" t="s">
        <v>21</v>
      </c>
      <c r="Z10506" s="8" t="s">
        <v>44951</v>
      </c>
    </row>
    <row r="10507" spans="1:26" x14ac:dyDescent="0.2">
      <c r="A10507" s="8">
        <v>10506</v>
      </c>
      <c r="B10507" s="8" t="s">
        <v>44952</v>
      </c>
      <c r="C10507" s="8" t="s">
        <v>44952</v>
      </c>
      <c r="G10507" s="8">
        <v>20</v>
      </c>
      <c r="H10507" s="8" t="s">
        <v>21</v>
      </c>
      <c r="I10507" s="8" t="s">
        <v>22</v>
      </c>
      <c r="J10507" s="8" t="s">
        <v>22</v>
      </c>
      <c r="K10507" s="8" t="s">
        <v>449</v>
      </c>
      <c r="L10507" s="8" t="s">
        <v>13194</v>
      </c>
      <c r="M10507" s="8" t="s">
        <v>13195</v>
      </c>
      <c r="N10507" s="8" t="s">
        <v>44953</v>
      </c>
      <c r="O10507" s="8">
        <f>11+15/60+43.8/3600</f>
        <v>11.262166666666667</v>
      </c>
      <c r="P10507" s="8" t="s">
        <v>44954</v>
      </c>
      <c r="Q10507" s="8">
        <f>+(13+46/60+56/3600)</f>
        <v>13.782222222222224</v>
      </c>
      <c r="R10507" s="8">
        <v>13.7</v>
      </c>
      <c r="S10507" s="8">
        <v>14.5</v>
      </c>
      <c r="T10507" s="8">
        <v>0.8</v>
      </c>
      <c r="U10507" s="8">
        <v>13.1</v>
      </c>
      <c r="V10507" s="8">
        <v>0.8</v>
      </c>
      <c r="W10507" s="8">
        <v>0.6</v>
      </c>
      <c r="X10507" s="8">
        <v>0</v>
      </c>
      <c r="Y10507" s="8" t="s">
        <v>44955</v>
      </c>
      <c r="Z10507" s="8" t="s">
        <v>44956</v>
      </c>
    </row>
    <row r="10508" spans="1:26" x14ac:dyDescent="0.2">
      <c r="A10508" s="8">
        <v>10507</v>
      </c>
      <c r="B10508" s="8" t="s">
        <v>44957</v>
      </c>
      <c r="C10508" s="8" t="s">
        <v>44957</v>
      </c>
      <c r="G10508" s="8">
        <v>20</v>
      </c>
      <c r="H10508" s="8" t="s">
        <v>21</v>
      </c>
      <c r="I10508" s="8" t="s">
        <v>22</v>
      </c>
      <c r="J10508" s="8" t="s">
        <v>22</v>
      </c>
      <c r="K10508" s="8" t="s">
        <v>460</v>
      </c>
      <c r="L10508" s="8" t="s">
        <v>13194</v>
      </c>
      <c r="M10508" s="8" t="s">
        <v>13195</v>
      </c>
      <c r="N10508" s="8" t="s">
        <v>44958</v>
      </c>
      <c r="O10508" s="8">
        <f>11+15/60+44/3600</f>
        <v>11.262222222222222</v>
      </c>
      <c r="P10508" s="8" t="s">
        <v>44959</v>
      </c>
      <c r="Q10508" s="8">
        <f>+(12+7/60+1/3600)</f>
        <v>12.116944444444444</v>
      </c>
      <c r="R10508" s="8">
        <v>15.2</v>
      </c>
      <c r="S10508" s="8">
        <v>16.2</v>
      </c>
      <c r="T10508" s="8">
        <v>1</v>
      </c>
      <c r="U10508" s="8">
        <v>12.7</v>
      </c>
      <c r="V10508" s="8">
        <v>0.3</v>
      </c>
      <c r="W10508" s="8">
        <v>0.3</v>
      </c>
      <c r="Y10508" s="8" t="s">
        <v>44926</v>
      </c>
      <c r="Z10508" s="8" t="s">
        <v>44927</v>
      </c>
    </row>
    <row r="10509" spans="1:26" x14ac:dyDescent="0.2">
      <c r="A10509" s="8">
        <v>10508</v>
      </c>
      <c r="B10509" s="8" t="s">
        <v>44960</v>
      </c>
      <c r="C10509" s="8" t="s">
        <v>44960</v>
      </c>
      <c r="G10509" s="8">
        <v>20</v>
      </c>
      <c r="H10509" s="8" t="s">
        <v>21</v>
      </c>
      <c r="I10509" s="8" t="s">
        <v>22</v>
      </c>
      <c r="J10509" s="8" t="s">
        <v>22</v>
      </c>
      <c r="K10509" s="8" t="s">
        <v>91</v>
      </c>
      <c r="L10509" s="8" t="s">
        <v>15699</v>
      </c>
      <c r="M10509" s="8" t="s">
        <v>15700</v>
      </c>
      <c r="N10509" s="8" t="s">
        <v>44961</v>
      </c>
      <c r="O10509" s="8">
        <f>11+15/60+32.1/3600</f>
        <v>11.258916666666666</v>
      </c>
      <c r="P10509" s="8" t="s">
        <v>44962</v>
      </c>
      <c r="Q10509" s="8">
        <f>-(14+10/60+17/3600)</f>
        <v>-14.171388888888888</v>
      </c>
      <c r="R10509" s="8">
        <v>13.7</v>
      </c>
      <c r="S10509" s="8">
        <v>14.6</v>
      </c>
      <c r="T10509" s="8">
        <v>0.9</v>
      </c>
      <c r="U10509" s="8">
        <v>13.6</v>
      </c>
      <c r="V10509" s="8">
        <v>1.3</v>
      </c>
      <c r="W10509" s="8">
        <v>0.8</v>
      </c>
      <c r="X10509" s="8">
        <v>140</v>
      </c>
      <c r="Y10509" s="8" t="s">
        <v>745</v>
      </c>
      <c r="Z10509" s="8" t="s">
        <v>746</v>
      </c>
    </row>
    <row r="10510" spans="1:26" x14ac:dyDescent="0.2">
      <c r="A10510" s="8">
        <v>10509</v>
      </c>
      <c r="B10510" s="8" t="s">
        <v>44963</v>
      </c>
      <c r="C10510" s="8" t="s">
        <v>44963</v>
      </c>
      <c r="G10510" s="8">
        <v>20</v>
      </c>
      <c r="H10510" s="8" t="s">
        <v>21</v>
      </c>
      <c r="I10510" s="8" t="s">
        <v>72</v>
      </c>
      <c r="J10510" s="8" t="s">
        <v>72</v>
      </c>
      <c r="K10510" s="8" t="s">
        <v>73</v>
      </c>
      <c r="L10510" s="8" t="s">
        <v>13194</v>
      </c>
      <c r="M10510" s="8" t="s">
        <v>13195</v>
      </c>
      <c r="N10510" s="8" t="s">
        <v>44964</v>
      </c>
      <c r="O10510" s="8">
        <f>11+15/60+53.1/3600</f>
        <v>11.264749999999999</v>
      </c>
      <c r="P10510" s="8" t="s">
        <v>20237</v>
      </c>
      <c r="Q10510" s="8">
        <f>+(13+25/60+47/3600)</f>
        <v>13.429722222222221</v>
      </c>
      <c r="R10510" s="8">
        <v>99</v>
      </c>
      <c r="S10510" s="8">
        <v>99</v>
      </c>
      <c r="T10510" s="8">
        <v>99</v>
      </c>
      <c r="U10510" s="8">
        <v>99</v>
      </c>
      <c r="Y10510" s="8" t="s">
        <v>44965</v>
      </c>
      <c r="Z10510" s="8" t="s">
        <v>44966</v>
      </c>
    </row>
    <row r="10511" spans="1:26" x14ac:dyDescent="0.2">
      <c r="A10511" s="8">
        <v>10510</v>
      </c>
      <c r="B10511" s="8" t="s">
        <v>44967</v>
      </c>
      <c r="C10511" s="8" t="s">
        <v>44967</v>
      </c>
      <c r="G10511" s="8">
        <v>20</v>
      </c>
      <c r="H10511" s="8" t="s">
        <v>21</v>
      </c>
      <c r="I10511" s="8" t="s">
        <v>22</v>
      </c>
      <c r="J10511" s="8" t="s">
        <v>22</v>
      </c>
      <c r="K10511" s="8" t="s">
        <v>449</v>
      </c>
      <c r="L10511" s="8" t="s">
        <v>13194</v>
      </c>
      <c r="M10511" s="8" t="s">
        <v>13195</v>
      </c>
      <c r="N10511" s="8" t="s">
        <v>44968</v>
      </c>
      <c r="O10511" s="8">
        <f>11+15/60+59.5/3600</f>
        <v>11.266527777777778</v>
      </c>
      <c r="P10511" s="8" t="s">
        <v>44969</v>
      </c>
      <c r="Q10511" s="8">
        <f>+(11+46/60+59/3600)</f>
        <v>11.783055555555556</v>
      </c>
      <c r="R10511" s="8">
        <v>15.2</v>
      </c>
      <c r="S10511" s="8">
        <v>16</v>
      </c>
      <c r="T10511" s="8">
        <v>0.8</v>
      </c>
      <c r="U10511" s="8">
        <v>12.7</v>
      </c>
      <c r="V10511" s="8">
        <v>0.4</v>
      </c>
      <c r="W10511" s="8">
        <v>0.3</v>
      </c>
      <c r="X10511" s="8">
        <v>140</v>
      </c>
      <c r="Y10511" s="8" t="s">
        <v>44926</v>
      </c>
      <c r="Z10511" s="8" t="s">
        <v>44927</v>
      </c>
    </row>
    <row r="10512" spans="1:26" x14ac:dyDescent="0.2">
      <c r="A10512" s="8">
        <v>10511</v>
      </c>
      <c r="B10512" s="8" t="s">
        <v>44970</v>
      </c>
      <c r="C10512" s="8" t="s">
        <v>44970</v>
      </c>
      <c r="G10512" s="8">
        <v>20</v>
      </c>
      <c r="H10512" s="8" t="s">
        <v>21</v>
      </c>
      <c r="I10512" s="8" t="s">
        <v>72</v>
      </c>
      <c r="J10512" s="8" t="s">
        <v>72</v>
      </c>
      <c r="K10512" s="8" t="s">
        <v>20</v>
      </c>
      <c r="L10512" s="8" t="s">
        <v>13194</v>
      </c>
      <c r="M10512" s="8" t="s">
        <v>13195</v>
      </c>
      <c r="N10512" s="8" t="s">
        <v>44971</v>
      </c>
      <c r="O10512" s="8">
        <f>11+16/60+3.5/3600</f>
        <v>11.267638888888889</v>
      </c>
      <c r="P10512" s="8" t="s">
        <v>44972</v>
      </c>
      <c r="Q10512" s="8">
        <f>+(13+7/60+28/3600)</f>
        <v>13.124444444444444</v>
      </c>
      <c r="R10512" s="8">
        <v>99</v>
      </c>
      <c r="S10512" s="8">
        <v>99</v>
      </c>
      <c r="T10512" s="8">
        <v>99</v>
      </c>
      <c r="U10512" s="8">
        <v>99</v>
      </c>
      <c r="Y10512" s="8" t="s">
        <v>3952</v>
      </c>
      <c r="Z10512" s="8" t="s">
        <v>3953</v>
      </c>
    </row>
    <row r="10513" spans="1:26" x14ac:dyDescent="0.2">
      <c r="A10513" s="8">
        <v>10512</v>
      </c>
      <c r="B10513" s="8" t="s">
        <v>44973</v>
      </c>
      <c r="C10513" s="8" t="s">
        <v>44973</v>
      </c>
      <c r="G10513" s="8">
        <v>20</v>
      </c>
      <c r="H10513" s="8" t="s">
        <v>21</v>
      </c>
      <c r="I10513" s="8" t="s">
        <v>72</v>
      </c>
      <c r="J10513" s="8" t="s">
        <v>72</v>
      </c>
      <c r="K10513" s="8" t="s">
        <v>20</v>
      </c>
      <c r="L10513" s="8" t="s">
        <v>13194</v>
      </c>
      <c r="M10513" s="8" t="s">
        <v>13195</v>
      </c>
      <c r="N10513" s="8" t="s">
        <v>44974</v>
      </c>
      <c r="O10513" s="8">
        <f>11+16/60+3.8/3600</f>
        <v>11.267722222222224</v>
      </c>
      <c r="P10513" s="8" t="s">
        <v>44975</v>
      </c>
      <c r="Q10513" s="8">
        <f>+(10+9/60+25/3600)</f>
        <v>10.156944444444445</v>
      </c>
      <c r="R10513" s="8">
        <v>99</v>
      </c>
      <c r="S10513" s="8">
        <v>99</v>
      </c>
      <c r="T10513" s="8">
        <v>99</v>
      </c>
      <c r="U10513" s="8">
        <v>99</v>
      </c>
      <c r="Y10513" s="8" t="s">
        <v>3952</v>
      </c>
      <c r="Z10513" s="8" t="s">
        <v>3953</v>
      </c>
    </row>
    <row r="10514" spans="1:26" x14ac:dyDescent="0.2">
      <c r="A10514" s="8">
        <v>10513</v>
      </c>
      <c r="B10514" s="8" t="s">
        <v>44976</v>
      </c>
      <c r="C10514" s="8" t="s">
        <v>44976</v>
      </c>
      <c r="G10514" s="8">
        <v>20</v>
      </c>
      <c r="H10514" s="8" t="s">
        <v>21</v>
      </c>
      <c r="I10514" s="8" t="s">
        <v>22</v>
      </c>
      <c r="J10514" s="8" t="s">
        <v>22</v>
      </c>
      <c r="K10514" s="8" t="s">
        <v>44977</v>
      </c>
      <c r="L10514" s="8" t="s">
        <v>13194</v>
      </c>
      <c r="M10514" s="8" t="s">
        <v>13195</v>
      </c>
      <c r="N10514" s="8" t="s">
        <v>44978</v>
      </c>
      <c r="O10514" s="8">
        <f>11+16/60+4.1/3600</f>
        <v>11.267805555555556</v>
      </c>
      <c r="P10514" s="8" t="s">
        <v>44979</v>
      </c>
      <c r="Q10514" s="8">
        <f>+(10+9/60+44/3600)</f>
        <v>10.162222222222223</v>
      </c>
      <c r="R10514" s="8">
        <v>14</v>
      </c>
      <c r="S10514" s="8">
        <v>14.7</v>
      </c>
      <c r="T10514" s="8">
        <v>0.7</v>
      </c>
      <c r="U10514" s="8">
        <v>13.3</v>
      </c>
      <c r="V10514" s="8">
        <v>1</v>
      </c>
      <c r="W10514" s="8">
        <v>0.8</v>
      </c>
      <c r="X10514" s="8">
        <v>35</v>
      </c>
      <c r="Y10514" s="8" t="s">
        <v>21</v>
      </c>
      <c r="Z10514" s="8" t="s">
        <v>44980</v>
      </c>
    </row>
    <row r="10515" spans="1:26" x14ac:dyDescent="0.2">
      <c r="A10515" s="8">
        <v>10514</v>
      </c>
      <c r="B10515" s="8" t="s">
        <v>44981</v>
      </c>
      <c r="C10515" s="8" t="s">
        <v>44981</v>
      </c>
      <c r="G10515" s="8">
        <v>20</v>
      </c>
      <c r="H10515" s="8" t="s">
        <v>21</v>
      </c>
      <c r="I10515" s="8" t="s">
        <v>22</v>
      </c>
      <c r="J10515" s="8" t="s">
        <v>22</v>
      </c>
      <c r="K10515" s="8" t="s">
        <v>160</v>
      </c>
      <c r="L10515" s="8" t="s">
        <v>13194</v>
      </c>
      <c r="M10515" s="8" t="s">
        <v>13195</v>
      </c>
      <c r="N10515" s="8" t="s">
        <v>44982</v>
      </c>
      <c r="O10515" s="8">
        <f>11+16/60+8.2/3600</f>
        <v>11.268944444444445</v>
      </c>
      <c r="P10515" s="8" t="s">
        <v>44983</v>
      </c>
      <c r="Q10515" s="8">
        <f>+(11+2/60+54/3600)</f>
        <v>11.048333333333334</v>
      </c>
      <c r="R10515" s="8">
        <v>14.1</v>
      </c>
      <c r="S10515" s="8">
        <v>14.8</v>
      </c>
      <c r="T10515" s="8">
        <v>0.7</v>
      </c>
      <c r="U10515" s="8">
        <v>13.2</v>
      </c>
      <c r="V10515" s="8">
        <v>1.1000000000000001</v>
      </c>
      <c r="W10515" s="8">
        <v>0.6</v>
      </c>
      <c r="X10515" s="8">
        <v>20</v>
      </c>
      <c r="Y10515" s="8" t="s">
        <v>44984</v>
      </c>
      <c r="Z10515" s="8" t="s">
        <v>44985</v>
      </c>
    </row>
    <row r="10516" spans="1:26" x14ac:dyDescent="0.2">
      <c r="A10516" s="8">
        <v>10515</v>
      </c>
      <c r="B10516" s="8" t="s">
        <v>44986</v>
      </c>
      <c r="C10516" s="8" t="s">
        <v>44986</v>
      </c>
      <c r="G10516" s="8">
        <v>20</v>
      </c>
      <c r="H10516" s="8" t="s">
        <v>21</v>
      </c>
      <c r="I10516" s="8" t="s">
        <v>72</v>
      </c>
      <c r="J10516" s="8" t="s">
        <v>72</v>
      </c>
      <c r="K10516" s="8" t="s">
        <v>20</v>
      </c>
      <c r="L10516" s="8" t="s">
        <v>13194</v>
      </c>
      <c r="M10516" s="8" t="s">
        <v>13195</v>
      </c>
      <c r="N10516" s="8" t="s">
        <v>44987</v>
      </c>
      <c r="O10516" s="8">
        <f>11+16/60+10.9/3600</f>
        <v>11.269694444444445</v>
      </c>
      <c r="P10516" s="8" t="s">
        <v>44988</v>
      </c>
      <c r="Q10516" s="8">
        <f>+(12+14/60+58/3600)</f>
        <v>12.249444444444444</v>
      </c>
      <c r="R10516" s="8">
        <v>99</v>
      </c>
      <c r="S10516" s="8">
        <v>99</v>
      </c>
      <c r="T10516" s="8">
        <v>99</v>
      </c>
      <c r="U10516" s="8">
        <v>99</v>
      </c>
      <c r="Y10516" s="8" t="s">
        <v>2181</v>
      </c>
      <c r="Z10516" s="8" t="s">
        <v>2182</v>
      </c>
    </row>
    <row r="10517" spans="1:26" x14ac:dyDescent="0.2">
      <c r="A10517" s="8">
        <v>10516</v>
      </c>
      <c r="B10517" s="8" t="s">
        <v>44989</v>
      </c>
      <c r="C10517" s="8" t="s">
        <v>44989</v>
      </c>
      <c r="G10517" s="8">
        <v>20</v>
      </c>
      <c r="H10517" s="8" t="s">
        <v>21</v>
      </c>
      <c r="I10517" s="8" t="s">
        <v>22</v>
      </c>
      <c r="J10517" s="8" t="s">
        <v>22</v>
      </c>
      <c r="K10517" s="8" t="s">
        <v>449</v>
      </c>
      <c r="L10517" s="8" t="s">
        <v>13194</v>
      </c>
      <c r="M10517" s="8" t="s">
        <v>13195</v>
      </c>
      <c r="N10517" s="8" t="s">
        <v>44990</v>
      </c>
      <c r="O10517" s="8">
        <f>11+16/60+18.5/3600</f>
        <v>11.271805555555556</v>
      </c>
      <c r="P10517" s="8" t="s">
        <v>44991</v>
      </c>
      <c r="Q10517" s="8">
        <f>+(9+49/60+18/3600)</f>
        <v>9.8216666666666672</v>
      </c>
      <c r="R10517" s="8">
        <v>15.2</v>
      </c>
      <c r="S10517" s="8">
        <v>16</v>
      </c>
      <c r="T10517" s="8">
        <v>0.8</v>
      </c>
      <c r="U10517" s="8">
        <v>12.3</v>
      </c>
      <c r="V10517" s="8">
        <v>0.4</v>
      </c>
      <c r="W10517" s="8">
        <v>0.2</v>
      </c>
      <c r="X10517" s="8">
        <v>170</v>
      </c>
      <c r="Y10517" s="8" t="s">
        <v>21</v>
      </c>
      <c r="Z10517" s="8" t="s">
        <v>44992</v>
      </c>
    </row>
    <row r="10518" spans="1:26" x14ac:dyDescent="0.2">
      <c r="A10518" s="8">
        <v>10517</v>
      </c>
      <c r="B10518" s="8" t="s">
        <v>44993</v>
      </c>
      <c r="C10518" s="8" t="s">
        <v>44993</v>
      </c>
      <c r="G10518" s="8">
        <v>20</v>
      </c>
      <c r="H10518" s="8" t="s">
        <v>21</v>
      </c>
      <c r="I10518" s="8" t="s">
        <v>72</v>
      </c>
      <c r="J10518" s="8" t="s">
        <v>72</v>
      </c>
      <c r="K10518" s="8" t="s">
        <v>20</v>
      </c>
      <c r="L10518" s="8" t="s">
        <v>13194</v>
      </c>
      <c r="M10518" s="8" t="s">
        <v>13195</v>
      </c>
      <c r="N10518" s="8" t="s">
        <v>44994</v>
      </c>
      <c r="O10518" s="8">
        <f>11+16/60+20.5/3600</f>
        <v>11.272361111111111</v>
      </c>
      <c r="P10518" s="8" t="s">
        <v>44995</v>
      </c>
      <c r="Q10518" s="8">
        <f>+(12+12/60+53/3600)</f>
        <v>12.214722222222221</v>
      </c>
      <c r="R10518" s="8">
        <v>99</v>
      </c>
      <c r="S10518" s="8">
        <v>99</v>
      </c>
      <c r="T10518" s="8">
        <v>99</v>
      </c>
      <c r="U10518" s="8">
        <v>99</v>
      </c>
      <c r="Y10518" s="8" t="s">
        <v>21</v>
      </c>
      <c r="Z10518" s="8" t="s">
        <v>44996</v>
      </c>
    </row>
    <row r="10519" spans="1:26" x14ac:dyDescent="0.2">
      <c r="A10519" s="8">
        <v>10518</v>
      </c>
      <c r="B10519" s="8" t="s">
        <v>44997</v>
      </c>
      <c r="C10519" s="8" t="s">
        <v>44997</v>
      </c>
      <c r="G10519" s="8">
        <v>20</v>
      </c>
      <c r="H10519" s="8" t="s">
        <v>21</v>
      </c>
      <c r="I10519" s="8" t="s">
        <v>22</v>
      </c>
      <c r="J10519" s="8" t="s">
        <v>22</v>
      </c>
      <c r="K10519" s="8" t="s">
        <v>449</v>
      </c>
      <c r="L10519" s="8" t="s">
        <v>13194</v>
      </c>
      <c r="M10519" s="8" t="s">
        <v>13195</v>
      </c>
      <c r="N10519" s="8" t="s">
        <v>44998</v>
      </c>
      <c r="O10519" s="8">
        <f>11+16/60+21.6/3600</f>
        <v>11.272666666666668</v>
      </c>
      <c r="P10519" s="8" t="s">
        <v>44999</v>
      </c>
      <c r="Q10519" s="8">
        <f>+(11+56/60+55/3600)</f>
        <v>11.948611111111111</v>
      </c>
      <c r="R10519" s="8">
        <v>15</v>
      </c>
      <c r="S10519" s="8">
        <v>15.8</v>
      </c>
      <c r="T10519" s="8">
        <v>0.8</v>
      </c>
      <c r="U10519" s="8">
        <v>12.4</v>
      </c>
      <c r="V10519" s="8">
        <v>0.5</v>
      </c>
      <c r="W10519" s="8">
        <v>0.2</v>
      </c>
      <c r="X10519" s="8">
        <v>115</v>
      </c>
      <c r="Y10519" s="8" t="s">
        <v>45000</v>
      </c>
      <c r="Z10519" s="8" t="s">
        <v>45001</v>
      </c>
    </row>
    <row r="10520" spans="1:26" x14ac:dyDescent="0.2">
      <c r="A10520" s="8">
        <v>10519</v>
      </c>
      <c r="B10520" s="8" t="s">
        <v>45002</v>
      </c>
      <c r="C10520" s="8" t="s">
        <v>45002</v>
      </c>
      <c r="G10520" s="8">
        <v>20</v>
      </c>
      <c r="H10520" s="8" t="s">
        <v>21</v>
      </c>
      <c r="I10520" s="8" t="s">
        <v>22</v>
      </c>
      <c r="J10520" s="8" t="s">
        <v>22</v>
      </c>
      <c r="K10520" s="8" t="s">
        <v>460</v>
      </c>
      <c r="L10520" s="8" t="s">
        <v>13194</v>
      </c>
      <c r="M10520" s="8" t="s">
        <v>13195</v>
      </c>
      <c r="N10520" s="8" t="s">
        <v>45003</v>
      </c>
      <c r="O10520" s="8">
        <f>11+16/60+23.2/3600</f>
        <v>11.273111111111112</v>
      </c>
      <c r="P10520" s="8" t="s">
        <v>45004</v>
      </c>
      <c r="Q10520" s="8">
        <f>+(12+0/60+55/3600)</f>
        <v>12.015277777777778</v>
      </c>
      <c r="R10520" s="8">
        <v>14.8</v>
      </c>
      <c r="S10520" s="8">
        <v>15.8</v>
      </c>
      <c r="T10520" s="8">
        <v>1</v>
      </c>
      <c r="U10520" s="8">
        <v>12.9</v>
      </c>
      <c r="V10520" s="8">
        <v>0.4</v>
      </c>
      <c r="W10520" s="8">
        <v>0.4</v>
      </c>
      <c r="Y10520" s="8" t="s">
        <v>21</v>
      </c>
      <c r="Z10520" s="8" t="s">
        <v>45005</v>
      </c>
    </row>
    <row r="10521" spans="1:26" x14ac:dyDescent="0.2">
      <c r="A10521" s="8">
        <v>10520</v>
      </c>
      <c r="B10521" s="8" t="s">
        <v>45006</v>
      </c>
      <c r="C10521" s="8" t="s">
        <v>45006</v>
      </c>
      <c r="G10521" s="8">
        <v>20</v>
      </c>
      <c r="H10521" s="8" t="s">
        <v>21</v>
      </c>
      <c r="I10521" s="8" t="s">
        <v>22</v>
      </c>
      <c r="J10521" s="8" t="s">
        <v>22</v>
      </c>
      <c r="K10521" s="8" t="s">
        <v>632</v>
      </c>
      <c r="L10521" s="8" t="s">
        <v>13194</v>
      </c>
      <c r="M10521" s="8" t="s">
        <v>13195</v>
      </c>
      <c r="N10521" s="8" t="s">
        <v>45007</v>
      </c>
      <c r="O10521" s="8">
        <f>11+16/60+25.5/3600</f>
        <v>11.273750000000001</v>
      </c>
      <c r="P10521" s="8" t="s">
        <v>45008</v>
      </c>
      <c r="Q10521" s="8">
        <f>+(9+48/60+24/3600)</f>
        <v>9.8066666666666666</v>
      </c>
      <c r="R10521" s="8">
        <v>14.4</v>
      </c>
      <c r="S10521" s="8">
        <v>15.3</v>
      </c>
      <c r="T10521" s="8">
        <v>0.9</v>
      </c>
      <c r="U10521" s="8">
        <v>11.8</v>
      </c>
      <c r="V10521" s="8">
        <v>0.5</v>
      </c>
      <c r="W10521" s="8">
        <v>0.2</v>
      </c>
      <c r="X10521" s="8">
        <v>135</v>
      </c>
      <c r="Y10521" s="8" t="s">
        <v>45009</v>
      </c>
      <c r="Z10521" s="8" t="s">
        <v>45010</v>
      </c>
    </row>
    <row r="10522" spans="1:26" x14ac:dyDescent="0.2">
      <c r="A10522" s="8">
        <v>10521</v>
      </c>
      <c r="B10522" s="8" t="s">
        <v>45011</v>
      </c>
      <c r="C10522" s="8" t="s">
        <v>45011</v>
      </c>
      <c r="G10522" s="8">
        <v>20</v>
      </c>
      <c r="H10522" s="8" t="s">
        <v>21</v>
      </c>
      <c r="I10522" s="8" t="s">
        <v>329</v>
      </c>
      <c r="J10522" s="8" t="s">
        <v>329</v>
      </c>
      <c r="K10522" s="8" t="s">
        <v>329</v>
      </c>
      <c r="L10522" s="8" t="s">
        <v>13194</v>
      </c>
      <c r="M10522" s="8" t="s">
        <v>13195</v>
      </c>
      <c r="N10522" s="8" t="s">
        <v>45012</v>
      </c>
      <c r="O10522" s="8">
        <f>11+16/60+33.2/3600</f>
        <v>11.27588888888889</v>
      </c>
      <c r="P10522" s="8" t="s">
        <v>45013</v>
      </c>
      <c r="Q10522" s="8">
        <f>+(11+12/60+26/3600)</f>
        <v>11.207222222222221</v>
      </c>
      <c r="R10522" s="8">
        <v>99</v>
      </c>
      <c r="S10522" s="8">
        <v>99</v>
      </c>
      <c r="T10522" s="8">
        <v>99</v>
      </c>
      <c r="U10522" s="8">
        <v>99</v>
      </c>
      <c r="Y10522" s="8" t="s">
        <v>45014</v>
      </c>
      <c r="Z10522" s="8" t="s">
        <v>45015</v>
      </c>
    </row>
    <row r="10523" spans="1:26" x14ac:dyDescent="0.2">
      <c r="A10523" s="8">
        <v>10522</v>
      </c>
      <c r="B10523" s="8" t="s">
        <v>45016</v>
      </c>
      <c r="C10523" s="8" t="s">
        <v>45016</v>
      </c>
      <c r="G10523" s="8">
        <v>20</v>
      </c>
      <c r="H10523" s="8" t="s">
        <v>21</v>
      </c>
      <c r="I10523" s="8" t="s">
        <v>72</v>
      </c>
      <c r="J10523" s="8" t="s">
        <v>72</v>
      </c>
      <c r="K10523" s="8" t="s">
        <v>73</v>
      </c>
      <c r="L10523" s="8" t="s">
        <v>13194</v>
      </c>
      <c r="M10523" s="8" t="s">
        <v>13195</v>
      </c>
      <c r="N10523" s="8" t="s">
        <v>45017</v>
      </c>
      <c r="O10523" s="8">
        <f>11+16/60+36.1/3600</f>
        <v>11.276694444444445</v>
      </c>
      <c r="P10523" s="8" t="s">
        <v>45018</v>
      </c>
      <c r="Q10523" s="8">
        <f>+(9+24/60+40/3600)</f>
        <v>9.4111111111111114</v>
      </c>
      <c r="R10523" s="8">
        <v>99</v>
      </c>
      <c r="S10523" s="8">
        <v>99</v>
      </c>
      <c r="T10523" s="8">
        <v>99</v>
      </c>
      <c r="U10523" s="8">
        <v>99</v>
      </c>
      <c r="Y10523" s="8" t="s">
        <v>45019</v>
      </c>
      <c r="Z10523" s="8" t="s">
        <v>45020</v>
      </c>
    </row>
    <row r="10524" spans="1:26" x14ac:dyDescent="0.2">
      <c r="A10524" s="8">
        <v>10523</v>
      </c>
      <c r="B10524" s="8" t="s">
        <v>45021</v>
      </c>
      <c r="C10524" s="8" t="s">
        <v>45021</v>
      </c>
      <c r="G10524" s="8">
        <v>20</v>
      </c>
      <c r="H10524" s="8" t="s">
        <v>21</v>
      </c>
      <c r="I10524" s="8" t="s">
        <v>22</v>
      </c>
      <c r="J10524" s="8" t="s">
        <v>22</v>
      </c>
      <c r="K10524" s="8" t="s">
        <v>449</v>
      </c>
      <c r="L10524" s="8" t="s">
        <v>13194</v>
      </c>
      <c r="M10524" s="8" t="s">
        <v>13195</v>
      </c>
      <c r="N10524" s="8" t="s">
        <v>45022</v>
      </c>
      <c r="O10524" s="8">
        <f>11+16/60+54.3/3600</f>
        <v>11.281750000000001</v>
      </c>
      <c r="P10524" s="8" t="s">
        <v>45023</v>
      </c>
      <c r="Q10524" s="8">
        <f>+(12+5/60+57/3600)</f>
        <v>12.099166666666667</v>
      </c>
      <c r="R10524" s="8">
        <v>15.7</v>
      </c>
      <c r="S10524" s="8">
        <v>16.5</v>
      </c>
      <c r="T10524" s="8">
        <v>0.8</v>
      </c>
      <c r="U10524" s="8">
        <v>12.5</v>
      </c>
      <c r="V10524" s="8">
        <v>0.3</v>
      </c>
      <c r="W10524" s="8">
        <v>0.2</v>
      </c>
      <c r="X10524" s="8">
        <v>90</v>
      </c>
      <c r="Y10524" s="8" t="s">
        <v>45024</v>
      </c>
      <c r="Z10524" s="8" t="s">
        <v>45025</v>
      </c>
    </row>
    <row r="10525" spans="1:26" x14ac:dyDescent="0.2">
      <c r="A10525" s="8">
        <v>10524</v>
      </c>
      <c r="B10525" s="8" t="s">
        <v>45026</v>
      </c>
      <c r="C10525" s="8" t="s">
        <v>45026</v>
      </c>
      <c r="G10525" s="8">
        <v>20</v>
      </c>
      <c r="H10525" s="8" t="s">
        <v>21</v>
      </c>
      <c r="I10525" s="8" t="s">
        <v>22</v>
      </c>
      <c r="J10525" s="8" t="s">
        <v>22</v>
      </c>
      <c r="K10525" s="8" t="s">
        <v>17644</v>
      </c>
      <c r="L10525" s="8" t="s">
        <v>13194</v>
      </c>
      <c r="M10525" s="8" t="s">
        <v>13195</v>
      </c>
      <c r="N10525" s="8" t="s">
        <v>45027</v>
      </c>
      <c r="O10525" s="8">
        <f>11+17/60+1/3600</f>
        <v>11.28361111111111</v>
      </c>
      <c r="P10525" s="8" t="s">
        <v>45028</v>
      </c>
      <c r="Q10525" s="8">
        <f>+(13+5/60+59/3600)</f>
        <v>13.099722222222223</v>
      </c>
      <c r="R10525" s="8">
        <v>14.5</v>
      </c>
      <c r="S10525" s="8">
        <v>15.4</v>
      </c>
      <c r="T10525" s="8">
        <v>0.9</v>
      </c>
      <c r="U10525" s="8">
        <v>12.9</v>
      </c>
      <c r="V10525" s="8">
        <v>0.5</v>
      </c>
      <c r="W10525" s="8">
        <v>0.5</v>
      </c>
      <c r="Y10525" s="8" t="s">
        <v>2088</v>
      </c>
      <c r="Z10525" s="8" t="s">
        <v>2094</v>
      </c>
    </row>
    <row r="10526" spans="1:26" x14ac:dyDescent="0.2">
      <c r="A10526" s="8">
        <v>10525</v>
      </c>
      <c r="B10526" s="8" t="s">
        <v>45029</v>
      </c>
      <c r="C10526" s="8" t="s">
        <v>45029</v>
      </c>
      <c r="G10526" s="8">
        <v>20</v>
      </c>
      <c r="H10526" s="8" t="s">
        <v>21</v>
      </c>
      <c r="I10526" s="8" t="s">
        <v>72</v>
      </c>
      <c r="J10526" s="8" t="s">
        <v>72</v>
      </c>
      <c r="K10526" s="8" t="s">
        <v>20</v>
      </c>
      <c r="L10526" s="8" t="s">
        <v>13194</v>
      </c>
      <c r="M10526" s="8" t="s">
        <v>13195</v>
      </c>
      <c r="N10526" s="8" t="s">
        <v>45030</v>
      </c>
      <c r="O10526" s="8">
        <f>11+17/60+0.1/3600</f>
        <v>11.283361111111111</v>
      </c>
      <c r="P10526" s="8" t="s">
        <v>45031</v>
      </c>
      <c r="Q10526" s="8">
        <f>+(10+5/60+41/3600)</f>
        <v>10.094722222222222</v>
      </c>
      <c r="R10526" s="8">
        <v>99</v>
      </c>
      <c r="S10526" s="8">
        <v>99</v>
      </c>
      <c r="T10526" s="8">
        <v>99</v>
      </c>
      <c r="U10526" s="8">
        <v>99</v>
      </c>
      <c r="Y10526" s="8" t="s">
        <v>41759</v>
      </c>
      <c r="Z10526" s="8" t="s">
        <v>41760</v>
      </c>
    </row>
    <row r="10527" spans="1:26" x14ac:dyDescent="0.2">
      <c r="A10527" s="8">
        <v>10526</v>
      </c>
      <c r="B10527" s="8" t="s">
        <v>45032</v>
      </c>
      <c r="C10527" s="8" t="s">
        <v>45032</v>
      </c>
      <c r="G10527" s="8">
        <v>20</v>
      </c>
      <c r="H10527" s="8" t="s">
        <v>21</v>
      </c>
      <c r="I10527" s="8" t="s">
        <v>72</v>
      </c>
      <c r="J10527" s="8" t="s">
        <v>72</v>
      </c>
      <c r="K10527" s="8" t="s">
        <v>20</v>
      </c>
      <c r="L10527" s="8" t="s">
        <v>13194</v>
      </c>
      <c r="M10527" s="8" t="s">
        <v>13195</v>
      </c>
      <c r="N10527" s="8" t="s">
        <v>45033</v>
      </c>
      <c r="O10527" s="8">
        <f>11+17/60+2.6/3600</f>
        <v>11.284055555555556</v>
      </c>
      <c r="P10527" s="8" t="s">
        <v>45034</v>
      </c>
      <c r="Q10527" s="8">
        <f>+(12+57/60+6/3600)</f>
        <v>12.951666666666666</v>
      </c>
      <c r="R10527" s="8">
        <v>99</v>
      </c>
      <c r="S10527" s="8">
        <v>99</v>
      </c>
      <c r="T10527" s="8">
        <v>99</v>
      </c>
      <c r="U10527" s="8">
        <v>99</v>
      </c>
      <c r="Y10527" s="8" t="s">
        <v>21</v>
      </c>
      <c r="Z10527" s="8" t="s">
        <v>45035</v>
      </c>
    </row>
    <row r="10528" spans="1:26" x14ac:dyDescent="0.2">
      <c r="A10528" s="8">
        <v>10527</v>
      </c>
      <c r="B10528" s="8" t="s">
        <v>45036</v>
      </c>
      <c r="C10528" s="8" t="s">
        <v>45036</v>
      </c>
      <c r="G10528" s="8">
        <v>20</v>
      </c>
      <c r="H10528" s="8" t="s">
        <v>21</v>
      </c>
      <c r="I10528" s="8" t="s">
        <v>72</v>
      </c>
      <c r="J10528" s="8" t="s">
        <v>72</v>
      </c>
      <c r="K10528" s="8" t="s">
        <v>20</v>
      </c>
      <c r="L10528" s="8" t="s">
        <v>13194</v>
      </c>
      <c r="M10528" s="8" t="s">
        <v>13195</v>
      </c>
      <c r="N10528" s="8" t="s">
        <v>45037</v>
      </c>
      <c r="O10528" s="8">
        <f>11+17/60+12.1/3600</f>
        <v>11.286694444444445</v>
      </c>
      <c r="P10528" s="8" t="s">
        <v>45038</v>
      </c>
      <c r="Q10528" s="8">
        <f>+(10+9/60+29/3600)</f>
        <v>10.158055555555556</v>
      </c>
      <c r="R10528" s="8">
        <v>99</v>
      </c>
      <c r="S10528" s="8">
        <v>99</v>
      </c>
      <c r="T10528" s="8">
        <v>99</v>
      </c>
      <c r="U10528" s="8">
        <v>99</v>
      </c>
      <c r="Y10528" s="8" t="s">
        <v>44860</v>
      </c>
      <c r="Z10528" s="8" t="s">
        <v>44861</v>
      </c>
    </row>
    <row r="10529" spans="1:26" x14ac:dyDescent="0.2">
      <c r="A10529" s="8">
        <v>10528</v>
      </c>
      <c r="B10529" s="8" t="s">
        <v>45039</v>
      </c>
      <c r="C10529" s="8" t="s">
        <v>45039</v>
      </c>
      <c r="G10529" s="8">
        <v>20</v>
      </c>
      <c r="H10529" s="8" t="s">
        <v>21</v>
      </c>
      <c r="I10529" s="8" t="s">
        <v>72</v>
      </c>
      <c r="J10529" s="8" t="s">
        <v>72</v>
      </c>
      <c r="K10529" s="8" t="s">
        <v>73</v>
      </c>
      <c r="L10529" s="8" t="s">
        <v>13194</v>
      </c>
      <c r="M10529" s="8" t="s">
        <v>13195</v>
      </c>
      <c r="N10529" s="8" t="s">
        <v>45040</v>
      </c>
      <c r="O10529" s="8">
        <f>11+17/60+18/3600</f>
        <v>11.288333333333334</v>
      </c>
      <c r="P10529" s="8" t="s">
        <v>45041</v>
      </c>
      <c r="Q10529" s="8">
        <f>+(13+29/60+25/3600)</f>
        <v>13.490277777777777</v>
      </c>
      <c r="R10529" s="8">
        <v>99</v>
      </c>
      <c r="S10529" s="8">
        <v>99</v>
      </c>
      <c r="T10529" s="8">
        <v>99</v>
      </c>
      <c r="U10529" s="8">
        <v>99</v>
      </c>
      <c r="Y10529" s="8" t="s">
        <v>45042</v>
      </c>
      <c r="Z10529" s="8" t="s">
        <v>45043</v>
      </c>
    </row>
    <row r="10530" spans="1:26" x14ac:dyDescent="0.2">
      <c r="A10530" s="8">
        <v>10529</v>
      </c>
      <c r="B10530" s="8" t="s">
        <v>45044</v>
      </c>
      <c r="C10530" s="8" t="s">
        <v>45044</v>
      </c>
      <c r="G10530" s="8">
        <v>20</v>
      </c>
      <c r="H10530" s="8" t="s">
        <v>21</v>
      </c>
      <c r="I10530" s="8" t="s">
        <v>22</v>
      </c>
      <c r="J10530" s="8" t="s">
        <v>22</v>
      </c>
      <c r="K10530" s="8" t="s">
        <v>449</v>
      </c>
      <c r="L10530" s="8" t="s">
        <v>13194</v>
      </c>
      <c r="M10530" s="8" t="s">
        <v>13195</v>
      </c>
      <c r="N10530" s="8" t="s">
        <v>45045</v>
      </c>
      <c r="O10530" s="8">
        <f>11+17/60+19.7/3600</f>
        <v>11.288805555555555</v>
      </c>
      <c r="P10530" s="8" t="s">
        <v>45046</v>
      </c>
      <c r="Q10530" s="8">
        <f>+(12+57/60+39/3600)</f>
        <v>12.960833333333333</v>
      </c>
      <c r="R10530" s="8">
        <v>15.2</v>
      </c>
      <c r="S10530" s="8">
        <v>16</v>
      </c>
      <c r="T10530" s="8">
        <v>0.8</v>
      </c>
      <c r="U10530" s="8">
        <v>11.8</v>
      </c>
      <c r="V10530" s="8">
        <v>0.5</v>
      </c>
      <c r="W10530" s="8">
        <v>0.1</v>
      </c>
      <c r="X10530" s="8">
        <v>45</v>
      </c>
      <c r="Y10530" s="8" t="s">
        <v>45047</v>
      </c>
      <c r="Z10530" s="8" t="s">
        <v>45048</v>
      </c>
    </row>
    <row r="10531" spans="1:26" x14ac:dyDescent="0.2">
      <c r="A10531" s="8">
        <v>10530</v>
      </c>
      <c r="B10531" s="8" t="s">
        <v>45049</v>
      </c>
      <c r="C10531" s="8" t="s">
        <v>45049</v>
      </c>
      <c r="G10531" s="8">
        <v>20</v>
      </c>
      <c r="H10531" s="8" t="s">
        <v>21</v>
      </c>
      <c r="I10531" s="8" t="s">
        <v>22</v>
      </c>
      <c r="J10531" s="8" t="s">
        <v>22</v>
      </c>
      <c r="K10531" s="8" t="s">
        <v>424</v>
      </c>
      <c r="L10531" s="8" t="s">
        <v>13194</v>
      </c>
      <c r="M10531" s="8" t="s">
        <v>13195</v>
      </c>
      <c r="N10531" s="8" t="s">
        <v>45050</v>
      </c>
      <c r="O10531" s="8">
        <f>11+17/60+19.5/3600</f>
        <v>11.28875</v>
      </c>
      <c r="P10531" s="8" t="s">
        <v>45051</v>
      </c>
      <c r="Q10531" s="8">
        <f>+(12+57/60+38/3600)</f>
        <v>12.960555555555555</v>
      </c>
      <c r="R10531" s="8">
        <v>15.4</v>
      </c>
      <c r="S10531" s="8">
        <v>16.2</v>
      </c>
      <c r="T10531" s="8">
        <v>0.8</v>
      </c>
      <c r="U10531" s="8">
        <v>12.9</v>
      </c>
      <c r="V10531" s="8">
        <v>0.6</v>
      </c>
      <c r="W10531" s="8">
        <v>0.2</v>
      </c>
      <c r="X10531" s="8">
        <v>40</v>
      </c>
      <c r="Y10531" s="8" t="s">
        <v>37393</v>
      </c>
      <c r="Z10531" s="8" t="s">
        <v>37394</v>
      </c>
    </row>
    <row r="10532" spans="1:26" x14ac:dyDescent="0.2">
      <c r="A10532" s="8">
        <v>10531</v>
      </c>
      <c r="B10532" s="8" t="s">
        <v>45052</v>
      </c>
      <c r="C10532" s="8" t="s">
        <v>45052</v>
      </c>
      <c r="G10532" s="8">
        <v>20</v>
      </c>
      <c r="H10532" s="8" t="s">
        <v>21</v>
      </c>
      <c r="I10532" s="8" t="s">
        <v>72</v>
      </c>
      <c r="J10532" s="8" t="s">
        <v>72</v>
      </c>
      <c r="K10532" s="8" t="s">
        <v>20</v>
      </c>
      <c r="L10532" s="8" t="s">
        <v>13194</v>
      </c>
      <c r="M10532" s="8" t="s">
        <v>13195</v>
      </c>
      <c r="N10532" s="8" t="s">
        <v>45053</v>
      </c>
      <c r="O10532" s="8">
        <f>11+17/60+25/3600</f>
        <v>11.290277777777778</v>
      </c>
      <c r="P10532" s="8" t="s">
        <v>45054</v>
      </c>
      <c r="Q10532" s="8">
        <f>+(12+2/60+18/3600)</f>
        <v>12.038333333333334</v>
      </c>
      <c r="R10532" s="8">
        <v>99</v>
      </c>
      <c r="S10532" s="8">
        <v>15.1</v>
      </c>
      <c r="T10532" s="8">
        <v>99</v>
      </c>
      <c r="U10532" s="8">
        <v>99</v>
      </c>
      <c r="Y10532" s="8" t="s">
        <v>232</v>
      </c>
      <c r="Z10532" s="8" t="s">
        <v>233</v>
      </c>
    </row>
    <row r="10533" spans="1:26" x14ac:dyDescent="0.2">
      <c r="A10533" s="8">
        <v>10532</v>
      </c>
      <c r="B10533" s="8" t="s">
        <v>45055</v>
      </c>
      <c r="C10533" s="8" t="s">
        <v>45055</v>
      </c>
      <c r="G10533" s="8">
        <v>20</v>
      </c>
      <c r="H10533" s="8" t="s">
        <v>21</v>
      </c>
      <c r="I10533" s="8" t="s">
        <v>22</v>
      </c>
      <c r="J10533" s="8" t="s">
        <v>22</v>
      </c>
      <c r="K10533" s="8" t="s">
        <v>424</v>
      </c>
      <c r="L10533" s="8" t="s">
        <v>13194</v>
      </c>
      <c r="M10533" s="8" t="s">
        <v>13195</v>
      </c>
      <c r="N10533" s="8" t="s">
        <v>45056</v>
      </c>
      <c r="O10533" s="8">
        <f>11+17/60+33.1/3600</f>
        <v>11.292527777777778</v>
      </c>
      <c r="P10533" s="8" t="s">
        <v>45057</v>
      </c>
      <c r="Q10533" s="8">
        <f>+(10+46/60+7/3600)</f>
        <v>10.768611111111111</v>
      </c>
      <c r="R10533" s="8">
        <v>16.3</v>
      </c>
      <c r="S10533" s="8">
        <v>17.3</v>
      </c>
      <c r="T10533" s="8">
        <v>1</v>
      </c>
      <c r="U10533" s="8">
        <v>13.1</v>
      </c>
      <c r="V10533" s="8">
        <v>0.3</v>
      </c>
      <c r="W10533" s="8">
        <v>0.2</v>
      </c>
      <c r="X10533" s="8">
        <v>90</v>
      </c>
      <c r="Y10533" s="8" t="s">
        <v>635</v>
      </c>
      <c r="Z10533" s="8" t="s">
        <v>636</v>
      </c>
    </row>
    <row r="10534" spans="1:26" x14ac:dyDescent="0.2">
      <c r="A10534" s="8">
        <v>10533</v>
      </c>
      <c r="B10534" s="8" t="s">
        <v>45058</v>
      </c>
      <c r="C10534" s="8" t="s">
        <v>45058</v>
      </c>
      <c r="G10534" s="8">
        <v>20</v>
      </c>
      <c r="H10534" s="8" t="s">
        <v>21</v>
      </c>
      <c r="I10534" s="8" t="s">
        <v>72</v>
      </c>
      <c r="J10534" s="8" t="s">
        <v>72</v>
      </c>
      <c r="K10534" s="8" t="s">
        <v>20</v>
      </c>
      <c r="L10534" s="8" t="s">
        <v>13194</v>
      </c>
      <c r="M10534" s="8" t="s">
        <v>13195</v>
      </c>
      <c r="N10534" s="8" t="s">
        <v>45059</v>
      </c>
      <c r="O10534" s="8">
        <f>11+17/60+36.5/3600</f>
        <v>11.293472222222222</v>
      </c>
      <c r="P10534" s="8" t="s">
        <v>45060</v>
      </c>
      <c r="Q10534" s="8">
        <f>+(13+32/60+58/3600)</f>
        <v>13.549444444444445</v>
      </c>
      <c r="R10534" s="8">
        <v>99</v>
      </c>
      <c r="S10534" s="8">
        <v>99</v>
      </c>
      <c r="T10534" s="8">
        <v>99</v>
      </c>
      <c r="U10534" s="8">
        <v>99</v>
      </c>
      <c r="Y10534" s="8" t="s">
        <v>2248</v>
      </c>
      <c r="Z10534" s="8" t="s">
        <v>2249</v>
      </c>
    </row>
    <row r="10535" spans="1:26" x14ac:dyDescent="0.2">
      <c r="A10535" s="8">
        <v>10534</v>
      </c>
      <c r="B10535" s="8" t="s">
        <v>45061</v>
      </c>
      <c r="C10535" s="8" t="s">
        <v>45061</v>
      </c>
      <c r="E10535" s="8">
        <v>1</v>
      </c>
      <c r="G10535" s="8">
        <v>20</v>
      </c>
      <c r="H10535" s="8" t="s">
        <v>21</v>
      </c>
      <c r="I10535" s="8" t="s">
        <v>22</v>
      </c>
      <c r="J10535" s="8" t="s">
        <v>22</v>
      </c>
      <c r="K10535" s="8" t="s">
        <v>449</v>
      </c>
      <c r="L10535" s="8" t="s">
        <v>13194</v>
      </c>
      <c r="M10535" s="8" t="s">
        <v>13195</v>
      </c>
      <c r="N10535" s="8" t="s">
        <v>45062</v>
      </c>
      <c r="O10535" s="8">
        <f>11+17/60+38.5/3600</f>
        <v>11.294027777777778</v>
      </c>
      <c r="P10535" s="8" t="s">
        <v>45063</v>
      </c>
      <c r="Q10535" s="8">
        <f>+(13+22/60+34/3600)</f>
        <v>13.376111111111111</v>
      </c>
      <c r="R10535" s="8">
        <v>14.2</v>
      </c>
      <c r="S10535" s="8">
        <v>15</v>
      </c>
      <c r="T10535" s="8">
        <v>0.8</v>
      </c>
      <c r="U10535" s="8">
        <v>11.3</v>
      </c>
      <c r="V10535" s="8">
        <v>0.4</v>
      </c>
      <c r="W10535" s="8">
        <v>0.2</v>
      </c>
      <c r="X10535" s="8">
        <v>90</v>
      </c>
      <c r="Y10535" s="8" t="s">
        <v>45064</v>
      </c>
      <c r="Z10535" s="8" t="s">
        <v>45065</v>
      </c>
    </row>
    <row r="10536" spans="1:26" x14ac:dyDescent="0.2">
      <c r="A10536" s="8">
        <v>10535</v>
      </c>
      <c r="B10536" s="8" t="s">
        <v>45066</v>
      </c>
      <c r="C10536" s="8" t="s">
        <v>45066</v>
      </c>
      <c r="G10536" s="8">
        <v>20</v>
      </c>
      <c r="H10536" s="8" t="s">
        <v>21</v>
      </c>
      <c r="I10536" s="8" t="s">
        <v>22</v>
      </c>
      <c r="J10536" s="8" t="s">
        <v>22</v>
      </c>
      <c r="K10536" s="8" t="s">
        <v>382</v>
      </c>
      <c r="L10536" s="8" t="s">
        <v>13194</v>
      </c>
      <c r="M10536" s="8" t="s">
        <v>13195</v>
      </c>
      <c r="N10536" s="8" t="s">
        <v>45067</v>
      </c>
      <c r="O10536" s="8">
        <f>11+17/60+48.6/3600</f>
        <v>11.296833333333334</v>
      </c>
      <c r="P10536" s="8" t="s">
        <v>45068</v>
      </c>
      <c r="Q10536" s="8">
        <f>+(13+43/60+39/3600)</f>
        <v>13.727500000000001</v>
      </c>
      <c r="R10536" s="8">
        <v>15.3</v>
      </c>
      <c r="S10536" s="8">
        <v>16.3</v>
      </c>
      <c r="T10536" s="8">
        <v>1</v>
      </c>
      <c r="U10536" s="8">
        <v>13.1</v>
      </c>
      <c r="V10536" s="8">
        <v>0.4</v>
      </c>
      <c r="W10536" s="8">
        <v>0.3</v>
      </c>
      <c r="X10536" s="8">
        <v>45</v>
      </c>
      <c r="Y10536" s="8" t="s">
        <v>2641</v>
      </c>
      <c r="Z10536" s="8" t="s">
        <v>2642</v>
      </c>
    </row>
    <row r="10537" spans="1:26" x14ac:dyDescent="0.2">
      <c r="A10537" s="8">
        <v>10536</v>
      </c>
      <c r="B10537" s="8" t="s">
        <v>45069</v>
      </c>
      <c r="C10537" s="8" t="s">
        <v>45069</v>
      </c>
      <c r="G10537" s="8">
        <v>20</v>
      </c>
      <c r="H10537" s="8" t="s">
        <v>21</v>
      </c>
      <c r="I10537" s="8" t="s">
        <v>72</v>
      </c>
      <c r="J10537" s="8" t="s">
        <v>72</v>
      </c>
      <c r="K10537" s="8" t="s">
        <v>20</v>
      </c>
      <c r="L10537" s="8" t="s">
        <v>13194</v>
      </c>
      <c r="M10537" s="8" t="s">
        <v>13195</v>
      </c>
      <c r="N10537" s="8" t="s">
        <v>45070</v>
      </c>
      <c r="O10537" s="8">
        <f>11+17/60+49.3/3600</f>
        <v>11.297027777777778</v>
      </c>
      <c r="P10537" s="8" t="s">
        <v>45071</v>
      </c>
      <c r="Q10537" s="8">
        <f>+(12+45/60+21/3600)</f>
        <v>12.755833333333333</v>
      </c>
      <c r="R10537" s="8">
        <v>99</v>
      </c>
      <c r="S10537" s="8">
        <v>99</v>
      </c>
      <c r="T10537" s="8">
        <v>99</v>
      </c>
      <c r="U10537" s="8">
        <v>99</v>
      </c>
      <c r="Y10537" s="8" t="s">
        <v>3952</v>
      </c>
      <c r="Z10537" s="8" t="s">
        <v>3953</v>
      </c>
    </row>
    <row r="10538" spans="1:26" x14ac:dyDescent="0.2">
      <c r="A10538" s="8">
        <v>10537</v>
      </c>
      <c r="B10538" s="8" t="s">
        <v>45072</v>
      </c>
      <c r="C10538" s="8" t="s">
        <v>45072</v>
      </c>
      <c r="G10538" s="8">
        <v>20</v>
      </c>
      <c r="H10538" s="8" t="s">
        <v>21</v>
      </c>
      <c r="I10538" s="8" t="s">
        <v>72</v>
      </c>
      <c r="J10538" s="8" t="s">
        <v>72</v>
      </c>
      <c r="K10538" s="8" t="s">
        <v>20</v>
      </c>
      <c r="L10538" s="8" t="s">
        <v>13194</v>
      </c>
      <c r="M10538" s="8" t="s">
        <v>13195</v>
      </c>
      <c r="N10538" s="8" t="s">
        <v>45073</v>
      </c>
      <c r="O10538" s="8">
        <f>11+17/60+51.1/3600</f>
        <v>11.297527777777777</v>
      </c>
      <c r="P10538" s="8" t="s">
        <v>18389</v>
      </c>
      <c r="Q10538" s="8">
        <f>+(13+24/60+2/3600)</f>
        <v>13.400555555555556</v>
      </c>
      <c r="R10538" s="8">
        <v>99</v>
      </c>
      <c r="S10538" s="8">
        <v>99</v>
      </c>
      <c r="T10538" s="8">
        <v>99</v>
      </c>
      <c r="U10538" s="8">
        <v>99</v>
      </c>
      <c r="Y10538" s="8" t="s">
        <v>45074</v>
      </c>
      <c r="Z10538" s="8" t="s">
        <v>45075</v>
      </c>
    </row>
    <row r="10539" spans="1:26" x14ac:dyDescent="0.2">
      <c r="A10539" s="8">
        <v>10538</v>
      </c>
      <c r="B10539" s="8" t="s">
        <v>45076</v>
      </c>
      <c r="C10539" s="8" t="s">
        <v>45076</v>
      </c>
      <c r="G10539" s="8">
        <v>20</v>
      </c>
      <c r="H10539" s="8" t="s">
        <v>21</v>
      </c>
      <c r="I10539" s="8" t="s">
        <v>22</v>
      </c>
      <c r="J10539" s="8" t="s">
        <v>22</v>
      </c>
      <c r="K10539" s="8" t="s">
        <v>1174</v>
      </c>
      <c r="L10539" s="8" t="s">
        <v>13194</v>
      </c>
      <c r="M10539" s="8" t="s">
        <v>13195</v>
      </c>
      <c r="N10539" s="8" t="s">
        <v>45073</v>
      </c>
      <c r="O10539" s="8">
        <f>11+17/60+51.1/3600</f>
        <v>11.297527777777777</v>
      </c>
      <c r="P10539" s="8" t="s">
        <v>45077</v>
      </c>
      <c r="Q10539" s="8">
        <f>+(11+53/60+7/3600)</f>
        <v>11.885277777777777</v>
      </c>
      <c r="R10539" s="8">
        <v>14.5</v>
      </c>
      <c r="S10539" s="8">
        <v>15.3</v>
      </c>
      <c r="T10539" s="8">
        <v>0.8</v>
      </c>
      <c r="U10539" s="8">
        <v>12.6</v>
      </c>
      <c r="V10539" s="8">
        <v>0.5</v>
      </c>
      <c r="W10539" s="8">
        <v>0.4</v>
      </c>
      <c r="Y10539" s="8" t="s">
        <v>45078</v>
      </c>
      <c r="Z10539" s="8" t="s">
        <v>45079</v>
      </c>
    </row>
    <row r="10540" spans="1:26" x14ac:dyDescent="0.2">
      <c r="A10540" s="8">
        <v>10539</v>
      </c>
      <c r="B10540" s="8" t="s">
        <v>45080</v>
      </c>
      <c r="C10540" s="8" t="s">
        <v>45080</v>
      </c>
      <c r="G10540" s="8">
        <v>20</v>
      </c>
      <c r="H10540" s="8" t="s">
        <v>21</v>
      </c>
      <c r="I10540" s="8" t="s">
        <v>72</v>
      </c>
      <c r="J10540" s="8" t="s">
        <v>72</v>
      </c>
      <c r="K10540" s="8" t="s">
        <v>20</v>
      </c>
      <c r="L10540" s="8" t="s">
        <v>13194</v>
      </c>
      <c r="M10540" s="8" t="s">
        <v>13195</v>
      </c>
      <c r="N10540" s="8" t="s">
        <v>45081</v>
      </c>
      <c r="O10540" s="8">
        <f>11+17/60+52.6/3600</f>
        <v>11.297944444444445</v>
      </c>
      <c r="P10540" s="8" t="s">
        <v>45082</v>
      </c>
      <c r="Q10540" s="8">
        <f>+(11+54/60+35/3600)</f>
        <v>11.909722222222223</v>
      </c>
      <c r="R10540" s="8">
        <v>99</v>
      </c>
      <c r="S10540" s="8">
        <v>99</v>
      </c>
      <c r="T10540" s="8">
        <v>99</v>
      </c>
      <c r="U10540" s="8">
        <v>99</v>
      </c>
      <c r="Y10540" s="8" t="s">
        <v>15909</v>
      </c>
      <c r="Z10540" s="8" t="s">
        <v>15910</v>
      </c>
    </row>
    <row r="10541" spans="1:26" x14ac:dyDescent="0.2">
      <c r="A10541" s="8">
        <v>10540</v>
      </c>
      <c r="B10541" s="8" t="s">
        <v>45083</v>
      </c>
      <c r="C10541" s="8" t="s">
        <v>45083</v>
      </c>
      <c r="G10541" s="8">
        <v>20</v>
      </c>
      <c r="H10541" s="8" t="s">
        <v>21</v>
      </c>
      <c r="I10541" s="8" t="s">
        <v>22</v>
      </c>
      <c r="J10541" s="8" t="s">
        <v>22</v>
      </c>
      <c r="K10541" s="8" t="s">
        <v>382</v>
      </c>
      <c r="L10541" s="8" t="s">
        <v>13194</v>
      </c>
      <c r="M10541" s="8" t="s">
        <v>13195</v>
      </c>
      <c r="N10541" s="8" t="s">
        <v>45084</v>
      </c>
      <c r="O10541" s="8">
        <f>11+17/60+54.1/3600</f>
        <v>11.298361111111111</v>
      </c>
      <c r="P10541" s="8" t="s">
        <v>45085</v>
      </c>
      <c r="Q10541" s="8">
        <f>+(12+3/60+17/3600)</f>
        <v>12.054722222222223</v>
      </c>
      <c r="R10541" s="8">
        <v>15.2</v>
      </c>
      <c r="S10541" s="8">
        <v>16.2</v>
      </c>
      <c r="T10541" s="8">
        <v>1</v>
      </c>
      <c r="U10541" s="8">
        <v>12.2</v>
      </c>
      <c r="V10541" s="8">
        <v>0.3</v>
      </c>
      <c r="W10541" s="8">
        <v>0.2</v>
      </c>
      <c r="X10541" s="8">
        <v>120</v>
      </c>
      <c r="Y10541" s="8" t="s">
        <v>45086</v>
      </c>
      <c r="Z10541" s="8" t="s">
        <v>45087</v>
      </c>
    </row>
    <row r="10542" spans="1:26" x14ac:dyDescent="0.2">
      <c r="A10542" s="8">
        <v>10541</v>
      </c>
      <c r="B10542" s="8" t="s">
        <v>45088</v>
      </c>
      <c r="C10542" s="8" t="s">
        <v>45088</v>
      </c>
      <c r="G10542" s="8">
        <v>20</v>
      </c>
      <c r="H10542" s="8" t="s">
        <v>21</v>
      </c>
      <c r="I10542" s="8" t="s">
        <v>22</v>
      </c>
      <c r="J10542" s="8" t="s">
        <v>22</v>
      </c>
      <c r="K10542" s="8" t="s">
        <v>449</v>
      </c>
      <c r="L10542" s="8" t="s">
        <v>13194</v>
      </c>
      <c r="M10542" s="8" t="s">
        <v>13195</v>
      </c>
      <c r="N10542" s="8" t="s">
        <v>45089</v>
      </c>
      <c r="O10542" s="8">
        <f>11+17/60+56.9/3600</f>
        <v>11.299138888888889</v>
      </c>
      <c r="P10542" s="8" t="s">
        <v>45090</v>
      </c>
      <c r="Q10542" s="8">
        <f>+(11+7/60+4/3600)</f>
        <v>11.117777777777778</v>
      </c>
      <c r="R10542" s="8">
        <v>15.7</v>
      </c>
      <c r="S10542" s="8">
        <v>16.5</v>
      </c>
      <c r="T10542" s="8">
        <v>0.8</v>
      </c>
      <c r="U10542" s="8">
        <v>12.5</v>
      </c>
      <c r="V10542" s="8">
        <v>0.3</v>
      </c>
      <c r="W10542" s="8">
        <v>0.2</v>
      </c>
      <c r="X10542" s="8">
        <v>85</v>
      </c>
      <c r="Y10542" s="8" t="s">
        <v>45091</v>
      </c>
      <c r="Z10542" s="8" t="s">
        <v>45092</v>
      </c>
    </row>
    <row r="10543" spans="1:26" x14ac:dyDescent="0.2">
      <c r="A10543" s="8">
        <v>10542</v>
      </c>
      <c r="B10543" s="8" t="s">
        <v>45093</v>
      </c>
      <c r="C10543" s="8" t="s">
        <v>45093</v>
      </c>
      <c r="G10543" s="8">
        <v>20</v>
      </c>
      <c r="H10543" s="8" t="s">
        <v>21</v>
      </c>
      <c r="I10543" s="8" t="s">
        <v>22</v>
      </c>
      <c r="J10543" s="8" t="s">
        <v>22</v>
      </c>
      <c r="K10543" s="8" t="s">
        <v>460</v>
      </c>
      <c r="L10543" s="8" t="s">
        <v>13194</v>
      </c>
      <c r="M10543" s="8" t="s">
        <v>13195</v>
      </c>
      <c r="N10543" s="8" t="s">
        <v>45094</v>
      </c>
      <c r="O10543" s="8">
        <f>11+17/60+57.1/3600</f>
        <v>11.299194444444444</v>
      </c>
      <c r="P10543" s="8" t="s">
        <v>45095</v>
      </c>
      <c r="Q10543" s="8">
        <f>+(9+24/60+47/3600)</f>
        <v>9.4130555555555553</v>
      </c>
      <c r="R10543" s="8">
        <v>16.5</v>
      </c>
      <c r="S10543" s="8">
        <v>17.5</v>
      </c>
      <c r="T10543" s="8">
        <v>1</v>
      </c>
      <c r="U10543" s="8">
        <v>13.1</v>
      </c>
      <c r="V10543" s="8">
        <v>0.2</v>
      </c>
      <c r="W10543" s="8">
        <v>0.2</v>
      </c>
      <c r="Y10543" s="8" t="s">
        <v>307</v>
      </c>
      <c r="Z10543" s="8" t="s">
        <v>308</v>
      </c>
    </row>
    <row r="10544" spans="1:26" x14ac:dyDescent="0.2">
      <c r="A10544" s="8">
        <v>10543</v>
      </c>
      <c r="B10544" s="8" t="s">
        <v>45096</v>
      </c>
      <c r="C10544" s="8" t="s">
        <v>45096</v>
      </c>
      <c r="G10544" s="8">
        <v>20</v>
      </c>
      <c r="H10544" s="8" t="s">
        <v>21</v>
      </c>
      <c r="I10544" s="8" t="s">
        <v>22</v>
      </c>
      <c r="J10544" s="8" t="s">
        <v>22</v>
      </c>
      <c r="K10544" s="8" t="s">
        <v>17644</v>
      </c>
      <c r="L10544" s="8" t="s">
        <v>13194</v>
      </c>
      <c r="M10544" s="8" t="s">
        <v>13195</v>
      </c>
      <c r="N10544" s="8" t="s">
        <v>45097</v>
      </c>
      <c r="O10544" s="8">
        <f>11+18/60+5.1/3600</f>
        <v>11.301416666666668</v>
      </c>
      <c r="P10544" s="8" t="s">
        <v>45098</v>
      </c>
      <c r="Q10544" s="8">
        <f>+(17+39/60+0/3600)</f>
        <v>17.649999999999999</v>
      </c>
      <c r="R10544" s="8">
        <v>14.4</v>
      </c>
      <c r="S10544" s="8">
        <v>15</v>
      </c>
      <c r="T10544" s="8">
        <v>0.6</v>
      </c>
      <c r="U10544" s="8">
        <v>13.1</v>
      </c>
      <c r="V10544" s="8">
        <v>0.6</v>
      </c>
      <c r="W10544" s="8">
        <v>0.6</v>
      </c>
      <c r="Y10544" s="8" t="s">
        <v>1511</v>
      </c>
      <c r="Z10544" s="8" t="s">
        <v>1512</v>
      </c>
    </row>
    <row r="10545" spans="1:26" x14ac:dyDescent="0.2">
      <c r="A10545" s="8">
        <v>10544</v>
      </c>
      <c r="B10545" s="8" t="s">
        <v>45099</v>
      </c>
      <c r="C10545" s="8" t="s">
        <v>45099</v>
      </c>
      <c r="G10545" s="8">
        <v>20</v>
      </c>
      <c r="H10545" s="8" t="s">
        <v>21</v>
      </c>
      <c r="I10545" s="8" t="s">
        <v>22</v>
      </c>
      <c r="J10545" s="8" t="s">
        <v>22</v>
      </c>
      <c r="K10545" s="8" t="s">
        <v>476</v>
      </c>
      <c r="L10545" s="8" t="s">
        <v>13194</v>
      </c>
      <c r="M10545" s="8" t="s">
        <v>13195</v>
      </c>
      <c r="N10545" s="8" t="s">
        <v>45100</v>
      </c>
      <c r="O10545" s="8">
        <f>11+18/60+3.9/3600</f>
        <v>11.301083333333334</v>
      </c>
      <c r="P10545" s="8" t="s">
        <v>45101</v>
      </c>
      <c r="Q10545" s="8">
        <f>+(12+27/60+13/3600)</f>
        <v>12.45361111111111</v>
      </c>
      <c r="R10545" s="8">
        <v>14.6</v>
      </c>
      <c r="S10545" s="8">
        <v>15.4</v>
      </c>
      <c r="T10545" s="8">
        <v>0.8</v>
      </c>
      <c r="U10545" s="8">
        <v>11.7</v>
      </c>
      <c r="V10545" s="8">
        <v>0.4</v>
      </c>
      <c r="W10545" s="8">
        <v>0.2</v>
      </c>
      <c r="X10545" s="8">
        <v>75</v>
      </c>
      <c r="Y10545" s="8" t="s">
        <v>21</v>
      </c>
      <c r="Z10545" s="8" t="s">
        <v>45102</v>
      </c>
    </row>
    <row r="10546" spans="1:26" x14ac:dyDescent="0.2">
      <c r="A10546" s="8">
        <v>10545</v>
      </c>
      <c r="B10546" s="8" t="s">
        <v>45103</v>
      </c>
      <c r="C10546" s="8" t="s">
        <v>45103</v>
      </c>
      <c r="G10546" s="8">
        <v>20</v>
      </c>
      <c r="H10546" s="8" t="s">
        <v>21</v>
      </c>
      <c r="I10546" s="8" t="s">
        <v>72</v>
      </c>
      <c r="J10546" s="8" t="s">
        <v>72</v>
      </c>
      <c r="K10546" s="8" t="s">
        <v>20</v>
      </c>
      <c r="L10546" s="8" t="s">
        <v>13194</v>
      </c>
      <c r="M10546" s="8" t="s">
        <v>13195</v>
      </c>
      <c r="N10546" s="8" t="s">
        <v>45100</v>
      </c>
      <c r="O10546" s="8">
        <f>11+18/60+3.9/3600</f>
        <v>11.301083333333334</v>
      </c>
      <c r="P10546" s="8" t="s">
        <v>45104</v>
      </c>
      <c r="Q10546" s="8">
        <f>+(11+54/60+17/3600)</f>
        <v>11.904722222222222</v>
      </c>
      <c r="R10546" s="8">
        <v>99</v>
      </c>
      <c r="S10546" s="8">
        <v>99</v>
      </c>
      <c r="T10546" s="8">
        <v>99</v>
      </c>
      <c r="U10546" s="8">
        <v>99</v>
      </c>
      <c r="Y10546" s="8" t="s">
        <v>45105</v>
      </c>
      <c r="Z10546" s="8" t="s">
        <v>45106</v>
      </c>
    </row>
    <row r="10547" spans="1:26" x14ac:dyDescent="0.2">
      <c r="A10547" s="8">
        <v>10546</v>
      </c>
      <c r="B10547" s="8" t="s">
        <v>45107</v>
      </c>
      <c r="C10547" s="8" t="s">
        <v>45107</v>
      </c>
      <c r="G10547" s="8">
        <v>20</v>
      </c>
      <c r="H10547" s="8" t="s">
        <v>21</v>
      </c>
      <c r="I10547" s="8" t="s">
        <v>72</v>
      </c>
      <c r="J10547" s="8" t="s">
        <v>72</v>
      </c>
      <c r="K10547" s="8" t="s">
        <v>20</v>
      </c>
      <c r="L10547" s="8" t="s">
        <v>13194</v>
      </c>
      <c r="M10547" s="8" t="s">
        <v>13195</v>
      </c>
      <c r="N10547" s="8" t="s">
        <v>45108</v>
      </c>
      <c r="O10547" s="8">
        <f>11+18/60+29.2/3600</f>
        <v>11.308111111111112</v>
      </c>
      <c r="P10547" s="8" t="s">
        <v>45109</v>
      </c>
      <c r="Q10547" s="8">
        <f>+(12+32/60+56/3600)</f>
        <v>12.548888888888889</v>
      </c>
      <c r="R10547" s="8">
        <v>99</v>
      </c>
      <c r="S10547" s="8">
        <v>99</v>
      </c>
      <c r="T10547" s="8">
        <v>99</v>
      </c>
      <c r="U10547" s="8">
        <v>99</v>
      </c>
      <c r="Y10547" s="8" t="s">
        <v>21</v>
      </c>
      <c r="Z10547" s="8" t="s">
        <v>45110</v>
      </c>
    </row>
    <row r="10548" spans="1:26" x14ac:dyDescent="0.2">
      <c r="A10548" s="8">
        <v>10547</v>
      </c>
      <c r="B10548" s="8" t="s">
        <v>45111</v>
      </c>
      <c r="C10548" s="8" t="s">
        <v>45111</v>
      </c>
      <c r="G10548" s="8">
        <v>20</v>
      </c>
      <c r="H10548" s="8" t="s">
        <v>21</v>
      </c>
      <c r="I10548" s="8" t="s">
        <v>22</v>
      </c>
      <c r="J10548" s="8" t="s">
        <v>22</v>
      </c>
      <c r="K10548" s="8" t="s">
        <v>1068</v>
      </c>
      <c r="L10548" s="8" t="s">
        <v>13194</v>
      </c>
      <c r="M10548" s="8" t="s">
        <v>13195</v>
      </c>
      <c r="N10548" s="8" t="s">
        <v>45112</v>
      </c>
      <c r="O10548" s="8">
        <f>11+18/60+30.9/3600</f>
        <v>11.308583333333335</v>
      </c>
      <c r="P10548" s="8" t="s">
        <v>45113</v>
      </c>
      <c r="Q10548" s="8">
        <f>+(9+28/60+27/3600)</f>
        <v>9.4741666666666671</v>
      </c>
      <c r="R10548" s="8">
        <v>14.8</v>
      </c>
      <c r="S10548" s="8">
        <v>15.8</v>
      </c>
      <c r="T10548" s="8">
        <v>1</v>
      </c>
      <c r="U10548" s="8">
        <v>12.1</v>
      </c>
      <c r="V10548" s="8">
        <v>0.4</v>
      </c>
      <c r="W10548" s="8">
        <v>0.2</v>
      </c>
      <c r="X10548" s="8">
        <v>170</v>
      </c>
      <c r="Y10548" s="8" t="s">
        <v>21</v>
      </c>
      <c r="Z10548" s="8" t="s">
        <v>45114</v>
      </c>
    </row>
    <row r="10549" spans="1:26" x14ac:dyDescent="0.2">
      <c r="A10549" s="8">
        <v>10548</v>
      </c>
      <c r="B10549" s="8" t="s">
        <v>45115</v>
      </c>
      <c r="C10549" s="8" t="s">
        <v>45115</v>
      </c>
      <c r="G10549" s="8">
        <v>20</v>
      </c>
      <c r="H10549" s="8" t="s">
        <v>21</v>
      </c>
      <c r="I10549" s="8" t="s">
        <v>22</v>
      </c>
      <c r="J10549" s="8" t="s">
        <v>22</v>
      </c>
      <c r="K10549" s="8" t="s">
        <v>460</v>
      </c>
      <c r="L10549" s="8" t="s">
        <v>13194</v>
      </c>
      <c r="M10549" s="8" t="s">
        <v>13195</v>
      </c>
      <c r="N10549" s="8" t="s">
        <v>45116</v>
      </c>
      <c r="O10549" s="8">
        <f>11+18/60+34.5/3600</f>
        <v>11.309583333333334</v>
      </c>
      <c r="P10549" s="8" t="s">
        <v>45117</v>
      </c>
      <c r="Q10549" s="8">
        <f>+(12+42/60+42/3600)</f>
        <v>12.711666666666666</v>
      </c>
      <c r="R10549" s="8">
        <v>13.9</v>
      </c>
      <c r="S10549" s="8">
        <v>14.9</v>
      </c>
      <c r="T10549" s="8">
        <v>1</v>
      </c>
      <c r="U10549" s="8">
        <v>12.5</v>
      </c>
      <c r="V10549" s="8">
        <v>0.5</v>
      </c>
      <c r="W10549" s="8">
        <v>0.5</v>
      </c>
      <c r="Y10549" s="8" t="s">
        <v>8732</v>
      </c>
      <c r="Z10549" s="8" t="s">
        <v>8733</v>
      </c>
    </row>
    <row r="10550" spans="1:26" x14ac:dyDescent="0.2">
      <c r="A10550" s="8">
        <v>10549</v>
      </c>
      <c r="B10550" s="8" t="s">
        <v>45118</v>
      </c>
      <c r="C10550" s="8" t="s">
        <v>45118</v>
      </c>
      <c r="G10550" s="8">
        <v>20</v>
      </c>
      <c r="H10550" s="8" t="s">
        <v>21</v>
      </c>
      <c r="I10550" s="8" t="s">
        <v>329</v>
      </c>
      <c r="J10550" s="8" t="s">
        <v>329</v>
      </c>
      <c r="K10550" s="8" t="s">
        <v>329</v>
      </c>
      <c r="L10550" s="8" t="s">
        <v>13194</v>
      </c>
      <c r="M10550" s="8" t="s">
        <v>13195</v>
      </c>
      <c r="N10550" s="8" t="s">
        <v>45119</v>
      </c>
      <c r="O10550" s="8">
        <f>11+18/60+40.8/3600</f>
        <v>11.311333333333334</v>
      </c>
      <c r="P10550" s="8" t="s">
        <v>45120</v>
      </c>
      <c r="Q10550" s="8">
        <f>+(12+33/60+51/3600)</f>
        <v>12.564166666666667</v>
      </c>
      <c r="R10550" s="8">
        <v>99</v>
      </c>
      <c r="S10550" s="8">
        <v>99</v>
      </c>
      <c r="T10550" s="8">
        <v>99</v>
      </c>
      <c r="U10550" s="8">
        <v>99</v>
      </c>
      <c r="Y10550" s="8" t="s">
        <v>45121</v>
      </c>
      <c r="Z10550" s="8" t="s">
        <v>45122</v>
      </c>
    </row>
    <row r="10551" spans="1:26" x14ac:dyDescent="0.2">
      <c r="A10551" s="8">
        <v>10550</v>
      </c>
      <c r="B10551" s="8" t="s">
        <v>45123</v>
      </c>
      <c r="C10551" s="8" t="s">
        <v>45123</v>
      </c>
      <c r="G10551" s="8">
        <v>20</v>
      </c>
      <c r="H10551" s="8" t="s">
        <v>21</v>
      </c>
      <c r="I10551" s="8" t="s">
        <v>72</v>
      </c>
      <c r="J10551" s="8" t="s">
        <v>72</v>
      </c>
      <c r="K10551" s="8" t="s">
        <v>20</v>
      </c>
      <c r="L10551" s="8" t="s">
        <v>13194</v>
      </c>
      <c r="M10551" s="8" t="s">
        <v>13195</v>
      </c>
      <c r="N10551" s="8" t="s">
        <v>45124</v>
      </c>
      <c r="O10551" s="8">
        <f>11+18/60+44.4/3600</f>
        <v>11.312333333333335</v>
      </c>
      <c r="P10551" s="8" t="s">
        <v>45125</v>
      </c>
      <c r="Q10551" s="8">
        <f>+(13+34/60+2/3600)</f>
        <v>13.567222222222222</v>
      </c>
      <c r="R10551" s="8">
        <v>99</v>
      </c>
      <c r="S10551" s="8">
        <v>99</v>
      </c>
      <c r="T10551" s="8">
        <v>99</v>
      </c>
      <c r="U10551" s="8">
        <v>99</v>
      </c>
      <c r="Y10551" s="8" t="s">
        <v>45126</v>
      </c>
      <c r="Z10551" s="8" t="s">
        <v>45127</v>
      </c>
    </row>
    <row r="10552" spans="1:26" x14ac:dyDescent="0.2">
      <c r="A10552" s="8">
        <v>10551</v>
      </c>
      <c r="B10552" s="8" t="s">
        <v>45128</v>
      </c>
      <c r="C10552" s="8" t="s">
        <v>45128</v>
      </c>
      <c r="G10552" s="8">
        <v>20</v>
      </c>
      <c r="H10552" s="8" t="s">
        <v>21</v>
      </c>
      <c r="I10552" s="8" t="s">
        <v>72</v>
      </c>
      <c r="J10552" s="8" t="s">
        <v>72</v>
      </c>
      <c r="K10552" s="8" t="s">
        <v>20</v>
      </c>
      <c r="L10552" s="8" t="s">
        <v>13194</v>
      </c>
      <c r="M10552" s="8" t="s">
        <v>13195</v>
      </c>
      <c r="N10552" s="8" t="s">
        <v>45129</v>
      </c>
      <c r="O10552" s="8">
        <f>11+18/60+46.6/3600</f>
        <v>11.312944444444446</v>
      </c>
      <c r="P10552" s="8" t="s">
        <v>45130</v>
      </c>
      <c r="Q10552" s="8">
        <f>+(13+44/60+23/3600)</f>
        <v>13.739722222222222</v>
      </c>
      <c r="R10552" s="8">
        <v>99</v>
      </c>
      <c r="S10552" s="8">
        <v>99</v>
      </c>
      <c r="T10552" s="8">
        <v>99</v>
      </c>
      <c r="U10552" s="8">
        <v>99</v>
      </c>
      <c r="Y10552" s="8" t="s">
        <v>3952</v>
      </c>
      <c r="Z10552" s="8" t="s">
        <v>3953</v>
      </c>
    </row>
    <row r="10553" spans="1:26" x14ac:dyDescent="0.2">
      <c r="A10553" s="8">
        <v>10552</v>
      </c>
      <c r="B10553" s="8" t="s">
        <v>45131</v>
      </c>
      <c r="C10553" s="8" t="s">
        <v>45131</v>
      </c>
      <c r="G10553" s="8">
        <v>20</v>
      </c>
      <c r="H10553" s="8" t="s">
        <v>21</v>
      </c>
      <c r="I10553" s="8" t="s">
        <v>22</v>
      </c>
      <c r="J10553" s="8" t="s">
        <v>22</v>
      </c>
      <c r="K10553" s="8" t="s">
        <v>460</v>
      </c>
      <c r="L10553" s="8" t="s">
        <v>13194</v>
      </c>
      <c r="M10553" s="8" t="s">
        <v>13195</v>
      </c>
      <c r="N10553" s="8" t="s">
        <v>45132</v>
      </c>
      <c r="O10553" s="8">
        <f>11+18/60+52.7/3600</f>
        <v>11.31463888888889</v>
      </c>
      <c r="P10553" s="8" t="s">
        <v>45133</v>
      </c>
      <c r="Q10553" s="8">
        <f>+(9+37/60+38/3600)</f>
        <v>9.6272222222222226</v>
      </c>
      <c r="R10553" s="8">
        <v>15.7</v>
      </c>
      <c r="S10553" s="8">
        <v>16.7</v>
      </c>
      <c r="T10553" s="8">
        <v>1</v>
      </c>
      <c r="U10553" s="8">
        <v>12.3</v>
      </c>
      <c r="V10553" s="8">
        <v>0.2</v>
      </c>
      <c r="W10553" s="8">
        <v>0.2</v>
      </c>
      <c r="Y10553" s="8" t="s">
        <v>3952</v>
      </c>
      <c r="Z10553" s="8" t="s">
        <v>3953</v>
      </c>
    </row>
    <row r="10554" spans="1:26" x14ac:dyDescent="0.2">
      <c r="A10554" s="8">
        <v>10553</v>
      </c>
      <c r="B10554" s="8" t="s">
        <v>45134</v>
      </c>
      <c r="C10554" s="8" t="s">
        <v>45134</v>
      </c>
      <c r="G10554" s="8">
        <v>20</v>
      </c>
      <c r="H10554" s="8" t="s">
        <v>21</v>
      </c>
      <c r="I10554" s="8" t="s">
        <v>22</v>
      </c>
      <c r="J10554" s="8" t="s">
        <v>22</v>
      </c>
      <c r="K10554" s="8" t="s">
        <v>460</v>
      </c>
      <c r="L10554" s="8" t="s">
        <v>13194</v>
      </c>
      <c r="M10554" s="8" t="s">
        <v>13195</v>
      </c>
      <c r="N10554" s="8" t="s">
        <v>45135</v>
      </c>
      <c r="O10554" s="8">
        <f>11+19/60+10.2/3600</f>
        <v>11.3195</v>
      </c>
      <c r="P10554" s="8" t="s">
        <v>45136</v>
      </c>
      <c r="Q10554" s="8">
        <f>+(12+9/60+55/3600)</f>
        <v>12.165277777777778</v>
      </c>
      <c r="R10554" s="8">
        <v>15.9</v>
      </c>
      <c r="S10554" s="8">
        <v>16.899999999999999</v>
      </c>
      <c r="T10554" s="8">
        <v>1</v>
      </c>
      <c r="U10554" s="8">
        <v>13.4</v>
      </c>
      <c r="V10554" s="8">
        <v>0.3</v>
      </c>
      <c r="W10554" s="8">
        <v>0.3</v>
      </c>
      <c r="Y10554" s="8" t="s">
        <v>15316</v>
      </c>
      <c r="Z10554" s="8" t="s">
        <v>15317</v>
      </c>
    </row>
    <row r="10555" spans="1:26" x14ac:dyDescent="0.2">
      <c r="A10555" s="8">
        <v>10554</v>
      </c>
      <c r="B10555" s="8" t="s">
        <v>45137</v>
      </c>
      <c r="C10555" s="8" t="s">
        <v>45137</v>
      </c>
      <c r="G10555" s="8">
        <v>8</v>
      </c>
      <c r="H10555" s="8" t="s">
        <v>45138</v>
      </c>
      <c r="I10555" s="8" t="s">
        <v>557</v>
      </c>
      <c r="J10555" s="8" t="s">
        <v>557</v>
      </c>
      <c r="K10555" s="8" t="s">
        <v>3170</v>
      </c>
      <c r="L10555" s="8" t="s">
        <v>10135</v>
      </c>
      <c r="M10555" s="8" t="s">
        <v>10136</v>
      </c>
      <c r="N10555" s="8" t="s">
        <v>45139</v>
      </c>
      <c r="O10555" s="8">
        <f>11+17/60+22/3600</f>
        <v>11.289444444444444</v>
      </c>
      <c r="P10555" s="8" t="s">
        <v>45140</v>
      </c>
      <c r="Q10555" s="8">
        <f>-(62+43/60+18/3600)</f>
        <v>-62.721666666666671</v>
      </c>
      <c r="R10555" s="8">
        <v>8.1999999999999993</v>
      </c>
      <c r="S10555" s="8">
        <v>99</v>
      </c>
      <c r="T10555" s="8">
        <v>99</v>
      </c>
      <c r="U10555" s="8">
        <v>99</v>
      </c>
      <c r="V10555" s="8">
        <v>15</v>
      </c>
      <c r="Y10555" s="8" t="s">
        <v>1906</v>
      </c>
      <c r="Z10555" s="8" t="s">
        <v>1907</v>
      </c>
    </row>
    <row r="10556" spans="1:26" x14ac:dyDescent="0.2">
      <c r="A10556" s="8">
        <v>10555</v>
      </c>
      <c r="B10556" s="8" t="s">
        <v>45141</v>
      </c>
      <c r="C10556" s="8" t="s">
        <v>45141</v>
      </c>
      <c r="G10556" s="8">
        <v>20</v>
      </c>
      <c r="H10556" s="8" t="s">
        <v>21</v>
      </c>
      <c r="I10556" s="8" t="s">
        <v>329</v>
      </c>
      <c r="J10556" s="8" t="s">
        <v>329</v>
      </c>
      <c r="K10556" s="8" t="s">
        <v>329</v>
      </c>
      <c r="L10556" s="8" t="s">
        <v>13194</v>
      </c>
      <c r="M10556" s="8" t="s">
        <v>13195</v>
      </c>
      <c r="N10556" s="8" t="s">
        <v>45142</v>
      </c>
      <c r="O10556" s="8">
        <f>11+19/60+14.3/3600</f>
        <v>11.320638888888888</v>
      </c>
      <c r="P10556" s="8" t="s">
        <v>45143</v>
      </c>
      <c r="Q10556" s="8">
        <f>+(11+57/60+3/3600)</f>
        <v>11.950833333333332</v>
      </c>
      <c r="R10556" s="8">
        <v>99</v>
      </c>
      <c r="S10556" s="8">
        <v>99</v>
      </c>
      <c r="T10556" s="8">
        <v>99</v>
      </c>
      <c r="U10556" s="8">
        <v>99</v>
      </c>
      <c r="Y10556" s="8" t="s">
        <v>5139</v>
      </c>
      <c r="Z10556" s="8" t="s">
        <v>5140</v>
      </c>
    </row>
    <row r="10557" spans="1:26" x14ac:dyDescent="0.2">
      <c r="A10557" s="8">
        <v>10556</v>
      </c>
      <c r="B10557" s="8" t="s">
        <v>45144</v>
      </c>
      <c r="C10557" s="8" t="s">
        <v>45144</v>
      </c>
      <c r="G10557" s="8">
        <v>20</v>
      </c>
      <c r="H10557" s="8" t="s">
        <v>21</v>
      </c>
      <c r="I10557" s="8" t="s">
        <v>22</v>
      </c>
      <c r="J10557" s="8" t="s">
        <v>22</v>
      </c>
      <c r="K10557" s="8" t="s">
        <v>449</v>
      </c>
      <c r="L10557" s="8" t="s">
        <v>13194</v>
      </c>
      <c r="M10557" s="8" t="s">
        <v>13195</v>
      </c>
      <c r="N10557" s="8" t="s">
        <v>45145</v>
      </c>
      <c r="O10557" s="8">
        <f>11+19/60+16.3/3600</f>
        <v>11.321194444444444</v>
      </c>
      <c r="P10557" s="8" t="s">
        <v>45146</v>
      </c>
      <c r="Q10557" s="8">
        <f>+(11+41/60+55/3600)</f>
        <v>11.698611111111111</v>
      </c>
      <c r="R10557" s="8">
        <v>15.7</v>
      </c>
      <c r="S10557" s="8">
        <v>16.5</v>
      </c>
      <c r="T10557" s="8">
        <v>0.8</v>
      </c>
      <c r="U10557" s="8">
        <v>11.7</v>
      </c>
      <c r="V10557" s="8">
        <v>0.3</v>
      </c>
      <c r="W10557" s="8">
        <v>0.1</v>
      </c>
      <c r="X10557" s="8">
        <v>85</v>
      </c>
      <c r="Y10557" s="8" t="s">
        <v>5139</v>
      </c>
      <c r="Z10557" s="8" t="s">
        <v>5140</v>
      </c>
    </row>
    <row r="10558" spans="1:26" x14ac:dyDescent="0.2">
      <c r="A10558" s="8">
        <v>10557</v>
      </c>
      <c r="B10558" s="8" t="s">
        <v>45147</v>
      </c>
      <c r="C10558" s="8" t="s">
        <v>45147</v>
      </c>
      <c r="G10558" s="8">
        <v>20</v>
      </c>
      <c r="H10558" s="8" t="s">
        <v>21</v>
      </c>
      <c r="I10558" s="8" t="s">
        <v>72</v>
      </c>
      <c r="J10558" s="8" t="s">
        <v>72</v>
      </c>
      <c r="K10558" s="8" t="s">
        <v>20</v>
      </c>
      <c r="L10558" s="8" t="s">
        <v>13194</v>
      </c>
      <c r="M10558" s="8" t="s">
        <v>13195</v>
      </c>
      <c r="N10558" s="8" t="s">
        <v>45148</v>
      </c>
      <c r="O10558" s="8">
        <f>11+19/60+18.7/3600</f>
        <v>11.321861111111112</v>
      </c>
      <c r="P10558" s="8" t="s">
        <v>45149</v>
      </c>
      <c r="Q10558" s="8">
        <f>+(12+2/60+54/3600)</f>
        <v>12.048333333333334</v>
      </c>
      <c r="R10558" s="8">
        <v>99</v>
      </c>
      <c r="S10558" s="8">
        <v>99</v>
      </c>
      <c r="T10558" s="8">
        <v>99</v>
      </c>
      <c r="U10558" s="8">
        <v>99</v>
      </c>
      <c r="Y10558" s="8" t="s">
        <v>45150</v>
      </c>
      <c r="Z10558" s="8" t="s">
        <v>45151</v>
      </c>
    </row>
    <row r="10559" spans="1:26" x14ac:dyDescent="0.2">
      <c r="A10559" s="8">
        <v>10558</v>
      </c>
      <c r="B10559" s="8" t="s">
        <v>45152</v>
      </c>
      <c r="C10559" s="8" t="s">
        <v>45152</v>
      </c>
      <c r="G10559" s="8">
        <v>20</v>
      </c>
      <c r="H10559" s="8" t="s">
        <v>21</v>
      </c>
      <c r="I10559" s="8" t="s">
        <v>22</v>
      </c>
      <c r="J10559" s="8" t="s">
        <v>22</v>
      </c>
      <c r="K10559" s="8" t="s">
        <v>449</v>
      </c>
      <c r="L10559" s="8" t="s">
        <v>13194</v>
      </c>
      <c r="M10559" s="8" t="s">
        <v>13195</v>
      </c>
      <c r="N10559" s="8" t="s">
        <v>45153</v>
      </c>
      <c r="O10559" s="8">
        <f>11+19/60+20.9/3600</f>
        <v>11.322472222222222</v>
      </c>
      <c r="P10559" s="8" t="s">
        <v>45154</v>
      </c>
      <c r="Q10559" s="8">
        <f>+(12+1/60+21/3600)</f>
        <v>12.022500000000001</v>
      </c>
      <c r="R10559" s="8">
        <v>14.5</v>
      </c>
      <c r="S10559" s="8">
        <v>15.3</v>
      </c>
      <c r="T10559" s="8">
        <v>0.8</v>
      </c>
      <c r="U10559" s="8">
        <v>11.9</v>
      </c>
      <c r="V10559" s="8">
        <v>0.5</v>
      </c>
      <c r="W10559" s="8">
        <v>0.2</v>
      </c>
      <c r="X10559" s="8">
        <v>95</v>
      </c>
      <c r="Y10559" s="8" t="s">
        <v>45091</v>
      </c>
      <c r="Z10559" s="8" t="s">
        <v>45092</v>
      </c>
    </row>
    <row r="10560" spans="1:26" x14ac:dyDescent="0.2">
      <c r="A10560" s="8">
        <v>10559</v>
      </c>
      <c r="B10560" s="8" t="s">
        <v>45155</v>
      </c>
      <c r="C10560" s="8" t="s">
        <v>45155</v>
      </c>
      <c r="G10560" s="8">
        <v>20</v>
      </c>
      <c r="H10560" s="8" t="s">
        <v>21</v>
      </c>
      <c r="I10560" s="8" t="s">
        <v>22</v>
      </c>
      <c r="J10560" s="8" t="s">
        <v>22</v>
      </c>
      <c r="K10560" s="8" t="s">
        <v>424</v>
      </c>
      <c r="L10560" s="8" t="s">
        <v>13194</v>
      </c>
      <c r="M10560" s="8" t="s">
        <v>13195</v>
      </c>
      <c r="N10560" s="8" t="s">
        <v>45156</v>
      </c>
      <c r="O10560" s="8">
        <f>11+19/60+32.2/3600</f>
        <v>11.325611111111112</v>
      </c>
      <c r="P10560" s="8" t="s">
        <v>45157</v>
      </c>
      <c r="Q10560" s="8">
        <f>+(12+3/60+34/3600)</f>
        <v>12.059444444444445</v>
      </c>
      <c r="R10560" s="8">
        <v>16.7</v>
      </c>
      <c r="S10560" s="8">
        <v>17.7</v>
      </c>
      <c r="T10560" s="8">
        <v>99</v>
      </c>
      <c r="U10560" s="8">
        <v>99</v>
      </c>
      <c r="V10560" s="8">
        <v>0.2</v>
      </c>
      <c r="W10560" s="8">
        <v>0.2</v>
      </c>
      <c r="Y10560" s="8" t="s">
        <v>45158</v>
      </c>
      <c r="Z10560" s="8" t="s">
        <v>45159</v>
      </c>
    </row>
    <row r="10561" spans="1:26" x14ac:dyDescent="0.2">
      <c r="A10561" s="8">
        <v>10560</v>
      </c>
      <c r="B10561" s="8" t="s">
        <v>45160</v>
      </c>
      <c r="C10561" s="8" t="s">
        <v>45160</v>
      </c>
      <c r="G10561" s="8">
        <v>20</v>
      </c>
      <c r="H10561" s="8" t="s">
        <v>21</v>
      </c>
      <c r="I10561" s="8" t="s">
        <v>22</v>
      </c>
      <c r="J10561" s="8" t="s">
        <v>22</v>
      </c>
      <c r="K10561" s="8" t="s">
        <v>382</v>
      </c>
      <c r="L10561" s="8" t="s">
        <v>13194</v>
      </c>
      <c r="M10561" s="8" t="s">
        <v>13195</v>
      </c>
      <c r="N10561" s="8" t="s">
        <v>45161</v>
      </c>
      <c r="O10561" s="8">
        <f>11+19/60+35.6/3600</f>
        <v>11.326555555555556</v>
      </c>
      <c r="P10561" s="8" t="s">
        <v>45162</v>
      </c>
      <c r="Q10561" s="8">
        <f>+(12+4/60+37/3600)</f>
        <v>12.076944444444445</v>
      </c>
      <c r="R10561" s="8">
        <v>14.3</v>
      </c>
      <c r="S10561" s="8">
        <v>15.3</v>
      </c>
      <c r="T10561" s="8">
        <v>1</v>
      </c>
      <c r="U10561" s="8">
        <v>13.2</v>
      </c>
      <c r="V10561" s="8">
        <v>0.7</v>
      </c>
      <c r="W10561" s="8">
        <v>0.5</v>
      </c>
      <c r="X10561" s="8">
        <v>45</v>
      </c>
      <c r="Y10561" s="8" t="s">
        <v>15316</v>
      </c>
      <c r="Z10561" s="8" t="s">
        <v>15317</v>
      </c>
    </row>
    <row r="10562" spans="1:26" x14ac:dyDescent="0.2">
      <c r="A10562" s="8">
        <v>10561</v>
      </c>
      <c r="B10562" s="8" t="s">
        <v>45163</v>
      </c>
      <c r="C10562" s="8" t="s">
        <v>45163</v>
      </c>
      <c r="G10562" s="8">
        <v>20</v>
      </c>
      <c r="H10562" s="8" t="s">
        <v>21</v>
      </c>
      <c r="I10562" s="8" t="s">
        <v>329</v>
      </c>
      <c r="J10562" s="8" t="s">
        <v>329</v>
      </c>
      <c r="K10562" s="8" t="s">
        <v>329</v>
      </c>
      <c r="L10562" s="8" t="s">
        <v>13194</v>
      </c>
      <c r="M10562" s="8" t="s">
        <v>13195</v>
      </c>
      <c r="N10562" s="8" t="s">
        <v>45164</v>
      </c>
      <c r="O10562" s="8">
        <f>11+19/60+42.7/3600</f>
        <v>11.328527777777778</v>
      </c>
      <c r="P10562" s="8" t="s">
        <v>45165</v>
      </c>
      <c r="Q10562" s="8">
        <f>+(12+18/60+38/3600)</f>
        <v>12.310555555555556</v>
      </c>
      <c r="R10562" s="8">
        <v>99</v>
      </c>
      <c r="S10562" s="8">
        <v>99</v>
      </c>
      <c r="T10562" s="8">
        <v>99</v>
      </c>
      <c r="U10562" s="8">
        <v>99</v>
      </c>
      <c r="Y10562" s="8" t="s">
        <v>45166</v>
      </c>
      <c r="Z10562" s="8" t="s">
        <v>45167</v>
      </c>
    </row>
    <row r="10563" spans="1:26" x14ac:dyDescent="0.2">
      <c r="A10563" s="8">
        <v>10562</v>
      </c>
      <c r="B10563" s="8" t="s">
        <v>45168</v>
      </c>
      <c r="C10563" s="8" t="s">
        <v>45168</v>
      </c>
      <c r="G10563" s="8">
        <v>20</v>
      </c>
      <c r="H10563" s="8" t="s">
        <v>21</v>
      </c>
      <c r="I10563" s="8" t="s">
        <v>22</v>
      </c>
      <c r="J10563" s="8" t="s">
        <v>22</v>
      </c>
      <c r="K10563" s="8" t="s">
        <v>4743</v>
      </c>
      <c r="L10563" s="8" t="s">
        <v>13194</v>
      </c>
      <c r="M10563" s="8" t="s">
        <v>13195</v>
      </c>
      <c r="N10563" s="8" t="s">
        <v>45169</v>
      </c>
      <c r="O10563" s="8">
        <f>11+19/60+43.9/3600</f>
        <v>11.328861111111111</v>
      </c>
      <c r="P10563" s="8" t="s">
        <v>45170</v>
      </c>
      <c r="Q10563" s="8">
        <f>+(13+57/60+49/3600)</f>
        <v>13.96361111111111</v>
      </c>
      <c r="R10563" s="8">
        <v>14.8</v>
      </c>
      <c r="S10563" s="8">
        <v>15.8</v>
      </c>
      <c r="T10563" s="8">
        <v>1</v>
      </c>
      <c r="U10563" s="8">
        <v>12.8</v>
      </c>
      <c r="V10563" s="8">
        <v>0.5</v>
      </c>
      <c r="W10563" s="8">
        <v>0.3</v>
      </c>
      <c r="X10563" s="8">
        <v>90</v>
      </c>
      <c r="Y10563" s="8" t="s">
        <v>22305</v>
      </c>
      <c r="Z10563" s="8" t="s">
        <v>22306</v>
      </c>
    </row>
    <row r="10564" spans="1:26" x14ac:dyDescent="0.2">
      <c r="A10564" s="8">
        <v>10563</v>
      </c>
      <c r="B10564" s="8" t="s">
        <v>45171</v>
      </c>
      <c r="C10564" s="8" t="s">
        <v>45171</v>
      </c>
      <c r="G10564" s="8">
        <v>20</v>
      </c>
      <c r="H10564" s="8" t="s">
        <v>21</v>
      </c>
      <c r="I10564" s="8" t="s">
        <v>22</v>
      </c>
      <c r="J10564" s="8" t="s">
        <v>22</v>
      </c>
      <c r="K10564" s="8" t="s">
        <v>460</v>
      </c>
      <c r="L10564" s="8" t="s">
        <v>13194</v>
      </c>
      <c r="M10564" s="8" t="s">
        <v>13195</v>
      </c>
      <c r="N10564" s="8" t="s">
        <v>45172</v>
      </c>
      <c r="O10564" s="8">
        <f>11+19/60+47.9/3600</f>
        <v>11.329972222222223</v>
      </c>
      <c r="P10564" s="8" t="s">
        <v>45173</v>
      </c>
      <c r="Q10564" s="8">
        <f>+(12+1/60+59/3600)</f>
        <v>12.033055555555556</v>
      </c>
      <c r="R10564" s="8">
        <v>15.3</v>
      </c>
      <c r="S10564" s="8">
        <v>16.3</v>
      </c>
      <c r="T10564" s="8">
        <v>1</v>
      </c>
      <c r="U10564" s="8">
        <v>12.8</v>
      </c>
      <c r="V10564" s="8">
        <v>0.3</v>
      </c>
      <c r="W10564" s="8">
        <v>0.3</v>
      </c>
      <c r="Y10564" s="8" t="s">
        <v>45174</v>
      </c>
      <c r="Z10564" s="8" t="s">
        <v>45175</v>
      </c>
    </row>
    <row r="10565" spans="1:26" x14ac:dyDescent="0.2">
      <c r="A10565" s="8">
        <v>10564</v>
      </c>
      <c r="B10565" s="8" t="s">
        <v>45176</v>
      </c>
      <c r="C10565" s="8" t="s">
        <v>45176</v>
      </c>
      <c r="G10565" s="8">
        <v>20</v>
      </c>
      <c r="H10565" s="8" t="s">
        <v>21</v>
      </c>
      <c r="I10565" s="8" t="s">
        <v>22</v>
      </c>
      <c r="J10565" s="8" t="s">
        <v>22</v>
      </c>
      <c r="K10565" s="8" t="s">
        <v>460</v>
      </c>
      <c r="L10565" s="8" t="s">
        <v>13194</v>
      </c>
      <c r="M10565" s="8" t="s">
        <v>13195</v>
      </c>
      <c r="N10565" s="8" t="s">
        <v>45177</v>
      </c>
      <c r="O10565" s="8">
        <f>11+19/60+48.4/3600</f>
        <v>11.33011111111111</v>
      </c>
      <c r="P10565" s="8" t="s">
        <v>45178</v>
      </c>
      <c r="Q10565" s="8">
        <f>+(10+43/60+2/3600)</f>
        <v>10.717222222222222</v>
      </c>
      <c r="R10565" s="8">
        <v>15.9</v>
      </c>
      <c r="S10565" s="8">
        <v>16.899999999999999</v>
      </c>
      <c r="T10565" s="8">
        <v>1</v>
      </c>
      <c r="U10565" s="8">
        <v>12.5</v>
      </c>
      <c r="V10565" s="8">
        <v>0.2</v>
      </c>
      <c r="W10565" s="8">
        <v>0.2</v>
      </c>
      <c r="Y10565" s="8" t="s">
        <v>21</v>
      </c>
      <c r="Z10565" s="8" t="s">
        <v>45179</v>
      </c>
    </row>
    <row r="10566" spans="1:26" x14ac:dyDescent="0.2">
      <c r="A10566" s="8">
        <v>10565</v>
      </c>
      <c r="B10566" s="8" t="s">
        <v>45180</v>
      </c>
      <c r="C10566" s="8" t="s">
        <v>45180</v>
      </c>
      <c r="G10566" s="8">
        <v>20</v>
      </c>
      <c r="H10566" s="8" t="s">
        <v>21</v>
      </c>
      <c r="I10566" s="8" t="s">
        <v>22</v>
      </c>
      <c r="J10566" s="8" t="s">
        <v>22</v>
      </c>
      <c r="K10566" s="8" t="s">
        <v>460</v>
      </c>
      <c r="L10566" s="8" t="s">
        <v>13194</v>
      </c>
      <c r="M10566" s="8" t="s">
        <v>13195</v>
      </c>
      <c r="N10566" s="8" t="s">
        <v>45181</v>
      </c>
      <c r="O10566" s="8">
        <f>11+19/60+57.4/3600</f>
        <v>11.332611111111111</v>
      </c>
      <c r="P10566" s="8" t="s">
        <v>20237</v>
      </c>
      <c r="Q10566" s="8">
        <f>+(13+25/60+47/3600)</f>
        <v>13.429722222222221</v>
      </c>
      <c r="R10566" s="8">
        <v>16.600000000000001</v>
      </c>
      <c r="S10566" s="8">
        <v>17.600000000000001</v>
      </c>
      <c r="T10566" s="8">
        <v>1</v>
      </c>
      <c r="U10566" s="8">
        <v>14.7</v>
      </c>
      <c r="V10566" s="8">
        <v>0.4</v>
      </c>
      <c r="W10566" s="8">
        <v>0.4</v>
      </c>
      <c r="Y10566" s="8" t="s">
        <v>37393</v>
      </c>
      <c r="Z10566" s="8" t="s">
        <v>37394</v>
      </c>
    </row>
    <row r="10567" spans="1:26" x14ac:dyDescent="0.2">
      <c r="A10567" s="8">
        <v>10566</v>
      </c>
      <c r="B10567" s="8" t="s">
        <v>45182</v>
      </c>
      <c r="C10567" s="8" t="s">
        <v>45182</v>
      </c>
      <c r="G10567" s="8">
        <v>20</v>
      </c>
      <c r="H10567" s="8" t="s">
        <v>21</v>
      </c>
      <c r="I10567" s="8" t="s">
        <v>72</v>
      </c>
      <c r="J10567" s="8" t="s">
        <v>72</v>
      </c>
      <c r="K10567" s="8" t="s">
        <v>20</v>
      </c>
      <c r="L10567" s="8" t="s">
        <v>13194</v>
      </c>
      <c r="M10567" s="8" t="s">
        <v>13195</v>
      </c>
      <c r="N10567" s="8" t="s">
        <v>45183</v>
      </c>
      <c r="O10567" s="8">
        <f>11+19/60+58.5/3600</f>
        <v>11.332916666666666</v>
      </c>
      <c r="P10567" s="8" t="s">
        <v>45184</v>
      </c>
      <c r="Q10567" s="8">
        <f>+(13+24/60+56/3600)</f>
        <v>13.415555555555557</v>
      </c>
      <c r="R10567" s="8">
        <v>99</v>
      </c>
      <c r="S10567" s="8">
        <v>99</v>
      </c>
      <c r="T10567" s="8">
        <v>99</v>
      </c>
      <c r="U10567" s="8">
        <v>99</v>
      </c>
      <c r="Y10567" s="8" t="s">
        <v>45185</v>
      </c>
      <c r="Z10567" s="8" t="s">
        <v>45186</v>
      </c>
    </row>
    <row r="10568" spans="1:26" x14ac:dyDescent="0.2">
      <c r="A10568" s="8">
        <v>10567</v>
      </c>
      <c r="B10568" s="8" t="s">
        <v>45187</v>
      </c>
      <c r="C10568" s="8" t="s">
        <v>45187</v>
      </c>
      <c r="G10568" s="8">
        <v>20</v>
      </c>
      <c r="H10568" s="8" t="s">
        <v>21</v>
      </c>
      <c r="I10568" s="8" t="s">
        <v>22</v>
      </c>
      <c r="J10568" s="8" t="s">
        <v>22</v>
      </c>
      <c r="K10568" s="8" t="s">
        <v>460</v>
      </c>
      <c r="L10568" s="8" t="s">
        <v>13194</v>
      </c>
      <c r="M10568" s="8" t="s">
        <v>13195</v>
      </c>
      <c r="N10568" s="8" t="s">
        <v>45188</v>
      </c>
      <c r="O10568" s="8">
        <f>11+20/60+0/3600</f>
        <v>11.333333333333334</v>
      </c>
      <c r="P10568" s="8" t="s">
        <v>45173</v>
      </c>
      <c r="Q10568" s="8">
        <f>+(12+1/60+59/3600)</f>
        <v>12.033055555555556</v>
      </c>
      <c r="R10568" s="8">
        <v>15.2</v>
      </c>
      <c r="S10568" s="8">
        <v>16.2</v>
      </c>
      <c r="T10568" s="8">
        <v>1</v>
      </c>
      <c r="U10568" s="8">
        <v>13.3</v>
      </c>
      <c r="V10568" s="8">
        <v>0.4</v>
      </c>
      <c r="W10568" s="8">
        <v>0.4</v>
      </c>
      <c r="Y10568" s="8" t="s">
        <v>45189</v>
      </c>
      <c r="Z10568" s="8" t="s">
        <v>45190</v>
      </c>
    </row>
    <row r="10569" spans="1:26" x14ac:dyDescent="0.2">
      <c r="A10569" s="8">
        <v>10568</v>
      </c>
      <c r="B10569" s="8" t="s">
        <v>45191</v>
      </c>
      <c r="C10569" s="8" t="s">
        <v>45191</v>
      </c>
      <c r="G10569" s="8">
        <v>20</v>
      </c>
      <c r="H10569" s="8" t="s">
        <v>21</v>
      </c>
      <c r="I10569" s="8" t="s">
        <v>72</v>
      </c>
      <c r="J10569" s="8" t="s">
        <v>72</v>
      </c>
      <c r="K10569" s="8" t="s">
        <v>20</v>
      </c>
      <c r="L10569" s="8" t="s">
        <v>13194</v>
      </c>
      <c r="M10569" s="8" t="s">
        <v>13195</v>
      </c>
      <c r="N10569" s="8" t="s">
        <v>45192</v>
      </c>
      <c r="O10569" s="8">
        <f>11+20/60+5/3600</f>
        <v>11.334722222222222</v>
      </c>
      <c r="P10569" s="8" t="s">
        <v>45193</v>
      </c>
      <c r="Q10569" s="8">
        <f>+(13+25/60+38/3600)</f>
        <v>13.427222222222222</v>
      </c>
      <c r="R10569" s="8">
        <v>99</v>
      </c>
      <c r="S10569" s="8">
        <v>99</v>
      </c>
      <c r="T10569" s="8">
        <v>99</v>
      </c>
      <c r="U10569" s="8">
        <v>99</v>
      </c>
      <c r="Y10569" s="8" t="s">
        <v>45194</v>
      </c>
      <c r="Z10569" s="8" t="s">
        <v>45195</v>
      </c>
    </row>
    <row r="10570" spans="1:26" x14ac:dyDescent="0.2">
      <c r="A10570" s="8">
        <v>10569</v>
      </c>
      <c r="B10570" s="8" t="s">
        <v>45196</v>
      </c>
      <c r="C10570" s="8" t="s">
        <v>45196</v>
      </c>
      <c r="G10570" s="8">
        <v>20</v>
      </c>
      <c r="H10570" s="8" t="s">
        <v>21</v>
      </c>
      <c r="I10570" s="8" t="s">
        <v>22</v>
      </c>
      <c r="J10570" s="8" t="s">
        <v>22</v>
      </c>
      <c r="K10570" s="8" t="s">
        <v>449</v>
      </c>
      <c r="L10570" s="8" t="s">
        <v>13194</v>
      </c>
      <c r="M10570" s="8" t="s">
        <v>13195</v>
      </c>
      <c r="N10570" s="8" t="s">
        <v>45197</v>
      </c>
      <c r="O10570" s="8">
        <f>11+20/60+6.7/3600</f>
        <v>11.335194444444445</v>
      </c>
      <c r="P10570" s="8" t="s">
        <v>45198</v>
      </c>
      <c r="Q10570" s="8">
        <f>+(13+24/60+33/3600)</f>
        <v>13.409166666666668</v>
      </c>
      <c r="R10570" s="8">
        <v>15.4</v>
      </c>
      <c r="S10570" s="8">
        <v>16.2</v>
      </c>
      <c r="T10570" s="8">
        <v>0.8</v>
      </c>
      <c r="U10570" s="8">
        <v>11.4</v>
      </c>
      <c r="V10570" s="8">
        <v>0.3</v>
      </c>
      <c r="W10570" s="8">
        <v>0.1</v>
      </c>
      <c r="X10570" s="8">
        <v>175</v>
      </c>
      <c r="Y10570" s="8" t="s">
        <v>37393</v>
      </c>
      <c r="Z10570" s="8" t="s">
        <v>37394</v>
      </c>
    </row>
    <row r="10571" spans="1:26" x14ac:dyDescent="0.2">
      <c r="A10571" s="8">
        <v>10570</v>
      </c>
      <c r="B10571" s="8" t="s">
        <v>45199</v>
      </c>
      <c r="C10571" s="8" t="s">
        <v>45199</v>
      </c>
      <c r="G10571" s="8">
        <v>20</v>
      </c>
      <c r="H10571" s="8" t="s">
        <v>21</v>
      </c>
      <c r="I10571" s="8" t="s">
        <v>72</v>
      </c>
      <c r="J10571" s="8" t="s">
        <v>72</v>
      </c>
      <c r="K10571" s="8" t="s">
        <v>20</v>
      </c>
      <c r="L10571" s="8" t="s">
        <v>13194</v>
      </c>
      <c r="M10571" s="8" t="s">
        <v>13195</v>
      </c>
      <c r="N10571" s="8" t="s">
        <v>45200</v>
      </c>
      <c r="O10571" s="8">
        <f>11+20/60+7.4/3600</f>
        <v>11.33538888888889</v>
      </c>
      <c r="P10571" s="8" t="s">
        <v>45201</v>
      </c>
      <c r="Q10571" s="8">
        <f>+(12+22/60+0/3600)</f>
        <v>12.366666666666667</v>
      </c>
      <c r="R10571" s="8">
        <v>99</v>
      </c>
      <c r="S10571" s="8">
        <v>99</v>
      </c>
      <c r="T10571" s="8">
        <v>99</v>
      </c>
      <c r="U10571" s="8">
        <v>99</v>
      </c>
      <c r="Y10571" s="8" t="s">
        <v>45202</v>
      </c>
      <c r="Z10571" s="8" t="s">
        <v>45203</v>
      </c>
    </row>
    <row r="10572" spans="1:26" x14ac:dyDescent="0.2">
      <c r="A10572" s="8">
        <v>10571</v>
      </c>
      <c r="B10572" s="8" t="s">
        <v>45204</v>
      </c>
      <c r="C10572" s="8" t="s">
        <v>45204</v>
      </c>
      <c r="G10572" s="8">
        <v>20</v>
      </c>
      <c r="H10572" s="8" t="s">
        <v>21</v>
      </c>
      <c r="I10572" s="8" t="s">
        <v>72</v>
      </c>
      <c r="J10572" s="8" t="s">
        <v>72</v>
      </c>
      <c r="K10572" s="8" t="s">
        <v>20</v>
      </c>
      <c r="L10572" s="8" t="s">
        <v>13194</v>
      </c>
      <c r="M10572" s="8" t="s">
        <v>13195</v>
      </c>
      <c r="N10572" s="8" t="s">
        <v>45205</v>
      </c>
      <c r="O10572" s="8">
        <f>11+20/60+10.3/3600</f>
        <v>11.336194444444445</v>
      </c>
      <c r="P10572" s="8" t="s">
        <v>45206</v>
      </c>
      <c r="Q10572" s="8">
        <f>+(13+33/60+29/3600)</f>
        <v>13.558055555555557</v>
      </c>
      <c r="R10572" s="8">
        <v>99</v>
      </c>
      <c r="S10572" s="8">
        <v>99</v>
      </c>
      <c r="T10572" s="8">
        <v>99</v>
      </c>
      <c r="U10572" s="8">
        <v>99</v>
      </c>
      <c r="Y10572" s="8" t="s">
        <v>44849</v>
      </c>
      <c r="Z10572" s="8" t="s">
        <v>44850</v>
      </c>
    </row>
    <row r="10573" spans="1:26" x14ac:dyDescent="0.2">
      <c r="A10573" s="8">
        <v>10572</v>
      </c>
      <c r="B10573" s="8" t="s">
        <v>45207</v>
      </c>
      <c r="C10573" s="8" t="s">
        <v>45207</v>
      </c>
      <c r="G10573" s="8">
        <v>20</v>
      </c>
      <c r="H10573" s="8" t="s">
        <v>21</v>
      </c>
      <c r="I10573" s="8" t="s">
        <v>22</v>
      </c>
      <c r="J10573" s="8" t="s">
        <v>22</v>
      </c>
      <c r="K10573" s="8" t="s">
        <v>460</v>
      </c>
      <c r="L10573" s="8" t="s">
        <v>13194</v>
      </c>
      <c r="M10573" s="8" t="s">
        <v>13195</v>
      </c>
      <c r="N10573" s="8" t="s">
        <v>45208</v>
      </c>
      <c r="O10573" s="8">
        <f>11+20/60+12.4/3600</f>
        <v>11.336777777777778</v>
      </c>
      <c r="P10573" s="8" t="s">
        <v>45209</v>
      </c>
      <c r="Q10573" s="8">
        <f>+(12+24/60+14/3600)</f>
        <v>12.40388888888889</v>
      </c>
      <c r="R10573" s="8">
        <v>15.5</v>
      </c>
      <c r="S10573" s="8">
        <v>16.5</v>
      </c>
      <c r="T10573" s="8">
        <v>1</v>
      </c>
      <c r="U10573" s="8">
        <v>13</v>
      </c>
      <c r="V10573" s="8">
        <v>0.3</v>
      </c>
      <c r="W10573" s="8">
        <v>0.3</v>
      </c>
      <c r="Y10573" s="8" t="s">
        <v>2248</v>
      </c>
      <c r="Z10573" s="8" t="s">
        <v>2249</v>
      </c>
    </row>
    <row r="10574" spans="1:26" x14ac:dyDescent="0.2">
      <c r="A10574" s="8">
        <v>10573</v>
      </c>
      <c r="B10574" s="8" t="s">
        <v>45210</v>
      </c>
      <c r="C10574" s="8" t="s">
        <v>45210</v>
      </c>
      <c r="G10574" s="8">
        <v>20</v>
      </c>
      <c r="H10574" s="8" t="s">
        <v>21</v>
      </c>
      <c r="I10574" s="8" t="s">
        <v>72</v>
      </c>
      <c r="J10574" s="8" t="s">
        <v>72</v>
      </c>
      <c r="K10574" s="8" t="s">
        <v>73</v>
      </c>
      <c r="L10574" s="8" t="s">
        <v>13194</v>
      </c>
      <c r="M10574" s="8" t="s">
        <v>13195</v>
      </c>
      <c r="N10574" s="8" t="s">
        <v>45211</v>
      </c>
      <c r="O10574" s="8">
        <f>11+20/60+17.3/3600</f>
        <v>11.33813888888889</v>
      </c>
      <c r="P10574" s="8" t="s">
        <v>45212</v>
      </c>
      <c r="Q10574" s="8">
        <f>+(13+50/60+6/3600)</f>
        <v>13.835000000000001</v>
      </c>
      <c r="R10574" s="8">
        <v>99</v>
      </c>
      <c r="S10574" s="8">
        <v>99</v>
      </c>
      <c r="T10574" s="8">
        <v>99</v>
      </c>
      <c r="U10574" s="8">
        <v>99</v>
      </c>
      <c r="Y10574" s="8" t="s">
        <v>45213</v>
      </c>
      <c r="Z10574" s="8" t="s">
        <v>45214</v>
      </c>
    </row>
    <row r="10575" spans="1:26" x14ac:dyDescent="0.2">
      <c r="A10575" s="8">
        <v>10574</v>
      </c>
      <c r="B10575" s="8" t="s">
        <v>45215</v>
      </c>
      <c r="C10575" s="8" t="s">
        <v>45215</v>
      </c>
      <c r="G10575" s="8">
        <v>20</v>
      </c>
      <c r="H10575" s="8" t="s">
        <v>21</v>
      </c>
      <c r="I10575" s="8" t="s">
        <v>22</v>
      </c>
      <c r="J10575" s="8" t="s">
        <v>22</v>
      </c>
      <c r="K10575" s="8" t="s">
        <v>449</v>
      </c>
      <c r="L10575" s="8" t="s">
        <v>13194</v>
      </c>
      <c r="M10575" s="8" t="s">
        <v>13195</v>
      </c>
      <c r="N10575" s="8" t="s">
        <v>45216</v>
      </c>
      <c r="O10575" s="8">
        <f>11+20/60+23.8/3600</f>
        <v>11.339944444444445</v>
      </c>
      <c r="P10575" s="8" t="s">
        <v>45217</v>
      </c>
      <c r="Q10575" s="8">
        <f>+(12+26/60+35/3600)</f>
        <v>12.443055555555556</v>
      </c>
      <c r="R10575" s="8">
        <v>15</v>
      </c>
      <c r="S10575" s="8">
        <v>15.8</v>
      </c>
      <c r="T10575" s="8">
        <v>0.8</v>
      </c>
      <c r="U10575" s="8">
        <v>12.5</v>
      </c>
      <c r="V10575" s="8">
        <v>0.6</v>
      </c>
      <c r="W10575" s="8">
        <v>0.2</v>
      </c>
      <c r="X10575" s="8">
        <v>10</v>
      </c>
      <c r="Y10575" s="8" t="s">
        <v>45218</v>
      </c>
      <c r="Z10575" s="8" t="s">
        <v>45219</v>
      </c>
    </row>
    <row r="10576" spans="1:26" x14ac:dyDescent="0.2">
      <c r="A10576" s="8">
        <v>10575</v>
      </c>
      <c r="B10576" s="8" t="s">
        <v>45220</v>
      </c>
      <c r="C10576" s="8" t="s">
        <v>45220</v>
      </c>
      <c r="G10576" s="8">
        <v>20</v>
      </c>
      <c r="H10576" s="8" t="s">
        <v>21</v>
      </c>
      <c r="I10576" s="8" t="s">
        <v>22</v>
      </c>
      <c r="J10576" s="8" t="s">
        <v>22</v>
      </c>
      <c r="K10576" s="8" t="s">
        <v>31</v>
      </c>
      <c r="L10576" s="8" t="s">
        <v>12015</v>
      </c>
      <c r="M10576" s="8" t="s">
        <v>12016</v>
      </c>
      <c r="N10576" s="8" t="s">
        <v>45221</v>
      </c>
      <c r="O10576" s="8">
        <f>11+21/60+3.8/3600</f>
        <v>11.351055555555556</v>
      </c>
      <c r="P10576" s="8" t="s">
        <v>45222</v>
      </c>
      <c r="Q10576" s="8">
        <f>+(34+20/60+40/3600)</f>
        <v>34.344444444444449</v>
      </c>
      <c r="R10576" s="8">
        <v>14.6</v>
      </c>
      <c r="S10576" s="8">
        <v>15.4</v>
      </c>
      <c r="T10576" s="8">
        <v>0.8</v>
      </c>
      <c r="U10576" s="8">
        <v>12.7</v>
      </c>
      <c r="V10576" s="8">
        <v>1</v>
      </c>
      <c r="W10576" s="8">
        <v>0.2</v>
      </c>
      <c r="X10576" s="8">
        <v>100</v>
      </c>
      <c r="Y10576" s="8" t="s">
        <v>21</v>
      </c>
      <c r="Z10576" s="8" t="s">
        <v>45223</v>
      </c>
    </row>
    <row r="10577" spans="1:26" x14ac:dyDescent="0.2">
      <c r="A10577" s="8">
        <v>10576</v>
      </c>
      <c r="B10577" s="8" t="s">
        <v>45224</v>
      </c>
      <c r="C10577" s="8" t="s">
        <v>45224</v>
      </c>
      <c r="G10577" s="8">
        <v>20</v>
      </c>
      <c r="H10577" s="8" t="s">
        <v>21</v>
      </c>
      <c r="I10577" s="8" t="s">
        <v>72</v>
      </c>
      <c r="J10577" s="8" t="s">
        <v>72</v>
      </c>
      <c r="K10577" s="8" t="s">
        <v>20</v>
      </c>
      <c r="L10577" s="8" t="s">
        <v>13194</v>
      </c>
      <c r="M10577" s="8" t="s">
        <v>13195</v>
      </c>
      <c r="N10577" s="8" t="s">
        <v>45225</v>
      </c>
      <c r="O10577" s="8">
        <f>11+20/60+55/3600</f>
        <v>11.348611111111111</v>
      </c>
      <c r="P10577" s="8" t="s">
        <v>45226</v>
      </c>
      <c r="Q10577" s="8">
        <f>+(12+24/60+32/3600)</f>
        <v>12.408888888888889</v>
      </c>
      <c r="R10577" s="8">
        <v>99</v>
      </c>
      <c r="S10577" s="8">
        <v>99</v>
      </c>
      <c r="T10577" s="8">
        <v>99</v>
      </c>
      <c r="U10577" s="8">
        <v>99</v>
      </c>
      <c r="Y10577" s="8" t="s">
        <v>45158</v>
      </c>
      <c r="Z10577" s="8" t="s">
        <v>45159</v>
      </c>
    </row>
    <row r="10578" spans="1:26" x14ac:dyDescent="0.2">
      <c r="A10578" s="8">
        <v>10577</v>
      </c>
      <c r="B10578" s="8" t="s">
        <v>45227</v>
      </c>
      <c r="C10578" s="8" t="s">
        <v>45227</v>
      </c>
      <c r="G10578" s="8">
        <v>20</v>
      </c>
      <c r="H10578" s="8" t="s">
        <v>21</v>
      </c>
      <c r="I10578" s="8" t="s">
        <v>72</v>
      </c>
      <c r="J10578" s="8" t="s">
        <v>72</v>
      </c>
      <c r="K10578" s="8" t="s">
        <v>20</v>
      </c>
      <c r="L10578" s="8" t="s">
        <v>13194</v>
      </c>
      <c r="M10578" s="8" t="s">
        <v>13195</v>
      </c>
      <c r="N10578" s="8" t="s">
        <v>45228</v>
      </c>
      <c r="O10578" s="8">
        <f>11+21/60+8.2/3600</f>
        <v>11.352277777777777</v>
      </c>
      <c r="P10578" s="8" t="s">
        <v>45229</v>
      </c>
      <c r="Q10578" s="8">
        <f>+(14+17/60+36/3600)</f>
        <v>14.293333333333333</v>
      </c>
      <c r="R10578" s="8">
        <v>99</v>
      </c>
      <c r="S10578" s="8">
        <v>15.1</v>
      </c>
      <c r="T10578" s="8">
        <v>99</v>
      </c>
      <c r="U10578" s="8">
        <v>99</v>
      </c>
      <c r="Y10578" s="8" t="s">
        <v>21193</v>
      </c>
      <c r="Z10578" s="8" t="s">
        <v>21194</v>
      </c>
    </row>
    <row r="10579" spans="1:26" x14ac:dyDescent="0.2">
      <c r="A10579" s="8">
        <v>10578</v>
      </c>
      <c r="B10579" s="8" t="s">
        <v>45230</v>
      </c>
      <c r="C10579" s="8" t="s">
        <v>45230</v>
      </c>
      <c r="G10579" s="8">
        <v>20</v>
      </c>
      <c r="H10579" s="8" t="s">
        <v>21</v>
      </c>
      <c r="I10579" s="8" t="s">
        <v>22</v>
      </c>
      <c r="J10579" s="8" t="s">
        <v>22</v>
      </c>
      <c r="K10579" s="8" t="s">
        <v>632</v>
      </c>
      <c r="L10579" s="8" t="s">
        <v>12015</v>
      </c>
      <c r="M10579" s="8" t="s">
        <v>12016</v>
      </c>
      <c r="N10579" s="8" t="s">
        <v>45231</v>
      </c>
      <c r="O10579" s="8">
        <f>11+21/60+23/3600</f>
        <v>11.356388888888889</v>
      </c>
      <c r="P10579" s="8" t="s">
        <v>45232</v>
      </c>
      <c r="Q10579" s="8">
        <f>+(34+21/60+26/3600)</f>
        <v>34.357222222222227</v>
      </c>
      <c r="R10579" s="8">
        <v>14.4</v>
      </c>
      <c r="S10579" s="8">
        <v>15.3</v>
      </c>
      <c r="T10579" s="8">
        <v>0.9</v>
      </c>
      <c r="U10579" s="8">
        <v>13.5</v>
      </c>
      <c r="V10579" s="8">
        <v>0.7</v>
      </c>
      <c r="W10579" s="8">
        <v>0.7</v>
      </c>
      <c r="Y10579" s="8" t="s">
        <v>12301</v>
      </c>
      <c r="Z10579" s="8" t="s">
        <v>12302</v>
      </c>
    </row>
    <row r="10580" spans="1:26" x14ac:dyDescent="0.2">
      <c r="A10580" s="8">
        <v>10579</v>
      </c>
      <c r="B10580" s="8" t="s">
        <v>45233</v>
      </c>
      <c r="C10580" s="8" t="s">
        <v>45233</v>
      </c>
      <c r="G10580" s="8">
        <v>20</v>
      </c>
      <c r="H10580" s="8" t="s">
        <v>21</v>
      </c>
      <c r="I10580" s="8" t="s">
        <v>22</v>
      </c>
      <c r="J10580" s="8" t="s">
        <v>22</v>
      </c>
      <c r="K10580" s="8" t="s">
        <v>460</v>
      </c>
      <c r="L10580" s="8" t="s">
        <v>13194</v>
      </c>
      <c r="M10580" s="8" t="s">
        <v>13195</v>
      </c>
      <c r="N10580" s="8" t="s">
        <v>45234</v>
      </c>
      <c r="O10580" s="8">
        <f>11+21/60+12.4/3600</f>
        <v>11.353444444444444</v>
      </c>
      <c r="P10580" s="8" t="s">
        <v>45235</v>
      </c>
      <c r="Q10580" s="8">
        <f>+(11+54/60+52/3600)</f>
        <v>11.914444444444445</v>
      </c>
      <c r="R10580" s="8">
        <v>15.5</v>
      </c>
      <c r="S10580" s="8">
        <v>16.5</v>
      </c>
      <c r="T10580" s="8">
        <v>1</v>
      </c>
      <c r="U10580" s="8">
        <v>12.1</v>
      </c>
      <c r="V10580" s="8">
        <v>0.2</v>
      </c>
      <c r="W10580" s="8">
        <v>0.2</v>
      </c>
      <c r="Y10580" s="8" t="s">
        <v>21</v>
      </c>
      <c r="Z10580" s="8" t="s">
        <v>45236</v>
      </c>
    </row>
    <row r="10581" spans="1:26" x14ac:dyDescent="0.2">
      <c r="A10581" s="8">
        <v>10580</v>
      </c>
      <c r="B10581" s="8" t="s">
        <v>45237</v>
      </c>
      <c r="C10581" s="8" t="s">
        <v>45237</v>
      </c>
      <c r="G10581" s="8">
        <v>20</v>
      </c>
      <c r="H10581" s="8" t="s">
        <v>21</v>
      </c>
      <c r="I10581" s="8" t="s">
        <v>22</v>
      </c>
      <c r="J10581" s="8" t="s">
        <v>22</v>
      </c>
      <c r="K10581" s="8" t="s">
        <v>449</v>
      </c>
      <c r="L10581" s="8" t="s">
        <v>13194</v>
      </c>
      <c r="M10581" s="8" t="s">
        <v>13195</v>
      </c>
      <c r="N10581" s="8" t="s">
        <v>45238</v>
      </c>
      <c r="O10581" s="8">
        <f>11+21/60+17/3600</f>
        <v>11.354722222222222</v>
      </c>
      <c r="P10581" s="8" t="s">
        <v>45239</v>
      </c>
      <c r="Q10581" s="8">
        <f>+(8+45/60+6/3600)</f>
        <v>8.7516666666666669</v>
      </c>
      <c r="R10581" s="8">
        <v>15.7</v>
      </c>
      <c r="S10581" s="8">
        <v>16.5</v>
      </c>
      <c r="T10581" s="8">
        <v>0.8</v>
      </c>
      <c r="U10581" s="8">
        <v>12.5</v>
      </c>
      <c r="V10581" s="8">
        <v>0.3</v>
      </c>
      <c r="W10581" s="8">
        <v>0.2</v>
      </c>
      <c r="X10581" s="8">
        <v>50</v>
      </c>
      <c r="Y10581" s="8" t="s">
        <v>36640</v>
      </c>
      <c r="Z10581" s="8" t="s">
        <v>36641</v>
      </c>
    </row>
    <row r="10582" spans="1:26" x14ac:dyDescent="0.2">
      <c r="A10582" s="8">
        <v>10581</v>
      </c>
      <c r="B10582" s="8" t="s">
        <v>45240</v>
      </c>
      <c r="C10582" s="8" t="s">
        <v>45240</v>
      </c>
      <c r="G10582" s="8">
        <v>20</v>
      </c>
      <c r="H10582" s="8" t="s">
        <v>21</v>
      </c>
      <c r="I10582" s="8" t="s">
        <v>22</v>
      </c>
      <c r="J10582" s="8" t="s">
        <v>22</v>
      </c>
      <c r="K10582" s="8" t="s">
        <v>449</v>
      </c>
      <c r="L10582" s="8" t="s">
        <v>13194</v>
      </c>
      <c r="M10582" s="8" t="s">
        <v>13195</v>
      </c>
      <c r="N10582" s="8" t="s">
        <v>45241</v>
      </c>
      <c r="O10582" s="8">
        <f>11+21/60+17.5/3600</f>
        <v>11.354861111111111</v>
      </c>
      <c r="P10582" s="8" t="s">
        <v>45242</v>
      </c>
      <c r="Q10582" s="8">
        <f>+(9+9/60+11/3600)</f>
        <v>9.1530555555555555</v>
      </c>
      <c r="R10582" s="8">
        <v>16.2</v>
      </c>
      <c r="S10582" s="8">
        <v>17</v>
      </c>
      <c r="T10582" s="8">
        <v>0.8</v>
      </c>
      <c r="U10582" s="8">
        <v>12.6</v>
      </c>
      <c r="V10582" s="8">
        <v>0.2</v>
      </c>
      <c r="W10582" s="8">
        <v>0.2</v>
      </c>
      <c r="Y10582" s="8" t="s">
        <v>21</v>
      </c>
      <c r="Z10582" s="8" t="s">
        <v>45243</v>
      </c>
    </row>
    <row r="10583" spans="1:26" x14ac:dyDescent="0.2">
      <c r="A10583" s="8">
        <v>10582</v>
      </c>
      <c r="B10583" s="8" t="s">
        <v>45244</v>
      </c>
      <c r="C10583" s="8" t="s">
        <v>45244</v>
      </c>
      <c r="G10583" s="8">
        <v>20</v>
      </c>
      <c r="H10583" s="8" t="s">
        <v>21</v>
      </c>
      <c r="I10583" s="8" t="s">
        <v>22</v>
      </c>
      <c r="J10583" s="8" t="s">
        <v>22</v>
      </c>
      <c r="K10583" s="8" t="s">
        <v>449</v>
      </c>
      <c r="L10583" s="8" t="s">
        <v>13194</v>
      </c>
      <c r="M10583" s="8" t="s">
        <v>13195</v>
      </c>
      <c r="N10583" s="8" t="s">
        <v>45245</v>
      </c>
      <c r="O10583" s="8">
        <f>11+21/60+18.6/3600</f>
        <v>11.355166666666666</v>
      </c>
      <c r="P10583" s="8" t="s">
        <v>9914</v>
      </c>
      <c r="Q10583" s="8">
        <f>+(10+26/60+47/3600)</f>
        <v>10.446388888888889</v>
      </c>
      <c r="R10583" s="8">
        <v>16.2</v>
      </c>
      <c r="S10583" s="8">
        <v>17</v>
      </c>
      <c r="T10583" s="8">
        <v>0.8</v>
      </c>
      <c r="U10583" s="8">
        <v>12.2</v>
      </c>
      <c r="V10583" s="8">
        <v>0.3</v>
      </c>
      <c r="W10583" s="8">
        <v>0.1</v>
      </c>
      <c r="X10583" s="8">
        <v>45</v>
      </c>
      <c r="Y10583" s="8" t="s">
        <v>22305</v>
      </c>
      <c r="Z10583" s="8" t="s">
        <v>22306</v>
      </c>
    </row>
    <row r="10584" spans="1:26" x14ac:dyDescent="0.2">
      <c r="A10584" s="8">
        <v>10583</v>
      </c>
      <c r="B10584" s="8" t="s">
        <v>45246</v>
      </c>
      <c r="C10584" s="8" t="s">
        <v>45246</v>
      </c>
      <c r="G10584" s="8">
        <v>20</v>
      </c>
      <c r="H10584" s="8" t="s">
        <v>21</v>
      </c>
      <c r="I10584" s="8" t="s">
        <v>72</v>
      </c>
      <c r="J10584" s="8" t="s">
        <v>72</v>
      </c>
      <c r="K10584" s="8" t="s">
        <v>20</v>
      </c>
      <c r="L10584" s="8" t="s">
        <v>13194</v>
      </c>
      <c r="M10584" s="8" t="s">
        <v>13195</v>
      </c>
      <c r="N10584" s="8" t="s">
        <v>45247</v>
      </c>
      <c r="O10584" s="8">
        <f>11+21/60+25/3600</f>
        <v>11.356944444444444</v>
      </c>
      <c r="P10584" s="8" t="s">
        <v>45248</v>
      </c>
      <c r="Q10584" s="8">
        <f>+(8+41/60+35/3600)</f>
        <v>8.6930555555555564</v>
      </c>
      <c r="R10584" s="8">
        <v>99</v>
      </c>
      <c r="S10584" s="8">
        <v>99</v>
      </c>
      <c r="T10584" s="8">
        <v>99</v>
      </c>
      <c r="U10584" s="8">
        <v>99</v>
      </c>
      <c r="Y10584" s="8" t="s">
        <v>44926</v>
      </c>
      <c r="Z10584" s="8" t="s">
        <v>44927</v>
      </c>
    </row>
    <row r="10585" spans="1:26" x14ac:dyDescent="0.2">
      <c r="A10585" s="8">
        <v>10584</v>
      </c>
      <c r="B10585" s="8" t="s">
        <v>45249</v>
      </c>
      <c r="C10585" s="8" t="s">
        <v>45249</v>
      </c>
      <c r="G10585" s="8">
        <v>20</v>
      </c>
      <c r="H10585" s="8" t="s">
        <v>21</v>
      </c>
      <c r="I10585" s="8" t="s">
        <v>22</v>
      </c>
      <c r="J10585" s="8" t="s">
        <v>22</v>
      </c>
      <c r="K10585" s="8" t="s">
        <v>37</v>
      </c>
      <c r="L10585" s="8" t="s">
        <v>12015</v>
      </c>
      <c r="M10585" s="8" t="s">
        <v>12016</v>
      </c>
      <c r="N10585" s="8" t="s">
        <v>45250</v>
      </c>
      <c r="O10585" s="8">
        <f>11+21/60+42.6/3600</f>
        <v>11.361833333333333</v>
      </c>
      <c r="P10585" s="8" t="s">
        <v>45251</v>
      </c>
      <c r="Q10585" s="8">
        <f>+(34+21/60+46/3600)</f>
        <v>34.362777777777779</v>
      </c>
      <c r="R10585" s="8">
        <v>14.5</v>
      </c>
      <c r="S10585" s="8">
        <v>15.5</v>
      </c>
      <c r="T10585" s="8">
        <v>1</v>
      </c>
      <c r="U10585" s="8">
        <v>12.9</v>
      </c>
      <c r="V10585" s="8">
        <v>0.5</v>
      </c>
      <c r="W10585" s="8">
        <v>0.5</v>
      </c>
      <c r="Y10585" s="8" t="s">
        <v>39828</v>
      </c>
      <c r="Z10585" s="8" t="s">
        <v>39846</v>
      </c>
    </row>
    <row r="10586" spans="1:26" x14ac:dyDescent="0.2">
      <c r="A10586" s="8">
        <v>10585</v>
      </c>
      <c r="B10586" s="8" t="s">
        <v>45252</v>
      </c>
      <c r="C10586" s="8" t="s">
        <v>45252</v>
      </c>
      <c r="G10586" s="8">
        <v>20</v>
      </c>
      <c r="H10586" s="8" t="s">
        <v>21</v>
      </c>
      <c r="I10586" s="8" t="s">
        <v>22</v>
      </c>
      <c r="J10586" s="8" t="s">
        <v>22</v>
      </c>
      <c r="K10586" s="8" t="s">
        <v>449</v>
      </c>
      <c r="L10586" s="8" t="s">
        <v>13194</v>
      </c>
      <c r="M10586" s="8" t="s">
        <v>13195</v>
      </c>
      <c r="N10586" s="8" t="s">
        <v>37399</v>
      </c>
      <c r="O10586" s="8">
        <f>11+21/60+31.7/3600</f>
        <v>11.358805555555556</v>
      </c>
      <c r="P10586" s="8" t="s">
        <v>45253</v>
      </c>
      <c r="Q10586" s="8">
        <f>+(13+25/60+37/3600)</f>
        <v>13.426944444444445</v>
      </c>
      <c r="R10586" s="8">
        <v>14.5</v>
      </c>
      <c r="S10586" s="8">
        <v>15.3</v>
      </c>
      <c r="T10586" s="8">
        <v>0.8</v>
      </c>
      <c r="U10586" s="8">
        <v>12.7</v>
      </c>
      <c r="V10586" s="8">
        <v>0.7</v>
      </c>
      <c r="W10586" s="8">
        <v>0.3</v>
      </c>
      <c r="X10586" s="8">
        <v>67</v>
      </c>
      <c r="Y10586" s="8" t="s">
        <v>21</v>
      </c>
      <c r="Z10586" s="8" t="s">
        <v>45254</v>
      </c>
    </row>
    <row r="10587" spans="1:26" x14ac:dyDescent="0.2">
      <c r="A10587" s="8">
        <v>10586</v>
      </c>
      <c r="B10587" s="8" t="s">
        <v>45255</v>
      </c>
      <c r="C10587" s="8" t="s">
        <v>45255</v>
      </c>
      <c r="G10587" s="8">
        <v>20</v>
      </c>
      <c r="H10587" s="8" t="s">
        <v>21</v>
      </c>
      <c r="I10587" s="8" t="s">
        <v>22</v>
      </c>
      <c r="J10587" s="8" t="s">
        <v>22</v>
      </c>
      <c r="K10587" s="8" t="s">
        <v>424</v>
      </c>
      <c r="L10587" s="8" t="s">
        <v>13194</v>
      </c>
      <c r="M10587" s="8" t="s">
        <v>13195</v>
      </c>
      <c r="N10587" s="8" t="s">
        <v>45256</v>
      </c>
      <c r="O10587" s="8">
        <f>11+21/60+36.4/3600</f>
        <v>11.360111111111111</v>
      </c>
      <c r="P10587" s="8" t="s">
        <v>45257</v>
      </c>
      <c r="Q10587" s="8">
        <f>+(11+44/60+12/3600)</f>
        <v>11.736666666666666</v>
      </c>
      <c r="R10587" s="8">
        <v>15.3</v>
      </c>
      <c r="S10587" s="8">
        <v>16.3</v>
      </c>
      <c r="T10587" s="8">
        <v>1</v>
      </c>
      <c r="U10587" s="8">
        <v>12.1</v>
      </c>
      <c r="V10587" s="8">
        <v>0.3</v>
      </c>
      <c r="W10587" s="8">
        <v>0.2</v>
      </c>
      <c r="X10587" s="8">
        <v>160</v>
      </c>
      <c r="Y10587" s="8" t="s">
        <v>3952</v>
      </c>
      <c r="Z10587" s="8" t="s">
        <v>3953</v>
      </c>
    </row>
    <row r="10588" spans="1:26" x14ac:dyDescent="0.2">
      <c r="A10588" s="8">
        <v>10587</v>
      </c>
      <c r="B10588" s="8" t="s">
        <v>45258</v>
      </c>
      <c r="C10588" s="8" t="s">
        <v>45258</v>
      </c>
      <c r="G10588" s="8">
        <v>20</v>
      </c>
      <c r="H10588" s="8" t="s">
        <v>21</v>
      </c>
      <c r="I10588" s="8" t="s">
        <v>72</v>
      </c>
      <c r="J10588" s="8" t="s">
        <v>72</v>
      </c>
      <c r="K10588" s="8" t="s">
        <v>20</v>
      </c>
      <c r="L10588" s="8" t="s">
        <v>13194</v>
      </c>
      <c r="M10588" s="8" t="s">
        <v>13195</v>
      </c>
      <c r="N10588" s="8" t="s">
        <v>45259</v>
      </c>
      <c r="O10588" s="8">
        <f>11+21/60+39.9/3600</f>
        <v>11.361083333333333</v>
      </c>
      <c r="P10588" s="8" t="s">
        <v>45260</v>
      </c>
      <c r="Q10588" s="8">
        <f>+(8+48/60+16/3600)</f>
        <v>8.8044444444444458</v>
      </c>
      <c r="R10588" s="8">
        <v>99</v>
      </c>
      <c r="S10588" s="8">
        <v>99</v>
      </c>
      <c r="T10588" s="8">
        <v>99</v>
      </c>
      <c r="U10588" s="8">
        <v>99</v>
      </c>
      <c r="Y10588" s="8" t="s">
        <v>45261</v>
      </c>
      <c r="Z10588" s="8" t="s">
        <v>45262</v>
      </c>
    </row>
    <row r="10589" spans="1:26" x14ac:dyDescent="0.2">
      <c r="A10589" s="8">
        <v>10588</v>
      </c>
      <c r="B10589" s="8" t="s">
        <v>45263</v>
      </c>
      <c r="C10589" s="8" t="s">
        <v>45263</v>
      </c>
      <c r="G10589" s="8">
        <v>20</v>
      </c>
      <c r="H10589" s="8" t="s">
        <v>21</v>
      </c>
      <c r="I10589" s="8" t="s">
        <v>22</v>
      </c>
      <c r="J10589" s="8" t="s">
        <v>22</v>
      </c>
      <c r="K10589" s="8" t="s">
        <v>382</v>
      </c>
      <c r="L10589" s="8" t="s">
        <v>13194</v>
      </c>
      <c r="M10589" s="8" t="s">
        <v>13195</v>
      </c>
      <c r="N10589" s="8" t="s">
        <v>45264</v>
      </c>
      <c r="O10589" s="8">
        <f>11+21/60+44.1/3600</f>
        <v>11.36225</v>
      </c>
      <c r="P10589" s="8" t="s">
        <v>45265</v>
      </c>
      <c r="Q10589" s="8">
        <f>+(8+48/60+20/3600)</f>
        <v>8.8055555555555571</v>
      </c>
      <c r="R10589" s="8">
        <v>16.100000000000001</v>
      </c>
      <c r="S10589" s="8">
        <v>17.100000000000001</v>
      </c>
      <c r="T10589" s="8">
        <v>1</v>
      </c>
      <c r="U10589" s="8">
        <v>13.9</v>
      </c>
      <c r="V10589" s="8">
        <v>0.4</v>
      </c>
      <c r="W10589" s="8">
        <v>0.3</v>
      </c>
      <c r="X10589" s="8">
        <v>60</v>
      </c>
      <c r="Y10589" s="8" t="s">
        <v>45091</v>
      </c>
      <c r="Z10589" s="8" t="s">
        <v>45092</v>
      </c>
    </row>
    <row r="10590" spans="1:26" x14ac:dyDescent="0.2">
      <c r="A10590" s="8">
        <v>10589</v>
      </c>
      <c r="B10590" s="8" t="s">
        <v>45266</v>
      </c>
      <c r="C10590" s="8" t="s">
        <v>45266</v>
      </c>
      <c r="G10590" s="8">
        <v>20</v>
      </c>
      <c r="H10590" s="8" t="s">
        <v>21</v>
      </c>
      <c r="I10590" s="8" t="s">
        <v>22</v>
      </c>
      <c r="J10590" s="8" t="s">
        <v>22</v>
      </c>
      <c r="K10590" s="8" t="s">
        <v>160</v>
      </c>
      <c r="L10590" s="8" t="s">
        <v>13194</v>
      </c>
      <c r="M10590" s="8" t="s">
        <v>13195</v>
      </c>
      <c r="N10590" s="8" t="s">
        <v>45267</v>
      </c>
      <c r="O10590" s="8">
        <f>11+21/60+45.2/3600</f>
        <v>11.362555555555556</v>
      </c>
      <c r="P10590" s="8" t="s">
        <v>45268</v>
      </c>
      <c r="Q10590" s="8">
        <f>+(8+34/60+30/3600)</f>
        <v>8.5749999999999993</v>
      </c>
      <c r="R10590" s="8">
        <v>14.6</v>
      </c>
      <c r="S10590" s="8">
        <v>15.3</v>
      </c>
      <c r="T10590" s="8">
        <v>0.7</v>
      </c>
      <c r="U10590" s="8">
        <v>12.6</v>
      </c>
      <c r="V10590" s="8">
        <v>0.6</v>
      </c>
      <c r="W10590" s="8">
        <v>0.3</v>
      </c>
      <c r="X10590" s="8">
        <v>90</v>
      </c>
      <c r="Y10590" s="8" t="s">
        <v>21</v>
      </c>
      <c r="Z10590" s="8" t="s">
        <v>45269</v>
      </c>
    </row>
    <row r="10591" spans="1:26" x14ac:dyDescent="0.2">
      <c r="A10591" s="8">
        <v>10590</v>
      </c>
      <c r="B10591" s="8" t="s">
        <v>45270</v>
      </c>
      <c r="C10591" s="8" t="s">
        <v>45270</v>
      </c>
      <c r="G10591" s="8">
        <v>20</v>
      </c>
      <c r="H10591" s="8" t="s">
        <v>21</v>
      </c>
      <c r="I10591" s="8" t="s">
        <v>22</v>
      </c>
      <c r="J10591" s="8" t="s">
        <v>22</v>
      </c>
      <c r="K10591" s="8" t="s">
        <v>449</v>
      </c>
      <c r="L10591" s="8" t="s">
        <v>13194</v>
      </c>
      <c r="M10591" s="8" t="s">
        <v>13195</v>
      </c>
      <c r="N10591" s="8" t="s">
        <v>45271</v>
      </c>
      <c r="O10591" s="8">
        <f>11+21/60+50.7/3600</f>
        <v>11.364083333333333</v>
      </c>
      <c r="P10591" s="8" t="s">
        <v>45272</v>
      </c>
      <c r="Q10591" s="8">
        <f>+(9+39/60+30/3600)</f>
        <v>9.6583333333333332</v>
      </c>
      <c r="R10591" s="8">
        <v>15.7</v>
      </c>
      <c r="S10591" s="8">
        <v>16.5</v>
      </c>
      <c r="T10591" s="8">
        <v>0.8</v>
      </c>
      <c r="U10591" s="8">
        <v>11.7</v>
      </c>
      <c r="V10591" s="8">
        <v>0.3</v>
      </c>
      <c r="W10591" s="8">
        <v>0.1</v>
      </c>
      <c r="X10591" s="8">
        <v>45</v>
      </c>
      <c r="Y10591" s="8" t="s">
        <v>3932</v>
      </c>
      <c r="Z10591" s="8" t="s">
        <v>3933</v>
      </c>
    </row>
    <row r="10592" spans="1:26" x14ac:dyDescent="0.2">
      <c r="A10592" s="8">
        <v>10591</v>
      </c>
      <c r="B10592" s="8" t="s">
        <v>45273</v>
      </c>
      <c r="C10592" s="8" t="s">
        <v>45273</v>
      </c>
      <c r="G10592" s="8">
        <v>20</v>
      </c>
      <c r="H10592" s="8" t="s">
        <v>21</v>
      </c>
      <c r="I10592" s="8" t="s">
        <v>22</v>
      </c>
      <c r="J10592" s="8" t="s">
        <v>22</v>
      </c>
      <c r="K10592" s="8" t="s">
        <v>476</v>
      </c>
      <c r="L10592" s="8" t="s">
        <v>12015</v>
      </c>
      <c r="M10592" s="8" t="s">
        <v>12016</v>
      </c>
      <c r="N10592" s="8" t="s">
        <v>45274</v>
      </c>
      <c r="O10592" s="8">
        <f>11+22/60+7.4/3600</f>
        <v>11.368722222222223</v>
      </c>
      <c r="P10592" s="8" t="s">
        <v>45275</v>
      </c>
      <c r="Q10592" s="8">
        <f>+(34+21/60+59/3600)</f>
        <v>34.366388888888892</v>
      </c>
      <c r="R10592" s="8">
        <v>14.9</v>
      </c>
      <c r="S10592" s="8">
        <v>15.8</v>
      </c>
      <c r="T10592" s="8">
        <v>0.9</v>
      </c>
      <c r="U10592" s="8">
        <v>13.4</v>
      </c>
      <c r="V10592" s="8">
        <v>0.6</v>
      </c>
      <c r="W10592" s="8">
        <v>0.5</v>
      </c>
      <c r="Y10592" s="8" t="s">
        <v>21</v>
      </c>
      <c r="Z10592" s="8" t="s">
        <v>45276</v>
      </c>
    </row>
    <row r="10593" spans="1:26" x14ac:dyDescent="0.2">
      <c r="A10593" s="8">
        <v>10592</v>
      </c>
      <c r="B10593" s="8" t="s">
        <v>45277</v>
      </c>
      <c r="C10593" s="8" t="s">
        <v>45277</v>
      </c>
      <c r="G10593" s="8">
        <v>20</v>
      </c>
      <c r="H10593" s="8" t="s">
        <v>21</v>
      </c>
      <c r="I10593" s="8" t="s">
        <v>22</v>
      </c>
      <c r="J10593" s="8" t="s">
        <v>22</v>
      </c>
      <c r="K10593" s="8" t="s">
        <v>449</v>
      </c>
      <c r="L10593" s="8" t="s">
        <v>13194</v>
      </c>
      <c r="M10593" s="8" t="s">
        <v>13195</v>
      </c>
      <c r="N10593" s="8" t="s">
        <v>45278</v>
      </c>
      <c r="O10593" s="8">
        <f>11+22/60+2/3600</f>
        <v>11.367222222222223</v>
      </c>
      <c r="P10593" s="8" t="s">
        <v>45279</v>
      </c>
      <c r="Q10593" s="8">
        <f>+(14+7/60+28/3600)</f>
        <v>14.124444444444444</v>
      </c>
      <c r="R10593" s="8">
        <v>15.2</v>
      </c>
      <c r="S10593" s="8">
        <v>16</v>
      </c>
      <c r="T10593" s="8">
        <v>0.8</v>
      </c>
      <c r="U10593" s="8">
        <v>11.8</v>
      </c>
      <c r="V10593" s="8">
        <v>0.5</v>
      </c>
      <c r="W10593" s="8">
        <v>0.1</v>
      </c>
      <c r="X10593" s="8">
        <v>100</v>
      </c>
      <c r="Y10593" s="8" t="s">
        <v>2641</v>
      </c>
      <c r="Z10593" s="8" t="s">
        <v>2642</v>
      </c>
    </row>
    <row r="10594" spans="1:26" x14ac:dyDescent="0.2">
      <c r="A10594" s="8">
        <v>10593</v>
      </c>
      <c r="B10594" s="8" t="s">
        <v>45280</v>
      </c>
      <c r="C10594" s="8" t="s">
        <v>45280</v>
      </c>
      <c r="G10594" s="8">
        <v>20</v>
      </c>
      <c r="H10594" s="8" t="s">
        <v>21</v>
      </c>
      <c r="I10594" s="8" t="s">
        <v>22</v>
      </c>
      <c r="J10594" s="8" t="s">
        <v>22</v>
      </c>
      <c r="K10594" s="8" t="s">
        <v>424</v>
      </c>
      <c r="L10594" s="8" t="s">
        <v>13194</v>
      </c>
      <c r="M10594" s="8" t="s">
        <v>13195</v>
      </c>
      <c r="N10594" s="8" t="s">
        <v>45281</v>
      </c>
      <c r="O10594" s="8">
        <f>11+21/60+59.7/3600</f>
        <v>11.366583333333333</v>
      </c>
      <c r="P10594" s="8" t="s">
        <v>45282</v>
      </c>
      <c r="Q10594" s="8">
        <f>+(9+52/60+40/3600)</f>
        <v>9.8777777777777782</v>
      </c>
      <c r="R10594" s="8">
        <v>15</v>
      </c>
      <c r="S10594" s="8">
        <v>16</v>
      </c>
      <c r="T10594" s="8">
        <v>1</v>
      </c>
      <c r="U10594" s="8">
        <v>11.4</v>
      </c>
      <c r="V10594" s="8">
        <v>0.2</v>
      </c>
      <c r="W10594" s="8">
        <v>0.2</v>
      </c>
      <c r="Y10594" s="8" t="s">
        <v>15316</v>
      </c>
      <c r="Z10594" s="8" t="s">
        <v>15317</v>
      </c>
    </row>
    <row r="10595" spans="1:26" x14ac:dyDescent="0.2">
      <c r="A10595" s="8">
        <v>10594</v>
      </c>
      <c r="B10595" s="8" t="s">
        <v>45283</v>
      </c>
      <c r="C10595" s="8" t="s">
        <v>45283</v>
      </c>
      <c r="G10595" s="8">
        <v>20</v>
      </c>
      <c r="H10595" s="8" t="s">
        <v>21</v>
      </c>
      <c r="I10595" s="8" t="s">
        <v>22</v>
      </c>
      <c r="J10595" s="8" t="s">
        <v>22</v>
      </c>
      <c r="K10595" s="8" t="s">
        <v>449</v>
      </c>
      <c r="L10595" s="8" t="s">
        <v>13194</v>
      </c>
      <c r="M10595" s="8" t="s">
        <v>13195</v>
      </c>
      <c r="N10595" s="8" t="s">
        <v>45284</v>
      </c>
      <c r="O10595" s="8">
        <f>11+22/60+2.4/3600</f>
        <v>11.367333333333335</v>
      </c>
      <c r="P10595" s="8" t="s">
        <v>45285</v>
      </c>
      <c r="Q10595" s="8">
        <f>+(14+8/60+38/3600)</f>
        <v>14.143888888888888</v>
      </c>
      <c r="R10595" s="8">
        <v>15.2</v>
      </c>
      <c r="S10595" s="8">
        <v>16</v>
      </c>
      <c r="T10595" s="8">
        <v>0.8</v>
      </c>
      <c r="U10595" s="8">
        <v>12.6</v>
      </c>
      <c r="V10595" s="8">
        <v>0.5</v>
      </c>
      <c r="W10595" s="8">
        <v>0.2</v>
      </c>
      <c r="X10595" s="8">
        <v>85</v>
      </c>
      <c r="Y10595" s="8" t="s">
        <v>45286</v>
      </c>
      <c r="Z10595" s="8" t="s">
        <v>45287</v>
      </c>
    </row>
    <row r="10596" spans="1:26" x14ac:dyDescent="0.2">
      <c r="A10596" s="8">
        <v>10595</v>
      </c>
      <c r="B10596" s="8" t="s">
        <v>45288</v>
      </c>
      <c r="C10596" s="8" t="s">
        <v>45288</v>
      </c>
      <c r="G10596" s="8">
        <v>20</v>
      </c>
      <c r="H10596" s="8" t="s">
        <v>21</v>
      </c>
      <c r="I10596" s="8" t="s">
        <v>72</v>
      </c>
      <c r="J10596" s="8" t="s">
        <v>72</v>
      </c>
      <c r="K10596" s="8" t="s">
        <v>20</v>
      </c>
      <c r="L10596" s="8" t="s">
        <v>13194</v>
      </c>
      <c r="M10596" s="8" t="s">
        <v>13195</v>
      </c>
      <c r="N10596" s="8" t="s">
        <v>45284</v>
      </c>
      <c r="O10596" s="8">
        <f>11+22/60+2.4/3600</f>
        <v>11.367333333333335</v>
      </c>
      <c r="P10596" s="8" t="s">
        <v>45289</v>
      </c>
      <c r="Q10596" s="8">
        <f>+(13+47/60+35/3600)</f>
        <v>13.793055555555556</v>
      </c>
      <c r="R10596" s="8">
        <v>99</v>
      </c>
      <c r="S10596" s="8">
        <v>99</v>
      </c>
      <c r="T10596" s="8">
        <v>99</v>
      </c>
      <c r="U10596" s="8">
        <v>99</v>
      </c>
      <c r="Y10596" s="8" t="s">
        <v>3952</v>
      </c>
      <c r="Z10596" s="8" t="s">
        <v>3953</v>
      </c>
    </row>
    <row r="10597" spans="1:26" x14ac:dyDescent="0.2">
      <c r="A10597" s="8">
        <v>10596</v>
      </c>
      <c r="B10597" s="8" t="s">
        <v>45290</v>
      </c>
      <c r="C10597" s="8" t="s">
        <v>45290</v>
      </c>
      <c r="G10597" s="8">
        <v>20</v>
      </c>
      <c r="H10597" s="8" t="s">
        <v>21</v>
      </c>
      <c r="I10597" s="8" t="s">
        <v>22</v>
      </c>
      <c r="J10597" s="8" t="s">
        <v>22</v>
      </c>
      <c r="K10597" s="8" t="s">
        <v>449</v>
      </c>
      <c r="L10597" s="8" t="s">
        <v>13194</v>
      </c>
      <c r="M10597" s="8" t="s">
        <v>13195</v>
      </c>
      <c r="N10597" s="8" t="s">
        <v>45291</v>
      </c>
      <c r="O10597" s="8">
        <f>11+22/60+1/3600</f>
        <v>11.366944444444444</v>
      </c>
      <c r="P10597" s="8" t="s">
        <v>45292</v>
      </c>
      <c r="Q10597" s="8">
        <f>+(9+57/60+36/3600)</f>
        <v>9.9599999999999991</v>
      </c>
      <c r="R10597" s="8">
        <v>15.2</v>
      </c>
      <c r="S10597" s="8">
        <v>16</v>
      </c>
      <c r="T10597" s="8">
        <v>0.8</v>
      </c>
      <c r="U10597" s="8">
        <v>12.6</v>
      </c>
      <c r="V10597" s="8">
        <v>0.5</v>
      </c>
      <c r="W10597" s="8">
        <v>0.2</v>
      </c>
      <c r="X10597" s="8">
        <v>100</v>
      </c>
      <c r="Y10597" s="8" t="s">
        <v>45293</v>
      </c>
      <c r="Z10597" s="8" t="s">
        <v>45294</v>
      </c>
    </row>
    <row r="10598" spans="1:26" x14ac:dyDescent="0.2">
      <c r="A10598" s="8">
        <v>10597</v>
      </c>
      <c r="B10598" s="8" t="s">
        <v>45295</v>
      </c>
      <c r="C10598" s="8" t="s">
        <v>45295</v>
      </c>
      <c r="G10598" s="8">
        <v>20</v>
      </c>
      <c r="H10598" s="8" t="s">
        <v>21</v>
      </c>
      <c r="I10598" s="8" t="s">
        <v>22</v>
      </c>
      <c r="J10598" s="8" t="s">
        <v>22</v>
      </c>
      <c r="K10598" s="8" t="s">
        <v>91</v>
      </c>
      <c r="L10598" s="8" t="s">
        <v>13194</v>
      </c>
      <c r="M10598" s="8" t="s">
        <v>13195</v>
      </c>
      <c r="N10598" s="8" t="s">
        <v>45296</v>
      </c>
      <c r="O10598" s="8">
        <f>11+22/60+2.1/3600</f>
        <v>11.36725</v>
      </c>
      <c r="P10598" s="8" t="s">
        <v>45297</v>
      </c>
      <c r="Q10598" s="8">
        <f>+(8+23/60+38/3600)</f>
        <v>8.3938888888888883</v>
      </c>
      <c r="R10598" s="8">
        <v>14</v>
      </c>
      <c r="S10598" s="8">
        <v>14.9</v>
      </c>
      <c r="T10598" s="8">
        <v>0.9</v>
      </c>
      <c r="U10598" s="8">
        <v>12.7</v>
      </c>
      <c r="V10598" s="8">
        <v>0.5</v>
      </c>
      <c r="W10598" s="8">
        <v>0.3</v>
      </c>
      <c r="X10598" s="8">
        <v>80</v>
      </c>
      <c r="Y10598" s="8" t="s">
        <v>45218</v>
      </c>
      <c r="Z10598" s="8" t="s">
        <v>45219</v>
      </c>
    </row>
    <row r="10599" spans="1:26" x14ac:dyDescent="0.2">
      <c r="A10599" s="8">
        <v>10598</v>
      </c>
      <c r="B10599" s="8" t="s">
        <v>45298</v>
      </c>
      <c r="C10599" s="8" t="s">
        <v>45298</v>
      </c>
      <c r="G10599" s="8">
        <v>20</v>
      </c>
      <c r="H10599" s="8" t="s">
        <v>21</v>
      </c>
      <c r="I10599" s="8" t="s">
        <v>22</v>
      </c>
      <c r="J10599" s="8" t="s">
        <v>22</v>
      </c>
      <c r="K10599" s="8" t="s">
        <v>24713</v>
      </c>
      <c r="L10599" s="8" t="s">
        <v>13194</v>
      </c>
      <c r="M10599" s="8" t="s">
        <v>13195</v>
      </c>
      <c r="N10599" s="8" t="s">
        <v>45299</v>
      </c>
      <c r="O10599" s="8">
        <f>11+22/60+3.2/3600</f>
        <v>11.367555555555557</v>
      </c>
      <c r="P10599" s="8" t="s">
        <v>45300</v>
      </c>
      <c r="Q10599" s="8">
        <f>+(7+48/60+50/3600)</f>
        <v>7.8138888888888891</v>
      </c>
      <c r="R10599" s="8">
        <v>14.2</v>
      </c>
      <c r="S10599" s="8">
        <v>15</v>
      </c>
      <c r="T10599" s="8">
        <v>0.8</v>
      </c>
      <c r="U10599" s="8">
        <v>11.7</v>
      </c>
      <c r="V10599" s="8">
        <v>0.6</v>
      </c>
      <c r="W10599" s="8">
        <v>0.2</v>
      </c>
      <c r="X10599" s="8">
        <v>30</v>
      </c>
      <c r="Y10599" s="8" t="s">
        <v>45301</v>
      </c>
      <c r="Z10599" s="8" t="s">
        <v>45302</v>
      </c>
    </row>
    <row r="10600" spans="1:26" x14ac:dyDescent="0.2">
      <c r="A10600" s="8">
        <v>10599</v>
      </c>
      <c r="B10600" s="8" t="s">
        <v>45303</v>
      </c>
      <c r="C10600" s="8" t="s">
        <v>45303</v>
      </c>
      <c r="G10600" s="8">
        <v>20</v>
      </c>
      <c r="H10600" s="8" t="s">
        <v>21</v>
      </c>
      <c r="I10600" s="8" t="s">
        <v>22</v>
      </c>
      <c r="J10600" s="8" t="s">
        <v>22</v>
      </c>
      <c r="K10600" s="8" t="s">
        <v>460</v>
      </c>
      <c r="L10600" s="8" t="s">
        <v>13194</v>
      </c>
      <c r="M10600" s="8" t="s">
        <v>13195</v>
      </c>
      <c r="N10600" s="8" t="s">
        <v>45304</v>
      </c>
      <c r="O10600" s="8">
        <f>11+22/60+13.2/3600</f>
        <v>11.370333333333333</v>
      </c>
      <c r="P10600" s="8" t="s">
        <v>45305</v>
      </c>
      <c r="Q10600" s="8">
        <f>+(24+19/60+2/3600)</f>
        <v>24.31722222222222</v>
      </c>
      <c r="R10600" s="8">
        <v>14.1</v>
      </c>
      <c r="S10600" s="8">
        <v>15.1</v>
      </c>
      <c r="T10600" s="8">
        <v>1</v>
      </c>
      <c r="U10600" s="8">
        <v>12.2</v>
      </c>
      <c r="V10600" s="8">
        <v>0.4</v>
      </c>
      <c r="W10600" s="8">
        <v>0.4</v>
      </c>
      <c r="Y10600" s="8" t="s">
        <v>45306</v>
      </c>
      <c r="Z10600" s="8" t="s">
        <v>45307</v>
      </c>
    </row>
    <row r="10601" spans="1:26" x14ac:dyDescent="0.2">
      <c r="A10601" s="8">
        <v>10600</v>
      </c>
      <c r="B10601" s="8" t="s">
        <v>45308</v>
      </c>
      <c r="C10601" s="8" t="s">
        <v>45308</v>
      </c>
      <c r="G10601" s="8">
        <v>20</v>
      </c>
      <c r="H10601" s="8" t="s">
        <v>21</v>
      </c>
      <c r="I10601" s="8" t="s">
        <v>22</v>
      </c>
      <c r="J10601" s="8" t="s">
        <v>22</v>
      </c>
      <c r="K10601" s="8" t="s">
        <v>449</v>
      </c>
      <c r="L10601" s="8" t="s">
        <v>13194</v>
      </c>
      <c r="M10601" s="8" t="s">
        <v>13195</v>
      </c>
      <c r="N10601" s="8" t="s">
        <v>45309</v>
      </c>
      <c r="O10601" s="8">
        <f>11+22/60+12.7/3600</f>
        <v>11.370194444444445</v>
      </c>
      <c r="P10601" s="8" t="s">
        <v>45310</v>
      </c>
      <c r="Q10601" s="8">
        <f>+(12+39/60+57/3600)</f>
        <v>12.665833333333333</v>
      </c>
      <c r="R10601" s="8">
        <v>15.7</v>
      </c>
      <c r="S10601" s="8">
        <v>16.5</v>
      </c>
      <c r="T10601" s="8">
        <v>0.8</v>
      </c>
      <c r="U10601" s="8">
        <v>12.5</v>
      </c>
      <c r="V10601" s="8">
        <v>0.3</v>
      </c>
      <c r="W10601" s="8">
        <v>0.2</v>
      </c>
      <c r="X10601" s="8">
        <v>110</v>
      </c>
      <c r="Y10601" s="8" t="s">
        <v>2248</v>
      </c>
      <c r="Z10601" s="8" t="s">
        <v>2249</v>
      </c>
    </row>
    <row r="10602" spans="1:26" x14ac:dyDescent="0.2">
      <c r="A10602" s="8">
        <v>10601</v>
      </c>
      <c r="B10602" s="8" t="s">
        <v>45311</v>
      </c>
      <c r="C10602" s="8" t="s">
        <v>45311</v>
      </c>
      <c r="G10602" s="8">
        <v>20</v>
      </c>
      <c r="H10602" s="8" t="s">
        <v>21</v>
      </c>
      <c r="I10602" s="8" t="s">
        <v>22</v>
      </c>
      <c r="J10602" s="8" t="s">
        <v>22</v>
      </c>
      <c r="K10602" s="8" t="s">
        <v>460</v>
      </c>
      <c r="L10602" s="8" t="s">
        <v>13194</v>
      </c>
      <c r="M10602" s="8" t="s">
        <v>13195</v>
      </c>
      <c r="N10602" s="8" t="s">
        <v>45312</v>
      </c>
      <c r="O10602" s="8">
        <f>11+22/60+17/3600</f>
        <v>11.371388888888889</v>
      </c>
      <c r="P10602" s="8" t="s">
        <v>45313</v>
      </c>
      <c r="Q10602" s="8">
        <f>+(14+10/60+38/3600)</f>
        <v>14.177222222222222</v>
      </c>
      <c r="R10602" s="8">
        <v>15.5</v>
      </c>
      <c r="S10602" s="8">
        <v>16.5</v>
      </c>
      <c r="T10602" s="8">
        <v>1</v>
      </c>
      <c r="U10602" s="8">
        <v>12.1</v>
      </c>
      <c r="V10602" s="8">
        <v>0.2</v>
      </c>
      <c r="W10602" s="8">
        <v>0.2</v>
      </c>
      <c r="Y10602" s="8" t="s">
        <v>45314</v>
      </c>
      <c r="Z10602" s="8" t="s">
        <v>45315</v>
      </c>
    </row>
    <row r="10603" spans="1:26" x14ac:dyDescent="0.2">
      <c r="A10603" s="8">
        <v>10602</v>
      </c>
      <c r="B10603" s="8" t="s">
        <v>45316</v>
      </c>
      <c r="C10603" s="8" t="s">
        <v>45316</v>
      </c>
      <c r="G10603" s="8">
        <v>20</v>
      </c>
      <c r="H10603" s="8" t="s">
        <v>21</v>
      </c>
      <c r="I10603" s="8" t="s">
        <v>22</v>
      </c>
      <c r="J10603" s="8" t="s">
        <v>22</v>
      </c>
      <c r="K10603" s="8" t="s">
        <v>449</v>
      </c>
      <c r="L10603" s="8" t="s">
        <v>13194</v>
      </c>
      <c r="M10603" s="8" t="s">
        <v>13195</v>
      </c>
      <c r="N10603" s="8" t="s">
        <v>45317</v>
      </c>
      <c r="O10603" s="8">
        <f>11+22/60+17.9/3600</f>
        <v>11.371638888888889</v>
      </c>
      <c r="P10603" s="8" t="s">
        <v>45318</v>
      </c>
      <c r="Q10603" s="8">
        <f>+(12+43/60+21/3600)</f>
        <v>12.7225</v>
      </c>
      <c r="R10603" s="8">
        <v>14.7</v>
      </c>
      <c r="S10603" s="8">
        <v>15.5</v>
      </c>
      <c r="T10603" s="8">
        <v>0.8</v>
      </c>
      <c r="U10603" s="8">
        <v>12.6</v>
      </c>
      <c r="V10603" s="8">
        <v>0.8</v>
      </c>
      <c r="W10603" s="8">
        <v>0.2</v>
      </c>
      <c r="X10603" s="8">
        <v>140</v>
      </c>
      <c r="Y10603" s="8" t="s">
        <v>45319</v>
      </c>
      <c r="Z10603" s="8" t="s">
        <v>45320</v>
      </c>
    </row>
    <row r="10604" spans="1:26" x14ac:dyDescent="0.2">
      <c r="A10604" s="8">
        <v>10603</v>
      </c>
      <c r="B10604" s="8" t="s">
        <v>45321</v>
      </c>
      <c r="C10604" s="8" t="s">
        <v>45321</v>
      </c>
      <c r="G10604" s="8">
        <v>20</v>
      </c>
      <c r="H10604" s="8" t="s">
        <v>21</v>
      </c>
      <c r="I10604" s="8" t="s">
        <v>22</v>
      </c>
      <c r="J10604" s="8" t="s">
        <v>22</v>
      </c>
      <c r="K10604" s="8" t="s">
        <v>160</v>
      </c>
      <c r="L10604" s="8" t="s">
        <v>13194</v>
      </c>
      <c r="M10604" s="8" t="s">
        <v>13195</v>
      </c>
      <c r="N10604" s="8" t="s">
        <v>45322</v>
      </c>
      <c r="O10604" s="8">
        <f>11+22/60+18.4/3600</f>
        <v>11.371777777777778</v>
      </c>
      <c r="P10604" s="8" t="s">
        <v>45323</v>
      </c>
      <c r="Q10604" s="8">
        <f>+(13+3/60+55/3600)</f>
        <v>13.065277777777778</v>
      </c>
      <c r="R10604" s="8">
        <v>14.3</v>
      </c>
      <c r="S10604" s="8">
        <v>15</v>
      </c>
      <c r="T10604" s="8">
        <v>0.7</v>
      </c>
      <c r="U10604" s="8">
        <v>12.8</v>
      </c>
      <c r="V10604" s="8">
        <v>1.4</v>
      </c>
      <c r="W10604" s="8">
        <v>0.2</v>
      </c>
      <c r="X10604" s="8">
        <v>96</v>
      </c>
      <c r="Y10604" s="8" t="s">
        <v>21</v>
      </c>
      <c r="Z10604" s="8" t="s">
        <v>45324</v>
      </c>
    </row>
    <row r="10605" spans="1:26" x14ac:dyDescent="0.2">
      <c r="A10605" s="8">
        <v>10604</v>
      </c>
      <c r="B10605" s="8" t="s">
        <v>45325</v>
      </c>
      <c r="C10605" s="8" t="s">
        <v>45325</v>
      </c>
      <c r="G10605" s="8">
        <v>20</v>
      </c>
      <c r="H10605" s="8" t="s">
        <v>21</v>
      </c>
      <c r="I10605" s="8" t="s">
        <v>22</v>
      </c>
      <c r="J10605" s="8" t="s">
        <v>22</v>
      </c>
      <c r="K10605" s="8" t="s">
        <v>632</v>
      </c>
      <c r="L10605" s="8" t="s">
        <v>11765</v>
      </c>
      <c r="M10605" s="8" t="s">
        <v>11766</v>
      </c>
      <c r="N10605" s="8" t="s">
        <v>45326</v>
      </c>
      <c r="O10605" s="8">
        <f>11+27/60+4.9/3600</f>
        <v>11.45136111111111</v>
      </c>
      <c r="P10605" s="8" t="s">
        <v>45327</v>
      </c>
      <c r="Q10605" s="8">
        <f>-(28+58/60+50/3600)</f>
        <v>-28.980555555555554</v>
      </c>
      <c r="R10605" s="8">
        <v>12.2</v>
      </c>
      <c r="S10605" s="8">
        <v>13.1</v>
      </c>
      <c r="T10605" s="8">
        <v>0.9</v>
      </c>
      <c r="U10605" s="8">
        <v>13.1</v>
      </c>
      <c r="V10605" s="8">
        <v>1.7</v>
      </c>
      <c r="W10605" s="8">
        <v>1.5</v>
      </c>
      <c r="X10605" s="8">
        <v>0</v>
      </c>
      <c r="Y10605" s="8" t="s">
        <v>21</v>
      </c>
      <c r="Z10605" s="8" t="s">
        <v>45328</v>
      </c>
    </row>
    <row r="10606" spans="1:26" x14ac:dyDescent="0.2">
      <c r="A10606" s="8">
        <v>10605</v>
      </c>
      <c r="B10606" s="8" t="s">
        <v>45329</v>
      </c>
      <c r="C10606" s="8" t="s">
        <v>45329</v>
      </c>
      <c r="G10606" s="8">
        <v>20</v>
      </c>
      <c r="H10606" s="8" t="s">
        <v>21</v>
      </c>
      <c r="I10606" s="8" t="s">
        <v>22</v>
      </c>
      <c r="J10606" s="8" t="s">
        <v>22</v>
      </c>
      <c r="K10606" s="8" t="s">
        <v>460</v>
      </c>
      <c r="L10606" s="8" t="s">
        <v>13194</v>
      </c>
      <c r="M10606" s="8" t="s">
        <v>13195</v>
      </c>
      <c r="N10606" s="8" t="s">
        <v>45330</v>
      </c>
      <c r="O10606" s="8">
        <f>11+22/60+23.1/3600</f>
        <v>11.373083333333334</v>
      </c>
      <c r="P10606" s="8" t="s">
        <v>45331</v>
      </c>
      <c r="Q10606" s="8">
        <f>+(14+11/60+56/3600)</f>
        <v>14.19888888888889</v>
      </c>
      <c r="R10606" s="8">
        <v>16</v>
      </c>
      <c r="S10606" s="8">
        <v>17</v>
      </c>
      <c r="T10606" s="8">
        <v>1</v>
      </c>
      <c r="U10606" s="8">
        <v>12.6</v>
      </c>
      <c r="V10606" s="8">
        <v>0.2</v>
      </c>
      <c r="W10606" s="8">
        <v>0.2</v>
      </c>
      <c r="Y10606" s="8" t="s">
        <v>45086</v>
      </c>
      <c r="Z10606" s="8" t="s">
        <v>45087</v>
      </c>
    </row>
    <row r="10607" spans="1:26" x14ac:dyDescent="0.2">
      <c r="A10607" s="8">
        <v>10606</v>
      </c>
      <c r="B10607" s="8" t="s">
        <v>45332</v>
      </c>
      <c r="C10607" s="8" t="s">
        <v>45332</v>
      </c>
      <c r="G10607" s="8">
        <v>20</v>
      </c>
      <c r="H10607" s="8" t="s">
        <v>21</v>
      </c>
      <c r="I10607" s="8" t="s">
        <v>22</v>
      </c>
      <c r="J10607" s="8" t="s">
        <v>22</v>
      </c>
      <c r="K10607" s="8" t="s">
        <v>449</v>
      </c>
      <c r="L10607" s="8" t="s">
        <v>13194</v>
      </c>
      <c r="M10607" s="8" t="s">
        <v>13195</v>
      </c>
      <c r="N10607" s="8" t="s">
        <v>45333</v>
      </c>
      <c r="O10607" s="8">
        <f>11+22/60+23/3600</f>
        <v>11.373055555555556</v>
      </c>
      <c r="P10607" s="8" t="s">
        <v>45334</v>
      </c>
      <c r="Q10607" s="8">
        <f>+(12+54/60+14/3600)</f>
        <v>12.90388888888889</v>
      </c>
      <c r="R10607" s="8">
        <v>15.2</v>
      </c>
      <c r="S10607" s="8">
        <v>16</v>
      </c>
      <c r="T10607" s="8">
        <v>0.8</v>
      </c>
      <c r="U10607" s="8">
        <v>11.8</v>
      </c>
      <c r="V10607" s="8">
        <v>0.5</v>
      </c>
      <c r="W10607" s="8">
        <v>0.1</v>
      </c>
      <c r="X10607" s="8">
        <v>140</v>
      </c>
      <c r="Y10607" s="8" t="s">
        <v>5139</v>
      </c>
      <c r="Z10607" s="8" t="s">
        <v>5140</v>
      </c>
    </row>
    <row r="10608" spans="1:26" x14ac:dyDescent="0.2">
      <c r="A10608" s="8">
        <v>10607</v>
      </c>
      <c r="B10608" s="8" t="s">
        <v>45335</v>
      </c>
      <c r="C10608" s="8" t="s">
        <v>45335</v>
      </c>
      <c r="G10608" s="8">
        <v>20</v>
      </c>
      <c r="H10608" s="8" t="s">
        <v>21</v>
      </c>
      <c r="I10608" s="8" t="s">
        <v>22</v>
      </c>
      <c r="J10608" s="8" t="s">
        <v>22</v>
      </c>
      <c r="K10608" s="8" t="s">
        <v>449</v>
      </c>
      <c r="L10608" s="8" t="s">
        <v>13194</v>
      </c>
      <c r="M10608" s="8" t="s">
        <v>13195</v>
      </c>
      <c r="N10608" s="8" t="s">
        <v>45336</v>
      </c>
      <c r="O10608" s="8">
        <f>11+22/60+23.5/3600</f>
        <v>11.373194444444445</v>
      </c>
      <c r="P10608" s="8" t="s">
        <v>45337</v>
      </c>
      <c r="Q10608" s="8">
        <f>+(13+4/60+39/3600)</f>
        <v>13.077500000000001</v>
      </c>
      <c r="R10608" s="8">
        <v>16</v>
      </c>
      <c r="S10608" s="8">
        <v>16.8</v>
      </c>
      <c r="T10608" s="8">
        <v>0.8</v>
      </c>
      <c r="U10608" s="8">
        <v>12.6</v>
      </c>
      <c r="V10608" s="8">
        <v>0.5</v>
      </c>
      <c r="W10608" s="8">
        <v>0.1</v>
      </c>
      <c r="X10608" s="8">
        <v>90</v>
      </c>
      <c r="Y10608" s="8" t="s">
        <v>3932</v>
      </c>
      <c r="Z10608" s="8" t="s">
        <v>3933</v>
      </c>
    </row>
    <row r="10609" spans="1:26" x14ac:dyDescent="0.2">
      <c r="A10609" s="8">
        <v>10608</v>
      </c>
      <c r="B10609" s="8" t="s">
        <v>45338</v>
      </c>
      <c r="C10609" s="8" t="s">
        <v>45338</v>
      </c>
      <c r="G10609" s="8">
        <v>20</v>
      </c>
      <c r="H10609" s="8" t="s">
        <v>21</v>
      </c>
      <c r="I10609" s="8" t="s">
        <v>22</v>
      </c>
      <c r="J10609" s="8" t="s">
        <v>22</v>
      </c>
      <c r="K10609" s="8" t="s">
        <v>449</v>
      </c>
      <c r="L10609" s="8" t="s">
        <v>13194</v>
      </c>
      <c r="M10609" s="8" t="s">
        <v>13195</v>
      </c>
      <c r="N10609" s="8" t="s">
        <v>45336</v>
      </c>
      <c r="O10609" s="8">
        <f>11+22/60+23.5/3600</f>
        <v>11.373194444444445</v>
      </c>
      <c r="P10609" s="8" t="s">
        <v>45339</v>
      </c>
      <c r="Q10609" s="8">
        <f>+(12+31/60+44/3600)</f>
        <v>12.52888888888889</v>
      </c>
      <c r="R10609" s="8">
        <v>15.2</v>
      </c>
      <c r="S10609" s="8">
        <v>16</v>
      </c>
      <c r="T10609" s="8">
        <v>0.8</v>
      </c>
      <c r="U10609" s="8">
        <v>12</v>
      </c>
      <c r="V10609" s="8">
        <v>0.3</v>
      </c>
      <c r="W10609" s="8">
        <v>0.2</v>
      </c>
      <c r="X10609" s="8">
        <v>60</v>
      </c>
      <c r="Y10609" s="8" t="s">
        <v>45086</v>
      </c>
      <c r="Z10609" s="8" t="s">
        <v>45087</v>
      </c>
    </row>
    <row r="10610" spans="1:26" x14ac:dyDescent="0.2">
      <c r="A10610" s="8">
        <v>10609</v>
      </c>
      <c r="B10610" s="8" t="s">
        <v>45340</v>
      </c>
      <c r="C10610" s="8" t="s">
        <v>45340</v>
      </c>
      <c r="G10610" s="8">
        <v>20</v>
      </c>
      <c r="H10610" s="8" t="s">
        <v>21</v>
      </c>
      <c r="I10610" s="8" t="s">
        <v>22</v>
      </c>
      <c r="J10610" s="8" t="s">
        <v>22</v>
      </c>
      <c r="K10610" s="8" t="s">
        <v>382</v>
      </c>
      <c r="L10610" s="8" t="s">
        <v>13194</v>
      </c>
      <c r="M10610" s="8" t="s">
        <v>13195</v>
      </c>
      <c r="N10610" s="8" t="s">
        <v>45341</v>
      </c>
      <c r="O10610" s="8">
        <f>11+22/60+25.6/3600</f>
        <v>11.373777777777779</v>
      </c>
      <c r="P10610" s="8" t="s">
        <v>45342</v>
      </c>
      <c r="Q10610" s="8">
        <f>+(14+11/60+47/3600)</f>
        <v>14.196388888888889</v>
      </c>
      <c r="R10610" s="8">
        <v>14.3</v>
      </c>
      <c r="S10610" s="8">
        <v>15.3</v>
      </c>
      <c r="T10610" s="8">
        <v>1</v>
      </c>
      <c r="U10610" s="8">
        <v>11.3</v>
      </c>
      <c r="V10610" s="8">
        <v>0.3</v>
      </c>
      <c r="W10610" s="8">
        <v>0.2</v>
      </c>
      <c r="X10610" s="8">
        <v>170</v>
      </c>
      <c r="Y10610" s="8" t="s">
        <v>21193</v>
      </c>
      <c r="Z10610" s="8" t="s">
        <v>21194</v>
      </c>
    </row>
    <row r="10611" spans="1:26" x14ac:dyDescent="0.2">
      <c r="A10611" s="8">
        <v>10610</v>
      </c>
      <c r="B10611" s="8" t="s">
        <v>45343</v>
      </c>
      <c r="C10611" s="8" t="s">
        <v>45343</v>
      </c>
      <c r="G10611" s="8">
        <v>20</v>
      </c>
      <c r="H10611" s="8" t="s">
        <v>21</v>
      </c>
      <c r="I10611" s="8" t="s">
        <v>22</v>
      </c>
      <c r="J10611" s="8" t="s">
        <v>22</v>
      </c>
      <c r="K10611" s="8" t="s">
        <v>460</v>
      </c>
      <c r="L10611" s="8" t="s">
        <v>13194</v>
      </c>
      <c r="M10611" s="8" t="s">
        <v>13195</v>
      </c>
      <c r="N10611" s="8" t="s">
        <v>45344</v>
      </c>
      <c r="O10611" s="8">
        <f>11+22/60+24.7/3600</f>
        <v>11.373527777777777</v>
      </c>
      <c r="P10611" s="8" t="s">
        <v>45345</v>
      </c>
      <c r="Q10611" s="8">
        <f>+(9+13/60+16/3600)</f>
        <v>9.2211111111111119</v>
      </c>
      <c r="R10611" s="8">
        <v>15.9</v>
      </c>
      <c r="S10611" s="8">
        <v>16.899999999999999</v>
      </c>
      <c r="T10611" s="8">
        <v>1</v>
      </c>
      <c r="U10611" s="8">
        <v>12.5</v>
      </c>
      <c r="V10611" s="8">
        <v>0.2</v>
      </c>
      <c r="W10611" s="8">
        <v>0.2</v>
      </c>
      <c r="Y10611" s="8" t="s">
        <v>22305</v>
      </c>
      <c r="Z10611" s="8" t="s">
        <v>22306</v>
      </c>
    </row>
    <row r="10612" spans="1:26" x14ac:dyDescent="0.2">
      <c r="A10612" s="8">
        <v>10611</v>
      </c>
      <c r="B10612" s="8" t="s">
        <v>45346</v>
      </c>
      <c r="C10612" s="8" t="s">
        <v>45346</v>
      </c>
      <c r="G10612" s="8">
        <v>20</v>
      </c>
      <c r="H10612" s="8" t="s">
        <v>21</v>
      </c>
      <c r="I10612" s="8" t="s">
        <v>22</v>
      </c>
      <c r="J10612" s="8" t="s">
        <v>22</v>
      </c>
      <c r="K10612" s="8" t="s">
        <v>460</v>
      </c>
      <c r="L10612" s="8" t="s">
        <v>13194</v>
      </c>
      <c r="M10612" s="8" t="s">
        <v>13195</v>
      </c>
      <c r="N10612" s="8" t="s">
        <v>45347</v>
      </c>
      <c r="O10612" s="8">
        <f>11+22/60+28/3600</f>
        <v>11.374444444444444</v>
      </c>
      <c r="P10612" s="8" t="s">
        <v>45348</v>
      </c>
      <c r="Q10612" s="8">
        <f>+(12+31/60+10/3600)</f>
        <v>12.519444444444446</v>
      </c>
      <c r="R10612" s="8">
        <v>16</v>
      </c>
      <c r="S10612" s="8">
        <v>17</v>
      </c>
      <c r="T10612" s="8">
        <v>1</v>
      </c>
      <c r="U10612" s="8">
        <v>12.6</v>
      </c>
      <c r="V10612" s="8">
        <v>0.2</v>
      </c>
      <c r="W10612" s="8">
        <v>0.2</v>
      </c>
      <c r="Y10612" s="8" t="s">
        <v>45349</v>
      </c>
      <c r="Z10612" s="8" t="s">
        <v>45350</v>
      </c>
    </row>
    <row r="10613" spans="1:26" x14ac:dyDescent="0.2">
      <c r="A10613" s="8">
        <v>10612</v>
      </c>
      <c r="B10613" s="8" t="s">
        <v>45351</v>
      </c>
      <c r="C10613" s="8" t="s">
        <v>45351</v>
      </c>
      <c r="G10613" s="8">
        <v>20</v>
      </c>
      <c r="H10613" s="8" t="s">
        <v>21</v>
      </c>
      <c r="I10613" s="8" t="s">
        <v>72</v>
      </c>
      <c r="J10613" s="8" t="s">
        <v>72</v>
      </c>
      <c r="K10613" s="8" t="s">
        <v>20</v>
      </c>
      <c r="L10613" s="8" t="s">
        <v>13194</v>
      </c>
      <c r="M10613" s="8" t="s">
        <v>13195</v>
      </c>
      <c r="N10613" s="8" t="s">
        <v>45352</v>
      </c>
      <c r="O10613" s="8">
        <f>11+22/60+30.4/3600</f>
        <v>11.375111111111112</v>
      </c>
      <c r="P10613" s="8" t="s">
        <v>45353</v>
      </c>
      <c r="Q10613" s="8">
        <f>+(13+35/60+57/3600)</f>
        <v>13.599166666666667</v>
      </c>
      <c r="R10613" s="8">
        <v>99</v>
      </c>
      <c r="S10613" s="8">
        <v>99</v>
      </c>
      <c r="T10613" s="8">
        <v>99</v>
      </c>
      <c r="U10613" s="8">
        <v>99</v>
      </c>
      <c r="Y10613" s="8" t="s">
        <v>45354</v>
      </c>
      <c r="Z10613" s="8" t="s">
        <v>45355</v>
      </c>
    </row>
    <row r="10614" spans="1:26" x14ac:dyDescent="0.2">
      <c r="A10614" s="8">
        <v>10613</v>
      </c>
      <c r="B10614" s="8" t="s">
        <v>45356</v>
      </c>
      <c r="C10614" s="8" t="s">
        <v>45356</v>
      </c>
      <c r="G10614" s="8">
        <v>20</v>
      </c>
      <c r="H10614" s="8" t="s">
        <v>21</v>
      </c>
      <c r="I10614" s="8" t="s">
        <v>72</v>
      </c>
      <c r="J10614" s="8" t="s">
        <v>72</v>
      </c>
      <c r="K10614" s="8" t="s">
        <v>20</v>
      </c>
      <c r="L10614" s="8" t="s">
        <v>13194</v>
      </c>
      <c r="M10614" s="8" t="s">
        <v>13195</v>
      </c>
      <c r="N10614" s="8" t="s">
        <v>45357</v>
      </c>
      <c r="O10614" s="8">
        <f>11+22/60+36.4/3600</f>
        <v>11.376777777777779</v>
      </c>
      <c r="P10614" s="8" t="s">
        <v>45358</v>
      </c>
      <c r="Q10614" s="8">
        <f>+(13+34/60+12/3600)</f>
        <v>13.57</v>
      </c>
      <c r="R10614" s="8">
        <v>99</v>
      </c>
      <c r="S10614" s="8">
        <v>99</v>
      </c>
      <c r="T10614" s="8">
        <v>99</v>
      </c>
      <c r="U10614" s="8">
        <v>99</v>
      </c>
      <c r="Y10614" s="8" t="s">
        <v>45359</v>
      </c>
      <c r="Z10614" s="8" t="s">
        <v>45360</v>
      </c>
    </row>
    <row r="10615" spans="1:26" x14ac:dyDescent="0.2">
      <c r="A10615" s="8">
        <v>10614</v>
      </c>
      <c r="B10615" s="8" t="s">
        <v>45361</v>
      </c>
      <c r="C10615" s="8" t="s">
        <v>45361</v>
      </c>
      <c r="G10615" s="8">
        <v>20</v>
      </c>
      <c r="H10615" s="8" t="s">
        <v>21</v>
      </c>
      <c r="I10615" s="8" t="s">
        <v>72</v>
      </c>
      <c r="J10615" s="8" t="s">
        <v>72</v>
      </c>
      <c r="K10615" s="8" t="s">
        <v>20</v>
      </c>
      <c r="L10615" s="8" t="s">
        <v>13194</v>
      </c>
      <c r="M10615" s="8" t="s">
        <v>13195</v>
      </c>
      <c r="N10615" s="8" t="s">
        <v>45362</v>
      </c>
      <c r="O10615" s="8">
        <f>11+22/60+37.2/3600</f>
        <v>11.377000000000001</v>
      </c>
      <c r="P10615" s="8" t="s">
        <v>45363</v>
      </c>
      <c r="Q10615" s="8">
        <f>+(12+30/60+54/3600)</f>
        <v>12.515000000000001</v>
      </c>
      <c r="R10615" s="8">
        <v>99</v>
      </c>
      <c r="S10615" s="8">
        <v>99</v>
      </c>
      <c r="T10615" s="8">
        <v>99</v>
      </c>
      <c r="U10615" s="8">
        <v>99</v>
      </c>
      <c r="Y10615" s="8" t="s">
        <v>45349</v>
      </c>
      <c r="Z10615" s="8" t="s">
        <v>45350</v>
      </c>
    </row>
    <row r="10616" spans="1:26" x14ac:dyDescent="0.2">
      <c r="A10616" s="8">
        <v>10615</v>
      </c>
      <c r="B10616" s="8" t="s">
        <v>45364</v>
      </c>
      <c r="C10616" s="8" t="s">
        <v>45364</v>
      </c>
      <c r="G10616" s="8">
        <v>20</v>
      </c>
      <c r="H10616" s="8" t="s">
        <v>21</v>
      </c>
      <c r="I10616" s="8" t="s">
        <v>22</v>
      </c>
      <c r="J10616" s="8" t="s">
        <v>22</v>
      </c>
      <c r="K10616" s="8" t="s">
        <v>460</v>
      </c>
      <c r="L10616" s="8" t="s">
        <v>13194</v>
      </c>
      <c r="M10616" s="8" t="s">
        <v>13195</v>
      </c>
      <c r="N10616" s="8" t="s">
        <v>45365</v>
      </c>
      <c r="O10616" s="8">
        <f>11+22/60+39.5/3600</f>
        <v>11.377638888888889</v>
      </c>
      <c r="P10616" s="8" t="s">
        <v>30898</v>
      </c>
      <c r="Q10616" s="8">
        <f>+(12+30/60+44/3600)</f>
        <v>12.512222222222222</v>
      </c>
      <c r="R10616" s="8">
        <v>15.5</v>
      </c>
      <c r="S10616" s="8">
        <v>16.5</v>
      </c>
      <c r="T10616" s="8">
        <v>1</v>
      </c>
      <c r="U10616" s="8">
        <v>12.1</v>
      </c>
      <c r="V10616" s="8">
        <v>0.2</v>
      </c>
      <c r="W10616" s="8">
        <v>0.2</v>
      </c>
      <c r="Y10616" s="8" t="s">
        <v>45349</v>
      </c>
      <c r="Z10616" s="8" t="s">
        <v>45350</v>
      </c>
    </row>
    <row r="10617" spans="1:26" x14ac:dyDescent="0.2">
      <c r="A10617" s="8">
        <v>10616</v>
      </c>
      <c r="B10617" s="8" t="s">
        <v>45366</v>
      </c>
      <c r="C10617" s="8" t="s">
        <v>45366</v>
      </c>
      <c r="G10617" s="8">
        <v>20</v>
      </c>
      <c r="H10617" s="8" t="s">
        <v>21</v>
      </c>
      <c r="I10617" s="8" t="s">
        <v>22</v>
      </c>
      <c r="J10617" s="8" t="s">
        <v>22</v>
      </c>
      <c r="K10617" s="8" t="s">
        <v>160</v>
      </c>
      <c r="L10617" s="8" t="s">
        <v>13194</v>
      </c>
      <c r="M10617" s="8" t="s">
        <v>13195</v>
      </c>
      <c r="N10617" s="8" t="s">
        <v>45367</v>
      </c>
      <c r="O10617" s="8">
        <f>11+22/60+40/3600</f>
        <v>11.377777777777778</v>
      </c>
      <c r="P10617" s="8" t="s">
        <v>45368</v>
      </c>
      <c r="Q10617" s="8">
        <f>+(13+19/60+51/3600)</f>
        <v>13.330833333333333</v>
      </c>
      <c r="R10617" s="8">
        <v>14.9</v>
      </c>
      <c r="S10617" s="8">
        <v>15.5</v>
      </c>
      <c r="T10617" s="8">
        <v>0.6</v>
      </c>
      <c r="U10617" s="8">
        <v>13.6</v>
      </c>
      <c r="V10617" s="8">
        <v>0.9</v>
      </c>
      <c r="W10617" s="8">
        <v>0.4</v>
      </c>
      <c r="X10617" s="8">
        <v>168</v>
      </c>
      <c r="Y10617" s="8" t="s">
        <v>44801</v>
      </c>
      <c r="Z10617" s="8" t="s">
        <v>44802</v>
      </c>
    </row>
    <row r="10618" spans="1:26" x14ac:dyDescent="0.2">
      <c r="A10618" s="8">
        <v>10617</v>
      </c>
      <c r="B10618" s="8" t="s">
        <v>45369</v>
      </c>
      <c r="C10618" s="8" t="s">
        <v>45369</v>
      </c>
      <c r="G10618" s="8">
        <v>20</v>
      </c>
      <c r="H10618" s="8" t="s">
        <v>21</v>
      </c>
      <c r="I10618" s="8" t="s">
        <v>22</v>
      </c>
      <c r="J10618" s="8" t="s">
        <v>22</v>
      </c>
      <c r="K10618" s="8" t="s">
        <v>424</v>
      </c>
      <c r="L10618" s="8" t="s">
        <v>13194</v>
      </c>
      <c r="M10618" s="8" t="s">
        <v>13195</v>
      </c>
      <c r="N10618" s="8" t="s">
        <v>45370</v>
      </c>
      <c r="O10618" s="8">
        <f>11+22/60+40.6/3600</f>
        <v>11.377944444444445</v>
      </c>
      <c r="P10618" s="8" t="s">
        <v>45371</v>
      </c>
      <c r="Q10618" s="8">
        <f>+(12+1/60+32/3600)</f>
        <v>12.025555555555556</v>
      </c>
      <c r="R10618" s="8">
        <v>14.4</v>
      </c>
      <c r="S10618" s="8">
        <v>15.4</v>
      </c>
      <c r="T10618" s="8">
        <v>1</v>
      </c>
      <c r="U10618" s="8">
        <v>13</v>
      </c>
      <c r="V10618" s="8">
        <v>0.8</v>
      </c>
      <c r="W10618" s="8">
        <v>0.4</v>
      </c>
      <c r="X10618" s="8">
        <v>145</v>
      </c>
      <c r="Y10618" s="8" t="s">
        <v>18110</v>
      </c>
      <c r="Z10618" s="8" t="s">
        <v>18111</v>
      </c>
    </row>
    <row r="10619" spans="1:26" x14ac:dyDescent="0.2">
      <c r="A10619" s="8">
        <v>10618</v>
      </c>
      <c r="B10619" s="8" t="s">
        <v>45372</v>
      </c>
      <c r="C10619" s="8" t="s">
        <v>45372</v>
      </c>
      <c r="G10619" s="8">
        <v>20</v>
      </c>
      <c r="H10619" s="8" t="s">
        <v>21</v>
      </c>
      <c r="I10619" s="8" t="s">
        <v>72</v>
      </c>
      <c r="J10619" s="8" t="s">
        <v>72</v>
      </c>
      <c r="K10619" s="8" t="s">
        <v>20</v>
      </c>
      <c r="L10619" s="8" t="s">
        <v>13194</v>
      </c>
      <c r="M10619" s="8" t="s">
        <v>13195</v>
      </c>
      <c r="N10619" s="8" t="s">
        <v>45373</v>
      </c>
      <c r="O10619" s="8">
        <f>11+22/60+41.9/3600</f>
        <v>11.378305555555556</v>
      </c>
      <c r="P10619" s="8" t="s">
        <v>45374</v>
      </c>
      <c r="Q10619" s="8">
        <f>+(12+31/60+36/3600)</f>
        <v>12.526666666666667</v>
      </c>
      <c r="R10619" s="8">
        <v>99</v>
      </c>
      <c r="S10619" s="8">
        <v>99</v>
      </c>
      <c r="T10619" s="8">
        <v>99</v>
      </c>
      <c r="U10619" s="8">
        <v>99</v>
      </c>
      <c r="Y10619" s="8" t="s">
        <v>45349</v>
      </c>
      <c r="Z10619" s="8" t="s">
        <v>45350</v>
      </c>
    </row>
    <row r="10620" spans="1:26" x14ac:dyDescent="0.2">
      <c r="A10620" s="8">
        <v>10619</v>
      </c>
      <c r="B10620" s="8" t="s">
        <v>45375</v>
      </c>
      <c r="C10620" s="8" t="s">
        <v>45375</v>
      </c>
      <c r="G10620" s="8">
        <v>20</v>
      </c>
      <c r="H10620" s="8" t="s">
        <v>21</v>
      </c>
      <c r="I10620" s="8" t="s">
        <v>22</v>
      </c>
      <c r="J10620" s="8" t="s">
        <v>22</v>
      </c>
      <c r="K10620" s="8" t="s">
        <v>449</v>
      </c>
      <c r="L10620" s="8" t="s">
        <v>13194</v>
      </c>
      <c r="M10620" s="8" t="s">
        <v>13195</v>
      </c>
      <c r="N10620" s="8" t="s">
        <v>45376</v>
      </c>
      <c r="O10620" s="8">
        <f>11+22/60+44.4/3600</f>
        <v>11.379000000000001</v>
      </c>
      <c r="P10620" s="8" t="s">
        <v>45377</v>
      </c>
      <c r="Q10620" s="8">
        <f>+(13+20/60+45/3600)</f>
        <v>13.345833333333333</v>
      </c>
      <c r="R10620" s="8">
        <v>16.5</v>
      </c>
      <c r="S10620" s="8">
        <v>17.3</v>
      </c>
      <c r="T10620" s="8">
        <v>0.8</v>
      </c>
      <c r="U10620" s="8">
        <v>13.3</v>
      </c>
      <c r="V10620" s="8">
        <v>0.3</v>
      </c>
      <c r="W10620" s="8">
        <v>0.2</v>
      </c>
      <c r="X10620" s="8">
        <v>0</v>
      </c>
      <c r="Y10620" s="8" t="s">
        <v>42315</v>
      </c>
      <c r="Z10620" s="8" t="s">
        <v>42316</v>
      </c>
    </row>
    <row r="10621" spans="1:26" x14ac:dyDescent="0.2">
      <c r="A10621" s="8">
        <v>10620</v>
      </c>
      <c r="B10621" s="8" t="s">
        <v>45378</v>
      </c>
      <c r="C10621" s="8" t="s">
        <v>45378</v>
      </c>
      <c r="E10621" s="8">
        <v>1</v>
      </c>
      <c r="G10621" s="8">
        <v>20</v>
      </c>
      <c r="H10621" s="8" t="s">
        <v>21</v>
      </c>
      <c r="I10621" s="8" t="s">
        <v>22</v>
      </c>
      <c r="J10621" s="8" t="s">
        <v>22</v>
      </c>
      <c r="K10621" s="8" t="s">
        <v>460</v>
      </c>
      <c r="L10621" s="8" t="s">
        <v>13194</v>
      </c>
      <c r="M10621" s="8" t="s">
        <v>13195</v>
      </c>
      <c r="N10621" s="8" t="s">
        <v>45379</v>
      </c>
      <c r="O10621" s="8">
        <f>11+22/60+48.1/3600</f>
        <v>11.380027777777778</v>
      </c>
      <c r="P10621" s="8" t="s">
        <v>45380</v>
      </c>
      <c r="Q10621" s="8">
        <f>+(10+8/60+58/3600)</f>
        <v>10.149444444444445</v>
      </c>
      <c r="R10621" s="8">
        <v>15</v>
      </c>
      <c r="S10621" s="8">
        <v>16</v>
      </c>
      <c r="T10621" s="8">
        <v>1</v>
      </c>
      <c r="U10621" s="8">
        <v>12.5</v>
      </c>
      <c r="V10621" s="8">
        <v>0.3</v>
      </c>
      <c r="W10621" s="8">
        <v>0.3</v>
      </c>
      <c r="Y10621" s="8" t="s">
        <v>21</v>
      </c>
      <c r="Z10621" s="8" t="s">
        <v>45381</v>
      </c>
    </row>
    <row r="10622" spans="1:26" x14ac:dyDescent="0.2">
      <c r="A10622" s="8">
        <v>10621</v>
      </c>
      <c r="B10622" s="8" t="s">
        <v>45382</v>
      </c>
      <c r="C10622" s="8" t="s">
        <v>45382</v>
      </c>
      <c r="G10622" s="8">
        <v>20</v>
      </c>
      <c r="H10622" s="8" t="s">
        <v>21</v>
      </c>
      <c r="I10622" s="8" t="s">
        <v>22</v>
      </c>
      <c r="J10622" s="8" t="s">
        <v>22</v>
      </c>
      <c r="K10622" s="8" t="s">
        <v>449</v>
      </c>
      <c r="L10622" s="8" t="s">
        <v>13194</v>
      </c>
      <c r="M10622" s="8" t="s">
        <v>13195</v>
      </c>
      <c r="N10622" s="8" t="s">
        <v>45383</v>
      </c>
      <c r="O10622" s="8">
        <f>11+22/60+50.6/3600</f>
        <v>11.380722222222223</v>
      </c>
      <c r="P10622" s="8" t="s">
        <v>45384</v>
      </c>
      <c r="Q10622" s="8">
        <f>+(12+20/60+43/3600)</f>
        <v>12.345277777777778</v>
      </c>
      <c r="R10622" s="8">
        <v>16.7</v>
      </c>
      <c r="S10622" s="8">
        <v>17.5</v>
      </c>
      <c r="T10622" s="8">
        <v>0.8</v>
      </c>
      <c r="U10622" s="8">
        <v>13.5</v>
      </c>
      <c r="V10622" s="8">
        <v>0.3</v>
      </c>
      <c r="W10622" s="8">
        <v>0.2</v>
      </c>
      <c r="X10622" s="8">
        <v>160</v>
      </c>
      <c r="Y10622" s="8" t="s">
        <v>21</v>
      </c>
      <c r="Z10622" s="8" t="s">
        <v>45385</v>
      </c>
    </row>
    <row r="10623" spans="1:26" x14ac:dyDescent="0.2">
      <c r="A10623" s="8">
        <v>10622</v>
      </c>
      <c r="B10623" s="8" t="s">
        <v>45386</v>
      </c>
      <c r="C10623" s="8" t="s">
        <v>45386</v>
      </c>
      <c r="G10623" s="8">
        <v>20</v>
      </c>
      <c r="H10623" s="8" t="s">
        <v>21</v>
      </c>
      <c r="I10623" s="8" t="s">
        <v>22</v>
      </c>
      <c r="J10623" s="8" t="s">
        <v>22</v>
      </c>
      <c r="K10623" s="8" t="s">
        <v>3523</v>
      </c>
      <c r="L10623" s="8" t="s">
        <v>13194</v>
      </c>
      <c r="M10623" s="8" t="s">
        <v>13195</v>
      </c>
      <c r="N10623" s="8" t="s">
        <v>45387</v>
      </c>
      <c r="O10623" s="8">
        <f>11+22/60+55.4/3600</f>
        <v>11.382055555555556</v>
      </c>
      <c r="P10623" s="8" t="s">
        <v>45388</v>
      </c>
      <c r="Q10623" s="8">
        <f>+(13+26/60+29/3600)</f>
        <v>13.441388888888889</v>
      </c>
      <c r="R10623" s="8">
        <v>13.9</v>
      </c>
      <c r="S10623" s="8">
        <v>14.5</v>
      </c>
      <c r="T10623" s="8">
        <v>0.6</v>
      </c>
      <c r="U10623" s="8">
        <v>13.5</v>
      </c>
      <c r="V10623" s="8">
        <v>1.1000000000000001</v>
      </c>
      <c r="W10623" s="8">
        <v>0.9</v>
      </c>
      <c r="X10623" s="8">
        <v>0</v>
      </c>
      <c r="Y10623" s="8" t="s">
        <v>3812</v>
      </c>
      <c r="Z10623" s="8" t="s">
        <v>3813</v>
      </c>
    </row>
    <row r="10624" spans="1:26" x14ac:dyDescent="0.2">
      <c r="A10624" s="8">
        <v>10623</v>
      </c>
      <c r="B10624" s="8" t="s">
        <v>45389</v>
      </c>
      <c r="C10624" s="8" t="s">
        <v>45389</v>
      </c>
      <c r="G10624" s="8">
        <v>20</v>
      </c>
      <c r="H10624" s="8" t="s">
        <v>21</v>
      </c>
      <c r="I10624" s="8" t="s">
        <v>22</v>
      </c>
      <c r="J10624" s="8" t="s">
        <v>22</v>
      </c>
      <c r="K10624" s="8" t="s">
        <v>449</v>
      </c>
      <c r="L10624" s="8" t="s">
        <v>13194</v>
      </c>
      <c r="M10624" s="8" t="s">
        <v>13195</v>
      </c>
      <c r="N10624" s="8" t="s">
        <v>45390</v>
      </c>
      <c r="O10624" s="8">
        <f>11+22/60+53.5/3600</f>
        <v>11.381527777777778</v>
      </c>
      <c r="P10624" s="8" t="s">
        <v>19975</v>
      </c>
      <c r="Q10624" s="8">
        <f>+(8+53/60+4/3600)</f>
        <v>8.8844444444444441</v>
      </c>
      <c r="R10624" s="8">
        <v>15.8</v>
      </c>
      <c r="S10624" s="8">
        <v>16.600000000000001</v>
      </c>
      <c r="T10624" s="8">
        <v>0.8</v>
      </c>
      <c r="U10624" s="8">
        <v>13.2</v>
      </c>
      <c r="V10624" s="8">
        <v>0.5</v>
      </c>
      <c r="W10624" s="8">
        <v>0.2</v>
      </c>
      <c r="X10624" s="8">
        <v>165</v>
      </c>
      <c r="Y10624" s="8" t="s">
        <v>44926</v>
      </c>
      <c r="Z10624" s="8" t="s">
        <v>44927</v>
      </c>
    </row>
    <row r="10625" spans="1:26" x14ac:dyDescent="0.2">
      <c r="A10625" s="8">
        <v>10624</v>
      </c>
      <c r="B10625" s="8" t="s">
        <v>45391</v>
      </c>
      <c r="C10625" s="8" t="s">
        <v>45391</v>
      </c>
      <c r="G10625" s="8">
        <v>20</v>
      </c>
      <c r="H10625" s="8" t="s">
        <v>21</v>
      </c>
      <c r="I10625" s="8" t="s">
        <v>22</v>
      </c>
      <c r="J10625" s="8" t="s">
        <v>22</v>
      </c>
      <c r="K10625" s="8" t="s">
        <v>449</v>
      </c>
      <c r="L10625" s="8" t="s">
        <v>13194</v>
      </c>
      <c r="M10625" s="8" t="s">
        <v>13195</v>
      </c>
      <c r="N10625" s="8" t="s">
        <v>45392</v>
      </c>
      <c r="O10625" s="8">
        <f>11+23/60+11.5/3600</f>
        <v>11.386527777777777</v>
      </c>
      <c r="P10625" s="8" t="s">
        <v>45393</v>
      </c>
      <c r="Q10625" s="8">
        <f>+(13+7/60+6/3600)</f>
        <v>13.118333333333334</v>
      </c>
      <c r="R10625" s="8">
        <v>15.9</v>
      </c>
      <c r="S10625" s="8">
        <v>16.7</v>
      </c>
      <c r="T10625" s="8">
        <v>0.8</v>
      </c>
      <c r="U10625" s="8">
        <v>13</v>
      </c>
      <c r="V10625" s="8">
        <v>0.4</v>
      </c>
      <c r="W10625" s="8">
        <v>0.2</v>
      </c>
      <c r="X10625" s="8">
        <v>40</v>
      </c>
      <c r="Y10625" s="8" t="s">
        <v>21</v>
      </c>
      <c r="Z10625" s="8" t="s">
        <v>45394</v>
      </c>
    </row>
    <row r="10626" spans="1:26" x14ac:dyDescent="0.2">
      <c r="A10626" s="8">
        <v>10625</v>
      </c>
      <c r="B10626" s="8" t="s">
        <v>45395</v>
      </c>
      <c r="C10626" s="8" t="s">
        <v>45395</v>
      </c>
      <c r="G10626" s="8">
        <v>20</v>
      </c>
      <c r="H10626" s="8" t="s">
        <v>21</v>
      </c>
      <c r="I10626" s="8" t="s">
        <v>22</v>
      </c>
      <c r="J10626" s="8" t="s">
        <v>22</v>
      </c>
      <c r="K10626" s="8" t="s">
        <v>449</v>
      </c>
      <c r="L10626" s="8" t="s">
        <v>13194</v>
      </c>
      <c r="M10626" s="8" t="s">
        <v>13195</v>
      </c>
      <c r="N10626" s="8" t="s">
        <v>45396</v>
      </c>
      <c r="O10626" s="8">
        <f>11+23/60+15.3/3600</f>
        <v>11.387583333333334</v>
      </c>
      <c r="P10626" s="8" t="s">
        <v>45397</v>
      </c>
      <c r="Q10626" s="8">
        <f>+(13+23/60+30/3600)</f>
        <v>13.391666666666666</v>
      </c>
      <c r="R10626" s="8">
        <v>15.2</v>
      </c>
      <c r="S10626" s="8">
        <v>16</v>
      </c>
      <c r="T10626" s="8">
        <v>0.8</v>
      </c>
      <c r="U10626" s="8">
        <v>13.3</v>
      </c>
      <c r="V10626" s="8">
        <v>0.5</v>
      </c>
      <c r="W10626" s="8">
        <v>0.4</v>
      </c>
      <c r="X10626" s="8">
        <v>175</v>
      </c>
      <c r="Y10626" s="8" t="s">
        <v>3034</v>
      </c>
      <c r="Z10626" s="8" t="s">
        <v>1899</v>
      </c>
    </row>
    <row r="10627" spans="1:26" x14ac:dyDescent="0.2">
      <c r="A10627" s="8">
        <v>10626</v>
      </c>
      <c r="B10627" s="8" t="s">
        <v>45398</v>
      </c>
      <c r="C10627" s="8" t="s">
        <v>45398</v>
      </c>
      <c r="G10627" s="8">
        <v>20</v>
      </c>
      <c r="H10627" s="8" t="s">
        <v>21</v>
      </c>
      <c r="I10627" s="8" t="s">
        <v>22</v>
      </c>
      <c r="J10627" s="8" t="s">
        <v>22</v>
      </c>
      <c r="K10627" s="8" t="s">
        <v>12036</v>
      </c>
      <c r="L10627" s="8" t="s">
        <v>13194</v>
      </c>
      <c r="M10627" s="8" t="s">
        <v>13195</v>
      </c>
      <c r="N10627" s="8" t="s">
        <v>45399</v>
      </c>
      <c r="O10627" s="8">
        <f>11+23/60+17.5/3600</f>
        <v>11.388194444444444</v>
      </c>
      <c r="P10627" s="8" t="s">
        <v>45400</v>
      </c>
      <c r="Q10627" s="8">
        <f>+(13+23/60+34/3600)</f>
        <v>13.392777777777777</v>
      </c>
      <c r="R10627" s="8">
        <v>14.4</v>
      </c>
      <c r="S10627" s="8">
        <v>15.2</v>
      </c>
      <c r="T10627" s="8">
        <v>0.8</v>
      </c>
      <c r="U10627" s="8">
        <v>12.2</v>
      </c>
      <c r="V10627" s="8">
        <v>0.7</v>
      </c>
      <c r="W10627" s="8">
        <v>0.2</v>
      </c>
      <c r="X10627" s="8">
        <v>116</v>
      </c>
      <c r="Y10627" s="8" t="s">
        <v>45401</v>
      </c>
      <c r="Z10627" s="8" t="s">
        <v>45402</v>
      </c>
    </row>
    <row r="10628" spans="1:26" x14ac:dyDescent="0.2">
      <c r="A10628" s="8">
        <v>10627</v>
      </c>
      <c r="B10628" s="8" t="s">
        <v>45403</v>
      </c>
      <c r="C10628" s="8" t="s">
        <v>45403</v>
      </c>
      <c r="G10628" s="8">
        <v>20</v>
      </c>
      <c r="H10628" s="8" t="s">
        <v>21</v>
      </c>
      <c r="I10628" s="8" t="s">
        <v>22</v>
      </c>
      <c r="J10628" s="8" t="s">
        <v>22</v>
      </c>
      <c r="K10628" s="8" t="s">
        <v>160</v>
      </c>
      <c r="L10628" s="8" t="s">
        <v>13194</v>
      </c>
      <c r="M10628" s="8" t="s">
        <v>13195</v>
      </c>
      <c r="N10628" s="8" t="s">
        <v>45404</v>
      </c>
      <c r="O10628" s="8">
        <f>11+23/60+19.1/3600</f>
        <v>11.388638888888888</v>
      </c>
      <c r="P10628" s="8" t="s">
        <v>45405</v>
      </c>
      <c r="Q10628" s="8">
        <f>+(13+37/60+47/3600)</f>
        <v>13.629722222222222</v>
      </c>
      <c r="R10628" s="8">
        <v>14.1</v>
      </c>
      <c r="S10628" s="8">
        <v>14.8</v>
      </c>
      <c r="T10628" s="8">
        <v>0.7</v>
      </c>
      <c r="U10628" s="8">
        <v>13.2</v>
      </c>
      <c r="V10628" s="8">
        <v>0.7</v>
      </c>
      <c r="W10628" s="8">
        <v>0.7</v>
      </c>
      <c r="Y10628" s="8" t="s">
        <v>11841</v>
      </c>
      <c r="Z10628" s="8" t="s">
        <v>11842</v>
      </c>
    </row>
    <row r="10629" spans="1:26" x14ac:dyDescent="0.2">
      <c r="A10629" s="8">
        <v>10628</v>
      </c>
      <c r="B10629" s="8" t="s">
        <v>45406</v>
      </c>
      <c r="C10629" s="8" t="s">
        <v>45406</v>
      </c>
      <c r="E10629" s="8">
        <v>2</v>
      </c>
      <c r="G10629" s="8">
        <v>20</v>
      </c>
      <c r="H10629" s="8" t="s">
        <v>21</v>
      </c>
      <c r="I10629" s="8" t="s">
        <v>22</v>
      </c>
      <c r="J10629" s="8" t="s">
        <v>22</v>
      </c>
      <c r="K10629" s="8" t="s">
        <v>449</v>
      </c>
      <c r="L10629" s="8" t="s">
        <v>13194</v>
      </c>
      <c r="M10629" s="8" t="s">
        <v>13195</v>
      </c>
      <c r="N10629" s="8" t="s">
        <v>45407</v>
      </c>
      <c r="O10629" s="8">
        <f>11+23/60+27/3600</f>
        <v>11.390833333333333</v>
      </c>
      <c r="P10629" s="8" t="s">
        <v>45408</v>
      </c>
      <c r="Q10629" s="8">
        <f>+(12+41/60+53/3600)</f>
        <v>12.698055555555555</v>
      </c>
      <c r="R10629" s="8">
        <v>16.2</v>
      </c>
      <c r="S10629" s="8">
        <v>17</v>
      </c>
      <c r="T10629" s="8">
        <v>0.8</v>
      </c>
      <c r="U10629" s="8">
        <v>13</v>
      </c>
      <c r="V10629" s="8">
        <v>0.3</v>
      </c>
      <c r="W10629" s="8">
        <v>0.2</v>
      </c>
      <c r="X10629" s="8">
        <v>0</v>
      </c>
      <c r="Y10629" s="8" t="s">
        <v>170</v>
      </c>
      <c r="Z10629" s="8" t="s">
        <v>171</v>
      </c>
    </row>
    <row r="10630" spans="1:26" x14ac:dyDescent="0.2">
      <c r="A10630" s="8">
        <v>10629</v>
      </c>
      <c r="B10630" s="8" t="s">
        <v>45409</v>
      </c>
      <c r="C10630" s="8" t="s">
        <v>45409</v>
      </c>
      <c r="G10630" s="8">
        <v>20</v>
      </c>
      <c r="H10630" s="8" t="s">
        <v>21</v>
      </c>
      <c r="I10630" s="8" t="s">
        <v>72</v>
      </c>
      <c r="J10630" s="8" t="s">
        <v>72</v>
      </c>
      <c r="K10630" s="8" t="s">
        <v>73</v>
      </c>
      <c r="L10630" s="8" t="s">
        <v>13194</v>
      </c>
      <c r="M10630" s="8" t="s">
        <v>13195</v>
      </c>
      <c r="N10630" s="8" t="s">
        <v>45410</v>
      </c>
      <c r="O10630" s="8">
        <f>11+23/60+33/3600</f>
        <v>11.3925</v>
      </c>
      <c r="P10630" s="8" t="s">
        <v>45411</v>
      </c>
      <c r="Q10630" s="8">
        <f>+(14+11/60+12/3600)</f>
        <v>14.186666666666667</v>
      </c>
      <c r="R10630" s="8">
        <v>99</v>
      </c>
      <c r="S10630" s="8">
        <v>99</v>
      </c>
      <c r="T10630" s="8">
        <v>99</v>
      </c>
      <c r="U10630" s="8">
        <v>99</v>
      </c>
      <c r="Y10630" s="8" t="s">
        <v>121</v>
      </c>
      <c r="Z10630" s="8" t="s">
        <v>122</v>
      </c>
    </row>
    <row r="10631" spans="1:26" x14ac:dyDescent="0.2">
      <c r="A10631" s="8">
        <v>10630</v>
      </c>
      <c r="B10631" s="8" t="s">
        <v>45412</v>
      </c>
      <c r="C10631" s="8" t="s">
        <v>45412</v>
      </c>
      <c r="G10631" s="8">
        <v>20</v>
      </c>
      <c r="H10631" s="8" t="s">
        <v>21</v>
      </c>
      <c r="I10631" s="8" t="s">
        <v>22</v>
      </c>
      <c r="J10631" s="8" t="s">
        <v>22</v>
      </c>
      <c r="K10631" s="8" t="s">
        <v>460</v>
      </c>
      <c r="L10631" s="8" t="s">
        <v>13194</v>
      </c>
      <c r="M10631" s="8" t="s">
        <v>13195</v>
      </c>
      <c r="N10631" s="8" t="s">
        <v>45413</v>
      </c>
      <c r="O10631" s="8">
        <f>11+23/60+34/3600</f>
        <v>11.392777777777777</v>
      </c>
      <c r="P10631" s="8" t="s">
        <v>45414</v>
      </c>
      <c r="Q10631" s="8">
        <f>+(9+33/60+17/3600)</f>
        <v>9.5547222222222228</v>
      </c>
      <c r="R10631" s="8">
        <v>16</v>
      </c>
      <c r="S10631" s="8">
        <v>17</v>
      </c>
      <c r="T10631" s="8">
        <v>1</v>
      </c>
      <c r="U10631" s="8">
        <v>14.1</v>
      </c>
      <c r="V10631" s="8">
        <v>0.4</v>
      </c>
      <c r="W10631" s="8">
        <v>0.4</v>
      </c>
      <c r="Y10631" s="8" t="s">
        <v>5139</v>
      </c>
      <c r="Z10631" s="8" t="s">
        <v>5140</v>
      </c>
    </row>
    <row r="10632" spans="1:26" x14ac:dyDescent="0.2">
      <c r="A10632" s="8">
        <v>10631</v>
      </c>
      <c r="B10632" s="8" t="s">
        <v>45415</v>
      </c>
      <c r="C10632" s="8" t="s">
        <v>45415</v>
      </c>
      <c r="G10632" s="8">
        <v>20</v>
      </c>
      <c r="H10632" s="8" t="s">
        <v>21</v>
      </c>
      <c r="I10632" s="8" t="s">
        <v>22</v>
      </c>
      <c r="J10632" s="8" t="s">
        <v>22</v>
      </c>
      <c r="K10632" s="8" t="s">
        <v>449</v>
      </c>
      <c r="L10632" s="8" t="s">
        <v>13194</v>
      </c>
      <c r="M10632" s="8" t="s">
        <v>13195</v>
      </c>
      <c r="N10632" s="8" t="s">
        <v>45416</v>
      </c>
      <c r="O10632" s="8">
        <f>11+23/60+37.5/3600</f>
        <v>11.393749999999999</v>
      </c>
      <c r="P10632" s="8" t="s">
        <v>45417</v>
      </c>
      <c r="Q10632" s="8">
        <f>+(12+53/60+47/3600)</f>
        <v>12.896388888888888</v>
      </c>
      <c r="R10632" s="8">
        <v>15.7</v>
      </c>
      <c r="S10632" s="8">
        <v>16.5</v>
      </c>
      <c r="T10632" s="8">
        <v>0.8</v>
      </c>
      <c r="U10632" s="8">
        <v>11.7</v>
      </c>
      <c r="V10632" s="8">
        <v>0.3</v>
      </c>
      <c r="W10632" s="8">
        <v>0.1</v>
      </c>
      <c r="X10632" s="8">
        <v>160</v>
      </c>
      <c r="Y10632" s="8" t="s">
        <v>45185</v>
      </c>
      <c r="Z10632" s="8" t="s">
        <v>45186</v>
      </c>
    </row>
    <row r="10633" spans="1:26" x14ac:dyDescent="0.2">
      <c r="A10633" s="8">
        <v>10632</v>
      </c>
      <c r="B10633" s="8" t="s">
        <v>45418</v>
      </c>
      <c r="C10633" s="8" t="s">
        <v>45418</v>
      </c>
      <c r="G10633" s="8">
        <v>20</v>
      </c>
      <c r="H10633" s="8" t="s">
        <v>21</v>
      </c>
      <c r="I10633" s="8" t="s">
        <v>22</v>
      </c>
      <c r="J10633" s="8" t="s">
        <v>22</v>
      </c>
      <c r="K10633" s="8" t="s">
        <v>449</v>
      </c>
      <c r="L10633" s="8" t="s">
        <v>13194</v>
      </c>
      <c r="M10633" s="8" t="s">
        <v>13195</v>
      </c>
      <c r="N10633" s="8" t="s">
        <v>45419</v>
      </c>
      <c r="O10633" s="8">
        <f>11+23/60+41.5/3600</f>
        <v>11.39486111111111</v>
      </c>
      <c r="P10633" s="8" t="s">
        <v>45420</v>
      </c>
      <c r="Q10633" s="8">
        <f>+(11+24/60+15/3600)</f>
        <v>11.404166666666667</v>
      </c>
      <c r="R10633" s="8">
        <v>15.2</v>
      </c>
      <c r="S10633" s="8">
        <v>16</v>
      </c>
      <c r="T10633" s="8">
        <v>0.8</v>
      </c>
      <c r="U10633" s="8">
        <v>12.3</v>
      </c>
      <c r="V10633" s="8">
        <v>0.4</v>
      </c>
      <c r="W10633" s="8">
        <v>0.2</v>
      </c>
      <c r="X10633" s="8">
        <v>85</v>
      </c>
      <c r="Y10633" s="8" t="s">
        <v>895</v>
      </c>
      <c r="Z10633" s="8" t="s">
        <v>896</v>
      </c>
    </row>
    <row r="10634" spans="1:26" x14ac:dyDescent="0.2">
      <c r="A10634" s="8">
        <v>10633</v>
      </c>
      <c r="B10634" s="8" t="s">
        <v>45421</v>
      </c>
      <c r="C10634" s="8" t="s">
        <v>45421</v>
      </c>
      <c r="E10634" s="8">
        <v>1</v>
      </c>
      <c r="G10634" s="8">
        <v>20</v>
      </c>
      <c r="H10634" s="8" t="s">
        <v>21</v>
      </c>
      <c r="I10634" s="8" t="s">
        <v>22</v>
      </c>
      <c r="J10634" s="8" t="s">
        <v>22</v>
      </c>
      <c r="K10634" s="8" t="s">
        <v>424</v>
      </c>
      <c r="L10634" s="8" t="s">
        <v>13194</v>
      </c>
      <c r="M10634" s="8" t="s">
        <v>13195</v>
      </c>
      <c r="N10634" s="8" t="s">
        <v>45422</v>
      </c>
      <c r="O10634" s="8">
        <f>11+23/60+47.3/3600</f>
        <v>11.396472222222222</v>
      </c>
      <c r="P10634" s="8" t="s">
        <v>45423</v>
      </c>
      <c r="Q10634" s="8">
        <f>+(9+27/60+4/3600)</f>
        <v>9.4511111111111106</v>
      </c>
      <c r="R10634" s="8">
        <v>15</v>
      </c>
      <c r="S10634" s="8">
        <v>16</v>
      </c>
      <c r="T10634" s="8">
        <v>1</v>
      </c>
      <c r="U10634" s="8">
        <v>12.9</v>
      </c>
      <c r="V10634" s="8">
        <v>0.4</v>
      </c>
      <c r="W10634" s="8">
        <v>0.4</v>
      </c>
      <c r="Y10634" s="8" t="s">
        <v>37393</v>
      </c>
      <c r="Z10634" s="8" t="s">
        <v>37394</v>
      </c>
    </row>
    <row r="10635" spans="1:26" x14ac:dyDescent="0.2">
      <c r="A10635" s="8">
        <v>10634</v>
      </c>
      <c r="B10635" s="8" t="s">
        <v>45424</v>
      </c>
      <c r="C10635" s="8" t="s">
        <v>45424</v>
      </c>
      <c r="G10635" s="8">
        <v>20</v>
      </c>
      <c r="H10635" s="8" t="s">
        <v>21</v>
      </c>
      <c r="I10635" s="8" t="s">
        <v>72</v>
      </c>
      <c r="J10635" s="8" t="s">
        <v>72</v>
      </c>
      <c r="K10635" s="8" t="s">
        <v>20</v>
      </c>
      <c r="L10635" s="8" t="s">
        <v>13194</v>
      </c>
      <c r="M10635" s="8" t="s">
        <v>13195</v>
      </c>
      <c r="N10635" s="8" t="s">
        <v>45425</v>
      </c>
      <c r="O10635" s="8">
        <f>11+24/60+3.6/3600</f>
        <v>11.401</v>
      </c>
      <c r="P10635" s="8" t="s">
        <v>45426</v>
      </c>
      <c r="Q10635" s="8">
        <f>+(12+47/60+29/3600)</f>
        <v>12.791388888888889</v>
      </c>
      <c r="R10635" s="8">
        <v>99</v>
      </c>
      <c r="S10635" s="8">
        <v>99</v>
      </c>
      <c r="T10635" s="8">
        <v>99</v>
      </c>
      <c r="U10635" s="8">
        <v>99</v>
      </c>
      <c r="Y10635" s="8" t="s">
        <v>15909</v>
      </c>
      <c r="Z10635" s="8" t="s">
        <v>15910</v>
      </c>
    </row>
    <row r="10636" spans="1:26" x14ac:dyDescent="0.2">
      <c r="A10636" s="8">
        <v>10635</v>
      </c>
      <c r="B10636" s="8" t="s">
        <v>45427</v>
      </c>
      <c r="C10636" s="8" t="s">
        <v>45427</v>
      </c>
      <c r="G10636" s="8">
        <v>20</v>
      </c>
      <c r="H10636" s="8" t="s">
        <v>21</v>
      </c>
      <c r="I10636" s="8" t="s">
        <v>22</v>
      </c>
      <c r="J10636" s="8" t="s">
        <v>22</v>
      </c>
      <c r="K10636" s="8" t="s">
        <v>382</v>
      </c>
      <c r="L10636" s="8" t="s">
        <v>13194</v>
      </c>
      <c r="M10636" s="8" t="s">
        <v>13195</v>
      </c>
      <c r="N10636" s="8" t="s">
        <v>45428</v>
      </c>
      <c r="O10636" s="8">
        <f>11+24/60+4/3600</f>
        <v>11.401111111111112</v>
      </c>
      <c r="P10636" s="8" t="s">
        <v>45429</v>
      </c>
      <c r="Q10636" s="8">
        <f>+(12+8/60+8/3600)</f>
        <v>12.135555555555555</v>
      </c>
      <c r="R10636" s="8">
        <v>16.899999999999999</v>
      </c>
      <c r="S10636" s="8">
        <v>17.899999999999999</v>
      </c>
      <c r="T10636" s="8">
        <v>1</v>
      </c>
      <c r="U10636" s="8">
        <v>13.9</v>
      </c>
      <c r="V10636" s="8">
        <v>0.3</v>
      </c>
      <c r="W10636" s="8">
        <v>0.2</v>
      </c>
      <c r="X10636" s="8">
        <v>60</v>
      </c>
      <c r="Y10636" s="8" t="s">
        <v>2181</v>
      </c>
      <c r="Z10636" s="8" t="s">
        <v>2182</v>
      </c>
    </row>
    <row r="10637" spans="1:26" x14ac:dyDescent="0.2">
      <c r="A10637" s="8">
        <v>10636</v>
      </c>
      <c r="B10637" s="8" t="s">
        <v>45430</v>
      </c>
      <c r="C10637" s="8" t="s">
        <v>45430</v>
      </c>
      <c r="E10637" s="8">
        <v>1</v>
      </c>
      <c r="G10637" s="8">
        <v>20</v>
      </c>
      <c r="H10637" s="8" t="s">
        <v>21</v>
      </c>
      <c r="I10637" s="8" t="s">
        <v>22</v>
      </c>
      <c r="J10637" s="8" t="s">
        <v>22</v>
      </c>
      <c r="K10637" s="8" t="s">
        <v>449</v>
      </c>
      <c r="L10637" s="8" t="s">
        <v>13194</v>
      </c>
      <c r="M10637" s="8" t="s">
        <v>13195</v>
      </c>
      <c r="N10637" s="8" t="s">
        <v>45431</v>
      </c>
      <c r="O10637" s="8">
        <f>11+24/60+8.3/3600</f>
        <v>11.402305555555555</v>
      </c>
      <c r="P10637" s="8" t="s">
        <v>45432</v>
      </c>
      <c r="Q10637" s="8">
        <f>+(9+20/60+45/3600)</f>
        <v>9.3458333333333332</v>
      </c>
      <c r="R10637" s="8">
        <v>15.2</v>
      </c>
      <c r="S10637" s="8">
        <v>16</v>
      </c>
      <c r="T10637" s="8">
        <v>0.8</v>
      </c>
      <c r="U10637" s="8">
        <v>12.7</v>
      </c>
      <c r="V10637" s="8">
        <v>0.4</v>
      </c>
      <c r="W10637" s="8">
        <v>0.3</v>
      </c>
      <c r="X10637" s="8">
        <v>30</v>
      </c>
      <c r="Y10637" s="8" t="s">
        <v>5139</v>
      </c>
      <c r="Z10637" s="8" t="s">
        <v>5140</v>
      </c>
    </row>
    <row r="10638" spans="1:26" x14ac:dyDescent="0.2">
      <c r="A10638" s="8">
        <v>10637</v>
      </c>
      <c r="B10638" s="8" t="s">
        <v>45433</v>
      </c>
      <c r="C10638" s="8" t="s">
        <v>45433</v>
      </c>
      <c r="G10638" s="8">
        <v>20</v>
      </c>
      <c r="H10638" s="8" t="s">
        <v>21</v>
      </c>
      <c r="I10638" s="8" t="s">
        <v>22</v>
      </c>
      <c r="J10638" s="8" t="s">
        <v>22</v>
      </c>
      <c r="K10638" s="8" t="s">
        <v>449</v>
      </c>
      <c r="L10638" s="8" t="s">
        <v>13194</v>
      </c>
      <c r="M10638" s="8" t="s">
        <v>13195</v>
      </c>
      <c r="N10638" s="8" t="s">
        <v>45434</v>
      </c>
      <c r="O10638" s="8">
        <f>11+24/60+21/3600</f>
        <v>11.405833333333334</v>
      </c>
      <c r="P10638" s="8" t="s">
        <v>45435</v>
      </c>
      <c r="Q10638" s="8">
        <f>+(11+42/60+23/3600)</f>
        <v>11.706388888888888</v>
      </c>
      <c r="R10638" s="8">
        <v>16.3</v>
      </c>
      <c r="S10638" s="8">
        <v>17.100000000000001</v>
      </c>
      <c r="T10638" s="8">
        <v>0.8</v>
      </c>
      <c r="U10638" s="8">
        <v>13.8</v>
      </c>
      <c r="V10638" s="8">
        <v>0.4</v>
      </c>
      <c r="W10638" s="8">
        <v>0.3</v>
      </c>
      <c r="X10638" s="8">
        <v>140</v>
      </c>
      <c r="Y10638" s="8" t="s">
        <v>3952</v>
      </c>
      <c r="Z10638" s="8" t="s">
        <v>3953</v>
      </c>
    </row>
    <row r="10639" spans="1:26" x14ac:dyDescent="0.2">
      <c r="A10639" s="8">
        <v>10638</v>
      </c>
      <c r="B10639" s="8" t="s">
        <v>45436</v>
      </c>
      <c r="C10639" s="8" t="s">
        <v>45436</v>
      </c>
      <c r="G10639" s="8">
        <v>20</v>
      </c>
      <c r="H10639" s="8" t="s">
        <v>21</v>
      </c>
      <c r="I10639" s="8" t="s">
        <v>22</v>
      </c>
      <c r="J10639" s="8" t="s">
        <v>22</v>
      </c>
      <c r="K10639" s="8" t="s">
        <v>160</v>
      </c>
      <c r="L10639" s="8" t="s">
        <v>13194</v>
      </c>
      <c r="M10639" s="8" t="s">
        <v>13195</v>
      </c>
      <c r="N10639" s="8" t="s">
        <v>45437</v>
      </c>
      <c r="O10639" s="8">
        <f>11+24/60+24/3600</f>
        <v>11.406666666666666</v>
      </c>
      <c r="P10639" s="8" t="s">
        <v>45438</v>
      </c>
      <c r="Q10639" s="8">
        <f>+(12+24/60+57/3600)</f>
        <v>12.415833333333333</v>
      </c>
      <c r="R10639" s="8">
        <v>15.3</v>
      </c>
      <c r="S10639" s="8">
        <v>16</v>
      </c>
      <c r="T10639" s="8">
        <v>0.7</v>
      </c>
      <c r="U10639" s="8">
        <v>12.4</v>
      </c>
      <c r="V10639" s="8">
        <v>0.8</v>
      </c>
      <c r="W10639" s="8">
        <v>0.1</v>
      </c>
      <c r="X10639" s="8">
        <v>175</v>
      </c>
      <c r="Y10639" s="8" t="s">
        <v>45194</v>
      </c>
      <c r="Z10639" s="8" t="s">
        <v>45195</v>
      </c>
    </row>
    <row r="10640" spans="1:26" x14ac:dyDescent="0.2">
      <c r="A10640" s="8">
        <v>10639</v>
      </c>
      <c r="B10640" s="8" t="s">
        <v>45439</v>
      </c>
      <c r="C10640" s="8" t="s">
        <v>45439</v>
      </c>
      <c r="G10640" s="8">
        <v>20</v>
      </c>
      <c r="H10640" s="8" t="s">
        <v>21</v>
      </c>
      <c r="I10640" s="8" t="s">
        <v>22</v>
      </c>
      <c r="J10640" s="8" t="s">
        <v>22</v>
      </c>
      <c r="K10640" s="8" t="s">
        <v>37986</v>
      </c>
      <c r="L10640" s="8" t="s">
        <v>13194</v>
      </c>
      <c r="M10640" s="8" t="s">
        <v>13195</v>
      </c>
      <c r="N10640" s="8" t="s">
        <v>45440</v>
      </c>
      <c r="O10640" s="8">
        <f>11+24/60+26.6/3600</f>
        <v>11.407388888888889</v>
      </c>
      <c r="P10640" s="8" t="s">
        <v>45441</v>
      </c>
      <c r="Q10640" s="8">
        <f>+(13+50/60+58/3600)</f>
        <v>13.849444444444446</v>
      </c>
      <c r="R10640" s="8">
        <v>16.600000000000001</v>
      </c>
      <c r="S10640" s="8">
        <v>17.399999999999999</v>
      </c>
      <c r="T10640" s="8">
        <v>0.8</v>
      </c>
      <c r="U10640" s="8">
        <v>13.4</v>
      </c>
      <c r="V10640" s="8">
        <v>0.3</v>
      </c>
      <c r="W10640" s="8">
        <v>0.2</v>
      </c>
      <c r="X10640" s="8">
        <v>160</v>
      </c>
      <c r="Y10640" s="8" t="s">
        <v>45218</v>
      </c>
      <c r="Z10640" s="8" t="s">
        <v>45219</v>
      </c>
    </row>
    <row r="10641" spans="1:26" x14ac:dyDescent="0.2">
      <c r="A10641" s="8">
        <v>10640</v>
      </c>
      <c r="B10641" s="8" t="s">
        <v>45442</v>
      </c>
      <c r="C10641" s="8" t="s">
        <v>45442</v>
      </c>
      <c r="G10641" s="8">
        <v>20</v>
      </c>
      <c r="H10641" s="8" t="s">
        <v>21</v>
      </c>
      <c r="I10641" s="8" t="s">
        <v>22</v>
      </c>
      <c r="J10641" s="8" t="s">
        <v>22</v>
      </c>
      <c r="K10641" s="8" t="s">
        <v>449</v>
      </c>
      <c r="L10641" s="8" t="s">
        <v>13194</v>
      </c>
      <c r="M10641" s="8" t="s">
        <v>13195</v>
      </c>
      <c r="N10641" s="8" t="s">
        <v>45443</v>
      </c>
      <c r="O10641" s="8">
        <f>11+24/60+27/3600</f>
        <v>11.407500000000001</v>
      </c>
      <c r="P10641" s="8" t="s">
        <v>45444</v>
      </c>
      <c r="Q10641" s="8">
        <f>+(12+12/60+32/3600)</f>
        <v>12.208888888888888</v>
      </c>
      <c r="R10641" s="8">
        <v>15.2</v>
      </c>
      <c r="S10641" s="8">
        <v>16</v>
      </c>
      <c r="T10641" s="8">
        <v>0.8</v>
      </c>
      <c r="U10641" s="8">
        <v>12.6</v>
      </c>
      <c r="V10641" s="8">
        <v>0.5</v>
      </c>
      <c r="W10641" s="8">
        <v>0.2</v>
      </c>
      <c r="X10641" s="8">
        <v>95</v>
      </c>
      <c r="Y10641" s="8" t="s">
        <v>2248</v>
      </c>
      <c r="Z10641" s="8" t="s">
        <v>2249</v>
      </c>
    </row>
    <row r="10642" spans="1:26" x14ac:dyDescent="0.2">
      <c r="A10642" s="8">
        <v>10641</v>
      </c>
      <c r="B10642" s="8" t="s">
        <v>45445</v>
      </c>
      <c r="C10642" s="8" t="s">
        <v>45445</v>
      </c>
      <c r="G10642" s="8">
        <v>20</v>
      </c>
      <c r="H10642" s="8" t="s">
        <v>21</v>
      </c>
      <c r="I10642" s="8" t="s">
        <v>22</v>
      </c>
      <c r="J10642" s="8" t="s">
        <v>22</v>
      </c>
      <c r="K10642" s="8" t="s">
        <v>1174</v>
      </c>
      <c r="L10642" s="8" t="s">
        <v>13194</v>
      </c>
      <c r="M10642" s="8" t="s">
        <v>13195</v>
      </c>
      <c r="N10642" s="8" t="s">
        <v>45446</v>
      </c>
      <c r="O10642" s="8">
        <f>11+24/60+29/3600</f>
        <v>11.408055555555556</v>
      </c>
      <c r="P10642" s="8" t="s">
        <v>45447</v>
      </c>
      <c r="Q10642" s="8">
        <f>+(10+11/60+1/3600)</f>
        <v>10.183611111111111</v>
      </c>
      <c r="R10642" s="8">
        <v>15</v>
      </c>
      <c r="S10642" s="8">
        <v>15.8</v>
      </c>
      <c r="T10642" s="8">
        <v>0.8</v>
      </c>
      <c r="U10642" s="8">
        <v>12.8</v>
      </c>
      <c r="V10642" s="8">
        <v>0.5</v>
      </c>
      <c r="W10642" s="8">
        <v>0.3</v>
      </c>
      <c r="X10642" s="8">
        <v>90</v>
      </c>
      <c r="Y10642" s="8" t="s">
        <v>44849</v>
      </c>
      <c r="Z10642" s="8" t="s">
        <v>44850</v>
      </c>
    </row>
    <row r="10643" spans="1:26" x14ac:dyDescent="0.2">
      <c r="A10643" s="8">
        <v>10642</v>
      </c>
      <c r="B10643" s="8" t="s">
        <v>45448</v>
      </c>
      <c r="C10643" s="8" t="s">
        <v>45448</v>
      </c>
      <c r="G10643" s="8">
        <v>20</v>
      </c>
      <c r="H10643" s="8" t="s">
        <v>21</v>
      </c>
      <c r="I10643" s="8" t="s">
        <v>22</v>
      </c>
      <c r="J10643" s="8" t="s">
        <v>22</v>
      </c>
      <c r="K10643" s="8" t="s">
        <v>460</v>
      </c>
      <c r="L10643" s="8" t="s">
        <v>13194</v>
      </c>
      <c r="M10643" s="8" t="s">
        <v>13195</v>
      </c>
      <c r="N10643" s="8" t="s">
        <v>45449</v>
      </c>
      <c r="O10643" s="8">
        <f>11+24/60+30.3/3600</f>
        <v>11.408416666666668</v>
      </c>
      <c r="P10643" s="8" t="s">
        <v>45444</v>
      </c>
      <c r="Q10643" s="8">
        <f>+(12+12/60+32/3600)</f>
        <v>12.208888888888888</v>
      </c>
      <c r="R10643" s="8">
        <v>15.5</v>
      </c>
      <c r="S10643" s="8">
        <v>16.5</v>
      </c>
      <c r="T10643" s="8">
        <v>1</v>
      </c>
      <c r="U10643" s="8">
        <v>12.1</v>
      </c>
      <c r="V10643" s="8">
        <v>0.2</v>
      </c>
      <c r="W10643" s="8">
        <v>0.2</v>
      </c>
      <c r="Y10643" s="8" t="s">
        <v>45450</v>
      </c>
      <c r="Z10643" s="8" t="s">
        <v>45451</v>
      </c>
    </row>
    <row r="10644" spans="1:26" x14ac:dyDescent="0.2">
      <c r="A10644" s="8">
        <v>10643</v>
      </c>
      <c r="B10644" s="8" t="s">
        <v>45452</v>
      </c>
      <c r="C10644" s="8" t="s">
        <v>45452</v>
      </c>
      <c r="G10644" s="8">
        <v>20</v>
      </c>
      <c r="H10644" s="8" t="s">
        <v>21</v>
      </c>
      <c r="I10644" s="8" t="s">
        <v>22</v>
      </c>
      <c r="J10644" s="8" t="s">
        <v>22</v>
      </c>
      <c r="K10644" s="8" t="s">
        <v>449</v>
      </c>
      <c r="L10644" s="8" t="s">
        <v>13194</v>
      </c>
      <c r="M10644" s="8" t="s">
        <v>13195</v>
      </c>
      <c r="N10644" s="8" t="s">
        <v>45453</v>
      </c>
      <c r="O10644" s="8">
        <f>11+24/60+35.3/3600</f>
        <v>11.409805555555556</v>
      </c>
      <c r="P10644" s="8" t="s">
        <v>45454</v>
      </c>
      <c r="Q10644" s="8">
        <f>+(9+51/60+0/3600)</f>
        <v>9.85</v>
      </c>
      <c r="R10644" s="8">
        <v>15.2</v>
      </c>
      <c r="S10644" s="8">
        <v>16</v>
      </c>
      <c r="T10644" s="8">
        <v>0.8</v>
      </c>
      <c r="U10644" s="8">
        <v>11.6</v>
      </c>
      <c r="V10644" s="8">
        <v>0.4</v>
      </c>
      <c r="W10644" s="8">
        <v>0.1</v>
      </c>
      <c r="X10644" s="8">
        <v>55</v>
      </c>
      <c r="Y10644" s="8" t="s">
        <v>21</v>
      </c>
      <c r="Z10644" s="8" t="s">
        <v>45455</v>
      </c>
    </row>
    <row r="10645" spans="1:26" x14ac:dyDescent="0.2">
      <c r="A10645" s="8">
        <v>10644</v>
      </c>
      <c r="B10645" s="8" t="s">
        <v>45456</v>
      </c>
      <c r="C10645" s="8" t="s">
        <v>45456</v>
      </c>
      <c r="G10645" s="8">
        <v>20</v>
      </c>
      <c r="H10645" s="8" t="s">
        <v>21</v>
      </c>
      <c r="I10645" s="8" t="s">
        <v>22</v>
      </c>
      <c r="J10645" s="8" t="s">
        <v>22</v>
      </c>
      <c r="K10645" s="8" t="s">
        <v>160</v>
      </c>
      <c r="L10645" s="8" t="s">
        <v>13194</v>
      </c>
      <c r="M10645" s="8" t="s">
        <v>13195</v>
      </c>
      <c r="N10645" s="8" t="s">
        <v>45457</v>
      </c>
      <c r="O10645" s="8">
        <f>11+24/60+55.7/3600</f>
        <v>11.415472222222222</v>
      </c>
      <c r="P10645" s="8" t="s">
        <v>45458</v>
      </c>
      <c r="Q10645" s="8">
        <f>+(13+13/60+22/3600)</f>
        <v>13.222777777777777</v>
      </c>
      <c r="R10645" s="8">
        <v>14.2</v>
      </c>
      <c r="S10645" s="8">
        <v>14.9</v>
      </c>
      <c r="T10645" s="8">
        <v>0.7</v>
      </c>
      <c r="U10645" s="8">
        <v>12.6</v>
      </c>
      <c r="V10645" s="8">
        <v>0.9</v>
      </c>
      <c r="W10645" s="8">
        <v>0.2</v>
      </c>
      <c r="X10645" s="8">
        <v>12</v>
      </c>
      <c r="Y10645" s="8" t="s">
        <v>21</v>
      </c>
      <c r="Z10645" s="8" t="s">
        <v>45459</v>
      </c>
    </row>
    <row r="10646" spans="1:26" x14ac:dyDescent="0.2">
      <c r="A10646" s="8">
        <v>10645</v>
      </c>
      <c r="B10646" s="8" t="s">
        <v>45460</v>
      </c>
      <c r="C10646" s="8" t="s">
        <v>45460</v>
      </c>
      <c r="G10646" s="8">
        <v>20</v>
      </c>
      <c r="H10646" s="8" t="s">
        <v>21</v>
      </c>
      <c r="I10646" s="8" t="s">
        <v>72</v>
      </c>
      <c r="J10646" s="8" t="s">
        <v>72</v>
      </c>
      <c r="K10646" s="8" t="s">
        <v>73</v>
      </c>
      <c r="L10646" s="8" t="s">
        <v>13194</v>
      </c>
      <c r="M10646" s="8" t="s">
        <v>13195</v>
      </c>
      <c r="N10646" s="8" t="s">
        <v>45461</v>
      </c>
      <c r="O10646" s="8">
        <f>11+24/60+59.9/3600</f>
        <v>11.416638888888889</v>
      </c>
      <c r="P10646" s="8" t="s">
        <v>45462</v>
      </c>
      <c r="Q10646" s="8">
        <f>+(14+0/60+54/3600)</f>
        <v>14.015000000000001</v>
      </c>
      <c r="R10646" s="8">
        <v>99</v>
      </c>
      <c r="S10646" s="8">
        <v>99</v>
      </c>
      <c r="T10646" s="8">
        <v>99</v>
      </c>
      <c r="U10646" s="8">
        <v>99</v>
      </c>
      <c r="Y10646" s="8" t="s">
        <v>45463</v>
      </c>
      <c r="Z10646" s="8" t="s">
        <v>45464</v>
      </c>
    </row>
    <row r="10647" spans="1:26" x14ac:dyDescent="0.2">
      <c r="A10647" s="8">
        <v>10646</v>
      </c>
      <c r="B10647" s="8" t="s">
        <v>45465</v>
      </c>
      <c r="C10647" s="8" t="s">
        <v>45465</v>
      </c>
      <c r="G10647" s="8">
        <v>20</v>
      </c>
      <c r="H10647" s="8" t="s">
        <v>21</v>
      </c>
      <c r="I10647" s="8" t="s">
        <v>72</v>
      </c>
      <c r="J10647" s="8" t="s">
        <v>72</v>
      </c>
      <c r="K10647" s="8" t="s">
        <v>20</v>
      </c>
      <c r="L10647" s="8" t="s">
        <v>13194</v>
      </c>
      <c r="M10647" s="8" t="s">
        <v>13195</v>
      </c>
      <c r="N10647" s="8" t="s">
        <v>45466</v>
      </c>
      <c r="O10647" s="8">
        <f>11+25/60+15.2/3600</f>
        <v>11.420888888888888</v>
      </c>
      <c r="P10647" s="8" t="s">
        <v>45467</v>
      </c>
      <c r="Q10647" s="8">
        <f>+(9+39/60+11/3600)</f>
        <v>9.6530555555555555</v>
      </c>
      <c r="R10647" s="8">
        <v>99</v>
      </c>
      <c r="S10647" s="8">
        <v>99</v>
      </c>
      <c r="T10647" s="8">
        <v>99</v>
      </c>
      <c r="U10647" s="8">
        <v>99</v>
      </c>
      <c r="Y10647" s="8" t="s">
        <v>21</v>
      </c>
      <c r="Z10647" s="8" t="s">
        <v>45468</v>
      </c>
    </row>
    <row r="10648" spans="1:26" x14ac:dyDescent="0.2">
      <c r="A10648" s="8">
        <v>10647</v>
      </c>
      <c r="B10648" s="8" t="s">
        <v>45469</v>
      </c>
      <c r="C10648" s="8" t="s">
        <v>45469</v>
      </c>
      <c r="G10648" s="8">
        <v>20</v>
      </c>
      <c r="H10648" s="8" t="s">
        <v>21</v>
      </c>
      <c r="I10648" s="8" t="s">
        <v>22</v>
      </c>
      <c r="J10648" s="8" t="s">
        <v>22</v>
      </c>
      <c r="K10648" s="8" t="s">
        <v>449</v>
      </c>
      <c r="L10648" s="8" t="s">
        <v>13194</v>
      </c>
      <c r="M10648" s="8" t="s">
        <v>13195</v>
      </c>
      <c r="N10648" s="8" t="s">
        <v>45470</v>
      </c>
      <c r="O10648" s="8">
        <f>11+25/60+17/3600</f>
        <v>11.421388888888888</v>
      </c>
      <c r="P10648" s="8" t="s">
        <v>45471</v>
      </c>
      <c r="Q10648" s="8">
        <f>+(11+31/60+47/3600)</f>
        <v>11.529722222222222</v>
      </c>
      <c r="R10648" s="8">
        <v>16.2</v>
      </c>
      <c r="S10648" s="8">
        <v>17</v>
      </c>
      <c r="T10648" s="8">
        <v>0.8</v>
      </c>
      <c r="U10648" s="8">
        <v>11.8</v>
      </c>
      <c r="V10648" s="8">
        <v>0.2</v>
      </c>
      <c r="W10648" s="8">
        <v>0.1</v>
      </c>
      <c r="X10648" s="8">
        <v>45</v>
      </c>
      <c r="Y10648" s="8" t="s">
        <v>45472</v>
      </c>
      <c r="Z10648" s="8" t="s">
        <v>45473</v>
      </c>
    </row>
    <row r="10649" spans="1:26" x14ac:dyDescent="0.2">
      <c r="A10649" s="8">
        <v>10648</v>
      </c>
      <c r="B10649" s="8" t="s">
        <v>45474</v>
      </c>
      <c r="C10649" s="8" t="s">
        <v>45474</v>
      </c>
      <c r="G10649" s="8">
        <v>20</v>
      </c>
      <c r="H10649" s="8" t="s">
        <v>21</v>
      </c>
      <c r="I10649" s="8" t="s">
        <v>72</v>
      </c>
      <c r="J10649" s="8" t="s">
        <v>72</v>
      </c>
      <c r="K10649" s="8" t="s">
        <v>20</v>
      </c>
      <c r="L10649" s="8" t="s">
        <v>13194</v>
      </c>
      <c r="M10649" s="8" t="s">
        <v>13195</v>
      </c>
      <c r="N10649" s="8" t="s">
        <v>45475</v>
      </c>
      <c r="O10649" s="8">
        <f>11+25/60+26.9/3600</f>
        <v>11.424138888888889</v>
      </c>
      <c r="P10649" s="8" t="s">
        <v>45476</v>
      </c>
      <c r="Q10649" s="8">
        <f>+(9+7/60+57/3600)</f>
        <v>9.1325000000000003</v>
      </c>
      <c r="R10649" s="8">
        <v>99</v>
      </c>
      <c r="S10649" s="8">
        <v>99</v>
      </c>
      <c r="T10649" s="8">
        <v>99</v>
      </c>
      <c r="U10649" s="8">
        <v>99</v>
      </c>
      <c r="Y10649" s="8" t="s">
        <v>44860</v>
      </c>
      <c r="Z10649" s="8" t="s">
        <v>44861</v>
      </c>
    </row>
    <row r="10650" spans="1:26" x14ac:dyDescent="0.2">
      <c r="A10650" s="8">
        <v>10649</v>
      </c>
      <c r="B10650" s="8" t="s">
        <v>45477</v>
      </c>
      <c r="C10650" s="8" t="s">
        <v>45477</v>
      </c>
      <c r="G10650" s="8">
        <v>20</v>
      </c>
      <c r="H10650" s="8" t="s">
        <v>21</v>
      </c>
      <c r="I10650" s="8" t="s">
        <v>72</v>
      </c>
      <c r="J10650" s="8" t="s">
        <v>72</v>
      </c>
      <c r="K10650" s="8" t="s">
        <v>20</v>
      </c>
      <c r="L10650" s="8" t="s">
        <v>13194</v>
      </c>
      <c r="M10650" s="8" t="s">
        <v>13195</v>
      </c>
      <c r="N10650" s="8" t="s">
        <v>45478</v>
      </c>
      <c r="O10650" s="8">
        <f>11+25/60+37.8/3600</f>
        <v>11.427166666666666</v>
      </c>
      <c r="P10650" s="8" t="s">
        <v>45479</v>
      </c>
      <c r="Q10650" s="8">
        <f>+(8+31/60+40/3600)</f>
        <v>8.5277777777777786</v>
      </c>
      <c r="R10650" s="8">
        <v>99</v>
      </c>
      <c r="S10650" s="8">
        <v>99</v>
      </c>
      <c r="T10650" s="8">
        <v>99</v>
      </c>
      <c r="U10650" s="8">
        <v>99</v>
      </c>
      <c r="Y10650" s="8" t="s">
        <v>45480</v>
      </c>
      <c r="Z10650" s="8" t="s">
        <v>45481</v>
      </c>
    </row>
    <row r="10651" spans="1:26" x14ac:dyDescent="0.2">
      <c r="A10651" s="8">
        <v>10650</v>
      </c>
      <c r="B10651" s="8" t="s">
        <v>45482</v>
      </c>
      <c r="C10651" s="8" t="s">
        <v>45482</v>
      </c>
      <c r="G10651" s="8">
        <v>20</v>
      </c>
      <c r="H10651" s="8" t="s">
        <v>21</v>
      </c>
      <c r="I10651" s="8" t="s">
        <v>22</v>
      </c>
      <c r="J10651" s="8" t="s">
        <v>22</v>
      </c>
      <c r="K10651" s="8" t="s">
        <v>1445</v>
      </c>
      <c r="L10651" s="8" t="s">
        <v>13194</v>
      </c>
      <c r="M10651" s="8" t="s">
        <v>13195</v>
      </c>
      <c r="N10651" s="8" t="s">
        <v>45483</v>
      </c>
      <c r="O10651" s="8">
        <f>11+25/60+44.9/3600</f>
        <v>11.429138888888888</v>
      </c>
      <c r="P10651" s="8" t="s">
        <v>45484</v>
      </c>
      <c r="Q10651" s="8">
        <f>+(14+40/60+36/3600)</f>
        <v>14.676666666666666</v>
      </c>
      <c r="R10651" s="8">
        <v>14.4</v>
      </c>
      <c r="S10651" s="8">
        <v>15.2</v>
      </c>
      <c r="T10651" s="8">
        <v>0.8</v>
      </c>
      <c r="U10651" s="8">
        <v>14</v>
      </c>
      <c r="V10651" s="8">
        <v>1.3</v>
      </c>
      <c r="W10651" s="8">
        <v>0.6</v>
      </c>
      <c r="X10651" s="8">
        <v>30</v>
      </c>
      <c r="Y10651" s="8" t="s">
        <v>45485</v>
      </c>
      <c r="Z10651" s="8" t="s">
        <v>45486</v>
      </c>
    </row>
    <row r="10652" spans="1:26" x14ac:dyDescent="0.2">
      <c r="A10652" s="8">
        <v>10651</v>
      </c>
      <c r="B10652" s="8" t="s">
        <v>45487</v>
      </c>
      <c r="C10652" s="8" t="s">
        <v>45487</v>
      </c>
      <c r="G10652" s="8">
        <v>20</v>
      </c>
      <c r="H10652" s="8" t="s">
        <v>21</v>
      </c>
      <c r="I10652" s="8" t="s">
        <v>22</v>
      </c>
      <c r="J10652" s="8" t="s">
        <v>22</v>
      </c>
      <c r="K10652" s="8" t="s">
        <v>449</v>
      </c>
      <c r="L10652" s="8" t="s">
        <v>13194</v>
      </c>
      <c r="M10652" s="8" t="s">
        <v>13195</v>
      </c>
      <c r="N10652" s="8" t="s">
        <v>45488</v>
      </c>
      <c r="O10652" s="8">
        <f>11+25/60+44.7/3600</f>
        <v>11.429083333333333</v>
      </c>
      <c r="P10652" s="8" t="s">
        <v>45489</v>
      </c>
      <c r="Q10652" s="8">
        <f>+(9+10/60+13/3600)</f>
        <v>9.1702777777777769</v>
      </c>
      <c r="R10652" s="8">
        <v>15</v>
      </c>
      <c r="S10652" s="8">
        <v>15.8</v>
      </c>
      <c r="T10652" s="8">
        <v>0.8</v>
      </c>
      <c r="U10652" s="8">
        <v>13</v>
      </c>
      <c r="V10652" s="8">
        <v>0.6</v>
      </c>
      <c r="W10652" s="8">
        <v>0.3</v>
      </c>
      <c r="X10652" s="8">
        <v>88</v>
      </c>
      <c r="Y10652" s="8" t="s">
        <v>21</v>
      </c>
      <c r="Z10652" s="8" t="s">
        <v>45490</v>
      </c>
    </row>
    <row r="10653" spans="1:26" x14ac:dyDescent="0.2">
      <c r="A10653" s="8">
        <v>10652</v>
      </c>
      <c r="B10653" s="8" t="s">
        <v>45491</v>
      </c>
      <c r="C10653" s="8" t="s">
        <v>45491</v>
      </c>
      <c r="G10653" s="8">
        <v>20</v>
      </c>
      <c r="H10653" s="8" t="s">
        <v>21</v>
      </c>
      <c r="I10653" s="8" t="s">
        <v>22</v>
      </c>
      <c r="J10653" s="8" t="s">
        <v>22</v>
      </c>
      <c r="K10653" s="8" t="s">
        <v>449</v>
      </c>
      <c r="L10653" s="8" t="s">
        <v>13194</v>
      </c>
      <c r="M10653" s="8" t="s">
        <v>13195</v>
      </c>
      <c r="N10653" s="8" t="s">
        <v>45492</v>
      </c>
      <c r="O10653" s="8">
        <f>11+25/60+55.9/3600</f>
        <v>11.432194444444443</v>
      </c>
      <c r="P10653" s="8" t="s">
        <v>45493</v>
      </c>
      <c r="Q10653" s="8">
        <f>+(11+31/60+49/3600)</f>
        <v>11.530277777777778</v>
      </c>
      <c r="R10653" s="8">
        <v>15.2</v>
      </c>
      <c r="S10653" s="8">
        <v>16</v>
      </c>
      <c r="T10653" s="8">
        <v>0.8</v>
      </c>
      <c r="U10653" s="8">
        <v>12.6</v>
      </c>
      <c r="V10653" s="8">
        <v>0.5</v>
      </c>
      <c r="W10653" s="8">
        <v>0.2</v>
      </c>
      <c r="X10653" s="8">
        <v>20</v>
      </c>
      <c r="Y10653" s="8" t="s">
        <v>45494</v>
      </c>
      <c r="Z10653" s="8" t="s">
        <v>45495</v>
      </c>
    </row>
    <row r="10654" spans="1:26" x14ac:dyDescent="0.2">
      <c r="A10654" s="8">
        <v>10653</v>
      </c>
      <c r="B10654" s="8" t="s">
        <v>45496</v>
      </c>
      <c r="C10654" s="8" t="s">
        <v>45496</v>
      </c>
      <c r="G10654" s="8">
        <v>20</v>
      </c>
      <c r="H10654" s="8" t="s">
        <v>21</v>
      </c>
      <c r="I10654" s="8" t="s">
        <v>22</v>
      </c>
      <c r="J10654" s="8" t="s">
        <v>22</v>
      </c>
      <c r="K10654" s="8" t="s">
        <v>460</v>
      </c>
      <c r="L10654" s="8" t="s">
        <v>13194</v>
      </c>
      <c r="M10654" s="8" t="s">
        <v>13195</v>
      </c>
      <c r="N10654" s="8" t="s">
        <v>45497</v>
      </c>
      <c r="O10654" s="8">
        <f>11+26/60+6.4/3600</f>
        <v>11.435111111111111</v>
      </c>
      <c r="P10654" s="8" t="s">
        <v>45498</v>
      </c>
      <c r="Q10654" s="8">
        <f>+(11+15/60+22/3600)</f>
        <v>11.25611111111111</v>
      </c>
      <c r="R10654" s="8">
        <v>16.2</v>
      </c>
      <c r="S10654" s="8">
        <v>17.2</v>
      </c>
      <c r="T10654" s="8">
        <v>1</v>
      </c>
      <c r="U10654" s="8">
        <v>13.7</v>
      </c>
      <c r="V10654" s="8">
        <v>0.3</v>
      </c>
      <c r="W10654" s="8">
        <v>0.3</v>
      </c>
      <c r="Y10654" s="8" t="s">
        <v>44926</v>
      </c>
      <c r="Z10654" s="8" t="s">
        <v>44927</v>
      </c>
    </row>
    <row r="10655" spans="1:26" x14ac:dyDescent="0.2">
      <c r="A10655" s="8">
        <v>10654</v>
      </c>
      <c r="B10655" s="8" t="s">
        <v>45499</v>
      </c>
      <c r="C10655" s="8" t="s">
        <v>45499</v>
      </c>
      <c r="G10655" s="8">
        <v>20</v>
      </c>
      <c r="H10655" s="8" t="s">
        <v>21</v>
      </c>
      <c r="I10655" s="8" t="s">
        <v>22</v>
      </c>
      <c r="J10655" s="8" t="s">
        <v>22</v>
      </c>
      <c r="K10655" s="8" t="s">
        <v>382</v>
      </c>
      <c r="L10655" s="8" t="s">
        <v>13194</v>
      </c>
      <c r="M10655" s="8" t="s">
        <v>13195</v>
      </c>
      <c r="N10655" s="8" t="s">
        <v>45500</v>
      </c>
      <c r="O10655" s="8">
        <f>11+26/60+8.6/3600</f>
        <v>11.435722222222223</v>
      </c>
      <c r="P10655" s="8" t="s">
        <v>45501</v>
      </c>
      <c r="Q10655" s="8">
        <f>+(9+39/60+42/3600)</f>
        <v>9.6616666666666671</v>
      </c>
      <c r="R10655" s="8">
        <v>15.2</v>
      </c>
      <c r="S10655" s="8">
        <v>16.2</v>
      </c>
      <c r="T10655" s="8">
        <v>1</v>
      </c>
      <c r="U10655" s="8">
        <v>12.2</v>
      </c>
      <c r="V10655" s="8">
        <v>0.3</v>
      </c>
      <c r="W10655" s="8">
        <v>0.2</v>
      </c>
      <c r="X10655" s="8">
        <v>50</v>
      </c>
      <c r="Y10655" s="8" t="s">
        <v>21</v>
      </c>
      <c r="Z10655" s="8" t="s">
        <v>45502</v>
      </c>
    </row>
    <row r="10656" spans="1:26" x14ac:dyDescent="0.2">
      <c r="A10656" s="8">
        <v>10655</v>
      </c>
      <c r="B10656" s="8" t="s">
        <v>45503</v>
      </c>
      <c r="C10656" s="8" t="s">
        <v>45503</v>
      </c>
      <c r="G10656" s="8">
        <v>20</v>
      </c>
      <c r="H10656" s="8" t="s">
        <v>21</v>
      </c>
      <c r="I10656" s="8" t="s">
        <v>22</v>
      </c>
      <c r="J10656" s="8" t="s">
        <v>22</v>
      </c>
      <c r="K10656" s="8" t="s">
        <v>449</v>
      </c>
      <c r="L10656" s="8" t="s">
        <v>13194</v>
      </c>
      <c r="M10656" s="8" t="s">
        <v>13195</v>
      </c>
      <c r="N10656" s="8" t="s">
        <v>45504</v>
      </c>
      <c r="O10656" s="8">
        <f>11+26/60+16.5/3600</f>
        <v>11.437916666666666</v>
      </c>
      <c r="P10656" s="8" t="s">
        <v>45505</v>
      </c>
      <c r="Q10656" s="8">
        <f>+(12+48/60+13/3600)</f>
        <v>12.803611111111111</v>
      </c>
      <c r="R10656" s="8">
        <v>15.4</v>
      </c>
      <c r="S10656" s="8">
        <v>16.2</v>
      </c>
      <c r="T10656" s="8">
        <v>0.8</v>
      </c>
      <c r="U10656" s="8">
        <v>12.5</v>
      </c>
      <c r="V10656" s="8">
        <v>0.4</v>
      </c>
      <c r="W10656" s="8">
        <v>0.2</v>
      </c>
      <c r="X10656" s="8">
        <v>105</v>
      </c>
      <c r="Y10656" s="8" t="s">
        <v>15909</v>
      </c>
      <c r="Z10656" s="8" t="s">
        <v>15910</v>
      </c>
    </row>
    <row r="10657" spans="1:26" x14ac:dyDescent="0.2">
      <c r="A10657" s="8">
        <v>10656</v>
      </c>
      <c r="B10657" s="8" t="s">
        <v>45506</v>
      </c>
      <c r="C10657" s="8" t="s">
        <v>45506</v>
      </c>
      <c r="G10657" s="8">
        <v>20</v>
      </c>
      <c r="H10657" s="8" t="s">
        <v>21</v>
      </c>
      <c r="I10657" s="8" t="s">
        <v>22</v>
      </c>
      <c r="J10657" s="8" t="s">
        <v>22</v>
      </c>
      <c r="K10657" s="8" t="s">
        <v>449</v>
      </c>
      <c r="L10657" s="8" t="s">
        <v>13194</v>
      </c>
      <c r="M10657" s="8" t="s">
        <v>13195</v>
      </c>
      <c r="N10657" s="8" t="s">
        <v>45507</v>
      </c>
      <c r="O10657" s="8">
        <f>11+26/60+18.3/3600</f>
        <v>11.438416666666667</v>
      </c>
      <c r="P10657" s="8" t="s">
        <v>45508</v>
      </c>
      <c r="Q10657" s="8">
        <f>+(10+38/60+11/3600)</f>
        <v>10.636388888888888</v>
      </c>
      <c r="R10657" s="8">
        <v>15</v>
      </c>
      <c r="S10657" s="8">
        <v>15.8</v>
      </c>
      <c r="T10657" s="8">
        <v>0.8</v>
      </c>
      <c r="U10657" s="8">
        <v>13</v>
      </c>
      <c r="V10657" s="8">
        <v>0.6</v>
      </c>
      <c r="W10657" s="8">
        <v>0.3</v>
      </c>
      <c r="X10657" s="8">
        <v>0</v>
      </c>
      <c r="Y10657" s="8" t="s">
        <v>45509</v>
      </c>
      <c r="Z10657" s="8" t="s">
        <v>45510</v>
      </c>
    </row>
    <row r="10658" spans="1:26" x14ac:dyDescent="0.2">
      <c r="A10658" s="8">
        <v>10657</v>
      </c>
      <c r="B10658" s="8" t="s">
        <v>45511</v>
      </c>
      <c r="C10658" s="8" t="s">
        <v>45511</v>
      </c>
      <c r="G10658" s="8">
        <v>20</v>
      </c>
      <c r="H10658" s="8" t="s">
        <v>21</v>
      </c>
      <c r="I10658" s="8" t="s">
        <v>72</v>
      </c>
      <c r="J10658" s="8" t="s">
        <v>72</v>
      </c>
      <c r="K10658" s="8" t="s">
        <v>20</v>
      </c>
      <c r="L10658" s="8" t="s">
        <v>13194</v>
      </c>
      <c r="M10658" s="8" t="s">
        <v>13195</v>
      </c>
      <c r="N10658" s="8" t="s">
        <v>45512</v>
      </c>
      <c r="O10658" s="8">
        <f>11+26/60+18.9/3600</f>
        <v>11.438583333333334</v>
      </c>
      <c r="P10658" s="8" t="s">
        <v>45513</v>
      </c>
      <c r="Q10658" s="8">
        <f>+(9+8/60+53/3600)</f>
        <v>9.1480555555555547</v>
      </c>
      <c r="R10658" s="8">
        <v>99</v>
      </c>
      <c r="S10658" s="8">
        <v>15.2</v>
      </c>
      <c r="T10658" s="8">
        <v>99</v>
      </c>
      <c r="U10658" s="8">
        <v>99</v>
      </c>
      <c r="Y10658" s="8" t="s">
        <v>45514</v>
      </c>
      <c r="Z10658" s="8" t="s">
        <v>45515</v>
      </c>
    </row>
    <row r="10659" spans="1:26" x14ac:dyDescent="0.2">
      <c r="A10659" s="8">
        <v>10658</v>
      </c>
      <c r="B10659" s="8" t="s">
        <v>45516</v>
      </c>
      <c r="C10659" s="8" t="s">
        <v>45516</v>
      </c>
      <c r="G10659" s="8">
        <v>20</v>
      </c>
      <c r="H10659" s="8" t="s">
        <v>21</v>
      </c>
      <c r="I10659" s="8" t="s">
        <v>22</v>
      </c>
      <c r="J10659" s="8" t="s">
        <v>22</v>
      </c>
      <c r="K10659" s="8" t="s">
        <v>449</v>
      </c>
      <c r="L10659" s="8" t="s">
        <v>13194</v>
      </c>
      <c r="M10659" s="8" t="s">
        <v>13195</v>
      </c>
      <c r="N10659" s="8" t="s">
        <v>45517</v>
      </c>
      <c r="O10659" s="8">
        <f>11+26/60+26.8/3600</f>
        <v>11.440777777777779</v>
      </c>
      <c r="P10659" s="8" t="s">
        <v>45518</v>
      </c>
      <c r="Q10659" s="8">
        <f>+(12+55/60+18/3600)</f>
        <v>12.921666666666667</v>
      </c>
      <c r="R10659" s="8">
        <v>16.899999999999999</v>
      </c>
      <c r="S10659" s="8">
        <v>17.7</v>
      </c>
      <c r="T10659" s="8">
        <v>0.8</v>
      </c>
      <c r="U10659" s="8">
        <v>13.7</v>
      </c>
      <c r="V10659" s="8">
        <v>0.3</v>
      </c>
      <c r="W10659" s="8">
        <v>0.2</v>
      </c>
      <c r="X10659" s="8">
        <v>90</v>
      </c>
      <c r="Y10659" s="8" t="s">
        <v>3952</v>
      </c>
      <c r="Z10659" s="8" t="s">
        <v>3953</v>
      </c>
    </row>
    <row r="10660" spans="1:26" x14ac:dyDescent="0.2">
      <c r="A10660" s="8">
        <v>10659</v>
      </c>
      <c r="B10660" s="8" t="s">
        <v>45519</v>
      </c>
      <c r="C10660" s="8" t="s">
        <v>45519</v>
      </c>
      <c r="G10660" s="8">
        <v>20</v>
      </c>
      <c r="H10660" s="8" t="s">
        <v>21</v>
      </c>
      <c r="I10660" s="8" t="s">
        <v>22</v>
      </c>
      <c r="J10660" s="8" t="s">
        <v>22</v>
      </c>
      <c r="K10660" s="8" t="s">
        <v>449</v>
      </c>
      <c r="L10660" s="8" t="s">
        <v>13194</v>
      </c>
      <c r="M10660" s="8" t="s">
        <v>13195</v>
      </c>
      <c r="N10660" s="8" t="s">
        <v>45520</v>
      </c>
      <c r="O10660" s="8">
        <f>11+26/60+27.6/3600</f>
        <v>11.441000000000001</v>
      </c>
      <c r="P10660" s="8" t="s">
        <v>45521</v>
      </c>
      <c r="Q10660" s="8">
        <f>+(13+50/60+41/3600)</f>
        <v>13.844722222222222</v>
      </c>
      <c r="R10660" s="8">
        <v>14.9</v>
      </c>
      <c r="S10660" s="8">
        <v>15.7</v>
      </c>
      <c r="T10660" s="8">
        <v>0.8</v>
      </c>
      <c r="U10660" s="8">
        <v>12.3</v>
      </c>
      <c r="V10660" s="8">
        <v>0.5</v>
      </c>
      <c r="W10660" s="8">
        <v>0.2</v>
      </c>
      <c r="X10660" s="8">
        <v>70</v>
      </c>
      <c r="Y10660" s="8" t="s">
        <v>21</v>
      </c>
      <c r="Z10660" s="8" t="s">
        <v>45522</v>
      </c>
    </row>
    <row r="10661" spans="1:26" x14ac:dyDescent="0.2">
      <c r="A10661" s="8">
        <v>10660</v>
      </c>
      <c r="B10661" s="8" t="s">
        <v>45523</v>
      </c>
      <c r="C10661" s="8" t="s">
        <v>45523</v>
      </c>
      <c r="G10661" s="8">
        <v>20</v>
      </c>
      <c r="H10661" s="8" t="s">
        <v>21</v>
      </c>
      <c r="I10661" s="8" t="s">
        <v>22</v>
      </c>
      <c r="J10661" s="8" t="s">
        <v>22</v>
      </c>
      <c r="K10661" s="8" t="s">
        <v>449</v>
      </c>
      <c r="L10661" s="8" t="s">
        <v>13194</v>
      </c>
      <c r="M10661" s="8" t="s">
        <v>13195</v>
      </c>
      <c r="N10661" s="8" t="s">
        <v>45517</v>
      </c>
      <c r="O10661" s="8">
        <f>11+26/60+26.8/3600</f>
        <v>11.440777777777779</v>
      </c>
      <c r="P10661" s="8" t="s">
        <v>45524</v>
      </c>
      <c r="Q10661" s="8">
        <f>+(10+14/60+20/3600)</f>
        <v>10.238888888888889</v>
      </c>
      <c r="R10661" s="8">
        <v>15.9</v>
      </c>
      <c r="S10661" s="8">
        <v>16.7</v>
      </c>
      <c r="T10661" s="8">
        <v>0.8</v>
      </c>
      <c r="U10661" s="8">
        <v>13</v>
      </c>
      <c r="V10661" s="8">
        <v>0.4</v>
      </c>
      <c r="W10661" s="8">
        <v>0.2</v>
      </c>
      <c r="X10661" s="8">
        <v>20</v>
      </c>
      <c r="Y10661" s="8" t="s">
        <v>21</v>
      </c>
      <c r="Z10661" s="8" t="s">
        <v>45525</v>
      </c>
    </row>
    <row r="10662" spans="1:26" x14ac:dyDescent="0.2">
      <c r="A10662" s="8">
        <v>10661</v>
      </c>
      <c r="B10662" s="8" t="s">
        <v>45526</v>
      </c>
      <c r="C10662" s="8" t="s">
        <v>45526</v>
      </c>
      <c r="G10662" s="8">
        <v>20</v>
      </c>
      <c r="H10662" s="8" t="s">
        <v>21</v>
      </c>
      <c r="I10662" s="8" t="s">
        <v>22</v>
      </c>
      <c r="J10662" s="8" t="s">
        <v>22</v>
      </c>
      <c r="K10662" s="8" t="s">
        <v>460</v>
      </c>
      <c r="L10662" s="8" t="s">
        <v>13194</v>
      </c>
      <c r="M10662" s="8" t="s">
        <v>13195</v>
      </c>
      <c r="N10662" s="8" t="s">
        <v>45527</v>
      </c>
      <c r="O10662" s="8">
        <f>11+26/60+34.9/3600</f>
        <v>11.443027777777777</v>
      </c>
      <c r="P10662" s="8" t="s">
        <v>45528</v>
      </c>
      <c r="Q10662" s="8">
        <f>+(13+57/60+45/3600)</f>
        <v>13.962499999999999</v>
      </c>
      <c r="R10662" s="8">
        <v>15</v>
      </c>
      <c r="S10662" s="8">
        <v>16</v>
      </c>
      <c r="T10662" s="8">
        <v>1</v>
      </c>
      <c r="U10662" s="8">
        <v>12.5</v>
      </c>
      <c r="V10662" s="8">
        <v>0.3</v>
      </c>
      <c r="W10662" s="8">
        <v>0.3</v>
      </c>
      <c r="Y10662" s="8" t="s">
        <v>4065</v>
      </c>
      <c r="Z10662" s="8" t="s">
        <v>4066</v>
      </c>
    </row>
    <row r="10663" spans="1:26" x14ac:dyDescent="0.2">
      <c r="A10663" s="8">
        <v>10662</v>
      </c>
      <c r="B10663" s="8" t="s">
        <v>45529</v>
      </c>
      <c r="C10663" s="8" t="s">
        <v>45529</v>
      </c>
      <c r="G10663" s="8">
        <v>20</v>
      </c>
      <c r="H10663" s="8" t="s">
        <v>21</v>
      </c>
      <c r="I10663" s="8" t="s">
        <v>22</v>
      </c>
      <c r="J10663" s="8" t="s">
        <v>22</v>
      </c>
      <c r="K10663" s="8" t="s">
        <v>85</v>
      </c>
      <c r="L10663" s="8" t="s">
        <v>13194</v>
      </c>
      <c r="M10663" s="8" t="s">
        <v>13195</v>
      </c>
      <c r="N10663" s="8" t="s">
        <v>45530</v>
      </c>
      <c r="O10663" s="8">
        <f>11+26/60+34/3600</f>
        <v>11.442777777777778</v>
      </c>
      <c r="P10663" s="8" t="s">
        <v>20624</v>
      </c>
      <c r="Q10663" s="8">
        <f>+(11+26/60+23/3600)</f>
        <v>11.439722222222223</v>
      </c>
      <c r="R10663" s="8">
        <v>13.6</v>
      </c>
      <c r="S10663" s="8">
        <v>14.4</v>
      </c>
      <c r="T10663" s="8">
        <v>0.8</v>
      </c>
      <c r="U10663" s="8">
        <v>13.5</v>
      </c>
      <c r="V10663" s="8">
        <v>1.5</v>
      </c>
      <c r="W10663" s="8">
        <v>0.7</v>
      </c>
      <c r="X10663" s="8">
        <v>115</v>
      </c>
      <c r="Y10663" s="8" t="s">
        <v>45531</v>
      </c>
      <c r="Z10663" s="8" t="s">
        <v>45532</v>
      </c>
    </row>
    <row r="10664" spans="1:26" x14ac:dyDescent="0.2">
      <c r="A10664" s="8">
        <v>10663</v>
      </c>
      <c r="B10664" s="8" t="s">
        <v>45533</v>
      </c>
      <c r="C10664" s="8" t="s">
        <v>45533</v>
      </c>
      <c r="G10664" s="8">
        <v>20</v>
      </c>
      <c r="H10664" s="8" t="s">
        <v>21</v>
      </c>
      <c r="I10664" s="8" t="s">
        <v>22</v>
      </c>
      <c r="J10664" s="8" t="s">
        <v>22</v>
      </c>
      <c r="K10664" s="8" t="s">
        <v>449</v>
      </c>
      <c r="L10664" s="8" t="s">
        <v>13194</v>
      </c>
      <c r="M10664" s="8" t="s">
        <v>13195</v>
      </c>
      <c r="N10664" s="8" t="s">
        <v>45534</v>
      </c>
      <c r="O10664" s="8">
        <f>11+26/60+44.6/3600</f>
        <v>11.445722222222223</v>
      </c>
      <c r="P10664" s="8" t="s">
        <v>45535</v>
      </c>
      <c r="Q10664" s="8">
        <f>+(12+50/60+52/3600)</f>
        <v>12.847777777777779</v>
      </c>
      <c r="R10664" s="8">
        <v>14.4</v>
      </c>
      <c r="S10664" s="8">
        <v>15.2</v>
      </c>
      <c r="T10664" s="8">
        <v>0.8</v>
      </c>
      <c r="U10664" s="8">
        <v>12.6</v>
      </c>
      <c r="V10664" s="8">
        <v>0.7</v>
      </c>
      <c r="W10664" s="8">
        <v>0.3</v>
      </c>
      <c r="X10664" s="8">
        <v>10</v>
      </c>
      <c r="Y10664" s="8" t="s">
        <v>45536</v>
      </c>
      <c r="Z10664" s="8" t="s">
        <v>45537</v>
      </c>
    </row>
    <row r="10665" spans="1:26" x14ac:dyDescent="0.2">
      <c r="A10665" s="8">
        <v>10664</v>
      </c>
      <c r="B10665" s="8" t="s">
        <v>45538</v>
      </c>
      <c r="C10665" s="8" t="s">
        <v>45538</v>
      </c>
      <c r="G10665" s="8">
        <v>20</v>
      </c>
      <c r="H10665" s="8" t="s">
        <v>21</v>
      </c>
      <c r="I10665" s="8" t="s">
        <v>72</v>
      </c>
      <c r="J10665" s="8" t="s">
        <v>72</v>
      </c>
      <c r="K10665" s="8" t="s">
        <v>20</v>
      </c>
      <c r="L10665" s="8" t="s">
        <v>13194</v>
      </c>
      <c r="M10665" s="8" t="s">
        <v>13195</v>
      </c>
      <c r="N10665" s="8" t="s">
        <v>45539</v>
      </c>
      <c r="O10665" s="8">
        <f>11+27/60+4.8/3600</f>
        <v>11.451333333333332</v>
      </c>
      <c r="P10665" s="8" t="s">
        <v>45540</v>
      </c>
      <c r="Q10665" s="8">
        <f>+(14+5/60+7/3600)</f>
        <v>14.085277777777778</v>
      </c>
      <c r="R10665" s="8">
        <v>99</v>
      </c>
      <c r="S10665" s="8">
        <v>15</v>
      </c>
      <c r="T10665" s="8">
        <v>99</v>
      </c>
      <c r="U10665" s="8">
        <v>99</v>
      </c>
      <c r="Y10665" s="8" t="s">
        <v>3034</v>
      </c>
      <c r="Z10665" s="8" t="s">
        <v>1899</v>
      </c>
    </row>
    <row r="10666" spans="1:26" x14ac:dyDescent="0.2">
      <c r="A10666" s="8">
        <v>10665</v>
      </c>
      <c r="B10666" s="8" t="s">
        <v>45541</v>
      </c>
      <c r="C10666" s="8" t="s">
        <v>45541</v>
      </c>
      <c r="G10666" s="8">
        <v>20</v>
      </c>
      <c r="H10666" s="8" t="s">
        <v>21</v>
      </c>
      <c r="I10666" s="8" t="s">
        <v>72</v>
      </c>
      <c r="J10666" s="8" t="s">
        <v>72</v>
      </c>
      <c r="K10666" s="8" t="s">
        <v>20</v>
      </c>
      <c r="L10666" s="8" t="s">
        <v>13194</v>
      </c>
      <c r="M10666" s="8" t="s">
        <v>13195</v>
      </c>
      <c r="N10666" s="8" t="s">
        <v>45542</v>
      </c>
      <c r="O10666" s="8">
        <f>11+27/60+3.6/3600</f>
        <v>11.450999999999999</v>
      </c>
      <c r="P10666" s="8" t="s">
        <v>45543</v>
      </c>
      <c r="Q10666" s="8">
        <f>+(8+26/60+39/3600)</f>
        <v>8.4441666666666677</v>
      </c>
      <c r="R10666" s="8">
        <v>99</v>
      </c>
      <c r="S10666" s="8">
        <v>99</v>
      </c>
      <c r="T10666" s="8">
        <v>99</v>
      </c>
      <c r="U10666" s="8">
        <v>99</v>
      </c>
      <c r="Y10666" s="8" t="s">
        <v>21</v>
      </c>
      <c r="Z10666" s="8" t="s">
        <v>45544</v>
      </c>
    </row>
    <row r="10667" spans="1:26" x14ac:dyDescent="0.2">
      <c r="A10667" s="8">
        <v>10666</v>
      </c>
      <c r="B10667" s="8" t="s">
        <v>45545</v>
      </c>
      <c r="C10667" s="8" t="s">
        <v>45545</v>
      </c>
      <c r="G10667" s="8">
        <v>20</v>
      </c>
      <c r="H10667" s="8" t="s">
        <v>21</v>
      </c>
      <c r="I10667" s="8" t="s">
        <v>22</v>
      </c>
      <c r="J10667" s="8" t="s">
        <v>22</v>
      </c>
      <c r="K10667" s="8" t="s">
        <v>460</v>
      </c>
      <c r="L10667" s="8" t="s">
        <v>13194</v>
      </c>
      <c r="M10667" s="8" t="s">
        <v>13195</v>
      </c>
      <c r="N10667" s="8" t="s">
        <v>45546</v>
      </c>
      <c r="O10667" s="8">
        <f>11+27/60+6.1/3600</f>
        <v>11.451694444444444</v>
      </c>
      <c r="P10667" s="8" t="s">
        <v>45547</v>
      </c>
      <c r="Q10667" s="8">
        <f>+(13+14/60+19/3600)</f>
        <v>13.23861111111111</v>
      </c>
      <c r="R10667" s="8">
        <v>14.1</v>
      </c>
      <c r="S10667" s="8">
        <v>15.1</v>
      </c>
      <c r="T10667" s="8">
        <v>1</v>
      </c>
      <c r="U10667" s="8">
        <v>13.1</v>
      </c>
      <c r="V10667" s="8">
        <v>0.6</v>
      </c>
      <c r="W10667" s="8">
        <v>0.6</v>
      </c>
      <c r="Y10667" s="8" t="s">
        <v>45548</v>
      </c>
      <c r="Z10667" s="8" t="s">
        <v>45549</v>
      </c>
    </row>
    <row r="10668" spans="1:26" x14ac:dyDescent="0.2">
      <c r="A10668" s="8">
        <v>10667</v>
      </c>
      <c r="B10668" s="8" t="s">
        <v>45550</v>
      </c>
      <c r="C10668" s="8" t="s">
        <v>45550</v>
      </c>
      <c r="G10668" s="8">
        <v>20</v>
      </c>
      <c r="H10668" s="8" t="s">
        <v>21</v>
      </c>
      <c r="I10668" s="8" t="s">
        <v>72</v>
      </c>
      <c r="J10668" s="8" t="s">
        <v>72</v>
      </c>
      <c r="K10668" s="8" t="s">
        <v>20</v>
      </c>
      <c r="L10668" s="8" t="s">
        <v>13194</v>
      </c>
      <c r="M10668" s="8" t="s">
        <v>13195</v>
      </c>
      <c r="N10668" s="8" t="s">
        <v>45551</v>
      </c>
      <c r="O10668" s="8">
        <f>11+27/60+9.8/3600</f>
        <v>11.452722222222221</v>
      </c>
      <c r="P10668" s="8" t="s">
        <v>45552</v>
      </c>
      <c r="Q10668" s="8">
        <f>+(11+30/60+52/3600)</f>
        <v>11.514444444444445</v>
      </c>
      <c r="R10668" s="8">
        <v>99</v>
      </c>
      <c r="S10668" s="8">
        <v>99</v>
      </c>
      <c r="T10668" s="8">
        <v>99</v>
      </c>
      <c r="U10668" s="8">
        <v>99</v>
      </c>
      <c r="Y10668" s="8" t="s">
        <v>45553</v>
      </c>
      <c r="Z10668" s="8" t="s">
        <v>45554</v>
      </c>
    </row>
    <row r="10669" spans="1:26" x14ac:dyDescent="0.2">
      <c r="A10669" s="8">
        <v>10668</v>
      </c>
      <c r="B10669" s="8" t="s">
        <v>45555</v>
      </c>
      <c r="C10669" s="8" t="s">
        <v>45555</v>
      </c>
      <c r="G10669" s="8">
        <v>20</v>
      </c>
      <c r="H10669" s="8" t="s">
        <v>21</v>
      </c>
      <c r="I10669" s="8" t="s">
        <v>22</v>
      </c>
      <c r="J10669" s="8" t="s">
        <v>22</v>
      </c>
      <c r="K10669" s="8" t="s">
        <v>37</v>
      </c>
      <c r="L10669" s="8" t="s">
        <v>13194</v>
      </c>
      <c r="M10669" s="8" t="s">
        <v>13195</v>
      </c>
      <c r="N10669" s="8" t="s">
        <v>16893</v>
      </c>
      <c r="O10669" s="8">
        <f>11+27/60+11.1/3600</f>
        <v>11.453083333333332</v>
      </c>
      <c r="P10669" s="8" t="s">
        <v>45556</v>
      </c>
      <c r="Q10669" s="8">
        <f>+(8+43/60+56/3600)</f>
        <v>8.732222222222223</v>
      </c>
      <c r="R10669" s="8">
        <v>13.5</v>
      </c>
      <c r="S10669" s="8">
        <v>14.5</v>
      </c>
      <c r="T10669" s="8">
        <v>1</v>
      </c>
      <c r="U10669" s="8">
        <v>12.7</v>
      </c>
      <c r="V10669" s="8">
        <v>0.9</v>
      </c>
      <c r="W10669" s="8">
        <v>0.6</v>
      </c>
      <c r="X10669" s="8">
        <v>51</v>
      </c>
      <c r="Y10669" s="8" t="s">
        <v>21</v>
      </c>
      <c r="Z10669" s="8" t="s">
        <v>45557</v>
      </c>
    </row>
    <row r="10670" spans="1:26" x14ac:dyDescent="0.2">
      <c r="A10670" s="8">
        <v>10669</v>
      </c>
      <c r="B10670" s="8" t="s">
        <v>45558</v>
      </c>
      <c r="C10670" s="8" t="s">
        <v>45558</v>
      </c>
      <c r="G10670" s="8">
        <v>20</v>
      </c>
      <c r="H10670" s="8" t="s">
        <v>21</v>
      </c>
      <c r="I10670" s="8" t="s">
        <v>22</v>
      </c>
      <c r="J10670" s="8" t="s">
        <v>22</v>
      </c>
      <c r="K10670" s="8" t="s">
        <v>449</v>
      </c>
      <c r="L10670" s="8" t="s">
        <v>13194</v>
      </c>
      <c r="M10670" s="8" t="s">
        <v>13195</v>
      </c>
      <c r="N10670" s="8" t="s">
        <v>45559</v>
      </c>
      <c r="O10670" s="8">
        <f>11+27/60+14.9/3600</f>
        <v>11.454138888888888</v>
      </c>
      <c r="P10670" s="8" t="s">
        <v>45560</v>
      </c>
      <c r="Q10670" s="8">
        <f>+(10+19/60+22/3600)</f>
        <v>10.322777777777777</v>
      </c>
      <c r="R10670" s="8">
        <v>14.3</v>
      </c>
      <c r="S10670" s="8">
        <v>15.1</v>
      </c>
      <c r="T10670" s="8">
        <v>0.8</v>
      </c>
      <c r="U10670" s="8">
        <v>12.1</v>
      </c>
      <c r="V10670" s="8">
        <v>0.5</v>
      </c>
      <c r="W10670" s="8">
        <v>0.3</v>
      </c>
      <c r="X10670" s="8">
        <v>0</v>
      </c>
      <c r="Y10670" s="8" t="s">
        <v>21</v>
      </c>
      <c r="Z10670" s="8" t="s">
        <v>45561</v>
      </c>
    </row>
    <row r="10671" spans="1:26" x14ac:dyDescent="0.2">
      <c r="A10671" s="8">
        <v>10670</v>
      </c>
      <c r="B10671" s="8" t="s">
        <v>45562</v>
      </c>
      <c r="C10671" s="8" t="s">
        <v>45562</v>
      </c>
      <c r="G10671" s="8">
        <v>20</v>
      </c>
      <c r="H10671" s="8" t="s">
        <v>21</v>
      </c>
      <c r="I10671" s="8" t="s">
        <v>22</v>
      </c>
      <c r="J10671" s="8" t="s">
        <v>22</v>
      </c>
      <c r="K10671" s="8" t="s">
        <v>460</v>
      </c>
      <c r="L10671" s="8" t="s">
        <v>13194</v>
      </c>
      <c r="M10671" s="8" t="s">
        <v>13195</v>
      </c>
      <c r="N10671" s="8" t="s">
        <v>45563</v>
      </c>
      <c r="O10671" s="8">
        <f>11+27/60+21.7/3600</f>
        <v>11.456027777777777</v>
      </c>
      <c r="P10671" s="8" t="s">
        <v>45564</v>
      </c>
      <c r="Q10671" s="8">
        <f>+(7+48/60+51/3600)</f>
        <v>7.8141666666666669</v>
      </c>
      <c r="R10671" s="8">
        <v>14.5</v>
      </c>
      <c r="S10671" s="8">
        <v>15.5</v>
      </c>
      <c r="T10671" s="8">
        <v>1</v>
      </c>
      <c r="U10671" s="8">
        <v>13.1</v>
      </c>
      <c r="V10671" s="8">
        <v>0.5</v>
      </c>
      <c r="W10671" s="8">
        <v>0.5</v>
      </c>
      <c r="Y10671" s="8" t="s">
        <v>2641</v>
      </c>
      <c r="Z10671" s="8" t="s">
        <v>2642</v>
      </c>
    </row>
    <row r="10672" spans="1:26" x14ac:dyDescent="0.2">
      <c r="A10672" s="8">
        <v>10671</v>
      </c>
      <c r="B10672" s="8" t="s">
        <v>45565</v>
      </c>
      <c r="C10672" s="8" t="s">
        <v>45565</v>
      </c>
      <c r="G10672" s="8">
        <v>20</v>
      </c>
      <c r="H10672" s="8" t="s">
        <v>21</v>
      </c>
      <c r="I10672" s="8" t="s">
        <v>72</v>
      </c>
      <c r="J10672" s="8" t="s">
        <v>72</v>
      </c>
      <c r="K10672" s="8" t="s">
        <v>20</v>
      </c>
      <c r="L10672" s="8" t="s">
        <v>13194</v>
      </c>
      <c r="M10672" s="8" t="s">
        <v>13195</v>
      </c>
      <c r="N10672" s="8" t="s">
        <v>45566</v>
      </c>
      <c r="O10672" s="8">
        <f>11+27/60+22.7/3600</f>
        <v>11.456305555555554</v>
      </c>
      <c r="P10672" s="8" t="s">
        <v>45567</v>
      </c>
      <c r="Q10672" s="8">
        <f>+(8+58/60+45/3600)</f>
        <v>8.9791666666666661</v>
      </c>
      <c r="R10672" s="8">
        <v>99</v>
      </c>
      <c r="S10672" s="8">
        <v>15.3</v>
      </c>
      <c r="T10672" s="8">
        <v>99</v>
      </c>
      <c r="U10672" s="8">
        <v>99</v>
      </c>
      <c r="Y10672" s="8" t="s">
        <v>2181</v>
      </c>
      <c r="Z10672" s="8" t="s">
        <v>2182</v>
      </c>
    </row>
    <row r="10673" spans="1:26" x14ac:dyDescent="0.2">
      <c r="A10673" s="8">
        <v>10672</v>
      </c>
      <c r="B10673" s="8" t="s">
        <v>45568</v>
      </c>
      <c r="C10673" s="8" t="s">
        <v>45568</v>
      </c>
      <c r="G10673" s="8">
        <v>20</v>
      </c>
      <c r="H10673" s="8" t="s">
        <v>21</v>
      </c>
      <c r="I10673" s="8" t="s">
        <v>72</v>
      </c>
      <c r="J10673" s="8" t="s">
        <v>72</v>
      </c>
      <c r="K10673" s="8" t="s">
        <v>20</v>
      </c>
      <c r="L10673" s="8" t="s">
        <v>13194</v>
      </c>
      <c r="M10673" s="8" t="s">
        <v>13195</v>
      </c>
      <c r="N10673" s="8" t="s">
        <v>45569</v>
      </c>
      <c r="O10673" s="8">
        <f>11+27/60+25/3600</f>
        <v>11.456944444444444</v>
      </c>
      <c r="P10673" s="8" t="s">
        <v>45570</v>
      </c>
      <c r="Q10673" s="8">
        <f>+(13+59/60+23/3600)</f>
        <v>13.989722222222222</v>
      </c>
      <c r="R10673" s="8">
        <v>99</v>
      </c>
      <c r="S10673" s="8">
        <v>15.5</v>
      </c>
      <c r="T10673" s="8">
        <v>99</v>
      </c>
      <c r="U10673" s="8">
        <v>99</v>
      </c>
      <c r="Y10673" s="8" t="s">
        <v>3034</v>
      </c>
      <c r="Z10673" s="8" t="s">
        <v>1899</v>
      </c>
    </row>
    <row r="10674" spans="1:26" x14ac:dyDescent="0.2">
      <c r="A10674" s="8">
        <v>10673</v>
      </c>
      <c r="B10674" s="8" t="s">
        <v>45571</v>
      </c>
      <c r="C10674" s="8" t="s">
        <v>45571</v>
      </c>
      <c r="G10674" s="8">
        <v>20</v>
      </c>
      <c r="H10674" s="8" t="s">
        <v>21</v>
      </c>
      <c r="I10674" s="8" t="s">
        <v>72</v>
      </c>
      <c r="J10674" s="8" t="s">
        <v>72</v>
      </c>
      <c r="K10674" s="8" t="s">
        <v>20</v>
      </c>
      <c r="L10674" s="8" t="s">
        <v>13194</v>
      </c>
      <c r="M10674" s="8" t="s">
        <v>13195</v>
      </c>
      <c r="N10674" s="8" t="s">
        <v>45572</v>
      </c>
      <c r="O10674" s="8">
        <f>11+27/60+26.1/3600</f>
        <v>11.45725</v>
      </c>
      <c r="P10674" s="8" t="s">
        <v>45573</v>
      </c>
      <c r="Q10674" s="8">
        <f>+(13+36/60+10/3600)</f>
        <v>13.602777777777778</v>
      </c>
      <c r="R10674" s="8">
        <v>99</v>
      </c>
      <c r="S10674" s="8">
        <v>99</v>
      </c>
      <c r="T10674" s="8">
        <v>99</v>
      </c>
      <c r="U10674" s="8">
        <v>99</v>
      </c>
      <c r="Y10674" s="8" t="s">
        <v>21</v>
      </c>
      <c r="Z10674" s="8" t="s">
        <v>45574</v>
      </c>
    </row>
    <row r="10675" spans="1:26" x14ac:dyDescent="0.2">
      <c r="A10675" s="8">
        <v>10674</v>
      </c>
      <c r="B10675" s="8" t="s">
        <v>45575</v>
      </c>
      <c r="C10675" s="8" t="s">
        <v>45575</v>
      </c>
      <c r="G10675" s="8">
        <v>20</v>
      </c>
      <c r="H10675" s="8" t="s">
        <v>21</v>
      </c>
      <c r="I10675" s="8" t="s">
        <v>22</v>
      </c>
      <c r="J10675" s="8" t="s">
        <v>22</v>
      </c>
      <c r="K10675" s="8" t="s">
        <v>460</v>
      </c>
      <c r="L10675" s="8" t="s">
        <v>13194</v>
      </c>
      <c r="M10675" s="8" t="s">
        <v>13195</v>
      </c>
      <c r="N10675" s="8" t="s">
        <v>45576</v>
      </c>
      <c r="O10675" s="8">
        <f>11+27/60+31.8/3600</f>
        <v>11.458833333333333</v>
      </c>
      <c r="P10675" s="8" t="s">
        <v>45577</v>
      </c>
      <c r="Q10675" s="8">
        <f>+(13+34/60+14/3600)</f>
        <v>13.570555555555556</v>
      </c>
      <c r="R10675" s="8">
        <v>15.5</v>
      </c>
      <c r="S10675" s="8">
        <v>16.5</v>
      </c>
      <c r="T10675" s="8">
        <v>1</v>
      </c>
      <c r="U10675" s="8">
        <v>12.1</v>
      </c>
      <c r="V10675" s="8">
        <v>0.2</v>
      </c>
      <c r="W10675" s="8">
        <v>0.2</v>
      </c>
      <c r="Y10675" s="8" t="s">
        <v>21</v>
      </c>
      <c r="Z10675" s="8" t="s">
        <v>45578</v>
      </c>
    </row>
    <row r="10676" spans="1:26" x14ac:dyDescent="0.2">
      <c r="A10676" s="8">
        <v>10675</v>
      </c>
      <c r="B10676" s="8" t="s">
        <v>45579</v>
      </c>
      <c r="C10676" s="8" t="s">
        <v>45579</v>
      </c>
      <c r="G10676" s="8">
        <v>20</v>
      </c>
      <c r="H10676" s="8" t="s">
        <v>21</v>
      </c>
      <c r="I10676" s="8" t="s">
        <v>22</v>
      </c>
      <c r="J10676" s="8" t="s">
        <v>22</v>
      </c>
      <c r="K10676" s="8" t="s">
        <v>449</v>
      </c>
      <c r="L10676" s="8" t="s">
        <v>13194</v>
      </c>
      <c r="M10676" s="8" t="s">
        <v>13195</v>
      </c>
      <c r="N10676" s="8" t="s">
        <v>45580</v>
      </c>
      <c r="O10676" s="8">
        <f>11+27/60+31.5/3600</f>
        <v>11.458749999999998</v>
      </c>
      <c r="P10676" s="8" t="s">
        <v>45581</v>
      </c>
      <c r="Q10676" s="8">
        <f>+(12+8/60+36/3600)</f>
        <v>12.143333333333333</v>
      </c>
      <c r="R10676" s="8">
        <v>16.8</v>
      </c>
      <c r="S10676" s="8">
        <v>17.600000000000001</v>
      </c>
      <c r="T10676" s="8">
        <v>0.8</v>
      </c>
      <c r="U10676" s="8">
        <v>13.9</v>
      </c>
      <c r="V10676" s="8">
        <v>0.4</v>
      </c>
      <c r="W10676" s="8">
        <v>0.2</v>
      </c>
      <c r="X10676" s="8">
        <v>140</v>
      </c>
      <c r="Y10676" s="8" t="s">
        <v>45582</v>
      </c>
      <c r="Z10676" s="8" t="s">
        <v>45583</v>
      </c>
    </row>
    <row r="10677" spans="1:26" x14ac:dyDescent="0.2">
      <c r="A10677" s="8">
        <v>10676</v>
      </c>
      <c r="B10677" s="8" t="s">
        <v>45584</v>
      </c>
      <c r="C10677" s="8" t="s">
        <v>45584</v>
      </c>
      <c r="G10677" s="8">
        <v>20</v>
      </c>
      <c r="H10677" s="8" t="s">
        <v>21</v>
      </c>
      <c r="I10677" s="8" t="s">
        <v>72</v>
      </c>
      <c r="J10677" s="8" t="s">
        <v>72</v>
      </c>
      <c r="K10677" s="8" t="s">
        <v>20</v>
      </c>
      <c r="L10677" s="8" t="s">
        <v>13194</v>
      </c>
      <c r="M10677" s="8" t="s">
        <v>13195</v>
      </c>
      <c r="N10677" s="8" t="s">
        <v>45585</v>
      </c>
      <c r="O10677" s="8">
        <f>11+27/60+37.3/3600</f>
        <v>11.46036111111111</v>
      </c>
      <c r="P10677" s="8" t="s">
        <v>45586</v>
      </c>
      <c r="Q10677" s="8">
        <f>+(9+5/60+8/3600)</f>
        <v>9.0855555555555565</v>
      </c>
      <c r="R10677" s="8">
        <v>99</v>
      </c>
      <c r="S10677" s="8">
        <v>99</v>
      </c>
      <c r="T10677" s="8">
        <v>99</v>
      </c>
      <c r="U10677" s="8">
        <v>99</v>
      </c>
      <c r="Y10677" s="8" t="s">
        <v>21</v>
      </c>
      <c r="Z10677" s="8" t="s">
        <v>45587</v>
      </c>
    </row>
    <row r="10678" spans="1:26" x14ac:dyDescent="0.2">
      <c r="A10678" s="8">
        <v>10677</v>
      </c>
      <c r="B10678" s="8" t="s">
        <v>45588</v>
      </c>
      <c r="C10678" s="8" t="s">
        <v>45588</v>
      </c>
      <c r="G10678" s="8">
        <v>20</v>
      </c>
      <c r="H10678" s="8" t="s">
        <v>21</v>
      </c>
      <c r="I10678" s="8" t="s">
        <v>22</v>
      </c>
      <c r="J10678" s="8" t="s">
        <v>22</v>
      </c>
      <c r="K10678" s="8" t="s">
        <v>460</v>
      </c>
      <c r="L10678" s="8" t="s">
        <v>13194</v>
      </c>
      <c r="M10678" s="8" t="s">
        <v>13195</v>
      </c>
      <c r="N10678" s="8" t="s">
        <v>45589</v>
      </c>
      <c r="O10678" s="8">
        <f>11+27/60+41.9/3600</f>
        <v>11.461638888888888</v>
      </c>
      <c r="P10678" s="8" t="s">
        <v>45590</v>
      </c>
      <c r="Q10678" s="8">
        <f>+(10+18/60+47/3600)</f>
        <v>10.313055555555556</v>
      </c>
      <c r="R10678" s="8">
        <v>14.8</v>
      </c>
      <c r="S10678" s="8">
        <v>15.8</v>
      </c>
      <c r="T10678" s="8">
        <v>1</v>
      </c>
      <c r="U10678" s="8">
        <v>12.9</v>
      </c>
      <c r="V10678" s="8">
        <v>0.4</v>
      </c>
      <c r="W10678" s="8">
        <v>0.4</v>
      </c>
      <c r="Y10678" s="8" t="s">
        <v>45509</v>
      </c>
      <c r="Z10678" s="8" t="s">
        <v>45510</v>
      </c>
    </row>
    <row r="10679" spans="1:26" x14ac:dyDescent="0.2">
      <c r="A10679" s="8">
        <v>10678</v>
      </c>
      <c r="B10679" s="8" t="s">
        <v>45591</v>
      </c>
      <c r="C10679" s="8" t="s">
        <v>45591</v>
      </c>
      <c r="G10679" s="8">
        <v>20</v>
      </c>
      <c r="H10679" s="8" t="s">
        <v>21</v>
      </c>
      <c r="I10679" s="8" t="s">
        <v>22</v>
      </c>
      <c r="J10679" s="8" t="s">
        <v>22</v>
      </c>
      <c r="K10679" s="8" t="s">
        <v>460</v>
      </c>
      <c r="L10679" s="8" t="s">
        <v>13194</v>
      </c>
      <c r="M10679" s="8" t="s">
        <v>13195</v>
      </c>
      <c r="N10679" s="8" t="s">
        <v>45592</v>
      </c>
      <c r="O10679" s="8">
        <f>11+27/60+45.2/3600</f>
        <v>11.462555555555555</v>
      </c>
      <c r="P10679" s="8" t="s">
        <v>45593</v>
      </c>
      <c r="Q10679" s="8">
        <f>+(14+0/60+42/3600)</f>
        <v>14.011666666666667</v>
      </c>
      <c r="R10679" s="8">
        <v>16</v>
      </c>
      <c r="S10679" s="8">
        <v>17</v>
      </c>
      <c r="T10679" s="8">
        <v>1</v>
      </c>
      <c r="U10679" s="8">
        <v>12.6</v>
      </c>
      <c r="V10679" s="8">
        <v>0.2</v>
      </c>
      <c r="W10679" s="8">
        <v>0.2</v>
      </c>
      <c r="Y10679" s="8" t="s">
        <v>4065</v>
      </c>
      <c r="Z10679" s="8" t="s">
        <v>4066</v>
      </c>
    </row>
    <row r="10680" spans="1:26" x14ac:dyDescent="0.2">
      <c r="A10680" s="8">
        <v>10679</v>
      </c>
      <c r="B10680" s="8" t="s">
        <v>45594</v>
      </c>
      <c r="C10680" s="8" t="s">
        <v>45594</v>
      </c>
      <c r="G10680" s="8">
        <v>20</v>
      </c>
      <c r="H10680" s="8" t="s">
        <v>21</v>
      </c>
      <c r="I10680" s="8" t="s">
        <v>22</v>
      </c>
      <c r="J10680" s="8" t="s">
        <v>22</v>
      </c>
      <c r="K10680" s="8" t="s">
        <v>449</v>
      </c>
      <c r="L10680" s="8" t="s">
        <v>13194</v>
      </c>
      <c r="M10680" s="8" t="s">
        <v>13195</v>
      </c>
      <c r="N10680" s="8" t="s">
        <v>45595</v>
      </c>
      <c r="O10680" s="8">
        <f>11+27/60+45.5/3600</f>
        <v>11.462638888888888</v>
      </c>
      <c r="P10680" s="8" t="s">
        <v>45596</v>
      </c>
      <c r="Q10680" s="8">
        <f>+(10+49/60+11/3600)</f>
        <v>10.819722222222222</v>
      </c>
      <c r="R10680" s="8">
        <v>15.7</v>
      </c>
      <c r="S10680" s="8">
        <v>16.5</v>
      </c>
      <c r="T10680" s="8">
        <v>0.8</v>
      </c>
      <c r="U10680" s="8">
        <v>11.7</v>
      </c>
      <c r="V10680" s="8">
        <v>0.3</v>
      </c>
      <c r="W10680" s="8">
        <v>0.1</v>
      </c>
      <c r="X10680" s="8">
        <v>5</v>
      </c>
      <c r="Y10680" s="8" t="s">
        <v>5139</v>
      </c>
      <c r="Z10680" s="8" t="s">
        <v>5140</v>
      </c>
    </row>
    <row r="10681" spans="1:26" x14ac:dyDescent="0.2">
      <c r="A10681" s="8">
        <v>10680</v>
      </c>
      <c r="B10681" s="8" t="s">
        <v>45597</v>
      </c>
      <c r="C10681" s="8" t="s">
        <v>45597</v>
      </c>
      <c r="G10681" s="8">
        <v>20</v>
      </c>
      <c r="H10681" s="8" t="s">
        <v>21</v>
      </c>
      <c r="I10681" s="8" t="s">
        <v>22</v>
      </c>
      <c r="J10681" s="8" t="s">
        <v>22</v>
      </c>
      <c r="K10681" s="8" t="s">
        <v>45598</v>
      </c>
      <c r="L10681" s="8" t="s">
        <v>13194</v>
      </c>
      <c r="M10681" s="8" t="s">
        <v>13195</v>
      </c>
      <c r="N10681" s="8" t="s">
        <v>45599</v>
      </c>
      <c r="O10681" s="8">
        <f>11+27/60+47.5/3600</f>
        <v>11.463194444444444</v>
      </c>
      <c r="P10681" s="8" t="s">
        <v>45600</v>
      </c>
      <c r="Q10681" s="8">
        <f>+(13+25/60+34/3600)</f>
        <v>13.42611111111111</v>
      </c>
      <c r="R10681" s="8">
        <v>16.899999999999999</v>
      </c>
      <c r="S10681" s="8">
        <v>17.5</v>
      </c>
      <c r="T10681" s="8">
        <v>0.6</v>
      </c>
      <c r="U10681" s="8">
        <v>14.8</v>
      </c>
      <c r="V10681" s="8">
        <v>0.4</v>
      </c>
      <c r="W10681" s="8">
        <v>0.4</v>
      </c>
      <c r="Y10681" s="8" t="s">
        <v>45158</v>
      </c>
      <c r="Z10681" s="8" t="s">
        <v>45159</v>
      </c>
    </row>
    <row r="10682" spans="1:26" x14ac:dyDescent="0.2">
      <c r="A10682" s="8">
        <v>10681</v>
      </c>
      <c r="B10682" s="8" t="s">
        <v>45601</v>
      </c>
      <c r="C10682" s="8" t="s">
        <v>45601</v>
      </c>
      <c r="G10682" s="8">
        <v>20</v>
      </c>
      <c r="H10682" s="8" t="s">
        <v>21</v>
      </c>
      <c r="I10682" s="8" t="s">
        <v>72</v>
      </c>
      <c r="J10682" s="8" t="s">
        <v>72</v>
      </c>
      <c r="K10682" s="8" t="s">
        <v>20</v>
      </c>
      <c r="L10682" s="8" t="s">
        <v>13194</v>
      </c>
      <c r="M10682" s="8" t="s">
        <v>13195</v>
      </c>
      <c r="N10682" s="8" t="s">
        <v>45602</v>
      </c>
      <c r="O10682" s="8">
        <f>11+27/60+48.9/3600</f>
        <v>11.463583333333332</v>
      </c>
      <c r="P10682" s="8" t="s">
        <v>45603</v>
      </c>
      <c r="Q10682" s="8">
        <f>+(12+36/60+6/3600)</f>
        <v>12.601666666666667</v>
      </c>
      <c r="R10682" s="8">
        <v>99</v>
      </c>
      <c r="S10682" s="8">
        <v>99</v>
      </c>
      <c r="T10682" s="8">
        <v>99</v>
      </c>
      <c r="U10682" s="8">
        <v>99</v>
      </c>
      <c r="Y10682" s="8" t="s">
        <v>45604</v>
      </c>
      <c r="Z10682" s="8" t="s">
        <v>45605</v>
      </c>
    </row>
    <row r="10683" spans="1:26" x14ac:dyDescent="0.2">
      <c r="A10683" s="8">
        <v>10682</v>
      </c>
      <c r="B10683" s="8" t="s">
        <v>45606</v>
      </c>
      <c r="C10683" s="8" t="s">
        <v>45606</v>
      </c>
      <c r="G10683" s="8">
        <v>20</v>
      </c>
      <c r="H10683" s="8" t="s">
        <v>21</v>
      </c>
      <c r="I10683" s="8" t="s">
        <v>22</v>
      </c>
      <c r="J10683" s="8" t="s">
        <v>22</v>
      </c>
      <c r="K10683" s="8" t="s">
        <v>449</v>
      </c>
      <c r="L10683" s="8" t="s">
        <v>13194</v>
      </c>
      <c r="M10683" s="8" t="s">
        <v>13195</v>
      </c>
      <c r="N10683" s="8" t="s">
        <v>45607</v>
      </c>
      <c r="O10683" s="8">
        <f>11+27/60+47.7/3600</f>
        <v>11.463249999999999</v>
      </c>
      <c r="P10683" s="8" t="s">
        <v>45608</v>
      </c>
      <c r="Q10683" s="8">
        <f>+(9+39/60+7/3600)</f>
        <v>9.6519444444444442</v>
      </c>
      <c r="R10683" s="8">
        <v>15.4</v>
      </c>
      <c r="S10683" s="8">
        <v>16.2</v>
      </c>
      <c r="T10683" s="8">
        <v>0.8</v>
      </c>
      <c r="U10683" s="8">
        <v>11.4</v>
      </c>
      <c r="V10683" s="8">
        <v>0.3</v>
      </c>
      <c r="W10683" s="8">
        <v>0.1</v>
      </c>
      <c r="X10683" s="8">
        <v>45</v>
      </c>
      <c r="Y10683" s="8" t="s">
        <v>5139</v>
      </c>
      <c r="Z10683" s="8" t="s">
        <v>5140</v>
      </c>
    </row>
    <row r="10684" spans="1:26" x14ac:dyDescent="0.2">
      <c r="A10684" s="8">
        <v>10683</v>
      </c>
      <c r="B10684" s="8" t="s">
        <v>45609</v>
      </c>
      <c r="C10684" s="8" t="s">
        <v>45609</v>
      </c>
      <c r="G10684" s="8">
        <v>20</v>
      </c>
      <c r="H10684" s="8" t="s">
        <v>21</v>
      </c>
      <c r="I10684" s="8" t="s">
        <v>22</v>
      </c>
      <c r="J10684" s="8" t="s">
        <v>22</v>
      </c>
      <c r="K10684" s="8" t="s">
        <v>17644</v>
      </c>
      <c r="L10684" s="8" t="s">
        <v>13194</v>
      </c>
      <c r="M10684" s="8" t="s">
        <v>13195</v>
      </c>
      <c r="N10684" s="8" t="s">
        <v>45610</v>
      </c>
      <c r="O10684" s="8">
        <f>11+27/60+58.1/3600</f>
        <v>11.466138888888889</v>
      </c>
      <c r="P10684" s="8" t="s">
        <v>45611</v>
      </c>
      <c r="Q10684" s="8">
        <f>+(13+11/60+2/3600)</f>
        <v>13.183888888888889</v>
      </c>
      <c r="R10684" s="8">
        <v>14.8</v>
      </c>
      <c r="S10684" s="8">
        <v>15.4</v>
      </c>
      <c r="T10684" s="8">
        <v>0.6</v>
      </c>
      <c r="U10684" s="8">
        <v>12</v>
      </c>
      <c r="V10684" s="8">
        <v>0.3</v>
      </c>
      <c r="W10684" s="8">
        <v>0.3</v>
      </c>
      <c r="Y10684" s="8" t="s">
        <v>21</v>
      </c>
      <c r="Z10684" s="8" t="s">
        <v>45612</v>
      </c>
    </row>
    <row r="10685" spans="1:26" x14ac:dyDescent="0.2">
      <c r="A10685" s="8">
        <v>10684</v>
      </c>
      <c r="B10685" s="8" t="s">
        <v>45613</v>
      </c>
      <c r="C10685" s="8" t="s">
        <v>45613</v>
      </c>
      <c r="G10685" s="8">
        <v>20</v>
      </c>
      <c r="H10685" s="8" t="s">
        <v>21</v>
      </c>
      <c r="I10685" s="8" t="s">
        <v>22</v>
      </c>
      <c r="J10685" s="8" t="s">
        <v>22</v>
      </c>
      <c r="K10685" s="8" t="s">
        <v>449</v>
      </c>
      <c r="L10685" s="8" t="s">
        <v>13194</v>
      </c>
      <c r="M10685" s="8" t="s">
        <v>13195</v>
      </c>
      <c r="N10685" s="8" t="s">
        <v>45610</v>
      </c>
      <c r="O10685" s="8">
        <f>11+27/60+58.1/3600</f>
        <v>11.466138888888889</v>
      </c>
      <c r="P10685" s="8" t="s">
        <v>45614</v>
      </c>
      <c r="Q10685" s="8">
        <f>+(11+27/60+12/3600)</f>
        <v>11.453333333333333</v>
      </c>
      <c r="R10685" s="8">
        <v>15</v>
      </c>
      <c r="S10685" s="8">
        <v>15.8</v>
      </c>
      <c r="T10685" s="8">
        <v>0.8</v>
      </c>
      <c r="U10685" s="8">
        <v>12.8</v>
      </c>
      <c r="V10685" s="8">
        <v>0.5</v>
      </c>
      <c r="W10685" s="8">
        <v>0.3</v>
      </c>
      <c r="X10685" s="8">
        <v>120</v>
      </c>
      <c r="Y10685" s="8" t="s">
        <v>22305</v>
      </c>
      <c r="Z10685" s="8" t="s">
        <v>22306</v>
      </c>
    </row>
    <row r="10686" spans="1:26" x14ac:dyDescent="0.2">
      <c r="A10686" s="8">
        <v>10685</v>
      </c>
      <c r="B10686" s="8" t="s">
        <v>45615</v>
      </c>
      <c r="C10686" s="8" t="s">
        <v>45615</v>
      </c>
      <c r="G10686" s="8">
        <v>20</v>
      </c>
      <c r="H10686" s="8" t="s">
        <v>21</v>
      </c>
      <c r="I10686" s="8" t="s">
        <v>22</v>
      </c>
      <c r="J10686" s="8" t="s">
        <v>22</v>
      </c>
      <c r="K10686" s="8" t="s">
        <v>449</v>
      </c>
      <c r="L10686" s="8" t="s">
        <v>13194</v>
      </c>
      <c r="M10686" s="8" t="s">
        <v>13195</v>
      </c>
      <c r="N10686" s="8" t="s">
        <v>45616</v>
      </c>
      <c r="O10686" s="8">
        <f>11+28/60+0.4/3600</f>
        <v>11.466777777777779</v>
      </c>
      <c r="P10686" s="8" t="s">
        <v>45617</v>
      </c>
      <c r="Q10686" s="8">
        <f>+(12+31/60+49/3600)</f>
        <v>12.530277777777778</v>
      </c>
      <c r="R10686" s="8">
        <v>17</v>
      </c>
      <c r="S10686" s="8">
        <v>17.8</v>
      </c>
      <c r="T10686" s="8">
        <v>0.8</v>
      </c>
      <c r="U10686" s="8">
        <v>14.5</v>
      </c>
      <c r="V10686" s="8">
        <v>0.4</v>
      </c>
      <c r="W10686" s="8">
        <v>0.3</v>
      </c>
      <c r="X10686" s="8">
        <v>80</v>
      </c>
      <c r="Y10686" s="8" t="s">
        <v>45514</v>
      </c>
      <c r="Z10686" s="8" t="s">
        <v>45515</v>
      </c>
    </row>
    <row r="10687" spans="1:26" x14ac:dyDescent="0.2">
      <c r="A10687" s="8">
        <v>10686</v>
      </c>
      <c r="B10687" s="8" t="s">
        <v>45618</v>
      </c>
      <c r="C10687" s="8" t="s">
        <v>45618</v>
      </c>
      <c r="G10687" s="8">
        <v>20</v>
      </c>
      <c r="H10687" s="8" t="s">
        <v>21</v>
      </c>
      <c r="I10687" s="8" t="s">
        <v>22</v>
      </c>
      <c r="J10687" s="8" t="s">
        <v>22</v>
      </c>
      <c r="K10687" s="8" t="s">
        <v>449</v>
      </c>
      <c r="L10687" s="8" t="s">
        <v>13194</v>
      </c>
      <c r="M10687" s="8" t="s">
        <v>13195</v>
      </c>
      <c r="N10687" s="8" t="s">
        <v>45616</v>
      </c>
      <c r="O10687" s="8">
        <f>11+28/60+0.4/3600</f>
        <v>11.466777777777779</v>
      </c>
      <c r="P10687" s="8" t="s">
        <v>45619</v>
      </c>
      <c r="Q10687" s="8">
        <f>+(11+9/60+31/3600)</f>
        <v>11.158611111111112</v>
      </c>
      <c r="R10687" s="8">
        <v>14.5</v>
      </c>
      <c r="S10687" s="8">
        <v>15.3</v>
      </c>
      <c r="T10687" s="8">
        <v>0.8</v>
      </c>
      <c r="U10687" s="8">
        <v>13.8</v>
      </c>
      <c r="V10687" s="8">
        <v>0.9</v>
      </c>
      <c r="W10687" s="8">
        <v>0.7</v>
      </c>
      <c r="X10687" s="8">
        <v>114</v>
      </c>
      <c r="Y10687" s="8" t="s">
        <v>45620</v>
      </c>
      <c r="Z10687" s="8" t="s">
        <v>45621</v>
      </c>
    </row>
    <row r="10688" spans="1:26" x14ac:dyDescent="0.2">
      <c r="A10688" s="8">
        <v>10687</v>
      </c>
      <c r="B10688" s="8" t="s">
        <v>45622</v>
      </c>
      <c r="C10688" s="8" t="s">
        <v>45622</v>
      </c>
      <c r="G10688" s="8">
        <v>20</v>
      </c>
      <c r="H10688" s="8" t="s">
        <v>21</v>
      </c>
      <c r="I10688" s="8" t="s">
        <v>22</v>
      </c>
      <c r="J10688" s="8" t="s">
        <v>22</v>
      </c>
      <c r="K10688" s="8" t="s">
        <v>449</v>
      </c>
      <c r="L10688" s="8" t="s">
        <v>13194</v>
      </c>
      <c r="M10688" s="8" t="s">
        <v>13195</v>
      </c>
      <c r="N10688" s="8" t="s">
        <v>45623</v>
      </c>
      <c r="O10688" s="8">
        <f>11+28/60+3.4/3600</f>
        <v>11.467611111111111</v>
      </c>
      <c r="P10688" s="8" t="s">
        <v>45624</v>
      </c>
      <c r="Q10688" s="8">
        <f>+(13+55/60+46/3600)</f>
        <v>13.929444444444444</v>
      </c>
      <c r="R10688" s="8">
        <v>16.2</v>
      </c>
      <c r="S10688" s="8">
        <v>17</v>
      </c>
      <c r="T10688" s="8">
        <v>0.8</v>
      </c>
      <c r="U10688" s="8">
        <v>11.8</v>
      </c>
      <c r="V10688" s="8">
        <v>0.2</v>
      </c>
      <c r="W10688" s="8">
        <v>0.1</v>
      </c>
      <c r="X10688" s="8">
        <v>10</v>
      </c>
      <c r="Y10688" s="8" t="s">
        <v>45185</v>
      </c>
      <c r="Z10688" s="8" t="s">
        <v>45186</v>
      </c>
    </row>
    <row r="10689" spans="1:26" x14ac:dyDescent="0.2">
      <c r="A10689" s="8">
        <v>10688</v>
      </c>
      <c r="B10689" s="8" t="s">
        <v>45625</v>
      </c>
      <c r="C10689" s="8" t="s">
        <v>45625</v>
      </c>
      <c r="G10689" s="8">
        <v>20</v>
      </c>
      <c r="H10689" s="8" t="s">
        <v>21</v>
      </c>
      <c r="I10689" s="8" t="s">
        <v>22</v>
      </c>
      <c r="J10689" s="8" t="s">
        <v>22</v>
      </c>
      <c r="K10689" s="8" t="s">
        <v>45598</v>
      </c>
      <c r="L10689" s="8" t="s">
        <v>13194</v>
      </c>
      <c r="M10689" s="8" t="s">
        <v>13195</v>
      </c>
      <c r="N10689" s="8" t="s">
        <v>45626</v>
      </c>
      <c r="O10689" s="8">
        <f>11+28/60+13.6/3600</f>
        <v>11.470444444444444</v>
      </c>
      <c r="P10689" s="8" t="s">
        <v>45627</v>
      </c>
      <c r="Q10689" s="8">
        <f>+(13+1/60+51/3600)</f>
        <v>13.030833333333334</v>
      </c>
      <c r="R10689" s="8">
        <v>17.399999999999999</v>
      </c>
      <c r="S10689" s="8">
        <v>18</v>
      </c>
      <c r="T10689" s="8">
        <v>0.6</v>
      </c>
      <c r="U10689" s="8">
        <v>14.6</v>
      </c>
      <c r="V10689" s="8">
        <v>0.3</v>
      </c>
      <c r="W10689" s="8">
        <v>0.3</v>
      </c>
      <c r="Y10689" s="8" t="s">
        <v>5139</v>
      </c>
      <c r="Z10689" s="8" t="s">
        <v>5140</v>
      </c>
    </row>
    <row r="10690" spans="1:26" x14ac:dyDescent="0.2">
      <c r="A10690" s="8">
        <v>10689</v>
      </c>
      <c r="B10690" s="8" t="s">
        <v>45628</v>
      </c>
      <c r="C10690" s="8" t="s">
        <v>45628</v>
      </c>
      <c r="G10690" s="8">
        <v>20</v>
      </c>
      <c r="H10690" s="8" t="s">
        <v>21</v>
      </c>
      <c r="I10690" s="8" t="s">
        <v>72</v>
      </c>
      <c r="J10690" s="8" t="s">
        <v>72</v>
      </c>
      <c r="K10690" s="8" t="s">
        <v>20</v>
      </c>
      <c r="L10690" s="8" t="s">
        <v>13194</v>
      </c>
      <c r="M10690" s="8" t="s">
        <v>13195</v>
      </c>
      <c r="N10690" s="8" t="s">
        <v>45629</v>
      </c>
      <c r="O10690" s="8">
        <f>11+28/60+11.7/3600</f>
        <v>11.469916666666666</v>
      </c>
      <c r="P10690" s="8" t="s">
        <v>45630</v>
      </c>
      <c r="Q10690" s="8">
        <f>+(9+5/60+38/3600)</f>
        <v>9.0938888888888894</v>
      </c>
      <c r="R10690" s="8">
        <v>99</v>
      </c>
      <c r="S10690" s="8">
        <v>15.4</v>
      </c>
      <c r="T10690" s="8">
        <v>99</v>
      </c>
      <c r="U10690" s="8">
        <v>99</v>
      </c>
      <c r="Y10690" s="8" t="s">
        <v>18110</v>
      </c>
      <c r="Z10690" s="8" t="s">
        <v>18111</v>
      </c>
    </row>
    <row r="10691" spans="1:26" x14ac:dyDescent="0.2">
      <c r="A10691" s="8">
        <v>10690</v>
      </c>
      <c r="B10691" s="8" t="s">
        <v>45631</v>
      </c>
      <c r="C10691" s="8" t="s">
        <v>45631</v>
      </c>
      <c r="G10691" s="8">
        <v>20</v>
      </c>
      <c r="H10691" s="8" t="s">
        <v>21</v>
      </c>
      <c r="I10691" s="8" t="s">
        <v>22</v>
      </c>
      <c r="J10691" s="8" t="s">
        <v>22</v>
      </c>
      <c r="K10691" s="8" t="s">
        <v>476</v>
      </c>
      <c r="L10691" s="8" t="s">
        <v>13194</v>
      </c>
      <c r="M10691" s="8" t="s">
        <v>13195</v>
      </c>
      <c r="N10691" s="8" t="s">
        <v>45632</v>
      </c>
      <c r="O10691" s="8">
        <f>11+28/60+13/3600</f>
        <v>11.470277777777778</v>
      </c>
      <c r="P10691" s="8" t="s">
        <v>45633</v>
      </c>
      <c r="Q10691" s="8">
        <f>+(9+3/60+46/3600)</f>
        <v>9.0627777777777787</v>
      </c>
      <c r="R10691" s="8">
        <v>14.4</v>
      </c>
      <c r="S10691" s="8">
        <v>15.3</v>
      </c>
      <c r="T10691" s="8">
        <v>0.9</v>
      </c>
      <c r="U10691" s="8">
        <v>12.1</v>
      </c>
      <c r="V10691" s="8">
        <v>0.7</v>
      </c>
      <c r="W10691" s="8">
        <v>0.2</v>
      </c>
      <c r="X10691" s="8">
        <v>126</v>
      </c>
      <c r="Y10691" s="8" t="s">
        <v>21</v>
      </c>
      <c r="Z10691" s="8" t="s">
        <v>45634</v>
      </c>
    </row>
    <row r="10692" spans="1:26" x14ac:dyDescent="0.2">
      <c r="A10692" s="8">
        <v>10691</v>
      </c>
      <c r="B10692" s="8" t="s">
        <v>45635</v>
      </c>
      <c r="C10692" s="8" t="s">
        <v>45635</v>
      </c>
      <c r="G10692" s="8">
        <v>20</v>
      </c>
      <c r="H10692" s="8" t="s">
        <v>21</v>
      </c>
      <c r="I10692" s="8" t="s">
        <v>22</v>
      </c>
      <c r="J10692" s="8" t="s">
        <v>22</v>
      </c>
      <c r="K10692" s="8" t="s">
        <v>449</v>
      </c>
      <c r="L10692" s="8" t="s">
        <v>13194</v>
      </c>
      <c r="M10692" s="8" t="s">
        <v>13195</v>
      </c>
      <c r="N10692" s="8" t="s">
        <v>45636</v>
      </c>
      <c r="O10692" s="8">
        <f>11+28/60+14.5/3600</f>
        <v>11.470694444444444</v>
      </c>
      <c r="P10692" s="8" t="s">
        <v>45637</v>
      </c>
      <c r="Q10692" s="8">
        <f>+(11+23/60+39/3600)</f>
        <v>11.394166666666667</v>
      </c>
      <c r="R10692" s="8">
        <v>15.2</v>
      </c>
      <c r="S10692" s="8">
        <v>16</v>
      </c>
      <c r="T10692" s="8">
        <v>0.8</v>
      </c>
      <c r="U10692" s="8">
        <v>12.3</v>
      </c>
      <c r="V10692" s="8">
        <v>0.4</v>
      </c>
      <c r="W10692" s="8">
        <v>0.2</v>
      </c>
      <c r="X10692" s="8">
        <v>45</v>
      </c>
      <c r="Y10692" s="8" t="s">
        <v>4065</v>
      </c>
      <c r="Z10692" s="8" t="s">
        <v>4066</v>
      </c>
    </row>
    <row r="10693" spans="1:26" x14ac:dyDescent="0.2">
      <c r="A10693" s="8">
        <v>10692</v>
      </c>
      <c r="B10693" s="8" t="s">
        <v>45638</v>
      </c>
      <c r="C10693" s="8" t="s">
        <v>45638</v>
      </c>
      <c r="G10693" s="8">
        <v>20</v>
      </c>
      <c r="H10693" s="8" t="s">
        <v>21</v>
      </c>
      <c r="I10693" s="8" t="s">
        <v>22</v>
      </c>
      <c r="J10693" s="8" t="s">
        <v>22</v>
      </c>
      <c r="K10693" s="8" t="s">
        <v>449</v>
      </c>
      <c r="L10693" s="8" t="s">
        <v>13194</v>
      </c>
      <c r="M10693" s="8" t="s">
        <v>13195</v>
      </c>
      <c r="N10693" s="8" t="s">
        <v>45639</v>
      </c>
      <c r="O10693" s="8">
        <f>11+28/60+14/3600</f>
        <v>11.470555555555556</v>
      </c>
      <c r="P10693" s="8" t="s">
        <v>45640</v>
      </c>
      <c r="Q10693" s="8">
        <f>+(9+48/60+4/3600)</f>
        <v>9.801111111111112</v>
      </c>
      <c r="R10693" s="8">
        <v>16.5</v>
      </c>
      <c r="S10693" s="8">
        <v>17.3</v>
      </c>
      <c r="T10693" s="8">
        <v>0.8</v>
      </c>
      <c r="U10693" s="8">
        <v>13.6</v>
      </c>
      <c r="V10693" s="8">
        <v>0.4</v>
      </c>
      <c r="W10693" s="8">
        <v>0.2</v>
      </c>
      <c r="X10693" s="8">
        <v>110</v>
      </c>
      <c r="Y10693" s="8" t="s">
        <v>45641</v>
      </c>
      <c r="Z10693" s="8" t="s">
        <v>45642</v>
      </c>
    </row>
    <row r="10694" spans="1:26" x14ac:dyDescent="0.2">
      <c r="A10694" s="8">
        <v>10693</v>
      </c>
      <c r="B10694" s="8" t="s">
        <v>45643</v>
      </c>
      <c r="C10694" s="8" t="s">
        <v>45643</v>
      </c>
      <c r="G10694" s="8">
        <v>20</v>
      </c>
      <c r="H10694" s="8" t="s">
        <v>21</v>
      </c>
      <c r="I10694" s="8" t="s">
        <v>22</v>
      </c>
      <c r="J10694" s="8" t="s">
        <v>22</v>
      </c>
      <c r="K10694" s="8" t="s">
        <v>406</v>
      </c>
      <c r="L10694" s="8" t="s">
        <v>13194</v>
      </c>
      <c r="M10694" s="8" t="s">
        <v>13195</v>
      </c>
      <c r="N10694" s="8" t="s">
        <v>45644</v>
      </c>
      <c r="O10694" s="8">
        <f>11+28/60+14.8/3600</f>
        <v>11.470777777777778</v>
      </c>
      <c r="P10694" s="8" t="s">
        <v>45645</v>
      </c>
      <c r="Q10694" s="8">
        <f>+(9+8/60+52/3600)</f>
        <v>9.1477777777777778</v>
      </c>
      <c r="R10694" s="8">
        <v>13.7</v>
      </c>
      <c r="S10694" s="8">
        <v>14.5</v>
      </c>
      <c r="T10694" s="8">
        <v>0.8</v>
      </c>
      <c r="U10694" s="8">
        <v>13</v>
      </c>
      <c r="V10694" s="8">
        <v>1</v>
      </c>
      <c r="W10694" s="8">
        <v>0.5</v>
      </c>
      <c r="X10694" s="8">
        <v>0</v>
      </c>
      <c r="Y10694" s="8" t="s">
        <v>45646</v>
      </c>
      <c r="Z10694" s="8" t="s">
        <v>45647</v>
      </c>
    </row>
    <row r="10695" spans="1:26" x14ac:dyDescent="0.2">
      <c r="A10695" s="8">
        <v>10694</v>
      </c>
      <c r="B10695" s="8" t="s">
        <v>45648</v>
      </c>
      <c r="C10695" s="8" t="s">
        <v>45648</v>
      </c>
      <c r="G10695" s="8">
        <v>20</v>
      </c>
      <c r="H10695" s="8" t="s">
        <v>21</v>
      </c>
      <c r="I10695" s="8" t="s">
        <v>72</v>
      </c>
      <c r="J10695" s="8" t="s">
        <v>72</v>
      </c>
      <c r="K10695" s="8" t="s">
        <v>20</v>
      </c>
      <c r="L10695" s="8" t="s">
        <v>13194</v>
      </c>
      <c r="M10695" s="8" t="s">
        <v>13195</v>
      </c>
      <c r="N10695" s="8" t="s">
        <v>45649</v>
      </c>
      <c r="O10695" s="8">
        <f>11+28/60+19.8/3600</f>
        <v>11.472166666666666</v>
      </c>
      <c r="P10695" s="8" t="s">
        <v>45650</v>
      </c>
      <c r="Q10695" s="8">
        <f>+(8+58/60+8/3600)</f>
        <v>8.9688888888888894</v>
      </c>
      <c r="R10695" s="8">
        <v>99</v>
      </c>
      <c r="S10695" s="8">
        <v>99</v>
      </c>
      <c r="T10695" s="8">
        <v>99</v>
      </c>
      <c r="U10695" s="8">
        <v>99</v>
      </c>
      <c r="Y10695" s="8" t="s">
        <v>44926</v>
      </c>
      <c r="Z10695" s="8" t="s">
        <v>44927</v>
      </c>
    </row>
    <row r="10696" spans="1:26" x14ac:dyDescent="0.2">
      <c r="A10696" s="8">
        <v>10695</v>
      </c>
      <c r="B10696" s="8" t="s">
        <v>45651</v>
      </c>
      <c r="C10696" s="8" t="s">
        <v>45651</v>
      </c>
      <c r="G10696" s="8">
        <v>20</v>
      </c>
      <c r="H10696" s="8" t="s">
        <v>21</v>
      </c>
      <c r="I10696" s="8" t="s">
        <v>22</v>
      </c>
      <c r="J10696" s="8" t="s">
        <v>22</v>
      </c>
      <c r="K10696" s="8" t="s">
        <v>1174</v>
      </c>
      <c r="L10696" s="8" t="s">
        <v>13194</v>
      </c>
      <c r="M10696" s="8" t="s">
        <v>13195</v>
      </c>
      <c r="N10696" s="8" t="s">
        <v>45652</v>
      </c>
      <c r="O10696" s="8">
        <f>11+28/60+24.9/3600</f>
        <v>11.473583333333334</v>
      </c>
      <c r="P10696" s="8" t="s">
        <v>45653</v>
      </c>
      <c r="Q10696" s="8">
        <f>+(9+41/60+16/3600)</f>
        <v>9.6877777777777787</v>
      </c>
      <c r="R10696" s="8">
        <v>16.2</v>
      </c>
      <c r="S10696" s="8">
        <v>17</v>
      </c>
      <c r="T10696" s="8">
        <v>0.8</v>
      </c>
      <c r="U10696" s="8">
        <v>12.6</v>
      </c>
      <c r="V10696" s="8">
        <v>0.2</v>
      </c>
      <c r="W10696" s="8">
        <v>0.2</v>
      </c>
      <c r="Y10696" s="8" t="s">
        <v>45514</v>
      </c>
      <c r="Z10696" s="8" t="s">
        <v>45515</v>
      </c>
    </row>
    <row r="10697" spans="1:26" x14ac:dyDescent="0.2">
      <c r="A10697" s="8">
        <v>10696</v>
      </c>
      <c r="B10697" s="8" t="s">
        <v>45654</v>
      </c>
      <c r="C10697" s="8" t="s">
        <v>45654</v>
      </c>
      <c r="G10697" s="8">
        <v>20</v>
      </c>
      <c r="H10697" s="8" t="s">
        <v>21</v>
      </c>
      <c r="I10697" s="8" t="s">
        <v>22</v>
      </c>
      <c r="J10697" s="8" t="s">
        <v>22</v>
      </c>
      <c r="K10697" s="8" t="s">
        <v>31</v>
      </c>
      <c r="L10697" s="8" t="s">
        <v>15699</v>
      </c>
      <c r="M10697" s="8" t="s">
        <v>15700</v>
      </c>
      <c r="N10697" s="8" t="s">
        <v>45655</v>
      </c>
      <c r="O10697" s="8">
        <f>11+28/60+16.3/3600</f>
        <v>11.471194444444444</v>
      </c>
      <c r="P10697" s="8" t="s">
        <v>45656</v>
      </c>
      <c r="Q10697" s="8">
        <f>-(12+53/60+26/3600)</f>
        <v>-12.890555555555554</v>
      </c>
      <c r="R10697" s="8">
        <v>13.7</v>
      </c>
      <c r="S10697" s="8">
        <v>14.5</v>
      </c>
      <c r="T10697" s="8">
        <v>0.8</v>
      </c>
      <c r="U10697" s="8">
        <v>12</v>
      </c>
      <c r="V10697" s="8">
        <v>0.8</v>
      </c>
      <c r="W10697" s="8">
        <v>0.3</v>
      </c>
      <c r="X10697" s="8">
        <v>42</v>
      </c>
      <c r="Y10697" s="8" t="s">
        <v>45657</v>
      </c>
      <c r="Z10697" s="8" t="s">
        <v>45658</v>
      </c>
    </row>
    <row r="10698" spans="1:26" x14ac:dyDescent="0.2">
      <c r="A10698" s="8">
        <v>10697</v>
      </c>
      <c r="B10698" s="8" t="s">
        <v>45659</v>
      </c>
      <c r="C10698" s="8" t="s">
        <v>45659</v>
      </c>
      <c r="G10698" s="8">
        <v>20</v>
      </c>
      <c r="H10698" s="8" t="s">
        <v>21</v>
      </c>
      <c r="I10698" s="8" t="s">
        <v>22</v>
      </c>
      <c r="J10698" s="8" t="s">
        <v>22</v>
      </c>
      <c r="K10698" s="8" t="s">
        <v>160</v>
      </c>
      <c r="L10698" s="8" t="s">
        <v>13194</v>
      </c>
      <c r="M10698" s="8" t="s">
        <v>13195</v>
      </c>
      <c r="N10698" s="8" t="s">
        <v>45660</v>
      </c>
      <c r="O10698" s="8">
        <f>11+28/60+31/3600</f>
        <v>11.475277777777778</v>
      </c>
      <c r="P10698" s="8" t="s">
        <v>45661</v>
      </c>
      <c r="Q10698" s="8">
        <f>+(9+6/60+14/3600)</f>
        <v>9.1038888888888891</v>
      </c>
      <c r="R10698" s="8">
        <v>14.5</v>
      </c>
      <c r="S10698" s="8">
        <v>15.2</v>
      </c>
      <c r="T10698" s="8">
        <v>0.7</v>
      </c>
      <c r="U10698" s="8">
        <v>13.3</v>
      </c>
      <c r="V10698" s="8">
        <v>1.8</v>
      </c>
      <c r="W10698" s="8">
        <v>0.2</v>
      </c>
      <c r="X10698" s="8">
        <v>161</v>
      </c>
      <c r="Y10698" s="8" t="s">
        <v>45662</v>
      </c>
      <c r="Z10698" s="8" t="s">
        <v>45663</v>
      </c>
    </row>
    <row r="10699" spans="1:26" x14ac:dyDescent="0.2">
      <c r="A10699" s="8">
        <v>10698</v>
      </c>
      <c r="B10699" s="8" t="s">
        <v>45664</v>
      </c>
      <c r="C10699" s="8" t="s">
        <v>45664</v>
      </c>
      <c r="G10699" s="8">
        <v>20</v>
      </c>
      <c r="H10699" s="8" t="s">
        <v>21</v>
      </c>
      <c r="I10699" s="8" t="s">
        <v>22</v>
      </c>
      <c r="J10699" s="8" t="s">
        <v>22</v>
      </c>
      <c r="K10699" s="8" t="s">
        <v>424</v>
      </c>
      <c r="L10699" s="8" t="s">
        <v>13194</v>
      </c>
      <c r="M10699" s="8" t="s">
        <v>13195</v>
      </c>
      <c r="N10699" s="8" t="s">
        <v>45665</v>
      </c>
      <c r="O10699" s="8">
        <f>11+28/60+36/3600</f>
        <v>11.476666666666667</v>
      </c>
      <c r="P10699" s="8" t="s">
        <v>45666</v>
      </c>
      <c r="Q10699" s="8">
        <f>+(13+39/60+41/3600)</f>
        <v>13.661388888888888</v>
      </c>
      <c r="R10699" s="8">
        <v>14.5</v>
      </c>
      <c r="S10699" s="8">
        <v>15.5</v>
      </c>
      <c r="T10699" s="8">
        <v>1</v>
      </c>
      <c r="U10699" s="8">
        <v>11.3</v>
      </c>
      <c r="V10699" s="8">
        <v>0.3</v>
      </c>
      <c r="W10699" s="8">
        <v>0.2</v>
      </c>
      <c r="X10699" s="8">
        <v>120</v>
      </c>
      <c r="Y10699" s="8" t="s">
        <v>2641</v>
      </c>
      <c r="Z10699" s="8" t="s">
        <v>2642</v>
      </c>
    </row>
    <row r="10700" spans="1:26" x14ac:dyDescent="0.2">
      <c r="A10700" s="8">
        <v>10699</v>
      </c>
      <c r="B10700" s="8" t="s">
        <v>45667</v>
      </c>
      <c r="C10700" s="8" t="s">
        <v>45667</v>
      </c>
      <c r="G10700" s="8">
        <v>20</v>
      </c>
      <c r="H10700" s="8" t="s">
        <v>21</v>
      </c>
      <c r="I10700" s="8" t="s">
        <v>72</v>
      </c>
      <c r="J10700" s="8" t="s">
        <v>72</v>
      </c>
      <c r="K10700" s="8" t="s">
        <v>20</v>
      </c>
      <c r="L10700" s="8" t="s">
        <v>13194</v>
      </c>
      <c r="M10700" s="8" t="s">
        <v>13195</v>
      </c>
      <c r="N10700" s="8" t="s">
        <v>45668</v>
      </c>
      <c r="O10700" s="8">
        <f>11+28/60+41.8/3600</f>
        <v>11.478277777777778</v>
      </c>
      <c r="P10700" s="8" t="s">
        <v>45669</v>
      </c>
      <c r="Q10700" s="8">
        <f>+(9+6/60+32/3600)</f>
        <v>9.1088888888888881</v>
      </c>
      <c r="R10700" s="8">
        <v>99</v>
      </c>
      <c r="S10700" s="8">
        <v>99</v>
      </c>
      <c r="T10700" s="8">
        <v>99</v>
      </c>
      <c r="U10700" s="8">
        <v>99</v>
      </c>
      <c r="Y10700" s="8" t="s">
        <v>15316</v>
      </c>
      <c r="Z10700" s="8" t="s">
        <v>15317</v>
      </c>
    </row>
    <row r="10701" spans="1:26" x14ac:dyDescent="0.2">
      <c r="A10701" s="8">
        <v>10700</v>
      </c>
      <c r="B10701" s="8" t="s">
        <v>45670</v>
      </c>
      <c r="C10701" s="8" t="s">
        <v>45670</v>
      </c>
      <c r="G10701" s="8">
        <v>20</v>
      </c>
      <c r="H10701" s="8" t="s">
        <v>21</v>
      </c>
      <c r="I10701" s="8" t="s">
        <v>22</v>
      </c>
      <c r="J10701" s="8" t="s">
        <v>22</v>
      </c>
      <c r="K10701" s="8" t="s">
        <v>460</v>
      </c>
      <c r="L10701" s="8" t="s">
        <v>13194</v>
      </c>
      <c r="M10701" s="8" t="s">
        <v>13195</v>
      </c>
      <c r="N10701" s="8" t="s">
        <v>45671</v>
      </c>
      <c r="O10701" s="8">
        <f>11+28/60+44.6/3600</f>
        <v>11.479055555555556</v>
      </c>
      <c r="P10701" s="8" t="s">
        <v>45672</v>
      </c>
      <c r="Q10701" s="8">
        <f>+(14+2/60+29/3600)</f>
        <v>14.041388888888889</v>
      </c>
      <c r="R10701" s="8">
        <v>15.5</v>
      </c>
      <c r="S10701" s="8">
        <v>16.5</v>
      </c>
      <c r="T10701" s="8">
        <v>1</v>
      </c>
      <c r="U10701" s="8">
        <v>12.1</v>
      </c>
      <c r="V10701" s="8">
        <v>0.2</v>
      </c>
      <c r="W10701" s="8">
        <v>0.2</v>
      </c>
      <c r="Y10701" s="8" t="s">
        <v>45158</v>
      </c>
      <c r="Z10701" s="8" t="s">
        <v>45159</v>
      </c>
    </row>
    <row r="10702" spans="1:26" x14ac:dyDescent="0.2">
      <c r="A10702" s="8">
        <v>10701</v>
      </c>
      <c r="B10702" s="8" t="s">
        <v>45673</v>
      </c>
      <c r="C10702" s="8" t="s">
        <v>45673</v>
      </c>
      <c r="G10702" s="8">
        <v>20</v>
      </c>
      <c r="H10702" s="8" t="s">
        <v>21</v>
      </c>
      <c r="I10702" s="8" t="s">
        <v>22</v>
      </c>
      <c r="J10702" s="8" t="s">
        <v>22</v>
      </c>
      <c r="K10702" s="8" t="s">
        <v>818</v>
      </c>
      <c r="L10702" s="8" t="s">
        <v>12015</v>
      </c>
      <c r="M10702" s="8" t="s">
        <v>12016</v>
      </c>
      <c r="N10702" s="8" t="s">
        <v>45674</v>
      </c>
      <c r="O10702" s="8">
        <f>11+28/60+58.9/3600</f>
        <v>11.483027777777778</v>
      </c>
      <c r="P10702" s="8" t="s">
        <v>45675</v>
      </c>
      <c r="Q10702" s="8">
        <f>+(38+51/60+7/3600)</f>
        <v>38.851944444444449</v>
      </c>
      <c r="R10702" s="8">
        <v>14.3</v>
      </c>
      <c r="S10702" s="8">
        <v>15.3</v>
      </c>
      <c r="T10702" s="8">
        <v>1</v>
      </c>
      <c r="U10702" s="8">
        <v>13.8</v>
      </c>
      <c r="V10702" s="8">
        <v>0.8</v>
      </c>
      <c r="W10702" s="8">
        <v>0.7</v>
      </c>
      <c r="X10702" s="8">
        <v>99</v>
      </c>
      <c r="Y10702" s="8" t="s">
        <v>36797</v>
      </c>
      <c r="Z10702" s="8" t="s">
        <v>36798</v>
      </c>
    </row>
    <row r="10703" spans="1:26" x14ac:dyDescent="0.2">
      <c r="A10703" s="8">
        <v>10702</v>
      </c>
      <c r="B10703" s="8" t="s">
        <v>45676</v>
      </c>
      <c r="C10703" s="8" t="s">
        <v>45676</v>
      </c>
      <c r="G10703" s="8">
        <v>20</v>
      </c>
      <c r="H10703" s="8" t="s">
        <v>21</v>
      </c>
      <c r="I10703" s="8" t="s">
        <v>22</v>
      </c>
      <c r="J10703" s="8" t="s">
        <v>22</v>
      </c>
      <c r="K10703" s="8" t="s">
        <v>37</v>
      </c>
      <c r="L10703" s="8" t="s">
        <v>13194</v>
      </c>
      <c r="M10703" s="8" t="s">
        <v>13195</v>
      </c>
      <c r="N10703" s="8" t="s">
        <v>45677</v>
      </c>
      <c r="O10703" s="8">
        <f>11+28/60+43.3/3600</f>
        <v>11.478694444444445</v>
      </c>
      <c r="P10703" s="8" t="s">
        <v>45678</v>
      </c>
      <c r="Q10703" s="8">
        <f>+(10+7/60+40/3600)</f>
        <v>10.127777777777778</v>
      </c>
      <c r="R10703" s="8">
        <v>16.399999999999999</v>
      </c>
      <c r="S10703" s="8">
        <v>17.399999999999999</v>
      </c>
      <c r="T10703" s="8">
        <v>1</v>
      </c>
      <c r="U10703" s="8">
        <v>13.2</v>
      </c>
      <c r="V10703" s="8">
        <v>0.3</v>
      </c>
      <c r="W10703" s="8">
        <v>0.2</v>
      </c>
      <c r="X10703" s="8">
        <v>45</v>
      </c>
      <c r="Y10703" s="8" t="s">
        <v>22305</v>
      </c>
      <c r="Z10703" s="8" t="s">
        <v>22306</v>
      </c>
    </row>
    <row r="10704" spans="1:26" x14ac:dyDescent="0.2">
      <c r="A10704" s="8">
        <v>10703</v>
      </c>
      <c r="B10704" s="8" t="s">
        <v>45679</v>
      </c>
      <c r="C10704" s="8" t="s">
        <v>45679</v>
      </c>
      <c r="G10704" s="8">
        <v>20</v>
      </c>
      <c r="H10704" s="8" t="s">
        <v>21</v>
      </c>
      <c r="I10704" s="8" t="s">
        <v>72</v>
      </c>
      <c r="J10704" s="8" t="s">
        <v>72</v>
      </c>
      <c r="K10704" s="8" t="s">
        <v>20</v>
      </c>
      <c r="L10704" s="8" t="s">
        <v>13194</v>
      </c>
      <c r="M10704" s="8" t="s">
        <v>13195</v>
      </c>
      <c r="N10704" s="8" t="s">
        <v>16937</v>
      </c>
      <c r="O10704" s="8">
        <f>11+28/60+54/3600</f>
        <v>11.481666666666667</v>
      </c>
      <c r="P10704" s="8" t="s">
        <v>45680</v>
      </c>
      <c r="Q10704" s="8">
        <f>+(9+5/60+43/3600)</f>
        <v>9.0952777777777776</v>
      </c>
      <c r="R10704" s="8">
        <v>99</v>
      </c>
      <c r="S10704" s="8">
        <v>15.5</v>
      </c>
      <c r="T10704" s="8">
        <v>99</v>
      </c>
      <c r="U10704" s="8">
        <v>99</v>
      </c>
      <c r="Y10704" s="8" t="s">
        <v>45681</v>
      </c>
      <c r="Z10704" s="8" t="s">
        <v>45682</v>
      </c>
    </row>
    <row r="10705" spans="1:26" x14ac:dyDescent="0.2">
      <c r="A10705" s="8">
        <v>10704</v>
      </c>
      <c r="B10705" s="8" t="s">
        <v>45683</v>
      </c>
      <c r="C10705" s="8" t="s">
        <v>45683</v>
      </c>
      <c r="G10705" s="8">
        <v>20</v>
      </c>
      <c r="H10705" s="8" t="s">
        <v>21</v>
      </c>
      <c r="I10705" s="8" t="s">
        <v>22</v>
      </c>
      <c r="J10705" s="8" t="s">
        <v>22</v>
      </c>
      <c r="K10705" s="8" t="s">
        <v>449</v>
      </c>
      <c r="L10705" s="8" t="s">
        <v>13194</v>
      </c>
      <c r="M10705" s="8" t="s">
        <v>13195</v>
      </c>
      <c r="N10705" s="8" t="s">
        <v>45684</v>
      </c>
      <c r="O10705" s="8">
        <f>11+28/60+59.6/3600</f>
        <v>11.483222222222222</v>
      </c>
      <c r="P10705" s="8" t="s">
        <v>45685</v>
      </c>
      <c r="Q10705" s="8">
        <f>+(12+22/60+5/3600)</f>
        <v>12.368055555555555</v>
      </c>
      <c r="R10705" s="8">
        <v>16.899999999999999</v>
      </c>
      <c r="S10705" s="8">
        <v>17.7</v>
      </c>
      <c r="T10705" s="8">
        <v>0.8</v>
      </c>
      <c r="U10705" s="8">
        <v>14</v>
      </c>
      <c r="V10705" s="8">
        <v>0.4</v>
      </c>
      <c r="W10705" s="8">
        <v>0.2</v>
      </c>
      <c r="X10705" s="8">
        <v>160</v>
      </c>
      <c r="Y10705" s="8" t="s">
        <v>45091</v>
      </c>
      <c r="Z10705" s="8" t="s">
        <v>45092</v>
      </c>
    </row>
    <row r="10706" spans="1:26" x14ac:dyDescent="0.2">
      <c r="A10706" s="8">
        <v>10705</v>
      </c>
      <c r="B10706" s="8" t="s">
        <v>45686</v>
      </c>
      <c r="C10706" s="8" t="s">
        <v>45686</v>
      </c>
      <c r="G10706" s="8">
        <v>20</v>
      </c>
      <c r="H10706" s="8" t="s">
        <v>21</v>
      </c>
      <c r="I10706" s="8" t="s">
        <v>72</v>
      </c>
      <c r="J10706" s="8" t="s">
        <v>72</v>
      </c>
      <c r="K10706" s="8" t="s">
        <v>20</v>
      </c>
      <c r="L10706" s="8" t="s">
        <v>13194</v>
      </c>
      <c r="M10706" s="8" t="s">
        <v>13195</v>
      </c>
      <c r="N10706" s="8" t="s">
        <v>45687</v>
      </c>
      <c r="O10706" s="8">
        <f>11+28/60+59.7/3600</f>
        <v>11.48325</v>
      </c>
      <c r="P10706" s="8" t="s">
        <v>45688</v>
      </c>
      <c r="Q10706" s="8">
        <f>+(9+6/60+55/3600)</f>
        <v>9.1152777777777771</v>
      </c>
      <c r="R10706" s="8">
        <v>99</v>
      </c>
      <c r="S10706" s="8">
        <v>99</v>
      </c>
      <c r="T10706" s="8">
        <v>99</v>
      </c>
      <c r="U10706" s="8">
        <v>99</v>
      </c>
      <c r="Y10706" s="8" t="s">
        <v>17508</v>
      </c>
      <c r="Z10706" s="8" t="s">
        <v>17509</v>
      </c>
    </row>
    <row r="10707" spans="1:26" x14ac:dyDescent="0.2">
      <c r="A10707" s="8">
        <v>10706</v>
      </c>
      <c r="B10707" s="8" t="s">
        <v>45689</v>
      </c>
      <c r="C10707" s="8" t="s">
        <v>45689</v>
      </c>
      <c r="G10707" s="8">
        <v>20</v>
      </c>
      <c r="H10707" s="8" t="s">
        <v>21</v>
      </c>
      <c r="I10707" s="8" t="s">
        <v>72</v>
      </c>
      <c r="J10707" s="8" t="s">
        <v>72</v>
      </c>
      <c r="K10707" s="8" t="s">
        <v>20</v>
      </c>
      <c r="L10707" s="8" t="s">
        <v>13194</v>
      </c>
      <c r="M10707" s="8" t="s">
        <v>13195</v>
      </c>
      <c r="N10707" s="8" t="s">
        <v>45690</v>
      </c>
      <c r="O10707" s="8">
        <f>11+29/60+0/3600</f>
        <v>11.483333333333333</v>
      </c>
      <c r="P10707" s="8" t="s">
        <v>45691</v>
      </c>
      <c r="Q10707" s="8">
        <f>+(9+2/60+32/3600)</f>
        <v>9.0422222222222217</v>
      </c>
      <c r="R10707" s="8">
        <v>99</v>
      </c>
      <c r="S10707" s="8">
        <v>99</v>
      </c>
      <c r="T10707" s="8">
        <v>99</v>
      </c>
      <c r="U10707" s="8">
        <v>99</v>
      </c>
      <c r="Y10707" s="8" t="s">
        <v>45692</v>
      </c>
      <c r="Z10707" s="8" t="s">
        <v>45693</v>
      </c>
    </row>
    <row r="10708" spans="1:26" x14ac:dyDescent="0.2">
      <c r="A10708" s="8">
        <v>10707</v>
      </c>
      <c r="B10708" s="8" t="s">
        <v>45694</v>
      </c>
      <c r="C10708" s="8" t="s">
        <v>45694</v>
      </c>
      <c r="G10708" s="8">
        <v>20</v>
      </c>
      <c r="H10708" s="8" t="s">
        <v>21</v>
      </c>
      <c r="I10708" s="8" t="s">
        <v>22</v>
      </c>
      <c r="J10708" s="8" t="s">
        <v>22</v>
      </c>
      <c r="K10708" s="8" t="s">
        <v>382</v>
      </c>
      <c r="L10708" s="8" t="s">
        <v>13194</v>
      </c>
      <c r="M10708" s="8" t="s">
        <v>13195</v>
      </c>
      <c r="N10708" s="8" t="s">
        <v>45695</v>
      </c>
      <c r="O10708" s="8">
        <f>11+29/60+0.4/3600</f>
        <v>11.483444444444444</v>
      </c>
      <c r="P10708" s="8" t="s">
        <v>45696</v>
      </c>
      <c r="Q10708" s="8">
        <f>+(9+5/60+24/3600)</f>
        <v>9.09</v>
      </c>
      <c r="R10708" s="8">
        <v>14.6</v>
      </c>
      <c r="S10708" s="8">
        <v>15.6</v>
      </c>
      <c r="T10708" s="8">
        <v>1</v>
      </c>
      <c r="U10708" s="8">
        <v>12.4</v>
      </c>
      <c r="V10708" s="8">
        <v>0.4</v>
      </c>
      <c r="W10708" s="8">
        <v>0.3</v>
      </c>
      <c r="X10708" s="8">
        <v>80</v>
      </c>
      <c r="Y10708" s="8" t="s">
        <v>45697</v>
      </c>
      <c r="Z10708" s="8" t="s">
        <v>45698</v>
      </c>
    </row>
    <row r="10709" spans="1:26" x14ac:dyDescent="0.2">
      <c r="A10709" s="8">
        <v>10708</v>
      </c>
      <c r="B10709" s="8" t="s">
        <v>45699</v>
      </c>
      <c r="C10709" s="8" t="s">
        <v>45699</v>
      </c>
      <c r="G10709" s="8">
        <v>20</v>
      </c>
      <c r="H10709" s="8" t="s">
        <v>21</v>
      </c>
      <c r="I10709" s="8" t="s">
        <v>72</v>
      </c>
      <c r="J10709" s="8" t="s">
        <v>72</v>
      </c>
      <c r="K10709" s="8" t="s">
        <v>20</v>
      </c>
      <c r="L10709" s="8" t="s">
        <v>13194</v>
      </c>
      <c r="M10709" s="8" t="s">
        <v>13195</v>
      </c>
      <c r="N10709" s="8" t="s">
        <v>45700</v>
      </c>
      <c r="O10709" s="8">
        <f>11+29/60+5.7/3600</f>
        <v>11.484916666666665</v>
      </c>
      <c r="P10709" s="8" t="s">
        <v>45701</v>
      </c>
      <c r="Q10709" s="8">
        <f>+(9+5/60+42/3600)</f>
        <v>9.0950000000000006</v>
      </c>
      <c r="R10709" s="8">
        <v>99</v>
      </c>
      <c r="S10709" s="8">
        <v>99</v>
      </c>
      <c r="T10709" s="8">
        <v>99</v>
      </c>
      <c r="U10709" s="8">
        <v>99</v>
      </c>
      <c r="Y10709" s="8" t="s">
        <v>45158</v>
      </c>
      <c r="Z10709" s="8" t="s">
        <v>45159</v>
      </c>
    </row>
    <row r="10710" spans="1:26" x14ac:dyDescent="0.2">
      <c r="A10710" s="8">
        <v>10709</v>
      </c>
      <c r="B10710" s="8" t="s">
        <v>45702</v>
      </c>
      <c r="C10710" s="8" t="s">
        <v>45702</v>
      </c>
      <c r="G10710" s="8">
        <v>20</v>
      </c>
      <c r="H10710" s="8" t="s">
        <v>21</v>
      </c>
      <c r="I10710" s="8" t="s">
        <v>72</v>
      </c>
      <c r="J10710" s="8" t="s">
        <v>72</v>
      </c>
      <c r="K10710" s="8" t="s">
        <v>20</v>
      </c>
      <c r="L10710" s="8" t="s">
        <v>13194</v>
      </c>
      <c r="M10710" s="8" t="s">
        <v>13195</v>
      </c>
      <c r="N10710" s="8" t="s">
        <v>45703</v>
      </c>
      <c r="O10710" s="8">
        <f>11+29/60+8.7/3600</f>
        <v>11.485749999999999</v>
      </c>
      <c r="P10710" s="8" t="s">
        <v>45704</v>
      </c>
      <c r="Q10710" s="8">
        <f>+(9+1/60+4/3600)</f>
        <v>9.0177777777777788</v>
      </c>
      <c r="R10710" s="8">
        <v>99</v>
      </c>
      <c r="S10710" s="8">
        <v>99</v>
      </c>
      <c r="T10710" s="8">
        <v>99</v>
      </c>
      <c r="U10710" s="8">
        <v>99</v>
      </c>
      <c r="Y10710" s="8" t="s">
        <v>44896</v>
      </c>
      <c r="Z10710" s="8" t="s">
        <v>44897</v>
      </c>
    </row>
    <row r="10711" spans="1:26" x14ac:dyDescent="0.2">
      <c r="A10711" s="8">
        <v>10710</v>
      </c>
      <c r="B10711" s="8" t="s">
        <v>45705</v>
      </c>
      <c r="C10711" s="8" t="s">
        <v>45705</v>
      </c>
      <c r="G10711" s="8">
        <v>20</v>
      </c>
      <c r="H10711" s="8" t="s">
        <v>21</v>
      </c>
      <c r="I10711" s="8" t="s">
        <v>22</v>
      </c>
      <c r="J10711" s="8" t="s">
        <v>22</v>
      </c>
      <c r="K10711" s="8" t="s">
        <v>3616</v>
      </c>
      <c r="L10711" s="8" t="s">
        <v>13194</v>
      </c>
      <c r="M10711" s="8" t="s">
        <v>13195</v>
      </c>
      <c r="N10711" s="8" t="s">
        <v>45706</v>
      </c>
      <c r="O10711" s="8">
        <f>11+29/60+12.3/3600</f>
        <v>11.486749999999999</v>
      </c>
      <c r="P10711" s="8" t="s">
        <v>45707</v>
      </c>
      <c r="Q10711" s="8">
        <f>+(11+51/60+54/3600)</f>
        <v>11.865</v>
      </c>
      <c r="R10711" s="8">
        <v>14.9</v>
      </c>
      <c r="S10711" s="8">
        <v>15.5</v>
      </c>
      <c r="T10711" s="8">
        <v>0.6</v>
      </c>
      <c r="U10711" s="8">
        <v>15.1</v>
      </c>
      <c r="V10711" s="8">
        <v>1.3</v>
      </c>
      <c r="W10711" s="8">
        <v>1.1000000000000001</v>
      </c>
      <c r="Y10711" s="8" t="s">
        <v>45708</v>
      </c>
      <c r="Z10711" s="8" t="s">
        <v>45709</v>
      </c>
    </row>
    <row r="10712" spans="1:26" x14ac:dyDescent="0.2">
      <c r="A10712" s="8">
        <v>10711</v>
      </c>
      <c r="B10712" s="8" t="s">
        <v>45710</v>
      </c>
      <c r="C10712" s="8" t="s">
        <v>45710</v>
      </c>
      <c r="G10712" s="8">
        <v>20</v>
      </c>
      <c r="H10712" s="8" t="s">
        <v>21</v>
      </c>
      <c r="I10712" s="8" t="s">
        <v>22</v>
      </c>
      <c r="J10712" s="8" t="s">
        <v>22</v>
      </c>
      <c r="K10712" s="8" t="s">
        <v>23</v>
      </c>
      <c r="L10712" s="8" t="s">
        <v>13194</v>
      </c>
      <c r="M10712" s="8" t="s">
        <v>13195</v>
      </c>
      <c r="N10712" s="8" t="s">
        <v>45711</v>
      </c>
      <c r="O10712" s="8">
        <f>11+29/60+20.6/3600</f>
        <v>11.489055555555554</v>
      </c>
      <c r="P10712" s="8" t="s">
        <v>45712</v>
      </c>
      <c r="Q10712" s="8">
        <f>+(8+36/60+9/3600)</f>
        <v>8.6024999999999991</v>
      </c>
      <c r="R10712" s="8">
        <v>14.3</v>
      </c>
      <c r="S10712" s="8">
        <v>15.3</v>
      </c>
      <c r="T10712" s="8">
        <v>1</v>
      </c>
      <c r="U10712" s="8">
        <v>13.4</v>
      </c>
      <c r="V10712" s="8">
        <v>0.8</v>
      </c>
      <c r="W10712" s="8">
        <v>0.6</v>
      </c>
      <c r="X10712" s="8">
        <v>84</v>
      </c>
      <c r="Y10712" s="8" t="s">
        <v>45713</v>
      </c>
      <c r="Z10712" s="8" t="s">
        <v>45714</v>
      </c>
    </row>
    <row r="10713" spans="1:26" x14ac:dyDescent="0.2">
      <c r="A10713" s="8">
        <v>10712</v>
      </c>
      <c r="B10713" s="8" t="s">
        <v>45715</v>
      </c>
      <c r="C10713" s="8" t="s">
        <v>45715</v>
      </c>
      <c r="G10713" s="8">
        <v>13</v>
      </c>
      <c r="H10713" s="8" t="s">
        <v>21</v>
      </c>
      <c r="I10713" s="8" t="s">
        <v>1283</v>
      </c>
      <c r="J10713" s="8" t="s">
        <v>1283</v>
      </c>
      <c r="K10713" s="8" t="s">
        <v>1284</v>
      </c>
      <c r="L10713" s="8" t="s">
        <v>16195</v>
      </c>
      <c r="M10713" s="8" t="s">
        <v>16196</v>
      </c>
      <c r="N10713" s="8" t="s">
        <v>45716</v>
      </c>
      <c r="O10713" s="8">
        <f>11+28/60+16/3600</f>
        <v>11.471111111111112</v>
      </c>
      <c r="P10713" s="8" t="s">
        <v>45717</v>
      </c>
      <c r="Q10713" s="8">
        <f>-(62+59/60+0/3600)</f>
        <v>-62.983333333333334</v>
      </c>
      <c r="R10713" s="8">
        <v>99</v>
      </c>
      <c r="S10713" s="8">
        <v>99</v>
      </c>
      <c r="T10713" s="8">
        <v>99</v>
      </c>
      <c r="U10713" s="8">
        <v>99</v>
      </c>
      <c r="V10713" s="8">
        <v>15</v>
      </c>
      <c r="W10713" s="8">
        <v>6</v>
      </c>
      <c r="Y10713" s="8" t="s">
        <v>45718</v>
      </c>
      <c r="Z10713" s="8" t="s">
        <v>45719</v>
      </c>
    </row>
    <row r="10714" spans="1:26" x14ac:dyDescent="0.2">
      <c r="A10714" s="8">
        <v>10713</v>
      </c>
      <c r="B10714" s="8" t="s">
        <v>45720</v>
      </c>
      <c r="C10714" s="8" t="s">
        <v>45720</v>
      </c>
      <c r="G10714" s="8">
        <v>20</v>
      </c>
      <c r="H10714" s="8" t="s">
        <v>21</v>
      </c>
      <c r="I10714" s="8" t="s">
        <v>22</v>
      </c>
      <c r="J10714" s="8" t="s">
        <v>22</v>
      </c>
      <c r="K10714" s="8" t="s">
        <v>449</v>
      </c>
      <c r="L10714" s="8" t="s">
        <v>13194</v>
      </c>
      <c r="M10714" s="8" t="s">
        <v>13195</v>
      </c>
      <c r="N10714" s="8" t="s">
        <v>45721</v>
      </c>
      <c r="O10714" s="8">
        <f>11+29/60+27.5/3600</f>
        <v>11.490972222222222</v>
      </c>
      <c r="P10714" s="8" t="s">
        <v>45722</v>
      </c>
      <c r="Q10714" s="8">
        <f>+(13+13/60+12/3600)</f>
        <v>13.22</v>
      </c>
      <c r="R10714" s="8">
        <v>14.6</v>
      </c>
      <c r="S10714" s="8">
        <v>15.4</v>
      </c>
      <c r="T10714" s="8">
        <v>0.8</v>
      </c>
      <c r="U10714" s="8">
        <v>13.1</v>
      </c>
      <c r="V10714" s="8">
        <v>0.7</v>
      </c>
      <c r="W10714" s="8">
        <v>0.4</v>
      </c>
      <c r="X10714" s="8">
        <v>3</v>
      </c>
      <c r="Y10714" s="8" t="s">
        <v>45723</v>
      </c>
      <c r="Z10714" s="8" t="s">
        <v>45724</v>
      </c>
    </row>
    <row r="10715" spans="1:26" x14ac:dyDescent="0.2">
      <c r="A10715" s="8">
        <v>10714</v>
      </c>
      <c r="B10715" s="8" t="s">
        <v>45725</v>
      </c>
      <c r="C10715" s="8" t="s">
        <v>45725</v>
      </c>
      <c r="G10715" s="8">
        <v>20</v>
      </c>
      <c r="H10715" s="8" t="s">
        <v>21</v>
      </c>
      <c r="I10715" s="8" t="s">
        <v>22</v>
      </c>
      <c r="J10715" s="8" t="s">
        <v>22</v>
      </c>
      <c r="K10715" s="8" t="s">
        <v>1174</v>
      </c>
      <c r="L10715" s="8" t="s">
        <v>13194</v>
      </c>
      <c r="M10715" s="8" t="s">
        <v>13195</v>
      </c>
      <c r="N10715" s="8" t="s">
        <v>45726</v>
      </c>
      <c r="O10715" s="8">
        <f>11+29/60+27.3/3600</f>
        <v>11.490916666666665</v>
      </c>
      <c r="P10715" s="8" t="s">
        <v>45727</v>
      </c>
      <c r="Q10715" s="8">
        <f>+(10+37/60+40/3600)</f>
        <v>10.627777777777778</v>
      </c>
      <c r="R10715" s="8">
        <v>16.2</v>
      </c>
      <c r="S10715" s="8">
        <v>17</v>
      </c>
      <c r="T10715" s="8">
        <v>0.8</v>
      </c>
      <c r="U10715" s="8">
        <v>13.7</v>
      </c>
      <c r="V10715" s="8">
        <v>0.4</v>
      </c>
      <c r="W10715" s="8">
        <v>0.3</v>
      </c>
      <c r="X10715" s="8">
        <v>40</v>
      </c>
      <c r="Y10715" s="8" t="s">
        <v>45728</v>
      </c>
      <c r="Z10715" s="8" t="s">
        <v>45729</v>
      </c>
    </row>
    <row r="10716" spans="1:26" x14ac:dyDescent="0.2">
      <c r="A10716" s="8">
        <v>10715</v>
      </c>
      <c r="B10716" s="8" t="s">
        <v>45730</v>
      </c>
      <c r="C10716" s="8" t="s">
        <v>45730</v>
      </c>
      <c r="G10716" s="8">
        <v>20</v>
      </c>
      <c r="H10716" s="8" t="s">
        <v>21</v>
      </c>
      <c r="I10716" s="8" t="s">
        <v>72</v>
      </c>
      <c r="J10716" s="8" t="s">
        <v>72</v>
      </c>
      <c r="K10716" s="8" t="s">
        <v>20</v>
      </c>
      <c r="L10716" s="8" t="s">
        <v>13194</v>
      </c>
      <c r="M10716" s="8" t="s">
        <v>13195</v>
      </c>
      <c r="N10716" s="8" t="s">
        <v>45731</v>
      </c>
      <c r="O10716" s="8">
        <f>11+29/60+34.9/3600</f>
        <v>11.493027777777776</v>
      </c>
      <c r="P10716" s="8" t="s">
        <v>45732</v>
      </c>
      <c r="Q10716" s="8">
        <f>+(12+59/60+27/3600)</f>
        <v>12.990833333333333</v>
      </c>
      <c r="R10716" s="8">
        <v>99</v>
      </c>
      <c r="S10716" s="8">
        <v>99</v>
      </c>
      <c r="T10716" s="8">
        <v>99</v>
      </c>
      <c r="U10716" s="8">
        <v>99</v>
      </c>
      <c r="Y10716" s="8" t="s">
        <v>45733</v>
      </c>
      <c r="Z10716" s="8" t="s">
        <v>45734</v>
      </c>
    </row>
    <row r="10717" spans="1:26" x14ac:dyDescent="0.2">
      <c r="A10717" s="8">
        <v>10716</v>
      </c>
      <c r="B10717" s="8" t="s">
        <v>45735</v>
      </c>
      <c r="C10717" s="8" t="s">
        <v>45735</v>
      </c>
      <c r="G10717" s="8">
        <v>20</v>
      </c>
      <c r="H10717" s="8" t="s">
        <v>21</v>
      </c>
      <c r="I10717" s="8" t="s">
        <v>22</v>
      </c>
      <c r="J10717" s="8" t="s">
        <v>22</v>
      </c>
      <c r="K10717" s="8" t="s">
        <v>449</v>
      </c>
      <c r="L10717" s="8" t="s">
        <v>13194</v>
      </c>
      <c r="M10717" s="8" t="s">
        <v>13195</v>
      </c>
      <c r="N10717" s="8" t="s">
        <v>45736</v>
      </c>
      <c r="O10717" s="8">
        <f>11+29/60+33.5/3600</f>
        <v>11.492638888888887</v>
      </c>
      <c r="P10717" s="8" t="s">
        <v>45737</v>
      </c>
      <c r="Q10717" s="8">
        <f>+(9+0/60+58/3600)</f>
        <v>9.0161111111111119</v>
      </c>
      <c r="R10717" s="8">
        <v>15</v>
      </c>
      <c r="S10717" s="8">
        <v>15.8</v>
      </c>
      <c r="T10717" s="8">
        <v>0.8</v>
      </c>
      <c r="U10717" s="8">
        <v>12.5</v>
      </c>
      <c r="V10717" s="8">
        <v>0.6</v>
      </c>
      <c r="W10717" s="8">
        <v>0.2</v>
      </c>
      <c r="X10717" s="8">
        <v>170</v>
      </c>
      <c r="Y10717" s="8" t="s">
        <v>17508</v>
      </c>
      <c r="Z10717" s="8" t="s">
        <v>17509</v>
      </c>
    </row>
    <row r="10718" spans="1:26" x14ac:dyDescent="0.2">
      <c r="A10718" s="8">
        <v>10717</v>
      </c>
      <c r="B10718" s="8" t="s">
        <v>45738</v>
      </c>
      <c r="C10718" s="8" t="s">
        <v>45738</v>
      </c>
      <c r="G10718" s="8">
        <v>20</v>
      </c>
      <c r="H10718" s="8" t="s">
        <v>21</v>
      </c>
      <c r="I10718" s="8" t="s">
        <v>22</v>
      </c>
      <c r="J10718" s="8" t="s">
        <v>22</v>
      </c>
      <c r="K10718" s="8" t="s">
        <v>17644</v>
      </c>
      <c r="L10718" s="8" t="s">
        <v>13194</v>
      </c>
      <c r="M10718" s="8" t="s">
        <v>13195</v>
      </c>
      <c r="N10718" s="8" t="s">
        <v>45739</v>
      </c>
      <c r="O10718" s="8">
        <f>11+29/60+37.5/3600</f>
        <v>11.493749999999999</v>
      </c>
      <c r="P10718" s="8" t="s">
        <v>45740</v>
      </c>
      <c r="Q10718" s="8">
        <f>+(12+51/60+13/3600)</f>
        <v>12.85361111111111</v>
      </c>
      <c r="R10718" s="8">
        <v>15.4</v>
      </c>
      <c r="S10718" s="8">
        <v>16</v>
      </c>
      <c r="T10718" s="8">
        <v>0.6</v>
      </c>
      <c r="U10718" s="8">
        <v>12.6</v>
      </c>
      <c r="V10718" s="8">
        <v>0.3</v>
      </c>
      <c r="W10718" s="8">
        <v>0.3</v>
      </c>
      <c r="Y10718" s="8" t="s">
        <v>972</v>
      </c>
      <c r="Z10718" s="8" t="s">
        <v>973</v>
      </c>
    </row>
    <row r="10719" spans="1:26" x14ac:dyDescent="0.2">
      <c r="A10719" s="8">
        <v>10718</v>
      </c>
      <c r="B10719" s="8" t="s">
        <v>45741</v>
      </c>
      <c r="C10719" s="8" t="s">
        <v>45741</v>
      </c>
      <c r="G10719" s="8">
        <v>20</v>
      </c>
      <c r="H10719" s="8" t="s">
        <v>21</v>
      </c>
      <c r="I10719" s="8" t="s">
        <v>22</v>
      </c>
      <c r="J10719" s="8" t="s">
        <v>22</v>
      </c>
      <c r="K10719" s="8" t="s">
        <v>37</v>
      </c>
      <c r="L10719" s="8" t="s">
        <v>13194</v>
      </c>
      <c r="M10719" s="8" t="s">
        <v>13195</v>
      </c>
      <c r="N10719" s="8" t="s">
        <v>45742</v>
      </c>
      <c r="O10719" s="8">
        <f>11+29/60+38.2/3600</f>
        <v>11.493944444444443</v>
      </c>
      <c r="P10719" s="8" t="s">
        <v>45743</v>
      </c>
      <c r="Q10719" s="8">
        <f>+(9+58/60+3/3600)</f>
        <v>9.9674999999999994</v>
      </c>
      <c r="R10719" s="8">
        <v>15.2</v>
      </c>
      <c r="S10719" s="8">
        <v>16.2</v>
      </c>
      <c r="T10719" s="8">
        <v>1</v>
      </c>
      <c r="U10719" s="8">
        <v>12.2</v>
      </c>
      <c r="V10719" s="8">
        <v>0.35</v>
      </c>
      <c r="W10719" s="8">
        <v>0.2</v>
      </c>
      <c r="X10719" s="8">
        <v>115</v>
      </c>
      <c r="Y10719" s="8" t="s">
        <v>45744</v>
      </c>
      <c r="Z10719" s="8" t="s">
        <v>45745</v>
      </c>
    </row>
    <row r="10720" spans="1:26" x14ac:dyDescent="0.2">
      <c r="A10720" s="8">
        <v>10719</v>
      </c>
      <c r="B10720" s="8" t="s">
        <v>45746</v>
      </c>
      <c r="C10720" s="8" t="s">
        <v>45746</v>
      </c>
      <c r="G10720" s="8">
        <v>20</v>
      </c>
      <c r="H10720" s="8" t="s">
        <v>21</v>
      </c>
      <c r="I10720" s="8" t="s">
        <v>22</v>
      </c>
      <c r="J10720" s="8" t="s">
        <v>22</v>
      </c>
      <c r="K10720" s="8" t="s">
        <v>449</v>
      </c>
      <c r="L10720" s="8" t="s">
        <v>13194</v>
      </c>
      <c r="M10720" s="8" t="s">
        <v>13195</v>
      </c>
      <c r="N10720" s="8" t="s">
        <v>16986</v>
      </c>
      <c r="O10720" s="8">
        <f>11+29/60+44.2/3600</f>
        <v>11.49561111111111</v>
      </c>
      <c r="P10720" s="8" t="s">
        <v>45747</v>
      </c>
      <c r="Q10720" s="8">
        <f>+(9+0/60+49/3600)</f>
        <v>9.0136111111111106</v>
      </c>
      <c r="R10720" s="8">
        <v>15.2</v>
      </c>
      <c r="S10720" s="8">
        <v>16</v>
      </c>
      <c r="T10720" s="8">
        <v>0.8</v>
      </c>
      <c r="U10720" s="8">
        <v>13</v>
      </c>
      <c r="V10720" s="8">
        <v>0.5</v>
      </c>
      <c r="W10720" s="8">
        <v>0.3</v>
      </c>
      <c r="X10720" s="8">
        <v>160</v>
      </c>
      <c r="Y10720" s="8" t="s">
        <v>17508</v>
      </c>
      <c r="Z10720" s="8" t="s">
        <v>17509</v>
      </c>
    </row>
    <row r="10721" spans="1:26" x14ac:dyDescent="0.2">
      <c r="A10721" s="8">
        <v>10720</v>
      </c>
      <c r="B10721" s="8" t="s">
        <v>45748</v>
      </c>
      <c r="C10721" s="8" t="s">
        <v>45748</v>
      </c>
      <c r="G10721" s="8">
        <v>20</v>
      </c>
      <c r="H10721" s="8" t="s">
        <v>21</v>
      </c>
      <c r="I10721" s="8" t="s">
        <v>72</v>
      </c>
      <c r="J10721" s="8" t="s">
        <v>72</v>
      </c>
      <c r="K10721" s="8" t="s">
        <v>20</v>
      </c>
      <c r="L10721" s="8" t="s">
        <v>13194</v>
      </c>
      <c r="M10721" s="8" t="s">
        <v>13195</v>
      </c>
      <c r="N10721" s="8" t="s">
        <v>45749</v>
      </c>
      <c r="O10721" s="8">
        <f>11+29/60+53.1/3600</f>
        <v>11.498083333333332</v>
      </c>
      <c r="P10721" s="8" t="s">
        <v>45750</v>
      </c>
      <c r="Q10721" s="8">
        <f>+(13+11/60+56/3600)</f>
        <v>13.19888888888889</v>
      </c>
      <c r="R10721" s="8">
        <v>99</v>
      </c>
      <c r="S10721" s="8">
        <v>99</v>
      </c>
      <c r="T10721" s="8">
        <v>99</v>
      </c>
      <c r="U10721" s="8">
        <v>99</v>
      </c>
      <c r="Y10721" s="8" t="s">
        <v>18110</v>
      </c>
      <c r="Z10721" s="8" t="s">
        <v>18111</v>
      </c>
    </row>
    <row r="10722" spans="1:26" x14ac:dyDescent="0.2">
      <c r="A10722" s="8">
        <v>10721</v>
      </c>
      <c r="B10722" s="8" t="s">
        <v>45751</v>
      </c>
      <c r="C10722" s="8" t="s">
        <v>45751</v>
      </c>
      <c r="G10722" s="8">
        <v>20</v>
      </c>
      <c r="H10722" s="8" t="s">
        <v>21</v>
      </c>
      <c r="I10722" s="8" t="s">
        <v>22</v>
      </c>
      <c r="J10722" s="8" t="s">
        <v>22</v>
      </c>
      <c r="K10722" s="8" t="s">
        <v>45752</v>
      </c>
      <c r="L10722" s="8" t="s">
        <v>13194</v>
      </c>
      <c r="M10722" s="8" t="s">
        <v>13195</v>
      </c>
      <c r="N10722" s="8" t="s">
        <v>45753</v>
      </c>
      <c r="O10722" s="8">
        <f>11+29/60+54.5/3600</f>
        <v>11.498472222222221</v>
      </c>
      <c r="P10722" s="8" t="s">
        <v>45754</v>
      </c>
      <c r="Q10722" s="8">
        <f>+(12+30/60+41/3600)</f>
        <v>12.511388888888888</v>
      </c>
      <c r="R10722" s="8">
        <v>16</v>
      </c>
      <c r="S10722" s="8">
        <v>17</v>
      </c>
      <c r="T10722" s="8">
        <v>1</v>
      </c>
      <c r="U10722" s="8">
        <v>12.3</v>
      </c>
      <c r="V10722" s="8">
        <v>0.3</v>
      </c>
      <c r="W10722" s="8">
        <v>0.1</v>
      </c>
      <c r="X10722" s="8">
        <v>85</v>
      </c>
      <c r="Y10722" s="8" t="s">
        <v>635</v>
      </c>
      <c r="Z10722" s="8" t="s">
        <v>636</v>
      </c>
    </row>
    <row r="10723" spans="1:26" x14ac:dyDescent="0.2">
      <c r="A10723" s="8">
        <v>10722</v>
      </c>
      <c r="B10723" s="8" t="s">
        <v>45755</v>
      </c>
      <c r="C10723" s="8" t="s">
        <v>45755</v>
      </c>
      <c r="G10723" s="8">
        <v>20</v>
      </c>
      <c r="H10723" s="8" t="s">
        <v>21</v>
      </c>
      <c r="I10723" s="8" t="s">
        <v>72</v>
      </c>
      <c r="J10723" s="8" t="s">
        <v>72</v>
      </c>
      <c r="K10723" s="8" t="s">
        <v>20</v>
      </c>
      <c r="L10723" s="8" t="s">
        <v>13194</v>
      </c>
      <c r="M10723" s="8" t="s">
        <v>13195</v>
      </c>
      <c r="N10723" s="8" t="s">
        <v>45756</v>
      </c>
      <c r="O10723" s="8">
        <f>11+30/60+9.5/3600</f>
        <v>11.502638888888889</v>
      </c>
      <c r="P10723" s="8" t="s">
        <v>45757</v>
      </c>
      <c r="Q10723" s="8">
        <f>+(11+59/60+23/3600)</f>
        <v>11.989722222222222</v>
      </c>
      <c r="R10723" s="8">
        <v>99</v>
      </c>
      <c r="S10723" s="8">
        <v>99</v>
      </c>
      <c r="T10723" s="8">
        <v>99</v>
      </c>
      <c r="U10723" s="8">
        <v>99</v>
      </c>
      <c r="Y10723" s="8" t="s">
        <v>45463</v>
      </c>
      <c r="Z10723" s="8" t="s">
        <v>45464</v>
      </c>
    </row>
    <row r="10724" spans="1:26" x14ac:dyDescent="0.2">
      <c r="A10724" s="8">
        <v>10723</v>
      </c>
      <c r="B10724" s="8" t="s">
        <v>45758</v>
      </c>
      <c r="C10724" s="8" t="s">
        <v>45758</v>
      </c>
      <c r="G10724" s="8">
        <v>20</v>
      </c>
      <c r="H10724" s="8" t="s">
        <v>21</v>
      </c>
      <c r="I10724" s="8" t="s">
        <v>22</v>
      </c>
      <c r="J10724" s="8" t="s">
        <v>22</v>
      </c>
      <c r="K10724" s="8" t="s">
        <v>424</v>
      </c>
      <c r="L10724" s="8" t="s">
        <v>13194</v>
      </c>
      <c r="M10724" s="8" t="s">
        <v>13195</v>
      </c>
      <c r="N10724" s="8" t="s">
        <v>45759</v>
      </c>
      <c r="O10724" s="8">
        <f>11+30/60+15.7/3600</f>
        <v>11.504361111111111</v>
      </c>
      <c r="P10724" s="8" t="s">
        <v>45760</v>
      </c>
      <c r="Q10724" s="8">
        <f>+(10+54/60+41/3600)</f>
        <v>10.911388888888888</v>
      </c>
      <c r="R10724" s="8">
        <v>16.7</v>
      </c>
      <c r="S10724" s="8">
        <v>17.7</v>
      </c>
      <c r="T10724" s="8">
        <v>1</v>
      </c>
      <c r="U10724" s="8">
        <v>13.1</v>
      </c>
      <c r="V10724" s="8">
        <v>0.2</v>
      </c>
      <c r="W10724" s="8">
        <v>0.2</v>
      </c>
      <c r="Y10724" s="8" t="s">
        <v>3952</v>
      </c>
      <c r="Z10724" s="8" t="s">
        <v>3953</v>
      </c>
    </row>
    <row r="10725" spans="1:26" x14ac:dyDescent="0.2">
      <c r="A10725" s="8">
        <v>10724</v>
      </c>
      <c r="B10725" s="8" t="s">
        <v>45761</v>
      </c>
      <c r="C10725" s="8" t="s">
        <v>45761</v>
      </c>
      <c r="G10725" s="8">
        <v>20</v>
      </c>
      <c r="H10725" s="8" t="s">
        <v>21</v>
      </c>
      <c r="I10725" s="8" t="s">
        <v>72</v>
      </c>
      <c r="J10725" s="8" t="s">
        <v>72</v>
      </c>
      <c r="K10725" s="8" t="s">
        <v>1405</v>
      </c>
      <c r="L10725" s="8" t="s">
        <v>13429</v>
      </c>
      <c r="M10725" s="8" t="s">
        <v>13430</v>
      </c>
      <c r="N10725" s="8" t="s">
        <v>45762</v>
      </c>
      <c r="O10725" s="8">
        <f>11+27/60+42.6/3600</f>
        <v>11.461833333333333</v>
      </c>
      <c r="P10725" s="8" t="s">
        <v>45763</v>
      </c>
      <c r="Q10725" s="8">
        <f>-(79+44/60+9/3600)</f>
        <v>-79.735833333333332</v>
      </c>
      <c r="R10725" s="8">
        <v>99</v>
      </c>
      <c r="S10725" s="8">
        <v>99</v>
      </c>
      <c r="T10725" s="8">
        <v>99</v>
      </c>
      <c r="U10725" s="8">
        <v>99</v>
      </c>
      <c r="V10725" s="8">
        <v>0.7</v>
      </c>
      <c r="Y10725" s="8" t="s">
        <v>21</v>
      </c>
      <c r="Z10725" s="8" t="s">
        <v>45764</v>
      </c>
    </row>
    <row r="10726" spans="1:26" x14ac:dyDescent="0.2">
      <c r="A10726" s="8">
        <v>10725</v>
      </c>
      <c r="B10726" s="8" t="s">
        <v>45765</v>
      </c>
      <c r="C10726" s="8" t="s">
        <v>45765</v>
      </c>
      <c r="G10726" s="8">
        <v>20</v>
      </c>
      <c r="H10726" s="8" t="s">
        <v>21</v>
      </c>
      <c r="I10726" s="8" t="s">
        <v>72</v>
      </c>
      <c r="J10726" s="8" t="s">
        <v>72</v>
      </c>
      <c r="K10726" s="8" t="s">
        <v>20</v>
      </c>
      <c r="L10726" s="8" t="s">
        <v>13194</v>
      </c>
      <c r="M10726" s="8" t="s">
        <v>13195</v>
      </c>
      <c r="N10726" s="8" t="s">
        <v>45766</v>
      </c>
      <c r="O10726" s="8">
        <f>11+30/60+22.5/3600</f>
        <v>11.50625</v>
      </c>
      <c r="P10726" s="8" t="s">
        <v>45767</v>
      </c>
      <c r="Q10726" s="8">
        <f>+(9+46/60+20/3600)</f>
        <v>9.7722222222222239</v>
      </c>
      <c r="R10726" s="8">
        <v>99</v>
      </c>
      <c r="S10726" s="8">
        <v>99</v>
      </c>
      <c r="T10726" s="8">
        <v>99</v>
      </c>
      <c r="U10726" s="8">
        <v>99</v>
      </c>
      <c r="Y10726" s="8" t="s">
        <v>44926</v>
      </c>
      <c r="Z10726" s="8" t="s">
        <v>44927</v>
      </c>
    </row>
    <row r="10727" spans="1:26" x14ac:dyDescent="0.2">
      <c r="A10727" s="8">
        <v>10726</v>
      </c>
      <c r="B10727" s="8" t="s">
        <v>45768</v>
      </c>
      <c r="C10727" s="8" t="s">
        <v>45768</v>
      </c>
      <c r="G10727" s="8">
        <v>20</v>
      </c>
      <c r="H10727" s="8" t="s">
        <v>21</v>
      </c>
      <c r="I10727" s="8" t="s">
        <v>22</v>
      </c>
      <c r="J10727" s="8" t="s">
        <v>22</v>
      </c>
      <c r="K10727" s="8" t="s">
        <v>424</v>
      </c>
      <c r="L10727" s="8" t="s">
        <v>13194</v>
      </c>
      <c r="M10727" s="8" t="s">
        <v>13195</v>
      </c>
      <c r="N10727" s="8" t="s">
        <v>45769</v>
      </c>
      <c r="O10727" s="8">
        <f>11+30/60+24.4/3600</f>
        <v>11.506777777777778</v>
      </c>
      <c r="P10727" s="8" t="s">
        <v>45770</v>
      </c>
      <c r="Q10727" s="8">
        <f>+(11+33/60+47/3600)</f>
        <v>11.563055555555556</v>
      </c>
      <c r="R10727" s="8">
        <v>16.5</v>
      </c>
      <c r="S10727" s="8">
        <v>17.5</v>
      </c>
      <c r="T10727" s="8">
        <v>1</v>
      </c>
      <c r="U10727" s="8">
        <v>12.9</v>
      </c>
      <c r="V10727" s="8">
        <v>0.2</v>
      </c>
      <c r="W10727" s="8">
        <v>0.2</v>
      </c>
      <c r="Y10727" s="8" t="s">
        <v>45771</v>
      </c>
      <c r="Z10727" s="8" t="s">
        <v>45772</v>
      </c>
    </row>
    <row r="10728" spans="1:26" x14ac:dyDescent="0.2">
      <c r="A10728" s="8">
        <v>10727</v>
      </c>
      <c r="B10728" s="8" t="s">
        <v>45773</v>
      </c>
      <c r="C10728" s="8" t="s">
        <v>45773</v>
      </c>
      <c r="G10728" s="8">
        <v>20</v>
      </c>
      <c r="H10728" s="8" t="s">
        <v>21</v>
      </c>
      <c r="I10728" s="8" t="s">
        <v>22</v>
      </c>
      <c r="J10728" s="8" t="s">
        <v>22</v>
      </c>
      <c r="K10728" s="8" t="s">
        <v>449</v>
      </c>
      <c r="L10728" s="8" t="s">
        <v>13194</v>
      </c>
      <c r="M10728" s="8" t="s">
        <v>13195</v>
      </c>
      <c r="N10728" s="8" t="s">
        <v>45774</v>
      </c>
      <c r="O10728" s="8">
        <f>11+30/60+29.5/3600</f>
        <v>11.508194444444445</v>
      </c>
      <c r="P10728" s="8" t="s">
        <v>45775</v>
      </c>
      <c r="Q10728" s="8">
        <f>+(9+23/60+18/3600)</f>
        <v>9.3883333333333336</v>
      </c>
      <c r="R10728" s="8">
        <v>14.5</v>
      </c>
      <c r="S10728" s="8">
        <v>15.3</v>
      </c>
      <c r="T10728" s="8">
        <v>0.8</v>
      </c>
      <c r="U10728" s="8">
        <v>11.7</v>
      </c>
      <c r="V10728" s="8">
        <v>0.9</v>
      </c>
      <c r="W10728" s="8">
        <v>0.1</v>
      </c>
      <c r="X10728" s="8">
        <v>126</v>
      </c>
      <c r="Y10728" s="8" t="s">
        <v>45776</v>
      </c>
      <c r="Z10728" s="8" t="s">
        <v>45777</v>
      </c>
    </row>
    <row r="10729" spans="1:26" x14ac:dyDescent="0.2">
      <c r="A10729" s="8">
        <v>10728</v>
      </c>
      <c r="B10729" s="8" t="s">
        <v>45778</v>
      </c>
      <c r="C10729" s="8" t="s">
        <v>45778</v>
      </c>
      <c r="G10729" s="8">
        <v>20</v>
      </c>
      <c r="H10729" s="8" t="s">
        <v>21</v>
      </c>
      <c r="I10729" s="8" t="s">
        <v>72</v>
      </c>
      <c r="J10729" s="8" t="s">
        <v>72</v>
      </c>
      <c r="K10729" s="8" t="s">
        <v>73</v>
      </c>
      <c r="L10729" s="8" t="s">
        <v>13194</v>
      </c>
      <c r="M10729" s="8" t="s">
        <v>13195</v>
      </c>
      <c r="N10729" s="8" t="s">
        <v>45779</v>
      </c>
      <c r="O10729" s="8">
        <f>11+30/60+35/3600</f>
        <v>11.509722222222223</v>
      </c>
      <c r="P10729" s="8" t="s">
        <v>45780</v>
      </c>
      <c r="Q10729" s="8">
        <f>+(9+54/60+32/3600)</f>
        <v>9.9088888888888889</v>
      </c>
      <c r="R10729" s="8">
        <v>99</v>
      </c>
      <c r="S10729" s="8">
        <v>99</v>
      </c>
      <c r="T10729" s="8">
        <v>99</v>
      </c>
      <c r="U10729" s="8">
        <v>99</v>
      </c>
      <c r="Y10729" s="8" t="s">
        <v>45781</v>
      </c>
      <c r="Z10729" s="8" t="s">
        <v>45782</v>
      </c>
    </row>
    <row r="10730" spans="1:26" x14ac:dyDescent="0.2">
      <c r="A10730" s="8">
        <v>10729</v>
      </c>
      <c r="B10730" s="8" t="s">
        <v>45783</v>
      </c>
      <c r="C10730" s="8" t="s">
        <v>45783</v>
      </c>
      <c r="G10730" s="8">
        <v>20</v>
      </c>
      <c r="H10730" s="8" t="s">
        <v>21</v>
      </c>
      <c r="I10730" s="8" t="s">
        <v>22</v>
      </c>
      <c r="J10730" s="8" t="s">
        <v>22</v>
      </c>
      <c r="K10730" s="8" t="s">
        <v>64</v>
      </c>
      <c r="L10730" s="8" t="s">
        <v>15699</v>
      </c>
      <c r="M10730" s="8" t="s">
        <v>15700</v>
      </c>
      <c r="N10730" s="8" t="s">
        <v>45784</v>
      </c>
      <c r="O10730" s="8">
        <f>11+30/60+28.9/3600</f>
        <v>11.508027777777778</v>
      </c>
      <c r="P10730" s="8" t="s">
        <v>26357</v>
      </c>
      <c r="Q10730" s="8">
        <f>-(13+5/60+30/3600)</f>
        <v>-13.091666666666667</v>
      </c>
      <c r="R10730" s="8">
        <v>13.8</v>
      </c>
      <c r="S10730" s="8">
        <v>14.5</v>
      </c>
      <c r="T10730" s="8">
        <v>0.7</v>
      </c>
      <c r="U10730" s="8">
        <v>13.4</v>
      </c>
      <c r="V10730" s="8">
        <v>1.3</v>
      </c>
      <c r="W10730" s="8">
        <v>0.8</v>
      </c>
      <c r="X10730" s="8">
        <v>156</v>
      </c>
      <c r="Y10730" s="8" t="s">
        <v>45785</v>
      </c>
      <c r="Z10730" s="8" t="s">
        <v>45786</v>
      </c>
    </row>
    <row r="10731" spans="1:26" x14ac:dyDescent="0.2">
      <c r="A10731" s="8">
        <v>10730</v>
      </c>
      <c r="B10731" s="8" t="s">
        <v>45787</v>
      </c>
      <c r="C10731" s="8" t="s">
        <v>45787</v>
      </c>
      <c r="G10731" s="8">
        <v>20</v>
      </c>
      <c r="H10731" s="8" t="s">
        <v>21</v>
      </c>
      <c r="I10731" s="8" t="s">
        <v>72</v>
      </c>
      <c r="J10731" s="8" t="s">
        <v>72</v>
      </c>
      <c r="K10731" s="8" t="s">
        <v>20</v>
      </c>
      <c r="L10731" s="8" t="s">
        <v>13194</v>
      </c>
      <c r="M10731" s="8" t="s">
        <v>13195</v>
      </c>
      <c r="N10731" s="8" t="s">
        <v>45788</v>
      </c>
      <c r="O10731" s="8">
        <f>11+30/60+46.1/3600</f>
        <v>11.512805555555556</v>
      </c>
      <c r="P10731" s="8" t="s">
        <v>45789</v>
      </c>
      <c r="Q10731" s="8">
        <f>+(13+10/60+57/3600)</f>
        <v>13.182499999999999</v>
      </c>
      <c r="R10731" s="8">
        <v>99</v>
      </c>
      <c r="S10731" s="8">
        <v>99</v>
      </c>
      <c r="T10731" s="8">
        <v>99</v>
      </c>
      <c r="U10731" s="8">
        <v>99</v>
      </c>
      <c r="Y10731" s="8" t="s">
        <v>45158</v>
      </c>
      <c r="Z10731" s="8" t="s">
        <v>45159</v>
      </c>
    </row>
    <row r="10732" spans="1:26" x14ac:dyDescent="0.2">
      <c r="A10732" s="8">
        <v>10731</v>
      </c>
      <c r="B10732" s="8" t="s">
        <v>45790</v>
      </c>
      <c r="C10732" s="8" t="s">
        <v>45790</v>
      </c>
      <c r="G10732" s="8">
        <v>20</v>
      </c>
      <c r="H10732" s="8" t="s">
        <v>21</v>
      </c>
      <c r="I10732" s="8" t="s">
        <v>22</v>
      </c>
      <c r="J10732" s="8" t="s">
        <v>22</v>
      </c>
      <c r="K10732" s="8" t="s">
        <v>37986</v>
      </c>
      <c r="L10732" s="8" t="s">
        <v>13194</v>
      </c>
      <c r="M10732" s="8" t="s">
        <v>13195</v>
      </c>
      <c r="N10732" s="8" t="s">
        <v>45791</v>
      </c>
      <c r="O10732" s="8">
        <f>11+30/60+48.1/3600</f>
        <v>11.513361111111111</v>
      </c>
      <c r="P10732" s="8" t="s">
        <v>45792</v>
      </c>
      <c r="Q10732" s="8">
        <f>+(12+40/60+39/3600)</f>
        <v>12.6775</v>
      </c>
      <c r="R10732" s="8">
        <v>15.7</v>
      </c>
      <c r="S10732" s="8">
        <v>16.5</v>
      </c>
      <c r="T10732" s="8">
        <v>0.8</v>
      </c>
      <c r="U10732" s="8">
        <v>12.9</v>
      </c>
      <c r="V10732" s="8">
        <v>0.3</v>
      </c>
      <c r="W10732" s="8">
        <v>0.3</v>
      </c>
      <c r="Y10732" s="8" t="s">
        <v>45286</v>
      </c>
      <c r="Z10732" s="8" t="s">
        <v>45287</v>
      </c>
    </row>
    <row r="10733" spans="1:26" x14ac:dyDescent="0.2">
      <c r="A10733" s="8">
        <v>10732</v>
      </c>
      <c r="B10733" s="8" t="s">
        <v>45793</v>
      </c>
      <c r="C10733" s="8" t="s">
        <v>45793</v>
      </c>
      <c r="G10733" s="8">
        <v>20</v>
      </c>
      <c r="H10733" s="8" t="s">
        <v>21</v>
      </c>
      <c r="I10733" s="8" t="s">
        <v>22</v>
      </c>
      <c r="J10733" s="8" t="s">
        <v>22</v>
      </c>
      <c r="K10733" s="8" t="s">
        <v>449</v>
      </c>
      <c r="L10733" s="8" t="s">
        <v>13194</v>
      </c>
      <c r="M10733" s="8" t="s">
        <v>13195</v>
      </c>
      <c r="N10733" s="8" t="s">
        <v>45794</v>
      </c>
      <c r="O10733" s="8">
        <f>11+30/60+49/3600</f>
        <v>11.513611111111111</v>
      </c>
      <c r="P10733" s="8" t="s">
        <v>45795</v>
      </c>
      <c r="Q10733" s="8">
        <f>+(10+35/60+17/3600)</f>
        <v>10.588055555555556</v>
      </c>
      <c r="R10733" s="8">
        <v>15.2</v>
      </c>
      <c r="S10733" s="8">
        <v>16</v>
      </c>
      <c r="T10733" s="8">
        <v>0.8</v>
      </c>
      <c r="U10733" s="8">
        <v>12.6</v>
      </c>
      <c r="V10733" s="8">
        <v>0.5</v>
      </c>
      <c r="W10733" s="8">
        <v>0.2</v>
      </c>
      <c r="X10733" s="8">
        <v>120</v>
      </c>
      <c r="Y10733" s="8" t="s">
        <v>45091</v>
      </c>
      <c r="Z10733" s="8" t="s">
        <v>45092</v>
      </c>
    </row>
    <row r="10734" spans="1:26" x14ac:dyDescent="0.2">
      <c r="A10734" s="8">
        <v>10733</v>
      </c>
      <c r="B10734" s="8" t="s">
        <v>45796</v>
      </c>
      <c r="C10734" s="8" t="s">
        <v>45796</v>
      </c>
      <c r="E10734" s="8">
        <v>2</v>
      </c>
      <c r="G10734" s="8">
        <v>20</v>
      </c>
      <c r="H10734" s="8" t="s">
        <v>21</v>
      </c>
      <c r="I10734" s="8" t="s">
        <v>22</v>
      </c>
      <c r="J10734" s="8" t="s">
        <v>22</v>
      </c>
      <c r="K10734" s="8" t="s">
        <v>449</v>
      </c>
      <c r="L10734" s="8" t="s">
        <v>13194</v>
      </c>
      <c r="M10734" s="8" t="s">
        <v>13195</v>
      </c>
      <c r="N10734" s="8" t="s">
        <v>45797</v>
      </c>
      <c r="O10734" s="8">
        <f>11+30/60+53.4/3600</f>
        <v>11.514833333333334</v>
      </c>
      <c r="P10734" s="8" t="s">
        <v>45798</v>
      </c>
      <c r="Q10734" s="8">
        <f>+(13+23/60+24/3600)</f>
        <v>13.389999999999999</v>
      </c>
      <c r="R10734" s="8">
        <v>14.8</v>
      </c>
      <c r="S10734" s="8">
        <v>15.6</v>
      </c>
      <c r="T10734" s="8">
        <v>0.8</v>
      </c>
      <c r="U10734" s="8">
        <v>11.9</v>
      </c>
      <c r="V10734" s="8">
        <v>0.4</v>
      </c>
      <c r="W10734" s="8">
        <v>0.2</v>
      </c>
      <c r="X10734" s="8">
        <v>10</v>
      </c>
      <c r="Y10734" s="8" t="s">
        <v>21</v>
      </c>
      <c r="Z10734" s="8" t="s">
        <v>45799</v>
      </c>
    </row>
    <row r="10735" spans="1:26" x14ac:dyDescent="0.2">
      <c r="A10735" s="8">
        <v>10734</v>
      </c>
      <c r="B10735" s="8" t="s">
        <v>45800</v>
      </c>
      <c r="C10735" s="8" t="s">
        <v>45800</v>
      </c>
      <c r="G10735" s="8">
        <v>20</v>
      </c>
      <c r="H10735" s="8" t="s">
        <v>21</v>
      </c>
      <c r="I10735" s="8" t="s">
        <v>22</v>
      </c>
      <c r="J10735" s="8" t="s">
        <v>22</v>
      </c>
      <c r="K10735" s="8" t="s">
        <v>449</v>
      </c>
      <c r="L10735" s="8" t="s">
        <v>13194</v>
      </c>
      <c r="M10735" s="8" t="s">
        <v>13195</v>
      </c>
      <c r="N10735" s="8" t="s">
        <v>45801</v>
      </c>
      <c r="O10735" s="8">
        <f>11+30/60+57.4/3600</f>
        <v>11.515944444444445</v>
      </c>
      <c r="P10735" s="8" t="s">
        <v>45802</v>
      </c>
      <c r="Q10735" s="8">
        <f>+(13+14/60+6/3600)</f>
        <v>13.234999999999999</v>
      </c>
      <c r="R10735" s="8">
        <v>14.6</v>
      </c>
      <c r="S10735" s="8">
        <v>15.4</v>
      </c>
      <c r="T10735" s="8">
        <v>0.8</v>
      </c>
      <c r="U10735" s="8">
        <v>11.7</v>
      </c>
      <c r="V10735" s="8">
        <v>0.4</v>
      </c>
      <c r="W10735" s="8">
        <v>0.2</v>
      </c>
      <c r="X10735" s="8">
        <v>65</v>
      </c>
      <c r="Y10735" s="8" t="s">
        <v>44921</v>
      </c>
      <c r="Z10735" s="8" t="s">
        <v>44922</v>
      </c>
    </row>
    <row r="10736" spans="1:26" x14ac:dyDescent="0.2">
      <c r="A10736" s="8">
        <v>10735</v>
      </c>
      <c r="B10736" s="8" t="s">
        <v>45803</v>
      </c>
      <c r="C10736" s="8" t="s">
        <v>45803</v>
      </c>
      <c r="G10736" s="8">
        <v>20</v>
      </c>
      <c r="H10736" s="8" t="s">
        <v>21</v>
      </c>
      <c r="I10736" s="8" t="s">
        <v>72</v>
      </c>
      <c r="J10736" s="8" t="s">
        <v>72</v>
      </c>
      <c r="K10736" s="8" t="s">
        <v>20</v>
      </c>
      <c r="L10736" s="8" t="s">
        <v>13194</v>
      </c>
      <c r="M10736" s="8" t="s">
        <v>13195</v>
      </c>
      <c r="N10736" s="8" t="s">
        <v>45804</v>
      </c>
      <c r="O10736" s="8">
        <f>11+30/60+57.3/3600</f>
        <v>11.515916666666667</v>
      </c>
      <c r="P10736" s="8" t="s">
        <v>45805</v>
      </c>
      <c r="Q10736" s="8">
        <f>+(9+58/60+39/3600)</f>
        <v>9.9775000000000009</v>
      </c>
      <c r="R10736" s="8">
        <v>99</v>
      </c>
      <c r="S10736" s="8">
        <v>99</v>
      </c>
      <c r="T10736" s="8">
        <v>99</v>
      </c>
      <c r="U10736" s="8">
        <v>99</v>
      </c>
      <c r="Y10736" s="8" t="s">
        <v>3952</v>
      </c>
      <c r="Z10736" s="8" t="s">
        <v>3953</v>
      </c>
    </row>
    <row r="10737" spans="1:26" x14ac:dyDescent="0.2">
      <c r="A10737" s="8">
        <v>10736</v>
      </c>
      <c r="B10737" s="8" t="s">
        <v>45806</v>
      </c>
      <c r="C10737" s="8" t="s">
        <v>45806</v>
      </c>
      <c r="G10737" s="8">
        <v>20</v>
      </c>
      <c r="H10737" s="8" t="s">
        <v>21</v>
      </c>
      <c r="I10737" s="8" t="s">
        <v>22</v>
      </c>
      <c r="J10737" s="8" t="s">
        <v>22</v>
      </c>
      <c r="K10737" s="8" t="s">
        <v>449</v>
      </c>
      <c r="L10737" s="8" t="s">
        <v>13194</v>
      </c>
      <c r="M10737" s="8" t="s">
        <v>13195</v>
      </c>
      <c r="N10737" s="8" t="s">
        <v>45807</v>
      </c>
      <c r="O10737" s="8">
        <f>11+31/60+13.4/3600</f>
        <v>11.52038888888889</v>
      </c>
      <c r="P10737" s="8" t="s">
        <v>45808</v>
      </c>
      <c r="Q10737" s="8">
        <f>+(12+21/60+2/3600)</f>
        <v>12.350555555555555</v>
      </c>
      <c r="R10737" s="8">
        <v>16.2</v>
      </c>
      <c r="S10737" s="8">
        <v>17</v>
      </c>
      <c r="T10737" s="8">
        <v>0.8</v>
      </c>
      <c r="U10737" s="8">
        <v>13</v>
      </c>
      <c r="V10737" s="8">
        <v>0.3</v>
      </c>
      <c r="W10737" s="8">
        <v>0.2</v>
      </c>
      <c r="X10737" s="8">
        <v>160</v>
      </c>
      <c r="Y10737" s="8" t="s">
        <v>21</v>
      </c>
      <c r="Z10737" s="8" t="s">
        <v>45809</v>
      </c>
    </row>
    <row r="10738" spans="1:26" x14ac:dyDescent="0.2">
      <c r="A10738" s="8">
        <v>10737</v>
      </c>
      <c r="B10738" s="8" t="s">
        <v>45810</v>
      </c>
      <c r="C10738" s="8" t="s">
        <v>45810</v>
      </c>
      <c r="G10738" s="8">
        <v>20</v>
      </c>
      <c r="H10738" s="8" t="s">
        <v>21</v>
      </c>
      <c r="I10738" s="8" t="s">
        <v>72</v>
      </c>
      <c r="J10738" s="8" t="s">
        <v>72</v>
      </c>
      <c r="K10738" s="8" t="s">
        <v>20</v>
      </c>
      <c r="L10738" s="8" t="s">
        <v>13194</v>
      </c>
      <c r="M10738" s="8" t="s">
        <v>13195</v>
      </c>
      <c r="N10738" s="8" t="s">
        <v>45811</v>
      </c>
      <c r="O10738" s="8">
        <f>11+31/60+19.5/3600</f>
        <v>11.522083333333335</v>
      </c>
      <c r="P10738" s="8" t="s">
        <v>45812</v>
      </c>
      <c r="Q10738" s="8">
        <f>+(11+32/60+57/3600)</f>
        <v>11.549166666666666</v>
      </c>
      <c r="R10738" s="8">
        <v>99</v>
      </c>
      <c r="S10738" s="8">
        <v>99</v>
      </c>
      <c r="T10738" s="8">
        <v>99</v>
      </c>
      <c r="U10738" s="8">
        <v>99</v>
      </c>
      <c r="Y10738" s="8" t="s">
        <v>21</v>
      </c>
      <c r="Z10738" s="8" t="s">
        <v>45813</v>
      </c>
    </row>
    <row r="10739" spans="1:26" x14ac:dyDescent="0.2">
      <c r="A10739" s="8">
        <v>10738</v>
      </c>
      <c r="B10739" s="8" t="s">
        <v>45814</v>
      </c>
      <c r="C10739" s="8" t="s">
        <v>45814</v>
      </c>
      <c r="G10739" s="8">
        <v>20</v>
      </c>
      <c r="H10739" s="8" t="s">
        <v>21</v>
      </c>
      <c r="I10739" s="8" t="s">
        <v>22</v>
      </c>
      <c r="J10739" s="8" t="s">
        <v>22</v>
      </c>
      <c r="K10739" s="8" t="s">
        <v>449</v>
      </c>
      <c r="L10739" s="8" t="s">
        <v>13194</v>
      </c>
      <c r="M10739" s="8" t="s">
        <v>13195</v>
      </c>
      <c r="N10739" s="8" t="s">
        <v>45815</v>
      </c>
      <c r="O10739" s="8">
        <f>11+31/60+20.4/3600</f>
        <v>11.522333333333334</v>
      </c>
      <c r="P10739" s="8" t="s">
        <v>45816</v>
      </c>
      <c r="Q10739" s="8">
        <f>+(13+20/60+8/3600)</f>
        <v>13.335555555555556</v>
      </c>
      <c r="R10739" s="8">
        <v>15.7</v>
      </c>
      <c r="S10739" s="8">
        <v>16.5</v>
      </c>
      <c r="T10739" s="8">
        <v>0.8</v>
      </c>
      <c r="U10739" s="8">
        <v>12.5</v>
      </c>
      <c r="V10739" s="8">
        <v>0.3</v>
      </c>
      <c r="W10739" s="8">
        <v>0.2</v>
      </c>
      <c r="X10739" s="8">
        <v>135</v>
      </c>
      <c r="Y10739" s="8" t="s">
        <v>21</v>
      </c>
      <c r="Z10739" s="8" t="s">
        <v>45817</v>
      </c>
    </row>
    <row r="10740" spans="1:26" x14ac:dyDescent="0.2">
      <c r="A10740" s="8">
        <v>10739</v>
      </c>
      <c r="B10740" s="8" t="s">
        <v>45818</v>
      </c>
      <c r="C10740" s="8" t="s">
        <v>45818</v>
      </c>
      <c r="G10740" s="8">
        <v>20</v>
      </c>
      <c r="H10740" s="8" t="s">
        <v>21</v>
      </c>
      <c r="I10740" s="8" t="s">
        <v>72</v>
      </c>
      <c r="J10740" s="8" t="s">
        <v>72</v>
      </c>
      <c r="K10740" s="8" t="s">
        <v>73</v>
      </c>
      <c r="L10740" s="8" t="s">
        <v>13194</v>
      </c>
      <c r="M10740" s="8" t="s">
        <v>13195</v>
      </c>
      <c r="N10740" s="8" t="s">
        <v>45815</v>
      </c>
      <c r="O10740" s="8">
        <f>11+31/60+20.4/3600</f>
        <v>11.522333333333334</v>
      </c>
      <c r="P10740" s="8" t="s">
        <v>45819</v>
      </c>
      <c r="Q10740" s="8">
        <f>+(10+38/60+6/3600)</f>
        <v>10.635</v>
      </c>
      <c r="R10740" s="8">
        <v>99</v>
      </c>
      <c r="S10740" s="8">
        <v>99</v>
      </c>
      <c r="T10740" s="8">
        <v>99</v>
      </c>
      <c r="U10740" s="8">
        <v>99</v>
      </c>
      <c r="Y10740" s="8" t="s">
        <v>21</v>
      </c>
      <c r="Z10740" s="8" t="s">
        <v>45820</v>
      </c>
    </row>
    <row r="10741" spans="1:26" x14ac:dyDescent="0.2">
      <c r="A10741" s="8">
        <v>10740</v>
      </c>
      <c r="B10741" s="8" t="s">
        <v>45821</v>
      </c>
      <c r="C10741" s="8" t="s">
        <v>45821</v>
      </c>
      <c r="G10741" s="8">
        <v>20</v>
      </c>
      <c r="H10741" s="8" t="s">
        <v>21</v>
      </c>
      <c r="I10741" s="8" t="s">
        <v>22</v>
      </c>
      <c r="J10741" s="8" t="s">
        <v>22</v>
      </c>
      <c r="K10741" s="8" t="s">
        <v>382</v>
      </c>
      <c r="L10741" s="8" t="s">
        <v>13194</v>
      </c>
      <c r="M10741" s="8" t="s">
        <v>13195</v>
      </c>
      <c r="N10741" s="8" t="s">
        <v>45822</v>
      </c>
      <c r="O10741" s="8">
        <f>11+31/60+29.6/3600</f>
        <v>11.52488888888889</v>
      </c>
      <c r="P10741" s="8" t="s">
        <v>45823</v>
      </c>
      <c r="Q10741" s="8">
        <f>+(13+10/60+4/3600)</f>
        <v>13.167777777777777</v>
      </c>
      <c r="R10741" s="8">
        <v>16.899999999999999</v>
      </c>
      <c r="S10741" s="8">
        <v>17.899999999999999</v>
      </c>
      <c r="T10741" s="8">
        <v>1</v>
      </c>
      <c r="U10741" s="8">
        <v>13.9</v>
      </c>
      <c r="V10741" s="8">
        <v>0.3</v>
      </c>
      <c r="W10741" s="8">
        <v>0.2</v>
      </c>
      <c r="X10741" s="8">
        <v>130</v>
      </c>
      <c r="Y10741" s="8" t="s">
        <v>2248</v>
      </c>
      <c r="Z10741" s="8" t="s">
        <v>2249</v>
      </c>
    </row>
    <row r="10742" spans="1:26" x14ac:dyDescent="0.2">
      <c r="A10742" s="8">
        <v>10741</v>
      </c>
      <c r="B10742" s="8" t="s">
        <v>45824</v>
      </c>
      <c r="C10742" s="8" t="s">
        <v>45824</v>
      </c>
      <c r="G10742" s="8">
        <v>20</v>
      </c>
      <c r="H10742" s="8" t="s">
        <v>21</v>
      </c>
      <c r="I10742" s="8" t="s">
        <v>22</v>
      </c>
      <c r="J10742" s="8" t="s">
        <v>22</v>
      </c>
      <c r="K10742" s="8" t="s">
        <v>449</v>
      </c>
      <c r="L10742" s="8" t="s">
        <v>13194</v>
      </c>
      <c r="M10742" s="8" t="s">
        <v>13195</v>
      </c>
      <c r="N10742" s="8" t="s">
        <v>45825</v>
      </c>
      <c r="O10742" s="8">
        <f>11+31/60+32.1/3600</f>
        <v>11.525583333333334</v>
      </c>
      <c r="P10742" s="8" t="s">
        <v>45826</v>
      </c>
      <c r="Q10742" s="8">
        <f>+(12+42/60+1/3600)</f>
        <v>12.700277777777776</v>
      </c>
      <c r="R10742" s="8">
        <v>17.100000000000001</v>
      </c>
      <c r="S10742" s="8">
        <v>17.899999999999999</v>
      </c>
      <c r="T10742" s="8">
        <v>0.8</v>
      </c>
      <c r="U10742" s="8">
        <v>14.6</v>
      </c>
      <c r="V10742" s="8">
        <v>0.4</v>
      </c>
      <c r="W10742" s="8">
        <v>0.3</v>
      </c>
      <c r="X10742" s="8">
        <v>110</v>
      </c>
      <c r="Y10742" s="8" t="s">
        <v>45218</v>
      </c>
      <c r="Z10742" s="8" t="s">
        <v>45219</v>
      </c>
    </row>
    <row r="10743" spans="1:26" x14ac:dyDescent="0.2">
      <c r="A10743" s="8">
        <v>10742</v>
      </c>
      <c r="B10743" s="8" t="s">
        <v>45827</v>
      </c>
      <c r="C10743" s="8" t="s">
        <v>45827</v>
      </c>
      <c r="G10743" s="8">
        <v>20</v>
      </c>
      <c r="H10743" s="8" t="s">
        <v>21</v>
      </c>
      <c r="I10743" s="8" t="s">
        <v>72</v>
      </c>
      <c r="J10743" s="8" t="s">
        <v>72</v>
      </c>
      <c r="K10743" s="8" t="s">
        <v>20</v>
      </c>
      <c r="L10743" s="8" t="s">
        <v>13194</v>
      </c>
      <c r="M10743" s="8" t="s">
        <v>13195</v>
      </c>
      <c r="N10743" s="8" t="s">
        <v>45828</v>
      </c>
      <c r="O10743" s="8">
        <f>11+31/60+33.2/3600</f>
        <v>11.52588888888889</v>
      </c>
      <c r="P10743" s="8" t="s">
        <v>45829</v>
      </c>
      <c r="Q10743" s="8">
        <f>+(14+13/60+21/3600)</f>
        <v>14.2225</v>
      </c>
      <c r="R10743" s="8">
        <v>99</v>
      </c>
      <c r="S10743" s="8">
        <v>14.4</v>
      </c>
      <c r="T10743" s="8">
        <v>99</v>
      </c>
      <c r="U10743" s="8">
        <v>99</v>
      </c>
      <c r="Y10743" s="8" t="s">
        <v>45314</v>
      </c>
      <c r="Z10743" s="8" t="s">
        <v>45315</v>
      </c>
    </row>
    <row r="10744" spans="1:26" x14ac:dyDescent="0.2">
      <c r="A10744" s="8">
        <v>10743</v>
      </c>
      <c r="B10744" s="8" t="s">
        <v>45830</v>
      </c>
      <c r="C10744" s="8" t="s">
        <v>45830</v>
      </c>
      <c r="G10744" s="8">
        <v>20</v>
      </c>
      <c r="H10744" s="8" t="s">
        <v>21</v>
      </c>
      <c r="I10744" s="8" t="s">
        <v>22</v>
      </c>
      <c r="J10744" s="8" t="s">
        <v>22</v>
      </c>
      <c r="K10744" s="8" t="s">
        <v>449</v>
      </c>
      <c r="L10744" s="8" t="s">
        <v>13194</v>
      </c>
      <c r="M10744" s="8" t="s">
        <v>13195</v>
      </c>
      <c r="N10744" s="8" t="s">
        <v>45831</v>
      </c>
      <c r="O10744" s="8">
        <f>11+31/60+40.8/3600</f>
        <v>11.528</v>
      </c>
      <c r="P10744" s="8" t="s">
        <v>45832</v>
      </c>
      <c r="Q10744" s="8">
        <f>+(12+38/60+32/3600)</f>
        <v>12.642222222222221</v>
      </c>
      <c r="R10744" s="8">
        <v>15.2</v>
      </c>
      <c r="S10744" s="8">
        <v>16</v>
      </c>
      <c r="T10744" s="8">
        <v>0.8</v>
      </c>
      <c r="U10744" s="8">
        <v>12.3</v>
      </c>
      <c r="V10744" s="8">
        <v>0.4</v>
      </c>
      <c r="W10744" s="8">
        <v>0.2</v>
      </c>
      <c r="X10744" s="8">
        <v>45</v>
      </c>
      <c r="Y10744" s="8" t="s">
        <v>45514</v>
      </c>
      <c r="Z10744" s="8" t="s">
        <v>45515</v>
      </c>
    </row>
    <row r="10745" spans="1:26" x14ac:dyDescent="0.2">
      <c r="A10745" s="8">
        <v>10744</v>
      </c>
      <c r="B10745" s="8" t="s">
        <v>45833</v>
      </c>
      <c r="C10745" s="8" t="s">
        <v>45833</v>
      </c>
      <c r="G10745" s="8">
        <v>20</v>
      </c>
      <c r="H10745" s="8" t="s">
        <v>21</v>
      </c>
      <c r="I10745" s="8" t="s">
        <v>72</v>
      </c>
      <c r="J10745" s="8" t="s">
        <v>72</v>
      </c>
      <c r="K10745" s="8" t="s">
        <v>20</v>
      </c>
      <c r="L10745" s="8" t="s">
        <v>13194</v>
      </c>
      <c r="M10745" s="8" t="s">
        <v>13195</v>
      </c>
      <c r="N10745" s="8" t="s">
        <v>45834</v>
      </c>
      <c r="O10745" s="8">
        <f>11+31/60+42.5/3600</f>
        <v>11.528472222222224</v>
      </c>
      <c r="P10745" s="8" t="s">
        <v>45835</v>
      </c>
      <c r="Q10745" s="8">
        <f>+(13+11/60+5/3600)</f>
        <v>13.184722222222222</v>
      </c>
      <c r="R10745" s="8">
        <v>99</v>
      </c>
      <c r="S10745" s="8">
        <v>99</v>
      </c>
      <c r="T10745" s="8">
        <v>99</v>
      </c>
      <c r="U10745" s="8">
        <v>99</v>
      </c>
      <c r="Y10745" s="8" t="s">
        <v>21</v>
      </c>
      <c r="Z10745" s="8" t="s">
        <v>45836</v>
      </c>
    </row>
    <row r="10746" spans="1:26" x14ac:dyDescent="0.2">
      <c r="A10746" s="8">
        <v>10745</v>
      </c>
      <c r="B10746" s="8" t="s">
        <v>45837</v>
      </c>
      <c r="C10746" s="8" t="s">
        <v>45837</v>
      </c>
      <c r="G10746" s="8">
        <v>20</v>
      </c>
      <c r="H10746" s="8" t="s">
        <v>21</v>
      </c>
      <c r="I10746" s="8" t="s">
        <v>72</v>
      </c>
      <c r="J10746" s="8" t="s">
        <v>72</v>
      </c>
      <c r="K10746" s="8" t="s">
        <v>20</v>
      </c>
      <c r="L10746" s="8" t="s">
        <v>13194</v>
      </c>
      <c r="M10746" s="8" t="s">
        <v>13195</v>
      </c>
      <c r="N10746" s="8" t="s">
        <v>45838</v>
      </c>
      <c r="O10746" s="8">
        <f>11+31/60+47.1/3600</f>
        <v>11.52975</v>
      </c>
      <c r="P10746" s="8" t="s">
        <v>45839</v>
      </c>
      <c r="Q10746" s="8">
        <f>+(9+6/60+25/3600)</f>
        <v>9.1069444444444443</v>
      </c>
      <c r="R10746" s="8">
        <v>99</v>
      </c>
      <c r="S10746" s="8">
        <v>99</v>
      </c>
      <c r="T10746" s="8">
        <v>99</v>
      </c>
      <c r="U10746" s="8">
        <v>99</v>
      </c>
      <c r="Y10746" s="8" t="s">
        <v>21</v>
      </c>
      <c r="Z10746" s="8" t="s">
        <v>45840</v>
      </c>
    </row>
    <row r="10747" spans="1:26" x14ac:dyDescent="0.2">
      <c r="A10747" s="8">
        <v>10746</v>
      </c>
      <c r="B10747" s="8" t="s">
        <v>45841</v>
      </c>
      <c r="C10747" s="8" t="s">
        <v>45841</v>
      </c>
      <c r="G10747" s="8">
        <v>20</v>
      </c>
      <c r="H10747" s="8" t="s">
        <v>21</v>
      </c>
      <c r="I10747" s="8" t="s">
        <v>72</v>
      </c>
      <c r="J10747" s="8" t="s">
        <v>72</v>
      </c>
      <c r="K10747" s="8" t="s">
        <v>20</v>
      </c>
      <c r="L10747" s="8" t="s">
        <v>13194</v>
      </c>
      <c r="M10747" s="8" t="s">
        <v>13195</v>
      </c>
      <c r="N10747" s="8" t="s">
        <v>45842</v>
      </c>
      <c r="O10747" s="8">
        <f>11+31/60+49.6/3600</f>
        <v>11.530444444444445</v>
      </c>
      <c r="P10747" s="8" t="s">
        <v>45843</v>
      </c>
      <c r="Q10747" s="8">
        <f>+(13+7/60+58/3600)</f>
        <v>13.132777777777779</v>
      </c>
      <c r="R10747" s="8">
        <v>99</v>
      </c>
      <c r="S10747" s="8">
        <v>15.4</v>
      </c>
      <c r="T10747" s="8">
        <v>99</v>
      </c>
      <c r="U10747" s="8">
        <v>99</v>
      </c>
      <c r="Y10747" s="8" t="s">
        <v>3952</v>
      </c>
      <c r="Z10747" s="8" t="s">
        <v>3953</v>
      </c>
    </row>
    <row r="10748" spans="1:26" x14ac:dyDescent="0.2">
      <c r="A10748" s="8">
        <v>10747</v>
      </c>
      <c r="B10748" s="8" t="s">
        <v>45844</v>
      </c>
      <c r="C10748" s="8" t="s">
        <v>45844</v>
      </c>
      <c r="G10748" s="8">
        <v>20</v>
      </c>
      <c r="H10748" s="8" t="s">
        <v>21</v>
      </c>
      <c r="I10748" s="8" t="s">
        <v>72</v>
      </c>
      <c r="J10748" s="8" t="s">
        <v>72</v>
      </c>
      <c r="K10748" s="8" t="s">
        <v>20</v>
      </c>
      <c r="L10748" s="8" t="s">
        <v>13194</v>
      </c>
      <c r="M10748" s="8" t="s">
        <v>13195</v>
      </c>
      <c r="N10748" s="8" t="s">
        <v>45845</v>
      </c>
      <c r="O10748" s="8">
        <f>11+31/60+49/3600</f>
        <v>11.530277777777778</v>
      </c>
      <c r="P10748" s="8" t="s">
        <v>45846</v>
      </c>
      <c r="Q10748" s="8">
        <f>+(9+53/60+57/3600)</f>
        <v>9.899166666666666</v>
      </c>
      <c r="R10748" s="8">
        <v>99</v>
      </c>
      <c r="S10748" s="8">
        <v>15.4</v>
      </c>
      <c r="T10748" s="8">
        <v>99</v>
      </c>
      <c r="U10748" s="8">
        <v>99</v>
      </c>
      <c r="Y10748" s="8" t="s">
        <v>45158</v>
      </c>
      <c r="Z10748" s="8" t="s">
        <v>45159</v>
      </c>
    </row>
    <row r="10749" spans="1:26" x14ac:dyDescent="0.2">
      <c r="A10749" s="8">
        <v>10748</v>
      </c>
      <c r="B10749" s="8" t="s">
        <v>45847</v>
      </c>
      <c r="C10749" s="8" t="s">
        <v>45847</v>
      </c>
      <c r="G10749" s="8">
        <v>20</v>
      </c>
      <c r="H10749" s="8" t="s">
        <v>21</v>
      </c>
      <c r="I10749" s="8" t="s">
        <v>72</v>
      </c>
      <c r="J10749" s="8" t="s">
        <v>72</v>
      </c>
      <c r="K10749" s="8" t="s">
        <v>20</v>
      </c>
      <c r="L10749" s="8" t="s">
        <v>13194</v>
      </c>
      <c r="M10749" s="8" t="s">
        <v>13195</v>
      </c>
      <c r="N10749" s="8" t="s">
        <v>45848</v>
      </c>
      <c r="O10749" s="8">
        <f>11+31/60+50.6/3600</f>
        <v>11.530722222222224</v>
      </c>
      <c r="P10749" s="8" t="s">
        <v>45849</v>
      </c>
      <c r="Q10749" s="8">
        <f>+(12+56/60+17/3600)</f>
        <v>12.938055555555556</v>
      </c>
      <c r="R10749" s="8">
        <v>99</v>
      </c>
      <c r="S10749" s="8">
        <v>99</v>
      </c>
      <c r="T10749" s="8">
        <v>99</v>
      </c>
      <c r="U10749" s="8">
        <v>99</v>
      </c>
      <c r="Y10749" s="8" t="s">
        <v>45850</v>
      </c>
      <c r="Z10749" s="8" t="s">
        <v>45851</v>
      </c>
    </row>
    <row r="10750" spans="1:26" x14ac:dyDescent="0.2">
      <c r="A10750" s="8">
        <v>10749</v>
      </c>
      <c r="B10750" s="8" t="s">
        <v>45852</v>
      </c>
      <c r="C10750" s="8" t="s">
        <v>45852</v>
      </c>
      <c r="G10750" s="8">
        <v>20</v>
      </c>
      <c r="H10750" s="8" t="s">
        <v>21</v>
      </c>
      <c r="I10750" s="8" t="s">
        <v>22</v>
      </c>
      <c r="J10750" s="8" t="s">
        <v>22</v>
      </c>
      <c r="K10750" s="8" t="s">
        <v>460</v>
      </c>
      <c r="L10750" s="8" t="s">
        <v>13194</v>
      </c>
      <c r="M10750" s="8" t="s">
        <v>13195</v>
      </c>
      <c r="N10750" s="8" t="s">
        <v>45853</v>
      </c>
      <c r="O10750" s="8">
        <f>11+31/60+50.9/3600</f>
        <v>11.530805555555556</v>
      </c>
      <c r="P10750" s="8" t="s">
        <v>17425</v>
      </c>
      <c r="Q10750" s="8">
        <f>+(11+28/60+13/3600)</f>
        <v>11.470277777777778</v>
      </c>
      <c r="R10750" s="8">
        <v>16</v>
      </c>
      <c r="S10750" s="8">
        <v>17</v>
      </c>
      <c r="T10750" s="8">
        <v>1</v>
      </c>
      <c r="U10750" s="8">
        <v>12.6</v>
      </c>
      <c r="V10750" s="8">
        <v>0.2</v>
      </c>
      <c r="W10750" s="8">
        <v>0.2</v>
      </c>
      <c r="Y10750" s="8" t="s">
        <v>5445</v>
      </c>
      <c r="Z10750" s="8" t="s">
        <v>577</v>
      </c>
    </row>
    <row r="10751" spans="1:26" x14ac:dyDescent="0.2">
      <c r="A10751" s="8">
        <v>10750</v>
      </c>
      <c r="B10751" s="8" t="s">
        <v>45854</v>
      </c>
      <c r="C10751" s="8" t="s">
        <v>45854</v>
      </c>
      <c r="G10751" s="8">
        <v>20</v>
      </c>
      <c r="H10751" s="8" t="s">
        <v>21</v>
      </c>
      <c r="I10751" s="8" t="s">
        <v>22</v>
      </c>
      <c r="J10751" s="8" t="s">
        <v>22</v>
      </c>
      <c r="K10751" s="8" t="s">
        <v>632</v>
      </c>
      <c r="L10751" s="8" t="s">
        <v>15699</v>
      </c>
      <c r="M10751" s="8" t="s">
        <v>15700</v>
      </c>
      <c r="N10751" s="8" t="s">
        <v>45855</v>
      </c>
      <c r="O10751" s="8">
        <f>11+31/60+54.6/3600</f>
        <v>11.531833333333335</v>
      </c>
      <c r="P10751" s="8" t="s">
        <v>45856</v>
      </c>
      <c r="Q10751" s="8">
        <f>-(9+43/60+29/3600)</f>
        <v>-9.7247222222222227</v>
      </c>
      <c r="R10751" s="8">
        <v>13.6</v>
      </c>
      <c r="S10751" s="8">
        <v>14.5</v>
      </c>
      <c r="T10751" s="8">
        <v>0.9</v>
      </c>
      <c r="U10751" s="8">
        <v>14.3</v>
      </c>
      <c r="V10751" s="8">
        <v>1.7</v>
      </c>
      <c r="W10751" s="8">
        <v>1.2</v>
      </c>
      <c r="X10751" s="8">
        <v>130</v>
      </c>
      <c r="Y10751" s="8" t="s">
        <v>45857</v>
      </c>
      <c r="Z10751" s="8" t="s">
        <v>45858</v>
      </c>
    </row>
    <row r="10752" spans="1:26" x14ac:dyDescent="0.2">
      <c r="A10752" s="8">
        <v>10751</v>
      </c>
      <c r="B10752" s="8" t="s">
        <v>45859</v>
      </c>
      <c r="C10752" s="8" t="s">
        <v>45859</v>
      </c>
      <c r="G10752" s="8">
        <v>20</v>
      </c>
      <c r="H10752" s="8" t="s">
        <v>21</v>
      </c>
      <c r="I10752" s="8" t="s">
        <v>72</v>
      </c>
      <c r="J10752" s="8" t="s">
        <v>72</v>
      </c>
      <c r="K10752" s="8" t="s">
        <v>73</v>
      </c>
      <c r="L10752" s="8" t="s">
        <v>13194</v>
      </c>
      <c r="M10752" s="8" t="s">
        <v>13195</v>
      </c>
      <c r="N10752" s="8" t="s">
        <v>45860</v>
      </c>
      <c r="O10752" s="8">
        <f>11+32/60+5.3/3600</f>
        <v>11.534805555555556</v>
      </c>
      <c r="P10752" s="8" t="s">
        <v>45861</v>
      </c>
      <c r="Q10752" s="8">
        <f>+(12+58/60+41/3600)</f>
        <v>12.978055555555555</v>
      </c>
      <c r="R10752" s="8">
        <v>99</v>
      </c>
      <c r="S10752" s="8">
        <v>99</v>
      </c>
      <c r="T10752" s="8">
        <v>99</v>
      </c>
      <c r="U10752" s="8">
        <v>99</v>
      </c>
      <c r="Y10752" s="8" t="s">
        <v>21</v>
      </c>
      <c r="Z10752" s="8" t="s">
        <v>45862</v>
      </c>
    </row>
    <row r="10753" spans="1:26" x14ac:dyDescent="0.2">
      <c r="A10753" s="8">
        <v>10752</v>
      </c>
      <c r="B10753" s="8" t="s">
        <v>45863</v>
      </c>
      <c r="C10753" s="8" t="s">
        <v>45863</v>
      </c>
      <c r="G10753" s="8">
        <v>20</v>
      </c>
      <c r="H10753" s="8" t="s">
        <v>21</v>
      </c>
      <c r="I10753" s="8" t="s">
        <v>22</v>
      </c>
      <c r="J10753" s="8" t="s">
        <v>22</v>
      </c>
      <c r="K10753" s="8" t="s">
        <v>449</v>
      </c>
      <c r="L10753" s="8" t="s">
        <v>13194</v>
      </c>
      <c r="M10753" s="8" t="s">
        <v>13195</v>
      </c>
      <c r="N10753" s="8" t="s">
        <v>45864</v>
      </c>
      <c r="O10753" s="8">
        <f>11+32/60+7/3600</f>
        <v>11.535277777777777</v>
      </c>
      <c r="P10753" s="8" t="s">
        <v>45865</v>
      </c>
      <c r="Q10753" s="8">
        <f>+(11+42/60+37/3600)</f>
        <v>11.710277777777778</v>
      </c>
      <c r="R10753" s="8">
        <v>15.2</v>
      </c>
      <c r="S10753" s="8">
        <v>16</v>
      </c>
      <c r="T10753" s="8">
        <v>0.8</v>
      </c>
      <c r="U10753" s="8">
        <v>11.8</v>
      </c>
      <c r="V10753" s="8">
        <v>0.5</v>
      </c>
      <c r="W10753" s="8">
        <v>0.1</v>
      </c>
      <c r="X10753" s="8">
        <v>85</v>
      </c>
      <c r="Y10753" s="8" t="s">
        <v>45314</v>
      </c>
      <c r="Z10753" s="8" t="s">
        <v>45315</v>
      </c>
    </row>
    <row r="10754" spans="1:26" x14ac:dyDescent="0.2">
      <c r="A10754" s="8">
        <v>10753</v>
      </c>
      <c r="B10754" s="8" t="s">
        <v>45866</v>
      </c>
      <c r="C10754" s="8" t="s">
        <v>45866</v>
      </c>
      <c r="G10754" s="8">
        <v>20</v>
      </c>
      <c r="H10754" s="8" t="s">
        <v>21</v>
      </c>
      <c r="I10754" s="8" t="s">
        <v>22</v>
      </c>
      <c r="J10754" s="8" t="s">
        <v>22</v>
      </c>
      <c r="K10754" s="8" t="s">
        <v>632</v>
      </c>
      <c r="L10754" s="8" t="s">
        <v>11765</v>
      </c>
      <c r="M10754" s="8" t="s">
        <v>11766</v>
      </c>
      <c r="N10754" s="8" t="s">
        <v>45867</v>
      </c>
      <c r="O10754" s="8">
        <f>11+31/60+51.3/3600</f>
        <v>11.530916666666668</v>
      </c>
      <c r="P10754" s="8" t="s">
        <v>45868</v>
      </c>
      <c r="Q10754" s="8">
        <f>-(30+24/60+38/3600)</f>
        <v>-30.410555555555554</v>
      </c>
      <c r="R10754" s="8">
        <v>13</v>
      </c>
      <c r="S10754" s="8">
        <v>13.9</v>
      </c>
      <c r="T10754" s="8">
        <v>0.9</v>
      </c>
      <c r="U10754" s="8">
        <v>12.4</v>
      </c>
      <c r="V10754" s="8">
        <v>0.8</v>
      </c>
      <c r="W10754" s="8">
        <v>0.8</v>
      </c>
      <c r="Y10754" s="8" t="s">
        <v>21</v>
      </c>
      <c r="Z10754" s="8" t="s">
        <v>45869</v>
      </c>
    </row>
    <row r="10755" spans="1:26" x14ac:dyDescent="0.2">
      <c r="A10755" s="8">
        <v>10754</v>
      </c>
      <c r="B10755" s="8" t="s">
        <v>45870</v>
      </c>
      <c r="C10755" s="8" t="s">
        <v>45870</v>
      </c>
      <c r="G10755" s="8">
        <v>20</v>
      </c>
      <c r="H10755" s="8" t="s">
        <v>21</v>
      </c>
      <c r="I10755" s="8" t="s">
        <v>22</v>
      </c>
      <c r="J10755" s="8" t="s">
        <v>22</v>
      </c>
      <c r="K10755" s="8" t="s">
        <v>476</v>
      </c>
      <c r="L10755" s="8" t="s">
        <v>13194</v>
      </c>
      <c r="M10755" s="8" t="s">
        <v>13195</v>
      </c>
      <c r="N10755" s="8" t="s">
        <v>45871</v>
      </c>
      <c r="O10755" s="8">
        <f>11+32/60+12.4/3600</f>
        <v>11.536777777777777</v>
      </c>
      <c r="P10755" s="8" t="s">
        <v>45872</v>
      </c>
      <c r="Q10755" s="8">
        <f>+(13+29/60+31/3600)</f>
        <v>13.491944444444444</v>
      </c>
      <c r="R10755" s="8">
        <v>14.6</v>
      </c>
      <c r="S10755" s="8">
        <v>15.4</v>
      </c>
      <c r="T10755" s="8">
        <v>0.8</v>
      </c>
      <c r="U10755" s="8">
        <v>12.6</v>
      </c>
      <c r="V10755" s="8">
        <v>0.6</v>
      </c>
      <c r="W10755" s="8">
        <v>0.3</v>
      </c>
      <c r="X10755" s="8">
        <v>0</v>
      </c>
      <c r="Y10755" s="8" t="s">
        <v>2641</v>
      </c>
      <c r="Z10755" s="8" t="s">
        <v>2642</v>
      </c>
    </row>
    <row r="10756" spans="1:26" x14ac:dyDescent="0.2">
      <c r="A10756" s="8">
        <v>10755</v>
      </c>
      <c r="B10756" s="8" t="s">
        <v>45873</v>
      </c>
      <c r="C10756" s="8" t="s">
        <v>45873</v>
      </c>
      <c r="G10756" s="8">
        <v>20</v>
      </c>
      <c r="H10756" s="8" t="s">
        <v>21</v>
      </c>
      <c r="I10756" s="8" t="s">
        <v>72</v>
      </c>
      <c r="J10756" s="8" t="s">
        <v>72</v>
      </c>
      <c r="K10756" s="8" t="s">
        <v>20</v>
      </c>
      <c r="L10756" s="8" t="s">
        <v>13194</v>
      </c>
      <c r="M10756" s="8" t="s">
        <v>13195</v>
      </c>
      <c r="N10756" s="8" t="s">
        <v>45874</v>
      </c>
      <c r="O10756" s="8">
        <f>11+32/60+15.6/3600</f>
        <v>11.537666666666667</v>
      </c>
      <c r="P10756" s="8" t="s">
        <v>45875</v>
      </c>
      <c r="Q10756" s="8">
        <f>+(14+29/60+2/3600)</f>
        <v>14.483888888888888</v>
      </c>
      <c r="R10756" s="8">
        <v>99</v>
      </c>
      <c r="S10756" s="8">
        <v>14.5</v>
      </c>
      <c r="T10756" s="8">
        <v>99</v>
      </c>
      <c r="U10756" s="8">
        <v>99</v>
      </c>
      <c r="Y10756" s="8" t="s">
        <v>21193</v>
      </c>
      <c r="Z10756" s="8" t="s">
        <v>21194</v>
      </c>
    </row>
    <row r="10757" spans="1:26" x14ac:dyDescent="0.2">
      <c r="A10757" s="8">
        <v>10756</v>
      </c>
      <c r="B10757" s="8" t="s">
        <v>45876</v>
      </c>
      <c r="C10757" s="8" t="s">
        <v>45876</v>
      </c>
      <c r="G10757" s="8">
        <v>20</v>
      </c>
      <c r="H10757" s="8" t="s">
        <v>21</v>
      </c>
      <c r="I10757" s="8" t="s">
        <v>72</v>
      </c>
      <c r="J10757" s="8" t="s">
        <v>72</v>
      </c>
      <c r="K10757" s="8" t="s">
        <v>20</v>
      </c>
      <c r="L10757" s="8" t="s">
        <v>13194</v>
      </c>
      <c r="M10757" s="8" t="s">
        <v>13195</v>
      </c>
      <c r="N10757" s="8" t="s">
        <v>45877</v>
      </c>
      <c r="O10757" s="8">
        <f>11+32/60+16.1/3600</f>
        <v>11.537805555555556</v>
      </c>
      <c r="P10757" s="8" t="s">
        <v>45878</v>
      </c>
      <c r="Q10757" s="8">
        <f>+(11+41/60+2/3600)</f>
        <v>11.683888888888889</v>
      </c>
      <c r="R10757" s="8">
        <v>99</v>
      </c>
      <c r="S10757" s="8">
        <v>99</v>
      </c>
      <c r="T10757" s="8">
        <v>99</v>
      </c>
      <c r="U10757" s="8">
        <v>99</v>
      </c>
      <c r="Y10757" s="8" t="s">
        <v>2641</v>
      </c>
      <c r="Z10757" s="8" t="s">
        <v>2642</v>
      </c>
    </row>
    <row r="10758" spans="1:26" x14ac:dyDescent="0.2">
      <c r="A10758" s="8">
        <v>10757</v>
      </c>
      <c r="B10758" s="8" t="s">
        <v>45879</v>
      </c>
      <c r="C10758" s="8" t="s">
        <v>45879</v>
      </c>
      <c r="G10758" s="8">
        <v>20</v>
      </c>
      <c r="H10758" s="8" t="s">
        <v>21</v>
      </c>
      <c r="I10758" s="8" t="s">
        <v>22</v>
      </c>
      <c r="J10758" s="8" t="s">
        <v>22</v>
      </c>
      <c r="K10758" s="8" t="s">
        <v>449</v>
      </c>
      <c r="L10758" s="8" t="s">
        <v>13194</v>
      </c>
      <c r="M10758" s="8" t="s">
        <v>13195</v>
      </c>
      <c r="N10758" s="8" t="s">
        <v>45880</v>
      </c>
      <c r="O10758" s="8">
        <f>11+32/60+19.4/3600</f>
        <v>11.538722222222223</v>
      </c>
      <c r="P10758" s="8" t="s">
        <v>45881</v>
      </c>
      <c r="Q10758" s="8">
        <f>+(10+56/60+45/3600)</f>
        <v>10.945833333333333</v>
      </c>
      <c r="R10758" s="8">
        <v>16.7</v>
      </c>
      <c r="S10758" s="8">
        <v>17.5</v>
      </c>
      <c r="T10758" s="8">
        <v>0.8</v>
      </c>
      <c r="U10758" s="8">
        <v>12</v>
      </c>
      <c r="V10758" s="8">
        <v>0.15</v>
      </c>
      <c r="W10758" s="8">
        <v>0.1</v>
      </c>
      <c r="X10758" s="8">
        <v>50</v>
      </c>
      <c r="Y10758" s="8" t="s">
        <v>221</v>
      </c>
      <c r="Z10758" s="8" t="s">
        <v>222</v>
      </c>
    </row>
    <row r="10759" spans="1:26" x14ac:dyDescent="0.2">
      <c r="A10759" s="8">
        <v>10758</v>
      </c>
      <c r="B10759" s="8" t="s">
        <v>45882</v>
      </c>
      <c r="C10759" s="8" t="s">
        <v>45882</v>
      </c>
      <c r="G10759" s="8">
        <v>20</v>
      </c>
      <c r="H10759" s="8" t="s">
        <v>21</v>
      </c>
      <c r="I10759" s="8" t="s">
        <v>329</v>
      </c>
      <c r="J10759" s="8" t="s">
        <v>329</v>
      </c>
      <c r="K10759" s="8" t="s">
        <v>329</v>
      </c>
      <c r="L10759" s="8" t="s">
        <v>13194</v>
      </c>
      <c r="M10759" s="8" t="s">
        <v>13195</v>
      </c>
      <c r="N10759" s="8" t="s">
        <v>45883</v>
      </c>
      <c r="O10759" s="8">
        <f>11+32/60+26.2/3600</f>
        <v>11.540611111111112</v>
      </c>
      <c r="P10759" s="8" t="s">
        <v>45884</v>
      </c>
      <c r="Q10759" s="8">
        <f>+(13+14/60+55/3600)</f>
        <v>13.24861111111111</v>
      </c>
      <c r="R10759" s="8">
        <v>99</v>
      </c>
      <c r="S10759" s="8">
        <v>99</v>
      </c>
      <c r="T10759" s="8">
        <v>99</v>
      </c>
      <c r="U10759" s="8">
        <v>99</v>
      </c>
      <c r="Y10759" s="8" t="s">
        <v>45885</v>
      </c>
      <c r="Z10759" s="8" t="s">
        <v>45886</v>
      </c>
    </row>
    <row r="10760" spans="1:26" x14ac:dyDescent="0.2">
      <c r="A10760" s="8">
        <v>10759</v>
      </c>
      <c r="B10760" s="8" t="s">
        <v>45887</v>
      </c>
      <c r="C10760" s="8" t="s">
        <v>45887</v>
      </c>
      <c r="E10760" s="8">
        <v>1</v>
      </c>
      <c r="G10760" s="8">
        <v>20</v>
      </c>
      <c r="H10760" s="8" t="s">
        <v>21</v>
      </c>
      <c r="I10760" s="8" t="s">
        <v>22</v>
      </c>
      <c r="J10760" s="8" t="s">
        <v>22</v>
      </c>
      <c r="K10760" s="8" t="s">
        <v>3523</v>
      </c>
      <c r="L10760" s="8" t="s">
        <v>13194</v>
      </c>
      <c r="M10760" s="8" t="s">
        <v>13195</v>
      </c>
      <c r="N10760" s="8" t="s">
        <v>45888</v>
      </c>
      <c r="O10760" s="8">
        <f>11+32/60+35/3600</f>
        <v>11.543055555555556</v>
      </c>
      <c r="P10760" s="8" t="s">
        <v>45889</v>
      </c>
      <c r="Q10760" s="8">
        <f>+(14+11/60+25/3600)</f>
        <v>14.190277777777778</v>
      </c>
      <c r="R10760" s="8">
        <v>15.9</v>
      </c>
      <c r="S10760" s="8">
        <v>16.5</v>
      </c>
      <c r="T10760" s="8">
        <v>0.6</v>
      </c>
      <c r="U10760" s="8">
        <v>13.4</v>
      </c>
      <c r="V10760" s="8">
        <v>0.4</v>
      </c>
      <c r="W10760" s="8">
        <v>0.3</v>
      </c>
      <c r="X10760" s="8">
        <v>50</v>
      </c>
      <c r="Y10760" s="8" t="s">
        <v>20532</v>
      </c>
      <c r="Z10760" s="8" t="s">
        <v>20533</v>
      </c>
    </row>
    <row r="10761" spans="1:26" x14ac:dyDescent="0.2">
      <c r="A10761" s="8">
        <v>10760</v>
      </c>
      <c r="B10761" s="8" t="s">
        <v>45890</v>
      </c>
      <c r="C10761" s="8" t="s">
        <v>45890</v>
      </c>
      <c r="G10761" s="8">
        <v>20</v>
      </c>
      <c r="H10761" s="8" t="s">
        <v>21</v>
      </c>
      <c r="I10761" s="8" t="s">
        <v>72</v>
      </c>
      <c r="J10761" s="8" t="s">
        <v>72</v>
      </c>
      <c r="K10761" s="8" t="s">
        <v>20</v>
      </c>
      <c r="L10761" s="8" t="s">
        <v>13194</v>
      </c>
      <c r="M10761" s="8" t="s">
        <v>13195</v>
      </c>
      <c r="N10761" s="8" t="s">
        <v>45891</v>
      </c>
      <c r="O10761" s="8">
        <f>11+32/60+49/3600</f>
        <v>11.546944444444444</v>
      </c>
      <c r="P10761" s="8" t="s">
        <v>45892</v>
      </c>
      <c r="Q10761" s="8">
        <f>+(12+33/60+26/3600)</f>
        <v>12.557222222222222</v>
      </c>
      <c r="R10761" s="8">
        <v>99</v>
      </c>
      <c r="S10761" s="8">
        <v>15</v>
      </c>
      <c r="T10761" s="8">
        <v>99</v>
      </c>
      <c r="U10761" s="8">
        <v>99</v>
      </c>
      <c r="Y10761" s="8" t="s">
        <v>45514</v>
      </c>
      <c r="Z10761" s="8" t="s">
        <v>45515</v>
      </c>
    </row>
    <row r="10762" spans="1:26" x14ac:dyDescent="0.2">
      <c r="A10762" s="8">
        <v>10761</v>
      </c>
      <c r="B10762" s="8" t="s">
        <v>45893</v>
      </c>
      <c r="C10762" s="8" t="s">
        <v>45893</v>
      </c>
      <c r="G10762" s="8">
        <v>20</v>
      </c>
      <c r="H10762" s="8" t="s">
        <v>21</v>
      </c>
      <c r="I10762" s="8" t="s">
        <v>22</v>
      </c>
      <c r="J10762" s="8" t="s">
        <v>22</v>
      </c>
      <c r="K10762" s="8" t="s">
        <v>449</v>
      </c>
      <c r="L10762" s="8" t="s">
        <v>13194</v>
      </c>
      <c r="M10762" s="8" t="s">
        <v>13195</v>
      </c>
      <c r="N10762" s="8" t="s">
        <v>45894</v>
      </c>
      <c r="O10762" s="8">
        <f>11+32/60+49.2/3600</f>
        <v>11.547000000000001</v>
      </c>
      <c r="P10762" s="8" t="s">
        <v>45895</v>
      </c>
      <c r="Q10762" s="8">
        <f>+(10+17/60+49/3600)</f>
        <v>10.296944444444444</v>
      </c>
      <c r="R10762" s="8">
        <v>16</v>
      </c>
      <c r="S10762" s="8">
        <v>16.8</v>
      </c>
      <c r="T10762" s="8">
        <v>0.8</v>
      </c>
      <c r="U10762" s="8">
        <v>13.8</v>
      </c>
      <c r="V10762" s="8">
        <v>0.5</v>
      </c>
      <c r="W10762" s="8">
        <v>0.3</v>
      </c>
      <c r="X10762" s="8">
        <v>130</v>
      </c>
      <c r="Y10762" s="8" t="s">
        <v>45896</v>
      </c>
      <c r="Z10762" s="8" t="s">
        <v>45897</v>
      </c>
    </row>
    <row r="10763" spans="1:26" x14ac:dyDescent="0.2">
      <c r="A10763" s="8">
        <v>10762</v>
      </c>
      <c r="B10763" s="8" t="s">
        <v>45898</v>
      </c>
      <c r="C10763" s="8" t="s">
        <v>45898</v>
      </c>
      <c r="G10763" s="8">
        <v>20</v>
      </c>
      <c r="H10763" s="8" t="s">
        <v>21</v>
      </c>
      <c r="I10763" s="8" t="s">
        <v>72</v>
      </c>
      <c r="J10763" s="8" t="s">
        <v>72</v>
      </c>
      <c r="K10763" s="8" t="s">
        <v>20</v>
      </c>
      <c r="L10763" s="8" t="s">
        <v>13194</v>
      </c>
      <c r="M10763" s="8" t="s">
        <v>13195</v>
      </c>
      <c r="N10763" s="8" t="s">
        <v>45899</v>
      </c>
      <c r="O10763" s="8">
        <f>11+32/60+51.3/3600</f>
        <v>11.547583333333334</v>
      </c>
      <c r="P10763" s="8" t="s">
        <v>36532</v>
      </c>
      <c r="Q10763" s="8">
        <f>+(12+55/60+21/3600)</f>
        <v>12.922499999999999</v>
      </c>
      <c r="R10763" s="8">
        <v>99</v>
      </c>
      <c r="S10763" s="8">
        <v>99</v>
      </c>
      <c r="T10763" s="8">
        <v>99</v>
      </c>
      <c r="U10763" s="8">
        <v>99</v>
      </c>
      <c r="Y10763" s="8" t="s">
        <v>8732</v>
      </c>
      <c r="Z10763" s="8" t="s">
        <v>8733</v>
      </c>
    </row>
    <row r="10764" spans="1:26" x14ac:dyDescent="0.2">
      <c r="A10764" s="8">
        <v>10763</v>
      </c>
      <c r="B10764" s="8" t="s">
        <v>45900</v>
      </c>
      <c r="C10764" s="8" t="s">
        <v>45900</v>
      </c>
      <c r="G10764" s="8">
        <v>20</v>
      </c>
      <c r="H10764" s="8" t="s">
        <v>21</v>
      </c>
      <c r="I10764" s="8" t="s">
        <v>22</v>
      </c>
      <c r="J10764" s="8" t="s">
        <v>22</v>
      </c>
      <c r="K10764" s="8" t="s">
        <v>460</v>
      </c>
      <c r="L10764" s="8" t="s">
        <v>13194</v>
      </c>
      <c r="M10764" s="8" t="s">
        <v>13195</v>
      </c>
      <c r="N10764" s="8" t="s">
        <v>45901</v>
      </c>
      <c r="O10764" s="8">
        <f>11+32/60+53.7/3600</f>
        <v>11.548249999999999</v>
      </c>
      <c r="P10764" s="8" t="s">
        <v>20646</v>
      </c>
      <c r="Q10764" s="8">
        <f>+(13+9/60+50/3600)</f>
        <v>13.16388888888889</v>
      </c>
      <c r="R10764" s="8">
        <v>15.5</v>
      </c>
      <c r="S10764" s="8">
        <v>16.5</v>
      </c>
      <c r="T10764" s="8">
        <v>1</v>
      </c>
      <c r="U10764" s="8">
        <v>12.1</v>
      </c>
      <c r="V10764" s="8">
        <v>0.2</v>
      </c>
      <c r="W10764" s="8">
        <v>0.2</v>
      </c>
      <c r="Y10764" s="8" t="s">
        <v>45902</v>
      </c>
      <c r="Z10764" s="8" t="s">
        <v>45903</v>
      </c>
    </row>
    <row r="10765" spans="1:26" x14ac:dyDescent="0.2">
      <c r="A10765" s="8">
        <v>10764</v>
      </c>
      <c r="B10765" s="8" t="s">
        <v>45904</v>
      </c>
      <c r="C10765" s="8" t="s">
        <v>45904</v>
      </c>
      <c r="G10765" s="8">
        <v>20</v>
      </c>
      <c r="H10765" s="8" t="s">
        <v>21</v>
      </c>
      <c r="I10765" s="8" t="s">
        <v>72</v>
      </c>
      <c r="J10765" s="8" t="s">
        <v>72</v>
      </c>
      <c r="K10765" s="8" t="s">
        <v>20</v>
      </c>
      <c r="L10765" s="8" t="s">
        <v>13194</v>
      </c>
      <c r="M10765" s="8" t="s">
        <v>13195</v>
      </c>
      <c r="N10765" s="8" t="s">
        <v>45905</v>
      </c>
      <c r="O10765" s="8">
        <f>11+32/60+52.3/3600</f>
        <v>11.547861111111111</v>
      </c>
      <c r="P10765" s="8" t="s">
        <v>45906</v>
      </c>
      <c r="Q10765" s="8">
        <f>+(9+1/60+26/3600)</f>
        <v>9.0238888888888891</v>
      </c>
      <c r="R10765" s="8">
        <v>99</v>
      </c>
      <c r="S10765" s="8">
        <v>99</v>
      </c>
      <c r="T10765" s="8">
        <v>99</v>
      </c>
      <c r="U10765" s="8">
        <v>99</v>
      </c>
      <c r="Y10765" s="8" t="s">
        <v>45907</v>
      </c>
      <c r="Z10765" s="8" t="s">
        <v>45908</v>
      </c>
    </row>
    <row r="10766" spans="1:26" x14ac:dyDescent="0.2">
      <c r="A10766" s="8">
        <v>10765</v>
      </c>
      <c r="B10766" s="8" t="s">
        <v>45909</v>
      </c>
      <c r="C10766" s="8" t="s">
        <v>45909</v>
      </c>
      <c r="G10766" s="8">
        <v>20</v>
      </c>
      <c r="H10766" s="8" t="s">
        <v>21</v>
      </c>
      <c r="I10766" s="8" t="s">
        <v>22</v>
      </c>
      <c r="J10766" s="8" t="s">
        <v>22</v>
      </c>
      <c r="K10766" s="8" t="s">
        <v>449</v>
      </c>
      <c r="L10766" s="8" t="s">
        <v>12015</v>
      </c>
      <c r="M10766" s="8" t="s">
        <v>12016</v>
      </c>
      <c r="N10766" s="8" t="s">
        <v>45910</v>
      </c>
      <c r="O10766" s="8">
        <f>11+33/60+13.2/3600</f>
        <v>11.553666666666667</v>
      </c>
      <c r="P10766" s="8" t="s">
        <v>45911</v>
      </c>
      <c r="Q10766" s="8">
        <f>+(34+15/60+56/3600)</f>
        <v>34.265555555555558</v>
      </c>
      <c r="R10766" s="8">
        <v>14.9</v>
      </c>
      <c r="S10766" s="8">
        <v>15.7</v>
      </c>
      <c r="T10766" s="8">
        <v>0.8</v>
      </c>
      <c r="U10766" s="8">
        <v>12.3</v>
      </c>
      <c r="V10766" s="8">
        <v>0.5</v>
      </c>
      <c r="W10766" s="8">
        <v>0.2</v>
      </c>
      <c r="X10766" s="8">
        <v>15</v>
      </c>
      <c r="Y10766" s="8" t="s">
        <v>45912</v>
      </c>
      <c r="Z10766" s="8" t="s">
        <v>45913</v>
      </c>
    </row>
    <row r="10767" spans="1:26" x14ac:dyDescent="0.2">
      <c r="A10767" s="8">
        <v>10766</v>
      </c>
      <c r="B10767" s="8" t="s">
        <v>45914</v>
      </c>
      <c r="C10767" s="8" t="s">
        <v>45914</v>
      </c>
      <c r="G10767" s="8">
        <v>20</v>
      </c>
      <c r="H10767" s="8" t="s">
        <v>21</v>
      </c>
      <c r="I10767" s="8" t="s">
        <v>72</v>
      </c>
      <c r="J10767" s="8" t="s">
        <v>72</v>
      </c>
      <c r="K10767" s="8" t="s">
        <v>20</v>
      </c>
      <c r="L10767" s="8" t="s">
        <v>13194</v>
      </c>
      <c r="M10767" s="8" t="s">
        <v>13195</v>
      </c>
      <c r="N10767" s="8" t="s">
        <v>45915</v>
      </c>
      <c r="O10767" s="8">
        <f>11+33/60+4.7/3600</f>
        <v>11.551305555555556</v>
      </c>
      <c r="P10767" s="8" t="s">
        <v>45916</v>
      </c>
      <c r="Q10767" s="8">
        <f>+(12+26/60+13/3600)</f>
        <v>12.436944444444444</v>
      </c>
      <c r="R10767" s="8">
        <v>99</v>
      </c>
      <c r="S10767" s="8">
        <v>99</v>
      </c>
      <c r="T10767" s="8">
        <v>99</v>
      </c>
      <c r="U10767" s="8">
        <v>99</v>
      </c>
      <c r="Y10767" s="8" t="s">
        <v>45917</v>
      </c>
      <c r="Z10767" s="8" t="s">
        <v>45918</v>
      </c>
    </row>
    <row r="10768" spans="1:26" x14ac:dyDescent="0.2">
      <c r="A10768" s="8">
        <v>10767</v>
      </c>
      <c r="B10768" s="8" t="s">
        <v>45919</v>
      </c>
      <c r="C10768" s="8" t="s">
        <v>45919</v>
      </c>
      <c r="G10768" s="8">
        <v>20</v>
      </c>
      <c r="H10768" s="8" t="s">
        <v>21</v>
      </c>
      <c r="I10768" s="8" t="s">
        <v>72</v>
      </c>
      <c r="J10768" s="8" t="s">
        <v>72</v>
      </c>
      <c r="K10768" s="8" t="s">
        <v>20</v>
      </c>
      <c r="L10768" s="8" t="s">
        <v>13194</v>
      </c>
      <c r="M10768" s="8" t="s">
        <v>13195</v>
      </c>
      <c r="N10768" s="8" t="s">
        <v>45920</v>
      </c>
      <c r="O10768" s="8">
        <f>11+33/60+4.9/3600</f>
        <v>11.551361111111111</v>
      </c>
      <c r="P10768" s="8" t="s">
        <v>45921</v>
      </c>
      <c r="Q10768" s="8">
        <f>+(13+5/60+7/3600)</f>
        <v>13.085277777777778</v>
      </c>
      <c r="R10768" s="8">
        <v>99</v>
      </c>
      <c r="S10768" s="8">
        <v>99</v>
      </c>
      <c r="T10768" s="8">
        <v>99</v>
      </c>
      <c r="U10768" s="8">
        <v>99</v>
      </c>
      <c r="Y10768" s="8" t="s">
        <v>3932</v>
      </c>
      <c r="Z10768" s="8" t="s">
        <v>3933</v>
      </c>
    </row>
    <row r="10769" spans="1:26" x14ac:dyDescent="0.2">
      <c r="A10769" s="8">
        <v>10768</v>
      </c>
      <c r="B10769" s="8" t="s">
        <v>45922</v>
      </c>
      <c r="C10769" s="8" t="s">
        <v>45922</v>
      </c>
      <c r="G10769" s="8">
        <v>20</v>
      </c>
      <c r="H10769" s="8" t="s">
        <v>21</v>
      </c>
      <c r="I10769" s="8" t="s">
        <v>22</v>
      </c>
      <c r="J10769" s="8" t="s">
        <v>22</v>
      </c>
      <c r="K10769" s="8" t="s">
        <v>396</v>
      </c>
      <c r="L10769" s="8" t="s">
        <v>12015</v>
      </c>
      <c r="M10769" s="8" t="s">
        <v>12016</v>
      </c>
      <c r="N10769" s="8" t="s">
        <v>45923</v>
      </c>
      <c r="O10769" s="8">
        <f>11+33/60+29.9/3600</f>
        <v>11.558305555555556</v>
      </c>
      <c r="P10769" s="8" t="s">
        <v>45924</v>
      </c>
      <c r="Q10769" s="8">
        <f>+(34+18/60+58/3600)</f>
        <v>34.316111111111105</v>
      </c>
      <c r="R10769" s="8">
        <v>13.7</v>
      </c>
      <c r="S10769" s="8">
        <v>14.5</v>
      </c>
      <c r="T10769" s="8">
        <v>0.8</v>
      </c>
      <c r="U10769" s="8">
        <v>13.5</v>
      </c>
      <c r="V10769" s="8">
        <v>1.1000000000000001</v>
      </c>
      <c r="W10769" s="8">
        <v>0.9</v>
      </c>
      <c r="X10769" s="8">
        <v>143</v>
      </c>
      <c r="Y10769" s="8" t="s">
        <v>44282</v>
      </c>
      <c r="Z10769" s="8" t="s">
        <v>44283</v>
      </c>
    </row>
    <row r="10770" spans="1:26" x14ac:dyDescent="0.2">
      <c r="A10770" s="8">
        <v>10769</v>
      </c>
      <c r="B10770" s="8" t="s">
        <v>45925</v>
      </c>
      <c r="C10770" s="8" t="s">
        <v>45925</v>
      </c>
      <c r="G10770" s="8">
        <v>20</v>
      </c>
      <c r="H10770" s="8" t="s">
        <v>21</v>
      </c>
      <c r="I10770" s="8" t="s">
        <v>22</v>
      </c>
      <c r="J10770" s="8" t="s">
        <v>22</v>
      </c>
      <c r="K10770" s="8" t="s">
        <v>4219</v>
      </c>
      <c r="L10770" s="8" t="s">
        <v>13194</v>
      </c>
      <c r="M10770" s="8" t="s">
        <v>13195</v>
      </c>
      <c r="N10770" s="8" t="s">
        <v>45926</v>
      </c>
      <c r="O10770" s="8">
        <f>11+33/60+31.4/3600</f>
        <v>11.558722222222222</v>
      </c>
      <c r="P10770" s="8" t="s">
        <v>45927</v>
      </c>
      <c r="Q10770" s="8">
        <f>+(12+8/60+12/3600)</f>
        <v>12.136666666666667</v>
      </c>
      <c r="R10770" s="8">
        <v>15.9</v>
      </c>
      <c r="S10770" s="8">
        <v>16.5</v>
      </c>
      <c r="T10770" s="8">
        <v>0.6</v>
      </c>
      <c r="U10770" s="8">
        <v>14.2</v>
      </c>
      <c r="V10770" s="8">
        <v>0.5</v>
      </c>
      <c r="W10770" s="8">
        <v>0.5</v>
      </c>
      <c r="Y10770" s="8" t="s">
        <v>40926</v>
      </c>
      <c r="Z10770" s="8" t="s">
        <v>40927</v>
      </c>
    </row>
    <row r="10771" spans="1:26" x14ac:dyDescent="0.2">
      <c r="A10771" s="8">
        <v>10770</v>
      </c>
      <c r="B10771" s="8" t="s">
        <v>45928</v>
      </c>
      <c r="C10771" s="8" t="s">
        <v>45928</v>
      </c>
      <c r="G10771" s="8">
        <v>20</v>
      </c>
      <c r="H10771" s="8" t="s">
        <v>21</v>
      </c>
      <c r="I10771" s="8" t="s">
        <v>22</v>
      </c>
      <c r="J10771" s="8" t="s">
        <v>22</v>
      </c>
      <c r="K10771" s="8" t="s">
        <v>449</v>
      </c>
      <c r="L10771" s="8" t="s">
        <v>13194</v>
      </c>
      <c r="M10771" s="8" t="s">
        <v>13195</v>
      </c>
      <c r="N10771" s="8" t="s">
        <v>45929</v>
      </c>
      <c r="O10771" s="8">
        <f>11+33/60+44.1/3600</f>
        <v>11.562250000000001</v>
      </c>
      <c r="P10771" s="8" t="s">
        <v>45930</v>
      </c>
      <c r="Q10771" s="8">
        <f>+(10+5/60+19/3600)</f>
        <v>10.088611111111112</v>
      </c>
      <c r="R10771" s="8">
        <v>14.9</v>
      </c>
      <c r="S10771" s="8">
        <v>15.7</v>
      </c>
      <c r="T10771" s="8">
        <v>0.8</v>
      </c>
      <c r="U10771" s="8">
        <v>12.3</v>
      </c>
      <c r="V10771" s="8">
        <v>0.5</v>
      </c>
      <c r="W10771" s="8">
        <v>0.2</v>
      </c>
      <c r="X10771" s="8">
        <v>60</v>
      </c>
      <c r="Y10771" s="8" t="s">
        <v>21</v>
      </c>
      <c r="Z10771" s="8" t="s">
        <v>45931</v>
      </c>
    </row>
    <row r="10772" spans="1:26" x14ac:dyDescent="0.2">
      <c r="A10772" s="8">
        <v>10771</v>
      </c>
      <c r="B10772" s="8" t="s">
        <v>45932</v>
      </c>
      <c r="C10772" s="8" t="s">
        <v>45932</v>
      </c>
      <c r="G10772" s="8">
        <v>20</v>
      </c>
      <c r="H10772" s="8" t="s">
        <v>21</v>
      </c>
      <c r="I10772" s="8" t="s">
        <v>72</v>
      </c>
      <c r="J10772" s="8" t="s">
        <v>72</v>
      </c>
      <c r="K10772" s="8" t="s">
        <v>20</v>
      </c>
      <c r="L10772" s="8" t="s">
        <v>13194</v>
      </c>
      <c r="M10772" s="8" t="s">
        <v>13195</v>
      </c>
      <c r="N10772" s="8" t="s">
        <v>45933</v>
      </c>
      <c r="O10772" s="8">
        <f>11+33/60+50.6/3600</f>
        <v>11.564055555555557</v>
      </c>
      <c r="P10772" s="8" t="s">
        <v>45934</v>
      </c>
      <c r="Q10772" s="8">
        <f>+(12+28/60+0/3600)</f>
        <v>12.466666666666667</v>
      </c>
      <c r="R10772" s="8">
        <v>99</v>
      </c>
      <c r="S10772" s="8">
        <v>99</v>
      </c>
      <c r="T10772" s="8">
        <v>99</v>
      </c>
      <c r="U10772" s="8">
        <v>99</v>
      </c>
      <c r="Y10772" s="8" t="s">
        <v>21</v>
      </c>
      <c r="Z10772" s="8" t="s">
        <v>45935</v>
      </c>
    </row>
    <row r="10773" spans="1:26" x14ac:dyDescent="0.2">
      <c r="A10773" s="8">
        <v>10772</v>
      </c>
      <c r="B10773" s="8" t="s">
        <v>45936</v>
      </c>
      <c r="C10773" s="8" t="s">
        <v>45936</v>
      </c>
      <c r="G10773" s="8">
        <v>20</v>
      </c>
      <c r="H10773" s="8" t="s">
        <v>21</v>
      </c>
      <c r="I10773" s="8" t="s">
        <v>72</v>
      </c>
      <c r="J10773" s="8" t="s">
        <v>72</v>
      </c>
      <c r="K10773" s="8" t="s">
        <v>73</v>
      </c>
      <c r="L10773" s="8" t="s">
        <v>13194</v>
      </c>
      <c r="M10773" s="8" t="s">
        <v>13195</v>
      </c>
      <c r="N10773" s="8" t="s">
        <v>45937</v>
      </c>
      <c r="O10773" s="8">
        <f>11+33/60+53.5/3600</f>
        <v>11.564861111111112</v>
      </c>
      <c r="P10773" s="8" t="s">
        <v>45938</v>
      </c>
      <c r="Q10773" s="8">
        <f>+(10+32/60+38/3600)</f>
        <v>10.543888888888889</v>
      </c>
      <c r="R10773" s="8">
        <v>99</v>
      </c>
      <c r="S10773" s="8">
        <v>99</v>
      </c>
      <c r="T10773" s="8">
        <v>99</v>
      </c>
      <c r="U10773" s="8">
        <v>99</v>
      </c>
      <c r="Y10773" s="8" t="s">
        <v>121</v>
      </c>
      <c r="Z10773" s="8" t="s">
        <v>122</v>
      </c>
    </row>
    <row r="10774" spans="1:26" x14ac:dyDescent="0.2">
      <c r="A10774" s="8">
        <v>10773</v>
      </c>
      <c r="B10774" s="8" t="s">
        <v>45939</v>
      </c>
      <c r="C10774" s="8" t="s">
        <v>45939</v>
      </c>
      <c r="G10774" s="8">
        <v>20</v>
      </c>
      <c r="H10774" s="8" t="s">
        <v>21</v>
      </c>
      <c r="I10774" s="8" t="s">
        <v>22</v>
      </c>
      <c r="J10774" s="8" t="s">
        <v>22</v>
      </c>
      <c r="K10774" s="8" t="s">
        <v>406</v>
      </c>
      <c r="L10774" s="8" t="s">
        <v>12015</v>
      </c>
      <c r="M10774" s="8" t="s">
        <v>12016</v>
      </c>
      <c r="N10774" s="8" t="s">
        <v>45940</v>
      </c>
      <c r="O10774" s="8">
        <f>11+34/60+12.7/3600</f>
        <v>11.570194444444445</v>
      </c>
      <c r="P10774" s="8" t="s">
        <v>45941</v>
      </c>
      <c r="Q10774" s="8">
        <f>+(34+18/60+46/3600)</f>
        <v>34.312777777777775</v>
      </c>
      <c r="R10774" s="8">
        <v>14.3</v>
      </c>
      <c r="S10774" s="8">
        <v>15.1</v>
      </c>
      <c r="T10774" s="8">
        <v>0.8</v>
      </c>
      <c r="U10774" s="8">
        <v>13.4</v>
      </c>
      <c r="V10774" s="8">
        <v>1.3</v>
      </c>
      <c r="W10774" s="8">
        <v>0.4</v>
      </c>
      <c r="X10774" s="8">
        <v>8</v>
      </c>
      <c r="Y10774" s="8" t="s">
        <v>45942</v>
      </c>
      <c r="Z10774" s="8" t="s">
        <v>45943</v>
      </c>
    </row>
    <row r="10775" spans="1:26" x14ac:dyDescent="0.2">
      <c r="A10775" s="8">
        <v>10774</v>
      </c>
      <c r="B10775" s="8" t="s">
        <v>45944</v>
      </c>
      <c r="C10775" s="8" t="s">
        <v>45944</v>
      </c>
      <c r="G10775" s="8">
        <v>20</v>
      </c>
      <c r="H10775" s="8" t="s">
        <v>21</v>
      </c>
      <c r="I10775" s="8" t="s">
        <v>22</v>
      </c>
      <c r="J10775" s="8" t="s">
        <v>22</v>
      </c>
      <c r="K10775" s="8" t="s">
        <v>160</v>
      </c>
      <c r="L10775" s="8" t="s">
        <v>13194</v>
      </c>
      <c r="M10775" s="8" t="s">
        <v>13195</v>
      </c>
      <c r="N10775" s="8" t="s">
        <v>45945</v>
      </c>
      <c r="O10775" s="8">
        <f>11+34/60+19.6/3600</f>
        <v>11.572111111111111</v>
      </c>
      <c r="P10775" s="8" t="s">
        <v>45946</v>
      </c>
      <c r="Q10775" s="8">
        <f>+(13+19/60+17/3600)</f>
        <v>13.321388888888889</v>
      </c>
      <c r="R10775" s="8">
        <v>15.3</v>
      </c>
      <c r="S10775" s="8">
        <v>16</v>
      </c>
      <c r="T10775" s="8">
        <v>0.7</v>
      </c>
      <c r="U10775" s="8">
        <v>13.4</v>
      </c>
      <c r="V10775" s="8">
        <v>0.5</v>
      </c>
      <c r="W10775" s="8">
        <v>0.3</v>
      </c>
      <c r="X10775" s="8">
        <v>159</v>
      </c>
      <c r="Y10775" s="8" t="s">
        <v>21</v>
      </c>
      <c r="Z10775" s="8" t="s">
        <v>45947</v>
      </c>
    </row>
    <row r="10776" spans="1:26" x14ac:dyDescent="0.2">
      <c r="A10776" s="8">
        <v>10775</v>
      </c>
      <c r="B10776" s="8" t="s">
        <v>45948</v>
      </c>
      <c r="C10776" s="8" t="s">
        <v>45948</v>
      </c>
      <c r="G10776" s="8">
        <v>20</v>
      </c>
      <c r="H10776" s="8" t="s">
        <v>21</v>
      </c>
      <c r="I10776" s="8" t="s">
        <v>329</v>
      </c>
      <c r="J10776" s="8" t="s">
        <v>329</v>
      </c>
      <c r="K10776" s="8" t="s">
        <v>329</v>
      </c>
      <c r="L10776" s="8" t="s">
        <v>13194</v>
      </c>
      <c r="M10776" s="8" t="s">
        <v>13195</v>
      </c>
      <c r="N10776" s="8" t="s">
        <v>45949</v>
      </c>
      <c r="O10776" s="8">
        <f>11+34/60+48.6/3600</f>
        <v>11.580166666666667</v>
      </c>
      <c r="P10776" s="8" t="s">
        <v>45950</v>
      </c>
      <c r="Q10776" s="8">
        <f>+(10+15/60+0/3600)</f>
        <v>10.25</v>
      </c>
      <c r="R10776" s="8">
        <v>99</v>
      </c>
      <c r="S10776" s="8">
        <v>99</v>
      </c>
      <c r="T10776" s="8">
        <v>99</v>
      </c>
      <c r="U10776" s="8">
        <v>99</v>
      </c>
      <c r="Y10776" s="8" t="s">
        <v>45951</v>
      </c>
      <c r="Z10776" s="8" t="s">
        <v>45952</v>
      </c>
    </row>
    <row r="10777" spans="1:26" x14ac:dyDescent="0.2">
      <c r="A10777" s="8">
        <v>10776</v>
      </c>
      <c r="B10777" s="8" t="s">
        <v>45953</v>
      </c>
      <c r="C10777" s="8" t="s">
        <v>45953</v>
      </c>
      <c r="G10777" s="8">
        <v>20</v>
      </c>
      <c r="H10777" s="8" t="s">
        <v>21</v>
      </c>
      <c r="I10777" s="8" t="s">
        <v>22</v>
      </c>
      <c r="J10777" s="8" t="s">
        <v>22</v>
      </c>
      <c r="K10777" s="8" t="s">
        <v>424</v>
      </c>
      <c r="L10777" s="8" t="s">
        <v>13194</v>
      </c>
      <c r="M10777" s="8" t="s">
        <v>13195</v>
      </c>
      <c r="N10777" s="8" t="s">
        <v>45954</v>
      </c>
      <c r="O10777" s="8">
        <f>11+34/60+56.9/3600</f>
        <v>11.582472222222222</v>
      </c>
      <c r="P10777" s="8" t="s">
        <v>20081</v>
      </c>
      <c r="Q10777" s="8">
        <f>+(13+0/60+31/3600)</f>
        <v>13.008611111111112</v>
      </c>
      <c r="R10777" s="8">
        <v>14.5</v>
      </c>
      <c r="S10777" s="8">
        <v>15.5</v>
      </c>
      <c r="T10777" s="8">
        <v>1</v>
      </c>
      <c r="U10777" s="8">
        <v>10.9</v>
      </c>
      <c r="V10777" s="8">
        <v>0.2</v>
      </c>
      <c r="W10777" s="8">
        <v>0.2</v>
      </c>
      <c r="Y10777" s="8" t="s">
        <v>2641</v>
      </c>
      <c r="Z10777" s="8" t="s">
        <v>2642</v>
      </c>
    </row>
    <row r="10778" spans="1:26" x14ac:dyDescent="0.2">
      <c r="A10778" s="8">
        <v>10777</v>
      </c>
      <c r="B10778" s="8" t="s">
        <v>45955</v>
      </c>
      <c r="C10778" s="8" t="s">
        <v>45955</v>
      </c>
      <c r="G10778" s="8">
        <v>20</v>
      </c>
      <c r="H10778" s="8" t="s">
        <v>21</v>
      </c>
      <c r="I10778" s="8" t="s">
        <v>72</v>
      </c>
      <c r="J10778" s="8" t="s">
        <v>72</v>
      </c>
      <c r="K10778" s="8" t="s">
        <v>20</v>
      </c>
      <c r="L10778" s="8" t="s">
        <v>13194</v>
      </c>
      <c r="M10778" s="8" t="s">
        <v>13195</v>
      </c>
      <c r="N10778" s="8" t="s">
        <v>45956</v>
      </c>
      <c r="O10778" s="8">
        <f>11+35/60+3.4/3600</f>
        <v>11.584277777777778</v>
      </c>
      <c r="P10778" s="8" t="s">
        <v>45957</v>
      </c>
      <c r="Q10778" s="8">
        <f>+(10+6/60+14/3600)</f>
        <v>10.103888888888889</v>
      </c>
      <c r="R10778" s="8">
        <v>99</v>
      </c>
      <c r="S10778" s="8">
        <v>99</v>
      </c>
      <c r="T10778" s="8">
        <v>99</v>
      </c>
      <c r="U10778" s="8">
        <v>99</v>
      </c>
      <c r="Y10778" s="8" t="s">
        <v>2641</v>
      </c>
      <c r="Z10778" s="8" t="s">
        <v>2642</v>
      </c>
    </row>
    <row r="10779" spans="1:26" x14ac:dyDescent="0.2">
      <c r="A10779" s="8">
        <v>10778</v>
      </c>
      <c r="B10779" s="8" t="s">
        <v>45958</v>
      </c>
      <c r="C10779" s="8" t="s">
        <v>45958</v>
      </c>
      <c r="E10779" s="8">
        <v>1</v>
      </c>
      <c r="G10779" s="8">
        <v>20</v>
      </c>
      <c r="H10779" s="8" t="s">
        <v>21</v>
      </c>
      <c r="I10779" s="8" t="s">
        <v>22</v>
      </c>
      <c r="J10779" s="8" t="s">
        <v>22</v>
      </c>
      <c r="K10779" s="8" t="s">
        <v>449</v>
      </c>
      <c r="L10779" s="8" t="s">
        <v>13194</v>
      </c>
      <c r="M10779" s="8" t="s">
        <v>13195</v>
      </c>
      <c r="N10779" s="8" t="s">
        <v>45959</v>
      </c>
      <c r="O10779" s="8">
        <f>11+35/60+36.3/3600</f>
        <v>11.593416666666668</v>
      </c>
      <c r="P10779" s="8" t="s">
        <v>45960</v>
      </c>
      <c r="Q10779" s="8">
        <f>+(13+40/60+48/3600)</f>
        <v>13.68</v>
      </c>
      <c r="R10779" s="8">
        <v>14.2</v>
      </c>
      <c r="S10779" s="8">
        <v>15</v>
      </c>
      <c r="T10779" s="8">
        <v>0.8</v>
      </c>
      <c r="U10779" s="8">
        <v>12.9</v>
      </c>
      <c r="V10779" s="8">
        <v>0.6</v>
      </c>
      <c r="W10779" s="8">
        <v>0.6</v>
      </c>
      <c r="Y10779" s="8" t="s">
        <v>45961</v>
      </c>
      <c r="Z10779" s="8" t="s">
        <v>45962</v>
      </c>
    </row>
    <row r="10780" spans="1:26" x14ac:dyDescent="0.2">
      <c r="A10780" s="8">
        <v>10779</v>
      </c>
      <c r="B10780" s="8" t="s">
        <v>45963</v>
      </c>
      <c r="C10780" s="8" t="s">
        <v>45963</v>
      </c>
      <c r="G10780" s="8">
        <v>20</v>
      </c>
      <c r="H10780" s="8" t="s">
        <v>21</v>
      </c>
      <c r="I10780" s="8" t="s">
        <v>72</v>
      </c>
      <c r="J10780" s="8" t="s">
        <v>72</v>
      </c>
      <c r="K10780" s="8" t="s">
        <v>20</v>
      </c>
      <c r="L10780" s="8" t="s">
        <v>13194</v>
      </c>
      <c r="M10780" s="8" t="s">
        <v>13195</v>
      </c>
      <c r="N10780" s="8" t="s">
        <v>45964</v>
      </c>
      <c r="O10780" s="8">
        <f>11+35/60+38/3600</f>
        <v>11.593888888888889</v>
      </c>
      <c r="P10780" s="8" t="s">
        <v>45965</v>
      </c>
      <c r="Q10780" s="8">
        <f>+(10+41/60+50/3600)</f>
        <v>10.697222222222223</v>
      </c>
      <c r="R10780" s="8">
        <v>99</v>
      </c>
      <c r="S10780" s="8">
        <v>15.2</v>
      </c>
      <c r="T10780" s="8">
        <v>99</v>
      </c>
      <c r="U10780" s="8">
        <v>99</v>
      </c>
      <c r="Y10780" s="8" t="s">
        <v>11841</v>
      </c>
      <c r="Z10780" s="8" t="s">
        <v>11842</v>
      </c>
    </row>
    <row r="10781" spans="1:26" x14ac:dyDescent="0.2">
      <c r="A10781" s="8">
        <v>10780</v>
      </c>
      <c r="B10781" s="8" t="s">
        <v>45966</v>
      </c>
      <c r="C10781" s="8" t="s">
        <v>45966</v>
      </c>
      <c r="G10781" s="8">
        <v>20</v>
      </c>
      <c r="H10781" s="8" t="s">
        <v>21</v>
      </c>
      <c r="I10781" s="8" t="s">
        <v>329</v>
      </c>
      <c r="J10781" s="8" t="s">
        <v>329</v>
      </c>
      <c r="K10781" s="8" t="s">
        <v>329</v>
      </c>
      <c r="L10781" s="8" t="s">
        <v>13194</v>
      </c>
      <c r="M10781" s="8" t="s">
        <v>13195</v>
      </c>
      <c r="N10781" s="8" t="s">
        <v>45967</v>
      </c>
      <c r="O10781" s="8">
        <f>11+36/60+2.7/3600</f>
        <v>11.60075</v>
      </c>
      <c r="P10781" s="8" t="s">
        <v>45968</v>
      </c>
      <c r="Q10781" s="8">
        <f>+(21+57/60+42/3600)</f>
        <v>21.961666666666666</v>
      </c>
      <c r="R10781" s="8">
        <v>99</v>
      </c>
      <c r="S10781" s="8">
        <v>99</v>
      </c>
      <c r="T10781" s="8">
        <v>99</v>
      </c>
      <c r="U10781" s="8">
        <v>99</v>
      </c>
      <c r="Y10781" s="8" t="s">
        <v>21</v>
      </c>
      <c r="Z10781" s="8" t="s">
        <v>45969</v>
      </c>
    </row>
    <row r="10782" spans="1:26" x14ac:dyDescent="0.2">
      <c r="A10782" s="8">
        <v>10781</v>
      </c>
      <c r="B10782" s="8" t="s">
        <v>45970</v>
      </c>
      <c r="C10782" s="8" t="s">
        <v>45970</v>
      </c>
      <c r="G10782" s="8">
        <v>20</v>
      </c>
      <c r="H10782" s="8" t="s">
        <v>21</v>
      </c>
      <c r="I10782" s="8" t="s">
        <v>22</v>
      </c>
      <c r="J10782" s="8" t="s">
        <v>22</v>
      </c>
      <c r="K10782" s="8" t="s">
        <v>476</v>
      </c>
      <c r="L10782" s="8" t="s">
        <v>13194</v>
      </c>
      <c r="M10782" s="8" t="s">
        <v>13195</v>
      </c>
      <c r="N10782" s="8" t="s">
        <v>45971</v>
      </c>
      <c r="O10782" s="8">
        <f>11+36/60+10/3600</f>
        <v>11.602777777777778</v>
      </c>
      <c r="P10782" s="8" t="s">
        <v>45972</v>
      </c>
      <c r="Q10782" s="8">
        <f>+(10+3/60+21/3600)</f>
        <v>10.055833333333334</v>
      </c>
      <c r="R10782" s="8">
        <v>13.7</v>
      </c>
      <c r="S10782" s="8">
        <v>14.6</v>
      </c>
      <c r="T10782" s="8">
        <v>0.9</v>
      </c>
      <c r="U10782" s="8">
        <v>13.2</v>
      </c>
      <c r="V10782" s="8">
        <v>0.9</v>
      </c>
      <c r="W10782" s="8">
        <v>0.8</v>
      </c>
      <c r="X10782" s="8">
        <v>72</v>
      </c>
      <c r="Y10782" s="8" t="s">
        <v>21</v>
      </c>
      <c r="Z10782" s="8" t="s">
        <v>45973</v>
      </c>
    </row>
    <row r="10783" spans="1:26" x14ac:dyDescent="0.2">
      <c r="A10783" s="8">
        <v>10782</v>
      </c>
      <c r="B10783" s="8" t="s">
        <v>45974</v>
      </c>
      <c r="C10783" s="8" t="s">
        <v>45974</v>
      </c>
      <c r="G10783" s="8">
        <v>20</v>
      </c>
      <c r="H10783" s="8" t="s">
        <v>21</v>
      </c>
      <c r="I10783" s="8" t="s">
        <v>22</v>
      </c>
      <c r="J10783" s="8" t="s">
        <v>22</v>
      </c>
      <c r="K10783" s="8" t="s">
        <v>17644</v>
      </c>
      <c r="L10783" s="8" t="s">
        <v>13194</v>
      </c>
      <c r="M10783" s="8" t="s">
        <v>13195</v>
      </c>
      <c r="N10783" s="8" t="s">
        <v>45975</v>
      </c>
      <c r="O10783" s="8">
        <f>11+36/60+12/3600</f>
        <v>11.603333333333333</v>
      </c>
      <c r="P10783" s="8" t="s">
        <v>45976</v>
      </c>
      <c r="Q10783" s="8">
        <f>+(11+48/60+55/3600)</f>
        <v>11.815277777777778</v>
      </c>
      <c r="R10783" s="8">
        <v>15.4</v>
      </c>
      <c r="S10783" s="8">
        <v>16</v>
      </c>
      <c r="T10783" s="8">
        <v>0.6</v>
      </c>
      <c r="U10783" s="8">
        <v>12.5</v>
      </c>
      <c r="V10783" s="8">
        <v>0.4</v>
      </c>
      <c r="W10783" s="8">
        <v>0.2</v>
      </c>
      <c r="X10783" s="8">
        <v>80</v>
      </c>
      <c r="Y10783" s="8" t="s">
        <v>3812</v>
      </c>
      <c r="Z10783" s="8" t="s">
        <v>3813</v>
      </c>
    </row>
    <row r="10784" spans="1:26" x14ac:dyDescent="0.2">
      <c r="A10784" s="8">
        <v>10783</v>
      </c>
      <c r="B10784" s="8" t="s">
        <v>45977</v>
      </c>
      <c r="C10784" s="8" t="s">
        <v>45977</v>
      </c>
      <c r="G10784" s="8">
        <v>20</v>
      </c>
      <c r="H10784" s="8" t="s">
        <v>21</v>
      </c>
      <c r="I10784" s="8" t="s">
        <v>22</v>
      </c>
      <c r="J10784" s="8" t="s">
        <v>22</v>
      </c>
      <c r="K10784" s="8" t="s">
        <v>91</v>
      </c>
      <c r="L10784" s="8" t="s">
        <v>12015</v>
      </c>
      <c r="M10784" s="8" t="s">
        <v>12016</v>
      </c>
      <c r="N10784" s="8" t="s">
        <v>45978</v>
      </c>
      <c r="O10784" s="8">
        <f>11+36/60+42.2/3600</f>
        <v>11.611722222222221</v>
      </c>
      <c r="P10784" s="8" t="s">
        <v>45979</v>
      </c>
      <c r="Q10784" s="8">
        <f>+(54+50/60+45/3600)</f>
        <v>54.845833333333339</v>
      </c>
      <c r="R10784" s="8">
        <v>14.3</v>
      </c>
      <c r="S10784" s="8">
        <v>15.2</v>
      </c>
      <c r="T10784" s="8">
        <v>0.9</v>
      </c>
      <c r="U10784" s="8">
        <v>12.2</v>
      </c>
      <c r="V10784" s="8">
        <v>0.4</v>
      </c>
      <c r="W10784" s="8">
        <v>0.4</v>
      </c>
      <c r="Y10784" s="8" t="s">
        <v>6001</v>
      </c>
      <c r="Z10784" s="8" t="s">
        <v>6002</v>
      </c>
    </row>
    <row r="10785" spans="1:26" x14ac:dyDescent="0.2">
      <c r="A10785" s="8">
        <v>10784</v>
      </c>
      <c r="B10785" s="8" t="s">
        <v>45980</v>
      </c>
      <c r="C10785" s="8" t="s">
        <v>45980</v>
      </c>
      <c r="G10785" s="8">
        <v>2</v>
      </c>
      <c r="H10785" s="8" t="s">
        <v>45981</v>
      </c>
      <c r="I10785" s="8" t="s">
        <v>1283</v>
      </c>
      <c r="J10785" s="8" t="s">
        <v>1283</v>
      </c>
      <c r="K10785" s="8" t="s">
        <v>1284</v>
      </c>
      <c r="L10785" s="8" t="s">
        <v>16195</v>
      </c>
      <c r="M10785" s="8" t="s">
        <v>16196</v>
      </c>
      <c r="N10785" s="8" t="s">
        <v>45982</v>
      </c>
      <c r="O10785" s="8">
        <f>11+35/60+47.3/3600</f>
        <v>11.596472222222223</v>
      </c>
      <c r="P10785" s="8" t="s">
        <v>45983</v>
      </c>
      <c r="Q10785" s="8">
        <f>-(63+1/60+11/3600)</f>
        <v>-63.019722222222221</v>
      </c>
      <c r="R10785" s="8">
        <v>99</v>
      </c>
      <c r="S10785" s="8">
        <v>4.5</v>
      </c>
      <c r="T10785" s="8">
        <v>99</v>
      </c>
      <c r="U10785" s="8">
        <v>99</v>
      </c>
      <c r="V10785" s="8">
        <v>40</v>
      </c>
      <c r="W10785" s="8">
        <v>20</v>
      </c>
      <c r="Y10785" s="8" t="s">
        <v>21</v>
      </c>
      <c r="Z10785" s="8" t="s">
        <v>45984</v>
      </c>
    </row>
    <row r="10786" spans="1:26" x14ac:dyDescent="0.2">
      <c r="A10786" s="8">
        <v>10785</v>
      </c>
      <c r="B10786" s="8" t="s">
        <v>45985</v>
      </c>
      <c r="C10786" s="8" t="s">
        <v>45985</v>
      </c>
      <c r="G10786" s="8">
        <v>20</v>
      </c>
      <c r="H10786" s="8" t="s">
        <v>21</v>
      </c>
      <c r="I10786" s="8" t="s">
        <v>22</v>
      </c>
      <c r="J10786" s="8" t="s">
        <v>22</v>
      </c>
      <c r="K10786" s="8" t="s">
        <v>818</v>
      </c>
      <c r="L10786" s="8" t="s">
        <v>13194</v>
      </c>
      <c r="M10786" s="8" t="s">
        <v>13195</v>
      </c>
      <c r="N10786" s="8" t="s">
        <v>45986</v>
      </c>
      <c r="O10786" s="8">
        <f>11+37/60+4.2/3600</f>
        <v>11.617833333333333</v>
      </c>
      <c r="P10786" s="8" t="s">
        <v>45987</v>
      </c>
      <c r="Q10786" s="8">
        <f>+(12+55/60+37/3600)</f>
        <v>12.926944444444445</v>
      </c>
      <c r="R10786" s="8">
        <v>13.8</v>
      </c>
      <c r="S10786" s="8">
        <v>14.8</v>
      </c>
      <c r="T10786" s="8">
        <v>1</v>
      </c>
      <c r="U10786" s="8">
        <v>13.6</v>
      </c>
      <c r="V10786" s="8">
        <v>1</v>
      </c>
      <c r="W10786" s="8">
        <v>0.8</v>
      </c>
      <c r="Y10786" s="8" t="s">
        <v>17912</v>
      </c>
      <c r="Z10786" s="8" t="s">
        <v>17913</v>
      </c>
    </row>
    <row r="10787" spans="1:26" x14ac:dyDescent="0.2">
      <c r="A10787" s="8">
        <v>10786</v>
      </c>
      <c r="B10787" s="8" t="s">
        <v>45988</v>
      </c>
      <c r="C10787" s="8" t="s">
        <v>45988</v>
      </c>
      <c r="G10787" s="8">
        <v>20</v>
      </c>
      <c r="H10787" s="8" t="s">
        <v>21</v>
      </c>
      <c r="I10787" s="8" t="s">
        <v>22</v>
      </c>
      <c r="J10787" s="8" t="s">
        <v>22</v>
      </c>
      <c r="K10787" s="8" t="s">
        <v>154</v>
      </c>
      <c r="L10787" s="8" t="s">
        <v>12015</v>
      </c>
      <c r="M10787" s="8" t="s">
        <v>12016</v>
      </c>
      <c r="N10787" s="8" t="s">
        <v>45989</v>
      </c>
      <c r="O10787" s="8">
        <f>11+37/60+29.6/3600</f>
        <v>11.62488888888889</v>
      </c>
      <c r="P10787" s="8" t="s">
        <v>45990</v>
      </c>
      <c r="Q10787" s="8">
        <f>+(32+15/60+11/3600)</f>
        <v>32.253055555555555</v>
      </c>
      <c r="R10787" s="8">
        <v>14.2</v>
      </c>
      <c r="S10787" s="8">
        <v>15.1</v>
      </c>
      <c r="T10787" s="8">
        <v>0.9</v>
      </c>
      <c r="U10787" s="8">
        <v>12</v>
      </c>
      <c r="V10787" s="8">
        <v>0.5</v>
      </c>
      <c r="W10787" s="8">
        <v>0.3</v>
      </c>
      <c r="X10787" s="8">
        <v>175</v>
      </c>
      <c r="Y10787" s="8" t="s">
        <v>27186</v>
      </c>
      <c r="Z10787" s="8" t="s">
        <v>27187</v>
      </c>
    </row>
    <row r="10788" spans="1:26" x14ac:dyDescent="0.2">
      <c r="A10788" s="8">
        <v>10787</v>
      </c>
      <c r="B10788" s="8" t="s">
        <v>45991</v>
      </c>
      <c r="C10788" s="8" t="s">
        <v>45991</v>
      </c>
      <c r="G10788" s="8">
        <v>20</v>
      </c>
      <c r="H10788" s="8" t="s">
        <v>21</v>
      </c>
      <c r="I10788" s="8" t="s">
        <v>22</v>
      </c>
      <c r="J10788" s="8" t="s">
        <v>22</v>
      </c>
      <c r="K10788" s="8" t="s">
        <v>323</v>
      </c>
      <c r="L10788" s="8" t="s">
        <v>12015</v>
      </c>
      <c r="M10788" s="8" t="s">
        <v>12016</v>
      </c>
      <c r="N10788" s="8" t="s">
        <v>45992</v>
      </c>
      <c r="O10788" s="8">
        <f>11+37/60+31.1/3600</f>
        <v>11.625305555555556</v>
      </c>
      <c r="P10788" s="8" t="s">
        <v>45993</v>
      </c>
      <c r="Q10788" s="8">
        <f>+(31+21/60+42/3600)</f>
        <v>31.361666666666668</v>
      </c>
      <c r="R10788" s="8">
        <v>14</v>
      </c>
      <c r="S10788" s="8">
        <v>14.6</v>
      </c>
      <c r="T10788" s="8">
        <v>0.6</v>
      </c>
      <c r="U10788" s="8">
        <v>12.5</v>
      </c>
      <c r="V10788" s="8">
        <v>0.7</v>
      </c>
      <c r="W10788" s="8">
        <v>0.6</v>
      </c>
      <c r="X10788" s="8">
        <v>12</v>
      </c>
      <c r="Y10788" s="8" t="s">
        <v>45994</v>
      </c>
      <c r="Z10788" s="8" t="s">
        <v>45995</v>
      </c>
    </row>
    <row r="10789" spans="1:26" x14ac:dyDescent="0.2">
      <c r="A10789" s="8">
        <v>10788</v>
      </c>
      <c r="B10789" s="8" t="s">
        <v>45996</v>
      </c>
      <c r="C10789" s="8" t="s">
        <v>45996</v>
      </c>
      <c r="G10789" s="8">
        <v>10</v>
      </c>
      <c r="H10789" s="8" t="s">
        <v>45997</v>
      </c>
      <c r="I10789" s="8" t="s">
        <v>1283</v>
      </c>
      <c r="J10789" s="8" t="s">
        <v>1283</v>
      </c>
      <c r="K10789" s="8" t="s">
        <v>1284</v>
      </c>
      <c r="L10789" s="8" t="s">
        <v>16195</v>
      </c>
      <c r="M10789" s="8" t="s">
        <v>16196</v>
      </c>
      <c r="N10789" s="8" t="s">
        <v>45998</v>
      </c>
      <c r="O10789" s="8">
        <f>11+39/60+5/3600</f>
        <v>11.651388888888889</v>
      </c>
      <c r="P10789" s="8" t="s">
        <v>45999</v>
      </c>
      <c r="Q10789" s="8">
        <f>-(63+26/60+36/3600)</f>
        <v>-63.443333333333328</v>
      </c>
      <c r="R10789" s="8">
        <v>99</v>
      </c>
      <c r="S10789" s="8">
        <v>99</v>
      </c>
      <c r="T10789" s="8">
        <v>99</v>
      </c>
      <c r="U10789" s="8">
        <v>99</v>
      </c>
      <c r="V10789" s="8">
        <v>45</v>
      </c>
      <c r="W10789" s="8">
        <v>40</v>
      </c>
      <c r="Y10789" s="8" t="s">
        <v>46000</v>
      </c>
      <c r="Z10789" s="8" t="s">
        <v>46001</v>
      </c>
    </row>
    <row r="10790" spans="1:26" x14ac:dyDescent="0.2">
      <c r="A10790" s="8">
        <v>10789</v>
      </c>
      <c r="B10790" s="8" t="s">
        <v>46002</v>
      </c>
      <c r="C10790" s="8" t="s">
        <v>46002</v>
      </c>
      <c r="G10790" s="8">
        <v>20</v>
      </c>
      <c r="H10790" s="8" t="s">
        <v>21</v>
      </c>
      <c r="I10790" s="8" t="s">
        <v>72</v>
      </c>
      <c r="J10790" s="8" t="s">
        <v>72</v>
      </c>
      <c r="K10790" s="8" t="s">
        <v>73</v>
      </c>
      <c r="L10790" s="8" t="s">
        <v>16195</v>
      </c>
      <c r="M10790" s="8" t="s">
        <v>16196</v>
      </c>
      <c r="N10790" s="8" t="s">
        <v>46003</v>
      </c>
      <c r="O10790" s="8">
        <f>11+40/60+54.4/3600</f>
        <v>11.681777777777777</v>
      </c>
      <c r="P10790" s="8" t="s">
        <v>46004</v>
      </c>
      <c r="Q10790" s="8">
        <f>-(46+27/60+16/3600)</f>
        <v>-46.454444444444448</v>
      </c>
      <c r="R10790" s="8">
        <v>99</v>
      </c>
      <c r="S10790" s="8">
        <v>99</v>
      </c>
      <c r="T10790" s="8">
        <v>99</v>
      </c>
      <c r="U10790" s="8">
        <v>99</v>
      </c>
      <c r="Y10790" s="8" t="s">
        <v>1694</v>
      </c>
      <c r="Z10790" s="8" t="s">
        <v>38252</v>
      </c>
    </row>
    <row r="10791" spans="1:26" x14ac:dyDescent="0.2">
      <c r="A10791" s="8">
        <v>10790</v>
      </c>
      <c r="B10791" s="8" t="s">
        <v>46005</v>
      </c>
      <c r="C10791" s="8" t="s">
        <v>46005</v>
      </c>
      <c r="G10791" s="8">
        <v>20</v>
      </c>
      <c r="H10791" s="8" t="s">
        <v>21</v>
      </c>
      <c r="I10791" s="8" t="s">
        <v>22</v>
      </c>
      <c r="J10791" s="8" t="s">
        <v>22</v>
      </c>
      <c r="K10791" s="8" t="s">
        <v>160</v>
      </c>
      <c r="L10791" s="8" t="s">
        <v>12015</v>
      </c>
      <c r="M10791" s="8" t="s">
        <v>12016</v>
      </c>
      <c r="N10791" s="8" t="s">
        <v>46006</v>
      </c>
      <c r="O10791" s="8">
        <f>11+41/60+37.8/3600</f>
        <v>11.693833333333334</v>
      </c>
      <c r="P10791" s="8" t="s">
        <v>46007</v>
      </c>
      <c r="Q10791" s="8">
        <f>+(37+59/60+33/3600)</f>
        <v>37.9925</v>
      </c>
      <c r="R10791" s="8">
        <v>14.2</v>
      </c>
      <c r="S10791" s="8">
        <v>14.9</v>
      </c>
      <c r="T10791" s="8">
        <v>0.7</v>
      </c>
      <c r="U10791" s="8">
        <v>12.7</v>
      </c>
      <c r="V10791" s="8">
        <v>0.6</v>
      </c>
      <c r="W10791" s="8">
        <v>0.5</v>
      </c>
      <c r="Y10791" s="8" t="s">
        <v>46008</v>
      </c>
      <c r="Z10791" s="8" t="s">
        <v>46009</v>
      </c>
    </row>
    <row r="10792" spans="1:26" x14ac:dyDescent="0.2">
      <c r="A10792" s="8">
        <v>10791</v>
      </c>
      <c r="B10792" s="8" t="s">
        <v>46010</v>
      </c>
      <c r="C10792" s="8" t="s">
        <v>46010</v>
      </c>
      <c r="G10792" s="8">
        <v>20</v>
      </c>
      <c r="H10792" s="8" t="s">
        <v>21</v>
      </c>
      <c r="I10792" s="8" t="s">
        <v>22</v>
      </c>
      <c r="J10792" s="8" t="s">
        <v>22</v>
      </c>
      <c r="K10792" s="8" t="s">
        <v>91</v>
      </c>
      <c r="L10792" s="8" t="s">
        <v>13194</v>
      </c>
      <c r="M10792" s="8" t="s">
        <v>13195</v>
      </c>
      <c r="N10792" s="8" t="s">
        <v>46011</v>
      </c>
      <c r="O10792" s="8">
        <f>11+43/60+24.4/3600</f>
        <v>11.723444444444445</v>
      </c>
      <c r="P10792" s="8" t="s">
        <v>46012</v>
      </c>
      <c r="Q10792" s="8">
        <f>+(19+44/60+59/3600)</f>
        <v>19.749722222222225</v>
      </c>
      <c r="R10792" s="8">
        <v>13.6</v>
      </c>
      <c r="S10792" s="8">
        <v>14.5</v>
      </c>
      <c r="T10792" s="8">
        <v>0.9</v>
      </c>
      <c r="U10792" s="8">
        <v>13.4</v>
      </c>
      <c r="V10792" s="8">
        <v>1.4</v>
      </c>
      <c r="W10792" s="8">
        <v>0.7</v>
      </c>
      <c r="X10792" s="8">
        <v>80</v>
      </c>
      <c r="Y10792" s="8" t="s">
        <v>21</v>
      </c>
      <c r="Z10792" s="8" t="s">
        <v>46013</v>
      </c>
    </row>
    <row r="10793" spans="1:26" x14ac:dyDescent="0.2">
      <c r="A10793" s="8">
        <v>10792</v>
      </c>
      <c r="B10793" s="8" t="s">
        <v>46014</v>
      </c>
      <c r="C10793" s="8" t="s">
        <v>46014</v>
      </c>
      <c r="G10793" s="8">
        <v>20</v>
      </c>
      <c r="H10793" s="8" t="s">
        <v>21</v>
      </c>
      <c r="I10793" s="8" t="s">
        <v>22</v>
      </c>
      <c r="J10793" s="8" t="s">
        <v>22</v>
      </c>
      <c r="K10793" s="8" t="s">
        <v>449</v>
      </c>
      <c r="L10793" s="8" t="s">
        <v>12015</v>
      </c>
      <c r="M10793" s="8" t="s">
        <v>12016</v>
      </c>
      <c r="N10793" s="8" t="s">
        <v>46015</v>
      </c>
      <c r="O10793" s="8">
        <f>11+44/60+17.1/3600</f>
        <v>11.738083333333332</v>
      </c>
      <c r="P10793" s="8" t="s">
        <v>46016</v>
      </c>
      <c r="Q10793" s="8">
        <f>+(33+21/60+4/3600)</f>
        <v>33.351111111111109</v>
      </c>
      <c r="R10793" s="8">
        <v>14.9</v>
      </c>
      <c r="S10793" s="8">
        <v>15.7</v>
      </c>
      <c r="T10793" s="8">
        <v>0.8</v>
      </c>
      <c r="U10793" s="8">
        <v>12.4</v>
      </c>
      <c r="V10793" s="8">
        <v>0.4</v>
      </c>
      <c r="W10793" s="8">
        <v>0.3</v>
      </c>
      <c r="X10793" s="8">
        <v>170</v>
      </c>
      <c r="Y10793" s="8" t="s">
        <v>46017</v>
      </c>
      <c r="Z10793" s="8" t="s">
        <v>46018</v>
      </c>
    </row>
    <row r="10794" spans="1:26" x14ac:dyDescent="0.2">
      <c r="A10794" s="8">
        <v>10793</v>
      </c>
      <c r="B10794" s="8" t="s">
        <v>46019</v>
      </c>
      <c r="C10794" s="8" t="s">
        <v>46019</v>
      </c>
      <c r="G10794" s="8">
        <v>20</v>
      </c>
      <c r="H10794" s="8" t="s">
        <v>21</v>
      </c>
      <c r="I10794" s="8" t="s">
        <v>22</v>
      </c>
      <c r="J10794" s="8" t="s">
        <v>57</v>
      </c>
      <c r="K10794" s="8" t="s">
        <v>218</v>
      </c>
      <c r="L10794" s="8" t="s">
        <v>12015</v>
      </c>
      <c r="M10794" s="8" t="s">
        <v>12016</v>
      </c>
      <c r="N10794" s="8" t="s">
        <v>17609</v>
      </c>
      <c r="O10794" s="8">
        <f>11+44/60+25.8/3600</f>
        <v>11.740499999999999</v>
      </c>
      <c r="P10794" s="8" t="s">
        <v>17610</v>
      </c>
      <c r="Q10794" s="8">
        <f>+(33+21/60+21/3600)</f>
        <v>33.355833333333337</v>
      </c>
      <c r="R10794" s="8">
        <v>14</v>
      </c>
      <c r="S10794" s="8">
        <v>14.8</v>
      </c>
      <c r="T10794" s="8">
        <v>0.8</v>
      </c>
      <c r="U10794" s="8">
        <v>13.9</v>
      </c>
      <c r="V10794" s="8">
        <v>1.2</v>
      </c>
      <c r="W10794" s="8">
        <v>0.9</v>
      </c>
      <c r="X10794" s="8">
        <v>72</v>
      </c>
      <c r="Y10794" s="8" t="s">
        <v>46020</v>
      </c>
      <c r="Z10794" s="8" t="s">
        <v>46021</v>
      </c>
    </row>
    <row r="10795" spans="1:26" x14ac:dyDescent="0.2">
      <c r="A10795" s="8">
        <v>10794</v>
      </c>
      <c r="B10795" s="8" t="s">
        <v>46022</v>
      </c>
      <c r="C10795" s="8" t="s">
        <v>46022</v>
      </c>
      <c r="G10795" s="8">
        <v>20</v>
      </c>
      <c r="H10795" s="8" t="s">
        <v>21</v>
      </c>
      <c r="I10795" s="8" t="s">
        <v>72</v>
      </c>
      <c r="J10795" s="8" t="s">
        <v>72</v>
      </c>
      <c r="K10795" s="8" t="s">
        <v>20</v>
      </c>
      <c r="L10795" s="8" t="s">
        <v>13194</v>
      </c>
      <c r="M10795" s="8" t="s">
        <v>13195</v>
      </c>
      <c r="N10795" s="8" t="s">
        <v>46023</v>
      </c>
      <c r="O10795" s="8">
        <f>11+45/60+3.2/3600</f>
        <v>11.750888888888889</v>
      </c>
      <c r="P10795" s="8" t="s">
        <v>46024</v>
      </c>
      <c r="Q10795" s="8">
        <f>+(26+47/60+12/3600)</f>
        <v>26.786666666666669</v>
      </c>
      <c r="R10795" s="8">
        <v>99</v>
      </c>
      <c r="S10795" s="8">
        <v>99</v>
      </c>
      <c r="T10795" s="8">
        <v>99</v>
      </c>
      <c r="U10795" s="8">
        <v>99</v>
      </c>
      <c r="Y10795" s="8" t="s">
        <v>46025</v>
      </c>
      <c r="Z10795" s="8" t="s">
        <v>46026</v>
      </c>
    </row>
    <row r="10796" spans="1:26" x14ac:dyDescent="0.2">
      <c r="A10796" s="8">
        <v>10795</v>
      </c>
      <c r="B10796" s="8" t="s">
        <v>46027</v>
      </c>
      <c r="C10796" s="8" t="s">
        <v>46027</v>
      </c>
      <c r="G10796" s="8">
        <v>20</v>
      </c>
      <c r="H10796" s="8" t="s">
        <v>21</v>
      </c>
      <c r="I10796" s="8" t="s">
        <v>22</v>
      </c>
      <c r="J10796" s="8" t="s">
        <v>22</v>
      </c>
      <c r="K10796" s="8" t="s">
        <v>424</v>
      </c>
      <c r="L10796" s="8" t="s">
        <v>13194</v>
      </c>
      <c r="M10796" s="8" t="s">
        <v>13195</v>
      </c>
      <c r="N10796" s="8" t="s">
        <v>17635</v>
      </c>
      <c r="O10796" s="8">
        <f>11+45/60+5/3600</f>
        <v>11.751388888888888</v>
      </c>
      <c r="P10796" s="8" t="s">
        <v>46028</v>
      </c>
      <c r="Q10796" s="8">
        <f>+(19+37/60+22/3600)</f>
        <v>19.622777777777777</v>
      </c>
      <c r="R10796" s="8">
        <v>14.1</v>
      </c>
      <c r="S10796" s="8">
        <v>15.1</v>
      </c>
      <c r="T10796" s="8">
        <v>1</v>
      </c>
      <c r="U10796" s="8">
        <v>13.6</v>
      </c>
      <c r="V10796" s="8">
        <v>0.9</v>
      </c>
      <c r="W10796" s="8">
        <v>0.9</v>
      </c>
      <c r="Y10796" s="8" t="s">
        <v>21</v>
      </c>
      <c r="Z10796" s="8" t="s">
        <v>46029</v>
      </c>
    </row>
    <row r="10797" spans="1:26" x14ac:dyDescent="0.2">
      <c r="A10797" s="8">
        <v>10796</v>
      </c>
      <c r="B10797" s="8" t="s">
        <v>46030</v>
      </c>
      <c r="C10797" s="8" t="s">
        <v>46030</v>
      </c>
      <c r="G10797" s="8">
        <v>20</v>
      </c>
      <c r="H10797" s="8" t="s">
        <v>21</v>
      </c>
      <c r="I10797" s="8" t="s">
        <v>22</v>
      </c>
      <c r="J10797" s="8" t="s">
        <v>22</v>
      </c>
      <c r="K10797" s="8" t="s">
        <v>85</v>
      </c>
      <c r="L10797" s="8" t="s">
        <v>13194</v>
      </c>
      <c r="M10797" s="8" t="s">
        <v>13195</v>
      </c>
      <c r="N10797" s="8" t="s">
        <v>46031</v>
      </c>
      <c r="O10797" s="8">
        <f>11+45/60+17.6/3600</f>
        <v>11.754888888888889</v>
      </c>
      <c r="P10797" s="8" t="s">
        <v>46032</v>
      </c>
      <c r="Q10797" s="8">
        <f>+(26+46/60+0/3600)</f>
        <v>26.766666666666666</v>
      </c>
      <c r="R10797" s="8">
        <v>13.8</v>
      </c>
      <c r="S10797" s="8">
        <v>14.6</v>
      </c>
      <c r="T10797" s="8">
        <v>0.8</v>
      </c>
      <c r="U10797" s="8">
        <v>13.6</v>
      </c>
      <c r="V10797" s="8">
        <v>1.2</v>
      </c>
      <c r="W10797" s="8">
        <v>0.8</v>
      </c>
      <c r="X10797" s="8">
        <v>68</v>
      </c>
      <c r="Y10797" s="8" t="s">
        <v>46033</v>
      </c>
      <c r="Z10797" s="8" t="s">
        <v>46034</v>
      </c>
    </row>
    <row r="10798" spans="1:26" x14ac:dyDescent="0.2">
      <c r="A10798" s="8">
        <v>10797</v>
      </c>
      <c r="B10798" s="8" t="s">
        <v>46035</v>
      </c>
      <c r="C10798" s="8" t="s">
        <v>46035</v>
      </c>
      <c r="G10798" s="8">
        <v>20</v>
      </c>
      <c r="H10798" s="8" t="s">
        <v>21</v>
      </c>
      <c r="I10798" s="8" t="s">
        <v>22</v>
      </c>
      <c r="J10798" s="8" t="s">
        <v>22</v>
      </c>
      <c r="K10798" s="8" t="s">
        <v>224</v>
      </c>
      <c r="L10798" s="8" t="s">
        <v>12015</v>
      </c>
      <c r="M10798" s="8" t="s">
        <v>12016</v>
      </c>
      <c r="N10798" s="8" t="s">
        <v>46036</v>
      </c>
      <c r="O10798" s="8">
        <f>11+45/60+37/3600</f>
        <v>11.760277777777778</v>
      </c>
      <c r="P10798" s="8" t="s">
        <v>46037</v>
      </c>
      <c r="Q10798" s="8">
        <f>+(31+17/60+58/3600)</f>
        <v>31.299444444444447</v>
      </c>
      <c r="R10798" s="8">
        <v>14.1</v>
      </c>
      <c r="S10798" s="8">
        <v>15.1</v>
      </c>
      <c r="T10798" s="8">
        <v>1</v>
      </c>
      <c r="U10798" s="8">
        <v>12.7</v>
      </c>
      <c r="V10798" s="8">
        <v>0.8</v>
      </c>
      <c r="W10798" s="8">
        <v>0.4</v>
      </c>
      <c r="X10798" s="8">
        <v>24</v>
      </c>
      <c r="Y10798" s="8" t="s">
        <v>21</v>
      </c>
      <c r="Z10798" s="8" t="s">
        <v>46038</v>
      </c>
    </row>
    <row r="10799" spans="1:26" x14ac:dyDescent="0.2">
      <c r="A10799" s="8">
        <v>10798</v>
      </c>
      <c r="B10799" s="8" t="s">
        <v>46039</v>
      </c>
      <c r="C10799" s="8" t="s">
        <v>46039</v>
      </c>
      <c r="G10799" s="8">
        <v>20</v>
      </c>
      <c r="H10799" s="8" t="s">
        <v>21</v>
      </c>
      <c r="I10799" s="8" t="s">
        <v>22</v>
      </c>
      <c r="J10799" s="8" t="s">
        <v>22</v>
      </c>
      <c r="K10799" s="8" t="s">
        <v>1445</v>
      </c>
      <c r="L10799" s="8" t="s">
        <v>12015</v>
      </c>
      <c r="M10799" s="8" t="s">
        <v>12016</v>
      </c>
      <c r="N10799" s="8" t="s">
        <v>46040</v>
      </c>
      <c r="O10799" s="8">
        <f>11+45/60+42.3/3600</f>
        <v>11.761749999999999</v>
      </c>
      <c r="P10799" s="8" t="s">
        <v>46041</v>
      </c>
      <c r="Q10799" s="8">
        <f>+(33+9/60+15/3600)</f>
        <v>33.154166666666669</v>
      </c>
      <c r="R10799" s="8">
        <v>15.7</v>
      </c>
      <c r="S10799" s="8">
        <v>16.5</v>
      </c>
      <c r="T10799" s="8">
        <v>0.8</v>
      </c>
      <c r="U10799" s="8">
        <v>13.8</v>
      </c>
      <c r="V10799" s="8">
        <v>0.5</v>
      </c>
      <c r="W10799" s="8">
        <v>0.4</v>
      </c>
      <c r="Y10799" s="8" t="s">
        <v>33652</v>
      </c>
      <c r="Z10799" s="8" t="s">
        <v>33653</v>
      </c>
    </row>
    <row r="10800" spans="1:26" x14ac:dyDescent="0.2">
      <c r="A10800" s="8">
        <v>10799</v>
      </c>
      <c r="B10800" s="8" t="s">
        <v>46042</v>
      </c>
      <c r="C10800" s="8" t="s">
        <v>46042</v>
      </c>
      <c r="G10800" s="8">
        <v>20</v>
      </c>
      <c r="H10800" s="8" t="s">
        <v>21</v>
      </c>
      <c r="I10800" s="8" t="s">
        <v>22</v>
      </c>
      <c r="J10800" s="8" t="s">
        <v>57</v>
      </c>
      <c r="K10800" s="8" t="s">
        <v>23</v>
      </c>
      <c r="L10800" s="8" t="s">
        <v>12015</v>
      </c>
      <c r="M10800" s="8" t="s">
        <v>12016</v>
      </c>
      <c r="N10800" s="8" t="s">
        <v>17671</v>
      </c>
      <c r="O10800" s="8">
        <f>11+46/60+10.1/3600</f>
        <v>11.769472222222223</v>
      </c>
      <c r="P10800" s="8" t="s">
        <v>17672</v>
      </c>
      <c r="Q10800" s="8">
        <f>+(33+6/60+34/3600)</f>
        <v>33.109444444444449</v>
      </c>
      <c r="R10800" s="8">
        <v>14.8</v>
      </c>
      <c r="S10800" s="8">
        <v>15.6</v>
      </c>
      <c r="T10800" s="8">
        <v>0.8</v>
      </c>
      <c r="U10800" s="8">
        <v>14.2</v>
      </c>
      <c r="V10800" s="8">
        <v>1.4</v>
      </c>
      <c r="W10800" s="8">
        <v>0.5</v>
      </c>
      <c r="X10800" s="8">
        <v>102</v>
      </c>
      <c r="Y10800" s="8" t="s">
        <v>8396</v>
      </c>
      <c r="Z10800" s="8" t="s">
        <v>8397</v>
      </c>
    </row>
    <row r="10801" spans="1:26" x14ac:dyDescent="0.2">
      <c r="A10801" s="8">
        <v>10800</v>
      </c>
      <c r="B10801" s="8" t="s">
        <v>46043</v>
      </c>
      <c r="C10801" s="8" t="s">
        <v>46043</v>
      </c>
      <c r="G10801" s="8">
        <v>20</v>
      </c>
      <c r="H10801" s="8" t="s">
        <v>21</v>
      </c>
      <c r="I10801" s="8" t="s">
        <v>22</v>
      </c>
      <c r="J10801" s="8" t="s">
        <v>22</v>
      </c>
      <c r="K10801" s="8" t="s">
        <v>449</v>
      </c>
      <c r="L10801" s="8" t="s">
        <v>12015</v>
      </c>
      <c r="M10801" s="8" t="s">
        <v>12016</v>
      </c>
      <c r="N10801" s="8" t="s">
        <v>46044</v>
      </c>
      <c r="O10801" s="8">
        <f>11+46/60+19.7/3600</f>
        <v>11.77213888888889</v>
      </c>
      <c r="P10801" s="8" t="s">
        <v>27201</v>
      </c>
      <c r="Q10801" s="8">
        <f>+(35+0/60+15/3600)</f>
        <v>35.00416666666667</v>
      </c>
      <c r="R10801" s="8">
        <v>14.8</v>
      </c>
      <c r="S10801" s="8">
        <v>15.6</v>
      </c>
      <c r="T10801" s="8">
        <v>0.8</v>
      </c>
      <c r="U10801" s="8">
        <v>12.6</v>
      </c>
      <c r="V10801" s="8">
        <v>0.5</v>
      </c>
      <c r="W10801" s="8">
        <v>0.3</v>
      </c>
      <c r="X10801" s="8">
        <v>90</v>
      </c>
      <c r="Y10801" s="8" t="s">
        <v>41252</v>
      </c>
      <c r="Z10801" s="8" t="s">
        <v>35612</v>
      </c>
    </row>
    <row r="10802" spans="1:26" x14ac:dyDescent="0.2">
      <c r="A10802" s="8">
        <v>10801</v>
      </c>
      <c r="B10802" s="8" t="s">
        <v>46045</v>
      </c>
      <c r="C10802" s="8" t="s">
        <v>46045</v>
      </c>
      <c r="G10802" s="8">
        <v>20</v>
      </c>
      <c r="H10802" s="8" t="s">
        <v>21</v>
      </c>
      <c r="I10802" s="8" t="s">
        <v>22</v>
      </c>
      <c r="J10802" s="8" t="s">
        <v>22</v>
      </c>
      <c r="K10802" s="8" t="s">
        <v>37</v>
      </c>
      <c r="L10802" s="8" t="s">
        <v>12015</v>
      </c>
      <c r="M10802" s="8" t="s">
        <v>12016</v>
      </c>
      <c r="N10802" s="8" t="s">
        <v>46046</v>
      </c>
      <c r="O10802" s="8">
        <f>11+47/60+49.5/3600</f>
        <v>11.797083333333333</v>
      </c>
      <c r="P10802" s="8" t="s">
        <v>46047</v>
      </c>
      <c r="Q10802" s="8">
        <f>+(31+20/60+43/3600)</f>
        <v>31.345277777777778</v>
      </c>
      <c r="R10802" s="8">
        <v>14.7</v>
      </c>
      <c r="S10802" s="8">
        <v>15.7</v>
      </c>
      <c r="T10802" s="8">
        <v>1</v>
      </c>
      <c r="U10802" s="8">
        <v>10.3</v>
      </c>
      <c r="V10802" s="8">
        <v>0.2</v>
      </c>
      <c r="W10802" s="8">
        <v>0.1</v>
      </c>
      <c r="X10802" s="8">
        <v>10</v>
      </c>
      <c r="Y10802" s="8" t="s">
        <v>972</v>
      </c>
      <c r="Z10802" s="8" t="s">
        <v>973</v>
      </c>
    </row>
    <row r="10803" spans="1:26" x14ac:dyDescent="0.2">
      <c r="A10803" s="8">
        <v>10802</v>
      </c>
      <c r="B10803" s="8" t="s">
        <v>46048</v>
      </c>
      <c r="C10803" s="8" t="s">
        <v>46048</v>
      </c>
      <c r="G10803" s="8">
        <v>20</v>
      </c>
      <c r="H10803" s="8" t="s">
        <v>21</v>
      </c>
      <c r="I10803" s="8" t="s">
        <v>329</v>
      </c>
      <c r="J10803" s="8" t="s">
        <v>329</v>
      </c>
      <c r="K10803" s="8" t="s">
        <v>329</v>
      </c>
      <c r="L10803" s="8" t="s">
        <v>15699</v>
      </c>
      <c r="M10803" s="8" t="s">
        <v>15700</v>
      </c>
      <c r="N10803" s="8" t="s">
        <v>46049</v>
      </c>
      <c r="O10803" s="8">
        <f>11+49/60+5.7/3600</f>
        <v>11.818249999999999</v>
      </c>
      <c r="P10803" s="8" t="s">
        <v>46050</v>
      </c>
      <c r="Q10803" s="8">
        <f>-(12+18/60+40/3600)</f>
        <v>-12.311111111111112</v>
      </c>
      <c r="R10803" s="8">
        <v>99</v>
      </c>
      <c r="S10803" s="8">
        <v>99</v>
      </c>
      <c r="T10803" s="8">
        <v>99</v>
      </c>
      <c r="U10803" s="8">
        <v>99</v>
      </c>
      <c r="Y10803" s="8" t="s">
        <v>46051</v>
      </c>
      <c r="Z10803" s="8" t="s">
        <v>46052</v>
      </c>
    </row>
    <row r="10804" spans="1:26" x14ac:dyDescent="0.2">
      <c r="A10804" s="8">
        <v>10803</v>
      </c>
      <c r="B10804" s="8" t="s">
        <v>46053</v>
      </c>
      <c r="C10804" s="8" t="s">
        <v>46053</v>
      </c>
      <c r="G10804" s="8">
        <v>20</v>
      </c>
      <c r="H10804" s="8" t="s">
        <v>21</v>
      </c>
      <c r="I10804" s="8" t="s">
        <v>22</v>
      </c>
      <c r="J10804" s="8" t="s">
        <v>57</v>
      </c>
      <c r="K10804" s="8" t="s">
        <v>632</v>
      </c>
      <c r="L10804" s="8" t="s">
        <v>17287</v>
      </c>
      <c r="M10804" s="8" t="s">
        <v>17288</v>
      </c>
      <c r="N10804" s="8" t="s">
        <v>17860</v>
      </c>
      <c r="O10804" s="8">
        <f>11+49/60+24.2/3600</f>
        <v>11.823388888888889</v>
      </c>
      <c r="P10804" s="8" t="s">
        <v>17861</v>
      </c>
      <c r="Q10804" s="8">
        <f>-(5+7/60+5/3600)</f>
        <v>-5.1180555555555554</v>
      </c>
      <c r="R10804" s="8">
        <v>13.9</v>
      </c>
      <c r="S10804" s="8">
        <v>14.8</v>
      </c>
      <c r="T10804" s="8">
        <v>0.9</v>
      </c>
      <c r="U10804" s="8">
        <v>13.2</v>
      </c>
      <c r="V10804" s="8">
        <v>1.5</v>
      </c>
      <c r="W10804" s="8">
        <v>0.4</v>
      </c>
      <c r="X10804" s="8">
        <v>99</v>
      </c>
      <c r="Y10804" s="8" t="s">
        <v>21</v>
      </c>
      <c r="Z10804" s="8" t="s">
        <v>46054</v>
      </c>
    </row>
    <row r="10805" spans="1:26" x14ac:dyDescent="0.2">
      <c r="A10805" s="8">
        <v>10804</v>
      </c>
      <c r="B10805" s="8" t="s">
        <v>46055</v>
      </c>
      <c r="C10805" s="8" t="s">
        <v>46055</v>
      </c>
      <c r="G10805" s="8">
        <v>20</v>
      </c>
      <c r="H10805" s="8" t="s">
        <v>21</v>
      </c>
      <c r="I10805" s="8" t="s">
        <v>329</v>
      </c>
      <c r="J10805" s="8" t="s">
        <v>329</v>
      </c>
      <c r="K10805" s="8" t="s">
        <v>329</v>
      </c>
      <c r="L10805" s="8" t="s">
        <v>13194</v>
      </c>
      <c r="M10805" s="8" t="s">
        <v>13195</v>
      </c>
      <c r="N10805" s="8" t="s">
        <v>46056</v>
      </c>
      <c r="O10805" s="8">
        <f>11+49/60+52.4/3600</f>
        <v>11.831222222222221</v>
      </c>
      <c r="P10805" s="8" t="s">
        <v>46057</v>
      </c>
      <c r="Q10805" s="8">
        <f>+(12+3/60+1/3600)</f>
        <v>12.050277777777778</v>
      </c>
      <c r="R10805" s="8">
        <v>99</v>
      </c>
      <c r="S10805" s="8">
        <v>99</v>
      </c>
      <c r="T10805" s="8">
        <v>99</v>
      </c>
      <c r="U10805" s="8">
        <v>99</v>
      </c>
      <c r="Y10805" s="8" t="s">
        <v>21</v>
      </c>
      <c r="Z10805" s="8" t="s">
        <v>46058</v>
      </c>
    </row>
    <row r="10806" spans="1:26" x14ac:dyDescent="0.2">
      <c r="A10806" s="8">
        <v>10805</v>
      </c>
      <c r="B10806" s="8" t="s">
        <v>46059</v>
      </c>
      <c r="C10806" s="8" t="s">
        <v>46059</v>
      </c>
      <c r="G10806" s="8">
        <v>20</v>
      </c>
      <c r="H10806" s="8" t="s">
        <v>21</v>
      </c>
      <c r="I10806" s="8" t="s">
        <v>22</v>
      </c>
      <c r="J10806" s="8" t="s">
        <v>57</v>
      </c>
      <c r="K10806" s="8" t="s">
        <v>632</v>
      </c>
      <c r="L10806" s="8" t="s">
        <v>15699</v>
      </c>
      <c r="M10806" s="8" t="s">
        <v>15700</v>
      </c>
      <c r="N10806" s="8" t="s">
        <v>18040</v>
      </c>
      <c r="O10806" s="8">
        <f>11+54/60+1.5/3600</f>
        <v>11.900416666666667</v>
      </c>
      <c r="P10806" s="8" t="s">
        <v>18041</v>
      </c>
      <c r="Q10806" s="8">
        <f>-(19+34/60+8/3600)</f>
        <v>-19.568888888888889</v>
      </c>
      <c r="R10806" s="8">
        <v>11.8</v>
      </c>
      <c r="S10806" s="8">
        <v>12.7</v>
      </c>
      <c r="T10806" s="8">
        <v>0.9</v>
      </c>
      <c r="U10806" s="8">
        <v>12.5</v>
      </c>
      <c r="V10806" s="8">
        <v>2.9</v>
      </c>
      <c r="W10806" s="8">
        <v>0.7</v>
      </c>
      <c r="X10806" s="8">
        <v>173</v>
      </c>
      <c r="Y10806" s="8" t="s">
        <v>46060</v>
      </c>
      <c r="Z10806" s="8" t="s">
        <v>46061</v>
      </c>
    </row>
    <row r="10807" spans="1:26" x14ac:dyDescent="0.2">
      <c r="A10807" s="8">
        <v>10806</v>
      </c>
      <c r="B10807" s="8" t="s">
        <v>46062</v>
      </c>
      <c r="C10807" s="8" t="s">
        <v>46062</v>
      </c>
      <c r="G10807" s="8">
        <v>20</v>
      </c>
      <c r="H10807" s="8" t="s">
        <v>21</v>
      </c>
      <c r="I10807" s="8" t="s">
        <v>1283</v>
      </c>
      <c r="J10807" s="8" t="s">
        <v>1283</v>
      </c>
      <c r="K10807" s="8" t="s">
        <v>1284</v>
      </c>
      <c r="L10807" s="8" t="s">
        <v>18521</v>
      </c>
      <c r="M10807" s="8" t="s">
        <v>18522</v>
      </c>
      <c r="N10807" s="8" t="s">
        <v>46063</v>
      </c>
      <c r="O10807" s="8">
        <f>11+50/60+12.9/3600</f>
        <v>11.836916666666667</v>
      </c>
      <c r="P10807" s="8" t="s">
        <v>46064</v>
      </c>
      <c r="Q10807" s="8">
        <f>-(64+52/60+17/3600)</f>
        <v>-64.871388888888887</v>
      </c>
      <c r="R10807" s="8">
        <v>99</v>
      </c>
      <c r="S10807" s="8">
        <v>99</v>
      </c>
      <c r="T10807" s="8">
        <v>99</v>
      </c>
      <c r="U10807" s="8">
        <v>99</v>
      </c>
      <c r="V10807" s="8">
        <v>3</v>
      </c>
      <c r="W10807" s="8">
        <v>2</v>
      </c>
      <c r="Y10807" s="8" t="s">
        <v>46065</v>
      </c>
      <c r="Z10807" s="8" t="s">
        <v>46066</v>
      </c>
    </row>
    <row r="10808" spans="1:26" x14ac:dyDescent="0.2">
      <c r="A10808" s="8">
        <v>10807</v>
      </c>
      <c r="B10808" s="8" t="s">
        <v>46067</v>
      </c>
      <c r="C10808" s="8" t="s">
        <v>46067</v>
      </c>
      <c r="G10808" s="8">
        <v>20</v>
      </c>
      <c r="H10808" s="8" t="s">
        <v>21</v>
      </c>
      <c r="I10808" s="8" t="s">
        <v>22</v>
      </c>
      <c r="J10808" s="8" t="s">
        <v>22</v>
      </c>
      <c r="K10808" s="8" t="s">
        <v>1136</v>
      </c>
      <c r="L10808" s="8" t="s">
        <v>12015</v>
      </c>
      <c r="M10808" s="8" t="s">
        <v>12016</v>
      </c>
      <c r="N10808" s="8" t="s">
        <v>46068</v>
      </c>
      <c r="O10808" s="8">
        <f>11+50/60+55.2/3600</f>
        <v>11.848666666666666</v>
      </c>
      <c r="P10808" s="8" t="s">
        <v>46069</v>
      </c>
      <c r="Q10808" s="8">
        <f>+(30+51/60+4/3600)</f>
        <v>30.851111111111113</v>
      </c>
      <c r="R10808" s="8">
        <v>13.7</v>
      </c>
      <c r="S10808" s="8">
        <v>14.7</v>
      </c>
      <c r="T10808" s="8">
        <v>1</v>
      </c>
      <c r="U10808" s="8">
        <v>13.2</v>
      </c>
      <c r="V10808" s="8">
        <v>0.9</v>
      </c>
      <c r="W10808" s="8">
        <v>0.7</v>
      </c>
      <c r="X10808" s="8">
        <v>15</v>
      </c>
      <c r="Y10808" s="8" t="s">
        <v>46070</v>
      </c>
      <c r="Z10808" s="8" t="s">
        <v>46071</v>
      </c>
    </row>
    <row r="10809" spans="1:26" x14ac:dyDescent="0.2">
      <c r="A10809" s="8">
        <v>10808</v>
      </c>
      <c r="B10809" s="8" t="s">
        <v>46072</v>
      </c>
      <c r="C10809" s="8" t="s">
        <v>46072</v>
      </c>
      <c r="G10809" s="8">
        <v>20</v>
      </c>
      <c r="H10809" s="8" t="s">
        <v>21</v>
      </c>
      <c r="I10809" s="8" t="s">
        <v>22</v>
      </c>
      <c r="J10809" s="8" t="s">
        <v>22</v>
      </c>
      <c r="K10809" s="8" t="s">
        <v>632</v>
      </c>
      <c r="L10809" s="8" t="s">
        <v>13194</v>
      </c>
      <c r="M10809" s="8" t="s">
        <v>13195</v>
      </c>
      <c r="N10809" s="8" t="s">
        <v>46073</v>
      </c>
      <c r="O10809" s="8">
        <f>11+52/60+30.5/3600</f>
        <v>11.875138888888889</v>
      </c>
      <c r="P10809" s="8" t="s">
        <v>46074</v>
      </c>
      <c r="Q10809" s="8">
        <f>+(20+37/60+33/3600)</f>
        <v>20.625833333333333</v>
      </c>
      <c r="R10809" s="8">
        <v>14.5</v>
      </c>
      <c r="S10809" s="8">
        <v>15.4</v>
      </c>
      <c r="T10809" s="8">
        <v>0.9</v>
      </c>
      <c r="U10809" s="8">
        <v>13.1</v>
      </c>
      <c r="V10809" s="8">
        <v>0.8</v>
      </c>
      <c r="W10809" s="8">
        <v>0.4</v>
      </c>
      <c r="X10809" s="8">
        <v>80</v>
      </c>
      <c r="Y10809" s="8" t="s">
        <v>21</v>
      </c>
      <c r="Z10809" s="8" t="s">
        <v>46075</v>
      </c>
    </row>
    <row r="10810" spans="1:26" x14ac:dyDescent="0.2">
      <c r="A10810" s="8">
        <v>10809</v>
      </c>
      <c r="B10810" s="8" t="s">
        <v>46076</v>
      </c>
      <c r="C10810" s="8" t="s">
        <v>46076</v>
      </c>
      <c r="G10810" s="8">
        <v>20</v>
      </c>
      <c r="H10810" s="8" t="s">
        <v>21</v>
      </c>
      <c r="I10810" s="8" t="s">
        <v>22</v>
      </c>
      <c r="J10810" s="8" t="s">
        <v>22</v>
      </c>
      <c r="K10810" s="8" t="s">
        <v>396</v>
      </c>
      <c r="L10810" s="8" t="s">
        <v>17287</v>
      </c>
      <c r="M10810" s="8" t="s">
        <v>17288</v>
      </c>
      <c r="N10810" s="8" t="s">
        <v>46077</v>
      </c>
      <c r="O10810" s="8">
        <f>11+52/60+31.2/3600</f>
        <v>11.875333333333334</v>
      </c>
      <c r="P10810" s="8" t="s">
        <v>46078</v>
      </c>
      <c r="Q10810" s="8">
        <f>-(3+52/60+23/3600)</f>
        <v>-3.8730555555555557</v>
      </c>
      <c r="R10810" s="8">
        <v>12.9</v>
      </c>
      <c r="S10810" s="8">
        <v>13.7</v>
      </c>
      <c r="T10810" s="8">
        <v>0.8</v>
      </c>
      <c r="U10810" s="8">
        <v>12.7</v>
      </c>
      <c r="V10810" s="8">
        <v>1.3</v>
      </c>
      <c r="W10810" s="8">
        <v>0.8</v>
      </c>
      <c r="X10810" s="8">
        <v>100</v>
      </c>
      <c r="Y10810" s="8" t="s">
        <v>21</v>
      </c>
      <c r="Z10810" s="8" t="s">
        <v>46079</v>
      </c>
    </row>
    <row r="10811" spans="1:26" x14ac:dyDescent="0.2">
      <c r="A10811" s="8">
        <v>10810</v>
      </c>
      <c r="B10811" s="8" t="s">
        <v>46080</v>
      </c>
      <c r="C10811" s="8" t="s">
        <v>46080</v>
      </c>
      <c r="G10811" s="8">
        <v>20</v>
      </c>
      <c r="H10811" s="8" t="s">
        <v>21</v>
      </c>
      <c r="I10811" s="8" t="s">
        <v>329</v>
      </c>
      <c r="J10811" s="8" t="s">
        <v>329</v>
      </c>
      <c r="K10811" s="8" t="s">
        <v>329</v>
      </c>
      <c r="L10811" s="8" t="s">
        <v>15699</v>
      </c>
      <c r="M10811" s="8" t="s">
        <v>15700</v>
      </c>
      <c r="N10811" s="8" t="s">
        <v>46081</v>
      </c>
      <c r="O10811" s="8">
        <f>11+53/60+9/3600</f>
        <v>11.885833333333332</v>
      </c>
      <c r="P10811" s="8" t="s">
        <v>46082</v>
      </c>
      <c r="Q10811" s="8">
        <f>-(23+7/60+24/3600)</f>
        <v>-23.123333333333335</v>
      </c>
      <c r="R10811" s="8">
        <v>99</v>
      </c>
      <c r="S10811" s="8">
        <v>99</v>
      </c>
      <c r="T10811" s="8">
        <v>99</v>
      </c>
      <c r="U10811" s="8">
        <v>99</v>
      </c>
      <c r="Y10811" s="8" t="s">
        <v>21</v>
      </c>
      <c r="Z10811" s="8" t="s">
        <v>46083</v>
      </c>
    </row>
    <row r="10812" spans="1:26" x14ac:dyDescent="0.2">
      <c r="A10812" s="8">
        <v>10811</v>
      </c>
      <c r="B10812" s="8" t="s">
        <v>46084</v>
      </c>
      <c r="C10812" s="8" t="s">
        <v>46084</v>
      </c>
      <c r="G10812" s="8">
        <v>20</v>
      </c>
      <c r="H10812" s="8" t="s">
        <v>21</v>
      </c>
      <c r="I10812" s="8" t="s">
        <v>22</v>
      </c>
      <c r="J10812" s="8" t="s">
        <v>22</v>
      </c>
      <c r="K10812" s="8" t="s">
        <v>449</v>
      </c>
      <c r="L10812" s="8" t="s">
        <v>12015</v>
      </c>
      <c r="M10812" s="8" t="s">
        <v>12016</v>
      </c>
      <c r="N10812" s="8" t="s">
        <v>46085</v>
      </c>
      <c r="O10812" s="8">
        <f>11+53/60+27.5/3600</f>
        <v>11.890972222222222</v>
      </c>
      <c r="P10812" s="8" t="s">
        <v>46086</v>
      </c>
      <c r="Q10812" s="8">
        <f>+(30+41/60+51/3600)</f>
        <v>30.697500000000002</v>
      </c>
      <c r="R10812" s="8">
        <v>14.9</v>
      </c>
      <c r="S10812" s="8">
        <v>15.7</v>
      </c>
      <c r="T10812" s="8">
        <v>0.8</v>
      </c>
      <c r="U10812" s="8">
        <v>11.7</v>
      </c>
      <c r="V10812" s="8">
        <v>0.3</v>
      </c>
      <c r="W10812" s="8">
        <v>0.2</v>
      </c>
      <c r="X10812" s="8">
        <v>160</v>
      </c>
      <c r="Y10812" s="8" t="s">
        <v>446</v>
      </c>
      <c r="Z10812" s="8" t="s">
        <v>447</v>
      </c>
    </row>
    <row r="10813" spans="1:26" x14ac:dyDescent="0.2">
      <c r="A10813" s="8">
        <v>10812</v>
      </c>
      <c r="B10813" s="8" t="s">
        <v>46087</v>
      </c>
      <c r="C10813" s="8" t="s">
        <v>46087</v>
      </c>
      <c r="G10813" s="8">
        <v>20</v>
      </c>
      <c r="H10813" s="8" t="s">
        <v>21</v>
      </c>
      <c r="I10813" s="8" t="s">
        <v>22</v>
      </c>
      <c r="J10813" s="8" t="s">
        <v>57</v>
      </c>
      <c r="K10813" s="8" t="s">
        <v>4103</v>
      </c>
      <c r="L10813" s="8" t="s">
        <v>17287</v>
      </c>
      <c r="M10813" s="8" t="s">
        <v>17288</v>
      </c>
      <c r="N10813" s="8" t="s">
        <v>18017</v>
      </c>
      <c r="O10813" s="8">
        <f>11+53/60+40.1/3600</f>
        <v>11.894472222222221</v>
      </c>
      <c r="P10813" s="8" t="s">
        <v>18018</v>
      </c>
      <c r="Q10813" s="8">
        <f>-(3+59/60+50/3600)</f>
        <v>-3.9972222222222222</v>
      </c>
      <c r="R10813" s="8">
        <v>13.1</v>
      </c>
      <c r="S10813" s="8">
        <v>13.5</v>
      </c>
      <c r="T10813" s="8">
        <v>0.4</v>
      </c>
      <c r="U10813" s="8">
        <v>13</v>
      </c>
      <c r="V10813" s="8">
        <v>1.6</v>
      </c>
      <c r="W10813" s="8">
        <v>0.6</v>
      </c>
      <c r="X10813" s="8">
        <v>78</v>
      </c>
      <c r="Y10813" s="8" t="s">
        <v>21</v>
      </c>
      <c r="Z10813" s="8" t="s">
        <v>46088</v>
      </c>
    </row>
    <row r="10814" spans="1:26" x14ac:dyDescent="0.2">
      <c r="A10814" s="8">
        <v>10813</v>
      </c>
      <c r="B10814" s="8" t="s">
        <v>46089</v>
      </c>
      <c r="C10814" s="8" t="s">
        <v>46089</v>
      </c>
      <c r="G10814" s="8">
        <v>20</v>
      </c>
      <c r="H10814" s="8" t="s">
        <v>21</v>
      </c>
      <c r="I10814" s="8" t="s">
        <v>22</v>
      </c>
      <c r="J10814" s="8" t="s">
        <v>22</v>
      </c>
      <c r="K10814" s="8" t="s">
        <v>1277</v>
      </c>
      <c r="L10814" s="8" t="s">
        <v>12015</v>
      </c>
      <c r="M10814" s="8" t="s">
        <v>12016</v>
      </c>
      <c r="N10814" s="8" t="s">
        <v>46090</v>
      </c>
      <c r="O10814" s="8">
        <f>11+53/60+50.7/3600</f>
        <v>11.897416666666667</v>
      </c>
      <c r="P10814" s="8" t="s">
        <v>46091</v>
      </c>
      <c r="Q10814" s="8">
        <f>+(33+21/60+57/3600)</f>
        <v>33.365833333333335</v>
      </c>
      <c r="R10814" s="8">
        <v>13.7</v>
      </c>
      <c r="S10814" s="8">
        <v>14.4</v>
      </c>
      <c r="T10814" s="8">
        <v>0.7</v>
      </c>
      <c r="U10814" s="8">
        <v>13.7</v>
      </c>
      <c r="V10814" s="8">
        <v>1.4</v>
      </c>
      <c r="W10814" s="8">
        <v>0.8</v>
      </c>
      <c r="X10814" s="8">
        <v>125</v>
      </c>
      <c r="Y10814" s="8" t="s">
        <v>44713</v>
      </c>
      <c r="Z10814" s="8" t="s">
        <v>44714</v>
      </c>
    </row>
    <row r="10815" spans="1:26" x14ac:dyDescent="0.2">
      <c r="A10815" s="8">
        <v>10814</v>
      </c>
      <c r="B10815" s="8" t="s">
        <v>46092</v>
      </c>
      <c r="C10815" s="8" t="s">
        <v>46092</v>
      </c>
      <c r="G10815" s="8">
        <v>20</v>
      </c>
      <c r="H10815" s="8" t="s">
        <v>21</v>
      </c>
      <c r="I10815" s="8" t="s">
        <v>22</v>
      </c>
      <c r="J10815" s="8" t="s">
        <v>22</v>
      </c>
      <c r="K10815" s="8" t="s">
        <v>160</v>
      </c>
      <c r="L10815" s="8" t="s">
        <v>17287</v>
      </c>
      <c r="M10815" s="8" t="s">
        <v>17288</v>
      </c>
      <c r="N10815" s="8" t="s">
        <v>46093</v>
      </c>
      <c r="O10815" s="8">
        <f>11+53/60+48.7/3600</f>
        <v>11.896861111111111</v>
      </c>
      <c r="P10815" s="8" t="s">
        <v>46094</v>
      </c>
      <c r="Q10815" s="8">
        <f>-(5+10/60+6/3600)</f>
        <v>-5.1683333333333339</v>
      </c>
      <c r="R10815" s="8">
        <v>13.2</v>
      </c>
      <c r="S10815" s="8">
        <v>13.9</v>
      </c>
      <c r="T10815" s="8">
        <v>0.7</v>
      </c>
      <c r="U10815" s="8">
        <v>13.2</v>
      </c>
      <c r="V10815" s="8">
        <v>2.2000000000000002</v>
      </c>
      <c r="W10815" s="8">
        <v>0.5</v>
      </c>
      <c r="X10815" s="8">
        <v>105</v>
      </c>
      <c r="Y10815" s="8" t="s">
        <v>46095</v>
      </c>
      <c r="Z10815" s="8" t="s">
        <v>46096</v>
      </c>
    </row>
    <row r="10816" spans="1:26" x14ac:dyDescent="0.2">
      <c r="A10816" s="8">
        <v>10815</v>
      </c>
      <c r="B10816" s="8" t="s">
        <v>46097</v>
      </c>
      <c r="C10816" s="8" t="s">
        <v>46097</v>
      </c>
      <c r="G10816" s="8">
        <v>20</v>
      </c>
      <c r="H10816" s="8" t="s">
        <v>21</v>
      </c>
      <c r="I10816" s="8" t="s">
        <v>329</v>
      </c>
      <c r="J10816" s="8" t="s">
        <v>329</v>
      </c>
      <c r="K10816" s="8" t="s">
        <v>329</v>
      </c>
      <c r="L10816" s="8" t="s">
        <v>17287</v>
      </c>
      <c r="M10816" s="8" t="s">
        <v>17288</v>
      </c>
      <c r="N10816" s="8" t="s">
        <v>46098</v>
      </c>
      <c r="O10816" s="8">
        <f>11+54/60+6/3600</f>
        <v>11.901666666666667</v>
      </c>
      <c r="P10816" s="8" t="s">
        <v>46099</v>
      </c>
      <c r="Q10816" s="8">
        <f>-(5+33/60+42/3600)</f>
        <v>-5.5616666666666665</v>
      </c>
      <c r="R10816" s="8">
        <v>99</v>
      </c>
      <c r="S10816" s="8">
        <v>99</v>
      </c>
      <c r="T10816" s="8">
        <v>99</v>
      </c>
      <c r="U10816" s="8">
        <v>99</v>
      </c>
      <c r="Y10816" s="8" t="s">
        <v>21</v>
      </c>
      <c r="Z10816" s="8" t="s">
        <v>46100</v>
      </c>
    </row>
    <row r="10817" spans="1:26" x14ac:dyDescent="0.2">
      <c r="A10817" s="8">
        <v>10816</v>
      </c>
      <c r="B10817" s="8" t="s">
        <v>46101</v>
      </c>
      <c r="C10817" s="8" t="s">
        <v>46101</v>
      </c>
      <c r="G10817" s="8">
        <v>20</v>
      </c>
      <c r="H10817" s="8" t="s">
        <v>21</v>
      </c>
      <c r="I10817" s="8" t="s">
        <v>22</v>
      </c>
      <c r="J10817" s="8" t="s">
        <v>57</v>
      </c>
      <c r="K10817" s="8" t="s">
        <v>37</v>
      </c>
      <c r="L10817" s="8" t="s">
        <v>17287</v>
      </c>
      <c r="M10817" s="8" t="s">
        <v>17288</v>
      </c>
      <c r="N10817" s="8" t="s">
        <v>18143</v>
      </c>
      <c r="O10817" s="8">
        <f>11+56/60+1.1/3600</f>
        <v>11.93363888888889</v>
      </c>
      <c r="P10817" s="8" t="s">
        <v>18144</v>
      </c>
      <c r="Q10817" s="8">
        <f>-(2+43/60+14/3600)</f>
        <v>-2.7205555555555558</v>
      </c>
      <c r="R10817" s="8">
        <v>12.9</v>
      </c>
      <c r="S10817" s="8">
        <v>13.9</v>
      </c>
      <c r="T10817" s="8">
        <v>1</v>
      </c>
      <c r="U10817" s="8">
        <v>12.8</v>
      </c>
      <c r="V10817" s="8">
        <v>1.1000000000000001</v>
      </c>
      <c r="W10817" s="8">
        <v>0.9</v>
      </c>
      <c r="X10817" s="8">
        <v>112</v>
      </c>
      <c r="Y10817" s="8" t="s">
        <v>21</v>
      </c>
      <c r="Z10817" s="8" t="s">
        <v>46102</v>
      </c>
    </row>
    <row r="10818" spans="1:26" x14ac:dyDescent="0.2">
      <c r="A10818" s="8">
        <v>10817</v>
      </c>
      <c r="B10818" s="8" t="s">
        <v>46103</v>
      </c>
      <c r="C10818" s="8" t="s">
        <v>46103</v>
      </c>
      <c r="G10818" s="8">
        <v>20</v>
      </c>
      <c r="H10818" s="8" t="s">
        <v>21</v>
      </c>
      <c r="I10818" s="8" t="s">
        <v>22</v>
      </c>
      <c r="J10818" s="8" t="s">
        <v>22</v>
      </c>
      <c r="K10818" s="8" t="s">
        <v>4103</v>
      </c>
      <c r="L10818" s="8" t="s">
        <v>16195</v>
      </c>
      <c r="M10818" s="8" t="s">
        <v>16196</v>
      </c>
      <c r="N10818" s="8" t="s">
        <v>46104</v>
      </c>
      <c r="O10818" s="8">
        <f>11+55/60+14.5/3600</f>
        <v>11.920694444444443</v>
      </c>
      <c r="P10818" s="8" t="s">
        <v>46105</v>
      </c>
      <c r="Q10818" s="8">
        <f>-(37+41/60+46/3600)</f>
        <v>-37.696111111111108</v>
      </c>
      <c r="R10818" s="8">
        <v>12.3</v>
      </c>
      <c r="S10818" s="8">
        <v>13.2</v>
      </c>
      <c r="T10818" s="8">
        <v>0.9</v>
      </c>
      <c r="U10818" s="8">
        <v>12.3</v>
      </c>
      <c r="V10818" s="8">
        <v>1.6</v>
      </c>
      <c r="W10818" s="8">
        <v>0.7</v>
      </c>
      <c r="X10818" s="8">
        <v>122</v>
      </c>
      <c r="Y10818" s="8" t="s">
        <v>21</v>
      </c>
      <c r="Z10818" s="8" t="s">
        <v>46106</v>
      </c>
    </row>
    <row r="10819" spans="1:26" x14ac:dyDescent="0.2">
      <c r="A10819" s="8">
        <v>10818</v>
      </c>
      <c r="B10819" s="8" t="s">
        <v>46107</v>
      </c>
      <c r="C10819" s="8" t="s">
        <v>46107</v>
      </c>
      <c r="G10819" s="8">
        <v>20</v>
      </c>
      <c r="H10819" s="8" t="s">
        <v>21</v>
      </c>
      <c r="I10819" s="8" t="s">
        <v>22</v>
      </c>
      <c r="J10819" s="8" t="s">
        <v>22</v>
      </c>
      <c r="K10819" s="8" t="s">
        <v>1277</v>
      </c>
      <c r="L10819" s="8" t="s">
        <v>12015</v>
      </c>
      <c r="M10819" s="8" t="s">
        <v>12016</v>
      </c>
      <c r="N10819" s="8" t="s">
        <v>46108</v>
      </c>
      <c r="O10819" s="8">
        <f>11+56/60+23.1/3600</f>
        <v>11.93975</v>
      </c>
      <c r="P10819" s="8" t="s">
        <v>46109</v>
      </c>
      <c r="Q10819" s="8">
        <f>+(32+2/60+19/3600)</f>
        <v>32.038611111111109</v>
      </c>
      <c r="R10819" s="8">
        <v>14.6</v>
      </c>
      <c r="S10819" s="8">
        <v>15.3</v>
      </c>
      <c r="T10819" s="8">
        <v>0.7</v>
      </c>
      <c r="U10819" s="8">
        <v>13.6</v>
      </c>
      <c r="V10819" s="8">
        <v>1.1000000000000001</v>
      </c>
      <c r="W10819" s="8">
        <v>0.4</v>
      </c>
      <c r="X10819" s="8">
        <v>126</v>
      </c>
      <c r="Y10819" s="8" t="s">
        <v>24836</v>
      </c>
      <c r="Z10819" s="8" t="s">
        <v>24837</v>
      </c>
    </row>
    <row r="10820" spans="1:26" x14ac:dyDescent="0.2">
      <c r="A10820" s="8">
        <v>10819</v>
      </c>
      <c r="B10820" s="8" t="s">
        <v>46110</v>
      </c>
      <c r="C10820" s="8" t="s">
        <v>46110</v>
      </c>
      <c r="G10820" s="8">
        <v>20</v>
      </c>
      <c r="H10820" s="8" t="s">
        <v>21</v>
      </c>
      <c r="I10820" s="8" t="s">
        <v>22</v>
      </c>
      <c r="J10820" s="8" t="s">
        <v>22</v>
      </c>
      <c r="K10820" s="8" t="s">
        <v>224</v>
      </c>
      <c r="L10820" s="8" t="s">
        <v>12015</v>
      </c>
      <c r="M10820" s="8" t="s">
        <v>12016</v>
      </c>
      <c r="N10820" s="8" t="s">
        <v>46111</v>
      </c>
      <c r="O10820" s="8">
        <f>11+56/60+54.2/3600</f>
        <v>11.948388888888889</v>
      </c>
      <c r="P10820" s="8" t="s">
        <v>46112</v>
      </c>
      <c r="Q10820" s="8">
        <f>+(32+9/60+31/3600)</f>
        <v>32.158611111111107</v>
      </c>
      <c r="R10820" s="8">
        <v>13.5</v>
      </c>
      <c r="S10820" s="8">
        <v>14.5</v>
      </c>
      <c r="T10820" s="8">
        <v>1</v>
      </c>
      <c r="U10820" s="8">
        <v>13</v>
      </c>
      <c r="V10820" s="8">
        <v>0.9</v>
      </c>
      <c r="W10820" s="8">
        <v>0.8</v>
      </c>
      <c r="X10820" s="8">
        <v>171</v>
      </c>
      <c r="Y10820" s="8" t="s">
        <v>37996</v>
      </c>
      <c r="Z10820" s="8" t="s">
        <v>37997</v>
      </c>
    </row>
    <row r="10821" spans="1:26" x14ac:dyDescent="0.2">
      <c r="A10821" s="8">
        <v>10820</v>
      </c>
      <c r="B10821" s="8" t="s">
        <v>46113</v>
      </c>
      <c r="C10821" s="8" t="s">
        <v>46113</v>
      </c>
      <c r="G10821" s="8">
        <v>20</v>
      </c>
      <c r="H10821" s="8" t="s">
        <v>21</v>
      </c>
      <c r="I10821" s="8" t="s">
        <v>22</v>
      </c>
      <c r="J10821" s="8" t="s">
        <v>22</v>
      </c>
      <c r="K10821" s="8" t="s">
        <v>382</v>
      </c>
      <c r="L10821" s="8" t="s">
        <v>18521</v>
      </c>
      <c r="M10821" s="8" t="s">
        <v>18522</v>
      </c>
      <c r="N10821" s="8" t="s">
        <v>46114</v>
      </c>
      <c r="O10821" s="8">
        <f>11+57/60+30/3600</f>
        <v>11.958333333333332</v>
      </c>
      <c r="P10821" s="8" t="s">
        <v>46115</v>
      </c>
      <c r="Q10821" s="8">
        <f>-(73+41/60+6/3600)</f>
        <v>-73.685000000000002</v>
      </c>
      <c r="R10821" s="8">
        <v>12.4</v>
      </c>
      <c r="S10821" s="8">
        <v>13.4</v>
      </c>
      <c r="T10821" s="8">
        <v>1</v>
      </c>
      <c r="U10821" s="8">
        <v>12.7</v>
      </c>
      <c r="V10821" s="8">
        <v>1.2</v>
      </c>
      <c r="W10821" s="8">
        <v>1</v>
      </c>
      <c r="X10821" s="8">
        <v>42</v>
      </c>
      <c r="Y10821" s="8" t="s">
        <v>46116</v>
      </c>
      <c r="Z10821" s="8" t="s">
        <v>46117</v>
      </c>
    </row>
    <row r="10822" spans="1:26" x14ac:dyDescent="0.2">
      <c r="A10822" s="8">
        <v>10821</v>
      </c>
      <c r="B10822" s="8" t="s">
        <v>46118</v>
      </c>
      <c r="C10822" s="8" t="s">
        <v>46118</v>
      </c>
      <c r="G10822" s="8">
        <v>20</v>
      </c>
      <c r="H10822" s="8" t="s">
        <v>21</v>
      </c>
      <c r="I10822" s="8" t="s">
        <v>22</v>
      </c>
      <c r="J10822" s="8" t="s">
        <v>22</v>
      </c>
      <c r="K10822" s="8" t="s">
        <v>154</v>
      </c>
      <c r="L10822" s="8" t="s">
        <v>12015</v>
      </c>
      <c r="M10822" s="8" t="s">
        <v>12016</v>
      </c>
      <c r="N10822" s="8" t="s">
        <v>46119</v>
      </c>
      <c r="O10822" s="8">
        <f>11+55/60+42.5/3600</f>
        <v>11.928472222222222</v>
      </c>
      <c r="P10822" s="8" t="s">
        <v>46120</v>
      </c>
      <c r="Q10822" s="8">
        <f>+(32+11/60+24/3600)</f>
        <v>32.19</v>
      </c>
      <c r="R10822" s="8">
        <v>14</v>
      </c>
      <c r="S10822" s="8">
        <v>14.9</v>
      </c>
      <c r="T10822" s="8">
        <v>0.9</v>
      </c>
      <c r="U10822" s="8">
        <v>11.5</v>
      </c>
      <c r="V10822" s="8">
        <v>0.4</v>
      </c>
      <c r="W10822" s="8">
        <v>0.3</v>
      </c>
      <c r="Y10822" s="8" t="s">
        <v>27186</v>
      </c>
      <c r="Z10822" s="8" t="s">
        <v>27187</v>
      </c>
    </row>
    <row r="10823" spans="1:26" x14ac:dyDescent="0.2">
      <c r="A10823" s="8">
        <v>10822</v>
      </c>
      <c r="B10823" s="8" t="s">
        <v>46121</v>
      </c>
      <c r="C10823" s="8" t="s">
        <v>46121</v>
      </c>
      <c r="G10823" s="8">
        <v>20</v>
      </c>
      <c r="H10823" s="8" t="s">
        <v>21</v>
      </c>
      <c r="I10823" s="8" t="s">
        <v>22</v>
      </c>
      <c r="J10823" s="8" t="s">
        <v>22</v>
      </c>
      <c r="K10823" s="8" t="s">
        <v>58</v>
      </c>
      <c r="L10823" s="8" t="s">
        <v>13194</v>
      </c>
      <c r="M10823" s="8" t="s">
        <v>13195</v>
      </c>
      <c r="N10823" s="8" t="s">
        <v>46122</v>
      </c>
      <c r="O10823" s="8">
        <f>11+57/60+51.3/3600</f>
        <v>11.96425</v>
      </c>
      <c r="P10823" s="8" t="s">
        <v>46123</v>
      </c>
      <c r="Q10823" s="8">
        <f>+(27+52/60+6/3600)</f>
        <v>27.868333333333332</v>
      </c>
      <c r="R10823" s="8">
        <v>14.3</v>
      </c>
      <c r="S10823" s="8">
        <v>15.3</v>
      </c>
      <c r="T10823" s="8">
        <v>1</v>
      </c>
      <c r="U10823" s="8">
        <v>12.3</v>
      </c>
      <c r="V10823" s="8">
        <v>0.5</v>
      </c>
      <c r="W10823" s="8">
        <v>0.3</v>
      </c>
      <c r="X10823" s="8">
        <v>85</v>
      </c>
      <c r="Y10823" s="8" t="s">
        <v>21</v>
      </c>
      <c r="Z10823" s="8" t="s">
        <v>46124</v>
      </c>
    </row>
    <row r="10824" spans="1:26" x14ac:dyDescent="0.2">
      <c r="A10824" s="8">
        <v>10823</v>
      </c>
      <c r="B10824" s="8" t="s">
        <v>46125</v>
      </c>
      <c r="C10824" s="8" t="s">
        <v>46125</v>
      </c>
      <c r="G10824" s="8">
        <v>20</v>
      </c>
      <c r="H10824" s="8" t="s">
        <v>21</v>
      </c>
      <c r="I10824" s="8" t="s">
        <v>329</v>
      </c>
      <c r="J10824" s="8" t="s">
        <v>329</v>
      </c>
      <c r="K10824" s="8" t="s">
        <v>329</v>
      </c>
      <c r="L10824" s="8" t="s">
        <v>17287</v>
      </c>
      <c r="M10824" s="8" t="s">
        <v>17288</v>
      </c>
      <c r="N10824" s="8" t="s">
        <v>46126</v>
      </c>
      <c r="O10824" s="8">
        <f>11+58/60+16/3600</f>
        <v>11.971111111111112</v>
      </c>
      <c r="P10824" s="8" t="s">
        <v>46127</v>
      </c>
      <c r="Q10824" s="8">
        <f>-(2+6/60+36/3600)</f>
        <v>-2.11</v>
      </c>
      <c r="R10824" s="8">
        <v>99</v>
      </c>
      <c r="S10824" s="8">
        <v>99</v>
      </c>
      <c r="T10824" s="8">
        <v>99</v>
      </c>
      <c r="U10824" s="8">
        <v>99</v>
      </c>
      <c r="Y10824" s="8" t="s">
        <v>47</v>
      </c>
      <c r="Z10824" s="8" t="s">
        <v>48</v>
      </c>
    </row>
    <row r="10825" spans="1:26" x14ac:dyDescent="0.2">
      <c r="A10825" s="8">
        <v>10824</v>
      </c>
      <c r="B10825" s="8" t="s">
        <v>46128</v>
      </c>
      <c r="C10825" s="8" t="s">
        <v>46128</v>
      </c>
      <c r="G10825" s="8">
        <v>20</v>
      </c>
      <c r="H10825" s="8" t="s">
        <v>21</v>
      </c>
      <c r="I10825" s="8" t="s">
        <v>22</v>
      </c>
      <c r="J10825" s="8" t="s">
        <v>22</v>
      </c>
      <c r="K10825" s="8" t="s">
        <v>23</v>
      </c>
      <c r="L10825" s="8" t="s">
        <v>12015</v>
      </c>
      <c r="M10825" s="8" t="s">
        <v>12016</v>
      </c>
      <c r="N10825" s="8" t="s">
        <v>46129</v>
      </c>
      <c r="O10825" s="8">
        <f>11+59/60+7.2/3600</f>
        <v>11.985333333333333</v>
      </c>
      <c r="P10825" s="8" t="s">
        <v>46086</v>
      </c>
      <c r="Q10825" s="8">
        <f>+(30+41/60+51/3600)</f>
        <v>30.697500000000002</v>
      </c>
      <c r="R10825" s="8">
        <v>14.8</v>
      </c>
      <c r="S10825" s="8">
        <v>15.6</v>
      </c>
      <c r="T10825" s="8">
        <v>0.8</v>
      </c>
      <c r="U10825" s="8">
        <v>13.3</v>
      </c>
      <c r="V10825" s="8">
        <v>0.7</v>
      </c>
      <c r="W10825" s="8">
        <v>0.4</v>
      </c>
      <c r="X10825" s="8">
        <v>75</v>
      </c>
      <c r="Y10825" s="8" t="s">
        <v>46130</v>
      </c>
      <c r="Z10825" s="8" t="s">
        <v>46131</v>
      </c>
    </row>
    <row r="10826" spans="1:26" x14ac:dyDescent="0.2">
      <c r="A10826" s="8">
        <v>10825</v>
      </c>
      <c r="B10826" s="8" t="s">
        <v>46132</v>
      </c>
      <c r="C10826" s="8" t="s">
        <v>46132</v>
      </c>
      <c r="G10826" s="8">
        <v>20</v>
      </c>
      <c r="H10826" s="8" t="s">
        <v>21</v>
      </c>
      <c r="I10826" s="8" t="s">
        <v>22</v>
      </c>
      <c r="J10826" s="8" t="s">
        <v>22</v>
      </c>
      <c r="K10826" s="8" t="s">
        <v>435</v>
      </c>
      <c r="L10826" s="8" t="s">
        <v>12015</v>
      </c>
      <c r="M10826" s="8" t="s">
        <v>12016</v>
      </c>
      <c r="N10826" s="8" t="s">
        <v>46133</v>
      </c>
      <c r="O10826" s="8">
        <f>11+59/60+12.5/3600</f>
        <v>11.986805555555554</v>
      </c>
      <c r="P10826" s="8" t="s">
        <v>46134</v>
      </c>
      <c r="Q10826" s="8">
        <f>+(30+43/60+52/3600)</f>
        <v>30.731111111111108</v>
      </c>
      <c r="R10826" s="8">
        <v>14.2</v>
      </c>
      <c r="S10826" s="8">
        <v>15.1</v>
      </c>
      <c r="T10826" s="8">
        <v>0.9</v>
      </c>
      <c r="U10826" s="8">
        <v>13.3</v>
      </c>
      <c r="V10826" s="8">
        <v>1</v>
      </c>
      <c r="W10826" s="8">
        <v>0.5</v>
      </c>
      <c r="X10826" s="8">
        <v>142</v>
      </c>
      <c r="Y10826" s="8" t="s">
        <v>43281</v>
      </c>
      <c r="Z10826" s="8" t="s">
        <v>43282</v>
      </c>
    </row>
    <row r="10827" spans="1:26" x14ac:dyDescent="0.2">
      <c r="A10827" s="8">
        <v>10826</v>
      </c>
      <c r="B10827" s="8" t="s">
        <v>46135</v>
      </c>
      <c r="C10827" s="8" t="s">
        <v>46135</v>
      </c>
      <c r="G10827" s="8">
        <v>20</v>
      </c>
      <c r="H10827" s="8" t="s">
        <v>21</v>
      </c>
      <c r="I10827" s="8" t="s">
        <v>22</v>
      </c>
      <c r="J10827" s="8" t="s">
        <v>22</v>
      </c>
      <c r="K10827" s="8" t="s">
        <v>224</v>
      </c>
      <c r="L10827" s="8" t="s">
        <v>12015</v>
      </c>
      <c r="M10827" s="8" t="s">
        <v>12016</v>
      </c>
      <c r="N10827" s="8" t="s">
        <v>46136</v>
      </c>
      <c r="O10827" s="8">
        <f>11+59/60+49.5/3600</f>
        <v>11.997083333333332</v>
      </c>
      <c r="P10827" s="8" t="s">
        <v>46137</v>
      </c>
      <c r="Q10827" s="8">
        <f>+(30+50/60+42/3600)</f>
        <v>30.844999999999999</v>
      </c>
      <c r="R10827" s="8">
        <v>13.9</v>
      </c>
      <c r="S10827" s="8">
        <v>14.9</v>
      </c>
      <c r="T10827" s="8">
        <v>1</v>
      </c>
      <c r="U10827" s="8">
        <v>12.8</v>
      </c>
      <c r="V10827" s="8">
        <v>0.7</v>
      </c>
      <c r="W10827" s="8">
        <v>0.6</v>
      </c>
      <c r="X10827" s="8">
        <v>0</v>
      </c>
      <c r="Y10827" s="8" t="s">
        <v>41033</v>
      </c>
      <c r="Z10827" s="8" t="s">
        <v>41034</v>
      </c>
    </row>
    <row r="10828" spans="1:26" x14ac:dyDescent="0.2">
      <c r="A10828" s="8">
        <v>10827</v>
      </c>
      <c r="B10828" s="8" t="s">
        <v>46138</v>
      </c>
      <c r="C10828" s="8" t="s">
        <v>46138</v>
      </c>
      <c r="G10828" s="8">
        <v>20</v>
      </c>
      <c r="H10828" s="8" t="s">
        <v>21</v>
      </c>
      <c r="I10828" s="8" t="s">
        <v>22</v>
      </c>
      <c r="J10828" s="8" t="s">
        <v>22</v>
      </c>
      <c r="K10828" s="8" t="s">
        <v>476</v>
      </c>
      <c r="L10828" s="8" t="s">
        <v>12015</v>
      </c>
      <c r="M10828" s="8" t="s">
        <v>12016</v>
      </c>
      <c r="N10828" s="8" t="s">
        <v>46139</v>
      </c>
      <c r="O10828" s="8">
        <f>12+3/60+24.6/3600</f>
        <v>12.056833333333334</v>
      </c>
      <c r="P10828" s="8" t="s">
        <v>46140</v>
      </c>
      <c r="Q10828" s="8">
        <f>+(38+48/60+48/3600)</f>
        <v>38.813333333333333</v>
      </c>
      <c r="R10828" s="8">
        <v>14.6</v>
      </c>
      <c r="S10828" s="8">
        <v>15.4</v>
      </c>
      <c r="T10828" s="8">
        <v>0.8</v>
      </c>
      <c r="U10828" s="8">
        <v>12.4</v>
      </c>
      <c r="V10828" s="8">
        <v>0.5</v>
      </c>
      <c r="W10828" s="8">
        <v>0.3</v>
      </c>
      <c r="X10828" s="8">
        <v>60</v>
      </c>
      <c r="Y10828" s="8" t="s">
        <v>46141</v>
      </c>
      <c r="Z10828" s="8" t="s">
        <v>46142</v>
      </c>
    </row>
    <row r="10829" spans="1:26" x14ac:dyDescent="0.2">
      <c r="A10829" s="8">
        <v>10828</v>
      </c>
      <c r="B10829" s="8" t="s">
        <v>46143</v>
      </c>
      <c r="C10829" s="8" t="s">
        <v>46143</v>
      </c>
      <c r="G10829" s="8">
        <v>20</v>
      </c>
      <c r="H10829" s="8" t="s">
        <v>21</v>
      </c>
      <c r="I10829" s="8" t="s">
        <v>72</v>
      </c>
      <c r="J10829" s="8" t="s">
        <v>72</v>
      </c>
      <c r="K10829" s="8" t="s">
        <v>20</v>
      </c>
      <c r="L10829" s="8" t="s">
        <v>17287</v>
      </c>
      <c r="M10829" s="8" t="s">
        <v>17288</v>
      </c>
      <c r="N10829" s="8" t="s">
        <v>46144</v>
      </c>
      <c r="O10829" s="8">
        <f>12+3/60+42.2/3600</f>
        <v>12.061722222222222</v>
      </c>
      <c r="P10829" s="8" t="s">
        <v>46145</v>
      </c>
      <c r="Q10829" s="8">
        <f>+(3+25/60+46/3600)</f>
        <v>3.4294444444444445</v>
      </c>
      <c r="R10829" s="8">
        <v>99</v>
      </c>
      <c r="S10829" s="8">
        <v>99</v>
      </c>
      <c r="T10829" s="8">
        <v>99</v>
      </c>
      <c r="U10829" s="8">
        <v>99</v>
      </c>
      <c r="Y10829" s="8" t="s">
        <v>21</v>
      </c>
      <c r="Z10829" s="8" t="s">
        <v>46146</v>
      </c>
    </row>
    <row r="10830" spans="1:26" x14ac:dyDescent="0.2">
      <c r="A10830" s="8">
        <v>10829</v>
      </c>
      <c r="B10830" s="8" t="s">
        <v>46147</v>
      </c>
      <c r="C10830" s="8" t="s">
        <v>46147</v>
      </c>
      <c r="G10830" s="8">
        <v>20</v>
      </c>
      <c r="H10830" s="8" t="s">
        <v>21</v>
      </c>
      <c r="I10830" s="8" t="s">
        <v>22</v>
      </c>
      <c r="J10830" s="8" t="s">
        <v>57</v>
      </c>
      <c r="K10830" s="8" t="s">
        <v>224</v>
      </c>
      <c r="L10830" s="8" t="s">
        <v>17287</v>
      </c>
      <c r="M10830" s="8" t="s">
        <v>17288</v>
      </c>
      <c r="N10830" s="8" t="s">
        <v>18815</v>
      </c>
      <c r="O10830" s="8">
        <f>12+4/60+34/3600</f>
        <v>12.076111111111111</v>
      </c>
      <c r="P10830" s="8" t="s">
        <v>18816</v>
      </c>
      <c r="Q10830" s="8">
        <f>+(1+48/60+5/3600)</f>
        <v>1.8013888888888889</v>
      </c>
      <c r="R10830" s="8">
        <v>13.7</v>
      </c>
      <c r="S10830" s="8">
        <v>14.7</v>
      </c>
      <c r="T10830" s="8">
        <v>1</v>
      </c>
      <c r="U10830" s="8">
        <v>12.8</v>
      </c>
      <c r="V10830" s="8">
        <v>1</v>
      </c>
      <c r="W10830" s="8">
        <v>0.5</v>
      </c>
      <c r="X10830" s="8">
        <v>153</v>
      </c>
      <c r="Y10830" s="8" t="s">
        <v>21</v>
      </c>
      <c r="Z10830" s="8" t="s">
        <v>46148</v>
      </c>
    </row>
    <row r="10831" spans="1:26" x14ac:dyDescent="0.2">
      <c r="A10831" s="8">
        <v>10830</v>
      </c>
      <c r="B10831" s="8" t="s">
        <v>46149</v>
      </c>
      <c r="C10831" s="8" t="s">
        <v>46149</v>
      </c>
      <c r="G10831" s="8">
        <v>20</v>
      </c>
      <c r="H10831" s="8" t="s">
        <v>21</v>
      </c>
      <c r="I10831" s="8" t="s">
        <v>22</v>
      </c>
      <c r="J10831" s="8" t="s">
        <v>22</v>
      </c>
      <c r="K10831" s="8" t="s">
        <v>449</v>
      </c>
      <c r="L10831" s="8" t="s">
        <v>17287</v>
      </c>
      <c r="M10831" s="8" t="s">
        <v>17288</v>
      </c>
      <c r="N10831" s="8" t="s">
        <v>46150</v>
      </c>
      <c r="O10831" s="8">
        <f>12+4/60+38.5/3600</f>
        <v>12.077361111111111</v>
      </c>
      <c r="P10831" s="8" t="s">
        <v>46151</v>
      </c>
      <c r="Q10831" s="8">
        <f>+(11+3/60+0/3600)</f>
        <v>11.05</v>
      </c>
      <c r="R10831" s="8">
        <v>15.1</v>
      </c>
      <c r="S10831" s="8">
        <v>15.9</v>
      </c>
      <c r="T10831" s="8">
        <v>0.8</v>
      </c>
      <c r="U10831" s="8">
        <v>13.4</v>
      </c>
      <c r="V10831" s="8">
        <v>0.8</v>
      </c>
      <c r="W10831" s="8">
        <v>0.3</v>
      </c>
      <c r="X10831" s="8">
        <v>15</v>
      </c>
      <c r="Y10831" s="8" t="s">
        <v>21</v>
      </c>
      <c r="Z10831" s="8" t="s">
        <v>46152</v>
      </c>
    </row>
    <row r="10832" spans="1:26" x14ac:dyDescent="0.2">
      <c r="A10832" s="8">
        <v>10831</v>
      </c>
      <c r="B10832" s="8" t="s">
        <v>46153</v>
      </c>
      <c r="C10832" s="8" t="s">
        <v>46153</v>
      </c>
      <c r="G10832" s="8">
        <v>20</v>
      </c>
      <c r="H10832" s="8" t="s">
        <v>21</v>
      </c>
      <c r="I10832" s="8" t="s">
        <v>22</v>
      </c>
      <c r="J10832" s="8" t="s">
        <v>22</v>
      </c>
      <c r="K10832" s="8" t="s">
        <v>396</v>
      </c>
      <c r="L10832" s="8" t="s">
        <v>17287</v>
      </c>
      <c r="M10832" s="8" t="s">
        <v>17288</v>
      </c>
      <c r="N10832" s="8" t="s">
        <v>46154</v>
      </c>
      <c r="O10832" s="8">
        <f>12+5/60+12.5/3600</f>
        <v>12.086805555555555</v>
      </c>
      <c r="P10832" s="8" t="s">
        <v>46155</v>
      </c>
      <c r="Q10832" s="8">
        <f>+(10+38/60+24/3600)</f>
        <v>10.639999999999999</v>
      </c>
      <c r="R10832" s="8">
        <v>14.6</v>
      </c>
      <c r="S10832" s="8">
        <v>15.4</v>
      </c>
      <c r="T10832" s="8">
        <v>0.8</v>
      </c>
      <c r="U10832" s="8">
        <v>12.3</v>
      </c>
      <c r="V10832" s="8">
        <v>0.7</v>
      </c>
      <c r="W10832" s="8">
        <v>0.2</v>
      </c>
      <c r="X10832" s="8">
        <v>40</v>
      </c>
      <c r="Y10832" s="8" t="s">
        <v>21</v>
      </c>
      <c r="Z10832" s="8" t="s">
        <v>46156</v>
      </c>
    </row>
    <row r="10833" spans="1:26" x14ac:dyDescent="0.2">
      <c r="A10833" s="8">
        <v>10832</v>
      </c>
      <c r="B10833" s="8" t="s">
        <v>46157</v>
      </c>
      <c r="C10833" s="8" t="s">
        <v>46157</v>
      </c>
      <c r="G10833" s="8">
        <v>20</v>
      </c>
      <c r="H10833" s="8" t="s">
        <v>21</v>
      </c>
      <c r="I10833" s="8" t="s">
        <v>22</v>
      </c>
      <c r="J10833" s="8" t="s">
        <v>22</v>
      </c>
      <c r="K10833" s="8" t="s">
        <v>91</v>
      </c>
      <c r="L10833" s="8" t="s">
        <v>12015</v>
      </c>
      <c r="M10833" s="8" t="s">
        <v>12016</v>
      </c>
      <c r="N10833" s="8" t="s">
        <v>46158</v>
      </c>
      <c r="O10833" s="8">
        <f>12+5/60+15.8/3600</f>
        <v>12.087722222222222</v>
      </c>
      <c r="P10833" s="8" t="s">
        <v>46159</v>
      </c>
      <c r="Q10833" s="8">
        <f>+(30+51/60+19/3600)</f>
        <v>30.855277777777779</v>
      </c>
      <c r="R10833" s="8">
        <v>14.1</v>
      </c>
      <c r="S10833" s="8">
        <v>15</v>
      </c>
      <c r="T10833" s="8">
        <v>0.9</v>
      </c>
      <c r="U10833" s="8">
        <v>12.6</v>
      </c>
      <c r="V10833" s="8">
        <v>0.6</v>
      </c>
      <c r="W10833" s="8">
        <v>0.5</v>
      </c>
      <c r="X10833" s="8">
        <v>0</v>
      </c>
      <c r="Y10833" s="8" t="s">
        <v>43937</v>
      </c>
      <c r="Z10833" s="8" t="s">
        <v>43938</v>
      </c>
    </row>
    <row r="10834" spans="1:26" x14ac:dyDescent="0.2">
      <c r="A10834" s="8">
        <v>10833</v>
      </c>
      <c r="B10834" s="8" t="s">
        <v>46160</v>
      </c>
      <c r="C10834" s="8" t="s">
        <v>46160</v>
      </c>
      <c r="G10834" s="8">
        <v>20</v>
      </c>
      <c r="H10834" s="8" t="s">
        <v>21</v>
      </c>
      <c r="I10834" s="8" t="s">
        <v>22</v>
      </c>
      <c r="J10834" s="8" t="s">
        <v>22</v>
      </c>
      <c r="K10834" s="8" t="s">
        <v>424</v>
      </c>
      <c r="L10834" s="8" t="s">
        <v>12015</v>
      </c>
      <c r="M10834" s="8" t="s">
        <v>12016</v>
      </c>
      <c r="N10834" s="8" t="s">
        <v>46161</v>
      </c>
      <c r="O10834" s="8">
        <f>12+5/60+38.3/3600</f>
        <v>12.093972222222224</v>
      </c>
      <c r="P10834" s="8" t="s">
        <v>46162</v>
      </c>
      <c r="Q10834" s="8">
        <f>+(32+49/60+20/3600)</f>
        <v>32.822222222222223</v>
      </c>
      <c r="R10834" s="8">
        <v>14.5</v>
      </c>
      <c r="S10834" s="8">
        <v>15.5</v>
      </c>
      <c r="T10834" s="8">
        <v>1</v>
      </c>
      <c r="U10834" s="8">
        <v>12.4</v>
      </c>
      <c r="V10834" s="8">
        <v>0.4</v>
      </c>
      <c r="W10834" s="8">
        <v>0.4</v>
      </c>
      <c r="Y10834" s="8" t="s">
        <v>46163</v>
      </c>
      <c r="Z10834" s="8" t="s">
        <v>46164</v>
      </c>
    </row>
    <row r="10835" spans="1:26" x14ac:dyDescent="0.2">
      <c r="A10835" s="8">
        <v>10834</v>
      </c>
      <c r="B10835" s="8" t="s">
        <v>46165</v>
      </c>
      <c r="C10835" s="8" t="s">
        <v>46165</v>
      </c>
      <c r="G10835" s="8">
        <v>20</v>
      </c>
      <c r="H10835" s="8" t="s">
        <v>21</v>
      </c>
      <c r="I10835" s="8" t="s">
        <v>22</v>
      </c>
      <c r="J10835" s="8" t="s">
        <v>22</v>
      </c>
      <c r="K10835" s="8" t="s">
        <v>449</v>
      </c>
      <c r="L10835" s="8" t="s">
        <v>17287</v>
      </c>
      <c r="M10835" s="8" t="s">
        <v>17288</v>
      </c>
      <c r="N10835" s="8" t="s">
        <v>46166</v>
      </c>
      <c r="O10835" s="8">
        <f>12+5/60+27.9/3600</f>
        <v>12.091083333333334</v>
      </c>
      <c r="P10835" s="8" t="s">
        <v>46167</v>
      </c>
      <c r="Q10835" s="8">
        <f>+(12+42/60+11/3600)</f>
        <v>12.703055555555554</v>
      </c>
      <c r="R10835" s="8">
        <v>14.7</v>
      </c>
      <c r="S10835" s="8">
        <v>15.5</v>
      </c>
      <c r="T10835" s="8">
        <v>0.8</v>
      </c>
      <c r="U10835" s="8">
        <v>11.5</v>
      </c>
      <c r="V10835" s="8">
        <v>0.3</v>
      </c>
      <c r="W10835" s="8">
        <v>0.2</v>
      </c>
      <c r="X10835" s="8">
        <v>90</v>
      </c>
      <c r="Y10835" s="8" t="s">
        <v>46168</v>
      </c>
      <c r="Z10835" s="8" t="s">
        <v>46169</v>
      </c>
    </row>
    <row r="10836" spans="1:26" x14ac:dyDescent="0.2">
      <c r="A10836" s="8">
        <v>10835</v>
      </c>
      <c r="B10836" s="8" t="s">
        <v>46170</v>
      </c>
      <c r="C10836" s="8" t="s">
        <v>46170</v>
      </c>
      <c r="G10836" s="8">
        <v>12</v>
      </c>
      <c r="H10836" s="8" t="s">
        <v>21</v>
      </c>
      <c r="I10836" s="8" t="s">
        <v>22</v>
      </c>
      <c r="J10836" s="8" t="s">
        <v>22</v>
      </c>
      <c r="K10836" s="8" t="s">
        <v>64</v>
      </c>
      <c r="L10836" s="8" t="s">
        <v>11765</v>
      </c>
      <c r="M10836" s="8" t="s">
        <v>11766</v>
      </c>
      <c r="N10836" s="8" t="s">
        <v>46171</v>
      </c>
      <c r="O10836" s="8">
        <f>12+5/60+47/3600</f>
        <v>12.096388888888889</v>
      </c>
      <c r="P10836" s="8" t="s">
        <v>46172</v>
      </c>
      <c r="Q10836" s="8">
        <f>-(27+56/60+30/3600)</f>
        <v>-27.941666666666666</v>
      </c>
      <c r="R10836" s="8">
        <v>12.2</v>
      </c>
      <c r="S10836" s="8">
        <v>12.9</v>
      </c>
      <c r="T10836" s="8">
        <v>0.7</v>
      </c>
      <c r="U10836" s="8">
        <v>13.3</v>
      </c>
      <c r="V10836" s="8">
        <v>3</v>
      </c>
      <c r="W10836" s="8">
        <v>0.8</v>
      </c>
      <c r="X10836" s="8">
        <v>117</v>
      </c>
      <c r="Y10836" s="8" t="s">
        <v>21</v>
      </c>
      <c r="Z10836" s="8" t="s">
        <v>46173</v>
      </c>
    </row>
    <row r="10837" spans="1:26" x14ac:dyDescent="0.2">
      <c r="A10837" s="8">
        <v>10836</v>
      </c>
      <c r="B10837" s="8" t="s">
        <v>46174</v>
      </c>
      <c r="C10837" s="8" t="s">
        <v>46174</v>
      </c>
      <c r="G10837" s="8">
        <v>20</v>
      </c>
      <c r="H10837" s="8" t="s">
        <v>21</v>
      </c>
      <c r="I10837" s="8" t="s">
        <v>22</v>
      </c>
      <c r="J10837" s="8" t="s">
        <v>22</v>
      </c>
      <c r="K10837" s="8" t="s">
        <v>396</v>
      </c>
      <c r="L10837" s="8" t="s">
        <v>11765</v>
      </c>
      <c r="M10837" s="8" t="s">
        <v>11766</v>
      </c>
      <c r="N10837" s="8" t="s">
        <v>46175</v>
      </c>
      <c r="O10837" s="8">
        <f>12+5/60+48.5/3600</f>
        <v>12.096805555555557</v>
      </c>
      <c r="P10837" s="8" t="s">
        <v>46176</v>
      </c>
      <c r="Q10837" s="8">
        <f>-(29+58/60+19/3600)</f>
        <v>-29.971944444444443</v>
      </c>
      <c r="R10837" s="8">
        <v>13.5</v>
      </c>
      <c r="S10837" s="8">
        <v>14.3</v>
      </c>
      <c r="T10837" s="8">
        <v>0.8</v>
      </c>
      <c r="U10837" s="8">
        <v>12.9</v>
      </c>
      <c r="V10837" s="8">
        <v>1.6</v>
      </c>
      <c r="W10837" s="8">
        <v>0.4</v>
      </c>
      <c r="X10837" s="8">
        <v>21</v>
      </c>
      <c r="Y10837" s="8" t="s">
        <v>46177</v>
      </c>
      <c r="Z10837" s="8" t="s">
        <v>46178</v>
      </c>
    </row>
    <row r="10838" spans="1:26" x14ac:dyDescent="0.2">
      <c r="A10838" s="8">
        <v>10837</v>
      </c>
      <c r="B10838" s="8" t="s">
        <v>46179</v>
      </c>
      <c r="C10838" s="8" t="s">
        <v>46179</v>
      </c>
      <c r="G10838" s="8">
        <v>20</v>
      </c>
      <c r="H10838" s="8" t="s">
        <v>21</v>
      </c>
      <c r="I10838" s="8" t="s">
        <v>329</v>
      </c>
      <c r="J10838" s="8" t="s">
        <v>329</v>
      </c>
      <c r="K10838" s="8" t="s">
        <v>329</v>
      </c>
      <c r="L10838" s="8" t="s">
        <v>18289</v>
      </c>
      <c r="M10838" s="8" t="s">
        <v>18290</v>
      </c>
      <c r="N10838" s="8" t="s">
        <v>46180</v>
      </c>
      <c r="O10838" s="8">
        <f>12+5/60+45/3600</f>
        <v>12.095833333333333</v>
      </c>
      <c r="P10838" s="8" t="s">
        <v>46181</v>
      </c>
      <c r="Q10838" s="8">
        <f>+(20+16/60+54/3600)</f>
        <v>20.281666666666666</v>
      </c>
      <c r="R10838" s="8">
        <v>99</v>
      </c>
      <c r="S10838" s="8">
        <v>99</v>
      </c>
      <c r="T10838" s="8">
        <v>99</v>
      </c>
      <c r="U10838" s="8">
        <v>99</v>
      </c>
      <c r="Y10838" s="8" t="s">
        <v>21</v>
      </c>
      <c r="Z10838" s="8" t="s">
        <v>46182</v>
      </c>
    </row>
    <row r="10839" spans="1:26" x14ac:dyDescent="0.2">
      <c r="A10839" s="8">
        <v>10838</v>
      </c>
      <c r="B10839" s="8" t="s">
        <v>46183</v>
      </c>
      <c r="C10839" s="8" t="s">
        <v>46183</v>
      </c>
      <c r="G10839" s="8">
        <v>20</v>
      </c>
      <c r="H10839" s="8" t="s">
        <v>21</v>
      </c>
      <c r="I10839" s="8" t="s">
        <v>329</v>
      </c>
      <c r="J10839" s="8" t="s">
        <v>329</v>
      </c>
      <c r="K10839" s="8" t="s">
        <v>329</v>
      </c>
      <c r="L10839" s="8" t="s">
        <v>18289</v>
      </c>
      <c r="M10839" s="8" t="s">
        <v>18290</v>
      </c>
      <c r="N10839" s="8" t="s">
        <v>46184</v>
      </c>
      <c r="O10839" s="8">
        <f>12+5/60+54/3600</f>
        <v>12.098333333333334</v>
      </c>
      <c r="P10839" s="8" t="s">
        <v>34451</v>
      </c>
      <c r="Q10839" s="8">
        <f>+(20+45/60+0/3600)</f>
        <v>20.75</v>
      </c>
      <c r="R10839" s="8">
        <v>99</v>
      </c>
      <c r="S10839" s="8">
        <v>99</v>
      </c>
      <c r="T10839" s="8">
        <v>99</v>
      </c>
      <c r="U10839" s="8">
        <v>99</v>
      </c>
      <c r="Y10839" s="8" t="s">
        <v>46185</v>
      </c>
      <c r="Z10839" s="8" t="s">
        <v>46186</v>
      </c>
    </row>
    <row r="10840" spans="1:26" x14ac:dyDescent="0.2">
      <c r="A10840" s="8">
        <v>10839</v>
      </c>
      <c r="B10840" s="8" t="s">
        <v>46187</v>
      </c>
      <c r="C10840" s="8" t="s">
        <v>46187</v>
      </c>
      <c r="G10840" s="8">
        <v>20</v>
      </c>
      <c r="H10840" s="8" t="s">
        <v>21</v>
      </c>
      <c r="I10840" s="8" t="s">
        <v>22</v>
      </c>
      <c r="J10840" s="8" t="s">
        <v>22</v>
      </c>
      <c r="K10840" s="8" t="s">
        <v>476</v>
      </c>
      <c r="L10840" s="8" t="s">
        <v>12015</v>
      </c>
      <c r="M10840" s="8" t="s">
        <v>12016</v>
      </c>
      <c r="N10840" s="8" t="s">
        <v>46188</v>
      </c>
      <c r="O10840" s="8">
        <f>12+5/60+57.5/3600</f>
        <v>12.099305555555556</v>
      </c>
      <c r="P10840" s="8" t="s">
        <v>46189</v>
      </c>
      <c r="Q10840" s="8">
        <f>+(31+20/60+54/3600)</f>
        <v>31.348333333333333</v>
      </c>
      <c r="R10840" s="8">
        <v>14.8</v>
      </c>
      <c r="S10840" s="8">
        <v>15.6</v>
      </c>
      <c r="T10840" s="8">
        <v>0.8</v>
      </c>
      <c r="U10840" s="8">
        <v>12.5</v>
      </c>
      <c r="V10840" s="8">
        <v>0.7</v>
      </c>
      <c r="W10840" s="8">
        <v>0.2</v>
      </c>
      <c r="X10840" s="8">
        <v>50</v>
      </c>
      <c r="Y10840" s="8" t="s">
        <v>46190</v>
      </c>
      <c r="Z10840" s="8" t="s">
        <v>46191</v>
      </c>
    </row>
    <row r="10841" spans="1:26" x14ac:dyDescent="0.2">
      <c r="A10841" s="8">
        <v>10840</v>
      </c>
      <c r="B10841" s="8" t="s">
        <v>46192</v>
      </c>
      <c r="C10841" s="8" t="s">
        <v>46192</v>
      </c>
      <c r="G10841" s="8">
        <v>20</v>
      </c>
      <c r="H10841" s="8" t="s">
        <v>21</v>
      </c>
      <c r="I10841" s="8" t="s">
        <v>329</v>
      </c>
      <c r="J10841" s="8" t="s">
        <v>329</v>
      </c>
      <c r="K10841" s="8" t="s">
        <v>329</v>
      </c>
      <c r="L10841" s="8" t="s">
        <v>11765</v>
      </c>
      <c r="M10841" s="8" t="s">
        <v>11766</v>
      </c>
      <c r="N10841" s="8" t="s">
        <v>46193</v>
      </c>
      <c r="O10841" s="8">
        <f>12+6/60+8/3600</f>
        <v>12.102222222222222</v>
      </c>
      <c r="P10841" s="8" t="s">
        <v>46194</v>
      </c>
      <c r="Q10841" s="8">
        <f>-(29+40/60+24/3600)</f>
        <v>-29.673333333333336</v>
      </c>
      <c r="R10841" s="8">
        <v>99</v>
      </c>
      <c r="S10841" s="8">
        <v>99</v>
      </c>
      <c r="T10841" s="8">
        <v>99</v>
      </c>
      <c r="U10841" s="8">
        <v>99</v>
      </c>
      <c r="Y10841" s="8" t="s">
        <v>46195</v>
      </c>
      <c r="Z10841" s="8" t="s">
        <v>46196</v>
      </c>
    </row>
    <row r="10842" spans="1:26" x14ac:dyDescent="0.2">
      <c r="A10842" s="8">
        <v>10841</v>
      </c>
      <c r="B10842" s="8" t="s">
        <v>46197</v>
      </c>
      <c r="C10842" s="8" t="s">
        <v>46197</v>
      </c>
      <c r="G10842" s="8">
        <v>20</v>
      </c>
      <c r="H10842" s="8" t="s">
        <v>21</v>
      </c>
      <c r="I10842" s="8" t="s">
        <v>22</v>
      </c>
      <c r="J10842" s="8" t="s">
        <v>22</v>
      </c>
      <c r="K10842" s="8" t="s">
        <v>449</v>
      </c>
      <c r="L10842" s="8" t="s">
        <v>12015</v>
      </c>
      <c r="M10842" s="8" t="s">
        <v>12016</v>
      </c>
      <c r="N10842" s="8" t="s">
        <v>46198</v>
      </c>
      <c r="O10842" s="8">
        <f>12+6/60+16.7/3600</f>
        <v>12.104638888888889</v>
      </c>
      <c r="P10842" s="8" t="s">
        <v>46199</v>
      </c>
      <c r="Q10842" s="8">
        <f>+(33+31/60+34/3600)</f>
        <v>33.526111111111113</v>
      </c>
      <c r="R10842" s="8">
        <v>14.9</v>
      </c>
      <c r="S10842" s="8">
        <v>15.7</v>
      </c>
      <c r="T10842" s="8">
        <v>0.8</v>
      </c>
      <c r="U10842" s="8">
        <v>13.2</v>
      </c>
      <c r="V10842" s="8">
        <v>0.8</v>
      </c>
      <c r="W10842" s="8">
        <v>0.3</v>
      </c>
      <c r="X10842" s="8">
        <v>72</v>
      </c>
      <c r="Y10842" s="8" t="s">
        <v>6420</v>
      </c>
      <c r="Z10842" s="8" t="s">
        <v>6421</v>
      </c>
    </row>
    <row r="10843" spans="1:26" x14ac:dyDescent="0.2">
      <c r="A10843" s="8">
        <v>10842</v>
      </c>
      <c r="B10843" s="8" t="s">
        <v>46200</v>
      </c>
      <c r="C10843" s="8" t="s">
        <v>46200</v>
      </c>
      <c r="G10843" s="8">
        <v>20</v>
      </c>
      <c r="H10843" s="8" t="s">
        <v>21</v>
      </c>
      <c r="I10843" s="8" t="s">
        <v>22</v>
      </c>
      <c r="J10843" s="8" t="s">
        <v>22</v>
      </c>
      <c r="K10843" s="8" t="s">
        <v>160</v>
      </c>
      <c r="L10843" s="8" t="s">
        <v>18681</v>
      </c>
      <c r="M10843" s="8" t="s">
        <v>18682</v>
      </c>
      <c r="N10843" s="8" t="s">
        <v>46201</v>
      </c>
      <c r="O10843" s="8">
        <f>12+7/60+4.2/3600</f>
        <v>12.117833333333333</v>
      </c>
      <c r="P10843" s="8" t="s">
        <v>46202</v>
      </c>
      <c r="Q10843" s="8">
        <f>+(33+22/60+57/3600)</f>
        <v>33.3825</v>
      </c>
      <c r="R10843" s="8">
        <v>15.6</v>
      </c>
      <c r="S10843" s="8">
        <v>16.3</v>
      </c>
      <c r="T10843" s="8">
        <v>0.7</v>
      </c>
      <c r="U10843" s="8">
        <v>13.9</v>
      </c>
      <c r="V10843" s="8">
        <v>0.5</v>
      </c>
      <c r="W10843" s="8">
        <v>0.5</v>
      </c>
      <c r="Y10843" s="8" t="s">
        <v>45994</v>
      </c>
      <c r="Z10843" s="8" t="s">
        <v>45995</v>
      </c>
    </row>
    <row r="10844" spans="1:26" x14ac:dyDescent="0.2">
      <c r="A10844" s="8">
        <v>10843</v>
      </c>
      <c r="B10844" s="8" t="s">
        <v>46203</v>
      </c>
      <c r="C10844" s="8" t="s">
        <v>46203</v>
      </c>
      <c r="G10844" s="8">
        <v>20</v>
      </c>
      <c r="H10844" s="8" t="s">
        <v>21</v>
      </c>
      <c r="I10844" s="8" t="s">
        <v>22</v>
      </c>
      <c r="J10844" s="8" t="s">
        <v>22</v>
      </c>
      <c r="K10844" s="8" t="s">
        <v>37</v>
      </c>
      <c r="L10844" s="8" t="s">
        <v>18289</v>
      </c>
      <c r="M10844" s="8" t="s">
        <v>18290</v>
      </c>
      <c r="N10844" s="8" t="s">
        <v>46204</v>
      </c>
      <c r="O10844" s="8">
        <f>12+7/60+32.5/3600</f>
        <v>12.125694444444445</v>
      </c>
      <c r="P10844" s="8" t="s">
        <v>46205</v>
      </c>
      <c r="Q10844" s="8">
        <f>+(32+48/60+48/3600)</f>
        <v>32.813333333333333</v>
      </c>
      <c r="R10844" s="8">
        <v>14.3</v>
      </c>
      <c r="S10844" s="8">
        <v>15.3</v>
      </c>
      <c r="T10844" s="8">
        <v>1</v>
      </c>
      <c r="U10844" s="8">
        <v>13.4</v>
      </c>
      <c r="V10844" s="8">
        <v>0.8</v>
      </c>
      <c r="W10844" s="8">
        <v>0.6</v>
      </c>
      <c r="X10844" s="8">
        <v>138</v>
      </c>
      <c r="Y10844" s="8" t="s">
        <v>46206</v>
      </c>
      <c r="Z10844" s="8" t="s">
        <v>46207</v>
      </c>
    </row>
    <row r="10845" spans="1:26" x14ac:dyDescent="0.2">
      <c r="A10845" s="8">
        <v>10844</v>
      </c>
      <c r="B10845" s="8" t="s">
        <v>46208</v>
      </c>
      <c r="C10845" s="8" t="s">
        <v>46208</v>
      </c>
      <c r="G10845" s="8">
        <v>20</v>
      </c>
      <c r="H10845" s="8" t="s">
        <v>21</v>
      </c>
      <c r="I10845" s="8" t="s">
        <v>22</v>
      </c>
      <c r="J10845" s="8" t="s">
        <v>22</v>
      </c>
      <c r="K10845" s="8" t="s">
        <v>46209</v>
      </c>
      <c r="L10845" s="8" t="s">
        <v>17287</v>
      </c>
      <c r="M10845" s="8" t="s">
        <v>17288</v>
      </c>
      <c r="N10845" s="8" t="s">
        <v>46210</v>
      </c>
      <c r="O10845" s="8">
        <f>12+7/60+10.2/3600</f>
        <v>12.1195</v>
      </c>
      <c r="P10845" s="8" t="s">
        <v>46211</v>
      </c>
      <c r="Q10845" s="8">
        <f>+(13+14/60+51/3600)</f>
        <v>13.247499999999999</v>
      </c>
      <c r="R10845" s="8">
        <v>14.6</v>
      </c>
      <c r="S10845" s="8">
        <v>15.4</v>
      </c>
      <c r="T10845" s="8">
        <v>0.8</v>
      </c>
      <c r="U10845" s="8">
        <v>14.3</v>
      </c>
      <c r="V10845" s="8">
        <v>1</v>
      </c>
      <c r="W10845" s="8">
        <v>0.9</v>
      </c>
      <c r="Y10845" s="8" t="s">
        <v>21</v>
      </c>
      <c r="Z10845" s="8" t="s">
        <v>46212</v>
      </c>
    </row>
    <row r="10846" spans="1:26" x14ac:dyDescent="0.2">
      <c r="A10846" s="8">
        <v>10845</v>
      </c>
      <c r="B10846" s="8" t="s">
        <v>46213</v>
      </c>
      <c r="C10846" s="8" t="s">
        <v>46213</v>
      </c>
      <c r="G10846" s="8">
        <v>20</v>
      </c>
      <c r="H10846" s="8" t="s">
        <v>21</v>
      </c>
      <c r="I10846" s="8" t="s">
        <v>22</v>
      </c>
      <c r="J10846" s="8" t="s">
        <v>22</v>
      </c>
      <c r="K10846" s="8" t="s">
        <v>64</v>
      </c>
      <c r="L10846" s="8" t="s">
        <v>11765</v>
      </c>
      <c r="M10846" s="8" t="s">
        <v>11766</v>
      </c>
      <c r="N10846" s="8" t="s">
        <v>46214</v>
      </c>
      <c r="O10846" s="8">
        <f>12+7/60+14.3/3600</f>
        <v>12.120638888888889</v>
      </c>
      <c r="P10846" s="8" t="s">
        <v>46215</v>
      </c>
      <c r="Q10846" s="8">
        <f>-(30+1/60+34/3600)</f>
        <v>-30.02611111111111</v>
      </c>
      <c r="R10846" s="8">
        <v>13</v>
      </c>
      <c r="S10846" s="8">
        <v>13.7</v>
      </c>
      <c r="T10846" s="8">
        <v>0.7</v>
      </c>
      <c r="U10846" s="8">
        <v>12.8</v>
      </c>
      <c r="V10846" s="8">
        <v>2.2999999999999998</v>
      </c>
      <c r="W10846" s="8">
        <v>0.4</v>
      </c>
      <c r="X10846" s="8">
        <v>160</v>
      </c>
      <c r="Y10846" s="8" t="s">
        <v>46216</v>
      </c>
      <c r="Z10846" s="8" t="s">
        <v>46217</v>
      </c>
    </row>
    <row r="10847" spans="1:26" x14ac:dyDescent="0.2">
      <c r="A10847" s="8">
        <v>10846</v>
      </c>
      <c r="B10847" s="8" t="s">
        <v>46218</v>
      </c>
      <c r="C10847" s="8" t="s">
        <v>46218</v>
      </c>
      <c r="G10847" s="8">
        <v>20</v>
      </c>
      <c r="H10847" s="8" t="s">
        <v>21</v>
      </c>
      <c r="I10847" s="8" t="s">
        <v>72</v>
      </c>
      <c r="J10847" s="8" t="s">
        <v>72</v>
      </c>
      <c r="K10847" s="8" t="s">
        <v>20</v>
      </c>
      <c r="L10847" s="8" t="s">
        <v>17287</v>
      </c>
      <c r="M10847" s="8" t="s">
        <v>17288</v>
      </c>
      <c r="N10847" s="8" t="s">
        <v>46219</v>
      </c>
      <c r="O10847" s="8">
        <f>12+7/60+22.9/3600</f>
        <v>12.123027777777779</v>
      </c>
      <c r="P10847" s="8" t="s">
        <v>46220</v>
      </c>
      <c r="Q10847" s="8">
        <f>+(13+0/60+14/3600)</f>
        <v>13.003888888888889</v>
      </c>
      <c r="R10847" s="8">
        <v>99</v>
      </c>
      <c r="S10847" s="8">
        <v>14.3</v>
      </c>
      <c r="T10847" s="8">
        <v>99</v>
      </c>
      <c r="U10847" s="8">
        <v>99</v>
      </c>
      <c r="Y10847" s="8" t="s">
        <v>46221</v>
      </c>
      <c r="Z10847" s="8" t="s">
        <v>46222</v>
      </c>
    </row>
    <row r="10848" spans="1:26" x14ac:dyDescent="0.2">
      <c r="A10848" s="8">
        <v>10847</v>
      </c>
      <c r="B10848" s="8" t="s">
        <v>46223</v>
      </c>
      <c r="C10848" s="8" t="s">
        <v>46223</v>
      </c>
      <c r="G10848" s="8">
        <v>20</v>
      </c>
      <c r="H10848" s="8" t="s">
        <v>21</v>
      </c>
      <c r="I10848" s="8" t="s">
        <v>22</v>
      </c>
      <c r="J10848" s="8" t="s">
        <v>22</v>
      </c>
      <c r="K10848" s="8" t="s">
        <v>382</v>
      </c>
      <c r="L10848" s="8" t="s">
        <v>18289</v>
      </c>
      <c r="M10848" s="8" t="s">
        <v>18290</v>
      </c>
      <c r="N10848" s="8" t="s">
        <v>46224</v>
      </c>
      <c r="O10848" s="8">
        <f>12+7/60+30.7/3600</f>
        <v>12.125194444444444</v>
      </c>
      <c r="P10848" s="8" t="s">
        <v>46225</v>
      </c>
      <c r="Q10848" s="8">
        <f>+(31+20/60+55/3600)</f>
        <v>31.348611111111111</v>
      </c>
      <c r="R10848" s="8">
        <v>14.7</v>
      </c>
      <c r="S10848" s="8">
        <v>15.7</v>
      </c>
      <c r="T10848" s="8">
        <v>1</v>
      </c>
      <c r="U10848" s="8">
        <v>11.7</v>
      </c>
      <c r="V10848" s="8">
        <v>0.3</v>
      </c>
      <c r="W10848" s="8">
        <v>0.2</v>
      </c>
      <c r="X10848" s="8">
        <v>85</v>
      </c>
      <c r="Y10848" s="8" t="s">
        <v>40257</v>
      </c>
      <c r="Z10848" s="8" t="s">
        <v>40258</v>
      </c>
    </row>
    <row r="10849" spans="1:26" x14ac:dyDescent="0.2">
      <c r="A10849" s="8">
        <v>10848</v>
      </c>
      <c r="B10849" s="8" t="s">
        <v>46226</v>
      </c>
      <c r="C10849" s="8" t="s">
        <v>46226</v>
      </c>
      <c r="G10849" s="8">
        <v>20</v>
      </c>
      <c r="H10849" s="8" t="s">
        <v>21</v>
      </c>
      <c r="I10849" s="8" t="s">
        <v>22</v>
      </c>
      <c r="J10849" s="8" t="s">
        <v>22</v>
      </c>
      <c r="K10849" s="8" t="s">
        <v>23</v>
      </c>
      <c r="L10849" s="8" t="s">
        <v>18289</v>
      </c>
      <c r="M10849" s="8" t="s">
        <v>18290</v>
      </c>
      <c r="N10849" s="8" t="s">
        <v>46227</v>
      </c>
      <c r="O10849" s="8">
        <f>12+7/60+51.8/3600</f>
        <v>12.131055555555555</v>
      </c>
      <c r="P10849" s="8" t="s">
        <v>20263</v>
      </c>
      <c r="Q10849" s="8">
        <f>+(13+34/60+41/3600)</f>
        <v>13.578055555555554</v>
      </c>
      <c r="R10849" s="8">
        <v>14</v>
      </c>
      <c r="S10849" s="8">
        <v>14.8</v>
      </c>
      <c r="T10849" s="8">
        <v>0.8</v>
      </c>
      <c r="U10849" s="8">
        <v>12.7</v>
      </c>
      <c r="V10849" s="8">
        <v>0.9</v>
      </c>
      <c r="W10849" s="8">
        <v>0.4</v>
      </c>
      <c r="X10849" s="8">
        <v>24</v>
      </c>
      <c r="Y10849" s="8" t="s">
        <v>46228</v>
      </c>
      <c r="Z10849" s="8" t="s">
        <v>46229</v>
      </c>
    </row>
    <row r="10850" spans="1:26" x14ac:dyDescent="0.2">
      <c r="A10850" s="8">
        <v>10849</v>
      </c>
      <c r="B10850" s="8" t="s">
        <v>46230</v>
      </c>
      <c r="C10850" s="8" t="s">
        <v>46230</v>
      </c>
      <c r="G10850" s="8">
        <v>20</v>
      </c>
      <c r="H10850" s="8" t="s">
        <v>21</v>
      </c>
      <c r="I10850" s="8" t="s">
        <v>329</v>
      </c>
      <c r="J10850" s="8" t="s">
        <v>329</v>
      </c>
      <c r="K10850" s="8" t="s">
        <v>329</v>
      </c>
      <c r="L10850" s="8" t="s">
        <v>17287</v>
      </c>
      <c r="M10850" s="8" t="s">
        <v>17288</v>
      </c>
      <c r="N10850" s="8" t="s">
        <v>46231</v>
      </c>
      <c r="O10850" s="8">
        <f>12+8/60+0.1/3600</f>
        <v>12.13336111111111</v>
      </c>
      <c r="P10850" s="8" t="s">
        <v>46232</v>
      </c>
      <c r="Q10850" s="8">
        <f>+(12+38/60+47/3600)</f>
        <v>12.646388888888888</v>
      </c>
      <c r="R10850" s="8">
        <v>99</v>
      </c>
      <c r="S10850" s="8">
        <v>99</v>
      </c>
      <c r="T10850" s="8">
        <v>99</v>
      </c>
      <c r="U10850" s="8">
        <v>99</v>
      </c>
      <c r="Y10850" s="8" t="s">
        <v>46233</v>
      </c>
      <c r="Z10850" s="8" t="s">
        <v>46234</v>
      </c>
    </row>
    <row r="10851" spans="1:26" x14ac:dyDescent="0.2">
      <c r="A10851" s="8">
        <v>10850</v>
      </c>
      <c r="B10851" s="8" t="s">
        <v>46235</v>
      </c>
      <c r="C10851" s="8" t="s">
        <v>46235</v>
      </c>
      <c r="G10851" s="8">
        <v>20</v>
      </c>
      <c r="H10851" s="8" t="s">
        <v>21</v>
      </c>
      <c r="I10851" s="8" t="s">
        <v>22</v>
      </c>
      <c r="J10851" s="8" t="s">
        <v>22</v>
      </c>
      <c r="K10851" s="8" t="s">
        <v>435</v>
      </c>
      <c r="L10851" s="8" t="s">
        <v>11765</v>
      </c>
      <c r="M10851" s="8" t="s">
        <v>11766</v>
      </c>
      <c r="N10851" s="8" t="s">
        <v>46236</v>
      </c>
      <c r="O10851" s="8">
        <f>12+7/60+57.3/3600</f>
        <v>12.132583333333335</v>
      </c>
      <c r="P10851" s="8" t="s">
        <v>46237</v>
      </c>
      <c r="Q10851" s="8">
        <f>-(30+20/60+22/3600)</f>
        <v>-30.339444444444442</v>
      </c>
      <c r="R10851" s="8">
        <v>12.2</v>
      </c>
      <c r="S10851" s="8">
        <v>13.2</v>
      </c>
      <c r="T10851" s="8">
        <v>1</v>
      </c>
      <c r="U10851" s="8">
        <v>13.4</v>
      </c>
      <c r="V10851" s="8">
        <v>1.9</v>
      </c>
      <c r="W10851" s="8">
        <v>1.8</v>
      </c>
      <c r="X10851" s="8">
        <v>84</v>
      </c>
      <c r="Y10851" s="8" t="s">
        <v>21</v>
      </c>
      <c r="Z10851" s="8" t="s">
        <v>46238</v>
      </c>
    </row>
    <row r="10852" spans="1:26" x14ac:dyDescent="0.2">
      <c r="A10852" s="8">
        <v>10851</v>
      </c>
      <c r="B10852" s="8" t="s">
        <v>46239</v>
      </c>
      <c r="C10852" s="8" t="s">
        <v>46239</v>
      </c>
      <c r="G10852" s="8">
        <v>20</v>
      </c>
      <c r="H10852" s="8" t="s">
        <v>21</v>
      </c>
      <c r="I10852" s="8" t="s">
        <v>22</v>
      </c>
      <c r="J10852" s="8" t="s">
        <v>57</v>
      </c>
      <c r="K10852" s="8" t="s">
        <v>632</v>
      </c>
      <c r="L10852" s="8" t="s">
        <v>17287</v>
      </c>
      <c r="M10852" s="8" t="s">
        <v>17288</v>
      </c>
      <c r="N10852" s="8" t="s">
        <v>18725</v>
      </c>
      <c r="O10852" s="8">
        <f>12+8/60+9.5/3600</f>
        <v>12.135972222222222</v>
      </c>
      <c r="P10852" s="8" t="s">
        <v>18726</v>
      </c>
      <c r="Q10852" s="8">
        <f>+(10+22/60+44/3600)</f>
        <v>10.378888888888889</v>
      </c>
      <c r="R10852" s="8">
        <v>11.4</v>
      </c>
      <c r="S10852" s="8">
        <v>12.2</v>
      </c>
      <c r="T10852" s="8">
        <v>0.8</v>
      </c>
      <c r="U10852" s="8">
        <v>13.2</v>
      </c>
      <c r="V10852" s="8">
        <v>4.3</v>
      </c>
      <c r="W10852" s="8">
        <v>1.4</v>
      </c>
      <c r="X10852" s="8">
        <v>114</v>
      </c>
      <c r="Y10852" s="8" t="s">
        <v>46240</v>
      </c>
      <c r="Z10852" s="8" t="s">
        <v>46241</v>
      </c>
    </row>
    <row r="10853" spans="1:26" x14ac:dyDescent="0.2">
      <c r="A10853" s="8">
        <v>10852</v>
      </c>
      <c r="B10853" s="8" t="s">
        <v>46242</v>
      </c>
      <c r="C10853" s="8" t="s">
        <v>46242</v>
      </c>
      <c r="G10853" s="8">
        <v>20</v>
      </c>
      <c r="H10853" s="8" t="s">
        <v>21</v>
      </c>
      <c r="I10853" s="8" t="s">
        <v>22</v>
      </c>
      <c r="J10853" s="8" t="s">
        <v>22</v>
      </c>
      <c r="K10853" s="8" t="s">
        <v>449</v>
      </c>
      <c r="L10853" s="8" t="s">
        <v>17287</v>
      </c>
      <c r="M10853" s="8" t="s">
        <v>17288</v>
      </c>
      <c r="N10853" s="8" t="s">
        <v>46243</v>
      </c>
      <c r="O10853" s="8">
        <f>12+8/60+23.9/3600</f>
        <v>12.139972222222221</v>
      </c>
      <c r="P10853" s="8" t="s">
        <v>46244</v>
      </c>
      <c r="Q10853" s="8">
        <f>+(11+10/60+37/3600)</f>
        <v>11.176944444444445</v>
      </c>
      <c r="R10853" s="8">
        <v>14.3</v>
      </c>
      <c r="S10853" s="8">
        <v>15.1</v>
      </c>
      <c r="T10853" s="8">
        <v>0.8</v>
      </c>
      <c r="U10853" s="8">
        <v>11.7</v>
      </c>
      <c r="V10853" s="8">
        <v>0.5</v>
      </c>
      <c r="W10853" s="8">
        <v>0.2</v>
      </c>
      <c r="X10853" s="8">
        <v>35</v>
      </c>
      <c r="Y10853" s="8" t="s">
        <v>46245</v>
      </c>
      <c r="Z10853" s="8" t="s">
        <v>46246</v>
      </c>
    </row>
    <row r="10854" spans="1:26" x14ac:dyDescent="0.2">
      <c r="A10854" s="8">
        <v>10853</v>
      </c>
      <c r="B10854" s="8" t="s">
        <v>46247</v>
      </c>
      <c r="C10854" s="8" t="s">
        <v>46247</v>
      </c>
      <c r="G10854" s="8">
        <v>20</v>
      </c>
      <c r="H10854" s="8" t="s">
        <v>21</v>
      </c>
      <c r="I10854" s="8" t="s">
        <v>22</v>
      </c>
      <c r="J10854" s="8" t="s">
        <v>22</v>
      </c>
      <c r="K10854" s="8" t="s">
        <v>37858</v>
      </c>
      <c r="L10854" s="8" t="s">
        <v>17287</v>
      </c>
      <c r="M10854" s="8" t="s">
        <v>17288</v>
      </c>
      <c r="N10854" s="8" t="s">
        <v>46248</v>
      </c>
      <c r="O10854" s="8">
        <f>12+8/60+25.6/3600</f>
        <v>12.140444444444444</v>
      </c>
      <c r="P10854" s="8" t="s">
        <v>19840</v>
      </c>
      <c r="Q10854" s="8">
        <f>+(10+1/60+0/3600)</f>
        <v>10.016666666666667</v>
      </c>
      <c r="R10854" s="8">
        <v>14.3</v>
      </c>
      <c r="S10854" s="8">
        <v>15.1</v>
      </c>
      <c r="T10854" s="8">
        <v>0.8</v>
      </c>
      <c r="U10854" s="8">
        <v>13.6</v>
      </c>
      <c r="V10854" s="8">
        <v>0.9</v>
      </c>
      <c r="W10854" s="8">
        <v>0.7</v>
      </c>
      <c r="Y10854" s="8" t="s">
        <v>46249</v>
      </c>
      <c r="Z10854" s="8" t="s">
        <v>46250</v>
      </c>
    </row>
    <row r="10855" spans="1:26" x14ac:dyDescent="0.2">
      <c r="A10855" s="8">
        <v>10854</v>
      </c>
      <c r="B10855" s="8" t="s">
        <v>46251</v>
      </c>
      <c r="C10855" s="8" t="s">
        <v>46251</v>
      </c>
      <c r="G10855" s="8">
        <v>20</v>
      </c>
      <c r="H10855" s="8" t="s">
        <v>21</v>
      </c>
      <c r="I10855" s="8" t="s">
        <v>22</v>
      </c>
      <c r="J10855" s="8" t="s">
        <v>22</v>
      </c>
      <c r="K10855" s="8" t="s">
        <v>85</v>
      </c>
      <c r="L10855" s="8" t="s">
        <v>18681</v>
      </c>
      <c r="M10855" s="8" t="s">
        <v>18682</v>
      </c>
      <c r="N10855" s="8" t="s">
        <v>46252</v>
      </c>
      <c r="O10855" s="8">
        <f>12+8/60+36.9/3600</f>
        <v>12.143583333333332</v>
      </c>
      <c r="P10855" s="8" t="s">
        <v>46253</v>
      </c>
      <c r="Q10855" s="8">
        <f>+(38+49/60+55/3600)</f>
        <v>38.831944444444446</v>
      </c>
      <c r="R10855" s="8">
        <v>13.5</v>
      </c>
      <c r="S10855" s="8">
        <v>14.3</v>
      </c>
      <c r="T10855" s="8">
        <v>0.8</v>
      </c>
      <c r="U10855" s="8">
        <v>13.4</v>
      </c>
      <c r="V10855" s="8">
        <v>1.2</v>
      </c>
      <c r="W10855" s="8">
        <v>0.8</v>
      </c>
      <c r="X10855" s="8">
        <v>69</v>
      </c>
      <c r="Y10855" s="8" t="s">
        <v>46254</v>
      </c>
      <c r="Z10855" s="8" t="s">
        <v>46255</v>
      </c>
    </row>
    <row r="10856" spans="1:26" x14ac:dyDescent="0.2">
      <c r="A10856" s="8">
        <v>10855</v>
      </c>
      <c r="B10856" s="8" t="s">
        <v>46256</v>
      </c>
      <c r="C10856" s="8" t="s">
        <v>46256</v>
      </c>
      <c r="G10856" s="8">
        <v>20</v>
      </c>
      <c r="H10856" s="8" t="s">
        <v>21</v>
      </c>
      <c r="I10856" s="8" t="s">
        <v>22</v>
      </c>
      <c r="J10856" s="8" t="s">
        <v>22</v>
      </c>
      <c r="K10856" s="8" t="s">
        <v>396</v>
      </c>
      <c r="L10856" s="8" t="s">
        <v>11765</v>
      </c>
      <c r="M10856" s="8" t="s">
        <v>11766</v>
      </c>
      <c r="N10856" s="8" t="s">
        <v>46257</v>
      </c>
      <c r="O10856" s="8">
        <f>12+9/60+0.1/3600</f>
        <v>12.150027777777778</v>
      </c>
      <c r="P10856" s="8" t="s">
        <v>46258</v>
      </c>
      <c r="Q10856" s="8">
        <f>-(31+31/60+10/3600)</f>
        <v>-31.519444444444442</v>
      </c>
      <c r="R10856" s="8">
        <v>12.2</v>
      </c>
      <c r="S10856" s="8">
        <v>13</v>
      </c>
      <c r="T10856" s="8">
        <v>0.8</v>
      </c>
      <c r="U10856" s="8">
        <v>12.8</v>
      </c>
      <c r="V10856" s="8">
        <v>2.9</v>
      </c>
      <c r="W10856" s="8">
        <v>0.7</v>
      </c>
      <c r="X10856" s="8">
        <v>166</v>
      </c>
      <c r="Y10856" s="8" t="s">
        <v>21</v>
      </c>
      <c r="Z10856" s="8" t="s">
        <v>46259</v>
      </c>
    </row>
    <row r="10857" spans="1:26" x14ac:dyDescent="0.2">
      <c r="A10857" s="8">
        <v>10856</v>
      </c>
      <c r="B10857" s="8" t="s">
        <v>46260</v>
      </c>
      <c r="C10857" s="8" t="s">
        <v>46260</v>
      </c>
      <c r="G10857" s="8">
        <v>20</v>
      </c>
      <c r="H10857" s="8" t="s">
        <v>21</v>
      </c>
      <c r="I10857" s="8" t="s">
        <v>22</v>
      </c>
      <c r="J10857" s="8" t="s">
        <v>22</v>
      </c>
      <c r="K10857" s="8" t="s">
        <v>64</v>
      </c>
      <c r="L10857" s="8" t="s">
        <v>17287</v>
      </c>
      <c r="M10857" s="8" t="s">
        <v>17288</v>
      </c>
      <c r="N10857" s="8" t="s">
        <v>46261</v>
      </c>
      <c r="O10857" s="8">
        <f>12+9/60+18.5/3600</f>
        <v>12.155138888888889</v>
      </c>
      <c r="P10857" s="8" t="s">
        <v>46262</v>
      </c>
      <c r="Q10857" s="8">
        <f>+(11+25/60+47/3600)</f>
        <v>11.429722222222221</v>
      </c>
      <c r="R10857" s="8">
        <v>14.5</v>
      </c>
      <c r="S10857" s="8">
        <v>15.2</v>
      </c>
      <c r="T10857" s="8">
        <v>0.7</v>
      </c>
      <c r="U10857" s="8">
        <v>13.2</v>
      </c>
      <c r="V10857" s="8">
        <v>0.6</v>
      </c>
      <c r="W10857" s="8">
        <v>0.6</v>
      </c>
      <c r="Y10857" s="8" t="s">
        <v>17602</v>
      </c>
      <c r="Z10857" s="8" t="s">
        <v>17603</v>
      </c>
    </row>
    <row r="10858" spans="1:26" x14ac:dyDescent="0.2">
      <c r="A10858" s="8">
        <v>10857</v>
      </c>
      <c r="B10858" s="8" t="s">
        <v>46263</v>
      </c>
      <c r="C10858" s="8" t="s">
        <v>46263</v>
      </c>
      <c r="G10858" s="8">
        <v>20</v>
      </c>
      <c r="H10858" s="8" t="s">
        <v>21</v>
      </c>
      <c r="I10858" s="8" t="s">
        <v>22</v>
      </c>
      <c r="J10858" s="8" t="s">
        <v>22</v>
      </c>
      <c r="K10858" s="8" t="s">
        <v>476</v>
      </c>
      <c r="L10858" s="8" t="s">
        <v>18289</v>
      </c>
      <c r="M10858" s="8" t="s">
        <v>18290</v>
      </c>
      <c r="N10858" s="8" t="s">
        <v>46264</v>
      </c>
      <c r="O10858" s="8">
        <f>12+9/60+22.7/3600</f>
        <v>12.156305555555555</v>
      </c>
      <c r="P10858" s="8" t="s">
        <v>46265</v>
      </c>
      <c r="Q10858" s="8">
        <f>+(13+37/60+7/3600)</f>
        <v>13.618611111111111</v>
      </c>
      <c r="R10858" s="8">
        <v>15.9</v>
      </c>
      <c r="S10858" s="8">
        <v>16.7</v>
      </c>
      <c r="T10858" s="8">
        <v>0.8</v>
      </c>
      <c r="U10858" s="8">
        <v>13.4</v>
      </c>
      <c r="V10858" s="8">
        <v>0.4</v>
      </c>
      <c r="W10858" s="8">
        <v>0.3</v>
      </c>
      <c r="X10858" s="8">
        <v>40</v>
      </c>
      <c r="Y10858" s="8" t="s">
        <v>46266</v>
      </c>
      <c r="Z10858" s="8" t="s">
        <v>46267</v>
      </c>
    </row>
    <row r="10859" spans="1:26" x14ac:dyDescent="0.2">
      <c r="A10859" s="8">
        <v>10858</v>
      </c>
      <c r="B10859" s="8" t="s">
        <v>46268</v>
      </c>
      <c r="C10859" s="8" t="s">
        <v>46268</v>
      </c>
      <c r="G10859" s="8">
        <v>20</v>
      </c>
      <c r="H10859" s="8" t="s">
        <v>21</v>
      </c>
      <c r="I10859" s="8" t="s">
        <v>22</v>
      </c>
      <c r="J10859" s="8" t="s">
        <v>22</v>
      </c>
      <c r="K10859" s="8" t="s">
        <v>476</v>
      </c>
      <c r="L10859" s="8" t="s">
        <v>18289</v>
      </c>
      <c r="M10859" s="8" t="s">
        <v>18290</v>
      </c>
      <c r="N10859" s="8" t="s">
        <v>46269</v>
      </c>
      <c r="O10859" s="8">
        <f>12+9/60+24.9/3600</f>
        <v>12.156916666666667</v>
      </c>
      <c r="P10859" s="8" t="s">
        <v>46270</v>
      </c>
      <c r="Q10859" s="8">
        <f>+(13+34/60+32/3600)</f>
        <v>13.575555555555555</v>
      </c>
      <c r="R10859" s="8">
        <v>14.4</v>
      </c>
      <c r="S10859" s="8">
        <v>15.2</v>
      </c>
      <c r="T10859" s="8">
        <v>0.8</v>
      </c>
      <c r="U10859" s="8">
        <v>11.9</v>
      </c>
      <c r="V10859" s="8">
        <v>0.6</v>
      </c>
      <c r="W10859" s="8">
        <v>0.2</v>
      </c>
      <c r="X10859" s="8">
        <v>175</v>
      </c>
      <c r="Y10859" s="8" t="s">
        <v>46271</v>
      </c>
      <c r="Z10859" s="8" t="s">
        <v>46272</v>
      </c>
    </row>
    <row r="10860" spans="1:26" x14ac:dyDescent="0.2">
      <c r="A10860" s="8">
        <v>10859</v>
      </c>
      <c r="B10860" s="8" t="s">
        <v>46273</v>
      </c>
      <c r="C10860" s="8" t="s">
        <v>46273</v>
      </c>
      <c r="G10860" s="8">
        <v>20</v>
      </c>
      <c r="H10860" s="8" t="s">
        <v>21</v>
      </c>
      <c r="I10860" s="8" t="s">
        <v>22</v>
      </c>
      <c r="J10860" s="8" t="s">
        <v>22</v>
      </c>
      <c r="K10860" s="8" t="s">
        <v>183</v>
      </c>
      <c r="L10860" s="8" t="s">
        <v>18289</v>
      </c>
      <c r="M10860" s="8" t="s">
        <v>18290</v>
      </c>
      <c r="N10860" s="8" t="s">
        <v>46274</v>
      </c>
      <c r="O10860" s="8">
        <f>12+9/60+22.3/3600</f>
        <v>12.156194444444445</v>
      </c>
      <c r="P10860" s="8" t="s">
        <v>46275</v>
      </c>
      <c r="Q10860" s="8">
        <f>+(13+59/60+32/3600)</f>
        <v>13.992222222222221</v>
      </c>
      <c r="R10860" s="8">
        <v>13.2</v>
      </c>
      <c r="S10860" s="8">
        <v>14.2</v>
      </c>
      <c r="T10860" s="8">
        <v>1</v>
      </c>
      <c r="U10860" s="8">
        <v>13.8</v>
      </c>
      <c r="V10860" s="8">
        <v>1.4</v>
      </c>
      <c r="W10860" s="8">
        <v>1.3</v>
      </c>
      <c r="X10860" s="8">
        <v>123</v>
      </c>
      <c r="Y10860" s="8" t="s">
        <v>46266</v>
      </c>
      <c r="Z10860" s="8" t="s">
        <v>46267</v>
      </c>
    </row>
    <row r="10861" spans="1:26" x14ac:dyDescent="0.2">
      <c r="A10861" s="8">
        <v>10860</v>
      </c>
      <c r="B10861" s="8" t="s">
        <v>46276</v>
      </c>
      <c r="C10861" s="8" t="s">
        <v>46276</v>
      </c>
      <c r="G10861" s="8">
        <v>20</v>
      </c>
      <c r="H10861" s="8" t="s">
        <v>21</v>
      </c>
      <c r="I10861" s="8" t="s">
        <v>22</v>
      </c>
      <c r="J10861" s="8" t="s">
        <v>22</v>
      </c>
      <c r="K10861" s="8" t="s">
        <v>449</v>
      </c>
      <c r="L10861" s="8" t="s">
        <v>18289</v>
      </c>
      <c r="M10861" s="8" t="s">
        <v>18290</v>
      </c>
      <c r="N10861" s="8" t="s">
        <v>46277</v>
      </c>
      <c r="O10861" s="8">
        <f>12+9/60+27.1/3600</f>
        <v>12.157527777777778</v>
      </c>
      <c r="P10861" s="8" t="s">
        <v>46278</v>
      </c>
      <c r="Q10861" s="8">
        <f>+(14+13/60+30/3600)</f>
        <v>14.225</v>
      </c>
      <c r="R10861" s="8">
        <v>15.7</v>
      </c>
      <c r="S10861" s="8">
        <v>16.5</v>
      </c>
      <c r="T10861" s="8">
        <v>0.8</v>
      </c>
      <c r="U10861" s="8">
        <v>12.5</v>
      </c>
      <c r="V10861" s="8">
        <v>0.3</v>
      </c>
      <c r="W10861" s="8">
        <v>0.2</v>
      </c>
      <c r="X10861" s="8">
        <v>125</v>
      </c>
      <c r="Y10861" s="8" t="s">
        <v>46279</v>
      </c>
      <c r="Z10861" s="8" t="s">
        <v>46280</v>
      </c>
    </row>
    <row r="10862" spans="1:26" x14ac:dyDescent="0.2">
      <c r="A10862" s="8">
        <v>10861</v>
      </c>
      <c r="B10862" s="8" t="s">
        <v>46281</v>
      </c>
      <c r="C10862" s="8" t="s">
        <v>46281</v>
      </c>
      <c r="G10862" s="8">
        <v>20</v>
      </c>
      <c r="H10862" s="8" t="s">
        <v>21</v>
      </c>
      <c r="I10862" s="8" t="s">
        <v>22</v>
      </c>
      <c r="J10862" s="8" t="s">
        <v>22</v>
      </c>
      <c r="K10862" s="8" t="s">
        <v>4103</v>
      </c>
      <c r="L10862" s="8" t="s">
        <v>17287</v>
      </c>
      <c r="M10862" s="8" t="s">
        <v>17288</v>
      </c>
      <c r="N10862" s="8" t="s">
        <v>46282</v>
      </c>
      <c r="O10862" s="8">
        <f>12+9/60+54.5/3600</f>
        <v>12.165138888888889</v>
      </c>
      <c r="P10862" s="8" t="s">
        <v>46283</v>
      </c>
      <c r="Q10862" s="8">
        <f>+(13+2/60+59/3600)</f>
        <v>13.049722222222222</v>
      </c>
      <c r="R10862" s="8">
        <v>14.3</v>
      </c>
      <c r="S10862" s="8">
        <v>14.9</v>
      </c>
      <c r="T10862" s="8">
        <v>0.6</v>
      </c>
      <c r="U10862" s="8">
        <v>13.5</v>
      </c>
      <c r="V10862" s="8">
        <v>0.9</v>
      </c>
      <c r="W10862" s="8">
        <v>0.6</v>
      </c>
      <c r="X10862" s="8">
        <v>0</v>
      </c>
      <c r="Y10862" s="8" t="s">
        <v>46284</v>
      </c>
      <c r="Z10862" s="8" t="s">
        <v>46285</v>
      </c>
    </row>
    <row r="10863" spans="1:26" x14ac:dyDescent="0.2">
      <c r="A10863" s="8">
        <v>10862</v>
      </c>
      <c r="B10863" s="8" t="s">
        <v>46286</v>
      </c>
      <c r="C10863" s="8" t="s">
        <v>46286</v>
      </c>
      <c r="G10863" s="8">
        <v>20</v>
      </c>
      <c r="H10863" s="8" t="s">
        <v>21</v>
      </c>
      <c r="I10863" s="8" t="s">
        <v>22</v>
      </c>
      <c r="J10863" s="8" t="s">
        <v>22</v>
      </c>
      <c r="K10863" s="8" t="s">
        <v>58</v>
      </c>
      <c r="L10863" s="8" t="s">
        <v>18681</v>
      </c>
      <c r="M10863" s="8" t="s">
        <v>18682</v>
      </c>
      <c r="N10863" s="8" t="s">
        <v>46287</v>
      </c>
      <c r="O10863" s="8">
        <f>12+10/60+2.3/3600</f>
        <v>12.167305555555554</v>
      </c>
      <c r="P10863" s="8" t="s">
        <v>46288</v>
      </c>
      <c r="Q10863" s="8">
        <f>+(38+44/60+26/3600)</f>
        <v>38.740555555555559</v>
      </c>
      <c r="R10863" s="8">
        <v>13.5</v>
      </c>
      <c r="S10863" s="8">
        <v>14.5</v>
      </c>
      <c r="T10863" s="8">
        <v>1</v>
      </c>
      <c r="U10863" s="8">
        <v>14.6</v>
      </c>
      <c r="V10863" s="8">
        <v>2.9</v>
      </c>
      <c r="W10863" s="8">
        <v>0.9</v>
      </c>
      <c r="X10863" s="8">
        <v>29</v>
      </c>
      <c r="Y10863" s="8" t="s">
        <v>24973</v>
      </c>
      <c r="Z10863" s="8" t="s">
        <v>24974</v>
      </c>
    </row>
    <row r="10864" spans="1:26" x14ac:dyDescent="0.2">
      <c r="A10864" s="8">
        <v>10863</v>
      </c>
      <c r="B10864" s="8" t="s">
        <v>46289</v>
      </c>
      <c r="C10864" s="8" t="s">
        <v>46289</v>
      </c>
      <c r="G10864" s="8">
        <v>20</v>
      </c>
      <c r="H10864" s="8" t="s">
        <v>21</v>
      </c>
      <c r="I10864" s="8" t="s">
        <v>22</v>
      </c>
      <c r="J10864" s="8" t="s">
        <v>22</v>
      </c>
      <c r="K10864" s="8" t="s">
        <v>3616</v>
      </c>
      <c r="L10864" s="8" t="s">
        <v>18289</v>
      </c>
      <c r="M10864" s="8" t="s">
        <v>18290</v>
      </c>
      <c r="N10864" s="8" t="s">
        <v>46290</v>
      </c>
      <c r="O10864" s="8">
        <f>12+10/60+1.9/3600</f>
        <v>12.167194444444444</v>
      </c>
      <c r="P10864" s="8" t="s">
        <v>46291</v>
      </c>
      <c r="Q10864" s="8">
        <f>+(14+22/60+1/3600)</f>
        <v>14.366944444444444</v>
      </c>
      <c r="R10864" s="8">
        <v>14.6</v>
      </c>
      <c r="S10864" s="8">
        <v>15.2</v>
      </c>
      <c r="T10864" s="8">
        <v>0.6</v>
      </c>
      <c r="U10864" s="8">
        <v>14.2</v>
      </c>
      <c r="V10864" s="8">
        <v>1.3</v>
      </c>
      <c r="W10864" s="8">
        <v>0.6</v>
      </c>
      <c r="X10864" s="8">
        <v>141</v>
      </c>
      <c r="Y10864" s="8" t="s">
        <v>46292</v>
      </c>
      <c r="Z10864" s="8" t="s">
        <v>46293</v>
      </c>
    </row>
    <row r="10865" spans="1:26" x14ac:dyDescent="0.2">
      <c r="A10865" s="8">
        <v>10864</v>
      </c>
      <c r="B10865" s="8" t="s">
        <v>46294</v>
      </c>
      <c r="C10865" s="8" t="s">
        <v>46294</v>
      </c>
      <c r="G10865" s="8">
        <v>20</v>
      </c>
      <c r="H10865" s="8" t="s">
        <v>21</v>
      </c>
      <c r="I10865" s="8" t="s">
        <v>22</v>
      </c>
      <c r="J10865" s="8" t="s">
        <v>22</v>
      </c>
      <c r="K10865" s="8" t="s">
        <v>160</v>
      </c>
      <c r="L10865" s="8" t="s">
        <v>17287</v>
      </c>
      <c r="M10865" s="8" t="s">
        <v>17288</v>
      </c>
      <c r="N10865" s="8" t="s">
        <v>46295</v>
      </c>
      <c r="O10865" s="8">
        <f>12+10/60+12/3600</f>
        <v>12.17</v>
      </c>
      <c r="P10865" s="8" t="s">
        <v>46296</v>
      </c>
      <c r="Q10865" s="8">
        <f>+(12+19/60+32/3600)</f>
        <v>12.325555555555555</v>
      </c>
      <c r="R10865" s="8">
        <v>14.4</v>
      </c>
      <c r="S10865" s="8">
        <v>15.1</v>
      </c>
      <c r="T10865" s="8">
        <v>0.7</v>
      </c>
      <c r="U10865" s="8">
        <v>13.3</v>
      </c>
      <c r="V10865" s="8">
        <v>1</v>
      </c>
      <c r="W10865" s="8">
        <v>0.4</v>
      </c>
      <c r="X10865" s="8">
        <v>167</v>
      </c>
      <c r="Y10865" s="8" t="s">
        <v>46228</v>
      </c>
      <c r="Z10865" s="8" t="s">
        <v>46229</v>
      </c>
    </row>
    <row r="10866" spans="1:26" x14ac:dyDescent="0.2">
      <c r="A10866" s="8">
        <v>10865</v>
      </c>
      <c r="B10866" s="8" t="s">
        <v>46297</v>
      </c>
      <c r="C10866" s="8" t="s">
        <v>46297</v>
      </c>
      <c r="G10866" s="8">
        <v>20</v>
      </c>
      <c r="H10866" s="8" t="s">
        <v>21</v>
      </c>
      <c r="I10866" s="8" t="s">
        <v>22</v>
      </c>
      <c r="J10866" s="8" t="s">
        <v>22</v>
      </c>
      <c r="K10866" s="8" t="s">
        <v>632</v>
      </c>
      <c r="L10866" s="8" t="s">
        <v>17287</v>
      </c>
      <c r="M10866" s="8" t="s">
        <v>17288</v>
      </c>
      <c r="N10866" s="8" t="s">
        <v>46298</v>
      </c>
      <c r="O10866" s="8">
        <f>12+10/60+23/3600</f>
        <v>12.173055555555555</v>
      </c>
      <c r="P10866" s="8" t="s">
        <v>46299</v>
      </c>
      <c r="Q10866" s="8">
        <f>+(10+11/60+19/3600)</f>
        <v>10.188611111111111</v>
      </c>
      <c r="R10866" s="8">
        <v>14.2</v>
      </c>
      <c r="S10866" s="8">
        <v>15.1</v>
      </c>
      <c r="T10866" s="8">
        <v>0.9</v>
      </c>
      <c r="U10866" s="8">
        <v>12.7</v>
      </c>
      <c r="V10866" s="8">
        <v>0.7</v>
      </c>
      <c r="W10866" s="8">
        <v>0.4</v>
      </c>
      <c r="X10866" s="8">
        <v>95</v>
      </c>
      <c r="Y10866" s="8" t="s">
        <v>46300</v>
      </c>
      <c r="Z10866" s="8" t="s">
        <v>46301</v>
      </c>
    </row>
    <row r="10867" spans="1:26" x14ac:dyDescent="0.2">
      <c r="A10867" s="8">
        <v>10866</v>
      </c>
      <c r="B10867" s="8" t="s">
        <v>46302</v>
      </c>
      <c r="C10867" s="8" t="s">
        <v>46302</v>
      </c>
      <c r="G10867" s="8">
        <v>20</v>
      </c>
      <c r="H10867" s="8" t="s">
        <v>21</v>
      </c>
      <c r="I10867" s="8" t="s">
        <v>329</v>
      </c>
      <c r="J10867" s="8" t="s">
        <v>329</v>
      </c>
      <c r="K10867" s="8" t="s">
        <v>329</v>
      </c>
      <c r="L10867" s="8" t="s">
        <v>11765</v>
      </c>
      <c r="M10867" s="8" t="s">
        <v>11766</v>
      </c>
      <c r="N10867" s="8" t="s">
        <v>46303</v>
      </c>
      <c r="O10867" s="8">
        <f>12+10/60+34/3600</f>
        <v>12.17611111111111</v>
      </c>
      <c r="P10867" s="8" t="s">
        <v>46304</v>
      </c>
      <c r="Q10867" s="8">
        <f>-(29+55/60+24/3600)</f>
        <v>-29.923333333333336</v>
      </c>
      <c r="R10867" s="8">
        <v>99</v>
      </c>
      <c r="S10867" s="8">
        <v>99</v>
      </c>
      <c r="T10867" s="8">
        <v>99</v>
      </c>
      <c r="U10867" s="8">
        <v>99</v>
      </c>
      <c r="Y10867" s="8" t="s">
        <v>46305</v>
      </c>
      <c r="Z10867" s="8" t="s">
        <v>46306</v>
      </c>
    </row>
    <row r="10868" spans="1:26" x14ac:dyDescent="0.2">
      <c r="A10868" s="8">
        <v>10867</v>
      </c>
      <c r="B10868" s="8" t="s">
        <v>46307</v>
      </c>
      <c r="C10868" s="8" t="s">
        <v>46307</v>
      </c>
      <c r="G10868" s="8">
        <v>20</v>
      </c>
      <c r="H10868" s="8" t="s">
        <v>21</v>
      </c>
      <c r="I10868" s="8" t="s">
        <v>329</v>
      </c>
      <c r="J10868" s="8" t="s">
        <v>329</v>
      </c>
      <c r="K10868" s="8" t="s">
        <v>329</v>
      </c>
      <c r="L10868" s="8" t="s">
        <v>18289</v>
      </c>
      <c r="M10868" s="8" t="s">
        <v>18290</v>
      </c>
      <c r="N10868" s="8" t="s">
        <v>46308</v>
      </c>
      <c r="O10868" s="8">
        <f>12+10/60+30/3600</f>
        <v>12.174999999999999</v>
      </c>
      <c r="P10868" s="8" t="s">
        <v>46309</v>
      </c>
      <c r="Q10868" s="8">
        <f>+(14+11/60+36/3600)</f>
        <v>14.193333333333333</v>
      </c>
      <c r="R10868" s="8">
        <v>99</v>
      </c>
      <c r="S10868" s="8">
        <v>99</v>
      </c>
      <c r="T10868" s="8">
        <v>99</v>
      </c>
      <c r="U10868" s="8">
        <v>99</v>
      </c>
      <c r="Y10868" s="8" t="s">
        <v>46310</v>
      </c>
      <c r="Z10868" s="8" t="s">
        <v>46311</v>
      </c>
    </row>
    <row r="10869" spans="1:26" x14ac:dyDescent="0.2">
      <c r="A10869" s="8">
        <v>10868</v>
      </c>
      <c r="B10869" s="8" t="s">
        <v>46312</v>
      </c>
      <c r="C10869" s="8" t="s">
        <v>46312</v>
      </c>
      <c r="G10869" s="8">
        <v>20</v>
      </c>
      <c r="H10869" s="8" t="s">
        <v>21</v>
      </c>
      <c r="I10869" s="8" t="s">
        <v>22</v>
      </c>
      <c r="J10869" s="8" t="s">
        <v>22</v>
      </c>
      <c r="K10869" s="8" t="s">
        <v>449</v>
      </c>
      <c r="L10869" s="8" t="s">
        <v>17287</v>
      </c>
      <c r="M10869" s="8" t="s">
        <v>17288</v>
      </c>
      <c r="N10869" s="8" t="s">
        <v>46313</v>
      </c>
      <c r="O10869" s="8">
        <f>12+10/60+35.6/3600</f>
        <v>12.176555555555556</v>
      </c>
      <c r="P10869" s="8" t="s">
        <v>46314</v>
      </c>
      <c r="Q10869" s="8">
        <f>+(11+45/60+41/3600)</f>
        <v>11.761388888888888</v>
      </c>
      <c r="R10869" s="8">
        <v>14.3</v>
      </c>
      <c r="S10869" s="8">
        <v>15.1</v>
      </c>
      <c r="T10869" s="8">
        <v>0.8</v>
      </c>
      <c r="U10869" s="8">
        <v>11.8</v>
      </c>
      <c r="V10869" s="8">
        <v>0.6</v>
      </c>
      <c r="W10869" s="8">
        <v>0.2</v>
      </c>
      <c r="X10869" s="8">
        <v>150</v>
      </c>
      <c r="Y10869" s="8" t="s">
        <v>46249</v>
      </c>
      <c r="Z10869" s="8" t="s">
        <v>46250</v>
      </c>
    </row>
    <row r="10870" spans="1:26" x14ac:dyDescent="0.2">
      <c r="A10870" s="8">
        <v>10869</v>
      </c>
      <c r="B10870" s="8" t="s">
        <v>46315</v>
      </c>
      <c r="C10870" s="8" t="s">
        <v>46315</v>
      </c>
      <c r="G10870" s="8">
        <v>20</v>
      </c>
      <c r="H10870" s="8" t="s">
        <v>21</v>
      </c>
      <c r="I10870" s="8" t="s">
        <v>22</v>
      </c>
      <c r="J10870" s="8" t="s">
        <v>22</v>
      </c>
      <c r="K10870" s="8" t="s">
        <v>64</v>
      </c>
      <c r="L10870" s="8" t="s">
        <v>18289</v>
      </c>
      <c r="M10870" s="8" t="s">
        <v>18290</v>
      </c>
      <c r="N10870" s="8" t="s">
        <v>46316</v>
      </c>
      <c r="O10870" s="8">
        <f>12+10/60+41.8/3600</f>
        <v>12.178277777777778</v>
      </c>
      <c r="P10870" s="8" t="s">
        <v>46317</v>
      </c>
      <c r="Q10870" s="8">
        <f>+(13+19/60+53/3600)</f>
        <v>13.331388888888888</v>
      </c>
      <c r="R10870" s="8">
        <v>13.8</v>
      </c>
      <c r="S10870" s="8">
        <v>14.5</v>
      </c>
      <c r="T10870" s="8">
        <v>0.7</v>
      </c>
      <c r="U10870" s="8">
        <v>13.1</v>
      </c>
      <c r="V10870" s="8">
        <v>1.4</v>
      </c>
      <c r="W10870" s="8">
        <v>0.4</v>
      </c>
      <c r="X10870" s="8">
        <v>28</v>
      </c>
      <c r="Y10870" s="8" t="s">
        <v>46318</v>
      </c>
      <c r="Z10870" s="8" t="s">
        <v>46319</v>
      </c>
    </row>
    <row r="10871" spans="1:26" x14ac:dyDescent="0.2">
      <c r="A10871" s="8">
        <v>10870</v>
      </c>
      <c r="B10871" s="8" t="s">
        <v>46320</v>
      </c>
      <c r="C10871" s="8" t="s">
        <v>46320</v>
      </c>
      <c r="G10871" s="8">
        <v>20</v>
      </c>
      <c r="H10871" s="8" t="s">
        <v>21</v>
      </c>
      <c r="I10871" s="8" t="s">
        <v>329</v>
      </c>
      <c r="J10871" s="8" t="s">
        <v>329</v>
      </c>
      <c r="K10871" s="8" t="s">
        <v>329</v>
      </c>
      <c r="L10871" s="8" t="s">
        <v>18289</v>
      </c>
      <c r="M10871" s="8" t="s">
        <v>18290</v>
      </c>
      <c r="N10871" s="8" t="s">
        <v>46321</v>
      </c>
      <c r="O10871" s="8">
        <f>12+11/60+6/3600</f>
        <v>12.185</v>
      </c>
      <c r="P10871" s="8" t="s">
        <v>46322</v>
      </c>
      <c r="Q10871" s="8">
        <f>+(14+8/60+36/3600)</f>
        <v>14.143333333333333</v>
      </c>
      <c r="R10871" s="8">
        <v>99</v>
      </c>
      <c r="S10871" s="8">
        <v>99</v>
      </c>
      <c r="T10871" s="8">
        <v>99</v>
      </c>
      <c r="U10871" s="8">
        <v>99</v>
      </c>
      <c r="Y10871" s="8" t="s">
        <v>46279</v>
      </c>
      <c r="Z10871" s="8" t="s">
        <v>46280</v>
      </c>
    </row>
    <row r="10872" spans="1:26" x14ac:dyDescent="0.2">
      <c r="A10872" s="8">
        <v>10871</v>
      </c>
      <c r="B10872" s="8" t="s">
        <v>46323</v>
      </c>
      <c r="C10872" s="8" t="s">
        <v>46323</v>
      </c>
      <c r="G10872" s="8">
        <v>20</v>
      </c>
      <c r="H10872" s="8" t="s">
        <v>21</v>
      </c>
      <c r="I10872" s="8" t="s">
        <v>22</v>
      </c>
      <c r="J10872" s="8" t="s">
        <v>22</v>
      </c>
      <c r="K10872" s="8" t="s">
        <v>449</v>
      </c>
      <c r="L10872" s="8" t="s">
        <v>18289</v>
      </c>
      <c r="M10872" s="8" t="s">
        <v>18290</v>
      </c>
      <c r="N10872" s="8" t="s">
        <v>46324</v>
      </c>
      <c r="O10872" s="8">
        <f>12+11/60+4.2/3600</f>
        <v>12.1845</v>
      </c>
      <c r="P10872" s="8" t="s">
        <v>46325</v>
      </c>
      <c r="Q10872" s="8">
        <f>+(13+18/60+29/3600)</f>
        <v>13.308055555555557</v>
      </c>
      <c r="R10872" s="8">
        <v>15.2</v>
      </c>
      <c r="S10872" s="8">
        <v>16</v>
      </c>
      <c r="T10872" s="8">
        <v>0.8</v>
      </c>
      <c r="U10872" s="8">
        <v>12.2</v>
      </c>
      <c r="V10872" s="8">
        <v>0.7</v>
      </c>
      <c r="W10872" s="8">
        <v>0.1</v>
      </c>
      <c r="X10872" s="8">
        <v>32</v>
      </c>
      <c r="Y10872" s="8" t="s">
        <v>21</v>
      </c>
      <c r="Z10872" s="8" t="s">
        <v>46326</v>
      </c>
    </row>
    <row r="10873" spans="1:26" x14ac:dyDescent="0.2">
      <c r="A10873" s="8">
        <v>10872</v>
      </c>
      <c r="B10873" s="8" t="s">
        <v>46327</v>
      </c>
      <c r="C10873" s="8" t="s">
        <v>46327</v>
      </c>
      <c r="G10873" s="8">
        <v>20</v>
      </c>
      <c r="H10873" s="8" t="s">
        <v>21</v>
      </c>
      <c r="I10873" s="8" t="s">
        <v>22</v>
      </c>
      <c r="J10873" s="8" t="s">
        <v>22</v>
      </c>
      <c r="K10873" s="8" t="s">
        <v>818</v>
      </c>
      <c r="L10873" s="8" t="s">
        <v>18289</v>
      </c>
      <c r="M10873" s="8" t="s">
        <v>18290</v>
      </c>
      <c r="N10873" s="8" t="s">
        <v>46328</v>
      </c>
      <c r="O10873" s="8">
        <f>12+11/60+7.8/3600</f>
        <v>12.185500000000001</v>
      </c>
      <c r="P10873" s="8" t="s">
        <v>46329</v>
      </c>
      <c r="Q10873" s="8">
        <f>+(14+16/60+31/3600)</f>
        <v>14.275277777777779</v>
      </c>
      <c r="R10873" s="8">
        <v>13.8</v>
      </c>
      <c r="S10873" s="8">
        <v>14.8</v>
      </c>
      <c r="T10873" s="8">
        <v>1</v>
      </c>
      <c r="U10873" s="8">
        <v>13.8</v>
      </c>
      <c r="V10873" s="8">
        <v>1</v>
      </c>
      <c r="W10873" s="8">
        <v>0.9</v>
      </c>
      <c r="Y10873" s="8" t="s">
        <v>46228</v>
      </c>
      <c r="Z10873" s="8" t="s">
        <v>46229</v>
      </c>
    </row>
    <row r="10874" spans="1:26" x14ac:dyDescent="0.2">
      <c r="A10874" s="8">
        <v>10873</v>
      </c>
      <c r="B10874" s="8" t="s">
        <v>46330</v>
      </c>
      <c r="C10874" s="8" t="s">
        <v>46330</v>
      </c>
      <c r="G10874" s="8">
        <v>20</v>
      </c>
      <c r="H10874" s="8" t="s">
        <v>21</v>
      </c>
      <c r="I10874" s="8" t="s">
        <v>22</v>
      </c>
      <c r="J10874" s="8" t="s">
        <v>22</v>
      </c>
      <c r="K10874" s="8" t="s">
        <v>269</v>
      </c>
      <c r="L10874" s="8" t="s">
        <v>18289</v>
      </c>
      <c r="M10874" s="8" t="s">
        <v>18290</v>
      </c>
      <c r="N10874" s="8" t="s">
        <v>46331</v>
      </c>
      <c r="O10874" s="8">
        <f>12+11/60+10/3600</f>
        <v>12.186111111111112</v>
      </c>
      <c r="P10874" s="8" t="s">
        <v>46332</v>
      </c>
      <c r="Q10874" s="8">
        <f>+(13+35/60+17/3600)</f>
        <v>13.588055555555556</v>
      </c>
      <c r="R10874" s="8">
        <v>14.3</v>
      </c>
      <c r="S10874" s="8">
        <v>14.9</v>
      </c>
      <c r="T10874" s="8">
        <v>0.6</v>
      </c>
      <c r="U10874" s="8">
        <v>13.7</v>
      </c>
      <c r="V10874" s="8">
        <v>1.1000000000000001</v>
      </c>
      <c r="W10874" s="8">
        <v>0.7</v>
      </c>
      <c r="X10874" s="8">
        <v>2</v>
      </c>
      <c r="Y10874" s="8" t="s">
        <v>21</v>
      </c>
      <c r="Z10874" s="8" t="s">
        <v>46333</v>
      </c>
    </row>
    <row r="10875" spans="1:26" x14ac:dyDescent="0.2">
      <c r="A10875" s="8">
        <v>10874</v>
      </c>
      <c r="B10875" s="8" t="s">
        <v>46334</v>
      </c>
      <c r="C10875" s="8" t="s">
        <v>46334</v>
      </c>
      <c r="G10875" s="8">
        <v>20</v>
      </c>
      <c r="H10875" s="8" t="s">
        <v>21</v>
      </c>
      <c r="I10875" s="8" t="s">
        <v>22</v>
      </c>
      <c r="J10875" s="8" t="s">
        <v>22</v>
      </c>
      <c r="K10875" s="8" t="s">
        <v>449</v>
      </c>
      <c r="L10875" s="8" t="s">
        <v>18289</v>
      </c>
      <c r="M10875" s="8" t="s">
        <v>18290</v>
      </c>
      <c r="N10875" s="8" t="s">
        <v>46335</v>
      </c>
      <c r="O10875" s="8">
        <f>12+11/60+47.7/3600</f>
        <v>12.196583333333333</v>
      </c>
      <c r="P10875" s="8" t="s">
        <v>46336</v>
      </c>
      <c r="Q10875" s="8">
        <f>+(14+12/60+5/3600)</f>
        <v>14.201388888888888</v>
      </c>
      <c r="R10875" s="8">
        <v>15.2</v>
      </c>
      <c r="S10875" s="8">
        <v>16</v>
      </c>
      <c r="T10875" s="8">
        <v>0.8</v>
      </c>
      <c r="U10875" s="8">
        <v>12.7</v>
      </c>
      <c r="V10875" s="8">
        <v>0.6</v>
      </c>
      <c r="W10875" s="8">
        <v>0.2</v>
      </c>
      <c r="X10875" s="8">
        <v>150</v>
      </c>
      <c r="Y10875" s="8" t="s">
        <v>46337</v>
      </c>
      <c r="Z10875" s="8" t="s">
        <v>46338</v>
      </c>
    </row>
    <row r="10876" spans="1:26" x14ac:dyDescent="0.2">
      <c r="A10876" s="8">
        <v>10875</v>
      </c>
      <c r="B10876" s="8" t="s">
        <v>46339</v>
      </c>
      <c r="C10876" s="8" t="s">
        <v>46339</v>
      </c>
      <c r="G10876" s="8">
        <v>20</v>
      </c>
      <c r="H10876" s="8" t="s">
        <v>21</v>
      </c>
      <c r="I10876" s="8" t="s">
        <v>22</v>
      </c>
      <c r="J10876" s="8" t="s">
        <v>57</v>
      </c>
      <c r="K10876" s="8" t="s">
        <v>154</v>
      </c>
      <c r="L10876" s="8" t="s">
        <v>17287</v>
      </c>
      <c r="M10876" s="8" t="s">
        <v>17288</v>
      </c>
      <c r="N10876" s="8" t="s">
        <v>18929</v>
      </c>
      <c r="O10876" s="8">
        <f>12+12/60+11.8/3600</f>
        <v>12.203277777777776</v>
      </c>
      <c r="P10876" s="8" t="s">
        <v>18930</v>
      </c>
      <c r="Q10876" s="8">
        <f>+(13+14/60+46/3600)</f>
        <v>13.246111111111111</v>
      </c>
      <c r="R10876" s="8">
        <v>13.5</v>
      </c>
      <c r="S10876" s="8">
        <v>14.4</v>
      </c>
      <c r="T10876" s="8">
        <v>0.9</v>
      </c>
      <c r="U10876" s="8">
        <v>13.6</v>
      </c>
      <c r="V10876" s="8">
        <v>1.2</v>
      </c>
      <c r="W10876" s="8">
        <v>0.8</v>
      </c>
      <c r="X10876" s="8">
        <v>160</v>
      </c>
      <c r="Y10876" s="8" t="s">
        <v>46340</v>
      </c>
      <c r="Z10876" s="8" t="s">
        <v>46341</v>
      </c>
    </row>
    <row r="10877" spans="1:26" x14ac:dyDescent="0.2">
      <c r="A10877" s="8">
        <v>10876</v>
      </c>
      <c r="B10877" s="8" t="s">
        <v>46342</v>
      </c>
      <c r="C10877" s="8" t="s">
        <v>46342</v>
      </c>
      <c r="G10877" s="8">
        <v>20</v>
      </c>
      <c r="H10877" s="8" t="s">
        <v>21</v>
      </c>
      <c r="I10877" s="8" t="s">
        <v>22</v>
      </c>
      <c r="J10877" s="8" t="s">
        <v>22</v>
      </c>
      <c r="K10877" s="8" t="s">
        <v>4103</v>
      </c>
      <c r="L10877" s="8" t="s">
        <v>17287</v>
      </c>
      <c r="M10877" s="8" t="s">
        <v>17288</v>
      </c>
      <c r="N10877" s="8" t="s">
        <v>46343</v>
      </c>
      <c r="O10877" s="8">
        <f>12+12/60+15.1/3600</f>
        <v>12.204194444444443</v>
      </c>
      <c r="P10877" s="8" t="s">
        <v>38989</v>
      </c>
      <c r="Q10877" s="8">
        <f>+(12+29/60+19/3600)</f>
        <v>12.48861111111111</v>
      </c>
      <c r="R10877" s="8">
        <v>13.7</v>
      </c>
      <c r="S10877" s="8">
        <v>14.3</v>
      </c>
      <c r="T10877" s="8">
        <v>0.6</v>
      </c>
      <c r="U10877" s="8">
        <v>14.3</v>
      </c>
      <c r="V10877" s="8">
        <v>1.6</v>
      </c>
      <c r="W10877" s="8">
        <v>1.2</v>
      </c>
      <c r="X10877" s="8">
        <v>177</v>
      </c>
      <c r="Y10877" s="8" t="s">
        <v>46344</v>
      </c>
      <c r="Z10877" s="8" t="s">
        <v>46345</v>
      </c>
    </row>
    <row r="10878" spans="1:26" x14ac:dyDescent="0.2">
      <c r="A10878" s="8">
        <v>10877</v>
      </c>
      <c r="B10878" s="8" t="s">
        <v>46346</v>
      </c>
      <c r="C10878" s="8" t="s">
        <v>46346</v>
      </c>
      <c r="G10878" s="8">
        <v>20</v>
      </c>
      <c r="H10878" s="8" t="s">
        <v>21</v>
      </c>
      <c r="I10878" s="8" t="s">
        <v>22</v>
      </c>
      <c r="J10878" s="8" t="s">
        <v>22</v>
      </c>
      <c r="K10878" s="8" t="s">
        <v>31</v>
      </c>
      <c r="L10878" s="8" t="s">
        <v>17287</v>
      </c>
      <c r="M10878" s="8" t="s">
        <v>17288</v>
      </c>
      <c r="N10878" s="8" t="s">
        <v>46347</v>
      </c>
      <c r="O10878" s="8">
        <f>12+12/60+20.5/3600</f>
        <v>12.205694444444443</v>
      </c>
      <c r="P10878" s="8" t="s">
        <v>46348</v>
      </c>
      <c r="Q10878" s="8">
        <f>+(9+59/60+9/3600)</f>
        <v>9.985833333333332</v>
      </c>
      <c r="R10878" s="8">
        <v>14.6</v>
      </c>
      <c r="S10878" s="8">
        <v>15.4</v>
      </c>
      <c r="T10878" s="8">
        <v>0.8</v>
      </c>
      <c r="U10878" s="8">
        <v>12.1</v>
      </c>
      <c r="V10878" s="8">
        <v>0.4</v>
      </c>
      <c r="W10878" s="8">
        <v>0.3</v>
      </c>
      <c r="X10878" s="8">
        <v>45</v>
      </c>
      <c r="Y10878" s="8" t="s">
        <v>46349</v>
      </c>
      <c r="Z10878" s="8" t="s">
        <v>46350</v>
      </c>
    </row>
    <row r="10879" spans="1:26" x14ac:dyDescent="0.2">
      <c r="A10879" s="8">
        <v>10878</v>
      </c>
      <c r="B10879" s="8" t="s">
        <v>46351</v>
      </c>
      <c r="C10879" s="8" t="s">
        <v>46351</v>
      </c>
      <c r="G10879" s="8">
        <v>20</v>
      </c>
      <c r="H10879" s="8" t="s">
        <v>21</v>
      </c>
      <c r="I10879" s="8" t="s">
        <v>22</v>
      </c>
      <c r="J10879" s="8" t="s">
        <v>22</v>
      </c>
      <c r="K10879" s="8" t="s">
        <v>31</v>
      </c>
      <c r="L10879" s="8" t="s">
        <v>17287</v>
      </c>
      <c r="M10879" s="8" t="s">
        <v>17288</v>
      </c>
      <c r="N10879" s="8" t="s">
        <v>46352</v>
      </c>
      <c r="O10879" s="8">
        <f>12+12/60+32.6/3600</f>
        <v>12.209055555555555</v>
      </c>
      <c r="P10879" s="8" t="s">
        <v>46353</v>
      </c>
      <c r="Q10879" s="8">
        <f>+(11+21/60+12/3600)</f>
        <v>11.353333333333333</v>
      </c>
      <c r="R10879" s="8">
        <v>14.5</v>
      </c>
      <c r="S10879" s="8">
        <v>15.3</v>
      </c>
      <c r="T10879" s="8">
        <v>0.8</v>
      </c>
      <c r="U10879" s="8">
        <v>13.4</v>
      </c>
      <c r="V10879" s="8">
        <v>0.8</v>
      </c>
      <c r="W10879" s="8">
        <v>0.5</v>
      </c>
      <c r="X10879" s="8">
        <v>100</v>
      </c>
      <c r="Y10879" s="8" t="s">
        <v>46354</v>
      </c>
      <c r="Z10879" s="8" t="s">
        <v>46355</v>
      </c>
    </row>
    <row r="10880" spans="1:26" x14ac:dyDescent="0.2">
      <c r="A10880" s="8">
        <v>10879</v>
      </c>
      <c r="B10880" s="8" t="s">
        <v>46356</v>
      </c>
      <c r="C10880" s="8" t="s">
        <v>46356</v>
      </c>
      <c r="G10880" s="8">
        <v>20</v>
      </c>
      <c r="H10880" s="8" t="s">
        <v>21</v>
      </c>
      <c r="I10880" s="8" t="s">
        <v>22</v>
      </c>
      <c r="J10880" s="8" t="s">
        <v>22</v>
      </c>
      <c r="K10880" s="8" t="s">
        <v>160</v>
      </c>
      <c r="L10880" s="8" t="s">
        <v>17287</v>
      </c>
      <c r="M10880" s="8" t="s">
        <v>17288</v>
      </c>
      <c r="N10880" s="8" t="s">
        <v>46352</v>
      </c>
      <c r="O10880" s="8">
        <f>12+12/60+32.6/3600</f>
        <v>12.209055555555555</v>
      </c>
      <c r="P10880" s="8" t="s">
        <v>46357</v>
      </c>
      <c r="Q10880" s="8">
        <f>+(12+18/60+36/3600)</f>
        <v>12.31</v>
      </c>
      <c r="R10880" s="8">
        <v>14.5</v>
      </c>
      <c r="S10880" s="8">
        <v>15.2</v>
      </c>
      <c r="T10880" s="8">
        <v>0.7</v>
      </c>
      <c r="U10880" s="8">
        <v>13</v>
      </c>
      <c r="V10880" s="8">
        <v>1</v>
      </c>
      <c r="W10880" s="8">
        <v>0.3</v>
      </c>
      <c r="X10880" s="8">
        <v>15</v>
      </c>
      <c r="Y10880" s="8" t="s">
        <v>17602</v>
      </c>
      <c r="Z10880" s="8" t="s">
        <v>17603</v>
      </c>
    </row>
    <row r="10881" spans="1:26" x14ac:dyDescent="0.2">
      <c r="A10881" s="8">
        <v>10880</v>
      </c>
      <c r="B10881" s="8" t="s">
        <v>46358</v>
      </c>
      <c r="C10881" s="8" t="s">
        <v>46358</v>
      </c>
      <c r="G10881" s="8">
        <v>20</v>
      </c>
      <c r="H10881" s="8" t="s">
        <v>21</v>
      </c>
      <c r="I10881" s="8" t="s">
        <v>22</v>
      </c>
      <c r="J10881" s="8" t="s">
        <v>22</v>
      </c>
      <c r="K10881" s="8" t="s">
        <v>4219</v>
      </c>
      <c r="L10881" s="8" t="s">
        <v>17287</v>
      </c>
      <c r="M10881" s="8" t="s">
        <v>17288</v>
      </c>
      <c r="N10881" s="8" t="s">
        <v>46359</v>
      </c>
      <c r="O10881" s="8">
        <f>12+12/60+34.5/3600</f>
        <v>12.209583333333333</v>
      </c>
      <c r="P10881" s="8" t="s">
        <v>46360</v>
      </c>
      <c r="Q10881" s="8">
        <f>+(11+4/60+27/3600)</f>
        <v>11.074166666666667</v>
      </c>
      <c r="R10881" s="8">
        <v>14.6</v>
      </c>
      <c r="S10881" s="8">
        <v>15.2</v>
      </c>
      <c r="T10881" s="8">
        <v>0.6</v>
      </c>
      <c r="U10881" s="8">
        <v>13.5</v>
      </c>
      <c r="V10881" s="8">
        <v>0.7</v>
      </c>
      <c r="W10881" s="8">
        <v>0.6</v>
      </c>
      <c r="Y10881" s="8" t="s">
        <v>46349</v>
      </c>
      <c r="Z10881" s="8" t="s">
        <v>46350</v>
      </c>
    </row>
    <row r="10882" spans="1:26" x14ac:dyDescent="0.2">
      <c r="A10882" s="8">
        <v>10881</v>
      </c>
      <c r="B10882" s="8" t="s">
        <v>46361</v>
      </c>
      <c r="C10882" s="8" t="s">
        <v>46361</v>
      </c>
      <c r="G10882" s="8">
        <v>20</v>
      </c>
      <c r="H10882" s="8" t="s">
        <v>21</v>
      </c>
      <c r="I10882" s="8" t="s">
        <v>22</v>
      </c>
      <c r="J10882" s="8" t="s">
        <v>22</v>
      </c>
      <c r="K10882" s="8" t="s">
        <v>449</v>
      </c>
      <c r="L10882" s="8" t="s">
        <v>17287</v>
      </c>
      <c r="M10882" s="8" t="s">
        <v>17288</v>
      </c>
      <c r="N10882" s="8" t="s">
        <v>46362</v>
      </c>
      <c r="O10882" s="8">
        <f>12+12/60+42.7/3600</f>
        <v>12.21186111111111</v>
      </c>
      <c r="P10882" s="8" t="s">
        <v>46363</v>
      </c>
      <c r="Q10882" s="8">
        <f>+(12+45/60+47/3600)</f>
        <v>12.763055555555555</v>
      </c>
      <c r="R10882" s="8">
        <v>16.2</v>
      </c>
      <c r="S10882" s="8">
        <v>17</v>
      </c>
      <c r="T10882" s="8">
        <v>0.8</v>
      </c>
      <c r="U10882" s="8">
        <v>13.7</v>
      </c>
      <c r="V10882" s="8">
        <v>0.6</v>
      </c>
      <c r="W10882" s="8">
        <v>0.2</v>
      </c>
      <c r="X10882" s="8">
        <v>51</v>
      </c>
      <c r="Y10882" s="8" t="s">
        <v>46364</v>
      </c>
      <c r="Z10882" s="8" t="s">
        <v>46365</v>
      </c>
    </row>
    <row r="10883" spans="1:26" x14ac:dyDescent="0.2">
      <c r="A10883" s="8">
        <v>10882</v>
      </c>
      <c r="B10883" s="8" t="s">
        <v>46366</v>
      </c>
      <c r="C10883" s="8" t="s">
        <v>46366</v>
      </c>
      <c r="G10883" s="8">
        <v>20</v>
      </c>
      <c r="H10883" s="8" t="s">
        <v>21</v>
      </c>
      <c r="I10883" s="8" t="s">
        <v>22</v>
      </c>
      <c r="J10883" s="8" t="s">
        <v>57</v>
      </c>
      <c r="K10883" s="8" t="s">
        <v>1277</v>
      </c>
      <c r="L10883" s="8" t="s">
        <v>17287</v>
      </c>
      <c r="M10883" s="8" t="s">
        <v>17288</v>
      </c>
      <c r="N10883" s="8" t="s">
        <v>18982</v>
      </c>
      <c r="O10883" s="8">
        <f>12+12/60+46.2/3600</f>
        <v>12.212833333333332</v>
      </c>
      <c r="P10883" s="8" t="s">
        <v>18983</v>
      </c>
      <c r="Q10883" s="8">
        <f>+(10+51/60+51/3600)</f>
        <v>10.864166666666666</v>
      </c>
      <c r="R10883" s="8">
        <v>11.4</v>
      </c>
      <c r="S10883" s="8">
        <v>11.9</v>
      </c>
      <c r="T10883" s="8">
        <v>0.5</v>
      </c>
      <c r="U10883" s="8">
        <v>13.7</v>
      </c>
      <c r="V10883" s="8">
        <v>5</v>
      </c>
      <c r="W10883" s="8">
        <v>1.7</v>
      </c>
      <c r="X10883" s="8">
        <v>30</v>
      </c>
      <c r="Y10883" s="8" t="s">
        <v>46367</v>
      </c>
      <c r="Z10883" s="8" t="s">
        <v>46368</v>
      </c>
    </row>
    <row r="10884" spans="1:26" x14ac:dyDescent="0.2">
      <c r="A10884" s="8">
        <v>10883</v>
      </c>
      <c r="B10884" s="8" t="s">
        <v>46369</v>
      </c>
      <c r="C10884" s="8" t="s">
        <v>46369</v>
      </c>
      <c r="G10884" s="8">
        <v>20</v>
      </c>
      <c r="H10884" s="8" t="s">
        <v>21</v>
      </c>
      <c r="I10884" s="8" t="s">
        <v>22</v>
      </c>
      <c r="J10884" s="8" t="s">
        <v>22</v>
      </c>
      <c r="K10884" s="8" t="s">
        <v>449</v>
      </c>
      <c r="L10884" s="8" t="s">
        <v>17287</v>
      </c>
      <c r="M10884" s="8" t="s">
        <v>17288</v>
      </c>
      <c r="N10884" s="8" t="s">
        <v>46370</v>
      </c>
      <c r="O10884" s="8">
        <f>12+12/60+47.2/3600</f>
        <v>12.213111111111111</v>
      </c>
      <c r="P10884" s="8" t="s">
        <v>46371</v>
      </c>
      <c r="Q10884" s="8">
        <f>+(10+0/60+36/3600)</f>
        <v>10.01</v>
      </c>
      <c r="R10884" s="8">
        <v>15.4</v>
      </c>
      <c r="S10884" s="8">
        <v>16.2</v>
      </c>
      <c r="T10884" s="8">
        <v>0.8</v>
      </c>
      <c r="U10884" s="8">
        <v>13.1</v>
      </c>
      <c r="V10884" s="8">
        <v>0.7</v>
      </c>
      <c r="W10884" s="8">
        <v>0.2</v>
      </c>
      <c r="X10884" s="8">
        <v>170</v>
      </c>
      <c r="Y10884" s="8" t="s">
        <v>46372</v>
      </c>
      <c r="Z10884" s="8" t="s">
        <v>46373</v>
      </c>
    </row>
    <row r="10885" spans="1:26" x14ac:dyDescent="0.2">
      <c r="A10885" s="8">
        <v>10884</v>
      </c>
      <c r="B10885" s="8" t="s">
        <v>46374</v>
      </c>
      <c r="C10885" s="8" t="s">
        <v>46374</v>
      </c>
      <c r="G10885" s="8">
        <v>20</v>
      </c>
      <c r="H10885" s="8" t="s">
        <v>21</v>
      </c>
      <c r="I10885" s="8" t="s">
        <v>22</v>
      </c>
      <c r="J10885" s="8" t="s">
        <v>22</v>
      </c>
      <c r="K10885" s="8" t="s">
        <v>64</v>
      </c>
      <c r="L10885" s="8" t="s">
        <v>18289</v>
      </c>
      <c r="M10885" s="8" t="s">
        <v>18290</v>
      </c>
      <c r="N10885" s="8" t="s">
        <v>46375</v>
      </c>
      <c r="O10885" s="8">
        <f>12+12/60+48.4/3600</f>
        <v>12.213444444444443</v>
      </c>
      <c r="P10885" s="8" t="s">
        <v>46376</v>
      </c>
      <c r="Q10885" s="8">
        <f>+(13+58/60+34/3600)</f>
        <v>13.976111111111111</v>
      </c>
      <c r="R10885" s="8">
        <v>13.5</v>
      </c>
      <c r="S10885" s="8">
        <v>14.1</v>
      </c>
      <c r="T10885" s="8">
        <v>0.6</v>
      </c>
      <c r="U10885" s="8">
        <v>13.8</v>
      </c>
      <c r="V10885" s="8">
        <v>2</v>
      </c>
      <c r="W10885" s="8">
        <v>0.8</v>
      </c>
      <c r="X10885" s="8">
        <v>68</v>
      </c>
      <c r="Y10885" s="8" t="s">
        <v>3300</v>
      </c>
      <c r="Z10885" s="8" t="s">
        <v>46377</v>
      </c>
    </row>
    <row r="10886" spans="1:26" x14ac:dyDescent="0.2">
      <c r="A10886" s="8">
        <v>10885</v>
      </c>
      <c r="B10886" s="8" t="s">
        <v>46378</v>
      </c>
      <c r="C10886" s="8" t="s">
        <v>46378</v>
      </c>
      <c r="G10886" s="8">
        <v>20</v>
      </c>
      <c r="H10886" s="8" t="s">
        <v>21</v>
      </c>
      <c r="I10886" s="8" t="s">
        <v>329</v>
      </c>
      <c r="J10886" s="8" t="s">
        <v>329</v>
      </c>
      <c r="K10886" s="8" t="s">
        <v>329</v>
      </c>
      <c r="L10886" s="8" t="s">
        <v>17287</v>
      </c>
      <c r="M10886" s="8" t="s">
        <v>17288</v>
      </c>
      <c r="N10886" s="8" t="s">
        <v>46379</v>
      </c>
      <c r="O10886" s="8">
        <f>12+12/60+59.7/3600</f>
        <v>12.216583333333332</v>
      </c>
      <c r="P10886" s="8" t="s">
        <v>46380</v>
      </c>
      <c r="Q10886" s="8">
        <f>+(12+46/60+46/3600)</f>
        <v>12.779444444444445</v>
      </c>
      <c r="R10886" s="8">
        <v>99</v>
      </c>
      <c r="S10886" s="8">
        <v>99</v>
      </c>
      <c r="T10886" s="8">
        <v>99</v>
      </c>
      <c r="U10886" s="8">
        <v>99</v>
      </c>
      <c r="Y10886" s="8" t="s">
        <v>21</v>
      </c>
      <c r="Z10886" s="8" t="s">
        <v>46381</v>
      </c>
    </row>
    <row r="10887" spans="1:26" x14ac:dyDescent="0.2">
      <c r="A10887" s="8">
        <v>10886</v>
      </c>
      <c r="B10887" s="8" t="s">
        <v>46382</v>
      </c>
      <c r="C10887" s="8" t="s">
        <v>46382</v>
      </c>
      <c r="G10887" s="8">
        <v>20</v>
      </c>
      <c r="H10887" s="8" t="s">
        <v>21</v>
      </c>
      <c r="I10887" s="8" t="s">
        <v>22</v>
      </c>
      <c r="J10887" s="8" t="s">
        <v>22</v>
      </c>
      <c r="K10887" s="8" t="s">
        <v>160</v>
      </c>
      <c r="L10887" s="8" t="s">
        <v>17287</v>
      </c>
      <c r="M10887" s="8" t="s">
        <v>17288</v>
      </c>
      <c r="N10887" s="8" t="s">
        <v>46383</v>
      </c>
      <c r="O10887" s="8">
        <f>12+13/60+7.8/3600</f>
        <v>12.218833333333334</v>
      </c>
      <c r="P10887" s="8" t="s">
        <v>46384</v>
      </c>
      <c r="Q10887" s="8">
        <f>+(12+55/60+7/3600)</f>
        <v>12.91861111111111</v>
      </c>
      <c r="R10887" s="8">
        <v>14.4</v>
      </c>
      <c r="S10887" s="8">
        <v>15.1</v>
      </c>
      <c r="T10887" s="8">
        <v>0.7</v>
      </c>
      <c r="U10887" s="8">
        <v>13.5</v>
      </c>
      <c r="V10887" s="8">
        <v>1.3</v>
      </c>
      <c r="W10887" s="8">
        <v>0.3</v>
      </c>
      <c r="X10887" s="8">
        <v>132</v>
      </c>
      <c r="Y10887" s="8" t="s">
        <v>46385</v>
      </c>
      <c r="Z10887" s="8" t="s">
        <v>46386</v>
      </c>
    </row>
    <row r="10888" spans="1:26" x14ac:dyDescent="0.2">
      <c r="A10888" s="8">
        <v>10887</v>
      </c>
      <c r="B10888" s="8" t="s">
        <v>46387</v>
      </c>
      <c r="C10888" s="8" t="s">
        <v>46387</v>
      </c>
      <c r="G10888" s="8">
        <v>20</v>
      </c>
      <c r="H10888" s="8" t="s">
        <v>21</v>
      </c>
      <c r="I10888" s="8" t="s">
        <v>22</v>
      </c>
      <c r="J10888" s="8" t="s">
        <v>22</v>
      </c>
      <c r="K10888" s="8" t="s">
        <v>449</v>
      </c>
      <c r="L10888" s="8" t="s">
        <v>17287</v>
      </c>
      <c r="M10888" s="8" t="s">
        <v>17288</v>
      </c>
      <c r="N10888" s="8" t="s">
        <v>46388</v>
      </c>
      <c r="O10888" s="8">
        <f>12+13/60+14.6/3600</f>
        <v>12.220722222222223</v>
      </c>
      <c r="P10888" s="8" t="s">
        <v>46389</v>
      </c>
      <c r="Q10888" s="8">
        <f>+(12+59/60+50/3600)</f>
        <v>12.997222222222222</v>
      </c>
      <c r="R10888" s="8">
        <v>15.2</v>
      </c>
      <c r="S10888" s="8">
        <v>16</v>
      </c>
      <c r="T10888" s="8">
        <v>0.8</v>
      </c>
      <c r="U10888" s="8">
        <v>12.3</v>
      </c>
      <c r="V10888" s="8">
        <v>0.4</v>
      </c>
      <c r="W10888" s="8">
        <v>0.2</v>
      </c>
      <c r="X10888" s="8">
        <v>45</v>
      </c>
      <c r="Y10888" s="8" t="s">
        <v>46390</v>
      </c>
      <c r="Z10888" s="8" t="s">
        <v>46391</v>
      </c>
    </row>
    <row r="10889" spans="1:26" x14ac:dyDescent="0.2">
      <c r="A10889" s="8">
        <v>10888</v>
      </c>
      <c r="B10889" s="8" t="s">
        <v>46392</v>
      </c>
      <c r="C10889" s="8" t="s">
        <v>46392</v>
      </c>
      <c r="G10889" s="8">
        <v>20</v>
      </c>
      <c r="H10889" s="8" t="s">
        <v>21</v>
      </c>
      <c r="I10889" s="8" t="s">
        <v>72</v>
      </c>
      <c r="J10889" s="8" t="s">
        <v>72</v>
      </c>
      <c r="K10889" s="8" t="s">
        <v>73</v>
      </c>
      <c r="L10889" s="8" t="s">
        <v>17287</v>
      </c>
      <c r="M10889" s="8" t="s">
        <v>17288</v>
      </c>
      <c r="N10889" s="8" t="s">
        <v>46393</v>
      </c>
      <c r="O10889" s="8">
        <f>12+13/60+22.4/3600</f>
        <v>12.222888888888889</v>
      </c>
      <c r="P10889" s="8" t="s">
        <v>46394</v>
      </c>
      <c r="Q10889" s="8">
        <f>+(13+4/60+12/3600)</f>
        <v>13.07</v>
      </c>
      <c r="R10889" s="8">
        <v>99</v>
      </c>
      <c r="S10889" s="8">
        <v>99</v>
      </c>
      <c r="T10889" s="8">
        <v>99</v>
      </c>
      <c r="U10889" s="8">
        <v>99</v>
      </c>
      <c r="Y10889" s="8" t="s">
        <v>46395</v>
      </c>
      <c r="Z10889" s="8" t="s">
        <v>46396</v>
      </c>
    </row>
    <row r="10890" spans="1:26" x14ac:dyDescent="0.2">
      <c r="A10890" s="8">
        <v>10889</v>
      </c>
      <c r="B10890" s="8" t="s">
        <v>46397</v>
      </c>
      <c r="C10890" s="8" t="s">
        <v>46397</v>
      </c>
      <c r="E10890" s="8">
        <v>1</v>
      </c>
      <c r="G10890" s="8">
        <v>20</v>
      </c>
      <c r="H10890" s="8" t="s">
        <v>21</v>
      </c>
      <c r="I10890" s="8" t="s">
        <v>22</v>
      </c>
      <c r="J10890" s="8" t="s">
        <v>22</v>
      </c>
      <c r="K10890" s="8" t="s">
        <v>476</v>
      </c>
      <c r="L10890" s="8" t="s">
        <v>18289</v>
      </c>
      <c r="M10890" s="8" t="s">
        <v>18290</v>
      </c>
      <c r="N10890" s="8" t="s">
        <v>46398</v>
      </c>
      <c r="O10890" s="8">
        <f>12+13/60+33.2/3600</f>
        <v>12.225888888888889</v>
      </c>
      <c r="P10890" s="8" t="s">
        <v>46399</v>
      </c>
      <c r="Q10890" s="8">
        <f>+(14+28/60+58/3600)</f>
        <v>14.482777777777779</v>
      </c>
      <c r="R10890" s="8">
        <v>14.7</v>
      </c>
      <c r="S10890" s="8">
        <v>15.5</v>
      </c>
      <c r="T10890" s="8">
        <v>0.8</v>
      </c>
      <c r="U10890" s="8">
        <v>13</v>
      </c>
      <c r="V10890" s="8">
        <v>0.6</v>
      </c>
      <c r="W10890" s="8">
        <v>0.4</v>
      </c>
      <c r="X10890" s="8">
        <v>10</v>
      </c>
      <c r="Y10890" s="8" t="s">
        <v>46349</v>
      </c>
      <c r="Z10890" s="8" t="s">
        <v>46350</v>
      </c>
    </row>
    <row r="10891" spans="1:26" x14ac:dyDescent="0.2">
      <c r="A10891" s="8">
        <v>10890</v>
      </c>
      <c r="B10891" s="8" t="s">
        <v>46400</v>
      </c>
      <c r="C10891" s="8" t="s">
        <v>46400</v>
      </c>
      <c r="G10891" s="8">
        <v>20</v>
      </c>
      <c r="H10891" s="8" t="s">
        <v>21</v>
      </c>
      <c r="I10891" s="8" t="s">
        <v>22</v>
      </c>
      <c r="J10891" s="8" t="s">
        <v>57</v>
      </c>
      <c r="K10891" s="8" t="s">
        <v>64</v>
      </c>
      <c r="L10891" s="8" t="s">
        <v>18289</v>
      </c>
      <c r="M10891" s="8" t="s">
        <v>18290</v>
      </c>
      <c r="N10891" s="8" t="s">
        <v>19030</v>
      </c>
      <c r="O10891" s="8">
        <f>12+13/60+47.2/3600</f>
        <v>12.229777777777779</v>
      </c>
      <c r="P10891" s="8" t="s">
        <v>19031</v>
      </c>
      <c r="Q10891" s="8">
        <f>+(13+25/60+29/3600)</f>
        <v>13.424722222222222</v>
      </c>
      <c r="R10891" s="8">
        <v>11.7</v>
      </c>
      <c r="S10891" s="8">
        <v>12.5</v>
      </c>
      <c r="T10891" s="8">
        <v>0.8</v>
      </c>
      <c r="U10891" s="8">
        <v>13.1</v>
      </c>
      <c r="V10891" s="8">
        <v>2.5</v>
      </c>
      <c r="W10891" s="8">
        <v>1.7</v>
      </c>
      <c r="X10891" s="8">
        <v>85</v>
      </c>
      <c r="Y10891" s="8" t="s">
        <v>46401</v>
      </c>
      <c r="Z10891" s="8" t="s">
        <v>46402</v>
      </c>
    </row>
    <row r="10892" spans="1:26" x14ac:dyDescent="0.2">
      <c r="A10892" s="8">
        <v>10891</v>
      </c>
      <c r="B10892" s="8" t="s">
        <v>46403</v>
      </c>
      <c r="C10892" s="8" t="s">
        <v>46403</v>
      </c>
      <c r="G10892" s="8">
        <v>20</v>
      </c>
      <c r="H10892" s="8" t="s">
        <v>21</v>
      </c>
      <c r="I10892" s="8" t="s">
        <v>22</v>
      </c>
      <c r="J10892" s="8" t="s">
        <v>57</v>
      </c>
      <c r="K10892" s="8" t="s">
        <v>85</v>
      </c>
      <c r="L10892" s="8" t="s">
        <v>17287</v>
      </c>
      <c r="M10892" s="8" t="s">
        <v>17288</v>
      </c>
      <c r="N10892" s="8" t="s">
        <v>19048</v>
      </c>
      <c r="O10892" s="8">
        <f>12+13/60+53.4/3600</f>
        <v>12.2315</v>
      </c>
      <c r="P10892" s="8" t="s">
        <v>19049</v>
      </c>
      <c r="Q10892" s="8">
        <f>+(13+10/60+22/3600)</f>
        <v>13.172777777777776</v>
      </c>
      <c r="R10892" s="8">
        <v>12.3</v>
      </c>
      <c r="S10892" s="8">
        <v>13.2</v>
      </c>
      <c r="T10892" s="8">
        <v>0.9</v>
      </c>
      <c r="U10892" s="8">
        <v>13</v>
      </c>
      <c r="V10892" s="8">
        <v>2.2000000000000002</v>
      </c>
      <c r="W10892" s="8">
        <v>1.1000000000000001</v>
      </c>
      <c r="X10892" s="8">
        <v>93</v>
      </c>
      <c r="Y10892" s="8" t="s">
        <v>26019</v>
      </c>
      <c r="Z10892" s="8" t="s">
        <v>26020</v>
      </c>
    </row>
    <row r="10893" spans="1:26" x14ac:dyDescent="0.2">
      <c r="A10893" s="8">
        <v>10892</v>
      </c>
      <c r="B10893" s="8" t="s">
        <v>46404</v>
      </c>
      <c r="C10893" s="8" t="s">
        <v>46404</v>
      </c>
      <c r="G10893" s="8">
        <v>20</v>
      </c>
      <c r="H10893" s="8" t="s">
        <v>21</v>
      </c>
      <c r="I10893" s="8" t="s">
        <v>22</v>
      </c>
      <c r="J10893" s="8" t="s">
        <v>22</v>
      </c>
      <c r="K10893" s="8" t="s">
        <v>818</v>
      </c>
      <c r="L10893" s="8" t="s">
        <v>17287</v>
      </c>
      <c r="M10893" s="8" t="s">
        <v>17288</v>
      </c>
      <c r="N10893" s="8" t="s">
        <v>46405</v>
      </c>
      <c r="O10893" s="8">
        <f>12+13/60+48.3/3600</f>
        <v>12.230083333333333</v>
      </c>
      <c r="P10893" s="8" t="s">
        <v>46406</v>
      </c>
      <c r="Q10893" s="8">
        <f>+(12+41/60+25/3600)</f>
        <v>12.690277777777778</v>
      </c>
      <c r="R10893" s="8">
        <v>15.4</v>
      </c>
      <c r="S10893" s="8">
        <v>16.399999999999999</v>
      </c>
      <c r="T10893" s="8">
        <v>1</v>
      </c>
      <c r="U10893" s="8">
        <v>13.2</v>
      </c>
      <c r="V10893" s="8">
        <v>0.4</v>
      </c>
      <c r="W10893" s="8">
        <v>0.3</v>
      </c>
      <c r="X10893" s="8">
        <v>95</v>
      </c>
      <c r="Y10893" s="8" t="s">
        <v>21</v>
      </c>
      <c r="Z10893" s="8" t="s">
        <v>46407</v>
      </c>
    </row>
    <row r="10894" spans="1:26" x14ac:dyDescent="0.2">
      <c r="A10894" s="8">
        <v>10893</v>
      </c>
      <c r="B10894" s="8" t="s">
        <v>46408</v>
      </c>
      <c r="C10894" s="8" t="s">
        <v>46408</v>
      </c>
      <c r="G10894" s="8">
        <v>20</v>
      </c>
      <c r="H10894" s="8" t="s">
        <v>21</v>
      </c>
      <c r="I10894" s="8" t="s">
        <v>22</v>
      </c>
      <c r="J10894" s="8" t="s">
        <v>22</v>
      </c>
      <c r="K10894" s="8" t="s">
        <v>46409</v>
      </c>
      <c r="L10894" s="8" t="s">
        <v>18289</v>
      </c>
      <c r="M10894" s="8" t="s">
        <v>18290</v>
      </c>
      <c r="N10894" s="8" t="s">
        <v>46410</v>
      </c>
      <c r="O10894" s="8">
        <f>12+13/60+52/3600</f>
        <v>12.231111111111112</v>
      </c>
      <c r="P10894" s="8" t="s">
        <v>45829</v>
      </c>
      <c r="Q10894" s="8">
        <f>+(14+13/60+21/3600)</f>
        <v>14.2225</v>
      </c>
      <c r="R10894" s="8">
        <v>14.6</v>
      </c>
      <c r="S10894" s="8">
        <v>15.4</v>
      </c>
      <c r="T10894" s="8">
        <v>0.8</v>
      </c>
      <c r="U10894" s="8">
        <v>13.2</v>
      </c>
      <c r="V10894" s="8">
        <v>0.8</v>
      </c>
      <c r="W10894" s="8">
        <v>0.4</v>
      </c>
      <c r="X10894" s="8">
        <v>5</v>
      </c>
      <c r="Y10894" s="8" t="s">
        <v>46354</v>
      </c>
      <c r="Z10894" s="8" t="s">
        <v>46355</v>
      </c>
    </row>
    <row r="10895" spans="1:26" x14ac:dyDescent="0.2">
      <c r="A10895" s="8">
        <v>10894</v>
      </c>
      <c r="B10895" s="8" t="s">
        <v>46411</v>
      </c>
      <c r="C10895" s="8" t="s">
        <v>46411</v>
      </c>
      <c r="G10895" s="8">
        <v>20</v>
      </c>
      <c r="H10895" s="8" t="s">
        <v>21</v>
      </c>
      <c r="I10895" s="8" t="s">
        <v>22</v>
      </c>
      <c r="J10895" s="8" t="s">
        <v>22</v>
      </c>
      <c r="K10895" s="8" t="s">
        <v>818</v>
      </c>
      <c r="L10895" s="8" t="s">
        <v>18289</v>
      </c>
      <c r="M10895" s="8" t="s">
        <v>18290</v>
      </c>
      <c r="N10895" s="8" t="s">
        <v>46412</v>
      </c>
      <c r="O10895" s="8">
        <f>12+14/60+14.5/3600</f>
        <v>12.23736111111111</v>
      </c>
      <c r="P10895" s="8" t="s">
        <v>46413</v>
      </c>
      <c r="Q10895" s="8">
        <f>+(13+32/60+32/3600)</f>
        <v>13.542222222222222</v>
      </c>
      <c r="R10895" s="8">
        <v>15.2</v>
      </c>
      <c r="S10895" s="8">
        <v>16.2</v>
      </c>
      <c r="T10895" s="8">
        <v>1</v>
      </c>
      <c r="U10895" s="8">
        <v>13.5</v>
      </c>
      <c r="V10895" s="8">
        <v>0.5</v>
      </c>
      <c r="W10895" s="8">
        <v>0.4</v>
      </c>
      <c r="X10895" s="8">
        <v>167</v>
      </c>
      <c r="Y10895" s="8" t="s">
        <v>21</v>
      </c>
      <c r="Z10895" s="8" t="s">
        <v>46407</v>
      </c>
    </row>
    <row r="10896" spans="1:26" x14ac:dyDescent="0.2">
      <c r="A10896" s="8">
        <v>10895</v>
      </c>
      <c r="B10896" s="8" t="s">
        <v>46414</v>
      </c>
      <c r="C10896" s="8" t="s">
        <v>46414</v>
      </c>
      <c r="G10896" s="8">
        <v>20</v>
      </c>
      <c r="H10896" s="8" t="s">
        <v>21</v>
      </c>
      <c r="I10896" s="8" t="s">
        <v>22</v>
      </c>
      <c r="J10896" s="8" t="s">
        <v>22</v>
      </c>
      <c r="K10896" s="8" t="s">
        <v>632</v>
      </c>
      <c r="L10896" s="8" t="s">
        <v>17287</v>
      </c>
      <c r="M10896" s="8" t="s">
        <v>17288</v>
      </c>
      <c r="N10896" s="8" t="s">
        <v>46415</v>
      </c>
      <c r="O10896" s="8">
        <f>12+14/60+22.5/3600</f>
        <v>12.239583333333332</v>
      </c>
      <c r="P10896" s="8" t="s">
        <v>46416</v>
      </c>
      <c r="Q10896" s="8">
        <f>+(12+5/60+30/3600)</f>
        <v>12.091666666666667</v>
      </c>
      <c r="R10896" s="8">
        <v>16.100000000000001</v>
      </c>
      <c r="S10896" s="8">
        <v>17</v>
      </c>
      <c r="T10896" s="8">
        <v>0.9</v>
      </c>
      <c r="U10896" s="8">
        <v>13.7</v>
      </c>
      <c r="V10896" s="8">
        <v>0.4</v>
      </c>
      <c r="W10896" s="8">
        <v>0.3</v>
      </c>
      <c r="X10896" s="8">
        <v>80</v>
      </c>
      <c r="Y10896" s="8" t="s">
        <v>46249</v>
      </c>
      <c r="Z10896" s="8" t="s">
        <v>46250</v>
      </c>
    </row>
    <row r="10897" spans="1:26" x14ac:dyDescent="0.2">
      <c r="A10897" s="8">
        <v>10896</v>
      </c>
      <c r="B10897" s="8" t="s">
        <v>46417</v>
      </c>
      <c r="C10897" s="8" t="s">
        <v>46417</v>
      </c>
      <c r="G10897" s="8">
        <v>20</v>
      </c>
      <c r="H10897" s="8" t="s">
        <v>21</v>
      </c>
      <c r="I10897" s="8" t="s">
        <v>329</v>
      </c>
      <c r="J10897" s="8" t="s">
        <v>329</v>
      </c>
      <c r="K10897" s="8" t="s">
        <v>329</v>
      </c>
      <c r="L10897" s="8" t="s">
        <v>18289</v>
      </c>
      <c r="M10897" s="8" t="s">
        <v>18290</v>
      </c>
      <c r="N10897" s="8" t="s">
        <v>46418</v>
      </c>
      <c r="O10897" s="8">
        <f>12+14/60+37.9/3600</f>
        <v>12.24386111111111</v>
      </c>
      <c r="P10897" s="8" t="s">
        <v>46419</v>
      </c>
      <c r="Q10897" s="8">
        <f>+(13+46/60+47/3600)</f>
        <v>13.779722222222222</v>
      </c>
      <c r="R10897" s="8">
        <v>99</v>
      </c>
      <c r="S10897" s="8">
        <v>99</v>
      </c>
      <c r="T10897" s="8">
        <v>99</v>
      </c>
      <c r="U10897" s="8">
        <v>99</v>
      </c>
      <c r="Y10897" s="8" t="s">
        <v>21</v>
      </c>
      <c r="Z10897" s="8" t="s">
        <v>46420</v>
      </c>
    </row>
    <row r="10898" spans="1:26" x14ac:dyDescent="0.2">
      <c r="A10898" s="8">
        <v>10897</v>
      </c>
      <c r="B10898" s="8" t="s">
        <v>46421</v>
      </c>
      <c r="C10898" s="8" t="s">
        <v>46421</v>
      </c>
      <c r="G10898" s="8">
        <v>20</v>
      </c>
      <c r="H10898" s="8" t="s">
        <v>21</v>
      </c>
      <c r="I10898" s="8" t="s">
        <v>329</v>
      </c>
      <c r="J10898" s="8" t="s">
        <v>329</v>
      </c>
      <c r="K10898" s="8" t="s">
        <v>329</v>
      </c>
      <c r="L10898" s="8" t="s">
        <v>16195</v>
      </c>
      <c r="M10898" s="8" t="s">
        <v>16196</v>
      </c>
      <c r="N10898" s="8" t="s">
        <v>46422</v>
      </c>
      <c r="O10898" s="8">
        <f>12+15/60+2/3600</f>
        <v>12.250555555555556</v>
      </c>
      <c r="P10898" s="8" t="s">
        <v>46423</v>
      </c>
      <c r="Q10898" s="8">
        <f>-(44+28/60+24/3600)</f>
        <v>-44.473333333333336</v>
      </c>
      <c r="R10898" s="8">
        <v>99</v>
      </c>
      <c r="S10898" s="8">
        <v>99</v>
      </c>
      <c r="T10898" s="8">
        <v>99</v>
      </c>
      <c r="U10898" s="8">
        <v>99</v>
      </c>
      <c r="Y10898" s="8" t="s">
        <v>21</v>
      </c>
      <c r="Z10898" s="8" t="s">
        <v>46424</v>
      </c>
    </row>
    <row r="10899" spans="1:26" x14ac:dyDescent="0.2">
      <c r="A10899" s="8">
        <v>10898</v>
      </c>
      <c r="B10899" s="8" t="s">
        <v>46425</v>
      </c>
      <c r="C10899" s="8" t="s">
        <v>46425</v>
      </c>
      <c r="G10899" s="8">
        <v>20</v>
      </c>
      <c r="H10899" s="8" t="s">
        <v>21</v>
      </c>
      <c r="I10899" s="8" t="s">
        <v>22</v>
      </c>
      <c r="J10899" s="8" t="s">
        <v>22</v>
      </c>
      <c r="K10899" s="8" t="s">
        <v>1174</v>
      </c>
      <c r="L10899" s="8" t="s">
        <v>18289</v>
      </c>
      <c r="M10899" s="8" t="s">
        <v>18290</v>
      </c>
      <c r="N10899" s="8" t="s">
        <v>46426</v>
      </c>
      <c r="O10899" s="8">
        <f>12+14/60+47.4/3600</f>
        <v>12.246499999999999</v>
      </c>
      <c r="P10899" s="8" t="s">
        <v>46427</v>
      </c>
      <c r="Q10899" s="8">
        <f>+(14+5/60+43/3600)</f>
        <v>14.095277777777778</v>
      </c>
      <c r="R10899" s="8">
        <v>15.7</v>
      </c>
      <c r="S10899" s="8">
        <v>16.5</v>
      </c>
      <c r="T10899" s="8">
        <v>0.8</v>
      </c>
      <c r="U10899" s="8">
        <v>14.2</v>
      </c>
      <c r="V10899" s="8">
        <v>0.7</v>
      </c>
      <c r="W10899" s="8">
        <v>0.4</v>
      </c>
      <c r="X10899" s="8">
        <v>120</v>
      </c>
      <c r="Y10899" s="8" t="s">
        <v>46349</v>
      </c>
      <c r="Z10899" s="8" t="s">
        <v>46350</v>
      </c>
    </row>
    <row r="10900" spans="1:26" x14ac:dyDescent="0.2">
      <c r="A10900" s="8">
        <v>10899</v>
      </c>
      <c r="B10900" s="8" t="s">
        <v>46428</v>
      </c>
      <c r="C10900" s="8" t="s">
        <v>46428</v>
      </c>
      <c r="G10900" s="8">
        <v>20</v>
      </c>
      <c r="H10900" s="8" t="s">
        <v>21</v>
      </c>
      <c r="I10900" s="8" t="s">
        <v>22</v>
      </c>
      <c r="J10900" s="8" t="s">
        <v>22</v>
      </c>
      <c r="K10900" s="8" t="s">
        <v>3616</v>
      </c>
      <c r="L10900" s="8" t="s">
        <v>18289</v>
      </c>
      <c r="M10900" s="8" t="s">
        <v>18290</v>
      </c>
      <c r="N10900" s="8" t="s">
        <v>46429</v>
      </c>
      <c r="O10900" s="8">
        <f>12+14/60+55.1/3600</f>
        <v>12.248638888888888</v>
      </c>
      <c r="P10900" s="8" t="s">
        <v>46430</v>
      </c>
      <c r="Q10900" s="8">
        <f>+(13+27/60+39/3600)</f>
        <v>13.460833333333333</v>
      </c>
      <c r="R10900" s="8">
        <v>14.2</v>
      </c>
      <c r="S10900" s="8">
        <v>14.7</v>
      </c>
      <c r="T10900" s="8">
        <v>0.5</v>
      </c>
      <c r="U10900" s="8">
        <v>14.8</v>
      </c>
      <c r="V10900" s="8">
        <v>1.6</v>
      </c>
      <c r="W10900" s="8">
        <v>1.3</v>
      </c>
      <c r="X10900" s="8">
        <v>0</v>
      </c>
      <c r="Y10900" s="8" t="s">
        <v>46431</v>
      </c>
      <c r="Z10900" s="8" t="s">
        <v>46432</v>
      </c>
    </row>
    <row r="10901" spans="1:26" x14ac:dyDescent="0.2">
      <c r="A10901" s="8">
        <v>10900</v>
      </c>
      <c r="B10901" s="8" t="s">
        <v>46433</v>
      </c>
      <c r="C10901" s="8" t="s">
        <v>46433</v>
      </c>
      <c r="G10901" s="8">
        <v>20</v>
      </c>
      <c r="H10901" s="8" t="s">
        <v>21</v>
      </c>
      <c r="I10901" s="8" t="s">
        <v>22</v>
      </c>
      <c r="J10901" s="8" t="s">
        <v>22</v>
      </c>
      <c r="K10901" s="8" t="s">
        <v>31</v>
      </c>
      <c r="L10901" s="8" t="s">
        <v>17287</v>
      </c>
      <c r="M10901" s="8" t="s">
        <v>17288</v>
      </c>
      <c r="N10901" s="8" t="s">
        <v>46422</v>
      </c>
      <c r="O10901" s="8">
        <f>12+15/60+2/3600</f>
        <v>12.250555555555556</v>
      </c>
      <c r="P10901" s="8" t="s">
        <v>46434</v>
      </c>
      <c r="Q10901" s="8">
        <f>+(12+32/60+52/3600)</f>
        <v>12.547777777777778</v>
      </c>
      <c r="R10901" s="8">
        <v>13.9</v>
      </c>
      <c r="S10901" s="8">
        <v>14.7</v>
      </c>
      <c r="T10901" s="8">
        <v>0.8</v>
      </c>
      <c r="U10901" s="8">
        <v>12.9</v>
      </c>
      <c r="V10901" s="8">
        <v>0.9</v>
      </c>
      <c r="W10901" s="8">
        <v>0.5</v>
      </c>
      <c r="X10901" s="8">
        <v>0</v>
      </c>
      <c r="Y10901" s="8" t="s">
        <v>21</v>
      </c>
      <c r="Z10901" s="8" t="s">
        <v>46435</v>
      </c>
    </row>
    <row r="10902" spans="1:26" x14ac:dyDescent="0.2">
      <c r="A10902" s="8">
        <v>10901</v>
      </c>
      <c r="B10902" s="8" t="s">
        <v>46436</v>
      </c>
      <c r="C10902" s="8" t="s">
        <v>46436</v>
      </c>
      <c r="G10902" s="8">
        <v>20</v>
      </c>
      <c r="H10902" s="8" t="s">
        <v>21</v>
      </c>
      <c r="I10902" s="8" t="s">
        <v>22</v>
      </c>
      <c r="J10902" s="8" t="s">
        <v>22</v>
      </c>
      <c r="K10902" s="8" t="s">
        <v>64</v>
      </c>
      <c r="L10902" s="8" t="s">
        <v>18289</v>
      </c>
      <c r="M10902" s="8" t="s">
        <v>18290</v>
      </c>
      <c r="N10902" s="8" t="s">
        <v>46437</v>
      </c>
      <c r="O10902" s="8">
        <f>12+15/60+4.3/3600</f>
        <v>12.251194444444444</v>
      </c>
      <c r="P10902" s="8" t="s">
        <v>46438</v>
      </c>
      <c r="Q10902" s="8">
        <f>+(14+1/60+44/3600)</f>
        <v>14.02888888888889</v>
      </c>
      <c r="R10902" s="8">
        <v>13.6</v>
      </c>
      <c r="S10902" s="8">
        <v>14.3</v>
      </c>
      <c r="T10902" s="8">
        <v>0.7</v>
      </c>
      <c r="U10902" s="8">
        <v>13.4</v>
      </c>
      <c r="V10902" s="8">
        <v>2.2000000000000002</v>
      </c>
      <c r="W10902" s="8">
        <v>0.4</v>
      </c>
      <c r="X10902" s="8">
        <v>122</v>
      </c>
      <c r="Y10902" s="8" t="s">
        <v>46439</v>
      </c>
      <c r="Z10902" s="8" t="s">
        <v>46440</v>
      </c>
    </row>
    <row r="10903" spans="1:26" x14ac:dyDescent="0.2">
      <c r="A10903" s="8">
        <v>10902</v>
      </c>
      <c r="B10903" s="8" t="s">
        <v>46441</v>
      </c>
      <c r="C10903" s="8" t="s">
        <v>46441</v>
      </c>
      <c r="G10903" s="8">
        <v>20</v>
      </c>
      <c r="H10903" s="8" t="s">
        <v>21</v>
      </c>
      <c r="I10903" s="8" t="s">
        <v>22</v>
      </c>
      <c r="J10903" s="8" t="s">
        <v>22</v>
      </c>
      <c r="K10903" s="8" t="s">
        <v>160</v>
      </c>
      <c r="L10903" s="8" t="s">
        <v>18289</v>
      </c>
      <c r="M10903" s="8" t="s">
        <v>18290</v>
      </c>
      <c r="N10903" s="8" t="s">
        <v>46442</v>
      </c>
      <c r="O10903" s="8">
        <f>12+15/60+5.1/3600</f>
        <v>12.251416666666668</v>
      </c>
      <c r="P10903" s="8" t="s">
        <v>46443</v>
      </c>
      <c r="Q10903" s="8">
        <f>+(13+35/60+40/3600)</f>
        <v>13.594444444444445</v>
      </c>
      <c r="R10903" s="8">
        <v>14</v>
      </c>
      <c r="S10903" s="8">
        <v>14.7</v>
      </c>
      <c r="T10903" s="8">
        <v>0.7</v>
      </c>
      <c r="U10903" s="8">
        <v>13</v>
      </c>
      <c r="V10903" s="8">
        <v>0.9</v>
      </c>
      <c r="W10903" s="8">
        <v>0.5</v>
      </c>
      <c r="X10903" s="8">
        <v>6</v>
      </c>
      <c r="Y10903" s="8" t="s">
        <v>4065</v>
      </c>
      <c r="Z10903" s="8" t="s">
        <v>4066</v>
      </c>
    </row>
    <row r="10904" spans="1:26" x14ac:dyDescent="0.2">
      <c r="A10904" s="8">
        <v>10903</v>
      </c>
      <c r="B10904" s="8" t="s">
        <v>46444</v>
      </c>
      <c r="C10904" s="8" t="s">
        <v>46444</v>
      </c>
      <c r="G10904" s="8">
        <v>20</v>
      </c>
      <c r="H10904" s="8" t="s">
        <v>21</v>
      </c>
      <c r="I10904" s="8" t="s">
        <v>22</v>
      </c>
      <c r="J10904" s="8" t="s">
        <v>22</v>
      </c>
      <c r="K10904" s="8" t="s">
        <v>91</v>
      </c>
      <c r="L10904" s="8" t="s">
        <v>17287</v>
      </c>
      <c r="M10904" s="8" t="s">
        <v>17288</v>
      </c>
      <c r="N10904" s="8" t="s">
        <v>46445</v>
      </c>
      <c r="O10904" s="8">
        <f>12+15/60+6.8/3600</f>
        <v>12.251888888888889</v>
      </c>
      <c r="P10904" s="8" t="s">
        <v>46446</v>
      </c>
      <c r="Q10904" s="8">
        <f>+(12+0/60+58/3600)</f>
        <v>12.016111111111112</v>
      </c>
      <c r="R10904" s="8">
        <v>13.9</v>
      </c>
      <c r="S10904" s="8">
        <v>14.8</v>
      </c>
      <c r="T10904" s="8">
        <v>0.9</v>
      </c>
      <c r="U10904" s="8">
        <v>13.2</v>
      </c>
      <c r="V10904" s="8">
        <v>1</v>
      </c>
      <c r="W10904" s="8">
        <v>0.6</v>
      </c>
      <c r="X10904" s="8">
        <v>20</v>
      </c>
      <c r="Y10904" s="8" t="s">
        <v>46447</v>
      </c>
      <c r="Z10904" s="8" t="s">
        <v>46448</v>
      </c>
    </row>
    <row r="10905" spans="1:26" x14ac:dyDescent="0.2">
      <c r="A10905" s="8">
        <v>10904</v>
      </c>
      <c r="B10905" s="8" t="s">
        <v>46449</v>
      </c>
      <c r="C10905" s="8" t="s">
        <v>46449</v>
      </c>
      <c r="G10905" s="8">
        <v>20</v>
      </c>
      <c r="H10905" s="8" t="s">
        <v>21</v>
      </c>
      <c r="I10905" s="8" t="s">
        <v>22</v>
      </c>
      <c r="J10905" s="8" t="s">
        <v>57</v>
      </c>
      <c r="K10905" s="8" t="s">
        <v>396</v>
      </c>
      <c r="L10905" s="8" t="s">
        <v>17287</v>
      </c>
      <c r="M10905" s="8" t="s">
        <v>17288</v>
      </c>
      <c r="N10905" s="8" t="s">
        <v>19104</v>
      </c>
      <c r="O10905" s="8">
        <f>12+15/60+16.7/3600</f>
        <v>12.25463888888889</v>
      </c>
      <c r="P10905" s="8" t="s">
        <v>19105</v>
      </c>
      <c r="Q10905" s="8">
        <f>+(13+1/60+22/3600)</f>
        <v>13.022777777777778</v>
      </c>
      <c r="R10905" s="8">
        <v>12.2</v>
      </c>
      <c r="S10905" s="8">
        <v>12.8</v>
      </c>
      <c r="T10905" s="8">
        <v>0.6</v>
      </c>
      <c r="U10905" s="8">
        <v>14.1</v>
      </c>
      <c r="V10905" s="8">
        <v>6.4</v>
      </c>
      <c r="W10905" s="8">
        <v>1.1000000000000001</v>
      </c>
      <c r="X10905" s="8">
        <v>0</v>
      </c>
      <c r="Y10905" s="8" t="s">
        <v>46450</v>
      </c>
      <c r="Z10905" s="8" t="s">
        <v>46451</v>
      </c>
    </row>
    <row r="10906" spans="1:26" x14ac:dyDescent="0.2">
      <c r="A10906" s="8">
        <v>10905</v>
      </c>
      <c r="B10906" s="8" t="s">
        <v>46452</v>
      </c>
      <c r="C10906" s="8" t="s">
        <v>46452</v>
      </c>
      <c r="G10906" s="8">
        <v>20</v>
      </c>
      <c r="H10906" s="8" t="s">
        <v>21</v>
      </c>
      <c r="I10906" s="8" t="s">
        <v>22</v>
      </c>
      <c r="J10906" s="8" t="s">
        <v>22</v>
      </c>
      <c r="K10906" s="8" t="s">
        <v>632</v>
      </c>
      <c r="L10906" s="8" t="s">
        <v>18289</v>
      </c>
      <c r="M10906" s="8" t="s">
        <v>18290</v>
      </c>
      <c r="N10906" s="8" t="s">
        <v>46453</v>
      </c>
      <c r="O10906" s="8">
        <f>12+15/60+12.5/3600</f>
        <v>12.253472222222221</v>
      </c>
      <c r="P10906" s="8" t="s">
        <v>46454</v>
      </c>
      <c r="Q10906" s="8">
        <f>+(14+26/60+1/3600)</f>
        <v>14.433611111111111</v>
      </c>
      <c r="R10906" s="8">
        <v>13.6</v>
      </c>
      <c r="S10906" s="8">
        <v>14.5</v>
      </c>
      <c r="T10906" s="8">
        <v>0.9</v>
      </c>
      <c r="U10906" s="8">
        <v>13.3</v>
      </c>
      <c r="V10906" s="8">
        <v>1.1000000000000001</v>
      </c>
      <c r="W10906" s="8">
        <v>0.8</v>
      </c>
      <c r="X10906" s="8">
        <v>0</v>
      </c>
      <c r="Y10906" s="8" t="s">
        <v>46455</v>
      </c>
      <c r="Z10906" s="8" t="s">
        <v>46456</v>
      </c>
    </row>
    <row r="10907" spans="1:26" x14ac:dyDescent="0.2">
      <c r="A10907" s="8">
        <v>10906</v>
      </c>
      <c r="B10907" s="8" t="s">
        <v>46457</v>
      </c>
      <c r="C10907" s="8" t="s">
        <v>46457</v>
      </c>
      <c r="G10907" s="8">
        <v>20</v>
      </c>
      <c r="H10907" s="8" t="s">
        <v>21</v>
      </c>
      <c r="I10907" s="8" t="s">
        <v>22</v>
      </c>
      <c r="J10907" s="8" t="s">
        <v>22</v>
      </c>
      <c r="K10907" s="8" t="s">
        <v>396</v>
      </c>
      <c r="L10907" s="8" t="s">
        <v>18289</v>
      </c>
      <c r="M10907" s="8" t="s">
        <v>18290</v>
      </c>
      <c r="N10907" s="8" t="s">
        <v>46458</v>
      </c>
      <c r="O10907" s="8">
        <f>12+15/60+16.2/3600</f>
        <v>12.2545</v>
      </c>
      <c r="P10907" s="8" t="s">
        <v>46459</v>
      </c>
      <c r="Q10907" s="8">
        <f>+(13+28/60+25/3600)</f>
        <v>13.473611111111111</v>
      </c>
      <c r="R10907" s="8">
        <v>14.7</v>
      </c>
      <c r="S10907" s="8">
        <v>15.5</v>
      </c>
      <c r="T10907" s="8">
        <v>0.8</v>
      </c>
      <c r="U10907" s="8">
        <v>12.8</v>
      </c>
      <c r="V10907" s="8">
        <v>1</v>
      </c>
      <c r="W10907" s="8">
        <v>0.2</v>
      </c>
      <c r="X10907" s="8">
        <v>138</v>
      </c>
      <c r="Y10907" s="8" t="s">
        <v>46460</v>
      </c>
      <c r="Z10907" s="8" t="s">
        <v>46461</v>
      </c>
    </row>
    <row r="10908" spans="1:26" x14ac:dyDescent="0.2">
      <c r="A10908" s="8">
        <v>10907</v>
      </c>
      <c r="B10908" s="8" t="s">
        <v>46462</v>
      </c>
      <c r="C10908" s="8" t="s">
        <v>46462</v>
      </c>
      <c r="G10908" s="8">
        <v>20</v>
      </c>
      <c r="H10908" s="8" t="s">
        <v>21</v>
      </c>
      <c r="I10908" s="8" t="s">
        <v>22</v>
      </c>
      <c r="J10908" s="8" t="s">
        <v>57</v>
      </c>
      <c r="K10908" s="8" t="s">
        <v>449</v>
      </c>
      <c r="L10908" s="8" t="s">
        <v>18289</v>
      </c>
      <c r="M10908" s="8" t="s">
        <v>18290</v>
      </c>
      <c r="N10908" s="8" t="s">
        <v>19122</v>
      </c>
      <c r="O10908" s="8">
        <f>12+15/60+15.8/3600</f>
        <v>12.254388888888888</v>
      </c>
      <c r="P10908" s="8" t="s">
        <v>37746</v>
      </c>
      <c r="Q10908" s="8">
        <f>+(23+57/60+32/3600)</f>
        <v>23.95888888888889</v>
      </c>
      <c r="R10908" s="8">
        <v>14.7</v>
      </c>
      <c r="S10908" s="8">
        <v>15.5</v>
      </c>
      <c r="T10908" s="8">
        <v>0.8</v>
      </c>
      <c r="U10908" s="8">
        <v>13.7</v>
      </c>
      <c r="V10908" s="8">
        <v>0.9</v>
      </c>
      <c r="W10908" s="8">
        <v>0.5</v>
      </c>
      <c r="X10908" s="8">
        <v>100</v>
      </c>
      <c r="Y10908" s="8" t="s">
        <v>1948</v>
      </c>
      <c r="Z10908" s="8" t="s">
        <v>24023</v>
      </c>
    </row>
    <row r="10909" spans="1:26" x14ac:dyDescent="0.2">
      <c r="A10909" s="8">
        <v>10908</v>
      </c>
      <c r="B10909" s="8" t="s">
        <v>46463</v>
      </c>
      <c r="C10909" s="8" t="s">
        <v>46463</v>
      </c>
      <c r="G10909" s="8">
        <v>20</v>
      </c>
      <c r="H10909" s="8" t="s">
        <v>21</v>
      </c>
      <c r="I10909" s="8" t="s">
        <v>22</v>
      </c>
      <c r="J10909" s="8" t="s">
        <v>22</v>
      </c>
      <c r="K10909" s="8" t="s">
        <v>160</v>
      </c>
      <c r="L10909" s="8" t="s">
        <v>17287</v>
      </c>
      <c r="M10909" s="8" t="s">
        <v>17288</v>
      </c>
      <c r="N10909" s="8" t="s">
        <v>46464</v>
      </c>
      <c r="O10909" s="8">
        <f>12+15/60+23.2/3600</f>
        <v>12.256444444444444</v>
      </c>
      <c r="P10909" s="8" t="s">
        <v>46465</v>
      </c>
      <c r="Q10909" s="8">
        <f>+(11+30/60+40/3600)</f>
        <v>11.511111111111111</v>
      </c>
      <c r="R10909" s="8">
        <v>16.3</v>
      </c>
      <c r="S10909" s="8">
        <v>17</v>
      </c>
      <c r="T10909" s="8">
        <v>0.7</v>
      </c>
      <c r="U10909" s="8">
        <v>14.3</v>
      </c>
      <c r="V10909" s="8">
        <v>0.6</v>
      </c>
      <c r="W10909" s="8">
        <v>0.3</v>
      </c>
      <c r="X10909" s="8">
        <v>50</v>
      </c>
      <c r="Y10909" s="8" t="s">
        <v>46466</v>
      </c>
      <c r="Z10909" s="8" t="s">
        <v>46467</v>
      </c>
    </row>
    <row r="10910" spans="1:26" x14ac:dyDescent="0.2">
      <c r="A10910" s="8">
        <v>10909</v>
      </c>
      <c r="B10910" s="8" t="s">
        <v>46468</v>
      </c>
      <c r="C10910" s="8" t="s">
        <v>46468</v>
      </c>
      <c r="G10910" s="8">
        <v>20</v>
      </c>
      <c r="H10910" s="8" t="s">
        <v>21</v>
      </c>
      <c r="I10910" s="8" t="s">
        <v>22</v>
      </c>
      <c r="J10910" s="8" t="s">
        <v>22</v>
      </c>
      <c r="K10910" s="8" t="s">
        <v>449</v>
      </c>
      <c r="L10910" s="8" t="s">
        <v>17287</v>
      </c>
      <c r="M10910" s="8" t="s">
        <v>17288</v>
      </c>
      <c r="N10910" s="8" t="s">
        <v>46469</v>
      </c>
      <c r="O10910" s="8">
        <f>12+15/60+19.8/3600</f>
        <v>12.2555</v>
      </c>
      <c r="P10910" s="8" t="s">
        <v>46470</v>
      </c>
      <c r="Q10910" s="8">
        <f>+(10+9/60+39/3600)</f>
        <v>10.160833333333334</v>
      </c>
      <c r="R10910" s="8">
        <v>15.4</v>
      </c>
      <c r="S10910" s="8">
        <v>16.2</v>
      </c>
      <c r="T10910" s="8">
        <v>0.8</v>
      </c>
      <c r="U10910" s="8">
        <v>12.8</v>
      </c>
      <c r="V10910" s="8">
        <v>0.5</v>
      </c>
      <c r="W10910" s="8">
        <v>0.2</v>
      </c>
      <c r="X10910" s="8">
        <v>105</v>
      </c>
      <c r="Y10910" s="8" t="s">
        <v>46471</v>
      </c>
      <c r="Z10910" s="8" t="s">
        <v>46472</v>
      </c>
    </row>
    <row r="10911" spans="1:26" x14ac:dyDescent="0.2">
      <c r="A10911" s="8">
        <v>10910</v>
      </c>
      <c r="B10911" s="8" t="s">
        <v>46473</v>
      </c>
      <c r="C10911" s="8" t="s">
        <v>46473</v>
      </c>
      <c r="G10911" s="8">
        <v>20</v>
      </c>
      <c r="H10911" s="8" t="s">
        <v>21</v>
      </c>
      <c r="I10911" s="8" t="s">
        <v>72</v>
      </c>
      <c r="J10911" s="8" t="s">
        <v>72</v>
      </c>
      <c r="K10911" s="8" t="s">
        <v>20</v>
      </c>
      <c r="L10911" s="8" t="s">
        <v>17287</v>
      </c>
      <c r="M10911" s="8" t="s">
        <v>17288</v>
      </c>
      <c r="N10911" s="8" t="s">
        <v>46474</v>
      </c>
      <c r="O10911" s="8">
        <f>12+15/60+24.6/3600</f>
        <v>12.256833333333333</v>
      </c>
      <c r="P10911" s="8" t="s">
        <v>46475</v>
      </c>
      <c r="Q10911" s="8">
        <f>+(13+2/60+22/3600)</f>
        <v>13.039444444444444</v>
      </c>
      <c r="R10911" s="8">
        <v>99</v>
      </c>
      <c r="S10911" s="8">
        <v>99</v>
      </c>
      <c r="T10911" s="8">
        <v>99</v>
      </c>
      <c r="U10911" s="8">
        <v>99</v>
      </c>
      <c r="Y10911" s="8" t="s">
        <v>282</v>
      </c>
      <c r="Z10911" s="8" t="s">
        <v>283</v>
      </c>
    </row>
    <row r="10912" spans="1:26" x14ac:dyDescent="0.2">
      <c r="A10912" s="8">
        <v>10911</v>
      </c>
      <c r="B10912" s="8" t="s">
        <v>46476</v>
      </c>
      <c r="C10912" s="8" t="s">
        <v>46476</v>
      </c>
      <c r="G10912" s="8">
        <v>20</v>
      </c>
      <c r="H10912" s="8" t="s">
        <v>21</v>
      </c>
      <c r="I10912" s="8" t="s">
        <v>72</v>
      </c>
      <c r="J10912" s="8" t="s">
        <v>72</v>
      </c>
      <c r="K10912" s="8" t="s">
        <v>20</v>
      </c>
      <c r="L10912" s="8" t="s">
        <v>17287</v>
      </c>
      <c r="M10912" s="8" t="s">
        <v>17288</v>
      </c>
      <c r="N10912" s="8" t="s">
        <v>46477</v>
      </c>
      <c r="O10912" s="8">
        <f>12+15/60+31.8/3600</f>
        <v>12.258833333333333</v>
      </c>
      <c r="P10912" s="8" t="s">
        <v>46478</v>
      </c>
      <c r="Q10912" s="8">
        <f>+(9+32/60+44/3600)</f>
        <v>9.5455555555555556</v>
      </c>
      <c r="R10912" s="8">
        <v>99</v>
      </c>
      <c r="S10912" s="8">
        <v>14.5</v>
      </c>
      <c r="T10912" s="8">
        <v>99</v>
      </c>
      <c r="U10912" s="8">
        <v>99</v>
      </c>
      <c r="Y10912" s="8" t="s">
        <v>962</v>
      </c>
      <c r="Z10912" s="8" t="s">
        <v>963</v>
      </c>
    </row>
    <row r="10913" spans="1:26" x14ac:dyDescent="0.2">
      <c r="A10913" s="8">
        <v>10912</v>
      </c>
      <c r="B10913" s="8" t="s">
        <v>46479</v>
      </c>
      <c r="C10913" s="8" t="s">
        <v>46479</v>
      </c>
      <c r="G10913" s="8">
        <v>20</v>
      </c>
      <c r="H10913" s="8" t="s">
        <v>21</v>
      </c>
      <c r="I10913" s="8" t="s">
        <v>72</v>
      </c>
      <c r="J10913" s="8" t="s">
        <v>72</v>
      </c>
      <c r="K10913" s="8" t="s">
        <v>20</v>
      </c>
      <c r="L10913" s="8" t="s">
        <v>17287</v>
      </c>
      <c r="M10913" s="8" t="s">
        <v>17288</v>
      </c>
      <c r="N10913" s="8" t="s">
        <v>46480</v>
      </c>
      <c r="O10913" s="8">
        <f>12+15/60+38.1/3600</f>
        <v>12.260583333333333</v>
      </c>
      <c r="P10913" s="8" t="s">
        <v>20685</v>
      </c>
      <c r="Q10913" s="8">
        <f>+(9+33/60+20/3600)</f>
        <v>9.5555555555555571</v>
      </c>
      <c r="R10913" s="8">
        <v>99</v>
      </c>
      <c r="S10913" s="8">
        <v>99</v>
      </c>
      <c r="T10913" s="8">
        <v>99</v>
      </c>
      <c r="U10913" s="8">
        <v>99</v>
      </c>
      <c r="Y10913" s="8" t="s">
        <v>46481</v>
      </c>
      <c r="Z10913" s="8" t="s">
        <v>46482</v>
      </c>
    </row>
    <row r="10914" spans="1:26" x14ac:dyDescent="0.2">
      <c r="A10914" s="8">
        <v>10913</v>
      </c>
      <c r="B10914" s="8" t="s">
        <v>46483</v>
      </c>
      <c r="C10914" s="8" t="s">
        <v>46483</v>
      </c>
      <c r="G10914" s="8">
        <v>20</v>
      </c>
      <c r="H10914" s="8" t="s">
        <v>21</v>
      </c>
      <c r="I10914" s="8" t="s">
        <v>22</v>
      </c>
      <c r="J10914" s="8" t="s">
        <v>22</v>
      </c>
      <c r="K10914" s="8" t="s">
        <v>4219</v>
      </c>
      <c r="L10914" s="8" t="s">
        <v>18289</v>
      </c>
      <c r="M10914" s="8" t="s">
        <v>18290</v>
      </c>
      <c r="N10914" s="8" t="s">
        <v>46484</v>
      </c>
      <c r="O10914" s="8">
        <f>12+15/60+35.7/3600</f>
        <v>12.259916666666667</v>
      </c>
      <c r="P10914" s="8" t="s">
        <v>46485</v>
      </c>
      <c r="Q10914" s="8">
        <f>+(13+37/60+11/3600)</f>
        <v>13.619722222222222</v>
      </c>
      <c r="R10914" s="8">
        <v>14.4</v>
      </c>
      <c r="S10914" s="8">
        <v>15</v>
      </c>
      <c r="T10914" s="8">
        <v>0.6</v>
      </c>
      <c r="U10914" s="8">
        <v>13.7</v>
      </c>
      <c r="V10914" s="8">
        <v>1</v>
      </c>
      <c r="W10914" s="8">
        <v>0.6</v>
      </c>
      <c r="X10914" s="8">
        <v>85</v>
      </c>
      <c r="Y10914" s="8" t="s">
        <v>46466</v>
      </c>
      <c r="Z10914" s="8" t="s">
        <v>46467</v>
      </c>
    </row>
    <row r="10915" spans="1:26" x14ac:dyDescent="0.2">
      <c r="A10915" s="8">
        <v>10914</v>
      </c>
      <c r="B10915" s="8" t="s">
        <v>46486</v>
      </c>
      <c r="C10915" s="8" t="s">
        <v>46486</v>
      </c>
      <c r="G10915" s="8">
        <v>20</v>
      </c>
      <c r="H10915" s="8" t="s">
        <v>21</v>
      </c>
      <c r="I10915" s="8" t="s">
        <v>22</v>
      </c>
      <c r="J10915" s="8" t="s">
        <v>22</v>
      </c>
      <c r="K10915" s="8" t="s">
        <v>269</v>
      </c>
      <c r="L10915" s="8" t="s">
        <v>17287</v>
      </c>
      <c r="M10915" s="8" t="s">
        <v>17288</v>
      </c>
      <c r="N10915" s="8" t="s">
        <v>46487</v>
      </c>
      <c r="O10915" s="8">
        <f>12+15/60+46.1/3600</f>
        <v>12.262805555555556</v>
      </c>
      <c r="P10915" s="8" t="s">
        <v>46488</v>
      </c>
      <c r="Q10915" s="8">
        <f>+(10+41/60+55/3600)</f>
        <v>10.698611111111111</v>
      </c>
      <c r="R10915" s="8">
        <v>14.1</v>
      </c>
      <c r="S10915" s="8">
        <v>14.6</v>
      </c>
      <c r="T10915" s="8">
        <v>0.5</v>
      </c>
      <c r="U10915" s="8">
        <v>13.6</v>
      </c>
      <c r="V10915" s="8">
        <v>2.2999999999999998</v>
      </c>
      <c r="W10915" s="8">
        <v>0.3</v>
      </c>
      <c r="X10915" s="8">
        <v>160</v>
      </c>
      <c r="Y10915" s="8" t="s">
        <v>46489</v>
      </c>
      <c r="Z10915" s="8" t="s">
        <v>46490</v>
      </c>
    </row>
    <row r="10916" spans="1:26" x14ac:dyDescent="0.2">
      <c r="A10916" s="8">
        <v>10915</v>
      </c>
      <c r="B10916" s="8" t="s">
        <v>46491</v>
      </c>
      <c r="C10916" s="8" t="s">
        <v>46491</v>
      </c>
      <c r="G10916" s="8">
        <v>20</v>
      </c>
      <c r="H10916" s="8" t="s">
        <v>21</v>
      </c>
      <c r="I10916" s="8" t="s">
        <v>22</v>
      </c>
      <c r="J10916" s="8" t="s">
        <v>22</v>
      </c>
      <c r="K10916" s="8" t="s">
        <v>396</v>
      </c>
      <c r="L10916" s="8" t="s">
        <v>18289</v>
      </c>
      <c r="M10916" s="8" t="s">
        <v>18290</v>
      </c>
      <c r="N10916" s="8" t="s">
        <v>46492</v>
      </c>
      <c r="O10916" s="8">
        <f>12+15/60+55/3600</f>
        <v>12.265277777777778</v>
      </c>
      <c r="P10916" s="8" t="s">
        <v>46493</v>
      </c>
      <c r="Q10916" s="8">
        <f>+(23+35/60+46/3600)</f>
        <v>23.59611111111111</v>
      </c>
      <c r="R10916" s="8">
        <v>14.5</v>
      </c>
      <c r="S10916" s="8">
        <v>15.3</v>
      </c>
      <c r="T10916" s="8">
        <v>0.8</v>
      </c>
      <c r="U10916" s="8">
        <v>13.1</v>
      </c>
      <c r="V10916" s="8">
        <v>0.8</v>
      </c>
      <c r="W10916" s="8">
        <v>0.4</v>
      </c>
      <c r="X10916" s="8">
        <v>60</v>
      </c>
      <c r="Y10916" s="8" t="s">
        <v>5926</v>
      </c>
      <c r="Z10916" s="8" t="s">
        <v>5927</v>
      </c>
    </row>
    <row r="10917" spans="1:26" x14ac:dyDescent="0.2">
      <c r="A10917" s="8">
        <v>10916</v>
      </c>
      <c r="B10917" s="8" t="s">
        <v>46494</v>
      </c>
      <c r="C10917" s="8" t="s">
        <v>46494</v>
      </c>
      <c r="G10917" s="8">
        <v>20</v>
      </c>
      <c r="H10917" s="8" t="s">
        <v>21</v>
      </c>
      <c r="I10917" s="8" t="s">
        <v>72</v>
      </c>
      <c r="J10917" s="8" t="s">
        <v>72</v>
      </c>
      <c r="K10917" s="8" t="s">
        <v>20</v>
      </c>
      <c r="L10917" s="8" t="s">
        <v>17287</v>
      </c>
      <c r="M10917" s="8" t="s">
        <v>17288</v>
      </c>
      <c r="N10917" s="8" t="s">
        <v>46495</v>
      </c>
      <c r="O10917" s="8">
        <f>12+16/60+4/3600</f>
        <v>12.267777777777779</v>
      </c>
      <c r="P10917" s="8" t="s">
        <v>46496</v>
      </c>
      <c r="Q10917" s="8">
        <f>+(9+4/60+45/3600)</f>
        <v>9.0791666666666657</v>
      </c>
      <c r="R10917" s="8">
        <v>99</v>
      </c>
      <c r="S10917" s="8">
        <v>14.8</v>
      </c>
      <c r="T10917" s="8">
        <v>99</v>
      </c>
      <c r="U10917" s="8">
        <v>99</v>
      </c>
      <c r="Y10917" s="8" t="s">
        <v>282</v>
      </c>
      <c r="Z10917" s="8" t="s">
        <v>283</v>
      </c>
    </row>
    <row r="10918" spans="1:26" x14ac:dyDescent="0.2">
      <c r="A10918" s="8">
        <v>10917</v>
      </c>
      <c r="B10918" s="8" t="s">
        <v>46497</v>
      </c>
      <c r="C10918" s="8" t="s">
        <v>46497</v>
      </c>
      <c r="G10918" s="8">
        <v>20</v>
      </c>
      <c r="H10918" s="8" t="s">
        <v>21</v>
      </c>
      <c r="I10918" s="8" t="s">
        <v>22</v>
      </c>
      <c r="J10918" s="8" t="s">
        <v>22</v>
      </c>
      <c r="K10918" s="8" t="s">
        <v>579</v>
      </c>
      <c r="L10918" s="8" t="s">
        <v>18289</v>
      </c>
      <c r="M10918" s="8" t="s">
        <v>18290</v>
      </c>
      <c r="N10918" s="8" t="s">
        <v>46498</v>
      </c>
      <c r="O10918" s="8">
        <f>12+15/60+56.1/3600</f>
        <v>12.265583333333334</v>
      </c>
      <c r="P10918" s="8" t="s">
        <v>46499</v>
      </c>
      <c r="Q10918" s="8">
        <f>+(14+25/60+58/3600)</f>
        <v>14.432777777777778</v>
      </c>
      <c r="R10918" s="8">
        <v>14.1</v>
      </c>
      <c r="S10918" s="8">
        <v>14.8</v>
      </c>
      <c r="T10918" s="8">
        <v>0.7</v>
      </c>
      <c r="U10918" s="8">
        <v>13.4</v>
      </c>
      <c r="V10918" s="8">
        <v>0.9</v>
      </c>
      <c r="W10918" s="8">
        <v>0.7</v>
      </c>
      <c r="X10918" s="8">
        <v>0</v>
      </c>
      <c r="Y10918" s="8" t="s">
        <v>46249</v>
      </c>
      <c r="Z10918" s="8" t="s">
        <v>46250</v>
      </c>
    </row>
    <row r="10919" spans="1:26" x14ac:dyDescent="0.2">
      <c r="A10919" s="8">
        <v>10918</v>
      </c>
      <c r="B10919" s="8" t="s">
        <v>46500</v>
      </c>
      <c r="C10919" s="8" t="s">
        <v>46500</v>
      </c>
      <c r="G10919" s="8">
        <v>20</v>
      </c>
      <c r="H10919" s="8" t="s">
        <v>21</v>
      </c>
      <c r="I10919" s="8" t="s">
        <v>22</v>
      </c>
      <c r="J10919" s="8" t="s">
        <v>22</v>
      </c>
      <c r="K10919" s="8" t="s">
        <v>31</v>
      </c>
      <c r="L10919" s="8" t="s">
        <v>17287</v>
      </c>
      <c r="M10919" s="8" t="s">
        <v>17288</v>
      </c>
      <c r="N10919" s="8" t="s">
        <v>19171</v>
      </c>
      <c r="O10919" s="8">
        <f>12+16/60+0/3600</f>
        <v>12.266666666666667</v>
      </c>
      <c r="P10919" s="8" t="s">
        <v>46501</v>
      </c>
      <c r="Q10919" s="8">
        <f>+(12+41/60+16/3600)</f>
        <v>12.687777777777779</v>
      </c>
      <c r="R10919" s="8">
        <v>14.5</v>
      </c>
      <c r="S10919" s="8">
        <v>15.3</v>
      </c>
      <c r="T10919" s="8">
        <v>0.8</v>
      </c>
      <c r="U10919" s="8">
        <v>12.8</v>
      </c>
      <c r="V10919" s="8">
        <v>0.5</v>
      </c>
      <c r="W10919" s="8">
        <v>0.5</v>
      </c>
      <c r="Y10919" s="8" t="s">
        <v>46310</v>
      </c>
      <c r="Z10919" s="8" t="s">
        <v>46311</v>
      </c>
    </row>
    <row r="10920" spans="1:26" x14ac:dyDescent="0.2">
      <c r="A10920" s="8">
        <v>10919</v>
      </c>
      <c r="B10920" s="8" t="s">
        <v>46502</v>
      </c>
      <c r="C10920" s="8" t="s">
        <v>46502</v>
      </c>
      <c r="G10920" s="8">
        <v>20</v>
      </c>
      <c r="H10920" s="8" t="s">
        <v>21</v>
      </c>
      <c r="I10920" s="8" t="s">
        <v>22</v>
      </c>
      <c r="J10920" s="8" t="s">
        <v>22</v>
      </c>
      <c r="K10920" s="8" t="s">
        <v>154</v>
      </c>
      <c r="L10920" s="8" t="s">
        <v>17287</v>
      </c>
      <c r="M10920" s="8" t="s">
        <v>17288</v>
      </c>
      <c r="N10920" s="8" t="s">
        <v>46503</v>
      </c>
      <c r="O10920" s="8">
        <f>12+16/60+4.2/3600</f>
        <v>12.267833333333334</v>
      </c>
      <c r="P10920" s="8" t="s">
        <v>46504</v>
      </c>
      <c r="Q10920" s="8">
        <f>+(11+32/60+6/3600)</f>
        <v>11.535</v>
      </c>
      <c r="R10920" s="8">
        <v>14.5</v>
      </c>
      <c r="S10920" s="8">
        <v>15.4</v>
      </c>
      <c r="T10920" s="8">
        <v>0.9</v>
      </c>
      <c r="U10920" s="8">
        <v>12.6</v>
      </c>
      <c r="V10920" s="8">
        <v>0.5</v>
      </c>
      <c r="W10920" s="8">
        <v>0.4</v>
      </c>
      <c r="Y10920" s="8" t="s">
        <v>46310</v>
      </c>
      <c r="Z10920" s="8" t="s">
        <v>46311</v>
      </c>
    </row>
    <row r="10921" spans="1:26" x14ac:dyDescent="0.2">
      <c r="A10921" s="8">
        <v>10920</v>
      </c>
      <c r="B10921" s="8" t="s">
        <v>46505</v>
      </c>
      <c r="C10921" s="8" t="s">
        <v>46505</v>
      </c>
      <c r="G10921" s="8">
        <v>20</v>
      </c>
      <c r="H10921" s="8" t="s">
        <v>21</v>
      </c>
      <c r="I10921" s="8" t="s">
        <v>22</v>
      </c>
      <c r="J10921" s="8" t="s">
        <v>22</v>
      </c>
      <c r="K10921" s="8" t="s">
        <v>154</v>
      </c>
      <c r="L10921" s="8" t="s">
        <v>18289</v>
      </c>
      <c r="M10921" s="8" t="s">
        <v>18290</v>
      </c>
      <c r="N10921" s="8" t="s">
        <v>46506</v>
      </c>
      <c r="O10921" s="8">
        <f>12+16/60+2.6/3600</f>
        <v>12.26738888888889</v>
      </c>
      <c r="P10921" s="8" t="s">
        <v>46507</v>
      </c>
      <c r="Q10921" s="8">
        <f>+(14+11/60+24/3600)</f>
        <v>14.19</v>
      </c>
      <c r="R10921" s="8">
        <v>14.1</v>
      </c>
      <c r="S10921" s="8">
        <v>15</v>
      </c>
      <c r="T10921" s="8">
        <v>0.9</v>
      </c>
      <c r="U10921" s="8">
        <v>12.6</v>
      </c>
      <c r="V10921" s="8">
        <v>0.6</v>
      </c>
      <c r="W10921" s="8">
        <v>0.5</v>
      </c>
      <c r="Y10921" s="8" t="s">
        <v>46310</v>
      </c>
      <c r="Z10921" s="8" t="s">
        <v>46311</v>
      </c>
    </row>
    <row r="10922" spans="1:26" x14ac:dyDescent="0.2">
      <c r="A10922" s="8">
        <v>10921</v>
      </c>
      <c r="B10922" s="8" t="s">
        <v>46508</v>
      </c>
      <c r="C10922" s="8" t="s">
        <v>46508</v>
      </c>
      <c r="G10922" s="8">
        <v>20</v>
      </c>
      <c r="H10922" s="8" t="s">
        <v>21</v>
      </c>
      <c r="I10922" s="8" t="s">
        <v>22</v>
      </c>
      <c r="J10922" s="8" t="s">
        <v>22</v>
      </c>
      <c r="K10922" s="8" t="s">
        <v>632</v>
      </c>
      <c r="L10922" s="8" t="s">
        <v>17287</v>
      </c>
      <c r="M10922" s="8" t="s">
        <v>17288</v>
      </c>
      <c r="N10922" s="8" t="s">
        <v>46509</v>
      </c>
      <c r="O10922" s="8">
        <f>12+16/60+9/3600</f>
        <v>12.269166666666667</v>
      </c>
      <c r="P10922" s="8" t="s">
        <v>46510</v>
      </c>
      <c r="Q10922" s="8">
        <f>+(12+41/60+28/3600)</f>
        <v>12.691111111111111</v>
      </c>
      <c r="R10922" s="8">
        <v>14.5</v>
      </c>
      <c r="S10922" s="8">
        <v>15.4</v>
      </c>
      <c r="T10922" s="8">
        <v>0.9</v>
      </c>
      <c r="U10922" s="8">
        <v>12.8</v>
      </c>
      <c r="V10922" s="8">
        <v>0.6</v>
      </c>
      <c r="W10922" s="8">
        <v>0.4</v>
      </c>
      <c r="X10922" s="8">
        <v>85</v>
      </c>
      <c r="Y10922" s="8" t="s">
        <v>46249</v>
      </c>
      <c r="Z10922" s="8" t="s">
        <v>46250</v>
      </c>
    </row>
    <row r="10923" spans="1:26" x14ac:dyDescent="0.2">
      <c r="A10923" s="8">
        <v>10922</v>
      </c>
      <c r="B10923" s="8" t="s">
        <v>46511</v>
      </c>
      <c r="C10923" s="8" t="s">
        <v>46511</v>
      </c>
      <c r="G10923" s="8">
        <v>20</v>
      </c>
      <c r="H10923" s="8" t="s">
        <v>21</v>
      </c>
      <c r="I10923" s="8" t="s">
        <v>22</v>
      </c>
      <c r="J10923" s="8" t="s">
        <v>22</v>
      </c>
      <c r="K10923" s="8" t="s">
        <v>449</v>
      </c>
      <c r="L10923" s="8" t="s">
        <v>18289</v>
      </c>
      <c r="M10923" s="8" t="s">
        <v>18290</v>
      </c>
      <c r="N10923" s="8" t="s">
        <v>46512</v>
      </c>
      <c r="O10923" s="8">
        <f>12+16/60+12.1/3600</f>
        <v>12.270027777777779</v>
      </c>
      <c r="P10923" s="8" t="s">
        <v>46513</v>
      </c>
      <c r="Q10923" s="8">
        <f>+(23+50/60+31/3600)</f>
        <v>23.841944444444444</v>
      </c>
      <c r="R10923" s="8">
        <v>15.2</v>
      </c>
      <c r="S10923" s="8">
        <v>16</v>
      </c>
      <c r="T10923" s="8">
        <v>0.8</v>
      </c>
      <c r="U10923" s="8">
        <v>13.1</v>
      </c>
      <c r="V10923" s="8">
        <v>0.8</v>
      </c>
      <c r="W10923" s="8">
        <v>0.2</v>
      </c>
      <c r="X10923" s="8">
        <v>10</v>
      </c>
      <c r="Y10923" s="8" t="s">
        <v>21</v>
      </c>
      <c r="Z10923" s="8" t="s">
        <v>46514</v>
      </c>
    </row>
    <row r="10924" spans="1:26" x14ac:dyDescent="0.2">
      <c r="A10924" s="8">
        <v>10923</v>
      </c>
      <c r="B10924" s="8" t="s">
        <v>46515</v>
      </c>
      <c r="C10924" s="8" t="s">
        <v>46515</v>
      </c>
      <c r="G10924" s="8">
        <v>20</v>
      </c>
      <c r="H10924" s="8" t="s">
        <v>21</v>
      </c>
      <c r="I10924" s="8" t="s">
        <v>329</v>
      </c>
      <c r="J10924" s="8" t="s">
        <v>329</v>
      </c>
      <c r="K10924" s="8" t="s">
        <v>329</v>
      </c>
      <c r="L10924" s="8" t="s">
        <v>17287</v>
      </c>
      <c r="M10924" s="8" t="s">
        <v>17288</v>
      </c>
      <c r="N10924" s="8" t="s">
        <v>46516</v>
      </c>
      <c r="O10924" s="8">
        <f>12+16/60+24/3600</f>
        <v>12.273333333333333</v>
      </c>
      <c r="P10924" s="8" t="s">
        <v>46517</v>
      </c>
      <c r="Q10924" s="8">
        <f>+(12+35/60+40/3600)</f>
        <v>12.594444444444445</v>
      </c>
      <c r="R10924" s="8">
        <v>99</v>
      </c>
      <c r="S10924" s="8">
        <v>99</v>
      </c>
      <c r="T10924" s="8">
        <v>99</v>
      </c>
      <c r="U10924" s="8">
        <v>99</v>
      </c>
      <c r="Y10924" s="8" t="s">
        <v>46249</v>
      </c>
      <c r="Z10924" s="8" t="s">
        <v>46250</v>
      </c>
    </row>
    <row r="10925" spans="1:26" x14ac:dyDescent="0.2">
      <c r="A10925" s="8">
        <v>10924</v>
      </c>
      <c r="B10925" s="8" t="s">
        <v>46518</v>
      </c>
      <c r="C10925" s="8" t="s">
        <v>46518</v>
      </c>
      <c r="G10925" s="8">
        <v>20</v>
      </c>
      <c r="H10925" s="8" t="s">
        <v>21</v>
      </c>
      <c r="I10925" s="8" t="s">
        <v>22</v>
      </c>
      <c r="J10925" s="8" t="s">
        <v>22</v>
      </c>
      <c r="K10925" s="8" t="s">
        <v>449</v>
      </c>
      <c r="L10925" s="8" t="s">
        <v>18289</v>
      </c>
      <c r="M10925" s="8" t="s">
        <v>18290</v>
      </c>
      <c r="N10925" s="8" t="s">
        <v>46519</v>
      </c>
      <c r="O10925" s="8">
        <f>12+16/60+23.4/3600</f>
        <v>12.273166666666668</v>
      </c>
      <c r="P10925" s="8" t="s">
        <v>46520</v>
      </c>
      <c r="Q10925" s="8">
        <f>+(23+55/60+6/3600)</f>
        <v>23.918333333333333</v>
      </c>
      <c r="R10925" s="8">
        <v>14.8</v>
      </c>
      <c r="S10925" s="8">
        <v>15.6</v>
      </c>
      <c r="T10925" s="8">
        <v>0.8</v>
      </c>
      <c r="U10925" s="8">
        <v>12.3</v>
      </c>
      <c r="V10925" s="8">
        <v>0.4</v>
      </c>
      <c r="W10925" s="8">
        <v>0.3</v>
      </c>
      <c r="X10925" s="8">
        <v>125</v>
      </c>
      <c r="Y10925" s="8" t="s">
        <v>5775</v>
      </c>
      <c r="Z10925" s="8" t="s">
        <v>34785</v>
      </c>
    </row>
    <row r="10926" spans="1:26" x14ac:dyDescent="0.2">
      <c r="A10926" s="8">
        <v>10925</v>
      </c>
      <c r="B10926" s="8" t="s">
        <v>46521</v>
      </c>
      <c r="C10926" s="8" t="s">
        <v>46521</v>
      </c>
      <c r="G10926" s="8">
        <v>20</v>
      </c>
      <c r="H10926" s="8" t="s">
        <v>21</v>
      </c>
      <c r="I10926" s="8" t="s">
        <v>72</v>
      </c>
      <c r="J10926" s="8" t="s">
        <v>72</v>
      </c>
      <c r="K10926" s="8" t="s">
        <v>20</v>
      </c>
      <c r="L10926" s="8" t="s">
        <v>17287</v>
      </c>
      <c r="M10926" s="8" t="s">
        <v>17288</v>
      </c>
      <c r="N10926" s="8" t="s">
        <v>46522</v>
      </c>
      <c r="O10926" s="8">
        <f>12+16/60+26/3600</f>
        <v>12.273888888888889</v>
      </c>
      <c r="P10926" s="8" t="s">
        <v>46523</v>
      </c>
      <c r="Q10926" s="8">
        <f>+(9+28/60+9/3600)</f>
        <v>9.4691666666666663</v>
      </c>
      <c r="R10926" s="8">
        <v>99</v>
      </c>
      <c r="S10926" s="8">
        <v>13.4</v>
      </c>
      <c r="T10926" s="8">
        <v>99</v>
      </c>
      <c r="U10926" s="8">
        <v>99</v>
      </c>
      <c r="Y10926" s="8" t="s">
        <v>46524</v>
      </c>
      <c r="Z10926" s="8" t="s">
        <v>46525</v>
      </c>
    </row>
    <row r="10927" spans="1:26" x14ac:dyDescent="0.2">
      <c r="A10927" s="8">
        <v>10926</v>
      </c>
      <c r="B10927" s="8" t="s">
        <v>46526</v>
      </c>
      <c r="C10927" s="8" t="s">
        <v>46526</v>
      </c>
      <c r="G10927" s="8">
        <v>20</v>
      </c>
      <c r="H10927" s="8" t="s">
        <v>21</v>
      </c>
      <c r="I10927" s="8" t="s">
        <v>72</v>
      </c>
      <c r="J10927" s="8" t="s">
        <v>72</v>
      </c>
      <c r="K10927" s="8" t="s">
        <v>73</v>
      </c>
      <c r="L10927" s="8" t="s">
        <v>17287</v>
      </c>
      <c r="M10927" s="8" t="s">
        <v>17288</v>
      </c>
      <c r="N10927" s="8" t="s">
        <v>46527</v>
      </c>
      <c r="O10927" s="8">
        <f>12+16/60+27.8/3600</f>
        <v>12.27438888888889</v>
      </c>
      <c r="P10927" s="8" t="s">
        <v>46528</v>
      </c>
      <c r="Q10927" s="8">
        <f>+(9+0/60+33/3600)</f>
        <v>9.0091666666666672</v>
      </c>
      <c r="R10927" s="8">
        <v>99</v>
      </c>
      <c r="S10927" s="8">
        <v>99</v>
      </c>
      <c r="T10927" s="8">
        <v>99</v>
      </c>
      <c r="U10927" s="8">
        <v>99</v>
      </c>
      <c r="Y10927" s="8" t="s">
        <v>266</v>
      </c>
      <c r="Z10927" s="8" t="s">
        <v>267</v>
      </c>
    </row>
    <row r="10928" spans="1:26" x14ac:dyDescent="0.2">
      <c r="A10928" s="8">
        <v>10927</v>
      </c>
      <c r="B10928" s="8" t="s">
        <v>46529</v>
      </c>
      <c r="C10928" s="8" t="s">
        <v>46529</v>
      </c>
      <c r="G10928" s="8">
        <v>20</v>
      </c>
      <c r="H10928" s="8" t="s">
        <v>21</v>
      </c>
      <c r="I10928" s="8" t="s">
        <v>72</v>
      </c>
      <c r="J10928" s="8" t="s">
        <v>72</v>
      </c>
      <c r="K10928" s="8" t="s">
        <v>73</v>
      </c>
      <c r="L10928" s="8" t="s">
        <v>17287</v>
      </c>
      <c r="M10928" s="8" t="s">
        <v>17288</v>
      </c>
      <c r="N10928" s="8" t="s">
        <v>46530</v>
      </c>
      <c r="O10928" s="8">
        <f>12+16/60+26.6/3600</f>
        <v>12.274055555555556</v>
      </c>
      <c r="P10928" s="8" t="s">
        <v>46531</v>
      </c>
      <c r="Q10928" s="8">
        <f>+(13+17/60+21/3600)</f>
        <v>13.289166666666667</v>
      </c>
      <c r="R10928" s="8">
        <v>99</v>
      </c>
      <c r="S10928" s="8">
        <v>99</v>
      </c>
      <c r="T10928" s="8">
        <v>99</v>
      </c>
      <c r="U10928" s="8">
        <v>99</v>
      </c>
      <c r="Y10928" s="8" t="s">
        <v>46532</v>
      </c>
      <c r="Z10928" s="8" t="s">
        <v>46533</v>
      </c>
    </row>
    <row r="10929" spans="1:26" x14ac:dyDescent="0.2">
      <c r="A10929" s="8">
        <v>10928</v>
      </c>
      <c r="B10929" s="8" t="s">
        <v>46534</v>
      </c>
      <c r="C10929" s="8" t="s">
        <v>46534</v>
      </c>
      <c r="G10929" s="8">
        <v>20</v>
      </c>
      <c r="H10929" s="8" t="s">
        <v>21</v>
      </c>
      <c r="I10929" s="8" t="s">
        <v>72</v>
      </c>
      <c r="J10929" s="8" t="s">
        <v>72</v>
      </c>
      <c r="K10929" s="8" t="s">
        <v>20</v>
      </c>
      <c r="L10929" s="8" t="s">
        <v>17287</v>
      </c>
      <c r="M10929" s="8" t="s">
        <v>17288</v>
      </c>
      <c r="N10929" s="8" t="s">
        <v>46535</v>
      </c>
      <c r="O10929" s="8">
        <f>12+16/60+28.4/3600</f>
        <v>12.274555555555557</v>
      </c>
      <c r="P10929" s="8" t="s">
        <v>46536</v>
      </c>
      <c r="Q10929" s="8">
        <f>+(9+27/60+32/3600)</f>
        <v>9.4588888888888878</v>
      </c>
      <c r="R10929" s="8">
        <v>99</v>
      </c>
      <c r="S10929" s="8">
        <v>14.3</v>
      </c>
      <c r="T10929" s="8">
        <v>99</v>
      </c>
      <c r="U10929" s="8">
        <v>99</v>
      </c>
      <c r="Y10929" s="8" t="s">
        <v>46537</v>
      </c>
      <c r="Z10929" s="8" t="s">
        <v>46538</v>
      </c>
    </row>
    <row r="10930" spans="1:26" x14ac:dyDescent="0.2">
      <c r="A10930" s="8">
        <v>10929</v>
      </c>
      <c r="B10930" s="8" t="s">
        <v>46539</v>
      </c>
      <c r="C10930" s="8" t="s">
        <v>46539</v>
      </c>
      <c r="G10930" s="8">
        <v>20</v>
      </c>
      <c r="H10930" s="8" t="s">
        <v>21</v>
      </c>
      <c r="I10930" s="8" t="s">
        <v>22</v>
      </c>
      <c r="J10930" s="8" t="s">
        <v>22</v>
      </c>
      <c r="K10930" s="8" t="s">
        <v>37</v>
      </c>
      <c r="L10930" s="8" t="s">
        <v>18289</v>
      </c>
      <c r="M10930" s="8" t="s">
        <v>18290</v>
      </c>
      <c r="N10930" s="8" t="s">
        <v>46540</v>
      </c>
      <c r="O10930" s="8">
        <f>12+16/60+29.6/3600</f>
        <v>12.27488888888889</v>
      </c>
      <c r="P10930" s="8" t="s">
        <v>46541</v>
      </c>
      <c r="Q10930" s="8">
        <f>+(23+49/60+42/3600)</f>
        <v>23.828333333333333</v>
      </c>
      <c r="R10930" s="8">
        <v>14.7</v>
      </c>
      <c r="S10930" s="8">
        <v>15.7</v>
      </c>
      <c r="T10930" s="8">
        <v>1</v>
      </c>
      <c r="U10930" s="8">
        <v>13</v>
      </c>
      <c r="V10930" s="8">
        <v>0.6</v>
      </c>
      <c r="W10930" s="8">
        <v>0.4</v>
      </c>
      <c r="X10930" s="8">
        <v>50</v>
      </c>
      <c r="Y10930" s="8" t="s">
        <v>46542</v>
      </c>
      <c r="Z10930" s="8" t="s">
        <v>46543</v>
      </c>
    </row>
    <row r="10931" spans="1:26" x14ac:dyDescent="0.2">
      <c r="A10931" s="8">
        <v>10930</v>
      </c>
      <c r="B10931" s="8" t="s">
        <v>46544</v>
      </c>
      <c r="C10931" s="8" t="s">
        <v>46544</v>
      </c>
      <c r="G10931" s="8">
        <v>20</v>
      </c>
      <c r="H10931" s="8" t="s">
        <v>21</v>
      </c>
      <c r="I10931" s="8" t="s">
        <v>72</v>
      </c>
      <c r="J10931" s="8" t="s">
        <v>72</v>
      </c>
      <c r="K10931" s="8" t="s">
        <v>73</v>
      </c>
      <c r="L10931" s="8" t="s">
        <v>17287</v>
      </c>
      <c r="M10931" s="8" t="s">
        <v>17288</v>
      </c>
      <c r="N10931" s="8" t="s">
        <v>46545</v>
      </c>
      <c r="O10931" s="8">
        <f>12+16/60+31.6/3600</f>
        <v>12.275444444444446</v>
      </c>
      <c r="P10931" s="8" t="s">
        <v>46546</v>
      </c>
      <c r="Q10931" s="8">
        <f>+(9+26/60+23/3600)</f>
        <v>9.4397222222222226</v>
      </c>
      <c r="R10931" s="8">
        <v>99</v>
      </c>
      <c r="S10931" s="8">
        <v>99</v>
      </c>
      <c r="T10931" s="8">
        <v>99</v>
      </c>
      <c r="U10931" s="8">
        <v>99</v>
      </c>
      <c r="Y10931" s="8" t="s">
        <v>282</v>
      </c>
      <c r="Z10931" s="8" t="s">
        <v>283</v>
      </c>
    </row>
    <row r="10932" spans="1:26" x14ac:dyDescent="0.2">
      <c r="A10932" s="8">
        <v>10931</v>
      </c>
      <c r="B10932" s="8" t="s">
        <v>46547</v>
      </c>
      <c r="C10932" s="8" t="s">
        <v>46547</v>
      </c>
      <c r="G10932" s="8">
        <v>20</v>
      </c>
      <c r="H10932" s="8" t="s">
        <v>21</v>
      </c>
      <c r="I10932" s="8" t="s">
        <v>22</v>
      </c>
      <c r="J10932" s="8" t="s">
        <v>22</v>
      </c>
      <c r="K10932" s="8" t="s">
        <v>91</v>
      </c>
      <c r="L10932" s="8" t="s">
        <v>18289</v>
      </c>
      <c r="M10932" s="8" t="s">
        <v>18290</v>
      </c>
      <c r="N10932" s="8" t="s">
        <v>46548</v>
      </c>
      <c r="O10932" s="8">
        <f>12+16/60+29.2/3600</f>
        <v>12.274777777777778</v>
      </c>
      <c r="P10932" s="8" t="s">
        <v>46549</v>
      </c>
      <c r="Q10932" s="8">
        <f>+(14+0/60+45/3600)</f>
        <v>14.012499999999999</v>
      </c>
      <c r="R10932" s="8">
        <v>14</v>
      </c>
      <c r="S10932" s="8">
        <v>14.9</v>
      </c>
      <c r="T10932" s="8">
        <v>0.9</v>
      </c>
      <c r="U10932" s="8">
        <v>13.6</v>
      </c>
      <c r="V10932" s="8">
        <v>1.3</v>
      </c>
      <c r="W10932" s="8">
        <v>0.6</v>
      </c>
      <c r="X10932" s="8">
        <v>130</v>
      </c>
      <c r="Y10932" s="8" t="s">
        <v>46310</v>
      </c>
      <c r="Z10932" s="8" t="s">
        <v>46311</v>
      </c>
    </row>
    <row r="10933" spans="1:26" x14ac:dyDescent="0.2">
      <c r="A10933" s="8">
        <v>10932</v>
      </c>
      <c r="B10933" s="8" t="s">
        <v>46550</v>
      </c>
      <c r="C10933" s="8" t="s">
        <v>46550</v>
      </c>
      <c r="G10933" s="8">
        <v>20</v>
      </c>
      <c r="H10933" s="8" t="s">
        <v>21</v>
      </c>
      <c r="I10933" s="8" t="s">
        <v>22</v>
      </c>
      <c r="J10933" s="8" t="s">
        <v>22</v>
      </c>
      <c r="K10933" s="8" t="s">
        <v>449</v>
      </c>
      <c r="L10933" s="8" t="s">
        <v>17287</v>
      </c>
      <c r="M10933" s="8" t="s">
        <v>17288</v>
      </c>
      <c r="N10933" s="8" t="s">
        <v>46551</v>
      </c>
      <c r="O10933" s="8">
        <f>12+16/60+32.2/3600</f>
        <v>12.275611111111113</v>
      </c>
      <c r="P10933" s="8" t="s">
        <v>46552</v>
      </c>
      <c r="Q10933" s="8">
        <f>+(10+2/60+47/3600)</f>
        <v>10.046388888888888</v>
      </c>
      <c r="R10933" s="8">
        <v>15.2</v>
      </c>
      <c r="S10933" s="8">
        <v>16</v>
      </c>
      <c r="T10933" s="8">
        <v>0.8</v>
      </c>
      <c r="U10933" s="8">
        <v>12.3</v>
      </c>
      <c r="V10933" s="8">
        <v>0.4</v>
      </c>
      <c r="W10933" s="8">
        <v>0.2</v>
      </c>
      <c r="X10933" s="8">
        <v>160</v>
      </c>
      <c r="Y10933" s="8" t="s">
        <v>46471</v>
      </c>
      <c r="Z10933" s="8" t="s">
        <v>46472</v>
      </c>
    </row>
    <row r="10934" spans="1:26" x14ac:dyDescent="0.2">
      <c r="A10934" s="8">
        <v>10933</v>
      </c>
      <c r="B10934" s="8" t="s">
        <v>46553</v>
      </c>
      <c r="C10934" s="8" t="s">
        <v>46553</v>
      </c>
      <c r="G10934" s="8">
        <v>20</v>
      </c>
      <c r="H10934" s="8" t="s">
        <v>21</v>
      </c>
      <c r="I10934" s="8" t="s">
        <v>22</v>
      </c>
      <c r="J10934" s="8" t="s">
        <v>22</v>
      </c>
      <c r="K10934" s="8" t="s">
        <v>160</v>
      </c>
      <c r="L10934" s="8" t="s">
        <v>18289</v>
      </c>
      <c r="M10934" s="8" t="s">
        <v>18290</v>
      </c>
      <c r="N10934" s="8" t="s">
        <v>46554</v>
      </c>
      <c r="O10934" s="8">
        <f>12+16/60+42.2/3600</f>
        <v>12.278388888888889</v>
      </c>
      <c r="P10934" s="8" t="s">
        <v>46555</v>
      </c>
      <c r="Q10934" s="8">
        <f>+(14+16/60+42/3600)</f>
        <v>14.278333333333334</v>
      </c>
      <c r="R10934" s="8">
        <v>14.5</v>
      </c>
      <c r="S10934" s="8">
        <v>15.2</v>
      </c>
      <c r="T10934" s="8">
        <v>0.7</v>
      </c>
      <c r="U10934" s="8">
        <v>12</v>
      </c>
      <c r="V10934" s="8">
        <v>0.4</v>
      </c>
      <c r="W10934" s="8">
        <v>0.3</v>
      </c>
      <c r="X10934" s="8">
        <v>0</v>
      </c>
      <c r="Y10934" s="8" t="s">
        <v>46310</v>
      </c>
      <c r="Z10934" s="8" t="s">
        <v>46311</v>
      </c>
    </row>
    <row r="10935" spans="1:26" x14ac:dyDescent="0.2">
      <c r="A10935" s="8">
        <v>10934</v>
      </c>
      <c r="B10935" s="8" t="s">
        <v>46556</v>
      </c>
      <c r="C10935" s="8" t="s">
        <v>46556</v>
      </c>
      <c r="G10935" s="8">
        <v>20</v>
      </c>
      <c r="H10935" s="8" t="s">
        <v>21</v>
      </c>
      <c r="I10935" s="8" t="s">
        <v>22</v>
      </c>
      <c r="J10935" s="8" t="s">
        <v>22</v>
      </c>
      <c r="K10935" s="8" t="s">
        <v>476</v>
      </c>
      <c r="L10935" s="8" t="s">
        <v>18289</v>
      </c>
      <c r="M10935" s="8" t="s">
        <v>18290</v>
      </c>
      <c r="N10935" s="8" t="s">
        <v>46557</v>
      </c>
      <c r="O10935" s="8">
        <f>12+16/60+55.9/3600</f>
        <v>12.282194444444444</v>
      </c>
      <c r="P10935" s="8" t="s">
        <v>46558</v>
      </c>
      <c r="Q10935" s="8">
        <f>+(13+37/60+32/3600)</f>
        <v>13.625555555555556</v>
      </c>
      <c r="R10935" s="8">
        <v>13.7</v>
      </c>
      <c r="S10935" s="8">
        <v>14.6</v>
      </c>
      <c r="T10935" s="8">
        <v>0.9</v>
      </c>
      <c r="U10935" s="8">
        <v>12</v>
      </c>
      <c r="V10935" s="8">
        <v>0.5</v>
      </c>
      <c r="W10935" s="8">
        <v>0.5</v>
      </c>
      <c r="Y10935" s="8" t="s">
        <v>4430</v>
      </c>
      <c r="Z10935" s="8" t="s">
        <v>4431</v>
      </c>
    </row>
    <row r="10936" spans="1:26" x14ac:dyDescent="0.2">
      <c r="A10936" s="8">
        <v>10935</v>
      </c>
      <c r="B10936" s="8" t="s">
        <v>46559</v>
      </c>
      <c r="C10936" s="8" t="s">
        <v>46559</v>
      </c>
      <c r="G10936" s="8">
        <v>20</v>
      </c>
      <c r="H10936" s="8" t="s">
        <v>21</v>
      </c>
      <c r="I10936" s="8" t="s">
        <v>22</v>
      </c>
      <c r="J10936" s="8" t="s">
        <v>22</v>
      </c>
      <c r="K10936" s="8" t="s">
        <v>160</v>
      </c>
      <c r="L10936" s="8" t="s">
        <v>18289</v>
      </c>
      <c r="M10936" s="8" t="s">
        <v>18290</v>
      </c>
      <c r="N10936" s="8" t="s">
        <v>46560</v>
      </c>
      <c r="O10936" s="8">
        <f>12+16/60+55.3/3600</f>
        <v>12.282027777777779</v>
      </c>
      <c r="P10936" s="8" t="s">
        <v>848</v>
      </c>
      <c r="Q10936" s="8">
        <f>+(23+57/60+29/3600)</f>
        <v>23.958055555555553</v>
      </c>
      <c r="R10936" s="8">
        <v>14.9</v>
      </c>
      <c r="S10936" s="8">
        <v>15.6</v>
      </c>
      <c r="T10936" s="8">
        <v>0.7</v>
      </c>
      <c r="U10936" s="8">
        <v>12.4</v>
      </c>
      <c r="V10936" s="8">
        <v>0.6</v>
      </c>
      <c r="W10936" s="8">
        <v>0.2</v>
      </c>
      <c r="X10936" s="8">
        <v>90</v>
      </c>
      <c r="Y10936" s="8" t="s">
        <v>21</v>
      </c>
      <c r="Z10936" s="8" t="s">
        <v>46561</v>
      </c>
    </row>
    <row r="10937" spans="1:26" x14ac:dyDescent="0.2">
      <c r="A10937" s="8">
        <v>10936</v>
      </c>
      <c r="B10937" s="8" t="s">
        <v>46562</v>
      </c>
      <c r="C10937" s="8" t="s">
        <v>46562</v>
      </c>
      <c r="G10937" s="8">
        <v>20</v>
      </c>
      <c r="H10937" s="8" t="s">
        <v>21</v>
      </c>
      <c r="I10937" s="8" t="s">
        <v>22</v>
      </c>
      <c r="J10937" s="8" t="s">
        <v>22</v>
      </c>
      <c r="K10937" s="8" t="s">
        <v>476</v>
      </c>
      <c r="L10937" s="8" t="s">
        <v>18289</v>
      </c>
      <c r="M10937" s="8" t="s">
        <v>18290</v>
      </c>
      <c r="N10937" s="8" t="s">
        <v>46563</v>
      </c>
      <c r="O10937" s="8">
        <f>12+16/60+52.3/3600</f>
        <v>12.281194444444445</v>
      </c>
      <c r="P10937" s="8" t="s">
        <v>46564</v>
      </c>
      <c r="Q10937" s="8">
        <f>+(14+30/60+55/3600)</f>
        <v>14.515277777777778</v>
      </c>
      <c r="R10937" s="8">
        <v>14.3</v>
      </c>
      <c r="S10937" s="8">
        <v>15.2</v>
      </c>
      <c r="T10937" s="8">
        <v>0.9</v>
      </c>
      <c r="U10937" s="8">
        <v>13.4</v>
      </c>
      <c r="V10937" s="8">
        <v>1.2</v>
      </c>
      <c r="W10937" s="8">
        <v>0.4</v>
      </c>
      <c r="X10937" s="8">
        <v>96</v>
      </c>
      <c r="Y10937" s="8" t="s">
        <v>46447</v>
      </c>
      <c r="Z10937" s="8" t="s">
        <v>46448</v>
      </c>
    </row>
    <row r="10938" spans="1:26" x14ac:dyDescent="0.2">
      <c r="A10938" s="8">
        <v>10937</v>
      </c>
      <c r="B10938" s="8" t="s">
        <v>46565</v>
      </c>
      <c r="C10938" s="8" t="s">
        <v>46565</v>
      </c>
      <c r="G10938" s="8">
        <v>20</v>
      </c>
      <c r="H10938" s="8" t="s">
        <v>21</v>
      </c>
      <c r="I10938" s="8" t="s">
        <v>22</v>
      </c>
      <c r="J10938" s="8" t="s">
        <v>22</v>
      </c>
      <c r="K10938" s="8" t="s">
        <v>818</v>
      </c>
      <c r="L10938" s="8" t="s">
        <v>17287</v>
      </c>
      <c r="M10938" s="8" t="s">
        <v>17288</v>
      </c>
      <c r="N10938" s="8" t="s">
        <v>46566</v>
      </c>
      <c r="O10938" s="8">
        <f>12+17/60+1/3600</f>
        <v>12.28361111111111</v>
      </c>
      <c r="P10938" s="8" t="s">
        <v>46567</v>
      </c>
      <c r="Q10938" s="8">
        <f>+(9+24/60+27/3600)</f>
        <v>9.4075000000000006</v>
      </c>
      <c r="R10938" s="8">
        <v>14.2</v>
      </c>
      <c r="S10938" s="8">
        <v>15.2</v>
      </c>
      <c r="T10938" s="8">
        <v>1</v>
      </c>
      <c r="U10938" s="8">
        <v>12.4</v>
      </c>
      <c r="V10938" s="8">
        <v>0.6</v>
      </c>
      <c r="W10938" s="8">
        <v>0.3</v>
      </c>
      <c r="X10938" s="8">
        <v>20</v>
      </c>
      <c r="Y10938" s="8" t="s">
        <v>21497</v>
      </c>
      <c r="Z10938" s="8" t="s">
        <v>21498</v>
      </c>
    </row>
    <row r="10939" spans="1:26" x14ac:dyDescent="0.2">
      <c r="A10939" s="8">
        <v>10938</v>
      </c>
      <c r="B10939" s="8" t="s">
        <v>46568</v>
      </c>
      <c r="C10939" s="8" t="s">
        <v>46568</v>
      </c>
      <c r="G10939" s="8">
        <v>20</v>
      </c>
      <c r="H10939" s="8" t="s">
        <v>21</v>
      </c>
      <c r="I10939" s="8" t="s">
        <v>22</v>
      </c>
      <c r="J10939" s="8" t="s">
        <v>57</v>
      </c>
      <c r="K10939" s="8" t="s">
        <v>91</v>
      </c>
      <c r="L10939" s="8" t="s">
        <v>17287</v>
      </c>
      <c r="M10939" s="8" t="s">
        <v>17288</v>
      </c>
      <c r="N10939" s="8" t="s">
        <v>19232</v>
      </c>
      <c r="O10939" s="8">
        <f>12+17/60+9.7/3600</f>
        <v>12.286027777777777</v>
      </c>
      <c r="P10939" s="8" t="s">
        <v>19233</v>
      </c>
      <c r="Q10939" s="8">
        <f>+(7+11/60+27/3600)</f>
        <v>7.1908333333333339</v>
      </c>
      <c r="R10939" s="8">
        <v>11.6</v>
      </c>
      <c r="S10939" s="8">
        <v>12.6</v>
      </c>
      <c r="T10939" s="8">
        <v>1</v>
      </c>
      <c r="U10939" s="8">
        <v>12.9</v>
      </c>
      <c r="V10939" s="8">
        <v>4.2</v>
      </c>
      <c r="W10939" s="8">
        <v>0.9</v>
      </c>
      <c r="X10939" s="8">
        <v>48</v>
      </c>
      <c r="Y10939" s="8" t="s">
        <v>46569</v>
      </c>
      <c r="Z10939" s="8" t="s">
        <v>46570</v>
      </c>
    </row>
    <row r="10940" spans="1:26" x14ac:dyDescent="0.2">
      <c r="A10940" s="8">
        <v>10939</v>
      </c>
      <c r="B10940" s="8" t="s">
        <v>46571</v>
      </c>
      <c r="C10940" s="8" t="s">
        <v>46571</v>
      </c>
      <c r="G10940" s="8">
        <v>20</v>
      </c>
      <c r="H10940" s="8" t="s">
        <v>21</v>
      </c>
      <c r="I10940" s="8" t="s">
        <v>22</v>
      </c>
      <c r="J10940" s="8" t="s">
        <v>22</v>
      </c>
      <c r="K10940" s="8" t="s">
        <v>160</v>
      </c>
      <c r="L10940" s="8" t="s">
        <v>17287</v>
      </c>
      <c r="M10940" s="8" t="s">
        <v>17288</v>
      </c>
      <c r="N10940" s="8" t="s">
        <v>46572</v>
      </c>
      <c r="O10940" s="8">
        <f>12+17/60+9.3/3600</f>
        <v>12.285916666666667</v>
      </c>
      <c r="P10940" s="8" t="s">
        <v>46573</v>
      </c>
      <c r="Q10940" s="8">
        <f>+(12+27/60+12/3600)</f>
        <v>12.453333333333333</v>
      </c>
      <c r="R10940" s="8">
        <v>14.2</v>
      </c>
      <c r="S10940" s="8">
        <v>14.9</v>
      </c>
      <c r="T10940" s="8">
        <v>0.7</v>
      </c>
      <c r="U10940" s="8">
        <v>13.5</v>
      </c>
      <c r="V10940" s="8">
        <v>1.9</v>
      </c>
      <c r="W10940" s="8">
        <v>0.3</v>
      </c>
      <c r="X10940" s="8">
        <v>172</v>
      </c>
      <c r="Y10940" s="8" t="s">
        <v>46574</v>
      </c>
      <c r="Z10940" s="8" t="s">
        <v>46575</v>
      </c>
    </row>
    <row r="10941" spans="1:26" x14ac:dyDescent="0.2">
      <c r="A10941" s="8">
        <v>10940</v>
      </c>
      <c r="B10941" s="8" t="s">
        <v>46576</v>
      </c>
      <c r="C10941" s="8" t="s">
        <v>46576</v>
      </c>
      <c r="G10941" s="8">
        <v>20</v>
      </c>
      <c r="H10941" s="8" t="s">
        <v>21</v>
      </c>
      <c r="I10941" s="8" t="s">
        <v>22</v>
      </c>
      <c r="J10941" s="8" t="s">
        <v>22</v>
      </c>
      <c r="K10941" s="8" t="s">
        <v>818</v>
      </c>
      <c r="L10941" s="8" t="s">
        <v>17287</v>
      </c>
      <c r="M10941" s="8" t="s">
        <v>17288</v>
      </c>
      <c r="N10941" s="8" t="s">
        <v>46577</v>
      </c>
      <c r="O10941" s="8">
        <f>12+17/60+5.3/3600</f>
        <v>12.284805555555556</v>
      </c>
      <c r="P10941" s="8" t="s">
        <v>46578</v>
      </c>
      <c r="Q10941" s="8">
        <f>+(12+17/60+22/3600)</f>
        <v>12.289444444444444</v>
      </c>
      <c r="R10941" s="8">
        <v>13.9</v>
      </c>
      <c r="S10941" s="8">
        <v>14.9</v>
      </c>
      <c r="T10941" s="8">
        <v>1</v>
      </c>
      <c r="U10941" s="8">
        <v>13.4</v>
      </c>
      <c r="V10941" s="8">
        <v>1.5</v>
      </c>
      <c r="W10941" s="8">
        <v>0.5</v>
      </c>
      <c r="X10941" s="8">
        <v>58</v>
      </c>
      <c r="Y10941" s="8" t="s">
        <v>21</v>
      </c>
      <c r="Z10941" s="8" t="s">
        <v>46579</v>
      </c>
    </row>
    <row r="10942" spans="1:26" x14ac:dyDescent="0.2">
      <c r="A10942" s="8">
        <v>10941</v>
      </c>
      <c r="B10942" s="8" t="s">
        <v>46580</v>
      </c>
      <c r="C10942" s="8" t="s">
        <v>46580</v>
      </c>
      <c r="G10942" s="8">
        <v>20</v>
      </c>
      <c r="H10942" s="8" t="s">
        <v>21</v>
      </c>
      <c r="I10942" s="8" t="s">
        <v>22</v>
      </c>
      <c r="J10942" s="8" t="s">
        <v>22</v>
      </c>
      <c r="K10942" s="8" t="s">
        <v>818</v>
      </c>
      <c r="L10942" s="8" t="s">
        <v>17287</v>
      </c>
      <c r="M10942" s="8" t="s">
        <v>17288</v>
      </c>
      <c r="N10942" s="8" t="s">
        <v>46581</v>
      </c>
      <c r="O10942" s="8">
        <f>12+17/60+19.5/3600</f>
        <v>12.28875</v>
      </c>
      <c r="P10942" s="8" t="s">
        <v>46582</v>
      </c>
      <c r="Q10942" s="8">
        <f>+(11+56/60+36/3600)</f>
        <v>11.943333333333333</v>
      </c>
      <c r="R10942" s="8">
        <v>14.3</v>
      </c>
      <c r="S10942" s="8">
        <v>15.3</v>
      </c>
      <c r="T10942" s="8">
        <v>1</v>
      </c>
      <c r="U10942" s="8">
        <v>12.8</v>
      </c>
      <c r="V10942" s="8">
        <v>0.6</v>
      </c>
      <c r="W10942" s="8">
        <v>0.4</v>
      </c>
      <c r="X10942" s="8">
        <v>20</v>
      </c>
      <c r="Y10942" s="8" t="s">
        <v>46249</v>
      </c>
      <c r="Z10942" s="8" t="s">
        <v>46250</v>
      </c>
    </row>
    <row r="10943" spans="1:26" x14ac:dyDescent="0.2">
      <c r="A10943" s="8">
        <v>10942</v>
      </c>
      <c r="B10943" s="8" t="s">
        <v>46583</v>
      </c>
      <c r="C10943" s="8" t="s">
        <v>46583</v>
      </c>
      <c r="G10943" s="8">
        <v>20</v>
      </c>
      <c r="H10943" s="8" t="s">
        <v>21</v>
      </c>
      <c r="I10943" s="8" t="s">
        <v>22</v>
      </c>
      <c r="J10943" s="8" t="s">
        <v>57</v>
      </c>
      <c r="K10943" s="8" t="s">
        <v>632</v>
      </c>
      <c r="L10943" s="8" t="s">
        <v>17287</v>
      </c>
      <c r="M10943" s="8" t="s">
        <v>17288</v>
      </c>
      <c r="N10943" s="8" t="s">
        <v>19177</v>
      </c>
      <c r="O10943" s="8">
        <f>12+17/60+25.8/3600</f>
        <v>12.2905</v>
      </c>
      <c r="P10943" s="8" t="s">
        <v>19178</v>
      </c>
      <c r="Q10943" s="8">
        <f>+(6+41/60+22/3600)</f>
        <v>6.6894444444444447</v>
      </c>
      <c r="R10943" s="8">
        <v>11.9</v>
      </c>
      <c r="S10943" s="8">
        <v>13</v>
      </c>
      <c r="T10943" s="8">
        <v>1.1000000000000001</v>
      </c>
      <c r="U10943" s="8">
        <v>13.1</v>
      </c>
      <c r="V10943" s="8">
        <v>2.5</v>
      </c>
      <c r="W10943" s="8">
        <v>1.4</v>
      </c>
      <c r="X10943" s="8">
        <v>128</v>
      </c>
      <c r="Y10943" s="8" t="s">
        <v>46584</v>
      </c>
      <c r="Z10943" s="8" t="s">
        <v>46585</v>
      </c>
    </row>
    <row r="10944" spans="1:26" x14ac:dyDescent="0.2">
      <c r="A10944" s="8">
        <v>10943</v>
      </c>
      <c r="B10944" s="8" t="s">
        <v>46586</v>
      </c>
      <c r="C10944" s="8" t="s">
        <v>46586</v>
      </c>
      <c r="G10944" s="8">
        <v>20</v>
      </c>
      <c r="H10944" s="8" t="s">
        <v>21</v>
      </c>
      <c r="I10944" s="8" t="s">
        <v>72</v>
      </c>
      <c r="J10944" s="8" t="s">
        <v>72</v>
      </c>
      <c r="K10944" s="8" t="s">
        <v>20</v>
      </c>
      <c r="L10944" s="8" t="s">
        <v>17287</v>
      </c>
      <c r="M10944" s="8" t="s">
        <v>17288</v>
      </c>
      <c r="N10944" s="8" t="s">
        <v>46587</v>
      </c>
      <c r="O10944" s="8">
        <f>12+17/60+28.4/3600</f>
        <v>12.291222222222222</v>
      </c>
      <c r="P10944" s="8" t="s">
        <v>46588</v>
      </c>
      <c r="Q10944" s="8">
        <f>+(9+21/60+38/3600)</f>
        <v>9.3605555555555551</v>
      </c>
      <c r="R10944" s="8">
        <v>99</v>
      </c>
      <c r="S10944" s="8">
        <v>14.5</v>
      </c>
      <c r="T10944" s="8">
        <v>99</v>
      </c>
      <c r="U10944" s="8">
        <v>99</v>
      </c>
      <c r="Y10944" s="8" t="s">
        <v>1948</v>
      </c>
      <c r="Z10944" s="8" t="s">
        <v>24023</v>
      </c>
    </row>
    <row r="10945" spans="1:26" x14ac:dyDescent="0.2">
      <c r="A10945" s="8">
        <v>10944</v>
      </c>
      <c r="B10945" s="8" t="s">
        <v>46589</v>
      </c>
      <c r="C10945" s="8" t="s">
        <v>46589</v>
      </c>
      <c r="G10945" s="8">
        <v>20</v>
      </c>
      <c r="H10945" s="8" t="s">
        <v>21</v>
      </c>
      <c r="I10945" s="8" t="s">
        <v>22</v>
      </c>
      <c r="J10945" s="8" t="s">
        <v>22</v>
      </c>
      <c r="K10945" s="8" t="s">
        <v>107</v>
      </c>
      <c r="L10945" s="8" t="s">
        <v>13429</v>
      </c>
      <c r="M10945" s="8" t="s">
        <v>13430</v>
      </c>
      <c r="N10945" s="8" t="s">
        <v>46590</v>
      </c>
      <c r="O10945" s="8">
        <f>12+18/60+46.1/3600</f>
        <v>12.312805555555556</v>
      </c>
      <c r="P10945" s="8" t="s">
        <v>46591</v>
      </c>
      <c r="Q10945" s="8">
        <f>-(79+43/60+51/3600)</f>
        <v>-79.730833333333337</v>
      </c>
      <c r="R10945" s="8">
        <v>12.6</v>
      </c>
      <c r="S10945" s="8">
        <v>13.2</v>
      </c>
      <c r="T10945" s="8">
        <v>0.6</v>
      </c>
      <c r="U10945" s="8">
        <v>14.4</v>
      </c>
      <c r="V10945" s="8">
        <v>3.7</v>
      </c>
      <c r="W10945" s="8">
        <v>1.7</v>
      </c>
      <c r="X10945" s="8">
        <v>45</v>
      </c>
      <c r="Y10945" s="8" t="s">
        <v>21</v>
      </c>
      <c r="Z10945" s="8" t="s">
        <v>46592</v>
      </c>
    </row>
    <row r="10946" spans="1:26" x14ac:dyDescent="0.2">
      <c r="A10946" s="8">
        <v>10945</v>
      </c>
      <c r="B10946" s="8" t="s">
        <v>46593</v>
      </c>
      <c r="C10946" s="8" t="s">
        <v>46593</v>
      </c>
      <c r="G10946" s="8">
        <v>20</v>
      </c>
      <c r="H10946" s="8" t="s">
        <v>21</v>
      </c>
      <c r="I10946" s="8" t="s">
        <v>22</v>
      </c>
      <c r="J10946" s="8" t="s">
        <v>22</v>
      </c>
      <c r="K10946" s="8" t="s">
        <v>3616</v>
      </c>
      <c r="L10946" s="8" t="s">
        <v>17287</v>
      </c>
      <c r="M10946" s="8" t="s">
        <v>17288</v>
      </c>
      <c r="N10946" s="8" t="s">
        <v>46594</v>
      </c>
      <c r="O10946" s="8">
        <f>12+17/60+33.5/3600</f>
        <v>12.292638888888888</v>
      </c>
      <c r="P10946" s="8" t="s">
        <v>46595</v>
      </c>
      <c r="Q10946" s="8">
        <f>+(12+23/60+10/3600)</f>
        <v>12.386111111111111</v>
      </c>
      <c r="R10946" s="8">
        <v>14.1</v>
      </c>
      <c r="S10946" s="8">
        <v>14.6</v>
      </c>
      <c r="T10946" s="8">
        <v>0.5</v>
      </c>
      <c r="U10946" s="8">
        <v>14.1</v>
      </c>
      <c r="V10946" s="8">
        <v>1.9</v>
      </c>
      <c r="W10946" s="8">
        <v>0.6</v>
      </c>
      <c r="X10946" s="8">
        <v>27</v>
      </c>
      <c r="Y10946" s="8" t="s">
        <v>46596</v>
      </c>
      <c r="Z10946" s="8" t="s">
        <v>46597</v>
      </c>
    </row>
    <row r="10947" spans="1:26" x14ac:dyDescent="0.2">
      <c r="A10947" s="8">
        <v>10946</v>
      </c>
      <c r="B10947" s="8" t="s">
        <v>46598</v>
      </c>
      <c r="C10947" s="8" t="s">
        <v>46598</v>
      </c>
      <c r="G10947" s="8">
        <v>20</v>
      </c>
      <c r="H10947" s="8" t="s">
        <v>21</v>
      </c>
      <c r="I10947" s="8" t="s">
        <v>72</v>
      </c>
      <c r="J10947" s="8" t="s">
        <v>72</v>
      </c>
      <c r="K10947" s="8" t="s">
        <v>20</v>
      </c>
      <c r="L10947" s="8" t="s">
        <v>17287</v>
      </c>
      <c r="M10947" s="8" t="s">
        <v>17288</v>
      </c>
      <c r="N10947" s="8" t="s">
        <v>46599</v>
      </c>
      <c r="O10947" s="8">
        <f>12+17/60+45.8/3600</f>
        <v>12.296055555555556</v>
      </c>
      <c r="P10947" s="8" t="s">
        <v>46600</v>
      </c>
      <c r="Q10947" s="8">
        <f>+(9+36/60+47/3600)</f>
        <v>9.6130555555555546</v>
      </c>
      <c r="R10947" s="8">
        <v>99</v>
      </c>
      <c r="S10947" s="8">
        <v>15.3</v>
      </c>
      <c r="T10947" s="8">
        <v>99</v>
      </c>
      <c r="U10947" s="8">
        <v>99</v>
      </c>
      <c r="Y10947" s="8" t="s">
        <v>46601</v>
      </c>
      <c r="Z10947" s="8" t="s">
        <v>46602</v>
      </c>
    </row>
    <row r="10948" spans="1:26" x14ac:dyDescent="0.2">
      <c r="A10948" s="8">
        <v>10947</v>
      </c>
      <c r="B10948" s="8" t="s">
        <v>46603</v>
      </c>
      <c r="C10948" s="8" t="s">
        <v>46603</v>
      </c>
      <c r="G10948" s="8">
        <v>20</v>
      </c>
      <c r="H10948" s="8" t="s">
        <v>21</v>
      </c>
      <c r="I10948" s="8" t="s">
        <v>22</v>
      </c>
      <c r="J10948" s="8" t="s">
        <v>22</v>
      </c>
      <c r="K10948" s="8" t="s">
        <v>396</v>
      </c>
      <c r="L10948" s="8" t="s">
        <v>17287</v>
      </c>
      <c r="M10948" s="8" t="s">
        <v>17288</v>
      </c>
      <c r="N10948" s="8" t="s">
        <v>46604</v>
      </c>
      <c r="O10948" s="8">
        <f>12+17/60+47/3600</f>
        <v>12.296388888888888</v>
      </c>
      <c r="P10948" s="8" t="s">
        <v>46605</v>
      </c>
      <c r="Q10948" s="8">
        <f>+(10+50/60+41/3600)</f>
        <v>10.844722222222222</v>
      </c>
      <c r="R10948" s="8">
        <v>13.3</v>
      </c>
      <c r="S10948" s="8">
        <v>14.1</v>
      </c>
      <c r="T10948" s="8">
        <v>0.8</v>
      </c>
      <c r="U10948" s="8">
        <v>13.3</v>
      </c>
      <c r="V10948" s="8">
        <v>1.4</v>
      </c>
      <c r="W10948" s="8">
        <v>0.8</v>
      </c>
      <c r="X10948" s="8">
        <v>133</v>
      </c>
      <c r="Y10948" s="8" t="s">
        <v>46606</v>
      </c>
      <c r="Z10948" s="8" t="s">
        <v>46607</v>
      </c>
    </row>
    <row r="10949" spans="1:26" x14ac:dyDescent="0.2">
      <c r="A10949" s="8">
        <v>10948</v>
      </c>
      <c r="B10949" s="8" t="s">
        <v>46608</v>
      </c>
      <c r="C10949" s="8" t="s">
        <v>46608</v>
      </c>
      <c r="G10949" s="8">
        <v>20</v>
      </c>
      <c r="H10949" s="8" t="s">
        <v>21</v>
      </c>
      <c r="I10949" s="8" t="s">
        <v>22</v>
      </c>
      <c r="J10949" s="8" t="s">
        <v>22</v>
      </c>
      <c r="K10949" s="8" t="s">
        <v>91</v>
      </c>
      <c r="L10949" s="8" t="s">
        <v>18289</v>
      </c>
      <c r="M10949" s="8" t="s">
        <v>18290</v>
      </c>
      <c r="N10949" s="8" t="s">
        <v>46609</v>
      </c>
      <c r="O10949" s="8">
        <f>12+17/60+42.6/3600</f>
        <v>12.295166666666667</v>
      </c>
      <c r="P10949" s="8" t="s">
        <v>46610</v>
      </c>
      <c r="Q10949" s="8">
        <f>+(13+22/60+46/3600)</f>
        <v>13.379444444444445</v>
      </c>
      <c r="R10949" s="8">
        <v>14</v>
      </c>
      <c r="S10949" s="8">
        <v>14.9</v>
      </c>
      <c r="T10949" s="8">
        <v>0.9</v>
      </c>
      <c r="U10949" s="8">
        <v>12.5</v>
      </c>
      <c r="V10949" s="8">
        <v>0.7</v>
      </c>
      <c r="W10949" s="8">
        <v>0.4</v>
      </c>
      <c r="X10949" s="8">
        <v>90</v>
      </c>
      <c r="Y10949" s="8" t="s">
        <v>46279</v>
      </c>
      <c r="Z10949" s="8" t="s">
        <v>46280</v>
      </c>
    </row>
    <row r="10950" spans="1:26" x14ac:dyDescent="0.2">
      <c r="A10950" s="8">
        <v>10949</v>
      </c>
      <c r="B10950" s="8" t="s">
        <v>46611</v>
      </c>
      <c r="C10950" s="8" t="s">
        <v>46611</v>
      </c>
      <c r="G10950" s="8">
        <v>20</v>
      </c>
      <c r="H10950" s="8" t="s">
        <v>21</v>
      </c>
      <c r="I10950" s="8" t="s">
        <v>22</v>
      </c>
      <c r="J10950" s="8" t="s">
        <v>22</v>
      </c>
      <c r="K10950" s="8" t="s">
        <v>160</v>
      </c>
      <c r="L10950" s="8" t="s">
        <v>17287</v>
      </c>
      <c r="M10950" s="8" t="s">
        <v>17288</v>
      </c>
      <c r="N10950" s="8" t="s">
        <v>46612</v>
      </c>
      <c r="O10950" s="8">
        <f>12+17/60+44/3600</f>
        <v>12.295555555555556</v>
      </c>
      <c r="P10950" s="8" t="s">
        <v>46613</v>
      </c>
      <c r="Q10950" s="8">
        <f>+(13+10/60+16/3600)</f>
        <v>13.171111111111111</v>
      </c>
      <c r="R10950" s="8">
        <v>14.7</v>
      </c>
      <c r="S10950" s="8">
        <v>15.4</v>
      </c>
      <c r="T10950" s="8">
        <v>0.7</v>
      </c>
      <c r="U10950" s="8">
        <v>13</v>
      </c>
      <c r="V10950" s="8">
        <v>0.5</v>
      </c>
      <c r="W10950" s="8">
        <v>0.5</v>
      </c>
      <c r="Y10950" s="8" t="s">
        <v>46310</v>
      </c>
      <c r="Z10950" s="8" t="s">
        <v>46311</v>
      </c>
    </row>
    <row r="10951" spans="1:26" x14ac:dyDescent="0.2">
      <c r="A10951" s="8">
        <v>10950</v>
      </c>
      <c r="B10951" s="8" t="s">
        <v>46614</v>
      </c>
      <c r="C10951" s="8" t="s">
        <v>46614</v>
      </c>
      <c r="G10951" s="8">
        <v>20</v>
      </c>
      <c r="H10951" s="8" t="s">
        <v>21</v>
      </c>
      <c r="I10951" s="8" t="s">
        <v>22</v>
      </c>
      <c r="J10951" s="8" t="s">
        <v>22</v>
      </c>
      <c r="K10951" s="8" t="s">
        <v>449</v>
      </c>
      <c r="L10951" s="8" t="s">
        <v>18681</v>
      </c>
      <c r="M10951" s="8" t="s">
        <v>18682</v>
      </c>
      <c r="N10951" s="8" t="s">
        <v>46615</v>
      </c>
      <c r="O10951" s="8">
        <f>12+17/60+44.8/3600</f>
        <v>12.295777777777777</v>
      </c>
      <c r="P10951" s="8" t="s">
        <v>46616</v>
      </c>
      <c r="Q10951" s="8">
        <f>+(37+24/60+1/3600)</f>
        <v>37.400277777777774</v>
      </c>
      <c r="R10951" s="8">
        <v>16</v>
      </c>
      <c r="S10951" s="8">
        <v>16.8</v>
      </c>
      <c r="T10951" s="8">
        <v>0.8</v>
      </c>
      <c r="U10951" s="8">
        <v>14.2</v>
      </c>
      <c r="V10951" s="8">
        <v>0.55000000000000004</v>
      </c>
      <c r="W10951" s="8">
        <v>0.4</v>
      </c>
      <c r="X10951" s="8">
        <v>45</v>
      </c>
      <c r="Y10951" s="8" t="s">
        <v>17508</v>
      </c>
      <c r="Z10951" s="8" t="s">
        <v>17509</v>
      </c>
    </row>
    <row r="10952" spans="1:26" x14ac:dyDescent="0.2">
      <c r="A10952" s="8">
        <v>10951</v>
      </c>
      <c r="B10952" s="8" t="s">
        <v>46617</v>
      </c>
      <c r="C10952" s="8" t="s">
        <v>46617</v>
      </c>
      <c r="G10952" s="8">
        <v>20</v>
      </c>
      <c r="H10952" s="8" t="s">
        <v>21</v>
      </c>
      <c r="I10952" s="8" t="s">
        <v>22</v>
      </c>
      <c r="J10952" s="8" t="s">
        <v>22</v>
      </c>
      <c r="K10952" s="8" t="s">
        <v>31</v>
      </c>
      <c r="L10952" s="8" t="s">
        <v>17287</v>
      </c>
      <c r="M10952" s="8" t="s">
        <v>17288</v>
      </c>
      <c r="N10952" s="8" t="s">
        <v>46618</v>
      </c>
      <c r="O10952" s="8">
        <f>12+17/60+50.7/3600</f>
        <v>12.297416666666667</v>
      </c>
      <c r="P10952" s="8" t="s">
        <v>46619</v>
      </c>
      <c r="Q10952" s="8">
        <f>+(8+25/60+51/3600)</f>
        <v>8.4308333333333323</v>
      </c>
      <c r="R10952" s="8">
        <v>14.1</v>
      </c>
      <c r="S10952" s="8">
        <v>14.9</v>
      </c>
      <c r="T10952" s="8">
        <v>0.8</v>
      </c>
      <c r="U10952" s="8">
        <v>11.9</v>
      </c>
      <c r="V10952" s="8">
        <v>0.5</v>
      </c>
      <c r="W10952" s="8">
        <v>0.3</v>
      </c>
      <c r="X10952" s="8">
        <v>25</v>
      </c>
      <c r="Y10952" s="8" t="s">
        <v>21</v>
      </c>
      <c r="Z10952" s="8" t="s">
        <v>46620</v>
      </c>
    </row>
    <row r="10953" spans="1:26" x14ac:dyDescent="0.2">
      <c r="A10953" s="8">
        <v>10952</v>
      </c>
      <c r="B10953" s="8" t="s">
        <v>46621</v>
      </c>
      <c r="C10953" s="8" t="s">
        <v>46621</v>
      </c>
      <c r="G10953" s="8">
        <v>20</v>
      </c>
      <c r="H10953" s="8" t="s">
        <v>21</v>
      </c>
      <c r="I10953" s="8" t="s">
        <v>22</v>
      </c>
      <c r="J10953" s="8" t="s">
        <v>22</v>
      </c>
      <c r="K10953" s="8" t="s">
        <v>476</v>
      </c>
      <c r="L10953" s="8" t="s">
        <v>18289</v>
      </c>
      <c r="M10953" s="8" t="s">
        <v>18290</v>
      </c>
      <c r="N10953" s="8" t="s">
        <v>46622</v>
      </c>
      <c r="O10953" s="8">
        <f>12+17/60+48.3/3600</f>
        <v>12.296749999999999</v>
      </c>
      <c r="P10953" s="8" t="s">
        <v>46623</v>
      </c>
      <c r="Q10953" s="8">
        <f>+(26+1/60+51/3600)</f>
        <v>26.030833333333334</v>
      </c>
      <c r="R10953" s="8">
        <v>14.4</v>
      </c>
      <c r="S10953" s="8">
        <v>15.2</v>
      </c>
      <c r="T10953" s="8">
        <v>0.8</v>
      </c>
      <c r="U10953" s="8">
        <v>13.1</v>
      </c>
      <c r="V10953" s="8">
        <v>0.9</v>
      </c>
      <c r="W10953" s="8">
        <v>0.4</v>
      </c>
      <c r="X10953" s="8">
        <v>170</v>
      </c>
      <c r="Y10953" s="8" t="s">
        <v>45218</v>
      </c>
      <c r="Z10953" s="8" t="s">
        <v>45219</v>
      </c>
    </row>
    <row r="10954" spans="1:26" x14ac:dyDescent="0.2">
      <c r="A10954" s="8">
        <v>10953</v>
      </c>
      <c r="B10954" s="8" t="s">
        <v>46624</v>
      </c>
      <c r="C10954" s="8" t="s">
        <v>46624</v>
      </c>
      <c r="G10954" s="8">
        <v>20</v>
      </c>
      <c r="H10954" s="8" t="s">
        <v>21</v>
      </c>
      <c r="I10954" s="8" t="s">
        <v>22</v>
      </c>
      <c r="J10954" s="8" t="s">
        <v>57</v>
      </c>
      <c r="K10954" s="8" t="s">
        <v>160</v>
      </c>
      <c r="L10954" s="8" t="s">
        <v>17287</v>
      </c>
      <c r="M10954" s="8" t="s">
        <v>17288</v>
      </c>
      <c r="N10954" s="8" t="s">
        <v>19278</v>
      </c>
      <c r="O10954" s="8">
        <f>12+17/60+58.1/3600</f>
        <v>12.299472222222223</v>
      </c>
      <c r="P10954" s="8" t="s">
        <v>19279</v>
      </c>
      <c r="Q10954" s="8">
        <f>+(7+11/60+8/3600)</f>
        <v>7.1855555555555561</v>
      </c>
      <c r="R10954" s="8">
        <v>12.7</v>
      </c>
      <c r="S10954" s="8">
        <v>13.4</v>
      </c>
      <c r="T10954" s="8">
        <v>0.7</v>
      </c>
      <c r="U10954" s="8">
        <v>13.8</v>
      </c>
      <c r="V10954" s="8">
        <v>2.2999999999999998</v>
      </c>
      <c r="W10954" s="8">
        <v>1.2</v>
      </c>
      <c r="X10954" s="8">
        <v>83</v>
      </c>
      <c r="Y10954" s="8" t="s">
        <v>46625</v>
      </c>
      <c r="Z10954" s="8" t="s">
        <v>46626</v>
      </c>
    </row>
    <row r="10955" spans="1:26" x14ac:dyDescent="0.2">
      <c r="A10955" s="8">
        <v>10954</v>
      </c>
      <c r="B10955" s="8" t="s">
        <v>46627</v>
      </c>
      <c r="C10955" s="8" t="s">
        <v>46627</v>
      </c>
      <c r="G10955" s="8">
        <v>20</v>
      </c>
      <c r="H10955" s="8" t="s">
        <v>21</v>
      </c>
      <c r="I10955" s="8" t="s">
        <v>72</v>
      </c>
      <c r="J10955" s="8" t="s">
        <v>72</v>
      </c>
      <c r="K10955" s="8" t="s">
        <v>20</v>
      </c>
      <c r="L10955" s="8" t="s">
        <v>17287</v>
      </c>
      <c r="M10955" s="8" t="s">
        <v>17288</v>
      </c>
      <c r="N10955" s="8" t="s">
        <v>46628</v>
      </c>
      <c r="O10955" s="8">
        <f>12+17/60+56.8/3600</f>
        <v>12.299111111111111</v>
      </c>
      <c r="P10955" s="8" t="s">
        <v>46629</v>
      </c>
      <c r="Q10955" s="8">
        <f>+(9+8/60+7/3600)</f>
        <v>9.1352777777777767</v>
      </c>
      <c r="R10955" s="8">
        <v>99</v>
      </c>
      <c r="S10955" s="8">
        <v>14.3</v>
      </c>
      <c r="T10955" s="8">
        <v>99</v>
      </c>
      <c r="U10955" s="8">
        <v>99</v>
      </c>
      <c r="Y10955" s="8" t="s">
        <v>46630</v>
      </c>
      <c r="Z10955" s="8" t="s">
        <v>46631</v>
      </c>
    </row>
    <row r="10956" spans="1:26" x14ac:dyDescent="0.2">
      <c r="A10956" s="8">
        <v>10955</v>
      </c>
      <c r="B10956" s="8" t="s">
        <v>46632</v>
      </c>
      <c r="C10956" s="8" t="s">
        <v>46632</v>
      </c>
      <c r="G10956" s="8">
        <v>20</v>
      </c>
      <c r="H10956" s="8" t="s">
        <v>21</v>
      </c>
      <c r="I10956" s="8" t="s">
        <v>22</v>
      </c>
      <c r="J10956" s="8" t="s">
        <v>57</v>
      </c>
      <c r="K10956" s="8" t="s">
        <v>64</v>
      </c>
      <c r="L10956" s="8" t="s">
        <v>17287</v>
      </c>
      <c r="M10956" s="8" t="s">
        <v>17288</v>
      </c>
      <c r="N10956" s="8" t="s">
        <v>19256</v>
      </c>
      <c r="O10956" s="8">
        <f>12+17/60+59.9/3600</f>
        <v>12.299972222222221</v>
      </c>
      <c r="P10956" s="8" t="s">
        <v>19257</v>
      </c>
      <c r="Q10956" s="8">
        <f>+(6+39/60+15/3600)</f>
        <v>6.6541666666666668</v>
      </c>
      <c r="R10956" s="8">
        <v>13.1</v>
      </c>
      <c r="S10956" s="8">
        <v>13.7</v>
      </c>
      <c r="T10956" s="8">
        <v>0.6</v>
      </c>
      <c r="U10956" s="8">
        <v>13.9</v>
      </c>
      <c r="V10956" s="8">
        <v>1.7</v>
      </c>
      <c r="W10956" s="8">
        <v>1.4</v>
      </c>
      <c r="X10956" s="8">
        <v>132</v>
      </c>
      <c r="Y10956" s="8" t="s">
        <v>5089</v>
      </c>
      <c r="Z10956" s="8" t="s">
        <v>5090</v>
      </c>
    </row>
    <row r="10957" spans="1:26" x14ac:dyDescent="0.2">
      <c r="A10957" s="8">
        <v>10956</v>
      </c>
      <c r="B10957" s="8" t="s">
        <v>46633</v>
      </c>
      <c r="C10957" s="8" t="s">
        <v>46633</v>
      </c>
      <c r="G10957" s="8">
        <v>20</v>
      </c>
      <c r="H10957" s="8" t="s">
        <v>21</v>
      </c>
      <c r="I10957" s="8" t="s">
        <v>22</v>
      </c>
      <c r="J10957" s="8" t="s">
        <v>22</v>
      </c>
      <c r="K10957" s="8" t="s">
        <v>476</v>
      </c>
      <c r="L10957" s="8" t="s">
        <v>18289</v>
      </c>
      <c r="M10957" s="8" t="s">
        <v>18290</v>
      </c>
      <c r="N10957" s="8" t="s">
        <v>46634</v>
      </c>
      <c r="O10957" s="8">
        <f>12+17/60+57.2/3600</f>
        <v>12.299222222222221</v>
      </c>
      <c r="P10957" s="8" t="s">
        <v>46635</v>
      </c>
      <c r="Q10957" s="8">
        <f>+(25+4/60+34/3600)</f>
        <v>25.076111111111111</v>
      </c>
      <c r="R10957" s="8">
        <v>15.4</v>
      </c>
      <c r="S10957" s="8">
        <v>16.2</v>
      </c>
      <c r="T10957" s="8">
        <v>0.8</v>
      </c>
      <c r="U10957" s="8">
        <v>13.5</v>
      </c>
      <c r="V10957" s="8">
        <v>0.5</v>
      </c>
      <c r="W10957" s="8">
        <v>0.4</v>
      </c>
      <c r="X10957" s="8">
        <v>10</v>
      </c>
      <c r="Y10957" s="8" t="s">
        <v>44921</v>
      </c>
      <c r="Z10957" s="8" t="s">
        <v>44922</v>
      </c>
    </row>
    <row r="10958" spans="1:26" x14ac:dyDescent="0.2">
      <c r="A10958" s="8">
        <v>10957</v>
      </c>
      <c r="B10958" s="8" t="s">
        <v>46636</v>
      </c>
      <c r="C10958" s="8" t="s">
        <v>46636</v>
      </c>
      <c r="G10958" s="8">
        <v>20</v>
      </c>
      <c r="H10958" s="8" t="s">
        <v>21</v>
      </c>
      <c r="I10958" s="8" t="s">
        <v>72</v>
      </c>
      <c r="J10958" s="8" t="s">
        <v>72</v>
      </c>
      <c r="K10958" s="8" t="s">
        <v>73</v>
      </c>
      <c r="L10958" s="8" t="s">
        <v>17287</v>
      </c>
      <c r="M10958" s="8" t="s">
        <v>17288</v>
      </c>
      <c r="N10958" s="8" t="s">
        <v>46637</v>
      </c>
      <c r="O10958" s="8">
        <f>12+18/60+4.7/3600</f>
        <v>12.301305555555556</v>
      </c>
      <c r="P10958" s="8" t="s">
        <v>46638</v>
      </c>
      <c r="Q10958" s="8">
        <f>+(9+4/60+35/3600)</f>
        <v>9.0763888888888893</v>
      </c>
      <c r="R10958" s="8">
        <v>99</v>
      </c>
      <c r="S10958" s="8">
        <v>99</v>
      </c>
      <c r="T10958" s="8">
        <v>99</v>
      </c>
      <c r="U10958" s="8">
        <v>99</v>
      </c>
      <c r="Y10958" s="8" t="s">
        <v>46639</v>
      </c>
      <c r="Z10958" s="8" t="s">
        <v>46640</v>
      </c>
    </row>
    <row r="10959" spans="1:26" x14ac:dyDescent="0.2">
      <c r="A10959" s="8">
        <v>10958</v>
      </c>
      <c r="B10959" s="8" t="s">
        <v>46641</v>
      </c>
      <c r="C10959" s="8" t="s">
        <v>46641</v>
      </c>
      <c r="G10959" s="8">
        <v>20</v>
      </c>
      <c r="H10959" s="8" t="s">
        <v>21</v>
      </c>
      <c r="I10959" s="8" t="s">
        <v>22</v>
      </c>
      <c r="J10959" s="8" t="s">
        <v>22</v>
      </c>
      <c r="K10959" s="8" t="s">
        <v>3616</v>
      </c>
      <c r="L10959" s="8" t="s">
        <v>17287</v>
      </c>
      <c r="M10959" s="8" t="s">
        <v>17288</v>
      </c>
      <c r="N10959" s="8" t="s">
        <v>46642</v>
      </c>
      <c r="O10959" s="8">
        <f>12+18/60+11.1/3600</f>
        <v>12.303083333333333</v>
      </c>
      <c r="P10959" s="8" t="s">
        <v>46643</v>
      </c>
      <c r="Q10959" s="8">
        <f>+(9+30/60+1/3600)</f>
        <v>9.5002777777777769</v>
      </c>
      <c r="R10959" s="8">
        <v>14.1</v>
      </c>
      <c r="S10959" s="8">
        <v>14.7</v>
      </c>
      <c r="T10959" s="8">
        <v>0.6</v>
      </c>
      <c r="U10959" s="8">
        <v>14</v>
      </c>
      <c r="V10959" s="8">
        <v>1.5</v>
      </c>
      <c r="W10959" s="8">
        <v>0.7</v>
      </c>
      <c r="X10959" s="8">
        <v>170</v>
      </c>
      <c r="Y10959" s="8" t="s">
        <v>46644</v>
      </c>
      <c r="Z10959" s="8" t="s">
        <v>46645</v>
      </c>
    </row>
    <row r="10960" spans="1:26" x14ac:dyDescent="0.2">
      <c r="A10960" s="8">
        <v>10959</v>
      </c>
      <c r="B10960" s="8" t="s">
        <v>46646</v>
      </c>
      <c r="C10960" s="8" t="s">
        <v>46646</v>
      </c>
      <c r="G10960" s="8">
        <v>20</v>
      </c>
      <c r="H10960" s="8" t="s">
        <v>21</v>
      </c>
      <c r="I10960" s="8" t="s">
        <v>22</v>
      </c>
      <c r="J10960" s="8" t="s">
        <v>22</v>
      </c>
      <c r="K10960" s="8" t="s">
        <v>476</v>
      </c>
      <c r="L10960" s="8" t="s">
        <v>18289</v>
      </c>
      <c r="M10960" s="8" t="s">
        <v>18290</v>
      </c>
      <c r="N10960" s="8" t="s">
        <v>19298</v>
      </c>
      <c r="O10960" s="8">
        <f>12+18/60+8.4/3600</f>
        <v>12.302333333333333</v>
      </c>
      <c r="P10960" s="8" t="s">
        <v>46647</v>
      </c>
      <c r="Q10960" s="8">
        <f>+(24+41/60+20/3600)</f>
        <v>24.68888888888889</v>
      </c>
      <c r="R10960" s="8">
        <v>14.8</v>
      </c>
      <c r="S10960" s="8">
        <v>15.6</v>
      </c>
      <c r="T10960" s="8">
        <v>0.8</v>
      </c>
      <c r="U10960" s="8">
        <v>12</v>
      </c>
      <c r="V10960" s="8">
        <v>0.3</v>
      </c>
      <c r="W10960" s="8">
        <v>0.3</v>
      </c>
      <c r="Y10960" s="8" t="s">
        <v>20532</v>
      </c>
      <c r="Z10960" s="8" t="s">
        <v>20533</v>
      </c>
    </row>
    <row r="10961" spans="1:26" x14ac:dyDescent="0.2">
      <c r="A10961" s="8">
        <v>10960</v>
      </c>
      <c r="B10961" s="8" t="s">
        <v>46648</v>
      </c>
      <c r="C10961" s="8" t="s">
        <v>46648</v>
      </c>
      <c r="G10961" s="8">
        <v>20</v>
      </c>
      <c r="H10961" s="8" t="s">
        <v>21</v>
      </c>
      <c r="I10961" s="8" t="s">
        <v>22</v>
      </c>
      <c r="J10961" s="8" t="s">
        <v>22</v>
      </c>
      <c r="K10961" s="8" t="s">
        <v>632</v>
      </c>
      <c r="L10961" s="8" t="s">
        <v>18289</v>
      </c>
      <c r="M10961" s="8" t="s">
        <v>18290</v>
      </c>
      <c r="N10961" s="8" t="s">
        <v>46649</v>
      </c>
      <c r="O10961" s="8">
        <f>12+18/60+15.3/3600</f>
        <v>12.304250000000001</v>
      </c>
      <c r="P10961" s="8" t="s">
        <v>46650</v>
      </c>
      <c r="Q10961" s="8">
        <f>+(13+44/60+54/3600)</f>
        <v>13.748333333333333</v>
      </c>
      <c r="R10961" s="8">
        <v>14.7</v>
      </c>
      <c r="S10961" s="8">
        <v>15.6</v>
      </c>
      <c r="T10961" s="8">
        <v>0.9</v>
      </c>
      <c r="U10961" s="8">
        <v>12.6</v>
      </c>
      <c r="V10961" s="8">
        <v>0.4</v>
      </c>
      <c r="W10961" s="8">
        <v>0.4</v>
      </c>
      <c r="Y10961" s="8" t="s">
        <v>46390</v>
      </c>
      <c r="Z10961" s="8" t="s">
        <v>46391</v>
      </c>
    </row>
    <row r="10962" spans="1:26" x14ac:dyDescent="0.2">
      <c r="A10962" s="8">
        <v>10961</v>
      </c>
      <c r="B10962" s="8" t="s">
        <v>46651</v>
      </c>
      <c r="C10962" s="8" t="s">
        <v>46651</v>
      </c>
      <c r="G10962" s="8">
        <v>20</v>
      </c>
      <c r="H10962" s="8" t="s">
        <v>21</v>
      </c>
      <c r="I10962" s="8" t="s">
        <v>22</v>
      </c>
      <c r="J10962" s="8" t="s">
        <v>22</v>
      </c>
      <c r="K10962" s="8" t="s">
        <v>1174</v>
      </c>
      <c r="L10962" s="8" t="s">
        <v>17287</v>
      </c>
      <c r="M10962" s="8" t="s">
        <v>17288</v>
      </c>
      <c r="N10962" s="8" t="s">
        <v>46652</v>
      </c>
      <c r="O10962" s="8">
        <f>12+18/60+17.3/3600</f>
        <v>12.304805555555557</v>
      </c>
      <c r="P10962" s="8" t="s">
        <v>20954</v>
      </c>
      <c r="Q10962" s="8">
        <f>+(13+15/60+26/3600)</f>
        <v>13.257222222222222</v>
      </c>
      <c r="R10962" s="8">
        <v>16.5</v>
      </c>
      <c r="S10962" s="8">
        <v>17.3</v>
      </c>
      <c r="T10962" s="8">
        <v>0.8</v>
      </c>
      <c r="U10962" s="8">
        <v>14.5</v>
      </c>
      <c r="V10962" s="8">
        <v>0.6</v>
      </c>
      <c r="W10962" s="8">
        <v>0.3</v>
      </c>
      <c r="X10962" s="8">
        <v>130</v>
      </c>
      <c r="Y10962" s="8" t="s">
        <v>46653</v>
      </c>
      <c r="Z10962" s="8" t="s">
        <v>46654</v>
      </c>
    </row>
    <row r="10963" spans="1:26" x14ac:dyDescent="0.2">
      <c r="A10963" s="8">
        <v>10962</v>
      </c>
      <c r="B10963" s="8" t="s">
        <v>46655</v>
      </c>
      <c r="C10963" s="8" t="s">
        <v>46655</v>
      </c>
      <c r="G10963" s="8">
        <v>20</v>
      </c>
      <c r="H10963" s="8" t="s">
        <v>21</v>
      </c>
      <c r="I10963" s="8" t="s">
        <v>22</v>
      </c>
      <c r="J10963" s="8" t="s">
        <v>22</v>
      </c>
      <c r="K10963" s="8" t="s">
        <v>23</v>
      </c>
      <c r="L10963" s="8" t="s">
        <v>18289</v>
      </c>
      <c r="M10963" s="8" t="s">
        <v>18290</v>
      </c>
      <c r="N10963" s="8" t="s">
        <v>46656</v>
      </c>
      <c r="O10963" s="8">
        <f>12+18/60+21.4/3600</f>
        <v>12.305944444444446</v>
      </c>
      <c r="P10963" s="8" t="s">
        <v>46657</v>
      </c>
      <c r="Q10963" s="8">
        <f>+(25+13/60+2/3600)</f>
        <v>25.217222222222219</v>
      </c>
      <c r="R10963" s="8">
        <v>13.5</v>
      </c>
      <c r="S10963" s="8">
        <v>14.3</v>
      </c>
      <c r="T10963" s="8">
        <v>0.8</v>
      </c>
      <c r="U10963" s="8">
        <v>13.5</v>
      </c>
      <c r="V10963" s="8">
        <v>1.4</v>
      </c>
      <c r="W10963" s="8">
        <v>0.8</v>
      </c>
      <c r="X10963" s="8">
        <v>150</v>
      </c>
      <c r="Y10963" s="8" t="s">
        <v>21</v>
      </c>
      <c r="Z10963" s="8" t="s">
        <v>46658</v>
      </c>
    </row>
    <row r="10964" spans="1:26" x14ac:dyDescent="0.2">
      <c r="A10964" s="8">
        <v>10963</v>
      </c>
      <c r="B10964" s="8" t="s">
        <v>46659</v>
      </c>
      <c r="C10964" s="8" t="s">
        <v>46659</v>
      </c>
      <c r="G10964" s="8">
        <v>20</v>
      </c>
      <c r="H10964" s="8" t="s">
        <v>21</v>
      </c>
      <c r="I10964" s="8" t="s">
        <v>72</v>
      </c>
      <c r="J10964" s="8" t="s">
        <v>72</v>
      </c>
      <c r="K10964" s="8" t="s">
        <v>20</v>
      </c>
      <c r="L10964" s="8" t="s">
        <v>17287</v>
      </c>
      <c r="M10964" s="8" t="s">
        <v>17288</v>
      </c>
      <c r="N10964" s="8" t="s">
        <v>46660</v>
      </c>
      <c r="O10964" s="8">
        <f>12+18/60+27.6/3600</f>
        <v>12.307666666666668</v>
      </c>
      <c r="P10964" s="8" t="s">
        <v>46661</v>
      </c>
      <c r="Q10964" s="8">
        <f>+(8+3/60+54/3600)</f>
        <v>8.0650000000000013</v>
      </c>
      <c r="R10964" s="8">
        <v>99</v>
      </c>
      <c r="S10964" s="8">
        <v>7.3</v>
      </c>
      <c r="T10964" s="8">
        <v>99</v>
      </c>
      <c r="U10964" s="8">
        <v>99</v>
      </c>
      <c r="Y10964" s="8" t="s">
        <v>46662</v>
      </c>
      <c r="Z10964" s="8" t="s">
        <v>46663</v>
      </c>
    </row>
    <row r="10965" spans="1:26" x14ac:dyDescent="0.2">
      <c r="A10965" s="8">
        <v>10964</v>
      </c>
      <c r="B10965" s="8" t="s">
        <v>46664</v>
      </c>
      <c r="C10965" s="8" t="s">
        <v>46664</v>
      </c>
      <c r="G10965" s="8">
        <v>20</v>
      </c>
      <c r="H10965" s="8" t="s">
        <v>21</v>
      </c>
      <c r="I10965" s="8" t="s">
        <v>72</v>
      </c>
      <c r="J10965" s="8" t="s">
        <v>72</v>
      </c>
      <c r="K10965" s="8" t="s">
        <v>20</v>
      </c>
      <c r="L10965" s="8" t="s">
        <v>17287</v>
      </c>
      <c r="M10965" s="8" t="s">
        <v>17288</v>
      </c>
      <c r="N10965" s="8" t="s">
        <v>46660</v>
      </c>
      <c r="O10965" s="8">
        <f>12+18/60+27.6/3600</f>
        <v>12.307666666666668</v>
      </c>
      <c r="P10965" s="8" t="s">
        <v>46665</v>
      </c>
      <c r="Q10965" s="8">
        <f>+(9+35/60+19/3600)</f>
        <v>9.5886111111111116</v>
      </c>
      <c r="R10965" s="8">
        <v>99</v>
      </c>
      <c r="S10965" s="8">
        <v>15.2</v>
      </c>
      <c r="T10965" s="8">
        <v>99</v>
      </c>
      <c r="U10965" s="8">
        <v>99</v>
      </c>
      <c r="Y10965" s="8" t="s">
        <v>46666</v>
      </c>
      <c r="Z10965" s="8" t="s">
        <v>46667</v>
      </c>
    </row>
    <row r="10966" spans="1:26" x14ac:dyDescent="0.2">
      <c r="A10966" s="8">
        <v>10965</v>
      </c>
      <c r="B10966" s="8" t="s">
        <v>46668</v>
      </c>
      <c r="C10966" s="8" t="s">
        <v>46668</v>
      </c>
      <c r="G10966" s="8">
        <v>20</v>
      </c>
      <c r="H10966" s="8" t="s">
        <v>21</v>
      </c>
      <c r="I10966" s="8" t="s">
        <v>72</v>
      </c>
      <c r="J10966" s="8" t="s">
        <v>72</v>
      </c>
      <c r="K10966" s="8" t="s">
        <v>20</v>
      </c>
      <c r="L10966" s="8" t="s">
        <v>18289</v>
      </c>
      <c r="M10966" s="8" t="s">
        <v>18290</v>
      </c>
      <c r="N10966" s="8" t="s">
        <v>46669</v>
      </c>
      <c r="O10966" s="8">
        <f>12+18/60+25.5/3600</f>
        <v>12.307083333333335</v>
      </c>
      <c r="P10966" s="8" t="s">
        <v>46670</v>
      </c>
      <c r="Q10966" s="8">
        <f>+(24+21/60+56/3600)</f>
        <v>24.365555555555556</v>
      </c>
      <c r="R10966" s="8">
        <v>99</v>
      </c>
      <c r="S10966" s="8">
        <v>99</v>
      </c>
      <c r="T10966" s="8">
        <v>99</v>
      </c>
      <c r="U10966" s="8">
        <v>99</v>
      </c>
      <c r="Y10966" s="8" t="s">
        <v>2641</v>
      </c>
      <c r="Z10966" s="8" t="s">
        <v>2642</v>
      </c>
    </row>
    <row r="10967" spans="1:26" x14ac:dyDescent="0.2">
      <c r="A10967" s="8">
        <v>10966</v>
      </c>
      <c r="B10967" s="8" t="s">
        <v>46671</v>
      </c>
      <c r="C10967" s="8" t="s">
        <v>46671</v>
      </c>
      <c r="G10967" s="8">
        <v>20</v>
      </c>
      <c r="H10967" s="8" t="s">
        <v>21</v>
      </c>
      <c r="I10967" s="8" t="s">
        <v>22</v>
      </c>
      <c r="J10967" s="8" t="s">
        <v>22</v>
      </c>
      <c r="K10967" s="8" t="s">
        <v>396</v>
      </c>
      <c r="L10967" s="8" t="s">
        <v>18289</v>
      </c>
      <c r="M10967" s="8" t="s">
        <v>18290</v>
      </c>
      <c r="N10967" s="8" t="s">
        <v>46672</v>
      </c>
      <c r="O10967" s="8">
        <f>12+18/60+37.1/3600</f>
        <v>12.310305555555557</v>
      </c>
      <c r="P10967" s="8" t="s">
        <v>46673</v>
      </c>
      <c r="Q10967" s="8">
        <f>+(13+48/60+51/3600)</f>
        <v>13.814166666666667</v>
      </c>
      <c r="R10967" s="8">
        <v>15.7</v>
      </c>
      <c r="S10967" s="8">
        <v>16.5</v>
      </c>
      <c r="T10967" s="8">
        <v>0.8</v>
      </c>
      <c r="U10967" s="8">
        <v>14</v>
      </c>
      <c r="V10967" s="8">
        <v>0.5</v>
      </c>
      <c r="W10967" s="8">
        <v>0.5</v>
      </c>
      <c r="Y10967" s="8" t="s">
        <v>46674</v>
      </c>
      <c r="Z10967" s="8" t="s">
        <v>46222</v>
      </c>
    </row>
    <row r="10968" spans="1:26" x14ac:dyDescent="0.2">
      <c r="A10968" s="8">
        <v>10967</v>
      </c>
      <c r="B10968" s="8" t="s">
        <v>46675</v>
      </c>
      <c r="C10968" s="8" t="s">
        <v>46675</v>
      </c>
      <c r="G10968" s="8">
        <v>20</v>
      </c>
      <c r="H10968" s="8" t="s">
        <v>21</v>
      </c>
      <c r="I10968" s="8" t="s">
        <v>22</v>
      </c>
      <c r="J10968" s="8" t="s">
        <v>22</v>
      </c>
      <c r="K10968" s="8" t="s">
        <v>396</v>
      </c>
      <c r="L10968" s="8" t="s">
        <v>17287</v>
      </c>
      <c r="M10968" s="8" t="s">
        <v>17288</v>
      </c>
      <c r="N10968" s="8" t="s">
        <v>46676</v>
      </c>
      <c r="O10968" s="8">
        <f>12+18/60+35.2/3600</f>
        <v>12.309777777777779</v>
      </c>
      <c r="P10968" s="8" t="s">
        <v>38174</v>
      </c>
      <c r="Q10968" s="8">
        <f>+(11+52/60+12/3600)</f>
        <v>11.870000000000001</v>
      </c>
      <c r="R10968" s="8">
        <v>15.3</v>
      </c>
      <c r="S10968" s="8">
        <v>16.100000000000001</v>
      </c>
      <c r="T10968" s="8">
        <v>0.8</v>
      </c>
      <c r="U10968" s="8">
        <v>13.8</v>
      </c>
      <c r="V10968" s="8">
        <v>0.6</v>
      </c>
      <c r="W10968" s="8">
        <v>0.5</v>
      </c>
      <c r="X10968" s="8">
        <v>177</v>
      </c>
      <c r="Y10968" s="8" t="s">
        <v>46677</v>
      </c>
      <c r="Z10968" s="8" t="s">
        <v>46678</v>
      </c>
    </row>
    <row r="10969" spans="1:26" x14ac:dyDescent="0.2">
      <c r="A10969" s="8">
        <v>10968</v>
      </c>
      <c r="B10969" s="8" t="s">
        <v>46679</v>
      </c>
      <c r="C10969" s="8" t="s">
        <v>46679</v>
      </c>
      <c r="D10969" s="8" t="s">
        <v>351</v>
      </c>
      <c r="G10969" s="8">
        <v>20</v>
      </c>
      <c r="H10969" s="8" t="s">
        <v>21</v>
      </c>
      <c r="I10969" s="8" t="s">
        <v>22</v>
      </c>
      <c r="J10969" s="8" t="s">
        <v>22</v>
      </c>
      <c r="K10969" s="8" t="s">
        <v>160</v>
      </c>
      <c r="L10969" s="8" t="s">
        <v>17287</v>
      </c>
      <c r="M10969" s="8" t="s">
        <v>17288</v>
      </c>
      <c r="N10969" s="8" t="s">
        <v>46680</v>
      </c>
      <c r="O10969" s="8">
        <f>12+18/60+41.9/3600</f>
        <v>12.31163888888889</v>
      </c>
      <c r="P10969" s="8" t="s">
        <v>46681</v>
      </c>
      <c r="Q10969" s="8">
        <f>+(11+43/60+53/3600)</f>
        <v>11.731388888888889</v>
      </c>
      <c r="R10969" s="8">
        <v>14.2</v>
      </c>
      <c r="S10969" s="8">
        <v>14.9</v>
      </c>
      <c r="T10969" s="8">
        <v>0.7</v>
      </c>
      <c r="U10969" s="8">
        <v>12.5</v>
      </c>
      <c r="V10969" s="8">
        <v>0.6</v>
      </c>
      <c r="W10969" s="8">
        <v>0.4</v>
      </c>
      <c r="X10969" s="8">
        <v>170</v>
      </c>
      <c r="Y10969" s="8" t="s">
        <v>46682</v>
      </c>
      <c r="Z10969" s="8" t="s">
        <v>46683</v>
      </c>
    </row>
    <row r="10970" spans="1:26" x14ac:dyDescent="0.2">
      <c r="A10970" s="8">
        <v>10969</v>
      </c>
      <c r="B10970" s="8" t="s">
        <v>46684</v>
      </c>
      <c r="C10970" s="8" t="s">
        <v>46684</v>
      </c>
      <c r="G10970" s="8">
        <v>20</v>
      </c>
      <c r="H10970" s="8" t="s">
        <v>21</v>
      </c>
      <c r="I10970" s="8" t="s">
        <v>72</v>
      </c>
      <c r="J10970" s="8" t="s">
        <v>72</v>
      </c>
      <c r="K10970" s="8" t="s">
        <v>20</v>
      </c>
      <c r="L10970" s="8" t="s">
        <v>17287</v>
      </c>
      <c r="M10970" s="8" t="s">
        <v>17288</v>
      </c>
      <c r="N10970" s="8" t="s">
        <v>46685</v>
      </c>
      <c r="O10970" s="8">
        <f>12+18/60+45/3600</f>
        <v>12.3125</v>
      </c>
      <c r="P10970" s="8" t="s">
        <v>46686</v>
      </c>
      <c r="Q10970" s="8">
        <f>+(9+35/60+28/3600)</f>
        <v>9.5911111111111111</v>
      </c>
      <c r="R10970" s="8">
        <v>99</v>
      </c>
      <c r="S10970" s="8">
        <v>14.1</v>
      </c>
      <c r="T10970" s="8">
        <v>99</v>
      </c>
      <c r="U10970" s="8">
        <v>99</v>
      </c>
      <c r="Y10970" s="8" t="s">
        <v>46687</v>
      </c>
      <c r="Z10970" s="8" t="s">
        <v>46688</v>
      </c>
    </row>
    <row r="10971" spans="1:26" x14ac:dyDescent="0.2">
      <c r="A10971" s="8">
        <v>10970</v>
      </c>
      <c r="B10971" s="8" t="s">
        <v>46689</v>
      </c>
      <c r="C10971" s="8" t="s">
        <v>46689</v>
      </c>
      <c r="G10971" s="8">
        <v>20</v>
      </c>
      <c r="H10971" s="8" t="s">
        <v>21</v>
      </c>
      <c r="I10971" s="8" t="s">
        <v>72</v>
      </c>
      <c r="J10971" s="8" t="s">
        <v>72</v>
      </c>
      <c r="K10971" s="8" t="s">
        <v>5802</v>
      </c>
      <c r="L10971" s="8" t="s">
        <v>17287</v>
      </c>
      <c r="M10971" s="8" t="s">
        <v>17288</v>
      </c>
      <c r="N10971" s="8" t="s">
        <v>46690</v>
      </c>
      <c r="O10971" s="8">
        <f>12+18/60+49.5/3600</f>
        <v>12.313750000000001</v>
      </c>
      <c r="P10971" s="8" t="s">
        <v>46691</v>
      </c>
      <c r="Q10971" s="8">
        <f>+(8+14/60+2/3600)</f>
        <v>8.2338888888888881</v>
      </c>
      <c r="R10971" s="8">
        <v>99</v>
      </c>
      <c r="S10971" s="8">
        <v>99</v>
      </c>
      <c r="T10971" s="8">
        <v>99</v>
      </c>
      <c r="U10971" s="8">
        <v>99</v>
      </c>
      <c r="Y10971" s="8" t="s">
        <v>46692</v>
      </c>
      <c r="Z10971" s="8" t="s">
        <v>46693</v>
      </c>
    </row>
    <row r="10972" spans="1:26" x14ac:dyDescent="0.2">
      <c r="A10972" s="8">
        <v>10971</v>
      </c>
      <c r="B10972" s="8" t="s">
        <v>46694</v>
      </c>
      <c r="C10972" s="8" t="s">
        <v>46694</v>
      </c>
      <c r="G10972" s="8">
        <v>20</v>
      </c>
      <c r="H10972" s="8" t="s">
        <v>21</v>
      </c>
      <c r="I10972" s="8" t="s">
        <v>22</v>
      </c>
      <c r="J10972" s="8" t="s">
        <v>57</v>
      </c>
      <c r="K10972" s="8" t="s">
        <v>632</v>
      </c>
      <c r="L10972" s="8" t="s">
        <v>17287</v>
      </c>
      <c r="M10972" s="8" t="s">
        <v>17288</v>
      </c>
      <c r="N10972" s="8" t="s">
        <v>46695</v>
      </c>
      <c r="O10972" s="8">
        <f>12+18/60+50.8/3600</f>
        <v>12.314111111111112</v>
      </c>
      <c r="P10972" s="8" t="s">
        <v>46696</v>
      </c>
      <c r="Q10972" s="8">
        <f>+(7+51/60+41/3600)</f>
        <v>7.8613888888888885</v>
      </c>
      <c r="R10972" s="8">
        <v>13.8</v>
      </c>
      <c r="S10972" s="8">
        <v>14.7</v>
      </c>
      <c r="T10972" s="8">
        <v>0.9</v>
      </c>
      <c r="U10972" s="8">
        <v>14.4</v>
      </c>
      <c r="V10972" s="8">
        <v>1.4</v>
      </c>
      <c r="W10972" s="8">
        <v>1.4</v>
      </c>
      <c r="Y10972" s="8" t="s">
        <v>1511</v>
      </c>
      <c r="Z10972" s="8" t="s">
        <v>1512</v>
      </c>
    </row>
    <row r="10973" spans="1:26" x14ac:dyDescent="0.2">
      <c r="A10973" s="8">
        <v>10972</v>
      </c>
      <c r="B10973" s="8" t="s">
        <v>46697</v>
      </c>
      <c r="C10973" s="8" t="s">
        <v>46697</v>
      </c>
      <c r="G10973" s="8">
        <v>20</v>
      </c>
      <c r="H10973" s="8" t="s">
        <v>21</v>
      </c>
      <c r="I10973" s="8" t="s">
        <v>22</v>
      </c>
      <c r="J10973" s="8" t="s">
        <v>22</v>
      </c>
      <c r="K10973" s="8" t="s">
        <v>632</v>
      </c>
      <c r="L10973" s="8" t="s">
        <v>17287</v>
      </c>
      <c r="M10973" s="8" t="s">
        <v>17288</v>
      </c>
      <c r="N10973" s="8" t="s">
        <v>46695</v>
      </c>
      <c r="O10973" s="8">
        <f>12+18/60+50.8/3600</f>
        <v>12.314111111111112</v>
      </c>
      <c r="P10973" s="8" t="s">
        <v>46696</v>
      </c>
      <c r="Q10973" s="8">
        <f>+(7+51/60+41/3600)</f>
        <v>7.8613888888888885</v>
      </c>
      <c r="R10973" s="8">
        <v>13.8</v>
      </c>
      <c r="S10973" s="8">
        <v>14.7</v>
      </c>
      <c r="T10973" s="8">
        <v>0.9</v>
      </c>
      <c r="U10973" s="8">
        <v>14.4</v>
      </c>
      <c r="V10973" s="8">
        <v>1.4</v>
      </c>
      <c r="W10973" s="8">
        <v>1.4</v>
      </c>
      <c r="Y10973" s="8" t="s">
        <v>12012</v>
      </c>
      <c r="Z10973" s="8" t="s">
        <v>31580</v>
      </c>
    </row>
    <row r="10974" spans="1:26" x14ac:dyDescent="0.2">
      <c r="A10974" s="8">
        <v>10973</v>
      </c>
      <c r="B10974" s="8" t="s">
        <v>46698</v>
      </c>
      <c r="C10974" s="8" t="s">
        <v>46698</v>
      </c>
      <c r="G10974" s="8">
        <v>20</v>
      </c>
      <c r="H10974" s="8" t="s">
        <v>21</v>
      </c>
      <c r="I10974" s="8" t="s">
        <v>72</v>
      </c>
      <c r="J10974" s="8" t="s">
        <v>72</v>
      </c>
      <c r="K10974" s="8" t="s">
        <v>1802</v>
      </c>
      <c r="L10974" s="8" t="s">
        <v>17287</v>
      </c>
      <c r="M10974" s="8" t="s">
        <v>17288</v>
      </c>
      <c r="N10974" s="8" t="s">
        <v>46699</v>
      </c>
      <c r="O10974" s="8">
        <f>12+18/60+54.6/3600</f>
        <v>12.315166666666668</v>
      </c>
      <c r="P10974" s="8" t="s">
        <v>46700</v>
      </c>
      <c r="Q10974" s="8">
        <f>+(7+38/60+20/3600)</f>
        <v>7.6388888888888884</v>
      </c>
      <c r="R10974" s="8">
        <v>99</v>
      </c>
      <c r="S10974" s="8">
        <v>99</v>
      </c>
      <c r="T10974" s="8">
        <v>99</v>
      </c>
      <c r="U10974" s="8">
        <v>99</v>
      </c>
      <c r="Y10974" s="8" t="s">
        <v>35064</v>
      </c>
      <c r="Z10974" s="8" t="s">
        <v>35065</v>
      </c>
    </row>
    <row r="10975" spans="1:26" x14ac:dyDescent="0.2">
      <c r="A10975" s="8">
        <v>10974</v>
      </c>
      <c r="B10975" s="8" t="s">
        <v>46701</v>
      </c>
      <c r="C10975" s="8" t="s">
        <v>46701</v>
      </c>
      <c r="G10975" s="8">
        <v>20</v>
      </c>
      <c r="H10975" s="8" t="s">
        <v>21</v>
      </c>
      <c r="I10975" s="8" t="s">
        <v>22</v>
      </c>
      <c r="J10975" s="8" t="s">
        <v>22</v>
      </c>
      <c r="K10975" s="8" t="s">
        <v>632</v>
      </c>
      <c r="L10975" s="8" t="s">
        <v>17287</v>
      </c>
      <c r="M10975" s="8" t="s">
        <v>17288</v>
      </c>
      <c r="N10975" s="8" t="s">
        <v>46702</v>
      </c>
      <c r="O10975" s="8">
        <f>12+18/60+56/3600</f>
        <v>12.315555555555557</v>
      </c>
      <c r="P10975" s="8" t="s">
        <v>46703</v>
      </c>
      <c r="Q10975" s="8">
        <f>+(8+57/60+44/3600)</f>
        <v>8.9622222222222216</v>
      </c>
      <c r="R10975" s="8">
        <v>13.8</v>
      </c>
      <c r="S10975" s="8">
        <v>14.7</v>
      </c>
      <c r="T10975" s="8">
        <v>0.9</v>
      </c>
      <c r="U10975" s="8">
        <v>12</v>
      </c>
      <c r="V10975" s="8">
        <v>0.7</v>
      </c>
      <c r="W10975" s="8">
        <v>0.3</v>
      </c>
      <c r="X10975" s="8">
        <v>175</v>
      </c>
      <c r="Y10975" s="8" t="s">
        <v>46704</v>
      </c>
      <c r="Z10975" s="8" t="s">
        <v>46705</v>
      </c>
    </row>
    <row r="10976" spans="1:26" x14ac:dyDescent="0.2">
      <c r="A10976" s="8">
        <v>10975</v>
      </c>
      <c r="B10976" s="8" t="s">
        <v>46706</v>
      </c>
      <c r="C10976" s="8" t="s">
        <v>46706</v>
      </c>
      <c r="G10976" s="8">
        <v>20</v>
      </c>
      <c r="H10976" s="8" t="s">
        <v>21</v>
      </c>
      <c r="I10976" s="8" t="s">
        <v>22</v>
      </c>
      <c r="J10976" s="8" t="s">
        <v>22</v>
      </c>
      <c r="K10976" s="8" t="s">
        <v>1174</v>
      </c>
      <c r="L10976" s="8" t="s">
        <v>18289</v>
      </c>
      <c r="M10976" s="8" t="s">
        <v>18290</v>
      </c>
      <c r="N10976" s="8" t="s">
        <v>46707</v>
      </c>
      <c r="O10976" s="8">
        <f>12+18/60+53/3600</f>
        <v>12.314722222222223</v>
      </c>
      <c r="P10976" s="8" t="s">
        <v>46708</v>
      </c>
      <c r="Q10976" s="8">
        <f>+(27+29/60+31/3600)</f>
        <v>27.491944444444446</v>
      </c>
      <c r="R10976" s="8">
        <v>15.7</v>
      </c>
      <c r="S10976" s="8">
        <v>16.5</v>
      </c>
      <c r="T10976" s="8">
        <v>0.8</v>
      </c>
      <c r="U10976" s="8">
        <v>13.2</v>
      </c>
      <c r="V10976" s="8">
        <v>0.4</v>
      </c>
      <c r="W10976" s="8">
        <v>0.3</v>
      </c>
      <c r="X10976" s="8">
        <v>130</v>
      </c>
      <c r="Y10976" s="8" t="s">
        <v>5139</v>
      </c>
      <c r="Z10976" s="8" t="s">
        <v>5140</v>
      </c>
    </row>
    <row r="10977" spans="1:26" x14ac:dyDescent="0.2">
      <c r="A10977" s="8">
        <v>10976</v>
      </c>
      <c r="B10977" s="8" t="s">
        <v>46709</v>
      </c>
      <c r="C10977" s="8" t="s">
        <v>46709</v>
      </c>
      <c r="G10977" s="8">
        <v>20</v>
      </c>
      <c r="H10977" s="8" t="s">
        <v>21</v>
      </c>
      <c r="I10977" s="8" t="s">
        <v>22</v>
      </c>
      <c r="J10977" s="8" t="s">
        <v>22</v>
      </c>
      <c r="K10977" s="8" t="s">
        <v>64</v>
      </c>
      <c r="L10977" s="8" t="s">
        <v>17287</v>
      </c>
      <c r="M10977" s="8" t="s">
        <v>17288</v>
      </c>
      <c r="N10977" s="8" t="s">
        <v>46710</v>
      </c>
      <c r="O10977" s="8">
        <f>12+18/60+57.2/3600</f>
        <v>12.315888888888889</v>
      </c>
      <c r="P10977" s="8" t="s">
        <v>46711</v>
      </c>
      <c r="Q10977" s="8">
        <f>+(6+11/60+1/3600)</f>
        <v>6.1836111111111114</v>
      </c>
      <c r="R10977" s="8">
        <v>14.3</v>
      </c>
      <c r="S10977" s="8">
        <v>15</v>
      </c>
      <c r="T10977" s="8">
        <v>0.7</v>
      </c>
      <c r="U10977" s="8">
        <v>12.7</v>
      </c>
      <c r="V10977" s="8">
        <v>0.9</v>
      </c>
      <c r="W10977" s="8">
        <v>0.3</v>
      </c>
      <c r="X10977" s="8">
        <v>32</v>
      </c>
      <c r="Y10977" s="8" t="s">
        <v>2802</v>
      </c>
      <c r="Z10977" s="8" t="s">
        <v>1021</v>
      </c>
    </row>
    <row r="10978" spans="1:26" x14ac:dyDescent="0.2">
      <c r="A10978" s="8">
        <v>10977</v>
      </c>
      <c r="B10978" s="8" t="s">
        <v>46712</v>
      </c>
      <c r="C10978" s="8" t="s">
        <v>46712</v>
      </c>
      <c r="G10978" s="8">
        <v>20</v>
      </c>
      <c r="H10978" s="8" t="s">
        <v>21</v>
      </c>
      <c r="I10978" s="8" t="s">
        <v>22</v>
      </c>
      <c r="J10978" s="8" t="s">
        <v>22</v>
      </c>
      <c r="K10978" s="8" t="s">
        <v>160</v>
      </c>
      <c r="L10978" s="8" t="s">
        <v>17287</v>
      </c>
      <c r="M10978" s="8" t="s">
        <v>17288</v>
      </c>
      <c r="N10978" s="8" t="s">
        <v>46699</v>
      </c>
      <c r="O10978" s="8">
        <f>12+18/60+54.6/3600</f>
        <v>12.315166666666668</v>
      </c>
      <c r="P10978" s="8" t="s">
        <v>46713</v>
      </c>
      <c r="Q10978" s="8">
        <f>+(12+28/60+10/3600)</f>
        <v>12.469444444444445</v>
      </c>
      <c r="R10978" s="8">
        <v>15.6</v>
      </c>
      <c r="S10978" s="8">
        <v>16.3</v>
      </c>
      <c r="T10978" s="8">
        <v>0.7</v>
      </c>
      <c r="U10978" s="8">
        <v>13.1</v>
      </c>
      <c r="V10978" s="8">
        <v>1.1000000000000001</v>
      </c>
      <c r="W10978" s="8">
        <v>0.1</v>
      </c>
      <c r="X10978" s="8">
        <v>44</v>
      </c>
      <c r="Y10978" s="8" t="s">
        <v>46714</v>
      </c>
      <c r="Z10978" s="8" t="s">
        <v>46715</v>
      </c>
    </row>
    <row r="10979" spans="1:26" x14ac:dyDescent="0.2">
      <c r="A10979" s="8">
        <v>10978</v>
      </c>
      <c r="B10979" s="8" t="s">
        <v>46716</v>
      </c>
      <c r="C10979" s="8" t="s">
        <v>46716</v>
      </c>
      <c r="E10979" s="8">
        <v>1</v>
      </c>
      <c r="G10979" s="8">
        <v>20</v>
      </c>
      <c r="H10979" s="8" t="s">
        <v>21</v>
      </c>
      <c r="I10979" s="8" t="s">
        <v>22</v>
      </c>
      <c r="J10979" s="8" t="s">
        <v>22</v>
      </c>
      <c r="K10979" s="8" t="s">
        <v>449</v>
      </c>
      <c r="L10979" s="8" t="s">
        <v>17287</v>
      </c>
      <c r="M10979" s="8" t="s">
        <v>17288</v>
      </c>
      <c r="N10979" s="8" t="s">
        <v>19314</v>
      </c>
      <c r="O10979" s="8">
        <f>12+18/60+56.1/3600</f>
        <v>12.315583333333334</v>
      </c>
      <c r="P10979" s="8" t="s">
        <v>46717</v>
      </c>
      <c r="Q10979" s="8">
        <f>+(12+26/60+43/3600)</f>
        <v>12.445277777777777</v>
      </c>
      <c r="R10979" s="8">
        <v>15.4</v>
      </c>
      <c r="S10979" s="8">
        <v>16.2</v>
      </c>
      <c r="T10979" s="8">
        <v>0.8</v>
      </c>
      <c r="U10979" s="8">
        <v>12.2</v>
      </c>
      <c r="V10979" s="8">
        <v>0.3</v>
      </c>
      <c r="W10979" s="8">
        <v>0.2</v>
      </c>
      <c r="X10979" s="8">
        <v>60</v>
      </c>
      <c r="Y10979" s="8" t="s">
        <v>46718</v>
      </c>
      <c r="Z10979" s="8" t="s">
        <v>46719</v>
      </c>
    </row>
    <row r="10980" spans="1:26" x14ac:dyDescent="0.2">
      <c r="A10980" s="8">
        <v>10979</v>
      </c>
      <c r="B10980" s="8" t="s">
        <v>46720</v>
      </c>
      <c r="C10980" s="8" t="s">
        <v>46720</v>
      </c>
      <c r="G10980" s="8">
        <v>20</v>
      </c>
      <c r="H10980" s="8" t="s">
        <v>21</v>
      </c>
      <c r="I10980" s="8" t="s">
        <v>72</v>
      </c>
      <c r="J10980" s="8" t="s">
        <v>72</v>
      </c>
      <c r="K10980" s="8" t="s">
        <v>20</v>
      </c>
      <c r="L10980" s="8" t="s">
        <v>17287</v>
      </c>
      <c r="M10980" s="8" t="s">
        <v>17288</v>
      </c>
      <c r="N10980" s="8" t="s">
        <v>46721</v>
      </c>
      <c r="O10980" s="8">
        <f>12+19/60+0.7/3600</f>
        <v>12.316861111111111</v>
      </c>
      <c r="P10980" s="8" t="s">
        <v>46722</v>
      </c>
      <c r="Q10980" s="8">
        <f>+(9+7/60+37/3600)</f>
        <v>9.1269444444444456</v>
      </c>
      <c r="R10980" s="8">
        <v>99</v>
      </c>
      <c r="S10980" s="8">
        <v>15</v>
      </c>
      <c r="T10980" s="8">
        <v>99</v>
      </c>
      <c r="U10980" s="8">
        <v>99</v>
      </c>
      <c r="Y10980" s="8" t="s">
        <v>266</v>
      </c>
      <c r="Z10980" s="8" t="s">
        <v>267</v>
      </c>
    </row>
    <row r="10981" spans="1:26" x14ac:dyDescent="0.2">
      <c r="A10981" s="8">
        <v>10980</v>
      </c>
      <c r="B10981" s="8" t="s">
        <v>46723</v>
      </c>
      <c r="C10981" s="8" t="s">
        <v>46723</v>
      </c>
      <c r="G10981" s="8">
        <v>20</v>
      </c>
      <c r="H10981" s="8" t="s">
        <v>21</v>
      </c>
      <c r="I10981" s="8" t="s">
        <v>329</v>
      </c>
      <c r="J10981" s="8" t="s">
        <v>329</v>
      </c>
      <c r="K10981" s="8" t="s">
        <v>329</v>
      </c>
      <c r="L10981" s="8" t="s">
        <v>18289</v>
      </c>
      <c r="M10981" s="8" t="s">
        <v>18290</v>
      </c>
      <c r="N10981" s="8" t="s">
        <v>46724</v>
      </c>
      <c r="O10981" s="8">
        <f>12+18/60+57.6/3600</f>
        <v>12.316000000000001</v>
      </c>
      <c r="P10981" s="8" t="s">
        <v>46725</v>
      </c>
      <c r="Q10981" s="8">
        <f>+(27+7/60+48/3600)</f>
        <v>27.13</v>
      </c>
      <c r="R10981" s="8">
        <v>99</v>
      </c>
      <c r="S10981" s="8">
        <v>99</v>
      </c>
      <c r="T10981" s="8">
        <v>99</v>
      </c>
      <c r="U10981" s="8">
        <v>99</v>
      </c>
      <c r="Y10981" s="8" t="s">
        <v>46726</v>
      </c>
      <c r="Z10981" s="8" t="s">
        <v>46727</v>
      </c>
    </row>
    <row r="10982" spans="1:26" x14ac:dyDescent="0.2">
      <c r="A10982" s="8">
        <v>10981</v>
      </c>
      <c r="B10982" s="8" t="s">
        <v>46728</v>
      </c>
      <c r="C10982" s="8" t="s">
        <v>46728</v>
      </c>
      <c r="G10982" s="8">
        <v>20</v>
      </c>
      <c r="H10982" s="8" t="s">
        <v>21</v>
      </c>
      <c r="I10982" s="8" t="s">
        <v>22</v>
      </c>
      <c r="J10982" s="8" t="s">
        <v>22</v>
      </c>
      <c r="K10982" s="8" t="s">
        <v>37</v>
      </c>
      <c r="L10982" s="8" t="s">
        <v>18289</v>
      </c>
      <c r="M10982" s="8" t="s">
        <v>18290</v>
      </c>
      <c r="N10982" s="8" t="s">
        <v>46729</v>
      </c>
      <c r="O10982" s="8">
        <f>12+18/60+58.5/3600</f>
        <v>12.31625</v>
      </c>
      <c r="P10982" s="8" t="s">
        <v>46730</v>
      </c>
      <c r="Q10982" s="8">
        <f>+(24+11/60+11/3600)</f>
        <v>24.186388888888889</v>
      </c>
      <c r="R10982" s="8">
        <v>14.5</v>
      </c>
      <c r="S10982" s="8">
        <v>15.5</v>
      </c>
      <c r="T10982" s="8">
        <v>1</v>
      </c>
      <c r="U10982" s="8">
        <v>13</v>
      </c>
      <c r="V10982" s="8">
        <v>0.9</v>
      </c>
      <c r="W10982" s="8">
        <v>0.3</v>
      </c>
      <c r="X10982" s="8">
        <v>35</v>
      </c>
      <c r="Y10982" s="8" t="s">
        <v>2641</v>
      </c>
      <c r="Z10982" s="8" t="s">
        <v>2642</v>
      </c>
    </row>
    <row r="10983" spans="1:26" x14ac:dyDescent="0.2">
      <c r="A10983" s="8">
        <v>10982</v>
      </c>
      <c r="B10983" s="8" t="s">
        <v>46731</v>
      </c>
      <c r="C10983" s="8" t="s">
        <v>46731</v>
      </c>
      <c r="E10983" s="8">
        <v>2</v>
      </c>
      <c r="G10983" s="8">
        <v>20</v>
      </c>
      <c r="H10983" s="8" t="s">
        <v>21</v>
      </c>
      <c r="I10983" s="8" t="s">
        <v>22</v>
      </c>
      <c r="J10983" s="8" t="s">
        <v>22</v>
      </c>
      <c r="K10983" s="8" t="s">
        <v>42060</v>
      </c>
      <c r="L10983" s="8" t="s">
        <v>18289</v>
      </c>
      <c r="M10983" s="8" t="s">
        <v>18290</v>
      </c>
      <c r="N10983" s="8" t="s">
        <v>46732</v>
      </c>
      <c r="O10983" s="8">
        <f>12+19/60+5.1/3600</f>
        <v>12.318083333333334</v>
      </c>
      <c r="P10983" s="8" t="s">
        <v>46733</v>
      </c>
      <c r="Q10983" s="8">
        <f>+(13+58/60+50/3600)</f>
        <v>13.980555555555556</v>
      </c>
      <c r="R10983" s="8">
        <v>14.5</v>
      </c>
      <c r="S10983" s="8">
        <v>15.3</v>
      </c>
      <c r="T10983" s="8">
        <v>0.8</v>
      </c>
      <c r="U10983" s="8">
        <v>13</v>
      </c>
      <c r="V10983" s="8">
        <v>0.7</v>
      </c>
      <c r="W10983" s="8">
        <v>0.4</v>
      </c>
      <c r="X10983" s="8">
        <v>135</v>
      </c>
      <c r="Y10983" s="8" t="s">
        <v>46390</v>
      </c>
      <c r="Z10983" s="8" t="s">
        <v>46391</v>
      </c>
    </row>
    <row r="10984" spans="1:26" x14ac:dyDescent="0.2">
      <c r="A10984" s="8">
        <v>10983</v>
      </c>
      <c r="B10984" s="8" t="s">
        <v>46734</v>
      </c>
      <c r="C10984" s="8" t="s">
        <v>46734</v>
      </c>
      <c r="G10984" s="8">
        <v>20</v>
      </c>
      <c r="H10984" s="8" t="s">
        <v>21</v>
      </c>
      <c r="I10984" s="8" t="s">
        <v>22</v>
      </c>
      <c r="J10984" s="8" t="s">
        <v>22</v>
      </c>
      <c r="K10984" s="8" t="s">
        <v>476</v>
      </c>
      <c r="L10984" s="8" t="s">
        <v>18289</v>
      </c>
      <c r="M10984" s="8" t="s">
        <v>18290</v>
      </c>
      <c r="N10984" s="8" t="s">
        <v>46735</v>
      </c>
      <c r="O10984" s="8">
        <f>12+19/60+5.4/3600</f>
        <v>12.318166666666666</v>
      </c>
      <c r="P10984" s="8" t="s">
        <v>46736</v>
      </c>
      <c r="Q10984" s="8">
        <f>+(27+17/60+53/3600)</f>
        <v>27.298055555555557</v>
      </c>
      <c r="R10984" s="8">
        <v>14.7</v>
      </c>
      <c r="S10984" s="8">
        <v>15.6</v>
      </c>
      <c r="T10984" s="8">
        <v>0.9</v>
      </c>
      <c r="U10984" s="8">
        <v>13</v>
      </c>
      <c r="V10984" s="8">
        <v>0.6</v>
      </c>
      <c r="W10984" s="8">
        <v>0.4</v>
      </c>
      <c r="X10984" s="8">
        <v>150</v>
      </c>
      <c r="Y10984" s="8" t="s">
        <v>170</v>
      </c>
      <c r="Z10984" s="8" t="s">
        <v>171</v>
      </c>
    </row>
    <row r="10985" spans="1:26" x14ac:dyDescent="0.2">
      <c r="A10985" s="8">
        <v>10984</v>
      </c>
      <c r="B10985" s="8" t="s">
        <v>46737</v>
      </c>
      <c r="C10985" s="8" t="s">
        <v>46737</v>
      </c>
      <c r="G10985" s="8">
        <v>20</v>
      </c>
      <c r="H10985" s="8" t="s">
        <v>21</v>
      </c>
      <c r="I10985" s="8" t="s">
        <v>22</v>
      </c>
      <c r="J10985" s="8" t="s">
        <v>22</v>
      </c>
      <c r="K10985" s="8" t="s">
        <v>476</v>
      </c>
      <c r="L10985" s="8" t="s">
        <v>18289</v>
      </c>
      <c r="M10985" s="8" t="s">
        <v>18290</v>
      </c>
      <c r="N10985" s="8" t="s">
        <v>46738</v>
      </c>
      <c r="O10985" s="8">
        <f>12+19/60+9.7/3600</f>
        <v>12.31936111111111</v>
      </c>
      <c r="P10985" s="8" t="s">
        <v>46739</v>
      </c>
      <c r="Q10985" s="8">
        <f>+(25+17/60+51/3600)</f>
        <v>25.297500000000003</v>
      </c>
      <c r="R10985" s="8">
        <v>15.5</v>
      </c>
      <c r="S10985" s="8">
        <v>16.3</v>
      </c>
      <c r="T10985" s="8">
        <v>0.8</v>
      </c>
      <c r="U10985" s="8">
        <v>13.4</v>
      </c>
      <c r="V10985" s="8">
        <v>0.4</v>
      </c>
      <c r="W10985" s="8">
        <v>0.4</v>
      </c>
      <c r="Y10985" s="8" t="s">
        <v>2248</v>
      </c>
      <c r="Z10985" s="8" t="s">
        <v>2249</v>
      </c>
    </row>
    <row r="10986" spans="1:26" x14ac:dyDescent="0.2">
      <c r="A10986" s="8">
        <v>10985</v>
      </c>
      <c r="B10986" s="8" t="s">
        <v>46740</v>
      </c>
      <c r="C10986" s="8" t="s">
        <v>46740</v>
      </c>
      <c r="G10986" s="8">
        <v>20</v>
      </c>
      <c r="H10986" s="8" t="s">
        <v>21</v>
      </c>
      <c r="I10986" s="8" t="s">
        <v>72</v>
      </c>
      <c r="J10986" s="8" t="s">
        <v>72</v>
      </c>
      <c r="K10986" s="8" t="s">
        <v>20</v>
      </c>
      <c r="L10986" s="8" t="s">
        <v>18289</v>
      </c>
      <c r="M10986" s="8" t="s">
        <v>18290</v>
      </c>
      <c r="N10986" s="8" t="s">
        <v>46741</v>
      </c>
      <c r="O10986" s="8">
        <f>12+19/60+10.5/3600</f>
        <v>12.319583333333332</v>
      </c>
      <c r="P10986" s="8" t="s">
        <v>46742</v>
      </c>
      <c r="Q10986" s="8">
        <f>+(24+17/60+39/3600)</f>
        <v>24.294166666666669</v>
      </c>
      <c r="R10986" s="8">
        <v>99</v>
      </c>
      <c r="S10986" s="8">
        <v>14.7</v>
      </c>
      <c r="T10986" s="8">
        <v>99</v>
      </c>
      <c r="U10986" s="8">
        <v>99</v>
      </c>
      <c r="Y10986" s="8" t="s">
        <v>2641</v>
      </c>
      <c r="Z10986" s="8" t="s">
        <v>2642</v>
      </c>
    </row>
    <row r="10987" spans="1:26" x14ac:dyDescent="0.2">
      <c r="A10987" s="8">
        <v>10986</v>
      </c>
      <c r="B10987" s="8" t="s">
        <v>46743</v>
      </c>
      <c r="C10987" s="8" t="s">
        <v>46743</v>
      </c>
      <c r="G10987" s="8">
        <v>20</v>
      </c>
      <c r="H10987" s="8" t="s">
        <v>21</v>
      </c>
      <c r="I10987" s="8" t="s">
        <v>22</v>
      </c>
      <c r="J10987" s="8" t="s">
        <v>22</v>
      </c>
      <c r="K10987" s="8" t="s">
        <v>476</v>
      </c>
      <c r="L10987" s="8" t="s">
        <v>18289</v>
      </c>
      <c r="M10987" s="8" t="s">
        <v>18290</v>
      </c>
      <c r="N10987" s="8" t="s">
        <v>46744</v>
      </c>
      <c r="O10987" s="8">
        <f>12+19/60+12.4/3600</f>
        <v>12.32011111111111</v>
      </c>
      <c r="P10987" s="8" t="s">
        <v>46745</v>
      </c>
      <c r="Q10987" s="8">
        <f>+(25+42/60+53/3600)</f>
        <v>25.714722222222221</v>
      </c>
      <c r="R10987" s="8">
        <v>15.3</v>
      </c>
      <c r="S10987" s="8">
        <v>16.100000000000001</v>
      </c>
      <c r="T10987" s="8">
        <v>0.8</v>
      </c>
      <c r="U10987" s="8">
        <v>13.2</v>
      </c>
      <c r="V10987" s="8">
        <v>0.4</v>
      </c>
      <c r="W10987" s="8">
        <v>0.4</v>
      </c>
      <c r="Y10987" s="8" t="s">
        <v>37602</v>
      </c>
      <c r="Z10987" s="8" t="s">
        <v>37603</v>
      </c>
    </row>
    <row r="10988" spans="1:26" x14ac:dyDescent="0.2">
      <c r="A10988" s="8">
        <v>10987</v>
      </c>
      <c r="B10988" s="8" t="s">
        <v>46746</v>
      </c>
      <c r="C10988" s="8" t="s">
        <v>46746</v>
      </c>
      <c r="E10988" s="8">
        <v>2</v>
      </c>
      <c r="G10988" s="8">
        <v>20</v>
      </c>
      <c r="H10988" s="8" t="s">
        <v>21</v>
      </c>
      <c r="I10988" s="8" t="s">
        <v>22</v>
      </c>
      <c r="J10988" s="8" t="s">
        <v>22</v>
      </c>
      <c r="K10988" s="8" t="s">
        <v>42125</v>
      </c>
      <c r="L10988" s="8" t="s">
        <v>17287</v>
      </c>
      <c r="M10988" s="8" t="s">
        <v>17288</v>
      </c>
      <c r="N10988" s="8" t="s">
        <v>46747</v>
      </c>
      <c r="O10988" s="8">
        <f>12+19/60+18.7/3600</f>
        <v>12.321861111111112</v>
      </c>
      <c r="P10988" s="8" t="s">
        <v>46748</v>
      </c>
      <c r="Q10988" s="8">
        <f>+(12+1/60+6/3600)</f>
        <v>12.018333333333334</v>
      </c>
      <c r="R10988" s="8">
        <v>15</v>
      </c>
      <c r="S10988" s="8">
        <v>16</v>
      </c>
      <c r="T10988" s="8">
        <v>1</v>
      </c>
      <c r="U10988" s="8">
        <v>11.8</v>
      </c>
      <c r="V10988" s="8">
        <v>0.3</v>
      </c>
      <c r="W10988" s="8">
        <v>0.2</v>
      </c>
      <c r="X10988" s="8">
        <v>70</v>
      </c>
      <c r="Y10988" s="8" t="s">
        <v>1948</v>
      </c>
      <c r="Z10988" s="8" t="s">
        <v>24023</v>
      </c>
    </row>
    <row r="10989" spans="1:26" x14ac:dyDescent="0.2">
      <c r="A10989" s="8">
        <v>10988</v>
      </c>
      <c r="B10989" s="8" t="s">
        <v>46749</v>
      </c>
      <c r="C10989" s="8" t="s">
        <v>46749</v>
      </c>
      <c r="G10989" s="8">
        <v>20</v>
      </c>
      <c r="H10989" s="8" t="s">
        <v>21</v>
      </c>
      <c r="I10989" s="8" t="s">
        <v>22</v>
      </c>
      <c r="J10989" s="8" t="s">
        <v>22</v>
      </c>
      <c r="K10989" s="8" t="s">
        <v>269</v>
      </c>
      <c r="L10989" s="8" t="s">
        <v>17287</v>
      </c>
      <c r="M10989" s="8" t="s">
        <v>17288</v>
      </c>
      <c r="N10989" s="8" t="s">
        <v>46750</v>
      </c>
      <c r="O10989" s="8">
        <f>12+19/60+21.6/3600</f>
        <v>12.322666666666667</v>
      </c>
      <c r="P10989" s="8" t="s">
        <v>34358</v>
      </c>
      <c r="Q10989" s="8">
        <f>+(7+52/60+14/3600)</f>
        <v>7.8705555555555557</v>
      </c>
      <c r="R10989" s="8">
        <v>14.1</v>
      </c>
      <c r="S10989" s="8">
        <v>14.7</v>
      </c>
      <c r="T10989" s="8">
        <v>0.6</v>
      </c>
      <c r="U10989" s="8">
        <v>13.2</v>
      </c>
      <c r="V10989" s="8">
        <v>0.7</v>
      </c>
      <c r="W10989" s="8">
        <v>0.7</v>
      </c>
      <c r="Y10989" s="8" t="s">
        <v>1511</v>
      </c>
      <c r="Z10989" s="8" t="s">
        <v>1512</v>
      </c>
    </row>
    <row r="10990" spans="1:26" x14ac:dyDescent="0.2">
      <c r="A10990" s="8">
        <v>10989</v>
      </c>
      <c r="B10990" s="8" t="s">
        <v>46751</v>
      </c>
      <c r="C10990" s="8" t="s">
        <v>46751</v>
      </c>
      <c r="G10990" s="8">
        <v>20</v>
      </c>
      <c r="H10990" s="8" t="s">
        <v>21</v>
      </c>
      <c r="I10990" s="8" t="s">
        <v>22</v>
      </c>
      <c r="J10990" s="8" t="s">
        <v>22</v>
      </c>
      <c r="K10990" s="8" t="s">
        <v>39271</v>
      </c>
      <c r="L10990" s="8" t="s">
        <v>17287</v>
      </c>
      <c r="M10990" s="8" t="s">
        <v>17288</v>
      </c>
      <c r="N10990" s="8" t="s">
        <v>46752</v>
      </c>
      <c r="O10990" s="8">
        <f>12+19/60+24.2/3600</f>
        <v>12.323388888888889</v>
      </c>
      <c r="P10990" s="8" t="s">
        <v>46753</v>
      </c>
      <c r="Q10990" s="8">
        <f>+(12+18/60+5/3600)</f>
        <v>12.301388888888889</v>
      </c>
      <c r="R10990" s="8">
        <v>14.2</v>
      </c>
      <c r="S10990" s="8">
        <v>15.1</v>
      </c>
      <c r="T10990" s="8">
        <v>0.9</v>
      </c>
      <c r="U10990" s="8">
        <v>13.4</v>
      </c>
      <c r="V10990" s="8">
        <v>0.8</v>
      </c>
      <c r="W10990" s="8">
        <v>0.7</v>
      </c>
      <c r="Y10990" s="8" t="s">
        <v>282</v>
      </c>
      <c r="Z10990" s="8" t="s">
        <v>283</v>
      </c>
    </row>
    <row r="10991" spans="1:26" x14ac:dyDescent="0.2">
      <c r="A10991" s="8">
        <v>10990</v>
      </c>
      <c r="B10991" s="8" t="s">
        <v>46754</v>
      </c>
      <c r="C10991" s="8" t="s">
        <v>46754</v>
      </c>
      <c r="G10991" s="8">
        <v>20</v>
      </c>
      <c r="H10991" s="8" t="s">
        <v>21</v>
      </c>
      <c r="I10991" s="8" t="s">
        <v>22</v>
      </c>
      <c r="J10991" s="8" t="s">
        <v>22</v>
      </c>
      <c r="K10991" s="8" t="s">
        <v>449</v>
      </c>
      <c r="L10991" s="8" t="s">
        <v>17287</v>
      </c>
      <c r="M10991" s="8" t="s">
        <v>17288</v>
      </c>
      <c r="N10991" s="8" t="s">
        <v>46755</v>
      </c>
      <c r="O10991" s="8">
        <f>12+19/60+28.5/3600</f>
        <v>12.324583333333333</v>
      </c>
      <c r="P10991" s="8" t="s">
        <v>46756</v>
      </c>
      <c r="Q10991" s="8">
        <f>+(7+47/60+56/3600)</f>
        <v>7.7988888888888885</v>
      </c>
      <c r="R10991" s="8">
        <v>14.5</v>
      </c>
      <c r="S10991" s="8">
        <v>15.3</v>
      </c>
      <c r="T10991" s="8">
        <v>0.8</v>
      </c>
      <c r="U10991" s="8">
        <v>11.6</v>
      </c>
      <c r="V10991" s="8">
        <v>0.4</v>
      </c>
      <c r="W10991" s="8">
        <v>0.2</v>
      </c>
      <c r="X10991" s="8">
        <v>45</v>
      </c>
      <c r="Y10991" s="8" t="s">
        <v>1511</v>
      </c>
      <c r="Z10991" s="8" t="s">
        <v>1512</v>
      </c>
    </row>
    <row r="10992" spans="1:26" x14ac:dyDescent="0.2">
      <c r="A10992" s="8">
        <v>10991</v>
      </c>
      <c r="B10992" s="8" t="s">
        <v>46757</v>
      </c>
      <c r="C10992" s="8" t="s">
        <v>46757</v>
      </c>
      <c r="G10992" s="8">
        <v>20</v>
      </c>
      <c r="H10992" s="8" t="s">
        <v>21</v>
      </c>
      <c r="I10992" s="8" t="s">
        <v>22</v>
      </c>
      <c r="J10992" s="8" t="s">
        <v>22</v>
      </c>
      <c r="K10992" s="8" t="s">
        <v>154</v>
      </c>
      <c r="L10992" s="8" t="s">
        <v>17287</v>
      </c>
      <c r="M10992" s="8" t="s">
        <v>17288</v>
      </c>
      <c r="N10992" s="8" t="s">
        <v>46758</v>
      </c>
      <c r="O10992" s="8">
        <f>12+19/60+32.8/3600</f>
        <v>12.325777777777777</v>
      </c>
      <c r="P10992" s="8" t="s">
        <v>46759</v>
      </c>
      <c r="Q10992" s="8">
        <f>+(9+24/60+53/3600)</f>
        <v>9.4147222222222222</v>
      </c>
      <c r="R10992" s="8">
        <v>14.2</v>
      </c>
      <c r="S10992" s="8">
        <v>15.1</v>
      </c>
      <c r="T10992" s="8">
        <v>0.9</v>
      </c>
      <c r="U10992" s="8">
        <v>12.8</v>
      </c>
      <c r="V10992" s="8">
        <v>0.8</v>
      </c>
      <c r="W10992" s="8">
        <v>0.4</v>
      </c>
      <c r="X10992" s="8">
        <v>126</v>
      </c>
      <c r="Y10992" s="8" t="s">
        <v>46228</v>
      </c>
      <c r="Z10992" s="8" t="s">
        <v>46229</v>
      </c>
    </row>
    <row r="10993" spans="1:26" x14ac:dyDescent="0.2">
      <c r="A10993" s="8">
        <v>10992</v>
      </c>
      <c r="B10993" s="8" t="s">
        <v>46760</v>
      </c>
      <c r="C10993" s="8" t="s">
        <v>46760</v>
      </c>
      <c r="G10993" s="8">
        <v>20</v>
      </c>
      <c r="H10993" s="8" t="s">
        <v>21</v>
      </c>
      <c r="I10993" s="8" t="s">
        <v>22</v>
      </c>
      <c r="J10993" s="8" t="s">
        <v>22</v>
      </c>
      <c r="K10993" s="8" t="s">
        <v>58</v>
      </c>
      <c r="L10993" s="8" t="s">
        <v>11765</v>
      </c>
      <c r="M10993" s="8" t="s">
        <v>11766</v>
      </c>
      <c r="N10993" s="8" t="s">
        <v>46761</v>
      </c>
      <c r="O10993" s="8">
        <f>12+19/60+35.9/3600</f>
        <v>12.326638888888889</v>
      </c>
      <c r="P10993" s="8" t="s">
        <v>46762</v>
      </c>
      <c r="Q10993" s="8">
        <f>-(26+8/60+41/3600)</f>
        <v>-26.144722222222221</v>
      </c>
      <c r="R10993" s="8">
        <v>12.5</v>
      </c>
      <c r="S10993" s="8">
        <v>13.5</v>
      </c>
      <c r="T10993" s="8">
        <v>1</v>
      </c>
      <c r="U10993" s="8">
        <v>13.5</v>
      </c>
      <c r="V10993" s="8">
        <v>1.8</v>
      </c>
      <c r="W10993" s="8">
        <v>1.2</v>
      </c>
      <c r="X10993" s="8">
        <v>52</v>
      </c>
      <c r="Y10993" s="8" t="s">
        <v>46763</v>
      </c>
      <c r="Z10993" s="8" t="s">
        <v>46764</v>
      </c>
    </row>
    <row r="10994" spans="1:26" x14ac:dyDescent="0.2">
      <c r="A10994" s="8">
        <v>10993</v>
      </c>
      <c r="B10994" s="8" t="s">
        <v>46765</v>
      </c>
      <c r="C10994" s="8" t="s">
        <v>46765</v>
      </c>
      <c r="G10994" s="8">
        <v>20</v>
      </c>
      <c r="H10994" s="8" t="s">
        <v>21</v>
      </c>
      <c r="I10994" s="8" t="s">
        <v>22</v>
      </c>
      <c r="J10994" s="8" t="s">
        <v>22</v>
      </c>
      <c r="K10994" s="8" t="s">
        <v>160</v>
      </c>
      <c r="L10994" s="8" t="s">
        <v>17287</v>
      </c>
      <c r="M10994" s="8" t="s">
        <v>17288</v>
      </c>
      <c r="N10994" s="8" t="s">
        <v>46766</v>
      </c>
      <c r="O10994" s="8">
        <f>12+19/60+36.8/3600</f>
        <v>12.326888888888888</v>
      </c>
      <c r="P10994" s="8" t="s">
        <v>46767</v>
      </c>
      <c r="Q10994" s="8">
        <f>+(5+23/60+54/3600)</f>
        <v>5.3983333333333334</v>
      </c>
      <c r="R10994" s="8">
        <v>14.3</v>
      </c>
      <c r="S10994" s="8">
        <v>15.1</v>
      </c>
      <c r="T10994" s="8">
        <v>0.8</v>
      </c>
      <c r="U10994" s="8">
        <v>12.7</v>
      </c>
      <c r="V10994" s="8">
        <v>0.5</v>
      </c>
      <c r="W10994" s="8">
        <v>0.5</v>
      </c>
      <c r="Y10994" s="8" t="s">
        <v>21</v>
      </c>
      <c r="Z10994" s="8" t="s">
        <v>46768</v>
      </c>
    </row>
    <row r="10995" spans="1:26" x14ac:dyDescent="0.2">
      <c r="A10995" s="8">
        <v>10994</v>
      </c>
      <c r="B10995" s="8" t="s">
        <v>46769</v>
      </c>
      <c r="C10995" s="8" t="s">
        <v>46769</v>
      </c>
      <c r="G10995" s="8">
        <v>20</v>
      </c>
      <c r="H10995" s="8" t="s">
        <v>21</v>
      </c>
      <c r="I10995" s="8" t="s">
        <v>22</v>
      </c>
      <c r="J10995" s="8" t="s">
        <v>22</v>
      </c>
      <c r="K10995" s="8" t="s">
        <v>1068</v>
      </c>
      <c r="L10995" s="8" t="s">
        <v>18289</v>
      </c>
      <c r="M10995" s="8" t="s">
        <v>18290</v>
      </c>
      <c r="N10995" s="8" t="s">
        <v>46770</v>
      </c>
      <c r="O10995" s="8">
        <f>12+19/60+33.9/3600</f>
        <v>12.326083333333333</v>
      </c>
      <c r="P10995" s="8" t="s">
        <v>46771</v>
      </c>
      <c r="Q10995" s="8">
        <f>+(25+35/60+11/3600)</f>
        <v>25.586388888888887</v>
      </c>
      <c r="R10995" s="8">
        <v>15.1</v>
      </c>
      <c r="S10995" s="8">
        <v>16.100000000000001</v>
      </c>
      <c r="T10995" s="8">
        <v>1</v>
      </c>
      <c r="U10995" s="8">
        <v>12.4</v>
      </c>
      <c r="V10995" s="8">
        <v>0.4</v>
      </c>
      <c r="W10995" s="8">
        <v>0.2</v>
      </c>
      <c r="X10995" s="8">
        <v>105</v>
      </c>
      <c r="Y10995" s="8" t="s">
        <v>2641</v>
      </c>
      <c r="Z10995" s="8" t="s">
        <v>2642</v>
      </c>
    </row>
    <row r="10996" spans="1:26" x14ac:dyDescent="0.2">
      <c r="A10996" s="8">
        <v>10995</v>
      </c>
      <c r="B10996" s="8" t="s">
        <v>46772</v>
      </c>
      <c r="C10996" s="8" t="s">
        <v>46772</v>
      </c>
      <c r="G10996" s="8">
        <v>20</v>
      </c>
      <c r="H10996" s="8" t="s">
        <v>21</v>
      </c>
      <c r="I10996" s="8" t="s">
        <v>22</v>
      </c>
      <c r="J10996" s="8" t="s">
        <v>22</v>
      </c>
      <c r="K10996" s="8" t="s">
        <v>37</v>
      </c>
      <c r="L10996" s="8" t="s">
        <v>17287</v>
      </c>
      <c r="M10996" s="8" t="s">
        <v>17288</v>
      </c>
      <c r="N10996" s="8" t="s">
        <v>46773</v>
      </c>
      <c r="O10996" s="8">
        <f>12+19/60+45.2/3600</f>
        <v>12.329222222222223</v>
      </c>
      <c r="P10996" s="8" t="s">
        <v>46774</v>
      </c>
      <c r="Q10996" s="8">
        <f>+(6+0/60+23/3600)</f>
        <v>6.006388888888889</v>
      </c>
      <c r="R10996" s="8">
        <v>14.2</v>
      </c>
      <c r="S10996" s="8">
        <v>15.2</v>
      </c>
      <c r="T10996" s="8">
        <v>1</v>
      </c>
      <c r="U10996" s="8">
        <v>13.7</v>
      </c>
      <c r="V10996" s="8">
        <v>1.2</v>
      </c>
      <c r="W10996" s="8">
        <v>0.6</v>
      </c>
      <c r="X10996" s="8">
        <v>35</v>
      </c>
      <c r="Y10996" s="8" t="s">
        <v>21</v>
      </c>
      <c r="Z10996" s="8" t="s">
        <v>46775</v>
      </c>
    </row>
    <row r="10997" spans="1:26" x14ac:dyDescent="0.2">
      <c r="A10997" s="8">
        <v>10996</v>
      </c>
      <c r="B10997" s="8" t="s">
        <v>46776</v>
      </c>
      <c r="C10997" s="8" t="s">
        <v>46776</v>
      </c>
      <c r="G10997" s="8">
        <v>20</v>
      </c>
      <c r="H10997" s="8" t="s">
        <v>21</v>
      </c>
      <c r="I10997" s="8" t="s">
        <v>22</v>
      </c>
      <c r="J10997" s="8" t="s">
        <v>22</v>
      </c>
      <c r="K10997" s="8" t="s">
        <v>1445</v>
      </c>
      <c r="L10997" s="8" t="s">
        <v>17287</v>
      </c>
      <c r="M10997" s="8" t="s">
        <v>17288</v>
      </c>
      <c r="N10997" s="8" t="s">
        <v>46777</v>
      </c>
      <c r="O10997" s="8">
        <f>12+19/60+44.2/3600</f>
        <v>12.328944444444444</v>
      </c>
      <c r="P10997" s="8" t="s">
        <v>46778</v>
      </c>
      <c r="Q10997" s="8">
        <f>+(9+8/60+55/3600)</f>
        <v>9.1486111111111104</v>
      </c>
      <c r="R10997" s="8">
        <v>14.6</v>
      </c>
      <c r="S10997" s="8">
        <v>15.4</v>
      </c>
      <c r="T10997" s="8">
        <v>0.8</v>
      </c>
      <c r="U10997" s="8">
        <v>13.1</v>
      </c>
      <c r="V10997" s="8">
        <v>0.6</v>
      </c>
      <c r="W10997" s="8">
        <v>0.5</v>
      </c>
      <c r="X10997" s="8">
        <v>39</v>
      </c>
      <c r="Y10997" s="8" t="s">
        <v>282</v>
      </c>
      <c r="Z10997" s="8" t="s">
        <v>283</v>
      </c>
    </row>
    <row r="10998" spans="1:26" x14ac:dyDescent="0.2">
      <c r="A10998" s="8">
        <v>10997</v>
      </c>
      <c r="B10998" s="8" t="s">
        <v>46779</v>
      </c>
      <c r="C10998" s="8" t="s">
        <v>46779</v>
      </c>
      <c r="G10998" s="8">
        <v>20</v>
      </c>
      <c r="H10998" s="8" t="s">
        <v>21</v>
      </c>
      <c r="I10998" s="8" t="s">
        <v>22</v>
      </c>
      <c r="J10998" s="8" t="s">
        <v>22</v>
      </c>
      <c r="K10998" s="8" t="s">
        <v>632</v>
      </c>
      <c r="L10998" s="8" t="s">
        <v>17287</v>
      </c>
      <c r="M10998" s="8" t="s">
        <v>17288</v>
      </c>
      <c r="N10998" s="8" t="s">
        <v>46780</v>
      </c>
      <c r="O10998" s="8">
        <f>12+19/60+47.9/3600</f>
        <v>12.329972222222223</v>
      </c>
      <c r="P10998" s="8" t="s">
        <v>46781</v>
      </c>
      <c r="Q10998" s="8">
        <f>+(12+25/60+20/3600)</f>
        <v>12.422222222222222</v>
      </c>
      <c r="R10998" s="8">
        <v>14.3</v>
      </c>
      <c r="S10998" s="8">
        <v>15.2</v>
      </c>
      <c r="T10998" s="8">
        <v>0.9</v>
      </c>
      <c r="U10998" s="8">
        <v>12.9</v>
      </c>
      <c r="V10998" s="8">
        <v>0.8</v>
      </c>
      <c r="W10998" s="8">
        <v>0.4</v>
      </c>
      <c r="X10998" s="8">
        <v>110</v>
      </c>
      <c r="Y10998" s="8" t="s">
        <v>46279</v>
      </c>
      <c r="Z10998" s="8" t="s">
        <v>46280</v>
      </c>
    </row>
    <row r="10999" spans="1:26" x14ac:dyDescent="0.2">
      <c r="A10999" s="8">
        <v>10998</v>
      </c>
      <c r="B10999" s="8" t="s">
        <v>46782</v>
      </c>
      <c r="C10999" s="8" t="s">
        <v>46782</v>
      </c>
      <c r="G10999" s="8">
        <v>20</v>
      </c>
      <c r="H10999" s="8" t="s">
        <v>21</v>
      </c>
      <c r="I10999" s="8" t="s">
        <v>72</v>
      </c>
      <c r="J10999" s="8" t="s">
        <v>72</v>
      </c>
      <c r="K10999" s="8" t="s">
        <v>20</v>
      </c>
      <c r="L10999" s="8" t="s">
        <v>17287</v>
      </c>
      <c r="M10999" s="8" t="s">
        <v>17288</v>
      </c>
      <c r="N10999" s="8" t="s">
        <v>46783</v>
      </c>
      <c r="O10999" s="8">
        <f>12+19/60+48.7/3600</f>
        <v>12.330194444444444</v>
      </c>
      <c r="P10999" s="8" t="s">
        <v>46784</v>
      </c>
      <c r="Q10999" s="8">
        <f>+(9+17/60+30/3600)</f>
        <v>9.2916666666666661</v>
      </c>
      <c r="R10999" s="8">
        <v>99</v>
      </c>
      <c r="S10999" s="8">
        <v>99</v>
      </c>
      <c r="T10999" s="8">
        <v>99</v>
      </c>
      <c r="U10999" s="8">
        <v>99</v>
      </c>
      <c r="Y10999" s="8" t="s">
        <v>46785</v>
      </c>
      <c r="Z10999" s="8" t="s">
        <v>46786</v>
      </c>
    </row>
    <row r="11000" spans="1:26" x14ac:dyDescent="0.2">
      <c r="A11000" s="8">
        <v>10999</v>
      </c>
      <c r="B11000" s="8" t="s">
        <v>46787</v>
      </c>
      <c r="C11000" s="8" t="s">
        <v>46787</v>
      </c>
      <c r="G11000" s="8">
        <v>20</v>
      </c>
      <c r="H11000" s="8" t="s">
        <v>21</v>
      </c>
      <c r="I11000" s="8" t="s">
        <v>22</v>
      </c>
      <c r="J11000" s="8" t="s">
        <v>22</v>
      </c>
      <c r="K11000" s="8" t="s">
        <v>37986</v>
      </c>
      <c r="L11000" s="8" t="s">
        <v>17287</v>
      </c>
      <c r="M11000" s="8" t="s">
        <v>17288</v>
      </c>
      <c r="N11000" s="8" t="s">
        <v>46788</v>
      </c>
      <c r="O11000" s="8">
        <f>12+19/60+53.2/3600</f>
        <v>12.331444444444443</v>
      </c>
      <c r="P11000" s="8" t="s">
        <v>46789</v>
      </c>
      <c r="Q11000" s="8">
        <f>+(11+40/60+28/3600)</f>
        <v>11.674444444444443</v>
      </c>
      <c r="R11000" s="8">
        <v>15.9</v>
      </c>
      <c r="S11000" s="8">
        <v>16.7</v>
      </c>
      <c r="T11000" s="8">
        <v>0.8</v>
      </c>
      <c r="U11000" s="8">
        <v>13.7</v>
      </c>
      <c r="V11000" s="8">
        <v>0.5</v>
      </c>
      <c r="W11000" s="8">
        <v>0.3</v>
      </c>
      <c r="X11000" s="8">
        <v>25</v>
      </c>
      <c r="Y11000" s="8" t="s">
        <v>46790</v>
      </c>
      <c r="Z11000" s="8" t="s">
        <v>46791</v>
      </c>
    </row>
    <row r="11001" spans="1:26" x14ac:dyDescent="0.2">
      <c r="A11001" s="8">
        <v>11000</v>
      </c>
      <c r="B11001" s="8" t="s">
        <v>46792</v>
      </c>
      <c r="C11001" s="8" t="s">
        <v>46792</v>
      </c>
      <c r="G11001" s="8">
        <v>20</v>
      </c>
      <c r="H11001" s="8" t="s">
        <v>21</v>
      </c>
      <c r="I11001" s="8" t="s">
        <v>72</v>
      </c>
      <c r="J11001" s="8" t="s">
        <v>72</v>
      </c>
      <c r="K11001" s="8" t="s">
        <v>20</v>
      </c>
      <c r="L11001" s="8" t="s">
        <v>17287</v>
      </c>
      <c r="M11001" s="8" t="s">
        <v>17288</v>
      </c>
      <c r="N11001" s="8" t="s">
        <v>46793</v>
      </c>
      <c r="O11001" s="8">
        <f>12+20/60+0/3600</f>
        <v>12.333333333333334</v>
      </c>
      <c r="P11001" s="8" t="s">
        <v>46794</v>
      </c>
      <c r="Q11001" s="8">
        <f>+(9+6/60+6/3600)</f>
        <v>9.1016666666666666</v>
      </c>
      <c r="R11001" s="8">
        <v>99</v>
      </c>
      <c r="S11001" s="8">
        <v>15.3</v>
      </c>
      <c r="T11001" s="8">
        <v>99</v>
      </c>
      <c r="U11001" s="8">
        <v>99</v>
      </c>
      <c r="Y11001" s="8" t="s">
        <v>46795</v>
      </c>
      <c r="Z11001" s="8" t="s">
        <v>33673</v>
      </c>
    </row>
    <row r="11002" spans="1:26" x14ac:dyDescent="0.2">
      <c r="A11002" s="8">
        <v>11001</v>
      </c>
      <c r="B11002" s="8" t="s">
        <v>46796</v>
      </c>
      <c r="C11002" s="8" t="s">
        <v>46796</v>
      </c>
      <c r="G11002" s="8">
        <v>20</v>
      </c>
      <c r="H11002" s="8" t="s">
        <v>21</v>
      </c>
      <c r="I11002" s="8" t="s">
        <v>72</v>
      </c>
      <c r="J11002" s="8" t="s">
        <v>72</v>
      </c>
      <c r="K11002" s="8" t="s">
        <v>20</v>
      </c>
      <c r="L11002" s="8" t="s">
        <v>17287</v>
      </c>
      <c r="M11002" s="8" t="s">
        <v>17288</v>
      </c>
      <c r="N11002" s="8" t="s">
        <v>46797</v>
      </c>
      <c r="O11002" s="8">
        <f>12+20/60+1.2/3600</f>
        <v>12.333666666666668</v>
      </c>
      <c r="P11002" s="8" t="s">
        <v>46798</v>
      </c>
      <c r="Q11002" s="8">
        <f>+(8+59/60+57/3600)</f>
        <v>8.9991666666666656</v>
      </c>
      <c r="R11002" s="8">
        <v>99</v>
      </c>
      <c r="S11002" s="8">
        <v>15</v>
      </c>
      <c r="T11002" s="8">
        <v>99</v>
      </c>
      <c r="U11002" s="8">
        <v>99</v>
      </c>
      <c r="Y11002" s="8" t="s">
        <v>46799</v>
      </c>
      <c r="Z11002" s="8" t="s">
        <v>46800</v>
      </c>
    </row>
    <row r="11003" spans="1:26" x14ac:dyDescent="0.2">
      <c r="A11003" s="8">
        <v>11002</v>
      </c>
      <c r="B11003" s="8" t="s">
        <v>46801</v>
      </c>
      <c r="C11003" s="8" t="s">
        <v>46801</v>
      </c>
      <c r="G11003" s="8">
        <v>20</v>
      </c>
      <c r="H11003" s="8" t="s">
        <v>21</v>
      </c>
      <c r="I11003" s="8" t="s">
        <v>72</v>
      </c>
      <c r="J11003" s="8" t="s">
        <v>72</v>
      </c>
      <c r="K11003" s="8" t="s">
        <v>20</v>
      </c>
      <c r="L11003" s="8" t="s">
        <v>17287</v>
      </c>
      <c r="M11003" s="8" t="s">
        <v>17288</v>
      </c>
      <c r="N11003" s="8" t="s">
        <v>46802</v>
      </c>
      <c r="O11003" s="8">
        <f>12+20/60+3.1/3600</f>
        <v>12.334194444444446</v>
      </c>
      <c r="P11003" s="8" t="s">
        <v>46803</v>
      </c>
      <c r="Q11003" s="8">
        <f>+(8+59/60+50/3600)</f>
        <v>8.9972222222222218</v>
      </c>
      <c r="R11003" s="8">
        <v>99</v>
      </c>
      <c r="S11003" s="8">
        <v>15.1</v>
      </c>
      <c r="T11003" s="8">
        <v>99</v>
      </c>
      <c r="U11003" s="8">
        <v>99</v>
      </c>
      <c r="Y11003" s="8" t="s">
        <v>46804</v>
      </c>
      <c r="Z11003" s="8" t="s">
        <v>46805</v>
      </c>
    </row>
    <row r="11004" spans="1:26" x14ac:dyDescent="0.2">
      <c r="A11004" s="8">
        <v>11003</v>
      </c>
      <c r="B11004" s="8" t="s">
        <v>46806</v>
      </c>
      <c r="C11004" s="8" t="s">
        <v>46806</v>
      </c>
      <c r="G11004" s="8">
        <v>20</v>
      </c>
      <c r="H11004" s="8" t="s">
        <v>21</v>
      </c>
      <c r="I11004" s="8" t="s">
        <v>72</v>
      </c>
      <c r="J11004" s="8" t="s">
        <v>72</v>
      </c>
      <c r="K11004" s="8" t="s">
        <v>73</v>
      </c>
      <c r="L11004" s="8" t="s">
        <v>17287</v>
      </c>
      <c r="M11004" s="8" t="s">
        <v>17288</v>
      </c>
      <c r="N11004" s="8" t="s">
        <v>46807</v>
      </c>
      <c r="O11004" s="8">
        <f>12+20/60+3.5/3600</f>
        <v>12.334305555555556</v>
      </c>
      <c r="P11004" s="8" t="s">
        <v>46808</v>
      </c>
      <c r="Q11004" s="8">
        <f>+(9+15/60+24/3600)</f>
        <v>9.2566666666666659</v>
      </c>
      <c r="R11004" s="8">
        <v>99</v>
      </c>
      <c r="S11004" s="8">
        <v>99</v>
      </c>
      <c r="T11004" s="8">
        <v>99</v>
      </c>
      <c r="U11004" s="8">
        <v>99</v>
      </c>
      <c r="Y11004" s="8" t="s">
        <v>46809</v>
      </c>
      <c r="Z11004" s="8" t="s">
        <v>46810</v>
      </c>
    </row>
    <row r="11005" spans="1:26" x14ac:dyDescent="0.2">
      <c r="A11005" s="8">
        <v>11004</v>
      </c>
      <c r="B11005" s="8" t="s">
        <v>46811</v>
      </c>
      <c r="C11005" s="8" t="s">
        <v>46811</v>
      </c>
      <c r="G11005" s="8">
        <v>20</v>
      </c>
      <c r="H11005" s="8" t="s">
        <v>21</v>
      </c>
      <c r="I11005" s="8" t="s">
        <v>72</v>
      </c>
      <c r="J11005" s="8" t="s">
        <v>72</v>
      </c>
      <c r="K11005" s="8" t="s">
        <v>73</v>
      </c>
      <c r="L11005" s="8" t="s">
        <v>18289</v>
      </c>
      <c r="M11005" s="8" t="s">
        <v>18290</v>
      </c>
      <c r="N11005" s="8" t="s">
        <v>46812</v>
      </c>
      <c r="O11005" s="8">
        <f>12+20/60+5.2/3600</f>
        <v>12.334777777777779</v>
      </c>
      <c r="P11005" s="8" t="s">
        <v>46813</v>
      </c>
      <c r="Q11005" s="8">
        <f>+(24+57/60+24/3600)</f>
        <v>24.956666666666667</v>
      </c>
      <c r="R11005" s="8">
        <v>99</v>
      </c>
      <c r="S11005" s="8">
        <v>99</v>
      </c>
      <c r="T11005" s="8">
        <v>99</v>
      </c>
      <c r="U11005" s="8">
        <v>99</v>
      </c>
      <c r="Y11005" s="8" t="s">
        <v>46814</v>
      </c>
      <c r="Z11005" s="8" t="s">
        <v>46815</v>
      </c>
    </row>
    <row r="11006" spans="1:26" x14ac:dyDescent="0.2">
      <c r="A11006" s="8">
        <v>11005</v>
      </c>
      <c r="B11006" s="8" t="s">
        <v>46816</v>
      </c>
      <c r="C11006" s="8" t="s">
        <v>46816</v>
      </c>
      <c r="G11006" s="8">
        <v>20</v>
      </c>
      <c r="H11006" s="8" t="s">
        <v>21</v>
      </c>
      <c r="I11006" s="8" t="s">
        <v>22</v>
      </c>
      <c r="J11006" s="8" t="s">
        <v>22</v>
      </c>
      <c r="K11006" s="8" t="s">
        <v>218</v>
      </c>
      <c r="L11006" s="8" t="s">
        <v>18289</v>
      </c>
      <c r="M11006" s="8" t="s">
        <v>18290</v>
      </c>
      <c r="N11006" s="8" t="s">
        <v>46817</v>
      </c>
      <c r="O11006" s="8">
        <f>12+20/60+4.7/3600</f>
        <v>12.33463888888889</v>
      </c>
      <c r="P11006" s="8" t="s">
        <v>15663</v>
      </c>
      <c r="Q11006" s="8">
        <f>+(27+58/60+30/3600)</f>
        <v>27.974999999999998</v>
      </c>
      <c r="R11006" s="8">
        <v>13.3</v>
      </c>
      <c r="S11006" s="8">
        <v>14.1</v>
      </c>
      <c r="T11006" s="8">
        <v>0.8</v>
      </c>
      <c r="U11006" s="8">
        <v>14</v>
      </c>
      <c r="V11006" s="8">
        <v>1.9</v>
      </c>
      <c r="W11006" s="8">
        <v>1.1000000000000001</v>
      </c>
      <c r="X11006" s="8">
        <v>5</v>
      </c>
      <c r="Y11006" s="8" t="s">
        <v>46818</v>
      </c>
      <c r="Z11006" s="8" t="s">
        <v>46819</v>
      </c>
    </row>
    <row r="11007" spans="1:26" x14ac:dyDescent="0.2">
      <c r="A11007" s="8">
        <v>11006</v>
      </c>
      <c r="B11007" s="8" t="s">
        <v>46820</v>
      </c>
      <c r="C11007" s="8" t="s">
        <v>46820</v>
      </c>
      <c r="G11007" s="8">
        <v>20</v>
      </c>
      <c r="H11007" s="8" t="s">
        <v>21</v>
      </c>
      <c r="I11007" s="8" t="s">
        <v>329</v>
      </c>
      <c r="J11007" s="8" t="s">
        <v>329</v>
      </c>
      <c r="K11007" s="8" t="s">
        <v>329</v>
      </c>
      <c r="L11007" s="8" t="s">
        <v>12015</v>
      </c>
      <c r="M11007" s="8" t="s">
        <v>12016</v>
      </c>
      <c r="N11007" s="8" t="s">
        <v>46821</v>
      </c>
      <c r="O11007" s="8">
        <f>12+19/60+54/3600</f>
        <v>12.331666666666667</v>
      </c>
      <c r="P11007" s="8" t="s">
        <v>46822</v>
      </c>
      <c r="Q11007" s="8">
        <f>+(60+41/60+42/3600)</f>
        <v>60.694999999999993</v>
      </c>
      <c r="R11007" s="8">
        <v>99</v>
      </c>
      <c r="S11007" s="8">
        <v>99</v>
      </c>
      <c r="T11007" s="8">
        <v>99</v>
      </c>
      <c r="U11007" s="8">
        <v>99</v>
      </c>
      <c r="Y11007" s="8" t="s">
        <v>46823</v>
      </c>
      <c r="Z11007" s="8" t="s">
        <v>46824</v>
      </c>
    </row>
    <row r="11008" spans="1:26" x14ac:dyDescent="0.2">
      <c r="A11008" s="8">
        <v>11007</v>
      </c>
      <c r="B11008" s="8" t="s">
        <v>46825</v>
      </c>
      <c r="C11008" s="8" t="s">
        <v>46825</v>
      </c>
      <c r="G11008" s="8">
        <v>20</v>
      </c>
      <c r="H11008" s="8" t="s">
        <v>21</v>
      </c>
      <c r="I11008" s="8" t="s">
        <v>22</v>
      </c>
      <c r="J11008" s="8" t="s">
        <v>22</v>
      </c>
      <c r="K11008" s="8" t="s">
        <v>46826</v>
      </c>
      <c r="L11008" s="8" t="s">
        <v>17287</v>
      </c>
      <c r="M11008" s="8" t="s">
        <v>17288</v>
      </c>
      <c r="N11008" s="8" t="s">
        <v>46827</v>
      </c>
      <c r="O11008" s="8">
        <f>12+20/60+18.8/3600</f>
        <v>12.338555555555557</v>
      </c>
      <c r="P11008" s="8" t="s">
        <v>46828</v>
      </c>
      <c r="Q11008" s="8">
        <f>+(9+32/60+43/3600)</f>
        <v>9.5452777777777769</v>
      </c>
      <c r="R11008" s="8">
        <v>13.7</v>
      </c>
      <c r="S11008" s="8">
        <v>14.3</v>
      </c>
      <c r="T11008" s="8">
        <v>0.6</v>
      </c>
      <c r="U11008" s="8">
        <v>13.6</v>
      </c>
      <c r="V11008" s="8">
        <v>1.4</v>
      </c>
      <c r="W11008" s="8">
        <v>0.7</v>
      </c>
      <c r="X11008" s="8">
        <v>90</v>
      </c>
      <c r="Y11008" s="8" t="s">
        <v>21</v>
      </c>
      <c r="Z11008" s="8" t="s">
        <v>46829</v>
      </c>
    </row>
    <row r="11009" spans="1:26" x14ac:dyDescent="0.2">
      <c r="A11009" s="8">
        <v>11008</v>
      </c>
      <c r="B11009" s="8" t="s">
        <v>46830</v>
      </c>
      <c r="C11009" s="8" t="s">
        <v>46830</v>
      </c>
      <c r="G11009" s="8">
        <v>20</v>
      </c>
      <c r="H11009" s="8" t="s">
        <v>21</v>
      </c>
      <c r="I11009" s="8" t="s">
        <v>22</v>
      </c>
      <c r="J11009" s="8" t="s">
        <v>22</v>
      </c>
      <c r="K11009" s="8" t="s">
        <v>1445</v>
      </c>
      <c r="L11009" s="8" t="s">
        <v>18289</v>
      </c>
      <c r="M11009" s="8" t="s">
        <v>18290</v>
      </c>
      <c r="N11009" s="8" t="s">
        <v>46831</v>
      </c>
      <c r="O11009" s="8">
        <f>12+20/60+18.5/3600</f>
        <v>12.338472222222222</v>
      </c>
      <c r="P11009" s="8" t="s">
        <v>46832</v>
      </c>
      <c r="Q11009" s="8">
        <f>+(27+55/60+11/3600)</f>
        <v>27.919722222222223</v>
      </c>
      <c r="R11009" s="8">
        <v>14.8</v>
      </c>
      <c r="S11009" s="8">
        <v>15.6</v>
      </c>
      <c r="T11009" s="8">
        <v>0.8</v>
      </c>
      <c r="U11009" s="8">
        <v>13.7</v>
      </c>
      <c r="V11009" s="8">
        <v>0.8</v>
      </c>
      <c r="W11009" s="8">
        <v>0.5</v>
      </c>
      <c r="X11009" s="8">
        <v>50</v>
      </c>
      <c r="Y11009" s="8" t="s">
        <v>46833</v>
      </c>
      <c r="Z11009" s="8" t="s">
        <v>46834</v>
      </c>
    </row>
    <row r="11010" spans="1:26" x14ac:dyDescent="0.2">
      <c r="A11010" s="8">
        <v>11009</v>
      </c>
      <c r="B11010" s="8" t="s">
        <v>46835</v>
      </c>
      <c r="C11010" s="8" t="s">
        <v>46835</v>
      </c>
      <c r="G11010" s="8">
        <v>20</v>
      </c>
      <c r="H11010" s="8" t="s">
        <v>21</v>
      </c>
      <c r="I11010" s="8" t="s">
        <v>22</v>
      </c>
      <c r="J11010" s="8" t="s">
        <v>22</v>
      </c>
      <c r="K11010" s="8" t="s">
        <v>382</v>
      </c>
      <c r="L11010" s="8" t="s">
        <v>18289</v>
      </c>
      <c r="M11010" s="8" t="s">
        <v>18290</v>
      </c>
      <c r="N11010" s="8" t="s">
        <v>46836</v>
      </c>
      <c r="O11010" s="8">
        <f>12+20/60+21.3/3600</f>
        <v>12.33925</v>
      </c>
      <c r="P11010" s="8" t="s">
        <v>46837</v>
      </c>
      <c r="Q11010" s="8">
        <f>+(25+35/60+58/3600)</f>
        <v>25.599444444444444</v>
      </c>
      <c r="R11010" s="8">
        <v>15</v>
      </c>
      <c r="S11010" s="8">
        <v>16</v>
      </c>
      <c r="T11010" s="8">
        <v>1</v>
      </c>
      <c r="U11010" s="8">
        <v>12</v>
      </c>
      <c r="V11010" s="8">
        <v>0.3</v>
      </c>
      <c r="W11010" s="8">
        <v>0.2</v>
      </c>
      <c r="X11010" s="8">
        <v>130</v>
      </c>
      <c r="Y11010" s="8" t="s">
        <v>115</v>
      </c>
      <c r="Z11010" s="8" t="s">
        <v>116</v>
      </c>
    </row>
    <row r="11011" spans="1:26" x14ac:dyDescent="0.2">
      <c r="A11011" s="8">
        <v>11010</v>
      </c>
      <c r="B11011" s="8" t="s">
        <v>46838</v>
      </c>
      <c r="C11011" s="8" t="s">
        <v>46838</v>
      </c>
      <c r="G11011" s="8">
        <v>20</v>
      </c>
      <c r="H11011" s="8" t="s">
        <v>21</v>
      </c>
      <c r="I11011" s="8" t="s">
        <v>22</v>
      </c>
      <c r="J11011" s="8" t="s">
        <v>22</v>
      </c>
      <c r="K11011" s="8" t="s">
        <v>396</v>
      </c>
      <c r="L11011" s="8" t="s">
        <v>17287</v>
      </c>
      <c r="M11011" s="8" t="s">
        <v>17288</v>
      </c>
      <c r="N11011" s="8" t="s">
        <v>46839</v>
      </c>
      <c r="O11011" s="8">
        <f>12+20/60+26.6/3600</f>
        <v>12.340722222222222</v>
      </c>
      <c r="P11011" s="8" t="s">
        <v>46840</v>
      </c>
      <c r="Q11011" s="8">
        <f>+(9+25/60+28/3600)</f>
        <v>9.4244444444444433</v>
      </c>
      <c r="R11011" s="8">
        <v>14.3</v>
      </c>
      <c r="S11011" s="8">
        <v>15.1</v>
      </c>
      <c r="T11011" s="8">
        <v>0.8</v>
      </c>
      <c r="U11011" s="8">
        <v>12.2</v>
      </c>
      <c r="V11011" s="8">
        <v>0.4</v>
      </c>
      <c r="W11011" s="8">
        <v>0.4</v>
      </c>
      <c r="Y11011" s="8" t="s">
        <v>2641</v>
      </c>
      <c r="Z11011" s="8" t="s">
        <v>2642</v>
      </c>
    </row>
    <row r="11012" spans="1:26" x14ac:dyDescent="0.2">
      <c r="A11012" s="8">
        <v>11011</v>
      </c>
      <c r="B11012" s="8" t="s">
        <v>46841</v>
      </c>
      <c r="C11012" s="8" t="s">
        <v>46841</v>
      </c>
      <c r="G11012" s="8">
        <v>20</v>
      </c>
      <c r="H11012" s="8" t="s">
        <v>21</v>
      </c>
      <c r="I11012" s="8" t="s">
        <v>22</v>
      </c>
      <c r="J11012" s="8" t="s">
        <v>22</v>
      </c>
      <c r="K11012" s="8" t="s">
        <v>818</v>
      </c>
      <c r="L11012" s="8" t="s">
        <v>18289</v>
      </c>
      <c r="M11012" s="8" t="s">
        <v>18290</v>
      </c>
      <c r="N11012" s="8" t="s">
        <v>46842</v>
      </c>
      <c r="O11012" s="8">
        <f>12+20/60+24/3600</f>
        <v>12.34</v>
      </c>
      <c r="P11012" s="8" t="s">
        <v>46843</v>
      </c>
      <c r="Q11012" s="8">
        <f>+(25+33/60+40/3600)</f>
        <v>25.561111111111114</v>
      </c>
      <c r="R11012" s="8">
        <v>13.7</v>
      </c>
      <c r="S11012" s="8">
        <v>14.7</v>
      </c>
      <c r="T11012" s="8">
        <v>1</v>
      </c>
      <c r="U11012" s="8">
        <v>13.1</v>
      </c>
      <c r="V11012" s="8">
        <v>0.8</v>
      </c>
      <c r="W11012" s="8">
        <v>0.7</v>
      </c>
      <c r="X11012" s="8">
        <v>60</v>
      </c>
      <c r="Y11012" s="8" t="s">
        <v>121</v>
      </c>
      <c r="Z11012" s="8" t="s">
        <v>122</v>
      </c>
    </row>
    <row r="11013" spans="1:26" x14ac:dyDescent="0.2">
      <c r="A11013" s="8">
        <v>11012</v>
      </c>
      <c r="B11013" s="8" t="s">
        <v>46844</v>
      </c>
      <c r="C11013" s="8" t="s">
        <v>46844</v>
      </c>
      <c r="G11013" s="8">
        <v>20</v>
      </c>
      <c r="H11013" s="8" t="s">
        <v>21</v>
      </c>
      <c r="I11013" s="8" t="s">
        <v>22</v>
      </c>
      <c r="J11013" s="8" t="s">
        <v>22</v>
      </c>
      <c r="K11013" s="8" t="s">
        <v>50</v>
      </c>
      <c r="L11013" s="8" t="s">
        <v>18289</v>
      </c>
      <c r="M11013" s="8" t="s">
        <v>18290</v>
      </c>
      <c r="N11013" s="8" t="s">
        <v>46845</v>
      </c>
      <c r="O11013" s="8">
        <f>12+20/60+24.5/3600</f>
        <v>12.340138888888889</v>
      </c>
      <c r="P11013" s="8" t="s">
        <v>46846</v>
      </c>
      <c r="Q11013" s="8">
        <f>+(27+49/60+9/3600)</f>
        <v>27.819166666666668</v>
      </c>
      <c r="R11013" s="8">
        <v>15.5</v>
      </c>
      <c r="S11013" s="8">
        <v>16.5</v>
      </c>
      <c r="T11013" s="8">
        <v>1</v>
      </c>
      <c r="U11013" s="8">
        <v>13.5</v>
      </c>
      <c r="V11013" s="8">
        <v>0.5</v>
      </c>
      <c r="W11013" s="8">
        <v>0.3</v>
      </c>
      <c r="X11013" s="8">
        <v>3</v>
      </c>
      <c r="Y11013" s="8" t="s">
        <v>5139</v>
      </c>
      <c r="Z11013" s="8" t="s">
        <v>5140</v>
      </c>
    </row>
    <row r="11014" spans="1:26" x14ac:dyDescent="0.2">
      <c r="A11014" s="8">
        <v>11013</v>
      </c>
      <c r="B11014" s="8" t="s">
        <v>46847</v>
      </c>
      <c r="C11014" s="8" t="s">
        <v>46847</v>
      </c>
      <c r="G11014" s="8">
        <v>20</v>
      </c>
      <c r="H11014" s="8" t="s">
        <v>21</v>
      </c>
      <c r="I11014" s="8" t="s">
        <v>22</v>
      </c>
      <c r="J11014" s="8" t="s">
        <v>22</v>
      </c>
      <c r="K11014" s="8" t="s">
        <v>91</v>
      </c>
      <c r="L11014" s="8" t="s">
        <v>17287</v>
      </c>
      <c r="M11014" s="8" t="s">
        <v>17288</v>
      </c>
      <c r="N11014" s="8" t="s">
        <v>46848</v>
      </c>
      <c r="O11014" s="8">
        <f>12+20/60+30.1/3600</f>
        <v>12.341694444444444</v>
      </c>
      <c r="P11014" s="8" t="s">
        <v>46849</v>
      </c>
      <c r="Q11014" s="8">
        <f>+(11+20/60+29/3600)</f>
        <v>11.34138888888889</v>
      </c>
      <c r="R11014" s="8">
        <v>14.2</v>
      </c>
      <c r="S11014" s="8">
        <v>15.1</v>
      </c>
      <c r="T11014" s="8">
        <v>0.9</v>
      </c>
      <c r="U11014" s="8">
        <v>11</v>
      </c>
      <c r="V11014" s="8">
        <v>0.3</v>
      </c>
      <c r="W11014" s="8">
        <v>0.2</v>
      </c>
      <c r="X11014" s="8">
        <v>90</v>
      </c>
      <c r="Y11014" s="8" t="s">
        <v>46850</v>
      </c>
      <c r="Z11014" s="8" t="s">
        <v>46851</v>
      </c>
    </row>
    <row r="11015" spans="1:26" x14ac:dyDescent="0.2">
      <c r="A11015" s="8">
        <v>11014</v>
      </c>
      <c r="B11015" s="8" t="s">
        <v>46852</v>
      </c>
      <c r="C11015" s="8" t="s">
        <v>46852</v>
      </c>
      <c r="G11015" s="8">
        <v>20</v>
      </c>
      <c r="H11015" s="8" t="s">
        <v>21</v>
      </c>
      <c r="I11015" s="8" t="s">
        <v>22</v>
      </c>
      <c r="J11015" s="8" t="s">
        <v>22</v>
      </c>
      <c r="K11015" s="8" t="s">
        <v>46409</v>
      </c>
      <c r="L11015" s="8" t="s">
        <v>17287</v>
      </c>
      <c r="M11015" s="8" t="s">
        <v>17288</v>
      </c>
      <c r="N11015" s="8" t="s">
        <v>46853</v>
      </c>
      <c r="O11015" s="8">
        <f>12+20/60+29.5/3600</f>
        <v>12.341527777777779</v>
      </c>
      <c r="P11015" s="8" t="s">
        <v>46854</v>
      </c>
      <c r="Q11015" s="8">
        <f>+(10+14/60+44/3600)</f>
        <v>10.245555555555555</v>
      </c>
      <c r="R11015" s="8">
        <v>14.4</v>
      </c>
      <c r="S11015" s="8">
        <v>15.2</v>
      </c>
      <c r="T11015" s="8">
        <v>0.8</v>
      </c>
      <c r="U11015" s="8">
        <v>13</v>
      </c>
      <c r="V11015" s="8">
        <v>0.8</v>
      </c>
      <c r="W11015" s="8">
        <v>0.4</v>
      </c>
      <c r="X11015" s="8">
        <v>135</v>
      </c>
      <c r="Y11015" s="8" t="s">
        <v>21</v>
      </c>
      <c r="Z11015" s="8" t="s">
        <v>46855</v>
      </c>
    </row>
    <row r="11016" spans="1:26" x14ac:dyDescent="0.2">
      <c r="A11016" s="8">
        <v>11015</v>
      </c>
      <c r="B11016" s="8" t="s">
        <v>46856</v>
      </c>
      <c r="C11016" s="8" t="s">
        <v>46856</v>
      </c>
      <c r="G11016" s="8">
        <v>20</v>
      </c>
      <c r="H11016" s="8" t="s">
        <v>21</v>
      </c>
      <c r="I11016" s="8" t="s">
        <v>22</v>
      </c>
      <c r="J11016" s="8" t="s">
        <v>22</v>
      </c>
      <c r="K11016" s="8" t="s">
        <v>46409</v>
      </c>
      <c r="L11016" s="8" t="s">
        <v>17287</v>
      </c>
      <c r="M11016" s="8" t="s">
        <v>17288</v>
      </c>
      <c r="N11016" s="8" t="s">
        <v>46857</v>
      </c>
      <c r="O11016" s="8">
        <f>12+20/60+33.3/3600</f>
        <v>12.342583333333334</v>
      </c>
      <c r="P11016" s="8" t="s">
        <v>46858</v>
      </c>
      <c r="Q11016" s="8">
        <f>+(9+51/60+14/3600)</f>
        <v>9.8538888888888891</v>
      </c>
      <c r="R11016" s="8">
        <v>14.5</v>
      </c>
      <c r="S11016" s="8">
        <v>15.3</v>
      </c>
      <c r="T11016" s="8">
        <v>0.8</v>
      </c>
      <c r="U11016" s="8">
        <v>11.9</v>
      </c>
      <c r="V11016" s="8">
        <v>0.5</v>
      </c>
      <c r="W11016" s="8">
        <v>0.2</v>
      </c>
      <c r="X11016" s="8">
        <v>50</v>
      </c>
      <c r="Y11016" s="8" t="s">
        <v>46850</v>
      </c>
      <c r="Z11016" s="8" t="s">
        <v>46851</v>
      </c>
    </row>
    <row r="11017" spans="1:26" x14ac:dyDescent="0.2">
      <c r="A11017" s="8">
        <v>11016</v>
      </c>
      <c r="B11017" s="8" t="s">
        <v>46859</v>
      </c>
      <c r="C11017" s="8" t="s">
        <v>46859</v>
      </c>
      <c r="G11017" s="8">
        <v>20</v>
      </c>
      <c r="H11017" s="8" t="s">
        <v>21</v>
      </c>
      <c r="I11017" s="8" t="s">
        <v>22</v>
      </c>
      <c r="J11017" s="8" t="s">
        <v>22</v>
      </c>
      <c r="K11017" s="8" t="s">
        <v>449</v>
      </c>
      <c r="L11017" s="8" t="s">
        <v>18289</v>
      </c>
      <c r="M11017" s="8" t="s">
        <v>18290</v>
      </c>
      <c r="N11017" s="8" t="s">
        <v>46860</v>
      </c>
      <c r="O11017" s="8">
        <f>12+20/60+30/3600</f>
        <v>12.341666666666667</v>
      </c>
      <c r="P11017" s="8" t="s">
        <v>46861</v>
      </c>
      <c r="Q11017" s="8">
        <f>+(25+30/60+55/3600)</f>
        <v>25.515277777777779</v>
      </c>
      <c r="R11017" s="8">
        <v>15.2</v>
      </c>
      <c r="S11017" s="8">
        <v>16</v>
      </c>
      <c r="T11017" s="8">
        <v>0.8</v>
      </c>
      <c r="U11017" s="8">
        <v>12.6</v>
      </c>
      <c r="V11017" s="8">
        <v>0.5</v>
      </c>
      <c r="W11017" s="8">
        <v>0.2</v>
      </c>
      <c r="X11017" s="8">
        <v>155</v>
      </c>
      <c r="Y11017" s="8" t="s">
        <v>115</v>
      </c>
      <c r="Z11017" s="8" t="s">
        <v>116</v>
      </c>
    </row>
    <row r="11018" spans="1:26" x14ac:dyDescent="0.2">
      <c r="A11018" s="8">
        <v>11017</v>
      </c>
      <c r="B11018" s="8" t="s">
        <v>46862</v>
      </c>
      <c r="C11018" s="8" t="s">
        <v>46862</v>
      </c>
      <c r="G11018" s="8">
        <v>20</v>
      </c>
      <c r="H11018" s="8" t="s">
        <v>21</v>
      </c>
      <c r="I11018" s="8" t="s">
        <v>329</v>
      </c>
      <c r="J11018" s="8" t="s">
        <v>329</v>
      </c>
      <c r="K11018" s="8" t="s">
        <v>329</v>
      </c>
      <c r="L11018" s="8" t="s">
        <v>18289</v>
      </c>
      <c r="M11018" s="8" t="s">
        <v>18290</v>
      </c>
      <c r="N11018" s="8" t="s">
        <v>46863</v>
      </c>
      <c r="O11018" s="8">
        <f>12+20/60+36/3600</f>
        <v>12.343333333333334</v>
      </c>
      <c r="P11018" s="8" t="s">
        <v>46864</v>
      </c>
      <c r="Q11018" s="8">
        <f>+(14+7/60+42/3600)</f>
        <v>14.128333333333334</v>
      </c>
      <c r="R11018" s="8">
        <v>99</v>
      </c>
      <c r="S11018" s="8">
        <v>99</v>
      </c>
      <c r="T11018" s="8">
        <v>99</v>
      </c>
      <c r="U11018" s="8">
        <v>99</v>
      </c>
      <c r="Y11018" s="8" t="s">
        <v>46865</v>
      </c>
      <c r="Z11018" s="8" t="s">
        <v>46866</v>
      </c>
    </row>
    <row r="11019" spans="1:26" x14ac:dyDescent="0.2">
      <c r="A11019" s="8">
        <v>11018</v>
      </c>
      <c r="B11019" s="8" t="s">
        <v>46867</v>
      </c>
      <c r="C11019" s="8" t="s">
        <v>46867</v>
      </c>
      <c r="G11019" s="8">
        <v>20</v>
      </c>
      <c r="H11019" s="8" t="s">
        <v>21</v>
      </c>
      <c r="I11019" s="8" t="s">
        <v>72</v>
      </c>
      <c r="J11019" s="8" t="s">
        <v>72</v>
      </c>
      <c r="K11019" s="8" t="s">
        <v>20</v>
      </c>
      <c r="L11019" s="8" t="s">
        <v>18289</v>
      </c>
      <c r="M11019" s="8" t="s">
        <v>18290</v>
      </c>
      <c r="N11019" s="8" t="s">
        <v>46868</v>
      </c>
      <c r="O11019" s="8">
        <f>12+20/60+35/3600</f>
        <v>12.343055555555557</v>
      </c>
      <c r="P11019" s="8" t="s">
        <v>46869</v>
      </c>
      <c r="Q11019" s="8">
        <f>+(26+10/60+12/3600)</f>
        <v>26.17</v>
      </c>
      <c r="R11019" s="8">
        <v>99</v>
      </c>
      <c r="S11019" s="8">
        <v>99</v>
      </c>
      <c r="T11019" s="8">
        <v>99</v>
      </c>
      <c r="U11019" s="8">
        <v>99</v>
      </c>
      <c r="Y11019" s="8" t="s">
        <v>46870</v>
      </c>
      <c r="Z11019" s="8" t="s">
        <v>45515</v>
      </c>
    </row>
    <row r="11020" spans="1:26" x14ac:dyDescent="0.2">
      <c r="A11020" s="8">
        <v>11019</v>
      </c>
      <c r="B11020" s="8" t="s">
        <v>46871</v>
      </c>
      <c r="C11020" s="8" t="s">
        <v>46871</v>
      </c>
      <c r="G11020" s="8">
        <v>20</v>
      </c>
      <c r="H11020" s="8" t="s">
        <v>21</v>
      </c>
      <c r="I11020" s="8" t="s">
        <v>22</v>
      </c>
      <c r="J11020" s="8" t="s">
        <v>22</v>
      </c>
      <c r="K11020" s="8" t="s">
        <v>460</v>
      </c>
      <c r="L11020" s="8" t="s">
        <v>18289</v>
      </c>
      <c r="M11020" s="8" t="s">
        <v>18290</v>
      </c>
      <c r="N11020" s="8" t="s">
        <v>46872</v>
      </c>
      <c r="O11020" s="8">
        <f>12+20/60+37.7/3600</f>
        <v>12.343805555555557</v>
      </c>
      <c r="P11020" s="8" t="s">
        <v>46873</v>
      </c>
      <c r="Q11020" s="8">
        <f>+(26+9/60+55/3600)</f>
        <v>26.165277777777778</v>
      </c>
      <c r="R11020" s="8">
        <v>15</v>
      </c>
      <c r="S11020" s="8">
        <v>16</v>
      </c>
      <c r="T11020" s="8">
        <v>1</v>
      </c>
      <c r="U11020" s="8">
        <v>12.5</v>
      </c>
      <c r="V11020" s="8">
        <v>0.3</v>
      </c>
      <c r="W11020" s="8">
        <v>0.3</v>
      </c>
      <c r="Y11020" s="8" t="s">
        <v>46870</v>
      </c>
      <c r="Z11020" s="8" t="s">
        <v>45515</v>
      </c>
    </row>
    <row r="11021" spans="1:26" x14ac:dyDescent="0.2">
      <c r="A11021" s="8">
        <v>11020</v>
      </c>
      <c r="B11021" s="8" t="s">
        <v>46874</v>
      </c>
      <c r="C11021" s="8" t="s">
        <v>46874</v>
      </c>
      <c r="G11021" s="8">
        <v>20</v>
      </c>
      <c r="H11021" s="8" t="s">
        <v>21</v>
      </c>
      <c r="I11021" s="8" t="s">
        <v>329</v>
      </c>
      <c r="J11021" s="8" t="s">
        <v>329</v>
      </c>
      <c r="K11021" s="8" t="s">
        <v>329</v>
      </c>
      <c r="L11021" s="8" t="s">
        <v>12015</v>
      </c>
      <c r="M11021" s="8" t="s">
        <v>12016</v>
      </c>
      <c r="N11021" s="8" t="s">
        <v>46842</v>
      </c>
      <c r="O11021" s="8">
        <f>12+20/60+24/3600</f>
        <v>12.34</v>
      </c>
      <c r="P11021" s="8" t="s">
        <v>46875</v>
      </c>
      <c r="Q11021" s="8">
        <f>+(60+41/60+4/3600)</f>
        <v>60.684444444444438</v>
      </c>
      <c r="R11021" s="8">
        <v>99</v>
      </c>
      <c r="S11021" s="8">
        <v>99</v>
      </c>
      <c r="T11021" s="8">
        <v>99</v>
      </c>
      <c r="U11021" s="8">
        <v>99</v>
      </c>
      <c r="Y11021" s="8" t="s">
        <v>46876</v>
      </c>
      <c r="Z11021" s="8" t="s">
        <v>46877</v>
      </c>
    </row>
    <row r="11022" spans="1:26" x14ac:dyDescent="0.2">
      <c r="A11022" s="8">
        <v>11021</v>
      </c>
      <c r="B11022" s="8" t="s">
        <v>46878</v>
      </c>
      <c r="C11022" s="8" t="s">
        <v>46878</v>
      </c>
      <c r="G11022" s="8">
        <v>20</v>
      </c>
      <c r="H11022" s="8" t="s">
        <v>21</v>
      </c>
      <c r="I11022" s="8" t="s">
        <v>22</v>
      </c>
      <c r="J11022" s="8" t="s">
        <v>57</v>
      </c>
      <c r="K11022" s="8" t="s">
        <v>632</v>
      </c>
      <c r="L11022" s="8" t="s">
        <v>18289</v>
      </c>
      <c r="M11022" s="8" t="s">
        <v>18290</v>
      </c>
      <c r="N11022" s="8" t="s">
        <v>19438</v>
      </c>
      <c r="O11022" s="8">
        <f>12+20/60+42.1/3600</f>
        <v>12.345027777777778</v>
      </c>
      <c r="P11022" s="8" t="s">
        <v>19439</v>
      </c>
      <c r="Q11022" s="8">
        <f>+(29+20/60+44/3600)</f>
        <v>29.345555555555553</v>
      </c>
      <c r="R11022" s="8">
        <v>13.1</v>
      </c>
      <c r="S11022" s="8">
        <v>14</v>
      </c>
      <c r="T11022" s="8">
        <v>0.9</v>
      </c>
      <c r="U11022" s="8">
        <v>13.5</v>
      </c>
      <c r="V11022" s="8">
        <v>1.5</v>
      </c>
      <c r="W11022" s="8">
        <v>0.8</v>
      </c>
      <c r="X11022" s="8">
        <v>150</v>
      </c>
      <c r="Y11022" s="8" t="s">
        <v>21</v>
      </c>
      <c r="Z11022" s="8" t="s">
        <v>46879</v>
      </c>
    </row>
    <row r="11023" spans="1:26" x14ac:dyDescent="0.2">
      <c r="A11023" s="8">
        <v>11022</v>
      </c>
      <c r="B11023" s="8" t="s">
        <v>46880</v>
      </c>
      <c r="C11023" s="8" t="s">
        <v>46880</v>
      </c>
      <c r="G11023" s="8">
        <v>20</v>
      </c>
      <c r="H11023" s="8" t="s">
        <v>21</v>
      </c>
      <c r="I11023" s="8" t="s">
        <v>72</v>
      </c>
      <c r="J11023" s="8" t="s">
        <v>72</v>
      </c>
      <c r="K11023" s="8" t="s">
        <v>1802</v>
      </c>
      <c r="L11023" s="8" t="s">
        <v>17287</v>
      </c>
      <c r="M11023" s="8" t="s">
        <v>17288</v>
      </c>
      <c r="N11023" s="8" t="s">
        <v>46881</v>
      </c>
      <c r="O11023" s="8">
        <f>12+20/60+48/3600</f>
        <v>12.346666666666668</v>
      </c>
      <c r="P11023" s="8" t="s">
        <v>46882</v>
      </c>
      <c r="Q11023" s="8">
        <f>+(12+43/60+42/3600)</f>
        <v>12.728333333333333</v>
      </c>
      <c r="R11023" s="8">
        <v>99</v>
      </c>
      <c r="S11023" s="8">
        <v>99</v>
      </c>
      <c r="T11023" s="8">
        <v>99</v>
      </c>
      <c r="U11023" s="8">
        <v>99</v>
      </c>
      <c r="Y11023" s="8" t="s">
        <v>46883</v>
      </c>
      <c r="Z11023" s="8" t="s">
        <v>46884</v>
      </c>
    </row>
    <row r="11024" spans="1:26" x14ac:dyDescent="0.2">
      <c r="A11024" s="8">
        <v>11023</v>
      </c>
      <c r="B11024" s="8" t="s">
        <v>46885</v>
      </c>
      <c r="C11024" s="8" t="s">
        <v>46885</v>
      </c>
      <c r="G11024" s="8">
        <v>20</v>
      </c>
      <c r="H11024" s="8" t="s">
        <v>21</v>
      </c>
      <c r="I11024" s="8" t="s">
        <v>72</v>
      </c>
      <c r="J11024" s="8" t="s">
        <v>72</v>
      </c>
      <c r="K11024" s="8" t="s">
        <v>73</v>
      </c>
      <c r="L11024" s="8" t="s">
        <v>17287</v>
      </c>
      <c r="M11024" s="8" t="s">
        <v>17288</v>
      </c>
      <c r="N11024" s="8" t="s">
        <v>46886</v>
      </c>
      <c r="O11024" s="8">
        <f>12+20/60+48.9/3600</f>
        <v>12.346916666666667</v>
      </c>
      <c r="P11024" s="8" t="s">
        <v>46887</v>
      </c>
      <c r="Q11024" s="8">
        <f>+(6+41/60+11/3600)</f>
        <v>6.6863888888888887</v>
      </c>
      <c r="R11024" s="8">
        <v>99</v>
      </c>
      <c r="S11024" s="8">
        <v>99</v>
      </c>
      <c r="T11024" s="8">
        <v>99</v>
      </c>
      <c r="U11024" s="8">
        <v>99</v>
      </c>
      <c r="Y11024" s="8" t="s">
        <v>46888</v>
      </c>
      <c r="Z11024" s="8" t="s">
        <v>46889</v>
      </c>
    </row>
    <row r="11025" spans="1:26" x14ac:dyDescent="0.2">
      <c r="A11025" s="8">
        <v>11024</v>
      </c>
      <c r="B11025" s="8" t="s">
        <v>46890</v>
      </c>
      <c r="C11025" s="8" t="s">
        <v>46890</v>
      </c>
      <c r="E11025" s="8">
        <v>1</v>
      </c>
      <c r="G11025" s="8">
        <v>20</v>
      </c>
      <c r="H11025" s="8" t="s">
        <v>21</v>
      </c>
      <c r="I11025" s="8" t="s">
        <v>22</v>
      </c>
      <c r="J11025" s="8" t="s">
        <v>22</v>
      </c>
      <c r="K11025" s="8" t="s">
        <v>449</v>
      </c>
      <c r="L11025" s="8" t="s">
        <v>18289</v>
      </c>
      <c r="M11025" s="8" t="s">
        <v>18290</v>
      </c>
      <c r="N11025" s="8" t="s">
        <v>46891</v>
      </c>
      <c r="O11025" s="8">
        <f>12+20/60+46.7/3600</f>
        <v>12.346305555555556</v>
      </c>
      <c r="P11025" s="8" t="s">
        <v>46892</v>
      </c>
      <c r="Q11025" s="8">
        <f>+(24+54/60+56/3600)</f>
        <v>24.915555555555553</v>
      </c>
      <c r="R11025" s="8">
        <v>15</v>
      </c>
      <c r="S11025" s="8">
        <v>15.8</v>
      </c>
      <c r="T11025" s="8">
        <v>0.8</v>
      </c>
      <c r="U11025" s="8">
        <v>13</v>
      </c>
      <c r="V11025" s="8">
        <v>0.6</v>
      </c>
      <c r="W11025" s="8">
        <v>0.3</v>
      </c>
      <c r="X11025" s="8">
        <v>45</v>
      </c>
      <c r="Y11025" s="8" t="s">
        <v>46893</v>
      </c>
      <c r="Z11025" s="8" t="s">
        <v>46894</v>
      </c>
    </row>
    <row r="11026" spans="1:26" x14ac:dyDescent="0.2">
      <c r="A11026" s="8">
        <v>11025</v>
      </c>
      <c r="B11026" s="8" t="s">
        <v>46895</v>
      </c>
      <c r="C11026" s="8" t="s">
        <v>46895</v>
      </c>
      <c r="G11026" s="8">
        <v>20</v>
      </c>
      <c r="H11026" s="8" t="s">
        <v>21</v>
      </c>
      <c r="I11026" s="8" t="s">
        <v>22</v>
      </c>
      <c r="J11026" s="8" t="s">
        <v>22</v>
      </c>
      <c r="K11026" s="8" t="s">
        <v>476</v>
      </c>
      <c r="L11026" s="8" t="s">
        <v>18289</v>
      </c>
      <c r="M11026" s="8" t="s">
        <v>18290</v>
      </c>
      <c r="N11026" s="8" t="s">
        <v>46896</v>
      </c>
      <c r="O11026" s="8">
        <f>12+20/60+52.6/3600</f>
        <v>12.347944444444446</v>
      </c>
      <c r="P11026" s="8" t="s">
        <v>46897</v>
      </c>
      <c r="Q11026" s="8">
        <f>+(25+25/60+46/3600)</f>
        <v>25.429444444444446</v>
      </c>
      <c r="R11026" s="8">
        <v>14.9</v>
      </c>
      <c r="S11026" s="8">
        <v>15.7</v>
      </c>
      <c r="T11026" s="8">
        <v>0.8</v>
      </c>
      <c r="U11026" s="8">
        <v>10.9</v>
      </c>
      <c r="V11026" s="8">
        <v>0.3</v>
      </c>
      <c r="W11026" s="8">
        <v>0.1</v>
      </c>
      <c r="X11026" s="8">
        <v>95</v>
      </c>
      <c r="Y11026" s="8" t="s">
        <v>3952</v>
      </c>
      <c r="Z11026" s="8" t="s">
        <v>3953</v>
      </c>
    </row>
    <row r="11027" spans="1:26" x14ac:dyDescent="0.2">
      <c r="A11027" s="8">
        <v>11026</v>
      </c>
      <c r="B11027" s="8" t="s">
        <v>46898</v>
      </c>
      <c r="C11027" s="8" t="s">
        <v>46898</v>
      </c>
      <c r="G11027" s="8">
        <v>20</v>
      </c>
      <c r="H11027" s="8" t="s">
        <v>21</v>
      </c>
      <c r="I11027" s="8" t="s">
        <v>22</v>
      </c>
      <c r="J11027" s="8" t="s">
        <v>22</v>
      </c>
      <c r="K11027" s="8" t="s">
        <v>23</v>
      </c>
      <c r="L11027" s="8" t="s">
        <v>18289</v>
      </c>
      <c r="M11027" s="8" t="s">
        <v>18290</v>
      </c>
      <c r="N11027" s="8" t="s">
        <v>46899</v>
      </c>
      <c r="O11027" s="8">
        <f>12+20/60+55.9/3600</f>
        <v>12.348861111111111</v>
      </c>
      <c r="P11027" s="8" t="s">
        <v>46900</v>
      </c>
      <c r="Q11027" s="8">
        <f>+(24+40/60+9/3600)</f>
        <v>24.669166666666669</v>
      </c>
      <c r="R11027" s="8">
        <v>15</v>
      </c>
      <c r="S11027" s="8">
        <v>15.8</v>
      </c>
      <c r="T11027" s="8">
        <v>0.8</v>
      </c>
      <c r="U11027" s="8">
        <v>13.3</v>
      </c>
      <c r="V11027" s="8">
        <v>0.6</v>
      </c>
      <c r="W11027" s="8">
        <v>0.4</v>
      </c>
      <c r="X11027" s="8">
        <v>171</v>
      </c>
      <c r="Y11027" s="8" t="s">
        <v>121</v>
      </c>
      <c r="Z11027" s="8" t="s">
        <v>122</v>
      </c>
    </row>
    <row r="11028" spans="1:26" x14ac:dyDescent="0.2">
      <c r="A11028" s="8">
        <v>11027</v>
      </c>
      <c r="B11028" s="8" t="s">
        <v>46901</v>
      </c>
      <c r="C11028" s="8" t="s">
        <v>46901</v>
      </c>
      <c r="G11028" s="8">
        <v>20</v>
      </c>
      <c r="H11028" s="8" t="s">
        <v>21</v>
      </c>
      <c r="I11028" s="8" t="s">
        <v>22</v>
      </c>
      <c r="J11028" s="8" t="s">
        <v>22</v>
      </c>
      <c r="K11028" s="8" t="s">
        <v>44977</v>
      </c>
      <c r="L11028" s="8" t="s">
        <v>17287</v>
      </c>
      <c r="M11028" s="8" t="s">
        <v>17288</v>
      </c>
      <c r="N11028" s="8" t="s">
        <v>46902</v>
      </c>
      <c r="O11028" s="8">
        <f>12+20/60+54.8/3600</f>
        <v>12.348555555555556</v>
      </c>
      <c r="P11028" s="8" t="s">
        <v>46903</v>
      </c>
      <c r="Q11028" s="8">
        <f>+(11+9/60+41/3600)</f>
        <v>11.161388888888888</v>
      </c>
      <c r="R11028" s="8">
        <v>14.7</v>
      </c>
      <c r="S11028" s="8">
        <v>15.4</v>
      </c>
      <c r="T11028" s="8">
        <v>0.7</v>
      </c>
      <c r="U11028" s="8">
        <v>12.7</v>
      </c>
      <c r="V11028" s="8">
        <v>0.6</v>
      </c>
      <c r="W11028" s="8">
        <v>0.3</v>
      </c>
      <c r="X11028" s="8">
        <v>95</v>
      </c>
      <c r="Y11028" s="8" t="s">
        <v>46904</v>
      </c>
      <c r="Z11028" s="8" t="s">
        <v>46905</v>
      </c>
    </row>
    <row r="11029" spans="1:26" x14ac:dyDescent="0.2">
      <c r="A11029" s="8">
        <v>11028</v>
      </c>
      <c r="B11029" s="8" t="s">
        <v>46906</v>
      </c>
      <c r="C11029" s="8" t="s">
        <v>46906</v>
      </c>
      <c r="G11029" s="8">
        <v>20</v>
      </c>
      <c r="H11029" s="8" t="s">
        <v>21</v>
      </c>
      <c r="I11029" s="8" t="s">
        <v>22</v>
      </c>
      <c r="J11029" s="8" t="s">
        <v>22</v>
      </c>
      <c r="K11029" s="8" t="s">
        <v>396</v>
      </c>
      <c r="L11029" s="8" t="s">
        <v>17287</v>
      </c>
      <c r="M11029" s="8" t="s">
        <v>17288</v>
      </c>
      <c r="N11029" s="8" t="s">
        <v>46907</v>
      </c>
      <c r="O11029" s="8">
        <f>12+20/60+55.1/3600</f>
        <v>12.348638888888889</v>
      </c>
      <c r="P11029" s="8" t="s">
        <v>46908</v>
      </c>
      <c r="Q11029" s="8">
        <f>+(11+0/60+31/3600)</f>
        <v>11.008611111111112</v>
      </c>
      <c r="R11029" s="8">
        <v>14.4</v>
      </c>
      <c r="S11029" s="8">
        <v>15.2</v>
      </c>
      <c r="T11029" s="8">
        <v>0.8</v>
      </c>
      <c r="U11029" s="8">
        <v>12.7</v>
      </c>
      <c r="V11029" s="8">
        <v>0.6</v>
      </c>
      <c r="W11029" s="8">
        <v>0.4</v>
      </c>
      <c r="X11029" s="8">
        <v>51</v>
      </c>
      <c r="Y11029" s="8" t="s">
        <v>46228</v>
      </c>
      <c r="Z11029" s="8" t="s">
        <v>46229</v>
      </c>
    </row>
    <row r="11030" spans="1:26" x14ac:dyDescent="0.2">
      <c r="A11030" s="8">
        <v>11029</v>
      </c>
      <c r="B11030" s="8" t="s">
        <v>46909</v>
      </c>
      <c r="C11030" s="8" t="s">
        <v>46909</v>
      </c>
      <c r="G11030" s="8">
        <v>20</v>
      </c>
      <c r="H11030" s="8" t="s">
        <v>21</v>
      </c>
      <c r="I11030" s="8" t="s">
        <v>22</v>
      </c>
      <c r="J11030" s="8" t="s">
        <v>22</v>
      </c>
      <c r="K11030" s="8" t="s">
        <v>160</v>
      </c>
      <c r="L11030" s="8" t="s">
        <v>18289</v>
      </c>
      <c r="M11030" s="8" t="s">
        <v>18290</v>
      </c>
      <c r="N11030" s="8" t="s">
        <v>46910</v>
      </c>
      <c r="O11030" s="8">
        <f>12+20/60+56.2/3600</f>
        <v>12.348944444444445</v>
      </c>
      <c r="P11030" s="8" t="s">
        <v>46911</v>
      </c>
      <c r="Q11030" s="8">
        <f>+(25+25/60+35/3600)</f>
        <v>25.426388888888891</v>
      </c>
      <c r="R11030" s="8">
        <v>14.8</v>
      </c>
      <c r="S11030" s="8">
        <v>15.5</v>
      </c>
      <c r="T11030" s="8">
        <v>0.7</v>
      </c>
      <c r="U11030" s="8">
        <v>11.6</v>
      </c>
      <c r="V11030" s="8">
        <v>0.3</v>
      </c>
      <c r="W11030" s="8">
        <v>0.2</v>
      </c>
      <c r="X11030" s="8">
        <v>95</v>
      </c>
      <c r="Y11030" s="8" t="s">
        <v>3952</v>
      </c>
      <c r="Z11030" s="8" t="s">
        <v>3953</v>
      </c>
    </row>
    <row r="11031" spans="1:26" x14ac:dyDescent="0.2">
      <c r="A11031" s="8">
        <v>11030</v>
      </c>
      <c r="B11031" s="8" t="s">
        <v>46912</v>
      </c>
      <c r="C11031" s="8" t="s">
        <v>46912</v>
      </c>
      <c r="G11031" s="8">
        <v>20</v>
      </c>
      <c r="H11031" s="8" t="s">
        <v>21</v>
      </c>
      <c r="I11031" s="8" t="s">
        <v>72</v>
      </c>
      <c r="J11031" s="8" t="s">
        <v>72</v>
      </c>
      <c r="K11031" s="8" t="s">
        <v>20</v>
      </c>
      <c r="L11031" s="8" t="s">
        <v>17287</v>
      </c>
      <c r="M11031" s="8" t="s">
        <v>17288</v>
      </c>
      <c r="N11031" s="8" t="s">
        <v>19451</v>
      </c>
      <c r="O11031" s="8">
        <f>12+21/60+2.4/3600</f>
        <v>12.350666666666667</v>
      </c>
      <c r="P11031" s="8" t="s">
        <v>46913</v>
      </c>
      <c r="Q11031" s="8">
        <f>+(9+34/60+12/3600)</f>
        <v>9.57</v>
      </c>
      <c r="R11031" s="8">
        <v>99</v>
      </c>
      <c r="S11031" s="8">
        <v>99</v>
      </c>
      <c r="T11031" s="8">
        <v>99</v>
      </c>
      <c r="U11031" s="8">
        <v>99</v>
      </c>
      <c r="Y11031" s="8" t="s">
        <v>962</v>
      </c>
      <c r="Z11031" s="8" t="s">
        <v>963</v>
      </c>
    </row>
    <row r="11032" spans="1:26" x14ac:dyDescent="0.2">
      <c r="A11032" s="8">
        <v>11031</v>
      </c>
      <c r="B11032" s="8" t="s">
        <v>46914</v>
      </c>
      <c r="C11032" s="8" t="s">
        <v>46914</v>
      </c>
      <c r="G11032" s="8">
        <v>20</v>
      </c>
      <c r="H11032" s="8" t="s">
        <v>21</v>
      </c>
      <c r="I11032" s="8" t="s">
        <v>72</v>
      </c>
      <c r="J11032" s="8" t="s">
        <v>72</v>
      </c>
      <c r="K11032" s="8" t="s">
        <v>20</v>
      </c>
      <c r="L11032" s="8" t="s">
        <v>17287</v>
      </c>
      <c r="M11032" s="8" t="s">
        <v>17288</v>
      </c>
      <c r="N11032" s="8" t="s">
        <v>46915</v>
      </c>
      <c r="O11032" s="8">
        <f>12+21/60+5.3/3600</f>
        <v>12.351472222222222</v>
      </c>
      <c r="P11032" s="8" t="s">
        <v>46916</v>
      </c>
      <c r="Q11032" s="8">
        <f>+(7+42/60+16/3600)</f>
        <v>7.7044444444444444</v>
      </c>
      <c r="R11032" s="8">
        <v>99</v>
      </c>
      <c r="S11032" s="8">
        <v>99</v>
      </c>
      <c r="T11032" s="8">
        <v>99</v>
      </c>
      <c r="U11032" s="8">
        <v>99</v>
      </c>
      <c r="Y11032" s="8" t="s">
        <v>421</v>
      </c>
      <c r="Z11032" s="8" t="s">
        <v>422</v>
      </c>
    </row>
    <row r="11033" spans="1:26" x14ac:dyDescent="0.2">
      <c r="A11033" s="8">
        <v>11032</v>
      </c>
      <c r="B11033" s="8" t="s">
        <v>46917</v>
      </c>
      <c r="C11033" s="8" t="s">
        <v>46917</v>
      </c>
      <c r="G11033" s="8">
        <v>20</v>
      </c>
      <c r="H11033" s="8" t="s">
        <v>21</v>
      </c>
      <c r="I11033" s="8" t="s">
        <v>22</v>
      </c>
      <c r="J11033" s="8" t="s">
        <v>22</v>
      </c>
      <c r="K11033" s="8" t="s">
        <v>818</v>
      </c>
      <c r="L11033" s="8" t="s">
        <v>17287</v>
      </c>
      <c r="M11033" s="8" t="s">
        <v>17288</v>
      </c>
      <c r="N11033" s="8" t="s">
        <v>46918</v>
      </c>
      <c r="O11033" s="8">
        <f>12+21/60+4.7/3600</f>
        <v>12.351305555555555</v>
      </c>
      <c r="P11033" s="8" t="s">
        <v>46919</v>
      </c>
      <c r="Q11033" s="8">
        <f>+(11+45/60+14/3600)</f>
        <v>11.753888888888889</v>
      </c>
      <c r="R11033" s="8">
        <v>14.8</v>
      </c>
      <c r="S11033" s="8">
        <v>15.8</v>
      </c>
      <c r="T11033" s="8">
        <v>1</v>
      </c>
      <c r="U11033" s="8">
        <v>13.3</v>
      </c>
      <c r="V11033" s="8">
        <v>0.6</v>
      </c>
      <c r="W11033" s="8">
        <v>0.4</v>
      </c>
      <c r="Y11033" s="8" t="s">
        <v>46920</v>
      </c>
      <c r="Z11033" s="8" t="s">
        <v>46921</v>
      </c>
    </row>
    <row r="11034" spans="1:26" x14ac:dyDescent="0.2">
      <c r="A11034" s="8">
        <v>11033</v>
      </c>
      <c r="B11034" s="8" t="s">
        <v>46922</v>
      </c>
      <c r="C11034" s="8" t="s">
        <v>46922</v>
      </c>
      <c r="G11034" s="8">
        <v>20</v>
      </c>
      <c r="H11034" s="8" t="s">
        <v>21</v>
      </c>
      <c r="I11034" s="8" t="s">
        <v>22</v>
      </c>
      <c r="J11034" s="8" t="s">
        <v>22</v>
      </c>
      <c r="K11034" s="8" t="s">
        <v>396</v>
      </c>
      <c r="L11034" s="8" t="s">
        <v>18289</v>
      </c>
      <c r="M11034" s="8" t="s">
        <v>18290</v>
      </c>
      <c r="N11034" s="8" t="s">
        <v>46923</v>
      </c>
      <c r="O11034" s="8">
        <f>12+21/60+1.2/3600</f>
        <v>12.350333333333333</v>
      </c>
      <c r="P11034" s="8" t="s">
        <v>46924</v>
      </c>
      <c r="Q11034" s="8">
        <f>+(27+53/60+55/3600)</f>
        <v>27.898611111111112</v>
      </c>
      <c r="R11034" s="8">
        <v>14.8</v>
      </c>
      <c r="S11034" s="8">
        <v>15.6</v>
      </c>
      <c r="T11034" s="8">
        <v>0.8</v>
      </c>
      <c r="U11034" s="8">
        <v>13.2</v>
      </c>
      <c r="V11034" s="8">
        <v>0.9</v>
      </c>
      <c r="W11034" s="8">
        <v>0.3</v>
      </c>
      <c r="X11034" s="8">
        <v>135</v>
      </c>
      <c r="Y11034" s="8" t="s">
        <v>46925</v>
      </c>
      <c r="Z11034" s="8" t="s">
        <v>46926</v>
      </c>
    </row>
    <row r="11035" spans="1:26" x14ac:dyDescent="0.2">
      <c r="A11035" s="8">
        <v>11034</v>
      </c>
      <c r="B11035" s="8" t="s">
        <v>46927</v>
      </c>
      <c r="C11035" s="8" t="s">
        <v>46927</v>
      </c>
      <c r="G11035" s="8">
        <v>20</v>
      </c>
      <c r="H11035" s="8" t="s">
        <v>21</v>
      </c>
      <c r="I11035" s="8" t="s">
        <v>22</v>
      </c>
      <c r="J11035" s="8" t="s">
        <v>22</v>
      </c>
      <c r="K11035" s="8" t="s">
        <v>382</v>
      </c>
      <c r="L11035" s="8" t="s">
        <v>18289</v>
      </c>
      <c r="M11035" s="8" t="s">
        <v>18290</v>
      </c>
      <c r="N11035" s="8" t="s">
        <v>46928</v>
      </c>
      <c r="O11035" s="8">
        <f>12+21/60+9.1/3600</f>
        <v>12.352527777777777</v>
      </c>
      <c r="P11035" s="8" t="s">
        <v>36679</v>
      </c>
      <c r="Q11035" s="8">
        <f>+(25+8/60+1/3600)</f>
        <v>25.133611111111112</v>
      </c>
      <c r="R11035" s="8">
        <v>15</v>
      </c>
      <c r="S11035" s="8">
        <v>16</v>
      </c>
      <c r="T11035" s="8">
        <v>1</v>
      </c>
      <c r="U11035" s="8">
        <v>12.8</v>
      </c>
      <c r="V11035" s="8">
        <v>0.4</v>
      </c>
      <c r="W11035" s="8">
        <v>0.3</v>
      </c>
      <c r="X11035" s="8">
        <v>170</v>
      </c>
      <c r="Y11035" s="8" t="s">
        <v>3952</v>
      </c>
      <c r="Z11035" s="8" t="s">
        <v>3953</v>
      </c>
    </row>
    <row r="11036" spans="1:26" x14ac:dyDescent="0.2">
      <c r="A11036" s="8">
        <v>11035</v>
      </c>
      <c r="B11036" s="8" t="s">
        <v>46929</v>
      </c>
      <c r="C11036" s="8" t="s">
        <v>46929</v>
      </c>
      <c r="G11036" s="8">
        <v>20</v>
      </c>
      <c r="H11036" s="8" t="s">
        <v>21</v>
      </c>
      <c r="I11036" s="8" t="s">
        <v>22</v>
      </c>
      <c r="J11036" s="8" t="s">
        <v>22</v>
      </c>
      <c r="K11036" s="8" t="s">
        <v>460</v>
      </c>
      <c r="L11036" s="8" t="s">
        <v>18289</v>
      </c>
      <c r="M11036" s="8" t="s">
        <v>18290</v>
      </c>
      <c r="N11036" s="8" t="s">
        <v>46930</v>
      </c>
      <c r="O11036" s="8">
        <f>12+21/60+17.5/3600</f>
        <v>12.354861111111111</v>
      </c>
      <c r="P11036" s="8" t="s">
        <v>46931</v>
      </c>
      <c r="Q11036" s="8">
        <f>+(25+48/60+29/3600)</f>
        <v>25.808055555555555</v>
      </c>
      <c r="R11036" s="8">
        <v>15</v>
      </c>
      <c r="S11036" s="8">
        <v>16</v>
      </c>
      <c r="T11036" s="8">
        <v>1</v>
      </c>
      <c r="U11036" s="8">
        <v>13.1</v>
      </c>
      <c r="V11036" s="8">
        <v>0.4</v>
      </c>
      <c r="W11036" s="8">
        <v>0.4</v>
      </c>
      <c r="Y11036" s="8" t="s">
        <v>5139</v>
      </c>
      <c r="Z11036" s="8" t="s">
        <v>5140</v>
      </c>
    </row>
    <row r="11037" spans="1:26" x14ac:dyDescent="0.2">
      <c r="A11037" s="8">
        <v>11036</v>
      </c>
      <c r="B11037" s="8" t="s">
        <v>46932</v>
      </c>
      <c r="C11037" s="8" t="s">
        <v>46932</v>
      </c>
      <c r="G11037" s="8">
        <v>20</v>
      </c>
      <c r="H11037" s="8" t="s">
        <v>21</v>
      </c>
      <c r="I11037" s="8" t="s">
        <v>22</v>
      </c>
      <c r="J11037" s="8" t="s">
        <v>22</v>
      </c>
      <c r="K11037" s="8" t="s">
        <v>449</v>
      </c>
      <c r="L11037" s="8" t="s">
        <v>17287</v>
      </c>
      <c r="M11037" s="8" t="s">
        <v>17288</v>
      </c>
      <c r="N11037" s="8" t="s">
        <v>46933</v>
      </c>
      <c r="O11037" s="8">
        <f>12+21/60+26.7/3600</f>
        <v>12.357416666666666</v>
      </c>
      <c r="P11037" s="8" t="s">
        <v>46934</v>
      </c>
      <c r="Q11037" s="8">
        <f>+(11+45/60+28/3600)</f>
        <v>11.757777777777777</v>
      </c>
      <c r="R11037" s="8">
        <v>15.9</v>
      </c>
      <c r="S11037" s="8">
        <v>16.7</v>
      </c>
      <c r="T11037" s="8">
        <v>0.8</v>
      </c>
      <c r="U11037" s="8">
        <v>13.4</v>
      </c>
      <c r="V11037" s="8">
        <v>0.4</v>
      </c>
      <c r="W11037" s="8">
        <v>0.3</v>
      </c>
      <c r="X11037" s="8">
        <v>85</v>
      </c>
      <c r="Y11037" s="8" t="s">
        <v>46310</v>
      </c>
      <c r="Z11037" s="8" t="s">
        <v>46311</v>
      </c>
    </row>
    <row r="11038" spans="1:26" x14ac:dyDescent="0.2">
      <c r="A11038" s="8">
        <v>11037</v>
      </c>
      <c r="B11038" s="8" t="s">
        <v>46935</v>
      </c>
      <c r="C11038" s="8" t="s">
        <v>46935</v>
      </c>
      <c r="G11038" s="8">
        <v>20</v>
      </c>
      <c r="H11038" s="8" t="s">
        <v>21</v>
      </c>
      <c r="I11038" s="8" t="s">
        <v>72</v>
      </c>
      <c r="J11038" s="8" t="s">
        <v>72</v>
      </c>
      <c r="K11038" s="8" t="s">
        <v>20</v>
      </c>
      <c r="L11038" s="8" t="s">
        <v>18289</v>
      </c>
      <c r="M11038" s="8" t="s">
        <v>18290</v>
      </c>
      <c r="N11038" s="8" t="s">
        <v>46936</v>
      </c>
      <c r="O11038" s="8">
        <f>12+21/60+25.8/3600</f>
        <v>12.357166666666666</v>
      </c>
      <c r="P11038" s="8" t="s">
        <v>46937</v>
      </c>
      <c r="Q11038" s="8">
        <f>+(25+26/60+38/3600)</f>
        <v>25.443888888888889</v>
      </c>
      <c r="R11038" s="8">
        <v>99</v>
      </c>
      <c r="S11038" s="8">
        <v>99</v>
      </c>
      <c r="T11038" s="8">
        <v>99</v>
      </c>
      <c r="U11038" s="8">
        <v>99</v>
      </c>
      <c r="Y11038" s="8" t="s">
        <v>46938</v>
      </c>
      <c r="Z11038" s="8" t="s">
        <v>3953</v>
      </c>
    </row>
    <row r="11039" spans="1:26" x14ac:dyDescent="0.2">
      <c r="A11039" s="8">
        <v>11038</v>
      </c>
      <c r="B11039" s="8" t="s">
        <v>46939</v>
      </c>
      <c r="C11039" s="8" t="s">
        <v>46939</v>
      </c>
      <c r="G11039" s="8">
        <v>20</v>
      </c>
      <c r="H11039" s="8" t="s">
        <v>21</v>
      </c>
      <c r="I11039" s="8" t="s">
        <v>72</v>
      </c>
      <c r="J11039" s="8" t="s">
        <v>72</v>
      </c>
      <c r="K11039" s="8" t="s">
        <v>20</v>
      </c>
      <c r="L11039" s="8" t="s">
        <v>18289</v>
      </c>
      <c r="M11039" s="8" t="s">
        <v>18290</v>
      </c>
      <c r="N11039" s="8" t="s">
        <v>46940</v>
      </c>
      <c r="O11039" s="8">
        <f>12+21/60+31.2/3600</f>
        <v>12.358666666666666</v>
      </c>
      <c r="P11039" s="8" t="s">
        <v>46941</v>
      </c>
      <c r="Q11039" s="8">
        <f>+(26+21/60+59/3600)</f>
        <v>26.366388888888892</v>
      </c>
      <c r="R11039" s="8">
        <v>99</v>
      </c>
      <c r="S11039" s="8">
        <v>99</v>
      </c>
      <c r="T11039" s="8">
        <v>99</v>
      </c>
      <c r="U11039" s="8">
        <v>99</v>
      </c>
      <c r="Y11039" s="8" t="s">
        <v>37602</v>
      </c>
      <c r="Z11039" s="8" t="s">
        <v>37603</v>
      </c>
    </row>
    <row r="11040" spans="1:26" x14ac:dyDescent="0.2">
      <c r="A11040" s="8">
        <v>11039</v>
      </c>
      <c r="B11040" s="8" t="s">
        <v>46942</v>
      </c>
      <c r="C11040" s="8" t="s">
        <v>46942</v>
      </c>
      <c r="G11040" s="8">
        <v>20</v>
      </c>
      <c r="H11040" s="8" t="s">
        <v>21</v>
      </c>
      <c r="I11040" s="8" t="s">
        <v>22</v>
      </c>
      <c r="J11040" s="8" t="s">
        <v>22</v>
      </c>
      <c r="K11040" s="8" t="s">
        <v>39271</v>
      </c>
      <c r="L11040" s="8" t="s">
        <v>17287</v>
      </c>
      <c r="M11040" s="8" t="s">
        <v>17288</v>
      </c>
      <c r="N11040" s="8" t="s">
        <v>46943</v>
      </c>
      <c r="O11040" s="8">
        <f>12+21/60+45.5/3600</f>
        <v>12.362638888888888</v>
      </c>
      <c r="P11040" s="8" t="s">
        <v>46944</v>
      </c>
      <c r="Q11040" s="8">
        <f>+(10+35/60+46/3600)</f>
        <v>10.596111111111112</v>
      </c>
      <c r="R11040" s="8">
        <v>14</v>
      </c>
      <c r="S11040" s="8">
        <v>14.9</v>
      </c>
      <c r="T11040" s="8">
        <v>0.9</v>
      </c>
      <c r="U11040" s="8">
        <v>13.3</v>
      </c>
      <c r="V11040" s="8">
        <v>1</v>
      </c>
      <c r="W11040" s="8">
        <v>0.6</v>
      </c>
      <c r="X11040" s="8">
        <v>170</v>
      </c>
      <c r="Y11040" s="8" t="s">
        <v>46279</v>
      </c>
      <c r="Z11040" s="8" t="s">
        <v>46280</v>
      </c>
    </row>
    <row r="11041" spans="1:26" x14ac:dyDescent="0.2">
      <c r="A11041" s="8">
        <v>11040</v>
      </c>
      <c r="B11041" s="8" t="s">
        <v>46945</v>
      </c>
      <c r="C11041" s="8" t="s">
        <v>46945</v>
      </c>
      <c r="G11041" s="8">
        <v>20</v>
      </c>
      <c r="H11041" s="8" t="s">
        <v>21</v>
      </c>
      <c r="I11041" s="8" t="s">
        <v>22</v>
      </c>
      <c r="J11041" s="8" t="s">
        <v>22</v>
      </c>
      <c r="K11041" s="8" t="s">
        <v>382</v>
      </c>
      <c r="L11041" s="8" t="s">
        <v>18289</v>
      </c>
      <c r="M11041" s="8" t="s">
        <v>18290</v>
      </c>
      <c r="N11041" s="8" t="s">
        <v>46946</v>
      </c>
      <c r="O11041" s="8">
        <f>12+21/60+37.2/3600</f>
        <v>12.360333333333333</v>
      </c>
      <c r="P11041" s="8" t="s">
        <v>46947</v>
      </c>
      <c r="Q11041" s="8">
        <f>+(26+45/60+39/3600)</f>
        <v>26.760833333333334</v>
      </c>
      <c r="R11041" s="8">
        <v>15.3</v>
      </c>
      <c r="S11041" s="8">
        <v>16.3</v>
      </c>
      <c r="T11041" s="8">
        <v>1</v>
      </c>
      <c r="U11041" s="8">
        <v>12.3</v>
      </c>
      <c r="V11041" s="8">
        <v>0.3</v>
      </c>
      <c r="W11041" s="8">
        <v>0.2</v>
      </c>
      <c r="X11041" s="8">
        <v>10</v>
      </c>
      <c r="Y11041" s="8" t="s">
        <v>45158</v>
      </c>
      <c r="Z11041" s="8" t="s">
        <v>45159</v>
      </c>
    </row>
    <row r="11042" spans="1:26" x14ac:dyDescent="0.2">
      <c r="A11042" s="8">
        <v>11041</v>
      </c>
      <c r="B11042" s="8" t="s">
        <v>46948</v>
      </c>
      <c r="C11042" s="8" t="s">
        <v>46948</v>
      </c>
      <c r="G11042" s="8">
        <v>20</v>
      </c>
      <c r="H11042" s="8" t="s">
        <v>21</v>
      </c>
      <c r="I11042" s="8" t="s">
        <v>22</v>
      </c>
      <c r="J11042" s="8" t="s">
        <v>22</v>
      </c>
      <c r="K11042" s="8" t="s">
        <v>21579</v>
      </c>
      <c r="L11042" s="8" t="s">
        <v>18289</v>
      </c>
      <c r="M11042" s="8" t="s">
        <v>18290</v>
      </c>
      <c r="N11042" s="8" t="s">
        <v>46949</v>
      </c>
      <c r="O11042" s="8">
        <f>12+21/60+40.3/3600</f>
        <v>12.361194444444443</v>
      </c>
      <c r="P11042" s="8" t="s">
        <v>46950</v>
      </c>
      <c r="Q11042" s="8">
        <f>+(25+43/60+34/3600)</f>
        <v>25.726111111111109</v>
      </c>
      <c r="R11042" s="8">
        <v>15.9</v>
      </c>
      <c r="S11042" s="8">
        <v>16.899999999999999</v>
      </c>
      <c r="T11042" s="8">
        <v>1</v>
      </c>
      <c r="U11042" s="8">
        <v>13.4</v>
      </c>
      <c r="V11042" s="8">
        <v>0.3</v>
      </c>
      <c r="W11042" s="8">
        <v>0.3</v>
      </c>
      <c r="Y11042" s="8" t="s">
        <v>2248</v>
      </c>
      <c r="Z11042" s="8" t="s">
        <v>2249</v>
      </c>
    </row>
    <row r="11043" spans="1:26" x14ac:dyDescent="0.2">
      <c r="A11043" s="8">
        <v>11042</v>
      </c>
      <c r="B11043" s="8" t="s">
        <v>46951</v>
      </c>
      <c r="C11043" s="8" t="s">
        <v>46951</v>
      </c>
      <c r="G11043" s="8">
        <v>20</v>
      </c>
      <c r="H11043" s="8" t="s">
        <v>21</v>
      </c>
      <c r="I11043" s="8" t="s">
        <v>22</v>
      </c>
      <c r="J11043" s="8" t="s">
        <v>22</v>
      </c>
      <c r="K11043" s="8" t="s">
        <v>460</v>
      </c>
      <c r="L11043" s="8" t="s">
        <v>18289</v>
      </c>
      <c r="M11043" s="8" t="s">
        <v>18290</v>
      </c>
      <c r="N11043" s="8" t="s">
        <v>46952</v>
      </c>
      <c r="O11043" s="8">
        <f>12+21/60+44.2/3600</f>
        <v>12.362277777777777</v>
      </c>
      <c r="P11043" s="8" t="s">
        <v>46953</v>
      </c>
      <c r="Q11043" s="8">
        <f>+(27+3/60+27/3600)</f>
        <v>27.057500000000001</v>
      </c>
      <c r="R11043" s="8">
        <v>16.399999999999999</v>
      </c>
      <c r="S11043" s="8">
        <v>17.399999999999999</v>
      </c>
      <c r="T11043" s="8">
        <v>1</v>
      </c>
      <c r="U11043" s="8">
        <v>13.9</v>
      </c>
      <c r="V11043" s="8">
        <v>0.3</v>
      </c>
      <c r="W11043" s="8">
        <v>0.3</v>
      </c>
      <c r="Y11043" s="8" t="s">
        <v>37602</v>
      </c>
      <c r="Z11043" s="8" t="s">
        <v>37603</v>
      </c>
    </row>
    <row r="11044" spans="1:26" x14ac:dyDescent="0.2">
      <c r="A11044" s="8">
        <v>11043</v>
      </c>
      <c r="B11044" s="8" t="s">
        <v>46954</v>
      </c>
      <c r="C11044" s="8" t="s">
        <v>46954</v>
      </c>
      <c r="G11044" s="8">
        <v>20</v>
      </c>
      <c r="H11044" s="8" t="s">
        <v>21</v>
      </c>
      <c r="I11044" s="8" t="s">
        <v>22</v>
      </c>
      <c r="J11044" s="8" t="s">
        <v>22</v>
      </c>
      <c r="K11044" s="8" t="s">
        <v>23</v>
      </c>
      <c r="L11044" s="8" t="s">
        <v>18289</v>
      </c>
      <c r="M11044" s="8" t="s">
        <v>18290</v>
      </c>
      <c r="N11044" s="8" t="s">
        <v>46955</v>
      </c>
      <c r="O11044" s="8">
        <f>12+21/60+45.6/3600</f>
        <v>12.362666666666666</v>
      </c>
      <c r="P11044" s="8" t="s">
        <v>46956</v>
      </c>
      <c r="Q11044" s="8">
        <f>+(25+53/60+3/3600)</f>
        <v>25.884166666666665</v>
      </c>
      <c r="R11044" s="8">
        <v>14.7</v>
      </c>
      <c r="S11044" s="8">
        <v>15.5</v>
      </c>
      <c r="T11044" s="8">
        <v>0.8</v>
      </c>
      <c r="U11044" s="8">
        <v>13.3</v>
      </c>
      <c r="V11044" s="8">
        <v>1.5</v>
      </c>
      <c r="W11044" s="8">
        <v>0.2</v>
      </c>
      <c r="X11044" s="8">
        <v>145</v>
      </c>
      <c r="Y11044" s="8" t="s">
        <v>46957</v>
      </c>
      <c r="Z11044" s="8" t="s">
        <v>46958</v>
      </c>
    </row>
    <row r="11045" spans="1:26" x14ac:dyDescent="0.2">
      <c r="A11045" s="8">
        <v>11044</v>
      </c>
      <c r="B11045" s="8" t="s">
        <v>46959</v>
      </c>
      <c r="C11045" s="8" t="s">
        <v>46959</v>
      </c>
      <c r="G11045" s="8">
        <v>20</v>
      </c>
      <c r="H11045" s="8" t="s">
        <v>21</v>
      </c>
      <c r="I11045" s="8" t="s">
        <v>22</v>
      </c>
      <c r="J11045" s="8" t="s">
        <v>22</v>
      </c>
      <c r="K11045" s="8" t="s">
        <v>476</v>
      </c>
      <c r="L11045" s="8" t="s">
        <v>18289</v>
      </c>
      <c r="M11045" s="8" t="s">
        <v>18290</v>
      </c>
      <c r="N11045" s="8" t="s">
        <v>46960</v>
      </c>
      <c r="O11045" s="8">
        <f>12+21/60+50.5/3600</f>
        <v>12.364027777777778</v>
      </c>
      <c r="P11045" s="8" t="s">
        <v>46961</v>
      </c>
      <c r="Q11045" s="8">
        <f>+(24+14/60+56/3600)</f>
        <v>24.248888888888889</v>
      </c>
      <c r="R11045" s="8">
        <v>15.5</v>
      </c>
      <c r="S11045" s="8">
        <v>16.3</v>
      </c>
      <c r="T11045" s="8">
        <v>0.8</v>
      </c>
      <c r="U11045" s="8">
        <v>12.3</v>
      </c>
      <c r="V11045" s="8">
        <v>0.3</v>
      </c>
      <c r="W11045" s="8">
        <v>0.2</v>
      </c>
      <c r="X11045" s="8">
        <v>115</v>
      </c>
      <c r="Y11045" s="8" t="s">
        <v>1664</v>
      </c>
      <c r="Z11045" s="8" t="s">
        <v>1665</v>
      </c>
    </row>
    <row r="11046" spans="1:26" x14ac:dyDescent="0.2">
      <c r="A11046" s="8">
        <v>11045</v>
      </c>
      <c r="B11046" s="8" t="s">
        <v>46962</v>
      </c>
      <c r="C11046" s="8" t="s">
        <v>46962</v>
      </c>
      <c r="G11046" s="8">
        <v>20</v>
      </c>
      <c r="H11046" s="8" t="s">
        <v>21</v>
      </c>
      <c r="I11046" s="8" t="s">
        <v>22</v>
      </c>
      <c r="J11046" s="8" t="s">
        <v>22</v>
      </c>
      <c r="K11046" s="8" t="s">
        <v>460</v>
      </c>
      <c r="L11046" s="8" t="s">
        <v>18289</v>
      </c>
      <c r="M11046" s="8" t="s">
        <v>18290</v>
      </c>
      <c r="N11046" s="8" t="s">
        <v>46963</v>
      </c>
      <c r="O11046" s="8">
        <f>12+21/60+50.9/3600</f>
        <v>12.364138888888888</v>
      </c>
      <c r="P11046" s="8" t="s">
        <v>46964</v>
      </c>
      <c r="Q11046" s="8">
        <f>+(26+20/60+29/3600)</f>
        <v>26.341388888888886</v>
      </c>
      <c r="R11046" s="8">
        <v>14.5</v>
      </c>
      <c r="S11046" s="8">
        <v>15.5</v>
      </c>
      <c r="T11046" s="8">
        <v>1</v>
      </c>
      <c r="U11046" s="8">
        <v>13.1</v>
      </c>
      <c r="V11046" s="8">
        <v>0.5</v>
      </c>
      <c r="W11046" s="8">
        <v>0.5</v>
      </c>
      <c r="Y11046" s="8" t="s">
        <v>46965</v>
      </c>
      <c r="Z11046" s="8" t="s">
        <v>46966</v>
      </c>
    </row>
    <row r="11047" spans="1:26" x14ac:dyDescent="0.2">
      <c r="A11047" s="8">
        <v>11046</v>
      </c>
      <c r="B11047" s="8" t="s">
        <v>46967</v>
      </c>
      <c r="C11047" s="8" t="s">
        <v>46967</v>
      </c>
      <c r="G11047" s="8">
        <v>20</v>
      </c>
      <c r="H11047" s="8" t="s">
        <v>21</v>
      </c>
      <c r="I11047" s="8" t="s">
        <v>22</v>
      </c>
      <c r="J11047" s="8" t="s">
        <v>22</v>
      </c>
      <c r="K11047" s="8" t="s">
        <v>476</v>
      </c>
      <c r="L11047" s="8" t="s">
        <v>18289</v>
      </c>
      <c r="M11047" s="8" t="s">
        <v>18290</v>
      </c>
      <c r="N11047" s="8" t="s">
        <v>46968</v>
      </c>
      <c r="O11047" s="8">
        <f>12+21/60+51.3/3600</f>
        <v>12.36425</v>
      </c>
      <c r="P11047" s="8" t="s">
        <v>46969</v>
      </c>
      <c r="Q11047" s="8">
        <f>+(26+21/60+51/3600)</f>
        <v>26.364166666666669</v>
      </c>
      <c r="R11047" s="8">
        <v>14.9</v>
      </c>
      <c r="S11047" s="8">
        <v>15.7</v>
      </c>
      <c r="T11047" s="8">
        <v>0.8</v>
      </c>
      <c r="U11047" s="8">
        <v>12</v>
      </c>
      <c r="V11047" s="8">
        <v>0.4</v>
      </c>
      <c r="W11047" s="8">
        <v>0.2</v>
      </c>
      <c r="X11047" s="8">
        <v>115</v>
      </c>
      <c r="Y11047" s="8" t="s">
        <v>46965</v>
      </c>
      <c r="Z11047" s="8" t="s">
        <v>46966</v>
      </c>
    </row>
    <row r="11048" spans="1:26" x14ac:dyDescent="0.2">
      <c r="A11048" s="8">
        <v>11047</v>
      </c>
      <c r="B11048" s="8" t="s">
        <v>46970</v>
      </c>
      <c r="C11048" s="8" t="s">
        <v>46970</v>
      </c>
      <c r="G11048" s="8">
        <v>20</v>
      </c>
      <c r="H11048" s="8" t="s">
        <v>21</v>
      </c>
      <c r="I11048" s="8" t="s">
        <v>22</v>
      </c>
      <c r="J11048" s="8" t="s">
        <v>22</v>
      </c>
      <c r="K11048" s="8" t="s">
        <v>449</v>
      </c>
      <c r="L11048" s="8" t="s">
        <v>18289</v>
      </c>
      <c r="M11048" s="8" t="s">
        <v>18290</v>
      </c>
      <c r="N11048" s="8" t="s">
        <v>46971</v>
      </c>
      <c r="O11048" s="8">
        <f>12+21/60+52.5/3600</f>
        <v>12.364583333333332</v>
      </c>
      <c r="P11048" s="8" t="s">
        <v>46972</v>
      </c>
      <c r="Q11048" s="8">
        <f>+(24+21/60+16/3600)</f>
        <v>24.354444444444447</v>
      </c>
      <c r="R11048" s="8">
        <v>15.2</v>
      </c>
      <c r="S11048" s="8">
        <v>16</v>
      </c>
      <c r="T11048" s="8">
        <v>0.8</v>
      </c>
      <c r="U11048" s="8">
        <v>12.9</v>
      </c>
      <c r="V11048" s="8">
        <v>0.7</v>
      </c>
      <c r="W11048" s="8">
        <v>0.2</v>
      </c>
      <c r="X11048" s="8">
        <v>90</v>
      </c>
      <c r="Y11048" s="8" t="s">
        <v>46973</v>
      </c>
      <c r="Z11048" s="8" t="s">
        <v>46974</v>
      </c>
    </row>
    <row r="11049" spans="1:26" x14ac:dyDescent="0.2">
      <c r="A11049" s="8">
        <v>11048</v>
      </c>
      <c r="B11049" s="8" t="s">
        <v>46975</v>
      </c>
      <c r="C11049" s="8" t="s">
        <v>46975</v>
      </c>
      <c r="G11049" s="8">
        <v>20</v>
      </c>
      <c r="H11049" s="8" t="s">
        <v>21</v>
      </c>
      <c r="I11049" s="8" t="s">
        <v>22</v>
      </c>
      <c r="J11049" s="8" t="s">
        <v>22</v>
      </c>
      <c r="K11049" s="8" t="s">
        <v>36276</v>
      </c>
      <c r="L11049" s="8" t="s">
        <v>17287</v>
      </c>
      <c r="M11049" s="8" t="s">
        <v>17288</v>
      </c>
      <c r="N11049" s="8" t="s">
        <v>46976</v>
      </c>
      <c r="O11049" s="8">
        <f>12+21/60+55.5/3600</f>
        <v>12.365416666666667</v>
      </c>
      <c r="P11049" s="8" t="s">
        <v>46977</v>
      </c>
      <c r="Q11049" s="8">
        <f>+(11+58/60+1/3600)</f>
        <v>11.966944444444444</v>
      </c>
      <c r="R11049" s="8">
        <v>14.7</v>
      </c>
      <c r="S11049" s="8">
        <v>15.3</v>
      </c>
      <c r="T11049" s="8">
        <v>0.6</v>
      </c>
      <c r="U11049" s="8">
        <v>14</v>
      </c>
      <c r="V11049" s="8">
        <v>1.2</v>
      </c>
      <c r="W11049" s="8">
        <v>0.5</v>
      </c>
      <c r="X11049" s="8">
        <v>70</v>
      </c>
      <c r="Y11049" s="8" t="s">
        <v>21</v>
      </c>
      <c r="Z11049" s="8" t="s">
        <v>46978</v>
      </c>
    </row>
    <row r="11050" spans="1:26" x14ac:dyDescent="0.2">
      <c r="A11050" s="8">
        <v>11049</v>
      </c>
      <c r="B11050" s="8" t="s">
        <v>46979</v>
      </c>
      <c r="C11050" s="8" t="s">
        <v>46979</v>
      </c>
      <c r="G11050" s="8">
        <v>20</v>
      </c>
      <c r="H11050" s="8" t="s">
        <v>21</v>
      </c>
      <c r="I11050" s="8" t="s">
        <v>22</v>
      </c>
      <c r="J11050" s="8" t="s">
        <v>22</v>
      </c>
      <c r="K11050" s="8" t="s">
        <v>396</v>
      </c>
      <c r="L11050" s="8" t="s">
        <v>17287</v>
      </c>
      <c r="M11050" s="8" t="s">
        <v>17288</v>
      </c>
      <c r="N11050" s="8" t="s">
        <v>46980</v>
      </c>
      <c r="O11050" s="8">
        <f>12+22/60+6.1/3600</f>
        <v>12.368361111111112</v>
      </c>
      <c r="P11050" s="8" t="s">
        <v>46981</v>
      </c>
      <c r="Q11050" s="8">
        <f>+(11+45/60+17/3600)</f>
        <v>11.754722222222222</v>
      </c>
      <c r="R11050" s="8">
        <v>14.4</v>
      </c>
      <c r="S11050" s="8">
        <v>15.2</v>
      </c>
      <c r="T11050" s="8">
        <v>0.8</v>
      </c>
      <c r="U11050" s="8">
        <v>12.3</v>
      </c>
      <c r="V11050" s="8">
        <v>0.8</v>
      </c>
      <c r="W11050" s="8">
        <v>0.2</v>
      </c>
      <c r="X11050" s="8">
        <v>160</v>
      </c>
      <c r="Y11050" s="8" t="s">
        <v>21</v>
      </c>
      <c r="Z11050" s="8" t="s">
        <v>46982</v>
      </c>
    </row>
    <row r="11051" spans="1:26" x14ac:dyDescent="0.2">
      <c r="A11051" s="8">
        <v>11050</v>
      </c>
      <c r="B11051" s="8" t="s">
        <v>46983</v>
      </c>
      <c r="C11051" s="8" t="s">
        <v>46983</v>
      </c>
      <c r="G11051" s="8">
        <v>20</v>
      </c>
      <c r="H11051" s="8" t="s">
        <v>21</v>
      </c>
      <c r="I11051" s="8" t="s">
        <v>22</v>
      </c>
      <c r="J11051" s="8" t="s">
        <v>22</v>
      </c>
      <c r="K11051" s="8" t="s">
        <v>632</v>
      </c>
      <c r="L11051" s="8" t="s">
        <v>18289</v>
      </c>
      <c r="M11051" s="8" t="s">
        <v>18290</v>
      </c>
      <c r="N11051" s="8" t="s">
        <v>46984</v>
      </c>
      <c r="O11051" s="8">
        <f>12+22/60+0.8/3600</f>
        <v>12.366888888888889</v>
      </c>
      <c r="P11051" s="8" t="s">
        <v>46985</v>
      </c>
      <c r="Q11051" s="8">
        <f>+(28+25/60+52/3600)</f>
        <v>28.431111111111111</v>
      </c>
      <c r="R11051" s="8">
        <v>14.6</v>
      </c>
      <c r="S11051" s="8">
        <v>15.5</v>
      </c>
      <c r="T11051" s="8">
        <v>0.9</v>
      </c>
      <c r="U11051" s="8">
        <v>12.2</v>
      </c>
      <c r="V11051" s="8">
        <v>0.4</v>
      </c>
      <c r="W11051" s="8">
        <v>0.3</v>
      </c>
      <c r="X11051" s="8">
        <v>80</v>
      </c>
      <c r="Y11051" s="8" t="s">
        <v>44849</v>
      </c>
      <c r="Z11051" s="8" t="s">
        <v>44850</v>
      </c>
    </row>
    <row r="11052" spans="1:26" x14ac:dyDescent="0.2">
      <c r="A11052" s="8">
        <v>11051</v>
      </c>
      <c r="B11052" s="8" t="s">
        <v>46986</v>
      </c>
      <c r="C11052" s="8" t="s">
        <v>46986</v>
      </c>
      <c r="G11052" s="8">
        <v>20</v>
      </c>
      <c r="H11052" s="8" t="s">
        <v>21</v>
      </c>
      <c r="I11052" s="8" t="s">
        <v>22</v>
      </c>
      <c r="J11052" s="8" t="s">
        <v>22</v>
      </c>
      <c r="K11052" s="8" t="s">
        <v>3523</v>
      </c>
      <c r="L11052" s="8" t="s">
        <v>17287</v>
      </c>
      <c r="M11052" s="8" t="s">
        <v>17288</v>
      </c>
      <c r="N11052" s="8" t="s">
        <v>46987</v>
      </c>
      <c r="O11052" s="8">
        <f>12+22/60+7.3/3600</f>
        <v>12.368694444444445</v>
      </c>
      <c r="P11052" s="8" t="s">
        <v>46988</v>
      </c>
      <c r="Q11052" s="8">
        <f>+(8+59/60+26/3600)</f>
        <v>8.9905555555555541</v>
      </c>
      <c r="R11052" s="8">
        <v>14.5</v>
      </c>
      <c r="S11052" s="8">
        <v>15.1</v>
      </c>
      <c r="T11052" s="8">
        <v>0.6</v>
      </c>
      <c r="U11052" s="8">
        <v>13.9</v>
      </c>
      <c r="V11052" s="8">
        <v>0.8</v>
      </c>
      <c r="W11052" s="8">
        <v>0.8</v>
      </c>
      <c r="Y11052" s="8" t="s">
        <v>745</v>
      </c>
      <c r="Z11052" s="8" t="s">
        <v>746</v>
      </c>
    </row>
    <row r="11053" spans="1:26" x14ac:dyDescent="0.2">
      <c r="A11053" s="8">
        <v>11052</v>
      </c>
      <c r="B11053" s="8" t="s">
        <v>46989</v>
      </c>
      <c r="C11053" s="8" t="s">
        <v>46989</v>
      </c>
      <c r="G11053" s="8">
        <v>20</v>
      </c>
      <c r="H11053" s="8" t="s">
        <v>21</v>
      </c>
      <c r="I11053" s="8" t="s">
        <v>22</v>
      </c>
      <c r="J11053" s="8" t="s">
        <v>22</v>
      </c>
      <c r="K11053" s="8" t="s">
        <v>160</v>
      </c>
      <c r="L11053" s="8" t="s">
        <v>18289</v>
      </c>
      <c r="M11053" s="8" t="s">
        <v>18290</v>
      </c>
      <c r="N11053" s="8" t="s">
        <v>46990</v>
      </c>
      <c r="O11053" s="8">
        <f>12+22/60+3.4/3600</f>
        <v>12.367611111111112</v>
      </c>
      <c r="P11053" s="8" t="s">
        <v>46991</v>
      </c>
      <c r="Q11053" s="8">
        <f>+(28+11/60+9/3600)</f>
        <v>28.185833333333335</v>
      </c>
      <c r="R11053" s="8">
        <v>15</v>
      </c>
      <c r="S11053" s="8">
        <v>15.7</v>
      </c>
      <c r="T11053" s="8">
        <v>0.7</v>
      </c>
      <c r="U11053" s="8">
        <v>13.3</v>
      </c>
      <c r="V11053" s="8">
        <v>0.5</v>
      </c>
      <c r="W11053" s="8">
        <v>0.5</v>
      </c>
      <c r="Y11053" s="8" t="s">
        <v>1837</v>
      </c>
      <c r="Z11053" s="8" t="s">
        <v>1838</v>
      </c>
    </row>
    <row r="11054" spans="1:26" x14ac:dyDescent="0.2">
      <c r="A11054" s="8">
        <v>11053</v>
      </c>
      <c r="B11054" s="8" t="s">
        <v>46992</v>
      </c>
      <c r="C11054" s="8" t="s">
        <v>46992</v>
      </c>
      <c r="G11054" s="8">
        <v>20</v>
      </c>
      <c r="H11054" s="8" t="s">
        <v>21</v>
      </c>
      <c r="I11054" s="8" t="s">
        <v>22</v>
      </c>
      <c r="J11054" s="8" t="s">
        <v>22</v>
      </c>
      <c r="K11054" s="8" t="s">
        <v>449</v>
      </c>
      <c r="L11054" s="8" t="s">
        <v>18289</v>
      </c>
      <c r="M11054" s="8" t="s">
        <v>18290</v>
      </c>
      <c r="N11054" s="8" t="s">
        <v>46993</v>
      </c>
      <c r="O11054" s="8">
        <f>12+22/60+7.7/3600</f>
        <v>12.368805555555555</v>
      </c>
      <c r="P11054" s="8" t="s">
        <v>46994</v>
      </c>
      <c r="Q11054" s="8">
        <f>+(23+52/60+8/3600)</f>
        <v>23.86888888888889</v>
      </c>
      <c r="R11054" s="8">
        <v>14.7</v>
      </c>
      <c r="S11054" s="8">
        <v>15.5</v>
      </c>
      <c r="T11054" s="8">
        <v>0.8</v>
      </c>
      <c r="U11054" s="8">
        <v>14.4</v>
      </c>
      <c r="V11054" s="8">
        <v>1.2</v>
      </c>
      <c r="W11054" s="8">
        <v>0.7</v>
      </c>
      <c r="X11054" s="8">
        <v>0</v>
      </c>
      <c r="Y11054" s="8" t="s">
        <v>46995</v>
      </c>
      <c r="Z11054" s="8" t="s">
        <v>46996</v>
      </c>
    </row>
    <row r="11055" spans="1:26" x14ac:dyDescent="0.2">
      <c r="A11055" s="8">
        <v>11054</v>
      </c>
      <c r="B11055" s="8" t="s">
        <v>46997</v>
      </c>
      <c r="C11055" s="8" t="s">
        <v>46997</v>
      </c>
      <c r="G11055" s="8">
        <v>20</v>
      </c>
      <c r="H11055" s="8" t="s">
        <v>21</v>
      </c>
      <c r="I11055" s="8" t="s">
        <v>72</v>
      </c>
      <c r="J11055" s="8" t="s">
        <v>72</v>
      </c>
      <c r="K11055" s="8" t="s">
        <v>20</v>
      </c>
      <c r="L11055" s="8" t="s">
        <v>18289</v>
      </c>
      <c r="M11055" s="8" t="s">
        <v>18290</v>
      </c>
      <c r="N11055" s="8" t="s">
        <v>46998</v>
      </c>
      <c r="O11055" s="8">
        <f>12+22/60+9.1/3600</f>
        <v>12.369194444444444</v>
      </c>
      <c r="P11055" s="8" t="s">
        <v>46999</v>
      </c>
      <c r="Q11055" s="8">
        <f>+(27+14/60+6/3600)</f>
        <v>27.234999999999999</v>
      </c>
      <c r="R11055" s="8">
        <v>99</v>
      </c>
      <c r="S11055" s="8">
        <v>99</v>
      </c>
      <c r="T11055" s="8">
        <v>99</v>
      </c>
      <c r="U11055" s="8">
        <v>99</v>
      </c>
      <c r="Y11055" s="8" t="s">
        <v>115</v>
      </c>
      <c r="Z11055" s="8" t="s">
        <v>116</v>
      </c>
    </row>
    <row r="11056" spans="1:26" x14ac:dyDescent="0.2">
      <c r="A11056" s="8">
        <v>11055</v>
      </c>
      <c r="B11056" s="8" t="s">
        <v>47000</v>
      </c>
      <c r="C11056" s="8" t="s">
        <v>47000</v>
      </c>
      <c r="G11056" s="8">
        <v>20</v>
      </c>
      <c r="H11056" s="8" t="s">
        <v>21</v>
      </c>
      <c r="I11056" s="8" t="s">
        <v>22</v>
      </c>
      <c r="J11056" s="8" t="s">
        <v>22</v>
      </c>
      <c r="K11056" s="8" t="s">
        <v>3523</v>
      </c>
      <c r="L11056" s="8" t="s">
        <v>18289</v>
      </c>
      <c r="M11056" s="8" t="s">
        <v>18290</v>
      </c>
      <c r="N11056" s="8" t="s">
        <v>47001</v>
      </c>
      <c r="O11056" s="8">
        <f>12+22/60+10.2/3600</f>
        <v>12.3695</v>
      </c>
      <c r="P11056" s="8" t="s">
        <v>47002</v>
      </c>
      <c r="Q11056" s="8">
        <f>+(26+3/60+6/3600)</f>
        <v>26.051666666666666</v>
      </c>
      <c r="R11056" s="8">
        <v>14.4</v>
      </c>
      <c r="S11056" s="8">
        <v>15</v>
      </c>
      <c r="T11056" s="8">
        <v>0.6</v>
      </c>
      <c r="U11056" s="8">
        <v>14.1</v>
      </c>
      <c r="V11056" s="8">
        <v>1.8</v>
      </c>
      <c r="W11056" s="8">
        <v>0.5</v>
      </c>
      <c r="X11056" s="8">
        <v>92</v>
      </c>
      <c r="Y11056" s="8" t="s">
        <v>47003</v>
      </c>
      <c r="Z11056" s="8" t="s">
        <v>47004</v>
      </c>
    </row>
    <row r="11057" spans="1:26" x14ac:dyDescent="0.2">
      <c r="A11057" s="8">
        <v>11056</v>
      </c>
      <c r="B11057" s="8" t="s">
        <v>47005</v>
      </c>
      <c r="C11057" s="8" t="s">
        <v>47005</v>
      </c>
      <c r="G11057" s="8">
        <v>20</v>
      </c>
      <c r="H11057" s="8" t="s">
        <v>21</v>
      </c>
      <c r="I11057" s="8" t="s">
        <v>22</v>
      </c>
      <c r="J11057" s="8" t="s">
        <v>22</v>
      </c>
      <c r="K11057" s="8" t="s">
        <v>460</v>
      </c>
      <c r="L11057" s="8" t="s">
        <v>18289</v>
      </c>
      <c r="M11057" s="8" t="s">
        <v>18290</v>
      </c>
      <c r="N11057" s="8" t="s">
        <v>47006</v>
      </c>
      <c r="O11057" s="8">
        <f>12+22/60+11.8/3600</f>
        <v>12.369944444444444</v>
      </c>
      <c r="P11057" s="8" t="s">
        <v>47007</v>
      </c>
      <c r="Q11057" s="8">
        <f>+(25+17/60+12/3600)</f>
        <v>25.286666666666669</v>
      </c>
      <c r="R11057" s="8">
        <v>15.2</v>
      </c>
      <c r="S11057" s="8">
        <v>16.2</v>
      </c>
      <c r="T11057" s="8">
        <v>1</v>
      </c>
      <c r="U11057" s="8">
        <v>12.7</v>
      </c>
      <c r="V11057" s="8">
        <v>0.3</v>
      </c>
      <c r="W11057" s="8">
        <v>0.3</v>
      </c>
      <c r="Y11057" s="8" t="s">
        <v>3952</v>
      </c>
      <c r="Z11057" s="8" t="s">
        <v>3953</v>
      </c>
    </row>
    <row r="11058" spans="1:26" x14ac:dyDescent="0.2">
      <c r="A11058" s="8">
        <v>11057</v>
      </c>
      <c r="B11058" s="8" t="s">
        <v>47008</v>
      </c>
      <c r="C11058" s="8" t="s">
        <v>47008</v>
      </c>
      <c r="E11058" s="8">
        <v>1</v>
      </c>
      <c r="G11058" s="8">
        <v>20</v>
      </c>
      <c r="H11058" s="8" t="s">
        <v>21</v>
      </c>
      <c r="I11058" s="8" t="s">
        <v>22</v>
      </c>
      <c r="J11058" s="8" t="s">
        <v>22</v>
      </c>
      <c r="K11058" s="8" t="s">
        <v>37</v>
      </c>
      <c r="L11058" s="8" t="s">
        <v>18289</v>
      </c>
      <c r="M11058" s="8" t="s">
        <v>18290</v>
      </c>
      <c r="N11058" s="8" t="s">
        <v>47009</v>
      </c>
      <c r="O11058" s="8">
        <f>12+22/60+13.5/3600</f>
        <v>12.370416666666667</v>
      </c>
      <c r="P11058" s="8" t="s">
        <v>47010</v>
      </c>
      <c r="Q11058" s="8">
        <f>+(26+23/60+9/3600)</f>
        <v>26.385833333333334</v>
      </c>
      <c r="R11058" s="8">
        <v>15</v>
      </c>
      <c r="S11058" s="8">
        <v>16</v>
      </c>
      <c r="T11058" s="8">
        <v>1</v>
      </c>
      <c r="U11058" s="8">
        <v>11.8</v>
      </c>
      <c r="V11058" s="8">
        <v>0.3</v>
      </c>
      <c r="W11058" s="8">
        <v>0.2</v>
      </c>
      <c r="X11058" s="8">
        <v>5</v>
      </c>
      <c r="Y11058" s="8" t="s">
        <v>45896</v>
      </c>
      <c r="Z11058" s="8" t="s">
        <v>45897</v>
      </c>
    </row>
    <row r="11059" spans="1:26" x14ac:dyDescent="0.2">
      <c r="A11059" s="8">
        <v>11058</v>
      </c>
      <c r="B11059" s="8" t="s">
        <v>47011</v>
      </c>
      <c r="C11059" s="8" t="s">
        <v>47011</v>
      </c>
      <c r="G11059" s="8">
        <v>20</v>
      </c>
      <c r="H11059" s="8" t="s">
        <v>21</v>
      </c>
      <c r="I11059" s="8" t="s">
        <v>22</v>
      </c>
      <c r="J11059" s="8" t="s">
        <v>22</v>
      </c>
      <c r="K11059" s="8" t="s">
        <v>818</v>
      </c>
      <c r="L11059" s="8" t="s">
        <v>17287</v>
      </c>
      <c r="M11059" s="8" t="s">
        <v>17288</v>
      </c>
      <c r="N11059" s="8" t="s">
        <v>47012</v>
      </c>
      <c r="O11059" s="8">
        <f>12+22/60+19.6/3600</f>
        <v>12.372111111111112</v>
      </c>
      <c r="P11059" s="8" t="s">
        <v>47013</v>
      </c>
      <c r="Q11059" s="8">
        <f>+(6+55/60+38/3600)</f>
        <v>6.9272222222222224</v>
      </c>
      <c r="R11059" s="8">
        <v>14.7</v>
      </c>
      <c r="S11059" s="8">
        <v>15.7</v>
      </c>
      <c r="T11059" s="8">
        <v>1</v>
      </c>
      <c r="U11059" s="8">
        <v>12.8</v>
      </c>
      <c r="V11059" s="8">
        <v>0.4</v>
      </c>
      <c r="W11059" s="8">
        <v>0.4</v>
      </c>
      <c r="Y11059" s="8" t="s">
        <v>47014</v>
      </c>
      <c r="Z11059" s="8" t="s">
        <v>47015</v>
      </c>
    </row>
    <row r="11060" spans="1:26" x14ac:dyDescent="0.2">
      <c r="A11060" s="8">
        <v>11059</v>
      </c>
      <c r="B11060" s="8" t="s">
        <v>47016</v>
      </c>
      <c r="C11060" s="8" t="s">
        <v>47016</v>
      </c>
      <c r="G11060" s="8">
        <v>20</v>
      </c>
      <c r="H11060" s="8" t="s">
        <v>21</v>
      </c>
      <c r="I11060" s="8" t="s">
        <v>22</v>
      </c>
      <c r="J11060" s="8" t="s">
        <v>22</v>
      </c>
      <c r="K11060" s="8" t="s">
        <v>449</v>
      </c>
      <c r="L11060" s="8" t="s">
        <v>18289</v>
      </c>
      <c r="M11060" s="8" t="s">
        <v>18290</v>
      </c>
      <c r="N11060" s="8" t="s">
        <v>47017</v>
      </c>
      <c r="O11060" s="8">
        <f>12+22/60+15/3600</f>
        <v>12.370833333333334</v>
      </c>
      <c r="P11060" s="8" t="s">
        <v>47018</v>
      </c>
      <c r="Q11060" s="8">
        <f>+(25+57/60+4/3600)</f>
        <v>25.951111111111111</v>
      </c>
      <c r="R11060" s="8">
        <v>15.2</v>
      </c>
      <c r="S11060" s="8">
        <v>16</v>
      </c>
      <c r="T11060" s="8">
        <v>0.8</v>
      </c>
      <c r="U11060" s="8">
        <v>12.2</v>
      </c>
      <c r="V11060" s="8">
        <v>0.7</v>
      </c>
      <c r="W11060" s="8">
        <v>0.1</v>
      </c>
      <c r="X11060" s="8">
        <v>5</v>
      </c>
      <c r="Y11060" s="8" t="s">
        <v>47019</v>
      </c>
      <c r="Z11060" s="8" t="s">
        <v>47020</v>
      </c>
    </row>
    <row r="11061" spans="1:26" x14ac:dyDescent="0.2">
      <c r="A11061" s="8">
        <v>11060</v>
      </c>
      <c r="B11061" s="8" t="s">
        <v>47021</v>
      </c>
      <c r="C11061" s="8" t="s">
        <v>47021</v>
      </c>
      <c r="G11061" s="8">
        <v>20</v>
      </c>
      <c r="H11061" s="8" t="s">
        <v>21</v>
      </c>
      <c r="I11061" s="8" t="s">
        <v>22</v>
      </c>
      <c r="J11061" s="8" t="s">
        <v>22</v>
      </c>
      <c r="K11061" s="8" t="s">
        <v>818</v>
      </c>
      <c r="L11061" s="8" t="s">
        <v>17287</v>
      </c>
      <c r="M11061" s="8" t="s">
        <v>17288</v>
      </c>
      <c r="N11061" s="8" t="s">
        <v>47022</v>
      </c>
      <c r="O11061" s="8">
        <f>12+22/60+21.7/3600</f>
        <v>12.372694444444445</v>
      </c>
      <c r="P11061" s="8" t="s">
        <v>47023</v>
      </c>
      <c r="Q11061" s="8">
        <f>+(10+36/60+4/3600)</f>
        <v>10.601111111111111</v>
      </c>
      <c r="R11061" s="8">
        <v>14.8</v>
      </c>
      <c r="S11061" s="8">
        <v>15.8</v>
      </c>
      <c r="T11061" s="8">
        <v>1</v>
      </c>
      <c r="U11061" s="8">
        <v>14.1</v>
      </c>
      <c r="V11061" s="8">
        <v>1</v>
      </c>
      <c r="W11061" s="8">
        <v>0.5</v>
      </c>
      <c r="X11061" s="8">
        <v>5</v>
      </c>
      <c r="Y11061" s="8" t="s">
        <v>46390</v>
      </c>
      <c r="Z11061" s="8" t="s">
        <v>46391</v>
      </c>
    </row>
    <row r="11062" spans="1:26" x14ac:dyDescent="0.2">
      <c r="A11062" s="8">
        <v>11061</v>
      </c>
      <c r="B11062" s="8" t="s">
        <v>47024</v>
      </c>
      <c r="C11062" s="8" t="s">
        <v>47024</v>
      </c>
      <c r="G11062" s="8">
        <v>20</v>
      </c>
      <c r="H11062" s="8" t="s">
        <v>21</v>
      </c>
      <c r="I11062" s="8" t="s">
        <v>22</v>
      </c>
      <c r="J11062" s="8" t="s">
        <v>22</v>
      </c>
      <c r="K11062" s="8" t="s">
        <v>449</v>
      </c>
      <c r="L11062" s="8" t="s">
        <v>18289</v>
      </c>
      <c r="M11062" s="8" t="s">
        <v>18290</v>
      </c>
      <c r="N11062" s="8" t="s">
        <v>47025</v>
      </c>
      <c r="O11062" s="8">
        <f>12+22/60+20.1/3600</f>
        <v>12.372250000000001</v>
      </c>
      <c r="P11062" s="8" t="s">
        <v>47026</v>
      </c>
      <c r="Q11062" s="8">
        <f>+(25+17/60+0/3600)</f>
        <v>25.283333333333335</v>
      </c>
      <c r="R11062" s="8">
        <v>15.9</v>
      </c>
      <c r="S11062" s="8">
        <v>16.7</v>
      </c>
      <c r="T11062" s="8">
        <v>0.8</v>
      </c>
      <c r="U11062" s="8">
        <v>11.9</v>
      </c>
      <c r="V11062" s="8">
        <v>0.3</v>
      </c>
      <c r="W11062" s="8">
        <v>0.1</v>
      </c>
      <c r="X11062" s="8">
        <v>130</v>
      </c>
      <c r="Y11062" s="8" t="s">
        <v>47027</v>
      </c>
      <c r="Z11062" s="8" t="s">
        <v>47028</v>
      </c>
    </row>
    <row r="11063" spans="1:26" x14ac:dyDescent="0.2">
      <c r="A11063" s="8">
        <v>11062</v>
      </c>
      <c r="B11063" s="8" t="s">
        <v>47029</v>
      </c>
      <c r="C11063" s="8" t="s">
        <v>47029</v>
      </c>
      <c r="G11063" s="8">
        <v>20</v>
      </c>
      <c r="H11063" s="8" t="s">
        <v>21</v>
      </c>
      <c r="I11063" s="8" t="s">
        <v>22</v>
      </c>
      <c r="J11063" s="8" t="s">
        <v>22</v>
      </c>
      <c r="K11063" s="8" t="s">
        <v>64</v>
      </c>
      <c r="L11063" s="8" t="s">
        <v>18289</v>
      </c>
      <c r="M11063" s="8" t="s">
        <v>18290</v>
      </c>
      <c r="N11063" s="8" t="s">
        <v>47030</v>
      </c>
      <c r="O11063" s="8">
        <f>12+22/60+19.5/3600</f>
        <v>12.372083333333334</v>
      </c>
      <c r="P11063" s="8" t="s">
        <v>47031</v>
      </c>
      <c r="Q11063" s="8">
        <f>+(28+49/60+53/3600)</f>
        <v>28.831388888888888</v>
      </c>
      <c r="R11063" s="8">
        <v>14.8</v>
      </c>
      <c r="S11063" s="8">
        <v>15.5</v>
      </c>
      <c r="T11063" s="8">
        <v>0.7</v>
      </c>
      <c r="U11063" s="8">
        <v>14</v>
      </c>
      <c r="V11063" s="8">
        <v>0.9</v>
      </c>
      <c r="W11063" s="8">
        <v>0.6</v>
      </c>
      <c r="X11063" s="8">
        <v>17</v>
      </c>
      <c r="Y11063" s="8" t="s">
        <v>44713</v>
      </c>
      <c r="Z11063" s="8" t="s">
        <v>44714</v>
      </c>
    </row>
    <row r="11064" spans="1:26" x14ac:dyDescent="0.2">
      <c r="A11064" s="8">
        <v>11063</v>
      </c>
      <c r="B11064" s="8" t="s">
        <v>47032</v>
      </c>
      <c r="C11064" s="8" t="s">
        <v>47032</v>
      </c>
      <c r="G11064" s="8">
        <v>20</v>
      </c>
      <c r="H11064" s="8" t="s">
        <v>21</v>
      </c>
      <c r="I11064" s="8" t="s">
        <v>329</v>
      </c>
      <c r="J11064" s="8" t="s">
        <v>329</v>
      </c>
      <c r="K11064" s="8" t="s">
        <v>329</v>
      </c>
      <c r="L11064" s="8" t="s">
        <v>17287</v>
      </c>
      <c r="M11064" s="8" t="s">
        <v>17288</v>
      </c>
      <c r="N11064" s="8" t="s">
        <v>47033</v>
      </c>
      <c r="O11064" s="8">
        <f>12+22/60+30.6/3600</f>
        <v>12.375166666666667</v>
      </c>
      <c r="P11064" s="8" t="s">
        <v>47034</v>
      </c>
      <c r="Q11064" s="8">
        <f>+(9+29/60+14/3600)</f>
        <v>9.487222222222222</v>
      </c>
      <c r="R11064" s="8">
        <v>99</v>
      </c>
      <c r="S11064" s="8">
        <v>99</v>
      </c>
      <c r="T11064" s="8">
        <v>99</v>
      </c>
      <c r="U11064" s="8">
        <v>99</v>
      </c>
      <c r="Y11064" s="8" t="s">
        <v>47035</v>
      </c>
      <c r="Z11064" s="8" t="s">
        <v>47036</v>
      </c>
    </row>
    <row r="11065" spans="1:26" x14ac:dyDescent="0.2">
      <c r="A11065" s="8">
        <v>11064</v>
      </c>
      <c r="B11065" s="8" t="s">
        <v>47037</v>
      </c>
      <c r="C11065" s="8" t="s">
        <v>47037</v>
      </c>
      <c r="G11065" s="8">
        <v>20</v>
      </c>
      <c r="H11065" s="8" t="s">
        <v>21</v>
      </c>
      <c r="I11065" s="8" t="s">
        <v>22</v>
      </c>
      <c r="J11065" s="8" t="s">
        <v>22</v>
      </c>
      <c r="K11065" s="8" t="s">
        <v>1174</v>
      </c>
      <c r="L11065" s="8" t="s">
        <v>17287</v>
      </c>
      <c r="M11065" s="8" t="s">
        <v>17288</v>
      </c>
      <c r="N11065" s="8" t="s">
        <v>47038</v>
      </c>
      <c r="O11065" s="8">
        <f>12+22/60+36/3600</f>
        <v>12.376666666666667</v>
      </c>
      <c r="P11065" s="8" t="s">
        <v>47039</v>
      </c>
      <c r="Q11065" s="8">
        <f>+(12+9/60+30/3600)</f>
        <v>12.158333333333333</v>
      </c>
      <c r="R11065" s="8">
        <v>15.6</v>
      </c>
      <c r="S11065" s="8">
        <v>16.399999999999999</v>
      </c>
      <c r="T11065" s="8">
        <v>0.8</v>
      </c>
      <c r="U11065" s="8">
        <v>13.1</v>
      </c>
      <c r="V11065" s="8">
        <v>0.4</v>
      </c>
      <c r="W11065" s="8">
        <v>0.3</v>
      </c>
      <c r="X11065" s="8">
        <v>70</v>
      </c>
      <c r="Y11065" s="8" t="s">
        <v>46390</v>
      </c>
      <c r="Z11065" s="8" t="s">
        <v>46391</v>
      </c>
    </row>
    <row r="11066" spans="1:26" x14ac:dyDescent="0.2">
      <c r="A11066" s="8">
        <v>11065</v>
      </c>
      <c r="B11066" s="8" t="s">
        <v>47040</v>
      </c>
      <c r="C11066" s="8" t="s">
        <v>47040</v>
      </c>
      <c r="G11066" s="8">
        <v>20</v>
      </c>
      <c r="H11066" s="8" t="s">
        <v>21</v>
      </c>
      <c r="I11066" s="8" t="s">
        <v>22</v>
      </c>
      <c r="J11066" s="8" t="s">
        <v>22</v>
      </c>
      <c r="K11066" s="8" t="s">
        <v>3523</v>
      </c>
      <c r="L11066" s="8" t="s">
        <v>17287</v>
      </c>
      <c r="M11066" s="8" t="s">
        <v>17288</v>
      </c>
      <c r="N11066" s="8" t="s">
        <v>47041</v>
      </c>
      <c r="O11066" s="8">
        <f>12+22/60+39/3600</f>
        <v>12.377500000000001</v>
      </c>
      <c r="P11066" s="8" t="s">
        <v>47042</v>
      </c>
      <c r="Q11066" s="8">
        <f>+(6+40/60+35/3600)</f>
        <v>6.6763888888888889</v>
      </c>
      <c r="R11066" s="8">
        <v>13.9</v>
      </c>
      <c r="S11066" s="8">
        <v>14.5</v>
      </c>
      <c r="T11066" s="8">
        <v>0.6</v>
      </c>
      <c r="U11066" s="8">
        <v>13.8</v>
      </c>
      <c r="V11066" s="8">
        <v>1.8</v>
      </c>
      <c r="W11066" s="8">
        <v>0.6</v>
      </c>
      <c r="X11066" s="8">
        <v>40</v>
      </c>
      <c r="Y11066" s="8" t="s">
        <v>47043</v>
      </c>
      <c r="Z11066" s="8" t="s">
        <v>47044</v>
      </c>
    </row>
    <row r="11067" spans="1:26" x14ac:dyDescent="0.2">
      <c r="A11067" s="8">
        <v>11066</v>
      </c>
      <c r="B11067" s="8" t="s">
        <v>47045</v>
      </c>
      <c r="C11067" s="8" t="s">
        <v>47045</v>
      </c>
      <c r="G11067" s="8">
        <v>20</v>
      </c>
      <c r="H11067" s="8" t="s">
        <v>21</v>
      </c>
      <c r="I11067" s="8" t="s">
        <v>72</v>
      </c>
      <c r="J11067" s="8" t="s">
        <v>72</v>
      </c>
      <c r="K11067" s="8" t="s">
        <v>73</v>
      </c>
      <c r="L11067" s="8" t="s">
        <v>18289</v>
      </c>
      <c r="M11067" s="8" t="s">
        <v>18290</v>
      </c>
      <c r="N11067" s="8" t="s">
        <v>47046</v>
      </c>
      <c r="O11067" s="8">
        <f>12+22/60+34.6/3600</f>
        <v>12.376277777777778</v>
      </c>
      <c r="P11067" s="8" t="s">
        <v>47047</v>
      </c>
      <c r="Q11067" s="8">
        <f>+(26+3/60+54/3600)</f>
        <v>26.065000000000001</v>
      </c>
      <c r="R11067" s="8">
        <v>99</v>
      </c>
      <c r="S11067" s="8">
        <v>99</v>
      </c>
      <c r="T11067" s="8">
        <v>99</v>
      </c>
      <c r="U11067" s="8">
        <v>99</v>
      </c>
      <c r="Y11067" s="8" t="s">
        <v>47048</v>
      </c>
      <c r="Z11067" s="8" t="s">
        <v>47049</v>
      </c>
    </row>
    <row r="11068" spans="1:26" x14ac:dyDescent="0.2">
      <c r="A11068" s="8">
        <v>11067</v>
      </c>
      <c r="B11068" s="8" t="s">
        <v>47050</v>
      </c>
      <c r="C11068" s="8" t="s">
        <v>47050</v>
      </c>
      <c r="G11068" s="8">
        <v>20</v>
      </c>
      <c r="H11068" s="8" t="s">
        <v>21</v>
      </c>
      <c r="I11068" s="8" t="s">
        <v>22</v>
      </c>
      <c r="J11068" s="8" t="s">
        <v>22</v>
      </c>
      <c r="K11068" s="8" t="s">
        <v>476</v>
      </c>
      <c r="L11068" s="8" t="s">
        <v>18289</v>
      </c>
      <c r="M11068" s="8" t="s">
        <v>18290</v>
      </c>
      <c r="N11068" s="8" t="s">
        <v>47051</v>
      </c>
      <c r="O11068" s="8">
        <f>12+22/60+35.6/3600</f>
        <v>12.376555555555557</v>
      </c>
      <c r="P11068" s="8" t="s">
        <v>47052</v>
      </c>
      <c r="Q11068" s="8">
        <f>+(24+5/60+9/3600)</f>
        <v>24.085833333333333</v>
      </c>
      <c r="R11068" s="8">
        <v>16.100000000000001</v>
      </c>
      <c r="S11068" s="8">
        <v>16.899999999999999</v>
      </c>
      <c r="T11068" s="8">
        <v>0.8</v>
      </c>
      <c r="U11068" s="8">
        <v>13.2</v>
      </c>
      <c r="V11068" s="8">
        <v>0.4</v>
      </c>
      <c r="W11068" s="8">
        <v>0.2</v>
      </c>
      <c r="X11068" s="8">
        <v>0</v>
      </c>
      <c r="Y11068" s="8" t="s">
        <v>22305</v>
      </c>
      <c r="Z11068" s="8" t="s">
        <v>22306</v>
      </c>
    </row>
    <row r="11069" spans="1:26" x14ac:dyDescent="0.2">
      <c r="A11069" s="8">
        <v>11068</v>
      </c>
      <c r="B11069" s="8" t="s">
        <v>47053</v>
      </c>
      <c r="C11069" s="8" t="s">
        <v>47053</v>
      </c>
      <c r="G11069" s="8">
        <v>20</v>
      </c>
      <c r="H11069" s="8" t="s">
        <v>21</v>
      </c>
      <c r="I11069" s="8" t="s">
        <v>22</v>
      </c>
      <c r="J11069" s="8" t="s">
        <v>22</v>
      </c>
      <c r="K11069" s="8" t="s">
        <v>449</v>
      </c>
      <c r="L11069" s="8" t="s">
        <v>18289</v>
      </c>
      <c r="M11069" s="8" t="s">
        <v>18290</v>
      </c>
      <c r="N11069" s="8" t="s">
        <v>47054</v>
      </c>
      <c r="O11069" s="8">
        <f>12+22/60+39.4/3600</f>
        <v>12.377611111111111</v>
      </c>
      <c r="P11069" s="8" t="s">
        <v>47055</v>
      </c>
      <c r="Q11069" s="8">
        <f>+(24+19/60+48/3600)</f>
        <v>24.33</v>
      </c>
      <c r="R11069" s="8">
        <v>14.7</v>
      </c>
      <c r="S11069" s="8">
        <v>15.5</v>
      </c>
      <c r="T11069" s="8">
        <v>0.8</v>
      </c>
      <c r="U11069" s="8">
        <v>12.4</v>
      </c>
      <c r="V11069" s="8">
        <v>0.7</v>
      </c>
      <c r="W11069" s="8">
        <v>0.2</v>
      </c>
      <c r="X11069" s="8">
        <v>135</v>
      </c>
      <c r="Y11069" s="8" t="s">
        <v>47056</v>
      </c>
      <c r="Z11069" s="8" t="s">
        <v>47057</v>
      </c>
    </row>
    <row r="11070" spans="1:26" x14ac:dyDescent="0.2">
      <c r="A11070" s="8">
        <v>11069</v>
      </c>
      <c r="B11070" s="8" t="s">
        <v>47058</v>
      </c>
      <c r="C11070" s="8" t="s">
        <v>47058</v>
      </c>
      <c r="G11070" s="8">
        <v>20</v>
      </c>
      <c r="H11070" s="8" t="s">
        <v>21</v>
      </c>
      <c r="I11070" s="8" t="s">
        <v>22</v>
      </c>
      <c r="J11070" s="8" t="s">
        <v>22</v>
      </c>
      <c r="K11070" s="8" t="s">
        <v>396</v>
      </c>
      <c r="L11070" s="8" t="s">
        <v>17287</v>
      </c>
      <c r="M11070" s="8" t="s">
        <v>17288</v>
      </c>
      <c r="N11070" s="8" t="s">
        <v>47059</v>
      </c>
      <c r="O11070" s="8">
        <f>12+22/60+52.8/3600</f>
        <v>12.381333333333334</v>
      </c>
      <c r="P11070" s="8" t="s">
        <v>47060</v>
      </c>
      <c r="Q11070" s="8">
        <f>+(6+40/60+48/3600)</f>
        <v>6.6800000000000006</v>
      </c>
      <c r="R11070" s="8">
        <v>14.4</v>
      </c>
      <c r="S11070" s="8">
        <v>15.2</v>
      </c>
      <c r="T11070" s="8">
        <v>0.8</v>
      </c>
      <c r="U11070" s="8">
        <v>12.9</v>
      </c>
      <c r="V11070" s="8">
        <v>1</v>
      </c>
      <c r="W11070" s="8">
        <v>0.3</v>
      </c>
      <c r="X11070" s="8">
        <v>47</v>
      </c>
      <c r="Y11070" s="8" t="s">
        <v>47061</v>
      </c>
      <c r="Z11070" s="8" t="s">
        <v>47062</v>
      </c>
    </row>
    <row r="11071" spans="1:26" x14ac:dyDescent="0.2">
      <c r="A11071" s="8">
        <v>11070</v>
      </c>
      <c r="B11071" s="8" t="s">
        <v>47063</v>
      </c>
      <c r="C11071" s="8" t="s">
        <v>47063</v>
      </c>
      <c r="G11071" s="8">
        <v>20</v>
      </c>
      <c r="H11071" s="8" t="s">
        <v>21</v>
      </c>
      <c r="I11071" s="8" t="s">
        <v>22</v>
      </c>
      <c r="J11071" s="8" t="s">
        <v>22</v>
      </c>
      <c r="K11071" s="8" t="s">
        <v>37</v>
      </c>
      <c r="L11071" s="8" t="s">
        <v>18289</v>
      </c>
      <c r="M11071" s="8" t="s">
        <v>18290</v>
      </c>
      <c r="N11071" s="8" t="s">
        <v>47064</v>
      </c>
      <c r="O11071" s="8">
        <f>12+22/60+39.6/3600</f>
        <v>12.377666666666666</v>
      </c>
      <c r="P11071" s="8" t="s">
        <v>47065</v>
      </c>
      <c r="Q11071" s="8">
        <f>+(27+44/60+48/3600)</f>
        <v>27.746666666666666</v>
      </c>
      <c r="R11071" s="8">
        <v>15.8</v>
      </c>
      <c r="S11071" s="8">
        <v>16.8</v>
      </c>
      <c r="T11071" s="8">
        <v>1</v>
      </c>
      <c r="U11071" s="8">
        <v>12.6</v>
      </c>
      <c r="V11071" s="8">
        <v>0.3</v>
      </c>
      <c r="W11071" s="8">
        <v>0.2</v>
      </c>
      <c r="X11071" s="8">
        <v>90</v>
      </c>
      <c r="Y11071" s="8" t="s">
        <v>45091</v>
      </c>
      <c r="Z11071" s="8" t="s">
        <v>45092</v>
      </c>
    </row>
    <row r="11072" spans="1:26" x14ac:dyDescent="0.2">
      <c r="A11072" s="8">
        <v>11071</v>
      </c>
      <c r="B11072" s="8" t="s">
        <v>47066</v>
      </c>
      <c r="C11072" s="8" t="s">
        <v>47066</v>
      </c>
      <c r="G11072" s="8">
        <v>20</v>
      </c>
      <c r="H11072" s="8" t="s">
        <v>21</v>
      </c>
      <c r="I11072" s="8" t="s">
        <v>22</v>
      </c>
      <c r="J11072" s="8" t="s">
        <v>22</v>
      </c>
      <c r="K11072" s="8" t="s">
        <v>476</v>
      </c>
      <c r="L11072" s="8" t="s">
        <v>18289</v>
      </c>
      <c r="M11072" s="8" t="s">
        <v>18290</v>
      </c>
      <c r="N11072" s="8" t="s">
        <v>47067</v>
      </c>
      <c r="O11072" s="8">
        <f>12+22/60+43.7/3600</f>
        <v>12.378805555555555</v>
      </c>
      <c r="P11072" s="8" t="s">
        <v>47068</v>
      </c>
      <c r="Q11072" s="8">
        <f>+(24+49/60+14/3600)</f>
        <v>24.820555555555554</v>
      </c>
      <c r="R11072" s="8">
        <v>15.2</v>
      </c>
      <c r="S11072" s="8">
        <v>16</v>
      </c>
      <c r="T11072" s="8">
        <v>0.8</v>
      </c>
      <c r="U11072" s="8">
        <v>13.3</v>
      </c>
      <c r="V11072" s="8">
        <v>0.5</v>
      </c>
      <c r="W11072" s="8">
        <v>0.4</v>
      </c>
      <c r="X11072" s="8">
        <v>25</v>
      </c>
      <c r="Y11072" s="8" t="s">
        <v>47069</v>
      </c>
      <c r="Z11072" s="8" t="s">
        <v>47070</v>
      </c>
    </row>
    <row r="11073" spans="1:26" x14ac:dyDescent="0.2">
      <c r="A11073" s="8">
        <v>11072</v>
      </c>
      <c r="B11073" s="8" t="s">
        <v>47071</v>
      </c>
      <c r="C11073" s="8" t="s">
        <v>47071</v>
      </c>
      <c r="G11073" s="8">
        <v>20</v>
      </c>
      <c r="H11073" s="8" t="s">
        <v>21</v>
      </c>
      <c r="I11073" s="8" t="s">
        <v>72</v>
      </c>
      <c r="J11073" s="8" t="s">
        <v>72</v>
      </c>
      <c r="K11073" s="8" t="s">
        <v>20</v>
      </c>
      <c r="L11073" s="8" t="s">
        <v>18289</v>
      </c>
      <c r="M11073" s="8" t="s">
        <v>18290</v>
      </c>
      <c r="N11073" s="8" t="s">
        <v>47072</v>
      </c>
      <c r="O11073" s="8">
        <f>12+22/60+47.8/3600</f>
        <v>12.379944444444446</v>
      </c>
      <c r="P11073" s="8" t="s">
        <v>47073</v>
      </c>
      <c r="Q11073" s="8">
        <f>+(24+25/60+33/3600)</f>
        <v>24.425833333333333</v>
      </c>
      <c r="R11073" s="8">
        <v>99</v>
      </c>
      <c r="S11073" s="8">
        <v>15.2</v>
      </c>
      <c r="T11073" s="8">
        <v>99</v>
      </c>
      <c r="U11073" s="8">
        <v>99</v>
      </c>
      <c r="Y11073" s="8" t="s">
        <v>47074</v>
      </c>
      <c r="Z11073" s="8" t="s">
        <v>47075</v>
      </c>
    </row>
    <row r="11074" spans="1:26" x14ac:dyDescent="0.2">
      <c r="A11074" s="8">
        <v>11073</v>
      </c>
      <c r="B11074" s="8" t="s">
        <v>47076</v>
      </c>
      <c r="C11074" s="8" t="s">
        <v>47076</v>
      </c>
      <c r="G11074" s="8">
        <v>20</v>
      </c>
      <c r="H11074" s="8" t="s">
        <v>21</v>
      </c>
      <c r="I11074" s="8" t="s">
        <v>22</v>
      </c>
      <c r="J11074" s="8" t="s">
        <v>22</v>
      </c>
      <c r="K11074" s="8" t="s">
        <v>37</v>
      </c>
      <c r="L11074" s="8" t="s">
        <v>17287</v>
      </c>
      <c r="M11074" s="8" t="s">
        <v>17288</v>
      </c>
      <c r="N11074" s="8" t="s">
        <v>19591</v>
      </c>
      <c r="O11074" s="8">
        <f>12+22/60+54.9/3600</f>
        <v>12.381916666666667</v>
      </c>
      <c r="P11074" s="8" t="s">
        <v>47077</v>
      </c>
      <c r="Q11074" s="8">
        <f>+(12+33/60+59/3600)</f>
        <v>12.566388888888889</v>
      </c>
      <c r="R11074" s="8">
        <v>15.5</v>
      </c>
      <c r="S11074" s="8">
        <v>16.5</v>
      </c>
      <c r="T11074" s="8">
        <v>1</v>
      </c>
      <c r="U11074" s="8">
        <v>11.6</v>
      </c>
      <c r="V11074" s="8">
        <v>0.3</v>
      </c>
      <c r="W11074" s="8">
        <v>0.1</v>
      </c>
      <c r="X11074" s="8">
        <v>90</v>
      </c>
      <c r="Y11074" s="8" t="s">
        <v>46674</v>
      </c>
      <c r="Z11074" s="8" t="s">
        <v>46222</v>
      </c>
    </row>
    <row r="11075" spans="1:26" x14ac:dyDescent="0.2">
      <c r="A11075" s="8">
        <v>11074</v>
      </c>
      <c r="B11075" s="8" t="s">
        <v>47078</v>
      </c>
      <c r="C11075" s="8" t="s">
        <v>47078</v>
      </c>
      <c r="G11075" s="8">
        <v>20</v>
      </c>
      <c r="H11075" s="8" t="s">
        <v>21</v>
      </c>
      <c r="I11075" s="8" t="s">
        <v>22</v>
      </c>
      <c r="J11075" s="8" t="s">
        <v>22</v>
      </c>
      <c r="K11075" s="8" t="s">
        <v>460</v>
      </c>
      <c r="L11075" s="8" t="s">
        <v>18289</v>
      </c>
      <c r="M11075" s="8" t="s">
        <v>18290</v>
      </c>
      <c r="N11075" s="8" t="s">
        <v>47079</v>
      </c>
      <c r="O11075" s="8">
        <f>12+22/60+52.1/3600</f>
        <v>12.38113888888889</v>
      </c>
      <c r="P11075" s="8" t="s">
        <v>47080</v>
      </c>
      <c r="Q11075" s="8">
        <f>+(28+6/60+46/3600)</f>
        <v>28.112777777777779</v>
      </c>
      <c r="R11075" s="8">
        <v>15.2</v>
      </c>
      <c r="S11075" s="8">
        <v>16.2</v>
      </c>
      <c r="T11075" s="8">
        <v>1</v>
      </c>
      <c r="U11075" s="8">
        <v>12.7</v>
      </c>
      <c r="V11075" s="8">
        <v>0.3</v>
      </c>
      <c r="W11075" s="8">
        <v>0.3</v>
      </c>
      <c r="Y11075" s="8" t="s">
        <v>2641</v>
      </c>
      <c r="Z11075" s="8" t="s">
        <v>2642</v>
      </c>
    </row>
    <row r="11076" spans="1:26" x14ac:dyDescent="0.2">
      <c r="A11076" s="8">
        <v>11075</v>
      </c>
      <c r="B11076" s="8" t="s">
        <v>47081</v>
      </c>
      <c r="C11076" s="8" t="s">
        <v>47081</v>
      </c>
      <c r="G11076" s="8">
        <v>20</v>
      </c>
      <c r="H11076" s="8" t="s">
        <v>21</v>
      </c>
      <c r="I11076" s="8" t="s">
        <v>22</v>
      </c>
      <c r="J11076" s="8" t="s">
        <v>22</v>
      </c>
      <c r="K11076" s="8" t="s">
        <v>449</v>
      </c>
      <c r="L11076" s="8" t="s">
        <v>18289</v>
      </c>
      <c r="M11076" s="8" t="s">
        <v>18290</v>
      </c>
      <c r="N11076" s="8" t="s">
        <v>47082</v>
      </c>
      <c r="O11076" s="8">
        <f>12+22/60+57.9/3600</f>
        <v>12.38275</v>
      </c>
      <c r="P11076" s="8" t="s">
        <v>47083</v>
      </c>
      <c r="Q11076" s="8">
        <f>+(13+32/60+43/3600)</f>
        <v>13.545277777777777</v>
      </c>
      <c r="R11076" s="8">
        <v>15.7</v>
      </c>
      <c r="S11076" s="8">
        <v>16.5</v>
      </c>
      <c r="T11076" s="8">
        <v>0.8</v>
      </c>
      <c r="U11076" s="8">
        <v>13.5</v>
      </c>
      <c r="V11076" s="8">
        <v>0.5</v>
      </c>
      <c r="W11076" s="8">
        <v>0.3</v>
      </c>
      <c r="X11076" s="8">
        <v>135</v>
      </c>
      <c r="Y11076" s="8" t="s">
        <v>47084</v>
      </c>
      <c r="Z11076" s="8" t="s">
        <v>47085</v>
      </c>
    </row>
    <row r="11077" spans="1:26" x14ac:dyDescent="0.2">
      <c r="A11077" s="8">
        <v>11076</v>
      </c>
      <c r="B11077" s="8" t="s">
        <v>47086</v>
      </c>
      <c r="C11077" s="8" t="s">
        <v>47086</v>
      </c>
      <c r="G11077" s="8">
        <v>20</v>
      </c>
      <c r="H11077" s="8" t="s">
        <v>21</v>
      </c>
      <c r="I11077" s="8" t="s">
        <v>22</v>
      </c>
      <c r="J11077" s="8" t="s">
        <v>22</v>
      </c>
      <c r="K11077" s="8" t="s">
        <v>449</v>
      </c>
      <c r="L11077" s="8" t="s">
        <v>17287</v>
      </c>
      <c r="M11077" s="8" t="s">
        <v>17288</v>
      </c>
      <c r="N11077" s="8" t="s">
        <v>47087</v>
      </c>
      <c r="O11077" s="8">
        <f>12+23/60+0.2/3600</f>
        <v>12.383388888888888</v>
      </c>
      <c r="P11077" s="8" t="s">
        <v>47088</v>
      </c>
      <c r="Q11077" s="8">
        <f>+(10+6/60+6/3600)</f>
        <v>10.101666666666667</v>
      </c>
      <c r="R11077" s="8">
        <v>15.7</v>
      </c>
      <c r="S11077" s="8">
        <v>16.5</v>
      </c>
      <c r="T11077" s="8">
        <v>0.8</v>
      </c>
      <c r="U11077" s="8">
        <v>13.8</v>
      </c>
      <c r="V11077" s="8">
        <v>0.5</v>
      </c>
      <c r="W11077" s="8">
        <v>0.4</v>
      </c>
      <c r="X11077" s="8">
        <v>120</v>
      </c>
      <c r="Y11077" s="8" t="s">
        <v>46279</v>
      </c>
      <c r="Z11077" s="8" t="s">
        <v>46280</v>
      </c>
    </row>
    <row r="11078" spans="1:26" x14ac:dyDescent="0.2">
      <c r="A11078" s="8">
        <v>11077</v>
      </c>
      <c r="B11078" s="8" t="s">
        <v>47089</v>
      </c>
      <c r="C11078" s="8" t="s">
        <v>47089</v>
      </c>
      <c r="G11078" s="8">
        <v>20</v>
      </c>
      <c r="H11078" s="8" t="s">
        <v>21</v>
      </c>
      <c r="I11078" s="8" t="s">
        <v>22</v>
      </c>
      <c r="J11078" s="8" t="s">
        <v>22</v>
      </c>
      <c r="K11078" s="8" t="s">
        <v>449</v>
      </c>
      <c r="L11078" s="8" t="s">
        <v>18289</v>
      </c>
      <c r="M11078" s="8" t="s">
        <v>18290</v>
      </c>
      <c r="N11078" s="8" t="s">
        <v>47090</v>
      </c>
      <c r="O11078" s="8">
        <f>12+22/60+58/3600</f>
        <v>12.382777777777779</v>
      </c>
      <c r="P11078" s="8" t="s">
        <v>47091</v>
      </c>
      <c r="Q11078" s="8">
        <f>+(28+29/60+38/3600)</f>
        <v>28.49388888888889</v>
      </c>
      <c r="R11078" s="8">
        <v>15.2</v>
      </c>
      <c r="S11078" s="8">
        <v>16</v>
      </c>
      <c r="T11078" s="8">
        <v>0.8</v>
      </c>
      <c r="U11078" s="8">
        <v>13.5</v>
      </c>
      <c r="V11078" s="8">
        <v>0.6</v>
      </c>
      <c r="W11078" s="8">
        <v>0.4</v>
      </c>
      <c r="X11078" s="8">
        <v>55</v>
      </c>
      <c r="Y11078" s="8" t="s">
        <v>21</v>
      </c>
      <c r="Z11078" s="8" t="s">
        <v>47092</v>
      </c>
    </row>
    <row r="11079" spans="1:26" x14ac:dyDescent="0.2">
      <c r="A11079" s="8">
        <v>11078</v>
      </c>
      <c r="B11079" s="8" t="s">
        <v>47093</v>
      </c>
      <c r="C11079" s="8" t="s">
        <v>47093</v>
      </c>
      <c r="G11079" s="8">
        <v>20</v>
      </c>
      <c r="H11079" s="8" t="s">
        <v>21</v>
      </c>
      <c r="I11079" s="8" t="s">
        <v>22</v>
      </c>
      <c r="J11079" s="8" t="s">
        <v>22</v>
      </c>
      <c r="K11079" s="8" t="s">
        <v>37</v>
      </c>
      <c r="L11079" s="8" t="s">
        <v>18289</v>
      </c>
      <c r="M11079" s="8" t="s">
        <v>18290</v>
      </c>
      <c r="N11079" s="8" t="s">
        <v>47094</v>
      </c>
      <c r="O11079" s="8">
        <f>12+23/60+6.4/3600</f>
        <v>12.38511111111111</v>
      </c>
      <c r="P11079" s="8" t="s">
        <v>47095</v>
      </c>
      <c r="Q11079" s="8">
        <f>+(14+27/60+32/3600)</f>
        <v>14.458888888888888</v>
      </c>
      <c r="R11079" s="8">
        <v>14.1</v>
      </c>
      <c r="S11079" s="8">
        <v>15.1</v>
      </c>
      <c r="T11079" s="8">
        <v>1</v>
      </c>
      <c r="U11079" s="8">
        <v>12</v>
      </c>
      <c r="V11079" s="8">
        <v>0.4</v>
      </c>
      <c r="W11079" s="8">
        <v>0.4</v>
      </c>
      <c r="Y11079" s="8" t="s">
        <v>46279</v>
      </c>
      <c r="Z11079" s="8" t="s">
        <v>46280</v>
      </c>
    </row>
    <row r="11080" spans="1:26" x14ac:dyDescent="0.2">
      <c r="A11080" s="8">
        <v>11079</v>
      </c>
      <c r="B11080" s="8" t="s">
        <v>47096</v>
      </c>
      <c r="C11080" s="8" t="s">
        <v>47096</v>
      </c>
      <c r="G11080" s="8">
        <v>20</v>
      </c>
      <c r="H11080" s="8" t="s">
        <v>21</v>
      </c>
      <c r="I11080" s="8" t="s">
        <v>22</v>
      </c>
      <c r="J11080" s="8" t="s">
        <v>22</v>
      </c>
      <c r="K11080" s="8" t="s">
        <v>4219</v>
      </c>
      <c r="L11080" s="8" t="s">
        <v>17287</v>
      </c>
      <c r="M11080" s="8" t="s">
        <v>17288</v>
      </c>
      <c r="N11080" s="8" t="s">
        <v>47097</v>
      </c>
      <c r="O11080" s="8">
        <f>12+23/60+9.5/3600</f>
        <v>12.385972222222222</v>
      </c>
      <c r="P11080" s="8" t="s">
        <v>47098</v>
      </c>
      <c r="Q11080" s="8">
        <f>+(11+43/60+33/3600)</f>
        <v>11.725833333333334</v>
      </c>
      <c r="R11080" s="8">
        <v>14.8</v>
      </c>
      <c r="S11080" s="8">
        <v>15.4</v>
      </c>
      <c r="T11080" s="8">
        <v>0.6</v>
      </c>
      <c r="U11080" s="8">
        <v>13.1</v>
      </c>
      <c r="V11080" s="8">
        <v>0.8</v>
      </c>
      <c r="W11080" s="8">
        <v>0.3</v>
      </c>
      <c r="X11080" s="8">
        <v>155</v>
      </c>
      <c r="Y11080" s="8" t="s">
        <v>47099</v>
      </c>
      <c r="Z11080" s="8" t="s">
        <v>47100</v>
      </c>
    </row>
    <row r="11081" spans="1:26" x14ac:dyDescent="0.2">
      <c r="A11081" s="8">
        <v>11080</v>
      </c>
      <c r="B11081" s="8" t="s">
        <v>47101</v>
      </c>
      <c r="C11081" s="8" t="s">
        <v>47101</v>
      </c>
      <c r="G11081" s="8">
        <v>20</v>
      </c>
      <c r="H11081" s="8" t="s">
        <v>21</v>
      </c>
      <c r="I11081" s="8" t="s">
        <v>22</v>
      </c>
      <c r="J11081" s="8" t="s">
        <v>22</v>
      </c>
      <c r="K11081" s="8" t="s">
        <v>50</v>
      </c>
      <c r="L11081" s="8" t="s">
        <v>17287</v>
      </c>
      <c r="M11081" s="8" t="s">
        <v>17288</v>
      </c>
      <c r="N11081" s="8" t="s">
        <v>47102</v>
      </c>
      <c r="O11081" s="8">
        <f>12+23/60+7.4/3600</f>
        <v>12.385388888888889</v>
      </c>
      <c r="P11081" s="8" t="s">
        <v>47103</v>
      </c>
      <c r="Q11081" s="8">
        <f>+(10+21/60+43/3600)</f>
        <v>10.361944444444443</v>
      </c>
      <c r="R11081" s="8">
        <v>15.8</v>
      </c>
      <c r="S11081" s="8">
        <v>16.8</v>
      </c>
      <c r="T11081" s="8">
        <v>1</v>
      </c>
      <c r="U11081" s="8">
        <v>13.8</v>
      </c>
      <c r="V11081" s="8">
        <v>0.5</v>
      </c>
      <c r="W11081" s="8">
        <v>0.3</v>
      </c>
      <c r="X11081" s="8">
        <v>80</v>
      </c>
      <c r="Y11081" s="8" t="s">
        <v>46674</v>
      </c>
      <c r="Z11081" s="8" t="s">
        <v>46222</v>
      </c>
    </row>
    <row r="11082" spans="1:26" x14ac:dyDescent="0.2">
      <c r="A11082" s="8">
        <v>11081</v>
      </c>
      <c r="B11082" s="8" t="s">
        <v>47104</v>
      </c>
      <c r="C11082" s="8" t="s">
        <v>47104</v>
      </c>
      <c r="G11082" s="8">
        <v>20</v>
      </c>
      <c r="H11082" s="8" t="s">
        <v>21</v>
      </c>
      <c r="I11082" s="8" t="s">
        <v>22</v>
      </c>
      <c r="J11082" s="8" t="s">
        <v>22</v>
      </c>
      <c r="K11082" s="8" t="s">
        <v>1068</v>
      </c>
      <c r="L11082" s="8" t="s">
        <v>18289</v>
      </c>
      <c r="M11082" s="8" t="s">
        <v>18290</v>
      </c>
      <c r="N11082" s="8" t="s">
        <v>47105</v>
      </c>
      <c r="O11082" s="8">
        <f>12+23/60+8.4/3600</f>
        <v>12.385666666666665</v>
      </c>
      <c r="P11082" s="8" t="s">
        <v>47106</v>
      </c>
      <c r="Q11082" s="8">
        <f>+(26+54/60+21/3600)</f>
        <v>26.90583333333333</v>
      </c>
      <c r="R11082" s="8">
        <v>16.3</v>
      </c>
      <c r="S11082" s="8">
        <v>17.3</v>
      </c>
      <c r="T11082" s="8">
        <v>1</v>
      </c>
      <c r="U11082" s="8">
        <v>13.6</v>
      </c>
      <c r="V11082" s="8">
        <v>0.4</v>
      </c>
      <c r="W11082" s="8">
        <v>0.2</v>
      </c>
      <c r="X11082" s="8">
        <v>10</v>
      </c>
      <c r="Y11082" s="8" t="s">
        <v>3952</v>
      </c>
      <c r="Z11082" s="8" t="s">
        <v>3953</v>
      </c>
    </row>
    <row r="11083" spans="1:26" x14ac:dyDescent="0.2">
      <c r="A11083" s="8">
        <v>11082</v>
      </c>
      <c r="B11083" s="8" t="s">
        <v>47107</v>
      </c>
      <c r="C11083" s="8" t="s">
        <v>47107</v>
      </c>
      <c r="G11083" s="8">
        <v>20</v>
      </c>
      <c r="H11083" s="8" t="s">
        <v>21</v>
      </c>
      <c r="I11083" s="8" t="s">
        <v>22</v>
      </c>
      <c r="J11083" s="8" t="s">
        <v>22</v>
      </c>
      <c r="K11083" s="8" t="s">
        <v>1068</v>
      </c>
      <c r="L11083" s="8" t="s">
        <v>18289</v>
      </c>
      <c r="M11083" s="8" t="s">
        <v>18290</v>
      </c>
      <c r="N11083" s="8" t="s">
        <v>47108</v>
      </c>
      <c r="O11083" s="8">
        <f>12+23/60+10.4/3600</f>
        <v>12.386222222222221</v>
      </c>
      <c r="P11083" s="8" t="s">
        <v>47109</v>
      </c>
      <c r="Q11083" s="8">
        <f>+(26+14/60+58/3600)</f>
        <v>26.249444444444446</v>
      </c>
      <c r="R11083" s="8">
        <v>15.2</v>
      </c>
      <c r="S11083" s="8">
        <v>16.2</v>
      </c>
      <c r="T11083" s="8">
        <v>1</v>
      </c>
      <c r="U11083" s="8">
        <v>12.5</v>
      </c>
      <c r="V11083" s="8">
        <v>0.4</v>
      </c>
      <c r="W11083" s="8">
        <v>0.2</v>
      </c>
      <c r="X11083" s="8">
        <v>170</v>
      </c>
      <c r="Y11083" s="8" t="s">
        <v>5139</v>
      </c>
      <c r="Z11083" s="8" t="s">
        <v>5140</v>
      </c>
    </row>
    <row r="11084" spans="1:26" x14ac:dyDescent="0.2">
      <c r="A11084" s="8">
        <v>11083</v>
      </c>
      <c r="B11084" s="8" t="s">
        <v>47110</v>
      </c>
      <c r="C11084" s="8" t="s">
        <v>47110</v>
      </c>
      <c r="G11084" s="8">
        <v>20</v>
      </c>
      <c r="H11084" s="8" t="s">
        <v>21</v>
      </c>
      <c r="I11084" s="8" t="s">
        <v>22</v>
      </c>
      <c r="J11084" s="8" t="s">
        <v>22</v>
      </c>
      <c r="K11084" s="8" t="s">
        <v>449</v>
      </c>
      <c r="L11084" s="8" t="s">
        <v>18289</v>
      </c>
      <c r="M11084" s="8" t="s">
        <v>18290</v>
      </c>
      <c r="N11084" s="8" t="s">
        <v>47111</v>
      </c>
      <c r="O11084" s="8">
        <f>12+23/60+11.3/3600</f>
        <v>12.386472222222222</v>
      </c>
      <c r="P11084" s="8" t="s">
        <v>47112</v>
      </c>
      <c r="Q11084" s="8">
        <f>+(27+45/60+56/3600)</f>
        <v>27.765555555555554</v>
      </c>
      <c r="R11084" s="8">
        <v>14.7</v>
      </c>
      <c r="S11084" s="8">
        <v>15.5</v>
      </c>
      <c r="T11084" s="8">
        <v>0.8</v>
      </c>
      <c r="U11084" s="8">
        <v>13.2</v>
      </c>
      <c r="V11084" s="8">
        <v>0.7</v>
      </c>
      <c r="W11084" s="8">
        <v>0.4</v>
      </c>
      <c r="X11084" s="8">
        <v>54</v>
      </c>
      <c r="Y11084" s="8" t="s">
        <v>41706</v>
      </c>
      <c r="Z11084" s="8" t="s">
        <v>41707</v>
      </c>
    </row>
    <row r="11085" spans="1:26" x14ac:dyDescent="0.2">
      <c r="A11085" s="8">
        <v>11084</v>
      </c>
      <c r="B11085" s="8" t="s">
        <v>47113</v>
      </c>
      <c r="C11085" s="8" t="s">
        <v>47113</v>
      </c>
      <c r="G11085" s="8">
        <v>20</v>
      </c>
      <c r="H11085" s="8" t="s">
        <v>21</v>
      </c>
      <c r="I11085" s="8" t="s">
        <v>22</v>
      </c>
      <c r="J11085" s="8" t="s">
        <v>22</v>
      </c>
      <c r="K11085" s="8" t="s">
        <v>160</v>
      </c>
      <c r="L11085" s="8" t="s">
        <v>18289</v>
      </c>
      <c r="M11085" s="8" t="s">
        <v>18290</v>
      </c>
      <c r="N11085" s="8" t="s">
        <v>47114</v>
      </c>
      <c r="O11085" s="8">
        <f>12+23/60+12.3/3600</f>
        <v>12.386749999999999</v>
      </c>
      <c r="P11085" s="8" t="s">
        <v>47115</v>
      </c>
      <c r="Q11085" s="8">
        <f>+(14+23/60+21/3600)</f>
        <v>14.389166666666666</v>
      </c>
      <c r="R11085" s="8">
        <v>14.4</v>
      </c>
      <c r="S11085" s="8">
        <v>15.1</v>
      </c>
      <c r="T11085" s="8">
        <v>0.7</v>
      </c>
      <c r="U11085" s="8">
        <v>13.3</v>
      </c>
      <c r="V11085" s="8">
        <v>0.8</v>
      </c>
      <c r="W11085" s="8">
        <v>0.5</v>
      </c>
      <c r="X11085" s="8">
        <v>80</v>
      </c>
      <c r="Y11085" s="8" t="s">
        <v>46279</v>
      </c>
      <c r="Z11085" s="8" t="s">
        <v>46280</v>
      </c>
    </row>
    <row r="11086" spans="1:26" x14ac:dyDescent="0.2">
      <c r="A11086" s="8">
        <v>11085</v>
      </c>
      <c r="B11086" s="8" t="s">
        <v>47116</v>
      </c>
      <c r="C11086" s="8" t="s">
        <v>47116</v>
      </c>
      <c r="G11086" s="8">
        <v>20</v>
      </c>
      <c r="H11086" s="8" t="s">
        <v>21</v>
      </c>
      <c r="I11086" s="8" t="s">
        <v>329</v>
      </c>
      <c r="J11086" s="8" t="s">
        <v>329</v>
      </c>
      <c r="K11086" s="8" t="s">
        <v>329</v>
      </c>
      <c r="L11086" s="8" t="s">
        <v>17287</v>
      </c>
      <c r="M11086" s="8" t="s">
        <v>17288</v>
      </c>
      <c r="N11086" s="8" t="s">
        <v>47117</v>
      </c>
      <c r="O11086" s="8">
        <f>12+23/60+18/3600</f>
        <v>12.388333333333334</v>
      </c>
      <c r="P11086" s="8" t="s">
        <v>47118</v>
      </c>
      <c r="Q11086" s="8">
        <f>+(9+7/60+48/3600)</f>
        <v>9.1300000000000008</v>
      </c>
      <c r="R11086" s="8">
        <v>99</v>
      </c>
      <c r="S11086" s="8">
        <v>99</v>
      </c>
      <c r="T11086" s="8">
        <v>99</v>
      </c>
      <c r="U11086" s="8">
        <v>99</v>
      </c>
      <c r="Y11086" s="8" t="s">
        <v>47119</v>
      </c>
      <c r="Z11086" s="8" t="s">
        <v>47120</v>
      </c>
    </row>
    <row r="11087" spans="1:26" x14ac:dyDescent="0.2">
      <c r="A11087" s="8">
        <v>11086</v>
      </c>
      <c r="B11087" s="8" t="s">
        <v>47121</v>
      </c>
      <c r="C11087" s="8" t="s">
        <v>47121</v>
      </c>
      <c r="G11087" s="8">
        <v>20</v>
      </c>
      <c r="H11087" s="8" t="s">
        <v>21</v>
      </c>
      <c r="I11087" s="8" t="s">
        <v>22</v>
      </c>
      <c r="J11087" s="8" t="s">
        <v>22</v>
      </c>
      <c r="K11087" s="8" t="s">
        <v>460</v>
      </c>
      <c r="L11087" s="8" t="s">
        <v>17287</v>
      </c>
      <c r="M11087" s="8" t="s">
        <v>17288</v>
      </c>
      <c r="N11087" s="8" t="s">
        <v>47122</v>
      </c>
      <c r="O11087" s="8">
        <f>12+23/60+17.2/3600</f>
        <v>12.38811111111111</v>
      </c>
      <c r="P11087" s="8" t="s">
        <v>47123</v>
      </c>
      <c r="Q11087" s="8">
        <f>+(13+3/60+6/3600)</f>
        <v>13.051666666666668</v>
      </c>
      <c r="R11087" s="8">
        <v>15.3</v>
      </c>
      <c r="S11087" s="8">
        <v>16.3</v>
      </c>
      <c r="T11087" s="8">
        <v>1</v>
      </c>
      <c r="U11087" s="8">
        <v>12.8</v>
      </c>
      <c r="V11087" s="8">
        <v>0.3</v>
      </c>
      <c r="W11087" s="8">
        <v>0.3</v>
      </c>
      <c r="Y11087" s="8" t="s">
        <v>47124</v>
      </c>
      <c r="Z11087" s="8" t="s">
        <v>47125</v>
      </c>
    </row>
    <row r="11088" spans="1:26" x14ac:dyDescent="0.2">
      <c r="A11088" s="8">
        <v>11087</v>
      </c>
      <c r="B11088" s="8" t="s">
        <v>47126</v>
      </c>
      <c r="C11088" s="8" t="s">
        <v>47126</v>
      </c>
      <c r="G11088" s="8">
        <v>20</v>
      </c>
      <c r="H11088" s="8" t="s">
        <v>21</v>
      </c>
      <c r="I11088" s="8" t="s">
        <v>22</v>
      </c>
      <c r="J11088" s="8" t="s">
        <v>22</v>
      </c>
      <c r="K11088" s="8" t="s">
        <v>579</v>
      </c>
      <c r="L11088" s="8" t="s">
        <v>18289</v>
      </c>
      <c r="M11088" s="8" t="s">
        <v>18290</v>
      </c>
      <c r="N11088" s="8" t="s">
        <v>47127</v>
      </c>
      <c r="O11088" s="8">
        <f>12+23/60+14/3600</f>
        <v>12.387222222222222</v>
      </c>
      <c r="P11088" s="8" t="s">
        <v>47128</v>
      </c>
      <c r="Q11088" s="8">
        <f>+(28+53/60+35/3600)</f>
        <v>28.893055555555556</v>
      </c>
      <c r="R11088" s="8">
        <v>14.7</v>
      </c>
      <c r="S11088" s="8">
        <v>15.4</v>
      </c>
      <c r="T11088" s="8">
        <v>0.7</v>
      </c>
      <c r="U11088" s="8">
        <v>14</v>
      </c>
      <c r="V11088" s="8">
        <v>2.2000000000000002</v>
      </c>
      <c r="W11088" s="8">
        <v>0.2</v>
      </c>
      <c r="X11088" s="8">
        <v>175</v>
      </c>
      <c r="Y11088" s="8" t="s">
        <v>47129</v>
      </c>
      <c r="Z11088" s="8" t="s">
        <v>47130</v>
      </c>
    </row>
    <row r="11089" spans="1:26" x14ac:dyDescent="0.2">
      <c r="A11089" s="8">
        <v>11088</v>
      </c>
      <c r="B11089" s="8" t="s">
        <v>47131</v>
      </c>
      <c r="C11089" s="8" t="s">
        <v>47131</v>
      </c>
      <c r="G11089" s="8">
        <v>20</v>
      </c>
      <c r="H11089" s="8" t="s">
        <v>21</v>
      </c>
      <c r="I11089" s="8" t="s">
        <v>72</v>
      </c>
      <c r="J11089" s="8" t="s">
        <v>72</v>
      </c>
      <c r="K11089" s="8" t="s">
        <v>20</v>
      </c>
      <c r="L11089" s="8" t="s">
        <v>18289</v>
      </c>
      <c r="M11089" s="8" t="s">
        <v>18290</v>
      </c>
      <c r="N11089" s="8" t="s">
        <v>47132</v>
      </c>
      <c r="O11089" s="8">
        <f>12+23/60+16.8/3600</f>
        <v>12.388</v>
      </c>
      <c r="P11089" s="8" t="s">
        <v>47133</v>
      </c>
      <c r="Q11089" s="8">
        <f>+(25+33/60+6/3600)</f>
        <v>25.551666666666666</v>
      </c>
      <c r="R11089" s="8">
        <v>99</v>
      </c>
      <c r="S11089" s="8">
        <v>99</v>
      </c>
      <c r="T11089" s="8">
        <v>99</v>
      </c>
      <c r="U11089" s="8">
        <v>99</v>
      </c>
      <c r="Y11089" s="8" t="s">
        <v>47134</v>
      </c>
      <c r="Z11089" s="8" t="s">
        <v>47135</v>
      </c>
    </row>
    <row r="11090" spans="1:26" x14ac:dyDescent="0.2">
      <c r="A11090" s="8">
        <v>11089</v>
      </c>
      <c r="B11090" s="8" t="s">
        <v>47136</v>
      </c>
      <c r="C11090" s="8" t="s">
        <v>47136</v>
      </c>
      <c r="G11090" s="8">
        <v>20</v>
      </c>
      <c r="H11090" s="8" t="s">
        <v>21</v>
      </c>
      <c r="I11090" s="8" t="s">
        <v>22</v>
      </c>
      <c r="J11090" s="8" t="s">
        <v>22</v>
      </c>
      <c r="K11090" s="8" t="s">
        <v>382</v>
      </c>
      <c r="L11090" s="8" t="s">
        <v>18289</v>
      </c>
      <c r="M11090" s="8" t="s">
        <v>18290</v>
      </c>
      <c r="N11090" s="8" t="s">
        <v>47137</v>
      </c>
      <c r="O11090" s="8">
        <f>12+23/60+17.9/3600</f>
        <v>12.388305555555554</v>
      </c>
      <c r="P11090" s="8" t="s">
        <v>47138</v>
      </c>
      <c r="Q11090" s="8">
        <f>+(25+26/60+40/3600)</f>
        <v>25.444444444444446</v>
      </c>
      <c r="R11090" s="8">
        <v>15.5</v>
      </c>
      <c r="S11090" s="8">
        <v>16.5</v>
      </c>
      <c r="T11090" s="8">
        <v>1</v>
      </c>
      <c r="U11090" s="8">
        <v>12.5</v>
      </c>
      <c r="V11090" s="8">
        <v>0.3</v>
      </c>
      <c r="W11090" s="8">
        <v>0.2</v>
      </c>
      <c r="X11090" s="8">
        <v>10</v>
      </c>
      <c r="Y11090" s="8" t="s">
        <v>21</v>
      </c>
      <c r="Z11090" s="8" t="s">
        <v>47139</v>
      </c>
    </row>
    <row r="11091" spans="1:26" x14ac:dyDescent="0.2">
      <c r="A11091" s="8">
        <v>11090</v>
      </c>
      <c r="B11091" s="8" t="s">
        <v>47140</v>
      </c>
      <c r="C11091" s="8" t="s">
        <v>47140</v>
      </c>
      <c r="G11091" s="8">
        <v>20</v>
      </c>
      <c r="H11091" s="8" t="s">
        <v>21</v>
      </c>
      <c r="I11091" s="8" t="s">
        <v>72</v>
      </c>
      <c r="J11091" s="8" t="s">
        <v>72</v>
      </c>
      <c r="K11091" s="8" t="s">
        <v>20</v>
      </c>
      <c r="L11091" s="8" t="s">
        <v>18289</v>
      </c>
      <c r="M11091" s="8" t="s">
        <v>18290</v>
      </c>
      <c r="N11091" s="8" t="s">
        <v>47141</v>
      </c>
      <c r="O11091" s="8">
        <f>12+23/60+17.8/3600</f>
        <v>12.388277777777777</v>
      </c>
      <c r="P11091" s="8" t="s">
        <v>47142</v>
      </c>
      <c r="Q11091" s="8">
        <f>+(25+37/60+43/3600)</f>
        <v>25.628611111111113</v>
      </c>
      <c r="R11091" s="8">
        <v>99</v>
      </c>
      <c r="S11091" s="8">
        <v>99</v>
      </c>
      <c r="T11091" s="8">
        <v>99</v>
      </c>
      <c r="U11091" s="8">
        <v>99</v>
      </c>
      <c r="Y11091" s="8" t="s">
        <v>47134</v>
      </c>
      <c r="Z11091" s="8" t="s">
        <v>47135</v>
      </c>
    </row>
    <row r="11092" spans="1:26" x14ac:dyDescent="0.2">
      <c r="A11092" s="8">
        <v>11091</v>
      </c>
      <c r="B11092" s="8" t="s">
        <v>47143</v>
      </c>
      <c r="C11092" s="8" t="s">
        <v>47143</v>
      </c>
      <c r="G11092" s="8">
        <v>20</v>
      </c>
      <c r="H11092" s="8" t="s">
        <v>21</v>
      </c>
      <c r="I11092" s="8" t="s">
        <v>329</v>
      </c>
      <c r="J11092" s="8" t="s">
        <v>329</v>
      </c>
      <c r="K11092" s="8" t="s">
        <v>329</v>
      </c>
      <c r="L11092" s="8" t="s">
        <v>18289</v>
      </c>
      <c r="M11092" s="8" t="s">
        <v>18290</v>
      </c>
      <c r="N11092" s="8" t="s">
        <v>47117</v>
      </c>
      <c r="O11092" s="8">
        <f>12+23/60+18/3600</f>
        <v>12.388333333333334</v>
      </c>
      <c r="P11092" s="8" t="s">
        <v>47144</v>
      </c>
      <c r="Q11092" s="8">
        <f>+(25+39/60+13/3600)</f>
        <v>25.653611111111111</v>
      </c>
      <c r="R11092" s="8">
        <v>99</v>
      </c>
      <c r="S11092" s="8">
        <v>99</v>
      </c>
      <c r="T11092" s="8">
        <v>99</v>
      </c>
      <c r="U11092" s="8">
        <v>99</v>
      </c>
      <c r="Y11092" s="8" t="s">
        <v>47134</v>
      </c>
      <c r="Z11092" s="8" t="s">
        <v>47135</v>
      </c>
    </row>
    <row r="11093" spans="1:26" x14ac:dyDescent="0.2">
      <c r="A11093" s="8">
        <v>11092</v>
      </c>
      <c r="B11093" s="8" t="s">
        <v>47145</v>
      </c>
      <c r="C11093" s="8" t="s">
        <v>47145</v>
      </c>
      <c r="G11093" s="8">
        <v>20</v>
      </c>
      <c r="H11093" s="8" t="s">
        <v>21</v>
      </c>
      <c r="I11093" s="8" t="s">
        <v>72</v>
      </c>
      <c r="J11093" s="8" t="s">
        <v>72</v>
      </c>
      <c r="K11093" s="8" t="s">
        <v>1405</v>
      </c>
      <c r="L11093" s="8" t="s">
        <v>18289</v>
      </c>
      <c r="M11093" s="8" t="s">
        <v>18290</v>
      </c>
      <c r="N11093" s="8" t="s">
        <v>47146</v>
      </c>
      <c r="O11093" s="8">
        <f>12+23/60+26/3600</f>
        <v>12.390555555555554</v>
      </c>
      <c r="P11093" s="8" t="s">
        <v>47147</v>
      </c>
      <c r="Q11093" s="8">
        <f>+(28+37/60+6/3600)</f>
        <v>28.618333333333332</v>
      </c>
      <c r="R11093" s="8">
        <v>99</v>
      </c>
      <c r="S11093" s="8">
        <v>99</v>
      </c>
      <c r="T11093" s="8">
        <v>99</v>
      </c>
      <c r="U11093" s="8">
        <v>99</v>
      </c>
      <c r="Y11093" s="8" t="s">
        <v>47148</v>
      </c>
      <c r="Z11093" s="8" t="s">
        <v>47149</v>
      </c>
    </row>
    <row r="11094" spans="1:26" x14ac:dyDescent="0.2">
      <c r="A11094" s="8">
        <v>11093</v>
      </c>
      <c r="B11094" s="8" t="s">
        <v>47150</v>
      </c>
      <c r="C11094" s="8" t="s">
        <v>47150</v>
      </c>
      <c r="G11094" s="8">
        <v>13</v>
      </c>
      <c r="H11094" s="8" t="s">
        <v>21</v>
      </c>
      <c r="I11094" s="8" t="s">
        <v>22</v>
      </c>
      <c r="J11094" s="8" t="s">
        <v>22</v>
      </c>
      <c r="K11094" s="8" t="s">
        <v>160</v>
      </c>
      <c r="L11094" s="8" t="s">
        <v>16195</v>
      </c>
      <c r="M11094" s="8" t="s">
        <v>16196</v>
      </c>
      <c r="N11094" s="8" t="s">
        <v>47151</v>
      </c>
      <c r="O11094" s="8">
        <f>12+23/60+45/3600</f>
        <v>12.395833333333332</v>
      </c>
      <c r="P11094" s="8" t="s">
        <v>47152</v>
      </c>
      <c r="Q11094" s="8">
        <f>-(34+37/60+17/3600)</f>
        <v>-34.621388888888887</v>
      </c>
      <c r="R11094" s="8">
        <v>11.6</v>
      </c>
      <c r="S11094" s="8">
        <v>12.3</v>
      </c>
      <c r="T11094" s="8">
        <v>0.7</v>
      </c>
      <c r="U11094" s="8">
        <v>12.6</v>
      </c>
      <c r="V11094" s="8">
        <v>2.7</v>
      </c>
      <c r="W11094" s="8">
        <v>1.1000000000000001</v>
      </c>
      <c r="X11094" s="8">
        <v>23</v>
      </c>
      <c r="Y11094" s="8" t="s">
        <v>47153</v>
      </c>
      <c r="Z11094" s="8" t="s">
        <v>47154</v>
      </c>
    </row>
    <row r="11095" spans="1:26" x14ac:dyDescent="0.2">
      <c r="A11095" s="8">
        <v>11094</v>
      </c>
      <c r="B11095" s="8" t="s">
        <v>47155</v>
      </c>
      <c r="C11095" s="8" t="s">
        <v>47155</v>
      </c>
      <c r="G11095" s="8">
        <v>20</v>
      </c>
      <c r="H11095" s="8" t="s">
        <v>21</v>
      </c>
      <c r="I11095" s="8" t="s">
        <v>22</v>
      </c>
      <c r="J11095" s="8" t="s">
        <v>57</v>
      </c>
      <c r="K11095" s="8" t="s">
        <v>435</v>
      </c>
      <c r="L11095" s="8" t="s">
        <v>18289</v>
      </c>
      <c r="M11095" s="8" t="s">
        <v>18290</v>
      </c>
      <c r="N11095" s="8" t="s">
        <v>19660</v>
      </c>
      <c r="O11095" s="8">
        <f>12+23/60+29.7/3600</f>
        <v>12.391583333333333</v>
      </c>
      <c r="P11095" s="8" t="s">
        <v>19661</v>
      </c>
      <c r="Q11095" s="8">
        <f>+(19+25/60+37/3600)</f>
        <v>19.426944444444445</v>
      </c>
      <c r="R11095" s="8">
        <v>12.5</v>
      </c>
      <c r="S11095" s="8">
        <v>13.4</v>
      </c>
      <c r="T11095" s="8">
        <v>0.9</v>
      </c>
      <c r="U11095" s="8">
        <v>13</v>
      </c>
      <c r="V11095" s="8">
        <v>2</v>
      </c>
      <c r="W11095" s="8">
        <v>0.9</v>
      </c>
      <c r="X11095" s="8">
        <v>162</v>
      </c>
      <c r="Y11095" s="8" t="s">
        <v>47156</v>
      </c>
      <c r="Z11095" s="8" t="s">
        <v>47157</v>
      </c>
    </row>
    <row r="11096" spans="1:26" x14ac:dyDescent="0.2">
      <c r="A11096" s="8">
        <v>11095</v>
      </c>
      <c r="B11096" s="8" t="s">
        <v>47158</v>
      </c>
      <c r="C11096" s="8" t="s">
        <v>47158</v>
      </c>
      <c r="G11096" s="8">
        <v>20</v>
      </c>
      <c r="H11096" s="8" t="s">
        <v>21</v>
      </c>
      <c r="I11096" s="8" t="s">
        <v>22</v>
      </c>
      <c r="J11096" s="8" t="s">
        <v>22</v>
      </c>
      <c r="K11096" s="8" t="s">
        <v>396</v>
      </c>
      <c r="L11096" s="8" t="s">
        <v>17287</v>
      </c>
      <c r="M11096" s="8" t="s">
        <v>17288</v>
      </c>
      <c r="N11096" s="8" t="s">
        <v>47159</v>
      </c>
      <c r="O11096" s="8">
        <f>12+23/60+34.8/3600</f>
        <v>12.392999999999999</v>
      </c>
      <c r="P11096" s="8" t="s">
        <v>47160</v>
      </c>
      <c r="Q11096" s="8">
        <f>+(9+38/60+56/3600)</f>
        <v>9.6488888888888891</v>
      </c>
      <c r="R11096" s="8">
        <v>14.2</v>
      </c>
      <c r="S11096" s="8">
        <v>15</v>
      </c>
      <c r="T11096" s="8">
        <v>0.8</v>
      </c>
      <c r="U11096" s="8">
        <v>11.7</v>
      </c>
      <c r="V11096" s="8">
        <v>0.4</v>
      </c>
      <c r="W11096" s="8">
        <v>0.3</v>
      </c>
      <c r="X11096" s="8">
        <v>110</v>
      </c>
      <c r="Y11096" s="8" t="s">
        <v>46850</v>
      </c>
      <c r="Z11096" s="8" t="s">
        <v>46851</v>
      </c>
    </row>
    <row r="11097" spans="1:26" x14ac:dyDescent="0.2">
      <c r="A11097" s="8">
        <v>11096</v>
      </c>
      <c r="B11097" s="8" t="s">
        <v>47161</v>
      </c>
      <c r="C11097" s="8" t="s">
        <v>47161</v>
      </c>
      <c r="G11097" s="8">
        <v>20</v>
      </c>
      <c r="H11097" s="8" t="s">
        <v>21</v>
      </c>
      <c r="I11097" s="8" t="s">
        <v>22</v>
      </c>
      <c r="J11097" s="8" t="s">
        <v>57</v>
      </c>
      <c r="K11097" s="8" t="s">
        <v>58</v>
      </c>
      <c r="L11097" s="8" t="s">
        <v>17287</v>
      </c>
      <c r="M11097" s="8" t="s">
        <v>17288</v>
      </c>
      <c r="N11097" s="8" t="s">
        <v>19683</v>
      </c>
      <c r="O11097" s="8">
        <f>12+23/60+39.1/3600</f>
        <v>12.394194444444445</v>
      </c>
      <c r="P11097" s="8" t="s">
        <v>19684</v>
      </c>
      <c r="Q11097" s="8">
        <f>+(7+3/60+16/3600)</f>
        <v>7.0544444444444441</v>
      </c>
      <c r="R11097" s="8">
        <v>12.5</v>
      </c>
      <c r="S11097" s="8">
        <v>13.4</v>
      </c>
      <c r="T11097" s="8">
        <v>0.9</v>
      </c>
      <c r="U11097" s="8">
        <v>12.1</v>
      </c>
      <c r="V11097" s="8">
        <v>1.2</v>
      </c>
      <c r="W11097" s="8">
        <v>0.6</v>
      </c>
      <c r="X11097" s="8">
        <v>168</v>
      </c>
      <c r="Y11097" s="8" t="s">
        <v>47162</v>
      </c>
      <c r="Z11097" s="8" t="s">
        <v>47163</v>
      </c>
    </row>
    <row r="11098" spans="1:26" x14ac:dyDescent="0.2">
      <c r="A11098" s="8">
        <v>11097</v>
      </c>
      <c r="B11098" s="8" t="s">
        <v>47164</v>
      </c>
      <c r="C11098" s="8" t="s">
        <v>47164</v>
      </c>
      <c r="G11098" s="8">
        <v>20</v>
      </c>
      <c r="H11098" s="8" t="s">
        <v>21</v>
      </c>
      <c r="I11098" s="8" t="s">
        <v>329</v>
      </c>
      <c r="J11098" s="8" t="s">
        <v>329</v>
      </c>
      <c r="K11098" s="8" t="s">
        <v>329</v>
      </c>
      <c r="L11098" s="8" t="s">
        <v>17287</v>
      </c>
      <c r="M11098" s="8" t="s">
        <v>17288</v>
      </c>
      <c r="N11098" s="8" t="s">
        <v>47165</v>
      </c>
      <c r="O11098" s="8">
        <f>12+23/60+44.6/3600</f>
        <v>12.395722222222222</v>
      </c>
      <c r="P11098" s="8" t="s">
        <v>47166</v>
      </c>
      <c r="Q11098" s="8">
        <f>+(7+15/60+14/3600)</f>
        <v>7.2538888888888886</v>
      </c>
      <c r="R11098" s="8">
        <v>99</v>
      </c>
      <c r="S11098" s="8">
        <v>99</v>
      </c>
      <c r="T11098" s="8">
        <v>99</v>
      </c>
      <c r="U11098" s="8">
        <v>99</v>
      </c>
      <c r="Y11098" s="8" t="s">
        <v>47</v>
      </c>
      <c r="Z11098" s="8" t="s">
        <v>48</v>
      </c>
    </row>
    <row r="11099" spans="1:26" x14ac:dyDescent="0.2">
      <c r="A11099" s="8">
        <v>11098</v>
      </c>
      <c r="B11099" s="8" t="s">
        <v>47167</v>
      </c>
      <c r="C11099" s="8" t="s">
        <v>47167</v>
      </c>
      <c r="G11099" s="8">
        <v>20</v>
      </c>
      <c r="H11099" s="8" t="s">
        <v>21</v>
      </c>
      <c r="I11099" s="8" t="s">
        <v>22</v>
      </c>
      <c r="J11099" s="8" t="s">
        <v>22</v>
      </c>
      <c r="K11099" s="8" t="s">
        <v>107</v>
      </c>
      <c r="L11099" s="8" t="s">
        <v>17287</v>
      </c>
      <c r="M11099" s="8" t="s">
        <v>17288</v>
      </c>
      <c r="N11099" s="8" t="s">
        <v>47168</v>
      </c>
      <c r="O11099" s="8">
        <f>12+23/60+44.5/3600</f>
        <v>12.395694444444445</v>
      </c>
      <c r="P11099" s="8" t="s">
        <v>47169</v>
      </c>
      <c r="Q11099" s="8">
        <f>+(12+28/60+43/3600)</f>
        <v>12.47861111111111</v>
      </c>
      <c r="R11099" s="8">
        <v>13.1</v>
      </c>
      <c r="S11099" s="8">
        <v>13.6</v>
      </c>
      <c r="T11099" s="8">
        <v>0.5</v>
      </c>
      <c r="U11099" s="8">
        <v>13.8</v>
      </c>
      <c r="V11099" s="8">
        <v>1.6</v>
      </c>
      <c r="W11099" s="8">
        <v>1.3</v>
      </c>
      <c r="X11099" s="8">
        <v>109</v>
      </c>
      <c r="Y11099" s="8" t="s">
        <v>21</v>
      </c>
      <c r="Z11099" s="8" t="s">
        <v>47170</v>
      </c>
    </row>
    <row r="11100" spans="1:26" x14ac:dyDescent="0.2">
      <c r="A11100" s="8">
        <v>11099</v>
      </c>
      <c r="B11100" s="8" t="s">
        <v>47171</v>
      </c>
      <c r="C11100" s="8" t="s">
        <v>47171</v>
      </c>
      <c r="G11100" s="8">
        <v>20</v>
      </c>
      <c r="H11100" s="8" t="s">
        <v>21</v>
      </c>
      <c r="I11100" s="8" t="s">
        <v>22</v>
      </c>
      <c r="J11100" s="8" t="s">
        <v>22</v>
      </c>
      <c r="K11100" s="8" t="s">
        <v>773</v>
      </c>
      <c r="L11100" s="8" t="s">
        <v>17287</v>
      </c>
      <c r="M11100" s="8" t="s">
        <v>17288</v>
      </c>
      <c r="N11100" s="8" t="s">
        <v>47172</v>
      </c>
      <c r="O11100" s="8">
        <f>12+23/60+48.6/3600</f>
        <v>12.396833333333333</v>
      </c>
      <c r="P11100" s="8" t="s">
        <v>47173</v>
      </c>
      <c r="Q11100" s="8">
        <f>+(7+11/60+11/3600)</f>
        <v>7.1863888888888887</v>
      </c>
      <c r="R11100" s="8">
        <v>13.5</v>
      </c>
      <c r="S11100" s="8">
        <v>14.2</v>
      </c>
      <c r="T11100" s="8">
        <v>0.7</v>
      </c>
      <c r="U11100" s="8">
        <v>13.8</v>
      </c>
      <c r="V11100" s="8">
        <v>1.7</v>
      </c>
      <c r="W11100" s="8">
        <v>0.9</v>
      </c>
      <c r="X11100" s="8">
        <v>15</v>
      </c>
      <c r="Y11100" s="8" t="s">
        <v>21193</v>
      </c>
      <c r="Z11100" s="8" t="s">
        <v>21194</v>
      </c>
    </row>
    <row r="11101" spans="1:26" x14ac:dyDescent="0.2">
      <c r="A11101" s="8">
        <v>11100</v>
      </c>
      <c r="B11101" s="8" t="s">
        <v>47174</v>
      </c>
      <c r="C11101" s="8" t="s">
        <v>47174</v>
      </c>
      <c r="G11101" s="8">
        <v>20</v>
      </c>
      <c r="H11101" s="8" t="s">
        <v>21</v>
      </c>
      <c r="I11101" s="8" t="s">
        <v>22</v>
      </c>
      <c r="J11101" s="8" t="s">
        <v>57</v>
      </c>
      <c r="K11101" s="8" t="s">
        <v>224</v>
      </c>
      <c r="L11101" s="8" t="s">
        <v>17287</v>
      </c>
      <c r="M11101" s="8" t="s">
        <v>17288</v>
      </c>
      <c r="N11101" s="8" t="s">
        <v>19680</v>
      </c>
      <c r="O11101" s="8">
        <f>12+23/60+53.1/3600</f>
        <v>12.398083333333332</v>
      </c>
      <c r="P11101" s="8" t="s">
        <v>19681</v>
      </c>
      <c r="Q11101" s="8">
        <f>+(7+6/60+25/3600)</f>
        <v>7.1069444444444443</v>
      </c>
      <c r="R11101" s="8">
        <v>13.2</v>
      </c>
      <c r="S11101" s="8">
        <v>14.2</v>
      </c>
      <c r="T11101" s="8">
        <v>1</v>
      </c>
      <c r="U11101" s="8">
        <v>13</v>
      </c>
      <c r="V11101" s="8">
        <v>1.7</v>
      </c>
      <c r="W11101" s="8">
        <v>0.6</v>
      </c>
      <c r="X11101" s="8">
        <v>96</v>
      </c>
      <c r="Y11101" s="8" t="s">
        <v>21193</v>
      </c>
      <c r="Z11101" s="8" t="s">
        <v>21194</v>
      </c>
    </row>
    <row r="11102" spans="1:26" x14ac:dyDescent="0.2">
      <c r="A11102" s="8">
        <v>11101</v>
      </c>
      <c r="B11102" s="8" t="s">
        <v>47175</v>
      </c>
      <c r="C11102" s="8" t="s">
        <v>47175</v>
      </c>
      <c r="G11102" s="8">
        <v>20</v>
      </c>
      <c r="H11102" s="8" t="s">
        <v>21</v>
      </c>
      <c r="I11102" s="8" t="s">
        <v>22</v>
      </c>
      <c r="J11102" s="8" t="s">
        <v>22</v>
      </c>
      <c r="K11102" s="8" t="s">
        <v>632</v>
      </c>
      <c r="L11102" s="8" t="s">
        <v>17287</v>
      </c>
      <c r="M11102" s="8" t="s">
        <v>17288</v>
      </c>
      <c r="N11102" s="8" t="s">
        <v>47176</v>
      </c>
      <c r="O11102" s="8">
        <f>12+23/60+52.5/3600</f>
        <v>12.397916666666665</v>
      </c>
      <c r="P11102" s="8" t="s">
        <v>47177</v>
      </c>
      <c r="Q11102" s="8">
        <f>+(11+28/60+51/3600)</f>
        <v>11.480833333333333</v>
      </c>
      <c r="R11102" s="8">
        <v>14.9</v>
      </c>
      <c r="S11102" s="8">
        <v>15.8</v>
      </c>
      <c r="T11102" s="8">
        <v>0.9</v>
      </c>
      <c r="U11102" s="8">
        <v>13.7</v>
      </c>
      <c r="V11102" s="8">
        <v>0.9</v>
      </c>
      <c r="W11102" s="8">
        <v>0.4</v>
      </c>
      <c r="X11102" s="8">
        <v>100</v>
      </c>
      <c r="Y11102" s="8" t="s">
        <v>47178</v>
      </c>
      <c r="Z11102" s="8" t="s">
        <v>47179</v>
      </c>
    </row>
    <row r="11103" spans="1:26" x14ac:dyDescent="0.2">
      <c r="A11103" s="8">
        <v>11102</v>
      </c>
      <c r="B11103" s="8" t="s">
        <v>47180</v>
      </c>
      <c r="C11103" s="8" t="s">
        <v>47180</v>
      </c>
      <c r="G11103" s="8">
        <v>20</v>
      </c>
      <c r="H11103" s="8" t="s">
        <v>21</v>
      </c>
      <c r="I11103" s="8" t="s">
        <v>22</v>
      </c>
      <c r="J11103" s="8" t="s">
        <v>22</v>
      </c>
      <c r="K11103" s="8" t="s">
        <v>31</v>
      </c>
      <c r="L11103" s="8" t="s">
        <v>18289</v>
      </c>
      <c r="M11103" s="8" t="s">
        <v>18290</v>
      </c>
      <c r="N11103" s="8" t="s">
        <v>47181</v>
      </c>
      <c r="O11103" s="8">
        <f>12+23/60+48.1/3600</f>
        <v>12.396694444444444</v>
      </c>
      <c r="P11103" s="8" t="s">
        <v>47182</v>
      </c>
      <c r="Q11103" s="8">
        <f>+(27+23/60+40/3600)</f>
        <v>27.394444444444446</v>
      </c>
      <c r="R11103" s="8">
        <v>14.5</v>
      </c>
      <c r="S11103" s="8">
        <v>15.3</v>
      </c>
      <c r="T11103" s="8">
        <v>0.8</v>
      </c>
      <c r="U11103" s="8">
        <v>13.1</v>
      </c>
      <c r="V11103" s="8">
        <v>0.8</v>
      </c>
      <c r="W11103" s="8">
        <v>0.4</v>
      </c>
      <c r="X11103" s="8">
        <v>155</v>
      </c>
      <c r="Y11103" s="8" t="s">
        <v>47148</v>
      </c>
      <c r="Z11103" s="8" t="s">
        <v>47183</v>
      </c>
    </row>
    <row r="11104" spans="1:26" x14ac:dyDescent="0.2">
      <c r="A11104" s="8">
        <v>11103</v>
      </c>
      <c r="B11104" s="8" t="s">
        <v>47184</v>
      </c>
      <c r="C11104" s="8" t="s">
        <v>47184</v>
      </c>
      <c r="G11104" s="8">
        <v>20</v>
      </c>
      <c r="H11104" s="8" t="s">
        <v>21</v>
      </c>
      <c r="I11104" s="8" t="s">
        <v>22</v>
      </c>
      <c r="J11104" s="8" t="s">
        <v>22</v>
      </c>
      <c r="K11104" s="8" t="s">
        <v>476</v>
      </c>
      <c r="L11104" s="8" t="s">
        <v>18289</v>
      </c>
      <c r="M11104" s="8" t="s">
        <v>18290</v>
      </c>
      <c r="N11104" s="8" t="s">
        <v>47185</v>
      </c>
      <c r="O11104" s="8">
        <f>12+23/60+50.5/3600</f>
        <v>12.397361111111111</v>
      </c>
      <c r="P11104" s="8" t="s">
        <v>47186</v>
      </c>
      <c r="Q11104" s="8">
        <f>+(28+11/60+55/3600)</f>
        <v>28.198611111111113</v>
      </c>
      <c r="R11104" s="8">
        <v>14.1</v>
      </c>
      <c r="S11104" s="8">
        <v>15</v>
      </c>
      <c r="T11104" s="8">
        <v>0.9</v>
      </c>
      <c r="U11104" s="8">
        <v>13</v>
      </c>
      <c r="V11104" s="8">
        <v>0.7</v>
      </c>
      <c r="W11104" s="8">
        <v>0.6</v>
      </c>
      <c r="X11104" s="8">
        <v>111</v>
      </c>
      <c r="Y11104" s="8" t="s">
        <v>21</v>
      </c>
      <c r="Z11104" s="8" t="s">
        <v>47187</v>
      </c>
    </row>
    <row r="11105" spans="1:26" x14ac:dyDescent="0.2">
      <c r="A11105" s="8">
        <v>11104</v>
      </c>
      <c r="B11105" s="8" t="s">
        <v>47188</v>
      </c>
      <c r="C11105" s="8" t="s">
        <v>47188</v>
      </c>
      <c r="G11105" s="8">
        <v>20</v>
      </c>
      <c r="H11105" s="8" t="s">
        <v>21</v>
      </c>
      <c r="I11105" s="8" t="s">
        <v>22</v>
      </c>
      <c r="J11105" s="8" t="s">
        <v>22</v>
      </c>
      <c r="K11105" s="8" t="s">
        <v>460</v>
      </c>
      <c r="L11105" s="8" t="s">
        <v>18289</v>
      </c>
      <c r="M11105" s="8" t="s">
        <v>18290</v>
      </c>
      <c r="N11105" s="8" t="s">
        <v>47189</v>
      </c>
      <c r="O11105" s="8">
        <f>12+23/60+51.9/3600</f>
        <v>12.39775</v>
      </c>
      <c r="P11105" s="8" t="s">
        <v>18645</v>
      </c>
      <c r="Q11105" s="8">
        <f>+(25+33/60+25/3600)</f>
        <v>25.556944444444444</v>
      </c>
      <c r="R11105" s="8">
        <v>15</v>
      </c>
      <c r="S11105" s="8">
        <v>16</v>
      </c>
      <c r="T11105" s="8">
        <v>1</v>
      </c>
      <c r="U11105" s="8">
        <v>12.5</v>
      </c>
      <c r="V11105" s="8">
        <v>0.3</v>
      </c>
      <c r="W11105" s="8">
        <v>0.3</v>
      </c>
      <c r="Y11105" s="8" t="s">
        <v>2248</v>
      </c>
      <c r="Z11105" s="8" t="s">
        <v>2249</v>
      </c>
    </row>
    <row r="11106" spans="1:26" x14ac:dyDescent="0.2">
      <c r="A11106" s="8">
        <v>11105</v>
      </c>
      <c r="B11106" s="8" t="s">
        <v>47190</v>
      </c>
      <c r="C11106" s="8" t="s">
        <v>47190</v>
      </c>
      <c r="G11106" s="8">
        <v>20</v>
      </c>
      <c r="H11106" s="8" t="s">
        <v>21</v>
      </c>
      <c r="I11106" s="8" t="s">
        <v>72</v>
      </c>
      <c r="J11106" s="8" t="s">
        <v>72</v>
      </c>
      <c r="K11106" s="8" t="s">
        <v>20</v>
      </c>
      <c r="L11106" s="8" t="s">
        <v>17287</v>
      </c>
      <c r="M11106" s="8" t="s">
        <v>17288</v>
      </c>
      <c r="N11106" s="8" t="s">
        <v>47191</v>
      </c>
      <c r="O11106" s="8">
        <f>12+23/60+58.9/3600</f>
        <v>12.399694444444444</v>
      </c>
      <c r="P11106" s="8" t="s">
        <v>47192</v>
      </c>
      <c r="Q11106" s="8">
        <f>+(7+48/60+14/3600)</f>
        <v>7.8038888888888884</v>
      </c>
      <c r="R11106" s="8">
        <v>99</v>
      </c>
      <c r="S11106" s="8">
        <v>13.4</v>
      </c>
      <c r="T11106" s="8">
        <v>99</v>
      </c>
      <c r="U11106" s="8">
        <v>99</v>
      </c>
      <c r="Y11106" s="8" t="s">
        <v>47193</v>
      </c>
      <c r="Z11106" s="8" t="s">
        <v>47194</v>
      </c>
    </row>
    <row r="11107" spans="1:26" x14ac:dyDescent="0.2">
      <c r="A11107" s="8">
        <v>11106</v>
      </c>
      <c r="B11107" s="8" t="s">
        <v>47195</v>
      </c>
      <c r="C11107" s="8" t="s">
        <v>47195</v>
      </c>
      <c r="G11107" s="8">
        <v>20</v>
      </c>
      <c r="H11107" s="8" t="s">
        <v>21</v>
      </c>
      <c r="I11107" s="8" t="s">
        <v>22</v>
      </c>
      <c r="J11107" s="8" t="s">
        <v>57</v>
      </c>
      <c r="K11107" s="8" t="s">
        <v>107</v>
      </c>
      <c r="L11107" s="8" t="s">
        <v>17287</v>
      </c>
      <c r="M11107" s="8" t="s">
        <v>17288</v>
      </c>
      <c r="N11107" s="8" t="s">
        <v>19729</v>
      </c>
      <c r="O11107" s="8">
        <f>12+24/60+0.2/3600</f>
        <v>12.400055555555555</v>
      </c>
      <c r="P11107" s="8" t="s">
        <v>19730</v>
      </c>
      <c r="Q11107" s="8">
        <f>+(7+47/60+3/3600)</f>
        <v>7.7841666666666667</v>
      </c>
      <c r="R11107" s="8">
        <v>13.6</v>
      </c>
      <c r="S11107" s="8">
        <v>14.4</v>
      </c>
      <c r="T11107" s="8">
        <v>0.8</v>
      </c>
      <c r="U11107" s="8">
        <v>13.2</v>
      </c>
      <c r="V11107" s="8">
        <v>0.9</v>
      </c>
      <c r="W11107" s="8">
        <v>0.6</v>
      </c>
      <c r="X11107" s="8">
        <v>75</v>
      </c>
      <c r="Y11107" s="8" t="s">
        <v>47196</v>
      </c>
      <c r="Z11107" s="8" t="s">
        <v>47197</v>
      </c>
    </row>
    <row r="11108" spans="1:26" x14ac:dyDescent="0.2">
      <c r="A11108" s="8">
        <v>11107</v>
      </c>
      <c r="B11108" s="8" t="s">
        <v>47198</v>
      </c>
      <c r="C11108" s="8" t="s">
        <v>47198</v>
      </c>
      <c r="G11108" s="8">
        <v>20</v>
      </c>
      <c r="H11108" s="8" t="s">
        <v>21</v>
      </c>
      <c r="I11108" s="8" t="s">
        <v>22</v>
      </c>
      <c r="J11108" s="8" t="s">
        <v>22</v>
      </c>
      <c r="K11108" s="8" t="s">
        <v>160</v>
      </c>
      <c r="L11108" s="8" t="s">
        <v>17287</v>
      </c>
      <c r="M11108" s="8" t="s">
        <v>17288</v>
      </c>
      <c r="N11108" s="8" t="s">
        <v>47199</v>
      </c>
      <c r="O11108" s="8">
        <f>12+24/60+5.5/3600</f>
        <v>12.401527777777778</v>
      </c>
      <c r="P11108" s="8" t="s">
        <v>47200</v>
      </c>
      <c r="Q11108" s="8">
        <f>+(7+2/60+26/3600)</f>
        <v>7.0405555555555557</v>
      </c>
      <c r="R11108" s="8">
        <v>13.4</v>
      </c>
      <c r="S11108" s="8">
        <v>14.2</v>
      </c>
      <c r="T11108" s="8">
        <v>0.8</v>
      </c>
      <c r="U11108" s="8">
        <v>13.7</v>
      </c>
      <c r="V11108" s="8">
        <v>1.2</v>
      </c>
      <c r="W11108" s="8">
        <v>1.2</v>
      </c>
      <c r="Y11108" s="8" t="s">
        <v>12442</v>
      </c>
      <c r="Z11108" s="8" t="s">
        <v>12443</v>
      </c>
    </row>
    <row r="11109" spans="1:26" x14ac:dyDescent="0.2">
      <c r="A11109" s="8">
        <v>11108</v>
      </c>
      <c r="B11109" s="8" t="s">
        <v>47201</v>
      </c>
      <c r="C11109" s="8" t="s">
        <v>47201</v>
      </c>
      <c r="G11109" s="8">
        <v>20</v>
      </c>
      <c r="H11109" s="8" t="s">
        <v>21</v>
      </c>
      <c r="I11109" s="8" t="s">
        <v>22</v>
      </c>
      <c r="J11109" s="8" t="s">
        <v>22</v>
      </c>
      <c r="K11109" s="8" t="s">
        <v>538</v>
      </c>
      <c r="L11109" s="8" t="s">
        <v>17287</v>
      </c>
      <c r="M11109" s="8" t="s">
        <v>17288</v>
      </c>
      <c r="N11109" s="8" t="s">
        <v>47202</v>
      </c>
      <c r="O11109" s="8">
        <f>12+24/60+7.6/3600</f>
        <v>12.402111111111111</v>
      </c>
      <c r="P11109" s="8" t="s">
        <v>47203</v>
      </c>
      <c r="Q11109" s="8">
        <f>+(6+36/60+25/3600)</f>
        <v>6.6069444444444443</v>
      </c>
      <c r="R11109" s="8">
        <v>13.3</v>
      </c>
      <c r="S11109" s="8">
        <v>14</v>
      </c>
      <c r="T11109" s="8">
        <v>0.7</v>
      </c>
      <c r="U11109" s="8">
        <v>12.8</v>
      </c>
      <c r="V11109" s="8">
        <v>0.9</v>
      </c>
      <c r="W11109" s="8">
        <v>0.8</v>
      </c>
      <c r="X11109" s="8">
        <v>48</v>
      </c>
      <c r="Y11109" s="8" t="s">
        <v>47204</v>
      </c>
      <c r="Z11109" s="8" t="s">
        <v>47205</v>
      </c>
    </row>
    <row r="11110" spans="1:26" x14ac:dyDescent="0.2">
      <c r="A11110" s="8">
        <v>11109</v>
      </c>
      <c r="B11110" s="8" t="s">
        <v>47206</v>
      </c>
      <c r="C11110" s="8" t="s">
        <v>47206</v>
      </c>
      <c r="G11110" s="8">
        <v>20</v>
      </c>
      <c r="H11110" s="8" t="s">
        <v>21</v>
      </c>
      <c r="I11110" s="8" t="s">
        <v>22</v>
      </c>
      <c r="J11110" s="8" t="s">
        <v>22</v>
      </c>
      <c r="K11110" s="8" t="s">
        <v>449</v>
      </c>
      <c r="L11110" s="8" t="s">
        <v>18289</v>
      </c>
      <c r="M11110" s="8" t="s">
        <v>18290</v>
      </c>
      <c r="N11110" s="8" t="s">
        <v>47207</v>
      </c>
      <c r="O11110" s="8">
        <f>12+24/60+4.2/3600</f>
        <v>12.401166666666667</v>
      </c>
      <c r="P11110" s="8" t="s">
        <v>47208</v>
      </c>
      <c r="Q11110" s="8">
        <f>+(27+26/60+5/3600)</f>
        <v>27.434722222222224</v>
      </c>
      <c r="R11110" s="8">
        <v>16.2</v>
      </c>
      <c r="S11110" s="8">
        <v>17</v>
      </c>
      <c r="T11110" s="8">
        <v>0.8</v>
      </c>
      <c r="U11110" s="8">
        <v>14</v>
      </c>
      <c r="V11110" s="8">
        <v>0.5</v>
      </c>
      <c r="W11110" s="8">
        <v>0.3</v>
      </c>
      <c r="X11110" s="8">
        <v>177</v>
      </c>
      <c r="Y11110" s="8" t="s">
        <v>37602</v>
      </c>
      <c r="Z11110" s="8" t="s">
        <v>37603</v>
      </c>
    </row>
    <row r="11111" spans="1:26" x14ac:dyDescent="0.2">
      <c r="A11111" s="8">
        <v>11110</v>
      </c>
      <c r="B11111" s="8" t="s">
        <v>47209</v>
      </c>
      <c r="C11111" s="8" t="s">
        <v>47209</v>
      </c>
      <c r="G11111" s="8">
        <v>20</v>
      </c>
      <c r="H11111" s="8" t="s">
        <v>21</v>
      </c>
      <c r="I11111" s="8" t="s">
        <v>22</v>
      </c>
      <c r="J11111" s="8" t="s">
        <v>22</v>
      </c>
      <c r="K11111" s="8" t="s">
        <v>37986</v>
      </c>
      <c r="L11111" s="8" t="s">
        <v>18289</v>
      </c>
      <c r="M11111" s="8" t="s">
        <v>18290</v>
      </c>
      <c r="N11111" s="8" t="s">
        <v>47210</v>
      </c>
      <c r="O11111" s="8">
        <f>12+24/60+5.8/3600</f>
        <v>12.401611111111112</v>
      </c>
      <c r="P11111" s="8" t="s">
        <v>47211</v>
      </c>
      <c r="Q11111" s="8">
        <f>+(27+34/60+39/3600)</f>
        <v>27.577500000000001</v>
      </c>
      <c r="R11111" s="8">
        <v>15.2</v>
      </c>
      <c r="S11111" s="8">
        <v>16</v>
      </c>
      <c r="T11111" s="8">
        <v>0.8</v>
      </c>
      <c r="U11111" s="8">
        <v>13.3</v>
      </c>
      <c r="V11111" s="8">
        <v>0.5</v>
      </c>
      <c r="W11111" s="8">
        <v>0.4</v>
      </c>
      <c r="X11111" s="8">
        <v>60</v>
      </c>
      <c r="Y11111" s="8" t="s">
        <v>3932</v>
      </c>
      <c r="Z11111" s="8" t="s">
        <v>3933</v>
      </c>
    </row>
    <row r="11112" spans="1:26" x14ac:dyDescent="0.2">
      <c r="A11112" s="8">
        <v>11111</v>
      </c>
      <c r="B11112" s="8" t="s">
        <v>47212</v>
      </c>
      <c r="C11112" s="8" t="s">
        <v>47212</v>
      </c>
      <c r="G11112" s="8">
        <v>20</v>
      </c>
      <c r="H11112" s="8" t="s">
        <v>21</v>
      </c>
      <c r="I11112" s="8" t="s">
        <v>22</v>
      </c>
      <c r="J11112" s="8" t="s">
        <v>22</v>
      </c>
      <c r="K11112" s="8" t="s">
        <v>160</v>
      </c>
      <c r="L11112" s="8" t="s">
        <v>17287</v>
      </c>
      <c r="M11112" s="8" t="s">
        <v>17288</v>
      </c>
      <c r="N11112" s="8" t="s">
        <v>47213</v>
      </c>
      <c r="O11112" s="8">
        <f>12+24/60+13.9/3600</f>
        <v>12.403861111111112</v>
      </c>
      <c r="P11112" s="8" t="s">
        <v>47214</v>
      </c>
      <c r="Q11112" s="8">
        <f>+(7+57/60+9/3600)</f>
        <v>7.9525000000000006</v>
      </c>
      <c r="R11112" s="8">
        <v>13.8</v>
      </c>
      <c r="S11112" s="8">
        <v>14.5</v>
      </c>
      <c r="T11112" s="8">
        <v>0.7</v>
      </c>
      <c r="U11112" s="8">
        <v>13.7</v>
      </c>
      <c r="V11112" s="8">
        <v>1</v>
      </c>
      <c r="W11112" s="8">
        <v>1</v>
      </c>
      <c r="Y11112" s="8" t="s">
        <v>47215</v>
      </c>
      <c r="Z11112" s="8" t="s">
        <v>47216</v>
      </c>
    </row>
    <row r="11113" spans="1:26" x14ac:dyDescent="0.2">
      <c r="A11113" s="8">
        <v>11112</v>
      </c>
      <c r="B11113" s="8" t="s">
        <v>47217</v>
      </c>
      <c r="C11113" s="8" t="s">
        <v>47217</v>
      </c>
      <c r="G11113" s="8">
        <v>20</v>
      </c>
      <c r="H11113" s="8" t="s">
        <v>21</v>
      </c>
      <c r="I11113" s="8" t="s">
        <v>22</v>
      </c>
      <c r="J11113" s="8" t="s">
        <v>22</v>
      </c>
      <c r="K11113" s="8" t="s">
        <v>449</v>
      </c>
      <c r="L11113" s="8" t="s">
        <v>18289</v>
      </c>
      <c r="M11113" s="8" t="s">
        <v>18290</v>
      </c>
      <c r="N11113" s="8" t="s">
        <v>47218</v>
      </c>
      <c r="O11113" s="8">
        <f>12+24/60+9.3/3600</f>
        <v>12.402583333333334</v>
      </c>
      <c r="P11113" s="8" t="s">
        <v>47219</v>
      </c>
      <c r="Q11113" s="8">
        <f>+(23+17/60+6/3600)</f>
        <v>23.285</v>
      </c>
      <c r="R11113" s="8">
        <v>15.4</v>
      </c>
      <c r="S11113" s="8">
        <v>16.2</v>
      </c>
      <c r="T11113" s="8">
        <v>0.8</v>
      </c>
      <c r="U11113" s="8">
        <v>13.2</v>
      </c>
      <c r="V11113" s="8">
        <v>0.5</v>
      </c>
      <c r="W11113" s="8">
        <v>0.3</v>
      </c>
      <c r="X11113" s="8">
        <v>150</v>
      </c>
      <c r="Y11113" s="8" t="s">
        <v>21</v>
      </c>
      <c r="Z11113" s="8" t="s">
        <v>47220</v>
      </c>
    </row>
    <row r="11114" spans="1:26" x14ac:dyDescent="0.2">
      <c r="A11114" s="8">
        <v>11113</v>
      </c>
      <c r="B11114" s="8" t="s">
        <v>47221</v>
      </c>
      <c r="C11114" s="8" t="s">
        <v>47221</v>
      </c>
      <c r="G11114" s="8">
        <v>20</v>
      </c>
      <c r="H11114" s="8" t="s">
        <v>21</v>
      </c>
      <c r="I11114" s="8" t="s">
        <v>22</v>
      </c>
      <c r="J11114" s="8" t="s">
        <v>57</v>
      </c>
      <c r="K11114" s="8" t="s">
        <v>160</v>
      </c>
      <c r="L11114" s="8" t="s">
        <v>17287</v>
      </c>
      <c r="M11114" s="8" t="s">
        <v>17288</v>
      </c>
      <c r="N11114" s="8" t="s">
        <v>19738</v>
      </c>
      <c r="O11114" s="8">
        <f>12+24/60+14.6/3600</f>
        <v>12.404055555555557</v>
      </c>
      <c r="P11114" s="8" t="s">
        <v>19739</v>
      </c>
      <c r="Q11114" s="8">
        <f>+(8+32/60+13/3600)</f>
        <v>8.536944444444444</v>
      </c>
      <c r="R11114" s="8">
        <v>13.3</v>
      </c>
      <c r="S11114" s="8">
        <v>14</v>
      </c>
      <c r="T11114" s="8">
        <v>0.7</v>
      </c>
      <c r="U11114" s="8">
        <v>13.5</v>
      </c>
      <c r="V11114" s="8">
        <v>2.8</v>
      </c>
      <c r="W11114" s="8">
        <v>0.5</v>
      </c>
      <c r="X11114" s="8">
        <v>40</v>
      </c>
      <c r="Y11114" s="8" t="s">
        <v>21</v>
      </c>
      <c r="Z11114" s="8" t="s">
        <v>47222</v>
      </c>
    </row>
    <row r="11115" spans="1:26" x14ac:dyDescent="0.2">
      <c r="A11115" s="8">
        <v>11114</v>
      </c>
      <c r="B11115" s="8" t="s">
        <v>47223</v>
      </c>
      <c r="C11115" s="8" t="s">
        <v>47223</v>
      </c>
      <c r="G11115" s="8">
        <v>20</v>
      </c>
      <c r="H11115" s="8" t="s">
        <v>21</v>
      </c>
      <c r="I11115" s="8" t="s">
        <v>22</v>
      </c>
      <c r="J11115" s="8" t="s">
        <v>22</v>
      </c>
      <c r="K11115" s="8" t="s">
        <v>818</v>
      </c>
      <c r="L11115" s="8" t="s">
        <v>17287</v>
      </c>
      <c r="M11115" s="8" t="s">
        <v>17288</v>
      </c>
      <c r="N11115" s="8" t="s">
        <v>19738</v>
      </c>
      <c r="O11115" s="8">
        <f>12+24/60+14.6/3600</f>
        <v>12.404055555555557</v>
      </c>
      <c r="P11115" s="8" t="s">
        <v>47224</v>
      </c>
      <c r="Q11115" s="8">
        <f>+(9+16/60+2/3600)</f>
        <v>9.2672222222222231</v>
      </c>
      <c r="R11115" s="8">
        <v>14.3</v>
      </c>
      <c r="S11115" s="8">
        <v>15.3</v>
      </c>
      <c r="T11115" s="8">
        <v>1</v>
      </c>
      <c r="U11115" s="8">
        <v>12.6</v>
      </c>
      <c r="V11115" s="8">
        <v>0.5</v>
      </c>
      <c r="W11115" s="8">
        <v>0.4</v>
      </c>
      <c r="Y11115" s="8" t="s">
        <v>47225</v>
      </c>
      <c r="Z11115" s="8" t="s">
        <v>47226</v>
      </c>
    </row>
    <row r="11116" spans="1:26" x14ac:dyDescent="0.2">
      <c r="A11116" s="8">
        <v>11115</v>
      </c>
      <c r="B11116" s="8" t="s">
        <v>47227</v>
      </c>
      <c r="C11116" s="8" t="s">
        <v>47227</v>
      </c>
      <c r="G11116" s="8">
        <v>20</v>
      </c>
      <c r="H11116" s="8" t="s">
        <v>21</v>
      </c>
      <c r="I11116" s="8" t="s">
        <v>22</v>
      </c>
      <c r="J11116" s="8" t="s">
        <v>22</v>
      </c>
      <c r="K11116" s="8" t="s">
        <v>37858</v>
      </c>
      <c r="L11116" s="8" t="s">
        <v>17287</v>
      </c>
      <c r="M11116" s="8" t="s">
        <v>17288</v>
      </c>
      <c r="N11116" s="8" t="s">
        <v>47228</v>
      </c>
      <c r="O11116" s="8">
        <f>12+24/60+19.5/3600</f>
        <v>12.405416666666667</v>
      </c>
      <c r="P11116" s="8" t="s">
        <v>9914</v>
      </c>
      <c r="Q11116" s="8">
        <f>+(10+26/60+47/3600)</f>
        <v>10.446388888888889</v>
      </c>
      <c r="R11116" s="8">
        <v>15.7</v>
      </c>
      <c r="S11116" s="8">
        <v>16.5</v>
      </c>
      <c r="T11116" s="8">
        <v>0.8</v>
      </c>
      <c r="U11116" s="8">
        <v>13.5</v>
      </c>
      <c r="V11116" s="8">
        <v>0.5</v>
      </c>
      <c r="W11116" s="8">
        <v>0.3</v>
      </c>
      <c r="X11116" s="8">
        <v>75</v>
      </c>
      <c r="Y11116" s="8" t="s">
        <v>46390</v>
      </c>
      <c r="Z11116" s="8" t="s">
        <v>46391</v>
      </c>
    </row>
    <row r="11117" spans="1:26" x14ac:dyDescent="0.2">
      <c r="A11117" s="8">
        <v>11116</v>
      </c>
      <c r="B11117" s="8" t="s">
        <v>47229</v>
      </c>
      <c r="C11117" s="8" t="s">
        <v>47229</v>
      </c>
      <c r="G11117" s="8">
        <v>20</v>
      </c>
      <c r="H11117" s="8" t="s">
        <v>21</v>
      </c>
      <c r="I11117" s="8" t="s">
        <v>22</v>
      </c>
      <c r="J11117" s="8" t="s">
        <v>22</v>
      </c>
      <c r="K11117" s="8" t="s">
        <v>382</v>
      </c>
      <c r="L11117" s="8" t="s">
        <v>18289</v>
      </c>
      <c r="M11117" s="8" t="s">
        <v>18290</v>
      </c>
      <c r="N11117" s="8" t="s">
        <v>47230</v>
      </c>
      <c r="O11117" s="8">
        <f>12+24/60+14/3600</f>
        <v>12.40388888888889</v>
      </c>
      <c r="P11117" s="8" t="s">
        <v>47231</v>
      </c>
      <c r="Q11117" s="8">
        <f>+(25+49/60+6/3600)</f>
        <v>25.818333333333332</v>
      </c>
      <c r="R11117" s="8">
        <v>15.5</v>
      </c>
      <c r="S11117" s="8">
        <v>16.5</v>
      </c>
      <c r="T11117" s="8">
        <v>1</v>
      </c>
      <c r="U11117" s="8">
        <v>12.5</v>
      </c>
      <c r="V11117" s="8">
        <v>0.3</v>
      </c>
      <c r="W11117" s="8">
        <v>0.2</v>
      </c>
      <c r="X11117" s="8">
        <v>90</v>
      </c>
      <c r="Y11117" s="8" t="s">
        <v>115</v>
      </c>
      <c r="Z11117" s="8" t="s">
        <v>116</v>
      </c>
    </row>
    <row r="11118" spans="1:26" x14ac:dyDescent="0.2">
      <c r="A11118" s="8">
        <v>11117</v>
      </c>
      <c r="B11118" s="8" t="s">
        <v>47232</v>
      </c>
      <c r="C11118" s="8" t="s">
        <v>47232</v>
      </c>
      <c r="G11118" s="8">
        <v>20</v>
      </c>
      <c r="H11118" s="8" t="s">
        <v>21</v>
      </c>
      <c r="I11118" s="8" t="s">
        <v>22</v>
      </c>
      <c r="J11118" s="8" t="s">
        <v>22</v>
      </c>
      <c r="K11118" s="8" t="s">
        <v>449</v>
      </c>
      <c r="L11118" s="8" t="s">
        <v>18289</v>
      </c>
      <c r="M11118" s="8" t="s">
        <v>18290</v>
      </c>
      <c r="N11118" s="8" t="s">
        <v>47233</v>
      </c>
      <c r="O11118" s="8">
        <f>12+24/60+15.6/3600</f>
        <v>12.404333333333334</v>
      </c>
      <c r="P11118" s="8" t="s">
        <v>47234</v>
      </c>
      <c r="Q11118" s="8">
        <f>+(25+33/60+49/3600)</f>
        <v>25.563611111111111</v>
      </c>
      <c r="R11118" s="8">
        <v>15.5</v>
      </c>
      <c r="S11118" s="8">
        <v>16.3</v>
      </c>
      <c r="T11118" s="8">
        <v>0.8</v>
      </c>
      <c r="U11118" s="8">
        <v>12.3</v>
      </c>
      <c r="V11118" s="8">
        <v>0.3</v>
      </c>
      <c r="W11118" s="8">
        <v>0.2</v>
      </c>
      <c r="X11118" s="8">
        <v>160</v>
      </c>
      <c r="Y11118" s="8" t="s">
        <v>47235</v>
      </c>
      <c r="Z11118" s="8" t="s">
        <v>47236</v>
      </c>
    </row>
    <row r="11119" spans="1:26" x14ac:dyDescent="0.2">
      <c r="A11119" s="8">
        <v>11118</v>
      </c>
      <c r="B11119" s="8" t="s">
        <v>47237</v>
      </c>
      <c r="C11119" s="8" t="s">
        <v>47237</v>
      </c>
      <c r="G11119" s="8">
        <v>20</v>
      </c>
      <c r="H11119" s="8" t="s">
        <v>21</v>
      </c>
      <c r="I11119" s="8" t="s">
        <v>22</v>
      </c>
      <c r="J11119" s="8" t="s">
        <v>22</v>
      </c>
      <c r="K11119" s="8" t="s">
        <v>476</v>
      </c>
      <c r="L11119" s="8" t="s">
        <v>18289</v>
      </c>
      <c r="M11119" s="8" t="s">
        <v>18290</v>
      </c>
      <c r="N11119" s="8" t="s">
        <v>47238</v>
      </c>
      <c r="O11119" s="8">
        <f>12+24/60+15/3600</f>
        <v>12.404166666666667</v>
      </c>
      <c r="P11119" s="8" t="s">
        <v>47239</v>
      </c>
      <c r="Q11119" s="8">
        <f>+(27+25/60+20/3600)</f>
        <v>27.422222222222224</v>
      </c>
      <c r="R11119" s="8">
        <v>15.2</v>
      </c>
      <c r="S11119" s="8">
        <v>16</v>
      </c>
      <c r="T11119" s="8">
        <v>0.8</v>
      </c>
      <c r="U11119" s="8">
        <v>14.3</v>
      </c>
      <c r="V11119" s="8">
        <v>0.8</v>
      </c>
      <c r="W11119" s="8">
        <v>0.6</v>
      </c>
      <c r="Y11119" s="8" t="s">
        <v>47240</v>
      </c>
      <c r="Z11119" s="8" t="s">
        <v>45159</v>
      </c>
    </row>
    <row r="11120" spans="1:26" x14ac:dyDescent="0.2">
      <c r="A11120" s="8">
        <v>11119</v>
      </c>
      <c r="B11120" s="8" t="s">
        <v>47241</v>
      </c>
      <c r="C11120" s="8" t="s">
        <v>47241</v>
      </c>
      <c r="G11120" s="8">
        <v>20</v>
      </c>
      <c r="H11120" s="8" t="s">
        <v>21</v>
      </c>
      <c r="I11120" s="8" t="s">
        <v>72</v>
      </c>
      <c r="J11120" s="8" t="s">
        <v>72</v>
      </c>
      <c r="K11120" s="8" t="s">
        <v>73</v>
      </c>
      <c r="L11120" s="8" t="s">
        <v>17287</v>
      </c>
      <c r="M11120" s="8" t="s">
        <v>17288</v>
      </c>
      <c r="N11120" s="8" t="s">
        <v>47242</v>
      </c>
      <c r="O11120" s="8">
        <f>12+24/60+23.6/3600</f>
        <v>12.406555555555556</v>
      </c>
      <c r="P11120" s="8" t="s">
        <v>47243</v>
      </c>
      <c r="Q11120" s="8">
        <f>+(12+51/60+10/3600)</f>
        <v>12.852777777777778</v>
      </c>
      <c r="R11120" s="8">
        <v>99</v>
      </c>
      <c r="S11120" s="8">
        <v>99</v>
      </c>
      <c r="T11120" s="8">
        <v>99</v>
      </c>
      <c r="U11120" s="8">
        <v>99</v>
      </c>
      <c r="Y11120" s="8" t="s">
        <v>21</v>
      </c>
      <c r="Z11120" s="8" t="s">
        <v>47244</v>
      </c>
    </row>
    <row r="11121" spans="1:26" x14ac:dyDescent="0.2">
      <c r="A11121" s="8">
        <v>11120</v>
      </c>
      <c r="B11121" s="8" t="s">
        <v>47245</v>
      </c>
      <c r="C11121" s="8" t="s">
        <v>47245</v>
      </c>
      <c r="G11121" s="8">
        <v>20</v>
      </c>
      <c r="H11121" s="8" t="s">
        <v>21</v>
      </c>
      <c r="I11121" s="8" t="s">
        <v>22</v>
      </c>
      <c r="J11121" s="8" t="s">
        <v>22</v>
      </c>
      <c r="K11121" s="8" t="s">
        <v>47246</v>
      </c>
      <c r="L11121" s="8" t="s">
        <v>17287</v>
      </c>
      <c r="M11121" s="8" t="s">
        <v>17288</v>
      </c>
      <c r="N11121" s="8" t="s">
        <v>47247</v>
      </c>
      <c r="O11121" s="8">
        <f>12+24/60+26.9/3600</f>
        <v>12.407472222222223</v>
      </c>
      <c r="P11121" s="8" t="s">
        <v>47248</v>
      </c>
      <c r="Q11121" s="8">
        <f>+(13+14/60+0/3600)</f>
        <v>13.233333333333333</v>
      </c>
      <c r="R11121" s="8">
        <v>14.1</v>
      </c>
      <c r="S11121" s="8">
        <v>14.9</v>
      </c>
      <c r="T11121" s="8">
        <v>0.8</v>
      </c>
      <c r="U11121" s="8">
        <v>13.4</v>
      </c>
      <c r="V11121" s="8">
        <v>0.9</v>
      </c>
      <c r="W11121" s="8">
        <v>0.7</v>
      </c>
      <c r="Y11121" s="8" t="s">
        <v>47249</v>
      </c>
      <c r="Z11121" s="8" t="s">
        <v>47250</v>
      </c>
    </row>
    <row r="11122" spans="1:26" x14ac:dyDescent="0.2">
      <c r="A11122" s="8">
        <v>11121</v>
      </c>
      <c r="B11122" s="8" t="s">
        <v>47251</v>
      </c>
      <c r="C11122" s="8" t="s">
        <v>47251</v>
      </c>
      <c r="G11122" s="8">
        <v>20</v>
      </c>
      <c r="H11122" s="8" t="s">
        <v>21</v>
      </c>
      <c r="I11122" s="8" t="s">
        <v>329</v>
      </c>
      <c r="J11122" s="8" t="s">
        <v>329</v>
      </c>
      <c r="K11122" s="8" t="s">
        <v>329</v>
      </c>
      <c r="L11122" s="8" t="s">
        <v>17287</v>
      </c>
      <c r="M11122" s="8" t="s">
        <v>17288</v>
      </c>
      <c r="N11122" s="8" t="s">
        <v>47252</v>
      </c>
      <c r="O11122" s="8">
        <f>12+24/60+28/3600</f>
        <v>12.407777777777778</v>
      </c>
      <c r="P11122" s="8" t="s">
        <v>47253</v>
      </c>
      <c r="Q11122" s="8">
        <f>+(7+49/60+8/3600)</f>
        <v>7.818888888888889</v>
      </c>
      <c r="R11122" s="8">
        <v>99</v>
      </c>
      <c r="S11122" s="8">
        <v>99</v>
      </c>
      <c r="T11122" s="8">
        <v>99</v>
      </c>
      <c r="U11122" s="8">
        <v>99</v>
      </c>
      <c r="Y11122" s="8" t="s">
        <v>47254</v>
      </c>
      <c r="Z11122" s="8" t="s">
        <v>47255</v>
      </c>
    </row>
    <row r="11123" spans="1:26" x14ac:dyDescent="0.2">
      <c r="A11123" s="8">
        <v>11122</v>
      </c>
      <c r="B11123" s="8" t="s">
        <v>47256</v>
      </c>
      <c r="C11123" s="8" t="s">
        <v>47256</v>
      </c>
      <c r="G11123" s="8">
        <v>20</v>
      </c>
      <c r="H11123" s="8" t="s">
        <v>21</v>
      </c>
      <c r="I11123" s="8" t="s">
        <v>72</v>
      </c>
      <c r="J11123" s="8" t="s">
        <v>72</v>
      </c>
      <c r="K11123" s="8" t="s">
        <v>20</v>
      </c>
      <c r="L11123" s="8" t="s">
        <v>18289</v>
      </c>
      <c r="M11123" s="8" t="s">
        <v>18290</v>
      </c>
      <c r="N11123" s="8" t="s">
        <v>47252</v>
      </c>
      <c r="O11123" s="8">
        <f>12+24/60+28/3600</f>
        <v>12.407777777777778</v>
      </c>
      <c r="P11123" s="8" t="s">
        <v>47257</v>
      </c>
      <c r="Q11123" s="8">
        <f>+(25+40/60+14/3600)</f>
        <v>25.670555555555556</v>
      </c>
      <c r="R11123" s="8">
        <v>99</v>
      </c>
      <c r="S11123" s="8">
        <v>99</v>
      </c>
      <c r="T11123" s="8">
        <v>99</v>
      </c>
      <c r="U11123" s="8">
        <v>99</v>
      </c>
      <c r="Y11123" s="8" t="s">
        <v>4165</v>
      </c>
      <c r="Z11123" s="8" t="s">
        <v>4166</v>
      </c>
    </row>
    <row r="11124" spans="1:26" x14ac:dyDescent="0.2">
      <c r="A11124" s="8">
        <v>11123</v>
      </c>
      <c r="B11124" s="8" t="s">
        <v>47258</v>
      </c>
      <c r="C11124" s="8" t="s">
        <v>47258</v>
      </c>
      <c r="G11124" s="8">
        <v>20</v>
      </c>
      <c r="H11124" s="8" t="s">
        <v>21</v>
      </c>
      <c r="I11124" s="8" t="s">
        <v>22</v>
      </c>
      <c r="J11124" s="8" t="s">
        <v>22</v>
      </c>
      <c r="K11124" s="8" t="s">
        <v>449</v>
      </c>
      <c r="L11124" s="8" t="s">
        <v>18289</v>
      </c>
      <c r="M11124" s="8" t="s">
        <v>18290</v>
      </c>
      <c r="N11124" s="8" t="s">
        <v>47259</v>
      </c>
      <c r="O11124" s="8">
        <f>12+24/60+28.1/3600</f>
        <v>12.407805555555555</v>
      </c>
      <c r="P11124" s="8" t="s">
        <v>47260</v>
      </c>
      <c r="Q11124" s="8">
        <f>+(27+12/60+42/3600)</f>
        <v>27.211666666666666</v>
      </c>
      <c r="R11124" s="8">
        <v>15.2</v>
      </c>
      <c r="S11124" s="8">
        <v>16</v>
      </c>
      <c r="T11124" s="8">
        <v>0.8</v>
      </c>
      <c r="U11124" s="8">
        <v>13</v>
      </c>
      <c r="V11124" s="8">
        <v>0.5</v>
      </c>
      <c r="W11124" s="8">
        <v>0.3</v>
      </c>
      <c r="X11124" s="8">
        <v>45</v>
      </c>
      <c r="Y11124" s="8" t="s">
        <v>44896</v>
      </c>
      <c r="Z11124" s="8" t="s">
        <v>44897</v>
      </c>
    </row>
    <row r="11125" spans="1:26" x14ac:dyDescent="0.2">
      <c r="A11125" s="8">
        <v>11124</v>
      </c>
      <c r="B11125" s="8" t="s">
        <v>47261</v>
      </c>
      <c r="C11125" s="8" t="s">
        <v>47261</v>
      </c>
      <c r="G11125" s="8">
        <v>20</v>
      </c>
      <c r="H11125" s="8" t="s">
        <v>21</v>
      </c>
      <c r="I11125" s="8" t="s">
        <v>22</v>
      </c>
      <c r="J11125" s="8" t="s">
        <v>22</v>
      </c>
      <c r="K11125" s="8" t="s">
        <v>47262</v>
      </c>
      <c r="L11125" s="8" t="s">
        <v>17287</v>
      </c>
      <c r="M11125" s="8" t="s">
        <v>17288</v>
      </c>
      <c r="N11125" s="8" t="s">
        <v>47263</v>
      </c>
      <c r="O11125" s="8">
        <f>12+24/60+37.5/3600</f>
        <v>12.410416666666666</v>
      </c>
      <c r="P11125" s="8" t="s">
        <v>47264</v>
      </c>
      <c r="Q11125" s="8">
        <f>+(10+50/60+19/3600)</f>
        <v>10.838611111111112</v>
      </c>
      <c r="R11125" s="8">
        <v>14.5</v>
      </c>
      <c r="S11125" s="8">
        <v>15.3</v>
      </c>
      <c r="T11125" s="8">
        <v>0.8</v>
      </c>
      <c r="U11125" s="8">
        <v>12.8</v>
      </c>
      <c r="V11125" s="8">
        <v>0.5</v>
      </c>
      <c r="W11125" s="8">
        <v>0.5</v>
      </c>
      <c r="Y11125" s="8" t="s">
        <v>47265</v>
      </c>
      <c r="Z11125" s="8" t="s">
        <v>47266</v>
      </c>
    </row>
    <row r="11126" spans="1:26" x14ac:dyDescent="0.2">
      <c r="A11126" s="8">
        <v>11125</v>
      </c>
      <c r="B11126" s="8" t="s">
        <v>47267</v>
      </c>
      <c r="C11126" s="8" t="s">
        <v>47267</v>
      </c>
      <c r="G11126" s="8">
        <v>20</v>
      </c>
      <c r="H11126" s="8" t="s">
        <v>21</v>
      </c>
      <c r="I11126" s="8" t="s">
        <v>72</v>
      </c>
      <c r="J11126" s="8" t="s">
        <v>72</v>
      </c>
      <c r="K11126" s="8" t="s">
        <v>20</v>
      </c>
      <c r="L11126" s="8" t="s">
        <v>18289</v>
      </c>
      <c r="M11126" s="8" t="s">
        <v>18290</v>
      </c>
      <c r="N11126" s="8" t="s">
        <v>47268</v>
      </c>
      <c r="O11126" s="8">
        <f>12+24/60+33.7/3600</f>
        <v>12.409361111111112</v>
      </c>
      <c r="P11126" s="8" t="s">
        <v>47269</v>
      </c>
      <c r="Q11126" s="8">
        <f>+(24+51/60+35/3600)</f>
        <v>24.859722222222224</v>
      </c>
      <c r="R11126" s="8">
        <v>99</v>
      </c>
      <c r="S11126" s="8">
        <v>99</v>
      </c>
      <c r="T11126" s="8">
        <v>99</v>
      </c>
      <c r="U11126" s="8">
        <v>99</v>
      </c>
      <c r="Y11126" s="8" t="s">
        <v>47270</v>
      </c>
      <c r="Z11126" s="8" t="s">
        <v>47271</v>
      </c>
    </row>
    <row r="11127" spans="1:26" x14ac:dyDescent="0.2">
      <c r="A11127" s="8">
        <v>11126</v>
      </c>
      <c r="B11127" s="8" t="s">
        <v>47272</v>
      </c>
      <c r="C11127" s="8" t="s">
        <v>47272</v>
      </c>
      <c r="G11127" s="8">
        <v>20</v>
      </c>
      <c r="H11127" s="8" t="s">
        <v>21</v>
      </c>
      <c r="I11127" s="8" t="s">
        <v>22</v>
      </c>
      <c r="J11127" s="8" t="s">
        <v>22</v>
      </c>
      <c r="K11127" s="8" t="s">
        <v>382</v>
      </c>
      <c r="L11127" s="8" t="s">
        <v>18289</v>
      </c>
      <c r="M11127" s="8" t="s">
        <v>18290</v>
      </c>
      <c r="N11127" s="8" t="s">
        <v>47273</v>
      </c>
      <c r="O11127" s="8">
        <f>12+24/60+34.5/3600</f>
        <v>12.409583333333334</v>
      </c>
      <c r="P11127" s="8" t="s">
        <v>47274</v>
      </c>
      <c r="Q11127" s="8">
        <f>+(23+44/60+52/3600)</f>
        <v>23.747777777777777</v>
      </c>
      <c r="R11127" s="8">
        <v>15</v>
      </c>
      <c r="S11127" s="8">
        <v>16</v>
      </c>
      <c r="T11127" s="8">
        <v>1</v>
      </c>
      <c r="U11127" s="8">
        <v>12.8</v>
      </c>
      <c r="V11127" s="8">
        <v>0.4</v>
      </c>
      <c r="W11127" s="8">
        <v>0.3</v>
      </c>
      <c r="X11127" s="8">
        <v>60</v>
      </c>
      <c r="Y11127" s="8" t="s">
        <v>47275</v>
      </c>
      <c r="Z11127" s="8" t="s">
        <v>47276</v>
      </c>
    </row>
    <row r="11128" spans="1:26" x14ac:dyDescent="0.2">
      <c r="A11128" s="8">
        <v>11127</v>
      </c>
      <c r="B11128" s="8" t="s">
        <v>47277</v>
      </c>
      <c r="C11128" s="8" t="s">
        <v>47277</v>
      </c>
      <c r="G11128" s="8">
        <v>20</v>
      </c>
      <c r="H11128" s="8" t="s">
        <v>21</v>
      </c>
      <c r="I11128" s="8" t="s">
        <v>22</v>
      </c>
      <c r="J11128" s="8" t="s">
        <v>22</v>
      </c>
      <c r="K11128" s="8" t="s">
        <v>449</v>
      </c>
      <c r="L11128" s="8" t="s">
        <v>18289</v>
      </c>
      <c r="M11128" s="8" t="s">
        <v>18290</v>
      </c>
      <c r="N11128" s="8" t="s">
        <v>47278</v>
      </c>
      <c r="O11128" s="8">
        <f>12+24/60+37/3600</f>
        <v>12.410277777777779</v>
      </c>
      <c r="P11128" s="8" t="s">
        <v>47279</v>
      </c>
      <c r="Q11128" s="8">
        <f>+(24+35/60+41/3600)</f>
        <v>24.59472222222222</v>
      </c>
      <c r="R11128" s="8">
        <v>17.2</v>
      </c>
      <c r="S11128" s="8">
        <v>18</v>
      </c>
      <c r="T11128" s="8">
        <v>0.8</v>
      </c>
      <c r="U11128" s="8">
        <v>13.6</v>
      </c>
      <c r="V11128" s="8">
        <v>0.2</v>
      </c>
      <c r="W11128" s="8">
        <v>0.2</v>
      </c>
      <c r="Y11128" s="8" t="s">
        <v>21</v>
      </c>
      <c r="Z11128" s="8" t="s">
        <v>47280</v>
      </c>
    </row>
    <row r="11129" spans="1:26" x14ac:dyDescent="0.2">
      <c r="A11129" s="8">
        <v>11128</v>
      </c>
      <c r="B11129" s="8" t="s">
        <v>47281</v>
      </c>
      <c r="C11129" s="8" t="s">
        <v>47281</v>
      </c>
      <c r="G11129" s="8">
        <v>20</v>
      </c>
      <c r="H11129" s="8" t="s">
        <v>21</v>
      </c>
      <c r="I11129" s="8" t="s">
        <v>22</v>
      </c>
      <c r="J11129" s="8" t="s">
        <v>22</v>
      </c>
      <c r="K11129" s="8" t="s">
        <v>382</v>
      </c>
      <c r="L11129" s="8" t="s">
        <v>18289</v>
      </c>
      <c r="M11129" s="8" t="s">
        <v>18290</v>
      </c>
      <c r="N11129" s="8" t="s">
        <v>47282</v>
      </c>
      <c r="O11129" s="8">
        <f>12+24/60+39.3/3600</f>
        <v>12.410916666666667</v>
      </c>
      <c r="P11129" s="8" t="s">
        <v>47283</v>
      </c>
      <c r="Q11129" s="8">
        <f>+(24+56/60+57/3600)</f>
        <v>24.949166666666667</v>
      </c>
      <c r="R11129" s="8">
        <v>15.5</v>
      </c>
      <c r="S11129" s="8">
        <v>16.5</v>
      </c>
      <c r="T11129" s="8">
        <v>1</v>
      </c>
      <c r="U11129" s="8">
        <v>12.5</v>
      </c>
      <c r="V11129" s="8">
        <v>0.3</v>
      </c>
      <c r="W11129" s="8">
        <v>0.2</v>
      </c>
      <c r="X11129" s="8">
        <v>120</v>
      </c>
      <c r="Y11129" s="8" t="s">
        <v>115</v>
      </c>
      <c r="Z11129" s="8" t="s">
        <v>116</v>
      </c>
    </row>
    <row r="11130" spans="1:26" x14ac:dyDescent="0.2">
      <c r="A11130" s="8">
        <v>11129</v>
      </c>
      <c r="B11130" s="8" t="s">
        <v>47284</v>
      </c>
      <c r="C11130" s="8" t="s">
        <v>47284</v>
      </c>
      <c r="G11130" s="8">
        <v>20</v>
      </c>
      <c r="H11130" s="8" t="s">
        <v>21</v>
      </c>
      <c r="I11130" s="8" t="s">
        <v>22</v>
      </c>
      <c r="J11130" s="8" t="s">
        <v>22</v>
      </c>
      <c r="K11130" s="8" t="s">
        <v>37</v>
      </c>
      <c r="L11130" s="8" t="s">
        <v>11765</v>
      </c>
      <c r="M11130" s="8" t="s">
        <v>11766</v>
      </c>
      <c r="N11130" s="8" t="s">
        <v>47285</v>
      </c>
      <c r="O11130" s="8">
        <f>12+24/60+57.4/3600</f>
        <v>12.415944444444445</v>
      </c>
      <c r="P11130" s="8" t="s">
        <v>47286</v>
      </c>
      <c r="Q11130" s="8">
        <f>-(26+1/60+49/3600)</f>
        <v>-26.030277777777776</v>
      </c>
      <c r="R11130" s="8">
        <v>13</v>
      </c>
      <c r="S11130" s="8">
        <v>14</v>
      </c>
      <c r="T11130" s="8">
        <v>1</v>
      </c>
      <c r="U11130" s="8">
        <v>12.8</v>
      </c>
      <c r="V11130" s="8">
        <v>1</v>
      </c>
      <c r="W11130" s="8">
        <v>1</v>
      </c>
      <c r="Y11130" s="8" t="s">
        <v>47287</v>
      </c>
      <c r="Z11130" s="8" t="s">
        <v>47288</v>
      </c>
    </row>
    <row r="11131" spans="1:26" x14ac:dyDescent="0.2">
      <c r="A11131" s="8">
        <v>11130</v>
      </c>
      <c r="B11131" s="8" t="s">
        <v>47289</v>
      </c>
      <c r="C11131" s="8" t="s">
        <v>47289</v>
      </c>
      <c r="G11131" s="8">
        <v>20</v>
      </c>
      <c r="H11131" s="8" t="s">
        <v>21</v>
      </c>
      <c r="I11131" s="8" t="s">
        <v>22</v>
      </c>
      <c r="J11131" s="8" t="s">
        <v>22</v>
      </c>
      <c r="K11131" s="8" t="s">
        <v>435</v>
      </c>
      <c r="L11131" s="8" t="s">
        <v>16195</v>
      </c>
      <c r="M11131" s="8" t="s">
        <v>16196</v>
      </c>
      <c r="N11131" s="8" t="s">
        <v>47290</v>
      </c>
      <c r="O11131" s="8">
        <f>12+25/60+8.8/3600</f>
        <v>12.419111111111111</v>
      </c>
      <c r="P11131" s="8" t="s">
        <v>47291</v>
      </c>
      <c r="Q11131" s="8">
        <f>-(39+46/60+33/3600)</f>
        <v>-39.775833333333331</v>
      </c>
      <c r="R11131" s="8">
        <v>12</v>
      </c>
      <c r="S11131" s="8">
        <v>12.9</v>
      </c>
      <c r="T11131" s="8">
        <v>0.9</v>
      </c>
      <c r="U11131" s="8">
        <v>12.9</v>
      </c>
      <c r="V11131" s="8">
        <v>2</v>
      </c>
      <c r="W11131" s="8">
        <v>1.4</v>
      </c>
      <c r="X11131" s="8">
        <v>43</v>
      </c>
      <c r="Y11131" s="8" t="s">
        <v>21</v>
      </c>
      <c r="Z11131" s="8" t="s">
        <v>47292</v>
      </c>
    </row>
    <row r="11132" spans="1:26" x14ac:dyDescent="0.2">
      <c r="A11132" s="8">
        <v>11131</v>
      </c>
      <c r="B11132" s="8" t="s">
        <v>47293</v>
      </c>
      <c r="C11132" s="8" t="s">
        <v>47293</v>
      </c>
      <c r="G11132" s="8">
        <v>20</v>
      </c>
      <c r="H11132" s="8" t="s">
        <v>21</v>
      </c>
      <c r="I11132" s="8" t="s">
        <v>22</v>
      </c>
      <c r="J11132" s="8" t="s">
        <v>22</v>
      </c>
      <c r="K11132" s="8" t="s">
        <v>1068</v>
      </c>
      <c r="L11132" s="8" t="s">
        <v>17287</v>
      </c>
      <c r="M11132" s="8" t="s">
        <v>17288</v>
      </c>
      <c r="N11132" s="8" t="s">
        <v>47294</v>
      </c>
      <c r="O11132" s="8">
        <f>12+24/60+48.3/3600</f>
        <v>12.413416666666667</v>
      </c>
      <c r="P11132" s="8" t="s">
        <v>47295</v>
      </c>
      <c r="Q11132" s="8">
        <f>+(12+1/60+9/3600)</f>
        <v>12.019166666666667</v>
      </c>
      <c r="R11132" s="8">
        <v>15.5</v>
      </c>
      <c r="S11132" s="8">
        <v>16.5</v>
      </c>
      <c r="T11132" s="8">
        <v>1</v>
      </c>
      <c r="U11132" s="8">
        <v>12.8</v>
      </c>
      <c r="V11132" s="8">
        <v>0.4</v>
      </c>
      <c r="W11132" s="8">
        <v>0.2</v>
      </c>
      <c r="X11132" s="8">
        <v>60</v>
      </c>
      <c r="Y11132" s="8" t="s">
        <v>46279</v>
      </c>
      <c r="Z11132" s="8" t="s">
        <v>46280</v>
      </c>
    </row>
    <row r="11133" spans="1:26" x14ac:dyDescent="0.2">
      <c r="A11133" s="8">
        <v>11132</v>
      </c>
      <c r="B11133" s="8" t="s">
        <v>47296</v>
      </c>
      <c r="C11133" s="8" t="s">
        <v>47296</v>
      </c>
      <c r="G11133" s="8">
        <v>20</v>
      </c>
      <c r="H11133" s="8" t="s">
        <v>21</v>
      </c>
      <c r="I11133" s="8" t="s">
        <v>22</v>
      </c>
      <c r="J11133" s="8" t="s">
        <v>22</v>
      </c>
      <c r="K11133" s="8" t="s">
        <v>632</v>
      </c>
      <c r="L11133" s="8" t="s">
        <v>18289</v>
      </c>
      <c r="M11133" s="8" t="s">
        <v>18290</v>
      </c>
      <c r="N11133" s="8" t="s">
        <v>47294</v>
      </c>
      <c r="O11133" s="8">
        <f>12+24/60+48.3/3600</f>
        <v>12.413416666666667</v>
      </c>
      <c r="P11133" s="8" t="s">
        <v>47297</v>
      </c>
      <c r="Q11133" s="8">
        <f>+(18+11/60+44/3600)</f>
        <v>18.195555555555554</v>
      </c>
      <c r="R11133" s="8">
        <v>14.8</v>
      </c>
      <c r="S11133" s="8">
        <v>15.7</v>
      </c>
      <c r="T11133" s="8">
        <v>0.9</v>
      </c>
      <c r="U11133" s="8">
        <v>12.9</v>
      </c>
      <c r="V11133" s="8">
        <v>0.5</v>
      </c>
      <c r="W11133" s="8">
        <v>0.4</v>
      </c>
      <c r="Y11133" s="8" t="s">
        <v>3952</v>
      </c>
      <c r="Z11133" s="8" t="s">
        <v>3953</v>
      </c>
    </row>
    <row r="11134" spans="1:26" x14ac:dyDescent="0.2">
      <c r="A11134" s="8">
        <v>11133</v>
      </c>
      <c r="B11134" s="8" t="s">
        <v>47298</v>
      </c>
      <c r="C11134" s="8" t="s">
        <v>47298</v>
      </c>
      <c r="G11134" s="8">
        <v>20</v>
      </c>
      <c r="H11134" s="8" t="s">
        <v>21</v>
      </c>
      <c r="I11134" s="8" t="s">
        <v>22</v>
      </c>
      <c r="J11134" s="8" t="s">
        <v>22</v>
      </c>
      <c r="K11134" s="8" t="s">
        <v>1174</v>
      </c>
      <c r="L11134" s="8" t="s">
        <v>18289</v>
      </c>
      <c r="M11134" s="8" t="s">
        <v>18290</v>
      </c>
      <c r="N11134" s="8" t="s">
        <v>47299</v>
      </c>
      <c r="O11134" s="8">
        <f>12+24/60+53.5/3600</f>
        <v>12.414861111111112</v>
      </c>
      <c r="P11134" s="8" t="s">
        <v>47300</v>
      </c>
      <c r="Q11134" s="8">
        <f>+(17+25/60+57/3600)</f>
        <v>17.432500000000001</v>
      </c>
      <c r="R11134" s="8">
        <v>15.7</v>
      </c>
      <c r="S11134" s="8">
        <v>16.5</v>
      </c>
      <c r="T11134" s="8">
        <v>0.8</v>
      </c>
      <c r="U11134" s="8">
        <v>13.2</v>
      </c>
      <c r="V11134" s="8">
        <v>0.4</v>
      </c>
      <c r="W11134" s="8">
        <v>0.3</v>
      </c>
      <c r="X11134" s="8">
        <v>70</v>
      </c>
      <c r="Y11134" s="8" t="s">
        <v>47301</v>
      </c>
      <c r="Z11134" s="8" t="s">
        <v>47302</v>
      </c>
    </row>
    <row r="11135" spans="1:26" x14ac:dyDescent="0.2">
      <c r="A11135" s="8">
        <v>11134</v>
      </c>
      <c r="B11135" s="8" t="s">
        <v>47303</v>
      </c>
      <c r="C11135" s="8" t="s">
        <v>47303</v>
      </c>
      <c r="G11135" s="8">
        <v>20</v>
      </c>
      <c r="H11135" s="8" t="s">
        <v>21</v>
      </c>
      <c r="I11135" s="8" t="s">
        <v>72</v>
      </c>
      <c r="J11135" s="8" t="s">
        <v>72</v>
      </c>
      <c r="K11135" s="8" t="s">
        <v>20</v>
      </c>
      <c r="L11135" s="8" t="s">
        <v>18289</v>
      </c>
      <c r="M11135" s="8" t="s">
        <v>18290</v>
      </c>
      <c r="N11135" s="8" t="s">
        <v>47304</v>
      </c>
      <c r="O11135" s="8">
        <f>12+24/60+49.6/3600</f>
        <v>12.413777777777778</v>
      </c>
      <c r="P11135" s="8" t="s">
        <v>47305</v>
      </c>
      <c r="Q11135" s="8">
        <f>+(25+35/60+49/3600)</f>
        <v>25.596944444444443</v>
      </c>
      <c r="R11135" s="8">
        <v>99</v>
      </c>
      <c r="S11135" s="8">
        <v>99</v>
      </c>
      <c r="T11135" s="8">
        <v>99</v>
      </c>
      <c r="U11135" s="8">
        <v>99</v>
      </c>
      <c r="Y11135" s="8" t="s">
        <v>47235</v>
      </c>
      <c r="Z11135" s="8" t="s">
        <v>47236</v>
      </c>
    </row>
    <row r="11136" spans="1:26" x14ac:dyDescent="0.2">
      <c r="A11136" s="8">
        <v>11135</v>
      </c>
      <c r="B11136" s="8" t="s">
        <v>47306</v>
      </c>
      <c r="C11136" s="8" t="s">
        <v>47306</v>
      </c>
      <c r="G11136" s="8">
        <v>20</v>
      </c>
      <c r="H11136" s="8" t="s">
        <v>21</v>
      </c>
      <c r="I11136" s="8" t="s">
        <v>329</v>
      </c>
      <c r="J11136" s="8" t="s">
        <v>329</v>
      </c>
      <c r="K11136" s="8" t="s">
        <v>329</v>
      </c>
      <c r="L11136" s="8" t="s">
        <v>18289</v>
      </c>
      <c r="M11136" s="8" t="s">
        <v>18290</v>
      </c>
      <c r="N11136" s="8" t="s">
        <v>47307</v>
      </c>
      <c r="O11136" s="8">
        <f>12+24/60+49/3600</f>
        <v>12.413611111111111</v>
      </c>
      <c r="P11136" s="8" t="s">
        <v>47308</v>
      </c>
      <c r="Q11136" s="8">
        <f>+(28+42/60+28/3600)</f>
        <v>28.707777777777778</v>
      </c>
      <c r="R11136" s="8">
        <v>99</v>
      </c>
      <c r="S11136" s="8">
        <v>99</v>
      </c>
      <c r="T11136" s="8">
        <v>99</v>
      </c>
      <c r="U11136" s="8">
        <v>99</v>
      </c>
      <c r="Y11136" s="8" t="s">
        <v>11841</v>
      </c>
      <c r="Z11136" s="8" t="s">
        <v>11842</v>
      </c>
    </row>
    <row r="11137" spans="1:26" x14ac:dyDescent="0.2">
      <c r="A11137" s="8">
        <v>11136</v>
      </c>
      <c r="B11137" s="8" t="s">
        <v>47309</v>
      </c>
      <c r="C11137" s="8" t="s">
        <v>47309</v>
      </c>
      <c r="G11137" s="8">
        <v>20</v>
      </c>
      <c r="H11137" s="8" t="s">
        <v>21</v>
      </c>
      <c r="I11137" s="8" t="s">
        <v>22</v>
      </c>
      <c r="J11137" s="8" t="s">
        <v>22</v>
      </c>
      <c r="K11137" s="8" t="s">
        <v>818</v>
      </c>
      <c r="L11137" s="8" t="s">
        <v>18289</v>
      </c>
      <c r="M11137" s="8" t="s">
        <v>18290</v>
      </c>
      <c r="N11137" s="8" t="s">
        <v>47310</v>
      </c>
      <c r="O11137" s="8">
        <f>12+24/60+57.7/3600</f>
        <v>12.416027777777778</v>
      </c>
      <c r="P11137" s="8" t="s">
        <v>47311</v>
      </c>
      <c r="Q11137" s="8">
        <f>+(24+23/60+0/3600)</f>
        <v>24.383333333333333</v>
      </c>
      <c r="R11137" s="8">
        <v>14.6</v>
      </c>
      <c r="S11137" s="8">
        <v>15.6</v>
      </c>
      <c r="T11137" s="8">
        <v>1</v>
      </c>
      <c r="U11137" s="8">
        <v>11.6</v>
      </c>
      <c r="V11137" s="8">
        <v>0.3</v>
      </c>
      <c r="W11137" s="8">
        <v>0.2</v>
      </c>
      <c r="X11137" s="8">
        <v>92</v>
      </c>
      <c r="Y11137" s="8" t="s">
        <v>47312</v>
      </c>
      <c r="Z11137" s="8" t="s">
        <v>47313</v>
      </c>
    </row>
    <row r="11138" spans="1:26" x14ac:dyDescent="0.2">
      <c r="A11138" s="8">
        <v>11137</v>
      </c>
      <c r="B11138" s="8" t="s">
        <v>47314</v>
      </c>
      <c r="C11138" s="8" t="s">
        <v>47314</v>
      </c>
      <c r="G11138" s="8">
        <v>20</v>
      </c>
      <c r="H11138" s="8" t="s">
        <v>21</v>
      </c>
      <c r="I11138" s="8" t="s">
        <v>72</v>
      </c>
      <c r="J11138" s="8" t="s">
        <v>72</v>
      </c>
      <c r="K11138" s="8" t="s">
        <v>20</v>
      </c>
      <c r="L11138" s="8" t="s">
        <v>18289</v>
      </c>
      <c r="M11138" s="8" t="s">
        <v>18290</v>
      </c>
      <c r="N11138" s="8" t="s">
        <v>47315</v>
      </c>
      <c r="O11138" s="8">
        <f>12+24/60+58/3600</f>
        <v>12.416111111111112</v>
      </c>
      <c r="P11138" s="8" t="s">
        <v>47316</v>
      </c>
      <c r="Q11138" s="8">
        <f>+(26+46/60+17/3600)</f>
        <v>26.77138888888889</v>
      </c>
      <c r="R11138" s="8">
        <v>99</v>
      </c>
      <c r="S11138" s="8">
        <v>99</v>
      </c>
      <c r="T11138" s="8">
        <v>99</v>
      </c>
      <c r="U11138" s="8">
        <v>99</v>
      </c>
      <c r="Y11138" s="8" t="s">
        <v>47317</v>
      </c>
      <c r="Z11138" s="8" t="s">
        <v>47318</v>
      </c>
    </row>
    <row r="11139" spans="1:26" x14ac:dyDescent="0.2">
      <c r="A11139" s="8">
        <v>11138</v>
      </c>
      <c r="B11139" s="8" t="s">
        <v>47319</v>
      </c>
      <c r="C11139" s="8" t="s">
        <v>47319</v>
      </c>
      <c r="G11139" s="8">
        <v>20</v>
      </c>
      <c r="H11139" s="8" t="s">
        <v>21</v>
      </c>
      <c r="I11139" s="8" t="s">
        <v>22</v>
      </c>
      <c r="J11139" s="8" t="s">
        <v>22</v>
      </c>
      <c r="K11139" s="8" t="s">
        <v>64</v>
      </c>
      <c r="L11139" s="8" t="s">
        <v>18289</v>
      </c>
      <c r="M11139" s="8" t="s">
        <v>18290</v>
      </c>
      <c r="N11139" s="8" t="s">
        <v>47320</v>
      </c>
      <c r="O11139" s="8">
        <f>12+25/60+3.8/3600</f>
        <v>12.417722222222222</v>
      </c>
      <c r="P11139" s="8" t="s">
        <v>47321</v>
      </c>
      <c r="Q11139" s="8">
        <f>+(17+0/60+55/3600)</f>
        <v>17.015277777777779</v>
      </c>
      <c r="R11139" s="8">
        <v>14.5</v>
      </c>
      <c r="S11139" s="8">
        <v>15.2</v>
      </c>
      <c r="T11139" s="8">
        <v>0.7</v>
      </c>
      <c r="U11139" s="8">
        <v>13.1</v>
      </c>
      <c r="V11139" s="8">
        <v>1.1000000000000001</v>
      </c>
      <c r="W11139" s="8">
        <v>0.3</v>
      </c>
      <c r="X11139" s="8">
        <v>160</v>
      </c>
      <c r="Y11139" s="8" t="s">
        <v>47322</v>
      </c>
      <c r="Z11139" s="8" t="s">
        <v>47323</v>
      </c>
    </row>
    <row r="11140" spans="1:26" x14ac:dyDescent="0.2">
      <c r="A11140" s="8">
        <v>11139</v>
      </c>
      <c r="B11140" s="8" t="s">
        <v>47324</v>
      </c>
      <c r="C11140" s="8" t="s">
        <v>47324</v>
      </c>
      <c r="G11140" s="8">
        <v>20</v>
      </c>
      <c r="H11140" s="8" t="s">
        <v>21</v>
      </c>
      <c r="I11140" s="8" t="s">
        <v>22</v>
      </c>
      <c r="J11140" s="8" t="s">
        <v>22</v>
      </c>
      <c r="K11140" s="8" t="s">
        <v>449</v>
      </c>
      <c r="L11140" s="8" t="s">
        <v>18289</v>
      </c>
      <c r="M11140" s="8" t="s">
        <v>18290</v>
      </c>
      <c r="N11140" s="8" t="s">
        <v>47325</v>
      </c>
      <c r="O11140" s="8">
        <f>12+25/60+3.1/3600</f>
        <v>12.417527777777778</v>
      </c>
      <c r="P11140" s="8" t="s">
        <v>47326</v>
      </c>
      <c r="Q11140" s="8">
        <f>+(27+22/60+30/3600)</f>
        <v>27.375</v>
      </c>
      <c r="R11140" s="8">
        <v>17.2</v>
      </c>
      <c r="S11140" s="8">
        <v>18</v>
      </c>
      <c r="T11140" s="8">
        <v>0.8</v>
      </c>
      <c r="U11140" s="8">
        <v>14.3</v>
      </c>
      <c r="V11140" s="8">
        <v>0.4</v>
      </c>
      <c r="W11140" s="8">
        <v>0.2</v>
      </c>
      <c r="X11140" s="8">
        <v>40</v>
      </c>
      <c r="Y11140" s="8" t="s">
        <v>44860</v>
      </c>
      <c r="Z11140" s="8" t="s">
        <v>44861</v>
      </c>
    </row>
    <row r="11141" spans="1:26" x14ac:dyDescent="0.2">
      <c r="A11141" s="8">
        <v>11140</v>
      </c>
      <c r="B11141" s="8" t="s">
        <v>47327</v>
      </c>
      <c r="C11141" s="8" t="s">
        <v>47327</v>
      </c>
      <c r="G11141" s="8">
        <v>20</v>
      </c>
      <c r="H11141" s="8" t="s">
        <v>21</v>
      </c>
      <c r="I11141" s="8" t="s">
        <v>22</v>
      </c>
      <c r="J11141" s="8" t="s">
        <v>22</v>
      </c>
      <c r="K11141" s="8" t="s">
        <v>160</v>
      </c>
      <c r="L11141" s="8" t="s">
        <v>18289</v>
      </c>
      <c r="M11141" s="8" t="s">
        <v>18290</v>
      </c>
      <c r="N11141" s="8" t="s">
        <v>47328</v>
      </c>
      <c r="O11141" s="8">
        <f>12+25/60+4.8/3600</f>
        <v>12.417999999999999</v>
      </c>
      <c r="P11141" s="8" t="s">
        <v>47329</v>
      </c>
      <c r="Q11141" s="8">
        <f>+(25+57/60+24/3600)</f>
        <v>25.956666666666667</v>
      </c>
      <c r="R11141" s="8">
        <v>14.6</v>
      </c>
      <c r="S11141" s="8">
        <v>15.3</v>
      </c>
      <c r="T11141" s="8">
        <v>0.7</v>
      </c>
      <c r="U11141" s="8">
        <v>13.1</v>
      </c>
      <c r="V11141" s="8">
        <v>1</v>
      </c>
      <c r="W11141" s="8">
        <v>0.3</v>
      </c>
      <c r="X11141" s="8">
        <v>79</v>
      </c>
      <c r="Y11141" s="8" t="s">
        <v>47330</v>
      </c>
      <c r="Z11141" s="8" t="s">
        <v>47331</v>
      </c>
    </row>
    <row r="11142" spans="1:26" x14ac:dyDescent="0.2">
      <c r="A11142" s="8">
        <v>11141</v>
      </c>
      <c r="B11142" s="8" t="s">
        <v>47332</v>
      </c>
      <c r="C11142" s="8" t="s">
        <v>47332</v>
      </c>
      <c r="G11142" s="8">
        <v>20</v>
      </c>
      <c r="H11142" s="8" t="s">
        <v>21</v>
      </c>
      <c r="I11142" s="8" t="s">
        <v>22</v>
      </c>
      <c r="J11142" s="8" t="s">
        <v>57</v>
      </c>
      <c r="K11142" s="8" t="s">
        <v>818</v>
      </c>
      <c r="L11142" s="8" t="s">
        <v>18289</v>
      </c>
      <c r="M11142" s="8" t="s">
        <v>18290</v>
      </c>
      <c r="N11142" s="8" t="s">
        <v>47333</v>
      </c>
      <c r="O11142" s="8">
        <f>12+25/60+17.6/3600</f>
        <v>12.421555555555555</v>
      </c>
      <c r="P11142" s="8" t="s">
        <v>47334</v>
      </c>
      <c r="Q11142" s="8">
        <f>+(14+10/60+19/3600)</f>
        <v>14.171944444444444</v>
      </c>
      <c r="R11142" s="8">
        <v>15.4</v>
      </c>
      <c r="S11142" s="8">
        <v>16.399999999999999</v>
      </c>
      <c r="T11142" s="8">
        <v>1</v>
      </c>
      <c r="U11142" s="8">
        <v>13.5</v>
      </c>
      <c r="V11142" s="8">
        <v>0.4</v>
      </c>
      <c r="W11142" s="8">
        <v>0.4</v>
      </c>
      <c r="Y11142" s="8" t="s">
        <v>421</v>
      </c>
      <c r="Z11142" s="8" t="s">
        <v>422</v>
      </c>
    </row>
    <row r="11143" spans="1:26" x14ac:dyDescent="0.2">
      <c r="A11143" s="8">
        <v>11142</v>
      </c>
      <c r="B11143" s="8" t="s">
        <v>47335</v>
      </c>
      <c r="C11143" s="8" t="s">
        <v>47335</v>
      </c>
      <c r="G11143" s="8">
        <v>20</v>
      </c>
      <c r="H11143" s="8" t="s">
        <v>21</v>
      </c>
      <c r="I11143" s="8" t="s">
        <v>22</v>
      </c>
      <c r="J11143" s="8" t="s">
        <v>22</v>
      </c>
      <c r="K11143" s="8" t="s">
        <v>460</v>
      </c>
      <c r="L11143" s="8" t="s">
        <v>18289</v>
      </c>
      <c r="M11143" s="8" t="s">
        <v>18290</v>
      </c>
      <c r="N11143" s="8" t="s">
        <v>47336</v>
      </c>
      <c r="O11143" s="8">
        <f>12+25/60+10.3/3600</f>
        <v>12.419527777777777</v>
      </c>
      <c r="P11143" s="8" t="s">
        <v>11994</v>
      </c>
      <c r="Q11143" s="8">
        <f>+(25+52/60+43/3600)</f>
        <v>25.878611111111113</v>
      </c>
      <c r="R11143" s="8">
        <v>15.5</v>
      </c>
      <c r="S11143" s="8">
        <v>16.5</v>
      </c>
      <c r="T11143" s="8">
        <v>1</v>
      </c>
      <c r="U11143" s="8">
        <v>12.1</v>
      </c>
      <c r="V11143" s="8">
        <v>0.2</v>
      </c>
      <c r="W11143" s="8">
        <v>0.2</v>
      </c>
      <c r="Y11143" s="8" t="s">
        <v>47337</v>
      </c>
      <c r="Z11143" s="8" t="s">
        <v>47338</v>
      </c>
    </row>
    <row r="11144" spans="1:26" x14ac:dyDescent="0.2">
      <c r="A11144" s="8">
        <v>11143</v>
      </c>
      <c r="B11144" s="8" t="s">
        <v>47339</v>
      </c>
      <c r="C11144" s="8" t="s">
        <v>47339</v>
      </c>
      <c r="G11144" s="8">
        <v>20</v>
      </c>
      <c r="H11144" s="8" t="s">
        <v>21</v>
      </c>
      <c r="I11144" s="8" t="s">
        <v>22</v>
      </c>
      <c r="J11144" s="8" t="s">
        <v>22</v>
      </c>
      <c r="K11144" s="8" t="s">
        <v>50</v>
      </c>
      <c r="L11144" s="8" t="s">
        <v>17287</v>
      </c>
      <c r="M11144" s="8" t="s">
        <v>17288</v>
      </c>
      <c r="N11144" s="8" t="s">
        <v>47340</v>
      </c>
      <c r="O11144" s="8">
        <f>12+25/60+15.2/3600</f>
        <v>12.420888888888888</v>
      </c>
      <c r="P11144" s="8" t="s">
        <v>47341</v>
      </c>
      <c r="Q11144" s="8">
        <f>+(12+42/60+54/3600)</f>
        <v>12.715</v>
      </c>
      <c r="R11144" s="8">
        <v>13.8</v>
      </c>
      <c r="S11144" s="8">
        <v>14.7</v>
      </c>
      <c r="T11144" s="8">
        <v>0.9</v>
      </c>
      <c r="U11144" s="8">
        <v>13.2</v>
      </c>
      <c r="V11144" s="8">
        <v>1</v>
      </c>
      <c r="W11144" s="8">
        <v>0.6</v>
      </c>
      <c r="X11144" s="8">
        <v>73</v>
      </c>
      <c r="Y11144" s="8" t="s">
        <v>282</v>
      </c>
      <c r="Z11144" s="8" t="s">
        <v>283</v>
      </c>
    </row>
    <row r="11145" spans="1:26" x14ac:dyDescent="0.2">
      <c r="A11145" s="8">
        <v>11144</v>
      </c>
      <c r="B11145" s="8" t="s">
        <v>47342</v>
      </c>
      <c r="C11145" s="8" t="s">
        <v>47342</v>
      </c>
      <c r="G11145" s="8">
        <v>20</v>
      </c>
      <c r="H11145" s="8" t="s">
        <v>21</v>
      </c>
      <c r="I11145" s="8" t="s">
        <v>22</v>
      </c>
      <c r="J11145" s="8" t="s">
        <v>22</v>
      </c>
      <c r="K11145" s="8" t="s">
        <v>1174</v>
      </c>
      <c r="L11145" s="8" t="s">
        <v>18289</v>
      </c>
      <c r="M11145" s="8" t="s">
        <v>18290</v>
      </c>
      <c r="N11145" s="8" t="s">
        <v>47343</v>
      </c>
      <c r="O11145" s="8">
        <f>12+25/60+11.7/3600</f>
        <v>12.419916666666666</v>
      </c>
      <c r="P11145" s="8" t="s">
        <v>47344</v>
      </c>
      <c r="Q11145" s="8">
        <f>+(25+25/60+25/3600)</f>
        <v>25.423611111111111</v>
      </c>
      <c r="R11145" s="8">
        <v>16.2</v>
      </c>
      <c r="S11145" s="8">
        <v>17</v>
      </c>
      <c r="T11145" s="8">
        <v>0.8</v>
      </c>
      <c r="U11145" s="8">
        <v>12.6</v>
      </c>
      <c r="V11145" s="8">
        <v>0.2</v>
      </c>
      <c r="W11145" s="8">
        <v>0.2</v>
      </c>
      <c r="Y11145" s="8" t="s">
        <v>227</v>
      </c>
      <c r="Z11145" s="8" t="s">
        <v>228</v>
      </c>
    </row>
    <row r="11146" spans="1:26" x14ac:dyDescent="0.2">
      <c r="A11146" s="8">
        <v>11145</v>
      </c>
      <c r="B11146" s="8" t="s">
        <v>47345</v>
      </c>
      <c r="C11146" s="8" t="s">
        <v>47345</v>
      </c>
      <c r="G11146" s="8">
        <v>20</v>
      </c>
      <c r="H11146" s="8" t="s">
        <v>21</v>
      </c>
      <c r="I11146" s="8" t="s">
        <v>22</v>
      </c>
      <c r="J11146" s="8" t="s">
        <v>22</v>
      </c>
      <c r="K11146" s="8" t="s">
        <v>476</v>
      </c>
      <c r="L11146" s="8" t="s">
        <v>17287</v>
      </c>
      <c r="M11146" s="8" t="s">
        <v>17288</v>
      </c>
      <c r="N11146" s="8" t="s">
        <v>47346</v>
      </c>
      <c r="O11146" s="8">
        <f>12+25/60+14.5/3600</f>
        <v>12.420694444444443</v>
      </c>
      <c r="P11146" s="8" t="s">
        <v>47347</v>
      </c>
      <c r="Q11146" s="8">
        <f>+(11+50/60+59/3600)</f>
        <v>11.849722222222223</v>
      </c>
      <c r="R11146" s="8">
        <v>14.3</v>
      </c>
      <c r="S11146" s="8">
        <v>15.1</v>
      </c>
      <c r="T11146" s="8">
        <v>0.8</v>
      </c>
      <c r="U11146" s="8">
        <v>13.4</v>
      </c>
      <c r="V11146" s="8">
        <v>1.2</v>
      </c>
      <c r="W11146" s="8">
        <v>0.4</v>
      </c>
      <c r="X11146" s="8">
        <v>44</v>
      </c>
      <c r="Y11146" s="8" t="s">
        <v>47348</v>
      </c>
      <c r="Z11146" s="8" t="s">
        <v>47349</v>
      </c>
    </row>
    <row r="11147" spans="1:26" x14ac:dyDescent="0.2">
      <c r="A11147" s="8">
        <v>11146</v>
      </c>
      <c r="B11147" s="8" t="s">
        <v>47350</v>
      </c>
      <c r="C11147" s="8" t="s">
        <v>47350</v>
      </c>
      <c r="G11147" s="8">
        <v>20</v>
      </c>
      <c r="H11147" s="8" t="s">
        <v>21</v>
      </c>
      <c r="I11147" s="8" t="s">
        <v>22</v>
      </c>
      <c r="J11147" s="8" t="s">
        <v>22</v>
      </c>
      <c r="K11147" s="8" t="s">
        <v>449</v>
      </c>
      <c r="L11147" s="8" t="s">
        <v>18289</v>
      </c>
      <c r="M11147" s="8" t="s">
        <v>18290</v>
      </c>
      <c r="N11147" s="8" t="s">
        <v>19825</v>
      </c>
      <c r="O11147" s="8">
        <f>12+25/60+12.4/3600</f>
        <v>12.42011111111111</v>
      </c>
      <c r="P11147" s="8" t="s">
        <v>47351</v>
      </c>
      <c r="Q11147" s="8">
        <f>+(27+24/60+10/3600)</f>
        <v>27.402777777777775</v>
      </c>
      <c r="R11147" s="8">
        <v>15</v>
      </c>
      <c r="S11147" s="8">
        <v>15.8</v>
      </c>
      <c r="T11147" s="8">
        <v>0.8</v>
      </c>
      <c r="U11147" s="8">
        <v>13.2</v>
      </c>
      <c r="V11147" s="8">
        <v>0.7</v>
      </c>
      <c r="W11147" s="8">
        <v>0.3</v>
      </c>
      <c r="X11147" s="8">
        <v>135</v>
      </c>
      <c r="Y11147" s="8" t="s">
        <v>45086</v>
      </c>
      <c r="Z11147" s="8" t="s">
        <v>45087</v>
      </c>
    </row>
    <row r="11148" spans="1:26" x14ac:dyDescent="0.2">
      <c r="A11148" s="8">
        <v>11147</v>
      </c>
      <c r="B11148" s="8" t="s">
        <v>47352</v>
      </c>
      <c r="C11148" s="8" t="s">
        <v>47352</v>
      </c>
      <c r="G11148" s="8">
        <v>20</v>
      </c>
      <c r="H11148" s="8" t="s">
        <v>21</v>
      </c>
      <c r="I11148" s="8" t="s">
        <v>22</v>
      </c>
      <c r="J11148" s="8" t="s">
        <v>22</v>
      </c>
      <c r="K11148" s="8" t="s">
        <v>818</v>
      </c>
      <c r="L11148" s="8" t="s">
        <v>18289</v>
      </c>
      <c r="M11148" s="8" t="s">
        <v>18290</v>
      </c>
      <c r="N11148" s="8" t="s">
        <v>47333</v>
      </c>
      <c r="O11148" s="8">
        <f>12+25/60+17.6/3600</f>
        <v>12.421555555555555</v>
      </c>
      <c r="P11148" s="8" t="s">
        <v>47334</v>
      </c>
      <c r="Q11148" s="8">
        <f>+(14+10/60+19/3600)</f>
        <v>14.171944444444444</v>
      </c>
      <c r="R11148" s="8">
        <v>15.4</v>
      </c>
      <c r="S11148" s="8">
        <v>16.399999999999999</v>
      </c>
      <c r="T11148" s="8">
        <v>1</v>
      </c>
      <c r="U11148" s="8">
        <v>13.5</v>
      </c>
      <c r="V11148" s="8">
        <v>0.4</v>
      </c>
      <c r="W11148" s="8">
        <v>0.4</v>
      </c>
      <c r="Y11148" s="8" t="s">
        <v>46674</v>
      </c>
      <c r="Z11148" s="8" t="s">
        <v>46222</v>
      </c>
    </row>
    <row r="11149" spans="1:26" x14ac:dyDescent="0.2">
      <c r="A11149" s="8">
        <v>11148</v>
      </c>
      <c r="B11149" s="8" t="s">
        <v>47353</v>
      </c>
      <c r="C11149" s="8" t="s">
        <v>47353</v>
      </c>
      <c r="G11149" s="8">
        <v>20</v>
      </c>
      <c r="H11149" s="8" t="s">
        <v>21</v>
      </c>
      <c r="I11149" s="8" t="s">
        <v>22</v>
      </c>
      <c r="J11149" s="8" t="s">
        <v>22</v>
      </c>
      <c r="K11149" s="8" t="s">
        <v>579</v>
      </c>
      <c r="L11149" s="8" t="s">
        <v>18289</v>
      </c>
      <c r="M11149" s="8" t="s">
        <v>18290</v>
      </c>
      <c r="N11149" s="8" t="s">
        <v>19822</v>
      </c>
      <c r="O11149" s="8">
        <f>12+25/60+18.1/3600</f>
        <v>12.421694444444444</v>
      </c>
      <c r="P11149" s="8" t="s">
        <v>47354</v>
      </c>
      <c r="Q11149" s="8">
        <f>+(26+42/60+57/3600)</f>
        <v>26.715833333333332</v>
      </c>
      <c r="R11149" s="8">
        <v>14.8</v>
      </c>
      <c r="S11149" s="8">
        <v>15.5</v>
      </c>
      <c r="T11149" s="8">
        <v>0.7</v>
      </c>
      <c r="U11149" s="8">
        <v>13.2</v>
      </c>
      <c r="V11149" s="8">
        <v>1.4</v>
      </c>
      <c r="W11149" s="8">
        <v>0.2</v>
      </c>
      <c r="X11149" s="8">
        <v>65</v>
      </c>
      <c r="Y11149" s="8" t="s">
        <v>21</v>
      </c>
      <c r="Z11149" s="8" t="s">
        <v>47355</v>
      </c>
    </row>
    <row r="11150" spans="1:26" x14ac:dyDescent="0.2">
      <c r="A11150" s="8">
        <v>11149</v>
      </c>
      <c r="B11150" s="8" t="s">
        <v>47356</v>
      </c>
      <c r="C11150" s="8" t="s">
        <v>47356</v>
      </c>
      <c r="G11150" s="8">
        <v>20</v>
      </c>
      <c r="H11150" s="8" t="s">
        <v>21</v>
      </c>
      <c r="I11150" s="8" t="s">
        <v>22</v>
      </c>
      <c r="J11150" s="8" t="s">
        <v>22</v>
      </c>
      <c r="K11150" s="8" t="s">
        <v>160</v>
      </c>
      <c r="L11150" s="8" t="s">
        <v>18289</v>
      </c>
      <c r="M11150" s="8" t="s">
        <v>18290</v>
      </c>
      <c r="N11150" s="8" t="s">
        <v>47357</v>
      </c>
      <c r="O11150" s="8">
        <f>12+25/60+20.2/3600</f>
        <v>12.422277777777778</v>
      </c>
      <c r="P11150" s="8" t="s">
        <v>47358</v>
      </c>
      <c r="Q11150" s="8">
        <f>+(28+22/60+53/3600)</f>
        <v>28.381388888888889</v>
      </c>
      <c r="R11150" s="8">
        <v>14.6</v>
      </c>
      <c r="S11150" s="8">
        <v>15.3</v>
      </c>
      <c r="T11150" s="8">
        <v>0.7</v>
      </c>
      <c r="U11150" s="8">
        <v>15</v>
      </c>
      <c r="V11150" s="8">
        <v>1.4</v>
      </c>
      <c r="W11150" s="8">
        <v>1.2</v>
      </c>
      <c r="X11150" s="8">
        <v>85</v>
      </c>
      <c r="Y11150" s="8" t="s">
        <v>44984</v>
      </c>
      <c r="Z11150" s="8" t="s">
        <v>44985</v>
      </c>
    </row>
    <row r="11151" spans="1:26" x14ac:dyDescent="0.2">
      <c r="A11151" s="8">
        <v>11150</v>
      </c>
      <c r="B11151" s="8" t="s">
        <v>47359</v>
      </c>
      <c r="C11151" s="8" t="s">
        <v>47359</v>
      </c>
      <c r="G11151" s="8">
        <v>20</v>
      </c>
      <c r="H11151" s="8" t="s">
        <v>21</v>
      </c>
      <c r="I11151" s="8" t="s">
        <v>72</v>
      </c>
      <c r="J11151" s="8" t="s">
        <v>72</v>
      </c>
      <c r="K11151" s="8" t="s">
        <v>20</v>
      </c>
      <c r="L11151" s="8" t="s">
        <v>18289</v>
      </c>
      <c r="M11151" s="8" t="s">
        <v>18290</v>
      </c>
      <c r="N11151" s="8" t="s">
        <v>47360</v>
      </c>
      <c r="O11151" s="8">
        <f>12+25/60+55.3/3600</f>
        <v>12.432027777777778</v>
      </c>
      <c r="P11151" s="8" t="s">
        <v>47361</v>
      </c>
      <c r="Q11151" s="8">
        <f>+(15+40/60+49/3600)</f>
        <v>15.680277777777777</v>
      </c>
      <c r="R11151" s="8">
        <v>99</v>
      </c>
      <c r="S11151" s="8">
        <v>14.5</v>
      </c>
      <c r="T11151" s="8">
        <v>99</v>
      </c>
      <c r="U11151" s="8">
        <v>99</v>
      </c>
      <c r="Y11151" s="8" t="s">
        <v>47362</v>
      </c>
      <c r="Z11151" s="8" t="s">
        <v>47363</v>
      </c>
    </row>
    <row r="11152" spans="1:26" x14ac:dyDescent="0.2">
      <c r="A11152" s="8">
        <v>11151</v>
      </c>
      <c r="B11152" s="8" t="s">
        <v>47364</v>
      </c>
      <c r="C11152" s="8" t="s">
        <v>47364</v>
      </c>
      <c r="G11152" s="8">
        <v>20</v>
      </c>
      <c r="H11152" s="8" t="s">
        <v>21</v>
      </c>
      <c r="I11152" s="8" t="s">
        <v>22</v>
      </c>
      <c r="J11152" s="8" t="s">
        <v>22</v>
      </c>
      <c r="K11152" s="8" t="s">
        <v>3523</v>
      </c>
      <c r="L11152" s="8" t="s">
        <v>17287</v>
      </c>
      <c r="M11152" s="8" t="s">
        <v>17288</v>
      </c>
      <c r="N11152" s="8" t="s">
        <v>47365</v>
      </c>
      <c r="O11152" s="8">
        <f>12+25/60+33.1/3600</f>
        <v>12.425861111111111</v>
      </c>
      <c r="P11152" s="8" t="s">
        <v>47366</v>
      </c>
      <c r="Q11152" s="8">
        <f>+(12+15/60+37/3600)</f>
        <v>12.260277777777778</v>
      </c>
      <c r="R11152" s="8">
        <v>14.3</v>
      </c>
      <c r="S11152" s="8">
        <v>14.9</v>
      </c>
      <c r="T11152" s="8">
        <v>0.6</v>
      </c>
      <c r="U11152" s="8">
        <v>13.4</v>
      </c>
      <c r="V11152" s="8">
        <v>1.7</v>
      </c>
      <c r="W11152" s="8">
        <v>0.3</v>
      </c>
      <c r="X11152" s="8">
        <v>135</v>
      </c>
      <c r="Y11152" s="8" t="s">
        <v>47367</v>
      </c>
      <c r="Z11152" s="8" t="s">
        <v>47368</v>
      </c>
    </row>
    <row r="11153" spans="1:26" x14ac:dyDescent="0.2">
      <c r="A11153" s="8">
        <v>11152</v>
      </c>
      <c r="B11153" s="8" t="s">
        <v>47369</v>
      </c>
      <c r="C11153" s="8" t="s">
        <v>47369</v>
      </c>
      <c r="G11153" s="8">
        <v>20</v>
      </c>
      <c r="H11153" s="8" t="s">
        <v>21</v>
      </c>
      <c r="I11153" s="8" t="s">
        <v>22</v>
      </c>
      <c r="J11153" s="8" t="s">
        <v>22</v>
      </c>
      <c r="K11153" s="8" t="s">
        <v>449</v>
      </c>
      <c r="L11153" s="8" t="s">
        <v>18289</v>
      </c>
      <c r="M11153" s="8" t="s">
        <v>18290</v>
      </c>
      <c r="N11153" s="8" t="s">
        <v>47370</v>
      </c>
      <c r="O11153" s="8">
        <f>12+25/60+29.8/3600</f>
        <v>12.424944444444444</v>
      </c>
      <c r="P11153" s="8" t="s">
        <v>47371</v>
      </c>
      <c r="Q11153" s="8">
        <f>+(23+34/60+53/3600)</f>
        <v>23.581388888888888</v>
      </c>
      <c r="R11153" s="8">
        <v>15.7</v>
      </c>
      <c r="S11153" s="8">
        <v>16.5</v>
      </c>
      <c r="T11153" s="8">
        <v>0.8</v>
      </c>
      <c r="U11153" s="8">
        <v>12.5</v>
      </c>
      <c r="V11153" s="8">
        <v>0.3</v>
      </c>
      <c r="W11153" s="8">
        <v>0.2</v>
      </c>
      <c r="X11153" s="8">
        <v>160</v>
      </c>
      <c r="Y11153" s="8" t="s">
        <v>47372</v>
      </c>
      <c r="Z11153" s="8" t="s">
        <v>47373</v>
      </c>
    </row>
    <row r="11154" spans="1:26" x14ac:dyDescent="0.2">
      <c r="A11154" s="8">
        <v>11153</v>
      </c>
      <c r="B11154" s="8" t="s">
        <v>47374</v>
      </c>
      <c r="C11154" s="8" t="s">
        <v>47374</v>
      </c>
      <c r="G11154" s="8">
        <v>20</v>
      </c>
      <c r="H11154" s="8" t="s">
        <v>21</v>
      </c>
      <c r="I11154" s="8" t="s">
        <v>22</v>
      </c>
      <c r="J11154" s="8" t="s">
        <v>22</v>
      </c>
      <c r="K11154" s="8" t="s">
        <v>91</v>
      </c>
      <c r="L11154" s="8" t="s">
        <v>18289</v>
      </c>
      <c r="M11154" s="8" t="s">
        <v>18290</v>
      </c>
      <c r="N11154" s="8" t="s">
        <v>47375</v>
      </c>
      <c r="O11154" s="8">
        <f>12+25/60+36.5/3600</f>
        <v>12.426805555555555</v>
      </c>
      <c r="P11154" s="8" t="s">
        <v>47376</v>
      </c>
      <c r="Q11154" s="8">
        <f>+(15+49/60+47/3600)</f>
        <v>15.829722222222221</v>
      </c>
      <c r="R11154" s="8">
        <v>14.2</v>
      </c>
      <c r="S11154" s="8">
        <v>15.1</v>
      </c>
      <c r="T11154" s="8">
        <v>0.9</v>
      </c>
      <c r="U11154" s="8">
        <v>13.6</v>
      </c>
      <c r="V11154" s="8">
        <v>0.8</v>
      </c>
      <c r="W11154" s="8">
        <v>0.8</v>
      </c>
      <c r="Y11154" s="8" t="s">
        <v>21</v>
      </c>
      <c r="Z11154" s="8" t="s">
        <v>47377</v>
      </c>
    </row>
    <row r="11155" spans="1:26" x14ac:dyDescent="0.2">
      <c r="A11155" s="8">
        <v>11154</v>
      </c>
      <c r="B11155" s="8" t="s">
        <v>47378</v>
      </c>
      <c r="C11155" s="8" t="s">
        <v>47378</v>
      </c>
      <c r="G11155" s="8">
        <v>20</v>
      </c>
      <c r="H11155" s="8" t="s">
        <v>21</v>
      </c>
      <c r="I11155" s="8" t="s">
        <v>22</v>
      </c>
      <c r="J11155" s="8" t="s">
        <v>22</v>
      </c>
      <c r="K11155" s="8" t="s">
        <v>382</v>
      </c>
      <c r="L11155" s="8" t="s">
        <v>18289</v>
      </c>
      <c r="M11155" s="8" t="s">
        <v>18290</v>
      </c>
      <c r="N11155" s="8" t="s">
        <v>47379</v>
      </c>
      <c r="O11155" s="8">
        <f>12+25/60+31.4/3600</f>
        <v>12.425388888888888</v>
      </c>
      <c r="P11155" s="8" t="s">
        <v>47380</v>
      </c>
      <c r="Q11155" s="8">
        <f>+(23+35/60+30/3600)</f>
        <v>23.591666666666665</v>
      </c>
      <c r="R11155" s="8">
        <v>16.100000000000001</v>
      </c>
      <c r="S11155" s="8">
        <v>17.100000000000001</v>
      </c>
      <c r="T11155" s="8">
        <v>1</v>
      </c>
      <c r="U11155" s="8">
        <v>13.9</v>
      </c>
      <c r="V11155" s="8">
        <v>0.4</v>
      </c>
      <c r="W11155" s="8">
        <v>0.3</v>
      </c>
      <c r="X11155" s="8">
        <v>30</v>
      </c>
      <c r="Y11155" s="8" t="s">
        <v>2248</v>
      </c>
      <c r="Z11155" s="8" t="s">
        <v>2249</v>
      </c>
    </row>
    <row r="11156" spans="1:26" x14ac:dyDescent="0.2">
      <c r="A11156" s="8">
        <v>11155</v>
      </c>
      <c r="B11156" s="8" t="s">
        <v>47381</v>
      </c>
      <c r="C11156" s="8" t="s">
        <v>47381</v>
      </c>
      <c r="G11156" s="8">
        <v>20</v>
      </c>
      <c r="H11156" s="8" t="s">
        <v>21</v>
      </c>
      <c r="I11156" s="8" t="s">
        <v>22</v>
      </c>
      <c r="J11156" s="8" t="s">
        <v>22</v>
      </c>
      <c r="K11156" s="8" t="s">
        <v>818</v>
      </c>
      <c r="L11156" s="8" t="s">
        <v>17287</v>
      </c>
      <c r="M11156" s="8" t="s">
        <v>17288</v>
      </c>
      <c r="N11156" s="8" t="s">
        <v>47382</v>
      </c>
      <c r="O11156" s="8">
        <f>12+25/60+39/3600</f>
        <v>12.4275</v>
      </c>
      <c r="P11156" s="8" t="s">
        <v>47383</v>
      </c>
      <c r="Q11156" s="8">
        <f>+(12+18/60+48/3600)</f>
        <v>12.313333333333334</v>
      </c>
      <c r="R11156" s="8">
        <v>14.8</v>
      </c>
      <c r="S11156" s="8">
        <v>15.8</v>
      </c>
      <c r="T11156" s="8">
        <v>1</v>
      </c>
      <c r="U11156" s="8">
        <v>13.6</v>
      </c>
      <c r="V11156" s="8">
        <v>0.6</v>
      </c>
      <c r="W11156" s="8">
        <v>0.5</v>
      </c>
      <c r="X11156" s="8">
        <v>93</v>
      </c>
      <c r="Y11156" s="8" t="s">
        <v>47384</v>
      </c>
      <c r="Z11156" s="8" t="s">
        <v>47385</v>
      </c>
    </row>
    <row r="11157" spans="1:26" x14ac:dyDescent="0.2">
      <c r="A11157" s="8">
        <v>11156</v>
      </c>
      <c r="B11157" s="8" t="s">
        <v>47386</v>
      </c>
      <c r="C11157" s="8" t="s">
        <v>47386</v>
      </c>
      <c r="G11157" s="8">
        <v>20</v>
      </c>
      <c r="H11157" s="8" t="s">
        <v>21</v>
      </c>
      <c r="I11157" s="8" t="s">
        <v>22</v>
      </c>
      <c r="J11157" s="8" t="s">
        <v>22</v>
      </c>
      <c r="K11157" s="8" t="s">
        <v>476</v>
      </c>
      <c r="L11157" s="8" t="s">
        <v>18289</v>
      </c>
      <c r="M11157" s="8" t="s">
        <v>18290</v>
      </c>
      <c r="N11157" s="8" t="s">
        <v>47387</v>
      </c>
      <c r="O11157" s="8">
        <f>12+25/60+36/3600</f>
        <v>12.426666666666666</v>
      </c>
      <c r="P11157" s="8" t="s">
        <v>47388</v>
      </c>
      <c r="Q11157" s="8">
        <f>+(26+9/60+51/3600)</f>
        <v>26.164166666666667</v>
      </c>
      <c r="R11157" s="8">
        <v>16.2</v>
      </c>
      <c r="S11157" s="8">
        <v>17</v>
      </c>
      <c r="T11157" s="8">
        <v>0.8</v>
      </c>
      <c r="U11157" s="8">
        <v>14.3</v>
      </c>
      <c r="V11157" s="8">
        <v>0.5</v>
      </c>
      <c r="W11157" s="8">
        <v>0.4</v>
      </c>
      <c r="X11157" s="8">
        <v>80</v>
      </c>
      <c r="Y11157" s="8" t="s">
        <v>47389</v>
      </c>
      <c r="Z11157" s="8" t="s">
        <v>47390</v>
      </c>
    </row>
    <row r="11158" spans="1:26" x14ac:dyDescent="0.2">
      <c r="A11158" s="8">
        <v>11157</v>
      </c>
      <c r="B11158" s="8" t="s">
        <v>47391</v>
      </c>
      <c r="C11158" s="8" t="s">
        <v>47391</v>
      </c>
      <c r="G11158" s="8">
        <v>20</v>
      </c>
      <c r="H11158" s="8" t="s">
        <v>21</v>
      </c>
      <c r="I11158" s="8" t="s">
        <v>22</v>
      </c>
      <c r="J11158" s="8" t="s">
        <v>22</v>
      </c>
      <c r="K11158" s="8" t="s">
        <v>47392</v>
      </c>
      <c r="L11158" s="8" t="s">
        <v>18289</v>
      </c>
      <c r="M11158" s="8" t="s">
        <v>18290</v>
      </c>
      <c r="N11158" s="8" t="s">
        <v>47393</v>
      </c>
      <c r="O11158" s="8">
        <f>12+25/60+38.8/3600</f>
        <v>12.427444444444443</v>
      </c>
      <c r="P11158" s="8" t="s">
        <v>47394</v>
      </c>
      <c r="Q11158" s="8">
        <f>+(25+20/60+36/3600)</f>
        <v>25.343333333333334</v>
      </c>
      <c r="R11158" s="8">
        <v>16.5</v>
      </c>
      <c r="S11158" s="8">
        <v>17.5</v>
      </c>
      <c r="T11158" s="8">
        <v>1</v>
      </c>
      <c r="U11158" s="8">
        <v>13.5</v>
      </c>
      <c r="V11158" s="8">
        <v>0.3</v>
      </c>
      <c r="W11158" s="8">
        <v>0.2</v>
      </c>
      <c r="X11158" s="8">
        <v>40</v>
      </c>
      <c r="Y11158" s="8" t="s">
        <v>905</v>
      </c>
      <c r="Z11158" s="8" t="s">
        <v>906</v>
      </c>
    </row>
    <row r="11159" spans="1:26" x14ac:dyDescent="0.2">
      <c r="A11159" s="8">
        <v>11158</v>
      </c>
      <c r="B11159" s="8" t="s">
        <v>47395</v>
      </c>
      <c r="C11159" s="8" t="s">
        <v>47395</v>
      </c>
      <c r="G11159" s="8">
        <v>20</v>
      </c>
      <c r="H11159" s="8" t="s">
        <v>21</v>
      </c>
      <c r="I11159" s="8" t="s">
        <v>72</v>
      </c>
      <c r="J11159" s="8" t="s">
        <v>72</v>
      </c>
      <c r="K11159" s="8" t="s">
        <v>20</v>
      </c>
      <c r="L11159" s="8" t="s">
        <v>17287</v>
      </c>
      <c r="M11159" s="8" t="s">
        <v>17288</v>
      </c>
      <c r="N11159" s="8" t="s">
        <v>47396</v>
      </c>
      <c r="O11159" s="8">
        <f>12+25/60+50/3600</f>
        <v>12.430555555555555</v>
      </c>
      <c r="P11159" s="8" t="s">
        <v>47397</v>
      </c>
      <c r="Q11159" s="8">
        <f>+(9+45/60+46/3600)</f>
        <v>9.762777777777778</v>
      </c>
      <c r="R11159" s="8">
        <v>99</v>
      </c>
      <c r="S11159" s="8">
        <v>11</v>
      </c>
      <c r="T11159" s="8">
        <v>99</v>
      </c>
      <c r="U11159" s="8">
        <v>99</v>
      </c>
      <c r="Y11159" s="8" t="s">
        <v>47398</v>
      </c>
      <c r="Z11159" s="8" t="s">
        <v>47399</v>
      </c>
    </row>
    <row r="11160" spans="1:26" x14ac:dyDescent="0.2">
      <c r="A11160" s="8">
        <v>11159</v>
      </c>
      <c r="B11160" s="8" t="s">
        <v>47400</v>
      </c>
      <c r="C11160" s="8" t="s">
        <v>47400</v>
      </c>
      <c r="G11160" s="8">
        <v>20</v>
      </c>
      <c r="H11160" s="8" t="s">
        <v>21</v>
      </c>
      <c r="I11160" s="8" t="s">
        <v>329</v>
      </c>
      <c r="J11160" s="8" t="s">
        <v>329</v>
      </c>
      <c r="K11160" s="8" t="s">
        <v>329</v>
      </c>
      <c r="L11160" s="8" t="s">
        <v>17287</v>
      </c>
      <c r="M11160" s="8" t="s">
        <v>17288</v>
      </c>
      <c r="N11160" s="8" t="s">
        <v>47401</v>
      </c>
      <c r="O11160" s="8">
        <f>12+25/60+51/3600</f>
        <v>12.430833333333332</v>
      </c>
      <c r="P11160" s="8" t="s">
        <v>47402</v>
      </c>
      <c r="Q11160" s="8">
        <f>+(10+23/60+28/3600)</f>
        <v>10.39111111111111</v>
      </c>
      <c r="R11160" s="8">
        <v>99</v>
      </c>
      <c r="S11160" s="8">
        <v>99</v>
      </c>
      <c r="T11160" s="8">
        <v>99</v>
      </c>
      <c r="U11160" s="8">
        <v>99</v>
      </c>
      <c r="Y11160" s="8" t="s">
        <v>17912</v>
      </c>
      <c r="Z11160" s="8" t="s">
        <v>17913</v>
      </c>
    </row>
    <row r="11161" spans="1:26" x14ac:dyDescent="0.2">
      <c r="A11161" s="8">
        <v>11160</v>
      </c>
      <c r="B11161" s="8" t="s">
        <v>47403</v>
      </c>
      <c r="C11161" s="8" t="s">
        <v>47403</v>
      </c>
      <c r="G11161" s="8">
        <v>20</v>
      </c>
      <c r="H11161" s="8" t="s">
        <v>21</v>
      </c>
      <c r="I11161" s="8" t="s">
        <v>22</v>
      </c>
      <c r="J11161" s="8" t="s">
        <v>57</v>
      </c>
      <c r="K11161" s="8" t="s">
        <v>85</v>
      </c>
      <c r="L11161" s="8" t="s">
        <v>17287</v>
      </c>
      <c r="M11161" s="8" t="s">
        <v>17288</v>
      </c>
      <c r="N11161" s="8" t="s">
        <v>19883</v>
      </c>
      <c r="O11161" s="8">
        <f>12+25/60+50.5/3600</f>
        <v>12.430694444444445</v>
      </c>
      <c r="P11161" s="8" t="s">
        <v>19884</v>
      </c>
      <c r="Q11161" s="8">
        <f>+(10+27/60+32/3600)</f>
        <v>10.458888888888888</v>
      </c>
      <c r="R11161" s="8">
        <v>12.6</v>
      </c>
      <c r="S11161" s="8">
        <v>13.4</v>
      </c>
      <c r="T11161" s="8">
        <v>0.8</v>
      </c>
      <c r="U11161" s="8">
        <v>13.3</v>
      </c>
      <c r="V11161" s="8">
        <v>1.6</v>
      </c>
      <c r="W11161" s="8">
        <v>1.2</v>
      </c>
      <c r="X11161" s="8">
        <v>95</v>
      </c>
      <c r="Y11161" s="8" t="s">
        <v>47404</v>
      </c>
      <c r="Z11161" s="8" t="s">
        <v>47405</v>
      </c>
    </row>
    <row r="11162" spans="1:26" x14ac:dyDescent="0.2">
      <c r="A11162" s="8">
        <v>11161</v>
      </c>
      <c r="B11162" s="8" t="s">
        <v>47406</v>
      </c>
      <c r="C11162" s="8" t="s">
        <v>47406</v>
      </c>
      <c r="G11162" s="8">
        <v>20</v>
      </c>
      <c r="H11162" s="8" t="s">
        <v>21</v>
      </c>
      <c r="I11162" s="8" t="s">
        <v>22</v>
      </c>
      <c r="J11162" s="8" t="s">
        <v>22</v>
      </c>
      <c r="K11162" s="8" t="s">
        <v>37</v>
      </c>
      <c r="L11162" s="8" t="s">
        <v>18289</v>
      </c>
      <c r="M11162" s="8" t="s">
        <v>18290</v>
      </c>
      <c r="N11162" s="8" t="s">
        <v>47407</v>
      </c>
      <c r="O11162" s="8">
        <f>12+25/60+46/3600</f>
        <v>12.429444444444444</v>
      </c>
      <c r="P11162" s="8" t="s">
        <v>47408</v>
      </c>
      <c r="Q11162" s="8">
        <f>+(26+4/60+55/3600)</f>
        <v>26.081944444444446</v>
      </c>
      <c r="R11162" s="8">
        <v>15.2</v>
      </c>
      <c r="S11162" s="8">
        <v>16.2</v>
      </c>
      <c r="T11162" s="8">
        <v>1</v>
      </c>
      <c r="U11162" s="8">
        <v>12.3</v>
      </c>
      <c r="V11162" s="8">
        <v>0.4</v>
      </c>
      <c r="W11162" s="8">
        <v>0.2</v>
      </c>
      <c r="X11162" s="8">
        <v>10</v>
      </c>
      <c r="Y11162" s="8" t="s">
        <v>47409</v>
      </c>
      <c r="Z11162" s="8" t="s">
        <v>47410</v>
      </c>
    </row>
    <row r="11163" spans="1:26" x14ac:dyDescent="0.2">
      <c r="A11163" s="8">
        <v>11162</v>
      </c>
      <c r="B11163" s="8" t="s">
        <v>47411</v>
      </c>
      <c r="C11163" s="8" t="s">
        <v>47411</v>
      </c>
      <c r="G11163" s="8">
        <v>20</v>
      </c>
      <c r="H11163" s="8" t="s">
        <v>21</v>
      </c>
      <c r="I11163" s="8" t="s">
        <v>22</v>
      </c>
      <c r="J11163" s="8" t="s">
        <v>22</v>
      </c>
      <c r="K11163" s="8" t="s">
        <v>64</v>
      </c>
      <c r="L11163" s="8" t="s">
        <v>17287</v>
      </c>
      <c r="M11163" s="8" t="s">
        <v>17288</v>
      </c>
      <c r="N11163" s="8" t="s">
        <v>47412</v>
      </c>
      <c r="O11163" s="8">
        <f>12+25/60+54.1/3600</f>
        <v>12.431694444444444</v>
      </c>
      <c r="P11163" s="8" t="s">
        <v>47413</v>
      </c>
      <c r="Q11163" s="8">
        <f>+(7+33/60+17/3600)</f>
        <v>7.5547222222222219</v>
      </c>
      <c r="R11163" s="8">
        <v>13.5</v>
      </c>
      <c r="S11163" s="8">
        <v>14.2</v>
      </c>
      <c r="T11163" s="8">
        <v>0.7</v>
      </c>
      <c r="U11163" s="8">
        <v>13.5</v>
      </c>
      <c r="V11163" s="8">
        <v>2.2999999999999998</v>
      </c>
      <c r="W11163" s="8">
        <v>0.5</v>
      </c>
      <c r="X11163" s="8">
        <v>156</v>
      </c>
      <c r="Y11163" s="8" t="s">
        <v>47414</v>
      </c>
      <c r="Z11163" s="8" t="s">
        <v>47415</v>
      </c>
    </row>
    <row r="11164" spans="1:26" x14ac:dyDescent="0.2">
      <c r="A11164" s="8">
        <v>11163</v>
      </c>
      <c r="B11164" s="8" t="s">
        <v>47416</v>
      </c>
      <c r="C11164" s="8" t="s">
        <v>47416</v>
      </c>
      <c r="G11164" s="8">
        <v>20</v>
      </c>
      <c r="H11164" s="8" t="s">
        <v>21</v>
      </c>
      <c r="I11164" s="8" t="s">
        <v>72</v>
      </c>
      <c r="J11164" s="8" t="s">
        <v>72</v>
      </c>
      <c r="K11164" s="8" t="s">
        <v>20</v>
      </c>
      <c r="L11164" s="8" t="s">
        <v>18289</v>
      </c>
      <c r="M11164" s="8" t="s">
        <v>18290</v>
      </c>
      <c r="N11164" s="8" t="s">
        <v>47417</v>
      </c>
      <c r="O11164" s="8">
        <f>12+25/60+48.2/3600</f>
        <v>12.430055555555555</v>
      </c>
      <c r="P11164" s="8" t="s">
        <v>47418</v>
      </c>
      <c r="Q11164" s="8">
        <f>+(27+32/60+36/3600)</f>
        <v>27.543333333333337</v>
      </c>
      <c r="R11164" s="8">
        <v>99</v>
      </c>
      <c r="S11164" s="8">
        <v>99</v>
      </c>
      <c r="T11164" s="8">
        <v>99</v>
      </c>
      <c r="U11164" s="8">
        <v>99</v>
      </c>
      <c r="Y11164" s="8" t="s">
        <v>47419</v>
      </c>
      <c r="Z11164" s="8" t="s">
        <v>47420</v>
      </c>
    </row>
    <row r="11165" spans="1:26" x14ac:dyDescent="0.2">
      <c r="A11165" s="8">
        <v>11164</v>
      </c>
      <c r="B11165" s="8" t="s">
        <v>47421</v>
      </c>
      <c r="C11165" s="8" t="s">
        <v>47421</v>
      </c>
      <c r="G11165" s="8">
        <v>20</v>
      </c>
      <c r="H11165" s="8" t="s">
        <v>21</v>
      </c>
      <c r="I11165" s="8" t="s">
        <v>72</v>
      </c>
      <c r="J11165" s="8" t="s">
        <v>72</v>
      </c>
      <c r="K11165" s="8" t="s">
        <v>73</v>
      </c>
      <c r="L11165" s="8" t="s">
        <v>18289</v>
      </c>
      <c r="M11165" s="8" t="s">
        <v>18290</v>
      </c>
      <c r="N11165" s="8" t="s">
        <v>47422</v>
      </c>
      <c r="O11165" s="8">
        <f>12+25/60+49/3600</f>
        <v>12.430277777777777</v>
      </c>
      <c r="P11165" s="8" t="s">
        <v>47423</v>
      </c>
      <c r="Q11165" s="8">
        <f>+(26+44/60+22/3600)</f>
        <v>26.739444444444445</v>
      </c>
      <c r="R11165" s="8">
        <v>99</v>
      </c>
      <c r="S11165" s="8">
        <v>99</v>
      </c>
      <c r="T11165" s="8">
        <v>99</v>
      </c>
      <c r="U11165" s="8">
        <v>99</v>
      </c>
      <c r="Y11165" s="8" t="s">
        <v>45509</v>
      </c>
      <c r="Z11165" s="8" t="s">
        <v>45510</v>
      </c>
    </row>
    <row r="11166" spans="1:26" x14ac:dyDescent="0.2">
      <c r="A11166" s="8">
        <v>11165</v>
      </c>
      <c r="B11166" s="8" t="s">
        <v>47424</v>
      </c>
      <c r="C11166" s="8" t="s">
        <v>47424</v>
      </c>
      <c r="G11166" s="8">
        <v>20</v>
      </c>
      <c r="H11166" s="8" t="s">
        <v>21</v>
      </c>
      <c r="I11166" s="8" t="s">
        <v>22</v>
      </c>
      <c r="J11166" s="8" t="s">
        <v>22</v>
      </c>
      <c r="K11166" s="8" t="s">
        <v>124</v>
      </c>
      <c r="L11166" s="8" t="s">
        <v>18289</v>
      </c>
      <c r="M11166" s="8" t="s">
        <v>18290</v>
      </c>
      <c r="N11166" s="8" t="s">
        <v>47425</v>
      </c>
      <c r="O11166" s="8">
        <f>12+25/60+51.4/3600</f>
        <v>12.430944444444444</v>
      </c>
      <c r="P11166" s="8" t="s">
        <v>47426</v>
      </c>
      <c r="Q11166" s="8">
        <f>+(23+53/60+45/3600)</f>
        <v>23.895833333333332</v>
      </c>
      <c r="R11166" s="8">
        <v>15.7</v>
      </c>
      <c r="S11166" s="8">
        <v>16.5</v>
      </c>
      <c r="T11166" s="8">
        <v>0.8</v>
      </c>
      <c r="U11166" s="8">
        <v>14.4</v>
      </c>
      <c r="V11166" s="8">
        <v>0.7</v>
      </c>
      <c r="W11166" s="8">
        <v>0.5</v>
      </c>
      <c r="X11166" s="8">
        <v>20</v>
      </c>
      <c r="Y11166" s="8" t="s">
        <v>4065</v>
      </c>
      <c r="Z11166" s="8" t="s">
        <v>4066</v>
      </c>
    </row>
    <row r="11167" spans="1:26" x14ac:dyDescent="0.2">
      <c r="A11167" s="8">
        <v>11166</v>
      </c>
      <c r="B11167" s="8" t="s">
        <v>47427</v>
      </c>
      <c r="C11167" s="8" t="s">
        <v>47427</v>
      </c>
      <c r="G11167" s="8">
        <v>20</v>
      </c>
      <c r="H11167" s="8" t="s">
        <v>21</v>
      </c>
      <c r="I11167" s="8" t="s">
        <v>22</v>
      </c>
      <c r="J11167" s="8" t="s">
        <v>22</v>
      </c>
      <c r="K11167" s="8" t="s">
        <v>1174</v>
      </c>
      <c r="L11167" s="8" t="s">
        <v>18289</v>
      </c>
      <c r="M11167" s="8" t="s">
        <v>18290</v>
      </c>
      <c r="N11167" s="8" t="s">
        <v>47428</v>
      </c>
      <c r="O11167" s="8">
        <f>12+25/60+52.7/3600</f>
        <v>12.431305555555555</v>
      </c>
      <c r="P11167" s="8" t="s">
        <v>47429</v>
      </c>
      <c r="Q11167" s="8">
        <f>+(23+46/60+6/3600)</f>
        <v>23.768333333333331</v>
      </c>
      <c r="R11167" s="8">
        <v>15.7</v>
      </c>
      <c r="S11167" s="8">
        <v>16.5</v>
      </c>
      <c r="T11167" s="8">
        <v>0.8</v>
      </c>
      <c r="U11167" s="8">
        <v>12.5</v>
      </c>
      <c r="V11167" s="8">
        <v>0.3</v>
      </c>
      <c r="W11167" s="8">
        <v>0.2</v>
      </c>
      <c r="X11167" s="8">
        <v>170</v>
      </c>
      <c r="Y11167" s="8" t="s">
        <v>22305</v>
      </c>
      <c r="Z11167" s="8" t="s">
        <v>22306</v>
      </c>
    </row>
    <row r="11168" spans="1:26" x14ac:dyDescent="0.2">
      <c r="A11168" s="8">
        <v>11167</v>
      </c>
      <c r="B11168" s="8" t="s">
        <v>47430</v>
      </c>
      <c r="C11168" s="8" t="s">
        <v>47430</v>
      </c>
      <c r="G11168" s="8">
        <v>20</v>
      </c>
      <c r="H11168" s="8" t="s">
        <v>21</v>
      </c>
      <c r="I11168" s="8" t="s">
        <v>22</v>
      </c>
      <c r="J11168" s="8" t="s">
        <v>22</v>
      </c>
      <c r="K11168" s="8" t="s">
        <v>154</v>
      </c>
      <c r="L11168" s="8" t="s">
        <v>18289</v>
      </c>
      <c r="M11168" s="8" t="s">
        <v>18290</v>
      </c>
      <c r="N11168" s="8" t="s">
        <v>47431</v>
      </c>
      <c r="O11168" s="8">
        <f>12+26/60+2.8/3600</f>
        <v>12.434111111111111</v>
      </c>
      <c r="P11168" s="8" t="s">
        <v>47432</v>
      </c>
      <c r="Q11168" s="8">
        <f>+(14+52/60+49/3600)</f>
        <v>14.880277777777778</v>
      </c>
      <c r="R11168" s="8">
        <v>14.5</v>
      </c>
      <c r="S11168" s="8">
        <v>15.4</v>
      </c>
      <c r="T11168" s="8">
        <v>0.9</v>
      </c>
      <c r="U11168" s="8">
        <v>12.4</v>
      </c>
      <c r="V11168" s="8">
        <v>0.4</v>
      </c>
      <c r="W11168" s="8">
        <v>0.4</v>
      </c>
      <c r="Y11168" s="8" t="s">
        <v>46249</v>
      </c>
      <c r="Z11168" s="8" t="s">
        <v>46250</v>
      </c>
    </row>
    <row r="11169" spans="1:26" x14ac:dyDescent="0.2">
      <c r="A11169" s="8">
        <v>11168</v>
      </c>
      <c r="B11169" s="8" t="s">
        <v>47433</v>
      </c>
      <c r="C11169" s="8" t="s">
        <v>47433</v>
      </c>
      <c r="G11169" s="8">
        <v>20</v>
      </c>
      <c r="H11169" s="8" t="s">
        <v>21</v>
      </c>
      <c r="I11169" s="8" t="s">
        <v>22</v>
      </c>
      <c r="J11169" s="8" t="s">
        <v>22</v>
      </c>
      <c r="K11169" s="8" t="s">
        <v>818</v>
      </c>
      <c r="L11169" s="8" t="s">
        <v>17287</v>
      </c>
      <c r="M11169" s="8" t="s">
        <v>17288</v>
      </c>
      <c r="N11169" s="8" t="s">
        <v>47434</v>
      </c>
      <c r="O11169" s="8">
        <f>12+25/60+58/3600</f>
        <v>12.432777777777778</v>
      </c>
      <c r="P11169" s="8" t="s">
        <v>47435</v>
      </c>
      <c r="Q11169" s="8">
        <f>+(10+3/60+14/3600)</f>
        <v>10.05388888888889</v>
      </c>
      <c r="R11169" s="8">
        <v>13.7</v>
      </c>
      <c r="S11169" s="8">
        <v>14.7</v>
      </c>
      <c r="T11169" s="8">
        <v>1</v>
      </c>
      <c r="U11169" s="8">
        <v>13</v>
      </c>
      <c r="V11169" s="8">
        <v>0.7</v>
      </c>
      <c r="W11169" s="8">
        <v>0.7</v>
      </c>
      <c r="Y11169" s="8" t="s">
        <v>7702</v>
      </c>
      <c r="Z11169" s="8" t="s">
        <v>7703</v>
      </c>
    </row>
    <row r="11170" spans="1:26" x14ac:dyDescent="0.2">
      <c r="A11170" s="8">
        <v>11169</v>
      </c>
      <c r="B11170" s="8" t="s">
        <v>47436</v>
      </c>
      <c r="C11170" s="8" t="s">
        <v>47436</v>
      </c>
      <c r="G11170" s="8">
        <v>20</v>
      </c>
      <c r="H11170" s="8" t="s">
        <v>21</v>
      </c>
      <c r="I11170" s="8" t="s">
        <v>1075</v>
      </c>
      <c r="J11170" s="8" t="s">
        <v>1075</v>
      </c>
      <c r="K11170" s="8" t="s">
        <v>1075</v>
      </c>
      <c r="L11170" s="8" t="s">
        <v>18289</v>
      </c>
      <c r="M11170" s="8" t="s">
        <v>18290</v>
      </c>
      <c r="N11170" s="8" t="s">
        <v>19925</v>
      </c>
      <c r="O11170" s="8">
        <f>12+25/60+55.9/3600</f>
        <v>12.432194444444443</v>
      </c>
      <c r="P11170" s="8" t="s">
        <v>47437</v>
      </c>
      <c r="Q11170" s="8">
        <f>+(27+33/60+52/3600)</f>
        <v>27.564444444444444</v>
      </c>
      <c r="R11170" s="8">
        <v>99</v>
      </c>
      <c r="S11170" s="8">
        <v>99</v>
      </c>
      <c r="T11170" s="8">
        <v>99</v>
      </c>
      <c r="U11170" s="8">
        <v>99</v>
      </c>
      <c r="V11170" s="8">
        <v>0.3</v>
      </c>
      <c r="W11170" s="8">
        <v>0.3</v>
      </c>
      <c r="Y11170" s="8" t="s">
        <v>47438</v>
      </c>
      <c r="Z11170" s="8" t="s">
        <v>47439</v>
      </c>
    </row>
    <row r="11171" spans="1:26" x14ac:dyDescent="0.2">
      <c r="A11171" s="8">
        <v>11170</v>
      </c>
      <c r="B11171" s="8" t="s">
        <v>47440</v>
      </c>
      <c r="C11171" s="8" t="s">
        <v>47440</v>
      </c>
      <c r="G11171" s="8">
        <v>20</v>
      </c>
      <c r="H11171" s="8" t="s">
        <v>21</v>
      </c>
      <c r="I11171" s="8" t="s">
        <v>22</v>
      </c>
      <c r="J11171" s="8" t="s">
        <v>22</v>
      </c>
      <c r="K11171" s="8" t="s">
        <v>406</v>
      </c>
      <c r="L11171" s="8" t="s">
        <v>18289</v>
      </c>
      <c r="M11171" s="8" t="s">
        <v>18290</v>
      </c>
      <c r="N11171" s="8" t="s">
        <v>47441</v>
      </c>
      <c r="O11171" s="8">
        <f>12+25/60+56.3/3600</f>
        <v>12.432305555555555</v>
      </c>
      <c r="P11171" s="8" t="s">
        <v>47442</v>
      </c>
      <c r="Q11171" s="8">
        <f>+(30+50/60+35/3600)</f>
        <v>30.843055555555555</v>
      </c>
      <c r="R11171" s="8">
        <v>14</v>
      </c>
      <c r="S11171" s="8">
        <v>14.8</v>
      </c>
      <c r="T11171" s="8">
        <v>0.8</v>
      </c>
      <c r="U11171" s="8">
        <v>13.5</v>
      </c>
      <c r="V11171" s="8">
        <v>1.1000000000000001</v>
      </c>
      <c r="W11171" s="8">
        <v>0.5</v>
      </c>
      <c r="X11171" s="8">
        <v>100</v>
      </c>
      <c r="Y11171" s="8" t="s">
        <v>47443</v>
      </c>
      <c r="Z11171" s="8" t="s">
        <v>47444</v>
      </c>
    </row>
    <row r="11172" spans="1:26" x14ac:dyDescent="0.2">
      <c r="A11172" s="8">
        <v>11171</v>
      </c>
      <c r="B11172" s="8" t="s">
        <v>47445</v>
      </c>
      <c r="C11172" s="8" t="s">
        <v>47445</v>
      </c>
      <c r="G11172" s="8">
        <v>20</v>
      </c>
      <c r="H11172" s="8" t="s">
        <v>21</v>
      </c>
      <c r="I11172" s="8" t="s">
        <v>22</v>
      </c>
      <c r="J11172" s="8" t="s">
        <v>22</v>
      </c>
      <c r="K11172" s="8" t="s">
        <v>91</v>
      </c>
      <c r="L11172" s="8" t="s">
        <v>17287</v>
      </c>
      <c r="M11172" s="8" t="s">
        <v>17288</v>
      </c>
      <c r="N11172" s="8" t="s">
        <v>47446</v>
      </c>
      <c r="O11172" s="8">
        <f>12+26/60+5.3/3600</f>
        <v>12.434805555555556</v>
      </c>
      <c r="P11172" s="8" t="s">
        <v>47447</v>
      </c>
      <c r="Q11172" s="8">
        <f>+(11+48/60+45/3600)</f>
        <v>11.8125</v>
      </c>
      <c r="R11172" s="8">
        <v>14.4</v>
      </c>
      <c r="S11172" s="8">
        <v>15.3</v>
      </c>
      <c r="T11172" s="8">
        <v>0.9</v>
      </c>
      <c r="U11172" s="8">
        <v>13</v>
      </c>
      <c r="V11172" s="8">
        <v>0.8</v>
      </c>
      <c r="W11172" s="8">
        <v>0.4</v>
      </c>
      <c r="X11172" s="8">
        <v>48</v>
      </c>
      <c r="Y11172" s="8" t="s">
        <v>21</v>
      </c>
      <c r="Z11172" s="8" t="s">
        <v>47448</v>
      </c>
    </row>
    <row r="11173" spans="1:26" x14ac:dyDescent="0.2">
      <c r="A11173" s="8">
        <v>11172</v>
      </c>
      <c r="B11173" s="8" t="s">
        <v>47449</v>
      </c>
      <c r="C11173" s="8" t="s">
        <v>47449</v>
      </c>
      <c r="G11173" s="8">
        <v>20</v>
      </c>
      <c r="H11173" s="8" t="s">
        <v>21</v>
      </c>
      <c r="I11173" s="8" t="s">
        <v>22</v>
      </c>
      <c r="J11173" s="8" t="s">
        <v>22</v>
      </c>
      <c r="K11173" s="8" t="s">
        <v>47450</v>
      </c>
      <c r="L11173" s="8" t="s">
        <v>18289</v>
      </c>
      <c r="M11173" s="8" t="s">
        <v>18290</v>
      </c>
      <c r="N11173" s="8" t="s">
        <v>47451</v>
      </c>
      <c r="O11173" s="8">
        <f>12+26/60+5.1/3600</f>
        <v>12.434750000000001</v>
      </c>
      <c r="P11173" s="8" t="s">
        <v>47452</v>
      </c>
      <c r="Q11173" s="8">
        <f>+(25+16/60+46/3600)</f>
        <v>25.279444444444444</v>
      </c>
      <c r="R11173" s="8">
        <v>16.5</v>
      </c>
      <c r="S11173" s="8">
        <v>17.5</v>
      </c>
      <c r="T11173" s="8">
        <v>1</v>
      </c>
      <c r="U11173" s="8">
        <v>13.5</v>
      </c>
      <c r="V11173" s="8">
        <v>0.3</v>
      </c>
      <c r="W11173" s="8">
        <v>0.2</v>
      </c>
      <c r="X11173" s="8">
        <v>150</v>
      </c>
      <c r="Y11173" s="8" t="s">
        <v>45086</v>
      </c>
      <c r="Z11173" s="8" t="s">
        <v>45087</v>
      </c>
    </row>
    <row r="11174" spans="1:26" x14ac:dyDescent="0.2">
      <c r="A11174" s="8">
        <v>11173</v>
      </c>
      <c r="B11174" s="8" t="s">
        <v>47453</v>
      </c>
      <c r="C11174" s="8" t="s">
        <v>47453</v>
      </c>
      <c r="G11174" s="8">
        <v>20</v>
      </c>
      <c r="H11174" s="8" t="s">
        <v>21</v>
      </c>
      <c r="I11174" s="8" t="s">
        <v>72</v>
      </c>
      <c r="J11174" s="8" t="s">
        <v>72</v>
      </c>
      <c r="K11174" s="8" t="s">
        <v>20</v>
      </c>
      <c r="L11174" s="8" t="s">
        <v>17287</v>
      </c>
      <c r="M11174" s="8" t="s">
        <v>17288</v>
      </c>
      <c r="N11174" s="8" t="s">
        <v>47454</v>
      </c>
      <c r="O11174" s="8">
        <f>12+26/60+8.9/3600</f>
        <v>12.435805555555556</v>
      </c>
      <c r="P11174" s="8" t="s">
        <v>45843</v>
      </c>
      <c r="Q11174" s="8">
        <f>+(13+7/60+58/3600)</f>
        <v>13.132777777777779</v>
      </c>
      <c r="R11174" s="8">
        <v>99</v>
      </c>
      <c r="S11174" s="8">
        <v>99</v>
      </c>
      <c r="T11174" s="8">
        <v>99</v>
      </c>
      <c r="U11174" s="8">
        <v>99</v>
      </c>
      <c r="Y11174" s="8" t="s">
        <v>47455</v>
      </c>
      <c r="Z11174" s="8" t="s">
        <v>47456</v>
      </c>
    </row>
    <row r="11175" spans="1:26" x14ac:dyDescent="0.2">
      <c r="A11175" s="8">
        <v>11174</v>
      </c>
      <c r="B11175" s="8" t="s">
        <v>47457</v>
      </c>
      <c r="C11175" s="8" t="s">
        <v>47457</v>
      </c>
      <c r="G11175" s="8">
        <v>20</v>
      </c>
      <c r="H11175" s="8" t="s">
        <v>21</v>
      </c>
      <c r="I11175" s="8" t="s">
        <v>22</v>
      </c>
      <c r="J11175" s="8" t="s">
        <v>22</v>
      </c>
      <c r="K11175" s="8" t="s">
        <v>45598</v>
      </c>
      <c r="L11175" s="8" t="s">
        <v>18289</v>
      </c>
      <c r="M11175" s="8" t="s">
        <v>18290</v>
      </c>
      <c r="N11175" s="8" t="s">
        <v>47458</v>
      </c>
      <c r="O11175" s="8">
        <f>12+26/60+9.5/3600</f>
        <v>12.435972222222222</v>
      </c>
      <c r="P11175" s="8" t="s">
        <v>47459</v>
      </c>
      <c r="Q11175" s="8">
        <f>+(28+27/60+57/3600)</f>
        <v>28.465833333333332</v>
      </c>
      <c r="R11175" s="8">
        <v>15.9</v>
      </c>
      <c r="S11175" s="8">
        <v>16.5</v>
      </c>
      <c r="T11175" s="8">
        <v>0.6</v>
      </c>
      <c r="U11175" s="8">
        <v>14.2</v>
      </c>
      <c r="V11175" s="8">
        <v>0.5</v>
      </c>
      <c r="W11175" s="8">
        <v>0.5</v>
      </c>
      <c r="Y11175" s="8" t="s">
        <v>14787</v>
      </c>
      <c r="Z11175" s="8" t="s">
        <v>14788</v>
      </c>
    </row>
    <row r="11176" spans="1:26" x14ac:dyDescent="0.2">
      <c r="A11176" s="8">
        <v>11175</v>
      </c>
      <c r="B11176" s="8" t="s">
        <v>47460</v>
      </c>
      <c r="C11176" s="8" t="s">
        <v>47460</v>
      </c>
      <c r="G11176" s="8">
        <v>20</v>
      </c>
      <c r="H11176" s="8" t="s">
        <v>21</v>
      </c>
      <c r="I11176" s="8" t="s">
        <v>22</v>
      </c>
      <c r="J11176" s="8" t="s">
        <v>22</v>
      </c>
      <c r="K11176" s="8" t="s">
        <v>424</v>
      </c>
      <c r="L11176" s="8" t="s">
        <v>18289</v>
      </c>
      <c r="M11176" s="8" t="s">
        <v>18290</v>
      </c>
      <c r="N11176" s="8" t="s">
        <v>47461</v>
      </c>
      <c r="O11176" s="8">
        <f>12+26/60+19/3600</f>
        <v>12.438611111111111</v>
      </c>
      <c r="P11176" s="8" t="s">
        <v>47462</v>
      </c>
      <c r="Q11176" s="8">
        <f>+(26+7/60+47/3600)</f>
        <v>26.129722222222224</v>
      </c>
      <c r="R11176" s="8">
        <v>17</v>
      </c>
      <c r="S11176" s="8">
        <v>18</v>
      </c>
      <c r="T11176" s="8">
        <v>1</v>
      </c>
      <c r="U11176" s="8">
        <v>13.4</v>
      </c>
      <c r="V11176" s="8">
        <v>0.2</v>
      </c>
      <c r="W11176" s="8">
        <v>0.2</v>
      </c>
      <c r="Y11176" s="8" t="s">
        <v>47463</v>
      </c>
      <c r="Z11176" s="8" t="s">
        <v>47464</v>
      </c>
    </row>
    <row r="11177" spans="1:26" x14ac:dyDescent="0.2">
      <c r="A11177" s="8">
        <v>11176</v>
      </c>
      <c r="B11177" s="8" t="s">
        <v>47465</v>
      </c>
      <c r="C11177" s="8" t="s">
        <v>47465</v>
      </c>
      <c r="G11177" s="8">
        <v>20</v>
      </c>
      <c r="H11177" s="8" t="s">
        <v>21</v>
      </c>
      <c r="I11177" s="8" t="s">
        <v>22</v>
      </c>
      <c r="J11177" s="8" t="s">
        <v>22</v>
      </c>
      <c r="K11177" s="8" t="s">
        <v>91</v>
      </c>
      <c r="L11177" s="8" t="s">
        <v>18289</v>
      </c>
      <c r="M11177" s="8" t="s">
        <v>18290</v>
      </c>
      <c r="N11177" s="8" t="s">
        <v>47466</v>
      </c>
      <c r="O11177" s="8">
        <f>12+26/60+19.7/3600</f>
        <v>12.438805555555556</v>
      </c>
      <c r="P11177" s="8" t="s">
        <v>47467</v>
      </c>
      <c r="Q11177" s="8">
        <f>+(26+50/60+18/3600)</f>
        <v>26.838333333333331</v>
      </c>
      <c r="R11177" s="8">
        <v>14.6</v>
      </c>
      <c r="S11177" s="8">
        <v>15.5</v>
      </c>
      <c r="T11177" s="8">
        <v>0.9</v>
      </c>
      <c r="U11177" s="8">
        <v>12</v>
      </c>
      <c r="V11177" s="8">
        <v>0.5</v>
      </c>
      <c r="W11177" s="8">
        <v>0.2</v>
      </c>
      <c r="X11177" s="8">
        <v>75</v>
      </c>
      <c r="Y11177" s="8" t="s">
        <v>8732</v>
      </c>
      <c r="Z11177" s="8" t="s">
        <v>8733</v>
      </c>
    </row>
    <row r="11178" spans="1:26" x14ac:dyDescent="0.2">
      <c r="A11178" s="8">
        <v>11177</v>
      </c>
      <c r="B11178" s="8" t="s">
        <v>47468</v>
      </c>
      <c r="C11178" s="8" t="s">
        <v>47468</v>
      </c>
      <c r="G11178" s="8">
        <v>20</v>
      </c>
      <c r="H11178" s="8" t="s">
        <v>21</v>
      </c>
      <c r="I11178" s="8" t="s">
        <v>22</v>
      </c>
      <c r="J11178" s="8" t="s">
        <v>22</v>
      </c>
      <c r="K11178" s="8" t="s">
        <v>476</v>
      </c>
      <c r="L11178" s="8" t="s">
        <v>18289</v>
      </c>
      <c r="M11178" s="8" t="s">
        <v>18290</v>
      </c>
      <c r="N11178" s="8" t="s">
        <v>47469</v>
      </c>
      <c r="O11178" s="8">
        <f>12+26/60+21.3/3600</f>
        <v>12.439249999999999</v>
      </c>
      <c r="P11178" s="8" t="s">
        <v>47470</v>
      </c>
      <c r="Q11178" s="8">
        <f>+(25+18/60+39/3600)</f>
        <v>25.310833333333335</v>
      </c>
      <c r="R11178" s="8">
        <v>16.7</v>
      </c>
      <c r="S11178" s="8">
        <v>17.5</v>
      </c>
      <c r="T11178" s="8">
        <v>0.8</v>
      </c>
      <c r="U11178" s="8">
        <v>15</v>
      </c>
      <c r="V11178" s="8">
        <v>0.5</v>
      </c>
      <c r="W11178" s="8">
        <v>0.5</v>
      </c>
      <c r="Y11178" s="8" t="s">
        <v>47019</v>
      </c>
      <c r="Z11178" s="8" t="s">
        <v>47020</v>
      </c>
    </row>
    <row r="11179" spans="1:26" x14ac:dyDescent="0.2">
      <c r="A11179" s="8">
        <v>11178</v>
      </c>
      <c r="B11179" s="8" t="s">
        <v>47471</v>
      </c>
      <c r="C11179" s="8" t="s">
        <v>47471</v>
      </c>
      <c r="G11179" s="8">
        <v>20</v>
      </c>
      <c r="H11179" s="8" t="s">
        <v>21</v>
      </c>
      <c r="I11179" s="8" t="s">
        <v>22</v>
      </c>
      <c r="J11179" s="8" t="s">
        <v>22</v>
      </c>
      <c r="K11179" s="8" t="s">
        <v>449</v>
      </c>
      <c r="L11179" s="8" t="s">
        <v>18289</v>
      </c>
      <c r="M11179" s="8" t="s">
        <v>18290</v>
      </c>
      <c r="N11179" s="8" t="s">
        <v>47472</v>
      </c>
      <c r="O11179" s="8">
        <f>12+26/60+22.1/3600</f>
        <v>12.439472222222223</v>
      </c>
      <c r="P11179" s="8" t="s">
        <v>47473</v>
      </c>
      <c r="Q11179" s="8">
        <f>+(25+53/60+9/3600)</f>
        <v>25.885833333333334</v>
      </c>
      <c r="R11179" s="8">
        <v>15.2</v>
      </c>
      <c r="S11179" s="8">
        <v>16</v>
      </c>
      <c r="T11179" s="8">
        <v>0.8</v>
      </c>
      <c r="U11179" s="8">
        <v>13.2</v>
      </c>
      <c r="V11179" s="8">
        <v>0.6</v>
      </c>
      <c r="W11179" s="8">
        <v>0.3</v>
      </c>
      <c r="X11179" s="8">
        <v>55</v>
      </c>
      <c r="Y11179" s="8" t="s">
        <v>44926</v>
      </c>
      <c r="Z11179" s="8" t="s">
        <v>44927</v>
      </c>
    </row>
    <row r="11180" spans="1:26" x14ac:dyDescent="0.2">
      <c r="A11180" s="8">
        <v>11179</v>
      </c>
      <c r="B11180" s="8" t="s">
        <v>47474</v>
      </c>
      <c r="C11180" s="8" t="s">
        <v>47474</v>
      </c>
      <c r="G11180" s="8">
        <v>20</v>
      </c>
      <c r="H11180" s="8" t="s">
        <v>21</v>
      </c>
      <c r="I11180" s="8" t="s">
        <v>22</v>
      </c>
      <c r="J11180" s="8" t="s">
        <v>57</v>
      </c>
      <c r="K11180" s="8" t="s">
        <v>773</v>
      </c>
      <c r="L11180" s="8" t="s">
        <v>17287</v>
      </c>
      <c r="M11180" s="8" t="s">
        <v>17288</v>
      </c>
      <c r="N11180" s="8" t="s">
        <v>47475</v>
      </c>
      <c r="O11180" s="8">
        <f>12+26/60+30/3600</f>
        <v>12.441666666666666</v>
      </c>
      <c r="P11180" s="8" t="s">
        <v>47476</v>
      </c>
      <c r="Q11180" s="8">
        <f>+(8+52/60+18/3600)</f>
        <v>8.8716666666666679</v>
      </c>
      <c r="R11180" s="8">
        <v>12.7</v>
      </c>
      <c r="S11180" s="8">
        <v>13.4</v>
      </c>
      <c r="T11180" s="8">
        <v>0.7</v>
      </c>
      <c r="U11180" s="8">
        <v>14</v>
      </c>
      <c r="V11180" s="8">
        <v>2</v>
      </c>
      <c r="W11180" s="8">
        <v>1.9</v>
      </c>
      <c r="X11180" s="8">
        <v>30</v>
      </c>
      <c r="Y11180" s="8" t="s">
        <v>47477</v>
      </c>
      <c r="Z11180" s="8" t="s">
        <v>47478</v>
      </c>
    </row>
    <row r="11181" spans="1:26" x14ac:dyDescent="0.2">
      <c r="A11181" s="8">
        <v>11180</v>
      </c>
      <c r="B11181" s="8" t="s">
        <v>47479</v>
      </c>
      <c r="C11181" s="8" t="s">
        <v>47479</v>
      </c>
      <c r="G11181" s="8">
        <v>20</v>
      </c>
      <c r="H11181" s="8" t="s">
        <v>21</v>
      </c>
      <c r="I11181" s="8" t="s">
        <v>22</v>
      </c>
      <c r="J11181" s="8" t="s">
        <v>22</v>
      </c>
      <c r="K11181" s="8" t="s">
        <v>406</v>
      </c>
      <c r="L11181" s="8" t="s">
        <v>18289</v>
      </c>
      <c r="M11181" s="8" t="s">
        <v>18290</v>
      </c>
      <c r="N11181" s="8" t="s">
        <v>47480</v>
      </c>
      <c r="O11181" s="8">
        <f>12+26/60+32.6/3600</f>
        <v>12.442388888888889</v>
      </c>
      <c r="P11181" s="8" t="s">
        <v>47481</v>
      </c>
      <c r="Q11181" s="8">
        <f>+(16+50/60+39/3600)</f>
        <v>16.844166666666666</v>
      </c>
      <c r="R11181" s="8">
        <v>14.7</v>
      </c>
      <c r="S11181" s="8">
        <v>15.5</v>
      </c>
      <c r="T11181" s="8">
        <v>0.8</v>
      </c>
      <c r="U11181" s="8">
        <v>13.2</v>
      </c>
      <c r="V11181" s="8">
        <v>0.7</v>
      </c>
      <c r="W11181" s="8">
        <v>0.4</v>
      </c>
      <c r="X11181" s="8">
        <v>25</v>
      </c>
      <c r="Y11181" s="8" t="s">
        <v>47482</v>
      </c>
      <c r="Z11181" s="8" t="s">
        <v>47483</v>
      </c>
    </row>
    <row r="11182" spans="1:26" x14ac:dyDescent="0.2">
      <c r="A11182" s="8">
        <v>11181</v>
      </c>
      <c r="B11182" s="8" t="s">
        <v>47484</v>
      </c>
      <c r="C11182" s="8" t="s">
        <v>47484</v>
      </c>
      <c r="G11182" s="8">
        <v>20</v>
      </c>
      <c r="H11182" s="8" t="s">
        <v>21</v>
      </c>
      <c r="I11182" s="8" t="s">
        <v>22</v>
      </c>
      <c r="J11182" s="8" t="s">
        <v>22</v>
      </c>
      <c r="K11182" s="8" t="s">
        <v>476</v>
      </c>
      <c r="L11182" s="8" t="s">
        <v>18289</v>
      </c>
      <c r="M11182" s="8" t="s">
        <v>18290</v>
      </c>
      <c r="N11182" s="8" t="s">
        <v>47485</v>
      </c>
      <c r="O11182" s="8">
        <f>12+26/60+23.2/3600</f>
        <v>12.439777777777778</v>
      </c>
      <c r="P11182" s="8" t="s">
        <v>47486</v>
      </c>
      <c r="Q11182" s="8">
        <f>+(27+44/60+46/3600)</f>
        <v>27.746111111111112</v>
      </c>
      <c r="R11182" s="8">
        <v>15.9</v>
      </c>
      <c r="S11182" s="8">
        <v>16.7</v>
      </c>
      <c r="T11182" s="8">
        <v>0.8</v>
      </c>
      <c r="U11182" s="8">
        <v>13.4</v>
      </c>
      <c r="V11182" s="8">
        <v>0.4</v>
      </c>
      <c r="W11182" s="8">
        <v>0.3</v>
      </c>
      <c r="X11182" s="8">
        <v>90</v>
      </c>
      <c r="Y11182" s="8" t="s">
        <v>44249</v>
      </c>
      <c r="Z11182" s="8" t="s">
        <v>44250</v>
      </c>
    </row>
    <row r="11183" spans="1:26" x14ac:dyDescent="0.2">
      <c r="A11183" s="8">
        <v>11182</v>
      </c>
      <c r="B11183" s="8" t="s">
        <v>47487</v>
      </c>
      <c r="C11183" s="8" t="s">
        <v>47487</v>
      </c>
      <c r="G11183" s="8">
        <v>20</v>
      </c>
      <c r="H11183" s="8" t="s">
        <v>21</v>
      </c>
      <c r="I11183" s="8" t="s">
        <v>72</v>
      </c>
      <c r="J11183" s="8" t="s">
        <v>72</v>
      </c>
      <c r="K11183" s="8" t="s">
        <v>20</v>
      </c>
      <c r="L11183" s="8" t="s">
        <v>18289</v>
      </c>
      <c r="M11183" s="8" t="s">
        <v>18290</v>
      </c>
      <c r="N11183" s="8" t="s">
        <v>47488</v>
      </c>
      <c r="O11183" s="8">
        <f>12+26/60+27.2/3600</f>
        <v>12.440888888888889</v>
      </c>
      <c r="P11183" s="8" t="s">
        <v>47489</v>
      </c>
      <c r="Q11183" s="8">
        <f>+(27+8/60+22/3600)</f>
        <v>27.139444444444443</v>
      </c>
      <c r="R11183" s="8">
        <v>99</v>
      </c>
      <c r="S11183" s="8">
        <v>99</v>
      </c>
      <c r="T11183" s="8">
        <v>99</v>
      </c>
      <c r="U11183" s="8">
        <v>99</v>
      </c>
      <c r="Y11183" s="8" t="s">
        <v>47490</v>
      </c>
      <c r="Z11183" s="8" t="s">
        <v>47491</v>
      </c>
    </row>
    <row r="11184" spans="1:26" x14ac:dyDescent="0.2">
      <c r="A11184" s="8">
        <v>11183</v>
      </c>
      <c r="B11184" s="8" t="s">
        <v>47492</v>
      </c>
      <c r="C11184" s="8" t="s">
        <v>47492</v>
      </c>
      <c r="G11184" s="8">
        <v>20</v>
      </c>
      <c r="H11184" s="8" t="s">
        <v>21</v>
      </c>
      <c r="I11184" s="8" t="s">
        <v>72</v>
      </c>
      <c r="J11184" s="8" t="s">
        <v>72</v>
      </c>
      <c r="K11184" s="8" t="s">
        <v>73</v>
      </c>
      <c r="L11184" s="8" t="s">
        <v>17287</v>
      </c>
      <c r="M11184" s="8" t="s">
        <v>17288</v>
      </c>
      <c r="N11184" s="8" t="s">
        <v>47493</v>
      </c>
      <c r="O11184" s="8">
        <f>12+26/60+34.7/3600</f>
        <v>12.442972222222222</v>
      </c>
      <c r="P11184" s="8" t="s">
        <v>47494</v>
      </c>
      <c r="Q11184" s="8">
        <f>+(8+52/60+35/3600)</f>
        <v>8.87638888888889</v>
      </c>
      <c r="R11184" s="8">
        <v>99</v>
      </c>
      <c r="S11184" s="8">
        <v>99</v>
      </c>
      <c r="T11184" s="8">
        <v>99</v>
      </c>
      <c r="U11184" s="8">
        <v>99</v>
      </c>
      <c r="Y11184" s="8" t="s">
        <v>47495</v>
      </c>
      <c r="Z11184" s="8" t="s">
        <v>47496</v>
      </c>
    </row>
    <row r="11185" spans="1:26" x14ac:dyDescent="0.2">
      <c r="A11185" s="8">
        <v>11184</v>
      </c>
      <c r="B11185" s="8" t="s">
        <v>47497</v>
      </c>
      <c r="C11185" s="8" t="s">
        <v>47497</v>
      </c>
      <c r="G11185" s="8">
        <v>20</v>
      </c>
      <c r="H11185" s="8" t="s">
        <v>21</v>
      </c>
      <c r="I11185" s="8" t="s">
        <v>22</v>
      </c>
      <c r="J11185" s="8" t="s">
        <v>22</v>
      </c>
      <c r="K11185" s="8" t="s">
        <v>818</v>
      </c>
      <c r="L11185" s="8" t="s">
        <v>18289</v>
      </c>
      <c r="M11185" s="8" t="s">
        <v>18290</v>
      </c>
      <c r="N11185" s="8" t="s">
        <v>47498</v>
      </c>
      <c r="O11185" s="8">
        <f>12+26/60+32.3/3600</f>
        <v>12.442305555555556</v>
      </c>
      <c r="P11185" s="8" t="s">
        <v>47499</v>
      </c>
      <c r="Q11185" s="8">
        <f>+(13+34/60+46/3600)</f>
        <v>13.579444444444444</v>
      </c>
      <c r="R11185" s="8">
        <v>14.6</v>
      </c>
      <c r="S11185" s="8">
        <v>15.6</v>
      </c>
      <c r="T11185" s="8">
        <v>1</v>
      </c>
      <c r="U11185" s="8">
        <v>13.3</v>
      </c>
      <c r="V11185" s="8">
        <v>0.7</v>
      </c>
      <c r="W11185" s="8">
        <v>0.4</v>
      </c>
      <c r="X11185" s="8">
        <v>48</v>
      </c>
      <c r="Y11185" s="8" t="s">
        <v>46390</v>
      </c>
      <c r="Z11185" s="8" t="s">
        <v>46391</v>
      </c>
    </row>
    <row r="11186" spans="1:26" x14ac:dyDescent="0.2">
      <c r="A11186" s="8">
        <v>11185</v>
      </c>
      <c r="B11186" s="8" t="s">
        <v>47500</v>
      </c>
      <c r="C11186" s="8" t="s">
        <v>47500</v>
      </c>
      <c r="G11186" s="8">
        <v>20</v>
      </c>
      <c r="H11186" s="8" t="s">
        <v>21</v>
      </c>
      <c r="I11186" s="8" t="s">
        <v>22</v>
      </c>
      <c r="J11186" s="8" t="s">
        <v>22</v>
      </c>
      <c r="K11186" s="8" t="s">
        <v>424</v>
      </c>
      <c r="L11186" s="8" t="s">
        <v>18289</v>
      </c>
      <c r="M11186" s="8" t="s">
        <v>18290</v>
      </c>
      <c r="N11186" s="8" t="s">
        <v>47501</v>
      </c>
      <c r="O11186" s="8">
        <f>12+26/60+33.3/3600</f>
        <v>12.442583333333333</v>
      </c>
      <c r="P11186" s="8" t="s">
        <v>47502</v>
      </c>
      <c r="Q11186" s="8">
        <f>+(24+22/60+8/3600)</f>
        <v>24.36888888888889</v>
      </c>
      <c r="R11186" s="8">
        <v>16</v>
      </c>
      <c r="S11186" s="8">
        <v>17</v>
      </c>
      <c r="T11186" s="8">
        <v>1</v>
      </c>
      <c r="U11186" s="8">
        <v>12.4</v>
      </c>
      <c r="V11186" s="8">
        <v>0.2</v>
      </c>
      <c r="W11186" s="8">
        <v>0.2</v>
      </c>
      <c r="Y11186" s="8" t="s">
        <v>37602</v>
      </c>
      <c r="Z11186" s="8" t="s">
        <v>37603</v>
      </c>
    </row>
    <row r="11187" spans="1:26" x14ac:dyDescent="0.2">
      <c r="A11187" s="8">
        <v>11186</v>
      </c>
      <c r="B11187" s="8" t="s">
        <v>47503</v>
      </c>
      <c r="C11187" s="8" t="s">
        <v>47503</v>
      </c>
      <c r="G11187" s="8">
        <v>20</v>
      </c>
      <c r="H11187" s="8" t="s">
        <v>21</v>
      </c>
      <c r="I11187" s="8" t="s">
        <v>22</v>
      </c>
      <c r="J11187" s="8" t="s">
        <v>22</v>
      </c>
      <c r="K11187" s="8" t="s">
        <v>818</v>
      </c>
      <c r="L11187" s="8" t="s">
        <v>17287</v>
      </c>
      <c r="M11187" s="8" t="s">
        <v>17288</v>
      </c>
      <c r="N11187" s="8" t="s">
        <v>47504</v>
      </c>
      <c r="O11187" s="8">
        <f>12+26/60+44.5/3600</f>
        <v>12.445694444444445</v>
      </c>
      <c r="P11187" s="8" t="s">
        <v>47505</v>
      </c>
      <c r="Q11187" s="8">
        <f>+(11+22/60+47/3600)</f>
        <v>11.379722222222222</v>
      </c>
      <c r="R11187" s="8">
        <v>14.7</v>
      </c>
      <c r="S11187" s="8">
        <v>15.7</v>
      </c>
      <c r="T11187" s="8">
        <v>1</v>
      </c>
      <c r="U11187" s="8">
        <v>13.5</v>
      </c>
      <c r="V11187" s="8">
        <v>0.6</v>
      </c>
      <c r="W11187" s="8">
        <v>0.5</v>
      </c>
      <c r="X11187" s="8">
        <v>139</v>
      </c>
      <c r="Y11187" s="8" t="s">
        <v>47506</v>
      </c>
      <c r="Z11187" s="8" t="s">
        <v>47507</v>
      </c>
    </row>
    <row r="11188" spans="1:26" x14ac:dyDescent="0.2">
      <c r="A11188" s="8">
        <v>11187</v>
      </c>
      <c r="B11188" s="8" t="s">
        <v>47508</v>
      </c>
      <c r="C11188" s="8" t="s">
        <v>47508</v>
      </c>
      <c r="G11188" s="8">
        <v>20</v>
      </c>
      <c r="H11188" s="8" t="s">
        <v>21</v>
      </c>
      <c r="I11188" s="8" t="s">
        <v>22</v>
      </c>
      <c r="J11188" s="8" t="s">
        <v>22</v>
      </c>
      <c r="K11188" s="8" t="s">
        <v>449</v>
      </c>
      <c r="L11188" s="8" t="s">
        <v>17287</v>
      </c>
      <c r="M11188" s="8" t="s">
        <v>17288</v>
      </c>
      <c r="N11188" s="8" t="s">
        <v>47504</v>
      </c>
      <c r="O11188" s="8">
        <f>12+26/60+44.5/3600</f>
        <v>12.445694444444445</v>
      </c>
      <c r="P11188" s="8" t="s">
        <v>47509</v>
      </c>
      <c r="Q11188" s="8">
        <f>+(10+55/60+7/3600)</f>
        <v>10.91861111111111</v>
      </c>
      <c r="R11188" s="8">
        <v>15.4</v>
      </c>
      <c r="S11188" s="8">
        <v>16.2</v>
      </c>
      <c r="T11188" s="8">
        <v>0.8</v>
      </c>
      <c r="U11188" s="8">
        <v>12.5</v>
      </c>
      <c r="V11188" s="8">
        <v>0.4</v>
      </c>
      <c r="W11188" s="8">
        <v>0.2</v>
      </c>
      <c r="X11188" s="8">
        <v>155</v>
      </c>
      <c r="Y11188" s="8" t="s">
        <v>46674</v>
      </c>
      <c r="Z11188" s="8" t="s">
        <v>46222</v>
      </c>
    </row>
    <row r="11189" spans="1:26" x14ac:dyDescent="0.2">
      <c r="A11189" s="8">
        <v>11188</v>
      </c>
      <c r="B11189" s="8" t="s">
        <v>47510</v>
      </c>
      <c r="C11189" s="8" t="s">
        <v>47510</v>
      </c>
      <c r="G11189" s="8">
        <v>20</v>
      </c>
      <c r="H11189" s="8" t="s">
        <v>21</v>
      </c>
      <c r="I11189" s="8" t="s">
        <v>22</v>
      </c>
      <c r="J11189" s="8" t="s">
        <v>22</v>
      </c>
      <c r="K11189" s="8" t="s">
        <v>460</v>
      </c>
      <c r="L11189" s="8" t="s">
        <v>18289</v>
      </c>
      <c r="M11189" s="8" t="s">
        <v>18290</v>
      </c>
      <c r="N11189" s="8" t="s">
        <v>47511</v>
      </c>
      <c r="O11189" s="8">
        <f>12+26/60+38/3600</f>
        <v>12.443888888888889</v>
      </c>
      <c r="P11189" s="8" t="s">
        <v>47512</v>
      </c>
      <c r="Q11189" s="8">
        <f>+(25+37/60+27/3600)</f>
        <v>25.624166666666667</v>
      </c>
      <c r="R11189" s="8">
        <v>16</v>
      </c>
      <c r="S11189" s="8">
        <v>17</v>
      </c>
      <c r="T11189" s="8">
        <v>1</v>
      </c>
      <c r="U11189" s="8">
        <v>14.1</v>
      </c>
      <c r="V11189" s="8">
        <v>0.4</v>
      </c>
      <c r="W11189" s="8">
        <v>0.4</v>
      </c>
      <c r="Y11189" s="8" t="s">
        <v>47337</v>
      </c>
      <c r="Z11189" s="8" t="s">
        <v>47338</v>
      </c>
    </row>
    <row r="11190" spans="1:26" x14ac:dyDescent="0.2">
      <c r="A11190" s="8">
        <v>11189</v>
      </c>
      <c r="B11190" s="8" t="s">
        <v>47513</v>
      </c>
      <c r="C11190" s="8" t="s">
        <v>47513</v>
      </c>
      <c r="G11190" s="8">
        <v>20</v>
      </c>
      <c r="H11190" s="8" t="s">
        <v>21</v>
      </c>
      <c r="I11190" s="8" t="s">
        <v>22</v>
      </c>
      <c r="J11190" s="8" t="s">
        <v>22</v>
      </c>
      <c r="K11190" s="8" t="s">
        <v>818</v>
      </c>
      <c r="L11190" s="8" t="s">
        <v>17287</v>
      </c>
      <c r="M11190" s="8" t="s">
        <v>17288</v>
      </c>
      <c r="N11190" s="8" t="s">
        <v>47514</v>
      </c>
      <c r="O11190" s="8">
        <f>12+26/60+47.1/3600</f>
        <v>12.446416666666666</v>
      </c>
      <c r="P11190" s="8" t="s">
        <v>47515</v>
      </c>
      <c r="Q11190" s="8">
        <f>+(12+27/60+14/3600)</f>
        <v>12.453888888888889</v>
      </c>
      <c r="R11190" s="8">
        <v>13.9</v>
      </c>
      <c r="S11190" s="8">
        <v>14.9</v>
      </c>
      <c r="T11190" s="8">
        <v>1</v>
      </c>
      <c r="U11190" s="8">
        <v>13.6</v>
      </c>
      <c r="V11190" s="8">
        <v>0.9</v>
      </c>
      <c r="W11190" s="8">
        <v>0.8</v>
      </c>
      <c r="X11190" s="8">
        <v>60</v>
      </c>
      <c r="Y11190" s="8" t="s">
        <v>47516</v>
      </c>
      <c r="Z11190" s="8" t="s">
        <v>47517</v>
      </c>
    </row>
    <row r="11191" spans="1:26" x14ac:dyDescent="0.2">
      <c r="A11191" s="8">
        <v>11190</v>
      </c>
      <c r="B11191" s="8" t="s">
        <v>47518</v>
      </c>
      <c r="C11191" s="8" t="s">
        <v>47518</v>
      </c>
      <c r="G11191" s="8">
        <v>20</v>
      </c>
      <c r="H11191" s="8" t="s">
        <v>21</v>
      </c>
      <c r="I11191" s="8" t="s">
        <v>72</v>
      </c>
      <c r="J11191" s="8" t="s">
        <v>72</v>
      </c>
      <c r="K11191" s="8" t="s">
        <v>20</v>
      </c>
      <c r="L11191" s="8" t="s">
        <v>17287</v>
      </c>
      <c r="M11191" s="8" t="s">
        <v>17288</v>
      </c>
      <c r="N11191" s="8" t="s">
        <v>47519</v>
      </c>
      <c r="O11191" s="8">
        <f>12+26/60+46.4/3600</f>
        <v>12.446222222222222</v>
      </c>
      <c r="P11191" s="8" t="s">
        <v>47520</v>
      </c>
      <c r="Q11191" s="8">
        <f>+(9+26/60+33/3600)</f>
        <v>9.4425000000000008</v>
      </c>
      <c r="R11191" s="8">
        <v>99</v>
      </c>
      <c r="S11191" s="8">
        <v>12.7</v>
      </c>
      <c r="T11191" s="8">
        <v>99</v>
      </c>
      <c r="U11191" s="8">
        <v>99</v>
      </c>
      <c r="Y11191" s="8" t="s">
        <v>47521</v>
      </c>
      <c r="Z11191" s="8" t="s">
        <v>47522</v>
      </c>
    </row>
    <row r="11192" spans="1:26" x14ac:dyDescent="0.2">
      <c r="A11192" s="8">
        <v>11191</v>
      </c>
      <c r="B11192" s="8" t="s">
        <v>47523</v>
      </c>
      <c r="C11192" s="8" t="s">
        <v>47523</v>
      </c>
      <c r="G11192" s="8">
        <v>20</v>
      </c>
      <c r="H11192" s="8" t="s">
        <v>21</v>
      </c>
      <c r="I11192" s="8" t="s">
        <v>72</v>
      </c>
      <c r="J11192" s="8" t="s">
        <v>72</v>
      </c>
      <c r="K11192" s="8" t="s">
        <v>20</v>
      </c>
      <c r="L11192" s="8" t="s">
        <v>18289</v>
      </c>
      <c r="M11192" s="8" t="s">
        <v>18290</v>
      </c>
      <c r="N11192" s="8" t="s">
        <v>47524</v>
      </c>
      <c r="O11192" s="8">
        <f>12+26/60+41.6/3600</f>
        <v>12.444888888888888</v>
      </c>
      <c r="P11192" s="8" t="s">
        <v>47525</v>
      </c>
      <c r="Q11192" s="8">
        <f>+(27+36/60+21/3600)</f>
        <v>27.605833333333333</v>
      </c>
      <c r="R11192" s="8">
        <v>99</v>
      </c>
      <c r="S11192" s="8">
        <v>99</v>
      </c>
      <c r="T11192" s="8">
        <v>99</v>
      </c>
      <c r="U11192" s="8">
        <v>99</v>
      </c>
      <c r="Y11192" s="8" t="s">
        <v>37602</v>
      </c>
      <c r="Z11192" s="8" t="s">
        <v>37603</v>
      </c>
    </row>
    <row r="11193" spans="1:26" x14ac:dyDescent="0.2">
      <c r="A11193" s="8">
        <v>11192</v>
      </c>
      <c r="B11193" s="8" t="s">
        <v>47526</v>
      </c>
      <c r="C11193" s="8" t="s">
        <v>47526</v>
      </c>
      <c r="G11193" s="8">
        <v>20</v>
      </c>
      <c r="H11193" s="8" t="s">
        <v>21</v>
      </c>
      <c r="I11193" s="8" t="s">
        <v>329</v>
      </c>
      <c r="J11193" s="8" t="s">
        <v>329</v>
      </c>
      <c r="K11193" s="8" t="s">
        <v>329</v>
      </c>
      <c r="L11193" s="8" t="s">
        <v>17287</v>
      </c>
      <c r="M11193" s="8" t="s">
        <v>17288</v>
      </c>
      <c r="N11193" s="8" t="s">
        <v>47527</v>
      </c>
      <c r="O11193" s="8">
        <f>12+26/60+47.3/3600</f>
        <v>12.446472222222223</v>
      </c>
      <c r="P11193" s="8" t="s">
        <v>47528</v>
      </c>
      <c r="Q11193" s="8">
        <f>+(8+45/60+26/3600)</f>
        <v>8.7572222222222216</v>
      </c>
      <c r="R11193" s="8">
        <v>99</v>
      </c>
      <c r="S11193" s="8">
        <v>99</v>
      </c>
      <c r="T11193" s="8">
        <v>99</v>
      </c>
      <c r="U11193" s="8">
        <v>99</v>
      </c>
      <c r="Y11193" s="8" t="s">
        <v>25332</v>
      </c>
      <c r="Z11193" s="8" t="s">
        <v>25333</v>
      </c>
    </row>
    <row r="11194" spans="1:26" x14ac:dyDescent="0.2">
      <c r="A11194" s="8">
        <v>11193</v>
      </c>
      <c r="B11194" s="8" t="s">
        <v>47529</v>
      </c>
      <c r="C11194" s="8" t="s">
        <v>47529</v>
      </c>
      <c r="G11194" s="8">
        <v>20</v>
      </c>
      <c r="H11194" s="8" t="s">
        <v>21</v>
      </c>
      <c r="I11194" s="8" t="s">
        <v>22</v>
      </c>
      <c r="J11194" s="8" t="s">
        <v>22</v>
      </c>
      <c r="K11194" s="8" t="s">
        <v>37</v>
      </c>
      <c r="L11194" s="8" t="s">
        <v>18289</v>
      </c>
      <c r="M11194" s="8" t="s">
        <v>18290</v>
      </c>
      <c r="N11194" s="8" t="s">
        <v>47530</v>
      </c>
      <c r="O11194" s="8">
        <f>12+26/60+45/3600</f>
        <v>12.445833333333333</v>
      </c>
      <c r="P11194" s="8" t="s">
        <v>47531</v>
      </c>
      <c r="Q11194" s="8">
        <f>+(27+54/60+43/3600)</f>
        <v>27.911944444444444</v>
      </c>
      <c r="R11194" s="8">
        <v>15</v>
      </c>
      <c r="S11194" s="8">
        <v>16</v>
      </c>
      <c r="T11194" s="8">
        <v>1</v>
      </c>
      <c r="U11194" s="8">
        <v>12.9</v>
      </c>
      <c r="V11194" s="8">
        <v>0.8</v>
      </c>
      <c r="W11194" s="8">
        <v>0.2</v>
      </c>
      <c r="X11194" s="8">
        <v>95</v>
      </c>
      <c r="Y11194" s="8" t="s">
        <v>37602</v>
      </c>
      <c r="Z11194" s="8" t="s">
        <v>37603</v>
      </c>
    </row>
    <row r="11195" spans="1:26" x14ac:dyDescent="0.2">
      <c r="A11195" s="8">
        <v>11194</v>
      </c>
      <c r="B11195" s="8" t="s">
        <v>47532</v>
      </c>
      <c r="C11195" s="8" t="s">
        <v>47532</v>
      </c>
      <c r="G11195" s="8">
        <v>20</v>
      </c>
      <c r="H11195" s="8" t="s">
        <v>21</v>
      </c>
      <c r="I11195" s="8" t="s">
        <v>72</v>
      </c>
      <c r="J11195" s="8" t="s">
        <v>72</v>
      </c>
      <c r="K11195" s="8" t="s">
        <v>20</v>
      </c>
      <c r="L11195" s="8" t="s">
        <v>17287</v>
      </c>
      <c r="M11195" s="8" t="s">
        <v>17288</v>
      </c>
      <c r="N11195" s="8" t="s">
        <v>47533</v>
      </c>
      <c r="O11195" s="8">
        <f>12+26/60+51.5/3600</f>
        <v>12.447638888888889</v>
      </c>
      <c r="P11195" s="8" t="s">
        <v>47534</v>
      </c>
      <c r="Q11195" s="8">
        <f>+(12+5/60+49/3600)</f>
        <v>12.096944444444444</v>
      </c>
      <c r="R11195" s="8">
        <v>99</v>
      </c>
      <c r="S11195" s="8">
        <v>99</v>
      </c>
      <c r="T11195" s="8">
        <v>99</v>
      </c>
      <c r="U11195" s="8">
        <v>99</v>
      </c>
      <c r="Y11195" s="8" t="s">
        <v>47535</v>
      </c>
      <c r="Z11195" s="8" t="s">
        <v>47536</v>
      </c>
    </row>
    <row r="11196" spans="1:26" x14ac:dyDescent="0.2">
      <c r="A11196" s="8">
        <v>11195</v>
      </c>
      <c r="B11196" s="8" t="s">
        <v>47537</v>
      </c>
      <c r="C11196" s="8" t="s">
        <v>47537</v>
      </c>
      <c r="G11196" s="8">
        <v>20</v>
      </c>
      <c r="H11196" s="8" t="s">
        <v>21</v>
      </c>
      <c r="I11196" s="8" t="s">
        <v>22</v>
      </c>
      <c r="J11196" s="8" t="s">
        <v>22</v>
      </c>
      <c r="K11196" s="8" t="s">
        <v>3616</v>
      </c>
      <c r="L11196" s="8" t="s">
        <v>17287</v>
      </c>
      <c r="M11196" s="8" t="s">
        <v>17288</v>
      </c>
      <c r="N11196" s="8" t="s">
        <v>47538</v>
      </c>
      <c r="O11196" s="8">
        <f>12+26/60+50.7/3600</f>
        <v>12.447416666666667</v>
      </c>
      <c r="P11196" s="8" t="s">
        <v>47539</v>
      </c>
      <c r="Q11196" s="8">
        <f>+(13+10/60+38/3600)</f>
        <v>13.177222222222222</v>
      </c>
      <c r="R11196" s="8">
        <v>14.9</v>
      </c>
      <c r="S11196" s="8">
        <v>15.2</v>
      </c>
      <c r="T11196" s="8">
        <v>0.3</v>
      </c>
      <c r="U11196" s="8">
        <v>14</v>
      </c>
      <c r="V11196" s="8">
        <v>1.1000000000000001</v>
      </c>
      <c r="W11196" s="8">
        <v>0.5</v>
      </c>
      <c r="X11196" s="8">
        <v>172</v>
      </c>
      <c r="Y11196" s="8" t="s">
        <v>21</v>
      </c>
      <c r="Z11196" s="8" t="s">
        <v>47540</v>
      </c>
    </row>
    <row r="11197" spans="1:26" x14ac:dyDescent="0.2">
      <c r="A11197" s="8">
        <v>11196</v>
      </c>
      <c r="B11197" s="8" t="s">
        <v>47541</v>
      </c>
      <c r="C11197" s="8" t="s">
        <v>47541</v>
      </c>
      <c r="G11197" s="8">
        <v>20</v>
      </c>
      <c r="H11197" s="8" t="s">
        <v>21</v>
      </c>
      <c r="I11197" s="8" t="s">
        <v>22</v>
      </c>
      <c r="J11197" s="8" t="s">
        <v>22</v>
      </c>
      <c r="K11197" s="8" t="s">
        <v>3616</v>
      </c>
      <c r="L11197" s="8" t="s">
        <v>17287</v>
      </c>
      <c r="M11197" s="8" t="s">
        <v>17288</v>
      </c>
      <c r="N11197" s="8" t="s">
        <v>47542</v>
      </c>
      <c r="O11197" s="8">
        <f>12+26/60+50.8/3600</f>
        <v>12.447444444444445</v>
      </c>
      <c r="P11197" s="8" t="s">
        <v>47543</v>
      </c>
      <c r="Q11197" s="8">
        <f>+(11+33/60+30/3600)</f>
        <v>11.558333333333334</v>
      </c>
      <c r="R11197" s="8">
        <v>14.6</v>
      </c>
      <c r="S11197" s="8">
        <v>15.1</v>
      </c>
      <c r="T11197" s="8">
        <v>0.5</v>
      </c>
      <c r="U11197" s="8">
        <v>14.8</v>
      </c>
      <c r="V11197" s="8">
        <v>1.5</v>
      </c>
      <c r="W11197" s="8">
        <v>0.9</v>
      </c>
      <c r="X11197" s="8">
        <v>90</v>
      </c>
      <c r="Y11197" s="8" t="s">
        <v>46677</v>
      </c>
      <c r="Z11197" s="8" t="s">
        <v>46678</v>
      </c>
    </row>
    <row r="11198" spans="1:26" x14ac:dyDescent="0.2">
      <c r="A11198" s="8">
        <v>11197</v>
      </c>
      <c r="B11198" s="8" t="s">
        <v>47544</v>
      </c>
      <c r="C11198" s="8" t="s">
        <v>47544</v>
      </c>
      <c r="G11198" s="8">
        <v>20</v>
      </c>
      <c r="H11198" s="8" t="s">
        <v>21</v>
      </c>
      <c r="I11198" s="8" t="s">
        <v>22</v>
      </c>
      <c r="J11198" s="8" t="s">
        <v>22</v>
      </c>
      <c r="K11198" s="8" t="s">
        <v>476</v>
      </c>
      <c r="L11198" s="8" t="s">
        <v>17287</v>
      </c>
      <c r="M11198" s="8" t="s">
        <v>17288</v>
      </c>
      <c r="N11198" s="8" t="s">
        <v>47545</v>
      </c>
      <c r="O11198" s="8">
        <f>12+26/60+51.4/3600</f>
        <v>12.447611111111112</v>
      </c>
      <c r="P11198" s="8" t="s">
        <v>47546</v>
      </c>
      <c r="Q11198" s="8">
        <f>+(9+46/60+39/3600)</f>
        <v>9.7775000000000016</v>
      </c>
      <c r="R11198" s="8">
        <v>14.6</v>
      </c>
      <c r="S11198" s="8">
        <v>15.4</v>
      </c>
      <c r="T11198" s="8">
        <v>0.8</v>
      </c>
      <c r="U11198" s="8">
        <v>11</v>
      </c>
      <c r="V11198" s="8">
        <v>0.4</v>
      </c>
      <c r="W11198" s="8">
        <v>0.1</v>
      </c>
      <c r="X11198" s="8">
        <v>170</v>
      </c>
      <c r="Y11198" s="8" t="s">
        <v>46674</v>
      </c>
      <c r="Z11198" s="8" t="s">
        <v>46222</v>
      </c>
    </row>
    <row r="11199" spans="1:26" x14ac:dyDescent="0.2">
      <c r="A11199" s="8">
        <v>11198</v>
      </c>
      <c r="B11199" s="8" t="s">
        <v>47547</v>
      </c>
      <c r="C11199" s="8" t="s">
        <v>47547</v>
      </c>
      <c r="G11199" s="8">
        <v>20</v>
      </c>
      <c r="H11199" s="8" t="s">
        <v>21</v>
      </c>
      <c r="I11199" s="8" t="s">
        <v>22</v>
      </c>
      <c r="J11199" s="8" t="s">
        <v>22</v>
      </c>
      <c r="K11199" s="8" t="s">
        <v>818</v>
      </c>
      <c r="L11199" s="8" t="s">
        <v>17287</v>
      </c>
      <c r="M11199" s="8" t="s">
        <v>17288</v>
      </c>
      <c r="N11199" s="8" t="s">
        <v>47548</v>
      </c>
      <c r="O11199" s="8">
        <f>12+26/60+54.4/3600</f>
        <v>12.448444444444444</v>
      </c>
      <c r="P11199" s="8" t="s">
        <v>47549</v>
      </c>
      <c r="Q11199" s="8">
        <f>+(11+39/60+48/3600)</f>
        <v>11.663333333333334</v>
      </c>
      <c r="R11199" s="8">
        <v>13.3</v>
      </c>
      <c r="S11199" s="8">
        <v>14.3</v>
      </c>
      <c r="T11199" s="8">
        <v>1</v>
      </c>
      <c r="U11199" s="8">
        <v>13.3</v>
      </c>
      <c r="V11199" s="8">
        <v>1.2</v>
      </c>
      <c r="W11199" s="8">
        <v>0.8</v>
      </c>
      <c r="X11199" s="8">
        <v>120</v>
      </c>
      <c r="Y11199" s="8" t="s">
        <v>1511</v>
      </c>
      <c r="Z11199" s="8" t="s">
        <v>1512</v>
      </c>
    </row>
    <row r="11200" spans="1:26" x14ac:dyDescent="0.2">
      <c r="A11200" s="8">
        <v>11199</v>
      </c>
      <c r="B11200" s="8" t="s">
        <v>47550</v>
      </c>
      <c r="C11200" s="8" t="s">
        <v>47550</v>
      </c>
      <c r="G11200" s="8">
        <v>20</v>
      </c>
      <c r="H11200" s="8" t="s">
        <v>21</v>
      </c>
      <c r="I11200" s="8" t="s">
        <v>22</v>
      </c>
      <c r="J11200" s="8" t="s">
        <v>22</v>
      </c>
      <c r="K11200" s="8" t="s">
        <v>476</v>
      </c>
      <c r="L11200" s="8" t="s">
        <v>18289</v>
      </c>
      <c r="M11200" s="8" t="s">
        <v>18290</v>
      </c>
      <c r="N11200" s="8" t="s">
        <v>47551</v>
      </c>
      <c r="O11200" s="8">
        <f>12+26/60+51.3/3600</f>
        <v>12.447583333333334</v>
      </c>
      <c r="P11200" s="8" t="s">
        <v>47552</v>
      </c>
      <c r="Q11200" s="8">
        <f>+(23+29/60+55/3600)</f>
        <v>23.498611111111114</v>
      </c>
      <c r="R11200" s="8">
        <v>15.4</v>
      </c>
      <c r="S11200" s="8">
        <v>16.2</v>
      </c>
      <c r="T11200" s="8">
        <v>0.8</v>
      </c>
      <c r="U11200" s="8">
        <v>13.2</v>
      </c>
      <c r="V11200" s="8">
        <v>0.5</v>
      </c>
      <c r="W11200" s="8">
        <v>0.3</v>
      </c>
      <c r="X11200" s="8">
        <v>60</v>
      </c>
      <c r="Y11200" s="8" t="s">
        <v>47553</v>
      </c>
      <c r="Z11200" s="8" t="s">
        <v>47554</v>
      </c>
    </row>
    <row r="11201" spans="1:26" x14ac:dyDescent="0.2">
      <c r="A11201" s="8">
        <v>11200</v>
      </c>
      <c r="B11201" s="8" t="s">
        <v>47555</v>
      </c>
      <c r="C11201" s="8" t="s">
        <v>47555</v>
      </c>
      <c r="G11201" s="8">
        <v>20</v>
      </c>
      <c r="H11201" s="8" t="s">
        <v>21</v>
      </c>
      <c r="I11201" s="8" t="s">
        <v>72</v>
      </c>
      <c r="J11201" s="8" t="s">
        <v>72</v>
      </c>
      <c r="K11201" s="8" t="s">
        <v>20</v>
      </c>
      <c r="L11201" s="8" t="s">
        <v>18289</v>
      </c>
      <c r="M11201" s="8" t="s">
        <v>18290</v>
      </c>
      <c r="N11201" s="8" t="s">
        <v>47556</v>
      </c>
      <c r="O11201" s="8">
        <f>12+26/60+50.9/3600</f>
        <v>12.447472222222222</v>
      </c>
      <c r="P11201" s="8" t="s">
        <v>47557</v>
      </c>
      <c r="Q11201" s="8">
        <f>+(26+2/60+46/3600)</f>
        <v>26.046111111111113</v>
      </c>
      <c r="R11201" s="8">
        <v>99</v>
      </c>
      <c r="S11201" s="8">
        <v>15</v>
      </c>
      <c r="T11201" s="8">
        <v>99</v>
      </c>
      <c r="U11201" s="8">
        <v>99</v>
      </c>
      <c r="Y11201" s="8" t="s">
        <v>47337</v>
      </c>
      <c r="Z11201" s="8" t="s">
        <v>47338</v>
      </c>
    </row>
    <row r="11202" spans="1:26" x14ac:dyDescent="0.2">
      <c r="A11202" s="8">
        <v>11201</v>
      </c>
      <c r="B11202" s="8" t="s">
        <v>47558</v>
      </c>
      <c r="C11202" s="8" t="s">
        <v>47558</v>
      </c>
      <c r="G11202" s="8">
        <v>20</v>
      </c>
      <c r="H11202" s="8" t="s">
        <v>21</v>
      </c>
      <c r="I11202" s="8" t="s">
        <v>22</v>
      </c>
      <c r="J11202" s="8" t="s">
        <v>22</v>
      </c>
      <c r="K11202" s="8" t="s">
        <v>818</v>
      </c>
      <c r="L11202" s="8" t="s">
        <v>17287</v>
      </c>
      <c r="M11202" s="8" t="s">
        <v>17288</v>
      </c>
      <c r="N11202" s="8" t="s">
        <v>47559</v>
      </c>
      <c r="O11202" s="8">
        <f>12+26/60+54.5/3600</f>
        <v>12.448472222222222</v>
      </c>
      <c r="P11202" s="8" t="s">
        <v>47560</v>
      </c>
      <c r="Q11202" s="8">
        <f>+(10+39/60+55/3600)</f>
        <v>10.665277777777778</v>
      </c>
      <c r="R11202" s="8">
        <v>14.3</v>
      </c>
      <c r="S11202" s="8">
        <v>15.3</v>
      </c>
      <c r="T11202" s="8">
        <v>1</v>
      </c>
      <c r="U11202" s="8">
        <v>13.4</v>
      </c>
      <c r="V11202" s="8">
        <v>0.8</v>
      </c>
      <c r="W11202" s="8">
        <v>0.5</v>
      </c>
      <c r="X11202" s="8">
        <v>120</v>
      </c>
      <c r="Y11202" s="8" t="s">
        <v>46718</v>
      </c>
      <c r="Z11202" s="8" t="s">
        <v>46719</v>
      </c>
    </row>
    <row r="11203" spans="1:26" x14ac:dyDescent="0.2">
      <c r="A11203" s="8">
        <v>11202</v>
      </c>
      <c r="B11203" s="8" t="s">
        <v>47561</v>
      </c>
      <c r="C11203" s="8" t="s">
        <v>47561</v>
      </c>
      <c r="G11203" s="8">
        <v>20</v>
      </c>
      <c r="H11203" s="8" t="s">
        <v>21</v>
      </c>
      <c r="I11203" s="8" t="s">
        <v>22</v>
      </c>
      <c r="J11203" s="8" t="s">
        <v>22</v>
      </c>
      <c r="K11203" s="8" t="s">
        <v>37858</v>
      </c>
      <c r="L11203" s="8" t="s">
        <v>18289</v>
      </c>
      <c r="M11203" s="8" t="s">
        <v>18290</v>
      </c>
      <c r="N11203" s="8" t="s">
        <v>47562</v>
      </c>
      <c r="O11203" s="8">
        <f>12+26/60+54.3/3600</f>
        <v>12.448416666666667</v>
      </c>
      <c r="P11203" s="8" t="s">
        <v>47563</v>
      </c>
      <c r="Q11203" s="8">
        <f>+(26+41/60+26/3600)</f>
        <v>26.690555555555555</v>
      </c>
      <c r="R11203" s="8">
        <v>15.8</v>
      </c>
      <c r="S11203" s="8">
        <v>16.600000000000001</v>
      </c>
      <c r="T11203" s="8">
        <v>0.8</v>
      </c>
      <c r="U11203" s="8">
        <v>14.1</v>
      </c>
      <c r="V11203" s="8">
        <v>0.5</v>
      </c>
      <c r="W11203" s="8">
        <v>0.5</v>
      </c>
      <c r="Y11203" s="8" t="s">
        <v>47564</v>
      </c>
      <c r="Z11203" s="8" t="s">
        <v>47565</v>
      </c>
    </row>
    <row r="11204" spans="1:26" x14ac:dyDescent="0.2">
      <c r="A11204" s="8">
        <v>11203</v>
      </c>
      <c r="B11204" s="8" t="s">
        <v>47566</v>
      </c>
      <c r="C11204" s="8" t="s">
        <v>47566</v>
      </c>
      <c r="G11204" s="8">
        <v>20</v>
      </c>
      <c r="H11204" s="8" t="s">
        <v>21</v>
      </c>
      <c r="I11204" s="8" t="s">
        <v>22</v>
      </c>
      <c r="J11204" s="8" t="s">
        <v>22</v>
      </c>
      <c r="K11204" s="8" t="s">
        <v>818</v>
      </c>
      <c r="L11204" s="8" t="s">
        <v>17287</v>
      </c>
      <c r="M11204" s="8" t="s">
        <v>17288</v>
      </c>
      <c r="N11204" s="8" t="s">
        <v>47567</v>
      </c>
      <c r="O11204" s="8">
        <f>12+27/60+3/3600</f>
        <v>12.450833333333332</v>
      </c>
      <c r="P11204" s="8" t="s">
        <v>47568</v>
      </c>
      <c r="Q11204" s="8">
        <f>+(12+33/60+40/3600)</f>
        <v>12.561111111111112</v>
      </c>
      <c r="R11204" s="8">
        <v>14.3</v>
      </c>
      <c r="S11204" s="8">
        <v>15.3</v>
      </c>
      <c r="T11204" s="8">
        <v>1</v>
      </c>
      <c r="U11204" s="8">
        <v>13.6</v>
      </c>
      <c r="V11204" s="8">
        <v>1.3</v>
      </c>
      <c r="W11204" s="8">
        <v>0.4</v>
      </c>
      <c r="X11204" s="8">
        <v>126</v>
      </c>
      <c r="Y11204" s="8" t="s">
        <v>47384</v>
      </c>
      <c r="Z11204" s="8" t="s">
        <v>47385</v>
      </c>
    </row>
    <row r="11205" spans="1:26" x14ac:dyDescent="0.2">
      <c r="A11205" s="8">
        <v>11204</v>
      </c>
      <c r="B11205" s="8" t="s">
        <v>47569</v>
      </c>
      <c r="C11205" s="8" t="s">
        <v>47569</v>
      </c>
      <c r="G11205" s="8">
        <v>20</v>
      </c>
      <c r="H11205" s="8" t="s">
        <v>21</v>
      </c>
      <c r="I11205" s="8" t="s">
        <v>22</v>
      </c>
      <c r="J11205" s="8" t="s">
        <v>22</v>
      </c>
      <c r="K11205" s="8" t="s">
        <v>124</v>
      </c>
      <c r="L11205" s="8" t="s">
        <v>18289</v>
      </c>
      <c r="M11205" s="8" t="s">
        <v>18290</v>
      </c>
      <c r="N11205" s="8" t="s">
        <v>47570</v>
      </c>
      <c r="O11205" s="8">
        <f>12+27/60+4.7/3600</f>
        <v>12.451305555555555</v>
      </c>
      <c r="P11205" s="8" t="s">
        <v>47571</v>
      </c>
      <c r="Q11205" s="8">
        <f>+(25+33/60+48/3600)</f>
        <v>25.563333333333333</v>
      </c>
      <c r="R11205" s="8">
        <v>15.7</v>
      </c>
      <c r="S11205" s="8">
        <v>16.5</v>
      </c>
      <c r="T11205" s="8">
        <v>0.8</v>
      </c>
      <c r="U11205" s="8">
        <v>12.8</v>
      </c>
      <c r="V11205" s="8">
        <v>0.4</v>
      </c>
      <c r="W11205" s="8">
        <v>0.2</v>
      </c>
      <c r="X11205" s="8">
        <v>90</v>
      </c>
      <c r="Y11205" s="8" t="s">
        <v>115</v>
      </c>
      <c r="Z11205" s="8" t="s">
        <v>116</v>
      </c>
    </row>
    <row r="11206" spans="1:26" x14ac:dyDescent="0.2">
      <c r="A11206" s="8">
        <v>11205</v>
      </c>
      <c r="B11206" s="8" t="s">
        <v>47572</v>
      </c>
      <c r="C11206" s="8" t="s">
        <v>47572</v>
      </c>
      <c r="G11206" s="8">
        <v>20</v>
      </c>
      <c r="H11206" s="8" t="s">
        <v>21</v>
      </c>
      <c r="I11206" s="8" t="s">
        <v>22</v>
      </c>
      <c r="J11206" s="8" t="s">
        <v>22</v>
      </c>
      <c r="K11206" s="8" t="s">
        <v>3616</v>
      </c>
      <c r="L11206" s="8" t="s">
        <v>18289</v>
      </c>
      <c r="M11206" s="8" t="s">
        <v>18290</v>
      </c>
      <c r="N11206" s="8" t="s">
        <v>47573</v>
      </c>
      <c r="O11206" s="8">
        <f>12+27/60+11.5/3600</f>
        <v>12.453194444444444</v>
      </c>
      <c r="P11206" s="8" t="s">
        <v>47574</v>
      </c>
      <c r="Q11206" s="8">
        <f>+(15+53/60+49/3600)</f>
        <v>15.896944444444443</v>
      </c>
      <c r="R11206" s="8">
        <v>13.6</v>
      </c>
      <c r="S11206" s="8">
        <v>14.2</v>
      </c>
      <c r="T11206" s="8">
        <v>0.6</v>
      </c>
      <c r="U11206" s="8">
        <v>13.6</v>
      </c>
      <c r="V11206" s="8">
        <v>1.7</v>
      </c>
      <c r="W11206" s="8">
        <v>0.7</v>
      </c>
      <c r="X11206" s="8">
        <v>72</v>
      </c>
      <c r="Y11206" s="8" t="s">
        <v>21</v>
      </c>
      <c r="Z11206" s="8" t="s">
        <v>47575</v>
      </c>
    </row>
    <row r="11207" spans="1:26" x14ac:dyDescent="0.2">
      <c r="A11207" s="8">
        <v>11206</v>
      </c>
      <c r="B11207" s="8" t="s">
        <v>47576</v>
      </c>
      <c r="C11207" s="8" t="s">
        <v>47576</v>
      </c>
      <c r="G11207" s="8">
        <v>20</v>
      </c>
      <c r="H11207" s="8" t="s">
        <v>21</v>
      </c>
      <c r="I11207" s="8" t="s">
        <v>22</v>
      </c>
      <c r="J11207" s="8" t="s">
        <v>22</v>
      </c>
      <c r="K11207" s="8" t="s">
        <v>449</v>
      </c>
      <c r="L11207" s="8" t="s">
        <v>17287</v>
      </c>
      <c r="M11207" s="8" t="s">
        <v>17288</v>
      </c>
      <c r="N11207" s="8" t="s">
        <v>47577</v>
      </c>
      <c r="O11207" s="8">
        <f>12+27/60+12.1/3600</f>
        <v>12.453361111111111</v>
      </c>
      <c r="P11207" s="8" t="s">
        <v>47578</v>
      </c>
      <c r="Q11207" s="8">
        <f>+(9+24/60+36/3600)</f>
        <v>9.41</v>
      </c>
      <c r="R11207" s="8">
        <v>15.2</v>
      </c>
      <c r="S11207" s="8">
        <v>16</v>
      </c>
      <c r="T11207" s="8">
        <v>0.8</v>
      </c>
      <c r="U11207" s="8">
        <v>12</v>
      </c>
      <c r="V11207" s="8">
        <v>0.3</v>
      </c>
      <c r="W11207" s="8">
        <v>0.2</v>
      </c>
      <c r="X11207" s="8">
        <v>165</v>
      </c>
      <c r="Y11207" s="8" t="s">
        <v>282</v>
      </c>
      <c r="Z11207" s="8" t="s">
        <v>283</v>
      </c>
    </row>
    <row r="11208" spans="1:26" x14ac:dyDescent="0.2">
      <c r="A11208" s="8">
        <v>11207</v>
      </c>
      <c r="B11208" s="8" t="s">
        <v>47579</v>
      </c>
      <c r="C11208" s="8" t="s">
        <v>47579</v>
      </c>
      <c r="G11208" s="8">
        <v>20</v>
      </c>
      <c r="H11208" s="8" t="s">
        <v>21</v>
      </c>
      <c r="I11208" s="8" t="s">
        <v>22</v>
      </c>
      <c r="J11208" s="8" t="s">
        <v>22</v>
      </c>
      <c r="K11208" s="8" t="s">
        <v>424</v>
      </c>
      <c r="L11208" s="8" t="s">
        <v>18289</v>
      </c>
      <c r="M11208" s="8" t="s">
        <v>18290</v>
      </c>
      <c r="N11208" s="8" t="s">
        <v>47580</v>
      </c>
      <c r="O11208" s="8">
        <f>12+27/60+10/3600</f>
        <v>12.452777777777778</v>
      </c>
      <c r="P11208" s="8" t="s">
        <v>47581</v>
      </c>
      <c r="Q11208" s="8">
        <f>+(26+57/60+28/3600)</f>
        <v>26.957777777777778</v>
      </c>
      <c r="R11208" s="8">
        <v>14.6</v>
      </c>
      <c r="S11208" s="8">
        <v>15.6</v>
      </c>
      <c r="T11208" s="8">
        <v>1</v>
      </c>
      <c r="U11208" s="8">
        <v>13.6</v>
      </c>
      <c r="V11208" s="8">
        <v>0.9</v>
      </c>
      <c r="W11208" s="8">
        <v>0.5</v>
      </c>
      <c r="Y11208" s="8" t="s">
        <v>21</v>
      </c>
      <c r="Z11208" s="8" t="s">
        <v>47582</v>
      </c>
    </row>
    <row r="11209" spans="1:26" x14ac:dyDescent="0.2">
      <c r="A11209" s="8">
        <v>11208</v>
      </c>
      <c r="B11209" s="8" t="s">
        <v>47583</v>
      </c>
      <c r="C11209" s="8" t="s">
        <v>47583</v>
      </c>
      <c r="G11209" s="8">
        <v>20</v>
      </c>
      <c r="H11209" s="8" t="s">
        <v>21</v>
      </c>
      <c r="I11209" s="8" t="s">
        <v>22</v>
      </c>
      <c r="J11209" s="8" t="s">
        <v>22</v>
      </c>
      <c r="K11209" s="8" t="s">
        <v>818</v>
      </c>
      <c r="L11209" s="8" t="s">
        <v>18289</v>
      </c>
      <c r="M11209" s="8" t="s">
        <v>18290</v>
      </c>
      <c r="N11209" s="8" t="s">
        <v>47584</v>
      </c>
      <c r="O11209" s="8">
        <f>12+27/60+20.5/3600</f>
        <v>12.455694444444443</v>
      </c>
      <c r="P11209" s="8" t="s">
        <v>47585</v>
      </c>
      <c r="Q11209" s="8">
        <f>+(16+25/60+38/3600)</f>
        <v>16.427222222222223</v>
      </c>
      <c r="R11209" s="8">
        <v>15</v>
      </c>
      <c r="S11209" s="8">
        <v>16</v>
      </c>
      <c r="T11209" s="8">
        <v>1</v>
      </c>
      <c r="U11209" s="8">
        <v>13.9</v>
      </c>
      <c r="V11209" s="8">
        <v>0.7</v>
      </c>
      <c r="W11209" s="8">
        <v>0.5</v>
      </c>
      <c r="X11209" s="8">
        <v>130</v>
      </c>
      <c r="Y11209" s="8" t="s">
        <v>47586</v>
      </c>
      <c r="Z11209" s="8" t="s">
        <v>47587</v>
      </c>
    </row>
    <row r="11210" spans="1:26" x14ac:dyDescent="0.2">
      <c r="A11210" s="8">
        <v>11209</v>
      </c>
      <c r="B11210" s="8" t="s">
        <v>47588</v>
      </c>
      <c r="C11210" s="8" t="s">
        <v>47588</v>
      </c>
      <c r="G11210" s="8">
        <v>20</v>
      </c>
      <c r="H11210" s="8" t="s">
        <v>21</v>
      </c>
      <c r="I11210" s="8" t="s">
        <v>22</v>
      </c>
      <c r="J11210" s="8" t="s">
        <v>22</v>
      </c>
      <c r="K11210" s="8" t="s">
        <v>818</v>
      </c>
      <c r="L11210" s="8" t="s">
        <v>18289</v>
      </c>
      <c r="M11210" s="8" t="s">
        <v>18290</v>
      </c>
      <c r="N11210" s="8" t="s">
        <v>47589</v>
      </c>
      <c r="O11210" s="8">
        <f>12+27/60+16.9/3600</f>
        <v>12.454694444444444</v>
      </c>
      <c r="P11210" s="8" t="s">
        <v>47590</v>
      </c>
      <c r="Q11210" s="8">
        <f>+(16+1/60+29/3600)</f>
        <v>16.02472222222222</v>
      </c>
      <c r="R11210" s="8">
        <v>14.1</v>
      </c>
      <c r="S11210" s="8">
        <v>15.1</v>
      </c>
      <c r="T11210" s="8">
        <v>1</v>
      </c>
      <c r="U11210" s="8">
        <v>12.6</v>
      </c>
      <c r="V11210" s="8">
        <v>0.6</v>
      </c>
      <c r="W11210" s="8">
        <v>0.4</v>
      </c>
      <c r="X11210" s="8">
        <v>130</v>
      </c>
      <c r="Y11210" s="8" t="s">
        <v>47591</v>
      </c>
      <c r="Z11210" s="8" t="s">
        <v>47592</v>
      </c>
    </row>
    <row r="11211" spans="1:26" x14ac:dyDescent="0.2">
      <c r="A11211" s="8">
        <v>11210</v>
      </c>
      <c r="B11211" s="8" t="s">
        <v>47593</v>
      </c>
      <c r="C11211" s="8" t="s">
        <v>47593</v>
      </c>
      <c r="G11211" s="8">
        <v>13</v>
      </c>
      <c r="H11211" s="8" t="s">
        <v>21</v>
      </c>
      <c r="I11211" s="8" t="s">
        <v>22</v>
      </c>
      <c r="J11211" s="8" t="s">
        <v>22</v>
      </c>
      <c r="K11211" s="8" t="s">
        <v>1136</v>
      </c>
      <c r="L11211" s="8" t="s">
        <v>16195</v>
      </c>
      <c r="M11211" s="8" t="s">
        <v>16196</v>
      </c>
      <c r="N11211" s="8" t="s">
        <v>47594</v>
      </c>
      <c r="O11211" s="8">
        <f>12+27/60+37.2/3600</f>
        <v>12.460333333333333</v>
      </c>
      <c r="P11211" s="8" t="s">
        <v>47595</v>
      </c>
      <c r="Q11211" s="8">
        <f>-(39+20/60+16/3600)</f>
        <v>-39.337777777777781</v>
      </c>
      <c r="R11211" s="8">
        <v>11</v>
      </c>
      <c r="S11211" s="8">
        <v>12</v>
      </c>
      <c r="T11211" s="8">
        <v>1</v>
      </c>
      <c r="U11211" s="8">
        <v>13.1</v>
      </c>
      <c r="V11211" s="8">
        <v>2.1</v>
      </c>
      <c r="W11211" s="8">
        <v>1.6</v>
      </c>
      <c r="X11211" s="8">
        <v>45</v>
      </c>
      <c r="Y11211" s="8" t="s">
        <v>21</v>
      </c>
      <c r="Z11211" s="8" t="s">
        <v>47596</v>
      </c>
    </row>
    <row r="11212" spans="1:26" x14ac:dyDescent="0.2">
      <c r="A11212" s="8">
        <v>11211</v>
      </c>
      <c r="B11212" s="8" t="s">
        <v>47597</v>
      </c>
      <c r="C11212" s="8" t="s">
        <v>47597</v>
      </c>
      <c r="G11212" s="8">
        <v>20</v>
      </c>
      <c r="H11212" s="8" t="s">
        <v>21</v>
      </c>
      <c r="I11212" s="8" t="s">
        <v>22</v>
      </c>
      <c r="J11212" s="8" t="s">
        <v>22</v>
      </c>
      <c r="K11212" s="8" t="s">
        <v>160</v>
      </c>
      <c r="L11212" s="8" t="s">
        <v>17287</v>
      </c>
      <c r="M11212" s="8" t="s">
        <v>17288</v>
      </c>
      <c r="N11212" s="8" t="s">
        <v>47598</v>
      </c>
      <c r="O11212" s="8">
        <f>12+27/60+22.2/3600</f>
        <v>12.456166666666666</v>
      </c>
      <c r="P11212" s="8" t="s">
        <v>47599</v>
      </c>
      <c r="Q11212" s="8">
        <f>+(10+52/60+0/3600)</f>
        <v>10.866666666666667</v>
      </c>
      <c r="R11212" s="8">
        <v>14.7</v>
      </c>
      <c r="S11212" s="8">
        <v>15.4</v>
      </c>
      <c r="T11212" s="8">
        <v>0.7</v>
      </c>
      <c r="U11212" s="8">
        <v>13.4</v>
      </c>
      <c r="V11212" s="8">
        <v>1.8</v>
      </c>
      <c r="W11212" s="8">
        <v>0.2</v>
      </c>
      <c r="X11212" s="8">
        <v>55</v>
      </c>
      <c r="Y11212" s="8" t="s">
        <v>21</v>
      </c>
      <c r="Z11212" s="8" t="s">
        <v>47600</v>
      </c>
    </row>
    <row r="11213" spans="1:26" x14ac:dyDescent="0.2">
      <c r="A11213" s="8">
        <v>11212</v>
      </c>
      <c r="B11213" s="8" t="s">
        <v>47601</v>
      </c>
      <c r="C11213" s="8" t="s">
        <v>47601</v>
      </c>
      <c r="G11213" s="8">
        <v>20</v>
      </c>
      <c r="H11213" s="8" t="s">
        <v>21</v>
      </c>
      <c r="I11213" s="8" t="s">
        <v>72</v>
      </c>
      <c r="J11213" s="8" t="s">
        <v>72</v>
      </c>
      <c r="K11213" s="8" t="s">
        <v>20</v>
      </c>
      <c r="L11213" s="8" t="s">
        <v>18289</v>
      </c>
      <c r="M11213" s="8" t="s">
        <v>18290</v>
      </c>
      <c r="N11213" s="8" t="s">
        <v>47602</v>
      </c>
      <c r="O11213" s="8">
        <f>12+27/60+24.8/3600</f>
        <v>12.456888888888889</v>
      </c>
      <c r="P11213" s="8" t="s">
        <v>47007</v>
      </c>
      <c r="Q11213" s="8">
        <f>+(25+17/60+12/3600)</f>
        <v>25.286666666666669</v>
      </c>
      <c r="R11213" s="8">
        <v>99</v>
      </c>
      <c r="S11213" s="8">
        <v>14.6</v>
      </c>
      <c r="T11213" s="8">
        <v>99</v>
      </c>
      <c r="U11213" s="8">
        <v>99</v>
      </c>
      <c r="Y11213" s="8" t="s">
        <v>47603</v>
      </c>
      <c r="Z11213" s="8" t="s">
        <v>47604</v>
      </c>
    </row>
    <row r="11214" spans="1:26" x14ac:dyDescent="0.2">
      <c r="A11214" s="8">
        <v>11213</v>
      </c>
      <c r="B11214" s="8" t="s">
        <v>47605</v>
      </c>
      <c r="C11214" s="8" t="s">
        <v>47605</v>
      </c>
      <c r="G11214" s="8">
        <v>20</v>
      </c>
      <c r="H11214" s="8" t="s">
        <v>21</v>
      </c>
      <c r="I11214" s="8" t="s">
        <v>22</v>
      </c>
      <c r="J11214" s="8" t="s">
        <v>22</v>
      </c>
      <c r="K11214" s="8" t="s">
        <v>449</v>
      </c>
      <c r="L11214" s="8" t="s">
        <v>18289</v>
      </c>
      <c r="M11214" s="8" t="s">
        <v>18290</v>
      </c>
      <c r="N11214" s="8" t="s">
        <v>47606</v>
      </c>
      <c r="O11214" s="8">
        <f>12+27/60+27.7/3600</f>
        <v>12.457694444444444</v>
      </c>
      <c r="P11214" s="8" t="s">
        <v>47607</v>
      </c>
      <c r="Q11214" s="8">
        <f>+(25+27/60+11/3600)</f>
        <v>25.453055555555554</v>
      </c>
      <c r="R11214" s="8">
        <v>15.7</v>
      </c>
      <c r="S11214" s="8">
        <v>16.5</v>
      </c>
      <c r="T11214" s="8">
        <v>0.8</v>
      </c>
      <c r="U11214" s="8">
        <v>13.5</v>
      </c>
      <c r="V11214" s="8">
        <v>0.5</v>
      </c>
      <c r="W11214" s="8">
        <v>0.3</v>
      </c>
      <c r="X11214" s="8">
        <v>90</v>
      </c>
      <c r="Y11214" s="8" t="s">
        <v>44821</v>
      </c>
      <c r="Z11214" s="8" t="s">
        <v>44822</v>
      </c>
    </row>
    <row r="11215" spans="1:26" x14ac:dyDescent="0.2">
      <c r="A11215" s="8">
        <v>11214</v>
      </c>
      <c r="B11215" s="8" t="s">
        <v>47608</v>
      </c>
      <c r="C11215" s="8" t="s">
        <v>47608</v>
      </c>
      <c r="G11215" s="8">
        <v>20</v>
      </c>
      <c r="H11215" s="8" t="s">
        <v>21</v>
      </c>
      <c r="I11215" s="8" t="s">
        <v>22</v>
      </c>
      <c r="J11215" s="8" t="s">
        <v>22</v>
      </c>
      <c r="K11215" s="8" t="s">
        <v>47609</v>
      </c>
      <c r="L11215" s="8" t="s">
        <v>17287</v>
      </c>
      <c r="M11215" s="8" t="s">
        <v>17288</v>
      </c>
      <c r="N11215" s="8" t="s">
        <v>47610</v>
      </c>
      <c r="O11215" s="8">
        <f>12+27/60+33.4/3600</f>
        <v>12.459277777777777</v>
      </c>
      <c r="P11215" s="8" t="s">
        <v>47611</v>
      </c>
      <c r="Q11215" s="8">
        <f>+(10+0/60+14/3600)</f>
        <v>10.003888888888889</v>
      </c>
      <c r="R11215" s="8">
        <v>14.5</v>
      </c>
      <c r="S11215" s="8">
        <v>15.3</v>
      </c>
      <c r="T11215" s="8">
        <v>0.8</v>
      </c>
      <c r="U11215" s="8">
        <v>13.2</v>
      </c>
      <c r="V11215" s="8">
        <v>0.7</v>
      </c>
      <c r="W11215" s="8">
        <v>0.5</v>
      </c>
      <c r="X11215" s="8">
        <v>30</v>
      </c>
      <c r="Y11215" s="8" t="s">
        <v>46718</v>
      </c>
      <c r="Z11215" s="8" t="s">
        <v>46719</v>
      </c>
    </row>
    <row r="11216" spans="1:26" x14ac:dyDescent="0.2">
      <c r="A11216" s="8">
        <v>11215</v>
      </c>
      <c r="B11216" s="8" t="s">
        <v>47612</v>
      </c>
      <c r="C11216" s="8" t="s">
        <v>47612</v>
      </c>
      <c r="G11216" s="8">
        <v>20</v>
      </c>
      <c r="H11216" s="8" t="s">
        <v>21</v>
      </c>
      <c r="I11216" s="8" t="s">
        <v>72</v>
      </c>
      <c r="J11216" s="8" t="s">
        <v>72</v>
      </c>
      <c r="K11216" s="8" t="s">
        <v>20</v>
      </c>
      <c r="L11216" s="8" t="s">
        <v>18289</v>
      </c>
      <c r="M11216" s="8" t="s">
        <v>18290</v>
      </c>
      <c r="N11216" s="8" t="s">
        <v>47613</v>
      </c>
      <c r="O11216" s="8">
        <f>12+27/60+40.2/3600</f>
        <v>12.461166666666665</v>
      </c>
      <c r="P11216" s="8" t="s">
        <v>47614</v>
      </c>
      <c r="Q11216" s="8">
        <f>+(27+21/60+54/3600)</f>
        <v>27.365000000000002</v>
      </c>
      <c r="R11216" s="8">
        <v>99</v>
      </c>
      <c r="S11216" s="8">
        <v>99</v>
      </c>
      <c r="T11216" s="8">
        <v>99</v>
      </c>
      <c r="U11216" s="8">
        <v>99</v>
      </c>
      <c r="Y11216" s="8" t="s">
        <v>47615</v>
      </c>
      <c r="Z11216" s="8" t="s">
        <v>47616</v>
      </c>
    </row>
    <row r="11217" spans="1:26" x14ac:dyDescent="0.2">
      <c r="A11217" s="8">
        <v>11216</v>
      </c>
      <c r="B11217" s="8" t="s">
        <v>47617</v>
      </c>
      <c r="C11217" s="8" t="s">
        <v>47617</v>
      </c>
      <c r="G11217" s="8">
        <v>20</v>
      </c>
      <c r="H11217" s="8" t="s">
        <v>21</v>
      </c>
      <c r="I11217" s="8" t="s">
        <v>22</v>
      </c>
      <c r="J11217" s="8" t="s">
        <v>22</v>
      </c>
      <c r="K11217" s="8" t="s">
        <v>154</v>
      </c>
      <c r="L11217" s="8" t="s">
        <v>18289</v>
      </c>
      <c r="M11217" s="8" t="s">
        <v>18290</v>
      </c>
      <c r="N11217" s="8" t="s">
        <v>47618</v>
      </c>
      <c r="O11217" s="8">
        <f>12+27/60+50.2/3600</f>
        <v>12.463944444444444</v>
      </c>
      <c r="P11217" s="8" t="s">
        <v>47619</v>
      </c>
      <c r="Q11217" s="8">
        <f>+(26+59/60+37/3600)</f>
        <v>26.993611111111111</v>
      </c>
      <c r="R11217" s="8">
        <v>12.9</v>
      </c>
      <c r="S11217" s="8">
        <v>13.8</v>
      </c>
      <c r="T11217" s="8">
        <v>0.9</v>
      </c>
      <c r="U11217" s="8">
        <v>13.6</v>
      </c>
      <c r="V11217" s="8">
        <v>1.7</v>
      </c>
      <c r="W11217" s="8">
        <v>1.3</v>
      </c>
      <c r="X11217" s="8">
        <v>60</v>
      </c>
      <c r="Y11217" s="8" t="s">
        <v>121</v>
      </c>
      <c r="Z11217" s="8" t="s">
        <v>122</v>
      </c>
    </row>
    <row r="11218" spans="1:26" x14ac:dyDescent="0.2">
      <c r="A11218" s="8">
        <v>11217</v>
      </c>
      <c r="B11218" s="8" t="s">
        <v>47620</v>
      </c>
      <c r="C11218" s="8" t="s">
        <v>47620</v>
      </c>
      <c r="G11218" s="8">
        <v>20</v>
      </c>
      <c r="H11218" s="8" t="s">
        <v>21</v>
      </c>
      <c r="I11218" s="8" t="s">
        <v>22</v>
      </c>
      <c r="J11218" s="8" t="s">
        <v>22</v>
      </c>
      <c r="K11218" s="8" t="s">
        <v>382</v>
      </c>
      <c r="L11218" s="8" t="s">
        <v>18289</v>
      </c>
      <c r="M11218" s="8" t="s">
        <v>18290</v>
      </c>
      <c r="N11218" s="8" t="s">
        <v>47621</v>
      </c>
      <c r="O11218" s="8">
        <f>12+27/60+51.9/3600</f>
        <v>12.464416666666667</v>
      </c>
      <c r="P11218" s="8" t="s">
        <v>47622</v>
      </c>
      <c r="Q11218" s="8">
        <f>+(24+56/60+34/3600)</f>
        <v>24.942777777777778</v>
      </c>
      <c r="R11218" s="8">
        <v>15.2</v>
      </c>
      <c r="S11218" s="8">
        <v>16.2</v>
      </c>
      <c r="T11218" s="8">
        <v>1</v>
      </c>
      <c r="U11218" s="8">
        <v>12.2</v>
      </c>
      <c r="V11218" s="8">
        <v>0.3</v>
      </c>
      <c r="W11218" s="8">
        <v>0.2</v>
      </c>
      <c r="X11218" s="8">
        <v>140</v>
      </c>
      <c r="Y11218" s="8" t="s">
        <v>18110</v>
      </c>
      <c r="Z11218" s="8" t="s">
        <v>18111</v>
      </c>
    </row>
    <row r="11219" spans="1:26" x14ac:dyDescent="0.2">
      <c r="A11219" s="8">
        <v>11218</v>
      </c>
      <c r="B11219" s="8" t="s">
        <v>47623</v>
      </c>
      <c r="C11219" s="8" t="s">
        <v>47623</v>
      </c>
      <c r="G11219" s="8">
        <v>20</v>
      </c>
      <c r="H11219" s="8" t="s">
        <v>21</v>
      </c>
      <c r="I11219" s="8" t="s">
        <v>22</v>
      </c>
      <c r="J11219" s="8" t="s">
        <v>22</v>
      </c>
      <c r="K11219" s="8" t="s">
        <v>382</v>
      </c>
      <c r="L11219" s="8" t="s">
        <v>18289</v>
      </c>
      <c r="M11219" s="8" t="s">
        <v>18290</v>
      </c>
      <c r="N11219" s="8" t="s">
        <v>47624</v>
      </c>
      <c r="O11219" s="8">
        <f>12+28/60+1.5/3600</f>
        <v>12.467083333333333</v>
      </c>
      <c r="P11219" s="8" t="s">
        <v>47625</v>
      </c>
      <c r="Q11219" s="8">
        <f>+(17+17/60+46/3600)</f>
        <v>17.296111111111113</v>
      </c>
      <c r="R11219" s="8">
        <v>15</v>
      </c>
      <c r="S11219" s="8">
        <v>16</v>
      </c>
      <c r="T11219" s="8">
        <v>1</v>
      </c>
      <c r="U11219" s="8">
        <v>12.8</v>
      </c>
      <c r="V11219" s="8">
        <v>0.4</v>
      </c>
      <c r="W11219" s="8">
        <v>0.3</v>
      </c>
      <c r="X11219" s="8">
        <v>170</v>
      </c>
      <c r="Y11219" s="8" t="s">
        <v>47626</v>
      </c>
      <c r="Z11219" s="8" t="s">
        <v>47627</v>
      </c>
    </row>
    <row r="11220" spans="1:26" x14ac:dyDescent="0.2">
      <c r="A11220" s="8">
        <v>11219</v>
      </c>
      <c r="B11220" s="8" t="s">
        <v>47628</v>
      </c>
      <c r="C11220" s="8" t="s">
        <v>47628</v>
      </c>
      <c r="G11220" s="8">
        <v>20</v>
      </c>
      <c r="H11220" s="8" t="s">
        <v>21</v>
      </c>
      <c r="I11220" s="8" t="s">
        <v>22</v>
      </c>
      <c r="J11220" s="8" t="s">
        <v>22</v>
      </c>
      <c r="K11220" s="8" t="s">
        <v>476</v>
      </c>
      <c r="L11220" s="8" t="s">
        <v>18289</v>
      </c>
      <c r="M11220" s="8" t="s">
        <v>18290</v>
      </c>
      <c r="N11220" s="8" t="s">
        <v>47629</v>
      </c>
      <c r="O11220" s="8">
        <f>12+28/60+4.2/3600</f>
        <v>12.467833333333333</v>
      </c>
      <c r="P11220" s="8" t="s">
        <v>47630</v>
      </c>
      <c r="Q11220" s="8">
        <f>+(17+18/60+21/3600)</f>
        <v>17.305833333333332</v>
      </c>
      <c r="R11220" s="8">
        <v>15.2</v>
      </c>
      <c r="S11220" s="8">
        <v>16</v>
      </c>
      <c r="T11220" s="8">
        <v>0.8</v>
      </c>
      <c r="U11220" s="8">
        <v>13.2</v>
      </c>
      <c r="V11220" s="8">
        <v>0.6</v>
      </c>
      <c r="W11220" s="8">
        <v>0.3</v>
      </c>
      <c r="X11220" s="8">
        <v>40</v>
      </c>
      <c r="Y11220" s="8" t="s">
        <v>47626</v>
      </c>
      <c r="Z11220" s="8" t="s">
        <v>47627</v>
      </c>
    </row>
    <row r="11221" spans="1:26" x14ac:dyDescent="0.2">
      <c r="A11221" s="8">
        <v>11220</v>
      </c>
      <c r="B11221" s="8" t="s">
        <v>47631</v>
      </c>
      <c r="C11221" s="8" t="s">
        <v>47631</v>
      </c>
      <c r="G11221" s="8">
        <v>20</v>
      </c>
      <c r="H11221" s="8" t="s">
        <v>21</v>
      </c>
      <c r="I11221" s="8" t="s">
        <v>22</v>
      </c>
      <c r="J11221" s="8" t="s">
        <v>22</v>
      </c>
      <c r="K11221" s="8" t="s">
        <v>424</v>
      </c>
      <c r="L11221" s="8" t="s">
        <v>18289</v>
      </c>
      <c r="M11221" s="8" t="s">
        <v>18290</v>
      </c>
      <c r="N11221" s="8" t="s">
        <v>47632</v>
      </c>
      <c r="O11221" s="8">
        <f>12+28/60+5.5/3600</f>
        <v>12.468194444444444</v>
      </c>
      <c r="P11221" s="8" t="s">
        <v>47633</v>
      </c>
      <c r="Q11221" s="8">
        <f>+(26+40/60+24/3600)</f>
        <v>26.673333333333336</v>
      </c>
      <c r="R11221" s="8">
        <v>16.2</v>
      </c>
      <c r="S11221" s="8">
        <v>17.2</v>
      </c>
      <c r="T11221" s="8">
        <v>1</v>
      </c>
      <c r="U11221" s="8">
        <v>13.4</v>
      </c>
      <c r="V11221" s="8">
        <v>0.3</v>
      </c>
      <c r="W11221" s="8">
        <v>0.3</v>
      </c>
      <c r="Y11221" s="8" t="s">
        <v>47564</v>
      </c>
      <c r="Z11221" s="8" t="s">
        <v>47565</v>
      </c>
    </row>
    <row r="11222" spans="1:26" x14ac:dyDescent="0.2">
      <c r="A11222" s="8">
        <v>11221</v>
      </c>
      <c r="B11222" s="8" t="s">
        <v>47634</v>
      </c>
      <c r="C11222" s="8" t="s">
        <v>47634</v>
      </c>
      <c r="G11222" s="8">
        <v>20</v>
      </c>
      <c r="H11222" s="8" t="s">
        <v>21</v>
      </c>
      <c r="I11222" s="8" t="s">
        <v>22</v>
      </c>
      <c r="J11222" s="8" t="s">
        <v>22</v>
      </c>
      <c r="K11222" s="8" t="s">
        <v>382</v>
      </c>
      <c r="L11222" s="8" t="s">
        <v>17287</v>
      </c>
      <c r="M11222" s="8" t="s">
        <v>17288</v>
      </c>
      <c r="N11222" s="8" t="s">
        <v>47635</v>
      </c>
      <c r="O11222" s="8">
        <f>12+28/60+14.8/3600</f>
        <v>12.470777777777778</v>
      </c>
      <c r="P11222" s="8" t="s">
        <v>47636</v>
      </c>
      <c r="Q11222" s="8">
        <f>+(11+47/60+22/3600)</f>
        <v>11.789444444444444</v>
      </c>
      <c r="R11222" s="8">
        <v>13.4</v>
      </c>
      <c r="S11222" s="8">
        <v>14.4</v>
      </c>
      <c r="T11222" s="8">
        <v>1</v>
      </c>
      <c r="U11222" s="8">
        <v>13.6</v>
      </c>
      <c r="V11222" s="8">
        <v>1.2</v>
      </c>
      <c r="W11222" s="8">
        <v>0.9</v>
      </c>
      <c r="X11222" s="8">
        <v>110</v>
      </c>
      <c r="Y11222" s="8" t="s">
        <v>2287</v>
      </c>
      <c r="Z11222" s="8" t="s">
        <v>29195</v>
      </c>
    </row>
    <row r="11223" spans="1:26" x14ac:dyDescent="0.2">
      <c r="A11223" s="8">
        <v>11222</v>
      </c>
      <c r="B11223" s="8" t="s">
        <v>47637</v>
      </c>
      <c r="C11223" s="8" t="s">
        <v>47637</v>
      </c>
      <c r="G11223" s="8">
        <v>20</v>
      </c>
      <c r="H11223" s="8" t="s">
        <v>21</v>
      </c>
      <c r="I11223" s="8" t="s">
        <v>22</v>
      </c>
      <c r="J11223" s="8" t="s">
        <v>22</v>
      </c>
      <c r="K11223" s="8" t="s">
        <v>160</v>
      </c>
      <c r="L11223" s="8" t="s">
        <v>18289</v>
      </c>
      <c r="M11223" s="8" t="s">
        <v>18290</v>
      </c>
      <c r="N11223" s="8" t="s">
        <v>47638</v>
      </c>
      <c r="O11223" s="8">
        <f>12+28/60+13.6/3600</f>
        <v>12.470444444444444</v>
      </c>
      <c r="P11223" s="8" t="s">
        <v>47639</v>
      </c>
      <c r="Q11223" s="8">
        <f>+(13+34/60+16/3600)</f>
        <v>13.571111111111112</v>
      </c>
      <c r="R11223" s="8">
        <v>16</v>
      </c>
      <c r="S11223" s="8">
        <v>16.7</v>
      </c>
      <c r="T11223" s="8">
        <v>0.7</v>
      </c>
      <c r="U11223" s="8">
        <v>14</v>
      </c>
      <c r="V11223" s="8">
        <v>0.9</v>
      </c>
      <c r="W11223" s="8">
        <v>0.2</v>
      </c>
      <c r="X11223" s="8">
        <v>149</v>
      </c>
      <c r="Y11223" s="8" t="s">
        <v>47640</v>
      </c>
      <c r="Z11223" s="8" t="s">
        <v>47641</v>
      </c>
    </row>
    <row r="11224" spans="1:26" x14ac:dyDescent="0.2">
      <c r="A11224" s="8">
        <v>11223</v>
      </c>
      <c r="B11224" s="8" t="s">
        <v>47642</v>
      </c>
      <c r="C11224" s="8" t="s">
        <v>47642</v>
      </c>
      <c r="G11224" s="8">
        <v>20</v>
      </c>
      <c r="H11224" s="8" t="s">
        <v>21</v>
      </c>
      <c r="I11224" s="8" t="s">
        <v>22</v>
      </c>
      <c r="J11224" s="8" t="s">
        <v>22</v>
      </c>
      <c r="K11224" s="8" t="s">
        <v>632</v>
      </c>
      <c r="L11224" s="8" t="s">
        <v>17287</v>
      </c>
      <c r="M11224" s="8" t="s">
        <v>17288</v>
      </c>
      <c r="N11224" s="8" t="s">
        <v>20119</v>
      </c>
      <c r="O11224" s="8">
        <f>12+28/60+12.4/3600</f>
        <v>12.470111111111111</v>
      </c>
      <c r="P11224" s="8" t="s">
        <v>47643</v>
      </c>
      <c r="Q11224" s="8">
        <f>+(10+17/60+51/3600)</f>
        <v>10.297499999999999</v>
      </c>
      <c r="R11224" s="8">
        <v>14.1</v>
      </c>
      <c r="S11224" s="8">
        <v>15</v>
      </c>
      <c r="T11224" s="8">
        <v>0.9</v>
      </c>
      <c r="U11224" s="8">
        <v>13.3</v>
      </c>
      <c r="V11224" s="8">
        <v>0.9</v>
      </c>
      <c r="W11224" s="8">
        <v>0.6</v>
      </c>
      <c r="X11224" s="8">
        <v>30</v>
      </c>
      <c r="Y11224" s="8" t="s">
        <v>46674</v>
      </c>
      <c r="Z11224" s="8" t="s">
        <v>46222</v>
      </c>
    </row>
    <row r="11225" spans="1:26" x14ac:dyDescent="0.2">
      <c r="A11225" s="8">
        <v>11224</v>
      </c>
      <c r="B11225" s="8" t="s">
        <v>47644</v>
      </c>
      <c r="C11225" s="8" t="s">
        <v>47644</v>
      </c>
      <c r="G11225" s="8">
        <v>20</v>
      </c>
      <c r="H11225" s="8" t="s">
        <v>21</v>
      </c>
      <c r="I11225" s="8" t="s">
        <v>22</v>
      </c>
      <c r="J11225" s="8" t="s">
        <v>22</v>
      </c>
      <c r="K11225" s="8" t="s">
        <v>3523</v>
      </c>
      <c r="L11225" s="8" t="s">
        <v>18289</v>
      </c>
      <c r="M11225" s="8" t="s">
        <v>18290</v>
      </c>
      <c r="N11225" s="8" t="s">
        <v>47645</v>
      </c>
      <c r="O11225" s="8">
        <f>12+28/60+12.5/3600</f>
        <v>12.470138888888888</v>
      </c>
      <c r="P11225" s="8" t="s">
        <v>47646</v>
      </c>
      <c r="Q11225" s="8">
        <f>+(25+5/60+29/3600)</f>
        <v>25.091388888888886</v>
      </c>
      <c r="R11225" s="8">
        <v>15.8</v>
      </c>
      <c r="S11225" s="8">
        <v>16.399999999999999</v>
      </c>
      <c r="T11225" s="8">
        <v>0.6</v>
      </c>
      <c r="U11225" s="8">
        <v>13.2</v>
      </c>
      <c r="V11225" s="8">
        <v>0.5</v>
      </c>
      <c r="W11225" s="8">
        <v>0.2</v>
      </c>
      <c r="X11225" s="8">
        <v>135</v>
      </c>
      <c r="Y11225" s="8" t="s">
        <v>47337</v>
      </c>
      <c r="Z11225" s="8" t="s">
        <v>47338</v>
      </c>
    </row>
    <row r="11226" spans="1:26" x14ac:dyDescent="0.2">
      <c r="A11226" s="8">
        <v>11225</v>
      </c>
      <c r="B11226" s="8" t="s">
        <v>47647</v>
      </c>
      <c r="C11226" s="8" t="s">
        <v>47647</v>
      </c>
      <c r="G11226" s="8">
        <v>20</v>
      </c>
      <c r="H11226" s="8" t="s">
        <v>21</v>
      </c>
      <c r="I11226" s="8" t="s">
        <v>22</v>
      </c>
      <c r="J11226" s="8" t="s">
        <v>22</v>
      </c>
      <c r="K11226" s="8" t="s">
        <v>47648</v>
      </c>
      <c r="L11226" s="8" t="s">
        <v>18289</v>
      </c>
      <c r="M11226" s="8" t="s">
        <v>18290</v>
      </c>
      <c r="N11226" s="8" t="s">
        <v>47649</v>
      </c>
      <c r="O11226" s="8">
        <f>12+28/60+15.1/3600</f>
        <v>12.470861111111111</v>
      </c>
      <c r="P11226" s="8" t="s">
        <v>47650</v>
      </c>
      <c r="Q11226" s="8">
        <f>+(25+25/60+55/3600)</f>
        <v>25.431944444444447</v>
      </c>
      <c r="R11226" s="8">
        <v>17.399999999999999</v>
      </c>
      <c r="S11226" s="8">
        <v>18</v>
      </c>
      <c r="T11226" s="8">
        <v>0.6</v>
      </c>
      <c r="U11226" s="8">
        <v>15.5</v>
      </c>
      <c r="V11226" s="8">
        <v>0.5</v>
      </c>
      <c r="W11226" s="8">
        <v>0.4</v>
      </c>
      <c r="X11226" s="8">
        <v>150</v>
      </c>
      <c r="Y11226" s="8" t="s">
        <v>47651</v>
      </c>
      <c r="Z11226" s="8" t="s">
        <v>47652</v>
      </c>
    </row>
    <row r="11227" spans="1:26" x14ac:dyDescent="0.2">
      <c r="A11227" s="8">
        <v>11226</v>
      </c>
      <c r="B11227" s="8" t="s">
        <v>47653</v>
      </c>
      <c r="C11227" s="8" t="s">
        <v>47653</v>
      </c>
      <c r="G11227" s="8">
        <v>20</v>
      </c>
      <c r="H11227" s="8" t="s">
        <v>21</v>
      </c>
      <c r="I11227" s="8" t="s">
        <v>22</v>
      </c>
      <c r="J11227" s="8" t="s">
        <v>22</v>
      </c>
      <c r="K11227" s="8" t="s">
        <v>818</v>
      </c>
      <c r="L11227" s="8" t="s">
        <v>17287</v>
      </c>
      <c r="M11227" s="8" t="s">
        <v>17288</v>
      </c>
      <c r="N11227" s="8" t="s">
        <v>47654</v>
      </c>
      <c r="O11227" s="8">
        <f>12+28/60+24/3600</f>
        <v>12.473333333333333</v>
      </c>
      <c r="P11227" s="8" t="s">
        <v>47655</v>
      </c>
      <c r="Q11227" s="8">
        <f>+(13+11/60+43/3600)</f>
        <v>13.195277777777777</v>
      </c>
      <c r="R11227" s="8">
        <v>15</v>
      </c>
      <c r="S11227" s="8">
        <v>16</v>
      </c>
      <c r="T11227" s="8">
        <v>1</v>
      </c>
      <c r="U11227" s="8">
        <v>13.2</v>
      </c>
      <c r="V11227" s="8">
        <v>0.6</v>
      </c>
      <c r="W11227" s="8">
        <v>0.3</v>
      </c>
      <c r="X11227" s="8">
        <v>102</v>
      </c>
      <c r="Y11227" s="8" t="s">
        <v>47656</v>
      </c>
      <c r="Z11227" s="8" t="s">
        <v>47657</v>
      </c>
    </row>
    <row r="11228" spans="1:26" x14ac:dyDescent="0.2">
      <c r="A11228" s="8">
        <v>11227</v>
      </c>
      <c r="B11228" s="8" t="s">
        <v>47658</v>
      </c>
      <c r="C11228" s="8" t="s">
        <v>47658</v>
      </c>
      <c r="G11228" s="8">
        <v>20</v>
      </c>
      <c r="H11228" s="8" t="s">
        <v>21</v>
      </c>
      <c r="I11228" s="8" t="s">
        <v>22</v>
      </c>
      <c r="J11228" s="8" t="s">
        <v>22</v>
      </c>
      <c r="K11228" s="8" t="s">
        <v>460</v>
      </c>
      <c r="L11228" s="8" t="s">
        <v>18289</v>
      </c>
      <c r="M11228" s="8" t="s">
        <v>18290</v>
      </c>
      <c r="N11228" s="8" t="s">
        <v>47659</v>
      </c>
      <c r="O11228" s="8">
        <f>12+28/60+18.8/3600</f>
        <v>12.471888888888889</v>
      </c>
      <c r="P11228" s="8" t="s">
        <v>47660</v>
      </c>
      <c r="Q11228" s="8">
        <f>+(27+59/60+45/3600)</f>
        <v>27.995833333333334</v>
      </c>
      <c r="R11228" s="8">
        <v>15.5</v>
      </c>
      <c r="S11228" s="8">
        <v>16.5</v>
      </c>
      <c r="T11228" s="8">
        <v>1</v>
      </c>
      <c r="U11228" s="8">
        <v>12.1</v>
      </c>
      <c r="V11228" s="8">
        <v>0.2</v>
      </c>
      <c r="W11228" s="8">
        <v>0.2</v>
      </c>
      <c r="Y11228" s="8" t="s">
        <v>47661</v>
      </c>
      <c r="Z11228" s="8" t="s">
        <v>47662</v>
      </c>
    </row>
    <row r="11229" spans="1:26" x14ac:dyDescent="0.2">
      <c r="A11229" s="8">
        <v>11228</v>
      </c>
      <c r="B11229" s="8" t="s">
        <v>47663</v>
      </c>
      <c r="C11229" s="8" t="s">
        <v>47663</v>
      </c>
      <c r="G11229" s="8">
        <v>20</v>
      </c>
      <c r="H11229" s="8" t="s">
        <v>21</v>
      </c>
      <c r="I11229" s="8" t="s">
        <v>22</v>
      </c>
      <c r="J11229" s="8" t="s">
        <v>22</v>
      </c>
      <c r="K11229" s="8" t="s">
        <v>818</v>
      </c>
      <c r="L11229" s="8" t="s">
        <v>17287</v>
      </c>
      <c r="M11229" s="8" t="s">
        <v>17288</v>
      </c>
      <c r="N11229" s="8" t="s">
        <v>47664</v>
      </c>
      <c r="O11229" s="8">
        <f>12+28/60+28.1/3600</f>
        <v>12.474472222222222</v>
      </c>
      <c r="P11229" s="8" t="s">
        <v>47665</v>
      </c>
      <c r="Q11229" s="8">
        <f>+(12+49/60+25/3600)</f>
        <v>12.823611111111111</v>
      </c>
      <c r="R11229" s="8">
        <v>14.5</v>
      </c>
      <c r="S11229" s="8">
        <v>15.5</v>
      </c>
      <c r="T11229" s="8">
        <v>1</v>
      </c>
      <c r="U11229" s="8">
        <v>12.7</v>
      </c>
      <c r="V11229" s="8">
        <v>0.6</v>
      </c>
      <c r="W11229" s="8">
        <v>0.3</v>
      </c>
      <c r="X11229" s="8">
        <v>70</v>
      </c>
      <c r="Y11229" s="8" t="s">
        <v>47516</v>
      </c>
      <c r="Z11229" s="8" t="s">
        <v>47517</v>
      </c>
    </row>
    <row r="11230" spans="1:26" x14ac:dyDescent="0.2">
      <c r="A11230" s="8">
        <v>11229</v>
      </c>
      <c r="B11230" s="8" t="s">
        <v>47666</v>
      </c>
      <c r="C11230" s="8" t="s">
        <v>47666</v>
      </c>
      <c r="G11230" s="8">
        <v>20</v>
      </c>
      <c r="H11230" s="8" t="s">
        <v>21</v>
      </c>
      <c r="I11230" s="8" t="s">
        <v>22</v>
      </c>
      <c r="J11230" s="8" t="s">
        <v>22</v>
      </c>
      <c r="K11230" s="8" t="s">
        <v>460</v>
      </c>
      <c r="L11230" s="8" t="s">
        <v>18289</v>
      </c>
      <c r="M11230" s="8" t="s">
        <v>18290</v>
      </c>
      <c r="N11230" s="8" t="s">
        <v>47667</v>
      </c>
      <c r="O11230" s="8">
        <f>12+28/60+23.6/3600</f>
        <v>12.473222222222223</v>
      </c>
      <c r="P11230" s="8" t="s">
        <v>47668</v>
      </c>
      <c r="Q11230" s="8">
        <f>+(27+50/60+42/3600)</f>
        <v>27.844999999999999</v>
      </c>
      <c r="R11230" s="8">
        <v>16</v>
      </c>
      <c r="S11230" s="8">
        <v>17</v>
      </c>
      <c r="T11230" s="8">
        <v>1</v>
      </c>
      <c r="U11230" s="8">
        <v>12.6</v>
      </c>
      <c r="V11230" s="8">
        <v>0.2</v>
      </c>
      <c r="W11230" s="8">
        <v>0.2</v>
      </c>
      <c r="Y11230" s="8" t="s">
        <v>5139</v>
      </c>
      <c r="Z11230" s="8" t="s">
        <v>5140</v>
      </c>
    </row>
    <row r="11231" spans="1:26" x14ac:dyDescent="0.2">
      <c r="A11231" s="8">
        <v>11230</v>
      </c>
      <c r="B11231" s="8" t="s">
        <v>47669</v>
      </c>
      <c r="C11231" s="8" t="s">
        <v>47669</v>
      </c>
      <c r="G11231" s="8">
        <v>20</v>
      </c>
      <c r="H11231" s="8" t="s">
        <v>21</v>
      </c>
      <c r="I11231" s="8" t="s">
        <v>22</v>
      </c>
      <c r="J11231" s="8" t="s">
        <v>22</v>
      </c>
      <c r="K11231" s="8" t="s">
        <v>154</v>
      </c>
      <c r="L11231" s="8" t="s">
        <v>18289</v>
      </c>
      <c r="M11231" s="8" t="s">
        <v>18290</v>
      </c>
      <c r="N11231" s="8" t="s">
        <v>47670</v>
      </c>
      <c r="O11231" s="8">
        <f>12+28/60+28.7/3600</f>
        <v>12.474638888888888</v>
      </c>
      <c r="P11231" s="8" t="s">
        <v>47671</v>
      </c>
      <c r="Q11231" s="8">
        <f>+(24+48/60+32/3600)</f>
        <v>24.808888888888891</v>
      </c>
      <c r="R11231" s="8">
        <v>16.100000000000001</v>
      </c>
      <c r="S11231" s="8">
        <v>17</v>
      </c>
      <c r="T11231" s="8">
        <v>0.9</v>
      </c>
      <c r="U11231" s="8">
        <v>14.2</v>
      </c>
      <c r="V11231" s="8">
        <v>0.5</v>
      </c>
      <c r="W11231" s="8">
        <v>0.4</v>
      </c>
      <c r="X11231" s="8">
        <v>100</v>
      </c>
      <c r="Y11231" s="8" t="s">
        <v>115</v>
      </c>
      <c r="Z11231" s="8" t="s">
        <v>116</v>
      </c>
    </row>
    <row r="11232" spans="1:26" x14ac:dyDescent="0.2">
      <c r="A11232" s="8">
        <v>11231</v>
      </c>
      <c r="B11232" s="8" t="s">
        <v>47672</v>
      </c>
      <c r="C11232" s="8" t="s">
        <v>47672</v>
      </c>
      <c r="G11232" s="8">
        <v>20</v>
      </c>
      <c r="H11232" s="8" t="s">
        <v>21</v>
      </c>
      <c r="I11232" s="8" t="s">
        <v>22</v>
      </c>
      <c r="J11232" s="8" t="s">
        <v>22</v>
      </c>
      <c r="K11232" s="8" t="s">
        <v>160</v>
      </c>
      <c r="L11232" s="8" t="s">
        <v>18289</v>
      </c>
      <c r="M11232" s="8" t="s">
        <v>18290</v>
      </c>
      <c r="N11232" s="8" t="s">
        <v>47673</v>
      </c>
      <c r="O11232" s="8">
        <f>12+28/60+27.4/3600</f>
        <v>12.474277777777777</v>
      </c>
      <c r="P11232" s="8" t="s">
        <v>47674</v>
      </c>
      <c r="Q11232" s="8">
        <f>+(18+24/60+55/3600)</f>
        <v>18.415277777777778</v>
      </c>
      <c r="R11232" s="8">
        <v>13.4</v>
      </c>
      <c r="S11232" s="8">
        <v>14.1</v>
      </c>
      <c r="T11232" s="8">
        <v>0.7</v>
      </c>
      <c r="U11232" s="8">
        <v>13.2</v>
      </c>
      <c r="V11232" s="8">
        <v>1.1000000000000001</v>
      </c>
      <c r="W11232" s="8">
        <v>0.8</v>
      </c>
      <c r="X11232" s="8">
        <v>63</v>
      </c>
      <c r="Y11232" s="8" t="s">
        <v>21</v>
      </c>
      <c r="Z11232" s="8" t="s">
        <v>47675</v>
      </c>
    </row>
    <row r="11233" spans="1:26" x14ac:dyDescent="0.2">
      <c r="A11233" s="8">
        <v>11232</v>
      </c>
      <c r="B11233" s="8" t="s">
        <v>47676</v>
      </c>
      <c r="C11233" s="8" t="s">
        <v>47676</v>
      </c>
      <c r="G11233" s="8">
        <v>20</v>
      </c>
      <c r="H11233" s="8" t="s">
        <v>21</v>
      </c>
      <c r="I11233" s="8" t="s">
        <v>22</v>
      </c>
      <c r="J11233" s="8" t="s">
        <v>22</v>
      </c>
      <c r="K11233" s="8" t="s">
        <v>23</v>
      </c>
      <c r="L11233" s="8" t="s">
        <v>18289</v>
      </c>
      <c r="M11233" s="8" t="s">
        <v>18290</v>
      </c>
      <c r="N11233" s="8" t="s">
        <v>47677</v>
      </c>
      <c r="O11233" s="8">
        <f>12+28/60+43.2/3600</f>
        <v>12.478666666666667</v>
      </c>
      <c r="P11233" s="8" t="s">
        <v>47678</v>
      </c>
      <c r="Q11233" s="8">
        <f>+(14+59/60+57/3600)</f>
        <v>14.999166666666666</v>
      </c>
      <c r="R11233" s="8">
        <v>12.5</v>
      </c>
      <c r="S11233" s="8">
        <v>13.3</v>
      </c>
      <c r="T11233" s="8">
        <v>0.8</v>
      </c>
      <c r="U11233" s="8">
        <v>13.3</v>
      </c>
      <c r="V11233" s="8">
        <v>2.2999999999999998</v>
      </c>
      <c r="W11233" s="8">
        <v>1</v>
      </c>
      <c r="X11233" s="8">
        <v>40</v>
      </c>
      <c r="Y11233" s="8" t="s">
        <v>21</v>
      </c>
      <c r="Z11233" s="8" t="s">
        <v>47679</v>
      </c>
    </row>
    <row r="11234" spans="1:26" x14ac:dyDescent="0.2">
      <c r="A11234" s="8">
        <v>11233</v>
      </c>
      <c r="B11234" s="8" t="s">
        <v>47680</v>
      </c>
      <c r="C11234" s="8" t="s">
        <v>47680</v>
      </c>
      <c r="G11234" s="8">
        <v>20</v>
      </c>
      <c r="H11234" s="8" t="s">
        <v>21</v>
      </c>
      <c r="I11234" s="8" t="s">
        <v>22</v>
      </c>
      <c r="J11234" s="8" t="s">
        <v>22</v>
      </c>
      <c r="K11234" s="8" t="s">
        <v>632</v>
      </c>
      <c r="L11234" s="8" t="s">
        <v>17287</v>
      </c>
      <c r="M11234" s="8" t="s">
        <v>17288</v>
      </c>
      <c r="N11234" s="8" t="s">
        <v>47681</v>
      </c>
      <c r="O11234" s="8">
        <f>12+28/60+41.7/3600</f>
        <v>12.478250000000001</v>
      </c>
      <c r="P11234" s="8" t="s">
        <v>47682</v>
      </c>
      <c r="Q11234" s="8">
        <f>+(12+54/60+59/3600)</f>
        <v>12.916388888888889</v>
      </c>
      <c r="R11234" s="8">
        <v>14.1</v>
      </c>
      <c r="S11234" s="8">
        <v>14.9</v>
      </c>
      <c r="T11234" s="8">
        <v>0.8</v>
      </c>
      <c r="U11234" s="8">
        <v>13.3</v>
      </c>
      <c r="V11234" s="8">
        <v>1.3</v>
      </c>
      <c r="W11234" s="8">
        <v>0.4</v>
      </c>
      <c r="X11234" s="8">
        <v>135</v>
      </c>
      <c r="Y11234" s="8" t="s">
        <v>47683</v>
      </c>
      <c r="Z11234" s="8" t="s">
        <v>47684</v>
      </c>
    </row>
    <row r="11235" spans="1:26" x14ac:dyDescent="0.2">
      <c r="A11235" s="8">
        <v>11234</v>
      </c>
      <c r="B11235" s="8" t="s">
        <v>47685</v>
      </c>
      <c r="C11235" s="8" t="s">
        <v>47685</v>
      </c>
      <c r="G11235" s="8">
        <v>20</v>
      </c>
      <c r="H11235" s="8" t="s">
        <v>21</v>
      </c>
      <c r="I11235" s="8" t="s">
        <v>22</v>
      </c>
      <c r="J11235" s="8" t="s">
        <v>22</v>
      </c>
      <c r="K11235" s="8" t="s">
        <v>37</v>
      </c>
      <c r="L11235" s="8" t="s">
        <v>18289</v>
      </c>
      <c r="M11235" s="8" t="s">
        <v>18290</v>
      </c>
      <c r="N11235" s="8" t="s">
        <v>47686</v>
      </c>
      <c r="O11235" s="8">
        <f>12+28/60+41.1/3600</f>
        <v>12.478083333333334</v>
      </c>
      <c r="P11235" s="8" t="s">
        <v>47687</v>
      </c>
      <c r="Q11235" s="8">
        <f>+(26+47/60+56/3600)</f>
        <v>26.798888888888889</v>
      </c>
      <c r="R11235" s="8">
        <v>15.8</v>
      </c>
      <c r="S11235" s="8">
        <v>16.8</v>
      </c>
      <c r="T11235" s="8">
        <v>1</v>
      </c>
      <c r="U11235" s="8">
        <v>14.2</v>
      </c>
      <c r="V11235" s="8">
        <v>0.5</v>
      </c>
      <c r="W11235" s="8">
        <v>0.5</v>
      </c>
      <c r="Y11235" s="8" t="s">
        <v>47688</v>
      </c>
      <c r="Z11235" s="8" t="s">
        <v>47689</v>
      </c>
    </row>
    <row r="11236" spans="1:26" x14ac:dyDescent="0.2">
      <c r="A11236" s="8">
        <v>11235</v>
      </c>
      <c r="B11236" s="8" t="s">
        <v>47690</v>
      </c>
      <c r="C11236" s="8" t="s">
        <v>47690</v>
      </c>
      <c r="G11236" s="8">
        <v>20</v>
      </c>
      <c r="H11236" s="8" t="s">
        <v>21</v>
      </c>
      <c r="I11236" s="8" t="s">
        <v>22</v>
      </c>
      <c r="J11236" s="8" t="s">
        <v>22</v>
      </c>
      <c r="K11236" s="8" t="s">
        <v>449</v>
      </c>
      <c r="L11236" s="8" t="s">
        <v>18289</v>
      </c>
      <c r="M11236" s="8" t="s">
        <v>18290</v>
      </c>
      <c r="N11236" s="8" t="s">
        <v>47691</v>
      </c>
      <c r="O11236" s="8">
        <f>12+28/60+44.6/3600</f>
        <v>12.479055555555556</v>
      </c>
      <c r="P11236" s="8" t="s">
        <v>47692</v>
      </c>
      <c r="Q11236" s="8">
        <f>+(25+2/60+6/3600)</f>
        <v>25.035</v>
      </c>
      <c r="R11236" s="8">
        <v>15.4</v>
      </c>
      <c r="S11236" s="8">
        <v>16.2</v>
      </c>
      <c r="T11236" s="8">
        <v>0.8</v>
      </c>
      <c r="U11236" s="8">
        <v>12.5</v>
      </c>
      <c r="V11236" s="8">
        <v>0.4</v>
      </c>
      <c r="W11236" s="8">
        <v>0.2</v>
      </c>
      <c r="X11236" s="8">
        <v>45</v>
      </c>
      <c r="Y11236" s="8" t="s">
        <v>115</v>
      </c>
      <c r="Z11236" s="8" t="s">
        <v>116</v>
      </c>
    </row>
    <row r="11237" spans="1:26" x14ac:dyDescent="0.2">
      <c r="A11237" s="8">
        <v>11236</v>
      </c>
      <c r="B11237" s="8" t="s">
        <v>47693</v>
      </c>
      <c r="C11237" s="8" t="s">
        <v>47693</v>
      </c>
      <c r="G11237" s="8">
        <v>20</v>
      </c>
      <c r="H11237" s="8" t="s">
        <v>21</v>
      </c>
      <c r="I11237" s="8" t="s">
        <v>22</v>
      </c>
      <c r="J11237" s="8" t="s">
        <v>22</v>
      </c>
      <c r="K11237" s="8" t="s">
        <v>460</v>
      </c>
      <c r="L11237" s="8" t="s">
        <v>18289</v>
      </c>
      <c r="M11237" s="8" t="s">
        <v>18290</v>
      </c>
      <c r="N11237" s="8" t="s">
        <v>47694</v>
      </c>
      <c r="O11237" s="8">
        <f>12+28/60+45.1/3600</f>
        <v>12.479194444444445</v>
      </c>
      <c r="P11237" s="8" t="s">
        <v>47695</v>
      </c>
      <c r="Q11237" s="8">
        <f>+(25+2/60+59/3600)</f>
        <v>25.049722222222226</v>
      </c>
      <c r="R11237" s="8">
        <v>15.7</v>
      </c>
      <c r="S11237" s="8">
        <v>16.7</v>
      </c>
      <c r="T11237" s="8">
        <v>1</v>
      </c>
      <c r="U11237" s="8">
        <v>12.3</v>
      </c>
      <c r="V11237" s="8">
        <v>0.2</v>
      </c>
      <c r="W11237" s="8">
        <v>0.2</v>
      </c>
      <c r="Y11237" s="8" t="s">
        <v>21</v>
      </c>
      <c r="Z11237" s="8" t="s">
        <v>47696</v>
      </c>
    </row>
    <row r="11238" spans="1:26" x14ac:dyDescent="0.2">
      <c r="A11238" s="8">
        <v>11237</v>
      </c>
      <c r="B11238" s="8" t="s">
        <v>47697</v>
      </c>
      <c r="C11238" s="8" t="s">
        <v>47697</v>
      </c>
      <c r="G11238" s="8">
        <v>20</v>
      </c>
      <c r="H11238" s="8" t="s">
        <v>21</v>
      </c>
      <c r="I11238" s="8" t="s">
        <v>22</v>
      </c>
      <c r="J11238" s="8" t="s">
        <v>22</v>
      </c>
      <c r="K11238" s="8" t="s">
        <v>449</v>
      </c>
      <c r="L11238" s="8" t="s">
        <v>18289</v>
      </c>
      <c r="M11238" s="8" t="s">
        <v>18290</v>
      </c>
      <c r="N11238" s="8" t="s">
        <v>47698</v>
      </c>
      <c r="O11238" s="8">
        <f>12+28/60+46.7/3600</f>
        <v>12.479638888888889</v>
      </c>
      <c r="P11238" s="8" t="s">
        <v>47699</v>
      </c>
      <c r="Q11238" s="8">
        <f>+(25+43/60+54/3600)</f>
        <v>25.731666666666666</v>
      </c>
      <c r="R11238" s="8">
        <v>15.2</v>
      </c>
      <c r="S11238" s="8">
        <v>16</v>
      </c>
      <c r="T11238" s="8">
        <v>0.8</v>
      </c>
      <c r="U11238" s="8">
        <v>13</v>
      </c>
      <c r="V11238" s="8">
        <v>0.5</v>
      </c>
      <c r="W11238" s="8">
        <v>0.3</v>
      </c>
      <c r="X11238" s="8">
        <v>170</v>
      </c>
      <c r="Y11238" s="8" t="s">
        <v>21</v>
      </c>
      <c r="Z11238" s="8" t="s">
        <v>47700</v>
      </c>
    </row>
    <row r="11239" spans="1:26" x14ac:dyDescent="0.2">
      <c r="A11239" s="8">
        <v>11238</v>
      </c>
      <c r="B11239" s="8" t="s">
        <v>47701</v>
      </c>
      <c r="C11239" s="8" t="s">
        <v>47701</v>
      </c>
      <c r="G11239" s="8">
        <v>20</v>
      </c>
      <c r="H11239" s="8" t="s">
        <v>21</v>
      </c>
      <c r="I11239" s="8" t="s">
        <v>72</v>
      </c>
      <c r="J11239" s="8" t="s">
        <v>72</v>
      </c>
      <c r="K11239" s="8" t="s">
        <v>20</v>
      </c>
      <c r="L11239" s="8" t="s">
        <v>18289</v>
      </c>
      <c r="M11239" s="8" t="s">
        <v>18290</v>
      </c>
      <c r="N11239" s="8" t="s">
        <v>47702</v>
      </c>
      <c r="O11239" s="8">
        <f>12+28/60+58.2/3600</f>
        <v>12.482833333333334</v>
      </c>
      <c r="P11239" s="8" t="s">
        <v>47703</v>
      </c>
      <c r="Q11239" s="8">
        <f>+(13+33/60+54/3600)</f>
        <v>13.565000000000001</v>
      </c>
      <c r="R11239" s="8">
        <v>99</v>
      </c>
      <c r="S11239" s="8">
        <v>99</v>
      </c>
      <c r="T11239" s="8">
        <v>99</v>
      </c>
      <c r="U11239" s="8">
        <v>99</v>
      </c>
      <c r="Y11239" s="8" t="s">
        <v>42880</v>
      </c>
      <c r="Z11239" s="8" t="s">
        <v>42881</v>
      </c>
    </row>
    <row r="11240" spans="1:26" x14ac:dyDescent="0.2">
      <c r="A11240" s="8">
        <v>11239</v>
      </c>
      <c r="B11240" s="8" t="s">
        <v>47704</v>
      </c>
      <c r="C11240" s="8" t="s">
        <v>47704</v>
      </c>
      <c r="G11240" s="8">
        <v>20</v>
      </c>
      <c r="H11240" s="8" t="s">
        <v>21</v>
      </c>
      <c r="I11240" s="8" t="s">
        <v>72</v>
      </c>
      <c r="J11240" s="8" t="s">
        <v>72</v>
      </c>
      <c r="K11240" s="8" t="s">
        <v>20</v>
      </c>
      <c r="L11240" s="8" t="s">
        <v>18289</v>
      </c>
      <c r="M11240" s="8" t="s">
        <v>18290</v>
      </c>
      <c r="N11240" s="8" t="s">
        <v>47705</v>
      </c>
      <c r="O11240" s="8">
        <f>12+28/60+56.2/3600</f>
        <v>12.482277777777778</v>
      </c>
      <c r="P11240" s="8" t="s">
        <v>47706</v>
      </c>
      <c r="Q11240" s="8">
        <f>+(25+41/60+44/3600)</f>
        <v>25.695555555555554</v>
      </c>
      <c r="R11240" s="8">
        <v>99</v>
      </c>
      <c r="S11240" s="8">
        <v>99</v>
      </c>
      <c r="T11240" s="8">
        <v>99</v>
      </c>
      <c r="U11240" s="8">
        <v>99</v>
      </c>
      <c r="Y11240" s="8" t="s">
        <v>115</v>
      </c>
      <c r="Z11240" s="8" t="s">
        <v>116</v>
      </c>
    </row>
    <row r="11241" spans="1:26" x14ac:dyDescent="0.2">
      <c r="A11241" s="8">
        <v>11240</v>
      </c>
      <c r="B11241" s="8" t="s">
        <v>47707</v>
      </c>
      <c r="C11241" s="8" t="s">
        <v>47707</v>
      </c>
      <c r="G11241" s="8">
        <v>20</v>
      </c>
      <c r="H11241" s="8" t="s">
        <v>21</v>
      </c>
      <c r="I11241" s="8" t="s">
        <v>72</v>
      </c>
      <c r="J11241" s="8" t="s">
        <v>72</v>
      </c>
      <c r="K11241" s="8" t="s">
        <v>20</v>
      </c>
      <c r="L11241" s="8" t="s">
        <v>17287</v>
      </c>
      <c r="M11241" s="8" t="s">
        <v>17288</v>
      </c>
      <c r="N11241" s="8" t="s">
        <v>20103</v>
      </c>
      <c r="O11241" s="8">
        <f>12+29/60+2.9/3600</f>
        <v>12.484138888888888</v>
      </c>
      <c r="P11241" s="8" t="s">
        <v>47708</v>
      </c>
      <c r="Q11241" s="8">
        <f>+(9+24/60+22/3600)</f>
        <v>9.4061111111111106</v>
      </c>
      <c r="R11241" s="8">
        <v>99</v>
      </c>
      <c r="S11241" s="8">
        <v>11.5</v>
      </c>
      <c r="T11241" s="8">
        <v>99</v>
      </c>
      <c r="U11241" s="8">
        <v>99</v>
      </c>
      <c r="Y11241" s="8" t="s">
        <v>47709</v>
      </c>
      <c r="Z11241" s="8" t="s">
        <v>47710</v>
      </c>
    </row>
    <row r="11242" spans="1:26" x14ac:dyDescent="0.2">
      <c r="A11242" s="8">
        <v>11241</v>
      </c>
      <c r="B11242" s="8" t="s">
        <v>47711</v>
      </c>
      <c r="C11242" s="8" t="s">
        <v>47711</v>
      </c>
      <c r="G11242" s="8">
        <v>20</v>
      </c>
      <c r="H11242" s="8" t="s">
        <v>21</v>
      </c>
      <c r="I11242" s="8" t="s">
        <v>22</v>
      </c>
      <c r="J11242" s="8" t="s">
        <v>22</v>
      </c>
      <c r="K11242" s="8" t="s">
        <v>424</v>
      </c>
      <c r="L11242" s="8" t="s">
        <v>18289</v>
      </c>
      <c r="M11242" s="8" t="s">
        <v>18290</v>
      </c>
      <c r="N11242" s="8" t="s">
        <v>47712</v>
      </c>
      <c r="O11242" s="8">
        <f>12+28/60+58.8/3600</f>
        <v>12.483000000000001</v>
      </c>
      <c r="P11242" s="8" t="s">
        <v>47713</v>
      </c>
      <c r="Q11242" s="8">
        <f>+(26+27/60+38/3600)</f>
        <v>26.460555555555555</v>
      </c>
      <c r="R11242" s="8">
        <v>17</v>
      </c>
      <c r="S11242" s="8">
        <v>18</v>
      </c>
      <c r="T11242" s="8">
        <v>1</v>
      </c>
      <c r="U11242" s="8">
        <v>14.2</v>
      </c>
      <c r="V11242" s="8">
        <v>0.3</v>
      </c>
      <c r="W11242" s="8">
        <v>0.3</v>
      </c>
      <c r="Y11242" s="8" t="s">
        <v>421</v>
      </c>
      <c r="Z11242" s="8" t="s">
        <v>422</v>
      </c>
    </row>
    <row r="11243" spans="1:26" x14ac:dyDescent="0.2">
      <c r="A11243" s="8">
        <v>11242</v>
      </c>
      <c r="B11243" s="8" t="s">
        <v>47714</v>
      </c>
      <c r="C11243" s="8" t="s">
        <v>47714</v>
      </c>
      <c r="G11243" s="8">
        <v>20</v>
      </c>
      <c r="H11243" s="8" t="s">
        <v>21</v>
      </c>
      <c r="I11243" s="8" t="s">
        <v>22</v>
      </c>
      <c r="J11243" s="8" t="s">
        <v>22</v>
      </c>
      <c r="K11243" s="8" t="s">
        <v>396</v>
      </c>
      <c r="L11243" s="8" t="s">
        <v>18289</v>
      </c>
      <c r="M11243" s="8" t="s">
        <v>18290</v>
      </c>
      <c r="N11243" s="8" t="s">
        <v>47715</v>
      </c>
      <c r="O11243" s="8">
        <f>12+28/60+59.3/3600</f>
        <v>12.483138888888888</v>
      </c>
      <c r="P11243" s="8" t="s">
        <v>47716</v>
      </c>
      <c r="Q11243" s="8">
        <f>+(28+51/60+45/3600)</f>
        <v>28.862500000000001</v>
      </c>
      <c r="R11243" s="8">
        <v>15</v>
      </c>
      <c r="S11243" s="8">
        <v>15.8</v>
      </c>
      <c r="T11243" s="8">
        <v>0.8</v>
      </c>
      <c r="U11243" s="8">
        <v>12.2</v>
      </c>
      <c r="V11243" s="8">
        <v>0.9</v>
      </c>
      <c r="W11243" s="8">
        <v>0.1</v>
      </c>
      <c r="X11243" s="8">
        <v>8</v>
      </c>
      <c r="Y11243" s="8" t="s">
        <v>21</v>
      </c>
      <c r="Z11243" s="8" t="s">
        <v>47717</v>
      </c>
    </row>
    <row r="11244" spans="1:26" x14ac:dyDescent="0.2">
      <c r="A11244" s="8">
        <v>11243</v>
      </c>
      <c r="B11244" s="8" t="s">
        <v>47718</v>
      </c>
      <c r="C11244" s="8" t="s">
        <v>47718</v>
      </c>
      <c r="G11244" s="8">
        <v>20</v>
      </c>
      <c r="H11244" s="8" t="s">
        <v>21</v>
      </c>
      <c r="I11244" s="8" t="s">
        <v>22</v>
      </c>
      <c r="J11244" s="8" t="s">
        <v>22</v>
      </c>
      <c r="K11244" s="8" t="s">
        <v>476</v>
      </c>
      <c r="L11244" s="8" t="s">
        <v>18289</v>
      </c>
      <c r="M11244" s="8" t="s">
        <v>18290</v>
      </c>
      <c r="N11244" s="8" t="s">
        <v>47719</v>
      </c>
      <c r="O11244" s="8">
        <f>12+29/60+1.6/3600</f>
        <v>12.483777777777776</v>
      </c>
      <c r="P11244" s="8" t="s">
        <v>47720</v>
      </c>
      <c r="Q11244" s="8">
        <f>+(24+37/60+58/3600)</f>
        <v>24.632777777777779</v>
      </c>
      <c r="R11244" s="8">
        <v>14.9</v>
      </c>
      <c r="S11244" s="8">
        <v>15.7</v>
      </c>
      <c r="T11244" s="8">
        <v>0.8</v>
      </c>
      <c r="U11244" s="8">
        <v>11.7</v>
      </c>
      <c r="V11244" s="8">
        <v>0.3</v>
      </c>
      <c r="W11244" s="8">
        <v>0.2</v>
      </c>
      <c r="X11244" s="8">
        <v>70</v>
      </c>
      <c r="Y11244" s="8" t="s">
        <v>47721</v>
      </c>
      <c r="Z11244" s="8" t="s">
        <v>47722</v>
      </c>
    </row>
    <row r="11245" spans="1:26" x14ac:dyDescent="0.2">
      <c r="A11245" s="8">
        <v>11244</v>
      </c>
      <c r="B11245" s="8" t="s">
        <v>47723</v>
      </c>
      <c r="C11245" s="8" t="s">
        <v>47723</v>
      </c>
      <c r="G11245" s="8">
        <v>20</v>
      </c>
      <c r="H11245" s="8" t="s">
        <v>21</v>
      </c>
      <c r="I11245" s="8" t="s">
        <v>329</v>
      </c>
      <c r="J11245" s="8" t="s">
        <v>329</v>
      </c>
      <c r="K11245" s="8" t="s">
        <v>329</v>
      </c>
      <c r="L11245" s="8" t="s">
        <v>17287</v>
      </c>
      <c r="M11245" s="8" t="s">
        <v>17288</v>
      </c>
      <c r="N11245" s="8" t="s">
        <v>47724</v>
      </c>
      <c r="O11245" s="8">
        <f>12+29/60+10.7/3600</f>
        <v>12.486305555555555</v>
      </c>
      <c r="P11245" s="8" t="s">
        <v>47725</v>
      </c>
      <c r="Q11245" s="8">
        <f>+(7+9/60+14/3600)</f>
        <v>7.153888888888889</v>
      </c>
      <c r="R11245" s="8">
        <v>99</v>
      </c>
      <c r="S11245" s="8">
        <v>99</v>
      </c>
      <c r="T11245" s="8">
        <v>99</v>
      </c>
      <c r="U11245" s="8">
        <v>99</v>
      </c>
      <c r="Y11245" s="8" t="s">
        <v>47726</v>
      </c>
      <c r="Z11245" s="8" t="s">
        <v>47727</v>
      </c>
    </row>
    <row r="11246" spans="1:26" x14ac:dyDescent="0.2">
      <c r="A11246" s="8">
        <v>11245</v>
      </c>
      <c r="B11246" s="8" t="s">
        <v>47728</v>
      </c>
      <c r="C11246" s="8" t="s">
        <v>47728</v>
      </c>
      <c r="G11246" s="8">
        <v>20</v>
      </c>
      <c r="H11246" s="8" t="s">
        <v>21</v>
      </c>
      <c r="I11246" s="8" t="s">
        <v>22</v>
      </c>
      <c r="J11246" s="8" t="s">
        <v>22</v>
      </c>
      <c r="K11246" s="8" t="s">
        <v>37</v>
      </c>
      <c r="L11246" s="8" t="s">
        <v>18681</v>
      </c>
      <c r="M11246" s="8" t="s">
        <v>18682</v>
      </c>
      <c r="N11246" s="8" t="s">
        <v>47729</v>
      </c>
      <c r="O11246" s="8">
        <f>12+28/60+59.5/3600</f>
        <v>12.483194444444445</v>
      </c>
      <c r="P11246" s="8" t="s">
        <v>47730</v>
      </c>
      <c r="Q11246" s="8">
        <f>+(37+43/60+50/3600)</f>
        <v>37.730555555555554</v>
      </c>
      <c r="R11246" s="8">
        <v>16.100000000000001</v>
      </c>
      <c r="S11246" s="8">
        <v>17.100000000000001</v>
      </c>
      <c r="T11246" s="8">
        <v>1</v>
      </c>
      <c r="U11246" s="8">
        <v>13.9</v>
      </c>
      <c r="V11246" s="8">
        <v>0.7</v>
      </c>
      <c r="W11246" s="8">
        <v>0.2</v>
      </c>
      <c r="X11246" s="8">
        <v>20</v>
      </c>
      <c r="Y11246" s="8" t="s">
        <v>25183</v>
      </c>
      <c r="Z11246" s="8" t="s">
        <v>25184</v>
      </c>
    </row>
    <row r="11247" spans="1:26" x14ac:dyDescent="0.2">
      <c r="A11247" s="8">
        <v>11246</v>
      </c>
      <c r="B11247" s="8" t="s">
        <v>47731</v>
      </c>
      <c r="C11247" s="8" t="s">
        <v>47731</v>
      </c>
      <c r="G11247" s="8">
        <v>20</v>
      </c>
      <c r="H11247" s="8" t="s">
        <v>21</v>
      </c>
      <c r="I11247" s="8" t="s">
        <v>22</v>
      </c>
      <c r="J11247" s="8" t="s">
        <v>22</v>
      </c>
      <c r="K11247" s="8" t="s">
        <v>396</v>
      </c>
      <c r="L11247" s="8" t="s">
        <v>18289</v>
      </c>
      <c r="M11247" s="8" t="s">
        <v>18290</v>
      </c>
      <c r="N11247" s="8" t="s">
        <v>47732</v>
      </c>
      <c r="O11247" s="8">
        <f>12+29/60+2.8/3600</f>
        <v>12.48411111111111</v>
      </c>
      <c r="P11247" s="8" t="s">
        <v>47733</v>
      </c>
      <c r="Q11247" s="8">
        <f>+(27+38/60+26/3600)</f>
        <v>27.640555555555554</v>
      </c>
      <c r="R11247" s="8">
        <v>14.9</v>
      </c>
      <c r="S11247" s="8">
        <v>15.7</v>
      </c>
      <c r="T11247" s="8">
        <v>0.8</v>
      </c>
      <c r="U11247" s="8">
        <v>12.7</v>
      </c>
      <c r="V11247" s="8">
        <v>0.5</v>
      </c>
      <c r="W11247" s="8">
        <v>0.3</v>
      </c>
      <c r="X11247" s="8">
        <v>80</v>
      </c>
      <c r="Y11247" s="8" t="s">
        <v>47734</v>
      </c>
      <c r="Z11247" s="8" t="s">
        <v>47735</v>
      </c>
    </row>
    <row r="11248" spans="1:26" x14ac:dyDescent="0.2">
      <c r="A11248" s="8">
        <v>11247</v>
      </c>
      <c r="B11248" s="8" t="s">
        <v>47736</v>
      </c>
      <c r="C11248" s="8" t="s">
        <v>47736</v>
      </c>
      <c r="G11248" s="8">
        <v>20</v>
      </c>
      <c r="H11248" s="8" t="s">
        <v>21</v>
      </c>
      <c r="I11248" s="8" t="s">
        <v>22</v>
      </c>
      <c r="J11248" s="8" t="s">
        <v>22</v>
      </c>
      <c r="K11248" s="8" t="s">
        <v>218</v>
      </c>
      <c r="L11248" s="8" t="s">
        <v>18289</v>
      </c>
      <c r="M11248" s="8" t="s">
        <v>18290</v>
      </c>
      <c r="N11248" s="8" t="s">
        <v>47737</v>
      </c>
      <c r="O11248" s="8">
        <f>12+29/60+3.9/3600</f>
        <v>12.484416666666666</v>
      </c>
      <c r="P11248" s="8" t="s">
        <v>47738</v>
      </c>
      <c r="Q11248" s="8">
        <f>+(27+46/60+42/3600)</f>
        <v>27.778333333333332</v>
      </c>
      <c r="R11248" s="8">
        <v>13.9</v>
      </c>
      <c r="S11248" s="8">
        <v>14.7</v>
      </c>
      <c r="T11248" s="8">
        <v>0.8</v>
      </c>
      <c r="U11248" s="8">
        <v>12.9</v>
      </c>
      <c r="V11248" s="8">
        <v>0.9</v>
      </c>
      <c r="W11248" s="8">
        <v>0.5</v>
      </c>
      <c r="X11248" s="8">
        <v>145</v>
      </c>
      <c r="Y11248" s="8" t="s">
        <v>47739</v>
      </c>
      <c r="Z11248" s="8" t="s">
        <v>47740</v>
      </c>
    </row>
    <row r="11249" spans="1:26" x14ac:dyDescent="0.2">
      <c r="A11249" s="8">
        <v>11248</v>
      </c>
      <c r="B11249" s="8" t="s">
        <v>47741</v>
      </c>
      <c r="C11249" s="8" t="s">
        <v>47741</v>
      </c>
      <c r="G11249" s="8">
        <v>20</v>
      </c>
      <c r="H11249" s="8" t="s">
        <v>21</v>
      </c>
      <c r="I11249" s="8" t="s">
        <v>72</v>
      </c>
      <c r="J11249" s="8" t="s">
        <v>72</v>
      </c>
      <c r="K11249" s="8" t="s">
        <v>20</v>
      </c>
      <c r="L11249" s="8" t="s">
        <v>17287</v>
      </c>
      <c r="M11249" s="8" t="s">
        <v>17288</v>
      </c>
      <c r="N11249" s="8" t="s">
        <v>47742</v>
      </c>
      <c r="O11249" s="8">
        <f>12+29/60+15.9/3600</f>
        <v>12.487749999999998</v>
      </c>
      <c r="P11249" s="8" t="s">
        <v>47743</v>
      </c>
      <c r="Q11249" s="8">
        <f>+(11+52/60+32/3600)</f>
        <v>11.875555555555556</v>
      </c>
      <c r="R11249" s="8">
        <v>99</v>
      </c>
      <c r="S11249" s="8">
        <v>10.9</v>
      </c>
      <c r="T11249" s="8">
        <v>99</v>
      </c>
      <c r="U11249" s="8">
        <v>99</v>
      </c>
      <c r="Y11249" s="8" t="s">
        <v>47744</v>
      </c>
      <c r="Z11249" s="8" t="s">
        <v>47745</v>
      </c>
    </row>
    <row r="11250" spans="1:26" x14ac:dyDescent="0.2">
      <c r="A11250" s="8">
        <v>11249</v>
      </c>
      <c r="B11250" s="8" t="s">
        <v>47746</v>
      </c>
      <c r="C11250" s="8" t="s">
        <v>47746</v>
      </c>
      <c r="G11250" s="8">
        <v>20</v>
      </c>
      <c r="H11250" s="8" t="s">
        <v>21</v>
      </c>
      <c r="I11250" s="8" t="s">
        <v>22</v>
      </c>
      <c r="J11250" s="8" t="s">
        <v>22</v>
      </c>
      <c r="K11250" s="8" t="s">
        <v>47747</v>
      </c>
      <c r="L11250" s="8" t="s">
        <v>18289</v>
      </c>
      <c r="M11250" s="8" t="s">
        <v>18290</v>
      </c>
      <c r="N11250" s="8" t="s">
        <v>47748</v>
      </c>
      <c r="O11250" s="8">
        <f>12+29/60+21.1/3600</f>
        <v>12.489194444444443</v>
      </c>
      <c r="P11250" s="8" t="s">
        <v>47749</v>
      </c>
      <c r="Q11250" s="8">
        <f>+(14+47/60+18/3600)</f>
        <v>14.788333333333334</v>
      </c>
      <c r="R11250" s="8">
        <v>15.3</v>
      </c>
      <c r="S11250" s="8">
        <v>16.100000000000001</v>
      </c>
      <c r="T11250" s="8">
        <v>0.8</v>
      </c>
      <c r="U11250" s="8">
        <v>13.8</v>
      </c>
      <c r="V11250" s="8">
        <v>0.7</v>
      </c>
      <c r="W11250" s="8">
        <v>0.4</v>
      </c>
      <c r="X11250" s="8">
        <v>130</v>
      </c>
      <c r="Y11250" s="8" t="s">
        <v>46249</v>
      </c>
      <c r="Z11250" s="8" t="s">
        <v>46250</v>
      </c>
    </row>
    <row r="11251" spans="1:26" x14ac:dyDescent="0.2">
      <c r="A11251" s="8">
        <v>11250</v>
      </c>
      <c r="B11251" s="8" t="s">
        <v>47750</v>
      </c>
      <c r="C11251" s="8" t="s">
        <v>47750</v>
      </c>
      <c r="G11251" s="8">
        <v>20</v>
      </c>
      <c r="H11251" s="8" t="s">
        <v>21</v>
      </c>
      <c r="I11251" s="8" t="s">
        <v>22</v>
      </c>
      <c r="J11251" s="8" t="s">
        <v>22</v>
      </c>
      <c r="K11251" s="8" t="s">
        <v>424</v>
      </c>
      <c r="L11251" s="8" t="s">
        <v>18289</v>
      </c>
      <c r="M11251" s="8" t="s">
        <v>18290</v>
      </c>
      <c r="N11251" s="8" t="s">
        <v>47751</v>
      </c>
      <c r="O11251" s="8">
        <f>12+29/60+6.1/3600</f>
        <v>12.485027777777777</v>
      </c>
      <c r="P11251" s="8" t="s">
        <v>47752</v>
      </c>
      <c r="Q11251" s="8">
        <f>+(19+0/60+18/3600)</f>
        <v>19.004999999999999</v>
      </c>
      <c r="R11251" s="8">
        <v>14.6</v>
      </c>
      <c r="S11251" s="8">
        <v>15.6</v>
      </c>
      <c r="T11251" s="8">
        <v>1</v>
      </c>
      <c r="U11251" s="8">
        <v>11</v>
      </c>
      <c r="V11251" s="8">
        <v>0.2</v>
      </c>
      <c r="W11251" s="8">
        <v>0.2</v>
      </c>
      <c r="Y11251" s="8" t="s">
        <v>46471</v>
      </c>
      <c r="Z11251" s="8" t="s">
        <v>46472</v>
      </c>
    </row>
    <row r="11252" spans="1:26" x14ac:dyDescent="0.2">
      <c r="A11252" s="8">
        <v>11251</v>
      </c>
      <c r="B11252" s="8" t="s">
        <v>47753</v>
      </c>
      <c r="C11252" s="8" t="s">
        <v>47753</v>
      </c>
      <c r="G11252" s="8">
        <v>20</v>
      </c>
      <c r="H11252" s="8" t="s">
        <v>21</v>
      </c>
      <c r="I11252" s="8" t="s">
        <v>22</v>
      </c>
      <c r="J11252" s="8" t="s">
        <v>22</v>
      </c>
      <c r="K11252" s="8" t="s">
        <v>449</v>
      </c>
      <c r="L11252" s="8" t="s">
        <v>18289</v>
      </c>
      <c r="M11252" s="8" t="s">
        <v>18290</v>
      </c>
      <c r="N11252" s="8" t="s">
        <v>47754</v>
      </c>
      <c r="O11252" s="8">
        <f>12+29/60+12.4/3600</f>
        <v>12.486777777777776</v>
      </c>
      <c r="P11252" s="8" t="s">
        <v>47755</v>
      </c>
      <c r="Q11252" s="8">
        <f>+(24+35/60+2/3600)</f>
        <v>24.583888888888886</v>
      </c>
      <c r="R11252" s="8">
        <v>15.7</v>
      </c>
      <c r="S11252" s="8">
        <v>16.5</v>
      </c>
      <c r="T11252" s="8">
        <v>0.8</v>
      </c>
      <c r="U11252" s="8">
        <v>13.1</v>
      </c>
      <c r="V11252" s="8">
        <v>0.5</v>
      </c>
      <c r="W11252" s="8">
        <v>0.2</v>
      </c>
      <c r="X11252" s="8">
        <v>175</v>
      </c>
      <c r="Y11252" s="8" t="s">
        <v>21</v>
      </c>
      <c r="Z11252" s="8" t="s">
        <v>47756</v>
      </c>
    </row>
    <row r="11253" spans="1:26" x14ac:dyDescent="0.2">
      <c r="A11253" s="8">
        <v>11252</v>
      </c>
      <c r="B11253" s="8" t="s">
        <v>47757</v>
      </c>
      <c r="C11253" s="8" t="s">
        <v>47757</v>
      </c>
      <c r="G11253" s="8">
        <v>20</v>
      </c>
      <c r="H11253" s="8" t="s">
        <v>21</v>
      </c>
      <c r="I11253" s="8" t="s">
        <v>22</v>
      </c>
      <c r="J11253" s="8" t="s">
        <v>22</v>
      </c>
      <c r="K11253" s="8" t="s">
        <v>47609</v>
      </c>
      <c r="L11253" s="8" t="s">
        <v>17287</v>
      </c>
      <c r="M11253" s="8" t="s">
        <v>17288</v>
      </c>
      <c r="N11253" s="8" t="s">
        <v>47758</v>
      </c>
      <c r="O11253" s="8">
        <f>12+29/60+22.6/3600</f>
        <v>12.48961111111111</v>
      </c>
      <c r="P11253" s="8" t="s">
        <v>47759</v>
      </c>
      <c r="Q11253" s="8">
        <f>+(9+59/60+16/3600)</f>
        <v>9.9877777777777776</v>
      </c>
      <c r="R11253" s="8">
        <v>14.5</v>
      </c>
      <c r="S11253" s="8">
        <v>15.3</v>
      </c>
      <c r="T11253" s="8">
        <v>0.8</v>
      </c>
      <c r="U11253" s="8">
        <v>12.7</v>
      </c>
      <c r="V11253" s="8">
        <v>0.7</v>
      </c>
      <c r="W11253" s="8">
        <v>0.3</v>
      </c>
      <c r="X11253" s="8">
        <v>159</v>
      </c>
      <c r="Y11253" s="8" t="s">
        <v>46795</v>
      </c>
      <c r="Z11253" s="8" t="s">
        <v>33673</v>
      </c>
    </row>
    <row r="11254" spans="1:26" x14ac:dyDescent="0.2">
      <c r="A11254" s="8">
        <v>11253</v>
      </c>
      <c r="B11254" s="8" t="s">
        <v>47760</v>
      </c>
      <c r="C11254" s="8" t="s">
        <v>47760</v>
      </c>
      <c r="G11254" s="8">
        <v>20</v>
      </c>
      <c r="H11254" s="8" t="s">
        <v>21</v>
      </c>
      <c r="I11254" s="8" t="s">
        <v>22</v>
      </c>
      <c r="J11254" s="8" t="s">
        <v>22</v>
      </c>
      <c r="K11254" s="8" t="s">
        <v>50</v>
      </c>
      <c r="L11254" s="8" t="s">
        <v>17287</v>
      </c>
      <c r="M11254" s="8" t="s">
        <v>17288</v>
      </c>
      <c r="N11254" s="8" t="s">
        <v>47758</v>
      </c>
      <c r="O11254" s="8">
        <f>12+29/60+22.6/3600</f>
        <v>12.48961111111111</v>
      </c>
      <c r="P11254" s="8" t="s">
        <v>47761</v>
      </c>
      <c r="Q11254" s="8">
        <f>+(11+26/60+1/3600)</f>
        <v>11.433611111111111</v>
      </c>
      <c r="R11254" s="8">
        <v>13.6</v>
      </c>
      <c r="S11254" s="8">
        <v>14.6</v>
      </c>
      <c r="T11254" s="8">
        <v>1</v>
      </c>
      <c r="U11254" s="8">
        <v>13.1</v>
      </c>
      <c r="V11254" s="8">
        <v>1</v>
      </c>
      <c r="W11254" s="8">
        <v>0.6</v>
      </c>
      <c r="X11254" s="8">
        <v>160</v>
      </c>
      <c r="Y11254" s="8" t="s">
        <v>115</v>
      </c>
      <c r="Z11254" s="8" t="s">
        <v>116</v>
      </c>
    </row>
    <row r="11255" spans="1:26" x14ac:dyDescent="0.2">
      <c r="A11255" s="8">
        <v>11254</v>
      </c>
      <c r="B11255" s="8" t="s">
        <v>47762</v>
      </c>
      <c r="C11255" s="8" t="s">
        <v>47762</v>
      </c>
      <c r="G11255" s="8">
        <v>20</v>
      </c>
      <c r="H11255" s="8" t="s">
        <v>21</v>
      </c>
      <c r="I11255" s="8" t="s">
        <v>22</v>
      </c>
      <c r="J11255" s="8" t="s">
        <v>22</v>
      </c>
      <c r="K11255" s="8" t="s">
        <v>773</v>
      </c>
      <c r="L11255" s="8" t="s">
        <v>17287</v>
      </c>
      <c r="M11255" s="8" t="s">
        <v>17288</v>
      </c>
      <c r="N11255" s="8" t="s">
        <v>47763</v>
      </c>
      <c r="O11255" s="8">
        <f>12+29/60+28.9/3600</f>
        <v>12.491361111111111</v>
      </c>
      <c r="P11255" s="8" t="s">
        <v>47764</v>
      </c>
      <c r="Q11255" s="8">
        <f>+(6+46/60+12/3600)</f>
        <v>6.77</v>
      </c>
      <c r="R11255" s="8">
        <v>13.3</v>
      </c>
      <c r="S11255" s="8">
        <v>13.8</v>
      </c>
      <c r="T11255" s="8">
        <v>0.5</v>
      </c>
      <c r="U11255" s="8">
        <v>13.5</v>
      </c>
      <c r="V11255" s="8">
        <v>1.5</v>
      </c>
      <c r="W11255" s="8">
        <v>0.9</v>
      </c>
      <c r="X11255" s="8">
        <v>35</v>
      </c>
      <c r="Y11255" s="8" t="s">
        <v>47765</v>
      </c>
      <c r="Z11255" s="8" t="s">
        <v>47766</v>
      </c>
    </row>
    <row r="11256" spans="1:26" x14ac:dyDescent="0.2">
      <c r="A11256" s="8">
        <v>11255</v>
      </c>
      <c r="B11256" s="8" t="s">
        <v>47767</v>
      </c>
      <c r="C11256" s="8" t="s">
        <v>47767</v>
      </c>
      <c r="G11256" s="8">
        <v>20</v>
      </c>
      <c r="H11256" s="8" t="s">
        <v>21</v>
      </c>
      <c r="I11256" s="8" t="s">
        <v>72</v>
      </c>
      <c r="J11256" s="8" t="s">
        <v>72</v>
      </c>
      <c r="K11256" s="8" t="s">
        <v>20</v>
      </c>
      <c r="L11256" s="8" t="s">
        <v>18289</v>
      </c>
      <c r="M11256" s="8" t="s">
        <v>18290</v>
      </c>
      <c r="N11256" s="8" t="s">
        <v>47768</v>
      </c>
      <c r="O11256" s="8">
        <f>12+29/60+21.9/3600</f>
        <v>12.489416666666665</v>
      </c>
      <c r="P11256" s="8" t="s">
        <v>47769</v>
      </c>
      <c r="Q11256" s="8">
        <f>+(26+45/60+57/3600)</f>
        <v>26.765833333333333</v>
      </c>
      <c r="R11256" s="8">
        <v>99</v>
      </c>
      <c r="S11256" s="8">
        <v>99</v>
      </c>
      <c r="T11256" s="8">
        <v>99</v>
      </c>
      <c r="U11256" s="8">
        <v>99</v>
      </c>
      <c r="Y11256" s="8" t="s">
        <v>47770</v>
      </c>
      <c r="Z11256" s="8" t="s">
        <v>47771</v>
      </c>
    </row>
    <row r="11257" spans="1:26" x14ac:dyDescent="0.2">
      <c r="A11257" s="8">
        <v>11256</v>
      </c>
      <c r="B11257" s="8" t="s">
        <v>47772</v>
      </c>
      <c r="C11257" s="8" t="s">
        <v>47772</v>
      </c>
      <c r="E11257" s="8">
        <v>1</v>
      </c>
      <c r="G11257" s="8">
        <v>20</v>
      </c>
      <c r="H11257" s="8" t="s">
        <v>21</v>
      </c>
      <c r="I11257" s="8" t="s">
        <v>22</v>
      </c>
      <c r="J11257" s="8" t="s">
        <v>22</v>
      </c>
      <c r="K11257" s="8" t="s">
        <v>476</v>
      </c>
      <c r="L11257" s="8" t="s">
        <v>17287</v>
      </c>
      <c r="M11257" s="8" t="s">
        <v>17288</v>
      </c>
      <c r="N11257" s="8" t="s">
        <v>47773</v>
      </c>
      <c r="O11257" s="8">
        <f>12+29/60+35.5/3600</f>
        <v>12.493194444444443</v>
      </c>
      <c r="P11257" s="8" t="s">
        <v>47774</v>
      </c>
      <c r="Q11257" s="8">
        <f>+(10+47/60+38/3600)</f>
        <v>10.793888888888889</v>
      </c>
      <c r="R11257" s="8">
        <v>14.7</v>
      </c>
      <c r="S11257" s="8">
        <v>15.5</v>
      </c>
      <c r="T11257" s="8">
        <v>0.8</v>
      </c>
      <c r="U11257" s="8">
        <v>13.4</v>
      </c>
      <c r="V11257" s="8">
        <v>0.9</v>
      </c>
      <c r="W11257" s="8">
        <v>0.4</v>
      </c>
      <c r="X11257" s="8">
        <v>90</v>
      </c>
      <c r="Y11257" s="8" t="s">
        <v>21</v>
      </c>
      <c r="Z11257" s="8" t="s">
        <v>47775</v>
      </c>
    </row>
    <row r="11258" spans="1:26" x14ac:dyDescent="0.2">
      <c r="A11258" s="8">
        <v>11257</v>
      </c>
      <c r="B11258" s="8" t="s">
        <v>47776</v>
      </c>
      <c r="C11258" s="8" t="s">
        <v>47776</v>
      </c>
      <c r="G11258" s="8">
        <v>20</v>
      </c>
      <c r="H11258" s="8" t="s">
        <v>21</v>
      </c>
      <c r="I11258" s="8" t="s">
        <v>72</v>
      </c>
      <c r="J11258" s="8" t="s">
        <v>72</v>
      </c>
      <c r="K11258" s="8" t="s">
        <v>20</v>
      </c>
      <c r="L11258" s="8" t="s">
        <v>17287</v>
      </c>
      <c r="M11258" s="8" t="s">
        <v>17288</v>
      </c>
      <c r="N11258" s="8" t="s">
        <v>47777</v>
      </c>
      <c r="O11258" s="8">
        <f>12+29/60+39.1/3600</f>
        <v>12.494194444444444</v>
      </c>
      <c r="P11258" s="8" t="s">
        <v>47778</v>
      </c>
      <c r="Q11258" s="8">
        <f>+(7+51/60+40/3600)</f>
        <v>7.8611111111111107</v>
      </c>
      <c r="R11258" s="8">
        <v>99</v>
      </c>
      <c r="S11258" s="8">
        <v>99</v>
      </c>
      <c r="T11258" s="8">
        <v>99</v>
      </c>
      <c r="U11258" s="8">
        <v>99</v>
      </c>
      <c r="Y11258" s="8" t="s">
        <v>47779</v>
      </c>
      <c r="Z11258" s="8" t="s">
        <v>47780</v>
      </c>
    </row>
    <row r="11259" spans="1:26" x14ac:dyDescent="0.2">
      <c r="A11259" s="8">
        <v>11258</v>
      </c>
      <c r="B11259" s="8" t="s">
        <v>47781</v>
      </c>
      <c r="C11259" s="8" t="s">
        <v>47781</v>
      </c>
      <c r="G11259" s="8">
        <v>20</v>
      </c>
      <c r="H11259" s="8" t="s">
        <v>21</v>
      </c>
      <c r="I11259" s="8" t="s">
        <v>22</v>
      </c>
      <c r="J11259" s="8" t="s">
        <v>22</v>
      </c>
      <c r="K11259" s="8" t="s">
        <v>107</v>
      </c>
      <c r="L11259" s="8" t="s">
        <v>17287</v>
      </c>
      <c r="M11259" s="8" t="s">
        <v>17288</v>
      </c>
      <c r="N11259" s="8" t="s">
        <v>47782</v>
      </c>
      <c r="O11259" s="8">
        <f>12+29/60+42.5/3600</f>
        <v>12.495138888888889</v>
      </c>
      <c r="P11259" s="8" t="s">
        <v>47783</v>
      </c>
      <c r="Q11259" s="8">
        <f>+(11+24/60+3/3600)</f>
        <v>11.400833333333333</v>
      </c>
      <c r="R11259" s="8">
        <v>13.8</v>
      </c>
      <c r="S11259" s="8">
        <v>14.4</v>
      </c>
      <c r="T11259" s="8">
        <v>0.6</v>
      </c>
      <c r="U11259" s="8">
        <v>14.1</v>
      </c>
      <c r="V11259" s="8">
        <v>1.5</v>
      </c>
      <c r="W11259" s="8">
        <v>1</v>
      </c>
      <c r="X11259" s="8">
        <v>45</v>
      </c>
      <c r="Y11259" s="8" t="s">
        <v>47784</v>
      </c>
      <c r="Z11259" s="8" t="s">
        <v>47785</v>
      </c>
    </row>
    <row r="11260" spans="1:26" x14ac:dyDescent="0.2">
      <c r="A11260" s="8">
        <v>11259</v>
      </c>
      <c r="B11260" s="8" t="s">
        <v>47786</v>
      </c>
      <c r="C11260" s="8" t="s">
        <v>47786</v>
      </c>
      <c r="G11260" s="8">
        <v>20</v>
      </c>
      <c r="H11260" s="8" t="s">
        <v>21</v>
      </c>
      <c r="I11260" s="8" t="s">
        <v>22</v>
      </c>
      <c r="J11260" s="8" t="s">
        <v>22</v>
      </c>
      <c r="K11260" s="8" t="s">
        <v>58</v>
      </c>
      <c r="L11260" s="8" t="s">
        <v>18289</v>
      </c>
      <c r="M11260" s="8" t="s">
        <v>18290</v>
      </c>
      <c r="N11260" s="8" t="s">
        <v>47787</v>
      </c>
      <c r="O11260" s="8">
        <f>12+29/60+44.6/3600</f>
        <v>12.495722222222222</v>
      </c>
      <c r="P11260" s="8" t="s">
        <v>47788</v>
      </c>
      <c r="Q11260" s="8">
        <f>+(15+1/60+27/3600)</f>
        <v>15.024166666666668</v>
      </c>
      <c r="R11260" s="8">
        <v>15.5</v>
      </c>
      <c r="S11260" s="8">
        <v>16.5</v>
      </c>
      <c r="T11260" s="8">
        <v>1</v>
      </c>
      <c r="U11260" s="8">
        <v>13.7</v>
      </c>
      <c r="V11260" s="8">
        <v>0.6</v>
      </c>
      <c r="W11260" s="8">
        <v>0.3</v>
      </c>
      <c r="X11260" s="8">
        <v>5</v>
      </c>
      <c r="Y11260" s="8" t="s">
        <v>47789</v>
      </c>
      <c r="Z11260" s="8" t="s">
        <v>47790</v>
      </c>
    </row>
    <row r="11261" spans="1:26" x14ac:dyDescent="0.2">
      <c r="A11261" s="8">
        <v>11260</v>
      </c>
      <c r="B11261" s="8" t="s">
        <v>47791</v>
      </c>
      <c r="C11261" s="8" t="s">
        <v>47791</v>
      </c>
      <c r="G11261" s="8">
        <v>20</v>
      </c>
      <c r="H11261" s="8" t="s">
        <v>21</v>
      </c>
      <c r="I11261" s="8" t="s">
        <v>72</v>
      </c>
      <c r="J11261" s="8" t="s">
        <v>72</v>
      </c>
      <c r="K11261" s="8" t="s">
        <v>20</v>
      </c>
      <c r="L11261" s="8" t="s">
        <v>18289</v>
      </c>
      <c r="M11261" s="8" t="s">
        <v>18290</v>
      </c>
      <c r="N11261" s="8" t="s">
        <v>47792</v>
      </c>
      <c r="O11261" s="8">
        <f>12+29/60+42.7/3600</f>
        <v>12.495194444444444</v>
      </c>
      <c r="P11261" s="8" t="s">
        <v>47793</v>
      </c>
      <c r="Q11261" s="8">
        <f>+(13+26/60+46/3600)</f>
        <v>13.446111111111112</v>
      </c>
      <c r="R11261" s="8">
        <v>99</v>
      </c>
      <c r="S11261" s="8">
        <v>99</v>
      </c>
      <c r="T11261" s="8">
        <v>99</v>
      </c>
      <c r="U11261" s="8">
        <v>99</v>
      </c>
      <c r="Y11261" s="8" t="s">
        <v>47794</v>
      </c>
      <c r="Z11261" s="8" t="s">
        <v>47795</v>
      </c>
    </row>
    <row r="11262" spans="1:26" x14ac:dyDescent="0.2">
      <c r="A11262" s="8">
        <v>11261</v>
      </c>
      <c r="B11262" s="8" t="s">
        <v>47796</v>
      </c>
      <c r="C11262" s="8" t="s">
        <v>47796</v>
      </c>
      <c r="G11262" s="8">
        <v>20</v>
      </c>
      <c r="H11262" s="8" t="s">
        <v>21</v>
      </c>
      <c r="I11262" s="8" t="s">
        <v>22</v>
      </c>
      <c r="J11262" s="8" t="s">
        <v>22</v>
      </c>
      <c r="K11262" s="8" t="s">
        <v>476</v>
      </c>
      <c r="L11262" s="8" t="s">
        <v>18289</v>
      </c>
      <c r="M11262" s="8" t="s">
        <v>18290</v>
      </c>
      <c r="N11262" s="8" t="s">
        <v>47797</v>
      </c>
      <c r="O11262" s="8">
        <f>12+29/60+38.8/3600</f>
        <v>12.49411111111111</v>
      </c>
      <c r="P11262" s="8" t="s">
        <v>47798</v>
      </c>
      <c r="Q11262" s="8">
        <f>+(26+13/60+52/3600)</f>
        <v>26.231111111111108</v>
      </c>
      <c r="R11262" s="8">
        <v>14.9</v>
      </c>
      <c r="S11262" s="8">
        <v>15.8</v>
      </c>
      <c r="T11262" s="8">
        <v>0.9</v>
      </c>
      <c r="U11262" s="8">
        <v>13.6</v>
      </c>
      <c r="V11262" s="8">
        <v>0.7</v>
      </c>
      <c r="W11262" s="8">
        <v>0.5</v>
      </c>
      <c r="X11262" s="8">
        <v>33</v>
      </c>
      <c r="Y11262" s="8" t="s">
        <v>47799</v>
      </c>
      <c r="Z11262" s="8" t="s">
        <v>47800</v>
      </c>
    </row>
    <row r="11263" spans="1:26" x14ac:dyDescent="0.2">
      <c r="A11263" s="8">
        <v>11262</v>
      </c>
      <c r="B11263" s="8" t="s">
        <v>47801</v>
      </c>
      <c r="C11263" s="8" t="s">
        <v>47801</v>
      </c>
      <c r="G11263" s="8">
        <v>20</v>
      </c>
      <c r="H11263" s="8" t="s">
        <v>21</v>
      </c>
      <c r="I11263" s="8" t="s">
        <v>22</v>
      </c>
      <c r="J11263" s="8" t="s">
        <v>22</v>
      </c>
      <c r="K11263" s="8" t="s">
        <v>460</v>
      </c>
      <c r="L11263" s="8" t="s">
        <v>18289</v>
      </c>
      <c r="M11263" s="8" t="s">
        <v>18290</v>
      </c>
      <c r="N11263" s="8" t="s">
        <v>47802</v>
      </c>
      <c r="O11263" s="8">
        <f>12+29/60+54.6/3600</f>
        <v>12.4985</v>
      </c>
      <c r="P11263" s="8" t="s">
        <v>47803</v>
      </c>
      <c r="Q11263" s="8">
        <f>+(14+41/60+18/3600)</f>
        <v>14.688333333333334</v>
      </c>
      <c r="R11263" s="8">
        <v>15</v>
      </c>
      <c r="S11263" s="8">
        <v>16</v>
      </c>
      <c r="T11263" s="8">
        <v>1</v>
      </c>
      <c r="U11263" s="8">
        <v>13.6</v>
      </c>
      <c r="V11263" s="8">
        <v>0.5</v>
      </c>
      <c r="W11263" s="8">
        <v>0.5</v>
      </c>
      <c r="Y11263" s="8" t="s">
        <v>46249</v>
      </c>
      <c r="Z11263" s="8" t="s">
        <v>46250</v>
      </c>
    </row>
    <row r="11264" spans="1:26" x14ac:dyDescent="0.2">
      <c r="A11264" s="8">
        <v>11263</v>
      </c>
      <c r="B11264" s="8" t="s">
        <v>47804</v>
      </c>
      <c r="C11264" s="8" t="s">
        <v>47804</v>
      </c>
      <c r="G11264" s="8">
        <v>20</v>
      </c>
      <c r="H11264" s="8" t="s">
        <v>21</v>
      </c>
      <c r="I11264" s="8" t="s">
        <v>72</v>
      </c>
      <c r="J11264" s="8" t="s">
        <v>72</v>
      </c>
      <c r="K11264" s="8" t="s">
        <v>20</v>
      </c>
      <c r="L11264" s="8" t="s">
        <v>18289</v>
      </c>
      <c r="M11264" s="8" t="s">
        <v>18290</v>
      </c>
      <c r="N11264" s="8" t="s">
        <v>47805</v>
      </c>
      <c r="O11264" s="8">
        <f>12+29/60+46.5/3600</f>
        <v>12.49625</v>
      </c>
      <c r="P11264" s="8" t="s">
        <v>47806</v>
      </c>
      <c r="Q11264" s="8">
        <f>+(13+39/60+32/3600)</f>
        <v>13.658888888888889</v>
      </c>
      <c r="R11264" s="8">
        <v>99</v>
      </c>
      <c r="S11264" s="8">
        <v>99</v>
      </c>
      <c r="T11264" s="8">
        <v>99</v>
      </c>
      <c r="U11264" s="8">
        <v>99</v>
      </c>
      <c r="Y11264" s="8" t="s">
        <v>282</v>
      </c>
      <c r="Z11264" s="8" t="s">
        <v>283</v>
      </c>
    </row>
    <row r="11265" spans="1:26" x14ac:dyDescent="0.2">
      <c r="A11265" s="8">
        <v>11264</v>
      </c>
      <c r="B11265" s="8" t="s">
        <v>47807</v>
      </c>
      <c r="C11265" s="8" t="s">
        <v>47807</v>
      </c>
      <c r="G11265" s="8">
        <v>20</v>
      </c>
      <c r="H11265" s="8" t="s">
        <v>21</v>
      </c>
      <c r="I11265" s="8" t="s">
        <v>22</v>
      </c>
      <c r="J11265" s="8" t="s">
        <v>22</v>
      </c>
      <c r="K11265" s="8" t="s">
        <v>37</v>
      </c>
      <c r="L11265" s="8" t="s">
        <v>18289</v>
      </c>
      <c r="M11265" s="8" t="s">
        <v>18290</v>
      </c>
      <c r="N11265" s="8" t="s">
        <v>47808</v>
      </c>
      <c r="O11265" s="8">
        <f>12+29/60+45/3600</f>
        <v>12.495833333333332</v>
      </c>
      <c r="P11265" s="8" t="s">
        <v>47809</v>
      </c>
      <c r="Q11265" s="8">
        <f>+(24+24/60+30/3600)</f>
        <v>24.408333333333331</v>
      </c>
      <c r="R11265" s="8">
        <v>15.8</v>
      </c>
      <c r="S11265" s="8">
        <v>16.8</v>
      </c>
      <c r="T11265" s="8">
        <v>1</v>
      </c>
      <c r="U11265" s="8">
        <v>11.4</v>
      </c>
      <c r="V11265" s="8">
        <v>0.2</v>
      </c>
      <c r="W11265" s="8">
        <v>0.1</v>
      </c>
      <c r="X11265" s="8">
        <v>100</v>
      </c>
      <c r="Y11265" s="8" t="s">
        <v>25800</v>
      </c>
      <c r="Z11265" s="8" t="s">
        <v>25801</v>
      </c>
    </row>
    <row r="11266" spans="1:26" x14ac:dyDescent="0.2">
      <c r="A11266" s="8">
        <v>11265</v>
      </c>
      <c r="B11266" s="8" t="s">
        <v>47810</v>
      </c>
      <c r="C11266" s="8" t="s">
        <v>47810</v>
      </c>
      <c r="G11266" s="8">
        <v>20</v>
      </c>
      <c r="H11266" s="8" t="s">
        <v>21</v>
      </c>
      <c r="I11266" s="8" t="s">
        <v>22</v>
      </c>
      <c r="J11266" s="8" t="s">
        <v>22</v>
      </c>
      <c r="K11266" s="8" t="s">
        <v>37</v>
      </c>
      <c r="L11266" s="8" t="s">
        <v>17287</v>
      </c>
      <c r="M11266" s="8" t="s">
        <v>17288</v>
      </c>
      <c r="N11266" s="8" t="s">
        <v>47811</v>
      </c>
      <c r="O11266" s="8">
        <f>12+29/60+56.5/3600</f>
        <v>12.499027777777776</v>
      </c>
      <c r="P11266" s="8" t="s">
        <v>47812</v>
      </c>
      <c r="Q11266" s="8">
        <f>+(10+36/60+56/3600)</f>
        <v>10.615555555555556</v>
      </c>
      <c r="R11266" s="8">
        <v>13.6</v>
      </c>
      <c r="S11266" s="8">
        <v>14.6</v>
      </c>
      <c r="T11266" s="8">
        <v>1</v>
      </c>
      <c r="U11266" s="8">
        <v>13.6</v>
      </c>
      <c r="V11266" s="8">
        <v>1.6</v>
      </c>
      <c r="W11266" s="8">
        <v>0.7</v>
      </c>
      <c r="X11266" s="8">
        <v>35</v>
      </c>
      <c r="Y11266" s="8" t="s">
        <v>46310</v>
      </c>
      <c r="Z11266" s="8" t="s">
        <v>46311</v>
      </c>
    </row>
    <row r="11267" spans="1:26" x14ac:dyDescent="0.2">
      <c r="A11267" s="8">
        <v>11266</v>
      </c>
      <c r="B11267" s="8" t="s">
        <v>47813</v>
      </c>
      <c r="C11267" s="8" t="s">
        <v>47813</v>
      </c>
      <c r="G11267" s="8">
        <v>20</v>
      </c>
      <c r="H11267" s="8" t="s">
        <v>21</v>
      </c>
      <c r="I11267" s="8" t="s">
        <v>72</v>
      </c>
      <c r="J11267" s="8" t="s">
        <v>72</v>
      </c>
      <c r="K11267" s="8" t="s">
        <v>20</v>
      </c>
      <c r="L11267" s="8" t="s">
        <v>18289</v>
      </c>
      <c r="M11267" s="8" t="s">
        <v>18290</v>
      </c>
      <c r="N11267" s="8" t="s">
        <v>47814</v>
      </c>
      <c r="O11267" s="8">
        <f>12+30/60+1.5/3600</f>
        <v>12.500416666666666</v>
      </c>
      <c r="P11267" s="8" t="s">
        <v>47815</v>
      </c>
      <c r="Q11267" s="8">
        <f>+(13+35/60+54/3600)</f>
        <v>13.598333333333334</v>
      </c>
      <c r="R11267" s="8">
        <v>99</v>
      </c>
      <c r="S11267" s="8">
        <v>15</v>
      </c>
      <c r="T11267" s="8">
        <v>99</v>
      </c>
      <c r="U11267" s="8">
        <v>99</v>
      </c>
      <c r="Y11267" s="8" t="s">
        <v>282</v>
      </c>
      <c r="Z11267" s="8" t="s">
        <v>283</v>
      </c>
    </row>
    <row r="11268" spans="1:26" x14ac:dyDescent="0.2">
      <c r="A11268" s="8">
        <v>11267</v>
      </c>
      <c r="B11268" s="8" t="s">
        <v>47816</v>
      </c>
      <c r="C11268" s="8" t="s">
        <v>47816</v>
      </c>
      <c r="G11268" s="8">
        <v>20</v>
      </c>
      <c r="H11268" s="8" t="s">
        <v>21</v>
      </c>
      <c r="I11268" s="8" t="s">
        <v>22</v>
      </c>
      <c r="J11268" s="8" t="s">
        <v>57</v>
      </c>
      <c r="K11268" s="8" t="s">
        <v>50</v>
      </c>
      <c r="L11268" s="8" t="s">
        <v>17287</v>
      </c>
      <c r="M11268" s="8" t="s">
        <v>17288</v>
      </c>
      <c r="N11268" s="8" t="s">
        <v>20275</v>
      </c>
      <c r="O11268" s="8">
        <f>12+30/60+10.3/3600</f>
        <v>12.502861111111111</v>
      </c>
      <c r="P11268" s="8" t="s">
        <v>20276</v>
      </c>
      <c r="Q11268" s="8">
        <f>+(10+46/60+45/3600)</f>
        <v>10.779166666666667</v>
      </c>
      <c r="R11268" s="8">
        <v>12.7</v>
      </c>
      <c r="S11268" s="8">
        <v>13.7</v>
      </c>
      <c r="T11268" s="8">
        <v>1</v>
      </c>
      <c r="U11268" s="8">
        <v>13.3</v>
      </c>
      <c r="V11268" s="8">
        <v>1.7</v>
      </c>
      <c r="W11268" s="8">
        <v>1</v>
      </c>
      <c r="X11268" s="8">
        <v>145</v>
      </c>
      <c r="Y11268" s="8" t="s">
        <v>47817</v>
      </c>
      <c r="Z11268" s="8" t="s">
        <v>47818</v>
      </c>
    </row>
    <row r="11269" spans="1:26" x14ac:dyDescent="0.2">
      <c r="A11269" s="8">
        <v>11268</v>
      </c>
      <c r="B11269" s="8" t="s">
        <v>47819</v>
      </c>
      <c r="C11269" s="8" t="s">
        <v>47819</v>
      </c>
      <c r="G11269" s="8">
        <v>20</v>
      </c>
      <c r="H11269" s="8" t="s">
        <v>21</v>
      </c>
      <c r="I11269" s="8" t="s">
        <v>72</v>
      </c>
      <c r="J11269" s="8" t="s">
        <v>72</v>
      </c>
      <c r="K11269" s="8" t="s">
        <v>20</v>
      </c>
      <c r="L11269" s="8" t="s">
        <v>18289</v>
      </c>
      <c r="M11269" s="8" t="s">
        <v>18290</v>
      </c>
      <c r="N11269" s="8" t="s">
        <v>47820</v>
      </c>
      <c r="O11269" s="8">
        <f>12+30/60+7.6/3600</f>
        <v>12.502111111111111</v>
      </c>
      <c r="P11269" s="8" t="s">
        <v>47821</v>
      </c>
      <c r="Q11269" s="8">
        <f>+(23+40/60+30/3600)</f>
        <v>23.675000000000001</v>
      </c>
      <c r="R11269" s="8">
        <v>99</v>
      </c>
      <c r="S11269" s="8">
        <v>14.3</v>
      </c>
      <c r="T11269" s="8">
        <v>99</v>
      </c>
      <c r="U11269" s="8">
        <v>99</v>
      </c>
      <c r="Y11269" s="8" t="s">
        <v>2641</v>
      </c>
      <c r="Z11269" s="8" t="s">
        <v>2642</v>
      </c>
    </row>
    <row r="11270" spans="1:26" x14ac:dyDescent="0.2">
      <c r="A11270" s="8">
        <v>11269</v>
      </c>
      <c r="B11270" s="8" t="s">
        <v>47822</v>
      </c>
      <c r="C11270" s="8" t="s">
        <v>47822</v>
      </c>
      <c r="G11270" s="8">
        <v>20</v>
      </c>
      <c r="H11270" s="8" t="s">
        <v>21</v>
      </c>
      <c r="I11270" s="8" t="s">
        <v>22</v>
      </c>
      <c r="J11270" s="8" t="s">
        <v>22</v>
      </c>
      <c r="K11270" s="8" t="s">
        <v>37858</v>
      </c>
      <c r="L11270" s="8" t="s">
        <v>18289</v>
      </c>
      <c r="M11270" s="8" t="s">
        <v>18290</v>
      </c>
      <c r="N11270" s="8" t="s">
        <v>47823</v>
      </c>
      <c r="O11270" s="8">
        <f>12+30/60+7.9/3600</f>
        <v>12.502194444444445</v>
      </c>
      <c r="P11270" s="8" t="s">
        <v>47824</v>
      </c>
      <c r="Q11270" s="8">
        <f>+(23+32/60+44/3600)</f>
        <v>23.545555555555556</v>
      </c>
      <c r="R11270" s="8">
        <v>15.4</v>
      </c>
      <c r="S11270" s="8">
        <v>16.2</v>
      </c>
      <c r="T11270" s="8">
        <v>0.8</v>
      </c>
      <c r="U11270" s="8">
        <v>13.3</v>
      </c>
      <c r="V11270" s="8">
        <v>0.4</v>
      </c>
      <c r="W11270" s="8">
        <v>0.4</v>
      </c>
      <c r="Y11270" s="8" t="s">
        <v>45158</v>
      </c>
      <c r="Z11270" s="8" t="s">
        <v>45159</v>
      </c>
    </row>
    <row r="11271" spans="1:26" x14ac:dyDescent="0.2">
      <c r="A11271" s="8">
        <v>11270</v>
      </c>
      <c r="B11271" s="8" t="s">
        <v>47825</v>
      </c>
      <c r="C11271" s="8" t="s">
        <v>47825</v>
      </c>
      <c r="G11271" s="8">
        <v>20</v>
      </c>
      <c r="H11271" s="8" t="s">
        <v>21</v>
      </c>
      <c r="I11271" s="8" t="s">
        <v>22</v>
      </c>
      <c r="J11271" s="8" t="s">
        <v>22</v>
      </c>
      <c r="K11271" s="8" t="s">
        <v>476</v>
      </c>
      <c r="L11271" s="8" t="s">
        <v>17287</v>
      </c>
      <c r="M11271" s="8" t="s">
        <v>17288</v>
      </c>
      <c r="N11271" s="8" t="s">
        <v>47826</v>
      </c>
      <c r="O11271" s="8">
        <f>12+30/60+17.1/3600</f>
        <v>12.50475</v>
      </c>
      <c r="P11271" s="8" t="s">
        <v>47827</v>
      </c>
      <c r="Q11271" s="8">
        <f>+(9+5/60+4/3600)</f>
        <v>9.0844444444444452</v>
      </c>
      <c r="R11271" s="8">
        <v>14.5</v>
      </c>
      <c r="S11271" s="8">
        <v>15.3</v>
      </c>
      <c r="T11271" s="8">
        <v>0.8</v>
      </c>
      <c r="U11271" s="8">
        <v>13.4</v>
      </c>
      <c r="V11271" s="8">
        <v>1</v>
      </c>
      <c r="W11271" s="8">
        <v>0.4</v>
      </c>
      <c r="X11271" s="8">
        <v>115</v>
      </c>
      <c r="Y11271" s="8" t="s">
        <v>47235</v>
      </c>
      <c r="Z11271" s="8" t="s">
        <v>47236</v>
      </c>
    </row>
    <row r="11272" spans="1:26" x14ac:dyDescent="0.2">
      <c r="A11272" s="8">
        <v>11271</v>
      </c>
      <c r="B11272" s="8" t="s">
        <v>47828</v>
      </c>
      <c r="C11272" s="8" t="s">
        <v>47828</v>
      </c>
      <c r="G11272" s="8">
        <v>20</v>
      </c>
      <c r="H11272" s="8" t="s">
        <v>21</v>
      </c>
      <c r="I11272" s="8" t="s">
        <v>22</v>
      </c>
      <c r="J11272" s="8" t="s">
        <v>22</v>
      </c>
      <c r="K11272" s="8" t="s">
        <v>449</v>
      </c>
      <c r="L11272" s="8" t="s">
        <v>17287</v>
      </c>
      <c r="M11272" s="8" t="s">
        <v>17288</v>
      </c>
      <c r="N11272" s="8" t="s">
        <v>47829</v>
      </c>
      <c r="O11272" s="8">
        <f>12+30/60+24.2/3600</f>
        <v>12.506722222222223</v>
      </c>
      <c r="P11272" s="8" t="s">
        <v>47830</v>
      </c>
      <c r="Q11272" s="8">
        <f>+(11+36/60+51/3600)</f>
        <v>11.614166666666666</v>
      </c>
      <c r="R11272" s="8">
        <v>15.7</v>
      </c>
      <c r="S11272" s="8">
        <v>16.5</v>
      </c>
      <c r="T11272" s="8">
        <v>0.8</v>
      </c>
      <c r="U11272" s="8">
        <v>13.2</v>
      </c>
      <c r="V11272" s="8">
        <v>0.4</v>
      </c>
      <c r="W11272" s="8">
        <v>0.3</v>
      </c>
      <c r="X11272" s="8">
        <v>10</v>
      </c>
      <c r="Y11272" s="8" t="s">
        <v>38333</v>
      </c>
      <c r="Z11272" s="8" t="s">
        <v>38334</v>
      </c>
    </row>
    <row r="11273" spans="1:26" x14ac:dyDescent="0.2">
      <c r="A11273" s="8">
        <v>11272</v>
      </c>
      <c r="B11273" s="8" t="s">
        <v>47831</v>
      </c>
      <c r="C11273" s="8" t="s">
        <v>47831</v>
      </c>
      <c r="G11273" s="8">
        <v>20</v>
      </c>
      <c r="H11273" s="8" t="s">
        <v>21</v>
      </c>
      <c r="I11273" s="8" t="s">
        <v>22</v>
      </c>
      <c r="J11273" s="8" t="s">
        <v>22</v>
      </c>
      <c r="K11273" s="8" t="s">
        <v>160</v>
      </c>
      <c r="L11273" s="8" t="s">
        <v>18289</v>
      </c>
      <c r="M11273" s="8" t="s">
        <v>18290</v>
      </c>
      <c r="N11273" s="8" t="s">
        <v>47832</v>
      </c>
      <c r="O11273" s="8">
        <f>12+30/60+27.8/3600</f>
        <v>12.507722222222222</v>
      </c>
      <c r="P11273" s="8" t="s">
        <v>47833</v>
      </c>
      <c r="Q11273" s="8">
        <f>+(14+9/60+38/3600)</f>
        <v>14.160555555555556</v>
      </c>
      <c r="R11273" s="8">
        <v>14.6</v>
      </c>
      <c r="S11273" s="8">
        <v>15.3</v>
      </c>
      <c r="T11273" s="8">
        <v>0.7</v>
      </c>
      <c r="U11273" s="8">
        <v>12.9</v>
      </c>
      <c r="V11273" s="8">
        <v>0.6</v>
      </c>
      <c r="W11273" s="8">
        <v>0.4</v>
      </c>
      <c r="X11273" s="8">
        <v>54</v>
      </c>
      <c r="Y11273" s="8" t="s">
        <v>47834</v>
      </c>
      <c r="Z11273" s="8" t="s">
        <v>47835</v>
      </c>
    </row>
    <row r="11274" spans="1:26" x14ac:dyDescent="0.2">
      <c r="A11274" s="8">
        <v>11273</v>
      </c>
      <c r="B11274" s="8" t="s">
        <v>47836</v>
      </c>
      <c r="C11274" s="8" t="s">
        <v>47836</v>
      </c>
      <c r="G11274" s="8">
        <v>20</v>
      </c>
      <c r="H11274" s="8" t="s">
        <v>21</v>
      </c>
      <c r="I11274" s="8" t="s">
        <v>22</v>
      </c>
      <c r="J11274" s="8" t="s">
        <v>22</v>
      </c>
      <c r="K11274" s="8" t="s">
        <v>818</v>
      </c>
      <c r="L11274" s="8" t="s">
        <v>18289</v>
      </c>
      <c r="M11274" s="8" t="s">
        <v>18290</v>
      </c>
      <c r="N11274" s="8" t="s">
        <v>47837</v>
      </c>
      <c r="O11274" s="8">
        <f>12+30/60+28.3/3600</f>
        <v>12.507861111111112</v>
      </c>
      <c r="P11274" s="8" t="s">
        <v>33931</v>
      </c>
      <c r="Q11274" s="8">
        <f>+(17+18/60+34/3600)</f>
        <v>17.309444444444445</v>
      </c>
      <c r="R11274" s="8">
        <v>15.2</v>
      </c>
      <c r="S11274" s="8">
        <v>16.2</v>
      </c>
      <c r="T11274" s="8">
        <v>1</v>
      </c>
      <c r="U11274" s="8">
        <v>13.9</v>
      </c>
      <c r="V11274" s="8">
        <v>0.7</v>
      </c>
      <c r="W11274" s="8">
        <v>0.4</v>
      </c>
      <c r="X11274" s="8">
        <v>80</v>
      </c>
      <c r="Y11274" s="8" t="s">
        <v>46447</v>
      </c>
      <c r="Z11274" s="8" t="s">
        <v>46448</v>
      </c>
    </row>
    <row r="11275" spans="1:26" x14ac:dyDescent="0.2">
      <c r="A11275" s="8">
        <v>11274</v>
      </c>
      <c r="B11275" s="8" t="s">
        <v>47838</v>
      </c>
      <c r="C11275" s="8" t="s">
        <v>47838</v>
      </c>
      <c r="G11275" s="8">
        <v>20</v>
      </c>
      <c r="H11275" s="8" t="s">
        <v>21</v>
      </c>
      <c r="I11275" s="8" t="s">
        <v>22</v>
      </c>
      <c r="J11275" s="8" t="s">
        <v>22</v>
      </c>
      <c r="K11275" s="8" t="s">
        <v>476</v>
      </c>
      <c r="L11275" s="8" t="s">
        <v>18289</v>
      </c>
      <c r="M11275" s="8" t="s">
        <v>18290</v>
      </c>
      <c r="N11275" s="8" t="s">
        <v>47839</v>
      </c>
      <c r="O11275" s="8">
        <f>12+30/60+27.2/3600</f>
        <v>12.507555555555555</v>
      </c>
      <c r="P11275" s="8" t="s">
        <v>47840</v>
      </c>
      <c r="Q11275" s="8">
        <f>+(18+48/60+34/3600)</f>
        <v>18.809444444444445</v>
      </c>
      <c r="R11275" s="8">
        <v>14.5</v>
      </c>
      <c r="S11275" s="8">
        <v>15.3</v>
      </c>
      <c r="T11275" s="8">
        <v>0.8</v>
      </c>
      <c r="U11275" s="8">
        <v>11.6</v>
      </c>
      <c r="V11275" s="8">
        <v>0.4</v>
      </c>
      <c r="W11275" s="8">
        <v>0.2</v>
      </c>
      <c r="X11275" s="8">
        <v>50</v>
      </c>
      <c r="Y11275" s="8" t="s">
        <v>46249</v>
      </c>
      <c r="Z11275" s="8" t="s">
        <v>46250</v>
      </c>
    </row>
    <row r="11276" spans="1:26" x14ac:dyDescent="0.2">
      <c r="A11276" s="8">
        <v>11275</v>
      </c>
      <c r="B11276" s="8" t="s">
        <v>47841</v>
      </c>
      <c r="C11276" s="8" t="s">
        <v>47841</v>
      </c>
      <c r="G11276" s="8">
        <v>20</v>
      </c>
      <c r="H11276" s="8" t="s">
        <v>21</v>
      </c>
      <c r="I11276" s="8" t="s">
        <v>22</v>
      </c>
      <c r="J11276" s="8" t="s">
        <v>22</v>
      </c>
      <c r="K11276" s="8" t="s">
        <v>91</v>
      </c>
      <c r="L11276" s="8" t="s">
        <v>18289</v>
      </c>
      <c r="M11276" s="8" t="s">
        <v>18290</v>
      </c>
      <c r="N11276" s="8" t="s">
        <v>47842</v>
      </c>
      <c r="O11276" s="8">
        <f>12+30/60+39.9/3600</f>
        <v>12.511083333333334</v>
      </c>
      <c r="P11276" s="8" t="s">
        <v>47843</v>
      </c>
      <c r="Q11276" s="8">
        <f>+(15+7/60+47/3600)</f>
        <v>15.129722222222222</v>
      </c>
      <c r="R11276" s="8">
        <v>14.7</v>
      </c>
      <c r="S11276" s="8">
        <v>15.6</v>
      </c>
      <c r="T11276" s="8">
        <v>0.9</v>
      </c>
      <c r="U11276" s="8">
        <v>13.1</v>
      </c>
      <c r="V11276" s="8">
        <v>1.3</v>
      </c>
      <c r="W11276" s="8">
        <v>0.2</v>
      </c>
      <c r="X11276" s="8">
        <v>141</v>
      </c>
      <c r="Y11276" s="8" t="s">
        <v>47844</v>
      </c>
      <c r="Z11276" s="8" t="s">
        <v>47845</v>
      </c>
    </row>
    <row r="11277" spans="1:26" x14ac:dyDescent="0.2">
      <c r="A11277" s="8">
        <v>11276</v>
      </c>
      <c r="B11277" s="8" t="s">
        <v>47846</v>
      </c>
      <c r="C11277" s="8" t="s">
        <v>47846</v>
      </c>
      <c r="G11277" s="8">
        <v>20</v>
      </c>
      <c r="H11277" s="8" t="s">
        <v>21</v>
      </c>
      <c r="I11277" s="8" t="s">
        <v>22</v>
      </c>
      <c r="J11277" s="8" t="s">
        <v>22</v>
      </c>
      <c r="K11277" s="8" t="s">
        <v>37</v>
      </c>
      <c r="L11277" s="8" t="s">
        <v>18289</v>
      </c>
      <c r="M11277" s="8" t="s">
        <v>18290</v>
      </c>
      <c r="N11277" s="8" t="s">
        <v>47847</v>
      </c>
      <c r="O11277" s="8">
        <f>12+30/60+29.9/3600</f>
        <v>12.508305555555555</v>
      </c>
      <c r="P11277" s="8" t="s">
        <v>47848</v>
      </c>
      <c r="Q11277" s="8">
        <f>+(19+40/60+25/3600)</f>
        <v>19.673611111111111</v>
      </c>
      <c r="R11277" s="8">
        <v>13.7</v>
      </c>
      <c r="S11277" s="8">
        <v>14.7</v>
      </c>
      <c r="T11277" s="8">
        <v>1</v>
      </c>
      <c r="U11277" s="8">
        <v>10.8</v>
      </c>
      <c r="V11277" s="8">
        <v>0.4</v>
      </c>
      <c r="W11277" s="8">
        <v>0.2</v>
      </c>
      <c r="X11277" s="8">
        <v>135</v>
      </c>
      <c r="Y11277" s="8" t="s">
        <v>46310</v>
      </c>
      <c r="Z11277" s="8" t="s">
        <v>46311</v>
      </c>
    </row>
    <row r="11278" spans="1:26" x14ac:dyDescent="0.2">
      <c r="A11278" s="8">
        <v>11277</v>
      </c>
      <c r="B11278" s="8" t="s">
        <v>47849</v>
      </c>
      <c r="C11278" s="8" t="s">
        <v>47849</v>
      </c>
      <c r="G11278" s="8">
        <v>20</v>
      </c>
      <c r="H11278" s="8" t="s">
        <v>21</v>
      </c>
      <c r="I11278" s="8" t="s">
        <v>22</v>
      </c>
      <c r="J11278" s="8" t="s">
        <v>22</v>
      </c>
      <c r="K11278" s="8" t="s">
        <v>818</v>
      </c>
      <c r="L11278" s="8" t="s">
        <v>17287</v>
      </c>
      <c r="M11278" s="8" t="s">
        <v>17288</v>
      </c>
      <c r="N11278" s="8" t="s">
        <v>47850</v>
      </c>
      <c r="O11278" s="8">
        <f>12+30/60+45.9/3600</f>
        <v>12.51275</v>
      </c>
      <c r="P11278" s="8" t="s">
        <v>47851</v>
      </c>
      <c r="Q11278" s="8">
        <f>+(11+20/60+34/3600)</f>
        <v>11.342777777777778</v>
      </c>
      <c r="R11278" s="8">
        <v>14.2</v>
      </c>
      <c r="S11278" s="8">
        <v>15.2</v>
      </c>
      <c r="T11278" s="8">
        <v>1</v>
      </c>
      <c r="U11278" s="8">
        <v>13.2</v>
      </c>
      <c r="V11278" s="8">
        <v>0.9</v>
      </c>
      <c r="W11278" s="8">
        <v>0.4</v>
      </c>
      <c r="X11278" s="8">
        <v>60</v>
      </c>
      <c r="Y11278" s="8" t="s">
        <v>46249</v>
      </c>
      <c r="Z11278" s="8" t="s">
        <v>46250</v>
      </c>
    </row>
    <row r="11279" spans="1:26" x14ac:dyDescent="0.2">
      <c r="A11279" s="8">
        <v>11278</v>
      </c>
      <c r="B11279" s="8" t="s">
        <v>47852</v>
      </c>
      <c r="C11279" s="8" t="s">
        <v>47852</v>
      </c>
      <c r="G11279" s="8">
        <v>20</v>
      </c>
      <c r="H11279" s="8" t="s">
        <v>21</v>
      </c>
      <c r="I11279" s="8" t="s">
        <v>22</v>
      </c>
      <c r="J11279" s="8" t="s">
        <v>57</v>
      </c>
      <c r="K11279" s="8" t="s">
        <v>91</v>
      </c>
      <c r="L11279" s="8" t="s">
        <v>17287</v>
      </c>
      <c r="M11279" s="8" t="s">
        <v>17288</v>
      </c>
      <c r="N11279" s="8" t="s">
        <v>20318</v>
      </c>
      <c r="O11279" s="8">
        <f>12+30/60+59.7/3600</f>
        <v>12.516583333333333</v>
      </c>
      <c r="P11279" s="8" t="s">
        <v>20319</v>
      </c>
      <c r="Q11279" s="8">
        <f>+(8+4/60+41/3600)</f>
        <v>8.0780555555555544</v>
      </c>
      <c r="R11279" s="8">
        <v>12.6</v>
      </c>
      <c r="S11279" s="8">
        <v>13.2</v>
      </c>
      <c r="T11279" s="8">
        <v>0.6</v>
      </c>
      <c r="U11279" s="8">
        <v>13.5</v>
      </c>
      <c r="V11279" s="8">
        <v>1.7</v>
      </c>
      <c r="W11279" s="8">
        <v>1.6</v>
      </c>
      <c r="X11279" s="8">
        <v>90</v>
      </c>
      <c r="Y11279" s="8" t="s">
        <v>47853</v>
      </c>
      <c r="Z11279" s="8" t="s">
        <v>47854</v>
      </c>
    </row>
    <row r="11280" spans="1:26" x14ac:dyDescent="0.2">
      <c r="A11280" s="8">
        <v>11279</v>
      </c>
      <c r="B11280" s="8" t="s">
        <v>47855</v>
      </c>
      <c r="C11280" s="8" t="s">
        <v>47855</v>
      </c>
      <c r="G11280" s="8">
        <v>20</v>
      </c>
      <c r="H11280" s="8" t="s">
        <v>21</v>
      </c>
      <c r="I11280" s="8" t="s">
        <v>22</v>
      </c>
      <c r="J11280" s="8" t="s">
        <v>22</v>
      </c>
      <c r="K11280" s="8" t="s">
        <v>1136</v>
      </c>
      <c r="L11280" s="8" t="s">
        <v>18289</v>
      </c>
      <c r="M11280" s="8" t="s">
        <v>18290</v>
      </c>
      <c r="N11280" s="8" t="s">
        <v>47856</v>
      </c>
      <c r="O11280" s="8">
        <f>12+30/60+59.6/3600</f>
        <v>12.516555555555556</v>
      </c>
      <c r="P11280" s="8" t="s">
        <v>47857</v>
      </c>
      <c r="Q11280" s="8">
        <f>+(25+33/60+41/3600)</f>
        <v>25.561388888888889</v>
      </c>
      <c r="R11280" s="8">
        <v>16</v>
      </c>
      <c r="S11280" s="8">
        <v>17</v>
      </c>
      <c r="T11280" s="8">
        <v>1</v>
      </c>
      <c r="U11280" s="8">
        <v>14.3</v>
      </c>
      <c r="V11280" s="8">
        <v>0.5</v>
      </c>
      <c r="W11280" s="8">
        <v>0.4</v>
      </c>
      <c r="X11280" s="8">
        <v>20</v>
      </c>
      <c r="Y11280" s="8" t="s">
        <v>21</v>
      </c>
      <c r="Z11280" s="8" t="s">
        <v>47858</v>
      </c>
    </row>
    <row r="11281" spans="1:26" x14ac:dyDescent="0.2">
      <c r="A11281" s="8">
        <v>11280</v>
      </c>
      <c r="B11281" s="8" t="s">
        <v>47859</v>
      </c>
      <c r="C11281" s="8" t="s">
        <v>47859</v>
      </c>
      <c r="G11281" s="8">
        <v>20</v>
      </c>
      <c r="H11281" s="8" t="s">
        <v>21</v>
      </c>
      <c r="I11281" s="8" t="s">
        <v>22</v>
      </c>
      <c r="J11281" s="8" t="s">
        <v>22</v>
      </c>
      <c r="K11281" s="8" t="s">
        <v>460</v>
      </c>
      <c r="L11281" s="8" t="s">
        <v>17287</v>
      </c>
      <c r="M11281" s="8" t="s">
        <v>17288</v>
      </c>
      <c r="N11281" s="8" t="s">
        <v>47860</v>
      </c>
      <c r="O11281" s="8">
        <f>12+31/60+5.1/3600</f>
        <v>12.518083333333335</v>
      </c>
      <c r="P11281" s="8" t="s">
        <v>47861</v>
      </c>
      <c r="Q11281" s="8">
        <f>+(12+1/60+46/3600)</f>
        <v>12.029444444444445</v>
      </c>
      <c r="R11281" s="8">
        <v>15.9</v>
      </c>
      <c r="S11281" s="8">
        <v>16.899999999999999</v>
      </c>
      <c r="T11281" s="8">
        <v>1</v>
      </c>
      <c r="U11281" s="8">
        <v>13.4</v>
      </c>
      <c r="V11281" s="8">
        <v>0.3</v>
      </c>
      <c r="W11281" s="8">
        <v>0.3</v>
      </c>
      <c r="Y11281" s="8" t="s">
        <v>47862</v>
      </c>
      <c r="Z11281" s="8" t="s">
        <v>47863</v>
      </c>
    </row>
    <row r="11282" spans="1:26" x14ac:dyDescent="0.2">
      <c r="A11282" s="8">
        <v>11281</v>
      </c>
      <c r="B11282" s="8" t="s">
        <v>47864</v>
      </c>
      <c r="C11282" s="8" t="s">
        <v>47864</v>
      </c>
      <c r="G11282" s="8">
        <v>20</v>
      </c>
      <c r="H11282" s="8" t="s">
        <v>21</v>
      </c>
      <c r="I11282" s="8" t="s">
        <v>22</v>
      </c>
      <c r="J11282" s="8" t="s">
        <v>22</v>
      </c>
      <c r="K11282" s="8" t="s">
        <v>449</v>
      </c>
      <c r="L11282" s="8" t="s">
        <v>18289</v>
      </c>
      <c r="M11282" s="8" t="s">
        <v>18290</v>
      </c>
      <c r="N11282" s="8" t="s">
        <v>47865</v>
      </c>
      <c r="O11282" s="8">
        <f>12+31/60+4.5/3600</f>
        <v>12.517916666666668</v>
      </c>
      <c r="P11282" s="8" t="s">
        <v>47866</v>
      </c>
      <c r="Q11282" s="8">
        <f>+(28+51/60+13/3600)</f>
        <v>28.853611111111114</v>
      </c>
      <c r="R11282" s="8">
        <v>14.7</v>
      </c>
      <c r="S11282" s="8">
        <v>15.5</v>
      </c>
      <c r="T11282" s="8">
        <v>0.8</v>
      </c>
      <c r="U11282" s="8">
        <v>13</v>
      </c>
      <c r="V11282" s="8">
        <v>0.6</v>
      </c>
      <c r="W11282" s="8">
        <v>0.4</v>
      </c>
      <c r="X11282" s="8">
        <v>141</v>
      </c>
      <c r="Y11282" s="8" t="s">
        <v>47688</v>
      </c>
      <c r="Z11282" s="8" t="s">
        <v>47689</v>
      </c>
    </row>
    <row r="11283" spans="1:26" x14ac:dyDescent="0.2">
      <c r="A11283" s="8">
        <v>11282</v>
      </c>
      <c r="B11283" s="8" t="s">
        <v>47867</v>
      </c>
      <c r="C11283" s="8" t="s">
        <v>47867</v>
      </c>
      <c r="G11283" s="8">
        <v>20</v>
      </c>
      <c r="H11283" s="8" t="s">
        <v>21</v>
      </c>
      <c r="I11283" s="8" t="s">
        <v>22</v>
      </c>
      <c r="J11283" s="8" t="s">
        <v>22</v>
      </c>
      <c r="K11283" s="8" t="s">
        <v>183</v>
      </c>
      <c r="L11283" s="8" t="s">
        <v>18289</v>
      </c>
      <c r="M11283" s="8" t="s">
        <v>18290</v>
      </c>
      <c r="N11283" s="8" t="s">
        <v>47868</v>
      </c>
      <c r="O11283" s="8">
        <f>12+31/60+20.2/3600</f>
        <v>12.522277777777779</v>
      </c>
      <c r="P11283" s="8" t="s">
        <v>47869</v>
      </c>
      <c r="Q11283" s="8">
        <f>+(14+6/60+52/3600)</f>
        <v>14.114444444444445</v>
      </c>
      <c r="R11283" s="8">
        <v>13.6</v>
      </c>
      <c r="S11283" s="8">
        <v>14.6</v>
      </c>
      <c r="T11283" s="8">
        <v>1</v>
      </c>
      <c r="U11283" s="8">
        <v>13.3</v>
      </c>
      <c r="V11283" s="8">
        <v>0.9</v>
      </c>
      <c r="W11283" s="8">
        <v>0.8</v>
      </c>
      <c r="Y11283" s="8" t="s">
        <v>1212</v>
      </c>
      <c r="Z11283" s="8" t="s">
        <v>1213</v>
      </c>
    </row>
    <row r="11284" spans="1:26" x14ac:dyDescent="0.2">
      <c r="A11284" s="8">
        <v>11283</v>
      </c>
      <c r="B11284" s="8" t="s">
        <v>47870</v>
      </c>
      <c r="C11284" s="8" t="s">
        <v>47870</v>
      </c>
      <c r="G11284" s="8">
        <v>20</v>
      </c>
      <c r="H11284" s="8" t="s">
        <v>21</v>
      </c>
      <c r="I11284" s="8" t="s">
        <v>22</v>
      </c>
      <c r="J11284" s="8" t="s">
        <v>22</v>
      </c>
      <c r="K11284" s="8" t="s">
        <v>58</v>
      </c>
      <c r="L11284" s="8" t="s">
        <v>17287</v>
      </c>
      <c r="M11284" s="8" t="s">
        <v>17288</v>
      </c>
      <c r="N11284" s="8" t="s">
        <v>47871</v>
      </c>
      <c r="O11284" s="8">
        <f>12+31/60+15.6/3600</f>
        <v>12.521000000000001</v>
      </c>
      <c r="P11284" s="8" t="s">
        <v>47872</v>
      </c>
      <c r="Q11284" s="8">
        <f>+(12+19/60+56/3600)</f>
        <v>12.332222222222223</v>
      </c>
      <c r="R11284" s="8">
        <v>14.9</v>
      </c>
      <c r="S11284" s="8">
        <v>15.8</v>
      </c>
      <c r="T11284" s="8">
        <v>0.9</v>
      </c>
      <c r="U11284" s="8">
        <v>13</v>
      </c>
      <c r="V11284" s="8">
        <v>0.4</v>
      </c>
      <c r="W11284" s="8">
        <v>0.4</v>
      </c>
      <c r="Y11284" s="8" t="s">
        <v>46471</v>
      </c>
      <c r="Z11284" s="8" t="s">
        <v>46472</v>
      </c>
    </row>
    <row r="11285" spans="1:26" x14ac:dyDescent="0.2">
      <c r="A11285" s="8">
        <v>11284</v>
      </c>
      <c r="B11285" s="8" t="s">
        <v>47873</v>
      </c>
      <c r="C11285" s="8" t="s">
        <v>47873</v>
      </c>
      <c r="G11285" s="8">
        <v>20</v>
      </c>
      <c r="H11285" s="8" t="s">
        <v>21</v>
      </c>
      <c r="I11285" s="8" t="s">
        <v>72</v>
      </c>
      <c r="J11285" s="8" t="s">
        <v>72</v>
      </c>
      <c r="K11285" s="8" t="s">
        <v>73</v>
      </c>
      <c r="L11285" s="8" t="s">
        <v>18289</v>
      </c>
      <c r="M11285" s="8" t="s">
        <v>18290</v>
      </c>
      <c r="N11285" s="8" t="s">
        <v>47874</v>
      </c>
      <c r="O11285" s="8">
        <f>12+31/60+14.1/3600</f>
        <v>12.520583333333335</v>
      </c>
      <c r="P11285" s="8" t="s">
        <v>47875</v>
      </c>
      <c r="Q11285" s="8">
        <f>+(27+32/60+57/3600)</f>
        <v>27.549166666666668</v>
      </c>
      <c r="R11285" s="8">
        <v>99</v>
      </c>
      <c r="S11285" s="8">
        <v>99</v>
      </c>
      <c r="T11285" s="8">
        <v>99</v>
      </c>
      <c r="U11285" s="8">
        <v>99</v>
      </c>
      <c r="Y11285" s="8" t="s">
        <v>47603</v>
      </c>
      <c r="Z11285" s="8" t="s">
        <v>47604</v>
      </c>
    </row>
    <row r="11286" spans="1:26" x14ac:dyDescent="0.2">
      <c r="A11286" s="8">
        <v>11285</v>
      </c>
      <c r="B11286" s="8" t="s">
        <v>47876</v>
      </c>
      <c r="C11286" s="8" t="s">
        <v>47876</v>
      </c>
      <c r="G11286" s="8">
        <v>20</v>
      </c>
      <c r="H11286" s="8" t="s">
        <v>21</v>
      </c>
      <c r="I11286" s="8" t="s">
        <v>22</v>
      </c>
      <c r="J11286" s="8" t="s">
        <v>22</v>
      </c>
      <c r="K11286" s="8" t="s">
        <v>818</v>
      </c>
      <c r="L11286" s="8" t="s">
        <v>17287</v>
      </c>
      <c r="M11286" s="8" t="s">
        <v>17288</v>
      </c>
      <c r="N11286" s="8" t="s">
        <v>47877</v>
      </c>
      <c r="O11286" s="8">
        <f>12+31/60+19.4/3600</f>
        <v>12.522055555555557</v>
      </c>
      <c r="P11286" s="8" t="s">
        <v>47878</v>
      </c>
      <c r="Q11286" s="8">
        <f>+(12+44/60+16/3600)</f>
        <v>12.737777777777778</v>
      </c>
      <c r="R11286" s="8">
        <v>15.4</v>
      </c>
      <c r="S11286" s="8">
        <v>16.399999999999999</v>
      </c>
      <c r="T11286" s="8">
        <v>1</v>
      </c>
      <c r="U11286" s="8">
        <v>13.2</v>
      </c>
      <c r="V11286" s="8">
        <v>0.4</v>
      </c>
      <c r="W11286" s="8">
        <v>0.3</v>
      </c>
      <c r="X11286" s="8">
        <v>15</v>
      </c>
      <c r="Y11286" s="8" t="s">
        <v>47879</v>
      </c>
      <c r="Z11286" s="8" t="s">
        <v>47880</v>
      </c>
    </row>
    <row r="11287" spans="1:26" x14ac:dyDescent="0.2">
      <c r="A11287" s="8">
        <v>11286</v>
      </c>
      <c r="B11287" s="8" t="s">
        <v>47881</v>
      </c>
      <c r="C11287" s="8" t="s">
        <v>47881</v>
      </c>
      <c r="G11287" s="8">
        <v>20</v>
      </c>
      <c r="H11287" s="8" t="s">
        <v>21</v>
      </c>
      <c r="I11287" s="8" t="s">
        <v>22</v>
      </c>
      <c r="J11287" s="8" t="s">
        <v>22</v>
      </c>
      <c r="K11287" s="8" t="s">
        <v>4219</v>
      </c>
      <c r="L11287" s="8" t="s">
        <v>17287</v>
      </c>
      <c r="M11287" s="8" t="s">
        <v>17288</v>
      </c>
      <c r="N11287" s="8" t="s">
        <v>47882</v>
      </c>
      <c r="O11287" s="8">
        <f>12+31/60+23/3600</f>
        <v>12.523055555555556</v>
      </c>
      <c r="P11287" s="8" t="s">
        <v>47883</v>
      </c>
      <c r="Q11287" s="8">
        <f>+(11+29/60+33/3600)</f>
        <v>11.4925</v>
      </c>
      <c r="R11287" s="8">
        <v>14.7</v>
      </c>
      <c r="S11287" s="8">
        <v>15.3</v>
      </c>
      <c r="T11287" s="8">
        <v>0.6</v>
      </c>
      <c r="U11287" s="8">
        <v>12.7</v>
      </c>
      <c r="V11287" s="8">
        <v>0.6</v>
      </c>
      <c r="W11287" s="8">
        <v>0.3</v>
      </c>
      <c r="X11287" s="8">
        <v>0</v>
      </c>
      <c r="Y11287" s="8" t="s">
        <v>46310</v>
      </c>
      <c r="Z11287" s="8" t="s">
        <v>46311</v>
      </c>
    </row>
    <row r="11288" spans="1:26" x14ac:dyDescent="0.2">
      <c r="A11288" s="8">
        <v>11287</v>
      </c>
      <c r="B11288" s="8" t="s">
        <v>47884</v>
      </c>
      <c r="C11288" s="8" t="s">
        <v>47884</v>
      </c>
      <c r="G11288" s="8">
        <v>20</v>
      </c>
      <c r="H11288" s="8" t="s">
        <v>21</v>
      </c>
      <c r="I11288" s="8" t="s">
        <v>22</v>
      </c>
      <c r="J11288" s="8" t="s">
        <v>22</v>
      </c>
      <c r="K11288" s="8" t="s">
        <v>449</v>
      </c>
      <c r="L11288" s="8" t="s">
        <v>17287</v>
      </c>
      <c r="M11288" s="8" t="s">
        <v>17288</v>
      </c>
      <c r="N11288" s="8" t="s">
        <v>47885</v>
      </c>
      <c r="O11288" s="8">
        <f>12+31/60+17.9/3600</f>
        <v>12.521638888888889</v>
      </c>
      <c r="P11288" s="8" t="s">
        <v>47886</v>
      </c>
      <c r="Q11288" s="8">
        <f>+(10+40/60+48/3600)</f>
        <v>10.68</v>
      </c>
      <c r="R11288" s="8">
        <v>16.100000000000001</v>
      </c>
      <c r="S11288" s="8">
        <v>16.899999999999999</v>
      </c>
      <c r="T11288" s="8">
        <v>0.8</v>
      </c>
      <c r="U11288" s="8">
        <v>13.3</v>
      </c>
      <c r="V11288" s="8">
        <v>0.3</v>
      </c>
      <c r="W11288" s="8">
        <v>0.3</v>
      </c>
      <c r="Y11288" s="8" t="s">
        <v>47879</v>
      </c>
      <c r="Z11288" s="8" t="s">
        <v>47880</v>
      </c>
    </row>
    <row r="11289" spans="1:26" x14ac:dyDescent="0.2">
      <c r="A11289" s="8">
        <v>11288</v>
      </c>
      <c r="B11289" s="8" t="s">
        <v>47887</v>
      </c>
      <c r="C11289" s="8" t="s">
        <v>47887</v>
      </c>
      <c r="G11289" s="8">
        <v>20</v>
      </c>
      <c r="H11289" s="8" t="s">
        <v>21</v>
      </c>
      <c r="I11289" s="8" t="s">
        <v>22</v>
      </c>
      <c r="J11289" s="8" t="s">
        <v>22</v>
      </c>
      <c r="K11289" s="8" t="s">
        <v>91</v>
      </c>
      <c r="L11289" s="8" t="s">
        <v>18289</v>
      </c>
      <c r="M11289" s="8" t="s">
        <v>18290</v>
      </c>
      <c r="N11289" s="8" t="s">
        <v>47888</v>
      </c>
      <c r="O11289" s="8">
        <f>12+31/60+23.1/3600</f>
        <v>12.523083333333334</v>
      </c>
      <c r="P11289" s="8" t="s">
        <v>47889</v>
      </c>
      <c r="Q11289" s="8">
        <f>+(17+12/60+22/3600)</f>
        <v>17.20611111111111</v>
      </c>
      <c r="R11289" s="8">
        <v>15.2</v>
      </c>
      <c r="S11289" s="8">
        <v>16.100000000000001</v>
      </c>
      <c r="T11289" s="8">
        <v>0.9</v>
      </c>
      <c r="U11289" s="8">
        <v>14.1</v>
      </c>
      <c r="V11289" s="8">
        <v>0.8</v>
      </c>
      <c r="W11289" s="8">
        <v>0.5</v>
      </c>
      <c r="X11289" s="8">
        <v>92</v>
      </c>
      <c r="Y11289" s="8" t="s">
        <v>47890</v>
      </c>
      <c r="Z11289" s="8" t="s">
        <v>47891</v>
      </c>
    </row>
    <row r="11290" spans="1:26" x14ac:dyDescent="0.2">
      <c r="A11290" s="8">
        <v>11289</v>
      </c>
      <c r="B11290" s="8" t="s">
        <v>47892</v>
      </c>
      <c r="C11290" s="8" t="s">
        <v>47892</v>
      </c>
      <c r="G11290" s="8">
        <v>20</v>
      </c>
      <c r="H11290" s="8" t="s">
        <v>21</v>
      </c>
      <c r="I11290" s="8" t="s">
        <v>22</v>
      </c>
      <c r="J11290" s="8" t="s">
        <v>22</v>
      </c>
      <c r="K11290" s="8" t="s">
        <v>476</v>
      </c>
      <c r="L11290" s="8" t="s">
        <v>18289</v>
      </c>
      <c r="M11290" s="8" t="s">
        <v>18290</v>
      </c>
      <c r="N11290" s="8" t="s">
        <v>47893</v>
      </c>
      <c r="O11290" s="8">
        <f>12+31/60+22.9/3600</f>
        <v>12.523027777777779</v>
      </c>
      <c r="P11290" s="8" t="s">
        <v>47894</v>
      </c>
      <c r="Q11290" s="8">
        <f>+(25+54/60+52/3600)</f>
        <v>25.914444444444442</v>
      </c>
      <c r="R11290" s="8">
        <v>16.3</v>
      </c>
      <c r="S11290" s="8">
        <v>17.100000000000001</v>
      </c>
      <c r="T11290" s="8">
        <v>0.8</v>
      </c>
      <c r="U11290" s="8">
        <v>11.9</v>
      </c>
      <c r="V11290" s="8">
        <v>0.2</v>
      </c>
      <c r="W11290" s="8">
        <v>0.1</v>
      </c>
      <c r="X11290" s="8">
        <v>135</v>
      </c>
      <c r="Y11290" s="8" t="s">
        <v>47895</v>
      </c>
      <c r="Z11290" s="8" t="s">
        <v>47896</v>
      </c>
    </row>
    <row r="11291" spans="1:26" x14ac:dyDescent="0.2">
      <c r="A11291" s="8">
        <v>11290</v>
      </c>
      <c r="B11291" s="8" t="s">
        <v>47897</v>
      </c>
      <c r="C11291" s="8" t="s">
        <v>47897</v>
      </c>
      <c r="G11291" s="8">
        <v>20</v>
      </c>
      <c r="H11291" s="8" t="s">
        <v>21</v>
      </c>
      <c r="I11291" s="8" t="s">
        <v>22</v>
      </c>
      <c r="J11291" s="8" t="s">
        <v>22</v>
      </c>
      <c r="K11291" s="8" t="s">
        <v>37</v>
      </c>
      <c r="L11291" s="8" t="s">
        <v>18289</v>
      </c>
      <c r="M11291" s="8" t="s">
        <v>18290</v>
      </c>
      <c r="N11291" s="8" t="s">
        <v>47898</v>
      </c>
      <c r="O11291" s="8">
        <f>12+31/60+24.9/3600</f>
        <v>12.523583333333335</v>
      </c>
      <c r="P11291" s="8" t="s">
        <v>47899</v>
      </c>
      <c r="Q11291" s="8">
        <f>+(26+47/60+47/3600)</f>
        <v>26.796388888888892</v>
      </c>
      <c r="R11291" s="8">
        <v>15.5</v>
      </c>
      <c r="S11291" s="8">
        <v>16.5</v>
      </c>
      <c r="T11291" s="8">
        <v>1</v>
      </c>
      <c r="U11291" s="8">
        <v>12.6</v>
      </c>
      <c r="V11291" s="8">
        <v>0.4</v>
      </c>
      <c r="W11291" s="8">
        <v>0.2</v>
      </c>
      <c r="X11291" s="8">
        <v>170</v>
      </c>
      <c r="Y11291" s="8" t="s">
        <v>21</v>
      </c>
      <c r="Z11291" s="8" t="s">
        <v>47900</v>
      </c>
    </row>
    <row r="11292" spans="1:26" x14ac:dyDescent="0.2">
      <c r="A11292" s="8">
        <v>11291</v>
      </c>
      <c r="B11292" s="8" t="s">
        <v>47901</v>
      </c>
      <c r="C11292" s="8" t="s">
        <v>47901</v>
      </c>
      <c r="G11292" s="8">
        <v>20</v>
      </c>
      <c r="H11292" s="8" t="s">
        <v>21</v>
      </c>
      <c r="I11292" s="8" t="s">
        <v>22</v>
      </c>
      <c r="J11292" s="8" t="s">
        <v>22</v>
      </c>
      <c r="K11292" s="8" t="s">
        <v>449</v>
      </c>
      <c r="L11292" s="8" t="s">
        <v>18289</v>
      </c>
      <c r="M11292" s="8" t="s">
        <v>18290</v>
      </c>
      <c r="N11292" s="8" t="s">
        <v>47902</v>
      </c>
      <c r="O11292" s="8">
        <f>12+31/60+24/3600</f>
        <v>12.523333333333333</v>
      </c>
      <c r="P11292" s="8" t="s">
        <v>47903</v>
      </c>
      <c r="Q11292" s="8">
        <f>+(28+51/60+20/3600)</f>
        <v>28.855555555555558</v>
      </c>
      <c r="R11292" s="8">
        <v>14.6</v>
      </c>
      <c r="S11292" s="8">
        <v>15.4</v>
      </c>
      <c r="T11292" s="8">
        <v>0.8</v>
      </c>
      <c r="U11292" s="8">
        <v>12.7</v>
      </c>
      <c r="V11292" s="8">
        <v>0.5</v>
      </c>
      <c r="W11292" s="8">
        <v>0.4</v>
      </c>
      <c r="Y11292" s="8" t="s">
        <v>47688</v>
      </c>
      <c r="Z11292" s="8" t="s">
        <v>47689</v>
      </c>
    </row>
    <row r="11293" spans="1:26" x14ac:dyDescent="0.2">
      <c r="A11293" s="8">
        <v>11292</v>
      </c>
      <c r="B11293" s="8" t="s">
        <v>47904</v>
      </c>
      <c r="C11293" s="8" t="s">
        <v>47904</v>
      </c>
      <c r="G11293" s="8">
        <v>20</v>
      </c>
      <c r="H11293" s="8" t="s">
        <v>21</v>
      </c>
      <c r="I11293" s="8" t="s">
        <v>22</v>
      </c>
      <c r="J11293" s="8" t="s">
        <v>57</v>
      </c>
      <c r="K11293" s="8" t="s">
        <v>435</v>
      </c>
      <c r="L11293" s="8" t="s">
        <v>17287</v>
      </c>
      <c r="M11293" s="8" t="s">
        <v>17288</v>
      </c>
      <c r="N11293" s="8" t="s">
        <v>20341</v>
      </c>
      <c r="O11293" s="8">
        <f>12+31/60+32.6/3600</f>
        <v>12.525722222222223</v>
      </c>
      <c r="P11293" s="8" t="s">
        <v>20342</v>
      </c>
      <c r="Q11293" s="8">
        <f>+(11+37/60+30/3600)</f>
        <v>11.625</v>
      </c>
      <c r="R11293" s="8">
        <v>12.5</v>
      </c>
      <c r="S11293" s="8">
        <v>13.2</v>
      </c>
      <c r="T11293" s="8">
        <v>0.7</v>
      </c>
      <c r="U11293" s="8">
        <v>13.1</v>
      </c>
      <c r="V11293" s="8">
        <v>1.9</v>
      </c>
      <c r="W11293" s="8">
        <v>0.8</v>
      </c>
      <c r="X11293" s="8">
        <v>65</v>
      </c>
      <c r="Y11293" s="8" t="s">
        <v>47905</v>
      </c>
      <c r="Z11293" s="8" t="s">
        <v>47906</v>
      </c>
    </row>
    <row r="11294" spans="1:26" x14ac:dyDescent="0.2">
      <c r="A11294" s="8">
        <v>11293</v>
      </c>
      <c r="B11294" s="8" t="s">
        <v>47907</v>
      </c>
      <c r="C11294" s="8" t="s">
        <v>47907</v>
      </c>
      <c r="G11294" s="8">
        <v>20</v>
      </c>
      <c r="H11294" s="8" t="s">
        <v>21</v>
      </c>
      <c r="I11294" s="8" t="s">
        <v>22</v>
      </c>
      <c r="J11294" s="8" t="s">
        <v>22</v>
      </c>
      <c r="K11294" s="8" t="s">
        <v>36276</v>
      </c>
      <c r="L11294" s="8" t="s">
        <v>18289</v>
      </c>
      <c r="M11294" s="8" t="s">
        <v>18290</v>
      </c>
      <c r="N11294" s="8" t="s">
        <v>47908</v>
      </c>
      <c r="O11294" s="8">
        <f>12+31/60+37.8/3600</f>
        <v>12.527166666666668</v>
      </c>
      <c r="P11294" s="8" t="s">
        <v>47909</v>
      </c>
      <c r="Q11294" s="8">
        <f>+(14+51/60+34/3600)</f>
        <v>14.859444444444444</v>
      </c>
      <c r="R11294" s="8">
        <v>14.8</v>
      </c>
      <c r="S11294" s="8">
        <v>15.4</v>
      </c>
      <c r="T11294" s="8">
        <v>0.6</v>
      </c>
      <c r="U11294" s="8">
        <v>12.9</v>
      </c>
      <c r="V11294" s="8">
        <v>1</v>
      </c>
      <c r="W11294" s="8">
        <v>0.2</v>
      </c>
      <c r="X11294" s="8">
        <v>166</v>
      </c>
      <c r="Y11294" s="8" t="s">
        <v>47910</v>
      </c>
      <c r="Z11294" s="8" t="s">
        <v>47911</v>
      </c>
    </row>
    <row r="11295" spans="1:26" x14ac:dyDescent="0.2">
      <c r="A11295" s="8">
        <v>11294</v>
      </c>
      <c r="B11295" s="8" t="s">
        <v>47912</v>
      </c>
      <c r="C11295" s="8" t="s">
        <v>47912</v>
      </c>
      <c r="G11295" s="8">
        <v>20</v>
      </c>
      <c r="H11295" s="8" t="s">
        <v>21</v>
      </c>
      <c r="I11295" s="8" t="s">
        <v>22</v>
      </c>
      <c r="J11295" s="8" t="s">
        <v>22</v>
      </c>
      <c r="K11295" s="8" t="s">
        <v>23</v>
      </c>
      <c r="L11295" s="8" t="s">
        <v>18289</v>
      </c>
      <c r="M11295" s="8" t="s">
        <v>18290</v>
      </c>
      <c r="N11295" s="8" t="s">
        <v>47913</v>
      </c>
      <c r="O11295" s="8">
        <f>12+31/60+38.7/3600</f>
        <v>12.527416666666667</v>
      </c>
      <c r="P11295" s="8" t="s">
        <v>47914</v>
      </c>
      <c r="Q11295" s="8">
        <f>+(27+29/60+47/3600)</f>
        <v>27.496388888888891</v>
      </c>
      <c r="R11295" s="8">
        <v>14.9</v>
      </c>
      <c r="S11295" s="8">
        <v>15.7</v>
      </c>
      <c r="T11295" s="8">
        <v>0.8</v>
      </c>
      <c r="U11295" s="8">
        <v>13.2</v>
      </c>
      <c r="V11295" s="8">
        <v>1.2</v>
      </c>
      <c r="W11295" s="8">
        <v>0.2</v>
      </c>
      <c r="X11295" s="8">
        <v>26</v>
      </c>
      <c r="Y11295" s="8" t="s">
        <v>21</v>
      </c>
      <c r="Z11295" s="8" t="s">
        <v>47915</v>
      </c>
    </row>
    <row r="11296" spans="1:26" x14ac:dyDescent="0.2">
      <c r="A11296" s="8">
        <v>11295</v>
      </c>
      <c r="B11296" s="8" t="s">
        <v>47916</v>
      </c>
      <c r="C11296" s="8" t="s">
        <v>47916</v>
      </c>
      <c r="G11296" s="8">
        <v>20</v>
      </c>
      <c r="H11296" s="8" t="s">
        <v>21</v>
      </c>
      <c r="I11296" s="8" t="s">
        <v>22</v>
      </c>
      <c r="J11296" s="8" t="s">
        <v>22</v>
      </c>
      <c r="K11296" s="8" t="s">
        <v>449</v>
      </c>
      <c r="L11296" s="8" t="s">
        <v>18289</v>
      </c>
      <c r="M11296" s="8" t="s">
        <v>18290</v>
      </c>
      <c r="N11296" s="8" t="s">
        <v>47917</v>
      </c>
      <c r="O11296" s="8">
        <f>12+31/60+44.6/3600</f>
        <v>12.529055555555557</v>
      </c>
      <c r="P11296" s="8" t="s">
        <v>47918</v>
      </c>
      <c r="Q11296" s="8">
        <f>+(25+47/60+7/3600)</f>
        <v>25.785277777777779</v>
      </c>
      <c r="R11296" s="8">
        <v>16.2</v>
      </c>
      <c r="S11296" s="8">
        <v>17</v>
      </c>
      <c r="T11296" s="8">
        <v>0.8</v>
      </c>
      <c r="U11296" s="8">
        <v>11.8</v>
      </c>
      <c r="V11296" s="8">
        <v>0.2</v>
      </c>
      <c r="W11296" s="8">
        <v>0.1</v>
      </c>
      <c r="X11296" s="8">
        <v>0</v>
      </c>
      <c r="Y11296" s="8" t="s">
        <v>37602</v>
      </c>
      <c r="Z11296" s="8" t="s">
        <v>37603</v>
      </c>
    </row>
    <row r="11297" spans="1:26" x14ac:dyDescent="0.2">
      <c r="A11297" s="8">
        <v>11296</v>
      </c>
      <c r="B11297" s="8" t="s">
        <v>47919</v>
      </c>
      <c r="C11297" s="8" t="s">
        <v>47919</v>
      </c>
      <c r="G11297" s="8">
        <v>20</v>
      </c>
      <c r="H11297" s="8" t="s">
        <v>21</v>
      </c>
      <c r="I11297" s="8" t="s">
        <v>329</v>
      </c>
      <c r="J11297" s="8" t="s">
        <v>329</v>
      </c>
      <c r="K11297" s="8" t="s">
        <v>329</v>
      </c>
      <c r="L11297" s="8" t="s">
        <v>18289</v>
      </c>
      <c r="M11297" s="8" t="s">
        <v>18290</v>
      </c>
      <c r="N11297" s="8" t="s">
        <v>47920</v>
      </c>
      <c r="O11297" s="8">
        <f>12+31/60+43.7/3600</f>
        <v>12.528805555555556</v>
      </c>
      <c r="P11297" s="8" t="s">
        <v>47921</v>
      </c>
      <c r="Q11297" s="8">
        <f>+(28+21/60+26/3600)</f>
        <v>28.357222222222223</v>
      </c>
      <c r="R11297" s="8">
        <v>99</v>
      </c>
      <c r="S11297" s="8">
        <v>99</v>
      </c>
      <c r="T11297" s="8">
        <v>99</v>
      </c>
      <c r="U11297" s="8">
        <v>99</v>
      </c>
      <c r="Y11297" s="8" t="s">
        <v>221</v>
      </c>
      <c r="Z11297" s="8" t="s">
        <v>222</v>
      </c>
    </row>
    <row r="11298" spans="1:26" x14ac:dyDescent="0.2">
      <c r="A11298" s="8">
        <v>11297</v>
      </c>
      <c r="B11298" s="8" t="s">
        <v>47922</v>
      </c>
      <c r="C11298" s="8" t="s">
        <v>47922</v>
      </c>
      <c r="G11298" s="8">
        <v>20</v>
      </c>
      <c r="H11298" s="8" t="s">
        <v>21</v>
      </c>
      <c r="I11298" s="8" t="s">
        <v>22</v>
      </c>
      <c r="J11298" s="8" t="s">
        <v>22</v>
      </c>
      <c r="K11298" s="8" t="s">
        <v>382</v>
      </c>
      <c r="L11298" s="8" t="s">
        <v>17287</v>
      </c>
      <c r="M11298" s="8" t="s">
        <v>17288</v>
      </c>
      <c r="N11298" s="8" t="s">
        <v>47923</v>
      </c>
      <c r="O11298" s="8">
        <f>12+31/60+51.4/3600</f>
        <v>12.530944444444446</v>
      </c>
      <c r="P11298" s="8" t="s">
        <v>47924</v>
      </c>
      <c r="Q11298" s="8">
        <f>+(12+39/60+26/3600)</f>
        <v>12.657222222222222</v>
      </c>
      <c r="R11298" s="8">
        <v>13.9</v>
      </c>
      <c r="S11298" s="8">
        <v>14.7</v>
      </c>
      <c r="T11298" s="8">
        <v>0.8</v>
      </c>
      <c r="U11298" s="8">
        <v>13.5</v>
      </c>
      <c r="V11298" s="8">
        <v>1.2</v>
      </c>
      <c r="W11298" s="8">
        <v>0.8</v>
      </c>
      <c r="X11298" s="8">
        <v>135</v>
      </c>
      <c r="Y11298" s="8" t="s">
        <v>47925</v>
      </c>
      <c r="Z11298" s="8" t="s">
        <v>47926</v>
      </c>
    </row>
    <row r="11299" spans="1:26" x14ac:dyDescent="0.2">
      <c r="A11299" s="8">
        <v>11298</v>
      </c>
      <c r="B11299" s="8" t="s">
        <v>47927</v>
      </c>
      <c r="C11299" s="8" t="s">
        <v>47927</v>
      </c>
      <c r="G11299" s="8">
        <v>20</v>
      </c>
      <c r="H11299" s="8" t="s">
        <v>21</v>
      </c>
      <c r="I11299" s="8" t="s">
        <v>22</v>
      </c>
      <c r="J11299" s="8" t="s">
        <v>22</v>
      </c>
      <c r="K11299" s="8" t="s">
        <v>460</v>
      </c>
      <c r="L11299" s="8" t="s">
        <v>18289</v>
      </c>
      <c r="M11299" s="8" t="s">
        <v>18290</v>
      </c>
      <c r="N11299" s="8" t="s">
        <v>47928</v>
      </c>
      <c r="O11299" s="8">
        <f>12+31/60+44/3600</f>
        <v>12.52888888888889</v>
      </c>
      <c r="P11299" s="8" t="s">
        <v>47929</v>
      </c>
      <c r="Q11299" s="8">
        <f>+(28+8/60+50/3600)</f>
        <v>28.147222222222222</v>
      </c>
      <c r="R11299" s="8">
        <v>15</v>
      </c>
      <c r="S11299" s="8">
        <v>16</v>
      </c>
      <c r="T11299" s="8">
        <v>1</v>
      </c>
      <c r="U11299" s="8">
        <v>12.5</v>
      </c>
      <c r="V11299" s="8">
        <v>0.3</v>
      </c>
      <c r="W11299" s="8">
        <v>0.3</v>
      </c>
      <c r="Y11299" s="8" t="s">
        <v>47688</v>
      </c>
      <c r="Z11299" s="8" t="s">
        <v>47689</v>
      </c>
    </row>
    <row r="11300" spans="1:26" x14ac:dyDescent="0.2">
      <c r="A11300" s="8">
        <v>11299</v>
      </c>
      <c r="B11300" s="8" t="s">
        <v>47930</v>
      </c>
      <c r="C11300" s="8" t="s">
        <v>47930</v>
      </c>
      <c r="G11300" s="8">
        <v>20</v>
      </c>
      <c r="H11300" s="8" t="s">
        <v>21</v>
      </c>
      <c r="I11300" s="8" t="s">
        <v>22</v>
      </c>
      <c r="J11300" s="8" t="s">
        <v>22</v>
      </c>
      <c r="K11300" s="8" t="s">
        <v>3616</v>
      </c>
      <c r="L11300" s="8" t="s">
        <v>17287</v>
      </c>
      <c r="M11300" s="8" t="s">
        <v>17288</v>
      </c>
      <c r="N11300" s="8" t="s">
        <v>47931</v>
      </c>
      <c r="O11300" s="8">
        <f>12+31/60+55.9/3600</f>
        <v>12.532194444444444</v>
      </c>
      <c r="P11300" s="8" t="s">
        <v>47932</v>
      </c>
      <c r="Q11300" s="8">
        <f>+(12+10/60+29/3600)</f>
        <v>12.174722222222222</v>
      </c>
      <c r="R11300" s="8">
        <v>14.2</v>
      </c>
      <c r="S11300" s="8">
        <v>14.8</v>
      </c>
      <c r="T11300" s="8">
        <v>0.6</v>
      </c>
      <c r="U11300" s="8">
        <v>13.9</v>
      </c>
      <c r="V11300" s="8">
        <v>1.1000000000000001</v>
      </c>
      <c r="W11300" s="8">
        <v>0.8</v>
      </c>
      <c r="X11300" s="8">
        <v>155</v>
      </c>
      <c r="Y11300" s="8" t="s">
        <v>26493</v>
      </c>
      <c r="Z11300" s="8" t="s">
        <v>26494</v>
      </c>
    </row>
    <row r="11301" spans="1:26" x14ac:dyDescent="0.2">
      <c r="A11301" s="8">
        <v>11300</v>
      </c>
      <c r="B11301" s="8" t="s">
        <v>47933</v>
      </c>
      <c r="C11301" s="8" t="s">
        <v>47933</v>
      </c>
      <c r="G11301" s="8">
        <v>20</v>
      </c>
      <c r="H11301" s="8" t="s">
        <v>21</v>
      </c>
      <c r="I11301" s="8" t="s">
        <v>22</v>
      </c>
      <c r="J11301" s="8" t="s">
        <v>22</v>
      </c>
      <c r="K11301" s="8" t="s">
        <v>579</v>
      </c>
      <c r="L11301" s="8" t="s">
        <v>18289</v>
      </c>
      <c r="M11301" s="8" t="s">
        <v>18290</v>
      </c>
      <c r="N11301" s="8" t="s">
        <v>47934</v>
      </c>
      <c r="O11301" s="8">
        <f>12+31/60+50.4/3600</f>
        <v>12.530666666666667</v>
      </c>
      <c r="P11301" s="8" t="s">
        <v>47935</v>
      </c>
      <c r="Q11301" s="8">
        <f>+(27+23/60+14/3600)</f>
        <v>27.387222222222221</v>
      </c>
      <c r="R11301" s="8">
        <v>15.4</v>
      </c>
      <c r="S11301" s="8">
        <v>16.100000000000001</v>
      </c>
      <c r="T11301" s="8">
        <v>0.7</v>
      </c>
      <c r="U11301" s="8">
        <v>13.8</v>
      </c>
      <c r="V11301" s="8">
        <v>0.9</v>
      </c>
      <c r="W11301" s="8">
        <v>0.3</v>
      </c>
      <c r="X11301" s="8">
        <v>120</v>
      </c>
      <c r="Y11301" s="8" t="s">
        <v>22305</v>
      </c>
      <c r="Z11301" s="8" t="s">
        <v>22306</v>
      </c>
    </row>
    <row r="11302" spans="1:26" x14ac:dyDescent="0.2">
      <c r="A11302" s="8">
        <v>11301</v>
      </c>
      <c r="B11302" s="8" t="s">
        <v>47936</v>
      </c>
      <c r="C11302" s="8" t="s">
        <v>47936</v>
      </c>
      <c r="G11302" s="8">
        <v>20</v>
      </c>
      <c r="H11302" s="8" t="s">
        <v>21</v>
      </c>
      <c r="I11302" s="8" t="s">
        <v>22</v>
      </c>
      <c r="J11302" s="8" t="s">
        <v>22</v>
      </c>
      <c r="K11302" s="8" t="s">
        <v>58</v>
      </c>
      <c r="L11302" s="8" t="s">
        <v>17287</v>
      </c>
      <c r="M11302" s="8" t="s">
        <v>17288</v>
      </c>
      <c r="N11302" s="8" t="s">
        <v>47937</v>
      </c>
      <c r="O11302" s="8">
        <f>12+32/60+2.8/3600</f>
        <v>12.534111111111111</v>
      </c>
      <c r="P11302" s="8" t="s">
        <v>47938</v>
      </c>
      <c r="Q11302" s="8">
        <f>+(11+53/60+23/3600)</f>
        <v>11.889722222222222</v>
      </c>
      <c r="R11302" s="8">
        <v>14.2</v>
      </c>
      <c r="S11302" s="8">
        <v>15.1</v>
      </c>
      <c r="T11302" s="8">
        <v>0.9</v>
      </c>
      <c r="U11302" s="8">
        <v>13.3</v>
      </c>
      <c r="V11302" s="8">
        <v>0.7</v>
      </c>
      <c r="W11302" s="8">
        <v>0.6</v>
      </c>
      <c r="Y11302" s="8" t="s">
        <v>282</v>
      </c>
      <c r="Z11302" s="8" t="s">
        <v>283</v>
      </c>
    </row>
    <row r="11303" spans="1:26" x14ac:dyDescent="0.2">
      <c r="A11303" s="8">
        <v>11302</v>
      </c>
      <c r="B11303" s="8" t="s">
        <v>47939</v>
      </c>
      <c r="C11303" s="8" t="s">
        <v>47939</v>
      </c>
      <c r="G11303" s="8">
        <v>20</v>
      </c>
      <c r="H11303" s="8" t="s">
        <v>21</v>
      </c>
      <c r="I11303" s="8" t="s">
        <v>22</v>
      </c>
      <c r="J11303" s="8" t="s">
        <v>22</v>
      </c>
      <c r="K11303" s="8" t="s">
        <v>818</v>
      </c>
      <c r="L11303" s="8" t="s">
        <v>18289</v>
      </c>
      <c r="M11303" s="8" t="s">
        <v>18290</v>
      </c>
      <c r="N11303" s="8" t="s">
        <v>47940</v>
      </c>
      <c r="O11303" s="8">
        <f>12+32/60+9.6/3600</f>
        <v>12.536</v>
      </c>
      <c r="P11303" s="8" t="s">
        <v>47941</v>
      </c>
      <c r="Q11303" s="8">
        <f>+(15+18/60+4/3600)</f>
        <v>15.301111111111112</v>
      </c>
      <c r="R11303" s="8">
        <v>15.1</v>
      </c>
      <c r="S11303" s="8">
        <v>16.100000000000001</v>
      </c>
      <c r="T11303" s="8">
        <v>1</v>
      </c>
      <c r="U11303" s="8">
        <v>13.3</v>
      </c>
      <c r="V11303" s="8">
        <v>0.6</v>
      </c>
      <c r="W11303" s="8">
        <v>0.3</v>
      </c>
      <c r="X11303" s="8">
        <v>45</v>
      </c>
      <c r="Y11303" s="8" t="s">
        <v>27240</v>
      </c>
      <c r="Z11303" s="8" t="s">
        <v>27241</v>
      </c>
    </row>
    <row r="11304" spans="1:26" x14ac:dyDescent="0.2">
      <c r="A11304" s="8">
        <v>11303</v>
      </c>
      <c r="B11304" s="8" t="s">
        <v>47942</v>
      </c>
      <c r="C11304" s="8" t="s">
        <v>47942</v>
      </c>
      <c r="G11304" s="8">
        <v>20</v>
      </c>
      <c r="H11304" s="8" t="s">
        <v>21</v>
      </c>
      <c r="I11304" s="8" t="s">
        <v>72</v>
      </c>
      <c r="J11304" s="8" t="s">
        <v>72</v>
      </c>
      <c r="K11304" s="8" t="s">
        <v>73</v>
      </c>
      <c r="L11304" s="8" t="s">
        <v>17287</v>
      </c>
      <c r="M11304" s="8" t="s">
        <v>17288</v>
      </c>
      <c r="N11304" s="8" t="s">
        <v>47943</v>
      </c>
      <c r="O11304" s="8">
        <f>12+32/60+5/3600</f>
        <v>12.534722222222221</v>
      </c>
      <c r="P11304" s="8" t="s">
        <v>47944</v>
      </c>
      <c r="Q11304" s="8">
        <f>+(12+19/60+12/3600)</f>
        <v>12.32</v>
      </c>
      <c r="R11304" s="8">
        <v>99</v>
      </c>
      <c r="S11304" s="8">
        <v>99</v>
      </c>
      <c r="T11304" s="8">
        <v>99</v>
      </c>
      <c r="U11304" s="8">
        <v>99</v>
      </c>
      <c r="Y11304" s="8" t="s">
        <v>47945</v>
      </c>
      <c r="Z11304" s="8" t="s">
        <v>47946</v>
      </c>
    </row>
    <row r="11305" spans="1:26" x14ac:dyDescent="0.2">
      <c r="A11305" s="8">
        <v>11304</v>
      </c>
      <c r="B11305" s="8" t="s">
        <v>47947</v>
      </c>
      <c r="C11305" s="8" t="s">
        <v>47947</v>
      </c>
      <c r="G11305" s="8">
        <v>20</v>
      </c>
      <c r="H11305" s="8" t="s">
        <v>21</v>
      </c>
      <c r="I11305" s="8" t="s">
        <v>72</v>
      </c>
      <c r="J11305" s="8" t="s">
        <v>72</v>
      </c>
      <c r="K11305" s="8" t="s">
        <v>20</v>
      </c>
      <c r="L11305" s="8" t="s">
        <v>18289</v>
      </c>
      <c r="M11305" s="8" t="s">
        <v>18290</v>
      </c>
      <c r="N11305" s="8" t="s">
        <v>47948</v>
      </c>
      <c r="O11305" s="8">
        <f>12+32/60+0.3/3600</f>
        <v>12.533416666666666</v>
      </c>
      <c r="P11305" s="8" t="s">
        <v>47949</v>
      </c>
      <c r="Q11305" s="8">
        <f>+(26+0/60+16/3600)</f>
        <v>26.004444444444445</v>
      </c>
      <c r="R11305" s="8">
        <v>99</v>
      </c>
      <c r="S11305" s="8">
        <v>99</v>
      </c>
      <c r="T11305" s="8">
        <v>99</v>
      </c>
      <c r="U11305" s="8">
        <v>99</v>
      </c>
      <c r="Y11305" s="8" t="s">
        <v>47895</v>
      </c>
      <c r="Z11305" s="8" t="s">
        <v>47896</v>
      </c>
    </row>
    <row r="11306" spans="1:26" x14ac:dyDescent="0.2">
      <c r="A11306" s="8">
        <v>11305</v>
      </c>
      <c r="B11306" s="8" t="s">
        <v>47950</v>
      </c>
      <c r="C11306" s="8" t="s">
        <v>47950</v>
      </c>
      <c r="G11306" s="8">
        <v>20</v>
      </c>
      <c r="H11306" s="8" t="s">
        <v>21</v>
      </c>
      <c r="I11306" s="8" t="s">
        <v>22</v>
      </c>
      <c r="J11306" s="8" t="s">
        <v>22</v>
      </c>
      <c r="K11306" s="8" t="s">
        <v>818</v>
      </c>
      <c r="L11306" s="8" t="s">
        <v>17287</v>
      </c>
      <c r="M11306" s="8" t="s">
        <v>17288</v>
      </c>
      <c r="N11306" s="8" t="s">
        <v>47951</v>
      </c>
      <c r="O11306" s="8">
        <f>12+32/60+12.3/3600</f>
        <v>12.53675</v>
      </c>
      <c r="P11306" s="8" t="s">
        <v>47952</v>
      </c>
      <c r="Q11306" s="8">
        <f>+(12+3/60+41/3600)</f>
        <v>12.061388888888889</v>
      </c>
      <c r="R11306" s="8">
        <v>15.5</v>
      </c>
      <c r="S11306" s="8">
        <v>16.5</v>
      </c>
      <c r="T11306" s="8">
        <v>1</v>
      </c>
      <c r="U11306" s="8">
        <v>13.5</v>
      </c>
      <c r="V11306" s="8">
        <v>0.5</v>
      </c>
      <c r="W11306" s="8">
        <v>0.3</v>
      </c>
      <c r="X11306" s="8">
        <v>90</v>
      </c>
      <c r="Y11306" s="8" t="s">
        <v>46466</v>
      </c>
      <c r="Z11306" s="8" t="s">
        <v>46467</v>
      </c>
    </row>
    <row r="11307" spans="1:26" x14ac:dyDescent="0.2">
      <c r="A11307" s="8">
        <v>11306</v>
      </c>
      <c r="B11307" s="8" t="s">
        <v>47953</v>
      </c>
      <c r="C11307" s="8" t="s">
        <v>47953</v>
      </c>
      <c r="G11307" s="8">
        <v>20</v>
      </c>
      <c r="H11307" s="8" t="s">
        <v>21</v>
      </c>
      <c r="I11307" s="8" t="s">
        <v>22</v>
      </c>
      <c r="J11307" s="8" t="s">
        <v>22</v>
      </c>
      <c r="K11307" s="8" t="s">
        <v>476</v>
      </c>
      <c r="L11307" s="8" t="s">
        <v>17287</v>
      </c>
      <c r="M11307" s="8" t="s">
        <v>17288</v>
      </c>
      <c r="N11307" s="8" t="s">
        <v>47954</v>
      </c>
      <c r="O11307" s="8">
        <f>12+32/60+5.6/3600</f>
        <v>12.534888888888888</v>
      </c>
      <c r="P11307" s="8" t="s">
        <v>47955</v>
      </c>
      <c r="Q11307" s="8">
        <f>+(11+49/60+3/3600)</f>
        <v>11.817499999999999</v>
      </c>
      <c r="R11307" s="8">
        <v>15.2</v>
      </c>
      <c r="S11307" s="8">
        <v>15.7</v>
      </c>
      <c r="T11307" s="8">
        <v>0.5</v>
      </c>
      <c r="U11307" s="8">
        <v>13.5</v>
      </c>
      <c r="V11307" s="8">
        <v>0.6</v>
      </c>
      <c r="W11307" s="8">
        <v>0.4</v>
      </c>
      <c r="X11307" s="8">
        <v>80</v>
      </c>
      <c r="Y11307" s="8" t="s">
        <v>46249</v>
      </c>
      <c r="Z11307" s="8" t="s">
        <v>46250</v>
      </c>
    </row>
    <row r="11308" spans="1:26" x14ac:dyDescent="0.2">
      <c r="A11308" s="8">
        <v>11307</v>
      </c>
      <c r="B11308" s="8" t="s">
        <v>47956</v>
      </c>
      <c r="C11308" s="8" t="s">
        <v>47956</v>
      </c>
      <c r="G11308" s="8">
        <v>20</v>
      </c>
      <c r="H11308" s="8" t="s">
        <v>21</v>
      </c>
      <c r="I11308" s="8" t="s">
        <v>22</v>
      </c>
      <c r="J11308" s="8" t="s">
        <v>22</v>
      </c>
      <c r="K11308" s="8" t="s">
        <v>160</v>
      </c>
      <c r="L11308" s="8" t="s">
        <v>17287</v>
      </c>
      <c r="M11308" s="8" t="s">
        <v>17288</v>
      </c>
      <c r="N11308" s="8" t="s">
        <v>47957</v>
      </c>
      <c r="O11308" s="8">
        <f>12+32/60+24.5/3600</f>
        <v>12.540138888888889</v>
      </c>
      <c r="P11308" s="8" t="s">
        <v>47958</v>
      </c>
      <c r="Q11308" s="8">
        <f>+(11+47/60+15/3600)</f>
        <v>11.7875</v>
      </c>
      <c r="R11308" s="8">
        <v>14.9</v>
      </c>
      <c r="S11308" s="8">
        <v>15.6</v>
      </c>
      <c r="T11308" s="8">
        <v>0.7</v>
      </c>
      <c r="U11308" s="8">
        <v>13.1</v>
      </c>
      <c r="V11308" s="8">
        <v>1.1000000000000001</v>
      </c>
      <c r="W11308" s="8">
        <v>0.2</v>
      </c>
      <c r="X11308" s="8">
        <v>72</v>
      </c>
      <c r="Y11308" s="8" t="s">
        <v>21</v>
      </c>
      <c r="Z11308" s="8" t="s">
        <v>47959</v>
      </c>
    </row>
    <row r="11309" spans="1:26" x14ac:dyDescent="0.2">
      <c r="A11309" s="8">
        <v>11308</v>
      </c>
      <c r="B11309" s="8" t="s">
        <v>47960</v>
      </c>
      <c r="C11309" s="8" t="s">
        <v>47960</v>
      </c>
      <c r="G11309" s="8">
        <v>20</v>
      </c>
      <c r="H11309" s="8" t="s">
        <v>21</v>
      </c>
      <c r="I11309" s="8" t="s">
        <v>22</v>
      </c>
      <c r="J11309" s="8" t="s">
        <v>22</v>
      </c>
      <c r="K11309" s="8" t="s">
        <v>183</v>
      </c>
      <c r="L11309" s="8" t="s">
        <v>17287</v>
      </c>
      <c r="M11309" s="8" t="s">
        <v>17288</v>
      </c>
      <c r="N11309" s="8" t="s">
        <v>47961</v>
      </c>
      <c r="O11309" s="8">
        <f>12+32/60+14.1/3600</f>
        <v>12.53725</v>
      </c>
      <c r="P11309" s="8" t="s">
        <v>47962</v>
      </c>
      <c r="Q11309" s="8">
        <f>+(10+15/60+7/3600)</f>
        <v>10.251944444444444</v>
      </c>
      <c r="R11309" s="8">
        <v>13.1</v>
      </c>
      <c r="S11309" s="8">
        <v>14.1</v>
      </c>
      <c r="T11309" s="8">
        <v>1</v>
      </c>
      <c r="U11309" s="8">
        <v>13.7</v>
      </c>
      <c r="V11309" s="8">
        <v>1.2</v>
      </c>
      <c r="W11309" s="8">
        <v>1.1000000000000001</v>
      </c>
      <c r="X11309" s="8">
        <v>167</v>
      </c>
      <c r="Y11309" s="8" t="s">
        <v>47963</v>
      </c>
      <c r="Z11309" s="8" t="s">
        <v>47964</v>
      </c>
    </row>
    <row r="11310" spans="1:26" x14ac:dyDescent="0.2">
      <c r="A11310" s="8">
        <v>11309</v>
      </c>
      <c r="B11310" s="8" t="s">
        <v>47965</v>
      </c>
      <c r="C11310" s="8" t="s">
        <v>47965</v>
      </c>
      <c r="G11310" s="8">
        <v>20</v>
      </c>
      <c r="H11310" s="8" t="s">
        <v>21</v>
      </c>
      <c r="I11310" s="8" t="s">
        <v>22</v>
      </c>
      <c r="J11310" s="8" t="s">
        <v>22</v>
      </c>
      <c r="K11310" s="8" t="s">
        <v>424</v>
      </c>
      <c r="L11310" s="8" t="s">
        <v>18289</v>
      </c>
      <c r="M11310" s="8" t="s">
        <v>18290</v>
      </c>
      <c r="N11310" s="8" t="s">
        <v>47966</v>
      </c>
      <c r="O11310" s="8">
        <f>12+32/60+11.1/3600</f>
        <v>12.536416666666666</v>
      </c>
      <c r="P11310" s="8" t="s">
        <v>47967</v>
      </c>
      <c r="Q11310" s="8">
        <f>+(25+48/60+10/3600)</f>
        <v>25.802777777777777</v>
      </c>
      <c r="R11310" s="8">
        <v>16.5</v>
      </c>
      <c r="S11310" s="8">
        <v>17.5</v>
      </c>
      <c r="T11310" s="8">
        <v>1</v>
      </c>
      <c r="U11310" s="8">
        <v>11.4</v>
      </c>
      <c r="V11310" s="8">
        <v>0.1</v>
      </c>
      <c r="W11310" s="8">
        <v>0.1</v>
      </c>
      <c r="Y11310" s="8" t="s">
        <v>47968</v>
      </c>
      <c r="Z11310" s="8" t="s">
        <v>47969</v>
      </c>
    </row>
    <row r="11311" spans="1:26" x14ac:dyDescent="0.2">
      <c r="A11311" s="8">
        <v>11310</v>
      </c>
      <c r="B11311" s="8" t="s">
        <v>47970</v>
      </c>
      <c r="C11311" s="8" t="s">
        <v>47970</v>
      </c>
      <c r="G11311" s="8">
        <v>20</v>
      </c>
      <c r="H11311" s="8" t="s">
        <v>21</v>
      </c>
      <c r="I11311" s="8" t="s">
        <v>22</v>
      </c>
      <c r="J11311" s="8" t="s">
        <v>22</v>
      </c>
      <c r="K11311" s="8" t="s">
        <v>58</v>
      </c>
      <c r="L11311" s="8" t="s">
        <v>17287</v>
      </c>
      <c r="M11311" s="8" t="s">
        <v>17288</v>
      </c>
      <c r="N11311" s="8" t="s">
        <v>47971</v>
      </c>
      <c r="O11311" s="8">
        <f>12+32/60+23.3/3600</f>
        <v>12.539805555555555</v>
      </c>
      <c r="P11311" s="8" t="s">
        <v>47972</v>
      </c>
      <c r="Q11311" s="8">
        <f>+(11+15/60+48/3600)</f>
        <v>11.263333333333334</v>
      </c>
      <c r="R11311" s="8">
        <v>13.3</v>
      </c>
      <c r="S11311" s="8">
        <v>14.4</v>
      </c>
      <c r="T11311" s="8">
        <v>1.1000000000000001</v>
      </c>
      <c r="U11311" s="8">
        <v>12.2</v>
      </c>
      <c r="V11311" s="8">
        <v>0.6</v>
      </c>
      <c r="W11311" s="8">
        <v>0.6</v>
      </c>
      <c r="Y11311" s="8" t="s">
        <v>47963</v>
      </c>
      <c r="Z11311" s="8" t="s">
        <v>47964</v>
      </c>
    </row>
    <row r="11312" spans="1:26" x14ac:dyDescent="0.2">
      <c r="A11312" s="8">
        <v>11311</v>
      </c>
      <c r="B11312" s="8" t="s">
        <v>47973</v>
      </c>
      <c r="C11312" s="8" t="s">
        <v>47973</v>
      </c>
      <c r="G11312" s="8">
        <v>20</v>
      </c>
      <c r="H11312" s="8" t="s">
        <v>21</v>
      </c>
      <c r="I11312" s="8" t="s">
        <v>22</v>
      </c>
      <c r="J11312" s="8" t="s">
        <v>22</v>
      </c>
      <c r="K11312" s="8" t="s">
        <v>476</v>
      </c>
      <c r="L11312" s="8" t="s">
        <v>18289</v>
      </c>
      <c r="M11312" s="8" t="s">
        <v>18290</v>
      </c>
      <c r="N11312" s="8" t="s">
        <v>47974</v>
      </c>
      <c r="O11312" s="8">
        <f>12+32/60+22.7/3600</f>
        <v>12.539638888888888</v>
      </c>
      <c r="P11312" s="8" t="s">
        <v>47975</v>
      </c>
      <c r="Q11312" s="8">
        <f>+(16+1/60+6/3600)</f>
        <v>16.018333333333331</v>
      </c>
      <c r="R11312" s="8">
        <v>14.7</v>
      </c>
      <c r="S11312" s="8">
        <v>15.5</v>
      </c>
      <c r="T11312" s="8">
        <v>0.8</v>
      </c>
      <c r="U11312" s="8">
        <v>13.3</v>
      </c>
      <c r="V11312" s="8">
        <v>0.8</v>
      </c>
      <c r="W11312" s="8">
        <v>0.4</v>
      </c>
      <c r="X11312" s="8">
        <v>0</v>
      </c>
      <c r="Y11312" s="8" t="s">
        <v>2181</v>
      </c>
      <c r="Z11312" s="8" t="s">
        <v>2182</v>
      </c>
    </row>
    <row r="11313" spans="1:26" x14ac:dyDescent="0.2">
      <c r="A11313" s="8">
        <v>11312</v>
      </c>
      <c r="B11313" s="8" t="s">
        <v>47976</v>
      </c>
      <c r="C11313" s="8" t="s">
        <v>47976</v>
      </c>
      <c r="G11313" s="8">
        <v>20</v>
      </c>
      <c r="H11313" s="8" t="s">
        <v>21</v>
      </c>
      <c r="I11313" s="8" t="s">
        <v>22</v>
      </c>
      <c r="J11313" s="8" t="s">
        <v>22</v>
      </c>
      <c r="K11313" s="8" t="s">
        <v>3523</v>
      </c>
      <c r="L11313" s="8" t="s">
        <v>18289</v>
      </c>
      <c r="M11313" s="8" t="s">
        <v>18290</v>
      </c>
      <c r="N11313" s="8" t="s">
        <v>47977</v>
      </c>
      <c r="O11313" s="8">
        <f>12+32/60+18.8/3600</f>
        <v>12.538555555555556</v>
      </c>
      <c r="P11313" s="8" t="s">
        <v>47978</v>
      </c>
      <c r="Q11313" s="8">
        <f>+(24+43/60+42/3600)</f>
        <v>24.728333333333332</v>
      </c>
      <c r="R11313" s="8">
        <v>16.899999999999999</v>
      </c>
      <c r="S11313" s="8">
        <v>17.5</v>
      </c>
      <c r="T11313" s="8">
        <v>0.6</v>
      </c>
      <c r="U11313" s="8">
        <v>14.1</v>
      </c>
      <c r="V11313" s="8">
        <v>0.3</v>
      </c>
      <c r="W11313" s="8">
        <v>0.3</v>
      </c>
      <c r="Y11313" s="8" t="s">
        <v>37602</v>
      </c>
      <c r="Z11313" s="8" t="s">
        <v>37603</v>
      </c>
    </row>
    <row r="11314" spans="1:26" x14ac:dyDescent="0.2">
      <c r="A11314" s="8">
        <v>11313</v>
      </c>
      <c r="B11314" s="8" t="s">
        <v>47979</v>
      </c>
      <c r="C11314" s="8" t="s">
        <v>47979</v>
      </c>
      <c r="G11314" s="8">
        <v>20</v>
      </c>
      <c r="H11314" s="8" t="s">
        <v>21</v>
      </c>
      <c r="I11314" s="8" t="s">
        <v>22</v>
      </c>
      <c r="J11314" s="8" t="s">
        <v>22</v>
      </c>
      <c r="K11314" s="8" t="s">
        <v>579</v>
      </c>
      <c r="L11314" s="8" t="s">
        <v>18289</v>
      </c>
      <c r="M11314" s="8" t="s">
        <v>18290</v>
      </c>
      <c r="N11314" s="8" t="s">
        <v>47980</v>
      </c>
      <c r="O11314" s="8">
        <f>12+32/60+19/3600</f>
        <v>12.538611111111111</v>
      </c>
      <c r="P11314" s="8" t="s">
        <v>47981</v>
      </c>
      <c r="Q11314" s="8">
        <f>+(18+14/60+40/3600)</f>
        <v>18.244444444444447</v>
      </c>
      <c r="R11314" s="8">
        <v>14.3</v>
      </c>
      <c r="S11314" s="8">
        <v>15</v>
      </c>
      <c r="T11314" s="8">
        <v>0.7</v>
      </c>
      <c r="U11314" s="8">
        <v>14.1</v>
      </c>
      <c r="V11314" s="8">
        <v>1.2</v>
      </c>
      <c r="W11314" s="8">
        <v>0.8</v>
      </c>
      <c r="X11314" s="8">
        <v>35</v>
      </c>
      <c r="Y11314" s="8" t="s">
        <v>47925</v>
      </c>
      <c r="Z11314" s="8" t="s">
        <v>47926</v>
      </c>
    </row>
    <row r="11315" spans="1:26" x14ac:dyDescent="0.2">
      <c r="A11315" s="8">
        <v>11314</v>
      </c>
      <c r="B11315" s="8" t="s">
        <v>47982</v>
      </c>
      <c r="C11315" s="8" t="s">
        <v>47982</v>
      </c>
      <c r="G11315" s="8">
        <v>20</v>
      </c>
      <c r="H11315" s="8" t="s">
        <v>21</v>
      </c>
      <c r="I11315" s="8" t="s">
        <v>22</v>
      </c>
      <c r="J11315" s="8" t="s">
        <v>22</v>
      </c>
      <c r="K11315" s="8" t="s">
        <v>579</v>
      </c>
      <c r="L11315" s="8" t="s">
        <v>17287</v>
      </c>
      <c r="M11315" s="8" t="s">
        <v>17288</v>
      </c>
      <c r="N11315" s="8" t="s">
        <v>47983</v>
      </c>
      <c r="O11315" s="8">
        <f>12+32/60+36.8/3600</f>
        <v>12.543555555555555</v>
      </c>
      <c r="P11315" s="8" t="s">
        <v>47984</v>
      </c>
      <c r="Q11315" s="8">
        <f>+(2+39/60+45/3600)</f>
        <v>2.6625000000000001</v>
      </c>
      <c r="R11315" s="8">
        <v>14.2</v>
      </c>
      <c r="S11315" s="8">
        <v>14.9</v>
      </c>
      <c r="T11315" s="8">
        <v>0.7</v>
      </c>
      <c r="U11315" s="8">
        <v>13.6</v>
      </c>
      <c r="V11315" s="8">
        <v>2.2000000000000002</v>
      </c>
      <c r="W11315" s="8">
        <v>0.3</v>
      </c>
      <c r="X11315" s="8">
        <v>36</v>
      </c>
      <c r="Y11315" s="8" t="s">
        <v>47985</v>
      </c>
      <c r="Z11315" s="8" t="s">
        <v>47986</v>
      </c>
    </row>
    <row r="11316" spans="1:26" x14ac:dyDescent="0.2">
      <c r="A11316" s="8">
        <v>11315</v>
      </c>
      <c r="B11316" s="8" t="s">
        <v>47987</v>
      </c>
      <c r="C11316" s="8" t="s">
        <v>47987</v>
      </c>
      <c r="G11316" s="8">
        <v>20</v>
      </c>
      <c r="H11316" s="8" t="s">
        <v>21</v>
      </c>
      <c r="I11316" s="8" t="s">
        <v>22</v>
      </c>
      <c r="J11316" s="8" t="s">
        <v>22</v>
      </c>
      <c r="K11316" s="8" t="s">
        <v>183</v>
      </c>
      <c r="L11316" s="8" t="s">
        <v>17287</v>
      </c>
      <c r="M11316" s="8" t="s">
        <v>17288</v>
      </c>
      <c r="N11316" s="8" t="s">
        <v>47988</v>
      </c>
      <c r="O11316" s="8">
        <f>12+32/60+40.6/3600</f>
        <v>12.544611111111111</v>
      </c>
      <c r="P11316" s="8" t="s">
        <v>47989</v>
      </c>
      <c r="Q11316" s="8">
        <f>+(12+46/60+10/3600)</f>
        <v>12.769444444444446</v>
      </c>
      <c r="R11316" s="8">
        <v>13.1</v>
      </c>
      <c r="S11316" s="8">
        <v>13.8</v>
      </c>
      <c r="T11316" s="8">
        <v>0.7</v>
      </c>
      <c r="U11316" s="8">
        <v>14.2</v>
      </c>
      <c r="V11316" s="8">
        <v>1.7</v>
      </c>
      <c r="W11316" s="8">
        <v>1.6</v>
      </c>
      <c r="X11316" s="8">
        <v>86</v>
      </c>
      <c r="Y11316" s="8" t="s">
        <v>47990</v>
      </c>
      <c r="Z11316" s="8" t="s">
        <v>47991</v>
      </c>
    </row>
    <row r="11317" spans="1:26" x14ac:dyDescent="0.2">
      <c r="A11317" s="8">
        <v>11316</v>
      </c>
      <c r="B11317" s="8" t="s">
        <v>47992</v>
      </c>
      <c r="C11317" s="8" t="s">
        <v>47992</v>
      </c>
      <c r="G11317" s="8">
        <v>20</v>
      </c>
      <c r="H11317" s="8" t="s">
        <v>21</v>
      </c>
      <c r="I11317" s="8" t="s">
        <v>22</v>
      </c>
      <c r="J11317" s="8" t="s">
        <v>22</v>
      </c>
      <c r="K11317" s="8" t="s">
        <v>107</v>
      </c>
      <c r="L11317" s="8" t="s">
        <v>18289</v>
      </c>
      <c r="M11317" s="8" t="s">
        <v>18290</v>
      </c>
      <c r="N11317" s="8" t="s">
        <v>47993</v>
      </c>
      <c r="O11317" s="8">
        <f>12+32/60+41.8/3600</f>
        <v>12.544944444444445</v>
      </c>
      <c r="P11317" s="8" t="s">
        <v>47994</v>
      </c>
      <c r="Q11317" s="8">
        <f>+(14+3/60+0/3600)</f>
        <v>14.05</v>
      </c>
      <c r="R11317" s="8">
        <v>12.7</v>
      </c>
      <c r="S11317" s="8">
        <v>13.2</v>
      </c>
      <c r="T11317" s="8">
        <v>0.5</v>
      </c>
      <c r="U11317" s="8">
        <v>14.1</v>
      </c>
      <c r="V11317" s="8">
        <v>2</v>
      </c>
      <c r="W11317" s="8">
        <v>1.4</v>
      </c>
      <c r="X11317" s="8">
        <v>30</v>
      </c>
      <c r="Y11317" s="8" t="s">
        <v>47995</v>
      </c>
      <c r="Z11317" s="8" t="s">
        <v>47996</v>
      </c>
    </row>
    <row r="11318" spans="1:26" x14ac:dyDescent="0.2">
      <c r="A11318" s="8">
        <v>11317</v>
      </c>
      <c r="B11318" s="8" t="s">
        <v>47997</v>
      </c>
      <c r="C11318" s="8" t="s">
        <v>47997</v>
      </c>
      <c r="G11318" s="8">
        <v>20</v>
      </c>
      <c r="H11318" s="8" t="s">
        <v>21</v>
      </c>
      <c r="I11318" s="8" t="s">
        <v>72</v>
      </c>
      <c r="J11318" s="8" t="s">
        <v>72</v>
      </c>
      <c r="K11318" s="8" t="s">
        <v>20</v>
      </c>
      <c r="L11318" s="8" t="s">
        <v>18289</v>
      </c>
      <c r="M11318" s="8" t="s">
        <v>18290</v>
      </c>
      <c r="N11318" s="8" t="s">
        <v>47998</v>
      </c>
      <c r="O11318" s="8">
        <f>12+32/60+38.3/3600</f>
        <v>12.543972222222223</v>
      </c>
      <c r="P11318" s="8" t="s">
        <v>47999</v>
      </c>
      <c r="Q11318" s="8">
        <f>+(26+2/60+18/3600)</f>
        <v>26.038333333333334</v>
      </c>
      <c r="R11318" s="8">
        <v>99</v>
      </c>
      <c r="S11318" s="8">
        <v>15.2</v>
      </c>
      <c r="T11318" s="8">
        <v>99</v>
      </c>
      <c r="U11318" s="8">
        <v>99</v>
      </c>
      <c r="Y11318" s="8" t="s">
        <v>47603</v>
      </c>
      <c r="Z11318" s="8" t="s">
        <v>48000</v>
      </c>
    </row>
    <row r="11319" spans="1:26" x14ac:dyDescent="0.2">
      <c r="A11319" s="8">
        <v>11318</v>
      </c>
      <c r="B11319" s="8" t="s">
        <v>48001</v>
      </c>
      <c r="C11319" s="8" t="s">
        <v>48001</v>
      </c>
      <c r="G11319" s="8">
        <v>20</v>
      </c>
      <c r="H11319" s="8" t="s">
        <v>21</v>
      </c>
      <c r="I11319" s="8" t="s">
        <v>22</v>
      </c>
      <c r="J11319" s="8" t="s">
        <v>22</v>
      </c>
      <c r="K11319" s="8" t="s">
        <v>224</v>
      </c>
      <c r="L11319" s="8" t="s">
        <v>18289</v>
      </c>
      <c r="M11319" s="8" t="s">
        <v>18290</v>
      </c>
      <c r="N11319" s="8" t="s">
        <v>48002</v>
      </c>
      <c r="O11319" s="8">
        <f>12+32/60+44.2/3600</f>
        <v>12.545611111111111</v>
      </c>
      <c r="P11319" s="8" t="s">
        <v>48003</v>
      </c>
      <c r="Q11319" s="8">
        <f>+(14+11/60+46/3600)</f>
        <v>14.196111111111112</v>
      </c>
      <c r="R11319" s="8">
        <v>13.3</v>
      </c>
      <c r="S11319" s="8">
        <v>14.3</v>
      </c>
      <c r="T11319" s="8">
        <v>1</v>
      </c>
      <c r="U11319" s="8">
        <v>13.1</v>
      </c>
      <c r="V11319" s="8">
        <v>1.1000000000000001</v>
      </c>
      <c r="W11319" s="8">
        <v>1</v>
      </c>
      <c r="X11319" s="8">
        <v>105</v>
      </c>
      <c r="Y11319" s="8" t="s">
        <v>7702</v>
      </c>
      <c r="Z11319" s="8" t="s">
        <v>7703</v>
      </c>
    </row>
    <row r="11320" spans="1:26" x14ac:dyDescent="0.2">
      <c r="A11320" s="8">
        <v>11319</v>
      </c>
      <c r="B11320" s="8" t="s">
        <v>48004</v>
      </c>
      <c r="C11320" s="8" t="s">
        <v>48004</v>
      </c>
      <c r="G11320" s="8">
        <v>20</v>
      </c>
      <c r="H11320" s="8" t="s">
        <v>21</v>
      </c>
      <c r="I11320" s="8" t="s">
        <v>22</v>
      </c>
      <c r="J11320" s="8" t="s">
        <v>22</v>
      </c>
      <c r="K11320" s="8" t="s">
        <v>424</v>
      </c>
      <c r="L11320" s="8" t="s">
        <v>18289</v>
      </c>
      <c r="M11320" s="8" t="s">
        <v>18290</v>
      </c>
      <c r="N11320" s="8" t="s">
        <v>48005</v>
      </c>
      <c r="O11320" s="8">
        <f>12+32/60+41/3600</f>
        <v>12.544722222222221</v>
      </c>
      <c r="P11320" s="8" t="s">
        <v>48006</v>
      </c>
      <c r="Q11320" s="8">
        <f>+(25+24/60+22/3600)</f>
        <v>25.406111111111109</v>
      </c>
      <c r="R11320" s="8">
        <v>16</v>
      </c>
      <c r="S11320" s="8">
        <v>17</v>
      </c>
      <c r="T11320" s="8">
        <v>1</v>
      </c>
      <c r="U11320" s="8">
        <v>12.4</v>
      </c>
      <c r="V11320" s="8">
        <v>0.2</v>
      </c>
      <c r="W11320" s="8">
        <v>0.2</v>
      </c>
      <c r="Y11320" s="8" t="s">
        <v>3932</v>
      </c>
      <c r="Z11320" s="8" t="s">
        <v>3933</v>
      </c>
    </row>
    <row r="11321" spans="1:26" x14ac:dyDescent="0.2">
      <c r="A11321" s="8">
        <v>11320</v>
      </c>
      <c r="B11321" s="8" t="s">
        <v>48007</v>
      </c>
      <c r="C11321" s="8" t="s">
        <v>48007</v>
      </c>
      <c r="G11321" s="8">
        <v>20</v>
      </c>
      <c r="H11321" s="8" t="s">
        <v>21</v>
      </c>
      <c r="I11321" s="8" t="s">
        <v>72</v>
      </c>
      <c r="J11321" s="8" t="s">
        <v>72</v>
      </c>
      <c r="K11321" s="8" t="s">
        <v>73</v>
      </c>
      <c r="L11321" s="8" t="s">
        <v>18289</v>
      </c>
      <c r="M11321" s="8" t="s">
        <v>18290</v>
      </c>
      <c r="N11321" s="8" t="s">
        <v>48008</v>
      </c>
      <c r="O11321" s="8">
        <f>12+32/60+41.1/3600</f>
        <v>12.544750000000001</v>
      </c>
      <c r="P11321" s="8" t="s">
        <v>48009</v>
      </c>
      <c r="Q11321" s="8">
        <f>+(26+49/60+44/3600)</f>
        <v>26.828888888888887</v>
      </c>
      <c r="R11321" s="8">
        <v>99</v>
      </c>
      <c r="S11321" s="8">
        <v>99</v>
      </c>
      <c r="T11321" s="8">
        <v>99</v>
      </c>
      <c r="U11321" s="8">
        <v>99</v>
      </c>
      <c r="Y11321" s="8" t="s">
        <v>48010</v>
      </c>
      <c r="Z11321" s="8" t="s">
        <v>48011</v>
      </c>
    </row>
    <row r="11322" spans="1:26" x14ac:dyDescent="0.2">
      <c r="A11322" s="8">
        <v>11321</v>
      </c>
      <c r="B11322" s="8" t="s">
        <v>48012</v>
      </c>
      <c r="C11322" s="8" t="s">
        <v>48012</v>
      </c>
      <c r="G11322" s="8">
        <v>20</v>
      </c>
      <c r="H11322" s="8" t="s">
        <v>21</v>
      </c>
      <c r="I11322" s="8" t="s">
        <v>22</v>
      </c>
      <c r="J11322" s="8" t="s">
        <v>22</v>
      </c>
      <c r="K11322" s="8" t="s">
        <v>118</v>
      </c>
      <c r="L11322" s="8" t="s">
        <v>17287</v>
      </c>
      <c r="M11322" s="8" t="s">
        <v>17288</v>
      </c>
      <c r="N11322" s="8" t="s">
        <v>48013</v>
      </c>
      <c r="O11322" s="8">
        <f>12+32/60+52.2/3600</f>
        <v>12.547833333333333</v>
      </c>
      <c r="P11322" s="8" t="s">
        <v>48014</v>
      </c>
      <c r="Q11322" s="8">
        <f>+(11+24/60+17/3600)</f>
        <v>11.404722222222222</v>
      </c>
      <c r="R11322" s="8">
        <v>13.4</v>
      </c>
      <c r="S11322" s="8">
        <v>14.4</v>
      </c>
      <c r="T11322" s="8">
        <v>1</v>
      </c>
      <c r="U11322" s="8">
        <v>12.5</v>
      </c>
      <c r="V11322" s="8">
        <v>0.8</v>
      </c>
      <c r="W11322" s="8">
        <v>0.6</v>
      </c>
      <c r="X11322" s="8">
        <v>45</v>
      </c>
      <c r="Y11322" s="8" t="s">
        <v>48015</v>
      </c>
      <c r="Z11322" s="8" t="s">
        <v>48016</v>
      </c>
    </row>
    <row r="11323" spans="1:26" x14ac:dyDescent="0.2">
      <c r="A11323" s="8">
        <v>11322</v>
      </c>
      <c r="B11323" s="8" t="s">
        <v>48017</v>
      </c>
      <c r="C11323" s="8" t="s">
        <v>48017</v>
      </c>
      <c r="G11323" s="8">
        <v>20</v>
      </c>
      <c r="H11323" s="8" t="s">
        <v>21</v>
      </c>
      <c r="I11323" s="8" t="s">
        <v>22</v>
      </c>
      <c r="J11323" s="8" t="s">
        <v>22</v>
      </c>
      <c r="K11323" s="8" t="s">
        <v>449</v>
      </c>
      <c r="L11323" s="8" t="s">
        <v>18289</v>
      </c>
      <c r="M11323" s="8" t="s">
        <v>18290</v>
      </c>
      <c r="N11323" s="8" t="s">
        <v>48018</v>
      </c>
      <c r="O11323" s="8">
        <f>12+33/60+1/3600</f>
        <v>12.550277777777778</v>
      </c>
      <c r="P11323" s="8" t="s">
        <v>48019</v>
      </c>
      <c r="Q11323" s="8">
        <f>+(27+49/60+50/3600)</f>
        <v>27.830555555555556</v>
      </c>
      <c r="R11323" s="8">
        <v>15.2</v>
      </c>
      <c r="S11323" s="8">
        <v>16</v>
      </c>
      <c r="T11323" s="8">
        <v>0.8</v>
      </c>
      <c r="U11323" s="8">
        <v>11.2</v>
      </c>
      <c r="V11323" s="8">
        <v>0.3</v>
      </c>
      <c r="W11323" s="8">
        <v>0.1</v>
      </c>
      <c r="X11323" s="8">
        <v>45</v>
      </c>
      <c r="Y11323" s="8" t="s">
        <v>48020</v>
      </c>
      <c r="Z11323" s="8" t="s">
        <v>48021</v>
      </c>
    </row>
    <row r="11324" spans="1:26" x14ac:dyDescent="0.2">
      <c r="A11324" s="8">
        <v>11323</v>
      </c>
      <c r="B11324" s="8" t="s">
        <v>48022</v>
      </c>
      <c r="C11324" s="8" t="s">
        <v>48022</v>
      </c>
      <c r="G11324" s="8">
        <v>20</v>
      </c>
      <c r="H11324" s="8" t="s">
        <v>21</v>
      </c>
      <c r="I11324" s="8" t="s">
        <v>22</v>
      </c>
      <c r="J11324" s="8" t="s">
        <v>22</v>
      </c>
      <c r="K11324" s="8" t="s">
        <v>5751</v>
      </c>
      <c r="L11324" s="8" t="s">
        <v>17287</v>
      </c>
      <c r="M11324" s="8" t="s">
        <v>17288</v>
      </c>
      <c r="N11324" s="8" t="s">
        <v>48023</v>
      </c>
      <c r="O11324" s="8">
        <f>12+33/60+10/3600</f>
        <v>12.552777777777779</v>
      </c>
      <c r="P11324" s="8" t="s">
        <v>48024</v>
      </c>
      <c r="Q11324" s="8">
        <f>+(11+20/60+49/3600)</f>
        <v>11.346944444444444</v>
      </c>
      <c r="R11324" s="8">
        <v>14.9</v>
      </c>
      <c r="S11324" s="8">
        <v>15.7</v>
      </c>
      <c r="T11324" s="8">
        <v>0.8</v>
      </c>
      <c r="U11324" s="8">
        <v>13.1</v>
      </c>
      <c r="V11324" s="8">
        <v>0.5</v>
      </c>
      <c r="W11324" s="8">
        <v>0.4</v>
      </c>
      <c r="Y11324" s="8" t="s">
        <v>46310</v>
      </c>
      <c r="Z11324" s="8" t="s">
        <v>46311</v>
      </c>
    </row>
    <row r="11325" spans="1:26" x14ac:dyDescent="0.2">
      <c r="A11325" s="8">
        <v>11324</v>
      </c>
      <c r="B11325" s="8" t="s">
        <v>48025</v>
      </c>
      <c r="C11325" s="8" t="s">
        <v>48025</v>
      </c>
      <c r="G11325" s="8">
        <v>20</v>
      </c>
      <c r="H11325" s="8" t="s">
        <v>21</v>
      </c>
      <c r="I11325" s="8" t="s">
        <v>22</v>
      </c>
      <c r="J11325" s="8" t="s">
        <v>22</v>
      </c>
      <c r="K11325" s="8" t="s">
        <v>160</v>
      </c>
      <c r="L11325" s="8" t="s">
        <v>18289</v>
      </c>
      <c r="M11325" s="8" t="s">
        <v>18290</v>
      </c>
      <c r="N11325" s="8" t="s">
        <v>48026</v>
      </c>
      <c r="O11325" s="8">
        <f>12+33/60+5.3/3600</f>
        <v>12.551472222222223</v>
      </c>
      <c r="P11325" s="8" t="s">
        <v>48027</v>
      </c>
      <c r="Q11325" s="8">
        <f>+(17+24/60+11/3600)</f>
        <v>17.403055555555554</v>
      </c>
      <c r="R11325" s="8">
        <v>14.5</v>
      </c>
      <c r="S11325" s="8">
        <v>15.2</v>
      </c>
      <c r="T11325" s="8">
        <v>0.7</v>
      </c>
      <c r="U11325" s="8">
        <v>13</v>
      </c>
      <c r="V11325" s="8">
        <v>0.6</v>
      </c>
      <c r="W11325" s="8">
        <v>0.5</v>
      </c>
      <c r="Y11325" s="8" t="s">
        <v>17602</v>
      </c>
      <c r="Z11325" s="8" t="s">
        <v>17603</v>
      </c>
    </row>
    <row r="11326" spans="1:26" x14ac:dyDescent="0.2">
      <c r="A11326" s="8">
        <v>11325</v>
      </c>
      <c r="B11326" s="8" t="s">
        <v>48028</v>
      </c>
      <c r="C11326" s="8" t="s">
        <v>48028</v>
      </c>
      <c r="G11326" s="8">
        <v>20</v>
      </c>
      <c r="H11326" s="8" t="s">
        <v>21</v>
      </c>
      <c r="I11326" s="8" t="s">
        <v>72</v>
      </c>
      <c r="J11326" s="8" t="s">
        <v>72</v>
      </c>
      <c r="K11326" s="8" t="s">
        <v>20</v>
      </c>
      <c r="L11326" s="8" t="s">
        <v>17287</v>
      </c>
      <c r="M11326" s="8" t="s">
        <v>17288</v>
      </c>
      <c r="N11326" s="8" t="s">
        <v>48029</v>
      </c>
      <c r="O11326" s="8">
        <f>12+33/60+11.2/3600</f>
        <v>12.553111111111113</v>
      </c>
      <c r="P11326" s="8" t="s">
        <v>48030</v>
      </c>
      <c r="Q11326" s="8">
        <f>+(9+13/60+5/3600)</f>
        <v>9.218055555555555</v>
      </c>
      <c r="R11326" s="8">
        <v>99</v>
      </c>
      <c r="S11326" s="8">
        <v>99</v>
      </c>
      <c r="T11326" s="8">
        <v>99</v>
      </c>
      <c r="U11326" s="8">
        <v>99</v>
      </c>
      <c r="Y11326" s="8" t="s">
        <v>48031</v>
      </c>
      <c r="Z11326" s="8" t="s">
        <v>47536</v>
      </c>
    </row>
    <row r="11327" spans="1:26" x14ac:dyDescent="0.2">
      <c r="A11327" s="8">
        <v>11326</v>
      </c>
      <c r="B11327" s="8" t="s">
        <v>48032</v>
      </c>
      <c r="C11327" s="8" t="s">
        <v>48032</v>
      </c>
      <c r="G11327" s="8">
        <v>20</v>
      </c>
      <c r="H11327" s="8" t="s">
        <v>21</v>
      </c>
      <c r="I11327" s="8" t="s">
        <v>22</v>
      </c>
      <c r="J11327" s="8" t="s">
        <v>22</v>
      </c>
      <c r="K11327" s="8" t="s">
        <v>818</v>
      </c>
      <c r="L11327" s="8" t="s">
        <v>17287</v>
      </c>
      <c r="M11327" s="8" t="s">
        <v>17288</v>
      </c>
      <c r="N11327" s="8" t="s">
        <v>48033</v>
      </c>
      <c r="O11327" s="8">
        <f>12+33/60+14/3600</f>
        <v>12.55388888888889</v>
      </c>
      <c r="P11327" s="8" t="s">
        <v>48034</v>
      </c>
      <c r="Q11327" s="8">
        <f>+(12+51/60+26/3600)</f>
        <v>12.857222222222221</v>
      </c>
      <c r="R11327" s="8">
        <v>14.1</v>
      </c>
      <c r="S11327" s="8">
        <v>15.1</v>
      </c>
      <c r="T11327" s="8">
        <v>1</v>
      </c>
      <c r="U11327" s="8">
        <v>13</v>
      </c>
      <c r="V11327" s="8">
        <v>0.8</v>
      </c>
      <c r="W11327" s="8">
        <v>0.5</v>
      </c>
      <c r="X11327" s="8">
        <v>45</v>
      </c>
      <c r="Y11327" s="8" t="s">
        <v>36797</v>
      </c>
      <c r="Z11327" s="8" t="s">
        <v>36798</v>
      </c>
    </row>
    <row r="11328" spans="1:26" x14ac:dyDescent="0.2">
      <c r="A11328" s="8">
        <v>11327</v>
      </c>
      <c r="B11328" s="8" t="s">
        <v>48035</v>
      </c>
      <c r="C11328" s="8" t="s">
        <v>48035</v>
      </c>
      <c r="G11328" s="8">
        <v>20</v>
      </c>
      <c r="H11328" s="8" t="s">
        <v>21</v>
      </c>
      <c r="I11328" s="8" t="s">
        <v>22</v>
      </c>
      <c r="J11328" s="8" t="s">
        <v>22</v>
      </c>
      <c r="K11328" s="8" t="s">
        <v>3850</v>
      </c>
      <c r="L11328" s="8" t="s">
        <v>17287</v>
      </c>
      <c r="M11328" s="8" t="s">
        <v>17288</v>
      </c>
      <c r="N11328" s="8" t="s">
        <v>48036</v>
      </c>
      <c r="O11328" s="8">
        <f>12+33/60+13.4/3600</f>
        <v>12.553722222222223</v>
      </c>
      <c r="P11328" s="8" t="s">
        <v>48037</v>
      </c>
      <c r="Q11328" s="8">
        <f>+(9+23/60+49/3600)</f>
        <v>9.3969444444444434</v>
      </c>
      <c r="R11328" s="8">
        <v>14.3</v>
      </c>
      <c r="S11328" s="8">
        <v>15.3</v>
      </c>
      <c r="T11328" s="8">
        <v>1</v>
      </c>
      <c r="U11328" s="8">
        <v>13.1</v>
      </c>
      <c r="V11328" s="8">
        <v>0.8</v>
      </c>
      <c r="W11328" s="8">
        <v>0.4</v>
      </c>
      <c r="X11328" s="8">
        <v>84</v>
      </c>
      <c r="Y11328" s="8" t="s">
        <v>282</v>
      </c>
      <c r="Z11328" s="8" t="s">
        <v>283</v>
      </c>
    </row>
    <row r="11329" spans="1:26" x14ac:dyDescent="0.2">
      <c r="A11329" s="8">
        <v>11328</v>
      </c>
      <c r="B11329" s="8" t="s">
        <v>48038</v>
      </c>
      <c r="C11329" s="8" t="s">
        <v>48038</v>
      </c>
      <c r="G11329" s="8">
        <v>20</v>
      </c>
      <c r="H11329" s="8" t="s">
        <v>21</v>
      </c>
      <c r="I11329" s="8" t="s">
        <v>22</v>
      </c>
      <c r="J11329" s="8" t="s">
        <v>22</v>
      </c>
      <c r="K11329" s="8" t="s">
        <v>449</v>
      </c>
      <c r="L11329" s="8" t="s">
        <v>18289</v>
      </c>
      <c r="M11329" s="8" t="s">
        <v>18290</v>
      </c>
      <c r="N11329" s="8" t="s">
        <v>48039</v>
      </c>
      <c r="O11329" s="8">
        <f>12+33/60+8.4/3600</f>
        <v>12.552333333333333</v>
      </c>
      <c r="P11329" s="8" t="s">
        <v>48040</v>
      </c>
      <c r="Q11329" s="8">
        <f>+(26+20/60+59/3600)</f>
        <v>26.349722222222223</v>
      </c>
      <c r="R11329" s="8">
        <v>15.2</v>
      </c>
      <c r="S11329" s="8">
        <v>16</v>
      </c>
      <c r="T11329" s="8">
        <v>0.8</v>
      </c>
      <c r="U11329" s="8">
        <v>14.4</v>
      </c>
      <c r="V11329" s="8">
        <v>0.8</v>
      </c>
      <c r="W11329" s="8">
        <v>0.7</v>
      </c>
      <c r="Y11329" s="8" t="s">
        <v>2641</v>
      </c>
      <c r="Z11329" s="8" t="s">
        <v>2642</v>
      </c>
    </row>
    <row r="11330" spans="1:26" x14ac:dyDescent="0.2">
      <c r="A11330" s="8">
        <v>11329</v>
      </c>
      <c r="B11330" s="8" t="s">
        <v>48041</v>
      </c>
      <c r="C11330" s="8" t="s">
        <v>48041</v>
      </c>
      <c r="G11330" s="8">
        <v>20</v>
      </c>
      <c r="H11330" s="8" t="s">
        <v>21</v>
      </c>
      <c r="I11330" s="8" t="s">
        <v>22</v>
      </c>
      <c r="J11330" s="8" t="s">
        <v>22</v>
      </c>
      <c r="K11330" s="8" t="s">
        <v>396</v>
      </c>
      <c r="L11330" s="8" t="s">
        <v>17287</v>
      </c>
      <c r="M11330" s="8" t="s">
        <v>17288</v>
      </c>
      <c r="N11330" s="8" t="s">
        <v>48042</v>
      </c>
      <c r="O11330" s="8">
        <f>12+33/60+13.7/3600</f>
        <v>12.553805555555556</v>
      </c>
      <c r="P11330" s="8" t="s">
        <v>48043</v>
      </c>
      <c r="Q11330" s="8">
        <f>+(12+14/60+49/3600)</f>
        <v>12.246944444444443</v>
      </c>
      <c r="R11330" s="8">
        <v>14.4</v>
      </c>
      <c r="S11330" s="8">
        <v>15.2</v>
      </c>
      <c r="T11330" s="8">
        <v>0.8</v>
      </c>
      <c r="U11330" s="8">
        <v>13.1</v>
      </c>
      <c r="V11330" s="8">
        <v>0.6</v>
      </c>
      <c r="W11330" s="8">
        <v>0.6</v>
      </c>
      <c r="Y11330" s="8" t="s">
        <v>48015</v>
      </c>
      <c r="Z11330" s="8" t="s">
        <v>48016</v>
      </c>
    </row>
    <row r="11331" spans="1:26" x14ac:dyDescent="0.2">
      <c r="A11331" s="8">
        <v>11330</v>
      </c>
      <c r="B11331" s="8" t="s">
        <v>48044</v>
      </c>
      <c r="C11331" s="8" t="s">
        <v>48044</v>
      </c>
      <c r="G11331" s="8">
        <v>20</v>
      </c>
      <c r="H11331" s="8" t="s">
        <v>21</v>
      </c>
      <c r="I11331" s="8" t="s">
        <v>22</v>
      </c>
      <c r="J11331" s="8" t="s">
        <v>22</v>
      </c>
      <c r="K11331" s="8" t="s">
        <v>818</v>
      </c>
      <c r="L11331" s="8" t="s">
        <v>17287</v>
      </c>
      <c r="M11331" s="8" t="s">
        <v>17288</v>
      </c>
      <c r="N11331" s="8" t="s">
        <v>48045</v>
      </c>
      <c r="O11331" s="8">
        <f>12+33/60+13.9/3600</f>
        <v>12.553861111111113</v>
      </c>
      <c r="P11331" s="8" t="s">
        <v>48046</v>
      </c>
      <c r="Q11331" s="8">
        <f>+(10+55/60+42/3600)</f>
        <v>10.928333333333333</v>
      </c>
      <c r="R11331" s="8">
        <v>15.5</v>
      </c>
      <c r="S11331" s="8">
        <v>16.5</v>
      </c>
      <c r="T11331" s="8">
        <v>1</v>
      </c>
      <c r="U11331" s="8">
        <v>13.7</v>
      </c>
      <c r="V11331" s="8">
        <v>0.6</v>
      </c>
      <c r="W11331" s="8">
        <v>0.3</v>
      </c>
      <c r="X11331" s="8">
        <v>50</v>
      </c>
      <c r="Y11331" s="8" t="s">
        <v>21</v>
      </c>
      <c r="Z11331" s="8" t="s">
        <v>48047</v>
      </c>
    </row>
    <row r="11332" spans="1:26" x14ac:dyDescent="0.2">
      <c r="A11332" s="8">
        <v>11331</v>
      </c>
      <c r="B11332" s="8" t="s">
        <v>48048</v>
      </c>
      <c r="C11332" s="8" t="s">
        <v>48048</v>
      </c>
      <c r="G11332" s="8">
        <v>20</v>
      </c>
      <c r="H11332" s="8" t="s">
        <v>21</v>
      </c>
      <c r="I11332" s="8" t="s">
        <v>22</v>
      </c>
      <c r="J11332" s="8" t="s">
        <v>22</v>
      </c>
      <c r="K11332" s="8" t="s">
        <v>476</v>
      </c>
      <c r="L11332" s="8" t="s">
        <v>18289</v>
      </c>
      <c r="M11332" s="8" t="s">
        <v>18290</v>
      </c>
      <c r="N11332" s="8" t="s">
        <v>48049</v>
      </c>
      <c r="O11332" s="8">
        <f>12+33/60+9/3600</f>
        <v>12.5525</v>
      </c>
      <c r="P11332" s="8" t="s">
        <v>48050</v>
      </c>
      <c r="Q11332" s="8">
        <f>+(27+5/60+41/3600)</f>
        <v>27.09472222222222</v>
      </c>
      <c r="R11332" s="8">
        <v>15.2</v>
      </c>
      <c r="S11332" s="8">
        <v>16</v>
      </c>
      <c r="T11332" s="8">
        <v>0.8</v>
      </c>
      <c r="U11332" s="8">
        <v>13.6</v>
      </c>
      <c r="V11332" s="8">
        <v>0.9</v>
      </c>
      <c r="W11332" s="8">
        <v>0.3</v>
      </c>
      <c r="X11332" s="8">
        <v>12</v>
      </c>
      <c r="Y11332" s="8" t="s">
        <v>22305</v>
      </c>
      <c r="Z11332" s="8" t="s">
        <v>22306</v>
      </c>
    </row>
    <row r="11333" spans="1:26" x14ac:dyDescent="0.2">
      <c r="A11333" s="8">
        <v>11332</v>
      </c>
      <c r="B11333" s="8" t="s">
        <v>48051</v>
      </c>
      <c r="C11333" s="8" t="s">
        <v>48051</v>
      </c>
      <c r="G11333" s="8">
        <v>20</v>
      </c>
      <c r="H11333" s="8" t="s">
        <v>21</v>
      </c>
      <c r="I11333" s="8" t="s">
        <v>22</v>
      </c>
      <c r="J11333" s="8" t="s">
        <v>22</v>
      </c>
      <c r="K11333" s="8" t="s">
        <v>58</v>
      </c>
      <c r="L11333" s="8" t="s">
        <v>17287</v>
      </c>
      <c r="M11333" s="8" t="s">
        <v>17288</v>
      </c>
      <c r="N11333" s="8" t="s">
        <v>48052</v>
      </c>
      <c r="O11333" s="8">
        <f>12+33/60+19.7/3600</f>
        <v>12.555472222222223</v>
      </c>
      <c r="P11333" s="8" t="s">
        <v>48053</v>
      </c>
      <c r="Q11333" s="8">
        <f>+(12+51/60+14/3600)</f>
        <v>12.853888888888889</v>
      </c>
      <c r="R11333" s="8">
        <v>13.8</v>
      </c>
      <c r="S11333" s="8">
        <v>14.8</v>
      </c>
      <c r="T11333" s="8">
        <v>1</v>
      </c>
      <c r="U11333" s="8">
        <v>12.5</v>
      </c>
      <c r="V11333" s="8">
        <v>0.7</v>
      </c>
      <c r="W11333" s="8">
        <v>0.4</v>
      </c>
      <c r="X11333" s="8">
        <v>55</v>
      </c>
      <c r="Y11333" s="8" t="s">
        <v>21</v>
      </c>
      <c r="Z11333" s="8" t="s">
        <v>48054</v>
      </c>
    </row>
    <row r="11334" spans="1:26" x14ac:dyDescent="0.2">
      <c r="A11334" s="8">
        <v>11333</v>
      </c>
      <c r="B11334" s="8" t="s">
        <v>48055</v>
      </c>
      <c r="C11334" s="8" t="s">
        <v>48055</v>
      </c>
      <c r="G11334" s="8">
        <v>20</v>
      </c>
      <c r="H11334" s="8" t="s">
        <v>21</v>
      </c>
      <c r="I11334" s="8" t="s">
        <v>72</v>
      </c>
      <c r="J11334" s="8" t="s">
        <v>72</v>
      </c>
      <c r="K11334" s="8" t="s">
        <v>20</v>
      </c>
      <c r="L11334" s="8" t="s">
        <v>17287</v>
      </c>
      <c r="M11334" s="8" t="s">
        <v>17288</v>
      </c>
      <c r="N11334" s="8" t="s">
        <v>48056</v>
      </c>
      <c r="O11334" s="8">
        <f>12+33/60+18.9/3600</f>
        <v>12.555250000000001</v>
      </c>
      <c r="P11334" s="8" t="s">
        <v>48057</v>
      </c>
      <c r="Q11334" s="8">
        <f>+(9+23/60+36/3600)</f>
        <v>9.3933333333333326</v>
      </c>
      <c r="R11334" s="8">
        <v>99</v>
      </c>
      <c r="S11334" s="8">
        <v>13.7</v>
      </c>
      <c r="T11334" s="8">
        <v>99</v>
      </c>
      <c r="U11334" s="8">
        <v>99</v>
      </c>
      <c r="Y11334" s="8" t="s">
        <v>266</v>
      </c>
      <c r="Z11334" s="8" t="s">
        <v>267</v>
      </c>
    </row>
    <row r="11335" spans="1:26" x14ac:dyDescent="0.2">
      <c r="A11335" s="8">
        <v>11334</v>
      </c>
      <c r="B11335" s="8" t="s">
        <v>48058</v>
      </c>
      <c r="C11335" s="8" t="s">
        <v>48058</v>
      </c>
      <c r="G11335" s="8">
        <v>20</v>
      </c>
      <c r="H11335" s="8" t="s">
        <v>21</v>
      </c>
      <c r="I11335" s="8" t="s">
        <v>22</v>
      </c>
      <c r="J11335" s="8" t="s">
        <v>22</v>
      </c>
      <c r="K11335" s="8" t="s">
        <v>460</v>
      </c>
      <c r="L11335" s="8" t="s">
        <v>18289</v>
      </c>
      <c r="M11335" s="8" t="s">
        <v>18290</v>
      </c>
      <c r="N11335" s="8" t="s">
        <v>48059</v>
      </c>
      <c r="O11335" s="8">
        <f>12+33/60+13.6/3600</f>
        <v>12.553777777777778</v>
      </c>
      <c r="P11335" s="8" t="s">
        <v>48060</v>
      </c>
      <c r="Q11335" s="8">
        <f>+(27+35/60+5/3600)</f>
        <v>27.584722222222222</v>
      </c>
      <c r="R11335" s="8">
        <v>16.600000000000001</v>
      </c>
      <c r="S11335" s="8">
        <v>17.600000000000001</v>
      </c>
      <c r="T11335" s="8">
        <v>1</v>
      </c>
      <c r="U11335" s="8">
        <v>13.2</v>
      </c>
      <c r="V11335" s="8">
        <v>0.2</v>
      </c>
      <c r="W11335" s="8">
        <v>0.2</v>
      </c>
      <c r="Y11335" s="8" t="s">
        <v>48061</v>
      </c>
      <c r="Z11335" s="8" t="s">
        <v>48062</v>
      </c>
    </row>
    <row r="11336" spans="1:26" x14ac:dyDescent="0.2">
      <c r="A11336" s="8">
        <v>11335</v>
      </c>
      <c r="B11336" s="8" t="s">
        <v>48063</v>
      </c>
      <c r="C11336" s="8" t="s">
        <v>48063</v>
      </c>
      <c r="G11336" s="8">
        <v>20</v>
      </c>
      <c r="H11336" s="8" t="s">
        <v>21</v>
      </c>
      <c r="I11336" s="8" t="s">
        <v>72</v>
      </c>
      <c r="J11336" s="8" t="s">
        <v>72</v>
      </c>
      <c r="K11336" s="8" t="s">
        <v>73</v>
      </c>
      <c r="L11336" s="8" t="s">
        <v>18289</v>
      </c>
      <c r="M11336" s="8" t="s">
        <v>18290</v>
      </c>
      <c r="N11336" s="8" t="s">
        <v>48064</v>
      </c>
      <c r="O11336" s="8">
        <f>12+33/60+16.5/3600</f>
        <v>12.554583333333333</v>
      </c>
      <c r="P11336" s="8" t="s">
        <v>48065</v>
      </c>
      <c r="Q11336" s="8">
        <f>+(26+48/60+32/3600)</f>
        <v>26.808888888888891</v>
      </c>
      <c r="R11336" s="8">
        <v>99</v>
      </c>
      <c r="S11336" s="8">
        <v>99</v>
      </c>
      <c r="T11336" s="8">
        <v>99</v>
      </c>
      <c r="U11336" s="8">
        <v>99</v>
      </c>
      <c r="Y11336" s="8" t="s">
        <v>48066</v>
      </c>
      <c r="Z11336" s="8" t="s">
        <v>48067</v>
      </c>
    </row>
    <row r="11337" spans="1:26" x14ac:dyDescent="0.2">
      <c r="A11337" s="8">
        <v>11336</v>
      </c>
      <c r="B11337" s="8" t="s">
        <v>48068</v>
      </c>
      <c r="C11337" s="8" t="s">
        <v>48068</v>
      </c>
      <c r="G11337" s="8">
        <v>20</v>
      </c>
      <c r="H11337" s="8" t="s">
        <v>21</v>
      </c>
      <c r="I11337" s="8" t="s">
        <v>72</v>
      </c>
      <c r="J11337" s="8" t="s">
        <v>72</v>
      </c>
      <c r="K11337" s="8" t="s">
        <v>20</v>
      </c>
      <c r="L11337" s="8" t="s">
        <v>18289</v>
      </c>
      <c r="M11337" s="8" t="s">
        <v>18290</v>
      </c>
      <c r="N11337" s="8" t="s">
        <v>48069</v>
      </c>
      <c r="O11337" s="8">
        <f>12+33/60+18.8/3600</f>
        <v>12.555222222222223</v>
      </c>
      <c r="P11337" s="8" t="s">
        <v>48070</v>
      </c>
      <c r="Q11337" s="8">
        <f>+(26+45/60+30/3600)</f>
        <v>26.758333333333333</v>
      </c>
      <c r="R11337" s="8">
        <v>99</v>
      </c>
      <c r="S11337" s="8">
        <v>99</v>
      </c>
      <c r="T11337" s="8">
        <v>99</v>
      </c>
      <c r="U11337" s="8">
        <v>99</v>
      </c>
      <c r="Y11337" s="8" t="s">
        <v>48071</v>
      </c>
      <c r="Z11337" s="8" t="s">
        <v>48072</v>
      </c>
    </row>
    <row r="11338" spans="1:26" x14ac:dyDescent="0.2">
      <c r="A11338" s="8">
        <v>11337</v>
      </c>
      <c r="B11338" s="8" t="s">
        <v>48073</v>
      </c>
      <c r="C11338" s="8" t="s">
        <v>48073</v>
      </c>
      <c r="G11338" s="8">
        <v>20</v>
      </c>
      <c r="H11338" s="8" t="s">
        <v>21</v>
      </c>
      <c r="I11338" s="8" t="s">
        <v>72</v>
      </c>
      <c r="J11338" s="8" t="s">
        <v>72</v>
      </c>
      <c r="K11338" s="8" t="s">
        <v>20</v>
      </c>
      <c r="L11338" s="8" t="s">
        <v>18289</v>
      </c>
      <c r="M11338" s="8" t="s">
        <v>18290</v>
      </c>
      <c r="N11338" s="8" t="s">
        <v>48074</v>
      </c>
      <c r="O11338" s="8">
        <f>12+33/60+28.5/3600</f>
        <v>12.557916666666667</v>
      </c>
      <c r="P11338" s="8" t="s">
        <v>48075</v>
      </c>
      <c r="Q11338" s="8">
        <f>+(25+29/60+19/3600)</f>
        <v>25.488611111111112</v>
      </c>
      <c r="R11338" s="8">
        <v>99</v>
      </c>
      <c r="S11338" s="8">
        <v>99</v>
      </c>
      <c r="T11338" s="8">
        <v>99</v>
      </c>
      <c r="U11338" s="8">
        <v>99</v>
      </c>
      <c r="Y11338" s="8" t="s">
        <v>115</v>
      </c>
      <c r="Z11338" s="8" t="s">
        <v>116</v>
      </c>
    </row>
    <row r="11339" spans="1:26" x14ac:dyDescent="0.2">
      <c r="A11339" s="8">
        <v>11338</v>
      </c>
      <c r="B11339" s="8" t="s">
        <v>48076</v>
      </c>
      <c r="C11339" s="8" t="s">
        <v>48076</v>
      </c>
      <c r="G11339" s="8">
        <v>20</v>
      </c>
      <c r="H11339" s="8" t="s">
        <v>21</v>
      </c>
      <c r="I11339" s="8" t="s">
        <v>22</v>
      </c>
      <c r="J11339" s="8" t="s">
        <v>22</v>
      </c>
      <c r="K11339" s="8" t="s">
        <v>23</v>
      </c>
      <c r="L11339" s="8" t="s">
        <v>18289</v>
      </c>
      <c r="M11339" s="8" t="s">
        <v>18290</v>
      </c>
      <c r="N11339" s="8" t="s">
        <v>48077</v>
      </c>
      <c r="O11339" s="8">
        <f>12+33/60+29.1/3600</f>
        <v>12.558083333333334</v>
      </c>
      <c r="P11339" s="8" t="s">
        <v>48078</v>
      </c>
      <c r="Q11339" s="8">
        <f>+(26+44/60+19/3600)</f>
        <v>26.738611111111112</v>
      </c>
      <c r="R11339" s="8">
        <v>14.9</v>
      </c>
      <c r="S11339" s="8">
        <v>15.7</v>
      </c>
      <c r="T11339" s="8">
        <v>0.8</v>
      </c>
      <c r="U11339" s="8">
        <v>12.4</v>
      </c>
      <c r="V11339" s="8">
        <v>0.6</v>
      </c>
      <c r="W11339" s="8">
        <v>0.2</v>
      </c>
      <c r="X11339" s="8">
        <v>50</v>
      </c>
      <c r="Y11339" s="8" t="s">
        <v>5139</v>
      </c>
      <c r="Z11339" s="8" t="s">
        <v>5140</v>
      </c>
    </row>
    <row r="11340" spans="1:26" x14ac:dyDescent="0.2">
      <c r="A11340" s="8">
        <v>11339</v>
      </c>
      <c r="B11340" s="8" t="s">
        <v>48079</v>
      </c>
      <c r="C11340" s="8" t="s">
        <v>48079</v>
      </c>
      <c r="G11340" s="8">
        <v>20</v>
      </c>
      <c r="H11340" s="8" t="s">
        <v>21</v>
      </c>
      <c r="I11340" s="8" t="s">
        <v>22</v>
      </c>
      <c r="J11340" s="8" t="s">
        <v>22</v>
      </c>
      <c r="K11340" s="8" t="s">
        <v>632</v>
      </c>
      <c r="L11340" s="8" t="s">
        <v>17287</v>
      </c>
      <c r="M11340" s="8" t="s">
        <v>17288</v>
      </c>
      <c r="N11340" s="8" t="s">
        <v>48080</v>
      </c>
      <c r="O11340" s="8">
        <f>12+33/60+45/3600</f>
        <v>12.5625</v>
      </c>
      <c r="P11340" s="8" t="s">
        <v>48081</v>
      </c>
      <c r="Q11340" s="8">
        <f>+(10+59/60+44/3600)</f>
        <v>10.995555555555555</v>
      </c>
      <c r="R11340" s="8">
        <v>13.3</v>
      </c>
      <c r="S11340" s="8">
        <v>14.1</v>
      </c>
      <c r="T11340" s="8">
        <v>0.8</v>
      </c>
      <c r="U11340" s="8">
        <v>12.7</v>
      </c>
      <c r="V11340" s="8">
        <v>1.4</v>
      </c>
      <c r="W11340" s="8">
        <v>0.5</v>
      </c>
      <c r="X11340" s="8">
        <v>125</v>
      </c>
      <c r="Y11340" s="8" t="s">
        <v>21</v>
      </c>
      <c r="Z11340" s="8" t="s">
        <v>48082</v>
      </c>
    </row>
    <row r="11341" spans="1:26" x14ac:dyDescent="0.2">
      <c r="A11341" s="8">
        <v>11340</v>
      </c>
      <c r="B11341" s="8" t="s">
        <v>48083</v>
      </c>
      <c r="C11341" s="8" t="s">
        <v>48083</v>
      </c>
      <c r="G11341" s="8">
        <v>20</v>
      </c>
      <c r="H11341" s="8" t="s">
        <v>21</v>
      </c>
      <c r="I11341" s="8" t="s">
        <v>22</v>
      </c>
      <c r="J11341" s="8" t="s">
        <v>22</v>
      </c>
      <c r="K11341" s="8" t="s">
        <v>64</v>
      </c>
      <c r="L11341" s="8" t="s">
        <v>18289</v>
      </c>
      <c r="M11341" s="8" t="s">
        <v>18290</v>
      </c>
      <c r="N11341" s="8" t="s">
        <v>48084</v>
      </c>
      <c r="O11341" s="8">
        <f>12+33/60+49.5/3600</f>
        <v>12.563750000000001</v>
      </c>
      <c r="P11341" s="8" t="s">
        <v>48085</v>
      </c>
      <c r="Q11341" s="8">
        <f>+(13+57/60+46/3600)</f>
        <v>13.962777777777777</v>
      </c>
      <c r="R11341" s="8">
        <v>14.4</v>
      </c>
      <c r="S11341" s="8">
        <v>15.1</v>
      </c>
      <c r="T11341" s="8">
        <v>0.7</v>
      </c>
      <c r="U11341" s="8">
        <v>12.7</v>
      </c>
      <c r="V11341" s="8">
        <v>0.6</v>
      </c>
      <c r="W11341" s="8">
        <v>0.4</v>
      </c>
      <c r="X11341" s="8">
        <v>95</v>
      </c>
      <c r="Y11341" s="8" t="s">
        <v>48086</v>
      </c>
      <c r="Z11341" s="8" t="s">
        <v>48087</v>
      </c>
    </row>
    <row r="11342" spans="1:26" x14ac:dyDescent="0.2">
      <c r="A11342" s="8">
        <v>11341</v>
      </c>
      <c r="B11342" s="8" t="s">
        <v>48088</v>
      </c>
      <c r="C11342" s="8" t="s">
        <v>48088</v>
      </c>
      <c r="G11342" s="8">
        <v>20</v>
      </c>
      <c r="H11342" s="8" t="s">
        <v>21</v>
      </c>
      <c r="I11342" s="8" t="s">
        <v>22</v>
      </c>
      <c r="J11342" s="8" t="s">
        <v>22</v>
      </c>
      <c r="K11342" s="8" t="s">
        <v>45598</v>
      </c>
      <c r="L11342" s="8" t="s">
        <v>18289</v>
      </c>
      <c r="M11342" s="8" t="s">
        <v>18290</v>
      </c>
      <c r="N11342" s="8" t="s">
        <v>48089</v>
      </c>
      <c r="O11342" s="8">
        <f>12+33/60+51.5/3600</f>
        <v>12.564305555555556</v>
      </c>
      <c r="P11342" s="8" t="s">
        <v>48090</v>
      </c>
      <c r="Q11342" s="8">
        <f>+(13+19/60+21/3600)</f>
        <v>13.3225</v>
      </c>
      <c r="R11342" s="8">
        <v>13.9</v>
      </c>
      <c r="S11342" s="8">
        <v>14.5</v>
      </c>
      <c r="T11342" s="8">
        <v>0.6</v>
      </c>
      <c r="U11342" s="8">
        <v>13.2</v>
      </c>
      <c r="V11342" s="8">
        <v>0.7</v>
      </c>
      <c r="W11342" s="8">
        <v>0.7</v>
      </c>
      <c r="Y11342" s="8" t="s">
        <v>22600</v>
      </c>
      <c r="Z11342" s="8" t="s">
        <v>22601</v>
      </c>
    </row>
    <row r="11343" spans="1:26" x14ac:dyDescent="0.2">
      <c r="A11343" s="8">
        <v>11342</v>
      </c>
      <c r="B11343" s="8" t="s">
        <v>48091</v>
      </c>
      <c r="C11343" s="8" t="s">
        <v>48091</v>
      </c>
      <c r="G11343" s="8">
        <v>20</v>
      </c>
      <c r="H11343" s="8" t="s">
        <v>21</v>
      </c>
      <c r="I11343" s="8" t="s">
        <v>22</v>
      </c>
      <c r="J11343" s="8" t="s">
        <v>22</v>
      </c>
      <c r="K11343" s="8" t="s">
        <v>3523</v>
      </c>
      <c r="L11343" s="8" t="s">
        <v>18289</v>
      </c>
      <c r="M11343" s="8" t="s">
        <v>18290</v>
      </c>
      <c r="N11343" s="8" t="s">
        <v>48092</v>
      </c>
      <c r="O11343" s="8">
        <f>12+33/60+42.5/3600</f>
        <v>12.561805555555557</v>
      </c>
      <c r="P11343" s="8" t="s">
        <v>48093</v>
      </c>
      <c r="Q11343" s="8">
        <f>+(26+37/60+4/3600)</f>
        <v>26.617777777777778</v>
      </c>
      <c r="R11343" s="8">
        <v>16.899999999999999</v>
      </c>
      <c r="S11343" s="8">
        <v>17.5</v>
      </c>
      <c r="T11343" s="8">
        <v>0.6</v>
      </c>
      <c r="U11343" s="8">
        <v>12.5</v>
      </c>
      <c r="V11343" s="8">
        <v>0.2</v>
      </c>
      <c r="W11343" s="8">
        <v>0.1</v>
      </c>
      <c r="X11343" s="8">
        <v>5</v>
      </c>
      <c r="Y11343" s="8" t="s">
        <v>37602</v>
      </c>
      <c r="Z11343" s="8" t="s">
        <v>37603</v>
      </c>
    </row>
    <row r="11344" spans="1:26" x14ac:dyDescent="0.2">
      <c r="A11344" s="8">
        <v>11343</v>
      </c>
      <c r="B11344" s="8" t="s">
        <v>48094</v>
      </c>
      <c r="C11344" s="8" t="s">
        <v>48094</v>
      </c>
      <c r="G11344" s="8">
        <v>20</v>
      </c>
      <c r="H11344" s="8" t="s">
        <v>21</v>
      </c>
      <c r="I11344" s="8" t="s">
        <v>72</v>
      </c>
      <c r="J11344" s="8" t="s">
        <v>72</v>
      </c>
      <c r="K11344" s="8" t="s">
        <v>20</v>
      </c>
      <c r="L11344" s="8" t="s">
        <v>18681</v>
      </c>
      <c r="M11344" s="8" t="s">
        <v>18682</v>
      </c>
      <c r="N11344" s="8" t="s">
        <v>48095</v>
      </c>
      <c r="O11344" s="8">
        <f>12+33/60+48.4/3600</f>
        <v>12.563444444444444</v>
      </c>
      <c r="P11344" s="8" t="s">
        <v>48096</v>
      </c>
      <c r="Q11344" s="8">
        <f>+(37+47/60+23/3600)</f>
        <v>37.789722222222217</v>
      </c>
      <c r="R11344" s="8">
        <v>99</v>
      </c>
      <c r="S11344" s="8">
        <v>99</v>
      </c>
      <c r="T11344" s="8">
        <v>99</v>
      </c>
      <c r="U11344" s="8">
        <v>99</v>
      </c>
      <c r="Y11344" s="8" t="s">
        <v>48097</v>
      </c>
      <c r="Z11344" s="8" t="s">
        <v>48098</v>
      </c>
    </row>
    <row r="11345" spans="1:26" x14ac:dyDescent="0.2">
      <c r="A11345" s="8">
        <v>11344</v>
      </c>
      <c r="B11345" s="8" t="s">
        <v>48099</v>
      </c>
      <c r="C11345" s="8" t="s">
        <v>48099</v>
      </c>
      <c r="G11345" s="8">
        <v>20</v>
      </c>
      <c r="H11345" s="8" t="s">
        <v>21</v>
      </c>
      <c r="I11345" s="8" t="s">
        <v>72</v>
      </c>
      <c r="J11345" s="8" t="s">
        <v>72</v>
      </c>
      <c r="K11345" s="8" t="s">
        <v>20</v>
      </c>
      <c r="L11345" s="8" t="s">
        <v>17287</v>
      </c>
      <c r="M11345" s="8" t="s">
        <v>17288</v>
      </c>
      <c r="N11345" s="8" t="s">
        <v>48100</v>
      </c>
      <c r="O11345" s="8">
        <f>12+34/60+8/3600</f>
        <v>12.568888888888889</v>
      </c>
      <c r="P11345" s="8" t="s">
        <v>48101</v>
      </c>
      <c r="Q11345" s="8">
        <f>+(6+53/60+12/3600)</f>
        <v>6.8866666666666658</v>
      </c>
      <c r="R11345" s="8">
        <v>99</v>
      </c>
      <c r="S11345" s="8">
        <v>99</v>
      </c>
      <c r="T11345" s="8">
        <v>99</v>
      </c>
      <c r="U11345" s="8">
        <v>99</v>
      </c>
      <c r="Y11345" s="8" t="s">
        <v>48102</v>
      </c>
      <c r="Z11345" s="8" t="s">
        <v>48103</v>
      </c>
    </row>
    <row r="11346" spans="1:26" x14ac:dyDescent="0.2">
      <c r="A11346" s="8">
        <v>11345</v>
      </c>
      <c r="B11346" s="8" t="s">
        <v>48104</v>
      </c>
      <c r="C11346" s="8" t="s">
        <v>48104</v>
      </c>
      <c r="G11346" s="8">
        <v>20</v>
      </c>
      <c r="H11346" s="8" t="s">
        <v>21</v>
      </c>
      <c r="I11346" s="8" t="s">
        <v>22</v>
      </c>
      <c r="J11346" s="8" t="s">
        <v>22</v>
      </c>
      <c r="K11346" s="8" t="s">
        <v>64</v>
      </c>
      <c r="L11346" s="8" t="s">
        <v>18289</v>
      </c>
      <c r="M11346" s="8" t="s">
        <v>18290</v>
      </c>
      <c r="N11346" s="8" t="s">
        <v>48105</v>
      </c>
      <c r="O11346" s="8">
        <f>12+34/60+10.3/3600</f>
        <v>12.569527777777777</v>
      </c>
      <c r="P11346" s="8" t="s">
        <v>48106</v>
      </c>
      <c r="Q11346" s="8">
        <f>+(15+58/60+7/3600)</f>
        <v>15.968611111111111</v>
      </c>
      <c r="R11346" s="8">
        <v>14.5</v>
      </c>
      <c r="S11346" s="8">
        <v>15.2</v>
      </c>
      <c r="T11346" s="8">
        <v>0.7</v>
      </c>
      <c r="U11346" s="8">
        <v>13.2</v>
      </c>
      <c r="V11346" s="8">
        <v>0.9</v>
      </c>
      <c r="W11346" s="8">
        <v>0.4</v>
      </c>
      <c r="X11346" s="8">
        <v>175</v>
      </c>
      <c r="Y11346" s="8" t="s">
        <v>1664</v>
      </c>
      <c r="Z11346" s="8" t="s">
        <v>1665</v>
      </c>
    </row>
    <row r="11347" spans="1:26" x14ac:dyDescent="0.2">
      <c r="A11347" s="8">
        <v>11346</v>
      </c>
      <c r="B11347" s="8" t="s">
        <v>48107</v>
      </c>
      <c r="C11347" s="8" t="s">
        <v>48107</v>
      </c>
      <c r="G11347" s="8">
        <v>20</v>
      </c>
      <c r="H11347" s="8" t="s">
        <v>21</v>
      </c>
      <c r="I11347" s="8" t="s">
        <v>22</v>
      </c>
      <c r="J11347" s="8" t="s">
        <v>22</v>
      </c>
      <c r="K11347" s="8" t="s">
        <v>818</v>
      </c>
      <c r="L11347" s="8" t="s">
        <v>17287</v>
      </c>
      <c r="M11347" s="8" t="s">
        <v>17288</v>
      </c>
      <c r="N11347" s="8" t="s">
        <v>48108</v>
      </c>
      <c r="O11347" s="8">
        <f>12+34/60+6.7/3600</f>
        <v>12.568527777777778</v>
      </c>
      <c r="P11347" s="8" t="s">
        <v>48109</v>
      </c>
      <c r="Q11347" s="8">
        <f>+(12+44/60+30/3600)</f>
        <v>12.741666666666665</v>
      </c>
      <c r="R11347" s="8">
        <v>14.6</v>
      </c>
      <c r="S11347" s="8">
        <v>15.6</v>
      </c>
      <c r="T11347" s="8">
        <v>1</v>
      </c>
      <c r="U11347" s="8">
        <v>13.4</v>
      </c>
      <c r="V11347" s="8">
        <v>0.6</v>
      </c>
      <c r="W11347" s="8">
        <v>0.5</v>
      </c>
      <c r="X11347" s="8">
        <v>83</v>
      </c>
      <c r="Y11347" s="8" t="s">
        <v>1250</v>
      </c>
      <c r="Z11347" s="8" t="s">
        <v>1251</v>
      </c>
    </row>
    <row r="11348" spans="1:26" x14ac:dyDescent="0.2">
      <c r="A11348" s="8">
        <v>11347</v>
      </c>
      <c r="B11348" s="8" t="s">
        <v>48110</v>
      </c>
      <c r="C11348" s="8" t="s">
        <v>48110</v>
      </c>
      <c r="G11348" s="8">
        <v>20</v>
      </c>
      <c r="H11348" s="8" t="s">
        <v>21</v>
      </c>
      <c r="I11348" s="8" t="s">
        <v>22</v>
      </c>
      <c r="J11348" s="8" t="s">
        <v>22</v>
      </c>
      <c r="K11348" s="8" t="s">
        <v>424</v>
      </c>
      <c r="L11348" s="8" t="s">
        <v>18289</v>
      </c>
      <c r="M11348" s="8" t="s">
        <v>18290</v>
      </c>
      <c r="N11348" s="8" t="s">
        <v>48111</v>
      </c>
      <c r="O11348" s="8">
        <f>12+34/60+4.4/3600</f>
        <v>12.567888888888888</v>
      </c>
      <c r="P11348" s="8" t="s">
        <v>48112</v>
      </c>
      <c r="Q11348" s="8">
        <f>+(25+21/60+48/3600)</f>
        <v>25.363333333333333</v>
      </c>
      <c r="R11348" s="8">
        <v>16.7</v>
      </c>
      <c r="S11348" s="8">
        <v>17.7</v>
      </c>
      <c r="T11348" s="8">
        <v>1</v>
      </c>
      <c r="U11348" s="8">
        <v>13.1</v>
      </c>
      <c r="V11348" s="8">
        <v>0.2</v>
      </c>
      <c r="W11348" s="8">
        <v>0.2</v>
      </c>
      <c r="Y11348" s="8" t="s">
        <v>3932</v>
      </c>
      <c r="Z11348" s="8" t="s">
        <v>3933</v>
      </c>
    </row>
    <row r="11349" spans="1:26" x14ac:dyDescent="0.2">
      <c r="A11349" s="8">
        <v>11348</v>
      </c>
      <c r="B11349" s="8" t="s">
        <v>48113</v>
      </c>
      <c r="C11349" s="8" t="s">
        <v>48113</v>
      </c>
      <c r="G11349" s="8">
        <v>20</v>
      </c>
      <c r="H11349" s="8" t="s">
        <v>21</v>
      </c>
      <c r="I11349" s="8" t="s">
        <v>22</v>
      </c>
      <c r="J11349" s="8" t="s">
        <v>22</v>
      </c>
      <c r="K11349" s="8" t="s">
        <v>42125</v>
      </c>
      <c r="L11349" s="8" t="s">
        <v>18289</v>
      </c>
      <c r="M11349" s="8" t="s">
        <v>18290</v>
      </c>
      <c r="N11349" s="8" t="s">
        <v>48114</v>
      </c>
      <c r="O11349" s="8">
        <f>12+34/60+6.9/3600</f>
        <v>12.568583333333333</v>
      </c>
      <c r="P11349" s="8" t="s">
        <v>48115</v>
      </c>
      <c r="Q11349" s="8">
        <f>+(26+40/60+17/3600)</f>
        <v>26.671388888888892</v>
      </c>
      <c r="R11349" s="8">
        <v>14.2</v>
      </c>
      <c r="S11349" s="8">
        <v>15.2</v>
      </c>
      <c r="T11349" s="8">
        <v>1</v>
      </c>
      <c r="U11349" s="8">
        <v>13.9</v>
      </c>
      <c r="V11349" s="8">
        <v>0.9</v>
      </c>
      <c r="W11349" s="8">
        <v>0.9</v>
      </c>
      <c r="Y11349" s="8" t="s">
        <v>47734</v>
      </c>
      <c r="Z11349" s="8" t="s">
        <v>47735</v>
      </c>
    </row>
    <row r="11350" spans="1:26" x14ac:dyDescent="0.2">
      <c r="A11350" s="8">
        <v>11349</v>
      </c>
      <c r="B11350" s="8" t="s">
        <v>48116</v>
      </c>
      <c r="C11350" s="8" t="s">
        <v>48116</v>
      </c>
      <c r="G11350" s="8">
        <v>20</v>
      </c>
      <c r="H11350" s="8" t="s">
        <v>21</v>
      </c>
      <c r="I11350" s="8" t="s">
        <v>22</v>
      </c>
      <c r="J11350" s="8" t="s">
        <v>22</v>
      </c>
      <c r="K11350" s="8" t="s">
        <v>2572</v>
      </c>
      <c r="L11350" s="8" t="s">
        <v>17287</v>
      </c>
      <c r="M11350" s="8" t="s">
        <v>17288</v>
      </c>
      <c r="N11350" s="8" t="s">
        <v>48117</v>
      </c>
      <c r="O11350" s="8">
        <f>12+34/60+11.5/3600</f>
        <v>12.569861111111111</v>
      </c>
      <c r="P11350" s="8" t="s">
        <v>48118</v>
      </c>
      <c r="Q11350" s="8">
        <f>+(12+2/60+58/3600)</f>
        <v>12.049444444444445</v>
      </c>
      <c r="R11350" s="8">
        <v>13.9</v>
      </c>
      <c r="S11350" s="8">
        <v>14.9</v>
      </c>
      <c r="T11350" s="8">
        <v>1</v>
      </c>
      <c r="U11350" s="8">
        <v>13.3</v>
      </c>
      <c r="V11350" s="8">
        <v>0.9</v>
      </c>
      <c r="W11350" s="8">
        <v>0.6</v>
      </c>
      <c r="X11350" s="8">
        <v>80</v>
      </c>
      <c r="Y11350" s="8" t="s">
        <v>46310</v>
      </c>
      <c r="Z11350" s="8" t="s">
        <v>46311</v>
      </c>
    </row>
    <row r="11351" spans="1:26" x14ac:dyDescent="0.2">
      <c r="A11351" s="8">
        <v>11350</v>
      </c>
      <c r="B11351" s="8" t="s">
        <v>48119</v>
      </c>
      <c r="C11351" s="8" t="s">
        <v>48119</v>
      </c>
      <c r="G11351" s="8">
        <v>20</v>
      </c>
      <c r="H11351" s="8" t="s">
        <v>21</v>
      </c>
      <c r="I11351" s="8" t="s">
        <v>22</v>
      </c>
      <c r="J11351" s="8" t="s">
        <v>22</v>
      </c>
      <c r="K11351" s="8" t="s">
        <v>476</v>
      </c>
      <c r="L11351" s="8" t="s">
        <v>17287</v>
      </c>
      <c r="M11351" s="8" t="s">
        <v>17288</v>
      </c>
      <c r="N11351" s="8" t="s">
        <v>48120</v>
      </c>
      <c r="O11351" s="8">
        <f>12+34/60+15/3600</f>
        <v>12.570833333333333</v>
      </c>
      <c r="P11351" s="8" t="s">
        <v>48121</v>
      </c>
      <c r="Q11351" s="8">
        <f>+(11+4/60+18/3600)</f>
        <v>11.071666666666667</v>
      </c>
      <c r="R11351" s="8">
        <v>14</v>
      </c>
      <c r="S11351" s="8">
        <v>14.8</v>
      </c>
      <c r="T11351" s="8">
        <v>0.8</v>
      </c>
      <c r="U11351" s="8">
        <v>13.4</v>
      </c>
      <c r="V11351" s="8">
        <v>0.9</v>
      </c>
      <c r="W11351" s="8">
        <v>0.6</v>
      </c>
      <c r="X11351" s="8">
        <v>0</v>
      </c>
      <c r="Y11351" s="8" t="s">
        <v>48122</v>
      </c>
      <c r="Z11351" s="8" t="s">
        <v>48123</v>
      </c>
    </row>
    <row r="11352" spans="1:26" x14ac:dyDescent="0.2">
      <c r="A11352" s="8">
        <v>11351</v>
      </c>
      <c r="B11352" s="8" t="s">
        <v>48124</v>
      </c>
      <c r="C11352" s="8" t="s">
        <v>48124</v>
      </c>
      <c r="G11352" s="8">
        <v>20</v>
      </c>
      <c r="H11352" s="8" t="s">
        <v>21</v>
      </c>
      <c r="I11352" s="8" t="s">
        <v>72</v>
      </c>
      <c r="J11352" s="8" t="s">
        <v>72</v>
      </c>
      <c r="K11352" s="8" t="s">
        <v>20</v>
      </c>
      <c r="L11352" s="8" t="s">
        <v>18289</v>
      </c>
      <c r="M11352" s="8" t="s">
        <v>18290</v>
      </c>
      <c r="N11352" s="8" t="s">
        <v>48125</v>
      </c>
      <c r="O11352" s="8">
        <f>12+34/60+9.6/3600</f>
        <v>12.569333333333333</v>
      </c>
      <c r="P11352" s="8" t="s">
        <v>48126</v>
      </c>
      <c r="Q11352" s="8">
        <f>+(27+20/60+55/3600)</f>
        <v>27.348611111111111</v>
      </c>
      <c r="R11352" s="8">
        <v>99</v>
      </c>
      <c r="S11352" s="8">
        <v>99</v>
      </c>
      <c r="T11352" s="8">
        <v>99</v>
      </c>
      <c r="U11352" s="8">
        <v>99</v>
      </c>
      <c r="Y11352" s="8" t="s">
        <v>47240</v>
      </c>
      <c r="Z11352" s="8" t="s">
        <v>45159</v>
      </c>
    </row>
    <row r="11353" spans="1:26" x14ac:dyDescent="0.2">
      <c r="A11353" s="8">
        <v>11352</v>
      </c>
      <c r="B11353" s="8" t="s">
        <v>48127</v>
      </c>
      <c r="C11353" s="8" t="s">
        <v>48127</v>
      </c>
      <c r="G11353" s="8">
        <v>20</v>
      </c>
      <c r="H11353" s="8" t="s">
        <v>21</v>
      </c>
      <c r="I11353" s="8" t="s">
        <v>72</v>
      </c>
      <c r="J11353" s="8" t="s">
        <v>72</v>
      </c>
      <c r="K11353" s="8" t="s">
        <v>20</v>
      </c>
      <c r="L11353" s="8" t="s">
        <v>18289</v>
      </c>
      <c r="M11353" s="8" t="s">
        <v>18290</v>
      </c>
      <c r="N11353" s="8" t="s">
        <v>48128</v>
      </c>
      <c r="O11353" s="8">
        <f>12+34/60+9.7/3600</f>
        <v>12.56936111111111</v>
      </c>
      <c r="P11353" s="8" t="s">
        <v>48129</v>
      </c>
      <c r="Q11353" s="8">
        <f>+(27+21/60+43/3600)</f>
        <v>27.361944444444447</v>
      </c>
      <c r="R11353" s="8">
        <v>99</v>
      </c>
      <c r="S11353" s="8">
        <v>99</v>
      </c>
      <c r="T11353" s="8">
        <v>99</v>
      </c>
      <c r="U11353" s="8">
        <v>99</v>
      </c>
      <c r="Y11353" s="8" t="s">
        <v>47240</v>
      </c>
      <c r="Z11353" s="8" t="s">
        <v>45159</v>
      </c>
    </row>
    <row r="11354" spans="1:26" x14ac:dyDescent="0.2">
      <c r="A11354" s="8">
        <v>11353</v>
      </c>
      <c r="B11354" s="8" t="s">
        <v>48130</v>
      </c>
      <c r="C11354" s="8" t="s">
        <v>48130</v>
      </c>
      <c r="G11354" s="8">
        <v>20</v>
      </c>
      <c r="H11354" s="8" t="s">
        <v>21</v>
      </c>
      <c r="I11354" s="8" t="s">
        <v>72</v>
      </c>
      <c r="J11354" s="8" t="s">
        <v>72</v>
      </c>
      <c r="K11354" s="8" t="s">
        <v>20</v>
      </c>
      <c r="L11354" s="8" t="s">
        <v>18289</v>
      </c>
      <c r="M11354" s="8" t="s">
        <v>18290</v>
      </c>
      <c r="N11354" s="8" t="s">
        <v>48131</v>
      </c>
      <c r="O11354" s="8">
        <f>12+34/60+11.6/3600</f>
        <v>12.569888888888888</v>
      </c>
      <c r="P11354" s="8" t="s">
        <v>48132</v>
      </c>
      <c r="Q11354" s="8">
        <f>+(27+19/60+49/3600)</f>
        <v>27.330277777777777</v>
      </c>
      <c r="R11354" s="8">
        <v>99</v>
      </c>
      <c r="S11354" s="8">
        <v>99</v>
      </c>
      <c r="T11354" s="8">
        <v>99</v>
      </c>
      <c r="U11354" s="8">
        <v>99</v>
      </c>
      <c r="Y11354" s="8" t="s">
        <v>47240</v>
      </c>
      <c r="Z11354" s="8" t="s">
        <v>45159</v>
      </c>
    </row>
    <row r="11355" spans="1:26" x14ac:dyDescent="0.2">
      <c r="A11355" s="8">
        <v>11354</v>
      </c>
      <c r="B11355" s="8" t="s">
        <v>48133</v>
      </c>
      <c r="C11355" s="8" t="s">
        <v>48133</v>
      </c>
      <c r="G11355" s="8">
        <v>20</v>
      </c>
      <c r="H11355" s="8" t="s">
        <v>21</v>
      </c>
      <c r="I11355" s="8" t="s">
        <v>72</v>
      </c>
      <c r="J11355" s="8" t="s">
        <v>72</v>
      </c>
      <c r="K11355" s="8" t="s">
        <v>73</v>
      </c>
      <c r="L11355" s="8" t="s">
        <v>18289</v>
      </c>
      <c r="M11355" s="8" t="s">
        <v>18290</v>
      </c>
      <c r="N11355" s="8" t="s">
        <v>20483</v>
      </c>
      <c r="O11355" s="8">
        <f>12+34/60+15.8/3600</f>
        <v>12.571055555555555</v>
      </c>
      <c r="P11355" s="8" t="s">
        <v>48134</v>
      </c>
      <c r="Q11355" s="8">
        <f>+(26+42/60+1/3600)</f>
        <v>26.700277777777778</v>
      </c>
      <c r="R11355" s="8">
        <v>99</v>
      </c>
      <c r="S11355" s="8">
        <v>99</v>
      </c>
      <c r="T11355" s="8">
        <v>99</v>
      </c>
      <c r="U11355" s="8">
        <v>99</v>
      </c>
      <c r="Y11355" s="8" t="s">
        <v>47603</v>
      </c>
      <c r="Z11355" s="8" t="s">
        <v>47604</v>
      </c>
    </row>
    <row r="11356" spans="1:26" x14ac:dyDescent="0.2">
      <c r="A11356" s="8">
        <v>11355</v>
      </c>
      <c r="B11356" s="8" t="s">
        <v>48135</v>
      </c>
      <c r="C11356" s="8" t="s">
        <v>48135</v>
      </c>
      <c r="G11356" s="8">
        <v>20</v>
      </c>
      <c r="H11356" s="8" t="s">
        <v>21</v>
      </c>
      <c r="I11356" s="8" t="s">
        <v>22</v>
      </c>
      <c r="J11356" s="8" t="s">
        <v>22</v>
      </c>
      <c r="K11356" s="8" t="s">
        <v>449</v>
      </c>
      <c r="L11356" s="8" t="s">
        <v>18289</v>
      </c>
      <c r="M11356" s="8" t="s">
        <v>18290</v>
      </c>
      <c r="N11356" s="8" t="s">
        <v>48136</v>
      </c>
      <c r="O11356" s="8">
        <f>12+34/60+16/3600</f>
        <v>12.571111111111112</v>
      </c>
      <c r="P11356" s="8" t="s">
        <v>48137</v>
      </c>
      <c r="Q11356" s="8">
        <f>+(27+51/60+43/3600)</f>
        <v>27.861944444444447</v>
      </c>
      <c r="R11356" s="8">
        <v>15</v>
      </c>
      <c r="S11356" s="8">
        <v>15.8</v>
      </c>
      <c r="T11356" s="8">
        <v>0.8</v>
      </c>
      <c r="U11356" s="8">
        <v>12.5</v>
      </c>
      <c r="V11356" s="8">
        <v>0.6</v>
      </c>
      <c r="W11356" s="8">
        <v>0.2</v>
      </c>
      <c r="X11356" s="8">
        <v>50</v>
      </c>
      <c r="Y11356" s="8" t="s">
        <v>22305</v>
      </c>
      <c r="Z11356" s="8" t="s">
        <v>22306</v>
      </c>
    </row>
    <row r="11357" spans="1:26" x14ac:dyDescent="0.2">
      <c r="A11357" s="8">
        <v>11356</v>
      </c>
      <c r="B11357" s="8" t="s">
        <v>48138</v>
      </c>
      <c r="C11357" s="8" t="s">
        <v>48138</v>
      </c>
      <c r="G11357" s="8">
        <v>20</v>
      </c>
      <c r="H11357" s="8" t="s">
        <v>21</v>
      </c>
      <c r="I11357" s="8" t="s">
        <v>22</v>
      </c>
      <c r="J11357" s="8" t="s">
        <v>22</v>
      </c>
      <c r="K11357" s="8" t="s">
        <v>396</v>
      </c>
      <c r="L11357" s="8" t="s">
        <v>18289</v>
      </c>
      <c r="M11357" s="8" t="s">
        <v>18290</v>
      </c>
      <c r="N11357" s="8" t="s">
        <v>48139</v>
      </c>
      <c r="O11357" s="8">
        <f>12+34/60+17.3/3600</f>
        <v>12.571472222222223</v>
      </c>
      <c r="P11357" s="8" t="s">
        <v>48140</v>
      </c>
      <c r="Q11357" s="8">
        <f>+(27+27/60+10/3600)</f>
        <v>27.452777777777776</v>
      </c>
      <c r="R11357" s="8">
        <v>15.2</v>
      </c>
      <c r="S11357" s="8">
        <v>16</v>
      </c>
      <c r="T11357" s="8">
        <v>0.8</v>
      </c>
      <c r="U11357" s="8">
        <v>13.7</v>
      </c>
      <c r="V11357" s="8">
        <v>1.4</v>
      </c>
      <c r="W11357" s="8">
        <v>0.2</v>
      </c>
      <c r="X11357" s="8">
        <v>72</v>
      </c>
      <c r="Y11357" s="8" t="s">
        <v>45158</v>
      </c>
      <c r="Z11357" s="8" t="s">
        <v>45159</v>
      </c>
    </row>
    <row r="11358" spans="1:26" x14ac:dyDescent="0.2">
      <c r="A11358" s="8">
        <v>11357</v>
      </c>
      <c r="B11358" s="8" t="s">
        <v>48141</v>
      </c>
      <c r="C11358" s="8" t="s">
        <v>48141</v>
      </c>
      <c r="G11358" s="8">
        <v>20</v>
      </c>
      <c r="H11358" s="8" t="s">
        <v>21</v>
      </c>
      <c r="I11358" s="8" t="s">
        <v>22</v>
      </c>
      <c r="J11358" s="8" t="s">
        <v>22</v>
      </c>
      <c r="K11358" s="8" t="s">
        <v>773</v>
      </c>
      <c r="L11358" s="8" t="s">
        <v>17287</v>
      </c>
      <c r="M11358" s="8" t="s">
        <v>17288</v>
      </c>
      <c r="N11358" s="8" t="s">
        <v>48142</v>
      </c>
      <c r="O11358" s="8">
        <f>12+34/60+30.9/3600</f>
        <v>12.57525</v>
      </c>
      <c r="P11358" s="8" t="s">
        <v>48143</v>
      </c>
      <c r="Q11358" s="8">
        <f>+(9+9/60+18/3600)</f>
        <v>9.1550000000000011</v>
      </c>
      <c r="R11358" s="8">
        <v>14.9</v>
      </c>
      <c r="S11358" s="8">
        <v>15.4</v>
      </c>
      <c r="T11358" s="8">
        <v>0.5</v>
      </c>
      <c r="U11358" s="8">
        <v>14.5</v>
      </c>
      <c r="V11358" s="8">
        <v>1.1000000000000001</v>
      </c>
      <c r="W11358" s="8">
        <v>0.7</v>
      </c>
      <c r="X11358" s="8">
        <v>15</v>
      </c>
      <c r="Y11358" s="8" t="s">
        <v>21</v>
      </c>
      <c r="Z11358" s="8" t="s">
        <v>48144</v>
      </c>
    </row>
    <row r="11359" spans="1:26" x14ac:dyDescent="0.2">
      <c r="A11359" s="8">
        <v>11358</v>
      </c>
      <c r="B11359" s="8" t="s">
        <v>48145</v>
      </c>
      <c r="C11359" s="8" t="s">
        <v>48145</v>
      </c>
      <c r="G11359" s="8">
        <v>20</v>
      </c>
      <c r="H11359" s="8" t="s">
        <v>21</v>
      </c>
      <c r="I11359" s="8" t="s">
        <v>22</v>
      </c>
      <c r="J11359" s="8" t="s">
        <v>22</v>
      </c>
      <c r="K11359" s="8" t="s">
        <v>3616</v>
      </c>
      <c r="L11359" s="8" t="s">
        <v>17287</v>
      </c>
      <c r="M11359" s="8" t="s">
        <v>17288</v>
      </c>
      <c r="N11359" s="8" t="s">
        <v>48146</v>
      </c>
      <c r="O11359" s="8">
        <f>12+34/60+31.3/3600</f>
        <v>12.575361111111111</v>
      </c>
      <c r="P11359" s="8" t="s">
        <v>48147</v>
      </c>
      <c r="Q11359" s="8">
        <f>+(9+37/60+26/3600)</f>
        <v>9.6238888888888887</v>
      </c>
      <c r="R11359" s="8">
        <v>14.2</v>
      </c>
      <c r="S11359" s="8">
        <v>14.8</v>
      </c>
      <c r="T11359" s="8">
        <v>0.6</v>
      </c>
      <c r="U11359" s="8">
        <v>13.9</v>
      </c>
      <c r="V11359" s="8">
        <v>1.2</v>
      </c>
      <c r="W11359" s="8">
        <v>0.7</v>
      </c>
      <c r="X11359" s="8">
        <v>45</v>
      </c>
      <c r="Y11359" s="8" t="s">
        <v>21</v>
      </c>
      <c r="Z11359" s="8" t="s">
        <v>48148</v>
      </c>
    </row>
    <row r="11360" spans="1:26" x14ac:dyDescent="0.2">
      <c r="A11360" s="8">
        <v>11359</v>
      </c>
      <c r="B11360" s="8" t="s">
        <v>48149</v>
      </c>
      <c r="C11360" s="8" t="s">
        <v>48149</v>
      </c>
      <c r="G11360" s="8">
        <v>20</v>
      </c>
      <c r="H11360" s="8" t="s">
        <v>21</v>
      </c>
      <c r="I11360" s="8" t="s">
        <v>22</v>
      </c>
      <c r="J11360" s="8" t="s">
        <v>22</v>
      </c>
      <c r="K11360" s="8" t="s">
        <v>818</v>
      </c>
      <c r="L11360" s="8" t="s">
        <v>18289</v>
      </c>
      <c r="M11360" s="8" t="s">
        <v>18290</v>
      </c>
      <c r="N11360" s="8" t="s">
        <v>48150</v>
      </c>
      <c r="O11360" s="8">
        <f>12+34/60+38.4/3600</f>
        <v>12.577333333333334</v>
      </c>
      <c r="P11360" s="8" t="s">
        <v>48151</v>
      </c>
      <c r="Q11360" s="8">
        <f>+(15+36/60+9/3600)</f>
        <v>15.602499999999999</v>
      </c>
      <c r="R11360" s="8">
        <v>14.8</v>
      </c>
      <c r="S11360" s="8">
        <v>15.8</v>
      </c>
      <c r="T11360" s="8">
        <v>1</v>
      </c>
      <c r="U11360" s="8">
        <v>13.3</v>
      </c>
      <c r="V11360" s="8">
        <v>0.6</v>
      </c>
      <c r="W11360" s="8">
        <v>0.4</v>
      </c>
      <c r="X11360" s="8">
        <v>15</v>
      </c>
      <c r="Y11360" s="8" t="s">
        <v>421</v>
      </c>
      <c r="Z11360" s="8" t="s">
        <v>422</v>
      </c>
    </row>
    <row r="11361" spans="1:26" x14ac:dyDescent="0.2">
      <c r="A11361" s="8">
        <v>11360</v>
      </c>
      <c r="B11361" s="8" t="s">
        <v>48152</v>
      </c>
      <c r="C11361" s="8" t="s">
        <v>48152</v>
      </c>
      <c r="G11361" s="8">
        <v>20</v>
      </c>
      <c r="H11361" s="8" t="s">
        <v>21</v>
      </c>
      <c r="I11361" s="8" t="s">
        <v>22</v>
      </c>
      <c r="J11361" s="8" t="s">
        <v>22</v>
      </c>
      <c r="K11361" s="8" t="s">
        <v>579</v>
      </c>
      <c r="L11361" s="8" t="s">
        <v>18289</v>
      </c>
      <c r="M11361" s="8" t="s">
        <v>18290</v>
      </c>
      <c r="N11361" s="8" t="s">
        <v>48153</v>
      </c>
      <c r="O11361" s="8">
        <f>12+34/60+31.7/3600</f>
        <v>12.575472222222222</v>
      </c>
      <c r="P11361" s="8" t="s">
        <v>48154</v>
      </c>
      <c r="Q11361" s="8">
        <f>+(13+30/60+12/3600)</f>
        <v>13.503333333333334</v>
      </c>
      <c r="R11361" s="8">
        <v>14.3</v>
      </c>
      <c r="S11361" s="8">
        <v>15</v>
      </c>
      <c r="T11361" s="8">
        <v>0.7</v>
      </c>
      <c r="U11361" s="8">
        <v>13.8</v>
      </c>
      <c r="V11361" s="8">
        <v>1</v>
      </c>
      <c r="W11361" s="8">
        <v>0.7</v>
      </c>
      <c r="X11361" s="8">
        <v>60</v>
      </c>
      <c r="Y11361" s="8" t="s">
        <v>1250</v>
      </c>
      <c r="Z11361" s="8" t="s">
        <v>1251</v>
      </c>
    </row>
    <row r="11362" spans="1:26" x14ac:dyDescent="0.2">
      <c r="A11362" s="8">
        <v>11361</v>
      </c>
      <c r="B11362" s="8" t="s">
        <v>48155</v>
      </c>
      <c r="C11362" s="8" t="s">
        <v>48155</v>
      </c>
      <c r="G11362" s="8">
        <v>20</v>
      </c>
      <c r="H11362" s="8" t="s">
        <v>21</v>
      </c>
      <c r="I11362" s="8" t="s">
        <v>22</v>
      </c>
      <c r="J11362" s="8" t="s">
        <v>22</v>
      </c>
      <c r="K11362" s="8" t="s">
        <v>107</v>
      </c>
      <c r="L11362" s="8" t="s">
        <v>17287</v>
      </c>
      <c r="M11362" s="8" t="s">
        <v>17288</v>
      </c>
      <c r="N11362" s="8" t="s">
        <v>48156</v>
      </c>
      <c r="O11362" s="8">
        <f>12+34/60+39.5/3600</f>
        <v>12.577638888888888</v>
      </c>
      <c r="P11362" s="8" t="s">
        <v>48157</v>
      </c>
      <c r="Q11362" s="8">
        <f>+(7+9/60+35/3600)</f>
        <v>7.1597222222222223</v>
      </c>
      <c r="R11362" s="8">
        <v>13.2</v>
      </c>
      <c r="S11362" s="8">
        <v>14.1</v>
      </c>
      <c r="T11362" s="8">
        <v>0.9</v>
      </c>
      <c r="U11362" s="8">
        <v>13.3</v>
      </c>
      <c r="V11362" s="8">
        <v>1.4</v>
      </c>
      <c r="W11362" s="8">
        <v>0.9</v>
      </c>
      <c r="X11362" s="8">
        <v>27</v>
      </c>
      <c r="Y11362" s="8" t="s">
        <v>48158</v>
      </c>
      <c r="Z11362" s="8" t="s">
        <v>48159</v>
      </c>
    </row>
    <row r="11363" spans="1:26" x14ac:dyDescent="0.2">
      <c r="A11363" s="8">
        <v>11362</v>
      </c>
      <c r="B11363" s="8" t="s">
        <v>48160</v>
      </c>
      <c r="C11363" s="8" t="s">
        <v>48160</v>
      </c>
      <c r="G11363" s="8">
        <v>20</v>
      </c>
      <c r="H11363" s="8" t="s">
        <v>21</v>
      </c>
      <c r="I11363" s="8" t="s">
        <v>22</v>
      </c>
      <c r="J11363" s="8" t="s">
        <v>22</v>
      </c>
      <c r="K11363" s="8" t="s">
        <v>107</v>
      </c>
      <c r="L11363" s="8" t="s">
        <v>18289</v>
      </c>
      <c r="M11363" s="8" t="s">
        <v>18290</v>
      </c>
      <c r="N11363" s="8" t="s">
        <v>48161</v>
      </c>
      <c r="O11363" s="8">
        <f>12+34/60+45.8/3600</f>
        <v>12.579388888888889</v>
      </c>
      <c r="P11363" s="8" t="s">
        <v>48162</v>
      </c>
      <c r="Q11363" s="8">
        <f>+(15+13/60+16/3600)</f>
        <v>15.221111111111112</v>
      </c>
      <c r="R11363" s="8">
        <v>14.7</v>
      </c>
      <c r="S11363" s="8">
        <v>15.3</v>
      </c>
      <c r="T11363" s="8">
        <v>0.6</v>
      </c>
      <c r="U11363" s="8">
        <v>14.4</v>
      </c>
      <c r="V11363" s="8">
        <v>1.5</v>
      </c>
      <c r="W11363" s="8">
        <v>0.7</v>
      </c>
      <c r="X11363" s="8">
        <v>95</v>
      </c>
      <c r="Y11363" s="8" t="s">
        <v>48163</v>
      </c>
      <c r="Z11363" s="8" t="s">
        <v>48164</v>
      </c>
    </row>
    <row r="11364" spans="1:26" x14ac:dyDescent="0.2">
      <c r="A11364" s="8">
        <v>11363</v>
      </c>
      <c r="B11364" s="8" t="s">
        <v>48165</v>
      </c>
      <c r="C11364" s="8" t="s">
        <v>48165</v>
      </c>
      <c r="G11364" s="8">
        <v>20</v>
      </c>
      <c r="H11364" s="8" t="s">
        <v>21</v>
      </c>
      <c r="I11364" s="8" t="s">
        <v>22</v>
      </c>
      <c r="J11364" s="8" t="s">
        <v>22</v>
      </c>
      <c r="K11364" s="8" t="s">
        <v>23</v>
      </c>
      <c r="L11364" s="8" t="s">
        <v>18289</v>
      </c>
      <c r="M11364" s="8" t="s">
        <v>18290</v>
      </c>
      <c r="N11364" s="8" t="s">
        <v>48166</v>
      </c>
      <c r="O11364" s="8">
        <f>12+34/60+39.3/3600</f>
        <v>12.577583333333333</v>
      </c>
      <c r="P11364" s="8" t="s">
        <v>48167</v>
      </c>
      <c r="Q11364" s="8">
        <f>+(14+0/60+58/3600)</f>
        <v>14.016111111111112</v>
      </c>
      <c r="R11364" s="8">
        <v>16.5</v>
      </c>
      <c r="S11364" s="8">
        <v>17.3</v>
      </c>
      <c r="T11364" s="8">
        <v>0.8</v>
      </c>
      <c r="U11364" s="8">
        <v>14.8</v>
      </c>
      <c r="V11364" s="8">
        <v>0.5</v>
      </c>
      <c r="W11364" s="8">
        <v>0.5</v>
      </c>
      <c r="Y11364" s="8" t="s">
        <v>1250</v>
      </c>
      <c r="Z11364" s="8" t="s">
        <v>1251</v>
      </c>
    </row>
    <row r="11365" spans="1:26" x14ac:dyDescent="0.2">
      <c r="A11365" s="8">
        <v>11364</v>
      </c>
      <c r="B11365" s="8" t="s">
        <v>48168</v>
      </c>
      <c r="C11365" s="8" t="s">
        <v>48168</v>
      </c>
      <c r="G11365" s="8">
        <v>20</v>
      </c>
      <c r="H11365" s="8" t="s">
        <v>21</v>
      </c>
      <c r="I11365" s="8" t="s">
        <v>72</v>
      </c>
      <c r="J11365" s="8" t="s">
        <v>72</v>
      </c>
      <c r="K11365" s="8" t="s">
        <v>20</v>
      </c>
      <c r="L11365" s="8" t="s">
        <v>18289</v>
      </c>
      <c r="M11365" s="8" t="s">
        <v>18290</v>
      </c>
      <c r="N11365" s="8" t="s">
        <v>48169</v>
      </c>
      <c r="O11365" s="8">
        <f>12+34/60+43/3600</f>
        <v>12.57861111111111</v>
      </c>
      <c r="P11365" s="8" t="s">
        <v>48170</v>
      </c>
      <c r="Q11365" s="8">
        <f>+(14+14/60+40/3600)</f>
        <v>14.244444444444444</v>
      </c>
      <c r="R11365" s="8">
        <v>99</v>
      </c>
      <c r="S11365" s="8">
        <v>14</v>
      </c>
      <c r="T11365" s="8">
        <v>99</v>
      </c>
      <c r="U11365" s="8">
        <v>99</v>
      </c>
      <c r="Y11365" s="8" t="s">
        <v>48171</v>
      </c>
      <c r="Z11365" s="8" t="s">
        <v>48172</v>
      </c>
    </row>
    <row r="11366" spans="1:26" x14ac:dyDescent="0.2">
      <c r="A11366" s="8">
        <v>11365</v>
      </c>
      <c r="B11366" s="8" t="s">
        <v>48173</v>
      </c>
      <c r="C11366" s="8" t="s">
        <v>48173</v>
      </c>
      <c r="G11366" s="8">
        <v>20</v>
      </c>
      <c r="H11366" s="8" t="s">
        <v>21</v>
      </c>
      <c r="I11366" s="8" t="s">
        <v>22</v>
      </c>
      <c r="J11366" s="8" t="s">
        <v>22</v>
      </c>
      <c r="K11366" s="8" t="s">
        <v>460</v>
      </c>
      <c r="L11366" s="8" t="s">
        <v>17287</v>
      </c>
      <c r="M11366" s="8" t="s">
        <v>17288</v>
      </c>
      <c r="N11366" s="8" t="s">
        <v>48174</v>
      </c>
      <c r="O11366" s="8">
        <f>12+34/60+46.4/3600</f>
        <v>12.579555555555554</v>
      </c>
      <c r="P11366" s="8" t="s">
        <v>48175</v>
      </c>
      <c r="Q11366" s="8">
        <f>+(10+10/60+32/3600)</f>
        <v>10.175555555555555</v>
      </c>
      <c r="R11366" s="8">
        <v>16</v>
      </c>
      <c r="S11366" s="8">
        <v>17</v>
      </c>
      <c r="T11366" s="8">
        <v>1</v>
      </c>
      <c r="U11366" s="8">
        <v>14.1</v>
      </c>
      <c r="V11366" s="8">
        <v>0.4</v>
      </c>
      <c r="W11366" s="8">
        <v>0.4</v>
      </c>
      <c r="Y11366" s="8" t="s">
        <v>1250</v>
      </c>
      <c r="Z11366" s="8" t="s">
        <v>1251</v>
      </c>
    </row>
    <row r="11367" spans="1:26" x14ac:dyDescent="0.2">
      <c r="A11367" s="8">
        <v>11366</v>
      </c>
      <c r="B11367" s="8" t="s">
        <v>48176</v>
      </c>
      <c r="C11367" s="8" t="s">
        <v>48176</v>
      </c>
      <c r="G11367" s="8">
        <v>20</v>
      </c>
      <c r="H11367" s="8" t="s">
        <v>21</v>
      </c>
      <c r="I11367" s="8" t="s">
        <v>72</v>
      </c>
      <c r="J11367" s="8" t="s">
        <v>72</v>
      </c>
      <c r="K11367" s="8" t="s">
        <v>73</v>
      </c>
      <c r="L11367" s="8" t="s">
        <v>18289</v>
      </c>
      <c r="M11367" s="8" t="s">
        <v>18290</v>
      </c>
      <c r="N11367" s="8" t="s">
        <v>48177</v>
      </c>
      <c r="O11367" s="8">
        <f>12+34/60+40.7/3600</f>
        <v>12.577972222222222</v>
      </c>
      <c r="P11367" s="8" t="s">
        <v>48178</v>
      </c>
      <c r="Q11367" s="8">
        <f>+(25+41/60+4/3600)</f>
        <v>25.684444444444445</v>
      </c>
      <c r="R11367" s="8">
        <v>99</v>
      </c>
      <c r="S11367" s="8">
        <v>99</v>
      </c>
      <c r="T11367" s="8">
        <v>99</v>
      </c>
      <c r="U11367" s="8">
        <v>99</v>
      </c>
      <c r="Y11367" s="8" t="s">
        <v>3952</v>
      </c>
      <c r="Z11367" s="8" t="s">
        <v>3953</v>
      </c>
    </row>
    <row r="11368" spans="1:26" x14ac:dyDescent="0.2">
      <c r="A11368" s="8">
        <v>11367</v>
      </c>
      <c r="B11368" s="8" t="s">
        <v>48179</v>
      </c>
      <c r="C11368" s="8" t="s">
        <v>48179</v>
      </c>
      <c r="G11368" s="8">
        <v>20</v>
      </c>
      <c r="H11368" s="8" t="s">
        <v>21</v>
      </c>
      <c r="I11368" s="8" t="s">
        <v>72</v>
      </c>
      <c r="J11368" s="8" t="s">
        <v>72</v>
      </c>
      <c r="K11368" s="8" t="s">
        <v>73</v>
      </c>
      <c r="L11368" s="8" t="s">
        <v>18289</v>
      </c>
      <c r="M11368" s="8" t="s">
        <v>18290</v>
      </c>
      <c r="N11368" s="8" t="s">
        <v>48180</v>
      </c>
      <c r="O11368" s="8">
        <f>12+34/60+42.2/3600</f>
        <v>12.578388888888888</v>
      </c>
      <c r="P11368" s="8" t="s">
        <v>48181</v>
      </c>
      <c r="Q11368" s="8">
        <f>+(26+9/60+15/3600)</f>
        <v>26.154166666666665</v>
      </c>
      <c r="R11368" s="8">
        <v>99</v>
      </c>
      <c r="S11368" s="8">
        <v>99</v>
      </c>
      <c r="T11368" s="8">
        <v>99</v>
      </c>
      <c r="U11368" s="8">
        <v>99</v>
      </c>
      <c r="Y11368" s="8" t="s">
        <v>48182</v>
      </c>
      <c r="Z11368" s="8" t="s">
        <v>48183</v>
      </c>
    </row>
    <row r="11369" spans="1:26" x14ac:dyDescent="0.2">
      <c r="A11369" s="8">
        <v>11368</v>
      </c>
      <c r="B11369" s="8" t="s">
        <v>48184</v>
      </c>
      <c r="C11369" s="8" t="s">
        <v>48184</v>
      </c>
      <c r="G11369" s="8">
        <v>20</v>
      </c>
      <c r="H11369" s="8" t="s">
        <v>21</v>
      </c>
      <c r="I11369" s="8" t="s">
        <v>22</v>
      </c>
      <c r="J11369" s="8" t="s">
        <v>22</v>
      </c>
      <c r="K11369" s="8" t="s">
        <v>218</v>
      </c>
      <c r="L11369" s="8" t="s">
        <v>18289</v>
      </c>
      <c r="M11369" s="8" t="s">
        <v>18290</v>
      </c>
      <c r="N11369" s="8" t="s">
        <v>48185</v>
      </c>
      <c r="O11369" s="8">
        <f>12+34/60+55.8/3600</f>
        <v>12.582166666666666</v>
      </c>
      <c r="P11369" s="8" t="s">
        <v>48186</v>
      </c>
      <c r="Q11369" s="8">
        <f>+(15+33/60+58/3600)</f>
        <v>15.566111111111113</v>
      </c>
      <c r="R11369" s="8">
        <v>14.6</v>
      </c>
      <c r="S11369" s="8">
        <v>15.4</v>
      </c>
      <c r="T11369" s="8">
        <v>0.8</v>
      </c>
      <c r="U11369" s="8">
        <v>12.5</v>
      </c>
      <c r="V11369" s="8">
        <v>0.4</v>
      </c>
      <c r="W11369" s="8">
        <v>0.4</v>
      </c>
      <c r="Y11369" s="8" t="s">
        <v>46310</v>
      </c>
      <c r="Z11369" s="8" t="s">
        <v>46311</v>
      </c>
    </row>
    <row r="11370" spans="1:26" x14ac:dyDescent="0.2">
      <c r="A11370" s="8">
        <v>11369</v>
      </c>
      <c r="B11370" s="8" t="s">
        <v>48187</v>
      </c>
      <c r="C11370" s="8" t="s">
        <v>48187</v>
      </c>
      <c r="G11370" s="8">
        <v>20</v>
      </c>
      <c r="H11370" s="8" t="s">
        <v>21</v>
      </c>
      <c r="I11370" s="8" t="s">
        <v>72</v>
      </c>
      <c r="J11370" s="8" t="s">
        <v>72</v>
      </c>
      <c r="K11370" s="8" t="s">
        <v>20</v>
      </c>
      <c r="L11370" s="8" t="s">
        <v>18289</v>
      </c>
      <c r="M11370" s="8" t="s">
        <v>18290</v>
      </c>
      <c r="N11370" s="8" t="s">
        <v>48188</v>
      </c>
      <c r="O11370" s="8">
        <f>12+34/60+49.8/3600</f>
        <v>12.580499999999999</v>
      </c>
      <c r="P11370" s="8" t="s">
        <v>48189</v>
      </c>
      <c r="Q11370" s="8">
        <f>+(25+41/60+55/3600)</f>
        <v>25.698611111111113</v>
      </c>
      <c r="R11370" s="8">
        <v>99</v>
      </c>
      <c r="S11370" s="8">
        <v>15.3</v>
      </c>
      <c r="T11370" s="8">
        <v>99</v>
      </c>
      <c r="U11370" s="8">
        <v>99</v>
      </c>
      <c r="Y11370" s="8" t="s">
        <v>3952</v>
      </c>
      <c r="Z11370" s="8" t="s">
        <v>3953</v>
      </c>
    </row>
    <row r="11371" spans="1:26" x14ac:dyDescent="0.2">
      <c r="A11371" s="8">
        <v>11370</v>
      </c>
      <c r="B11371" s="8" t="s">
        <v>48190</v>
      </c>
      <c r="C11371" s="8" t="s">
        <v>48190</v>
      </c>
      <c r="G11371" s="8">
        <v>20</v>
      </c>
      <c r="H11371" s="8" t="s">
        <v>21</v>
      </c>
      <c r="I11371" s="8" t="s">
        <v>22</v>
      </c>
      <c r="J11371" s="8" t="s">
        <v>22</v>
      </c>
      <c r="K11371" s="8" t="s">
        <v>476</v>
      </c>
      <c r="L11371" s="8" t="s">
        <v>18289</v>
      </c>
      <c r="M11371" s="8" t="s">
        <v>18290</v>
      </c>
      <c r="N11371" s="8" t="s">
        <v>48191</v>
      </c>
      <c r="O11371" s="8">
        <f>12+34/60+49.4/3600</f>
        <v>12.580388888888889</v>
      </c>
      <c r="P11371" s="8" t="s">
        <v>48192</v>
      </c>
      <c r="Q11371" s="8">
        <f>+(17+48/60+49/3600)</f>
        <v>17.813611111111111</v>
      </c>
      <c r="R11371" s="8">
        <v>14</v>
      </c>
      <c r="S11371" s="8">
        <v>14.9</v>
      </c>
      <c r="T11371" s="8">
        <v>0.9</v>
      </c>
      <c r="U11371" s="8">
        <v>14.3</v>
      </c>
      <c r="V11371" s="8">
        <v>1.4</v>
      </c>
      <c r="W11371" s="8">
        <v>1.1000000000000001</v>
      </c>
      <c r="X11371" s="8">
        <v>162</v>
      </c>
      <c r="Y11371" s="8" t="s">
        <v>2181</v>
      </c>
      <c r="Z11371" s="8" t="s">
        <v>2182</v>
      </c>
    </row>
    <row r="11372" spans="1:26" x14ac:dyDescent="0.2">
      <c r="A11372" s="8">
        <v>11371</v>
      </c>
      <c r="B11372" s="8" t="s">
        <v>48193</v>
      </c>
      <c r="C11372" s="8" t="s">
        <v>48193</v>
      </c>
      <c r="G11372" s="8">
        <v>20</v>
      </c>
      <c r="H11372" s="8" t="s">
        <v>21</v>
      </c>
      <c r="I11372" s="8" t="s">
        <v>22</v>
      </c>
      <c r="J11372" s="8" t="s">
        <v>22</v>
      </c>
      <c r="K11372" s="8" t="s">
        <v>424</v>
      </c>
      <c r="L11372" s="8" t="s">
        <v>18289</v>
      </c>
      <c r="M11372" s="8" t="s">
        <v>18290</v>
      </c>
      <c r="N11372" s="8" t="s">
        <v>48194</v>
      </c>
      <c r="O11372" s="8">
        <f>12+34/60+56.6/3600</f>
        <v>12.58238888888889</v>
      </c>
      <c r="P11372" s="8" t="s">
        <v>48195</v>
      </c>
      <c r="Q11372" s="8">
        <f>+(26+37/60+36/3600)</f>
        <v>26.626666666666669</v>
      </c>
      <c r="R11372" s="8">
        <v>15.2</v>
      </c>
      <c r="S11372" s="8">
        <v>16.2</v>
      </c>
      <c r="T11372" s="8">
        <v>1</v>
      </c>
      <c r="U11372" s="8">
        <v>12.4</v>
      </c>
      <c r="V11372" s="8">
        <v>0.3</v>
      </c>
      <c r="W11372" s="8">
        <v>0.3</v>
      </c>
      <c r="Y11372" s="8" t="s">
        <v>47603</v>
      </c>
      <c r="Z11372" s="8" t="s">
        <v>47604</v>
      </c>
    </row>
    <row r="11373" spans="1:26" x14ac:dyDescent="0.2">
      <c r="A11373" s="8">
        <v>11372</v>
      </c>
      <c r="B11373" s="8" t="s">
        <v>48196</v>
      </c>
      <c r="C11373" s="8" t="s">
        <v>48196</v>
      </c>
      <c r="G11373" s="8">
        <v>20</v>
      </c>
      <c r="H11373" s="8" t="s">
        <v>21</v>
      </c>
      <c r="I11373" s="8" t="s">
        <v>72</v>
      </c>
      <c r="J11373" s="8" t="s">
        <v>72</v>
      </c>
      <c r="K11373" s="8" t="s">
        <v>20</v>
      </c>
      <c r="L11373" s="8" t="s">
        <v>18289</v>
      </c>
      <c r="M11373" s="8" t="s">
        <v>18290</v>
      </c>
      <c r="N11373" s="8" t="s">
        <v>48197</v>
      </c>
      <c r="O11373" s="8">
        <f>12+34/60+57.6/3600</f>
        <v>12.582666666666666</v>
      </c>
      <c r="P11373" s="8" t="s">
        <v>48198</v>
      </c>
      <c r="Q11373" s="8">
        <f>+(25+52/60+49/3600)</f>
        <v>25.880277777777778</v>
      </c>
      <c r="R11373" s="8">
        <v>99</v>
      </c>
      <c r="S11373" s="8">
        <v>99</v>
      </c>
      <c r="T11373" s="8">
        <v>99</v>
      </c>
      <c r="U11373" s="8">
        <v>99</v>
      </c>
      <c r="Y11373" s="8" t="s">
        <v>47603</v>
      </c>
      <c r="Z11373" s="8" t="s">
        <v>47604</v>
      </c>
    </row>
    <row r="11374" spans="1:26" x14ac:dyDescent="0.2">
      <c r="A11374" s="8">
        <v>11373</v>
      </c>
      <c r="B11374" s="8" t="s">
        <v>48199</v>
      </c>
      <c r="C11374" s="8" t="s">
        <v>48199</v>
      </c>
      <c r="G11374" s="8">
        <v>20</v>
      </c>
      <c r="H11374" s="8" t="s">
        <v>21</v>
      </c>
      <c r="I11374" s="8" t="s">
        <v>22</v>
      </c>
      <c r="J11374" s="8" t="s">
        <v>22</v>
      </c>
      <c r="K11374" s="8" t="s">
        <v>476</v>
      </c>
      <c r="L11374" s="8" t="s">
        <v>18289</v>
      </c>
      <c r="M11374" s="8" t="s">
        <v>18290</v>
      </c>
      <c r="N11374" s="8" t="s">
        <v>48200</v>
      </c>
      <c r="O11374" s="8">
        <f>12+35/60+1.2/3600</f>
        <v>12.583666666666668</v>
      </c>
      <c r="P11374" s="8" t="s">
        <v>48201</v>
      </c>
      <c r="Q11374" s="8">
        <f>+(25+46/60+49/3600)</f>
        <v>25.780277777777776</v>
      </c>
      <c r="R11374" s="8">
        <v>15</v>
      </c>
      <c r="S11374" s="8">
        <v>15.8</v>
      </c>
      <c r="T11374" s="8">
        <v>0.8</v>
      </c>
      <c r="U11374" s="8">
        <v>11.8</v>
      </c>
      <c r="V11374" s="8">
        <v>0.3</v>
      </c>
      <c r="W11374" s="8">
        <v>0.2</v>
      </c>
      <c r="X11374" s="8">
        <v>40</v>
      </c>
      <c r="Y11374" s="8" t="s">
        <v>18110</v>
      </c>
      <c r="Z11374" s="8" t="s">
        <v>18111</v>
      </c>
    </row>
    <row r="11375" spans="1:26" x14ac:dyDescent="0.2">
      <c r="A11375" s="8">
        <v>11374</v>
      </c>
      <c r="B11375" s="8" t="s">
        <v>48202</v>
      </c>
      <c r="C11375" s="8" t="s">
        <v>48202</v>
      </c>
      <c r="G11375" s="8">
        <v>20</v>
      </c>
      <c r="H11375" s="8" t="s">
        <v>21</v>
      </c>
      <c r="I11375" s="8" t="s">
        <v>22</v>
      </c>
      <c r="J11375" s="8" t="s">
        <v>22</v>
      </c>
      <c r="K11375" s="8" t="s">
        <v>460</v>
      </c>
      <c r="L11375" s="8" t="s">
        <v>18289</v>
      </c>
      <c r="M11375" s="8" t="s">
        <v>18290</v>
      </c>
      <c r="N11375" s="8" t="s">
        <v>48203</v>
      </c>
      <c r="O11375" s="8">
        <f>12+34/60+52.1/3600</f>
        <v>12.581138888888889</v>
      </c>
      <c r="P11375" s="8" t="s">
        <v>48204</v>
      </c>
      <c r="Q11375" s="8">
        <f>+(14+58/60+42/3600)</f>
        <v>14.978333333333333</v>
      </c>
      <c r="R11375" s="8">
        <v>15.1</v>
      </c>
      <c r="S11375" s="8">
        <v>16.100000000000001</v>
      </c>
      <c r="T11375" s="8">
        <v>1</v>
      </c>
      <c r="U11375" s="8">
        <v>13.2</v>
      </c>
      <c r="V11375" s="8">
        <v>0.4</v>
      </c>
      <c r="W11375" s="8">
        <v>0.4</v>
      </c>
      <c r="Y11375" s="8" t="s">
        <v>11836</v>
      </c>
      <c r="Z11375" s="8" t="s">
        <v>11837</v>
      </c>
    </row>
    <row r="11376" spans="1:26" x14ac:dyDescent="0.2">
      <c r="A11376" s="8">
        <v>11375</v>
      </c>
      <c r="B11376" s="8" t="s">
        <v>48205</v>
      </c>
      <c r="C11376" s="8" t="s">
        <v>48205</v>
      </c>
      <c r="G11376" s="8">
        <v>20</v>
      </c>
      <c r="H11376" s="8" t="s">
        <v>21</v>
      </c>
      <c r="I11376" s="8" t="s">
        <v>72</v>
      </c>
      <c r="J11376" s="8" t="s">
        <v>72</v>
      </c>
      <c r="K11376" s="8" t="s">
        <v>20</v>
      </c>
      <c r="L11376" s="8" t="s">
        <v>18289</v>
      </c>
      <c r="M11376" s="8" t="s">
        <v>18290</v>
      </c>
      <c r="N11376" s="8" t="s">
        <v>48206</v>
      </c>
      <c r="O11376" s="8">
        <f>12+35/60+10.9/3600</f>
        <v>12.586361111111112</v>
      </c>
      <c r="P11376" s="8" t="s">
        <v>48207</v>
      </c>
      <c r="Q11376" s="8">
        <f>+(25+43/60+53/3600)</f>
        <v>25.731388888888887</v>
      </c>
      <c r="R11376" s="8">
        <v>99</v>
      </c>
      <c r="S11376" s="8">
        <v>14.7</v>
      </c>
      <c r="T11376" s="8">
        <v>99</v>
      </c>
      <c r="U11376" s="8">
        <v>99</v>
      </c>
      <c r="Y11376" s="8" t="s">
        <v>3952</v>
      </c>
      <c r="Z11376" s="8" t="s">
        <v>3953</v>
      </c>
    </row>
    <row r="11377" spans="1:26" x14ac:dyDescent="0.2">
      <c r="A11377" s="8">
        <v>11376</v>
      </c>
      <c r="B11377" s="8" t="s">
        <v>48208</v>
      </c>
      <c r="C11377" s="8" t="s">
        <v>48208</v>
      </c>
      <c r="G11377" s="8">
        <v>20</v>
      </c>
      <c r="H11377" s="8" t="s">
        <v>21</v>
      </c>
      <c r="I11377" s="8" t="s">
        <v>22</v>
      </c>
      <c r="J11377" s="8" t="s">
        <v>22</v>
      </c>
      <c r="K11377" s="8" t="s">
        <v>160</v>
      </c>
      <c r="L11377" s="8" t="s">
        <v>18289</v>
      </c>
      <c r="M11377" s="8" t="s">
        <v>18290</v>
      </c>
      <c r="N11377" s="8" t="s">
        <v>48209</v>
      </c>
      <c r="O11377" s="8">
        <f>12+35/60+12.4/3600</f>
        <v>12.586777777777778</v>
      </c>
      <c r="P11377" s="8" t="s">
        <v>48210</v>
      </c>
      <c r="Q11377" s="8">
        <f>+(26+32/60+0/3600)</f>
        <v>26.533333333333335</v>
      </c>
      <c r="R11377" s="8">
        <v>15.8</v>
      </c>
      <c r="S11377" s="8">
        <v>16.5</v>
      </c>
      <c r="T11377" s="8">
        <v>0.7</v>
      </c>
      <c r="U11377" s="8">
        <v>14.2</v>
      </c>
      <c r="V11377" s="8">
        <v>0.9</v>
      </c>
      <c r="W11377" s="8">
        <v>0.3</v>
      </c>
      <c r="X11377" s="8">
        <v>156</v>
      </c>
      <c r="Y11377" s="8" t="s">
        <v>5139</v>
      </c>
      <c r="Z11377" s="8" t="s">
        <v>5140</v>
      </c>
    </row>
    <row r="11378" spans="1:26" x14ac:dyDescent="0.2">
      <c r="A11378" s="8">
        <v>11377</v>
      </c>
      <c r="B11378" s="8" t="s">
        <v>48211</v>
      </c>
      <c r="C11378" s="8" t="s">
        <v>48211</v>
      </c>
      <c r="G11378" s="8">
        <v>20</v>
      </c>
      <c r="H11378" s="8" t="s">
        <v>21</v>
      </c>
      <c r="I11378" s="8" t="s">
        <v>72</v>
      </c>
      <c r="J11378" s="8" t="s">
        <v>72</v>
      </c>
      <c r="K11378" s="8" t="s">
        <v>20</v>
      </c>
      <c r="L11378" s="8" t="s">
        <v>17287</v>
      </c>
      <c r="M11378" s="8" t="s">
        <v>17288</v>
      </c>
      <c r="N11378" s="8" t="s">
        <v>48212</v>
      </c>
      <c r="O11378" s="8">
        <f>12+35/60+22.5/3600</f>
        <v>12.589583333333334</v>
      </c>
      <c r="P11378" s="8" t="s">
        <v>48213</v>
      </c>
      <c r="Q11378" s="8">
        <f>+(7+39/60+11/3600)</f>
        <v>7.6530555555555555</v>
      </c>
      <c r="R11378" s="8">
        <v>99</v>
      </c>
      <c r="S11378" s="8">
        <v>14.7</v>
      </c>
      <c r="T11378" s="8">
        <v>99</v>
      </c>
      <c r="U11378" s="8">
        <v>99</v>
      </c>
      <c r="Y11378" s="8" t="s">
        <v>48214</v>
      </c>
      <c r="Z11378" s="8" t="s">
        <v>48215</v>
      </c>
    </row>
    <row r="11379" spans="1:26" x14ac:dyDescent="0.2">
      <c r="A11379" s="8">
        <v>11378</v>
      </c>
      <c r="B11379" s="8" t="s">
        <v>48216</v>
      </c>
      <c r="C11379" s="8" t="s">
        <v>48216</v>
      </c>
      <c r="G11379" s="8">
        <v>20</v>
      </c>
      <c r="H11379" s="8" t="s">
        <v>21</v>
      </c>
      <c r="I11379" s="8" t="s">
        <v>72</v>
      </c>
      <c r="J11379" s="8" t="s">
        <v>72</v>
      </c>
      <c r="K11379" s="8" t="s">
        <v>20</v>
      </c>
      <c r="L11379" s="8" t="s">
        <v>18289</v>
      </c>
      <c r="M11379" s="8" t="s">
        <v>18290</v>
      </c>
      <c r="N11379" s="8" t="s">
        <v>48217</v>
      </c>
      <c r="O11379" s="8">
        <f>12+35/60+15.6/3600</f>
        <v>12.587666666666667</v>
      </c>
      <c r="P11379" s="8" t="s">
        <v>48218</v>
      </c>
      <c r="Q11379" s="8">
        <f>+(26+14/60+10/3600)</f>
        <v>26.236111111111111</v>
      </c>
      <c r="R11379" s="8">
        <v>99</v>
      </c>
      <c r="S11379" s="8">
        <v>99</v>
      </c>
      <c r="T11379" s="8">
        <v>99</v>
      </c>
      <c r="U11379" s="8">
        <v>99</v>
      </c>
      <c r="Y11379" s="8" t="s">
        <v>37602</v>
      </c>
      <c r="Z11379" s="8" t="s">
        <v>37603</v>
      </c>
    </row>
    <row r="11380" spans="1:26" x14ac:dyDescent="0.2">
      <c r="A11380" s="8">
        <v>11379</v>
      </c>
      <c r="B11380" s="8" t="s">
        <v>48219</v>
      </c>
      <c r="C11380" s="8" t="s">
        <v>48219</v>
      </c>
      <c r="G11380" s="8">
        <v>20</v>
      </c>
      <c r="H11380" s="8" t="s">
        <v>21</v>
      </c>
      <c r="I11380" s="8" t="s">
        <v>72</v>
      </c>
      <c r="J11380" s="8" t="s">
        <v>72</v>
      </c>
      <c r="K11380" s="8" t="s">
        <v>20</v>
      </c>
      <c r="L11380" s="8" t="s">
        <v>18289</v>
      </c>
      <c r="M11380" s="8" t="s">
        <v>18290</v>
      </c>
      <c r="N11380" s="8" t="s">
        <v>48220</v>
      </c>
      <c r="O11380" s="8">
        <f>12+35/60+20.1/3600</f>
        <v>12.588916666666668</v>
      </c>
      <c r="P11380" s="8" t="s">
        <v>48221</v>
      </c>
      <c r="Q11380" s="8">
        <f>+(23+58/60+59/3600)</f>
        <v>23.983055555555556</v>
      </c>
      <c r="R11380" s="8">
        <v>99</v>
      </c>
      <c r="S11380" s="8">
        <v>99</v>
      </c>
      <c r="T11380" s="8">
        <v>99</v>
      </c>
      <c r="U11380" s="8">
        <v>99</v>
      </c>
      <c r="Y11380" s="8" t="s">
        <v>48222</v>
      </c>
      <c r="Z11380" s="8" t="s">
        <v>48223</v>
      </c>
    </row>
    <row r="11381" spans="1:26" x14ac:dyDescent="0.2">
      <c r="A11381" s="8">
        <v>11380</v>
      </c>
      <c r="B11381" s="8" t="s">
        <v>48224</v>
      </c>
      <c r="C11381" s="8" t="s">
        <v>48224</v>
      </c>
      <c r="G11381" s="8">
        <v>20</v>
      </c>
      <c r="H11381" s="8" t="s">
        <v>21</v>
      </c>
      <c r="I11381" s="8" t="s">
        <v>22</v>
      </c>
      <c r="J11381" s="8" t="s">
        <v>22</v>
      </c>
      <c r="K11381" s="8" t="s">
        <v>632</v>
      </c>
      <c r="L11381" s="8" t="s">
        <v>17287</v>
      </c>
      <c r="M11381" s="8" t="s">
        <v>17288</v>
      </c>
      <c r="N11381" s="8" t="s">
        <v>48225</v>
      </c>
      <c r="O11381" s="8">
        <f>12+35/60+27.2/3600</f>
        <v>12.590888888888889</v>
      </c>
      <c r="P11381" s="8" t="s">
        <v>48226</v>
      </c>
      <c r="Q11381" s="8">
        <f>+(12+45/60+3/3600)</f>
        <v>12.750833333333333</v>
      </c>
      <c r="R11381" s="8">
        <v>14</v>
      </c>
      <c r="S11381" s="8">
        <v>14.9</v>
      </c>
      <c r="T11381" s="8">
        <v>0.9</v>
      </c>
      <c r="U11381" s="8">
        <v>12.9</v>
      </c>
      <c r="V11381" s="8">
        <v>0.7</v>
      </c>
      <c r="W11381" s="8">
        <v>0.6</v>
      </c>
      <c r="X11381" s="8">
        <v>66</v>
      </c>
      <c r="Y11381" s="8" t="s">
        <v>21</v>
      </c>
      <c r="Z11381" s="8" t="s">
        <v>48227</v>
      </c>
    </row>
    <row r="11382" spans="1:26" x14ac:dyDescent="0.2">
      <c r="A11382" s="8">
        <v>11381</v>
      </c>
      <c r="B11382" s="8" t="s">
        <v>48228</v>
      </c>
      <c r="C11382" s="8" t="s">
        <v>48228</v>
      </c>
      <c r="G11382" s="8">
        <v>20</v>
      </c>
      <c r="H11382" s="8" t="s">
        <v>21</v>
      </c>
      <c r="I11382" s="8" t="s">
        <v>72</v>
      </c>
      <c r="J11382" s="8" t="s">
        <v>72</v>
      </c>
      <c r="K11382" s="8" t="s">
        <v>20</v>
      </c>
      <c r="L11382" s="8" t="s">
        <v>18289</v>
      </c>
      <c r="M11382" s="8" t="s">
        <v>18290</v>
      </c>
      <c r="N11382" s="8" t="s">
        <v>48229</v>
      </c>
      <c r="O11382" s="8">
        <f>12+35/60+21.7/3600</f>
        <v>12.589361111111112</v>
      </c>
      <c r="P11382" s="8" t="s">
        <v>48230</v>
      </c>
      <c r="Q11382" s="8">
        <f>+(23+58/60+31/3600)</f>
        <v>23.975277777777777</v>
      </c>
      <c r="R11382" s="8">
        <v>99</v>
      </c>
      <c r="S11382" s="8">
        <v>14.9</v>
      </c>
      <c r="T11382" s="8">
        <v>99</v>
      </c>
      <c r="U11382" s="8">
        <v>99</v>
      </c>
      <c r="Y11382" s="8" t="s">
        <v>48231</v>
      </c>
      <c r="Z11382" s="8" t="s">
        <v>48232</v>
      </c>
    </row>
    <row r="11383" spans="1:26" x14ac:dyDescent="0.2">
      <c r="A11383" s="8">
        <v>11382</v>
      </c>
      <c r="B11383" s="8" t="s">
        <v>48233</v>
      </c>
      <c r="C11383" s="8" t="s">
        <v>48233</v>
      </c>
      <c r="G11383" s="8">
        <v>20</v>
      </c>
      <c r="H11383" s="8" t="s">
        <v>21</v>
      </c>
      <c r="I11383" s="8" t="s">
        <v>22</v>
      </c>
      <c r="J11383" s="8" t="s">
        <v>22</v>
      </c>
      <c r="K11383" s="8" t="s">
        <v>406</v>
      </c>
      <c r="L11383" s="8" t="s">
        <v>17287</v>
      </c>
      <c r="M11383" s="8" t="s">
        <v>17288</v>
      </c>
      <c r="N11383" s="8" t="s">
        <v>48234</v>
      </c>
      <c r="O11383" s="8">
        <f>12+35/60+41.2/3600</f>
        <v>12.594777777777779</v>
      </c>
      <c r="P11383" s="8" t="s">
        <v>48235</v>
      </c>
      <c r="Q11383" s="8">
        <f>+(11+40/60+0/3600)</f>
        <v>11.666666666666666</v>
      </c>
      <c r="R11383" s="8">
        <v>14.8</v>
      </c>
      <c r="S11383" s="8">
        <v>15.6</v>
      </c>
      <c r="T11383" s="8">
        <v>0.8</v>
      </c>
      <c r="U11383" s="8">
        <v>12.3</v>
      </c>
      <c r="V11383" s="8">
        <v>0.4</v>
      </c>
      <c r="W11383" s="8">
        <v>0.3</v>
      </c>
      <c r="X11383" s="8">
        <v>170</v>
      </c>
      <c r="Y11383" s="8" t="s">
        <v>46447</v>
      </c>
      <c r="Z11383" s="8" t="s">
        <v>46448</v>
      </c>
    </row>
    <row r="11384" spans="1:26" x14ac:dyDescent="0.2">
      <c r="A11384" s="8">
        <v>11383</v>
      </c>
      <c r="B11384" s="8" t="s">
        <v>48236</v>
      </c>
      <c r="C11384" s="8" t="s">
        <v>48236</v>
      </c>
      <c r="G11384" s="8">
        <v>20</v>
      </c>
      <c r="H11384" s="8" t="s">
        <v>21</v>
      </c>
      <c r="I11384" s="8" t="s">
        <v>22</v>
      </c>
      <c r="J11384" s="8" t="s">
        <v>22</v>
      </c>
      <c r="K11384" s="8" t="s">
        <v>579</v>
      </c>
      <c r="L11384" s="8" t="s">
        <v>18289</v>
      </c>
      <c r="M11384" s="8" t="s">
        <v>18290</v>
      </c>
      <c r="N11384" s="8" t="s">
        <v>48237</v>
      </c>
      <c r="O11384" s="8">
        <f>12+35/60+41.3/3600</f>
        <v>12.594805555555556</v>
      </c>
      <c r="P11384" s="8" t="s">
        <v>48238</v>
      </c>
      <c r="Q11384" s="8">
        <f>+(26+17/60+12/3600)</f>
        <v>26.286666666666669</v>
      </c>
      <c r="R11384" s="8">
        <v>15.8</v>
      </c>
      <c r="S11384" s="8">
        <v>16.5</v>
      </c>
      <c r="T11384" s="8">
        <v>0.7</v>
      </c>
      <c r="U11384" s="8">
        <v>13</v>
      </c>
      <c r="V11384" s="8">
        <v>0.9</v>
      </c>
      <c r="W11384" s="8">
        <v>0.1</v>
      </c>
      <c r="X11384" s="8">
        <v>142</v>
      </c>
      <c r="Y11384" s="8" t="s">
        <v>21</v>
      </c>
      <c r="Z11384" s="8" t="s">
        <v>48239</v>
      </c>
    </row>
    <row r="11385" spans="1:26" x14ac:dyDescent="0.2">
      <c r="A11385" s="8">
        <v>11384</v>
      </c>
      <c r="B11385" s="8" t="s">
        <v>48240</v>
      </c>
      <c r="C11385" s="8" t="s">
        <v>48240</v>
      </c>
      <c r="G11385" s="8">
        <v>20</v>
      </c>
      <c r="H11385" s="8" t="s">
        <v>21</v>
      </c>
      <c r="I11385" s="8" t="s">
        <v>72</v>
      </c>
      <c r="J11385" s="8" t="s">
        <v>72</v>
      </c>
      <c r="K11385" s="8" t="s">
        <v>73</v>
      </c>
      <c r="L11385" s="8" t="s">
        <v>18289</v>
      </c>
      <c r="M11385" s="8" t="s">
        <v>18290</v>
      </c>
      <c r="N11385" s="8" t="s">
        <v>48241</v>
      </c>
      <c r="O11385" s="8">
        <f>12+35/60+47.6/3600</f>
        <v>12.596555555555556</v>
      </c>
      <c r="P11385" s="8" t="s">
        <v>48242</v>
      </c>
      <c r="Q11385" s="8">
        <f>+(14+18/60+5/3600)</f>
        <v>14.301388888888889</v>
      </c>
      <c r="R11385" s="8">
        <v>99</v>
      </c>
      <c r="S11385" s="8">
        <v>99</v>
      </c>
      <c r="T11385" s="8">
        <v>99</v>
      </c>
      <c r="U11385" s="8">
        <v>99</v>
      </c>
      <c r="Y11385" s="8" t="s">
        <v>48243</v>
      </c>
      <c r="Z11385" s="8" t="s">
        <v>48244</v>
      </c>
    </row>
    <row r="11386" spans="1:26" x14ac:dyDescent="0.2">
      <c r="A11386" s="8">
        <v>11385</v>
      </c>
      <c r="B11386" s="8" t="s">
        <v>48245</v>
      </c>
      <c r="C11386" s="8" t="s">
        <v>48245</v>
      </c>
      <c r="G11386" s="8">
        <v>20</v>
      </c>
      <c r="H11386" s="8" t="s">
        <v>21</v>
      </c>
      <c r="I11386" s="8" t="s">
        <v>22</v>
      </c>
      <c r="J11386" s="8" t="s">
        <v>57</v>
      </c>
      <c r="K11386" s="8" t="s">
        <v>382</v>
      </c>
      <c r="L11386" s="8" t="s">
        <v>18289</v>
      </c>
      <c r="M11386" s="8" t="s">
        <v>18290</v>
      </c>
      <c r="N11386" s="8" t="s">
        <v>20586</v>
      </c>
      <c r="O11386" s="8">
        <f>12+35/60+41/3600</f>
        <v>12.594722222222222</v>
      </c>
      <c r="P11386" s="8" t="s">
        <v>20587</v>
      </c>
      <c r="Q11386" s="8">
        <f>+(26+31/60+26/3600)</f>
        <v>26.523888888888887</v>
      </c>
      <c r="R11386" s="8">
        <v>12.4</v>
      </c>
      <c r="S11386" s="8">
        <v>13.4</v>
      </c>
      <c r="T11386" s="8">
        <v>1</v>
      </c>
      <c r="U11386" s="8">
        <v>13.5</v>
      </c>
      <c r="V11386" s="8">
        <v>1.9</v>
      </c>
      <c r="W11386" s="8">
        <v>1.4</v>
      </c>
      <c r="X11386" s="8">
        <v>125</v>
      </c>
      <c r="Y11386" s="8" t="s">
        <v>121</v>
      </c>
      <c r="Z11386" s="8" t="s">
        <v>122</v>
      </c>
    </row>
    <row r="11387" spans="1:26" x14ac:dyDescent="0.2">
      <c r="A11387" s="8">
        <v>11386</v>
      </c>
      <c r="B11387" s="8" t="s">
        <v>48246</v>
      </c>
      <c r="C11387" s="8" t="s">
        <v>48246</v>
      </c>
      <c r="G11387" s="8">
        <v>20</v>
      </c>
      <c r="H11387" s="8" t="s">
        <v>21</v>
      </c>
      <c r="I11387" s="8" t="s">
        <v>22</v>
      </c>
      <c r="J11387" s="8" t="s">
        <v>22</v>
      </c>
      <c r="K11387" s="8" t="s">
        <v>160</v>
      </c>
      <c r="L11387" s="8" t="s">
        <v>18289</v>
      </c>
      <c r="M11387" s="8" t="s">
        <v>18290</v>
      </c>
      <c r="N11387" s="8" t="s">
        <v>48247</v>
      </c>
      <c r="O11387" s="8">
        <f>12+35/60+41.6/3600</f>
        <v>12.594888888888889</v>
      </c>
      <c r="P11387" s="8" t="s">
        <v>48248</v>
      </c>
      <c r="Q11387" s="8">
        <f>+(26+13/60+21/3600)</f>
        <v>26.222499999999997</v>
      </c>
      <c r="R11387" s="8">
        <v>14.6</v>
      </c>
      <c r="S11387" s="8">
        <v>15.3</v>
      </c>
      <c r="T11387" s="8">
        <v>0.7</v>
      </c>
      <c r="U11387" s="8">
        <v>13.2</v>
      </c>
      <c r="V11387" s="8">
        <v>0.8</v>
      </c>
      <c r="W11387" s="8">
        <v>0.4</v>
      </c>
      <c r="X11387" s="8">
        <v>135</v>
      </c>
      <c r="Y11387" s="8" t="s">
        <v>21</v>
      </c>
      <c r="Z11387" s="8" t="s">
        <v>48249</v>
      </c>
    </row>
    <row r="11388" spans="1:26" x14ac:dyDescent="0.2">
      <c r="A11388" s="8">
        <v>11387</v>
      </c>
      <c r="B11388" s="8" t="s">
        <v>48250</v>
      </c>
      <c r="C11388" s="8" t="s">
        <v>48250</v>
      </c>
      <c r="G11388" s="8">
        <v>20</v>
      </c>
      <c r="H11388" s="8" t="s">
        <v>21</v>
      </c>
      <c r="I11388" s="8" t="s">
        <v>72</v>
      </c>
      <c r="J11388" s="8" t="s">
        <v>72</v>
      </c>
      <c r="K11388" s="8" t="s">
        <v>20</v>
      </c>
      <c r="L11388" s="8" t="s">
        <v>18289</v>
      </c>
      <c r="M11388" s="8" t="s">
        <v>18290</v>
      </c>
      <c r="N11388" s="8" t="s">
        <v>48251</v>
      </c>
      <c r="O11388" s="8">
        <f>12+35/60+48.8/3600</f>
        <v>12.596888888888889</v>
      </c>
      <c r="P11388" s="8" t="s">
        <v>48252</v>
      </c>
      <c r="Q11388" s="8">
        <f>+(26+19/60+46/3600)</f>
        <v>26.329444444444444</v>
      </c>
      <c r="R11388" s="8">
        <v>99</v>
      </c>
      <c r="S11388" s="8">
        <v>99</v>
      </c>
      <c r="T11388" s="8">
        <v>99</v>
      </c>
      <c r="U11388" s="8">
        <v>99</v>
      </c>
      <c r="Y11388" s="8" t="s">
        <v>3932</v>
      </c>
      <c r="Z11388" s="8" t="s">
        <v>3933</v>
      </c>
    </row>
    <row r="11389" spans="1:26" x14ac:dyDescent="0.2">
      <c r="A11389" s="8">
        <v>11388</v>
      </c>
      <c r="B11389" s="8" t="s">
        <v>48253</v>
      </c>
      <c r="C11389" s="8" t="s">
        <v>48253</v>
      </c>
      <c r="G11389" s="8">
        <v>20</v>
      </c>
      <c r="H11389" s="8" t="s">
        <v>21</v>
      </c>
      <c r="I11389" s="8" t="s">
        <v>22</v>
      </c>
      <c r="J11389" s="8" t="s">
        <v>22</v>
      </c>
      <c r="K11389" s="8" t="s">
        <v>45598</v>
      </c>
      <c r="L11389" s="8" t="s">
        <v>17287</v>
      </c>
      <c r="M11389" s="8" t="s">
        <v>17288</v>
      </c>
      <c r="N11389" s="8" t="s">
        <v>48254</v>
      </c>
      <c r="O11389" s="8">
        <f>12+35/60+56.5/3600</f>
        <v>12.599027777777778</v>
      </c>
      <c r="P11389" s="8" t="s">
        <v>48255</v>
      </c>
      <c r="Q11389" s="8">
        <f>+(10+56/60+9/3600)</f>
        <v>10.935833333333333</v>
      </c>
      <c r="R11389" s="8">
        <v>15</v>
      </c>
      <c r="S11389" s="8">
        <v>16</v>
      </c>
      <c r="T11389" s="8">
        <v>1</v>
      </c>
      <c r="U11389" s="8">
        <v>13.5</v>
      </c>
      <c r="V11389" s="8">
        <v>0.6</v>
      </c>
      <c r="W11389" s="8">
        <v>0.4</v>
      </c>
      <c r="X11389" s="8">
        <v>105</v>
      </c>
      <c r="Y11389" s="8" t="s">
        <v>27240</v>
      </c>
      <c r="Z11389" s="8" t="s">
        <v>27241</v>
      </c>
    </row>
    <row r="11390" spans="1:26" x14ac:dyDescent="0.2">
      <c r="A11390" s="8">
        <v>11389</v>
      </c>
      <c r="B11390" s="8" t="s">
        <v>48256</v>
      </c>
      <c r="C11390" s="8" t="s">
        <v>48256</v>
      </c>
      <c r="G11390" s="8">
        <v>20</v>
      </c>
      <c r="H11390" s="8" t="s">
        <v>21</v>
      </c>
      <c r="I11390" s="8" t="s">
        <v>72</v>
      </c>
      <c r="J11390" s="8" t="s">
        <v>72</v>
      </c>
      <c r="K11390" s="8" t="s">
        <v>20</v>
      </c>
      <c r="L11390" s="8" t="s">
        <v>18289</v>
      </c>
      <c r="M11390" s="8" t="s">
        <v>18290</v>
      </c>
      <c r="N11390" s="8" t="s">
        <v>48257</v>
      </c>
      <c r="O11390" s="8">
        <f>12+35/60+50.9/3600</f>
        <v>12.597472222222223</v>
      </c>
      <c r="P11390" s="8" t="s">
        <v>48258</v>
      </c>
      <c r="Q11390" s="8">
        <f>+(26+23/60+44/3600)</f>
        <v>26.395555555555553</v>
      </c>
      <c r="R11390" s="8">
        <v>99</v>
      </c>
      <c r="S11390" s="8">
        <v>99</v>
      </c>
      <c r="T11390" s="8">
        <v>99</v>
      </c>
      <c r="U11390" s="8">
        <v>99</v>
      </c>
      <c r="Y11390" s="8" t="s">
        <v>47603</v>
      </c>
      <c r="Z11390" s="8" t="s">
        <v>47604</v>
      </c>
    </row>
    <row r="11391" spans="1:26" x14ac:dyDescent="0.2">
      <c r="A11391" s="8">
        <v>11390</v>
      </c>
      <c r="B11391" s="8" t="s">
        <v>48259</v>
      </c>
      <c r="C11391" s="8" t="s">
        <v>48259</v>
      </c>
      <c r="G11391" s="8">
        <v>20</v>
      </c>
      <c r="H11391" s="8" t="s">
        <v>21</v>
      </c>
      <c r="I11391" s="8" t="s">
        <v>1075</v>
      </c>
      <c r="J11391" s="8" t="s">
        <v>1075</v>
      </c>
      <c r="K11391" s="8" t="s">
        <v>1075</v>
      </c>
      <c r="L11391" s="8" t="s">
        <v>18289</v>
      </c>
      <c r="M11391" s="8" t="s">
        <v>18290</v>
      </c>
      <c r="N11391" s="8" t="s">
        <v>48260</v>
      </c>
      <c r="O11391" s="8">
        <f>12+35/60+51.8/3600</f>
        <v>12.597722222222222</v>
      </c>
      <c r="P11391" s="8" t="s">
        <v>48261</v>
      </c>
      <c r="Q11391" s="8">
        <f>+(27+55/60+57/3600)</f>
        <v>27.932500000000001</v>
      </c>
      <c r="R11391" s="8">
        <v>14.5</v>
      </c>
      <c r="S11391" s="8">
        <v>99</v>
      </c>
      <c r="T11391" s="8">
        <v>99</v>
      </c>
      <c r="U11391" s="8">
        <v>99</v>
      </c>
      <c r="V11391" s="8">
        <v>0.3</v>
      </c>
      <c r="Y11391" s="8" t="s">
        <v>21</v>
      </c>
      <c r="Z11391" s="8" t="s">
        <v>48262</v>
      </c>
    </row>
    <row r="11392" spans="1:26" x14ac:dyDescent="0.2">
      <c r="A11392" s="8">
        <v>11391</v>
      </c>
      <c r="B11392" s="8" t="s">
        <v>48263</v>
      </c>
      <c r="C11392" s="8" t="s">
        <v>48263</v>
      </c>
      <c r="G11392" s="8">
        <v>20</v>
      </c>
      <c r="H11392" s="8" t="s">
        <v>21</v>
      </c>
      <c r="I11392" s="8" t="s">
        <v>1075</v>
      </c>
      <c r="J11392" s="8" t="s">
        <v>1075</v>
      </c>
      <c r="K11392" s="8" t="s">
        <v>1075</v>
      </c>
      <c r="L11392" s="8" t="s">
        <v>18289</v>
      </c>
      <c r="M11392" s="8" t="s">
        <v>18290</v>
      </c>
      <c r="N11392" s="8" t="s">
        <v>48264</v>
      </c>
      <c r="O11392" s="8">
        <f>12+35/60+53.8/3600</f>
        <v>12.598277777777778</v>
      </c>
      <c r="P11392" s="8" t="s">
        <v>48265</v>
      </c>
      <c r="Q11392" s="8">
        <f>+(27+57/60+50/3600)</f>
        <v>27.963888888888889</v>
      </c>
      <c r="R11392" s="8">
        <v>14.5</v>
      </c>
      <c r="S11392" s="8">
        <v>99</v>
      </c>
      <c r="T11392" s="8">
        <v>99</v>
      </c>
      <c r="U11392" s="8">
        <v>99</v>
      </c>
      <c r="V11392" s="8">
        <v>0.2</v>
      </c>
      <c r="Y11392" s="8" t="s">
        <v>21</v>
      </c>
      <c r="Z11392" s="8" t="s">
        <v>48262</v>
      </c>
    </row>
    <row r="11393" spans="1:26" x14ac:dyDescent="0.2">
      <c r="A11393" s="8">
        <v>11392</v>
      </c>
      <c r="B11393" s="8" t="s">
        <v>48266</v>
      </c>
      <c r="C11393" s="8" t="s">
        <v>48266</v>
      </c>
      <c r="G11393" s="8">
        <v>20</v>
      </c>
      <c r="H11393" s="8" t="s">
        <v>21</v>
      </c>
      <c r="I11393" s="8" t="s">
        <v>1075</v>
      </c>
      <c r="J11393" s="8" t="s">
        <v>1075</v>
      </c>
      <c r="K11393" s="8" t="s">
        <v>1075</v>
      </c>
      <c r="L11393" s="8" t="s">
        <v>18289</v>
      </c>
      <c r="M11393" s="8" t="s">
        <v>18290</v>
      </c>
      <c r="N11393" s="8" t="s">
        <v>48267</v>
      </c>
      <c r="O11393" s="8">
        <f>12+35/60+54/3600</f>
        <v>12.598333333333334</v>
      </c>
      <c r="P11393" s="8" t="s">
        <v>48268</v>
      </c>
      <c r="Q11393" s="8">
        <f>+(27+59/60+36/3600)</f>
        <v>27.993333333333336</v>
      </c>
      <c r="R11393" s="8">
        <v>15.5</v>
      </c>
      <c r="S11393" s="8">
        <v>99</v>
      </c>
      <c r="T11393" s="8">
        <v>99</v>
      </c>
      <c r="U11393" s="8">
        <v>99</v>
      </c>
      <c r="V11393" s="8">
        <v>0.1</v>
      </c>
      <c r="Y11393" s="8" t="s">
        <v>21</v>
      </c>
      <c r="Z11393" s="8" t="s">
        <v>48262</v>
      </c>
    </row>
    <row r="11394" spans="1:26" x14ac:dyDescent="0.2">
      <c r="A11394" s="8">
        <v>11393</v>
      </c>
      <c r="B11394" s="8" t="s">
        <v>48269</v>
      </c>
      <c r="C11394" s="8" t="s">
        <v>48269</v>
      </c>
      <c r="G11394" s="8">
        <v>20</v>
      </c>
      <c r="H11394" s="8" t="s">
        <v>21</v>
      </c>
      <c r="I11394" s="8" t="s">
        <v>72</v>
      </c>
      <c r="J11394" s="8" t="s">
        <v>72</v>
      </c>
      <c r="K11394" s="8" t="s">
        <v>20</v>
      </c>
      <c r="L11394" s="8" t="s">
        <v>18289</v>
      </c>
      <c r="M11394" s="8" t="s">
        <v>18290</v>
      </c>
      <c r="N11394" s="8" t="s">
        <v>48270</v>
      </c>
      <c r="O11394" s="8">
        <f>12+35/60+55.9/3600</f>
        <v>12.598861111111111</v>
      </c>
      <c r="P11394" s="8" t="s">
        <v>48271</v>
      </c>
      <c r="Q11394" s="8">
        <f>+(26+11/60+36/3600)</f>
        <v>26.193333333333335</v>
      </c>
      <c r="R11394" s="8">
        <v>99</v>
      </c>
      <c r="S11394" s="8">
        <v>99</v>
      </c>
      <c r="T11394" s="8">
        <v>99</v>
      </c>
      <c r="U11394" s="8">
        <v>99</v>
      </c>
      <c r="Y11394" s="8" t="s">
        <v>115</v>
      </c>
      <c r="Z11394" s="8" t="s">
        <v>116</v>
      </c>
    </row>
    <row r="11395" spans="1:26" x14ac:dyDescent="0.2">
      <c r="A11395" s="8">
        <v>11394</v>
      </c>
      <c r="B11395" s="8" t="s">
        <v>48272</v>
      </c>
      <c r="C11395" s="8" t="s">
        <v>48272</v>
      </c>
      <c r="G11395" s="8">
        <v>20</v>
      </c>
      <c r="H11395" s="8" t="s">
        <v>21</v>
      </c>
      <c r="I11395" s="8" t="s">
        <v>72</v>
      </c>
      <c r="J11395" s="8" t="s">
        <v>72</v>
      </c>
      <c r="K11395" s="8" t="s">
        <v>20</v>
      </c>
      <c r="L11395" s="8" t="s">
        <v>18289</v>
      </c>
      <c r="M11395" s="8" t="s">
        <v>18290</v>
      </c>
      <c r="N11395" s="8" t="s">
        <v>48273</v>
      </c>
      <c r="O11395" s="8">
        <f>12+35/60+55.2/3600</f>
        <v>12.598666666666666</v>
      </c>
      <c r="P11395" s="8" t="s">
        <v>48274</v>
      </c>
      <c r="Q11395" s="8">
        <f>+(27+55/60+39/3600)</f>
        <v>27.927500000000002</v>
      </c>
      <c r="R11395" s="8">
        <v>99</v>
      </c>
      <c r="S11395" s="8">
        <v>99</v>
      </c>
      <c r="T11395" s="8">
        <v>99</v>
      </c>
      <c r="U11395" s="8">
        <v>99</v>
      </c>
      <c r="Y11395" s="8" t="s">
        <v>48275</v>
      </c>
      <c r="Z11395" s="8" t="s">
        <v>48276</v>
      </c>
    </row>
    <row r="11396" spans="1:26" x14ac:dyDescent="0.2">
      <c r="A11396" s="8">
        <v>11395</v>
      </c>
      <c r="B11396" s="8" t="s">
        <v>48277</v>
      </c>
      <c r="C11396" s="8" t="s">
        <v>48277</v>
      </c>
      <c r="G11396" s="8">
        <v>20</v>
      </c>
      <c r="H11396" s="8" t="s">
        <v>21</v>
      </c>
      <c r="I11396" s="8" t="s">
        <v>1075</v>
      </c>
      <c r="J11396" s="8" t="s">
        <v>1075</v>
      </c>
      <c r="K11396" s="8" t="s">
        <v>1075</v>
      </c>
      <c r="L11396" s="8" t="s">
        <v>18289</v>
      </c>
      <c r="M11396" s="8" t="s">
        <v>18290</v>
      </c>
      <c r="N11396" s="8" t="s">
        <v>48278</v>
      </c>
      <c r="O11396" s="8">
        <f>12+35/60+56/3600</f>
        <v>12.59888888888889</v>
      </c>
      <c r="P11396" s="8" t="s">
        <v>48279</v>
      </c>
      <c r="Q11396" s="8">
        <f>+(27+59/60+24/3600)</f>
        <v>27.990000000000002</v>
      </c>
      <c r="R11396" s="8">
        <v>15</v>
      </c>
      <c r="S11396" s="8">
        <v>99</v>
      </c>
      <c r="T11396" s="8">
        <v>99</v>
      </c>
      <c r="U11396" s="8">
        <v>99</v>
      </c>
      <c r="V11396" s="8">
        <v>0.5</v>
      </c>
      <c r="Y11396" s="8" t="s">
        <v>21</v>
      </c>
      <c r="Z11396" s="8" t="s">
        <v>48280</v>
      </c>
    </row>
    <row r="11397" spans="1:26" x14ac:dyDescent="0.2">
      <c r="A11397" s="8">
        <v>11396</v>
      </c>
      <c r="B11397" s="8" t="s">
        <v>48281</v>
      </c>
      <c r="C11397" s="8" t="s">
        <v>48281</v>
      </c>
      <c r="G11397" s="8">
        <v>20</v>
      </c>
      <c r="H11397" s="8" t="s">
        <v>21</v>
      </c>
      <c r="I11397" s="8" t="s">
        <v>22</v>
      </c>
      <c r="J11397" s="8" t="s">
        <v>22</v>
      </c>
      <c r="K11397" s="8" t="s">
        <v>224</v>
      </c>
      <c r="L11397" s="8" t="s">
        <v>18289</v>
      </c>
      <c r="M11397" s="8" t="s">
        <v>18290</v>
      </c>
      <c r="N11397" s="8" t="s">
        <v>48282</v>
      </c>
      <c r="O11397" s="8">
        <f>12+35/60+58.5/3600</f>
        <v>12.599583333333333</v>
      </c>
      <c r="P11397" s="8" t="s">
        <v>48283</v>
      </c>
      <c r="Q11397" s="8">
        <f>+(26+57/60+56/3600)</f>
        <v>26.965555555555554</v>
      </c>
      <c r="R11397" s="8">
        <v>14.6</v>
      </c>
      <c r="S11397" s="8">
        <v>15.6</v>
      </c>
      <c r="T11397" s="8">
        <v>1</v>
      </c>
      <c r="U11397" s="8">
        <v>12.8</v>
      </c>
      <c r="V11397" s="8">
        <v>0.7</v>
      </c>
      <c r="W11397" s="8">
        <v>0.3</v>
      </c>
      <c r="X11397" s="8">
        <v>170</v>
      </c>
      <c r="Y11397" s="8" t="s">
        <v>2641</v>
      </c>
      <c r="Z11397" s="8" t="s">
        <v>2642</v>
      </c>
    </row>
    <row r="11398" spans="1:26" x14ac:dyDescent="0.2">
      <c r="A11398" s="8">
        <v>11397</v>
      </c>
      <c r="B11398" s="8" t="s">
        <v>48284</v>
      </c>
      <c r="C11398" s="8" t="s">
        <v>48284</v>
      </c>
      <c r="G11398" s="8">
        <v>20</v>
      </c>
      <c r="H11398" s="8" t="s">
        <v>21</v>
      </c>
      <c r="I11398" s="8" t="s">
        <v>22</v>
      </c>
      <c r="J11398" s="8" t="s">
        <v>22</v>
      </c>
      <c r="K11398" s="8" t="s">
        <v>460</v>
      </c>
      <c r="L11398" s="8" t="s">
        <v>18289</v>
      </c>
      <c r="M11398" s="8" t="s">
        <v>18290</v>
      </c>
      <c r="N11398" s="8" t="s">
        <v>20611</v>
      </c>
      <c r="O11398" s="8">
        <f>12+36/60+8.1/3600</f>
        <v>12.60225</v>
      </c>
      <c r="P11398" s="8" t="s">
        <v>48285</v>
      </c>
      <c r="Q11398" s="8">
        <f>+(16+38/60+30/3600)</f>
        <v>16.641666666666666</v>
      </c>
      <c r="R11398" s="8">
        <v>14.5</v>
      </c>
      <c r="S11398" s="8">
        <v>15.5</v>
      </c>
      <c r="T11398" s="8">
        <v>1</v>
      </c>
      <c r="U11398" s="8">
        <v>14.1</v>
      </c>
      <c r="V11398" s="8">
        <v>0.8</v>
      </c>
      <c r="W11398" s="8">
        <v>0.8</v>
      </c>
      <c r="Y11398" s="8" t="s">
        <v>46471</v>
      </c>
      <c r="Z11398" s="8" t="s">
        <v>46472</v>
      </c>
    </row>
    <row r="11399" spans="1:26" x14ac:dyDescent="0.2">
      <c r="A11399" s="8">
        <v>11398</v>
      </c>
      <c r="B11399" s="8" t="s">
        <v>48286</v>
      </c>
      <c r="C11399" s="8" t="s">
        <v>48286</v>
      </c>
      <c r="E11399" s="8">
        <v>1</v>
      </c>
      <c r="G11399" s="8">
        <v>20</v>
      </c>
      <c r="H11399" s="8" t="s">
        <v>21</v>
      </c>
      <c r="I11399" s="8" t="s">
        <v>22</v>
      </c>
      <c r="J11399" s="8" t="s">
        <v>22</v>
      </c>
      <c r="K11399" s="8" t="s">
        <v>449</v>
      </c>
      <c r="L11399" s="8" t="s">
        <v>17287</v>
      </c>
      <c r="M11399" s="8" t="s">
        <v>17288</v>
      </c>
      <c r="N11399" s="8" t="s">
        <v>48287</v>
      </c>
      <c r="O11399" s="8">
        <f>12+36/60+2.8/3600</f>
        <v>12.600777777777777</v>
      </c>
      <c r="P11399" s="8" t="s">
        <v>48288</v>
      </c>
      <c r="Q11399" s="8">
        <f>+(11+50/60+58/3600)</f>
        <v>11.849444444444446</v>
      </c>
      <c r="R11399" s="8">
        <v>15.7</v>
      </c>
      <c r="S11399" s="8">
        <v>16.5</v>
      </c>
      <c r="T11399" s="8">
        <v>0.8</v>
      </c>
      <c r="U11399" s="8">
        <v>12.8</v>
      </c>
      <c r="V11399" s="8">
        <v>0.4</v>
      </c>
      <c r="W11399" s="8">
        <v>0.2</v>
      </c>
      <c r="X11399" s="8">
        <v>90</v>
      </c>
      <c r="Y11399" s="8" t="s">
        <v>48289</v>
      </c>
      <c r="Z11399" s="8" t="s">
        <v>48290</v>
      </c>
    </row>
    <row r="11400" spans="1:26" x14ac:dyDescent="0.2">
      <c r="A11400" s="8">
        <v>11399</v>
      </c>
      <c r="B11400" s="8" t="s">
        <v>48291</v>
      </c>
      <c r="C11400" s="8" t="s">
        <v>48291</v>
      </c>
      <c r="G11400" s="8">
        <v>20</v>
      </c>
      <c r="H11400" s="8" t="s">
        <v>21</v>
      </c>
      <c r="I11400" s="8" t="s">
        <v>22</v>
      </c>
      <c r="J11400" s="8" t="s">
        <v>22</v>
      </c>
      <c r="K11400" s="8" t="s">
        <v>37</v>
      </c>
      <c r="L11400" s="8" t="s">
        <v>18289</v>
      </c>
      <c r="M11400" s="8" t="s">
        <v>18290</v>
      </c>
      <c r="N11400" s="8" t="s">
        <v>48292</v>
      </c>
      <c r="O11400" s="8">
        <f>12+36/60+3.4/3600</f>
        <v>12.600944444444444</v>
      </c>
      <c r="P11400" s="8" t="s">
        <v>48293</v>
      </c>
      <c r="Q11400" s="8">
        <f>+(26+59/60+16/3600)</f>
        <v>26.987777777777779</v>
      </c>
      <c r="R11400" s="8">
        <v>14.5</v>
      </c>
      <c r="S11400" s="8">
        <v>15.5</v>
      </c>
      <c r="T11400" s="8">
        <v>1</v>
      </c>
      <c r="U11400" s="8">
        <v>12</v>
      </c>
      <c r="V11400" s="8">
        <v>0.6</v>
      </c>
      <c r="W11400" s="8">
        <v>0.2</v>
      </c>
      <c r="X11400" s="8">
        <v>67</v>
      </c>
      <c r="Y11400" s="8" t="s">
        <v>115</v>
      </c>
      <c r="Z11400" s="8" t="s">
        <v>116</v>
      </c>
    </row>
    <row r="11401" spans="1:26" x14ac:dyDescent="0.2">
      <c r="A11401" s="8">
        <v>11400</v>
      </c>
      <c r="B11401" s="8" t="s">
        <v>48294</v>
      </c>
      <c r="C11401" s="8" t="s">
        <v>48294</v>
      </c>
      <c r="G11401" s="8">
        <v>20</v>
      </c>
      <c r="H11401" s="8" t="s">
        <v>21</v>
      </c>
      <c r="I11401" s="8" t="s">
        <v>22</v>
      </c>
      <c r="J11401" s="8" t="s">
        <v>22</v>
      </c>
      <c r="K11401" s="8" t="s">
        <v>224</v>
      </c>
      <c r="L11401" s="8" t="s">
        <v>18289</v>
      </c>
      <c r="M11401" s="8" t="s">
        <v>18290</v>
      </c>
      <c r="N11401" s="8" t="s">
        <v>48295</v>
      </c>
      <c r="O11401" s="8">
        <f>12+36/60+3.8/3600</f>
        <v>12.601055555555556</v>
      </c>
      <c r="P11401" s="8" t="s">
        <v>48296</v>
      </c>
      <c r="Q11401" s="8">
        <f>+(27+4/60+44/3600)</f>
        <v>27.078888888888887</v>
      </c>
      <c r="R11401" s="8">
        <v>16.100000000000001</v>
      </c>
      <c r="S11401" s="8">
        <v>17.100000000000001</v>
      </c>
      <c r="T11401" s="8">
        <v>1</v>
      </c>
      <c r="U11401" s="8">
        <v>13.9</v>
      </c>
      <c r="V11401" s="8">
        <v>0.5</v>
      </c>
      <c r="W11401" s="8">
        <v>0.3</v>
      </c>
      <c r="X11401" s="8">
        <v>70</v>
      </c>
      <c r="Y11401" s="8" t="s">
        <v>115</v>
      </c>
      <c r="Z11401" s="8" t="s">
        <v>116</v>
      </c>
    </row>
    <row r="11402" spans="1:26" x14ac:dyDescent="0.2">
      <c r="A11402" s="8">
        <v>11401</v>
      </c>
      <c r="B11402" s="8" t="s">
        <v>48297</v>
      </c>
      <c r="C11402" s="8" t="s">
        <v>48297</v>
      </c>
      <c r="G11402" s="8">
        <v>20</v>
      </c>
      <c r="H11402" s="8" t="s">
        <v>21</v>
      </c>
      <c r="I11402" s="8" t="s">
        <v>22</v>
      </c>
      <c r="J11402" s="8" t="s">
        <v>22</v>
      </c>
      <c r="K11402" s="8" t="s">
        <v>449</v>
      </c>
      <c r="L11402" s="8" t="s">
        <v>18289</v>
      </c>
      <c r="M11402" s="8" t="s">
        <v>18290</v>
      </c>
      <c r="N11402" s="8" t="s">
        <v>48298</v>
      </c>
      <c r="O11402" s="8">
        <f>12+36/60+4.7/3600</f>
        <v>12.601305555555555</v>
      </c>
      <c r="P11402" s="8" t="s">
        <v>48299</v>
      </c>
      <c r="Q11402" s="8">
        <f>+(26+54/60+0/3600)</f>
        <v>26.9</v>
      </c>
      <c r="R11402" s="8">
        <v>15.2</v>
      </c>
      <c r="S11402" s="8">
        <v>16</v>
      </c>
      <c r="T11402" s="8">
        <v>0.8</v>
      </c>
      <c r="U11402" s="8">
        <v>12.9</v>
      </c>
      <c r="V11402" s="8">
        <v>0.7</v>
      </c>
      <c r="W11402" s="8">
        <v>0.2</v>
      </c>
      <c r="X11402" s="8">
        <v>80</v>
      </c>
      <c r="Y11402" s="8" t="s">
        <v>48300</v>
      </c>
      <c r="Z11402" s="8" t="s">
        <v>48301</v>
      </c>
    </row>
    <row r="11403" spans="1:26" x14ac:dyDescent="0.2">
      <c r="A11403" s="8">
        <v>11402</v>
      </c>
      <c r="B11403" s="8" t="s">
        <v>48302</v>
      </c>
      <c r="C11403" s="8" t="s">
        <v>48302</v>
      </c>
      <c r="G11403" s="8">
        <v>20</v>
      </c>
      <c r="H11403" s="8" t="s">
        <v>21</v>
      </c>
      <c r="I11403" s="8" t="s">
        <v>22</v>
      </c>
      <c r="J11403" s="8" t="s">
        <v>22</v>
      </c>
      <c r="K11403" s="8" t="s">
        <v>4219</v>
      </c>
      <c r="L11403" s="8" t="s">
        <v>17287</v>
      </c>
      <c r="M11403" s="8" t="s">
        <v>17288</v>
      </c>
      <c r="N11403" s="8" t="s">
        <v>48303</v>
      </c>
      <c r="O11403" s="8">
        <f>12+36/60+10.7/3600</f>
        <v>12.602972222222222</v>
      </c>
      <c r="P11403" s="8" t="s">
        <v>48304</v>
      </c>
      <c r="Q11403" s="8">
        <f>+(9+55/60+22/3600)</f>
        <v>9.9227777777777764</v>
      </c>
      <c r="R11403" s="8">
        <v>14.7</v>
      </c>
      <c r="S11403" s="8">
        <v>15.3</v>
      </c>
      <c r="T11403" s="8">
        <v>0.6</v>
      </c>
      <c r="U11403" s="8">
        <v>13</v>
      </c>
      <c r="V11403" s="8">
        <v>0.8</v>
      </c>
      <c r="W11403" s="8">
        <v>0.3</v>
      </c>
      <c r="X11403" s="8">
        <v>40</v>
      </c>
      <c r="Y11403" s="8" t="s">
        <v>48305</v>
      </c>
      <c r="Z11403" s="8" t="s">
        <v>48306</v>
      </c>
    </row>
    <row r="11404" spans="1:26" x14ac:dyDescent="0.2">
      <c r="A11404" s="8">
        <v>11403</v>
      </c>
      <c r="B11404" s="8" t="s">
        <v>48307</v>
      </c>
      <c r="C11404" s="8" t="s">
        <v>48307</v>
      </c>
      <c r="G11404" s="8">
        <v>20</v>
      </c>
      <c r="H11404" s="8" t="s">
        <v>21</v>
      </c>
      <c r="I11404" s="8" t="s">
        <v>1075</v>
      </c>
      <c r="J11404" s="8" t="s">
        <v>1075</v>
      </c>
      <c r="K11404" s="8" t="s">
        <v>1075</v>
      </c>
      <c r="L11404" s="8" t="s">
        <v>18289</v>
      </c>
      <c r="M11404" s="8" t="s">
        <v>18290</v>
      </c>
      <c r="N11404" s="8" t="s">
        <v>48308</v>
      </c>
      <c r="O11404" s="8">
        <f>12+36/60+7.1/3600</f>
        <v>12.601972222222221</v>
      </c>
      <c r="P11404" s="8" t="s">
        <v>48309</v>
      </c>
      <c r="Q11404" s="8">
        <f>+(27+55/60+36/3600)</f>
        <v>27.926666666666669</v>
      </c>
      <c r="R11404" s="8">
        <v>15.2</v>
      </c>
      <c r="S11404" s="8">
        <v>99</v>
      </c>
      <c r="T11404" s="8">
        <v>99</v>
      </c>
      <c r="U11404" s="8">
        <v>99</v>
      </c>
      <c r="V11404" s="8">
        <v>0.5</v>
      </c>
      <c r="Y11404" s="8" t="s">
        <v>21</v>
      </c>
      <c r="Z11404" s="8" t="s">
        <v>48262</v>
      </c>
    </row>
    <row r="11405" spans="1:26" x14ac:dyDescent="0.2">
      <c r="A11405" s="8">
        <v>11404</v>
      </c>
      <c r="B11405" s="8" t="s">
        <v>48310</v>
      </c>
      <c r="C11405" s="8" t="s">
        <v>48310</v>
      </c>
      <c r="G11405" s="8">
        <v>20</v>
      </c>
      <c r="H11405" s="8" t="s">
        <v>21</v>
      </c>
      <c r="I11405" s="8" t="s">
        <v>1075</v>
      </c>
      <c r="J11405" s="8" t="s">
        <v>1075</v>
      </c>
      <c r="K11405" s="8" t="s">
        <v>1075</v>
      </c>
      <c r="L11405" s="8" t="s">
        <v>18289</v>
      </c>
      <c r="M11405" s="8" t="s">
        <v>18290</v>
      </c>
      <c r="N11405" s="8" t="s">
        <v>48311</v>
      </c>
      <c r="O11405" s="8">
        <f>12+36/60+8/3600</f>
        <v>12.602222222222222</v>
      </c>
      <c r="P11405" s="8" t="s">
        <v>48312</v>
      </c>
      <c r="Q11405" s="8">
        <f>+(27+55/60+40/3600)</f>
        <v>27.927777777777781</v>
      </c>
      <c r="R11405" s="8">
        <v>99</v>
      </c>
      <c r="S11405" s="8">
        <v>99</v>
      </c>
      <c r="T11405" s="8">
        <v>99</v>
      </c>
      <c r="U11405" s="8">
        <v>99</v>
      </c>
      <c r="Y11405" s="8" t="s">
        <v>21</v>
      </c>
      <c r="Z11405" s="8" t="s">
        <v>48262</v>
      </c>
    </row>
    <row r="11406" spans="1:26" x14ac:dyDescent="0.2">
      <c r="A11406" s="8">
        <v>11405</v>
      </c>
      <c r="B11406" s="8" t="s">
        <v>48313</v>
      </c>
      <c r="C11406" s="8" t="s">
        <v>48313</v>
      </c>
      <c r="G11406" s="8">
        <v>20</v>
      </c>
      <c r="H11406" s="8" t="s">
        <v>21</v>
      </c>
      <c r="I11406" s="8" t="s">
        <v>22</v>
      </c>
      <c r="J11406" s="8" t="s">
        <v>22</v>
      </c>
      <c r="K11406" s="8" t="s">
        <v>460</v>
      </c>
      <c r="L11406" s="8" t="s">
        <v>18289</v>
      </c>
      <c r="M11406" s="8" t="s">
        <v>18290</v>
      </c>
      <c r="N11406" s="8" t="s">
        <v>48314</v>
      </c>
      <c r="O11406" s="8">
        <f>12+36/60+12.3/3600</f>
        <v>12.603416666666666</v>
      </c>
      <c r="P11406" s="8" t="s">
        <v>48315</v>
      </c>
      <c r="Q11406" s="8">
        <f>+(26+45/60+22/3600)</f>
        <v>26.75611111111111</v>
      </c>
      <c r="R11406" s="8">
        <v>15.5</v>
      </c>
      <c r="S11406" s="8">
        <v>16.5</v>
      </c>
      <c r="T11406" s="8">
        <v>1</v>
      </c>
      <c r="U11406" s="8">
        <v>13</v>
      </c>
      <c r="V11406" s="8">
        <v>0.3</v>
      </c>
      <c r="W11406" s="8">
        <v>0.3</v>
      </c>
      <c r="Y11406" s="8" t="s">
        <v>21</v>
      </c>
      <c r="Z11406" s="8" t="s">
        <v>48316</v>
      </c>
    </row>
    <row r="11407" spans="1:26" x14ac:dyDescent="0.2">
      <c r="A11407" s="8">
        <v>11406</v>
      </c>
      <c r="B11407" s="8" t="s">
        <v>48317</v>
      </c>
      <c r="C11407" s="8" t="s">
        <v>48317</v>
      </c>
      <c r="G11407" s="8">
        <v>20</v>
      </c>
      <c r="H11407" s="8" t="s">
        <v>21</v>
      </c>
      <c r="I11407" s="8" t="s">
        <v>329</v>
      </c>
      <c r="J11407" s="8" t="s">
        <v>329</v>
      </c>
      <c r="K11407" s="8" t="s">
        <v>329</v>
      </c>
      <c r="L11407" s="8" t="s">
        <v>17287</v>
      </c>
      <c r="M11407" s="8" t="s">
        <v>17288</v>
      </c>
      <c r="N11407" s="8" t="s">
        <v>48318</v>
      </c>
      <c r="O11407" s="8">
        <f>12+36/60+22/3600</f>
        <v>12.60611111111111</v>
      </c>
      <c r="P11407" s="8" t="s">
        <v>48319</v>
      </c>
      <c r="Q11407" s="8">
        <f>+(11+9/60+54/3600)</f>
        <v>11.165000000000001</v>
      </c>
      <c r="R11407" s="8">
        <v>99</v>
      </c>
      <c r="S11407" s="8">
        <v>99</v>
      </c>
      <c r="T11407" s="8">
        <v>99</v>
      </c>
      <c r="U11407" s="8">
        <v>99</v>
      </c>
      <c r="Y11407" s="8" t="s">
        <v>48320</v>
      </c>
      <c r="Z11407" s="8" t="s">
        <v>48321</v>
      </c>
    </row>
    <row r="11408" spans="1:26" x14ac:dyDescent="0.2">
      <c r="A11408" s="8">
        <v>11407</v>
      </c>
      <c r="B11408" s="8" t="s">
        <v>48322</v>
      </c>
      <c r="C11408" s="8" t="s">
        <v>48322</v>
      </c>
      <c r="G11408" s="8">
        <v>20</v>
      </c>
      <c r="H11408" s="8" t="s">
        <v>21</v>
      </c>
      <c r="I11408" s="8" t="s">
        <v>22</v>
      </c>
      <c r="J11408" s="8" t="s">
        <v>22</v>
      </c>
      <c r="K11408" s="8" t="s">
        <v>396</v>
      </c>
      <c r="L11408" s="8" t="s">
        <v>18289</v>
      </c>
      <c r="M11408" s="8" t="s">
        <v>18290</v>
      </c>
      <c r="N11408" s="8" t="s">
        <v>48323</v>
      </c>
      <c r="O11408" s="8">
        <f>12+36/60+22.6/3600</f>
        <v>12.606277777777777</v>
      </c>
      <c r="P11408" s="8" t="s">
        <v>48324</v>
      </c>
      <c r="Q11408" s="8">
        <f>+(13+36/60+11/3600)</f>
        <v>13.603055555555555</v>
      </c>
      <c r="R11408" s="8">
        <v>14.2</v>
      </c>
      <c r="S11408" s="8">
        <v>15</v>
      </c>
      <c r="T11408" s="8">
        <v>0.8</v>
      </c>
      <c r="U11408" s="8">
        <v>13.4</v>
      </c>
      <c r="V11408" s="8">
        <v>0.8</v>
      </c>
      <c r="W11408" s="8">
        <v>0.7</v>
      </c>
      <c r="Y11408" s="8" t="s">
        <v>3952</v>
      </c>
      <c r="Z11408" s="8" t="s">
        <v>3953</v>
      </c>
    </row>
    <row r="11409" spans="1:26" x14ac:dyDescent="0.2">
      <c r="A11409" s="8">
        <v>11408</v>
      </c>
      <c r="B11409" s="8" t="s">
        <v>48325</v>
      </c>
      <c r="C11409" s="8" t="s">
        <v>48325</v>
      </c>
      <c r="G11409" s="8">
        <v>5</v>
      </c>
      <c r="H11409" s="8" t="s">
        <v>48326</v>
      </c>
      <c r="I11409" s="8" t="s">
        <v>241</v>
      </c>
      <c r="J11409" s="8" t="s">
        <v>241</v>
      </c>
      <c r="K11409" s="8" t="s">
        <v>241</v>
      </c>
      <c r="L11409" s="8" t="s">
        <v>6823</v>
      </c>
      <c r="M11409" s="8" t="s">
        <v>6824</v>
      </c>
      <c r="N11409" s="8" t="s">
        <v>48327</v>
      </c>
      <c r="O11409" s="8">
        <f>12+33/60+6.9/3600</f>
        <v>12.551916666666667</v>
      </c>
      <c r="P11409" s="8" t="s">
        <v>48328</v>
      </c>
      <c r="Q11409" s="8">
        <f>+(82+33/60+51/3600)</f>
        <v>82.564166666666665</v>
      </c>
      <c r="R11409" s="8">
        <v>10.6</v>
      </c>
      <c r="S11409" s="8">
        <v>11.6</v>
      </c>
      <c r="T11409" s="8">
        <v>99</v>
      </c>
      <c r="U11409" s="8">
        <v>99</v>
      </c>
      <c r="V11409" s="8">
        <v>0.17</v>
      </c>
      <c r="Y11409" s="8" t="s">
        <v>48329</v>
      </c>
      <c r="Z11409" s="8" t="s">
        <v>48330</v>
      </c>
    </row>
    <row r="11410" spans="1:26" x14ac:dyDescent="0.2">
      <c r="A11410" s="8">
        <v>11409</v>
      </c>
      <c r="B11410" s="8" t="s">
        <v>48331</v>
      </c>
      <c r="C11410" s="8" t="s">
        <v>48331</v>
      </c>
      <c r="G11410" s="8">
        <v>20</v>
      </c>
      <c r="H11410" s="8" t="s">
        <v>21</v>
      </c>
      <c r="I11410" s="8" t="s">
        <v>22</v>
      </c>
      <c r="J11410" s="8" t="s">
        <v>57</v>
      </c>
      <c r="K11410" s="8" t="s">
        <v>1277</v>
      </c>
      <c r="L11410" s="8" t="s">
        <v>18289</v>
      </c>
      <c r="M11410" s="8" t="s">
        <v>18290</v>
      </c>
      <c r="N11410" s="8" t="s">
        <v>20611</v>
      </c>
      <c r="O11410" s="8">
        <f>12+36/60+8.1/3600</f>
        <v>12.60225</v>
      </c>
      <c r="P11410" s="8" t="s">
        <v>20612</v>
      </c>
      <c r="Q11410" s="8">
        <f>+(19+19/60+18/3600)</f>
        <v>19.321666666666665</v>
      </c>
      <c r="R11410" s="8">
        <v>12.5</v>
      </c>
      <c r="S11410" s="8">
        <v>12.9</v>
      </c>
      <c r="T11410" s="8">
        <v>0.4</v>
      </c>
      <c r="U11410" s="8">
        <v>13</v>
      </c>
      <c r="V11410" s="8">
        <v>1.5</v>
      </c>
      <c r="W11410" s="8">
        <v>1.3</v>
      </c>
      <c r="X11410" s="8">
        <v>30</v>
      </c>
      <c r="Y11410" s="8" t="s">
        <v>48332</v>
      </c>
      <c r="Z11410" s="8" t="s">
        <v>48333</v>
      </c>
    </row>
    <row r="11411" spans="1:26" x14ac:dyDescent="0.2">
      <c r="A11411" s="8">
        <v>11410</v>
      </c>
      <c r="B11411" s="8" t="s">
        <v>48334</v>
      </c>
      <c r="C11411" s="8" t="s">
        <v>48334</v>
      </c>
      <c r="G11411" s="8">
        <v>20</v>
      </c>
      <c r="H11411" s="8" t="s">
        <v>21</v>
      </c>
      <c r="I11411" s="8" t="s">
        <v>72</v>
      </c>
      <c r="J11411" s="8" t="s">
        <v>72</v>
      </c>
      <c r="K11411" s="8" t="s">
        <v>20</v>
      </c>
      <c r="L11411" s="8" t="s">
        <v>18289</v>
      </c>
      <c r="M11411" s="8" t="s">
        <v>18290</v>
      </c>
      <c r="N11411" s="8" t="s">
        <v>48335</v>
      </c>
      <c r="O11411" s="8">
        <f>12+36/60+18.2/3600</f>
        <v>12.605055555555555</v>
      </c>
      <c r="P11411" s="8" t="s">
        <v>48336</v>
      </c>
      <c r="Q11411" s="8">
        <f>+(24+4/60+42/3600)</f>
        <v>24.078333333333333</v>
      </c>
      <c r="R11411" s="8">
        <v>99</v>
      </c>
      <c r="S11411" s="8">
        <v>99</v>
      </c>
      <c r="T11411" s="8">
        <v>99</v>
      </c>
      <c r="U11411" s="8">
        <v>99</v>
      </c>
      <c r="Y11411" s="8" t="s">
        <v>48337</v>
      </c>
      <c r="Z11411" s="8" t="s">
        <v>48338</v>
      </c>
    </row>
    <row r="11412" spans="1:26" x14ac:dyDescent="0.2">
      <c r="A11412" s="8">
        <v>11411</v>
      </c>
      <c r="B11412" s="8" t="s">
        <v>48339</v>
      </c>
      <c r="C11412" s="8" t="s">
        <v>48339</v>
      </c>
      <c r="G11412" s="8">
        <v>20</v>
      </c>
      <c r="H11412" s="8" t="s">
        <v>21</v>
      </c>
      <c r="I11412" s="8" t="s">
        <v>22</v>
      </c>
      <c r="J11412" s="8" t="s">
        <v>22</v>
      </c>
      <c r="K11412" s="8" t="s">
        <v>4219</v>
      </c>
      <c r="L11412" s="8" t="s">
        <v>18289</v>
      </c>
      <c r="M11412" s="8" t="s">
        <v>18290</v>
      </c>
      <c r="N11412" s="8" t="s">
        <v>48340</v>
      </c>
      <c r="O11412" s="8">
        <f>12+36/60+19.9/3600</f>
        <v>12.605527777777777</v>
      </c>
      <c r="P11412" s="8" t="s">
        <v>48341</v>
      </c>
      <c r="Q11412" s="8">
        <f>+(26+5/60+3/3600)</f>
        <v>26.084166666666665</v>
      </c>
      <c r="R11412" s="8">
        <v>16.899999999999999</v>
      </c>
      <c r="S11412" s="8">
        <v>17.5</v>
      </c>
      <c r="T11412" s="8">
        <v>0.6</v>
      </c>
      <c r="U11412" s="8">
        <v>14.1</v>
      </c>
      <c r="V11412" s="8">
        <v>0.3</v>
      </c>
      <c r="W11412" s="8">
        <v>0.3</v>
      </c>
      <c r="Y11412" s="8" t="s">
        <v>48342</v>
      </c>
      <c r="Z11412" s="8" t="s">
        <v>48343</v>
      </c>
    </row>
    <row r="11413" spans="1:26" x14ac:dyDescent="0.2">
      <c r="A11413" s="8">
        <v>11412</v>
      </c>
      <c r="B11413" s="8" t="s">
        <v>48344</v>
      </c>
      <c r="C11413" s="8" t="s">
        <v>48344</v>
      </c>
      <c r="G11413" s="8">
        <v>20</v>
      </c>
      <c r="H11413" s="8" t="s">
        <v>21</v>
      </c>
      <c r="I11413" s="8" t="s">
        <v>72</v>
      </c>
      <c r="J11413" s="8" t="s">
        <v>72</v>
      </c>
      <c r="K11413" s="8" t="s">
        <v>73</v>
      </c>
      <c r="L11413" s="8" t="s">
        <v>17287</v>
      </c>
      <c r="M11413" s="8" t="s">
        <v>17288</v>
      </c>
      <c r="N11413" s="8" t="s">
        <v>48345</v>
      </c>
      <c r="O11413" s="8">
        <f>12+36/60+28.1/3600</f>
        <v>12.607805555555554</v>
      </c>
      <c r="P11413" s="8" t="s">
        <v>48346</v>
      </c>
      <c r="Q11413" s="8">
        <f>+(11+37/60+8/3600)</f>
        <v>11.61888888888889</v>
      </c>
      <c r="R11413" s="8">
        <v>99</v>
      </c>
      <c r="S11413" s="8">
        <v>99</v>
      </c>
      <c r="T11413" s="8">
        <v>99</v>
      </c>
      <c r="U11413" s="8">
        <v>99</v>
      </c>
      <c r="Y11413" s="8" t="s">
        <v>47495</v>
      </c>
      <c r="Z11413" s="8" t="s">
        <v>47496</v>
      </c>
    </row>
    <row r="11414" spans="1:26" x14ac:dyDescent="0.2">
      <c r="A11414" s="8">
        <v>11413</v>
      </c>
      <c r="B11414" s="8" t="s">
        <v>48347</v>
      </c>
      <c r="C11414" s="8" t="s">
        <v>48347</v>
      </c>
      <c r="G11414" s="8">
        <v>20</v>
      </c>
      <c r="H11414" s="8" t="s">
        <v>21</v>
      </c>
      <c r="I11414" s="8" t="s">
        <v>22</v>
      </c>
      <c r="J11414" s="8" t="s">
        <v>22</v>
      </c>
      <c r="K11414" s="8" t="s">
        <v>449</v>
      </c>
      <c r="L11414" s="8" t="s">
        <v>17287</v>
      </c>
      <c r="M11414" s="8" t="s">
        <v>17288</v>
      </c>
      <c r="N11414" s="8" t="s">
        <v>48348</v>
      </c>
      <c r="O11414" s="8">
        <f>12+36/60+27.1/3600</f>
        <v>12.607527777777777</v>
      </c>
      <c r="P11414" s="8" t="s">
        <v>48349</v>
      </c>
      <c r="Q11414" s="8">
        <f>+(11+45/60+35/3600)</f>
        <v>11.759722222222223</v>
      </c>
      <c r="R11414" s="8">
        <v>15.9</v>
      </c>
      <c r="S11414" s="8">
        <v>16.7</v>
      </c>
      <c r="T11414" s="8">
        <v>0.8</v>
      </c>
      <c r="U11414" s="8">
        <v>13.4</v>
      </c>
      <c r="V11414" s="8">
        <v>0.4</v>
      </c>
      <c r="W11414" s="8">
        <v>0.3</v>
      </c>
      <c r="X11414" s="8">
        <v>140</v>
      </c>
      <c r="Y11414" s="8" t="s">
        <v>2181</v>
      </c>
      <c r="Z11414" s="8" t="s">
        <v>2182</v>
      </c>
    </row>
    <row r="11415" spans="1:26" x14ac:dyDescent="0.2">
      <c r="A11415" s="8">
        <v>11414</v>
      </c>
      <c r="B11415" s="8" t="s">
        <v>48350</v>
      </c>
      <c r="C11415" s="8" t="s">
        <v>48350</v>
      </c>
      <c r="G11415" s="8">
        <v>20</v>
      </c>
      <c r="H11415" s="8" t="s">
        <v>21</v>
      </c>
      <c r="I11415" s="8" t="s">
        <v>22</v>
      </c>
      <c r="J11415" s="8" t="s">
        <v>22</v>
      </c>
      <c r="K11415" s="8" t="s">
        <v>818</v>
      </c>
      <c r="L11415" s="8" t="s">
        <v>17287</v>
      </c>
      <c r="M11415" s="8" t="s">
        <v>17288</v>
      </c>
      <c r="N11415" s="8" t="s">
        <v>48351</v>
      </c>
      <c r="O11415" s="8">
        <f>12+36/60+27.7/3600</f>
        <v>12.607694444444444</v>
      </c>
      <c r="P11415" s="8" t="s">
        <v>48352</v>
      </c>
      <c r="Q11415" s="8">
        <f>+(12+24/60+20/3600)</f>
        <v>12.405555555555557</v>
      </c>
      <c r="R11415" s="8">
        <v>14.3</v>
      </c>
      <c r="S11415" s="8">
        <v>15.3</v>
      </c>
      <c r="T11415" s="8">
        <v>1</v>
      </c>
      <c r="U11415" s="8">
        <v>12.8</v>
      </c>
      <c r="V11415" s="8">
        <v>0.6</v>
      </c>
      <c r="W11415" s="8">
        <v>0.4</v>
      </c>
      <c r="X11415" s="8">
        <v>115</v>
      </c>
      <c r="Y11415" s="8" t="s">
        <v>47455</v>
      </c>
      <c r="Z11415" s="8" t="s">
        <v>47456</v>
      </c>
    </row>
    <row r="11416" spans="1:26" x14ac:dyDescent="0.2">
      <c r="A11416" s="8">
        <v>11415</v>
      </c>
      <c r="B11416" s="8" t="s">
        <v>48353</v>
      </c>
      <c r="C11416" s="8" t="s">
        <v>48353</v>
      </c>
      <c r="G11416" s="8">
        <v>20</v>
      </c>
      <c r="H11416" s="8" t="s">
        <v>21</v>
      </c>
      <c r="I11416" s="8" t="s">
        <v>22</v>
      </c>
      <c r="J11416" s="8" t="s">
        <v>22</v>
      </c>
      <c r="K11416" s="8" t="s">
        <v>818</v>
      </c>
      <c r="L11416" s="8" t="s">
        <v>18289</v>
      </c>
      <c r="M11416" s="8" t="s">
        <v>18290</v>
      </c>
      <c r="N11416" s="8" t="s">
        <v>48354</v>
      </c>
      <c r="O11416" s="8">
        <f>12+36/60+32.4/3600</f>
        <v>12.609</v>
      </c>
      <c r="P11416" s="8" t="s">
        <v>48355</v>
      </c>
      <c r="Q11416" s="8">
        <f>+(13+44/60+50/3600)</f>
        <v>13.747222222222222</v>
      </c>
      <c r="R11416" s="8">
        <v>16.3</v>
      </c>
      <c r="S11416" s="8">
        <v>17.3</v>
      </c>
      <c r="T11416" s="8">
        <v>1</v>
      </c>
      <c r="U11416" s="8">
        <v>14.8</v>
      </c>
      <c r="V11416" s="8">
        <v>0.6</v>
      </c>
      <c r="W11416" s="8">
        <v>0.4</v>
      </c>
      <c r="X11416" s="8">
        <v>0</v>
      </c>
      <c r="Y11416" s="8" t="s">
        <v>421</v>
      </c>
      <c r="Z11416" s="8" t="s">
        <v>422</v>
      </c>
    </row>
    <row r="11417" spans="1:26" x14ac:dyDescent="0.2">
      <c r="A11417" s="8">
        <v>11416</v>
      </c>
      <c r="B11417" s="8" t="s">
        <v>48356</v>
      </c>
      <c r="C11417" s="8" t="s">
        <v>48356</v>
      </c>
      <c r="G11417" s="8">
        <v>20</v>
      </c>
      <c r="H11417" s="8" t="s">
        <v>21</v>
      </c>
      <c r="I11417" s="8" t="s">
        <v>22</v>
      </c>
      <c r="J11417" s="8" t="s">
        <v>22</v>
      </c>
      <c r="K11417" s="8" t="s">
        <v>4103</v>
      </c>
      <c r="L11417" s="8" t="s">
        <v>17287</v>
      </c>
      <c r="M11417" s="8" t="s">
        <v>17288</v>
      </c>
      <c r="N11417" s="8" t="s">
        <v>48357</v>
      </c>
      <c r="O11417" s="8">
        <f>12+36/60+37.8/3600</f>
        <v>12.6105</v>
      </c>
      <c r="P11417" s="8" t="s">
        <v>48358</v>
      </c>
      <c r="Q11417" s="8">
        <f>+(6+37/60+17/3600)</f>
        <v>6.6213888888888892</v>
      </c>
      <c r="R11417" s="8">
        <v>13.5</v>
      </c>
      <c r="S11417" s="8">
        <v>14</v>
      </c>
      <c r="T11417" s="8">
        <v>0.5</v>
      </c>
      <c r="U11417" s="8">
        <v>15.1</v>
      </c>
      <c r="V11417" s="8">
        <v>2.2999999999999998</v>
      </c>
      <c r="W11417" s="8">
        <v>2.1</v>
      </c>
      <c r="X11417" s="8">
        <v>30</v>
      </c>
      <c r="Y11417" s="8" t="s">
        <v>40926</v>
      </c>
      <c r="Z11417" s="8" t="s">
        <v>40927</v>
      </c>
    </row>
    <row r="11418" spans="1:26" x14ac:dyDescent="0.2">
      <c r="A11418" s="8">
        <v>11417</v>
      </c>
      <c r="B11418" s="8" t="s">
        <v>48359</v>
      </c>
      <c r="C11418" s="8" t="s">
        <v>48359</v>
      </c>
      <c r="G11418" s="8">
        <v>20</v>
      </c>
      <c r="H11418" s="8" t="s">
        <v>21</v>
      </c>
      <c r="I11418" s="8" t="s">
        <v>72</v>
      </c>
      <c r="J11418" s="8" t="s">
        <v>72</v>
      </c>
      <c r="K11418" s="8" t="s">
        <v>20</v>
      </c>
      <c r="L11418" s="8" t="s">
        <v>17287</v>
      </c>
      <c r="M11418" s="8" t="s">
        <v>17288</v>
      </c>
      <c r="N11418" s="8" t="s">
        <v>48360</v>
      </c>
      <c r="O11418" s="8">
        <f>12+36/60+26.3/3600</f>
        <v>12.607305555555556</v>
      </c>
      <c r="P11418" s="8" t="s">
        <v>48361</v>
      </c>
      <c r="Q11418" s="8">
        <f>+(11+53/60+49/3600)</f>
        <v>11.896944444444443</v>
      </c>
      <c r="R11418" s="8">
        <v>99</v>
      </c>
      <c r="S11418" s="8">
        <v>99</v>
      </c>
      <c r="T11418" s="8">
        <v>99</v>
      </c>
      <c r="U11418" s="8">
        <v>99</v>
      </c>
      <c r="Y11418" s="8" t="s">
        <v>48362</v>
      </c>
      <c r="Z11418" s="8" t="s">
        <v>48363</v>
      </c>
    </row>
    <row r="11419" spans="1:26" x14ac:dyDescent="0.2">
      <c r="A11419" s="8">
        <v>11418</v>
      </c>
      <c r="B11419" s="8" t="s">
        <v>48364</v>
      </c>
      <c r="C11419" s="8" t="s">
        <v>48364</v>
      </c>
      <c r="G11419" s="8">
        <v>20</v>
      </c>
      <c r="H11419" s="8" t="s">
        <v>21</v>
      </c>
      <c r="I11419" s="8" t="s">
        <v>22</v>
      </c>
      <c r="J11419" s="8" t="s">
        <v>22</v>
      </c>
      <c r="K11419" s="8" t="s">
        <v>160</v>
      </c>
      <c r="L11419" s="8" t="s">
        <v>17287</v>
      </c>
      <c r="M11419" s="8" t="s">
        <v>17288</v>
      </c>
      <c r="N11419" s="8" t="s">
        <v>48365</v>
      </c>
      <c r="O11419" s="8">
        <f>12+36/60+39.5/3600</f>
        <v>12.610972222222221</v>
      </c>
      <c r="P11419" s="8" t="s">
        <v>48366</v>
      </c>
      <c r="Q11419" s="8">
        <f>+(11+6/60+5/3600)</f>
        <v>11.101388888888888</v>
      </c>
      <c r="R11419" s="8">
        <v>14.4</v>
      </c>
      <c r="S11419" s="8">
        <v>15.1</v>
      </c>
      <c r="T11419" s="8">
        <v>0.7</v>
      </c>
      <c r="U11419" s="8">
        <v>12.8</v>
      </c>
      <c r="V11419" s="8">
        <v>0.9</v>
      </c>
      <c r="W11419" s="8">
        <v>0.3</v>
      </c>
      <c r="X11419" s="8">
        <v>135</v>
      </c>
      <c r="Y11419" s="8" t="s">
        <v>48367</v>
      </c>
      <c r="Z11419" s="8" t="s">
        <v>48368</v>
      </c>
    </row>
    <row r="11420" spans="1:26" x14ac:dyDescent="0.2">
      <c r="A11420" s="8">
        <v>11419</v>
      </c>
      <c r="B11420" s="8" t="s">
        <v>48369</v>
      </c>
      <c r="C11420" s="8" t="s">
        <v>48369</v>
      </c>
      <c r="G11420" s="8">
        <v>20</v>
      </c>
      <c r="H11420" s="8" t="s">
        <v>21</v>
      </c>
      <c r="I11420" s="8" t="s">
        <v>72</v>
      </c>
      <c r="J11420" s="8" t="s">
        <v>72</v>
      </c>
      <c r="K11420" s="8" t="s">
        <v>20</v>
      </c>
      <c r="L11420" s="8" t="s">
        <v>18289</v>
      </c>
      <c r="M11420" s="8" t="s">
        <v>18290</v>
      </c>
      <c r="N11420" s="8" t="s">
        <v>48370</v>
      </c>
      <c r="O11420" s="8">
        <f>12+36/60+32.8/3600</f>
        <v>12.60911111111111</v>
      </c>
      <c r="P11420" s="8" t="s">
        <v>48371</v>
      </c>
      <c r="Q11420" s="8">
        <f>+(26+6/60+15/3600)</f>
        <v>26.104166666666668</v>
      </c>
      <c r="R11420" s="8">
        <v>99</v>
      </c>
      <c r="S11420" s="8">
        <v>99</v>
      </c>
      <c r="T11420" s="8">
        <v>99</v>
      </c>
      <c r="U11420" s="8">
        <v>99</v>
      </c>
      <c r="Y11420" s="8" t="s">
        <v>48342</v>
      </c>
      <c r="Z11420" s="8" t="s">
        <v>48343</v>
      </c>
    </row>
    <row r="11421" spans="1:26" x14ac:dyDescent="0.2">
      <c r="A11421" s="8">
        <v>11420</v>
      </c>
      <c r="B11421" s="8" t="s">
        <v>48372</v>
      </c>
      <c r="C11421" s="8" t="s">
        <v>48372</v>
      </c>
      <c r="G11421" s="8">
        <v>20</v>
      </c>
      <c r="H11421" s="8" t="s">
        <v>21</v>
      </c>
      <c r="I11421" s="8" t="s">
        <v>22</v>
      </c>
      <c r="J11421" s="8" t="s">
        <v>22</v>
      </c>
      <c r="K11421" s="8" t="s">
        <v>460</v>
      </c>
      <c r="L11421" s="8" t="s">
        <v>18289</v>
      </c>
      <c r="M11421" s="8" t="s">
        <v>18290</v>
      </c>
      <c r="N11421" s="8" t="s">
        <v>48373</v>
      </c>
      <c r="O11421" s="8">
        <f>12+36/60+29.2/3600</f>
        <v>12.608111111111111</v>
      </c>
      <c r="P11421" s="8" t="s">
        <v>48374</v>
      </c>
      <c r="Q11421" s="8">
        <f>+(18+17/60+59/3600)</f>
        <v>18.299722222222226</v>
      </c>
      <c r="R11421" s="8">
        <v>16</v>
      </c>
      <c r="S11421" s="8">
        <v>17</v>
      </c>
      <c r="T11421" s="8">
        <v>1</v>
      </c>
      <c r="U11421" s="8">
        <v>12.6</v>
      </c>
      <c r="V11421" s="8">
        <v>0.2</v>
      </c>
      <c r="W11421" s="8">
        <v>0.2</v>
      </c>
      <c r="Y11421" s="8" t="s">
        <v>2181</v>
      </c>
      <c r="Z11421" s="8" t="s">
        <v>2182</v>
      </c>
    </row>
    <row r="11422" spans="1:26" x14ac:dyDescent="0.2">
      <c r="A11422" s="8">
        <v>11421</v>
      </c>
      <c r="B11422" s="8" t="s">
        <v>48375</v>
      </c>
      <c r="C11422" s="8" t="s">
        <v>48375</v>
      </c>
      <c r="G11422" s="8">
        <v>20</v>
      </c>
      <c r="H11422" s="8" t="s">
        <v>21</v>
      </c>
      <c r="I11422" s="8" t="s">
        <v>22</v>
      </c>
      <c r="J11422" s="8" t="s">
        <v>22</v>
      </c>
      <c r="K11422" s="8" t="s">
        <v>91</v>
      </c>
      <c r="L11422" s="8" t="s">
        <v>18289</v>
      </c>
      <c r="M11422" s="8" t="s">
        <v>18290</v>
      </c>
      <c r="N11422" s="8" t="s">
        <v>48376</v>
      </c>
      <c r="O11422" s="8">
        <f>12+36/60+38.1/3600</f>
        <v>12.610583333333333</v>
      </c>
      <c r="P11422" s="8" t="s">
        <v>48377</v>
      </c>
      <c r="Q11422" s="8">
        <f>+(24+25/60+44/3600)</f>
        <v>24.428888888888888</v>
      </c>
      <c r="R11422" s="8">
        <v>14.6</v>
      </c>
      <c r="S11422" s="8">
        <v>15.5</v>
      </c>
      <c r="T11422" s="8">
        <v>0.9</v>
      </c>
      <c r="U11422" s="8">
        <v>13.3</v>
      </c>
      <c r="V11422" s="8">
        <v>0.9</v>
      </c>
      <c r="W11422" s="8">
        <v>0.4</v>
      </c>
      <c r="X11422" s="8">
        <v>51</v>
      </c>
      <c r="Y11422" s="8" t="s">
        <v>48378</v>
      </c>
      <c r="Z11422" s="8" t="s">
        <v>48379</v>
      </c>
    </row>
    <row r="11423" spans="1:26" x14ac:dyDescent="0.2">
      <c r="A11423" s="8">
        <v>11422</v>
      </c>
      <c r="B11423" s="8" t="s">
        <v>48380</v>
      </c>
      <c r="C11423" s="8" t="s">
        <v>48380</v>
      </c>
      <c r="G11423" s="8">
        <v>20</v>
      </c>
      <c r="H11423" s="8" t="s">
        <v>21</v>
      </c>
      <c r="I11423" s="8" t="s">
        <v>22</v>
      </c>
      <c r="J11423" s="8" t="s">
        <v>22</v>
      </c>
      <c r="K11423" s="8" t="s">
        <v>424</v>
      </c>
      <c r="L11423" s="8" t="s">
        <v>18289</v>
      </c>
      <c r="M11423" s="8" t="s">
        <v>18290</v>
      </c>
      <c r="N11423" s="8" t="s">
        <v>48381</v>
      </c>
      <c r="O11423" s="8">
        <f>12+36/60+36.9/3600</f>
        <v>12.610249999999999</v>
      </c>
      <c r="P11423" s="8" t="s">
        <v>48382</v>
      </c>
      <c r="Q11423" s="8">
        <f>+(26+14/60+5/3600)</f>
        <v>26.234722222222224</v>
      </c>
      <c r="R11423" s="8">
        <v>16.2</v>
      </c>
      <c r="S11423" s="8">
        <v>17.2</v>
      </c>
      <c r="T11423" s="8">
        <v>1</v>
      </c>
      <c r="U11423" s="8">
        <v>12.5</v>
      </c>
      <c r="V11423" s="8">
        <v>0.2</v>
      </c>
      <c r="W11423" s="8">
        <v>0.2</v>
      </c>
      <c r="Y11423" s="8" t="s">
        <v>48383</v>
      </c>
      <c r="Z11423" s="8" t="s">
        <v>48384</v>
      </c>
    </row>
    <row r="11424" spans="1:26" x14ac:dyDescent="0.2">
      <c r="A11424" s="8">
        <v>11423</v>
      </c>
      <c r="B11424" s="8" t="s">
        <v>48385</v>
      </c>
      <c r="C11424" s="8" t="s">
        <v>48385</v>
      </c>
      <c r="G11424" s="8">
        <v>20</v>
      </c>
      <c r="H11424" s="8" t="s">
        <v>21</v>
      </c>
      <c r="I11424" s="8" t="s">
        <v>22</v>
      </c>
      <c r="J11424" s="8" t="s">
        <v>22</v>
      </c>
      <c r="K11424" s="8" t="s">
        <v>107</v>
      </c>
      <c r="L11424" s="8" t="s">
        <v>17287</v>
      </c>
      <c r="M11424" s="8" t="s">
        <v>17288</v>
      </c>
      <c r="N11424" s="8" t="s">
        <v>48386</v>
      </c>
      <c r="O11424" s="8">
        <f>12+36/60+43.8/3600</f>
        <v>12.612166666666667</v>
      </c>
      <c r="P11424" s="8" t="s">
        <v>5236</v>
      </c>
      <c r="Q11424" s="8">
        <f>+(13+15/60+33/3600)</f>
        <v>13.259166666666667</v>
      </c>
      <c r="R11424" s="8">
        <v>13.3</v>
      </c>
      <c r="S11424" s="8">
        <v>13.9</v>
      </c>
      <c r="T11424" s="8">
        <v>0.6</v>
      </c>
      <c r="U11424" s="8">
        <v>14.1</v>
      </c>
      <c r="V11424" s="8">
        <v>2.2000000000000002</v>
      </c>
      <c r="W11424" s="8">
        <v>1.1000000000000001</v>
      </c>
      <c r="X11424" s="8">
        <v>0</v>
      </c>
      <c r="Y11424" s="8" t="s">
        <v>48387</v>
      </c>
      <c r="Z11424" s="8" t="s">
        <v>48388</v>
      </c>
    </row>
    <row r="11425" spans="1:26" x14ac:dyDescent="0.2">
      <c r="A11425" s="8">
        <v>11424</v>
      </c>
      <c r="B11425" s="8" t="s">
        <v>48389</v>
      </c>
      <c r="C11425" s="8" t="s">
        <v>48389</v>
      </c>
      <c r="G11425" s="8">
        <v>20</v>
      </c>
      <c r="H11425" s="8" t="s">
        <v>21</v>
      </c>
      <c r="I11425" s="8" t="s">
        <v>72</v>
      </c>
      <c r="J11425" s="8" t="s">
        <v>72</v>
      </c>
      <c r="K11425" s="8" t="s">
        <v>20</v>
      </c>
      <c r="L11425" s="8" t="s">
        <v>17287</v>
      </c>
      <c r="M11425" s="8" t="s">
        <v>17288</v>
      </c>
      <c r="N11425" s="8" t="s">
        <v>48390</v>
      </c>
      <c r="O11425" s="8">
        <f>12+36/60+45.2/3600</f>
        <v>12.612555555555556</v>
      </c>
      <c r="P11425" s="8" t="s">
        <v>48391</v>
      </c>
      <c r="Q11425" s="8">
        <f>+(12+13/60+58/3600)</f>
        <v>12.232777777777779</v>
      </c>
      <c r="R11425" s="8">
        <v>99</v>
      </c>
      <c r="S11425" s="8">
        <v>15</v>
      </c>
      <c r="T11425" s="8">
        <v>99</v>
      </c>
      <c r="U11425" s="8">
        <v>99</v>
      </c>
      <c r="Y11425" s="8" t="s">
        <v>48392</v>
      </c>
      <c r="Z11425" s="8" t="s">
        <v>47456</v>
      </c>
    </row>
    <row r="11426" spans="1:26" x14ac:dyDescent="0.2">
      <c r="A11426" s="8">
        <v>11425</v>
      </c>
      <c r="B11426" s="8" t="s">
        <v>48393</v>
      </c>
      <c r="C11426" s="8" t="s">
        <v>48393</v>
      </c>
      <c r="G11426" s="8">
        <v>20</v>
      </c>
      <c r="H11426" s="8" t="s">
        <v>21</v>
      </c>
      <c r="I11426" s="8" t="s">
        <v>22</v>
      </c>
      <c r="J11426" s="8" t="s">
        <v>22</v>
      </c>
      <c r="K11426" s="8" t="s">
        <v>37</v>
      </c>
      <c r="L11426" s="8" t="s">
        <v>18289</v>
      </c>
      <c r="M11426" s="8" t="s">
        <v>18290</v>
      </c>
      <c r="N11426" s="8" t="s">
        <v>48394</v>
      </c>
      <c r="O11426" s="8">
        <f>12+36/60+39.8/3600</f>
        <v>12.611055555555556</v>
      </c>
      <c r="P11426" s="8" t="s">
        <v>48395</v>
      </c>
      <c r="Q11426" s="8">
        <f>+(26+49/60+50/3600)</f>
        <v>26.830555555555556</v>
      </c>
      <c r="R11426" s="8">
        <v>13.4</v>
      </c>
      <c r="S11426" s="8">
        <v>14.4</v>
      </c>
      <c r="T11426" s="8">
        <v>1</v>
      </c>
      <c r="U11426" s="8">
        <v>13.2</v>
      </c>
      <c r="V11426" s="8">
        <v>1.1000000000000001</v>
      </c>
      <c r="W11426" s="8">
        <v>0.9</v>
      </c>
      <c r="X11426" s="8">
        <v>126</v>
      </c>
      <c r="Y11426" s="8" t="s">
        <v>48396</v>
      </c>
      <c r="Z11426" s="8" t="s">
        <v>48397</v>
      </c>
    </row>
    <row r="11427" spans="1:26" x14ac:dyDescent="0.2">
      <c r="A11427" s="8">
        <v>11426</v>
      </c>
      <c r="B11427" s="8" t="s">
        <v>48398</v>
      </c>
      <c r="C11427" s="8" t="s">
        <v>48398</v>
      </c>
      <c r="G11427" s="8">
        <v>20</v>
      </c>
      <c r="H11427" s="8" t="s">
        <v>21</v>
      </c>
      <c r="I11427" s="8" t="s">
        <v>22</v>
      </c>
      <c r="J11427" s="8" t="s">
        <v>22</v>
      </c>
      <c r="K11427" s="8" t="s">
        <v>37</v>
      </c>
      <c r="L11427" s="8" t="s">
        <v>17287</v>
      </c>
      <c r="M11427" s="8" t="s">
        <v>17288</v>
      </c>
      <c r="N11427" s="8" t="s">
        <v>48399</v>
      </c>
      <c r="O11427" s="8">
        <f>12+36/60+54.9/3600</f>
        <v>12.61525</v>
      </c>
      <c r="P11427" s="8" t="s">
        <v>48400</v>
      </c>
      <c r="Q11427" s="8">
        <f>+(12+31/60+13/3600)</f>
        <v>12.520277777777778</v>
      </c>
      <c r="R11427" s="8">
        <v>13.6</v>
      </c>
      <c r="S11427" s="8">
        <v>14.6</v>
      </c>
      <c r="T11427" s="8">
        <v>1</v>
      </c>
      <c r="U11427" s="8">
        <v>13.8</v>
      </c>
      <c r="V11427" s="8">
        <v>1.1000000000000001</v>
      </c>
      <c r="W11427" s="8">
        <v>1</v>
      </c>
      <c r="X11427" s="8">
        <v>90</v>
      </c>
      <c r="Y11427" s="8" t="s">
        <v>44249</v>
      </c>
      <c r="Z11427" s="8" t="s">
        <v>44250</v>
      </c>
    </row>
    <row r="11428" spans="1:26" x14ac:dyDescent="0.2">
      <c r="A11428" s="8">
        <v>11427</v>
      </c>
      <c r="B11428" s="8" t="s">
        <v>48401</v>
      </c>
      <c r="C11428" s="8" t="s">
        <v>48401</v>
      </c>
      <c r="G11428" s="8">
        <v>20</v>
      </c>
      <c r="H11428" s="8" t="s">
        <v>21</v>
      </c>
      <c r="I11428" s="8" t="s">
        <v>22</v>
      </c>
      <c r="J11428" s="8" t="s">
        <v>22</v>
      </c>
      <c r="K11428" s="8" t="s">
        <v>160</v>
      </c>
      <c r="L11428" s="8" t="s">
        <v>18289</v>
      </c>
      <c r="M11428" s="8" t="s">
        <v>18290</v>
      </c>
      <c r="N11428" s="8" t="s">
        <v>48402</v>
      </c>
      <c r="O11428" s="8">
        <f>12+36/60+48.3/3600</f>
        <v>12.613416666666666</v>
      </c>
      <c r="P11428" s="8" t="s">
        <v>48403</v>
      </c>
      <c r="Q11428" s="8">
        <f>+(27+32/60+59/3600)</f>
        <v>27.549722222222226</v>
      </c>
      <c r="R11428" s="8">
        <v>15.1</v>
      </c>
      <c r="S11428" s="8">
        <v>15.8</v>
      </c>
      <c r="T11428" s="8">
        <v>0.7</v>
      </c>
      <c r="U11428" s="8">
        <v>13.5</v>
      </c>
      <c r="V11428" s="8">
        <v>1.4</v>
      </c>
      <c r="W11428" s="8">
        <v>0.2</v>
      </c>
      <c r="X11428" s="8">
        <v>122</v>
      </c>
      <c r="Y11428" s="8" t="s">
        <v>21</v>
      </c>
      <c r="Z11428" s="8" t="s">
        <v>48404</v>
      </c>
    </row>
    <row r="11429" spans="1:26" x14ac:dyDescent="0.2">
      <c r="A11429" s="8">
        <v>11428</v>
      </c>
      <c r="B11429" s="8" t="s">
        <v>48405</v>
      </c>
      <c r="C11429" s="8" t="s">
        <v>48405</v>
      </c>
      <c r="G11429" s="8">
        <v>20</v>
      </c>
      <c r="H11429" s="8" t="s">
        <v>21</v>
      </c>
      <c r="I11429" s="8" t="s">
        <v>22</v>
      </c>
      <c r="J11429" s="8" t="s">
        <v>57</v>
      </c>
      <c r="K11429" s="8" t="s">
        <v>160</v>
      </c>
      <c r="L11429" s="8" t="s">
        <v>18289</v>
      </c>
      <c r="M11429" s="8" t="s">
        <v>18290</v>
      </c>
      <c r="N11429" s="8" t="s">
        <v>20653</v>
      </c>
      <c r="O11429" s="8">
        <f>12+36/60+56.4/3600</f>
        <v>12.615666666666666</v>
      </c>
      <c r="P11429" s="8" t="s">
        <v>20654</v>
      </c>
      <c r="Q11429" s="8">
        <f>+(14+13/60+3/3600)</f>
        <v>14.217499999999999</v>
      </c>
      <c r="R11429" s="8">
        <v>11.3</v>
      </c>
      <c r="S11429" s="8">
        <v>11.8</v>
      </c>
      <c r="T11429" s="8">
        <v>0.5</v>
      </c>
      <c r="U11429" s="8">
        <v>13.9</v>
      </c>
      <c r="V11429" s="8">
        <v>3.6</v>
      </c>
      <c r="W11429" s="8">
        <v>3.2</v>
      </c>
      <c r="X11429" s="8">
        <v>55</v>
      </c>
      <c r="Y11429" s="8" t="s">
        <v>48406</v>
      </c>
      <c r="Z11429" s="8" t="s">
        <v>48407</v>
      </c>
    </row>
    <row r="11430" spans="1:26" x14ac:dyDescent="0.2">
      <c r="A11430" s="8">
        <v>11429</v>
      </c>
      <c r="B11430" s="8" t="s">
        <v>48408</v>
      </c>
      <c r="C11430" s="8" t="s">
        <v>48408</v>
      </c>
      <c r="G11430" s="8">
        <v>20</v>
      </c>
      <c r="H11430" s="8" t="s">
        <v>21</v>
      </c>
      <c r="I11430" s="8" t="s">
        <v>72</v>
      </c>
      <c r="J11430" s="8" t="s">
        <v>72</v>
      </c>
      <c r="K11430" s="8" t="s">
        <v>20</v>
      </c>
      <c r="L11430" s="8" t="s">
        <v>17287</v>
      </c>
      <c r="M11430" s="8" t="s">
        <v>17288</v>
      </c>
      <c r="N11430" s="8" t="s">
        <v>48409</v>
      </c>
      <c r="O11430" s="8">
        <f>12+37/60+1.3/3600</f>
        <v>12.617027777777778</v>
      </c>
      <c r="P11430" s="8" t="s">
        <v>48410</v>
      </c>
      <c r="Q11430" s="8">
        <f>+(6+56/60+13/3600)</f>
        <v>6.9369444444444444</v>
      </c>
      <c r="R11430" s="8">
        <v>99</v>
      </c>
      <c r="S11430" s="8">
        <v>99</v>
      </c>
      <c r="T11430" s="8">
        <v>99</v>
      </c>
      <c r="U11430" s="8">
        <v>99</v>
      </c>
      <c r="Y11430" s="8" t="s">
        <v>22393</v>
      </c>
      <c r="Z11430" s="8" t="s">
        <v>31387</v>
      </c>
    </row>
    <row r="11431" spans="1:26" x14ac:dyDescent="0.2">
      <c r="A11431" s="8">
        <v>11430</v>
      </c>
      <c r="B11431" s="8" t="s">
        <v>48411</v>
      </c>
      <c r="C11431" s="8" t="s">
        <v>48411</v>
      </c>
      <c r="G11431" s="8">
        <v>20</v>
      </c>
      <c r="H11431" s="8" t="s">
        <v>21</v>
      </c>
      <c r="I11431" s="8" t="s">
        <v>22</v>
      </c>
      <c r="J11431" s="8" t="s">
        <v>22</v>
      </c>
      <c r="K11431" s="8" t="s">
        <v>37</v>
      </c>
      <c r="L11431" s="8" t="s">
        <v>18289</v>
      </c>
      <c r="M11431" s="8" t="s">
        <v>18290</v>
      </c>
      <c r="N11431" s="8" t="s">
        <v>48412</v>
      </c>
      <c r="O11431" s="8">
        <f>12+36/60+50.7/3600</f>
        <v>12.614083333333333</v>
      </c>
      <c r="P11431" s="8" t="s">
        <v>48413</v>
      </c>
      <c r="Q11431" s="8">
        <f>+(27+16/60+41/3600)</f>
        <v>27.278055555555554</v>
      </c>
      <c r="R11431" s="8">
        <v>14.5</v>
      </c>
      <c r="S11431" s="8">
        <v>15.5</v>
      </c>
      <c r="T11431" s="8">
        <v>1</v>
      </c>
      <c r="U11431" s="8">
        <v>12.6</v>
      </c>
      <c r="V11431" s="8">
        <v>1</v>
      </c>
      <c r="W11431" s="8">
        <v>0.2</v>
      </c>
      <c r="X11431" s="8">
        <v>130</v>
      </c>
      <c r="Y11431" s="8" t="s">
        <v>21</v>
      </c>
      <c r="Z11431" s="8" t="s">
        <v>48414</v>
      </c>
    </row>
    <row r="11432" spans="1:26" x14ac:dyDescent="0.2">
      <c r="A11432" s="8">
        <v>11431</v>
      </c>
      <c r="B11432" s="8" t="s">
        <v>48415</v>
      </c>
      <c r="C11432" s="8" t="s">
        <v>48415</v>
      </c>
      <c r="G11432" s="8">
        <v>20</v>
      </c>
      <c r="H11432" s="8" t="s">
        <v>21</v>
      </c>
      <c r="I11432" s="8" t="s">
        <v>22</v>
      </c>
      <c r="J11432" s="8" t="s">
        <v>22</v>
      </c>
      <c r="K11432" s="8" t="s">
        <v>107</v>
      </c>
      <c r="L11432" s="8" t="s">
        <v>17287</v>
      </c>
      <c r="M11432" s="8" t="s">
        <v>17288</v>
      </c>
      <c r="N11432" s="8" t="s">
        <v>48416</v>
      </c>
      <c r="O11432" s="8">
        <f>12+37/60+2.8/3600</f>
        <v>12.617444444444445</v>
      </c>
      <c r="P11432" s="8" t="s">
        <v>48417</v>
      </c>
      <c r="Q11432" s="8">
        <f>+(6+55/60+34/3600)</f>
        <v>6.9261111111111111</v>
      </c>
      <c r="R11432" s="8">
        <v>13.8</v>
      </c>
      <c r="S11432" s="8">
        <v>14.5</v>
      </c>
      <c r="T11432" s="8">
        <v>0.7</v>
      </c>
      <c r="U11432" s="8">
        <v>13.3</v>
      </c>
      <c r="V11432" s="8">
        <v>1.2</v>
      </c>
      <c r="W11432" s="8">
        <v>0.6</v>
      </c>
      <c r="X11432" s="8">
        <v>48</v>
      </c>
      <c r="Y11432" s="8" t="s">
        <v>21</v>
      </c>
      <c r="Z11432" s="8" t="s">
        <v>48418</v>
      </c>
    </row>
    <row r="11433" spans="1:26" x14ac:dyDescent="0.2">
      <c r="A11433" s="8">
        <v>11432</v>
      </c>
      <c r="B11433" s="8" t="s">
        <v>48419</v>
      </c>
      <c r="C11433" s="8" t="s">
        <v>48419</v>
      </c>
      <c r="G11433" s="8">
        <v>20</v>
      </c>
      <c r="H11433" s="8" t="s">
        <v>21</v>
      </c>
      <c r="I11433" s="8" t="s">
        <v>22</v>
      </c>
      <c r="J11433" s="8" t="s">
        <v>22</v>
      </c>
      <c r="K11433" s="8" t="s">
        <v>91</v>
      </c>
      <c r="L11433" s="8" t="s">
        <v>18289</v>
      </c>
      <c r="M11433" s="8" t="s">
        <v>18290</v>
      </c>
      <c r="N11433" s="8" t="s">
        <v>20649</v>
      </c>
      <c r="O11433" s="8">
        <f>12+36/60+53.2/3600</f>
        <v>12.614777777777778</v>
      </c>
      <c r="P11433" s="8" t="s">
        <v>48420</v>
      </c>
      <c r="Q11433" s="8">
        <f>+(27+51/60+45/3600)</f>
        <v>27.862500000000001</v>
      </c>
      <c r="R11433" s="8">
        <v>14.3</v>
      </c>
      <c r="S11433" s="8">
        <v>15.2</v>
      </c>
      <c r="T11433" s="8">
        <v>0.9</v>
      </c>
      <c r="U11433" s="8">
        <v>13.4</v>
      </c>
      <c r="V11433" s="8">
        <v>1</v>
      </c>
      <c r="W11433" s="8">
        <v>0.5</v>
      </c>
      <c r="X11433" s="8">
        <v>126</v>
      </c>
      <c r="Y11433" s="8" t="s">
        <v>48421</v>
      </c>
      <c r="Z11433" s="8" t="s">
        <v>48422</v>
      </c>
    </row>
    <row r="11434" spans="1:26" x14ac:dyDescent="0.2">
      <c r="A11434" s="8">
        <v>11433</v>
      </c>
      <c r="B11434" s="8" t="s">
        <v>48423</v>
      </c>
      <c r="C11434" s="8" t="s">
        <v>48423</v>
      </c>
      <c r="G11434" s="8">
        <v>20</v>
      </c>
      <c r="H11434" s="8" t="s">
        <v>21</v>
      </c>
      <c r="I11434" s="8" t="s">
        <v>22</v>
      </c>
      <c r="J11434" s="8" t="s">
        <v>22</v>
      </c>
      <c r="K11434" s="8" t="s">
        <v>406</v>
      </c>
      <c r="L11434" s="8" t="s">
        <v>18289</v>
      </c>
      <c r="M11434" s="8" t="s">
        <v>18290</v>
      </c>
      <c r="N11434" s="8" t="s">
        <v>48424</v>
      </c>
      <c r="O11434" s="8">
        <f>12+36/60+53.8/3600</f>
        <v>12.614944444444443</v>
      </c>
      <c r="P11434" s="8" t="s">
        <v>48425</v>
      </c>
      <c r="Q11434" s="8">
        <f>+(27+44/60+55/3600)</f>
        <v>27.748611111111114</v>
      </c>
      <c r="R11434" s="8">
        <v>14.6</v>
      </c>
      <c r="S11434" s="8">
        <v>15.4</v>
      </c>
      <c r="T11434" s="8">
        <v>0.8</v>
      </c>
      <c r="U11434" s="8">
        <v>12.4</v>
      </c>
      <c r="V11434" s="8">
        <v>0.5</v>
      </c>
      <c r="W11434" s="8">
        <v>0.3</v>
      </c>
      <c r="X11434" s="8">
        <v>5</v>
      </c>
      <c r="Y11434" s="8" t="s">
        <v>48426</v>
      </c>
      <c r="Z11434" s="8" t="s">
        <v>48427</v>
      </c>
    </row>
    <row r="11435" spans="1:26" x14ac:dyDescent="0.2">
      <c r="A11435" s="8">
        <v>11434</v>
      </c>
      <c r="B11435" s="8" t="s">
        <v>48428</v>
      </c>
      <c r="C11435" s="8" t="s">
        <v>48428</v>
      </c>
      <c r="G11435" s="8">
        <v>20</v>
      </c>
      <c r="H11435" s="8" t="s">
        <v>21</v>
      </c>
      <c r="I11435" s="8" t="s">
        <v>72</v>
      </c>
      <c r="J11435" s="8" t="s">
        <v>72</v>
      </c>
      <c r="K11435" s="8" t="s">
        <v>20</v>
      </c>
      <c r="L11435" s="8" t="s">
        <v>18289</v>
      </c>
      <c r="M11435" s="8" t="s">
        <v>18290</v>
      </c>
      <c r="N11435" s="8" t="s">
        <v>48429</v>
      </c>
      <c r="O11435" s="8">
        <f>12+36/60+56.5/3600</f>
        <v>12.615694444444443</v>
      </c>
      <c r="P11435" s="8" t="s">
        <v>48430</v>
      </c>
      <c r="Q11435" s="8">
        <f>+(26+6/60+57/3600)</f>
        <v>26.115833333333335</v>
      </c>
      <c r="R11435" s="8">
        <v>99</v>
      </c>
      <c r="S11435" s="8">
        <v>99</v>
      </c>
      <c r="T11435" s="8">
        <v>99</v>
      </c>
      <c r="U11435" s="8">
        <v>99</v>
      </c>
      <c r="Y11435" s="8" t="s">
        <v>47337</v>
      </c>
      <c r="Z11435" s="8" t="s">
        <v>47338</v>
      </c>
    </row>
    <row r="11436" spans="1:26" x14ac:dyDescent="0.2">
      <c r="A11436" s="8">
        <v>11435</v>
      </c>
      <c r="B11436" s="8" t="s">
        <v>48431</v>
      </c>
      <c r="C11436" s="8" t="s">
        <v>48431</v>
      </c>
      <c r="E11436" s="8">
        <v>1</v>
      </c>
      <c r="G11436" s="8">
        <v>20</v>
      </c>
      <c r="H11436" s="8" t="s">
        <v>21</v>
      </c>
      <c r="I11436" s="8" t="s">
        <v>22</v>
      </c>
      <c r="J11436" s="8" t="s">
        <v>22</v>
      </c>
      <c r="K11436" s="8" t="s">
        <v>449</v>
      </c>
      <c r="L11436" s="8" t="s">
        <v>18289</v>
      </c>
      <c r="M11436" s="8" t="s">
        <v>18290</v>
      </c>
      <c r="N11436" s="8" t="s">
        <v>48432</v>
      </c>
      <c r="O11436" s="8">
        <f>12+37/60+6.3/3600</f>
        <v>12.618416666666667</v>
      </c>
      <c r="P11436" s="8" t="s">
        <v>48433</v>
      </c>
      <c r="Q11436" s="8">
        <f>+(23+47/60+13/3600)</f>
        <v>23.786944444444448</v>
      </c>
      <c r="R11436" s="8">
        <v>15.7</v>
      </c>
      <c r="S11436" s="8">
        <v>16.5</v>
      </c>
      <c r="T11436" s="8">
        <v>0.8</v>
      </c>
      <c r="U11436" s="8">
        <v>12.8</v>
      </c>
      <c r="V11436" s="8">
        <v>0.4</v>
      </c>
      <c r="W11436" s="8">
        <v>0.2</v>
      </c>
      <c r="X11436" s="8">
        <v>95</v>
      </c>
      <c r="Y11436" s="8" t="s">
        <v>37602</v>
      </c>
      <c r="Z11436" s="8" t="s">
        <v>37603</v>
      </c>
    </row>
    <row r="11437" spans="1:26" x14ac:dyDescent="0.2">
      <c r="A11437" s="8">
        <v>11436</v>
      </c>
      <c r="B11437" s="8" t="s">
        <v>48434</v>
      </c>
      <c r="C11437" s="8" t="s">
        <v>48434</v>
      </c>
      <c r="G11437" s="8">
        <v>20</v>
      </c>
      <c r="H11437" s="8" t="s">
        <v>21</v>
      </c>
      <c r="I11437" s="8" t="s">
        <v>329</v>
      </c>
      <c r="J11437" s="8" t="s">
        <v>329</v>
      </c>
      <c r="K11437" s="8" t="s">
        <v>329</v>
      </c>
      <c r="L11437" s="8" t="s">
        <v>18289</v>
      </c>
      <c r="M11437" s="8" t="s">
        <v>18290</v>
      </c>
      <c r="N11437" s="8" t="s">
        <v>48435</v>
      </c>
      <c r="O11437" s="8">
        <f>12+37/60+18.9/3600</f>
        <v>12.621916666666667</v>
      </c>
      <c r="P11437" s="8" t="s">
        <v>48436</v>
      </c>
      <c r="Q11437" s="8">
        <f>+(26+31/60+15/3600)</f>
        <v>26.520833333333332</v>
      </c>
      <c r="R11437" s="8">
        <v>99</v>
      </c>
      <c r="S11437" s="8">
        <v>99</v>
      </c>
      <c r="T11437" s="8">
        <v>99</v>
      </c>
      <c r="U11437" s="8">
        <v>99</v>
      </c>
      <c r="Y11437" s="8" t="s">
        <v>48437</v>
      </c>
      <c r="Z11437" s="8" t="s">
        <v>48438</v>
      </c>
    </row>
    <row r="11438" spans="1:26" x14ac:dyDescent="0.2">
      <c r="A11438" s="8">
        <v>11437</v>
      </c>
      <c r="B11438" s="8" t="s">
        <v>48439</v>
      </c>
      <c r="C11438" s="8" t="s">
        <v>48439</v>
      </c>
      <c r="G11438" s="8">
        <v>20</v>
      </c>
      <c r="H11438" s="8" t="s">
        <v>21</v>
      </c>
      <c r="I11438" s="8" t="s">
        <v>22</v>
      </c>
      <c r="J11438" s="8" t="s">
        <v>22</v>
      </c>
      <c r="K11438" s="8" t="s">
        <v>476</v>
      </c>
      <c r="L11438" s="8" t="s">
        <v>18289</v>
      </c>
      <c r="M11438" s="8" t="s">
        <v>18290</v>
      </c>
      <c r="N11438" s="8" t="s">
        <v>20731</v>
      </c>
      <c r="O11438" s="8">
        <f>12+37/60+24.6/3600</f>
        <v>12.6235</v>
      </c>
      <c r="P11438" s="8" t="s">
        <v>48440</v>
      </c>
      <c r="Q11438" s="8">
        <f>+(23+51/60+49/3600)</f>
        <v>23.863611111111112</v>
      </c>
      <c r="R11438" s="8">
        <v>15.1</v>
      </c>
      <c r="S11438" s="8">
        <v>15.9</v>
      </c>
      <c r="T11438" s="8">
        <v>0.8</v>
      </c>
      <c r="U11438" s="8">
        <v>13</v>
      </c>
      <c r="V11438" s="8">
        <v>0.4</v>
      </c>
      <c r="W11438" s="8">
        <v>0.4</v>
      </c>
      <c r="Y11438" s="8" t="s">
        <v>227</v>
      </c>
      <c r="Z11438" s="8" t="s">
        <v>228</v>
      </c>
    </row>
    <row r="11439" spans="1:26" x14ac:dyDescent="0.2">
      <c r="A11439" s="8">
        <v>11438</v>
      </c>
      <c r="B11439" s="8" t="s">
        <v>48441</v>
      </c>
      <c r="C11439" s="8" t="s">
        <v>48441</v>
      </c>
      <c r="G11439" s="8">
        <v>20</v>
      </c>
      <c r="H11439" s="8" t="s">
        <v>21</v>
      </c>
      <c r="I11439" s="8" t="s">
        <v>22</v>
      </c>
      <c r="J11439" s="8" t="s">
        <v>22</v>
      </c>
      <c r="K11439" s="8" t="s">
        <v>31</v>
      </c>
      <c r="L11439" s="8" t="s">
        <v>18289</v>
      </c>
      <c r="M11439" s="8" t="s">
        <v>18290</v>
      </c>
      <c r="N11439" s="8" t="s">
        <v>48442</v>
      </c>
      <c r="O11439" s="8">
        <f>12+37/60+21/3600</f>
        <v>12.6225</v>
      </c>
      <c r="P11439" s="8" t="s">
        <v>35569</v>
      </c>
      <c r="Q11439" s="8">
        <f>+(28+12/60+32/3600)</f>
        <v>28.20888888888889</v>
      </c>
      <c r="R11439" s="8">
        <v>13.8</v>
      </c>
      <c r="S11439" s="8">
        <v>14.6</v>
      </c>
      <c r="T11439" s="8">
        <v>0.8</v>
      </c>
      <c r="U11439" s="8">
        <v>13.1</v>
      </c>
      <c r="V11439" s="8">
        <v>1.4</v>
      </c>
      <c r="W11439" s="8">
        <v>0.4</v>
      </c>
      <c r="X11439" s="8">
        <v>140</v>
      </c>
      <c r="Y11439" s="8" t="s">
        <v>21</v>
      </c>
      <c r="Z11439" s="8" t="s">
        <v>48443</v>
      </c>
    </row>
    <row r="11440" spans="1:26" x14ac:dyDescent="0.2">
      <c r="A11440" s="8">
        <v>11439</v>
      </c>
      <c r="B11440" s="8" t="s">
        <v>48444</v>
      </c>
      <c r="C11440" s="8" t="s">
        <v>48444</v>
      </c>
      <c r="G11440" s="8">
        <v>20</v>
      </c>
      <c r="H11440" s="8" t="s">
        <v>21</v>
      </c>
      <c r="I11440" s="8" t="s">
        <v>22</v>
      </c>
      <c r="J11440" s="8" t="s">
        <v>22</v>
      </c>
      <c r="K11440" s="8" t="s">
        <v>23</v>
      </c>
      <c r="L11440" s="8" t="s">
        <v>18289</v>
      </c>
      <c r="M11440" s="8" t="s">
        <v>18290</v>
      </c>
      <c r="N11440" s="8" t="s">
        <v>48445</v>
      </c>
      <c r="O11440" s="8">
        <f>12+37/60+41.1/3600</f>
        <v>12.628083333333334</v>
      </c>
      <c r="P11440" s="8" t="s">
        <v>48446</v>
      </c>
      <c r="Q11440" s="8">
        <f>+(26+42/60+29/3600)</f>
        <v>26.708055555555553</v>
      </c>
      <c r="R11440" s="8">
        <v>14.9</v>
      </c>
      <c r="S11440" s="8">
        <v>15.7</v>
      </c>
      <c r="T11440" s="8">
        <v>0.8</v>
      </c>
      <c r="U11440" s="8">
        <v>11.7</v>
      </c>
      <c r="V11440" s="8">
        <v>0.3</v>
      </c>
      <c r="W11440" s="8">
        <v>0.2</v>
      </c>
      <c r="X11440" s="8">
        <v>140</v>
      </c>
      <c r="Y11440" s="8" t="s">
        <v>11841</v>
      </c>
      <c r="Z11440" s="8" t="s">
        <v>11842</v>
      </c>
    </row>
    <row r="11441" spans="1:26" x14ac:dyDescent="0.2">
      <c r="A11441" s="8">
        <v>11440</v>
      </c>
      <c r="B11441" s="8" t="s">
        <v>48447</v>
      </c>
      <c r="C11441" s="8" t="s">
        <v>48447</v>
      </c>
      <c r="G11441" s="8">
        <v>20</v>
      </c>
      <c r="H11441" s="8" t="s">
        <v>21</v>
      </c>
      <c r="I11441" s="8" t="s">
        <v>22</v>
      </c>
      <c r="J11441" s="8" t="s">
        <v>22</v>
      </c>
      <c r="K11441" s="8" t="s">
        <v>37</v>
      </c>
      <c r="L11441" s="8" t="s">
        <v>18289</v>
      </c>
      <c r="M11441" s="8" t="s">
        <v>18290</v>
      </c>
      <c r="N11441" s="8" t="s">
        <v>48448</v>
      </c>
      <c r="O11441" s="8">
        <f>12+37/60+41/3600</f>
        <v>12.628055555555555</v>
      </c>
      <c r="P11441" s="8" t="s">
        <v>48449</v>
      </c>
      <c r="Q11441" s="8">
        <f>+(27+7/60+46/3600)</f>
        <v>27.129444444444445</v>
      </c>
      <c r="R11441" s="8">
        <v>14.9</v>
      </c>
      <c r="S11441" s="8">
        <v>15.9</v>
      </c>
      <c r="T11441" s="8">
        <v>1</v>
      </c>
      <c r="U11441" s="8">
        <v>13</v>
      </c>
      <c r="V11441" s="8">
        <v>0.5</v>
      </c>
      <c r="W11441" s="8">
        <v>0.4</v>
      </c>
      <c r="Y11441" s="8" t="s">
        <v>48450</v>
      </c>
      <c r="Z11441" s="8" t="s">
        <v>48451</v>
      </c>
    </row>
    <row r="11442" spans="1:26" x14ac:dyDescent="0.2">
      <c r="A11442" s="8">
        <v>11441</v>
      </c>
      <c r="B11442" s="8" t="s">
        <v>48452</v>
      </c>
      <c r="C11442" s="8" t="s">
        <v>48452</v>
      </c>
      <c r="G11442" s="8">
        <v>20</v>
      </c>
      <c r="H11442" s="8" t="s">
        <v>21</v>
      </c>
      <c r="I11442" s="8" t="s">
        <v>22</v>
      </c>
      <c r="J11442" s="8" t="s">
        <v>22</v>
      </c>
      <c r="K11442" s="8" t="s">
        <v>449</v>
      </c>
      <c r="L11442" s="8" t="s">
        <v>18289</v>
      </c>
      <c r="M11442" s="8" t="s">
        <v>18290</v>
      </c>
      <c r="N11442" s="8" t="s">
        <v>48453</v>
      </c>
      <c r="O11442" s="8">
        <f>12+37/60+53.7/3600</f>
        <v>12.631583333333333</v>
      </c>
      <c r="P11442" s="8" t="s">
        <v>48454</v>
      </c>
      <c r="Q11442" s="8">
        <f>+(15+13/60+29/3600)</f>
        <v>15.224722222222223</v>
      </c>
      <c r="R11442" s="8">
        <v>15</v>
      </c>
      <c r="S11442" s="8">
        <v>15.8</v>
      </c>
      <c r="T11442" s="8">
        <v>0.8</v>
      </c>
      <c r="U11442" s="8">
        <v>13.3</v>
      </c>
      <c r="V11442" s="8">
        <v>0.6</v>
      </c>
      <c r="W11442" s="8">
        <v>0.4</v>
      </c>
      <c r="X11442" s="8">
        <v>155</v>
      </c>
      <c r="Y11442" s="8" t="s">
        <v>46249</v>
      </c>
      <c r="Z11442" s="8" t="s">
        <v>46250</v>
      </c>
    </row>
    <row r="11443" spans="1:26" x14ac:dyDescent="0.2">
      <c r="A11443" s="8">
        <v>11442</v>
      </c>
      <c r="B11443" s="8" t="s">
        <v>48455</v>
      </c>
      <c r="C11443" s="8" t="s">
        <v>48455</v>
      </c>
      <c r="G11443" s="8">
        <v>20</v>
      </c>
      <c r="H11443" s="8" t="s">
        <v>21</v>
      </c>
      <c r="I11443" s="8" t="s">
        <v>22</v>
      </c>
      <c r="J11443" s="8" t="s">
        <v>22</v>
      </c>
      <c r="K11443" s="8" t="s">
        <v>818</v>
      </c>
      <c r="L11443" s="8" t="s">
        <v>17287</v>
      </c>
      <c r="M11443" s="8" t="s">
        <v>17288</v>
      </c>
      <c r="N11443" s="8" t="s">
        <v>48456</v>
      </c>
      <c r="O11443" s="8">
        <f>12+38/60+6.8/3600</f>
        <v>12.635222222222222</v>
      </c>
      <c r="P11443" s="8" t="s">
        <v>48457</v>
      </c>
      <c r="Q11443" s="8">
        <f>+(10+4/60+55/3600)</f>
        <v>10.081944444444444</v>
      </c>
      <c r="R11443" s="8">
        <v>14.3</v>
      </c>
      <c r="S11443" s="8">
        <v>15.3</v>
      </c>
      <c r="T11443" s="8">
        <v>1</v>
      </c>
      <c r="U11443" s="8">
        <v>12.9</v>
      </c>
      <c r="V11443" s="8">
        <v>0.9</v>
      </c>
      <c r="W11443" s="8">
        <v>0.3</v>
      </c>
      <c r="X11443" s="8">
        <v>135</v>
      </c>
      <c r="Y11443" s="8" t="s">
        <v>35077</v>
      </c>
      <c r="Z11443" s="8" t="s">
        <v>35078</v>
      </c>
    </row>
    <row r="11444" spans="1:26" x14ac:dyDescent="0.2">
      <c r="A11444" s="8">
        <v>11443</v>
      </c>
      <c r="B11444" s="8" t="s">
        <v>48458</v>
      </c>
      <c r="C11444" s="8" t="s">
        <v>48458</v>
      </c>
      <c r="G11444" s="8">
        <v>20</v>
      </c>
      <c r="H11444" s="8" t="s">
        <v>21</v>
      </c>
      <c r="I11444" s="8" t="s">
        <v>22</v>
      </c>
      <c r="J11444" s="8" t="s">
        <v>22</v>
      </c>
      <c r="K11444" s="8" t="s">
        <v>382</v>
      </c>
      <c r="L11444" s="8" t="s">
        <v>18289</v>
      </c>
      <c r="M11444" s="8" t="s">
        <v>18290</v>
      </c>
      <c r="N11444" s="8" t="s">
        <v>48459</v>
      </c>
      <c r="O11444" s="8">
        <f>12+38/60+16.1/3600</f>
        <v>12.637805555555556</v>
      </c>
      <c r="P11444" s="8" t="s">
        <v>48460</v>
      </c>
      <c r="Q11444" s="8">
        <f>+(15+34/60+13/3600)</f>
        <v>15.570277777777777</v>
      </c>
      <c r="R11444" s="8">
        <v>15.4</v>
      </c>
      <c r="S11444" s="8">
        <v>16.399999999999999</v>
      </c>
      <c r="T11444" s="8">
        <v>1</v>
      </c>
      <c r="U11444" s="8">
        <v>13.2</v>
      </c>
      <c r="V11444" s="8">
        <v>0.4</v>
      </c>
      <c r="W11444" s="8">
        <v>0.3</v>
      </c>
      <c r="X11444" s="8">
        <v>170</v>
      </c>
      <c r="Y11444" s="8" t="s">
        <v>48461</v>
      </c>
      <c r="Z11444" s="8" t="s">
        <v>48462</v>
      </c>
    </row>
    <row r="11445" spans="1:26" x14ac:dyDescent="0.2">
      <c r="A11445" s="8">
        <v>11444</v>
      </c>
      <c r="B11445" s="8" t="s">
        <v>48463</v>
      </c>
      <c r="C11445" s="8" t="s">
        <v>48463</v>
      </c>
      <c r="G11445" s="8">
        <v>20</v>
      </c>
      <c r="H11445" s="8" t="s">
        <v>21</v>
      </c>
      <c r="I11445" s="8" t="s">
        <v>22</v>
      </c>
      <c r="J11445" s="8" t="s">
        <v>22</v>
      </c>
      <c r="K11445" s="8" t="s">
        <v>91</v>
      </c>
      <c r="L11445" s="8" t="s">
        <v>17287</v>
      </c>
      <c r="M11445" s="8" t="s">
        <v>17288</v>
      </c>
      <c r="N11445" s="8" t="s">
        <v>48464</v>
      </c>
      <c r="O11445" s="8">
        <f>12+38/60+20.7/3600</f>
        <v>12.639083333333334</v>
      </c>
      <c r="P11445" s="8" t="s">
        <v>48465</v>
      </c>
      <c r="Q11445" s="8">
        <f>+(11+43/60+50/3600)</f>
        <v>11.730555555555556</v>
      </c>
      <c r="R11445" s="8">
        <v>15.3</v>
      </c>
      <c r="S11445" s="8">
        <v>16.2</v>
      </c>
      <c r="T11445" s="8">
        <v>0.9</v>
      </c>
      <c r="U11445" s="8">
        <v>12.1</v>
      </c>
      <c r="V11445" s="8">
        <v>0.3</v>
      </c>
      <c r="W11445" s="8">
        <v>0.2</v>
      </c>
      <c r="X11445" s="8">
        <v>170</v>
      </c>
      <c r="Y11445" s="8" t="s">
        <v>1212</v>
      </c>
      <c r="Z11445" s="8" t="s">
        <v>1213</v>
      </c>
    </row>
    <row r="11446" spans="1:26" x14ac:dyDescent="0.2">
      <c r="A11446" s="8">
        <v>11445</v>
      </c>
      <c r="B11446" s="8" t="s">
        <v>48466</v>
      </c>
      <c r="C11446" s="8" t="s">
        <v>48466</v>
      </c>
      <c r="G11446" s="8">
        <v>20</v>
      </c>
      <c r="H11446" s="8" t="s">
        <v>21</v>
      </c>
      <c r="I11446" s="8" t="s">
        <v>22</v>
      </c>
      <c r="J11446" s="8" t="s">
        <v>22</v>
      </c>
      <c r="K11446" s="8" t="s">
        <v>4103</v>
      </c>
      <c r="L11446" s="8" t="s">
        <v>18289</v>
      </c>
      <c r="M11446" s="8" t="s">
        <v>18290</v>
      </c>
      <c r="N11446" s="8" t="s">
        <v>48467</v>
      </c>
      <c r="O11446" s="8">
        <f>12+38/60+20.9/3600</f>
        <v>12.639138888888889</v>
      </c>
      <c r="P11446" s="8" t="s">
        <v>48468</v>
      </c>
      <c r="Q11446" s="8">
        <f>+(19+32/60+28/3600)</f>
        <v>19.541111111111114</v>
      </c>
      <c r="R11446" s="8">
        <v>15.6</v>
      </c>
      <c r="S11446" s="8">
        <v>16.2</v>
      </c>
      <c r="T11446" s="8">
        <v>0.6</v>
      </c>
      <c r="U11446" s="8">
        <v>12.7</v>
      </c>
      <c r="V11446" s="8">
        <v>0.4</v>
      </c>
      <c r="W11446" s="8">
        <v>0.2</v>
      </c>
      <c r="X11446" s="8">
        <v>10</v>
      </c>
      <c r="Y11446" s="8" t="s">
        <v>421</v>
      </c>
      <c r="Z11446" s="8" t="s">
        <v>422</v>
      </c>
    </row>
    <row r="11447" spans="1:26" x14ac:dyDescent="0.2">
      <c r="A11447" s="8">
        <v>11446</v>
      </c>
      <c r="B11447" s="8" t="s">
        <v>48469</v>
      </c>
      <c r="C11447" s="8" t="s">
        <v>48469</v>
      </c>
      <c r="G11447" s="8">
        <v>20</v>
      </c>
      <c r="H11447" s="8" t="s">
        <v>21</v>
      </c>
      <c r="I11447" s="8" t="s">
        <v>22</v>
      </c>
      <c r="J11447" s="8" t="s">
        <v>22</v>
      </c>
      <c r="K11447" s="8" t="s">
        <v>460</v>
      </c>
      <c r="L11447" s="8" t="s">
        <v>17287</v>
      </c>
      <c r="M11447" s="8" t="s">
        <v>17288</v>
      </c>
      <c r="N11447" s="8" t="s">
        <v>48470</v>
      </c>
      <c r="O11447" s="8">
        <f>12+38/60+25.1/3600</f>
        <v>12.640305555555555</v>
      </c>
      <c r="P11447" s="8" t="s">
        <v>19955</v>
      </c>
      <c r="Q11447" s="8">
        <f>+(12+36/60+37/3600)</f>
        <v>12.610277777777778</v>
      </c>
      <c r="R11447" s="8">
        <v>15</v>
      </c>
      <c r="S11447" s="8">
        <v>16</v>
      </c>
      <c r="T11447" s="8">
        <v>1</v>
      </c>
      <c r="U11447" s="8">
        <v>12.5</v>
      </c>
      <c r="V11447" s="8">
        <v>0.3</v>
      </c>
      <c r="W11447" s="8">
        <v>0.3</v>
      </c>
      <c r="Y11447" s="8" t="s">
        <v>48471</v>
      </c>
      <c r="Z11447" s="8" t="s">
        <v>48472</v>
      </c>
    </row>
    <row r="11448" spans="1:26" x14ac:dyDescent="0.2">
      <c r="A11448" s="8">
        <v>11447</v>
      </c>
      <c r="B11448" s="8" t="s">
        <v>48473</v>
      </c>
      <c r="C11448" s="8" t="s">
        <v>48473</v>
      </c>
      <c r="G11448" s="8">
        <v>20</v>
      </c>
      <c r="H11448" s="8" t="s">
        <v>21</v>
      </c>
      <c r="I11448" s="8" t="s">
        <v>22</v>
      </c>
      <c r="J11448" s="8" t="s">
        <v>22</v>
      </c>
      <c r="K11448" s="8" t="s">
        <v>818</v>
      </c>
      <c r="L11448" s="8" t="s">
        <v>17287</v>
      </c>
      <c r="M11448" s="8" t="s">
        <v>17288</v>
      </c>
      <c r="N11448" s="8" t="s">
        <v>48474</v>
      </c>
      <c r="O11448" s="8">
        <f>12+38/60+32.1/3600</f>
        <v>12.642249999999999</v>
      </c>
      <c r="P11448" s="8" t="s">
        <v>48475</v>
      </c>
      <c r="Q11448" s="8">
        <f>+(10+22/60+34/3600)</f>
        <v>10.376111111111111</v>
      </c>
      <c r="R11448" s="8">
        <v>15.4</v>
      </c>
      <c r="S11448" s="8">
        <v>16.399999999999999</v>
      </c>
      <c r="T11448" s="8">
        <v>1</v>
      </c>
      <c r="U11448" s="8">
        <v>13</v>
      </c>
      <c r="V11448" s="8">
        <v>0.5</v>
      </c>
      <c r="W11448" s="8">
        <v>0.2</v>
      </c>
      <c r="X11448" s="8">
        <v>136</v>
      </c>
      <c r="Y11448" s="8" t="s">
        <v>47879</v>
      </c>
      <c r="Z11448" s="8" t="s">
        <v>47880</v>
      </c>
    </row>
    <row r="11449" spans="1:26" x14ac:dyDescent="0.2">
      <c r="A11449" s="8">
        <v>11448</v>
      </c>
      <c r="B11449" s="8" t="s">
        <v>48476</v>
      </c>
      <c r="C11449" s="8" t="s">
        <v>48476</v>
      </c>
      <c r="G11449" s="8">
        <v>20</v>
      </c>
      <c r="H11449" s="8" t="s">
        <v>21</v>
      </c>
      <c r="I11449" s="8" t="s">
        <v>22</v>
      </c>
      <c r="J11449" s="8" t="s">
        <v>22</v>
      </c>
      <c r="K11449" s="8" t="s">
        <v>23</v>
      </c>
      <c r="L11449" s="8" t="s">
        <v>17287</v>
      </c>
      <c r="M11449" s="8" t="s">
        <v>17288</v>
      </c>
      <c r="N11449" s="8" t="s">
        <v>48477</v>
      </c>
      <c r="O11449" s="8">
        <f>12+38/60+37.4/3600</f>
        <v>12.643722222222221</v>
      </c>
      <c r="P11449" s="8" t="s">
        <v>48478</v>
      </c>
      <c r="Q11449" s="8">
        <f>+(10+28/60+33/3600)</f>
        <v>10.475833333333334</v>
      </c>
      <c r="R11449" s="8">
        <v>13.8</v>
      </c>
      <c r="S11449" s="8">
        <v>14.6</v>
      </c>
      <c r="T11449" s="8">
        <v>0.8</v>
      </c>
      <c r="U11449" s="8">
        <v>13.9</v>
      </c>
      <c r="V11449" s="8">
        <v>3.1</v>
      </c>
      <c r="W11449" s="8">
        <v>0.4</v>
      </c>
      <c r="X11449" s="8">
        <v>95</v>
      </c>
      <c r="Y11449" s="8" t="s">
        <v>21</v>
      </c>
      <c r="Z11449" s="8" t="s">
        <v>48479</v>
      </c>
    </row>
    <row r="11450" spans="1:26" x14ac:dyDescent="0.2">
      <c r="A11450" s="8">
        <v>11449</v>
      </c>
      <c r="B11450" s="8" t="s">
        <v>48480</v>
      </c>
      <c r="C11450" s="8" t="s">
        <v>48480</v>
      </c>
      <c r="G11450" s="8">
        <v>20</v>
      </c>
      <c r="H11450" s="8" t="s">
        <v>21</v>
      </c>
      <c r="I11450" s="8" t="s">
        <v>22</v>
      </c>
      <c r="J11450" s="8" t="s">
        <v>22</v>
      </c>
      <c r="K11450" s="8" t="s">
        <v>31</v>
      </c>
      <c r="L11450" s="8" t="s">
        <v>18289</v>
      </c>
      <c r="M11450" s="8" t="s">
        <v>18290</v>
      </c>
      <c r="N11450" s="8" t="s">
        <v>48481</v>
      </c>
      <c r="O11450" s="8">
        <f>12+38/60+34.7/3600</f>
        <v>12.642972222222221</v>
      </c>
      <c r="P11450" s="8" t="s">
        <v>48482</v>
      </c>
      <c r="Q11450" s="8">
        <f>+(14+21/60+11/3600)</f>
        <v>14.353055555555555</v>
      </c>
      <c r="R11450" s="8">
        <v>14.6</v>
      </c>
      <c r="S11450" s="8">
        <v>15.4</v>
      </c>
      <c r="T11450" s="8">
        <v>0.8</v>
      </c>
      <c r="U11450" s="8">
        <v>12.5</v>
      </c>
      <c r="V11450" s="8">
        <v>0.4</v>
      </c>
      <c r="W11450" s="8">
        <v>0.4</v>
      </c>
      <c r="Y11450" s="8" t="s">
        <v>48483</v>
      </c>
      <c r="Z11450" s="8" t="s">
        <v>48484</v>
      </c>
    </row>
    <row r="11451" spans="1:26" x14ac:dyDescent="0.2">
      <c r="A11451" s="8">
        <v>11450</v>
      </c>
      <c r="B11451" s="8" t="s">
        <v>48485</v>
      </c>
      <c r="C11451" s="8" t="s">
        <v>48485</v>
      </c>
      <c r="G11451" s="8">
        <v>20</v>
      </c>
      <c r="H11451" s="8" t="s">
        <v>21</v>
      </c>
      <c r="I11451" s="8" t="s">
        <v>22</v>
      </c>
      <c r="J11451" s="8" t="s">
        <v>22</v>
      </c>
      <c r="K11451" s="8" t="s">
        <v>460</v>
      </c>
      <c r="L11451" s="8" t="s">
        <v>18289</v>
      </c>
      <c r="M11451" s="8" t="s">
        <v>18290</v>
      </c>
      <c r="N11451" s="8" t="s">
        <v>48486</v>
      </c>
      <c r="O11451" s="8">
        <f>12+38/60+47.1/3600</f>
        <v>12.646416666666665</v>
      </c>
      <c r="P11451" s="8" t="s">
        <v>43140</v>
      </c>
      <c r="Q11451" s="8">
        <f>+(26+52/60+22/3600)</f>
        <v>26.872777777777777</v>
      </c>
      <c r="R11451" s="8">
        <v>16</v>
      </c>
      <c r="S11451" s="8">
        <v>17</v>
      </c>
      <c r="T11451" s="8">
        <v>1</v>
      </c>
      <c r="U11451" s="8">
        <v>12.6</v>
      </c>
      <c r="V11451" s="8">
        <v>0.2</v>
      </c>
      <c r="W11451" s="8">
        <v>0.2</v>
      </c>
      <c r="Y11451" s="8" t="s">
        <v>48487</v>
      </c>
      <c r="Z11451" s="8" t="s">
        <v>48488</v>
      </c>
    </row>
    <row r="11452" spans="1:26" x14ac:dyDescent="0.2">
      <c r="A11452" s="8">
        <v>11451</v>
      </c>
      <c r="B11452" s="8" t="s">
        <v>48489</v>
      </c>
      <c r="C11452" s="8" t="s">
        <v>48489</v>
      </c>
      <c r="G11452" s="8">
        <v>20</v>
      </c>
      <c r="H11452" s="8" t="s">
        <v>21</v>
      </c>
      <c r="I11452" s="8" t="s">
        <v>22</v>
      </c>
      <c r="J11452" s="8" t="s">
        <v>22</v>
      </c>
      <c r="K11452" s="8" t="s">
        <v>476</v>
      </c>
      <c r="L11452" s="8" t="s">
        <v>18289</v>
      </c>
      <c r="M11452" s="8" t="s">
        <v>18290</v>
      </c>
      <c r="N11452" s="8" t="s">
        <v>48490</v>
      </c>
      <c r="O11452" s="8">
        <f>12+39/60+4.1/3600</f>
        <v>12.651138888888889</v>
      </c>
      <c r="P11452" s="8" t="s">
        <v>48491</v>
      </c>
      <c r="Q11452" s="8">
        <f>+(13+21/60+51/3600)</f>
        <v>13.364166666666666</v>
      </c>
      <c r="R11452" s="8">
        <v>13.3</v>
      </c>
      <c r="S11452" s="8">
        <v>14.2</v>
      </c>
      <c r="T11452" s="8">
        <v>0.9</v>
      </c>
      <c r="U11452" s="8">
        <v>13.3</v>
      </c>
      <c r="V11452" s="8">
        <v>1.4</v>
      </c>
      <c r="W11452" s="8">
        <v>0.8</v>
      </c>
      <c r="X11452" s="8">
        <v>137</v>
      </c>
      <c r="Y11452" s="8" t="s">
        <v>48492</v>
      </c>
      <c r="Z11452" s="8" t="s">
        <v>48493</v>
      </c>
    </row>
    <row r="11453" spans="1:26" x14ac:dyDescent="0.2">
      <c r="A11453" s="8">
        <v>11452</v>
      </c>
      <c r="B11453" s="8" t="s">
        <v>48494</v>
      </c>
      <c r="C11453" s="8" t="s">
        <v>48494</v>
      </c>
      <c r="G11453" s="8">
        <v>20</v>
      </c>
      <c r="H11453" s="8" t="s">
        <v>21</v>
      </c>
      <c r="I11453" s="8" t="s">
        <v>22</v>
      </c>
      <c r="J11453" s="8" t="s">
        <v>57</v>
      </c>
      <c r="K11453" s="8" t="s">
        <v>449</v>
      </c>
      <c r="L11453" s="8" t="s">
        <v>18289</v>
      </c>
      <c r="M11453" s="8" t="s">
        <v>18290</v>
      </c>
      <c r="N11453" s="8" t="s">
        <v>48495</v>
      </c>
      <c r="O11453" s="8">
        <f>12+39/60+4.6/3600</f>
        <v>12.651277777777779</v>
      </c>
      <c r="P11453" s="8" t="s">
        <v>48496</v>
      </c>
      <c r="Q11453" s="8">
        <f>+(14+43/60+54/3600)</f>
        <v>14.731666666666667</v>
      </c>
      <c r="R11453" s="8">
        <v>14.1</v>
      </c>
      <c r="S11453" s="8">
        <v>14.9</v>
      </c>
      <c r="T11453" s="8">
        <v>0.8</v>
      </c>
      <c r="U11453" s="8">
        <v>13.2</v>
      </c>
      <c r="V11453" s="8">
        <v>1</v>
      </c>
      <c r="W11453" s="8">
        <v>0.5</v>
      </c>
      <c r="X11453" s="8">
        <v>50</v>
      </c>
      <c r="Y11453" s="8" t="s">
        <v>48483</v>
      </c>
      <c r="Z11453" s="8" t="s">
        <v>48484</v>
      </c>
    </row>
    <row r="11454" spans="1:26" x14ac:dyDescent="0.2">
      <c r="A11454" s="8">
        <v>11453</v>
      </c>
      <c r="B11454" s="8" t="s">
        <v>48497</v>
      </c>
      <c r="C11454" s="8" t="s">
        <v>48497</v>
      </c>
      <c r="G11454" s="8">
        <v>20</v>
      </c>
      <c r="H11454" s="8" t="s">
        <v>21</v>
      </c>
      <c r="I11454" s="8" t="s">
        <v>22</v>
      </c>
      <c r="J11454" s="8" t="s">
        <v>22</v>
      </c>
      <c r="K11454" s="8" t="s">
        <v>37</v>
      </c>
      <c r="L11454" s="8" t="s">
        <v>18289</v>
      </c>
      <c r="M11454" s="8" t="s">
        <v>18290</v>
      </c>
      <c r="N11454" s="8" t="s">
        <v>48498</v>
      </c>
      <c r="O11454" s="8">
        <f>12+39/60+4.8/3600</f>
        <v>12.651333333333334</v>
      </c>
      <c r="P11454" s="8" t="s">
        <v>48499</v>
      </c>
      <c r="Q11454" s="8">
        <f>+(13+45/60+31/3600)</f>
        <v>13.758611111111112</v>
      </c>
      <c r="R11454" s="8">
        <v>16.399999999999999</v>
      </c>
      <c r="S11454" s="8">
        <v>17.399999999999999</v>
      </c>
      <c r="T11454" s="8">
        <v>1</v>
      </c>
      <c r="U11454" s="8">
        <v>13.8</v>
      </c>
      <c r="V11454" s="8">
        <v>0.5</v>
      </c>
      <c r="W11454" s="8">
        <v>0.2</v>
      </c>
      <c r="X11454" s="8">
        <v>165</v>
      </c>
      <c r="Y11454" s="8" t="s">
        <v>35077</v>
      </c>
      <c r="Z11454" s="8" t="s">
        <v>35078</v>
      </c>
    </row>
    <row r="11455" spans="1:26" x14ac:dyDescent="0.2">
      <c r="A11455" s="8">
        <v>11454</v>
      </c>
      <c r="B11455" s="8" t="s">
        <v>48500</v>
      </c>
      <c r="C11455" s="8" t="s">
        <v>48500</v>
      </c>
      <c r="G11455" s="8">
        <v>20</v>
      </c>
      <c r="H11455" s="8" t="s">
        <v>21</v>
      </c>
      <c r="I11455" s="8" t="s">
        <v>72</v>
      </c>
      <c r="J11455" s="8" t="s">
        <v>72</v>
      </c>
      <c r="K11455" s="8" t="s">
        <v>20</v>
      </c>
      <c r="L11455" s="8" t="s">
        <v>18289</v>
      </c>
      <c r="M11455" s="8" t="s">
        <v>18290</v>
      </c>
      <c r="N11455" s="8" t="s">
        <v>48501</v>
      </c>
      <c r="O11455" s="8">
        <f>12+39/60+1.4/3600</f>
        <v>12.650388888888889</v>
      </c>
      <c r="P11455" s="8" t="s">
        <v>48502</v>
      </c>
      <c r="Q11455" s="8">
        <f>+(26+18/60+0/3600)</f>
        <v>26.3</v>
      </c>
      <c r="R11455" s="8">
        <v>99</v>
      </c>
      <c r="S11455" s="8">
        <v>99</v>
      </c>
      <c r="T11455" s="8">
        <v>99</v>
      </c>
      <c r="U11455" s="8">
        <v>99</v>
      </c>
      <c r="Y11455" s="8" t="s">
        <v>48503</v>
      </c>
      <c r="Z11455" s="8" t="s">
        <v>48504</v>
      </c>
    </row>
    <row r="11456" spans="1:26" x14ac:dyDescent="0.2">
      <c r="A11456" s="8">
        <v>11455</v>
      </c>
      <c r="B11456" s="8" t="s">
        <v>48505</v>
      </c>
      <c r="C11456" s="8" t="s">
        <v>48505</v>
      </c>
      <c r="G11456" s="8">
        <v>20</v>
      </c>
      <c r="H11456" s="8" t="s">
        <v>21</v>
      </c>
      <c r="I11456" s="8" t="s">
        <v>22</v>
      </c>
      <c r="J11456" s="8" t="s">
        <v>22</v>
      </c>
      <c r="K11456" s="8" t="s">
        <v>160</v>
      </c>
      <c r="L11456" s="8" t="s">
        <v>18289</v>
      </c>
      <c r="M11456" s="8" t="s">
        <v>18290</v>
      </c>
      <c r="N11456" s="8" t="s">
        <v>48506</v>
      </c>
      <c r="O11456" s="8">
        <f>12+39/60+1.6/3600</f>
        <v>12.650444444444444</v>
      </c>
      <c r="P11456" s="8" t="s">
        <v>48507</v>
      </c>
      <c r="Q11456" s="8">
        <f>+(18+12/60+3/3600)</f>
        <v>18.200833333333332</v>
      </c>
      <c r="R11456" s="8">
        <v>14.8</v>
      </c>
      <c r="S11456" s="8">
        <v>15.5</v>
      </c>
      <c r="T11456" s="8">
        <v>0.7</v>
      </c>
      <c r="U11456" s="8">
        <v>13.4</v>
      </c>
      <c r="V11456" s="8">
        <v>1.1000000000000001</v>
      </c>
      <c r="W11456" s="8">
        <v>0.3</v>
      </c>
      <c r="X11456" s="8">
        <v>11</v>
      </c>
      <c r="Y11456" s="8" t="s">
        <v>21</v>
      </c>
      <c r="Z11456" s="8" t="s">
        <v>48508</v>
      </c>
    </row>
    <row r="11457" spans="1:26" x14ac:dyDescent="0.2">
      <c r="A11457" s="8">
        <v>11456</v>
      </c>
      <c r="B11457" s="8" t="s">
        <v>48509</v>
      </c>
      <c r="C11457" s="8" t="s">
        <v>48509</v>
      </c>
      <c r="G11457" s="8">
        <v>20</v>
      </c>
      <c r="H11457" s="8" t="s">
        <v>21</v>
      </c>
      <c r="I11457" s="8" t="s">
        <v>22</v>
      </c>
      <c r="J11457" s="8" t="s">
        <v>22</v>
      </c>
      <c r="K11457" s="8" t="s">
        <v>449</v>
      </c>
      <c r="L11457" s="8" t="s">
        <v>18289</v>
      </c>
      <c r="M11457" s="8" t="s">
        <v>18290</v>
      </c>
      <c r="N11457" s="8" t="s">
        <v>48495</v>
      </c>
      <c r="O11457" s="8">
        <f>12+39/60+4.6/3600</f>
        <v>12.651277777777779</v>
      </c>
      <c r="P11457" s="8" t="s">
        <v>48496</v>
      </c>
      <c r="Q11457" s="8">
        <f>+(14+43/60+54/3600)</f>
        <v>14.731666666666667</v>
      </c>
      <c r="R11457" s="8">
        <v>14.1</v>
      </c>
      <c r="S11457" s="8">
        <v>14.9</v>
      </c>
      <c r="T11457" s="8">
        <v>0.8</v>
      </c>
      <c r="U11457" s="8">
        <v>13.2</v>
      </c>
      <c r="V11457" s="8">
        <v>1</v>
      </c>
      <c r="W11457" s="8">
        <v>0.5</v>
      </c>
      <c r="X11457" s="8">
        <v>50</v>
      </c>
      <c r="Y11457" s="8" t="s">
        <v>46310</v>
      </c>
      <c r="Z11457" s="8" t="s">
        <v>46311</v>
      </c>
    </row>
    <row r="11458" spans="1:26" x14ac:dyDescent="0.2">
      <c r="A11458" s="8">
        <v>11457</v>
      </c>
      <c r="B11458" s="8" t="s">
        <v>48510</v>
      </c>
      <c r="C11458" s="8" t="s">
        <v>48510</v>
      </c>
      <c r="G11458" s="8">
        <v>20</v>
      </c>
      <c r="H11458" s="8" t="s">
        <v>21</v>
      </c>
      <c r="I11458" s="8" t="s">
        <v>22</v>
      </c>
      <c r="J11458" s="8" t="s">
        <v>22</v>
      </c>
      <c r="K11458" s="8" t="s">
        <v>3616</v>
      </c>
      <c r="L11458" s="8" t="s">
        <v>17287</v>
      </c>
      <c r="M11458" s="8" t="s">
        <v>17288</v>
      </c>
      <c r="N11458" s="8" t="s">
        <v>48511</v>
      </c>
      <c r="O11458" s="8">
        <f>12+39/60+25/3600</f>
        <v>12.656944444444445</v>
      </c>
      <c r="P11458" s="8" t="s">
        <v>48512</v>
      </c>
      <c r="Q11458" s="8">
        <f>+(7+57/60+59/3600)</f>
        <v>7.966388888888889</v>
      </c>
      <c r="R11458" s="8">
        <v>14.2</v>
      </c>
      <c r="S11458" s="8">
        <v>14.4</v>
      </c>
      <c r="T11458" s="8">
        <v>0.2</v>
      </c>
      <c r="U11458" s="8">
        <v>14</v>
      </c>
      <c r="V11458" s="8">
        <v>1.4</v>
      </c>
      <c r="W11458" s="8">
        <v>0.7</v>
      </c>
      <c r="X11458" s="8">
        <v>65</v>
      </c>
      <c r="Y11458" s="8" t="s">
        <v>1511</v>
      </c>
      <c r="Z11458" s="8" t="s">
        <v>1512</v>
      </c>
    </row>
    <row r="11459" spans="1:26" x14ac:dyDescent="0.2">
      <c r="A11459" s="8">
        <v>11458</v>
      </c>
      <c r="B11459" s="8" t="s">
        <v>48513</v>
      </c>
      <c r="C11459" s="8" t="s">
        <v>48513</v>
      </c>
      <c r="G11459" s="8">
        <v>20</v>
      </c>
      <c r="H11459" s="8" t="s">
        <v>21</v>
      </c>
      <c r="I11459" s="8" t="s">
        <v>22</v>
      </c>
      <c r="J11459" s="8" t="s">
        <v>22</v>
      </c>
      <c r="K11459" s="8" t="s">
        <v>37</v>
      </c>
      <c r="L11459" s="8" t="s">
        <v>18289</v>
      </c>
      <c r="M11459" s="8" t="s">
        <v>18290</v>
      </c>
      <c r="N11459" s="8" t="s">
        <v>48514</v>
      </c>
      <c r="O11459" s="8">
        <f>12+39/60+17.1/3600</f>
        <v>12.65475</v>
      </c>
      <c r="P11459" s="8" t="s">
        <v>48515</v>
      </c>
      <c r="Q11459" s="8">
        <f>+(26+40/60+42/3600)</f>
        <v>26.678333333333335</v>
      </c>
      <c r="R11459" s="8">
        <v>14.9</v>
      </c>
      <c r="S11459" s="8">
        <v>15.9</v>
      </c>
      <c r="T11459" s="8">
        <v>1</v>
      </c>
      <c r="U11459" s="8">
        <v>12.2</v>
      </c>
      <c r="V11459" s="8">
        <v>0.3</v>
      </c>
      <c r="W11459" s="8">
        <v>0.3</v>
      </c>
      <c r="Y11459" s="8" t="s">
        <v>3952</v>
      </c>
      <c r="Z11459" s="8" t="s">
        <v>3953</v>
      </c>
    </row>
    <row r="11460" spans="1:26" x14ac:dyDescent="0.2">
      <c r="A11460" s="8">
        <v>11459</v>
      </c>
      <c r="B11460" s="8" t="s">
        <v>48516</v>
      </c>
      <c r="C11460" s="8" t="s">
        <v>48516</v>
      </c>
      <c r="G11460" s="8">
        <v>20</v>
      </c>
      <c r="H11460" s="8" t="s">
        <v>21</v>
      </c>
      <c r="I11460" s="8" t="s">
        <v>72</v>
      </c>
      <c r="J11460" s="8" t="s">
        <v>72</v>
      </c>
      <c r="K11460" s="8" t="s">
        <v>73</v>
      </c>
      <c r="L11460" s="8" t="s">
        <v>18289</v>
      </c>
      <c r="M11460" s="8" t="s">
        <v>18290</v>
      </c>
      <c r="N11460" s="8" t="s">
        <v>48517</v>
      </c>
      <c r="O11460" s="8">
        <f>12+39/60+18.9/3600</f>
        <v>12.655250000000001</v>
      </c>
      <c r="P11460" s="8" t="s">
        <v>48518</v>
      </c>
      <c r="Q11460" s="8">
        <f>+(24+8/60+35/3600)</f>
        <v>24.143055555555556</v>
      </c>
      <c r="R11460" s="8">
        <v>99</v>
      </c>
      <c r="S11460" s="8">
        <v>99</v>
      </c>
      <c r="T11460" s="8">
        <v>99</v>
      </c>
      <c r="U11460" s="8">
        <v>99</v>
      </c>
      <c r="Y11460" s="8" t="s">
        <v>48519</v>
      </c>
      <c r="Z11460" s="8" t="s">
        <v>48520</v>
      </c>
    </row>
    <row r="11461" spans="1:26" x14ac:dyDescent="0.2">
      <c r="A11461" s="8">
        <v>11460</v>
      </c>
      <c r="B11461" s="8" t="s">
        <v>48521</v>
      </c>
      <c r="C11461" s="8" t="s">
        <v>48521</v>
      </c>
      <c r="G11461" s="8">
        <v>20</v>
      </c>
      <c r="H11461" s="8" t="s">
        <v>21</v>
      </c>
      <c r="I11461" s="8" t="s">
        <v>22</v>
      </c>
      <c r="J11461" s="8" t="s">
        <v>22</v>
      </c>
      <c r="K11461" s="8" t="s">
        <v>449</v>
      </c>
      <c r="L11461" s="8" t="s">
        <v>18289</v>
      </c>
      <c r="M11461" s="8" t="s">
        <v>18290</v>
      </c>
      <c r="N11461" s="8" t="s">
        <v>48522</v>
      </c>
      <c r="O11461" s="8">
        <f>12+39/60+17.9/3600</f>
        <v>12.654972222222222</v>
      </c>
      <c r="P11461" s="8" t="s">
        <v>48523</v>
      </c>
      <c r="Q11461" s="8">
        <f>+(27+54/60+30/3600)</f>
        <v>27.908333333333331</v>
      </c>
      <c r="R11461" s="8">
        <v>14.8</v>
      </c>
      <c r="S11461" s="8">
        <v>15.6</v>
      </c>
      <c r="T11461" s="8">
        <v>0.8</v>
      </c>
      <c r="U11461" s="8">
        <v>11.6</v>
      </c>
      <c r="V11461" s="8">
        <v>0.6</v>
      </c>
      <c r="W11461" s="8">
        <v>0.1</v>
      </c>
      <c r="X11461" s="8">
        <v>170</v>
      </c>
      <c r="Y11461" s="8" t="s">
        <v>21</v>
      </c>
      <c r="Z11461" s="8" t="s">
        <v>48524</v>
      </c>
    </row>
    <row r="11462" spans="1:26" x14ac:dyDescent="0.2">
      <c r="A11462" s="8">
        <v>11461</v>
      </c>
      <c r="B11462" s="8" t="s">
        <v>48525</v>
      </c>
      <c r="C11462" s="8" t="s">
        <v>48525</v>
      </c>
      <c r="G11462" s="8">
        <v>20</v>
      </c>
      <c r="H11462" s="8" t="s">
        <v>21</v>
      </c>
      <c r="I11462" s="8" t="s">
        <v>22</v>
      </c>
      <c r="J11462" s="8" t="s">
        <v>22</v>
      </c>
      <c r="K11462" s="8" t="s">
        <v>424</v>
      </c>
      <c r="L11462" s="8" t="s">
        <v>18289</v>
      </c>
      <c r="M11462" s="8" t="s">
        <v>18290</v>
      </c>
      <c r="N11462" s="8" t="s">
        <v>48526</v>
      </c>
      <c r="O11462" s="8">
        <f>12+39/60+33.5/3600</f>
        <v>12.659305555555555</v>
      </c>
      <c r="P11462" s="8" t="s">
        <v>48527</v>
      </c>
      <c r="Q11462" s="8">
        <f>+(15+30/60+11/3600)</f>
        <v>15.503055555555555</v>
      </c>
      <c r="R11462" s="8">
        <v>15.4</v>
      </c>
      <c r="S11462" s="8">
        <v>16.399999999999999</v>
      </c>
      <c r="T11462" s="8">
        <v>1</v>
      </c>
      <c r="U11462" s="8">
        <v>13.3</v>
      </c>
      <c r="V11462" s="8">
        <v>0.4</v>
      </c>
      <c r="W11462" s="8">
        <v>0.4</v>
      </c>
      <c r="Y11462" s="8" t="s">
        <v>46310</v>
      </c>
      <c r="Z11462" s="8" t="s">
        <v>46311</v>
      </c>
    </row>
    <row r="11463" spans="1:26" x14ac:dyDescent="0.2">
      <c r="A11463" s="8">
        <v>11462</v>
      </c>
      <c r="B11463" s="8" t="s">
        <v>48528</v>
      </c>
      <c r="C11463" s="8" t="s">
        <v>48528</v>
      </c>
      <c r="G11463" s="8">
        <v>20</v>
      </c>
      <c r="H11463" s="8" t="s">
        <v>21</v>
      </c>
      <c r="I11463" s="8" t="s">
        <v>22</v>
      </c>
      <c r="J11463" s="8" t="s">
        <v>22</v>
      </c>
      <c r="K11463" s="8" t="s">
        <v>396</v>
      </c>
      <c r="L11463" s="8" t="s">
        <v>18289</v>
      </c>
      <c r="M11463" s="8" t="s">
        <v>18290</v>
      </c>
      <c r="N11463" s="8" t="s">
        <v>48529</v>
      </c>
      <c r="O11463" s="8">
        <f>12+39/60+32.4/3600</f>
        <v>12.659000000000001</v>
      </c>
      <c r="P11463" s="8" t="s">
        <v>48530</v>
      </c>
      <c r="Q11463" s="8">
        <f>+(15+25/60+56/3600)</f>
        <v>15.432222222222222</v>
      </c>
      <c r="R11463" s="8">
        <v>15.2</v>
      </c>
      <c r="S11463" s="8">
        <v>16</v>
      </c>
      <c r="T11463" s="8">
        <v>0.8</v>
      </c>
      <c r="U11463" s="8">
        <v>13.9</v>
      </c>
      <c r="V11463" s="8">
        <v>0.6</v>
      </c>
      <c r="W11463" s="8">
        <v>0.6</v>
      </c>
      <c r="Y11463" s="8" t="s">
        <v>170</v>
      </c>
      <c r="Z11463" s="8" t="s">
        <v>171</v>
      </c>
    </row>
    <row r="11464" spans="1:26" x14ac:dyDescent="0.2">
      <c r="A11464" s="8">
        <v>11463</v>
      </c>
      <c r="B11464" s="8" t="s">
        <v>48531</v>
      </c>
      <c r="C11464" s="8" t="s">
        <v>48531</v>
      </c>
      <c r="G11464" s="8">
        <v>20</v>
      </c>
      <c r="H11464" s="8" t="s">
        <v>21</v>
      </c>
      <c r="I11464" s="8" t="s">
        <v>22</v>
      </c>
      <c r="J11464" s="8" t="s">
        <v>22</v>
      </c>
      <c r="K11464" s="8" t="s">
        <v>1136</v>
      </c>
      <c r="L11464" s="8" t="s">
        <v>18289</v>
      </c>
      <c r="M11464" s="8" t="s">
        <v>18290</v>
      </c>
      <c r="N11464" s="8" t="s">
        <v>48532</v>
      </c>
      <c r="O11464" s="8">
        <f>12+39/60+27.6/3600</f>
        <v>12.657666666666668</v>
      </c>
      <c r="P11464" s="8" t="s">
        <v>48533</v>
      </c>
      <c r="Q11464" s="8">
        <f>+(27+6/60+10/3600)</f>
        <v>27.102777777777778</v>
      </c>
      <c r="R11464" s="8">
        <v>14</v>
      </c>
      <c r="S11464" s="8">
        <v>15</v>
      </c>
      <c r="T11464" s="8">
        <v>1</v>
      </c>
      <c r="U11464" s="8">
        <v>14.1</v>
      </c>
      <c r="V11464" s="8">
        <v>1.1000000000000001</v>
      </c>
      <c r="W11464" s="8">
        <v>0.9</v>
      </c>
      <c r="X11464" s="8">
        <v>45</v>
      </c>
      <c r="Y11464" s="8" t="s">
        <v>11841</v>
      </c>
      <c r="Z11464" s="8" t="s">
        <v>11842</v>
      </c>
    </row>
    <row r="11465" spans="1:26" x14ac:dyDescent="0.2">
      <c r="A11465" s="8">
        <v>11464</v>
      </c>
      <c r="B11465" s="8" t="s">
        <v>48534</v>
      </c>
      <c r="C11465" s="8" t="s">
        <v>48534</v>
      </c>
      <c r="G11465" s="8">
        <v>20</v>
      </c>
      <c r="H11465" s="8" t="s">
        <v>21</v>
      </c>
      <c r="I11465" s="8" t="s">
        <v>22</v>
      </c>
      <c r="J11465" s="8" t="s">
        <v>22</v>
      </c>
      <c r="K11465" s="8" t="s">
        <v>460</v>
      </c>
      <c r="L11465" s="8" t="s">
        <v>17287</v>
      </c>
      <c r="M11465" s="8" t="s">
        <v>17288</v>
      </c>
      <c r="N11465" s="8" t="s">
        <v>48535</v>
      </c>
      <c r="O11465" s="8">
        <f>12+39/60+34.5/3600</f>
        <v>12.659583333333334</v>
      </c>
      <c r="P11465" s="8" t="s">
        <v>48536</v>
      </c>
      <c r="Q11465" s="8">
        <f>+(11+58/60+55/3600)</f>
        <v>11.981944444444444</v>
      </c>
      <c r="R11465" s="8">
        <v>15.2</v>
      </c>
      <c r="S11465" s="8">
        <v>16.2</v>
      </c>
      <c r="T11465" s="8">
        <v>1</v>
      </c>
      <c r="U11465" s="8">
        <v>12.7</v>
      </c>
      <c r="V11465" s="8">
        <v>0.3</v>
      </c>
      <c r="W11465" s="8">
        <v>0.3</v>
      </c>
      <c r="Y11465" s="8" t="s">
        <v>48537</v>
      </c>
      <c r="Z11465" s="8" t="s">
        <v>48538</v>
      </c>
    </row>
    <row r="11466" spans="1:26" x14ac:dyDescent="0.2">
      <c r="A11466" s="8">
        <v>11465</v>
      </c>
      <c r="B11466" s="8" t="s">
        <v>48539</v>
      </c>
      <c r="C11466" s="8" t="s">
        <v>48539</v>
      </c>
      <c r="G11466" s="8">
        <v>20</v>
      </c>
      <c r="H11466" s="8" t="s">
        <v>21</v>
      </c>
      <c r="I11466" s="8" t="s">
        <v>22</v>
      </c>
      <c r="J11466" s="8" t="s">
        <v>22</v>
      </c>
      <c r="K11466" s="8" t="s">
        <v>818</v>
      </c>
      <c r="L11466" s="8" t="s">
        <v>17287</v>
      </c>
      <c r="M11466" s="8" t="s">
        <v>17288</v>
      </c>
      <c r="N11466" s="8" t="s">
        <v>48540</v>
      </c>
      <c r="O11466" s="8">
        <f>12+39/60+33.1/3600</f>
        <v>12.659194444444445</v>
      </c>
      <c r="P11466" s="8" t="s">
        <v>48541</v>
      </c>
      <c r="Q11466" s="8">
        <f>+(10+58/60+6/3600)</f>
        <v>10.968333333333334</v>
      </c>
      <c r="R11466" s="8">
        <v>14.4</v>
      </c>
      <c r="S11466" s="8">
        <v>15.4</v>
      </c>
      <c r="T11466" s="8">
        <v>1</v>
      </c>
      <c r="U11466" s="8">
        <v>11</v>
      </c>
      <c r="V11466" s="8">
        <v>0.2</v>
      </c>
      <c r="W11466" s="8">
        <v>0.2</v>
      </c>
      <c r="Y11466" s="8" t="s">
        <v>1250</v>
      </c>
      <c r="Z11466" s="8" t="s">
        <v>1251</v>
      </c>
    </row>
    <row r="11467" spans="1:26" x14ac:dyDescent="0.2">
      <c r="A11467" s="8">
        <v>11466</v>
      </c>
      <c r="B11467" s="8" t="s">
        <v>48542</v>
      </c>
      <c r="C11467" s="8" t="s">
        <v>48542</v>
      </c>
      <c r="G11467" s="8">
        <v>20</v>
      </c>
      <c r="H11467" s="8" t="s">
        <v>21</v>
      </c>
      <c r="I11467" s="8" t="s">
        <v>22</v>
      </c>
      <c r="J11467" s="8" t="s">
        <v>22</v>
      </c>
      <c r="K11467" s="8" t="s">
        <v>476</v>
      </c>
      <c r="L11467" s="8" t="s">
        <v>18289</v>
      </c>
      <c r="M11467" s="8" t="s">
        <v>18290</v>
      </c>
      <c r="N11467" s="8" t="s">
        <v>48543</v>
      </c>
      <c r="O11467" s="8">
        <f>12+39/60+31.6/3600</f>
        <v>12.658777777777779</v>
      </c>
      <c r="P11467" s="8" t="s">
        <v>48544</v>
      </c>
      <c r="Q11467" s="8">
        <f>+(25+40/60+36/3600)</f>
        <v>25.676666666666669</v>
      </c>
      <c r="R11467" s="8">
        <v>14.9</v>
      </c>
      <c r="S11467" s="8">
        <v>15.7</v>
      </c>
      <c r="T11467" s="8">
        <v>0.8</v>
      </c>
      <c r="U11467" s="8">
        <v>11.7</v>
      </c>
      <c r="V11467" s="8">
        <v>0.3</v>
      </c>
      <c r="W11467" s="8">
        <v>0.2</v>
      </c>
      <c r="X11467" s="8">
        <v>10</v>
      </c>
      <c r="Y11467" s="8" t="s">
        <v>48020</v>
      </c>
      <c r="Z11467" s="8" t="s">
        <v>48021</v>
      </c>
    </row>
    <row r="11468" spans="1:26" x14ac:dyDescent="0.2">
      <c r="A11468" s="8">
        <v>11467</v>
      </c>
      <c r="B11468" s="8" t="s">
        <v>48545</v>
      </c>
      <c r="C11468" s="8" t="s">
        <v>48545</v>
      </c>
      <c r="G11468" s="8">
        <v>20</v>
      </c>
      <c r="H11468" s="8" t="s">
        <v>21</v>
      </c>
      <c r="I11468" s="8" t="s">
        <v>22</v>
      </c>
      <c r="J11468" s="8" t="s">
        <v>22</v>
      </c>
      <c r="K11468" s="8" t="s">
        <v>449</v>
      </c>
      <c r="L11468" s="8" t="s">
        <v>18289</v>
      </c>
      <c r="M11468" s="8" t="s">
        <v>18290</v>
      </c>
      <c r="N11468" s="8" t="s">
        <v>48546</v>
      </c>
      <c r="O11468" s="8">
        <f>12+39/60+31.9/3600</f>
        <v>12.658861111111111</v>
      </c>
      <c r="P11468" s="8" t="s">
        <v>48547</v>
      </c>
      <c r="Q11468" s="8">
        <f>+(27+29/60+52/3600)</f>
        <v>27.497777777777777</v>
      </c>
      <c r="R11468" s="8">
        <v>16</v>
      </c>
      <c r="S11468" s="8">
        <v>16.8</v>
      </c>
      <c r="T11468" s="8">
        <v>0.8</v>
      </c>
      <c r="U11468" s="8">
        <v>13.1</v>
      </c>
      <c r="V11468" s="8">
        <v>0.4</v>
      </c>
      <c r="W11468" s="8">
        <v>0.2</v>
      </c>
      <c r="X11468" s="8">
        <v>80</v>
      </c>
      <c r="Y11468" s="8" t="s">
        <v>45218</v>
      </c>
      <c r="Z11468" s="8" t="s">
        <v>45219</v>
      </c>
    </row>
    <row r="11469" spans="1:26" x14ac:dyDescent="0.2">
      <c r="A11469" s="8">
        <v>11468</v>
      </c>
      <c r="B11469" s="8" t="s">
        <v>48548</v>
      </c>
      <c r="C11469" s="8" t="s">
        <v>48548</v>
      </c>
      <c r="G11469" s="8">
        <v>20</v>
      </c>
      <c r="H11469" s="8" t="s">
        <v>21</v>
      </c>
      <c r="I11469" s="8" t="s">
        <v>72</v>
      </c>
      <c r="J11469" s="8" t="s">
        <v>72</v>
      </c>
      <c r="K11469" s="8" t="s">
        <v>20</v>
      </c>
      <c r="L11469" s="8" t="s">
        <v>18289</v>
      </c>
      <c r="M11469" s="8" t="s">
        <v>18290</v>
      </c>
      <c r="N11469" s="8" t="s">
        <v>48549</v>
      </c>
      <c r="O11469" s="8">
        <f>12+39/60+38.8/3600</f>
        <v>12.660777777777778</v>
      </c>
      <c r="P11469" s="8" t="s">
        <v>48550</v>
      </c>
      <c r="Q11469" s="8">
        <f>+(26+14/60+19/3600)</f>
        <v>26.238611111111112</v>
      </c>
      <c r="R11469" s="8">
        <v>99</v>
      </c>
      <c r="S11469" s="8">
        <v>15.1</v>
      </c>
      <c r="T11469" s="8">
        <v>99</v>
      </c>
      <c r="U11469" s="8">
        <v>99</v>
      </c>
      <c r="Y11469" s="8" t="s">
        <v>227</v>
      </c>
      <c r="Z11469" s="8" t="s">
        <v>228</v>
      </c>
    </row>
    <row r="11470" spans="1:26" x14ac:dyDescent="0.2">
      <c r="A11470" s="8">
        <v>11469</v>
      </c>
      <c r="B11470" s="8" t="s">
        <v>48551</v>
      </c>
      <c r="C11470" s="8" t="s">
        <v>48551</v>
      </c>
      <c r="G11470" s="8">
        <v>20</v>
      </c>
      <c r="H11470" s="8" t="s">
        <v>21</v>
      </c>
      <c r="I11470" s="8" t="s">
        <v>22</v>
      </c>
      <c r="J11470" s="8" t="s">
        <v>22</v>
      </c>
      <c r="K11470" s="8" t="s">
        <v>396</v>
      </c>
      <c r="L11470" s="8" t="s">
        <v>18289</v>
      </c>
      <c r="M11470" s="8" t="s">
        <v>18290</v>
      </c>
      <c r="N11470" s="8" t="s">
        <v>48552</v>
      </c>
      <c r="O11470" s="8">
        <f>12+39/60+46.8/3600</f>
        <v>12.663</v>
      </c>
      <c r="P11470" s="8" t="s">
        <v>48553</v>
      </c>
      <c r="Q11470" s="8">
        <f>+(13+31/60+59/3600)</f>
        <v>13.533055555555556</v>
      </c>
      <c r="R11470" s="8">
        <v>14.5</v>
      </c>
      <c r="S11470" s="8">
        <v>15.3</v>
      </c>
      <c r="T11470" s="8">
        <v>0.8</v>
      </c>
      <c r="U11470" s="8">
        <v>12.7</v>
      </c>
      <c r="V11470" s="8">
        <v>0.7</v>
      </c>
      <c r="W11470" s="8">
        <v>0.3</v>
      </c>
      <c r="X11470" s="8">
        <v>75</v>
      </c>
      <c r="Y11470" s="8" t="s">
        <v>21</v>
      </c>
      <c r="Z11470" s="8" t="s">
        <v>48554</v>
      </c>
    </row>
    <row r="11471" spans="1:26" x14ac:dyDescent="0.2">
      <c r="A11471" s="8">
        <v>11470</v>
      </c>
      <c r="B11471" s="8" t="s">
        <v>48555</v>
      </c>
      <c r="C11471" s="8" t="s">
        <v>48555</v>
      </c>
      <c r="G11471" s="8">
        <v>20</v>
      </c>
      <c r="H11471" s="8" t="s">
        <v>21</v>
      </c>
      <c r="I11471" s="8" t="s">
        <v>72</v>
      </c>
      <c r="J11471" s="8" t="s">
        <v>72</v>
      </c>
      <c r="K11471" s="8" t="s">
        <v>20</v>
      </c>
      <c r="L11471" s="8" t="s">
        <v>18289</v>
      </c>
      <c r="M11471" s="8" t="s">
        <v>18290</v>
      </c>
      <c r="N11471" s="8" t="s">
        <v>48556</v>
      </c>
      <c r="O11471" s="8">
        <f>12+39/60+46.6/3600</f>
        <v>12.662944444444445</v>
      </c>
      <c r="P11471" s="8" t="s">
        <v>48557</v>
      </c>
      <c r="Q11471" s="8">
        <f>+(25+25/60+57/3600)</f>
        <v>25.432500000000001</v>
      </c>
      <c r="R11471" s="8">
        <v>99</v>
      </c>
      <c r="S11471" s="8">
        <v>15.3</v>
      </c>
      <c r="T11471" s="8">
        <v>99</v>
      </c>
      <c r="U11471" s="8">
        <v>99</v>
      </c>
      <c r="Y11471" s="8" t="s">
        <v>48558</v>
      </c>
      <c r="Z11471" s="8" t="s">
        <v>48559</v>
      </c>
    </row>
    <row r="11472" spans="1:26" x14ac:dyDescent="0.2">
      <c r="A11472" s="8">
        <v>11471</v>
      </c>
      <c r="B11472" s="8" t="s">
        <v>48560</v>
      </c>
      <c r="C11472" s="8" t="s">
        <v>48560</v>
      </c>
      <c r="G11472" s="8">
        <v>20</v>
      </c>
      <c r="H11472" s="8" t="s">
        <v>21</v>
      </c>
      <c r="I11472" s="8" t="s">
        <v>22</v>
      </c>
      <c r="J11472" s="8" t="s">
        <v>22</v>
      </c>
      <c r="K11472" s="8" t="s">
        <v>632</v>
      </c>
      <c r="L11472" s="8" t="s">
        <v>17287</v>
      </c>
      <c r="M11472" s="8" t="s">
        <v>17288</v>
      </c>
      <c r="N11472" s="8" t="s">
        <v>48561</v>
      </c>
      <c r="O11472" s="8">
        <f>12+39/60+47.9/3600</f>
        <v>12.663305555555556</v>
      </c>
      <c r="P11472" s="8" t="s">
        <v>48562</v>
      </c>
      <c r="Q11472" s="8">
        <f>+(12+58/60+28/3600)</f>
        <v>12.974444444444444</v>
      </c>
      <c r="R11472" s="8">
        <v>13.2</v>
      </c>
      <c r="S11472" s="8">
        <v>14.1</v>
      </c>
      <c r="T11472" s="8">
        <v>0.9</v>
      </c>
      <c r="U11472" s="8">
        <v>12.1</v>
      </c>
      <c r="V11472" s="8">
        <v>0.8</v>
      </c>
      <c r="W11472" s="8">
        <v>0.5</v>
      </c>
      <c r="X11472" s="8">
        <v>90</v>
      </c>
      <c r="Y11472" s="8" t="s">
        <v>48015</v>
      </c>
      <c r="Z11472" s="8" t="s">
        <v>48016</v>
      </c>
    </row>
    <row r="11473" spans="1:26" x14ac:dyDescent="0.2">
      <c r="A11473" s="8">
        <v>11472</v>
      </c>
      <c r="B11473" s="8" t="s">
        <v>48563</v>
      </c>
      <c r="C11473" s="8" t="s">
        <v>48563</v>
      </c>
      <c r="G11473" s="8">
        <v>20</v>
      </c>
      <c r="H11473" s="8" t="s">
        <v>21</v>
      </c>
      <c r="I11473" s="8" t="s">
        <v>22</v>
      </c>
      <c r="J11473" s="8" t="s">
        <v>22</v>
      </c>
      <c r="K11473" s="8" t="s">
        <v>449</v>
      </c>
      <c r="L11473" s="8" t="s">
        <v>18289</v>
      </c>
      <c r="M11473" s="8" t="s">
        <v>18290</v>
      </c>
      <c r="N11473" s="8" t="s">
        <v>48564</v>
      </c>
      <c r="O11473" s="8">
        <f>12+39/60+59.9/3600</f>
        <v>12.666638888888889</v>
      </c>
      <c r="P11473" s="8" t="s">
        <v>48565</v>
      </c>
      <c r="Q11473" s="8">
        <f>+(26+40/60+56/3600)</f>
        <v>26.682222222222222</v>
      </c>
      <c r="R11473" s="8">
        <v>16.7</v>
      </c>
      <c r="S11473" s="8">
        <v>17.5</v>
      </c>
      <c r="T11473" s="8">
        <v>0.8</v>
      </c>
      <c r="U11473" s="8">
        <v>13.5</v>
      </c>
      <c r="V11473" s="8">
        <v>0.3</v>
      </c>
      <c r="W11473" s="8">
        <v>0.2</v>
      </c>
      <c r="X11473" s="8">
        <v>90</v>
      </c>
      <c r="Y11473" s="8" t="s">
        <v>48566</v>
      </c>
      <c r="Z11473" s="8" t="s">
        <v>48567</v>
      </c>
    </row>
    <row r="11474" spans="1:26" x14ac:dyDescent="0.2">
      <c r="A11474" s="8">
        <v>11473</v>
      </c>
      <c r="B11474" s="8" t="s">
        <v>48568</v>
      </c>
      <c r="C11474" s="8" t="s">
        <v>48568</v>
      </c>
      <c r="G11474" s="8">
        <v>20</v>
      </c>
      <c r="H11474" s="8" t="s">
        <v>21</v>
      </c>
      <c r="I11474" s="8" t="s">
        <v>22</v>
      </c>
      <c r="J11474" s="8" t="s">
        <v>22</v>
      </c>
      <c r="K11474" s="8" t="s">
        <v>818</v>
      </c>
      <c r="L11474" s="8" t="s">
        <v>17287</v>
      </c>
      <c r="M11474" s="8" t="s">
        <v>17288</v>
      </c>
      <c r="N11474" s="8" t="s">
        <v>48569</v>
      </c>
      <c r="O11474" s="8">
        <f>12+40/60+11.2/3600</f>
        <v>12.669777777777778</v>
      </c>
      <c r="P11474" s="8" t="s">
        <v>48570</v>
      </c>
      <c r="Q11474" s="8">
        <f>+(9+53/60+48/3600)</f>
        <v>9.8966666666666665</v>
      </c>
      <c r="R11474" s="8">
        <v>14.4</v>
      </c>
      <c r="S11474" s="8">
        <v>15.4</v>
      </c>
      <c r="T11474" s="8">
        <v>1</v>
      </c>
      <c r="U11474" s="8">
        <v>12.4</v>
      </c>
      <c r="V11474" s="8">
        <v>0.5</v>
      </c>
      <c r="W11474" s="8">
        <v>0.3</v>
      </c>
      <c r="X11474" s="8">
        <v>125</v>
      </c>
      <c r="Y11474" s="8" t="s">
        <v>48571</v>
      </c>
      <c r="Z11474" s="8" t="s">
        <v>48572</v>
      </c>
    </row>
    <row r="11475" spans="1:26" x14ac:dyDescent="0.2">
      <c r="A11475" s="8">
        <v>11474</v>
      </c>
      <c r="B11475" s="8" t="s">
        <v>48573</v>
      </c>
      <c r="C11475" s="8" t="s">
        <v>48573</v>
      </c>
      <c r="G11475" s="8">
        <v>20</v>
      </c>
      <c r="H11475" s="8" t="s">
        <v>21</v>
      </c>
      <c r="I11475" s="8" t="s">
        <v>22</v>
      </c>
      <c r="J11475" s="8" t="s">
        <v>22</v>
      </c>
      <c r="K11475" s="8" t="s">
        <v>818</v>
      </c>
      <c r="L11475" s="8" t="s">
        <v>17287</v>
      </c>
      <c r="M11475" s="8" t="s">
        <v>17288</v>
      </c>
      <c r="N11475" s="8" t="s">
        <v>48574</v>
      </c>
      <c r="O11475" s="8">
        <f>12+40/60+11.4/3600</f>
        <v>12.669833333333333</v>
      </c>
      <c r="P11475" s="8" t="s">
        <v>48575</v>
      </c>
      <c r="Q11475" s="8">
        <f>+(9+50/60+50/3600)</f>
        <v>9.8472222222222232</v>
      </c>
      <c r="R11475" s="8">
        <v>14.8</v>
      </c>
      <c r="S11475" s="8">
        <v>15.8</v>
      </c>
      <c r="T11475" s="8">
        <v>1</v>
      </c>
      <c r="U11475" s="8">
        <v>13.6</v>
      </c>
      <c r="V11475" s="8">
        <v>0.6</v>
      </c>
      <c r="W11475" s="8">
        <v>0.5</v>
      </c>
      <c r="Y11475" s="8" t="s">
        <v>48576</v>
      </c>
      <c r="Z11475" s="8" t="s">
        <v>48577</v>
      </c>
    </row>
    <row r="11476" spans="1:26" x14ac:dyDescent="0.2">
      <c r="A11476" s="8">
        <v>11475</v>
      </c>
      <c r="B11476" s="8" t="s">
        <v>48578</v>
      </c>
      <c r="C11476" s="8" t="s">
        <v>48578</v>
      </c>
      <c r="G11476" s="8">
        <v>20</v>
      </c>
      <c r="H11476" s="8" t="s">
        <v>21</v>
      </c>
      <c r="I11476" s="8" t="s">
        <v>22</v>
      </c>
      <c r="J11476" s="8" t="s">
        <v>22</v>
      </c>
      <c r="K11476" s="8" t="s">
        <v>160</v>
      </c>
      <c r="L11476" s="8" t="s">
        <v>17287</v>
      </c>
      <c r="M11476" s="8" t="s">
        <v>17288</v>
      </c>
      <c r="N11476" s="8" t="s">
        <v>48579</v>
      </c>
      <c r="O11476" s="8">
        <f>12+40/60+13.3/3600</f>
        <v>12.670361111111111</v>
      </c>
      <c r="P11476" s="8" t="s">
        <v>48580</v>
      </c>
      <c r="Q11476" s="8">
        <f>+(12+52/60+31/3600)</f>
        <v>12.875277777777779</v>
      </c>
      <c r="R11476" s="8">
        <v>14.3</v>
      </c>
      <c r="S11476" s="8">
        <v>15</v>
      </c>
      <c r="T11476" s="8">
        <v>0.7</v>
      </c>
      <c r="U11476" s="8">
        <v>13.2</v>
      </c>
      <c r="V11476" s="8">
        <v>0.9</v>
      </c>
      <c r="W11476" s="8">
        <v>0.7</v>
      </c>
      <c r="X11476" s="8">
        <v>168</v>
      </c>
      <c r="Y11476" s="8" t="s">
        <v>3952</v>
      </c>
      <c r="Z11476" s="8" t="s">
        <v>3953</v>
      </c>
    </row>
    <row r="11477" spans="1:26" x14ac:dyDescent="0.2">
      <c r="A11477" s="8">
        <v>11476</v>
      </c>
      <c r="B11477" s="8" t="s">
        <v>48581</v>
      </c>
      <c r="C11477" s="8" t="s">
        <v>48581</v>
      </c>
      <c r="G11477" s="8">
        <v>20</v>
      </c>
      <c r="H11477" s="8" t="s">
        <v>21</v>
      </c>
      <c r="I11477" s="8" t="s">
        <v>72</v>
      </c>
      <c r="J11477" s="8" t="s">
        <v>72</v>
      </c>
      <c r="K11477" s="8" t="s">
        <v>73</v>
      </c>
      <c r="L11477" s="8" t="s">
        <v>18289</v>
      </c>
      <c r="M11477" s="8" t="s">
        <v>18290</v>
      </c>
      <c r="N11477" s="8" t="s">
        <v>48582</v>
      </c>
      <c r="O11477" s="8">
        <f>12+40/60+15.4/3600</f>
        <v>12.670944444444444</v>
      </c>
      <c r="P11477" s="8" t="s">
        <v>48583</v>
      </c>
      <c r="Q11477" s="8">
        <f>+(22+4/60+31/3600)</f>
        <v>22.075277777777778</v>
      </c>
      <c r="R11477" s="8">
        <v>99</v>
      </c>
      <c r="S11477" s="8">
        <v>99</v>
      </c>
      <c r="T11477" s="8">
        <v>99</v>
      </c>
      <c r="U11477" s="8">
        <v>99</v>
      </c>
      <c r="Y11477" s="8" t="s">
        <v>48584</v>
      </c>
      <c r="Z11477" s="8" t="s">
        <v>48585</v>
      </c>
    </row>
    <row r="11478" spans="1:26" x14ac:dyDescent="0.2">
      <c r="A11478" s="8">
        <v>11477</v>
      </c>
      <c r="B11478" s="8" t="s">
        <v>48586</v>
      </c>
      <c r="C11478" s="8" t="s">
        <v>48586</v>
      </c>
      <c r="G11478" s="8">
        <v>20</v>
      </c>
      <c r="H11478" s="8" t="s">
        <v>21</v>
      </c>
      <c r="I11478" s="8" t="s">
        <v>22</v>
      </c>
      <c r="J11478" s="8" t="s">
        <v>22</v>
      </c>
      <c r="K11478" s="8" t="s">
        <v>48587</v>
      </c>
      <c r="L11478" s="8" t="s">
        <v>18289</v>
      </c>
      <c r="M11478" s="8" t="s">
        <v>18290</v>
      </c>
      <c r="N11478" s="8" t="s">
        <v>48588</v>
      </c>
      <c r="O11478" s="8">
        <f>12+40/60+19.4/3600</f>
        <v>12.672055555555556</v>
      </c>
      <c r="P11478" s="8" t="s">
        <v>48589</v>
      </c>
      <c r="Q11478" s="8">
        <f>+(14+42/60+54/3600)</f>
        <v>14.715</v>
      </c>
      <c r="R11478" s="8">
        <v>13.7</v>
      </c>
      <c r="S11478" s="8">
        <v>14.8</v>
      </c>
      <c r="T11478" s="8">
        <v>1.1000000000000001</v>
      </c>
      <c r="U11478" s="8">
        <v>14.5</v>
      </c>
      <c r="V11478" s="8">
        <v>2.2000000000000002</v>
      </c>
      <c r="W11478" s="8">
        <v>1</v>
      </c>
      <c r="X11478" s="8">
        <v>18</v>
      </c>
      <c r="Y11478" s="8" t="s">
        <v>35781</v>
      </c>
      <c r="Z11478" s="8" t="s">
        <v>35782</v>
      </c>
    </row>
    <row r="11479" spans="1:26" x14ac:dyDescent="0.2">
      <c r="A11479" s="8">
        <v>11478</v>
      </c>
      <c r="B11479" s="8" t="s">
        <v>48590</v>
      </c>
      <c r="C11479" s="8" t="s">
        <v>48590</v>
      </c>
      <c r="G11479" s="8">
        <v>20</v>
      </c>
      <c r="H11479" s="8" t="s">
        <v>21</v>
      </c>
      <c r="I11479" s="8" t="s">
        <v>22</v>
      </c>
      <c r="J11479" s="8" t="s">
        <v>22</v>
      </c>
      <c r="K11479" s="8" t="s">
        <v>396</v>
      </c>
      <c r="L11479" s="8" t="s">
        <v>17287</v>
      </c>
      <c r="M11479" s="8" t="s">
        <v>17288</v>
      </c>
      <c r="N11479" s="8" t="s">
        <v>48591</v>
      </c>
      <c r="O11479" s="8">
        <f>12+40/60+16.6/3600</f>
        <v>12.671277777777776</v>
      </c>
      <c r="P11479" s="8" t="s">
        <v>48592</v>
      </c>
      <c r="Q11479" s="8">
        <f>+(10+31/60+7/3600)</f>
        <v>10.518611111111111</v>
      </c>
      <c r="R11479" s="8">
        <v>14.3</v>
      </c>
      <c r="S11479" s="8">
        <v>15.1</v>
      </c>
      <c r="T11479" s="8">
        <v>0.8</v>
      </c>
      <c r="U11479" s="8">
        <v>13.6</v>
      </c>
      <c r="V11479" s="8">
        <v>0.9</v>
      </c>
      <c r="W11479" s="8">
        <v>0.7</v>
      </c>
      <c r="X11479" s="8">
        <v>120</v>
      </c>
      <c r="Y11479" s="8" t="s">
        <v>48593</v>
      </c>
      <c r="Z11479" s="8" t="s">
        <v>48594</v>
      </c>
    </row>
    <row r="11480" spans="1:26" x14ac:dyDescent="0.2">
      <c r="A11480" s="8">
        <v>11479</v>
      </c>
      <c r="B11480" s="8" t="s">
        <v>48595</v>
      </c>
      <c r="C11480" s="8" t="s">
        <v>48595</v>
      </c>
      <c r="G11480" s="8">
        <v>20</v>
      </c>
      <c r="H11480" s="8" t="s">
        <v>21</v>
      </c>
      <c r="I11480" s="8" t="s">
        <v>22</v>
      </c>
      <c r="J11480" s="8" t="s">
        <v>22</v>
      </c>
      <c r="K11480" s="8" t="s">
        <v>85</v>
      </c>
      <c r="L11480" s="8" t="s">
        <v>16195</v>
      </c>
      <c r="M11480" s="8" t="s">
        <v>16196</v>
      </c>
      <c r="N11480" s="8" t="s">
        <v>48596</v>
      </c>
      <c r="O11480" s="8">
        <f>12+40/60+52.9/3600</f>
        <v>12.68136111111111</v>
      </c>
      <c r="P11480" s="8" t="s">
        <v>48597</v>
      </c>
      <c r="Q11480" s="8">
        <f>-(36+45/60+21/3600)</f>
        <v>-36.755833333333335</v>
      </c>
      <c r="R11480" s="8">
        <v>12.3</v>
      </c>
      <c r="S11480" s="8">
        <v>13.1</v>
      </c>
      <c r="T11480" s="8">
        <v>0.8</v>
      </c>
      <c r="U11480" s="8">
        <v>12.5</v>
      </c>
      <c r="V11480" s="8">
        <v>1.2</v>
      </c>
      <c r="W11480" s="8">
        <v>1.2</v>
      </c>
      <c r="Y11480" s="8" t="s">
        <v>21</v>
      </c>
      <c r="Z11480" s="8" t="s">
        <v>48598</v>
      </c>
    </row>
    <row r="11481" spans="1:26" x14ac:dyDescent="0.2">
      <c r="A11481" s="8">
        <v>11480</v>
      </c>
      <c r="B11481" s="8" t="s">
        <v>48599</v>
      </c>
      <c r="C11481" s="8" t="s">
        <v>48599</v>
      </c>
      <c r="G11481" s="8">
        <v>20</v>
      </c>
      <c r="H11481" s="8" t="s">
        <v>21</v>
      </c>
      <c r="I11481" s="8" t="s">
        <v>22</v>
      </c>
      <c r="J11481" s="8" t="s">
        <v>22</v>
      </c>
      <c r="K11481" s="8" t="s">
        <v>449</v>
      </c>
      <c r="L11481" s="8" t="s">
        <v>18289</v>
      </c>
      <c r="M11481" s="8" t="s">
        <v>18290</v>
      </c>
      <c r="N11481" s="8" t="s">
        <v>48600</v>
      </c>
      <c r="O11481" s="8">
        <f>12+40/60+25.1/3600</f>
        <v>12.673638888888888</v>
      </c>
      <c r="P11481" s="8" t="s">
        <v>48601</v>
      </c>
      <c r="Q11481" s="8">
        <f>+(26+31/60+28/3600)</f>
        <v>26.524444444444445</v>
      </c>
      <c r="R11481" s="8">
        <v>14.7</v>
      </c>
      <c r="S11481" s="8">
        <v>15.5</v>
      </c>
      <c r="T11481" s="8">
        <v>0.8</v>
      </c>
      <c r="U11481" s="8">
        <v>11.8</v>
      </c>
      <c r="V11481" s="8">
        <v>0.4</v>
      </c>
      <c r="W11481" s="8">
        <v>0.2</v>
      </c>
      <c r="X11481" s="8">
        <v>40</v>
      </c>
      <c r="Y11481" s="8" t="s">
        <v>48602</v>
      </c>
      <c r="Z11481" s="8" t="s">
        <v>48603</v>
      </c>
    </row>
    <row r="11482" spans="1:26" x14ac:dyDescent="0.2">
      <c r="A11482" s="8">
        <v>11481</v>
      </c>
      <c r="B11482" s="8" t="s">
        <v>48604</v>
      </c>
      <c r="C11482" s="8" t="s">
        <v>48604</v>
      </c>
      <c r="G11482" s="8">
        <v>20</v>
      </c>
      <c r="H11482" s="8" t="s">
        <v>21</v>
      </c>
      <c r="I11482" s="8" t="s">
        <v>22</v>
      </c>
      <c r="J11482" s="8" t="s">
        <v>22</v>
      </c>
      <c r="K11482" s="8" t="s">
        <v>449</v>
      </c>
      <c r="L11482" s="8" t="s">
        <v>18289</v>
      </c>
      <c r="M11482" s="8" t="s">
        <v>18290</v>
      </c>
      <c r="N11482" s="8" t="s">
        <v>48605</v>
      </c>
      <c r="O11482" s="8">
        <f>12+40/60+26.8/3600</f>
        <v>12.674111111111111</v>
      </c>
      <c r="P11482" s="8" t="s">
        <v>48606</v>
      </c>
      <c r="Q11482" s="8">
        <f>+(26+31/60+18/3600)</f>
        <v>26.521666666666665</v>
      </c>
      <c r="R11482" s="8">
        <v>16.7</v>
      </c>
      <c r="S11482" s="8">
        <v>17.5</v>
      </c>
      <c r="T11482" s="8">
        <v>0.8</v>
      </c>
      <c r="U11482" s="8">
        <v>12.5</v>
      </c>
      <c r="V11482" s="8">
        <v>0.25</v>
      </c>
      <c r="W11482" s="8">
        <v>0.1</v>
      </c>
      <c r="X11482" s="8">
        <v>170</v>
      </c>
      <c r="Y11482" s="8" t="s">
        <v>48602</v>
      </c>
      <c r="Z11482" s="8" t="s">
        <v>48603</v>
      </c>
    </row>
    <row r="11483" spans="1:26" x14ac:dyDescent="0.2">
      <c r="A11483" s="8">
        <v>11482</v>
      </c>
      <c r="B11483" s="8" t="s">
        <v>48607</v>
      </c>
      <c r="C11483" s="8" t="s">
        <v>48607</v>
      </c>
      <c r="G11483" s="8">
        <v>20</v>
      </c>
      <c r="H11483" s="8" t="s">
        <v>21</v>
      </c>
      <c r="I11483" s="8" t="s">
        <v>22</v>
      </c>
      <c r="J11483" s="8" t="s">
        <v>22</v>
      </c>
      <c r="K11483" s="8" t="s">
        <v>460</v>
      </c>
      <c r="L11483" s="8" t="s">
        <v>18289</v>
      </c>
      <c r="M11483" s="8" t="s">
        <v>18290</v>
      </c>
      <c r="N11483" s="8" t="s">
        <v>48608</v>
      </c>
      <c r="O11483" s="8">
        <f>12+40/60+25.9/3600</f>
        <v>12.67386111111111</v>
      </c>
      <c r="P11483" s="8" t="s">
        <v>48609</v>
      </c>
      <c r="Q11483" s="8">
        <f>+(26+43/60+54/3600)</f>
        <v>26.731666666666666</v>
      </c>
      <c r="R11483" s="8">
        <v>14.8</v>
      </c>
      <c r="S11483" s="8">
        <v>15.8</v>
      </c>
      <c r="T11483" s="8">
        <v>1</v>
      </c>
      <c r="U11483" s="8">
        <v>12.3</v>
      </c>
      <c r="V11483" s="8">
        <v>0.3</v>
      </c>
      <c r="W11483" s="8">
        <v>0.3</v>
      </c>
      <c r="Y11483" s="8" t="s">
        <v>48610</v>
      </c>
      <c r="Z11483" s="8" t="s">
        <v>48611</v>
      </c>
    </row>
    <row r="11484" spans="1:26" x14ac:dyDescent="0.2">
      <c r="A11484" s="8">
        <v>11483</v>
      </c>
      <c r="B11484" s="8" t="s">
        <v>48612</v>
      </c>
      <c r="C11484" s="8" t="s">
        <v>48612</v>
      </c>
      <c r="G11484" s="8">
        <v>20</v>
      </c>
      <c r="H11484" s="8" t="s">
        <v>21</v>
      </c>
      <c r="I11484" s="8" t="s">
        <v>22</v>
      </c>
      <c r="J11484" s="8" t="s">
        <v>22</v>
      </c>
      <c r="K11484" s="8" t="s">
        <v>37986</v>
      </c>
      <c r="L11484" s="8" t="s">
        <v>17287</v>
      </c>
      <c r="M11484" s="8" t="s">
        <v>17288</v>
      </c>
      <c r="N11484" s="8" t="s">
        <v>48613</v>
      </c>
      <c r="O11484" s="8">
        <f>12+40/60+40.9/3600</f>
        <v>12.678027777777777</v>
      </c>
      <c r="P11484" s="8" t="s">
        <v>48614</v>
      </c>
      <c r="Q11484" s="8">
        <f>+(12+24/60+24/3600)</f>
        <v>12.406666666666666</v>
      </c>
      <c r="R11484" s="8">
        <v>15.4</v>
      </c>
      <c r="S11484" s="8">
        <v>16.2</v>
      </c>
      <c r="T11484" s="8">
        <v>0.8</v>
      </c>
      <c r="U11484" s="8">
        <v>13.5</v>
      </c>
      <c r="V11484" s="8">
        <v>0.5</v>
      </c>
      <c r="W11484" s="8">
        <v>0.4</v>
      </c>
      <c r="X11484" s="8">
        <v>90</v>
      </c>
      <c r="Y11484" s="8" t="s">
        <v>48471</v>
      </c>
      <c r="Z11484" s="8" t="s">
        <v>48472</v>
      </c>
    </row>
    <row r="11485" spans="1:26" x14ac:dyDescent="0.2">
      <c r="A11485" s="8">
        <v>11484</v>
      </c>
      <c r="B11485" s="8" t="s">
        <v>48615</v>
      </c>
      <c r="C11485" s="8" t="s">
        <v>48615</v>
      </c>
      <c r="G11485" s="8">
        <v>20</v>
      </c>
      <c r="H11485" s="8" t="s">
        <v>21</v>
      </c>
      <c r="I11485" s="8" t="s">
        <v>22</v>
      </c>
      <c r="J11485" s="8" t="s">
        <v>22</v>
      </c>
      <c r="K11485" s="8" t="s">
        <v>23</v>
      </c>
      <c r="L11485" s="8" t="s">
        <v>18289</v>
      </c>
      <c r="M11485" s="8" t="s">
        <v>18290</v>
      </c>
      <c r="N11485" s="8" t="s">
        <v>48616</v>
      </c>
      <c r="O11485" s="8">
        <f>12+40/60+36.1/3600</f>
        <v>12.676694444444443</v>
      </c>
      <c r="P11485" s="8" t="s">
        <v>48617</v>
      </c>
      <c r="Q11485" s="8">
        <f>+(26+30/60+17/3600)</f>
        <v>26.504722222222224</v>
      </c>
      <c r="R11485" s="8">
        <v>14.6</v>
      </c>
      <c r="S11485" s="8">
        <v>15.4</v>
      </c>
      <c r="T11485" s="8">
        <v>0.8</v>
      </c>
      <c r="U11485" s="8">
        <v>12.6</v>
      </c>
      <c r="V11485" s="8">
        <v>0.9</v>
      </c>
      <c r="W11485" s="8">
        <v>0.2</v>
      </c>
      <c r="X11485" s="8">
        <v>15</v>
      </c>
      <c r="Y11485" s="8" t="s">
        <v>5139</v>
      </c>
      <c r="Z11485" s="8" t="s">
        <v>5140</v>
      </c>
    </row>
    <row r="11486" spans="1:26" x14ac:dyDescent="0.2">
      <c r="A11486" s="8">
        <v>11485</v>
      </c>
      <c r="B11486" s="8" t="s">
        <v>48618</v>
      </c>
      <c r="C11486" s="8" t="s">
        <v>48618</v>
      </c>
      <c r="G11486" s="8">
        <v>20</v>
      </c>
      <c r="H11486" s="8" t="s">
        <v>21</v>
      </c>
      <c r="I11486" s="8" t="s">
        <v>72</v>
      </c>
      <c r="J11486" s="8" t="s">
        <v>72</v>
      </c>
      <c r="K11486" s="8" t="s">
        <v>20</v>
      </c>
      <c r="L11486" s="8" t="s">
        <v>18289</v>
      </c>
      <c r="M11486" s="8" t="s">
        <v>18290</v>
      </c>
      <c r="N11486" s="8" t="s">
        <v>48619</v>
      </c>
      <c r="O11486" s="8">
        <f>12+40/60+37.6/3600</f>
        <v>12.67711111111111</v>
      </c>
      <c r="P11486" s="8" t="s">
        <v>48620</v>
      </c>
      <c r="Q11486" s="8">
        <f>+(26+32/60+29/3600)</f>
        <v>26.541388888888889</v>
      </c>
      <c r="R11486" s="8">
        <v>99</v>
      </c>
      <c r="S11486" s="8">
        <v>99</v>
      </c>
      <c r="T11486" s="8">
        <v>99</v>
      </c>
      <c r="U11486" s="8">
        <v>99</v>
      </c>
      <c r="Y11486" s="8" t="s">
        <v>3952</v>
      </c>
      <c r="Z11486" s="8" t="s">
        <v>3953</v>
      </c>
    </row>
    <row r="11487" spans="1:26" x14ac:dyDescent="0.2">
      <c r="A11487" s="8">
        <v>11486</v>
      </c>
      <c r="B11487" s="8" t="s">
        <v>48621</v>
      </c>
      <c r="C11487" s="8" t="s">
        <v>48621</v>
      </c>
      <c r="G11487" s="8">
        <v>20</v>
      </c>
      <c r="H11487" s="8" t="s">
        <v>21</v>
      </c>
      <c r="I11487" s="8" t="s">
        <v>22</v>
      </c>
      <c r="J11487" s="8" t="s">
        <v>22</v>
      </c>
      <c r="K11487" s="8" t="s">
        <v>476</v>
      </c>
      <c r="L11487" s="8" t="s">
        <v>18289</v>
      </c>
      <c r="M11487" s="8" t="s">
        <v>18290</v>
      </c>
      <c r="N11487" s="8" t="s">
        <v>48622</v>
      </c>
      <c r="O11487" s="8">
        <f>12+40/60+38.6/3600</f>
        <v>12.677388888888888</v>
      </c>
      <c r="P11487" s="8" t="s">
        <v>48623</v>
      </c>
      <c r="Q11487" s="8">
        <f>+(26+31/60+32/3600)</f>
        <v>26.525555555555556</v>
      </c>
      <c r="R11487" s="8">
        <v>14.6</v>
      </c>
      <c r="S11487" s="8">
        <v>15.4</v>
      </c>
      <c r="T11487" s="8">
        <v>0.8</v>
      </c>
      <c r="U11487" s="8">
        <v>12.8</v>
      </c>
      <c r="V11487" s="8">
        <v>0.7</v>
      </c>
      <c r="W11487" s="8">
        <v>0.3</v>
      </c>
      <c r="X11487" s="8">
        <v>90</v>
      </c>
      <c r="Y11487" s="8" t="s">
        <v>21</v>
      </c>
      <c r="Z11487" s="8" t="s">
        <v>48624</v>
      </c>
    </row>
    <row r="11488" spans="1:26" x14ac:dyDescent="0.2">
      <c r="A11488" s="8">
        <v>11487</v>
      </c>
      <c r="B11488" s="8" t="s">
        <v>48625</v>
      </c>
      <c r="C11488" s="8" t="s">
        <v>48625</v>
      </c>
      <c r="G11488" s="8">
        <v>20</v>
      </c>
      <c r="H11488" s="8" t="s">
        <v>21</v>
      </c>
      <c r="I11488" s="8" t="s">
        <v>22</v>
      </c>
      <c r="J11488" s="8" t="s">
        <v>22</v>
      </c>
      <c r="K11488" s="8" t="s">
        <v>3616</v>
      </c>
      <c r="L11488" s="8" t="s">
        <v>17287</v>
      </c>
      <c r="M11488" s="8" t="s">
        <v>17288</v>
      </c>
      <c r="N11488" s="8" t="s">
        <v>48626</v>
      </c>
      <c r="O11488" s="8">
        <f>12+40/60+53/3600</f>
        <v>12.681388888888888</v>
      </c>
      <c r="P11488" s="8" t="s">
        <v>48627</v>
      </c>
      <c r="Q11488" s="8">
        <f>+(10+28/60+35/3600)</f>
        <v>10.47638888888889</v>
      </c>
      <c r="R11488" s="8">
        <v>13.9</v>
      </c>
      <c r="S11488" s="8">
        <v>14.5</v>
      </c>
      <c r="T11488" s="8">
        <v>0.6</v>
      </c>
      <c r="U11488" s="8">
        <v>14.1</v>
      </c>
      <c r="V11488" s="8">
        <v>1.6</v>
      </c>
      <c r="W11488" s="8">
        <v>0.9</v>
      </c>
      <c r="X11488" s="8">
        <v>140</v>
      </c>
      <c r="Y11488" s="8" t="s">
        <v>48628</v>
      </c>
      <c r="Z11488" s="8" t="s">
        <v>48629</v>
      </c>
    </row>
    <row r="11489" spans="1:26" x14ac:dyDescent="0.2">
      <c r="A11489" s="8">
        <v>11488</v>
      </c>
      <c r="B11489" s="8" t="s">
        <v>48630</v>
      </c>
      <c r="C11489" s="8" t="s">
        <v>48630</v>
      </c>
      <c r="G11489" s="8">
        <v>20</v>
      </c>
      <c r="H11489" s="8" t="s">
        <v>21</v>
      </c>
      <c r="I11489" s="8" t="s">
        <v>72</v>
      </c>
      <c r="J11489" s="8" t="s">
        <v>72</v>
      </c>
      <c r="K11489" s="8" t="s">
        <v>20</v>
      </c>
      <c r="L11489" s="8" t="s">
        <v>17287</v>
      </c>
      <c r="M11489" s="8" t="s">
        <v>17288</v>
      </c>
      <c r="N11489" s="8" t="s">
        <v>48631</v>
      </c>
      <c r="O11489" s="8">
        <f>12+40/60+52.2/3600</f>
        <v>12.681166666666666</v>
      </c>
      <c r="P11489" s="8" t="s">
        <v>48632</v>
      </c>
      <c r="Q11489" s="8">
        <f>+(12+59/60+4/3600)</f>
        <v>12.984444444444444</v>
      </c>
      <c r="R11489" s="8">
        <v>99</v>
      </c>
      <c r="S11489" s="8">
        <v>99</v>
      </c>
      <c r="T11489" s="8">
        <v>99</v>
      </c>
      <c r="U11489" s="8">
        <v>99</v>
      </c>
      <c r="Y11489" s="8" t="s">
        <v>48633</v>
      </c>
      <c r="Z11489" s="8" t="s">
        <v>48634</v>
      </c>
    </row>
    <row r="11490" spans="1:26" x14ac:dyDescent="0.2">
      <c r="A11490" s="8">
        <v>11489</v>
      </c>
      <c r="B11490" s="8" t="s">
        <v>48635</v>
      </c>
      <c r="C11490" s="8" t="s">
        <v>48635</v>
      </c>
      <c r="G11490" s="8">
        <v>20</v>
      </c>
      <c r="H11490" s="8" t="s">
        <v>21</v>
      </c>
      <c r="I11490" s="8" t="s">
        <v>22</v>
      </c>
      <c r="J11490" s="8" t="s">
        <v>22</v>
      </c>
      <c r="K11490" s="8" t="s">
        <v>460</v>
      </c>
      <c r="L11490" s="8" t="s">
        <v>18289</v>
      </c>
      <c r="M11490" s="8" t="s">
        <v>18290</v>
      </c>
      <c r="N11490" s="8" t="s">
        <v>48636</v>
      </c>
      <c r="O11490" s="8">
        <f>12+40/60+49.7/3600</f>
        <v>12.680472222222221</v>
      </c>
      <c r="P11490" s="8" t="s">
        <v>48637</v>
      </c>
      <c r="Q11490" s="8">
        <f>+(21+6/60+16/3600)</f>
        <v>21.104444444444447</v>
      </c>
      <c r="R11490" s="8">
        <v>15.5</v>
      </c>
      <c r="S11490" s="8">
        <v>16.5</v>
      </c>
      <c r="T11490" s="8">
        <v>1</v>
      </c>
      <c r="U11490" s="8">
        <v>12.1</v>
      </c>
      <c r="V11490" s="8">
        <v>0.2</v>
      </c>
      <c r="W11490" s="8">
        <v>0.2</v>
      </c>
      <c r="Y11490" s="8" t="s">
        <v>45514</v>
      </c>
      <c r="Z11490" s="8" t="s">
        <v>45515</v>
      </c>
    </row>
    <row r="11491" spans="1:26" x14ac:dyDescent="0.2">
      <c r="A11491" s="8">
        <v>11490</v>
      </c>
      <c r="B11491" s="8" t="s">
        <v>48638</v>
      </c>
      <c r="C11491" s="8" t="s">
        <v>48638</v>
      </c>
      <c r="G11491" s="8">
        <v>20</v>
      </c>
      <c r="H11491" s="8" t="s">
        <v>21</v>
      </c>
      <c r="I11491" s="8" t="s">
        <v>72</v>
      </c>
      <c r="J11491" s="8" t="s">
        <v>72</v>
      </c>
      <c r="K11491" s="8" t="s">
        <v>73</v>
      </c>
      <c r="L11491" s="8" t="s">
        <v>18289</v>
      </c>
      <c r="M11491" s="8" t="s">
        <v>18290</v>
      </c>
      <c r="N11491" s="8" t="s">
        <v>48639</v>
      </c>
      <c r="O11491" s="8">
        <f>12+40/60+48.7/3600</f>
        <v>12.680194444444444</v>
      </c>
      <c r="P11491" s="8" t="s">
        <v>48640</v>
      </c>
      <c r="Q11491" s="8">
        <f>+(26+28/60+25/3600)</f>
        <v>26.473611111111108</v>
      </c>
      <c r="R11491" s="8">
        <v>99</v>
      </c>
      <c r="S11491" s="8">
        <v>99</v>
      </c>
      <c r="T11491" s="8">
        <v>99</v>
      </c>
      <c r="U11491" s="8">
        <v>99</v>
      </c>
      <c r="Y11491" s="8" t="s">
        <v>47895</v>
      </c>
      <c r="Z11491" s="8" t="s">
        <v>47896</v>
      </c>
    </row>
    <row r="11492" spans="1:26" x14ac:dyDescent="0.2">
      <c r="A11492" s="8">
        <v>11491</v>
      </c>
      <c r="B11492" s="8" t="s">
        <v>48641</v>
      </c>
      <c r="C11492" s="8" t="s">
        <v>48641</v>
      </c>
      <c r="G11492" s="8">
        <v>20</v>
      </c>
      <c r="H11492" s="8" t="s">
        <v>21</v>
      </c>
      <c r="I11492" s="8" t="s">
        <v>22</v>
      </c>
      <c r="J11492" s="8" t="s">
        <v>22</v>
      </c>
      <c r="K11492" s="8" t="s">
        <v>37</v>
      </c>
      <c r="L11492" s="8" t="s">
        <v>18289</v>
      </c>
      <c r="M11492" s="8" t="s">
        <v>18290</v>
      </c>
      <c r="N11492" s="8" t="s">
        <v>48642</v>
      </c>
      <c r="O11492" s="8">
        <f>12+40/60+52.8/3600</f>
        <v>12.681333333333333</v>
      </c>
      <c r="P11492" s="8" t="s">
        <v>48643</v>
      </c>
      <c r="Q11492" s="8">
        <f>+(26+43/60+43/3600)</f>
        <v>26.72861111111111</v>
      </c>
      <c r="R11492" s="8">
        <v>13.3</v>
      </c>
      <c r="S11492" s="8">
        <v>14.3</v>
      </c>
      <c r="T11492" s="8">
        <v>1</v>
      </c>
      <c r="U11492" s="8">
        <v>13.2</v>
      </c>
      <c r="V11492" s="8">
        <v>1</v>
      </c>
      <c r="W11492" s="8">
        <v>1</v>
      </c>
      <c r="Y11492" s="8" t="s">
        <v>48644</v>
      </c>
      <c r="Z11492" s="8" t="s">
        <v>48645</v>
      </c>
    </row>
    <row r="11493" spans="1:26" x14ac:dyDescent="0.2">
      <c r="A11493" s="8">
        <v>11492</v>
      </c>
      <c r="B11493" s="8" t="s">
        <v>48646</v>
      </c>
      <c r="C11493" s="8" t="s">
        <v>48646</v>
      </c>
      <c r="G11493" s="8">
        <v>20</v>
      </c>
      <c r="H11493" s="8" t="s">
        <v>21</v>
      </c>
      <c r="I11493" s="8" t="s">
        <v>22</v>
      </c>
      <c r="J11493" s="8" t="s">
        <v>22</v>
      </c>
      <c r="K11493" s="8" t="s">
        <v>460</v>
      </c>
      <c r="L11493" s="8" t="s">
        <v>17287</v>
      </c>
      <c r="M11493" s="8" t="s">
        <v>17288</v>
      </c>
      <c r="N11493" s="8" t="s">
        <v>48647</v>
      </c>
      <c r="O11493" s="8">
        <f>12+40/60+58.7/3600</f>
        <v>12.682972222222222</v>
      </c>
      <c r="P11493" s="8" t="s">
        <v>48648</v>
      </c>
      <c r="Q11493" s="8">
        <f>+(11+11/60+3/3600)</f>
        <v>11.184166666666666</v>
      </c>
      <c r="R11493" s="8">
        <v>13.7</v>
      </c>
      <c r="S11493" s="8">
        <v>14.7</v>
      </c>
      <c r="T11493" s="8">
        <v>1</v>
      </c>
      <c r="U11493" s="8">
        <v>13.2</v>
      </c>
      <c r="V11493" s="8">
        <v>0.8</v>
      </c>
      <c r="W11493" s="8">
        <v>0.8</v>
      </c>
      <c r="Y11493" s="8" t="s">
        <v>48649</v>
      </c>
      <c r="Z11493" s="8" t="s">
        <v>48650</v>
      </c>
    </row>
    <row r="11494" spans="1:26" x14ac:dyDescent="0.2">
      <c r="A11494" s="8">
        <v>11493</v>
      </c>
      <c r="B11494" s="8" t="s">
        <v>48651</v>
      </c>
      <c r="C11494" s="8" t="s">
        <v>48651</v>
      </c>
      <c r="G11494" s="8">
        <v>20</v>
      </c>
      <c r="H11494" s="8" t="s">
        <v>21</v>
      </c>
      <c r="I11494" s="8" t="s">
        <v>22</v>
      </c>
      <c r="J11494" s="8" t="s">
        <v>22</v>
      </c>
      <c r="K11494" s="8" t="s">
        <v>818</v>
      </c>
      <c r="L11494" s="8" t="s">
        <v>17287</v>
      </c>
      <c r="M11494" s="8" t="s">
        <v>17288</v>
      </c>
      <c r="N11494" s="8" t="s">
        <v>48652</v>
      </c>
      <c r="O11494" s="8">
        <f>12+41/60+15.7/3600</f>
        <v>12.687694444444444</v>
      </c>
      <c r="P11494" s="8" t="s">
        <v>48653</v>
      </c>
      <c r="Q11494" s="8">
        <f>+(11+23/60+16/3600)</f>
        <v>11.387777777777778</v>
      </c>
      <c r="R11494" s="8">
        <v>13.8</v>
      </c>
      <c r="S11494" s="8">
        <v>14.8</v>
      </c>
      <c r="T11494" s="8">
        <v>1</v>
      </c>
      <c r="U11494" s="8">
        <v>12.4</v>
      </c>
      <c r="V11494" s="8">
        <v>0.5</v>
      </c>
      <c r="W11494" s="8">
        <v>0.5</v>
      </c>
      <c r="Y11494" s="8" t="s">
        <v>48015</v>
      </c>
      <c r="Z11494" s="8" t="s">
        <v>48016</v>
      </c>
    </row>
    <row r="11495" spans="1:26" x14ac:dyDescent="0.2">
      <c r="A11495" s="8">
        <v>11494</v>
      </c>
      <c r="B11495" s="8" t="s">
        <v>48654</v>
      </c>
      <c r="C11495" s="8" t="s">
        <v>48654</v>
      </c>
      <c r="G11495" s="8">
        <v>20</v>
      </c>
      <c r="H11495" s="8" t="s">
        <v>21</v>
      </c>
      <c r="I11495" s="8" t="s">
        <v>22</v>
      </c>
      <c r="J11495" s="8" t="s">
        <v>22</v>
      </c>
      <c r="K11495" s="8" t="s">
        <v>460</v>
      </c>
      <c r="L11495" s="8" t="s">
        <v>18289</v>
      </c>
      <c r="M11495" s="8" t="s">
        <v>18290</v>
      </c>
      <c r="N11495" s="8" t="s">
        <v>48655</v>
      </c>
      <c r="O11495" s="8">
        <f>12+41/60+12.4/3600</f>
        <v>12.686777777777777</v>
      </c>
      <c r="P11495" s="8" t="s">
        <v>48656</v>
      </c>
      <c r="Q11495" s="8">
        <f>+(22+35/60+24/3600)</f>
        <v>22.59</v>
      </c>
      <c r="R11495" s="8">
        <v>15.3</v>
      </c>
      <c r="S11495" s="8">
        <v>16.3</v>
      </c>
      <c r="T11495" s="8">
        <v>1</v>
      </c>
      <c r="U11495" s="8">
        <v>12.8</v>
      </c>
      <c r="V11495" s="8">
        <v>0.3</v>
      </c>
      <c r="W11495" s="8">
        <v>0.3</v>
      </c>
      <c r="Y11495" s="8" t="s">
        <v>48657</v>
      </c>
      <c r="Z11495" s="8" t="s">
        <v>45219</v>
      </c>
    </row>
    <row r="11496" spans="1:26" x14ac:dyDescent="0.2">
      <c r="A11496" s="8">
        <v>11495</v>
      </c>
      <c r="B11496" s="8" t="s">
        <v>48658</v>
      </c>
      <c r="C11496" s="8" t="s">
        <v>48658</v>
      </c>
      <c r="G11496" s="8">
        <v>20</v>
      </c>
      <c r="H11496" s="8" t="s">
        <v>21</v>
      </c>
      <c r="I11496" s="8" t="s">
        <v>22</v>
      </c>
      <c r="J11496" s="8" t="s">
        <v>22</v>
      </c>
      <c r="K11496" s="8" t="s">
        <v>424</v>
      </c>
      <c r="L11496" s="8" t="s">
        <v>18289</v>
      </c>
      <c r="M11496" s="8" t="s">
        <v>18290</v>
      </c>
      <c r="N11496" s="8" t="s">
        <v>48659</v>
      </c>
      <c r="O11496" s="8">
        <f>12+41/60+14.4/3600</f>
        <v>12.687333333333333</v>
      </c>
      <c r="P11496" s="8" t="s">
        <v>48660</v>
      </c>
      <c r="Q11496" s="8">
        <f>+(20+40/60+0/3600)</f>
        <v>20.666666666666668</v>
      </c>
      <c r="R11496" s="8">
        <v>16.100000000000001</v>
      </c>
      <c r="S11496" s="8">
        <v>17.100000000000001</v>
      </c>
      <c r="T11496" s="8">
        <v>1</v>
      </c>
      <c r="U11496" s="8">
        <v>12.5</v>
      </c>
      <c r="V11496" s="8">
        <v>0.2</v>
      </c>
      <c r="W11496" s="8">
        <v>0.2</v>
      </c>
      <c r="Y11496" s="8" t="s">
        <v>21</v>
      </c>
      <c r="Z11496" s="8" t="s">
        <v>48661</v>
      </c>
    </row>
    <row r="11497" spans="1:26" x14ac:dyDescent="0.2">
      <c r="A11497" s="8">
        <v>11496</v>
      </c>
      <c r="B11497" s="8" t="s">
        <v>48662</v>
      </c>
      <c r="C11497" s="8" t="s">
        <v>48662</v>
      </c>
      <c r="G11497" s="8">
        <v>20</v>
      </c>
      <c r="H11497" s="8" t="s">
        <v>21</v>
      </c>
      <c r="I11497" s="8" t="s">
        <v>22</v>
      </c>
      <c r="J11497" s="8" t="s">
        <v>22</v>
      </c>
      <c r="K11497" s="8" t="s">
        <v>476</v>
      </c>
      <c r="L11497" s="8" t="s">
        <v>18289</v>
      </c>
      <c r="M11497" s="8" t="s">
        <v>18290</v>
      </c>
      <c r="N11497" s="8" t="s">
        <v>48663</v>
      </c>
      <c r="O11497" s="8">
        <f>12+41/60+13.8/3600</f>
        <v>12.687166666666666</v>
      </c>
      <c r="P11497" s="8" t="s">
        <v>48664</v>
      </c>
      <c r="Q11497" s="8">
        <f>+(22+35/60+41/3600)</f>
        <v>22.59472222222222</v>
      </c>
      <c r="R11497" s="8">
        <v>15.1</v>
      </c>
      <c r="S11497" s="8">
        <v>15.9</v>
      </c>
      <c r="T11497" s="8">
        <v>0.8</v>
      </c>
      <c r="U11497" s="8">
        <v>12.5</v>
      </c>
      <c r="V11497" s="8">
        <v>0.5</v>
      </c>
      <c r="W11497" s="8">
        <v>0.2</v>
      </c>
      <c r="X11497" s="8">
        <v>90</v>
      </c>
      <c r="Y11497" s="8" t="s">
        <v>45218</v>
      </c>
      <c r="Z11497" s="8" t="s">
        <v>45219</v>
      </c>
    </row>
    <row r="11498" spans="1:26" x14ac:dyDescent="0.2">
      <c r="A11498" s="8">
        <v>11497</v>
      </c>
      <c r="B11498" s="8" t="s">
        <v>48665</v>
      </c>
      <c r="C11498" s="8" t="s">
        <v>48665</v>
      </c>
      <c r="G11498" s="8">
        <v>20</v>
      </c>
      <c r="H11498" s="8" t="s">
        <v>21</v>
      </c>
      <c r="I11498" s="8" t="s">
        <v>72</v>
      </c>
      <c r="J11498" s="8" t="s">
        <v>72</v>
      </c>
      <c r="K11498" s="8" t="s">
        <v>20</v>
      </c>
      <c r="L11498" s="8" t="s">
        <v>18289</v>
      </c>
      <c r="M11498" s="8" t="s">
        <v>18290</v>
      </c>
      <c r="N11498" s="8" t="s">
        <v>48666</v>
      </c>
      <c r="O11498" s="8">
        <f>12+41/60+19/3600</f>
        <v>12.688611111111111</v>
      </c>
      <c r="P11498" s="8" t="s">
        <v>48667</v>
      </c>
      <c r="Q11498" s="8">
        <f>+(21+40/60+31/3600)</f>
        <v>21.675277777777779</v>
      </c>
      <c r="R11498" s="8">
        <v>99</v>
      </c>
      <c r="S11498" s="8">
        <v>99</v>
      </c>
      <c r="T11498" s="8">
        <v>99</v>
      </c>
      <c r="U11498" s="8">
        <v>99</v>
      </c>
      <c r="Y11498" s="8" t="s">
        <v>48668</v>
      </c>
      <c r="Z11498" s="8" t="s">
        <v>48669</v>
      </c>
    </row>
    <row r="11499" spans="1:26" x14ac:dyDescent="0.2">
      <c r="A11499" s="8">
        <v>11498</v>
      </c>
      <c r="B11499" s="8" t="s">
        <v>48670</v>
      </c>
      <c r="C11499" s="8" t="s">
        <v>48670</v>
      </c>
      <c r="G11499" s="8">
        <v>20</v>
      </c>
      <c r="H11499" s="8" t="s">
        <v>21</v>
      </c>
      <c r="I11499" s="8" t="s">
        <v>22</v>
      </c>
      <c r="J11499" s="8" t="s">
        <v>22</v>
      </c>
      <c r="K11499" s="8" t="s">
        <v>818</v>
      </c>
      <c r="L11499" s="8" t="s">
        <v>18289</v>
      </c>
      <c r="M11499" s="8" t="s">
        <v>18290</v>
      </c>
      <c r="N11499" s="8" t="s">
        <v>48671</v>
      </c>
      <c r="O11499" s="8">
        <f>12+41/60+20.6/3600</f>
        <v>12.689055555555555</v>
      </c>
      <c r="P11499" s="8" t="s">
        <v>48672</v>
      </c>
      <c r="Q11499" s="8">
        <f>+(14+42/60+4/3600)</f>
        <v>14.701111111111111</v>
      </c>
      <c r="R11499" s="8">
        <v>14</v>
      </c>
      <c r="S11499" s="8">
        <v>15</v>
      </c>
      <c r="T11499" s="8">
        <v>1</v>
      </c>
      <c r="U11499" s="8">
        <v>13.8</v>
      </c>
      <c r="V11499" s="8">
        <v>1.3</v>
      </c>
      <c r="W11499" s="8">
        <v>0.7</v>
      </c>
      <c r="X11499" s="8">
        <v>81</v>
      </c>
      <c r="Y11499" s="8" t="s">
        <v>48673</v>
      </c>
      <c r="Z11499" s="8" t="s">
        <v>48674</v>
      </c>
    </row>
    <row r="11500" spans="1:26" x14ac:dyDescent="0.2">
      <c r="A11500" s="8">
        <v>11499</v>
      </c>
      <c r="B11500" s="8" t="s">
        <v>48675</v>
      </c>
      <c r="C11500" s="8" t="s">
        <v>48675</v>
      </c>
      <c r="G11500" s="8">
        <v>20</v>
      </c>
      <c r="H11500" s="8" t="s">
        <v>21</v>
      </c>
      <c r="I11500" s="8" t="s">
        <v>22</v>
      </c>
      <c r="J11500" s="8" t="s">
        <v>22</v>
      </c>
      <c r="K11500" s="8" t="s">
        <v>476</v>
      </c>
      <c r="L11500" s="8" t="s">
        <v>18289</v>
      </c>
      <c r="M11500" s="8" t="s">
        <v>18290</v>
      </c>
      <c r="N11500" s="8" t="s">
        <v>48676</v>
      </c>
      <c r="O11500" s="8">
        <f>12+41/60+27.6/3600</f>
        <v>12.691000000000001</v>
      </c>
      <c r="P11500" s="8" t="s">
        <v>48677</v>
      </c>
      <c r="Q11500" s="8">
        <f>+(22+55/60+51/3600)</f>
        <v>22.930833333333336</v>
      </c>
      <c r="R11500" s="8">
        <v>15.4</v>
      </c>
      <c r="S11500" s="8">
        <v>16.2</v>
      </c>
      <c r="T11500" s="8">
        <v>0.8</v>
      </c>
      <c r="U11500" s="8">
        <v>12.5</v>
      </c>
      <c r="V11500" s="8">
        <v>0.4</v>
      </c>
      <c r="W11500" s="8">
        <v>0.2</v>
      </c>
      <c r="X11500" s="8">
        <v>80</v>
      </c>
      <c r="Y11500" s="8" t="s">
        <v>48678</v>
      </c>
      <c r="Z11500" s="8" t="s">
        <v>48679</v>
      </c>
    </row>
    <row r="11501" spans="1:26" x14ac:dyDescent="0.2">
      <c r="A11501" s="8">
        <v>11500</v>
      </c>
      <c r="B11501" s="8" t="s">
        <v>48680</v>
      </c>
      <c r="C11501" s="8" t="s">
        <v>48680</v>
      </c>
      <c r="G11501" s="8">
        <v>20</v>
      </c>
      <c r="H11501" s="8" t="s">
        <v>21</v>
      </c>
      <c r="I11501" s="8" t="s">
        <v>72</v>
      </c>
      <c r="J11501" s="8" t="s">
        <v>72</v>
      </c>
      <c r="K11501" s="8" t="s">
        <v>20</v>
      </c>
      <c r="L11501" s="8" t="s">
        <v>18289</v>
      </c>
      <c r="M11501" s="8" t="s">
        <v>18290</v>
      </c>
      <c r="N11501" s="8" t="s">
        <v>48681</v>
      </c>
      <c r="O11501" s="8">
        <f>12+41/60+36.8/3600</f>
        <v>12.693555555555555</v>
      </c>
      <c r="P11501" s="8" t="s">
        <v>48682</v>
      </c>
      <c r="Q11501" s="8">
        <f>+(21+5/60+35/3600)</f>
        <v>21.093055555555555</v>
      </c>
      <c r="R11501" s="8">
        <v>99</v>
      </c>
      <c r="S11501" s="8">
        <v>99</v>
      </c>
      <c r="T11501" s="8">
        <v>99</v>
      </c>
      <c r="U11501" s="8">
        <v>99</v>
      </c>
      <c r="Y11501" s="8" t="s">
        <v>45514</v>
      </c>
      <c r="Z11501" s="8" t="s">
        <v>45515</v>
      </c>
    </row>
    <row r="11502" spans="1:26" x14ac:dyDescent="0.2">
      <c r="A11502" s="8">
        <v>11501</v>
      </c>
      <c r="B11502" s="8" t="s">
        <v>48683</v>
      </c>
      <c r="C11502" s="8" t="s">
        <v>48683</v>
      </c>
      <c r="G11502" s="8">
        <v>20</v>
      </c>
      <c r="H11502" s="8" t="s">
        <v>21</v>
      </c>
      <c r="I11502" s="8" t="s">
        <v>22</v>
      </c>
      <c r="J11502" s="8" t="s">
        <v>22</v>
      </c>
      <c r="K11502" s="8" t="s">
        <v>449</v>
      </c>
      <c r="L11502" s="8" t="s">
        <v>18289</v>
      </c>
      <c r="M11502" s="8" t="s">
        <v>18290</v>
      </c>
      <c r="N11502" s="8" t="s">
        <v>48684</v>
      </c>
      <c r="O11502" s="8">
        <f>12+41/60+35.6/3600</f>
        <v>12.693222222222223</v>
      </c>
      <c r="P11502" s="8" t="s">
        <v>48685</v>
      </c>
      <c r="Q11502" s="8">
        <f>+(22+29/60+42/3600)</f>
        <v>22.495000000000001</v>
      </c>
      <c r="R11502" s="8">
        <v>15.8</v>
      </c>
      <c r="S11502" s="8">
        <v>16.600000000000001</v>
      </c>
      <c r="T11502" s="8">
        <v>0.8</v>
      </c>
      <c r="U11502" s="8">
        <v>12.6</v>
      </c>
      <c r="V11502" s="8">
        <v>0.6</v>
      </c>
      <c r="W11502" s="8">
        <v>0.1</v>
      </c>
      <c r="X11502" s="8">
        <v>105</v>
      </c>
      <c r="Y11502" s="8" t="s">
        <v>46965</v>
      </c>
      <c r="Z11502" s="8" t="s">
        <v>46966</v>
      </c>
    </row>
    <row r="11503" spans="1:26" x14ac:dyDescent="0.2">
      <c r="A11503" s="8">
        <v>11502</v>
      </c>
      <c r="B11503" s="8" t="s">
        <v>48686</v>
      </c>
      <c r="C11503" s="8" t="s">
        <v>48686</v>
      </c>
      <c r="G11503" s="8">
        <v>20</v>
      </c>
      <c r="H11503" s="8" t="s">
        <v>21</v>
      </c>
      <c r="I11503" s="8" t="s">
        <v>22</v>
      </c>
      <c r="J11503" s="8" t="s">
        <v>22</v>
      </c>
      <c r="K11503" s="8" t="s">
        <v>476</v>
      </c>
      <c r="L11503" s="8" t="s">
        <v>18289</v>
      </c>
      <c r="M11503" s="8" t="s">
        <v>18290</v>
      </c>
      <c r="N11503" s="8" t="s">
        <v>48687</v>
      </c>
      <c r="O11503" s="8">
        <f>12+41/60+36.2/3600</f>
        <v>12.693388888888888</v>
      </c>
      <c r="P11503" s="8" t="s">
        <v>48688</v>
      </c>
      <c r="Q11503" s="8">
        <f>+(23+25/60+31/3600)</f>
        <v>23.425277777777779</v>
      </c>
      <c r="R11503" s="8">
        <v>14.3</v>
      </c>
      <c r="S11503" s="8">
        <v>15.1</v>
      </c>
      <c r="T11503" s="8">
        <v>0.8</v>
      </c>
      <c r="U11503" s="8">
        <v>13.4</v>
      </c>
      <c r="V11503" s="8">
        <v>0.7</v>
      </c>
      <c r="W11503" s="8">
        <v>0.7</v>
      </c>
      <c r="Y11503" s="8" t="s">
        <v>44849</v>
      </c>
      <c r="Z11503" s="8" t="s">
        <v>44850</v>
      </c>
    </row>
    <row r="11504" spans="1:26" x14ac:dyDescent="0.2">
      <c r="A11504" s="8">
        <v>11503</v>
      </c>
      <c r="B11504" s="8" t="s">
        <v>48689</v>
      </c>
      <c r="C11504" s="8" t="s">
        <v>48689</v>
      </c>
      <c r="G11504" s="8">
        <v>20</v>
      </c>
      <c r="H11504" s="8" t="s">
        <v>21</v>
      </c>
      <c r="I11504" s="8" t="s">
        <v>22</v>
      </c>
      <c r="J11504" s="8" t="s">
        <v>22</v>
      </c>
      <c r="K11504" s="8" t="s">
        <v>818</v>
      </c>
      <c r="L11504" s="8" t="s">
        <v>17287</v>
      </c>
      <c r="M11504" s="8" t="s">
        <v>17288</v>
      </c>
      <c r="N11504" s="8" t="s">
        <v>48690</v>
      </c>
      <c r="O11504" s="8">
        <f>12+41/60+39.3/3600</f>
        <v>12.69425</v>
      </c>
      <c r="P11504" s="8" t="s">
        <v>48691</v>
      </c>
      <c r="Q11504" s="8">
        <f>+(12+14/60+51/3600)</f>
        <v>12.247499999999999</v>
      </c>
      <c r="R11504" s="8">
        <v>14.3</v>
      </c>
      <c r="S11504" s="8">
        <v>15.3</v>
      </c>
      <c r="T11504" s="8">
        <v>1</v>
      </c>
      <c r="U11504" s="8">
        <v>13.4</v>
      </c>
      <c r="V11504" s="8">
        <v>0.8</v>
      </c>
      <c r="W11504" s="8">
        <v>0.5</v>
      </c>
      <c r="X11504" s="8">
        <v>178</v>
      </c>
      <c r="Y11504" s="8" t="s">
        <v>36797</v>
      </c>
      <c r="Z11504" s="8" t="s">
        <v>36798</v>
      </c>
    </row>
    <row r="11505" spans="1:26" x14ac:dyDescent="0.2">
      <c r="A11505" s="8">
        <v>11504</v>
      </c>
      <c r="B11505" s="8" t="s">
        <v>48692</v>
      </c>
      <c r="C11505" s="8" t="s">
        <v>48692</v>
      </c>
      <c r="G11505" s="8">
        <v>20</v>
      </c>
      <c r="H11505" s="8" t="s">
        <v>21</v>
      </c>
      <c r="I11505" s="8" t="s">
        <v>72</v>
      </c>
      <c r="J11505" s="8" t="s">
        <v>72</v>
      </c>
      <c r="K11505" s="8" t="s">
        <v>20</v>
      </c>
      <c r="L11505" s="8" t="s">
        <v>18289</v>
      </c>
      <c r="M11505" s="8" t="s">
        <v>18290</v>
      </c>
      <c r="N11505" s="8" t="s">
        <v>48693</v>
      </c>
      <c r="O11505" s="8">
        <f>12+41/60+41.4/3600</f>
        <v>12.694833333333333</v>
      </c>
      <c r="P11505" s="8" t="s">
        <v>48694</v>
      </c>
      <c r="Q11505" s="8">
        <f>+(19+56/60+40/3600)</f>
        <v>19.944444444444446</v>
      </c>
      <c r="R11505" s="8">
        <v>99</v>
      </c>
      <c r="S11505" s="8">
        <v>99</v>
      </c>
      <c r="T11505" s="8">
        <v>99</v>
      </c>
      <c r="U11505" s="8">
        <v>99</v>
      </c>
      <c r="Y11505" s="8" t="s">
        <v>45086</v>
      </c>
      <c r="Z11505" s="8" t="s">
        <v>45087</v>
      </c>
    </row>
    <row r="11506" spans="1:26" x14ac:dyDescent="0.2">
      <c r="A11506" s="8">
        <v>11505</v>
      </c>
      <c r="B11506" s="8" t="s">
        <v>48695</v>
      </c>
      <c r="C11506" s="8" t="s">
        <v>48695</v>
      </c>
      <c r="G11506" s="8">
        <v>20</v>
      </c>
      <c r="H11506" s="8" t="s">
        <v>21</v>
      </c>
      <c r="I11506" s="8" t="s">
        <v>22</v>
      </c>
      <c r="J11506" s="8" t="s">
        <v>22</v>
      </c>
      <c r="K11506" s="8" t="s">
        <v>3616</v>
      </c>
      <c r="L11506" s="8" t="s">
        <v>17287</v>
      </c>
      <c r="M11506" s="8" t="s">
        <v>17288</v>
      </c>
      <c r="N11506" s="8" t="s">
        <v>48696</v>
      </c>
      <c r="O11506" s="8">
        <f>12+41/60+46.6/3600</f>
        <v>12.696277777777778</v>
      </c>
      <c r="P11506" s="8" t="s">
        <v>32724</v>
      </c>
      <c r="Q11506" s="8">
        <f>+(11+29/60+17/3600)</f>
        <v>11.488055555555555</v>
      </c>
      <c r="R11506" s="8">
        <v>14.5</v>
      </c>
      <c r="S11506" s="8">
        <v>15.1</v>
      </c>
      <c r="T11506" s="8">
        <v>0.6</v>
      </c>
      <c r="U11506" s="8">
        <v>14</v>
      </c>
      <c r="V11506" s="8">
        <v>0.9</v>
      </c>
      <c r="W11506" s="8">
        <v>0.6</v>
      </c>
      <c r="X11506" s="8">
        <v>72</v>
      </c>
      <c r="Y11506" s="8" t="s">
        <v>36797</v>
      </c>
      <c r="Z11506" s="8" t="s">
        <v>36798</v>
      </c>
    </row>
    <row r="11507" spans="1:26" x14ac:dyDescent="0.2">
      <c r="A11507" s="8">
        <v>11506</v>
      </c>
      <c r="B11507" s="8" t="s">
        <v>48697</v>
      </c>
      <c r="C11507" s="8" t="s">
        <v>48697</v>
      </c>
      <c r="G11507" s="8">
        <v>20</v>
      </c>
      <c r="H11507" s="8" t="s">
        <v>21</v>
      </c>
      <c r="I11507" s="8" t="s">
        <v>72</v>
      </c>
      <c r="J11507" s="8" t="s">
        <v>72</v>
      </c>
      <c r="K11507" s="8" t="s">
        <v>20</v>
      </c>
      <c r="L11507" s="8" t="s">
        <v>17287</v>
      </c>
      <c r="M11507" s="8" t="s">
        <v>17288</v>
      </c>
      <c r="N11507" s="8" t="s">
        <v>48698</v>
      </c>
      <c r="O11507" s="8">
        <f>12+41/60+53.4/3600</f>
        <v>12.698166666666667</v>
      </c>
      <c r="P11507" s="8" t="s">
        <v>48699</v>
      </c>
      <c r="Q11507" s="8">
        <f>+(7+50/60+42/3600)</f>
        <v>7.8449999999999998</v>
      </c>
      <c r="R11507" s="8">
        <v>99</v>
      </c>
      <c r="S11507" s="8">
        <v>14.8</v>
      </c>
      <c r="T11507" s="8">
        <v>99</v>
      </c>
      <c r="U11507" s="8">
        <v>99</v>
      </c>
      <c r="Y11507" s="8" t="s">
        <v>47225</v>
      </c>
      <c r="Z11507" s="8" t="s">
        <v>47226</v>
      </c>
    </row>
    <row r="11508" spans="1:26" x14ac:dyDescent="0.2">
      <c r="A11508" s="8">
        <v>11507</v>
      </c>
      <c r="B11508" s="8" t="s">
        <v>48700</v>
      </c>
      <c r="C11508" s="8" t="s">
        <v>48700</v>
      </c>
      <c r="G11508" s="8">
        <v>20</v>
      </c>
      <c r="H11508" s="8" t="s">
        <v>21</v>
      </c>
      <c r="I11508" s="8" t="s">
        <v>22</v>
      </c>
      <c r="J11508" s="8" t="s">
        <v>57</v>
      </c>
      <c r="K11508" s="8" t="s">
        <v>323</v>
      </c>
      <c r="L11508" s="8" t="s">
        <v>18681</v>
      </c>
      <c r="M11508" s="8" t="s">
        <v>18682</v>
      </c>
      <c r="N11508" s="8" t="s">
        <v>20858</v>
      </c>
      <c r="O11508" s="8">
        <f>12+41/60+33/3600</f>
        <v>12.692500000000001</v>
      </c>
      <c r="P11508" s="8" t="s">
        <v>20859</v>
      </c>
      <c r="Q11508" s="8">
        <f>+(41+9/60+4/3600)</f>
        <v>41.151111111111106</v>
      </c>
      <c r="R11508" s="8">
        <v>10.8</v>
      </c>
      <c r="S11508" s="8">
        <v>11.2</v>
      </c>
      <c r="T11508" s="8">
        <v>0.4</v>
      </c>
      <c r="U11508" s="8">
        <v>13.5</v>
      </c>
      <c r="V11508" s="8">
        <v>4.2</v>
      </c>
      <c r="W11508" s="8">
        <v>3.4</v>
      </c>
      <c r="X11508" s="8">
        <v>25</v>
      </c>
      <c r="Y11508" s="8" t="s">
        <v>48701</v>
      </c>
      <c r="Z11508" s="8" t="s">
        <v>48702</v>
      </c>
    </row>
    <row r="11509" spans="1:26" x14ac:dyDescent="0.2">
      <c r="A11509" s="8">
        <v>11508</v>
      </c>
      <c r="B11509" s="8" t="s">
        <v>48703</v>
      </c>
      <c r="C11509" s="8" t="s">
        <v>48703</v>
      </c>
      <c r="F11509" s="48" t="s">
        <v>58448</v>
      </c>
      <c r="G11509" s="8">
        <v>15</v>
      </c>
      <c r="H11509" s="8" t="s">
        <v>21</v>
      </c>
      <c r="I11509" s="8" t="s">
        <v>1075</v>
      </c>
      <c r="J11509" s="8" t="s">
        <v>1075</v>
      </c>
      <c r="K11509" s="8" t="s">
        <v>1075</v>
      </c>
      <c r="L11509" s="8" t="s">
        <v>18681</v>
      </c>
      <c r="M11509" s="8" t="s">
        <v>18682</v>
      </c>
      <c r="N11509" s="8" t="s">
        <v>48704</v>
      </c>
      <c r="O11509" s="8">
        <f>12+41/60+32.7/3600</f>
        <v>12.692416666666666</v>
      </c>
      <c r="P11509" s="8" t="s">
        <v>48705</v>
      </c>
      <c r="Q11509" s="8">
        <f>+(41+7/60+33/3600)</f>
        <v>41.125833333333333</v>
      </c>
      <c r="R11509" s="8">
        <v>13</v>
      </c>
      <c r="S11509" s="8">
        <v>99</v>
      </c>
      <c r="T11509" s="8">
        <v>99</v>
      </c>
      <c r="U11509" s="8">
        <v>99</v>
      </c>
      <c r="V11509" s="8">
        <v>1</v>
      </c>
      <c r="Y11509" s="8" t="s">
        <v>48706</v>
      </c>
      <c r="Z11509" s="8" t="s">
        <v>48707</v>
      </c>
    </row>
    <row r="11510" spans="1:26" x14ac:dyDescent="0.2">
      <c r="A11510" s="8">
        <v>11509</v>
      </c>
      <c r="B11510" s="8" t="s">
        <v>48708</v>
      </c>
      <c r="C11510" s="8" t="s">
        <v>48708</v>
      </c>
      <c r="G11510" s="8">
        <v>20</v>
      </c>
      <c r="H11510" s="8" t="s">
        <v>21</v>
      </c>
      <c r="I11510" s="8" t="s">
        <v>1075</v>
      </c>
      <c r="J11510" s="8" t="s">
        <v>1075</v>
      </c>
      <c r="K11510" s="8" t="s">
        <v>1075</v>
      </c>
      <c r="L11510" s="8" t="s">
        <v>18681</v>
      </c>
      <c r="M11510" s="8" t="s">
        <v>18682</v>
      </c>
      <c r="N11510" s="8" t="s">
        <v>48709</v>
      </c>
      <c r="O11510" s="8">
        <f>12+41/60+37.4/3600</f>
        <v>12.693722222222222</v>
      </c>
      <c r="P11510" s="8" t="s">
        <v>48710</v>
      </c>
      <c r="Q11510" s="8">
        <f>+(41+8/60+25/3600)</f>
        <v>41.140277777777776</v>
      </c>
      <c r="R11510" s="8">
        <v>15.5</v>
      </c>
      <c r="S11510" s="8">
        <v>99</v>
      </c>
      <c r="T11510" s="8">
        <v>99</v>
      </c>
      <c r="U11510" s="8">
        <v>99</v>
      </c>
      <c r="V11510" s="8">
        <v>0.25</v>
      </c>
      <c r="Y11510" s="8" t="s">
        <v>48711</v>
      </c>
      <c r="Z11510" s="8" t="s">
        <v>48712</v>
      </c>
    </row>
    <row r="11511" spans="1:26" x14ac:dyDescent="0.2">
      <c r="A11511" s="8">
        <v>11510</v>
      </c>
      <c r="B11511" s="8" t="s">
        <v>48713</v>
      </c>
      <c r="C11511" s="8" t="s">
        <v>48713</v>
      </c>
      <c r="G11511" s="8">
        <v>20</v>
      </c>
      <c r="H11511" s="8" t="s">
        <v>21</v>
      </c>
      <c r="I11511" s="8" t="s">
        <v>22</v>
      </c>
      <c r="J11511" s="8" t="s">
        <v>22</v>
      </c>
      <c r="K11511" s="8" t="s">
        <v>1136</v>
      </c>
      <c r="L11511" s="8" t="s">
        <v>17287</v>
      </c>
      <c r="M11511" s="8" t="s">
        <v>17288</v>
      </c>
      <c r="N11511" s="8" t="s">
        <v>48714</v>
      </c>
      <c r="O11511" s="8">
        <f>12+41/60+55/3600</f>
        <v>12.698611111111111</v>
      </c>
      <c r="P11511" s="8" t="s">
        <v>48715</v>
      </c>
      <c r="Q11511" s="8">
        <f>+(11+46/60+24/3600)</f>
        <v>11.773333333333333</v>
      </c>
      <c r="R11511" s="8">
        <v>15</v>
      </c>
      <c r="S11511" s="8">
        <v>16</v>
      </c>
      <c r="T11511" s="8">
        <v>1</v>
      </c>
      <c r="U11511" s="8">
        <v>13.3</v>
      </c>
      <c r="V11511" s="8">
        <v>0.5</v>
      </c>
      <c r="W11511" s="8">
        <v>0.4</v>
      </c>
      <c r="X11511" s="8">
        <v>5</v>
      </c>
      <c r="Y11511" s="8" t="s">
        <v>38297</v>
      </c>
      <c r="Z11511" s="8" t="s">
        <v>38298</v>
      </c>
    </row>
    <row r="11512" spans="1:26" x14ac:dyDescent="0.2">
      <c r="A11512" s="8">
        <v>11511</v>
      </c>
      <c r="B11512" s="8" t="s">
        <v>48716</v>
      </c>
      <c r="C11512" s="8" t="s">
        <v>48716</v>
      </c>
      <c r="G11512" s="8">
        <v>20</v>
      </c>
      <c r="H11512" s="8" t="s">
        <v>21</v>
      </c>
      <c r="I11512" s="8" t="s">
        <v>22</v>
      </c>
      <c r="J11512" s="8" t="s">
        <v>22</v>
      </c>
      <c r="K11512" s="8" t="s">
        <v>38045</v>
      </c>
      <c r="L11512" s="8" t="s">
        <v>18289</v>
      </c>
      <c r="M11512" s="8" t="s">
        <v>18290</v>
      </c>
      <c r="N11512" s="8" t="s">
        <v>48717</v>
      </c>
      <c r="O11512" s="8">
        <f>12+41/60+51.3/3600</f>
        <v>12.697583333333334</v>
      </c>
      <c r="P11512" s="8" t="s">
        <v>48718</v>
      </c>
      <c r="Q11512" s="8">
        <f>+(23+30/60+37/3600)</f>
        <v>23.510277777777777</v>
      </c>
      <c r="R11512" s="8">
        <v>14.7</v>
      </c>
      <c r="S11512" s="8">
        <v>15.5</v>
      </c>
      <c r="T11512" s="8">
        <v>0.8</v>
      </c>
      <c r="U11512" s="8">
        <v>13</v>
      </c>
      <c r="V11512" s="8">
        <v>0.5</v>
      </c>
      <c r="W11512" s="8">
        <v>0.5</v>
      </c>
      <c r="Y11512" s="8" t="s">
        <v>48719</v>
      </c>
      <c r="Z11512" s="8" t="s">
        <v>48720</v>
      </c>
    </row>
    <row r="11513" spans="1:26" x14ac:dyDescent="0.2">
      <c r="A11513" s="8">
        <v>11512</v>
      </c>
      <c r="B11513" s="8" t="s">
        <v>48721</v>
      </c>
      <c r="C11513" s="8" t="s">
        <v>48721</v>
      </c>
      <c r="G11513" s="8">
        <v>20</v>
      </c>
      <c r="H11513" s="8" t="s">
        <v>21</v>
      </c>
      <c r="I11513" s="8" t="s">
        <v>22</v>
      </c>
      <c r="J11513" s="8" t="s">
        <v>57</v>
      </c>
      <c r="K11513" s="8" t="s">
        <v>460</v>
      </c>
      <c r="L11513" s="8" t="s">
        <v>17287</v>
      </c>
      <c r="M11513" s="8" t="s">
        <v>17288</v>
      </c>
      <c r="N11513" s="8" t="s">
        <v>37876</v>
      </c>
      <c r="O11513" s="8">
        <f>12+42/60+8.7/3600</f>
        <v>12.702416666666666</v>
      </c>
      <c r="P11513" s="8" t="s">
        <v>37877</v>
      </c>
      <c r="Q11513" s="8">
        <f>+(11+45/60+15/3600)</f>
        <v>11.754166666666666</v>
      </c>
      <c r="R11513" s="8">
        <v>13.2</v>
      </c>
      <c r="S11513" s="8">
        <v>14.2</v>
      </c>
      <c r="T11513" s="8">
        <v>1</v>
      </c>
      <c r="U11513" s="8">
        <v>13.3</v>
      </c>
      <c r="V11513" s="8">
        <v>1</v>
      </c>
      <c r="W11513" s="8">
        <v>1</v>
      </c>
      <c r="Y11513" s="8" t="s">
        <v>21</v>
      </c>
      <c r="Z11513" s="8" t="s">
        <v>48722</v>
      </c>
    </row>
    <row r="11514" spans="1:26" x14ac:dyDescent="0.2">
      <c r="A11514" s="8">
        <v>11513</v>
      </c>
      <c r="B11514" s="8" t="s">
        <v>48723</v>
      </c>
      <c r="C11514" s="8" t="s">
        <v>48723</v>
      </c>
      <c r="G11514" s="8">
        <v>20</v>
      </c>
      <c r="H11514" s="8" t="s">
        <v>21</v>
      </c>
      <c r="I11514" s="8" t="s">
        <v>72</v>
      </c>
      <c r="J11514" s="8" t="s">
        <v>72</v>
      </c>
      <c r="K11514" s="8" t="s">
        <v>20</v>
      </c>
      <c r="L11514" s="8" t="s">
        <v>18289</v>
      </c>
      <c r="M11514" s="8" t="s">
        <v>18290</v>
      </c>
      <c r="N11514" s="8" t="s">
        <v>48724</v>
      </c>
      <c r="O11514" s="8">
        <f>12+42/60+4.3/3600</f>
        <v>12.701194444444443</v>
      </c>
      <c r="P11514" s="8" t="s">
        <v>48725</v>
      </c>
      <c r="Q11514" s="8">
        <f>+(21+8/60+18/3600)</f>
        <v>21.138333333333332</v>
      </c>
      <c r="R11514" s="8">
        <v>99</v>
      </c>
      <c r="S11514" s="8">
        <v>99</v>
      </c>
      <c r="T11514" s="8">
        <v>99</v>
      </c>
      <c r="U11514" s="8">
        <v>99</v>
      </c>
      <c r="Y11514" s="8" t="s">
        <v>45514</v>
      </c>
      <c r="Z11514" s="8" t="s">
        <v>45515</v>
      </c>
    </row>
    <row r="11515" spans="1:26" x14ac:dyDescent="0.2">
      <c r="A11515" s="8">
        <v>11514</v>
      </c>
      <c r="B11515" s="8" t="s">
        <v>48726</v>
      </c>
      <c r="C11515" s="8" t="s">
        <v>48726</v>
      </c>
      <c r="G11515" s="8">
        <v>20</v>
      </c>
      <c r="H11515" s="8" t="s">
        <v>21</v>
      </c>
      <c r="I11515" s="8" t="s">
        <v>72</v>
      </c>
      <c r="J11515" s="8" t="s">
        <v>72</v>
      </c>
      <c r="K11515" s="8" t="s">
        <v>73</v>
      </c>
      <c r="L11515" s="8" t="s">
        <v>18289</v>
      </c>
      <c r="M11515" s="8" t="s">
        <v>18290</v>
      </c>
      <c r="N11515" s="8" t="s">
        <v>48727</v>
      </c>
      <c r="O11515" s="8">
        <f>12+42/60+5.4/3600</f>
        <v>12.701499999999999</v>
      </c>
      <c r="P11515" s="8" t="s">
        <v>48728</v>
      </c>
      <c r="Q11515" s="8">
        <f>+(22+30/60+39/3600)</f>
        <v>22.510833333333334</v>
      </c>
      <c r="R11515" s="8">
        <v>99</v>
      </c>
      <c r="S11515" s="8">
        <v>99</v>
      </c>
      <c r="T11515" s="8">
        <v>99</v>
      </c>
      <c r="U11515" s="8">
        <v>99</v>
      </c>
      <c r="Y11515" s="8" t="s">
        <v>21</v>
      </c>
      <c r="Z11515" s="8" t="s">
        <v>48729</v>
      </c>
    </row>
    <row r="11516" spans="1:26" x14ac:dyDescent="0.2">
      <c r="A11516" s="8">
        <v>11515</v>
      </c>
      <c r="B11516" s="8" t="s">
        <v>48730</v>
      </c>
      <c r="C11516" s="8" t="s">
        <v>48730</v>
      </c>
      <c r="G11516" s="8">
        <v>20</v>
      </c>
      <c r="H11516" s="8" t="s">
        <v>21</v>
      </c>
      <c r="I11516" s="8" t="s">
        <v>22</v>
      </c>
      <c r="J11516" s="8" t="s">
        <v>57</v>
      </c>
      <c r="K11516" s="8" t="s">
        <v>6337</v>
      </c>
      <c r="L11516" s="8" t="s">
        <v>18681</v>
      </c>
      <c r="M11516" s="8" t="s">
        <v>18682</v>
      </c>
      <c r="N11516" s="8" t="s">
        <v>20890</v>
      </c>
      <c r="O11516" s="8">
        <f>12+41/60+52.5/3600</f>
        <v>12.697916666666666</v>
      </c>
      <c r="P11516" s="8" t="s">
        <v>20891</v>
      </c>
      <c r="Q11516" s="8">
        <f>+(41+16/60+25/3600)</f>
        <v>41.273611111111109</v>
      </c>
      <c r="R11516" s="8">
        <v>12.4</v>
      </c>
      <c r="S11516" s="8">
        <v>12.9</v>
      </c>
      <c r="T11516" s="8">
        <v>0.5</v>
      </c>
      <c r="U11516" s="8">
        <v>13.7</v>
      </c>
      <c r="V11516" s="8">
        <v>1.6</v>
      </c>
      <c r="W11516" s="8">
        <v>1.4</v>
      </c>
      <c r="X11516" s="8">
        <v>132</v>
      </c>
      <c r="Y11516" s="8" t="s">
        <v>48731</v>
      </c>
      <c r="Z11516" s="8" t="s">
        <v>48732</v>
      </c>
    </row>
    <row r="11517" spans="1:26" x14ac:dyDescent="0.2">
      <c r="A11517" s="8">
        <v>11516</v>
      </c>
      <c r="B11517" s="8" t="s">
        <v>48733</v>
      </c>
      <c r="C11517" s="8" t="s">
        <v>48733</v>
      </c>
      <c r="G11517" s="8">
        <v>20</v>
      </c>
      <c r="H11517" s="8" t="s">
        <v>21</v>
      </c>
      <c r="I11517" s="8" t="s">
        <v>72</v>
      </c>
      <c r="J11517" s="8" t="s">
        <v>72</v>
      </c>
      <c r="K11517" s="8" t="s">
        <v>20</v>
      </c>
      <c r="L11517" s="8" t="s">
        <v>18289</v>
      </c>
      <c r="M11517" s="8" t="s">
        <v>18290</v>
      </c>
      <c r="N11517" s="8" t="s">
        <v>48734</v>
      </c>
      <c r="O11517" s="8">
        <f>12+42/60+12.3/3600</f>
        <v>12.703416666666666</v>
      </c>
      <c r="P11517" s="8" t="s">
        <v>48735</v>
      </c>
      <c r="Q11517" s="8">
        <f>+(13+33/60+35/3600)</f>
        <v>13.559722222222224</v>
      </c>
      <c r="R11517" s="8">
        <v>99</v>
      </c>
      <c r="S11517" s="8">
        <v>14.5</v>
      </c>
      <c r="T11517" s="8">
        <v>99</v>
      </c>
      <c r="U11517" s="8">
        <v>99</v>
      </c>
      <c r="Y11517" s="8" t="s">
        <v>48736</v>
      </c>
      <c r="Z11517" s="8" t="s">
        <v>48737</v>
      </c>
    </row>
    <row r="11518" spans="1:26" x14ac:dyDescent="0.2">
      <c r="A11518" s="8">
        <v>11517</v>
      </c>
      <c r="B11518" s="8" t="s">
        <v>48738</v>
      </c>
      <c r="C11518" s="8" t="s">
        <v>48738</v>
      </c>
      <c r="G11518" s="8">
        <v>20</v>
      </c>
      <c r="H11518" s="8" t="s">
        <v>21</v>
      </c>
      <c r="I11518" s="8" t="s">
        <v>22</v>
      </c>
      <c r="J11518" s="8" t="s">
        <v>22</v>
      </c>
      <c r="K11518" s="8" t="s">
        <v>460</v>
      </c>
      <c r="L11518" s="8" t="s">
        <v>18289</v>
      </c>
      <c r="M11518" s="8" t="s">
        <v>18290</v>
      </c>
      <c r="N11518" s="8" t="s">
        <v>48739</v>
      </c>
      <c r="O11518" s="8">
        <f>12+42/60+11.8/3600</f>
        <v>12.703277777777776</v>
      </c>
      <c r="P11518" s="8" t="s">
        <v>48740</v>
      </c>
      <c r="Q11518" s="8">
        <f>+(20+53/60+8/3600)</f>
        <v>20.885555555555555</v>
      </c>
      <c r="R11518" s="8">
        <v>16</v>
      </c>
      <c r="S11518" s="8">
        <v>17</v>
      </c>
      <c r="T11518" s="8">
        <v>1</v>
      </c>
      <c r="U11518" s="8">
        <v>12.6</v>
      </c>
      <c r="V11518" s="8">
        <v>0.2</v>
      </c>
      <c r="W11518" s="8">
        <v>0.2</v>
      </c>
      <c r="Y11518" s="8" t="s">
        <v>45514</v>
      </c>
      <c r="Z11518" s="8" t="s">
        <v>45515</v>
      </c>
    </row>
    <row r="11519" spans="1:26" x14ac:dyDescent="0.2">
      <c r="A11519" s="8">
        <v>11518</v>
      </c>
      <c r="B11519" s="8" t="s">
        <v>48741</v>
      </c>
      <c r="C11519" s="8" t="s">
        <v>48741</v>
      </c>
      <c r="G11519" s="8">
        <v>20</v>
      </c>
      <c r="H11519" s="8" t="s">
        <v>21</v>
      </c>
      <c r="I11519" s="8" t="s">
        <v>22</v>
      </c>
      <c r="J11519" s="8" t="s">
        <v>22</v>
      </c>
      <c r="K11519" s="8" t="s">
        <v>449</v>
      </c>
      <c r="L11519" s="8" t="s">
        <v>18289</v>
      </c>
      <c r="M11519" s="8" t="s">
        <v>18290</v>
      </c>
      <c r="N11519" s="8" t="s">
        <v>48742</v>
      </c>
      <c r="O11519" s="8">
        <f>12+42/60+12.6/3600</f>
        <v>12.7035</v>
      </c>
      <c r="P11519" s="8" t="s">
        <v>48743</v>
      </c>
      <c r="Q11519" s="8">
        <f>+(20+52/60+49/3600)</f>
        <v>20.880277777777778</v>
      </c>
      <c r="R11519" s="8">
        <v>15.9</v>
      </c>
      <c r="S11519" s="8">
        <v>16.7</v>
      </c>
      <c r="T11519" s="8">
        <v>0.8</v>
      </c>
      <c r="U11519" s="8">
        <v>12.3</v>
      </c>
      <c r="V11519" s="8">
        <v>0.2</v>
      </c>
      <c r="W11519" s="8">
        <v>0.2</v>
      </c>
      <c r="Y11519" s="8" t="s">
        <v>45086</v>
      </c>
      <c r="Z11519" s="8" t="s">
        <v>45087</v>
      </c>
    </row>
    <row r="11520" spans="1:26" x14ac:dyDescent="0.2">
      <c r="A11520" s="8">
        <v>11519</v>
      </c>
      <c r="B11520" s="8" t="s">
        <v>48744</v>
      </c>
      <c r="C11520" s="8" t="s">
        <v>48744</v>
      </c>
      <c r="G11520" s="8">
        <v>20</v>
      </c>
      <c r="H11520" s="8" t="s">
        <v>21</v>
      </c>
      <c r="I11520" s="8" t="s">
        <v>72</v>
      </c>
      <c r="J11520" s="8" t="s">
        <v>72</v>
      </c>
      <c r="K11520" s="8" t="s">
        <v>73</v>
      </c>
      <c r="L11520" s="8" t="s">
        <v>18289</v>
      </c>
      <c r="M11520" s="8" t="s">
        <v>18290</v>
      </c>
      <c r="N11520" s="8" t="s">
        <v>48745</v>
      </c>
      <c r="O11520" s="8">
        <f>12+42/60+11.4/3600</f>
        <v>12.703166666666666</v>
      </c>
      <c r="P11520" s="8" t="s">
        <v>48746</v>
      </c>
      <c r="Q11520" s="8">
        <f>+(22+49/60+6/3600)</f>
        <v>22.818333333333332</v>
      </c>
      <c r="R11520" s="8">
        <v>99</v>
      </c>
      <c r="S11520" s="8">
        <v>99</v>
      </c>
      <c r="T11520" s="8">
        <v>99</v>
      </c>
      <c r="U11520" s="8">
        <v>99</v>
      </c>
      <c r="Y11520" s="8" t="s">
        <v>45218</v>
      </c>
      <c r="Z11520" s="8" t="s">
        <v>45219</v>
      </c>
    </row>
    <row r="11521" spans="1:26" x14ac:dyDescent="0.2">
      <c r="A11521" s="8">
        <v>11520</v>
      </c>
      <c r="B11521" s="8" t="s">
        <v>48747</v>
      </c>
      <c r="C11521" s="8" t="s">
        <v>48747</v>
      </c>
      <c r="G11521" s="8">
        <v>20</v>
      </c>
      <c r="H11521" s="8" t="s">
        <v>21</v>
      </c>
      <c r="I11521" s="8" t="s">
        <v>72</v>
      </c>
      <c r="J11521" s="8" t="s">
        <v>72</v>
      </c>
      <c r="K11521" s="8" t="s">
        <v>20</v>
      </c>
      <c r="L11521" s="8" t="s">
        <v>18681</v>
      </c>
      <c r="M11521" s="8" t="s">
        <v>18682</v>
      </c>
      <c r="N11521" s="8" t="s">
        <v>48748</v>
      </c>
      <c r="O11521" s="8">
        <f>12+42/60+0.8/3600</f>
        <v>12.700222222222221</v>
      </c>
      <c r="P11521" s="8" t="s">
        <v>48749</v>
      </c>
      <c r="Q11521" s="8">
        <f>+(39+6/60+18/3600)</f>
        <v>39.105000000000004</v>
      </c>
      <c r="R11521" s="8">
        <v>99</v>
      </c>
      <c r="S11521" s="8">
        <v>99</v>
      </c>
      <c r="T11521" s="8">
        <v>99</v>
      </c>
      <c r="U11521" s="8">
        <v>99</v>
      </c>
      <c r="Y11521" s="8" t="s">
        <v>45218</v>
      </c>
      <c r="Z11521" s="8" t="s">
        <v>45219</v>
      </c>
    </row>
    <row r="11522" spans="1:26" x14ac:dyDescent="0.2">
      <c r="A11522" s="8">
        <v>11521</v>
      </c>
      <c r="B11522" s="8" t="s">
        <v>48750</v>
      </c>
      <c r="C11522" s="8" t="s">
        <v>48750</v>
      </c>
      <c r="G11522" s="8">
        <v>20</v>
      </c>
      <c r="H11522" s="8" t="s">
        <v>21</v>
      </c>
      <c r="I11522" s="8" t="s">
        <v>72</v>
      </c>
      <c r="J11522" s="8" t="s">
        <v>72</v>
      </c>
      <c r="K11522" s="8" t="s">
        <v>20</v>
      </c>
      <c r="L11522" s="8" t="s">
        <v>18681</v>
      </c>
      <c r="M11522" s="8" t="s">
        <v>18682</v>
      </c>
      <c r="N11522" s="8" t="s">
        <v>48751</v>
      </c>
      <c r="O11522" s="8">
        <f>12+42/60+0.9/3600</f>
        <v>12.700249999999999</v>
      </c>
      <c r="P11522" s="8" t="s">
        <v>48752</v>
      </c>
      <c r="Q11522" s="8">
        <f>+(39+6/60+16/3600)</f>
        <v>39.104444444444447</v>
      </c>
      <c r="R11522" s="8">
        <v>99</v>
      </c>
      <c r="S11522" s="8">
        <v>14.6</v>
      </c>
      <c r="T11522" s="8">
        <v>99</v>
      </c>
      <c r="U11522" s="8">
        <v>99</v>
      </c>
      <c r="Y11522" s="8" t="s">
        <v>48753</v>
      </c>
      <c r="Z11522" s="8" t="s">
        <v>48754</v>
      </c>
    </row>
    <row r="11523" spans="1:26" x14ac:dyDescent="0.2">
      <c r="A11523" s="8">
        <v>11522</v>
      </c>
      <c r="B11523" s="8" t="s">
        <v>48755</v>
      </c>
      <c r="C11523" s="8" t="s">
        <v>48755</v>
      </c>
      <c r="G11523" s="8">
        <v>20</v>
      </c>
      <c r="H11523" s="8" t="s">
        <v>21</v>
      </c>
      <c r="I11523" s="8" t="s">
        <v>72</v>
      </c>
      <c r="J11523" s="8" t="s">
        <v>72</v>
      </c>
      <c r="K11523" s="8" t="s">
        <v>20</v>
      </c>
      <c r="L11523" s="8" t="s">
        <v>18289</v>
      </c>
      <c r="M11523" s="8" t="s">
        <v>18290</v>
      </c>
      <c r="N11523" s="8" t="s">
        <v>48756</v>
      </c>
      <c r="O11523" s="8">
        <f>12+42/60+1.7/3600</f>
        <v>12.700472222222222</v>
      </c>
      <c r="P11523" s="8" t="s">
        <v>48757</v>
      </c>
      <c r="Q11523" s="8">
        <f>+(39+5/60+1/3600)</f>
        <v>39.083611111111111</v>
      </c>
      <c r="R11523" s="8">
        <v>99</v>
      </c>
      <c r="S11523" s="8">
        <v>14.8</v>
      </c>
      <c r="T11523" s="8">
        <v>99</v>
      </c>
      <c r="U11523" s="8">
        <v>99</v>
      </c>
      <c r="Y11523" s="8" t="s">
        <v>45514</v>
      </c>
      <c r="Z11523" s="8" t="s">
        <v>45515</v>
      </c>
    </row>
    <row r="11524" spans="1:26" x14ac:dyDescent="0.2">
      <c r="A11524" s="8">
        <v>11523</v>
      </c>
      <c r="B11524" s="8" t="s">
        <v>48758</v>
      </c>
      <c r="C11524" s="8" t="s">
        <v>48758</v>
      </c>
      <c r="G11524" s="8">
        <v>20</v>
      </c>
      <c r="H11524" s="8" t="s">
        <v>21</v>
      </c>
      <c r="I11524" s="8" t="s">
        <v>22</v>
      </c>
      <c r="J11524" s="8" t="s">
        <v>22</v>
      </c>
      <c r="K11524" s="8" t="s">
        <v>449</v>
      </c>
      <c r="L11524" s="8" t="s">
        <v>18289</v>
      </c>
      <c r="M11524" s="8" t="s">
        <v>18290</v>
      </c>
      <c r="N11524" s="8" t="s">
        <v>48759</v>
      </c>
      <c r="O11524" s="8">
        <f>12+42/60+20.6/3600</f>
        <v>12.705722222222221</v>
      </c>
      <c r="P11524" s="8" t="s">
        <v>48760</v>
      </c>
      <c r="Q11524" s="8">
        <f>+(20+52/60+19/3600)</f>
        <v>20.871944444444445</v>
      </c>
      <c r="R11524" s="8">
        <v>16.3</v>
      </c>
      <c r="S11524" s="8">
        <v>17.100000000000001</v>
      </c>
      <c r="T11524" s="8">
        <v>0.8</v>
      </c>
      <c r="U11524" s="8">
        <v>13.1</v>
      </c>
      <c r="V11524" s="8">
        <v>0.3</v>
      </c>
      <c r="W11524" s="8">
        <v>0.2</v>
      </c>
      <c r="X11524" s="8">
        <v>60</v>
      </c>
      <c r="Y11524" s="8" t="s">
        <v>45514</v>
      </c>
      <c r="Z11524" s="8" t="s">
        <v>45515</v>
      </c>
    </row>
    <row r="11525" spans="1:26" x14ac:dyDescent="0.2">
      <c r="A11525" s="8">
        <v>11524</v>
      </c>
      <c r="B11525" s="8" t="s">
        <v>48761</v>
      </c>
      <c r="C11525" s="8" t="s">
        <v>48761</v>
      </c>
      <c r="G11525" s="8">
        <v>20</v>
      </c>
      <c r="H11525" s="8" t="s">
        <v>21</v>
      </c>
      <c r="I11525" s="8" t="s">
        <v>22</v>
      </c>
      <c r="J11525" s="8" t="s">
        <v>22</v>
      </c>
      <c r="K11525" s="8" t="s">
        <v>632</v>
      </c>
      <c r="L11525" s="8" t="s">
        <v>17287</v>
      </c>
      <c r="M11525" s="8" t="s">
        <v>17288</v>
      </c>
      <c r="N11525" s="8" t="s">
        <v>48762</v>
      </c>
      <c r="O11525" s="8">
        <f>12+42/60+26.5/3600</f>
        <v>12.70736111111111</v>
      </c>
      <c r="P11525" s="8" t="s">
        <v>48763</v>
      </c>
      <c r="Q11525" s="8">
        <f>+(11+44/60+22/3600)</f>
        <v>11.739444444444443</v>
      </c>
      <c r="R11525" s="8">
        <v>15.1</v>
      </c>
      <c r="S11525" s="8">
        <v>16</v>
      </c>
      <c r="T11525" s="8">
        <v>0.9</v>
      </c>
      <c r="U11525" s="8">
        <v>14.1</v>
      </c>
      <c r="V11525" s="8">
        <v>1.1000000000000001</v>
      </c>
      <c r="W11525" s="8">
        <v>0.4</v>
      </c>
      <c r="X11525" s="8">
        <v>14</v>
      </c>
      <c r="Y11525" s="8" t="s">
        <v>421</v>
      </c>
      <c r="Z11525" s="8" t="s">
        <v>422</v>
      </c>
    </row>
    <row r="11526" spans="1:26" x14ac:dyDescent="0.2">
      <c r="A11526" s="8">
        <v>11525</v>
      </c>
      <c r="B11526" s="8" t="s">
        <v>48764</v>
      </c>
      <c r="C11526" s="8" t="s">
        <v>48764</v>
      </c>
      <c r="G11526" s="8">
        <v>20</v>
      </c>
      <c r="H11526" s="8" t="s">
        <v>21</v>
      </c>
      <c r="I11526" s="8" t="s">
        <v>72</v>
      </c>
      <c r="J11526" s="8" t="s">
        <v>72</v>
      </c>
      <c r="K11526" s="8" t="s">
        <v>20</v>
      </c>
      <c r="L11526" s="8" t="s">
        <v>17287</v>
      </c>
      <c r="M11526" s="8" t="s">
        <v>17288</v>
      </c>
      <c r="N11526" s="8" t="s">
        <v>48765</v>
      </c>
      <c r="O11526" s="8">
        <f>12+42/60+19.5/3600</f>
        <v>12.705416666666666</v>
      </c>
      <c r="P11526" s="8" t="s">
        <v>48766</v>
      </c>
      <c r="Q11526" s="8">
        <f>+(20+51/60+52/3600)</f>
        <v>20.864444444444445</v>
      </c>
      <c r="R11526" s="8">
        <v>99</v>
      </c>
      <c r="S11526" s="8">
        <v>14.8</v>
      </c>
      <c r="T11526" s="8">
        <v>99</v>
      </c>
      <c r="U11526" s="8">
        <v>99</v>
      </c>
      <c r="Y11526" s="8" t="s">
        <v>1225</v>
      </c>
      <c r="Z11526" s="8" t="s">
        <v>1226</v>
      </c>
    </row>
    <row r="11527" spans="1:26" x14ac:dyDescent="0.2">
      <c r="A11527" s="8">
        <v>11526</v>
      </c>
      <c r="B11527" s="8" t="s">
        <v>48767</v>
      </c>
      <c r="C11527" s="8" t="s">
        <v>48767</v>
      </c>
      <c r="G11527" s="8">
        <v>20</v>
      </c>
      <c r="H11527" s="8" t="s">
        <v>21</v>
      </c>
      <c r="I11527" s="8" t="s">
        <v>22</v>
      </c>
      <c r="J11527" s="8" t="s">
        <v>22</v>
      </c>
      <c r="K11527" s="8" t="s">
        <v>160</v>
      </c>
      <c r="L11527" s="8" t="s">
        <v>17287</v>
      </c>
      <c r="M11527" s="8" t="s">
        <v>17288</v>
      </c>
      <c r="N11527" s="8" t="s">
        <v>48768</v>
      </c>
      <c r="O11527" s="8">
        <f>12+42/60+36/3600</f>
        <v>12.709999999999999</v>
      </c>
      <c r="P11527" s="8" t="s">
        <v>48769</v>
      </c>
      <c r="Q11527" s="8">
        <f>+(10+33/60+54/3600)</f>
        <v>10.565000000000001</v>
      </c>
      <c r="R11527" s="8">
        <v>14.3</v>
      </c>
      <c r="S11527" s="8">
        <v>15</v>
      </c>
      <c r="T11527" s="8">
        <v>0.7</v>
      </c>
      <c r="U11527" s="8">
        <v>13.2</v>
      </c>
      <c r="V11527" s="8">
        <v>1</v>
      </c>
      <c r="W11527" s="8">
        <v>0.4</v>
      </c>
      <c r="X11527" s="8">
        <v>171</v>
      </c>
      <c r="Y11527" s="8" t="s">
        <v>895</v>
      </c>
      <c r="Z11527" s="8" t="s">
        <v>896</v>
      </c>
    </row>
    <row r="11528" spans="1:26" x14ac:dyDescent="0.2">
      <c r="A11528" s="8">
        <v>11527</v>
      </c>
      <c r="B11528" s="8" t="s">
        <v>48770</v>
      </c>
      <c r="C11528" s="8" t="s">
        <v>48770</v>
      </c>
      <c r="G11528" s="8">
        <v>20</v>
      </c>
      <c r="H11528" s="8" t="s">
        <v>21</v>
      </c>
      <c r="I11528" s="8" t="s">
        <v>22</v>
      </c>
      <c r="J11528" s="8" t="s">
        <v>22</v>
      </c>
      <c r="K11528" s="8" t="s">
        <v>107</v>
      </c>
      <c r="L11528" s="8" t="s">
        <v>18681</v>
      </c>
      <c r="M11528" s="8" t="s">
        <v>18682</v>
      </c>
      <c r="N11528" s="8" t="s">
        <v>48771</v>
      </c>
      <c r="O11528" s="8">
        <f>12+42/60+15.1/3600</f>
        <v>12.704194444444443</v>
      </c>
      <c r="P11528" s="8" t="s">
        <v>48772</v>
      </c>
      <c r="Q11528" s="8">
        <f>+(38+30/60+13/3600)</f>
        <v>38.503611111111113</v>
      </c>
      <c r="R11528" s="8">
        <v>13.5</v>
      </c>
      <c r="S11528" s="8">
        <v>13.7</v>
      </c>
      <c r="T11528" s="8">
        <v>0.2</v>
      </c>
      <c r="U11528" s="8">
        <v>15.8</v>
      </c>
      <c r="V11528" s="8">
        <v>2.5</v>
      </c>
      <c r="W11528" s="8">
        <v>1.5</v>
      </c>
      <c r="X11528" s="8">
        <v>9</v>
      </c>
      <c r="Y11528" s="8" t="s">
        <v>21</v>
      </c>
      <c r="Z11528" s="8" t="s">
        <v>48773</v>
      </c>
    </row>
    <row r="11529" spans="1:26" x14ac:dyDescent="0.2">
      <c r="A11529" s="8">
        <v>11528</v>
      </c>
      <c r="B11529" s="8" t="s">
        <v>48774</v>
      </c>
      <c r="C11529" s="8" t="s">
        <v>48774</v>
      </c>
      <c r="G11529" s="8">
        <v>20</v>
      </c>
      <c r="H11529" s="8" t="s">
        <v>21</v>
      </c>
      <c r="I11529" s="8" t="s">
        <v>22</v>
      </c>
      <c r="J11529" s="8" t="s">
        <v>57</v>
      </c>
      <c r="K11529" s="8" t="s">
        <v>269</v>
      </c>
      <c r="L11529" s="8" t="s">
        <v>18289</v>
      </c>
      <c r="M11529" s="8" t="s">
        <v>18290</v>
      </c>
      <c r="N11529" s="8" t="s">
        <v>20928</v>
      </c>
      <c r="O11529" s="8">
        <f>12+42/60+37.1/3600</f>
        <v>12.710305555555555</v>
      </c>
      <c r="P11529" s="8" t="s">
        <v>20929</v>
      </c>
      <c r="Q11529" s="8">
        <f>+(14+21/60+25/3600)</f>
        <v>14.356944444444444</v>
      </c>
      <c r="R11529" s="8">
        <v>13.1</v>
      </c>
      <c r="S11529" s="8">
        <v>13.8</v>
      </c>
      <c r="T11529" s="8">
        <v>0.7</v>
      </c>
      <c r="U11529" s="8">
        <v>13.6</v>
      </c>
      <c r="V11529" s="8">
        <v>2</v>
      </c>
      <c r="W11529" s="8">
        <v>0.9</v>
      </c>
      <c r="X11529" s="8">
        <v>33</v>
      </c>
      <c r="Y11529" s="8" t="s">
        <v>45961</v>
      </c>
      <c r="Z11529" s="8" t="s">
        <v>45962</v>
      </c>
    </row>
    <row r="11530" spans="1:26" x14ac:dyDescent="0.2">
      <c r="A11530" s="8">
        <v>11529</v>
      </c>
      <c r="B11530" s="8" t="s">
        <v>48775</v>
      </c>
      <c r="C11530" s="8" t="s">
        <v>48775</v>
      </c>
      <c r="G11530" s="8">
        <v>20</v>
      </c>
      <c r="H11530" s="8" t="s">
        <v>21</v>
      </c>
      <c r="I11530" s="8" t="s">
        <v>22</v>
      </c>
      <c r="J11530" s="8" t="s">
        <v>22</v>
      </c>
      <c r="K11530" s="8" t="s">
        <v>460</v>
      </c>
      <c r="L11530" s="8" t="s">
        <v>18289</v>
      </c>
      <c r="M11530" s="8" t="s">
        <v>18290</v>
      </c>
      <c r="N11530" s="8" t="s">
        <v>48776</v>
      </c>
      <c r="O11530" s="8">
        <f>12+42/60+37/3600</f>
        <v>12.710277777777778</v>
      </c>
      <c r="P11530" s="8" t="s">
        <v>48777</v>
      </c>
      <c r="Q11530" s="8">
        <f>+(20+51/60+1/3600)</f>
        <v>20.85027777777778</v>
      </c>
      <c r="R11530" s="8">
        <v>15</v>
      </c>
      <c r="S11530" s="8">
        <v>16</v>
      </c>
      <c r="T11530" s="8">
        <v>1</v>
      </c>
      <c r="U11530" s="8">
        <v>11.6</v>
      </c>
      <c r="V11530" s="8">
        <v>0.2</v>
      </c>
      <c r="W11530" s="8">
        <v>0.2</v>
      </c>
      <c r="Y11530" s="8" t="s">
        <v>45514</v>
      </c>
      <c r="Z11530" s="8" t="s">
        <v>45515</v>
      </c>
    </row>
    <row r="11531" spans="1:26" x14ac:dyDescent="0.2">
      <c r="A11531" s="8">
        <v>11530</v>
      </c>
      <c r="B11531" s="8" t="s">
        <v>48778</v>
      </c>
      <c r="C11531" s="8" t="s">
        <v>48778</v>
      </c>
      <c r="G11531" s="8">
        <v>20</v>
      </c>
      <c r="H11531" s="8" t="s">
        <v>21</v>
      </c>
      <c r="I11531" s="8" t="s">
        <v>22</v>
      </c>
      <c r="J11531" s="8" t="s">
        <v>22</v>
      </c>
      <c r="K11531" s="8" t="s">
        <v>23</v>
      </c>
      <c r="L11531" s="8" t="s">
        <v>17287</v>
      </c>
      <c r="M11531" s="8" t="s">
        <v>17288</v>
      </c>
      <c r="N11531" s="8" t="s">
        <v>48779</v>
      </c>
      <c r="O11531" s="8">
        <f>12+42/60+49.2/3600</f>
        <v>12.713666666666667</v>
      </c>
      <c r="P11531" s="8" t="s">
        <v>48780</v>
      </c>
      <c r="Q11531" s="8">
        <f>+(10+21/60+28/3600)</f>
        <v>10.357777777777777</v>
      </c>
      <c r="R11531" s="8">
        <v>14.3</v>
      </c>
      <c r="S11531" s="8">
        <v>15.1</v>
      </c>
      <c r="T11531" s="8">
        <v>0.8</v>
      </c>
      <c r="U11531" s="8">
        <v>12.9</v>
      </c>
      <c r="V11531" s="8">
        <v>1.1000000000000001</v>
      </c>
      <c r="W11531" s="8">
        <v>0.3</v>
      </c>
      <c r="X11531" s="8">
        <v>6</v>
      </c>
      <c r="Y11531" s="8" t="s">
        <v>48781</v>
      </c>
      <c r="Z11531" s="8" t="s">
        <v>48782</v>
      </c>
    </row>
    <row r="11532" spans="1:26" x14ac:dyDescent="0.2">
      <c r="A11532" s="8">
        <v>11531</v>
      </c>
      <c r="B11532" s="8" t="s">
        <v>48783</v>
      </c>
      <c r="C11532" s="8" t="s">
        <v>48783</v>
      </c>
      <c r="G11532" s="8">
        <v>20</v>
      </c>
      <c r="H11532" s="8" t="s">
        <v>21</v>
      </c>
      <c r="I11532" s="8" t="s">
        <v>22</v>
      </c>
      <c r="J11532" s="8" t="s">
        <v>22</v>
      </c>
      <c r="K11532" s="8" t="s">
        <v>4219</v>
      </c>
      <c r="L11532" s="8" t="s">
        <v>18289</v>
      </c>
      <c r="M11532" s="8" t="s">
        <v>18290</v>
      </c>
      <c r="N11532" s="8" t="s">
        <v>48784</v>
      </c>
      <c r="O11532" s="8">
        <f>12+42/60+49.3/3600</f>
        <v>12.713694444444444</v>
      </c>
      <c r="P11532" s="8" t="s">
        <v>48785</v>
      </c>
      <c r="Q11532" s="8">
        <f>+(22+46/60+22/3600)</f>
        <v>22.772777777777776</v>
      </c>
      <c r="R11532" s="8">
        <v>16.399999999999999</v>
      </c>
      <c r="S11532" s="8">
        <v>17</v>
      </c>
      <c r="T11532" s="8">
        <v>0.6</v>
      </c>
      <c r="U11532" s="8">
        <v>15.1</v>
      </c>
      <c r="V11532" s="8">
        <v>0.6</v>
      </c>
      <c r="W11532" s="8">
        <v>0.6</v>
      </c>
      <c r="Y11532" s="8" t="s">
        <v>45218</v>
      </c>
      <c r="Z11532" s="8" t="s">
        <v>45219</v>
      </c>
    </row>
    <row r="11533" spans="1:26" x14ac:dyDescent="0.2">
      <c r="A11533" s="8">
        <v>11532</v>
      </c>
      <c r="B11533" s="8" t="s">
        <v>48786</v>
      </c>
      <c r="C11533" s="8" t="s">
        <v>48786</v>
      </c>
      <c r="G11533" s="8">
        <v>20</v>
      </c>
      <c r="H11533" s="8" t="s">
        <v>21</v>
      </c>
      <c r="I11533" s="8" t="s">
        <v>22</v>
      </c>
      <c r="J11533" s="8" t="s">
        <v>22</v>
      </c>
      <c r="K11533" s="8" t="s">
        <v>154</v>
      </c>
      <c r="L11533" s="8" t="s">
        <v>18289</v>
      </c>
      <c r="M11533" s="8" t="s">
        <v>18290</v>
      </c>
      <c r="N11533" s="8" t="s">
        <v>48787</v>
      </c>
      <c r="O11533" s="8">
        <f>12+42/60+53.9/3600</f>
        <v>12.714972222222222</v>
      </c>
      <c r="P11533" s="8" t="s">
        <v>48788</v>
      </c>
      <c r="Q11533" s="8">
        <f>+(20+59/60+22/3600)</f>
        <v>20.989444444444445</v>
      </c>
      <c r="R11533" s="8">
        <v>13.8</v>
      </c>
      <c r="S11533" s="8">
        <v>14.7</v>
      </c>
      <c r="T11533" s="8">
        <v>0.9</v>
      </c>
      <c r="U11533" s="8">
        <v>13.1</v>
      </c>
      <c r="V11533" s="8">
        <v>0.9</v>
      </c>
      <c r="W11533" s="8">
        <v>0.7</v>
      </c>
      <c r="X11533" s="8">
        <v>97</v>
      </c>
      <c r="Y11533" s="8" t="s">
        <v>48789</v>
      </c>
      <c r="Z11533" s="8" t="s">
        <v>48790</v>
      </c>
    </row>
    <row r="11534" spans="1:26" x14ac:dyDescent="0.2">
      <c r="A11534" s="8">
        <v>11533</v>
      </c>
      <c r="B11534" s="8" t="s">
        <v>48791</v>
      </c>
      <c r="C11534" s="8" t="s">
        <v>48791</v>
      </c>
      <c r="G11534" s="8">
        <v>20</v>
      </c>
      <c r="H11534" s="8" t="s">
        <v>21</v>
      </c>
      <c r="I11534" s="8" t="s">
        <v>22</v>
      </c>
      <c r="J11534" s="8" t="s">
        <v>22</v>
      </c>
      <c r="K11534" s="8" t="s">
        <v>818</v>
      </c>
      <c r="L11534" s="8" t="s">
        <v>17287</v>
      </c>
      <c r="M11534" s="8" t="s">
        <v>17288</v>
      </c>
      <c r="N11534" s="8" t="s">
        <v>48792</v>
      </c>
      <c r="O11534" s="8">
        <f>12+42/60+58/3600</f>
        <v>12.716111111111111</v>
      </c>
      <c r="P11534" s="8" t="s">
        <v>48793</v>
      </c>
      <c r="Q11534" s="8">
        <f>+(10+40/60+53/3600)</f>
        <v>10.681388888888888</v>
      </c>
      <c r="R11534" s="8">
        <v>14.2</v>
      </c>
      <c r="S11534" s="8">
        <v>15.2</v>
      </c>
      <c r="T11534" s="8">
        <v>1</v>
      </c>
      <c r="U11534" s="8">
        <v>12.7</v>
      </c>
      <c r="V11534" s="8">
        <v>0.6</v>
      </c>
      <c r="W11534" s="8">
        <v>0.4</v>
      </c>
      <c r="X11534" s="8">
        <v>85</v>
      </c>
      <c r="Y11534" s="8" t="s">
        <v>1212</v>
      </c>
      <c r="Z11534" s="8" t="s">
        <v>1213</v>
      </c>
    </row>
    <row r="11535" spans="1:26" x14ac:dyDescent="0.2">
      <c r="A11535" s="8">
        <v>11534</v>
      </c>
      <c r="B11535" s="8" t="s">
        <v>48794</v>
      </c>
      <c r="C11535" s="8" t="s">
        <v>48794</v>
      </c>
      <c r="G11535" s="8">
        <v>20</v>
      </c>
      <c r="H11535" s="8" t="s">
        <v>21</v>
      </c>
      <c r="I11535" s="8" t="s">
        <v>22</v>
      </c>
      <c r="J11535" s="8" t="s">
        <v>22</v>
      </c>
      <c r="K11535" s="8" t="s">
        <v>396</v>
      </c>
      <c r="L11535" s="8" t="s">
        <v>17287</v>
      </c>
      <c r="M11535" s="8" t="s">
        <v>17288</v>
      </c>
      <c r="N11535" s="8" t="s">
        <v>48795</v>
      </c>
      <c r="O11535" s="8">
        <f>12+43/60+7.3/3600</f>
        <v>12.718694444444445</v>
      </c>
      <c r="P11535" s="8" t="s">
        <v>48796</v>
      </c>
      <c r="Q11535" s="8">
        <f>+(11+12/60+41/3600)</f>
        <v>11.211388888888887</v>
      </c>
      <c r="R11535" s="8">
        <v>14.1</v>
      </c>
      <c r="S11535" s="8">
        <v>14.9</v>
      </c>
      <c r="T11535" s="8">
        <v>0.8</v>
      </c>
      <c r="U11535" s="8">
        <v>12.4</v>
      </c>
      <c r="V11535" s="8">
        <v>0.6</v>
      </c>
      <c r="W11535" s="8">
        <v>0.4</v>
      </c>
      <c r="X11535" s="8">
        <v>30</v>
      </c>
      <c r="Y11535" s="8" t="s">
        <v>47963</v>
      </c>
      <c r="Z11535" s="8" t="s">
        <v>47964</v>
      </c>
    </row>
    <row r="11536" spans="1:26" x14ac:dyDescent="0.2">
      <c r="A11536" s="8">
        <v>11535</v>
      </c>
      <c r="B11536" s="8" t="s">
        <v>48797</v>
      </c>
      <c r="C11536" s="8" t="s">
        <v>48797</v>
      </c>
      <c r="G11536" s="8">
        <v>20</v>
      </c>
      <c r="H11536" s="8" t="s">
        <v>21</v>
      </c>
      <c r="I11536" s="8" t="s">
        <v>72</v>
      </c>
      <c r="J11536" s="8" t="s">
        <v>72</v>
      </c>
      <c r="K11536" s="8" t="s">
        <v>20</v>
      </c>
      <c r="L11536" s="8" t="s">
        <v>18289</v>
      </c>
      <c r="M11536" s="8" t="s">
        <v>18290</v>
      </c>
      <c r="N11536" s="8" t="s">
        <v>48798</v>
      </c>
      <c r="O11536" s="8">
        <f>12+42/60+32.2/3600</f>
        <v>12.708944444444445</v>
      </c>
      <c r="P11536" s="8" t="s">
        <v>48799</v>
      </c>
      <c r="Q11536" s="8">
        <f>+(6+52/60+15/3600)</f>
        <v>6.8708333333333336</v>
      </c>
      <c r="R11536" s="8">
        <v>99</v>
      </c>
      <c r="S11536" s="8">
        <v>14.4</v>
      </c>
      <c r="T11536" s="8">
        <v>99</v>
      </c>
      <c r="U11536" s="8">
        <v>99</v>
      </c>
      <c r="Y11536" s="8" t="s">
        <v>45086</v>
      </c>
      <c r="Z11536" s="8" t="s">
        <v>45087</v>
      </c>
    </row>
    <row r="11537" spans="1:26" x14ac:dyDescent="0.2">
      <c r="A11537" s="8">
        <v>11536</v>
      </c>
      <c r="B11537" s="8" t="s">
        <v>48800</v>
      </c>
      <c r="C11537" s="8" t="s">
        <v>48800</v>
      </c>
      <c r="G11537" s="8">
        <v>20</v>
      </c>
      <c r="H11537" s="8" t="s">
        <v>21</v>
      </c>
      <c r="I11537" s="8" t="s">
        <v>22</v>
      </c>
      <c r="J11537" s="8" t="s">
        <v>22</v>
      </c>
      <c r="K11537" s="8" t="s">
        <v>460</v>
      </c>
      <c r="L11537" s="8" t="s">
        <v>18289</v>
      </c>
      <c r="M11537" s="8" t="s">
        <v>18290</v>
      </c>
      <c r="N11537" s="8" t="s">
        <v>48801</v>
      </c>
      <c r="O11537" s="8">
        <f>12+43/60+9.7/3600</f>
        <v>12.719361111111111</v>
      </c>
      <c r="P11537" s="8" t="s">
        <v>48802</v>
      </c>
      <c r="Q11537" s="8">
        <f>+(19+55/60+41/3600)</f>
        <v>19.928055555555556</v>
      </c>
      <c r="R11537" s="8">
        <v>16</v>
      </c>
      <c r="S11537" s="8">
        <v>17</v>
      </c>
      <c r="T11537" s="8">
        <v>1</v>
      </c>
      <c r="U11537" s="8">
        <v>12.6</v>
      </c>
      <c r="V11537" s="8">
        <v>0.2</v>
      </c>
      <c r="W11537" s="8">
        <v>0.2</v>
      </c>
      <c r="Y11537" s="8" t="s">
        <v>45086</v>
      </c>
      <c r="Z11537" s="8" t="s">
        <v>45087</v>
      </c>
    </row>
    <row r="11538" spans="1:26" x14ac:dyDescent="0.2">
      <c r="A11538" s="8">
        <v>11537</v>
      </c>
      <c r="B11538" s="8" t="s">
        <v>48803</v>
      </c>
      <c r="C11538" s="8" t="s">
        <v>48803</v>
      </c>
      <c r="G11538" s="8">
        <v>20</v>
      </c>
      <c r="H11538" s="8" t="s">
        <v>21</v>
      </c>
      <c r="I11538" s="8" t="s">
        <v>22</v>
      </c>
      <c r="J11538" s="8" t="s">
        <v>22</v>
      </c>
      <c r="K11538" s="8" t="s">
        <v>476</v>
      </c>
      <c r="L11538" s="8" t="s">
        <v>18681</v>
      </c>
      <c r="M11538" s="8" t="s">
        <v>18682</v>
      </c>
      <c r="N11538" s="8" t="s">
        <v>48804</v>
      </c>
      <c r="O11538" s="8">
        <f>12+42/60+58.8/3600</f>
        <v>12.716333333333333</v>
      </c>
      <c r="P11538" s="8" t="s">
        <v>48805</v>
      </c>
      <c r="Q11538" s="8">
        <f>+(39+50/60+46/3600)</f>
        <v>39.846111111111114</v>
      </c>
      <c r="R11538" s="8">
        <v>15.3</v>
      </c>
      <c r="S11538" s="8">
        <v>16.100000000000001</v>
      </c>
      <c r="T11538" s="8">
        <v>0.8</v>
      </c>
      <c r="U11538" s="8">
        <v>14.5</v>
      </c>
      <c r="V11538" s="8">
        <v>0.8</v>
      </c>
      <c r="W11538" s="8">
        <v>0.7</v>
      </c>
      <c r="Y11538" s="8" t="s">
        <v>48806</v>
      </c>
      <c r="Z11538" s="8" t="s">
        <v>48807</v>
      </c>
    </row>
    <row r="11539" spans="1:26" x14ac:dyDescent="0.2">
      <c r="A11539" s="8">
        <v>11538</v>
      </c>
      <c r="B11539" s="8" t="s">
        <v>48808</v>
      </c>
      <c r="C11539" s="8" t="s">
        <v>48808</v>
      </c>
      <c r="G11539" s="8">
        <v>20</v>
      </c>
      <c r="H11539" s="8" t="s">
        <v>21</v>
      </c>
      <c r="I11539" s="8" t="s">
        <v>22</v>
      </c>
      <c r="J11539" s="8" t="s">
        <v>22</v>
      </c>
      <c r="K11539" s="8" t="s">
        <v>160</v>
      </c>
      <c r="L11539" s="8" t="s">
        <v>17287</v>
      </c>
      <c r="M11539" s="8" t="s">
        <v>17288</v>
      </c>
      <c r="N11539" s="8" t="s">
        <v>48809</v>
      </c>
      <c r="O11539" s="8">
        <f>12+43/60+17.3/3600</f>
        <v>12.721472222222223</v>
      </c>
      <c r="P11539" s="8" t="s">
        <v>48810</v>
      </c>
      <c r="Q11539" s="8">
        <f>+(11+12/60+40/3600)</f>
        <v>11.21111111111111</v>
      </c>
      <c r="R11539" s="8">
        <v>14.5</v>
      </c>
      <c r="S11539" s="8">
        <v>15.2</v>
      </c>
      <c r="T11539" s="8">
        <v>0.7</v>
      </c>
      <c r="U11539" s="8">
        <v>12.8</v>
      </c>
      <c r="V11539" s="8">
        <v>0.5</v>
      </c>
      <c r="W11539" s="8">
        <v>0.5</v>
      </c>
      <c r="Y11539" s="8" t="s">
        <v>48649</v>
      </c>
      <c r="Z11539" s="8" t="s">
        <v>48650</v>
      </c>
    </row>
    <row r="11540" spans="1:26" x14ac:dyDescent="0.2">
      <c r="A11540" s="8">
        <v>11539</v>
      </c>
      <c r="B11540" s="8" t="s">
        <v>48811</v>
      </c>
      <c r="C11540" s="8" t="s">
        <v>48811</v>
      </c>
      <c r="G11540" s="8">
        <v>20</v>
      </c>
      <c r="H11540" s="8" t="s">
        <v>21</v>
      </c>
      <c r="I11540" s="8" t="s">
        <v>72</v>
      </c>
      <c r="J11540" s="8" t="s">
        <v>72</v>
      </c>
      <c r="K11540" s="8" t="s">
        <v>73</v>
      </c>
      <c r="L11540" s="8" t="s">
        <v>18289</v>
      </c>
      <c r="M11540" s="8" t="s">
        <v>18290</v>
      </c>
      <c r="N11540" s="8" t="s">
        <v>48809</v>
      </c>
      <c r="O11540" s="8">
        <f>12+43/60+17.3/3600</f>
        <v>12.721472222222223</v>
      </c>
      <c r="P11540" s="8" t="s">
        <v>48812</v>
      </c>
      <c r="Q11540" s="8">
        <f>+(19+0/60+4/3600)</f>
        <v>19.001111111111111</v>
      </c>
      <c r="R11540" s="8">
        <v>99</v>
      </c>
      <c r="S11540" s="8">
        <v>99</v>
      </c>
      <c r="T11540" s="8">
        <v>99</v>
      </c>
      <c r="U11540" s="8">
        <v>99</v>
      </c>
      <c r="Y11540" s="8" t="s">
        <v>48813</v>
      </c>
      <c r="Z11540" s="8" t="s">
        <v>48814</v>
      </c>
    </row>
    <row r="11541" spans="1:26" x14ac:dyDescent="0.2">
      <c r="A11541" s="8">
        <v>11540</v>
      </c>
      <c r="B11541" s="8" t="s">
        <v>48815</v>
      </c>
      <c r="C11541" s="8" t="s">
        <v>48815</v>
      </c>
      <c r="G11541" s="8">
        <v>20</v>
      </c>
      <c r="H11541" s="8" t="s">
        <v>21</v>
      </c>
      <c r="I11541" s="8" t="s">
        <v>329</v>
      </c>
      <c r="J11541" s="8" t="s">
        <v>329</v>
      </c>
      <c r="K11541" s="8" t="s">
        <v>329</v>
      </c>
      <c r="L11541" s="8" t="s">
        <v>18289</v>
      </c>
      <c r="M11541" s="8" t="s">
        <v>18290</v>
      </c>
      <c r="N11541" s="8" t="s">
        <v>48816</v>
      </c>
      <c r="O11541" s="8">
        <f>12+43/60+19.8/3600</f>
        <v>12.722166666666666</v>
      </c>
      <c r="P11541" s="8" t="s">
        <v>48817</v>
      </c>
      <c r="Q11541" s="8">
        <f>+(19+15/60+53/3600)</f>
        <v>19.264722222222222</v>
      </c>
      <c r="R11541" s="8">
        <v>99</v>
      </c>
      <c r="S11541" s="8">
        <v>99</v>
      </c>
      <c r="T11541" s="8">
        <v>99</v>
      </c>
      <c r="U11541" s="8">
        <v>99</v>
      </c>
      <c r="Y11541" s="8" t="s">
        <v>33652</v>
      </c>
      <c r="Z11541" s="8" t="s">
        <v>33653</v>
      </c>
    </row>
    <row r="11542" spans="1:26" x14ac:dyDescent="0.2">
      <c r="A11542" s="8">
        <v>11541</v>
      </c>
      <c r="B11542" s="8" t="s">
        <v>48818</v>
      </c>
      <c r="C11542" s="8" t="s">
        <v>48818</v>
      </c>
      <c r="E11542" s="8">
        <v>1</v>
      </c>
      <c r="G11542" s="8">
        <v>20</v>
      </c>
      <c r="H11542" s="8" t="s">
        <v>21</v>
      </c>
      <c r="I11542" s="8" t="s">
        <v>22</v>
      </c>
      <c r="J11542" s="8" t="s">
        <v>22</v>
      </c>
      <c r="K11542" s="8" t="s">
        <v>45598</v>
      </c>
      <c r="L11542" s="8" t="s">
        <v>17287</v>
      </c>
      <c r="M11542" s="8" t="s">
        <v>17288</v>
      </c>
      <c r="N11542" s="8" t="s">
        <v>48819</v>
      </c>
      <c r="O11542" s="8">
        <f>12+43/60+30.9/3600</f>
        <v>12.725250000000001</v>
      </c>
      <c r="P11542" s="8" t="s">
        <v>48820</v>
      </c>
      <c r="Q11542" s="8">
        <f>+(11+2/60+49/3600)</f>
        <v>11.046944444444444</v>
      </c>
      <c r="R11542" s="8">
        <v>15.6</v>
      </c>
      <c r="S11542" s="8">
        <v>16.600000000000001</v>
      </c>
      <c r="T11542" s="8">
        <v>1</v>
      </c>
      <c r="U11542" s="8">
        <v>13.4</v>
      </c>
      <c r="V11542" s="8">
        <v>0.4</v>
      </c>
      <c r="W11542" s="8">
        <v>0.3</v>
      </c>
      <c r="Y11542" s="8" t="s">
        <v>5775</v>
      </c>
      <c r="Z11542" s="8" t="s">
        <v>34785</v>
      </c>
    </row>
    <row r="11543" spans="1:26" x14ac:dyDescent="0.2">
      <c r="A11543" s="8">
        <v>11542</v>
      </c>
      <c r="B11543" s="8" t="s">
        <v>48821</v>
      </c>
      <c r="C11543" s="8" t="s">
        <v>48821</v>
      </c>
      <c r="G11543" s="8">
        <v>20</v>
      </c>
      <c r="H11543" s="8" t="s">
        <v>21</v>
      </c>
      <c r="I11543" s="8" t="s">
        <v>22</v>
      </c>
      <c r="J11543" s="8" t="s">
        <v>22</v>
      </c>
      <c r="K11543" s="8" t="s">
        <v>64</v>
      </c>
      <c r="L11543" s="8" t="s">
        <v>17287</v>
      </c>
      <c r="M11543" s="8" t="s">
        <v>17288</v>
      </c>
      <c r="N11543" s="8" t="s">
        <v>48822</v>
      </c>
      <c r="O11543" s="8">
        <f>12+43/60+28.4/3600</f>
        <v>12.724555555555556</v>
      </c>
      <c r="P11543" s="8" t="s">
        <v>48823</v>
      </c>
      <c r="Q11543" s="8">
        <f>+(10+52/60+25/3600)</f>
        <v>10.873611111111112</v>
      </c>
      <c r="R11543" s="8">
        <v>14.6</v>
      </c>
      <c r="S11543" s="8">
        <v>15.3</v>
      </c>
      <c r="T11543" s="8">
        <v>0.7</v>
      </c>
      <c r="U11543" s="8">
        <v>11.4</v>
      </c>
      <c r="V11543" s="8">
        <v>0.3</v>
      </c>
      <c r="W11543" s="8">
        <v>0.2</v>
      </c>
      <c r="X11543" s="8">
        <v>45</v>
      </c>
      <c r="Y11543" s="8" t="s">
        <v>48781</v>
      </c>
      <c r="Z11543" s="8" t="s">
        <v>48782</v>
      </c>
    </row>
    <row r="11544" spans="1:26" x14ac:dyDescent="0.2">
      <c r="A11544" s="8">
        <v>11543</v>
      </c>
      <c r="B11544" s="8" t="s">
        <v>48824</v>
      </c>
      <c r="C11544" s="8" t="s">
        <v>48824</v>
      </c>
      <c r="G11544" s="8">
        <v>20</v>
      </c>
      <c r="H11544" s="8" t="s">
        <v>21</v>
      </c>
      <c r="I11544" s="8" t="s">
        <v>72</v>
      </c>
      <c r="J11544" s="8" t="s">
        <v>72</v>
      </c>
      <c r="K11544" s="8" t="s">
        <v>20</v>
      </c>
      <c r="L11544" s="8" t="s">
        <v>18681</v>
      </c>
      <c r="M11544" s="8" t="s">
        <v>18682</v>
      </c>
      <c r="N11544" s="8" t="s">
        <v>48825</v>
      </c>
      <c r="O11544" s="8">
        <f>12+43/60+22/3600</f>
        <v>12.722777777777777</v>
      </c>
      <c r="P11544" s="8" t="s">
        <v>48826</v>
      </c>
      <c r="Q11544" s="8">
        <f>+(37+58/60+29/3600)</f>
        <v>37.974722222222226</v>
      </c>
      <c r="R11544" s="8">
        <v>99</v>
      </c>
      <c r="S11544" s="8">
        <v>15.2</v>
      </c>
      <c r="T11544" s="8">
        <v>99</v>
      </c>
      <c r="U11544" s="8">
        <v>99</v>
      </c>
      <c r="Y11544" s="8" t="s">
        <v>21</v>
      </c>
      <c r="Z11544" s="8" t="s">
        <v>48827</v>
      </c>
    </row>
    <row r="11545" spans="1:26" x14ac:dyDescent="0.2">
      <c r="A11545" s="8">
        <v>11544</v>
      </c>
      <c r="B11545" s="8" t="s">
        <v>48828</v>
      </c>
      <c r="C11545" s="8" t="s">
        <v>48828</v>
      </c>
      <c r="G11545" s="8">
        <v>20</v>
      </c>
      <c r="H11545" s="8" t="s">
        <v>21</v>
      </c>
      <c r="I11545" s="8" t="s">
        <v>22</v>
      </c>
      <c r="J11545" s="8" t="s">
        <v>22</v>
      </c>
      <c r="K11545" s="8" t="s">
        <v>396</v>
      </c>
      <c r="L11545" s="8" t="s">
        <v>17287</v>
      </c>
      <c r="M11545" s="8" t="s">
        <v>17288</v>
      </c>
      <c r="N11545" s="8" t="s">
        <v>48829</v>
      </c>
      <c r="O11545" s="8">
        <f>12+43/60+45.5/3600</f>
        <v>12.729305555555555</v>
      </c>
      <c r="P11545" s="8" t="s">
        <v>48830</v>
      </c>
      <c r="Q11545" s="8">
        <f>+(10+46/60+11/3600)</f>
        <v>10.769722222222223</v>
      </c>
      <c r="R11545" s="8">
        <v>14</v>
      </c>
      <c r="S11545" s="8">
        <v>14.8</v>
      </c>
      <c r="T11545" s="8">
        <v>0.8</v>
      </c>
      <c r="U11545" s="8">
        <v>12.7</v>
      </c>
      <c r="V11545" s="8">
        <v>1.2</v>
      </c>
      <c r="W11545" s="8">
        <v>0.3</v>
      </c>
      <c r="X11545" s="8">
        <v>43</v>
      </c>
      <c r="Y11545" s="8" t="s">
        <v>21</v>
      </c>
      <c r="Z11545" s="8" t="s">
        <v>48831</v>
      </c>
    </row>
    <row r="11546" spans="1:26" x14ac:dyDescent="0.2">
      <c r="A11546" s="8">
        <v>11545</v>
      </c>
      <c r="B11546" s="8" t="s">
        <v>48832</v>
      </c>
      <c r="C11546" s="8" t="s">
        <v>48832</v>
      </c>
      <c r="E11546" s="8">
        <v>1</v>
      </c>
      <c r="G11546" s="8">
        <v>20</v>
      </c>
      <c r="H11546" s="8" t="s">
        <v>21</v>
      </c>
      <c r="I11546" s="8" t="s">
        <v>22</v>
      </c>
      <c r="J11546" s="8" t="s">
        <v>22</v>
      </c>
      <c r="K11546" s="8" t="s">
        <v>460</v>
      </c>
      <c r="L11546" s="8" t="s">
        <v>18289</v>
      </c>
      <c r="M11546" s="8" t="s">
        <v>18290</v>
      </c>
      <c r="N11546" s="8" t="s">
        <v>48833</v>
      </c>
      <c r="O11546" s="8">
        <f>12+43/60+41.6/3600</f>
        <v>12.728222222222222</v>
      </c>
      <c r="P11546" s="8" t="s">
        <v>48834</v>
      </c>
      <c r="Q11546" s="8">
        <f>+(19+19/60+36/3600)</f>
        <v>19.326666666666668</v>
      </c>
      <c r="R11546" s="8">
        <v>15</v>
      </c>
      <c r="S11546" s="8">
        <v>16</v>
      </c>
      <c r="T11546" s="8">
        <v>1</v>
      </c>
      <c r="U11546" s="8">
        <v>11.6</v>
      </c>
      <c r="V11546" s="8">
        <v>0.2</v>
      </c>
      <c r="W11546" s="8">
        <v>0.2</v>
      </c>
      <c r="Y11546" s="8" t="s">
        <v>37602</v>
      </c>
      <c r="Z11546" s="8" t="s">
        <v>37603</v>
      </c>
    </row>
    <row r="11547" spans="1:26" x14ac:dyDescent="0.2">
      <c r="A11547" s="8">
        <v>11546</v>
      </c>
      <c r="B11547" s="8" t="s">
        <v>48835</v>
      </c>
      <c r="C11547" s="8" t="s">
        <v>48835</v>
      </c>
      <c r="G11547" s="8">
        <v>20</v>
      </c>
      <c r="H11547" s="8" t="s">
        <v>21</v>
      </c>
      <c r="I11547" s="8" t="s">
        <v>72</v>
      </c>
      <c r="J11547" s="8" t="s">
        <v>72</v>
      </c>
      <c r="K11547" s="8" t="s">
        <v>73</v>
      </c>
      <c r="L11547" s="8" t="s">
        <v>17287</v>
      </c>
      <c r="M11547" s="8" t="s">
        <v>17288</v>
      </c>
      <c r="N11547" s="8" t="s">
        <v>48836</v>
      </c>
      <c r="O11547" s="8">
        <f>12+43/60+48/3600</f>
        <v>12.73</v>
      </c>
      <c r="P11547" s="8" t="s">
        <v>48837</v>
      </c>
      <c r="Q11547" s="8">
        <f>+(9+13/60+47/3600)</f>
        <v>9.2297222222222217</v>
      </c>
      <c r="R11547" s="8">
        <v>99</v>
      </c>
      <c r="S11547" s="8">
        <v>99</v>
      </c>
      <c r="T11547" s="8">
        <v>99</v>
      </c>
      <c r="U11547" s="8">
        <v>99</v>
      </c>
      <c r="Y11547" s="8" t="s">
        <v>44249</v>
      </c>
      <c r="Z11547" s="8" t="s">
        <v>44250</v>
      </c>
    </row>
    <row r="11548" spans="1:26" x14ac:dyDescent="0.2">
      <c r="A11548" s="8">
        <v>11547</v>
      </c>
      <c r="B11548" s="8" t="s">
        <v>48838</v>
      </c>
      <c r="C11548" s="8" t="s">
        <v>48838</v>
      </c>
      <c r="G11548" s="8">
        <v>20</v>
      </c>
      <c r="H11548" s="8" t="s">
        <v>21</v>
      </c>
      <c r="I11548" s="8" t="s">
        <v>72</v>
      </c>
      <c r="J11548" s="8" t="s">
        <v>72</v>
      </c>
      <c r="K11548" s="8" t="s">
        <v>20</v>
      </c>
      <c r="L11548" s="8" t="s">
        <v>18681</v>
      </c>
      <c r="M11548" s="8" t="s">
        <v>18682</v>
      </c>
      <c r="N11548" s="8" t="s">
        <v>48839</v>
      </c>
      <c r="O11548" s="8">
        <f>12+43/60+28.6/3600</f>
        <v>12.724611111111111</v>
      </c>
      <c r="P11548" s="8" t="s">
        <v>48840</v>
      </c>
      <c r="Q11548" s="8">
        <f>+(37+58/60+58/3600)</f>
        <v>37.982777777777777</v>
      </c>
      <c r="R11548" s="8">
        <v>99</v>
      </c>
      <c r="S11548" s="8">
        <v>14.4</v>
      </c>
      <c r="T11548" s="8">
        <v>99</v>
      </c>
      <c r="U11548" s="8">
        <v>99</v>
      </c>
      <c r="Y11548" s="8" t="s">
        <v>48841</v>
      </c>
      <c r="Z11548" s="8" t="s">
        <v>48842</v>
      </c>
    </row>
    <row r="11549" spans="1:26" x14ac:dyDescent="0.2">
      <c r="A11549" s="8">
        <v>11548</v>
      </c>
      <c r="B11549" s="8" t="s">
        <v>48843</v>
      </c>
      <c r="C11549" s="8" t="s">
        <v>48843</v>
      </c>
      <c r="G11549" s="8">
        <v>20</v>
      </c>
      <c r="H11549" s="8" t="s">
        <v>21</v>
      </c>
      <c r="I11549" s="8" t="s">
        <v>1075</v>
      </c>
      <c r="J11549" s="8" t="s">
        <v>1075</v>
      </c>
      <c r="K11549" s="8" t="s">
        <v>1075</v>
      </c>
      <c r="L11549" s="8" t="s">
        <v>17287</v>
      </c>
      <c r="M11549" s="8" t="s">
        <v>17288</v>
      </c>
      <c r="N11549" s="8" t="s">
        <v>48844</v>
      </c>
      <c r="O11549" s="8">
        <f>12+43/60+52.6/3600</f>
        <v>12.731277777777779</v>
      </c>
      <c r="P11549" s="8" t="s">
        <v>48845</v>
      </c>
      <c r="Q11549" s="8">
        <f>+(13+7/60+15/3600)</f>
        <v>13.120833333333334</v>
      </c>
      <c r="R11549" s="8">
        <v>15</v>
      </c>
      <c r="S11549" s="8">
        <v>99</v>
      </c>
      <c r="T11549" s="8">
        <v>99</v>
      </c>
      <c r="U11549" s="8">
        <v>99</v>
      </c>
      <c r="V11549" s="8">
        <v>0.2</v>
      </c>
      <c r="W11549" s="8">
        <v>0.2</v>
      </c>
      <c r="Y11549" s="8" t="s">
        <v>48846</v>
      </c>
      <c r="Z11549" s="8" t="s">
        <v>48847</v>
      </c>
    </row>
    <row r="11550" spans="1:26" x14ac:dyDescent="0.2">
      <c r="A11550" s="8">
        <v>11549</v>
      </c>
      <c r="B11550" s="8" t="s">
        <v>48848</v>
      </c>
      <c r="C11550" s="8" t="s">
        <v>48848</v>
      </c>
      <c r="G11550" s="8">
        <v>20</v>
      </c>
      <c r="H11550" s="8" t="s">
        <v>21</v>
      </c>
      <c r="I11550" s="8" t="s">
        <v>22</v>
      </c>
      <c r="J11550" s="8" t="s">
        <v>22</v>
      </c>
      <c r="K11550" s="8" t="s">
        <v>47246</v>
      </c>
      <c r="L11550" s="8" t="s">
        <v>17287</v>
      </c>
      <c r="M11550" s="8" t="s">
        <v>17288</v>
      </c>
      <c r="N11550" s="8" t="s">
        <v>48849</v>
      </c>
      <c r="O11550" s="8">
        <f>12+44/60+4.1/3600</f>
        <v>12.734472222222221</v>
      </c>
      <c r="P11550" s="8" t="s">
        <v>48850</v>
      </c>
      <c r="Q11550" s="8">
        <f>+(9+3/60+49/3600)</f>
        <v>9.0636111111111113</v>
      </c>
      <c r="R11550" s="8">
        <v>14.2</v>
      </c>
      <c r="S11550" s="8">
        <v>15</v>
      </c>
      <c r="T11550" s="8">
        <v>0.8</v>
      </c>
      <c r="U11550" s="8">
        <v>12.9</v>
      </c>
      <c r="V11550" s="8">
        <v>0.7</v>
      </c>
      <c r="W11550" s="8">
        <v>0.5</v>
      </c>
      <c r="X11550" s="8">
        <v>0</v>
      </c>
      <c r="Y11550" s="8" t="s">
        <v>44249</v>
      </c>
      <c r="Z11550" s="8" t="s">
        <v>44250</v>
      </c>
    </row>
    <row r="11551" spans="1:26" x14ac:dyDescent="0.2">
      <c r="A11551" s="8">
        <v>11550</v>
      </c>
      <c r="B11551" s="8" t="s">
        <v>48851</v>
      </c>
      <c r="C11551" s="8" t="s">
        <v>48851</v>
      </c>
      <c r="G11551" s="8">
        <v>20</v>
      </c>
      <c r="H11551" s="8" t="s">
        <v>21</v>
      </c>
      <c r="I11551" s="8" t="s">
        <v>22</v>
      </c>
      <c r="J11551" s="8" t="s">
        <v>22</v>
      </c>
      <c r="K11551" s="8" t="s">
        <v>3616</v>
      </c>
      <c r="L11551" s="8" t="s">
        <v>17287</v>
      </c>
      <c r="M11551" s="8" t="s">
        <v>17288</v>
      </c>
      <c r="N11551" s="8" t="s">
        <v>48852</v>
      </c>
      <c r="O11551" s="8">
        <f>12+44/60+9.6/3600</f>
        <v>12.735999999999999</v>
      </c>
      <c r="P11551" s="8" t="s">
        <v>48853</v>
      </c>
      <c r="Q11551" s="8">
        <f>+(12+6/60+52/3600)</f>
        <v>12.114444444444445</v>
      </c>
      <c r="R11551" s="8">
        <v>14.7</v>
      </c>
      <c r="S11551" s="8">
        <v>15.3</v>
      </c>
      <c r="T11551" s="8">
        <v>0.6</v>
      </c>
      <c r="U11551" s="8">
        <v>14.3</v>
      </c>
      <c r="V11551" s="8">
        <v>1.1000000000000001</v>
      </c>
      <c r="W11551" s="8">
        <v>0.7</v>
      </c>
      <c r="X11551" s="8">
        <v>160</v>
      </c>
      <c r="Y11551" s="8" t="s">
        <v>48854</v>
      </c>
      <c r="Z11551" s="8" t="s">
        <v>48855</v>
      </c>
    </row>
    <row r="11552" spans="1:26" x14ac:dyDescent="0.2">
      <c r="A11552" s="8">
        <v>11551</v>
      </c>
      <c r="B11552" s="8" t="s">
        <v>48856</v>
      </c>
      <c r="C11552" s="8" t="s">
        <v>48856</v>
      </c>
      <c r="G11552" s="8">
        <v>20</v>
      </c>
      <c r="H11552" s="8" t="s">
        <v>21</v>
      </c>
      <c r="I11552" s="8" t="s">
        <v>22</v>
      </c>
      <c r="J11552" s="8" t="s">
        <v>22</v>
      </c>
      <c r="K11552" s="8" t="s">
        <v>818</v>
      </c>
      <c r="L11552" s="8" t="s">
        <v>17287</v>
      </c>
      <c r="M11552" s="8" t="s">
        <v>17288</v>
      </c>
      <c r="N11552" s="8" t="s">
        <v>48857</v>
      </c>
      <c r="O11552" s="8">
        <f>12+44/60+9.3/3600</f>
        <v>12.735916666666666</v>
      </c>
      <c r="P11552" s="8" t="s">
        <v>48858</v>
      </c>
      <c r="Q11552" s="8">
        <f>+(11+10/60+36/3600)</f>
        <v>11.176666666666666</v>
      </c>
      <c r="R11552" s="8">
        <v>14.6</v>
      </c>
      <c r="S11552" s="8">
        <v>15.6</v>
      </c>
      <c r="T11552" s="8">
        <v>1</v>
      </c>
      <c r="U11552" s="8">
        <v>13.5</v>
      </c>
      <c r="V11552" s="8">
        <v>0.7</v>
      </c>
      <c r="W11552" s="8">
        <v>0.5</v>
      </c>
      <c r="X11552" s="8">
        <v>60</v>
      </c>
      <c r="Y11552" s="8" t="s">
        <v>35781</v>
      </c>
      <c r="Z11552" s="8" t="s">
        <v>35782</v>
      </c>
    </row>
    <row r="11553" spans="1:26" x14ac:dyDescent="0.2">
      <c r="A11553" s="8">
        <v>11552</v>
      </c>
      <c r="B11553" s="8" t="s">
        <v>48859</v>
      </c>
      <c r="C11553" s="8" t="s">
        <v>48859</v>
      </c>
      <c r="G11553" s="8">
        <v>20</v>
      </c>
      <c r="H11553" s="8" t="s">
        <v>21</v>
      </c>
      <c r="I11553" s="8" t="s">
        <v>329</v>
      </c>
      <c r="J11553" s="8" t="s">
        <v>329</v>
      </c>
      <c r="K11553" s="8" t="s">
        <v>329</v>
      </c>
      <c r="L11553" s="8" t="s">
        <v>17287</v>
      </c>
      <c r="M11553" s="8" t="s">
        <v>17288</v>
      </c>
      <c r="N11553" s="8" t="s">
        <v>48860</v>
      </c>
      <c r="O11553" s="8">
        <f>12+44/60+16.6/3600</f>
        <v>12.737944444444443</v>
      </c>
      <c r="P11553" s="8" t="s">
        <v>48861</v>
      </c>
      <c r="Q11553" s="8">
        <f>+(10+22/60+29/3600)</f>
        <v>10.374722222222223</v>
      </c>
      <c r="R11553" s="8">
        <v>99</v>
      </c>
      <c r="S11553" s="8">
        <v>99</v>
      </c>
      <c r="T11553" s="8">
        <v>99</v>
      </c>
      <c r="U11553" s="8">
        <v>99</v>
      </c>
      <c r="Y11553" s="8" t="s">
        <v>21</v>
      </c>
      <c r="Z11553" s="8" t="s">
        <v>48862</v>
      </c>
    </row>
    <row r="11554" spans="1:26" x14ac:dyDescent="0.2">
      <c r="A11554" s="8">
        <v>11553</v>
      </c>
      <c r="B11554" s="8" t="s">
        <v>48863</v>
      </c>
      <c r="C11554" s="8" t="s">
        <v>48863</v>
      </c>
      <c r="G11554" s="8">
        <v>20</v>
      </c>
      <c r="H11554" s="8" t="s">
        <v>21</v>
      </c>
      <c r="I11554" s="8" t="s">
        <v>22</v>
      </c>
      <c r="J11554" s="8" t="s">
        <v>22</v>
      </c>
      <c r="K11554" s="8" t="s">
        <v>37</v>
      </c>
      <c r="L11554" s="8" t="s">
        <v>18681</v>
      </c>
      <c r="M11554" s="8" t="s">
        <v>18682</v>
      </c>
      <c r="N11554" s="8" t="s">
        <v>48864</v>
      </c>
      <c r="O11554" s="8">
        <f>12+44/60+3.1/3600</f>
        <v>12.734194444444444</v>
      </c>
      <c r="P11554" s="8" t="s">
        <v>48865</v>
      </c>
      <c r="Q11554" s="8">
        <f>+(41+10/60+10/3600)</f>
        <v>41.169444444444444</v>
      </c>
      <c r="R11554" s="8">
        <v>14.7</v>
      </c>
      <c r="S11554" s="8">
        <v>15.7</v>
      </c>
      <c r="T11554" s="8">
        <v>1</v>
      </c>
      <c r="U11554" s="8">
        <v>14</v>
      </c>
      <c r="V11554" s="8">
        <v>0.8</v>
      </c>
      <c r="W11554" s="8">
        <v>0.7</v>
      </c>
      <c r="X11554" s="8">
        <v>132</v>
      </c>
      <c r="Y11554" s="8" t="s">
        <v>21</v>
      </c>
      <c r="Z11554" s="8" t="s">
        <v>48866</v>
      </c>
    </row>
    <row r="11555" spans="1:26" x14ac:dyDescent="0.2">
      <c r="A11555" s="8">
        <v>11554</v>
      </c>
      <c r="B11555" s="8" t="s">
        <v>48867</v>
      </c>
      <c r="C11555" s="8" t="s">
        <v>48867</v>
      </c>
      <c r="G11555" s="8">
        <v>20</v>
      </c>
      <c r="H11555" s="8" t="s">
        <v>21</v>
      </c>
      <c r="I11555" s="8" t="s">
        <v>22</v>
      </c>
      <c r="J11555" s="8" t="s">
        <v>22</v>
      </c>
      <c r="K11555" s="8" t="s">
        <v>406</v>
      </c>
      <c r="L11555" s="8" t="s">
        <v>17287</v>
      </c>
      <c r="M11555" s="8" t="s">
        <v>17288</v>
      </c>
      <c r="N11555" s="8" t="s">
        <v>48868</v>
      </c>
      <c r="O11555" s="8">
        <f>12+44/60+23.1/3600</f>
        <v>12.739749999999999</v>
      </c>
      <c r="P11555" s="8" t="s">
        <v>48869</v>
      </c>
      <c r="Q11555" s="8">
        <f>+(10+11/60+20/3600)</f>
        <v>10.18888888888889</v>
      </c>
      <c r="R11555" s="8">
        <v>14.4</v>
      </c>
      <c r="S11555" s="8">
        <v>15.2</v>
      </c>
      <c r="T11555" s="8">
        <v>0.8</v>
      </c>
      <c r="U11555" s="8">
        <v>13.3</v>
      </c>
      <c r="V11555" s="8">
        <v>0.8</v>
      </c>
      <c r="W11555" s="8">
        <v>0.5</v>
      </c>
      <c r="X11555" s="8">
        <v>150</v>
      </c>
      <c r="Y11555" s="8" t="s">
        <v>48870</v>
      </c>
      <c r="Z11555" s="8" t="s">
        <v>48871</v>
      </c>
    </row>
    <row r="11556" spans="1:26" x14ac:dyDescent="0.2">
      <c r="A11556" s="8">
        <v>11555</v>
      </c>
      <c r="B11556" s="8" t="s">
        <v>48872</v>
      </c>
      <c r="C11556" s="8" t="s">
        <v>48872</v>
      </c>
      <c r="G11556" s="8">
        <v>20</v>
      </c>
      <c r="H11556" s="8" t="s">
        <v>21</v>
      </c>
      <c r="I11556" s="8" t="s">
        <v>22</v>
      </c>
      <c r="J11556" s="8" t="s">
        <v>22</v>
      </c>
      <c r="K11556" s="8" t="s">
        <v>449</v>
      </c>
      <c r="L11556" s="8" t="s">
        <v>18289</v>
      </c>
      <c r="M11556" s="8" t="s">
        <v>18290</v>
      </c>
      <c r="N11556" s="8" t="s">
        <v>48873</v>
      </c>
      <c r="O11556" s="8">
        <f>12+44/60+21.3/3600</f>
        <v>12.739249999999998</v>
      </c>
      <c r="P11556" s="8" t="s">
        <v>48874</v>
      </c>
      <c r="Q11556" s="8">
        <f>+(20+1/60+26/3600)</f>
        <v>20.023888888888887</v>
      </c>
      <c r="R11556" s="8">
        <v>16.7</v>
      </c>
      <c r="S11556" s="8">
        <v>17.5</v>
      </c>
      <c r="T11556" s="8">
        <v>0.8</v>
      </c>
      <c r="U11556" s="8">
        <v>13.9</v>
      </c>
      <c r="V11556" s="8">
        <v>0.3</v>
      </c>
      <c r="W11556" s="8">
        <v>0.3</v>
      </c>
      <c r="Y11556" s="8" t="s">
        <v>45086</v>
      </c>
      <c r="Z11556" s="8" t="s">
        <v>45087</v>
      </c>
    </row>
    <row r="11557" spans="1:26" x14ac:dyDescent="0.2">
      <c r="A11557" s="8">
        <v>11556</v>
      </c>
      <c r="B11557" s="8" t="s">
        <v>48875</v>
      </c>
      <c r="C11557" s="8" t="s">
        <v>48875</v>
      </c>
      <c r="G11557" s="8">
        <v>20</v>
      </c>
      <c r="H11557" s="8" t="s">
        <v>21</v>
      </c>
      <c r="I11557" s="8" t="s">
        <v>72</v>
      </c>
      <c r="J11557" s="8" t="s">
        <v>72</v>
      </c>
      <c r="K11557" s="8" t="s">
        <v>20</v>
      </c>
      <c r="L11557" s="8" t="s">
        <v>17287</v>
      </c>
      <c r="M11557" s="8" t="s">
        <v>17288</v>
      </c>
      <c r="N11557" s="8" t="s">
        <v>48876</v>
      </c>
      <c r="O11557" s="8">
        <f>12+44/60+45.1/3600</f>
        <v>12.745861111111111</v>
      </c>
      <c r="P11557" s="8" t="s">
        <v>48877</v>
      </c>
      <c r="Q11557" s="8">
        <f>+(8+6/60+7/3600)</f>
        <v>8.1019444444444435</v>
      </c>
      <c r="R11557" s="8">
        <v>99</v>
      </c>
      <c r="S11557" s="8">
        <v>99</v>
      </c>
      <c r="T11557" s="8">
        <v>99</v>
      </c>
      <c r="U11557" s="8">
        <v>99</v>
      </c>
      <c r="Y11557" s="8" t="s">
        <v>2028</v>
      </c>
      <c r="Z11557" s="8" t="s">
        <v>2029</v>
      </c>
    </row>
    <row r="11558" spans="1:26" x14ac:dyDescent="0.2">
      <c r="A11558" s="8">
        <v>11557</v>
      </c>
      <c r="B11558" s="8" t="s">
        <v>48878</v>
      </c>
      <c r="C11558" s="8" t="s">
        <v>48878</v>
      </c>
      <c r="G11558" s="8">
        <v>20</v>
      </c>
      <c r="H11558" s="8" t="s">
        <v>21</v>
      </c>
      <c r="I11558" s="8" t="s">
        <v>22</v>
      </c>
      <c r="J11558" s="8" t="s">
        <v>22</v>
      </c>
      <c r="K11558" s="8" t="s">
        <v>476</v>
      </c>
      <c r="L11558" s="8" t="s">
        <v>18681</v>
      </c>
      <c r="M11558" s="8" t="s">
        <v>18682</v>
      </c>
      <c r="N11558" s="8" t="s">
        <v>48879</v>
      </c>
      <c r="O11558" s="8">
        <f>12+44/60+23/3600</f>
        <v>12.739722222222222</v>
      </c>
      <c r="P11558" s="8" t="s">
        <v>48880</v>
      </c>
      <c r="Q11558" s="8">
        <f>+(39+31/60+20/3600)</f>
        <v>39.522222222222219</v>
      </c>
      <c r="R11558" s="8">
        <v>15.5</v>
      </c>
      <c r="S11558" s="8">
        <v>16.3</v>
      </c>
      <c r="T11558" s="8">
        <v>0.8</v>
      </c>
      <c r="U11558" s="8">
        <v>13.2</v>
      </c>
      <c r="V11558" s="8">
        <v>0.7</v>
      </c>
      <c r="W11558" s="8">
        <v>0.2</v>
      </c>
      <c r="X11558" s="8">
        <v>160</v>
      </c>
      <c r="Y11558" s="8" t="s">
        <v>48881</v>
      </c>
      <c r="Z11558" s="8" t="s">
        <v>48882</v>
      </c>
    </row>
    <row r="11559" spans="1:26" x14ac:dyDescent="0.2">
      <c r="A11559" s="8">
        <v>11558</v>
      </c>
      <c r="B11559" s="8" t="s">
        <v>48883</v>
      </c>
      <c r="C11559" s="8" t="s">
        <v>48883</v>
      </c>
      <c r="G11559" s="8">
        <v>20</v>
      </c>
      <c r="H11559" s="8" t="s">
        <v>21</v>
      </c>
      <c r="I11559" s="8" t="s">
        <v>22</v>
      </c>
      <c r="J11559" s="8" t="s">
        <v>22</v>
      </c>
      <c r="K11559" s="8" t="s">
        <v>396</v>
      </c>
      <c r="L11559" s="8" t="s">
        <v>17287</v>
      </c>
      <c r="M11559" s="8" t="s">
        <v>17288</v>
      </c>
      <c r="N11559" s="8" t="s">
        <v>48884</v>
      </c>
      <c r="O11559" s="8">
        <f>12+44/60+45.3/3600</f>
        <v>12.745916666666666</v>
      </c>
      <c r="P11559" s="8" t="s">
        <v>48885</v>
      </c>
      <c r="Q11559" s="8">
        <f>+(12+21/60+3/3600)</f>
        <v>12.350833333333332</v>
      </c>
      <c r="R11559" s="8">
        <v>13.2</v>
      </c>
      <c r="S11559" s="8">
        <v>13.7</v>
      </c>
      <c r="T11559" s="8">
        <v>0.5</v>
      </c>
      <c r="U11559" s="8">
        <v>13.9</v>
      </c>
      <c r="V11559" s="8">
        <v>2.7</v>
      </c>
      <c r="W11559" s="8">
        <v>1</v>
      </c>
      <c r="X11559" s="8">
        <v>72</v>
      </c>
      <c r="Y11559" s="8" t="s">
        <v>48886</v>
      </c>
      <c r="Z11559" s="8" t="s">
        <v>48887</v>
      </c>
    </row>
    <row r="11560" spans="1:26" x14ac:dyDescent="0.2">
      <c r="A11560" s="8">
        <v>11559</v>
      </c>
      <c r="B11560" s="8" t="s">
        <v>48888</v>
      </c>
      <c r="C11560" s="8" t="s">
        <v>48888</v>
      </c>
      <c r="G11560" s="8">
        <v>20</v>
      </c>
      <c r="H11560" s="8" t="s">
        <v>21</v>
      </c>
      <c r="I11560" s="8" t="s">
        <v>22</v>
      </c>
      <c r="J11560" s="8" t="s">
        <v>22</v>
      </c>
      <c r="K11560" s="8" t="s">
        <v>47609</v>
      </c>
      <c r="L11560" s="8" t="s">
        <v>17287</v>
      </c>
      <c r="M11560" s="8" t="s">
        <v>17288</v>
      </c>
      <c r="N11560" s="8" t="s">
        <v>48889</v>
      </c>
      <c r="O11560" s="8">
        <f>12+44/60+47.7/3600</f>
        <v>12.746583333333332</v>
      </c>
      <c r="P11560" s="8" t="s">
        <v>48890</v>
      </c>
      <c r="Q11560" s="8">
        <f>+(8+6/60+24/3600)</f>
        <v>8.1066666666666656</v>
      </c>
      <c r="R11560" s="8">
        <v>14.6</v>
      </c>
      <c r="S11560" s="8">
        <v>15.4</v>
      </c>
      <c r="T11560" s="8">
        <v>0.8</v>
      </c>
      <c r="U11560" s="8">
        <v>11.7</v>
      </c>
      <c r="V11560" s="8">
        <v>0.4</v>
      </c>
      <c r="W11560" s="8">
        <v>0.2</v>
      </c>
      <c r="X11560" s="8">
        <v>90</v>
      </c>
      <c r="Y11560" s="8" t="s">
        <v>48891</v>
      </c>
      <c r="Z11560" s="8" t="s">
        <v>48892</v>
      </c>
    </row>
    <row r="11561" spans="1:26" x14ac:dyDescent="0.2">
      <c r="A11561" s="8">
        <v>11560</v>
      </c>
      <c r="B11561" s="8" t="s">
        <v>48893</v>
      </c>
      <c r="C11561" s="8" t="s">
        <v>48893</v>
      </c>
      <c r="G11561" s="8">
        <v>20</v>
      </c>
      <c r="H11561" s="8" t="s">
        <v>21</v>
      </c>
      <c r="I11561" s="8" t="s">
        <v>22</v>
      </c>
      <c r="J11561" s="8" t="s">
        <v>22</v>
      </c>
      <c r="K11561" s="8" t="s">
        <v>1068</v>
      </c>
      <c r="L11561" s="8" t="s">
        <v>17287</v>
      </c>
      <c r="M11561" s="8" t="s">
        <v>17288</v>
      </c>
      <c r="N11561" s="8" t="s">
        <v>48894</v>
      </c>
      <c r="O11561" s="8">
        <f>12+44/60+47.5/3600</f>
        <v>12.746527777777777</v>
      </c>
      <c r="P11561" s="8" t="s">
        <v>48895</v>
      </c>
      <c r="Q11561" s="8">
        <f>+(12+3/60+53/3600)</f>
        <v>12.064722222222223</v>
      </c>
      <c r="R11561" s="8">
        <v>14</v>
      </c>
      <c r="S11561" s="8">
        <v>15</v>
      </c>
      <c r="T11561" s="8">
        <v>1</v>
      </c>
      <c r="U11561" s="8">
        <v>14</v>
      </c>
      <c r="V11561" s="8">
        <v>1.3</v>
      </c>
      <c r="W11561" s="8">
        <v>0.7</v>
      </c>
      <c r="X11561" s="8">
        <v>125</v>
      </c>
      <c r="Y11561" s="8" t="s">
        <v>35064</v>
      </c>
      <c r="Z11561" s="8" t="s">
        <v>35065</v>
      </c>
    </row>
    <row r="11562" spans="1:26" x14ac:dyDescent="0.2">
      <c r="A11562" s="8">
        <v>11561</v>
      </c>
      <c r="B11562" s="8" t="s">
        <v>48896</v>
      </c>
      <c r="C11562" s="8" t="s">
        <v>48896</v>
      </c>
      <c r="G11562" s="8">
        <v>20</v>
      </c>
      <c r="H11562" s="8" t="s">
        <v>21</v>
      </c>
      <c r="I11562" s="8" t="s">
        <v>22</v>
      </c>
      <c r="J11562" s="8" t="s">
        <v>57</v>
      </c>
      <c r="K11562" s="8" t="s">
        <v>476</v>
      </c>
      <c r="L11562" s="8" t="s">
        <v>18289</v>
      </c>
      <c r="M11562" s="8" t="s">
        <v>18290</v>
      </c>
      <c r="N11562" s="8" t="s">
        <v>48897</v>
      </c>
      <c r="O11562" s="8">
        <f>12+44/60+53.1/3600</f>
        <v>12.748083333333332</v>
      </c>
      <c r="P11562" s="8" t="s">
        <v>48898</v>
      </c>
      <c r="Q11562" s="8">
        <f>+(18+45/60+19/3600)</f>
        <v>18.755277777777778</v>
      </c>
      <c r="R11562" s="8">
        <v>14.1</v>
      </c>
      <c r="S11562" s="8">
        <v>15</v>
      </c>
      <c r="T11562" s="8">
        <v>0.9</v>
      </c>
      <c r="U11562" s="8">
        <v>12.5</v>
      </c>
      <c r="V11562" s="8">
        <v>0.9</v>
      </c>
      <c r="W11562" s="8">
        <v>0.3</v>
      </c>
      <c r="X11562" s="8">
        <v>136</v>
      </c>
      <c r="Y11562" s="8" t="s">
        <v>47963</v>
      </c>
      <c r="Z11562" s="8" t="s">
        <v>47964</v>
      </c>
    </row>
    <row r="11563" spans="1:26" x14ac:dyDescent="0.2">
      <c r="A11563" s="8">
        <v>11562</v>
      </c>
      <c r="B11563" s="8" t="s">
        <v>48899</v>
      </c>
      <c r="C11563" s="8" t="s">
        <v>48899</v>
      </c>
      <c r="G11563" s="8">
        <v>20</v>
      </c>
      <c r="H11563" s="8" t="s">
        <v>21</v>
      </c>
      <c r="I11563" s="8" t="s">
        <v>72</v>
      </c>
      <c r="J11563" s="8" t="s">
        <v>72</v>
      </c>
      <c r="K11563" s="8" t="s">
        <v>73</v>
      </c>
      <c r="L11563" s="8" t="s">
        <v>17287</v>
      </c>
      <c r="M11563" s="8" t="s">
        <v>17288</v>
      </c>
      <c r="N11563" s="8" t="s">
        <v>37887</v>
      </c>
      <c r="O11563" s="8">
        <f>12+44/60+50.9/3600</f>
        <v>12.747472222222221</v>
      </c>
      <c r="P11563" s="8" t="s">
        <v>48900</v>
      </c>
      <c r="Q11563" s="8">
        <f>+(11+46/60+44/3600)</f>
        <v>11.77888888888889</v>
      </c>
      <c r="R11563" s="8">
        <v>99</v>
      </c>
      <c r="S11563" s="8">
        <v>99</v>
      </c>
      <c r="T11563" s="8">
        <v>99</v>
      </c>
      <c r="U11563" s="8">
        <v>99</v>
      </c>
      <c r="Y11563" s="8" t="s">
        <v>48901</v>
      </c>
      <c r="Z11563" s="8" t="s">
        <v>48902</v>
      </c>
    </row>
    <row r="11564" spans="1:26" x14ac:dyDescent="0.2">
      <c r="A11564" s="8">
        <v>11563</v>
      </c>
      <c r="B11564" s="8" t="s">
        <v>48903</v>
      </c>
      <c r="C11564" s="8" t="s">
        <v>48903</v>
      </c>
      <c r="G11564" s="8">
        <v>20</v>
      </c>
      <c r="H11564" s="8" t="s">
        <v>21</v>
      </c>
      <c r="I11564" s="8" t="s">
        <v>22</v>
      </c>
      <c r="J11564" s="8" t="s">
        <v>22</v>
      </c>
      <c r="K11564" s="8" t="s">
        <v>449</v>
      </c>
      <c r="L11564" s="8" t="s">
        <v>18681</v>
      </c>
      <c r="M11564" s="8" t="s">
        <v>18682</v>
      </c>
      <c r="N11564" s="8" t="s">
        <v>48904</v>
      </c>
      <c r="O11564" s="8">
        <f>12+44/60+30.6/3600</f>
        <v>12.741833333333332</v>
      </c>
      <c r="P11564" s="8" t="s">
        <v>48905</v>
      </c>
      <c r="Q11564" s="8">
        <f>+(40+44/60+14/3600)</f>
        <v>40.737222222222222</v>
      </c>
      <c r="R11564" s="8">
        <v>15.1</v>
      </c>
      <c r="S11564" s="8">
        <v>15.9</v>
      </c>
      <c r="T11564" s="8">
        <v>0.8</v>
      </c>
      <c r="U11564" s="8">
        <v>11.9</v>
      </c>
      <c r="V11564" s="8">
        <v>0.3</v>
      </c>
      <c r="W11564" s="8">
        <v>0.2</v>
      </c>
      <c r="X11564" s="8">
        <v>95</v>
      </c>
      <c r="Y11564" s="8" t="s">
        <v>18110</v>
      </c>
      <c r="Z11564" s="8" t="s">
        <v>18111</v>
      </c>
    </row>
    <row r="11565" spans="1:26" x14ac:dyDescent="0.2">
      <c r="A11565" s="8">
        <v>11564</v>
      </c>
      <c r="B11565" s="8" t="s">
        <v>48906</v>
      </c>
      <c r="C11565" s="8" t="s">
        <v>48906</v>
      </c>
      <c r="G11565" s="8">
        <v>20</v>
      </c>
      <c r="H11565" s="8" t="s">
        <v>21</v>
      </c>
      <c r="I11565" s="8" t="s">
        <v>22</v>
      </c>
      <c r="J11565" s="8" t="s">
        <v>22</v>
      </c>
      <c r="K11565" s="8" t="s">
        <v>160</v>
      </c>
      <c r="L11565" s="8" t="s">
        <v>17287</v>
      </c>
      <c r="M11565" s="8" t="s">
        <v>17288</v>
      </c>
      <c r="N11565" s="8" t="s">
        <v>48907</v>
      </c>
      <c r="O11565" s="8">
        <f>12+44/60+53.8/3600</f>
        <v>12.748277777777776</v>
      </c>
      <c r="P11565" s="8" t="s">
        <v>48908</v>
      </c>
      <c r="Q11565" s="8">
        <f>+(10+16/60+55/3600)</f>
        <v>10.281944444444445</v>
      </c>
      <c r="R11565" s="8">
        <v>14.7</v>
      </c>
      <c r="S11565" s="8">
        <v>15.4</v>
      </c>
      <c r="T11565" s="8">
        <v>0.7</v>
      </c>
      <c r="U11565" s="8">
        <v>12.5</v>
      </c>
      <c r="V11565" s="8">
        <v>0.5</v>
      </c>
      <c r="W11565" s="8">
        <v>0.3</v>
      </c>
      <c r="X11565" s="8">
        <v>70</v>
      </c>
      <c r="Y11565" s="8" t="s">
        <v>48870</v>
      </c>
      <c r="Z11565" s="8" t="s">
        <v>48871</v>
      </c>
    </row>
    <row r="11566" spans="1:26" x14ac:dyDescent="0.2">
      <c r="A11566" s="8">
        <v>11565</v>
      </c>
      <c r="B11566" s="8" t="s">
        <v>48909</v>
      </c>
      <c r="C11566" s="8" t="s">
        <v>48909</v>
      </c>
      <c r="G11566" s="8">
        <v>20</v>
      </c>
      <c r="H11566" s="8" t="s">
        <v>21</v>
      </c>
      <c r="I11566" s="8" t="s">
        <v>22</v>
      </c>
      <c r="J11566" s="8" t="s">
        <v>22</v>
      </c>
      <c r="K11566" s="8" t="s">
        <v>476</v>
      </c>
      <c r="L11566" s="8" t="s">
        <v>18289</v>
      </c>
      <c r="M11566" s="8" t="s">
        <v>18290</v>
      </c>
      <c r="N11566" s="8" t="s">
        <v>48897</v>
      </c>
      <c r="O11566" s="8">
        <f>12+44/60+53.1/3600</f>
        <v>12.748083333333332</v>
      </c>
      <c r="P11566" s="8" t="s">
        <v>48898</v>
      </c>
      <c r="Q11566" s="8">
        <f>+(18+45/60+19/3600)</f>
        <v>18.755277777777778</v>
      </c>
      <c r="R11566" s="8">
        <v>14.1</v>
      </c>
      <c r="S11566" s="8">
        <v>15</v>
      </c>
      <c r="T11566" s="8">
        <v>0.9</v>
      </c>
      <c r="U11566" s="8">
        <v>12.5</v>
      </c>
      <c r="V11566" s="8">
        <v>0.9</v>
      </c>
      <c r="W11566" s="8">
        <v>0.3</v>
      </c>
      <c r="X11566" s="8">
        <v>136</v>
      </c>
      <c r="Y11566" s="8" t="s">
        <v>48910</v>
      </c>
      <c r="Z11566" s="8" t="s">
        <v>48911</v>
      </c>
    </row>
    <row r="11567" spans="1:26" x14ac:dyDescent="0.2">
      <c r="A11567" s="8">
        <v>11566</v>
      </c>
      <c r="B11567" s="8" t="s">
        <v>48912</v>
      </c>
      <c r="C11567" s="8" t="s">
        <v>48912</v>
      </c>
      <c r="G11567" s="8">
        <v>20</v>
      </c>
      <c r="H11567" s="8" t="s">
        <v>21</v>
      </c>
      <c r="I11567" s="8" t="s">
        <v>22</v>
      </c>
      <c r="J11567" s="8" t="s">
        <v>22</v>
      </c>
      <c r="K11567" s="8" t="s">
        <v>160</v>
      </c>
      <c r="L11567" s="8" t="s">
        <v>18681</v>
      </c>
      <c r="M11567" s="8" t="s">
        <v>18682</v>
      </c>
      <c r="N11567" s="8" t="s">
        <v>48913</v>
      </c>
      <c r="O11567" s="8">
        <f>12+44/60+42.6/3600</f>
        <v>12.745166666666666</v>
      </c>
      <c r="P11567" s="8" t="s">
        <v>48914</v>
      </c>
      <c r="Q11567" s="8">
        <f>+(40+40/60+44/3600)</f>
        <v>40.678888888888885</v>
      </c>
      <c r="R11567" s="8">
        <v>14.7</v>
      </c>
      <c r="S11567" s="8">
        <v>15.4</v>
      </c>
      <c r="T11567" s="8">
        <v>0.7</v>
      </c>
      <c r="U11567" s="8">
        <v>13.6</v>
      </c>
      <c r="V11567" s="8">
        <v>1.5</v>
      </c>
      <c r="W11567" s="8">
        <v>0.3</v>
      </c>
      <c r="X11567" s="8">
        <v>111</v>
      </c>
      <c r="Y11567" s="8" t="s">
        <v>21</v>
      </c>
      <c r="Z11567" s="8" t="s">
        <v>48915</v>
      </c>
    </row>
    <row r="11568" spans="1:26" x14ac:dyDescent="0.2">
      <c r="A11568" s="8">
        <v>11567</v>
      </c>
      <c r="B11568" s="8" t="s">
        <v>48916</v>
      </c>
      <c r="C11568" s="8" t="s">
        <v>48916</v>
      </c>
      <c r="E11568" s="8">
        <v>1</v>
      </c>
      <c r="G11568" s="8">
        <v>20</v>
      </c>
      <c r="H11568" s="8" t="s">
        <v>21</v>
      </c>
      <c r="I11568" s="8" t="s">
        <v>22</v>
      </c>
      <c r="J11568" s="8" t="s">
        <v>22</v>
      </c>
      <c r="K11568" s="8" t="s">
        <v>160</v>
      </c>
      <c r="L11568" s="8" t="s">
        <v>17287</v>
      </c>
      <c r="M11568" s="8" t="s">
        <v>17288</v>
      </c>
      <c r="N11568" s="8" t="s">
        <v>48917</v>
      </c>
      <c r="O11568" s="8">
        <f>12+45/60+5.7/3600</f>
        <v>12.751583333333333</v>
      </c>
      <c r="P11568" s="8" t="s">
        <v>48918</v>
      </c>
      <c r="Q11568" s="8">
        <f>+(10+54/60+2/3600)</f>
        <v>10.900555555555556</v>
      </c>
      <c r="R11568" s="8">
        <v>13.9</v>
      </c>
      <c r="S11568" s="8">
        <v>14.6</v>
      </c>
      <c r="T11568" s="8">
        <v>0.7</v>
      </c>
      <c r="U11568" s="8">
        <v>13.5</v>
      </c>
      <c r="V11568" s="8">
        <v>1</v>
      </c>
      <c r="W11568" s="8">
        <v>0.8</v>
      </c>
      <c r="X11568" s="8">
        <v>162</v>
      </c>
      <c r="Y11568" s="8" t="s">
        <v>972</v>
      </c>
      <c r="Z11568" s="8" t="s">
        <v>973</v>
      </c>
    </row>
    <row r="11569" spans="1:26" x14ac:dyDescent="0.2">
      <c r="A11569" s="8">
        <v>11568</v>
      </c>
      <c r="B11569" s="8" t="s">
        <v>48919</v>
      </c>
      <c r="C11569" s="8" t="s">
        <v>48919</v>
      </c>
      <c r="G11569" s="8">
        <v>20</v>
      </c>
      <c r="H11569" s="8" t="s">
        <v>21</v>
      </c>
      <c r="I11569" s="8" t="s">
        <v>22</v>
      </c>
      <c r="J11569" s="8" t="s">
        <v>22</v>
      </c>
      <c r="K11569" s="8" t="s">
        <v>460</v>
      </c>
      <c r="L11569" s="8" t="s">
        <v>18289</v>
      </c>
      <c r="M11569" s="8" t="s">
        <v>18290</v>
      </c>
      <c r="N11569" s="8" t="s">
        <v>48920</v>
      </c>
      <c r="O11569" s="8">
        <f>12+45/60+3.2/3600</f>
        <v>12.750888888888889</v>
      </c>
      <c r="P11569" s="8" t="s">
        <v>48921</v>
      </c>
      <c r="Q11569" s="8">
        <f>+(20+58/60+26/3600)</f>
        <v>20.973888888888887</v>
      </c>
      <c r="R11569" s="8">
        <v>15.2</v>
      </c>
      <c r="S11569" s="8">
        <v>16.2</v>
      </c>
      <c r="T11569" s="8">
        <v>1</v>
      </c>
      <c r="U11569" s="8">
        <v>11.8</v>
      </c>
      <c r="V11569" s="8">
        <v>0.2</v>
      </c>
      <c r="W11569" s="8">
        <v>0.2</v>
      </c>
      <c r="Y11569" s="8" t="s">
        <v>45086</v>
      </c>
      <c r="Z11569" s="8" t="s">
        <v>45087</v>
      </c>
    </row>
    <row r="11570" spans="1:26" x14ac:dyDescent="0.2">
      <c r="A11570" s="8">
        <v>11569</v>
      </c>
      <c r="B11570" s="8" t="s">
        <v>48922</v>
      </c>
      <c r="C11570" s="8" t="s">
        <v>48922</v>
      </c>
      <c r="G11570" s="8">
        <v>20</v>
      </c>
      <c r="H11570" s="8" t="s">
        <v>21</v>
      </c>
      <c r="I11570" s="8" t="s">
        <v>22</v>
      </c>
      <c r="J11570" s="8" t="s">
        <v>22</v>
      </c>
      <c r="K11570" s="8" t="s">
        <v>476</v>
      </c>
      <c r="L11570" s="8" t="s">
        <v>18681</v>
      </c>
      <c r="M11570" s="8" t="s">
        <v>18682</v>
      </c>
      <c r="N11570" s="8" t="s">
        <v>48923</v>
      </c>
      <c r="O11570" s="8">
        <f>12+44/60+53/3600</f>
        <v>12.748055555555554</v>
      </c>
      <c r="P11570" s="8" t="s">
        <v>48924</v>
      </c>
      <c r="Q11570" s="8">
        <f>+(39+21/60+6/3600)</f>
        <v>39.351666666666667</v>
      </c>
      <c r="R11570" s="8">
        <v>15.5</v>
      </c>
      <c r="S11570" s="8">
        <v>16.3</v>
      </c>
      <c r="T11570" s="8">
        <v>0.8</v>
      </c>
      <c r="U11570" s="8">
        <v>12.3</v>
      </c>
      <c r="V11570" s="8">
        <v>0.3</v>
      </c>
      <c r="W11570" s="8">
        <v>0.2</v>
      </c>
      <c r="X11570" s="8">
        <v>45</v>
      </c>
      <c r="Y11570" s="8" t="s">
        <v>21</v>
      </c>
      <c r="Z11570" s="8" t="s">
        <v>48925</v>
      </c>
    </row>
    <row r="11571" spans="1:26" x14ac:dyDescent="0.2">
      <c r="A11571" s="8">
        <v>11570</v>
      </c>
      <c r="B11571" s="8" t="s">
        <v>48926</v>
      </c>
      <c r="C11571" s="8" t="s">
        <v>48926</v>
      </c>
      <c r="G11571" s="8">
        <v>20</v>
      </c>
      <c r="H11571" s="8" t="s">
        <v>21</v>
      </c>
      <c r="I11571" s="8" t="s">
        <v>22</v>
      </c>
      <c r="J11571" s="8" t="s">
        <v>22</v>
      </c>
      <c r="K11571" s="8" t="s">
        <v>579</v>
      </c>
      <c r="L11571" s="8" t="s">
        <v>18289</v>
      </c>
      <c r="M11571" s="8" t="s">
        <v>18290</v>
      </c>
      <c r="N11571" s="8" t="s">
        <v>48927</v>
      </c>
      <c r="O11571" s="8">
        <f>12+45/60+6.5/3600</f>
        <v>12.751805555555556</v>
      </c>
      <c r="P11571" s="8" t="s">
        <v>48928</v>
      </c>
      <c r="Q11571" s="8">
        <f>+(21+10/60+12/3600)</f>
        <v>21.17</v>
      </c>
      <c r="R11571" s="8">
        <v>14.6</v>
      </c>
      <c r="S11571" s="8">
        <v>15.1</v>
      </c>
      <c r="T11571" s="8">
        <v>0.5</v>
      </c>
      <c r="U11571" s="8">
        <v>12</v>
      </c>
      <c r="V11571" s="8">
        <v>0.3</v>
      </c>
      <c r="W11571" s="8">
        <v>0.3</v>
      </c>
      <c r="Y11571" s="8" t="s">
        <v>21</v>
      </c>
      <c r="Z11571" s="8" t="s">
        <v>48929</v>
      </c>
    </row>
    <row r="11572" spans="1:26" x14ac:dyDescent="0.2">
      <c r="A11572" s="8">
        <v>11571</v>
      </c>
      <c r="B11572" s="8" t="s">
        <v>48930</v>
      </c>
      <c r="C11572" s="8" t="s">
        <v>48930</v>
      </c>
      <c r="G11572" s="8">
        <v>20</v>
      </c>
      <c r="H11572" s="8" t="s">
        <v>21</v>
      </c>
      <c r="I11572" s="8" t="s">
        <v>22</v>
      </c>
      <c r="J11572" s="8" t="s">
        <v>22</v>
      </c>
      <c r="K11572" s="8" t="s">
        <v>424</v>
      </c>
      <c r="L11572" s="8" t="s">
        <v>17287</v>
      </c>
      <c r="M11572" s="8" t="s">
        <v>17288</v>
      </c>
      <c r="N11572" s="8" t="s">
        <v>48931</v>
      </c>
      <c r="O11572" s="8">
        <f>12+45/60+5.2/3600</f>
        <v>12.751444444444445</v>
      </c>
      <c r="P11572" s="8" t="s">
        <v>48932</v>
      </c>
      <c r="Q11572" s="8">
        <f>+(12+26/60+49/3600)</f>
        <v>12.446944444444444</v>
      </c>
      <c r="R11572" s="8">
        <v>15.5</v>
      </c>
      <c r="S11572" s="8">
        <v>16.5</v>
      </c>
      <c r="T11572" s="8">
        <v>1</v>
      </c>
      <c r="U11572" s="8">
        <v>13.6</v>
      </c>
      <c r="V11572" s="8">
        <v>0.5</v>
      </c>
      <c r="W11572" s="8">
        <v>0.4</v>
      </c>
      <c r="X11572" s="8">
        <v>110</v>
      </c>
      <c r="Y11572" s="8" t="s">
        <v>46447</v>
      </c>
      <c r="Z11572" s="8" t="s">
        <v>46448</v>
      </c>
    </row>
    <row r="11573" spans="1:26" x14ac:dyDescent="0.2">
      <c r="A11573" s="8">
        <v>11572</v>
      </c>
      <c r="B11573" s="8" t="s">
        <v>48933</v>
      </c>
      <c r="C11573" s="8" t="s">
        <v>48933</v>
      </c>
      <c r="G11573" s="8">
        <v>20</v>
      </c>
      <c r="H11573" s="8" t="s">
        <v>21</v>
      </c>
      <c r="I11573" s="8" t="s">
        <v>22</v>
      </c>
      <c r="J11573" s="8" t="s">
        <v>22</v>
      </c>
      <c r="K11573" s="8" t="s">
        <v>382</v>
      </c>
      <c r="L11573" s="8" t="s">
        <v>17287</v>
      </c>
      <c r="M11573" s="8" t="s">
        <v>17288</v>
      </c>
      <c r="N11573" s="8" t="s">
        <v>48934</v>
      </c>
      <c r="O11573" s="8">
        <f>12+45/60+11.9/3600</f>
        <v>12.753305555555556</v>
      </c>
      <c r="P11573" s="8" t="s">
        <v>48935</v>
      </c>
      <c r="Q11573" s="8">
        <f>+(10+19/60+27/3600)</f>
        <v>10.324166666666667</v>
      </c>
      <c r="R11573" s="8">
        <v>15.3</v>
      </c>
      <c r="S11573" s="8">
        <v>16.3</v>
      </c>
      <c r="T11573" s="8">
        <v>1</v>
      </c>
      <c r="U11573" s="8">
        <v>12.3</v>
      </c>
      <c r="V11573" s="8">
        <v>0.3</v>
      </c>
      <c r="W11573" s="8">
        <v>0.2</v>
      </c>
      <c r="X11573" s="8">
        <v>45</v>
      </c>
      <c r="Y11573" s="8" t="s">
        <v>38333</v>
      </c>
      <c r="Z11573" s="8" t="s">
        <v>38334</v>
      </c>
    </row>
    <row r="11574" spans="1:26" x14ac:dyDescent="0.2">
      <c r="A11574" s="8">
        <v>11573</v>
      </c>
      <c r="B11574" s="8" t="s">
        <v>48936</v>
      </c>
      <c r="C11574" s="8" t="s">
        <v>48936</v>
      </c>
      <c r="G11574" s="8">
        <v>20</v>
      </c>
      <c r="H11574" s="8" t="s">
        <v>21</v>
      </c>
      <c r="I11574" s="8" t="s">
        <v>72</v>
      </c>
      <c r="J11574" s="8" t="s">
        <v>72</v>
      </c>
      <c r="K11574" s="8" t="s">
        <v>20</v>
      </c>
      <c r="L11574" s="8" t="s">
        <v>17287</v>
      </c>
      <c r="M11574" s="8" t="s">
        <v>17288</v>
      </c>
      <c r="N11574" s="8" t="s">
        <v>48937</v>
      </c>
      <c r="O11574" s="8">
        <f>12+45/60+16.7/3600</f>
        <v>12.75463888888889</v>
      </c>
      <c r="P11574" s="8" t="s">
        <v>48938</v>
      </c>
      <c r="Q11574" s="8">
        <f>+(6+57/60+25/3600)</f>
        <v>6.9569444444444448</v>
      </c>
      <c r="R11574" s="8">
        <v>99</v>
      </c>
      <c r="S11574" s="8">
        <v>15.2</v>
      </c>
      <c r="T11574" s="8">
        <v>99</v>
      </c>
      <c r="U11574" s="8">
        <v>99</v>
      </c>
      <c r="Y11574" s="8" t="s">
        <v>48939</v>
      </c>
      <c r="Z11574" s="8" t="s">
        <v>48940</v>
      </c>
    </row>
    <row r="11575" spans="1:26" x14ac:dyDescent="0.2">
      <c r="A11575" s="8">
        <v>11574</v>
      </c>
      <c r="B11575" s="8" t="s">
        <v>48941</v>
      </c>
      <c r="C11575" s="8" t="s">
        <v>48941</v>
      </c>
      <c r="G11575" s="8">
        <v>20</v>
      </c>
      <c r="H11575" s="8" t="s">
        <v>21</v>
      </c>
      <c r="I11575" s="8" t="s">
        <v>22</v>
      </c>
      <c r="J11575" s="8" t="s">
        <v>22</v>
      </c>
      <c r="K11575" s="8" t="s">
        <v>818</v>
      </c>
      <c r="L11575" s="8" t="s">
        <v>18289</v>
      </c>
      <c r="M11575" s="8" t="s">
        <v>18290</v>
      </c>
      <c r="N11575" s="8" t="s">
        <v>48942</v>
      </c>
      <c r="O11575" s="8">
        <f>12+45/60+9.2/3600</f>
        <v>12.752555555555556</v>
      </c>
      <c r="P11575" s="8" t="s">
        <v>48943</v>
      </c>
      <c r="Q11575" s="8">
        <f>+(23+2/60+20/3600)</f>
        <v>23.038888888888891</v>
      </c>
      <c r="R11575" s="8">
        <v>16</v>
      </c>
      <c r="S11575" s="8">
        <v>17</v>
      </c>
      <c r="T11575" s="8">
        <v>1</v>
      </c>
      <c r="U11575" s="8">
        <v>12.6</v>
      </c>
      <c r="V11575" s="8">
        <v>0.2</v>
      </c>
      <c r="W11575" s="8">
        <v>0.2</v>
      </c>
      <c r="Y11575" s="8" t="s">
        <v>21</v>
      </c>
      <c r="Z11575" s="8" t="s">
        <v>48944</v>
      </c>
    </row>
    <row r="11576" spans="1:26" x14ac:dyDescent="0.2">
      <c r="A11576" s="8">
        <v>11575</v>
      </c>
      <c r="B11576" s="8" t="s">
        <v>48945</v>
      </c>
      <c r="C11576" s="8" t="s">
        <v>48945</v>
      </c>
      <c r="G11576" s="8">
        <v>20</v>
      </c>
      <c r="H11576" s="8" t="s">
        <v>21</v>
      </c>
      <c r="I11576" s="8" t="s">
        <v>22</v>
      </c>
      <c r="J11576" s="8" t="s">
        <v>22</v>
      </c>
      <c r="K11576" s="8" t="s">
        <v>58</v>
      </c>
      <c r="L11576" s="8" t="s">
        <v>18289</v>
      </c>
      <c r="M11576" s="8" t="s">
        <v>18290</v>
      </c>
      <c r="N11576" s="8" t="s">
        <v>48946</v>
      </c>
      <c r="O11576" s="8">
        <f>12+45/60+20.4/3600</f>
        <v>12.755666666666666</v>
      </c>
      <c r="P11576" s="8" t="s">
        <v>48947</v>
      </c>
      <c r="Q11576" s="8">
        <f>+(13+41/60+35/3600)</f>
        <v>13.693055555555556</v>
      </c>
      <c r="R11576" s="8">
        <v>13.8</v>
      </c>
      <c r="S11576" s="8">
        <v>14.8</v>
      </c>
      <c r="T11576" s="8">
        <v>1</v>
      </c>
      <c r="U11576" s="8">
        <v>13</v>
      </c>
      <c r="V11576" s="8">
        <v>0.9</v>
      </c>
      <c r="W11576" s="8">
        <v>0.5</v>
      </c>
      <c r="X11576" s="8">
        <v>162</v>
      </c>
      <c r="Y11576" s="8" t="s">
        <v>895</v>
      </c>
      <c r="Z11576" s="8" t="s">
        <v>896</v>
      </c>
    </row>
    <row r="11577" spans="1:26" x14ac:dyDescent="0.2">
      <c r="A11577" s="8">
        <v>11576</v>
      </c>
      <c r="B11577" s="8" t="s">
        <v>48948</v>
      </c>
      <c r="C11577" s="8" t="s">
        <v>48948</v>
      </c>
      <c r="G11577" s="8">
        <v>20</v>
      </c>
      <c r="H11577" s="8" t="s">
        <v>21</v>
      </c>
      <c r="I11577" s="8" t="s">
        <v>22</v>
      </c>
      <c r="J11577" s="8" t="s">
        <v>22</v>
      </c>
      <c r="K11577" s="8" t="s">
        <v>396</v>
      </c>
      <c r="L11577" s="8" t="s">
        <v>18289</v>
      </c>
      <c r="M11577" s="8" t="s">
        <v>18290</v>
      </c>
      <c r="N11577" s="8" t="s">
        <v>48949</v>
      </c>
      <c r="O11577" s="8">
        <f>12+45/60+18.8/3600</f>
        <v>12.755222222222223</v>
      </c>
      <c r="P11577" s="8" t="s">
        <v>48950</v>
      </c>
      <c r="Q11577" s="8">
        <f>+(21+32/60+9/3600)</f>
        <v>21.535833333333336</v>
      </c>
      <c r="R11577" s="8">
        <v>15</v>
      </c>
      <c r="S11577" s="8">
        <v>15.6</v>
      </c>
      <c r="T11577" s="8">
        <v>0.6</v>
      </c>
      <c r="U11577" s="8">
        <v>12.6</v>
      </c>
      <c r="V11577" s="8">
        <v>0.5</v>
      </c>
      <c r="W11577" s="8">
        <v>0.3</v>
      </c>
      <c r="X11577" s="8">
        <v>165</v>
      </c>
      <c r="Y11577" s="8" t="s">
        <v>21</v>
      </c>
      <c r="Z11577" s="8" t="s">
        <v>48951</v>
      </c>
    </row>
    <row r="11578" spans="1:26" x14ac:dyDescent="0.2">
      <c r="A11578" s="8">
        <v>11577</v>
      </c>
      <c r="B11578" s="8" t="s">
        <v>48952</v>
      </c>
      <c r="C11578" s="8" t="s">
        <v>48952</v>
      </c>
      <c r="G11578" s="8">
        <v>20</v>
      </c>
      <c r="H11578" s="8" t="s">
        <v>21</v>
      </c>
      <c r="I11578" s="8" t="s">
        <v>72</v>
      </c>
      <c r="J11578" s="8" t="s">
        <v>72</v>
      </c>
      <c r="K11578" s="8" t="s">
        <v>20</v>
      </c>
      <c r="L11578" s="8" t="s">
        <v>18289</v>
      </c>
      <c r="M11578" s="8" t="s">
        <v>18290</v>
      </c>
      <c r="N11578" s="8" t="s">
        <v>48946</v>
      </c>
      <c r="O11578" s="8">
        <f>12+45/60+20.4/3600</f>
        <v>12.755666666666666</v>
      </c>
      <c r="P11578" s="8" t="s">
        <v>48953</v>
      </c>
      <c r="Q11578" s="8">
        <f>+(21+57/60+36/3600)</f>
        <v>21.96</v>
      </c>
      <c r="R11578" s="8">
        <v>99</v>
      </c>
      <c r="S11578" s="8">
        <v>13.8</v>
      </c>
      <c r="T11578" s="8">
        <v>99</v>
      </c>
      <c r="U11578" s="8">
        <v>99</v>
      </c>
      <c r="Y11578" s="8" t="s">
        <v>45514</v>
      </c>
      <c r="Z11578" s="8" t="s">
        <v>45515</v>
      </c>
    </row>
    <row r="11579" spans="1:26" x14ac:dyDescent="0.2">
      <c r="A11579" s="8">
        <v>11578</v>
      </c>
      <c r="B11579" s="8" t="s">
        <v>48954</v>
      </c>
      <c r="C11579" s="8" t="s">
        <v>48954</v>
      </c>
      <c r="G11579" s="8">
        <v>20</v>
      </c>
      <c r="H11579" s="8" t="s">
        <v>21</v>
      </c>
      <c r="I11579" s="8" t="s">
        <v>72</v>
      </c>
      <c r="J11579" s="8" t="s">
        <v>72</v>
      </c>
      <c r="K11579" s="8" t="s">
        <v>20</v>
      </c>
      <c r="L11579" s="8" t="s">
        <v>18289</v>
      </c>
      <c r="M11579" s="8" t="s">
        <v>18290</v>
      </c>
      <c r="N11579" s="8" t="s">
        <v>48955</v>
      </c>
      <c r="O11579" s="8">
        <f>12+45/60+25.3/3600</f>
        <v>12.757027777777777</v>
      </c>
      <c r="P11579" s="8" t="s">
        <v>48956</v>
      </c>
      <c r="Q11579" s="8">
        <f>+(19+13/60+44/3600)</f>
        <v>19.228888888888886</v>
      </c>
      <c r="R11579" s="8">
        <v>99</v>
      </c>
      <c r="S11579" s="8">
        <v>99</v>
      </c>
      <c r="T11579" s="8">
        <v>99</v>
      </c>
      <c r="U11579" s="8">
        <v>99</v>
      </c>
      <c r="Y11579" s="8" t="s">
        <v>21</v>
      </c>
      <c r="Z11579" s="8" t="s">
        <v>48957</v>
      </c>
    </row>
    <row r="11580" spans="1:26" x14ac:dyDescent="0.2">
      <c r="A11580" s="8">
        <v>11579</v>
      </c>
      <c r="B11580" s="8" t="s">
        <v>48958</v>
      </c>
      <c r="C11580" s="8" t="s">
        <v>48958</v>
      </c>
      <c r="G11580" s="8">
        <v>20</v>
      </c>
      <c r="H11580" s="8" t="s">
        <v>21</v>
      </c>
      <c r="I11580" s="8" t="s">
        <v>329</v>
      </c>
      <c r="J11580" s="8" t="s">
        <v>329</v>
      </c>
      <c r="K11580" s="8" t="s">
        <v>329</v>
      </c>
      <c r="L11580" s="8" t="s">
        <v>17287</v>
      </c>
      <c r="M11580" s="8" t="s">
        <v>17288</v>
      </c>
      <c r="N11580" s="8" t="s">
        <v>48959</v>
      </c>
      <c r="O11580" s="8">
        <f>12+45/60+32.2/3600</f>
        <v>12.758944444444445</v>
      </c>
      <c r="P11580" s="8" t="s">
        <v>48960</v>
      </c>
      <c r="Q11580" s="8">
        <f>+(12+59/60+51/3600)</f>
        <v>12.997499999999999</v>
      </c>
      <c r="R11580" s="8">
        <v>99</v>
      </c>
      <c r="S11580" s="8">
        <v>99</v>
      </c>
      <c r="T11580" s="8">
        <v>99</v>
      </c>
      <c r="U11580" s="8">
        <v>99</v>
      </c>
      <c r="Y11580" s="8" t="s">
        <v>48961</v>
      </c>
      <c r="Z11580" s="8" t="s">
        <v>48962</v>
      </c>
    </row>
    <row r="11581" spans="1:26" x14ac:dyDescent="0.2">
      <c r="A11581" s="8">
        <v>11580</v>
      </c>
      <c r="B11581" s="8" t="s">
        <v>48963</v>
      </c>
      <c r="C11581" s="8" t="s">
        <v>48963</v>
      </c>
      <c r="G11581" s="8">
        <v>20</v>
      </c>
      <c r="H11581" s="8" t="s">
        <v>21</v>
      </c>
      <c r="I11581" s="8" t="s">
        <v>22</v>
      </c>
      <c r="J11581" s="8" t="s">
        <v>22</v>
      </c>
      <c r="K11581" s="8" t="s">
        <v>476</v>
      </c>
      <c r="L11581" s="8" t="s">
        <v>18289</v>
      </c>
      <c r="M11581" s="8" t="s">
        <v>18290</v>
      </c>
      <c r="N11581" s="8" t="s">
        <v>48964</v>
      </c>
      <c r="O11581" s="8">
        <f>12+45/60+30.5/3600</f>
        <v>12.758472222222222</v>
      </c>
      <c r="P11581" s="8" t="s">
        <v>48965</v>
      </c>
      <c r="Q11581" s="8">
        <f>+(20+48/60+59/3600)</f>
        <v>20.816388888888891</v>
      </c>
      <c r="R11581" s="8">
        <v>14.6</v>
      </c>
      <c r="S11581" s="8">
        <v>15.4</v>
      </c>
      <c r="T11581" s="8">
        <v>0.8</v>
      </c>
      <c r="U11581" s="8">
        <v>13.2</v>
      </c>
      <c r="V11581" s="8">
        <v>0.8</v>
      </c>
      <c r="W11581" s="8">
        <v>0.4</v>
      </c>
      <c r="X11581" s="8">
        <v>9</v>
      </c>
      <c r="Y11581" s="8" t="s">
        <v>48966</v>
      </c>
      <c r="Z11581" s="8" t="s">
        <v>48967</v>
      </c>
    </row>
    <row r="11582" spans="1:26" x14ac:dyDescent="0.2">
      <c r="A11582" s="8">
        <v>11581</v>
      </c>
      <c r="B11582" s="8" t="s">
        <v>48968</v>
      </c>
      <c r="C11582" s="8" t="s">
        <v>48968</v>
      </c>
      <c r="G11582" s="8">
        <v>20</v>
      </c>
      <c r="H11582" s="8" t="s">
        <v>21</v>
      </c>
      <c r="I11582" s="8" t="s">
        <v>72</v>
      </c>
      <c r="J11582" s="8" t="s">
        <v>72</v>
      </c>
      <c r="K11582" s="8" t="s">
        <v>20</v>
      </c>
      <c r="L11582" s="8" t="s">
        <v>18289</v>
      </c>
      <c r="M11582" s="8" t="s">
        <v>18290</v>
      </c>
      <c r="N11582" s="8" t="s">
        <v>48969</v>
      </c>
      <c r="O11582" s="8">
        <f>12+45/60+33.2/3600</f>
        <v>12.759222222222222</v>
      </c>
      <c r="P11582" s="8" t="s">
        <v>48970</v>
      </c>
      <c r="Q11582" s="8">
        <f>+(19+12/60+12/3600)</f>
        <v>19.203333333333333</v>
      </c>
      <c r="R11582" s="8">
        <v>99</v>
      </c>
      <c r="S11582" s="8">
        <v>99</v>
      </c>
      <c r="T11582" s="8">
        <v>99</v>
      </c>
      <c r="U11582" s="8">
        <v>99</v>
      </c>
      <c r="Y11582" s="8" t="s">
        <v>21</v>
      </c>
      <c r="Z11582" s="8" t="s">
        <v>48971</v>
      </c>
    </row>
    <row r="11583" spans="1:26" x14ac:dyDescent="0.2">
      <c r="A11583" s="8">
        <v>11582</v>
      </c>
      <c r="B11583" s="8" t="s">
        <v>48972</v>
      </c>
      <c r="C11583" s="8" t="s">
        <v>48972</v>
      </c>
      <c r="G11583" s="8">
        <v>20</v>
      </c>
      <c r="H11583" s="8" t="s">
        <v>21</v>
      </c>
      <c r="I11583" s="8" t="s">
        <v>22</v>
      </c>
      <c r="J11583" s="8" t="s">
        <v>22</v>
      </c>
      <c r="K11583" s="8" t="s">
        <v>64</v>
      </c>
      <c r="L11583" s="8" t="s">
        <v>18289</v>
      </c>
      <c r="M11583" s="8" t="s">
        <v>18290</v>
      </c>
      <c r="N11583" s="8" t="s">
        <v>48973</v>
      </c>
      <c r="O11583" s="8">
        <f>12+45/60+31.9/3600</f>
        <v>12.758861111111111</v>
      </c>
      <c r="P11583" s="8" t="s">
        <v>48974</v>
      </c>
      <c r="Q11583" s="8">
        <f>+(13+19/60+55/3600)</f>
        <v>13.331944444444444</v>
      </c>
      <c r="R11583" s="8">
        <v>13.7</v>
      </c>
      <c r="S11583" s="8">
        <v>14.1</v>
      </c>
      <c r="T11583" s="8">
        <v>0.4</v>
      </c>
      <c r="U11583" s="8">
        <v>14</v>
      </c>
      <c r="V11583" s="8">
        <v>1.7</v>
      </c>
      <c r="W11583" s="8">
        <v>0.9</v>
      </c>
      <c r="X11583" s="8">
        <v>45</v>
      </c>
      <c r="Y11583" s="8" t="s">
        <v>21</v>
      </c>
      <c r="Z11583" s="8" t="s">
        <v>48975</v>
      </c>
    </row>
    <row r="11584" spans="1:26" x14ac:dyDescent="0.2">
      <c r="A11584" s="8">
        <v>11583</v>
      </c>
      <c r="B11584" s="8" t="s">
        <v>48976</v>
      </c>
      <c r="C11584" s="8" t="s">
        <v>48976</v>
      </c>
      <c r="G11584" s="8">
        <v>20</v>
      </c>
      <c r="H11584" s="8" t="s">
        <v>21</v>
      </c>
      <c r="I11584" s="8" t="s">
        <v>72</v>
      </c>
      <c r="J11584" s="8" t="s">
        <v>72</v>
      </c>
      <c r="K11584" s="8" t="s">
        <v>5802</v>
      </c>
      <c r="L11584" s="8" t="s">
        <v>17287</v>
      </c>
      <c r="M11584" s="8" t="s">
        <v>17288</v>
      </c>
      <c r="N11584" s="8" t="s">
        <v>48977</v>
      </c>
      <c r="O11584" s="8">
        <f>12+45/60+41/3600</f>
        <v>12.761388888888888</v>
      </c>
      <c r="P11584" s="8" t="s">
        <v>48978</v>
      </c>
      <c r="Q11584" s="8">
        <f>+(11+6/60+2/3600)</f>
        <v>11.100555555555555</v>
      </c>
      <c r="R11584" s="8">
        <v>99</v>
      </c>
      <c r="S11584" s="8">
        <v>99</v>
      </c>
      <c r="T11584" s="8">
        <v>99</v>
      </c>
      <c r="U11584" s="8">
        <v>99</v>
      </c>
      <c r="Y11584" s="8" t="s">
        <v>1511</v>
      </c>
      <c r="Z11584" s="8" t="s">
        <v>1512</v>
      </c>
    </row>
    <row r="11585" spans="1:26" x14ac:dyDescent="0.2">
      <c r="A11585" s="8">
        <v>11584</v>
      </c>
      <c r="B11585" s="8" t="s">
        <v>48979</v>
      </c>
      <c r="C11585" s="8" t="s">
        <v>48979</v>
      </c>
      <c r="G11585" s="8">
        <v>20</v>
      </c>
      <c r="H11585" s="8" t="s">
        <v>21</v>
      </c>
      <c r="I11585" s="8" t="s">
        <v>22</v>
      </c>
      <c r="J11585" s="8" t="s">
        <v>22</v>
      </c>
      <c r="K11585" s="8" t="s">
        <v>382</v>
      </c>
      <c r="L11585" s="8" t="s">
        <v>18289</v>
      </c>
      <c r="M11585" s="8" t="s">
        <v>18290</v>
      </c>
      <c r="N11585" s="8" t="s">
        <v>48980</v>
      </c>
      <c r="O11585" s="8">
        <f>12+45/60+41.4/3600</f>
        <v>12.7615</v>
      </c>
      <c r="P11585" s="8" t="s">
        <v>48981</v>
      </c>
      <c r="Q11585" s="8">
        <f>+(19+30/60+3/3600)</f>
        <v>19.500833333333333</v>
      </c>
      <c r="R11585" s="8">
        <v>16</v>
      </c>
      <c r="S11585" s="8">
        <v>17</v>
      </c>
      <c r="T11585" s="8">
        <v>1</v>
      </c>
      <c r="U11585" s="8">
        <v>13.8</v>
      </c>
      <c r="V11585" s="8">
        <v>0.4</v>
      </c>
      <c r="W11585" s="8">
        <v>0.3</v>
      </c>
      <c r="X11585" s="8">
        <v>160</v>
      </c>
      <c r="Y11585" s="8" t="s">
        <v>45514</v>
      </c>
      <c r="Z11585" s="8" t="s">
        <v>45515</v>
      </c>
    </row>
    <row r="11586" spans="1:26" x14ac:dyDescent="0.2">
      <c r="A11586" s="8">
        <v>11585</v>
      </c>
      <c r="B11586" s="8" t="s">
        <v>48982</v>
      </c>
      <c r="C11586" s="8" t="s">
        <v>48982</v>
      </c>
      <c r="G11586" s="8">
        <v>20</v>
      </c>
      <c r="H11586" s="8" t="s">
        <v>21</v>
      </c>
      <c r="I11586" s="8" t="s">
        <v>22</v>
      </c>
      <c r="J11586" s="8" t="s">
        <v>22</v>
      </c>
      <c r="K11586" s="8" t="s">
        <v>37</v>
      </c>
      <c r="L11586" s="8" t="s">
        <v>18289</v>
      </c>
      <c r="M11586" s="8" t="s">
        <v>18290</v>
      </c>
      <c r="N11586" s="8" t="s">
        <v>48983</v>
      </c>
      <c r="O11586" s="8">
        <f>12+45/60+44.8/3600</f>
        <v>12.762444444444444</v>
      </c>
      <c r="P11586" s="8" t="s">
        <v>48984</v>
      </c>
      <c r="Q11586" s="8">
        <f>+(19+10/60+40/3600)</f>
        <v>19.177777777777781</v>
      </c>
      <c r="R11586" s="8">
        <v>13.6</v>
      </c>
      <c r="S11586" s="8">
        <v>14.6</v>
      </c>
      <c r="T11586" s="8">
        <v>1</v>
      </c>
      <c r="U11586" s="8">
        <v>12.7</v>
      </c>
      <c r="V11586" s="8">
        <v>0.7</v>
      </c>
      <c r="W11586" s="8">
        <v>0.7</v>
      </c>
      <c r="Y11586" s="8" t="s">
        <v>18110</v>
      </c>
      <c r="Z11586" s="8" t="s">
        <v>18111</v>
      </c>
    </row>
    <row r="11587" spans="1:26" x14ac:dyDescent="0.2">
      <c r="A11587" s="8">
        <v>11586</v>
      </c>
      <c r="B11587" s="8" t="s">
        <v>48985</v>
      </c>
      <c r="C11587" s="8" t="s">
        <v>48985</v>
      </c>
      <c r="G11587" s="8">
        <v>20</v>
      </c>
      <c r="H11587" s="8" t="s">
        <v>21</v>
      </c>
      <c r="I11587" s="8" t="s">
        <v>22</v>
      </c>
      <c r="J11587" s="8" t="s">
        <v>22</v>
      </c>
      <c r="K11587" s="8" t="s">
        <v>424</v>
      </c>
      <c r="L11587" s="8" t="s">
        <v>18681</v>
      </c>
      <c r="M11587" s="8" t="s">
        <v>18682</v>
      </c>
      <c r="N11587" s="8" t="s">
        <v>21083</v>
      </c>
      <c r="O11587" s="8">
        <f>12+45/60+31.8/3600</f>
        <v>12.758833333333333</v>
      </c>
      <c r="P11587" s="8" t="s">
        <v>48986</v>
      </c>
      <c r="Q11587" s="8">
        <f>+(37+49/60+26/3600)</f>
        <v>37.823888888888895</v>
      </c>
      <c r="R11587" s="8">
        <v>14.8</v>
      </c>
      <c r="S11587" s="8">
        <v>15.8</v>
      </c>
      <c r="T11587" s="8">
        <v>1</v>
      </c>
      <c r="U11587" s="8">
        <v>11.2</v>
      </c>
      <c r="V11587" s="8">
        <v>0.2</v>
      </c>
      <c r="W11587" s="8">
        <v>0.2</v>
      </c>
      <c r="Y11587" s="8" t="s">
        <v>45218</v>
      </c>
      <c r="Z11587" s="8" t="s">
        <v>45219</v>
      </c>
    </row>
    <row r="11588" spans="1:26" x14ac:dyDescent="0.2">
      <c r="A11588" s="8">
        <v>11587</v>
      </c>
      <c r="B11588" s="8" t="s">
        <v>48987</v>
      </c>
      <c r="C11588" s="8" t="s">
        <v>48987</v>
      </c>
      <c r="G11588" s="8">
        <v>20</v>
      </c>
      <c r="H11588" s="8" t="s">
        <v>21</v>
      </c>
      <c r="I11588" s="8" t="s">
        <v>72</v>
      </c>
      <c r="J11588" s="8" t="s">
        <v>72</v>
      </c>
      <c r="K11588" s="8" t="s">
        <v>20</v>
      </c>
      <c r="L11588" s="8" t="s">
        <v>18681</v>
      </c>
      <c r="M11588" s="8" t="s">
        <v>18682</v>
      </c>
      <c r="N11588" s="8" t="s">
        <v>48988</v>
      </c>
      <c r="O11588" s="8">
        <f>12+45/60+34.5/3600</f>
        <v>12.759583333333333</v>
      </c>
      <c r="P11588" s="8" t="s">
        <v>48989</v>
      </c>
      <c r="Q11588" s="8">
        <f>+(37+58/60+7/3600)</f>
        <v>37.968611111111116</v>
      </c>
      <c r="R11588" s="8">
        <v>99</v>
      </c>
      <c r="S11588" s="8">
        <v>14.9</v>
      </c>
      <c r="T11588" s="8">
        <v>99</v>
      </c>
      <c r="U11588" s="8">
        <v>99</v>
      </c>
      <c r="Y11588" s="8" t="s">
        <v>45514</v>
      </c>
      <c r="Z11588" s="8" t="s">
        <v>45515</v>
      </c>
    </row>
    <row r="11589" spans="1:26" x14ac:dyDescent="0.2">
      <c r="A11589" s="8">
        <v>11588</v>
      </c>
      <c r="B11589" s="8" t="s">
        <v>48990</v>
      </c>
      <c r="C11589" s="8" t="s">
        <v>48990</v>
      </c>
      <c r="G11589" s="8">
        <v>20</v>
      </c>
      <c r="H11589" s="8" t="s">
        <v>21</v>
      </c>
      <c r="I11589" s="8" t="s">
        <v>72</v>
      </c>
      <c r="J11589" s="8" t="s">
        <v>72</v>
      </c>
      <c r="K11589" s="8" t="s">
        <v>20</v>
      </c>
      <c r="L11589" s="8" t="s">
        <v>18289</v>
      </c>
      <c r="M11589" s="8" t="s">
        <v>18290</v>
      </c>
      <c r="N11589" s="8" t="s">
        <v>48991</v>
      </c>
      <c r="O11589" s="8">
        <f>12+45/60+51/3600</f>
        <v>12.764166666666666</v>
      </c>
      <c r="P11589" s="8" t="s">
        <v>48992</v>
      </c>
      <c r="Q11589" s="8">
        <f>+(19+25/60+46/3600)</f>
        <v>19.429444444444446</v>
      </c>
      <c r="R11589" s="8">
        <v>99</v>
      </c>
      <c r="S11589" s="8">
        <v>99</v>
      </c>
      <c r="T11589" s="8">
        <v>99</v>
      </c>
      <c r="U11589" s="8">
        <v>99</v>
      </c>
      <c r="Y11589" s="8" t="s">
        <v>45086</v>
      </c>
      <c r="Z11589" s="8" t="s">
        <v>45087</v>
      </c>
    </row>
    <row r="11590" spans="1:26" x14ac:dyDescent="0.2">
      <c r="A11590" s="8">
        <v>11589</v>
      </c>
      <c r="B11590" s="8" t="s">
        <v>48993</v>
      </c>
      <c r="C11590" s="8" t="s">
        <v>48993</v>
      </c>
      <c r="G11590" s="8">
        <v>20</v>
      </c>
      <c r="H11590" s="8" t="s">
        <v>21</v>
      </c>
      <c r="I11590" s="8" t="s">
        <v>72</v>
      </c>
      <c r="J11590" s="8" t="s">
        <v>72</v>
      </c>
      <c r="K11590" s="8" t="s">
        <v>20</v>
      </c>
      <c r="L11590" s="8" t="s">
        <v>18289</v>
      </c>
      <c r="M11590" s="8" t="s">
        <v>18290</v>
      </c>
      <c r="N11590" s="8" t="s">
        <v>48994</v>
      </c>
      <c r="O11590" s="8">
        <f>12+45/60+51.4/3600</f>
        <v>12.764277777777778</v>
      </c>
      <c r="P11590" s="8" t="s">
        <v>48995</v>
      </c>
      <c r="Q11590" s="8">
        <f>+(19+32/60+9/3600)</f>
        <v>19.535833333333336</v>
      </c>
      <c r="R11590" s="8">
        <v>99</v>
      </c>
      <c r="S11590" s="8">
        <v>99</v>
      </c>
      <c r="T11590" s="8">
        <v>99</v>
      </c>
      <c r="U11590" s="8">
        <v>99</v>
      </c>
      <c r="Y11590" s="8" t="s">
        <v>48996</v>
      </c>
      <c r="Z11590" s="8" t="s">
        <v>48997</v>
      </c>
    </row>
    <row r="11591" spans="1:26" x14ac:dyDescent="0.2">
      <c r="A11591" s="8">
        <v>11590</v>
      </c>
      <c r="B11591" s="8" t="s">
        <v>48998</v>
      </c>
      <c r="C11591" s="8" t="s">
        <v>48998</v>
      </c>
      <c r="G11591" s="8">
        <v>20</v>
      </c>
      <c r="H11591" s="8" t="s">
        <v>21</v>
      </c>
      <c r="I11591" s="8" t="s">
        <v>72</v>
      </c>
      <c r="J11591" s="8" t="s">
        <v>72</v>
      </c>
      <c r="K11591" s="8" t="s">
        <v>20</v>
      </c>
      <c r="L11591" s="8" t="s">
        <v>18289</v>
      </c>
      <c r="M11591" s="8" t="s">
        <v>18290</v>
      </c>
      <c r="N11591" s="8" t="s">
        <v>48999</v>
      </c>
      <c r="O11591" s="8">
        <f>12+45/60+57.2/3600</f>
        <v>12.765888888888888</v>
      </c>
      <c r="P11591" s="8" t="s">
        <v>49000</v>
      </c>
      <c r="Q11591" s="8">
        <f>+(19+6/60+16/3600)</f>
        <v>19.104444444444447</v>
      </c>
      <c r="R11591" s="8">
        <v>99</v>
      </c>
      <c r="S11591" s="8">
        <v>99</v>
      </c>
      <c r="T11591" s="8">
        <v>99</v>
      </c>
      <c r="U11591" s="8">
        <v>99</v>
      </c>
      <c r="Y11591" s="8" t="s">
        <v>49001</v>
      </c>
      <c r="Z11591" s="8" t="s">
        <v>49002</v>
      </c>
    </row>
    <row r="11592" spans="1:26" x14ac:dyDescent="0.2">
      <c r="A11592" s="8">
        <v>11591</v>
      </c>
      <c r="B11592" s="8" t="s">
        <v>49003</v>
      </c>
      <c r="C11592" s="8" t="s">
        <v>49003</v>
      </c>
      <c r="G11592" s="8">
        <v>20</v>
      </c>
      <c r="H11592" s="8" t="s">
        <v>21</v>
      </c>
      <c r="I11592" s="8" t="s">
        <v>22</v>
      </c>
      <c r="J11592" s="8" t="s">
        <v>22</v>
      </c>
      <c r="K11592" s="8" t="s">
        <v>460</v>
      </c>
      <c r="L11592" s="8" t="s">
        <v>18681</v>
      </c>
      <c r="M11592" s="8" t="s">
        <v>18682</v>
      </c>
      <c r="N11592" s="8" t="s">
        <v>49004</v>
      </c>
      <c r="O11592" s="8">
        <f>12+45/60+45.1/3600</f>
        <v>12.762527777777779</v>
      </c>
      <c r="P11592" s="8" t="s">
        <v>49005</v>
      </c>
      <c r="Q11592" s="8">
        <f>+(37+49/60+25/3600)</f>
        <v>37.823611111111113</v>
      </c>
      <c r="R11592" s="8">
        <v>15.5</v>
      </c>
      <c r="S11592" s="8">
        <v>16.5</v>
      </c>
      <c r="T11592" s="8">
        <v>1</v>
      </c>
      <c r="U11592" s="8">
        <v>12.1</v>
      </c>
      <c r="V11592" s="8">
        <v>0.2</v>
      </c>
      <c r="W11592" s="8">
        <v>0.2</v>
      </c>
      <c r="Y11592" s="8" t="s">
        <v>21</v>
      </c>
      <c r="Z11592" s="8" t="s">
        <v>49006</v>
      </c>
    </row>
    <row r="11593" spans="1:26" x14ac:dyDescent="0.2">
      <c r="A11593" s="8">
        <v>11592</v>
      </c>
      <c r="B11593" s="8" t="s">
        <v>49007</v>
      </c>
      <c r="C11593" s="8" t="s">
        <v>49007</v>
      </c>
      <c r="G11593" s="8">
        <v>20</v>
      </c>
      <c r="H11593" s="8" t="s">
        <v>21</v>
      </c>
      <c r="I11593" s="8" t="s">
        <v>72</v>
      </c>
      <c r="J11593" s="8" t="s">
        <v>72</v>
      </c>
      <c r="K11593" s="8" t="s">
        <v>20</v>
      </c>
      <c r="L11593" s="8" t="s">
        <v>18289</v>
      </c>
      <c r="M11593" s="8" t="s">
        <v>18290</v>
      </c>
      <c r="N11593" s="8" t="s">
        <v>49008</v>
      </c>
      <c r="O11593" s="8">
        <f>12+46/60+4.1/3600</f>
        <v>12.767805555555556</v>
      </c>
      <c r="P11593" s="8" t="s">
        <v>49009</v>
      </c>
      <c r="Q11593" s="8">
        <f>+(19+0/60+39/3600)</f>
        <v>19.010833333333334</v>
      </c>
      <c r="R11593" s="8">
        <v>99</v>
      </c>
      <c r="S11593" s="8">
        <v>99</v>
      </c>
      <c r="T11593" s="8">
        <v>99</v>
      </c>
      <c r="U11593" s="8">
        <v>99</v>
      </c>
      <c r="Y11593" s="8" t="s">
        <v>21</v>
      </c>
      <c r="Z11593" s="8" t="s">
        <v>49010</v>
      </c>
    </row>
    <row r="11594" spans="1:26" x14ac:dyDescent="0.2">
      <c r="A11594" s="8">
        <v>11593</v>
      </c>
      <c r="B11594" s="8" t="s">
        <v>49011</v>
      </c>
      <c r="C11594" s="8" t="s">
        <v>49011</v>
      </c>
      <c r="G11594" s="8">
        <v>20</v>
      </c>
      <c r="H11594" s="8" t="s">
        <v>21</v>
      </c>
      <c r="I11594" s="8" t="s">
        <v>72</v>
      </c>
      <c r="J11594" s="8" t="s">
        <v>72</v>
      </c>
      <c r="K11594" s="8" t="s">
        <v>20</v>
      </c>
      <c r="L11594" s="8" t="s">
        <v>18289</v>
      </c>
      <c r="M11594" s="8" t="s">
        <v>18290</v>
      </c>
      <c r="N11594" s="8" t="s">
        <v>49012</v>
      </c>
      <c r="O11594" s="8">
        <f>12+46/60+4.3/3600</f>
        <v>12.767861111111111</v>
      </c>
      <c r="P11594" s="8" t="s">
        <v>49013</v>
      </c>
      <c r="Q11594" s="8">
        <f>+(19+7/60+17/3600)</f>
        <v>19.121388888888891</v>
      </c>
      <c r="R11594" s="8">
        <v>99</v>
      </c>
      <c r="S11594" s="8">
        <v>99</v>
      </c>
      <c r="T11594" s="8">
        <v>99</v>
      </c>
      <c r="U11594" s="8">
        <v>99</v>
      </c>
      <c r="Y11594" s="8" t="s">
        <v>21</v>
      </c>
      <c r="Z11594" s="8" t="s">
        <v>49014</v>
      </c>
    </row>
    <row r="11595" spans="1:26" x14ac:dyDescent="0.2">
      <c r="A11595" s="8">
        <v>11594</v>
      </c>
      <c r="B11595" s="8" t="s">
        <v>49015</v>
      </c>
      <c r="C11595" s="8" t="s">
        <v>49015</v>
      </c>
      <c r="G11595" s="8">
        <v>20</v>
      </c>
      <c r="H11595" s="8" t="s">
        <v>21</v>
      </c>
      <c r="I11595" s="8" t="s">
        <v>22</v>
      </c>
      <c r="J11595" s="8" t="s">
        <v>22</v>
      </c>
      <c r="K11595" s="8" t="s">
        <v>406</v>
      </c>
      <c r="L11595" s="8" t="s">
        <v>17287</v>
      </c>
      <c r="M11595" s="8" t="s">
        <v>17288</v>
      </c>
      <c r="N11595" s="8" t="s">
        <v>21100</v>
      </c>
      <c r="O11595" s="8">
        <f>12+46/60+15.6/3600</f>
        <v>12.771000000000001</v>
      </c>
      <c r="P11595" s="8" t="s">
        <v>49016</v>
      </c>
      <c r="Q11595" s="8">
        <f>+(8+20/60+57/3600)</f>
        <v>8.3491666666666671</v>
      </c>
      <c r="R11595" s="8">
        <v>13.7</v>
      </c>
      <c r="S11595" s="8">
        <v>14.5</v>
      </c>
      <c r="T11595" s="8">
        <v>0.8</v>
      </c>
      <c r="U11595" s="8">
        <v>13.2</v>
      </c>
      <c r="V11595" s="8">
        <v>1.2</v>
      </c>
      <c r="W11595" s="8">
        <v>0.6</v>
      </c>
      <c r="X11595" s="8">
        <v>128</v>
      </c>
      <c r="Y11595" s="8" t="s">
        <v>4065</v>
      </c>
      <c r="Z11595" s="8" t="s">
        <v>4066</v>
      </c>
    </row>
    <row r="11596" spans="1:26" x14ac:dyDescent="0.2">
      <c r="A11596" s="8">
        <v>11595</v>
      </c>
      <c r="B11596" s="8" t="s">
        <v>49017</v>
      </c>
      <c r="C11596" s="8" t="s">
        <v>49017</v>
      </c>
      <c r="G11596" s="8">
        <v>20</v>
      </c>
      <c r="H11596" s="8" t="s">
        <v>21</v>
      </c>
      <c r="I11596" s="8" t="s">
        <v>72</v>
      </c>
      <c r="J11596" s="8" t="s">
        <v>72</v>
      </c>
      <c r="K11596" s="8" t="s">
        <v>73</v>
      </c>
      <c r="L11596" s="8" t="s">
        <v>18289</v>
      </c>
      <c r="M11596" s="8" t="s">
        <v>18290</v>
      </c>
      <c r="N11596" s="8" t="s">
        <v>49018</v>
      </c>
      <c r="O11596" s="8">
        <f>12+46/60+9.4/3600</f>
        <v>12.769277777777779</v>
      </c>
      <c r="P11596" s="8" t="s">
        <v>49019</v>
      </c>
      <c r="Q11596" s="8">
        <f>+(19+9/60+27/3600)</f>
        <v>19.157499999999999</v>
      </c>
      <c r="R11596" s="8">
        <v>99</v>
      </c>
      <c r="S11596" s="8">
        <v>99</v>
      </c>
      <c r="T11596" s="8">
        <v>99</v>
      </c>
      <c r="U11596" s="8">
        <v>99</v>
      </c>
      <c r="Y11596" s="8" t="s">
        <v>45514</v>
      </c>
      <c r="Z11596" s="8" t="s">
        <v>45515</v>
      </c>
    </row>
    <row r="11597" spans="1:26" x14ac:dyDescent="0.2">
      <c r="A11597" s="8">
        <v>11596</v>
      </c>
      <c r="B11597" s="8" t="s">
        <v>49020</v>
      </c>
      <c r="C11597" s="8" t="s">
        <v>49020</v>
      </c>
      <c r="G11597" s="8">
        <v>20</v>
      </c>
      <c r="H11597" s="8" t="s">
        <v>21</v>
      </c>
      <c r="I11597" s="8" t="s">
        <v>22</v>
      </c>
      <c r="J11597" s="8" t="s">
        <v>22</v>
      </c>
      <c r="K11597" s="8" t="s">
        <v>124</v>
      </c>
      <c r="L11597" s="8" t="s">
        <v>17287</v>
      </c>
      <c r="M11597" s="8" t="s">
        <v>17288</v>
      </c>
      <c r="N11597" s="8" t="s">
        <v>21119</v>
      </c>
      <c r="O11597" s="8">
        <f>12+46/60+10.1/3600</f>
        <v>12.769472222222223</v>
      </c>
      <c r="P11597" s="8" t="s">
        <v>49021</v>
      </c>
      <c r="Q11597" s="8">
        <f>+(11+54/60+55/3600)</f>
        <v>11.915277777777778</v>
      </c>
      <c r="R11597" s="8">
        <v>15.2</v>
      </c>
      <c r="S11597" s="8">
        <v>16</v>
      </c>
      <c r="T11597" s="8">
        <v>0.8</v>
      </c>
      <c r="U11597" s="8">
        <v>13</v>
      </c>
      <c r="V11597" s="8">
        <v>0.5</v>
      </c>
      <c r="W11597" s="8">
        <v>0.3</v>
      </c>
      <c r="X11597" s="8">
        <v>20</v>
      </c>
      <c r="Y11597" s="8" t="s">
        <v>46249</v>
      </c>
      <c r="Z11597" s="8" t="s">
        <v>46250</v>
      </c>
    </row>
    <row r="11598" spans="1:26" x14ac:dyDescent="0.2">
      <c r="A11598" s="8">
        <v>11597</v>
      </c>
      <c r="B11598" s="8" t="s">
        <v>49022</v>
      </c>
      <c r="C11598" s="8" t="s">
        <v>49022</v>
      </c>
      <c r="G11598" s="8">
        <v>20</v>
      </c>
      <c r="H11598" s="8" t="s">
        <v>21</v>
      </c>
      <c r="I11598" s="8" t="s">
        <v>72</v>
      </c>
      <c r="J11598" s="8" t="s">
        <v>72</v>
      </c>
      <c r="K11598" s="8" t="s">
        <v>1802</v>
      </c>
      <c r="L11598" s="8" t="s">
        <v>18681</v>
      </c>
      <c r="M11598" s="8" t="s">
        <v>18682</v>
      </c>
      <c r="N11598" s="8" t="s">
        <v>49023</v>
      </c>
      <c r="O11598" s="8">
        <f>12+45/60+59.8/3600</f>
        <v>12.766611111111111</v>
      </c>
      <c r="P11598" s="8" t="s">
        <v>49024</v>
      </c>
      <c r="Q11598" s="8">
        <f>+(38+30/60+50/3600)</f>
        <v>38.513888888888886</v>
      </c>
      <c r="R11598" s="8">
        <v>99</v>
      </c>
      <c r="S11598" s="8">
        <v>99</v>
      </c>
      <c r="T11598" s="8">
        <v>99</v>
      </c>
      <c r="U11598" s="8">
        <v>99</v>
      </c>
      <c r="Y11598" s="8" t="s">
        <v>49025</v>
      </c>
      <c r="Z11598" s="8" t="s">
        <v>49026</v>
      </c>
    </row>
    <row r="11599" spans="1:26" x14ac:dyDescent="0.2">
      <c r="A11599" s="8">
        <v>11598</v>
      </c>
      <c r="B11599" s="8" t="s">
        <v>49027</v>
      </c>
      <c r="C11599" s="8" t="s">
        <v>49027</v>
      </c>
      <c r="G11599" s="8">
        <v>20</v>
      </c>
      <c r="H11599" s="8" t="s">
        <v>21</v>
      </c>
      <c r="I11599" s="8" t="s">
        <v>22</v>
      </c>
      <c r="J11599" s="8" t="s">
        <v>22</v>
      </c>
      <c r="K11599" s="8" t="s">
        <v>460</v>
      </c>
      <c r="L11599" s="8" t="s">
        <v>18681</v>
      </c>
      <c r="M11599" s="8" t="s">
        <v>18682</v>
      </c>
      <c r="N11599" s="8" t="s">
        <v>49028</v>
      </c>
      <c r="O11599" s="8">
        <f>12+45/60+59.6/3600</f>
        <v>12.766555555555556</v>
      </c>
      <c r="P11599" s="8" t="s">
        <v>49029</v>
      </c>
      <c r="Q11599" s="8">
        <f>+(40+46/60+31/3600)</f>
        <v>40.775277777777774</v>
      </c>
      <c r="R11599" s="8">
        <v>14.4</v>
      </c>
      <c r="S11599" s="8">
        <v>15.4</v>
      </c>
      <c r="T11599" s="8">
        <v>1</v>
      </c>
      <c r="U11599" s="8">
        <v>12.5</v>
      </c>
      <c r="V11599" s="8">
        <v>0.4</v>
      </c>
      <c r="W11599" s="8">
        <v>0.4</v>
      </c>
      <c r="Y11599" s="8" t="s">
        <v>49030</v>
      </c>
      <c r="Z11599" s="8" t="s">
        <v>49031</v>
      </c>
    </row>
    <row r="11600" spans="1:26" x14ac:dyDescent="0.2">
      <c r="A11600" s="8">
        <v>11599</v>
      </c>
      <c r="B11600" s="8" t="s">
        <v>49032</v>
      </c>
      <c r="C11600" s="8" t="s">
        <v>49032</v>
      </c>
      <c r="G11600" s="8">
        <v>20</v>
      </c>
      <c r="H11600" s="8" t="s">
        <v>21</v>
      </c>
      <c r="I11600" s="8" t="s">
        <v>22</v>
      </c>
      <c r="J11600" s="8" t="s">
        <v>22</v>
      </c>
      <c r="K11600" s="8" t="s">
        <v>449</v>
      </c>
      <c r="L11600" s="8" t="s">
        <v>18289</v>
      </c>
      <c r="M11600" s="8" t="s">
        <v>18290</v>
      </c>
      <c r="N11600" s="8" t="s">
        <v>49033</v>
      </c>
      <c r="O11600" s="8">
        <f>12+46/60+17.7/3600</f>
        <v>12.771583333333334</v>
      </c>
      <c r="P11600" s="8" t="s">
        <v>49034</v>
      </c>
      <c r="Q11600" s="8">
        <f>+(20+47/60+0/3600)</f>
        <v>20.783333333333335</v>
      </c>
      <c r="R11600" s="8">
        <v>15</v>
      </c>
      <c r="S11600" s="8">
        <v>15.8</v>
      </c>
      <c r="T11600" s="8">
        <v>0.8</v>
      </c>
      <c r="U11600" s="8">
        <v>12.7</v>
      </c>
      <c r="V11600" s="8">
        <v>0.7</v>
      </c>
      <c r="W11600" s="8">
        <v>0.2</v>
      </c>
      <c r="X11600" s="8">
        <v>160</v>
      </c>
      <c r="Y11600" s="8" t="s">
        <v>21</v>
      </c>
      <c r="Z11600" s="8" t="s">
        <v>49035</v>
      </c>
    </row>
    <row r="11601" spans="1:26" x14ac:dyDescent="0.2">
      <c r="A11601" s="8">
        <v>11600</v>
      </c>
      <c r="B11601" s="8" t="s">
        <v>49036</v>
      </c>
      <c r="C11601" s="8" t="s">
        <v>49036</v>
      </c>
      <c r="G11601" s="8">
        <v>20</v>
      </c>
      <c r="H11601" s="8" t="s">
        <v>21</v>
      </c>
      <c r="I11601" s="8" t="s">
        <v>22</v>
      </c>
      <c r="J11601" s="8" t="s">
        <v>22</v>
      </c>
      <c r="K11601" s="8" t="s">
        <v>37</v>
      </c>
      <c r="L11601" s="8" t="s">
        <v>17287</v>
      </c>
      <c r="M11601" s="8" t="s">
        <v>17288</v>
      </c>
      <c r="N11601" s="8" t="s">
        <v>49037</v>
      </c>
      <c r="O11601" s="8">
        <f>12+46/60+18.2/3600</f>
        <v>12.771722222222223</v>
      </c>
      <c r="P11601" s="8" t="s">
        <v>49038</v>
      </c>
      <c r="Q11601" s="8">
        <f>+(11+52/60+26/3600)</f>
        <v>11.873888888888889</v>
      </c>
      <c r="R11601" s="8">
        <v>14.7</v>
      </c>
      <c r="S11601" s="8">
        <v>15.5</v>
      </c>
      <c r="T11601" s="8">
        <v>0.8</v>
      </c>
      <c r="U11601" s="8">
        <v>11.5</v>
      </c>
      <c r="V11601" s="8">
        <v>0.3</v>
      </c>
      <c r="W11601" s="8">
        <v>0.2</v>
      </c>
      <c r="X11601" s="8">
        <v>100</v>
      </c>
      <c r="Y11601" s="8" t="s">
        <v>46310</v>
      </c>
      <c r="Z11601" s="8" t="s">
        <v>46311</v>
      </c>
    </row>
    <row r="11602" spans="1:26" x14ac:dyDescent="0.2">
      <c r="A11602" s="8">
        <v>11601</v>
      </c>
      <c r="B11602" s="8" t="s">
        <v>49039</v>
      </c>
      <c r="C11602" s="8" t="s">
        <v>49039</v>
      </c>
      <c r="G11602" s="8">
        <v>20</v>
      </c>
      <c r="H11602" s="8" t="s">
        <v>21</v>
      </c>
      <c r="I11602" s="8" t="s">
        <v>22</v>
      </c>
      <c r="J11602" s="8" t="s">
        <v>22</v>
      </c>
      <c r="K11602" s="8" t="s">
        <v>382</v>
      </c>
      <c r="L11602" s="8" t="s">
        <v>18289</v>
      </c>
      <c r="M11602" s="8" t="s">
        <v>18290</v>
      </c>
      <c r="N11602" s="8" t="s">
        <v>49040</v>
      </c>
      <c r="O11602" s="8">
        <f>12+46/60+27.2/3600</f>
        <v>12.774222222222223</v>
      </c>
      <c r="P11602" s="8" t="s">
        <v>49041</v>
      </c>
      <c r="Q11602" s="8">
        <f>+(20+17/60+23/3600)</f>
        <v>20.289722222222224</v>
      </c>
      <c r="R11602" s="8">
        <v>16.7</v>
      </c>
      <c r="S11602" s="8">
        <v>17.7</v>
      </c>
      <c r="T11602" s="8">
        <v>1</v>
      </c>
      <c r="U11602" s="8">
        <v>13.7</v>
      </c>
      <c r="V11602" s="8">
        <v>0.3</v>
      </c>
      <c r="W11602" s="8">
        <v>0.2</v>
      </c>
      <c r="X11602" s="8">
        <v>70</v>
      </c>
      <c r="Y11602" s="8" t="s">
        <v>49042</v>
      </c>
      <c r="Z11602" s="8" t="s">
        <v>49043</v>
      </c>
    </row>
    <row r="11603" spans="1:26" x14ac:dyDescent="0.2">
      <c r="A11603" s="8">
        <v>11602</v>
      </c>
      <c r="B11603" s="8" t="s">
        <v>49044</v>
      </c>
      <c r="C11603" s="8" t="s">
        <v>49044</v>
      </c>
      <c r="G11603" s="8">
        <v>20</v>
      </c>
      <c r="H11603" s="8" t="s">
        <v>21</v>
      </c>
      <c r="I11603" s="8" t="s">
        <v>22</v>
      </c>
      <c r="J11603" s="8" t="s">
        <v>22</v>
      </c>
      <c r="K11603" s="8" t="s">
        <v>1068</v>
      </c>
      <c r="L11603" s="8" t="s">
        <v>18289</v>
      </c>
      <c r="M11603" s="8" t="s">
        <v>18290</v>
      </c>
      <c r="N11603" s="8" t="s">
        <v>49045</v>
      </c>
      <c r="O11603" s="8">
        <f>12+46/60+37.6/3600</f>
        <v>12.777111111111111</v>
      </c>
      <c r="P11603" s="8" t="s">
        <v>49046</v>
      </c>
      <c r="Q11603" s="8">
        <f>+(22+14/60+49/3600)</f>
        <v>22.246944444444445</v>
      </c>
      <c r="R11603" s="8">
        <v>16.5</v>
      </c>
      <c r="S11603" s="8">
        <v>17.5</v>
      </c>
      <c r="T11603" s="8">
        <v>1</v>
      </c>
      <c r="U11603" s="8">
        <v>12.3</v>
      </c>
      <c r="V11603" s="8">
        <v>0.2</v>
      </c>
      <c r="W11603" s="8">
        <v>0.1</v>
      </c>
      <c r="X11603" s="8">
        <v>40</v>
      </c>
      <c r="Y11603" s="8" t="s">
        <v>21</v>
      </c>
      <c r="Z11603" s="8" t="s">
        <v>49047</v>
      </c>
    </row>
    <row r="11604" spans="1:26" x14ac:dyDescent="0.2">
      <c r="A11604" s="8">
        <v>11603</v>
      </c>
      <c r="B11604" s="8" t="s">
        <v>49048</v>
      </c>
      <c r="C11604" s="8" t="s">
        <v>49048</v>
      </c>
      <c r="G11604" s="8">
        <v>20</v>
      </c>
      <c r="H11604" s="8" t="s">
        <v>21</v>
      </c>
      <c r="I11604" s="8" t="s">
        <v>22</v>
      </c>
      <c r="J11604" s="8" t="s">
        <v>22</v>
      </c>
      <c r="K11604" s="8" t="s">
        <v>476</v>
      </c>
      <c r="L11604" s="8" t="s">
        <v>18289</v>
      </c>
      <c r="M11604" s="8" t="s">
        <v>18290</v>
      </c>
      <c r="N11604" s="8" t="s">
        <v>49049</v>
      </c>
      <c r="O11604" s="8">
        <f>12+46/60+45.9/3600</f>
        <v>12.779416666666668</v>
      </c>
      <c r="P11604" s="8" t="s">
        <v>49050</v>
      </c>
      <c r="Q11604" s="8">
        <f>+(21+59/60+6/3600)</f>
        <v>21.984999999999999</v>
      </c>
      <c r="R11604" s="8">
        <v>16.2</v>
      </c>
      <c r="S11604" s="8">
        <v>17</v>
      </c>
      <c r="T11604" s="8">
        <v>0.8</v>
      </c>
      <c r="U11604" s="8">
        <v>14.1</v>
      </c>
      <c r="V11604" s="8">
        <v>0.4</v>
      </c>
      <c r="W11604" s="8">
        <v>0.4</v>
      </c>
      <c r="Y11604" s="8" t="s">
        <v>22305</v>
      </c>
      <c r="Z11604" s="8" t="s">
        <v>22306</v>
      </c>
    </row>
    <row r="11605" spans="1:26" x14ac:dyDescent="0.2">
      <c r="A11605" s="8">
        <v>11604</v>
      </c>
      <c r="B11605" s="8" t="s">
        <v>49051</v>
      </c>
      <c r="C11605" s="8" t="s">
        <v>49051</v>
      </c>
      <c r="G11605" s="8">
        <v>20</v>
      </c>
      <c r="H11605" s="8" t="s">
        <v>21</v>
      </c>
      <c r="I11605" s="8" t="s">
        <v>22</v>
      </c>
      <c r="J11605" s="8" t="s">
        <v>57</v>
      </c>
      <c r="K11605" s="8" t="s">
        <v>58</v>
      </c>
      <c r="L11605" s="8" t="s">
        <v>17287</v>
      </c>
      <c r="M11605" s="8" t="s">
        <v>17288</v>
      </c>
      <c r="N11605" s="8" t="s">
        <v>37910</v>
      </c>
      <c r="O11605" s="8">
        <f>12+46/60+56.7/3600</f>
        <v>12.782416666666668</v>
      </c>
      <c r="P11605" s="8" t="s">
        <v>37911</v>
      </c>
      <c r="Q11605" s="8">
        <f>+(9+51/60+28/3600)</f>
        <v>9.8577777777777769</v>
      </c>
      <c r="R11605" s="8">
        <v>13.9</v>
      </c>
      <c r="S11605" s="8">
        <v>14.9</v>
      </c>
      <c r="T11605" s="8">
        <v>1</v>
      </c>
      <c r="U11605" s="8">
        <v>12.7</v>
      </c>
      <c r="V11605" s="8">
        <v>0.6</v>
      </c>
      <c r="W11605" s="8">
        <v>0.5</v>
      </c>
      <c r="Y11605" s="8" t="s">
        <v>20741</v>
      </c>
      <c r="Z11605" s="8" t="s">
        <v>20742</v>
      </c>
    </row>
    <row r="11606" spans="1:26" x14ac:dyDescent="0.2">
      <c r="A11606" s="8">
        <v>11605</v>
      </c>
      <c r="B11606" s="8" t="s">
        <v>49052</v>
      </c>
      <c r="C11606" s="8" t="s">
        <v>49052</v>
      </c>
      <c r="G11606" s="8">
        <v>20</v>
      </c>
      <c r="H11606" s="8" t="s">
        <v>21</v>
      </c>
      <c r="I11606" s="8" t="s">
        <v>72</v>
      </c>
      <c r="J11606" s="8" t="s">
        <v>72</v>
      </c>
      <c r="K11606" s="8" t="s">
        <v>20</v>
      </c>
      <c r="L11606" s="8" t="s">
        <v>18681</v>
      </c>
      <c r="M11606" s="8" t="s">
        <v>18682</v>
      </c>
      <c r="N11606" s="8" t="s">
        <v>49053</v>
      </c>
      <c r="O11606" s="8">
        <f>12+46/60+35.1/3600</f>
        <v>12.776416666666668</v>
      </c>
      <c r="P11606" s="8" t="s">
        <v>49054</v>
      </c>
      <c r="Q11606" s="8">
        <f>+(38+34/60+26/3600)</f>
        <v>38.573888888888895</v>
      </c>
      <c r="R11606" s="8">
        <v>99</v>
      </c>
      <c r="S11606" s="8">
        <v>15.1</v>
      </c>
      <c r="T11606" s="8">
        <v>99</v>
      </c>
      <c r="U11606" s="8">
        <v>99</v>
      </c>
      <c r="Y11606" s="8" t="s">
        <v>45158</v>
      </c>
      <c r="Z11606" s="8" t="s">
        <v>45159</v>
      </c>
    </row>
    <row r="11607" spans="1:26" x14ac:dyDescent="0.2">
      <c r="A11607" s="8">
        <v>11606</v>
      </c>
      <c r="B11607" s="8" t="s">
        <v>49055</v>
      </c>
      <c r="C11607" s="8" t="s">
        <v>49055</v>
      </c>
      <c r="G11607" s="8">
        <v>20</v>
      </c>
      <c r="H11607" s="8" t="s">
        <v>21</v>
      </c>
      <c r="I11607" s="8" t="s">
        <v>22</v>
      </c>
      <c r="J11607" s="8" t="s">
        <v>22</v>
      </c>
      <c r="K11607" s="8" t="s">
        <v>424</v>
      </c>
      <c r="L11607" s="8" t="s">
        <v>18289</v>
      </c>
      <c r="M11607" s="8" t="s">
        <v>18290</v>
      </c>
      <c r="N11607" s="8" t="s">
        <v>49056</v>
      </c>
      <c r="O11607" s="8">
        <f>12+46/60+53.4/3600</f>
        <v>12.781500000000001</v>
      </c>
      <c r="P11607" s="8" t="s">
        <v>49057</v>
      </c>
      <c r="Q11607" s="8">
        <f>+(19+6/60+40/3600)</f>
        <v>19.111111111111114</v>
      </c>
      <c r="R11607" s="8">
        <v>16.399999999999999</v>
      </c>
      <c r="S11607" s="8">
        <v>17.399999999999999</v>
      </c>
      <c r="T11607" s="8">
        <v>1</v>
      </c>
      <c r="U11607" s="8">
        <v>12.8</v>
      </c>
      <c r="V11607" s="8">
        <v>0.2</v>
      </c>
      <c r="W11607" s="8">
        <v>0.2</v>
      </c>
      <c r="Y11607" s="8" t="s">
        <v>115</v>
      </c>
      <c r="Z11607" s="8" t="s">
        <v>116</v>
      </c>
    </row>
    <row r="11608" spans="1:26" x14ac:dyDescent="0.2">
      <c r="A11608" s="8">
        <v>11607</v>
      </c>
      <c r="B11608" s="8" t="s">
        <v>49058</v>
      </c>
      <c r="C11608" s="8" t="s">
        <v>49058</v>
      </c>
      <c r="G11608" s="8">
        <v>20</v>
      </c>
      <c r="H11608" s="8" t="s">
        <v>21</v>
      </c>
      <c r="I11608" s="8" t="s">
        <v>22</v>
      </c>
      <c r="J11608" s="8" t="s">
        <v>22</v>
      </c>
      <c r="K11608" s="8" t="s">
        <v>818</v>
      </c>
      <c r="L11608" s="8" t="s">
        <v>17287</v>
      </c>
      <c r="M11608" s="8" t="s">
        <v>17288</v>
      </c>
      <c r="N11608" s="8" t="s">
        <v>49059</v>
      </c>
      <c r="O11608" s="8">
        <f>12+46/60+55.5/3600</f>
        <v>12.782083333333334</v>
      </c>
      <c r="P11608" s="8" t="s">
        <v>49060</v>
      </c>
      <c r="Q11608" s="8">
        <f>+(10+10/60+55/3600)</f>
        <v>10.181944444444444</v>
      </c>
      <c r="R11608" s="8">
        <v>15.2</v>
      </c>
      <c r="S11608" s="8">
        <v>16.2</v>
      </c>
      <c r="T11608" s="8">
        <v>1</v>
      </c>
      <c r="U11608" s="8">
        <v>13</v>
      </c>
      <c r="V11608" s="8">
        <v>0.6</v>
      </c>
      <c r="W11608" s="8">
        <v>0.2</v>
      </c>
      <c r="X11608" s="8">
        <v>80</v>
      </c>
      <c r="Y11608" s="8" t="s">
        <v>49061</v>
      </c>
      <c r="Z11608" s="8" t="s">
        <v>49062</v>
      </c>
    </row>
    <row r="11609" spans="1:26" x14ac:dyDescent="0.2">
      <c r="A11609" s="8">
        <v>11608</v>
      </c>
      <c r="B11609" s="8" t="s">
        <v>49063</v>
      </c>
      <c r="C11609" s="8" t="s">
        <v>49063</v>
      </c>
      <c r="G11609" s="8">
        <v>20</v>
      </c>
      <c r="H11609" s="8" t="s">
        <v>21</v>
      </c>
      <c r="I11609" s="8" t="s">
        <v>72</v>
      </c>
      <c r="J11609" s="8" t="s">
        <v>72</v>
      </c>
      <c r="K11609" s="8" t="s">
        <v>20</v>
      </c>
      <c r="L11609" s="8" t="s">
        <v>18681</v>
      </c>
      <c r="M11609" s="8" t="s">
        <v>18682</v>
      </c>
      <c r="N11609" s="8" t="s">
        <v>49064</v>
      </c>
      <c r="O11609" s="8">
        <f>12+46/60+40.7/3600</f>
        <v>12.777972222222223</v>
      </c>
      <c r="P11609" s="8" t="s">
        <v>49065</v>
      </c>
      <c r="Q11609" s="8">
        <f>+(40+35/60+51/3600)</f>
        <v>40.597500000000004</v>
      </c>
      <c r="R11609" s="8">
        <v>99</v>
      </c>
      <c r="S11609" s="8">
        <v>99</v>
      </c>
      <c r="T11609" s="8">
        <v>99</v>
      </c>
      <c r="U11609" s="8">
        <v>99</v>
      </c>
      <c r="Y11609" s="8" t="s">
        <v>45158</v>
      </c>
      <c r="Z11609" s="8" t="s">
        <v>45159</v>
      </c>
    </row>
    <row r="11610" spans="1:26" x14ac:dyDescent="0.2">
      <c r="A11610" s="8">
        <v>11609</v>
      </c>
      <c r="B11610" s="8" t="s">
        <v>49066</v>
      </c>
      <c r="C11610" s="8" t="s">
        <v>49066</v>
      </c>
      <c r="G11610" s="8">
        <v>20</v>
      </c>
      <c r="H11610" s="8" t="s">
        <v>21</v>
      </c>
      <c r="I11610" s="8" t="s">
        <v>72</v>
      </c>
      <c r="J11610" s="8" t="s">
        <v>72</v>
      </c>
      <c r="K11610" s="8" t="s">
        <v>20</v>
      </c>
      <c r="L11610" s="8" t="s">
        <v>18681</v>
      </c>
      <c r="M11610" s="8" t="s">
        <v>18682</v>
      </c>
      <c r="N11610" s="8" t="s">
        <v>49067</v>
      </c>
      <c r="O11610" s="8">
        <f>12+46/60+48/3600</f>
        <v>12.780000000000001</v>
      </c>
      <c r="P11610" s="8" t="s">
        <v>49068</v>
      </c>
      <c r="Q11610" s="8">
        <f>+(40+28/60+13/3600)</f>
        <v>40.470277777777781</v>
      </c>
      <c r="R11610" s="8">
        <v>99</v>
      </c>
      <c r="S11610" s="8">
        <v>99</v>
      </c>
      <c r="T11610" s="8">
        <v>99</v>
      </c>
      <c r="U11610" s="8">
        <v>99</v>
      </c>
      <c r="Y11610" s="8" t="s">
        <v>45514</v>
      </c>
      <c r="Z11610" s="8" t="s">
        <v>45515</v>
      </c>
    </row>
    <row r="11611" spans="1:26" x14ac:dyDescent="0.2">
      <c r="A11611" s="8">
        <v>11610</v>
      </c>
      <c r="B11611" s="8" t="s">
        <v>49069</v>
      </c>
      <c r="C11611" s="8" t="s">
        <v>49069</v>
      </c>
      <c r="G11611" s="8">
        <v>20</v>
      </c>
      <c r="H11611" s="8" t="s">
        <v>21</v>
      </c>
      <c r="I11611" s="8" t="s">
        <v>329</v>
      </c>
      <c r="J11611" s="8" t="s">
        <v>329</v>
      </c>
      <c r="K11611" s="8" t="s">
        <v>329</v>
      </c>
      <c r="L11611" s="8" t="s">
        <v>17287</v>
      </c>
      <c r="M11611" s="8" t="s">
        <v>17288</v>
      </c>
      <c r="N11611" s="8" t="s">
        <v>49070</v>
      </c>
      <c r="O11611" s="8">
        <f>12+47/60+15.6/3600</f>
        <v>12.787666666666667</v>
      </c>
      <c r="P11611" s="8" t="s">
        <v>49071</v>
      </c>
      <c r="Q11611" s="8">
        <f>+(9+12/60+0/3600)</f>
        <v>9.1999999999999993</v>
      </c>
      <c r="R11611" s="8">
        <v>99</v>
      </c>
      <c r="S11611" s="8">
        <v>99</v>
      </c>
      <c r="T11611" s="8">
        <v>99</v>
      </c>
      <c r="U11611" s="8">
        <v>99</v>
      </c>
      <c r="Y11611" s="8" t="s">
        <v>49072</v>
      </c>
      <c r="Z11611" s="8" t="s">
        <v>49073</v>
      </c>
    </row>
    <row r="11612" spans="1:26" x14ac:dyDescent="0.2">
      <c r="A11612" s="8">
        <v>11611</v>
      </c>
      <c r="B11612" s="8" t="s">
        <v>49074</v>
      </c>
      <c r="C11612" s="8" t="s">
        <v>49074</v>
      </c>
      <c r="G11612" s="8">
        <v>20</v>
      </c>
      <c r="H11612" s="8" t="s">
        <v>21</v>
      </c>
      <c r="I11612" s="8" t="s">
        <v>22</v>
      </c>
      <c r="J11612" s="8" t="s">
        <v>22</v>
      </c>
      <c r="K11612" s="8" t="s">
        <v>382</v>
      </c>
      <c r="L11612" s="8" t="s">
        <v>18681</v>
      </c>
      <c r="M11612" s="8" t="s">
        <v>18682</v>
      </c>
      <c r="N11612" s="8" t="s">
        <v>49075</v>
      </c>
      <c r="O11612" s="8">
        <f>12+46/60+52.6/3600</f>
        <v>12.781277777777779</v>
      </c>
      <c r="P11612" s="8" t="s">
        <v>49076</v>
      </c>
      <c r="Q11612" s="8">
        <f>+(39+10/60+25/3600)</f>
        <v>39.173611111111107</v>
      </c>
      <c r="R11612" s="8">
        <v>15.7</v>
      </c>
      <c r="S11612" s="8">
        <v>16.7</v>
      </c>
      <c r="T11612" s="8">
        <v>1</v>
      </c>
      <c r="U11612" s="8">
        <v>12.7</v>
      </c>
      <c r="V11612" s="8">
        <v>0.3</v>
      </c>
      <c r="W11612" s="8">
        <v>0.2</v>
      </c>
      <c r="X11612" s="8">
        <v>70</v>
      </c>
      <c r="Y11612" s="8" t="s">
        <v>17508</v>
      </c>
      <c r="Z11612" s="8" t="s">
        <v>17509</v>
      </c>
    </row>
    <row r="11613" spans="1:26" x14ac:dyDescent="0.2">
      <c r="A11613" s="8">
        <v>11612</v>
      </c>
      <c r="B11613" s="8" t="s">
        <v>49077</v>
      </c>
      <c r="C11613" s="8" t="s">
        <v>49077</v>
      </c>
      <c r="G11613" s="8">
        <v>20</v>
      </c>
      <c r="H11613" s="8" t="s">
        <v>21</v>
      </c>
      <c r="I11613" s="8" t="s">
        <v>22</v>
      </c>
      <c r="J11613" s="8" t="s">
        <v>22</v>
      </c>
      <c r="K11613" s="8" t="s">
        <v>1445</v>
      </c>
      <c r="L11613" s="8" t="s">
        <v>18681</v>
      </c>
      <c r="M11613" s="8" t="s">
        <v>18682</v>
      </c>
      <c r="N11613" s="8" t="s">
        <v>49078</v>
      </c>
      <c r="O11613" s="8">
        <f>12+46/60+56.1/3600</f>
        <v>12.782250000000001</v>
      </c>
      <c r="P11613" s="8" t="s">
        <v>49079</v>
      </c>
      <c r="Q11613" s="8">
        <f>+(36+31/60+52/3600)</f>
        <v>36.531111111111109</v>
      </c>
      <c r="R11613" s="8">
        <v>14.8</v>
      </c>
      <c r="S11613" s="8">
        <v>15.6</v>
      </c>
      <c r="T11613" s="8">
        <v>0.8</v>
      </c>
      <c r="U11613" s="8">
        <v>13.3</v>
      </c>
      <c r="V11613" s="8">
        <v>0.7</v>
      </c>
      <c r="W11613" s="8">
        <v>0.4</v>
      </c>
      <c r="X11613" s="8">
        <v>75</v>
      </c>
      <c r="Y11613" s="8" t="s">
        <v>49080</v>
      </c>
      <c r="Z11613" s="8" t="s">
        <v>49081</v>
      </c>
    </row>
    <row r="11614" spans="1:26" x14ac:dyDescent="0.2">
      <c r="A11614" s="8">
        <v>11613</v>
      </c>
      <c r="B11614" s="8" t="s">
        <v>49082</v>
      </c>
      <c r="C11614" s="8" t="s">
        <v>49082</v>
      </c>
      <c r="G11614" s="8">
        <v>20</v>
      </c>
      <c r="H11614" s="8" t="s">
        <v>21</v>
      </c>
      <c r="I11614" s="8" t="s">
        <v>22</v>
      </c>
      <c r="J11614" s="8" t="s">
        <v>22</v>
      </c>
      <c r="K11614" s="8" t="s">
        <v>3850</v>
      </c>
      <c r="L11614" s="8" t="s">
        <v>17287</v>
      </c>
      <c r="M11614" s="8" t="s">
        <v>17288</v>
      </c>
      <c r="N11614" s="8" t="s">
        <v>49083</v>
      </c>
      <c r="O11614" s="8">
        <f>12+47/60+15.2/3600</f>
        <v>12.787555555555555</v>
      </c>
      <c r="P11614" s="8" t="s">
        <v>49084</v>
      </c>
      <c r="Q11614" s="8">
        <f>+(10+12/60+12/3600)</f>
        <v>10.203333333333333</v>
      </c>
      <c r="R11614" s="8">
        <v>12.9</v>
      </c>
      <c r="S11614" s="8">
        <v>13.9</v>
      </c>
      <c r="T11614" s="8">
        <v>1</v>
      </c>
      <c r="U11614" s="8">
        <v>13.3</v>
      </c>
      <c r="V11614" s="8">
        <v>1.9</v>
      </c>
      <c r="W11614" s="8">
        <v>0.7</v>
      </c>
      <c r="X11614" s="8">
        <v>20</v>
      </c>
      <c r="Y11614" s="8" t="s">
        <v>427</v>
      </c>
      <c r="Z11614" s="8" t="s">
        <v>428</v>
      </c>
    </row>
    <row r="11615" spans="1:26" x14ac:dyDescent="0.2">
      <c r="A11615" s="8">
        <v>11614</v>
      </c>
      <c r="B11615" s="8" t="s">
        <v>49085</v>
      </c>
      <c r="C11615" s="8" t="s">
        <v>49085</v>
      </c>
      <c r="G11615" s="8">
        <v>20</v>
      </c>
      <c r="H11615" s="8" t="s">
        <v>21</v>
      </c>
      <c r="I11615" s="8" t="s">
        <v>22</v>
      </c>
      <c r="J11615" s="8" t="s">
        <v>22</v>
      </c>
      <c r="K11615" s="8" t="s">
        <v>449</v>
      </c>
      <c r="L11615" s="8" t="s">
        <v>18681</v>
      </c>
      <c r="M11615" s="8" t="s">
        <v>18682</v>
      </c>
      <c r="N11615" s="8" t="s">
        <v>49086</v>
      </c>
      <c r="O11615" s="8">
        <f>12+47/60+1/3600</f>
        <v>12.78361111111111</v>
      </c>
      <c r="P11615" s="8" t="s">
        <v>49087</v>
      </c>
      <c r="Q11615" s="8">
        <f>+(36+17/60+17/3600)</f>
        <v>36.288055555555552</v>
      </c>
      <c r="R11615" s="8">
        <v>15.7</v>
      </c>
      <c r="S11615" s="8">
        <v>16.5</v>
      </c>
      <c r="T11615" s="8">
        <v>0.8</v>
      </c>
      <c r="U11615" s="8">
        <v>14.4</v>
      </c>
      <c r="V11615" s="8">
        <v>0.9</v>
      </c>
      <c r="W11615" s="8">
        <v>0.4</v>
      </c>
      <c r="X11615" s="8">
        <v>110</v>
      </c>
      <c r="Y11615" s="8" t="s">
        <v>49088</v>
      </c>
      <c r="Z11615" s="8" t="s">
        <v>49089</v>
      </c>
    </row>
    <row r="11616" spans="1:26" x14ac:dyDescent="0.2">
      <c r="A11616" s="8">
        <v>11615</v>
      </c>
      <c r="B11616" s="8" t="s">
        <v>49090</v>
      </c>
      <c r="C11616" s="8" t="s">
        <v>49090</v>
      </c>
      <c r="G11616" s="8">
        <v>20</v>
      </c>
      <c r="H11616" s="8" t="s">
        <v>21</v>
      </c>
      <c r="I11616" s="8" t="s">
        <v>22</v>
      </c>
      <c r="J11616" s="8" t="s">
        <v>22</v>
      </c>
      <c r="K11616" s="8" t="s">
        <v>579</v>
      </c>
      <c r="L11616" s="8" t="s">
        <v>17287</v>
      </c>
      <c r="M11616" s="8" t="s">
        <v>17288</v>
      </c>
      <c r="N11616" s="8" t="s">
        <v>49091</v>
      </c>
      <c r="O11616" s="8">
        <f>12+47/60+16.1/3600</f>
        <v>12.787805555555556</v>
      </c>
      <c r="P11616" s="8" t="s">
        <v>49092</v>
      </c>
      <c r="Q11616" s="8">
        <f>+(11+45/60+37/3600)</f>
        <v>11.760277777777778</v>
      </c>
      <c r="R11616" s="8">
        <v>15.7</v>
      </c>
      <c r="S11616" s="8">
        <v>16.399999999999999</v>
      </c>
      <c r="T11616" s="8">
        <v>0.7</v>
      </c>
      <c r="U11616" s="8">
        <v>14.1</v>
      </c>
      <c r="V11616" s="8">
        <v>0.9</v>
      </c>
      <c r="W11616" s="8">
        <v>0.3</v>
      </c>
      <c r="X11616" s="8">
        <v>54</v>
      </c>
      <c r="Y11616" s="8" t="s">
        <v>49061</v>
      </c>
      <c r="Z11616" s="8" t="s">
        <v>49062</v>
      </c>
    </row>
    <row r="11617" spans="1:26" x14ac:dyDescent="0.2">
      <c r="A11617" s="8">
        <v>11616</v>
      </c>
      <c r="B11617" s="8" t="s">
        <v>49093</v>
      </c>
      <c r="C11617" s="8" t="s">
        <v>49093</v>
      </c>
      <c r="G11617" s="8">
        <v>20</v>
      </c>
      <c r="H11617" s="8" t="s">
        <v>21</v>
      </c>
      <c r="I11617" s="8" t="s">
        <v>22</v>
      </c>
      <c r="J11617" s="8" t="s">
        <v>22</v>
      </c>
      <c r="K11617" s="8" t="s">
        <v>476</v>
      </c>
      <c r="L11617" s="8" t="s">
        <v>18289</v>
      </c>
      <c r="M11617" s="8" t="s">
        <v>18290</v>
      </c>
      <c r="N11617" s="8" t="s">
        <v>49094</v>
      </c>
      <c r="O11617" s="8">
        <f>12+47/60+12.1/3600</f>
        <v>12.786694444444445</v>
      </c>
      <c r="P11617" s="8" t="s">
        <v>49095</v>
      </c>
      <c r="Q11617" s="8">
        <f>+(22+29/60+3/3600)</f>
        <v>22.484166666666667</v>
      </c>
      <c r="R11617" s="8">
        <v>16</v>
      </c>
      <c r="S11617" s="8">
        <v>16.8</v>
      </c>
      <c r="T11617" s="8">
        <v>0.8</v>
      </c>
      <c r="U11617" s="8">
        <v>13.8</v>
      </c>
      <c r="V11617" s="8">
        <v>0.5</v>
      </c>
      <c r="W11617" s="8">
        <v>0.3</v>
      </c>
      <c r="X11617" s="8">
        <v>30</v>
      </c>
      <c r="Y11617" s="8" t="s">
        <v>22305</v>
      </c>
      <c r="Z11617" s="8" t="s">
        <v>22306</v>
      </c>
    </row>
    <row r="11618" spans="1:26" x14ac:dyDescent="0.2">
      <c r="A11618" s="8">
        <v>11617</v>
      </c>
      <c r="B11618" s="8" t="s">
        <v>49096</v>
      </c>
      <c r="C11618" s="8" t="s">
        <v>49096</v>
      </c>
      <c r="G11618" s="8">
        <v>20</v>
      </c>
      <c r="H11618" s="8" t="s">
        <v>21</v>
      </c>
      <c r="I11618" s="8" t="s">
        <v>72</v>
      </c>
      <c r="J11618" s="8" t="s">
        <v>72</v>
      </c>
      <c r="K11618" s="8" t="s">
        <v>20</v>
      </c>
      <c r="L11618" s="8" t="s">
        <v>17287</v>
      </c>
      <c r="M11618" s="8" t="s">
        <v>17288</v>
      </c>
      <c r="N11618" s="8" t="s">
        <v>49097</v>
      </c>
      <c r="O11618" s="8">
        <f>12+47/60+25.4/3600</f>
        <v>12.790388888888888</v>
      </c>
      <c r="P11618" s="8" t="s">
        <v>49098</v>
      </c>
      <c r="Q11618" s="8">
        <f>+(9+8/60+37/3600)</f>
        <v>9.1436111111111114</v>
      </c>
      <c r="R11618" s="8">
        <v>99</v>
      </c>
      <c r="S11618" s="8">
        <v>14.8</v>
      </c>
      <c r="T11618" s="8">
        <v>99</v>
      </c>
      <c r="U11618" s="8">
        <v>99</v>
      </c>
      <c r="Y11618" s="8" t="s">
        <v>4065</v>
      </c>
      <c r="Z11618" s="8" t="s">
        <v>4066</v>
      </c>
    </row>
    <row r="11619" spans="1:26" x14ac:dyDescent="0.2">
      <c r="A11619" s="8">
        <v>11618</v>
      </c>
      <c r="B11619" s="8" t="s">
        <v>49099</v>
      </c>
      <c r="C11619" s="8" t="s">
        <v>49099</v>
      </c>
      <c r="G11619" s="8">
        <v>20</v>
      </c>
      <c r="H11619" s="8" t="s">
        <v>21</v>
      </c>
      <c r="I11619" s="8" t="s">
        <v>22</v>
      </c>
      <c r="J11619" s="8" t="s">
        <v>22</v>
      </c>
      <c r="K11619" s="8" t="s">
        <v>382</v>
      </c>
      <c r="L11619" s="8" t="s">
        <v>18681</v>
      </c>
      <c r="M11619" s="8" t="s">
        <v>18682</v>
      </c>
      <c r="N11619" s="8" t="s">
        <v>49100</v>
      </c>
      <c r="O11619" s="8">
        <f>12+47/60+1.9/3600</f>
        <v>12.783861111111111</v>
      </c>
      <c r="P11619" s="8" t="s">
        <v>49101</v>
      </c>
      <c r="Q11619" s="8">
        <f>+(40+35/60+49/3600)</f>
        <v>40.596944444444446</v>
      </c>
      <c r="R11619" s="8">
        <v>14.5</v>
      </c>
      <c r="S11619" s="8">
        <v>15.5</v>
      </c>
      <c r="T11619" s="8">
        <v>1</v>
      </c>
      <c r="U11619" s="8">
        <v>12.3</v>
      </c>
      <c r="V11619" s="8">
        <v>0.4</v>
      </c>
      <c r="W11619" s="8">
        <v>0.3</v>
      </c>
      <c r="X11619" s="8">
        <v>35</v>
      </c>
      <c r="Y11619" s="8" t="s">
        <v>3034</v>
      </c>
      <c r="Z11619" s="8" t="s">
        <v>1899</v>
      </c>
    </row>
    <row r="11620" spans="1:26" x14ac:dyDescent="0.2">
      <c r="A11620" s="8">
        <v>11619</v>
      </c>
      <c r="B11620" s="8" t="s">
        <v>49102</v>
      </c>
      <c r="C11620" s="8" t="s">
        <v>49102</v>
      </c>
      <c r="G11620" s="8">
        <v>20</v>
      </c>
      <c r="H11620" s="8" t="s">
        <v>21</v>
      </c>
      <c r="I11620" s="8" t="s">
        <v>22</v>
      </c>
      <c r="J11620" s="8" t="s">
        <v>22</v>
      </c>
      <c r="K11620" s="8" t="s">
        <v>818</v>
      </c>
      <c r="L11620" s="8" t="s">
        <v>17287</v>
      </c>
      <c r="M11620" s="8" t="s">
        <v>17288</v>
      </c>
      <c r="N11620" s="8" t="s">
        <v>49103</v>
      </c>
      <c r="O11620" s="8">
        <f>12+47/60+20.6/3600</f>
        <v>12.789055555555555</v>
      </c>
      <c r="P11620" s="8" t="s">
        <v>49104</v>
      </c>
      <c r="Q11620" s="8">
        <f>+(12+9/60+58/3600)</f>
        <v>12.166111111111112</v>
      </c>
      <c r="R11620" s="8">
        <v>14.4</v>
      </c>
      <c r="S11620" s="8">
        <v>15.4</v>
      </c>
      <c r="T11620" s="8">
        <v>1</v>
      </c>
      <c r="U11620" s="8">
        <v>13.1</v>
      </c>
      <c r="V11620" s="8">
        <v>0.7</v>
      </c>
      <c r="W11620" s="8">
        <v>0.4</v>
      </c>
      <c r="X11620" s="8">
        <v>120</v>
      </c>
      <c r="Y11620" s="8" t="s">
        <v>46249</v>
      </c>
      <c r="Z11620" s="8" t="s">
        <v>46250</v>
      </c>
    </row>
    <row r="11621" spans="1:26" x14ac:dyDescent="0.2">
      <c r="A11621" s="8">
        <v>11620</v>
      </c>
      <c r="B11621" s="8" t="s">
        <v>49105</v>
      </c>
      <c r="C11621" s="8" t="s">
        <v>49105</v>
      </c>
      <c r="G11621" s="8">
        <v>20</v>
      </c>
      <c r="H11621" s="8" t="s">
        <v>21</v>
      </c>
      <c r="I11621" s="8" t="s">
        <v>72</v>
      </c>
      <c r="J11621" s="8" t="s">
        <v>72</v>
      </c>
      <c r="K11621" s="8" t="s">
        <v>20</v>
      </c>
      <c r="L11621" s="8" t="s">
        <v>18681</v>
      </c>
      <c r="M11621" s="8" t="s">
        <v>18682</v>
      </c>
      <c r="N11621" s="8" t="s">
        <v>49106</v>
      </c>
      <c r="O11621" s="8">
        <f>12+47/60+8.1/3600</f>
        <v>12.785583333333333</v>
      </c>
      <c r="P11621" s="8" t="s">
        <v>49107</v>
      </c>
      <c r="Q11621" s="8">
        <f>+(40+14/60+10/3600)</f>
        <v>40.236111111111114</v>
      </c>
      <c r="R11621" s="8">
        <v>99</v>
      </c>
      <c r="S11621" s="8">
        <v>14.9</v>
      </c>
      <c r="T11621" s="8">
        <v>99</v>
      </c>
      <c r="U11621" s="8">
        <v>99</v>
      </c>
      <c r="Y11621" s="8" t="s">
        <v>47564</v>
      </c>
      <c r="Z11621" s="8" t="s">
        <v>47565</v>
      </c>
    </row>
    <row r="11622" spans="1:26" x14ac:dyDescent="0.2">
      <c r="A11622" s="8">
        <v>11621</v>
      </c>
      <c r="B11622" s="8" t="s">
        <v>49108</v>
      </c>
      <c r="C11622" s="8" t="s">
        <v>49108</v>
      </c>
      <c r="G11622" s="8">
        <v>20</v>
      </c>
      <c r="H11622" s="8" t="s">
        <v>21</v>
      </c>
      <c r="I11622" s="8" t="s">
        <v>72</v>
      </c>
      <c r="J11622" s="8" t="s">
        <v>72</v>
      </c>
      <c r="K11622" s="8" t="s">
        <v>73</v>
      </c>
      <c r="L11622" s="8" t="s">
        <v>18289</v>
      </c>
      <c r="M11622" s="8" t="s">
        <v>18290</v>
      </c>
      <c r="N11622" s="8" t="s">
        <v>49109</v>
      </c>
      <c r="O11622" s="8">
        <f>12+47/60+24.6/3600</f>
        <v>12.790166666666666</v>
      </c>
      <c r="P11622" s="8" t="s">
        <v>49110</v>
      </c>
      <c r="Q11622" s="8">
        <f>+(22+34/60+10/3600)</f>
        <v>22.569444444444443</v>
      </c>
      <c r="R11622" s="8">
        <v>99</v>
      </c>
      <c r="S11622" s="8">
        <v>99</v>
      </c>
      <c r="T11622" s="8">
        <v>99</v>
      </c>
      <c r="U11622" s="8">
        <v>99</v>
      </c>
      <c r="Y11622" s="8" t="s">
        <v>21</v>
      </c>
      <c r="Z11622" s="8" t="s">
        <v>49111</v>
      </c>
    </row>
    <row r="11623" spans="1:26" x14ac:dyDescent="0.2">
      <c r="A11623" s="8">
        <v>11622</v>
      </c>
      <c r="B11623" s="8" t="s">
        <v>49112</v>
      </c>
      <c r="C11623" s="8" t="s">
        <v>49112</v>
      </c>
      <c r="G11623" s="8">
        <v>20</v>
      </c>
      <c r="H11623" s="8" t="s">
        <v>21</v>
      </c>
      <c r="I11623" s="8" t="s">
        <v>72</v>
      </c>
      <c r="J11623" s="8" t="s">
        <v>72</v>
      </c>
      <c r="K11623" s="8" t="s">
        <v>20</v>
      </c>
      <c r="L11623" s="8" t="s">
        <v>18681</v>
      </c>
      <c r="M11623" s="8" t="s">
        <v>18682</v>
      </c>
      <c r="N11623" s="8" t="s">
        <v>49113</v>
      </c>
      <c r="O11623" s="8">
        <f>12+47/60+15.7/3600</f>
        <v>12.787694444444444</v>
      </c>
      <c r="P11623" s="8" t="s">
        <v>49114</v>
      </c>
      <c r="Q11623" s="8">
        <f>+(40+22/60+4/3600)</f>
        <v>40.367777777777775</v>
      </c>
      <c r="R11623" s="8">
        <v>99</v>
      </c>
      <c r="S11623" s="8">
        <v>15.2</v>
      </c>
      <c r="T11623" s="8">
        <v>99</v>
      </c>
      <c r="U11623" s="8">
        <v>99</v>
      </c>
      <c r="Y11623" s="8" t="s">
        <v>3952</v>
      </c>
      <c r="Z11623" s="8" t="s">
        <v>3953</v>
      </c>
    </row>
    <row r="11624" spans="1:26" x14ac:dyDescent="0.2">
      <c r="A11624" s="8">
        <v>11623</v>
      </c>
      <c r="B11624" s="8" t="s">
        <v>49115</v>
      </c>
      <c r="C11624" s="8" t="s">
        <v>49115</v>
      </c>
      <c r="G11624" s="8">
        <v>20</v>
      </c>
      <c r="H11624" s="8" t="s">
        <v>21</v>
      </c>
      <c r="I11624" s="8" t="s">
        <v>22</v>
      </c>
      <c r="J11624" s="8" t="s">
        <v>22</v>
      </c>
      <c r="K11624" s="8" t="s">
        <v>449</v>
      </c>
      <c r="L11624" s="8" t="s">
        <v>18681</v>
      </c>
      <c r="M11624" s="8" t="s">
        <v>18682</v>
      </c>
      <c r="N11624" s="8" t="s">
        <v>49116</v>
      </c>
      <c r="O11624" s="8">
        <f>12+47/60+27.8/3600</f>
        <v>12.791055555555555</v>
      </c>
      <c r="P11624" s="8" t="s">
        <v>49117</v>
      </c>
      <c r="Q11624" s="8">
        <f>+(40+33/60+59/3600)</f>
        <v>40.566388888888888</v>
      </c>
      <c r="R11624" s="8">
        <v>14.7</v>
      </c>
      <c r="S11624" s="8">
        <v>15.5</v>
      </c>
      <c r="T11624" s="8">
        <v>0.8</v>
      </c>
      <c r="U11624" s="8">
        <v>13.6</v>
      </c>
      <c r="V11624" s="8">
        <v>0.7</v>
      </c>
      <c r="W11624" s="8">
        <v>0.6</v>
      </c>
      <c r="X11624" s="8">
        <v>120</v>
      </c>
      <c r="Y11624" s="8" t="s">
        <v>48426</v>
      </c>
      <c r="Z11624" s="8" t="s">
        <v>48427</v>
      </c>
    </row>
    <row r="11625" spans="1:26" x14ac:dyDescent="0.2">
      <c r="A11625" s="8">
        <v>11624</v>
      </c>
      <c r="B11625" s="8" t="s">
        <v>49118</v>
      </c>
      <c r="C11625" s="8" t="s">
        <v>49118</v>
      </c>
      <c r="G11625" s="8">
        <v>20</v>
      </c>
      <c r="H11625" s="8" t="s">
        <v>21</v>
      </c>
      <c r="I11625" s="8" t="s">
        <v>22</v>
      </c>
      <c r="J11625" s="8" t="s">
        <v>22</v>
      </c>
      <c r="K11625" s="8" t="s">
        <v>476</v>
      </c>
      <c r="L11625" s="8" t="s">
        <v>18289</v>
      </c>
      <c r="M11625" s="8" t="s">
        <v>18290</v>
      </c>
      <c r="N11625" s="8" t="s">
        <v>49119</v>
      </c>
      <c r="O11625" s="8">
        <f>12+47/60+50.6/3600</f>
        <v>12.797388888888889</v>
      </c>
      <c r="P11625" s="8" t="s">
        <v>49120</v>
      </c>
      <c r="Q11625" s="8">
        <f>+(19+23/60+5/3600)</f>
        <v>19.384722222222223</v>
      </c>
      <c r="R11625" s="8">
        <v>15.6</v>
      </c>
      <c r="S11625" s="8">
        <v>16.399999999999999</v>
      </c>
      <c r="T11625" s="8">
        <v>0.8</v>
      </c>
      <c r="U11625" s="8">
        <v>12.7</v>
      </c>
      <c r="V11625" s="8">
        <v>0.4</v>
      </c>
      <c r="W11625" s="8">
        <v>0.2</v>
      </c>
      <c r="X11625" s="8">
        <v>45</v>
      </c>
      <c r="Y11625" s="8" t="s">
        <v>21</v>
      </c>
      <c r="Z11625" s="8" t="s">
        <v>49121</v>
      </c>
    </row>
    <row r="11626" spans="1:26" x14ac:dyDescent="0.2">
      <c r="A11626" s="8">
        <v>11625</v>
      </c>
      <c r="B11626" s="8" t="s">
        <v>49122</v>
      </c>
      <c r="C11626" s="8" t="s">
        <v>49122</v>
      </c>
      <c r="G11626" s="8">
        <v>20</v>
      </c>
      <c r="H11626" s="8" t="s">
        <v>21</v>
      </c>
      <c r="I11626" s="8" t="s">
        <v>22</v>
      </c>
      <c r="J11626" s="8" t="s">
        <v>22</v>
      </c>
      <c r="K11626" s="8" t="s">
        <v>449</v>
      </c>
      <c r="L11626" s="8" t="s">
        <v>18289</v>
      </c>
      <c r="M11626" s="8" t="s">
        <v>18290</v>
      </c>
      <c r="N11626" s="8" t="s">
        <v>49123</v>
      </c>
      <c r="O11626" s="8">
        <f>12+47/60+52.2/3600</f>
        <v>12.797833333333333</v>
      </c>
      <c r="P11626" s="8" t="s">
        <v>49124</v>
      </c>
      <c r="Q11626" s="8">
        <f>+(19+16/60+30/3600)</f>
        <v>19.274999999999999</v>
      </c>
      <c r="R11626" s="8">
        <v>15.4</v>
      </c>
      <c r="S11626" s="8">
        <v>16.2</v>
      </c>
      <c r="T11626" s="8">
        <v>0.8</v>
      </c>
      <c r="U11626" s="8">
        <v>13.3</v>
      </c>
      <c r="V11626" s="8">
        <v>0.4</v>
      </c>
      <c r="W11626" s="8">
        <v>0.4</v>
      </c>
      <c r="Y11626" s="8" t="s">
        <v>45086</v>
      </c>
      <c r="Z11626" s="8" t="s">
        <v>45087</v>
      </c>
    </row>
    <row r="11627" spans="1:26" x14ac:dyDescent="0.2">
      <c r="A11627" s="8">
        <v>11626</v>
      </c>
      <c r="B11627" s="8" t="s">
        <v>49125</v>
      </c>
      <c r="C11627" s="8" t="s">
        <v>49125</v>
      </c>
      <c r="G11627" s="8">
        <v>20</v>
      </c>
      <c r="H11627" s="8" t="s">
        <v>21</v>
      </c>
      <c r="I11627" s="8" t="s">
        <v>22</v>
      </c>
      <c r="J11627" s="8" t="s">
        <v>22</v>
      </c>
      <c r="K11627" s="8" t="s">
        <v>449</v>
      </c>
      <c r="L11627" s="8" t="s">
        <v>18681</v>
      </c>
      <c r="M11627" s="8" t="s">
        <v>18682</v>
      </c>
      <c r="N11627" s="8" t="s">
        <v>49126</v>
      </c>
      <c r="O11627" s="8">
        <f>12+47/60+36.8/3600</f>
        <v>12.793555555555555</v>
      </c>
      <c r="P11627" s="8" t="s">
        <v>49127</v>
      </c>
      <c r="Q11627" s="8">
        <f>+(39+2/60+47/3600)</f>
        <v>39.046388888888885</v>
      </c>
      <c r="R11627" s="8">
        <v>15.8</v>
      </c>
      <c r="S11627" s="8">
        <v>16.600000000000001</v>
      </c>
      <c r="T11627" s="8">
        <v>0.8</v>
      </c>
      <c r="U11627" s="8">
        <v>13.3</v>
      </c>
      <c r="V11627" s="8">
        <v>0.4</v>
      </c>
      <c r="W11627" s="8">
        <v>0.3</v>
      </c>
      <c r="X11627" s="8">
        <v>170</v>
      </c>
      <c r="Y11627" s="8" t="s">
        <v>21</v>
      </c>
      <c r="Z11627" s="8" t="s">
        <v>49128</v>
      </c>
    </row>
    <row r="11628" spans="1:26" x14ac:dyDescent="0.2">
      <c r="A11628" s="8">
        <v>11627</v>
      </c>
      <c r="B11628" s="8" t="s">
        <v>49129</v>
      </c>
      <c r="C11628" s="8" t="s">
        <v>49129</v>
      </c>
      <c r="G11628" s="8">
        <v>20</v>
      </c>
      <c r="H11628" s="8" t="s">
        <v>21</v>
      </c>
      <c r="I11628" s="8" t="s">
        <v>72</v>
      </c>
      <c r="J11628" s="8" t="s">
        <v>72</v>
      </c>
      <c r="K11628" s="8" t="s">
        <v>73</v>
      </c>
      <c r="L11628" s="8" t="s">
        <v>18681</v>
      </c>
      <c r="M11628" s="8" t="s">
        <v>18682</v>
      </c>
      <c r="N11628" s="8" t="s">
        <v>49130</v>
      </c>
      <c r="O11628" s="8">
        <f>12+47/60+42.6/3600</f>
        <v>12.795166666666667</v>
      </c>
      <c r="P11628" s="8" t="s">
        <v>49131</v>
      </c>
      <c r="Q11628" s="8">
        <f>+(40+37/60+25/3600)</f>
        <v>40.62361111111111</v>
      </c>
      <c r="R11628" s="8">
        <v>99</v>
      </c>
      <c r="S11628" s="8">
        <v>99</v>
      </c>
      <c r="T11628" s="8">
        <v>99</v>
      </c>
      <c r="U11628" s="8">
        <v>99</v>
      </c>
      <c r="Y11628" s="8" t="s">
        <v>45514</v>
      </c>
      <c r="Z11628" s="8" t="s">
        <v>45515</v>
      </c>
    </row>
    <row r="11629" spans="1:26" x14ac:dyDescent="0.2">
      <c r="A11629" s="8">
        <v>11628</v>
      </c>
      <c r="B11629" s="8" t="s">
        <v>49132</v>
      </c>
      <c r="C11629" s="8" t="s">
        <v>49132</v>
      </c>
      <c r="G11629" s="8">
        <v>20</v>
      </c>
      <c r="H11629" s="8" t="s">
        <v>21</v>
      </c>
      <c r="I11629" s="8" t="s">
        <v>22</v>
      </c>
      <c r="J11629" s="8" t="s">
        <v>22</v>
      </c>
      <c r="K11629" s="8" t="s">
        <v>449</v>
      </c>
      <c r="L11629" s="8" t="s">
        <v>18289</v>
      </c>
      <c r="M11629" s="8" t="s">
        <v>18290</v>
      </c>
      <c r="N11629" s="8" t="s">
        <v>49133</v>
      </c>
      <c r="O11629" s="8">
        <f>12+48/60+7.3/3600</f>
        <v>12.802027777777779</v>
      </c>
      <c r="P11629" s="8" t="s">
        <v>49134</v>
      </c>
      <c r="Q11629" s="8">
        <f>+(18+52/60+5/3600)</f>
        <v>18.868055555555557</v>
      </c>
      <c r="R11629" s="8">
        <v>16.7</v>
      </c>
      <c r="S11629" s="8">
        <v>17.5</v>
      </c>
      <c r="T11629" s="8">
        <v>0.8</v>
      </c>
      <c r="U11629" s="8">
        <v>15</v>
      </c>
      <c r="V11629" s="8">
        <v>0.5</v>
      </c>
      <c r="W11629" s="8">
        <v>0.5</v>
      </c>
      <c r="Y11629" s="8" t="s">
        <v>21</v>
      </c>
      <c r="Z11629" s="8" t="s">
        <v>49135</v>
      </c>
    </row>
    <row r="11630" spans="1:26" x14ac:dyDescent="0.2">
      <c r="A11630" s="8">
        <v>11629</v>
      </c>
      <c r="B11630" s="8" t="s">
        <v>49136</v>
      </c>
      <c r="C11630" s="8" t="s">
        <v>49136</v>
      </c>
      <c r="G11630" s="8">
        <v>20</v>
      </c>
      <c r="H11630" s="8" t="s">
        <v>21</v>
      </c>
      <c r="I11630" s="8" t="s">
        <v>22</v>
      </c>
      <c r="J11630" s="8" t="s">
        <v>22</v>
      </c>
      <c r="K11630" s="8" t="s">
        <v>449</v>
      </c>
      <c r="L11630" s="8" t="s">
        <v>18289</v>
      </c>
      <c r="M11630" s="8" t="s">
        <v>18290</v>
      </c>
      <c r="N11630" s="8" t="s">
        <v>49137</v>
      </c>
      <c r="O11630" s="8">
        <f>12+48/60+7/3600</f>
        <v>12.801944444444445</v>
      </c>
      <c r="P11630" s="8" t="s">
        <v>49138</v>
      </c>
      <c r="Q11630" s="8">
        <f>+(20+11/60+39/3600)</f>
        <v>20.194166666666668</v>
      </c>
      <c r="R11630" s="8">
        <v>15</v>
      </c>
      <c r="S11630" s="8">
        <v>15.8</v>
      </c>
      <c r="T11630" s="8">
        <v>0.8</v>
      </c>
      <c r="U11630" s="8">
        <v>13.1</v>
      </c>
      <c r="V11630" s="8">
        <v>0.5</v>
      </c>
      <c r="W11630" s="8">
        <v>0.4</v>
      </c>
      <c r="X11630" s="8">
        <v>0</v>
      </c>
      <c r="Y11630" s="8" t="s">
        <v>21</v>
      </c>
      <c r="Z11630" s="8" t="s">
        <v>49139</v>
      </c>
    </row>
    <row r="11631" spans="1:26" x14ac:dyDescent="0.2">
      <c r="A11631" s="8">
        <v>11630</v>
      </c>
      <c r="B11631" s="8" t="s">
        <v>49140</v>
      </c>
      <c r="C11631" s="8" t="s">
        <v>49140</v>
      </c>
      <c r="G11631" s="8">
        <v>20</v>
      </c>
      <c r="H11631" s="8" t="s">
        <v>21</v>
      </c>
      <c r="I11631" s="8" t="s">
        <v>72</v>
      </c>
      <c r="J11631" s="8" t="s">
        <v>72</v>
      </c>
      <c r="K11631" s="8" t="s">
        <v>20</v>
      </c>
      <c r="L11631" s="8" t="s">
        <v>17287</v>
      </c>
      <c r="M11631" s="8" t="s">
        <v>17288</v>
      </c>
      <c r="N11631" s="8" t="s">
        <v>49141</v>
      </c>
      <c r="O11631" s="8">
        <f>12+48/60+43/3600</f>
        <v>12.811944444444444</v>
      </c>
      <c r="P11631" s="8" t="s">
        <v>49142</v>
      </c>
      <c r="Q11631" s="8">
        <f>+(9+14/60+28/3600)</f>
        <v>9.2411111111111097</v>
      </c>
      <c r="R11631" s="8">
        <v>99</v>
      </c>
      <c r="S11631" s="8">
        <v>14.3</v>
      </c>
      <c r="T11631" s="8">
        <v>99</v>
      </c>
      <c r="U11631" s="8">
        <v>99</v>
      </c>
      <c r="Y11631" s="8" t="s">
        <v>47495</v>
      </c>
      <c r="Z11631" s="8" t="s">
        <v>47496</v>
      </c>
    </row>
    <row r="11632" spans="1:26" x14ac:dyDescent="0.2">
      <c r="A11632" s="8">
        <v>11631</v>
      </c>
      <c r="B11632" s="8" t="s">
        <v>49143</v>
      </c>
      <c r="C11632" s="8" t="s">
        <v>49143</v>
      </c>
      <c r="G11632" s="8">
        <v>20</v>
      </c>
      <c r="H11632" s="8" t="s">
        <v>21</v>
      </c>
      <c r="I11632" s="8" t="s">
        <v>22</v>
      </c>
      <c r="J11632" s="8" t="s">
        <v>57</v>
      </c>
      <c r="K11632" s="8" t="s">
        <v>85</v>
      </c>
      <c r="L11632" s="8" t="s">
        <v>12015</v>
      </c>
      <c r="M11632" s="8" t="s">
        <v>12016</v>
      </c>
      <c r="N11632" s="8" t="s">
        <v>21205</v>
      </c>
      <c r="O11632" s="8">
        <f>12+47/60+32/3600</f>
        <v>12.792222222222222</v>
      </c>
      <c r="P11632" s="8" t="s">
        <v>21206</v>
      </c>
      <c r="Q11632" s="8">
        <f>+(54+22/60+28/3600)</f>
        <v>54.374444444444443</v>
      </c>
      <c r="R11632" s="8">
        <v>13.5</v>
      </c>
      <c r="S11632" s="8">
        <v>14.3</v>
      </c>
      <c r="T11632" s="8">
        <v>0.8</v>
      </c>
      <c r="U11632" s="8">
        <v>13.1</v>
      </c>
      <c r="V11632" s="8">
        <v>1.1000000000000001</v>
      </c>
      <c r="W11632" s="8">
        <v>0.7</v>
      </c>
      <c r="X11632" s="8">
        <v>80</v>
      </c>
      <c r="Y11632" s="8" t="s">
        <v>49144</v>
      </c>
      <c r="Z11632" s="8" t="s">
        <v>49145</v>
      </c>
    </row>
    <row r="11633" spans="1:26" x14ac:dyDescent="0.2">
      <c r="A11633" s="8">
        <v>11632</v>
      </c>
      <c r="B11633" s="8" t="s">
        <v>49146</v>
      </c>
      <c r="C11633" s="8" t="s">
        <v>49146</v>
      </c>
      <c r="G11633" s="8">
        <v>20</v>
      </c>
      <c r="H11633" s="8" t="s">
        <v>21</v>
      </c>
      <c r="I11633" s="8" t="s">
        <v>72</v>
      </c>
      <c r="J11633" s="8" t="s">
        <v>72</v>
      </c>
      <c r="K11633" s="8" t="s">
        <v>73</v>
      </c>
      <c r="L11633" s="8" t="s">
        <v>17287</v>
      </c>
      <c r="M11633" s="8" t="s">
        <v>17288</v>
      </c>
      <c r="N11633" s="8" t="s">
        <v>49147</v>
      </c>
      <c r="O11633" s="8">
        <f>12+48/60+14.7/3600</f>
        <v>12.804083333333335</v>
      </c>
      <c r="P11633" s="8" t="s">
        <v>37146</v>
      </c>
      <c r="Q11633" s="8">
        <f>+(11+4/60+50/3600)</f>
        <v>11.080555555555556</v>
      </c>
      <c r="R11633" s="8">
        <v>99</v>
      </c>
      <c r="S11633" s="8">
        <v>99</v>
      </c>
      <c r="T11633" s="8">
        <v>99</v>
      </c>
      <c r="U11633" s="8">
        <v>99</v>
      </c>
      <c r="Y11633" s="8" t="s">
        <v>1511</v>
      </c>
      <c r="Z11633" s="8" t="s">
        <v>1512</v>
      </c>
    </row>
    <row r="11634" spans="1:26" x14ac:dyDescent="0.2">
      <c r="A11634" s="8">
        <v>11633</v>
      </c>
      <c r="B11634" s="8" t="s">
        <v>49148</v>
      </c>
      <c r="C11634" s="8" t="s">
        <v>49148</v>
      </c>
      <c r="G11634" s="8">
        <v>20</v>
      </c>
      <c r="H11634" s="8" t="s">
        <v>21</v>
      </c>
      <c r="I11634" s="8" t="s">
        <v>22</v>
      </c>
      <c r="J11634" s="8" t="s">
        <v>22</v>
      </c>
      <c r="K11634" s="8" t="s">
        <v>449</v>
      </c>
      <c r="L11634" s="8" t="s">
        <v>18289</v>
      </c>
      <c r="M11634" s="8" t="s">
        <v>18290</v>
      </c>
      <c r="N11634" s="8" t="s">
        <v>49149</v>
      </c>
      <c r="O11634" s="8">
        <f>12+48/60+11.8/3600</f>
        <v>12.803277777777778</v>
      </c>
      <c r="P11634" s="8" t="s">
        <v>49150</v>
      </c>
      <c r="Q11634" s="8">
        <f>+(19+9/60+6/3600)</f>
        <v>19.151666666666664</v>
      </c>
      <c r="R11634" s="8">
        <v>16.2</v>
      </c>
      <c r="S11634" s="8">
        <v>17</v>
      </c>
      <c r="T11634" s="8">
        <v>0.8</v>
      </c>
      <c r="U11634" s="8">
        <v>12.2</v>
      </c>
      <c r="V11634" s="8">
        <v>0.3</v>
      </c>
      <c r="W11634" s="8">
        <v>0.1</v>
      </c>
      <c r="X11634" s="8">
        <v>80</v>
      </c>
      <c r="Y11634" s="8" t="s">
        <v>45086</v>
      </c>
      <c r="Z11634" s="8" t="s">
        <v>45087</v>
      </c>
    </row>
    <row r="11635" spans="1:26" x14ac:dyDescent="0.2">
      <c r="A11635" s="8">
        <v>11634</v>
      </c>
      <c r="B11635" s="8" t="s">
        <v>49151</v>
      </c>
      <c r="C11635" s="8" t="s">
        <v>49151</v>
      </c>
      <c r="G11635" s="8">
        <v>20</v>
      </c>
      <c r="H11635" s="8" t="s">
        <v>21</v>
      </c>
      <c r="I11635" s="8" t="s">
        <v>72</v>
      </c>
      <c r="J11635" s="8" t="s">
        <v>72</v>
      </c>
      <c r="K11635" s="8" t="s">
        <v>20</v>
      </c>
      <c r="L11635" s="8" t="s">
        <v>18289</v>
      </c>
      <c r="M11635" s="8" t="s">
        <v>18290</v>
      </c>
      <c r="N11635" s="8" t="s">
        <v>49152</v>
      </c>
      <c r="O11635" s="8">
        <f>12+48/60+21.4/3600</f>
        <v>12.805944444444446</v>
      </c>
      <c r="P11635" s="8" t="s">
        <v>49153</v>
      </c>
      <c r="Q11635" s="8">
        <f>+(19+10/60+10/3600)</f>
        <v>19.169444444444444</v>
      </c>
      <c r="R11635" s="8">
        <v>99</v>
      </c>
      <c r="S11635" s="8">
        <v>99</v>
      </c>
      <c r="T11635" s="8">
        <v>99</v>
      </c>
      <c r="U11635" s="8">
        <v>99</v>
      </c>
      <c r="Y11635" s="8" t="s">
        <v>49154</v>
      </c>
      <c r="Z11635" s="8" t="s">
        <v>49155</v>
      </c>
    </row>
    <row r="11636" spans="1:26" x14ac:dyDescent="0.2">
      <c r="A11636" s="8">
        <v>11635</v>
      </c>
      <c r="B11636" s="8" t="s">
        <v>49156</v>
      </c>
      <c r="C11636" s="8" t="s">
        <v>49156</v>
      </c>
      <c r="G11636" s="8">
        <v>20</v>
      </c>
      <c r="H11636" s="8" t="s">
        <v>21</v>
      </c>
      <c r="I11636" s="8" t="s">
        <v>22</v>
      </c>
      <c r="J11636" s="8" t="s">
        <v>22</v>
      </c>
      <c r="K11636" s="8" t="s">
        <v>37</v>
      </c>
      <c r="L11636" s="8" t="s">
        <v>18681</v>
      </c>
      <c r="M11636" s="8" t="s">
        <v>18682</v>
      </c>
      <c r="N11636" s="8" t="s">
        <v>49157</v>
      </c>
      <c r="O11636" s="8">
        <f>12+48/60+5/3600</f>
        <v>12.801388888888889</v>
      </c>
      <c r="P11636" s="8" t="s">
        <v>49158</v>
      </c>
      <c r="Q11636" s="8">
        <f>+(40+43/60+8/3600)</f>
        <v>40.718888888888891</v>
      </c>
      <c r="R11636" s="8">
        <v>15</v>
      </c>
      <c r="S11636" s="8">
        <v>16</v>
      </c>
      <c r="T11636" s="8">
        <v>1</v>
      </c>
      <c r="U11636" s="8">
        <v>11.6</v>
      </c>
      <c r="V11636" s="8">
        <v>0.5</v>
      </c>
      <c r="W11636" s="8">
        <v>0.1</v>
      </c>
      <c r="X11636" s="8">
        <v>10</v>
      </c>
      <c r="Y11636" s="8" t="s">
        <v>45218</v>
      </c>
      <c r="Z11636" s="8" t="s">
        <v>45219</v>
      </c>
    </row>
    <row r="11637" spans="1:26" x14ac:dyDescent="0.2">
      <c r="A11637" s="8">
        <v>11636</v>
      </c>
      <c r="B11637" s="8" t="s">
        <v>49159</v>
      </c>
      <c r="C11637" s="8" t="s">
        <v>49159</v>
      </c>
      <c r="G11637" s="8">
        <v>20</v>
      </c>
      <c r="H11637" s="8" t="s">
        <v>21</v>
      </c>
      <c r="I11637" s="8" t="s">
        <v>72</v>
      </c>
      <c r="J11637" s="8" t="s">
        <v>72</v>
      </c>
      <c r="K11637" s="8" t="s">
        <v>20</v>
      </c>
      <c r="L11637" s="8" t="s">
        <v>18289</v>
      </c>
      <c r="M11637" s="8" t="s">
        <v>18290</v>
      </c>
      <c r="N11637" s="8" t="s">
        <v>49160</v>
      </c>
      <c r="O11637" s="8">
        <f>12+48/60+27.2/3600</f>
        <v>12.807555555555556</v>
      </c>
      <c r="P11637" s="8" t="s">
        <v>49161</v>
      </c>
      <c r="Q11637" s="8">
        <f>+(20+2/60+13/3600)</f>
        <v>20.036944444444448</v>
      </c>
      <c r="R11637" s="8">
        <v>99</v>
      </c>
      <c r="S11637" s="8">
        <v>99</v>
      </c>
      <c r="T11637" s="8">
        <v>99</v>
      </c>
      <c r="U11637" s="8">
        <v>99</v>
      </c>
      <c r="Y11637" s="8" t="s">
        <v>21</v>
      </c>
      <c r="Z11637" s="8" t="s">
        <v>49162</v>
      </c>
    </row>
    <row r="11638" spans="1:26" x14ac:dyDescent="0.2">
      <c r="A11638" s="8">
        <v>11637</v>
      </c>
      <c r="B11638" s="8" t="s">
        <v>49163</v>
      </c>
      <c r="C11638" s="8" t="s">
        <v>49163</v>
      </c>
      <c r="G11638" s="8">
        <v>20</v>
      </c>
      <c r="H11638" s="8" t="s">
        <v>21</v>
      </c>
      <c r="I11638" s="8" t="s">
        <v>329</v>
      </c>
      <c r="J11638" s="8" t="s">
        <v>329</v>
      </c>
      <c r="K11638" s="8" t="s">
        <v>329</v>
      </c>
      <c r="L11638" s="8" t="s">
        <v>17287</v>
      </c>
      <c r="M11638" s="8" t="s">
        <v>17288</v>
      </c>
      <c r="N11638" s="8" t="s">
        <v>49164</v>
      </c>
      <c r="O11638" s="8">
        <f>12+48/60+34.9/3600</f>
        <v>12.809694444444444</v>
      </c>
      <c r="P11638" s="8" t="s">
        <v>49165</v>
      </c>
      <c r="Q11638" s="8">
        <f>+(11+35/60+52/3600)</f>
        <v>11.597777777777779</v>
      </c>
      <c r="R11638" s="8">
        <v>99</v>
      </c>
      <c r="S11638" s="8">
        <v>99</v>
      </c>
      <c r="T11638" s="8">
        <v>99</v>
      </c>
      <c r="U11638" s="8">
        <v>99</v>
      </c>
      <c r="Y11638" s="8" t="s">
        <v>49166</v>
      </c>
      <c r="Z11638" s="8" t="s">
        <v>49167</v>
      </c>
    </row>
    <row r="11639" spans="1:26" x14ac:dyDescent="0.2">
      <c r="A11639" s="8">
        <v>11638</v>
      </c>
      <c r="B11639" s="8" t="s">
        <v>49168</v>
      </c>
      <c r="C11639" s="8" t="s">
        <v>49168</v>
      </c>
      <c r="G11639" s="8">
        <v>20</v>
      </c>
      <c r="H11639" s="8" t="s">
        <v>21</v>
      </c>
      <c r="I11639" s="8" t="s">
        <v>72</v>
      </c>
      <c r="J11639" s="8" t="s">
        <v>72</v>
      </c>
      <c r="K11639" s="8" t="s">
        <v>20</v>
      </c>
      <c r="L11639" s="8" t="s">
        <v>17287</v>
      </c>
      <c r="M11639" s="8" t="s">
        <v>17288</v>
      </c>
      <c r="N11639" s="8" t="s">
        <v>49169</v>
      </c>
      <c r="O11639" s="8">
        <f>12+48/60+43.1/3600</f>
        <v>12.811972222222224</v>
      </c>
      <c r="P11639" s="8" t="s">
        <v>49170</v>
      </c>
      <c r="Q11639" s="8">
        <f>+(9+14/60+29/3600)</f>
        <v>9.2413888888888884</v>
      </c>
      <c r="R11639" s="8">
        <v>99</v>
      </c>
      <c r="S11639" s="8">
        <v>99</v>
      </c>
      <c r="T11639" s="8">
        <v>99</v>
      </c>
      <c r="U11639" s="8">
        <v>99</v>
      </c>
      <c r="Y11639" s="8" t="s">
        <v>4065</v>
      </c>
      <c r="Z11639" s="8" t="s">
        <v>4066</v>
      </c>
    </row>
    <row r="11640" spans="1:26" x14ac:dyDescent="0.2">
      <c r="A11640" s="8">
        <v>11639</v>
      </c>
      <c r="B11640" s="8" t="s">
        <v>49171</v>
      </c>
      <c r="C11640" s="8" t="s">
        <v>49171</v>
      </c>
      <c r="G11640" s="8">
        <v>20</v>
      </c>
      <c r="H11640" s="8" t="s">
        <v>21</v>
      </c>
      <c r="I11640" s="8" t="s">
        <v>22</v>
      </c>
      <c r="J11640" s="8" t="s">
        <v>22</v>
      </c>
      <c r="K11640" s="8" t="s">
        <v>579</v>
      </c>
      <c r="L11640" s="8" t="s">
        <v>15925</v>
      </c>
      <c r="M11640" s="8" t="s">
        <v>15926</v>
      </c>
      <c r="N11640" s="8" t="s">
        <v>49172</v>
      </c>
      <c r="O11640" s="8">
        <f>12+48/60+59.5/3600</f>
        <v>12.816527777777779</v>
      </c>
      <c r="P11640" s="8" t="s">
        <v>49173</v>
      </c>
      <c r="Q11640" s="8">
        <f>-(14+23/60+55/3600)</f>
        <v>-14.39861111111111</v>
      </c>
      <c r="R11640" s="8">
        <v>13.7</v>
      </c>
      <c r="S11640" s="8">
        <v>14.4</v>
      </c>
      <c r="T11640" s="8">
        <v>0.7</v>
      </c>
      <c r="U11640" s="8">
        <v>13.2</v>
      </c>
      <c r="V11640" s="8">
        <v>2.4</v>
      </c>
      <c r="W11640" s="8">
        <v>0.3</v>
      </c>
      <c r="X11640" s="8">
        <v>30</v>
      </c>
      <c r="Y11640" s="8" t="s">
        <v>21</v>
      </c>
      <c r="Z11640" s="8" t="s">
        <v>49174</v>
      </c>
    </row>
    <row r="11641" spans="1:26" x14ac:dyDescent="0.2">
      <c r="A11641" s="8">
        <v>11640</v>
      </c>
      <c r="B11641" s="8" t="s">
        <v>49175</v>
      </c>
      <c r="C11641" s="8" t="s">
        <v>49175</v>
      </c>
      <c r="G11641" s="8">
        <v>20</v>
      </c>
      <c r="H11641" s="8" t="s">
        <v>21</v>
      </c>
      <c r="I11641" s="8" t="s">
        <v>22</v>
      </c>
      <c r="J11641" s="8" t="s">
        <v>22</v>
      </c>
      <c r="K11641" s="8" t="s">
        <v>460</v>
      </c>
      <c r="L11641" s="8" t="s">
        <v>18681</v>
      </c>
      <c r="M11641" s="8" t="s">
        <v>18682</v>
      </c>
      <c r="N11641" s="8" t="s">
        <v>49176</v>
      </c>
      <c r="O11641" s="8">
        <f>12+48/60+27.3/3600</f>
        <v>12.807583333333334</v>
      </c>
      <c r="P11641" s="8" t="s">
        <v>49177</v>
      </c>
      <c r="Q11641" s="8">
        <f>+(36+34/60+30/3600)</f>
        <v>36.575000000000003</v>
      </c>
      <c r="R11641" s="8">
        <v>15.5</v>
      </c>
      <c r="S11641" s="8">
        <v>16.5</v>
      </c>
      <c r="T11641" s="8">
        <v>1</v>
      </c>
      <c r="U11641" s="8">
        <v>13.6</v>
      </c>
      <c r="V11641" s="8">
        <v>0.4</v>
      </c>
      <c r="W11641" s="8">
        <v>0.4</v>
      </c>
      <c r="Y11641" s="8" t="s">
        <v>45218</v>
      </c>
      <c r="Z11641" s="8" t="s">
        <v>45219</v>
      </c>
    </row>
    <row r="11642" spans="1:26" x14ac:dyDescent="0.2">
      <c r="A11642" s="8">
        <v>11641</v>
      </c>
      <c r="B11642" s="8" t="s">
        <v>49178</v>
      </c>
      <c r="C11642" s="8" t="s">
        <v>49178</v>
      </c>
      <c r="G11642" s="8">
        <v>20</v>
      </c>
      <c r="H11642" s="8" t="s">
        <v>21</v>
      </c>
      <c r="I11642" s="8" t="s">
        <v>329</v>
      </c>
      <c r="J11642" s="8" t="s">
        <v>329</v>
      </c>
      <c r="K11642" s="8" t="s">
        <v>329</v>
      </c>
      <c r="L11642" s="8" t="s">
        <v>17287</v>
      </c>
      <c r="M11642" s="8" t="s">
        <v>17288</v>
      </c>
      <c r="N11642" s="8" t="s">
        <v>49179</v>
      </c>
      <c r="O11642" s="8">
        <f>12+49/60+0.7/3600</f>
        <v>12.816861111111111</v>
      </c>
      <c r="P11642" s="8" t="s">
        <v>49180</v>
      </c>
      <c r="Q11642" s="8">
        <f>+(10+57/60+21/3600)</f>
        <v>10.955833333333333</v>
      </c>
      <c r="R11642" s="8">
        <v>99</v>
      </c>
      <c r="S11642" s="8">
        <v>99</v>
      </c>
      <c r="T11642" s="8">
        <v>99</v>
      </c>
      <c r="U11642" s="8">
        <v>99</v>
      </c>
      <c r="Y11642" s="8" t="s">
        <v>49181</v>
      </c>
      <c r="Z11642" s="8" t="s">
        <v>49182</v>
      </c>
    </row>
    <row r="11643" spans="1:26" x14ac:dyDescent="0.2">
      <c r="A11643" s="8">
        <v>11642</v>
      </c>
      <c r="B11643" s="8" t="s">
        <v>49183</v>
      </c>
      <c r="C11643" s="8" t="s">
        <v>49183</v>
      </c>
      <c r="G11643" s="8">
        <v>20</v>
      </c>
      <c r="H11643" s="8" t="s">
        <v>21</v>
      </c>
      <c r="I11643" s="8" t="s">
        <v>72</v>
      </c>
      <c r="J11643" s="8" t="s">
        <v>72</v>
      </c>
      <c r="K11643" s="8" t="s">
        <v>20</v>
      </c>
      <c r="L11643" s="8" t="s">
        <v>18681</v>
      </c>
      <c r="M11643" s="8" t="s">
        <v>18682</v>
      </c>
      <c r="N11643" s="8" t="s">
        <v>49184</v>
      </c>
      <c r="O11643" s="8">
        <f>12+48/60+42.5/3600</f>
        <v>12.811805555555557</v>
      </c>
      <c r="P11643" s="8" t="s">
        <v>49185</v>
      </c>
      <c r="Q11643" s="8">
        <f>+(38+14/60+49/3600)</f>
        <v>38.246944444444445</v>
      </c>
      <c r="R11643" s="8">
        <v>99</v>
      </c>
      <c r="S11643" s="8">
        <v>99</v>
      </c>
      <c r="T11643" s="8">
        <v>99</v>
      </c>
      <c r="U11643" s="8">
        <v>99</v>
      </c>
      <c r="Y11643" s="8" t="s">
        <v>3952</v>
      </c>
      <c r="Z11643" s="8" t="s">
        <v>3953</v>
      </c>
    </row>
    <row r="11644" spans="1:26" x14ac:dyDescent="0.2">
      <c r="A11644" s="8">
        <v>11643</v>
      </c>
      <c r="B11644" s="8" t="s">
        <v>49186</v>
      </c>
      <c r="C11644" s="8" t="s">
        <v>49186</v>
      </c>
      <c r="G11644" s="8">
        <v>20</v>
      </c>
      <c r="H11644" s="8" t="s">
        <v>21</v>
      </c>
      <c r="I11644" s="8" t="s">
        <v>72</v>
      </c>
      <c r="J11644" s="8" t="s">
        <v>72</v>
      </c>
      <c r="K11644" s="8" t="s">
        <v>20</v>
      </c>
      <c r="L11644" s="8" t="s">
        <v>17287</v>
      </c>
      <c r="M11644" s="8" t="s">
        <v>17288</v>
      </c>
      <c r="N11644" s="8" t="s">
        <v>49187</v>
      </c>
      <c r="O11644" s="8">
        <f>12+49/60+4.4/3600</f>
        <v>12.817888888888888</v>
      </c>
      <c r="P11644" s="8" t="s">
        <v>49188</v>
      </c>
      <c r="Q11644" s="8">
        <f>+(10+37/60+56/3600)</f>
        <v>10.632222222222223</v>
      </c>
      <c r="R11644" s="8">
        <v>99</v>
      </c>
      <c r="S11644" s="8">
        <v>99</v>
      </c>
      <c r="T11644" s="8">
        <v>99</v>
      </c>
      <c r="U11644" s="8">
        <v>99</v>
      </c>
      <c r="Y11644" s="8" t="s">
        <v>49189</v>
      </c>
      <c r="Z11644" s="8" t="s">
        <v>49190</v>
      </c>
    </row>
    <row r="11645" spans="1:26" x14ac:dyDescent="0.2">
      <c r="A11645" s="8">
        <v>11644</v>
      </c>
      <c r="B11645" s="8" t="s">
        <v>49191</v>
      </c>
      <c r="C11645" s="8" t="s">
        <v>49191</v>
      </c>
      <c r="G11645" s="8">
        <v>20</v>
      </c>
      <c r="H11645" s="8" t="s">
        <v>21</v>
      </c>
      <c r="I11645" s="8" t="s">
        <v>22</v>
      </c>
      <c r="J11645" s="8" t="s">
        <v>57</v>
      </c>
      <c r="K11645" s="8" t="s">
        <v>218</v>
      </c>
      <c r="L11645" s="8" t="s">
        <v>18681</v>
      </c>
      <c r="M11645" s="8" t="s">
        <v>18682</v>
      </c>
      <c r="N11645" s="8" t="s">
        <v>21275</v>
      </c>
      <c r="O11645" s="8">
        <f>12+48/60+45.7/3600</f>
        <v>12.812694444444444</v>
      </c>
      <c r="P11645" s="8" t="s">
        <v>21276</v>
      </c>
      <c r="Q11645" s="8">
        <f>+(35+19/60+58/3600)</f>
        <v>35.332777777777778</v>
      </c>
      <c r="R11645" s="8">
        <v>13.4</v>
      </c>
      <c r="S11645" s="8">
        <v>14.2</v>
      </c>
      <c r="T11645" s="8">
        <v>0.8</v>
      </c>
      <c r="U11645" s="8">
        <v>13.6</v>
      </c>
      <c r="V11645" s="8">
        <v>1.3</v>
      </c>
      <c r="W11645" s="8">
        <v>0.8</v>
      </c>
      <c r="X11645" s="8">
        <v>40</v>
      </c>
      <c r="Y11645" s="8" t="s">
        <v>49192</v>
      </c>
      <c r="Z11645" s="8" t="s">
        <v>49193</v>
      </c>
    </row>
    <row r="11646" spans="1:26" x14ac:dyDescent="0.2">
      <c r="A11646" s="8">
        <v>11645</v>
      </c>
      <c r="B11646" s="8" t="s">
        <v>49194</v>
      </c>
      <c r="C11646" s="8" t="s">
        <v>49194</v>
      </c>
      <c r="G11646" s="8">
        <v>20</v>
      </c>
      <c r="H11646" s="8" t="s">
        <v>21</v>
      </c>
      <c r="I11646" s="8" t="s">
        <v>72</v>
      </c>
      <c r="J11646" s="8" t="s">
        <v>72</v>
      </c>
      <c r="K11646" s="8" t="s">
        <v>73</v>
      </c>
      <c r="L11646" s="8" t="s">
        <v>18681</v>
      </c>
      <c r="M11646" s="8" t="s">
        <v>18682</v>
      </c>
      <c r="N11646" s="8" t="s">
        <v>49195</v>
      </c>
      <c r="O11646" s="8">
        <f>12+48/60+42.4/3600</f>
        <v>12.811777777777779</v>
      </c>
      <c r="P11646" s="8" t="s">
        <v>49196</v>
      </c>
      <c r="Q11646" s="8">
        <f>+(38+15/60+15/3600)</f>
        <v>38.25416666666667</v>
      </c>
      <c r="R11646" s="8">
        <v>99</v>
      </c>
      <c r="S11646" s="8">
        <v>99</v>
      </c>
      <c r="T11646" s="8">
        <v>99</v>
      </c>
      <c r="U11646" s="8">
        <v>99</v>
      </c>
      <c r="Y11646" s="8" t="s">
        <v>21</v>
      </c>
      <c r="Z11646" s="8" t="s">
        <v>49197</v>
      </c>
    </row>
    <row r="11647" spans="1:26" x14ac:dyDescent="0.2">
      <c r="A11647" s="8">
        <v>11646</v>
      </c>
      <c r="B11647" s="8" t="s">
        <v>49198</v>
      </c>
      <c r="C11647" s="8" t="s">
        <v>49198</v>
      </c>
      <c r="G11647" s="8">
        <v>20</v>
      </c>
      <c r="H11647" s="8" t="s">
        <v>21</v>
      </c>
      <c r="I11647" s="8" t="s">
        <v>22</v>
      </c>
      <c r="J11647" s="8" t="s">
        <v>22</v>
      </c>
      <c r="K11647" s="8" t="s">
        <v>91</v>
      </c>
      <c r="L11647" s="8" t="s">
        <v>18289</v>
      </c>
      <c r="M11647" s="8" t="s">
        <v>18290</v>
      </c>
      <c r="N11647" s="8" t="s">
        <v>49199</v>
      </c>
      <c r="O11647" s="8">
        <f>12+48/60+55.4/3600</f>
        <v>12.81538888888889</v>
      </c>
      <c r="P11647" s="8" t="s">
        <v>49200</v>
      </c>
      <c r="Q11647" s="8">
        <f>+(14+54/60+26/3600)</f>
        <v>14.907222222222222</v>
      </c>
      <c r="R11647" s="8">
        <v>13.6</v>
      </c>
      <c r="S11647" s="8">
        <v>14.5</v>
      </c>
      <c r="T11647" s="8">
        <v>0.9</v>
      </c>
      <c r="U11647" s="8">
        <v>13.2</v>
      </c>
      <c r="V11647" s="8">
        <v>1.4</v>
      </c>
      <c r="W11647" s="8">
        <v>0.5</v>
      </c>
      <c r="X11647" s="8">
        <v>177</v>
      </c>
      <c r="Y11647" s="8" t="s">
        <v>49201</v>
      </c>
      <c r="Z11647" s="8" t="s">
        <v>49202</v>
      </c>
    </row>
    <row r="11648" spans="1:26" x14ac:dyDescent="0.2">
      <c r="A11648" s="8">
        <v>11647</v>
      </c>
      <c r="B11648" s="8" t="s">
        <v>49203</v>
      </c>
      <c r="C11648" s="8" t="s">
        <v>49203</v>
      </c>
      <c r="G11648" s="8">
        <v>20</v>
      </c>
      <c r="H11648" s="8" t="s">
        <v>21</v>
      </c>
      <c r="I11648" s="8" t="s">
        <v>329</v>
      </c>
      <c r="J11648" s="8" t="s">
        <v>329</v>
      </c>
      <c r="K11648" s="8" t="s">
        <v>329</v>
      </c>
      <c r="L11648" s="8" t="s">
        <v>17287</v>
      </c>
      <c r="M11648" s="8" t="s">
        <v>17288</v>
      </c>
      <c r="N11648" s="8" t="s">
        <v>49204</v>
      </c>
      <c r="O11648" s="8">
        <f>12+49/60+30/3600</f>
        <v>12.824999999999999</v>
      </c>
      <c r="P11648" s="8" t="s">
        <v>49205</v>
      </c>
      <c r="Q11648" s="8">
        <f>-(4+24/60+6/3600)</f>
        <v>-4.4016666666666673</v>
      </c>
      <c r="R11648" s="8">
        <v>99</v>
      </c>
      <c r="S11648" s="8">
        <v>99</v>
      </c>
      <c r="T11648" s="8">
        <v>99</v>
      </c>
      <c r="U11648" s="8">
        <v>99</v>
      </c>
      <c r="Y11648" s="8" t="s">
        <v>49206</v>
      </c>
      <c r="Z11648" s="8" t="s">
        <v>49207</v>
      </c>
    </row>
    <row r="11649" spans="1:26" x14ac:dyDescent="0.2">
      <c r="A11649" s="8">
        <v>11648</v>
      </c>
      <c r="B11649" s="8" t="s">
        <v>49208</v>
      </c>
      <c r="C11649" s="8" t="s">
        <v>49208</v>
      </c>
      <c r="G11649" s="8">
        <v>20</v>
      </c>
      <c r="H11649" s="8" t="s">
        <v>21</v>
      </c>
      <c r="I11649" s="8" t="s">
        <v>22</v>
      </c>
      <c r="J11649" s="8" t="s">
        <v>22</v>
      </c>
      <c r="K11649" s="8" t="s">
        <v>396</v>
      </c>
      <c r="L11649" s="8" t="s">
        <v>18681</v>
      </c>
      <c r="M11649" s="8" t="s">
        <v>18682</v>
      </c>
      <c r="N11649" s="8" t="s">
        <v>49209</v>
      </c>
      <c r="O11649" s="8">
        <f>12+48/60+58.8/3600</f>
        <v>12.816333333333334</v>
      </c>
      <c r="P11649" s="8" t="s">
        <v>49210</v>
      </c>
      <c r="Q11649" s="8">
        <f>+(40+35/60+45/3600)</f>
        <v>40.595833333333339</v>
      </c>
      <c r="R11649" s="8">
        <v>14.7</v>
      </c>
      <c r="S11649" s="8">
        <v>15.5</v>
      </c>
      <c r="T11649" s="8">
        <v>0.8</v>
      </c>
      <c r="U11649" s="8">
        <v>13.8</v>
      </c>
      <c r="V11649" s="8">
        <v>0.7</v>
      </c>
      <c r="W11649" s="8">
        <v>0.3</v>
      </c>
      <c r="X11649" s="8">
        <v>160</v>
      </c>
      <c r="Y11649" s="8" t="s">
        <v>21</v>
      </c>
      <c r="Z11649" s="8" t="s">
        <v>49211</v>
      </c>
    </row>
    <row r="11650" spans="1:26" x14ac:dyDescent="0.2">
      <c r="A11650" s="8">
        <v>11649</v>
      </c>
      <c r="B11650" s="8" t="s">
        <v>49212</v>
      </c>
      <c r="C11650" s="8" t="s">
        <v>49212</v>
      </c>
      <c r="G11650" s="8">
        <v>20</v>
      </c>
      <c r="H11650" s="8" t="s">
        <v>21</v>
      </c>
      <c r="I11650" s="8" t="s">
        <v>22</v>
      </c>
      <c r="J11650" s="8" t="s">
        <v>22</v>
      </c>
      <c r="K11650" s="8" t="s">
        <v>50</v>
      </c>
      <c r="L11650" s="8" t="s">
        <v>18681</v>
      </c>
      <c r="M11650" s="8" t="s">
        <v>18682</v>
      </c>
      <c r="N11650" s="8" t="s">
        <v>49187</v>
      </c>
      <c r="O11650" s="8">
        <f>12+49/60+4.4/3600</f>
        <v>12.817888888888888</v>
      </c>
      <c r="P11650" s="8" t="s">
        <v>49213</v>
      </c>
      <c r="Q11650" s="8">
        <f>+(36+29/60+22/3600)</f>
        <v>36.489444444444445</v>
      </c>
      <c r="R11650" s="8">
        <v>15.6</v>
      </c>
      <c r="S11650" s="8">
        <v>16.600000000000001</v>
      </c>
      <c r="T11650" s="8">
        <v>1</v>
      </c>
      <c r="U11650" s="8">
        <v>13.6</v>
      </c>
      <c r="V11650" s="8">
        <v>0.5</v>
      </c>
      <c r="W11650" s="8">
        <v>0.3</v>
      </c>
      <c r="X11650" s="8">
        <v>170</v>
      </c>
      <c r="Y11650" s="8" t="s">
        <v>48426</v>
      </c>
      <c r="Z11650" s="8" t="s">
        <v>48427</v>
      </c>
    </row>
    <row r="11651" spans="1:26" x14ac:dyDescent="0.2">
      <c r="A11651" s="8">
        <v>11650</v>
      </c>
      <c r="B11651" s="8" t="s">
        <v>49214</v>
      </c>
      <c r="C11651" s="8" t="s">
        <v>49214</v>
      </c>
      <c r="G11651" s="8">
        <v>20</v>
      </c>
      <c r="H11651" s="8" t="s">
        <v>21</v>
      </c>
      <c r="I11651" s="8" t="s">
        <v>72</v>
      </c>
      <c r="J11651" s="8" t="s">
        <v>72</v>
      </c>
      <c r="K11651" s="8" t="s">
        <v>20</v>
      </c>
      <c r="L11651" s="8" t="s">
        <v>18681</v>
      </c>
      <c r="M11651" s="8" t="s">
        <v>18682</v>
      </c>
      <c r="N11651" s="8" t="s">
        <v>49215</v>
      </c>
      <c r="O11651" s="8">
        <f>12+49/60+3.2/3600</f>
        <v>12.817555555555556</v>
      </c>
      <c r="P11651" s="8" t="s">
        <v>49216</v>
      </c>
      <c r="Q11651" s="8">
        <f>+(40+38/60+47/3600)</f>
        <v>40.646388888888886</v>
      </c>
      <c r="R11651" s="8">
        <v>99</v>
      </c>
      <c r="S11651" s="8">
        <v>99</v>
      </c>
      <c r="T11651" s="8">
        <v>99</v>
      </c>
      <c r="U11651" s="8">
        <v>99</v>
      </c>
      <c r="Y11651" s="8" t="s">
        <v>49217</v>
      </c>
      <c r="Z11651" s="8" t="s">
        <v>49218</v>
      </c>
    </row>
    <row r="11652" spans="1:26" x14ac:dyDescent="0.2">
      <c r="A11652" s="8">
        <v>11651</v>
      </c>
      <c r="B11652" s="8" t="s">
        <v>49219</v>
      </c>
      <c r="C11652" s="8" t="s">
        <v>49219</v>
      </c>
      <c r="G11652" s="8">
        <v>20</v>
      </c>
      <c r="H11652" s="8" t="s">
        <v>21</v>
      </c>
      <c r="I11652" s="8" t="s">
        <v>72</v>
      </c>
      <c r="J11652" s="8" t="s">
        <v>72</v>
      </c>
      <c r="K11652" s="8" t="s">
        <v>20</v>
      </c>
      <c r="L11652" s="8" t="s">
        <v>18289</v>
      </c>
      <c r="M11652" s="8" t="s">
        <v>18290</v>
      </c>
      <c r="N11652" s="8" t="s">
        <v>49220</v>
      </c>
      <c r="O11652" s="8">
        <f>12+49/60+25.6/3600</f>
        <v>12.823777777777778</v>
      </c>
      <c r="P11652" s="8" t="s">
        <v>49221</v>
      </c>
      <c r="Q11652" s="8">
        <f>+(21+27/60+44/3600)</f>
        <v>21.46222222222222</v>
      </c>
      <c r="R11652" s="8">
        <v>99</v>
      </c>
      <c r="S11652" s="8">
        <v>15.1</v>
      </c>
      <c r="T11652" s="8">
        <v>99</v>
      </c>
      <c r="U11652" s="8">
        <v>99</v>
      </c>
      <c r="Y11652" s="8" t="s">
        <v>49222</v>
      </c>
      <c r="Z11652" s="8" t="s">
        <v>49223</v>
      </c>
    </row>
    <row r="11653" spans="1:26" x14ac:dyDescent="0.2">
      <c r="A11653" s="8">
        <v>11652</v>
      </c>
      <c r="B11653" s="8" t="s">
        <v>49224</v>
      </c>
      <c r="C11653" s="8" t="s">
        <v>49224</v>
      </c>
      <c r="G11653" s="8">
        <v>20</v>
      </c>
      <c r="H11653" s="8" t="s">
        <v>21</v>
      </c>
      <c r="I11653" s="8" t="s">
        <v>22</v>
      </c>
      <c r="J11653" s="8" t="s">
        <v>22</v>
      </c>
      <c r="K11653" s="8" t="s">
        <v>396</v>
      </c>
      <c r="L11653" s="8" t="s">
        <v>17287</v>
      </c>
      <c r="M11653" s="8" t="s">
        <v>17288</v>
      </c>
      <c r="N11653" s="8" t="s">
        <v>49225</v>
      </c>
      <c r="O11653" s="8">
        <f>12+49/60+53.8/3600</f>
        <v>12.83161111111111</v>
      </c>
      <c r="P11653" s="8" t="s">
        <v>49226</v>
      </c>
      <c r="Q11653" s="8">
        <f>-(6+43/60+2/3600)</f>
        <v>-6.7172222222222224</v>
      </c>
      <c r="R11653" s="8">
        <v>14.1</v>
      </c>
      <c r="S11653" s="8">
        <v>15</v>
      </c>
      <c r="T11653" s="8">
        <v>0.9</v>
      </c>
      <c r="U11653" s="8">
        <v>13.3</v>
      </c>
      <c r="V11653" s="8">
        <v>1.1000000000000001</v>
      </c>
      <c r="W11653" s="8">
        <v>0.5</v>
      </c>
      <c r="X11653" s="8">
        <v>3</v>
      </c>
      <c r="Y11653" s="8" t="s">
        <v>49227</v>
      </c>
      <c r="Z11653" s="8" t="s">
        <v>49228</v>
      </c>
    </row>
    <row r="11654" spans="1:26" x14ac:dyDescent="0.2">
      <c r="A11654" s="8">
        <v>11653</v>
      </c>
      <c r="B11654" s="8" t="s">
        <v>49229</v>
      </c>
      <c r="C11654" s="8" t="s">
        <v>49229</v>
      </c>
      <c r="G11654" s="8">
        <v>20</v>
      </c>
      <c r="H11654" s="8" t="s">
        <v>21</v>
      </c>
      <c r="I11654" s="8" t="s">
        <v>22</v>
      </c>
      <c r="J11654" s="8" t="s">
        <v>22</v>
      </c>
      <c r="K11654" s="8" t="s">
        <v>224</v>
      </c>
      <c r="L11654" s="8" t="s">
        <v>11765</v>
      </c>
      <c r="M11654" s="8" t="s">
        <v>11766</v>
      </c>
      <c r="N11654" s="8" t="s">
        <v>49230</v>
      </c>
      <c r="O11654" s="8">
        <f>12+50/60+2.3/3600</f>
        <v>12.833972222222222</v>
      </c>
      <c r="P11654" s="8" t="s">
        <v>49231</v>
      </c>
      <c r="Q11654" s="8">
        <f>-(25+55/60+12/3600)</f>
        <v>-25.92</v>
      </c>
      <c r="R11654" s="8">
        <v>12.6</v>
      </c>
      <c r="S11654" s="8">
        <v>13.6</v>
      </c>
      <c r="T11654" s="8">
        <v>1</v>
      </c>
      <c r="U11654" s="8">
        <v>12.7</v>
      </c>
      <c r="V11654" s="8">
        <v>1.3</v>
      </c>
      <c r="W11654" s="8">
        <v>0.9</v>
      </c>
      <c r="X11654" s="8">
        <v>171</v>
      </c>
      <c r="Y11654" s="8" t="s">
        <v>49232</v>
      </c>
      <c r="Z11654" s="8" t="s">
        <v>49233</v>
      </c>
    </row>
    <row r="11655" spans="1:26" x14ac:dyDescent="0.2">
      <c r="A11655" s="8">
        <v>11654</v>
      </c>
      <c r="B11655" s="8" t="s">
        <v>49234</v>
      </c>
      <c r="C11655" s="8" t="s">
        <v>49234</v>
      </c>
      <c r="G11655" s="8">
        <v>20</v>
      </c>
      <c r="H11655" s="8" t="s">
        <v>21</v>
      </c>
      <c r="I11655" s="8" t="s">
        <v>22</v>
      </c>
      <c r="J11655" s="8" t="s">
        <v>22</v>
      </c>
      <c r="K11655" s="8" t="s">
        <v>23</v>
      </c>
      <c r="L11655" s="8" t="s">
        <v>18289</v>
      </c>
      <c r="M11655" s="8" t="s">
        <v>18290</v>
      </c>
      <c r="N11655" s="8" t="s">
        <v>49235</v>
      </c>
      <c r="O11655" s="8">
        <f>12+49/60+32.2/3600</f>
        <v>12.825611111111112</v>
      </c>
      <c r="P11655" s="8" t="s">
        <v>49236</v>
      </c>
      <c r="Q11655" s="8">
        <f>+(20+3/60+0/3600)</f>
        <v>20.05</v>
      </c>
      <c r="R11655" s="8">
        <v>15.7</v>
      </c>
      <c r="S11655" s="8">
        <v>16.5</v>
      </c>
      <c r="T11655" s="8">
        <v>0.8</v>
      </c>
      <c r="U11655" s="8">
        <v>13.8</v>
      </c>
      <c r="V11655" s="8">
        <v>0.5</v>
      </c>
      <c r="W11655" s="8">
        <v>0.4</v>
      </c>
      <c r="X11655" s="8">
        <v>125</v>
      </c>
      <c r="Y11655" s="8" t="s">
        <v>49237</v>
      </c>
      <c r="Z11655" s="8" t="s">
        <v>49238</v>
      </c>
    </row>
    <row r="11656" spans="1:26" x14ac:dyDescent="0.2">
      <c r="A11656" s="8">
        <v>11655</v>
      </c>
      <c r="B11656" s="8" t="s">
        <v>49239</v>
      </c>
      <c r="C11656" s="8" t="s">
        <v>49239</v>
      </c>
      <c r="G11656" s="8">
        <v>20</v>
      </c>
      <c r="H11656" s="8" t="s">
        <v>21</v>
      </c>
      <c r="I11656" s="8" t="s">
        <v>22</v>
      </c>
      <c r="J11656" s="8" t="s">
        <v>22</v>
      </c>
      <c r="K11656" s="8" t="s">
        <v>476</v>
      </c>
      <c r="L11656" s="8" t="s">
        <v>18289</v>
      </c>
      <c r="M11656" s="8" t="s">
        <v>18290</v>
      </c>
      <c r="N11656" s="8" t="s">
        <v>49240</v>
      </c>
      <c r="O11656" s="8">
        <f>12+49/60+38.5/3600</f>
        <v>12.827361111111111</v>
      </c>
      <c r="P11656" s="8" t="s">
        <v>49241</v>
      </c>
      <c r="Q11656" s="8">
        <f>+(19+16/60+29/3600)</f>
        <v>19.27472222222222</v>
      </c>
      <c r="R11656" s="8">
        <v>15.9</v>
      </c>
      <c r="S11656" s="8">
        <v>16.7</v>
      </c>
      <c r="T11656" s="8">
        <v>0.8</v>
      </c>
      <c r="U11656" s="8">
        <v>13.3</v>
      </c>
      <c r="V11656" s="8">
        <v>0.5</v>
      </c>
      <c r="W11656" s="8">
        <v>0.2</v>
      </c>
      <c r="X11656" s="8">
        <v>160</v>
      </c>
      <c r="Y11656" s="8" t="s">
        <v>421</v>
      </c>
      <c r="Z11656" s="8" t="s">
        <v>422</v>
      </c>
    </row>
    <row r="11657" spans="1:26" x14ac:dyDescent="0.2">
      <c r="A11657" s="8">
        <v>11656</v>
      </c>
      <c r="B11657" s="8" t="s">
        <v>49242</v>
      </c>
      <c r="C11657" s="8" t="s">
        <v>49242</v>
      </c>
      <c r="G11657" s="8">
        <v>20</v>
      </c>
      <c r="H11657" s="8" t="s">
        <v>21</v>
      </c>
      <c r="I11657" s="8" t="s">
        <v>22</v>
      </c>
      <c r="J11657" s="8" t="s">
        <v>22</v>
      </c>
      <c r="K11657" s="8" t="s">
        <v>424</v>
      </c>
      <c r="L11657" s="8" t="s">
        <v>18681</v>
      </c>
      <c r="M11657" s="8" t="s">
        <v>18682</v>
      </c>
      <c r="N11657" s="8" t="s">
        <v>49243</v>
      </c>
      <c r="O11657" s="8">
        <f>12+49/60+28.4/3600</f>
        <v>12.824555555555555</v>
      </c>
      <c r="P11657" s="8" t="s">
        <v>49244</v>
      </c>
      <c r="Q11657" s="8">
        <f>+(37+13/60+51/3600)</f>
        <v>37.230833333333337</v>
      </c>
      <c r="R11657" s="8">
        <v>14.4</v>
      </c>
      <c r="S11657" s="8">
        <v>15.4</v>
      </c>
      <c r="T11657" s="8">
        <v>1</v>
      </c>
      <c r="U11657" s="8">
        <v>12.7</v>
      </c>
      <c r="V11657" s="8">
        <v>0.5</v>
      </c>
      <c r="W11657" s="8">
        <v>0.5</v>
      </c>
      <c r="Y11657" s="8" t="s">
        <v>18110</v>
      </c>
      <c r="Z11657" s="8" t="s">
        <v>18111</v>
      </c>
    </row>
    <row r="11658" spans="1:26" x14ac:dyDescent="0.2">
      <c r="A11658" s="8">
        <v>11657</v>
      </c>
      <c r="B11658" s="8" t="s">
        <v>49245</v>
      </c>
      <c r="C11658" s="8" t="s">
        <v>49245</v>
      </c>
      <c r="G11658" s="8">
        <v>20</v>
      </c>
      <c r="H11658" s="8" t="s">
        <v>21</v>
      </c>
      <c r="I11658" s="8" t="s">
        <v>22</v>
      </c>
      <c r="J11658" s="8" t="s">
        <v>22</v>
      </c>
      <c r="K11658" s="8" t="s">
        <v>1174</v>
      </c>
      <c r="L11658" s="8" t="s">
        <v>18289</v>
      </c>
      <c r="M11658" s="8" t="s">
        <v>18290</v>
      </c>
      <c r="N11658" s="8" t="s">
        <v>49246</v>
      </c>
      <c r="O11658" s="8">
        <f>12+49/60+43.4/3600</f>
        <v>12.828722222222222</v>
      </c>
      <c r="P11658" s="8" t="s">
        <v>49247</v>
      </c>
      <c r="Q11658" s="8">
        <f>+(22+49/60+54/3600)</f>
        <v>22.831666666666667</v>
      </c>
      <c r="R11658" s="8">
        <v>16.2</v>
      </c>
      <c r="S11658" s="8">
        <v>17</v>
      </c>
      <c r="T11658" s="8">
        <v>0.8</v>
      </c>
      <c r="U11658" s="8">
        <v>13</v>
      </c>
      <c r="V11658" s="8">
        <v>0.3</v>
      </c>
      <c r="W11658" s="8">
        <v>0.2</v>
      </c>
      <c r="X11658" s="8">
        <v>40</v>
      </c>
      <c r="Y11658" s="8" t="s">
        <v>21</v>
      </c>
      <c r="Z11658" s="8" t="s">
        <v>49248</v>
      </c>
    </row>
    <row r="11659" spans="1:26" x14ac:dyDescent="0.2">
      <c r="A11659" s="8">
        <v>11658</v>
      </c>
      <c r="B11659" s="8" t="s">
        <v>49249</v>
      </c>
      <c r="C11659" s="8" t="s">
        <v>49249</v>
      </c>
      <c r="G11659" s="8">
        <v>20</v>
      </c>
      <c r="H11659" s="8" t="s">
        <v>21</v>
      </c>
      <c r="I11659" s="8" t="s">
        <v>22</v>
      </c>
      <c r="J11659" s="8" t="s">
        <v>22</v>
      </c>
      <c r="K11659" s="8" t="s">
        <v>449</v>
      </c>
      <c r="L11659" s="8" t="s">
        <v>18289</v>
      </c>
      <c r="M11659" s="8" t="s">
        <v>18290</v>
      </c>
      <c r="N11659" s="8" t="s">
        <v>49250</v>
      </c>
      <c r="O11659" s="8">
        <f>12+49/60+46.8/3600</f>
        <v>12.829666666666666</v>
      </c>
      <c r="P11659" s="8" t="s">
        <v>49251</v>
      </c>
      <c r="Q11659" s="8">
        <f>+(21+45/60+7/3600)</f>
        <v>21.751944444444444</v>
      </c>
      <c r="R11659" s="8">
        <v>15.2</v>
      </c>
      <c r="S11659" s="8">
        <v>16</v>
      </c>
      <c r="T11659" s="8">
        <v>0.8</v>
      </c>
      <c r="U11659" s="8">
        <v>12.6</v>
      </c>
      <c r="V11659" s="8">
        <v>0.5</v>
      </c>
      <c r="W11659" s="8">
        <v>0.2</v>
      </c>
      <c r="X11659" s="8">
        <v>178</v>
      </c>
      <c r="Y11659" s="8" t="s">
        <v>21</v>
      </c>
      <c r="Z11659" s="8" t="s">
        <v>49252</v>
      </c>
    </row>
    <row r="11660" spans="1:26" x14ac:dyDescent="0.2">
      <c r="A11660" s="8">
        <v>11659</v>
      </c>
      <c r="B11660" s="8" t="s">
        <v>49253</v>
      </c>
      <c r="C11660" s="8" t="s">
        <v>49253</v>
      </c>
      <c r="G11660" s="8">
        <v>20</v>
      </c>
      <c r="H11660" s="8" t="s">
        <v>21</v>
      </c>
      <c r="I11660" s="8" t="s">
        <v>22</v>
      </c>
      <c r="J11660" s="8" t="s">
        <v>22</v>
      </c>
      <c r="K11660" s="8" t="s">
        <v>382</v>
      </c>
      <c r="L11660" s="8" t="s">
        <v>15925</v>
      </c>
      <c r="M11660" s="8" t="s">
        <v>15926</v>
      </c>
      <c r="N11660" s="8" t="s">
        <v>49254</v>
      </c>
      <c r="O11660" s="8">
        <f>12+50/60+16.3/3600</f>
        <v>12.837861111111112</v>
      </c>
      <c r="P11660" s="8" t="s">
        <v>49255</v>
      </c>
      <c r="Q11660" s="8">
        <f>-(14+22/60+48/3600)</f>
        <v>-14.38</v>
      </c>
      <c r="R11660" s="8">
        <v>15.4</v>
      </c>
      <c r="S11660" s="8">
        <v>16.399999999999999</v>
      </c>
      <c r="T11660" s="8">
        <v>1</v>
      </c>
      <c r="U11660" s="8">
        <v>12.4</v>
      </c>
      <c r="V11660" s="8">
        <v>0.3</v>
      </c>
      <c r="W11660" s="8">
        <v>0.2</v>
      </c>
      <c r="X11660" s="8">
        <v>90</v>
      </c>
      <c r="Y11660" s="8" t="s">
        <v>49256</v>
      </c>
      <c r="Z11660" s="8" t="s">
        <v>49257</v>
      </c>
    </row>
    <row r="11661" spans="1:26" x14ac:dyDescent="0.2">
      <c r="A11661" s="8">
        <v>11660</v>
      </c>
      <c r="B11661" s="8" t="s">
        <v>49258</v>
      </c>
      <c r="C11661" s="8" t="s">
        <v>49258</v>
      </c>
      <c r="G11661" s="8">
        <v>20</v>
      </c>
      <c r="H11661" s="8" t="s">
        <v>21</v>
      </c>
      <c r="I11661" s="8" t="s">
        <v>22</v>
      </c>
      <c r="J11661" s="8" t="s">
        <v>22</v>
      </c>
      <c r="K11661" s="8" t="s">
        <v>424</v>
      </c>
      <c r="L11661" s="8" t="s">
        <v>18681</v>
      </c>
      <c r="M11661" s="8" t="s">
        <v>18682</v>
      </c>
      <c r="N11661" s="8" t="s">
        <v>49259</v>
      </c>
      <c r="O11661" s="8">
        <f>12+49/60+39/3600</f>
        <v>12.827500000000001</v>
      </c>
      <c r="P11661" s="8" t="s">
        <v>41255</v>
      </c>
      <c r="Q11661" s="8">
        <f>+(37+7/60+2/3600)</f>
        <v>37.117222222222225</v>
      </c>
      <c r="R11661" s="8">
        <v>15</v>
      </c>
      <c r="S11661" s="8">
        <v>16</v>
      </c>
      <c r="T11661" s="8">
        <v>1</v>
      </c>
      <c r="U11661" s="8">
        <v>11.4</v>
      </c>
      <c r="V11661" s="8">
        <v>0.2</v>
      </c>
      <c r="W11661" s="8">
        <v>0.2</v>
      </c>
      <c r="Y11661" s="8" t="s">
        <v>45086</v>
      </c>
      <c r="Z11661" s="8" t="s">
        <v>45087</v>
      </c>
    </row>
    <row r="11662" spans="1:26" x14ac:dyDescent="0.2">
      <c r="A11662" s="8">
        <v>11661</v>
      </c>
      <c r="B11662" s="8" t="s">
        <v>49260</v>
      </c>
      <c r="C11662" s="8" t="s">
        <v>49260</v>
      </c>
      <c r="G11662" s="8">
        <v>20</v>
      </c>
      <c r="H11662" s="8" t="s">
        <v>21</v>
      </c>
      <c r="I11662" s="8" t="s">
        <v>72</v>
      </c>
      <c r="J11662" s="8" t="s">
        <v>72</v>
      </c>
      <c r="K11662" s="8" t="s">
        <v>20</v>
      </c>
      <c r="L11662" s="8" t="s">
        <v>18289</v>
      </c>
      <c r="M11662" s="8" t="s">
        <v>18290</v>
      </c>
      <c r="N11662" s="8" t="s">
        <v>21283</v>
      </c>
      <c r="O11662" s="8">
        <f>12+49/60+57.6/3600</f>
        <v>12.832666666666666</v>
      </c>
      <c r="P11662" s="8" t="s">
        <v>49261</v>
      </c>
      <c r="Q11662" s="8">
        <f>+(20+58/60+7/3600)</f>
        <v>20.968611111111109</v>
      </c>
      <c r="R11662" s="8">
        <v>99</v>
      </c>
      <c r="S11662" s="8">
        <v>15.3</v>
      </c>
      <c r="T11662" s="8">
        <v>99</v>
      </c>
      <c r="U11662" s="8">
        <v>99</v>
      </c>
      <c r="Y11662" s="8" t="s">
        <v>45086</v>
      </c>
      <c r="Z11662" s="8" t="s">
        <v>45087</v>
      </c>
    </row>
    <row r="11663" spans="1:26" x14ac:dyDescent="0.2">
      <c r="A11663" s="8">
        <v>11662</v>
      </c>
      <c r="B11663" s="8" t="s">
        <v>49262</v>
      </c>
      <c r="C11663" s="8" t="s">
        <v>49262</v>
      </c>
      <c r="G11663" s="8">
        <v>20</v>
      </c>
      <c r="H11663" s="8" t="s">
        <v>21</v>
      </c>
      <c r="I11663" s="8" t="s">
        <v>22</v>
      </c>
      <c r="J11663" s="8" t="s">
        <v>22</v>
      </c>
      <c r="K11663" s="8" t="s">
        <v>160</v>
      </c>
      <c r="L11663" s="8" t="s">
        <v>15925</v>
      </c>
      <c r="M11663" s="8" t="s">
        <v>15926</v>
      </c>
      <c r="N11663" s="8" t="s">
        <v>49263</v>
      </c>
      <c r="O11663" s="8">
        <f>12+50/60+22.6/3600</f>
        <v>12.839611111111111</v>
      </c>
      <c r="P11663" s="8" t="s">
        <v>49264</v>
      </c>
      <c r="Q11663" s="8">
        <f>-(14+19/60+21/3600)</f>
        <v>-14.3225</v>
      </c>
      <c r="R11663" s="8">
        <v>14.5</v>
      </c>
      <c r="S11663" s="8">
        <v>15.2</v>
      </c>
      <c r="T11663" s="8">
        <v>0.7</v>
      </c>
      <c r="U11663" s="8">
        <v>13.1</v>
      </c>
      <c r="V11663" s="8">
        <v>1.2</v>
      </c>
      <c r="W11663" s="8">
        <v>0.1</v>
      </c>
      <c r="X11663" s="8">
        <v>33</v>
      </c>
      <c r="Y11663" s="8" t="s">
        <v>49265</v>
      </c>
      <c r="Z11663" s="8" t="s">
        <v>49266</v>
      </c>
    </row>
    <row r="11664" spans="1:26" x14ac:dyDescent="0.2">
      <c r="A11664" s="8">
        <v>11663</v>
      </c>
      <c r="B11664" s="8" t="s">
        <v>49267</v>
      </c>
      <c r="C11664" s="8" t="s">
        <v>49267</v>
      </c>
      <c r="G11664" s="8">
        <v>20</v>
      </c>
      <c r="H11664" s="8" t="s">
        <v>21</v>
      </c>
      <c r="I11664" s="8" t="s">
        <v>72</v>
      </c>
      <c r="J11664" s="8" t="s">
        <v>72</v>
      </c>
      <c r="K11664" s="8" t="s">
        <v>20</v>
      </c>
      <c r="L11664" s="8" t="s">
        <v>18681</v>
      </c>
      <c r="M11664" s="8" t="s">
        <v>18682</v>
      </c>
      <c r="N11664" s="8" t="s">
        <v>49268</v>
      </c>
      <c r="O11664" s="8">
        <f>12+49/60+44.3/3600</f>
        <v>12.828972222222221</v>
      </c>
      <c r="P11664" s="8" t="s">
        <v>49269</v>
      </c>
      <c r="Q11664" s="8">
        <f>+(40+53/60+5/3600)</f>
        <v>40.884722222222223</v>
      </c>
      <c r="R11664" s="8">
        <v>99</v>
      </c>
      <c r="S11664" s="8">
        <v>99</v>
      </c>
      <c r="T11664" s="8">
        <v>99</v>
      </c>
      <c r="U11664" s="8">
        <v>99</v>
      </c>
      <c r="Y11664" s="8" t="s">
        <v>45086</v>
      </c>
      <c r="Z11664" s="8" t="s">
        <v>45087</v>
      </c>
    </row>
    <row r="11665" spans="1:26" x14ac:dyDescent="0.2">
      <c r="A11665" s="8">
        <v>11664</v>
      </c>
      <c r="B11665" s="8" t="s">
        <v>49270</v>
      </c>
      <c r="C11665" s="8" t="s">
        <v>49270</v>
      </c>
      <c r="G11665" s="8">
        <v>20</v>
      </c>
      <c r="H11665" s="8" t="s">
        <v>21</v>
      </c>
      <c r="I11665" s="8" t="s">
        <v>22</v>
      </c>
      <c r="J11665" s="8" t="s">
        <v>22</v>
      </c>
      <c r="K11665" s="8" t="s">
        <v>50</v>
      </c>
      <c r="L11665" s="8" t="s">
        <v>15925</v>
      </c>
      <c r="M11665" s="8" t="s">
        <v>15926</v>
      </c>
      <c r="N11665" s="8" t="s">
        <v>49271</v>
      </c>
      <c r="O11665" s="8">
        <f>12+50/60+30.5/3600</f>
        <v>12.841805555555556</v>
      </c>
      <c r="P11665" s="8" t="s">
        <v>49272</v>
      </c>
      <c r="Q11665" s="8">
        <f>-(14+25/60+31/3600)</f>
        <v>-14.425277777777778</v>
      </c>
      <c r="R11665" s="8">
        <v>14.6</v>
      </c>
      <c r="S11665" s="8">
        <v>15.6</v>
      </c>
      <c r="T11665" s="8">
        <v>1</v>
      </c>
      <c r="U11665" s="8">
        <v>12.6</v>
      </c>
      <c r="V11665" s="8">
        <v>0.5</v>
      </c>
      <c r="W11665" s="8">
        <v>0.3</v>
      </c>
      <c r="X11665" s="8">
        <v>0</v>
      </c>
      <c r="Y11665" s="8" t="s">
        <v>49273</v>
      </c>
      <c r="Z11665" s="8" t="s">
        <v>49274</v>
      </c>
    </row>
    <row r="11666" spans="1:26" x14ac:dyDescent="0.2">
      <c r="A11666" s="8">
        <v>11665</v>
      </c>
      <c r="B11666" s="8" t="s">
        <v>49275</v>
      </c>
      <c r="C11666" s="8" t="s">
        <v>49275</v>
      </c>
      <c r="G11666" s="8">
        <v>20</v>
      </c>
      <c r="H11666" s="8" t="s">
        <v>21</v>
      </c>
      <c r="I11666" s="8" t="s">
        <v>22</v>
      </c>
      <c r="J11666" s="8" t="s">
        <v>22</v>
      </c>
      <c r="K11666" s="8" t="s">
        <v>449</v>
      </c>
      <c r="L11666" s="8" t="s">
        <v>15925</v>
      </c>
      <c r="M11666" s="8" t="s">
        <v>15926</v>
      </c>
      <c r="N11666" s="8" t="s">
        <v>49276</v>
      </c>
      <c r="O11666" s="8">
        <f>12+50/60+37/3600</f>
        <v>12.843611111111112</v>
      </c>
      <c r="P11666" s="8" t="s">
        <v>49277</v>
      </c>
      <c r="Q11666" s="8">
        <f>-(14+28/60+58/3600)</f>
        <v>-14.482777777777779</v>
      </c>
      <c r="R11666" s="8">
        <v>15.2</v>
      </c>
      <c r="S11666" s="8">
        <v>16</v>
      </c>
      <c r="T11666" s="8">
        <v>0.8</v>
      </c>
      <c r="U11666" s="8">
        <v>12</v>
      </c>
      <c r="V11666" s="8">
        <v>0.3</v>
      </c>
      <c r="W11666" s="8">
        <v>0.2</v>
      </c>
      <c r="X11666" s="8">
        <v>5</v>
      </c>
      <c r="Y11666" s="8" t="s">
        <v>49278</v>
      </c>
      <c r="Z11666" s="8" t="s">
        <v>49279</v>
      </c>
    </row>
    <row r="11667" spans="1:26" x14ac:dyDescent="0.2">
      <c r="A11667" s="8">
        <v>11666</v>
      </c>
      <c r="B11667" s="8" t="s">
        <v>49280</v>
      </c>
      <c r="C11667" s="8" t="s">
        <v>49280</v>
      </c>
      <c r="G11667" s="8">
        <v>20</v>
      </c>
      <c r="H11667" s="8" t="s">
        <v>21</v>
      </c>
      <c r="I11667" s="8" t="s">
        <v>22</v>
      </c>
      <c r="J11667" s="8" t="s">
        <v>22</v>
      </c>
      <c r="K11667" s="8" t="s">
        <v>37</v>
      </c>
      <c r="L11667" s="8" t="s">
        <v>17287</v>
      </c>
      <c r="M11667" s="8" t="s">
        <v>17288</v>
      </c>
      <c r="N11667" s="8" t="s">
        <v>49281</v>
      </c>
      <c r="O11667" s="8">
        <f>12+50/60+39.8/3600</f>
        <v>12.84438888888889</v>
      </c>
      <c r="P11667" s="8" t="s">
        <v>49282</v>
      </c>
      <c r="Q11667" s="8">
        <f>-(9+1/60+51/3600)</f>
        <v>-9.0308333333333337</v>
      </c>
      <c r="R11667" s="8">
        <v>13.2</v>
      </c>
      <c r="S11667" s="8">
        <v>14.2</v>
      </c>
      <c r="T11667" s="8">
        <v>1</v>
      </c>
      <c r="U11667" s="8">
        <v>13.5</v>
      </c>
      <c r="V11667" s="8">
        <v>1.9</v>
      </c>
      <c r="W11667" s="8">
        <v>0.8</v>
      </c>
      <c r="X11667" s="8">
        <v>177</v>
      </c>
      <c r="Y11667" s="8" t="s">
        <v>5916</v>
      </c>
      <c r="Z11667" s="8" t="s">
        <v>5917</v>
      </c>
    </row>
    <row r="11668" spans="1:26" x14ac:dyDescent="0.2">
      <c r="A11668" s="8">
        <v>11667</v>
      </c>
      <c r="B11668" s="8" t="s">
        <v>49283</v>
      </c>
      <c r="C11668" s="8" t="s">
        <v>49283</v>
      </c>
      <c r="G11668" s="8">
        <v>20</v>
      </c>
      <c r="H11668" s="8" t="s">
        <v>21</v>
      </c>
      <c r="I11668" s="8" t="s">
        <v>22</v>
      </c>
      <c r="J11668" s="8" t="s">
        <v>57</v>
      </c>
      <c r="K11668" s="8" t="s">
        <v>160</v>
      </c>
      <c r="L11668" s="8" t="s">
        <v>15925</v>
      </c>
      <c r="M11668" s="8" t="s">
        <v>15926</v>
      </c>
      <c r="N11668" s="8" t="s">
        <v>49284</v>
      </c>
      <c r="O11668" s="8">
        <f>12+50/60+51.8/3600</f>
        <v>12.847722222222222</v>
      </c>
      <c r="P11668" s="8" t="s">
        <v>49285</v>
      </c>
      <c r="Q11668" s="8">
        <f>-(14+29/60+30/3600)</f>
        <v>-14.491666666666665</v>
      </c>
      <c r="R11668" s="8">
        <v>13.4</v>
      </c>
      <c r="S11668" s="8">
        <v>14.1</v>
      </c>
      <c r="T11668" s="8">
        <v>0.7</v>
      </c>
      <c r="U11668" s="8">
        <v>12.6</v>
      </c>
      <c r="V11668" s="8">
        <v>0.8</v>
      </c>
      <c r="W11668" s="8">
        <v>0.7</v>
      </c>
      <c r="X11668" s="8">
        <v>60</v>
      </c>
      <c r="Y11668" s="8" t="s">
        <v>21</v>
      </c>
      <c r="Z11668" s="8" t="s">
        <v>49286</v>
      </c>
    </row>
    <row r="11669" spans="1:26" x14ac:dyDescent="0.2">
      <c r="A11669" s="8">
        <v>11668</v>
      </c>
      <c r="B11669" s="8" t="s">
        <v>49287</v>
      </c>
      <c r="C11669" s="8" t="s">
        <v>49287</v>
      </c>
      <c r="G11669" s="8">
        <v>20</v>
      </c>
      <c r="H11669" s="8" t="s">
        <v>21</v>
      </c>
      <c r="I11669" s="8" t="s">
        <v>22</v>
      </c>
      <c r="J11669" s="8" t="s">
        <v>22</v>
      </c>
      <c r="K11669" s="8" t="s">
        <v>449</v>
      </c>
      <c r="L11669" s="8" t="s">
        <v>18681</v>
      </c>
      <c r="M11669" s="8" t="s">
        <v>18682</v>
      </c>
      <c r="N11669" s="8" t="s">
        <v>49288</v>
      </c>
      <c r="O11669" s="8">
        <f>12+50/60+20.6/3600</f>
        <v>12.839055555555555</v>
      </c>
      <c r="P11669" s="8" t="s">
        <v>49289</v>
      </c>
      <c r="Q11669" s="8">
        <f>+(37+56/60+58/3600)</f>
        <v>37.949444444444438</v>
      </c>
      <c r="R11669" s="8">
        <v>15.2</v>
      </c>
      <c r="S11669" s="8">
        <v>16</v>
      </c>
      <c r="T11669" s="8">
        <v>0.8</v>
      </c>
      <c r="U11669" s="8">
        <v>12</v>
      </c>
      <c r="V11669" s="8">
        <v>0.3</v>
      </c>
      <c r="W11669" s="8">
        <v>0.2</v>
      </c>
      <c r="X11669" s="8">
        <v>50</v>
      </c>
      <c r="Y11669" s="8" t="s">
        <v>49290</v>
      </c>
      <c r="Z11669" s="8" t="s">
        <v>49291</v>
      </c>
    </row>
    <row r="11670" spans="1:26" x14ac:dyDescent="0.2">
      <c r="A11670" s="8">
        <v>11669</v>
      </c>
      <c r="B11670" s="8" t="s">
        <v>49292</v>
      </c>
      <c r="C11670" s="8" t="s">
        <v>49292</v>
      </c>
      <c r="G11670" s="8">
        <v>20</v>
      </c>
      <c r="H11670" s="8" t="s">
        <v>21</v>
      </c>
      <c r="I11670" s="8" t="s">
        <v>22</v>
      </c>
      <c r="J11670" s="8" t="s">
        <v>22</v>
      </c>
      <c r="K11670" s="8" t="s">
        <v>160</v>
      </c>
      <c r="L11670" s="8" t="s">
        <v>11765</v>
      </c>
      <c r="M11670" s="8" t="s">
        <v>11766</v>
      </c>
      <c r="N11670" s="8" t="s">
        <v>49293</v>
      </c>
      <c r="O11670" s="8">
        <f>12+51/60+32.5/3600</f>
        <v>12.859027777777778</v>
      </c>
      <c r="P11670" s="8" t="s">
        <v>49294</v>
      </c>
      <c r="Q11670" s="8">
        <f>-(27+46/60+59/3600)</f>
        <v>-27.783055555555556</v>
      </c>
      <c r="R11670" s="8">
        <v>12.9</v>
      </c>
      <c r="S11670" s="8">
        <v>13.7</v>
      </c>
      <c r="T11670" s="8">
        <v>0.8</v>
      </c>
      <c r="U11670" s="8">
        <v>13.9</v>
      </c>
      <c r="V11670" s="8">
        <v>1.9</v>
      </c>
      <c r="W11670" s="8">
        <v>1.1000000000000001</v>
      </c>
      <c r="X11670" s="8">
        <v>115</v>
      </c>
      <c r="Y11670" s="8" t="s">
        <v>21</v>
      </c>
      <c r="Z11670" s="8" t="s">
        <v>49295</v>
      </c>
    </row>
    <row r="11671" spans="1:26" x14ac:dyDescent="0.2">
      <c r="A11671" s="8">
        <v>11670</v>
      </c>
      <c r="B11671" s="8" t="s">
        <v>49296</v>
      </c>
      <c r="C11671" s="8" t="s">
        <v>49296</v>
      </c>
      <c r="G11671" s="8">
        <v>20</v>
      </c>
      <c r="H11671" s="8" t="s">
        <v>21</v>
      </c>
      <c r="I11671" s="8" t="s">
        <v>72</v>
      </c>
      <c r="J11671" s="8" t="s">
        <v>72</v>
      </c>
      <c r="K11671" s="8" t="s">
        <v>20</v>
      </c>
      <c r="L11671" s="8" t="s">
        <v>18289</v>
      </c>
      <c r="M11671" s="8" t="s">
        <v>18290</v>
      </c>
      <c r="N11671" s="8" t="s">
        <v>49297</v>
      </c>
      <c r="O11671" s="8">
        <f>12+50/60+51.3/3600</f>
        <v>12.847583333333334</v>
      </c>
      <c r="P11671" s="8" t="s">
        <v>49298</v>
      </c>
      <c r="Q11671" s="8">
        <f>+(19+50/60+10/3600)</f>
        <v>19.836111111111109</v>
      </c>
      <c r="R11671" s="8">
        <v>99</v>
      </c>
      <c r="S11671" s="8">
        <v>99</v>
      </c>
      <c r="T11671" s="8">
        <v>99</v>
      </c>
      <c r="U11671" s="8">
        <v>99</v>
      </c>
      <c r="Y11671" s="8" t="s">
        <v>48996</v>
      </c>
      <c r="Z11671" s="8" t="s">
        <v>48997</v>
      </c>
    </row>
    <row r="11672" spans="1:26" x14ac:dyDescent="0.2">
      <c r="A11672" s="8">
        <v>11671</v>
      </c>
      <c r="B11672" s="8" t="s">
        <v>49299</v>
      </c>
      <c r="C11672" s="8" t="s">
        <v>49299</v>
      </c>
      <c r="G11672" s="8">
        <v>20</v>
      </c>
      <c r="H11672" s="8" t="s">
        <v>21</v>
      </c>
      <c r="I11672" s="8" t="s">
        <v>22</v>
      </c>
      <c r="J11672" s="8" t="s">
        <v>22</v>
      </c>
      <c r="K11672" s="8" t="s">
        <v>37</v>
      </c>
      <c r="L11672" s="8" t="s">
        <v>15925</v>
      </c>
      <c r="M11672" s="8" t="s">
        <v>15926</v>
      </c>
      <c r="N11672" s="8" t="s">
        <v>49300</v>
      </c>
      <c r="O11672" s="8">
        <f>12+51/60+18.5/3600</f>
        <v>12.855138888888888</v>
      </c>
      <c r="P11672" s="8" t="s">
        <v>49301</v>
      </c>
      <c r="Q11672" s="8">
        <f>-(14+34/60+24/3600)</f>
        <v>-14.573333333333332</v>
      </c>
      <c r="R11672" s="8">
        <v>12.6</v>
      </c>
      <c r="S11672" s="8">
        <v>13.6</v>
      </c>
      <c r="T11672" s="8">
        <v>1</v>
      </c>
      <c r="U11672" s="8">
        <v>12.8</v>
      </c>
      <c r="V11672" s="8">
        <v>1.4</v>
      </c>
      <c r="W11672" s="8">
        <v>0.9</v>
      </c>
      <c r="X11672" s="8">
        <v>151</v>
      </c>
      <c r="Y11672" s="8" t="s">
        <v>49302</v>
      </c>
      <c r="Z11672" s="8" t="s">
        <v>49303</v>
      </c>
    </row>
    <row r="11673" spans="1:26" x14ac:dyDescent="0.2">
      <c r="A11673" s="8">
        <v>11672</v>
      </c>
      <c r="B11673" s="8" t="s">
        <v>49304</v>
      </c>
      <c r="C11673" s="8" t="s">
        <v>49304</v>
      </c>
      <c r="G11673" s="8">
        <v>20</v>
      </c>
      <c r="H11673" s="8" t="s">
        <v>21</v>
      </c>
      <c r="I11673" s="8" t="s">
        <v>22</v>
      </c>
      <c r="J11673" s="8" t="s">
        <v>22</v>
      </c>
      <c r="K11673" s="8" t="s">
        <v>160</v>
      </c>
      <c r="L11673" s="8" t="s">
        <v>18681</v>
      </c>
      <c r="M11673" s="8" t="s">
        <v>18682</v>
      </c>
      <c r="N11673" s="8" t="s">
        <v>49305</v>
      </c>
      <c r="O11673" s="8">
        <f>12+50/60+49/3600</f>
        <v>12.846944444444444</v>
      </c>
      <c r="P11673" s="8" t="s">
        <v>49306</v>
      </c>
      <c r="Q11673" s="8">
        <f>+(39+48/60+36/3600)</f>
        <v>39.809999999999995</v>
      </c>
      <c r="R11673" s="8">
        <v>15.6</v>
      </c>
      <c r="S11673" s="8">
        <v>16.3</v>
      </c>
      <c r="T11673" s="8">
        <v>0.7</v>
      </c>
      <c r="U11673" s="8">
        <v>13.9</v>
      </c>
      <c r="V11673" s="8">
        <v>0.5</v>
      </c>
      <c r="W11673" s="8">
        <v>0.5</v>
      </c>
      <c r="Y11673" s="8" t="s">
        <v>21</v>
      </c>
      <c r="Z11673" s="8" t="s">
        <v>49307</v>
      </c>
    </row>
    <row r="11674" spans="1:26" x14ac:dyDescent="0.2">
      <c r="A11674" s="8">
        <v>11673</v>
      </c>
      <c r="B11674" s="8" t="s">
        <v>49308</v>
      </c>
      <c r="C11674" s="8" t="s">
        <v>49308</v>
      </c>
      <c r="G11674" s="8">
        <v>20</v>
      </c>
      <c r="H11674" s="8" t="s">
        <v>21</v>
      </c>
      <c r="I11674" s="8" t="s">
        <v>22</v>
      </c>
      <c r="J11674" s="8" t="s">
        <v>57</v>
      </c>
      <c r="K11674" s="8" t="s">
        <v>632</v>
      </c>
      <c r="L11674" s="8" t="s">
        <v>15925</v>
      </c>
      <c r="M11674" s="8" t="s">
        <v>15926</v>
      </c>
      <c r="N11674" s="8" t="s">
        <v>21317</v>
      </c>
      <c r="O11674" s="8">
        <f>12+51/60+32.3/3600</f>
        <v>12.858972222222222</v>
      </c>
      <c r="P11674" s="8" t="s">
        <v>21318</v>
      </c>
      <c r="Q11674" s="8">
        <f>-(13+19/60+48/3600)</f>
        <v>-13.33</v>
      </c>
      <c r="R11674" s="8">
        <v>12.8</v>
      </c>
      <c r="S11674" s="8">
        <v>13.7</v>
      </c>
      <c r="T11674" s="8">
        <v>0.9</v>
      </c>
      <c r="U11674" s="8">
        <v>12.9</v>
      </c>
      <c r="V11674" s="8">
        <v>1.8</v>
      </c>
      <c r="W11674" s="8">
        <v>0.7</v>
      </c>
      <c r="X11674" s="8">
        <v>35</v>
      </c>
      <c r="Y11674" s="8" t="s">
        <v>36900</v>
      </c>
      <c r="Z11674" s="8" t="s">
        <v>36901</v>
      </c>
    </row>
    <row r="11675" spans="1:26" x14ac:dyDescent="0.2">
      <c r="A11675" s="8">
        <v>11674</v>
      </c>
      <c r="B11675" s="8" t="s">
        <v>49309</v>
      </c>
      <c r="C11675" s="8" t="s">
        <v>49309</v>
      </c>
      <c r="G11675" s="8">
        <v>20</v>
      </c>
      <c r="H11675" s="8" t="s">
        <v>21</v>
      </c>
      <c r="I11675" s="8" t="s">
        <v>22</v>
      </c>
      <c r="J11675" s="8" t="s">
        <v>22</v>
      </c>
      <c r="K11675" s="8" t="s">
        <v>23</v>
      </c>
      <c r="L11675" s="8" t="s">
        <v>15925</v>
      </c>
      <c r="M11675" s="8" t="s">
        <v>15926</v>
      </c>
      <c r="N11675" s="8" t="s">
        <v>21317</v>
      </c>
      <c r="O11675" s="8">
        <f>12+51/60+32.3/3600</f>
        <v>12.858972222222222</v>
      </c>
      <c r="P11675" s="8" t="s">
        <v>49310</v>
      </c>
      <c r="Q11675" s="8">
        <f>-(14+13/60+15/3600)</f>
        <v>-14.220833333333333</v>
      </c>
      <c r="R11675" s="8">
        <v>13.7</v>
      </c>
      <c r="S11675" s="8">
        <v>14.5</v>
      </c>
      <c r="T11675" s="8">
        <v>0.8</v>
      </c>
      <c r="U11675" s="8">
        <v>12.3</v>
      </c>
      <c r="V11675" s="8">
        <v>0.8</v>
      </c>
      <c r="W11675" s="8">
        <v>0.4</v>
      </c>
      <c r="X11675" s="8">
        <v>85</v>
      </c>
      <c r="Y11675" s="8" t="s">
        <v>21</v>
      </c>
      <c r="Z11675" s="8" t="s">
        <v>49311</v>
      </c>
    </row>
    <row r="11676" spans="1:26" x14ac:dyDescent="0.2">
      <c r="A11676" s="8">
        <v>11675</v>
      </c>
      <c r="B11676" s="8" t="s">
        <v>49312</v>
      </c>
      <c r="C11676" s="8" t="s">
        <v>49312</v>
      </c>
      <c r="G11676" s="8">
        <v>20</v>
      </c>
      <c r="H11676" s="8" t="s">
        <v>21</v>
      </c>
      <c r="I11676" s="8" t="s">
        <v>22</v>
      </c>
      <c r="J11676" s="8" t="s">
        <v>22</v>
      </c>
      <c r="K11676" s="8" t="s">
        <v>449</v>
      </c>
      <c r="L11676" s="8" t="s">
        <v>18681</v>
      </c>
      <c r="M11676" s="8" t="s">
        <v>18682</v>
      </c>
      <c r="N11676" s="8" t="s">
        <v>49313</v>
      </c>
      <c r="O11676" s="8">
        <f>12+50/60+55.8/3600</f>
        <v>12.848833333333333</v>
      </c>
      <c r="P11676" s="8" t="s">
        <v>49314</v>
      </c>
      <c r="Q11676" s="8">
        <f>+(40+11/60+12/3600)</f>
        <v>40.18666666666666</v>
      </c>
      <c r="R11676" s="8">
        <v>15.2</v>
      </c>
      <c r="S11676" s="8">
        <v>16</v>
      </c>
      <c r="T11676" s="8">
        <v>0.8</v>
      </c>
      <c r="U11676" s="8">
        <v>12.3</v>
      </c>
      <c r="V11676" s="8">
        <v>0.4</v>
      </c>
      <c r="W11676" s="8">
        <v>0.2</v>
      </c>
      <c r="X11676" s="8">
        <v>100</v>
      </c>
      <c r="Y11676" s="8" t="s">
        <v>45086</v>
      </c>
      <c r="Z11676" s="8" t="s">
        <v>45087</v>
      </c>
    </row>
    <row r="11677" spans="1:26" x14ac:dyDescent="0.2">
      <c r="A11677" s="8">
        <v>11676</v>
      </c>
      <c r="B11677" s="8" t="s">
        <v>49315</v>
      </c>
      <c r="C11677" s="8" t="s">
        <v>49315</v>
      </c>
      <c r="G11677" s="8">
        <v>20</v>
      </c>
      <c r="H11677" s="8" t="s">
        <v>21</v>
      </c>
      <c r="I11677" s="8" t="s">
        <v>22</v>
      </c>
      <c r="J11677" s="8" t="s">
        <v>22</v>
      </c>
      <c r="K11677" s="8" t="s">
        <v>449</v>
      </c>
      <c r="L11677" s="8" t="s">
        <v>18681</v>
      </c>
      <c r="M11677" s="8" t="s">
        <v>18682</v>
      </c>
      <c r="N11677" s="8" t="s">
        <v>49316</v>
      </c>
      <c r="O11677" s="8">
        <f>12+51/60+3.6/3600</f>
        <v>12.850999999999999</v>
      </c>
      <c r="P11677" s="8" t="s">
        <v>49317</v>
      </c>
      <c r="Q11677" s="8">
        <f>+(40+11/60+2/3600)</f>
        <v>40.183888888888887</v>
      </c>
      <c r="R11677" s="8">
        <v>15.4</v>
      </c>
      <c r="S11677" s="8">
        <v>16.2</v>
      </c>
      <c r="T11677" s="8">
        <v>0.8</v>
      </c>
      <c r="U11677" s="8">
        <v>11.4</v>
      </c>
      <c r="V11677" s="8">
        <v>0.3</v>
      </c>
      <c r="W11677" s="8">
        <v>0.1</v>
      </c>
      <c r="X11677" s="8">
        <v>90</v>
      </c>
      <c r="Y11677" s="8" t="s">
        <v>45086</v>
      </c>
      <c r="Z11677" s="8" t="s">
        <v>45087</v>
      </c>
    </row>
    <row r="11678" spans="1:26" x14ac:dyDescent="0.2">
      <c r="A11678" s="8">
        <v>11677</v>
      </c>
      <c r="B11678" s="8" t="s">
        <v>49318</v>
      </c>
      <c r="C11678" s="8" t="s">
        <v>49318</v>
      </c>
      <c r="G11678" s="8">
        <v>20</v>
      </c>
      <c r="H11678" s="8" t="s">
        <v>21</v>
      </c>
      <c r="I11678" s="8" t="s">
        <v>22</v>
      </c>
      <c r="J11678" s="8" t="s">
        <v>22</v>
      </c>
      <c r="K11678" s="8" t="s">
        <v>449</v>
      </c>
      <c r="L11678" s="8" t="s">
        <v>18289</v>
      </c>
      <c r="M11678" s="8" t="s">
        <v>18290</v>
      </c>
      <c r="N11678" s="8" t="s">
        <v>49319</v>
      </c>
      <c r="O11678" s="8">
        <f>12+51/60+33/3600</f>
        <v>12.859166666666667</v>
      </c>
      <c r="P11678" s="8" t="s">
        <v>49320</v>
      </c>
      <c r="Q11678" s="8">
        <f>+(19+43/60+23/3600)</f>
        <v>19.723055555555554</v>
      </c>
      <c r="R11678" s="8">
        <v>16.399999999999999</v>
      </c>
      <c r="S11678" s="8">
        <v>17.2</v>
      </c>
      <c r="T11678" s="8">
        <v>0.8</v>
      </c>
      <c r="U11678" s="8">
        <v>12.4</v>
      </c>
      <c r="V11678" s="8">
        <v>0.3</v>
      </c>
      <c r="W11678" s="8">
        <v>0.1</v>
      </c>
      <c r="X11678" s="8">
        <v>80</v>
      </c>
      <c r="Y11678" s="8" t="s">
        <v>47895</v>
      </c>
      <c r="Z11678" s="8" t="s">
        <v>47896</v>
      </c>
    </row>
    <row r="11679" spans="1:26" x14ac:dyDescent="0.2">
      <c r="A11679" s="8">
        <v>11678</v>
      </c>
      <c r="B11679" s="8" t="s">
        <v>49321</v>
      </c>
      <c r="C11679" s="8" t="s">
        <v>49321</v>
      </c>
      <c r="G11679" s="8">
        <v>20</v>
      </c>
      <c r="H11679" s="8" t="s">
        <v>21</v>
      </c>
      <c r="I11679" s="8" t="s">
        <v>22</v>
      </c>
      <c r="J11679" s="8" t="s">
        <v>22</v>
      </c>
      <c r="K11679" s="8" t="s">
        <v>160</v>
      </c>
      <c r="L11679" s="8" t="s">
        <v>15925</v>
      </c>
      <c r="M11679" s="8" t="s">
        <v>15926</v>
      </c>
      <c r="N11679" s="8" t="s">
        <v>49284</v>
      </c>
      <c r="O11679" s="8">
        <f>12+50/60+51.8/3600</f>
        <v>12.847722222222222</v>
      </c>
      <c r="P11679" s="8" t="s">
        <v>49285</v>
      </c>
      <c r="Q11679" s="8">
        <f>-(14+29/60+30/3600)</f>
        <v>-14.491666666666665</v>
      </c>
      <c r="R11679" s="8">
        <v>13.4</v>
      </c>
      <c r="S11679" s="8">
        <v>14.1</v>
      </c>
      <c r="T11679" s="8">
        <v>0.7</v>
      </c>
      <c r="U11679" s="8">
        <v>12.6</v>
      </c>
      <c r="V11679" s="8">
        <v>0.8</v>
      </c>
      <c r="W11679" s="8">
        <v>0.7</v>
      </c>
      <c r="X11679" s="8">
        <v>60</v>
      </c>
      <c r="Y11679" s="8" t="s">
        <v>21</v>
      </c>
      <c r="Z11679" s="8" t="s">
        <v>49322</v>
      </c>
    </row>
    <row r="11680" spans="1:26" x14ac:dyDescent="0.2">
      <c r="A11680" s="8">
        <v>11679</v>
      </c>
      <c r="B11680" s="8" t="s">
        <v>49323</v>
      </c>
      <c r="C11680" s="8" t="s">
        <v>49323</v>
      </c>
      <c r="G11680" s="8">
        <v>20</v>
      </c>
      <c r="H11680" s="8" t="s">
        <v>21</v>
      </c>
      <c r="I11680" s="8" t="s">
        <v>72</v>
      </c>
      <c r="J11680" s="8" t="s">
        <v>72</v>
      </c>
      <c r="K11680" s="8" t="s">
        <v>20</v>
      </c>
      <c r="L11680" s="8" t="s">
        <v>18289</v>
      </c>
      <c r="M11680" s="8" t="s">
        <v>18290</v>
      </c>
      <c r="N11680" s="8" t="s">
        <v>21346</v>
      </c>
      <c r="O11680" s="8">
        <f>12+51/60+46.2/3600</f>
        <v>12.862833333333333</v>
      </c>
      <c r="P11680" s="8" t="s">
        <v>49324</v>
      </c>
      <c r="Q11680" s="8">
        <f>+(20+25/60+17/3600)</f>
        <v>20.421388888888892</v>
      </c>
      <c r="R11680" s="8">
        <v>99</v>
      </c>
      <c r="S11680" s="8">
        <v>99</v>
      </c>
      <c r="T11680" s="8">
        <v>99</v>
      </c>
      <c r="U11680" s="8">
        <v>99</v>
      </c>
      <c r="Y11680" s="8" t="s">
        <v>48020</v>
      </c>
      <c r="Z11680" s="8" t="s">
        <v>48021</v>
      </c>
    </row>
    <row r="11681" spans="1:26" x14ac:dyDescent="0.2">
      <c r="A11681" s="8">
        <v>11680</v>
      </c>
      <c r="B11681" s="8" t="s">
        <v>49325</v>
      </c>
      <c r="C11681" s="8" t="s">
        <v>49325</v>
      </c>
      <c r="G11681" s="8">
        <v>20</v>
      </c>
      <c r="H11681" s="8" t="s">
        <v>21</v>
      </c>
      <c r="I11681" s="8" t="s">
        <v>22</v>
      </c>
      <c r="J11681" s="8" t="s">
        <v>22</v>
      </c>
      <c r="K11681" s="8" t="s">
        <v>49326</v>
      </c>
      <c r="L11681" s="8" t="s">
        <v>18289</v>
      </c>
      <c r="M11681" s="8" t="s">
        <v>18290</v>
      </c>
      <c r="N11681" s="8" t="s">
        <v>49327</v>
      </c>
      <c r="O11681" s="8">
        <f>12+51/60+46.1/3600</f>
        <v>12.862805555555555</v>
      </c>
      <c r="P11681" s="8" t="s">
        <v>49328</v>
      </c>
      <c r="Q11681" s="8">
        <f>+(21+44/60+7/3600)</f>
        <v>21.735277777777778</v>
      </c>
      <c r="R11681" s="8">
        <v>16.3</v>
      </c>
      <c r="S11681" s="8">
        <v>16.899999999999999</v>
      </c>
      <c r="T11681" s="8">
        <v>0.6</v>
      </c>
      <c r="U11681" s="8">
        <v>15.3</v>
      </c>
      <c r="V11681" s="8">
        <v>1</v>
      </c>
      <c r="W11681" s="8">
        <v>0.2</v>
      </c>
      <c r="X11681" s="8">
        <v>45</v>
      </c>
      <c r="Y11681" s="8" t="s">
        <v>21</v>
      </c>
      <c r="Z11681" s="8" t="s">
        <v>49329</v>
      </c>
    </row>
    <row r="11682" spans="1:26" x14ac:dyDescent="0.2">
      <c r="A11682" s="8">
        <v>11681</v>
      </c>
      <c r="B11682" s="8" t="s">
        <v>49330</v>
      </c>
      <c r="C11682" s="8" t="s">
        <v>49330</v>
      </c>
      <c r="G11682" s="8">
        <v>20</v>
      </c>
      <c r="H11682" s="8" t="s">
        <v>21</v>
      </c>
      <c r="I11682" s="8" t="s">
        <v>72</v>
      </c>
      <c r="J11682" s="8" t="s">
        <v>72</v>
      </c>
      <c r="K11682" s="8" t="s">
        <v>73</v>
      </c>
      <c r="L11682" s="8" t="s">
        <v>18289</v>
      </c>
      <c r="M11682" s="8" t="s">
        <v>18290</v>
      </c>
      <c r="N11682" s="8" t="s">
        <v>49331</v>
      </c>
      <c r="O11682" s="8">
        <f>12+51/60+50.6/3600</f>
        <v>12.864055555555556</v>
      </c>
      <c r="P11682" s="8" t="s">
        <v>49332</v>
      </c>
      <c r="Q11682" s="8">
        <f>+(22+20/60+39/3600)</f>
        <v>22.344166666666666</v>
      </c>
      <c r="R11682" s="8">
        <v>99</v>
      </c>
      <c r="S11682" s="8">
        <v>99</v>
      </c>
      <c r="T11682" s="8">
        <v>99</v>
      </c>
      <c r="U11682" s="8">
        <v>99</v>
      </c>
      <c r="Y11682" s="8" t="s">
        <v>49333</v>
      </c>
      <c r="Z11682" s="8" t="s">
        <v>49334</v>
      </c>
    </row>
    <row r="11683" spans="1:26" x14ac:dyDescent="0.2">
      <c r="A11683" s="8">
        <v>11682</v>
      </c>
      <c r="B11683" s="8" t="s">
        <v>49335</v>
      </c>
      <c r="C11683" s="8" t="s">
        <v>49335</v>
      </c>
      <c r="G11683" s="8">
        <v>20</v>
      </c>
      <c r="H11683" s="8" t="s">
        <v>21</v>
      </c>
      <c r="I11683" s="8" t="s">
        <v>22</v>
      </c>
      <c r="J11683" s="8" t="s">
        <v>22</v>
      </c>
      <c r="K11683" s="8" t="s">
        <v>424</v>
      </c>
      <c r="L11683" s="8" t="s">
        <v>18681</v>
      </c>
      <c r="M11683" s="8" t="s">
        <v>18682</v>
      </c>
      <c r="N11683" s="8" t="s">
        <v>49336</v>
      </c>
      <c r="O11683" s="8">
        <f>12+51/60+35.8/3600</f>
        <v>12.859944444444444</v>
      </c>
      <c r="P11683" s="8" t="s">
        <v>49337</v>
      </c>
      <c r="Q11683" s="8">
        <f>+(40+22/60+19/3600)</f>
        <v>40.371944444444445</v>
      </c>
      <c r="R11683" s="8">
        <v>15.2</v>
      </c>
      <c r="S11683" s="8">
        <v>16.2</v>
      </c>
      <c r="T11683" s="8">
        <v>1</v>
      </c>
      <c r="U11683" s="8">
        <v>12.4</v>
      </c>
      <c r="V11683" s="8">
        <v>0.3</v>
      </c>
      <c r="W11683" s="8">
        <v>0.3</v>
      </c>
      <c r="Y11683" s="8" t="s">
        <v>21</v>
      </c>
      <c r="Z11683" s="8" t="s">
        <v>49338</v>
      </c>
    </row>
    <row r="11684" spans="1:26" x14ac:dyDescent="0.2">
      <c r="A11684" s="8">
        <v>11683</v>
      </c>
      <c r="B11684" s="8" t="s">
        <v>49339</v>
      </c>
      <c r="C11684" s="8" t="s">
        <v>49339</v>
      </c>
      <c r="G11684" s="8">
        <v>20</v>
      </c>
      <c r="H11684" s="8" t="s">
        <v>21</v>
      </c>
      <c r="I11684" s="8" t="s">
        <v>22</v>
      </c>
      <c r="J11684" s="8" t="s">
        <v>22</v>
      </c>
      <c r="K11684" s="8" t="s">
        <v>449</v>
      </c>
      <c r="L11684" s="8" t="s">
        <v>18681</v>
      </c>
      <c r="M11684" s="8" t="s">
        <v>18682</v>
      </c>
      <c r="N11684" s="8" t="s">
        <v>49340</v>
      </c>
      <c r="O11684" s="8">
        <f>12+51/60+39/3600</f>
        <v>12.860833333333334</v>
      </c>
      <c r="P11684" s="8" t="s">
        <v>49341</v>
      </c>
      <c r="Q11684" s="8">
        <f>+(39+0/60+3/3600)</f>
        <v>39.000833333333333</v>
      </c>
      <c r="R11684" s="8">
        <v>15.4</v>
      </c>
      <c r="S11684" s="8">
        <v>16.2</v>
      </c>
      <c r="T11684" s="8">
        <v>0.8</v>
      </c>
      <c r="U11684" s="8">
        <v>12.5</v>
      </c>
      <c r="V11684" s="8">
        <v>0.4</v>
      </c>
      <c r="W11684" s="8">
        <v>0.2</v>
      </c>
      <c r="X11684" s="8">
        <v>0</v>
      </c>
      <c r="Y11684" s="8" t="s">
        <v>49342</v>
      </c>
      <c r="Z11684" s="8" t="s">
        <v>49343</v>
      </c>
    </row>
    <row r="11685" spans="1:26" x14ac:dyDescent="0.2">
      <c r="A11685" s="8">
        <v>11684</v>
      </c>
      <c r="B11685" s="8" t="s">
        <v>49344</v>
      </c>
      <c r="C11685" s="8" t="s">
        <v>49344</v>
      </c>
      <c r="G11685" s="8">
        <v>20</v>
      </c>
      <c r="H11685" s="8" t="s">
        <v>21</v>
      </c>
      <c r="I11685" s="8" t="s">
        <v>22</v>
      </c>
      <c r="J11685" s="8" t="s">
        <v>22</v>
      </c>
      <c r="K11685" s="8" t="s">
        <v>160</v>
      </c>
      <c r="L11685" s="8" t="s">
        <v>18681</v>
      </c>
      <c r="M11685" s="8" t="s">
        <v>18682</v>
      </c>
      <c r="N11685" s="8" t="s">
        <v>49345</v>
      </c>
      <c r="O11685" s="8">
        <f>12+52/60+6.4/3600</f>
        <v>12.868444444444444</v>
      </c>
      <c r="P11685" s="8" t="s">
        <v>49346</v>
      </c>
      <c r="Q11685" s="8">
        <f>+(39+49/60+7/3600)</f>
        <v>39.818611111111117</v>
      </c>
      <c r="R11685" s="8">
        <v>15.5</v>
      </c>
      <c r="S11685" s="8">
        <v>16.2</v>
      </c>
      <c r="T11685" s="8">
        <v>0.7</v>
      </c>
      <c r="U11685" s="8">
        <v>12.3</v>
      </c>
      <c r="V11685" s="8">
        <v>0.3</v>
      </c>
      <c r="W11685" s="8">
        <v>0.2</v>
      </c>
      <c r="X11685" s="8">
        <v>30</v>
      </c>
      <c r="Y11685" s="8" t="s">
        <v>45158</v>
      </c>
      <c r="Z11685" s="8" t="s">
        <v>45159</v>
      </c>
    </row>
    <row r="11686" spans="1:26" x14ac:dyDescent="0.2">
      <c r="A11686" s="8">
        <v>11685</v>
      </c>
      <c r="B11686" s="8" t="s">
        <v>49347</v>
      </c>
      <c r="C11686" s="8" t="s">
        <v>49347</v>
      </c>
      <c r="G11686" s="8">
        <v>20</v>
      </c>
      <c r="H11686" s="8" t="s">
        <v>21</v>
      </c>
      <c r="I11686" s="8" t="s">
        <v>72</v>
      </c>
      <c r="J11686" s="8" t="s">
        <v>72</v>
      </c>
      <c r="K11686" s="8" t="s">
        <v>20</v>
      </c>
      <c r="L11686" s="8" t="s">
        <v>18681</v>
      </c>
      <c r="M11686" s="8" t="s">
        <v>18682</v>
      </c>
      <c r="N11686" s="8" t="s">
        <v>49348</v>
      </c>
      <c r="O11686" s="8">
        <f>12+52/60+8.7/3600</f>
        <v>12.869083333333334</v>
      </c>
      <c r="P11686" s="8" t="s">
        <v>49349</v>
      </c>
      <c r="Q11686" s="8">
        <f>+(38+37/60+7/3600)</f>
        <v>38.618611111111115</v>
      </c>
      <c r="R11686" s="8">
        <v>99</v>
      </c>
      <c r="S11686" s="8">
        <v>99</v>
      </c>
      <c r="T11686" s="8">
        <v>99</v>
      </c>
      <c r="U11686" s="8">
        <v>99</v>
      </c>
      <c r="Y11686" s="8" t="s">
        <v>45158</v>
      </c>
      <c r="Z11686" s="8" t="s">
        <v>45159</v>
      </c>
    </row>
    <row r="11687" spans="1:26" x14ac:dyDescent="0.2">
      <c r="A11687" s="8">
        <v>11686</v>
      </c>
      <c r="B11687" s="8" t="s">
        <v>49350</v>
      </c>
      <c r="C11687" s="8" t="s">
        <v>49350</v>
      </c>
      <c r="G11687" s="8">
        <v>20</v>
      </c>
      <c r="H11687" s="8" t="s">
        <v>21</v>
      </c>
      <c r="I11687" s="8" t="s">
        <v>329</v>
      </c>
      <c r="J11687" s="8" t="s">
        <v>329</v>
      </c>
      <c r="K11687" s="8" t="s">
        <v>329</v>
      </c>
      <c r="L11687" s="8" t="s">
        <v>18289</v>
      </c>
      <c r="M11687" s="8" t="s">
        <v>18290</v>
      </c>
      <c r="N11687" s="8" t="s">
        <v>49351</v>
      </c>
      <c r="O11687" s="8">
        <f>12+52/60+39/3600</f>
        <v>12.877500000000001</v>
      </c>
      <c r="P11687" s="8" t="s">
        <v>49352</v>
      </c>
      <c r="Q11687" s="8">
        <f>+(13+38/60+50/3600)</f>
        <v>13.647222222222222</v>
      </c>
      <c r="R11687" s="8">
        <v>99</v>
      </c>
      <c r="S11687" s="8">
        <v>99</v>
      </c>
      <c r="T11687" s="8">
        <v>99</v>
      </c>
      <c r="U11687" s="8">
        <v>99</v>
      </c>
      <c r="Y11687" s="8" t="s">
        <v>21</v>
      </c>
      <c r="Z11687" s="8" t="s">
        <v>49353</v>
      </c>
    </row>
    <row r="11688" spans="1:26" x14ac:dyDescent="0.2">
      <c r="A11688" s="8">
        <v>11687</v>
      </c>
      <c r="B11688" s="8" t="s">
        <v>49354</v>
      </c>
      <c r="C11688" s="8" t="s">
        <v>49354</v>
      </c>
      <c r="G11688" s="8">
        <v>20</v>
      </c>
      <c r="H11688" s="8" t="s">
        <v>21</v>
      </c>
      <c r="I11688" s="8" t="s">
        <v>22</v>
      </c>
      <c r="J11688" s="8" t="s">
        <v>22</v>
      </c>
      <c r="K11688" s="8" t="s">
        <v>476</v>
      </c>
      <c r="L11688" s="8" t="s">
        <v>18289</v>
      </c>
      <c r="M11688" s="8" t="s">
        <v>18290</v>
      </c>
      <c r="N11688" s="8" t="s">
        <v>49355</v>
      </c>
      <c r="O11688" s="8">
        <f>12+52/60+33.7/3600</f>
        <v>12.876027777777779</v>
      </c>
      <c r="P11688" s="8" t="s">
        <v>49356</v>
      </c>
      <c r="Q11688" s="8">
        <f>+(22+3/60+55/3600)</f>
        <v>22.06527777777778</v>
      </c>
      <c r="R11688" s="8">
        <v>17.100000000000001</v>
      </c>
      <c r="S11688" s="8">
        <v>17.899999999999999</v>
      </c>
      <c r="T11688" s="8">
        <v>0.8</v>
      </c>
      <c r="U11688" s="8">
        <v>13.9</v>
      </c>
      <c r="V11688" s="8">
        <v>0.3</v>
      </c>
      <c r="W11688" s="8">
        <v>0.2</v>
      </c>
      <c r="X11688" s="8">
        <v>130</v>
      </c>
      <c r="Y11688" s="8" t="s">
        <v>21</v>
      </c>
      <c r="Z11688" s="8" t="s">
        <v>49357</v>
      </c>
    </row>
    <row r="11689" spans="1:26" x14ac:dyDescent="0.2">
      <c r="A11689" s="8">
        <v>11688</v>
      </c>
      <c r="B11689" s="8" t="s">
        <v>49358</v>
      </c>
      <c r="C11689" s="8" t="s">
        <v>49358</v>
      </c>
      <c r="E11689" s="8">
        <v>1</v>
      </c>
      <c r="G11689" s="8">
        <v>20</v>
      </c>
      <c r="H11689" s="8" t="s">
        <v>21</v>
      </c>
      <c r="I11689" s="8" t="s">
        <v>22</v>
      </c>
      <c r="J11689" s="8" t="s">
        <v>22</v>
      </c>
      <c r="K11689" s="8" t="s">
        <v>37</v>
      </c>
      <c r="L11689" s="8" t="s">
        <v>18289</v>
      </c>
      <c r="M11689" s="8" t="s">
        <v>18290</v>
      </c>
      <c r="N11689" s="8" t="s">
        <v>49359</v>
      </c>
      <c r="O11689" s="8">
        <f>12+52/60+40.5/3600</f>
        <v>12.877916666666668</v>
      </c>
      <c r="P11689" s="8" t="s">
        <v>49360</v>
      </c>
      <c r="Q11689" s="8">
        <f>+(21+24/60+53/3600)</f>
        <v>21.41472222222222</v>
      </c>
      <c r="R11689" s="8">
        <v>15.5</v>
      </c>
      <c r="S11689" s="8">
        <v>16.5</v>
      </c>
      <c r="T11689" s="8">
        <v>1</v>
      </c>
      <c r="U11689" s="8">
        <v>12.8</v>
      </c>
      <c r="V11689" s="8">
        <v>0.3</v>
      </c>
      <c r="W11689" s="8">
        <v>0.3</v>
      </c>
      <c r="Y11689" s="8" t="s">
        <v>49361</v>
      </c>
      <c r="Z11689" s="8" t="s">
        <v>49362</v>
      </c>
    </row>
    <row r="11690" spans="1:26" x14ac:dyDescent="0.2">
      <c r="A11690" s="8">
        <v>11689</v>
      </c>
      <c r="B11690" s="8" t="s">
        <v>49363</v>
      </c>
      <c r="C11690" s="8" t="s">
        <v>49363</v>
      </c>
      <c r="G11690" s="8">
        <v>20</v>
      </c>
      <c r="H11690" s="8" t="s">
        <v>21</v>
      </c>
      <c r="I11690" s="8" t="s">
        <v>72</v>
      </c>
      <c r="J11690" s="8" t="s">
        <v>72</v>
      </c>
      <c r="K11690" s="8" t="s">
        <v>20</v>
      </c>
      <c r="L11690" s="8" t="s">
        <v>18681</v>
      </c>
      <c r="M11690" s="8" t="s">
        <v>18682</v>
      </c>
      <c r="N11690" s="8" t="s">
        <v>49364</v>
      </c>
      <c r="O11690" s="8">
        <f>12+52/60+37/3600</f>
        <v>12.876944444444446</v>
      </c>
      <c r="P11690" s="8" t="s">
        <v>49365</v>
      </c>
      <c r="Q11690" s="8">
        <f>+(40+46/60+20/3600)</f>
        <v>40.772222222222219</v>
      </c>
      <c r="R11690" s="8">
        <v>99</v>
      </c>
      <c r="S11690" s="8">
        <v>99</v>
      </c>
      <c r="T11690" s="8">
        <v>99</v>
      </c>
      <c r="U11690" s="8">
        <v>99</v>
      </c>
      <c r="Y11690" s="8" t="s">
        <v>21</v>
      </c>
      <c r="Z11690" s="8" t="s">
        <v>49366</v>
      </c>
    </row>
    <row r="11691" spans="1:26" x14ac:dyDescent="0.2">
      <c r="A11691" s="8">
        <v>11690</v>
      </c>
      <c r="B11691" s="8" t="s">
        <v>49367</v>
      </c>
      <c r="C11691" s="8" t="s">
        <v>49367</v>
      </c>
      <c r="G11691" s="8">
        <v>20</v>
      </c>
      <c r="H11691" s="8" t="s">
        <v>21</v>
      </c>
      <c r="I11691" s="8" t="s">
        <v>22</v>
      </c>
      <c r="J11691" s="8" t="s">
        <v>22</v>
      </c>
      <c r="K11691" s="8" t="s">
        <v>449</v>
      </c>
      <c r="L11691" s="8" t="s">
        <v>18681</v>
      </c>
      <c r="M11691" s="8" t="s">
        <v>18682</v>
      </c>
      <c r="N11691" s="8" t="s">
        <v>49368</v>
      </c>
      <c r="O11691" s="8">
        <f>12+52/60+39.6/3600</f>
        <v>12.877666666666666</v>
      </c>
      <c r="P11691" s="8" t="s">
        <v>49369</v>
      </c>
      <c r="Q11691" s="8">
        <f>+(40+6/60+11/3600)</f>
        <v>40.103055555555557</v>
      </c>
      <c r="R11691" s="8">
        <v>14.8</v>
      </c>
      <c r="S11691" s="8">
        <v>15.6</v>
      </c>
      <c r="T11691" s="8">
        <v>0.8</v>
      </c>
      <c r="U11691" s="8">
        <v>14.4</v>
      </c>
      <c r="V11691" s="8">
        <v>1</v>
      </c>
      <c r="W11691" s="8">
        <v>0.8</v>
      </c>
      <c r="X11691" s="8">
        <v>45</v>
      </c>
      <c r="Y11691" s="8" t="s">
        <v>45744</v>
      </c>
      <c r="Z11691" s="8" t="s">
        <v>45745</v>
      </c>
    </row>
    <row r="11692" spans="1:26" x14ac:dyDescent="0.2">
      <c r="A11692" s="8">
        <v>11691</v>
      </c>
      <c r="B11692" s="8" t="s">
        <v>49370</v>
      </c>
      <c r="C11692" s="8" t="s">
        <v>49370</v>
      </c>
      <c r="G11692" s="8">
        <v>20</v>
      </c>
      <c r="H11692" s="8" t="s">
        <v>21</v>
      </c>
      <c r="I11692" s="8" t="s">
        <v>72</v>
      </c>
      <c r="J11692" s="8" t="s">
        <v>72</v>
      </c>
      <c r="K11692" s="8" t="s">
        <v>20</v>
      </c>
      <c r="L11692" s="8" t="s">
        <v>18289</v>
      </c>
      <c r="M11692" s="8" t="s">
        <v>18290</v>
      </c>
      <c r="N11692" s="8" t="s">
        <v>49371</v>
      </c>
      <c r="O11692" s="8">
        <f>12+53/60+4.7/3600</f>
        <v>12.884638888888889</v>
      </c>
      <c r="P11692" s="8" t="s">
        <v>49372</v>
      </c>
      <c r="Q11692" s="8">
        <f>+(21+54/60+34/3600)</f>
        <v>21.909444444444443</v>
      </c>
      <c r="R11692" s="8">
        <v>99</v>
      </c>
      <c r="S11692" s="8">
        <v>99</v>
      </c>
      <c r="T11692" s="8">
        <v>99</v>
      </c>
      <c r="U11692" s="8">
        <v>99</v>
      </c>
      <c r="Y11692" s="8" t="s">
        <v>21</v>
      </c>
      <c r="Z11692" s="8" t="s">
        <v>49373</v>
      </c>
    </row>
    <row r="11693" spans="1:26" x14ac:dyDescent="0.2">
      <c r="A11693" s="8">
        <v>11692</v>
      </c>
      <c r="B11693" s="8" t="s">
        <v>49374</v>
      </c>
      <c r="C11693" s="8" t="s">
        <v>49374</v>
      </c>
      <c r="G11693" s="8">
        <v>20</v>
      </c>
      <c r="H11693" s="8" t="s">
        <v>21</v>
      </c>
      <c r="I11693" s="8" t="s">
        <v>22</v>
      </c>
      <c r="J11693" s="8" t="s">
        <v>22</v>
      </c>
      <c r="K11693" s="8" t="s">
        <v>1277</v>
      </c>
      <c r="L11693" s="8" t="s">
        <v>18681</v>
      </c>
      <c r="M11693" s="8" t="s">
        <v>18682</v>
      </c>
      <c r="N11693" s="8" t="s">
        <v>49375</v>
      </c>
      <c r="O11693" s="8">
        <f>12+53/60+3.2/3600</f>
        <v>12.884222222222222</v>
      </c>
      <c r="P11693" s="8" t="s">
        <v>49376</v>
      </c>
      <c r="Q11693" s="8">
        <f>+(35+46/60+23/3600)</f>
        <v>35.773055555555551</v>
      </c>
      <c r="R11693" s="8">
        <v>14.3</v>
      </c>
      <c r="S11693" s="8">
        <v>15</v>
      </c>
      <c r="T11693" s="8">
        <v>0.7</v>
      </c>
      <c r="U11693" s="8">
        <v>13.8</v>
      </c>
      <c r="V11693" s="8">
        <v>1.2</v>
      </c>
      <c r="W11693" s="8">
        <v>0.6</v>
      </c>
      <c r="X11693" s="8">
        <v>60</v>
      </c>
      <c r="Y11693" s="8" t="s">
        <v>21</v>
      </c>
      <c r="Z11693" s="8" t="s">
        <v>49377</v>
      </c>
    </row>
    <row r="11694" spans="1:26" x14ac:dyDescent="0.2">
      <c r="A11694" s="8">
        <v>11693</v>
      </c>
      <c r="B11694" s="8" t="s">
        <v>49378</v>
      </c>
      <c r="C11694" s="8" t="s">
        <v>49378</v>
      </c>
      <c r="G11694" s="8">
        <v>20</v>
      </c>
      <c r="H11694" s="8" t="s">
        <v>21</v>
      </c>
      <c r="I11694" s="8" t="s">
        <v>22</v>
      </c>
      <c r="J11694" s="8" t="s">
        <v>22</v>
      </c>
      <c r="K11694" s="8" t="s">
        <v>382</v>
      </c>
      <c r="L11694" s="8" t="s">
        <v>18681</v>
      </c>
      <c r="M11694" s="8" t="s">
        <v>18682</v>
      </c>
      <c r="N11694" s="8" t="s">
        <v>49379</v>
      </c>
      <c r="O11694" s="8">
        <f>12+53/60+10.5/3600</f>
        <v>12.886249999999999</v>
      </c>
      <c r="P11694" s="8" t="s">
        <v>49380</v>
      </c>
      <c r="Q11694" s="8">
        <f>+(38+49/60+46/3600)</f>
        <v>38.829444444444448</v>
      </c>
      <c r="R11694" s="8">
        <v>16</v>
      </c>
      <c r="S11694" s="8">
        <v>17</v>
      </c>
      <c r="T11694" s="8">
        <v>1</v>
      </c>
      <c r="U11694" s="8">
        <v>13.8</v>
      </c>
      <c r="V11694" s="8">
        <v>0.4</v>
      </c>
      <c r="W11694" s="8">
        <v>0.3</v>
      </c>
      <c r="X11694" s="8">
        <v>0</v>
      </c>
      <c r="Y11694" s="8" t="s">
        <v>21</v>
      </c>
      <c r="Z11694" s="8" t="s">
        <v>49381</v>
      </c>
    </row>
    <row r="11695" spans="1:26" x14ac:dyDescent="0.2">
      <c r="A11695" s="8">
        <v>11694</v>
      </c>
      <c r="B11695" s="8" t="s">
        <v>49382</v>
      </c>
      <c r="C11695" s="8" t="s">
        <v>49382</v>
      </c>
      <c r="E11695" s="8">
        <v>2</v>
      </c>
      <c r="G11695" s="8">
        <v>20</v>
      </c>
      <c r="H11695" s="8" t="s">
        <v>21</v>
      </c>
      <c r="I11695" s="8" t="s">
        <v>22</v>
      </c>
      <c r="J11695" s="8" t="s">
        <v>22</v>
      </c>
      <c r="K11695" s="8" t="s">
        <v>460</v>
      </c>
      <c r="L11695" s="8" t="s">
        <v>18681</v>
      </c>
      <c r="M11695" s="8" t="s">
        <v>18682</v>
      </c>
      <c r="N11695" s="8" t="s">
        <v>49383</v>
      </c>
      <c r="O11695" s="8">
        <f>12+53/60+14.5/3600</f>
        <v>12.88736111111111</v>
      </c>
      <c r="P11695" s="8" t="s">
        <v>49384</v>
      </c>
      <c r="Q11695" s="8">
        <f>+(40+50/60+55/3600)</f>
        <v>40.848611111111111</v>
      </c>
      <c r="R11695" s="8">
        <v>15.5</v>
      </c>
      <c r="S11695" s="8">
        <v>16.5</v>
      </c>
      <c r="T11695" s="8">
        <v>1</v>
      </c>
      <c r="U11695" s="8">
        <v>13</v>
      </c>
      <c r="V11695" s="8">
        <v>0.3</v>
      </c>
      <c r="W11695" s="8">
        <v>0.3</v>
      </c>
      <c r="Y11695" s="8" t="s">
        <v>49385</v>
      </c>
      <c r="Z11695" s="8" t="s">
        <v>49386</v>
      </c>
    </row>
    <row r="11696" spans="1:26" x14ac:dyDescent="0.2">
      <c r="A11696" s="8">
        <v>11695</v>
      </c>
      <c r="B11696" s="8" t="s">
        <v>49387</v>
      </c>
      <c r="C11696" s="8" t="s">
        <v>49387</v>
      </c>
      <c r="G11696" s="8">
        <v>20</v>
      </c>
      <c r="H11696" s="8" t="s">
        <v>21</v>
      </c>
      <c r="I11696" s="8" t="s">
        <v>22</v>
      </c>
      <c r="J11696" s="8" t="s">
        <v>22</v>
      </c>
      <c r="K11696" s="8" t="s">
        <v>37</v>
      </c>
      <c r="L11696" s="8" t="s">
        <v>18681</v>
      </c>
      <c r="M11696" s="8" t="s">
        <v>18682</v>
      </c>
      <c r="N11696" s="8" t="s">
        <v>49388</v>
      </c>
      <c r="O11696" s="8">
        <f>12+53/60+22.6/3600</f>
        <v>12.88961111111111</v>
      </c>
      <c r="P11696" s="8" t="s">
        <v>49389</v>
      </c>
      <c r="Q11696" s="8">
        <f>+(36+47/60+11/3600)</f>
        <v>36.786388888888887</v>
      </c>
      <c r="R11696" s="8">
        <v>15.7</v>
      </c>
      <c r="S11696" s="8">
        <v>16.7</v>
      </c>
      <c r="T11696" s="8">
        <v>1</v>
      </c>
      <c r="U11696" s="8">
        <v>13.1</v>
      </c>
      <c r="V11696" s="8">
        <v>0.5</v>
      </c>
      <c r="W11696" s="8">
        <v>0.2</v>
      </c>
      <c r="X11696" s="8">
        <v>105</v>
      </c>
      <c r="Y11696" s="8" t="s">
        <v>49390</v>
      </c>
      <c r="Z11696" s="8" t="s">
        <v>49391</v>
      </c>
    </row>
    <row r="11697" spans="1:26" x14ac:dyDescent="0.2">
      <c r="A11697" s="8">
        <v>11696</v>
      </c>
      <c r="B11697" s="8" t="s">
        <v>49392</v>
      </c>
      <c r="C11697" s="8" t="s">
        <v>49392</v>
      </c>
      <c r="G11697" s="8">
        <v>20</v>
      </c>
      <c r="H11697" s="8" t="s">
        <v>21</v>
      </c>
      <c r="I11697" s="8" t="s">
        <v>22</v>
      </c>
      <c r="J11697" s="8" t="s">
        <v>22</v>
      </c>
      <c r="K11697" s="8" t="s">
        <v>449</v>
      </c>
      <c r="L11697" s="8" t="s">
        <v>18289</v>
      </c>
      <c r="M11697" s="8" t="s">
        <v>18290</v>
      </c>
      <c r="N11697" s="8" t="s">
        <v>49393</v>
      </c>
      <c r="O11697" s="8">
        <f>12+53/60+45.2/3600</f>
        <v>12.895888888888889</v>
      </c>
      <c r="P11697" s="8" t="s">
        <v>49394</v>
      </c>
      <c r="Q11697" s="8">
        <f>+(20+5/60+36/3600)</f>
        <v>20.093333333333334</v>
      </c>
      <c r="R11697" s="8">
        <v>15</v>
      </c>
      <c r="S11697" s="8">
        <v>15.8</v>
      </c>
      <c r="T11697" s="8">
        <v>0.8</v>
      </c>
      <c r="U11697" s="8">
        <v>12.9</v>
      </c>
      <c r="V11697" s="8">
        <v>0.8</v>
      </c>
      <c r="W11697" s="8">
        <v>0.2</v>
      </c>
      <c r="X11697" s="8">
        <v>125</v>
      </c>
      <c r="Y11697" s="8" t="s">
        <v>21</v>
      </c>
      <c r="Z11697" s="8" t="s">
        <v>49395</v>
      </c>
    </row>
    <row r="11698" spans="1:26" x14ac:dyDescent="0.2">
      <c r="A11698" s="8">
        <v>11697</v>
      </c>
      <c r="B11698" s="8" t="s">
        <v>49396</v>
      </c>
      <c r="C11698" s="8" t="s">
        <v>49396</v>
      </c>
      <c r="G11698" s="8">
        <v>20</v>
      </c>
      <c r="H11698" s="8" t="s">
        <v>21</v>
      </c>
      <c r="I11698" s="8" t="s">
        <v>22</v>
      </c>
      <c r="J11698" s="8" t="s">
        <v>22</v>
      </c>
      <c r="K11698" s="8" t="s">
        <v>382</v>
      </c>
      <c r="L11698" s="8" t="s">
        <v>18289</v>
      </c>
      <c r="M11698" s="8" t="s">
        <v>18290</v>
      </c>
      <c r="N11698" s="8" t="s">
        <v>49397</v>
      </c>
      <c r="O11698" s="8">
        <f>12+53/60+56.1/3600</f>
        <v>12.898916666666667</v>
      </c>
      <c r="P11698" s="8" t="s">
        <v>49398</v>
      </c>
      <c r="Q11698" s="8">
        <f>+(19+36/60+25/3600)</f>
        <v>19.606944444444444</v>
      </c>
      <c r="R11698" s="8">
        <v>16</v>
      </c>
      <c r="S11698" s="8">
        <v>17</v>
      </c>
      <c r="T11698" s="8">
        <v>1</v>
      </c>
      <c r="U11698" s="8">
        <v>13</v>
      </c>
      <c r="V11698" s="8">
        <v>0.3</v>
      </c>
      <c r="W11698" s="8">
        <v>0.2</v>
      </c>
      <c r="X11698" s="8">
        <v>100</v>
      </c>
      <c r="Y11698" s="8" t="s">
        <v>49399</v>
      </c>
      <c r="Z11698" s="8" t="s">
        <v>49400</v>
      </c>
    </row>
    <row r="11699" spans="1:26" x14ac:dyDescent="0.2">
      <c r="A11699" s="8">
        <v>11698</v>
      </c>
      <c r="B11699" s="8" t="s">
        <v>49401</v>
      </c>
      <c r="C11699" s="8" t="s">
        <v>49401</v>
      </c>
      <c r="G11699" s="8">
        <v>20</v>
      </c>
      <c r="H11699" s="8" t="s">
        <v>21</v>
      </c>
      <c r="I11699" s="8" t="s">
        <v>72</v>
      </c>
      <c r="J11699" s="8" t="s">
        <v>72</v>
      </c>
      <c r="K11699" s="8" t="s">
        <v>20</v>
      </c>
      <c r="L11699" s="8" t="s">
        <v>18289</v>
      </c>
      <c r="M11699" s="8" t="s">
        <v>18290</v>
      </c>
      <c r="N11699" s="8" t="s">
        <v>49402</v>
      </c>
      <c r="O11699" s="8">
        <f>12+53/60+55.6/3600</f>
        <v>12.898777777777777</v>
      </c>
      <c r="P11699" s="8" t="s">
        <v>49403</v>
      </c>
      <c r="Q11699" s="8">
        <f>+(20+47/60+20/3600)</f>
        <v>20.788888888888891</v>
      </c>
      <c r="R11699" s="8">
        <v>99</v>
      </c>
      <c r="S11699" s="8">
        <v>14.6</v>
      </c>
      <c r="T11699" s="8">
        <v>99</v>
      </c>
      <c r="U11699" s="8">
        <v>99</v>
      </c>
      <c r="Y11699" s="8" t="s">
        <v>21</v>
      </c>
      <c r="Z11699" s="8" t="s">
        <v>49404</v>
      </c>
    </row>
    <row r="11700" spans="1:26" x14ac:dyDescent="0.2">
      <c r="A11700" s="8">
        <v>11699</v>
      </c>
      <c r="B11700" s="8" t="s">
        <v>49405</v>
      </c>
      <c r="C11700" s="8" t="s">
        <v>49405</v>
      </c>
      <c r="G11700" s="8">
        <v>20</v>
      </c>
      <c r="H11700" s="8" t="s">
        <v>21</v>
      </c>
      <c r="I11700" s="8" t="s">
        <v>22</v>
      </c>
      <c r="J11700" s="8" t="s">
        <v>22</v>
      </c>
      <c r="K11700" s="8" t="s">
        <v>37</v>
      </c>
      <c r="L11700" s="8" t="s">
        <v>17287</v>
      </c>
      <c r="M11700" s="8" t="s">
        <v>17288</v>
      </c>
      <c r="N11700" s="8" t="s">
        <v>49406</v>
      </c>
      <c r="O11700" s="8">
        <f>12+54/60+19.9/3600</f>
        <v>12.905527777777777</v>
      </c>
      <c r="P11700" s="8" t="s">
        <v>49407</v>
      </c>
      <c r="Q11700" s="8">
        <f>-(9+7/60+2/3600)</f>
        <v>-9.1172222222222228</v>
      </c>
      <c r="R11700" s="8">
        <v>13.5</v>
      </c>
      <c r="S11700" s="8">
        <v>14.3</v>
      </c>
      <c r="T11700" s="8">
        <v>0.8</v>
      </c>
      <c r="U11700" s="8">
        <v>12</v>
      </c>
      <c r="V11700" s="8">
        <v>1</v>
      </c>
      <c r="W11700" s="8">
        <v>0.3</v>
      </c>
      <c r="X11700" s="8">
        <v>165</v>
      </c>
      <c r="Y11700" s="8" t="s">
        <v>21</v>
      </c>
      <c r="Z11700" s="8" t="s">
        <v>49408</v>
      </c>
    </row>
    <row r="11701" spans="1:26" x14ac:dyDescent="0.2">
      <c r="A11701" s="8">
        <v>11700</v>
      </c>
      <c r="B11701" s="8" t="s">
        <v>49409</v>
      </c>
      <c r="C11701" s="8" t="s">
        <v>49409</v>
      </c>
      <c r="G11701" s="8">
        <v>20</v>
      </c>
      <c r="H11701" s="8" t="s">
        <v>21</v>
      </c>
      <c r="I11701" s="8" t="s">
        <v>329</v>
      </c>
      <c r="J11701" s="8" t="s">
        <v>329</v>
      </c>
      <c r="K11701" s="8" t="s">
        <v>329</v>
      </c>
      <c r="L11701" s="8" t="s">
        <v>18289</v>
      </c>
      <c r="M11701" s="8" t="s">
        <v>18290</v>
      </c>
      <c r="N11701" s="8" t="s">
        <v>49410</v>
      </c>
      <c r="O11701" s="8">
        <f>12+54/60+7.2/3600</f>
        <v>12.902000000000001</v>
      </c>
      <c r="P11701" s="8" t="s">
        <v>49411</v>
      </c>
      <c r="Q11701" s="8">
        <f>+(19+17/60+58/3600)</f>
        <v>19.299444444444447</v>
      </c>
      <c r="R11701" s="8">
        <v>99</v>
      </c>
      <c r="S11701" s="8">
        <v>99</v>
      </c>
      <c r="T11701" s="8">
        <v>99</v>
      </c>
      <c r="U11701" s="8">
        <v>99</v>
      </c>
      <c r="Y11701" s="8" t="s">
        <v>115</v>
      </c>
      <c r="Z11701" s="8" t="s">
        <v>116</v>
      </c>
    </row>
    <row r="11702" spans="1:26" x14ac:dyDescent="0.2">
      <c r="A11702" s="8">
        <v>11701</v>
      </c>
      <c r="B11702" s="8" t="s">
        <v>49412</v>
      </c>
      <c r="C11702" s="8" t="s">
        <v>49412</v>
      </c>
      <c r="G11702" s="8">
        <v>20</v>
      </c>
      <c r="H11702" s="8" t="s">
        <v>21</v>
      </c>
      <c r="I11702" s="8" t="s">
        <v>22</v>
      </c>
      <c r="J11702" s="8" t="s">
        <v>22</v>
      </c>
      <c r="K11702" s="8" t="s">
        <v>382</v>
      </c>
      <c r="L11702" s="8" t="s">
        <v>18681</v>
      </c>
      <c r="M11702" s="8" t="s">
        <v>18682</v>
      </c>
      <c r="N11702" s="8" t="s">
        <v>49413</v>
      </c>
      <c r="O11702" s="8">
        <f>12+53/60+50.8/3600</f>
        <v>12.897444444444444</v>
      </c>
      <c r="P11702" s="8" t="s">
        <v>49414</v>
      </c>
      <c r="Q11702" s="8">
        <f>+(38+16/60+57/3600)</f>
        <v>38.282499999999999</v>
      </c>
      <c r="R11702" s="8">
        <v>15.2</v>
      </c>
      <c r="S11702" s="8">
        <v>16.2</v>
      </c>
      <c r="T11702" s="8">
        <v>1</v>
      </c>
      <c r="U11702" s="8">
        <v>12.2</v>
      </c>
      <c r="V11702" s="8">
        <v>0.3</v>
      </c>
      <c r="W11702" s="8">
        <v>0.2</v>
      </c>
      <c r="X11702" s="8">
        <v>120</v>
      </c>
      <c r="Y11702" s="8" t="s">
        <v>49415</v>
      </c>
      <c r="Z11702" s="8" t="s">
        <v>49416</v>
      </c>
    </row>
    <row r="11703" spans="1:26" x14ac:dyDescent="0.2">
      <c r="A11703" s="8">
        <v>11702</v>
      </c>
      <c r="B11703" s="8" t="s">
        <v>49417</v>
      </c>
      <c r="C11703" s="8" t="s">
        <v>49417</v>
      </c>
      <c r="G11703" s="8">
        <v>20</v>
      </c>
      <c r="H11703" s="8" t="s">
        <v>21</v>
      </c>
      <c r="I11703" s="8" t="s">
        <v>22</v>
      </c>
      <c r="J11703" s="8" t="s">
        <v>22</v>
      </c>
      <c r="K11703" s="8" t="s">
        <v>3523</v>
      </c>
      <c r="L11703" s="8" t="s">
        <v>18681</v>
      </c>
      <c r="M11703" s="8" t="s">
        <v>18682</v>
      </c>
      <c r="N11703" s="8" t="s">
        <v>49418</v>
      </c>
      <c r="O11703" s="8">
        <f>12+53/60+53.2/3600</f>
        <v>12.89811111111111</v>
      </c>
      <c r="P11703" s="8" t="s">
        <v>49419</v>
      </c>
      <c r="Q11703" s="8">
        <f>+(36+5/60+12/3600)</f>
        <v>36.086666666666666</v>
      </c>
      <c r="R11703" s="8">
        <v>14.5</v>
      </c>
      <c r="S11703" s="8">
        <v>15.1</v>
      </c>
      <c r="T11703" s="8">
        <v>0.6</v>
      </c>
      <c r="U11703" s="8">
        <v>14.1</v>
      </c>
      <c r="V11703" s="8">
        <v>1.3</v>
      </c>
      <c r="W11703" s="8">
        <v>0.6</v>
      </c>
      <c r="X11703" s="8">
        <v>157</v>
      </c>
      <c r="Y11703" s="8" t="s">
        <v>49420</v>
      </c>
      <c r="Z11703" s="8" t="s">
        <v>49421</v>
      </c>
    </row>
    <row r="11704" spans="1:26" x14ac:dyDescent="0.2">
      <c r="A11704" s="8">
        <v>11703</v>
      </c>
      <c r="B11704" s="8" t="s">
        <v>49422</v>
      </c>
      <c r="C11704" s="8" t="s">
        <v>49422</v>
      </c>
      <c r="G11704" s="8">
        <v>20</v>
      </c>
      <c r="H11704" s="8" t="s">
        <v>21</v>
      </c>
      <c r="I11704" s="8" t="s">
        <v>22</v>
      </c>
      <c r="J11704" s="8" t="s">
        <v>22</v>
      </c>
      <c r="K11704" s="8" t="s">
        <v>37</v>
      </c>
      <c r="L11704" s="8" t="s">
        <v>18681</v>
      </c>
      <c r="M11704" s="8" t="s">
        <v>18682</v>
      </c>
      <c r="N11704" s="8" t="s">
        <v>49423</v>
      </c>
      <c r="O11704" s="8">
        <f>12+53/60+53.9/3600</f>
        <v>12.898305555555556</v>
      </c>
      <c r="P11704" s="8" t="s">
        <v>49424</v>
      </c>
      <c r="Q11704" s="8">
        <f>+(38+28/60+51/3600)</f>
        <v>38.480833333333337</v>
      </c>
      <c r="R11704" s="8">
        <v>15</v>
      </c>
      <c r="S11704" s="8">
        <v>16</v>
      </c>
      <c r="T11704" s="8">
        <v>1</v>
      </c>
      <c r="U11704" s="8">
        <v>12.6</v>
      </c>
      <c r="V11704" s="8">
        <v>0.6</v>
      </c>
      <c r="W11704" s="8">
        <v>0.2</v>
      </c>
      <c r="X11704" s="8">
        <v>85</v>
      </c>
      <c r="Y11704" s="8" t="s">
        <v>49425</v>
      </c>
      <c r="Z11704" s="8" t="s">
        <v>49426</v>
      </c>
    </row>
    <row r="11705" spans="1:26" x14ac:dyDescent="0.2">
      <c r="A11705" s="8">
        <v>11704</v>
      </c>
      <c r="B11705" s="8" t="s">
        <v>49427</v>
      </c>
      <c r="C11705" s="8" t="s">
        <v>49427</v>
      </c>
      <c r="G11705" s="8">
        <v>20</v>
      </c>
      <c r="H11705" s="8" t="s">
        <v>21</v>
      </c>
      <c r="I11705" s="8" t="s">
        <v>22</v>
      </c>
      <c r="J11705" s="8" t="s">
        <v>22</v>
      </c>
      <c r="K11705" s="8" t="s">
        <v>449</v>
      </c>
      <c r="L11705" s="8" t="s">
        <v>18289</v>
      </c>
      <c r="M11705" s="8" t="s">
        <v>18290</v>
      </c>
      <c r="N11705" s="8" t="s">
        <v>49428</v>
      </c>
      <c r="O11705" s="8">
        <f>12+54/60+12.3/3600</f>
        <v>12.903416666666667</v>
      </c>
      <c r="P11705" s="8" t="s">
        <v>49429</v>
      </c>
      <c r="Q11705" s="8">
        <f>+(18+57/60+5/3600)</f>
        <v>18.951388888888889</v>
      </c>
      <c r="R11705" s="8">
        <v>15.7</v>
      </c>
      <c r="S11705" s="8">
        <v>16.5</v>
      </c>
      <c r="T11705" s="8">
        <v>0.8</v>
      </c>
      <c r="U11705" s="8">
        <v>12.5</v>
      </c>
      <c r="V11705" s="8">
        <v>0.3</v>
      </c>
      <c r="W11705" s="8">
        <v>0.2</v>
      </c>
      <c r="X11705" s="8">
        <v>100</v>
      </c>
      <c r="Y11705" s="8" t="s">
        <v>21</v>
      </c>
      <c r="Z11705" s="8" t="s">
        <v>49430</v>
      </c>
    </row>
    <row r="11706" spans="1:26" x14ac:dyDescent="0.2">
      <c r="A11706" s="8">
        <v>11705</v>
      </c>
      <c r="B11706" s="8" t="s">
        <v>49431</v>
      </c>
      <c r="C11706" s="8" t="s">
        <v>49431</v>
      </c>
      <c r="G11706" s="8">
        <v>20</v>
      </c>
      <c r="H11706" s="8" t="s">
        <v>21</v>
      </c>
      <c r="I11706" s="8" t="s">
        <v>22</v>
      </c>
      <c r="J11706" s="8" t="s">
        <v>22</v>
      </c>
      <c r="K11706" s="8" t="s">
        <v>460</v>
      </c>
      <c r="L11706" s="8" t="s">
        <v>18289</v>
      </c>
      <c r="M11706" s="8" t="s">
        <v>18290</v>
      </c>
      <c r="N11706" s="8" t="s">
        <v>49432</v>
      </c>
      <c r="O11706" s="8">
        <f>12+54/60+14.2/3600</f>
        <v>12.903944444444445</v>
      </c>
      <c r="P11706" s="8" t="s">
        <v>49433</v>
      </c>
      <c r="Q11706" s="8">
        <f>+(18+52/60+7/3600)</f>
        <v>18.868611111111111</v>
      </c>
      <c r="R11706" s="8">
        <v>15</v>
      </c>
      <c r="S11706" s="8">
        <v>16</v>
      </c>
      <c r="T11706" s="8">
        <v>1</v>
      </c>
      <c r="U11706" s="8">
        <v>13.1</v>
      </c>
      <c r="V11706" s="8">
        <v>0.4</v>
      </c>
      <c r="W11706" s="8">
        <v>0.4</v>
      </c>
      <c r="Y11706" s="8" t="s">
        <v>115</v>
      </c>
      <c r="Z11706" s="8" t="s">
        <v>116</v>
      </c>
    </row>
    <row r="11707" spans="1:26" x14ac:dyDescent="0.2">
      <c r="A11707" s="8">
        <v>11706</v>
      </c>
      <c r="B11707" s="8" t="s">
        <v>49434</v>
      </c>
      <c r="C11707" s="8" t="s">
        <v>49434</v>
      </c>
      <c r="E11707" s="8">
        <v>1</v>
      </c>
      <c r="G11707" s="8">
        <v>20</v>
      </c>
      <c r="H11707" s="8" t="s">
        <v>21</v>
      </c>
      <c r="I11707" s="8" t="s">
        <v>22</v>
      </c>
      <c r="J11707" s="8" t="s">
        <v>22</v>
      </c>
      <c r="K11707" s="8" t="s">
        <v>449</v>
      </c>
      <c r="L11707" s="8" t="s">
        <v>18289</v>
      </c>
      <c r="M11707" s="8" t="s">
        <v>18290</v>
      </c>
      <c r="N11707" s="8" t="s">
        <v>49435</v>
      </c>
      <c r="O11707" s="8">
        <f>12+54/60+15.5/3600</f>
        <v>12.904305555555556</v>
      </c>
      <c r="P11707" s="8" t="s">
        <v>49436</v>
      </c>
      <c r="Q11707" s="8">
        <f>+(22+21/60+51/3600)</f>
        <v>22.364166666666669</v>
      </c>
      <c r="R11707" s="8">
        <v>15.4</v>
      </c>
      <c r="S11707" s="8">
        <v>16.2</v>
      </c>
      <c r="T11707" s="8">
        <v>0.8</v>
      </c>
      <c r="U11707" s="8">
        <v>12.6</v>
      </c>
      <c r="V11707" s="8">
        <v>0.3</v>
      </c>
      <c r="W11707" s="8">
        <v>0.3</v>
      </c>
      <c r="Y11707" s="8" t="s">
        <v>49437</v>
      </c>
      <c r="Z11707" s="8" t="s">
        <v>49438</v>
      </c>
    </row>
    <row r="11708" spans="1:26" x14ac:dyDescent="0.2">
      <c r="A11708" s="8">
        <v>11707</v>
      </c>
      <c r="B11708" s="8" t="s">
        <v>49439</v>
      </c>
      <c r="C11708" s="8" t="s">
        <v>49439</v>
      </c>
      <c r="G11708" s="8">
        <v>20</v>
      </c>
      <c r="H11708" s="8" t="s">
        <v>21</v>
      </c>
      <c r="I11708" s="8" t="s">
        <v>22</v>
      </c>
      <c r="J11708" s="8" t="s">
        <v>22</v>
      </c>
      <c r="K11708" s="8" t="s">
        <v>449</v>
      </c>
      <c r="L11708" s="8" t="s">
        <v>18289</v>
      </c>
      <c r="M11708" s="8" t="s">
        <v>18290</v>
      </c>
      <c r="N11708" s="8" t="s">
        <v>49440</v>
      </c>
      <c r="O11708" s="8">
        <f>12+54/60+19.5/3600</f>
        <v>12.905416666666667</v>
      </c>
      <c r="P11708" s="8" t="s">
        <v>49441</v>
      </c>
      <c r="Q11708" s="8">
        <f>+(18+56/60+32/3600)</f>
        <v>18.942222222222224</v>
      </c>
      <c r="R11708" s="8">
        <v>15.6</v>
      </c>
      <c r="S11708" s="8">
        <v>16.399999999999999</v>
      </c>
      <c r="T11708" s="8">
        <v>0.8</v>
      </c>
      <c r="U11708" s="8">
        <v>13.4</v>
      </c>
      <c r="V11708" s="8">
        <v>0.5</v>
      </c>
      <c r="W11708" s="8">
        <v>0.3</v>
      </c>
      <c r="X11708" s="8">
        <v>100</v>
      </c>
      <c r="Y11708" s="8" t="s">
        <v>45158</v>
      </c>
      <c r="Z11708" s="8" t="s">
        <v>45159</v>
      </c>
    </row>
    <row r="11709" spans="1:26" x14ac:dyDescent="0.2">
      <c r="A11709" s="8">
        <v>11708</v>
      </c>
      <c r="B11709" s="8" t="s">
        <v>49442</v>
      </c>
      <c r="C11709" s="8" t="s">
        <v>49442</v>
      </c>
      <c r="G11709" s="8">
        <v>20</v>
      </c>
      <c r="H11709" s="8" t="s">
        <v>21</v>
      </c>
      <c r="I11709" s="8" t="s">
        <v>22</v>
      </c>
      <c r="J11709" s="8" t="s">
        <v>22</v>
      </c>
      <c r="K11709" s="8" t="s">
        <v>449</v>
      </c>
      <c r="L11709" s="8" t="s">
        <v>18289</v>
      </c>
      <c r="M11709" s="8" t="s">
        <v>18290</v>
      </c>
      <c r="N11709" s="8" t="s">
        <v>49443</v>
      </c>
      <c r="O11709" s="8">
        <f>12+54/60+20.9/3600</f>
        <v>12.905805555555556</v>
      </c>
      <c r="P11709" s="8" t="s">
        <v>49444</v>
      </c>
      <c r="Q11709" s="8">
        <f>+(18+59/60+26/3600)</f>
        <v>18.990555555555556</v>
      </c>
      <c r="R11709" s="8">
        <v>15.7</v>
      </c>
      <c r="S11709" s="8">
        <v>16.5</v>
      </c>
      <c r="T11709" s="8">
        <v>0.8</v>
      </c>
      <c r="U11709" s="8">
        <v>12.5</v>
      </c>
      <c r="V11709" s="8">
        <v>0.3</v>
      </c>
      <c r="W11709" s="8">
        <v>0.2</v>
      </c>
      <c r="X11709" s="8">
        <v>60</v>
      </c>
      <c r="Y11709" s="8" t="s">
        <v>45086</v>
      </c>
      <c r="Z11709" s="8" t="s">
        <v>45087</v>
      </c>
    </row>
    <row r="11710" spans="1:26" x14ac:dyDescent="0.2">
      <c r="A11710" s="8">
        <v>11709</v>
      </c>
      <c r="B11710" s="8" t="s">
        <v>49445</v>
      </c>
      <c r="C11710" s="8" t="s">
        <v>49445</v>
      </c>
      <c r="G11710" s="8">
        <v>20</v>
      </c>
      <c r="H11710" s="8" t="s">
        <v>21</v>
      </c>
      <c r="I11710" s="8" t="s">
        <v>22</v>
      </c>
      <c r="J11710" s="8" t="s">
        <v>22</v>
      </c>
      <c r="K11710" s="8" t="s">
        <v>449</v>
      </c>
      <c r="L11710" s="8" t="s">
        <v>18289</v>
      </c>
      <c r="M11710" s="8" t="s">
        <v>18290</v>
      </c>
      <c r="N11710" s="8" t="s">
        <v>49446</v>
      </c>
      <c r="O11710" s="8">
        <f>12+54/60+21.2/3600</f>
        <v>12.905888888888889</v>
      </c>
      <c r="P11710" s="8" t="s">
        <v>49447</v>
      </c>
      <c r="Q11710" s="8">
        <f>+(18+58/60+18/3600)</f>
        <v>18.971666666666664</v>
      </c>
      <c r="R11710" s="8">
        <v>16.8</v>
      </c>
      <c r="S11710" s="8">
        <v>17.600000000000001</v>
      </c>
      <c r="T11710" s="8">
        <v>0.8</v>
      </c>
      <c r="U11710" s="8">
        <v>13.6</v>
      </c>
      <c r="V11710" s="8">
        <v>0.3</v>
      </c>
      <c r="W11710" s="8">
        <v>0.2</v>
      </c>
      <c r="X11710" s="8">
        <v>60</v>
      </c>
      <c r="Y11710" s="8" t="s">
        <v>45086</v>
      </c>
      <c r="Z11710" s="8" t="s">
        <v>45087</v>
      </c>
    </row>
    <row r="11711" spans="1:26" x14ac:dyDescent="0.2">
      <c r="A11711" s="8">
        <v>11710</v>
      </c>
      <c r="B11711" s="8" t="s">
        <v>49448</v>
      </c>
      <c r="C11711" s="8" t="s">
        <v>49448</v>
      </c>
      <c r="G11711" s="8">
        <v>20</v>
      </c>
      <c r="H11711" s="8" t="s">
        <v>21</v>
      </c>
      <c r="I11711" s="8" t="s">
        <v>22</v>
      </c>
      <c r="J11711" s="8" t="s">
        <v>22</v>
      </c>
      <c r="K11711" s="8" t="s">
        <v>460</v>
      </c>
      <c r="L11711" s="8" t="s">
        <v>18289</v>
      </c>
      <c r="M11711" s="8" t="s">
        <v>18290</v>
      </c>
      <c r="N11711" s="8" t="s">
        <v>49449</v>
      </c>
      <c r="O11711" s="8">
        <f>12+54/60+21.6/3600</f>
        <v>12.906000000000001</v>
      </c>
      <c r="P11711" s="8" t="s">
        <v>49450</v>
      </c>
      <c r="Q11711" s="8">
        <f>+(22+22/60+52/3600)</f>
        <v>22.38111111111111</v>
      </c>
      <c r="R11711" s="8">
        <v>15.5</v>
      </c>
      <c r="S11711" s="8">
        <v>16.5</v>
      </c>
      <c r="T11711" s="8">
        <v>1</v>
      </c>
      <c r="U11711" s="8">
        <v>12.1</v>
      </c>
      <c r="V11711" s="8">
        <v>0.2</v>
      </c>
      <c r="W11711" s="8">
        <v>0.2</v>
      </c>
      <c r="Y11711" s="8" t="s">
        <v>21</v>
      </c>
      <c r="Z11711" s="8" t="s">
        <v>49128</v>
      </c>
    </row>
    <row r="11712" spans="1:26" x14ac:dyDescent="0.2">
      <c r="A11712" s="8">
        <v>11711</v>
      </c>
      <c r="B11712" s="8" t="s">
        <v>49451</v>
      </c>
      <c r="C11712" s="8" t="s">
        <v>49451</v>
      </c>
      <c r="G11712" s="8">
        <v>20</v>
      </c>
      <c r="H11712" s="8" t="s">
        <v>21</v>
      </c>
      <c r="I11712" s="8" t="s">
        <v>22</v>
      </c>
      <c r="J11712" s="8" t="s">
        <v>22</v>
      </c>
      <c r="K11712" s="8" t="s">
        <v>460</v>
      </c>
      <c r="L11712" s="8" t="s">
        <v>18289</v>
      </c>
      <c r="M11712" s="8" t="s">
        <v>18290</v>
      </c>
      <c r="N11712" s="8" t="s">
        <v>49452</v>
      </c>
      <c r="O11712" s="8">
        <f>12+54/60+25.7/3600</f>
        <v>12.907138888888889</v>
      </c>
      <c r="P11712" s="8" t="s">
        <v>49453</v>
      </c>
      <c r="Q11712" s="8">
        <f>+(18+55/60+44/3600)</f>
        <v>18.928888888888888</v>
      </c>
      <c r="R11712" s="8">
        <v>14.8</v>
      </c>
      <c r="S11712" s="8">
        <v>15.8</v>
      </c>
      <c r="T11712" s="8">
        <v>1</v>
      </c>
      <c r="U11712" s="8">
        <v>12.9</v>
      </c>
      <c r="V11712" s="8">
        <v>0.4</v>
      </c>
      <c r="W11712" s="8">
        <v>0.4</v>
      </c>
      <c r="Y11712" s="8" t="s">
        <v>115</v>
      </c>
      <c r="Z11712" s="8" t="s">
        <v>116</v>
      </c>
    </row>
    <row r="11713" spans="1:26" x14ac:dyDescent="0.2">
      <c r="A11713" s="8">
        <v>11712</v>
      </c>
      <c r="B11713" s="8" t="s">
        <v>49454</v>
      </c>
      <c r="C11713" s="8" t="s">
        <v>49454</v>
      </c>
      <c r="G11713" s="8">
        <v>20</v>
      </c>
      <c r="H11713" s="8" t="s">
        <v>21</v>
      </c>
      <c r="I11713" s="8" t="s">
        <v>22</v>
      </c>
      <c r="J11713" s="8" t="s">
        <v>22</v>
      </c>
      <c r="K11713" s="8" t="s">
        <v>460</v>
      </c>
      <c r="L11713" s="8" t="s">
        <v>18289</v>
      </c>
      <c r="M11713" s="8" t="s">
        <v>18290</v>
      </c>
      <c r="N11713" s="8" t="s">
        <v>49455</v>
      </c>
      <c r="O11713" s="8">
        <f>12+54/60+30.5/3600</f>
        <v>12.908472222222223</v>
      </c>
      <c r="P11713" s="8" t="s">
        <v>49456</v>
      </c>
      <c r="Q11713" s="8">
        <f>+(18+57/60+46/3600)</f>
        <v>18.962777777777777</v>
      </c>
      <c r="R11713" s="8">
        <v>15</v>
      </c>
      <c r="S11713" s="8">
        <v>16</v>
      </c>
      <c r="T11713" s="8">
        <v>1</v>
      </c>
      <c r="U11713" s="8">
        <v>12.5</v>
      </c>
      <c r="V11713" s="8">
        <v>0.3</v>
      </c>
      <c r="W11713" s="8">
        <v>0.3</v>
      </c>
      <c r="Y11713" s="8" t="s">
        <v>45086</v>
      </c>
      <c r="Z11713" s="8" t="s">
        <v>45087</v>
      </c>
    </row>
    <row r="11714" spans="1:26" x14ac:dyDescent="0.2">
      <c r="A11714" s="8">
        <v>11713</v>
      </c>
      <c r="B11714" s="8" t="s">
        <v>49457</v>
      </c>
      <c r="C11714" s="8" t="s">
        <v>49457</v>
      </c>
      <c r="G11714" s="8">
        <v>20</v>
      </c>
      <c r="H11714" s="8" t="s">
        <v>21</v>
      </c>
      <c r="I11714" s="8" t="s">
        <v>22</v>
      </c>
      <c r="J11714" s="8" t="s">
        <v>22</v>
      </c>
      <c r="K11714" s="8" t="s">
        <v>449</v>
      </c>
      <c r="L11714" s="8" t="s">
        <v>18289</v>
      </c>
      <c r="M11714" s="8" t="s">
        <v>18290</v>
      </c>
      <c r="N11714" s="8" t="s">
        <v>49458</v>
      </c>
      <c r="O11714" s="8">
        <f>12+54/60+31.6/3600</f>
        <v>12.908777777777779</v>
      </c>
      <c r="P11714" s="8" t="s">
        <v>49459</v>
      </c>
      <c r="Q11714" s="8">
        <f>+(18+52/60+57/3600)</f>
        <v>18.8825</v>
      </c>
      <c r="R11714" s="8">
        <v>15.7</v>
      </c>
      <c r="S11714" s="8">
        <v>16.5</v>
      </c>
      <c r="T11714" s="8">
        <v>0.8</v>
      </c>
      <c r="U11714" s="8">
        <v>13.2</v>
      </c>
      <c r="V11714" s="8">
        <v>0.4</v>
      </c>
      <c r="W11714" s="8">
        <v>0.3</v>
      </c>
      <c r="X11714" s="8">
        <v>120</v>
      </c>
      <c r="Y11714" s="8" t="s">
        <v>45086</v>
      </c>
      <c r="Z11714" s="8" t="s">
        <v>45087</v>
      </c>
    </row>
    <row r="11715" spans="1:26" x14ac:dyDescent="0.2">
      <c r="A11715" s="8">
        <v>11714</v>
      </c>
      <c r="B11715" s="8" t="s">
        <v>49460</v>
      </c>
      <c r="C11715" s="8" t="s">
        <v>49460</v>
      </c>
      <c r="G11715" s="8">
        <v>20</v>
      </c>
      <c r="H11715" s="8" t="s">
        <v>21</v>
      </c>
      <c r="I11715" s="8" t="s">
        <v>22</v>
      </c>
      <c r="J11715" s="8" t="s">
        <v>22</v>
      </c>
      <c r="K11715" s="8" t="s">
        <v>460</v>
      </c>
      <c r="L11715" s="8" t="s">
        <v>18289</v>
      </c>
      <c r="M11715" s="8" t="s">
        <v>18290</v>
      </c>
      <c r="N11715" s="8" t="s">
        <v>49461</v>
      </c>
      <c r="O11715" s="8">
        <f>12+54/60+34.4/3600</f>
        <v>12.909555555555556</v>
      </c>
      <c r="P11715" s="8" t="s">
        <v>49462</v>
      </c>
      <c r="Q11715" s="8">
        <f>+(18+57/60+27/3600)</f>
        <v>18.9575</v>
      </c>
      <c r="R11715" s="8">
        <v>15.2</v>
      </c>
      <c r="S11715" s="8">
        <v>16.2</v>
      </c>
      <c r="T11715" s="8">
        <v>1</v>
      </c>
      <c r="U11715" s="8">
        <v>12.7</v>
      </c>
      <c r="V11715" s="8">
        <v>0.3</v>
      </c>
      <c r="W11715" s="8">
        <v>0.3</v>
      </c>
      <c r="Y11715" s="8" t="s">
        <v>21</v>
      </c>
      <c r="Z11715" s="8" t="s">
        <v>49463</v>
      </c>
    </row>
    <row r="11716" spans="1:26" x14ac:dyDescent="0.2">
      <c r="A11716" s="8">
        <v>11715</v>
      </c>
      <c r="B11716" s="8" t="s">
        <v>49464</v>
      </c>
      <c r="C11716" s="8" t="s">
        <v>49464</v>
      </c>
      <c r="G11716" s="8">
        <v>20</v>
      </c>
      <c r="H11716" s="8" t="s">
        <v>21</v>
      </c>
      <c r="I11716" s="8" t="s">
        <v>22</v>
      </c>
      <c r="J11716" s="8" t="s">
        <v>22</v>
      </c>
      <c r="K11716" s="8" t="s">
        <v>424</v>
      </c>
      <c r="L11716" s="8" t="s">
        <v>18289</v>
      </c>
      <c r="M11716" s="8" t="s">
        <v>18290</v>
      </c>
      <c r="N11716" s="8" t="s">
        <v>49465</v>
      </c>
      <c r="O11716" s="8">
        <f>12+54/60+37.2/3600</f>
        <v>12.910333333333334</v>
      </c>
      <c r="P11716" s="8" t="s">
        <v>49466</v>
      </c>
      <c r="Q11716" s="8">
        <f>+(22+2/60+9/3600)</f>
        <v>22.035833333333336</v>
      </c>
      <c r="R11716" s="8">
        <v>15.5</v>
      </c>
      <c r="S11716" s="8">
        <v>16.5</v>
      </c>
      <c r="T11716" s="8">
        <v>1</v>
      </c>
      <c r="U11716" s="8">
        <v>11.9</v>
      </c>
      <c r="V11716" s="8">
        <v>0.2</v>
      </c>
      <c r="W11716" s="8">
        <v>0.2</v>
      </c>
      <c r="Y11716" s="8" t="s">
        <v>21</v>
      </c>
      <c r="Z11716" s="8" t="s">
        <v>49467</v>
      </c>
    </row>
    <row r="11717" spans="1:26" x14ac:dyDescent="0.2">
      <c r="A11717" s="8">
        <v>11716</v>
      </c>
      <c r="B11717" s="8" t="s">
        <v>49468</v>
      </c>
      <c r="C11717" s="8" t="s">
        <v>49468</v>
      </c>
      <c r="G11717" s="8">
        <v>20</v>
      </c>
      <c r="H11717" s="8" t="s">
        <v>21</v>
      </c>
      <c r="I11717" s="8" t="s">
        <v>22</v>
      </c>
      <c r="J11717" s="8" t="s">
        <v>22</v>
      </c>
      <c r="K11717" s="8" t="s">
        <v>449</v>
      </c>
      <c r="L11717" s="8" t="s">
        <v>18289</v>
      </c>
      <c r="M11717" s="8" t="s">
        <v>18290</v>
      </c>
      <c r="N11717" s="8" t="s">
        <v>49469</v>
      </c>
      <c r="O11717" s="8">
        <f>12+54/60+48.4/3600</f>
        <v>12.913444444444444</v>
      </c>
      <c r="P11717" s="8" t="s">
        <v>49470</v>
      </c>
      <c r="Q11717" s="8">
        <f>+(19+0/60+55/3600)</f>
        <v>19.015277777777779</v>
      </c>
      <c r="R11717" s="8">
        <v>16.7</v>
      </c>
      <c r="S11717" s="8">
        <v>17.5</v>
      </c>
      <c r="T11717" s="8">
        <v>0.8</v>
      </c>
      <c r="U11717" s="8">
        <v>13.1</v>
      </c>
      <c r="V11717" s="8">
        <v>0.2</v>
      </c>
      <c r="W11717" s="8">
        <v>0.2</v>
      </c>
      <c r="Y11717" s="8" t="s">
        <v>115</v>
      </c>
      <c r="Z11717" s="8" t="s">
        <v>116</v>
      </c>
    </row>
    <row r="11718" spans="1:26" x14ac:dyDescent="0.2">
      <c r="A11718" s="8">
        <v>11717</v>
      </c>
      <c r="B11718" s="8" t="s">
        <v>49471</v>
      </c>
      <c r="C11718" s="8" t="s">
        <v>49471</v>
      </c>
      <c r="G11718" s="8">
        <v>20</v>
      </c>
      <c r="H11718" s="8" t="s">
        <v>21</v>
      </c>
      <c r="I11718" s="8" t="s">
        <v>22</v>
      </c>
      <c r="J11718" s="8" t="s">
        <v>22</v>
      </c>
      <c r="K11718" s="8" t="s">
        <v>64</v>
      </c>
      <c r="L11718" s="8" t="s">
        <v>18289</v>
      </c>
      <c r="M11718" s="8" t="s">
        <v>18290</v>
      </c>
      <c r="N11718" s="8" t="s">
        <v>49472</v>
      </c>
      <c r="O11718" s="8">
        <f>12+54/60+48.5/3600</f>
        <v>12.913472222222223</v>
      </c>
      <c r="P11718" s="8" t="s">
        <v>49473</v>
      </c>
      <c r="Q11718" s="8">
        <f>+(19+10/60+35/3600)</f>
        <v>19.176388888888891</v>
      </c>
      <c r="R11718" s="8">
        <v>13</v>
      </c>
      <c r="S11718" s="8">
        <v>13.7</v>
      </c>
      <c r="T11718" s="8">
        <v>0.7</v>
      </c>
      <c r="U11718" s="8">
        <v>14.2</v>
      </c>
      <c r="V11718" s="8">
        <v>3.7</v>
      </c>
      <c r="W11718" s="8">
        <v>0.9</v>
      </c>
      <c r="X11718" s="8">
        <v>30</v>
      </c>
      <c r="Y11718" s="8" t="s">
        <v>49474</v>
      </c>
      <c r="Z11718" s="8" t="s">
        <v>49475</v>
      </c>
    </row>
    <row r="11719" spans="1:26" x14ac:dyDescent="0.2">
      <c r="A11719" s="8">
        <v>11718</v>
      </c>
      <c r="B11719" s="8" t="s">
        <v>49476</v>
      </c>
      <c r="C11719" s="8" t="s">
        <v>49476</v>
      </c>
      <c r="G11719" s="8">
        <v>20</v>
      </c>
      <c r="H11719" s="8" t="s">
        <v>21</v>
      </c>
      <c r="I11719" s="8" t="s">
        <v>72</v>
      </c>
      <c r="J11719" s="8" t="s">
        <v>72</v>
      </c>
      <c r="K11719" s="8" t="s">
        <v>20</v>
      </c>
      <c r="L11719" s="8" t="s">
        <v>18681</v>
      </c>
      <c r="M11719" s="8" t="s">
        <v>18682</v>
      </c>
      <c r="N11719" s="8" t="s">
        <v>49477</v>
      </c>
      <c r="O11719" s="8">
        <f>12+54/60+29.5/3600</f>
        <v>12.908194444444446</v>
      </c>
      <c r="P11719" s="8" t="s">
        <v>49478</v>
      </c>
      <c r="Q11719" s="8">
        <f>+(40+4/60+11/3600)</f>
        <v>40.069722222222225</v>
      </c>
      <c r="R11719" s="8">
        <v>99</v>
      </c>
      <c r="S11719" s="8">
        <v>15.4</v>
      </c>
      <c r="T11719" s="8">
        <v>99</v>
      </c>
      <c r="U11719" s="8">
        <v>99</v>
      </c>
      <c r="Y11719" s="8" t="s">
        <v>47603</v>
      </c>
      <c r="Z11719" s="8" t="s">
        <v>47604</v>
      </c>
    </row>
    <row r="11720" spans="1:26" x14ac:dyDescent="0.2">
      <c r="A11720" s="8">
        <v>11719</v>
      </c>
      <c r="B11720" s="8" t="s">
        <v>49479</v>
      </c>
      <c r="C11720" s="8" t="s">
        <v>49479</v>
      </c>
      <c r="G11720" s="8">
        <v>20</v>
      </c>
      <c r="H11720" s="8" t="s">
        <v>21</v>
      </c>
      <c r="I11720" s="8" t="s">
        <v>22</v>
      </c>
      <c r="J11720" s="8" t="s">
        <v>22</v>
      </c>
      <c r="K11720" s="8" t="s">
        <v>449</v>
      </c>
      <c r="L11720" s="8" t="s">
        <v>18681</v>
      </c>
      <c r="M11720" s="8" t="s">
        <v>18682</v>
      </c>
      <c r="N11720" s="8" t="s">
        <v>49480</v>
      </c>
      <c r="O11720" s="8">
        <f>12+54/60+32/3600</f>
        <v>12.908888888888889</v>
      </c>
      <c r="P11720" s="8" t="s">
        <v>49481</v>
      </c>
      <c r="Q11720" s="8">
        <f>+(38+37/60+43/3600)</f>
        <v>38.628611111111113</v>
      </c>
      <c r="R11720" s="8">
        <v>15.7</v>
      </c>
      <c r="S11720" s="8">
        <v>16.5</v>
      </c>
      <c r="T11720" s="8">
        <v>0.8</v>
      </c>
      <c r="U11720" s="8">
        <v>14.4</v>
      </c>
      <c r="V11720" s="8">
        <v>0.7</v>
      </c>
      <c r="W11720" s="8">
        <v>0.5</v>
      </c>
      <c r="X11720" s="8">
        <v>5</v>
      </c>
      <c r="Y11720" s="8" t="s">
        <v>2641</v>
      </c>
      <c r="Z11720" s="8" t="s">
        <v>2642</v>
      </c>
    </row>
    <row r="11721" spans="1:26" x14ac:dyDescent="0.2">
      <c r="A11721" s="8">
        <v>11720</v>
      </c>
      <c r="B11721" s="8" t="s">
        <v>49482</v>
      </c>
      <c r="C11721" s="8" t="s">
        <v>49482</v>
      </c>
      <c r="G11721" s="8">
        <v>20</v>
      </c>
      <c r="H11721" s="8" t="s">
        <v>21</v>
      </c>
      <c r="I11721" s="8" t="s">
        <v>22</v>
      </c>
      <c r="J11721" s="8" t="s">
        <v>22</v>
      </c>
      <c r="K11721" s="8" t="s">
        <v>382</v>
      </c>
      <c r="L11721" s="8" t="s">
        <v>18289</v>
      </c>
      <c r="M11721" s="8" t="s">
        <v>18290</v>
      </c>
      <c r="N11721" s="8" t="s">
        <v>49483</v>
      </c>
      <c r="O11721" s="8">
        <f>12+54/60+47.9/3600</f>
        <v>12.913305555555556</v>
      </c>
      <c r="P11721" s="8" t="s">
        <v>49484</v>
      </c>
      <c r="Q11721" s="8">
        <f>+(22+30/60+10/3600)</f>
        <v>22.502777777777776</v>
      </c>
      <c r="R11721" s="8">
        <v>16.8</v>
      </c>
      <c r="S11721" s="8">
        <v>17.8</v>
      </c>
      <c r="T11721" s="8">
        <v>1</v>
      </c>
      <c r="U11721" s="8">
        <v>13.8</v>
      </c>
      <c r="V11721" s="8">
        <v>0.3</v>
      </c>
      <c r="W11721" s="8">
        <v>0.2</v>
      </c>
      <c r="X11721" s="8">
        <v>165</v>
      </c>
      <c r="Y11721" s="8" t="s">
        <v>21</v>
      </c>
      <c r="Z11721" s="8" t="s">
        <v>48414</v>
      </c>
    </row>
    <row r="11722" spans="1:26" x14ac:dyDescent="0.2">
      <c r="A11722" s="8">
        <v>11721</v>
      </c>
      <c r="B11722" s="8" t="s">
        <v>49485</v>
      </c>
      <c r="C11722" s="8" t="s">
        <v>49485</v>
      </c>
      <c r="G11722" s="8">
        <v>20</v>
      </c>
      <c r="H11722" s="8" t="s">
        <v>21</v>
      </c>
      <c r="I11722" s="8" t="s">
        <v>22</v>
      </c>
      <c r="J11722" s="8" t="s">
        <v>22</v>
      </c>
      <c r="K11722" s="8" t="s">
        <v>424</v>
      </c>
      <c r="L11722" s="8" t="s">
        <v>18289</v>
      </c>
      <c r="M11722" s="8" t="s">
        <v>18290</v>
      </c>
      <c r="N11722" s="8" t="s">
        <v>49486</v>
      </c>
      <c r="O11722" s="8">
        <f>12+54/60+54/3600</f>
        <v>12.915000000000001</v>
      </c>
      <c r="P11722" s="8" t="s">
        <v>49487</v>
      </c>
      <c r="Q11722" s="8">
        <f>+(19+7/60+4/3600)</f>
        <v>19.117777777777778</v>
      </c>
      <c r="R11722" s="8">
        <v>15</v>
      </c>
      <c r="S11722" s="8">
        <v>16</v>
      </c>
      <c r="T11722" s="8">
        <v>1</v>
      </c>
      <c r="U11722" s="8">
        <v>11.4</v>
      </c>
      <c r="V11722" s="8">
        <v>0.2</v>
      </c>
      <c r="W11722" s="8">
        <v>0.2</v>
      </c>
      <c r="Y11722" s="8" t="s">
        <v>115</v>
      </c>
      <c r="Z11722" s="8" t="s">
        <v>116</v>
      </c>
    </row>
    <row r="11723" spans="1:26" x14ac:dyDescent="0.2">
      <c r="A11723" s="8">
        <v>11722</v>
      </c>
      <c r="B11723" s="8" t="s">
        <v>49488</v>
      </c>
      <c r="C11723" s="8" t="s">
        <v>49488</v>
      </c>
      <c r="G11723" s="8">
        <v>20</v>
      </c>
      <c r="H11723" s="8" t="s">
        <v>21</v>
      </c>
      <c r="I11723" s="8" t="s">
        <v>22</v>
      </c>
      <c r="J11723" s="8" t="s">
        <v>22</v>
      </c>
      <c r="K11723" s="8" t="s">
        <v>382</v>
      </c>
      <c r="L11723" s="8" t="s">
        <v>18289</v>
      </c>
      <c r="M11723" s="8" t="s">
        <v>18290</v>
      </c>
      <c r="N11723" s="8" t="s">
        <v>49489</v>
      </c>
      <c r="O11723" s="8">
        <f>12+54/60+53.7/3600</f>
        <v>12.914916666666667</v>
      </c>
      <c r="P11723" s="8" t="s">
        <v>49490</v>
      </c>
      <c r="Q11723" s="8">
        <f>+(22+34/60+30/3600)</f>
        <v>22.574999999999999</v>
      </c>
      <c r="R11723" s="8">
        <v>15.5</v>
      </c>
      <c r="S11723" s="8">
        <v>16.5</v>
      </c>
      <c r="T11723" s="8">
        <v>1</v>
      </c>
      <c r="U11723" s="8">
        <v>12.5</v>
      </c>
      <c r="V11723" s="8">
        <v>0.3</v>
      </c>
      <c r="W11723" s="8">
        <v>0.2</v>
      </c>
      <c r="X11723" s="8">
        <v>155</v>
      </c>
      <c r="Y11723" s="8" t="s">
        <v>45086</v>
      </c>
      <c r="Z11723" s="8" t="s">
        <v>45087</v>
      </c>
    </row>
    <row r="11724" spans="1:26" x14ac:dyDescent="0.2">
      <c r="A11724" s="8">
        <v>11723</v>
      </c>
      <c r="B11724" s="8" t="s">
        <v>49491</v>
      </c>
      <c r="C11724" s="8" t="s">
        <v>49491</v>
      </c>
      <c r="G11724" s="8">
        <v>20</v>
      </c>
      <c r="H11724" s="8" t="s">
        <v>21</v>
      </c>
      <c r="I11724" s="8" t="s">
        <v>22</v>
      </c>
      <c r="J11724" s="8" t="s">
        <v>22</v>
      </c>
      <c r="K11724" s="8" t="s">
        <v>396</v>
      </c>
      <c r="L11724" s="8" t="s">
        <v>17287</v>
      </c>
      <c r="M11724" s="8" t="s">
        <v>17288</v>
      </c>
      <c r="N11724" s="8" t="s">
        <v>49492</v>
      </c>
      <c r="O11724" s="8">
        <f>12+55/60+13.5/3600</f>
        <v>12.920416666666666</v>
      </c>
      <c r="P11724" s="8" t="s">
        <v>49493</v>
      </c>
      <c r="Q11724" s="8">
        <f>-(8+7/60+13/3600)</f>
        <v>-8.1202777777777779</v>
      </c>
      <c r="R11724" s="8">
        <v>13.4</v>
      </c>
      <c r="S11724" s="8">
        <v>14.2</v>
      </c>
      <c r="T11724" s="8">
        <v>0.8</v>
      </c>
      <c r="U11724" s="8">
        <v>12.1</v>
      </c>
      <c r="V11724" s="8">
        <v>0.9</v>
      </c>
      <c r="W11724" s="8">
        <v>0.4</v>
      </c>
      <c r="X11724" s="8">
        <v>12</v>
      </c>
      <c r="Y11724" s="8" t="s">
        <v>49494</v>
      </c>
      <c r="Z11724" s="8" t="s">
        <v>49495</v>
      </c>
    </row>
    <row r="11725" spans="1:26" x14ac:dyDescent="0.2">
      <c r="A11725" s="8">
        <v>11724</v>
      </c>
      <c r="B11725" s="8" t="s">
        <v>49496</v>
      </c>
      <c r="C11725" s="8" t="s">
        <v>49496</v>
      </c>
      <c r="G11725" s="8">
        <v>20</v>
      </c>
      <c r="H11725" s="8" t="s">
        <v>21</v>
      </c>
      <c r="I11725" s="8" t="s">
        <v>22</v>
      </c>
      <c r="J11725" s="8" t="s">
        <v>22</v>
      </c>
      <c r="K11725" s="8" t="s">
        <v>460</v>
      </c>
      <c r="L11725" s="8" t="s">
        <v>18289</v>
      </c>
      <c r="M11725" s="8" t="s">
        <v>18290</v>
      </c>
      <c r="N11725" s="8" t="s">
        <v>49497</v>
      </c>
      <c r="O11725" s="8">
        <f>12+54/60+57.7/3600</f>
        <v>12.916027777777778</v>
      </c>
      <c r="P11725" s="8" t="s">
        <v>49498</v>
      </c>
      <c r="Q11725" s="8">
        <f>+(19+40/60+54/3600)</f>
        <v>19.681666666666668</v>
      </c>
      <c r="R11725" s="8">
        <v>16.3</v>
      </c>
      <c r="S11725" s="8">
        <v>17.3</v>
      </c>
      <c r="T11725" s="8">
        <v>1</v>
      </c>
      <c r="U11725" s="8">
        <v>14.4</v>
      </c>
      <c r="V11725" s="8">
        <v>0.4</v>
      </c>
      <c r="W11725" s="8">
        <v>0.4</v>
      </c>
      <c r="Y11725" s="8" t="s">
        <v>49499</v>
      </c>
      <c r="Z11725" s="8" t="s">
        <v>49500</v>
      </c>
    </row>
    <row r="11726" spans="1:26" x14ac:dyDescent="0.2">
      <c r="A11726" s="8">
        <v>11725</v>
      </c>
      <c r="B11726" s="8" t="s">
        <v>49501</v>
      </c>
      <c r="C11726" s="8" t="s">
        <v>49501</v>
      </c>
      <c r="G11726" s="8">
        <v>20</v>
      </c>
      <c r="H11726" s="8" t="s">
        <v>21</v>
      </c>
      <c r="I11726" s="8" t="s">
        <v>22</v>
      </c>
      <c r="J11726" s="8" t="s">
        <v>22</v>
      </c>
      <c r="K11726" s="8" t="s">
        <v>449</v>
      </c>
      <c r="L11726" s="8" t="s">
        <v>18681</v>
      </c>
      <c r="M11726" s="8" t="s">
        <v>18682</v>
      </c>
      <c r="N11726" s="8" t="s">
        <v>49502</v>
      </c>
      <c r="O11726" s="8">
        <f>12+54/60+42.7/3600</f>
        <v>12.911861111111111</v>
      </c>
      <c r="P11726" s="8" t="s">
        <v>49503</v>
      </c>
      <c r="Q11726" s="8">
        <f>+(37+9/60+16/3600)</f>
        <v>37.154444444444444</v>
      </c>
      <c r="R11726" s="8">
        <v>15.2</v>
      </c>
      <c r="S11726" s="8">
        <v>16</v>
      </c>
      <c r="T11726" s="8">
        <v>0.8</v>
      </c>
      <c r="U11726" s="8">
        <v>12.4</v>
      </c>
      <c r="V11726" s="8">
        <v>0.3</v>
      </c>
      <c r="W11726" s="8">
        <v>0.3</v>
      </c>
      <c r="Y11726" s="8" t="s">
        <v>49504</v>
      </c>
      <c r="Z11726" s="8" t="s">
        <v>49505</v>
      </c>
    </row>
    <row r="11727" spans="1:26" x14ac:dyDescent="0.2">
      <c r="A11727" s="8">
        <v>11726</v>
      </c>
      <c r="B11727" s="8" t="s">
        <v>49506</v>
      </c>
      <c r="C11727" s="8" t="s">
        <v>49506</v>
      </c>
      <c r="G11727" s="8">
        <v>20</v>
      </c>
      <c r="H11727" s="8" t="s">
        <v>21</v>
      </c>
      <c r="I11727" s="8" t="s">
        <v>22</v>
      </c>
      <c r="J11727" s="8" t="s">
        <v>22</v>
      </c>
      <c r="K11727" s="8" t="s">
        <v>449</v>
      </c>
      <c r="L11727" s="8" t="s">
        <v>18289</v>
      </c>
      <c r="M11727" s="8" t="s">
        <v>18290</v>
      </c>
      <c r="N11727" s="8" t="s">
        <v>49507</v>
      </c>
      <c r="O11727" s="8">
        <f>12+55/60+0.3/3600</f>
        <v>12.916749999999999</v>
      </c>
      <c r="P11727" s="8" t="s">
        <v>49508</v>
      </c>
      <c r="Q11727" s="8">
        <f>+(19+0/60+41/3600)</f>
        <v>19.011388888888888</v>
      </c>
      <c r="R11727" s="8">
        <v>17.5</v>
      </c>
      <c r="S11727" s="8">
        <v>18.5</v>
      </c>
      <c r="T11727" s="8">
        <v>1</v>
      </c>
      <c r="U11727" s="8">
        <v>15</v>
      </c>
      <c r="V11727" s="8">
        <v>0.2</v>
      </c>
      <c r="W11727" s="8">
        <v>0.2</v>
      </c>
      <c r="Y11727" s="8" t="s">
        <v>45158</v>
      </c>
      <c r="Z11727" s="8" t="s">
        <v>45159</v>
      </c>
    </row>
    <row r="11728" spans="1:26" x14ac:dyDescent="0.2">
      <c r="A11728" s="8">
        <v>11727</v>
      </c>
      <c r="B11728" s="8" t="s">
        <v>49509</v>
      </c>
      <c r="C11728" s="8" t="s">
        <v>49509</v>
      </c>
      <c r="G11728" s="8">
        <v>20</v>
      </c>
      <c r="H11728" s="8" t="s">
        <v>21</v>
      </c>
      <c r="I11728" s="8" t="s">
        <v>72</v>
      </c>
      <c r="J11728" s="8" t="s">
        <v>72</v>
      </c>
      <c r="K11728" s="8" t="s">
        <v>73</v>
      </c>
      <c r="L11728" s="8" t="s">
        <v>18681</v>
      </c>
      <c r="M11728" s="8" t="s">
        <v>18682</v>
      </c>
      <c r="N11728" s="8" t="s">
        <v>49510</v>
      </c>
      <c r="O11728" s="8">
        <f>12+54/60+43.8/3600</f>
        <v>12.912166666666668</v>
      </c>
      <c r="P11728" s="8" t="s">
        <v>49511</v>
      </c>
      <c r="Q11728" s="8">
        <f>+(40+18/60+18/3600)</f>
        <v>40.305</v>
      </c>
      <c r="R11728" s="8">
        <v>99</v>
      </c>
      <c r="S11728" s="8">
        <v>99</v>
      </c>
      <c r="T11728" s="8">
        <v>99</v>
      </c>
      <c r="U11728" s="8">
        <v>99</v>
      </c>
      <c r="Y11728" s="8" t="s">
        <v>45086</v>
      </c>
      <c r="Z11728" s="8" t="s">
        <v>45087</v>
      </c>
    </row>
    <row r="11729" spans="1:26" x14ac:dyDescent="0.2">
      <c r="A11729" s="8">
        <v>11728</v>
      </c>
      <c r="B11729" s="8" t="s">
        <v>49512</v>
      </c>
      <c r="C11729" s="8" t="s">
        <v>49512</v>
      </c>
      <c r="G11729" s="8">
        <v>20</v>
      </c>
      <c r="H11729" s="8" t="s">
        <v>21</v>
      </c>
      <c r="I11729" s="8" t="s">
        <v>22</v>
      </c>
      <c r="J11729" s="8" t="s">
        <v>22</v>
      </c>
      <c r="K11729" s="8" t="s">
        <v>37</v>
      </c>
      <c r="L11729" s="8" t="s">
        <v>18681</v>
      </c>
      <c r="M11729" s="8" t="s">
        <v>18682</v>
      </c>
      <c r="N11729" s="8" t="s">
        <v>49513</v>
      </c>
      <c r="O11729" s="8">
        <f>12+54/60+46.3/3600</f>
        <v>12.912861111111111</v>
      </c>
      <c r="P11729" s="8" t="s">
        <v>49514</v>
      </c>
      <c r="Q11729" s="8">
        <f>+(39+34/60+19/3600)</f>
        <v>39.571944444444448</v>
      </c>
      <c r="R11729" s="8">
        <v>14.3</v>
      </c>
      <c r="S11729" s="8">
        <v>15.3</v>
      </c>
      <c r="T11729" s="8">
        <v>1</v>
      </c>
      <c r="U11729" s="8">
        <v>12.4</v>
      </c>
      <c r="V11729" s="8">
        <v>1</v>
      </c>
      <c r="W11729" s="8">
        <v>0.2</v>
      </c>
      <c r="X11729" s="8">
        <v>50</v>
      </c>
      <c r="Y11729" s="8" t="s">
        <v>21</v>
      </c>
      <c r="Z11729" s="8" t="s">
        <v>49515</v>
      </c>
    </row>
    <row r="11730" spans="1:26" x14ac:dyDescent="0.2">
      <c r="A11730" s="8">
        <v>11729</v>
      </c>
      <c r="B11730" s="8" t="s">
        <v>49516</v>
      </c>
      <c r="C11730" s="8" t="s">
        <v>49516</v>
      </c>
      <c r="G11730" s="8">
        <v>20</v>
      </c>
      <c r="H11730" s="8" t="s">
        <v>21</v>
      </c>
      <c r="I11730" s="8" t="s">
        <v>72</v>
      </c>
      <c r="J11730" s="8" t="s">
        <v>72</v>
      </c>
      <c r="K11730" s="8" t="s">
        <v>20</v>
      </c>
      <c r="L11730" s="8" t="s">
        <v>18681</v>
      </c>
      <c r="M11730" s="8" t="s">
        <v>18682</v>
      </c>
      <c r="N11730" s="8" t="s">
        <v>49517</v>
      </c>
      <c r="O11730" s="8">
        <f>12+54/60+50.8/3600</f>
        <v>12.914111111111112</v>
      </c>
      <c r="P11730" s="8" t="s">
        <v>49518</v>
      </c>
      <c r="Q11730" s="8">
        <f>+(36+1/60+0/3600)</f>
        <v>36.016666666666666</v>
      </c>
      <c r="R11730" s="8">
        <v>99</v>
      </c>
      <c r="S11730" s="8">
        <v>99</v>
      </c>
      <c r="T11730" s="8">
        <v>99</v>
      </c>
      <c r="U11730" s="8">
        <v>99</v>
      </c>
      <c r="Y11730" s="8" t="s">
        <v>37393</v>
      </c>
      <c r="Z11730" s="8" t="s">
        <v>37394</v>
      </c>
    </row>
    <row r="11731" spans="1:26" x14ac:dyDescent="0.2">
      <c r="A11731" s="8">
        <v>11730</v>
      </c>
      <c r="B11731" s="8" t="s">
        <v>49519</v>
      </c>
      <c r="C11731" s="8" t="s">
        <v>49519</v>
      </c>
      <c r="G11731" s="8">
        <v>20</v>
      </c>
      <c r="H11731" s="8" t="s">
        <v>21</v>
      </c>
      <c r="I11731" s="8" t="s">
        <v>22</v>
      </c>
      <c r="J11731" s="8" t="s">
        <v>22</v>
      </c>
      <c r="K11731" s="8" t="s">
        <v>449</v>
      </c>
      <c r="L11731" s="8" t="s">
        <v>18681</v>
      </c>
      <c r="M11731" s="8" t="s">
        <v>18682</v>
      </c>
      <c r="N11731" s="8" t="s">
        <v>49520</v>
      </c>
      <c r="O11731" s="8">
        <f>12+54/60+50.1/3600</f>
        <v>12.913916666666667</v>
      </c>
      <c r="P11731" s="8" t="s">
        <v>49521</v>
      </c>
      <c r="Q11731" s="8">
        <f>+(37+11/60+7/3600)</f>
        <v>37.185277777777777</v>
      </c>
      <c r="R11731" s="8">
        <v>15.4</v>
      </c>
      <c r="S11731" s="8">
        <v>16.2</v>
      </c>
      <c r="T11731" s="8">
        <v>0.8</v>
      </c>
      <c r="U11731" s="8">
        <v>11.4</v>
      </c>
      <c r="V11731" s="8">
        <v>0.3</v>
      </c>
      <c r="W11731" s="8">
        <v>0.1</v>
      </c>
      <c r="X11731" s="8">
        <v>15</v>
      </c>
      <c r="Y11731" s="8" t="s">
        <v>45158</v>
      </c>
      <c r="Z11731" s="8" t="s">
        <v>45159</v>
      </c>
    </row>
    <row r="11732" spans="1:26" x14ac:dyDescent="0.2">
      <c r="A11732" s="8">
        <v>11731</v>
      </c>
      <c r="B11732" s="8" t="s">
        <v>49522</v>
      </c>
      <c r="C11732" s="8" t="s">
        <v>49522</v>
      </c>
      <c r="G11732" s="8">
        <v>20</v>
      </c>
      <c r="H11732" s="8" t="s">
        <v>21</v>
      </c>
      <c r="I11732" s="8" t="s">
        <v>22</v>
      </c>
      <c r="J11732" s="8" t="s">
        <v>22</v>
      </c>
      <c r="K11732" s="8" t="s">
        <v>449</v>
      </c>
      <c r="L11732" s="8" t="s">
        <v>18681</v>
      </c>
      <c r="M11732" s="8" t="s">
        <v>18682</v>
      </c>
      <c r="N11732" s="8" t="s">
        <v>49523</v>
      </c>
      <c r="O11732" s="8">
        <f>12+54/60+58.3/3600</f>
        <v>12.916194444444445</v>
      </c>
      <c r="P11732" s="8" t="s">
        <v>49524</v>
      </c>
      <c r="Q11732" s="8">
        <f>+(36+3/60+9/3600)</f>
        <v>36.052499999999995</v>
      </c>
      <c r="R11732" s="8">
        <v>15.4</v>
      </c>
      <c r="S11732" s="8">
        <v>16.2</v>
      </c>
      <c r="T11732" s="8">
        <v>0.8</v>
      </c>
      <c r="U11732" s="8">
        <v>12.2</v>
      </c>
      <c r="V11732" s="8">
        <v>0.3</v>
      </c>
      <c r="W11732" s="8">
        <v>0.2</v>
      </c>
      <c r="X11732" s="8">
        <v>100</v>
      </c>
      <c r="Y11732" s="8" t="s">
        <v>37393</v>
      </c>
      <c r="Z11732" s="8" t="s">
        <v>37394</v>
      </c>
    </row>
    <row r="11733" spans="1:26" x14ac:dyDescent="0.2">
      <c r="A11733" s="8">
        <v>11732</v>
      </c>
      <c r="B11733" s="8" t="s">
        <v>49525</v>
      </c>
      <c r="C11733" s="8" t="s">
        <v>49525</v>
      </c>
      <c r="G11733" s="8">
        <v>20</v>
      </c>
      <c r="H11733" s="8" t="s">
        <v>21</v>
      </c>
      <c r="I11733" s="8" t="s">
        <v>22</v>
      </c>
      <c r="J11733" s="8" t="s">
        <v>22</v>
      </c>
      <c r="K11733" s="8" t="s">
        <v>31</v>
      </c>
      <c r="L11733" s="8" t="s">
        <v>18681</v>
      </c>
      <c r="M11733" s="8" t="s">
        <v>18682</v>
      </c>
      <c r="N11733" s="8" t="s">
        <v>49526</v>
      </c>
      <c r="O11733" s="8">
        <f>12+55/60+6/3600</f>
        <v>12.918333333333333</v>
      </c>
      <c r="P11733" s="8" t="s">
        <v>49527</v>
      </c>
      <c r="Q11733" s="8">
        <f>+(39+13/60+23/3600)</f>
        <v>39.223055555555554</v>
      </c>
      <c r="R11733" s="8">
        <v>14.4</v>
      </c>
      <c r="S11733" s="8">
        <v>15.2</v>
      </c>
      <c r="T11733" s="8">
        <v>0.8</v>
      </c>
      <c r="U11733" s="8">
        <v>14</v>
      </c>
      <c r="V11733" s="8">
        <v>1.3</v>
      </c>
      <c r="W11733" s="8">
        <v>0.6</v>
      </c>
      <c r="X11733" s="8">
        <v>175</v>
      </c>
      <c r="Y11733" s="8" t="s">
        <v>22305</v>
      </c>
      <c r="Z11733" s="8" t="s">
        <v>22306</v>
      </c>
    </row>
    <row r="11734" spans="1:26" x14ac:dyDescent="0.2">
      <c r="A11734" s="8">
        <v>11733</v>
      </c>
      <c r="B11734" s="8" t="s">
        <v>49528</v>
      </c>
      <c r="C11734" s="8" t="s">
        <v>49528</v>
      </c>
      <c r="G11734" s="8">
        <v>20</v>
      </c>
      <c r="H11734" s="8" t="s">
        <v>21</v>
      </c>
      <c r="I11734" s="8" t="s">
        <v>22</v>
      </c>
      <c r="J11734" s="8" t="s">
        <v>22</v>
      </c>
      <c r="K11734" s="8" t="s">
        <v>449</v>
      </c>
      <c r="L11734" s="8" t="s">
        <v>18681</v>
      </c>
      <c r="M11734" s="8" t="s">
        <v>18682</v>
      </c>
      <c r="N11734" s="8" t="s">
        <v>49529</v>
      </c>
      <c r="O11734" s="8">
        <f>12+55/60+7.6/3600</f>
        <v>12.918777777777777</v>
      </c>
      <c r="P11734" s="8" t="s">
        <v>49530</v>
      </c>
      <c r="Q11734" s="8">
        <f>+(38+37/60+28/3600)</f>
        <v>38.624444444444443</v>
      </c>
      <c r="R11734" s="8">
        <v>15.7</v>
      </c>
      <c r="S11734" s="8">
        <v>16.5</v>
      </c>
      <c r="T11734" s="8">
        <v>0.8</v>
      </c>
      <c r="U11734" s="8">
        <v>12.8</v>
      </c>
      <c r="V11734" s="8">
        <v>0.4</v>
      </c>
      <c r="W11734" s="8">
        <v>0.2</v>
      </c>
      <c r="X11734" s="8">
        <v>70</v>
      </c>
      <c r="Y11734" s="8" t="s">
        <v>45158</v>
      </c>
      <c r="Z11734" s="8" t="s">
        <v>45159</v>
      </c>
    </row>
    <row r="11735" spans="1:26" x14ac:dyDescent="0.2">
      <c r="A11735" s="8">
        <v>11734</v>
      </c>
      <c r="B11735" s="8" t="s">
        <v>49531</v>
      </c>
      <c r="C11735" s="8" t="s">
        <v>49531</v>
      </c>
      <c r="G11735" s="8">
        <v>20</v>
      </c>
      <c r="H11735" s="8" t="s">
        <v>21</v>
      </c>
      <c r="I11735" s="8" t="s">
        <v>72</v>
      </c>
      <c r="J11735" s="8" t="s">
        <v>72</v>
      </c>
      <c r="K11735" s="8" t="s">
        <v>73</v>
      </c>
      <c r="L11735" s="8" t="s">
        <v>18289</v>
      </c>
      <c r="M11735" s="8" t="s">
        <v>18290</v>
      </c>
      <c r="N11735" s="8" t="s">
        <v>49532</v>
      </c>
      <c r="O11735" s="8">
        <f>12+55/60+27.2/3600</f>
        <v>12.924222222222221</v>
      </c>
      <c r="P11735" s="8" t="s">
        <v>49533</v>
      </c>
      <c r="Q11735" s="8">
        <f>+(19+4/60+6/3600)</f>
        <v>19.068333333333332</v>
      </c>
      <c r="R11735" s="8">
        <v>99</v>
      </c>
      <c r="S11735" s="8">
        <v>99</v>
      </c>
      <c r="T11735" s="8">
        <v>99</v>
      </c>
      <c r="U11735" s="8">
        <v>99</v>
      </c>
      <c r="Y11735" s="8" t="s">
        <v>45086</v>
      </c>
      <c r="Z11735" s="8" t="s">
        <v>45087</v>
      </c>
    </row>
    <row r="11736" spans="1:26" x14ac:dyDescent="0.2">
      <c r="A11736" s="8">
        <v>11735</v>
      </c>
      <c r="B11736" s="8" t="s">
        <v>49534</v>
      </c>
      <c r="C11736" s="8" t="s">
        <v>49534</v>
      </c>
      <c r="G11736" s="8">
        <v>20</v>
      </c>
      <c r="H11736" s="8" t="s">
        <v>21</v>
      </c>
      <c r="I11736" s="8" t="s">
        <v>22</v>
      </c>
      <c r="J11736" s="8" t="s">
        <v>22</v>
      </c>
      <c r="K11736" s="8" t="s">
        <v>23</v>
      </c>
      <c r="L11736" s="8" t="s">
        <v>18681</v>
      </c>
      <c r="M11736" s="8" t="s">
        <v>18682</v>
      </c>
      <c r="N11736" s="8" t="s">
        <v>49535</v>
      </c>
      <c r="O11736" s="8">
        <f>12+55/60+9.3/3600</f>
        <v>12.91925</v>
      </c>
      <c r="P11736" s="8" t="s">
        <v>49536</v>
      </c>
      <c r="Q11736" s="8">
        <f>+(39+12/60+13/3600)</f>
        <v>39.203611111111115</v>
      </c>
      <c r="R11736" s="8">
        <v>14.5</v>
      </c>
      <c r="S11736" s="8">
        <v>15.3</v>
      </c>
      <c r="T11736" s="8">
        <v>0.8</v>
      </c>
      <c r="U11736" s="8">
        <v>13.9</v>
      </c>
      <c r="V11736" s="8">
        <v>0.8</v>
      </c>
      <c r="W11736" s="8">
        <v>0.8</v>
      </c>
      <c r="Y11736" s="8" t="s">
        <v>21</v>
      </c>
      <c r="Z11736" s="8" t="s">
        <v>49537</v>
      </c>
    </row>
    <row r="11737" spans="1:26" x14ac:dyDescent="0.2">
      <c r="A11737" s="8">
        <v>11736</v>
      </c>
      <c r="B11737" s="8" t="s">
        <v>49538</v>
      </c>
      <c r="C11737" s="8" t="s">
        <v>49538</v>
      </c>
      <c r="G11737" s="8">
        <v>13</v>
      </c>
      <c r="H11737" s="8" t="s">
        <v>21</v>
      </c>
      <c r="I11737" s="8" t="s">
        <v>22</v>
      </c>
      <c r="J11737" s="8" t="s">
        <v>22</v>
      </c>
      <c r="K11737" s="8" t="s">
        <v>382</v>
      </c>
      <c r="L11737" s="8" t="s">
        <v>16195</v>
      </c>
      <c r="M11737" s="8" t="s">
        <v>16196</v>
      </c>
      <c r="N11737" s="8" t="s">
        <v>21759</v>
      </c>
      <c r="O11737" s="8">
        <f>12+56/60+42.8/3600</f>
        <v>12.945222222222222</v>
      </c>
      <c r="P11737" s="8" t="s">
        <v>49539</v>
      </c>
      <c r="Q11737" s="8">
        <f>-(50+20/60+50/3600)</f>
        <v>-50.347222222222221</v>
      </c>
      <c r="R11737" s="8">
        <v>10.9</v>
      </c>
      <c r="S11737" s="8">
        <v>12.1</v>
      </c>
      <c r="T11737" s="8">
        <v>1.2</v>
      </c>
      <c r="U11737" s="8">
        <v>12.4</v>
      </c>
      <c r="V11737" s="8">
        <v>2.5</v>
      </c>
      <c r="W11737" s="8">
        <v>1.8</v>
      </c>
      <c r="X11737" s="8">
        <v>10</v>
      </c>
      <c r="Y11737" s="8" t="s">
        <v>46310</v>
      </c>
      <c r="Z11737" s="8" t="s">
        <v>46311</v>
      </c>
    </row>
    <row r="11738" spans="1:26" x14ac:dyDescent="0.2">
      <c r="A11738" s="8">
        <v>11737</v>
      </c>
      <c r="B11738" s="8" t="s">
        <v>49540</v>
      </c>
      <c r="C11738" s="8" t="s">
        <v>49540</v>
      </c>
      <c r="G11738" s="8">
        <v>20</v>
      </c>
      <c r="H11738" s="8" t="s">
        <v>21</v>
      </c>
      <c r="I11738" s="8" t="s">
        <v>22</v>
      </c>
      <c r="J11738" s="8" t="s">
        <v>22</v>
      </c>
      <c r="K11738" s="8" t="s">
        <v>449</v>
      </c>
      <c r="L11738" s="8" t="s">
        <v>18681</v>
      </c>
      <c r="M11738" s="8" t="s">
        <v>18682</v>
      </c>
      <c r="N11738" s="8" t="s">
        <v>49541</v>
      </c>
      <c r="O11738" s="8">
        <f>12+55/60+19/3600</f>
        <v>12.921944444444444</v>
      </c>
      <c r="P11738" s="8" t="s">
        <v>49542</v>
      </c>
      <c r="Q11738" s="8">
        <f>+(39+40/60+23/3600)</f>
        <v>39.67305555555555</v>
      </c>
      <c r="R11738" s="8">
        <v>15.6</v>
      </c>
      <c r="S11738" s="8">
        <v>16.399999999999999</v>
      </c>
      <c r="T11738" s="8">
        <v>0.8</v>
      </c>
      <c r="U11738" s="8">
        <v>12.4</v>
      </c>
      <c r="V11738" s="8">
        <v>0.3</v>
      </c>
      <c r="W11738" s="8">
        <v>0.2</v>
      </c>
      <c r="X11738" s="8">
        <v>15</v>
      </c>
      <c r="Y11738" s="8" t="s">
        <v>49543</v>
      </c>
      <c r="Z11738" s="8" t="s">
        <v>49544</v>
      </c>
    </row>
    <row r="11739" spans="1:26" x14ac:dyDescent="0.2">
      <c r="A11739" s="8">
        <v>11738</v>
      </c>
      <c r="B11739" s="8" t="s">
        <v>49545</v>
      </c>
      <c r="C11739" s="8" t="s">
        <v>49545</v>
      </c>
      <c r="G11739" s="8">
        <v>20</v>
      </c>
      <c r="H11739" s="8" t="s">
        <v>21</v>
      </c>
      <c r="I11739" s="8" t="s">
        <v>22</v>
      </c>
      <c r="J11739" s="8" t="s">
        <v>22</v>
      </c>
      <c r="K11739" s="8" t="s">
        <v>1068</v>
      </c>
      <c r="L11739" s="8" t="s">
        <v>18681</v>
      </c>
      <c r="M11739" s="8" t="s">
        <v>18682</v>
      </c>
      <c r="N11739" s="8" t="s">
        <v>49546</v>
      </c>
      <c r="O11739" s="8">
        <f>12+55/60+23.8/3600</f>
        <v>12.923277777777777</v>
      </c>
      <c r="P11739" s="8" t="s">
        <v>49547</v>
      </c>
      <c r="Q11739" s="8">
        <f>+(37+35/60+0/3600)</f>
        <v>37.583333333333336</v>
      </c>
      <c r="R11739" s="8">
        <v>16.2</v>
      </c>
      <c r="S11739" s="8">
        <v>17.2</v>
      </c>
      <c r="T11739" s="8">
        <v>1</v>
      </c>
      <c r="U11739" s="8">
        <v>12</v>
      </c>
      <c r="V11739" s="8">
        <v>0.2</v>
      </c>
      <c r="W11739" s="8">
        <v>0.1</v>
      </c>
      <c r="X11739" s="8">
        <v>170</v>
      </c>
      <c r="Y11739" s="8" t="s">
        <v>21</v>
      </c>
      <c r="Z11739" s="8" t="s">
        <v>49548</v>
      </c>
    </row>
    <row r="11740" spans="1:26" x14ac:dyDescent="0.2">
      <c r="A11740" s="8">
        <v>11739</v>
      </c>
      <c r="B11740" s="8" t="s">
        <v>49549</v>
      </c>
      <c r="C11740" s="8" t="s">
        <v>49549</v>
      </c>
      <c r="G11740" s="8">
        <v>20</v>
      </c>
      <c r="H11740" s="8" t="s">
        <v>21</v>
      </c>
      <c r="I11740" s="8" t="s">
        <v>22</v>
      </c>
      <c r="J11740" s="8" t="s">
        <v>22</v>
      </c>
      <c r="K11740" s="8" t="s">
        <v>449</v>
      </c>
      <c r="L11740" s="8" t="s">
        <v>18289</v>
      </c>
      <c r="M11740" s="8" t="s">
        <v>18290</v>
      </c>
      <c r="N11740" s="8" t="s">
        <v>49550</v>
      </c>
      <c r="O11740" s="8">
        <f>12+55/60+40.6/3600</f>
        <v>12.927944444444444</v>
      </c>
      <c r="P11740" s="8" t="s">
        <v>10809</v>
      </c>
      <c r="Q11740" s="8">
        <f>+(20+38/60+13/3600)</f>
        <v>20.636944444444445</v>
      </c>
      <c r="R11740" s="8">
        <v>16.7</v>
      </c>
      <c r="S11740" s="8">
        <v>17.5</v>
      </c>
      <c r="T11740" s="8">
        <v>0.8</v>
      </c>
      <c r="U11740" s="8">
        <v>13.8</v>
      </c>
      <c r="V11740" s="8">
        <v>0.4</v>
      </c>
      <c r="W11740" s="8">
        <v>0.2</v>
      </c>
      <c r="X11740" s="8">
        <v>45</v>
      </c>
      <c r="Y11740" s="8" t="s">
        <v>1511</v>
      </c>
      <c r="Z11740" s="8" t="s">
        <v>1512</v>
      </c>
    </row>
    <row r="11741" spans="1:26" x14ac:dyDescent="0.2">
      <c r="A11741" s="8">
        <v>11740</v>
      </c>
      <c r="B11741" s="8" t="s">
        <v>49551</v>
      </c>
      <c r="C11741" s="8" t="s">
        <v>49551</v>
      </c>
      <c r="G11741" s="8">
        <v>20</v>
      </c>
      <c r="H11741" s="8" t="s">
        <v>21</v>
      </c>
      <c r="I11741" s="8" t="s">
        <v>22</v>
      </c>
      <c r="J11741" s="8" t="s">
        <v>22</v>
      </c>
      <c r="K11741" s="8" t="s">
        <v>224</v>
      </c>
      <c r="L11741" s="8" t="s">
        <v>18289</v>
      </c>
      <c r="M11741" s="8" t="s">
        <v>18290</v>
      </c>
      <c r="N11741" s="8" t="s">
        <v>49552</v>
      </c>
      <c r="O11741" s="8">
        <f>12+55/60+41.2/3600</f>
        <v>12.928111111111111</v>
      </c>
      <c r="P11741" s="8" t="s">
        <v>49553</v>
      </c>
      <c r="Q11741" s="8">
        <f>+(27+15/60+5/3600)</f>
        <v>27.25138888888889</v>
      </c>
      <c r="R11741" s="8">
        <v>14</v>
      </c>
      <c r="S11741" s="8">
        <v>15</v>
      </c>
      <c r="T11741" s="8">
        <v>1</v>
      </c>
      <c r="U11741" s="8">
        <v>12.7</v>
      </c>
      <c r="V11741" s="8">
        <v>0.7</v>
      </c>
      <c r="W11741" s="8">
        <v>0.5</v>
      </c>
      <c r="X11741" s="8">
        <v>177</v>
      </c>
      <c r="Y11741" s="8" t="s">
        <v>49554</v>
      </c>
      <c r="Z11741" s="8" t="s">
        <v>49555</v>
      </c>
    </row>
    <row r="11742" spans="1:26" x14ac:dyDescent="0.2">
      <c r="A11742" s="8">
        <v>11741</v>
      </c>
      <c r="B11742" s="8" t="s">
        <v>49556</v>
      </c>
      <c r="C11742" s="8" t="s">
        <v>49556</v>
      </c>
      <c r="G11742" s="8">
        <v>20</v>
      </c>
      <c r="H11742" s="8" t="s">
        <v>21</v>
      </c>
      <c r="I11742" s="8" t="s">
        <v>72</v>
      </c>
      <c r="J11742" s="8" t="s">
        <v>72</v>
      </c>
      <c r="K11742" s="8" t="s">
        <v>20</v>
      </c>
      <c r="L11742" s="8" t="s">
        <v>18289</v>
      </c>
      <c r="M11742" s="8" t="s">
        <v>18290</v>
      </c>
      <c r="N11742" s="8" t="s">
        <v>49557</v>
      </c>
      <c r="O11742" s="8">
        <f>12+55/60+50.9/3600</f>
        <v>12.930805555555555</v>
      </c>
      <c r="P11742" s="8" t="s">
        <v>49558</v>
      </c>
      <c r="Q11742" s="8">
        <f>+(21+56/60+17/3600)</f>
        <v>21.938055555555557</v>
      </c>
      <c r="R11742" s="8">
        <v>99</v>
      </c>
      <c r="S11742" s="8">
        <v>99</v>
      </c>
      <c r="T11742" s="8">
        <v>99</v>
      </c>
      <c r="U11742" s="8">
        <v>99</v>
      </c>
      <c r="Y11742" s="8" t="s">
        <v>49559</v>
      </c>
      <c r="Z11742" s="8" t="s">
        <v>49560</v>
      </c>
    </row>
    <row r="11743" spans="1:26" x14ac:dyDescent="0.2">
      <c r="A11743" s="8">
        <v>11742</v>
      </c>
      <c r="B11743" s="8" t="s">
        <v>49561</v>
      </c>
      <c r="C11743" s="8" t="s">
        <v>49561</v>
      </c>
      <c r="G11743" s="8">
        <v>20</v>
      </c>
      <c r="H11743" s="8" t="s">
        <v>21</v>
      </c>
      <c r="I11743" s="8" t="s">
        <v>72</v>
      </c>
      <c r="J11743" s="8" t="s">
        <v>72</v>
      </c>
      <c r="K11743" s="8" t="s">
        <v>20</v>
      </c>
      <c r="L11743" s="8" t="s">
        <v>18681</v>
      </c>
      <c r="M11743" s="8" t="s">
        <v>18682</v>
      </c>
      <c r="N11743" s="8" t="s">
        <v>49562</v>
      </c>
      <c r="O11743" s="8">
        <f>12+55/60+38.8/3600</f>
        <v>12.927444444444443</v>
      </c>
      <c r="P11743" s="8" t="s">
        <v>49563</v>
      </c>
      <c r="Q11743" s="8">
        <f>+(35+59/60+44/3600)</f>
        <v>35.995555555555555</v>
      </c>
      <c r="R11743" s="8">
        <v>99</v>
      </c>
      <c r="S11743" s="8">
        <v>14.3</v>
      </c>
      <c r="T11743" s="8">
        <v>99</v>
      </c>
      <c r="U11743" s="8">
        <v>99</v>
      </c>
      <c r="Y11743" s="8" t="s">
        <v>49564</v>
      </c>
      <c r="Z11743" s="8" t="s">
        <v>49565</v>
      </c>
    </row>
    <row r="11744" spans="1:26" x14ac:dyDescent="0.2">
      <c r="A11744" s="8">
        <v>11743</v>
      </c>
      <c r="B11744" s="8" t="s">
        <v>49566</v>
      </c>
      <c r="C11744" s="8" t="s">
        <v>49566</v>
      </c>
      <c r="G11744" s="8">
        <v>20</v>
      </c>
      <c r="H11744" s="8" t="s">
        <v>21</v>
      </c>
      <c r="I11744" s="8" t="s">
        <v>72</v>
      </c>
      <c r="J11744" s="8" t="s">
        <v>72</v>
      </c>
      <c r="K11744" s="8" t="s">
        <v>20</v>
      </c>
      <c r="L11744" s="8" t="s">
        <v>18681</v>
      </c>
      <c r="M11744" s="8" t="s">
        <v>18682</v>
      </c>
      <c r="N11744" s="8" t="s">
        <v>49567</v>
      </c>
      <c r="O11744" s="8">
        <f>12+55/60+38.6/3600</f>
        <v>12.927388888888888</v>
      </c>
      <c r="P11744" s="8" t="s">
        <v>49568</v>
      </c>
      <c r="Q11744" s="8">
        <f>+(40+24/60+0/3600)</f>
        <v>40.4</v>
      </c>
      <c r="R11744" s="8">
        <v>99</v>
      </c>
      <c r="S11744" s="8">
        <v>99</v>
      </c>
      <c r="T11744" s="8">
        <v>99</v>
      </c>
      <c r="U11744" s="8">
        <v>99</v>
      </c>
      <c r="Y11744" s="8" t="s">
        <v>45086</v>
      </c>
      <c r="Z11744" s="8" t="s">
        <v>45087</v>
      </c>
    </row>
    <row r="11745" spans="1:26" x14ac:dyDescent="0.2">
      <c r="A11745" s="8">
        <v>11744</v>
      </c>
      <c r="B11745" s="8" t="s">
        <v>49569</v>
      </c>
      <c r="C11745" s="8" t="s">
        <v>49569</v>
      </c>
      <c r="G11745" s="8">
        <v>20</v>
      </c>
      <c r="H11745" s="8" t="s">
        <v>21</v>
      </c>
      <c r="I11745" s="8" t="s">
        <v>22</v>
      </c>
      <c r="J11745" s="8" t="s">
        <v>22</v>
      </c>
      <c r="K11745" s="8" t="s">
        <v>64</v>
      </c>
      <c r="L11745" s="8" t="s">
        <v>18681</v>
      </c>
      <c r="M11745" s="8" t="s">
        <v>18682</v>
      </c>
      <c r="N11745" s="8" t="s">
        <v>49570</v>
      </c>
      <c r="O11745" s="8">
        <f>12+55/60+45.5/3600</f>
        <v>12.929305555555555</v>
      </c>
      <c r="P11745" s="8" t="s">
        <v>49571</v>
      </c>
      <c r="Q11745" s="8">
        <f>+(36+17/60+36/3600)</f>
        <v>36.293333333333329</v>
      </c>
      <c r="R11745" s="8">
        <v>15.1</v>
      </c>
      <c r="S11745" s="8">
        <v>15.8</v>
      </c>
      <c r="T11745" s="8">
        <v>0.7</v>
      </c>
      <c r="U11745" s="8">
        <v>13.2</v>
      </c>
      <c r="V11745" s="8">
        <v>0.7</v>
      </c>
      <c r="W11745" s="8">
        <v>0.5</v>
      </c>
      <c r="X11745" s="8">
        <v>72</v>
      </c>
      <c r="Y11745" s="8" t="s">
        <v>47688</v>
      </c>
      <c r="Z11745" s="8" t="s">
        <v>47689</v>
      </c>
    </row>
    <row r="11746" spans="1:26" x14ac:dyDescent="0.2">
      <c r="A11746" s="8">
        <v>11745</v>
      </c>
      <c r="B11746" s="8" t="s">
        <v>49572</v>
      </c>
      <c r="C11746" s="8" t="s">
        <v>49572</v>
      </c>
      <c r="G11746" s="8">
        <v>20</v>
      </c>
      <c r="H11746" s="8" t="s">
        <v>21</v>
      </c>
      <c r="I11746" s="8" t="s">
        <v>22</v>
      </c>
      <c r="J11746" s="8" t="s">
        <v>22</v>
      </c>
      <c r="K11746" s="8" t="s">
        <v>449</v>
      </c>
      <c r="L11746" s="8" t="s">
        <v>18289</v>
      </c>
      <c r="M11746" s="8" t="s">
        <v>18290</v>
      </c>
      <c r="N11746" s="8" t="s">
        <v>49573</v>
      </c>
      <c r="O11746" s="8">
        <f>12+56/60+8.7/3600</f>
        <v>12.935750000000001</v>
      </c>
      <c r="P11746" s="8" t="s">
        <v>49574</v>
      </c>
      <c r="Q11746" s="8">
        <f>+(19+51/60+10/3600)</f>
        <v>19.852777777777778</v>
      </c>
      <c r="R11746" s="8">
        <v>15.2</v>
      </c>
      <c r="S11746" s="8">
        <v>16</v>
      </c>
      <c r="T11746" s="8">
        <v>0.8</v>
      </c>
      <c r="U11746" s="8">
        <v>12</v>
      </c>
      <c r="V11746" s="8">
        <v>0.3</v>
      </c>
      <c r="W11746" s="8">
        <v>0.2</v>
      </c>
      <c r="X11746" s="8">
        <v>110</v>
      </c>
      <c r="Y11746" s="8" t="s">
        <v>5139</v>
      </c>
      <c r="Z11746" s="8" t="s">
        <v>5140</v>
      </c>
    </row>
    <row r="11747" spans="1:26" x14ac:dyDescent="0.2">
      <c r="A11747" s="8">
        <v>11746</v>
      </c>
      <c r="B11747" s="8" t="s">
        <v>49575</v>
      </c>
      <c r="C11747" s="8" t="s">
        <v>49575</v>
      </c>
      <c r="G11747" s="8">
        <v>20</v>
      </c>
      <c r="H11747" s="8" t="s">
        <v>21</v>
      </c>
      <c r="I11747" s="8" t="s">
        <v>72</v>
      </c>
      <c r="J11747" s="8" t="s">
        <v>72</v>
      </c>
      <c r="K11747" s="8" t="s">
        <v>20</v>
      </c>
      <c r="L11747" s="8" t="s">
        <v>18681</v>
      </c>
      <c r="M11747" s="8" t="s">
        <v>18682</v>
      </c>
      <c r="N11747" s="8" t="s">
        <v>49576</v>
      </c>
      <c r="O11747" s="8">
        <f>12+55/60+51/3600</f>
        <v>12.930833333333332</v>
      </c>
      <c r="P11747" s="8" t="s">
        <v>49577</v>
      </c>
      <c r="Q11747" s="8">
        <f>+(40+27/60+50/3600)</f>
        <v>40.463888888888889</v>
      </c>
      <c r="R11747" s="8">
        <v>99</v>
      </c>
      <c r="S11747" s="8">
        <v>99</v>
      </c>
      <c r="T11747" s="8">
        <v>99</v>
      </c>
      <c r="U11747" s="8">
        <v>99</v>
      </c>
      <c r="Y11747" s="8" t="s">
        <v>45158</v>
      </c>
      <c r="Z11747" s="8" t="s">
        <v>45159</v>
      </c>
    </row>
    <row r="11748" spans="1:26" x14ac:dyDescent="0.2">
      <c r="A11748" s="8">
        <v>11747</v>
      </c>
      <c r="B11748" s="8" t="s">
        <v>49578</v>
      </c>
      <c r="C11748" s="8" t="s">
        <v>49578</v>
      </c>
      <c r="G11748" s="8">
        <v>20</v>
      </c>
      <c r="H11748" s="8" t="s">
        <v>21</v>
      </c>
      <c r="I11748" s="8" t="s">
        <v>22</v>
      </c>
      <c r="J11748" s="8" t="s">
        <v>22</v>
      </c>
      <c r="K11748" s="8" t="s">
        <v>449</v>
      </c>
      <c r="L11748" s="8" t="s">
        <v>18289</v>
      </c>
      <c r="M11748" s="8" t="s">
        <v>18290</v>
      </c>
      <c r="N11748" s="8" t="s">
        <v>49579</v>
      </c>
      <c r="O11748" s="8">
        <f>12+56/60+18.3/3600</f>
        <v>12.938416666666667</v>
      </c>
      <c r="P11748" s="8" t="s">
        <v>49580</v>
      </c>
      <c r="Q11748" s="8">
        <f>+(18+47/60+3/3600)</f>
        <v>18.784166666666668</v>
      </c>
      <c r="R11748" s="8">
        <v>16.2</v>
      </c>
      <c r="S11748" s="8">
        <v>17</v>
      </c>
      <c r="T11748" s="8">
        <v>0.8</v>
      </c>
      <c r="U11748" s="8">
        <v>11.8</v>
      </c>
      <c r="V11748" s="8">
        <v>0.2</v>
      </c>
      <c r="W11748" s="8">
        <v>0.1</v>
      </c>
      <c r="X11748" s="8">
        <v>0</v>
      </c>
      <c r="Y11748" s="8" t="s">
        <v>21</v>
      </c>
      <c r="Z11748" s="8" t="s">
        <v>49581</v>
      </c>
    </row>
    <row r="11749" spans="1:26" x14ac:dyDescent="0.2">
      <c r="A11749" s="8">
        <v>11748</v>
      </c>
      <c r="B11749" s="8" t="s">
        <v>49582</v>
      </c>
      <c r="C11749" s="8" t="s">
        <v>49582</v>
      </c>
      <c r="G11749" s="8">
        <v>20</v>
      </c>
      <c r="H11749" s="8" t="s">
        <v>21</v>
      </c>
      <c r="I11749" s="8" t="s">
        <v>22</v>
      </c>
      <c r="J11749" s="8" t="s">
        <v>22</v>
      </c>
      <c r="K11749" s="8" t="s">
        <v>579</v>
      </c>
      <c r="L11749" s="8" t="s">
        <v>17287</v>
      </c>
      <c r="M11749" s="8" t="s">
        <v>17288</v>
      </c>
      <c r="N11749" s="8" t="s">
        <v>49583</v>
      </c>
      <c r="O11749" s="8">
        <f>12+56/60+40.3/3600</f>
        <v>12.944527777777777</v>
      </c>
      <c r="P11749" s="8" t="s">
        <v>49584</v>
      </c>
      <c r="Q11749" s="8">
        <f>-(7+33/60+38/3600)</f>
        <v>-7.5605555555555553</v>
      </c>
      <c r="R11749" s="8">
        <v>13.8</v>
      </c>
      <c r="S11749" s="8">
        <v>14.5</v>
      </c>
      <c r="T11749" s="8">
        <v>0.7</v>
      </c>
      <c r="U11749" s="8">
        <v>13.9</v>
      </c>
      <c r="V11749" s="8">
        <v>1.8</v>
      </c>
      <c r="W11749" s="8">
        <v>0.7</v>
      </c>
      <c r="X11749" s="8">
        <v>171</v>
      </c>
      <c r="Y11749" s="8" t="s">
        <v>21</v>
      </c>
      <c r="Z11749" s="8" t="s">
        <v>49585</v>
      </c>
    </row>
    <row r="11750" spans="1:26" x14ac:dyDescent="0.2">
      <c r="A11750" s="8">
        <v>11749</v>
      </c>
      <c r="B11750" s="8" t="s">
        <v>49586</v>
      </c>
      <c r="C11750" s="8" t="s">
        <v>49586</v>
      </c>
      <c r="G11750" s="8">
        <v>20</v>
      </c>
      <c r="H11750" s="8" t="s">
        <v>21</v>
      </c>
      <c r="I11750" s="8" t="s">
        <v>22</v>
      </c>
      <c r="J11750" s="8" t="s">
        <v>22</v>
      </c>
      <c r="K11750" s="8" t="s">
        <v>382</v>
      </c>
      <c r="L11750" s="8" t="s">
        <v>18681</v>
      </c>
      <c r="M11750" s="8" t="s">
        <v>18682</v>
      </c>
      <c r="N11750" s="8" t="s">
        <v>49587</v>
      </c>
      <c r="O11750" s="8">
        <f>12+56/60+2.7/3600</f>
        <v>12.934083333333334</v>
      </c>
      <c r="P11750" s="8" t="s">
        <v>49588</v>
      </c>
      <c r="Q11750" s="8">
        <f>+(40+23/60+7/3600)</f>
        <v>40.38527777777778</v>
      </c>
      <c r="R11750" s="8">
        <v>15.2</v>
      </c>
      <c r="S11750" s="8">
        <v>16.2</v>
      </c>
      <c r="T11750" s="8">
        <v>1</v>
      </c>
      <c r="U11750" s="8">
        <v>12.2</v>
      </c>
      <c r="V11750" s="8">
        <v>0.3</v>
      </c>
      <c r="W11750" s="8">
        <v>0.2</v>
      </c>
      <c r="X11750" s="8">
        <v>70</v>
      </c>
      <c r="Y11750" s="8" t="s">
        <v>115</v>
      </c>
      <c r="Z11750" s="8" t="s">
        <v>116</v>
      </c>
    </row>
    <row r="11751" spans="1:26" x14ac:dyDescent="0.2">
      <c r="A11751" s="8">
        <v>11750</v>
      </c>
      <c r="B11751" s="8" t="s">
        <v>49589</v>
      </c>
      <c r="C11751" s="8" t="s">
        <v>49589</v>
      </c>
      <c r="G11751" s="8">
        <v>20</v>
      </c>
      <c r="H11751" s="8" t="s">
        <v>21</v>
      </c>
      <c r="I11751" s="8" t="s">
        <v>72</v>
      </c>
      <c r="J11751" s="8" t="s">
        <v>72</v>
      </c>
      <c r="K11751" s="8" t="s">
        <v>73</v>
      </c>
      <c r="L11751" s="8" t="s">
        <v>18681</v>
      </c>
      <c r="M11751" s="8" t="s">
        <v>18682</v>
      </c>
      <c r="N11751" s="8" t="s">
        <v>49590</v>
      </c>
      <c r="O11751" s="8">
        <f>12+56/60+4.8/3600</f>
        <v>12.934666666666667</v>
      </c>
      <c r="P11751" s="8" t="s">
        <v>49591</v>
      </c>
      <c r="Q11751" s="8">
        <f>+(39+43/60+13/3600)</f>
        <v>39.720277777777781</v>
      </c>
      <c r="R11751" s="8">
        <v>99</v>
      </c>
      <c r="S11751" s="8">
        <v>99</v>
      </c>
      <c r="T11751" s="8">
        <v>99</v>
      </c>
      <c r="U11751" s="8">
        <v>99</v>
      </c>
      <c r="Y11751" s="8" t="s">
        <v>21</v>
      </c>
      <c r="Z11751" s="8" t="s">
        <v>49592</v>
      </c>
    </row>
    <row r="11752" spans="1:26" x14ac:dyDescent="0.2">
      <c r="A11752" s="8">
        <v>11751</v>
      </c>
      <c r="B11752" s="8" t="s">
        <v>49593</v>
      </c>
      <c r="C11752" s="8" t="s">
        <v>49593</v>
      </c>
      <c r="E11752" s="8">
        <v>1</v>
      </c>
      <c r="G11752" s="8">
        <v>20</v>
      </c>
      <c r="H11752" s="8" t="s">
        <v>21</v>
      </c>
      <c r="I11752" s="8" t="s">
        <v>22</v>
      </c>
      <c r="J11752" s="8" t="s">
        <v>22</v>
      </c>
      <c r="K11752" s="8" t="s">
        <v>460</v>
      </c>
      <c r="L11752" s="8" t="s">
        <v>18681</v>
      </c>
      <c r="M11752" s="8" t="s">
        <v>18682</v>
      </c>
      <c r="N11752" s="8" t="s">
        <v>49594</v>
      </c>
      <c r="O11752" s="8">
        <f>12+56/60+9.2/3600</f>
        <v>12.93588888888889</v>
      </c>
      <c r="P11752" s="8" t="s">
        <v>49595</v>
      </c>
      <c r="Q11752" s="8">
        <f>+(35+38/60+13/3600)</f>
        <v>35.636944444444445</v>
      </c>
      <c r="R11752" s="8">
        <v>15.3</v>
      </c>
      <c r="S11752" s="8">
        <v>16.3</v>
      </c>
      <c r="T11752" s="8">
        <v>1</v>
      </c>
      <c r="U11752" s="8">
        <v>12.8</v>
      </c>
      <c r="V11752" s="8">
        <v>0.3</v>
      </c>
      <c r="W11752" s="8">
        <v>0.3</v>
      </c>
      <c r="Y11752" s="8" t="s">
        <v>44015</v>
      </c>
      <c r="Z11752" s="8" t="s">
        <v>44016</v>
      </c>
    </row>
    <row r="11753" spans="1:26" x14ac:dyDescent="0.2">
      <c r="A11753" s="8">
        <v>11752</v>
      </c>
      <c r="B11753" s="8" t="s">
        <v>49596</v>
      </c>
      <c r="C11753" s="8" t="s">
        <v>49596</v>
      </c>
      <c r="G11753" s="8">
        <v>20</v>
      </c>
      <c r="H11753" s="8" t="s">
        <v>21</v>
      </c>
      <c r="I11753" s="8" t="s">
        <v>72</v>
      </c>
      <c r="J11753" s="8" t="s">
        <v>72</v>
      </c>
      <c r="K11753" s="8" t="s">
        <v>20</v>
      </c>
      <c r="L11753" s="8" t="s">
        <v>18681</v>
      </c>
      <c r="M11753" s="8" t="s">
        <v>18682</v>
      </c>
      <c r="N11753" s="8" t="s">
        <v>49597</v>
      </c>
      <c r="O11753" s="8">
        <f>12+56/60+7.7/3600</f>
        <v>12.935472222222222</v>
      </c>
      <c r="P11753" s="8" t="s">
        <v>49598</v>
      </c>
      <c r="Q11753" s="8">
        <f>+(39+54/60+38/3600)</f>
        <v>39.910555555555554</v>
      </c>
      <c r="R11753" s="8">
        <v>99</v>
      </c>
      <c r="S11753" s="8">
        <v>99</v>
      </c>
      <c r="T11753" s="8">
        <v>99</v>
      </c>
      <c r="U11753" s="8">
        <v>99</v>
      </c>
      <c r="Y11753" s="8" t="s">
        <v>45514</v>
      </c>
      <c r="Z11753" s="8" t="s">
        <v>45515</v>
      </c>
    </row>
    <row r="11754" spans="1:26" x14ac:dyDescent="0.2">
      <c r="A11754" s="8">
        <v>11753</v>
      </c>
      <c r="B11754" s="8" t="s">
        <v>49599</v>
      </c>
      <c r="C11754" s="8" t="s">
        <v>49599</v>
      </c>
      <c r="G11754" s="8">
        <v>20</v>
      </c>
      <c r="H11754" s="8" t="s">
        <v>21</v>
      </c>
      <c r="I11754" s="8" t="s">
        <v>22</v>
      </c>
      <c r="J11754" s="8" t="s">
        <v>22</v>
      </c>
      <c r="K11754" s="8" t="s">
        <v>160</v>
      </c>
      <c r="L11754" s="8" t="s">
        <v>18289</v>
      </c>
      <c r="M11754" s="8" t="s">
        <v>18290</v>
      </c>
      <c r="N11754" s="8" t="s">
        <v>49600</v>
      </c>
      <c r="O11754" s="8">
        <f>12+56/60+28.8/3600</f>
        <v>12.941333333333333</v>
      </c>
      <c r="P11754" s="8" t="s">
        <v>49601</v>
      </c>
      <c r="Q11754" s="8">
        <f>+(27+17/60+27/3600)</f>
        <v>27.290833333333335</v>
      </c>
      <c r="R11754" s="8">
        <v>14.7</v>
      </c>
      <c r="S11754" s="8">
        <v>15.4</v>
      </c>
      <c r="T11754" s="8">
        <v>0.7</v>
      </c>
      <c r="U11754" s="8">
        <v>13.6</v>
      </c>
      <c r="V11754" s="8">
        <v>0.7</v>
      </c>
      <c r="W11754" s="8">
        <v>0.6</v>
      </c>
      <c r="Y11754" s="8" t="s">
        <v>895</v>
      </c>
      <c r="Z11754" s="8" t="s">
        <v>896</v>
      </c>
    </row>
    <row r="11755" spans="1:26" x14ac:dyDescent="0.2">
      <c r="A11755" s="8">
        <v>11754</v>
      </c>
      <c r="B11755" s="8" t="s">
        <v>49602</v>
      </c>
      <c r="C11755" s="8" t="s">
        <v>49602</v>
      </c>
      <c r="G11755" s="8">
        <v>20</v>
      </c>
      <c r="H11755" s="8" t="s">
        <v>21</v>
      </c>
      <c r="I11755" s="8" t="s">
        <v>22</v>
      </c>
      <c r="J11755" s="8" t="s">
        <v>22</v>
      </c>
      <c r="K11755" s="8" t="s">
        <v>460</v>
      </c>
      <c r="L11755" s="8" t="s">
        <v>18681</v>
      </c>
      <c r="M11755" s="8" t="s">
        <v>18682</v>
      </c>
      <c r="N11755" s="8" t="s">
        <v>49603</v>
      </c>
      <c r="O11755" s="8">
        <f>12+56/60+22.7/3600</f>
        <v>12.939638888888888</v>
      </c>
      <c r="P11755" s="8" t="s">
        <v>49604</v>
      </c>
      <c r="Q11755" s="8">
        <f>+(36+21/60+38/3600)</f>
        <v>36.360555555555557</v>
      </c>
      <c r="R11755" s="8">
        <v>15.7</v>
      </c>
      <c r="S11755" s="8">
        <v>16.7</v>
      </c>
      <c r="T11755" s="8">
        <v>1</v>
      </c>
      <c r="U11755" s="8">
        <v>12.3</v>
      </c>
      <c r="V11755" s="8">
        <v>0.2</v>
      </c>
      <c r="W11755" s="8">
        <v>0.2</v>
      </c>
      <c r="Y11755" s="8" t="s">
        <v>49605</v>
      </c>
      <c r="Z11755" s="8" t="s">
        <v>49606</v>
      </c>
    </row>
    <row r="11756" spans="1:26" x14ac:dyDescent="0.2">
      <c r="A11756" s="8">
        <v>11755</v>
      </c>
      <c r="B11756" s="8" t="s">
        <v>49607</v>
      </c>
      <c r="C11756" s="8" t="s">
        <v>49607</v>
      </c>
      <c r="G11756" s="8">
        <v>20</v>
      </c>
      <c r="H11756" s="8" t="s">
        <v>21</v>
      </c>
      <c r="I11756" s="8" t="s">
        <v>72</v>
      </c>
      <c r="J11756" s="8" t="s">
        <v>72</v>
      </c>
      <c r="K11756" s="8" t="s">
        <v>20</v>
      </c>
      <c r="L11756" s="8" t="s">
        <v>18289</v>
      </c>
      <c r="M11756" s="8" t="s">
        <v>18290</v>
      </c>
      <c r="N11756" s="8" t="s">
        <v>49608</v>
      </c>
      <c r="O11756" s="8">
        <f>12+56/60+39.5/3600</f>
        <v>12.944305555555555</v>
      </c>
      <c r="P11756" s="8" t="s">
        <v>49609</v>
      </c>
      <c r="Q11756" s="8">
        <f>+(20+7/60+16/3600)</f>
        <v>20.121111111111112</v>
      </c>
      <c r="R11756" s="8">
        <v>99</v>
      </c>
      <c r="S11756" s="8">
        <v>99</v>
      </c>
      <c r="T11756" s="8">
        <v>99</v>
      </c>
      <c r="U11756" s="8">
        <v>99</v>
      </c>
      <c r="Y11756" s="8" t="s">
        <v>21</v>
      </c>
      <c r="Z11756" s="8" t="s">
        <v>49610</v>
      </c>
    </row>
    <row r="11757" spans="1:26" x14ac:dyDescent="0.2">
      <c r="A11757" s="8">
        <v>11756</v>
      </c>
      <c r="B11757" s="8" t="s">
        <v>49611</v>
      </c>
      <c r="C11757" s="8" t="s">
        <v>49611</v>
      </c>
      <c r="G11757" s="8">
        <v>20</v>
      </c>
      <c r="H11757" s="8" t="s">
        <v>21</v>
      </c>
      <c r="I11757" s="8" t="s">
        <v>22</v>
      </c>
      <c r="J11757" s="8" t="s">
        <v>22</v>
      </c>
      <c r="K11757" s="8" t="s">
        <v>449</v>
      </c>
      <c r="L11757" s="8" t="s">
        <v>18681</v>
      </c>
      <c r="M11757" s="8" t="s">
        <v>18682</v>
      </c>
      <c r="N11757" s="8" t="s">
        <v>49612</v>
      </c>
      <c r="O11757" s="8">
        <f>12+56/60+31.2/3600</f>
        <v>12.942</v>
      </c>
      <c r="P11757" s="8" t="s">
        <v>49613</v>
      </c>
      <c r="Q11757" s="8">
        <f>+(38+36/60+51/3600)</f>
        <v>38.614166666666669</v>
      </c>
      <c r="R11757" s="8">
        <v>14.6</v>
      </c>
      <c r="S11757" s="8">
        <v>15.4</v>
      </c>
      <c r="T11757" s="8">
        <v>0.8</v>
      </c>
      <c r="U11757" s="8">
        <v>13.8</v>
      </c>
      <c r="V11757" s="8">
        <v>0.9</v>
      </c>
      <c r="W11757" s="8">
        <v>0.6</v>
      </c>
      <c r="X11757" s="8">
        <v>135</v>
      </c>
      <c r="Y11757" s="8" t="s">
        <v>21</v>
      </c>
      <c r="Z11757" s="8" t="s">
        <v>49614</v>
      </c>
    </row>
    <row r="11758" spans="1:26" x14ac:dyDescent="0.2">
      <c r="A11758" s="8">
        <v>11757</v>
      </c>
      <c r="B11758" s="8" t="s">
        <v>49615</v>
      </c>
      <c r="C11758" s="8" t="s">
        <v>49615</v>
      </c>
      <c r="G11758" s="8">
        <v>20</v>
      </c>
      <c r="H11758" s="8" t="s">
        <v>21</v>
      </c>
      <c r="I11758" s="8" t="s">
        <v>72</v>
      </c>
      <c r="J11758" s="8" t="s">
        <v>72</v>
      </c>
      <c r="K11758" s="8" t="s">
        <v>20</v>
      </c>
      <c r="L11758" s="8" t="s">
        <v>18289</v>
      </c>
      <c r="M11758" s="8" t="s">
        <v>18290</v>
      </c>
      <c r="N11758" s="8" t="s">
        <v>49616</v>
      </c>
      <c r="O11758" s="8">
        <f>12+56/60+51.6/3600</f>
        <v>12.947666666666667</v>
      </c>
      <c r="P11758" s="8" t="s">
        <v>49617</v>
      </c>
      <c r="Q11758" s="8">
        <f>+(22+0/60+22/3600)</f>
        <v>22.00611111111111</v>
      </c>
      <c r="R11758" s="8">
        <v>99</v>
      </c>
      <c r="S11758" s="8">
        <v>99</v>
      </c>
      <c r="T11758" s="8">
        <v>99</v>
      </c>
      <c r="U11758" s="8">
        <v>99</v>
      </c>
      <c r="Y11758" s="8" t="s">
        <v>49605</v>
      </c>
      <c r="Z11758" s="8" t="s">
        <v>49606</v>
      </c>
    </row>
    <row r="11759" spans="1:26" x14ac:dyDescent="0.2">
      <c r="A11759" s="8">
        <v>11758</v>
      </c>
      <c r="B11759" s="8" t="s">
        <v>49618</v>
      </c>
      <c r="C11759" s="8" t="s">
        <v>49618</v>
      </c>
      <c r="G11759" s="8">
        <v>20</v>
      </c>
      <c r="H11759" s="8" t="s">
        <v>21</v>
      </c>
      <c r="I11759" s="8" t="s">
        <v>22</v>
      </c>
      <c r="J11759" s="8" t="s">
        <v>22</v>
      </c>
      <c r="K11759" s="8" t="s">
        <v>160</v>
      </c>
      <c r="L11759" s="8" t="s">
        <v>18289</v>
      </c>
      <c r="M11759" s="8" t="s">
        <v>18290</v>
      </c>
      <c r="N11759" s="8" t="s">
        <v>49619</v>
      </c>
      <c r="O11759" s="8">
        <f>12+56/60+53.5/3600</f>
        <v>12.948194444444445</v>
      </c>
      <c r="P11759" s="8" t="s">
        <v>40781</v>
      </c>
      <c r="Q11759" s="8">
        <f>+(22+22/60+24/3600)</f>
        <v>22.373333333333335</v>
      </c>
      <c r="R11759" s="8">
        <v>14.9</v>
      </c>
      <c r="S11759" s="8">
        <v>15.6</v>
      </c>
      <c r="T11759" s="8">
        <v>0.7</v>
      </c>
      <c r="U11759" s="8">
        <v>12.9</v>
      </c>
      <c r="V11759" s="8">
        <v>0.6</v>
      </c>
      <c r="W11759" s="8">
        <v>0.3</v>
      </c>
      <c r="X11759" s="8">
        <v>0</v>
      </c>
      <c r="Y11759" s="8" t="s">
        <v>49620</v>
      </c>
      <c r="Z11759" s="8" t="s">
        <v>49621</v>
      </c>
    </row>
    <row r="11760" spans="1:26" x14ac:dyDescent="0.2">
      <c r="A11760" s="8">
        <v>11759</v>
      </c>
      <c r="B11760" s="8" t="s">
        <v>49622</v>
      </c>
      <c r="C11760" s="8" t="s">
        <v>49622</v>
      </c>
      <c r="G11760" s="8">
        <v>20</v>
      </c>
      <c r="H11760" s="8" t="s">
        <v>21</v>
      </c>
      <c r="I11760" s="8" t="s">
        <v>22</v>
      </c>
      <c r="J11760" s="8" t="s">
        <v>22</v>
      </c>
      <c r="K11760" s="8" t="s">
        <v>424</v>
      </c>
      <c r="L11760" s="8" t="s">
        <v>18681</v>
      </c>
      <c r="M11760" s="8" t="s">
        <v>18682</v>
      </c>
      <c r="N11760" s="8" t="s">
        <v>49623</v>
      </c>
      <c r="O11760" s="8">
        <f>12+56/60+48.7/3600</f>
        <v>12.946861111111112</v>
      </c>
      <c r="P11760" s="8" t="s">
        <v>49624</v>
      </c>
      <c r="Q11760" s="8">
        <f>+(38+35/60+19/3600)</f>
        <v>38.588611111111113</v>
      </c>
      <c r="R11760" s="8">
        <v>14.8</v>
      </c>
      <c r="S11760" s="8">
        <v>15.8</v>
      </c>
      <c r="T11760" s="8">
        <v>1</v>
      </c>
      <c r="U11760" s="8">
        <v>11.6</v>
      </c>
      <c r="V11760" s="8">
        <v>0.3</v>
      </c>
      <c r="W11760" s="8">
        <v>0.2</v>
      </c>
      <c r="X11760" s="8">
        <v>130</v>
      </c>
      <c r="Y11760" s="8" t="s">
        <v>47564</v>
      </c>
      <c r="Z11760" s="8" t="s">
        <v>47565</v>
      </c>
    </row>
    <row r="11761" spans="1:26" x14ac:dyDescent="0.2">
      <c r="A11761" s="8">
        <v>11760</v>
      </c>
      <c r="B11761" s="8" t="s">
        <v>49625</v>
      </c>
      <c r="C11761" s="8" t="s">
        <v>49625</v>
      </c>
      <c r="G11761" s="8">
        <v>20</v>
      </c>
      <c r="H11761" s="8" t="s">
        <v>21</v>
      </c>
      <c r="I11761" s="8" t="s">
        <v>22</v>
      </c>
      <c r="J11761" s="8" t="s">
        <v>22</v>
      </c>
      <c r="K11761" s="8" t="s">
        <v>37</v>
      </c>
      <c r="L11761" s="8" t="s">
        <v>18681</v>
      </c>
      <c r="M11761" s="8" t="s">
        <v>18682</v>
      </c>
      <c r="N11761" s="8" t="s">
        <v>49626</v>
      </c>
      <c r="O11761" s="8">
        <f>12+56/60+50/3600</f>
        <v>12.947222222222223</v>
      </c>
      <c r="P11761" s="8" t="s">
        <v>49627</v>
      </c>
      <c r="Q11761" s="8">
        <f>+(39+57/60+33/3600)</f>
        <v>39.959166666666668</v>
      </c>
      <c r="R11761" s="8">
        <v>14.7</v>
      </c>
      <c r="S11761" s="8">
        <v>15.7</v>
      </c>
      <c r="T11761" s="8">
        <v>1</v>
      </c>
      <c r="U11761" s="8">
        <v>12.3</v>
      </c>
      <c r="V11761" s="8">
        <v>0.6</v>
      </c>
      <c r="W11761" s="8">
        <v>0.2</v>
      </c>
      <c r="X11761" s="8">
        <v>10</v>
      </c>
      <c r="Y11761" s="8" t="s">
        <v>45514</v>
      </c>
      <c r="Z11761" s="8" t="s">
        <v>45515</v>
      </c>
    </row>
    <row r="11762" spans="1:26" x14ac:dyDescent="0.2">
      <c r="A11762" s="8">
        <v>11761</v>
      </c>
      <c r="B11762" s="8" t="s">
        <v>49628</v>
      </c>
      <c r="C11762" s="8" t="s">
        <v>49628</v>
      </c>
      <c r="G11762" s="8">
        <v>20</v>
      </c>
      <c r="H11762" s="8" t="s">
        <v>21</v>
      </c>
      <c r="I11762" s="8" t="s">
        <v>22</v>
      </c>
      <c r="J11762" s="8" t="s">
        <v>22</v>
      </c>
      <c r="K11762" s="8" t="s">
        <v>449</v>
      </c>
      <c r="L11762" s="8" t="s">
        <v>18681</v>
      </c>
      <c r="M11762" s="8" t="s">
        <v>18682</v>
      </c>
      <c r="N11762" s="8" t="s">
        <v>49629</v>
      </c>
      <c r="O11762" s="8">
        <f>12+56/60+56.7/3600</f>
        <v>12.949083333333334</v>
      </c>
      <c r="P11762" s="8" t="s">
        <v>49630</v>
      </c>
      <c r="Q11762" s="8">
        <f>+(38+38/60+24/3600)</f>
        <v>38.64</v>
      </c>
      <c r="R11762" s="8">
        <v>15.4</v>
      </c>
      <c r="S11762" s="8">
        <v>16.2</v>
      </c>
      <c r="T11762" s="8">
        <v>0.8</v>
      </c>
      <c r="U11762" s="8">
        <v>12.8</v>
      </c>
      <c r="V11762" s="8">
        <v>0.5</v>
      </c>
      <c r="W11762" s="8">
        <v>0.2</v>
      </c>
      <c r="X11762" s="8">
        <v>80</v>
      </c>
      <c r="Y11762" s="8" t="s">
        <v>47564</v>
      </c>
      <c r="Z11762" s="8" t="s">
        <v>47565</v>
      </c>
    </row>
    <row r="11763" spans="1:26" x14ac:dyDescent="0.2">
      <c r="A11763" s="8">
        <v>11762</v>
      </c>
      <c r="B11763" s="8" t="s">
        <v>49631</v>
      </c>
      <c r="C11763" s="8" t="s">
        <v>49631</v>
      </c>
      <c r="G11763" s="8">
        <v>20</v>
      </c>
      <c r="H11763" s="8" t="s">
        <v>21</v>
      </c>
      <c r="I11763" s="8" t="s">
        <v>22</v>
      </c>
      <c r="J11763" s="8" t="s">
        <v>22</v>
      </c>
      <c r="K11763" s="8" t="s">
        <v>37</v>
      </c>
      <c r="L11763" s="8" t="s">
        <v>18681</v>
      </c>
      <c r="M11763" s="8" t="s">
        <v>18682</v>
      </c>
      <c r="N11763" s="8" t="s">
        <v>49632</v>
      </c>
      <c r="O11763" s="8">
        <f>12+56/60+57.5/3600</f>
        <v>12.949305555555556</v>
      </c>
      <c r="P11763" s="8" t="s">
        <v>49633</v>
      </c>
      <c r="Q11763" s="8">
        <f>+(38+28/60+43/3600)</f>
        <v>38.478611111111114</v>
      </c>
      <c r="R11763" s="8">
        <v>14.8</v>
      </c>
      <c r="S11763" s="8">
        <v>15.8</v>
      </c>
      <c r="T11763" s="8">
        <v>1</v>
      </c>
      <c r="U11763" s="8">
        <v>12.9</v>
      </c>
      <c r="V11763" s="8">
        <v>1</v>
      </c>
      <c r="W11763" s="8">
        <v>0.2</v>
      </c>
      <c r="X11763" s="8">
        <v>95</v>
      </c>
      <c r="Y11763" s="8" t="s">
        <v>3932</v>
      </c>
      <c r="Z11763" s="8" t="s">
        <v>3933</v>
      </c>
    </row>
    <row r="11764" spans="1:26" x14ac:dyDescent="0.2">
      <c r="A11764" s="8">
        <v>11763</v>
      </c>
      <c r="B11764" s="8" t="s">
        <v>49634</v>
      </c>
      <c r="C11764" s="8" t="s">
        <v>49634</v>
      </c>
      <c r="G11764" s="8">
        <v>20</v>
      </c>
      <c r="H11764" s="8" t="s">
        <v>21</v>
      </c>
      <c r="I11764" s="8" t="s">
        <v>72</v>
      </c>
      <c r="J11764" s="8" t="s">
        <v>72</v>
      </c>
      <c r="K11764" s="8" t="s">
        <v>73</v>
      </c>
      <c r="L11764" s="8" t="s">
        <v>18681</v>
      </c>
      <c r="M11764" s="8" t="s">
        <v>18682</v>
      </c>
      <c r="N11764" s="8" t="s">
        <v>49635</v>
      </c>
      <c r="O11764" s="8">
        <f>12+57/60+0.9/3600</f>
        <v>12.950249999999999</v>
      </c>
      <c r="P11764" s="8" t="s">
        <v>44721</v>
      </c>
      <c r="Q11764" s="8">
        <f>+(37+57/60+23/3600)</f>
        <v>37.956388888888888</v>
      </c>
      <c r="R11764" s="8">
        <v>99</v>
      </c>
      <c r="S11764" s="8">
        <v>99</v>
      </c>
      <c r="T11764" s="8">
        <v>99</v>
      </c>
      <c r="U11764" s="8">
        <v>99</v>
      </c>
      <c r="Y11764" s="8" t="s">
        <v>49636</v>
      </c>
      <c r="Z11764" s="8" t="s">
        <v>49637</v>
      </c>
    </row>
    <row r="11765" spans="1:26" x14ac:dyDescent="0.2">
      <c r="A11765" s="8">
        <v>11764</v>
      </c>
      <c r="B11765" s="8" t="s">
        <v>49638</v>
      </c>
      <c r="C11765" s="8" t="s">
        <v>49638</v>
      </c>
      <c r="G11765" s="8">
        <v>20</v>
      </c>
      <c r="H11765" s="8" t="s">
        <v>21</v>
      </c>
      <c r="I11765" s="8" t="s">
        <v>22</v>
      </c>
      <c r="J11765" s="8" t="s">
        <v>22</v>
      </c>
      <c r="K11765" s="8" t="s">
        <v>460</v>
      </c>
      <c r="L11765" s="8" t="s">
        <v>18289</v>
      </c>
      <c r="M11765" s="8" t="s">
        <v>18290</v>
      </c>
      <c r="N11765" s="8" t="s">
        <v>49639</v>
      </c>
      <c r="O11765" s="8">
        <f>12+57/60+24.9/3600</f>
        <v>12.956916666666666</v>
      </c>
      <c r="P11765" s="8" t="s">
        <v>49640</v>
      </c>
      <c r="Q11765" s="8">
        <f>+(18+46/60+54/3600)</f>
        <v>18.781666666666666</v>
      </c>
      <c r="R11765" s="8">
        <v>16.5</v>
      </c>
      <c r="S11765" s="8">
        <v>17.5</v>
      </c>
      <c r="T11765" s="8">
        <v>1</v>
      </c>
      <c r="U11765" s="8">
        <v>11.6</v>
      </c>
      <c r="V11765" s="8">
        <v>0.1</v>
      </c>
      <c r="W11765" s="8">
        <v>0.1</v>
      </c>
      <c r="Y11765" s="8" t="s">
        <v>227</v>
      </c>
      <c r="Z11765" s="8" t="s">
        <v>228</v>
      </c>
    </row>
    <row r="11766" spans="1:26" x14ac:dyDescent="0.2">
      <c r="A11766" s="8">
        <v>11765</v>
      </c>
      <c r="B11766" s="8" t="s">
        <v>49641</v>
      </c>
      <c r="C11766" s="8" t="s">
        <v>49641</v>
      </c>
      <c r="G11766" s="8">
        <v>20</v>
      </c>
      <c r="H11766" s="8" t="s">
        <v>21</v>
      </c>
      <c r="I11766" s="8" t="s">
        <v>72</v>
      </c>
      <c r="J11766" s="8" t="s">
        <v>72</v>
      </c>
      <c r="K11766" s="8" t="s">
        <v>73</v>
      </c>
      <c r="L11766" s="8" t="s">
        <v>18681</v>
      </c>
      <c r="M11766" s="8" t="s">
        <v>18682</v>
      </c>
      <c r="N11766" s="8" t="s">
        <v>49642</v>
      </c>
      <c r="O11766" s="8">
        <f>12+57/60+15.4/3600</f>
        <v>12.954277777777778</v>
      </c>
      <c r="P11766" s="8" t="s">
        <v>49643</v>
      </c>
      <c r="Q11766" s="8">
        <f>+(36+25/60+20/3600)</f>
        <v>36.422222222222217</v>
      </c>
      <c r="R11766" s="8">
        <v>99</v>
      </c>
      <c r="S11766" s="8">
        <v>99</v>
      </c>
      <c r="T11766" s="8">
        <v>99</v>
      </c>
      <c r="U11766" s="8">
        <v>99</v>
      </c>
      <c r="Y11766" s="8" t="s">
        <v>21</v>
      </c>
      <c r="Z11766" s="8" t="s">
        <v>49644</v>
      </c>
    </row>
    <row r="11767" spans="1:26" x14ac:dyDescent="0.2">
      <c r="A11767" s="8">
        <v>11766</v>
      </c>
      <c r="B11767" s="8" t="s">
        <v>49645</v>
      </c>
      <c r="C11767" s="8" t="s">
        <v>49645</v>
      </c>
      <c r="G11767" s="8">
        <v>20</v>
      </c>
      <c r="H11767" s="8" t="s">
        <v>21</v>
      </c>
      <c r="I11767" s="8" t="s">
        <v>72</v>
      </c>
      <c r="J11767" s="8" t="s">
        <v>72</v>
      </c>
      <c r="K11767" s="8" t="s">
        <v>20</v>
      </c>
      <c r="L11767" s="8" t="s">
        <v>18289</v>
      </c>
      <c r="M11767" s="8" t="s">
        <v>18290</v>
      </c>
      <c r="N11767" s="8" t="s">
        <v>49646</v>
      </c>
      <c r="O11767" s="8">
        <f>12+57/60+30.4/3600</f>
        <v>12.958444444444444</v>
      </c>
      <c r="P11767" s="8" t="s">
        <v>49647</v>
      </c>
      <c r="Q11767" s="8">
        <f>+(22+48/60+44/3600)</f>
        <v>22.812222222222221</v>
      </c>
      <c r="R11767" s="8">
        <v>99</v>
      </c>
      <c r="S11767" s="8">
        <v>99</v>
      </c>
      <c r="T11767" s="8">
        <v>99</v>
      </c>
      <c r="U11767" s="8">
        <v>99</v>
      </c>
      <c r="Y11767" s="8" t="s">
        <v>45086</v>
      </c>
      <c r="Z11767" s="8" t="s">
        <v>45087</v>
      </c>
    </row>
    <row r="11768" spans="1:26" x14ac:dyDescent="0.2">
      <c r="A11768" s="8">
        <v>11767</v>
      </c>
      <c r="B11768" s="8" t="s">
        <v>49648</v>
      </c>
      <c r="C11768" s="8" t="s">
        <v>49648</v>
      </c>
      <c r="G11768" s="8">
        <v>20</v>
      </c>
      <c r="H11768" s="8" t="s">
        <v>21</v>
      </c>
      <c r="I11768" s="8" t="s">
        <v>22</v>
      </c>
      <c r="J11768" s="8" t="s">
        <v>22</v>
      </c>
      <c r="K11768" s="8" t="s">
        <v>118</v>
      </c>
      <c r="L11768" s="8" t="s">
        <v>11765</v>
      </c>
      <c r="M11768" s="8" t="s">
        <v>11766</v>
      </c>
      <c r="N11768" s="8" t="s">
        <v>49649</v>
      </c>
      <c r="O11768" s="8">
        <f>12+58/60+10.4/3600</f>
        <v>12.969555555555555</v>
      </c>
      <c r="P11768" s="8" t="s">
        <v>49650</v>
      </c>
      <c r="Q11768" s="8">
        <f>-(22+52/60+34/3600)</f>
        <v>-22.876111111111111</v>
      </c>
      <c r="R11768" s="8">
        <v>12.6</v>
      </c>
      <c r="S11768" s="8">
        <v>13.6</v>
      </c>
      <c r="T11768" s="8">
        <v>1</v>
      </c>
      <c r="U11768" s="8">
        <v>12.7</v>
      </c>
      <c r="V11768" s="8">
        <v>1.1000000000000001</v>
      </c>
      <c r="W11768" s="8">
        <v>0.9</v>
      </c>
      <c r="X11768" s="8">
        <v>162</v>
      </c>
      <c r="Y11768" s="8" t="s">
        <v>49651</v>
      </c>
      <c r="Z11768" s="8" t="s">
        <v>49652</v>
      </c>
    </row>
    <row r="11769" spans="1:26" x14ac:dyDescent="0.2">
      <c r="A11769" s="8">
        <v>11768</v>
      </c>
      <c r="B11769" s="8" t="s">
        <v>49653</v>
      </c>
      <c r="C11769" s="8" t="s">
        <v>49653</v>
      </c>
      <c r="G11769" s="8">
        <v>20</v>
      </c>
      <c r="H11769" s="8" t="s">
        <v>21</v>
      </c>
      <c r="I11769" s="8" t="s">
        <v>22</v>
      </c>
      <c r="J11769" s="8" t="s">
        <v>22</v>
      </c>
      <c r="K11769" s="8" t="s">
        <v>382</v>
      </c>
      <c r="L11769" s="8" t="s">
        <v>18681</v>
      </c>
      <c r="M11769" s="8" t="s">
        <v>18682</v>
      </c>
      <c r="N11769" s="8" t="s">
        <v>49654</v>
      </c>
      <c r="O11769" s="8">
        <f>12+57/60+18.3/3600</f>
        <v>12.955083333333333</v>
      </c>
      <c r="P11769" s="8" t="s">
        <v>49655</v>
      </c>
      <c r="Q11769" s="8">
        <f>+(40+26/60+30/3600)</f>
        <v>40.441666666666663</v>
      </c>
      <c r="R11769" s="8">
        <v>15.5</v>
      </c>
      <c r="S11769" s="8">
        <v>16.5</v>
      </c>
      <c r="T11769" s="8">
        <v>1</v>
      </c>
      <c r="U11769" s="8">
        <v>12.5</v>
      </c>
      <c r="V11769" s="8">
        <v>0.3</v>
      </c>
      <c r="W11769" s="8">
        <v>0.2</v>
      </c>
      <c r="X11769" s="8">
        <v>160</v>
      </c>
      <c r="Y11769" s="8" t="s">
        <v>49656</v>
      </c>
      <c r="Z11769" s="8" t="s">
        <v>49657</v>
      </c>
    </row>
    <row r="11770" spans="1:26" x14ac:dyDescent="0.2">
      <c r="A11770" s="8">
        <v>11769</v>
      </c>
      <c r="B11770" s="8" t="s">
        <v>49658</v>
      </c>
      <c r="C11770" s="8" t="s">
        <v>49658</v>
      </c>
      <c r="G11770" s="8">
        <v>20</v>
      </c>
      <c r="H11770" s="8" t="s">
        <v>21</v>
      </c>
      <c r="I11770" s="8" t="s">
        <v>22</v>
      </c>
      <c r="J11770" s="8" t="s">
        <v>22</v>
      </c>
      <c r="K11770" s="8" t="s">
        <v>449</v>
      </c>
      <c r="L11770" s="8" t="s">
        <v>18289</v>
      </c>
      <c r="M11770" s="8" t="s">
        <v>18290</v>
      </c>
      <c r="N11770" s="8" t="s">
        <v>49659</v>
      </c>
      <c r="O11770" s="8">
        <f>12+57/60+41/3600</f>
        <v>12.961388888888887</v>
      </c>
      <c r="P11770" s="8" t="s">
        <v>49660</v>
      </c>
      <c r="Q11770" s="8">
        <f>+(20+23/60+51/3600)</f>
        <v>20.397500000000001</v>
      </c>
      <c r="R11770" s="8">
        <v>15.8</v>
      </c>
      <c r="S11770" s="8">
        <v>16.600000000000001</v>
      </c>
      <c r="T11770" s="8">
        <v>0.8</v>
      </c>
      <c r="U11770" s="8">
        <v>13.7</v>
      </c>
      <c r="V11770" s="8">
        <v>0.4</v>
      </c>
      <c r="W11770" s="8">
        <v>0.4</v>
      </c>
      <c r="Y11770" s="8" t="s">
        <v>47603</v>
      </c>
      <c r="Z11770" s="8" t="s">
        <v>47604</v>
      </c>
    </row>
    <row r="11771" spans="1:26" x14ac:dyDescent="0.2">
      <c r="A11771" s="8">
        <v>11770</v>
      </c>
      <c r="B11771" s="8" t="s">
        <v>49661</v>
      </c>
      <c r="C11771" s="8" t="s">
        <v>49661</v>
      </c>
      <c r="G11771" s="8">
        <v>20</v>
      </c>
      <c r="H11771" s="8" t="s">
        <v>21</v>
      </c>
      <c r="I11771" s="8" t="s">
        <v>22</v>
      </c>
      <c r="J11771" s="8" t="s">
        <v>22</v>
      </c>
      <c r="K11771" s="8" t="s">
        <v>449</v>
      </c>
      <c r="L11771" s="8" t="s">
        <v>18681</v>
      </c>
      <c r="M11771" s="8" t="s">
        <v>18682</v>
      </c>
      <c r="N11771" s="8" t="s">
        <v>49662</v>
      </c>
      <c r="O11771" s="8">
        <f>12+57/60+22.4/3600</f>
        <v>12.956222222222221</v>
      </c>
      <c r="P11771" s="8" t="s">
        <v>49663</v>
      </c>
      <c r="Q11771" s="8">
        <f>+(38+45/60+53/3600)</f>
        <v>38.764722222222225</v>
      </c>
      <c r="R11771" s="8">
        <v>15.2</v>
      </c>
      <c r="S11771" s="8">
        <v>16</v>
      </c>
      <c r="T11771" s="8">
        <v>0.8</v>
      </c>
      <c r="U11771" s="8">
        <v>12.6</v>
      </c>
      <c r="V11771" s="8">
        <v>0.5</v>
      </c>
      <c r="W11771" s="8">
        <v>0.2</v>
      </c>
      <c r="X11771" s="8">
        <v>10</v>
      </c>
      <c r="Y11771" s="8" t="s">
        <v>49664</v>
      </c>
      <c r="Z11771" s="8" t="s">
        <v>49665</v>
      </c>
    </row>
    <row r="11772" spans="1:26" x14ac:dyDescent="0.2">
      <c r="A11772" s="8">
        <v>11771</v>
      </c>
      <c r="B11772" s="8" t="s">
        <v>49666</v>
      </c>
      <c r="C11772" s="8" t="s">
        <v>49666</v>
      </c>
      <c r="G11772" s="8">
        <v>20</v>
      </c>
      <c r="H11772" s="8" t="s">
        <v>21</v>
      </c>
      <c r="I11772" s="8" t="s">
        <v>22</v>
      </c>
      <c r="J11772" s="8" t="s">
        <v>22</v>
      </c>
      <c r="K11772" s="8" t="s">
        <v>382</v>
      </c>
      <c r="L11772" s="8" t="s">
        <v>18289</v>
      </c>
      <c r="M11772" s="8" t="s">
        <v>18290</v>
      </c>
      <c r="N11772" s="8" t="s">
        <v>49667</v>
      </c>
      <c r="O11772" s="8">
        <f>12+57/60+57.2/3600</f>
        <v>12.965888888888887</v>
      </c>
      <c r="P11772" s="8" t="s">
        <v>49668</v>
      </c>
      <c r="Q11772" s="8">
        <f>+(19+37/60+2/3600)</f>
        <v>19.617222222222221</v>
      </c>
      <c r="R11772" s="8">
        <v>14.8</v>
      </c>
      <c r="S11772" s="8">
        <v>15.8</v>
      </c>
      <c r="T11772" s="8">
        <v>1</v>
      </c>
      <c r="U11772" s="8">
        <v>11.8</v>
      </c>
      <c r="V11772" s="8">
        <v>0.3</v>
      </c>
      <c r="W11772" s="8">
        <v>0.2</v>
      </c>
      <c r="X11772" s="8">
        <v>10</v>
      </c>
      <c r="Y11772" s="8" t="s">
        <v>46965</v>
      </c>
      <c r="Z11772" s="8" t="s">
        <v>46966</v>
      </c>
    </row>
    <row r="11773" spans="1:26" x14ac:dyDescent="0.2">
      <c r="A11773" s="8">
        <v>11772</v>
      </c>
      <c r="B11773" s="8" t="s">
        <v>49669</v>
      </c>
      <c r="C11773" s="8" t="s">
        <v>49669</v>
      </c>
      <c r="G11773" s="8">
        <v>20</v>
      </c>
      <c r="H11773" s="8" t="s">
        <v>21</v>
      </c>
      <c r="I11773" s="8" t="s">
        <v>72</v>
      </c>
      <c r="J11773" s="8" t="s">
        <v>72</v>
      </c>
      <c r="K11773" s="8" t="s">
        <v>20</v>
      </c>
      <c r="L11773" s="8" t="s">
        <v>18289</v>
      </c>
      <c r="M11773" s="8" t="s">
        <v>18290</v>
      </c>
      <c r="N11773" s="8" t="s">
        <v>49670</v>
      </c>
      <c r="O11773" s="8">
        <f>12+58/60+5.6/3600</f>
        <v>12.968222222222222</v>
      </c>
      <c r="P11773" s="8" t="s">
        <v>49671</v>
      </c>
      <c r="Q11773" s="8">
        <f>+(19+35/60+5/3600)</f>
        <v>19.584722222222222</v>
      </c>
      <c r="R11773" s="8">
        <v>99</v>
      </c>
      <c r="S11773" s="8">
        <v>99</v>
      </c>
      <c r="T11773" s="8">
        <v>99</v>
      </c>
      <c r="U11773" s="8">
        <v>99</v>
      </c>
      <c r="Y11773" s="8" t="s">
        <v>21</v>
      </c>
      <c r="Z11773" s="8" t="s">
        <v>49672</v>
      </c>
    </row>
    <row r="11774" spans="1:26" x14ac:dyDescent="0.2">
      <c r="A11774" s="8">
        <v>11773</v>
      </c>
      <c r="B11774" s="8" t="s">
        <v>49673</v>
      </c>
      <c r="C11774" s="8" t="s">
        <v>49673</v>
      </c>
      <c r="G11774" s="8">
        <v>20</v>
      </c>
      <c r="H11774" s="8" t="s">
        <v>21</v>
      </c>
      <c r="I11774" s="8" t="s">
        <v>72</v>
      </c>
      <c r="J11774" s="8" t="s">
        <v>72</v>
      </c>
      <c r="K11774" s="8" t="s">
        <v>20</v>
      </c>
      <c r="L11774" s="8" t="s">
        <v>18681</v>
      </c>
      <c r="M11774" s="8" t="s">
        <v>18682</v>
      </c>
      <c r="N11774" s="8" t="s">
        <v>49674</v>
      </c>
      <c r="O11774" s="8">
        <f>12+57/60+57.1/3600</f>
        <v>12.96586111111111</v>
      </c>
      <c r="P11774" s="8" t="s">
        <v>49675</v>
      </c>
      <c r="Q11774" s="8">
        <f>+(36+38/60+43/3600)</f>
        <v>36.645277777777778</v>
      </c>
      <c r="R11774" s="8">
        <v>99</v>
      </c>
      <c r="S11774" s="8">
        <v>99</v>
      </c>
      <c r="T11774" s="8">
        <v>99</v>
      </c>
      <c r="U11774" s="8">
        <v>99</v>
      </c>
      <c r="Y11774" s="8" t="s">
        <v>45514</v>
      </c>
      <c r="Z11774" s="8" t="s">
        <v>45515</v>
      </c>
    </row>
    <row r="11775" spans="1:26" x14ac:dyDescent="0.2">
      <c r="A11775" s="8">
        <v>11774</v>
      </c>
      <c r="B11775" s="8" t="s">
        <v>49676</v>
      </c>
      <c r="C11775" s="8" t="s">
        <v>49676</v>
      </c>
      <c r="G11775" s="8">
        <v>20</v>
      </c>
      <c r="H11775" s="8" t="s">
        <v>21</v>
      </c>
      <c r="I11775" s="8" t="s">
        <v>22</v>
      </c>
      <c r="J11775" s="8" t="s">
        <v>22</v>
      </c>
      <c r="K11775" s="8" t="s">
        <v>449</v>
      </c>
      <c r="L11775" s="8" t="s">
        <v>18289</v>
      </c>
      <c r="M11775" s="8" t="s">
        <v>18290</v>
      </c>
      <c r="N11775" s="8" t="s">
        <v>49677</v>
      </c>
      <c r="O11775" s="8">
        <f>12+58/60+17.5/3600</f>
        <v>12.971527777777778</v>
      </c>
      <c r="P11775" s="8" t="s">
        <v>49678</v>
      </c>
      <c r="Q11775" s="8">
        <f>+(18+49/60+30/3600)</f>
        <v>18.824999999999999</v>
      </c>
      <c r="R11775" s="8">
        <v>15.2</v>
      </c>
      <c r="S11775" s="8">
        <v>16</v>
      </c>
      <c r="T11775" s="8">
        <v>0.8</v>
      </c>
      <c r="U11775" s="8">
        <v>13.1</v>
      </c>
      <c r="V11775" s="8">
        <v>0.4</v>
      </c>
      <c r="W11775" s="8">
        <v>0.4</v>
      </c>
      <c r="Y11775" s="8" t="s">
        <v>22305</v>
      </c>
      <c r="Z11775" s="8" t="s">
        <v>22306</v>
      </c>
    </row>
    <row r="11776" spans="1:26" x14ac:dyDescent="0.2">
      <c r="A11776" s="8">
        <v>11775</v>
      </c>
      <c r="B11776" s="8" t="s">
        <v>49679</v>
      </c>
      <c r="C11776" s="8" t="s">
        <v>49679</v>
      </c>
      <c r="G11776" s="8">
        <v>20</v>
      </c>
      <c r="H11776" s="8" t="s">
        <v>21</v>
      </c>
      <c r="I11776" s="8" t="s">
        <v>22</v>
      </c>
      <c r="J11776" s="8" t="s">
        <v>57</v>
      </c>
      <c r="K11776" s="8" t="s">
        <v>37</v>
      </c>
      <c r="L11776" s="8" t="s">
        <v>18289</v>
      </c>
      <c r="M11776" s="8" t="s">
        <v>18290</v>
      </c>
      <c r="N11776" s="8" t="s">
        <v>21842</v>
      </c>
      <c r="O11776" s="8">
        <f>12+58/60+12.7/3600</f>
        <v>12.970194444444445</v>
      </c>
      <c r="P11776" s="8" t="s">
        <v>21843</v>
      </c>
      <c r="Q11776" s="8">
        <f>+(26+23/60+47/3600)</f>
        <v>26.39638888888889</v>
      </c>
      <c r="R11776" s="8">
        <v>12.9</v>
      </c>
      <c r="S11776" s="8">
        <v>13.9</v>
      </c>
      <c r="T11776" s="8">
        <v>1</v>
      </c>
      <c r="U11776" s="8">
        <v>13.6</v>
      </c>
      <c r="V11776" s="8">
        <v>1.9</v>
      </c>
      <c r="W11776" s="8">
        <v>1.4</v>
      </c>
      <c r="X11776" s="8">
        <v>175</v>
      </c>
      <c r="Y11776" s="8" t="s">
        <v>21</v>
      </c>
      <c r="Z11776" s="8" t="s">
        <v>49680</v>
      </c>
    </row>
    <row r="11777" spans="1:26" x14ac:dyDescent="0.2">
      <c r="A11777" s="8">
        <v>11776</v>
      </c>
      <c r="B11777" s="8" t="s">
        <v>49681</v>
      </c>
      <c r="C11777" s="8" t="s">
        <v>49681</v>
      </c>
      <c r="G11777" s="8">
        <v>20</v>
      </c>
      <c r="H11777" s="8" t="s">
        <v>21</v>
      </c>
      <c r="I11777" s="8" t="s">
        <v>72</v>
      </c>
      <c r="J11777" s="8" t="s">
        <v>72</v>
      </c>
      <c r="K11777" s="8" t="s">
        <v>73</v>
      </c>
      <c r="L11777" s="8" t="s">
        <v>18289</v>
      </c>
      <c r="M11777" s="8" t="s">
        <v>18290</v>
      </c>
      <c r="N11777" s="8" t="s">
        <v>49682</v>
      </c>
      <c r="O11777" s="8">
        <f>12+58/60+20.2/3600</f>
        <v>12.972277777777778</v>
      </c>
      <c r="P11777" s="8" t="s">
        <v>49683</v>
      </c>
      <c r="Q11777" s="8">
        <f>+(19+3/60+28/3600)</f>
        <v>19.05777777777778</v>
      </c>
      <c r="R11777" s="8">
        <v>99</v>
      </c>
      <c r="S11777" s="8">
        <v>99</v>
      </c>
      <c r="T11777" s="8">
        <v>99</v>
      </c>
      <c r="U11777" s="8">
        <v>99</v>
      </c>
      <c r="Y11777" s="8" t="s">
        <v>21</v>
      </c>
      <c r="Z11777" s="8" t="s">
        <v>49684</v>
      </c>
    </row>
    <row r="11778" spans="1:26" x14ac:dyDescent="0.2">
      <c r="A11778" s="8">
        <v>11777</v>
      </c>
      <c r="B11778" s="8" t="s">
        <v>49685</v>
      </c>
      <c r="C11778" s="8" t="s">
        <v>49685</v>
      </c>
      <c r="G11778" s="8">
        <v>20</v>
      </c>
      <c r="H11778" s="8" t="s">
        <v>21</v>
      </c>
      <c r="I11778" s="8" t="s">
        <v>22</v>
      </c>
      <c r="J11778" s="8" t="s">
        <v>22</v>
      </c>
      <c r="K11778" s="8" t="s">
        <v>460</v>
      </c>
      <c r="L11778" s="8" t="s">
        <v>18289</v>
      </c>
      <c r="M11778" s="8" t="s">
        <v>18290</v>
      </c>
      <c r="N11778" s="8" t="s">
        <v>49686</v>
      </c>
      <c r="O11778" s="8">
        <f>12+58/60+24.7/3600</f>
        <v>12.973527777777777</v>
      </c>
      <c r="P11778" s="8" t="s">
        <v>49687</v>
      </c>
      <c r="Q11778" s="8">
        <f>+(18+49/60+6/3600)</f>
        <v>18.818333333333332</v>
      </c>
      <c r="R11778" s="8">
        <v>15.2</v>
      </c>
      <c r="S11778" s="8">
        <v>16.2</v>
      </c>
      <c r="T11778" s="8">
        <v>1</v>
      </c>
      <c r="U11778" s="8">
        <v>11.8</v>
      </c>
      <c r="V11778" s="8">
        <v>0.2</v>
      </c>
      <c r="W11778" s="8">
        <v>0.2</v>
      </c>
      <c r="Y11778" s="8" t="s">
        <v>45086</v>
      </c>
      <c r="Z11778" s="8" t="s">
        <v>45087</v>
      </c>
    </row>
    <row r="11779" spans="1:26" x14ac:dyDescent="0.2">
      <c r="A11779" s="8">
        <v>11778</v>
      </c>
      <c r="B11779" s="8" t="s">
        <v>49688</v>
      </c>
      <c r="C11779" s="8" t="s">
        <v>49688</v>
      </c>
      <c r="G11779" s="8">
        <v>20</v>
      </c>
      <c r="H11779" s="8" t="s">
        <v>21</v>
      </c>
      <c r="I11779" s="8" t="s">
        <v>72</v>
      </c>
      <c r="J11779" s="8" t="s">
        <v>72</v>
      </c>
      <c r="K11779" s="8" t="s">
        <v>20</v>
      </c>
      <c r="L11779" s="8" t="s">
        <v>18289</v>
      </c>
      <c r="M11779" s="8" t="s">
        <v>18290</v>
      </c>
      <c r="N11779" s="8" t="s">
        <v>49689</v>
      </c>
      <c r="O11779" s="8">
        <f>12+58/60+25.7/3600</f>
        <v>12.973805555555556</v>
      </c>
      <c r="P11779" s="8" t="s">
        <v>18439</v>
      </c>
      <c r="Q11779" s="8">
        <f>+(18+45/60+9/3600)</f>
        <v>18.752500000000001</v>
      </c>
      <c r="R11779" s="8">
        <v>99</v>
      </c>
      <c r="S11779" s="8">
        <v>99</v>
      </c>
      <c r="T11779" s="8">
        <v>99</v>
      </c>
      <c r="U11779" s="8">
        <v>99</v>
      </c>
      <c r="Y11779" s="8" t="s">
        <v>49690</v>
      </c>
      <c r="Z11779" s="8" t="s">
        <v>49691</v>
      </c>
    </row>
    <row r="11780" spans="1:26" x14ac:dyDescent="0.2">
      <c r="A11780" s="8">
        <v>11779</v>
      </c>
      <c r="B11780" s="8" t="s">
        <v>49692</v>
      </c>
      <c r="C11780" s="8" t="s">
        <v>49692</v>
      </c>
      <c r="G11780" s="8">
        <v>20</v>
      </c>
      <c r="H11780" s="8" t="s">
        <v>21</v>
      </c>
      <c r="I11780" s="8" t="s">
        <v>72</v>
      </c>
      <c r="J11780" s="8" t="s">
        <v>72</v>
      </c>
      <c r="K11780" s="8" t="s">
        <v>20</v>
      </c>
      <c r="L11780" s="8" t="s">
        <v>18289</v>
      </c>
      <c r="M11780" s="8" t="s">
        <v>18290</v>
      </c>
      <c r="N11780" s="8" t="s">
        <v>49693</v>
      </c>
      <c r="O11780" s="8">
        <f>12+58/60+28/3600</f>
        <v>12.974444444444444</v>
      </c>
      <c r="P11780" s="8" t="s">
        <v>49694</v>
      </c>
      <c r="Q11780" s="8">
        <f>+(18+45/60+6/3600)</f>
        <v>18.751666666666665</v>
      </c>
      <c r="R11780" s="8">
        <v>99</v>
      </c>
      <c r="S11780" s="8">
        <v>99</v>
      </c>
      <c r="T11780" s="8">
        <v>99</v>
      </c>
      <c r="U11780" s="8">
        <v>99</v>
      </c>
      <c r="Y11780" s="8" t="s">
        <v>48996</v>
      </c>
      <c r="Z11780" s="8" t="s">
        <v>48997</v>
      </c>
    </row>
    <row r="11781" spans="1:26" x14ac:dyDescent="0.2">
      <c r="A11781" s="8">
        <v>11780</v>
      </c>
      <c r="B11781" s="8" t="s">
        <v>49695</v>
      </c>
      <c r="C11781" s="8" t="s">
        <v>49695</v>
      </c>
      <c r="G11781" s="8">
        <v>20</v>
      </c>
      <c r="H11781" s="8" t="s">
        <v>21</v>
      </c>
      <c r="I11781" s="8" t="s">
        <v>22</v>
      </c>
      <c r="J11781" s="8" t="s">
        <v>22</v>
      </c>
      <c r="K11781" s="8" t="s">
        <v>424</v>
      </c>
      <c r="L11781" s="8" t="s">
        <v>18681</v>
      </c>
      <c r="M11781" s="8" t="s">
        <v>18682</v>
      </c>
      <c r="N11781" s="8" t="s">
        <v>49696</v>
      </c>
      <c r="O11781" s="8">
        <f>12+58/60+16.4/3600</f>
        <v>12.971222222222222</v>
      </c>
      <c r="P11781" s="8" t="s">
        <v>49697</v>
      </c>
      <c r="Q11781" s="8">
        <f>+(35+50/60+22/3600)</f>
        <v>35.839444444444446</v>
      </c>
      <c r="R11781" s="8">
        <v>14.7</v>
      </c>
      <c r="S11781" s="8">
        <v>15.7</v>
      </c>
      <c r="T11781" s="8">
        <v>1</v>
      </c>
      <c r="U11781" s="8">
        <v>11.8</v>
      </c>
      <c r="V11781" s="8">
        <v>0.4</v>
      </c>
      <c r="W11781" s="8">
        <v>0.2</v>
      </c>
      <c r="X11781" s="8">
        <v>140</v>
      </c>
      <c r="Y11781" s="8" t="s">
        <v>15316</v>
      </c>
      <c r="Z11781" s="8" t="s">
        <v>15317</v>
      </c>
    </row>
    <row r="11782" spans="1:26" x14ac:dyDescent="0.2">
      <c r="A11782" s="8">
        <v>11781</v>
      </c>
      <c r="B11782" s="8" t="s">
        <v>49698</v>
      </c>
      <c r="C11782" s="8" t="s">
        <v>49698</v>
      </c>
      <c r="G11782" s="8">
        <v>20</v>
      </c>
      <c r="H11782" s="8" t="s">
        <v>21</v>
      </c>
      <c r="I11782" s="8" t="s">
        <v>22</v>
      </c>
      <c r="J11782" s="8" t="s">
        <v>22</v>
      </c>
      <c r="K11782" s="8" t="s">
        <v>460</v>
      </c>
      <c r="L11782" s="8" t="s">
        <v>18681</v>
      </c>
      <c r="M11782" s="8" t="s">
        <v>18682</v>
      </c>
      <c r="N11782" s="8" t="s">
        <v>49699</v>
      </c>
      <c r="O11782" s="8">
        <f>12+58/60+13.8/3600</f>
        <v>12.970499999999999</v>
      </c>
      <c r="P11782" s="8" t="s">
        <v>49700</v>
      </c>
      <c r="Q11782" s="8">
        <f>+(39+46/60+24/3600)</f>
        <v>39.773333333333333</v>
      </c>
      <c r="R11782" s="8">
        <v>15.7</v>
      </c>
      <c r="S11782" s="8">
        <v>16.7</v>
      </c>
      <c r="T11782" s="8">
        <v>1</v>
      </c>
      <c r="U11782" s="8">
        <v>13.2</v>
      </c>
      <c r="V11782" s="8">
        <v>0.3</v>
      </c>
      <c r="W11782" s="8">
        <v>0.3</v>
      </c>
      <c r="Y11782" s="8" t="s">
        <v>45514</v>
      </c>
      <c r="Z11782" s="8" t="s">
        <v>45515</v>
      </c>
    </row>
    <row r="11783" spans="1:26" x14ac:dyDescent="0.2">
      <c r="A11783" s="8">
        <v>11782</v>
      </c>
      <c r="B11783" s="8" t="s">
        <v>49701</v>
      </c>
      <c r="C11783" s="8" t="s">
        <v>49701</v>
      </c>
      <c r="G11783" s="8">
        <v>20</v>
      </c>
      <c r="H11783" s="8" t="s">
        <v>21</v>
      </c>
      <c r="I11783" s="8" t="s">
        <v>72</v>
      </c>
      <c r="J11783" s="8" t="s">
        <v>72</v>
      </c>
      <c r="K11783" s="8" t="s">
        <v>20</v>
      </c>
      <c r="L11783" s="8" t="s">
        <v>18681</v>
      </c>
      <c r="M11783" s="8" t="s">
        <v>18682</v>
      </c>
      <c r="N11783" s="8" t="s">
        <v>49702</v>
      </c>
      <c r="O11783" s="8">
        <f>12+58/60+19.8/3600</f>
        <v>12.972166666666666</v>
      </c>
      <c r="P11783" s="8" t="s">
        <v>49703</v>
      </c>
      <c r="Q11783" s="8">
        <f>+(36+6/60+32/3600)</f>
        <v>36.108888888888892</v>
      </c>
      <c r="R11783" s="8">
        <v>99</v>
      </c>
      <c r="S11783" s="8">
        <v>99</v>
      </c>
      <c r="T11783" s="8">
        <v>99</v>
      </c>
      <c r="U11783" s="8">
        <v>99</v>
      </c>
      <c r="Y11783" s="8" t="s">
        <v>49001</v>
      </c>
      <c r="Z11783" s="8" t="s">
        <v>49002</v>
      </c>
    </row>
    <row r="11784" spans="1:26" x14ac:dyDescent="0.2">
      <c r="A11784" s="8">
        <v>11783</v>
      </c>
      <c r="B11784" s="8" t="s">
        <v>49704</v>
      </c>
      <c r="C11784" s="8" t="s">
        <v>49704</v>
      </c>
      <c r="G11784" s="8">
        <v>20</v>
      </c>
      <c r="H11784" s="8" t="s">
        <v>21</v>
      </c>
      <c r="I11784" s="8" t="s">
        <v>22</v>
      </c>
      <c r="J11784" s="8" t="s">
        <v>22</v>
      </c>
      <c r="K11784" s="8" t="s">
        <v>632</v>
      </c>
      <c r="L11784" s="8" t="s">
        <v>18289</v>
      </c>
      <c r="M11784" s="8" t="s">
        <v>18290</v>
      </c>
      <c r="N11784" s="8" t="s">
        <v>49705</v>
      </c>
      <c r="O11784" s="8">
        <f>12+58/60+36.5/3600</f>
        <v>12.976805555555556</v>
      </c>
      <c r="P11784" s="8" t="s">
        <v>49706</v>
      </c>
      <c r="Q11784" s="8">
        <f>+(28+6/60+48/3600)</f>
        <v>28.113333333333333</v>
      </c>
      <c r="R11784" s="8">
        <v>14.7</v>
      </c>
      <c r="S11784" s="8">
        <v>15.6</v>
      </c>
      <c r="T11784" s="8">
        <v>0.9</v>
      </c>
      <c r="U11784" s="8">
        <v>12.3</v>
      </c>
      <c r="V11784" s="8">
        <v>0.6</v>
      </c>
      <c r="W11784" s="8">
        <v>0.2</v>
      </c>
      <c r="X11784" s="8">
        <v>50</v>
      </c>
      <c r="Y11784" s="8" t="s">
        <v>37014</v>
      </c>
      <c r="Z11784" s="8" t="s">
        <v>37015</v>
      </c>
    </row>
    <row r="11785" spans="1:26" x14ac:dyDescent="0.2">
      <c r="A11785" s="8">
        <v>11784</v>
      </c>
      <c r="B11785" s="8" t="s">
        <v>49707</v>
      </c>
      <c r="C11785" s="8" t="s">
        <v>49707</v>
      </c>
      <c r="G11785" s="8">
        <v>20</v>
      </c>
      <c r="H11785" s="8" t="s">
        <v>21</v>
      </c>
      <c r="I11785" s="8" t="s">
        <v>22</v>
      </c>
      <c r="J11785" s="8" t="s">
        <v>22</v>
      </c>
      <c r="K11785" s="8" t="s">
        <v>449</v>
      </c>
      <c r="L11785" s="8" t="s">
        <v>18289</v>
      </c>
      <c r="M11785" s="8" t="s">
        <v>18290</v>
      </c>
      <c r="N11785" s="8" t="s">
        <v>49708</v>
      </c>
      <c r="O11785" s="8">
        <f>12+58/60+44.8/3600</f>
        <v>12.979111111111111</v>
      </c>
      <c r="P11785" s="8" t="s">
        <v>49709</v>
      </c>
      <c r="Q11785" s="8">
        <f>+(23+46/60+52/3600)</f>
        <v>23.781111111111109</v>
      </c>
      <c r="R11785" s="8">
        <v>15.4</v>
      </c>
      <c r="S11785" s="8">
        <v>16.2</v>
      </c>
      <c r="T11785" s="8">
        <v>0.8</v>
      </c>
      <c r="U11785" s="8">
        <v>12.5</v>
      </c>
      <c r="V11785" s="8">
        <v>0.4</v>
      </c>
      <c r="W11785" s="8">
        <v>0.2</v>
      </c>
      <c r="X11785" s="8">
        <v>60</v>
      </c>
      <c r="Y11785" s="8" t="s">
        <v>45514</v>
      </c>
      <c r="Z11785" s="8" t="s">
        <v>45515</v>
      </c>
    </row>
    <row r="11786" spans="1:26" x14ac:dyDescent="0.2">
      <c r="A11786" s="8">
        <v>11785</v>
      </c>
      <c r="B11786" s="8" t="s">
        <v>49710</v>
      </c>
      <c r="C11786" s="8" t="s">
        <v>49710</v>
      </c>
      <c r="G11786" s="8">
        <v>20</v>
      </c>
      <c r="H11786" s="8" t="s">
        <v>21</v>
      </c>
      <c r="I11786" s="8" t="s">
        <v>22</v>
      </c>
      <c r="J11786" s="8" t="s">
        <v>22</v>
      </c>
      <c r="K11786" s="8" t="s">
        <v>37</v>
      </c>
      <c r="L11786" s="8" t="s">
        <v>18681</v>
      </c>
      <c r="M11786" s="8" t="s">
        <v>18682</v>
      </c>
      <c r="N11786" s="8" t="s">
        <v>49711</v>
      </c>
      <c r="O11786" s="8">
        <f>12+58/60+29.6/3600</f>
        <v>12.97488888888889</v>
      </c>
      <c r="P11786" s="8" t="s">
        <v>49712</v>
      </c>
      <c r="Q11786" s="8">
        <f>+(39+56/60+8/3600)</f>
        <v>39.935555555555553</v>
      </c>
      <c r="R11786" s="8">
        <v>15</v>
      </c>
      <c r="S11786" s="8">
        <v>16</v>
      </c>
      <c r="T11786" s="8">
        <v>1</v>
      </c>
      <c r="U11786" s="8">
        <v>12.6</v>
      </c>
      <c r="V11786" s="8">
        <v>0.6</v>
      </c>
      <c r="W11786" s="8">
        <v>0.2</v>
      </c>
      <c r="X11786" s="8">
        <v>15</v>
      </c>
      <c r="Y11786" s="8" t="s">
        <v>45514</v>
      </c>
      <c r="Z11786" s="8" t="s">
        <v>45515</v>
      </c>
    </row>
    <row r="11787" spans="1:26" x14ac:dyDescent="0.2">
      <c r="A11787" s="8">
        <v>11786</v>
      </c>
      <c r="B11787" s="8" t="s">
        <v>49713</v>
      </c>
      <c r="C11787" s="8" t="s">
        <v>49713</v>
      </c>
      <c r="G11787" s="8">
        <v>20</v>
      </c>
      <c r="H11787" s="8" t="s">
        <v>21</v>
      </c>
      <c r="I11787" s="8" t="s">
        <v>22</v>
      </c>
      <c r="J11787" s="8" t="s">
        <v>22</v>
      </c>
      <c r="K11787" s="8" t="s">
        <v>37</v>
      </c>
      <c r="L11787" s="8" t="s">
        <v>18289</v>
      </c>
      <c r="M11787" s="8" t="s">
        <v>18290</v>
      </c>
      <c r="N11787" s="8" t="s">
        <v>49714</v>
      </c>
      <c r="O11787" s="8">
        <f>12+58/60+49.1/3600</f>
        <v>12.980305555555555</v>
      </c>
      <c r="P11787" s="8" t="s">
        <v>49715</v>
      </c>
      <c r="Q11787" s="8">
        <f>+(27+48/60+35/3600)</f>
        <v>27.809722222222224</v>
      </c>
      <c r="R11787" s="8">
        <v>14</v>
      </c>
      <c r="S11787" s="8">
        <v>15.1</v>
      </c>
      <c r="T11787" s="8">
        <v>1.1000000000000001</v>
      </c>
      <c r="U11787" s="8">
        <v>12.5</v>
      </c>
      <c r="V11787" s="8">
        <v>0.7</v>
      </c>
      <c r="W11787" s="8">
        <v>0.4</v>
      </c>
      <c r="X11787" s="8">
        <v>80</v>
      </c>
      <c r="Y11787" s="8" t="s">
        <v>49716</v>
      </c>
      <c r="Z11787" s="8" t="s">
        <v>49717</v>
      </c>
    </row>
    <row r="11788" spans="1:26" x14ac:dyDescent="0.2">
      <c r="A11788" s="8">
        <v>11787</v>
      </c>
      <c r="B11788" s="8" t="s">
        <v>49718</v>
      </c>
      <c r="C11788" s="8" t="s">
        <v>49718</v>
      </c>
      <c r="G11788" s="8">
        <v>20</v>
      </c>
      <c r="H11788" s="8" t="s">
        <v>21</v>
      </c>
      <c r="I11788" s="8" t="s">
        <v>22</v>
      </c>
      <c r="J11788" s="8" t="s">
        <v>22</v>
      </c>
      <c r="K11788" s="8" t="s">
        <v>37</v>
      </c>
      <c r="L11788" s="8" t="s">
        <v>18289</v>
      </c>
      <c r="M11788" s="8" t="s">
        <v>18290</v>
      </c>
      <c r="N11788" s="8" t="s">
        <v>49719</v>
      </c>
      <c r="O11788" s="8">
        <f>12+58/60+52/3600</f>
        <v>12.981111111111112</v>
      </c>
      <c r="P11788" s="8" t="s">
        <v>49720</v>
      </c>
      <c r="Q11788" s="8">
        <f>+(27+47/60+8/3600)</f>
        <v>27.785555555555558</v>
      </c>
      <c r="R11788" s="8">
        <v>14.4</v>
      </c>
      <c r="S11788" s="8">
        <v>15.4</v>
      </c>
      <c r="T11788" s="8">
        <v>1</v>
      </c>
      <c r="U11788" s="8">
        <v>11.2</v>
      </c>
      <c r="V11788" s="8">
        <v>0.3</v>
      </c>
      <c r="W11788" s="8">
        <v>0.2</v>
      </c>
      <c r="X11788" s="8">
        <v>95</v>
      </c>
      <c r="Y11788" s="8" t="s">
        <v>1511</v>
      </c>
      <c r="Z11788" s="8" t="s">
        <v>1512</v>
      </c>
    </row>
    <row r="11789" spans="1:26" x14ac:dyDescent="0.2">
      <c r="A11789" s="8">
        <v>11788</v>
      </c>
      <c r="B11789" s="8" t="s">
        <v>49721</v>
      </c>
      <c r="C11789" s="8" t="s">
        <v>49721</v>
      </c>
      <c r="G11789" s="8">
        <v>20</v>
      </c>
      <c r="H11789" s="8" t="s">
        <v>21</v>
      </c>
      <c r="I11789" s="8" t="s">
        <v>22</v>
      </c>
      <c r="J11789" s="8" t="s">
        <v>22</v>
      </c>
      <c r="K11789" s="8" t="s">
        <v>460</v>
      </c>
      <c r="L11789" s="8" t="s">
        <v>18289</v>
      </c>
      <c r="M11789" s="8" t="s">
        <v>18290</v>
      </c>
      <c r="N11789" s="8" t="s">
        <v>49722</v>
      </c>
      <c r="O11789" s="8">
        <f>12+58/60+58.1/3600</f>
        <v>12.982805555555556</v>
      </c>
      <c r="P11789" s="8" t="s">
        <v>49723</v>
      </c>
      <c r="Q11789" s="8">
        <f>+(24+3/60+41/3600)</f>
        <v>24.061388888888889</v>
      </c>
      <c r="R11789" s="8">
        <v>16</v>
      </c>
      <c r="S11789" s="8">
        <v>17</v>
      </c>
      <c r="T11789" s="8">
        <v>1</v>
      </c>
      <c r="U11789" s="8">
        <v>12.6</v>
      </c>
      <c r="V11789" s="8">
        <v>0.2</v>
      </c>
      <c r="W11789" s="8">
        <v>0.2</v>
      </c>
      <c r="Y11789" s="8" t="s">
        <v>45086</v>
      </c>
      <c r="Z11789" s="8" t="s">
        <v>45087</v>
      </c>
    </row>
    <row r="11790" spans="1:26" x14ac:dyDescent="0.2">
      <c r="A11790" s="8">
        <v>11789</v>
      </c>
      <c r="B11790" s="8" t="s">
        <v>49724</v>
      </c>
      <c r="C11790" s="8" t="s">
        <v>49724</v>
      </c>
      <c r="G11790" s="8">
        <v>20</v>
      </c>
      <c r="H11790" s="8" t="s">
        <v>21</v>
      </c>
      <c r="I11790" s="8" t="s">
        <v>22</v>
      </c>
      <c r="J11790" s="8" t="s">
        <v>22</v>
      </c>
      <c r="K11790" s="8" t="s">
        <v>643</v>
      </c>
      <c r="L11790" s="8" t="s">
        <v>18289</v>
      </c>
      <c r="M11790" s="8" t="s">
        <v>18290</v>
      </c>
      <c r="N11790" s="8" t="s">
        <v>49725</v>
      </c>
      <c r="O11790" s="8">
        <f>12+58/60+56.6/3600</f>
        <v>12.98238888888889</v>
      </c>
      <c r="P11790" s="8" t="s">
        <v>49726</v>
      </c>
      <c r="Q11790" s="8">
        <f>+(27+49/60+59/3600)</f>
        <v>27.833055555555557</v>
      </c>
      <c r="R11790" s="8">
        <v>14.3</v>
      </c>
      <c r="S11790" s="8">
        <v>15.1</v>
      </c>
      <c r="T11790" s="8">
        <v>0.8</v>
      </c>
      <c r="U11790" s="8">
        <v>12.4</v>
      </c>
      <c r="V11790" s="8">
        <v>1</v>
      </c>
      <c r="W11790" s="8">
        <v>0.2</v>
      </c>
      <c r="X11790" s="8">
        <v>73</v>
      </c>
      <c r="Y11790" s="8" t="s">
        <v>25332</v>
      </c>
      <c r="Z11790" s="8" t="s">
        <v>25333</v>
      </c>
    </row>
    <row r="11791" spans="1:26" x14ac:dyDescent="0.2">
      <c r="A11791" s="8">
        <v>11790</v>
      </c>
      <c r="B11791" s="8" t="s">
        <v>49727</v>
      </c>
      <c r="C11791" s="8" t="s">
        <v>49727</v>
      </c>
      <c r="G11791" s="8">
        <v>20</v>
      </c>
      <c r="H11791" s="8" t="s">
        <v>21</v>
      </c>
      <c r="I11791" s="8" t="s">
        <v>22</v>
      </c>
      <c r="J11791" s="8" t="s">
        <v>22</v>
      </c>
      <c r="K11791" s="8" t="s">
        <v>449</v>
      </c>
      <c r="L11791" s="8" t="s">
        <v>18289</v>
      </c>
      <c r="M11791" s="8" t="s">
        <v>18290</v>
      </c>
      <c r="N11791" s="8" t="s">
        <v>49728</v>
      </c>
      <c r="O11791" s="8">
        <f>12+59/60+6/3600</f>
        <v>12.984999999999999</v>
      </c>
      <c r="P11791" s="8" t="s">
        <v>49729</v>
      </c>
      <c r="Q11791" s="8">
        <f>+(18+44/60+10/3600)</f>
        <v>18.736111111111111</v>
      </c>
      <c r="R11791" s="8">
        <v>16.100000000000001</v>
      </c>
      <c r="S11791" s="8">
        <v>16.899999999999999</v>
      </c>
      <c r="T11791" s="8">
        <v>0.8</v>
      </c>
      <c r="U11791" s="8">
        <v>13.6</v>
      </c>
      <c r="V11791" s="8">
        <v>0.4</v>
      </c>
      <c r="W11791" s="8">
        <v>0.3</v>
      </c>
      <c r="X11791" s="8">
        <v>155</v>
      </c>
      <c r="Y11791" s="8" t="s">
        <v>3952</v>
      </c>
      <c r="Z11791" s="8" t="s">
        <v>3953</v>
      </c>
    </row>
    <row r="11792" spans="1:26" x14ac:dyDescent="0.2">
      <c r="A11792" s="8">
        <v>11791</v>
      </c>
      <c r="B11792" s="8" t="s">
        <v>49730</v>
      </c>
      <c r="C11792" s="8" t="s">
        <v>49730</v>
      </c>
      <c r="G11792" s="8">
        <v>20</v>
      </c>
      <c r="H11792" s="8" t="s">
        <v>21</v>
      </c>
      <c r="I11792" s="8" t="s">
        <v>22</v>
      </c>
      <c r="J11792" s="8" t="s">
        <v>22</v>
      </c>
      <c r="K11792" s="8" t="s">
        <v>449</v>
      </c>
      <c r="L11792" s="8" t="s">
        <v>18289</v>
      </c>
      <c r="M11792" s="8" t="s">
        <v>18290</v>
      </c>
      <c r="N11792" s="8" t="s">
        <v>49731</v>
      </c>
      <c r="O11792" s="8">
        <f>12+59/60+10.1/3600</f>
        <v>12.986138888888888</v>
      </c>
      <c r="P11792" s="8" t="s">
        <v>49732</v>
      </c>
      <c r="Q11792" s="8">
        <f>+(18+45/60+53/3600)</f>
        <v>18.764722222222222</v>
      </c>
      <c r="R11792" s="8">
        <v>16.2</v>
      </c>
      <c r="S11792" s="8">
        <v>17</v>
      </c>
      <c r="T11792" s="8">
        <v>0.8</v>
      </c>
      <c r="U11792" s="8">
        <v>13.6</v>
      </c>
      <c r="V11792" s="8">
        <v>0.5</v>
      </c>
      <c r="W11792" s="8">
        <v>0.2</v>
      </c>
      <c r="X11792" s="8">
        <v>155</v>
      </c>
      <c r="Y11792" s="8" t="s">
        <v>21</v>
      </c>
      <c r="Z11792" s="8" t="s">
        <v>49733</v>
      </c>
    </row>
    <row r="11793" spans="1:26" x14ac:dyDescent="0.2">
      <c r="A11793" s="8">
        <v>11792</v>
      </c>
      <c r="B11793" s="8" t="s">
        <v>49734</v>
      </c>
      <c r="C11793" s="8" t="s">
        <v>49734</v>
      </c>
      <c r="G11793" s="8">
        <v>20</v>
      </c>
      <c r="H11793" s="8" t="s">
        <v>21</v>
      </c>
      <c r="I11793" s="8" t="s">
        <v>22</v>
      </c>
      <c r="J11793" s="8" t="s">
        <v>22</v>
      </c>
      <c r="K11793" s="8" t="s">
        <v>460</v>
      </c>
      <c r="L11793" s="8" t="s">
        <v>18681</v>
      </c>
      <c r="M11793" s="8" t="s">
        <v>18682</v>
      </c>
      <c r="N11793" s="8" t="s">
        <v>49735</v>
      </c>
      <c r="O11793" s="8">
        <f>12+58/60+52.1/3600</f>
        <v>12.981138888888889</v>
      </c>
      <c r="P11793" s="8" t="s">
        <v>49736</v>
      </c>
      <c r="Q11793" s="8">
        <f>+(38+52/60+11/3600)</f>
        <v>38.869722222222222</v>
      </c>
      <c r="R11793" s="8">
        <v>15</v>
      </c>
      <c r="S11793" s="8">
        <v>16</v>
      </c>
      <c r="T11793" s="8">
        <v>1</v>
      </c>
      <c r="U11793" s="8">
        <v>12.5</v>
      </c>
      <c r="V11793" s="8">
        <v>0.3</v>
      </c>
      <c r="W11793" s="8">
        <v>0.3</v>
      </c>
      <c r="Y11793" s="8" t="s">
        <v>49088</v>
      </c>
      <c r="Z11793" s="8" t="s">
        <v>49089</v>
      </c>
    </row>
    <row r="11794" spans="1:26" x14ac:dyDescent="0.2">
      <c r="A11794" s="8">
        <v>11793</v>
      </c>
      <c r="B11794" s="8" t="s">
        <v>49737</v>
      </c>
      <c r="C11794" s="8" t="s">
        <v>49737</v>
      </c>
      <c r="G11794" s="8">
        <v>20</v>
      </c>
      <c r="H11794" s="8" t="s">
        <v>21</v>
      </c>
      <c r="I11794" s="8" t="s">
        <v>22</v>
      </c>
      <c r="J11794" s="8" t="s">
        <v>22</v>
      </c>
      <c r="K11794" s="8" t="s">
        <v>460</v>
      </c>
      <c r="L11794" s="8" t="s">
        <v>18289</v>
      </c>
      <c r="M11794" s="8" t="s">
        <v>18290</v>
      </c>
      <c r="N11794" s="8" t="s">
        <v>49738</v>
      </c>
      <c r="O11794" s="8">
        <f>12+59/60+9.1/3600</f>
        <v>12.98586111111111</v>
      </c>
      <c r="P11794" s="8" t="s">
        <v>49739</v>
      </c>
      <c r="Q11794" s="8">
        <f>+(23+5/60+14/3600)</f>
        <v>23.08722222222222</v>
      </c>
      <c r="R11794" s="8">
        <v>15.5</v>
      </c>
      <c r="S11794" s="8">
        <v>16.5</v>
      </c>
      <c r="T11794" s="8">
        <v>1</v>
      </c>
      <c r="U11794" s="8">
        <v>12.1</v>
      </c>
      <c r="V11794" s="8">
        <v>0.2</v>
      </c>
      <c r="W11794" s="8">
        <v>0.2</v>
      </c>
      <c r="Y11794" s="8" t="s">
        <v>49740</v>
      </c>
      <c r="Z11794" s="8" t="s">
        <v>49741</v>
      </c>
    </row>
    <row r="11795" spans="1:26" x14ac:dyDescent="0.2">
      <c r="A11795" s="8">
        <v>11794</v>
      </c>
      <c r="B11795" s="8" t="s">
        <v>49742</v>
      </c>
      <c r="C11795" s="8" t="s">
        <v>49742</v>
      </c>
      <c r="G11795" s="8">
        <v>20</v>
      </c>
      <c r="H11795" s="8" t="s">
        <v>21</v>
      </c>
      <c r="I11795" s="8" t="s">
        <v>22</v>
      </c>
      <c r="J11795" s="8" t="s">
        <v>22</v>
      </c>
      <c r="K11795" s="8" t="s">
        <v>449</v>
      </c>
      <c r="L11795" s="8" t="s">
        <v>18289</v>
      </c>
      <c r="M11795" s="8" t="s">
        <v>18290</v>
      </c>
      <c r="N11795" s="8" t="s">
        <v>49743</v>
      </c>
      <c r="O11795" s="8">
        <f>12+59/60+12.7/3600</f>
        <v>12.986861111111111</v>
      </c>
      <c r="P11795" s="8" t="s">
        <v>49744</v>
      </c>
      <c r="Q11795" s="8">
        <f>+(19+16/60+21/3600)</f>
        <v>19.272499999999997</v>
      </c>
      <c r="R11795" s="8">
        <v>16.2</v>
      </c>
      <c r="S11795" s="8">
        <v>17</v>
      </c>
      <c r="T11795" s="8">
        <v>0.8</v>
      </c>
      <c r="U11795" s="8">
        <v>13.3</v>
      </c>
      <c r="V11795" s="8">
        <v>0.4</v>
      </c>
      <c r="W11795" s="8">
        <v>0.2</v>
      </c>
      <c r="X11795" s="8">
        <v>90</v>
      </c>
      <c r="Y11795" s="8" t="s">
        <v>3952</v>
      </c>
      <c r="Z11795" s="8" t="s">
        <v>3953</v>
      </c>
    </row>
    <row r="11796" spans="1:26" x14ac:dyDescent="0.2">
      <c r="A11796" s="8">
        <v>11795</v>
      </c>
      <c r="B11796" s="8" t="s">
        <v>49745</v>
      </c>
      <c r="C11796" s="8" t="s">
        <v>49745</v>
      </c>
      <c r="G11796" s="8">
        <v>20</v>
      </c>
      <c r="H11796" s="8" t="s">
        <v>21</v>
      </c>
      <c r="I11796" s="8" t="s">
        <v>22</v>
      </c>
      <c r="J11796" s="8" t="s">
        <v>22</v>
      </c>
      <c r="K11796" s="8" t="s">
        <v>224</v>
      </c>
      <c r="L11796" s="8" t="s">
        <v>18289</v>
      </c>
      <c r="M11796" s="8" t="s">
        <v>18290</v>
      </c>
      <c r="N11796" s="8" t="s">
        <v>49746</v>
      </c>
      <c r="O11796" s="8">
        <f>12+59/60+6.1/3600</f>
        <v>12.985027777777777</v>
      </c>
      <c r="P11796" s="8" t="s">
        <v>49747</v>
      </c>
      <c r="Q11796" s="8">
        <f>+(27+59/60+46/3600)</f>
        <v>27.996111111111112</v>
      </c>
      <c r="R11796" s="8">
        <v>14.4</v>
      </c>
      <c r="S11796" s="8">
        <v>15.4</v>
      </c>
      <c r="T11796" s="8">
        <v>1</v>
      </c>
      <c r="U11796" s="8">
        <v>11.5</v>
      </c>
      <c r="V11796" s="8">
        <v>0.4</v>
      </c>
      <c r="W11796" s="8">
        <v>0.2</v>
      </c>
      <c r="X11796" s="8">
        <v>30</v>
      </c>
      <c r="Y11796" s="8" t="s">
        <v>21</v>
      </c>
      <c r="Z11796" s="8" t="s">
        <v>49748</v>
      </c>
    </row>
    <row r="11797" spans="1:26" x14ac:dyDescent="0.2">
      <c r="A11797" s="8">
        <v>11796</v>
      </c>
      <c r="B11797" s="8" t="s">
        <v>49749</v>
      </c>
      <c r="C11797" s="8" t="s">
        <v>49749</v>
      </c>
      <c r="G11797" s="8">
        <v>20</v>
      </c>
      <c r="H11797" s="8" t="s">
        <v>21</v>
      </c>
      <c r="I11797" s="8" t="s">
        <v>22</v>
      </c>
      <c r="J11797" s="8" t="s">
        <v>22</v>
      </c>
      <c r="K11797" s="8" t="s">
        <v>424</v>
      </c>
      <c r="L11797" s="8" t="s">
        <v>18681</v>
      </c>
      <c r="M11797" s="8" t="s">
        <v>18682</v>
      </c>
      <c r="N11797" s="8" t="s">
        <v>49750</v>
      </c>
      <c r="O11797" s="8">
        <f>12+58/60+56.4/3600</f>
        <v>12.982333333333333</v>
      </c>
      <c r="P11797" s="8" t="s">
        <v>49751</v>
      </c>
      <c r="Q11797" s="8">
        <f>+(37+23/60+55/3600)</f>
        <v>37.398611111111109</v>
      </c>
      <c r="R11797" s="8">
        <v>15.2</v>
      </c>
      <c r="S11797" s="8">
        <v>16.2</v>
      </c>
      <c r="T11797" s="8">
        <v>1</v>
      </c>
      <c r="U11797" s="8">
        <v>12.4</v>
      </c>
      <c r="V11797" s="8">
        <v>0.3</v>
      </c>
      <c r="W11797" s="8">
        <v>0.3</v>
      </c>
      <c r="Y11797" s="8" t="s">
        <v>3952</v>
      </c>
      <c r="Z11797" s="8" t="s">
        <v>3953</v>
      </c>
    </row>
    <row r="11798" spans="1:26" x14ac:dyDescent="0.2">
      <c r="A11798" s="8">
        <v>11797</v>
      </c>
      <c r="B11798" s="8" t="s">
        <v>49752</v>
      </c>
      <c r="C11798" s="8" t="s">
        <v>49752</v>
      </c>
      <c r="G11798" s="8">
        <v>20</v>
      </c>
      <c r="H11798" s="8" t="s">
        <v>21</v>
      </c>
      <c r="I11798" s="8" t="s">
        <v>22</v>
      </c>
      <c r="J11798" s="8" t="s">
        <v>22</v>
      </c>
      <c r="K11798" s="8" t="s">
        <v>460</v>
      </c>
      <c r="L11798" s="8" t="s">
        <v>18289</v>
      </c>
      <c r="M11798" s="8" t="s">
        <v>18290</v>
      </c>
      <c r="N11798" s="8" t="s">
        <v>49753</v>
      </c>
      <c r="O11798" s="8">
        <f>12+59/60+7.5/3600</f>
        <v>12.985416666666666</v>
      </c>
      <c r="P11798" s="8" t="s">
        <v>49754</v>
      </c>
      <c r="Q11798" s="8">
        <f>+(27+46/60+0/3600)</f>
        <v>27.766666666666666</v>
      </c>
      <c r="R11798" s="8">
        <v>14.6</v>
      </c>
      <c r="S11798" s="8">
        <v>15.6</v>
      </c>
      <c r="T11798" s="8">
        <v>1</v>
      </c>
      <c r="U11798" s="8">
        <v>12.7</v>
      </c>
      <c r="V11798" s="8">
        <v>0.4</v>
      </c>
      <c r="W11798" s="8">
        <v>0.4</v>
      </c>
      <c r="Y11798" s="8" t="s">
        <v>15316</v>
      </c>
      <c r="Z11798" s="8" t="s">
        <v>15317</v>
      </c>
    </row>
    <row r="11799" spans="1:26" x14ac:dyDescent="0.2">
      <c r="A11799" s="8">
        <v>11798</v>
      </c>
      <c r="B11799" s="8" t="s">
        <v>49755</v>
      </c>
      <c r="C11799" s="8" t="s">
        <v>49755</v>
      </c>
      <c r="G11799" s="8">
        <v>20</v>
      </c>
      <c r="H11799" s="8" t="s">
        <v>21</v>
      </c>
      <c r="I11799" s="8" t="s">
        <v>22</v>
      </c>
      <c r="J11799" s="8" t="s">
        <v>22</v>
      </c>
      <c r="K11799" s="8" t="s">
        <v>460</v>
      </c>
      <c r="L11799" s="8" t="s">
        <v>18289</v>
      </c>
      <c r="M11799" s="8" t="s">
        <v>18290</v>
      </c>
      <c r="N11799" s="8" t="s">
        <v>49756</v>
      </c>
      <c r="O11799" s="8">
        <f>12+59/60+11.4/3600</f>
        <v>12.986499999999999</v>
      </c>
      <c r="P11799" s="8" t="s">
        <v>49757</v>
      </c>
      <c r="Q11799" s="8">
        <f>+(24+1/60+20/3600)</f>
        <v>24.022222222222222</v>
      </c>
      <c r="R11799" s="8">
        <v>15.5</v>
      </c>
      <c r="S11799" s="8">
        <v>16.5</v>
      </c>
      <c r="T11799" s="8">
        <v>1</v>
      </c>
      <c r="U11799" s="8">
        <v>12.1</v>
      </c>
      <c r="V11799" s="8">
        <v>0.2</v>
      </c>
      <c r="W11799" s="8">
        <v>0.2</v>
      </c>
      <c r="Y11799" s="8" t="s">
        <v>45086</v>
      </c>
      <c r="Z11799" s="8" t="s">
        <v>45087</v>
      </c>
    </row>
    <row r="11800" spans="1:26" x14ac:dyDescent="0.2">
      <c r="A11800" s="8">
        <v>11799</v>
      </c>
      <c r="B11800" s="8" t="s">
        <v>49758</v>
      </c>
      <c r="C11800" s="8" t="s">
        <v>49758</v>
      </c>
      <c r="G11800" s="8">
        <v>20</v>
      </c>
      <c r="H11800" s="8" t="s">
        <v>21</v>
      </c>
      <c r="I11800" s="8" t="s">
        <v>22</v>
      </c>
      <c r="J11800" s="8" t="s">
        <v>22</v>
      </c>
      <c r="K11800" s="8" t="s">
        <v>460</v>
      </c>
      <c r="L11800" s="8" t="s">
        <v>18289</v>
      </c>
      <c r="M11800" s="8" t="s">
        <v>18290</v>
      </c>
      <c r="N11800" s="8" t="s">
        <v>49759</v>
      </c>
      <c r="O11800" s="8">
        <f>12+59/60+8.3/3600</f>
        <v>12.985638888888888</v>
      </c>
      <c r="P11800" s="8" t="s">
        <v>49760</v>
      </c>
      <c r="Q11800" s="8">
        <f>+(27+47/60+1/3600)</f>
        <v>27.783611111111114</v>
      </c>
      <c r="R11800" s="8">
        <v>14.2</v>
      </c>
      <c r="S11800" s="8">
        <v>15.2</v>
      </c>
      <c r="T11800" s="8">
        <v>1</v>
      </c>
      <c r="U11800" s="8">
        <v>12.8</v>
      </c>
      <c r="V11800" s="8">
        <v>0.5</v>
      </c>
      <c r="W11800" s="8">
        <v>0.5</v>
      </c>
      <c r="Y11800" s="8" t="s">
        <v>13997</v>
      </c>
      <c r="Z11800" s="8" t="s">
        <v>13998</v>
      </c>
    </row>
    <row r="11801" spans="1:26" x14ac:dyDescent="0.2">
      <c r="A11801" s="8">
        <v>11800</v>
      </c>
      <c r="B11801" s="8" t="s">
        <v>49761</v>
      </c>
      <c r="C11801" s="8" t="s">
        <v>49761</v>
      </c>
      <c r="G11801" s="8">
        <v>20</v>
      </c>
      <c r="H11801" s="8" t="s">
        <v>21</v>
      </c>
      <c r="I11801" s="8" t="s">
        <v>22</v>
      </c>
      <c r="J11801" s="8" t="s">
        <v>22</v>
      </c>
      <c r="K11801" s="8" t="s">
        <v>224</v>
      </c>
      <c r="L11801" s="8" t="s">
        <v>18289</v>
      </c>
      <c r="M11801" s="8" t="s">
        <v>18290</v>
      </c>
      <c r="N11801" s="8" t="s">
        <v>49762</v>
      </c>
      <c r="O11801" s="8">
        <f>12+59/60+8/3600</f>
        <v>12.985555555555555</v>
      </c>
      <c r="P11801" s="8" t="s">
        <v>49763</v>
      </c>
      <c r="Q11801" s="8">
        <f>+(27+51/60+17/3600)</f>
        <v>27.854722222222225</v>
      </c>
      <c r="R11801" s="8">
        <v>14.9</v>
      </c>
      <c r="S11801" s="8">
        <v>15.9</v>
      </c>
      <c r="T11801" s="8">
        <v>1</v>
      </c>
      <c r="U11801" s="8">
        <v>12.8</v>
      </c>
      <c r="V11801" s="8">
        <v>0.4</v>
      </c>
      <c r="W11801" s="8">
        <v>0.4</v>
      </c>
      <c r="Y11801" s="8" t="s">
        <v>49764</v>
      </c>
      <c r="Z11801" s="8" t="s">
        <v>49765</v>
      </c>
    </row>
    <row r="11802" spans="1:26" x14ac:dyDescent="0.2">
      <c r="A11802" s="8">
        <v>11801</v>
      </c>
      <c r="B11802" s="8" t="s">
        <v>49766</v>
      </c>
      <c r="C11802" s="8" t="s">
        <v>49766</v>
      </c>
      <c r="G11802" s="8">
        <v>20</v>
      </c>
      <c r="H11802" s="8" t="s">
        <v>21</v>
      </c>
      <c r="I11802" s="8" t="s">
        <v>22</v>
      </c>
      <c r="J11802" s="8" t="s">
        <v>57</v>
      </c>
      <c r="K11802" s="8" t="s">
        <v>323</v>
      </c>
      <c r="L11802" s="8" t="s">
        <v>18681</v>
      </c>
      <c r="M11802" s="8" t="s">
        <v>18682</v>
      </c>
      <c r="N11802" s="8" t="s">
        <v>21894</v>
      </c>
      <c r="O11802" s="8">
        <f>12+59/60+1.8/3600</f>
        <v>12.983833333333333</v>
      </c>
      <c r="P11802" s="8" t="s">
        <v>21895</v>
      </c>
      <c r="Q11802" s="8">
        <f>+(34+51/60+43/3600)</f>
        <v>34.861944444444447</v>
      </c>
      <c r="R11802" s="8">
        <v>13.5</v>
      </c>
      <c r="S11802" s="8">
        <v>14.1</v>
      </c>
      <c r="T11802" s="8">
        <v>0.6</v>
      </c>
      <c r="U11802" s="8">
        <v>15.4</v>
      </c>
      <c r="V11802" s="8">
        <v>4.2</v>
      </c>
      <c r="W11802" s="8">
        <v>1.6</v>
      </c>
      <c r="X11802" s="8">
        <v>15</v>
      </c>
      <c r="Y11802" s="8" t="s">
        <v>49767</v>
      </c>
      <c r="Z11802" s="8" t="s">
        <v>49768</v>
      </c>
    </row>
    <row r="11803" spans="1:26" x14ac:dyDescent="0.2">
      <c r="A11803" s="8">
        <v>11802</v>
      </c>
      <c r="B11803" s="8" t="s">
        <v>49769</v>
      </c>
      <c r="C11803" s="8" t="s">
        <v>49769</v>
      </c>
      <c r="G11803" s="8">
        <v>20</v>
      </c>
      <c r="H11803" s="8" t="s">
        <v>21</v>
      </c>
      <c r="I11803" s="8" t="s">
        <v>72</v>
      </c>
      <c r="J11803" s="8" t="s">
        <v>72</v>
      </c>
      <c r="K11803" s="8" t="s">
        <v>20</v>
      </c>
      <c r="L11803" s="8" t="s">
        <v>18289</v>
      </c>
      <c r="M11803" s="8" t="s">
        <v>18290</v>
      </c>
      <c r="N11803" s="8" t="s">
        <v>49770</v>
      </c>
      <c r="O11803" s="8">
        <f>12+59/60+15.1/3600</f>
        <v>12.987527777777776</v>
      </c>
      <c r="P11803" s="8" t="s">
        <v>49771</v>
      </c>
      <c r="Q11803" s="8">
        <f>+(23+40/60+4/3600)</f>
        <v>23.667777777777779</v>
      </c>
      <c r="R11803" s="8">
        <v>99</v>
      </c>
      <c r="S11803" s="8">
        <v>99</v>
      </c>
      <c r="T11803" s="8">
        <v>99</v>
      </c>
      <c r="U11803" s="8">
        <v>99</v>
      </c>
      <c r="Y11803" s="8" t="s">
        <v>26894</v>
      </c>
      <c r="Z11803" s="8" t="s">
        <v>26895</v>
      </c>
    </row>
    <row r="11804" spans="1:26" x14ac:dyDescent="0.2">
      <c r="A11804" s="8">
        <v>11803</v>
      </c>
      <c r="B11804" s="8" t="s">
        <v>49772</v>
      </c>
      <c r="C11804" s="8" t="s">
        <v>49772</v>
      </c>
      <c r="G11804" s="8">
        <v>20</v>
      </c>
      <c r="H11804" s="8" t="s">
        <v>21</v>
      </c>
      <c r="I11804" s="8" t="s">
        <v>22</v>
      </c>
      <c r="J11804" s="8" t="s">
        <v>22</v>
      </c>
      <c r="K11804" s="8" t="s">
        <v>37</v>
      </c>
      <c r="L11804" s="8" t="s">
        <v>18289</v>
      </c>
      <c r="M11804" s="8" t="s">
        <v>18290</v>
      </c>
      <c r="N11804" s="8" t="s">
        <v>49773</v>
      </c>
      <c r="O11804" s="8">
        <f>12+59/60+13.6/3600</f>
        <v>12.98711111111111</v>
      </c>
      <c r="P11804" s="8" t="s">
        <v>49774</v>
      </c>
      <c r="Q11804" s="8">
        <f>+(27+46/60+26/3600)</f>
        <v>27.773888888888887</v>
      </c>
      <c r="R11804" s="8">
        <v>14.7</v>
      </c>
      <c r="S11804" s="8">
        <v>15.7</v>
      </c>
      <c r="T11804" s="8">
        <v>1</v>
      </c>
      <c r="U11804" s="8">
        <v>12.9</v>
      </c>
      <c r="V11804" s="8">
        <v>0.7</v>
      </c>
      <c r="W11804" s="8">
        <v>0.3</v>
      </c>
      <c r="X11804" s="8">
        <v>85</v>
      </c>
      <c r="Y11804" s="8" t="s">
        <v>115</v>
      </c>
      <c r="Z11804" s="8" t="s">
        <v>116</v>
      </c>
    </row>
    <row r="11805" spans="1:26" x14ac:dyDescent="0.2">
      <c r="A11805" s="8">
        <v>11804</v>
      </c>
      <c r="B11805" s="8" t="s">
        <v>49775</v>
      </c>
      <c r="C11805" s="8" t="s">
        <v>49775</v>
      </c>
      <c r="G11805" s="8">
        <v>20</v>
      </c>
      <c r="H11805" s="8" t="s">
        <v>21</v>
      </c>
      <c r="I11805" s="8" t="s">
        <v>72</v>
      </c>
      <c r="J11805" s="8" t="s">
        <v>72</v>
      </c>
      <c r="K11805" s="8" t="s">
        <v>20</v>
      </c>
      <c r="L11805" s="8" t="s">
        <v>18289</v>
      </c>
      <c r="M11805" s="8" t="s">
        <v>18290</v>
      </c>
      <c r="N11805" s="8" t="s">
        <v>49773</v>
      </c>
      <c r="O11805" s="8">
        <f>12+59/60+13.6/3600</f>
        <v>12.98711111111111</v>
      </c>
      <c r="P11805" s="8" t="s">
        <v>49776</v>
      </c>
      <c r="Q11805" s="8">
        <f>+(27+51/60+4/3600)</f>
        <v>27.851111111111113</v>
      </c>
      <c r="R11805" s="8">
        <v>99</v>
      </c>
      <c r="S11805" s="8">
        <v>99</v>
      </c>
      <c r="T11805" s="8">
        <v>99</v>
      </c>
      <c r="U11805" s="8">
        <v>99</v>
      </c>
      <c r="Y11805" s="8" t="s">
        <v>266</v>
      </c>
      <c r="Z11805" s="8" t="s">
        <v>267</v>
      </c>
    </row>
    <row r="11806" spans="1:26" x14ac:dyDescent="0.2">
      <c r="A11806" s="8">
        <v>11805</v>
      </c>
      <c r="B11806" s="8" t="s">
        <v>49777</v>
      </c>
      <c r="C11806" s="8" t="s">
        <v>49777</v>
      </c>
      <c r="G11806" s="8">
        <v>20</v>
      </c>
      <c r="H11806" s="8" t="s">
        <v>21</v>
      </c>
      <c r="I11806" s="8" t="s">
        <v>22</v>
      </c>
      <c r="J11806" s="8" t="s">
        <v>22</v>
      </c>
      <c r="K11806" s="8" t="s">
        <v>1068</v>
      </c>
      <c r="L11806" s="8" t="s">
        <v>18289</v>
      </c>
      <c r="M11806" s="8" t="s">
        <v>18290</v>
      </c>
      <c r="N11806" s="8" t="s">
        <v>49778</v>
      </c>
      <c r="O11806" s="8">
        <f>12+59/60+22.8/3600</f>
        <v>12.989666666666666</v>
      </c>
      <c r="P11806" s="8" t="s">
        <v>49779</v>
      </c>
      <c r="Q11806" s="8">
        <f>+(18+50/60+35/3600)</f>
        <v>18.843055555555555</v>
      </c>
      <c r="R11806" s="8">
        <v>16</v>
      </c>
      <c r="S11806" s="8">
        <v>17</v>
      </c>
      <c r="T11806" s="8">
        <v>1</v>
      </c>
      <c r="U11806" s="8">
        <v>11.8</v>
      </c>
      <c r="V11806" s="8">
        <v>0.2</v>
      </c>
      <c r="W11806" s="8">
        <v>0.1</v>
      </c>
      <c r="X11806" s="8">
        <v>160</v>
      </c>
      <c r="Y11806" s="8" t="s">
        <v>45514</v>
      </c>
      <c r="Z11806" s="8" t="s">
        <v>45515</v>
      </c>
    </row>
    <row r="11807" spans="1:26" x14ac:dyDescent="0.2">
      <c r="A11807" s="8">
        <v>11806</v>
      </c>
      <c r="B11807" s="8" t="s">
        <v>49780</v>
      </c>
      <c r="C11807" s="8" t="s">
        <v>49780</v>
      </c>
      <c r="G11807" s="8">
        <v>20</v>
      </c>
      <c r="H11807" s="8" t="s">
        <v>21</v>
      </c>
      <c r="I11807" s="8" t="s">
        <v>22</v>
      </c>
      <c r="J11807" s="8" t="s">
        <v>22</v>
      </c>
      <c r="K11807" s="8" t="s">
        <v>160</v>
      </c>
      <c r="L11807" s="8" t="s">
        <v>18681</v>
      </c>
      <c r="M11807" s="8" t="s">
        <v>18682</v>
      </c>
      <c r="N11807" s="8" t="s">
        <v>49781</v>
      </c>
      <c r="O11807" s="8">
        <f>12+59/60+13.1/3600</f>
        <v>12.986972222222221</v>
      </c>
      <c r="P11807" s="8" t="s">
        <v>49782</v>
      </c>
      <c r="Q11807" s="8">
        <f>+(35+51/60+15/3600)</f>
        <v>35.854166666666671</v>
      </c>
      <c r="R11807" s="8">
        <v>14.8</v>
      </c>
      <c r="S11807" s="8">
        <v>15.5</v>
      </c>
      <c r="T11807" s="8">
        <v>0.7</v>
      </c>
      <c r="U11807" s="8">
        <v>13.1</v>
      </c>
      <c r="V11807" s="8">
        <v>0.7</v>
      </c>
      <c r="W11807" s="8">
        <v>0.5</v>
      </c>
      <c r="X11807" s="8">
        <v>3</v>
      </c>
      <c r="Y11807" s="8" t="s">
        <v>45218</v>
      </c>
      <c r="Z11807" s="8" t="s">
        <v>45219</v>
      </c>
    </row>
    <row r="11808" spans="1:26" x14ac:dyDescent="0.2">
      <c r="A11808" s="8">
        <v>11807</v>
      </c>
      <c r="B11808" s="8" t="s">
        <v>49783</v>
      </c>
      <c r="C11808" s="8" t="s">
        <v>49783</v>
      </c>
      <c r="G11808" s="8">
        <v>20</v>
      </c>
      <c r="H11808" s="8" t="s">
        <v>21</v>
      </c>
      <c r="I11808" s="8" t="s">
        <v>22</v>
      </c>
      <c r="J11808" s="8" t="s">
        <v>22</v>
      </c>
      <c r="K11808" s="8" t="s">
        <v>476</v>
      </c>
      <c r="L11808" s="8" t="s">
        <v>18681</v>
      </c>
      <c r="M11808" s="8" t="s">
        <v>18682</v>
      </c>
      <c r="N11808" s="8" t="s">
        <v>49784</v>
      </c>
      <c r="O11808" s="8">
        <f>12+59/60+12.8/3600</f>
        <v>12.986888888888888</v>
      </c>
      <c r="P11808" s="8" t="s">
        <v>49785</v>
      </c>
      <c r="Q11808" s="8">
        <f>+(36+7/60+47/3600)</f>
        <v>36.12972222222222</v>
      </c>
      <c r="R11808" s="8">
        <v>15.2</v>
      </c>
      <c r="S11808" s="8">
        <v>16.100000000000001</v>
      </c>
      <c r="T11808" s="8">
        <v>0.9</v>
      </c>
      <c r="U11808" s="8">
        <v>12.3</v>
      </c>
      <c r="V11808" s="8">
        <v>0.4</v>
      </c>
      <c r="W11808" s="8">
        <v>0.2</v>
      </c>
      <c r="X11808" s="8">
        <v>36</v>
      </c>
      <c r="Y11808" s="8" t="s">
        <v>45744</v>
      </c>
      <c r="Z11808" s="8" t="s">
        <v>45745</v>
      </c>
    </row>
    <row r="11809" spans="1:26" x14ac:dyDescent="0.2">
      <c r="A11809" s="8">
        <v>11808</v>
      </c>
      <c r="B11809" s="8" t="s">
        <v>49786</v>
      </c>
      <c r="C11809" s="8" t="s">
        <v>49786</v>
      </c>
      <c r="G11809" s="8">
        <v>20</v>
      </c>
      <c r="H11809" s="8" t="s">
        <v>21</v>
      </c>
      <c r="I11809" s="8" t="s">
        <v>22</v>
      </c>
      <c r="J11809" s="8" t="s">
        <v>22</v>
      </c>
      <c r="K11809" s="8" t="s">
        <v>37</v>
      </c>
      <c r="L11809" s="8" t="s">
        <v>18289</v>
      </c>
      <c r="M11809" s="8" t="s">
        <v>18290</v>
      </c>
      <c r="N11809" s="8" t="s">
        <v>49787</v>
      </c>
      <c r="O11809" s="8">
        <f>12+59/60+25.6/3600</f>
        <v>12.990444444444444</v>
      </c>
      <c r="P11809" s="8" t="s">
        <v>49788</v>
      </c>
      <c r="Q11809" s="8">
        <f>+(27+58/60+21/3600)</f>
        <v>27.972499999999997</v>
      </c>
      <c r="R11809" s="8">
        <v>15.2</v>
      </c>
      <c r="S11809" s="8">
        <v>16.2</v>
      </c>
      <c r="T11809" s="8">
        <v>1</v>
      </c>
      <c r="U11809" s="8">
        <v>12.3</v>
      </c>
      <c r="V11809" s="8">
        <v>0.4</v>
      </c>
      <c r="W11809" s="8">
        <v>0.2</v>
      </c>
      <c r="X11809" s="8">
        <v>45</v>
      </c>
      <c r="Y11809" s="8" t="s">
        <v>49789</v>
      </c>
      <c r="Z11809" s="8" t="s">
        <v>49790</v>
      </c>
    </row>
    <row r="11810" spans="1:26" x14ac:dyDescent="0.2">
      <c r="A11810" s="8">
        <v>11809</v>
      </c>
      <c r="B11810" s="8" t="s">
        <v>49791</v>
      </c>
      <c r="C11810" s="8" t="s">
        <v>49791</v>
      </c>
      <c r="G11810" s="8">
        <v>20</v>
      </c>
      <c r="H11810" s="8" t="s">
        <v>21</v>
      </c>
      <c r="I11810" s="8" t="s">
        <v>22</v>
      </c>
      <c r="J11810" s="8" t="s">
        <v>22</v>
      </c>
      <c r="K11810" s="8" t="s">
        <v>49792</v>
      </c>
      <c r="L11810" s="8" t="s">
        <v>18289</v>
      </c>
      <c r="M11810" s="8" t="s">
        <v>18290</v>
      </c>
      <c r="N11810" s="8" t="s">
        <v>49793</v>
      </c>
      <c r="O11810" s="8">
        <f>12+59/60+32.7/3600</f>
        <v>12.992416666666665</v>
      </c>
      <c r="P11810" s="8" t="s">
        <v>49794</v>
      </c>
      <c r="Q11810" s="8">
        <f>+(19+39/60+11/3600)</f>
        <v>19.653055555555554</v>
      </c>
      <c r="R11810" s="8">
        <v>16.3</v>
      </c>
      <c r="S11810" s="8">
        <v>17.3</v>
      </c>
      <c r="T11810" s="8">
        <v>1</v>
      </c>
      <c r="U11810" s="8">
        <v>99</v>
      </c>
      <c r="V11810" s="8">
        <v>0.2</v>
      </c>
      <c r="W11810" s="8">
        <v>0.2</v>
      </c>
      <c r="Y11810" s="8" t="s">
        <v>37602</v>
      </c>
      <c r="Z11810" s="8" t="s">
        <v>37603</v>
      </c>
    </row>
    <row r="11811" spans="1:26" x14ac:dyDescent="0.2">
      <c r="A11811" s="8">
        <v>11810</v>
      </c>
      <c r="B11811" s="8" t="s">
        <v>49795</v>
      </c>
      <c r="C11811" s="8" t="s">
        <v>49795</v>
      </c>
      <c r="G11811" s="8">
        <v>20</v>
      </c>
      <c r="H11811" s="8" t="s">
        <v>21</v>
      </c>
      <c r="I11811" s="8" t="s">
        <v>72</v>
      </c>
      <c r="J11811" s="8" t="s">
        <v>72</v>
      </c>
      <c r="K11811" s="8" t="s">
        <v>20</v>
      </c>
      <c r="L11811" s="8" t="s">
        <v>18681</v>
      </c>
      <c r="M11811" s="8" t="s">
        <v>18682</v>
      </c>
      <c r="N11811" s="8" t="s">
        <v>49796</v>
      </c>
      <c r="O11811" s="8">
        <f>12+59/60+11.5/3600</f>
        <v>12.986527777777777</v>
      </c>
      <c r="P11811" s="8" t="s">
        <v>49797</v>
      </c>
      <c r="Q11811" s="8">
        <f>+(40+24/60+8/3600)</f>
        <v>40.402222222222221</v>
      </c>
      <c r="R11811" s="8">
        <v>99</v>
      </c>
      <c r="S11811" s="8">
        <v>99</v>
      </c>
      <c r="T11811" s="8">
        <v>99</v>
      </c>
      <c r="U11811" s="8">
        <v>99</v>
      </c>
      <c r="Y11811" s="8" t="s">
        <v>21</v>
      </c>
      <c r="Z11811" s="8" t="s">
        <v>49798</v>
      </c>
    </row>
    <row r="11812" spans="1:26" x14ac:dyDescent="0.2">
      <c r="A11812" s="8">
        <v>11811</v>
      </c>
      <c r="B11812" s="8" t="s">
        <v>49799</v>
      </c>
      <c r="C11812" s="8" t="s">
        <v>49799</v>
      </c>
      <c r="G11812" s="8">
        <v>20</v>
      </c>
      <c r="H11812" s="8" t="s">
        <v>21</v>
      </c>
      <c r="I11812" s="8" t="s">
        <v>22</v>
      </c>
      <c r="J11812" s="8" t="s">
        <v>22</v>
      </c>
      <c r="K11812" s="8" t="s">
        <v>476</v>
      </c>
      <c r="L11812" s="8" t="s">
        <v>18289</v>
      </c>
      <c r="M11812" s="8" t="s">
        <v>18290</v>
      </c>
      <c r="N11812" s="8" t="s">
        <v>49800</v>
      </c>
      <c r="O11812" s="8">
        <f>12+59/60+31.7/3600</f>
        <v>12.992138888888888</v>
      </c>
      <c r="P11812" s="8" t="s">
        <v>49801</v>
      </c>
      <c r="Q11812" s="8">
        <f>+(22+50/60+43/3600)</f>
        <v>22.845277777777778</v>
      </c>
      <c r="R11812" s="8">
        <v>16.2</v>
      </c>
      <c r="S11812" s="8">
        <v>17</v>
      </c>
      <c r="T11812" s="8">
        <v>0.8</v>
      </c>
      <c r="U11812" s="8">
        <v>13</v>
      </c>
      <c r="V11812" s="8">
        <v>0.3</v>
      </c>
      <c r="W11812" s="8">
        <v>0.2</v>
      </c>
      <c r="X11812" s="8">
        <v>90</v>
      </c>
      <c r="Y11812" s="8" t="s">
        <v>45086</v>
      </c>
      <c r="Z11812" s="8" t="s">
        <v>45087</v>
      </c>
    </row>
    <row r="11813" spans="1:26" x14ac:dyDescent="0.2">
      <c r="A11813" s="8">
        <v>11812</v>
      </c>
      <c r="B11813" s="8" t="s">
        <v>49802</v>
      </c>
      <c r="C11813" s="8" t="s">
        <v>49802</v>
      </c>
      <c r="G11813" s="8">
        <v>20</v>
      </c>
      <c r="H11813" s="8" t="s">
        <v>21</v>
      </c>
      <c r="I11813" s="8" t="s">
        <v>72</v>
      </c>
      <c r="J11813" s="8" t="s">
        <v>72</v>
      </c>
      <c r="K11813" s="8" t="s">
        <v>20</v>
      </c>
      <c r="L11813" s="8" t="s">
        <v>18681</v>
      </c>
      <c r="M11813" s="8" t="s">
        <v>18682</v>
      </c>
      <c r="N11813" s="8" t="s">
        <v>49803</v>
      </c>
      <c r="O11813" s="8">
        <f>12+59/60+17.1/3600</f>
        <v>12.988083333333332</v>
      </c>
      <c r="P11813" s="8" t="s">
        <v>49804</v>
      </c>
      <c r="Q11813" s="8">
        <f>+(37+16/60+45/3600)</f>
        <v>37.279166666666669</v>
      </c>
      <c r="R11813" s="8">
        <v>99</v>
      </c>
      <c r="S11813" s="8">
        <v>99</v>
      </c>
      <c r="T11813" s="8">
        <v>99</v>
      </c>
      <c r="U11813" s="8">
        <v>99</v>
      </c>
      <c r="Y11813" s="8" t="s">
        <v>115</v>
      </c>
      <c r="Z11813" s="8" t="s">
        <v>116</v>
      </c>
    </row>
    <row r="11814" spans="1:26" x14ac:dyDescent="0.2">
      <c r="A11814" s="8">
        <v>11813</v>
      </c>
      <c r="B11814" s="8" t="s">
        <v>49805</v>
      </c>
      <c r="C11814" s="8" t="s">
        <v>49805</v>
      </c>
      <c r="G11814" s="8">
        <v>20</v>
      </c>
      <c r="H11814" s="8" t="s">
        <v>21</v>
      </c>
      <c r="I11814" s="8" t="s">
        <v>22</v>
      </c>
      <c r="J11814" s="8" t="s">
        <v>22</v>
      </c>
      <c r="K11814" s="8" t="s">
        <v>224</v>
      </c>
      <c r="L11814" s="8" t="s">
        <v>18289</v>
      </c>
      <c r="M11814" s="8" t="s">
        <v>18290</v>
      </c>
      <c r="N11814" s="8" t="s">
        <v>49806</v>
      </c>
      <c r="O11814" s="8">
        <f>12+59/60+30.7/3600</f>
        <v>12.99186111111111</v>
      </c>
      <c r="P11814" s="8" t="s">
        <v>49807</v>
      </c>
      <c r="Q11814" s="8">
        <f>+(27+53/60+6/3600)</f>
        <v>27.884999999999998</v>
      </c>
      <c r="R11814" s="8">
        <v>14.4</v>
      </c>
      <c r="S11814" s="8">
        <v>15.4</v>
      </c>
      <c r="T11814" s="8">
        <v>1</v>
      </c>
      <c r="U11814" s="8">
        <v>12.2</v>
      </c>
      <c r="V11814" s="8">
        <v>0.5</v>
      </c>
      <c r="W11814" s="8">
        <v>0.3</v>
      </c>
      <c r="X11814" s="8">
        <v>160</v>
      </c>
      <c r="Y11814" s="8" t="s">
        <v>21</v>
      </c>
      <c r="Z11814" s="8" t="s">
        <v>49808</v>
      </c>
    </row>
    <row r="11815" spans="1:26" x14ac:dyDescent="0.2">
      <c r="A11815" s="8">
        <v>11814</v>
      </c>
      <c r="B11815" s="8" t="s">
        <v>49809</v>
      </c>
      <c r="C11815" s="8" t="s">
        <v>49809</v>
      </c>
      <c r="G11815" s="8">
        <v>20</v>
      </c>
      <c r="H11815" s="8" t="s">
        <v>21</v>
      </c>
      <c r="I11815" s="8" t="s">
        <v>22</v>
      </c>
      <c r="J11815" s="8" t="s">
        <v>57</v>
      </c>
      <c r="K11815" s="8" t="s">
        <v>218</v>
      </c>
      <c r="L11815" s="8" t="s">
        <v>16195</v>
      </c>
      <c r="M11815" s="8" t="s">
        <v>16196</v>
      </c>
      <c r="N11815" s="8" t="s">
        <v>22252</v>
      </c>
      <c r="O11815" s="8">
        <f>13+5/60+20.2/3600</f>
        <v>13.088944444444445</v>
      </c>
      <c r="P11815" s="8" t="s">
        <v>22253</v>
      </c>
      <c r="Q11815" s="8">
        <f>-(35+20/60+13/3600)</f>
        <v>-35.336944444444448</v>
      </c>
      <c r="R11815" s="8">
        <v>11.9</v>
      </c>
      <c r="S11815" s="8">
        <v>12.7</v>
      </c>
      <c r="T11815" s="8">
        <v>0.8</v>
      </c>
      <c r="U11815" s="8">
        <v>12.9</v>
      </c>
      <c r="V11815" s="8">
        <v>2.4</v>
      </c>
      <c r="W11815" s="8">
        <v>1.2</v>
      </c>
      <c r="X11815" s="8">
        <v>10</v>
      </c>
      <c r="Y11815" s="8" t="s">
        <v>5112</v>
      </c>
      <c r="Z11815" s="8" t="s">
        <v>5113</v>
      </c>
    </row>
    <row r="11816" spans="1:26" x14ac:dyDescent="0.2">
      <c r="A11816" s="8">
        <v>11815</v>
      </c>
      <c r="B11816" s="8" t="s">
        <v>49810</v>
      </c>
      <c r="C11816" s="8" t="s">
        <v>49810</v>
      </c>
      <c r="G11816" s="8">
        <v>20</v>
      </c>
      <c r="H11816" s="8" t="s">
        <v>21</v>
      </c>
      <c r="I11816" s="8" t="s">
        <v>22</v>
      </c>
      <c r="J11816" s="8" t="s">
        <v>22</v>
      </c>
      <c r="K11816" s="8" t="s">
        <v>37</v>
      </c>
      <c r="L11816" s="8" t="s">
        <v>18681</v>
      </c>
      <c r="M11816" s="8" t="s">
        <v>18682</v>
      </c>
      <c r="N11816" s="8" t="s">
        <v>49811</v>
      </c>
      <c r="O11816" s="8">
        <f>12+59/60+15.6/3600</f>
        <v>12.987666666666666</v>
      </c>
      <c r="P11816" s="8" t="s">
        <v>49812</v>
      </c>
      <c r="Q11816" s="8">
        <f>+(38+52/60+59/3600)</f>
        <v>38.883055555555558</v>
      </c>
      <c r="R11816" s="8">
        <v>14.4</v>
      </c>
      <c r="S11816" s="8">
        <v>15.4</v>
      </c>
      <c r="T11816" s="8">
        <v>1</v>
      </c>
      <c r="U11816" s="8">
        <v>13.3</v>
      </c>
      <c r="V11816" s="8">
        <v>0.7</v>
      </c>
      <c r="W11816" s="8">
        <v>0.4</v>
      </c>
      <c r="X11816" s="8">
        <v>30</v>
      </c>
      <c r="Y11816" s="8" t="s">
        <v>49813</v>
      </c>
      <c r="Z11816" s="8" t="s">
        <v>49814</v>
      </c>
    </row>
    <row r="11817" spans="1:26" x14ac:dyDescent="0.2">
      <c r="A11817" s="8">
        <v>11816</v>
      </c>
      <c r="B11817" s="8" t="s">
        <v>49815</v>
      </c>
      <c r="C11817" s="8" t="s">
        <v>49815</v>
      </c>
      <c r="G11817" s="8">
        <v>20</v>
      </c>
      <c r="H11817" s="8" t="s">
        <v>21</v>
      </c>
      <c r="I11817" s="8" t="s">
        <v>22</v>
      </c>
      <c r="J11817" s="8" t="s">
        <v>22</v>
      </c>
      <c r="K11817" s="8" t="s">
        <v>3850</v>
      </c>
      <c r="L11817" s="8" t="s">
        <v>18289</v>
      </c>
      <c r="M11817" s="8" t="s">
        <v>18290</v>
      </c>
      <c r="N11817" s="8" t="s">
        <v>49816</v>
      </c>
      <c r="O11817" s="8">
        <f>12+59/60+29.5/3600</f>
        <v>12.991527777777778</v>
      </c>
      <c r="P11817" s="8" t="s">
        <v>49817</v>
      </c>
      <c r="Q11817" s="8">
        <f>+(27+51/60+0/3600)</f>
        <v>27.85</v>
      </c>
      <c r="R11817" s="8">
        <v>14.7</v>
      </c>
      <c r="S11817" s="8">
        <v>15.7</v>
      </c>
      <c r="T11817" s="8">
        <v>1</v>
      </c>
      <c r="U11817" s="8">
        <v>12.3</v>
      </c>
      <c r="V11817" s="8">
        <v>0.5</v>
      </c>
      <c r="W11817" s="8">
        <v>0.2</v>
      </c>
      <c r="X11817" s="8">
        <v>160</v>
      </c>
      <c r="Y11817" s="8" t="s">
        <v>21</v>
      </c>
      <c r="Z11817" s="8" t="s">
        <v>49818</v>
      </c>
    </row>
    <row r="11818" spans="1:26" x14ac:dyDescent="0.2">
      <c r="A11818" s="8">
        <v>11817</v>
      </c>
      <c r="B11818" s="8" t="s">
        <v>49819</v>
      </c>
      <c r="C11818" s="8" t="s">
        <v>49819</v>
      </c>
      <c r="G11818" s="8">
        <v>20</v>
      </c>
      <c r="H11818" s="8" t="s">
        <v>21</v>
      </c>
      <c r="I11818" s="8" t="s">
        <v>72</v>
      </c>
      <c r="J11818" s="8" t="s">
        <v>72</v>
      </c>
      <c r="K11818" s="8" t="s">
        <v>20</v>
      </c>
      <c r="L11818" s="8" t="s">
        <v>18681</v>
      </c>
      <c r="M11818" s="8" t="s">
        <v>18682</v>
      </c>
      <c r="N11818" s="8" t="s">
        <v>49820</v>
      </c>
      <c r="O11818" s="8">
        <f>12+59/60+19.6/3600</f>
        <v>12.988777777777777</v>
      </c>
      <c r="P11818" s="8" t="s">
        <v>49821</v>
      </c>
      <c r="Q11818" s="8">
        <f>+(36+47/60+55/3600)</f>
        <v>36.798611111111107</v>
      </c>
      <c r="R11818" s="8">
        <v>99</v>
      </c>
      <c r="S11818" s="8">
        <v>99</v>
      </c>
      <c r="T11818" s="8">
        <v>99</v>
      </c>
      <c r="U11818" s="8">
        <v>99</v>
      </c>
      <c r="Y11818" s="8" t="s">
        <v>45158</v>
      </c>
      <c r="Z11818" s="8" t="s">
        <v>45159</v>
      </c>
    </row>
    <row r="11819" spans="1:26" x14ac:dyDescent="0.2">
      <c r="A11819" s="8">
        <v>11818</v>
      </c>
      <c r="B11819" s="8" t="s">
        <v>49822</v>
      </c>
      <c r="C11819" s="8" t="s">
        <v>49822</v>
      </c>
      <c r="G11819" s="8">
        <v>20</v>
      </c>
      <c r="H11819" s="8" t="s">
        <v>21</v>
      </c>
      <c r="I11819" s="8" t="s">
        <v>22</v>
      </c>
      <c r="J11819" s="8" t="s">
        <v>22</v>
      </c>
      <c r="K11819" s="8" t="s">
        <v>460</v>
      </c>
      <c r="L11819" s="8" t="s">
        <v>18289</v>
      </c>
      <c r="M11819" s="8" t="s">
        <v>18290</v>
      </c>
      <c r="N11819" s="8" t="s">
        <v>49823</v>
      </c>
      <c r="O11819" s="8">
        <f>12+59/60+37.4/3600</f>
        <v>12.993722222222221</v>
      </c>
      <c r="P11819" s="8" t="s">
        <v>49824</v>
      </c>
      <c r="Q11819" s="8">
        <f>+(19+37/60+19/3600)</f>
        <v>19.621944444444445</v>
      </c>
      <c r="R11819" s="8">
        <v>16.5</v>
      </c>
      <c r="S11819" s="8">
        <v>17.5</v>
      </c>
      <c r="T11819" s="8">
        <v>1</v>
      </c>
      <c r="U11819" s="8">
        <v>11.6</v>
      </c>
      <c r="V11819" s="8">
        <v>0.1</v>
      </c>
      <c r="W11819" s="8">
        <v>0.1</v>
      </c>
      <c r="Y11819" s="8" t="s">
        <v>37602</v>
      </c>
      <c r="Z11819" s="8" t="s">
        <v>37603</v>
      </c>
    </row>
    <row r="11820" spans="1:26" x14ac:dyDescent="0.2">
      <c r="A11820" s="8">
        <v>11819</v>
      </c>
      <c r="B11820" s="8" t="s">
        <v>49825</v>
      </c>
      <c r="C11820" s="8" t="s">
        <v>49825</v>
      </c>
      <c r="G11820" s="8">
        <v>20</v>
      </c>
      <c r="H11820" s="8" t="s">
        <v>21</v>
      </c>
      <c r="I11820" s="8" t="s">
        <v>72</v>
      </c>
      <c r="J11820" s="8" t="s">
        <v>72</v>
      </c>
      <c r="K11820" s="8" t="s">
        <v>20</v>
      </c>
      <c r="L11820" s="8" t="s">
        <v>18681</v>
      </c>
      <c r="M11820" s="8" t="s">
        <v>18682</v>
      </c>
      <c r="N11820" s="8" t="s">
        <v>49826</v>
      </c>
      <c r="O11820" s="8">
        <f>12+59/60+21/3600</f>
        <v>12.989166666666666</v>
      </c>
      <c r="P11820" s="8" t="s">
        <v>49827</v>
      </c>
      <c r="Q11820" s="8">
        <f>+(36+19/60+24/3600)</f>
        <v>36.323333333333338</v>
      </c>
      <c r="R11820" s="8">
        <v>99</v>
      </c>
      <c r="S11820" s="8">
        <v>14.6</v>
      </c>
      <c r="T11820" s="8">
        <v>99</v>
      </c>
      <c r="U11820" s="8">
        <v>99</v>
      </c>
      <c r="Y11820" s="8" t="s">
        <v>15909</v>
      </c>
      <c r="Z11820" s="8" t="s">
        <v>15910</v>
      </c>
    </row>
    <row r="11821" spans="1:26" x14ac:dyDescent="0.2">
      <c r="A11821" s="8">
        <v>11820</v>
      </c>
      <c r="B11821" s="8" t="s">
        <v>49828</v>
      </c>
      <c r="C11821" s="8" t="s">
        <v>49828</v>
      </c>
      <c r="G11821" s="8">
        <v>20</v>
      </c>
      <c r="H11821" s="8" t="s">
        <v>21</v>
      </c>
      <c r="I11821" s="8" t="s">
        <v>22</v>
      </c>
      <c r="J11821" s="8" t="s">
        <v>22</v>
      </c>
      <c r="K11821" s="8" t="s">
        <v>449</v>
      </c>
      <c r="L11821" s="8" t="s">
        <v>18681</v>
      </c>
      <c r="M11821" s="8" t="s">
        <v>18682</v>
      </c>
      <c r="N11821" s="8" t="s">
        <v>49829</v>
      </c>
      <c r="O11821" s="8">
        <f>12+59/60+18.6/3600</f>
        <v>12.988499999999998</v>
      </c>
      <c r="P11821" s="8" t="s">
        <v>49830</v>
      </c>
      <c r="Q11821" s="8">
        <f>+(39+9/60+4/3600)</f>
        <v>39.151111111111106</v>
      </c>
      <c r="R11821" s="8">
        <v>15.5</v>
      </c>
      <c r="S11821" s="8">
        <v>16.3</v>
      </c>
      <c r="T11821" s="8">
        <v>0.8</v>
      </c>
      <c r="U11821" s="8">
        <v>12.3</v>
      </c>
      <c r="V11821" s="8">
        <v>0.3</v>
      </c>
      <c r="W11821" s="8">
        <v>0.2</v>
      </c>
      <c r="X11821" s="8">
        <v>70</v>
      </c>
      <c r="Y11821" s="8" t="s">
        <v>47337</v>
      </c>
      <c r="Z11821" s="8" t="s">
        <v>47338</v>
      </c>
    </row>
    <row r="11822" spans="1:26" x14ac:dyDescent="0.2">
      <c r="A11822" s="8">
        <v>11821</v>
      </c>
      <c r="B11822" s="8" t="s">
        <v>49831</v>
      </c>
      <c r="C11822" s="8" t="s">
        <v>49831</v>
      </c>
      <c r="G11822" s="8">
        <v>20</v>
      </c>
      <c r="H11822" s="8" t="s">
        <v>21</v>
      </c>
      <c r="I11822" s="8" t="s">
        <v>72</v>
      </c>
      <c r="J11822" s="8" t="s">
        <v>72</v>
      </c>
      <c r="K11822" s="8" t="s">
        <v>20</v>
      </c>
      <c r="L11822" s="8" t="s">
        <v>18681</v>
      </c>
      <c r="M11822" s="8" t="s">
        <v>18682</v>
      </c>
      <c r="N11822" s="8" t="s">
        <v>49832</v>
      </c>
      <c r="O11822" s="8">
        <f>12+59/60+21.5/3600</f>
        <v>12.989305555555555</v>
      </c>
      <c r="P11822" s="8" t="s">
        <v>49833</v>
      </c>
      <c r="Q11822" s="8">
        <f>+(37+13/60+41/3600)</f>
        <v>37.228055555555557</v>
      </c>
      <c r="R11822" s="8">
        <v>99</v>
      </c>
      <c r="S11822" s="8">
        <v>99</v>
      </c>
      <c r="T11822" s="8">
        <v>99</v>
      </c>
      <c r="U11822" s="8">
        <v>99</v>
      </c>
      <c r="Y11822" s="8" t="s">
        <v>49834</v>
      </c>
      <c r="Z11822" s="8" t="s">
        <v>49835</v>
      </c>
    </row>
    <row r="11823" spans="1:26" x14ac:dyDescent="0.2">
      <c r="A11823" s="8">
        <v>11822</v>
      </c>
      <c r="B11823" s="8" t="s">
        <v>49836</v>
      </c>
      <c r="C11823" s="8" t="s">
        <v>49836</v>
      </c>
      <c r="G11823" s="8">
        <v>20</v>
      </c>
      <c r="H11823" s="8" t="s">
        <v>21</v>
      </c>
      <c r="I11823" s="8" t="s">
        <v>72</v>
      </c>
      <c r="J11823" s="8" t="s">
        <v>72</v>
      </c>
      <c r="K11823" s="8" t="s">
        <v>20</v>
      </c>
      <c r="L11823" s="8" t="s">
        <v>18681</v>
      </c>
      <c r="M11823" s="8" t="s">
        <v>18682</v>
      </c>
      <c r="N11823" s="8" t="s">
        <v>49829</v>
      </c>
      <c r="O11823" s="8">
        <f>12+59/60+18.6/3600</f>
        <v>12.988499999999998</v>
      </c>
      <c r="P11823" s="8" t="s">
        <v>49837</v>
      </c>
      <c r="Q11823" s="8">
        <f>+(40+4/60+54/3600)</f>
        <v>40.081666666666671</v>
      </c>
      <c r="R11823" s="8">
        <v>99</v>
      </c>
      <c r="S11823" s="8">
        <v>99</v>
      </c>
      <c r="T11823" s="8">
        <v>99</v>
      </c>
      <c r="U11823" s="8">
        <v>99</v>
      </c>
      <c r="Y11823" s="8" t="s">
        <v>49838</v>
      </c>
      <c r="Z11823" s="8" t="s">
        <v>49839</v>
      </c>
    </row>
    <row r="11824" spans="1:26" x14ac:dyDescent="0.2">
      <c r="A11824" s="8">
        <v>11823</v>
      </c>
      <c r="B11824" s="8" t="s">
        <v>49840</v>
      </c>
      <c r="C11824" s="8" t="s">
        <v>49840</v>
      </c>
      <c r="G11824" s="8">
        <v>20</v>
      </c>
      <c r="H11824" s="8" t="s">
        <v>21</v>
      </c>
      <c r="I11824" s="8" t="s">
        <v>72</v>
      </c>
      <c r="J11824" s="8" t="s">
        <v>72</v>
      </c>
      <c r="K11824" s="8" t="s">
        <v>73</v>
      </c>
      <c r="L11824" s="8" t="s">
        <v>18681</v>
      </c>
      <c r="M11824" s="8" t="s">
        <v>18682</v>
      </c>
      <c r="N11824" s="8" t="s">
        <v>49841</v>
      </c>
      <c r="O11824" s="8">
        <f>12+59/60+20.3/3600</f>
        <v>12.988972222222221</v>
      </c>
      <c r="P11824" s="8" t="s">
        <v>49842</v>
      </c>
      <c r="Q11824" s="8">
        <f>+(39+14/60+53/3600)</f>
        <v>39.24805555555556</v>
      </c>
      <c r="R11824" s="8">
        <v>99</v>
      </c>
      <c r="S11824" s="8">
        <v>99</v>
      </c>
      <c r="T11824" s="8">
        <v>99</v>
      </c>
      <c r="U11824" s="8">
        <v>99</v>
      </c>
      <c r="Y11824" s="8" t="s">
        <v>45218</v>
      </c>
      <c r="Z11824" s="8" t="s">
        <v>45219</v>
      </c>
    </row>
    <row r="11825" spans="1:26" x14ac:dyDescent="0.2">
      <c r="A11825" s="8">
        <v>11824</v>
      </c>
      <c r="B11825" s="8" t="s">
        <v>49843</v>
      </c>
      <c r="C11825" s="8" t="s">
        <v>49843</v>
      </c>
      <c r="G11825" s="8">
        <v>20</v>
      </c>
      <c r="H11825" s="8" t="s">
        <v>21</v>
      </c>
      <c r="I11825" s="8" t="s">
        <v>72</v>
      </c>
      <c r="J11825" s="8" t="s">
        <v>72</v>
      </c>
      <c r="K11825" s="8" t="s">
        <v>20</v>
      </c>
      <c r="L11825" s="8" t="s">
        <v>18289</v>
      </c>
      <c r="M11825" s="8" t="s">
        <v>18290</v>
      </c>
      <c r="N11825" s="8" t="s">
        <v>49844</v>
      </c>
      <c r="O11825" s="8">
        <f>12+59/60+42.1/3600</f>
        <v>12.995027777777777</v>
      </c>
      <c r="P11825" s="8" t="s">
        <v>49845</v>
      </c>
      <c r="Q11825" s="8">
        <f>+(19+37/60+36/3600)</f>
        <v>19.626666666666669</v>
      </c>
      <c r="R11825" s="8">
        <v>99</v>
      </c>
      <c r="S11825" s="8">
        <v>99</v>
      </c>
      <c r="T11825" s="8">
        <v>99</v>
      </c>
      <c r="U11825" s="8">
        <v>99</v>
      </c>
      <c r="Y11825" s="8" t="s">
        <v>37602</v>
      </c>
      <c r="Z11825" s="8" t="s">
        <v>37603</v>
      </c>
    </row>
    <row r="11826" spans="1:26" x14ac:dyDescent="0.2">
      <c r="A11826" s="8">
        <v>11825</v>
      </c>
      <c r="B11826" s="8" t="s">
        <v>49846</v>
      </c>
      <c r="C11826" s="8" t="s">
        <v>49846</v>
      </c>
      <c r="G11826" s="8">
        <v>20</v>
      </c>
      <c r="H11826" s="8" t="s">
        <v>21</v>
      </c>
      <c r="I11826" s="8" t="s">
        <v>22</v>
      </c>
      <c r="J11826" s="8" t="s">
        <v>22</v>
      </c>
      <c r="K11826" s="8" t="s">
        <v>3926</v>
      </c>
      <c r="L11826" s="8" t="s">
        <v>18289</v>
      </c>
      <c r="M11826" s="8" t="s">
        <v>18290</v>
      </c>
      <c r="N11826" s="8" t="s">
        <v>49847</v>
      </c>
      <c r="O11826" s="8">
        <f>12+59/60+43.1/3600</f>
        <v>12.995305555555555</v>
      </c>
      <c r="P11826" s="8" t="s">
        <v>49848</v>
      </c>
      <c r="Q11826" s="8">
        <f>+(19+35/60+30/3600)</f>
        <v>19.591666666666665</v>
      </c>
      <c r="R11826" s="8">
        <v>15.2</v>
      </c>
      <c r="S11826" s="8">
        <v>16.2</v>
      </c>
      <c r="T11826" s="8">
        <v>1</v>
      </c>
      <c r="U11826" s="8">
        <v>12</v>
      </c>
      <c r="V11826" s="8">
        <v>0.3</v>
      </c>
      <c r="W11826" s="8">
        <v>0.2</v>
      </c>
      <c r="X11826" s="8">
        <v>70</v>
      </c>
      <c r="Y11826" s="8" t="s">
        <v>49849</v>
      </c>
      <c r="Z11826" s="8" t="s">
        <v>49850</v>
      </c>
    </row>
    <row r="11827" spans="1:26" x14ac:dyDescent="0.2">
      <c r="A11827" s="8">
        <v>11826</v>
      </c>
      <c r="B11827" s="8" t="s">
        <v>49851</v>
      </c>
      <c r="C11827" s="8" t="s">
        <v>49851</v>
      </c>
      <c r="G11827" s="8">
        <v>20</v>
      </c>
      <c r="H11827" s="8" t="s">
        <v>21</v>
      </c>
      <c r="I11827" s="8" t="s">
        <v>22</v>
      </c>
      <c r="J11827" s="8" t="s">
        <v>22</v>
      </c>
      <c r="K11827" s="8" t="s">
        <v>37</v>
      </c>
      <c r="L11827" s="8" t="s">
        <v>16195</v>
      </c>
      <c r="M11827" s="8" t="s">
        <v>16196</v>
      </c>
      <c r="N11827" s="8" t="s">
        <v>49852</v>
      </c>
      <c r="O11827" s="8">
        <f>13+1/60+0.8/3600</f>
        <v>13.016888888888889</v>
      </c>
      <c r="P11827" s="8" t="s">
        <v>49853</v>
      </c>
      <c r="Q11827" s="8">
        <f>-(32+26/60+29/3600)</f>
        <v>-32.441388888888888</v>
      </c>
      <c r="R11827" s="8">
        <v>11.9</v>
      </c>
      <c r="S11827" s="8">
        <v>12.9</v>
      </c>
      <c r="T11827" s="8">
        <v>1</v>
      </c>
      <c r="U11827" s="8">
        <v>11.9</v>
      </c>
      <c r="V11827" s="8">
        <v>1.9</v>
      </c>
      <c r="W11827" s="8">
        <v>1.5</v>
      </c>
      <c r="X11827" s="8">
        <v>170</v>
      </c>
      <c r="Y11827" s="8" t="s">
        <v>49854</v>
      </c>
      <c r="Z11827" s="8" t="s">
        <v>49855</v>
      </c>
    </row>
    <row r="11828" spans="1:26" x14ac:dyDescent="0.2">
      <c r="A11828" s="8">
        <v>11827</v>
      </c>
      <c r="B11828" s="8" t="s">
        <v>49856</v>
      </c>
      <c r="C11828" s="8" t="s">
        <v>49856</v>
      </c>
      <c r="G11828" s="8">
        <v>20</v>
      </c>
      <c r="H11828" s="8" t="s">
        <v>21</v>
      </c>
      <c r="I11828" s="8" t="s">
        <v>22</v>
      </c>
      <c r="J11828" s="8" t="s">
        <v>22</v>
      </c>
      <c r="K11828" s="8" t="s">
        <v>460</v>
      </c>
      <c r="L11828" s="8" t="s">
        <v>18681</v>
      </c>
      <c r="M11828" s="8" t="s">
        <v>18682</v>
      </c>
      <c r="N11828" s="8" t="s">
        <v>49857</v>
      </c>
      <c r="O11828" s="8">
        <f>12+59/60+25/3600</f>
        <v>12.990277777777777</v>
      </c>
      <c r="P11828" s="8" t="s">
        <v>49858</v>
      </c>
      <c r="Q11828" s="8">
        <f>+(38+44/60+2/3600)</f>
        <v>38.733888888888892</v>
      </c>
      <c r="R11828" s="8">
        <v>14.6</v>
      </c>
      <c r="S11828" s="8">
        <v>15.6</v>
      </c>
      <c r="T11828" s="8">
        <v>1</v>
      </c>
      <c r="U11828" s="8">
        <v>12.7</v>
      </c>
      <c r="V11828" s="8">
        <v>0.4</v>
      </c>
      <c r="W11828" s="8">
        <v>0.4</v>
      </c>
      <c r="Y11828" s="8" t="s">
        <v>18110</v>
      </c>
      <c r="Z11828" s="8" t="s">
        <v>18111</v>
      </c>
    </row>
    <row r="11829" spans="1:26" x14ac:dyDescent="0.2">
      <c r="A11829" s="8">
        <v>11828</v>
      </c>
      <c r="B11829" s="8" t="s">
        <v>49859</v>
      </c>
      <c r="C11829" s="8" t="s">
        <v>49859</v>
      </c>
      <c r="G11829" s="8">
        <v>20</v>
      </c>
      <c r="H11829" s="8" t="s">
        <v>21</v>
      </c>
      <c r="I11829" s="8" t="s">
        <v>72</v>
      </c>
      <c r="J11829" s="8" t="s">
        <v>72</v>
      </c>
      <c r="K11829" s="8" t="s">
        <v>20</v>
      </c>
      <c r="L11829" s="8" t="s">
        <v>18681</v>
      </c>
      <c r="M11829" s="8" t="s">
        <v>18682</v>
      </c>
      <c r="N11829" s="8" t="s">
        <v>49860</v>
      </c>
      <c r="O11829" s="8">
        <f>12+59/60+26.8/3600</f>
        <v>12.990777777777778</v>
      </c>
      <c r="P11829" s="8" t="s">
        <v>49861</v>
      </c>
      <c r="Q11829" s="8">
        <f>+(37+14/60+41/3600)</f>
        <v>37.244722222222222</v>
      </c>
      <c r="R11829" s="8">
        <v>99</v>
      </c>
      <c r="S11829" s="8">
        <v>99</v>
      </c>
      <c r="T11829" s="8">
        <v>99</v>
      </c>
      <c r="U11829" s="8">
        <v>99</v>
      </c>
      <c r="Y11829" s="8" t="s">
        <v>5139</v>
      </c>
      <c r="Z11829" s="8" t="s">
        <v>5140</v>
      </c>
    </row>
    <row r="11830" spans="1:26" x14ac:dyDescent="0.2">
      <c r="A11830" s="8">
        <v>11829</v>
      </c>
      <c r="B11830" s="8" t="s">
        <v>49862</v>
      </c>
      <c r="C11830" s="8" t="s">
        <v>49862</v>
      </c>
      <c r="G11830" s="8">
        <v>20</v>
      </c>
      <c r="H11830" s="8" t="s">
        <v>21</v>
      </c>
      <c r="I11830" s="8" t="s">
        <v>72</v>
      </c>
      <c r="J11830" s="8" t="s">
        <v>72</v>
      </c>
      <c r="K11830" s="8" t="s">
        <v>20</v>
      </c>
      <c r="L11830" s="8" t="s">
        <v>18681</v>
      </c>
      <c r="M11830" s="8" t="s">
        <v>18682</v>
      </c>
      <c r="N11830" s="8" t="s">
        <v>49863</v>
      </c>
      <c r="O11830" s="8">
        <f>12+59/60+28.8/3600</f>
        <v>12.991333333333332</v>
      </c>
      <c r="P11830" s="8" t="s">
        <v>49864</v>
      </c>
      <c r="Q11830" s="8">
        <f>+(36+45/60+25/3600)</f>
        <v>36.756944444444443</v>
      </c>
      <c r="R11830" s="8">
        <v>99</v>
      </c>
      <c r="S11830" s="8">
        <v>99</v>
      </c>
      <c r="T11830" s="8">
        <v>99</v>
      </c>
      <c r="U11830" s="8">
        <v>99</v>
      </c>
      <c r="Y11830" s="8" t="s">
        <v>45086</v>
      </c>
      <c r="Z11830" s="8" t="s">
        <v>45087</v>
      </c>
    </row>
    <row r="11831" spans="1:26" x14ac:dyDescent="0.2">
      <c r="A11831" s="8">
        <v>11830</v>
      </c>
      <c r="B11831" s="8" t="s">
        <v>49865</v>
      </c>
      <c r="C11831" s="8" t="s">
        <v>49865</v>
      </c>
      <c r="G11831" s="8">
        <v>20</v>
      </c>
      <c r="H11831" s="8" t="s">
        <v>21</v>
      </c>
      <c r="I11831" s="8" t="s">
        <v>22</v>
      </c>
      <c r="J11831" s="8" t="s">
        <v>22</v>
      </c>
      <c r="K11831" s="8" t="s">
        <v>91</v>
      </c>
      <c r="L11831" s="8" t="s">
        <v>18289</v>
      </c>
      <c r="M11831" s="8" t="s">
        <v>18290</v>
      </c>
      <c r="N11831" s="8" t="s">
        <v>49866</v>
      </c>
      <c r="O11831" s="8">
        <f>12+59/60+39.3/3600</f>
        <v>12.994249999999999</v>
      </c>
      <c r="P11831" s="8" t="s">
        <v>49867</v>
      </c>
      <c r="Q11831" s="8">
        <f>+(28+53/60+42/3600)</f>
        <v>28.895</v>
      </c>
      <c r="R11831" s="8">
        <v>14.4</v>
      </c>
      <c r="S11831" s="8">
        <v>15.3</v>
      </c>
      <c r="T11831" s="8">
        <v>0.9</v>
      </c>
      <c r="U11831" s="8">
        <v>13.5</v>
      </c>
      <c r="V11831" s="8">
        <v>1.2</v>
      </c>
      <c r="W11831" s="8">
        <v>0.4</v>
      </c>
      <c r="X11831" s="8">
        <v>27</v>
      </c>
      <c r="Y11831" s="8" t="s">
        <v>41073</v>
      </c>
      <c r="Z11831" s="8" t="s">
        <v>41074</v>
      </c>
    </row>
    <row r="11832" spans="1:26" x14ac:dyDescent="0.2">
      <c r="A11832" s="8">
        <v>11831</v>
      </c>
      <c r="B11832" s="8" t="s">
        <v>49868</v>
      </c>
      <c r="C11832" s="8" t="s">
        <v>49868</v>
      </c>
      <c r="G11832" s="8">
        <v>20</v>
      </c>
      <c r="H11832" s="8" t="s">
        <v>21</v>
      </c>
      <c r="I11832" s="8" t="s">
        <v>22</v>
      </c>
      <c r="J11832" s="8" t="s">
        <v>22</v>
      </c>
      <c r="K11832" s="8" t="s">
        <v>58</v>
      </c>
      <c r="L11832" s="8" t="s">
        <v>18289</v>
      </c>
      <c r="M11832" s="8" t="s">
        <v>18290</v>
      </c>
      <c r="N11832" s="8" t="s">
        <v>49869</v>
      </c>
      <c r="O11832" s="8">
        <f>12+59/60+39.8/3600</f>
        <v>12.994388888888889</v>
      </c>
      <c r="P11832" s="8" t="s">
        <v>49870</v>
      </c>
      <c r="Q11832" s="8">
        <f>+(28+55/60+33/3600)</f>
        <v>28.925833333333333</v>
      </c>
      <c r="R11832" s="8">
        <v>14.5</v>
      </c>
      <c r="S11832" s="8">
        <v>15.5</v>
      </c>
      <c r="T11832" s="8">
        <v>1</v>
      </c>
      <c r="U11832" s="8">
        <v>12.9</v>
      </c>
      <c r="V11832" s="8">
        <v>0.7</v>
      </c>
      <c r="W11832" s="8">
        <v>0.3</v>
      </c>
      <c r="X11832" s="8">
        <v>70</v>
      </c>
      <c r="Y11832" s="8" t="s">
        <v>49871</v>
      </c>
      <c r="Z11832" s="8" t="s">
        <v>49872</v>
      </c>
    </row>
    <row r="11833" spans="1:26" x14ac:dyDescent="0.2">
      <c r="A11833" s="8">
        <v>11832</v>
      </c>
      <c r="B11833" s="8" t="s">
        <v>49873</v>
      </c>
      <c r="C11833" s="8" t="s">
        <v>49873</v>
      </c>
      <c r="G11833" s="8">
        <v>20</v>
      </c>
      <c r="H11833" s="8" t="s">
        <v>21</v>
      </c>
      <c r="I11833" s="8" t="s">
        <v>72</v>
      </c>
      <c r="J11833" s="8" t="s">
        <v>72</v>
      </c>
      <c r="K11833" s="8" t="s">
        <v>20</v>
      </c>
      <c r="L11833" s="8" t="s">
        <v>18681</v>
      </c>
      <c r="M11833" s="8" t="s">
        <v>18682</v>
      </c>
      <c r="N11833" s="8" t="s">
        <v>49874</v>
      </c>
      <c r="O11833" s="8">
        <f>12+59/60+33.4/3600</f>
        <v>12.99261111111111</v>
      </c>
      <c r="P11833" s="8" t="s">
        <v>49875</v>
      </c>
      <c r="Q11833" s="8">
        <f>+(36+46/60+19/3600)</f>
        <v>36.771944444444443</v>
      </c>
      <c r="R11833" s="8">
        <v>99</v>
      </c>
      <c r="S11833" s="8">
        <v>99</v>
      </c>
      <c r="T11833" s="8">
        <v>99</v>
      </c>
      <c r="U11833" s="8">
        <v>99</v>
      </c>
      <c r="Y11833" s="8" t="s">
        <v>45514</v>
      </c>
      <c r="Z11833" s="8" t="s">
        <v>45515</v>
      </c>
    </row>
    <row r="11834" spans="1:26" x14ac:dyDescent="0.2">
      <c r="A11834" s="8">
        <v>11833</v>
      </c>
      <c r="B11834" s="8" t="s">
        <v>49876</v>
      </c>
      <c r="C11834" s="8" t="s">
        <v>49876</v>
      </c>
      <c r="G11834" s="8">
        <v>20</v>
      </c>
      <c r="H11834" s="8" t="s">
        <v>21</v>
      </c>
      <c r="I11834" s="8" t="s">
        <v>22</v>
      </c>
      <c r="J11834" s="8" t="s">
        <v>22</v>
      </c>
      <c r="K11834" s="8" t="s">
        <v>460</v>
      </c>
      <c r="L11834" s="8" t="s">
        <v>18681</v>
      </c>
      <c r="M11834" s="8" t="s">
        <v>18682</v>
      </c>
      <c r="N11834" s="8" t="s">
        <v>49877</v>
      </c>
      <c r="O11834" s="8">
        <f>12+59/60+30.4/3600</f>
        <v>12.991777777777777</v>
      </c>
      <c r="P11834" s="8" t="s">
        <v>49878</v>
      </c>
      <c r="Q11834" s="8">
        <f>+(40+36/60+8/3600)</f>
        <v>40.602222222222224</v>
      </c>
      <c r="R11834" s="8">
        <v>14.8</v>
      </c>
      <c r="S11834" s="8">
        <v>15.8</v>
      </c>
      <c r="T11834" s="8">
        <v>1</v>
      </c>
      <c r="U11834" s="8">
        <v>12.3</v>
      </c>
      <c r="V11834" s="8">
        <v>0.3</v>
      </c>
      <c r="W11834" s="8">
        <v>0.3</v>
      </c>
      <c r="Y11834" s="8" t="s">
        <v>45514</v>
      </c>
      <c r="Z11834" s="8" t="s">
        <v>45515</v>
      </c>
    </row>
    <row r="11835" spans="1:26" x14ac:dyDescent="0.2">
      <c r="A11835" s="8">
        <v>11834</v>
      </c>
      <c r="B11835" s="8" t="s">
        <v>49879</v>
      </c>
      <c r="C11835" s="8" t="s">
        <v>49879</v>
      </c>
      <c r="G11835" s="8">
        <v>20</v>
      </c>
      <c r="H11835" s="8" t="s">
        <v>21</v>
      </c>
      <c r="I11835" s="8" t="s">
        <v>22</v>
      </c>
      <c r="J11835" s="8" t="s">
        <v>22</v>
      </c>
      <c r="K11835" s="8" t="s">
        <v>449</v>
      </c>
      <c r="L11835" s="8" t="s">
        <v>18289</v>
      </c>
      <c r="M11835" s="8" t="s">
        <v>18290</v>
      </c>
      <c r="N11835" s="8" t="s">
        <v>49880</v>
      </c>
      <c r="O11835" s="8">
        <f>12+59/60+50.7/3600</f>
        <v>12.997416666666666</v>
      </c>
      <c r="P11835" s="8" t="s">
        <v>49881</v>
      </c>
      <c r="Q11835" s="8">
        <f>+(22+42/60+58/3600)</f>
        <v>22.716111111111111</v>
      </c>
      <c r="R11835" s="8">
        <v>16.7</v>
      </c>
      <c r="S11835" s="8">
        <v>17.5</v>
      </c>
      <c r="T11835" s="8">
        <v>0.8</v>
      </c>
      <c r="U11835" s="8">
        <v>13.1</v>
      </c>
      <c r="V11835" s="8">
        <v>0.2</v>
      </c>
      <c r="W11835" s="8">
        <v>0.2</v>
      </c>
      <c r="Y11835" s="8" t="s">
        <v>21</v>
      </c>
      <c r="Z11835" s="8" t="s">
        <v>49882</v>
      </c>
    </row>
    <row r="11836" spans="1:26" x14ac:dyDescent="0.2">
      <c r="A11836" s="8">
        <v>11835</v>
      </c>
      <c r="B11836" s="8" t="s">
        <v>49883</v>
      </c>
      <c r="C11836" s="8" t="s">
        <v>49883</v>
      </c>
      <c r="G11836" s="8">
        <v>20</v>
      </c>
      <c r="H11836" s="8" t="s">
        <v>21</v>
      </c>
      <c r="I11836" s="8" t="s">
        <v>72</v>
      </c>
      <c r="J11836" s="8" t="s">
        <v>72</v>
      </c>
      <c r="K11836" s="8" t="s">
        <v>20</v>
      </c>
      <c r="L11836" s="8" t="s">
        <v>18681</v>
      </c>
      <c r="M11836" s="8" t="s">
        <v>18682</v>
      </c>
      <c r="N11836" s="8" t="s">
        <v>49884</v>
      </c>
      <c r="O11836" s="8">
        <f>12+59/60+33.1/3600</f>
        <v>12.992527777777777</v>
      </c>
      <c r="P11836" s="8" t="s">
        <v>49885</v>
      </c>
      <c r="Q11836" s="8">
        <f>+(39+2/60+26/3600)</f>
        <v>39.040555555555557</v>
      </c>
      <c r="R11836" s="8">
        <v>99</v>
      </c>
      <c r="S11836" s="8">
        <v>99</v>
      </c>
      <c r="T11836" s="8">
        <v>99</v>
      </c>
      <c r="U11836" s="8">
        <v>99</v>
      </c>
      <c r="Y11836" s="8" t="s">
        <v>45218</v>
      </c>
      <c r="Z11836" s="8" t="s">
        <v>45219</v>
      </c>
    </row>
    <row r="11837" spans="1:26" x14ac:dyDescent="0.2">
      <c r="A11837" s="8">
        <v>11836</v>
      </c>
      <c r="B11837" s="8" t="s">
        <v>49886</v>
      </c>
      <c r="C11837" s="8" t="s">
        <v>49886</v>
      </c>
      <c r="G11837" s="8">
        <v>20</v>
      </c>
      <c r="H11837" s="8" t="s">
        <v>21</v>
      </c>
      <c r="I11837" s="8" t="s">
        <v>72</v>
      </c>
      <c r="J11837" s="8" t="s">
        <v>72</v>
      </c>
      <c r="K11837" s="8" t="s">
        <v>73</v>
      </c>
      <c r="L11837" s="8" t="s">
        <v>18681</v>
      </c>
      <c r="M11837" s="8" t="s">
        <v>18682</v>
      </c>
      <c r="N11837" s="8" t="s">
        <v>49887</v>
      </c>
      <c r="O11837" s="8">
        <f>12+59/60+31.5/3600</f>
        <v>12.992083333333332</v>
      </c>
      <c r="P11837" s="8" t="s">
        <v>49888</v>
      </c>
      <c r="Q11837" s="8">
        <f>+(40+28/60+2/3600)</f>
        <v>40.467222222222226</v>
      </c>
      <c r="R11837" s="8">
        <v>99</v>
      </c>
      <c r="S11837" s="8">
        <v>99</v>
      </c>
      <c r="T11837" s="8">
        <v>99</v>
      </c>
      <c r="U11837" s="8">
        <v>99</v>
      </c>
      <c r="Y11837" s="8" t="s">
        <v>49889</v>
      </c>
      <c r="Z11837" s="8" t="s">
        <v>49890</v>
      </c>
    </row>
    <row r="11838" spans="1:26" x14ac:dyDescent="0.2">
      <c r="A11838" s="8">
        <v>11837</v>
      </c>
      <c r="B11838" s="8" t="s">
        <v>49891</v>
      </c>
      <c r="C11838" s="8" t="s">
        <v>49891</v>
      </c>
      <c r="G11838" s="8">
        <v>20</v>
      </c>
      <c r="H11838" s="8" t="s">
        <v>21</v>
      </c>
      <c r="I11838" s="8" t="s">
        <v>22</v>
      </c>
      <c r="J11838" s="8" t="s">
        <v>22</v>
      </c>
      <c r="K11838" s="8" t="s">
        <v>382</v>
      </c>
      <c r="L11838" s="8" t="s">
        <v>18681</v>
      </c>
      <c r="M11838" s="8" t="s">
        <v>18682</v>
      </c>
      <c r="N11838" s="8" t="s">
        <v>49892</v>
      </c>
      <c r="O11838" s="8">
        <f>12+59/60+37/3600</f>
        <v>12.993611111111111</v>
      </c>
      <c r="P11838" s="8" t="s">
        <v>49893</v>
      </c>
      <c r="Q11838" s="8">
        <f>+(36+41/60+42/3600)</f>
        <v>36.694999999999993</v>
      </c>
      <c r="R11838" s="8">
        <v>15.5</v>
      </c>
      <c r="S11838" s="8">
        <v>16.5</v>
      </c>
      <c r="T11838" s="8">
        <v>1</v>
      </c>
      <c r="U11838" s="8">
        <v>12.5</v>
      </c>
      <c r="V11838" s="8">
        <v>0.3</v>
      </c>
      <c r="W11838" s="8">
        <v>0.2</v>
      </c>
      <c r="X11838" s="8">
        <v>10</v>
      </c>
      <c r="Y11838" s="8" t="s">
        <v>5139</v>
      </c>
      <c r="Z11838" s="8" t="s">
        <v>5140</v>
      </c>
    </row>
    <row r="11839" spans="1:26" x14ac:dyDescent="0.2">
      <c r="A11839" s="8">
        <v>11838</v>
      </c>
      <c r="B11839" s="8" t="s">
        <v>49894</v>
      </c>
      <c r="C11839" s="8" t="s">
        <v>49894</v>
      </c>
      <c r="G11839" s="8">
        <v>20</v>
      </c>
      <c r="H11839" s="8" t="s">
        <v>21</v>
      </c>
      <c r="I11839" s="8" t="s">
        <v>22</v>
      </c>
      <c r="J11839" s="8" t="s">
        <v>22</v>
      </c>
      <c r="K11839" s="8" t="s">
        <v>224</v>
      </c>
      <c r="L11839" s="8" t="s">
        <v>18289</v>
      </c>
      <c r="M11839" s="8" t="s">
        <v>18290</v>
      </c>
      <c r="N11839" s="8" t="s">
        <v>49895</v>
      </c>
      <c r="O11839" s="8">
        <f>12+59/60+46.9/3600</f>
        <v>12.99636111111111</v>
      </c>
      <c r="P11839" s="8" t="s">
        <v>49896</v>
      </c>
      <c r="Q11839" s="8">
        <f>+(27+58/60+22/3600)</f>
        <v>27.972777777777775</v>
      </c>
      <c r="R11839" s="8">
        <v>14.6</v>
      </c>
      <c r="S11839" s="8">
        <v>15.6</v>
      </c>
      <c r="T11839" s="8">
        <v>1</v>
      </c>
      <c r="U11839" s="8">
        <v>13.5</v>
      </c>
      <c r="V11839" s="8">
        <v>0.8</v>
      </c>
      <c r="W11839" s="8">
        <v>0.5</v>
      </c>
      <c r="X11839" s="8">
        <v>10</v>
      </c>
      <c r="Y11839" s="8" t="s">
        <v>17524</v>
      </c>
      <c r="Z11839" s="8" t="s">
        <v>17525</v>
      </c>
    </row>
    <row r="11840" spans="1:26" x14ac:dyDescent="0.2">
      <c r="A11840" s="8">
        <v>11839</v>
      </c>
      <c r="B11840" s="8" t="s">
        <v>49897</v>
      </c>
      <c r="C11840" s="8" t="s">
        <v>49897</v>
      </c>
      <c r="G11840" s="8">
        <v>20</v>
      </c>
      <c r="H11840" s="8" t="s">
        <v>21</v>
      </c>
      <c r="I11840" s="8" t="s">
        <v>22</v>
      </c>
      <c r="J11840" s="8" t="s">
        <v>57</v>
      </c>
      <c r="K11840" s="8" t="s">
        <v>64</v>
      </c>
      <c r="L11840" s="8" t="s">
        <v>17287</v>
      </c>
      <c r="M11840" s="8" t="s">
        <v>17288</v>
      </c>
      <c r="N11840" s="8" t="s">
        <v>21899</v>
      </c>
      <c r="O11840" s="8">
        <f>12+59/60+30.8/3600</f>
        <v>12.991888888888887</v>
      </c>
      <c r="P11840" s="8" t="s">
        <v>21900</v>
      </c>
      <c r="Q11840" s="8">
        <f>-(14+7/60+55/3600)</f>
        <v>-14.131944444444445</v>
      </c>
      <c r="R11840" s="8">
        <v>14.2</v>
      </c>
      <c r="S11840" s="8">
        <v>14.9</v>
      </c>
      <c r="T11840" s="8">
        <v>0.7</v>
      </c>
      <c r="U11840" s="8">
        <v>13.9</v>
      </c>
      <c r="V11840" s="8">
        <v>1.1000000000000001</v>
      </c>
      <c r="W11840" s="8">
        <v>0.8</v>
      </c>
      <c r="X11840" s="8">
        <v>153</v>
      </c>
      <c r="Y11840" s="8" t="s">
        <v>13844</v>
      </c>
      <c r="Z11840" s="8" t="s">
        <v>49898</v>
      </c>
    </row>
    <row r="11841" spans="1:26" x14ac:dyDescent="0.2">
      <c r="A11841" s="8">
        <v>11840</v>
      </c>
      <c r="B11841" s="8" t="s">
        <v>49899</v>
      </c>
      <c r="C11841" s="8" t="s">
        <v>49899</v>
      </c>
      <c r="G11841" s="8">
        <v>20</v>
      </c>
      <c r="H11841" s="8" t="s">
        <v>21</v>
      </c>
      <c r="I11841" s="8" t="s">
        <v>22</v>
      </c>
      <c r="J11841" s="8" t="s">
        <v>22</v>
      </c>
      <c r="K11841" s="8" t="s">
        <v>424</v>
      </c>
      <c r="L11841" s="8" t="s">
        <v>18681</v>
      </c>
      <c r="M11841" s="8" t="s">
        <v>18682</v>
      </c>
      <c r="N11841" s="8" t="s">
        <v>49900</v>
      </c>
      <c r="O11841" s="8">
        <f>12+59/60+36.6/3600</f>
        <v>12.993499999999999</v>
      </c>
      <c r="P11841" s="8" t="s">
        <v>49901</v>
      </c>
      <c r="Q11841" s="8">
        <f>+(39+35/60+16/3600)</f>
        <v>39.587777777777781</v>
      </c>
      <c r="R11841" s="8">
        <v>15.3</v>
      </c>
      <c r="S11841" s="8">
        <v>16.3</v>
      </c>
      <c r="T11841" s="8">
        <v>1</v>
      </c>
      <c r="U11841" s="8">
        <v>11.7</v>
      </c>
      <c r="V11841" s="8">
        <v>0.2</v>
      </c>
      <c r="W11841" s="8">
        <v>0.2</v>
      </c>
      <c r="Y11841" s="8" t="s">
        <v>49902</v>
      </c>
      <c r="Z11841" s="8" t="s">
        <v>49903</v>
      </c>
    </row>
    <row r="11842" spans="1:26" x14ac:dyDescent="0.2">
      <c r="A11842" s="8">
        <v>11841</v>
      </c>
      <c r="B11842" s="8" t="s">
        <v>49904</v>
      </c>
      <c r="C11842" s="8" t="s">
        <v>49904</v>
      </c>
      <c r="G11842" s="8">
        <v>20</v>
      </c>
      <c r="H11842" s="8" t="s">
        <v>21</v>
      </c>
      <c r="I11842" s="8" t="s">
        <v>22</v>
      </c>
      <c r="J11842" s="8" t="s">
        <v>22</v>
      </c>
      <c r="K11842" s="8" t="s">
        <v>449</v>
      </c>
      <c r="L11842" s="8" t="s">
        <v>18681</v>
      </c>
      <c r="M11842" s="8" t="s">
        <v>18682</v>
      </c>
      <c r="N11842" s="8" t="s">
        <v>49905</v>
      </c>
      <c r="O11842" s="8">
        <f>12+59/60+37.8/3600</f>
        <v>12.993833333333333</v>
      </c>
      <c r="P11842" s="8" t="s">
        <v>49736</v>
      </c>
      <c r="Q11842" s="8">
        <f>+(38+52/60+11/3600)</f>
        <v>38.869722222222222</v>
      </c>
      <c r="R11842" s="8">
        <v>15</v>
      </c>
      <c r="S11842" s="8">
        <v>15.8</v>
      </c>
      <c r="T11842" s="8">
        <v>0.8</v>
      </c>
      <c r="U11842" s="8">
        <v>13</v>
      </c>
      <c r="V11842" s="8">
        <v>0.6</v>
      </c>
      <c r="W11842" s="8">
        <v>0.3</v>
      </c>
      <c r="X11842" s="8">
        <v>25</v>
      </c>
      <c r="Y11842" s="8" t="s">
        <v>18110</v>
      </c>
      <c r="Z11842" s="8" t="s">
        <v>18111</v>
      </c>
    </row>
    <row r="11843" spans="1:26" x14ac:dyDescent="0.2">
      <c r="A11843" s="8">
        <v>11842</v>
      </c>
      <c r="B11843" s="8" t="s">
        <v>49906</v>
      </c>
      <c r="C11843" s="8" t="s">
        <v>49906</v>
      </c>
      <c r="G11843" s="8">
        <v>20</v>
      </c>
      <c r="H11843" s="8" t="s">
        <v>21</v>
      </c>
      <c r="I11843" s="8" t="s">
        <v>22</v>
      </c>
      <c r="J11843" s="8" t="s">
        <v>22</v>
      </c>
      <c r="K11843" s="8" t="s">
        <v>424</v>
      </c>
      <c r="L11843" s="8" t="s">
        <v>18681</v>
      </c>
      <c r="M11843" s="8" t="s">
        <v>18682</v>
      </c>
      <c r="N11843" s="8" t="s">
        <v>49907</v>
      </c>
      <c r="O11843" s="8">
        <f>12+59/60+40.7/3600</f>
        <v>12.994638888888888</v>
      </c>
      <c r="P11843" s="8" t="s">
        <v>49908</v>
      </c>
      <c r="Q11843" s="8">
        <f>+(36+45/60+52/3600)</f>
        <v>36.764444444444443</v>
      </c>
      <c r="R11843" s="8">
        <v>15</v>
      </c>
      <c r="S11843" s="8">
        <v>16</v>
      </c>
      <c r="T11843" s="8">
        <v>1</v>
      </c>
      <c r="U11843" s="8">
        <v>12.1</v>
      </c>
      <c r="V11843" s="8">
        <v>0.4</v>
      </c>
      <c r="W11843" s="8">
        <v>0.2</v>
      </c>
      <c r="X11843" s="8">
        <v>80</v>
      </c>
      <c r="Y11843" s="8" t="s">
        <v>48426</v>
      </c>
      <c r="Z11843" s="8" t="s">
        <v>48427</v>
      </c>
    </row>
    <row r="11844" spans="1:26" x14ac:dyDescent="0.2">
      <c r="A11844" s="8">
        <v>11843</v>
      </c>
      <c r="B11844" s="8" t="s">
        <v>49909</v>
      </c>
      <c r="C11844" s="8" t="s">
        <v>49909</v>
      </c>
      <c r="G11844" s="8">
        <v>20</v>
      </c>
      <c r="H11844" s="8" t="s">
        <v>21</v>
      </c>
      <c r="I11844" s="8" t="s">
        <v>22</v>
      </c>
      <c r="J11844" s="8" t="s">
        <v>22</v>
      </c>
      <c r="K11844" s="8" t="s">
        <v>449</v>
      </c>
      <c r="L11844" s="8" t="s">
        <v>18681</v>
      </c>
      <c r="M11844" s="8" t="s">
        <v>18682</v>
      </c>
      <c r="N11844" s="8" t="s">
        <v>49866</v>
      </c>
      <c r="O11844" s="8">
        <f>12+59/60+39.3/3600</f>
        <v>12.994249999999999</v>
      </c>
      <c r="P11844" s="8" t="s">
        <v>49910</v>
      </c>
      <c r="Q11844" s="8">
        <f>+(38+48/60+58/3600)</f>
        <v>38.816111111111105</v>
      </c>
      <c r="R11844" s="8">
        <v>14.3</v>
      </c>
      <c r="S11844" s="8">
        <v>15.1</v>
      </c>
      <c r="T11844" s="8">
        <v>0.8</v>
      </c>
      <c r="U11844" s="8">
        <v>13.4</v>
      </c>
      <c r="V11844" s="8">
        <v>0.7</v>
      </c>
      <c r="W11844" s="8">
        <v>0.7</v>
      </c>
      <c r="Y11844" s="8" t="s">
        <v>45744</v>
      </c>
      <c r="Z11844" s="8" t="s">
        <v>45745</v>
      </c>
    </row>
    <row r="11845" spans="1:26" x14ac:dyDescent="0.2">
      <c r="A11845" s="8">
        <v>11844</v>
      </c>
      <c r="B11845" s="8" t="s">
        <v>49911</v>
      </c>
      <c r="C11845" s="8" t="s">
        <v>49911</v>
      </c>
      <c r="G11845" s="8">
        <v>20</v>
      </c>
      <c r="H11845" s="8" t="s">
        <v>21</v>
      </c>
      <c r="I11845" s="8" t="s">
        <v>22</v>
      </c>
      <c r="J11845" s="8" t="s">
        <v>22</v>
      </c>
      <c r="K11845" s="8" t="s">
        <v>24713</v>
      </c>
      <c r="L11845" s="8" t="s">
        <v>18681</v>
      </c>
      <c r="M11845" s="8" t="s">
        <v>18682</v>
      </c>
      <c r="N11845" s="8" t="s">
        <v>49912</v>
      </c>
      <c r="O11845" s="8">
        <f>12+59/60+42.8/3600</f>
        <v>12.995222222222221</v>
      </c>
      <c r="P11845" s="8" t="s">
        <v>49913</v>
      </c>
      <c r="Q11845" s="8">
        <f>+(38+48/60+40/3600)</f>
        <v>38.81111111111111</v>
      </c>
      <c r="R11845" s="8">
        <v>14.5</v>
      </c>
      <c r="S11845" s="8">
        <v>15.3</v>
      </c>
      <c r="T11845" s="8">
        <v>0.8</v>
      </c>
      <c r="U11845" s="8">
        <v>13.9</v>
      </c>
      <c r="V11845" s="8">
        <v>0.8</v>
      </c>
      <c r="W11845" s="8">
        <v>0.8</v>
      </c>
      <c r="Y11845" s="8" t="s">
        <v>45744</v>
      </c>
      <c r="Z11845" s="8" t="s">
        <v>45745</v>
      </c>
    </row>
    <row r="11846" spans="1:26" x14ac:dyDescent="0.2">
      <c r="A11846" s="8">
        <v>11845</v>
      </c>
      <c r="B11846" s="8" t="s">
        <v>49914</v>
      </c>
      <c r="C11846" s="8" t="s">
        <v>49914</v>
      </c>
      <c r="G11846" s="8">
        <v>20</v>
      </c>
      <c r="H11846" s="8" t="s">
        <v>21</v>
      </c>
      <c r="I11846" s="8" t="s">
        <v>72</v>
      </c>
      <c r="J11846" s="8" t="s">
        <v>72</v>
      </c>
      <c r="K11846" s="8" t="s">
        <v>73</v>
      </c>
      <c r="L11846" s="8" t="s">
        <v>18289</v>
      </c>
      <c r="M11846" s="8" t="s">
        <v>18290</v>
      </c>
      <c r="N11846" s="8" t="s">
        <v>49915</v>
      </c>
      <c r="O11846" s="8">
        <f>13+0/60+2.6/3600</f>
        <v>13.000722222222223</v>
      </c>
      <c r="P11846" s="8" t="s">
        <v>37813</v>
      </c>
      <c r="Q11846" s="8">
        <f>+(22+38/60+24/3600)</f>
        <v>22.64</v>
      </c>
      <c r="R11846" s="8">
        <v>99</v>
      </c>
      <c r="S11846" s="8">
        <v>99</v>
      </c>
      <c r="T11846" s="8">
        <v>99</v>
      </c>
      <c r="U11846" s="8">
        <v>99</v>
      </c>
      <c r="Y11846" s="8" t="s">
        <v>45086</v>
      </c>
      <c r="Z11846" s="8" t="s">
        <v>45087</v>
      </c>
    </row>
    <row r="11847" spans="1:26" x14ac:dyDescent="0.2">
      <c r="A11847" s="8">
        <v>11846</v>
      </c>
      <c r="B11847" s="8" t="s">
        <v>49916</v>
      </c>
      <c r="C11847" s="8" t="s">
        <v>49916</v>
      </c>
      <c r="G11847" s="8">
        <v>20</v>
      </c>
      <c r="H11847" s="8" t="s">
        <v>21</v>
      </c>
      <c r="I11847" s="8" t="s">
        <v>72</v>
      </c>
      <c r="J11847" s="8" t="s">
        <v>72</v>
      </c>
      <c r="K11847" s="8" t="s">
        <v>20</v>
      </c>
      <c r="L11847" s="8" t="s">
        <v>18681</v>
      </c>
      <c r="M11847" s="8" t="s">
        <v>18682</v>
      </c>
      <c r="N11847" s="8" t="s">
        <v>49917</v>
      </c>
      <c r="O11847" s="8">
        <f>12+59/60+49/3600</f>
        <v>12.996944444444443</v>
      </c>
      <c r="P11847" s="8" t="s">
        <v>49918</v>
      </c>
      <c r="Q11847" s="8">
        <f>+(37+0/60+38/3600)</f>
        <v>37.010555555555555</v>
      </c>
      <c r="R11847" s="8">
        <v>99</v>
      </c>
      <c r="S11847" s="8">
        <v>99</v>
      </c>
      <c r="T11847" s="8">
        <v>99</v>
      </c>
      <c r="U11847" s="8">
        <v>99</v>
      </c>
      <c r="Y11847" s="8" t="s">
        <v>5139</v>
      </c>
      <c r="Z11847" s="8" t="s">
        <v>5140</v>
      </c>
    </row>
    <row r="11848" spans="1:26" x14ac:dyDescent="0.2">
      <c r="A11848" s="8">
        <v>11847</v>
      </c>
      <c r="B11848" s="8" t="s">
        <v>49919</v>
      </c>
      <c r="C11848" s="8" t="s">
        <v>49919</v>
      </c>
      <c r="E11848" s="8">
        <v>1</v>
      </c>
      <c r="G11848" s="8">
        <v>20</v>
      </c>
      <c r="H11848" s="8" t="s">
        <v>21</v>
      </c>
      <c r="I11848" s="8" t="s">
        <v>22</v>
      </c>
      <c r="J11848" s="8" t="s">
        <v>22</v>
      </c>
      <c r="K11848" s="8" t="s">
        <v>449</v>
      </c>
      <c r="L11848" s="8" t="s">
        <v>18289</v>
      </c>
      <c r="M11848" s="8" t="s">
        <v>18290</v>
      </c>
      <c r="N11848" s="8" t="s">
        <v>49920</v>
      </c>
      <c r="O11848" s="8">
        <f>13+0/60+7/3600</f>
        <v>13.001944444444444</v>
      </c>
      <c r="P11848" s="8" t="s">
        <v>49921</v>
      </c>
      <c r="Q11848" s="8">
        <f>+(19+57/60+53/3600)</f>
        <v>19.964722222222221</v>
      </c>
      <c r="R11848" s="8">
        <v>15.4</v>
      </c>
      <c r="S11848" s="8">
        <v>16.2</v>
      </c>
      <c r="T11848" s="8">
        <v>0.8</v>
      </c>
      <c r="U11848" s="8">
        <v>12.5</v>
      </c>
      <c r="V11848" s="8">
        <v>0.4</v>
      </c>
      <c r="W11848" s="8">
        <v>0.2</v>
      </c>
      <c r="X11848" s="8">
        <v>150</v>
      </c>
      <c r="Y11848" s="8" t="s">
        <v>115</v>
      </c>
      <c r="Z11848" s="8" t="s">
        <v>116</v>
      </c>
    </row>
    <row r="11849" spans="1:26" x14ac:dyDescent="0.2">
      <c r="A11849" s="8">
        <v>11848</v>
      </c>
      <c r="B11849" s="8" t="s">
        <v>49922</v>
      </c>
      <c r="C11849" s="8" t="s">
        <v>49922</v>
      </c>
      <c r="G11849" s="8">
        <v>20</v>
      </c>
      <c r="H11849" s="8" t="s">
        <v>21</v>
      </c>
      <c r="I11849" s="8" t="s">
        <v>72</v>
      </c>
      <c r="J11849" s="8" t="s">
        <v>72</v>
      </c>
      <c r="K11849" s="8" t="s">
        <v>73</v>
      </c>
      <c r="L11849" s="8" t="s">
        <v>18289</v>
      </c>
      <c r="M11849" s="8" t="s">
        <v>18290</v>
      </c>
      <c r="N11849" s="8" t="s">
        <v>49923</v>
      </c>
      <c r="O11849" s="8">
        <f>13+0/60+6/3600</f>
        <v>13.001666666666667</v>
      </c>
      <c r="P11849" s="8" t="s">
        <v>49924</v>
      </c>
      <c r="Q11849" s="8">
        <f>+(22+21/60+2/3600)</f>
        <v>22.350555555555555</v>
      </c>
      <c r="R11849" s="8">
        <v>99</v>
      </c>
      <c r="S11849" s="8">
        <v>99</v>
      </c>
      <c r="T11849" s="8">
        <v>99</v>
      </c>
      <c r="U11849" s="8">
        <v>99</v>
      </c>
      <c r="Y11849" s="8" t="s">
        <v>45086</v>
      </c>
      <c r="Z11849" s="8" t="s">
        <v>45087</v>
      </c>
    </row>
    <row r="11850" spans="1:26" x14ac:dyDescent="0.2">
      <c r="A11850" s="8">
        <v>11849</v>
      </c>
      <c r="B11850" s="8" t="s">
        <v>49925</v>
      </c>
      <c r="C11850" s="8" t="s">
        <v>49925</v>
      </c>
      <c r="G11850" s="8">
        <v>20</v>
      </c>
      <c r="H11850" s="8" t="s">
        <v>21</v>
      </c>
      <c r="I11850" s="8" t="s">
        <v>72</v>
      </c>
      <c r="J11850" s="8" t="s">
        <v>72</v>
      </c>
      <c r="K11850" s="8" t="s">
        <v>20</v>
      </c>
      <c r="L11850" s="8" t="s">
        <v>18681</v>
      </c>
      <c r="M11850" s="8" t="s">
        <v>18682</v>
      </c>
      <c r="N11850" s="8" t="s">
        <v>49926</v>
      </c>
      <c r="O11850" s="8">
        <f>12+59/60+52.5/3600</f>
        <v>12.997916666666665</v>
      </c>
      <c r="P11850" s="8" t="s">
        <v>49927</v>
      </c>
      <c r="Q11850" s="8">
        <f>+(36+39/60+42/3600)</f>
        <v>36.661666666666662</v>
      </c>
      <c r="R11850" s="8">
        <v>99</v>
      </c>
      <c r="S11850" s="8">
        <v>99</v>
      </c>
      <c r="T11850" s="8">
        <v>99</v>
      </c>
      <c r="U11850" s="8">
        <v>99</v>
      </c>
      <c r="Y11850" s="8" t="s">
        <v>115</v>
      </c>
      <c r="Z11850" s="8" t="s">
        <v>116</v>
      </c>
    </row>
    <row r="11851" spans="1:26" x14ac:dyDescent="0.2">
      <c r="A11851" s="8">
        <v>11850</v>
      </c>
      <c r="B11851" s="8" t="s">
        <v>49928</v>
      </c>
      <c r="C11851" s="8" t="s">
        <v>49928</v>
      </c>
      <c r="G11851" s="8">
        <v>20</v>
      </c>
      <c r="H11851" s="8" t="s">
        <v>21</v>
      </c>
      <c r="I11851" s="8" t="s">
        <v>22</v>
      </c>
      <c r="J11851" s="8" t="s">
        <v>22</v>
      </c>
      <c r="K11851" s="8" t="s">
        <v>449</v>
      </c>
      <c r="L11851" s="8" t="s">
        <v>18681</v>
      </c>
      <c r="M11851" s="8" t="s">
        <v>18682</v>
      </c>
      <c r="N11851" s="8" t="s">
        <v>49929</v>
      </c>
      <c r="O11851" s="8">
        <f>12+59/60+53.9/3600</f>
        <v>12.998305555555556</v>
      </c>
      <c r="P11851" s="8" t="s">
        <v>49930</v>
      </c>
      <c r="Q11851" s="8">
        <f>+(37+51/60+34/3600)</f>
        <v>37.859444444444449</v>
      </c>
      <c r="R11851" s="8">
        <v>15.7</v>
      </c>
      <c r="S11851" s="8">
        <v>16.5</v>
      </c>
      <c r="T11851" s="8">
        <v>0.8</v>
      </c>
      <c r="U11851" s="8">
        <v>12.8</v>
      </c>
      <c r="V11851" s="8">
        <v>0.4</v>
      </c>
      <c r="W11851" s="8">
        <v>0.2</v>
      </c>
      <c r="X11851" s="8">
        <v>70</v>
      </c>
      <c r="Y11851" s="8" t="s">
        <v>45514</v>
      </c>
      <c r="Z11851" s="8" t="s">
        <v>45515</v>
      </c>
    </row>
    <row r="11852" spans="1:26" x14ac:dyDescent="0.2">
      <c r="A11852" s="8">
        <v>11851</v>
      </c>
      <c r="B11852" s="8" t="s">
        <v>49931</v>
      </c>
      <c r="C11852" s="8" t="s">
        <v>49931</v>
      </c>
      <c r="G11852" s="8">
        <v>20</v>
      </c>
      <c r="H11852" s="8" t="s">
        <v>21</v>
      </c>
      <c r="I11852" s="8" t="s">
        <v>22</v>
      </c>
      <c r="J11852" s="8" t="s">
        <v>22</v>
      </c>
      <c r="K11852" s="8" t="s">
        <v>460</v>
      </c>
      <c r="L11852" s="8" t="s">
        <v>18289</v>
      </c>
      <c r="M11852" s="8" t="s">
        <v>18290</v>
      </c>
      <c r="N11852" s="8" t="s">
        <v>49932</v>
      </c>
      <c r="O11852" s="8">
        <f>13+0/60+6.6/3600</f>
        <v>13.001833333333334</v>
      </c>
      <c r="P11852" s="8" t="s">
        <v>49933</v>
      </c>
      <c r="Q11852" s="8">
        <f>+(28+0/60+11/3600)</f>
        <v>28.003055555555555</v>
      </c>
      <c r="R11852" s="8">
        <v>15.1</v>
      </c>
      <c r="S11852" s="8">
        <v>16.100000000000001</v>
      </c>
      <c r="T11852" s="8">
        <v>1</v>
      </c>
      <c r="U11852" s="8">
        <v>13.7</v>
      </c>
      <c r="V11852" s="8">
        <v>0.5</v>
      </c>
      <c r="W11852" s="8">
        <v>0.5</v>
      </c>
      <c r="Y11852" s="8" t="s">
        <v>21</v>
      </c>
      <c r="Z11852" s="8" t="s">
        <v>49934</v>
      </c>
    </row>
    <row r="11853" spans="1:26" x14ac:dyDescent="0.2">
      <c r="A11853" s="8">
        <v>11852</v>
      </c>
      <c r="B11853" s="8" t="s">
        <v>49935</v>
      </c>
      <c r="C11853" s="8" t="s">
        <v>49935</v>
      </c>
      <c r="G11853" s="8">
        <v>20</v>
      </c>
      <c r="H11853" s="8" t="s">
        <v>21</v>
      </c>
      <c r="I11853" s="8" t="s">
        <v>22</v>
      </c>
      <c r="J11853" s="8" t="s">
        <v>22</v>
      </c>
      <c r="K11853" s="8" t="s">
        <v>382</v>
      </c>
      <c r="L11853" s="8" t="s">
        <v>18289</v>
      </c>
      <c r="M11853" s="8" t="s">
        <v>18290</v>
      </c>
      <c r="N11853" s="8" t="s">
        <v>49936</v>
      </c>
      <c r="O11853" s="8">
        <f>13+0/60+8.1/3600</f>
        <v>13.00225</v>
      </c>
      <c r="P11853" s="8" t="s">
        <v>49937</v>
      </c>
      <c r="Q11853" s="8">
        <f>+(28+4/60+42/3600)</f>
        <v>28.078333333333333</v>
      </c>
      <c r="R11853" s="8">
        <v>14.9</v>
      </c>
      <c r="S11853" s="8">
        <v>16</v>
      </c>
      <c r="T11853" s="8">
        <v>1.1000000000000001</v>
      </c>
      <c r="U11853" s="8">
        <v>11.9</v>
      </c>
      <c r="V11853" s="8">
        <v>0.3</v>
      </c>
      <c r="W11853" s="8">
        <v>0.2</v>
      </c>
      <c r="X11853" s="8">
        <v>135</v>
      </c>
      <c r="Y11853" s="8" t="s">
        <v>21</v>
      </c>
      <c r="Z11853" s="8" t="s">
        <v>49938</v>
      </c>
    </row>
    <row r="11854" spans="1:26" x14ac:dyDescent="0.2">
      <c r="A11854" s="8">
        <v>11853</v>
      </c>
      <c r="B11854" s="8" t="s">
        <v>49939</v>
      </c>
      <c r="C11854" s="8" t="s">
        <v>49939</v>
      </c>
      <c r="G11854" s="8">
        <v>20</v>
      </c>
      <c r="H11854" s="8" t="s">
        <v>21</v>
      </c>
      <c r="I11854" s="8" t="s">
        <v>72</v>
      </c>
      <c r="J11854" s="8" t="s">
        <v>72</v>
      </c>
      <c r="K11854" s="8" t="s">
        <v>20</v>
      </c>
      <c r="L11854" s="8" t="s">
        <v>18681</v>
      </c>
      <c r="M11854" s="8" t="s">
        <v>18682</v>
      </c>
      <c r="N11854" s="8" t="s">
        <v>21982</v>
      </c>
      <c r="O11854" s="8">
        <f>12+59/60+57.9/3600</f>
        <v>12.999416666666665</v>
      </c>
      <c r="P11854" s="8" t="s">
        <v>49940</v>
      </c>
      <c r="Q11854" s="8">
        <f>+(37+11/60+54/3600)</f>
        <v>37.198333333333331</v>
      </c>
      <c r="R11854" s="8">
        <v>99</v>
      </c>
      <c r="S11854" s="8">
        <v>99</v>
      </c>
      <c r="T11854" s="8">
        <v>99</v>
      </c>
      <c r="U11854" s="8">
        <v>99</v>
      </c>
      <c r="Y11854" s="8" t="s">
        <v>45086</v>
      </c>
      <c r="Z11854" s="8" t="s">
        <v>45087</v>
      </c>
    </row>
    <row r="11855" spans="1:26" x14ac:dyDescent="0.2">
      <c r="A11855" s="8">
        <v>11854</v>
      </c>
      <c r="B11855" s="8" t="s">
        <v>49941</v>
      </c>
      <c r="C11855" s="8" t="s">
        <v>49941</v>
      </c>
      <c r="G11855" s="8">
        <v>20</v>
      </c>
      <c r="H11855" s="8" t="s">
        <v>21</v>
      </c>
      <c r="I11855" s="8" t="s">
        <v>22</v>
      </c>
      <c r="J11855" s="8" t="s">
        <v>22</v>
      </c>
      <c r="K11855" s="8" t="s">
        <v>460</v>
      </c>
      <c r="L11855" s="8" t="s">
        <v>18289</v>
      </c>
      <c r="M11855" s="8" t="s">
        <v>18290</v>
      </c>
      <c r="N11855" s="8" t="s">
        <v>49942</v>
      </c>
      <c r="O11855" s="8">
        <f>13+0/60+13.9/3600</f>
        <v>13.003861111111112</v>
      </c>
      <c r="P11855" s="8" t="s">
        <v>49943</v>
      </c>
      <c r="Q11855" s="8">
        <f>+(22+29/60+57/3600)</f>
        <v>22.499166666666667</v>
      </c>
      <c r="R11855" s="8">
        <v>15</v>
      </c>
      <c r="S11855" s="8">
        <v>16</v>
      </c>
      <c r="T11855" s="8">
        <v>1</v>
      </c>
      <c r="U11855" s="8">
        <v>11.6</v>
      </c>
      <c r="V11855" s="8">
        <v>0.2</v>
      </c>
      <c r="W11855" s="8">
        <v>0.2</v>
      </c>
      <c r="Y11855" s="8" t="s">
        <v>45086</v>
      </c>
      <c r="Z11855" s="8" t="s">
        <v>45087</v>
      </c>
    </row>
    <row r="11856" spans="1:26" x14ac:dyDescent="0.2">
      <c r="A11856" s="8">
        <v>11855</v>
      </c>
      <c r="B11856" s="8" t="s">
        <v>49944</v>
      </c>
      <c r="C11856" s="8" t="s">
        <v>49944</v>
      </c>
      <c r="G11856" s="8">
        <v>20</v>
      </c>
      <c r="H11856" s="8" t="s">
        <v>21</v>
      </c>
      <c r="I11856" s="8" t="s">
        <v>22</v>
      </c>
      <c r="J11856" s="8" t="s">
        <v>57</v>
      </c>
      <c r="K11856" s="8" t="s">
        <v>2572</v>
      </c>
      <c r="L11856" s="8" t="s">
        <v>18681</v>
      </c>
      <c r="M11856" s="8" t="s">
        <v>18682</v>
      </c>
      <c r="N11856" s="8" t="s">
        <v>22029</v>
      </c>
      <c r="O11856" s="8">
        <f>12+59/60+59.6/3600</f>
        <v>12.999888888888888</v>
      </c>
      <c r="P11856" s="8" t="s">
        <v>22030</v>
      </c>
      <c r="Q11856" s="8">
        <f>+(37+11/60+38/3600)</f>
        <v>37.193888888888885</v>
      </c>
      <c r="R11856" s="8">
        <v>14.3</v>
      </c>
      <c r="S11856" s="8">
        <v>15.2</v>
      </c>
      <c r="T11856" s="8">
        <v>0.9</v>
      </c>
      <c r="U11856" s="8">
        <v>12.6</v>
      </c>
      <c r="V11856" s="8">
        <v>0.4</v>
      </c>
      <c r="W11856" s="8">
        <v>0.3</v>
      </c>
      <c r="X11856" s="8">
        <v>0</v>
      </c>
      <c r="Y11856" s="8" t="s">
        <v>49945</v>
      </c>
      <c r="Z11856" s="8" t="s">
        <v>49946</v>
      </c>
    </row>
    <row r="11857" spans="1:26" x14ac:dyDescent="0.2">
      <c r="A11857" s="8">
        <v>11856</v>
      </c>
      <c r="B11857" s="8" t="s">
        <v>49947</v>
      </c>
      <c r="C11857" s="8" t="s">
        <v>49947</v>
      </c>
      <c r="G11857" s="8">
        <v>20</v>
      </c>
      <c r="H11857" s="8" t="s">
        <v>21</v>
      </c>
      <c r="I11857" s="8" t="s">
        <v>22</v>
      </c>
      <c r="J11857" s="8" t="s">
        <v>22</v>
      </c>
      <c r="K11857" s="8" t="s">
        <v>476</v>
      </c>
      <c r="L11857" s="8" t="s">
        <v>18681</v>
      </c>
      <c r="M11857" s="8" t="s">
        <v>18682</v>
      </c>
      <c r="N11857" s="8" t="s">
        <v>49948</v>
      </c>
      <c r="O11857" s="8">
        <f>12+59/60+59.9/3600</f>
        <v>12.999972222222221</v>
      </c>
      <c r="P11857" s="8" t="s">
        <v>49949</v>
      </c>
      <c r="Q11857" s="8">
        <f>+(37+11/60+14/3600)</f>
        <v>37.187222222222218</v>
      </c>
      <c r="R11857" s="8">
        <v>15</v>
      </c>
      <c r="S11857" s="8">
        <v>15.8</v>
      </c>
      <c r="T11857" s="8">
        <v>0.8</v>
      </c>
      <c r="U11857" s="8">
        <v>12.1</v>
      </c>
      <c r="V11857" s="8">
        <v>0.4</v>
      </c>
      <c r="W11857" s="8">
        <v>0.2</v>
      </c>
      <c r="X11857" s="8">
        <v>170</v>
      </c>
      <c r="Y11857" s="8" t="s">
        <v>49945</v>
      </c>
      <c r="Z11857" s="8" t="s">
        <v>49946</v>
      </c>
    </row>
    <row r="11858" spans="1:26" x14ac:dyDescent="0.2">
      <c r="A11858" s="8">
        <v>11857</v>
      </c>
      <c r="B11858" s="8" t="s">
        <v>49950</v>
      </c>
      <c r="C11858" s="8" t="s">
        <v>49950</v>
      </c>
      <c r="G11858" s="8">
        <v>20</v>
      </c>
      <c r="H11858" s="8" t="s">
        <v>21</v>
      </c>
      <c r="I11858" s="8" t="s">
        <v>22</v>
      </c>
      <c r="J11858" s="8" t="s">
        <v>22</v>
      </c>
      <c r="K11858" s="8" t="s">
        <v>449</v>
      </c>
      <c r="L11858" s="8" t="s">
        <v>18289</v>
      </c>
      <c r="M11858" s="8" t="s">
        <v>18290</v>
      </c>
      <c r="N11858" s="8" t="s">
        <v>49951</v>
      </c>
      <c r="O11858" s="8">
        <f>13+0/60+15.8/3600</f>
        <v>13.004388888888888</v>
      </c>
      <c r="P11858" s="8" t="s">
        <v>49952</v>
      </c>
      <c r="Q11858" s="8">
        <f>+(22+33/60+20/3600)</f>
        <v>22.555555555555557</v>
      </c>
      <c r="R11858" s="8">
        <v>15.4</v>
      </c>
      <c r="S11858" s="8">
        <v>16.2</v>
      </c>
      <c r="T11858" s="8">
        <v>0.8</v>
      </c>
      <c r="U11858" s="8">
        <v>11</v>
      </c>
      <c r="V11858" s="8">
        <v>0.2</v>
      </c>
      <c r="W11858" s="8">
        <v>0.1</v>
      </c>
      <c r="X11858" s="8">
        <v>100</v>
      </c>
      <c r="Y11858" s="8" t="s">
        <v>49953</v>
      </c>
      <c r="Z11858" s="8" t="s">
        <v>49954</v>
      </c>
    </row>
    <row r="11859" spans="1:26" x14ac:dyDescent="0.2">
      <c r="A11859" s="8">
        <v>11858</v>
      </c>
      <c r="B11859" s="8" t="s">
        <v>49955</v>
      </c>
      <c r="C11859" s="8" t="s">
        <v>49955</v>
      </c>
      <c r="G11859" s="8">
        <v>20</v>
      </c>
      <c r="H11859" s="8" t="s">
        <v>21</v>
      </c>
      <c r="I11859" s="8" t="s">
        <v>22</v>
      </c>
      <c r="J11859" s="8" t="s">
        <v>22</v>
      </c>
      <c r="K11859" s="8" t="s">
        <v>382</v>
      </c>
      <c r="L11859" s="8" t="s">
        <v>18681</v>
      </c>
      <c r="M11859" s="8" t="s">
        <v>18682</v>
      </c>
      <c r="N11859" s="8" t="s">
        <v>49956</v>
      </c>
      <c r="O11859" s="8">
        <f>12+59/60+57.4/3600</f>
        <v>12.999277777777777</v>
      </c>
      <c r="P11859" s="8" t="s">
        <v>27373</v>
      </c>
      <c r="Q11859" s="8">
        <f>+(40+29/60+20/3600)</f>
        <v>40.488888888888887</v>
      </c>
      <c r="R11859" s="8">
        <v>15.5</v>
      </c>
      <c r="S11859" s="8">
        <v>16.5</v>
      </c>
      <c r="T11859" s="8">
        <v>1</v>
      </c>
      <c r="U11859" s="8">
        <v>12.5</v>
      </c>
      <c r="V11859" s="8">
        <v>0.3</v>
      </c>
      <c r="W11859" s="8">
        <v>0.2</v>
      </c>
      <c r="X11859" s="8">
        <v>0</v>
      </c>
      <c r="Y11859" s="8" t="s">
        <v>45158</v>
      </c>
      <c r="Z11859" s="8" t="s">
        <v>45159</v>
      </c>
    </row>
    <row r="11860" spans="1:26" x14ac:dyDescent="0.2">
      <c r="A11860" s="8">
        <v>11859</v>
      </c>
      <c r="B11860" s="8" t="s">
        <v>49957</v>
      </c>
      <c r="C11860" s="8" t="s">
        <v>49957</v>
      </c>
      <c r="G11860" s="8">
        <v>20</v>
      </c>
      <c r="H11860" s="8" t="s">
        <v>21</v>
      </c>
      <c r="I11860" s="8" t="s">
        <v>72</v>
      </c>
      <c r="J11860" s="8" t="s">
        <v>72</v>
      </c>
      <c r="K11860" s="8" t="s">
        <v>73</v>
      </c>
      <c r="L11860" s="8" t="s">
        <v>18289</v>
      </c>
      <c r="M11860" s="8" t="s">
        <v>18290</v>
      </c>
      <c r="N11860" s="8" t="s">
        <v>49958</v>
      </c>
      <c r="O11860" s="8">
        <f>13+0/60+17.2/3600</f>
        <v>13.004777777777777</v>
      </c>
      <c r="P11860" s="8" t="s">
        <v>49959</v>
      </c>
      <c r="Q11860" s="8">
        <f>+(23+43/60+10/3600)</f>
        <v>23.719444444444441</v>
      </c>
      <c r="R11860" s="8">
        <v>99</v>
      </c>
      <c r="S11860" s="8">
        <v>99</v>
      </c>
      <c r="T11860" s="8">
        <v>99</v>
      </c>
      <c r="U11860" s="8">
        <v>99</v>
      </c>
      <c r="Y11860" s="8" t="s">
        <v>21</v>
      </c>
      <c r="Z11860" s="8" t="s">
        <v>49960</v>
      </c>
    </row>
    <row r="11861" spans="1:26" x14ac:dyDescent="0.2">
      <c r="A11861" s="8">
        <v>11860</v>
      </c>
      <c r="B11861" s="8" t="s">
        <v>49961</v>
      </c>
      <c r="C11861" s="8" t="s">
        <v>49961</v>
      </c>
      <c r="G11861" s="8">
        <v>20</v>
      </c>
      <c r="H11861" s="8" t="s">
        <v>21</v>
      </c>
      <c r="I11861" s="8" t="s">
        <v>22</v>
      </c>
      <c r="J11861" s="8" t="s">
        <v>22</v>
      </c>
      <c r="K11861" s="8" t="s">
        <v>449</v>
      </c>
      <c r="L11861" s="8" t="s">
        <v>18681</v>
      </c>
      <c r="M11861" s="8" t="s">
        <v>18682</v>
      </c>
      <c r="N11861" s="8" t="s">
        <v>49962</v>
      </c>
      <c r="O11861" s="8">
        <f>13+0/60+3.4/3600</f>
        <v>13.000944444444444</v>
      </c>
      <c r="P11861" s="8" t="s">
        <v>49963</v>
      </c>
      <c r="Q11861" s="8">
        <f>+(38+36/60+35/3600)</f>
        <v>38.609722222222224</v>
      </c>
      <c r="R11861" s="8">
        <v>15.2</v>
      </c>
      <c r="S11861" s="8">
        <v>16</v>
      </c>
      <c r="T11861" s="8">
        <v>0.8</v>
      </c>
      <c r="U11861" s="8">
        <v>12.3</v>
      </c>
      <c r="V11861" s="8">
        <v>0.8</v>
      </c>
      <c r="W11861" s="8">
        <v>0.1</v>
      </c>
      <c r="X11861" s="8">
        <v>85</v>
      </c>
      <c r="Y11861" s="8" t="s">
        <v>3014</v>
      </c>
      <c r="Z11861" s="8" t="s">
        <v>3015</v>
      </c>
    </row>
    <row r="11862" spans="1:26" x14ac:dyDescent="0.2">
      <c r="A11862" s="8">
        <v>11861</v>
      </c>
      <c r="B11862" s="8" t="s">
        <v>49964</v>
      </c>
      <c r="C11862" s="8" t="s">
        <v>49964</v>
      </c>
      <c r="G11862" s="8">
        <v>20</v>
      </c>
      <c r="H11862" s="8" t="s">
        <v>21</v>
      </c>
      <c r="I11862" s="8" t="s">
        <v>22</v>
      </c>
      <c r="J11862" s="8" t="s">
        <v>22</v>
      </c>
      <c r="K11862" s="8" t="s">
        <v>460</v>
      </c>
      <c r="L11862" s="8" t="s">
        <v>18289</v>
      </c>
      <c r="M11862" s="8" t="s">
        <v>18290</v>
      </c>
      <c r="N11862" s="8" t="s">
        <v>49965</v>
      </c>
      <c r="O11862" s="8">
        <f>13+0/60+14.9/3600</f>
        <v>13.004138888888889</v>
      </c>
      <c r="P11862" s="8" t="s">
        <v>49966</v>
      </c>
      <c r="Q11862" s="8">
        <f>+(28+2/60+26/3600)</f>
        <v>28.040555555555557</v>
      </c>
      <c r="R11862" s="8">
        <v>14.8</v>
      </c>
      <c r="S11862" s="8">
        <v>15.9</v>
      </c>
      <c r="T11862" s="8">
        <v>1.1000000000000001</v>
      </c>
      <c r="U11862" s="8">
        <v>12.9</v>
      </c>
      <c r="V11862" s="8">
        <v>0.4</v>
      </c>
      <c r="W11862" s="8">
        <v>0.4</v>
      </c>
      <c r="Y11862" s="8" t="s">
        <v>21</v>
      </c>
      <c r="Z11862" s="8" t="s">
        <v>49938</v>
      </c>
    </row>
    <row r="11863" spans="1:26" x14ac:dyDescent="0.2">
      <c r="A11863" s="8">
        <v>11862</v>
      </c>
      <c r="B11863" s="8" t="s">
        <v>49967</v>
      </c>
      <c r="C11863" s="8" t="s">
        <v>49967</v>
      </c>
      <c r="G11863" s="8">
        <v>20</v>
      </c>
      <c r="H11863" s="8" t="s">
        <v>21</v>
      </c>
      <c r="I11863" s="8" t="s">
        <v>72</v>
      </c>
      <c r="J11863" s="8" t="s">
        <v>72</v>
      </c>
      <c r="K11863" s="8" t="s">
        <v>20</v>
      </c>
      <c r="L11863" s="8" t="s">
        <v>18681</v>
      </c>
      <c r="M11863" s="8" t="s">
        <v>18682</v>
      </c>
      <c r="N11863" s="8" t="s">
        <v>49968</v>
      </c>
      <c r="O11863" s="8">
        <f>13+0/60+5.2/3600</f>
        <v>13.001444444444445</v>
      </c>
      <c r="P11863" s="8" t="s">
        <v>49969</v>
      </c>
      <c r="Q11863" s="8">
        <f>+(38+28/60+47/3600)</f>
        <v>38.479722222222222</v>
      </c>
      <c r="R11863" s="8">
        <v>99</v>
      </c>
      <c r="S11863" s="8">
        <v>99</v>
      </c>
      <c r="T11863" s="8">
        <v>99</v>
      </c>
      <c r="U11863" s="8">
        <v>99</v>
      </c>
      <c r="Y11863" s="8" t="s">
        <v>49001</v>
      </c>
      <c r="Z11863" s="8" t="s">
        <v>49002</v>
      </c>
    </row>
    <row r="11864" spans="1:26" x14ac:dyDescent="0.2">
      <c r="A11864" s="8">
        <v>11863</v>
      </c>
      <c r="B11864" s="8" t="s">
        <v>49970</v>
      </c>
      <c r="C11864" s="8" t="s">
        <v>49970</v>
      </c>
      <c r="G11864" s="8">
        <v>20</v>
      </c>
      <c r="H11864" s="8" t="s">
        <v>21</v>
      </c>
      <c r="I11864" s="8" t="s">
        <v>22</v>
      </c>
      <c r="J11864" s="8" t="s">
        <v>22</v>
      </c>
      <c r="K11864" s="8" t="s">
        <v>460</v>
      </c>
      <c r="L11864" s="8" t="s">
        <v>18289</v>
      </c>
      <c r="M11864" s="8" t="s">
        <v>18290</v>
      </c>
      <c r="N11864" s="8" t="s">
        <v>49971</v>
      </c>
      <c r="O11864" s="8">
        <f>13+0/60+26.5/3600</f>
        <v>13.007361111111111</v>
      </c>
      <c r="P11864" s="8" t="s">
        <v>49972</v>
      </c>
      <c r="Q11864" s="8">
        <f>+(19+5/60+48/3600)</f>
        <v>19.096666666666664</v>
      </c>
      <c r="R11864" s="8">
        <v>15</v>
      </c>
      <c r="S11864" s="8">
        <v>16</v>
      </c>
      <c r="T11864" s="8">
        <v>1</v>
      </c>
      <c r="U11864" s="8">
        <v>12.5</v>
      </c>
      <c r="V11864" s="8">
        <v>0.3</v>
      </c>
      <c r="W11864" s="8">
        <v>0.3</v>
      </c>
      <c r="Y11864" s="8" t="s">
        <v>49333</v>
      </c>
      <c r="Z11864" s="8" t="s">
        <v>49334</v>
      </c>
    </row>
    <row r="11865" spans="1:26" x14ac:dyDescent="0.2">
      <c r="A11865" s="8">
        <v>11864</v>
      </c>
      <c r="B11865" s="8" t="s">
        <v>49973</v>
      </c>
      <c r="C11865" s="8" t="s">
        <v>49973</v>
      </c>
      <c r="G11865" s="8">
        <v>20</v>
      </c>
      <c r="H11865" s="8" t="s">
        <v>21</v>
      </c>
      <c r="I11865" s="8" t="s">
        <v>72</v>
      </c>
      <c r="J11865" s="8" t="s">
        <v>72</v>
      </c>
      <c r="K11865" s="8" t="s">
        <v>20</v>
      </c>
      <c r="L11865" s="8" t="s">
        <v>18681</v>
      </c>
      <c r="M11865" s="8" t="s">
        <v>18682</v>
      </c>
      <c r="N11865" s="8" t="s">
        <v>49974</v>
      </c>
      <c r="O11865" s="8">
        <f>13+0/60+3.9/3600</f>
        <v>13.001083333333334</v>
      </c>
      <c r="P11865" s="8" t="s">
        <v>49975</v>
      </c>
      <c r="Q11865" s="8">
        <f>+(40+30/60+32/3600)</f>
        <v>40.50888888888889</v>
      </c>
      <c r="R11865" s="8">
        <v>99</v>
      </c>
      <c r="S11865" s="8">
        <v>99</v>
      </c>
      <c r="T11865" s="8">
        <v>99</v>
      </c>
      <c r="U11865" s="8">
        <v>99</v>
      </c>
      <c r="Y11865" s="8" t="s">
        <v>45086</v>
      </c>
      <c r="Z11865" s="8" t="s">
        <v>45087</v>
      </c>
    </row>
    <row r="11866" spans="1:26" x14ac:dyDescent="0.2">
      <c r="A11866" s="8">
        <v>11865</v>
      </c>
      <c r="B11866" s="8" t="s">
        <v>49976</v>
      </c>
      <c r="C11866" s="8" t="s">
        <v>49976</v>
      </c>
      <c r="G11866" s="8">
        <v>20</v>
      </c>
      <c r="H11866" s="8" t="s">
        <v>21</v>
      </c>
      <c r="I11866" s="8" t="s">
        <v>22</v>
      </c>
      <c r="J11866" s="8" t="s">
        <v>22</v>
      </c>
      <c r="K11866" s="8" t="s">
        <v>460</v>
      </c>
      <c r="L11866" s="8" t="s">
        <v>18289</v>
      </c>
      <c r="M11866" s="8" t="s">
        <v>18290</v>
      </c>
      <c r="N11866" s="8" t="s">
        <v>49971</v>
      </c>
      <c r="O11866" s="8">
        <f>13+0/60+26.5/3600</f>
        <v>13.007361111111111</v>
      </c>
      <c r="P11866" s="8" t="s">
        <v>49977</v>
      </c>
      <c r="Q11866" s="8">
        <f>+(19+5/60+50/3600)</f>
        <v>19.097222222222221</v>
      </c>
      <c r="R11866" s="8">
        <v>15.5</v>
      </c>
      <c r="S11866" s="8">
        <v>16.5</v>
      </c>
      <c r="T11866" s="8">
        <v>1</v>
      </c>
      <c r="U11866" s="8">
        <v>13</v>
      </c>
      <c r="V11866" s="8">
        <v>0.3</v>
      </c>
      <c r="W11866" s="8">
        <v>0.3</v>
      </c>
      <c r="Y11866" s="8" t="s">
        <v>45086</v>
      </c>
      <c r="Z11866" s="8" t="s">
        <v>45087</v>
      </c>
    </row>
    <row r="11867" spans="1:26" x14ac:dyDescent="0.2">
      <c r="A11867" s="8">
        <v>11866</v>
      </c>
      <c r="B11867" s="8" t="s">
        <v>49978</v>
      </c>
      <c r="C11867" s="8" t="s">
        <v>49978</v>
      </c>
      <c r="G11867" s="8">
        <v>20</v>
      </c>
      <c r="H11867" s="8" t="s">
        <v>21</v>
      </c>
      <c r="I11867" s="8" t="s">
        <v>22</v>
      </c>
      <c r="J11867" s="8" t="s">
        <v>22</v>
      </c>
      <c r="K11867" s="8" t="s">
        <v>224</v>
      </c>
      <c r="L11867" s="8" t="s">
        <v>18289</v>
      </c>
      <c r="M11867" s="8" t="s">
        <v>18290</v>
      </c>
      <c r="N11867" s="8" t="s">
        <v>49979</v>
      </c>
      <c r="O11867" s="8">
        <f>13+0/60+22.3/3600</f>
        <v>13.006194444444445</v>
      </c>
      <c r="P11867" s="8" t="s">
        <v>49980</v>
      </c>
      <c r="Q11867" s="8">
        <f>+(28+2/60+47/3600)</f>
        <v>28.046388888888892</v>
      </c>
      <c r="R11867" s="8">
        <v>14.6</v>
      </c>
      <c r="S11867" s="8">
        <v>15.6</v>
      </c>
      <c r="T11867" s="8">
        <v>1</v>
      </c>
      <c r="U11867" s="8">
        <v>11.8</v>
      </c>
      <c r="V11867" s="8">
        <v>0.3</v>
      </c>
      <c r="W11867" s="8">
        <v>0.3</v>
      </c>
      <c r="Y11867" s="8" t="s">
        <v>21</v>
      </c>
      <c r="Z11867" s="8" t="s">
        <v>49938</v>
      </c>
    </row>
    <row r="11868" spans="1:26" x14ac:dyDescent="0.2">
      <c r="A11868" s="8">
        <v>11867</v>
      </c>
      <c r="B11868" s="8" t="s">
        <v>49981</v>
      </c>
      <c r="C11868" s="8" t="s">
        <v>49981</v>
      </c>
      <c r="G11868" s="8">
        <v>20</v>
      </c>
      <c r="H11868" s="8" t="s">
        <v>21</v>
      </c>
      <c r="I11868" s="8" t="s">
        <v>22</v>
      </c>
      <c r="J11868" s="8" t="s">
        <v>22</v>
      </c>
      <c r="K11868" s="8" t="s">
        <v>224</v>
      </c>
      <c r="L11868" s="8" t="s">
        <v>18681</v>
      </c>
      <c r="M11868" s="8" t="s">
        <v>18682</v>
      </c>
      <c r="N11868" s="8" t="s">
        <v>49982</v>
      </c>
      <c r="O11868" s="8">
        <f>13+0/60+13.8/3600</f>
        <v>13.003833333333333</v>
      </c>
      <c r="P11868" s="8" t="s">
        <v>49983</v>
      </c>
      <c r="Q11868" s="8">
        <f>+(37+8/60+27/3600)</f>
        <v>37.140833333333333</v>
      </c>
      <c r="R11868" s="8">
        <v>15</v>
      </c>
      <c r="S11868" s="8">
        <v>16</v>
      </c>
      <c r="T11868" s="8">
        <v>1</v>
      </c>
      <c r="U11868" s="8">
        <v>11</v>
      </c>
      <c r="V11868" s="8">
        <v>0.3</v>
      </c>
      <c r="W11868" s="8">
        <v>0.1</v>
      </c>
      <c r="X11868" s="8">
        <v>135</v>
      </c>
      <c r="Y11868" s="8" t="s">
        <v>21</v>
      </c>
      <c r="Z11868" s="8" t="s">
        <v>49984</v>
      </c>
    </row>
    <row r="11869" spans="1:26" x14ac:dyDescent="0.2">
      <c r="A11869" s="8">
        <v>11868</v>
      </c>
      <c r="B11869" s="8" t="s">
        <v>49985</v>
      </c>
      <c r="C11869" s="8" t="s">
        <v>49985</v>
      </c>
      <c r="G11869" s="8">
        <v>20</v>
      </c>
      <c r="H11869" s="8" t="s">
        <v>21</v>
      </c>
      <c r="I11869" s="8" t="s">
        <v>22</v>
      </c>
      <c r="J11869" s="8" t="s">
        <v>22</v>
      </c>
      <c r="K11869" s="8" t="s">
        <v>64</v>
      </c>
      <c r="L11869" s="8" t="s">
        <v>18681</v>
      </c>
      <c r="M11869" s="8" t="s">
        <v>18682</v>
      </c>
      <c r="N11869" s="8" t="s">
        <v>49986</v>
      </c>
      <c r="O11869" s="8">
        <f>13+0/60+16.5/3600</f>
        <v>13.004583333333333</v>
      </c>
      <c r="P11869" s="8" t="s">
        <v>49987</v>
      </c>
      <c r="Q11869" s="8">
        <f>+(36+15/60+11/3600)</f>
        <v>36.253055555555555</v>
      </c>
      <c r="R11869" s="8">
        <v>14.4</v>
      </c>
      <c r="S11869" s="8">
        <v>15.1</v>
      </c>
      <c r="T11869" s="8">
        <v>0.7</v>
      </c>
      <c r="U11869" s="8">
        <v>13.3</v>
      </c>
      <c r="V11869" s="8">
        <v>0.7</v>
      </c>
      <c r="W11869" s="8">
        <v>0.6</v>
      </c>
      <c r="X11869" s="8">
        <v>144</v>
      </c>
      <c r="Y11869" s="8" t="s">
        <v>49088</v>
      </c>
      <c r="Z11869" s="8" t="s">
        <v>49089</v>
      </c>
    </row>
    <row r="11870" spans="1:26" x14ac:dyDescent="0.2">
      <c r="A11870" s="8">
        <v>11869</v>
      </c>
      <c r="B11870" s="8" t="s">
        <v>49988</v>
      </c>
      <c r="C11870" s="8" t="s">
        <v>49988</v>
      </c>
      <c r="G11870" s="8">
        <v>20</v>
      </c>
      <c r="H11870" s="8" t="s">
        <v>21</v>
      </c>
      <c r="I11870" s="8" t="s">
        <v>22</v>
      </c>
      <c r="J11870" s="8" t="s">
        <v>22</v>
      </c>
      <c r="K11870" s="8" t="s">
        <v>37</v>
      </c>
      <c r="L11870" s="8" t="s">
        <v>18681</v>
      </c>
      <c r="M11870" s="8" t="s">
        <v>18682</v>
      </c>
      <c r="N11870" s="8" t="s">
        <v>49989</v>
      </c>
      <c r="O11870" s="8">
        <f>13+0/60+14.2/3600</f>
        <v>13.003944444444445</v>
      </c>
      <c r="P11870" s="8" t="s">
        <v>49990</v>
      </c>
      <c r="Q11870" s="8">
        <f>+(38+45/60+35/3600)</f>
        <v>38.759722222222223</v>
      </c>
      <c r="R11870" s="8">
        <v>15</v>
      </c>
      <c r="S11870" s="8">
        <v>16</v>
      </c>
      <c r="T11870" s="8">
        <v>1</v>
      </c>
      <c r="U11870" s="8">
        <v>11.1</v>
      </c>
      <c r="V11870" s="8">
        <v>0.3</v>
      </c>
      <c r="W11870" s="8">
        <v>0.1</v>
      </c>
      <c r="X11870" s="8">
        <v>100</v>
      </c>
      <c r="Y11870" s="8" t="s">
        <v>45086</v>
      </c>
      <c r="Z11870" s="8" t="s">
        <v>45087</v>
      </c>
    </row>
    <row r="11871" spans="1:26" x14ac:dyDescent="0.2">
      <c r="A11871" s="8">
        <v>11870</v>
      </c>
      <c r="B11871" s="8" t="s">
        <v>49991</v>
      </c>
      <c r="C11871" s="8" t="s">
        <v>49991</v>
      </c>
      <c r="G11871" s="8">
        <v>20</v>
      </c>
      <c r="H11871" s="8" t="s">
        <v>21</v>
      </c>
      <c r="I11871" s="8" t="s">
        <v>22</v>
      </c>
      <c r="J11871" s="8" t="s">
        <v>22</v>
      </c>
      <c r="K11871" s="8" t="s">
        <v>37</v>
      </c>
      <c r="L11871" s="8" t="s">
        <v>18289</v>
      </c>
      <c r="M11871" s="8" t="s">
        <v>18290</v>
      </c>
      <c r="N11871" s="8" t="s">
        <v>49992</v>
      </c>
      <c r="O11871" s="8">
        <f>13+0/60+28/3600</f>
        <v>13.007777777777777</v>
      </c>
      <c r="P11871" s="8" t="s">
        <v>22048</v>
      </c>
      <c r="Q11871" s="8">
        <f>+(27+57/60+18/3600)</f>
        <v>27.954999999999998</v>
      </c>
      <c r="R11871" s="8">
        <v>15.4</v>
      </c>
      <c r="S11871" s="8">
        <v>16.399999999999999</v>
      </c>
      <c r="T11871" s="8">
        <v>1</v>
      </c>
      <c r="U11871" s="8">
        <v>13</v>
      </c>
      <c r="V11871" s="8">
        <v>0.4</v>
      </c>
      <c r="W11871" s="8">
        <v>0.3</v>
      </c>
      <c r="X11871" s="8">
        <v>10</v>
      </c>
      <c r="Y11871" s="8" t="s">
        <v>49993</v>
      </c>
      <c r="Z11871" s="8" t="s">
        <v>49994</v>
      </c>
    </row>
    <row r="11872" spans="1:26" x14ac:dyDescent="0.2">
      <c r="A11872" s="8">
        <v>11871</v>
      </c>
      <c r="B11872" s="8" t="s">
        <v>49995</v>
      </c>
      <c r="C11872" s="8" t="s">
        <v>49995</v>
      </c>
      <c r="G11872" s="8">
        <v>20</v>
      </c>
      <c r="H11872" s="8" t="s">
        <v>21</v>
      </c>
      <c r="I11872" s="8" t="s">
        <v>22</v>
      </c>
      <c r="J11872" s="8" t="s">
        <v>22</v>
      </c>
      <c r="K11872" s="8" t="s">
        <v>460</v>
      </c>
      <c r="L11872" s="8" t="s">
        <v>18681</v>
      </c>
      <c r="M11872" s="8" t="s">
        <v>18682</v>
      </c>
      <c r="N11872" s="8" t="s">
        <v>49996</v>
      </c>
      <c r="O11872" s="8">
        <f>13+0/60+15.5/3600</f>
        <v>13.004305555555556</v>
      </c>
      <c r="P11872" s="8" t="s">
        <v>49997</v>
      </c>
      <c r="Q11872" s="8">
        <f>+(39+8/60+42/3600)</f>
        <v>39.144999999999996</v>
      </c>
      <c r="R11872" s="8">
        <v>15.5</v>
      </c>
      <c r="S11872" s="8">
        <v>16.5</v>
      </c>
      <c r="T11872" s="8">
        <v>1</v>
      </c>
      <c r="U11872" s="8">
        <v>12.1</v>
      </c>
      <c r="V11872" s="8">
        <v>0.2</v>
      </c>
      <c r="W11872" s="8">
        <v>0.2</v>
      </c>
      <c r="Y11872" s="8" t="s">
        <v>2248</v>
      </c>
      <c r="Z11872" s="8" t="s">
        <v>2249</v>
      </c>
    </row>
    <row r="11873" spans="1:26" x14ac:dyDescent="0.2">
      <c r="A11873" s="8">
        <v>11872</v>
      </c>
      <c r="B11873" s="8" t="s">
        <v>49998</v>
      </c>
      <c r="C11873" s="8" t="s">
        <v>49998</v>
      </c>
      <c r="G11873" s="8">
        <v>20</v>
      </c>
      <c r="H11873" s="8" t="s">
        <v>21</v>
      </c>
      <c r="I11873" s="8" t="s">
        <v>22</v>
      </c>
      <c r="J11873" s="8" t="s">
        <v>22</v>
      </c>
      <c r="K11873" s="8" t="s">
        <v>37</v>
      </c>
      <c r="L11873" s="8" t="s">
        <v>18289</v>
      </c>
      <c r="M11873" s="8" t="s">
        <v>18290</v>
      </c>
      <c r="N11873" s="8" t="s">
        <v>49999</v>
      </c>
      <c r="O11873" s="8">
        <f>13+0/60+25.8/3600</f>
        <v>13.007166666666667</v>
      </c>
      <c r="P11873" s="8" t="s">
        <v>50000</v>
      </c>
      <c r="Q11873" s="8">
        <f>+(28+52/60+4/3600)</f>
        <v>28.867777777777778</v>
      </c>
      <c r="R11873" s="8">
        <v>14.5</v>
      </c>
      <c r="S11873" s="8">
        <v>15.5</v>
      </c>
      <c r="T11873" s="8">
        <v>1</v>
      </c>
      <c r="U11873" s="8">
        <v>12.1</v>
      </c>
      <c r="V11873" s="8">
        <v>0.4</v>
      </c>
      <c r="W11873" s="8">
        <v>0.3</v>
      </c>
      <c r="X11873" s="8">
        <v>160</v>
      </c>
      <c r="Y11873" s="8" t="s">
        <v>6420</v>
      </c>
      <c r="Z11873" s="8" t="s">
        <v>6421</v>
      </c>
    </row>
    <row r="11874" spans="1:26" x14ac:dyDescent="0.2">
      <c r="A11874" s="8">
        <v>11873</v>
      </c>
      <c r="B11874" s="8" t="s">
        <v>50001</v>
      </c>
      <c r="C11874" s="8" t="s">
        <v>50001</v>
      </c>
      <c r="G11874" s="8">
        <v>20</v>
      </c>
      <c r="H11874" s="8" t="s">
        <v>21</v>
      </c>
      <c r="I11874" s="8" t="s">
        <v>22</v>
      </c>
      <c r="J11874" s="8" t="s">
        <v>22</v>
      </c>
      <c r="K11874" s="8" t="s">
        <v>37</v>
      </c>
      <c r="L11874" s="8" t="s">
        <v>18289</v>
      </c>
      <c r="M11874" s="8" t="s">
        <v>18290</v>
      </c>
      <c r="N11874" s="8" t="s">
        <v>50002</v>
      </c>
      <c r="O11874" s="8">
        <f>13+0/60+28.6/3600</f>
        <v>13.007944444444444</v>
      </c>
      <c r="P11874" s="8" t="s">
        <v>50003</v>
      </c>
      <c r="Q11874" s="8">
        <f>+(27+58/60+20/3600)</f>
        <v>27.972222222222221</v>
      </c>
      <c r="R11874" s="8">
        <v>15</v>
      </c>
      <c r="S11874" s="8">
        <v>16</v>
      </c>
      <c r="T11874" s="8">
        <v>1</v>
      </c>
      <c r="U11874" s="8">
        <v>13.2</v>
      </c>
      <c r="V11874" s="8">
        <v>0.7</v>
      </c>
      <c r="W11874" s="8">
        <v>0.3</v>
      </c>
      <c r="X11874" s="8">
        <v>95</v>
      </c>
      <c r="Y11874" s="8" t="s">
        <v>4170</v>
      </c>
      <c r="Z11874" s="8" t="s">
        <v>4171</v>
      </c>
    </row>
    <row r="11875" spans="1:26" x14ac:dyDescent="0.2">
      <c r="A11875" s="8">
        <v>11874</v>
      </c>
      <c r="B11875" s="8" t="s">
        <v>50004</v>
      </c>
      <c r="C11875" s="8" t="s">
        <v>50004</v>
      </c>
      <c r="G11875" s="8">
        <v>20</v>
      </c>
      <c r="H11875" s="8" t="s">
        <v>21</v>
      </c>
      <c r="I11875" s="8" t="s">
        <v>22</v>
      </c>
      <c r="J11875" s="8" t="s">
        <v>22</v>
      </c>
      <c r="K11875" s="8" t="s">
        <v>460</v>
      </c>
      <c r="L11875" s="8" t="s">
        <v>18681</v>
      </c>
      <c r="M11875" s="8" t="s">
        <v>18682</v>
      </c>
      <c r="N11875" s="8" t="s">
        <v>50005</v>
      </c>
      <c r="O11875" s="8">
        <f>13+0/60+19.8/3600</f>
        <v>13.0055</v>
      </c>
      <c r="P11875" s="8" t="s">
        <v>50006</v>
      </c>
      <c r="Q11875" s="8">
        <f>+(37+2/60+45/3600)</f>
        <v>37.045833333333334</v>
      </c>
      <c r="R11875" s="8">
        <v>15</v>
      </c>
      <c r="S11875" s="8">
        <v>16</v>
      </c>
      <c r="T11875" s="8">
        <v>1</v>
      </c>
      <c r="U11875" s="8">
        <v>11.6</v>
      </c>
      <c r="V11875" s="8">
        <v>0.2</v>
      </c>
      <c r="W11875" s="8">
        <v>0.2</v>
      </c>
      <c r="Y11875" s="8" t="s">
        <v>46965</v>
      </c>
      <c r="Z11875" s="8" t="s">
        <v>46966</v>
      </c>
    </row>
    <row r="11876" spans="1:26" x14ac:dyDescent="0.2">
      <c r="A11876" s="8">
        <v>11875</v>
      </c>
      <c r="B11876" s="8" t="s">
        <v>50007</v>
      </c>
      <c r="C11876" s="8" t="s">
        <v>50007</v>
      </c>
      <c r="G11876" s="8">
        <v>20</v>
      </c>
      <c r="H11876" s="8" t="s">
        <v>21</v>
      </c>
      <c r="I11876" s="8" t="s">
        <v>22</v>
      </c>
      <c r="J11876" s="8" t="s">
        <v>22</v>
      </c>
      <c r="K11876" s="8" t="s">
        <v>449</v>
      </c>
      <c r="L11876" s="8" t="s">
        <v>18681</v>
      </c>
      <c r="M11876" s="8" t="s">
        <v>18682</v>
      </c>
      <c r="N11876" s="8" t="s">
        <v>22034</v>
      </c>
      <c r="O11876" s="8">
        <f>13+0/60+16.7/3600</f>
        <v>13.00463888888889</v>
      </c>
      <c r="P11876" s="8" t="s">
        <v>50008</v>
      </c>
      <c r="Q11876" s="8">
        <f>+(40+17/60+58/3600)</f>
        <v>40.29944444444444</v>
      </c>
      <c r="R11876" s="8">
        <v>15.4</v>
      </c>
      <c r="S11876" s="8">
        <v>16.2</v>
      </c>
      <c r="T11876" s="8">
        <v>0.8</v>
      </c>
      <c r="U11876" s="8">
        <v>12.5</v>
      </c>
      <c r="V11876" s="8">
        <v>0.4</v>
      </c>
      <c r="W11876" s="8">
        <v>0.2</v>
      </c>
      <c r="X11876" s="8">
        <v>40</v>
      </c>
      <c r="Y11876" s="8" t="s">
        <v>21</v>
      </c>
      <c r="Z11876" s="8" t="s">
        <v>50009</v>
      </c>
    </row>
    <row r="11877" spans="1:26" x14ac:dyDescent="0.2">
      <c r="A11877" s="8">
        <v>11876</v>
      </c>
      <c r="B11877" s="8" t="s">
        <v>50010</v>
      </c>
      <c r="C11877" s="8" t="s">
        <v>50010</v>
      </c>
      <c r="G11877" s="8">
        <v>20</v>
      </c>
      <c r="H11877" s="8" t="s">
        <v>21</v>
      </c>
      <c r="I11877" s="8" t="s">
        <v>72</v>
      </c>
      <c r="J11877" s="8" t="s">
        <v>72</v>
      </c>
      <c r="K11877" s="8" t="s">
        <v>20</v>
      </c>
      <c r="L11877" s="8" t="s">
        <v>18681</v>
      </c>
      <c r="M11877" s="8" t="s">
        <v>18682</v>
      </c>
      <c r="N11877" s="8" t="s">
        <v>50011</v>
      </c>
      <c r="O11877" s="8">
        <f>13+0/60+20.6/3600</f>
        <v>13.005722222222222</v>
      </c>
      <c r="P11877" s="8" t="s">
        <v>50012</v>
      </c>
      <c r="Q11877" s="8">
        <f>+(36+54/60+34/3600)</f>
        <v>36.909444444444446</v>
      </c>
      <c r="R11877" s="8">
        <v>99</v>
      </c>
      <c r="S11877" s="8">
        <v>99</v>
      </c>
      <c r="T11877" s="8">
        <v>99</v>
      </c>
      <c r="U11877" s="8">
        <v>99</v>
      </c>
      <c r="Y11877" s="8" t="s">
        <v>45086</v>
      </c>
      <c r="Z11877" s="8" t="s">
        <v>45087</v>
      </c>
    </row>
    <row r="11878" spans="1:26" x14ac:dyDescent="0.2">
      <c r="A11878" s="8">
        <v>11877</v>
      </c>
      <c r="B11878" s="8" t="s">
        <v>50013</v>
      </c>
      <c r="C11878" s="8" t="s">
        <v>50013</v>
      </c>
      <c r="G11878" s="8">
        <v>20</v>
      </c>
      <c r="H11878" s="8" t="s">
        <v>21</v>
      </c>
      <c r="I11878" s="8" t="s">
        <v>22</v>
      </c>
      <c r="J11878" s="8" t="s">
        <v>22</v>
      </c>
      <c r="K11878" s="8" t="s">
        <v>424</v>
      </c>
      <c r="L11878" s="8" t="s">
        <v>18681</v>
      </c>
      <c r="M11878" s="8" t="s">
        <v>18682</v>
      </c>
      <c r="N11878" s="8" t="s">
        <v>50014</v>
      </c>
      <c r="O11878" s="8">
        <f>13+0/60+19.5/3600</f>
        <v>13.005416666666667</v>
      </c>
      <c r="P11878" s="8" t="s">
        <v>50015</v>
      </c>
      <c r="Q11878" s="8">
        <f>+(39+0/60+8/3600)</f>
        <v>39.002222222222223</v>
      </c>
      <c r="R11878" s="8">
        <v>15.5</v>
      </c>
      <c r="S11878" s="8">
        <v>16.5</v>
      </c>
      <c r="T11878" s="8">
        <v>1</v>
      </c>
      <c r="U11878" s="8">
        <v>12.3</v>
      </c>
      <c r="V11878" s="8">
        <v>0.3</v>
      </c>
      <c r="W11878" s="8">
        <v>0.2</v>
      </c>
      <c r="X11878" s="8">
        <v>100</v>
      </c>
      <c r="Y11878" s="8" t="s">
        <v>45514</v>
      </c>
      <c r="Z11878" s="8" t="s">
        <v>45515</v>
      </c>
    </row>
    <row r="11879" spans="1:26" x14ac:dyDescent="0.2">
      <c r="A11879" s="8">
        <v>11878</v>
      </c>
      <c r="B11879" s="8" t="s">
        <v>50016</v>
      </c>
      <c r="C11879" s="8" t="s">
        <v>50016</v>
      </c>
      <c r="G11879" s="8">
        <v>20</v>
      </c>
      <c r="H11879" s="8" t="s">
        <v>21</v>
      </c>
      <c r="I11879" s="8" t="s">
        <v>22</v>
      </c>
      <c r="J11879" s="8" t="s">
        <v>22</v>
      </c>
      <c r="K11879" s="8" t="s">
        <v>37</v>
      </c>
      <c r="L11879" s="8" t="s">
        <v>18681</v>
      </c>
      <c r="M11879" s="8" t="s">
        <v>18682</v>
      </c>
      <c r="N11879" s="8" t="s">
        <v>50017</v>
      </c>
      <c r="O11879" s="8">
        <f>13+0/60+21.7/3600</f>
        <v>13.006027777777778</v>
      </c>
      <c r="P11879" s="8" t="s">
        <v>50018</v>
      </c>
      <c r="Q11879" s="8">
        <f>+(37+2/60+23/3600)</f>
        <v>37.039722222222217</v>
      </c>
      <c r="R11879" s="8">
        <v>15.3</v>
      </c>
      <c r="S11879" s="8">
        <v>16.3</v>
      </c>
      <c r="T11879" s="8">
        <v>1</v>
      </c>
      <c r="U11879" s="8">
        <v>12.1</v>
      </c>
      <c r="V11879" s="8">
        <v>0.3</v>
      </c>
      <c r="W11879" s="8">
        <v>0.2</v>
      </c>
      <c r="X11879" s="8">
        <v>170</v>
      </c>
      <c r="Y11879" s="8" t="s">
        <v>45514</v>
      </c>
      <c r="Z11879" s="8" t="s">
        <v>45515</v>
      </c>
    </row>
    <row r="11880" spans="1:26" x14ac:dyDescent="0.2">
      <c r="A11880" s="8">
        <v>11879</v>
      </c>
      <c r="B11880" s="8" t="s">
        <v>50019</v>
      </c>
      <c r="C11880" s="8" t="s">
        <v>50019</v>
      </c>
      <c r="G11880" s="8">
        <v>20</v>
      </c>
      <c r="H11880" s="8" t="s">
        <v>21</v>
      </c>
      <c r="I11880" s="8" t="s">
        <v>22</v>
      </c>
      <c r="J11880" s="8" t="s">
        <v>22</v>
      </c>
      <c r="K11880" s="8" t="s">
        <v>424</v>
      </c>
      <c r="L11880" s="8" t="s">
        <v>18289</v>
      </c>
      <c r="M11880" s="8" t="s">
        <v>18290</v>
      </c>
      <c r="N11880" s="8" t="s">
        <v>22004</v>
      </c>
      <c r="O11880" s="8">
        <f>13+0/60+39.3/3600</f>
        <v>13.010916666666667</v>
      </c>
      <c r="P11880" s="8" t="s">
        <v>50020</v>
      </c>
      <c r="Q11880" s="8">
        <f>+(21+41/60+32/3600)</f>
        <v>21.692222222222224</v>
      </c>
      <c r="R11880" s="8">
        <v>15.3</v>
      </c>
      <c r="S11880" s="8">
        <v>16.3</v>
      </c>
      <c r="T11880" s="8">
        <v>1</v>
      </c>
      <c r="U11880" s="8">
        <v>11.7</v>
      </c>
      <c r="V11880" s="8">
        <v>0.2</v>
      </c>
      <c r="W11880" s="8">
        <v>0.2</v>
      </c>
      <c r="Y11880" s="8" t="s">
        <v>50021</v>
      </c>
      <c r="Z11880" s="8" t="s">
        <v>50022</v>
      </c>
    </row>
    <row r="11881" spans="1:26" x14ac:dyDescent="0.2">
      <c r="A11881" s="8">
        <v>11880</v>
      </c>
      <c r="B11881" s="8" t="s">
        <v>50023</v>
      </c>
      <c r="C11881" s="8" t="s">
        <v>50023</v>
      </c>
      <c r="G11881" s="8">
        <v>20</v>
      </c>
      <c r="H11881" s="8" t="s">
        <v>21</v>
      </c>
      <c r="I11881" s="8" t="s">
        <v>22</v>
      </c>
      <c r="J11881" s="8" t="s">
        <v>22</v>
      </c>
      <c r="K11881" s="8" t="s">
        <v>1277</v>
      </c>
      <c r="L11881" s="8" t="s">
        <v>18289</v>
      </c>
      <c r="M11881" s="8" t="s">
        <v>18290</v>
      </c>
      <c r="N11881" s="8" t="s">
        <v>50024</v>
      </c>
      <c r="O11881" s="8">
        <f>13+0/60+38.1/3600</f>
        <v>13.010583333333333</v>
      </c>
      <c r="P11881" s="8" t="s">
        <v>50025</v>
      </c>
      <c r="Q11881" s="8">
        <f>+(28+3/60+24/3600)</f>
        <v>28.056666666666668</v>
      </c>
      <c r="R11881" s="8">
        <v>14.8</v>
      </c>
      <c r="S11881" s="8">
        <v>15.4</v>
      </c>
      <c r="T11881" s="8">
        <v>0.6</v>
      </c>
      <c r="U11881" s="8">
        <v>13.2</v>
      </c>
      <c r="V11881" s="8">
        <v>1</v>
      </c>
      <c r="W11881" s="8">
        <v>0.3</v>
      </c>
      <c r="X11881" s="8">
        <v>153</v>
      </c>
      <c r="Y11881" s="8" t="s">
        <v>750</v>
      </c>
      <c r="Z11881" s="8" t="s">
        <v>751</v>
      </c>
    </row>
    <row r="11882" spans="1:26" x14ac:dyDescent="0.2">
      <c r="A11882" s="8">
        <v>11881</v>
      </c>
      <c r="B11882" s="8" t="s">
        <v>50026</v>
      </c>
      <c r="C11882" s="8" t="s">
        <v>50026</v>
      </c>
      <c r="G11882" s="8">
        <v>20</v>
      </c>
      <c r="H11882" s="8" t="s">
        <v>21</v>
      </c>
      <c r="I11882" s="8" t="s">
        <v>22</v>
      </c>
      <c r="J11882" s="8" t="s">
        <v>22</v>
      </c>
      <c r="K11882" s="8" t="s">
        <v>1068</v>
      </c>
      <c r="L11882" s="8" t="s">
        <v>18289</v>
      </c>
      <c r="M11882" s="8" t="s">
        <v>18290</v>
      </c>
      <c r="N11882" s="8" t="s">
        <v>50027</v>
      </c>
      <c r="O11882" s="8">
        <f>13+0/60+40.8/3600</f>
        <v>13.011333333333333</v>
      </c>
      <c r="P11882" s="8" t="s">
        <v>50028</v>
      </c>
      <c r="Q11882" s="8">
        <f>+(27+59/60+49/3600)</f>
        <v>27.996944444444445</v>
      </c>
      <c r="R11882" s="8">
        <v>14.4</v>
      </c>
      <c r="S11882" s="8">
        <v>15.3</v>
      </c>
      <c r="T11882" s="8">
        <v>0.9</v>
      </c>
      <c r="U11882" s="8">
        <v>13.4</v>
      </c>
      <c r="V11882" s="8">
        <v>0.4</v>
      </c>
      <c r="W11882" s="8">
        <v>0.2</v>
      </c>
      <c r="X11882" s="8">
        <v>30</v>
      </c>
      <c r="Y11882" s="8" t="s">
        <v>4007</v>
      </c>
      <c r="Z11882" s="8" t="s">
        <v>4008</v>
      </c>
    </row>
    <row r="11883" spans="1:26" x14ac:dyDescent="0.2">
      <c r="A11883" s="8">
        <v>11882</v>
      </c>
      <c r="B11883" s="8" t="s">
        <v>50029</v>
      </c>
      <c r="C11883" s="8" t="s">
        <v>50029</v>
      </c>
      <c r="G11883" s="8">
        <v>20</v>
      </c>
      <c r="H11883" s="8" t="s">
        <v>21</v>
      </c>
      <c r="I11883" s="8" t="s">
        <v>22</v>
      </c>
      <c r="J11883" s="8" t="s">
        <v>22</v>
      </c>
      <c r="K11883" s="8" t="s">
        <v>224</v>
      </c>
      <c r="L11883" s="8" t="s">
        <v>18289</v>
      </c>
      <c r="M11883" s="8" t="s">
        <v>18290</v>
      </c>
      <c r="N11883" s="8" t="s">
        <v>50030</v>
      </c>
      <c r="O11883" s="8">
        <f>13+0/60+42.7/3600</f>
        <v>13.011861111111111</v>
      </c>
      <c r="P11883" s="8" t="s">
        <v>50031</v>
      </c>
      <c r="Q11883" s="8">
        <f>+(27+58/60+18/3600)</f>
        <v>27.971666666666664</v>
      </c>
      <c r="R11883" s="8">
        <v>14.3</v>
      </c>
      <c r="S11883" s="8">
        <v>15.3</v>
      </c>
      <c r="T11883" s="8">
        <v>1</v>
      </c>
      <c r="U11883" s="8">
        <v>12.6</v>
      </c>
      <c r="V11883" s="8">
        <v>0.5</v>
      </c>
      <c r="W11883" s="8">
        <v>0.5</v>
      </c>
      <c r="Y11883" s="8" t="s">
        <v>4430</v>
      </c>
      <c r="Z11883" s="8" t="s">
        <v>4431</v>
      </c>
    </row>
    <row r="11884" spans="1:26" x14ac:dyDescent="0.2">
      <c r="A11884" s="8">
        <v>11883</v>
      </c>
      <c r="B11884" s="8" t="s">
        <v>50032</v>
      </c>
      <c r="C11884" s="8" t="s">
        <v>50032</v>
      </c>
      <c r="G11884" s="8">
        <v>20</v>
      </c>
      <c r="H11884" s="8" t="s">
        <v>21</v>
      </c>
      <c r="I11884" s="8" t="s">
        <v>22</v>
      </c>
      <c r="J11884" s="8" t="s">
        <v>22</v>
      </c>
      <c r="K11884" s="8" t="s">
        <v>3523</v>
      </c>
      <c r="L11884" s="8" t="s">
        <v>18681</v>
      </c>
      <c r="M11884" s="8" t="s">
        <v>18682</v>
      </c>
      <c r="N11884" s="8" t="s">
        <v>50033</v>
      </c>
      <c r="O11884" s="8">
        <f>13+0/60+34.9/3600</f>
        <v>13.009694444444444</v>
      </c>
      <c r="P11884" s="8" t="s">
        <v>50034</v>
      </c>
      <c r="Q11884" s="8">
        <f>+(37+4/60+15/3600)</f>
        <v>37.07083333333334</v>
      </c>
      <c r="R11884" s="8">
        <v>15.9</v>
      </c>
      <c r="S11884" s="8">
        <v>16.5</v>
      </c>
      <c r="T11884" s="8">
        <v>0.6</v>
      </c>
      <c r="U11884" s="8">
        <v>14.3</v>
      </c>
      <c r="V11884" s="8">
        <v>0.9</v>
      </c>
      <c r="W11884" s="8">
        <v>0.3</v>
      </c>
      <c r="X11884" s="8">
        <v>160</v>
      </c>
      <c r="Y11884" s="8" t="s">
        <v>5139</v>
      </c>
      <c r="Z11884" s="8" t="s">
        <v>5140</v>
      </c>
    </row>
    <row r="11885" spans="1:26" x14ac:dyDescent="0.2">
      <c r="A11885" s="8">
        <v>11884</v>
      </c>
      <c r="B11885" s="8" t="s">
        <v>50035</v>
      </c>
      <c r="C11885" s="8" t="s">
        <v>50035</v>
      </c>
      <c r="G11885" s="8">
        <v>20</v>
      </c>
      <c r="H11885" s="8" t="s">
        <v>21</v>
      </c>
      <c r="I11885" s="8" t="s">
        <v>22</v>
      </c>
      <c r="J11885" s="8" t="s">
        <v>22</v>
      </c>
      <c r="K11885" s="8" t="s">
        <v>632</v>
      </c>
      <c r="L11885" s="8" t="s">
        <v>18289</v>
      </c>
      <c r="M11885" s="8" t="s">
        <v>18290</v>
      </c>
      <c r="N11885" s="8" t="s">
        <v>50036</v>
      </c>
      <c r="O11885" s="8">
        <f>13+0/60+47.5/3600</f>
        <v>13.013194444444444</v>
      </c>
      <c r="P11885" s="8" t="s">
        <v>50037</v>
      </c>
      <c r="Q11885" s="8">
        <f>+(27+55/60+18/3600)</f>
        <v>27.921666666666667</v>
      </c>
      <c r="R11885" s="8">
        <v>15.4</v>
      </c>
      <c r="S11885" s="8">
        <v>16.3</v>
      </c>
      <c r="T11885" s="8">
        <v>0.9</v>
      </c>
      <c r="U11885" s="8">
        <v>12.2</v>
      </c>
      <c r="V11885" s="8">
        <v>0.3</v>
      </c>
      <c r="W11885" s="8">
        <v>0.2</v>
      </c>
      <c r="X11885" s="8">
        <v>45</v>
      </c>
      <c r="Y11885" s="8" t="s">
        <v>50038</v>
      </c>
      <c r="Z11885" s="8" t="s">
        <v>50039</v>
      </c>
    </row>
    <row r="11886" spans="1:26" x14ac:dyDescent="0.2">
      <c r="A11886" s="8">
        <v>11885</v>
      </c>
      <c r="B11886" s="8" t="s">
        <v>50040</v>
      </c>
      <c r="C11886" s="8" t="s">
        <v>50040</v>
      </c>
      <c r="G11886" s="8">
        <v>20</v>
      </c>
      <c r="H11886" s="8" t="s">
        <v>21</v>
      </c>
      <c r="I11886" s="8" t="s">
        <v>22</v>
      </c>
      <c r="J11886" s="8" t="s">
        <v>22</v>
      </c>
      <c r="K11886" s="8" t="s">
        <v>50</v>
      </c>
      <c r="L11886" s="8" t="s">
        <v>18289</v>
      </c>
      <c r="M11886" s="8" t="s">
        <v>18290</v>
      </c>
      <c r="N11886" s="8" t="s">
        <v>22085</v>
      </c>
      <c r="O11886" s="8">
        <f>13+0/60+48.8/3600</f>
        <v>13.013555555555556</v>
      </c>
      <c r="P11886" s="8" t="s">
        <v>50041</v>
      </c>
      <c r="Q11886" s="8">
        <f>+(28+5/60+25/3600)</f>
        <v>28.090277777777775</v>
      </c>
      <c r="R11886" s="8">
        <v>13.9</v>
      </c>
      <c r="S11886" s="8">
        <v>15</v>
      </c>
      <c r="T11886" s="8">
        <v>1.1000000000000001</v>
      </c>
      <c r="U11886" s="8">
        <v>12.9</v>
      </c>
      <c r="V11886" s="8">
        <v>0.8</v>
      </c>
      <c r="W11886" s="8">
        <v>0.5</v>
      </c>
      <c r="X11886" s="8">
        <v>115</v>
      </c>
      <c r="Y11886" s="8" t="s">
        <v>16549</v>
      </c>
      <c r="Z11886" s="8" t="s">
        <v>16550</v>
      </c>
    </row>
    <row r="11887" spans="1:26" x14ac:dyDescent="0.2">
      <c r="A11887" s="8">
        <v>11886</v>
      </c>
      <c r="B11887" s="8" t="s">
        <v>50042</v>
      </c>
      <c r="C11887" s="8" t="s">
        <v>50042</v>
      </c>
      <c r="G11887" s="8">
        <v>20</v>
      </c>
      <c r="H11887" s="8" t="s">
        <v>21</v>
      </c>
      <c r="I11887" s="8" t="s">
        <v>72</v>
      </c>
      <c r="J11887" s="8" t="s">
        <v>72</v>
      </c>
      <c r="K11887" s="8" t="s">
        <v>20</v>
      </c>
      <c r="L11887" s="8" t="s">
        <v>18681</v>
      </c>
      <c r="M11887" s="8" t="s">
        <v>18682</v>
      </c>
      <c r="N11887" s="8" t="s">
        <v>50043</v>
      </c>
      <c r="O11887" s="8">
        <f>13+0/60+39.7/3600</f>
        <v>13.011027777777779</v>
      </c>
      <c r="P11887" s="8" t="s">
        <v>50044</v>
      </c>
      <c r="Q11887" s="8">
        <f>+(36+41/60+7/3600)</f>
        <v>36.685277777777777</v>
      </c>
      <c r="R11887" s="8">
        <v>99</v>
      </c>
      <c r="S11887" s="8">
        <v>99</v>
      </c>
      <c r="T11887" s="8">
        <v>99</v>
      </c>
      <c r="U11887" s="8">
        <v>99</v>
      </c>
      <c r="Y11887" s="8" t="s">
        <v>3952</v>
      </c>
      <c r="Z11887" s="8" t="s">
        <v>3953</v>
      </c>
    </row>
    <row r="11888" spans="1:26" x14ac:dyDescent="0.2">
      <c r="A11888" s="8">
        <v>11887</v>
      </c>
      <c r="B11888" s="8" t="s">
        <v>50045</v>
      </c>
      <c r="C11888" s="8" t="s">
        <v>50045</v>
      </c>
      <c r="G11888" s="8">
        <v>20</v>
      </c>
      <c r="H11888" s="8" t="s">
        <v>21</v>
      </c>
      <c r="I11888" s="8" t="s">
        <v>22</v>
      </c>
      <c r="J11888" s="8" t="s">
        <v>22</v>
      </c>
      <c r="K11888" s="8" t="s">
        <v>23</v>
      </c>
      <c r="L11888" s="8" t="s">
        <v>18289</v>
      </c>
      <c r="M11888" s="8" t="s">
        <v>18290</v>
      </c>
      <c r="N11888" s="8" t="s">
        <v>50046</v>
      </c>
      <c r="O11888" s="8">
        <f>13+0/60+57.6/3600</f>
        <v>13.016</v>
      </c>
      <c r="P11888" s="8" t="s">
        <v>50047</v>
      </c>
      <c r="Q11888" s="8">
        <f>+(19+41/60+15/3600)</f>
        <v>19.6875</v>
      </c>
      <c r="R11888" s="8">
        <v>15.1</v>
      </c>
      <c r="S11888" s="8">
        <v>15.9</v>
      </c>
      <c r="T11888" s="8">
        <v>0.8</v>
      </c>
      <c r="U11888" s="8">
        <v>13</v>
      </c>
      <c r="V11888" s="8">
        <v>0.4</v>
      </c>
      <c r="W11888" s="8">
        <v>0.4</v>
      </c>
      <c r="Y11888" s="8" t="s">
        <v>45401</v>
      </c>
      <c r="Z11888" s="8" t="s">
        <v>45402</v>
      </c>
    </row>
    <row r="11889" spans="1:26" x14ac:dyDescent="0.2">
      <c r="A11889" s="8">
        <v>11888</v>
      </c>
      <c r="B11889" s="8" t="s">
        <v>50048</v>
      </c>
      <c r="C11889" s="8" t="s">
        <v>50048</v>
      </c>
      <c r="G11889" s="8">
        <v>20</v>
      </c>
      <c r="H11889" s="8" t="s">
        <v>21</v>
      </c>
      <c r="I11889" s="8" t="s">
        <v>22</v>
      </c>
      <c r="J11889" s="8" t="s">
        <v>22</v>
      </c>
      <c r="K11889" s="8" t="s">
        <v>449</v>
      </c>
      <c r="L11889" s="8" t="s">
        <v>18681</v>
      </c>
      <c r="M11889" s="8" t="s">
        <v>18682</v>
      </c>
      <c r="N11889" s="8" t="s">
        <v>50049</v>
      </c>
      <c r="O11889" s="8">
        <f>13+0/60+38.2/3600</f>
        <v>13.01061111111111</v>
      </c>
      <c r="P11889" s="8" t="s">
        <v>50050</v>
      </c>
      <c r="Q11889" s="8">
        <f>+(39+49/60+50/3600)</f>
        <v>39.830555555555556</v>
      </c>
      <c r="R11889" s="8">
        <v>15.2</v>
      </c>
      <c r="S11889" s="8">
        <v>16</v>
      </c>
      <c r="T11889" s="8">
        <v>0.8</v>
      </c>
      <c r="U11889" s="8">
        <v>12.3</v>
      </c>
      <c r="V11889" s="8">
        <v>0.4</v>
      </c>
      <c r="W11889" s="8">
        <v>0.2</v>
      </c>
      <c r="X11889" s="8">
        <v>0</v>
      </c>
      <c r="Y11889" s="8" t="s">
        <v>45086</v>
      </c>
      <c r="Z11889" s="8" t="s">
        <v>45087</v>
      </c>
    </row>
    <row r="11890" spans="1:26" x14ac:dyDescent="0.2">
      <c r="A11890" s="8">
        <v>11889</v>
      </c>
      <c r="B11890" s="8" t="s">
        <v>50051</v>
      </c>
      <c r="C11890" s="8" t="s">
        <v>50051</v>
      </c>
      <c r="G11890" s="8">
        <v>20</v>
      </c>
      <c r="H11890" s="8" t="s">
        <v>21</v>
      </c>
      <c r="I11890" s="8" t="s">
        <v>22</v>
      </c>
      <c r="J11890" s="8" t="s">
        <v>22</v>
      </c>
      <c r="K11890" s="8" t="s">
        <v>37</v>
      </c>
      <c r="L11890" s="8" t="s">
        <v>18681</v>
      </c>
      <c r="M11890" s="8" t="s">
        <v>18682</v>
      </c>
      <c r="N11890" s="8" t="s">
        <v>50052</v>
      </c>
      <c r="O11890" s="8">
        <f>13+0/60+42.6/3600</f>
        <v>13.011833333333334</v>
      </c>
      <c r="P11890" s="8" t="s">
        <v>50053</v>
      </c>
      <c r="Q11890" s="8">
        <f>+(36+20/60+45/3600)</f>
        <v>36.345833333333339</v>
      </c>
      <c r="R11890" s="8">
        <v>14.3</v>
      </c>
      <c r="S11890" s="8">
        <v>15.3</v>
      </c>
      <c r="T11890" s="8">
        <v>1</v>
      </c>
      <c r="U11890" s="8">
        <v>13.7</v>
      </c>
      <c r="V11890" s="8">
        <v>0.8</v>
      </c>
      <c r="W11890" s="8">
        <v>0.8</v>
      </c>
      <c r="Y11890" s="8" t="s">
        <v>50054</v>
      </c>
      <c r="Z11890" s="8" t="s">
        <v>50055</v>
      </c>
    </row>
    <row r="11891" spans="1:26" x14ac:dyDescent="0.2">
      <c r="A11891" s="8">
        <v>11890</v>
      </c>
      <c r="B11891" s="8" t="s">
        <v>50056</v>
      </c>
      <c r="C11891" s="8" t="s">
        <v>50056</v>
      </c>
      <c r="G11891" s="8">
        <v>20</v>
      </c>
      <c r="H11891" s="8" t="s">
        <v>21</v>
      </c>
      <c r="I11891" s="8" t="s">
        <v>72</v>
      </c>
      <c r="J11891" s="8" t="s">
        <v>72</v>
      </c>
      <c r="K11891" s="8" t="s">
        <v>73</v>
      </c>
      <c r="L11891" s="8" t="s">
        <v>18681</v>
      </c>
      <c r="M11891" s="8" t="s">
        <v>18682</v>
      </c>
      <c r="N11891" s="8" t="s">
        <v>50057</v>
      </c>
      <c r="O11891" s="8">
        <f>13+0/60+43.5/3600</f>
        <v>13.012083333333333</v>
      </c>
      <c r="P11891" s="8" t="s">
        <v>50058</v>
      </c>
      <c r="Q11891" s="8">
        <f>+(36+44/60+19/3600)</f>
        <v>36.738611111111112</v>
      </c>
      <c r="R11891" s="8">
        <v>99</v>
      </c>
      <c r="S11891" s="8">
        <v>99</v>
      </c>
      <c r="T11891" s="8">
        <v>99</v>
      </c>
      <c r="U11891" s="8">
        <v>99</v>
      </c>
      <c r="Y11891" s="8" t="s">
        <v>50059</v>
      </c>
      <c r="Z11891" s="8" t="s">
        <v>50060</v>
      </c>
    </row>
    <row r="11892" spans="1:26" x14ac:dyDescent="0.2">
      <c r="A11892" s="8">
        <v>11891</v>
      </c>
      <c r="B11892" s="8" t="s">
        <v>50061</v>
      </c>
      <c r="C11892" s="8" t="s">
        <v>50061</v>
      </c>
      <c r="G11892" s="8">
        <v>20</v>
      </c>
      <c r="H11892" s="8" t="s">
        <v>21</v>
      </c>
      <c r="I11892" s="8" t="s">
        <v>22</v>
      </c>
      <c r="J11892" s="8" t="s">
        <v>22</v>
      </c>
      <c r="K11892" s="8" t="s">
        <v>1068</v>
      </c>
      <c r="L11892" s="8" t="s">
        <v>18289</v>
      </c>
      <c r="M11892" s="8" t="s">
        <v>18290</v>
      </c>
      <c r="N11892" s="8" t="s">
        <v>50062</v>
      </c>
      <c r="O11892" s="8">
        <f>13+0/60+51.6/3600</f>
        <v>13.014333333333333</v>
      </c>
      <c r="P11892" s="8" t="s">
        <v>50063</v>
      </c>
      <c r="Q11892" s="8">
        <f>+(28+2/60+34/3600)</f>
        <v>28.042777777777779</v>
      </c>
      <c r="R11892" s="8">
        <v>13.6</v>
      </c>
      <c r="S11892" s="8">
        <v>14.7</v>
      </c>
      <c r="T11892" s="8">
        <v>1.1000000000000001</v>
      </c>
      <c r="U11892" s="8">
        <v>13.6</v>
      </c>
      <c r="V11892" s="8">
        <v>0.9</v>
      </c>
      <c r="W11892" s="8">
        <v>0.8</v>
      </c>
      <c r="X11892" s="8">
        <v>49</v>
      </c>
      <c r="Y11892" s="8" t="s">
        <v>21</v>
      </c>
      <c r="Z11892" s="8" t="s">
        <v>50064</v>
      </c>
    </row>
    <row r="11893" spans="1:26" x14ac:dyDescent="0.2">
      <c r="A11893" s="8">
        <v>11892</v>
      </c>
      <c r="B11893" s="8" t="s">
        <v>50065</v>
      </c>
      <c r="C11893" s="8" t="s">
        <v>50065</v>
      </c>
      <c r="G11893" s="8">
        <v>20</v>
      </c>
      <c r="H11893" s="8" t="s">
        <v>21</v>
      </c>
      <c r="I11893" s="8" t="s">
        <v>72</v>
      </c>
      <c r="J11893" s="8" t="s">
        <v>72</v>
      </c>
      <c r="K11893" s="8" t="s">
        <v>73</v>
      </c>
      <c r="L11893" s="8" t="s">
        <v>18681</v>
      </c>
      <c r="M11893" s="8" t="s">
        <v>18682</v>
      </c>
      <c r="N11893" s="8" t="s">
        <v>50066</v>
      </c>
      <c r="O11893" s="8">
        <f>13+0/60+41.5/3600</f>
        <v>13.011527777777777</v>
      </c>
      <c r="P11893" s="8" t="s">
        <v>50067</v>
      </c>
      <c r="Q11893" s="8">
        <f>+(39+40/60+5/3600)</f>
        <v>39.668055555555554</v>
      </c>
      <c r="R11893" s="8">
        <v>99</v>
      </c>
      <c r="S11893" s="8">
        <v>99</v>
      </c>
      <c r="T11893" s="8">
        <v>99</v>
      </c>
      <c r="U11893" s="8">
        <v>99</v>
      </c>
      <c r="Y11893" s="8" t="s">
        <v>45086</v>
      </c>
      <c r="Z11893" s="8" t="s">
        <v>45087</v>
      </c>
    </row>
    <row r="11894" spans="1:26" x14ac:dyDescent="0.2">
      <c r="A11894" s="8">
        <v>11893</v>
      </c>
      <c r="B11894" s="8" t="s">
        <v>50068</v>
      </c>
      <c r="C11894" s="8" t="s">
        <v>50068</v>
      </c>
      <c r="G11894" s="8">
        <v>20</v>
      </c>
      <c r="H11894" s="8" t="s">
        <v>21</v>
      </c>
      <c r="I11894" s="8" t="s">
        <v>72</v>
      </c>
      <c r="J11894" s="8" t="s">
        <v>72</v>
      </c>
      <c r="K11894" s="8" t="s">
        <v>20</v>
      </c>
      <c r="L11894" s="8" t="s">
        <v>18289</v>
      </c>
      <c r="M11894" s="8" t="s">
        <v>18290</v>
      </c>
      <c r="N11894" s="8" t="s">
        <v>50069</v>
      </c>
      <c r="O11894" s="8">
        <f>13+1/60+1.3/3600</f>
        <v>13.017027777777779</v>
      </c>
      <c r="P11894" s="8" t="s">
        <v>50070</v>
      </c>
      <c r="Q11894" s="8">
        <f>+(22+55/60+27/3600)</f>
        <v>22.924166666666668</v>
      </c>
      <c r="R11894" s="8">
        <v>99</v>
      </c>
      <c r="S11894" s="8">
        <v>99</v>
      </c>
      <c r="T11894" s="8">
        <v>99</v>
      </c>
      <c r="U11894" s="8">
        <v>99</v>
      </c>
      <c r="Y11894" s="8" t="s">
        <v>21</v>
      </c>
      <c r="Z11894" s="8" t="s">
        <v>50071</v>
      </c>
    </row>
    <row r="11895" spans="1:26" x14ac:dyDescent="0.2">
      <c r="A11895" s="8">
        <v>11894</v>
      </c>
      <c r="B11895" s="8" t="s">
        <v>50072</v>
      </c>
      <c r="C11895" s="8" t="s">
        <v>50072</v>
      </c>
      <c r="G11895" s="8">
        <v>20</v>
      </c>
      <c r="H11895" s="8" t="s">
        <v>21</v>
      </c>
      <c r="I11895" s="8" t="s">
        <v>72</v>
      </c>
      <c r="J11895" s="8" t="s">
        <v>72</v>
      </c>
      <c r="K11895" s="8" t="s">
        <v>20</v>
      </c>
      <c r="L11895" s="8" t="s">
        <v>18289</v>
      </c>
      <c r="M11895" s="8" t="s">
        <v>18290</v>
      </c>
      <c r="N11895" s="8" t="s">
        <v>50069</v>
      </c>
      <c r="O11895" s="8">
        <f>13+1/60+1.3/3600</f>
        <v>13.017027777777779</v>
      </c>
      <c r="P11895" s="8" t="s">
        <v>50073</v>
      </c>
      <c r="Q11895" s="8">
        <f>+(22+54/60+16/3600)</f>
        <v>22.904444444444444</v>
      </c>
      <c r="R11895" s="8">
        <v>99</v>
      </c>
      <c r="S11895" s="8">
        <v>99</v>
      </c>
      <c r="T11895" s="8">
        <v>99</v>
      </c>
      <c r="U11895" s="8">
        <v>99</v>
      </c>
      <c r="Y11895" s="8" t="s">
        <v>21</v>
      </c>
      <c r="Z11895" s="8" t="s">
        <v>50074</v>
      </c>
    </row>
    <row r="11896" spans="1:26" x14ac:dyDescent="0.2">
      <c r="A11896" s="8">
        <v>11895</v>
      </c>
      <c r="B11896" s="8" t="s">
        <v>50075</v>
      </c>
      <c r="C11896" s="8" t="s">
        <v>50075</v>
      </c>
      <c r="G11896" s="8">
        <v>20</v>
      </c>
      <c r="H11896" s="8" t="s">
        <v>21</v>
      </c>
      <c r="I11896" s="8" t="s">
        <v>329</v>
      </c>
      <c r="J11896" s="8" t="s">
        <v>329</v>
      </c>
      <c r="K11896" s="8" t="s">
        <v>329</v>
      </c>
      <c r="L11896" s="8" t="s">
        <v>18289</v>
      </c>
      <c r="M11896" s="8" t="s">
        <v>18290</v>
      </c>
      <c r="N11896" s="8" t="s">
        <v>50076</v>
      </c>
      <c r="O11896" s="8">
        <f>13+1/60+2.6/3600</f>
        <v>13.01738888888889</v>
      </c>
      <c r="P11896" s="8" t="s">
        <v>50077</v>
      </c>
      <c r="Q11896" s="8">
        <f>+(22+54/60+31/3600)</f>
        <v>22.90861111111111</v>
      </c>
      <c r="R11896" s="8">
        <v>99</v>
      </c>
      <c r="S11896" s="8">
        <v>99</v>
      </c>
      <c r="T11896" s="8">
        <v>99</v>
      </c>
      <c r="U11896" s="8">
        <v>99</v>
      </c>
      <c r="Y11896" s="8" t="s">
        <v>50078</v>
      </c>
      <c r="Z11896" s="8" t="s">
        <v>50079</v>
      </c>
    </row>
    <row r="11897" spans="1:26" x14ac:dyDescent="0.2">
      <c r="A11897" s="8">
        <v>11896</v>
      </c>
      <c r="B11897" s="8" t="s">
        <v>50080</v>
      </c>
      <c r="C11897" s="8" t="s">
        <v>50080</v>
      </c>
      <c r="G11897" s="8">
        <v>20</v>
      </c>
      <c r="H11897" s="8" t="s">
        <v>21</v>
      </c>
      <c r="I11897" s="8" t="s">
        <v>22</v>
      </c>
      <c r="J11897" s="8" t="s">
        <v>22</v>
      </c>
      <c r="K11897" s="8" t="s">
        <v>85</v>
      </c>
      <c r="L11897" s="8" t="s">
        <v>18681</v>
      </c>
      <c r="M11897" s="8" t="s">
        <v>18682</v>
      </c>
      <c r="N11897" s="8" t="s">
        <v>50081</v>
      </c>
      <c r="O11897" s="8">
        <f>13+0/60+44.3/3600</f>
        <v>13.012305555555555</v>
      </c>
      <c r="P11897" s="8" t="s">
        <v>50082</v>
      </c>
      <c r="Q11897" s="8">
        <f>+(39+45/60+16/3600)</f>
        <v>39.754444444444445</v>
      </c>
      <c r="R11897" s="8">
        <v>15.2</v>
      </c>
      <c r="S11897" s="8">
        <v>16</v>
      </c>
      <c r="T11897" s="8">
        <v>0.8</v>
      </c>
      <c r="U11897" s="8">
        <v>14.9</v>
      </c>
      <c r="V11897" s="8">
        <v>0.8</v>
      </c>
      <c r="W11897" s="8">
        <v>0.6</v>
      </c>
      <c r="X11897" s="8">
        <v>90</v>
      </c>
      <c r="Y11897" s="8" t="s">
        <v>21</v>
      </c>
      <c r="Z11897" s="8" t="s">
        <v>50083</v>
      </c>
    </row>
    <row r="11898" spans="1:26" x14ac:dyDescent="0.2">
      <c r="A11898" s="8">
        <v>11897</v>
      </c>
      <c r="B11898" s="8" t="s">
        <v>50084</v>
      </c>
      <c r="C11898" s="8" t="s">
        <v>50084</v>
      </c>
      <c r="G11898" s="8">
        <v>20</v>
      </c>
      <c r="H11898" s="8" t="s">
        <v>21</v>
      </c>
      <c r="I11898" s="8" t="s">
        <v>72</v>
      </c>
      <c r="J11898" s="8" t="s">
        <v>72</v>
      </c>
      <c r="K11898" s="8" t="s">
        <v>20</v>
      </c>
      <c r="L11898" s="8" t="s">
        <v>18289</v>
      </c>
      <c r="M11898" s="8" t="s">
        <v>18290</v>
      </c>
      <c r="N11898" s="8" t="s">
        <v>50085</v>
      </c>
      <c r="O11898" s="8">
        <f>13+1/60+5.4/3600</f>
        <v>13.018166666666668</v>
      </c>
      <c r="P11898" s="8" t="s">
        <v>50086</v>
      </c>
      <c r="Q11898" s="8">
        <f>+(23+9/60+34/3600)</f>
        <v>23.159444444444443</v>
      </c>
      <c r="R11898" s="8">
        <v>99</v>
      </c>
      <c r="S11898" s="8">
        <v>99</v>
      </c>
      <c r="T11898" s="8">
        <v>99</v>
      </c>
      <c r="U11898" s="8">
        <v>99</v>
      </c>
      <c r="Y11898" s="8" t="s">
        <v>421</v>
      </c>
      <c r="Z11898" s="8" t="s">
        <v>422</v>
      </c>
    </row>
    <row r="11899" spans="1:26" x14ac:dyDescent="0.2">
      <c r="A11899" s="8">
        <v>11898</v>
      </c>
      <c r="B11899" s="8" t="s">
        <v>50087</v>
      </c>
      <c r="C11899" s="8" t="s">
        <v>50087</v>
      </c>
      <c r="G11899" s="8">
        <v>20</v>
      </c>
      <c r="H11899" s="8" t="s">
        <v>21</v>
      </c>
      <c r="I11899" s="8" t="s">
        <v>22</v>
      </c>
      <c r="J11899" s="8" t="s">
        <v>22</v>
      </c>
      <c r="K11899" s="8" t="s">
        <v>449</v>
      </c>
      <c r="L11899" s="8" t="s">
        <v>18289</v>
      </c>
      <c r="M11899" s="8" t="s">
        <v>18290</v>
      </c>
      <c r="N11899" s="8" t="s">
        <v>50088</v>
      </c>
      <c r="O11899" s="8">
        <f>13+1/60+9.3/3600</f>
        <v>13.019250000000001</v>
      </c>
      <c r="P11899" s="8" t="s">
        <v>50089</v>
      </c>
      <c r="Q11899" s="8">
        <f>+(19+29/60+38/3600)</f>
        <v>19.49388888888889</v>
      </c>
      <c r="R11899" s="8">
        <v>15</v>
      </c>
      <c r="S11899" s="8">
        <v>15.8</v>
      </c>
      <c r="T11899" s="8">
        <v>0.8</v>
      </c>
      <c r="U11899" s="8">
        <v>11.8</v>
      </c>
      <c r="V11899" s="8">
        <v>0.3</v>
      </c>
      <c r="W11899" s="8">
        <v>0.2</v>
      </c>
      <c r="X11899" s="8">
        <v>100</v>
      </c>
      <c r="Y11899" s="8" t="s">
        <v>15316</v>
      </c>
      <c r="Z11899" s="8" t="s">
        <v>15317</v>
      </c>
    </row>
    <row r="11900" spans="1:26" x14ac:dyDescent="0.2">
      <c r="A11900" s="8">
        <v>11899</v>
      </c>
      <c r="B11900" s="8" t="s">
        <v>50090</v>
      </c>
      <c r="C11900" s="8" t="s">
        <v>50090</v>
      </c>
      <c r="G11900" s="8">
        <v>20</v>
      </c>
      <c r="H11900" s="8" t="s">
        <v>21</v>
      </c>
      <c r="I11900" s="8" t="s">
        <v>22</v>
      </c>
      <c r="J11900" s="8" t="s">
        <v>22</v>
      </c>
      <c r="K11900" s="8" t="s">
        <v>460</v>
      </c>
      <c r="L11900" s="8" t="s">
        <v>18289</v>
      </c>
      <c r="M11900" s="8" t="s">
        <v>18290</v>
      </c>
      <c r="N11900" s="8" t="s">
        <v>50091</v>
      </c>
      <c r="O11900" s="8">
        <f>13+1/60+15.4/3600</f>
        <v>13.020944444444446</v>
      </c>
      <c r="P11900" s="8" t="s">
        <v>50092</v>
      </c>
      <c r="Q11900" s="8">
        <f>+(19+16/60+23/3600)</f>
        <v>19.273055555555555</v>
      </c>
      <c r="R11900" s="8">
        <v>15</v>
      </c>
      <c r="S11900" s="8">
        <v>16</v>
      </c>
      <c r="T11900" s="8">
        <v>1</v>
      </c>
      <c r="U11900" s="8">
        <v>12.5</v>
      </c>
      <c r="V11900" s="8">
        <v>0.3</v>
      </c>
      <c r="W11900" s="8">
        <v>0.3</v>
      </c>
      <c r="Y11900" s="8" t="s">
        <v>45514</v>
      </c>
      <c r="Z11900" s="8" t="s">
        <v>45515</v>
      </c>
    </row>
    <row r="11901" spans="1:26" x14ac:dyDescent="0.2">
      <c r="A11901" s="8">
        <v>11900</v>
      </c>
      <c r="B11901" s="8" t="s">
        <v>50093</v>
      </c>
      <c r="C11901" s="8" t="s">
        <v>50093</v>
      </c>
      <c r="G11901" s="8">
        <v>20</v>
      </c>
      <c r="H11901" s="8" t="s">
        <v>21</v>
      </c>
      <c r="I11901" s="8" t="s">
        <v>22</v>
      </c>
      <c r="J11901" s="8" t="s">
        <v>22</v>
      </c>
      <c r="K11901" s="8" t="s">
        <v>476</v>
      </c>
      <c r="L11901" s="8" t="s">
        <v>18681</v>
      </c>
      <c r="M11901" s="8" t="s">
        <v>18682</v>
      </c>
      <c r="N11901" s="8" t="s">
        <v>50094</v>
      </c>
      <c r="O11901" s="8">
        <f>13+0/60+52.4/3600</f>
        <v>13.014555555555555</v>
      </c>
      <c r="P11901" s="8" t="s">
        <v>50095</v>
      </c>
      <c r="Q11901" s="8">
        <f>+(40+35/60+4/3600)</f>
        <v>40.584444444444443</v>
      </c>
      <c r="R11901" s="8">
        <v>14.3</v>
      </c>
      <c r="S11901" s="8">
        <v>15.2</v>
      </c>
      <c r="T11901" s="8">
        <v>0.9</v>
      </c>
      <c r="U11901" s="8">
        <v>13.4</v>
      </c>
      <c r="V11901" s="8">
        <v>0.7</v>
      </c>
      <c r="W11901" s="8">
        <v>0.5</v>
      </c>
      <c r="X11901" s="8">
        <v>141</v>
      </c>
      <c r="Y11901" s="8" t="s">
        <v>50096</v>
      </c>
      <c r="Z11901" s="8" t="s">
        <v>50097</v>
      </c>
    </row>
    <row r="11902" spans="1:26" x14ac:dyDescent="0.2">
      <c r="A11902" s="8">
        <v>11901</v>
      </c>
      <c r="B11902" s="8" t="s">
        <v>50098</v>
      </c>
      <c r="C11902" s="8" t="s">
        <v>50098</v>
      </c>
      <c r="E11902" s="8">
        <v>1</v>
      </c>
      <c r="G11902" s="8">
        <v>20</v>
      </c>
      <c r="H11902" s="8" t="s">
        <v>21</v>
      </c>
      <c r="I11902" s="8" t="s">
        <v>22</v>
      </c>
      <c r="J11902" s="8" t="s">
        <v>22</v>
      </c>
      <c r="K11902" s="8" t="s">
        <v>424</v>
      </c>
      <c r="L11902" s="8" t="s">
        <v>18681</v>
      </c>
      <c r="M11902" s="8" t="s">
        <v>18682</v>
      </c>
      <c r="N11902" s="8" t="s">
        <v>50099</v>
      </c>
      <c r="O11902" s="8">
        <f>13+0/60+57.4/3600</f>
        <v>13.015944444444445</v>
      </c>
      <c r="P11902" s="8" t="s">
        <v>50100</v>
      </c>
      <c r="Q11902" s="8">
        <f>+(39+35/60+0/3600)</f>
        <v>39.583333333333336</v>
      </c>
      <c r="R11902" s="8">
        <v>15</v>
      </c>
      <c r="S11902" s="8">
        <v>16</v>
      </c>
      <c r="T11902" s="8">
        <v>1</v>
      </c>
      <c r="U11902" s="8">
        <v>11.8</v>
      </c>
      <c r="V11902" s="8">
        <v>0.3</v>
      </c>
      <c r="W11902" s="8">
        <v>0.2</v>
      </c>
      <c r="X11902" s="8">
        <v>90</v>
      </c>
      <c r="Y11902" s="8" t="s">
        <v>5139</v>
      </c>
      <c r="Z11902" s="8" t="s">
        <v>5140</v>
      </c>
    </row>
    <row r="11903" spans="1:26" x14ac:dyDescent="0.2">
      <c r="A11903" s="8">
        <v>11902</v>
      </c>
      <c r="B11903" s="8" t="s">
        <v>50101</v>
      </c>
      <c r="C11903" s="8" t="s">
        <v>50101</v>
      </c>
      <c r="G11903" s="8">
        <v>20</v>
      </c>
      <c r="H11903" s="8" t="s">
        <v>21</v>
      </c>
      <c r="I11903" s="8" t="s">
        <v>22</v>
      </c>
      <c r="J11903" s="8" t="s">
        <v>22</v>
      </c>
      <c r="K11903" s="8" t="s">
        <v>50102</v>
      </c>
      <c r="L11903" s="8" t="s">
        <v>18681</v>
      </c>
      <c r="M11903" s="8" t="s">
        <v>18682</v>
      </c>
      <c r="N11903" s="8" t="s">
        <v>50103</v>
      </c>
      <c r="O11903" s="8">
        <f>13+0/60+58.7/3600</f>
        <v>13.016305555555556</v>
      </c>
      <c r="P11903" s="8" t="s">
        <v>50104</v>
      </c>
      <c r="Q11903" s="8">
        <f>+(39+51/60+31/3600)</f>
        <v>39.858611111111109</v>
      </c>
      <c r="R11903" s="8">
        <v>14.2</v>
      </c>
      <c r="S11903" s="8">
        <v>15</v>
      </c>
      <c r="T11903" s="8">
        <v>0.8</v>
      </c>
      <c r="U11903" s="8">
        <v>12.1</v>
      </c>
      <c r="V11903" s="8">
        <v>0.4</v>
      </c>
      <c r="W11903" s="8">
        <v>0.4</v>
      </c>
      <c r="Y11903" s="8" t="s">
        <v>50096</v>
      </c>
      <c r="Z11903" s="8" t="s">
        <v>50097</v>
      </c>
    </row>
    <row r="11904" spans="1:26" x14ac:dyDescent="0.2">
      <c r="A11904" s="8">
        <v>11903</v>
      </c>
      <c r="B11904" s="8" t="s">
        <v>50105</v>
      </c>
      <c r="C11904" s="8" t="s">
        <v>50105</v>
      </c>
      <c r="G11904" s="8">
        <v>20</v>
      </c>
      <c r="H11904" s="8" t="s">
        <v>21</v>
      </c>
      <c r="I11904" s="8" t="s">
        <v>22</v>
      </c>
      <c r="J11904" s="8" t="s">
        <v>22</v>
      </c>
      <c r="K11904" s="8" t="s">
        <v>424</v>
      </c>
      <c r="L11904" s="8" t="s">
        <v>18681</v>
      </c>
      <c r="M11904" s="8" t="s">
        <v>18682</v>
      </c>
      <c r="N11904" s="8" t="s">
        <v>50106</v>
      </c>
      <c r="O11904" s="8">
        <f>13+1/60+6.6/3600</f>
        <v>13.018500000000001</v>
      </c>
      <c r="P11904" s="8" t="s">
        <v>50107</v>
      </c>
      <c r="Q11904" s="8">
        <f>+(39+14/60+42/3600)</f>
        <v>39.244999999999997</v>
      </c>
      <c r="R11904" s="8">
        <v>15.5</v>
      </c>
      <c r="S11904" s="8">
        <v>16.5</v>
      </c>
      <c r="T11904" s="8">
        <v>1</v>
      </c>
      <c r="U11904" s="8">
        <v>11.9</v>
      </c>
      <c r="V11904" s="8">
        <v>0.2</v>
      </c>
      <c r="W11904" s="8">
        <v>0.2</v>
      </c>
      <c r="Y11904" s="8" t="s">
        <v>45218</v>
      </c>
      <c r="Z11904" s="8" t="s">
        <v>45219</v>
      </c>
    </row>
    <row r="11905" spans="1:26" x14ac:dyDescent="0.2">
      <c r="A11905" s="8">
        <v>11904</v>
      </c>
      <c r="B11905" s="8" t="s">
        <v>50108</v>
      </c>
      <c r="C11905" s="8" t="s">
        <v>50108</v>
      </c>
      <c r="G11905" s="8">
        <v>20</v>
      </c>
      <c r="H11905" s="8" t="s">
        <v>21</v>
      </c>
      <c r="I11905" s="8" t="s">
        <v>22</v>
      </c>
      <c r="J11905" s="8" t="s">
        <v>22</v>
      </c>
      <c r="K11905" s="8" t="s">
        <v>37</v>
      </c>
      <c r="L11905" s="8" t="s">
        <v>18681</v>
      </c>
      <c r="M11905" s="8" t="s">
        <v>18682</v>
      </c>
      <c r="N11905" s="8" t="s">
        <v>50109</v>
      </c>
      <c r="O11905" s="8">
        <f>13+1/60+6.7/3600</f>
        <v>13.018527777777779</v>
      </c>
      <c r="P11905" s="8" t="s">
        <v>50110</v>
      </c>
      <c r="Q11905" s="8">
        <f>+(39+50/60+30/3600)</f>
        <v>39.841666666666669</v>
      </c>
      <c r="R11905" s="8">
        <v>13.1</v>
      </c>
      <c r="S11905" s="8">
        <v>14.1</v>
      </c>
      <c r="T11905" s="8">
        <v>1</v>
      </c>
      <c r="U11905" s="8">
        <v>13.9</v>
      </c>
      <c r="V11905" s="8">
        <v>1.6</v>
      </c>
      <c r="W11905" s="8">
        <v>1.2</v>
      </c>
      <c r="X11905" s="8">
        <v>27</v>
      </c>
      <c r="Y11905" s="8" t="s">
        <v>50111</v>
      </c>
      <c r="Z11905" s="8" t="s">
        <v>50112</v>
      </c>
    </row>
    <row r="11906" spans="1:26" x14ac:dyDescent="0.2">
      <c r="A11906" s="8">
        <v>11905</v>
      </c>
      <c r="B11906" s="8" t="s">
        <v>50113</v>
      </c>
      <c r="C11906" s="8" t="s">
        <v>50113</v>
      </c>
      <c r="G11906" s="8">
        <v>20</v>
      </c>
      <c r="H11906" s="8" t="s">
        <v>21</v>
      </c>
      <c r="I11906" s="8" t="s">
        <v>22</v>
      </c>
      <c r="J11906" s="8" t="s">
        <v>22</v>
      </c>
      <c r="K11906" s="8" t="s">
        <v>449</v>
      </c>
      <c r="L11906" s="8" t="s">
        <v>18681</v>
      </c>
      <c r="M11906" s="8" t="s">
        <v>18682</v>
      </c>
      <c r="N11906" s="8" t="s">
        <v>50114</v>
      </c>
      <c r="O11906" s="8">
        <f>13+1/60+10.9/3600</f>
        <v>13.019694444444445</v>
      </c>
      <c r="P11906" s="8" t="s">
        <v>50115</v>
      </c>
      <c r="Q11906" s="8">
        <f>+(39+44/60+40/3600)</f>
        <v>39.744444444444447</v>
      </c>
      <c r="R11906" s="8">
        <v>14.6</v>
      </c>
      <c r="S11906" s="8">
        <v>15.4</v>
      </c>
      <c r="T11906" s="8">
        <v>0.8</v>
      </c>
      <c r="U11906" s="8">
        <v>13.2</v>
      </c>
      <c r="V11906" s="8">
        <v>0.8</v>
      </c>
      <c r="W11906" s="8">
        <v>0.4</v>
      </c>
      <c r="X11906" s="8">
        <v>177</v>
      </c>
      <c r="Y11906" s="8" t="s">
        <v>50116</v>
      </c>
      <c r="Z11906" s="8" t="s">
        <v>50117</v>
      </c>
    </row>
    <row r="11907" spans="1:26" x14ac:dyDescent="0.2">
      <c r="A11907" s="8">
        <v>11906</v>
      </c>
      <c r="B11907" s="8" t="s">
        <v>50118</v>
      </c>
      <c r="C11907" s="8" t="s">
        <v>50118</v>
      </c>
      <c r="G11907" s="8">
        <v>20</v>
      </c>
      <c r="H11907" s="8" t="s">
        <v>21</v>
      </c>
      <c r="I11907" s="8" t="s">
        <v>72</v>
      </c>
      <c r="J11907" s="8" t="s">
        <v>72</v>
      </c>
      <c r="K11907" s="8" t="s">
        <v>20</v>
      </c>
      <c r="L11907" s="8" t="s">
        <v>18289</v>
      </c>
      <c r="M11907" s="8" t="s">
        <v>18290</v>
      </c>
      <c r="N11907" s="8" t="s">
        <v>50119</v>
      </c>
      <c r="O11907" s="8">
        <f>13+1/60+40.1/3600</f>
        <v>13.027805555555556</v>
      </c>
      <c r="P11907" s="8" t="s">
        <v>49744</v>
      </c>
      <c r="Q11907" s="8">
        <f>+(19+16/60+21/3600)</f>
        <v>19.272499999999997</v>
      </c>
      <c r="R11907" s="8">
        <v>99</v>
      </c>
      <c r="S11907" s="8">
        <v>99</v>
      </c>
      <c r="T11907" s="8">
        <v>99</v>
      </c>
      <c r="U11907" s="8">
        <v>99</v>
      </c>
      <c r="Y11907" s="8" t="s">
        <v>3932</v>
      </c>
      <c r="Z11907" s="8" t="s">
        <v>3933</v>
      </c>
    </row>
    <row r="11908" spans="1:26" x14ac:dyDescent="0.2">
      <c r="A11908" s="8">
        <v>11907</v>
      </c>
      <c r="B11908" s="8" t="s">
        <v>50120</v>
      </c>
      <c r="C11908" s="8" t="s">
        <v>50120</v>
      </c>
      <c r="G11908" s="8">
        <v>20</v>
      </c>
      <c r="H11908" s="8" t="s">
        <v>21</v>
      </c>
      <c r="I11908" s="8" t="s">
        <v>22</v>
      </c>
      <c r="J11908" s="8" t="s">
        <v>22</v>
      </c>
      <c r="K11908" s="8" t="s">
        <v>37</v>
      </c>
      <c r="L11908" s="8" t="s">
        <v>18681</v>
      </c>
      <c r="M11908" s="8" t="s">
        <v>18682</v>
      </c>
      <c r="N11908" s="8" t="s">
        <v>50121</v>
      </c>
      <c r="O11908" s="8">
        <f>13+1/60+20.2/3600</f>
        <v>13.022277777777779</v>
      </c>
      <c r="P11908" s="8" t="s">
        <v>50122</v>
      </c>
      <c r="Q11908" s="8">
        <f>+(39+56/60+27/3600)</f>
        <v>39.94083333333333</v>
      </c>
      <c r="R11908" s="8">
        <v>15</v>
      </c>
      <c r="S11908" s="8">
        <v>16</v>
      </c>
      <c r="T11908" s="8">
        <v>1</v>
      </c>
      <c r="U11908" s="8">
        <v>12.3</v>
      </c>
      <c r="V11908" s="8">
        <v>0.3</v>
      </c>
      <c r="W11908" s="8">
        <v>0.3</v>
      </c>
      <c r="Y11908" s="8" t="s">
        <v>45086</v>
      </c>
      <c r="Z11908" s="8" t="s">
        <v>45087</v>
      </c>
    </row>
    <row r="11909" spans="1:26" x14ac:dyDescent="0.2">
      <c r="A11909" s="8">
        <v>11908</v>
      </c>
      <c r="B11909" s="8" t="s">
        <v>50123</v>
      </c>
      <c r="C11909" s="8" t="s">
        <v>50123</v>
      </c>
      <c r="G11909" s="8">
        <v>20</v>
      </c>
      <c r="H11909" s="8" t="s">
        <v>21</v>
      </c>
      <c r="I11909" s="8" t="s">
        <v>22</v>
      </c>
      <c r="J11909" s="8" t="s">
        <v>22</v>
      </c>
      <c r="K11909" s="8" t="s">
        <v>37</v>
      </c>
      <c r="L11909" s="8" t="s">
        <v>18681</v>
      </c>
      <c r="M11909" s="8" t="s">
        <v>18682</v>
      </c>
      <c r="N11909" s="8" t="s">
        <v>50121</v>
      </c>
      <c r="O11909" s="8">
        <f>13+1/60+20.2/3600</f>
        <v>13.022277777777779</v>
      </c>
      <c r="P11909" s="8" t="s">
        <v>50124</v>
      </c>
      <c r="Q11909" s="8">
        <f>+(39+53/60+56/3600)</f>
        <v>39.898888888888891</v>
      </c>
      <c r="R11909" s="8">
        <v>15</v>
      </c>
      <c r="S11909" s="8">
        <v>16</v>
      </c>
      <c r="T11909" s="8">
        <v>1</v>
      </c>
      <c r="U11909" s="8">
        <v>11.8</v>
      </c>
      <c r="V11909" s="8">
        <v>0.3</v>
      </c>
      <c r="W11909" s="8">
        <v>0.2</v>
      </c>
      <c r="X11909" s="8">
        <v>70</v>
      </c>
      <c r="Y11909" s="8" t="s">
        <v>45086</v>
      </c>
      <c r="Z11909" s="8" t="s">
        <v>45087</v>
      </c>
    </row>
    <row r="11910" spans="1:26" x14ac:dyDescent="0.2">
      <c r="A11910" s="8">
        <v>11909</v>
      </c>
      <c r="B11910" s="8" t="s">
        <v>50125</v>
      </c>
      <c r="C11910" s="8" t="s">
        <v>50125</v>
      </c>
      <c r="G11910" s="8">
        <v>20</v>
      </c>
      <c r="H11910" s="8" t="s">
        <v>21</v>
      </c>
      <c r="I11910" s="8" t="s">
        <v>22</v>
      </c>
      <c r="J11910" s="8" t="s">
        <v>22</v>
      </c>
      <c r="K11910" s="8" t="s">
        <v>449</v>
      </c>
      <c r="L11910" s="8" t="s">
        <v>18681</v>
      </c>
      <c r="M11910" s="8" t="s">
        <v>18682</v>
      </c>
      <c r="N11910" s="8" t="s">
        <v>50126</v>
      </c>
      <c r="O11910" s="8">
        <f>13+1/60+24.9/3600</f>
        <v>13.023583333333335</v>
      </c>
      <c r="P11910" s="8" t="s">
        <v>50127</v>
      </c>
      <c r="Q11910" s="8">
        <f>+(36+6/60+45/3600)</f>
        <v>36.112500000000004</v>
      </c>
      <c r="R11910" s="8">
        <v>15.7</v>
      </c>
      <c r="S11910" s="8">
        <v>16.5</v>
      </c>
      <c r="T11910" s="8">
        <v>0.8</v>
      </c>
      <c r="U11910" s="8">
        <v>11.7</v>
      </c>
      <c r="V11910" s="8">
        <v>0.3</v>
      </c>
      <c r="W11910" s="8">
        <v>0.1</v>
      </c>
      <c r="X11910" s="8">
        <v>5</v>
      </c>
      <c r="Y11910" s="8" t="s">
        <v>21</v>
      </c>
      <c r="Z11910" s="8" t="s">
        <v>50128</v>
      </c>
    </row>
    <row r="11911" spans="1:26" x14ac:dyDescent="0.2">
      <c r="A11911" s="8">
        <v>11910</v>
      </c>
      <c r="B11911" s="8" t="s">
        <v>50129</v>
      </c>
      <c r="C11911" s="8" t="s">
        <v>50129</v>
      </c>
      <c r="G11911" s="8">
        <v>20</v>
      </c>
      <c r="H11911" s="8" t="s">
        <v>21</v>
      </c>
      <c r="I11911" s="8" t="s">
        <v>22</v>
      </c>
      <c r="J11911" s="8" t="s">
        <v>22</v>
      </c>
      <c r="K11911" s="8" t="s">
        <v>1068</v>
      </c>
      <c r="L11911" s="8" t="s">
        <v>18289</v>
      </c>
      <c r="M11911" s="8" t="s">
        <v>18290</v>
      </c>
      <c r="N11911" s="8" t="s">
        <v>50130</v>
      </c>
      <c r="O11911" s="8">
        <f>13+1/60+43.2/3600</f>
        <v>13.028666666666668</v>
      </c>
      <c r="P11911" s="8" t="s">
        <v>50131</v>
      </c>
      <c r="Q11911" s="8">
        <f>+(19+18/60+6/3600)</f>
        <v>19.301666666666666</v>
      </c>
      <c r="R11911" s="8">
        <v>13.8</v>
      </c>
      <c r="S11911" s="8">
        <v>14.8</v>
      </c>
      <c r="T11911" s="8">
        <v>1</v>
      </c>
      <c r="U11911" s="8">
        <v>11.1</v>
      </c>
      <c r="V11911" s="8">
        <v>0.4</v>
      </c>
      <c r="W11911" s="8">
        <v>0.2</v>
      </c>
      <c r="X11911" s="8">
        <v>45</v>
      </c>
      <c r="Y11911" s="8" t="s">
        <v>45218</v>
      </c>
      <c r="Z11911" s="8" t="s">
        <v>45219</v>
      </c>
    </row>
    <row r="11912" spans="1:26" x14ac:dyDescent="0.2">
      <c r="A11912" s="8">
        <v>11911</v>
      </c>
      <c r="B11912" s="8" t="s">
        <v>50132</v>
      </c>
      <c r="C11912" s="8" t="s">
        <v>50132</v>
      </c>
      <c r="G11912" s="8">
        <v>20</v>
      </c>
      <c r="H11912" s="8" t="s">
        <v>21</v>
      </c>
      <c r="I11912" s="8" t="s">
        <v>22</v>
      </c>
      <c r="J11912" s="8" t="s">
        <v>22</v>
      </c>
      <c r="K11912" s="8" t="s">
        <v>449</v>
      </c>
      <c r="L11912" s="8" t="s">
        <v>17287</v>
      </c>
      <c r="M11912" s="8" t="s">
        <v>17288</v>
      </c>
      <c r="N11912" s="8" t="s">
        <v>50133</v>
      </c>
      <c r="O11912" s="8">
        <f>13+2/60+4/3600</f>
        <v>13.034444444444444</v>
      </c>
      <c r="P11912" s="8" t="s">
        <v>50134</v>
      </c>
      <c r="Q11912" s="8">
        <f>-(7+36/60+11/3600)</f>
        <v>-7.6030555555555548</v>
      </c>
      <c r="R11912" s="8">
        <v>13.8</v>
      </c>
      <c r="S11912" s="8">
        <v>14.6</v>
      </c>
      <c r="T11912" s="8">
        <v>0.8</v>
      </c>
      <c r="U11912" s="8">
        <v>12.7</v>
      </c>
      <c r="V11912" s="8">
        <v>0.8</v>
      </c>
      <c r="W11912" s="8">
        <v>0.5</v>
      </c>
      <c r="X11912" s="8">
        <v>6</v>
      </c>
      <c r="Y11912" s="8" t="s">
        <v>50135</v>
      </c>
      <c r="Z11912" s="8" t="s">
        <v>50136</v>
      </c>
    </row>
    <row r="11913" spans="1:26" x14ac:dyDescent="0.2">
      <c r="A11913" s="8">
        <v>11912</v>
      </c>
      <c r="B11913" s="8" t="s">
        <v>50137</v>
      </c>
      <c r="C11913" s="8" t="s">
        <v>50137</v>
      </c>
      <c r="G11913" s="8">
        <v>20</v>
      </c>
      <c r="H11913" s="8" t="s">
        <v>21</v>
      </c>
      <c r="I11913" s="8" t="s">
        <v>72</v>
      </c>
      <c r="J11913" s="8" t="s">
        <v>72</v>
      </c>
      <c r="K11913" s="8" t="s">
        <v>20</v>
      </c>
      <c r="L11913" s="8" t="s">
        <v>18681</v>
      </c>
      <c r="M11913" s="8" t="s">
        <v>18682</v>
      </c>
      <c r="N11913" s="8" t="s">
        <v>50138</v>
      </c>
      <c r="O11913" s="8">
        <f>13+1/60+25.8/3600</f>
        <v>13.023833333333334</v>
      </c>
      <c r="P11913" s="8" t="s">
        <v>50139</v>
      </c>
      <c r="Q11913" s="8">
        <f>+(37+21/60+16/3600)</f>
        <v>37.354444444444447</v>
      </c>
      <c r="R11913" s="8">
        <v>99</v>
      </c>
      <c r="S11913" s="8">
        <v>99</v>
      </c>
      <c r="T11913" s="8">
        <v>99</v>
      </c>
      <c r="U11913" s="8">
        <v>99</v>
      </c>
      <c r="Y11913" s="8" t="s">
        <v>50140</v>
      </c>
      <c r="Z11913" s="8" t="s">
        <v>50141</v>
      </c>
    </row>
    <row r="11914" spans="1:26" x14ac:dyDescent="0.2">
      <c r="A11914" s="8">
        <v>11913</v>
      </c>
      <c r="B11914" s="8" t="s">
        <v>50142</v>
      </c>
      <c r="C11914" s="8" t="s">
        <v>50142</v>
      </c>
      <c r="G11914" s="8">
        <v>20</v>
      </c>
      <c r="H11914" s="8" t="s">
        <v>21</v>
      </c>
      <c r="I11914" s="8" t="s">
        <v>22</v>
      </c>
      <c r="J11914" s="8" t="s">
        <v>22</v>
      </c>
      <c r="K11914" s="8" t="s">
        <v>449</v>
      </c>
      <c r="L11914" s="8" t="s">
        <v>18681</v>
      </c>
      <c r="M11914" s="8" t="s">
        <v>18682</v>
      </c>
      <c r="N11914" s="8" t="s">
        <v>50143</v>
      </c>
      <c r="O11914" s="8">
        <f>13+1/60+25.6/3600</f>
        <v>13.023777777777779</v>
      </c>
      <c r="P11914" s="8" t="s">
        <v>50144</v>
      </c>
      <c r="Q11914" s="8">
        <f>+(39+54/60+53/3600)</f>
        <v>39.914722222222224</v>
      </c>
      <c r="R11914" s="8">
        <v>14.6</v>
      </c>
      <c r="S11914" s="8">
        <v>15.4</v>
      </c>
      <c r="T11914" s="8">
        <v>0.8</v>
      </c>
      <c r="U11914" s="8">
        <v>12.3</v>
      </c>
      <c r="V11914" s="8">
        <v>0.7</v>
      </c>
      <c r="W11914" s="8">
        <v>0.2</v>
      </c>
      <c r="X11914" s="8">
        <v>145</v>
      </c>
      <c r="Y11914" s="8" t="s">
        <v>45514</v>
      </c>
      <c r="Z11914" s="8" t="s">
        <v>45515</v>
      </c>
    </row>
    <row r="11915" spans="1:26" x14ac:dyDescent="0.2">
      <c r="A11915" s="8">
        <v>11914</v>
      </c>
      <c r="B11915" s="8" t="s">
        <v>50145</v>
      </c>
      <c r="C11915" s="8" t="s">
        <v>50145</v>
      </c>
      <c r="G11915" s="8">
        <v>20</v>
      </c>
      <c r="H11915" s="8" t="s">
        <v>21</v>
      </c>
      <c r="I11915" s="8" t="s">
        <v>22</v>
      </c>
      <c r="J11915" s="8" t="s">
        <v>22</v>
      </c>
      <c r="K11915" s="8" t="s">
        <v>449</v>
      </c>
      <c r="L11915" s="8" t="s">
        <v>18289</v>
      </c>
      <c r="M11915" s="8" t="s">
        <v>18290</v>
      </c>
      <c r="N11915" s="8" t="s">
        <v>50146</v>
      </c>
      <c r="O11915" s="8">
        <f>13+1/60+48.8/3600</f>
        <v>13.030222222222223</v>
      </c>
      <c r="P11915" s="8" t="s">
        <v>50147</v>
      </c>
      <c r="Q11915" s="8">
        <f>+(19+0/60+31/3600)</f>
        <v>19.008611111111112</v>
      </c>
      <c r="R11915" s="8">
        <v>16.2</v>
      </c>
      <c r="S11915" s="8">
        <v>17</v>
      </c>
      <c r="T11915" s="8">
        <v>0.8</v>
      </c>
      <c r="U11915" s="8">
        <v>13.4</v>
      </c>
      <c r="V11915" s="8">
        <v>0.3</v>
      </c>
      <c r="W11915" s="8">
        <v>0.3</v>
      </c>
      <c r="Y11915" s="8" t="s">
        <v>45218</v>
      </c>
      <c r="Z11915" s="8" t="s">
        <v>45219</v>
      </c>
    </row>
    <row r="11916" spans="1:26" x14ac:dyDescent="0.2">
      <c r="A11916" s="8">
        <v>11915</v>
      </c>
      <c r="B11916" s="8" t="s">
        <v>50148</v>
      </c>
      <c r="C11916" s="8" t="s">
        <v>50148</v>
      </c>
      <c r="G11916" s="8">
        <v>20</v>
      </c>
      <c r="H11916" s="8" t="s">
        <v>21</v>
      </c>
      <c r="I11916" s="8" t="s">
        <v>22</v>
      </c>
      <c r="J11916" s="8" t="s">
        <v>22</v>
      </c>
      <c r="K11916" s="8" t="s">
        <v>382</v>
      </c>
      <c r="L11916" s="8" t="s">
        <v>18289</v>
      </c>
      <c r="M11916" s="8" t="s">
        <v>18290</v>
      </c>
      <c r="N11916" s="8" t="s">
        <v>50149</v>
      </c>
      <c r="O11916" s="8">
        <f>13+1/60+48.6/3600</f>
        <v>13.030166666666668</v>
      </c>
      <c r="P11916" s="8" t="s">
        <v>49921</v>
      </c>
      <c r="Q11916" s="8">
        <f>+(19+57/60+53/3600)</f>
        <v>19.964722222222221</v>
      </c>
      <c r="R11916" s="8">
        <v>15</v>
      </c>
      <c r="S11916" s="8">
        <v>16</v>
      </c>
      <c r="T11916" s="8">
        <v>1</v>
      </c>
      <c r="U11916" s="8">
        <v>12</v>
      </c>
      <c r="V11916" s="8">
        <v>0.3</v>
      </c>
      <c r="W11916" s="8">
        <v>0.2</v>
      </c>
      <c r="X11916" s="8">
        <v>100</v>
      </c>
      <c r="Y11916" s="8" t="s">
        <v>47564</v>
      </c>
      <c r="Z11916" s="8" t="s">
        <v>47565</v>
      </c>
    </row>
    <row r="11917" spans="1:26" x14ac:dyDescent="0.2">
      <c r="A11917" s="8">
        <v>11916</v>
      </c>
      <c r="B11917" s="8" t="s">
        <v>50150</v>
      </c>
      <c r="C11917" s="8" t="s">
        <v>50150</v>
      </c>
      <c r="G11917" s="8">
        <v>20</v>
      </c>
      <c r="H11917" s="8" t="s">
        <v>21</v>
      </c>
      <c r="I11917" s="8" t="s">
        <v>22</v>
      </c>
      <c r="J11917" s="8" t="s">
        <v>22</v>
      </c>
      <c r="K11917" s="8" t="s">
        <v>460</v>
      </c>
      <c r="L11917" s="8" t="s">
        <v>18289</v>
      </c>
      <c r="M11917" s="8" t="s">
        <v>18290</v>
      </c>
      <c r="N11917" s="8" t="s">
        <v>50151</v>
      </c>
      <c r="O11917" s="8">
        <f>13+1/60+48.5/3600</f>
        <v>13.03013888888889</v>
      </c>
      <c r="P11917" s="8" t="s">
        <v>50152</v>
      </c>
      <c r="Q11917" s="8">
        <f>+(23+23/60+23/3600)</f>
        <v>23.389722222222222</v>
      </c>
      <c r="R11917" s="8">
        <v>16.2</v>
      </c>
      <c r="S11917" s="8">
        <v>17.2</v>
      </c>
      <c r="T11917" s="8">
        <v>1</v>
      </c>
      <c r="U11917" s="8">
        <v>13.7</v>
      </c>
      <c r="V11917" s="8">
        <v>0.3</v>
      </c>
      <c r="W11917" s="8">
        <v>0.3</v>
      </c>
      <c r="Y11917" s="8" t="s">
        <v>50153</v>
      </c>
      <c r="Z11917" s="8" t="s">
        <v>50154</v>
      </c>
    </row>
    <row r="11918" spans="1:26" x14ac:dyDescent="0.2">
      <c r="A11918" s="8">
        <v>11917</v>
      </c>
      <c r="B11918" s="8" t="s">
        <v>50155</v>
      </c>
      <c r="C11918" s="8" t="s">
        <v>50155</v>
      </c>
      <c r="G11918" s="8">
        <v>20</v>
      </c>
      <c r="H11918" s="8" t="s">
        <v>21</v>
      </c>
      <c r="I11918" s="8" t="s">
        <v>22</v>
      </c>
      <c r="J11918" s="8" t="s">
        <v>22</v>
      </c>
      <c r="K11918" s="8" t="s">
        <v>424</v>
      </c>
      <c r="L11918" s="8" t="s">
        <v>18681</v>
      </c>
      <c r="M11918" s="8" t="s">
        <v>18682</v>
      </c>
      <c r="N11918" s="8" t="s">
        <v>50156</v>
      </c>
      <c r="O11918" s="8">
        <f>13+1/60+34/3600</f>
        <v>13.026111111111112</v>
      </c>
      <c r="P11918" s="8" t="s">
        <v>50157</v>
      </c>
      <c r="Q11918" s="8">
        <f>+(37+23/60+12/3600)</f>
        <v>37.386666666666663</v>
      </c>
      <c r="R11918" s="8">
        <v>15.1</v>
      </c>
      <c r="S11918" s="8">
        <v>16.100000000000001</v>
      </c>
      <c r="T11918" s="8">
        <v>1</v>
      </c>
      <c r="U11918" s="8">
        <v>11.9</v>
      </c>
      <c r="V11918" s="8">
        <v>0.3</v>
      </c>
      <c r="W11918" s="8">
        <v>0.2</v>
      </c>
      <c r="X11918" s="8">
        <v>60</v>
      </c>
      <c r="Y11918" s="8" t="s">
        <v>2641</v>
      </c>
      <c r="Z11918" s="8" t="s">
        <v>2642</v>
      </c>
    </row>
    <row r="11919" spans="1:26" x14ac:dyDescent="0.2">
      <c r="A11919" s="8">
        <v>11918</v>
      </c>
      <c r="B11919" s="8" t="s">
        <v>50158</v>
      </c>
      <c r="C11919" s="8" t="s">
        <v>50158</v>
      </c>
      <c r="G11919" s="8">
        <v>20</v>
      </c>
      <c r="H11919" s="8" t="s">
        <v>21</v>
      </c>
      <c r="I11919" s="8" t="s">
        <v>72</v>
      </c>
      <c r="J11919" s="8" t="s">
        <v>72</v>
      </c>
      <c r="K11919" s="8" t="s">
        <v>73</v>
      </c>
      <c r="L11919" s="8" t="s">
        <v>18681</v>
      </c>
      <c r="M11919" s="8" t="s">
        <v>18682</v>
      </c>
      <c r="N11919" s="8" t="s">
        <v>50159</v>
      </c>
      <c r="O11919" s="8">
        <f>13+1/60+35.8/3600</f>
        <v>13.026611111111112</v>
      </c>
      <c r="P11919" s="8" t="s">
        <v>50160</v>
      </c>
      <c r="Q11919" s="8">
        <f>+(36+35/60+39/3600)</f>
        <v>36.594166666666666</v>
      </c>
      <c r="R11919" s="8">
        <v>99</v>
      </c>
      <c r="S11919" s="8">
        <v>99</v>
      </c>
      <c r="T11919" s="8">
        <v>99</v>
      </c>
      <c r="U11919" s="8">
        <v>99</v>
      </c>
      <c r="Y11919" s="8" t="s">
        <v>45744</v>
      </c>
      <c r="Z11919" s="8" t="s">
        <v>45745</v>
      </c>
    </row>
    <row r="11920" spans="1:26" x14ac:dyDescent="0.2">
      <c r="A11920" s="8">
        <v>11919</v>
      </c>
      <c r="B11920" s="8" t="s">
        <v>50161</v>
      </c>
      <c r="C11920" s="8" t="s">
        <v>50161</v>
      </c>
      <c r="G11920" s="8">
        <v>20</v>
      </c>
      <c r="H11920" s="8" t="s">
        <v>21</v>
      </c>
      <c r="I11920" s="8" t="s">
        <v>22</v>
      </c>
      <c r="J11920" s="8" t="s">
        <v>22</v>
      </c>
      <c r="K11920" s="8" t="s">
        <v>424</v>
      </c>
      <c r="L11920" s="8" t="s">
        <v>18289</v>
      </c>
      <c r="M11920" s="8" t="s">
        <v>18290</v>
      </c>
      <c r="N11920" s="8" t="s">
        <v>50162</v>
      </c>
      <c r="O11920" s="8">
        <f>13+1/60+56.8/3600</f>
        <v>13.032444444444446</v>
      </c>
      <c r="P11920" s="8" t="s">
        <v>50163</v>
      </c>
      <c r="Q11920" s="8">
        <f>+(19+14/60+54/3600)</f>
        <v>19.248333333333335</v>
      </c>
      <c r="R11920" s="8">
        <v>16.5</v>
      </c>
      <c r="S11920" s="8">
        <v>17.5</v>
      </c>
      <c r="T11920" s="8">
        <v>1</v>
      </c>
      <c r="U11920" s="8">
        <v>11.4</v>
      </c>
      <c r="V11920" s="8">
        <v>0.1</v>
      </c>
      <c r="W11920" s="8">
        <v>0.1</v>
      </c>
      <c r="Y11920" s="8" t="s">
        <v>50164</v>
      </c>
      <c r="Z11920" s="8" t="s">
        <v>50165</v>
      </c>
    </row>
    <row r="11921" spans="1:26" x14ac:dyDescent="0.2">
      <c r="A11921" s="8">
        <v>11920</v>
      </c>
      <c r="B11921" s="8" t="s">
        <v>50166</v>
      </c>
      <c r="C11921" s="8" t="s">
        <v>50166</v>
      </c>
      <c r="E11921" s="8">
        <v>1</v>
      </c>
      <c r="G11921" s="8">
        <v>20</v>
      </c>
      <c r="H11921" s="8" t="s">
        <v>21</v>
      </c>
      <c r="I11921" s="8" t="s">
        <v>22</v>
      </c>
      <c r="J11921" s="8" t="s">
        <v>22</v>
      </c>
      <c r="K11921" s="8" t="s">
        <v>449</v>
      </c>
      <c r="L11921" s="8" t="s">
        <v>18289</v>
      </c>
      <c r="M11921" s="8" t="s">
        <v>18290</v>
      </c>
      <c r="N11921" s="8" t="s">
        <v>22169</v>
      </c>
      <c r="O11921" s="8">
        <f>13+1/60+57.6/3600</f>
        <v>13.032666666666668</v>
      </c>
      <c r="P11921" s="8" t="s">
        <v>50167</v>
      </c>
      <c r="Q11921" s="8">
        <f>+(19+15/60+11/3600)</f>
        <v>19.253055555555555</v>
      </c>
      <c r="R11921" s="8">
        <v>16.2</v>
      </c>
      <c r="S11921" s="8">
        <v>17</v>
      </c>
      <c r="T11921" s="8">
        <v>0.8</v>
      </c>
      <c r="U11921" s="8">
        <v>12.6</v>
      </c>
      <c r="V11921" s="8">
        <v>0.2</v>
      </c>
      <c r="W11921" s="8">
        <v>0.2</v>
      </c>
      <c r="Y11921" s="8" t="s">
        <v>50168</v>
      </c>
      <c r="Z11921" s="8" t="s">
        <v>50169</v>
      </c>
    </row>
    <row r="11922" spans="1:26" x14ac:dyDescent="0.2">
      <c r="A11922" s="8">
        <v>11921</v>
      </c>
      <c r="B11922" s="8" t="s">
        <v>50170</v>
      </c>
      <c r="C11922" s="8" t="s">
        <v>50170</v>
      </c>
      <c r="G11922" s="8">
        <v>20</v>
      </c>
      <c r="H11922" s="8" t="s">
        <v>21</v>
      </c>
      <c r="I11922" s="8" t="s">
        <v>22</v>
      </c>
      <c r="J11922" s="8" t="s">
        <v>22</v>
      </c>
      <c r="K11922" s="8" t="s">
        <v>382</v>
      </c>
      <c r="L11922" s="8" t="s">
        <v>18289</v>
      </c>
      <c r="M11922" s="8" t="s">
        <v>18290</v>
      </c>
      <c r="N11922" s="8" t="s">
        <v>50171</v>
      </c>
      <c r="O11922" s="8">
        <f>13+1/60+55.2/3600</f>
        <v>13.032</v>
      </c>
      <c r="P11922" s="8" t="s">
        <v>50172</v>
      </c>
      <c r="Q11922" s="8">
        <f>+(22+46/60+18/3600)</f>
        <v>22.771666666666665</v>
      </c>
      <c r="R11922" s="8">
        <v>15.7</v>
      </c>
      <c r="S11922" s="8">
        <v>16.7</v>
      </c>
      <c r="T11922" s="8">
        <v>1</v>
      </c>
      <c r="U11922" s="8">
        <v>12.7</v>
      </c>
      <c r="V11922" s="8">
        <v>0.3</v>
      </c>
      <c r="W11922" s="8">
        <v>0.2</v>
      </c>
      <c r="X11922" s="8">
        <v>150</v>
      </c>
      <c r="Y11922" s="8" t="s">
        <v>3952</v>
      </c>
      <c r="Z11922" s="8" t="s">
        <v>3953</v>
      </c>
    </row>
    <row r="11923" spans="1:26" x14ac:dyDescent="0.2">
      <c r="A11923" s="8">
        <v>11922</v>
      </c>
      <c r="B11923" s="8" t="s">
        <v>50173</v>
      </c>
      <c r="C11923" s="8" t="s">
        <v>50173</v>
      </c>
      <c r="G11923" s="8">
        <v>20</v>
      </c>
      <c r="H11923" s="8" t="s">
        <v>21</v>
      </c>
      <c r="I11923" s="8" t="s">
        <v>22</v>
      </c>
      <c r="J11923" s="8" t="s">
        <v>22</v>
      </c>
      <c r="K11923" s="8" t="s">
        <v>382</v>
      </c>
      <c r="L11923" s="8" t="s">
        <v>18681</v>
      </c>
      <c r="M11923" s="8" t="s">
        <v>18682</v>
      </c>
      <c r="N11923" s="8" t="s">
        <v>50174</v>
      </c>
      <c r="O11923" s="8">
        <f>13+1/60+39.3/3600</f>
        <v>13.027583333333334</v>
      </c>
      <c r="P11923" s="8" t="s">
        <v>50175</v>
      </c>
      <c r="Q11923" s="8">
        <f>+(37+20/60+27/3600)</f>
        <v>37.340833333333336</v>
      </c>
      <c r="R11923" s="8">
        <v>15.5</v>
      </c>
      <c r="S11923" s="8">
        <v>16.5</v>
      </c>
      <c r="T11923" s="8">
        <v>1</v>
      </c>
      <c r="U11923" s="8">
        <v>12.5</v>
      </c>
      <c r="V11923" s="8">
        <v>0.3</v>
      </c>
      <c r="W11923" s="8">
        <v>0.2</v>
      </c>
      <c r="X11923" s="8">
        <v>100</v>
      </c>
      <c r="Y11923" s="8" t="s">
        <v>22305</v>
      </c>
      <c r="Z11923" s="8" t="s">
        <v>22306</v>
      </c>
    </row>
    <row r="11924" spans="1:26" x14ac:dyDescent="0.2">
      <c r="A11924" s="8">
        <v>11923</v>
      </c>
      <c r="B11924" s="8" t="s">
        <v>50176</v>
      </c>
      <c r="C11924" s="8" t="s">
        <v>50176</v>
      </c>
      <c r="G11924" s="8">
        <v>20</v>
      </c>
      <c r="H11924" s="8" t="s">
        <v>21</v>
      </c>
      <c r="I11924" s="8" t="s">
        <v>22</v>
      </c>
      <c r="J11924" s="8" t="s">
        <v>22</v>
      </c>
      <c r="K11924" s="8" t="s">
        <v>224</v>
      </c>
      <c r="L11924" s="8" t="s">
        <v>18681</v>
      </c>
      <c r="M11924" s="8" t="s">
        <v>18682</v>
      </c>
      <c r="N11924" s="8" t="s">
        <v>50177</v>
      </c>
      <c r="O11924" s="8">
        <f>13+1/60+38.7/3600</f>
        <v>13.027416666666667</v>
      </c>
      <c r="P11924" s="8" t="s">
        <v>50178</v>
      </c>
      <c r="Q11924" s="8">
        <f>+(38+8/60+32/3600)</f>
        <v>38.142222222222223</v>
      </c>
      <c r="R11924" s="8">
        <v>15.5</v>
      </c>
      <c r="S11924" s="8">
        <v>16.5</v>
      </c>
      <c r="T11924" s="8">
        <v>1</v>
      </c>
      <c r="U11924" s="8">
        <v>13</v>
      </c>
      <c r="V11924" s="8">
        <v>0.4</v>
      </c>
      <c r="W11924" s="8">
        <v>0.3</v>
      </c>
      <c r="X11924" s="8">
        <v>20</v>
      </c>
      <c r="Y11924" s="8" t="s">
        <v>50179</v>
      </c>
      <c r="Z11924" s="8" t="s">
        <v>50180</v>
      </c>
    </row>
    <row r="11925" spans="1:26" x14ac:dyDescent="0.2">
      <c r="A11925" s="8">
        <v>11924</v>
      </c>
      <c r="B11925" s="8" t="s">
        <v>50181</v>
      </c>
      <c r="C11925" s="8" t="s">
        <v>50181</v>
      </c>
      <c r="G11925" s="8">
        <v>20</v>
      </c>
      <c r="H11925" s="8" t="s">
        <v>21</v>
      </c>
      <c r="I11925" s="8" t="s">
        <v>72</v>
      </c>
      <c r="J11925" s="8" t="s">
        <v>72</v>
      </c>
      <c r="K11925" s="8" t="s">
        <v>73</v>
      </c>
      <c r="L11925" s="8" t="s">
        <v>18681</v>
      </c>
      <c r="M11925" s="8" t="s">
        <v>18682</v>
      </c>
      <c r="N11925" s="8" t="s">
        <v>50182</v>
      </c>
      <c r="O11925" s="8">
        <f>13+1/60+41.2/3600</f>
        <v>13.028111111111112</v>
      </c>
      <c r="P11925" s="8" t="s">
        <v>50183</v>
      </c>
      <c r="Q11925" s="8">
        <f>+(36+57/60+57/3600)</f>
        <v>36.965833333333336</v>
      </c>
      <c r="R11925" s="8">
        <v>99</v>
      </c>
      <c r="S11925" s="8">
        <v>99</v>
      </c>
      <c r="T11925" s="8">
        <v>99</v>
      </c>
      <c r="U11925" s="8">
        <v>99</v>
      </c>
      <c r="Y11925" s="8" t="s">
        <v>18110</v>
      </c>
      <c r="Z11925" s="8" t="s">
        <v>18111</v>
      </c>
    </row>
    <row r="11926" spans="1:26" x14ac:dyDescent="0.2">
      <c r="A11926" s="8">
        <v>11925</v>
      </c>
      <c r="B11926" s="8" t="s">
        <v>50184</v>
      </c>
      <c r="C11926" s="8" t="s">
        <v>50184</v>
      </c>
      <c r="G11926" s="8">
        <v>20</v>
      </c>
      <c r="H11926" s="8" t="s">
        <v>21</v>
      </c>
      <c r="I11926" s="8" t="s">
        <v>22</v>
      </c>
      <c r="J11926" s="8" t="s">
        <v>22</v>
      </c>
      <c r="K11926" s="8" t="s">
        <v>382</v>
      </c>
      <c r="L11926" s="8" t="s">
        <v>18681</v>
      </c>
      <c r="M11926" s="8" t="s">
        <v>18682</v>
      </c>
      <c r="N11926" s="8" t="s">
        <v>50185</v>
      </c>
      <c r="O11926" s="8">
        <f>13+1/60+38.1/3600</f>
        <v>13.02725</v>
      </c>
      <c r="P11926" s="8" t="s">
        <v>50186</v>
      </c>
      <c r="Q11926" s="8">
        <f>+(39+42/60+12/3600)</f>
        <v>39.703333333333333</v>
      </c>
      <c r="R11926" s="8">
        <v>15</v>
      </c>
      <c r="S11926" s="8">
        <v>16</v>
      </c>
      <c r="T11926" s="8">
        <v>1</v>
      </c>
      <c r="U11926" s="8">
        <v>12</v>
      </c>
      <c r="V11926" s="8">
        <v>0.3</v>
      </c>
      <c r="W11926" s="8">
        <v>0.2</v>
      </c>
      <c r="X11926" s="8">
        <v>140</v>
      </c>
      <c r="Y11926" s="8" t="s">
        <v>115</v>
      </c>
      <c r="Z11926" s="8" t="s">
        <v>116</v>
      </c>
    </row>
    <row r="11927" spans="1:26" x14ac:dyDescent="0.2">
      <c r="A11927" s="8">
        <v>11926</v>
      </c>
      <c r="B11927" s="8" t="s">
        <v>50187</v>
      </c>
      <c r="C11927" s="8" t="s">
        <v>50187</v>
      </c>
      <c r="G11927" s="8">
        <v>20</v>
      </c>
      <c r="H11927" s="8" t="s">
        <v>21</v>
      </c>
      <c r="I11927" s="8" t="s">
        <v>22</v>
      </c>
      <c r="J11927" s="8" t="s">
        <v>22</v>
      </c>
      <c r="K11927" s="8" t="s">
        <v>160</v>
      </c>
      <c r="L11927" s="8" t="s">
        <v>18681</v>
      </c>
      <c r="M11927" s="8" t="s">
        <v>18682</v>
      </c>
      <c r="N11927" s="8" t="s">
        <v>50188</v>
      </c>
      <c r="O11927" s="8">
        <f>13+1/60+43/3600</f>
        <v>13.028611111111111</v>
      </c>
      <c r="P11927" s="8" t="s">
        <v>50189</v>
      </c>
      <c r="Q11927" s="8">
        <f>+(36+38/60+52/3600)</f>
        <v>36.647777777777776</v>
      </c>
      <c r="R11927" s="8">
        <v>14.6</v>
      </c>
      <c r="S11927" s="8">
        <v>15.3</v>
      </c>
      <c r="T11927" s="8">
        <v>0.7</v>
      </c>
      <c r="U11927" s="8">
        <v>13.7</v>
      </c>
      <c r="V11927" s="8">
        <v>0.9</v>
      </c>
      <c r="W11927" s="8">
        <v>0.8</v>
      </c>
      <c r="X11927" s="8">
        <v>12</v>
      </c>
      <c r="Y11927" s="8" t="s">
        <v>21</v>
      </c>
      <c r="Z11927" s="8" t="s">
        <v>50190</v>
      </c>
    </row>
    <row r="11928" spans="1:26" x14ac:dyDescent="0.2">
      <c r="A11928" s="8">
        <v>11927</v>
      </c>
      <c r="B11928" s="8" t="s">
        <v>50191</v>
      </c>
      <c r="C11928" s="8" t="s">
        <v>50191</v>
      </c>
      <c r="G11928" s="8">
        <v>20</v>
      </c>
      <c r="H11928" s="8" t="s">
        <v>21</v>
      </c>
      <c r="I11928" s="8" t="s">
        <v>22</v>
      </c>
      <c r="J11928" s="8" t="s">
        <v>22</v>
      </c>
      <c r="K11928" s="8" t="s">
        <v>449</v>
      </c>
      <c r="L11928" s="8" t="s">
        <v>18289</v>
      </c>
      <c r="M11928" s="8" t="s">
        <v>18290</v>
      </c>
      <c r="N11928" s="8" t="s">
        <v>50192</v>
      </c>
      <c r="O11928" s="8">
        <f>13+2/60+0.4/3600</f>
        <v>13.033444444444445</v>
      </c>
      <c r="P11928" s="8" t="s">
        <v>50193</v>
      </c>
      <c r="Q11928" s="8">
        <f>+(19+59/60+39/3600)</f>
        <v>19.994166666666668</v>
      </c>
      <c r="R11928" s="8">
        <v>15.2</v>
      </c>
      <c r="S11928" s="8">
        <v>16</v>
      </c>
      <c r="T11928" s="8">
        <v>0.8</v>
      </c>
      <c r="U11928" s="8">
        <v>12.7</v>
      </c>
      <c r="V11928" s="8">
        <v>0.4</v>
      </c>
      <c r="W11928" s="8">
        <v>0.3</v>
      </c>
      <c r="X11928" s="8">
        <v>0</v>
      </c>
      <c r="Y11928" s="8" t="s">
        <v>50194</v>
      </c>
      <c r="Z11928" s="8" t="s">
        <v>50195</v>
      </c>
    </row>
    <row r="11929" spans="1:26" x14ac:dyDescent="0.2">
      <c r="A11929" s="8">
        <v>11928</v>
      </c>
      <c r="B11929" s="8" t="s">
        <v>50196</v>
      </c>
      <c r="C11929" s="8" t="s">
        <v>50196</v>
      </c>
      <c r="G11929" s="8">
        <v>20</v>
      </c>
      <c r="H11929" s="8" t="s">
        <v>21</v>
      </c>
      <c r="I11929" s="8" t="s">
        <v>22</v>
      </c>
      <c r="J11929" s="8" t="s">
        <v>22</v>
      </c>
      <c r="K11929" s="8" t="s">
        <v>31</v>
      </c>
      <c r="L11929" s="8" t="s">
        <v>18289</v>
      </c>
      <c r="M11929" s="8" t="s">
        <v>18290</v>
      </c>
      <c r="N11929" s="8" t="s">
        <v>50197</v>
      </c>
      <c r="O11929" s="8">
        <f>13+1/60+43.5/3600</f>
        <v>13.02875</v>
      </c>
      <c r="P11929" s="8" t="s">
        <v>50198</v>
      </c>
      <c r="Q11929" s="8">
        <f>+(29+2/60+39/3600)</f>
        <v>29.044166666666669</v>
      </c>
      <c r="R11929" s="8">
        <v>13.8</v>
      </c>
      <c r="S11929" s="8">
        <v>14.7</v>
      </c>
      <c r="T11929" s="8">
        <v>0.9</v>
      </c>
      <c r="U11929" s="8">
        <v>13.4</v>
      </c>
      <c r="V11929" s="8">
        <v>1.5</v>
      </c>
      <c r="W11929" s="8">
        <v>0.5</v>
      </c>
      <c r="X11929" s="8">
        <v>89</v>
      </c>
      <c r="Y11929" s="8" t="s">
        <v>21</v>
      </c>
      <c r="Z11929" s="8" t="s">
        <v>50199</v>
      </c>
    </row>
    <row r="11930" spans="1:26" x14ac:dyDescent="0.2">
      <c r="A11930" s="8">
        <v>11929</v>
      </c>
      <c r="B11930" s="8" t="s">
        <v>50200</v>
      </c>
      <c r="C11930" s="8" t="s">
        <v>50200</v>
      </c>
      <c r="G11930" s="8">
        <v>20</v>
      </c>
      <c r="H11930" s="8" t="s">
        <v>21</v>
      </c>
      <c r="I11930" s="8" t="s">
        <v>22</v>
      </c>
      <c r="J11930" s="8" t="s">
        <v>22</v>
      </c>
      <c r="K11930" s="8" t="s">
        <v>449</v>
      </c>
      <c r="L11930" s="8" t="s">
        <v>18289</v>
      </c>
      <c r="M11930" s="8" t="s">
        <v>18290</v>
      </c>
      <c r="N11930" s="8" t="s">
        <v>22094</v>
      </c>
      <c r="O11930" s="8">
        <f>13+2/60+1.7/3600</f>
        <v>13.033805555555556</v>
      </c>
      <c r="P11930" s="8" t="s">
        <v>50201</v>
      </c>
      <c r="Q11930" s="8">
        <f>+(19+30/60+10/3600)</f>
        <v>19.502777777777776</v>
      </c>
      <c r="R11930" s="8">
        <v>15.7</v>
      </c>
      <c r="S11930" s="8">
        <v>16.5</v>
      </c>
      <c r="T11930" s="8">
        <v>0.8</v>
      </c>
      <c r="U11930" s="8">
        <v>12.1</v>
      </c>
      <c r="V11930" s="8">
        <v>0.2</v>
      </c>
      <c r="W11930" s="8">
        <v>0.2</v>
      </c>
      <c r="Y11930" s="8" t="s">
        <v>50202</v>
      </c>
      <c r="Z11930" s="8" t="s">
        <v>50203</v>
      </c>
    </row>
    <row r="11931" spans="1:26" x14ac:dyDescent="0.2">
      <c r="A11931" s="8">
        <v>11930</v>
      </c>
      <c r="B11931" s="8" t="s">
        <v>50204</v>
      </c>
      <c r="C11931" s="8" t="s">
        <v>50204</v>
      </c>
      <c r="G11931" s="8">
        <v>20</v>
      </c>
      <c r="H11931" s="8" t="s">
        <v>21</v>
      </c>
      <c r="I11931" s="8" t="s">
        <v>72</v>
      </c>
      <c r="J11931" s="8" t="s">
        <v>72</v>
      </c>
      <c r="K11931" s="8" t="s">
        <v>20</v>
      </c>
      <c r="L11931" s="8" t="s">
        <v>18681</v>
      </c>
      <c r="M11931" s="8" t="s">
        <v>18682</v>
      </c>
      <c r="N11931" s="8" t="s">
        <v>50205</v>
      </c>
      <c r="O11931" s="8">
        <f>13+1/60+46.4/3600</f>
        <v>13.029555555555556</v>
      </c>
      <c r="P11931" s="8" t="s">
        <v>50206</v>
      </c>
      <c r="Q11931" s="8">
        <f>+(36+50/60+14/3600)</f>
        <v>36.837222222222223</v>
      </c>
      <c r="R11931" s="8">
        <v>99</v>
      </c>
      <c r="S11931" s="8">
        <v>99</v>
      </c>
      <c r="T11931" s="8">
        <v>99</v>
      </c>
      <c r="U11931" s="8">
        <v>99</v>
      </c>
      <c r="Y11931" s="8" t="s">
        <v>45158</v>
      </c>
      <c r="Z11931" s="8" t="s">
        <v>45159</v>
      </c>
    </row>
    <row r="11932" spans="1:26" x14ac:dyDescent="0.2">
      <c r="A11932" s="8">
        <v>11931</v>
      </c>
      <c r="B11932" s="8" t="s">
        <v>50207</v>
      </c>
      <c r="C11932" s="8" t="s">
        <v>50207</v>
      </c>
      <c r="G11932" s="8">
        <v>20</v>
      </c>
      <c r="H11932" s="8" t="s">
        <v>21</v>
      </c>
      <c r="I11932" s="8" t="s">
        <v>22</v>
      </c>
      <c r="J11932" s="8" t="s">
        <v>22</v>
      </c>
      <c r="K11932" s="8" t="s">
        <v>449</v>
      </c>
      <c r="L11932" s="8" t="s">
        <v>18289</v>
      </c>
      <c r="M11932" s="8" t="s">
        <v>18290</v>
      </c>
      <c r="N11932" s="8" t="s">
        <v>50208</v>
      </c>
      <c r="O11932" s="8">
        <f>13+2/60+12.8/3600</f>
        <v>13.036888888888889</v>
      </c>
      <c r="P11932" s="8" t="s">
        <v>50209</v>
      </c>
      <c r="Q11932" s="8">
        <f>+(19+53/60+34/3600)</f>
        <v>19.892777777777777</v>
      </c>
      <c r="R11932" s="8">
        <v>15.4</v>
      </c>
      <c r="S11932" s="8">
        <v>16.2</v>
      </c>
      <c r="T11932" s="8">
        <v>0.8</v>
      </c>
      <c r="U11932" s="8">
        <v>11.4</v>
      </c>
      <c r="V11932" s="8">
        <v>0.3</v>
      </c>
      <c r="W11932" s="8">
        <v>0.1</v>
      </c>
      <c r="X11932" s="8">
        <v>135</v>
      </c>
      <c r="Y11932" s="8" t="s">
        <v>45086</v>
      </c>
      <c r="Z11932" s="8" t="s">
        <v>45087</v>
      </c>
    </row>
    <row r="11933" spans="1:26" x14ac:dyDescent="0.2">
      <c r="A11933" s="8">
        <v>11932</v>
      </c>
      <c r="B11933" s="8" t="s">
        <v>50210</v>
      </c>
      <c r="C11933" s="8" t="s">
        <v>50210</v>
      </c>
      <c r="G11933" s="8">
        <v>20</v>
      </c>
      <c r="H11933" s="8" t="s">
        <v>21</v>
      </c>
      <c r="I11933" s="8" t="s">
        <v>72</v>
      </c>
      <c r="J11933" s="8" t="s">
        <v>72</v>
      </c>
      <c r="K11933" s="8" t="s">
        <v>20</v>
      </c>
      <c r="L11933" s="8" t="s">
        <v>18289</v>
      </c>
      <c r="M11933" s="8" t="s">
        <v>18290</v>
      </c>
      <c r="N11933" s="8" t="s">
        <v>50211</v>
      </c>
      <c r="O11933" s="8">
        <f>13+2/60+13.8/3600</f>
        <v>13.037166666666666</v>
      </c>
      <c r="P11933" s="8" t="s">
        <v>50212</v>
      </c>
      <c r="Q11933" s="8">
        <f>+(19+11/60+1/3600)</f>
        <v>19.183611111111112</v>
      </c>
      <c r="R11933" s="8">
        <v>99</v>
      </c>
      <c r="S11933" s="8">
        <v>99</v>
      </c>
      <c r="T11933" s="8">
        <v>99</v>
      </c>
      <c r="U11933" s="8">
        <v>99</v>
      </c>
      <c r="Y11933" s="8" t="s">
        <v>45158</v>
      </c>
      <c r="Z11933" s="8" t="s">
        <v>45159</v>
      </c>
    </row>
    <row r="11934" spans="1:26" x14ac:dyDescent="0.2">
      <c r="A11934" s="8">
        <v>11933</v>
      </c>
      <c r="B11934" s="8" t="s">
        <v>50213</v>
      </c>
      <c r="C11934" s="8" t="s">
        <v>50213</v>
      </c>
      <c r="G11934" s="8">
        <v>20</v>
      </c>
      <c r="H11934" s="8" t="s">
        <v>21</v>
      </c>
      <c r="I11934" s="8" t="s">
        <v>329</v>
      </c>
      <c r="J11934" s="8" t="s">
        <v>329</v>
      </c>
      <c r="K11934" s="8" t="s">
        <v>329</v>
      </c>
      <c r="L11934" s="8" t="s">
        <v>18289</v>
      </c>
      <c r="M11934" s="8" t="s">
        <v>18290</v>
      </c>
      <c r="N11934" s="8" t="s">
        <v>50214</v>
      </c>
      <c r="O11934" s="8">
        <f>13+2/60+3/3600</f>
        <v>13.034166666666666</v>
      </c>
      <c r="P11934" s="8" t="s">
        <v>50215</v>
      </c>
      <c r="Q11934" s="8">
        <f>+(28+59/60+42/3600)</f>
        <v>28.995000000000001</v>
      </c>
      <c r="R11934" s="8">
        <v>99</v>
      </c>
      <c r="S11934" s="8">
        <v>99</v>
      </c>
      <c r="T11934" s="8">
        <v>99</v>
      </c>
      <c r="U11934" s="8">
        <v>99</v>
      </c>
      <c r="Y11934" s="8" t="s">
        <v>21</v>
      </c>
      <c r="Z11934" s="8" t="s">
        <v>50216</v>
      </c>
    </row>
    <row r="11935" spans="1:26" x14ac:dyDescent="0.2">
      <c r="A11935" s="8">
        <v>11934</v>
      </c>
      <c r="B11935" s="8" t="s">
        <v>50217</v>
      </c>
      <c r="C11935" s="8" t="s">
        <v>50217</v>
      </c>
      <c r="E11935" s="8">
        <v>1</v>
      </c>
      <c r="G11935" s="8">
        <v>20</v>
      </c>
      <c r="H11935" s="8" t="s">
        <v>21</v>
      </c>
      <c r="I11935" s="8" t="s">
        <v>22</v>
      </c>
      <c r="J11935" s="8" t="s">
        <v>22</v>
      </c>
      <c r="K11935" s="8" t="s">
        <v>449</v>
      </c>
      <c r="L11935" s="8" t="s">
        <v>18681</v>
      </c>
      <c r="M11935" s="8" t="s">
        <v>18682</v>
      </c>
      <c r="N11935" s="8" t="s">
        <v>50218</v>
      </c>
      <c r="O11935" s="8">
        <f>13+1/60+58.5/3600</f>
        <v>13.032916666666667</v>
      </c>
      <c r="P11935" s="8" t="s">
        <v>50219</v>
      </c>
      <c r="Q11935" s="8">
        <f>+(37+47/60+43/3600)</f>
        <v>37.795277777777777</v>
      </c>
      <c r="R11935" s="8">
        <v>15.4</v>
      </c>
      <c r="S11935" s="8">
        <v>16.2</v>
      </c>
      <c r="T11935" s="8">
        <v>0.8</v>
      </c>
      <c r="U11935" s="8">
        <v>12.2</v>
      </c>
      <c r="V11935" s="8">
        <v>0.3</v>
      </c>
      <c r="W11935" s="8">
        <v>0.2</v>
      </c>
      <c r="X11935" s="8">
        <v>150</v>
      </c>
      <c r="Y11935" s="8" t="s">
        <v>45514</v>
      </c>
      <c r="Z11935" s="8" t="s">
        <v>45515</v>
      </c>
    </row>
    <row r="11936" spans="1:26" x14ac:dyDescent="0.2">
      <c r="A11936" s="8">
        <v>11935</v>
      </c>
      <c r="B11936" s="8" t="s">
        <v>50220</v>
      </c>
      <c r="C11936" s="8" t="s">
        <v>50220</v>
      </c>
      <c r="G11936" s="8">
        <v>20</v>
      </c>
      <c r="H11936" s="8" t="s">
        <v>21</v>
      </c>
      <c r="I11936" s="8" t="s">
        <v>22</v>
      </c>
      <c r="J11936" s="8" t="s">
        <v>22</v>
      </c>
      <c r="K11936" s="8" t="s">
        <v>449</v>
      </c>
      <c r="L11936" s="8" t="s">
        <v>18289</v>
      </c>
      <c r="M11936" s="8" t="s">
        <v>18290</v>
      </c>
      <c r="N11936" s="8" t="s">
        <v>50221</v>
      </c>
      <c r="O11936" s="8">
        <f>13+2/60+20.3/3600</f>
        <v>13.038972222222222</v>
      </c>
      <c r="P11936" s="8" t="s">
        <v>50222</v>
      </c>
      <c r="Q11936" s="8">
        <f>+(19+6/60+1/3600)</f>
        <v>19.10027777777778</v>
      </c>
      <c r="R11936" s="8">
        <v>15.8</v>
      </c>
      <c r="S11936" s="8">
        <v>16.600000000000001</v>
      </c>
      <c r="T11936" s="8">
        <v>0.8</v>
      </c>
      <c r="U11936" s="8">
        <v>13.2</v>
      </c>
      <c r="V11936" s="8">
        <v>0.5</v>
      </c>
      <c r="W11936" s="8">
        <v>0.2</v>
      </c>
      <c r="X11936" s="8">
        <v>25</v>
      </c>
      <c r="Y11936" s="8" t="s">
        <v>45218</v>
      </c>
      <c r="Z11936" s="8" t="s">
        <v>45219</v>
      </c>
    </row>
    <row r="11937" spans="1:26" x14ac:dyDescent="0.2">
      <c r="A11937" s="8">
        <v>11936</v>
      </c>
      <c r="B11937" s="8" t="s">
        <v>50223</v>
      </c>
      <c r="C11937" s="8" t="s">
        <v>50223</v>
      </c>
      <c r="G11937" s="8">
        <v>20</v>
      </c>
      <c r="H11937" s="8" t="s">
        <v>21</v>
      </c>
      <c r="I11937" s="8" t="s">
        <v>22</v>
      </c>
      <c r="J11937" s="8" t="s">
        <v>22</v>
      </c>
      <c r="K11937" s="8" t="s">
        <v>460</v>
      </c>
      <c r="L11937" s="8" t="s">
        <v>18289</v>
      </c>
      <c r="M11937" s="8" t="s">
        <v>18290</v>
      </c>
      <c r="N11937" s="8" t="s">
        <v>50224</v>
      </c>
      <c r="O11937" s="8">
        <f>13+2/60+16.9/3600</f>
        <v>13.038027777777778</v>
      </c>
      <c r="P11937" s="8" t="s">
        <v>50225</v>
      </c>
      <c r="Q11937" s="8">
        <f>+(24+0/60+41/3600)</f>
        <v>24.011388888888888</v>
      </c>
      <c r="R11937" s="8">
        <v>16.399999999999999</v>
      </c>
      <c r="S11937" s="8">
        <v>17.399999999999999</v>
      </c>
      <c r="T11937" s="8">
        <v>1</v>
      </c>
      <c r="U11937" s="8">
        <v>13</v>
      </c>
      <c r="V11937" s="8">
        <v>0.2</v>
      </c>
      <c r="W11937" s="8">
        <v>0.2</v>
      </c>
      <c r="Y11937" s="8" t="s">
        <v>45218</v>
      </c>
      <c r="Z11937" s="8" t="s">
        <v>45219</v>
      </c>
    </row>
    <row r="11938" spans="1:26" x14ac:dyDescent="0.2">
      <c r="A11938" s="8">
        <v>11937</v>
      </c>
      <c r="B11938" s="8" t="s">
        <v>50226</v>
      </c>
      <c r="C11938" s="8" t="s">
        <v>50226</v>
      </c>
      <c r="G11938" s="8">
        <v>20</v>
      </c>
      <c r="H11938" s="8" t="s">
        <v>21</v>
      </c>
      <c r="I11938" s="8" t="s">
        <v>72</v>
      </c>
      <c r="J11938" s="8" t="s">
        <v>72</v>
      </c>
      <c r="K11938" s="8" t="s">
        <v>20</v>
      </c>
      <c r="L11938" s="8" t="s">
        <v>18681</v>
      </c>
      <c r="M11938" s="8" t="s">
        <v>18682</v>
      </c>
      <c r="N11938" s="8" t="s">
        <v>50227</v>
      </c>
      <c r="O11938" s="8">
        <f>13+2/60+5.1/3600</f>
        <v>13.034750000000001</v>
      </c>
      <c r="P11938" s="8" t="s">
        <v>50228</v>
      </c>
      <c r="Q11938" s="8">
        <f>+(36+36/60+18/3600)</f>
        <v>36.605000000000004</v>
      </c>
      <c r="R11938" s="8">
        <v>99</v>
      </c>
      <c r="S11938" s="8">
        <v>99</v>
      </c>
      <c r="T11938" s="8">
        <v>99</v>
      </c>
      <c r="U11938" s="8">
        <v>99</v>
      </c>
      <c r="Y11938" s="8" t="s">
        <v>45744</v>
      </c>
      <c r="Z11938" s="8" t="s">
        <v>45745</v>
      </c>
    </row>
    <row r="11939" spans="1:26" x14ac:dyDescent="0.2">
      <c r="A11939" s="8">
        <v>11938</v>
      </c>
      <c r="B11939" s="8" t="s">
        <v>50229</v>
      </c>
      <c r="C11939" s="8" t="s">
        <v>50229</v>
      </c>
      <c r="G11939" s="8">
        <v>20</v>
      </c>
      <c r="H11939" s="8" t="s">
        <v>21</v>
      </c>
      <c r="I11939" s="8" t="s">
        <v>22</v>
      </c>
      <c r="J11939" s="8" t="s">
        <v>22</v>
      </c>
      <c r="K11939" s="8" t="s">
        <v>1174</v>
      </c>
      <c r="L11939" s="8" t="s">
        <v>18681</v>
      </c>
      <c r="M11939" s="8" t="s">
        <v>18682</v>
      </c>
      <c r="N11939" s="8" t="s">
        <v>50230</v>
      </c>
      <c r="O11939" s="8">
        <f>13+2/60+4.1/3600</f>
        <v>13.034472222222222</v>
      </c>
      <c r="P11939" s="8" t="s">
        <v>50231</v>
      </c>
      <c r="Q11939" s="8">
        <f>+(37+58/60+48/3600)</f>
        <v>37.980000000000004</v>
      </c>
      <c r="R11939" s="8">
        <v>15.2</v>
      </c>
      <c r="S11939" s="8">
        <v>16</v>
      </c>
      <c r="T11939" s="8">
        <v>0.8</v>
      </c>
      <c r="U11939" s="8">
        <v>12.3</v>
      </c>
      <c r="V11939" s="8">
        <v>0.4</v>
      </c>
      <c r="W11939" s="8">
        <v>0.2</v>
      </c>
      <c r="X11939" s="8">
        <v>105</v>
      </c>
      <c r="Y11939" s="8" t="s">
        <v>3952</v>
      </c>
      <c r="Z11939" s="8" t="s">
        <v>3953</v>
      </c>
    </row>
    <row r="11940" spans="1:26" x14ac:dyDescent="0.2">
      <c r="A11940" s="8">
        <v>11939</v>
      </c>
      <c r="B11940" s="8" t="s">
        <v>50232</v>
      </c>
      <c r="C11940" s="8" t="s">
        <v>50232</v>
      </c>
      <c r="G11940" s="8">
        <v>20</v>
      </c>
      <c r="H11940" s="8" t="s">
        <v>21</v>
      </c>
      <c r="I11940" s="8" t="s">
        <v>22</v>
      </c>
      <c r="J11940" s="8" t="s">
        <v>22</v>
      </c>
      <c r="K11940" s="8" t="s">
        <v>460</v>
      </c>
      <c r="L11940" s="8" t="s">
        <v>18289</v>
      </c>
      <c r="M11940" s="8" t="s">
        <v>18290</v>
      </c>
      <c r="N11940" s="8" t="s">
        <v>50233</v>
      </c>
      <c r="O11940" s="8">
        <f>13+2/60+23.2/3600</f>
        <v>13.039777777777777</v>
      </c>
      <c r="P11940" s="8" t="s">
        <v>50234</v>
      </c>
      <c r="Q11940" s="8">
        <f>+(24+1/60+47/3600)</f>
        <v>24.029722222222222</v>
      </c>
      <c r="R11940" s="8">
        <v>16.100000000000001</v>
      </c>
      <c r="S11940" s="8">
        <v>17.100000000000001</v>
      </c>
      <c r="T11940" s="8">
        <v>1</v>
      </c>
      <c r="U11940" s="8">
        <v>12.7</v>
      </c>
      <c r="V11940" s="8">
        <v>0.2</v>
      </c>
      <c r="W11940" s="8">
        <v>0.2</v>
      </c>
      <c r="Y11940" s="8" t="s">
        <v>45086</v>
      </c>
      <c r="Z11940" s="8" t="s">
        <v>45087</v>
      </c>
    </row>
    <row r="11941" spans="1:26" x14ac:dyDescent="0.2">
      <c r="A11941" s="8">
        <v>11940</v>
      </c>
      <c r="B11941" s="8" t="s">
        <v>50235</v>
      </c>
      <c r="C11941" s="8" t="s">
        <v>50235</v>
      </c>
      <c r="G11941" s="8">
        <v>20</v>
      </c>
      <c r="H11941" s="8" t="s">
        <v>21</v>
      </c>
      <c r="I11941" s="8" t="s">
        <v>22</v>
      </c>
      <c r="J11941" s="8" t="s">
        <v>22</v>
      </c>
      <c r="K11941" s="8" t="s">
        <v>160</v>
      </c>
      <c r="L11941" s="8" t="s">
        <v>18681</v>
      </c>
      <c r="M11941" s="8" t="s">
        <v>18682</v>
      </c>
      <c r="N11941" s="8" t="s">
        <v>50236</v>
      </c>
      <c r="O11941" s="8">
        <f>13+2/60+4.8/3600</f>
        <v>13.034666666666666</v>
      </c>
      <c r="P11941" s="8" t="s">
        <v>50237</v>
      </c>
      <c r="Q11941" s="8">
        <f>+(40+24/60+31/3600)</f>
        <v>40.408611111111107</v>
      </c>
      <c r="R11941" s="8">
        <v>14</v>
      </c>
      <c r="S11941" s="8">
        <v>14.7</v>
      </c>
      <c r="T11941" s="8">
        <v>0.7</v>
      </c>
      <c r="U11941" s="8">
        <v>14.1</v>
      </c>
      <c r="V11941" s="8">
        <v>1.4</v>
      </c>
      <c r="W11941" s="8">
        <v>1.1000000000000001</v>
      </c>
      <c r="X11941" s="8">
        <v>110</v>
      </c>
      <c r="Y11941" s="8" t="s">
        <v>21</v>
      </c>
      <c r="Z11941" s="8" t="s">
        <v>50238</v>
      </c>
    </row>
    <row r="11942" spans="1:26" x14ac:dyDescent="0.2">
      <c r="A11942" s="8">
        <v>11941</v>
      </c>
      <c r="B11942" s="8" t="s">
        <v>50239</v>
      </c>
      <c r="C11942" s="8" t="s">
        <v>50239</v>
      </c>
      <c r="G11942" s="8">
        <v>20</v>
      </c>
      <c r="H11942" s="8" t="s">
        <v>21</v>
      </c>
      <c r="I11942" s="8" t="s">
        <v>72</v>
      </c>
      <c r="J11942" s="8" t="s">
        <v>72</v>
      </c>
      <c r="K11942" s="8" t="s">
        <v>20</v>
      </c>
      <c r="L11942" s="8" t="s">
        <v>18681</v>
      </c>
      <c r="M11942" s="8" t="s">
        <v>18682</v>
      </c>
      <c r="N11942" s="8" t="s">
        <v>50211</v>
      </c>
      <c r="O11942" s="8">
        <f>13+2/60+13.8/3600</f>
        <v>13.037166666666666</v>
      </c>
      <c r="P11942" s="8" t="s">
        <v>50122</v>
      </c>
      <c r="Q11942" s="8">
        <f>+(39+56/60+27/3600)</f>
        <v>39.94083333333333</v>
      </c>
      <c r="R11942" s="8">
        <v>99</v>
      </c>
      <c r="S11942" s="8">
        <v>99</v>
      </c>
      <c r="T11942" s="8">
        <v>99</v>
      </c>
      <c r="U11942" s="8">
        <v>99</v>
      </c>
      <c r="Y11942" s="8" t="s">
        <v>45086</v>
      </c>
      <c r="Z11942" s="8" t="s">
        <v>45087</v>
      </c>
    </row>
    <row r="11943" spans="1:26" x14ac:dyDescent="0.2">
      <c r="A11943" s="8">
        <v>11942</v>
      </c>
      <c r="B11943" s="8" t="s">
        <v>50240</v>
      </c>
      <c r="C11943" s="8" t="s">
        <v>50240</v>
      </c>
      <c r="G11943" s="8">
        <v>20</v>
      </c>
      <c r="H11943" s="8" t="s">
        <v>21</v>
      </c>
      <c r="I11943" s="8" t="s">
        <v>22</v>
      </c>
      <c r="J11943" s="8" t="s">
        <v>22</v>
      </c>
      <c r="K11943" s="8" t="s">
        <v>1068</v>
      </c>
      <c r="L11943" s="8" t="s">
        <v>18681</v>
      </c>
      <c r="M11943" s="8" t="s">
        <v>18682</v>
      </c>
      <c r="N11943" s="8" t="s">
        <v>50241</v>
      </c>
      <c r="O11943" s="8">
        <f>13+2/60+18/3600</f>
        <v>13.038333333333334</v>
      </c>
      <c r="P11943" s="8" t="s">
        <v>50242</v>
      </c>
      <c r="Q11943" s="8">
        <f>+(36+9/60+7/3600)</f>
        <v>36.151944444444446</v>
      </c>
      <c r="R11943" s="8">
        <v>15.5</v>
      </c>
      <c r="S11943" s="8">
        <v>16.5</v>
      </c>
      <c r="T11943" s="8">
        <v>1</v>
      </c>
      <c r="U11943" s="8">
        <v>11.3</v>
      </c>
      <c r="V11943" s="8">
        <v>0.2</v>
      </c>
      <c r="W11943" s="8">
        <v>0.1</v>
      </c>
      <c r="X11943" s="8">
        <v>80</v>
      </c>
      <c r="Y11943" s="8" t="s">
        <v>50243</v>
      </c>
      <c r="Z11943" s="8" t="s">
        <v>50244</v>
      </c>
    </row>
    <row r="11944" spans="1:26" x14ac:dyDescent="0.2">
      <c r="A11944" s="8">
        <v>11943</v>
      </c>
      <c r="B11944" s="8" t="s">
        <v>50245</v>
      </c>
      <c r="C11944" s="8" t="s">
        <v>50245</v>
      </c>
      <c r="G11944" s="8">
        <v>20</v>
      </c>
      <c r="H11944" s="8" t="s">
        <v>21</v>
      </c>
      <c r="I11944" s="8" t="s">
        <v>22</v>
      </c>
      <c r="J11944" s="8" t="s">
        <v>22</v>
      </c>
      <c r="K11944" s="8" t="s">
        <v>449</v>
      </c>
      <c r="L11944" s="8" t="s">
        <v>18681</v>
      </c>
      <c r="M11944" s="8" t="s">
        <v>18682</v>
      </c>
      <c r="N11944" s="8" t="s">
        <v>50246</v>
      </c>
      <c r="O11944" s="8">
        <f>13+2/60+19.1/3600</f>
        <v>13.038638888888888</v>
      </c>
      <c r="P11944" s="8" t="s">
        <v>50247</v>
      </c>
      <c r="Q11944" s="8">
        <f>+(38+0/60+59/3600)</f>
        <v>38.016388888888891</v>
      </c>
      <c r="R11944" s="8">
        <v>14.9</v>
      </c>
      <c r="S11944" s="8">
        <v>15.6</v>
      </c>
      <c r="T11944" s="8">
        <v>0.7</v>
      </c>
      <c r="U11944" s="8">
        <v>13.8</v>
      </c>
      <c r="V11944" s="8">
        <v>0.8</v>
      </c>
      <c r="W11944" s="8">
        <v>0.5</v>
      </c>
      <c r="X11944" s="8">
        <v>75</v>
      </c>
      <c r="Y11944" s="8" t="s">
        <v>45514</v>
      </c>
      <c r="Z11944" s="8" t="s">
        <v>45515</v>
      </c>
    </row>
    <row r="11945" spans="1:26" x14ac:dyDescent="0.2">
      <c r="A11945" s="8">
        <v>11944</v>
      </c>
      <c r="B11945" s="8" t="s">
        <v>50248</v>
      </c>
      <c r="C11945" s="8" t="s">
        <v>50248</v>
      </c>
      <c r="G11945" s="8">
        <v>20</v>
      </c>
      <c r="H11945" s="8" t="s">
        <v>21</v>
      </c>
      <c r="I11945" s="8" t="s">
        <v>22</v>
      </c>
      <c r="J11945" s="8" t="s">
        <v>22</v>
      </c>
      <c r="K11945" s="8" t="s">
        <v>382</v>
      </c>
      <c r="L11945" s="8" t="s">
        <v>18681</v>
      </c>
      <c r="M11945" s="8" t="s">
        <v>18682</v>
      </c>
      <c r="N11945" s="8" t="s">
        <v>50249</v>
      </c>
      <c r="O11945" s="8">
        <f>13+2/60+18.2/3600</f>
        <v>13.038388888888889</v>
      </c>
      <c r="P11945" s="8" t="s">
        <v>50250</v>
      </c>
      <c r="Q11945" s="8">
        <f>+(38+35/60+32/3600)</f>
        <v>38.592222222222226</v>
      </c>
      <c r="R11945" s="8">
        <v>15</v>
      </c>
      <c r="S11945" s="8">
        <v>16</v>
      </c>
      <c r="T11945" s="8">
        <v>1</v>
      </c>
      <c r="U11945" s="8">
        <v>12</v>
      </c>
      <c r="V11945" s="8">
        <v>0.3</v>
      </c>
      <c r="W11945" s="8">
        <v>0.2</v>
      </c>
      <c r="X11945" s="8">
        <v>0</v>
      </c>
      <c r="Y11945" s="8" t="s">
        <v>45218</v>
      </c>
      <c r="Z11945" s="8" t="s">
        <v>45219</v>
      </c>
    </row>
    <row r="11946" spans="1:26" x14ac:dyDescent="0.2">
      <c r="A11946" s="8">
        <v>11945</v>
      </c>
      <c r="B11946" s="8" t="s">
        <v>50251</v>
      </c>
      <c r="C11946" s="8" t="s">
        <v>50251</v>
      </c>
      <c r="G11946" s="8">
        <v>20</v>
      </c>
      <c r="H11946" s="8" t="s">
        <v>21</v>
      </c>
      <c r="I11946" s="8" t="s">
        <v>22</v>
      </c>
      <c r="J11946" s="8" t="s">
        <v>22</v>
      </c>
      <c r="K11946" s="8" t="s">
        <v>460</v>
      </c>
      <c r="L11946" s="8" t="s">
        <v>18681</v>
      </c>
      <c r="M11946" s="8" t="s">
        <v>18682</v>
      </c>
      <c r="N11946" s="8" t="s">
        <v>50252</v>
      </c>
      <c r="O11946" s="8">
        <f>13+2/60+18.9/3600</f>
        <v>13.038583333333333</v>
      </c>
      <c r="P11946" s="8" t="s">
        <v>50253</v>
      </c>
      <c r="Q11946" s="8">
        <f>+(38+16/60+16/3600)</f>
        <v>38.271111111111111</v>
      </c>
      <c r="R11946" s="8">
        <v>15</v>
      </c>
      <c r="S11946" s="8">
        <v>16</v>
      </c>
      <c r="T11946" s="8">
        <v>1</v>
      </c>
      <c r="U11946" s="8">
        <v>12.5</v>
      </c>
      <c r="V11946" s="8">
        <v>0.3</v>
      </c>
      <c r="W11946" s="8">
        <v>0.3</v>
      </c>
      <c r="Y11946" s="8" t="s">
        <v>50254</v>
      </c>
      <c r="Z11946" s="8" t="s">
        <v>50255</v>
      </c>
    </row>
    <row r="11947" spans="1:26" x14ac:dyDescent="0.2">
      <c r="A11947" s="8">
        <v>11946</v>
      </c>
      <c r="B11947" s="8" t="s">
        <v>50256</v>
      </c>
      <c r="C11947" s="8" t="s">
        <v>50256</v>
      </c>
      <c r="G11947" s="8">
        <v>20</v>
      </c>
      <c r="H11947" s="8" t="s">
        <v>21</v>
      </c>
      <c r="I11947" s="8" t="s">
        <v>22</v>
      </c>
      <c r="J11947" s="8" t="s">
        <v>22</v>
      </c>
      <c r="K11947" s="8" t="s">
        <v>435</v>
      </c>
      <c r="L11947" s="8" t="s">
        <v>18289</v>
      </c>
      <c r="M11947" s="8" t="s">
        <v>18290</v>
      </c>
      <c r="N11947" s="8" t="s">
        <v>50257</v>
      </c>
      <c r="O11947" s="8">
        <f>13+2/60+38.5/3600</f>
        <v>13.044027777777778</v>
      </c>
      <c r="P11947" s="8" t="s">
        <v>50258</v>
      </c>
      <c r="Q11947" s="8">
        <f>+(28+6/60+50/3600)</f>
        <v>28.113888888888891</v>
      </c>
      <c r="R11947" s="8">
        <v>14.6</v>
      </c>
      <c r="S11947" s="8">
        <v>15.5</v>
      </c>
      <c r="T11947" s="8">
        <v>0.9</v>
      </c>
      <c r="U11947" s="8">
        <v>13.9</v>
      </c>
      <c r="V11947" s="8">
        <v>0.9</v>
      </c>
      <c r="W11947" s="8">
        <v>0.7</v>
      </c>
      <c r="X11947" s="8">
        <v>160</v>
      </c>
      <c r="Y11947" s="8" t="s">
        <v>45166</v>
      </c>
      <c r="Z11947" s="8" t="s">
        <v>45167</v>
      </c>
    </row>
    <row r="11948" spans="1:26" x14ac:dyDescent="0.2">
      <c r="A11948" s="8">
        <v>11947</v>
      </c>
      <c r="B11948" s="8" t="s">
        <v>50259</v>
      </c>
      <c r="C11948" s="8" t="s">
        <v>50259</v>
      </c>
      <c r="G11948" s="8">
        <v>20</v>
      </c>
      <c r="H11948" s="8" t="s">
        <v>21</v>
      </c>
      <c r="I11948" s="8" t="s">
        <v>22</v>
      </c>
      <c r="J11948" s="8" t="s">
        <v>22</v>
      </c>
      <c r="K11948" s="8" t="s">
        <v>45598</v>
      </c>
      <c r="L11948" s="8" t="s">
        <v>18289</v>
      </c>
      <c r="M11948" s="8" t="s">
        <v>18290</v>
      </c>
      <c r="N11948" s="8" t="s">
        <v>50260</v>
      </c>
      <c r="O11948" s="8">
        <f>13+2/60+41.7/3600</f>
        <v>13.044916666666667</v>
      </c>
      <c r="P11948" s="8" t="s">
        <v>50261</v>
      </c>
      <c r="Q11948" s="8">
        <f>+(21+59/60+52/3600)</f>
        <v>21.997777777777777</v>
      </c>
      <c r="R11948" s="8">
        <v>17.899999999999999</v>
      </c>
      <c r="S11948" s="8">
        <v>18.5</v>
      </c>
      <c r="T11948" s="8">
        <v>0.6</v>
      </c>
      <c r="U11948" s="8">
        <v>17</v>
      </c>
      <c r="V11948" s="8">
        <v>0.7</v>
      </c>
      <c r="W11948" s="8">
        <v>0.7</v>
      </c>
      <c r="Y11948" s="8" t="s">
        <v>50262</v>
      </c>
      <c r="Z11948" s="8" t="s">
        <v>50263</v>
      </c>
    </row>
    <row r="11949" spans="1:26" x14ac:dyDescent="0.2">
      <c r="A11949" s="8">
        <v>11948</v>
      </c>
      <c r="B11949" s="8" t="s">
        <v>50264</v>
      </c>
      <c r="C11949" s="8" t="s">
        <v>50264</v>
      </c>
      <c r="G11949" s="8">
        <v>20</v>
      </c>
      <c r="H11949" s="8" t="s">
        <v>21</v>
      </c>
      <c r="I11949" s="8" t="s">
        <v>22</v>
      </c>
      <c r="J11949" s="8" t="s">
        <v>22</v>
      </c>
      <c r="K11949" s="8" t="s">
        <v>449</v>
      </c>
      <c r="L11949" s="8" t="s">
        <v>18681</v>
      </c>
      <c r="M11949" s="8" t="s">
        <v>18682</v>
      </c>
      <c r="N11949" s="8" t="s">
        <v>50265</v>
      </c>
      <c r="O11949" s="8">
        <f>13+2/60+31.5/3600</f>
        <v>13.042083333333332</v>
      </c>
      <c r="P11949" s="8" t="s">
        <v>50266</v>
      </c>
      <c r="Q11949" s="8">
        <f>+(38+28/60+44/3600)</f>
        <v>38.478888888888889</v>
      </c>
      <c r="R11949" s="8">
        <v>14.8</v>
      </c>
      <c r="S11949" s="8">
        <v>15.6</v>
      </c>
      <c r="T11949" s="8">
        <v>0.8</v>
      </c>
      <c r="U11949" s="8">
        <v>13.4</v>
      </c>
      <c r="V11949" s="8">
        <v>0.8</v>
      </c>
      <c r="W11949" s="8">
        <v>0.4</v>
      </c>
      <c r="X11949" s="8">
        <v>129</v>
      </c>
      <c r="Y11949" s="8" t="s">
        <v>45514</v>
      </c>
      <c r="Z11949" s="8" t="s">
        <v>45515</v>
      </c>
    </row>
    <row r="11950" spans="1:26" x14ac:dyDescent="0.2">
      <c r="A11950" s="8">
        <v>11949</v>
      </c>
      <c r="B11950" s="8" t="s">
        <v>50267</v>
      </c>
      <c r="C11950" s="8" t="s">
        <v>50267</v>
      </c>
      <c r="G11950" s="8">
        <v>20</v>
      </c>
      <c r="H11950" s="8" t="s">
        <v>21</v>
      </c>
      <c r="I11950" s="8" t="s">
        <v>72</v>
      </c>
      <c r="J11950" s="8" t="s">
        <v>72</v>
      </c>
      <c r="K11950" s="8" t="s">
        <v>20</v>
      </c>
      <c r="L11950" s="8" t="s">
        <v>18289</v>
      </c>
      <c r="M11950" s="8" t="s">
        <v>18290</v>
      </c>
      <c r="N11950" s="8" t="s">
        <v>50268</v>
      </c>
      <c r="O11950" s="8">
        <f>13+2/60+57.9/3600</f>
        <v>13.049416666666666</v>
      </c>
      <c r="P11950" s="8" t="s">
        <v>50269</v>
      </c>
      <c r="Q11950" s="8">
        <f>+(19+0/60+13/3600)</f>
        <v>19.003611111111113</v>
      </c>
      <c r="R11950" s="8">
        <v>99</v>
      </c>
      <c r="S11950" s="8">
        <v>99</v>
      </c>
      <c r="T11950" s="8">
        <v>99</v>
      </c>
      <c r="U11950" s="8">
        <v>99</v>
      </c>
      <c r="Y11950" s="8" t="s">
        <v>5139</v>
      </c>
      <c r="Z11950" s="8" t="s">
        <v>5140</v>
      </c>
    </row>
    <row r="11951" spans="1:26" x14ac:dyDescent="0.2">
      <c r="A11951" s="8">
        <v>11950</v>
      </c>
      <c r="B11951" s="8" t="s">
        <v>50270</v>
      </c>
      <c r="C11951" s="8" t="s">
        <v>50270</v>
      </c>
      <c r="G11951" s="8">
        <v>20</v>
      </c>
      <c r="H11951" s="8" t="s">
        <v>21</v>
      </c>
      <c r="I11951" s="8" t="s">
        <v>22</v>
      </c>
      <c r="J11951" s="8" t="s">
        <v>22</v>
      </c>
      <c r="K11951" s="8" t="s">
        <v>460</v>
      </c>
      <c r="L11951" s="8" t="s">
        <v>18289</v>
      </c>
      <c r="M11951" s="8" t="s">
        <v>18290</v>
      </c>
      <c r="N11951" s="8" t="s">
        <v>50271</v>
      </c>
      <c r="O11951" s="8">
        <f>13+2/60+58.3/3600</f>
        <v>13.049527777777778</v>
      </c>
      <c r="P11951" s="8" t="s">
        <v>50272</v>
      </c>
      <c r="Q11951" s="8">
        <f>+(19+13/60+39/3600)</f>
        <v>19.227499999999999</v>
      </c>
      <c r="R11951" s="8">
        <v>16</v>
      </c>
      <c r="S11951" s="8">
        <v>17</v>
      </c>
      <c r="T11951" s="8">
        <v>1</v>
      </c>
      <c r="U11951" s="8">
        <v>12.6</v>
      </c>
      <c r="V11951" s="8">
        <v>0.2</v>
      </c>
      <c r="W11951" s="8">
        <v>0.2</v>
      </c>
      <c r="Y11951" s="8" t="s">
        <v>50273</v>
      </c>
      <c r="Z11951" s="8" t="s">
        <v>50274</v>
      </c>
    </row>
    <row r="11952" spans="1:26" x14ac:dyDescent="0.2">
      <c r="A11952" s="8">
        <v>11951</v>
      </c>
      <c r="B11952" s="8" t="s">
        <v>50275</v>
      </c>
      <c r="C11952" s="8" t="s">
        <v>50275</v>
      </c>
      <c r="G11952" s="8">
        <v>20</v>
      </c>
      <c r="H11952" s="8" t="s">
        <v>21</v>
      </c>
      <c r="I11952" s="8" t="s">
        <v>22</v>
      </c>
      <c r="J11952" s="8" t="s">
        <v>22</v>
      </c>
      <c r="K11952" s="8" t="s">
        <v>37</v>
      </c>
      <c r="L11952" s="8" t="s">
        <v>18289</v>
      </c>
      <c r="M11952" s="8" t="s">
        <v>18290</v>
      </c>
      <c r="N11952" s="8" t="s">
        <v>50276</v>
      </c>
      <c r="O11952" s="8">
        <f>13+2/60+56.7/3600</f>
        <v>13.049083333333334</v>
      </c>
      <c r="P11952" s="8" t="s">
        <v>50277</v>
      </c>
      <c r="Q11952" s="8">
        <f>+(28+4/60+14/3600)</f>
        <v>28.070555555555554</v>
      </c>
      <c r="R11952" s="8">
        <v>14.8</v>
      </c>
      <c r="S11952" s="8">
        <v>15.8</v>
      </c>
      <c r="T11952" s="8">
        <v>1</v>
      </c>
      <c r="U11952" s="8">
        <v>11.9</v>
      </c>
      <c r="V11952" s="8">
        <v>0.4</v>
      </c>
      <c r="W11952" s="8">
        <v>0.2</v>
      </c>
      <c r="X11952" s="8">
        <v>135</v>
      </c>
      <c r="Y11952" s="8" t="s">
        <v>47</v>
      </c>
      <c r="Z11952" s="8" t="s">
        <v>48</v>
      </c>
    </row>
    <row r="11953" spans="1:26" x14ac:dyDescent="0.2">
      <c r="A11953" s="8">
        <v>11952</v>
      </c>
      <c r="B11953" s="8" t="s">
        <v>50278</v>
      </c>
      <c r="C11953" s="8" t="s">
        <v>50278</v>
      </c>
      <c r="G11953" s="8">
        <v>20</v>
      </c>
      <c r="H11953" s="8" t="s">
        <v>21</v>
      </c>
      <c r="I11953" s="8" t="s">
        <v>72</v>
      </c>
      <c r="J11953" s="8" t="s">
        <v>72</v>
      </c>
      <c r="K11953" s="8" t="s">
        <v>20</v>
      </c>
      <c r="L11953" s="8" t="s">
        <v>18681</v>
      </c>
      <c r="M11953" s="8" t="s">
        <v>18682</v>
      </c>
      <c r="N11953" s="8" t="s">
        <v>50279</v>
      </c>
      <c r="O11953" s="8">
        <f>13+2/60+45.5/3600</f>
        <v>13.045972222222222</v>
      </c>
      <c r="P11953" s="8" t="s">
        <v>50280</v>
      </c>
      <c r="Q11953" s="8">
        <f>+(37+12/60+42/3600)</f>
        <v>37.211666666666666</v>
      </c>
      <c r="R11953" s="8">
        <v>99</v>
      </c>
      <c r="S11953" s="8">
        <v>99</v>
      </c>
      <c r="T11953" s="8">
        <v>99</v>
      </c>
      <c r="U11953" s="8">
        <v>99</v>
      </c>
      <c r="Y11953" s="8" t="s">
        <v>45286</v>
      </c>
      <c r="Z11953" s="8" t="s">
        <v>45287</v>
      </c>
    </row>
    <row r="11954" spans="1:26" x14ac:dyDescent="0.2">
      <c r="A11954" s="8">
        <v>11953</v>
      </c>
      <c r="B11954" s="8" t="s">
        <v>50281</v>
      </c>
      <c r="C11954" s="8" t="s">
        <v>50281</v>
      </c>
      <c r="G11954" s="8">
        <v>20</v>
      </c>
      <c r="H11954" s="8" t="s">
        <v>21</v>
      </c>
      <c r="I11954" s="8" t="s">
        <v>22</v>
      </c>
      <c r="J11954" s="8" t="s">
        <v>22</v>
      </c>
      <c r="K11954" s="8" t="s">
        <v>424</v>
      </c>
      <c r="L11954" s="8" t="s">
        <v>18289</v>
      </c>
      <c r="M11954" s="8" t="s">
        <v>18290</v>
      </c>
      <c r="N11954" s="8" t="s">
        <v>50282</v>
      </c>
      <c r="O11954" s="8">
        <f>13+3/60+3.4/3600</f>
        <v>13.050944444444445</v>
      </c>
      <c r="P11954" s="8" t="s">
        <v>50283</v>
      </c>
      <c r="Q11954" s="8">
        <f>+(20+28/60+25/3600)</f>
        <v>20.473611111111108</v>
      </c>
      <c r="R11954" s="8">
        <v>16</v>
      </c>
      <c r="S11954" s="8">
        <v>17</v>
      </c>
      <c r="T11954" s="8">
        <v>1</v>
      </c>
      <c r="U11954" s="8">
        <v>12.4</v>
      </c>
      <c r="V11954" s="8">
        <v>0.2</v>
      </c>
      <c r="W11954" s="8">
        <v>0.2</v>
      </c>
      <c r="Y11954" s="8" t="s">
        <v>45086</v>
      </c>
      <c r="Z11954" s="8" t="s">
        <v>45087</v>
      </c>
    </row>
    <row r="11955" spans="1:26" x14ac:dyDescent="0.2">
      <c r="A11955" s="8">
        <v>11954</v>
      </c>
      <c r="B11955" s="8" t="s">
        <v>50284</v>
      </c>
      <c r="C11955" s="8" t="s">
        <v>50284</v>
      </c>
      <c r="G11955" s="8">
        <v>20</v>
      </c>
      <c r="H11955" s="8" t="s">
        <v>21</v>
      </c>
      <c r="I11955" s="8" t="s">
        <v>22</v>
      </c>
      <c r="J11955" s="8" t="s">
        <v>22</v>
      </c>
      <c r="K11955" s="8" t="s">
        <v>449</v>
      </c>
      <c r="L11955" s="8" t="s">
        <v>18681</v>
      </c>
      <c r="M11955" s="8" t="s">
        <v>18682</v>
      </c>
      <c r="N11955" s="8" t="s">
        <v>50285</v>
      </c>
      <c r="O11955" s="8">
        <f>13+2/60+42/3600</f>
        <v>13.045</v>
      </c>
      <c r="P11955" s="8" t="s">
        <v>50286</v>
      </c>
      <c r="Q11955" s="8">
        <f>+(40+6/60+17/3600)</f>
        <v>40.104722222222222</v>
      </c>
      <c r="R11955" s="8">
        <v>15.7</v>
      </c>
      <c r="S11955" s="8">
        <v>16.5</v>
      </c>
      <c r="T11955" s="8">
        <v>0.8</v>
      </c>
      <c r="U11955" s="8">
        <v>11.7</v>
      </c>
      <c r="V11955" s="8">
        <v>0.3</v>
      </c>
      <c r="W11955" s="8">
        <v>0.1</v>
      </c>
      <c r="X11955" s="8">
        <v>40</v>
      </c>
      <c r="Y11955" s="8" t="s">
        <v>21</v>
      </c>
      <c r="Z11955" s="8" t="s">
        <v>50287</v>
      </c>
    </row>
    <row r="11956" spans="1:26" x14ac:dyDescent="0.2">
      <c r="A11956" s="8">
        <v>11955</v>
      </c>
      <c r="B11956" s="8" t="s">
        <v>50288</v>
      </c>
      <c r="C11956" s="8" t="s">
        <v>50288</v>
      </c>
      <c r="G11956" s="8">
        <v>20</v>
      </c>
      <c r="H11956" s="8" t="s">
        <v>21</v>
      </c>
      <c r="I11956" s="8" t="s">
        <v>22</v>
      </c>
      <c r="J11956" s="8" t="s">
        <v>22</v>
      </c>
      <c r="K11956" s="8" t="s">
        <v>476</v>
      </c>
      <c r="L11956" s="8" t="s">
        <v>18681</v>
      </c>
      <c r="M11956" s="8" t="s">
        <v>18682</v>
      </c>
      <c r="N11956" s="8" t="s">
        <v>50289</v>
      </c>
      <c r="O11956" s="8">
        <f>13+2/60+49/3600</f>
        <v>13.046944444444444</v>
      </c>
      <c r="P11956" s="8" t="s">
        <v>50290</v>
      </c>
      <c r="Q11956" s="8">
        <f>+(37+13/60+20/3600)</f>
        <v>37.222222222222221</v>
      </c>
      <c r="R11956" s="8">
        <v>15.1</v>
      </c>
      <c r="S11956" s="8">
        <v>15.9</v>
      </c>
      <c r="T11956" s="8">
        <v>0.8</v>
      </c>
      <c r="U11956" s="8">
        <v>13</v>
      </c>
      <c r="V11956" s="8">
        <v>0.4</v>
      </c>
      <c r="W11956" s="8">
        <v>0.4</v>
      </c>
      <c r="Y11956" s="8" t="s">
        <v>45024</v>
      </c>
      <c r="Z11956" s="8" t="s">
        <v>45025</v>
      </c>
    </row>
    <row r="11957" spans="1:26" x14ac:dyDescent="0.2">
      <c r="A11957" s="8">
        <v>11956</v>
      </c>
      <c r="B11957" s="8" t="s">
        <v>50291</v>
      </c>
      <c r="C11957" s="8" t="s">
        <v>50291</v>
      </c>
      <c r="G11957" s="8">
        <v>20</v>
      </c>
      <c r="H11957" s="8" t="s">
        <v>21</v>
      </c>
      <c r="I11957" s="8" t="s">
        <v>72</v>
      </c>
      <c r="J11957" s="8" t="s">
        <v>72</v>
      </c>
      <c r="K11957" s="8" t="s">
        <v>20</v>
      </c>
      <c r="L11957" s="8" t="s">
        <v>18289</v>
      </c>
      <c r="M11957" s="8" t="s">
        <v>18290</v>
      </c>
      <c r="N11957" s="8" t="s">
        <v>50292</v>
      </c>
      <c r="O11957" s="8">
        <f>13+3/60+10.2/3600</f>
        <v>13.052833333333334</v>
      </c>
      <c r="P11957" s="8" t="s">
        <v>50293</v>
      </c>
      <c r="Q11957" s="8">
        <f>+(19+4/60+59/3600)</f>
        <v>19.083055555555557</v>
      </c>
      <c r="R11957" s="8">
        <v>99</v>
      </c>
      <c r="S11957" s="8">
        <v>99</v>
      </c>
      <c r="T11957" s="8">
        <v>99</v>
      </c>
      <c r="U11957" s="8">
        <v>99</v>
      </c>
      <c r="Y11957" s="8" t="s">
        <v>895</v>
      </c>
      <c r="Z11957" s="8" t="s">
        <v>896</v>
      </c>
    </row>
    <row r="11958" spans="1:26" x14ac:dyDescent="0.2">
      <c r="A11958" s="8">
        <v>11957</v>
      </c>
      <c r="B11958" s="8" t="s">
        <v>50294</v>
      </c>
      <c r="C11958" s="8" t="s">
        <v>50294</v>
      </c>
      <c r="G11958" s="8">
        <v>20</v>
      </c>
      <c r="H11958" s="8" t="s">
        <v>21</v>
      </c>
      <c r="I11958" s="8" t="s">
        <v>72</v>
      </c>
      <c r="J11958" s="8" t="s">
        <v>72</v>
      </c>
      <c r="K11958" s="8" t="s">
        <v>20</v>
      </c>
      <c r="L11958" s="8" t="s">
        <v>18681</v>
      </c>
      <c r="M11958" s="8" t="s">
        <v>18682</v>
      </c>
      <c r="N11958" s="8" t="s">
        <v>50295</v>
      </c>
      <c r="O11958" s="8">
        <f>13+2/60+48.6/3600</f>
        <v>13.046833333333334</v>
      </c>
      <c r="P11958" s="8" t="s">
        <v>50296</v>
      </c>
      <c r="Q11958" s="8">
        <f>+(40+31/60+30/3600)</f>
        <v>40.524999999999999</v>
      </c>
      <c r="R11958" s="8">
        <v>99</v>
      </c>
      <c r="S11958" s="8">
        <v>15</v>
      </c>
      <c r="T11958" s="8">
        <v>99</v>
      </c>
      <c r="U11958" s="8">
        <v>99</v>
      </c>
      <c r="Y11958" s="8" t="s">
        <v>50297</v>
      </c>
      <c r="Z11958" s="8" t="s">
        <v>50298</v>
      </c>
    </row>
    <row r="11959" spans="1:26" x14ac:dyDescent="0.2">
      <c r="A11959" s="8">
        <v>11958</v>
      </c>
      <c r="B11959" s="8" t="s">
        <v>50299</v>
      </c>
      <c r="C11959" s="8" t="s">
        <v>50299</v>
      </c>
      <c r="G11959" s="8">
        <v>20</v>
      </c>
      <c r="H11959" s="8" t="s">
        <v>21</v>
      </c>
      <c r="I11959" s="8" t="s">
        <v>22</v>
      </c>
      <c r="J11959" s="8" t="s">
        <v>22</v>
      </c>
      <c r="K11959" s="8" t="s">
        <v>37</v>
      </c>
      <c r="L11959" s="8" t="s">
        <v>18681</v>
      </c>
      <c r="M11959" s="8" t="s">
        <v>18682</v>
      </c>
      <c r="N11959" s="8" t="s">
        <v>50300</v>
      </c>
      <c r="O11959" s="8">
        <f>13+2/60+51.6/3600</f>
        <v>13.047666666666666</v>
      </c>
      <c r="P11959" s="8" t="s">
        <v>50301</v>
      </c>
      <c r="Q11959" s="8">
        <f>+(38+17/60+37/3600)</f>
        <v>38.293611111111112</v>
      </c>
      <c r="R11959" s="8">
        <v>14.8</v>
      </c>
      <c r="S11959" s="8">
        <v>15.8</v>
      </c>
      <c r="T11959" s="8">
        <v>1</v>
      </c>
      <c r="U11959" s="8">
        <v>12.6</v>
      </c>
      <c r="V11959" s="8">
        <v>0.5</v>
      </c>
      <c r="W11959" s="8">
        <v>0.3</v>
      </c>
      <c r="X11959" s="8">
        <v>114</v>
      </c>
      <c r="Y11959" s="8" t="s">
        <v>3952</v>
      </c>
      <c r="Z11959" s="8" t="s">
        <v>3953</v>
      </c>
    </row>
    <row r="11960" spans="1:26" x14ac:dyDescent="0.2">
      <c r="A11960" s="8">
        <v>11959</v>
      </c>
      <c r="B11960" s="8" t="s">
        <v>50302</v>
      </c>
      <c r="C11960" s="8" t="s">
        <v>50302</v>
      </c>
      <c r="G11960" s="8">
        <v>20</v>
      </c>
      <c r="H11960" s="8" t="s">
        <v>21</v>
      </c>
      <c r="I11960" s="8" t="s">
        <v>22</v>
      </c>
      <c r="J11960" s="8" t="s">
        <v>22</v>
      </c>
      <c r="K11960" s="8" t="s">
        <v>449</v>
      </c>
      <c r="L11960" s="8" t="s">
        <v>18289</v>
      </c>
      <c r="M11960" s="8" t="s">
        <v>18290</v>
      </c>
      <c r="N11960" s="8" t="s">
        <v>50303</v>
      </c>
      <c r="O11960" s="8">
        <f>13+3/60+15.1/3600</f>
        <v>13.054194444444445</v>
      </c>
      <c r="P11960" s="8" t="s">
        <v>50304</v>
      </c>
      <c r="Q11960" s="8">
        <f>+(19+13/60+57/3600)</f>
        <v>19.232499999999998</v>
      </c>
      <c r="R11960" s="8">
        <v>16.7</v>
      </c>
      <c r="S11960" s="8">
        <v>17.5</v>
      </c>
      <c r="T11960" s="8">
        <v>0.8</v>
      </c>
      <c r="U11960" s="8">
        <v>12.3</v>
      </c>
      <c r="V11960" s="8">
        <v>0.2</v>
      </c>
      <c r="W11960" s="8">
        <v>0.1</v>
      </c>
      <c r="X11960" s="8">
        <v>22</v>
      </c>
      <c r="Y11960" s="8" t="s">
        <v>50305</v>
      </c>
      <c r="Z11960" s="8" t="s">
        <v>50306</v>
      </c>
    </row>
    <row r="11961" spans="1:26" x14ac:dyDescent="0.2">
      <c r="A11961" s="8">
        <v>11960</v>
      </c>
      <c r="B11961" s="8" t="s">
        <v>50307</v>
      </c>
      <c r="C11961" s="8" t="s">
        <v>50307</v>
      </c>
      <c r="G11961" s="8">
        <v>20</v>
      </c>
      <c r="H11961" s="8" t="s">
        <v>21</v>
      </c>
      <c r="I11961" s="8" t="s">
        <v>72</v>
      </c>
      <c r="J11961" s="8" t="s">
        <v>72</v>
      </c>
      <c r="K11961" s="8" t="s">
        <v>20</v>
      </c>
      <c r="L11961" s="8" t="s">
        <v>18681</v>
      </c>
      <c r="M11961" s="8" t="s">
        <v>18682</v>
      </c>
      <c r="N11961" s="8" t="s">
        <v>50308</v>
      </c>
      <c r="O11961" s="8">
        <f>13+3/60+1.7/3600</f>
        <v>13.050472222222224</v>
      </c>
      <c r="P11961" s="8" t="s">
        <v>50309</v>
      </c>
      <c r="Q11961" s="8">
        <f>+(37+4/60+53/3600)</f>
        <v>37.081388888888895</v>
      </c>
      <c r="R11961" s="8">
        <v>99</v>
      </c>
      <c r="S11961" s="8">
        <v>99</v>
      </c>
      <c r="T11961" s="8">
        <v>99</v>
      </c>
      <c r="U11961" s="8">
        <v>99</v>
      </c>
      <c r="Y11961" s="8" t="s">
        <v>50310</v>
      </c>
      <c r="Z11961" s="8" t="s">
        <v>50311</v>
      </c>
    </row>
    <row r="11962" spans="1:26" x14ac:dyDescent="0.2">
      <c r="A11962" s="8">
        <v>11961</v>
      </c>
      <c r="B11962" s="8" t="s">
        <v>50312</v>
      </c>
      <c r="C11962" s="8" t="s">
        <v>50312</v>
      </c>
      <c r="G11962" s="8">
        <v>20</v>
      </c>
      <c r="H11962" s="8" t="s">
        <v>21</v>
      </c>
      <c r="I11962" s="8" t="s">
        <v>72</v>
      </c>
      <c r="J11962" s="8" t="s">
        <v>72</v>
      </c>
      <c r="K11962" s="8" t="s">
        <v>20</v>
      </c>
      <c r="L11962" s="8" t="s">
        <v>18289</v>
      </c>
      <c r="M11962" s="8" t="s">
        <v>18290</v>
      </c>
      <c r="N11962" s="8" t="s">
        <v>50313</v>
      </c>
      <c r="O11962" s="8">
        <f>13+3/60+21.5/3600</f>
        <v>13.055972222222223</v>
      </c>
      <c r="P11962" s="8" t="s">
        <v>50314</v>
      </c>
      <c r="Q11962" s="8">
        <f>+(19+16/60+54/3600)</f>
        <v>19.281666666666666</v>
      </c>
      <c r="R11962" s="8">
        <v>99</v>
      </c>
      <c r="S11962" s="8">
        <v>99</v>
      </c>
      <c r="T11962" s="8">
        <v>99</v>
      </c>
      <c r="U11962" s="8">
        <v>99</v>
      </c>
      <c r="Y11962" s="8" t="s">
        <v>21</v>
      </c>
      <c r="Z11962" s="8" t="s">
        <v>50315</v>
      </c>
    </row>
    <row r="11963" spans="1:26" x14ac:dyDescent="0.2">
      <c r="A11963" s="8">
        <v>11962</v>
      </c>
      <c r="B11963" s="8" t="s">
        <v>50316</v>
      </c>
      <c r="C11963" s="8" t="s">
        <v>50316</v>
      </c>
      <c r="G11963" s="8">
        <v>20</v>
      </c>
      <c r="H11963" s="8" t="s">
        <v>21</v>
      </c>
      <c r="I11963" s="8" t="s">
        <v>22</v>
      </c>
      <c r="J11963" s="8" t="s">
        <v>22</v>
      </c>
      <c r="K11963" s="8" t="s">
        <v>460</v>
      </c>
      <c r="L11963" s="8" t="s">
        <v>18289</v>
      </c>
      <c r="M11963" s="8" t="s">
        <v>18290</v>
      </c>
      <c r="N11963" s="8" t="s">
        <v>50317</v>
      </c>
      <c r="O11963" s="8">
        <f>13+3/60+24.4/3600</f>
        <v>13.056777777777778</v>
      </c>
      <c r="P11963" s="8" t="s">
        <v>50318</v>
      </c>
      <c r="Q11963" s="8">
        <f>+(20+11/60+48/3600)</f>
        <v>20.196666666666665</v>
      </c>
      <c r="R11963" s="8">
        <v>14.2</v>
      </c>
      <c r="S11963" s="8">
        <v>15.3</v>
      </c>
      <c r="T11963" s="8">
        <v>1.1000000000000001</v>
      </c>
      <c r="U11963" s="8">
        <v>11.7</v>
      </c>
      <c r="V11963" s="8">
        <v>0.3</v>
      </c>
      <c r="W11963" s="8">
        <v>0.3</v>
      </c>
      <c r="Y11963" s="8" t="s">
        <v>21</v>
      </c>
      <c r="Z11963" s="8" t="s">
        <v>50319</v>
      </c>
    </row>
    <row r="11964" spans="1:26" x14ac:dyDescent="0.2">
      <c r="A11964" s="8">
        <v>11963</v>
      </c>
      <c r="B11964" s="8" t="s">
        <v>50320</v>
      </c>
      <c r="C11964" s="8" t="s">
        <v>50320</v>
      </c>
      <c r="G11964" s="8">
        <v>20</v>
      </c>
      <c r="H11964" s="8" t="s">
        <v>21</v>
      </c>
      <c r="I11964" s="8" t="s">
        <v>22</v>
      </c>
      <c r="J11964" s="8" t="s">
        <v>22</v>
      </c>
      <c r="K11964" s="8" t="s">
        <v>476</v>
      </c>
      <c r="L11964" s="8" t="s">
        <v>18681</v>
      </c>
      <c r="M11964" s="8" t="s">
        <v>18682</v>
      </c>
      <c r="N11964" s="8" t="s">
        <v>50321</v>
      </c>
      <c r="O11964" s="8">
        <f>13+3/60+5.8/3600</f>
        <v>13.051611111111113</v>
      </c>
      <c r="P11964" s="8" t="s">
        <v>50322</v>
      </c>
      <c r="Q11964" s="8">
        <f>+(38+18/60+54/3600)</f>
        <v>38.314999999999998</v>
      </c>
      <c r="R11964" s="8">
        <v>15</v>
      </c>
      <c r="S11964" s="8">
        <v>15.9</v>
      </c>
      <c r="T11964" s="8">
        <v>0.9</v>
      </c>
      <c r="U11964" s="8">
        <v>13.3</v>
      </c>
      <c r="V11964" s="8">
        <v>0.5</v>
      </c>
      <c r="W11964" s="8">
        <v>0.5</v>
      </c>
      <c r="Y11964" s="8" t="s">
        <v>21</v>
      </c>
      <c r="Z11964" s="8" t="s">
        <v>50323</v>
      </c>
    </row>
    <row r="11965" spans="1:26" x14ac:dyDescent="0.2">
      <c r="A11965" s="8">
        <v>11964</v>
      </c>
      <c r="B11965" s="8" t="s">
        <v>50324</v>
      </c>
      <c r="C11965" s="8" t="s">
        <v>50324</v>
      </c>
      <c r="G11965" s="8">
        <v>20</v>
      </c>
      <c r="H11965" s="8" t="s">
        <v>21</v>
      </c>
      <c r="I11965" s="8" t="s">
        <v>72</v>
      </c>
      <c r="J11965" s="8" t="s">
        <v>72</v>
      </c>
      <c r="K11965" s="8" t="s">
        <v>73</v>
      </c>
      <c r="L11965" s="8" t="s">
        <v>18289</v>
      </c>
      <c r="M11965" s="8" t="s">
        <v>18290</v>
      </c>
      <c r="N11965" s="8" t="s">
        <v>50325</v>
      </c>
      <c r="O11965" s="8">
        <f>13+3/60+31.1/3600</f>
        <v>13.05863888888889</v>
      </c>
      <c r="P11965" s="8" t="s">
        <v>50326</v>
      </c>
      <c r="Q11965" s="8">
        <f>+(22+50/60+52/3600)</f>
        <v>22.847777777777775</v>
      </c>
      <c r="R11965" s="8">
        <v>99</v>
      </c>
      <c r="S11965" s="8">
        <v>99</v>
      </c>
      <c r="T11965" s="8">
        <v>99</v>
      </c>
      <c r="U11965" s="8">
        <v>99</v>
      </c>
      <c r="Y11965" s="8" t="s">
        <v>50327</v>
      </c>
      <c r="Z11965" s="8" t="s">
        <v>50328</v>
      </c>
    </row>
    <row r="11966" spans="1:26" x14ac:dyDescent="0.2">
      <c r="A11966" s="8">
        <v>11965</v>
      </c>
      <c r="B11966" s="8" t="s">
        <v>50329</v>
      </c>
      <c r="C11966" s="8" t="s">
        <v>50329</v>
      </c>
      <c r="G11966" s="8">
        <v>20</v>
      </c>
      <c r="H11966" s="8" t="s">
        <v>21</v>
      </c>
      <c r="I11966" s="8" t="s">
        <v>22</v>
      </c>
      <c r="J11966" s="8" t="s">
        <v>22</v>
      </c>
      <c r="K11966" s="8" t="s">
        <v>1136</v>
      </c>
      <c r="L11966" s="8" t="s">
        <v>18289</v>
      </c>
      <c r="M11966" s="8" t="s">
        <v>18290</v>
      </c>
      <c r="N11966" s="8" t="s">
        <v>50330</v>
      </c>
      <c r="O11966" s="8">
        <f>13+3/60+34.9/3600</f>
        <v>13.059694444444444</v>
      </c>
      <c r="P11966" s="8" t="s">
        <v>50331</v>
      </c>
      <c r="Q11966" s="8">
        <f>+(18+48/60+14/3600)</f>
        <v>18.803888888888888</v>
      </c>
      <c r="R11966" s="8">
        <v>15.3</v>
      </c>
      <c r="S11966" s="8">
        <v>16.3</v>
      </c>
      <c r="T11966" s="8">
        <v>1</v>
      </c>
      <c r="U11966" s="8">
        <v>13.6</v>
      </c>
      <c r="V11966" s="8">
        <v>0.5</v>
      </c>
      <c r="W11966" s="8">
        <v>0.4</v>
      </c>
      <c r="X11966" s="8">
        <v>80</v>
      </c>
      <c r="Y11966" s="8" t="s">
        <v>45218</v>
      </c>
      <c r="Z11966" s="8" t="s">
        <v>45219</v>
      </c>
    </row>
    <row r="11967" spans="1:26" x14ac:dyDescent="0.2">
      <c r="A11967" s="8">
        <v>11966</v>
      </c>
      <c r="B11967" s="8" t="s">
        <v>50332</v>
      </c>
      <c r="C11967" s="8" t="s">
        <v>50332</v>
      </c>
      <c r="G11967" s="8">
        <v>20</v>
      </c>
      <c r="H11967" s="8" t="s">
        <v>21</v>
      </c>
      <c r="I11967" s="8" t="s">
        <v>72</v>
      </c>
      <c r="J11967" s="8" t="s">
        <v>72</v>
      </c>
      <c r="K11967" s="8" t="s">
        <v>20</v>
      </c>
      <c r="L11967" s="8" t="s">
        <v>18289</v>
      </c>
      <c r="M11967" s="8" t="s">
        <v>18290</v>
      </c>
      <c r="N11967" s="8" t="s">
        <v>50333</v>
      </c>
      <c r="O11967" s="8">
        <f>13+3/60+36.4/3600</f>
        <v>13.060111111111112</v>
      </c>
      <c r="P11967" s="8" t="s">
        <v>50334</v>
      </c>
      <c r="Q11967" s="8">
        <f>+(19+19/60+24/3600)</f>
        <v>19.323333333333334</v>
      </c>
      <c r="R11967" s="8">
        <v>99</v>
      </c>
      <c r="S11967" s="8">
        <v>99</v>
      </c>
      <c r="T11967" s="8">
        <v>99</v>
      </c>
      <c r="U11967" s="8">
        <v>99</v>
      </c>
      <c r="Y11967" s="8" t="s">
        <v>49605</v>
      </c>
      <c r="Z11967" s="8" t="s">
        <v>49606</v>
      </c>
    </row>
    <row r="11968" spans="1:26" x14ac:dyDescent="0.2">
      <c r="A11968" s="8">
        <v>11967</v>
      </c>
      <c r="B11968" s="8" t="s">
        <v>50335</v>
      </c>
      <c r="C11968" s="8" t="s">
        <v>50335</v>
      </c>
      <c r="G11968" s="8">
        <v>20</v>
      </c>
      <c r="H11968" s="8" t="s">
        <v>21</v>
      </c>
      <c r="I11968" s="8" t="s">
        <v>22</v>
      </c>
      <c r="J11968" s="8" t="s">
        <v>22</v>
      </c>
      <c r="K11968" s="8" t="s">
        <v>37</v>
      </c>
      <c r="L11968" s="8" t="s">
        <v>18681</v>
      </c>
      <c r="M11968" s="8" t="s">
        <v>18682</v>
      </c>
      <c r="N11968" s="8" t="s">
        <v>50336</v>
      </c>
      <c r="O11968" s="8">
        <f>13+3/60+17.5/3600</f>
        <v>13.054861111111112</v>
      </c>
      <c r="P11968" s="8" t="s">
        <v>50337</v>
      </c>
      <c r="Q11968" s="8">
        <f>+(38+2/60+46/3600)</f>
        <v>38.046111111111109</v>
      </c>
      <c r="R11968" s="8">
        <v>15.3</v>
      </c>
      <c r="S11968" s="8">
        <v>16.3</v>
      </c>
      <c r="T11968" s="8">
        <v>1</v>
      </c>
      <c r="U11968" s="8">
        <v>13.1</v>
      </c>
      <c r="V11968" s="8">
        <v>0.5</v>
      </c>
      <c r="W11968" s="8">
        <v>0.3</v>
      </c>
      <c r="X11968" s="8">
        <v>51</v>
      </c>
      <c r="Y11968" s="8" t="s">
        <v>50179</v>
      </c>
      <c r="Z11968" s="8" t="s">
        <v>50180</v>
      </c>
    </row>
    <row r="11969" spans="1:26" x14ac:dyDescent="0.2">
      <c r="A11969" s="8">
        <v>11968</v>
      </c>
      <c r="B11969" s="8" t="s">
        <v>50338</v>
      </c>
      <c r="C11969" s="8" t="s">
        <v>50338</v>
      </c>
      <c r="E11969" s="8">
        <v>1</v>
      </c>
      <c r="G11969" s="8">
        <v>20</v>
      </c>
      <c r="H11969" s="8" t="s">
        <v>21</v>
      </c>
      <c r="I11969" s="8" t="s">
        <v>22</v>
      </c>
      <c r="J11969" s="8" t="s">
        <v>22</v>
      </c>
      <c r="K11969" s="8" t="s">
        <v>449</v>
      </c>
      <c r="L11969" s="8" t="s">
        <v>18289</v>
      </c>
      <c r="M11969" s="8" t="s">
        <v>18290</v>
      </c>
      <c r="N11969" s="8" t="s">
        <v>50339</v>
      </c>
      <c r="O11969" s="8">
        <f>13+3/60+41.2/3600</f>
        <v>13.061444444444446</v>
      </c>
      <c r="P11969" s="8" t="s">
        <v>50340</v>
      </c>
      <c r="Q11969" s="8">
        <f>+(20+13/60+2/3600)</f>
        <v>20.217222222222219</v>
      </c>
      <c r="R11969" s="8">
        <v>15.6</v>
      </c>
      <c r="S11969" s="8">
        <v>16.399999999999999</v>
      </c>
      <c r="T11969" s="8">
        <v>0.8</v>
      </c>
      <c r="U11969" s="8">
        <v>13.4</v>
      </c>
      <c r="V11969" s="8">
        <v>0.5</v>
      </c>
      <c r="W11969" s="8">
        <v>0.3</v>
      </c>
      <c r="X11969" s="8">
        <v>80</v>
      </c>
      <c r="Y11969" s="8" t="s">
        <v>47688</v>
      </c>
      <c r="Z11969" s="8" t="s">
        <v>47689</v>
      </c>
    </row>
    <row r="11970" spans="1:26" x14ac:dyDescent="0.2">
      <c r="A11970" s="8">
        <v>11969</v>
      </c>
      <c r="B11970" s="8" t="s">
        <v>50341</v>
      </c>
      <c r="C11970" s="8" t="s">
        <v>50341</v>
      </c>
      <c r="G11970" s="8">
        <v>20</v>
      </c>
      <c r="H11970" s="8" t="s">
        <v>21</v>
      </c>
      <c r="I11970" s="8" t="s">
        <v>22</v>
      </c>
      <c r="J11970" s="8" t="s">
        <v>22</v>
      </c>
      <c r="K11970" s="8" t="s">
        <v>382</v>
      </c>
      <c r="L11970" s="8" t="s">
        <v>18289</v>
      </c>
      <c r="M11970" s="8" t="s">
        <v>18290</v>
      </c>
      <c r="N11970" s="8" t="s">
        <v>50342</v>
      </c>
      <c r="O11970" s="8">
        <f>13+3/60+43.9/3600</f>
        <v>13.062194444444446</v>
      </c>
      <c r="P11970" s="8" t="s">
        <v>50343</v>
      </c>
      <c r="Q11970" s="8">
        <f>+(18+52/60+36/3600)</f>
        <v>18.876666666666669</v>
      </c>
      <c r="R11970" s="8">
        <v>15.2</v>
      </c>
      <c r="S11970" s="8">
        <v>16.2</v>
      </c>
      <c r="T11970" s="8">
        <v>1</v>
      </c>
      <c r="U11970" s="8">
        <v>12.2</v>
      </c>
      <c r="V11970" s="8">
        <v>0.3</v>
      </c>
      <c r="W11970" s="8">
        <v>0.2</v>
      </c>
      <c r="X11970" s="8">
        <v>30</v>
      </c>
      <c r="Y11970" s="8" t="s">
        <v>5139</v>
      </c>
      <c r="Z11970" s="8" t="s">
        <v>5140</v>
      </c>
    </row>
    <row r="11971" spans="1:26" x14ac:dyDescent="0.2">
      <c r="A11971" s="8">
        <v>11970</v>
      </c>
      <c r="B11971" s="8" t="s">
        <v>50344</v>
      </c>
      <c r="C11971" s="8" t="s">
        <v>50344</v>
      </c>
      <c r="G11971" s="8">
        <v>20</v>
      </c>
      <c r="H11971" s="8" t="s">
        <v>21</v>
      </c>
      <c r="I11971" s="8" t="s">
        <v>22</v>
      </c>
      <c r="J11971" s="8" t="s">
        <v>22</v>
      </c>
      <c r="K11971" s="8" t="s">
        <v>37</v>
      </c>
      <c r="L11971" s="8" t="s">
        <v>18289</v>
      </c>
      <c r="M11971" s="8" t="s">
        <v>18290</v>
      </c>
      <c r="N11971" s="8" t="s">
        <v>50345</v>
      </c>
      <c r="O11971" s="8">
        <f>13+3/60+46.6/3600</f>
        <v>13.062944444444446</v>
      </c>
      <c r="P11971" s="8" t="s">
        <v>50346</v>
      </c>
      <c r="Q11971" s="8">
        <f>+(19+16/60+16/3600)</f>
        <v>19.271111111111111</v>
      </c>
      <c r="R11971" s="8">
        <v>16</v>
      </c>
      <c r="S11971" s="8">
        <v>17</v>
      </c>
      <c r="T11971" s="8">
        <v>1</v>
      </c>
      <c r="U11971" s="8">
        <v>15.5</v>
      </c>
      <c r="V11971" s="8">
        <v>1</v>
      </c>
      <c r="W11971" s="8">
        <v>0.6</v>
      </c>
      <c r="X11971" s="8">
        <v>69</v>
      </c>
      <c r="Y11971" s="8" t="s">
        <v>1932</v>
      </c>
      <c r="Z11971" s="8" t="s">
        <v>1933</v>
      </c>
    </row>
    <row r="11972" spans="1:26" x14ac:dyDescent="0.2">
      <c r="A11972" s="8">
        <v>11971</v>
      </c>
      <c r="B11972" s="8" t="s">
        <v>50347</v>
      </c>
      <c r="C11972" s="8" t="s">
        <v>50347</v>
      </c>
      <c r="G11972" s="8">
        <v>20</v>
      </c>
      <c r="H11972" s="8" t="s">
        <v>21</v>
      </c>
      <c r="I11972" s="8" t="s">
        <v>22</v>
      </c>
      <c r="J11972" s="8" t="s">
        <v>22</v>
      </c>
      <c r="K11972" s="8" t="s">
        <v>1174</v>
      </c>
      <c r="L11972" s="8" t="s">
        <v>18681</v>
      </c>
      <c r="M11972" s="8" t="s">
        <v>18682</v>
      </c>
      <c r="N11972" s="8" t="s">
        <v>50348</v>
      </c>
      <c r="O11972" s="8">
        <f>13+3/60+25.5/3600</f>
        <v>13.057083333333335</v>
      </c>
      <c r="P11972" s="8" t="s">
        <v>50349</v>
      </c>
      <c r="Q11972" s="8">
        <f>+(38+57/60+4/3600)</f>
        <v>38.951111111111111</v>
      </c>
      <c r="R11972" s="8">
        <v>15.5</v>
      </c>
      <c r="S11972" s="8">
        <v>16.3</v>
      </c>
      <c r="T11972" s="8">
        <v>0.8</v>
      </c>
      <c r="U11972" s="8">
        <v>13.8</v>
      </c>
      <c r="V11972" s="8">
        <v>0.6</v>
      </c>
      <c r="W11972" s="8">
        <v>0.4</v>
      </c>
      <c r="X11972" s="8">
        <v>160</v>
      </c>
      <c r="Y11972" s="8" t="s">
        <v>49088</v>
      </c>
      <c r="Z11972" s="8" t="s">
        <v>49089</v>
      </c>
    </row>
    <row r="11973" spans="1:26" x14ac:dyDescent="0.2">
      <c r="A11973" s="8">
        <v>11972</v>
      </c>
      <c r="B11973" s="8" t="s">
        <v>50350</v>
      </c>
      <c r="C11973" s="8" t="s">
        <v>50350</v>
      </c>
      <c r="G11973" s="8">
        <v>20</v>
      </c>
      <c r="H11973" s="8" t="s">
        <v>21</v>
      </c>
      <c r="I11973" s="8" t="s">
        <v>72</v>
      </c>
      <c r="J11973" s="8" t="s">
        <v>72</v>
      </c>
      <c r="K11973" s="8" t="s">
        <v>20</v>
      </c>
      <c r="L11973" s="8" t="s">
        <v>18681</v>
      </c>
      <c r="M11973" s="8" t="s">
        <v>18682</v>
      </c>
      <c r="N11973" s="8" t="s">
        <v>50351</v>
      </c>
      <c r="O11973" s="8">
        <f>13+3/60+33.8/3600</f>
        <v>13.05938888888889</v>
      </c>
      <c r="P11973" s="8" t="s">
        <v>50352</v>
      </c>
      <c r="Q11973" s="8">
        <f>+(38+22/60+41/3600)</f>
        <v>38.378055555555555</v>
      </c>
      <c r="R11973" s="8">
        <v>99</v>
      </c>
      <c r="S11973" s="8">
        <v>99</v>
      </c>
      <c r="T11973" s="8">
        <v>99</v>
      </c>
      <c r="U11973" s="8">
        <v>99</v>
      </c>
      <c r="Y11973" s="8" t="s">
        <v>3952</v>
      </c>
      <c r="Z11973" s="8" t="s">
        <v>3953</v>
      </c>
    </row>
    <row r="11974" spans="1:26" x14ac:dyDescent="0.2">
      <c r="A11974" s="8">
        <v>11973</v>
      </c>
      <c r="B11974" s="8" t="s">
        <v>50353</v>
      </c>
      <c r="C11974" s="8" t="s">
        <v>50353</v>
      </c>
      <c r="G11974" s="8">
        <v>20</v>
      </c>
      <c r="H11974" s="8" t="s">
        <v>21</v>
      </c>
      <c r="I11974" s="8" t="s">
        <v>22</v>
      </c>
      <c r="J11974" s="8" t="s">
        <v>22</v>
      </c>
      <c r="K11974" s="8" t="s">
        <v>460</v>
      </c>
      <c r="L11974" s="8" t="s">
        <v>18289</v>
      </c>
      <c r="M11974" s="8" t="s">
        <v>18290</v>
      </c>
      <c r="N11974" s="8" t="s">
        <v>50354</v>
      </c>
      <c r="O11974" s="8">
        <f>13+3/60+50.9/3600</f>
        <v>13.064138888888889</v>
      </c>
      <c r="P11974" s="8" t="s">
        <v>50355</v>
      </c>
      <c r="Q11974" s="8">
        <f>+(27+59/60+15/3600)</f>
        <v>27.987500000000001</v>
      </c>
      <c r="R11974" s="8">
        <v>14.4</v>
      </c>
      <c r="S11974" s="8">
        <v>15.4</v>
      </c>
      <c r="T11974" s="8">
        <v>1</v>
      </c>
      <c r="U11974" s="8">
        <v>11.9</v>
      </c>
      <c r="V11974" s="8">
        <v>0.3</v>
      </c>
      <c r="W11974" s="8">
        <v>0.3</v>
      </c>
      <c r="Y11974" s="8" t="s">
        <v>5916</v>
      </c>
      <c r="Z11974" s="8" t="s">
        <v>5917</v>
      </c>
    </row>
    <row r="11975" spans="1:26" x14ac:dyDescent="0.2">
      <c r="A11975" s="8">
        <v>11974</v>
      </c>
      <c r="B11975" s="8" t="s">
        <v>50356</v>
      </c>
      <c r="C11975" s="8" t="s">
        <v>50356</v>
      </c>
      <c r="G11975" s="8">
        <v>20</v>
      </c>
      <c r="H11975" s="8" t="s">
        <v>21</v>
      </c>
      <c r="I11975" s="8" t="s">
        <v>22</v>
      </c>
      <c r="J11975" s="8" t="s">
        <v>57</v>
      </c>
      <c r="K11975" s="8" t="s">
        <v>107</v>
      </c>
      <c r="L11975" s="8" t="s">
        <v>17287</v>
      </c>
      <c r="M11975" s="8" t="s">
        <v>17288</v>
      </c>
      <c r="N11975" s="8" t="s">
        <v>22140</v>
      </c>
      <c r="O11975" s="8">
        <f>13+2/60+4.2/3600</f>
        <v>13.0345</v>
      </c>
      <c r="P11975" s="8" t="s">
        <v>22141</v>
      </c>
      <c r="Q11975" s="8">
        <f>-(11+22/60+42/3600)</f>
        <v>-11.378333333333334</v>
      </c>
      <c r="R11975" s="8">
        <v>13.5</v>
      </c>
      <c r="S11975" s="8">
        <v>14.1</v>
      </c>
      <c r="T11975" s="8">
        <v>0.6</v>
      </c>
      <c r="U11975" s="8">
        <v>13</v>
      </c>
      <c r="V11975" s="8">
        <v>1</v>
      </c>
      <c r="W11975" s="8">
        <v>0.7</v>
      </c>
      <c r="X11975" s="8">
        <v>170</v>
      </c>
      <c r="Y11975" s="8" t="s">
        <v>13176</v>
      </c>
      <c r="Z11975" s="8" t="s">
        <v>13177</v>
      </c>
    </row>
    <row r="11976" spans="1:26" x14ac:dyDescent="0.2">
      <c r="A11976" s="8">
        <v>11975</v>
      </c>
      <c r="B11976" s="8" t="s">
        <v>50357</v>
      </c>
      <c r="C11976" s="8" t="s">
        <v>50357</v>
      </c>
      <c r="G11976" s="8">
        <v>20</v>
      </c>
      <c r="H11976" s="8" t="s">
        <v>21</v>
      </c>
      <c r="I11976" s="8" t="s">
        <v>22</v>
      </c>
      <c r="J11976" s="8" t="s">
        <v>22</v>
      </c>
      <c r="K11976" s="8" t="s">
        <v>449</v>
      </c>
      <c r="L11976" s="8" t="s">
        <v>18681</v>
      </c>
      <c r="M11976" s="8" t="s">
        <v>18682</v>
      </c>
      <c r="N11976" s="8" t="s">
        <v>50358</v>
      </c>
      <c r="O11976" s="8">
        <f>13+3/60+37.3/3600</f>
        <v>13.060361111111112</v>
      </c>
      <c r="P11976" s="8" t="s">
        <v>50359</v>
      </c>
      <c r="Q11976" s="8">
        <f>+(40+14/60+55/3600)</f>
        <v>40.24861111111111</v>
      </c>
      <c r="R11976" s="8">
        <v>15.2</v>
      </c>
      <c r="S11976" s="8">
        <v>16</v>
      </c>
      <c r="T11976" s="8">
        <v>0.8</v>
      </c>
      <c r="U11976" s="8">
        <v>14.5</v>
      </c>
      <c r="V11976" s="8">
        <v>0.9</v>
      </c>
      <c r="W11976" s="8">
        <v>0.7</v>
      </c>
      <c r="X11976" s="8">
        <v>40</v>
      </c>
      <c r="Y11976" s="8" t="s">
        <v>50096</v>
      </c>
      <c r="Z11976" s="8" t="s">
        <v>50097</v>
      </c>
    </row>
    <row r="11977" spans="1:26" x14ac:dyDescent="0.2">
      <c r="A11977" s="8">
        <v>11976</v>
      </c>
      <c r="B11977" s="8" t="s">
        <v>50360</v>
      </c>
      <c r="C11977" s="8" t="s">
        <v>50360</v>
      </c>
      <c r="G11977" s="8">
        <v>20</v>
      </c>
      <c r="H11977" s="8" t="s">
        <v>21</v>
      </c>
      <c r="I11977" s="8" t="s">
        <v>22</v>
      </c>
      <c r="J11977" s="8" t="s">
        <v>57</v>
      </c>
      <c r="K11977" s="8" t="s">
        <v>1277</v>
      </c>
      <c r="L11977" s="8" t="s">
        <v>17287</v>
      </c>
      <c r="M11977" s="8" t="s">
        <v>17288</v>
      </c>
      <c r="N11977" s="8" t="s">
        <v>22231</v>
      </c>
      <c r="O11977" s="8">
        <f>13+4/60+19/3600</f>
        <v>13.071944444444444</v>
      </c>
      <c r="P11977" s="8" t="s">
        <v>22232</v>
      </c>
      <c r="Q11977" s="8">
        <f>-(7+38/60+56/3600)</f>
        <v>-7.6488888888888882</v>
      </c>
      <c r="R11977" s="8">
        <v>13</v>
      </c>
      <c r="S11977" s="8">
        <v>13.7</v>
      </c>
      <c r="T11977" s="8">
        <v>0.7</v>
      </c>
      <c r="U11977" s="8">
        <v>13.6</v>
      </c>
      <c r="V11977" s="8">
        <v>1.6</v>
      </c>
      <c r="W11977" s="8">
        <v>1.3</v>
      </c>
      <c r="X11977" s="8">
        <v>145</v>
      </c>
      <c r="Y11977" s="8" t="s">
        <v>50361</v>
      </c>
      <c r="Z11977" s="8" t="s">
        <v>50362</v>
      </c>
    </row>
    <row r="11978" spans="1:26" x14ac:dyDescent="0.2">
      <c r="A11978" s="8">
        <v>11977</v>
      </c>
      <c r="B11978" s="8" t="s">
        <v>50363</v>
      </c>
      <c r="C11978" s="8" t="s">
        <v>50363</v>
      </c>
      <c r="G11978" s="8">
        <v>20</v>
      </c>
      <c r="H11978" s="8" t="s">
        <v>21</v>
      </c>
      <c r="I11978" s="8" t="s">
        <v>22</v>
      </c>
      <c r="J11978" s="8" t="s">
        <v>22</v>
      </c>
      <c r="K11978" s="8" t="s">
        <v>424</v>
      </c>
      <c r="L11978" s="8" t="s">
        <v>18289</v>
      </c>
      <c r="M11978" s="8" t="s">
        <v>18290</v>
      </c>
      <c r="N11978" s="8" t="s">
        <v>50364</v>
      </c>
      <c r="O11978" s="8">
        <f>13+3/60+59.2/3600</f>
        <v>13.066444444444445</v>
      </c>
      <c r="P11978" s="8" t="s">
        <v>50365</v>
      </c>
      <c r="Q11978" s="8">
        <f>+(22+44/60+26/3600)</f>
        <v>22.740555555555556</v>
      </c>
      <c r="R11978" s="8">
        <v>15.7</v>
      </c>
      <c r="S11978" s="8">
        <v>16.7</v>
      </c>
      <c r="T11978" s="8">
        <v>1</v>
      </c>
      <c r="U11978" s="8">
        <v>12.9</v>
      </c>
      <c r="V11978" s="8">
        <v>0.3</v>
      </c>
      <c r="W11978" s="8">
        <v>0.3</v>
      </c>
      <c r="Y11978" s="8" t="s">
        <v>50310</v>
      </c>
      <c r="Z11978" s="8" t="s">
        <v>50311</v>
      </c>
    </row>
    <row r="11979" spans="1:26" x14ac:dyDescent="0.2">
      <c r="A11979" s="8">
        <v>11978</v>
      </c>
      <c r="B11979" s="8" t="s">
        <v>50366</v>
      </c>
      <c r="C11979" s="8" t="s">
        <v>50366</v>
      </c>
      <c r="G11979" s="8">
        <v>20</v>
      </c>
      <c r="H11979" s="8" t="s">
        <v>21</v>
      </c>
      <c r="I11979" s="8" t="s">
        <v>22</v>
      </c>
      <c r="J11979" s="8" t="s">
        <v>22</v>
      </c>
      <c r="K11979" s="8" t="s">
        <v>449</v>
      </c>
      <c r="L11979" s="8" t="s">
        <v>18289</v>
      </c>
      <c r="M11979" s="8" t="s">
        <v>18290</v>
      </c>
      <c r="N11979" s="8" t="s">
        <v>50367</v>
      </c>
      <c r="O11979" s="8">
        <f>13+4/60+2/3600</f>
        <v>13.067222222222222</v>
      </c>
      <c r="P11979" s="8" t="s">
        <v>50368</v>
      </c>
      <c r="Q11979" s="8">
        <f>+(20+39/60+55/3600)</f>
        <v>20.665277777777778</v>
      </c>
      <c r="R11979" s="8">
        <v>15.4</v>
      </c>
      <c r="S11979" s="8">
        <v>16.2</v>
      </c>
      <c r="T11979" s="8">
        <v>0.8</v>
      </c>
      <c r="U11979" s="8">
        <v>12.2</v>
      </c>
      <c r="V11979" s="8">
        <v>0.3</v>
      </c>
      <c r="W11979" s="8">
        <v>0.2</v>
      </c>
      <c r="X11979" s="8">
        <v>170</v>
      </c>
      <c r="Y11979" s="8" t="s">
        <v>21</v>
      </c>
      <c r="Z11979" s="8" t="s">
        <v>50369</v>
      </c>
    </row>
    <row r="11980" spans="1:26" x14ac:dyDescent="0.2">
      <c r="A11980" s="8">
        <v>11979</v>
      </c>
      <c r="B11980" s="8" t="s">
        <v>50370</v>
      </c>
      <c r="C11980" s="8" t="s">
        <v>50370</v>
      </c>
      <c r="G11980" s="8">
        <v>20</v>
      </c>
      <c r="H11980" s="8" t="s">
        <v>21</v>
      </c>
      <c r="I11980" s="8" t="s">
        <v>22</v>
      </c>
      <c r="J11980" s="8" t="s">
        <v>22</v>
      </c>
      <c r="K11980" s="8" t="s">
        <v>460</v>
      </c>
      <c r="L11980" s="8" t="s">
        <v>18289</v>
      </c>
      <c r="M11980" s="8" t="s">
        <v>18290</v>
      </c>
      <c r="N11980" s="8" t="s">
        <v>50371</v>
      </c>
      <c r="O11980" s="8">
        <f>13+4/60+4.1/3600</f>
        <v>13.067805555555555</v>
      </c>
      <c r="P11980" s="8" t="s">
        <v>50372</v>
      </c>
      <c r="Q11980" s="8">
        <f>+(19+17/60+44/3600)</f>
        <v>19.295555555555556</v>
      </c>
      <c r="R11980" s="8">
        <v>15.8</v>
      </c>
      <c r="S11980" s="8">
        <v>16.8</v>
      </c>
      <c r="T11980" s="8">
        <v>1</v>
      </c>
      <c r="U11980" s="8">
        <v>13.3</v>
      </c>
      <c r="V11980" s="8">
        <v>0.3</v>
      </c>
      <c r="W11980" s="8">
        <v>0.3</v>
      </c>
      <c r="Y11980" s="8" t="s">
        <v>50373</v>
      </c>
      <c r="Z11980" s="8" t="s">
        <v>50374</v>
      </c>
    </row>
    <row r="11981" spans="1:26" x14ac:dyDescent="0.2">
      <c r="A11981" s="8">
        <v>11980</v>
      </c>
      <c r="B11981" s="8" t="s">
        <v>50375</v>
      </c>
      <c r="C11981" s="8" t="s">
        <v>50375</v>
      </c>
      <c r="G11981" s="8">
        <v>20</v>
      </c>
      <c r="H11981" s="8" t="s">
        <v>21</v>
      </c>
      <c r="I11981" s="8" t="s">
        <v>22</v>
      </c>
      <c r="J11981" s="8" t="s">
        <v>22</v>
      </c>
      <c r="K11981" s="8" t="s">
        <v>424</v>
      </c>
      <c r="L11981" s="8" t="s">
        <v>18289</v>
      </c>
      <c r="M11981" s="8" t="s">
        <v>18290</v>
      </c>
      <c r="N11981" s="8" t="s">
        <v>50376</v>
      </c>
      <c r="O11981" s="8">
        <f>13+4/60+6/3600</f>
        <v>13.068333333333333</v>
      </c>
      <c r="P11981" s="8" t="s">
        <v>50377</v>
      </c>
      <c r="Q11981" s="8">
        <f>+(20+5/60+47/3600)</f>
        <v>20.096388888888889</v>
      </c>
      <c r="R11981" s="8">
        <v>16</v>
      </c>
      <c r="S11981" s="8">
        <v>17</v>
      </c>
      <c r="T11981" s="8">
        <v>1</v>
      </c>
      <c r="U11981" s="8">
        <v>12.4</v>
      </c>
      <c r="V11981" s="8">
        <v>0.2</v>
      </c>
      <c r="W11981" s="8">
        <v>0.2</v>
      </c>
      <c r="Y11981" s="8" t="s">
        <v>50378</v>
      </c>
      <c r="Z11981" s="8" t="s">
        <v>50379</v>
      </c>
    </row>
    <row r="11982" spans="1:26" x14ac:dyDescent="0.2">
      <c r="A11982" s="8">
        <v>11981</v>
      </c>
      <c r="B11982" s="8" t="s">
        <v>50380</v>
      </c>
      <c r="C11982" s="8" t="s">
        <v>50380</v>
      </c>
      <c r="G11982" s="8">
        <v>20</v>
      </c>
      <c r="H11982" s="8" t="s">
        <v>21</v>
      </c>
      <c r="I11982" s="8" t="s">
        <v>22</v>
      </c>
      <c r="J11982" s="8" t="s">
        <v>22</v>
      </c>
      <c r="K11982" s="8" t="s">
        <v>37858</v>
      </c>
      <c r="L11982" s="8" t="s">
        <v>18289</v>
      </c>
      <c r="M11982" s="8" t="s">
        <v>18290</v>
      </c>
      <c r="N11982" s="8" t="s">
        <v>50381</v>
      </c>
      <c r="O11982" s="8">
        <f>13+4/60+7.7/3600</f>
        <v>13.068805555555555</v>
      </c>
      <c r="P11982" s="8" t="s">
        <v>50382</v>
      </c>
      <c r="Q11982" s="8">
        <f>+(19+12/60+38/3600)</f>
        <v>19.210555555555555</v>
      </c>
      <c r="R11982" s="8">
        <v>16.2</v>
      </c>
      <c r="S11982" s="8">
        <v>17</v>
      </c>
      <c r="T11982" s="8">
        <v>0.8</v>
      </c>
      <c r="U11982" s="8">
        <v>15.1</v>
      </c>
      <c r="V11982" s="8">
        <v>0.7</v>
      </c>
      <c r="W11982" s="8">
        <v>0.6</v>
      </c>
      <c r="Y11982" s="8" t="s">
        <v>45218</v>
      </c>
      <c r="Z11982" s="8" t="s">
        <v>45219</v>
      </c>
    </row>
    <row r="11983" spans="1:26" x14ac:dyDescent="0.2">
      <c r="A11983" s="8">
        <v>11982</v>
      </c>
      <c r="B11983" s="8" t="s">
        <v>50383</v>
      </c>
      <c r="C11983" s="8" t="s">
        <v>50383</v>
      </c>
      <c r="G11983" s="8">
        <v>20</v>
      </c>
      <c r="H11983" s="8" t="s">
        <v>21</v>
      </c>
      <c r="I11983" s="8" t="s">
        <v>72</v>
      </c>
      <c r="J11983" s="8" t="s">
        <v>72</v>
      </c>
      <c r="K11983" s="8" t="s">
        <v>20</v>
      </c>
      <c r="L11983" s="8" t="s">
        <v>18681</v>
      </c>
      <c r="M11983" s="8" t="s">
        <v>18682</v>
      </c>
      <c r="N11983" s="8" t="s">
        <v>50384</v>
      </c>
      <c r="O11983" s="8">
        <f>13+3/60+47.4/3600</f>
        <v>13.063166666666667</v>
      </c>
      <c r="P11983" s="8" t="s">
        <v>50385</v>
      </c>
      <c r="Q11983" s="8">
        <f>+(38+11/60+41/3600)</f>
        <v>38.194722222222218</v>
      </c>
      <c r="R11983" s="8">
        <v>99</v>
      </c>
      <c r="S11983" s="8">
        <v>99</v>
      </c>
      <c r="T11983" s="8">
        <v>99</v>
      </c>
      <c r="U11983" s="8">
        <v>99</v>
      </c>
      <c r="Y11983" s="8" t="s">
        <v>45086</v>
      </c>
      <c r="Z11983" s="8" t="s">
        <v>45087</v>
      </c>
    </row>
    <row r="11984" spans="1:26" x14ac:dyDescent="0.2">
      <c r="A11984" s="8">
        <v>11983</v>
      </c>
      <c r="B11984" s="8" t="s">
        <v>50386</v>
      </c>
      <c r="C11984" s="8" t="s">
        <v>50386</v>
      </c>
      <c r="G11984" s="8">
        <v>20</v>
      </c>
      <c r="H11984" s="8" t="s">
        <v>21</v>
      </c>
      <c r="I11984" s="8" t="s">
        <v>72</v>
      </c>
      <c r="J11984" s="8" t="s">
        <v>72</v>
      </c>
      <c r="K11984" s="8" t="s">
        <v>20</v>
      </c>
      <c r="L11984" s="8" t="s">
        <v>18681</v>
      </c>
      <c r="M11984" s="8" t="s">
        <v>18682</v>
      </c>
      <c r="N11984" s="8" t="s">
        <v>50387</v>
      </c>
      <c r="O11984" s="8">
        <f>13+3/60+45.6/3600</f>
        <v>13.062666666666667</v>
      </c>
      <c r="P11984" s="8" t="s">
        <v>50388</v>
      </c>
      <c r="Q11984" s="8">
        <f>+(40+12/60+25/3600)</f>
        <v>40.206944444444446</v>
      </c>
      <c r="R11984" s="8">
        <v>99</v>
      </c>
      <c r="S11984" s="8">
        <v>99</v>
      </c>
      <c r="T11984" s="8">
        <v>99</v>
      </c>
      <c r="U11984" s="8">
        <v>99</v>
      </c>
      <c r="Y11984" s="8" t="s">
        <v>22305</v>
      </c>
      <c r="Z11984" s="8" t="s">
        <v>22306</v>
      </c>
    </row>
    <row r="11985" spans="1:26" x14ac:dyDescent="0.2">
      <c r="A11985" s="8">
        <v>11984</v>
      </c>
      <c r="B11985" s="8" t="s">
        <v>50389</v>
      </c>
      <c r="C11985" s="8" t="s">
        <v>50389</v>
      </c>
      <c r="G11985" s="8">
        <v>20</v>
      </c>
      <c r="H11985" s="8" t="s">
        <v>21</v>
      </c>
      <c r="I11985" s="8" t="s">
        <v>22</v>
      </c>
      <c r="J11985" s="8" t="s">
        <v>22</v>
      </c>
      <c r="K11985" s="8" t="s">
        <v>23</v>
      </c>
      <c r="L11985" s="8" t="s">
        <v>18681</v>
      </c>
      <c r="M11985" s="8" t="s">
        <v>18682</v>
      </c>
      <c r="N11985" s="8" t="s">
        <v>50390</v>
      </c>
      <c r="O11985" s="8">
        <f>13+3/60+50.2/3600</f>
        <v>13.063944444444445</v>
      </c>
      <c r="P11985" s="8" t="s">
        <v>50391</v>
      </c>
      <c r="Q11985" s="8">
        <f>+(36+56/60+33/3600)</f>
        <v>36.942499999999995</v>
      </c>
      <c r="R11985" s="8">
        <v>15.3</v>
      </c>
      <c r="S11985" s="8">
        <v>16.100000000000001</v>
      </c>
      <c r="T11985" s="8">
        <v>0.8</v>
      </c>
      <c r="U11985" s="8">
        <v>12.8</v>
      </c>
      <c r="V11985" s="8">
        <v>1.1000000000000001</v>
      </c>
      <c r="W11985" s="8">
        <v>0.1</v>
      </c>
      <c r="X11985" s="8">
        <v>6</v>
      </c>
      <c r="Y11985" s="8" t="s">
        <v>44821</v>
      </c>
      <c r="Z11985" s="8" t="s">
        <v>44822</v>
      </c>
    </row>
    <row r="11986" spans="1:26" x14ac:dyDescent="0.2">
      <c r="A11986" s="8">
        <v>11985</v>
      </c>
      <c r="B11986" s="8" t="s">
        <v>50392</v>
      </c>
      <c r="C11986" s="8" t="s">
        <v>50392</v>
      </c>
      <c r="G11986" s="8">
        <v>20</v>
      </c>
      <c r="H11986" s="8" t="s">
        <v>21</v>
      </c>
      <c r="I11986" s="8" t="s">
        <v>22</v>
      </c>
      <c r="J11986" s="8" t="s">
        <v>22</v>
      </c>
      <c r="K11986" s="8" t="s">
        <v>449</v>
      </c>
      <c r="L11986" s="8" t="s">
        <v>18681</v>
      </c>
      <c r="M11986" s="8" t="s">
        <v>18682</v>
      </c>
      <c r="N11986" s="8" t="s">
        <v>50393</v>
      </c>
      <c r="O11986" s="8">
        <f>13+3/60+49.8/3600</f>
        <v>13.063833333333333</v>
      </c>
      <c r="P11986" s="8" t="s">
        <v>50394</v>
      </c>
      <c r="Q11986" s="8">
        <f>+(38+17/60+11/3600)</f>
        <v>38.286388888888887</v>
      </c>
      <c r="R11986" s="8">
        <v>15</v>
      </c>
      <c r="S11986" s="8">
        <v>15.8</v>
      </c>
      <c r="T11986" s="8">
        <v>0.8</v>
      </c>
      <c r="U11986" s="8">
        <v>12.5</v>
      </c>
      <c r="V11986" s="8">
        <v>0.6</v>
      </c>
      <c r="W11986" s="8">
        <v>0.2</v>
      </c>
      <c r="X11986" s="8">
        <v>140</v>
      </c>
      <c r="Y11986" s="8" t="s">
        <v>5139</v>
      </c>
      <c r="Z11986" s="8" t="s">
        <v>5140</v>
      </c>
    </row>
    <row r="11987" spans="1:26" x14ac:dyDescent="0.2">
      <c r="A11987" s="8">
        <v>11986</v>
      </c>
      <c r="B11987" s="8" t="s">
        <v>50395</v>
      </c>
      <c r="C11987" s="8" t="s">
        <v>50395</v>
      </c>
      <c r="G11987" s="8">
        <v>20</v>
      </c>
      <c r="H11987" s="8" t="s">
        <v>21</v>
      </c>
      <c r="I11987" s="8" t="s">
        <v>22</v>
      </c>
      <c r="J11987" s="8" t="s">
        <v>22</v>
      </c>
      <c r="K11987" s="8" t="s">
        <v>460</v>
      </c>
      <c r="L11987" s="8" t="s">
        <v>18289</v>
      </c>
      <c r="M11987" s="8" t="s">
        <v>18290</v>
      </c>
      <c r="N11987" s="8" t="s">
        <v>50396</v>
      </c>
      <c r="O11987" s="8">
        <f>13+4/60+10.3/3600</f>
        <v>13.069527777777777</v>
      </c>
      <c r="P11987" s="8" t="s">
        <v>50397</v>
      </c>
      <c r="Q11987" s="8">
        <f>+(19+16/60+41/3600)</f>
        <v>19.278055555555554</v>
      </c>
      <c r="R11987" s="8">
        <v>15.2</v>
      </c>
      <c r="S11987" s="8">
        <v>16.2</v>
      </c>
      <c r="T11987" s="8">
        <v>1</v>
      </c>
      <c r="U11987" s="8">
        <v>11.8</v>
      </c>
      <c r="V11987" s="8">
        <v>0.2</v>
      </c>
      <c r="W11987" s="8">
        <v>0.2</v>
      </c>
      <c r="Y11987" s="8" t="s">
        <v>3952</v>
      </c>
      <c r="Z11987" s="8" t="s">
        <v>3953</v>
      </c>
    </row>
    <row r="11988" spans="1:26" x14ac:dyDescent="0.2">
      <c r="A11988" s="8">
        <v>11987</v>
      </c>
      <c r="B11988" s="8" t="s">
        <v>50398</v>
      </c>
      <c r="C11988" s="8" t="s">
        <v>50398</v>
      </c>
      <c r="G11988" s="8">
        <v>20</v>
      </c>
      <c r="H11988" s="8" t="s">
        <v>21</v>
      </c>
      <c r="I11988" s="8" t="s">
        <v>22</v>
      </c>
      <c r="J11988" s="8" t="s">
        <v>22</v>
      </c>
      <c r="K11988" s="8" t="s">
        <v>3523</v>
      </c>
      <c r="L11988" s="8" t="s">
        <v>18289</v>
      </c>
      <c r="M11988" s="8" t="s">
        <v>18290</v>
      </c>
      <c r="N11988" s="8" t="s">
        <v>50399</v>
      </c>
      <c r="O11988" s="8">
        <f>13+4/60+9.5/3600</f>
        <v>13.069305555555555</v>
      </c>
      <c r="P11988" s="8" t="s">
        <v>50400</v>
      </c>
      <c r="Q11988" s="8">
        <f>+(20+15/60+1/3600)</f>
        <v>20.250277777777779</v>
      </c>
      <c r="R11988" s="8">
        <v>17.399999999999999</v>
      </c>
      <c r="S11988" s="8">
        <v>18</v>
      </c>
      <c r="T11988" s="8">
        <v>0.6</v>
      </c>
      <c r="U11988" s="8">
        <v>15.4</v>
      </c>
      <c r="V11988" s="8">
        <v>0.6</v>
      </c>
      <c r="W11988" s="8">
        <v>0.3</v>
      </c>
      <c r="X11988" s="8">
        <v>170</v>
      </c>
      <c r="Y11988" s="8" t="s">
        <v>17508</v>
      </c>
      <c r="Z11988" s="8" t="s">
        <v>17509</v>
      </c>
    </row>
    <row r="11989" spans="1:26" x14ac:dyDescent="0.2">
      <c r="A11989" s="8">
        <v>11988</v>
      </c>
      <c r="B11989" s="8" t="s">
        <v>50401</v>
      </c>
      <c r="C11989" s="8" t="s">
        <v>50401</v>
      </c>
      <c r="G11989" s="8">
        <v>20</v>
      </c>
      <c r="H11989" s="8" t="s">
        <v>21</v>
      </c>
      <c r="I11989" s="8" t="s">
        <v>22</v>
      </c>
      <c r="J11989" s="8" t="s">
        <v>22</v>
      </c>
      <c r="K11989" s="8" t="s">
        <v>1068</v>
      </c>
      <c r="L11989" s="8" t="s">
        <v>18289</v>
      </c>
      <c r="M11989" s="8" t="s">
        <v>18290</v>
      </c>
      <c r="N11989" s="8" t="s">
        <v>50402</v>
      </c>
      <c r="O11989" s="8">
        <f>13+4/60+10.6/3600</f>
        <v>13.069611111111112</v>
      </c>
      <c r="P11989" s="8" t="s">
        <v>50403</v>
      </c>
      <c r="Q11989" s="8">
        <f>+(19+15/60+33/3600)</f>
        <v>19.259166666666665</v>
      </c>
      <c r="R11989" s="8">
        <v>15.5</v>
      </c>
      <c r="S11989" s="8">
        <v>16.5</v>
      </c>
      <c r="T11989" s="8">
        <v>1</v>
      </c>
      <c r="U11989" s="8">
        <v>11.3</v>
      </c>
      <c r="V11989" s="8">
        <v>0.2</v>
      </c>
      <c r="W11989" s="8">
        <v>0.1</v>
      </c>
      <c r="X11989" s="8">
        <v>70</v>
      </c>
      <c r="Y11989" s="8" t="s">
        <v>385</v>
      </c>
      <c r="Z11989" s="8" t="s">
        <v>386</v>
      </c>
    </row>
    <row r="11990" spans="1:26" x14ac:dyDescent="0.2">
      <c r="A11990" s="8">
        <v>11989</v>
      </c>
      <c r="B11990" s="8" t="s">
        <v>50404</v>
      </c>
      <c r="C11990" s="8" t="s">
        <v>50404</v>
      </c>
      <c r="G11990" s="8">
        <v>20</v>
      </c>
      <c r="H11990" s="8" t="s">
        <v>21</v>
      </c>
      <c r="I11990" s="8" t="s">
        <v>22</v>
      </c>
      <c r="J11990" s="8" t="s">
        <v>22</v>
      </c>
      <c r="K11990" s="8" t="s">
        <v>1445</v>
      </c>
      <c r="L11990" s="8" t="s">
        <v>18289</v>
      </c>
      <c r="M11990" s="8" t="s">
        <v>18290</v>
      </c>
      <c r="N11990" s="8" t="s">
        <v>50405</v>
      </c>
      <c r="O11990" s="8">
        <f>13+4/60+10.8/3600</f>
        <v>13.069666666666667</v>
      </c>
      <c r="P11990" s="8" t="s">
        <v>50406</v>
      </c>
      <c r="Q11990" s="8">
        <f>+(22+17/60+24/3600)</f>
        <v>22.290000000000003</v>
      </c>
      <c r="R11990" s="8">
        <v>14.7</v>
      </c>
      <c r="S11990" s="8">
        <v>15.5</v>
      </c>
      <c r="T11990" s="8">
        <v>0.8</v>
      </c>
      <c r="U11990" s="8">
        <v>13.3</v>
      </c>
      <c r="V11990" s="8">
        <v>0.8</v>
      </c>
      <c r="W11990" s="8">
        <v>0.4</v>
      </c>
      <c r="X11990" s="8">
        <v>90</v>
      </c>
      <c r="Y11990" s="8" t="s">
        <v>21</v>
      </c>
      <c r="Z11990" s="8" t="s">
        <v>50407</v>
      </c>
    </row>
    <row r="11991" spans="1:26" x14ac:dyDescent="0.2">
      <c r="A11991" s="8">
        <v>11990</v>
      </c>
      <c r="B11991" s="8" t="s">
        <v>50408</v>
      </c>
      <c r="C11991" s="8" t="s">
        <v>50408</v>
      </c>
      <c r="G11991" s="8">
        <v>20</v>
      </c>
      <c r="H11991" s="8" t="s">
        <v>21</v>
      </c>
      <c r="I11991" s="8" t="s">
        <v>72</v>
      </c>
      <c r="J11991" s="8" t="s">
        <v>72</v>
      </c>
      <c r="K11991" s="8" t="s">
        <v>20</v>
      </c>
      <c r="L11991" s="8" t="s">
        <v>18289</v>
      </c>
      <c r="M11991" s="8" t="s">
        <v>18290</v>
      </c>
      <c r="N11991" s="8" t="s">
        <v>50409</v>
      </c>
      <c r="O11991" s="8">
        <f>13+4/60+13.1/3600</f>
        <v>13.070305555555555</v>
      </c>
      <c r="P11991" s="8" t="s">
        <v>50410</v>
      </c>
      <c r="Q11991" s="8">
        <f>+(21+59/60+14/3600)</f>
        <v>21.987222222222222</v>
      </c>
      <c r="R11991" s="8">
        <v>99</v>
      </c>
      <c r="S11991" s="8">
        <v>99</v>
      </c>
      <c r="T11991" s="8">
        <v>99</v>
      </c>
      <c r="U11991" s="8">
        <v>99</v>
      </c>
      <c r="Y11991" s="8" t="s">
        <v>421</v>
      </c>
      <c r="Z11991" s="8" t="s">
        <v>422</v>
      </c>
    </row>
    <row r="11992" spans="1:26" x14ac:dyDescent="0.2">
      <c r="A11992" s="8">
        <v>11991</v>
      </c>
      <c r="B11992" s="8" t="s">
        <v>50411</v>
      </c>
      <c r="C11992" s="8" t="s">
        <v>50411</v>
      </c>
      <c r="G11992" s="8">
        <v>20</v>
      </c>
      <c r="H11992" s="8" t="s">
        <v>21</v>
      </c>
      <c r="I11992" s="8" t="s">
        <v>22</v>
      </c>
      <c r="J11992" s="8" t="s">
        <v>22</v>
      </c>
      <c r="K11992" s="8" t="s">
        <v>1174</v>
      </c>
      <c r="L11992" s="8" t="s">
        <v>18681</v>
      </c>
      <c r="M11992" s="8" t="s">
        <v>18682</v>
      </c>
      <c r="N11992" s="8" t="s">
        <v>50364</v>
      </c>
      <c r="O11992" s="8">
        <f>13+3/60+59.2/3600</f>
        <v>13.066444444444445</v>
      </c>
      <c r="P11992" s="8" t="s">
        <v>50412</v>
      </c>
      <c r="Q11992" s="8">
        <f>+(36+51/60+26/3600)</f>
        <v>36.857222222222227</v>
      </c>
      <c r="R11992" s="8">
        <v>15.7</v>
      </c>
      <c r="S11992" s="8">
        <v>16.5</v>
      </c>
      <c r="T11992" s="8">
        <v>0.8</v>
      </c>
      <c r="U11992" s="8">
        <v>12.5</v>
      </c>
      <c r="V11992" s="8">
        <v>0.3</v>
      </c>
      <c r="W11992" s="8">
        <v>0.2</v>
      </c>
      <c r="X11992" s="8">
        <v>10</v>
      </c>
      <c r="Y11992" s="8" t="s">
        <v>50413</v>
      </c>
      <c r="Z11992" s="8" t="s">
        <v>50414</v>
      </c>
    </row>
    <row r="11993" spans="1:26" x14ac:dyDescent="0.2">
      <c r="A11993" s="8">
        <v>11992</v>
      </c>
      <c r="B11993" s="8" t="s">
        <v>50415</v>
      </c>
      <c r="C11993" s="8" t="s">
        <v>50415</v>
      </c>
      <c r="G11993" s="8">
        <v>20</v>
      </c>
      <c r="H11993" s="8" t="s">
        <v>21</v>
      </c>
      <c r="I11993" s="8" t="s">
        <v>22</v>
      </c>
      <c r="J11993" s="8" t="s">
        <v>22</v>
      </c>
      <c r="K11993" s="8" t="s">
        <v>424</v>
      </c>
      <c r="L11993" s="8" t="s">
        <v>18681</v>
      </c>
      <c r="M11993" s="8" t="s">
        <v>18682</v>
      </c>
      <c r="N11993" s="8" t="s">
        <v>50416</v>
      </c>
      <c r="O11993" s="8">
        <f>13+3/60+58.5/3600</f>
        <v>13.06625</v>
      </c>
      <c r="P11993" s="8" t="s">
        <v>50417</v>
      </c>
      <c r="Q11993" s="8">
        <f>+(38+11/60+57/3600)</f>
        <v>38.199166666666663</v>
      </c>
      <c r="R11993" s="8">
        <v>15.2</v>
      </c>
      <c r="S11993" s="8">
        <v>16.2</v>
      </c>
      <c r="T11993" s="8">
        <v>1</v>
      </c>
      <c r="U11993" s="8">
        <v>12.4</v>
      </c>
      <c r="V11993" s="8">
        <v>0.3</v>
      </c>
      <c r="W11993" s="8">
        <v>0.3</v>
      </c>
      <c r="Y11993" s="8" t="s">
        <v>45514</v>
      </c>
      <c r="Z11993" s="8" t="s">
        <v>45515</v>
      </c>
    </row>
    <row r="11994" spans="1:26" x14ac:dyDescent="0.2">
      <c r="A11994" s="8">
        <v>11993</v>
      </c>
      <c r="B11994" s="8" t="s">
        <v>50418</v>
      </c>
      <c r="C11994" s="8" t="s">
        <v>50418</v>
      </c>
      <c r="G11994" s="8">
        <v>20</v>
      </c>
      <c r="H11994" s="8" t="s">
        <v>21</v>
      </c>
      <c r="I11994" s="8" t="s">
        <v>72</v>
      </c>
      <c r="J11994" s="8" t="s">
        <v>72</v>
      </c>
      <c r="K11994" s="8" t="s">
        <v>20</v>
      </c>
      <c r="L11994" s="8" t="s">
        <v>18289</v>
      </c>
      <c r="M11994" s="8" t="s">
        <v>18290</v>
      </c>
      <c r="N11994" s="8" t="s">
        <v>50419</v>
      </c>
      <c r="O11994" s="8">
        <f>13+4/60+26.5/3600</f>
        <v>13.074027777777777</v>
      </c>
      <c r="P11994" s="8" t="s">
        <v>50420</v>
      </c>
      <c r="Q11994" s="8">
        <f>+(19+2/60+40/3600)</f>
        <v>19.044444444444448</v>
      </c>
      <c r="R11994" s="8">
        <v>99</v>
      </c>
      <c r="S11994" s="8">
        <v>99</v>
      </c>
      <c r="T11994" s="8">
        <v>99</v>
      </c>
      <c r="U11994" s="8">
        <v>99</v>
      </c>
      <c r="Y11994" s="8" t="s">
        <v>2641</v>
      </c>
      <c r="Z11994" s="8" t="s">
        <v>2642</v>
      </c>
    </row>
    <row r="11995" spans="1:26" x14ac:dyDescent="0.2">
      <c r="A11995" s="8">
        <v>11994</v>
      </c>
      <c r="B11995" s="8" t="s">
        <v>50421</v>
      </c>
      <c r="C11995" s="8" t="s">
        <v>50421</v>
      </c>
      <c r="G11995" s="8">
        <v>20</v>
      </c>
      <c r="H11995" s="8" t="s">
        <v>21</v>
      </c>
      <c r="I11995" s="8" t="s">
        <v>22</v>
      </c>
      <c r="J11995" s="8" t="s">
        <v>22</v>
      </c>
      <c r="K11995" s="8" t="s">
        <v>460</v>
      </c>
      <c r="L11995" s="8" t="s">
        <v>18289</v>
      </c>
      <c r="M11995" s="8" t="s">
        <v>18290</v>
      </c>
      <c r="N11995" s="8" t="s">
        <v>50422</v>
      </c>
      <c r="O11995" s="8">
        <f>13+4/60+28.3/3600</f>
        <v>13.074527777777778</v>
      </c>
      <c r="P11995" s="8" t="s">
        <v>50423</v>
      </c>
      <c r="Q11995" s="8">
        <f>+(23+34/60+30/3600)</f>
        <v>23.574999999999999</v>
      </c>
      <c r="R11995" s="8">
        <v>15</v>
      </c>
      <c r="S11995" s="8">
        <v>16</v>
      </c>
      <c r="T11995" s="8">
        <v>1</v>
      </c>
      <c r="U11995" s="8">
        <v>12.5</v>
      </c>
      <c r="V11995" s="8">
        <v>0.3</v>
      </c>
      <c r="W11995" s="8">
        <v>0.3</v>
      </c>
      <c r="Y11995" s="8" t="s">
        <v>824</v>
      </c>
      <c r="Z11995" s="8" t="s">
        <v>825</v>
      </c>
    </row>
    <row r="11996" spans="1:26" x14ac:dyDescent="0.2">
      <c r="A11996" s="8">
        <v>11995</v>
      </c>
      <c r="B11996" s="8" t="s">
        <v>50424</v>
      </c>
      <c r="C11996" s="8" t="s">
        <v>50424</v>
      </c>
      <c r="G11996" s="8">
        <v>20</v>
      </c>
      <c r="H11996" s="8" t="s">
        <v>21</v>
      </c>
      <c r="I11996" s="8" t="s">
        <v>72</v>
      </c>
      <c r="J11996" s="8" t="s">
        <v>72</v>
      </c>
      <c r="K11996" s="8" t="s">
        <v>20</v>
      </c>
      <c r="L11996" s="8" t="s">
        <v>18681</v>
      </c>
      <c r="M11996" s="8" t="s">
        <v>18682</v>
      </c>
      <c r="N11996" s="8" t="s">
        <v>50425</v>
      </c>
      <c r="O11996" s="8">
        <f>13+4/60+8.9/3600</f>
        <v>13.069138888888888</v>
      </c>
      <c r="P11996" s="8" t="s">
        <v>50426</v>
      </c>
      <c r="Q11996" s="8">
        <f>+(40+0/60+54/3600)</f>
        <v>40.015000000000001</v>
      </c>
      <c r="R11996" s="8">
        <v>99</v>
      </c>
      <c r="S11996" s="8">
        <v>99</v>
      </c>
      <c r="T11996" s="8">
        <v>99</v>
      </c>
      <c r="U11996" s="8">
        <v>99</v>
      </c>
      <c r="Y11996" s="8" t="s">
        <v>39286</v>
      </c>
      <c r="Z11996" s="8" t="s">
        <v>39287</v>
      </c>
    </row>
    <row r="11997" spans="1:26" x14ac:dyDescent="0.2">
      <c r="A11997" s="8">
        <v>11996</v>
      </c>
      <c r="B11997" s="8" t="s">
        <v>50427</v>
      </c>
      <c r="C11997" s="8" t="s">
        <v>50427</v>
      </c>
      <c r="G11997" s="8">
        <v>20</v>
      </c>
      <c r="H11997" s="8" t="s">
        <v>21</v>
      </c>
      <c r="I11997" s="8" t="s">
        <v>22</v>
      </c>
      <c r="J11997" s="8" t="s">
        <v>57</v>
      </c>
      <c r="K11997" s="8" t="s">
        <v>269</v>
      </c>
      <c r="L11997" s="8" t="s">
        <v>17287</v>
      </c>
      <c r="M11997" s="8" t="s">
        <v>17288</v>
      </c>
      <c r="N11997" s="8" t="s">
        <v>22255</v>
      </c>
      <c r="O11997" s="8">
        <f>13+4/60+55.8/3600</f>
        <v>13.082166666666666</v>
      </c>
      <c r="P11997" s="8" t="s">
        <v>22256</v>
      </c>
      <c r="Q11997" s="8">
        <f>-(7+56/60+47/3600)</f>
        <v>-7.9463888888888894</v>
      </c>
      <c r="R11997" s="8">
        <v>13.2</v>
      </c>
      <c r="S11997" s="8">
        <v>14</v>
      </c>
      <c r="T11997" s="8">
        <v>0.8</v>
      </c>
      <c r="U11997" s="8">
        <v>13.3</v>
      </c>
      <c r="V11997" s="8">
        <v>2</v>
      </c>
      <c r="W11997" s="8">
        <v>0.7</v>
      </c>
      <c r="X11997" s="8">
        <v>145</v>
      </c>
      <c r="Y11997" s="8" t="s">
        <v>50428</v>
      </c>
      <c r="Z11997" s="8" t="s">
        <v>50429</v>
      </c>
    </row>
    <row r="11998" spans="1:26" x14ac:dyDescent="0.2">
      <c r="A11998" s="8">
        <v>11997</v>
      </c>
      <c r="B11998" s="8" t="s">
        <v>50430</v>
      </c>
      <c r="C11998" s="8" t="s">
        <v>50430</v>
      </c>
      <c r="G11998" s="8">
        <v>20</v>
      </c>
      <c r="H11998" s="8" t="s">
        <v>21</v>
      </c>
      <c r="I11998" s="8" t="s">
        <v>72</v>
      </c>
      <c r="J11998" s="8" t="s">
        <v>72</v>
      </c>
      <c r="K11998" s="8" t="s">
        <v>20</v>
      </c>
      <c r="L11998" s="8" t="s">
        <v>18681</v>
      </c>
      <c r="M11998" s="8" t="s">
        <v>18682</v>
      </c>
      <c r="N11998" s="8" t="s">
        <v>50431</v>
      </c>
      <c r="O11998" s="8">
        <f>13+4/60+18.4/3600</f>
        <v>13.071777777777777</v>
      </c>
      <c r="P11998" s="8" t="s">
        <v>50432</v>
      </c>
      <c r="Q11998" s="8">
        <f>+(38+39/60+56/3600)</f>
        <v>38.665555555555557</v>
      </c>
      <c r="R11998" s="8">
        <v>99</v>
      </c>
      <c r="S11998" s="8">
        <v>99</v>
      </c>
      <c r="T11998" s="8">
        <v>99</v>
      </c>
      <c r="U11998" s="8">
        <v>99</v>
      </c>
      <c r="Y11998" s="8" t="s">
        <v>21</v>
      </c>
      <c r="Z11998" s="8" t="s">
        <v>50433</v>
      </c>
    </row>
    <row r="11999" spans="1:26" x14ac:dyDescent="0.2">
      <c r="A11999" s="8">
        <v>11998</v>
      </c>
      <c r="B11999" s="8" t="s">
        <v>50434</v>
      </c>
      <c r="C11999" s="8" t="s">
        <v>50434</v>
      </c>
      <c r="G11999" s="8">
        <v>20</v>
      </c>
      <c r="H11999" s="8" t="s">
        <v>21</v>
      </c>
      <c r="I11999" s="8" t="s">
        <v>22</v>
      </c>
      <c r="J11999" s="8" t="s">
        <v>22</v>
      </c>
      <c r="K11999" s="8" t="s">
        <v>37</v>
      </c>
      <c r="L11999" s="8" t="s">
        <v>18681</v>
      </c>
      <c r="M11999" s="8" t="s">
        <v>18682</v>
      </c>
      <c r="N11999" s="8" t="s">
        <v>50435</v>
      </c>
      <c r="O11999" s="8">
        <f>13+4/60+24.6/3600</f>
        <v>13.073499999999999</v>
      </c>
      <c r="P11999" s="8" t="s">
        <v>50436</v>
      </c>
      <c r="Q11999" s="8">
        <f>+(36+28/60+50/3600)</f>
        <v>36.480555555555554</v>
      </c>
      <c r="R11999" s="8">
        <v>14.8</v>
      </c>
      <c r="S11999" s="8">
        <v>15.8</v>
      </c>
      <c r="T11999" s="8">
        <v>1</v>
      </c>
      <c r="U11999" s="8">
        <v>12.2</v>
      </c>
      <c r="V11999" s="8">
        <v>0.5</v>
      </c>
      <c r="W11999" s="8">
        <v>0.2</v>
      </c>
      <c r="X11999" s="8">
        <v>130</v>
      </c>
      <c r="Y11999" s="8" t="s">
        <v>45218</v>
      </c>
      <c r="Z11999" s="8" t="s">
        <v>45219</v>
      </c>
    </row>
    <row r="12000" spans="1:26" x14ac:dyDescent="0.2">
      <c r="A12000" s="8">
        <v>11999</v>
      </c>
      <c r="B12000" s="8" t="s">
        <v>50437</v>
      </c>
      <c r="C12000" s="8" t="s">
        <v>50437</v>
      </c>
      <c r="G12000" s="8">
        <v>20</v>
      </c>
      <c r="H12000" s="8" t="s">
        <v>21</v>
      </c>
      <c r="I12000" s="8" t="s">
        <v>22</v>
      </c>
      <c r="J12000" s="8" t="s">
        <v>22</v>
      </c>
      <c r="K12000" s="8" t="s">
        <v>1174</v>
      </c>
      <c r="L12000" s="8" t="s">
        <v>18289</v>
      </c>
      <c r="M12000" s="8" t="s">
        <v>18290</v>
      </c>
      <c r="N12000" s="8" t="s">
        <v>50438</v>
      </c>
      <c r="O12000" s="8">
        <f>13+4/60+45.9/3600</f>
        <v>13.079416666666667</v>
      </c>
      <c r="P12000" s="8" t="s">
        <v>50439</v>
      </c>
      <c r="Q12000" s="8">
        <f>+(22+14/60+30/3600)</f>
        <v>22.241666666666667</v>
      </c>
      <c r="R12000" s="8">
        <v>15.7</v>
      </c>
      <c r="S12000" s="8">
        <v>16.5</v>
      </c>
      <c r="T12000" s="8">
        <v>0.8</v>
      </c>
      <c r="U12000" s="8">
        <v>12.1</v>
      </c>
      <c r="V12000" s="8">
        <v>0.2</v>
      </c>
      <c r="W12000" s="8">
        <v>0.2</v>
      </c>
      <c r="Y12000" s="8" t="s">
        <v>45514</v>
      </c>
      <c r="Z12000" s="8" t="s">
        <v>45515</v>
      </c>
    </row>
    <row r="12001" spans="1:26" x14ac:dyDescent="0.2">
      <c r="A12001" s="8">
        <v>12000</v>
      </c>
      <c r="B12001" s="8" t="s">
        <v>50440</v>
      </c>
      <c r="C12001" s="8" t="s">
        <v>50440</v>
      </c>
      <c r="G12001" s="8">
        <v>20</v>
      </c>
      <c r="H12001" s="8" t="s">
        <v>21</v>
      </c>
      <c r="I12001" s="8" t="s">
        <v>22</v>
      </c>
      <c r="J12001" s="8" t="s">
        <v>22</v>
      </c>
      <c r="K12001" s="8" t="s">
        <v>449</v>
      </c>
      <c r="L12001" s="8" t="s">
        <v>18289</v>
      </c>
      <c r="M12001" s="8" t="s">
        <v>18290</v>
      </c>
      <c r="N12001" s="8" t="s">
        <v>50441</v>
      </c>
      <c r="O12001" s="8">
        <f>13+4/60+48/3600</f>
        <v>13.08</v>
      </c>
      <c r="P12001" s="8" t="s">
        <v>50442</v>
      </c>
      <c r="Q12001" s="8">
        <f>+(22+53/60+35/3600)</f>
        <v>22.893055555555556</v>
      </c>
      <c r="R12001" s="8">
        <v>16.5</v>
      </c>
      <c r="S12001" s="8">
        <v>17.3</v>
      </c>
      <c r="T12001" s="8">
        <v>0.8</v>
      </c>
      <c r="U12001" s="8">
        <v>13.6</v>
      </c>
      <c r="V12001" s="8">
        <v>0.4</v>
      </c>
      <c r="W12001" s="8">
        <v>0.2</v>
      </c>
      <c r="X12001" s="8">
        <v>15</v>
      </c>
      <c r="Y12001" s="8" t="s">
        <v>39286</v>
      </c>
      <c r="Z12001" s="8" t="s">
        <v>39287</v>
      </c>
    </row>
    <row r="12002" spans="1:26" x14ac:dyDescent="0.2">
      <c r="A12002" s="8">
        <v>12001</v>
      </c>
      <c r="B12002" s="8" t="s">
        <v>50443</v>
      </c>
      <c r="C12002" s="8" t="s">
        <v>50443</v>
      </c>
      <c r="G12002" s="8">
        <v>20</v>
      </c>
      <c r="H12002" s="8" t="s">
        <v>21</v>
      </c>
      <c r="I12002" s="8" t="s">
        <v>22</v>
      </c>
      <c r="J12002" s="8" t="s">
        <v>22</v>
      </c>
      <c r="K12002" s="8" t="s">
        <v>37</v>
      </c>
      <c r="L12002" s="8" t="s">
        <v>18681</v>
      </c>
      <c r="M12002" s="8" t="s">
        <v>18682</v>
      </c>
      <c r="N12002" s="8" t="s">
        <v>50444</v>
      </c>
      <c r="O12002" s="8">
        <f>13+4/60+35.2/3600</f>
        <v>13.076444444444444</v>
      </c>
      <c r="P12002" s="8" t="s">
        <v>50445</v>
      </c>
      <c r="Q12002" s="8">
        <f>+(39+58/60+39/3600)</f>
        <v>39.977499999999999</v>
      </c>
      <c r="R12002" s="8">
        <v>15</v>
      </c>
      <c r="S12002" s="8">
        <v>16</v>
      </c>
      <c r="T12002" s="8">
        <v>1</v>
      </c>
      <c r="U12002" s="8">
        <v>11.6</v>
      </c>
      <c r="V12002" s="8">
        <v>0.5</v>
      </c>
      <c r="W12002" s="8">
        <v>0.1</v>
      </c>
      <c r="X12002" s="8">
        <v>105</v>
      </c>
      <c r="Y12002" s="8" t="s">
        <v>45514</v>
      </c>
      <c r="Z12002" s="8" t="s">
        <v>45515</v>
      </c>
    </row>
    <row r="12003" spans="1:26" x14ac:dyDescent="0.2">
      <c r="A12003" s="8">
        <v>12002</v>
      </c>
      <c r="B12003" s="8" t="s">
        <v>50446</v>
      </c>
      <c r="C12003" s="8" t="s">
        <v>50446</v>
      </c>
      <c r="G12003" s="8">
        <v>20</v>
      </c>
      <c r="H12003" s="8" t="s">
        <v>21</v>
      </c>
      <c r="I12003" s="8" t="s">
        <v>22</v>
      </c>
      <c r="J12003" s="8" t="s">
        <v>22</v>
      </c>
      <c r="K12003" s="8" t="s">
        <v>460</v>
      </c>
      <c r="L12003" s="8" t="s">
        <v>18289</v>
      </c>
      <c r="M12003" s="8" t="s">
        <v>18290</v>
      </c>
      <c r="N12003" s="8" t="s">
        <v>50447</v>
      </c>
      <c r="O12003" s="8">
        <f>13+5/60+3/3600</f>
        <v>13.084166666666667</v>
      </c>
      <c r="P12003" s="8" t="s">
        <v>50448</v>
      </c>
      <c r="Q12003" s="8">
        <f>+(20+33/60+16/3600)</f>
        <v>20.554444444444446</v>
      </c>
      <c r="R12003" s="8">
        <v>15</v>
      </c>
      <c r="S12003" s="8">
        <v>16</v>
      </c>
      <c r="T12003" s="8">
        <v>1</v>
      </c>
      <c r="U12003" s="8">
        <v>12.5</v>
      </c>
      <c r="V12003" s="8">
        <v>0.3</v>
      </c>
      <c r="W12003" s="8">
        <v>0.3</v>
      </c>
      <c r="Y12003" s="8" t="s">
        <v>50449</v>
      </c>
      <c r="Z12003" s="8" t="s">
        <v>50450</v>
      </c>
    </row>
    <row r="12004" spans="1:26" x14ac:dyDescent="0.2">
      <c r="A12004" s="8">
        <v>12003</v>
      </c>
      <c r="B12004" s="8" t="s">
        <v>50451</v>
      </c>
      <c r="C12004" s="8" t="s">
        <v>50451</v>
      </c>
      <c r="G12004" s="8">
        <v>20</v>
      </c>
      <c r="H12004" s="8" t="s">
        <v>21</v>
      </c>
      <c r="I12004" s="8" t="s">
        <v>22</v>
      </c>
      <c r="J12004" s="8" t="s">
        <v>22</v>
      </c>
      <c r="K12004" s="8" t="s">
        <v>1174</v>
      </c>
      <c r="L12004" s="8" t="s">
        <v>18289</v>
      </c>
      <c r="M12004" s="8" t="s">
        <v>18290</v>
      </c>
      <c r="N12004" s="8" t="s">
        <v>50452</v>
      </c>
      <c r="O12004" s="8">
        <f>13+5/60+7.9/3600</f>
        <v>13.085527777777779</v>
      </c>
      <c r="P12004" s="8" t="s">
        <v>50453</v>
      </c>
      <c r="Q12004" s="8">
        <f>+(20+46/60+16/3600)</f>
        <v>20.771111111111111</v>
      </c>
      <c r="R12004" s="8">
        <v>15.8</v>
      </c>
      <c r="S12004" s="8">
        <v>16.600000000000001</v>
      </c>
      <c r="T12004" s="8">
        <v>0.8</v>
      </c>
      <c r="U12004" s="8">
        <v>13.3</v>
      </c>
      <c r="V12004" s="8">
        <v>0.4</v>
      </c>
      <c r="W12004" s="8">
        <v>0.3</v>
      </c>
      <c r="X12004" s="8">
        <v>20</v>
      </c>
      <c r="Y12004" s="8" t="s">
        <v>50454</v>
      </c>
      <c r="Z12004" s="8" t="s">
        <v>50455</v>
      </c>
    </row>
    <row r="12005" spans="1:26" x14ac:dyDescent="0.2">
      <c r="A12005" s="8">
        <v>12004</v>
      </c>
      <c r="B12005" s="8" t="s">
        <v>50456</v>
      </c>
      <c r="C12005" s="8" t="s">
        <v>50456</v>
      </c>
      <c r="G12005" s="8">
        <v>20</v>
      </c>
      <c r="H12005" s="8" t="s">
        <v>21</v>
      </c>
      <c r="I12005" s="8" t="s">
        <v>22</v>
      </c>
      <c r="J12005" s="8" t="s">
        <v>22</v>
      </c>
      <c r="K12005" s="8" t="s">
        <v>449</v>
      </c>
      <c r="L12005" s="8" t="s">
        <v>18289</v>
      </c>
      <c r="M12005" s="8" t="s">
        <v>18290</v>
      </c>
      <c r="N12005" s="8" t="s">
        <v>50457</v>
      </c>
      <c r="O12005" s="8">
        <f>13+5/60+14.5/3600</f>
        <v>13.087361111111111</v>
      </c>
      <c r="P12005" s="8" t="s">
        <v>50458</v>
      </c>
      <c r="Q12005" s="8">
        <f>+(20+32/60+49/3600)</f>
        <v>20.546944444444446</v>
      </c>
      <c r="R12005" s="8">
        <v>15.2</v>
      </c>
      <c r="S12005" s="8">
        <v>16</v>
      </c>
      <c r="T12005" s="8">
        <v>0.8</v>
      </c>
      <c r="U12005" s="8">
        <v>11.2</v>
      </c>
      <c r="V12005" s="8">
        <v>0.3</v>
      </c>
      <c r="W12005" s="8">
        <v>0.1</v>
      </c>
      <c r="X12005" s="8">
        <v>135</v>
      </c>
      <c r="Y12005" s="8" t="s">
        <v>50459</v>
      </c>
      <c r="Z12005" s="8" t="s">
        <v>50460</v>
      </c>
    </row>
    <row r="12006" spans="1:26" x14ac:dyDescent="0.2">
      <c r="A12006" s="8">
        <v>12005</v>
      </c>
      <c r="B12006" s="8" t="s">
        <v>50461</v>
      </c>
      <c r="C12006" s="8" t="s">
        <v>50461</v>
      </c>
      <c r="G12006" s="8">
        <v>20</v>
      </c>
      <c r="H12006" s="8" t="s">
        <v>21</v>
      </c>
      <c r="I12006" s="8" t="s">
        <v>22</v>
      </c>
      <c r="J12006" s="8" t="s">
        <v>22</v>
      </c>
      <c r="K12006" s="8" t="s">
        <v>160</v>
      </c>
      <c r="L12006" s="8" t="s">
        <v>18681</v>
      </c>
      <c r="M12006" s="8" t="s">
        <v>18682</v>
      </c>
      <c r="N12006" s="8" t="s">
        <v>50462</v>
      </c>
      <c r="O12006" s="8">
        <f>13+4/60+57.1/3600</f>
        <v>13.082527777777777</v>
      </c>
      <c r="P12006" s="8" t="s">
        <v>50463</v>
      </c>
      <c r="Q12006" s="8">
        <f>+(39+55/60+29/3600)</f>
        <v>39.924722222222222</v>
      </c>
      <c r="R12006" s="8">
        <v>14.8</v>
      </c>
      <c r="S12006" s="8">
        <v>15.5</v>
      </c>
      <c r="T12006" s="8">
        <v>0.7</v>
      </c>
      <c r="U12006" s="8">
        <v>13.9</v>
      </c>
      <c r="V12006" s="8">
        <v>0.7</v>
      </c>
      <c r="W12006" s="8">
        <v>0.7</v>
      </c>
      <c r="Y12006" s="8" t="s">
        <v>21</v>
      </c>
      <c r="Z12006" s="8" t="s">
        <v>50464</v>
      </c>
    </row>
    <row r="12007" spans="1:26" x14ac:dyDescent="0.2">
      <c r="A12007" s="8">
        <v>12006</v>
      </c>
      <c r="B12007" s="8" t="s">
        <v>50465</v>
      </c>
      <c r="C12007" s="8" t="s">
        <v>50465</v>
      </c>
      <c r="G12007" s="8">
        <v>20</v>
      </c>
      <c r="H12007" s="8" t="s">
        <v>21</v>
      </c>
      <c r="I12007" s="8" t="s">
        <v>22</v>
      </c>
      <c r="J12007" s="8" t="s">
        <v>22</v>
      </c>
      <c r="K12007" s="8" t="s">
        <v>406</v>
      </c>
      <c r="L12007" s="8" t="s">
        <v>18681</v>
      </c>
      <c r="M12007" s="8" t="s">
        <v>18682</v>
      </c>
      <c r="N12007" s="8" t="s">
        <v>50466</v>
      </c>
      <c r="O12007" s="8">
        <f>13+5/60+18.7/3600</f>
        <v>13.088527777777779</v>
      </c>
      <c r="P12007" s="8" t="s">
        <v>34489</v>
      </c>
      <c r="Q12007" s="8">
        <f>+(31+26/60+31/3600)</f>
        <v>31.441944444444445</v>
      </c>
      <c r="R12007" s="8">
        <v>14.3</v>
      </c>
      <c r="S12007" s="8">
        <v>15.1</v>
      </c>
      <c r="T12007" s="8">
        <v>0.8</v>
      </c>
      <c r="U12007" s="8">
        <v>13.3</v>
      </c>
      <c r="V12007" s="8">
        <v>0.9</v>
      </c>
      <c r="W12007" s="8">
        <v>0.5</v>
      </c>
      <c r="X12007" s="8">
        <v>0</v>
      </c>
      <c r="Y12007" s="8" t="s">
        <v>33652</v>
      </c>
      <c r="Z12007" s="8" t="s">
        <v>33653</v>
      </c>
    </row>
    <row r="12008" spans="1:26" x14ac:dyDescent="0.2">
      <c r="A12008" s="8">
        <v>12007</v>
      </c>
      <c r="B12008" s="8" t="s">
        <v>50467</v>
      </c>
      <c r="C12008" s="8" t="s">
        <v>50467</v>
      </c>
      <c r="G12008" s="8">
        <v>20</v>
      </c>
      <c r="H12008" s="8" t="s">
        <v>21</v>
      </c>
      <c r="I12008" s="8" t="s">
        <v>22</v>
      </c>
      <c r="J12008" s="8" t="s">
        <v>22</v>
      </c>
      <c r="K12008" s="8" t="s">
        <v>382</v>
      </c>
      <c r="L12008" s="8" t="s">
        <v>18289</v>
      </c>
      <c r="M12008" s="8" t="s">
        <v>18290</v>
      </c>
      <c r="N12008" s="8" t="s">
        <v>50468</v>
      </c>
      <c r="O12008" s="8">
        <f>13+5/60+30.7/3600</f>
        <v>13.091861111111111</v>
      </c>
      <c r="P12008" s="8" t="s">
        <v>50469</v>
      </c>
      <c r="Q12008" s="8">
        <f>+(21+54/60+38/3600)</f>
        <v>21.910555555555554</v>
      </c>
      <c r="R12008" s="8">
        <v>16.5</v>
      </c>
      <c r="S12008" s="8">
        <v>17.5</v>
      </c>
      <c r="T12008" s="8">
        <v>1</v>
      </c>
      <c r="U12008" s="8">
        <v>13.5</v>
      </c>
      <c r="V12008" s="8">
        <v>0.3</v>
      </c>
      <c r="W12008" s="8">
        <v>0.2</v>
      </c>
      <c r="X12008" s="8">
        <v>170</v>
      </c>
      <c r="Y12008" s="8" t="s">
        <v>45086</v>
      </c>
      <c r="Z12008" s="8" t="s">
        <v>45087</v>
      </c>
    </row>
    <row r="12009" spans="1:26" x14ac:dyDescent="0.2">
      <c r="A12009" s="8">
        <v>12008</v>
      </c>
      <c r="B12009" s="8" t="s">
        <v>50470</v>
      </c>
      <c r="C12009" s="8" t="s">
        <v>50470</v>
      </c>
      <c r="G12009" s="8">
        <v>20</v>
      </c>
      <c r="H12009" s="8" t="s">
        <v>21</v>
      </c>
      <c r="I12009" s="8" t="s">
        <v>22</v>
      </c>
      <c r="J12009" s="8" t="s">
        <v>22</v>
      </c>
      <c r="K12009" s="8" t="s">
        <v>449</v>
      </c>
      <c r="L12009" s="8" t="s">
        <v>18681</v>
      </c>
      <c r="M12009" s="8" t="s">
        <v>18682</v>
      </c>
      <c r="N12009" s="8" t="s">
        <v>50471</v>
      </c>
      <c r="O12009" s="8">
        <f>13+5/60+10.8/3600</f>
        <v>13.086333333333334</v>
      </c>
      <c r="P12009" s="8" t="s">
        <v>50472</v>
      </c>
      <c r="Q12009" s="8">
        <f>+(40+2/60+59/3600)</f>
        <v>40.049722222222222</v>
      </c>
      <c r="R12009" s="8">
        <v>15.2</v>
      </c>
      <c r="S12009" s="8">
        <v>16</v>
      </c>
      <c r="T12009" s="8">
        <v>0.8</v>
      </c>
      <c r="U12009" s="8">
        <v>13.5</v>
      </c>
      <c r="V12009" s="8">
        <v>0.6</v>
      </c>
      <c r="W12009" s="8">
        <v>0.4</v>
      </c>
      <c r="X12009" s="8">
        <v>70</v>
      </c>
      <c r="Y12009" s="8" t="s">
        <v>50473</v>
      </c>
      <c r="Z12009" s="8" t="s">
        <v>50474</v>
      </c>
    </row>
    <row r="12010" spans="1:26" x14ac:dyDescent="0.2">
      <c r="A12010" s="8">
        <v>12009</v>
      </c>
      <c r="B12010" s="8" t="s">
        <v>50475</v>
      </c>
      <c r="C12010" s="8" t="s">
        <v>50475</v>
      </c>
      <c r="G12010" s="8">
        <v>20</v>
      </c>
      <c r="H12010" s="8" t="s">
        <v>21</v>
      </c>
      <c r="I12010" s="8" t="s">
        <v>22</v>
      </c>
      <c r="J12010" s="8" t="s">
        <v>22</v>
      </c>
      <c r="K12010" s="8" t="s">
        <v>424</v>
      </c>
      <c r="L12010" s="8" t="s">
        <v>18681</v>
      </c>
      <c r="M12010" s="8" t="s">
        <v>18682</v>
      </c>
      <c r="N12010" s="8" t="s">
        <v>22291</v>
      </c>
      <c r="O12010" s="8">
        <f>13+5/60+12.5/3600</f>
        <v>13.086805555555555</v>
      </c>
      <c r="P12010" s="8" t="s">
        <v>50476</v>
      </c>
      <c r="Q12010" s="8">
        <f>+(38+46/60+25/3600)</f>
        <v>38.773611111111109</v>
      </c>
      <c r="R12010" s="8">
        <v>15</v>
      </c>
      <c r="S12010" s="8">
        <v>16</v>
      </c>
      <c r="T12010" s="8">
        <v>1</v>
      </c>
      <c r="U12010" s="8">
        <v>11.4</v>
      </c>
      <c r="V12010" s="8">
        <v>0.2</v>
      </c>
      <c r="W12010" s="8">
        <v>0.2</v>
      </c>
      <c r="Y12010" s="8" t="s">
        <v>45158</v>
      </c>
      <c r="Z12010" s="8" t="s">
        <v>45159</v>
      </c>
    </row>
    <row r="12011" spans="1:26" x14ac:dyDescent="0.2">
      <c r="A12011" s="8">
        <v>12010</v>
      </c>
      <c r="B12011" s="8" t="s">
        <v>50477</v>
      </c>
      <c r="C12011" s="8" t="s">
        <v>50477</v>
      </c>
      <c r="E12011" s="8">
        <v>1</v>
      </c>
      <c r="G12011" s="8">
        <v>20</v>
      </c>
      <c r="H12011" s="8" t="s">
        <v>21</v>
      </c>
      <c r="I12011" s="8" t="s">
        <v>22</v>
      </c>
      <c r="J12011" s="8" t="s">
        <v>22</v>
      </c>
      <c r="K12011" s="8" t="s">
        <v>424</v>
      </c>
      <c r="L12011" s="8" t="s">
        <v>18289</v>
      </c>
      <c r="M12011" s="8" t="s">
        <v>18290</v>
      </c>
      <c r="N12011" s="8" t="s">
        <v>50478</v>
      </c>
      <c r="O12011" s="8">
        <f>13+5/60+35/3600</f>
        <v>13.093055555555557</v>
      </c>
      <c r="P12011" s="8" t="s">
        <v>50479</v>
      </c>
      <c r="Q12011" s="8">
        <f>+(21+8/60+5/3600)</f>
        <v>21.134722222222223</v>
      </c>
      <c r="R12011" s="8">
        <v>16.8</v>
      </c>
      <c r="S12011" s="8">
        <v>17.8</v>
      </c>
      <c r="T12011" s="8">
        <v>1</v>
      </c>
      <c r="U12011" s="8">
        <v>13.2</v>
      </c>
      <c r="V12011" s="8">
        <v>0.2</v>
      </c>
      <c r="W12011" s="8">
        <v>0.2</v>
      </c>
      <c r="Y12011" s="8" t="s">
        <v>45514</v>
      </c>
      <c r="Z12011" s="8" t="s">
        <v>45515</v>
      </c>
    </row>
    <row r="12012" spans="1:26" x14ac:dyDescent="0.2">
      <c r="A12012" s="8">
        <v>12011</v>
      </c>
      <c r="B12012" s="8" t="s">
        <v>50480</v>
      </c>
      <c r="C12012" s="8" t="s">
        <v>50480</v>
      </c>
      <c r="G12012" s="8">
        <v>20</v>
      </c>
      <c r="H12012" s="8" t="s">
        <v>21</v>
      </c>
      <c r="I12012" s="8" t="s">
        <v>22</v>
      </c>
      <c r="J12012" s="8" t="s">
        <v>22</v>
      </c>
      <c r="K12012" s="8" t="s">
        <v>579</v>
      </c>
      <c r="L12012" s="8" t="s">
        <v>18681</v>
      </c>
      <c r="M12012" s="8" t="s">
        <v>18682</v>
      </c>
      <c r="N12012" s="8" t="s">
        <v>50481</v>
      </c>
      <c r="O12012" s="8">
        <f>13+5/60+18.8/3600</f>
        <v>13.088555555555557</v>
      </c>
      <c r="P12012" s="8" t="s">
        <v>50482</v>
      </c>
      <c r="Q12012" s="8">
        <f>+(36+6/60+9/3600)</f>
        <v>36.102499999999999</v>
      </c>
      <c r="R12012" s="8">
        <v>13.8</v>
      </c>
      <c r="S12012" s="8">
        <v>14.5</v>
      </c>
      <c r="T12012" s="8">
        <v>0.7</v>
      </c>
      <c r="U12012" s="8">
        <v>12.8</v>
      </c>
      <c r="V12012" s="8">
        <v>0.9</v>
      </c>
      <c r="W12012" s="8">
        <v>0.5</v>
      </c>
      <c r="X12012" s="8">
        <v>85</v>
      </c>
      <c r="Y12012" s="8" t="s">
        <v>21</v>
      </c>
      <c r="Z12012" s="8" t="s">
        <v>45931</v>
      </c>
    </row>
    <row r="12013" spans="1:26" x14ac:dyDescent="0.2">
      <c r="A12013" s="8">
        <v>12012</v>
      </c>
      <c r="B12013" s="8" t="s">
        <v>50483</v>
      </c>
      <c r="C12013" s="8" t="s">
        <v>50483</v>
      </c>
      <c r="G12013" s="8">
        <v>20</v>
      </c>
      <c r="H12013" s="8" t="s">
        <v>21</v>
      </c>
      <c r="I12013" s="8" t="s">
        <v>22</v>
      </c>
      <c r="J12013" s="8" t="s">
        <v>22</v>
      </c>
      <c r="K12013" s="8" t="s">
        <v>476</v>
      </c>
      <c r="L12013" s="8" t="s">
        <v>18289</v>
      </c>
      <c r="M12013" s="8" t="s">
        <v>18290</v>
      </c>
      <c r="N12013" s="8" t="s">
        <v>50484</v>
      </c>
      <c r="O12013" s="8">
        <f>13+6/60+33.2/3600</f>
        <v>13.109222222222222</v>
      </c>
      <c r="P12013" s="8" t="s">
        <v>50485</v>
      </c>
      <c r="Q12013" s="8">
        <f>+(22+51/60+2/3600)</f>
        <v>22.850555555555555</v>
      </c>
      <c r="R12013" s="8">
        <v>15.7</v>
      </c>
      <c r="S12013" s="8">
        <v>16.5</v>
      </c>
      <c r="T12013" s="8">
        <v>0.8</v>
      </c>
      <c r="U12013" s="8">
        <v>13.2</v>
      </c>
      <c r="V12013" s="8">
        <v>0.4</v>
      </c>
      <c r="W12013" s="8">
        <v>0.3</v>
      </c>
      <c r="X12013" s="8">
        <v>60</v>
      </c>
      <c r="Y12013" s="8" t="s">
        <v>2641</v>
      </c>
      <c r="Z12013" s="8" t="s">
        <v>2642</v>
      </c>
    </row>
    <row r="12014" spans="1:26" x14ac:dyDescent="0.2">
      <c r="A12014" s="8">
        <v>12013</v>
      </c>
      <c r="B12014" s="8" t="s">
        <v>50486</v>
      </c>
      <c r="C12014" s="8" t="s">
        <v>50486</v>
      </c>
      <c r="G12014" s="8">
        <v>20</v>
      </c>
      <c r="H12014" s="8" t="s">
        <v>21</v>
      </c>
      <c r="I12014" s="8" t="s">
        <v>22</v>
      </c>
      <c r="J12014" s="8" t="s">
        <v>22</v>
      </c>
      <c r="K12014" s="8" t="s">
        <v>1136</v>
      </c>
      <c r="L12014" s="8" t="s">
        <v>17287</v>
      </c>
      <c r="M12014" s="8" t="s">
        <v>17288</v>
      </c>
      <c r="N12014" s="8" t="s">
        <v>50487</v>
      </c>
      <c r="O12014" s="8">
        <f>13+3/60+54.5/3600</f>
        <v>13.065138888888889</v>
      </c>
      <c r="P12014" s="8" t="s">
        <v>50488</v>
      </c>
      <c r="Q12014" s="8">
        <f>-(11+30/60+18/3600)</f>
        <v>-11.505000000000001</v>
      </c>
      <c r="R12014" s="8">
        <v>14.2</v>
      </c>
      <c r="S12014" s="8">
        <v>15.2</v>
      </c>
      <c r="T12014" s="8">
        <v>1</v>
      </c>
      <c r="U12014" s="8">
        <v>13</v>
      </c>
      <c r="V12014" s="8">
        <v>0.6</v>
      </c>
      <c r="W12014" s="8">
        <v>0.5</v>
      </c>
      <c r="X12014" s="8">
        <v>69</v>
      </c>
      <c r="Y12014" s="8" t="s">
        <v>50489</v>
      </c>
      <c r="Z12014" s="8" t="s">
        <v>50490</v>
      </c>
    </row>
    <row r="12015" spans="1:26" x14ac:dyDescent="0.2">
      <c r="A12015" s="8">
        <v>12014</v>
      </c>
      <c r="B12015" s="8" t="s">
        <v>50491</v>
      </c>
      <c r="C12015" s="8" t="s">
        <v>50491</v>
      </c>
      <c r="G12015" s="8">
        <v>20</v>
      </c>
      <c r="H12015" s="8" t="s">
        <v>21</v>
      </c>
      <c r="I12015" s="8" t="s">
        <v>72</v>
      </c>
      <c r="J12015" s="8" t="s">
        <v>72</v>
      </c>
      <c r="K12015" s="8" t="s">
        <v>20</v>
      </c>
      <c r="L12015" s="8" t="s">
        <v>18681</v>
      </c>
      <c r="M12015" s="8" t="s">
        <v>18682</v>
      </c>
      <c r="N12015" s="8" t="s">
        <v>50492</v>
      </c>
      <c r="O12015" s="8">
        <f>13+5/60+28.7/3600</f>
        <v>13.091305555555556</v>
      </c>
      <c r="P12015" s="8" t="s">
        <v>50493</v>
      </c>
      <c r="Q12015" s="8">
        <f>+(36+23/60+56/3600)</f>
        <v>36.398888888888891</v>
      </c>
      <c r="R12015" s="8">
        <v>99</v>
      </c>
      <c r="S12015" s="8">
        <v>99</v>
      </c>
      <c r="T12015" s="8">
        <v>99</v>
      </c>
      <c r="U12015" s="8">
        <v>99</v>
      </c>
      <c r="Y12015" s="8" t="s">
        <v>45158</v>
      </c>
      <c r="Z12015" s="8" t="s">
        <v>45159</v>
      </c>
    </row>
    <row r="12016" spans="1:26" x14ac:dyDescent="0.2">
      <c r="A12016" s="8">
        <v>12015</v>
      </c>
      <c r="B12016" s="8" t="s">
        <v>50494</v>
      </c>
      <c r="C12016" s="8" t="s">
        <v>50494</v>
      </c>
      <c r="G12016" s="8">
        <v>20</v>
      </c>
      <c r="H12016" s="8" t="s">
        <v>21</v>
      </c>
      <c r="I12016" s="8" t="s">
        <v>22</v>
      </c>
      <c r="J12016" s="8" t="s">
        <v>22</v>
      </c>
      <c r="K12016" s="8" t="s">
        <v>449</v>
      </c>
      <c r="L12016" s="8" t="s">
        <v>18289</v>
      </c>
      <c r="M12016" s="8" t="s">
        <v>18290</v>
      </c>
      <c r="N12016" s="8" t="s">
        <v>50495</v>
      </c>
      <c r="O12016" s="8">
        <f>13+5/60+47.4/3600</f>
        <v>13.096500000000001</v>
      </c>
      <c r="P12016" s="8" t="s">
        <v>50496</v>
      </c>
      <c r="Q12016" s="8">
        <f>+(20+22/60+27/3600)</f>
        <v>20.374166666666667</v>
      </c>
      <c r="R12016" s="8">
        <v>15.5</v>
      </c>
      <c r="S12016" s="8">
        <v>16.3</v>
      </c>
      <c r="T12016" s="8">
        <v>0.8</v>
      </c>
      <c r="U12016" s="8">
        <v>13</v>
      </c>
      <c r="V12016" s="8">
        <v>0.4</v>
      </c>
      <c r="W12016" s="8">
        <v>0.3</v>
      </c>
      <c r="X12016" s="8">
        <v>125</v>
      </c>
      <c r="Y12016" s="8" t="s">
        <v>170</v>
      </c>
      <c r="Z12016" s="8" t="s">
        <v>171</v>
      </c>
    </row>
    <row r="12017" spans="1:26" x14ac:dyDescent="0.2">
      <c r="A12017" s="8">
        <v>12016</v>
      </c>
      <c r="B12017" s="8" t="s">
        <v>50497</v>
      </c>
      <c r="C12017" s="8" t="s">
        <v>50497</v>
      </c>
      <c r="G12017" s="8">
        <v>20</v>
      </c>
      <c r="H12017" s="8" t="s">
        <v>21</v>
      </c>
      <c r="I12017" s="8" t="s">
        <v>22</v>
      </c>
      <c r="J12017" s="8" t="s">
        <v>57</v>
      </c>
      <c r="K12017" s="8" t="s">
        <v>632</v>
      </c>
      <c r="L12017" s="8" t="s">
        <v>17287</v>
      </c>
      <c r="M12017" s="8" t="s">
        <v>17288</v>
      </c>
      <c r="N12017" s="8" t="s">
        <v>22192</v>
      </c>
      <c r="O12017" s="8">
        <f>13+3/60+56.7/3600</f>
        <v>13.065750000000001</v>
      </c>
      <c r="P12017" s="8" t="s">
        <v>22193</v>
      </c>
      <c r="Q12017" s="8">
        <f>-(11+29/60+51/3600)</f>
        <v>-11.497499999999999</v>
      </c>
      <c r="R12017" s="8">
        <v>11.7</v>
      </c>
      <c r="S12017" s="8">
        <v>12.6</v>
      </c>
      <c r="T12017" s="8">
        <v>0.9</v>
      </c>
      <c r="U12017" s="8">
        <v>12.3</v>
      </c>
      <c r="V12017" s="8">
        <v>2</v>
      </c>
      <c r="W12017" s="8">
        <v>1.1000000000000001</v>
      </c>
      <c r="X12017" s="8">
        <v>54</v>
      </c>
      <c r="Y12017" s="8" t="s">
        <v>50498</v>
      </c>
      <c r="Z12017" s="8" t="s">
        <v>50499</v>
      </c>
    </row>
    <row r="12018" spans="1:26" x14ac:dyDescent="0.2">
      <c r="A12018" s="8">
        <v>12017</v>
      </c>
      <c r="B12018" s="8" t="s">
        <v>50500</v>
      </c>
      <c r="C12018" s="8" t="s">
        <v>50500</v>
      </c>
      <c r="G12018" s="8">
        <v>20</v>
      </c>
      <c r="H12018" s="8" t="s">
        <v>21</v>
      </c>
      <c r="I12018" s="8" t="s">
        <v>22</v>
      </c>
      <c r="J12018" s="8" t="s">
        <v>22</v>
      </c>
      <c r="K12018" s="8" t="s">
        <v>396</v>
      </c>
      <c r="L12018" s="8" t="s">
        <v>17287</v>
      </c>
      <c r="M12018" s="8" t="s">
        <v>17288</v>
      </c>
      <c r="N12018" s="8" t="s">
        <v>50501</v>
      </c>
      <c r="O12018" s="8">
        <f>13+6/60+29/3600</f>
        <v>13.108055555555556</v>
      </c>
      <c r="P12018" s="8" t="s">
        <v>50502</v>
      </c>
      <c r="Q12018" s="8">
        <f>-(13+34/60+16/3600)</f>
        <v>-13.571111111111112</v>
      </c>
      <c r="R12018" s="8">
        <v>14.3</v>
      </c>
      <c r="S12018" s="8">
        <v>15.1</v>
      </c>
      <c r="T12018" s="8">
        <v>0.8</v>
      </c>
      <c r="U12018" s="8">
        <v>13</v>
      </c>
      <c r="V12018" s="8">
        <v>0.9</v>
      </c>
      <c r="W12018" s="8">
        <v>0.4</v>
      </c>
      <c r="X12018" s="8">
        <v>85</v>
      </c>
      <c r="Y12018" s="8" t="s">
        <v>50503</v>
      </c>
      <c r="Z12018" s="8" t="s">
        <v>50504</v>
      </c>
    </row>
    <row r="12019" spans="1:26" x14ac:dyDescent="0.2">
      <c r="A12019" s="8">
        <v>12018</v>
      </c>
      <c r="B12019" s="8" t="s">
        <v>50505</v>
      </c>
      <c r="C12019" s="8" t="s">
        <v>50505</v>
      </c>
      <c r="G12019" s="8">
        <v>20</v>
      </c>
      <c r="H12019" s="8" t="s">
        <v>21</v>
      </c>
      <c r="I12019" s="8" t="s">
        <v>22</v>
      </c>
      <c r="J12019" s="8" t="s">
        <v>22</v>
      </c>
      <c r="K12019" s="8" t="s">
        <v>3616</v>
      </c>
      <c r="L12019" s="8" t="s">
        <v>18681</v>
      </c>
      <c r="M12019" s="8" t="s">
        <v>18682</v>
      </c>
      <c r="N12019" s="8" t="s">
        <v>50506</v>
      </c>
      <c r="O12019" s="8">
        <f>13+5/60+41.6/3600</f>
        <v>13.094888888888889</v>
      </c>
      <c r="P12019" s="8" t="s">
        <v>50507</v>
      </c>
      <c r="Q12019" s="8">
        <f>+(36+1/60+3/3600)</f>
        <v>36.017499999999998</v>
      </c>
      <c r="R12019" s="8">
        <v>15.1</v>
      </c>
      <c r="S12019" s="8">
        <v>15.7</v>
      </c>
      <c r="T12019" s="8">
        <v>0.6</v>
      </c>
      <c r="U12019" s="8">
        <v>14.1</v>
      </c>
      <c r="V12019" s="8">
        <v>1.1000000000000001</v>
      </c>
      <c r="W12019" s="8">
        <v>0.4</v>
      </c>
      <c r="X12019" s="8">
        <v>123</v>
      </c>
      <c r="Y12019" s="8" t="s">
        <v>50508</v>
      </c>
      <c r="Z12019" s="8" t="s">
        <v>50509</v>
      </c>
    </row>
    <row r="12020" spans="1:26" x14ac:dyDescent="0.2">
      <c r="A12020" s="8">
        <v>12019</v>
      </c>
      <c r="B12020" s="8" t="s">
        <v>50510</v>
      </c>
      <c r="C12020" s="8" t="s">
        <v>50510</v>
      </c>
      <c r="G12020" s="8">
        <v>20</v>
      </c>
      <c r="H12020" s="8" t="s">
        <v>21</v>
      </c>
      <c r="I12020" s="8" t="s">
        <v>72</v>
      </c>
      <c r="J12020" s="8" t="s">
        <v>72</v>
      </c>
      <c r="K12020" s="8" t="s">
        <v>20</v>
      </c>
      <c r="L12020" s="8" t="s">
        <v>18681</v>
      </c>
      <c r="M12020" s="8" t="s">
        <v>18682</v>
      </c>
      <c r="N12020" s="8" t="s">
        <v>50511</v>
      </c>
      <c r="O12020" s="8">
        <f>13+5/60+45.8/3600</f>
        <v>13.096055555555557</v>
      </c>
      <c r="P12020" s="8" t="s">
        <v>50512</v>
      </c>
      <c r="Q12020" s="8">
        <f>+(37+11/60+55/3600)</f>
        <v>37.198611111111106</v>
      </c>
      <c r="R12020" s="8">
        <v>99</v>
      </c>
      <c r="S12020" s="8">
        <v>99</v>
      </c>
      <c r="T12020" s="8">
        <v>99</v>
      </c>
      <c r="U12020" s="8">
        <v>99</v>
      </c>
      <c r="Y12020" s="8" t="s">
        <v>21</v>
      </c>
      <c r="Z12020" s="8" t="s">
        <v>50513</v>
      </c>
    </row>
    <row r="12021" spans="1:26" x14ac:dyDescent="0.2">
      <c r="A12021" s="8">
        <v>12020</v>
      </c>
      <c r="B12021" s="8" t="s">
        <v>50514</v>
      </c>
      <c r="C12021" s="8" t="s">
        <v>50514</v>
      </c>
      <c r="G12021" s="8">
        <v>20</v>
      </c>
      <c r="H12021" s="8" t="s">
        <v>21</v>
      </c>
      <c r="I12021" s="8" t="s">
        <v>22</v>
      </c>
      <c r="J12021" s="8" t="s">
        <v>22</v>
      </c>
      <c r="K12021" s="8" t="s">
        <v>435</v>
      </c>
      <c r="L12021" s="8" t="s">
        <v>11765</v>
      </c>
      <c r="M12021" s="8" t="s">
        <v>11766</v>
      </c>
      <c r="N12021" s="8" t="s">
        <v>50515</v>
      </c>
      <c r="O12021" s="8">
        <f>13+6/60+56.5/3600</f>
        <v>13.115694444444443</v>
      </c>
      <c r="P12021" s="8" t="s">
        <v>50516</v>
      </c>
      <c r="Q12021" s="8">
        <f>-(23+55/60+2/3600)</f>
        <v>-23.917222222222222</v>
      </c>
      <c r="R12021" s="8">
        <v>12.7</v>
      </c>
      <c r="S12021" s="8">
        <v>13.6</v>
      </c>
      <c r="T12021" s="8">
        <v>0.9</v>
      </c>
      <c r="U12021" s="8">
        <v>12</v>
      </c>
      <c r="V12021" s="8">
        <v>0.9</v>
      </c>
      <c r="W12021" s="8">
        <v>0.7</v>
      </c>
      <c r="X12021" s="8">
        <v>165</v>
      </c>
      <c r="Y12021" s="8" t="s">
        <v>50517</v>
      </c>
      <c r="Z12021" s="8" t="s">
        <v>50518</v>
      </c>
    </row>
    <row r="12022" spans="1:26" x14ac:dyDescent="0.2">
      <c r="A12022" s="8">
        <v>12021</v>
      </c>
      <c r="B12022" s="8" t="s">
        <v>50519</v>
      </c>
      <c r="C12022" s="8" t="s">
        <v>50519</v>
      </c>
      <c r="G12022" s="8">
        <v>20</v>
      </c>
      <c r="H12022" s="8" t="s">
        <v>21</v>
      </c>
      <c r="I12022" s="8" t="s">
        <v>22</v>
      </c>
      <c r="J12022" s="8" t="s">
        <v>22</v>
      </c>
      <c r="K12022" s="8" t="s">
        <v>449</v>
      </c>
      <c r="L12022" s="8" t="s">
        <v>18289</v>
      </c>
      <c r="M12022" s="8" t="s">
        <v>18290</v>
      </c>
      <c r="N12022" s="8" t="s">
        <v>50520</v>
      </c>
      <c r="O12022" s="8">
        <f>13+6/60+6.4/3600</f>
        <v>13.101777777777777</v>
      </c>
      <c r="P12022" s="8" t="s">
        <v>50521</v>
      </c>
      <c r="Q12022" s="8">
        <f>+(21+29/60+38/3600)</f>
        <v>21.49388888888889</v>
      </c>
      <c r="R12022" s="8">
        <v>15.4</v>
      </c>
      <c r="S12022" s="8">
        <v>16.2</v>
      </c>
      <c r="T12022" s="8">
        <v>0.8</v>
      </c>
      <c r="U12022" s="8">
        <v>13.3</v>
      </c>
      <c r="V12022" s="8">
        <v>0.4</v>
      </c>
      <c r="W12022" s="8">
        <v>0.4</v>
      </c>
      <c r="Y12022" s="8" t="s">
        <v>15316</v>
      </c>
      <c r="Z12022" s="8" t="s">
        <v>15317</v>
      </c>
    </row>
    <row r="12023" spans="1:26" x14ac:dyDescent="0.2">
      <c r="A12023" s="8">
        <v>12022</v>
      </c>
      <c r="B12023" s="8" t="s">
        <v>50522</v>
      </c>
      <c r="C12023" s="8" t="s">
        <v>50522</v>
      </c>
      <c r="G12023" s="8">
        <v>20</v>
      </c>
      <c r="H12023" s="8" t="s">
        <v>21</v>
      </c>
      <c r="I12023" s="8" t="s">
        <v>22</v>
      </c>
      <c r="J12023" s="8" t="s">
        <v>22</v>
      </c>
      <c r="K12023" s="8" t="s">
        <v>4103</v>
      </c>
      <c r="L12023" s="8" t="s">
        <v>18681</v>
      </c>
      <c r="M12023" s="8" t="s">
        <v>18682</v>
      </c>
      <c r="N12023" s="8" t="s">
        <v>50523</v>
      </c>
      <c r="O12023" s="8">
        <f>13+5/60+49.3/3600</f>
        <v>13.097027777777779</v>
      </c>
      <c r="P12023" s="8" t="s">
        <v>50524</v>
      </c>
      <c r="Q12023" s="8">
        <f>+(37+36/60+23/3600)</f>
        <v>37.606388888888887</v>
      </c>
      <c r="R12023" s="8">
        <v>11.1</v>
      </c>
      <c r="S12023" s="8">
        <v>11.8</v>
      </c>
      <c r="T12023" s="8">
        <v>0.7</v>
      </c>
      <c r="U12023" s="8">
        <v>14.2</v>
      </c>
      <c r="V12023" s="8">
        <v>4.8</v>
      </c>
      <c r="W12023" s="8">
        <v>4.0999999999999996</v>
      </c>
      <c r="X12023" s="8">
        <v>90</v>
      </c>
      <c r="Y12023" s="8" t="s">
        <v>50525</v>
      </c>
      <c r="Z12023" s="8" t="s">
        <v>50526</v>
      </c>
    </row>
    <row r="12024" spans="1:26" x14ac:dyDescent="0.2">
      <c r="A12024" s="8">
        <v>12023</v>
      </c>
      <c r="B12024" s="8" t="s">
        <v>50527</v>
      </c>
      <c r="C12024" s="8" t="s">
        <v>50527</v>
      </c>
      <c r="G12024" s="8">
        <v>20</v>
      </c>
      <c r="H12024" s="8" t="s">
        <v>21</v>
      </c>
      <c r="I12024" s="8" t="s">
        <v>22</v>
      </c>
      <c r="J12024" s="8" t="s">
        <v>22</v>
      </c>
      <c r="K12024" s="8" t="s">
        <v>460</v>
      </c>
      <c r="L12024" s="8" t="s">
        <v>18289</v>
      </c>
      <c r="M12024" s="8" t="s">
        <v>18290</v>
      </c>
      <c r="N12024" s="8" t="s">
        <v>50528</v>
      </c>
      <c r="O12024" s="8">
        <f>13+6/60+11.5/3600</f>
        <v>13.103194444444444</v>
      </c>
      <c r="P12024" s="8" t="s">
        <v>50529</v>
      </c>
      <c r="Q12024" s="8">
        <f>+(21+30/60+17/3600)</f>
        <v>21.504722222222224</v>
      </c>
      <c r="R12024" s="8">
        <v>16.2</v>
      </c>
      <c r="S12024" s="8">
        <v>17.2</v>
      </c>
      <c r="T12024" s="8">
        <v>1</v>
      </c>
      <c r="U12024" s="8">
        <v>13.7</v>
      </c>
      <c r="V12024" s="8">
        <v>0.3</v>
      </c>
      <c r="W12024" s="8">
        <v>0.3</v>
      </c>
      <c r="Y12024" s="8" t="s">
        <v>45514</v>
      </c>
      <c r="Z12024" s="8" t="s">
        <v>45515</v>
      </c>
    </row>
    <row r="12025" spans="1:26" x14ac:dyDescent="0.2">
      <c r="A12025" s="8">
        <v>12024</v>
      </c>
      <c r="B12025" s="8" t="s">
        <v>50530</v>
      </c>
      <c r="C12025" s="8" t="s">
        <v>50530</v>
      </c>
      <c r="G12025" s="8">
        <v>20</v>
      </c>
      <c r="H12025" s="8" t="s">
        <v>21</v>
      </c>
      <c r="I12025" s="8" t="s">
        <v>22</v>
      </c>
      <c r="J12025" s="8" t="s">
        <v>22</v>
      </c>
      <c r="K12025" s="8" t="s">
        <v>37</v>
      </c>
      <c r="L12025" s="8" t="s">
        <v>18681</v>
      </c>
      <c r="M12025" s="8" t="s">
        <v>18682</v>
      </c>
      <c r="N12025" s="8" t="s">
        <v>50531</v>
      </c>
      <c r="O12025" s="8">
        <f>13+5/60+51.7/3600</f>
        <v>13.097694444444445</v>
      </c>
      <c r="P12025" s="8" t="s">
        <v>50532</v>
      </c>
      <c r="Q12025" s="8">
        <f>+(38+50/60+16/3600)</f>
        <v>38.837777777777781</v>
      </c>
      <c r="R12025" s="8">
        <v>14.5</v>
      </c>
      <c r="S12025" s="8">
        <v>15.5</v>
      </c>
      <c r="T12025" s="8">
        <v>1</v>
      </c>
      <c r="U12025" s="8">
        <v>12.1</v>
      </c>
      <c r="V12025" s="8">
        <v>0.4</v>
      </c>
      <c r="W12025" s="8">
        <v>0.3</v>
      </c>
      <c r="X12025" s="8">
        <v>110</v>
      </c>
      <c r="Y12025" s="8" t="s">
        <v>48426</v>
      </c>
      <c r="Z12025" s="8" t="s">
        <v>48427</v>
      </c>
    </row>
    <row r="12026" spans="1:26" x14ac:dyDescent="0.2">
      <c r="A12026" s="8">
        <v>12025</v>
      </c>
      <c r="B12026" s="8" t="s">
        <v>50533</v>
      </c>
      <c r="C12026" s="8" t="s">
        <v>50533</v>
      </c>
      <c r="E12026" s="8">
        <v>1</v>
      </c>
      <c r="G12026" s="8">
        <v>20</v>
      </c>
      <c r="H12026" s="8" t="s">
        <v>21</v>
      </c>
      <c r="I12026" s="8" t="s">
        <v>22</v>
      </c>
      <c r="J12026" s="8" t="s">
        <v>22</v>
      </c>
      <c r="K12026" s="8" t="s">
        <v>449</v>
      </c>
      <c r="L12026" s="8" t="s">
        <v>18289</v>
      </c>
      <c r="M12026" s="8" t="s">
        <v>18290</v>
      </c>
      <c r="N12026" s="8" t="s">
        <v>50534</v>
      </c>
      <c r="O12026" s="8">
        <f>13+6/60+12.5/3600</f>
        <v>13.103472222222221</v>
      </c>
      <c r="P12026" s="8" t="s">
        <v>50535</v>
      </c>
      <c r="Q12026" s="8">
        <f>+(21+46/60+11/3600)</f>
        <v>21.769722222222221</v>
      </c>
      <c r="R12026" s="8">
        <v>15.7</v>
      </c>
      <c r="S12026" s="8">
        <v>16.5</v>
      </c>
      <c r="T12026" s="8">
        <v>0.8</v>
      </c>
      <c r="U12026" s="8">
        <v>13.2</v>
      </c>
      <c r="V12026" s="8">
        <v>0.6</v>
      </c>
      <c r="W12026" s="8">
        <v>0.2</v>
      </c>
      <c r="X12026" s="8">
        <v>140</v>
      </c>
      <c r="Y12026" s="8" t="s">
        <v>21</v>
      </c>
      <c r="Z12026" s="8" t="s">
        <v>50536</v>
      </c>
    </row>
    <row r="12027" spans="1:26" x14ac:dyDescent="0.2">
      <c r="A12027" s="8">
        <v>12026</v>
      </c>
      <c r="B12027" s="8" t="s">
        <v>50537</v>
      </c>
      <c r="C12027" s="8" t="s">
        <v>50537</v>
      </c>
      <c r="G12027" s="8">
        <v>20</v>
      </c>
      <c r="H12027" s="8" t="s">
        <v>21</v>
      </c>
      <c r="I12027" s="8" t="s">
        <v>72</v>
      </c>
      <c r="J12027" s="8" t="s">
        <v>72</v>
      </c>
      <c r="K12027" s="8" t="s">
        <v>73</v>
      </c>
      <c r="L12027" s="8" t="s">
        <v>18681</v>
      </c>
      <c r="M12027" s="8" t="s">
        <v>18682</v>
      </c>
      <c r="N12027" s="8" t="s">
        <v>50538</v>
      </c>
      <c r="O12027" s="8">
        <f>13+5/60+57.8/3600</f>
        <v>13.099388888888889</v>
      </c>
      <c r="P12027" s="8" t="s">
        <v>50539</v>
      </c>
      <c r="Q12027" s="8">
        <f>+(36+59/60+7/3600)</f>
        <v>36.985277777777782</v>
      </c>
      <c r="R12027" s="8">
        <v>99</v>
      </c>
      <c r="S12027" s="8">
        <v>99</v>
      </c>
      <c r="T12027" s="8">
        <v>99</v>
      </c>
      <c r="U12027" s="8">
        <v>99</v>
      </c>
      <c r="Y12027" s="8" t="s">
        <v>45218</v>
      </c>
      <c r="Z12027" s="8" t="s">
        <v>45219</v>
      </c>
    </row>
    <row r="12028" spans="1:26" x14ac:dyDescent="0.2">
      <c r="A12028" s="8">
        <v>12027</v>
      </c>
      <c r="B12028" s="8" t="s">
        <v>50540</v>
      </c>
      <c r="C12028" s="8" t="s">
        <v>50540</v>
      </c>
      <c r="G12028" s="8">
        <v>20</v>
      </c>
      <c r="H12028" s="8" t="s">
        <v>21</v>
      </c>
      <c r="I12028" s="8" t="s">
        <v>22</v>
      </c>
      <c r="J12028" s="8" t="s">
        <v>22</v>
      </c>
      <c r="K12028" s="8" t="s">
        <v>58</v>
      </c>
      <c r="L12028" s="8" t="s">
        <v>18681</v>
      </c>
      <c r="M12028" s="8" t="s">
        <v>18682</v>
      </c>
      <c r="N12028" s="8" t="s">
        <v>50541</v>
      </c>
      <c r="O12028" s="8">
        <f>13+5/60+59.7/3600</f>
        <v>13.099916666666667</v>
      </c>
      <c r="P12028" s="8" t="s">
        <v>50542</v>
      </c>
      <c r="Q12028" s="8">
        <f>+(36+17/60+54/3600)</f>
        <v>36.298333333333332</v>
      </c>
      <c r="R12028" s="8">
        <v>14.9</v>
      </c>
      <c r="S12028" s="8">
        <v>15.9</v>
      </c>
      <c r="T12028" s="8">
        <v>1</v>
      </c>
      <c r="U12028" s="8">
        <v>12.4</v>
      </c>
      <c r="V12028" s="8">
        <v>0.3</v>
      </c>
      <c r="W12028" s="8">
        <v>0.3</v>
      </c>
      <c r="Y12028" s="8" t="s">
        <v>50543</v>
      </c>
      <c r="Z12028" s="8" t="s">
        <v>50544</v>
      </c>
    </row>
    <row r="12029" spans="1:26" x14ac:dyDescent="0.2">
      <c r="A12029" s="8">
        <v>12028</v>
      </c>
      <c r="B12029" s="8" t="s">
        <v>50545</v>
      </c>
      <c r="C12029" s="8" t="s">
        <v>50545</v>
      </c>
      <c r="G12029" s="8">
        <v>20</v>
      </c>
      <c r="H12029" s="8" t="s">
        <v>21</v>
      </c>
      <c r="I12029" s="8" t="s">
        <v>22</v>
      </c>
      <c r="J12029" s="8" t="s">
        <v>22</v>
      </c>
      <c r="K12029" s="8" t="s">
        <v>396</v>
      </c>
      <c r="L12029" s="8" t="s">
        <v>18681</v>
      </c>
      <c r="M12029" s="8" t="s">
        <v>18682</v>
      </c>
      <c r="N12029" s="8" t="s">
        <v>50546</v>
      </c>
      <c r="O12029" s="8">
        <f>13+6/60+2.5/3600</f>
        <v>13.100694444444445</v>
      </c>
      <c r="P12029" s="8" t="s">
        <v>50547</v>
      </c>
      <c r="Q12029" s="8">
        <f>+(36+19/60+38/3600)</f>
        <v>36.327222222222225</v>
      </c>
      <c r="R12029" s="8">
        <v>15.7</v>
      </c>
      <c r="S12029" s="8">
        <v>16.2</v>
      </c>
      <c r="T12029" s="8">
        <v>0.5</v>
      </c>
      <c r="U12029" s="8">
        <v>13.7</v>
      </c>
      <c r="V12029" s="8">
        <v>0.6</v>
      </c>
      <c r="W12029" s="8">
        <v>0.3</v>
      </c>
      <c r="X12029" s="8">
        <v>72</v>
      </c>
      <c r="Y12029" s="8" t="s">
        <v>21</v>
      </c>
      <c r="Z12029" s="8" t="s">
        <v>50548</v>
      </c>
    </row>
    <row r="12030" spans="1:26" x14ac:dyDescent="0.2">
      <c r="A12030" s="8">
        <v>12029</v>
      </c>
      <c r="B12030" s="8" t="s">
        <v>50549</v>
      </c>
      <c r="C12030" s="8" t="s">
        <v>50549</v>
      </c>
      <c r="G12030" s="8">
        <v>20</v>
      </c>
      <c r="H12030" s="8" t="s">
        <v>21</v>
      </c>
      <c r="I12030" s="8" t="s">
        <v>22</v>
      </c>
      <c r="J12030" s="8" t="s">
        <v>22</v>
      </c>
      <c r="K12030" s="8" t="s">
        <v>160</v>
      </c>
      <c r="L12030" s="8" t="s">
        <v>18681</v>
      </c>
      <c r="M12030" s="8" t="s">
        <v>18682</v>
      </c>
      <c r="N12030" s="8" t="s">
        <v>50550</v>
      </c>
      <c r="O12030" s="8">
        <f>13+6/60+3.7/3600</f>
        <v>13.101027777777777</v>
      </c>
      <c r="P12030" s="8" t="s">
        <v>50551</v>
      </c>
      <c r="Q12030" s="8">
        <f>+(35+58/60+48/3600)</f>
        <v>35.980000000000004</v>
      </c>
      <c r="R12030" s="8">
        <v>13.5</v>
      </c>
      <c r="S12030" s="8">
        <v>14.2</v>
      </c>
      <c r="T12030" s="8">
        <v>0.7</v>
      </c>
      <c r="U12030" s="8">
        <v>13.5</v>
      </c>
      <c r="V12030" s="8">
        <v>1.3</v>
      </c>
      <c r="W12030" s="8">
        <v>0.9</v>
      </c>
      <c r="X12030" s="8">
        <v>0</v>
      </c>
      <c r="Y12030" s="8" t="s">
        <v>21</v>
      </c>
      <c r="Z12030" s="8" t="s">
        <v>50552</v>
      </c>
    </row>
    <row r="12031" spans="1:26" x14ac:dyDescent="0.2">
      <c r="A12031" s="8">
        <v>12030</v>
      </c>
      <c r="B12031" s="8" t="s">
        <v>50553</v>
      </c>
      <c r="C12031" s="8" t="s">
        <v>50553</v>
      </c>
      <c r="G12031" s="8">
        <v>20</v>
      </c>
      <c r="H12031" s="8" t="s">
        <v>21</v>
      </c>
      <c r="I12031" s="8" t="s">
        <v>72</v>
      </c>
      <c r="J12031" s="8" t="s">
        <v>72</v>
      </c>
      <c r="K12031" s="8" t="s">
        <v>20</v>
      </c>
      <c r="L12031" s="8" t="s">
        <v>18681</v>
      </c>
      <c r="M12031" s="8" t="s">
        <v>18682</v>
      </c>
      <c r="N12031" s="8" t="s">
        <v>50554</v>
      </c>
      <c r="O12031" s="8">
        <f>13+6/60+6.2/3600</f>
        <v>13.101722222222222</v>
      </c>
      <c r="P12031" s="8" t="s">
        <v>50555</v>
      </c>
      <c r="Q12031" s="8">
        <f>+(37+36/60+50/3600)</f>
        <v>37.613888888888887</v>
      </c>
      <c r="R12031" s="8">
        <v>99</v>
      </c>
      <c r="S12031" s="8">
        <v>99</v>
      </c>
      <c r="T12031" s="8">
        <v>99</v>
      </c>
      <c r="U12031" s="8">
        <v>99</v>
      </c>
      <c r="Y12031" s="8" t="s">
        <v>48066</v>
      </c>
      <c r="Z12031" s="8" t="s">
        <v>48067</v>
      </c>
    </row>
    <row r="12032" spans="1:26" x14ac:dyDescent="0.2">
      <c r="A12032" s="8">
        <v>12031</v>
      </c>
      <c r="B12032" s="8" t="s">
        <v>50556</v>
      </c>
      <c r="C12032" s="8" t="s">
        <v>50556</v>
      </c>
      <c r="G12032" s="8">
        <v>13</v>
      </c>
      <c r="H12032" s="8" t="s">
        <v>21</v>
      </c>
      <c r="I12032" s="8" t="s">
        <v>241</v>
      </c>
      <c r="J12032" s="8" t="s">
        <v>241</v>
      </c>
      <c r="K12032" s="8" t="s">
        <v>241</v>
      </c>
      <c r="L12032" s="8" t="s">
        <v>18521</v>
      </c>
      <c r="M12032" s="8" t="s">
        <v>18522</v>
      </c>
      <c r="N12032" s="8" t="s">
        <v>50557</v>
      </c>
      <c r="O12032" s="8">
        <f>13+8/60+47.5/3600</f>
        <v>13.146527777777777</v>
      </c>
      <c r="P12032" s="8" t="s">
        <v>50558</v>
      </c>
      <c r="Q12032" s="8">
        <f>-(67+38/60+35/3600)</f>
        <v>-67.643055555555563</v>
      </c>
      <c r="R12032" s="8">
        <v>10.6</v>
      </c>
      <c r="S12032" s="8">
        <v>12</v>
      </c>
      <c r="T12032" s="8">
        <v>99</v>
      </c>
      <c r="U12032" s="8">
        <v>99</v>
      </c>
      <c r="V12032" s="8">
        <v>0.08</v>
      </c>
      <c r="Y12032" s="8" t="s">
        <v>27388</v>
      </c>
      <c r="Z12032" s="8" t="s">
        <v>42798</v>
      </c>
    </row>
    <row r="12033" spans="1:26" x14ac:dyDescent="0.2">
      <c r="A12033" s="8">
        <v>12032</v>
      </c>
      <c r="B12033" s="8" t="s">
        <v>50559</v>
      </c>
      <c r="C12033" s="8" t="s">
        <v>50559</v>
      </c>
      <c r="G12033" s="8">
        <v>20</v>
      </c>
      <c r="H12033" s="8" t="s">
        <v>21</v>
      </c>
      <c r="I12033" s="8" t="s">
        <v>329</v>
      </c>
      <c r="J12033" s="8" t="s">
        <v>329</v>
      </c>
      <c r="K12033" s="8" t="s">
        <v>329</v>
      </c>
      <c r="L12033" s="8" t="s">
        <v>18681</v>
      </c>
      <c r="M12033" s="8" t="s">
        <v>18682</v>
      </c>
      <c r="N12033" s="8" t="s">
        <v>50560</v>
      </c>
      <c r="O12033" s="8">
        <f>13+6/60+8.5/3600</f>
        <v>13.102361111111112</v>
      </c>
      <c r="P12033" s="8" t="s">
        <v>50561</v>
      </c>
      <c r="Q12033" s="8">
        <f>+(37+36/60+19/3600)</f>
        <v>37.605277777777779</v>
      </c>
      <c r="R12033" s="8">
        <v>99</v>
      </c>
      <c r="S12033" s="8">
        <v>99</v>
      </c>
      <c r="T12033" s="8">
        <v>99</v>
      </c>
      <c r="U12033" s="8">
        <v>99</v>
      </c>
      <c r="Y12033" s="8" t="s">
        <v>50562</v>
      </c>
      <c r="Z12033" s="8" t="s">
        <v>50563</v>
      </c>
    </row>
    <row r="12034" spans="1:26" x14ac:dyDescent="0.2">
      <c r="A12034" s="8">
        <v>12033</v>
      </c>
      <c r="B12034" s="8" t="s">
        <v>50564</v>
      </c>
      <c r="C12034" s="8" t="s">
        <v>50564</v>
      </c>
      <c r="G12034" s="8">
        <v>20</v>
      </c>
      <c r="H12034" s="8" t="s">
        <v>21</v>
      </c>
      <c r="I12034" s="8" t="s">
        <v>22</v>
      </c>
      <c r="J12034" s="8" t="s">
        <v>22</v>
      </c>
      <c r="K12034" s="8" t="s">
        <v>50</v>
      </c>
      <c r="L12034" s="8" t="s">
        <v>18681</v>
      </c>
      <c r="M12034" s="8" t="s">
        <v>18682</v>
      </c>
      <c r="N12034" s="8" t="s">
        <v>50554</v>
      </c>
      <c r="O12034" s="8">
        <f>13+6/60+6.2/3600</f>
        <v>13.101722222222222</v>
      </c>
      <c r="P12034" s="8" t="s">
        <v>50565</v>
      </c>
      <c r="Q12034" s="8">
        <f>+(39+25/60+24/3600)</f>
        <v>39.423333333333332</v>
      </c>
      <c r="R12034" s="8">
        <v>14.6</v>
      </c>
      <c r="S12034" s="8">
        <v>15.6</v>
      </c>
      <c r="T12034" s="8">
        <v>1</v>
      </c>
      <c r="U12034" s="8">
        <v>12.6</v>
      </c>
      <c r="V12034" s="8">
        <v>0.5</v>
      </c>
      <c r="W12034" s="8">
        <v>0.3</v>
      </c>
      <c r="X12034" s="8">
        <v>50</v>
      </c>
      <c r="Y12034" s="8" t="s">
        <v>21</v>
      </c>
      <c r="Z12034" s="8" t="s">
        <v>50566</v>
      </c>
    </row>
    <row r="12035" spans="1:26" x14ac:dyDescent="0.2">
      <c r="A12035" s="8">
        <v>12034</v>
      </c>
      <c r="B12035" s="8" t="s">
        <v>50567</v>
      </c>
      <c r="C12035" s="8" t="s">
        <v>50567</v>
      </c>
      <c r="G12035" s="8">
        <v>20</v>
      </c>
      <c r="H12035" s="8" t="s">
        <v>21</v>
      </c>
      <c r="I12035" s="8" t="s">
        <v>72</v>
      </c>
      <c r="J12035" s="8" t="s">
        <v>72</v>
      </c>
      <c r="K12035" s="8" t="s">
        <v>20</v>
      </c>
      <c r="L12035" s="8" t="s">
        <v>18681</v>
      </c>
      <c r="M12035" s="8" t="s">
        <v>18682</v>
      </c>
      <c r="N12035" s="8" t="s">
        <v>50568</v>
      </c>
      <c r="O12035" s="8">
        <f>13+6/60+7.8/3600</f>
        <v>13.102166666666667</v>
      </c>
      <c r="P12035" s="8" t="s">
        <v>50569</v>
      </c>
      <c r="Q12035" s="8">
        <f>+(38+52/60+24/3600)</f>
        <v>38.873333333333335</v>
      </c>
      <c r="R12035" s="8">
        <v>99</v>
      </c>
      <c r="S12035" s="8">
        <v>99</v>
      </c>
      <c r="T12035" s="8">
        <v>99</v>
      </c>
      <c r="U12035" s="8">
        <v>99</v>
      </c>
      <c r="Y12035" s="8" t="s">
        <v>45218</v>
      </c>
      <c r="Z12035" s="8" t="s">
        <v>45219</v>
      </c>
    </row>
    <row r="12036" spans="1:26" x14ac:dyDescent="0.2">
      <c r="A12036" s="8">
        <v>12035</v>
      </c>
      <c r="B12036" s="8" t="s">
        <v>50570</v>
      </c>
      <c r="C12036" s="8" t="s">
        <v>50570</v>
      </c>
      <c r="G12036" s="8">
        <v>20</v>
      </c>
      <c r="H12036" s="8" t="s">
        <v>21</v>
      </c>
      <c r="I12036" s="8" t="s">
        <v>72</v>
      </c>
      <c r="J12036" s="8" t="s">
        <v>72</v>
      </c>
      <c r="K12036" s="8" t="s">
        <v>20</v>
      </c>
      <c r="L12036" s="8" t="s">
        <v>18681</v>
      </c>
      <c r="M12036" s="8" t="s">
        <v>18682</v>
      </c>
      <c r="N12036" s="8" t="s">
        <v>50571</v>
      </c>
      <c r="O12036" s="8">
        <f>13+6/60+15.6/3600</f>
        <v>13.104333333333333</v>
      </c>
      <c r="P12036" s="8" t="s">
        <v>50572</v>
      </c>
      <c r="Q12036" s="8">
        <f>+(37+2/60+17/3600)</f>
        <v>37.038055555555552</v>
      </c>
      <c r="R12036" s="8">
        <v>99</v>
      </c>
      <c r="S12036" s="8">
        <v>99</v>
      </c>
      <c r="T12036" s="8">
        <v>99</v>
      </c>
      <c r="U12036" s="8">
        <v>99</v>
      </c>
      <c r="Y12036" s="8" t="s">
        <v>5139</v>
      </c>
      <c r="Z12036" s="8" t="s">
        <v>5140</v>
      </c>
    </row>
    <row r="12037" spans="1:26" x14ac:dyDescent="0.2">
      <c r="A12037" s="8">
        <v>12036</v>
      </c>
      <c r="B12037" s="8" t="s">
        <v>50573</v>
      </c>
      <c r="C12037" s="8" t="s">
        <v>50573</v>
      </c>
      <c r="G12037" s="8">
        <v>20</v>
      </c>
      <c r="H12037" s="8" t="s">
        <v>21</v>
      </c>
      <c r="I12037" s="8" t="s">
        <v>22</v>
      </c>
      <c r="J12037" s="8" t="s">
        <v>57</v>
      </c>
      <c r="K12037" s="8" t="s">
        <v>37</v>
      </c>
      <c r="L12037" s="8" t="s">
        <v>11765</v>
      </c>
      <c r="M12037" s="8" t="s">
        <v>11766</v>
      </c>
      <c r="N12037" s="8" t="s">
        <v>22337</v>
      </c>
      <c r="O12037" s="8">
        <f>13+7/60+33.6/3600</f>
        <v>13.126000000000001</v>
      </c>
      <c r="P12037" s="8" t="s">
        <v>22338</v>
      </c>
      <c r="Q12037" s="8">
        <f>-(24+0/60+32/3600)</f>
        <v>-24.00888888888889</v>
      </c>
      <c r="R12037" s="8">
        <v>12.2</v>
      </c>
      <c r="S12037" s="8">
        <v>13.2</v>
      </c>
      <c r="T12037" s="8">
        <v>1</v>
      </c>
      <c r="U12037" s="8">
        <v>12.7</v>
      </c>
      <c r="V12037" s="8">
        <v>1.8</v>
      </c>
      <c r="W12037" s="8">
        <v>1</v>
      </c>
      <c r="X12037" s="8">
        <v>140</v>
      </c>
      <c r="Y12037" s="8" t="s">
        <v>21</v>
      </c>
      <c r="Z12037" s="8" t="s">
        <v>50574</v>
      </c>
    </row>
    <row r="12038" spans="1:26" x14ac:dyDescent="0.2">
      <c r="A12038" s="8">
        <v>12037</v>
      </c>
      <c r="B12038" s="8" t="s">
        <v>50575</v>
      </c>
      <c r="C12038" s="8" t="s">
        <v>50575</v>
      </c>
      <c r="G12038" s="8">
        <v>20</v>
      </c>
      <c r="H12038" s="8" t="s">
        <v>21</v>
      </c>
      <c r="I12038" s="8" t="s">
        <v>22</v>
      </c>
      <c r="J12038" s="8" t="s">
        <v>22</v>
      </c>
      <c r="K12038" s="8" t="s">
        <v>118</v>
      </c>
      <c r="L12038" s="8" t="s">
        <v>11765</v>
      </c>
      <c r="M12038" s="8" t="s">
        <v>11766</v>
      </c>
      <c r="N12038" s="8" t="s">
        <v>50576</v>
      </c>
      <c r="O12038" s="8">
        <f>13+8/60+4.3/3600</f>
        <v>13.134527777777777</v>
      </c>
      <c r="P12038" s="8" t="s">
        <v>50577</v>
      </c>
      <c r="Q12038" s="8">
        <f>-(23+47/60+49/3600)</f>
        <v>-23.796944444444446</v>
      </c>
      <c r="R12038" s="8">
        <v>12.4</v>
      </c>
      <c r="S12038" s="8">
        <v>13.5</v>
      </c>
      <c r="T12038" s="8">
        <v>1.1000000000000001</v>
      </c>
      <c r="U12038" s="8">
        <v>12.5</v>
      </c>
      <c r="V12038" s="8">
        <v>1.4</v>
      </c>
      <c r="W12038" s="8">
        <v>0.9</v>
      </c>
      <c r="X12038" s="8">
        <v>163</v>
      </c>
      <c r="Y12038" s="8" t="s">
        <v>21</v>
      </c>
      <c r="Z12038" s="8" t="s">
        <v>50578</v>
      </c>
    </row>
    <row r="12039" spans="1:26" x14ac:dyDescent="0.2">
      <c r="A12039" s="8">
        <v>12038</v>
      </c>
      <c r="B12039" s="8" t="s">
        <v>50579</v>
      </c>
      <c r="C12039" s="8" t="s">
        <v>50579</v>
      </c>
      <c r="G12039" s="8">
        <v>20</v>
      </c>
      <c r="H12039" s="8" t="s">
        <v>21</v>
      </c>
      <c r="I12039" s="8" t="s">
        <v>22</v>
      </c>
      <c r="J12039" s="8" t="s">
        <v>57</v>
      </c>
      <c r="K12039" s="8" t="s">
        <v>1445</v>
      </c>
      <c r="L12039" s="8" t="s">
        <v>18289</v>
      </c>
      <c r="M12039" s="8" t="s">
        <v>18290</v>
      </c>
      <c r="N12039" s="8" t="s">
        <v>22367</v>
      </c>
      <c r="O12039" s="8">
        <f>13+7/60+42.8/3600</f>
        <v>13.128555555555556</v>
      </c>
      <c r="P12039" s="8" t="s">
        <v>22368</v>
      </c>
      <c r="Q12039" s="8">
        <f>+(24+48/60+40/3600)</f>
        <v>24.811111111111114</v>
      </c>
      <c r="R12039" s="8">
        <v>13.9</v>
      </c>
      <c r="S12039" s="8">
        <v>14.7</v>
      </c>
      <c r="T12039" s="8">
        <v>0.8</v>
      </c>
      <c r="U12039" s="8">
        <v>13.4</v>
      </c>
      <c r="V12039" s="8">
        <v>1</v>
      </c>
      <c r="W12039" s="8">
        <v>0.7</v>
      </c>
      <c r="X12039" s="8">
        <v>100</v>
      </c>
      <c r="Y12039" s="8" t="s">
        <v>21</v>
      </c>
      <c r="Z12039" s="8" t="s">
        <v>50580</v>
      </c>
    </row>
    <row r="12040" spans="1:26" x14ac:dyDescent="0.2">
      <c r="A12040" s="8">
        <v>12039</v>
      </c>
      <c r="B12040" s="8" t="s">
        <v>50581</v>
      </c>
      <c r="C12040" s="8" t="s">
        <v>50581</v>
      </c>
      <c r="G12040" s="8">
        <v>20</v>
      </c>
      <c r="H12040" s="8" t="s">
        <v>21</v>
      </c>
      <c r="I12040" s="8" t="s">
        <v>72</v>
      </c>
      <c r="J12040" s="8" t="s">
        <v>72</v>
      </c>
      <c r="K12040" s="8" t="s">
        <v>20</v>
      </c>
      <c r="L12040" s="8" t="s">
        <v>18681</v>
      </c>
      <c r="M12040" s="8" t="s">
        <v>18682</v>
      </c>
      <c r="N12040" s="8" t="s">
        <v>50582</v>
      </c>
      <c r="O12040" s="8">
        <f>13+7/60+32.7/3600</f>
        <v>13.12575</v>
      </c>
      <c r="P12040" s="8" t="s">
        <v>50583</v>
      </c>
      <c r="Q12040" s="8">
        <f>+(35+51/60+29/3600)</f>
        <v>35.858055555555559</v>
      </c>
      <c r="R12040" s="8">
        <v>99</v>
      </c>
      <c r="S12040" s="8">
        <v>99</v>
      </c>
      <c r="T12040" s="8">
        <v>99</v>
      </c>
      <c r="U12040" s="8">
        <v>99</v>
      </c>
      <c r="Y12040" s="8" t="s">
        <v>45218</v>
      </c>
      <c r="Z12040" s="8" t="s">
        <v>45219</v>
      </c>
    </row>
    <row r="12041" spans="1:26" x14ac:dyDescent="0.2">
      <c r="A12041" s="8">
        <v>12040</v>
      </c>
      <c r="B12041" s="8" t="s">
        <v>50584</v>
      </c>
      <c r="C12041" s="8" t="s">
        <v>50584</v>
      </c>
      <c r="G12041" s="8">
        <v>20</v>
      </c>
      <c r="H12041" s="8" t="s">
        <v>21</v>
      </c>
      <c r="I12041" s="8" t="s">
        <v>22</v>
      </c>
      <c r="J12041" s="8" t="s">
        <v>22</v>
      </c>
      <c r="K12041" s="8" t="s">
        <v>37</v>
      </c>
      <c r="L12041" s="8" t="s">
        <v>16195</v>
      </c>
      <c r="M12041" s="8" t="s">
        <v>16196</v>
      </c>
      <c r="N12041" s="8" t="s">
        <v>50585</v>
      </c>
      <c r="O12041" s="8">
        <f>13+9/60+34.8/3600</f>
        <v>13.159666666666666</v>
      </c>
      <c r="P12041" s="8" t="s">
        <v>50586</v>
      </c>
      <c r="Q12041" s="8">
        <f>-(51+58/60+7/3600)</f>
        <v>-51.968611111111116</v>
      </c>
      <c r="R12041" s="8">
        <v>12.7</v>
      </c>
      <c r="S12041" s="8">
        <v>13.7</v>
      </c>
      <c r="T12041" s="8">
        <v>1</v>
      </c>
      <c r="U12041" s="8">
        <v>12.8</v>
      </c>
      <c r="V12041" s="8">
        <v>1.5</v>
      </c>
      <c r="W12041" s="8">
        <v>1</v>
      </c>
      <c r="X12041" s="8">
        <v>152</v>
      </c>
      <c r="Y12041" s="8" t="s">
        <v>50587</v>
      </c>
      <c r="Z12041" s="8" t="s">
        <v>50588</v>
      </c>
    </row>
    <row r="12042" spans="1:26" x14ac:dyDescent="0.2">
      <c r="A12042" s="8">
        <v>12041</v>
      </c>
      <c r="B12042" s="8" t="s">
        <v>50589</v>
      </c>
      <c r="C12042" s="8" t="s">
        <v>50589</v>
      </c>
      <c r="G12042" s="8">
        <v>20</v>
      </c>
      <c r="H12042" s="8" t="s">
        <v>21</v>
      </c>
      <c r="I12042" s="8" t="s">
        <v>22</v>
      </c>
      <c r="J12042" s="8" t="s">
        <v>22</v>
      </c>
      <c r="K12042" s="8" t="s">
        <v>449</v>
      </c>
      <c r="L12042" s="8" t="s">
        <v>18681</v>
      </c>
      <c r="M12042" s="8" t="s">
        <v>18682</v>
      </c>
      <c r="N12042" s="8" t="s">
        <v>50590</v>
      </c>
      <c r="O12042" s="8">
        <f>13+7/60+51.3/3600</f>
        <v>13.130916666666668</v>
      </c>
      <c r="P12042" s="8" t="s">
        <v>50591</v>
      </c>
      <c r="Q12042" s="8">
        <f>+(35+50/60+2/3600)</f>
        <v>35.833888888888893</v>
      </c>
      <c r="R12042" s="8">
        <v>14.6</v>
      </c>
      <c r="S12042" s="8">
        <v>15.4</v>
      </c>
      <c r="T12042" s="8">
        <v>0.8</v>
      </c>
      <c r="U12042" s="8">
        <v>12.9</v>
      </c>
      <c r="V12042" s="8">
        <v>0.5</v>
      </c>
      <c r="W12042" s="8">
        <v>0.5</v>
      </c>
      <c r="Y12042" s="8" t="s">
        <v>45218</v>
      </c>
      <c r="Z12042" s="8" t="s">
        <v>45219</v>
      </c>
    </row>
    <row r="12043" spans="1:26" x14ac:dyDescent="0.2">
      <c r="A12043" s="8">
        <v>12042</v>
      </c>
      <c r="B12043" s="8" t="s">
        <v>50592</v>
      </c>
      <c r="C12043" s="8" t="s">
        <v>50592</v>
      </c>
      <c r="G12043" s="8">
        <v>20</v>
      </c>
      <c r="H12043" s="8" t="s">
        <v>21</v>
      </c>
      <c r="I12043" s="8" t="s">
        <v>22</v>
      </c>
      <c r="J12043" s="8" t="s">
        <v>22</v>
      </c>
      <c r="K12043" s="8" t="s">
        <v>396</v>
      </c>
      <c r="L12043" s="8" t="s">
        <v>18289</v>
      </c>
      <c r="M12043" s="8" t="s">
        <v>18290</v>
      </c>
      <c r="N12043" s="8" t="s">
        <v>50593</v>
      </c>
      <c r="O12043" s="8">
        <f>13+8/60+31.6/3600</f>
        <v>13.142111111111111</v>
      </c>
      <c r="P12043" s="8" t="s">
        <v>50594</v>
      </c>
      <c r="Q12043" s="8">
        <f>+(24+42/60+3/3600)</f>
        <v>24.700833333333332</v>
      </c>
      <c r="R12043" s="8">
        <v>14.5</v>
      </c>
      <c r="S12043" s="8">
        <v>15.3</v>
      </c>
      <c r="T12043" s="8">
        <v>0.8</v>
      </c>
      <c r="U12043" s="8">
        <v>13.6</v>
      </c>
      <c r="V12043" s="8">
        <v>1.7</v>
      </c>
      <c r="W12043" s="8">
        <v>0.2</v>
      </c>
      <c r="X12043" s="8">
        <v>143</v>
      </c>
      <c r="Y12043" s="8" t="s">
        <v>50595</v>
      </c>
      <c r="Z12043" s="8" t="s">
        <v>50596</v>
      </c>
    </row>
    <row r="12044" spans="1:26" x14ac:dyDescent="0.2">
      <c r="A12044" s="8">
        <v>12043</v>
      </c>
      <c r="B12044" s="8" t="s">
        <v>50597</v>
      </c>
      <c r="C12044" s="8" t="s">
        <v>50597</v>
      </c>
      <c r="G12044" s="8">
        <v>20</v>
      </c>
      <c r="H12044" s="8" t="s">
        <v>21</v>
      </c>
      <c r="I12044" s="8" t="s">
        <v>72</v>
      </c>
      <c r="J12044" s="8" t="s">
        <v>72</v>
      </c>
      <c r="K12044" s="8" t="s">
        <v>20</v>
      </c>
      <c r="L12044" s="8" t="s">
        <v>18681</v>
      </c>
      <c r="M12044" s="8" t="s">
        <v>18682</v>
      </c>
      <c r="N12044" s="8" t="s">
        <v>50598</v>
      </c>
      <c r="O12044" s="8">
        <f>13+8/60+18.9/3600</f>
        <v>13.138583333333333</v>
      </c>
      <c r="P12044" s="8" t="s">
        <v>50599</v>
      </c>
      <c r="Q12044" s="8">
        <f>+(40+25/60+40/3600)</f>
        <v>40.427777777777777</v>
      </c>
      <c r="R12044" s="8">
        <v>99</v>
      </c>
      <c r="S12044" s="8">
        <v>99</v>
      </c>
      <c r="T12044" s="8">
        <v>99</v>
      </c>
      <c r="U12044" s="8">
        <v>99</v>
      </c>
      <c r="Y12044" s="8" t="s">
        <v>35064</v>
      </c>
      <c r="Z12044" s="8" t="s">
        <v>35065</v>
      </c>
    </row>
    <row r="12045" spans="1:26" x14ac:dyDescent="0.2">
      <c r="A12045" s="8">
        <v>12044</v>
      </c>
      <c r="B12045" s="8" t="s">
        <v>50600</v>
      </c>
      <c r="C12045" s="8" t="s">
        <v>50600</v>
      </c>
      <c r="G12045" s="8">
        <v>20</v>
      </c>
      <c r="H12045" s="8" t="s">
        <v>21</v>
      </c>
      <c r="I12045" s="8" t="s">
        <v>22</v>
      </c>
      <c r="J12045" s="8" t="s">
        <v>22</v>
      </c>
      <c r="K12045" s="8" t="s">
        <v>64</v>
      </c>
      <c r="L12045" s="8" t="s">
        <v>18681</v>
      </c>
      <c r="M12045" s="8" t="s">
        <v>18682</v>
      </c>
      <c r="N12045" s="8" t="s">
        <v>50601</v>
      </c>
      <c r="O12045" s="8">
        <f>13+8/60+21.6/3600</f>
        <v>13.139333333333333</v>
      </c>
      <c r="P12045" s="8" t="s">
        <v>50602</v>
      </c>
      <c r="Q12045" s="8">
        <f>+(39+27/60+39/3600)</f>
        <v>39.460833333333333</v>
      </c>
      <c r="R12045" s="8">
        <v>14.6</v>
      </c>
      <c r="S12045" s="8">
        <v>15.3</v>
      </c>
      <c r="T12045" s="8">
        <v>0.7</v>
      </c>
      <c r="U12045" s="8">
        <v>13</v>
      </c>
      <c r="V12045" s="8">
        <v>1.3</v>
      </c>
      <c r="W12045" s="8">
        <v>0.2</v>
      </c>
      <c r="X12045" s="8">
        <v>43</v>
      </c>
      <c r="Y12045" s="8" t="s">
        <v>50603</v>
      </c>
      <c r="Z12045" s="8" t="s">
        <v>50604</v>
      </c>
    </row>
    <row r="12046" spans="1:26" x14ac:dyDescent="0.2">
      <c r="A12046" s="8">
        <v>12045</v>
      </c>
      <c r="B12046" s="8" t="s">
        <v>50605</v>
      </c>
      <c r="C12046" s="8" t="s">
        <v>50605</v>
      </c>
      <c r="G12046" s="8">
        <v>20</v>
      </c>
      <c r="H12046" s="8" t="s">
        <v>21</v>
      </c>
      <c r="I12046" s="8" t="s">
        <v>22</v>
      </c>
      <c r="J12046" s="8" t="s">
        <v>57</v>
      </c>
      <c r="K12046" s="8" t="s">
        <v>406</v>
      </c>
      <c r="L12046" s="8" t="s">
        <v>12015</v>
      </c>
      <c r="M12046" s="8" t="s">
        <v>12016</v>
      </c>
      <c r="N12046" s="8" t="s">
        <v>38042</v>
      </c>
      <c r="O12046" s="8">
        <f>13+8/60+41.6/3600</f>
        <v>13.144888888888888</v>
      </c>
      <c r="P12046" s="8" t="s">
        <v>38043</v>
      </c>
      <c r="Q12046" s="8">
        <f>+(52+46/60+28/3600)</f>
        <v>52.774444444444441</v>
      </c>
      <c r="R12046" s="8">
        <v>13.6</v>
      </c>
      <c r="S12046" s="8">
        <v>14.5</v>
      </c>
      <c r="T12046" s="8">
        <v>0.9</v>
      </c>
      <c r="U12046" s="8">
        <v>13.5</v>
      </c>
      <c r="V12046" s="8">
        <v>1.6</v>
      </c>
      <c r="W12046" s="8">
        <v>1.3</v>
      </c>
      <c r="X12046" s="8">
        <v>33</v>
      </c>
      <c r="Y12046" s="8" t="s">
        <v>50606</v>
      </c>
      <c r="Z12046" s="8" t="s">
        <v>50607</v>
      </c>
    </row>
    <row r="12047" spans="1:26" x14ac:dyDescent="0.2">
      <c r="A12047" s="8">
        <v>12046</v>
      </c>
      <c r="B12047" s="8" t="s">
        <v>50608</v>
      </c>
      <c r="C12047" s="8" t="s">
        <v>50608</v>
      </c>
      <c r="G12047" s="8">
        <v>20</v>
      </c>
      <c r="H12047" s="8" t="s">
        <v>21</v>
      </c>
      <c r="I12047" s="8" t="s">
        <v>72</v>
      </c>
      <c r="J12047" s="8" t="s">
        <v>72</v>
      </c>
      <c r="K12047" s="8" t="s">
        <v>20</v>
      </c>
      <c r="L12047" s="8" t="s">
        <v>18681</v>
      </c>
      <c r="M12047" s="8" t="s">
        <v>18682</v>
      </c>
      <c r="N12047" s="8" t="s">
        <v>50609</v>
      </c>
      <c r="O12047" s="8">
        <f>13+9/60+22/3600</f>
        <v>13.156111111111111</v>
      </c>
      <c r="P12047" s="8" t="s">
        <v>50610</v>
      </c>
      <c r="Q12047" s="8">
        <f>+(39+1/60+20/3600)</f>
        <v>39.022222222222219</v>
      </c>
      <c r="R12047" s="8">
        <v>99</v>
      </c>
      <c r="S12047" s="8">
        <v>14.7</v>
      </c>
      <c r="T12047" s="8">
        <v>99</v>
      </c>
      <c r="U12047" s="8">
        <v>99</v>
      </c>
      <c r="Y12047" s="8" t="s">
        <v>48426</v>
      </c>
      <c r="Z12047" s="8" t="s">
        <v>48427</v>
      </c>
    </row>
    <row r="12048" spans="1:26" x14ac:dyDescent="0.2">
      <c r="A12048" s="8">
        <v>12047</v>
      </c>
      <c r="B12048" s="8" t="s">
        <v>50611</v>
      </c>
      <c r="C12048" s="8" t="s">
        <v>50611</v>
      </c>
      <c r="G12048" s="8">
        <v>20</v>
      </c>
      <c r="H12048" s="8" t="s">
        <v>21</v>
      </c>
      <c r="I12048" s="8" t="s">
        <v>22</v>
      </c>
      <c r="J12048" s="8" t="s">
        <v>22</v>
      </c>
      <c r="K12048" s="8" t="s">
        <v>382</v>
      </c>
      <c r="L12048" s="8" t="s">
        <v>18681</v>
      </c>
      <c r="M12048" s="8" t="s">
        <v>18682</v>
      </c>
      <c r="N12048" s="8" t="s">
        <v>50612</v>
      </c>
      <c r="O12048" s="8">
        <f>13+9/60+27/3600</f>
        <v>13.157500000000001</v>
      </c>
      <c r="P12048" s="8" t="s">
        <v>50613</v>
      </c>
      <c r="Q12048" s="8">
        <f>+(37+49/60+22/3600)</f>
        <v>37.82277777777778</v>
      </c>
      <c r="R12048" s="8">
        <v>15.5</v>
      </c>
      <c r="S12048" s="8">
        <v>16.5</v>
      </c>
      <c r="T12048" s="8">
        <v>1</v>
      </c>
      <c r="U12048" s="8">
        <v>12.5</v>
      </c>
      <c r="V12048" s="8">
        <v>0.3</v>
      </c>
      <c r="W12048" s="8">
        <v>0.2</v>
      </c>
      <c r="X12048" s="8">
        <v>0</v>
      </c>
      <c r="Y12048" s="8" t="s">
        <v>50413</v>
      </c>
      <c r="Z12048" s="8" t="s">
        <v>50414</v>
      </c>
    </row>
    <row r="12049" spans="1:26" x14ac:dyDescent="0.2">
      <c r="A12049" s="8">
        <v>12048</v>
      </c>
      <c r="B12049" s="8" t="s">
        <v>50614</v>
      </c>
      <c r="C12049" s="8" t="s">
        <v>50614</v>
      </c>
      <c r="G12049" s="8">
        <v>20</v>
      </c>
      <c r="H12049" s="8" t="s">
        <v>21</v>
      </c>
      <c r="I12049" s="8" t="s">
        <v>72</v>
      </c>
      <c r="J12049" s="8" t="s">
        <v>72</v>
      </c>
      <c r="K12049" s="8" t="s">
        <v>20</v>
      </c>
      <c r="L12049" s="8" t="s">
        <v>18681</v>
      </c>
      <c r="M12049" s="8" t="s">
        <v>18682</v>
      </c>
      <c r="N12049" s="8" t="s">
        <v>50615</v>
      </c>
      <c r="O12049" s="8">
        <f>13+9/60+38/3600</f>
        <v>13.160555555555556</v>
      </c>
      <c r="P12049" s="8" t="s">
        <v>50616</v>
      </c>
      <c r="Q12049" s="8">
        <f>+(37+15/60+20/3600)</f>
        <v>37.255555555555553</v>
      </c>
      <c r="R12049" s="8">
        <v>99</v>
      </c>
      <c r="S12049" s="8">
        <v>14.6</v>
      </c>
      <c r="T12049" s="8">
        <v>99</v>
      </c>
      <c r="U12049" s="8">
        <v>99</v>
      </c>
      <c r="Y12049" s="8" t="s">
        <v>50617</v>
      </c>
      <c r="Z12049" s="8" t="s">
        <v>50618</v>
      </c>
    </row>
    <row r="12050" spans="1:26" x14ac:dyDescent="0.2">
      <c r="A12050" s="8">
        <v>12049</v>
      </c>
      <c r="B12050" s="8" t="s">
        <v>50619</v>
      </c>
      <c r="C12050" s="8" t="s">
        <v>50619</v>
      </c>
      <c r="G12050" s="8">
        <v>20</v>
      </c>
      <c r="H12050" s="8" t="s">
        <v>21</v>
      </c>
      <c r="I12050" s="8" t="s">
        <v>22</v>
      </c>
      <c r="J12050" s="8" t="s">
        <v>22</v>
      </c>
      <c r="K12050" s="8" t="s">
        <v>85</v>
      </c>
      <c r="L12050" s="8" t="s">
        <v>17287</v>
      </c>
      <c r="M12050" s="8" t="s">
        <v>17288</v>
      </c>
      <c r="N12050" s="8" t="s">
        <v>50620</v>
      </c>
      <c r="O12050" s="8">
        <f>13+10/60+22.4/3600</f>
        <v>13.172888888888888</v>
      </c>
      <c r="P12050" s="8" t="s">
        <v>50621</v>
      </c>
      <c r="Q12050" s="8">
        <f>-(7+10/60+15/3600)</f>
        <v>-7.1708333333333334</v>
      </c>
      <c r="R12050" s="8">
        <v>13.7</v>
      </c>
      <c r="S12050" s="8">
        <v>14.5</v>
      </c>
      <c r="T12050" s="8">
        <v>0.8</v>
      </c>
      <c r="U12050" s="8">
        <v>13.2</v>
      </c>
      <c r="V12050" s="8">
        <v>1.4</v>
      </c>
      <c r="W12050" s="8">
        <v>0.5</v>
      </c>
      <c r="X12050" s="8">
        <v>102</v>
      </c>
      <c r="Y12050" s="8" t="s">
        <v>50622</v>
      </c>
      <c r="Z12050" s="8" t="s">
        <v>50623</v>
      </c>
    </row>
    <row r="12051" spans="1:26" x14ac:dyDescent="0.2">
      <c r="A12051" s="8">
        <v>12050</v>
      </c>
      <c r="B12051" s="8" t="s">
        <v>50624</v>
      </c>
      <c r="C12051" s="8" t="s">
        <v>50624</v>
      </c>
      <c r="G12051" s="8">
        <v>20</v>
      </c>
      <c r="H12051" s="8" t="s">
        <v>21</v>
      </c>
      <c r="I12051" s="8" t="s">
        <v>22</v>
      </c>
      <c r="J12051" s="8" t="s">
        <v>22</v>
      </c>
      <c r="K12051" s="8" t="s">
        <v>406</v>
      </c>
      <c r="L12051" s="8" t="s">
        <v>18289</v>
      </c>
      <c r="M12051" s="8" t="s">
        <v>18290</v>
      </c>
      <c r="N12051" s="8" t="s">
        <v>50625</v>
      </c>
      <c r="O12051" s="8">
        <f>13+10/60+47.7/3600</f>
        <v>13.179916666666665</v>
      </c>
      <c r="P12051" s="8" t="s">
        <v>50626</v>
      </c>
      <c r="Q12051" s="8">
        <f>+(29+42/60+33/3600)</f>
        <v>29.709166666666665</v>
      </c>
      <c r="R12051" s="8">
        <v>14.5</v>
      </c>
      <c r="S12051" s="8">
        <v>15.3</v>
      </c>
      <c r="T12051" s="8">
        <v>0.8</v>
      </c>
      <c r="U12051" s="8">
        <v>13.4</v>
      </c>
      <c r="V12051" s="8">
        <v>0.8</v>
      </c>
      <c r="W12051" s="8">
        <v>0.5</v>
      </c>
      <c r="X12051" s="8">
        <v>0</v>
      </c>
      <c r="Y12051" s="8" t="s">
        <v>35064</v>
      </c>
      <c r="Z12051" s="8" t="s">
        <v>35065</v>
      </c>
    </row>
    <row r="12052" spans="1:26" x14ac:dyDescent="0.2">
      <c r="A12052" s="8">
        <v>12051</v>
      </c>
      <c r="B12052" s="8" t="s">
        <v>50627</v>
      </c>
      <c r="C12052" s="8" t="s">
        <v>50627</v>
      </c>
      <c r="G12052" s="8">
        <v>20</v>
      </c>
      <c r="H12052" s="8" t="s">
        <v>21</v>
      </c>
      <c r="I12052" s="8" t="s">
        <v>72</v>
      </c>
      <c r="J12052" s="8" t="s">
        <v>72</v>
      </c>
      <c r="K12052" s="8" t="s">
        <v>73</v>
      </c>
      <c r="L12052" s="8" t="s">
        <v>18681</v>
      </c>
      <c r="M12052" s="8" t="s">
        <v>18682</v>
      </c>
      <c r="N12052" s="8" t="s">
        <v>50628</v>
      </c>
      <c r="O12052" s="8">
        <f>13+10/60+56.4/3600</f>
        <v>13.182333333333332</v>
      </c>
      <c r="P12052" s="8" t="s">
        <v>50629</v>
      </c>
      <c r="Q12052" s="8">
        <f>+(37+10/60+37/3600)</f>
        <v>37.176944444444445</v>
      </c>
      <c r="R12052" s="8">
        <v>99</v>
      </c>
      <c r="S12052" s="8">
        <v>99</v>
      </c>
      <c r="T12052" s="8">
        <v>99</v>
      </c>
      <c r="U12052" s="8">
        <v>99</v>
      </c>
      <c r="Y12052" s="8" t="s">
        <v>50630</v>
      </c>
      <c r="Z12052" s="8" t="s">
        <v>50631</v>
      </c>
    </row>
    <row r="12053" spans="1:26" x14ac:dyDescent="0.2">
      <c r="A12053" s="8">
        <v>12052</v>
      </c>
      <c r="B12053" s="8" t="s">
        <v>50632</v>
      </c>
      <c r="C12053" s="8" t="s">
        <v>50632</v>
      </c>
      <c r="G12053" s="8">
        <v>20</v>
      </c>
      <c r="H12053" s="8" t="s">
        <v>21</v>
      </c>
      <c r="I12053" s="8" t="s">
        <v>22</v>
      </c>
      <c r="J12053" s="8" t="s">
        <v>22</v>
      </c>
      <c r="K12053" s="8" t="s">
        <v>64</v>
      </c>
      <c r="L12053" s="8" t="s">
        <v>17287</v>
      </c>
      <c r="M12053" s="8" t="s">
        <v>17288</v>
      </c>
      <c r="N12053" s="8" t="s">
        <v>50633</v>
      </c>
      <c r="O12053" s="8">
        <f>13+12/60+2.8/3600</f>
        <v>13.200777777777777</v>
      </c>
      <c r="P12053" s="8" t="s">
        <v>50634</v>
      </c>
      <c r="Q12053" s="8">
        <f>-(6+59/60+37/3600)</f>
        <v>-6.993611111111111</v>
      </c>
      <c r="R12053" s="8">
        <v>13.8</v>
      </c>
      <c r="S12053" s="8">
        <v>14.5</v>
      </c>
      <c r="T12053" s="8">
        <v>0.7</v>
      </c>
      <c r="U12053" s="8">
        <v>15.6</v>
      </c>
      <c r="V12053" s="8">
        <v>3.1</v>
      </c>
      <c r="W12053" s="8">
        <v>2.4</v>
      </c>
      <c r="X12053" s="8">
        <v>54</v>
      </c>
      <c r="Y12053" s="8" t="s">
        <v>50635</v>
      </c>
      <c r="Z12053" s="8" t="s">
        <v>50636</v>
      </c>
    </row>
    <row r="12054" spans="1:26" x14ac:dyDescent="0.2">
      <c r="A12054" s="8">
        <v>12053</v>
      </c>
      <c r="B12054" s="8" t="s">
        <v>50637</v>
      </c>
      <c r="C12054" s="8" t="s">
        <v>50637</v>
      </c>
      <c r="G12054" s="8">
        <v>20</v>
      </c>
      <c r="H12054" s="8" t="s">
        <v>21</v>
      </c>
      <c r="I12054" s="8" t="s">
        <v>22</v>
      </c>
      <c r="J12054" s="8" t="s">
        <v>22</v>
      </c>
      <c r="K12054" s="8" t="s">
        <v>160</v>
      </c>
      <c r="L12054" s="8" t="s">
        <v>18681</v>
      </c>
      <c r="M12054" s="8" t="s">
        <v>18682</v>
      </c>
      <c r="N12054" s="8" t="s">
        <v>50638</v>
      </c>
      <c r="O12054" s="8">
        <f>13+12/60+11.3/3600</f>
        <v>13.203138888888889</v>
      </c>
      <c r="P12054" s="8" t="s">
        <v>50639</v>
      </c>
      <c r="Q12054" s="8">
        <f>+(35+40/60+17/3600)</f>
        <v>35.671388888888885</v>
      </c>
      <c r="R12054" s="8">
        <v>13.3</v>
      </c>
      <c r="S12054" s="8">
        <v>14</v>
      </c>
      <c r="T12054" s="8">
        <v>0.7</v>
      </c>
      <c r="U12054" s="8">
        <v>13.4</v>
      </c>
      <c r="V12054" s="8">
        <v>2.5</v>
      </c>
      <c r="W12054" s="8">
        <v>0.5</v>
      </c>
      <c r="X12054" s="8">
        <v>174</v>
      </c>
      <c r="Y12054" s="8" t="s">
        <v>50640</v>
      </c>
      <c r="Z12054" s="8" t="s">
        <v>50641</v>
      </c>
    </row>
    <row r="12055" spans="1:26" x14ac:dyDescent="0.2">
      <c r="A12055" s="8">
        <v>12054</v>
      </c>
      <c r="B12055" s="8" t="s">
        <v>50642</v>
      </c>
      <c r="C12055" s="8" t="s">
        <v>50642</v>
      </c>
      <c r="G12055" s="8">
        <v>20</v>
      </c>
      <c r="H12055" s="8" t="s">
        <v>21</v>
      </c>
      <c r="I12055" s="8" t="s">
        <v>22</v>
      </c>
      <c r="J12055" s="8" t="s">
        <v>22</v>
      </c>
      <c r="K12055" s="8" t="s">
        <v>406</v>
      </c>
      <c r="L12055" s="8" t="s">
        <v>16195</v>
      </c>
      <c r="M12055" s="8" t="s">
        <v>16196</v>
      </c>
      <c r="N12055" s="8" t="s">
        <v>50643</v>
      </c>
      <c r="O12055" s="8">
        <f>13+17/60+42.7/3600</f>
        <v>13.295194444444444</v>
      </c>
      <c r="P12055" s="8" t="s">
        <v>50644</v>
      </c>
      <c r="Q12055" s="8">
        <f>-(32+6/60+5/3600)</f>
        <v>-32.101388888888891</v>
      </c>
      <c r="R12055" s="8">
        <v>11.4</v>
      </c>
      <c r="S12055" s="8">
        <v>12.3</v>
      </c>
      <c r="T12055" s="8">
        <v>0.9</v>
      </c>
      <c r="U12055" s="8">
        <v>12.4</v>
      </c>
      <c r="V12055" s="8">
        <v>2.8</v>
      </c>
      <c r="W12055" s="8">
        <v>1.8</v>
      </c>
      <c r="X12055" s="8">
        <v>0</v>
      </c>
      <c r="Y12055" s="8" t="s">
        <v>50645</v>
      </c>
      <c r="Z12055" s="8" t="s">
        <v>50646</v>
      </c>
    </row>
    <row r="12056" spans="1:26" x14ac:dyDescent="0.2">
      <c r="A12056" s="8">
        <v>12055</v>
      </c>
      <c r="B12056" s="8" t="s">
        <v>50647</v>
      </c>
      <c r="C12056" s="8" t="s">
        <v>50647</v>
      </c>
      <c r="G12056" s="8">
        <v>20</v>
      </c>
      <c r="H12056" s="8" t="s">
        <v>21</v>
      </c>
      <c r="I12056" s="8" t="s">
        <v>22</v>
      </c>
      <c r="J12056" s="8" t="s">
        <v>22</v>
      </c>
      <c r="K12056" s="8" t="s">
        <v>31</v>
      </c>
      <c r="L12056" s="8" t="s">
        <v>18289</v>
      </c>
      <c r="M12056" s="8" t="s">
        <v>18290</v>
      </c>
      <c r="N12056" s="8" t="s">
        <v>50648</v>
      </c>
      <c r="O12056" s="8">
        <f>13+16/60+16.6/3600</f>
        <v>13.271277777777778</v>
      </c>
      <c r="P12056" s="8" t="s">
        <v>50649</v>
      </c>
      <c r="Q12056" s="8">
        <f>+(25+24/60+17/3600)</f>
        <v>25.404722222222222</v>
      </c>
      <c r="R12056" s="8">
        <v>14.2</v>
      </c>
      <c r="S12056" s="8">
        <v>15</v>
      </c>
      <c r="T12056" s="8">
        <v>0.8</v>
      </c>
      <c r="U12056" s="8">
        <v>12.7</v>
      </c>
      <c r="V12056" s="8">
        <v>1.5</v>
      </c>
      <c r="W12056" s="8">
        <v>0.2</v>
      </c>
      <c r="X12056" s="8">
        <v>45</v>
      </c>
      <c r="Y12056" s="8" t="s">
        <v>50650</v>
      </c>
      <c r="Z12056" s="8" t="s">
        <v>50651</v>
      </c>
    </row>
    <row r="12057" spans="1:26" x14ac:dyDescent="0.2">
      <c r="A12057" s="8">
        <v>12056</v>
      </c>
      <c r="B12057" s="8" t="s">
        <v>50652</v>
      </c>
      <c r="C12057" s="8" t="s">
        <v>50652</v>
      </c>
      <c r="G12057" s="8">
        <v>20</v>
      </c>
      <c r="H12057" s="8" t="s">
        <v>21</v>
      </c>
      <c r="I12057" s="8" t="s">
        <v>22</v>
      </c>
      <c r="J12057" s="8" t="s">
        <v>22</v>
      </c>
      <c r="K12057" s="8" t="s">
        <v>160</v>
      </c>
      <c r="L12057" s="8" t="s">
        <v>17287</v>
      </c>
      <c r="M12057" s="8" t="s">
        <v>17288</v>
      </c>
      <c r="N12057" s="8" t="s">
        <v>50653</v>
      </c>
      <c r="O12057" s="8">
        <f>13+17/60+1.8/3600</f>
        <v>13.283833333333334</v>
      </c>
      <c r="P12057" s="8" t="s">
        <v>11565</v>
      </c>
      <c r="Q12057" s="8">
        <f>-(10+46/60+11/3600)</f>
        <v>-10.769722222222223</v>
      </c>
      <c r="R12057" s="8">
        <v>12.9</v>
      </c>
      <c r="S12057" s="8">
        <v>13.6</v>
      </c>
      <c r="T12057" s="8">
        <v>0.7</v>
      </c>
      <c r="U12057" s="8">
        <v>13.2</v>
      </c>
      <c r="V12057" s="8">
        <v>1.9</v>
      </c>
      <c r="W12057" s="8">
        <v>0.8</v>
      </c>
      <c r="X12057" s="8">
        <v>55</v>
      </c>
      <c r="Y12057" s="8" t="s">
        <v>50654</v>
      </c>
      <c r="Z12057" s="8" t="s">
        <v>50655</v>
      </c>
    </row>
    <row r="12058" spans="1:26" x14ac:dyDescent="0.2">
      <c r="A12058" s="8">
        <v>12057</v>
      </c>
      <c r="B12058" s="8" t="s">
        <v>50656</v>
      </c>
      <c r="C12058" s="8" t="s">
        <v>50656</v>
      </c>
      <c r="G12058" s="8">
        <v>20</v>
      </c>
      <c r="H12058" s="8" t="s">
        <v>21</v>
      </c>
      <c r="I12058" s="8" t="s">
        <v>22</v>
      </c>
      <c r="J12058" s="8" t="s">
        <v>22</v>
      </c>
      <c r="K12058" s="8" t="s">
        <v>396</v>
      </c>
      <c r="L12058" s="8" t="s">
        <v>17287</v>
      </c>
      <c r="M12058" s="8" t="s">
        <v>17288</v>
      </c>
      <c r="N12058" s="8" t="s">
        <v>50657</v>
      </c>
      <c r="O12058" s="8">
        <f>13+17/60+13.2/3600</f>
        <v>13.286999999999999</v>
      </c>
      <c r="P12058" s="8" t="s">
        <v>50658</v>
      </c>
      <c r="Q12058" s="8">
        <f>-(13+9/60+20/3600)</f>
        <v>-13.155555555555557</v>
      </c>
      <c r="R12058" s="8">
        <v>14.6</v>
      </c>
      <c r="S12058" s="8">
        <v>15.4</v>
      </c>
      <c r="T12058" s="8">
        <v>0.8</v>
      </c>
      <c r="U12058" s="8">
        <v>13.1</v>
      </c>
      <c r="V12058" s="8">
        <v>0.7</v>
      </c>
      <c r="W12058" s="8">
        <v>0.4</v>
      </c>
      <c r="X12058" s="8">
        <v>18</v>
      </c>
      <c r="Y12058" s="8" t="s">
        <v>1829</v>
      </c>
      <c r="Z12058" s="8" t="s">
        <v>1830</v>
      </c>
    </row>
    <row r="12059" spans="1:26" x14ac:dyDescent="0.2">
      <c r="A12059" s="8">
        <v>12058</v>
      </c>
      <c r="B12059" s="8" t="s">
        <v>50659</v>
      </c>
      <c r="C12059" s="8" t="s">
        <v>50659</v>
      </c>
      <c r="G12059" s="8">
        <v>20</v>
      </c>
      <c r="H12059" s="8" t="s">
        <v>21</v>
      </c>
      <c r="I12059" s="8" t="s">
        <v>22</v>
      </c>
      <c r="J12059" s="8" t="s">
        <v>22</v>
      </c>
      <c r="K12059" s="8" t="s">
        <v>476</v>
      </c>
      <c r="L12059" s="8" t="s">
        <v>17287</v>
      </c>
      <c r="M12059" s="8" t="s">
        <v>17288</v>
      </c>
      <c r="N12059" s="8" t="s">
        <v>50660</v>
      </c>
      <c r="O12059" s="8">
        <f>13+17/60+3.4/3600</f>
        <v>13.284277777777778</v>
      </c>
      <c r="P12059" s="8" t="s">
        <v>50661</v>
      </c>
      <c r="Q12059" s="8">
        <f>-(2+15/60+43/3600)</f>
        <v>-2.2619444444444445</v>
      </c>
      <c r="R12059" s="8">
        <v>13.7</v>
      </c>
      <c r="S12059" s="8">
        <v>14.6</v>
      </c>
      <c r="T12059" s="8">
        <v>0.9</v>
      </c>
      <c r="U12059" s="8">
        <v>12.5</v>
      </c>
      <c r="V12059" s="8">
        <v>1.3</v>
      </c>
      <c r="W12059" s="8">
        <v>0.3</v>
      </c>
      <c r="X12059" s="8">
        <v>158</v>
      </c>
      <c r="Y12059" s="8" t="s">
        <v>50662</v>
      </c>
      <c r="Z12059" s="8" t="s">
        <v>50663</v>
      </c>
    </row>
    <row r="12060" spans="1:26" x14ac:dyDescent="0.2">
      <c r="A12060" s="8">
        <v>12059</v>
      </c>
      <c r="B12060" s="8" t="s">
        <v>50664</v>
      </c>
      <c r="C12060" s="8" t="s">
        <v>50664</v>
      </c>
      <c r="G12060" s="8">
        <v>20</v>
      </c>
      <c r="H12060" s="8" t="s">
        <v>21</v>
      </c>
      <c r="I12060" s="8" t="s">
        <v>22</v>
      </c>
      <c r="J12060" s="8" t="s">
        <v>22</v>
      </c>
      <c r="K12060" s="8" t="s">
        <v>218</v>
      </c>
      <c r="L12060" s="8" t="s">
        <v>16195</v>
      </c>
      <c r="M12060" s="8" t="s">
        <v>16196</v>
      </c>
      <c r="N12060" s="8" t="s">
        <v>50665</v>
      </c>
      <c r="O12060" s="8">
        <f>13+18/60+29.8/3600</f>
        <v>13.308277777777779</v>
      </c>
      <c r="P12060" s="8" t="s">
        <v>50666</v>
      </c>
      <c r="Q12060" s="8">
        <f>-(31+37/60+52/3600)</f>
        <v>-31.63111111111111</v>
      </c>
      <c r="R12060" s="8">
        <v>13</v>
      </c>
      <c r="S12060" s="8">
        <v>13.6</v>
      </c>
      <c r="T12060" s="8">
        <v>0.6</v>
      </c>
      <c r="U12060" s="8">
        <v>12.9</v>
      </c>
      <c r="V12060" s="8">
        <v>1.1000000000000001</v>
      </c>
      <c r="W12060" s="8">
        <v>1</v>
      </c>
      <c r="Y12060" s="8" t="s">
        <v>50667</v>
      </c>
      <c r="Z12060" s="8" t="s">
        <v>50668</v>
      </c>
    </row>
    <row r="12061" spans="1:26" x14ac:dyDescent="0.2">
      <c r="A12061" s="8">
        <v>12060</v>
      </c>
      <c r="B12061" s="8" t="s">
        <v>50669</v>
      </c>
      <c r="C12061" s="8" t="s">
        <v>50669</v>
      </c>
      <c r="G12061" s="8">
        <v>20</v>
      </c>
      <c r="H12061" s="8" t="s">
        <v>21</v>
      </c>
      <c r="I12061" s="8" t="s">
        <v>22</v>
      </c>
      <c r="J12061" s="8" t="s">
        <v>22</v>
      </c>
      <c r="K12061" s="8" t="s">
        <v>476</v>
      </c>
      <c r="L12061" s="8" t="s">
        <v>17287</v>
      </c>
      <c r="M12061" s="8" t="s">
        <v>17288</v>
      </c>
      <c r="N12061" s="8" t="s">
        <v>50670</v>
      </c>
      <c r="O12061" s="8">
        <f>13+17/60+54.4/3600</f>
        <v>13.298444444444444</v>
      </c>
      <c r="P12061" s="8" t="s">
        <v>50671</v>
      </c>
      <c r="Q12061" s="8">
        <f>-(13+36/60+20/3600)</f>
        <v>-13.605555555555556</v>
      </c>
      <c r="R12061" s="8">
        <v>13.9</v>
      </c>
      <c r="S12061" s="8">
        <v>14.8</v>
      </c>
      <c r="T12061" s="8">
        <v>0.9</v>
      </c>
      <c r="U12061" s="8">
        <v>13</v>
      </c>
      <c r="V12061" s="8">
        <v>0.8</v>
      </c>
      <c r="W12061" s="8">
        <v>0.6</v>
      </c>
      <c r="X12061" s="8">
        <v>111</v>
      </c>
      <c r="Y12061" s="8" t="s">
        <v>50672</v>
      </c>
      <c r="Z12061" s="8" t="s">
        <v>50673</v>
      </c>
    </row>
    <row r="12062" spans="1:26" x14ac:dyDescent="0.2">
      <c r="A12062" s="8">
        <v>12061</v>
      </c>
      <c r="B12062" s="8" t="s">
        <v>50674</v>
      </c>
      <c r="C12062" s="8" t="s">
        <v>50674</v>
      </c>
      <c r="G12062" s="8">
        <v>20</v>
      </c>
      <c r="H12062" s="8" t="s">
        <v>21</v>
      </c>
      <c r="I12062" s="8" t="s">
        <v>22</v>
      </c>
      <c r="J12062" s="8" t="s">
        <v>22</v>
      </c>
      <c r="K12062" s="8" t="s">
        <v>64</v>
      </c>
      <c r="L12062" s="8" t="s">
        <v>17287</v>
      </c>
      <c r="M12062" s="8" t="s">
        <v>17288</v>
      </c>
      <c r="N12062" s="8" t="s">
        <v>50675</v>
      </c>
      <c r="O12062" s="8">
        <f>13+18/60+30.4/3600</f>
        <v>13.308444444444445</v>
      </c>
      <c r="P12062" s="8" t="s">
        <v>50676</v>
      </c>
      <c r="Q12062" s="8">
        <f>-(14+36/60+34/3600)</f>
        <v>-14.609444444444444</v>
      </c>
      <c r="R12062" s="8">
        <v>12.9</v>
      </c>
      <c r="S12062" s="8">
        <v>13.6</v>
      </c>
      <c r="T12062" s="8">
        <v>0.7</v>
      </c>
      <c r="U12062" s="8">
        <v>12.8</v>
      </c>
      <c r="V12062" s="8">
        <v>1.3</v>
      </c>
      <c r="W12062" s="8">
        <v>0.8</v>
      </c>
      <c r="X12062" s="8">
        <v>165</v>
      </c>
      <c r="Y12062" s="8" t="s">
        <v>50677</v>
      </c>
      <c r="Z12062" s="8" t="s">
        <v>50678</v>
      </c>
    </row>
    <row r="12063" spans="1:26" x14ac:dyDescent="0.2">
      <c r="A12063" s="8">
        <v>12062</v>
      </c>
      <c r="B12063" s="8" t="s">
        <v>50679</v>
      </c>
      <c r="C12063" s="8" t="s">
        <v>50679</v>
      </c>
      <c r="G12063" s="8">
        <v>20</v>
      </c>
      <c r="H12063" s="8" t="s">
        <v>21</v>
      </c>
      <c r="I12063" s="8" t="s">
        <v>22</v>
      </c>
      <c r="J12063" s="8" t="s">
        <v>57</v>
      </c>
      <c r="K12063" s="8" t="s">
        <v>406</v>
      </c>
      <c r="L12063" s="8" t="s">
        <v>11765</v>
      </c>
      <c r="M12063" s="8" t="s">
        <v>11766</v>
      </c>
      <c r="N12063" s="8" t="s">
        <v>38140</v>
      </c>
      <c r="O12063" s="8">
        <f>13+19/60+40.3/3600</f>
        <v>13.32786111111111</v>
      </c>
      <c r="P12063" s="8" t="s">
        <v>38141</v>
      </c>
      <c r="Q12063" s="8">
        <f>-(27+25/60+45/3600)</f>
        <v>-27.429166666666667</v>
      </c>
      <c r="R12063" s="8">
        <v>13.2</v>
      </c>
      <c r="S12063" s="8">
        <v>14</v>
      </c>
      <c r="T12063" s="8">
        <v>0.8</v>
      </c>
      <c r="U12063" s="8">
        <v>13.6</v>
      </c>
      <c r="V12063" s="8">
        <v>1.4</v>
      </c>
      <c r="W12063" s="8">
        <v>1.2</v>
      </c>
      <c r="X12063" s="8">
        <v>64</v>
      </c>
      <c r="Y12063" s="8" t="s">
        <v>27966</v>
      </c>
      <c r="Z12063" s="8" t="s">
        <v>26987</v>
      </c>
    </row>
    <row r="12064" spans="1:26" x14ac:dyDescent="0.2">
      <c r="A12064" s="8">
        <v>12063</v>
      </c>
      <c r="B12064" s="8" t="s">
        <v>50680</v>
      </c>
      <c r="C12064" s="8" t="s">
        <v>50680</v>
      </c>
      <c r="G12064" s="8">
        <v>20</v>
      </c>
      <c r="H12064" s="8" t="s">
        <v>21</v>
      </c>
      <c r="I12064" s="8" t="s">
        <v>22</v>
      </c>
      <c r="J12064" s="8" t="s">
        <v>22</v>
      </c>
      <c r="K12064" s="8" t="s">
        <v>449</v>
      </c>
      <c r="L12064" s="8" t="s">
        <v>17287</v>
      </c>
      <c r="M12064" s="8" t="s">
        <v>17288</v>
      </c>
      <c r="N12064" s="8" t="s">
        <v>50681</v>
      </c>
      <c r="O12064" s="8">
        <f>13+18/60+55.2/3600</f>
        <v>13.315333333333333</v>
      </c>
      <c r="P12064" s="8" t="s">
        <v>50682</v>
      </c>
      <c r="Q12064" s="8">
        <f>+(7+47/60+43/3600)</f>
        <v>7.7952777777777778</v>
      </c>
      <c r="R12064" s="8">
        <v>14.3</v>
      </c>
      <c r="S12064" s="8">
        <v>15.1</v>
      </c>
      <c r="T12064" s="8">
        <v>0.8</v>
      </c>
      <c r="U12064" s="8">
        <v>12.3</v>
      </c>
      <c r="V12064" s="8">
        <v>0.6</v>
      </c>
      <c r="W12064" s="8">
        <v>0.3</v>
      </c>
      <c r="X12064" s="8">
        <v>160</v>
      </c>
      <c r="Y12064" s="8" t="s">
        <v>43239</v>
      </c>
      <c r="Z12064" s="8" t="s">
        <v>43240</v>
      </c>
    </row>
    <row r="12065" spans="1:26" x14ac:dyDescent="0.2">
      <c r="A12065" s="8">
        <v>12064</v>
      </c>
      <c r="B12065" s="8" t="s">
        <v>50683</v>
      </c>
      <c r="C12065" s="8" t="s">
        <v>50683</v>
      </c>
      <c r="G12065" s="8">
        <v>20</v>
      </c>
      <c r="H12065" s="8" t="s">
        <v>21</v>
      </c>
      <c r="I12065" s="8" t="s">
        <v>22</v>
      </c>
      <c r="J12065" s="8" t="s">
        <v>22</v>
      </c>
      <c r="K12065" s="8" t="s">
        <v>579</v>
      </c>
      <c r="L12065" s="8" t="s">
        <v>17287</v>
      </c>
      <c r="M12065" s="8" t="s">
        <v>17288</v>
      </c>
      <c r="N12065" s="8" t="s">
        <v>50684</v>
      </c>
      <c r="O12065" s="8">
        <f>13+19/60+4.7/3600</f>
        <v>13.317972222222222</v>
      </c>
      <c r="P12065" s="8" t="s">
        <v>50685</v>
      </c>
      <c r="Q12065" s="8">
        <f>-(2+30/60+57/3600)</f>
        <v>-2.5158333333333331</v>
      </c>
      <c r="R12065" s="8">
        <v>14.6</v>
      </c>
      <c r="S12065" s="8">
        <v>15.3</v>
      </c>
      <c r="T12065" s="8">
        <v>0.7</v>
      </c>
      <c r="U12065" s="8">
        <v>13.8</v>
      </c>
      <c r="V12065" s="8">
        <v>0.9</v>
      </c>
      <c r="W12065" s="8">
        <v>0.6</v>
      </c>
      <c r="X12065" s="8">
        <v>105</v>
      </c>
      <c r="Y12065" s="8" t="s">
        <v>50686</v>
      </c>
      <c r="Z12065" s="8" t="s">
        <v>50687</v>
      </c>
    </row>
    <row r="12066" spans="1:26" x14ac:dyDescent="0.2">
      <c r="A12066" s="8">
        <v>12065</v>
      </c>
      <c r="B12066" s="8" t="s">
        <v>50688</v>
      </c>
      <c r="C12066" s="8" t="s">
        <v>50688</v>
      </c>
      <c r="G12066" s="8">
        <v>20</v>
      </c>
      <c r="H12066" s="8" t="s">
        <v>21</v>
      </c>
      <c r="I12066" s="8" t="s">
        <v>22</v>
      </c>
      <c r="J12066" s="8" t="s">
        <v>22</v>
      </c>
      <c r="K12066" s="8" t="s">
        <v>632</v>
      </c>
      <c r="L12066" s="8" t="s">
        <v>18681</v>
      </c>
      <c r="M12066" s="8" t="s">
        <v>18682</v>
      </c>
      <c r="N12066" s="8" t="s">
        <v>50689</v>
      </c>
      <c r="O12066" s="8">
        <f>13+20/60+0.9/3600</f>
        <v>13.333583333333333</v>
      </c>
      <c r="P12066" s="8" t="s">
        <v>50690</v>
      </c>
      <c r="Q12066" s="8">
        <f>+(31+58/60+55/3600)</f>
        <v>31.981944444444444</v>
      </c>
      <c r="R12066" s="8">
        <v>14.3</v>
      </c>
      <c r="S12066" s="8">
        <v>15.2</v>
      </c>
      <c r="T12066" s="8">
        <v>0.9</v>
      </c>
      <c r="U12066" s="8">
        <v>12.9</v>
      </c>
      <c r="V12066" s="8">
        <v>1</v>
      </c>
      <c r="W12066" s="8">
        <v>0.3</v>
      </c>
      <c r="X12066" s="8">
        <v>133</v>
      </c>
      <c r="Y12066" s="8" t="s">
        <v>50691</v>
      </c>
      <c r="Z12066" s="8" t="s">
        <v>50692</v>
      </c>
    </row>
    <row r="12067" spans="1:26" x14ac:dyDescent="0.2">
      <c r="A12067" s="8">
        <v>12066</v>
      </c>
      <c r="B12067" s="8" t="s">
        <v>50693</v>
      </c>
      <c r="C12067" s="8" t="s">
        <v>50693</v>
      </c>
      <c r="G12067" s="8">
        <v>20</v>
      </c>
      <c r="H12067" s="8" t="s">
        <v>21</v>
      </c>
      <c r="I12067" s="8" t="s">
        <v>22</v>
      </c>
      <c r="J12067" s="8" t="s">
        <v>22</v>
      </c>
      <c r="K12067" s="8" t="s">
        <v>37</v>
      </c>
      <c r="L12067" s="8" t="s">
        <v>18681</v>
      </c>
      <c r="M12067" s="8" t="s">
        <v>18682</v>
      </c>
      <c r="N12067" s="8" t="s">
        <v>50694</v>
      </c>
      <c r="O12067" s="8">
        <f>13+20/60+30.3/3600</f>
        <v>13.341750000000001</v>
      </c>
      <c r="P12067" s="8" t="s">
        <v>50695</v>
      </c>
      <c r="Q12067" s="8">
        <f>+(32+0/60+16/3600)</f>
        <v>32.004444444444445</v>
      </c>
      <c r="R12067" s="8">
        <v>14</v>
      </c>
      <c r="S12067" s="8">
        <v>15</v>
      </c>
      <c r="T12067" s="8">
        <v>1</v>
      </c>
      <c r="U12067" s="8">
        <v>11.6</v>
      </c>
      <c r="V12067" s="8">
        <v>0.4</v>
      </c>
      <c r="W12067" s="8">
        <v>0.3</v>
      </c>
      <c r="X12067" s="8">
        <v>135</v>
      </c>
      <c r="Y12067" s="8" t="s">
        <v>27107</v>
      </c>
      <c r="Z12067" s="8" t="s">
        <v>41138</v>
      </c>
    </row>
    <row r="12068" spans="1:26" x14ac:dyDescent="0.2">
      <c r="A12068" s="8">
        <v>12067</v>
      </c>
      <c r="B12068" s="8" t="s">
        <v>50696</v>
      </c>
      <c r="C12068" s="8" t="s">
        <v>50696</v>
      </c>
      <c r="G12068" s="8">
        <v>20</v>
      </c>
      <c r="H12068" s="8" t="s">
        <v>21</v>
      </c>
      <c r="I12068" s="8" t="s">
        <v>22</v>
      </c>
      <c r="J12068" s="8" t="s">
        <v>22</v>
      </c>
      <c r="K12068" s="8" t="s">
        <v>449</v>
      </c>
      <c r="L12068" s="8" t="s">
        <v>18681</v>
      </c>
      <c r="M12068" s="8" t="s">
        <v>18682</v>
      </c>
      <c r="N12068" s="8" t="s">
        <v>50697</v>
      </c>
      <c r="O12068" s="8">
        <f>13+20/60+53.4/3600</f>
        <v>13.348166666666668</v>
      </c>
      <c r="P12068" s="8" t="s">
        <v>50698</v>
      </c>
      <c r="Q12068" s="8">
        <f>+(32+11/60+28/3600)</f>
        <v>32.191111111111105</v>
      </c>
      <c r="R12068" s="8">
        <v>14.8</v>
      </c>
      <c r="S12068" s="8">
        <v>15.6</v>
      </c>
      <c r="T12068" s="8">
        <v>0.8</v>
      </c>
      <c r="U12068" s="8">
        <v>11.9</v>
      </c>
      <c r="V12068" s="8">
        <v>0.4</v>
      </c>
      <c r="W12068" s="8">
        <v>0.2</v>
      </c>
      <c r="X12068" s="8">
        <v>85</v>
      </c>
      <c r="Y12068" s="8" t="s">
        <v>39828</v>
      </c>
      <c r="Z12068" s="8" t="s">
        <v>39846</v>
      </c>
    </row>
    <row r="12069" spans="1:26" x14ac:dyDescent="0.2">
      <c r="A12069" s="8">
        <v>12068</v>
      </c>
      <c r="B12069" s="8" t="s">
        <v>50699</v>
      </c>
      <c r="C12069" s="8" t="s">
        <v>50699</v>
      </c>
      <c r="G12069" s="8">
        <v>20</v>
      </c>
      <c r="H12069" s="8" t="s">
        <v>21</v>
      </c>
      <c r="I12069" s="8" t="s">
        <v>22</v>
      </c>
      <c r="J12069" s="8" t="s">
        <v>22</v>
      </c>
      <c r="K12069" s="8" t="s">
        <v>160</v>
      </c>
      <c r="L12069" s="8" t="s">
        <v>18289</v>
      </c>
      <c r="M12069" s="8" t="s">
        <v>18290</v>
      </c>
      <c r="N12069" s="8" t="s">
        <v>50700</v>
      </c>
      <c r="O12069" s="8">
        <f>13+21/60+34.2/3600</f>
        <v>13.359499999999999</v>
      </c>
      <c r="P12069" s="8" t="s">
        <v>50701</v>
      </c>
      <c r="Q12069" s="8">
        <f>+(25+30/60+56/3600)</f>
        <v>25.515555555555554</v>
      </c>
      <c r="R12069" s="8">
        <v>14.7</v>
      </c>
      <c r="S12069" s="8">
        <v>15.4</v>
      </c>
      <c r="T12069" s="8">
        <v>0.7</v>
      </c>
      <c r="U12069" s="8">
        <v>13.2</v>
      </c>
      <c r="V12069" s="8">
        <v>0.7</v>
      </c>
      <c r="W12069" s="8">
        <v>0.4</v>
      </c>
      <c r="X12069" s="8">
        <v>70</v>
      </c>
      <c r="Y12069" s="8" t="s">
        <v>19961</v>
      </c>
      <c r="Z12069" s="8" t="s">
        <v>19962</v>
      </c>
    </row>
    <row r="12070" spans="1:26" x14ac:dyDescent="0.2">
      <c r="A12070" s="8">
        <v>12069</v>
      </c>
      <c r="B12070" s="8" t="s">
        <v>50702</v>
      </c>
      <c r="C12070" s="8" t="s">
        <v>50702</v>
      </c>
      <c r="G12070" s="8">
        <v>20</v>
      </c>
      <c r="H12070" s="8" t="s">
        <v>21</v>
      </c>
      <c r="I12070" s="8" t="s">
        <v>22</v>
      </c>
      <c r="J12070" s="8" t="s">
        <v>22</v>
      </c>
      <c r="K12070" s="8" t="s">
        <v>218</v>
      </c>
      <c r="L12070" s="8" t="s">
        <v>17287</v>
      </c>
      <c r="M12070" s="8" t="s">
        <v>17288</v>
      </c>
      <c r="N12070" s="8" t="s">
        <v>50703</v>
      </c>
      <c r="O12070" s="8">
        <f>13+22/60+26.2/3600</f>
        <v>13.373944444444446</v>
      </c>
      <c r="P12070" s="8" t="s">
        <v>50704</v>
      </c>
      <c r="Q12070" s="8">
        <f>-(2+25/60+5/3600)</f>
        <v>-2.4180555555555556</v>
      </c>
      <c r="R12070" s="8">
        <v>13.4</v>
      </c>
      <c r="S12070" s="8">
        <v>14.2</v>
      </c>
      <c r="T12070" s="8">
        <v>0.8</v>
      </c>
      <c r="U12070" s="8">
        <v>13</v>
      </c>
      <c r="V12070" s="8">
        <v>1</v>
      </c>
      <c r="W12070" s="8">
        <v>0.8</v>
      </c>
      <c r="X12070" s="8">
        <v>115</v>
      </c>
      <c r="Y12070" s="8" t="s">
        <v>50705</v>
      </c>
      <c r="Z12070" s="8" t="s">
        <v>50706</v>
      </c>
    </row>
    <row r="12071" spans="1:26" x14ac:dyDescent="0.2">
      <c r="A12071" s="8">
        <v>12070</v>
      </c>
      <c r="B12071" s="8" t="s">
        <v>50707</v>
      </c>
      <c r="C12071" s="8" t="s">
        <v>50707</v>
      </c>
      <c r="G12071" s="8">
        <v>20</v>
      </c>
      <c r="H12071" s="8" t="s">
        <v>21</v>
      </c>
      <c r="I12071" s="8" t="s">
        <v>22</v>
      </c>
      <c r="J12071" s="8" t="s">
        <v>22</v>
      </c>
      <c r="K12071" s="8" t="s">
        <v>91</v>
      </c>
      <c r="L12071" s="8" t="s">
        <v>18289</v>
      </c>
      <c r="M12071" s="8" t="s">
        <v>18290</v>
      </c>
      <c r="N12071" s="8" t="s">
        <v>50708</v>
      </c>
      <c r="O12071" s="8">
        <f>13+21/60+59.3/3600</f>
        <v>13.366472222222221</v>
      </c>
      <c r="P12071" s="8" t="s">
        <v>50709</v>
      </c>
      <c r="Q12071" s="8">
        <f>+(26+44/60+2/3600)</f>
        <v>26.733888888888888</v>
      </c>
      <c r="R12071" s="8">
        <v>14.4</v>
      </c>
      <c r="S12071" s="8">
        <v>15.3</v>
      </c>
      <c r="T12071" s="8">
        <v>0.9</v>
      </c>
      <c r="U12071" s="8">
        <v>12.5</v>
      </c>
      <c r="V12071" s="8">
        <v>1</v>
      </c>
      <c r="W12071" s="8">
        <v>0.2</v>
      </c>
      <c r="X12071" s="8">
        <v>1</v>
      </c>
      <c r="Y12071" s="8" t="s">
        <v>43668</v>
      </c>
      <c r="Z12071" s="8" t="s">
        <v>43669</v>
      </c>
    </row>
    <row r="12072" spans="1:26" x14ac:dyDescent="0.2">
      <c r="A12072" s="8">
        <v>12071</v>
      </c>
      <c r="B12072" s="8" t="s">
        <v>50710</v>
      </c>
      <c r="C12072" s="8" t="s">
        <v>50710</v>
      </c>
      <c r="G12072" s="8">
        <v>20</v>
      </c>
      <c r="H12072" s="8" t="s">
        <v>21</v>
      </c>
      <c r="I12072" s="8" t="s">
        <v>22</v>
      </c>
      <c r="J12072" s="8" t="s">
        <v>22</v>
      </c>
      <c r="K12072" s="8" t="s">
        <v>396</v>
      </c>
      <c r="L12072" s="8" t="s">
        <v>11765</v>
      </c>
      <c r="M12072" s="8" t="s">
        <v>11766</v>
      </c>
      <c r="N12072" s="8" t="s">
        <v>50711</v>
      </c>
      <c r="O12072" s="8">
        <f>13+23/60+13.2/3600</f>
        <v>13.386999999999999</v>
      </c>
      <c r="P12072" s="8" t="s">
        <v>50712</v>
      </c>
      <c r="Q12072" s="8">
        <f>-(26+18/60+1/3600)</f>
        <v>-26.300277777777779</v>
      </c>
      <c r="R12072" s="8">
        <v>13.3</v>
      </c>
      <c r="S12072" s="8">
        <v>14.1</v>
      </c>
      <c r="T12072" s="8">
        <v>0.8</v>
      </c>
      <c r="U12072" s="8">
        <v>13.1</v>
      </c>
      <c r="V12072" s="8">
        <v>1.7</v>
      </c>
      <c r="W12072" s="8">
        <v>0.4</v>
      </c>
      <c r="X12072" s="8">
        <v>32</v>
      </c>
      <c r="Y12072" s="8" t="s">
        <v>50713</v>
      </c>
      <c r="Z12072" s="8" t="s">
        <v>50714</v>
      </c>
    </row>
    <row r="12073" spans="1:26" x14ac:dyDescent="0.2">
      <c r="A12073" s="8">
        <v>12072</v>
      </c>
      <c r="B12073" s="8" t="s">
        <v>50715</v>
      </c>
      <c r="C12073" s="8" t="s">
        <v>50715</v>
      </c>
      <c r="G12073" s="8">
        <v>20</v>
      </c>
      <c r="H12073" s="8" t="s">
        <v>21</v>
      </c>
      <c r="I12073" s="8" t="s">
        <v>22</v>
      </c>
      <c r="J12073" s="8" t="s">
        <v>22</v>
      </c>
      <c r="K12073" s="8" t="s">
        <v>396</v>
      </c>
      <c r="L12073" s="8" t="s">
        <v>11765</v>
      </c>
      <c r="M12073" s="8" t="s">
        <v>11766</v>
      </c>
      <c r="N12073" s="8" t="s">
        <v>50716</v>
      </c>
      <c r="O12073" s="8">
        <f>13+23/60+22.2/3600</f>
        <v>13.3895</v>
      </c>
      <c r="P12073" s="8" t="s">
        <v>50717</v>
      </c>
      <c r="Q12073" s="8">
        <f>-(26+6/60+33/3600)</f>
        <v>-26.109166666666667</v>
      </c>
      <c r="R12073" s="8">
        <v>13.6</v>
      </c>
      <c r="S12073" s="8">
        <v>14.4</v>
      </c>
      <c r="T12073" s="8">
        <v>0.8</v>
      </c>
      <c r="U12073" s="8">
        <v>12.7</v>
      </c>
      <c r="V12073" s="8">
        <v>1.1000000000000001</v>
      </c>
      <c r="W12073" s="8">
        <v>0.4</v>
      </c>
      <c r="X12073" s="8">
        <v>2</v>
      </c>
      <c r="Y12073" s="8" t="s">
        <v>46310</v>
      </c>
      <c r="Z12073" s="8" t="s">
        <v>46311</v>
      </c>
    </row>
    <row r="12074" spans="1:26" x14ac:dyDescent="0.2">
      <c r="A12074" s="8">
        <v>12073</v>
      </c>
      <c r="B12074" s="8" t="s">
        <v>50718</v>
      </c>
      <c r="C12074" s="8" t="s">
        <v>50718</v>
      </c>
      <c r="G12074" s="8">
        <v>20</v>
      </c>
      <c r="H12074" s="8" t="s">
        <v>21</v>
      </c>
      <c r="I12074" s="8" t="s">
        <v>22</v>
      </c>
      <c r="J12074" s="8" t="s">
        <v>57</v>
      </c>
      <c r="K12074" s="8" t="s">
        <v>3850</v>
      </c>
      <c r="L12074" s="8" t="s">
        <v>16195</v>
      </c>
      <c r="M12074" s="8" t="s">
        <v>16196</v>
      </c>
      <c r="N12074" s="8" t="s">
        <v>22975</v>
      </c>
      <c r="O12074" s="8">
        <f>13+24/60+50.2/3600</f>
        <v>13.413944444444445</v>
      </c>
      <c r="P12074" s="8" t="s">
        <v>22976</v>
      </c>
      <c r="Q12074" s="8">
        <f>-(30+18/60+29/3600)</f>
        <v>-30.308055555555555</v>
      </c>
      <c r="R12074" s="8">
        <v>12.1</v>
      </c>
      <c r="S12074" s="8">
        <v>13.1</v>
      </c>
      <c r="T12074" s="8">
        <v>1</v>
      </c>
      <c r="U12074" s="8">
        <v>12.5</v>
      </c>
      <c r="V12074" s="8">
        <v>2.2000000000000002</v>
      </c>
      <c r="W12074" s="8">
        <v>0.7</v>
      </c>
      <c r="X12074" s="8">
        <v>9</v>
      </c>
      <c r="Y12074" s="8" t="s">
        <v>50719</v>
      </c>
      <c r="Z12074" s="8" t="s">
        <v>50720</v>
      </c>
    </row>
    <row r="12075" spans="1:26" x14ac:dyDescent="0.2">
      <c r="A12075" s="8">
        <v>12074</v>
      </c>
      <c r="B12075" s="8" t="s">
        <v>50721</v>
      </c>
      <c r="C12075" s="8" t="s">
        <v>50721</v>
      </c>
      <c r="G12075" s="8">
        <v>20</v>
      </c>
      <c r="H12075" s="8" t="s">
        <v>21</v>
      </c>
      <c r="I12075" s="8" t="s">
        <v>22</v>
      </c>
      <c r="J12075" s="8" t="s">
        <v>22</v>
      </c>
      <c r="K12075" s="8" t="s">
        <v>406</v>
      </c>
      <c r="L12075" s="8" t="s">
        <v>18289</v>
      </c>
      <c r="M12075" s="8" t="s">
        <v>18290</v>
      </c>
      <c r="N12075" s="8" t="s">
        <v>50722</v>
      </c>
      <c r="O12075" s="8">
        <f>13+23/60+0/3600</f>
        <v>13.383333333333333</v>
      </c>
      <c r="P12075" s="8" t="s">
        <v>50723</v>
      </c>
      <c r="Q12075" s="8">
        <f>+(27+7/60+0/3600)</f>
        <v>27.116666666666667</v>
      </c>
      <c r="R12075" s="8">
        <v>14</v>
      </c>
      <c r="S12075" s="8">
        <v>14.8</v>
      </c>
      <c r="T12075" s="8">
        <v>0.8</v>
      </c>
      <c r="U12075" s="8">
        <v>12.8</v>
      </c>
      <c r="V12075" s="8">
        <v>0.7</v>
      </c>
      <c r="W12075" s="8">
        <v>0.5</v>
      </c>
      <c r="X12075" s="8">
        <v>27</v>
      </c>
      <c r="Y12075" s="8" t="s">
        <v>50724</v>
      </c>
      <c r="Z12075" s="8" t="s">
        <v>50725</v>
      </c>
    </row>
    <row r="12076" spans="1:26" x14ac:dyDescent="0.2">
      <c r="A12076" s="8">
        <v>12075</v>
      </c>
      <c r="B12076" s="8" t="s">
        <v>50726</v>
      </c>
      <c r="C12076" s="8" t="s">
        <v>50726</v>
      </c>
      <c r="G12076" s="8">
        <v>20</v>
      </c>
      <c r="H12076" s="8" t="s">
        <v>21</v>
      </c>
      <c r="I12076" s="8" t="s">
        <v>22</v>
      </c>
      <c r="J12076" s="8" t="s">
        <v>22</v>
      </c>
      <c r="K12076" s="8" t="s">
        <v>449</v>
      </c>
      <c r="L12076" s="8" t="s">
        <v>17287</v>
      </c>
      <c r="M12076" s="8" t="s">
        <v>17288</v>
      </c>
      <c r="N12076" s="8" t="s">
        <v>50727</v>
      </c>
      <c r="O12076" s="8">
        <f>13+23/60+52.9/3600</f>
        <v>13.398027777777777</v>
      </c>
      <c r="P12076" s="8" t="s">
        <v>50728</v>
      </c>
      <c r="Q12076" s="8">
        <f>-(12+44/60+34/3600)</f>
        <v>-12.742777777777777</v>
      </c>
      <c r="R12076" s="8">
        <v>15.3</v>
      </c>
      <c r="S12076" s="8">
        <v>16.100000000000001</v>
      </c>
      <c r="T12076" s="8">
        <v>0.8</v>
      </c>
      <c r="U12076" s="8">
        <v>13.2</v>
      </c>
      <c r="V12076" s="8">
        <v>0.8</v>
      </c>
      <c r="W12076" s="8">
        <v>0.2</v>
      </c>
      <c r="X12076" s="8">
        <v>80</v>
      </c>
      <c r="Y12076" s="8" t="s">
        <v>385</v>
      </c>
      <c r="Z12076" s="8" t="s">
        <v>386</v>
      </c>
    </row>
    <row r="12077" spans="1:26" x14ac:dyDescent="0.2">
      <c r="A12077" s="8">
        <v>12076</v>
      </c>
      <c r="B12077" s="8" t="s">
        <v>50729</v>
      </c>
      <c r="C12077" s="8" t="s">
        <v>50729</v>
      </c>
      <c r="G12077" s="8">
        <v>20</v>
      </c>
      <c r="H12077" s="8" t="s">
        <v>21</v>
      </c>
      <c r="I12077" s="8" t="s">
        <v>22</v>
      </c>
      <c r="J12077" s="8" t="s">
        <v>57</v>
      </c>
      <c r="K12077" s="8" t="s">
        <v>64</v>
      </c>
      <c r="L12077" s="8" t="s">
        <v>17287</v>
      </c>
      <c r="M12077" s="8" t="s">
        <v>17288</v>
      </c>
      <c r="N12077" s="8" t="s">
        <v>22951</v>
      </c>
      <c r="O12077" s="8">
        <f>13+23/60+27.4/3600</f>
        <v>13.390944444444443</v>
      </c>
      <c r="P12077" s="8" t="s">
        <v>22952</v>
      </c>
      <c r="Q12077" s="8">
        <f>+(6+23/60+34/3600)</f>
        <v>6.3927777777777779</v>
      </c>
      <c r="R12077" s="8">
        <v>13.7</v>
      </c>
      <c r="S12077" s="8">
        <v>14.4</v>
      </c>
      <c r="T12077" s="8">
        <v>0.7</v>
      </c>
      <c r="U12077" s="8">
        <v>12.9</v>
      </c>
      <c r="V12077" s="8">
        <v>0.8</v>
      </c>
      <c r="W12077" s="8">
        <v>0.7</v>
      </c>
      <c r="X12077" s="8">
        <v>100</v>
      </c>
      <c r="Y12077" s="8" t="s">
        <v>50730</v>
      </c>
      <c r="Z12077" s="8" t="s">
        <v>50731</v>
      </c>
    </row>
    <row r="12078" spans="1:26" x14ac:dyDescent="0.2">
      <c r="A12078" s="8">
        <v>12077</v>
      </c>
      <c r="B12078" s="8" t="s">
        <v>50732</v>
      </c>
      <c r="C12078" s="8" t="s">
        <v>50732</v>
      </c>
      <c r="G12078" s="8">
        <v>20</v>
      </c>
      <c r="H12078" s="8" t="s">
        <v>21</v>
      </c>
      <c r="I12078" s="8" t="s">
        <v>22</v>
      </c>
      <c r="J12078" s="8" t="s">
        <v>22</v>
      </c>
      <c r="K12078" s="8" t="s">
        <v>218</v>
      </c>
      <c r="L12078" s="8" t="s">
        <v>17287</v>
      </c>
      <c r="M12078" s="8" t="s">
        <v>17288</v>
      </c>
      <c r="N12078" s="8" t="s">
        <v>50733</v>
      </c>
      <c r="O12078" s="8">
        <f>13+24/60+32.6/3600</f>
        <v>13.409055555555556</v>
      </c>
      <c r="P12078" s="8" t="s">
        <v>50734</v>
      </c>
      <c r="Q12078" s="8">
        <f>-(21+8/60+13/3600)</f>
        <v>-21.136944444444445</v>
      </c>
      <c r="R12078" s="8">
        <v>12.3</v>
      </c>
      <c r="S12078" s="8">
        <v>13.1</v>
      </c>
      <c r="T12078" s="8">
        <v>0.8</v>
      </c>
      <c r="U12078" s="8">
        <v>13.6</v>
      </c>
      <c r="V12078" s="8">
        <v>2.5</v>
      </c>
      <c r="W12078" s="8">
        <v>1.5</v>
      </c>
      <c r="X12078" s="8">
        <v>140</v>
      </c>
      <c r="Y12078" s="8" t="s">
        <v>50735</v>
      </c>
      <c r="Z12078" s="8" t="s">
        <v>50736</v>
      </c>
    </row>
    <row r="12079" spans="1:26" x14ac:dyDescent="0.2">
      <c r="A12079" s="8">
        <v>12078</v>
      </c>
      <c r="B12079" s="8" t="s">
        <v>50737</v>
      </c>
      <c r="C12079" s="8" t="s">
        <v>50737</v>
      </c>
      <c r="G12079" s="8">
        <v>20</v>
      </c>
      <c r="H12079" s="8" t="s">
        <v>21</v>
      </c>
      <c r="I12079" s="8" t="s">
        <v>22</v>
      </c>
      <c r="J12079" s="8" t="s">
        <v>22</v>
      </c>
      <c r="K12079" s="8" t="s">
        <v>37</v>
      </c>
      <c r="L12079" s="8" t="s">
        <v>18681</v>
      </c>
      <c r="M12079" s="8" t="s">
        <v>18682</v>
      </c>
      <c r="N12079" s="8" t="s">
        <v>50738</v>
      </c>
      <c r="O12079" s="8">
        <f>13+23/60+59.9/3600</f>
        <v>13.399972222222221</v>
      </c>
      <c r="P12079" s="8" t="s">
        <v>50739</v>
      </c>
      <c r="Q12079" s="8">
        <f>+(30+55/60+57/3600)</f>
        <v>30.932500000000001</v>
      </c>
      <c r="R12079" s="8">
        <v>14.8</v>
      </c>
      <c r="S12079" s="8">
        <v>15.8</v>
      </c>
      <c r="T12079" s="8">
        <v>1</v>
      </c>
      <c r="U12079" s="8">
        <v>12.7</v>
      </c>
      <c r="V12079" s="8">
        <v>0.8</v>
      </c>
      <c r="W12079" s="8">
        <v>0.2</v>
      </c>
      <c r="X12079" s="8">
        <v>25</v>
      </c>
      <c r="Y12079" s="8" t="s">
        <v>50740</v>
      </c>
      <c r="Z12079" s="8" t="s">
        <v>50741</v>
      </c>
    </row>
    <row r="12080" spans="1:26" x14ac:dyDescent="0.2">
      <c r="A12080" s="8">
        <v>12079</v>
      </c>
      <c r="B12080" s="8" t="s">
        <v>50742</v>
      </c>
      <c r="C12080" s="8" t="s">
        <v>50742</v>
      </c>
      <c r="G12080" s="8">
        <v>20</v>
      </c>
      <c r="H12080" s="8" t="s">
        <v>21</v>
      </c>
      <c r="I12080" s="8" t="s">
        <v>22</v>
      </c>
      <c r="J12080" s="8" t="s">
        <v>22</v>
      </c>
      <c r="K12080" s="8" t="s">
        <v>435</v>
      </c>
      <c r="L12080" s="8" t="s">
        <v>18681</v>
      </c>
      <c r="M12080" s="8" t="s">
        <v>18682</v>
      </c>
      <c r="N12080" s="8" t="s">
        <v>50743</v>
      </c>
      <c r="O12080" s="8">
        <f>13+24/60+25.4/3600</f>
        <v>13.407055555555555</v>
      </c>
      <c r="P12080" s="8" t="s">
        <v>50744</v>
      </c>
      <c r="Q12080" s="8">
        <f>+(30+57/60+33/3600)</f>
        <v>30.959166666666665</v>
      </c>
      <c r="R12080" s="8">
        <v>14.4</v>
      </c>
      <c r="S12080" s="8">
        <v>15.3</v>
      </c>
      <c r="T12080" s="8">
        <v>0.9</v>
      </c>
      <c r="U12080" s="8">
        <v>13</v>
      </c>
      <c r="V12080" s="8">
        <v>0.8</v>
      </c>
      <c r="W12080" s="8">
        <v>0.4</v>
      </c>
      <c r="X12080" s="8">
        <v>145</v>
      </c>
      <c r="Y12080" s="8" t="s">
        <v>44713</v>
      </c>
      <c r="Z12080" s="8" t="s">
        <v>44714</v>
      </c>
    </row>
    <row r="12081" spans="1:26" x14ac:dyDescent="0.2">
      <c r="A12081" s="8">
        <v>12080</v>
      </c>
      <c r="B12081" s="8" t="s">
        <v>50745</v>
      </c>
      <c r="C12081" s="8" t="s">
        <v>50745</v>
      </c>
      <c r="G12081" s="8">
        <v>20</v>
      </c>
      <c r="H12081" s="8" t="s">
        <v>21</v>
      </c>
      <c r="I12081" s="8" t="s">
        <v>22</v>
      </c>
      <c r="J12081" s="8" t="s">
        <v>22</v>
      </c>
      <c r="K12081" s="8" t="s">
        <v>37</v>
      </c>
      <c r="L12081" s="8" t="s">
        <v>18681</v>
      </c>
      <c r="M12081" s="8" t="s">
        <v>18682</v>
      </c>
      <c r="N12081" s="8" t="s">
        <v>50746</v>
      </c>
      <c r="O12081" s="8">
        <f>13+24/60+27.5/3600</f>
        <v>13.40763888888889</v>
      </c>
      <c r="P12081" s="8" t="s">
        <v>50747</v>
      </c>
      <c r="Q12081" s="8">
        <f>+(30+58/60+40/3600)</f>
        <v>30.977777777777778</v>
      </c>
      <c r="R12081" s="8">
        <v>15.5</v>
      </c>
      <c r="S12081" s="8">
        <v>16.5</v>
      </c>
      <c r="T12081" s="8">
        <v>1</v>
      </c>
      <c r="U12081" s="8">
        <v>12.6</v>
      </c>
      <c r="V12081" s="8">
        <v>0.4</v>
      </c>
      <c r="W12081" s="8">
        <v>0.2</v>
      </c>
      <c r="X12081" s="8">
        <v>35</v>
      </c>
      <c r="Y12081" s="8" t="s">
        <v>36717</v>
      </c>
      <c r="Z12081" s="8" t="s">
        <v>36718</v>
      </c>
    </row>
    <row r="12082" spans="1:26" x14ac:dyDescent="0.2">
      <c r="A12082" s="8">
        <v>12081</v>
      </c>
      <c r="B12082" s="8" t="s">
        <v>50748</v>
      </c>
      <c r="C12082" s="8" t="s">
        <v>50748</v>
      </c>
      <c r="G12082" s="8">
        <v>20</v>
      </c>
      <c r="H12082" s="8" t="s">
        <v>21</v>
      </c>
      <c r="I12082" s="8" t="s">
        <v>22</v>
      </c>
      <c r="J12082" s="8" t="s">
        <v>22</v>
      </c>
      <c r="K12082" s="8" t="s">
        <v>460</v>
      </c>
      <c r="L12082" s="8" t="s">
        <v>18289</v>
      </c>
      <c r="M12082" s="8" t="s">
        <v>18290</v>
      </c>
      <c r="N12082" s="8" t="s">
        <v>50749</v>
      </c>
      <c r="O12082" s="8">
        <f>13+24/60+46.5/3600</f>
        <v>13.412916666666668</v>
      </c>
      <c r="P12082" s="8" t="s">
        <v>48078</v>
      </c>
      <c r="Q12082" s="8">
        <f>+(26+44/60+19/3600)</f>
        <v>26.738611111111112</v>
      </c>
      <c r="R12082" s="8">
        <v>14.5</v>
      </c>
      <c r="S12082" s="8">
        <v>15.5</v>
      </c>
      <c r="T12082" s="8">
        <v>1</v>
      </c>
      <c r="U12082" s="8">
        <v>13.1</v>
      </c>
      <c r="V12082" s="8">
        <v>0.5</v>
      </c>
      <c r="W12082" s="8">
        <v>0.5</v>
      </c>
      <c r="Y12082" s="8" t="s">
        <v>50750</v>
      </c>
      <c r="Z12082" s="8" t="s">
        <v>50751</v>
      </c>
    </row>
    <row r="12083" spans="1:26" x14ac:dyDescent="0.2">
      <c r="A12083" s="8">
        <v>12082</v>
      </c>
      <c r="B12083" s="8" t="s">
        <v>50752</v>
      </c>
      <c r="C12083" s="8" t="s">
        <v>50752</v>
      </c>
      <c r="G12083" s="8">
        <v>20</v>
      </c>
      <c r="H12083" s="8" t="s">
        <v>21</v>
      </c>
      <c r="I12083" s="8" t="s">
        <v>22</v>
      </c>
      <c r="J12083" s="8" t="s">
        <v>22</v>
      </c>
      <c r="K12083" s="8" t="s">
        <v>37</v>
      </c>
      <c r="L12083" s="8" t="s">
        <v>18681</v>
      </c>
      <c r="M12083" s="8" t="s">
        <v>18682</v>
      </c>
      <c r="N12083" s="8" t="s">
        <v>50753</v>
      </c>
      <c r="O12083" s="8">
        <f>13+24/60+41.1/3600</f>
        <v>13.411416666666668</v>
      </c>
      <c r="P12083" s="8" t="s">
        <v>50754</v>
      </c>
      <c r="Q12083" s="8">
        <f>+(31+1/60+34/3600)</f>
        <v>31.02611111111111</v>
      </c>
      <c r="R12083" s="8">
        <v>15</v>
      </c>
      <c r="S12083" s="8">
        <v>16</v>
      </c>
      <c r="T12083" s="8">
        <v>1</v>
      </c>
      <c r="U12083" s="8">
        <v>12.8</v>
      </c>
      <c r="V12083" s="8">
        <v>0.5</v>
      </c>
      <c r="W12083" s="8">
        <v>0.3</v>
      </c>
      <c r="X12083" s="8">
        <v>125</v>
      </c>
      <c r="Y12083" s="8" t="s">
        <v>43668</v>
      </c>
      <c r="Z12083" s="8" t="s">
        <v>43669</v>
      </c>
    </row>
    <row r="12084" spans="1:26" x14ac:dyDescent="0.2">
      <c r="A12084" s="8">
        <v>12083</v>
      </c>
      <c r="B12084" s="8" t="s">
        <v>50755</v>
      </c>
      <c r="C12084" s="8" t="s">
        <v>50755</v>
      </c>
      <c r="G12084" s="8">
        <v>20</v>
      </c>
      <c r="H12084" s="8" t="s">
        <v>21</v>
      </c>
      <c r="I12084" s="8" t="s">
        <v>22</v>
      </c>
      <c r="J12084" s="8" t="s">
        <v>22</v>
      </c>
      <c r="K12084" s="8" t="s">
        <v>58</v>
      </c>
      <c r="L12084" s="8" t="s">
        <v>11765</v>
      </c>
      <c r="M12084" s="8" t="s">
        <v>11766</v>
      </c>
      <c r="N12084" s="8" t="s">
        <v>50756</v>
      </c>
      <c r="O12084" s="8">
        <f>13+25/60+51.2/3600</f>
        <v>13.430888888888889</v>
      </c>
      <c r="P12084" s="8" t="s">
        <v>50757</v>
      </c>
      <c r="Q12084" s="8">
        <f>-(27+37/60+36/3600)</f>
        <v>-27.626666666666669</v>
      </c>
      <c r="R12084" s="8">
        <v>14.2</v>
      </c>
      <c r="S12084" s="8">
        <v>15.2</v>
      </c>
      <c r="T12084" s="8">
        <v>1</v>
      </c>
      <c r="U12084" s="8">
        <v>13.3</v>
      </c>
      <c r="V12084" s="8">
        <v>0.7</v>
      </c>
      <c r="W12084" s="8">
        <v>0.6</v>
      </c>
      <c r="Y12084" s="8" t="s">
        <v>46310</v>
      </c>
      <c r="Z12084" s="8" t="s">
        <v>46311</v>
      </c>
    </row>
    <row r="12085" spans="1:26" x14ac:dyDescent="0.2">
      <c r="A12085" s="8">
        <v>12084</v>
      </c>
      <c r="B12085" s="8" t="s">
        <v>50758</v>
      </c>
      <c r="C12085" s="8" t="s">
        <v>50758</v>
      </c>
      <c r="G12085" s="8">
        <v>20</v>
      </c>
      <c r="H12085" s="8" t="s">
        <v>21</v>
      </c>
      <c r="I12085" s="8" t="s">
        <v>22</v>
      </c>
      <c r="J12085" s="8" t="s">
        <v>22</v>
      </c>
      <c r="K12085" s="8" t="s">
        <v>37</v>
      </c>
      <c r="L12085" s="8" t="s">
        <v>18289</v>
      </c>
      <c r="M12085" s="8" t="s">
        <v>18290</v>
      </c>
      <c r="N12085" s="8" t="s">
        <v>50759</v>
      </c>
      <c r="O12085" s="8">
        <f>13+24/60+56.2/3600</f>
        <v>13.415611111111112</v>
      </c>
      <c r="P12085" s="8" t="s">
        <v>50760</v>
      </c>
      <c r="Q12085" s="8">
        <f>+(26+27/60+50/3600)</f>
        <v>26.463888888888889</v>
      </c>
      <c r="R12085" s="8">
        <v>14.3</v>
      </c>
      <c r="S12085" s="8">
        <v>15.3</v>
      </c>
      <c r="T12085" s="8">
        <v>1</v>
      </c>
      <c r="U12085" s="8">
        <v>11.1</v>
      </c>
      <c r="V12085" s="8">
        <v>0.3</v>
      </c>
      <c r="W12085" s="8">
        <v>0.2</v>
      </c>
      <c r="X12085" s="8">
        <v>90</v>
      </c>
      <c r="Y12085" s="8" t="s">
        <v>6420</v>
      </c>
      <c r="Z12085" s="8" t="s">
        <v>6421</v>
      </c>
    </row>
    <row r="12086" spans="1:26" x14ac:dyDescent="0.2">
      <c r="A12086" s="8">
        <v>12085</v>
      </c>
      <c r="B12086" s="8" t="s">
        <v>50761</v>
      </c>
      <c r="C12086" s="8" t="s">
        <v>50761</v>
      </c>
      <c r="G12086" s="8">
        <v>20</v>
      </c>
      <c r="H12086" s="8" t="s">
        <v>21</v>
      </c>
      <c r="I12086" s="8" t="s">
        <v>22</v>
      </c>
      <c r="J12086" s="8" t="s">
        <v>22</v>
      </c>
      <c r="K12086" s="8" t="s">
        <v>91</v>
      </c>
      <c r="L12086" s="8" t="s">
        <v>11765</v>
      </c>
      <c r="M12086" s="8" t="s">
        <v>11766</v>
      </c>
      <c r="N12086" s="8" t="s">
        <v>50762</v>
      </c>
      <c r="O12086" s="8">
        <f>13+25/60+59/3600</f>
        <v>13.433055555555555</v>
      </c>
      <c r="P12086" s="8" t="s">
        <v>50763</v>
      </c>
      <c r="Q12086" s="8">
        <f>-(26+40/60+39/3600)</f>
        <v>-26.677500000000002</v>
      </c>
      <c r="R12086" s="8">
        <v>14.1</v>
      </c>
      <c r="S12086" s="8">
        <v>15</v>
      </c>
      <c r="T12086" s="8">
        <v>0.9</v>
      </c>
      <c r="U12086" s="8">
        <v>13.2</v>
      </c>
      <c r="V12086" s="8">
        <v>1</v>
      </c>
      <c r="W12086" s="8">
        <v>0.5</v>
      </c>
      <c r="X12086" s="8">
        <v>107</v>
      </c>
      <c r="Y12086" s="8" t="s">
        <v>50764</v>
      </c>
      <c r="Z12086" s="8" t="s">
        <v>50765</v>
      </c>
    </row>
    <row r="12087" spans="1:26" x14ac:dyDescent="0.2">
      <c r="A12087" s="8">
        <v>12086</v>
      </c>
      <c r="B12087" s="8" t="s">
        <v>50766</v>
      </c>
      <c r="C12087" s="8" t="s">
        <v>50766</v>
      </c>
      <c r="G12087" s="8">
        <v>20</v>
      </c>
      <c r="H12087" s="8" t="s">
        <v>21</v>
      </c>
      <c r="I12087" s="8" t="s">
        <v>22</v>
      </c>
      <c r="J12087" s="8" t="s">
        <v>22</v>
      </c>
      <c r="K12087" s="8" t="s">
        <v>449</v>
      </c>
      <c r="L12087" s="8" t="s">
        <v>11765</v>
      </c>
      <c r="M12087" s="8" t="s">
        <v>11766</v>
      </c>
      <c r="N12087" s="8" t="s">
        <v>50767</v>
      </c>
      <c r="O12087" s="8">
        <f>13+26/60+0.2/3600</f>
        <v>13.433388888888889</v>
      </c>
      <c r="P12087" s="8" t="s">
        <v>50768</v>
      </c>
      <c r="Q12087" s="8">
        <f>-(26+40/60+40/3600)</f>
        <v>-26.677777777777781</v>
      </c>
      <c r="R12087" s="8">
        <v>14.7</v>
      </c>
      <c r="S12087" s="8">
        <v>15.5</v>
      </c>
      <c r="T12087" s="8">
        <v>0.8</v>
      </c>
      <c r="U12087" s="8">
        <v>13.2</v>
      </c>
      <c r="V12087" s="8">
        <v>0.7</v>
      </c>
      <c r="W12087" s="8">
        <v>0.4</v>
      </c>
      <c r="X12087" s="8">
        <v>140</v>
      </c>
      <c r="Y12087" s="8" t="s">
        <v>50764</v>
      </c>
      <c r="Z12087" s="8" t="s">
        <v>50765</v>
      </c>
    </row>
    <row r="12088" spans="1:26" x14ac:dyDescent="0.2">
      <c r="A12088" s="8">
        <v>12087</v>
      </c>
      <c r="B12088" s="8" t="s">
        <v>50769</v>
      </c>
      <c r="C12088" s="8" t="s">
        <v>50769</v>
      </c>
      <c r="G12088" s="8">
        <v>20</v>
      </c>
      <c r="H12088" s="8" t="s">
        <v>21</v>
      </c>
      <c r="I12088" s="8" t="s">
        <v>22</v>
      </c>
      <c r="J12088" s="8" t="s">
        <v>22</v>
      </c>
      <c r="K12088" s="8" t="s">
        <v>396</v>
      </c>
      <c r="L12088" s="8" t="s">
        <v>16195</v>
      </c>
      <c r="M12088" s="8" t="s">
        <v>16196</v>
      </c>
      <c r="N12088" s="8" t="s">
        <v>50770</v>
      </c>
      <c r="O12088" s="8">
        <f>13+26/60+44.4/3600</f>
        <v>13.445666666666668</v>
      </c>
      <c r="P12088" s="8" t="s">
        <v>50771</v>
      </c>
      <c r="Q12088" s="8">
        <f>-(30+21/60+43/3600)</f>
        <v>-30.361944444444447</v>
      </c>
      <c r="R12088" s="8">
        <v>13.8</v>
      </c>
      <c r="S12088" s="8">
        <v>14.6</v>
      </c>
      <c r="T12088" s="8">
        <v>0.8</v>
      </c>
      <c r="U12088" s="8">
        <v>13.4</v>
      </c>
      <c r="V12088" s="8">
        <v>1.3</v>
      </c>
      <c r="W12088" s="8">
        <v>0.5</v>
      </c>
      <c r="X12088" s="8">
        <v>153</v>
      </c>
      <c r="Y12088" s="8" t="s">
        <v>50772</v>
      </c>
      <c r="Z12088" s="8" t="s">
        <v>50773</v>
      </c>
    </row>
    <row r="12089" spans="1:26" x14ac:dyDescent="0.2">
      <c r="A12089" s="8">
        <v>12088</v>
      </c>
      <c r="B12089" s="8" t="s">
        <v>50774</v>
      </c>
      <c r="C12089" s="8" t="s">
        <v>50774</v>
      </c>
      <c r="G12089" s="8">
        <v>20</v>
      </c>
      <c r="H12089" s="8" t="s">
        <v>21</v>
      </c>
      <c r="I12089" s="8" t="s">
        <v>22</v>
      </c>
      <c r="J12089" s="8" t="s">
        <v>22</v>
      </c>
      <c r="K12089" s="8" t="s">
        <v>23</v>
      </c>
      <c r="L12089" s="8" t="s">
        <v>11765</v>
      </c>
      <c r="M12089" s="8" t="s">
        <v>11766</v>
      </c>
      <c r="N12089" s="8" t="s">
        <v>50775</v>
      </c>
      <c r="O12089" s="8">
        <f>13+26/60+47.1/3600</f>
        <v>13.446416666666666</v>
      </c>
      <c r="P12089" s="8" t="s">
        <v>50776</v>
      </c>
      <c r="Q12089" s="8">
        <f>-(29+52/60+51/3600)</f>
        <v>-29.880833333333335</v>
      </c>
      <c r="R12089" s="8">
        <v>13.2</v>
      </c>
      <c r="S12089" s="8">
        <v>14</v>
      </c>
      <c r="T12089" s="8">
        <v>0.8</v>
      </c>
      <c r="U12089" s="8">
        <v>12.9</v>
      </c>
      <c r="V12089" s="8">
        <v>1.1000000000000001</v>
      </c>
      <c r="W12089" s="8">
        <v>0.8</v>
      </c>
      <c r="X12089" s="8">
        <v>103</v>
      </c>
      <c r="Y12089" s="8" t="s">
        <v>50777</v>
      </c>
      <c r="Z12089" s="8" t="s">
        <v>50778</v>
      </c>
    </row>
    <row r="12090" spans="1:26" x14ac:dyDescent="0.2">
      <c r="A12090" s="8">
        <v>12089</v>
      </c>
      <c r="B12090" s="8" t="s">
        <v>50779</v>
      </c>
      <c r="C12090" s="8" t="s">
        <v>50779</v>
      </c>
      <c r="G12090" s="8">
        <v>20</v>
      </c>
      <c r="H12090" s="8" t="s">
        <v>21</v>
      </c>
      <c r="I12090" s="8" t="s">
        <v>22</v>
      </c>
      <c r="J12090" s="8" t="s">
        <v>22</v>
      </c>
      <c r="K12090" s="8" t="s">
        <v>31</v>
      </c>
      <c r="L12090" s="8" t="s">
        <v>11765</v>
      </c>
      <c r="M12090" s="8" t="s">
        <v>11766</v>
      </c>
      <c r="N12090" s="8" t="s">
        <v>50780</v>
      </c>
      <c r="O12090" s="8">
        <f>13+27/60+6.3/3600</f>
        <v>13.451749999999999</v>
      </c>
      <c r="P12090" s="8" t="s">
        <v>50781</v>
      </c>
      <c r="Q12090" s="8">
        <f>-(27+57/60+24/3600)</f>
        <v>-27.956666666666667</v>
      </c>
      <c r="R12090" s="8">
        <v>13.7</v>
      </c>
      <c r="S12090" s="8">
        <v>14.5</v>
      </c>
      <c r="T12090" s="8">
        <v>0.8</v>
      </c>
      <c r="U12090" s="8">
        <v>12.9</v>
      </c>
      <c r="V12090" s="8">
        <v>1.4</v>
      </c>
      <c r="W12090" s="8">
        <v>0.4</v>
      </c>
      <c r="X12090" s="8">
        <v>107</v>
      </c>
      <c r="Y12090" s="8" t="s">
        <v>50782</v>
      </c>
      <c r="Z12090" s="8" t="s">
        <v>50783</v>
      </c>
    </row>
    <row r="12091" spans="1:26" x14ac:dyDescent="0.2">
      <c r="A12091" s="8">
        <v>12090</v>
      </c>
      <c r="B12091" s="8" t="s">
        <v>50784</v>
      </c>
      <c r="C12091" s="8" t="s">
        <v>50784</v>
      </c>
      <c r="E12091" s="8">
        <v>1</v>
      </c>
      <c r="G12091" s="8">
        <v>20</v>
      </c>
      <c r="H12091" s="8" t="s">
        <v>21</v>
      </c>
      <c r="I12091" s="8" t="s">
        <v>22</v>
      </c>
      <c r="J12091" s="8" t="s">
        <v>22</v>
      </c>
      <c r="K12091" s="8" t="s">
        <v>50785</v>
      </c>
      <c r="L12091" s="8" t="s">
        <v>18289</v>
      </c>
      <c r="M12091" s="8" t="s">
        <v>18290</v>
      </c>
      <c r="N12091" s="8" t="s">
        <v>23075</v>
      </c>
      <c r="O12091" s="8">
        <f>13+26/60+9.1/3600</f>
        <v>13.435861111111111</v>
      </c>
      <c r="P12091" s="8" t="s">
        <v>50786</v>
      </c>
      <c r="Q12091" s="8">
        <f>+(26+28/60+38/3600)</f>
        <v>26.47722222222222</v>
      </c>
      <c r="R12091" s="8">
        <v>14.5</v>
      </c>
      <c r="S12091" s="8">
        <v>15.3</v>
      </c>
      <c r="T12091" s="8">
        <v>0.8</v>
      </c>
      <c r="U12091" s="8">
        <v>12</v>
      </c>
      <c r="V12091" s="8">
        <v>0.4</v>
      </c>
      <c r="W12091" s="8">
        <v>0.3</v>
      </c>
      <c r="X12091" s="8">
        <v>85</v>
      </c>
      <c r="Y12091" s="8" t="s">
        <v>33652</v>
      </c>
      <c r="Z12091" s="8" t="s">
        <v>33653</v>
      </c>
    </row>
    <row r="12092" spans="1:26" x14ac:dyDescent="0.2">
      <c r="A12092" s="8">
        <v>12091</v>
      </c>
      <c r="B12092" s="8" t="s">
        <v>50787</v>
      </c>
      <c r="C12092" s="8" t="s">
        <v>50787</v>
      </c>
      <c r="G12092" s="8">
        <v>20</v>
      </c>
      <c r="H12092" s="8" t="s">
        <v>21</v>
      </c>
      <c r="I12092" s="8" t="s">
        <v>22</v>
      </c>
      <c r="J12092" s="8" t="s">
        <v>22</v>
      </c>
      <c r="K12092" s="8" t="s">
        <v>37</v>
      </c>
      <c r="L12092" s="8" t="s">
        <v>11765</v>
      </c>
      <c r="M12092" s="8" t="s">
        <v>11766</v>
      </c>
      <c r="N12092" s="8" t="s">
        <v>50788</v>
      </c>
      <c r="O12092" s="8">
        <f>13+27/60+24.1/3600</f>
        <v>13.456694444444445</v>
      </c>
      <c r="P12092" s="8" t="s">
        <v>50789</v>
      </c>
      <c r="Q12092" s="8">
        <f>-(29+26/60+40/3600)</f>
        <v>-29.444444444444446</v>
      </c>
      <c r="R12092" s="8">
        <v>14</v>
      </c>
      <c r="S12092" s="8">
        <v>15</v>
      </c>
      <c r="T12092" s="8">
        <v>1</v>
      </c>
      <c r="U12092" s="8">
        <v>13.1</v>
      </c>
      <c r="V12092" s="8">
        <v>0.8</v>
      </c>
      <c r="W12092" s="8">
        <v>0.6</v>
      </c>
      <c r="X12092" s="8">
        <v>142</v>
      </c>
      <c r="Y12092" s="8" t="s">
        <v>50790</v>
      </c>
      <c r="Z12092" s="8" t="s">
        <v>50791</v>
      </c>
    </row>
    <row r="12093" spans="1:26" x14ac:dyDescent="0.2">
      <c r="A12093" s="8">
        <v>12092</v>
      </c>
      <c r="B12093" s="8" t="s">
        <v>50792</v>
      </c>
      <c r="C12093" s="8" t="s">
        <v>50792</v>
      </c>
      <c r="G12093" s="8">
        <v>20</v>
      </c>
      <c r="H12093" s="8" t="s">
        <v>21</v>
      </c>
      <c r="I12093" s="8" t="s">
        <v>22</v>
      </c>
      <c r="J12093" s="8" t="s">
        <v>22</v>
      </c>
      <c r="K12093" s="8" t="s">
        <v>58</v>
      </c>
      <c r="L12093" s="8" t="s">
        <v>11765</v>
      </c>
      <c r="M12093" s="8" t="s">
        <v>11766</v>
      </c>
      <c r="N12093" s="8" t="s">
        <v>50793</v>
      </c>
      <c r="O12093" s="8">
        <f>13+27/60+28/3600</f>
        <v>13.457777777777777</v>
      </c>
      <c r="P12093" s="8" t="s">
        <v>50794</v>
      </c>
      <c r="Q12093" s="8">
        <f>-(27+19/60+28/3600)</f>
        <v>-27.324444444444445</v>
      </c>
      <c r="R12093" s="8">
        <v>13.1</v>
      </c>
      <c r="S12093" s="8">
        <v>14.1</v>
      </c>
      <c r="T12093" s="8">
        <v>1</v>
      </c>
      <c r="U12093" s="8">
        <v>13.1</v>
      </c>
      <c r="V12093" s="8">
        <v>1.3</v>
      </c>
      <c r="W12093" s="8">
        <v>0.7</v>
      </c>
      <c r="X12093" s="8">
        <v>135</v>
      </c>
      <c r="Y12093" s="8" t="s">
        <v>47963</v>
      </c>
      <c r="Z12093" s="8" t="s">
        <v>47964</v>
      </c>
    </row>
    <row r="12094" spans="1:26" x14ac:dyDescent="0.2">
      <c r="A12094" s="8">
        <v>12093</v>
      </c>
      <c r="B12094" s="8" t="s">
        <v>50795</v>
      </c>
      <c r="C12094" s="8" t="s">
        <v>50795</v>
      </c>
      <c r="G12094" s="8">
        <v>20</v>
      </c>
      <c r="H12094" s="8" t="s">
        <v>21</v>
      </c>
      <c r="I12094" s="8" t="s">
        <v>22</v>
      </c>
      <c r="J12094" s="8" t="s">
        <v>22</v>
      </c>
      <c r="K12094" s="8" t="s">
        <v>85</v>
      </c>
      <c r="L12094" s="8" t="s">
        <v>11765</v>
      </c>
      <c r="M12094" s="8" t="s">
        <v>11766</v>
      </c>
      <c r="N12094" s="8" t="s">
        <v>50796</v>
      </c>
      <c r="O12094" s="8">
        <f>13+27/60+32.2/3600</f>
        <v>13.458944444444445</v>
      </c>
      <c r="P12094" s="8" t="s">
        <v>50797</v>
      </c>
      <c r="Q12094" s="8">
        <f>-(27+52/60+22/3600)</f>
        <v>-27.872777777777777</v>
      </c>
      <c r="R12094" s="8">
        <v>14</v>
      </c>
      <c r="S12094" s="8">
        <v>14.8</v>
      </c>
      <c r="T12094" s="8">
        <v>0.8</v>
      </c>
      <c r="U12094" s="8">
        <v>13.7</v>
      </c>
      <c r="V12094" s="8">
        <v>1.4</v>
      </c>
      <c r="W12094" s="8">
        <v>0.6</v>
      </c>
      <c r="X12094" s="8">
        <v>133</v>
      </c>
      <c r="Y12094" s="8" t="s">
        <v>50798</v>
      </c>
      <c r="Z12094" s="8" t="s">
        <v>50799</v>
      </c>
    </row>
    <row r="12095" spans="1:26" x14ac:dyDescent="0.2">
      <c r="A12095" s="8">
        <v>12094</v>
      </c>
      <c r="B12095" s="8" t="s">
        <v>50800</v>
      </c>
      <c r="C12095" s="8" t="s">
        <v>50800</v>
      </c>
      <c r="G12095" s="8">
        <v>20</v>
      </c>
      <c r="H12095" s="8" t="s">
        <v>21</v>
      </c>
      <c r="I12095" s="8" t="s">
        <v>22</v>
      </c>
      <c r="J12095" s="8" t="s">
        <v>22</v>
      </c>
      <c r="K12095" s="8" t="s">
        <v>396</v>
      </c>
      <c r="L12095" s="8" t="s">
        <v>11765</v>
      </c>
      <c r="M12095" s="8" t="s">
        <v>11766</v>
      </c>
      <c r="N12095" s="8" t="s">
        <v>50801</v>
      </c>
      <c r="O12095" s="8">
        <f>13+27/60+45.3/3600</f>
        <v>13.462583333333333</v>
      </c>
      <c r="P12095" s="8" t="s">
        <v>50802</v>
      </c>
      <c r="Q12095" s="8">
        <f>-(27+13/60+19/3600)</f>
        <v>-27.221944444444443</v>
      </c>
      <c r="R12095" s="8">
        <v>14.8</v>
      </c>
      <c r="S12095" s="8">
        <v>15.6</v>
      </c>
      <c r="T12095" s="8">
        <v>0.8</v>
      </c>
      <c r="U12095" s="8">
        <v>13.3</v>
      </c>
      <c r="V12095" s="8">
        <v>0.6</v>
      </c>
      <c r="W12095" s="8">
        <v>0.5</v>
      </c>
      <c r="Y12095" s="8" t="s">
        <v>50803</v>
      </c>
      <c r="Z12095" s="8" t="s">
        <v>50804</v>
      </c>
    </row>
    <row r="12096" spans="1:26" x14ac:dyDescent="0.2">
      <c r="A12096" s="8">
        <v>12095</v>
      </c>
      <c r="B12096" s="8" t="s">
        <v>50805</v>
      </c>
      <c r="C12096" s="8" t="s">
        <v>50805</v>
      </c>
      <c r="G12096" s="8">
        <v>20</v>
      </c>
      <c r="H12096" s="8" t="s">
        <v>21</v>
      </c>
      <c r="I12096" s="8" t="s">
        <v>22</v>
      </c>
      <c r="J12096" s="8" t="s">
        <v>22</v>
      </c>
      <c r="K12096" s="8" t="s">
        <v>382</v>
      </c>
      <c r="L12096" s="8" t="s">
        <v>11765</v>
      </c>
      <c r="M12096" s="8" t="s">
        <v>11766</v>
      </c>
      <c r="N12096" s="8" t="s">
        <v>50806</v>
      </c>
      <c r="O12096" s="8">
        <f>13+28/60+0.1/3600</f>
        <v>13.466694444444444</v>
      </c>
      <c r="P12096" s="8" t="s">
        <v>50807</v>
      </c>
      <c r="Q12096" s="8">
        <f>-(27+21/60+14/3600)</f>
        <v>-27.353888888888889</v>
      </c>
      <c r="R12096" s="8">
        <v>13.2</v>
      </c>
      <c r="S12096" s="8">
        <v>14.2</v>
      </c>
      <c r="T12096" s="8">
        <v>1</v>
      </c>
      <c r="U12096" s="8">
        <v>12.6</v>
      </c>
      <c r="V12096" s="8">
        <v>0.9</v>
      </c>
      <c r="W12096" s="8">
        <v>0.6</v>
      </c>
      <c r="X12096" s="8">
        <v>35</v>
      </c>
      <c r="Y12096" s="8" t="s">
        <v>47963</v>
      </c>
      <c r="Z12096" s="8" t="s">
        <v>47964</v>
      </c>
    </row>
    <row r="12097" spans="1:26" x14ac:dyDescent="0.2">
      <c r="A12097" s="8">
        <v>12096</v>
      </c>
      <c r="B12097" s="8" t="s">
        <v>50808</v>
      </c>
      <c r="C12097" s="8" t="s">
        <v>50808</v>
      </c>
      <c r="G12097" s="8">
        <v>20</v>
      </c>
      <c r="H12097" s="8" t="s">
        <v>21</v>
      </c>
      <c r="I12097" s="8" t="s">
        <v>22</v>
      </c>
      <c r="J12097" s="8" t="s">
        <v>22</v>
      </c>
      <c r="K12097" s="8" t="s">
        <v>23</v>
      </c>
      <c r="L12097" s="8" t="s">
        <v>18681</v>
      </c>
      <c r="M12097" s="8" t="s">
        <v>18682</v>
      </c>
      <c r="N12097" s="8" t="s">
        <v>50809</v>
      </c>
      <c r="O12097" s="8">
        <f>13+27/60+3.1/3600</f>
        <v>13.450861111111111</v>
      </c>
      <c r="P12097" s="8" t="s">
        <v>50810</v>
      </c>
      <c r="Q12097" s="8">
        <f>+(30+58/60+35/3600)</f>
        <v>30.976388888888888</v>
      </c>
      <c r="R12097" s="8">
        <v>14.7</v>
      </c>
      <c r="S12097" s="8">
        <v>15.5</v>
      </c>
      <c r="T12097" s="8">
        <v>0.8</v>
      </c>
      <c r="U12097" s="8">
        <v>11.8</v>
      </c>
      <c r="V12097" s="8">
        <v>0.4</v>
      </c>
      <c r="W12097" s="8">
        <v>0.2</v>
      </c>
      <c r="X12097" s="8">
        <v>45</v>
      </c>
      <c r="Y12097" s="8" t="s">
        <v>170</v>
      </c>
      <c r="Z12097" s="8" t="s">
        <v>171</v>
      </c>
    </row>
    <row r="12098" spans="1:26" x14ac:dyDescent="0.2">
      <c r="A12098" s="8">
        <v>12097</v>
      </c>
      <c r="B12098" s="8" t="s">
        <v>50811</v>
      </c>
      <c r="C12098" s="8" t="s">
        <v>50811</v>
      </c>
      <c r="G12098" s="8">
        <v>20</v>
      </c>
      <c r="H12098" s="8" t="s">
        <v>21</v>
      </c>
      <c r="I12098" s="8" t="s">
        <v>329</v>
      </c>
      <c r="J12098" s="8" t="s">
        <v>329</v>
      </c>
      <c r="K12098" s="8" t="s">
        <v>329</v>
      </c>
      <c r="L12098" s="8" t="s">
        <v>18681</v>
      </c>
      <c r="M12098" s="8" t="s">
        <v>18682</v>
      </c>
      <c r="N12098" s="8" t="s">
        <v>50812</v>
      </c>
      <c r="O12098" s="8">
        <f>13+27/60+20.5/3600</f>
        <v>13.455694444444443</v>
      </c>
      <c r="P12098" s="8" t="s">
        <v>50813</v>
      </c>
      <c r="Q12098" s="8">
        <f>+(46+52/60+6/3600)</f>
        <v>46.868333333333332</v>
      </c>
      <c r="R12098" s="8">
        <v>99</v>
      </c>
      <c r="S12098" s="8">
        <v>99</v>
      </c>
      <c r="T12098" s="8">
        <v>99</v>
      </c>
      <c r="U12098" s="8">
        <v>99</v>
      </c>
      <c r="Y12098" s="8" t="s">
        <v>38883</v>
      </c>
      <c r="Z12098" s="8" t="s">
        <v>38884</v>
      </c>
    </row>
    <row r="12099" spans="1:26" x14ac:dyDescent="0.2">
      <c r="A12099" s="8">
        <v>12098</v>
      </c>
      <c r="B12099" s="8" t="s">
        <v>50814</v>
      </c>
      <c r="C12099" s="8" t="s">
        <v>50814</v>
      </c>
      <c r="G12099" s="8">
        <v>20</v>
      </c>
      <c r="H12099" s="8" t="s">
        <v>21</v>
      </c>
      <c r="I12099" s="8" t="s">
        <v>22</v>
      </c>
      <c r="J12099" s="8" t="s">
        <v>22</v>
      </c>
      <c r="K12099" s="8" t="s">
        <v>382</v>
      </c>
      <c r="L12099" s="8" t="s">
        <v>18681</v>
      </c>
      <c r="M12099" s="8" t="s">
        <v>18682</v>
      </c>
      <c r="N12099" s="8" t="s">
        <v>50815</v>
      </c>
      <c r="O12099" s="8">
        <f>13+27/60+53.3/3600</f>
        <v>13.464805555555555</v>
      </c>
      <c r="P12099" s="8" t="s">
        <v>50816</v>
      </c>
      <c r="Q12099" s="8">
        <f>+(28+30/60+31/3600)</f>
        <v>28.508611111111112</v>
      </c>
      <c r="R12099" s="8">
        <v>14.2</v>
      </c>
      <c r="S12099" s="8">
        <v>15.2</v>
      </c>
      <c r="T12099" s="8">
        <v>1</v>
      </c>
      <c r="U12099" s="8">
        <v>13.1</v>
      </c>
      <c r="V12099" s="8">
        <v>0.7</v>
      </c>
      <c r="W12099" s="8">
        <v>0.5</v>
      </c>
      <c r="X12099" s="8">
        <v>30</v>
      </c>
      <c r="Y12099" s="8" t="s">
        <v>44010</v>
      </c>
      <c r="Z12099" s="8" t="s">
        <v>44011</v>
      </c>
    </row>
    <row r="12100" spans="1:26" x14ac:dyDescent="0.2">
      <c r="A12100" s="8">
        <v>12099</v>
      </c>
      <c r="B12100" s="8" t="s">
        <v>50817</v>
      </c>
      <c r="C12100" s="8" t="s">
        <v>50817</v>
      </c>
      <c r="G12100" s="8">
        <v>20</v>
      </c>
      <c r="H12100" s="8" t="s">
        <v>21</v>
      </c>
      <c r="I12100" s="8" t="s">
        <v>22</v>
      </c>
      <c r="J12100" s="8" t="s">
        <v>22</v>
      </c>
      <c r="K12100" s="8" t="s">
        <v>476</v>
      </c>
      <c r="L12100" s="8" t="s">
        <v>11765</v>
      </c>
      <c r="M12100" s="8" t="s">
        <v>11766</v>
      </c>
      <c r="N12100" s="8" t="s">
        <v>50818</v>
      </c>
      <c r="O12100" s="8">
        <f>13+29/60+28.2/3600</f>
        <v>13.491166666666667</v>
      </c>
      <c r="P12100" s="8" t="s">
        <v>50819</v>
      </c>
      <c r="Q12100" s="8">
        <f>-(30+8/60+3/3600)</f>
        <v>-30.134166666666665</v>
      </c>
      <c r="R12100" s="8">
        <v>14.2</v>
      </c>
      <c r="S12100" s="8">
        <v>15.1</v>
      </c>
      <c r="T12100" s="8">
        <v>0.9</v>
      </c>
      <c r="U12100" s="8">
        <v>13.3</v>
      </c>
      <c r="V12100" s="8">
        <v>1</v>
      </c>
      <c r="W12100" s="8">
        <v>0.5</v>
      </c>
      <c r="X12100" s="8">
        <v>162</v>
      </c>
      <c r="Y12100" s="8" t="s">
        <v>46310</v>
      </c>
      <c r="Z12100" s="8" t="s">
        <v>46311</v>
      </c>
    </row>
    <row r="12101" spans="1:26" x14ac:dyDescent="0.2">
      <c r="A12101" s="8">
        <v>12100</v>
      </c>
      <c r="B12101" s="8" t="s">
        <v>50820</v>
      </c>
      <c r="C12101" s="8" t="s">
        <v>50820</v>
      </c>
      <c r="G12101" s="8">
        <v>20</v>
      </c>
      <c r="H12101" s="8" t="s">
        <v>21</v>
      </c>
      <c r="I12101" s="8" t="s">
        <v>22</v>
      </c>
      <c r="J12101" s="8" t="s">
        <v>22</v>
      </c>
      <c r="K12101" s="8" t="s">
        <v>31</v>
      </c>
      <c r="L12101" s="8" t="s">
        <v>11765</v>
      </c>
      <c r="M12101" s="8" t="s">
        <v>11766</v>
      </c>
      <c r="N12101" s="8" t="s">
        <v>50821</v>
      </c>
      <c r="O12101" s="8">
        <f>13+29/60+40.4/3600</f>
        <v>13.494555555555555</v>
      </c>
      <c r="P12101" s="8" t="s">
        <v>50822</v>
      </c>
      <c r="Q12101" s="8">
        <f>-(28+15/60+58/3600)</f>
        <v>-28.266111111111112</v>
      </c>
      <c r="R12101" s="8">
        <v>14.8</v>
      </c>
      <c r="S12101" s="8">
        <v>15.6</v>
      </c>
      <c r="T12101" s="8">
        <v>0.8</v>
      </c>
      <c r="U12101" s="8">
        <v>13.2</v>
      </c>
      <c r="V12101" s="8">
        <v>1.3</v>
      </c>
      <c r="W12101" s="8">
        <v>0.2</v>
      </c>
      <c r="X12101" s="8">
        <v>94</v>
      </c>
      <c r="Y12101" s="8" t="s">
        <v>46447</v>
      </c>
      <c r="Z12101" s="8" t="s">
        <v>46448</v>
      </c>
    </row>
    <row r="12102" spans="1:26" x14ac:dyDescent="0.2">
      <c r="A12102" s="8">
        <v>12101</v>
      </c>
      <c r="B12102" s="8" t="s">
        <v>50823</v>
      </c>
      <c r="C12102" s="8" t="s">
        <v>50823</v>
      </c>
      <c r="G12102" s="8">
        <v>20</v>
      </c>
      <c r="H12102" s="8" t="s">
        <v>21</v>
      </c>
      <c r="I12102" s="8" t="s">
        <v>22</v>
      </c>
      <c r="J12102" s="8" t="s">
        <v>22</v>
      </c>
      <c r="K12102" s="8" t="s">
        <v>37</v>
      </c>
      <c r="L12102" s="8" t="s">
        <v>11765</v>
      </c>
      <c r="M12102" s="8" t="s">
        <v>11766</v>
      </c>
      <c r="N12102" s="8" t="s">
        <v>50824</v>
      </c>
      <c r="O12102" s="8">
        <f>13+29/60+47.6/3600</f>
        <v>13.496555555555554</v>
      </c>
      <c r="P12102" s="8" t="s">
        <v>50825</v>
      </c>
      <c r="Q12102" s="8">
        <f>-(28+0/60+23/3600)</f>
        <v>-28.006388888888889</v>
      </c>
      <c r="R12102" s="8">
        <v>13.7</v>
      </c>
      <c r="S12102" s="8">
        <v>14.7</v>
      </c>
      <c r="T12102" s="8">
        <v>1</v>
      </c>
      <c r="U12102" s="8">
        <v>13.4</v>
      </c>
      <c r="V12102" s="8">
        <v>1</v>
      </c>
      <c r="W12102" s="8">
        <v>0.7</v>
      </c>
      <c r="X12102" s="8">
        <v>131</v>
      </c>
      <c r="Y12102" s="8" t="s">
        <v>46310</v>
      </c>
      <c r="Z12102" s="8" t="s">
        <v>46311</v>
      </c>
    </row>
    <row r="12103" spans="1:26" x14ac:dyDescent="0.2">
      <c r="A12103" s="8">
        <v>12102</v>
      </c>
      <c r="B12103" s="8" t="s">
        <v>50826</v>
      </c>
      <c r="C12103" s="8" t="s">
        <v>50826</v>
      </c>
      <c r="G12103" s="8">
        <v>20</v>
      </c>
      <c r="H12103" s="8" t="s">
        <v>21</v>
      </c>
      <c r="I12103" s="8" t="s">
        <v>22</v>
      </c>
      <c r="J12103" s="8" t="s">
        <v>22</v>
      </c>
      <c r="K12103" s="8" t="s">
        <v>23</v>
      </c>
      <c r="L12103" s="8" t="s">
        <v>11765</v>
      </c>
      <c r="M12103" s="8" t="s">
        <v>11766</v>
      </c>
      <c r="N12103" s="8" t="s">
        <v>50827</v>
      </c>
      <c r="O12103" s="8">
        <f>13+30/60+23.1/3600</f>
        <v>13.506416666666667</v>
      </c>
      <c r="P12103" s="8" t="s">
        <v>50828</v>
      </c>
      <c r="Q12103" s="8">
        <f>-(28+16/60+14/3600)</f>
        <v>-28.270555555555553</v>
      </c>
      <c r="R12103" s="8">
        <v>14.8</v>
      </c>
      <c r="S12103" s="8">
        <v>15.6</v>
      </c>
      <c r="T12103" s="8">
        <v>0.8</v>
      </c>
      <c r="U12103" s="8">
        <v>13.5</v>
      </c>
      <c r="V12103" s="8">
        <v>1.2</v>
      </c>
      <c r="W12103" s="8">
        <v>0.3</v>
      </c>
      <c r="X12103" s="8">
        <v>62</v>
      </c>
      <c r="Y12103" s="8" t="s">
        <v>50829</v>
      </c>
      <c r="Z12103" s="8" t="s">
        <v>50830</v>
      </c>
    </row>
    <row r="12104" spans="1:26" x14ac:dyDescent="0.2">
      <c r="A12104" s="8">
        <v>12103</v>
      </c>
      <c r="B12104" s="8" t="s">
        <v>50831</v>
      </c>
      <c r="C12104" s="8" t="s">
        <v>50831</v>
      </c>
      <c r="G12104" s="8">
        <v>20</v>
      </c>
      <c r="H12104" s="8" t="s">
        <v>21</v>
      </c>
      <c r="I12104" s="8" t="s">
        <v>22</v>
      </c>
      <c r="J12104" s="8" t="s">
        <v>22</v>
      </c>
      <c r="K12104" s="8" t="s">
        <v>1277</v>
      </c>
      <c r="L12104" s="8" t="s">
        <v>18681</v>
      </c>
      <c r="M12104" s="8" t="s">
        <v>18682</v>
      </c>
      <c r="N12104" s="8" t="s">
        <v>50832</v>
      </c>
      <c r="O12104" s="8">
        <f>13+28/60+33.4/3600</f>
        <v>13.475944444444444</v>
      </c>
      <c r="P12104" s="8" t="s">
        <v>50833</v>
      </c>
      <c r="Q12104" s="8">
        <f>+(46+55/60+37/3600)</f>
        <v>46.926944444444445</v>
      </c>
      <c r="R12104" s="8">
        <v>14.5</v>
      </c>
      <c r="S12104" s="8">
        <v>15.2</v>
      </c>
      <c r="T12104" s="8">
        <v>0.7</v>
      </c>
      <c r="U12104" s="8">
        <v>14.1</v>
      </c>
      <c r="V12104" s="8">
        <v>1.9</v>
      </c>
      <c r="W12104" s="8">
        <v>0.4</v>
      </c>
      <c r="X12104" s="8">
        <v>105</v>
      </c>
      <c r="Y12104" s="8" t="s">
        <v>50834</v>
      </c>
      <c r="Z12104" s="8" t="s">
        <v>50835</v>
      </c>
    </row>
    <row r="12105" spans="1:26" x14ac:dyDescent="0.2">
      <c r="A12105" s="8">
        <v>12104</v>
      </c>
      <c r="B12105" s="8" t="s">
        <v>50836</v>
      </c>
      <c r="C12105" s="8" t="s">
        <v>50836</v>
      </c>
      <c r="G12105" s="8">
        <v>20</v>
      </c>
      <c r="H12105" s="8" t="s">
        <v>21</v>
      </c>
      <c r="I12105" s="8" t="s">
        <v>22</v>
      </c>
      <c r="J12105" s="8" t="s">
        <v>22</v>
      </c>
      <c r="K12105" s="8" t="s">
        <v>579</v>
      </c>
      <c r="L12105" s="8" t="s">
        <v>11765</v>
      </c>
      <c r="M12105" s="8" t="s">
        <v>11766</v>
      </c>
      <c r="N12105" s="8" t="s">
        <v>50837</v>
      </c>
      <c r="O12105" s="8">
        <f>13+30/60+17.5/3600</f>
        <v>13.504861111111111</v>
      </c>
      <c r="P12105" s="8" t="s">
        <v>50838</v>
      </c>
      <c r="Q12105" s="8">
        <f>-(27+55/60+43/3600)</f>
        <v>-27.928611111111113</v>
      </c>
      <c r="R12105" s="8">
        <v>14.5</v>
      </c>
      <c r="S12105" s="8">
        <v>15.2</v>
      </c>
      <c r="T12105" s="8">
        <v>0.7</v>
      </c>
      <c r="U12105" s="8">
        <v>14</v>
      </c>
      <c r="V12105" s="8">
        <v>1.7</v>
      </c>
      <c r="W12105" s="8">
        <v>0.4</v>
      </c>
      <c r="X12105" s="8">
        <v>103</v>
      </c>
      <c r="Y12105" s="8" t="s">
        <v>46447</v>
      </c>
      <c r="Z12105" s="8" t="s">
        <v>46448</v>
      </c>
    </row>
    <row r="12106" spans="1:26" x14ac:dyDescent="0.2">
      <c r="A12106" s="8">
        <v>12105</v>
      </c>
      <c r="B12106" s="8" t="s">
        <v>50839</v>
      </c>
      <c r="C12106" s="8" t="s">
        <v>50839</v>
      </c>
      <c r="G12106" s="8">
        <v>20</v>
      </c>
      <c r="H12106" s="8" t="s">
        <v>21</v>
      </c>
      <c r="I12106" s="8" t="s">
        <v>22</v>
      </c>
      <c r="J12106" s="8" t="s">
        <v>22</v>
      </c>
      <c r="K12106" s="8" t="s">
        <v>42274</v>
      </c>
      <c r="L12106" s="8" t="s">
        <v>11765</v>
      </c>
      <c r="M12106" s="8" t="s">
        <v>11766</v>
      </c>
      <c r="N12106" s="8" t="s">
        <v>50840</v>
      </c>
      <c r="O12106" s="8">
        <f>13+30/60+22.9/3600</f>
        <v>13.506361111111111</v>
      </c>
      <c r="P12106" s="8" t="s">
        <v>50841</v>
      </c>
      <c r="Q12106" s="8">
        <f>-(25+45/60+56/3600)</f>
        <v>-25.765555555555554</v>
      </c>
      <c r="R12106" s="8">
        <v>14.7</v>
      </c>
      <c r="S12106" s="8">
        <v>15.5</v>
      </c>
      <c r="T12106" s="8">
        <v>0.8</v>
      </c>
      <c r="U12106" s="8">
        <v>13.6</v>
      </c>
      <c r="V12106" s="8">
        <v>0.8</v>
      </c>
      <c r="W12106" s="8">
        <v>0.5</v>
      </c>
      <c r="X12106" s="8">
        <v>178</v>
      </c>
      <c r="Y12106" s="8" t="s">
        <v>46310</v>
      </c>
      <c r="Z12106" s="8" t="s">
        <v>46311</v>
      </c>
    </row>
    <row r="12107" spans="1:26" x14ac:dyDescent="0.2">
      <c r="A12107" s="8">
        <v>12106</v>
      </c>
      <c r="B12107" s="8" t="s">
        <v>50842</v>
      </c>
      <c r="C12107" s="8" t="s">
        <v>50842</v>
      </c>
      <c r="G12107" s="8">
        <v>20</v>
      </c>
      <c r="H12107" s="8" t="s">
        <v>21</v>
      </c>
      <c r="I12107" s="8" t="s">
        <v>22</v>
      </c>
      <c r="J12107" s="8" t="s">
        <v>22</v>
      </c>
      <c r="K12107" s="8" t="s">
        <v>37</v>
      </c>
      <c r="L12107" s="8" t="s">
        <v>18681</v>
      </c>
      <c r="M12107" s="8" t="s">
        <v>18682</v>
      </c>
      <c r="N12107" s="8" t="s">
        <v>50843</v>
      </c>
      <c r="O12107" s="8">
        <f>13+29/60+5.7/3600</f>
        <v>13.484916666666665</v>
      </c>
      <c r="P12107" s="8" t="s">
        <v>50844</v>
      </c>
      <c r="Q12107" s="8">
        <f>+(37+36/60+42/3600)</f>
        <v>37.611666666666665</v>
      </c>
      <c r="R12107" s="8">
        <v>15.5</v>
      </c>
      <c r="S12107" s="8">
        <v>16.5</v>
      </c>
      <c r="T12107" s="8">
        <v>1</v>
      </c>
      <c r="U12107" s="8">
        <v>12.3</v>
      </c>
      <c r="V12107" s="8">
        <v>0.3</v>
      </c>
      <c r="W12107" s="8">
        <v>0.2</v>
      </c>
      <c r="X12107" s="8">
        <v>10</v>
      </c>
      <c r="Y12107" s="8" t="s">
        <v>43668</v>
      </c>
      <c r="Z12107" s="8" t="s">
        <v>43669</v>
      </c>
    </row>
    <row r="12108" spans="1:26" x14ac:dyDescent="0.2">
      <c r="A12108" s="8">
        <v>12107</v>
      </c>
      <c r="B12108" s="8" t="s">
        <v>50845</v>
      </c>
      <c r="C12108" s="8" t="s">
        <v>50845</v>
      </c>
      <c r="G12108" s="8">
        <v>20</v>
      </c>
      <c r="H12108" s="8" t="s">
        <v>21</v>
      </c>
      <c r="I12108" s="8" t="s">
        <v>22</v>
      </c>
      <c r="J12108" s="8" t="s">
        <v>22</v>
      </c>
      <c r="K12108" s="8" t="s">
        <v>396</v>
      </c>
      <c r="L12108" s="8" t="s">
        <v>11765</v>
      </c>
      <c r="M12108" s="8" t="s">
        <v>11766</v>
      </c>
      <c r="N12108" s="8" t="s">
        <v>50846</v>
      </c>
      <c r="O12108" s="8">
        <f>13+30/60+36/3600</f>
        <v>13.51</v>
      </c>
      <c r="P12108" s="8" t="s">
        <v>50847</v>
      </c>
      <c r="Q12108" s="8">
        <f>-(26+15/60+22/3600)</f>
        <v>-26.25611111111111</v>
      </c>
      <c r="R12108" s="8">
        <v>14.4</v>
      </c>
      <c r="S12108" s="8">
        <v>15.2</v>
      </c>
      <c r="T12108" s="8">
        <v>0.8</v>
      </c>
      <c r="U12108" s="8">
        <v>13.8</v>
      </c>
      <c r="V12108" s="8">
        <v>1.3</v>
      </c>
      <c r="W12108" s="8">
        <v>0.5</v>
      </c>
      <c r="X12108" s="8">
        <v>137</v>
      </c>
      <c r="Y12108" s="8" t="s">
        <v>50848</v>
      </c>
      <c r="Z12108" s="8" t="s">
        <v>50849</v>
      </c>
    </row>
    <row r="12109" spans="1:26" x14ac:dyDescent="0.2">
      <c r="A12109" s="8">
        <v>12108</v>
      </c>
      <c r="B12109" s="8" t="s">
        <v>50850</v>
      </c>
      <c r="C12109" s="8" t="s">
        <v>50850</v>
      </c>
      <c r="G12109" s="8">
        <v>20</v>
      </c>
      <c r="H12109" s="8" t="s">
        <v>21</v>
      </c>
      <c r="I12109" s="8" t="s">
        <v>22</v>
      </c>
      <c r="J12109" s="8" t="s">
        <v>22</v>
      </c>
      <c r="K12109" s="8" t="s">
        <v>460</v>
      </c>
      <c r="L12109" s="8" t="s">
        <v>18681</v>
      </c>
      <c r="M12109" s="8" t="s">
        <v>18682</v>
      </c>
      <c r="N12109" s="8" t="s">
        <v>50851</v>
      </c>
      <c r="O12109" s="8">
        <f>13+29/60+12.2/3600</f>
        <v>13.486722222222221</v>
      </c>
      <c r="P12109" s="8" t="s">
        <v>50852</v>
      </c>
      <c r="Q12109" s="8">
        <f>+(37+39/60+40/3600)</f>
        <v>37.661111111111111</v>
      </c>
      <c r="R12109" s="8">
        <v>15.6</v>
      </c>
      <c r="S12109" s="8">
        <v>16.600000000000001</v>
      </c>
      <c r="T12109" s="8">
        <v>1</v>
      </c>
      <c r="U12109" s="8">
        <v>12.2</v>
      </c>
      <c r="V12109" s="8">
        <v>0.2</v>
      </c>
      <c r="W12109" s="8">
        <v>0.2</v>
      </c>
      <c r="Y12109" s="8" t="s">
        <v>43668</v>
      </c>
      <c r="Z12109" s="8" t="s">
        <v>43669</v>
      </c>
    </row>
    <row r="12110" spans="1:26" x14ac:dyDescent="0.2">
      <c r="A12110" s="8">
        <v>12109</v>
      </c>
      <c r="B12110" s="8" t="s">
        <v>50853</v>
      </c>
      <c r="C12110" s="8" t="s">
        <v>50853</v>
      </c>
      <c r="G12110" s="8">
        <v>20</v>
      </c>
      <c r="H12110" s="8" t="s">
        <v>21</v>
      </c>
      <c r="I12110" s="8" t="s">
        <v>22</v>
      </c>
      <c r="J12110" s="8" t="s">
        <v>22</v>
      </c>
      <c r="K12110" s="8" t="s">
        <v>37</v>
      </c>
      <c r="L12110" s="8" t="s">
        <v>18681</v>
      </c>
      <c r="M12110" s="8" t="s">
        <v>18682</v>
      </c>
      <c r="N12110" s="8" t="s">
        <v>50854</v>
      </c>
      <c r="O12110" s="8">
        <f>13+29/60+20.9/3600</f>
        <v>13.489138888888888</v>
      </c>
      <c r="P12110" s="8" t="s">
        <v>50855</v>
      </c>
      <c r="Q12110" s="8">
        <f>+(37+37/60+25/3600)</f>
        <v>37.62361111111111</v>
      </c>
      <c r="R12110" s="8">
        <v>15.1</v>
      </c>
      <c r="S12110" s="8">
        <v>16.100000000000001</v>
      </c>
      <c r="T12110" s="8">
        <v>1</v>
      </c>
      <c r="U12110" s="8">
        <v>14.2</v>
      </c>
      <c r="V12110" s="8">
        <v>0.8</v>
      </c>
      <c r="W12110" s="8">
        <v>0.6</v>
      </c>
      <c r="X12110" s="8">
        <v>111</v>
      </c>
      <c r="Y12110" s="8" t="s">
        <v>50856</v>
      </c>
      <c r="Z12110" s="8" t="s">
        <v>50857</v>
      </c>
    </row>
    <row r="12111" spans="1:26" x14ac:dyDescent="0.2">
      <c r="A12111" s="8">
        <v>12110</v>
      </c>
      <c r="B12111" s="8" t="s">
        <v>50858</v>
      </c>
      <c r="C12111" s="8" t="s">
        <v>50858</v>
      </c>
      <c r="G12111" s="8">
        <v>20</v>
      </c>
      <c r="H12111" s="8" t="s">
        <v>21</v>
      </c>
      <c r="I12111" s="8" t="s">
        <v>22</v>
      </c>
      <c r="J12111" s="8" t="s">
        <v>22</v>
      </c>
      <c r="K12111" s="8" t="s">
        <v>160</v>
      </c>
      <c r="L12111" s="8" t="s">
        <v>11765</v>
      </c>
      <c r="M12111" s="8" t="s">
        <v>11766</v>
      </c>
      <c r="N12111" s="8" t="s">
        <v>50859</v>
      </c>
      <c r="O12111" s="8">
        <f>13+30/60+49.1/3600</f>
        <v>13.513638888888888</v>
      </c>
      <c r="P12111" s="8" t="s">
        <v>50860</v>
      </c>
      <c r="Q12111" s="8">
        <f>-(25+20/60+1/3600)</f>
        <v>-25.333611111111111</v>
      </c>
      <c r="R12111" s="8">
        <v>13.9</v>
      </c>
      <c r="S12111" s="8">
        <v>14.6</v>
      </c>
      <c r="T12111" s="8">
        <v>0.7</v>
      </c>
      <c r="U12111" s="8">
        <v>13.2</v>
      </c>
      <c r="V12111" s="8">
        <v>0.8</v>
      </c>
      <c r="W12111" s="8">
        <v>0.8</v>
      </c>
      <c r="Y12111" s="8" t="s">
        <v>46310</v>
      </c>
      <c r="Z12111" s="8" t="s">
        <v>46311</v>
      </c>
    </row>
    <row r="12112" spans="1:26" x14ac:dyDescent="0.2">
      <c r="A12112" s="8">
        <v>12111</v>
      </c>
      <c r="B12112" s="8" t="s">
        <v>50861</v>
      </c>
      <c r="C12112" s="8" t="s">
        <v>50861</v>
      </c>
      <c r="E12112" s="8">
        <v>1</v>
      </c>
      <c r="G12112" s="8">
        <v>20</v>
      </c>
      <c r="H12112" s="8" t="s">
        <v>21</v>
      </c>
      <c r="I12112" s="8" t="s">
        <v>22</v>
      </c>
      <c r="J12112" s="8" t="s">
        <v>22</v>
      </c>
      <c r="K12112" s="8" t="s">
        <v>449</v>
      </c>
      <c r="L12112" s="8" t="s">
        <v>18681</v>
      </c>
      <c r="M12112" s="8" t="s">
        <v>18682</v>
      </c>
      <c r="N12112" s="8" t="s">
        <v>50862</v>
      </c>
      <c r="O12112" s="8">
        <f>13+29/60+21.4/3600</f>
        <v>13.489277777777778</v>
      </c>
      <c r="P12112" s="8" t="s">
        <v>50863</v>
      </c>
      <c r="Q12112" s="8">
        <f>+(37+24/60+49/3600)</f>
        <v>37.413611111111109</v>
      </c>
      <c r="R12112" s="8">
        <v>15</v>
      </c>
      <c r="S12112" s="8">
        <v>15.8</v>
      </c>
      <c r="T12112" s="8">
        <v>0.8</v>
      </c>
      <c r="U12112" s="8">
        <v>13.3</v>
      </c>
      <c r="V12112" s="8">
        <v>0.6</v>
      </c>
      <c r="W12112" s="8">
        <v>0.4</v>
      </c>
      <c r="X12112" s="8">
        <v>9</v>
      </c>
      <c r="Y12112" s="8" t="s">
        <v>37070</v>
      </c>
      <c r="Z12112" s="8" t="s">
        <v>37071</v>
      </c>
    </row>
    <row r="12113" spans="1:26" x14ac:dyDescent="0.2">
      <c r="A12113" s="8">
        <v>12112</v>
      </c>
      <c r="B12113" s="8" t="s">
        <v>50864</v>
      </c>
      <c r="C12113" s="8" t="s">
        <v>50864</v>
      </c>
      <c r="G12113" s="8">
        <v>20</v>
      </c>
      <c r="H12113" s="8" t="s">
        <v>21</v>
      </c>
      <c r="I12113" s="8" t="s">
        <v>22</v>
      </c>
      <c r="J12113" s="8" t="s">
        <v>22</v>
      </c>
      <c r="K12113" s="8" t="s">
        <v>396</v>
      </c>
      <c r="L12113" s="8" t="s">
        <v>11765</v>
      </c>
      <c r="M12113" s="8" t="s">
        <v>11766</v>
      </c>
      <c r="N12113" s="8" t="s">
        <v>50865</v>
      </c>
      <c r="O12113" s="8">
        <f>13+31/60+16.4/3600</f>
        <v>13.521222222222223</v>
      </c>
      <c r="P12113" s="8" t="s">
        <v>50866</v>
      </c>
      <c r="Q12113" s="8">
        <f>-(29+57/60+24/3600)</f>
        <v>-29.956666666666667</v>
      </c>
      <c r="R12113" s="8">
        <v>14.8</v>
      </c>
      <c r="S12113" s="8">
        <v>15.6</v>
      </c>
      <c r="T12113" s="8">
        <v>0.8</v>
      </c>
      <c r="U12113" s="8">
        <v>12.9</v>
      </c>
      <c r="V12113" s="8">
        <v>1</v>
      </c>
      <c r="W12113" s="8">
        <v>0.2</v>
      </c>
      <c r="X12113" s="8">
        <v>121</v>
      </c>
      <c r="Y12113" s="8" t="s">
        <v>50867</v>
      </c>
      <c r="Z12113" s="8" t="s">
        <v>50868</v>
      </c>
    </row>
    <row r="12114" spans="1:26" x14ac:dyDescent="0.2">
      <c r="A12114" s="8">
        <v>12113</v>
      </c>
      <c r="B12114" s="8" t="s">
        <v>50869</v>
      </c>
      <c r="C12114" s="8" t="s">
        <v>50869</v>
      </c>
      <c r="G12114" s="8">
        <v>20</v>
      </c>
      <c r="H12114" s="8" t="s">
        <v>21</v>
      </c>
      <c r="I12114" s="8" t="s">
        <v>22</v>
      </c>
      <c r="J12114" s="8" t="s">
        <v>22</v>
      </c>
      <c r="K12114" s="8" t="s">
        <v>37</v>
      </c>
      <c r="L12114" s="8" t="s">
        <v>11765</v>
      </c>
      <c r="M12114" s="8" t="s">
        <v>11766</v>
      </c>
      <c r="N12114" s="8" t="s">
        <v>50870</v>
      </c>
      <c r="O12114" s="8">
        <f>13+31/60+29.8/3600</f>
        <v>13.524944444444445</v>
      </c>
      <c r="P12114" s="8" t="s">
        <v>50871</v>
      </c>
      <c r="Q12114" s="8">
        <f>-(28+53/60+38/3600)</f>
        <v>-28.893888888888888</v>
      </c>
      <c r="R12114" s="8">
        <v>14.5</v>
      </c>
      <c r="S12114" s="8">
        <v>15.5</v>
      </c>
      <c r="T12114" s="8">
        <v>1</v>
      </c>
      <c r="U12114" s="8">
        <v>13.8</v>
      </c>
      <c r="V12114" s="8">
        <v>0.8</v>
      </c>
      <c r="W12114" s="8">
        <v>0.6</v>
      </c>
      <c r="X12114" s="8">
        <v>33</v>
      </c>
      <c r="Y12114" s="8" t="s">
        <v>48015</v>
      </c>
      <c r="Z12114" s="8" t="s">
        <v>48016</v>
      </c>
    </row>
    <row r="12115" spans="1:26" x14ac:dyDescent="0.2">
      <c r="A12115" s="8">
        <v>12114</v>
      </c>
      <c r="B12115" s="8" t="s">
        <v>50872</v>
      </c>
      <c r="C12115" s="8" t="s">
        <v>50872</v>
      </c>
      <c r="G12115" s="8">
        <v>20</v>
      </c>
      <c r="H12115" s="8" t="s">
        <v>21</v>
      </c>
      <c r="I12115" s="8" t="s">
        <v>241</v>
      </c>
      <c r="J12115" s="8" t="s">
        <v>57</v>
      </c>
      <c r="K12115" s="8" t="s">
        <v>241</v>
      </c>
      <c r="L12115" s="8" t="s">
        <v>18521</v>
      </c>
      <c r="M12115" s="8" t="s">
        <v>18522</v>
      </c>
      <c r="N12115" s="8" t="s">
        <v>23236</v>
      </c>
      <c r="O12115" s="8">
        <f>13+33/60+32.9/3600</f>
        <v>13.55913888888889</v>
      </c>
      <c r="P12115" s="8" t="s">
        <v>23237</v>
      </c>
      <c r="Q12115" s="8">
        <f>-(65+58/60+25/3600)</f>
        <v>-65.973611111111111</v>
      </c>
      <c r="R12115" s="8">
        <v>99</v>
      </c>
      <c r="S12115" s="8">
        <v>10.3</v>
      </c>
      <c r="T12115" s="8">
        <v>99</v>
      </c>
      <c r="U12115" s="8">
        <v>99</v>
      </c>
      <c r="V12115" s="8">
        <v>2.33</v>
      </c>
      <c r="Y12115" s="8" t="s">
        <v>27388</v>
      </c>
      <c r="Z12115" s="8" t="s">
        <v>42798</v>
      </c>
    </row>
    <row r="12116" spans="1:26" x14ac:dyDescent="0.2">
      <c r="A12116" s="8">
        <v>12115</v>
      </c>
      <c r="B12116" s="8" t="s">
        <v>50873</v>
      </c>
      <c r="C12116" s="8" t="s">
        <v>50873</v>
      </c>
      <c r="G12116" s="8">
        <v>20</v>
      </c>
      <c r="H12116" s="8" t="s">
        <v>21</v>
      </c>
      <c r="I12116" s="8" t="s">
        <v>22</v>
      </c>
      <c r="J12116" s="8" t="s">
        <v>22</v>
      </c>
      <c r="K12116" s="8" t="s">
        <v>85</v>
      </c>
      <c r="L12116" s="8" t="s">
        <v>11765</v>
      </c>
      <c r="M12116" s="8" t="s">
        <v>11766</v>
      </c>
      <c r="N12116" s="8" t="s">
        <v>50874</v>
      </c>
      <c r="O12116" s="8">
        <f>13+31/60+51.1/3600</f>
        <v>13.530861111111111</v>
      </c>
      <c r="P12116" s="8" t="s">
        <v>50875</v>
      </c>
      <c r="Q12116" s="8">
        <f>-(29+43/60+56/3600)</f>
        <v>-29.732222222222219</v>
      </c>
      <c r="R12116" s="8">
        <v>13.6</v>
      </c>
      <c r="S12116" s="8">
        <v>14.4</v>
      </c>
      <c r="T12116" s="8">
        <v>0.8</v>
      </c>
      <c r="U12116" s="8">
        <v>12.6</v>
      </c>
      <c r="V12116" s="8">
        <v>0.9</v>
      </c>
      <c r="W12116" s="8">
        <v>0.5</v>
      </c>
      <c r="X12116" s="8">
        <v>22</v>
      </c>
      <c r="Y12116" s="8" t="s">
        <v>50876</v>
      </c>
      <c r="Z12116" s="8" t="s">
        <v>50877</v>
      </c>
    </row>
    <row r="12117" spans="1:26" x14ac:dyDescent="0.2">
      <c r="A12117" s="8">
        <v>12116</v>
      </c>
      <c r="B12117" s="8" t="s">
        <v>50878</v>
      </c>
      <c r="C12117" s="8" t="s">
        <v>50878</v>
      </c>
      <c r="G12117" s="8">
        <v>20</v>
      </c>
      <c r="H12117" s="8" t="s">
        <v>21</v>
      </c>
      <c r="I12117" s="8" t="s">
        <v>22</v>
      </c>
      <c r="J12117" s="8" t="s">
        <v>22</v>
      </c>
      <c r="K12117" s="8" t="s">
        <v>160</v>
      </c>
      <c r="L12117" s="8" t="s">
        <v>11765</v>
      </c>
      <c r="M12117" s="8" t="s">
        <v>11766</v>
      </c>
      <c r="N12117" s="8" t="s">
        <v>50879</v>
      </c>
      <c r="O12117" s="8">
        <f>13+32/60+6.1/3600</f>
        <v>13.535027777777778</v>
      </c>
      <c r="P12117" s="8" t="s">
        <v>50880</v>
      </c>
      <c r="Q12117" s="8">
        <f>-(28+9/60+23/3600)</f>
        <v>-28.156388888888888</v>
      </c>
      <c r="R12117" s="8">
        <v>14.5</v>
      </c>
      <c r="S12117" s="8">
        <v>15.2</v>
      </c>
      <c r="T12117" s="8">
        <v>0.7</v>
      </c>
      <c r="U12117" s="8">
        <v>13</v>
      </c>
      <c r="V12117" s="8">
        <v>1.4</v>
      </c>
      <c r="W12117" s="8">
        <v>0.2</v>
      </c>
      <c r="X12117" s="8">
        <v>62</v>
      </c>
      <c r="Y12117" s="8" t="s">
        <v>50881</v>
      </c>
      <c r="Z12117" s="8" t="s">
        <v>50882</v>
      </c>
    </row>
    <row r="12118" spans="1:26" x14ac:dyDescent="0.2">
      <c r="A12118" s="8">
        <v>12117</v>
      </c>
      <c r="B12118" s="8" t="s">
        <v>50883</v>
      </c>
      <c r="C12118" s="8" t="s">
        <v>50883</v>
      </c>
      <c r="G12118" s="8">
        <v>20</v>
      </c>
      <c r="H12118" s="8" t="s">
        <v>21</v>
      </c>
      <c r="I12118" s="8" t="s">
        <v>22</v>
      </c>
      <c r="J12118" s="8" t="s">
        <v>22</v>
      </c>
      <c r="K12118" s="8" t="s">
        <v>449</v>
      </c>
      <c r="L12118" s="8" t="s">
        <v>18681</v>
      </c>
      <c r="M12118" s="8" t="s">
        <v>18682</v>
      </c>
      <c r="N12118" s="8" t="s">
        <v>50884</v>
      </c>
      <c r="O12118" s="8">
        <f>13+30/60+16.5/3600</f>
        <v>13.504583333333333</v>
      </c>
      <c r="P12118" s="8" t="s">
        <v>50885</v>
      </c>
      <c r="Q12118" s="8">
        <f>+(47+18/60+52/3600)</f>
        <v>47.31444444444444</v>
      </c>
      <c r="R12118" s="8">
        <v>15.7</v>
      </c>
      <c r="S12118" s="8">
        <v>16.5</v>
      </c>
      <c r="T12118" s="8">
        <v>0.8</v>
      </c>
      <c r="U12118" s="8">
        <v>12.9</v>
      </c>
      <c r="V12118" s="8">
        <v>0.9</v>
      </c>
      <c r="W12118" s="8">
        <v>0.1</v>
      </c>
      <c r="X12118" s="8">
        <v>95</v>
      </c>
      <c r="Y12118" s="8" t="s">
        <v>50886</v>
      </c>
      <c r="Z12118" s="8" t="s">
        <v>50887</v>
      </c>
    </row>
    <row r="12119" spans="1:26" x14ac:dyDescent="0.2">
      <c r="A12119" s="8">
        <v>12118</v>
      </c>
      <c r="B12119" s="8" t="s">
        <v>50888</v>
      </c>
      <c r="C12119" s="8" t="s">
        <v>50888</v>
      </c>
      <c r="G12119" s="8">
        <v>20</v>
      </c>
      <c r="H12119" s="8" t="s">
        <v>21</v>
      </c>
      <c r="I12119" s="8" t="s">
        <v>22</v>
      </c>
      <c r="J12119" s="8" t="s">
        <v>22</v>
      </c>
      <c r="K12119" s="8" t="s">
        <v>4219</v>
      </c>
      <c r="L12119" s="8" t="s">
        <v>18681</v>
      </c>
      <c r="M12119" s="8" t="s">
        <v>18682</v>
      </c>
      <c r="N12119" s="8" t="s">
        <v>50889</v>
      </c>
      <c r="O12119" s="8">
        <f>13+30/60+27.4/3600</f>
        <v>13.50761111111111</v>
      </c>
      <c r="P12119" s="8" t="s">
        <v>50890</v>
      </c>
      <c r="Q12119" s="8">
        <f>+(47+14/60+49/3600)</f>
        <v>47.246944444444445</v>
      </c>
      <c r="R12119" s="8">
        <v>15.4</v>
      </c>
      <c r="S12119" s="8">
        <v>16</v>
      </c>
      <c r="T12119" s="8">
        <v>0.6</v>
      </c>
      <c r="U12119" s="8">
        <v>13.2</v>
      </c>
      <c r="V12119" s="8">
        <v>0.5</v>
      </c>
      <c r="W12119" s="8">
        <v>0.3</v>
      </c>
      <c r="X12119" s="8">
        <v>170</v>
      </c>
      <c r="Y12119" s="8" t="s">
        <v>50891</v>
      </c>
      <c r="Z12119" s="8" t="s">
        <v>50892</v>
      </c>
    </row>
    <row r="12120" spans="1:26" x14ac:dyDescent="0.2">
      <c r="A12120" s="8">
        <v>12119</v>
      </c>
      <c r="B12120" s="8" t="s">
        <v>50893</v>
      </c>
      <c r="C12120" s="8" t="s">
        <v>50893</v>
      </c>
      <c r="G12120" s="8">
        <v>20</v>
      </c>
      <c r="H12120" s="8" t="s">
        <v>21</v>
      </c>
      <c r="I12120" s="8" t="s">
        <v>22</v>
      </c>
      <c r="J12120" s="8" t="s">
        <v>22</v>
      </c>
      <c r="K12120" s="8" t="s">
        <v>396</v>
      </c>
      <c r="L12120" s="8" t="s">
        <v>11765</v>
      </c>
      <c r="M12120" s="8" t="s">
        <v>11766</v>
      </c>
      <c r="N12120" s="8" t="s">
        <v>50894</v>
      </c>
      <c r="O12120" s="8">
        <f>13+32/60+30.9/3600</f>
        <v>13.541916666666667</v>
      </c>
      <c r="P12120" s="8" t="s">
        <v>50895</v>
      </c>
      <c r="Q12120" s="8">
        <f>-(27+7/60+39/3600)</f>
        <v>-27.127500000000001</v>
      </c>
      <c r="R12120" s="8">
        <v>14.7</v>
      </c>
      <c r="S12120" s="8">
        <v>15.5</v>
      </c>
      <c r="T12120" s="8">
        <v>0.8</v>
      </c>
      <c r="U12120" s="8">
        <v>13.4</v>
      </c>
      <c r="V12120" s="8">
        <v>0.9</v>
      </c>
      <c r="W12120" s="8">
        <v>0.4</v>
      </c>
      <c r="X12120" s="8">
        <v>51</v>
      </c>
      <c r="Y12120" s="8" t="s">
        <v>50896</v>
      </c>
      <c r="Z12120" s="8" t="s">
        <v>50897</v>
      </c>
    </row>
    <row r="12121" spans="1:26" x14ac:dyDescent="0.2">
      <c r="A12121" s="8">
        <v>12120</v>
      </c>
      <c r="B12121" s="8" t="s">
        <v>50898</v>
      </c>
      <c r="C12121" s="8" t="s">
        <v>50898</v>
      </c>
      <c r="G12121" s="8">
        <v>20</v>
      </c>
      <c r="H12121" s="8" t="s">
        <v>21</v>
      </c>
      <c r="I12121" s="8" t="s">
        <v>22</v>
      </c>
      <c r="J12121" s="8" t="s">
        <v>22</v>
      </c>
      <c r="K12121" s="8" t="s">
        <v>396</v>
      </c>
      <c r="L12121" s="8" t="s">
        <v>11765</v>
      </c>
      <c r="M12121" s="8" t="s">
        <v>11766</v>
      </c>
      <c r="N12121" s="8" t="s">
        <v>50899</v>
      </c>
      <c r="O12121" s="8">
        <f>13+32/60+53.4/3600</f>
        <v>13.548166666666667</v>
      </c>
      <c r="P12121" s="8" t="s">
        <v>50900</v>
      </c>
      <c r="Q12121" s="8">
        <f>-(24+12/60+25/3600)</f>
        <v>-24.206944444444442</v>
      </c>
      <c r="R12121" s="8">
        <v>12.6</v>
      </c>
      <c r="S12121" s="8">
        <v>13.4</v>
      </c>
      <c r="T12121" s="8">
        <v>0.8</v>
      </c>
      <c r="U12121" s="8">
        <v>12.6</v>
      </c>
      <c r="V12121" s="8">
        <v>1.1000000000000001</v>
      </c>
      <c r="W12121" s="8">
        <v>0.9</v>
      </c>
      <c r="X12121" s="8">
        <v>54</v>
      </c>
      <c r="Y12121" s="8" t="s">
        <v>50901</v>
      </c>
      <c r="Z12121" s="8" t="s">
        <v>50902</v>
      </c>
    </row>
    <row r="12122" spans="1:26" x14ac:dyDescent="0.2">
      <c r="A12122" s="8">
        <v>12121</v>
      </c>
      <c r="B12122" s="8" t="s">
        <v>50903</v>
      </c>
      <c r="C12122" s="8" t="s">
        <v>50903</v>
      </c>
      <c r="G12122" s="8">
        <v>20</v>
      </c>
      <c r="H12122" s="8" t="s">
        <v>21</v>
      </c>
      <c r="I12122" s="8" t="s">
        <v>22</v>
      </c>
      <c r="J12122" s="8" t="s">
        <v>22</v>
      </c>
      <c r="K12122" s="8" t="s">
        <v>476</v>
      </c>
      <c r="L12122" s="8" t="s">
        <v>11765</v>
      </c>
      <c r="M12122" s="8" t="s">
        <v>11766</v>
      </c>
      <c r="N12122" s="8" t="s">
        <v>50904</v>
      </c>
      <c r="O12122" s="8">
        <f>13+32/60+38.5/3600</f>
        <v>13.544027777777778</v>
      </c>
      <c r="P12122" s="8" t="s">
        <v>50905</v>
      </c>
      <c r="Q12122" s="8">
        <f>-(27+10/60+9/3600)</f>
        <v>-27.169166666666669</v>
      </c>
      <c r="R12122" s="8">
        <v>13.6</v>
      </c>
      <c r="S12122" s="8">
        <v>14.5</v>
      </c>
      <c r="T12122" s="8">
        <v>0.9</v>
      </c>
      <c r="U12122" s="8">
        <v>13.7</v>
      </c>
      <c r="V12122" s="8">
        <v>1.4</v>
      </c>
      <c r="W12122" s="8">
        <v>0.9</v>
      </c>
      <c r="X12122" s="8">
        <v>94</v>
      </c>
      <c r="Y12122" s="8" t="s">
        <v>47963</v>
      </c>
      <c r="Z12122" s="8" t="s">
        <v>47964</v>
      </c>
    </row>
    <row r="12123" spans="1:26" x14ac:dyDescent="0.2">
      <c r="A12123" s="8">
        <v>12122</v>
      </c>
      <c r="B12123" s="8" t="s">
        <v>50906</v>
      </c>
      <c r="C12123" s="8" t="s">
        <v>50906</v>
      </c>
      <c r="G12123" s="8">
        <v>20</v>
      </c>
      <c r="H12123" s="8" t="s">
        <v>21</v>
      </c>
      <c r="I12123" s="8" t="s">
        <v>22</v>
      </c>
      <c r="J12123" s="8" t="s">
        <v>22</v>
      </c>
      <c r="K12123" s="8" t="s">
        <v>50907</v>
      </c>
      <c r="L12123" s="8" t="s">
        <v>18681</v>
      </c>
      <c r="M12123" s="8" t="s">
        <v>18682</v>
      </c>
      <c r="N12123" s="8" t="s">
        <v>50908</v>
      </c>
      <c r="O12123" s="8">
        <f>13+31/60+19.8/3600</f>
        <v>13.522166666666667</v>
      </c>
      <c r="P12123" s="8" t="s">
        <v>50909</v>
      </c>
      <c r="Q12123" s="8">
        <f>+(47+11/60+2/3600)</f>
        <v>47.183888888888887</v>
      </c>
      <c r="R12123" s="8">
        <v>17.399999999999999</v>
      </c>
      <c r="S12123" s="8">
        <v>18</v>
      </c>
      <c r="T12123" s="8">
        <v>0.6</v>
      </c>
      <c r="U12123" s="8">
        <v>14.6</v>
      </c>
      <c r="V12123" s="8">
        <v>0.3</v>
      </c>
      <c r="W12123" s="8">
        <v>0.3</v>
      </c>
      <c r="Y12123" s="8" t="s">
        <v>38883</v>
      </c>
      <c r="Z12123" s="8" t="s">
        <v>38884</v>
      </c>
    </row>
    <row r="12124" spans="1:26" x14ac:dyDescent="0.2">
      <c r="A12124" s="8">
        <v>12123</v>
      </c>
      <c r="B12124" s="8" t="s">
        <v>50910</v>
      </c>
      <c r="C12124" s="8" t="s">
        <v>50910</v>
      </c>
      <c r="G12124" s="8">
        <v>20</v>
      </c>
      <c r="H12124" s="8" t="s">
        <v>21</v>
      </c>
      <c r="I12124" s="8" t="s">
        <v>22</v>
      </c>
      <c r="J12124" s="8" t="s">
        <v>22</v>
      </c>
      <c r="K12124" s="8" t="s">
        <v>218</v>
      </c>
      <c r="L12124" s="8" t="s">
        <v>18681</v>
      </c>
      <c r="M12124" s="8" t="s">
        <v>18682</v>
      </c>
      <c r="N12124" s="8" t="s">
        <v>50911</v>
      </c>
      <c r="O12124" s="8">
        <f>13+32/60+10.7/3600</f>
        <v>13.536305555555556</v>
      </c>
      <c r="P12124" s="8" t="s">
        <v>50912</v>
      </c>
      <c r="Q12124" s="8">
        <f>+(28+23/60+20/3600)</f>
        <v>28.388888888888889</v>
      </c>
      <c r="R12124" s="8">
        <v>14.6</v>
      </c>
      <c r="S12124" s="8">
        <v>15.4</v>
      </c>
      <c r="T12124" s="8">
        <v>0.8</v>
      </c>
      <c r="U12124" s="8">
        <v>12.4</v>
      </c>
      <c r="V12124" s="8">
        <v>0.5</v>
      </c>
      <c r="W12124" s="8">
        <v>0.3</v>
      </c>
      <c r="X12124" s="8">
        <v>70</v>
      </c>
      <c r="Y12124" s="8" t="s">
        <v>50913</v>
      </c>
      <c r="Z12124" s="8" t="s">
        <v>50914</v>
      </c>
    </row>
    <row r="12125" spans="1:26" x14ac:dyDescent="0.2">
      <c r="A12125" s="8">
        <v>12124</v>
      </c>
      <c r="B12125" s="8" t="s">
        <v>50915</v>
      </c>
      <c r="C12125" s="8" t="s">
        <v>50915</v>
      </c>
      <c r="G12125" s="8">
        <v>20</v>
      </c>
      <c r="H12125" s="8" t="s">
        <v>21</v>
      </c>
      <c r="I12125" s="8" t="s">
        <v>22</v>
      </c>
      <c r="J12125" s="8" t="s">
        <v>22</v>
      </c>
      <c r="K12125" s="8" t="s">
        <v>460</v>
      </c>
      <c r="L12125" s="8" t="s">
        <v>18681</v>
      </c>
      <c r="M12125" s="8" t="s">
        <v>18682</v>
      </c>
      <c r="N12125" s="8" t="s">
        <v>50916</v>
      </c>
      <c r="O12125" s="8">
        <f>13+31/60+31.9/3600</f>
        <v>13.525527777777778</v>
      </c>
      <c r="P12125" s="8" t="s">
        <v>50917</v>
      </c>
      <c r="Q12125" s="8">
        <f>+(46+47/60+41/3600)</f>
        <v>46.794722222222219</v>
      </c>
      <c r="R12125" s="8">
        <v>16</v>
      </c>
      <c r="S12125" s="8">
        <v>17</v>
      </c>
      <c r="T12125" s="8">
        <v>1</v>
      </c>
      <c r="U12125" s="8">
        <v>12.6</v>
      </c>
      <c r="V12125" s="8">
        <v>0.2</v>
      </c>
      <c r="W12125" s="8">
        <v>0.2</v>
      </c>
      <c r="Y12125" s="8" t="s">
        <v>385</v>
      </c>
      <c r="Z12125" s="8" t="s">
        <v>386</v>
      </c>
    </row>
    <row r="12126" spans="1:26" x14ac:dyDescent="0.2">
      <c r="A12126" s="8">
        <v>12125</v>
      </c>
      <c r="B12126" s="8" t="s">
        <v>50918</v>
      </c>
      <c r="C12126" s="8" t="s">
        <v>50918</v>
      </c>
      <c r="G12126" s="8">
        <v>20</v>
      </c>
      <c r="H12126" s="8" t="s">
        <v>21</v>
      </c>
      <c r="I12126" s="8" t="s">
        <v>22</v>
      </c>
      <c r="J12126" s="8" t="s">
        <v>22</v>
      </c>
      <c r="K12126" s="8" t="s">
        <v>449</v>
      </c>
      <c r="L12126" s="8" t="s">
        <v>18681</v>
      </c>
      <c r="M12126" s="8" t="s">
        <v>18682</v>
      </c>
      <c r="N12126" s="8" t="s">
        <v>50919</v>
      </c>
      <c r="O12126" s="8">
        <f>13+31/60+45.5/3600</f>
        <v>13.529305555555556</v>
      </c>
      <c r="P12126" s="8" t="s">
        <v>50920</v>
      </c>
      <c r="Q12126" s="8">
        <f>+(46+49/60+19/3600)</f>
        <v>46.821944444444448</v>
      </c>
      <c r="R12126" s="8">
        <v>16.7</v>
      </c>
      <c r="S12126" s="8">
        <v>17.5</v>
      </c>
      <c r="T12126" s="8">
        <v>0.8</v>
      </c>
      <c r="U12126" s="8">
        <v>12.3</v>
      </c>
      <c r="V12126" s="8">
        <v>0.2</v>
      </c>
      <c r="W12126" s="8">
        <v>0.1</v>
      </c>
      <c r="X12126" s="8">
        <v>95</v>
      </c>
      <c r="Y12126" s="8" t="s">
        <v>1123</v>
      </c>
      <c r="Z12126" s="8" t="s">
        <v>1124</v>
      </c>
    </row>
    <row r="12127" spans="1:26" x14ac:dyDescent="0.2">
      <c r="A12127" s="8">
        <v>12126</v>
      </c>
      <c r="B12127" s="8" t="s">
        <v>50921</v>
      </c>
      <c r="C12127" s="8" t="s">
        <v>50921</v>
      </c>
      <c r="G12127" s="8">
        <v>20</v>
      </c>
      <c r="H12127" s="8" t="s">
        <v>21</v>
      </c>
      <c r="I12127" s="8" t="s">
        <v>22</v>
      </c>
      <c r="J12127" s="8" t="s">
        <v>22</v>
      </c>
      <c r="K12127" s="8" t="s">
        <v>160</v>
      </c>
      <c r="L12127" s="8" t="s">
        <v>11765</v>
      </c>
      <c r="M12127" s="8" t="s">
        <v>11766</v>
      </c>
      <c r="N12127" s="8" t="s">
        <v>50922</v>
      </c>
      <c r="O12127" s="8">
        <f>13+33/60+35.7/3600</f>
        <v>13.559916666666668</v>
      </c>
      <c r="P12127" s="8" t="s">
        <v>50923</v>
      </c>
      <c r="Q12127" s="8">
        <f>-(27+37/60+55/3600)</f>
        <v>-27.631944444444446</v>
      </c>
      <c r="R12127" s="8">
        <v>15.1</v>
      </c>
      <c r="S12127" s="8">
        <v>15.9</v>
      </c>
      <c r="T12127" s="8">
        <v>0.8</v>
      </c>
      <c r="U12127" s="8">
        <v>13</v>
      </c>
      <c r="V12127" s="8">
        <v>0.4</v>
      </c>
      <c r="W12127" s="8">
        <v>0.4</v>
      </c>
      <c r="Y12127" s="8" t="s">
        <v>46310</v>
      </c>
      <c r="Z12127" s="8" t="s">
        <v>46311</v>
      </c>
    </row>
    <row r="12128" spans="1:26" x14ac:dyDescent="0.2">
      <c r="A12128" s="8">
        <v>12127</v>
      </c>
      <c r="B12128" s="8" t="s">
        <v>50924</v>
      </c>
      <c r="C12128" s="8" t="s">
        <v>50924</v>
      </c>
      <c r="E12128" s="8">
        <v>1</v>
      </c>
      <c r="G12128" s="8">
        <v>20</v>
      </c>
      <c r="H12128" s="8" t="s">
        <v>21</v>
      </c>
      <c r="I12128" s="8" t="s">
        <v>22</v>
      </c>
      <c r="J12128" s="8" t="s">
        <v>22</v>
      </c>
      <c r="K12128" s="8" t="s">
        <v>449</v>
      </c>
      <c r="L12128" s="8" t="s">
        <v>18289</v>
      </c>
      <c r="M12128" s="8" t="s">
        <v>18290</v>
      </c>
      <c r="N12128" s="8" t="s">
        <v>50925</v>
      </c>
      <c r="O12128" s="8">
        <f>13+32/60+38.8/3600</f>
        <v>13.544111111111111</v>
      </c>
      <c r="P12128" s="8" t="s">
        <v>50926</v>
      </c>
      <c r="Q12128" s="8">
        <f>+(25+26/60+29/3600)</f>
        <v>25.441388888888888</v>
      </c>
      <c r="R12128" s="8">
        <v>14.5</v>
      </c>
      <c r="S12128" s="8">
        <v>15.3</v>
      </c>
      <c r="T12128" s="8">
        <v>0.8</v>
      </c>
      <c r="U12128" s="8">
        <v>12.5</v>
      </c>
      <c r="V12128" s="8">
        <v>0.6</v>
      </c>
      <c r="W12128" s="8">
        <v>0.3</v>
      </c>
      <c r="X12128" s="8">
        <v>160</v>
      </c>
      <c r="Y12128" s="8" t="s">
        <v>50927</v>
      </c>
      <c r="Z12128" s="8" t="s">
        <v>50928</v>
      </c>
    </row>
    <row r="12129" spans="1:26" x14ac:dyDescent="0.2">
      <c r="A12129" s="8">
        <v>12128</v>
      </c>
      <c r="B12129" s="8" t="s">
        <v>50929</v>
      </c>
      <c r="C12129" s="8" t="s">
        <v>50929</v>
      </c>
      <c r="G12129" s="8">
        <v>20</v>
      </c>
      <c r="H12129" s="8" t="s">
        <v>21</v>
      </c>
      <c r="I12129" s="8" t="s">
        <v>22</v>
      </c>
      <c r="J12129" s="8" t="s">
        <v>22</v>
      </c>
      <c r="K12129" s="8" t="s">
        <v>396</v>
      </c>
      <c r="L12129" s="8" t="s">
        <v>11765</v>
      </c>
      <c r="M12129" s="8" t="s">
        <v>11766</v>
      </c>
      <c r="N12129" s="8" t="s">
        <v>50930</v>
      </c>
      <c r="O12129" s="8">
        <f>13+34/60+30.3/3600</f>
        <v>13.575083333333334</v>
      </c>
      <c r="P12129" s="8" t="s">
        <v>50931</v>
      </c>
      <c r="Q12129" s="8">
        <f>-(27+18/60+16/3600)</f>
        <v>-27.304444444444446</v>
      </c>
      <c r="R12129" s="8">
        <v>13.6</v>
      </c>
      <c r="S12129" s="8">
        <v>14.4</v>
      </c>
      <c r="T12129" s="8">
        <v>0.8</v>
      </c>
      <c r="U12129" s="8">
        <v>12.7</v>
      </c>
      <c r="V12129" s="8">
        <v>1.2</v>
      </c>
      <c r="W12129" s="8">
        <v>0.6</v>
      </c>
      <c r="X12129" s="8">
        <v>112</v>
      </c>
      <c r="Y12129" s="8" t="s">
        <v>46310</v>
      </c>
      <c r="Z12129" s="8" t="s">
        <v>46311</v>
      </c>
    </row>
    <row r="12130" spans="1:26" x14ac:dyDescent="0.2">
      <c r="A12130" s="8">
        <v>12129</v>
      </c>
      <c r="B12130" s="8" t="s">
        <v>50932</v>
      </c>
      <c r="C12130" s="8" t="s">
        <v>50932</v>
      </c>
      <c r="G12130" s="8">
        <v>20</v>
      </c>
      <c r="H12130" s="8" t="s">
        <v>21</v>
      </c>
      <c r="I12130" s="8" t="s">
        <v>22</v>
      </c>
      <c r="J12130" s="8" t="s">
        <v>22</v>
      </c>
      <c r="K12130" s="8" t="s">
        <v>37</v>
      </c>
      <c r="L12130" s="8" t="s">
        <v>11765</v>
      </c>
      <c r="M12130" s="8" t="s">
        <v>11766</v>
      </c>
      <c r="N12130" s="8" t="s">
        <v>50933</v>
      </c>
      <c r="O12130" s="8">
        <f>13+34/60+47.8/3600</f>
        <v>13.579944444444445</v>
      </c>
      <c r="P12130" s="8" t="s">
        <v>50934</v>
      </c>
      <c r="Q12130" s="8">
        <f>-(27+7/60+36/3600)</f>
        <v>-27.126666666666669</v>
      </c>
      <c r="R12130" s="8">
        <v>13.2</v>
      </c>
      <c r="S12130" s="8">
        <v>14.2</v>
      </c>
      <c r="T12130" s="8">
        <v>1</v>
      </c>
      <c r="U12130" s="8">
        <v>12.8</v>
      </c>
      <c r="V12130" s="8">
        <v>1</v>
      </c>
      <c r="W12130" s="8">
        <v>0.8</v>
      </c>
      <c r="X12130" s="8">
        <v>6</v>
      </c>
      <c r="Y12130" s="8" t="s">
        <v>46310</v>
      </c>
      <c r="Z12130" s="8" t="s">
        <v>46311</v>
      </c>
    </row>
    <row r="12131" spans="1:26" x14ac:dyDescent="0.2">
      <c r="A12131" s="8">
        <v>12130</v>
      </c>
      <c r="B12131" s="8" t="s">
        <v>50935</v>
      </c>
      <c r="C12131" s="8" t="s">
        <v>50935</v>
      </c>
      <c r="G12131" s="8">
        <v>20</v>
      </c>
      <c r="H12131" s="8" t="s">
        <v>21</v>
      </c>
      <c r="I12131" s="8" t="s">
        <v>22</v>
      </c>
      <c r="J12131" s="8" t="s">
        <v>22</v>
      </c>
      <c r="K12131" s="8" t="s">
        <v>218</v>
      </c>
      <c r="L12131" s="8" t="s">
        <v>11765</v>
      </c>
      <c r="M12131" s="8" t="s">
        <v>11766</v>
      </c>
      <c r="N12131" s="8" t="s">
        <v>50936</v>
      </c>
      <c r="O12131" s="8">
        <f>13+35/60+19.6/3600</f>
        <v>13.588777777777779</v>
      </c>
      <c r="P12131" s="8" t="s">
        <v>50937</v>
      </c>
      <c r="Q12131" s="8">
        <f>-(28+1/60+19/3600)</f>
        <v>-28.021944444444443</v>
      </c>
      <c r="R12131" s="8">
        <v>13.3</v>
      </c>
      <c r="S12131" s="8">
        <v>14.2</v>
      </c>
      <c r="T12131" s="8">
        <v>0.9</v>
      </c>
      <c r="U12131" s="8">
        <v>13.9</v>
      </c>
      <c r="V12131" s="8">
        <v>1.6</v>
      </c>
      <c r="W12131" s="8">
        <v>1.3</v>
      </c>
      <c r="X12131" s="8">
        <v>98</v>
      </c>
      <c r="Y12131" s="8" t="s">
        <v>50938</v>
      </c>
      <c r="Z12131" s="8" t="s">
        <v>50939</v>
      </c>
    </row>
    <row r="12132" spans="1:26" x14ac:dyDescent="0.2">
      <c r="A12132" s="8">
        <v>12131</v>
      </c>
      <c r="B12132" s="8" t="s">
        <v>50940</v>
      </c>
      <c r="C12132" s="8" t="s">
        <v>50940</v>
      </c>
      <c r="G12132" s="8">
        <v>20</v>
      </c>
      <c r="H12132" s="8" t="s">
        <v>21</v>
      </c>
      <c r="I12132" s="8" t="s">
        <v>557</v>
      </c>
      <c r="J12132" s="8" t="s">
        <v>557</v>
      </c>
      <c r="K12132" s="8" t="s">
        <v>558</v>
      </c>
      <c r="L12132" s="8" t="s">
        <v>16195</v>
      </c>
      <c r="M12132" s="8" t="s">
        <v>16196</v>
      </c>
      <c r="N12132" s="8" t="s">
        <v>50941</v>
      </c>
      <c r="O12132" s="8">
        <f>13+36/60+56.3/3600</f>
        <v>13.615638888888888</v>
      </c>
      <c r="P12132" s="8" t="s">
        <v>50942</v>
      </c>
      <c r="Q12132" s="8">
        <f>-(62+5/60+35/3600)</f>
        <v>-62.093055555555559</v>
      </c>
      <c r="R12132" s="8">
        <v>9.6999999999999993</v>
      </c>
      <c r="S12132" s="8">
        <v>99</v>
      </c>
      <c r="T12132" s="8">
        <v>99</v>
      </c>
      <c r="U12132" s="8">
        <v>99</v>
      </c>
      <c r="V12132" s="8">
        <v>4</v>
      </c>
      <c r="Y12132" s="8" t="s">
        <v>50943</v>
      </c>
      <c r="Z12132" s="8" t="s">
        <v>50944</v>
      </c>
    </row>
    <row r="12133" spans="1:26" x14ac:dyDescent="0.2">
      <c r="A12133" s="8">
        <v>12132</v>
      </c>
      <c r="B12133" s="8" t="s">
        <v>50945</v>
      </c>
      <c r="C12133" s="8" t="s">
        <v>50945</v>
      </c>
      <c r="G12133" s="8">
        <v>20</v>
      </c>
      <c r="H12133" s="8" t="s">
        <v>21</v>
      </c>
      <c r="I12133" s="8" t="s">
        <v>22</v>
      </c>
      <c r="J12133" s="8" t="s">
        <v>22</v>
      </c>
      <c r="K12133" s="8" t="s">
        <v>160</v>
      </c>
      <c r="L12133" s="8" t="s">
        <v>11765</v>
      </c>
      <c r="M12133" s="8" t="s">
        <v>11766</v>
      </c>
      <c r="N12133" s="8" t="s">
        <v>50946</v>
      </c>
      <c r="O12133" s="8">
        <f>13+35/60+46.7/3600</f>
        <v>13.596305555555556</v>
      </c>
      <c r="P12133" s="8" t="s">
        <v>50947</v>
      </c>
      <c r="Q12133" s="8">
        <f>-(27+40/60+30/3600)</f>
        <v>-27.675000000000001</v>
      </c>
      <c r="R12133" s="8">
        <v>14.3</v>
      </c>
      <c r="S12133" s="8">
        <v>15.2</v>
      </c>
      <c r="T12133" s="8">
        <v>0.9</v>
      </c>
      <c r="U12133" s="8">
        <v>12.4</v>
      </c>
      <c r="V12133" s="8">
        <v>0.6</v>
      </c>
      <c r="W12133" s="8">
        <v>0.5</v>
      </c>
      <c r="X12133" s="8">
        <v>29</v>
      </c>
      <c r="Y12133" s="8" t="s">
        <v>47963</v>
      </c>
      <c r="Z12133" s="8" t="s">
        <v>47964</v>
      </c>
    </row>
    <row r="12134" spans="1:26" x14ac:dyDescent="0.2">
      <c r="A12134" s="8">
        <v>12133</v>
      </c>
      <c r="B12134" s="8" t="s">
        <v>50948</v>
      </c>
      <c r="C12134" s="8" t="s">
        <v>50948</v>
      </c>
      <c r="G12134" s="8">
        <v>20</v>
      </c>
      <c r="H12134" s="8" t="s">
        <v>21</v>
      </c>
      <c r="I12134" s="8" t="s">
        <v>22</v>
      </c>
      <c r="J12134" s="8" t="s">
        <v>22</v>
      </c>
      <c r="K12134" s="8" t="s">
        <v>58</v>
      </c>
      <c r="L12134" s="8" t="s">
        <v>11765</v>
      </c>
      <c r="M12134" s="8" t="s">
        <v>11766</v>
      </c>
      <c r="N12134" s="8" t="s">
        <v>50949</v>
      </c>
      <c r="O12134" s="8">
        <f>13+36/60+2.2/3600</f>
        <v>13.60061111111111</v>
      </c>
      <c r="P12134" s="8" t="s">
        <v>50950</v>
      </c>
      <c r="Q12134" s="8">
        <f>-(25+52/60+56/3600)</f>
        <v>-25.882222222222222</v>
      </c>
      <c r="R12134" s="8">
        <v>12.5</v>
      </c>
      <c r="S12134" s="8">
        <v>13.5</v>
      </c>
      <c r="T12134" s="8">
        <v>1</v>
      </c>
      <c r="U12134" s="8">
        <v>12.9</v>
      </c>
      <c r="V12134" s="8">
        <v>1.5</v>
      </c>
      <c r="W12134" s="8">
        <v>0.9</v>
      </c>
      <c r="X12134" s="8">
        <v>177</v>
      </c>
      <c r="Y12134" s="8" t="s">
        <v>48015</v>
      </c>
      <c r="Z12134" s="8" t="s">
        <v>48016</v>
      </c>
    </row>
    <row r="12135" spans="1:26" x14ac:dyDescent="0.2">
      <c r="A12135" s="8">
        <v>12134</v>
      </c>
      <c r="B12135" s="8" t="s">
        <v>50951</v>
      </c>
      <c r="C12135" s="8" t="s">
        <v>50951</v>
      </c>
      <c r="G12135" s="8">
        <v>20</v>
      </c>
      <c r="H12135" s="8" t="s">
        <v>21</v>
      </c>
      <c r="I12135" s="8" t="s">
        <v>22</v>
      </c>
      <c r="J12135" s="8" t="s">
        <v>22</v>
      </c>
      <c r="K12135" s="8" t="s">
        <v>23</v>
      </c>
      <c r="L12135" s="8" t="s">
        <v>11765</v>
      </c>
      <c r="M12135" s="8" t="s">
        <v>11766</v>
      </c>
      <c r="N12135" s="8" t="s">
        <v>50952</v>
      </c>
      <c r="O12135" s="8">
        <f>13+36/60+31.1/3600</f>
        <v>13.608638888888889</v>
      </c>
      <c r="P12135" s="8" t="s">
        <v>50953</v>
      </c>
      <c r="Q12135" s="8">
        <f>-(28+46/60+53/3600)</f>
        <v>-28.781388888888888</v>
      </c>
      <c r="R12135" s="8">
        <v>14.8</v>
      </c>
      <c r="S12135" s="8">
        <v>15.6</v>
      </c>
      <c r="T12135" s="8">
        <v>0.8</v>
      </c>
      <c r="U12135" s="8">
        <v>13.4</v>
      </c>
      <c r="V12135" s="8">
        <v>0.8</v>
      </c>
      <c r="W12135" s="8">
        <v>0.4</v>
      </c>
      <c r="X12135" s="8">
        <v>26</v>
      </c>
      <c r="Y12135" s="8" t="s">
        <v>46310</v>
      </c>
      <c r="Z12135" s="8" t="s">
        <v>46311</v>
      </c>
    </row>
    <row r="12136" spans="1:26" x14ac:dyDescent="0.2">
      <c r="A12136" s="8">
        <v>12135</v>
      </c>
      <c r="B12136" s="8" t="s">
        <v>50954</v>
      </c>
      <c r="C12136" s="8" t="s">
        <v>50954</v>
      </c>
      <c r="G12136" s="8">
        <v>20</v>
      </c>
      <c r="H12136" s="8" t="s">
        <v>21</v>
      </c>
      <c r="I12136" s="8" t="s">
        <v>22</v>
      </c>
      <c r="J12136" s="8" t="s">
        <v>22</v>
      </c>
      <c r="K12136" s="8" t="s">
        <v>396</v>
      </c>
      <c r="L12136" s="8" t="s">
        <v>11765</v>
      </c>
      <c r="M12136" s="8" t="s">
        <v>11766</v>
      </c>
      <c r="N12136" s="8" t="s">
        <v>50955</v>
      </c>
      <c r="O12136" s="8">
        <f>13+36/60+34.4/3600</f>
        <v>13.609555555555556</v>
      </c>
      <c r="P12136" s="8" t="s">
        <v>50956</v>
      </c>
      <c r="Q12136" s="8">
        <f>-(29+5/60+20/3600)</f>
        <v>-29.088888888888889</v>
      </c>
      <c r="R12136" s="8">
        <v>14.3</v>
      </c>
      <c r="S12136" s="8">
        <v>15.1</v>
      </c>
      <c r="T12136" s="8">
        <v>0.8</v>
      </c>
      <c r="U12136" s="8">
        <v>13.2</v>
      </c>
      <c r="V12136" s="8">
        <v>1</v>
      </c>
      <c r="W12136" s="8">
        <v>0.4</v>
      </c>
      <c r="X12136" s="8">
        <v>114</v>
      </c>
      <c r="Y12136" s="8" t="s">
        <v>50957</v>
      </c>
      <c r="Z12136" s="8" t="s">
        <v>50958</v>
      </c>
    </row>
    <row r="12137" spans="1:26" x14ac:dyDescent="0.2">
      <c r="A12137" s="8">
        <v>12136</v>
      </c>
      <c r="B12137" s="8" t="s">
        <v>50959</v>
      </c>
      <c r="C12137" s="8" t="s">
        <v>50959</v>
      </c>
      <c r="G12137" s="8">
        <v>13</v>
      </c>
      <c r="H12137" s="8" t="s">
        <v>21</v>
      </c>
      <c r="I12137" s="8" t="s">
        <v>22</v>
      </c>
      <c r="J12137" s="8" t="s">
        <v>22</v>
      </c>
      <c r="K12137" s="8" t="s">
        <v>460</v>
      </c>
      <c r="L12137" s="8" t="s">
        <v>16195</v>
      </c>
      <c r="M12137" s="8" t="s">
        <v>16196</v>
      </c>
      <c r="N12137" s="8" t="s">
        <v>50960</v>
      </c>
      <c r="O12137" s="8">
        <f>13+36/60+38.8/3600</f>
        <v>13.610777777777777</v>
      </c>
      <c r="P12137" s="8" t="s">
        <v>50961</v>
      </c>
      <c r="Q12137" s="8">
        <f>-(33+57/60+57/3600)</f>
        <v>-33.965833333333336</v>
      </c>
      <c r="R12137" s="8">
        <v>10.6</v>
      </c>
      <c r="S12137" s="8">
        <v>11.6</v>
      </c>
      <c r="T12137" s="8">
        <v>1</v>
      </c>
      <c r="U12137" s="8">
        <v>13.2</v>
      </c>
      <c r="V12137" s="8">
        <v>2.8</v>
      </c>
      <c r="W12137" s="8">
        <v>2.8</v>
      </c>
      <c r="Y12137" s="8" t="s">
        <v>803</v>
      </c>
      <c r="Z12137" s="8" t="s">
        <v>804</v>
      </c>
    </row>
    <row r="12138" spans="1:26" x14ac:dyDescent="0.2">
      <c r="A12138" s="8">
        <v>12137</v>
      </c>
      <c r="B12138" s="8" t="s">
        <v>50962</v>
      </c>
      <c r="C12138" s="8" t="s">
        <v>50962</v>
      </c>
      <c r="G12138" s="8">
        <v>20</v>
      </c>
      <c r="H12138" s="8" t="s">
        <v>21</v>
      </c>
      <c r="I12138" s="8" t="s">
        <v>22</v>
      </c>
      <c r="J12138" s="8" t="s">
        <v>22</v>
      </c>
      <c r="K12138" s="8" t="s">
        <v>154</v>
      </c>
      <c r="L12138" s="8" t="s">
        <v>18289</v>
      </c>
      <c r="M12138" s="8" t="s">
        <v>18290</v>
      </c>
      <c r="N12138" s="8" t="s">
        <v>50963</v>
      </c>
      <c r="O12138" s="8">
        <f>13+35/60+19.2/3600</f>
        <v>13.588666666666667</v>
      </c>
      <c r="P12138" s="8" t="s">
        <v>50964</v>
      </c>
      <c r="Q12138" s="8">
        <f>+(26+25/60+31/3600)</f>
        <v>26.425277777777779</v>
      </c>
      <c r="R12138" s="8">
        <v>14.4</v>
      </c>
      <c r="S12138" s="8">
        <v>15.3</v>
      </c>
      <c r="T12138" s="8">
        <v>0.9</v>
      </c>
      <c r="U12138" s="8">
        <v>13.4</v>
      </c>
      <c r="V12138" s="8">
        <v>0.9</v>
      </c>
      <c r="W12138" s="8">
        <v>0.5</v>
      </c>
      <c r="X12138" s="8">
        <v>65</v>
      </c>
      <c r="Y12138" s="8" t="s">
        <v>36797</v>
      </c>
      <c r="Z12138" s="8" t="s">
        <v>36798</v>
      </c>
    </row>
    <row r="12139" spans="1:26" x14ac:dyDescent="0.2">
      <c r="A12139" s="8">
        <v>12138</v>
      </c>
      <c r="B12139" s="8" t="s">
        <v>50965</v>
      </c>
      <c r="C12139" s="8" t="s">
        <v>50965</v>
      </c>
      <c r="G12139" s="8">
        <v>20</v>
      </c>
      <c r="H12139" s="8" t="s">
        <v>21</v>
      </c>
      <c r="I12139" s="8" t="s">
        <v>22</v>
      </c>
      <c r="J12139" s="8" t="s">
        <v>22</v>
      </c>
      <c r="K12139" s="8" t="s">
        <v>396</v>
      </c>
      <c r="L12139" s="8" t="s">
        <v>11765</v>
      </c>
      <c r="M12139" s="8" t="s">
        <v>11766</v>
      </c>
      <c r="N12139" s="8" t="s">
        <v>50966</v>
      </c>
      <c r="O12139" s="8">
        <f>13+36/60+34.7/3600</f>
        <v>13.609638888888888</v>
      </c>
      <c r="P12139" s="8" t="s">
        <v>50967</v>
      </c>
      <c r="Q12139" s="8">
        <f>-(26+33/60+15/3600)</f>
        <v>-26.554166666666667</v>
      </c>
      <c r="R12139" s="8">
        <v>13.2</v>
      </c>
      <c r="S12139" s="8">
        <v>14</v>
      </c>
      <c r="T12139" s="8">
        <v>0.8</v>
      </c>
      <c r="U12139" s="8">
        <v>13.1</v>
      </c>
      <c r="V12139" s="8">
        <v>1.5</v>
      </c>
      <c r="W12139" s="8">
        <v>0.7</v>
      </c>
      <c r="X12139" s="8">
        <v>177</v>
      </c>
      <c r="Y12139" s="8" t="s">
        <v>50798</v>
      </c>
      <c r="Z12139" s="8" t="s">
        <v>50968</v>
      </c>
    </row>
    <row r="12140" spans="1:26" x14ac:dyDescent="0.2">
      <c r="A12140" s="8">
        <v>12139</v>
      </c>
      <c r="B12140" s="8" t="s">
        <v>50969</v>
      </c>
      <c r="C12140" s="8" t="s">
        <v>50969</v>
      </c>
      <c r="G12140" s="8">
        <v>20</v>
      </c>
      <c r="H12140" s="8" t="s">
        <v>21</v>
      </c>
      <c r="I12140" s="8" t="s">
        <v>22</v>
      </c>
      <c r="J12140" s="8" t="s">
        <v>22</v>
      </c>
      <c r="K12140" s="8" t="s">
        <v>154</v>
      </c>
      <c r="L12140" s="8" t="s">
        <v>16195</v>
      </c>
      <c r="M12140" s="8" t="s">
        <v>16196</v>
      </c>
      <c r="N12140" s="8" t="s">
        <v>50970</v>
      </c>
      <c r="O12140" s="8">
        <f>13+36/60+47.5/3600</f>
        <v>13.613194444444444</v>
      </c>
      <c r="P12140" s="8" t="s">
        <v>50971</v>
      </c>
      <c r="Q12140" s="8">
        <f>-(34+3/60+57/3600)</f>
        <v>-34.06583333333333</v>
      </c>
      <c r="R12140" s="8">
        <v>12.6</v>
      </c>
      <c r="S12140" s="8">
        <v>13.7</v>
      </c>
      <c r="T12140" s="8">
        <v>1.1000000000000001</v>
      </c>
      <c r="U12140" s="8">
        <v>12.6</v>
      </c>
      <c r="V12140" s="8">
        <v>1.9</v>
      </c>
      <c r="W12140" s="8">
        <v>0.9</v>
      </c>
      <c r="X12140" s="8">
        <v>58</v>
      </c>
      <c r="Y12140" s="8" t="s">
        <v>50972</v>
      </c>
      <c r="Z12140" s="8" t="s">
        <v>50973</v>
      </c>
    </row>
    <row r="12141" spans="1:26" x14ac:dyDescent="0.2">
      <c r="A12141" s="8">
        <v>12140</v>
      </c>
      <c r="B12141" s="8" t="s">
        <v>50974</v>
      </c>
      <c r="C12141" s="8" t="s">
        <v>50974</v>
      </c>
      <c r="G12141" s="8">
        <v>20</v>
      </c>
      <c r="H12141" s="8" t="s">
        <v>21</v>
      </c>
      <c r="I12141" s="8" t="s">
        <v>22</v>
      </c>
      <c r="J12141" s="8" t="s">
        <v>22</v>
      </c>
      <c r="K12141" s="8" t="s">
        <v>424</v>
      </c>
      <c r="L12141" s="8" t="s">
        <v>18681</v>
      </c>
      <c r="M12141" s="8" t="s">
        <v>18682</v>
      </c>
      <c r="N12141" s="8" t="s">
        <v>50975</v>
      </c>
      <c r="O12141" s="8">
        <f>13+35/60+25.1/3600</f>
        <v>13.590305555555556</v>
      </c>
      <c r="P12141" s="8" t="s">
        <v>50976</v>
      </c>
      <c r="Q12141" s="8">
        <f>+(33+25/60+11/3600)</f>
        <v>33.419722222222219</v>
      </c>
      <c r="R12141" s="8">
        <v>15.1</v>
      </c>
      <c r="S12141" s="8">
        <v>16.100000000000001</v>
      </c>
      <c r="T12141" s="8">
        <v>1</v>
      </c>
      <c r="U12141" s="8">
        <v>11.5</v>
      </c>
      <c r="V12141" s="8">
        <v>0.2</v>
      </c>
      <c r="W12141" s="8">
        <v>0.2</v>
      </c>
      <c r="Y12141" s="8" t="s">
        <v>36717</v>
      </c>
      <c r="Z12141" s="8" t="s">
        <v>36718</v>
      </c>
    </row>
    <row r="12142" spans="1:26" x14ac:dyDescent="0.2">
      <c r="A12142" s="8">
        <v>12141</v>
      </c>
      <c r="B12142" s="8" t="s">
        <v>50977</v>
      </c>
      <c r="C12142" s="8" t="s">
        <v>50977</v>
      </c>
      <c r="G12142" s="8">
        <v>20</v>
      </c>
      <c r="H12142" s="8" t="s">
        <v>21</v>
      </c>
      <c r="I12142" s="8" t="s">
        <v>22</v>
      </c>
      <c r="J12142" s="8" t="s">
        <v>22</v>
      </c>
      <c r="K12142" s="8" t="s">
        <v>396</v>
      </c>
      <c r="L12142" s="8" t="s">
        <v>18681</v>
      </c>
      <c r="M12142" s="8" t="s">
        <v>18682</v>
      </c>
      <c r="N12142" s="8" t="s">
        <v>50978</v>
      </c>
      <c r="O12142" s="8">
        <f>13+35/60+35.8/3600</f>
        <v>13.593277777777779</v>
      </c>
      <c r="P12142" s="8" t="s">
        <v>50979</v>
      </c>
      <c r="Q12142" s="8">
        <f>+(33+22/60+28/3600)</f>
        <v>33.374444444444443</v>
      </c>
      <c r="R12142" s="8">
        <v>15</v>
      </c>
      <c r="S12142" s="8">
        <v>15.8</v>
      </c>
      <c r="T12142" s="8">
        <v>0.8</v>
      </c>
      <c r="U12142" s="8">
        <v>13</v>
      </c>
      <c r="V12142" s="8">
        <v>0.9</v>
      </c>
      <c r="W12142" s="8">
        <v>0.2</v>
      </c>
      <c r="X12142" s="8">
        <v>130</v>
      </c>
      <c r="Y12142" s="8" t="s">
        <v>50980</v>
      </c>
      <c r="Z12142" s="8" t="s">
        <v>50981</v>
      </c>
    </row>
    <row r="12143" spans="1:26" x14ac:dyDescent="0.2">
      <c r="A12143" s="8">
        <v>12142</v>
      </c>
      <c r="B12143" s="8" t="s">
        <v>50982</v>
      </c>
      <c r="C12143" s="8" t="s">
        <v>50982</v>
      </c>
      <c r="G12143" s="8">
        <v>20</v>
      </c>
      <c r="H12143" s="8" t="s">
        <v>21</v>
      </c>
      <c r="I12143" s="8" t="s">
        <v>22</v>
      </c>
      <c r="J12143" s="8" t="s">
        <v>22</v>
      </c>
      <c r="K12143" s="8" t="s">
        <v>160</v>
      </c>
      <c r="L12143" s="8" t="s">
        <v>18681</v>
      </c>
      <c r="M12143" s="8" t="s">
        <v>18682</v>
      </c>
      <c r="N12143" s="8" t="s">
        <v>50983</v>
      </c>
      <c r="O12143" s="8">
        <f>13+35/60+35.9/3600</f>
        <v>13.593305555555556</v>
      </c>
      <c r="P12143" s="8" t="s">
        <v>50984</v>
      </c>
      <c r="Q12143" s="8">
        <f>+(33+28/60+46/3600)</f>
        <v>33.479444444444447</v>
      </c>
      <c r="R12143" s="8">
        <v>14.9</v>
      </c>
      <c r="S12143" s="8">
        <v>15.6</v>
      </c>
      <c r="T12143" s="8">
        <v>0.7</v>
      </c>
      <c r="U12143" s="8">
        <v>13.4</v>
      </c>
      <c r="V12143" s="8">
        <v>1.3</v>
      </c>
      <c r="W12143" s="8">
        <v>0.1</v>
      </c>
      <c r="X12143" s="8">
        <v>126</v>
      </c>
      <c r="Y12143" s="8" t="s">
        <v>44249</v>
      </c>
      <c r="Z12143" s="8" t="s">
        <v>44250</v>
      </c>
    </row>
    <row r="12144" spans="1:26" x14ac:dyDescent="0.2">
      <c r="A12144" s="8">
        <v>12143</v>
      </c>
      <c r="B12144" s="8" t="s">
        <v>50985</v>
      </c>
      <c r="C12144" s="8" t="s">
        <v>50985</v>
      </c>
      <c r="G12144" s="8">
        <v>20</v>
      </c>
      <c r="H12144" s="8" t="s">
        <v>21</v>
      </c>
      <c r="I12144" s="8" t="s">
        <v>22</v>
      </c>
      <c r="J12144" s="8" t="s">
        <v>22</v>
      </c>
      <c r="K12144" s="8" t="s">
        <v>85</v>
      </c>
      <c r="L12144" s="8" t="s">
        <v>11765</v>
      </c>
      <c r="M12144" s="8" t="s">
        <v>11766</v>
      </c>
      <c r="N12144" s="8" t="s">
        <v>50986</v>
      </c>
      <c r="O12144" s="8">
        <f>13+37/60+18.2/3600</f>
        <v>13.621722222222223</v>
      </c>
      <c r="P12144" s="8" t="s">
        <v>50987</v>
      </c>
      <c r="Q12144" s="8">
        <f>-(28+39/60+28/3600)</f>
        <v>-28.657777777777778</v>
      </c>
      <c r="R12144" s="8">
        <v>14.5</v>
      </c>
      <c r="S12144" s="8">
        <v>15.3</v>
      </c>
      <c r="T12144" s="8">
        <v>0.8</v>
      </c>
      <c r="U12144" s="8">
        <v>13.6</v>
      </c>
      <c r="V12144" s="8">
        <v>1</v>
      </c>
      <c r="W12144" s="8">
        <v>0.5</v>
      </c>
      <c r="X12144" s="8">
        <v>65</v>
      </c>
      <c r="Y12144" s="8" t="s">
        <v>47963</v>
      </c>
      <c r="Z12144" s="8" t="s">
        <v>47964</v>
      </c>
    </row>
    <row r="12145" spans="1:26" x14ac:dyDescent="0.2">
      <c r="A12145" s="8">
        <v>12144</v>
      </c>
      <c r="B12145" s="8" t="s">
        <v>50988</v>
      </c>
      <c r="C12145" s="8" t="s">
        <v>50988</v>
      </c>
      <c r="G12145" s="8">
        <v>20</v>
      </c>
      <c r="H12145" s="8" t="s">
        <v>21</v>
      </c>
      <c r="I12145" s="8" t="s">
        <v>22</v>
      </c>
      <c r="J12145" s="8" t="s">
        <v>22</v>
      </c>
      <c r="K12145" s="8" t="s">
        <v>31</v>
      </c>
      <c r="L12145" s="8" t="s">
        <v>18681</v>
      </c>
      <c r="M12145" s="8" t="s">
        <v>18682</v>
      </c>
      <c r="N12145" s="8" t="s">
        <v>50989</v>
      </c>
      <c r="O12145" s="8">
        <f>13+35/60+57.9/3600</f>
        <v>13.599416666666666</v>
      </c>
      <c r="P12145" s="8" t="s">
        <v>50990</v>
      </c>
      <c r="Q12145" s="8">
        <f>+(33+25/60+47/3600)</f>
        <v>33.429722222222217</v>
      </c>
      <c r="R12145" s="8">
        <v>14.1</v>
      </c>
      <c r="S12145" s="8">
        <v>14.9</v>
      </c>
      <c r="T12145" s="8">
        <v>0.8</v>
      </c>
      <c r="U12145" s="8">
        <v>13.1</v>
      </c>
      <c r="V12145" s="8">
        <v>1.2</v>
      </c>
      <c r="W12145" s="8">
        <v>0.4</v>
      </c>
      <c r="X12145" s="8">
        <v>42</v>
      </c>
      <c r="Y12145" s="8" t="s">
        <v>24508</v>
      </c>
      <c r="Z12145" s="8" t="s">
        <v>24509</v>
      </c>
    </row>
    <row r="12146" spans="1:26" x14ac:dyDescent="0.2">
      <c r="A12146" s="8">
        <v>12145</v>
      </c>
      <c r="B12146" s="8" t="s">
        <v>50991</v>
      </c>
      <c r="C12146" s="8" t="s">
        <v>50991</v>
      </c>
      <c r="G12146" s="8">
        <v>20</v>
      </c>
      <c r="H12146" s="8" t="s">
        <v>21</v>
      </c>
      <c r="I12146" s="8" t="s">
        <v>22</v>
      </c>
      <c r="J12146" s="8" t="s">
        <v>22</v>
      </c>
      <c r="K12146" s="8" t="s">
        <v>1068</v>
      </c>
      <c r="L12146" s="8" t="s">
        <v>18681</v>
      </c>
      <c r="M12146" s="8" t="s">
        <v>18682</v>
      </c>
      <c r="N12146" s="8" t="s">
        <v>50992</v>
      </c>
      <c r="O12146" s="8">
        <f>13+35/60+58.3/3600</f>
        <v>13.599527777777778</v>
      </c>
      <c r="P12146" s="8" t="s">
        <v>50993</v>
      </c>
      <c r="Q12146" s="8">
        <f>+(33+28/60+28/3600)</f>
        <v>33.474444444444444</v>
      </c>
      <c r="R12146" s="8">
        <v>13.8</v>
      </c>
      <c r="S12146" s="8">
        <v>14.8</v>
      </c>
      <c r="T12146" s="8">
        <v>1</v>
      </c>
      <c r="U12146" s="8">
        <v>12.9</v>
      </c>
      <c r="V12146" s="8">
        <v>0.7</v>
      </c>
      <c r="W12146" s="8">
        <v>0.6</v>
      </c>
      <c r="X12146" s="8">
        <v>171</v>
      </c>
      <c r="Y12146" s="8" t="s">
        <v>50994</v>
      </c>
      <c r="Z12146" s="8" t="s">
        <v>50995</v>
      </c>
    </row>
    <row r="12147" spans="1:26" x14ac:dyDescent="0.2">
      <c r="A12147" s="8">
        <v>12146</v>
      </c>
      <c r="B12147" s="8" t="s">
        <v>50996</v>
      </c>
      <c r="C12147" s="8" t="s">
        <v>50996</v>
      </c>
      <c r="G12147" s="8">
        <v>20</v>
      </c>
      <c r="H12147" s="8" t="s">
        <v>21</v>
      </c>
      <c r="I12147" s="8" t="s">
        <v>22</v>
      </c>
      <c r="J12147" s="8" t="s">
        <v>22</v>
      </c>
      <c r="K12147" s="8" t="s">
        <v>476</v>
      </c>
      <c r="L12147" s="8" t="s">
        <v>18681</v>
      </c>
      <c r="M12147" s="8" t="s">
        <v>18682</v>
      </c>
      <c r="N12147" s="8" t="s">
        <v>50997</v>
      </c>
      <c r="O12147" s="8">
        <f>13+36/60+19.6/3600</f>
        <v>13.605444444444444</v>
      </c>
      <c r="P12147" s="8" t="s">
        <v>50998</v>
      </c>
      <c r="Q12147" s="8">
        <f>+(33+25/60+27/3600)</f>
        <v>33.424166666666665</v>
      </c>
      <c r="R12147" s="8">
        <v>15</v>
      </c>
      <c r="S12147" s="8">
        <v>15.8</v>
      </c>
      <c r="T12147" s="8">
        <v>0.8</v>
      </c>
      <c r="U12147" s="8">
        <v>12.4</v>
      </c>
      <c r="V12147" s="8">
        <v>0.5</v>
      </c>
      <c r="W12147" s="8">
        <v>0.2</v>
      </c>
      <c r="X12147" s="8">
        <v>87</v>
      </c>
      <c r="Y12147" s="8" t="s">
        <v>50999</v>
      </c>
      <c r="Z12147" s="8" t="s">
        <v>51000</v>
      </c>
    </row>
    <row r="12148" spans="1:26" x14ac:dyDescent="0.2">
      <c r="A12148" s="8">
        <v>12147</v>
      </c>
      <c r="B12148" s="8" t="s">
        <v>51001</v>
      </c>
      <c r="C12148" s="8" t="s">
        <v>51001</v>
      </c>
      <c r="G12148" s="8">
        <v>20</v>
      </c>
      <c r="H12148" s="8" t="s">
        <v>21</v>
      </c>
      <c r="I12148" s="8" t="s">
        <v>22</v>
      </c>
      <c r="J12148" s="8" t="s">
        <v>22</v>
      </c>
      <c r="K12148" s="8" t="s">
        <v>37</v>
      </c>
      <c r="L12148" s="8" t="s">
        <v>22476</v>
      </c>
      <c r="M12148" s="8" t="s">
        <v>22477</v>
      </c>
      <c r="N12148" s="8" t="s">
        <v>51002</v>
      </c>
      <c r="O12148" s="8">
        <f>13+36/60+36.1/3600</f>
        <v>13.610027777777777</v>
      </c>
      <c r="P12148" s="8" t="s">
        <v>51003</v>
      </c>
      <c r="Q12148" s="8">
        <f>+(27+14/60+34/3600)</f>
        <v>27.242777777777778</v>
      </c>
      <c r="R12148" s="8">
        <v>14.1</v>
      </c>
      <c r="S12148" s="8">
        <v>15.1</v>
      </c>
      <c r="T12148" s="8">
        <v>1</v>
      </c>
      <c r="U12148" s="8">
        <v>13.2</v>
      </c>
      <c r="V12148" s="8">
        <v>0.7</v>
      </c>
      <c r="W12148" s="8">
        <v>0.7</v>
      </c>
      <c r="Y12148" s="8" t="s">
        <v>51004</v>
      </c>
      <c r="Z12148" s="8" t="s">
        <v>51005</v>
      </c>
    </row>
    <row r="12149" spans="1:26" x14ac:dyDescent="0.2">
      <c r="A12149" s="8">
        <v>12148</v>
      </c>
      <c r="B12149" s="8" t="s">
        <v>51006</v>
      </c>
      <c r="C12149" s="8" t="s">
        <v>51006</v>
      </c>
      <c r="G12149" s="8">
        <v>20</v>
      </c>
      <c r="H12149" s="8" t="s">
        <v>21</v>
      </c>
      <c r="I12149" s="8" t="s">
        <v>329</v>
      </c>
      <c r="J12149" s="8" t="s">
        <v>329</v>
      </c>
      <c r="K12149" s="8" t="s">
        <v>329</v>
      </c>
      <c r="L12149" s="8" t="s">
        <v>18681</v>
      </c>
      <c r="M12149" s="8" t="s">
        <v>18682</v>
      </c>
      <c r="N12149" s="8" t="s">
        <v>51007</v>
      </c>
      <c r="O12149" s="8">
        <f>13+36/60+52.4/3600</f>
        <v>13.614555555555555</v>
      </c>
      <c r="P12149" s="8" t="s">
        <v>51008</v>
      </c>
      <c r="Q12149" s="8">
        <f>+(32+44/60+0/3600)</f>
        <v>32.733333333333334</v>
      </c>
      <c r="R12149" s="8">
        <v>99</v>
      </c>
      <c r="S12149" s="8">
        <v>99</v>
      </c>
      <c r="T12149" s="8">
        <v>99</v>
      </c>
      <c r="U12149" s="8">
        <v>99</v>
      </c>
      <c r="Y12149" s="8" t="s">
        <v>41252</v>
      </c>
      <c r="Z12149" s="8" t="s">
        <v>35612</v>
      </c>
    </row>
    <row r="12150" spans="1:26" x14ac:dyDescent="0.2">
      <c r="A12150" s="8">
        <v>12149</v>
      </c>
      <c r="B12150" s="8" t="s">
        <v>51009</v>
      </c>
      <c r="C12150" s="8" t="s">
        <v>51009</v>
      </c>
      <c r="G12150" s="8">
        <v>20</v>
      </c>
      <c r="H12150" s="8" t="s">
        <v>21</v>
      </c>
      <c r="I12150" s="8" t="s">
        <v>22</v>
      </c>
      <c r="J12150" s="8" t="s">
        <v>22</v>
      </c>
      <c r="K12150" s="8" t="s">
        <v>396</v>
      </c>
      <c r="L12150" s="8" t="s">
        <v>11765</v>
      </c>
      <c r="M12150" s="8" t="s">
        <v>11766</v>
      </c>
      <c r="N12150" s="8" t="s">
        <v>51010</v>
      </c>
      <c r="O12150" s="8">
        <f>13+38/60+50/3600</f>
        <v>13.647222222222222</v>
      </c>
      <c r="P12150" s="8" t="s">
        <v>51011</v>
      </c>
      <c r="Q12150" s="8">
        <f>-(29+39/60+47/3600)</f>
        <v>-29.663055555555555</v>
      </c>
      <c r="R12150" s="8">
        <v>14.7</v>
      </c>
      <c r="S12150" s="8">
        <v>15.5</v>
      </c>
      <c r="T12150" s="8">
        <v>0.8</v>
      </c>
      <c r="U12150" s="8">
        <v>13.4</v>
      </c>
      <c r="V12150" s="8">
        <v>0.7</v>
      </c>
      <c r="W12150" s="8">
        <v>0.5</v>
      </c>
      <c r="X12150" s="8">
        <v>127</v>
      </c>
      <c r="Y12150" s="8" t="s">
        <v>46310</v>
      </c>
      <c r="Z12150" s="8" t="s">
        <v>46311</v>
      </c>
    </row>
    <row r="12151" spans="1:26" x14ac:dyDescent="0.2">
      <c r="A12151" s="8">
        <v>12150</v>
      </c>
      <c r="B12151" s="8" t="s">
        <v>51012</v>
      </c>
      <c r="C12151" s="8" t="s">
        <v>51012</v>
      </c>
      <c r="G12151" s="8">
        <v>20</v>
      </c>
      <c r="H12151" s="8" t="s">
        <v>21</v>
      </c>
      <c r="I12151" s="8" t="s">
        <v>22</v>
      </c>
      <c r="J12151" s="8" t="s">
        <v>22</v>
      </c>
      <c r="K12151" s="8" t="s">
        <v>643</v>
      </c>
      <c r="L12151" s="8" t="s">
        <v>11765</v>
      </c>
      <c r="M12151" s="8" t="s">
        <v>11766</v>
      </c>
      <c r="N12151" s="8" t="s">
        <v>51013</v>
      </c>
      <c r="O12151" s="8">
        <f>13+38/60+57/3600</f>
        <v>13.649166666666666</v>
      </c>
      <c r="P12151" s="8" t="s">
        <v>51014</v>
      </c>
      <c r="Q12151" s="8">
        <f>-(25+50/60+44/3600)</f>
        <v>-25.845555555555553</v>
      </c>
      <c r="R12151" s="8">
        <v>12.2</v>
      </c>
      <c r="S12151" s="8">
        <v>13.2</v>
      </c>
      <c r="T12151" s="8">
        <v>1</v>
      </c>
      <c r="U12151" s="8">
        <v>12.9</v>
      </c>
      <c r="V12151" s="8">
        <v>2.2000000000000002</v>
      </c>
      <c r="W12151" s="8">
        <v>0.8</v>
      </c>
      <c r="X12151" s="8">
        <v>73</v>
      </c>
      <c r="Y12151" s="8" t="s">
        <v>51015</v>
      </c>
      <c r="Z12151" s="8" t="s">
        <v>51016</v>
      </c>
    </row>
    <row r="12152" spans="1:26" x14ac:dyDescent="0.2">
      <c r="A12152" s="8">
        <v>12151</v>
      </c>
      <c r="B12152" s="8" t="s">
        <v>51017</v>
      </c>
      <c r="C12152" s="8" t="s">
        <v>51017</v>
      </c>
      <c r="G12152" s="8">
        <v>20</v>
      </c>
      <c r="H12152" s="8" t="s">
        <v>21</v>
      </c>
      <c r="I12152" s="8" t="s">
        <v>22</v>
      </c>
      <c r="J12152" s="8" t="s">
        <v>22</v>
      </c>
      <c r="K12152" s="8" t="s">
        <v>396</v>
      </c>
      <c r="L12152" s="8" t="s">
        <v>16195</v>
      </c>
      <c r="M12152" s="8" t="s">
        <v>16196</v>
      </c>
      <c r="N12152" s="8" t="s">
        <v>51018</v>
      </c>
      <c r="O12152" s="8">
        <f>13+40/60+8/3600</f>
        <v>13.668888888888889</v>
      </c>
      <c r="P12152" s="8" t="s">
        <v>51019</v>
      </c>
      <c r="Q12152" s="8">
        <f>-(51+2/60+11/3600)</f>
        <v>-51.036388888888887</v>
      </c>
      <c r="R12152" s="8">
        <v>13.4</v>
      </c>
      <c r="S12152" s="8">
        <v>14.2</v>
      </c>
      <c r="T12152" s="8">
        <v>0.8</v>
      </c>
      <c r="U12152" s="8">
        <v>12.8</v>
      </c>
      <c r="V12152" s="8">
        <v>1</v>
      </c>
      <c r="W12152" s="8">
        <v>0.7</v>
      </c>
      <c r="X12152" s="8">
        <v>148</v>
      </c>
      <c r="Y12152" s="8" t="s">
        <v>51020</v>
      </c>
      <c r="Z12152" s="8" t="s">
        <v>51021</v>
      </c>
    </row>
    <row r="12153" spans="1:26" x14ac:dyDescent="0.2">
      <c r="A12153" s="8">
        <v>12152</v>
      </c>
      <c r="B12153" s="8" t="s">
        <v>51022</v>
      </c>
      <c r="C12153" s="8" t="s">
        <v>51022</v>
      </c>
      <c r="G12153" s="8">
        <v>20</v>
      </c>
      <c r="H12153" s="8" t="s">
        <v>21</v>
      </c>
      <c r="I12153" s="8" t="s">
        <v>22</v>
      </c>
      <c r="J12153" s="8" t="s">
        <v>22</v>
      </c>
      <c r="K12153" s="8" t="s">
        <v>224</v>
      </c>
      <c r="L12153" s="8" t="s">
        <v>16195</v>
      </c>
      <c r="M12153" s="8" t="s">
        <v>16196</v>
      </c>
      <c r="N12153" s="8" t="s">
        <v>51023</v>
      </c>
      <c r="O12153" s="8">
        <f>13+40/60+30.8/3600</f>
        <v>13.675222222222221</v>
      </c>
      <c r="P12153" s="8" t="s">
        <v>51024</v>
      </c>
      <c r="Q12153" s="8">
        <f>-(51+4/60+17/3600)</f>
        <v>-51.07138888888889</v>
      </c>
      <c r="R12153" s="8">
        <v>12.3</v>
      </c>
      <c r="S12153" s="8">
        <v>13.3</v>
      </c>
      <c r="T12153" s="8">
        <v>1</v>
      </c>
      <c r="U12153" s="8">
        <v>11.7</v>
      </c>
      <c r="V12153" s="8">
        <v>0.9</v>
      </c>
      <c r="W12153" s="8">
        <v>0.7</v>
      </c>
      <c r="X12153" s="8">
        <v>30</v>
      </c>
      <c r="Y12153" s="8" t="s">
        <v>51025</v>
      </c>
      <c r="Z12153" s="8" t="s">
        <v>51026</v>
      </c>
    </row>
    <row r="12154" spans="1:26" x14ac:dyDescent="0.2">
      <c r="A12154" s="8">
        <v>12153</v>
      </c>
      <c r="B12154" s="8" t="s">
        <v>51027</v>
      </c>
      <c r="C12154" s="8" t="s">
        <v>51027</v>
      </c>
      <c r="G12154" s="8">
        <v>20</v>
      </c>
      <c r="H12154" s="8" t="s">
        <v>21</v>
      </c>
      <c r="I12154" s="8" t="s">
        <v>22</v>
      </c>
      <c r="J12154" s="8" t="s">
        <v>22</v>
      </c>
      <c r="K12154" s="8" t="s">
        <v>424</v>
      </c>
      <c r="L12154" s="8" t="s">
        <v>22476</v>
      </c>
      <c r="M12154" s="8" t="s">
        <v>22477</v>
      </c>
      <c r="N12154" s="8" t="s">
        <v>51028</v>
      </c>
      <c r="O12154" s="8">
        <f>13+38/60+20.6/3600</f>
        <v>13.639055555555554</v>
      </c>
      <c r="P12154" s="8" t="s">
        <v>51029</v>
      </c>
      <c r="Q12154" s="8">
        <f>+(26+45/60+37/3600)</f>
        <v>26.760277777777777</v>
      </c>
      <c r="R12154" s="8">
        <v>14.6</v>
      </c>
      <c r="S12154" s="8">
        <v>15.6</v>
      </c>
      <c r="T12154" s="8">
        <v>1</v>
      </c>
      <c r="U12154" s="8">
        <v>12.5</v>
      </c>
      <c r="V12154" s="8">
        <v>0.4</v>
      </c>
      <c r="W12154" s="8">
        <v>0.4</v>
      </c>
      <c r="Y12154" s="8" t="s">
        <v>5926</v>
      </c>
      <c r="Z12154" s="8" t="s">
        <v>5927</v>
      </c>
    </row>
    <row r="12155" spans="1:26" x14ac:dyDescent="0.2">
      <c r="A12155" s="8">
        <v>12154</v>
      </c>
      <c r="B12155" s="8" t="s">
        <v>51030</v>
      </c>
      <c r="C12155" s="8" t="s">
        <v>51030</v>
      </c>
      <c r="G12155" s="8">
        <v>20</v>
      </c>
      <c r="H12155" s="8" t="s">
        <v>21</v>
      </c>
      <c r="I12155" s="8" t="s">
        <v>22</v>
      </c>
      <c r="J12155" s="8" t="s">
        <v>22</v>
      </c>
      <c r="K12155" s="8" t="s">
        <v>460</v>
      </c>
      <c r="L12155" s="8" t="s">
        <v>22476</v>
      </c>
      <c r="M12155" s="8" t="s">
        <v>22477</v>
      </c>
      <c r="N12155" s="8" t="s">
        <v>51031</v>
      </c>
      <c r="O12155" s="8">
        <f>13+38/60+25/3600</f>
        <v>13.640277777777778</v>
      </c>
      <c r="P12155" s="8" t="s">
        <v>51032</v>
      </c>
      <c r="Q12155" s="8">
        <f>+(26+44/60+35/3600)</f>
        <v>26.743055555555557</v>
      </c>
      <c r="R12155" s="8">
        <v>13.7</v>
      </c>
      <c r="S12155" s="8">
        <v>14.7</v>
      </c>
      <c r="T12155" s="8">
        <v>1</v>
      </c>
      <c r="U12155" s="8">
        <v>12.4</v>
      </c>
      <c r="V12155" s="8">
        <v>0.6</v>
      </c>
      <c r="W12155" s="8">
        <v>0.6</v>
      </c>
      <c r="Y12155" s="8" t="s">
        <v>51033</v>
      </c>
      <c r="Z12155" s="8" t="s">
        <v>51034</v>
      </c>
    </row>
    <row r="12156" spans="1:26" x14ac:dyDescent="0.2">
      <c r="A12156" s="8">
        <v>12155</v>
      </c>
      <c r="B12156" s="8" t="s">
        <v>51035</v>
      </c>
      <c r="C12156" s="8" t="s">
        <v>51035</v>
      </c>
      <c r="G12156" s="8">
        <v>20</v>
      </c>
      <c r="H12156" s="8" t="s">
        <v>21</v>
      </c>
      <c r="I12156" s="8" t="s">
        <v>22</v>
      </c>
      <c r="J12156" s="8" t="s">
        <v>22</v>
      </c>
      <c r="K12156" s="8" t="s">
        <v>64</v>
      </c>
      <c r="L12156" s="8" t="s">
        <v>11765</v>
      </c>
      <c r="M12156" s="8" t="s">
        <v>11766</v>
      </c>
      <c r="N12156" s="8" t="s">
        <v>51036</v>
      </c>
      <c r="O12156" s="8">
        <f>13+40/60+3.1/3600</f>
        <v>13.667527777777778</v>
      </c>
      <c r="P12156" s="8" t="s">
        <v>51037</v>
      </c>
      <c r="Q12156" s="8">
        <f>-(25+28/60+30/3600)</f>
        <v>-25.474999999999998</v>
      </c>
      <c r="R12156" s="8">
        <v>14.1</v>
      </c>
      <c r="S12156" s="8">
        <v>14.8</v>
      </c>
      <c r="T12156" s="8">
        <v>0.7</v>
      </c>
      <c r="U12156" s="8">
        <v>13.3</v>
      </c>
      <c r="V12156" s="8">
        <v>1.6</v>
      </c>
      <c r="W12156" s="8">
        <v>0.3</v>
      </c>
      <c r="X12156" s="8">
        <v>132</v>
      </c>
      <c r="Y12156" s="8" t="s">
        <v>51038</v>
      </c>
      <c r="Z12156" s="8" t="s">
        <v>51039</v>
      </c>
    </row>
    <row r="12157" spans="1:26" x14ac:dyDescent="0.2">
      <c r="A12157" s="8">
        <v>12156</v>
      </c>
      <c r="B12157" s="8" t="s">
        <v>51040</v>
      </c>
      <c r="C12157" s="8" t="s">
        <v>51040</v>
      </c>
      <c r="G12157" s="8">
        <v>20</v>
      </c>
      <c r="H12157" s="8" t="s">
        <v>21</v>
      </c>
      <c r="I12157" s="8" t="s">
        <v>22</v>
      </c>
      <c r="J12157" s="8" t="s">
        <v>22</v>
      </c>
      <c r="K12157" s="8" t="s">
        <v>483</v>
      </c>
      <c r="L12157" s="8" t="s">
        <v>11765</v>
      </c>
      <c r="M12157" s="8" t="s">
        <v>11766</v>
      </c>
      <c r="N12157" s="8" t="s">
        <v>51041</v>
      </c>
      <c r="O12157" s="8">
        <f>13+40/60+18.5/3600</f>
        <v>13.671805555555554</v>
      </c>
      <c r="P12157" s="8" t="s">
        <v>51042</v>
      </c>
      <c r="Q12157" s="8">
        <f>-(28+53/60+31/3600)</f>
        <v>-28.891944444444444</v>
      </c>
      <c r="R12157" s="8">
        <v>14.4</v>
      </c>
      <c r="S12157" s="8">
        <v>15</v>
      </c>
      <c r="T12157" s="8">
        <v>0.6</v>
      </c>
      <c r="U12157" s="8">
        <v>13.9</v>
      </c>
      <c r="V12157" s="8">
        <v>1</v>
      </c>
      <c r="W12157" s="8">
        <v>0.7</v>
      </c>
      <c r="X12157" s="8">
        <v>45</v>
      </c>
      <c r="Y12157" s="8" t="s">
        <v>46447</v>
      </c>
      <c r="Z12157" s="8" t="s">
        <v>46448</v>
      </c>
    </row>
    <row r="12158" spans="1:26" x14ac:dyDescent="0.2">
      <c r="A12158" s="8">
        <v>12157</v>
      </c>
      <c r="B12158" s="8" t="s">
        <v>51043</v>
      </c>
      <c r="C12158" s="8" t="s">
        <v>51043</v>
      </c>
      <c r="G12158" s="8">
        <v>20</v>
      </c>
      <c r="H12158" s="8" t="s">
        <v>21</v>
      </c>
      <c r="I12158" s="8" t="s">
        <v>22</v>
      </c>
      <c r="J12158" s="8" t="s">
        <v>22</v>
      </c>
      <c r="K12158" s="8" t="s">
        <v>476</v>
      </c>
      <c r="L12158" s="8" t="s">
        <v>22476</v>
      </c>
      <c r="M12158" s="8" t="s">
        <v>22477</v>
      </c>
      <c r="N12158" s="8" t="s">
        <v>51044</v>
      </c>
      <c r="O12158" s="8">
        <f>13+41/60+45.8/3600</f>
        <v>13.696055555555557</v>
      </c>
      <c r="P12158" s="8" t="s">
        <v>51045</v>
      </c>
      <c r="Q12158" s="8">
        <f>+(27+6/60+23/3600)</f>
        <v>27.10638888888889</v>
      </c>
      <c r="R12158" s="8">
        <v>14.7</v>
      </c>
      <c r="S12158" s="8">
        <v>15.5</v>
      </c>
      <c r="T12158" s="8">
        <v>0.8</v>
      </c>
      <c r="U12158" s="8">
        <v>12.8</v>
      </c>
      <c r="V12158" s="8">
        <v>0.5</v>
      </c>
      <c r="W12158" s="8">
        <v>0.4</v>
      </c>
      <c r="X12158" s="8">
        <v>15</v>
      </c>
      <c r="Y12158" s="8" t="s">
        <v>41073</v>
      </c>
      <c r="Z12158" s="8" t="s">
        <v>41074</v>
      </c>
    </row>
    <row r="12159" spans="1:26" x14ac:dyDescent="0.2">
      <c r="A12159" s="8">
        <v>12158</v>
      </c>
      <c r="B12159" s="8" t="s">
        <v>51046</v>
      </c>
      <c r="C12159" s="8" t="s">
        <v>51046</v>
      </c>
      <c r="G12159" s="8">
        <v>20</v>
      </c>
      <c r="H12159" s="8" t="s">
        <v>21</v>
      </c>
      <c r="I12159" s="8" t="s">
        <v>22</v>
      </c>
      <c r="J12159" s="8" t="s">
        <v>22</v>
      </c>
      <c r="K12159" s="8" t="s">
        <v>160</v>
      </c>
      <c r="L12159" s="8" t="s">
        <v>11765</v>
      </c>
      <c r="M12159" s="8" t="s">
        <v>11766</v>
      </c>
      <c r="N12159" s="8" t="s">
        <v>51047</v>
      </c>
      <c r="O12159" s="8">
        <f>13+43/60+22.7/3600</f>
        <v>13.722972222222221</v>
      </c>
      <c r="P12159" s="8" t="s">
        <v>51048</v>
      </c>
      <c r="Q12159" s="8">
        <f>-(28+58/60+7/3600)</f>
        <v>-28.968611111111109</v>
      </c>
      <c r="R12159" s="8">
        <v>13.7</v>
      </c>
      <c r="S12159" s="8">
        <v>14.4</v>
      </c>
      <c r="T12159" s="8">
        <v>0.7</v>
      </c>
      <c r="U12159" s="8">
        <v>13.7</v>
      </c>
      <c r="V12159" s="8">
        <v>1.1000000000000001</v>
      </c>
      <c r="W12159" s="8">
        <v>1</v>
      </c>
      <c r="X12159" s="8">
        <v>44</v>
      </c>
      <c r="Y12159" s="8" t="s">
        <v>46310</v>
      </c>
      <c r="Z12159" s="8" t="s">
        <v>46311</v>
      </c>
    </row>
    <row r="12160" spans="1:26" x14ac:dyDescent="0.2">
      <c r="A12160" s="8">
        <v>12159</v>
      </c>
      <c r="B12160" s="8" t="s">
        <v>51049</v>
      </c>
      <c r="C12160" s="8" t="s">
        <v>51049</v>
      </c>
      <c r="G12160" s="8">
        <v>20</v>
      </c>
      <c r="H12160" s="8" t="s">
        <v>21</v>
      </c>
      <c r="I12160" s="8" t="s">
        <v>22</v>
      </c>
      <c r="J12160" s="8" t="s">
        <v>22</v>
      </c>
      <c r="K12160" s="8" t="s">
        <v>396</v>
      </c>
      <c r="L12160" s="8" t="s">
        <v>11765</v>
      </c>
      <c r="M12160" s="8" t="s">
        <v>11766</v>
      </c>
      <c r="N12160" s="8" t="s">
        <v>51050</v>
      </c>
      <c r="O12160" s="8">
        <f>13+43/60+26.4/3600</f>
        <v>13.724</v>
      </c>
      <c r="P12160" s="8" t="s">
        <v>51051</v>
      </c>
      <c r="Q12160" s="8">
        <f>-(29+48/60+12/3600)</f>
        <v>-29.803333333333335</v>
      </c>
      <c r="R12160" s="8">
        <v>13.2</v>
      </c>
      <c r="S12160" s="8">
        <v>14</v>
      </c>
      <c r="T12160" s="8">
        <v>0.8</v>
      </c>
      <c r="U12160" s="8">
        <v>12.8</v>
      </c>
      <c r="V12160" s="8">
        <v>1.5</v>
      </c>
      <c r="W12160" s="8">
        <v>0.5</v>
      </c>
      <c r="X12160" s="8">
        <v>70</v>
      </c>
      <c r="Y12160" s="8" t="s">
        <v>51052</v>
      </c>
      <c r="Z12160" s="8" t="s">
        <v>51053</v>
      </c>
    </row>
    <row r="12161" spans="1:26" x14ac:dyDescent="0.2">
      <c r="A12161" s="8">
        <v>12160</v>
      </c>
      <c r="B12161" s="8" t="s">
        <v>51054</v>
      </c>
      <c r="C12161" s="8" t="s">
        <v>51054</v>
      </c>
      <c r="G12161" s="8">
        <v>20</v>
      </c>
      <c r="H12161" s="8" t="s">
        <v>21</v>
      </c>
      <c r="I12161" s="8" t="s">
        <v>22</v>
      </c>
      <c r="J12161" s="8" t="s">
        <v>22</v>
      </c>
      <c r="K12161" s="8" t="s">
        <v>37</v>
      </c>
      <c r="L12161" s="8" t="s">
        <v>11765</v>
      </c>
      <c r="M12161" s="8" t="s">
        <v>11766</v>
      </c>
      <c r="N12161" s="8" t="s">
        <v>51055</v>
      </c>
      <c r="O12161" s="8">
        <f>13+44/60+3.7/3600</f>
        <v>13.734361111111109</v>
      </c>
      <c r="P12161" s="8" t="s">
        <v>51056</v>
      </c>
      <c r="Q12161" s="8">
        <f>-(27+13/60+54/3600)</f>
        <v>-27.231666666666666</v>
      </c>
      <c r="R12161" s="8">
        <v>13.2</v>
      </c>
      <c r="S12161" s="8">
        <v>14.2</v>
      </c>
      <c r="T12161" s="8">
        <v>1</v>
      </c>
      <c r="U12161" s="8">
        <v>12.8</v>
      </c>
      <c r="V12161" s="8">
        <v>0.9</v>
      </c>
      <c r="W12161" s="8">
        <v>0.9</v>
      </c>
      <c r="Y12161" s="8" t="s">
        <v>47963</v>
      </c>
      <c r="Z12161" s="8" t="s">
        <v>47964</v>
      </c>
    </row>
    <row r="12162" spans="1:26" x14ac:dyDescent="0.2">
      <c r="A12162" s="8">
        <v>12161</v>
      </c>
      <c r="B12162" s="8" t="s">
        <v>51057</v>
      </c>
      <c r="C12162" s="8" t="s">
        <v>51057</v>
      </c>
      <c r="G12162" s="8">
        <v>14</v>
      </c>
      <c r="H12162" s="8" t="s">
        <v>23663</v>
      </c>
      <c r="I12162" s="8" t="s">
        <v>22</v>
      </c>
      <c r="J12162" s="8" t="s">
        <v>22</v>
      </c>
      <c r="K12162" s="8" t="s">
        <v>31</v>
      </c>
      <c r="L12162" s="8" t="s">
        <v>16195</v>
      </c>
      <c r="M12162" s="8" t="s">
        <v>16196</v>
      </c>
      <c r="N12162" s="8" t="s">
        <v>51058</v>
      </c>
      <c r="O12162" s="8">
        <f>13+44/60+31.1/3600</f>
        <v>13.741972222222222</v>
      </c>
      <c r="P12162" s="8" t="s">
        <v>51059</v>
      </c>
      <c r="Q12162" s="8">
        <f>-(30+8/60+23/3600)</f>
        <v>-30.139722222222222</v>
      </c>
      <c r="R12162" s="8">
        <v>14.2</v>
      </c>
      <c r="S12162" s="8">
        <v>15</v>
      </c>
      <c r="T12162" s="8">
        <v>0.8</v>
      </c>
      <c r="U12162" s="8">
        <v>13.2</v>
      </c>
      <c r="V12162" s="8">
        <v>0.8</v>
      </c>
      <c r="W12162" s="8">
        <v>0.6</v>
      </c>
      <c r="X12162" s="8">
        <v>26</v>
      </c>
      <c r="Y12162" s="8" t="s">
        <v>46249</v>
      </c>
      <c r="Z12162" s="8" t="s">
        <v>46250</v>
      </c>
    </row>
    <row r="12163" spans="1:26" x14ac:dyDescent="0.2">
      <c r="A12163" s="8">
        <v>12162</v>
      </c>
      <c r="B12163" s="8" t="s">
        <v>51060</v>
      </c>
      <c r="C12163" s="8" t="s">
        <v>51060</v>
      </c>
      <c r="G12163" s="8">
        <v>20</v>
      </c>
      <c r="H12163" s="8" t="s">
        <v>21</v>
      </c>
      <c r="I12163" s="8" t="s">
        <v>22</v>
      </c>
      <c r="J12163" s="8" t="s">
        <v>22</v>
      </c>
      <c r="K12163" s="8" t="s">
        <v>424</v>
      </c>
      <c r="L12163" s="8" t="s">
        <v>22476</v>
      </c>
      <c r="M12163" s="8" t="s">
        <v>22477</v>
      </c>
      <c r="N12163" s="8" t="s">
        <v>51061</v>
      </c>
      <c r="O12163" s="8">
        <f>13+43/60+44.1/3600</f>
        <v>13.728916666666667</v>
      </c>
      <c r="P12163" s="8" t="s">
        <v>51062</v>
      </c>
      <c r="Q12163" s="8">
        <f>+(25+23/60+34/3600)</f>
        <v>25.392777777777777</v>
      </c>
      <c r="R12163" s="8">
        <v>14.4</v>
      </c>
      <c r="S12163" s="8">
        <v>15.4</v>
      </c>
      <c r="T12163" s="8">
        <v>1</v>
      </c>
      <c r="U12163" s="8">
        <v>14</v>
      </c>
      <c r="V12163" s="8">
        <v>1</v>
      </c>
      <c r="W12163" s="8">
        <v>0.8</v>
      </c>
      <c r="Y12163" s="8" t="s">
        <v>51063</v>
      </c>
      <c r="Z12163" s="8" t="s">
        <v>41074</v>
      </c>
    </row>
    <row r="12164" spans="1:26" x14ac:dyDescent="0.2">
      <c r="A12164" s="8">
        <v>12163</v>
      </c>
      <c r="B12164" s="8" t="s">
        <v>51064</v>
      </c>
      <c r="C12164" s="8" t="s">
        <v>51064</v>
      </c>
      <c r="G12164" s="8">
        <v>20</v>
      </c>
      <c r="H12164" s="8" t="s">
        <v>21</v>
      </c>
      <c r="I12164" s="8" t="s">
        <v>22</v>
      </c>
      <c r="J12164" s="8" t="s">
        <v>22</v>
      </c>
      <c r="K12164" s="8" t="s">
        <v>160</v>
      </c>
      <c r="L12164" s="8" t="s">
        <v>11765</v>
      </c>
      <c r="M12164" s="8" t="s">
        <v>11766</v>
      </c>
      <c r="N12164" s="8" t="s">
        <v>51065</v>
      </c>
      <c r="O12164" s="8">
        <f>13+45/60+6.6/3600</f>
        <v>13.751833333333334</v>
      </c>
      <c r="P12164" s="8" t="s">
        <v>51066</v>
      </c>
      <c r="Q12164" s="8">
        <f>-(28+39/60+6/3600)</f>
        <v>-28.651666666666664</v>
      </c>
      <c r="R12164" s="8">
        <v>15.1</v>
      </c>
      <c r="S12164" s="8">
        <v>15.9</v>
      </c>
      <c r="T12164" s="8">
        <v>0.8</v>
      </c>
      <c r="U12164" s="8">
        <v>12.9</v>
      </c>
      <c r="V12164" s="8">
        <v>1.5</v>
      </c>
      <c r="W12164" s="8">
        <v>0.1</v>
      </c>
      <c r="X12164" s="8">
        <v>60</v>
      </c>
      <c r="Y12164" s="8" t="s">
        <v>51067</v>
      </c>
      <c r="Z12164" s="8" t="s">
        <v>51068</v>
      </c>
    </row>
    <row r="12165" spans="1:26" x14ac:dyDescent="0.2">
      <c r="A12165" s="8">
        <v>12164</v>
      </c>
      <c r="B12165" s="8" t="s">
        <v>51069</v>
      </c>
      <c r="C12165" s="8" t="s">
        <v>51069</v>
      </c>
      <c r="G12165" s="8">
        <v>20</v>
      </c>
      <c r="H12165" s="8" t="s">
        <v>21</v>
      </c>
      <c r="I12165" s="8" t="s">
        <v>22</v>
      </c>
      <c r="J12165" s="8" t="s">
        <v>22</v>
      </c>
      <c r="K12165" s="8" t="s">
        <v>396</v>
      </c>
      <c r="L12165" s="8" t="s">
        <v>16195</v>
      </c>
      <c r="M12165" s="8" t="s">
        <v>16196</v>
      </c>
      <c r="N12165" s="8" t="s">
        <v>51070</v>
      </c>
      <c r="O12165" s="8">
        <f>13+45/60+27.2/3600</f>
        <v>13.757555555555555</v>
      </c>
      <c r="P12165" s="8" t="s">
        <v>51071</v>
      </c>
      <c r="Q12165" s="8">
        <f>-(30+13/60+38/3600)</f>
        <v>-30.22722222222222</v>
      </c>
      <c r="R12165" s="8">
        <v>14</v>
      </c>
      <c r="S12165" s="8">
        <v>14.8</v>
      </c>
      <c r="T12165" s="8">
        <v>0.8</v>
      </c>
      <c r="U12165" s="8">
        <v>12.9</v>
      </c>
      <c r="V12165" s="8">
        <v>0.8</v>
      </c>
      <c r="W12165" s="8">
        <v>0.5</v>
      </c>
      <c r="X12165" s="8">
        <v>133</v>
      </c>
      <c r="Y12165" s="8" t="s">
        <v>47963</v>
      </c>
      <c r="Z12165" s="8" t="s">
        <v>47964</v>
      </c>
    </row>
    <row r="12166" spans="1:26" x14ac:dyDescent="0.2">
      <c r="A12166" s="8">
        <v>12165</v>
      </c>
      <c r="B12166" s="8" t="s">
        <v>51072</v>
      </c>
      <c r="C12166" s="8" t="s">
        <v>51072</v>
      </c>
      <c r="G12166" s="8">
        <v>20</v>
      </c>
      <c r="H12166" s="8" t="s">
        <v>21</v>
      </c>
      <c r="I12166" s="8" t="s">
        <v>22</v>
      </c>
      <c r="J12166" s="8" t="s">
        <v>22</v>
      </c>
      <c r="K12166" s="8" t="s">
        <v>85</v>
      </c>
      <c r="L12166" s="8" t="s">
        <v>11765</v>
      </c>
      <c r="M12166" s="8" t="s">
        <v>11766</v>
      </c>
      <c r="N12166" s="8" t="s">
        <v>51073</v>
      </c>
      <c r="O12166" s="8">
        <f>13+47/60+39.5/3600</f>
        <v>13.794305555555555</v>
      </c>
      <c r="P12166" s="8" t="s">
        <v>51074</v>
      </c>
      <c r="Q12166" s="8">
        <f>-(29+26/60+4/3600)</f>
        <v>-29.434444444444445</v>
      </c>
      <c r="R12166" s="8">
        <v>13.8</v>
      </c>
      <c r="S12166" s="8">
        <v>14.6</v>
      </c>
      <c r="T12166" s="8">
        <v>0.8</v>
      </c>
      <c r="U12166" s="8">
        <v>12.9</v>
      </c>
      <c r="V12166" s="8">
        <v>1.1000000000000001</v>
      </c>
      <c r="W12166" s="8">
        <v>0.4</v>
      </c>
      <c r="X12166" s="8">
        <v>102</v>
      </c>
      <c r="Y12166" s="8" t="s">
        <v>51075</v>
      </c>
      <c r="Z12166" s="8" t="s">
        <v>51076</v>
      </c>
    </row>
    <row r="12167" spans="1:26" x14ac:dyDescent="0.2">
      <c r="A12167" s="8">
        <v>12166</v>
      </c>
      <c r="B12167" s="8" t="s">
        <v>51077</v>
      </c>
      <c r="C12167" s="8" t="s">
        <v>51077</v>
      </c>
      <c r="G12167" s="8">
        <v>20</v>
      </c>
      <c r="H12167" s="8" t="s">
        <v>21</v>
      </c>
      <c r="I12167" s="8" t="s">
        <v>22</v>
      </c>
      <c r="J12167" s="8" t="s">
        <v>22</v>
      </c>
      <c r="K12167" s="8" t="s">
        <v>476</v>
      </c>
      <c r="L12167" s="8" t="s">
        <v>11765</v>
      </c>
      <c r="M12167" s="8" t="s">
        <v>11766</v>
      </c>
      <c r="N12167" s="8" t="s">
        <v>51078</v>
      </c>
      <c r="O12167" s="8">
        <f>13+48/60+21.5/3600</f>
        <v>13.805972222222223</v>
      </c>
      <c r="P12167" s="8" t="s">
        <v>51079</v>
      </c>
      <c r="Q12167" s="8">
        <f>-(29+37/60+35/3600)</f>
        <v>-29.62638888888889</v>
      </c>
      <c r="R12167" s="8">
        <v>13.5</v>
      </c>
      <c r="S12167" s="8">
        <v>14.4</v>
      </c>
      <c r="T12167" s="8">
        <v>0.9</v>
      </c>
      <c r="U12167" s="8">
        <v>12.7</v>
      </c>
      <c r="V12167" s="8">
        <v>0.8</v>
      </c>
      <c r="W12167" s="8">
        <v>0.7</v>
      </c>
      <c r="X12167" s="8">
        <v>168</v>
      </c>
      <c r="Y12167" s="8" t="s">
        <v>51075</v>
      </c>
      <c r="Z12167" s="8" t="s">
        <v>51076</v>
      </c>
    </row>
    <row r="12168" spans="1:26" x14ac:dyDescent="0.2">
      <c r="A12168" s="8">
        <v>12167</v>
      </c>
      <c r="B12168" s="8" t="s">
        <v>51080</v>
      </c>
      <c r="C12168" s="8" t="s">
        <v>51080</v>
      </c>
      <c r="G12168" s="8">
        <v>20</v>
      </c>
      <c r="H12168" s="8" t="s">
        <v>21</v>
      </c>
      <c r="I12168" s="8" t="s">
        <v>22</v>
      </c>
      <c r="J12168" s="8" t="s">
        <v>22</v>
      </c>
      <c r="K12168" s="8" t="s">
        <v>64</v>
      </c>
      <c r="L12168" s="8" t="s">
        <v>16195</v>
      </c>
      <c r="M12168" s="8" t="s">
        <v>16196</v>
      </c>
      <c r="N12168" s="8" t="s">
        <v>51081</v>
      </c>
      <c r="O12168" s="8">
        <f>13+48/60+43.9/3600</f>
        <v>13.812194444444446</v>
      </c>
      <c r="P12168" s="8" t="s">
        <v>51082</v>
      </c>
      <c r="Q12168" s="8">
        <f>-(30+13/60+5/3600)</f>
        <v>-30.218055555555555</v>
      </c>
      <c r="R12168" s="8">
        <v>13.9</v>
      </c>
      <c r="S12168" s="8">
        <v>14.5</v>
      </c>
      <c r="T12168" s="8">
        <v>0.6</v>
      </c>
      <c r="U12168" s="8">
        <v>13.2</v>
      </c>
      <c r="V12168" s="8">
        <v>1</v>
      </c>
      <c r="W12168" s="8">
        <v>0.5</v>
      </c>
      <c r="X12168" s="8">
        <v>56</v>
      </c>
      <c r="Y12168" s="8" t="s">
        <v>50876</v>
      </c>
      <c r="Z12168" s="8" t="s">
        <v>50877</v>
      </c>
    </row>
    <row r="12169" spans="1:26" x14ac:dyDescent="0.2">
      <c r="A12169" s="8">
        <v>12168</v>
      </c>
      <c r="B12169" s="8" t="s">
        <v>51083</v>
      </c>
      <c r="C12169" s="8" t="s">
        <v>51083</v>
      </c>
      <c r="G12169" s="8">
        <v>20</v>
      </c>
      <c r="H12169" s="8" t="s">
        <v>21</v>
      </c>
      <c r="I12169" s="8" t="s">
        <v>22</v>
      </c>
      <c r="J12169" s="8" t="s">
        <v>22</v>
      </c>
      <c r="K12169" s="8" t="s">
        <v>31</v>
      </c>
      <c r="L12169" s="8" t="s">
        <v>11765</v>
      </c>
      <c r="M12169" s="8" t="s">
        <v>11766</v>
      </c>
      <c r="N12169" s="8" t="s">
        <v>51084</v>
      </c>
      <c r="O12169" s="8">
        <f>13+49/60+2.8/3600</f>
        <v>13.817444444444444</v>
      </c>
      <c r="P12169" s="8" t="s">
        <v>51085</v>
      </c>
      <c r="Q12169" s="8">
        <f>-(29+56/60+14/3600)</f>
        <v>-29.937222222222221</v>
      </c>
      <c r="R12169" s="8">
        <v>13.9</v>
      </c>
      <c r="S12169" s="8">
        <v>14.7</v>
      </c>
      <c r="T12169" s="8">
        <v>0.8</v>
      </c>
      <c r="U12169" s="8">
        <v>13.1</v>
      </c>
      <c r="V12169" s="8">
        <v>0.9</v>
      </c>
      <c r="W12169" s="8">
        <v>0.7</v>
      </c>
      <c r="X12169" s="8">
        <v>172</v>
      </c>
      <c r="Y12169" s="8" t="s">
        <v>51086</v>
      </c>
      <c r="Z12169" s="8" t="s">
        <v>51087</v>
      </c>
    </row>
    <row r="12170" spans="1:26" x14ac:dyDescent="0.2">
      <c r="A12170" s="8">
        <v>12169</v>
      </c>
      <c r="B12170" s="8" t="s">
        <v>51088</v>
      </c>
      <c r="C12170" s="8" t="s">
        <v>51088</v>
      </c>
      <c r="G12170" s="8">
        <v>13</v>
      </c>
      <c r="H12170" s="8" t="s">
        <v>21</v>
      </c>
      <c r="I12170" s="8" t="s">
        <v>22</v>
      </c>
      <c r="J12170" s="8" t="s">
        <v>22</v>
      </c>
      <c r="K12170" s="8" t="s">
        <v>118</v>
      </c>
      <c r="L12170" s="8" t="s">
        <v>16195</v>
      </c>
      <c r="M12170" s="8" t="s">
        <v>16196</v>
      </c>
      <c r="N12170" s="8" t="s">
        <v>51089</v>
      </c>
      <c r="O12170" s="8">
        <f>13+49/60+5.3/3600</f>
        <v>13.818138888888889</v>
      </c>
      <c r="P12170" s="8" t="s">
        <v>51090</v>
      </c>
      <c r="Q12170" s="8">
        <f>-(30+17/60+46/3600)</f>
        <v>-30.296111111111113</v>
      </c>
      <c r="R12170" s="8">
        <v>11.3</v>
      </c>
      <c r="S12170" s="8">
        <v>12.2</v>
      </c>
      <c r="T12170" s="8">
        <v>0.9</v>
      </c>
      <c r="U12170" s="8">
        <v>13.2</v>
      </c>
      <c r="V12170" s="8">
        <v>3.2</v>
      </c>
      <c r="W12170" s="8">
        <v>1.9</v>
      </c>
      <c r="X12170" s="8">
        <v>63</v>
      </c>
      <c r="Y12170" s="8" t="s">
        <v>12956</v>
      </c>
      <c r="Z12170" s="8" t="s">
        <v>12957</v>
      </c>
    </row>
    <row r="12171" spans="1:26" x14ac:dyDescent="0.2">
      <c r="A12171" s="8">
        <v>12170</v>
      </c>
      <c r="B12171" s="8" t="s">
        <v>51091</v>
      </c>
      <c r="C12171" s="8" t="s">
        <v>51091</v>
      </c>
      <c r="G12171" s="8">
        <v>20</v>
      </c>
      <c r="H12171" s="8" t="s">
        <v>21</v>
      </c>
      <c r="I12171" s="8" t="s">
        <v>22</v>
      </c>
      <c r="J12171" s="8" t="s">
        <v>22</v>
      </c>
      <c r="K12171" s="8" t="s">
        <v>64</v>
      </c>
      <c r="L12171" s="8" t="s">
        <v>11765</v>
      </c>
      <c r="M12171" s="8" t="s">
        <v>11766</v>
      </c>
      <c r="N12171" s="8" t="s">
        <v>51092</v>
      </c>
      <c r="O12171" s="8">
        <f>13+47/60+14.9/3600</f>
        <v>13.787472222222222</v>
      </c>
      <c r="P12171" s="8" t="s">
        <v>51093</v>
      </c>
      <c r="Q12171" s="8">
        <f>-(28+19/60+55/3600)</f>
        <v>-28.331944444444446</v>
      </c>
      <c r="R12171" s="8">
        <v>13.8</v>
      </c>
      <c r="S12171" s="8">
        <v>14.5</v>
      </c>
      <c r="T12171" s="8">
        <v>0.7</v>
      </c>
      <c r="U12171" s="8">
        <v>13.4</v>
      </c>
      <c r="V12171" s="8">
        <v>1.2</v>
      </c>
      <c r="W12171" s="8">
        <v>0.6</v>
      </c>
      <c r="X12171" s="8">
        <v>94</v>
      </c>
      <c r="Y12171" s="8" t="s">
        <v>51094</v>
      </c>
      <c r="Z12171" s="8" t="s">
        <v>51095</v>
      </c>
    </row>
    <row r="12172" spans="1:26" x14ac:dyDescent="0.2">
      <c r="A12172" s="8">
        <v>12171</v>
      </c>
      <c r="B12172" s="8" t="s">
        <v>51096</v>
      </c>
      <c r="C12172" s="8" t="s">
        <v>51096</v>
      </c>
      <c r="G12172" s="8">
        <v>20</v>
      </c>
      <c r="H12172" s="8" t="s">
        <v>21</v>
      </c>
      <c r="I12172" s="8" t="s">
        <v>22</v>
      </c>
      <c r="J12172" s="8" t="s">
        <v>22</v>
      </c>
      <c r="K12172" s="8" t="s">
        <v>1136</v>
      </c>
      <c r="L12172" s="8" t="s">
        <v>22476</v>
      </c>
      <c r="M12172" s="8" t="s">
        <v>22477</v>
      </c>
      <c r="N12172" s="8" t="s">
        <v>51097</v>
      </c>
      <c r="O12172" s="8">
        <f>13+49/60+24.7/3600</f>
        <v>13.823527777777777</v>
      </c>
      <c r="P12172" s="8" t="s">
        <v>51098</v>
      </c>
      <c r="Q12172" s="8">
        <f>+(25+9/60+15/3600)</f>
        <v>25.154166666666665</v>
      </c>
      <c r="R12172" s="8">
        <v>14.8</v>
      </c>
      <c r="S12172" s="8">
        <v>15.8</v>
      </c>
      <c r="T12172" s="8">
        <v>1</v>
      </c>
      <c r="U12172" s="8">
        <v>13.1</v>
      </c>
      <c r="V12172" s="8">
        <v>0.5</v>
      </c>
      <c r="W12172" s="8">
        <v>0.4</v>
      </c>
      <c r="X12172" s="8">
        <v>45</v>
      </c>
      <c r="Y12172" s="8" t="s">
        <v>43369</v>
      </c>
      <c r="Z12172" s="8" t="s">
        <v>43370</v>
      </c>
    </row>
    <row r="12173" spans="1:26" x14ac:dyDescent="0.2">
      <c r="A12173" s="8">
        <v>12172</v>
      </c>
      <c r="B12173" s="8" t="s">
        <v>51099</v>
      </c>
      <c r="C12173" s="8" t="s">
        <v>51099</v>
      </c>
      <c r="G12173" s="8">
        <v>20</v>
      </c>
      <c r="H12173" s="8" t="s">
        <v>21</v>
      </c>
      <c r="I12173" s="8" t="s">
        <v>22</v>
      </c>
      <c r="J12173" s="8" t="s">
        <v>22</v>
      </c>
      <c r="K12173" s="8" t="s">
        <v>449</v>
      </c>
      <c r="L12173" s="8" t="s">
        <v>22476</v>
      </c>
      <c r="M12173" s="8" t="s">
        <v>22477</v>
      </c>
      <c r="N12173" s="8" t="s">
        <v>51100</v>
      </c>
      <c r="O12173" s="8">
        <f>13+49/60+52.4/3600</f>
        <v>13.831222222222221</v>
      </c>
      <c r="P12173" s="8" t="s">
        <v>51101</v>
      </c>
      <c r="Q12173" s="8">
        <f>+(25+11/60+24/3600)</f>
        <v>25.19</v>
      </c>
      <c r="R12173" s="8">
        <v>14.2</v>
      </c>
      <c r="S12173" s="8">
        <v>15</v>
      </c>
      <c r="T12173" s="8">
        <v>0.8</v>
      </c>
      <c r="U12173" s="8">
        <v>13.6</v>
      </c>
      <c r="V12173" s="8">
        <v>0.8</v>
      </c>
      <c r="W12173" s="8">
        <v>0.8</v>
      </c>
      <c r="Y12173" s="8" t="s">
        <v>6420</v>
      </c>
      <c r="Z12173" s="8" t="s">
        <v>6421</v>
      </c>
    </row>
    <row r="12174" spans="1:26" x14ac:dyDescent="0.2">
      <c r="A12174" s="8">
        <v>12173</v>
      </c>
      <c r="B12174" s="8" t="s">
        <v>51102</v>
      </c>
      <c r="C12174" s="8" t="s">
        <v>51102</v>
      </c>
      <c r="G12174" s="8">
        <v>20</v>
      </c>
      <c r="H12174" s="8" t="s">
        <v>21</v>
      </c>
      <c r="I12174" s="8" t="s">
        <v>22</v>
      </c>
      <c r="J12174" s="8" t="s">
        <v>22</v>
      </c>
      <c r="K12174" s="8" t="s">
        <v>37</v>
      </c>
      <c r="L12174" s="8" t="s">
        <v>11890</v>
      </c>
      <c r="M12174" s="8" t="s">
        <v>11891</v>
      </c>
      <c r="N12174" s="8" t="s">
        <v>51103</v>
      </c>
      <c r="O12174" s="8">
        <f>14+5/60+19.5/3600</f>
        <v>14.088750000000001</v>
      </c>
      <c r="P12174" s="8" t="s">
        <v>51104</v>
      </c>
      <c r="Q12174" s="8">
        <f>-(84+16/60+23/3600)</f>
        <v>-84.273055555555558</v>
      </c>
      <c r="R12174" s="8">
        <v>13.4</v>
      </c>
      <c r="S12174" s="8">
        <v>14.4</v>
      </c>
      <c r="T12174" s="8">
        <v>1</v>
      </c>
      <c r="U12174" s="8">
        <v>12.8</v>
      </c>
      <c r="V12174" s="8">
        <v>1.6</v>
      </c>
      <c r="W12174" s="8">
        <v>0.4</v>
      </c>
      <c r="X12174" s="8">
        <v>65</v>
      </c>
      <c r="Y12174" s="8" t="s">
        <v>51105</v>
      </c>
      <c r="Z12174" s="8" t="s">
        <v>51106</v>
      </c>
    </row>
    <row r="12175" spans="1:26" x14ac:dyDescent="0.2">
      <c r="A12175" s="8">
        <v>12174</v>
      </c>
      <c r="B12175" s="8" t="s">
        <v>51107</v>
      </c>
      <c r="C12175" s="8" t="s">
        <v>51107</v>
      </c>
      <c r="G12175" s="8">
        <v>20</v>
      </c>
      <c r="H12175" s="8" t="s">
        <v>21</v>
      </c>
      <c r="I12175" s="8" t="s">
        <v>22</v>
      </c>
      <c r="J12175" s="8" t="s">
        <v>22</v>
      </c>
      <c r="K12175" s="8" t="s">
        <v>42125</v>
      </c>
      <c r="L12175" s="8" t="s">
        <v>18681</v>
      </c>
      <c r="M12175" s="8" t="s">
        <v>18682</v>
      </c>
      <c r="N12175" s="8" t="s">
        <v>51108</v>
      </c>
      <c r="O12175" s="8">
        <f>13+49/60+48.2/3600</f>
        <v>13.830055555555555</v>
      </c>
      <c r="P12175" s="8" t="s">
        <v>51109</v>
      </c>
      <c r="Q12175" s="8">
        <f>+(29+41/60+38/3600)</f>
        <v>29.693888888888889</v>
      </c>
      <c r="R12175" s="8">
        <v>14.4</v>
      </c>
      <c r="S12175" s="8">
        <v>15.4</v>
      </c>
      <c r="T12175" s="8">
        <v>1</v>
      </c>
      <c r="U12175" s="8">
        <v>12.8</v>
      </c>
      <c r="V12175" s="8">
        <v>0.5</v>
      </c>
      <c r="W12175" s="8">
        <v>0.5</v>
      </c>
      <c r="Y12175" s="8" t="s">
        <v>41541</v>
      </c>
      <c r="Z12175" s="8" t="s">
        <v>41542</v>
      </c>
    </row>
    <row r="12176" spans="1:26" x14ac:dyDescent="0.2">
      <c r="A12176" s="8">
        <v>12175</v>
      </c>
      <c r="B12176" s="8" t="s">
        <v>51110</v>
      </c>
      <c r="C12176" s="8" t="s">
        <v>51110</v>
      </c>
      <c r="G12176" s="8">
        <v>20</v>
      </c>
      <c r="H12176" s="8" t="s">
        <v>21</v>
      </c>
      <c r="I12176" s="8" t="s">
        <v>72</v>
      </c>
      <c r="J12176" s="8" t="s">
        <v>72</v>
      </c>
      <c r="K12176" s="8" t="s">
        <v>20</v>
      </c>
      <c r="L12176" s="8" t="s">
        <v>18681</v>
      </c>
      <c r="M12176" s="8" t="s">
        <v>18682</v>
      </c>
      <c r="N12176" s="8" t="s">
        <v>51111</v>
      </c>
      <c r="O12176" s="8">
        <f>13+49/60+45.2/3600</f>
        <v>13.829222222222223</v>
      </c>
      <c r="P12176" s="8" t="s">
        <v>51112</v>
      </c>
      <c r="Q12176" s="8">
        <f>+(33+40/60+24/3600)</f>
        <v>33.673333333333332</v>
      </c>
      <c r="R12176" s="8">
        <v>99</v>
      </c>
      <c r="S12176" s="8">
        <v>13.9</v>
      </c>
      <c r="T12176" s="8">
        <v>99</v>
      </c>
      <c r="U12176" s="8">
        <v>99</v>
      </c>
      <c r="Y12176" s="8" t="s">
        <v>51113</v>
      </c>
      <c r="Z12176" s="8" t="s">
        <v>51114</v>
      </c>
    </row>
    <row r="12177" spans="1:26" x14ac:dyDescent="0.2">
      <c r="A12177" s="8">
        <v>12176</v>
      </c>
      <c r="B12177" s="8" t="s">
        <v>51115</v>
      </c>
      <c r="C12177" s="8" t="s">
        <v>51115</v>
      </c>
      <c r="G12177" s="8">
        <v>20</v>
      </c>
      <c r="H12177" s="8" t="s">
        <v>21</v>
      </c>
      <c r="I12177" s="8" t="s">
        <v>22</v>
      </c>
      <c r="J12177" s="8" t="s">
        <v>22</v>
      </c>
      <c r="K12177" s="8" t="s">
        <v>218</v>
      </c>
      <c r="L12177" s="8" t="s">
        <v>18681</v>
      </c>
      <c r="M12177" s="8" t="s">
        <v>18682</v>
      </c>
      <c r="N12177" s="8" t="s">
        <v>51116</v>
      </c>
      <c r="O12177" s="8">
        <f>13+50/60+43.1/3600</f>
        <v>13.845305555555557</v>
      </c>
      <c r="P12177" s="8" t="s">
        <v>51117</v>
      </c>
      <c r="Q12177" s="8">
        <f>+(39+42/60+25/3600)</f>
        <v>39.706944444444446</v>
      </c>
      <c r="R12177" s="8">
        <v>14</v>
      </c>
      <c r="S12177" s="8">
        <v>14.8</v>
      </c>
      <c r="T12177" s="8">
        <v>0.8</v>
      </c>
      <c r="U12177" s="8">
        <v>13.2</v>
      </c>
      <c r="V12177" s="8">
        <v>1.4</v>
      </c>
      <c r="W12177" s="8">
        <v>0.4</v>
      </c>
      <c r="X12177" s="8">
        <v>158</v>
      </c>
      <c r="Y12177" s="8" t="s">
        <v>51118</v>
      </c>
      <c r="Z12177" s="8" t="s">
        <v>51119</v>
      </c>
    </row>
    <row r="12178" spans="1:26" x14ac:dyDescent="0.2">
      <c r="A12178" s="8">
        <v>12177</v>
      </c>
      <c r="B12178" s="8" t="s">
        <v>51120</v>
      </c>
      <c r="C12178" s="8" t="s">
        <v>51120</v>
      </c>
      <c r="G12178" s="8">
        <v>20</v>
      </c>
      <c r="H12178" s="8" t="s">
        <v>21</v>
      </c>
      <c r="I12178" s="8" t="s">
        <v>22</v>
      </c>
      <c r="J12178" s="8" t="s">
        <v>22</v>
      </c>
      <c r="K12178" s="8" t="s">
        <v>449</v>
      </c>
      <c r="L12178" s="8" t="s">
        <v>22476</v>
      </c>
      <c r="M12178" s="8" t="s">
        <v>22477</v>
      </c>
      <c r="N12178" s="8" t="s">
        <v>51121</v>
      </c>
      <c r="O12178" s="8">
        <f>13+52/60+19.2/3600</f>
        <v>13.872</v>
      </c>
      <c r="P12178" s="8" t="s">
        <v>51122</v>
      </c>
      <c r="Q12178" s="8">
        <f>+(14+16/60+21/3600)</f>
        <v>14.272500000000001</v>
      </c>
      <c r="R12178" s="8">
        <v>14.7</v>
      </c>
      <c r="S12178" s="8">
        <v>15.5</v>
      </c>
      <c r="T12178" s="8">
        <v>0.8</v>
      </c>
      <c r="U12178" s="8">
        <v>12.1</v>
      </c>
      <c r="V12178" s="8">
        <v>0.5</v>
      </c>
      <c r="W12178" s="8">
        <v>0.2</v>
      </c>
      <c r="X12178" s="8">
        <v>100</v>
      </c>
      <c r="Y12178" s="8" t="s">
        <v>51123</v>
      </c>
      <c r="Z12178" s="8" t="s">
        <v>51124</v>
      </c>
    </row>
    <row r="12179" spans="1:26" x14ac:dyDescent="0.2">
      <c r="A12179" s="8">
        <v>12178</v>
      </c>
      <c r="B12179" s="8" t="s">
        <v>51125</v>
      </c>
      <c r="C12179" s="8" t="s">
        <v>51125</v>
      </c>
      <c r="G12179" s="8">
        <v>20</v>
      </c>
      <c r="H12179" s="8" t="s">
        <v>21</v>
      </c>
      <c r="I12179" s="8" t="s">
        <v>22</v>
      </c>
      <c r="J12179" s="8" t="s">
        <v>57</v>
      </c>
      <c r="K12179" s="8" t="s">
        <v>64</v>
      </c>
      <c r="L12179" s="8" t="s">
        <v>17287</v>
      </c>
      <c r="M12179" s="8" t="s">
        <v>17288</v>
      </c>
      <c r="N12179" s="8" t="s">
        <v>23853</v>
      </c>
      <c r="O12179" s="8">
        <f>13+52/60+54.5/3600</f>
        <v>13.881805555555555</v>
      </c>
      <c r="P12179" s="8" t="s">
        <v>23854</v>
      </c>
      <c r="Q12179" s="8">
        <f>-(1+6/60+49/3600)</f>
        <v>-1.1136111111111111</v>
      </c>
      <c r="R12179" s="8">
        <v>11.3</v>
      </c>
      <c r="S12179" s="8">
        <v>12</v>
      </c>
      <c r="T12179" s="8">
        <v>0.7</v>
      </c>
      <c r="U12179" s="8">
        <v>13.9</v>
      </c>
      <c r="V12179" s="8">
        <v>4.2</v>
      </c>
      <c r="W12179" s="8">
        <v>3</v>
      </c>
      <c r="X12179" s="8">
        <v>21</v>
      </c>
      <c r="Y12179" s="8" t="s">
        <v>51126</v>
      </c>
      <c r="Z12179" s="8" t="s">
        <v>51127</v>
      </c>
    </row>
    <row r="12180" spans="1:26" x14ac:dyDescent="0.2">
      <c r="A12180" s="8">
        <v>12179</v>
      </c>
      <c r="B12180" s="8" t="s">
        <v>51128</v>
      </c>
      <c r="C12180" s="8" t="s">
        <v>51128</v>
      </c>
      <c r="G12180" s="8">
        <v>20</v>
      </c>
      <c r="H12180" s="8" t="s">
        <v>21</v>
      </c>
      <c r="I12180" s="8" t="s">
        <v>22</v>
      </c>
      <c r="J12180" s="8" t="s">
        <v>57</v>
      </c>
      <c r="K12180" s="8" t="s">
        <v>160</v>
      </c>
      <c r="L12180" s="8" t="s">
        <v>18681</v>
      </c>
      <c r="M12180" s="8" t="s">
        <v>18682</v>
      </c>
      <c r="N12180" s="8" t="s">
        <v>51129</v>
      </c>
      <c r="O12180" s="8">
        <f>13+53/60+34.3/3600</f>
        <v>13.892861111111111</v>
      </c>
      <c r="P12180" s="8" t="s">
        <v>51130</v>
      </c>
      <c r="Q12180" s="8">
        <f>+(37+31/60+19/3600)</f>
        <v>37.521944444444443</v>
      </c>
      <c r="R12180" s="8">
        <v>13.9</v>
      </c>
      <c r="S12180" s="8">
        <v>14.6</v>
      </c>
      <c r="T12180" s="8">
        <v>0.7</v>
      </c>
      <c r="U12180" s="8">
        <v>13</v>
      </c>
      <c r="V12180" s="8">
        <v>0.7</v>
      </c>
      <c r="W12180" s="8">
        <v>0.7</v>
      </c>
      <c r="Y12180" s="8" t="s">
        <v>8829</v>
      </c>
      <c r="Z12180" s="8" t="s">
        <v>8830</v>
      </c>
    </row>
    <row r="12181" spans="1:26" x14ac:dyDescent="0.2">
      <c r="A12181" s="8">
        <v>12180</v>
      </c>
      <c r="B12181" s="8" t="s">
        <v>51131</v>
      </c>
      <c r="C12181" s="8" t="s">
        <v>51131</v>
      </c>
      <c r="G12181" s="8">
        <v>20</v>
      </c>
      <c r="H12181" s="8" t="s">
        <v>21</v>
      </c>
      <c r="I12181" s="8" t="s">
        <v>22</v>
      </c>
      <c r="J12181" s="8" t="s">
        <v>22</v>
      </c>
      <c r="K12181" s="8" t="s">
        <v>37</v>
      </c>
      <c r="L12181" s="8" t="s">
        <v>18681</v>
      </c>
      <c r="M12181" s="8" t="s">
        <v>18682</v>
      </c>
      <c r="N12181" s="8" t="s">
        <v>51132</v>
      </c>
      <c r="O12181" s="8">
        <f>13+53/60+33.6/3600</f>
        <v>13.892666666666667</v>
      </c>
      <c r="P12181" s="8" t="s">
        <v>50157</v>
      </c>
      <c r="Q12181" s="8">
        <f>+(37+23/60+12/3600)</f>
        <v>37.386666666666663</v>
      </c>
      <c r="R12181" s="8">
        <v>14</v>
      </c>
      <c r="S12181" s="8">
        <v>15</v>
      </c>
      <c r="T12181" s="8">
        <v>1</v>
      </c>
      <c r="U12181" s="8">
        <v>13.5</v>
      </c>
      <c r="V12181" s="8">
        <v>1</v>
      </c>
      <c r="W12181" s="8">
        <v>0.7</v>
      </c>
      <c r="X12181" s="8">
        <v>45</v>
      </c>
      <c r="Y12181" s="8" t="s">
        <v>6420</v>
      </c>
      <c r="Z12181" s="8" t="s">
        <v>6421</v>
      </c>
    </row>
    <row r="12182" spans="1:26" x14ac:dyDescent="0.2">
      <c r="A12182" s="8">
        <v>12181</v>
      </c>
      <c r="B12182" s="8" t="s">
        <v>51133</v>
      </c>
      <c r="C12182" s="8" t="s">
        <v>51133</v>
      </c>
      <c r="G12182" s="8">
        <v>20</v>
      </c>
      <c r="H12182" s="8" t="s">
        <v>21</v>
      </c>
      <c r="I12182" s="8" t="s">
        <v>22</v>
      </c>
      <c r="J12182" s="8" t="s">
        <v>22</v>
      </c>
      <c r="K12182" s="8" t="s">
        <v>160</v>
      </c>
      <c r="L12182" s="8" t="s">
        <v>18681</v>
      </c>
      <c r="M12182" s="8" t="s">
        <v>18682</v>
      </c>
      <c r="N12182" s="8" t="s">
        <v>51129</v>
      </c>
      <c r="O12182" s="8">
        <f>13+53/60+34.3/3600</f>
        <v>13.892861111111111</v>
      </c>
      <c r="P12182" s="8" t="s">
        <v>51130</v>
      </c>
      <c r="Q12182" s="8">
        <f>+(37+31/60+19/3600)</f>
        <v>37.521944444444443</v>
      </c>
      <c r="R12182" s="8">
        <v>13.9</v>
      </c>
      <c r="S12182" s="8">
        <v>14.6</v>
      </c>
      <c r="T12182" s="8">
        <v>0.7</v>
      </c>
      <c r="U12182" s="8">
        <v>13</v>
      </c>
      <c r="V12182" s="8">
        <v>0.7</v>
      </c>
      <c r="W12182" s="8">
        <v>0.7</v>
      </c>
      <c r="Y12182" s="8" t="s">
        <v>8829</v>
      </c>
      <c r="Z12182" s="8" t="s">
        <v>51134</v>
      </c>
    </row>
    <row r="12183" spans="1:26" x14ac:dyDescent="0.2">
      <c r="A12183" s="8">
        <v>12182</v>
      </c>
      <c r="B12183" s="8" t="s">
        <v>51135</v>
      </c>
      <c r="C12183" s="8" t="s">
        <v>51135</v>
      </c>
      <c r="G12183" s="8">
        <v>20</v>
      </c>
      <c r="H12183" s="8" t="s">
        <v>21</v>
      </c>
      <c r="I12183" s="8" t="s">
        <v>22</v>
      </c>
      <c r="J12183" s="8" t="s">
        <v>22</v>
      </c>
      <c r="K12183" s="8" t="s">
        <v>396</v>
      </c>
      <c r="L12183" s="8" t="s">
        <v>22476</v>
      </c>
      <c r="M12183" s="8" t="s">
        <v>22477</v>
      </c>
      <c r="N12183" s="8" t="s">
        <v>51136</v>
      </c>
      <c r="O12183" s="8">
        <f>13+54/60+22/3600</f>
        <v>13.906111111111111</v>
      </c>
      <c r="P12183" s="8" t="s">
        <v>51137</v>
      </c>
      <c r="Q12183" s="8">
        <f>+(25+9/60+9/3600)</f>
        <v>25.1525</v>
      </c>
      <c r="R12183" s="8">
        <v>14.6</v>
      </c>
      <c r="S12183" s="8">
        <v>15.4</v>
      </c>
      <c r="T12183" s="8">
        <v>0.8</v>
      </c>
      <c r="U12183" s="8">
        <v>12.9</v>
      </c>
      <c r="V12183" s="8">
        <v>0.8</v>
      </c>
      <c r="W12183" s="8">
        <v>0.3</v>
      </c>
      <c r="X12183" s="8">
        <v>50</v>
      </c>
      <c r="Y12183" s="8" t="s">
        <v>37996</v>
      </c>
      <c r="Z12183" s="8" t="s">
        <v>37997</v>
      </c>
    </row>
    <row r="12184" spans="1:26" x14ac:dyDescent="0.2">
      <c r="A12184" s="8">
        <v>12183</v>
      </c>
      <c r="B12184" s="8" t="s">
        <v>51138</v>
      </c>
      <c r="C12184" s="8" t="s">
        <v>51138</v>
      </c>
      <c r="G12184" s="8">
        <v>20</v>
      </c>
      <c r="H12184" s="8" t="s">
        <v>21</v>
      </c>
      <c r="I12184" s="8" t="s">
        <v>22</v>
      </c>
      <c r="J12184" s="8" t="s">
        <v>22</v>
      </c>
      <c r="K12184" s="8" t="s">
        <v>58</v>
      </c>
      <c r="L12184" s="8" t="s">
        <v>22476</v>
      </c>
      <c r="M12184" s="8" t="s">
        <v>22477</v>
      </c>
      <c r="N12184" s="8" t="s">
        <v>51139</v>
      </c>
      <c r="O12184" s="8">
        <f>13+54/60+55.7/3600</f>
        <v>13.915472222222222</v>
      </c>
      <c r="P12184" s="8" t="s">
        <v>51140</v>
      </c>
      <c r="Q12184" s="8">
        <f>+(25+7/60+21/3600)</f>
        <v>25.122499999999999</v>
      </c>
      <c r="R12184" s="8">
        <v>14</v>
      </c>
      <c r="S12184" s="8">
        <v>15</v>
      </c>
      <c r="T12184" s="8">
        <v>1</v>
      </c>
      <c r="U12184" s="8">
        <v>13.4</v>
      </c>
      <c r="V12184" s="8">
        <v>1</v>
      </c>
      <c r="W12184" s="8">
        <v>0.5</v>
      </c>
      <c r="X12184" s="8">
        <v>108</v>
      </c>
      <c r="Y12184" s="8" t="s">
        <v>41073</v>
      </c>
      <c r="Z12184" s="8" t="s">
        <v>41074</v>
      </c>
    </row>
    <row r="12185" spans="1:26" x14ac:dyDescent="0.2">
      <c r="A12185" s="8">
        <v>12184</v>
      </c>
      <c r="B12185" s="8" t="s">
        <v>51141</v>
      </c>
      <c r="C12185" s="8" t="s">
        <v>51141</v>
      </c>
      <c r="G12185" s="8">
        <v>20</v>
      </c>
      <c r="H12185" s="8" t="s">
        <v>21</v>
      </c>
      <c r="I12185" s="8" t="s">
        <v>22</v>
      </c>
      <c r="J12185" s="8" t="s">
        <v>22</v>
      </c>
      <c r="K12185" s="8" t="s">
        <v>37986</v>
      </c>
      <c r="L12185" s="8" t="s">
        <v>22476</v>
      </c>
      <c r="M12185" s="8" t="s">
        <v>22477</v>
      </c>
      <c r="N12185" s="8" t="s">
        <v>51142</v>
      </c>
      <c r="O12185" s="8">
        <f>13+55/60+12.7/3600</f>
        <v>13.920194444444444</v>
      </c>
      <c r="P12185" s="8" t="s">
        <v>51143</v>
      </c>
      <c r="Q12185" s="8">
        <f>+(25+1/60+17/3600)</f>
        <v>25.02138888888889</v>
      </c>
      <c r="R12185" s="8">
        <v>13.9</v>
      </c>
      <c r="S12185" s="8">
        <v>14.7</v>
      </c>
      <c r="T12185" s="8">
        <v>0.8</v>
      </c>
      <c r="U12185" s="8">
        <v>13</v>
      </c>
      <c r="V12185" s="8">
        <v>0.8</v>
      </c>
      <c r="W12185" s="8">
        <v>0.4</v>
      </c>
      <c r="X12185" s="8">
        <v>66</v>
      </c>
      <c r="Y12185" s="8" t="s">
        <v>51033</v>
      </c>
      <c r="Z12185" s="8" t="s">
        <v>51034</v>
      </c>
    </row>
    <row r="12186" spans="1:26" x14ac:dyDescent="0.2">
      <c r="A12186" s="8">
        <v>12185</v>
      </c>
      <c r="B12186" s="8" t="s">
        <v>51144</v>
      </c>
      <c r="C12186" s="8" t="s">
        <v>51144</v>
      </c>
      <c r="G12186" s="8">
        <v>20</v>
      </c>
      <c r="H12186" s="8" t="s">
        <v>21</v>
      </c>
      <c r="I12186" s="8" t="s">
        <v>22</v>
      </c>
      <c r="J12186" s="8" t="s">
        <v>22</v>
      </c>
      <c r="K12186" s="8" t="s">
        <v>460</v>
      </c>
      <c r="L12186" s="8" t="s">
        <v>22476</v>
      </c>
      <c r="M12186" s="8" t="s">
        <v>22477</v>
      </c>
      <c r="N12186" s="8" t="s">
        <v>51145</v>
      </c>
      <c r="O12186" s="8">
        <f>13+55/60+13.5/3600</f>
        <v>13.920416666666666</v>
      </c>
      <c r="P12186" s="8" t="s">
        <v>51146</v>
      </c>
      <c r="Q12186" s="8">
        <f>+(25+3/60+6/3600)</f>
        <v>25.051666666666666</v>
      </c>
      <c r="R12186" s="8">
        <v>14.9</v>
      </c>
      <c r="S12186" s="8">
        <v>15.9</v>
      </c>
      <c r="T12186" s="8">
        <v>1</v>
      </c>
      <c r="U12186" s="8">
        <v>14.7</v>
      </c>
      <c r="V12186" s="8">
        <v>0.9</v>
      </c>
      <c r="W12186" s="8">
        <v>0.9</v>
      </c>
      <c r="Y12186" s="8" t="s">
        <v>51147</v>
      </c>
      <c r="Z12186" s="8" t="s">
        <v>51148</v>
      </c>
    </row>
    <row r="12187" spans="1:26" x14ac:dyDescent="0.2">
      <c r="A12187" s="8">
        <v>12186</v>
      </c>
      <c r="B12187" s="8" t="s">
        <v>51149</v>
      </c>
      <c r="C12187" s="8" t="s">
        <v>51149</v>
      </c>
      <c r="G12187" s="8">
        <v>20</v>
      </c>
      <c r="H12187" s="8" t="s">
        <v>21</v>
      </c>
      <c r="I12187" s="8" t="s">
        <v>22</v>
      </c>
      <c r="J12187" s="8" t="s">
        <v>22</v>
      </c>
      <c r="K12187" s="8" t="s">
        <v>476</v>
      </c>
      <c r="L12187" s="8" t="s">
        <v>22476</v>
      </c>
      <c r="M12187" s="8" t="s">
        <v>22477</v>
      </c>
      <c r="N12187" s="8" t="s">
        <v>51150</v>
      </c>
      <c r="O12187" s="8">
        <f>13+55/60+40.4/3600</f>
        <v>13.927888888888889</v>
      </c>
      <c r="P12187" s="8" t="s">
        <v>51151</v>
      </c>
      <c r="Q12187" s="8">
        <f>+(25+9/60+10/3600)</f>
        <v>25.152777777777775</v>
      </c>
      <c r="R12187" s="8">
        <v>14.5</v>
      </c>
      <c r="S12187" s="8">
        <v>15.3</v>
      </c>
      <c r="T12187" s="8">
        <v>0.8</v>
      </c>
      <c r="U12187" s="8">
        <v>13.7</v>
      </c>
      <c r="V12187" s="8">
        <v>0.9</v>
      </c>
      <c r="W12187" s="8">
        <v>0.6</v>
      </c>
      <c r="X12187" s="8">
        <v>0</v>
      </c>
      <c r="Y12187" s="8" t="s">
        <v>12301</v>
      </c>
      <c r="Z12187" s="8" t="s">
        <v>12302</v>
      </c>
    </row>
    <row r="12188" spans="1:26" x14ac:dyDescent="0.2">
      <c r="A12188" s="8">
        <v>12187</v>
      </c>
      <c r="B12188" s="8" t="s">
        <v>51152</v>
      </c>
      <c r="C12188" s="8" t="s">
        <v>51152</v>
      </c>
      <c r="G12188" s="8">
        <v>20</v>
      </c>
      <c r="H12188" s="8" t="s">
        <v>21</v>
      </c>
      <c r="I12188" s="8" t="s">
        <v>1283</v>
      </c>
      <c r="J12188" s="8" t="s">
        <v>57</v>
      </c>
      <c r="K12188" s="8" t="s">
        <v>6208</v>
      </c>
      <c r="L12188" s="8" t="s">
        <v>16195</v>
      </c>
      <c r="M12188" s="8" t="s">
        <v>16196</v>
      </c>
      <c r="N12188" s="8" t="s">
        <v>23995</v>
      </c>
      <c r="O12188" s="8">
        <f>13+57/60+43.8/3600</f>
        <v>13.962166666666667</v>
      </c>
      <c r="P12188" s="8" t="s">
        <v>23996</v>
      </c>
      <c r="Q12188" s="8">
        <f>-(39+58/60+42/3600)</f>
        <v>-39.978333333333332</v>
      </c>
      <c r="R12188" s="8">
        <v>99</v>
      </c>
      <c r="S12188" s="8">
        <v>99</v>
      </c>
      <c r="T12188" s="8">
        <v>99</v>
      </c>
      <c r="U12188" s="8">
        <v>99</v>
      </c>
      <c r="V12188" s="8">
        <v>2</v>
      </c>
      <c r="W12188" s="8">
        <v>2</v>
      </c>
      <c r="Y12188" s="8" t="s">
        <v>51153</v>
      </c>
      <c r="Z12188" s="8" t="s">
        <v>51154</v>
      </c>
    </row>
    <row r="12189" spans="1:26" x14ac:dyDescent="0.2">
      <c r="A12189" s="8">
        <v>12188</v>
      </c>
      <c r="B12189" s="8" t="s">
        <v>51155</v>
      </c>
      <c r="C12189" s="8" t="s">
        <v>51155</v>
      </c>
      <c r="G12189" s="8">
        <v>20</v>
      </c>
      <c r="H12189" s="8" t="s">
        <v>21</v>
      </c>
      <c r="I12189" s="8" t="s">
        <v>22</v>
      </c>
      <c r="J12189" s="8" t="s">
        <v>22</v>
      </c>
      <c r="K12189" s="8" t="s">
        <v>460</v>
      </c>
      <c r="L12189" s="8" t="s">
        <v>22476</v>
      </c>
      <c r="M12189" s="8" t="s">
        <v>22477</v>
      </c>
      <c r="N12189" s="8" t="s">
        <v>51156</v>
      </c>
      <c r="O12189" s="8">
        <f>13+55/60+45/3600</f>
        <v>13.929166666666665</v>
      </c>
      <c r="P12189" s="8" t="s">
        <v>51157</v>
      </c>
      <c r="Q12189" s="8">
        <f>+(25+12/60+13/3600)</f>
        <v>25.203611111111112</v>
      </c>
      <c r="R12189" s="8">
        <v>14.8</v>
      </c>
      <c r="S12189" s="8">
        <v>15.8</v>
      </c>
      <c r="T12189" s="8">
        <v>1</v>
      </c>
      <c r="U12189" s="8">
        <v>13.4</v>
      </c>
      <c r="V12189" s="8">
        <v>0.5</v>
      </c>
      <c r="W12189" s="8">
        <v>0.5</v>
      </c>
      <c r="Y12189" s="8" t="s">
        <v>43668</v>
      </c>
      <c r="Z12189" s="8" t="s">
        <v>43669</v>
      </c>
    </row>
    <row r="12190" spans="1:26" x14ac:dyDescent="0.2">
      <c r="A12190" s="8">
        <v>12189</v>
      </c>
      <c r="B12190" s="8" t="s">
        <v>51158</v>
      </c>
      <c r="C12190" s="8" t="s">
        <v>51158</v>
      </c>
      <c r="G12190" s="8">
        <v>20</v>
      </c>
      <c r="H12190" s="8" t="s">
        <v>21</v>
      </c>
      <c r="I12190" s="8" t="s">
        <v>22</v>
      </c>
      <c r="J12190" s="8" t="s">
        <v>22</v>
      </c>
      <c r="K12190" s="8" t="s">
        <v>396</v>
      </c>
      <c r="L12190" s="8" t="s">
        <v>22476</v>
      </c>
      <c r="M12190" s="8" t="s">
        <v>22477</v>
      </c>
      <c r="N12190" s="8" t="s">
        <v>51159</v>
      </c>
      <c r="O12190" s="8">
        <f>13+55/60+46.2/3600</f>
        <v>13.929499999999999</v>
      </c>
      <c r="P12190" s="8" t="s">
        <v>51160</v>
      </c>
      <c r="Q12190" s="8">
        <f>+(25+9/60+7/3600)</f>
        <v>25.151944444444442</v>
      </c>
      <c r="R12190" s="8">
        <v>14.5</v>
      </c>
      <c r="S12190" s="8">
        <v>15.3</v>
      </c>
      <c r="T12190" s="8">
        <v>0.8</v>
      </c>
      <c r="U12190" s="8">
        <v>13.2</v>
      </c>
      <c r="V12190" s="8">
        <v>0.9</v>
      </c>
      <c r="W12190" s="8">
        <v>0.4</v>
      </c>
      <c r="X12190" s="8">
        <v>125</v>
      </c>
      <c r="Y12190" s="8" t="s">
        <v>4430</v>
      </c>
      <c r="Z12190" s="8" t="s">
        <v>4431</v>
      </c>
    </row>
    <row r="12191" spans="1:26" x14ac:dyDescent="0.2">
      <c r="A12191" s="8">
        <v>12190</v>
      </c>
      <c r="B12191" s="8" t="s">
        <v>51161</v>
      </c>
      <c r="C12191" s="8" t="s">
        <v>51161</v>
      </c>
      <c r="G12191" s="8">
        <v>20</v>
      </c>
      <c r="H12191" s="8" t="s">
        <v>21</v>
      </c>
      <c r="I12191" s="8" t="s">
        <v>22</v>
      </c>
      <c r="J12191" s="8" t="s">
        <v>22</v>
      </c>
      <c r="K12191" s="8" t="s">
        <v>435</v>
      </c>
      <c r="L12191" s="8" t="s">
        <v>11765</v>
      </c>
      <c r="M12191" s="8" t="s">
        <v>11766</v>
      </c>
      <c r="N12191" s="8" t="s">
        <v>51162</v>
      </c>
      <c r="O12191" s="8">
        <f>13+57/60+13.9/3600</f>
        <v>13.953861111111111</v>
      </c>
      <c r="P12191" s="8" t="s">
        <v>51163</v>
      </c>
      <c r="Q12191" s="8">
        <f>-(25+14/60+45/3600)</f>
        <v>-25.245833333333334</v>
      </c>
      <c r="R12191" s="8">
        <v>12.6</v>
      </c>
      <c r="S12191" s="8">
        <v>13.5</v>
      </c>
      <c r="T12191" s="8">
        <v>0.9</v>
      </c>
      <c r="U12191" s="8">
        <v>12.7</v>
      </c>
      <c r="V12191" s="8">
        <v>1.6</v>
      </c>
      <c r="W12191" s="8">
        <v>0.9</v>
      </c>
      <c r="X12191" s="8">
        <v>136</v>
      </c>
      <c r="Y12191" s="8" t="s">
        <v>51164</v>
      </c>
      <c r="Z12191" s="8" t="s">
        <v>51165</v>
      </c>
    </row>
    <row r="12192" spans="1:26" x14ac:dyDescent="0.2">
      <c r="A12192" s="8">
        <v>12191</v>
      </c>
      <c r="B12192" s="8" t="s">
        <v>51166</v>
      </c>
      <c r="C12192" s="8" t="s">
        <v>51166</v>
      </c>
      <c r="G12192" s="8">
        <v>13</v>
      </c>
      <c r="H12192" s="8" t="s">
        <v>21</v>
      </c>
      <c r="I12192" s="8" t="s">
        <v>22</v>
      </c>
      <c r="J12192" s="8" t="s">
        <v>22</v>
      </c>
      <c r="K12192" s="8" t="s">
        <v>23</v>
      </c>
      <c r="L12192" s="8" t="s">
        <v>11765</v>
      </c>
      <c r="M12192" s="8" t="s">
        <v>11766</v>
      </c>
      <c r="N12192" s="8" t="s">
        <v>51167</v>
      </c>
      <c r="O12192" s="8">
        <f>13+57/60+53.8/3600</f>
        <v>13.964944444444443</v>
      </c>
      <c r="P12192" s="8" t="s">
        <v>51168</v>
      </c>
      <c r="Q12192" s="8">
        <f>-(29+18/60+56/3600)</f>
        <v>-29.315555555555555</v>
      </c>
      <c r="R12192" s="8">
        <v>11.7</v>
      </c>
      <c r="S12192" s="8">
        <v>12.6</v>
      </c>
      <c r="T12192" s="8">
        <v>0.9</v>
      </c>
      <c r="U12192" s="8">
        <v>13.5</v>
      </c>
      <c r="V12192" s="8">
        <v>5.9</v>
      </c>
      <c r="W12192" s="8">
        <v>0.9</v>
      </c>
      <c r="X12192" s="8">
        <v>17</v>
      </c>
      <c r="Y12192" s="8" t="s">
        <v>51169</v>
      </c>
      <c r="Z12192" s="8" t="s">
        <v>51170</v>
      </c>
    </row>
    <row r="12193" spans="1:26" x14ac:dyDescent="0.2">
      <c r="A12193" s="8">
        <v>12192</v>
      </c>
      <c r="B12193" s="8" t="s">
        <v>51171</v>
      </c>
      <c r="C12193" s="8" t="s">
        <v>51171</v>
      </c>
      <c r="G12193" s="8">
        <v>20</v>
      </c>
      <c r="H12193" s="8" t="s">
        <v>21</v>
      </c>
      <c r="I12193" s="8" t="s">
        <v>22</v>
      </c>
      <c r="J12193" s="8" t="s">
        <v>22</v>
      </c>
      <c r="K12193" s="8" t="s">
        <v>31</v>
      </c>
      <c r="L12193" s="8" t="s">
        <v>16195</v>
      </c>
      <c r="M12193" s="8" t="s">
        <v>16196</v>
      </c>
      <c r="N12193" s="8" t="s">
        <v>51172</v>
      </c>
      <c r="O12193" s="8">
        <f>13+58/60+25.1/3600</f>
        <v>13.973638888888889</v>
      </c>
      <c r="P12193" s="8" t="s">
        <v>51173</v>
      </c>
      <c r="Q12193" s="8">
        <f>-(34+31/60+3/3600)</f>
        <v>-34.517499999999998</v>
      </c>
      <c r="R12193" s="8">
        <v>12.4</v>
      </c>
      <c r="S12193" s="8">
        <v>13.2</v>
      </c>
      <c r="T12193" s="8">
        <v>0.8</v>
      </c>
      <c r="U12193" s="8">
        <v>12.3</v>
      </c>
      <c r="V12193" s="8">
        <v>1.8</v>
      </c>
      <c r="W12193" s="8">
        <v>0.7</v>
      </c>
      <c r="X12193" s="8">
        <v>88</v>
      </c>
      <c r="Y12193" s="8" t="s">
        <v>51174</v>
      </c>
      <c r="Z12193" s="8" t="s">
        <v>51175</v>
      </c>
    </row>
    <row r="12194" spans="1:26" x14ac:dyDescent="0.2">
      <c r="A12194" s="8">
        <v>12193</v>
      </c>
      <c r="B12194" s="8" t="s">
        <v>51176</v>
      </c>
      <c r="C12194" s="8" t="s">
        <v>51176</v>
      </c>
      <c r="G12194" s="8">
        <v>20</v>
      </c>
      <c r="H12194" s="8" t="s">
        <v>21</v>
      </c>
      <c r="I12194" s="8" t="s">
        <v>72</v>
      </c>
      <c r="J12194" s="8" t="s">
        <v>72</v>
      </c>
      <c r="K12194" s="8" t="s">
        <v>20</v>
      </c>
      <c r="L12194" s="8" t="s">
        <v>18681</v>
      </c>
      <c r="M12194" s="8" t="s">
        <v>18682</v>
      </c>
      <c r="N12194" s="8" t="s">
        <v>51177</v>
      </c>
      <c r="O12194" s="8">
        <f>13+56/60+56.9/3600</f>
        <v>13.949138888888889</v>
      </c>
      <c r="P12194" s="8" t="s">
        <v>51178</v>
      </c>
      <c r="Q12194" s="8">
        <f>+(37+44/60+25/3600)</f>
        <v>37.740277777777777</v>
      </c>
      <c r="R12194" s="8">
        <v>99</v>
      </c>
      <c r="S12194" s="8">
        <v>14.9</v>
      </c>
      <c r="T12194" s="8">
        <v>99</v>
      </c>
      <c r="U12194" s="8">
        <v>99</v>
      </c>
      <c r="Y12194" s="8" t="s">
        <v>51179</v>
      </c>
      <c r="Z12194" s="8" t="s">
        <v>51180</v>
      </c>
    </row>
    <row r="12195" spans="1:26" x14ac:dyDescent="0.2">
      <c r="A12195" s="8">
        <v>12194</v>
      </c>
      <c r="B12195" s="8" t="s">
        <v>51181</v>
      </c>
      <c r="C12195" s="8" t="s">
        <v>51181</v>
      </c>
      <c r="G12195" s="8">
        <v>20</v>
      </c>
      <c r="H12195" s="8" t="s">
        <v>21</v>
      </c>
      <c r="I12195" s="8" t="s">
        <v>22</v>
      </c>
      <c r="J12195" s="8" t="s">
        <v>22</v>
      </c>
      <c r="K12195" s="8" t="s">
        <v>23</v>
      </c>
      <c r="L12195" s="8" t="s">
        <v>17287</v>
      </c>
      <c r="M12195" s="8" t="s">
        <v>17288</v>
      </c>
      <c r="N12195" s="8" t="s">
        <v>51182</v>
      </c>
      <c r="O12195" s="8">
        <f>13+58/60+30.8/3600</f>
        <v>13.975222222222222</v>
      </c>
      <c r="P12195" s="8" t="s">
        <v>51183</v>
      </c>
      <c r="Q12195" s="8">
        <f>-(12+36/60+18/3600)</f>
        <v>-12.605</v>
      </c>
      <c r="R12195" s="8">
        <v>14.5</v>
      </c>
      <c r="S12195" s="8">
        <v>15.3</v>
      </c>
      <c r="T12195" s="8">
        <v>0.8</v>
      </c>
      <c r="U12195" s="8">
        <v>13.1</v>
      </c>
      <c r="V12195" s="8">
        <v>1.1000000000000001</v>
      </c>
      <c r="W12195" s="8">
        <v>0.3</v>
      </c>
      <c r="X12195" s="8">
        <v>108</v>
      </c>
      <c r="Y12195" s="8" t="s">
        <v>42715</v>
      </c>
      <c r="Z12195" s="8" t="s">
        <v>42716</v>
      </c>
    </row>
    <row r="12196" spans="1:26" x14ac:dyDescent="0.2">
      <c r="A12196" s="8">
        <v>12195</v>
      </c>
      <c r="B12196" s="8" t="s">
        <v>51184</v>
      </c>
      <c r="C12196" s="8" t="s">
        <v>51184</v>
      </c>
      <c r="G12196" s="8">
        <v>20</v>
      </c>
      <c r="H12196" s="8" t="s">
        <v>21</v>
      </c>
      <c r="I12196" s="8" t="s">
        <v>22</v>
      </c>
      <c r="J12196" s="8" t="s">
        <v>22</v>
      </c>
      <c r="K12196" s="8" t="s">
        <v>91</v>
      </c>
      <c r="L12196" s="8" t="s">
        <v>18681</v>
      </c>
      <c r="M12196" s="8" t="s">
        <v>18682</v>
      </c>
      <c r="N12196" s="8" t="s">
        <v>51185</v>
      </c>
      <c r="O12196" s="8">
        <f>13+58/60+6/3600</f>
        <v>13.968333333333334</v>
      </c>
      <c r="P12196" s="8" t="s">
        <v>51186</v>
      </c>
      <c r="Q12196" s="8">
        <f>+(28+25/60+20/3600)</f>
        <v>28.422222222222224</v>
      </c>
      <c r="R12196" s="8">
        <v>14.5</v>
      </c>
      <c r="S12196" s="8">
        <v>15.4</v>
      </c>
      <c r="T12196" s="8">
        <v>0.9</v>
      </c>
      <c r="U12196" s="8">
        <v>12.3</v>
      </c>
      <c r="V12196" s="8">
        <v>0.5</v>
      </c>
      <c r="W12196" s="8">
        <v>0.3</v>
      </c>
      <c r="X12196" s="8">
        <v>0</v>
      </c>
      <c r="Y12196" s="8" t="s">
        <v>1837</v>
      </c>
      <c r="Z12196" s="8" t="s">
        <v>1838</v>
      </c>
    </row>
    <row r="12197" spans="1:26" x14ac:dyDescent="0.2">
      <c r="A12197" s="8">
        <v>12196</v>
      </c>
      <c r="B12197" s="8" t="s">
        <v>51187</v>
      </c>
      <c r="C12197" s="8" t="s">
        <v>51187</v>
      </c>
      <c r="G12197" s="8">
        <v>20</v>
      </c>
      <c r="H12197" s="8" t="s">
        <v>21</v>
      </c>
      <c r="I12197" s="8" t="s">
        <v>22</v>
      </c>
      <c r="J12197" s="8" t="s">
        <v>22</v>
      </c>
      <c r="K12197" s="8" t="s">
        <v>424</v>
      </c>
      <c r="L12197" s="8" t="s">
        <v>18681</v>
      </c>
      <c r="M12197" s="8" t="s">
        <v>18682</v>
      </c>
      <c r="N12197" s="8" t="s">
        <v>51188</v>
      </c>
      <c r="O12197" s="8">
        <f>13+58/60+45/3600</f>
        <v>13.979166666666666</v>
      </c>
      <c r="P12197" s="8" t="s">
        <v>51189</v>
      </c>
      <c r="Q12197" s="8">
        <f>+(37+29/60+28/3600)</f>
        <v>37.49111111111111</v>
      </c>
      <c r="R12197" s="8">
        <v>15</v>
      </c>
      <c r="S12197" s="8">
        <v>16</v>
      </c>
      <c r="T12197" s="8">
        <v>1</v>
      </c>
      <c r="U12197" s="8">
        <v>12.2</v>
      </c>
      <c r="V12197" s="8">
        <v>0.3</v>
      </c>
      <c r="W12197" s="8">
        <v>0.3</v>
      </c>
      <c r="Y12197" s="8" t="s">
        <v>51190</v>
      </c>
      <c r="Z12197" s="8" t="s">
        <v>51191</v>
      </c>
    </row>
    <row r="12198" spans="1:26" x14ac:dyDescent="0.2">
      <c r="A12198" s="8">
        <v>12197</v>
      </c>
      <c r="B12198" s="8" t="s">
        <v>51192</v>
      </c>
      <c r="C12198" s="8" t="s">
        <v>51192</v>
      </c>
      <c r="G12198" s="8">
        <v>20</v>
      </c>
      <c r="H12198" s="8" t="s">
        <v>21</v>
      </c>
      <c r="I12198" s="8" t="s">
        <v>22</v>
      </c>
      <c r="J12198" s="8" t="s">
        <v>22</v>
      </c>
      <c r="K12198" s="8" t="s">
        <v>396</v>
      </c>
      <c r="L12198" s="8" t="s">
        <v>18681</v>
      </c>
      <c r="M12198" s="8" t="s">
        <v>18682</v>
      </c>
      <c r="N12198" s="8" t="s">
        <v>51193</v>
      </c>
      <c r="O12198" s="8">
        <f>14+0/60+43.7/3600</f>
        <v>14.012138888888888</v>
      </c>
      <c r="P12198" s="8" t="s">
        <v>51194</v>
      </c>
      <c r="Q12198" s="8">
        <f>+(31+53/60+39/3600)</f>
        <v>31.894166666666667</v>
      </c>
      <c r="R12198" s="8">
        <v>13.9</v>
      </c>
      <c r="S12198" s="8">
        <v>14.7</v>
      </c>
      <c r="T12198" s="8">
        <v>0.8</v>
      </c>
      <c r="U12198" s="8">
        <v>13.1</v>
      </c>
      <c r="V12198" s="8">
        <v>1.1000000000000001</v>
      </c>
      <c r="W12198" s="8">
        <v>0.6</v>
      </c>
      <c r="X12198" s="8">
        <v>70</v>
      </c>
      <c r="Y12198" s="8" t="s">
        <v>51195</v>
      </c>
      <c r="Z12198" s="8" t="s">
        <v>27187</v>
      </c>
    </row>
    <row r="12199" spans="1:26" x14ac:dyDescent="0.2">
      <c r="A12199" s="8">
        <v>12198</v>
      </c>
      <c r="B12199" s="8" t="s">
        <v>51196</v>
      </c>
      <c r="C12199" s="8" t="s">
        <v>51196</v>
      </c>
      <c r="G12199" s="8">
        <v>20</v>
      </c>
      <c r="H12199" s="8" t="s">
        <v>21</v>
      </c>
      <c r="I12199" s="8" t="s">
        <v>22</v>
      </c>
      <c r="J12199" s="8" t="s">
        <v>22</v>
      </c>
      <c r="K12199" s="8" t="s">
        <v>396</v>
      </c>
      <c r="L12199" s="8" t="s">
        <v>17287</v>
      </c>
      <c r="M12199" s="8" t="s">
        <v>17288</v>
      </c>
      <c r="N12199" s="8" t="s">
        <v>51197</v>
      </c>
      <c r="O12199" s="8">
        <f>14+3/60+34.1/3600</f>
        <v>14.059472222222222</v>
      </c>
      <c r="P12199" s="8" t="s">
        <v>51198</v>
      </c>
      <c r="Q12199" s="8">
        <f>-(10+9/60+2/3600)</f>
        <v>-10.150555555555556</v>
      </c>
      <c r="R12199" s="8">
        <v>14.1</v>
      </c>
      <c r="S12199" s="8">
        <v>14.9</v>
      </c>
      <c r="T12199" s="8">
        <v>0.8</v>
      </c>
      <c r="U12199" s="8">
        <v>12.8</v>
      </c>
      <c r="V12199" s="8">
        <v>1.3</v>
      </c>
      <c r="W12199" s="8">
        <v>0.3</v>
      </c>
      <c r="X12199" s="8">
        <v>114</v>
      </c>
      <c r="Y12199" s="8" t="s">
        <v>51199</v>
      </c>
      <c r="Z12199" s="8" t="s">
        <v>51200</v>
      </c>
    </row>
    <row r="12200" spans="1:26" x14ac:dyDescent="0.2">
      <c r="A12200" s="8">
        <v>12199</v>
      </c>
      <c r="B12200" s="8" t="s">
        <v>51201</v>
      </c>
      <c r="C12200" s="8" t="s">
        <v>51201</v>
      </c>
      <c r="G12200" s="8">
        <v>20</v>
      </c>
      <c r="H12200" s="8" t="s">
        <v>21</v>
      </c>
      <c r="I12200" s="8" t="s">
        <v>22</v>
      </c>
      <c r="J12200" s="8" t="s">
        <v>22</v>
      </c>
      <c r="K12200" s="8" t="s">
        <v>160</v>
      </c>
      <c r="L12200" s="8" t="s">
        <v>16195</v>
      </c>
      <c r="M12200" s="8" t="s">
        <v>16196</v>
      </c>
      <c r="N12200" s="8" t="s">
        <v>51202</v>
      </c>
      <c r="O12200" s="8">
        <f>14+5/60+23.3/3600</f>
        <v>14.089805555555555</v>
      </c>
      <c r="P12200" s="8" t="s">
        <v>51203</v>
      </c>
      <c r="Q12200" s="8">
        <f>-(45+16/60+12/3600)</f>
        <v>-45.269999999999996</v>
      </c>
      <c r="R12200" s="8">
        <v>13</v>
      </c>
      <c r="S12200" s="8">
        <v>13.7</v>
      </c>
      <c r="T12200" s="8">
        <v>0.7</v>
      </c>
      <c r="U12200" s="8">
        <v>12.7</v>
      </c>
      <c r="V12200" s="8">
        <v>1.1000000000000001</v>
      </c>
      <c r="W12200" s="8">
        <v>0.9</v>
      </c>
      <c r="X12200" s="8">
        <v>17</v>
      </c>
      <c r="Y12200" s="8" t="s">
        <v>51204</v>
      </c>
      <c r="Z12200" s="8" t="s">
        <v>51205</v>
      </c>
    </row>
    <row r="12201" spans="1:26" x14ac:dyDescent="0.2">
      <c r="A12201" s="8">
        <v>12200</v>
      </c>
      <c r="B12201" s="8" t="s">
        <v>51206</v>
      </c>
      <c r="C12201" s="8" t="s">
        <v>51206</v>
      </c>
      <c r="G12201" s="8">
        <v>20</v>
      </c>
      <c r="H12201" s="8" t="s">
        <v>21</v>
      </c>
      <c r="I12201" s="8" t="s">
        <v>22</v>
      </c>
      <c r="J12201" s="8" t="s">
        <v>22</v>
      </c>
      <c r="K12201" s="8" t="s">
        <v>12818</v>
      </c>
      <c r="L12201" s="8" t="s">
        <v>17287</v>
      </c>
      <c r="M12201" s="8" t="s">
        <v>17288</v>
      </c>
      <c r="N12201" s="8" t="s">
        <v>51207</v>
      </c>
      <c r="O12201" s="8">
        <f>14+4/60+21.3/3600</f>
        <v>14.072583333333332</v>
      </c>
      <c r="P12201" s="8" t="s">
        <v>51208</v>
      </c>
      <c r="Q12201" s="8">
        <f>-(11+25/60+28/3600)</f>
        <v>-11.424444444444443</v>
      </c>
      <c r="R12201" s="8">
        <v>15.2</v>
      </c>
      <c r="S12201" s="8">
        <v>16</v>
      </c>
      <c r="T12201" s="8">
        <v>0.8</v>
      </c>
      <c r="U12201" s="8">
        <v>13.2</v>
      </c>
      <c r="V12201" s="8">
        <v>0.6</v>
      </c>
      <c r="W12201" s="8">
        <v>0.3</v>
      </c>
      <c r="X12201" s="8">
        <v>35</v>
      </c>
      <c r="Y12201" s="8" t="s">
        <v>51209</v>
      </c>
      <c r="Z12201" s="8" t="s">
        <v>51210</v>
      </c>
    </row>
    <row r="12202" spans="1:26" x14ac:dyDescent="0.2">
      <c r="A12202" s="8">
        <v>12201</v>
      </c>
      <c r="B12202" s="8" t="s">
        <v>51211</v>
      </c>
      <c r="C12202" s="8" t="s">
        <v>51211</v>
      </c>
      <c r="G12202" s="8">
        <v>20</v>
      </c>
      <c r="H12202" s="8" t="s">
        <v>21</v>
      </c>
      <c r="I12202" s="8" t="s">
        <v>22</v>
      </c>
      <c r="J12202" s="8" t="s">
        <v>22</v>
      </c>
      <c r="K12202" s="8" t="s">
        <v>476</v>
      </c>
      <c r="L12202" s="8" t="s">
        <v>17287</v>
      </c>
      <c r="M12202" s="8" t="s">
        <v>17288</v>
      </c>
      <c r="N12202" s="8" t="s">
        <v>51212</v>
      </c>
      <c r="O12202" s="8">
        <f>14+4/60+7.5/3600</f>
        <v>14.06875</v>
      </c>
      <c r="P12202" s="8" t="s">
        <v>51213</v>
      </c>
      <c r="Q12202" s="8">
        <f>-(9+46/60+4/3600)</f>
        <v>-9.7677777777777788</v>
      </c>
      <c r="R12202" s="8">
        <v>14.8</v>
      </c>
      <c r="S12202" s="8">
        <v>15.7</v>
      </c>
      <c r="T12202" s="8">
        <v>0.9</v>
      </c>
      <c r="U12202" s="8">
        <v>13</v>
      </c>
      <c r="V12202" s="8">
        <v>0.7</v>
      </c>
      <c r="W12202" s="8">
        <v>0.3</v>
      </c>
      <c r="X12202" s="8">
        <v>168</v>
      </c>
      <c r="Y12202" s="8" t="s">
        <v>51214</v>
      </c>
      <c r="Z12202" s="8" t="s">
        <v>51215</v>
      </c>
    </row>
    <row r="12203" spans="1:26" x14ac:dyDescent="0.2">
      <c r="A12203" s="8">
        <v>12202</v>
      </c>
      <c r="B12203" s="8" t="s">
        <v>51216</v>
      </c>
      <c r="C12203" s="8" t="s">
        <v>51216</v>
      </c>
      <c r="G12203" s="8">
        <v>20</v>
      </c>
      <c r="H12203" s="8" t="s">
        <v>21</v>
      </c>
      <c r="I12203" s="8" t="s">
        <v>22</v>
      </c>
      <c r="J12203" s="8" t="s">
        <v>22</v>
      </c>
      <c r="K12203" s="8" t="s">
        <v>64</v>
      </c>
      <c r="L12203" s="8" t="s">
        <v>16195</v>
      </c>
      <c r="M12203" s="8" t="s">
        <v>16196</v>
      </c>
      <c r="N12203" s="8" t="s">
        <v>51217</v>
      </c>
      <c r="O12203" s="8">
        <f>14+5/60+22.1/3600</f>
        <v>14.089472222222224</v>
      </c>
      <c r="P12203" s="8" t="s">
        <v>51218</v>
      </c>
      <c r="Q12203" s="8">
        <f>-(41+49/60+9/3600)</f>
        <v>-41.819166666666668</v>
      </c>
      <c r="R12203" s="8">
        <v>12.7</v>
      </c>
      <c r="S12203" s="8">
        <v>13.4</v>
      </c>
      <c r="T12203" s="8">
        <v>0.7</v>
      </c>
      <c r="U12203" s="8">
        <v>12.7</v>
      </c>
      <c r="V12203" s="8">
        <v>1.7</v>
      </c>
      <c r="W12203" s="8">
        <v>0.7</v>
      </c>
      <c r="X12203" s="8">
        <v>146</v>
      </c>
      <c r="Y12203" s="8" t="s">
        <v>51219</v>
      </c>
      <c r="Z12203" s="8" t="s">
        <v>51220</v>
      </c>
    </row>
    <row r="12204" spans="1:26" x14ac:dyDescent="0.2">
      <c r="A12204" s="8">
        <v>12203</v>
      </c>
      <c r="B12204" s="8" t="s">
        <v>51221</v>
      </c>
      <c r="C12204" s="8" t="s">
        <v>51221</v>
      </c>
      <c r="G12204" s="8">
        <v>20</v>
      </c>
      <c r="H12204" s="8" t="s">
        <v>21</v>
      </c>
      <c r="I12204" s="8" t="s">
        <v>22</v>
      </c>
      <c r="J12204" s="8" t="s">
        <v>22</v>
      </c>
      <c r="K12204" s="8" t="s">
        <v>47262</v>
      </c>
      <c r="L12204" s="8" t="s">
        <v>17287</v>
      </c>
      <c r="M12204" s="8" t="s">
        <v>17288</v>
      </c>
      <c r="N12204" s="8" t="s">
        <v>51222</v>
      </c>
      <c r="O12204" s="8">
        <f>14+4/60+12.3/3600</f>
        <v>14.070083333333333</v>
      </c>
      <c r="P12204" s="8" t="s">
        <v>51223</v>
      </c>
      <c r="Q12204" s="8">
        <f>-(9+38/60+29/3600)</f>
        <v>-9.6413888888888888</v>
      </c>
      <c r="R12204" s="8">
        <v>15.2</v>
      </c>
      <c r="S12204" s="8">
        <v>16</v>
      </c>
      <c r="T12204" s="8">
        <v>0.8</v>
      </c>
      <c r="U12204" s="8">
        <v>13.3</v>
      </c>
      <c r="V12204" s="8">
        <v>0.5</v>
      </c>
      <c r="W12204" s="8">
        <v>0.4</v>
      </c>
      <c r="X12204" s="8">
        <v>10</v>
      </c>
      <c r="Y12204" s="8" t="s">
        <v>51214</v>
      </c>
      <c r="Z12204" s="8" t="s">
        <v>51215</v>
      </c>
    </row>
    <row r="12205" spans="1:26" x14ac:dyDescent="0.2">
      <c r="A12205" s="8">
        <v>12204</v>
      </c>
      <c r="B12205" s="8" t="s">
        <v>51224</v>
      </c>
      <c r="C12205" s="8" t="s">
        <v>51224</v>
      </c>
      <c r="G12205" s="8">
        <v>20</v>
      </c>
      <c r="H12205" s="8" t="s">
        <v>21</v>
      </c>
      <c r="I12205" s="8" t="s">
        <v>22</v>
      </c>
      <c r="J12205" s="8" t="s">
        <v>22</v>
      </c>
      <c r="K12205" s="8" t="s">
        <v>396</v>
      </c>
      <c r="L12205" s="8" t="s">
        <v>17287</v>
      </c>
      <c r="M12205" s="8" t="s">
        <v>17288</v>
      </c>
      <c r="N12205" s="8" t="s">
        <v>51225</v>
      </c>
      <c r="O12205" s="8">
        <f>14+4/60+19.8/3600</f>
        <v>14.072166666666666</v>
      </c>
      <c r="P12205" s="8" t="s">
        <v>51226</v>
      </c>
      <c r="Q12205" s="8">
        <f>-(9+59/60+34/3600)</f>
        <v>-9.9927777777777766</v>
      </c>
      <c r="R12205" s="8">
        <v>14.1</v>
      </c>
      <c r="S12205" s="8">
        <v>14.9</v>
      </c>
      <c r="T12205" s="8">
        <v>0.8</v>
      </c>
      <c r="U12205" s="8">
        <v>12.8</v>
      </c>
      <c r="V12205" s="8">
        <v>0.7</v>
      </c>
      <c r="W12205" s="8">
        <v>0.6</v>
      </c>
      <c r="X12205" s="8">
        <v>75</v>
      </c>
      <c r="Y12205" s="8" t="s">
        <v>385</v>
      </c>
      <c r="Z12205" s="8" t="s">
        <v>386</v>
      </c>
    </row>
    <row r="12206" spans="1:26" x14ac:dyDescent="0.2">
      <c r="A12206" s="8">
        <v>12205</v>
      </c>
      <c r="B12206" s="8" t="s">
        <v>51227</v>
      </c>
      <c r="C12206" s="8" t="s">
        <v>51227</v>
      </c>
      <c r="G12206" s="8">
        <v>20</v>
      </c>
      <c r="H12206" s="8" t="s">
        <v>21</v>
      </c>
      <c r="I12206" s="8" t="s">
        <v>22</v>
      </c>
      <c r="J12206" s="8" t="s">
        <v>57</v>
      </c>
      <c r="K12206" s="8" t="s">
        <v>23</v>
      </c>
      <c r="L12206" s="8" t="s">
        <v>22476</v>
      </c>
      <c r="M12206" s="8" t="s">
        <v>22477</v>
      </c>
      <c r="N12206" s="8" t="s">
        <v>24292</v>
      </c>
      <c r="O12206" s="8">
        <f>14+3/60+47.3/3600</f>
        <v>14.06313888888889</v>
      </c>
      <c r="P12206" s="8" t="s">
        <v>13537</v>
      </c>
      <c r="Q12206" s="8">
        <f>+(9+31/60+25/3600)</f>
        <v>9.5236111111111121</v>
      </c>
      <c r="R12206" s="8">
        <v>14.3</v>
      </c>
      <c r="S12206" s="8">
        <v>15.1</v>
      </c>
      <c r="T12206" s="8">
        <v>0.8</v>
      </c>
      <c r="U12206" s="8">
        <v>13</v>
      </c>
      <c r="V12206" s="8">
        <v>0.9</v>
      </c>
      <c r="W12206" s="8">
        <v>0.4</v>
      </c>
      <c r="X12206" s="8">
        <v>0</v>
      </c>
      <c r="Y12206" s="8" t="s">
        <v>51228</v>
      </c>
      <c r="Z12206" s="8" t="s">
        <v>51229</v>
      </c>
    </row>
    <row r="12207" spans="1:26" x14ac:dyDescent="0.2">
      <c r="A12207" s="8">
        <v>12206</v>
      </c>
      <c r="B12207" s="8" t="s">
        <v>51230</v>
      </c>
      <c r="C12207" s="8" t="s">
        <v>51230</v>
      </c>
      <c r="G12207" s="8">
        <v>20</v>
      </c>
      <c r="H12207" s="8" t="s">
        <v>21</v>
      </c>
      <c r="I12207" s="8" t="s">
        <v>22</v>
      </c>
      <c r="J12207" s="8" t="s">
        <v>22</v>
      </c>
      <c r="K12207" s="8" t="s">
        <v>64</v>
      </c>
      <c r="L12207" s="8" t="s">
        <v>16195</v>
      </c>
      <c r="M12207" s="8" t="s">
        <v>16196</v>
      </c>
      <c r="N12207" s="8" t="s">
        <v>51231</v>
      </c>
      <c r="O12207" s="8">
        <f>14+5/60+11.3/3600</f>
        <v>14.086472222222223</v>
      </c>
      <c r="P12207" s="8" t="s">
        <v>51232</v>
      </c>
      <c r="Q12207" s="8">
        <f>-(33+45/60+39/3600)</f>
        <v>-33.760833333333331</v>
      </c>
      <c r="R12207" s="8">
        <v>12.6</v>
      </c>
      <c r="S12207" s="8">
        <v>13.2</v>
      </c>
      <c r="T12207" s="8">
        <v>0.6</v>
      </c>
      <c r="U12207" s="8">
        <v>13.2</v>
      </c>
      <c r="V12207" s="8">
        <v>1.6</v>
      </c>
      <c r="W12207" s="8">
        <v>1.3</v>
      </c>
      <c r="X12207" s="8">
        <v>140</v>
      </c>
      <c r="Y12207" s="8" t="s">
        <v>51233</v>
      </c>
      <c r="Z12207" s="8" t="s">
        <v>51234</v>
      </c>
    </row>
    <row r="12208" spans="1:26" x14ac:dyDescent="0.2">
      <c r="A12208" s="8">
        <v>12207</v>
      </c>
      <c r="B12208" s="8" t="s">
        <v>51235</v>
      </c>
      <c r="C12208" s="8" t="s">
        <v>51235</v>
      </c>
      <c r="G12208" s="8">
        <v>20</v>
      </c>
      <c r="H12208" s="8" t="s">
        <v>21</v>
      </c>
      <c r="I12208" s="8" t="s">
        <v>22</v>
      </c>
      <c r="J12208" s="8" t="s">
        <v>22</v>
      </c>
      <c r="K12208" s="8" t="s">
        <v>64</v>
      </c>
      <c r="L12208" s="8" t="s">
        <v>16195</v>
      </c>
      <c r="M12208" s="8" t="s">
        <v>16196</v>
      </c>
      <c r="N12208" s="8" t="s">
        <v>51236</v>
      </c>
      <c r="O12208" s="8">
        <f>14+5/60+36.4/3600</f>
        <v>14.093444444444446</v>
      </c>
      <c r="P12208" s="8" t="s">
        <v>51237</v>
      </c>
      <c r="Q12208" s="8">
        <f>-(39+12/60+11/3600)</f>
        <v>-39.203055555555558</v>
      </c>
      <c r="R12208" s="8">
        <v>12.2</v>
      </c>
      <c r="S12208" s="8">
        <v>12.9</v>
      </c>
      <c r="T12208" s="8">
        <v>0.7</v>
      </c>
      <c r="U12208" s="8">
        <v>13.1</v>
      </c>
      <c r="V12208" s="8">
        <v>1.8</v>
      </c>
      <c r="W12208" s="8">
        <v>1.6</v>
      </c>
      <c r="X12208" s="8">
        <v>14</v>
      </c>
      <c r="Y12208" s="8" t="s">
        <v>25492</v>
      </c>
      <c r="Z12208" s="8" t="s">
        <v>25493</v>
      </c>
    </row>
    <row r="12209" spans="1:26" x14ac:dyDescent="0.2">
      <c r="A12209" s="8">
        <v>12208</v>
      </c>
      <c r="B12209" s="8" t="s">
        <v>51238</v>
      </c>
      <c r="C12209" s="8" t="s">
        <v>51238</v>
      </c>
      <c r="G12209" s="8">
        <v>20</v>
      </c>
      <c r="H12209" s="8" t="s">
        <v>21</v>
      </c>
      <c r="I12209" s="8" t="s">
        <v>22</v>
      </c>
      <c r="J12209" s="8" t="s">
        <v>22</v>
      </c>
      <c r="K12209" s="8" t="s">
        <v>1068</v>
      </c>
      <c r="L12209" s="8" t="s">
        <v>17287</v>
      </c>
      <c r="M12209" s="8" t="s">
        <v>17288</v>
      </c>
      <c r="N12209" s="8" t="s">
        <v>51239</v>
      </c>
      <c r="O12209" s="8">
        <f>14+4/60+46.3/3600</f>
        <v>14.079527777777777</v>
      </c>
      <c r="P12209" s="8" t="s">
        <v>51240</v>
      </c>
      <c r="Q12209" s="8">
        <f>-(9+57/60+42/3600)</f>
        <v>-9.961666666666666</v>
      </c>
      <c r="R12209" s="8">
        <v>14.1</v>
      </c>
      <c r="S12209" s="8">
        <v>15.1</v>
      </c>
      <c r="T12209" s="8">
        <v>1</v>
      </c>
      <c r="U12209" s="8">
        <v>12.9</v>
      </c>
      <c r="V12209" s="8">
        <v>0.8</v>
      </c>
      <c r="W12209" s="8">
        <v>0.4</v>
      </c>
      <c r="X12209" s="8">
        <v>35</v>
      </c>
      <c r="Y12209" s="8" t="s">
        <v>2641</v>
      </c>
      <c r="Z12209" s="8" t="s">
        <v>2642</v>
      </c>
    </row>
    <row r="12210" spans="1:26" x14ac:dyDescent="0.2">
      <c r="A12210" s="8">
        <v>12209</v>
      </c>
      <c r="B12210" s="8" t="s">
        <v>51241</v>
      </c>
      <c r="C12210" s="8" t="s">
        <v>51241</v>
      </c>
      <c r="G12210" s="8">
        <v>20</v>
      </c>
      <c r="H12210" s="8" t="s">
        <v>21</v>
      </c>
      <c r="I12210" s="8" t="s">
        <v>22</v>
      </c>
      <c r="J12210" s="8" t="s">
        <v>22</v>
      </c>
      <c r="K12210" s="8" t="s">
        <v>396</v>
      </c>
      <c r="L12210" s="8" t="s">
        <v>18681</v>
      </c>
      <c r="M12210" s="8" t="s">
        <v>18682</v>
      </c>
      <c r="N12210" s="8" t="s">
        <v>51242</v>
      </c>
      <c r="O12210" s="8">
        <f>14+4/60+5.8/3600</f>
        <v>14.068277777777778</v>
      </c>
      <c r="P12210" s="8" t="s">
        <v>51243</v>
      </c>
      <c r="Q12210" s="8">
        <f>+(33+19/60+17/3600)</f>
        <v>33.32138888888889</v>
      </c>
      <c r="R12210" s="8">
        <v>15.4</v>
      </c>
      <c r="S12210" s="8">
        <v>16.2</v>
      </c>
      <c r="T12210" s="8">
        <v>0.8</v>
      </c>
      <c r="U12210" s="8">
        <v>12.9</v>
      </c>
      <c r="V12210" s="8">
        <v>0.4</v>
      </c>
      <c r="W12210" s="8">
        <v>0.3</v>
      </c>
      <c r="X12210" s="8">
        <v>20</v>
      </c>
      <c r="Y12210" s="8" t="s">
        <v>36095</v>
      </c>
      <c r="Z12210" s="8" t="s">
        <v>36096</v>
      </c>
    </row>
    <row r="12211" spans="1:26" x14ac:dyDescent="0.2">
      <c r="A12211" s="8">
        <v>12210</v>
      </c>
      <c r="B12211" s="8" t="s">
        <v>51244</v>
      </c>
      <c r="C12211" s="8" t="s">
        <v>51244</v>
      </c>
      <c r="G12211" s="8">
        <v>20</v>
      </c>
      <c r="H12211" s="8" t="s">
        <v>21</v>
      </c>
      <c r="I12211" s="8" t="s">
        <v>22</v>
      </c>
      <c r="J12211" s="8" t="s">
        <v>22</v>
      </c>
      <c r="K12211" s="8" t="s">
        <v>476</v>
      </c>
      <c r="L12211" s="8" t="s">
        <v>18681</v>
      </c>
      <c r="M12211" s="8" t="s">
        <v>18682</v>
      </c>
      <c r="N12211" s="8" t="s">
        <v>51245</v>
      </c>
      <c r="O12211" s="8">
        <f>14+4/60+9.9/3600</f>
        <v>14.069416666666667</v>
      </c>
      <c r="P12211" s="8" t="s">
        <v>51246</v>
      </c>
      <c r="Q12211" s="8">
        <f>+(33+20/60+48/3600)</f>
        <v>33.346666666666671</v>
      </c>
      <c r="R12211" s="8">
        <v>15.2</v>
      </c>
      <c r="S12211" s="8">
        <v>16.100000000000001</v>
      </c>
      <c r="T12211" s="8">
        <v>0.9</v>
      </c>
      <c r="U12211" s="8">
        <v>14.1</v>
      </c>
      <c r="V12211" s="8">
        <v>0.3</v>
      </c>
      <c r="W12211" s="8">
        <v>0.2</v>
      </c>
      <c r="X12211" s="8">
        <v>110</v>
      </c>
      <c r="Y12211" s="8" t="s">
        <v>51247</v>
      </c>
      <c r="Z12211" s="8" t="s">
        <v>51248</v>
      </c>
    </row>
    <row r="12212" spans="1:26" x14ac:dyDescent="0.2">
      <c r="A12212" s="8">
        <v>12211</v>
      </c>
      <c r="B12212" s="8" t="s">
        <v>51249</v>
      </c>
      <c r="C12212" s="8" t="s">
        <v>51249</v>
      </c>
      <c r="G12212" s="8">
        <v>20</v>
      </c>
      <c r="H12212" s="8" t="s">
        <v>21</v>
      </c>
      <c r="I12212" s="8" t="s">
        <v>22</v>
      </c>
      <c r="J12212" s="8" t="s">
        <v>22</v>
      </c>
      <c r="K12212" s="8" t="s">
        <v>435</v>
      </c>
      <c r="L12212" s="8" t="s">
        <v>18681</v>
      </c>
      <c r="M12212" s="8" t="s">
        <v>18682</v>
      </c>
      <c r="N12212" s="8" t="s">
        <v>51250</v>
      </c>
      <c r="O12212" s="8">
        <f>14+4/60+10.9/3600</f>
        <v>14.069694444444444</v>
      </c>
      <c r="P12212" s="8" t="s">
        <v>51251</v>
      </c>
      <c r="Q12212" s="8">
        <f>+(33+18/60+29/3600)</f>
        <v>33.308055555555555</v>
      </c>
      <c r="R12212" s="8">
        <v>14.2</v>
      </c>
      <c r="S12212" s="8">
        <v>15.1</v>
      </c>
      <c r="T12212" s="8">
        <v>0.9</v>
      </c>
      <c r="U12212" s="8">
        <v>13.3</v>
      </c>
      <c r="V12212" s="8">
        <v>0.9</v>
      </c>
      <c r="W12212" s="8">
        <v>0.6</v>
      </c>
      <c r="X12212" s="8">
        <v>42</v>
      </c>
      <c r="Y12212" s="8" t="s">
        <v>25183</v>
      </c>
      <c r="Z12212" s="8" t="s">
        <v>25184</v>
      </c>
    </row>
    <row r="12213" spans="1:26" x14ac:dyDescent="0.2">
      <c r="A12213" s="8">
        <v>12212</v>
      </c>
      <c r="B12213" s="8" t="s">
        <v>51252</v>
      </c>
      <c r="C12213" s="8" t="s">
        <v>51252</v>
      </c>
      <c r="G12213" s="8">
        <v>20</v>
      </c>
      <c r="H12213" s="8" t="s">
        <v>21</v>
      </c>
      <c r="I12213" s="8" t="s">
        <v>22</v>
      </c>
      <c r="J12213" s="8" t="s">
        <v>22</v>
      </c>
      <c r="K12213" s="8" t="s">
        <v>449</v>
      </c>
      <c r="L12213" s="8" t="s">
        <v>17287</v>
      </c>
      <c r="M12213" s="8" t="s">
        <v>17288</v>
      </c>
      <c r="N12213" s="8" t="s">
        <v>51253</v>
      </c>
      <c r="O12213" s="8">
        <f>14+5/60+46/3600</f>
        <v>14.096111111111112</v>
      </c>
      <c r="P12213" s="8" t="s">
        <v>51254</v>
      </c>
      <c r="Q12213" s="8">
        <f>-(10+53/60+59/3600)</f>
        <v>-10.899722222222222</v>
      </c>
      <c r="R12213" s="8">
        <v>15.2</v>
      </c>
      <c r="S12213" s="8">
        <v>16</v>
      </c>
      <c r="T12213" s="8">
        <v>0.8</v>
      </c>
      <c r="U12213" s="8">
        <v>12.7</v>
      </c>
      <c r="V12213" s="8">
        <v>0.6</v>
      </c>
      <c r="W12213" s="8">
        <v>0.2</v>
      </c>
      <c r="X12213" s="8">
        <v>75</v>
      </c>
      <c r="Y12213" s="8" t="s">
        <v>51255</v>
      </c>
      <c r="Z12213" s="8" t="s">
        <v>51256</v>
      </c>
    </row>
    <row r="12214" spans="1:26" x14ac:dyDescent="0.2">
      <c r="A12214" s="8">
        <v>12213</v>
      </c>
      <c r="B12214" s="8" t="s">
        <v>51257</v>
      </c>
      <c r="C12214" s="8" t="s">
        <v>51257</v>
      </c>
      <c r="G12214" s="8">
        <v>20</v>
      </c>
      <c r="H12214" s="8" t="s">
        <v>21</v>
      </c>
      <c r="I12214" s="8" t="s">
        <v>22</v>
      </c>
      <c r="J12214" s="8" t="s">
        <v>22</v>
      </c>
      <c r="K12214" s="8" t="s">
        <v>460</v>
      </c>
      <c r="L12214" s="8" t="s">
        <v>22476</v>
      </c>
      <c r="M12214" s="8" t="s">
        <v>22477</v>
      </c>
      <c r="N12214" s="8" t="s">
        <v>51258</v>
      </c>
      <c r="O12214" s="8">
        <f>14+5/60+43.1/3600</f>
        <v>14.095305555555557</v>
      </c>
      <c r="P12214" s="8" t="s">
        <v>51259</v>
      </c>
      <c r="Q12214" s="8">
        <f>+(25+13/60+55/3600)</f>
        <v>25.231944444444444</v>
      </c>
      <c r="R12214" s="8">
        <v>14.6</v>
      </c>
      <c r="S12214" s="8">
        <v>15.6</v>
      </c>
      <c r="T12214" s="8">
        <v>1</v>
      </c>
      <c r="U12214" s="8">
        <v>12.7</v>
      </c>
      <c r="V12214" s="8">
        <v>0.4</v>
      </c>
      <c r="W12214" s="8">
        <v>0.4</v>
      </c>
      <c r="Y12214" s="8" t="s">
        <v>41073</v>
      </c>
      <c r="Z12214" s="8" t="s">
        <v>41074</v>
      </c>
    </row>
    <row r="12215" spans="1:26" x14ac:dyDescent="0.2">
      <c r="A12215" s="8">
        <v>12214</v>
      </c>
      <c r="B12215" s="8" t="s">
        <v>51260</v>
      </c>
      <c r="C12215" s="8" t="s">
        <v>51260</v>
      </c>
      <c r="G12215" s="8">
        <v>20</v>
      </c>
      <c r="H12215" s="8" t="s">
        <v>21</v>
      </c>
      <c r="I12215" s="8" t="s">
        <v>22</v>
      </c>
      <c r="J12215" s="8" t="s">
        <v>22</v>
      </c>
      <c r="K12215" s="8" t="s">
        <v>58</v>
      </c>
      <c r="L12215" s="8" t="s">
        <v>11765</v>
      </c>
      <c r="M12215" s="8" t="s">
        <v>11766</v>
      </c>
      <c r="N12215" s="8" t="s">
        <v>51261</v>
      </c>
      <c r="O12215" s="8">
        <f>14+7/60+29.8/3600</f>
        <v>14.124944444444445</v>
      </c>
      <c r="P12215" s="8" t="s">
        <v>51262</v>
      </c>
      <c r="Q12215" s="8">
        <f>-(27+1/60+5/3600)</f>
        <v>-27.018055555555556</v>
      </c>
      <c r="R12215" s="8">
        <v>12.4</v>
      </c>
      <c r="S12215" s="8">
        <v>13.4</v>
      </c>
      <c r="T12215" s="8">
        <v>1</v>
      </c>
      <c r="U12215" s="8">
        <v>12.9</v>
      </c>
      <c r="V12215" s="8">
        <v>1.6</v>
      </c>
      <c r="W12215" s="8">
        <v>1.2</v>
      </c>
      <c r="X12215" s="8">
        <v>113</v>
      </c>
      <c r="Y12215" s="8" t="s">
        <v>215</v>
      </c>
      <c r="Z12215" s="8" t="s">
        <v>216</v>
      </c>
    </row>
    <row r="12216" spans="1:26" x14ac:dyDescent="0.2">
      <c r="A12216" s="8">
        <v>12215</v>
      </c>
      <c r="B12216" s="8" t="s">
        <v>51263</v>
      </c>
      <c r="C12216" s="8" t="s">
        <v>51263</v>
      </c>
      <c r="G12216" s="8">
        <v>20</v>
      </c>
      <c r="H12216" s="8" t="s">
        <v>21</v>
      </c>
      <c r="I12216" s="8" t="s">
        <v>22</v>
      </c>
      <c r="J12216" s="8" t="s">
        <v>57</v>
      </c>
      <c r="K12216" s="8" t="s">
        <v>85</v>
      </c>
      <c r="L12216" s="8" t="s">
        <v>16195</v>
      </c>
      <c r="M12216" s="8" t="s">
        <v>16196</v>
      </c>
      <c r="N12216" s="8" t="s">
        <v>24495</v>
      </c>
      <c r="O12216" s="8">
        <f>14+8/60+2.9/3600</f>
        <v>14.134138888888888</v>
      </c>
      <c r="P12216" s="8" t="s">
        <v>24496</v>
      </c>
      <c r="Q12216" s="8">
        <f>-(33+18/60+53/3600)</f>
        <v>-33.314722222222223</v>
      </c>
      <c r="R12216" s="8">
        <v>11.7</v>
      </c>
      <c r="S12216" s="8">
        <v>12.5</v>
      </c>
      <c r="T12216" s="8">
        <v>0.8</v>
      </c>
      <c r="U12216" s="8">
        <v>12.9</v>
      </c>
      <c r="V12216" s="8">
        <v>3.4</v>
      </c>
      <c r="W12216" s="8">
        <v>1</v>
      </c>
      <c r="X12216" s="8">
        <v>22</v>
      </c>
      <c r="Y12216" s="8" t="s">
        <v>51264</v>
      </c>
      <c r="Z12216" s="8" t="s">
        <v>51265</v>
      </c>
    </row>
    <row r="12217" spans="1:26" x14ac:dyDescent="0.2">
      <c r="A12217" s="8">
        <v>12216</v>
      </c>
      <c r="B12217" s="8" t="s">
        <v>51266</v>
      </c>
      <c r="C12217" s="8" t="s">
        <v>51266</v>
      </c>
      <c r="G12217" s="8">
        <v>20</v>
      </c>
      <c r="H12217" s="8" t="s">
        <v>21</v>
      </c>
      <c r="I12217" s="8" t="s">
        <v>72</v>
      </c>
      <c r="J12217" s="8" t="s">
        <v>72</v>
      </c>
      <c r="K12217" s="8" t="s">
        <v>1802</v>
      </c>
      <c r="L12217" s="8" t="s">
        <v>16195</v>
      </c>
      <c r="M12217" s="8" t="s">
        <v>16196</v>
      </c>
      <c r="N12217" s="8" t="s">
        <v>51267</v>
      </c>
      <c r="O12217" s="8">
        <f>14+10/60+50.5/3600</f>
        <v>14.180694444444445</v>
      </c>
      <c r="P12217" s="8" t="s">
        <v>51268</v>
      </c>
      <c r="Q12217" s="8">
        <f>-(30+47/60+35/3600)</f>
        <v>-30.793055555555558</v>
      </c>
      <c r="R12217" s="8">
        <v>99</v>
      </c>
      <c r="S12217" s="8">
        <v>99</v>
      </c>
      <c r="T12217" s="8">
        <v>99</v>
      </c>
      <c r="U12217" s="8">
        <v>99</v>
      </c>
      <c r="Y12217" s="8" t="s">
        <v>51269</v>
      </c>
      <c r="Z12217" s="8" t="s">
        <v>51270</v>
      </c>
    </row>
    <row r="12218" spans="1:26" x14ac:dyDescent="0.2">
      <c r="A12218" s="8">
        <v>12217</v>
      </c>
      <c r="B12218" s="8" t="s">
        <v>51271</v>
      </c>
      <c r="C12218" s="8" t="s">
        <v>51271</v>
      </c>
      <c r="G12218" s="8">
        <v>20</v>
      </c>
      <c r="H12218" s="8" t="s">
        <v>21</v>
      </c>
      <c r="I12218" s="8" t="s">
        <v>22</v>
      </c>
      <c r="J12218" s="8" t="s">
        <v>22</v>
      </c>
      <c r="K12218" s="8" t="s">
        <v>632</v>
      </c>
      <c r="L12218" s="8" t="s">
        <v>25025</v>
      </c>
      <c r="M12218" s="8" t="s">
        <v>25026</v>
      </c>
      <c r="N12218" s="8" t="s">
        <v>51272</v>
      </c>
      <c r="O12218" s="8">
        <f>14+16/60+58.6/3600</f>
        <v>14.282944444444444</v>
      </c>
      <c r="P12218" s="8" t="s">
        <v>51273</v>
      </c>
      <c r="Q12218" s="8">
        <f>-(75+38/60+47/3600)</f>
        <v>-75.646388888888893</v>
      </c>
      <c r="R12218" s="8">
        <v>12.7</v>
      </c>
      <c r="S12218" s="8">
        <v>13.6</v>
      </c>
      <c r="T12218" s="8">
        <v>0.9</v>
      </c>
      <c r="U12218" s="8">
        <v>12.6</v>
      </c>
      <c r="V12218" s="8">
        <v>1.7</v>
      </c>
      <c r="W12218" s="8">
        <v>0.6</v>
      </c>
      <c r="X12218" s="8">
        <v>94</v>
      </c>
      <c r="Y12218" s="8" t="s">
        <v>51274</v>
      </c>
      <c r="Z12218" s="8" t="s">
        <v>51275</v>
      </c>
    </row>
    <row r="12219" spans="1:26" x14ac:dyDescent="0.2">
      <c r="A12219" s="8">
        <v>12218</v>
      </c>
      <c r="B12219" s="8" t="s">
        <v>51276</v>
      </c>
      <c r="C12219" s="8" t="s">
        <v>51276</v>
      </c>
      <c r="G12219" s="8">
        <v>20</v>
      </c>
      <c r="H12219" s="8" t="s">
        <v>21</v>
      </c>
      <c r="I12219" s="8" t="s">
        <v>22</v>
      </c>
      <c r="J12219" s="8" t="s">
        <v>22</v>
      </c>
      <c r="K12219" s="8" t="s">
        <v>37</v>
      </c>
      <c r="L12219" s="8" t="s">
        <v>16195</v>
      </c>
      <c r="M12219" s="8" t="s">
        <v>16196</v>
      </c>
      <c r="N12219" s="8" t="s">
        <v>51277</v>
      </c>
      <c r="O12219" s="8">
        <f>14+12/60+9.5/3600</f>
        <v>14.202638888888888</v>
      </c>
      <c r="P12219" s="8" t="s">
        <v>51278</v>
      </c>
      <c r="Q12219" s="8">
        <f>-(34+15/60+54/3600)</f>
        <v>-34.265000000000001</v>
      </c>
      <c r="R12219" s="8">
        <v>13.5</v>
      </c>
      <c r="S12219" s="8">
        <v>14.5</v>
      </c>
      <c r="T12219" s="8">
        <v>1</v>
      </c>
      <c r="U12219" s="8">
        <v>12.4</v>
      </c>
      <c r="V12219" s="8">
        <v>0.8</v>
      </c>
      <c r="W12219" s="8">
        <v>0.5</v>
      </c>
      <c r="X12219" s="8">
        <v>155</v>
      </c>
      <c r="Y12219" s="8" t="s">
        <v>51279</v>
      </c>
      <c r="Z12219" s="8" t="s">
        <v>51280</v>
      </c>
    </row>
    <row r="12220" spans="1:26" x14ac:dyDescent="0.2">
      <c r="A12220" s="8">
        <v>12219</v>
      </c>
      <c r="B12220" s="8" t="s">
        <v>51281</v>
      </c>
      <c r="C12220" s="8" t="s">
        <v>51281</v>
      </c>
      <c r="G12220" s="8">
        <v>20</v>
      </c>
      <c r="H12220" s="8" t="s">
        <v>21</v>
      </c>
      <c r="I12220" s="8" t="s">
        <v>22</v>
      </c>
      <c r="J12220" s="8" t="s">
        <v>22</v>
      </c>
      <c r="K12220" s="8" t="s">
        <v>396</v>
      </c>
      <c r="L12220" s="8" t="s">
        <v>16195</v>
      </c>
      <c r="M12220" s="8" t="s">
        <v>16196</v>
      </c>
      <c r="N12220" s="8" t="s">
        <v>51282</v>
      </c>
      <c r="O12220" s="8">
        <f>14+12/60+10.1/3600</f>
        <v>14.202805555555555</v>
      </c>
      <c r="P12220" s="8" t="s">
        <v>51283</v>
      </c>
      <c r="Q12220" s="8">
        <f>-(34+16/60+16/3600)</f>
        <v>-34.271111111111111</v>
      </c>
      <c r="R12220" s="8">
        <v>14.7</v>
      </c>
      <c r="S12220" s="8">
        <v>15.5</v>
      </c>
      <c r="T12220" s="8">
        <v>0.8</v>
      </c>
      <c r="U12220" s="8">
        <v>13</v>
      </c>
      <c r="V12220" s="8">
        <v>1.2</v>
      </c>
      <c r="W12220" s="8">
        <v>0.2</v>
      </c>
      <c r="X12220" s="8">
        <v>90</v>
      </c>
      <c r="Y12220" s="8" t="s">
        <v>51284</v>
      </c>
      <c r="Z12220" s="8" t="s">
        <v>51285</v>
      </c>
    </row>
    <row r="12221" spans="1:26" x14ac:dyDescent="0.2">
      <c r="A12221" s="8">
        <v>12220</v>
      </c>
      <c r="B12221" s="8" t="s">
        <v>51286</v>
      </c>
      <c r="C12221" s="8" t="s">
        <v>51286</v>
      </c>
      <c r="G12221" s="8">
        <v>20</v>
      </c>
      <c r="H12221" s="8" t="s">
        <v>21</v>
      </c>
      <c r="I12221" s="8" t="s">
        <v>22</v>
      </c>
      <c r="J12221" s="8" t="s">
        <v>22</v>
      </c>
      <c r="K12221" s="8" t="s">
        <v>579</v>
      </c>
      <c r="L12221" s="8" t="s">
        <v>22476</v>
      </c>
      <c r="M12221" s="8" t="s">
        <v>22477</v>
      </c>
      <c r="N12221" s="8" t="s">
        <v>51287</v>
      </c>
      <c r="O12221" s="8">
        <f>14+10/60+2.1/3600</f>
        <v>14.167249999999999</v>
      </c>
      <c r="P12221" s="8" t="s">
        <v>51288</v>
      </c>
      <c r="Q12221" s="8">
        <f>+(37+33/60+2/3600)</f>
        <v>37.550555555555555</v>
      </c>
      <c r="R12221" s="8">
        <v>14.6</v>
      </c>
      <c r="S12221" s="8">
        <v>15.3</v>
      </c>
      <c r="T12221" s="8">
        <v>0.7</v>
      </c>
      <c r="U12221" s="8">
        <v>12.9</v>
      </c>
      <c r="V12221" s="8">
        <v>0.5</v>
      </c>
      <c r="W12221" s="8">
        <v>0.5</v>
      </c>
      <c r="Y12221" s="8" t="s">
        <v>36797</v>
      </c>
      <c r="Z12221" s="8" t="s">
        <v>36798</v>
      </c>
    </row>
    <row r="12222" spans="1:26" x14ac:dyDescent="0.2">
      <c r="A12222" s="8">
        <v>12221</v>
      </c>
      <c r="B12222" s="8" t="s">
        <v>51289</v>
      </c>
      <c r="C12222" s="8" t="s">
        <v>51289</v>
      </c>
      <c r="G12222" s="8">
        <v>20</v>
      </c>
      <c r="H12222" s="8" t="s">
        <v>21</v>
      </c>
      <c r="I12222" s="8" t="s">
        <v>22</v>
      </c>
      <c r="J12222" s="8" t="s">
        <v>57</v>
      </c>
      <c r="K12222" s="8" t="s">
        <v>64</v>
      </c>
      <c r="L12222" s="8" t="s">
        <v>22476</v>
      </c>
      <c r="M12222" s="8" t="s">
        <v>22477</v>
      </c>
      <c r="N12222" s="8" t="s">
        <v>22478</v>
      </c>
      <c r="O12222" s="8">
        <f>14+10/60+57/3600</f>
        <v>14.182499999999999</v>
      </c>
      <c r="P12222" s="8" t="s">
        <v>22479</v>
      </c>
      <c r="Q12222" s="8">
        <f>+(25+29/60+47/3600)</f>
        <v>25.496388888888891</v>
      </c>
      <c r="R12222" s="8">
        <v>13.7</v>
      </c>
      <c r="S12222" s="8">
        <v>14.2</v>
      </c>
      <c r="T12222" s="8">
        <v>0.5</v>
      </c>
      <c r="U12222" s="8">
        <v>13.9</v>
      </c>
      <c r="V12222" s="8">
        <v>1.4</v>
      </c>
      <c r="W12222" s="8">
        <v>1</v>
      </c>
      <c r="X12222" s="8">
        <v>150</v>
      </c>
      <c r="Y12222" s="8" t="s">
        <v>51290</v>
      </c>
      <c r="Z12222" s="8" t="s">
        <v>51291</v>
      </c>
    </row>
    <row r="12223" spans="1:26" x14ac:dyDescent="0.2">
      <c r="A12223" s="8">
        <v>12222</v>
      </c>
      <c r="B12223" s="8" t="s">
        <v>51292</v>
      </c>
      <c r="C12223" s="8" t="s">
        <v>51292</v>
      </c>
      <c r="G12223" s="8">
        <v>20</v>
      </c>
      <c r="H12223" s="8" t="s">
        <v>21</v>
      </c>
      <c r="I12223" s="8" t="s">
        <v>22</v>
      </c>
      <c r="J12223" s="8" t="s">
        <v>22</v>
      </c>
      <c r="K12223" s="8" t="s">
        <v>23</v>
      </c>
      <c r="L12223" s="8" t="s">
        <v>22476</v>
      </c>
      <c r="M12223" s="8" t="s">
        <v>22477</v>
      </c>
      <c r="N12223" s="8" t="s">
        <v>51293</v>
      </c>
      <c r="O12223" s="8">
        <f>14+11/60+2.3/3600</f>
        <v>14.183972222222222</v>
      </c>
      <c r="P12223" s="8" t="s">
        <v>51294</v>
      </c>
      <c r="Q12223" s="8">
        <f>+(25+31/60+9/3600)</f>
        <v>25.519166666666667</v>
      </c>
      <c r="R12223" s="8">
        <v>14.8</v>
      </c>
      <c r="S12223" s="8">
        <v>15.6</v>
      </c>
      <c r="T12223" s="8">
        <v>0.8</v>
      </c>
      <c r="U12223" s="8">
        <v>11.6</v>
      </c>
      <c r="V12223" s="8">
        <v>0.6</v>
      </c>
      <c r="W12223" s="8">
        <v>0.1</v>
      </c>
      <c r="X12223" s="8">
        <v>3</v>
      </c>
      <c r="Y12223" s="8" t="s">
        <v>51295</v>
      </c>
      <c r="Z12223" s="8" t="s">
        <v>51296</v>
      </c>
    </row>
    <row r="12224" spans="1:26" x14ac:dyDescent="0.2">
      <c r="A12224" s="8">
        <v>12223</v>
      </c>
      <c r="B12224" s="8" t="s">
        <v>51297</v>
      </c>
      <c r="C12224" s="8" t="s">
        <v>51297</v>
      </c>
      <c r="G12224" s="8">
        <v>20</v>
      </c>
      <c r="H12224" s="8" t="s">
        <v>21</v>
      </c>
      <c r="I12224" s="8" t="s">
        <v>22</v>
      </c>
      <c r="J12224" s="8" t="s">
        <v>22</v>
      </c>
      <c r="K12224" s="8" t="s">
        <v>476</v>
      </c>
      <c r="L12224" s="8" t="s">
        <v>22476</v>
      </c>
      <c r="M12224" s="8" t="s">
        <v>22477</v>
      </c>
      <c r="N12224" s="8" t="s">
        <v>51298</v>
      </c>
      <c r="O12224" s="8">
        <f>14+12/60+12.6/3600</f>
        <v>14.2035</v>
      </c>
      <c r="P12224" s="8" t="s">
        <v>51299</v>
      </c>
      <c r="Q12224" s="8">
        <f>+(15+52/60+8/3600)</f>
        <v>15.86888888888889</v>
      </c>
      <c r="R12224" s="8">
        <v>14.5</v>
      </c>
      <c r="S12224" s="8">
        <v>15.3</v>
      </c>
      <c r="T12224" s="8">
        <v>0.8</v>
      </c>
      <c r="U12224" s="8">
        <v>13</v>
      </c>
      <c r="V12224" s="8">
        <v>0.7</v>
      </c>
      <c r="W12224" s="8">
        <v>0.4</v>
      </c>
      <c r="X12224" s="8">
        <v>100</v>
      </c>
      <c r="Y12224" s="8" t="s">
        <v>51300</v>
      </c>
      <c r="Z12224" s="8" t="s">
        <v>51301</v>
      </c>
    </row>
    <row r="12225" spans="1:26" x14ac:dyDescent="0.2">
      <c r="A12225" s="8">
        <v>12224</v>
      </c>
      <c r="B12225" s="8" t="s">
        <v>51302</v>
      </c>
      <c r="C12225" s="8" t="s">
        <v>51302</v>
      </c>
      <c r="G12225" s="8">
        <v>20</v>
      </c>
      <c r="H12225" s="8" t="s">
        <v>21</v>
      </c>
      <c r="I12225" s="8" t="s">
        <v>22</v>
      </c>
      <c r="J12225" s="8" t="s">
        <v>22</v>
      </c>
      <c r="K12225" s="8" t="s">
        <v>632</v>
      </c>
      <c r="L12225" s="8" t="s">
        <v>22476</v>
      </c>
      <c r="M12225" s="8" t="s">
        <v>22477</v>
      </c>
      <c r="N12225" s="8" t="s">
        <v>51303</v>
      </c>
      <c r="O12225" s="8">
        <f>14+11/60+55.9/3600</f>
        <v>14.19886111111111</v>
      </c>
      <c r="P12225" s="8" t="s">
        <v>51304</v>
      </c>
      <c r="Q12225" s="8">
        <f>+(27+6/60+52/3600)</f>
        <v>27.114444444444445</v>
      </c>
      <c r="R12225" s="8">
        <v>13.9</v>
      </c>
      <c r="S12225" s="8">
        <v>14.8</v>
      </c>
      <c r="T12225" s="8">
        <v>0.9</v>
      </c>
      <c r="U12225" s="8">
        <v>13.3</v>
      </c>
      <c r="V12225" s="8">
        <v>0.9</v>
      </c>
      <c r="W12225" s="8">
        <v>0.8</v>
      </c>
      <c r="X12225" s="8">
        <v>164</v>
      </c>
      <c r="Y12225" s="8" t="s">
        <v>51305</v>
      </c>
      <c r="Z12225" s="8" t="s">
        <v>51306</v>
      </c>
    </row>
    <row r="12226" spans="1:26" x14ac:dyDescent="0.2">
      <c r="A12226" s="8">
        <v>12225</v>
      </c>
      <c r="B12226" s="8" t="s">
        <v>51307</v>
      </c>
      <c r="C12226" s="8" t="s">
        <v>51307</v>
      </c>
      <c r="G12226" s="8">
        <v>20</v>
      </c>
      <c r="H12226" s="8" t="s">
        <v>21</v>
      </c>
      <c r="I12226" s="8" t="s">
        <v>72</v>
      </c>
      <c r="J12226" s="8" t="s">
        <v>72</v>
      </c>
      <c r="K12226" s="8" t="s">
        <v>1405</v>
      </c>
      <c r="L12226" s="8" t="s">
        <v>16195</v>
      </c>
      <c r="M12226" s="8" t="s">
        <v>16196</v>
      </c>
      <c r="N12226" s="8" t="s">
        <v>51308</v>
      </c>
      <c r="O12226" s="8">
        <f>14+14/60+31.7/3600</f>
        <v>14.242138888888888</v>
      </c>
      <c r="P12226" s="8" t="s">
        <v>51309</v>
      </c>
      <c r="Q12226" s="8">
        <f>-(42+19/60+25/3600)</f>
        <v>-42.323611111111113</v>
      </c>
      <c r="R12226" s="8">
        <v>99</v>
      </c>
      <c r="S12226" s="8">
        <v>99</v>
      </c>
      <c r="T12226" s="8">
        <v>99</v>
      </c>
      <c r="U12226" s="8">
        <v>99</v>
      </c>
      <c r="Y12226" s="8" t="s">
        <v>51310</v>
      </c>
      <c r="Z12226" s="8" t="s">
        <v>51311</v>
      </c>
    </row>
    <row r="12227" spans="1:26" x14ac:dyDescent="0.2">
      <c r="A12227" s="8">
        <v>12226</v>
      </c>
      <c r="B12227" s="8" t="s">
        <v>51312</v>
      </c>
      <c r="C12227" s="8" t="s">
        <v>51312</v>
      </c>
      <c r="G12227" s="8">
        <v>20</v>
      </c>
      <c r="H12227" s="8" t="s">
        <v>21</v>
      </c>
      <c r="I12227" s="8" t="s">
        <v>22</v>
      </c>
      <c r="J12227" s="8" t="s">
        <v>22</v>
      </c>
      <c r="K12227" s="8" t="s">
        <v>269</v>
      </c>
      <c r="L12227" s="8" t="s">
        <v>16195</v>
      </c>
      <c r="M12227" s="8" t="s">
        <v>16196</v>
      </c>
      <c r="N12227" s="8" t="s">
        <v>51313</v>
      </c>
      <c r="O12227" s="8">
        <f>14+15/60+2.3/3600</f>
        <v>14.250638888888888</v>
      </c>
      <c r="P12227" s="8" t="s">
        <v>51314</v>
      </c>
      <c r="Q12227" s="8">
        <f>-(43+57/60+41/3600)</f>
        <v>-43.961388888888891</v>
      </c>
      <c r="R12227" s="8">
        <v>12.5</v>
      </c>
      <c r="S12227" s="8">
        <v>13.1</v>
      </c>
      <c r="T12227" s="8">
        <v>0.6</v>
      </c>
      <c r="U12227" s="8">
        <v>14</v>
      </c>
      <c r="V12227" s="8">
        <v>3</v>
      </c>
      <c r="W12227" s="8">
        <v>1.5</v>
      </c>
      <c r="X12227" s="8">
        <v>147</v>
      </c>
      <c r="Y12227" s="8" t="s">
        <v>2181</v>
      </c>
      <c r="Z12227" s="8" t="s">
        <v>2182</v>
      </c>
    </row>
    <row r="12228" spans="1:26" x14ac:dyDescent="0.2">
      <c r="A12228" s="8">
        <v>12227</v>
      </c>
      <c r="B12228" s="8" t="s">
        <v>51315</v>
      </c>
      <c r="C12228" s="8" t="s">
        <v>51315</v>
      </c>
      <c r="G12228" s="8">
        <v>20</v>
      </c>
      <c r="H12228" s="8" t="s">
        <v>21</v>
      </c>
      <c r="I12228" s="8" t="s">
        <v>22</v>
      </c>
      <c r="J12228" s="8" t="s">
        <v>22</v>
      </c>
      <c r="K12228" s="8" t="s">
        <v>323</v>
      </c>
      <c r="L12228" s="8" t="s">
        <v>16195</v>
      </c>
      <c r="M12228" s="8" t="s">
        <v>16196</v>
      </c>
      <c r="N12228" s="8" t="s">
        <v>51316</v>
      </c>
      <c r="O12228" s="8">
        <f>14+15/60+1.5/3600</f>
        <v>14.250416666666666</v>
      </c>
      <c r="P12228" s="8" t="s">
        <v>51317</v>
      </c>
      <c r="Q12228" s="8">
        <f>-(43+59/60+25/3600)</f>
        <v>-43.990277777777777</v>
      </c>
      <c r="R12228" s="8">
        <v>14.4</v>
      </c>
      <c r="S12228" s="8">
        <v>15</v>
      </c>
      <c r="T12228" s="8">
        <v>0.6</v>
      </c>
      <c r="U12228" s="8">
        <v>13.6</v>
      </c>
      <c r="V12228" s="8">
        <v>1.1000000000000001</v>
      </c>
      <c r="W12228" s="8">
        <v>0.8</v>
      </c>
      <c r="X12228" s="8">
        <v>70</v>
      </c>
      <c r="Y12228" s="8" t="s">
        <v>2181</v>
      </c>
      <c r="Z12228" s="8" t="s">
        <v>2182</v>
      </c>
    </row>
    <row r="12229" spans="1:26" x14ac:dyDescent="0.2">
      <c r="A12229" s="8">
        <v>12228</v>
      </c>
      <c r="B12229" s="8" t="s">
        <v>51318</v>
      </c>
      <c r="C12229" s="8" t="s">
        <v>51318</v>
      </c>
      <c r="G12229" s="8">
        <v>20</v>
      </c>
      <c r="H12229" s="8" t="s">
        <v>21</v>
      </c>
      <c r="I12229" s="8" t="s">
        <v>22</v>
      </c>
      <c r="J12229" s="8" t="s">
        <v>22</v>
      </c>
      <c r="K12229" s="8" t="s">
        <v>23</v>
      </c>
      <c r="L12229" s="8" t="s">
        <v>16195</v>
      </c>
      <c r="M12229" s="8" t="s">
        <v>16196</v>
      </c>
      <c r="N12229" s="8" t="s">
        <v>51319</v>
      </c>
      <c r="O12229" s="8">
        <f>14+16/60+3.5/3600</f>
        <v>14.267638888888889</v>
      </c>
      <c r="P12229" s="8" t="s">
        <v>51320</v>
      </c>
      <c r="Q12229" s="8">
        <f>-(31+45/60+12/3600)</f>
        <v>-31.753333333333334</v>
      </c>
      <c r="R12229" s="8">
        <v>13.6</v>
      </c>
      <c r="S12229" s="8">
        <v>14.4</v>
      </c>
      <c r="T12229" s="8">
        <v>0.8</v>
      </c>
      <c r="U12229" s="8">
        <v>13.1</v>
      </c>
      <c r="V12229" s="8">
        <v>1.1000000000000001</v>
      </c>
      <c r="W12229" s="8">
        <v>1</v>
      </c>
      <c r="X12229" s="8">
        <v>66</v>
      </c>
      <c r="Y12229" s="8" t="s">
        <v>1709</v>
      </c>
      <c r="Z12229" s="8" t="s">
        <v>1710</v>
      </c>
    </row>
    <row r="12230" spans="1:26" x14ac:dyDescent="0.2">
      <c r="A12230" s="8">
        <v>12229</v>
      </c>
      <c r="B12230" s="8" t="s">
        <v>51321</v>
      </c>
      <c r="C12230" s="8" t="s">
        <v>51321</v>
      </c>
      <c r="G12230" s="8">
        <v>20</v>
      </c>
      <c r="H12230" s="8" t="s">
        <v>21</v>
      </c>
      <c r="I12230" s="8" t="s">
        <v>22</v>
      </c>
      <c r="J12230" s="8" t="s">
        <v>22</v>
      </c>
      <c r="K12230" s="8" t="s">
        <v>160</v>
      </c>
      <c r="L12230" s="8" t="s">
        <v>16195</v>
      </c>
      <c r="M12230" s="8" t="s">
        <v>16196</v>
      </c>
      <c r="N12230" s="8" t="s">
        <v>51322</v>
      </c>
      <c r="O12230" s="8">
        <f>14+16/60+46.2/3600</f>
        <v>14.279500000000001</v>
      </c>
      <c r="P12230" s="8" t="s">
        <v>51323</v>
      </c>
      <c r="Q12230" s="8">
        <f>-(40+33/60+11/3600)</f>
        <v>-40.553055555555552</v>
      </c>
      <c r="R12230" s="8">
        <v>14.4</v>
      </c>
      <c r="S12230" s="8">
        <v>15.1</v>
      </c>
      <c r="T12230" s="8">
        <v>0.7</v>
      </c>
      <c r="U12230" s="8">
        <v>13.7</v>
      </c>
      <c r="V12230" s="8">
        <v>0.9</v>
      </c>
      <c r="W12230" s="8">
        <v>0.7</v>
      </c>
      <c r="X12230" s="8">
        <v>93</v>
      </c>
      <c r="Y12230" s="8" t="s">
        <v>35781</v>
      </c>
      <c r="Z12230" s="8" t="s">
        <v>35782</v>
      </c>
    </row>
    <row r="12231" spans="1:26" x14ac:dyDescent="0.2">
      <c r="A12231" s="8">
        <v>12230</v>
      </c>
      <c r="B12231" s="8" t="s">
        <v>51324</v>
      </c>
      <c r="C12231" s="8" t="s">
        <v>51324</v>
      </c>
      <c r="G12231" s="8">
        <v>20</v>
      </c>
      <c r="H12231" s="8" t="s">
        <v>21</v>
      </c>
      <c r="I12231" s="8" t="s">
        <v>22</v>
      </c>
      <c r="J12231" s="8" t="s">
        <v>22</v>
      </c>
      <c r="K12231" s="8" t="s">
        <v>85</v>
      </c>
      <c r="L12231" s="8" t="s">
        <v>16195</v>
      </c>
      <c r="M12231" s="8" t="s">
        <v>16196</v>
      </c>
      <c r="N12231" s="8" t="s">
        <v>51325</v>
      </c>
      <c r="O12231" s="8">
        <f>14+16/60+59.3/3600</f>
        <v>14.283138888888889</v>
      </c>
      <c r="P12231" s="8" t="s">
        <v>51326</v>
      </c>
      <c r="Q12231" s="8">
        <f>-(44+58/60+42/3600)</f>
        <v>-44.978333333333332</v>
      </c>
      <c r="R12231" s="8">
        <v>13</v>
      </c>
      <c r="S12231" s="8">
        <v>13.8</v>
      </c>
      <c r="T12231" s="8">
        <v>0.8</v>
      </c>
      <c r="U12231" s="8">
        <v>12.9</v>
      </c>
      <c r="V12231" s="8">
        <v>1.8</v>
      </c>
      <c r="W12231" s="8">
        <v>0.6</v>
      </c>
      <c r="X12231" s="8">
        <v>11</v>
      </c>
      <c r="Y12231" s="8" t="s">
        <v>51327</v>
      </c>
      <c r="Z12231" s="8" t="s">
        <v>51328</v>
      </c>
    </row>
    <row r="12232" spans="1:26" x14ac:dyDescent="0.2">
      <c r="A12232" s="8">
        <v>12231</v>
      </c>
      <c r="B12232" s="8" t="s">
        <v>51329</v>
      </c>
      <c r="C12232" s="8" t="s">
        <v>51329</v>
      </c>
      <c r="G12232" s="8">
        <v>20</v>
      </c>
      <c r="H12232" s="8" t="s">
        <v>21</v>
      </c>
      <c r="I12232" s="8" t="s">
        <v>22</v>
      </c>
      <c r="J12232" s="8" t="s">
        <v>22</v>
      </c>
      <c r="K12232" s="8" t="s">
        <v>23</v>
      </c>
      <c r="L12232" s="8" t="s">
        <v>16195</v>
      </c>
      <c r="M12232" s="8" t="s">
        <v>16196</v>
      </c>
      <c r="N12232" s="8" t="s">
        <v>51330</v>
      </c>
      <c r="O12232" s="8">
        <f>14+16/60+27/3600</f>
        <v>14.274166666666668</v>
      </c>
      <c r="P12232" s="8" t="s">
        <v>51331</v>
      </c>
      <c r="Q12232" s="8">
        <f>-(31+41/60+6/3600)</f>
        <v>-31.684999999999999</v>
      </c>
      <c r="R12232" s="8">
        <v>13.7</v>
      </c>
      <c r="S12232" s="8">
        <v>14.5</v>
      </c>
      <c r="T12232" s="8">
        <v>0.8</v>
      </c>
      <c r="U12232" s="8">
        <v>12.7</v>
      </c>
      <c r="V12232" s="8">
        <v>0.9</v>
      </c>
      <c r="W12232" s="8">
        <v>0.7</v>
      </c>
      <c r="X12232" s="8">
        <v>57</v>
      </c>
      <c r="Y12232" s="8" t="s">
        <v>421</v>
      </c>
      <c r="Z12232" s="8" t="s">
        <v>422</v>
      </c>
    </row>
    <row r="12233" spans="1:26" x14ac:dyDescent="0.2">
      <c r="A12233" s="8">
        <v>12232</v>
      </c>
      <c r="B12233" s="8" t="s">
        <v>51332</v>
      </c>
      <c r="C12233" s="8" t="s">
        <v>51332</v>
      </c>
      <c r="G12233" s="8">
        <v>20</v>
      </c>
      <c r="H12233" s="8" t="s">
        <v>21</v>
      </c>
      <c r="I12233" s="8" t="s">
        <v>72</v>
      </c>
      <c r="J12233" s="8" t="s">
        <v>72</v>
      </c>
      <c r="K12233" s="8" t="s">
        <v>1405</v>
      </c>
      <c r="L12233" s="8" t="s">
        <v>17287</v>
      </c>
      <c r="M12233" s="8" t="s">
        <v>17288</v>
      </c>
      <c r="N12233" s="8" t="s">
        <v>51333</v>
      </c>
      <c r="O12233" s="8">
        <f>14+15/60+53.2/3600</f>
        <v>14.264777777777777</v>
      </c>
      <c r="P12233" s="8" t="s">
        <v>51334</v>
      </c>
      <c r="Q12233" s="8">
        <f>-(13+3/60+4/3600)</f>
        <v>-13.051111111111112</v>
      </c>
      <c r="R12233" s="8">
        <v>99</v>
      </c>
      <c r="S12233" s="8">
        <v>99</v>
      </c>
      <c r="T12233" s="8">
        <v>99</v>
      </c>
      <c r="U12233" s="8">
        <v>99</v>
      </c>
      <c r="Y12233" s="8" t="s">
        <v>51335</v>
      </c>
      <c r="Z12233" s="8" t="s">
        <v>51336</v>
      </c>
    </row>
    <row r="12234" spans="1:26" x14ac:dyDescent="0.2">
      <c r="A12234" s="8">
        <v>12233</v>
      </c>
      <c r="B12234" s="8" t="s">
        <v>51337</v>
      </c>
      <c r="C12234" s="8" t="s">
        <v>51337</v>
      </c>
      <c r="G12234" s="8">
        <v>20</v>
      </c>
      <c r="H12234" s="8" t="s">
        <v>21</v>
      </c>
      <c r="I12234" s="8" t="s">
        <v>22</v>
      </c>
      <c r="J12234" s="8" t="s">
        <v>22</v>
      </c>
      <c r="K12234" s="8" t="s">
        <v>160</v>
      </c>
      <c r="L12234" s="8" t="s">
        <v>16195</v>
      </c>
      <c r="M12234" s="8" t="s">
        <v>16196</v>
      </c>
      <c r="N12234" s="8" t="s">
        <v>51338</v>
      </c>
      <c r="O12234" s="8">
        <f>14+17/60+49.2/3600</f>
        <v>14.297000000000001</v>
      </c>
      <c r="P12234" s="8" t="s">
        <v>51339</v>
      </c>
      <c r="Q12234" s="8">
        <f>-(31+20/60+54/3600)</f>
        <v>-31.348333333333333</v>
      </c>
      <c r="R12234" s="8">
        <v>13.6</v>
      </c>
      <c r="S12234" s="8">
        <v>14.3</v>
      </c>
      <c r="T12234" s="8">
        <v>0.7</v>
      </c>
      <c r="U12234" s="8">
        <v>13.1</v>
      </c>
      <c r="V12234" s="8">
        <v>2.4</v>
      </c>
      <c r="W12234" s="8">
        <v>0.3</v>
      </c>
      <c r="X12234" s="8">
        <v>77</v>
      </c>
      <c r="Y12234" s="8" t="s">
        <v>51340</v>
      </c>
      <c r="Z12234" s="8" t="s">
        <v>51341</v>
      </c>
    </row>
    <row r="12235" spans="1:26" x14ac:dyDescent="0.2">
      <c r="A12235" s="8">
        <v>12234</v>
      </c>
      <c r="B12235" s="8" t="s">
        <v>51342</v>
      </c>
      <c r="C12235" s="8" t="s">
        <v>51342</v>
      </c>
      <c r="G12235" s="8">
        <v>20</v>
      </c>
      <c r="H12235" s="8" t="s">
        <v>21</v>
      </c>
      <c r="I12235" s="8" t="s">
        <v>329</v>
      </c>
      <c r="J12235" s="8" t="s">
        <v>329</v>
      </c>
      <c r="K12235" s="8" t="s">
        <v>329</v>
      </c>
      <c r="L12235" s="8" t="s">
        <v>22476</v>
      </c>
      <c r="M12235" s="8" t="s">
        <v>22477</v>
      </c>
      <c r="N12235" s="8" t="s">
        <v>51343</v>
      </c>
      <c r="O12235" s="8">
        <f>14+16/60+31.3/3600</f>
        <v>14.275361111111112</v>
      </c>
      <c r="P12235" s="8" t="s">
        <v>51344</v>
      </c>
      <c r="Q12235" s="8">
        <f>+(39+41/60+51/3600)</f>
        <v>39.697499999999998</v>
      </c>
      <c r="R12235" s="8">
        <v>99</v>
      </c>
      <c r="S12235" s="8">
        <v>99</v>
      </c>
      <c r="T12235" s="8">
        <v>99</v>
      </c>
      <c r="U12235" s="8">
        <v>99</v>
      </c>
      <c r="Y12235" s="8" t="s">
        <v>227</v>
      </c>
      <c r="Z12235" s="8" t="s">
        <v>228</v>
      </c>
    </row>
    <row r="12236" spans="1:26" x14ac:dyDescent="0.2">
      <c r="A12236" s="8">
        <v>12235</v>
      </c>
      <c r="B12236" s="8" t="s">
        <v>51345</v>
      </c>
      <c r="C12236" s="8" t="s">
        <v>51345</v>
      </c>
      <c r="G12236" s="8">
        <v>20</v>
      </c>
      <c r="H12236" s="8" t="s">
        <v>21</v>
      </c>
      <c r="I12236" s="8" t="s">
        <v>22</v>
      </c>
      <c r="J12236" s="8" t="s">
        <v>22</v>
      </c>
      <c r="K12236" s="8" t="s">
        <v>23</v>
      </c>
      <c r="L12236" s="8" t="s">
        <v>22476</v>
      </c>
      <c r="M12236" s="8" t="s">
        <v>22477</v>
      </c>
      <c r="N12236" s="8" t="s">
        <v>51346</v>
      </c>
      <c r="O12236" s="8">
        <f>14+17/60+20.8/3600</f>
        <v>14.289111111111112</v>
      </c>
      <c r="P12236" s="8" t="s">
        <v>51347</v>
      </c>
      <c r="Q12236" s="8">
        <f>+(26+51/60+27/3600)</f>
        <v>26.857500000000002</v>
      </c>
      <c r="R12236" s="8">
        <v>13.8</v>
      </c>
      <c r="S12236" s="8">
        <v>14.6</v>
      </c>
      <c r="T12236" s="8">
        <v>0.8</v>
      </c>
      <c r="U12236" s="8">
        <v>13.6</v>
      </c>
      <c r="V12236" s="8">
        <v>1</v>
      </c>
      <c r="W12236" s="8">
        <v>0.9</v>
      </c>
      <c r="X12236" s="8">
        <v>21</v>
      </c>
      <c r="Y12236" s="8" t="s">
        <v>51348</v>
      </c>
      <c r="Z12236" s="8" t="s">
        <v>51349</v>
      </c>
    </row>
    <row r="12237" spans="1:26" x14ac:dyDescent="0.2">
      <c r="A12237" s="8">
        <v>12236</v>
      </c>
      <c r="B12237" s="8" t="s">
        <v>51350</v>
      </c>
      <c r="C12237" s="8" t="s">
        <v>51350</v>
      </c>
      <c r="G12237" s="8">
        <v>20</v>
      </c>
      <c r="H12237" s="8" t="s">
        <v>21</v>
      </c>
      <c r="I12237" s="8" t="s">
        <v>22</v>
      </c>
      <c r="J12237" s="8" t="s">
        <v>22</v>
      </c>
      <c r="K12237" s="8" t="s">
        <v>23</v>
      </c>
      <c r="L12237" s="8" t="s">
        <v>22476</v>
      </c>
      <c r="M12237" s="8" t="s">
        <v>22477</v>
      </c>
      <c r="N12237" s="8" t="s">
        <v>51351</v>
      </c>
      <c r="O12237" s="8">
        <f>14+17/60+30.3/3600</f>
        <v>14.29175</v>
      </c>
      <c r="P12237" s="8" t="s">
        <v>51352</v>
      </c>
      <c r="Q12237" s="8">
        <f>+(28+48/60+0/3600)</f>
        <v>28.8</v>
      </c>
      <c r="R12237" s="8">
        <v>14.8</v>
      </c>
      <c r="S12237" s="8">
        <v>15.6</v>
      </c>
      <c r="T12237" s="8">
        <v>0.8</v>
      </c>
      <c r="U12237" s="8">
        <v>13.5</v>
      </c>
      <c r="V12237" s="8">
        <v>0.7</v>
      </c>
      <c r="W12237" s="8">
        <v>0.5</v>
      </c>
      <c r="X12237" s="8">
        <v>25</v>
      </c>
      <c r="Y12237" s="8" t="s">
        <v>33652</v>
      </c>
      <c r="Z12237" s="8" t="s">
        <v>33653</v>
      </c>
    </row>
    <row r="12238" spans="1:26" x14ac:dyDescent="0.2">
      <c r="A12238" s="8">
        <v>12237</v>
      </c>
      <c r="B12238" s="8" t="s">
        <v>51353</v>
      </c>
      <c r="C12238" s="8" t="s">
        <v>51353</v>
      </c>
      <c r="G12238" s="8">
        <v>20</v>
      </c>
      <c r="H12238" s="8" t="s">
        <v>21</v>
      </c>
      <c r="I12238" s="8" t="s">
        <v>22</v>
      </c>
      <c r="J12238" s="8" t="s">
        <v>22</v>
      </c>
      <c r="K12238" s="8" t="s">
        <v>396</v>
      </c>
      <c r="L12238" s="8" t="s">
        <v>22476</v>
      </c>
      <c r="M12238" s="8" t="s">
        <v>22477</v>
      </c>
      <c r="N12238" s="8" t="s">
        <v>51354</v>
      </c>
      <c r="O12238" s="8">
        <f>14+17/60+58.7/3600</f>
        <v>14.299638888888889</v>
      </c>
      <c r="P12238" s="8" t="s">
        <v>51355</v>
      </c>
      <c r="Q12238" s="8">
        <f>+(26+24/60+46/3600)</f>
        <v>26.412777777777777</v>
      </c>
      <c r="R12238" s="8">
        <v>13.2</v>
      </c>
      <c r="S12238" s="8">
        <v>14</v>
      </c>
      <c r="T12238" s="8">
        <v>0.8</v>
      </c>
      <c r="U12238" s="8">
        <v>13.1</v>
      </c>
      <c r="V12238" s="8">
        <v>1.1000000000000001</v>
      </c>
      <c r="W12238" s="8">
        <v>0.9</v>
      </c>
      <c r="X12238" s="8">
        <v>165</v>
      </c>
      <c r="Y12238" s="8" t="s">
        <v>21048</v>
      </c>
      <c r="Z12238" s="8" t="s">
        <v>21049</v>
      </c>
    </row>
    <row r="12239" spans="1:26" x14ac:dyDescent="0.2">
      <c r="A12239" s="8">
        <v>12238</v>
      </c>
      <c r="B12239" s="8" t="s">
        <v>51356</v>
      </c>
      <c r="C12239" s="8" t="s">
        <v>51356</v>
      </c>
      <c r="G12239" s="8">
        <v>20</v>
      </c>
      <c r="H12239" s="8" t="s">
        <v>21</v>
      </c>
      <c r="I12239" s="8" t="s">
        <v>22</v>
      </c>
      <c r="J12239" s="8" t="s">
        <v>22</v>
      </c>
      <c r="K12239" s="8" t="s">
        <v>218</v>
      </c>
      <c r="L12239" s="8" t="s">
        <v>22476</v>
      </c>
      <c r="M12239" s="8" t="s">
        <v>22477</v>
      </c>
      <c r="N12239" s="8" t="s">
        <v>51357</v>
      </c>
      <c r="O12239" s="8">
        <f>14+18/60+3.3/3600</f>
        <v>14.300916666666668</v>
      </c>
      <c r="P12239" s="8" t="s">
        <v>51358</v>
      </c>
      <c r="Q12239" s="8">
        <f>+(28+51/60+58/3600)</f>
        <v>28.866111111111113</v>
      </c>
      <c r="R12239" s="8">
        <v>14.5</v>
      </c>
      <c r="S12239" s="8">
        <v>15.3</v>
      </c>
      <c r="T12239" s="8">
        <v>0.8</v>
      </c>
      <c r="U12239" s="8">
        <v>12.8</v>
      </c>
      <c r="V12239" s="8">
        <v>0.5</v>
      </c>
      <c r="W12239" s="8">
        <v>0.5</v>
      </c>
      <c r="Y12239" s="8" t="s">
        <v>37070</v>
      </c>
      <c r="Z12239" s="8" t="s">
        <v>37071</v>
      </c>
    </row>
    <row r="12240" spans="1:26" x14ac:dyDescent="0.2">
      <c r="A12240" s="8">
        <v>12239</v>
      </c>
      <c r="B12240" s="8" t="s">
        <v>51359</v>
      </c>
      <c r="C12240" s="8" t="s">
        <v>51359</v>
      </c>
      <c r="G12240" s="8">
        <v>20</v>
      </c>
      <c r="H12240" s="8" t="s">
        <v>21</v>
      </c>
      <c r="I12240" s="8" t="s">
        <v>22</v>
      </c>
      <c r="J12240" s="8" t="s">
        <v>22</v>
      </c>
      <c r="K12240" s="8" t="s">
        <v>23</v>
      </c>
      <c r="L12240" s="8" t="s">
        <v>22476</v>
      </c>
      <c r="M12240" s="8" t="s">
        <v>22477</v>
      </c>
      <c r="N12240" s="8" t="s">
        <v>51360</v>
      </c>
      <c r="O12240" s="8">
        <f>14+18/60+24/3600</f>
        <v>14.306666666666667</v>
      </c>
      <c r="P12240" s="8" t="s">
        <v>51361</v>
      </c>
      <c r="Q12240" s="8">
        <f>+(26+23/60+10/3600)</f>
        <v>26.386111111111109</v>
      </c>
      <c r="R12240" s="8">
        <v>14.5</v>
      </c>
      <c r="S12240" s="8">
        <v>15.3</v>
      </c>
      <c r="T12240" s="8">
        <v>0.8</v>
      </c>
      <c r="U12240" s="8">
        <v>14.1</v>
      </c>
      <c r="V12240" s="8">
        <v>1.1000000000000001</v>
      </c>
      <c r="W12240" s="8">
        <v>0.7</v>
      </c>
      <c r="X12240" s="8">
        <v>140</v>
      </c>
      <c r="Y12240" s="8" t="s">
        <v>50724</v>
      </c>
      <c r="Z12240" s="8" t="s">
        <v>50725</v>
      </c>
    </row>
    <row r="12241" spans="1:26" x14ac:dyDescent="0.2">
      <c r="A12241" s="8">
        <v>12240</v>
      </c>
      <c r="B12241" s="8" t="s">
        <v>51362</v>
      </c>
      <c r="C12241" s="8" t="s">
        <v>51362</v>
      </c>
      <c r="G12241" s="8">
        <v>20</v>
      </c>
      <c r="H12241" s="8" t="s">
        <v>21</v>
      </c>
      <c r="I12241" s="8" t="s">
        <v>72</v>
      </c>
      <c r="J12241" s="8" t="s">
        <v>72</v>
      </c>
      <c r="K12241" s="8" t="s">
        <v>5802</v>
      </c>
      <c r="L12241" s="8" t="s">
        <v>16195</v>
      </c>
      <c r="M12241" s="8" t="s">
        <v>16196</v>
      </c>
      <c r="N12241" s="8" t="s">
        <v>51363</v>
      </c>
      <c r="O12241" s="8">
        <f>14+22/60+14/3600</f>
        <v>14.370555555555557</v>
      </c>
      <c r="P12241" s="8" t="s">
        <v>51364</v>
      </c>
      <c r="Q12241" s="8">
        <f>-(60+34/60+9/3600)</f>
        <v>-60.569166666666668</v>
      </c>
      <c r="R12241" s="8">
        <v>99</v>
      </c>
      <c r="S12241" s="8">
        <v>99</v>
      </c>
      <c r="T12241" s="8">
        <v>99</v>
      </c>
      <c r="U12241" s="8">
        <v>99</v>
      </c>
      <c r="Y12241" s="8" t="s">
        <v>1664</v>
      </c>
      <c r="Z12241" s="8" t="s">
        <v>1665</v>
      </c>
    </row>
    <row r="12242" spans="1:26" x14ac:dyDescent="0.2">
      <c r="A12242" s="8">
        <v>12241</v>
      </c>
      <c r="B12242" s="8" t="s">
        <v>51365</v>
      </c>
      <c r="C12242" s="8" t="s">
        <v>51365</v>
      </c>
      <c r="G12242" s="8">
        <v>20</v>
      </c>
      <c r="H12242" s="8" t="s">
        <v>21</v>
      </c>
      <c r="I12242" s="8" t="s">
        <v>22</v>
      </c>
      <c r="J12242" s="8" t="s">
        <v>57</v>
      </c>
      <c r="K12242" s="8" t="s">
        <v>154</v>
      </c>
      <c r="L12242" s="8" t="s">
        <v>17287</v>
      </c>
      <c r="M12242" s="8" t="s">
        <v>17288</v>
      </c>
      <c r="N12242" s="8" t="s">
        <v>38562</v>
      </c>
      <c r="O12242" s="8">
        <f>14+19/60+25.1/3600</f>
        <v>14.323638888888889</v>
      </c>
      <c r="P12242" s="8" t="s">
        <v>38563</v>
      </c>
      <c r="Q12242" s="8">
        <f>-(4+29/60+24/3600)</f>
        <v>-4.49</v>
      </c>
      <c r="R12242" s="8">
        <v>14.2</v>
      </c>
      <c r="S12242" s="8">
        <v>15.1</v>
      </c>
      <c r="T12242" s="8">
        <v>0.9</v>
      </c>
      <c r="U12242" s="8">
        <v>13.7</v>
      </c>
      <c r="V12242" s="8">
        <v>1.4</v>
      </c>
      <c r="W12242" s="8">
        <v>0.5</v>
      </c>
      <c r="X12242" s="8">
        <v>21</v>
      </c>
      <c r="Y12242" s="8" t="s">
        <v>51366</v>
      </c>
      <c r="Z12242" s="8" t="s">
        <v>51367</v>
      </c>
    </row>
    <row r="12243" spans="1:26" x14ac:dyDescent="0.2">
      <c r="A12243" s="8">
        <v>12242</v>
      </c>
      <c r="B12243" s="8" t="s">
        <v>51368</v>
      </c>
      <c r="C12243" s="8" t="s">
        <v>51368</v>
      </c>
      <c r="G12243" s="8">
        <v>20</v>
      </c>
      <c r="H12243" s="8" t="s">
        <v>21</v>
      </c>
      <c r="I12243" s="8" t="s">
        <v>22</v>
      </c>
      <c r="J12243" s="8" t="s">
        <v>22</v>
      </c>
      <c r="K12243" s="8" t="s">
        <v>23</v>
      </c>
      <c r="L12243" s="8" t="s">
        <v>24674</v>
      </c>
      <c r="M12243" s="8" t="s">
        <v>24675</v>
      </c>
      <c r="N12243" s="8" t="s">
        <v>51369</v>
      </c>
      <c r="O12243" s="8">
        <f>14+21/60+12.9/3600</f>
        <v>14.353583333333333</v>
      </c>
      <c r="P12243" s="8" t="s">
        <v>51370</v>
      </c>
      <c r="Q12243" s="8">
        <f>-(46+17/60+54/3600)</f>
        <v>-46.298333333333332</v>
      </c>
      <c r="R12243" s="8">
        <v>11.6</v>
      </c>
      <c r="S12243" s="8">
        <v>12</v>
      </c>
      <c r="T12243" s="8">
        <v>0.4</v>
      </c>
      <c r="U12243" s="8">
        <v>12.8</v>
      </c>
      <c r="V12243" s="8">
        <v>4.2</v>
      </c>
      <c r="W12243" s="8">
        <v>0.9</v>
      </c>
      <c r="X12243" s="8">
        <v>127</v>
      </c>
      <c r="Y12243" s="8" t="s">
        <v>51371</v>
      </c>
      <c r="Z12243" s="8" t="s">
        <v>51372</v>
      </c>
    </row>
    <row r="12244" spans="1:26" x14ac:dyDescent="0.2">
      <c r="A12244" s="8">
        <v>12243</v>
      </c>
      <c r="B12244" s="8" t="s">
        <v>51373</v>
      </c>
      <c r="C12244" s="8" t="s">
        <v>51373</v>
      </c>
      <c r="G12244" s="8">
        <v>20</v>
      </c>
      <c r="H12244" s="8" t="s">
        <v>21</v>
      </c>
      <c r="I12244" s="8" t="s">
        <v>22</v>
      </c>
      <c r="J12244" s="8" t="s">
        <v>22</v>
      </c>
      <c r="K12244" s="8" t="s">
        <v>406</v>
      </c>
      <c r="L12244" s="8" t="s">
        <v>22476</v>
      </c>
      <c r="M12244" s="8" t="s">
        <v>22477</v>
      </c>
      <c r="N12244" s="8" t="s">
        <v>51374</v>
      </c>
      <c r="O12244" s="8">
        <f>14+18/60+16.9/3600</f>
        <v>14.304694444444445</v>
      </c>
      <c r="P12244" s="8" t="s">
        <v>51375</v>
      </c>
      <c r="Q12244" s="8">
        <f>+(31+39/60+14/3600)</f>
        <v>31.653888888888886</v>
      </c>
      <c r="R12244" s="8">
        <v>14.1</v>
      </c>
      <c r="S12244" s="8">
        <v>14.9</v>
      </c>
      <c r="T12244" s="8">
        <v>0.8</v>
      </c>
      <c r="U12244" s="8">
        <v>13.3</v>
      </c>
      <c r="V12244" s="8">
        <v>1.1000000000000001</v>
      </c>
      <c r="W12244" s="8">
        <v>0.5</v>
      </c>
      <c r="X12244" s="8">
        <v>132</v>
      </c>
      <c r="Y12244" s="8" t="s">
        <v>51376</v>
      </c>
      <c r="Z12244" s="8" t="s">
        <v>51377</v>
      </c>
    </row>
    <row r="12245" spans="1:26" x14ac:dyDescent="0.2">
      <c r="A12245" s="8">
        <v>12244</v>
      </c>
      <c r="B12245" s="8" t="s">
        <v>51378</v>
      </c>
      <c r="C12245" s="8" t="s">
        <v>51378</v>
      </c>
      <c r="G12245" s="8">
        <v>20</v>
      </c>
      <c r="H12245" s="8" t="s">
        <v>21</v>
      </c>
      <c r="I12245" s="8" t="s">
        <v>72</v>
      </c>
      <c r="J12245" s="8" t="s">
        <v>72</v>
      </c>
      <c r="K12245" s="8" t="s">
        <v>20</v>
      </c>
      <c r="L12245" s="8" t="s">
        <v>14586</v>
      </c>
      <c r="M12245" s="8" t="s">
        <v>14587</v>
      </c>
      <c r="N12245" s="8" t="s">
        <v>51379</v>
      </c>
      <c r="O12245" s="8">
        <f>14+10/60+49.2/3600</f>
        <v>14.180333333333333</v>
      </c>
      <c r="P12245" s="8" t="s">
        <v>51380</v>
      </c>
      <c r="Q12245" s="8">
        <f>+(78+37/60+42/3600)</f>
        <v>78.62833333333333</v>
      </c>
      <c r="R12245" s="8">
        <v>99</v>
      </c>
      <c r="S12245" s="8">
        <v>99</v>
      </c>
      <c r="T12245" s="8">
        <v>99</v>
      </c>
      <c r="U12245" s="8">
        <v>99</v>
      </c>
      <c r="Y12245" s="8" t="s">
        <v>47</v>
      </c>
      <c r="Z12245" s="8" t="s">
        <v>48</v>
      </c>
    </row>
    <row r="12246" spans="1:26" x14ac:dyDescent="0.2">
      <c r="A12246" s="8">
        <v>12245</v>
      </c>
      <c r="B12246" s="8" t="s">
        <v>51381</v>
      </c>
      <c r="C12246" s="8" t="s">
        <v>51381</v>
      </c>
      <c r="G12246" s="8">
        <v>20</v>
      </c>
      <c r="H12246" s="8" t="s">
        <v>21</v>
      </c>
      <c r="I12246" s="8" t="s">
        <v>22</v>
      </c>
      <c r="J12246" s="8" t="s">
        <v>22</v>
      </c>
      <c r="K12246" s="8" t="s">
        <v>31</v>
      </c>
      <c r="L12246" s="8" t="s">
        <v>22476</v>
      </c>
      <c r="M12246" s="8" t="s">
        <v>22477</v>
      </c>
      <c r="N12246" s="8" t="s">
        <v>51382</v>
      </c>
      <c r="O12246" s="8">
        <f>14+19/60+16.4/3600</f>
        <v>14.321222222222222</v>
      </c>
      <c r="P12246" s="8" t="s">
        <v>51383</v>
      </c>
      <c r="Q12246" s="8">
        <f>+(26+17/60+54/3600)</f>
        <v>26.298333333333336</v>
      </c>
      <c r="R12246" s="8">
        <v>13.8</v>
      </c>
      <c r="S12246" s="8">
        <v>14.6</v>
      </c>
      <c r="T12246" s="8">
        <v>0.8</v>
      </c>
      <c r="U12246" s="8">
        <v>13</v>
      </c>
      <c r="V12246" s="8">
        <v>0.9</v>
      </c>
      <c r="W12246" s="8">
        <v>0.6</v>
      </c>
      <c r="X12246" s="8">
        <v>120</v>
      </c>
      <c r="Y12246" s="8" t="s">
        <v>33652</v>
      </c>
      <c r="Z12246" s="8" t="s">
        <v>33653</v>
      </c>
    </row>
    <row r="12247" spans="1:26" x14ac:dyDescent="0.2">
      <c r="A12247" s="8">
        <v>12246</v>
      </c>
      <c r="B12247" s="8" t="s">
        <v>51384</v>
      </c>
      <c r="C12247" s="8" t="s">
        <v>51384</v>
      </c>
      <c r="G12247" s="8">
        <v>10</v>
      </c>
      <c r="H12247" s="8" t="s">
        <v>51385</v>
      </c>
      <c r="I12247" s="8" t="s">
        <v>241</v>
      </c>
      <c r="J12247" s="8" t="s">
        <v>241</v>
      </c>
      <c r="K12247" s="8" t="s">
        <v>241</v>
      </c>
      <c r="L12247" s="8" t="s">
        <v>24674</v>
      </c>
      <c r="M12247" s="8" t="s">
        <v>24675</v>
      </c>
      <c r="N12247" s="8" t="s">
        <v>51386</v>
      </c>
      <c r="O12247" s="8">
        <f>14+22/60+26.4/3600</f>
        <v>14.374000000000001</v>
      </c>
      <c r="P12247" s="8" t="s">
        <v>51387</v>
      </c>
      <c r="Q12247" s="8">
        <f>-(44+9/60+2/3600)</f>
        <v>-44.150555555555556</v>
      </c>
      <c r="R12247" s="8">
        <v>10.199999999999999</v>
      </c>
      <c r="S12247" s="8">
        <v>10.6</v>
      </c>
      <c r="T12247" s="8">
        <v>99</v>
      </c>
      <c r="U12247" s="8">
        <v>99</v>
      </c>
      <c r="V12247" s="8">
        <v>1.77</v>
      </c>
      <c r="Y12247" s="8" t="s">
        <v>51388</v>
      </c>
      <c r="Z12247" s="8" t="s">
        <v>51389</v>
      </c>
    </row>
    <row r="12248" spans="1:26" x14ac:dyDescent="0.2">
      <c r="A12248" s="8">
        <v>12247</v>
      </c>
      <c r="B12248" s="8" t="s">
        <v>51390</v>
      </c>
      <c r="C12248" s="8" t="s">
        <v>51390</v>
      </c>
      <c r="G12248" s="8">
        <v>20</v>
      </c>
      <c r="H12248" s="8" t="s">
        <v>21</v>
      </c>
      <c r="I12248" s="8" t="s">
        <v>329</v>
      </c>
      <c r="J12248" s="8" t="s">
        <v>329</v>
      </c>
      <c r="K12248" s="8" t="s">
        <v>329</v>
      </c>
      <c r="L12248" s="8" t="s">
        <v>17287</v>
      </c>
      <c r="M12248" s="8" t="s">
        <v>17288</v>
      </c>
      <c r="N12248" s="8" t="s">
        <v>51391</v>
      </c>
      <c r="O12248" s="8">
        <f>14+21/60+20.8/3600</f>
        <v>14.355777777777778</v>
      </c>
      <c r="P12248" s="8" t="s">
        <v>51392</v>
      </c>
      <c r="Q12248" s="8">
        <f>-(5+59/60+35/3600)</f>
        <v>-5.9930555555555554</v>
      </c>
      <c r="R12248" s="8">
        <v>99</v>
      </c>
      <c r="S12248" s="8">
        <v>99</v>
      </c>
      <c r="T12248" s="8">
        <v>99</v>
      </c>
      <c r="U12248" s="8">
        <v>99</v>
      </c>
      <c r="Y12248" s="8" t="s">
        <v>1694</v>
      </c>
      <c r="Z12248" s="8" t="s">
        <v>1695</v>
      </c>
    </row>
    <row r="12249" spans="1:26" x14ac:dyDescent="0.2">
      <c r="A12249" s="8">
        <v>12248</v>
      </c>
      <c r="B12249" s="8" t="s">
        <v>51393</v>
      </c>
      <c r="C12249" s="8" t="s">
        <v>51393</v>
      </c>
      <c r="G12249" s="8">
        <v>20</v>
      </c>
      <c r="H12249" s="8" t="s">
        <v>21</v>
      </c>
      <c r="I12249" s="8" t="s">
        <v>22</v>
      </c>
      <c r="J12249" s="8" t="s">
        <v>22</v>
      </c>
      <c r="K12249" s="8" t="s">
        <v>23</v>
      </c>
      <c r="L12249" s="8" t="s">
        <v>22476</v>
      </c>
      <c r="M12249" s="8" t="s">
        <v>22477</v>
      </c>
      <c r="N12249" s="8" t="s">
        <v>51394</v>
      </c>
      <c r="O12249" s="8">
        <f>14+21/60+13.1/3600</f>
        <v>14.353638888888888</v>
      </c>
      <c r="P12249" s="8" t="s">
        <v>51395</v>
      </c>
      <c r="Q12249" s="8">
        <f>+(29+59/60+38/3600)</f>
        <v>29.99388888888889</v>
      </c>
      <c r="R12249" s="8">
        <v>14.2</v>
      </c>
      <c r="S12249" s="8">
        <v>15</v>
      </c>
      <c r="T12249" s="8">
        <v>0.8</v>
      </c>
      <c r="U12249" s="8">
        <v>13.1</v>
      </c>
      <c r="V12249" s="8">
        <v>1</v>
      </c>
      <c r="W12249" s="8">
        <v>0.4</v>
      </c>
      <c r="X12249" s="8">
        <v>131</v>
      </c>
      <c r="Y12249" s="8" t="s">
        <v>6420</v>
      </c>
      <c r="Z12249" s="8" t="s">
        <v>6421</v>
      </c>
    </row>
    <row r="12250" spans="1:26" x14ac:dyDescent="0.2">
      <c r="A12250" s="8">
        <v>12249</v>
      </c>
      <c r="B12250" s="8" t="s">
        <v>51396</v>
      </c>
      <c r="C12250" s="8" t="s">
        <v>51396</v>
      </c>
      <c r="G12250" s="8">
        <v>20</v>
      </c>
      <c r="H12250" s="8" t="s">
        <v>21</v>
      </c>
      <c r="I12250" s="8" t="s">
        <v>22</v>
      </c>
      <c r="J12250" s="8" t="s">
        <v>22</v>
      </c>
      <c r="K12250" s="8" t="s">
        <v>396</v>
      </c>
      <c r="L12250" s="8" t="s">
        <v>22476</v>
      </c>
      <c r="M12250" s="8" t="s">
        <v>22477</v>
      </c>
      <c r="N12250" s="8" t="s">
        <v>51397</v>
      </c>
      <c r="O12250" s="8">
        <f>14+21/60+33.4/3600</f>
        <v>14.359277777777777</v>
      </c>
      <c r="P12250" s="8" t="s">
        <v>51398</v>
      </c>
      <c r="Q12250" s="8">
        <f>+(31+35/60+8/3600)</f>
        <v>31.585555555555555</v>
      </c>
      <c r="R12250" s="8">
        <v>14.4</v>
      </c>
      <c r="S12250" s="8">
        <v>15.2</v>
      </c>
      <c r="T12250" s="8">
        <v>0.8</v>
      </c>
      <c r="U12250" s="8">
        <v>12.7</v>
      </c>
      <c r="V12250" s="8">
        <v>0.8</v>
      </c>
      <c r="W12250" s="8">
        <v>0.3</v>
      </c>
      <c r="X12250" s="8">
        <v>36</v>
      </c>
      <c r="Y12250" s="8" t="s">
        <v>51399</v>
      </c>
      <c r="Z12250" s="8" t="s">
        <v>51400</v>
      </c>
    </row>
    <row r="12251" spans="1:26" x14ac:dyDescent="0.2">
      <c r="A12251" s="8">
        <v>12250</v>
      </c>
      <c r="B12251" s="8" t="s">
        <v>51401</v>
      </c>
      <c r="C12251" s="8" t="s">
        <v>51401</v>
      </c>
      <c r="G12251" s="8">
        <v>20</v>
      </c>
      <c r="H12251" s="8" t="s">
        <v>21</v>
      </c>
      <c r="I12251" s="8" t="s">
        <v>22</v>
      </c>
      <c r="J12251" s="8" t="s">
        <v>22</v>
      </c>
      <c r="K12251" s="8" t="s">
        <v>23</v>
      </c>
      <c r="L12251" s="8" t="s">
        <v>22476</v>
      </c>
      <c r="M12251" s="8" t="s">
        <v>22477</v>
      </c>
      <c r="N12251" s="8" t="s">
        <v>51363</v>
      </c>
      <c r="O12251" s="8">
        <f>14+22/60+14/3600</f>
        <v>14.370555555555557</v>
      </c>
      <c r="P12251" s="8" t="s">
        <v>51402</v>
      </c>
      <c r="Q12251" s="8">
        <f>+(17+23/60+52/3600)</f>
        <v>17.397777777777776</v>
      </c>
      <c r="R12251" s="8">
        <v>14.7</v>
      </c>
      <c r="S12251" s="8">
        <v>15.5</v>
      </c>
      <c r="T12251" s="8">
        <v>0.8</v>
      </c>
      <c r="U12251" s="8">
        <v>12.9</v>
      </c>
      <c r="V12251" s="8">
        <v>0.7</v>
      </c>
      <c r="W12251" s="8">
        <v>0.3</v>
      </c>
      <c r="X12251" s="8">
        <v>55</v>
      </c>
      <c r="Y12251" s="8" t="s">
        <v>421</v>
      </c>
      <c r="Z12251" s="8" t="s">
        <v>422</v>
      </c>
    </row>
    <row r="12252" spans="1:26" x14ac:dyDescent="0.2">
      <c r="A12252" s="8">
        <v>12251</v>
      </c>
      <c r="B12252" s="8" t="s">
        <v>51403</v>
      </c>
      <c r="C12252" s="8" t="s">
        <v>51403</v>
      </c>
      <c r="G12252" s="8">
        <v>20</v>
      </c>
      <c r="H12252" s="8" t="s">
        <v>21</v>
      </c>
      <c r="I12252" s="8" t="s">
        <v>329</v>
      </c>
      <c r="J12252" s="8" t="s">
        <v>329</v>
      </c>
      <c r="K12252" s="8" t="s">
        <v>329</v>
      </c>
      <c r="L12252" s="8" t="s">
        <v>16195</v>
      </c>
      <c r="M12252" s="8" t="s">
        <v>16196</v>
      </c>
      <c r="N12252" s="8" t="s">
        <v>51404</v>
      </c>
      <c r="O12252" s="8">
        <f>14+25/60+0/3600</f>
        <v>14.416666666666666</v>
      </c>
      <c r="P12252" s="8" t="s">
        <v>51405</v>
      </c>
      <c r="Q12252" s="8">
        <f>-(35+1/60+12/3600)</f>
        <v>-35.019999999999996</v>
      </c>
      <c r="R12252" s="8">
        <v>99</v>
      </c>
      <c r="S12252" s="8">
        <v>99</v>
      </c>
      <c r="T12252" s="8">
        <v>99</v>
      </c>
      <c r="U12252" s="8">
        <v>99</v>
      </c>
      <c r="Y12252" s="8" t="s">
        <v>51406</v>
      </c>
      <c r="Z12252" s="8" t="s">
        <v>51407</v>
      </c>
    </row>
    <row r="12253" spans="1:26" x14ac:dyDescent="0.2">
      <c r="A12253" s="8">
        <v>12252</v>
      </c>
      <c r="B12253" s="8" t="s">
        <v>51408</v>
      </c>
      <c r="C12253" s="8" t="s">
        <v>51408</v>
      </c>
      <c r="G12253" s="8">
        <v>20</v>
      </c>
      <c r="H12253" s="8" t="s">
        <v>21</v>
      </c>
      <c r="I12253" s="8" t="s">
        <v>22</v>
      </c>
      <c r="J12253" s="8" t="s">
        <v>57</v>
      </c>
      <c r="K12253" s="8" t="s">
        <v>449</v>
      </c>
      <c r="L12253" s="8" t="s">
        <v>22476</v>
      </c>
      <c r="M12253" s="8" t="s">
        <v>22477</v>
      </c>
      <c r="N12253" s="8" t="s">
        <v>24945</v>
      </c>
      <c r="O12253" s="8">
        <f>14+23/60+10.2/3600</f>
        <v>14.386166666666666</v>
      </c>
      <c r="P12253" s="8" t="s">
        <v>24946</v>
      </c>
      <c r="Q12253" s="8">
        <f>+(26+15/60+59/3600)</f>
        <v>26.266388888888891</v>
      </c>
      <c r="R12253" s="8">
        <v>14.2</v>
      </c>
      <c r="S12253" s="8">
        <v>15</v>
      </c>
      <c r="T12253" s="8">
        <v>0.8</v>
      </c>
      <c r="U12253" s="8">
        <v>13.6</v>
      </c>
      <c r="V12253" s="8">
        <v>1.1000000000000001</v>
      </c>
      <c r="W12253" s="8">
        <v>0.6</v>
      </c>
      <c r="X12253" s="8">
        <v>144</v>
      </c>
      <c r="Y12253" s="8" t="s">
        <v>36797</v>
      </c>
      <c r="Z12253" s="8" t="s">
        <v>36798</v>
      </c>
    </row>
    <row r="12254" spans="1:26" x14ac:dyDescent="0.2">
      <c r="A12254" s="8">
        <v>12253</v>
      </c>
      <c r="B12254" s="8" t="s">
        <v>51409</v>
      </c>
      <c r="C12254" s="8" t="s">
        <v>51409</v>
      </c>
      <c r="G12254" s="8">
        <v>20</v>
      </c>
      <c r="H12254" s="8" t="s">
        <v>21</v>
      </c>
      <c r="I12254" s="8" t="s">
        <v>22</v>
      </c>
      <c r="J12254" s="8" t="s">
        <v>22</v>
      </c>
      <c r="K12254" s="8" t="s">
        <v>424</v>
      </c>
      <c r="L12254" s="8" t="s">
        <v>22476</v>
      </c>
      <c r="M12254" s="8" t="s">
        <v>22477</v>
      </c>
      <c r="N12254" s="8" t="s">
        <v>51410</v>
      </c>
      <c r="O12254" s="8">
        <f>14+22/60+57.2/3600</f>
        <v>14.382555555555555</v>
      </c>
      <c r="P12254" s="8" t="s">
        <v>51411</v>
      </c>
      <c r="Q12254" s="8">
        <f>+(37+31/60+41/3600)</f>
        <v>37.528055555555554</v>
      </c>
      <c r="R12254" s="8">
        <v>14.6</v>
      </c>
      <c r="S12254" s="8">
        <v>15.6</v>
      </c>
      <c r="T12254" s="8">
        <v>1</v>
      </c>
      <c r="U12254" s="8">
        <v>11.8</v>
      </c>
      <c r="V12254" s="8">
        <v>0.3</v>
      </c>
      <c r="W12254" s="8">
        <v>0.3</v>
      </c>
      <c r="Y12254" s="8" t="s">
        <v>895</v>
      </c>
      <c r="Z12254" s="8" t="s">
        <v>896</v>
      </c>
    </row>
    <row r="12255" spans="1:26" x14ac:dyDescent="0.2">
      <c r="A12255" s="8">
        <v>12254</v>
      </c>
      <c r="B12255" s="8" t="s">
        <v>51412</v>
      </c>
      <c r="C12255" s="8" t="s">
        <v>51412</v>
      </c>
      <c r="D12255" s="8" t="s">
        <v>351</v>
      </c>
      <c r="G12255" s="8">
        <v>20</v>
      </c>
      <c r="H12255" s="8" t="s">
        <v>21</v>
      </c>
      <c r="I12255" s="8" t="s">
        <v>22</v>
      </c>
      <c r="J12255" s="8" t="s">
        <v>57</v>
      </c>
      <c r="K12255" s="8" t="s">
        <v>1174</v>
      </c>
      <c r="L12255" s="8" t="s">
        <v>22476</v>
      </c>
      <c r="M12255" s="8" t="s">
        <v>22477</v>
      </c>
      <c r="N12255" s="8" t="s">
        <v>38603</v>
      </c>
      <c r="O12255" s="8">
        <f>14+23/60+42.6/3600</f>
        <v>14.395166666666666</v>
      </c>
      <c r="P12255" s="8" t="s">
        <v>38604</v>
      </c>
      <c r="Q12255" s="8">
        <f>+(28+20/60+50/3600)</f>
        <v>28.347222222222221</v>
      </c>
      <c r="R12255" s="8">
        <v>14.5</v>
      </c>
      <c r="S12255" s="8">
        <v>15.3</v>
      </c>
      <c r="T12255" s="8">
        <v>0.8</v>
      </c>
      <c r="U12255" s="8">
        <v>12</v>
      </c>
      <c r="V12255" s="8">
        <v>0.4</v>
      </c>
      <c r="W12255" s="8">
        <v>0.3</v>
      </c>
      <c r="X12255" s="8">
        <v>0</v>
      </c>
      <c r="Y12255" s="8" t="s">
        <v>51413</v>
      </c>
      <c r="Z12255" s="8" t="s">
        <v>51414</v>
      </c>
    </row>
    <row r="12256" spans="1:26" x14ac:dyDescent="0.2">
      <c r="A12256" s="8">
        <v>12255</v>
      </c>
      <c r="B12256" s="8" t="s">
        <v>51415</v>
      </c>
      <c r="C12256" s="8" t="s">
        <v>51415</v>
      </c>
      <c r="G12256" s="8">
        <v>20</v>
      </c>
      <c r="H12256" s="8" t="s">
        <v>21</v>
      </c>
      <c r="I12256" s="8" t="s">
        <v>22</v>
      </c>
      <c r="J12256" s="8" t="s">
        <v>22</v>
      </c>
      <c r="K12256" s="8" t="s">
        <v>449</v>
      </c>
      <c r="L12256" s="8" t="s">
        <v>22476</v>
      </c>
      <c r="M12256" s="8" t="s">
        <v>22477</v>
      </c>
      <c r="N12256" s="8" t="s">
        <v>51416</v>
      </c>
      <c r="O12256" s="8">
        <f>14+24/60+26.7/3600</f>
        <v>14.407416666666666</v>
      </c>
      <c r="P12256" s="8" t="s">
        <v>51417</v>
      </c>
      <c r="Q12256" s="8">
        <f>+(16+38/60+24/3600)</f>
        <v>16.64</v>
      </c>
      <c r="R12256" s="8">
        <v>15.1</v>
      </c>
      <c r="S12256" s="8">
        <v>15.9</v>
      </c>
      <c r="T12256" s="8">
        <v>0.8</v>
      </c>
      <c r="U12256" s="8">
        <v>12.2</v>
      </c>
      <c r="V12256" s="8">
        <v>0.4</v>
      </c>
      <c r="W12256" s="8">
        <v>0.2</v>
      </c>
      <c r="X12256" s="8">
        <v>135</v>
      </c>
      <c r="Y12256" s="8" t="s">
        <v>3357</v>
      </c>
      <c r="Z12256" s="8" t="s">
        <v>3358</v>
      </c>
    </row>
    <row r="12257" spans="1:26" x14ac:dyDescent="0.2">
      <c r="A12257" s="8">
        <v>12256</v>
      </c>
      <c r="B12257" s="8" t="s">
        <v>51418</v>
      </c>
      <c r="C12257" s="8" t="s">
        <v>51418</v>
      </c>
      <c r="G12257" s="8">
        <v>20</v>
      </c>
      <c r="H12257" s="8" t="s">
        <v>21</v>
      </c>
      <c r="I12257" s="8" t="s">
        <v>22</v>
      </c>
      <c r="J12257" s="8" t="s">
        <v>22</v>
      </c>
      <c r="K12257" s="8" t="s">
        <v>424</v>
      </c>
      <c r="L12257" s="8" t="s">
        <v>22476</v>
      </c>
      <c r="M12257" s="8" t="s">
        <v>22477</v>
      </c>
      <c r="N12257" s="8" t="s">
        <v>51419</v>
      </c>
      <c r="O12257" s="8">
        <f>14+24/60+17.4/3600</f>
        <v>14.404833333333334</v>
      </c>
      <c r="P12257" s="8" t="s">
        <v>51420</v>
      </c>
      <c r="Q12257" s="8">
        <f>+(29+38/60+10/3600)</f>
        <v>29.636111111111109</v>
      </c>
      <c r="R12257" s="8">
        <v>14.7</v>
      </c>
      <c r="S12257" s="8">
        <v>15.7</v>
      </c>
      <c r="T12257" s="8">
        <v>1</v>
      </c>
      <c r="U12257" s="8">
        <v>12.6</v>
      </c>
      <c r="V12257" s="8">
        <v>0.4</v>
      </c>
      <c r="W12257" s="8">
        <v>0.4</v>
      </c>
      <c r="Y12257" s="8" t="s">
        <v>43668</v>
      </c>
      <c r="Z12257" s="8" t="s">
        <v>43669</v>
      </c>
    </row>
    <row r="12258" spans="1:26" x14ac:dyDescent="0.2">
      <c r="A12258" s="8">
        <v>12257</v>
      </c>
      <c r="B12258" s="8" t="s">
        <v>51421</v>
      </c>
      <c r="C12258" s="8" t="s">
        <v>51421</v>
      </c>
      <c r="G12258" s="8">
        <v>20</v>
      </c>
      <c r="H12258" s="8" t="s">
        <v>21</v>
      </c>
      <c r="I12258" s="8" t="s">
        <v>22</v>
      </c>
      <c r="J12258" s="8" t="s">
        <v>22</v>
      </c>
      <c r="K12258" s="8" t="s">
        <v>58</v>
      </c>
      <c r="L12258" s="8" t="s">
        <v>22476</v>
      </c>
      <c r="M12258" s="8" t="s">
        <v>22477</v>
      </c>
      <c r="N12258" s="8" t="s">
        <v>51422</v>
      </c>
      <c r="O12258" s="8">
        <f>14+24/60+53.6/3600</f>
        <v>14.414888888888889</v>
      </c>
      <c r="P12258" s="8" t="s">
        <v>51423</v>
      </c>
      <c r="Q12258" s="8">
        <f>+(17+2/60+18/3600)</f>
        <v>17.038333333333334</v>
      </c>
      <c r="R12258" s="8">
        <v>14</v>
      </c>
      <c r="S12258" s="8">
        <v>15</v>
      </c>
      <c r="T12258" s="8">
        <v>1</v>
      </c>
      <c r="U12258" s="8">
        <v>13.4</v>
      </c>
      <c r="V12258" s="8">
        <v>0.8</v>
      </c>
      <c r="W12258" s="8">
        <v>0.7</v>
      </c>
      <c r="X12258" s="8">
        <v>156</v>
      </c>
      <c r="Y12258" s="8" t="s">
        <v>3357</v>
      </c>
      <c r="Z12258" s="8" t="s">
        <v>3358</v>
      </c>
    </row>
    <row r="12259" spans="1:26" x14ac:dyDescent="0.2">
      <c r="A12259" s="8">
        <v>12258</v>
      </c>
      <c r="B12259" s="8" t="s">
        <v>51424</v>
      </c>
      <c r="C12259" s="8" t="s">
        <v>51424</v>
      </c>
      <c r="G12259" s="8">
        <v>20</v>
      </c>
      <c r="H12259" s="8" t="s">
        <v>21</v>
      </c>
      <c r="I12259" s="8" t="s">
        <v>22</v>
      </c>
      <c r="J12259" s="8" t="s">
        <v>22</v>
      </c>
      <c r="K12259" s="8" t="s">
        <v>382</v>
      </c>
      <c r="L12259" s="8" t="s">
        <v>22476</v>
      </c>
      <c r="M12259" s="8" t="s">
        <v>22477</v>
      </c>
      <c r="N12259" s="8" t="s">
        <v>51425</v>
      </c>
      <c r="O12259" s="8">
        <f>14+25/60+27.2/3600</f>
        <v>14.424222222222221</v>
      </c>
      <c r="P12259" s="8" t="s">
        <v>51426</v>
      </c>
      <c r="Q12259" s="8">
        <f>+(25+31/60+37/3600)</f>
        <v>25.526944444444442</v>
      </c>
      <c r="R12259" s="8">
        <v>14.3</v>
      </c>
      <c r="S12259" s="8">
        <v>15.3</v>
      </c>
      <c r="T12259" s="8">
        <v>1</v>
      </c>
      <c r="U12259" s="8">
        <v>12.8</v>
      </c>
      <c r="V12259" s="8">
        <v>0.6</v>
      </c>
      <c r="W12259" s="8">
        <v>0.4</v>
      </c>
      <c r="X12259" s="8">
        <v>96</v>
      </c>
      <c r="Y12259" s="8" t="s">
        <v>41228</v>
      </c>
      <c r="Z12259" s="8" t="s">
        <v>41229</v>
      </c>
    </row>
    <row r="12260" spans="1:26" x14ac:dyDescent="0.2">
      <c r="A12260" s="8">
        <v>12259</v>
      </c>
      <c r="B12260" s="8" t="s">
        <v>51427</v>
      </c>
      <c r="C12260" s="8" t="s">
        <v>51427</v>
      </c>
      <c r="G12260" s="8">
        <v>20</v>
      </c>
      <c r="H12260" s="8" t="s">
        <v>21</v>
      </c>
      <c r="I12260" s="8" t="s">
        <v>22</v>
      </c>
      <c r="J12260" s="8" t="s">
        <v>22</v>
      </c>
      <c r="K12260" s="8" t="s">
        <v>460</v>
      </c>
      <c r="L12260" s="8" t="s">
        <v>22476</v>
      </c>
      <c r="M12260" s="8" t="s">
        <v>22477</v>
      </c>
      <c r="N12260" s="8" t="s">
        <v>51428</v>
      </c>
      <c r="O12260" s="8">
        <f>14+25/60+54.6/3600</f>
        <v>14.431833333333334</v>
      </c>
      <c r="P12260" s="8" t="s">
        <v>51429</v>
      </c>
      <c r="Q12260" s="8">
        <f>+(16+37/60+55/3600)</f>
        <v>16.631944444444446</v>
      </c>
      <c r="R12260" s="8">
        <v>15.7</v>
      </c>
      <c r="S12260" s="8">
        <v>16.7</v>
      </c>
      <c r="T12260" s="8">
        <v>1</v>
      </c>
      <c r="U12260" s="8">
        <v>13.8</v>
      </c>
      <c r="V12260" s="8">
        <v>0.4</v>
      </c>
      <c r="W12260" s="8">
        <v>0.4</v>
      </c>
      <c r="Y12260" s="8" t="s">
        <v>1212</v>
      </c>
      <c r="Z12260" s="8" t="s">
        <v>1213</v>
      </c>
    </row>
    <row r="12261" spans="1:26" x14ac:dyDescent="0.2">
      <c r="A12261" s="8">
        <v>12260</v>
      </c>
      <c r="B12261" s="8" t="s">
        <v>51430</v>
      </c>
      <c r="C12261" s="8" t="s">
        <v>51430</v>
      </c>
      <c r="G12261" s="8">
        <v>20</v>
      </c>
      <c r="H12261" s="8" t="s">
        <v>21</v>
      </c>
      <c r="I12261" s="8" t="s">
        <v>22</v>
      </c>
      <c r="J12261" s="8" t="s">
        <v>22</v>
      </c>
      <c r="K12261" s="8" t="s">
        <v>64</v>
      </c>
      <c r="L12261" s="8" t="s">
        <v>22476</v>
      </c>
      <c r="M12261" s="8" t="s">
        <v>22477</v>
      </c>
      <c r="N12261" s="8" t="s">
        <v>51431</v>
      </c>
      <c r="O12261" s="8">
        <f>14+25/60+39.3/3600</f>
        <v>14.427583333333333</v>
      </c>
      <c r="P12261" s="8" t="s">
        <v>51432</v>
      </c>
      <c r="Q12261" s="8">
        <f>+(25+22/60+44/3600)</f>
        <v>25.378888888888888</v>
      </c>
      <c r="R12261" s="8">
        <v>14.7</v>
      </c>
      <c r="S12261" s="8">
        <v>15.4</v>
      </c>
      <c r="T12261" s="8">
        <v>0.7</v>
      </c>
      <c r="U12261" s="8">
        <v>13.4</v>
      </c>
      <c r="V12261" s="8">
        <v>0.7</v>
      </c>
      <c r="W12261" s="8">
        <v>0.5</v>
      </c>
      <c r="X12261" s="8">
        <v>10</v>
      </c>
      <c r="Y12261" s="8" t="s">
        <v>51433</v>
      </c>
      <c r="Z12261" s="8" t="s">
        <v>51434</v>
      </c>
    </row>
    <row r="12262" spans="1:26" x14ac:dyDescent="0.2">
      <c r="A12262" s="8">
        <v>12261</v>
      </c>
      <c r="B12262" s="8" t="s">
        <v>51435</v>
      </c>
      <c r="C12262" s="8" t="s">
        <v>51435</v>
      </c>
      <c r="G12262" s="8">
        <v>20</v>
      </c>
      <c r="H12262" s="8" t="s">
        <v>21</v>
      </c>
      <c r="I12262" s="8" t="s">
        <v>22</v>
      </c>
      <c r="J12262" s="8" t="s">
        <v>22</v>
      </c>
      <c r="K12262" s="8" t="s">
        <v>50</v>
      </c>
      <c r="L12262" s="8" t="s">
        <v>16195</v>
      </c>
      <c r="M12262" s="8" t="s">
        <v>16196</v>
      </c>
      <c r="N12262" s="8" t="s">
        <v>51436</v>
      </c>
      <c r="O12262" s="8">
        <f>14+28/60+31.2/3600</f>
        <v>14.475333333333333</v>
      </c>
      <c r="P12262" s="8" t="s">
        <v>51437</v>
      </c>
      <c r="Q12262" s="8">
        <f>-(37+35/60+1/3600)</f>
        <v>-37.583611111111111</v>
      </c>
      <c r="R12262" s="8">
        <v>12.3</v>
      </c>
      <c r="S12262" s="8">
        <v>13.4</v>
      </c>
      <c r="T12262" s="8">
        <v>1.1000000000000001</v>
      </c>
      <c r="U12262" s="8">
        <v>12.7</v>
      </c>
      <c r="V12262" s="8">
        <v>1.1000000000000001</v>
      </c>
      <c r="W12262" s="8">
        <v>0.7</v>
      </c>
      <c r="X12262" s="8">
        <v>164</v>
      </c>
      <c r="Y12262" s="8" t="s">
        <v>51438</v>
      </c>
      <c r="Z12262" s="8" t="s">
        <v>51439</v>
      </c>
    </row>
    <row r="12263" spans="1:26" x14ac:dyDescent="0.2">
      <c r="A12263" s="8">
        <v>12262</v>
      </c>
      <c r="B12263" s="8" t="s">
        <v>51440</v>
      </c>
      <c r="C12263" s="8" t="s">
        <v>51440</v>
      </c>
      <c r="G12263" s="8">
        <v>20</v>
      </c>
      <c r="H12263" s="8" t="s">
        <v>21</v>
      </c>
      <c r="I12263" s="8" t="s">
        <v>22</v>
      </c>
      <c r="J12263" s="8" t="s">
        <v>22</v>
      </c>
      <c r="K12263" s="8" t="s">
        <v>183</v>
      </c>
      <c r="L12263" s="8" t="s">
        <v>22476</v>
      </c>
      <c r="M12263" s="8" t="s">
        <v>22477</v>
      </c>
      <c r="N12263" s="8" t="s">
        <v>51441</v>
      </c>
      <c r="O12263" s="8">
        <f>14+25/60+59.1/3600</f>
        <v>14.433083333333332</v>
      </c>
      <c r="P12263" s="8" t="s">
        <v>51442</v>
      </c>
      <c r="Q12263" s="8">
        <f>+(30+28/60+26/3600)</f>
        <v>30.473888888888887</v>
      </c>
      <c r="R12263" s="8">
        <v>13.9</v>
      </c>
      <c r="S12263" s="8">
        <v>14.9</v>
      </c>
      <c r="T12263" s="8">
        <v>1</v>
      </c>
      <c r="U12263" s="8">
        <v>12.7</v>
      </c>
      <c r="V12263" s="8">
        <v>0.8</v>
      </c>
      <c r="W12263" s="8">
        <v>0.7</v>
      </c>
      <c r="X12263" s="8">
        <v>96</v>
      </c>
      <c r="Y12263" s="8" t="s">
        <v>51443</v>
      </c>
      <c r="Z12263" s="8" t="s">
        <v>51444</v>
      </c>
    </row>
    <row r="12264" spans="1:26" x14ac:dyDescent="0.2">
      <c r="A12264" s="8">
        <v>12263</v>
      </c>
      <c r="B12264" s="8" t="s">
        <v>51445</v>
      </c>
      <c r="C12264" s="8" t="s">
        <v>51445</v>
      </c>
      <c r="G12264" s="8">
        <v>20</v>
      </c>
      <c r="H12264" s="8" t="s">
        <v>21</v>
      </c>
      <c r="I12264" s="8" t="s">
        <v>22</v>
      </c>
      <c r="J12264" s="8" t="s">
        <v>22</v>
      </c>
      <c r="K12264" s="8" t="s">
        <v>396</v>
      </c>
      <c r="L12264" s="8" t="s">
        <v>22476</v>
      </c>
      <c r="M12264" s="8" t="s">
        <v>22477</v>
      </c>
      <c r="N12264" s="8" t="s">
        <v>51446</v>
      </c>
      <c r="O12264" s="8">
        <f>14+26/60+17.6/3600</f>
        <v>14.438222222222223</v>
      </c>
      <c r="P12264" s="8" t="s">
        <v>51447</v>
      </c>
      <c r="Q12264" s="8">
        <f>+(26+14/60+44/3600)</f>
        <v>26.245555555555555</v>
      </c>
      <c r="R12264" s="8">
        <v>14.5</v>
      </c>
      <c r="S12264" s="8">
        <v>15.3</v>
      </c>
      <c r="T12264" s="8">
        <v>0.8</v>
      </c>
      <c r="U12264" s="8">
        <v>13.9</v>
      </c>
      <c r="V12264" s="8">
        <v>1.1000000000000001</v>
      </c>
      <c r="W12264" s="8">
        <v>0.6</v>
      </c>
      <c r="X12264" s="8">
        <v>73</v>
      </c>
      <c r="Y12264" s="8" t="s">
        <v>36095</v>
      </c>
      <c r="Z12264" s="8" t="s">
        <v>36096</v>
      </c>
    </row>
    <row r="12265" spans="1:26" x14ac:dyDescent="0.2">
      <c r="A12265" s="8">
        <v>12264</v>
      </c>
      <c r="B12265" s="8" t="s">
        <v>51448</v>
      </c>
      <c r="C12265" s="8" t="s">
        <v>51448</v>
      </c>
      <c r="G12265" s="8">
        <v>20</v>
      </c>
      <c r="H12265" s="8" t="s">
        <v>21</v>
      </c>
      <c r="I12265" s="8" t="s">
        <v>22</v>
      </c>
      <c r="J12265" s="8" t="s">
        <v>57</v>
      </c>
      <c r="K12265" s="8" t="s">
        <v>449</v>
      </c>
      <c r="L12265" s="8" t="s">
        <v>17287</v>
      </c>
      <c r="M12265" s="8" t="s">
        <v>17288</v>
      </c>
      <c r="N12265" s="8" t="s">
        <v>38629</v>
      </c>
      <c r="O12265" s="8">
        <f>14+27/60+32.3/3600</f>
        <v>14.458972222222222</v>
      </c>
      <c r="P12265" s="8" t="s">
        <v>38630</v>
      </c>
      <c r="Q12265" s="8">
        <f>+(4+49/60+17/3600)</f>
        <v>4.8213888888888885</v>
      </c>
      <c r="R12265" s="8">
        <v>14.1</v>
      </c>
      <c r="S12265" s="8">
        <v>14.9</v>
      </c>
      <c r="T12265" s="8">
        <v>0.8</v>
      </c>
      <c r="U12265" s="8">
        <v>12.7</v>
      </c>
      <c r="V12265" s="8">
        <v>0.9</v>
      </c>
      <c r="W12265" s="8">
        <v>0.3</v>
      </c>
      <c r="X12265" s="8">
        <v>111</v>
      </c>
      <c r="Y12265" s="8" t="s">
        <v>12566</v>
      </c>
      <c r="Z12265" s="8" t="s">
        <v>12567</v>
      </c>
    </row>
    <row r="12266" spans="1:26" x14ac:dyDescent="0.2">
      <c r="A12266" s="8">
        <v>12265</v>
      </c>
      <c r="B12266" s="8" t="s">
        <v>51449</v>
      </c>
      <c r="C12266" s="8" t="s">
        <v>51449</v>
      </c>
      <c r="G12266" s="8">
        <v>20</v>
      </c>
      <c r="H12266" s="8" t="s">
        <v>21</v>
      </c>
      <c r="I12266" s="8" t="s">
        <v>22</v>
      </c>
      <c r="J12266" s="8" t="s">
        <v>22</v>
      </c>
      <c r="K12266" s="8" t="s">
        <v>39315</v>
      </c>
      <c r="L12266" s="8" t="s">
        <v>22476</v>
      </c>
      <c r="M12266" s="8" t="s">
        <v>22477</v>
      </c>
      <c r="N12266" s="8" t="s">
        <v>51450</v>
      </c>
      <c r="O12266" s="8">
        <f>14+26/60+44.3/3600</f>
        <v>14.445638888888888</v>
      </c>
      <c r="P12266" s="8" t="s">
        <v>51451</v>
      </c>
      <c r="Q12266" s="8">
        <f>+(27+11/60+23/3600)</f>
        <v>27.189722222222223</v>
      </c>
      <c r="R12266" s="8">
        <v>14.4</v>
      </c>
      <c r="S12266" s="8">
        <v>15.2</v>
      </c>
      <c r="T12266" s="8">
        <v>0.8</v>
      </c>
      <c r="U12266" s="8">
        <v>13.1</v>
      </c>
      <c r="V12266" s="8">
        <v>0.6</v>
      </c>
      <c r="W12266" s="8">
        <v>0.6</v>
      </c>
      <c r="Y12266" s="8" t="s">
        <v>36797</v>
      </c>
      <c r="Z12266" s="8" t="s">
        <v>36798</v>
      </c>
    </row>
    <row r="12267" spans="1:26" x14ac:dyDescent="0.2">
      <c r="A12267" s="8">
        <v>12266</v>
      </c>
      <c r="B12267" s="8" t="s">
        <v>51452</v>
      </c>
      <c r="C12267" s="8" t="s">
        <v>51452</v>
      </c>
      <c r="G12267" s="8">
        <v>20</v>
      </c>
      <c r="H12267" s="8" t="s">
        <v>21</v>
      </c>
      <c r="I12267" s="8" t="s">
        <v>22</v>
      </c>
      <c r="J12267" s="8" t="s">
        <v>22</v>
      </c>
      <c r="K12267" s="8" t="s">
        <v>460</v>
      </c>
      <c r="L12267" s="8" t="s">
        <v>22476</v>
      </c>
      <c r="M12267" s="8" t="s">
        <v>22477</v>
      </c>
      <c r="N12267" s="8" t="s">
        <v>51453</v>
      </c>
      <c r="O12267" s="8">
        <f>14+27/60+17/3600</f>
        <v>14.454722222222221</v>
      </c>
      <c r="P12267" s="8" t="s">
        <v>51454</v>
      </c>
      <c r="Q12267" s="8">
        <f>+(16+49/60+54/3600)</f>
        <v>16.831666666666667</v>
      </c>
      <c r="R12267" s="8">
        <v>14.3</v>
      </c>
      <c r="S12267" s="8">
        <v>15.3</v>
      </c>
      <c r="T12267" s="8">
        <v>1</v>
      </c>
      <c r="U12267" s="8">
        <v>12.9</v>
      </c>
      <c r="V12267" s="8">
        <v>0.5</v>
      </c>
      <c r="W12267" s="8">
        <v>0.5</v>
      </c>
      <c r="Y12267" s="8" t="s">
        <v>1212</v>
      </c>
      <c r="Z12267" s="8" t="s">
        <v>1213</v>
      </c>
    </row>
    <row r="12268" spans="1:26" x14ac:dyDescent="0.2">
      <c r="A12268" s="8">
        <v>12267</v>
      </c>
      <c r="B12268" s="8" t="s">
        <v>51455</v>
      </c>
      <c r="C12268" s="8" t="s">
        <v>51455</v>
      </c>
      <c r="G12268" s="8">
        <v>20</v>
      </c>
      <c r="H12268" s="8" t="s">
        <v>21</v>
      </c>
      <c r="I12268" s="8" t="s">
        <v>22</v>
      </c>
      <c r="J12268" s="8" t="s">
        <v>22</v>
      </c>
      <c r="K12268" s="8" t="s">
        <v>31</v>
      </c>
      <c r="L12268" s="8" t="s">
        <v>22476</v>
      </c>
      <c r="M12268" s="8" t="s">
        <v>22477</v>
      </c>
      <c r="N12268" s="8" t="s">
        <v>51456</v>
      </c>
      <c r="O12268" s="8">
        <f>14+26/60+59.6/3600</f>
        <v>14.449888888888889</v>
      </c>
      <c r="P12268" s="8" t="s">
        <v>51457</v>
      </c>
      <c r="Q12268" s="8">
        <f>+(26+51/60+50/3600)</f>
        <v>26.863888888888891</v>
      </c>
      <c r="R12268" s="8">
        <v>14.6</v>
      </c>
      <c r="S12268" s="8">
        <v>15.4</v>
      </c>
      <c r="T12268" s="8">
        <v>0.8</v>
      </c>
      <c r="U12268" s="8">
        <v>12.9</v>
      </c>
      <c r="V12268" s="8">
        <v>0.8</v>
      </c>
      <c r="W12268" s="8">
        <v>0.3</v>
      </c>
      <c r="X12268" s="8">
        <v>120</v>
      </c>
      <c r="Y12268" s="8" t="s">
        <v>51458</v>
      </c>
      <c r="Z12268" s="8" t="s">
        <v>51459</v>
      </c>
    </row>
    <row r="12269" spans="1:26" x14ac:dyDescent="0.2">
      <c r="A12269" s="8">
        <v>12268</v>
      </c>
      <c r="B12269" s="8" t="s">
        <v>51460</v>
      </c>
      <c r="C12269" s="8" t="s">
        <v>51460</v>
      </c>
      <c r="G12269" s="8">
        <v>20</v>
      </c>
      <c r="H12269" s="8" t="s">
        <v>21</v>
      </c>
      <c r="I12269" s="8" t="s">
        <v>22</v>
      </c>
      <c r="J12269" s="8" t="s">
        <v>22</v>
      </c>
      <c r="K12269" s="8" t="s">
        <v>449</v>
      </c>
      <c r="L12269" s="8" t="s">
        <v>22476</v>
      </c>
      <c r="M12269" s="8" t="s">
        <v>22477</v>
      </c>
      <c r="N12269" s="8" t="s">
        <v>51461</v>
      </c>
      <c r="O12269" s="8">
        <f>14+27/60+25.6/3600</f>
        <v>14.457111111111111</v>
      </c>
      <c r="P12269" s="8" t="s">
        <v>51462</v>
      </c>
      <c r="Q12269" s="8">
        <f>+(16+11/60+27/3600)</f>
        <v>16.190833333333334</v>
      </c>
      <c r="R12269" s="8">
        <v>15.2</v>
      </c>
      <c r="S12269" s="8">
        <v>16</v>
      </c>
      <c r="T12269" s="8">
        <v>0.8</v>
      </c>
      <c r="U12269" s="8">
        <v>13</v>
      </c>
      <c r="V12269" s="8">
        <v>0.5</v>
      </c>
      <c r="W12269" s="8">
        <v>0.3</v>
      </c>
      <c r="X12269" s="8">
        <v>45</v>
      </c>
      <c r="Y12269" s="8" t="s">
        <v>35077</v>
      </c>
      <c r="Z12269" s="8" t="s">
        <v>35078</v>
      </c>
    </row>
    <row r="12270" spans="1:26" x14ac:dyDescent="0.2">
      <c r="A12270" s="8">
        <v>12269</v>
      </c>
      <c r="B12270" s="8" t="s">
        <v>51463</v>
      </c>
      <c r="C12270" s="8" t="s">
        <v>51463</v>
      </c>
      <c r="G12270" s="8">
        <v>20</v>
      </c>
      <c r="H12270" s="8" t="s">
        <v>21</v>
      </c>
      <c r="I12270" s="8" t="s">
        <v>22</v>
      </c>
      <c r="J12270" s="8" t="s">
        <v>22</v>
      </c>
      <c r="K12270" s="8" t="s">
        <v>460</v>
      </c>
      <c r="L12270" s="8" t="s">
        <v>22476</v>
      </c>
      <c r="M12270" s="8" t="s">
        <v>22477</v>
      </c>
      <c r="N12270" s="8" t="s">
        <v>51464</v>
      </c>
      <c r="O12270" s="8">
        <f>14+27/60+37.3/3600</f>
        <v>14.46036111111111</v>
      </c>
      <c r="P12270" s="8" t="s">
        <v>51465</v>
      </c>
      <c r="Q12270" s="8">
        <f>+(16+54/60+1/3600)</f>
        <v>16.900277777777777</v>
      </c>
      <c r="R12270" s="8">
        <v>14.1</v>
      </c>
      <c r="S12270" s="8">
        <v>15.1</v>
      </c>
      <c r="T12270" s="8">
        <v>1</v>
      </c>
      <c r="U12270" s="8">
        <v>13.4</v>
      </c>
      <c r="V12270" s="8">
        <v>0.7</v>
      </c>
      <c r="W12270" s="8">
        <v>0.7</v>
      </c>
      <c r="Y12270" s="8" t="s">
        <v>2181</v>
      </c>
      <c r="Z12270" s="8" t="s">
        <v>2182</v>
      </c>
    </row>
    <row r="12271" spans="1:26" x14ac:dyDescent="0.2">
      <c r="A12271" s="8">
        <v>12270</v>
      </c>
      <c r="B12271" s="8" t="s">
        <v>51466</v>
      </c>
      <c r="C12271" s="8" t="s">
        <v>51466</v>
      </c>
      <c r="G12271" s="8">
        <v>20</v>
      </c>
      <c r="H12271" s="8" t="s">
        <v>21</v>
      </c>
      <c r="I12271" s="8" t="s">
        <v>22</v>
      </c>
      <c r="J12271" s="8" t="s">
        <v>22</v>
      </c>
      <c r="K12271" s="8" t="s">
        <v>224</v>
      </c>
      <c r="L12271" s="8" t="s">
        <v>16195</v>
      </c>
      <c r="M12271" s="8" t="s">
        <v>16196</v>
      </c>
      <c r="N12271" s="8" t="s">
        <v>51467</v>
      </c>
      <c r="O12271" s="8">
        <f>14+29/60+19.3/3600</f>
        <v>14.488694444444443</v>
      </c>
      <c r="P12271" s="8" t="s">
        <v>51468</v>
      </c>
      <c r="Q12271" s="8">
        <f>-(33+27/60+18/3600)</f>
        <v>-33.455000000000005</v>
      </c>
      <c r="R12271" s="8">
        <v>11.9</v>
      </c>
      <c r="S12271" s="8">
        <v>12.9</v>
      </c>
      <c r="T12271" s="8">
        <v>1</v>
      </c>
      <c r="U12271" s="8">
        <v>12.9</v>
      </c>
      <c r="V12271" s="8">
        <v>2.2999999999999998</v>
      </c>
      <c r="W12271" s="8">
        <v>1.3</v>
      </c>
      <c r="X12271" s="8">
        <v>15</v>
      </c>
      <c r="Y12271" s="8" t="s">
        <v>51469</v>
      </c>
      <c r="Z12271" s="8" t="s">
        <v>51470</v>
      </c>
    </row>
    <row r="12272" spans="1:26" x14ac:dyDescent="0.2">
      <c r="A12272" s="8">
        <v>12271</v>
      </c>
      <c r="B12272" s="8" t="s">
        <v>51471</v>
      </c>
      <c r="C12272" s="8" t="s">
        <v>51471</v>
      </c>
      <c r="G12272" s="8">
        <v>20</v>
      </c>
      <c r="H12272" s="8" t="s">
        <v>21</v>
      </c>
      <c r="I12272" s="8" t="s">
        <v>22</v>
      </c>
      <c r="J12272" s="8" t="s">
        <v>57</v>
      </c>
      <c r="K12272" s="8" t="s">
        <v>160</v>
      </c>
      <c r="L12272" s="8" t="s">
        <v>22476</v>
      </c>
      <c r="M12272" s="8" t="s">
        <v>22477</v>
      </c>
      <c r="N12272" s="8" t="s">
        <v>38615</v>
      </c>
      <c r="O12272" s="8">
        <f>14+27/60+9.5/3600</f>
        <v>14.452638888888888</v>
      </c>
      <c r="P12272" s="8" t="s">
        <v>38616</v>
      </c>
      <c r="Q12272" s="8">
        <f>+(30+56/60+54/3600)</f>
        <v>30.948333333333334</v>
      </c>
      <c r="R12272" s="8">
        <v>13.5</v>
      </c>
      <c r="S12272" s="8">
        <v>14.2</v>
      </c>
      <c r="T12272" s="8">
        <v>0.7</v>
      </c>
      <c r="U12272" s="8">
        <v>13.2</v>
      </c>
      <c r="V12272" s="8">
        <v>1.2</v>
      </c>
      <c r="W12272" s="8">
        <v>0.8</v>
      </c>
      <c r="X12272" s="8">
        <v>105</v>
      </c>
      <c r="Y12272" s="8" t="s">
        <v>45994</v>
      </c>
      <c r="Z12272" s="8" t="s">
        <v>51472</v>
      </c>
    </row>
    <row r="12273" spans="1:26" x14ac:dyDescent="0.2">
      <c r="A12273" s="8">
        <v>12272</v>
      </c>
      <c r="B12273" s="8" t="s">
        <v>51473</v>
      </c>
      <c r="C12273" s="8" t="s">
        <v>51473</v>
      </c>
      <c r="G12273" s="8">
        <v>20</v>
      </c>
      <c r="H12273" s="8" t="s">
        <v>21</v>
      </c>
      <c r="I12273" s="8" t="s">
        <v>22</v>
      </c>
      <c r="J12273" s="8" t="s">
        <v>22</v>
      </c>
      <c r="K12273" s="8" t="s">
        <v>160</v>
      </c>
      <c r="L12273" s="8" t="s">
        <v>16195</v>
      </c>
      <c r="M12273" s="8" t="s">
        <v>16196</v>
      </c>
      <c r="N12273" s="8" t="s">
        <v>51474</v>
      </c>
      <c r="O12273" s="8">
        <f>14+28/60+49.7/3600</f>
        <v>14.480472222222222</v>
      </c>
      <c r="P12273" s="8" t="s">
        <v>51475</v>
      </c>
      <c r="Q12273" s="8">
        <f>-(39+33/60+7/3600)</f>
        <v>-39.551944444444445</v>
      </c>
      <c r="R12273" s="8">
        <v>15.6</v>
      </c>
      <c r="S12273" s="8">
        <v>16.399999999999999</v>
      </c>
      <c r="T12273" s="8">
        <v>0.8</v>
      </c>
      <c r="U12273" s="8">
        <v>13.8</v>
      </c>
      <c r="V12273" s="8">
        <v>1.1000000000000001</v>
      </c>
      <c r="W12273" s="8">
        <v>0.2</v>
      </c>
      <c r="X12273" s="8">
        <v>50</v>
      </c>
      <c r="Y12273" s="8" t="s">
        <v>51476</v>
      </c>
      <c r="Z12273" s="8" t="s">
        <v>51477</v>
      </c>
    </row>
    <row r="12274" spans="1:26" x14ac:dyDescent="0.2">
      <c r="A12274" s="8">
        <v>12273</v>
      </c>
      <c r="B12274" s="8" t="s">
        <v>51478</v>
      </c>
      <c r="C12274" s="8" t="s">
        <v>51478</v>
      </c>
      <c r="G12274" s="8">
        <v>20</v>
      </c>
      <c r="H12274" s="8" t="s">
        <v>21</v>
      </c>
      <c r="I12274" s="8" t="s">
        <v>22</v>
      </c>
      <c r="J12274" s="8" t="s">
        <v>22</v>
      </c>
      <c r="K12274" s="8" t="s">
        <v>396</v>
      </c>
      <c r="L12274" s="8" t="s">
        <v>22476</v>
      </c>
      <c r="M12274" s="8" t="s">
        <v>22477</v>
      </c>
      <c r="N12274" s="8" t="s">
        <v>51479</v>
      </c>
      <c r="O12274" s="8">
        <f>14+27/60+53.3/3600</f>
        <v>14.464805555555555</v>
      </c>
      <c r="P12274" s="8" t="s">
        <v>51480</v>
      </c>
      <c r="Q12274" s="8">
        <f>+(16+11/60+43/3600)</f>
        <v>16.195277777777779</v>
      </c>
      <c r="R12274" s="8">
        <v>15.3</v>
      </c>
      <c r="S12274" s="8">
        <v>16.100000000000001</v>
      </c>
      <c r="T12274" s="8">
        <v>0.8</v>
      </c>
      <c r="U12274" s="8">
        <v>12.1</v>
      </c>
      <c r="V12274" s="8">
        <v>0.3</v>
      </c>
      <c r="W12274" s="8">
        <v>0.2</v>
      </c>
      <c r="Y12274" s="8" t="s">
        <v>7479</v>
      </c>
      <c r="Z12274" s="8" t="s">
        <v>7480</v>
      </c>
    </row>
    <row r="12275" spans="1:26" x14ac:dyDescent="0.2">
      <c r="A12275" s="8">
        <v>12274</v>
      </c>
      <c r="B12275" s="8" t="s">
        <v>51481</v>
      </c>
      <c r="C12275" s="8" t="s">
        <v>51481</v>
      </c>
      <c r="G12275" s="8">
        <v>20</v>
      </c>
      <c r="H12275" s="8" t="s">
        <v>21</v>
      </c>
      <c r="I12275" s="8" t="s">
        <v>22</v>
      </c>
      <c r="J12275" s="8" t="s">
        <v>22</v>
      </c>
      <c r="K12275" s="8" t="s">
        <v>37</v>
      </c>
      <c r="L12275" s="8" t="s">
        <v>22476</v>
      </c>
      <c r="M12275" s="8" t="s">
        <v>22477</v>
      </c>
      <c r="N12275" s="8" t="s">
        <v>51482</v>
      </c>
      <c r="O12275" s="8">
        <f>14+27/60+54.7/3600</f>
        <v>14.465194444444444</v>
      </c>
      <c r="P12275" s="8" t="s">
        <v>51483</v>
      </c>
      <c r="Q12275" s="8">
        <f>+(16+12/60+28/3600)</f>
        <v>16.207777777777778</v>
      </c>
      <c r="R12275" s="8">
        <v>14.4</v>
      </c>
      <c r="S12275" s="8">
        <v>15.4</v>
      </c>
      <c r="T12275" s="8">
        <v>1</v>
      </c>
      <c r="U12275" s="8">
        <v>13.9</v>
      </c>
      <c r="V12275" s="8">
        <v>1</v>
      </c>
      <c r="W12275" s="8">
        <v>0.7</v>
      </c>
      <c r="Y12275" s="8" t="s">
        <v>1212</v>
      </c>
      <c r="Z12275" s="8" t="s">
        <v>1213</v>
      </c>
    </row>
    <row r="12276" spans="1:26" x14ac:dyDescent="0.2">
      <c r="A12276" s="8">
        <v>12275</v>
      </c>
      <c r="B12276" s="8" t="s">
        <v>51484</v>
      </c>
      <c r="C12276" s="8" t="s">
        <v>51484</v>
      </c>
      <c r="G12276" s="8">
        <v>20</v>
      </c>
      <c r="H12276" s="8" t="s">
        <v>21</v>
      </c>
      <c r="I12276" s="8" t="s">
        <v>22</v>
      </c>
      <c r="J12276" s="8" t="s">
        <v>22</v>
      </c>
      <c r="K12276" s="8" t="s">
        <v>58</v>
      </c>
      <c r="L12276" s="8" t="s">
        <v>22476</v>
      </c>
      <c r="M12276" s="8" t="s">
        <v>22477</v>
      </c>
      <c r="N12276" s="8" t="s">
        <v>51485</v>
      </c>
      <c r="O12276" s="8">
        <f>14+27/60+24.1/3600</f>
        <v>14.456694444444445</v>
      </c>
      <c r="P12276" s="8" t="s">
        <v>51486</v>
      </c>
      <c r="Q12276" s="8">
        <f>+(37+28/60+19/3600)</f>
        <v>37.471944444444446</v>
      </c>
      <c r="R12276" s="8">
        <v>14.2</v>
      </c>
      <c r="S12276" s="8">
        <v>15.2</v>
      </c>
      <c r="T12276" s="8">
        <v>1</v>
      </c>
      <c r="U12276" s="8">
        <v>13.3</v>
      </c>
      <c r="V12276" s="8">
        <v>0.7</v>
      </c>
      <c r="W12276" s="8">
        <v>0.6</v>
      </c>
      <c r="X12276" s="8">
        <v>45</v>
      </c>
      <c r="Y12276" s="8" t="s">
        <v>51487</v>
      </c>
      <c r="Z12276" s="8" t="s">
        <v>51488</v>
      </c>
    </row>
    <row r="12277" spans="1:26" x14ac:dyDescent="0.2">
      <c r="A12277" s="8">
        <v>12276</v>
      </c>
      <c r="B12277" s="8" t="s">
        <v>51489</v>
      </c>
      <c r="C12277" s="8" t="s">
        <v>51489</v>
      </c>
      <c r="G12277" s="8">
        <v>20</v>
      </c>
      <c r="H12277" s="8" t="s">
        <v>21</v>
      </c>
      <c r="I12277" s="8" t="s">
        <v>22</v>
      </c>
      <c r="J12277" s="8" t="s">
        <v>22</v>
      </c>
      <c r="K12277" s="8" t="s">
        <v>183</v>
      </c>
      <c r="L12277" s="8" t="s">
        <v>22476</v>
      </c>
      <c r="M12277" s="8" t="s">
        <v>22477</v>
      </c>
      <c r="N12277" s="8" t="s">
        <v>51490</v>
      </c>
      <c r="O12277" s="8">
        <f>14+27/60+58.2/3600</f>
        <v>14.466166666666666</v>
      </c>
      <c r="P12277" s="8" t="s">
        <v>51491</v>
      </c>
      <c r="Q12277" s="8">
        <f>+(26+30/60+15/3600)</f>
        <v>26.504166666666666</v>
      </c>
      <c r="R12277" s="8">
        <v>13.9</v>
      </c>
      <c r="S12277" s="8">
        <v>14.9</v>
      </c>
      <c r="T12277" s="8">
        <v>1</v>
      </c>
      <c r="U12277" s="8">
        <v>13.9</v>
      </c>
      <c r="V12277" s="8">
        <v>1</v>
      </c>
      <c r="W12277" s="8">
        <v>0.9</v>
      </c>
      <c r="Y12277" s="8" t="s">
        <v>36864</v>
      </c>
      <c r="Z12277" s="8" t="s">
        <v>36865</v>
      </c>
    </row>
    <row r="12278" spans="1:26" x14ac:dyDescent="0.2">
      <c r="A12278" s="8">
        <v>12277</v>
      </c>
      <c r="B12278" s="8" t="s">
        <v>51492</v>
      </c>
      <c r="C12278" s="8" t="s">
        <v>51492</v>
      </c>
      <c r="G12278" s="8">
        <v>20</v>
      </c>
      <c r="H12278" s="8" t="s">
        <v>21</v>
      </c>
      <c r="I12278" s="8" t="s">
        <v>329</v>
      </c>
      <c r="J12278" s="8" t="s">
        <v>329</v>
      </c>
      <c r="K12278" s="8" t="s">
        <v>329</v>
      </c>
      <c r="L12278" s="8" t="s">
        <v>22476</v>
      </c>
      <c r="M12278" s="8" t="s">
        <v>22477</v>
      </c>
      <c r="N12278" s="8" t="s">
        <v>51493</v>
      </c>
      <c r="O12278" s="8">
        <f>14+27/60+25.5/3600</f>
        <v>14.457083333333333</v>
      </c>
      <c r="P12278" s="8" t="s">
        <v>51494</v>
      </c>
      <c r="Q12278" s="8">
        <f>+(41+29/60+14/3600)</f>
        <v>41.487222222222222</v>
      </c>
      <c r="R12278" s="8">
        <v>99</v>
      </c>
      <c r="S12278" s="8">
        <v>99</v>
      </c>
      <c r="T12278" s="8">
        <v>99</v>
      </c>
      <c r="U12278" s="8">
        <v>99</v>
      </c>
      <c r="Y12278" s="8" t="s">
        <v>51495</v>
      </c>
      <c r="Z12278" s="8" t="s">
        <v>51496</v>
      </c>
    </row>
    <row r="12279" spans="1:26" x14ac:dyDescent="0.2">
      <c r="A12279" s="8">
        <v>12278</v>
      </c>
      <c r="B12279" s="8" t="s">
        <v>51497</v>
      </c>
      <c r="C12279" s="8" t="s">
        <v>51497</v>
      </c>
      <c r="G12279" s="8">
        <v>20</v>
      </c>
      <c r="H12279" s="8" t="s">
        <v>21</v>
      </c>
      <c r="I12279" s="8" t="s">
        <v>22</v>
      </c>
      <c r="J12279" s="8" t="s">
        <v>22</v>
      </c>
      <c r="K12279" s="8" t="s">
        <v>396</v>
      </c>
      <c r="L12279" s="8" t="s">
        <v>22476</v>
      </c>
      <c r="M12279" s="8" t="s">
        <v>22477</v>
      </c>
      <c r="N12279" s="8" t="s">
        <v>51498</v>
      </c>
      <c r="O12279" s="8">
        <f>14+28/60+34.5/3600</f>
        <v>14.47625</v>
      </c>
      <c r="P12279" s="8" t="s">
        <v>51499</v>
      </c>
      <c r="Q12279" s="8">
        <f>+(17+20/60+3/3600)</f>
        <v>17.334166666666665</v>
      </c>
      <c r="R12279" s="8">
        <v>15.8</v>
      </c>
      <c r="S12279" s="8">
        <v>16.600000000000001</v>
      </c>
      <c r="T12279" s="8">
        <v>0.8</v>
      </c>
      <c r="U12279" s="8">
        <v>13.9</v>
      </c>
      <c r="V12279" s="8">
        <v>0.5</v>
      </c>
      <c r="W12279" s="8">
        <v>0.4</v>
      </c>
      <c r="X12279" s="8">
        <v>84</v>
      </c>
      <c r="Y12279" s="8" t="s">
        <v>5775</v>
      </c>
      <c r="Z12279" s="8" t="s">
        <v>34785</v>
      </c>
    </row>
    <row r="12280" spans="1:26" x14ac:dyDescent="0.2">
      <c r="A12280" s="8">
        <v>12279</v>
      </c>
      <c r="B12280" s="8" t="s">
        <v>51500</v>
      </c>
      <c r="C12280" s="8" t="s">
        <v>51500</v>
      </c>
      <c r="G12280" s="8">
        <v>20</v>
      </c>
      <c r="H12280" s="8" t="s">
        <v>21</v>
      </c>
      <c r="I12280" s="8" t="s">
        <v>22</v>
      </c>
      <c r="J12280" s="8" t="s">
        <v>22</v>
      </c>
      <c r="K12280" s="8" t="s">
        <v>396</v>
      </c>
      <c r="L12280" s="8" t="s">
        <v>22476</v>
      </c>
      <c r="M12280" s="8" t="s">
        <v>22477</v>
      </c>
      <c r="N12280" s="8" t="s">
        <v>51501</v>
      </c>
      <c r="O12280" s="8">
        <f>14+28/60+40/3600</f>
        <v>14.477777777777778</v>
      </c>
      <c r="P12280" s="8" t="s">
        <v>51502</v>
      </c>
      <c r="Q12280" s="8">
        <f>+(17+1/60+29/3600)</f>
        <v>17.02472222222222</v>
      </c>
      <c r="R12280" s="8">
        <v>14.9</v>
      </c>
      <c r="S12280" s="8">
        <v>15.7</v>
      </c>
      <c r="T12280" s="8">
        <v>0.8</v>
      </c>
      <c r="U12280" s="8">
        <v>12.7</v>
      </c>
      <c r="V12280" s="8">
        <v>0.5</v>
      </c>
      <c r="W12280" s="8">
        <v>0.3</v>
      </c>
      <c r="X12280" s="8">
        <v>75</v>
      </c>
      <c r="Y12280" s="8" t="s">
        <v>232</v>
      </c>
      <c r="Z12280" s="8" t="s">
        <v>233</v>
      </c>
    </row>
    <row r="12281" spans="1:26" x14ac:dyDescent="0.2">
      <c r="A12281" s="8">
        <v>12280</v>
      </c>
      <c r="B12281" s="8" t="s">
        <v>51503</v>
      </c>
      <c r="C12281" s="8" t="s">
        <v>51503</v>
      </c>
      <c r="G12281" s="8">
        <v>20</v>
      </c>
      <c r="H12281" s="8" t="s">
        <v>21</v>
      </c>
      <c r="I12281" s="8" t="s">
        <v>22</v>
      </c>
      <c r="J12281" s="8" t="s">
        <v>22</v>
      </c>
      <c r="K12281" s="8" t="s">
        <v>37</v>
      </c>
      <c r="L12281" s="8" t="s">
        <v>22476</v>
      </c>
      <c r="M12281" s="8" t="s">
        <v>22477</v>
      </c>
      <c r="N12281" s="8" t="s">
        <v>51504</v>
      </c>
      <c r="O12281" s="8">
        <f>14+28/60+59.2/3600</f>
        <v>14.483111111111111</v>
      </c>
      <c r="P12281" s="8" t="s">
        <v>51505</v>
      </c>
      <c r="Q12281" s="8">
        <f>+(17+19/60+15/3600)</f>
        <v>17.320833333333333</v>
      </c>
      <c r="R12281" s="8">
        <v>14.4</v>
      </c>
      <c r="S12281" s="8">
        <v>15.4</v>
      </c>
      <c r="T12281" s="8">
        <v>1</v>
      </c>
      <c r="U12281" s="8">
        <v>13.7</v>
      </c>
      <c r="V12281" s="8">
        <v>0.8</v>
      </c>
      <c r="W12281" s="8">
        <v>0.7</v>
      </c>
      <c r="Y12281" s="8" t="s">
        <v>46249</v>
      </c>
      <c r="Z12281" s="8" t="s">
        <v>46250</v>
      </c>
    </row>
    <row r="12282" spans="1:26" x14ac:dyDescent="0.2">
      <c r="A12282" s="8">
        <v>12281</v>
      </c>
      <c r="B12282" s="8" t="s">
        <v>51506</v>
      </c>
      <c r="C12282" s="8" t="s">
        <v>51506</v>
      </c>
      <c r="G12282" s="8">
        <v>20</v>
      </c>
      <c r="H12282" s="8" t="s">
        <v>21</v>
      </c>
      <c r="I12282" s="8" t="s">
        <v>22</v>
      </c>
      <c r="J12282" s="8" t="s">
        <v>22</v>
      </c>
      <c r="K12282" s="8" t="s">
        <v>85</v>
      </c>
      <c r="L12282" s="8" t="s">
        <v>24674</v>
      </c>
      <c r="M12282" s="8" t="s">
        <v>24675</v>
      </c>
      <c r="N12282" s="8" t="s">
        <v>51507</v>
      </c>
      <c r="O12282" s="8">
        <f>14+31/60+38.8/3600</f>
        <v>14.527444444444445</v>
      </c>
      <c r="P12282" s="8" t="s">
        <v>51508</v>
      </c>
      <c r="Q12282" s="8">
        <f>-(43+25/60+6/3600)</f>
        <v>-43.418333333333329</v>
      </c>
      <c r="R12282" s="8">
        <v>11.4</v>
      </c>
      <c r="S12282" s="8">
        <v>12</v>
      </c>
      <c r="T12282" s="8">
        <v>0.6</v>
      </c>
      <c r="U12282" s="8">
        <v>12.2</v>
      </c>
      <c r="V12282" s="8">
        <v>1.5</v>
      </c>
      <c r="W12282" s="8">
        <v>1.3</v>
      </c>
      <c r="X12282" s="8">
        <v>90</v>
      </c>
      <c r="Y12282" s="8" t="s">
        <v>803</v>
      </c>
      <c r="Z12282" s="8" t="s">
        <v>804</v>
      </c>
    </row>
    <row r="12283" spans="1:26" x14ac:dyDescent="0.2">
      <c r="A12283" s="8">
        <v>12282</v>
      </c>
      <c r="B12283" s="8" t="s">
        <v>51509</v>
      </c>
      <c r="C12283" s="8" t="s">
        <v>51509</v>
      </c>
      <c r="G12283" s="8">
        <v>20</v>
      </c>
      <c r="H12283" s="8" t="s">
        <v>21</v>
      </c>
      <c r="I12283" s="8" t="s">
        <v>22</v>
      </c>
      <c r="J12283" s="8" t="s">
        <v>22</v>
      </c>
      <c r="K12283" s="8" t="s">
        <v>154</v>
      </c>
      <c r="L12283" s="8" t="s">
        <v>22476</v>
      </c>
      <c r="M12283" s="8" t="s">
        <v>22477</v>
      </c>
      <c r="N12283" s="8" t="s">
        <v>51510</v>
      </c>
      <c r="O12283" s="8">
        <f>14+28/60+45.2/3600</f>
        <v>14.479222222222223</v>
      </c>
      <c r="P12283" s="8" t="s">
        <v>51511</v>
      </c>
      <c r="Q12283" s="8">
        <f>+(28+57/60+53/3600)</f>
        <v>28.964722222222221</v>
      </c>
      <c r="R12283" s="8">
        <v>14</v>
      </c>
      <c r="S12283" s="8">
        <v>14.9</v>
      </c>
      <c r="T12283" s="8">
        <v>0.9</v>
      </c>
      <c r="U12283" s="8">
        <v>13.1</v>
      </c>
      <c r="V12283" s="8">
        <v>1</v>
      </c>
      <c r="W12283" s="8">
        <v>0.6</v>
      </c>
      <c r="X12283" s="8">
        <v>13</v>
      </c>
      <c r="Y12283" s="8" t="s">
        <v>43668</v>
      </c>
      <c r="Z12283" s="8" t="s">
        <v>43669</v>
      </c>
    </row>
    <row r="12284" spans="1:26" x14ac:dyDescent="0.2">
      <c r="A12284" s="8">
        <v>12283</v>
      </c>
      <c r="B12284" s="8" t="s">
        <v>51512</v>
      </c>
      <c r="C12284" s="8" t="s">
        <v>51512</v>
      </c>
      <c r="G12284" s="8">
        <v>20</v>
      </c>
      <c r="H12284" s="8" t="s">
        <v>21</v>
      </c>
      <c r="I12284" s="8" t="s">
        <v>22</v>
      </c>
      <c r="J12284" s="8" t="s">
        <v>22</v>
      </c>
      <c r="K12284" s="8" t="s">
        <v>396</v>
      </c>
      <c r="L12284" s="8" t="s">
        <v>22476</v>
      </c>
      <c r="M12284" s="8" t="s">
        <v>22477</v>
      </c>
      <c r="N12284" s="8" t="s">
        <v>51513</v>
      </c>
      <c r="O12284" s="8">
        <f>14+29/60+17.4/3600</f>
        <v>14.488166666666666</v>
      </c>
      <c r="P12284" s="8" t="s">
        <v>51514</v>
      </c>
      <c r="Q12284" s="8">
        <f>+(16+10/60+53/3600)</f>
        <v>16.18138888888889</v>
      </c>
      <c r="R12284" s="8">
        <v>15.1</v>
      </c>
      <c r="S12284" s="8">
        <v>15.9</v>
      </c>
      <c r="T12284" s="8">
        <v>0.8</v>
      </c>
      <c r="U12284" s="8">
        <v>14.3</v>
      </c>
      <c r="V12284" s="8">
        <v>0.9</v>
      </c>
      <c r="W12284" s="8">
        <v>0.6</v>
      </c>
      <c r="X12284" s="8">
        <v>10</v>
      </c>
      <c r="Y12284" s="8" t="s">
        <v>51515</v>
      </c>
      <c r="Z12284" s="8" t="s">
        <v>51516</v>
      </c>
    </row>
    <row r="12285" spans="1:26" x14ac:dyDescent="0.2">
      <c r="A12285" s="8">
        <v>12284</v>
      </c>
      <c r="B12285" s="8" t="s">
        <v>51517</v>
      </c>
      <c r="C12285" s="8" t="s">
        <v>51517</v>
      </c>
      <c r="G12285" s="8">
        <v>13</v>
      </c>
      <c r="H12285" s="8" t="s">
        <v>21</v>
      </c>
      <c r="I12285" s="8" t="s">
        <v>22</v>
      </c>
      <c r="J12285" s="8" t="s">
        <v>57</v>
      </c>
      <c r="K12285" s="8" t="s">
        <v>85</v>
      </c>
      <c r="L12285" s="8" t="s">
        <v>24674</v>
      </c>
      <c r="M12285" s="8" t="s">
        <v>24675</v>
      </c>
      <c r="N12285" s="8" t="s">
        <v>51507</v>
      </c>
      <c r="O12285" s="8">
        <f>14+31/60+38.8/3600</f>
        <v>14.527444444444445</v>
      </c>
      <c r="P12285" s="8" t="s">
        <v>51508</v>
      </c>
      <c r="Q12285" s="8">
        <f>-(43+25/60+6/3600)</f>
        <v>-43.418333333333329</v>
      </c>
      <c r="R12285" s="8">
        <v>11.4</v>
      </c>
      <c r="S12285" s="8">
        <v>12</v>
      </c>
      <c r="T12285" s="8">
        <v>0.6</v>
      </c>
      <c r="U12285" s="8">
        <v>12.2</v>
      </c>
      <c r="V12285" s="8">
        <v>1.5</v>
      </c>
      <c r="W12285" s="8">
        <v>1.3</v>
      </c>
      <c r="X12285" s="8">
        <v>90</v>
      </c>
      <c r="Y12285" s="8" t="s">
        <v>803</v>
      </c>
      <c r="Z12285" s="8" t="s">
        <v>51518</v>
      </c>
    </row>
    <row r="12286" spans="1:26" x14ac:dyDescent="0.2">
      <c r="A12286" s="8">
        <v>12285</v>
      </c>
      <c r="B12286" s="8" t="s">
        <v>51519</v>
      </c>
      <c r="C12286" s="8" t="s">
        <v>51519</v>
      </c>
      <c r="G12286" s="8">
        <v>20</v>
      </c>
      <c r="H12286" s="8" t="s">
        <v>21</v>
      </c>
      <c r="I12286" s="8" t="s">
        <v>22</v>
      </c>
      <c r="J12286" s="8" t="s">
        <v>22</v>
      </c>
      <c r="K12286" s="8" t="s">
        <v>160</v>
      </c>
      <c r="L12286" s="8" t="s">
        <v>24674</v>
      </c>
      <c r="M12286" s="8" t="s">
        <v>24675</v>
      </c>
      <c r="N12286" s="8" t="s">
        <v>51520</v>
      </c>
      <c r="O12286" s="8">
        <f>14+31/60+54.3/3600</f>
        <v>14.531750000000001</v>
      </c>
      <c r="P12286" s="8" t="s">
        <v>51521</v>
      </c>
      <c r="Q12286" s="8">
        <f>-(46+2/60+7/3600)</f>
        <v>-46.035277777777779</v>
      </c>
      <c r="R12286" s="8">
        <v>14</v>
      </c>
      <c r="S12286" s="8">
        <v>14.7</v>
      </c>
      <c r="T12286" s="8">
        <v>0.7</v>
      </c>
      <c r="U12286" s="8">
        <v>13</v>
      </c>
      <c r="V12286" s="8">
        <v>1.2</v>
      </c>
      <c r="W12286" s="8">
        <v>0.4</v>
      </c>
      <c r="X12286" s="8">
        <v>153</v>
      </c>
      <c r="Y12286" s="8" t="s">
        <v>51522</v>
      </c>
      <c r="Z12286" s="8" t="s">
        <v>51523</v>
      </c>
    </row>
    <row r="12287" spans="1:26" x14ac:dyDescent="0.2">
      <c r="A12287" s="8">
        <v>12286</v>
      </c>
      <c r="B12287" s="8" t="s">
        <v>51524</v>
      </c>
      <c r="C12287" s="8" t="s">
        <v>51524</v>
      </c>
      <c r="G12287" s="8">
        <v>20</v>
      </c>
      <c r="H12287" s="8" t="s">
        <v>21</v>
      </c>
      <c r="I12287" s="8" t="s">
        <v>22</v>
      </c>
      <c r="J12287" s="8" t="s">
        <v>22</v>
      </c>
      <c r="K12287" s="8" t="s">
        <v>396</v>
      </c>
      <c r="L12287" s="8" t="s">
        <v>22476</v>
      </c>
      <c r="M12287" s="8" t="s">
        <v>22477</v>
      </c>
      <c r="N12287" s="8" t="s">
        <v>51525</v>
      </c>
      <c r="O12287" s="8">
        <f>14+29/60+1.4/3600</f>
        <v>14.483722222222221</v>
      </c>
      <c r="P12287" s="8" t="s">
        <v>51526</v>
      </c>
      <c r="Q12287" s="8">
        <f>+(37+27/60+49/3600)</f>
        <v>37.463611111111113</v>
      </c>
      <c r="R12287" s="8">
        <v>15.2</v>
      </c>
      <c r="S12287" s="8">
        <v>16</v>
      </c>
      <c r="T12287" s="8">
        <v>0.8</v>
      </c>
      <c r="U12287" s="8">
        <v>13.9</v>
      </c>
      <c r="V12287" s="8">
        <v>0.9</v>
      </c>
      <c r="W12287" s="8">
        <v>0.4</v>
      </c>
      <c r="X12287" s="8">
        <v>114</v>
      </c>
      <c r="Y12287" s="8" t="s">
        <v>44495</v>
      </c>
      <c r="Z12287" s="8" t="s">
        <v>44496</v>
      </c>
    </row>
    <row r="12288" spans="1:26" x14ac:dyDescent="0.2">
      <c r="A12288" s="8">
        <v>12287</v>
      </c>
      <c r="B12288" s="8" t="s">
        <v>51527</v>
      </c>
      <c r="C12288" s="8" t="s">
        <v>51527</v>
      </c>
      <c r="G12288" s="8">
        <v>20</v>
      </c>
      <c r="H12288" s="8" t="s">
        <v>21</v>
      </c>
      <c r="I12288" s="8" t="s">
        <v>22</v>
      </c>
      <c r="J12288" s="8" t="s">
        <v>22</v>
      </c>
      <c r="K12288" s="8" t="s">
        <v>435</v>
      </c>
      <c r="L12288" s="8" t="s">
        <v>22476</v>
      </c>
      <c r="M12288" s="8" t="s">
        <v>22477</v>
      </c>
      <c r="N12288" s="8" t="s">
        <v>51528</v>
      </c>
      <c r="O12288" s="8">
        <f>14+29/60+17.9/3600</f>
        <v>14.488305555555554</v>
      </c>
      <c r="P12288" s="8" t="s">
        <v>3880</v>
      </c>
      <c r="Q12288" s="8">
        <f>+(30+49/60+57/3600)</f>
        <v>30.8325</v>
      </c>
      <c r="R12288" s="8">
        <v>13.4</v>
      </c>
      <c r="S12288" s="8">
        <v>14.3</v>
      </c>
      <c r="T12288" s="8">
        <v>0.9</v>
      </c>
      <c r="U12288" s="8">
        <v>13.2</v>
      </c>
      <c r="V12288" s="8">
        <v>1.2</v>
      </c>
      <c r="W12288" s="8">
        <v>0.8</v>
      </c>
      <c r="X12288" s="8">
        <v>175</v>
      </c>
      <c r="Y12288" s="8" t="s">
        <v>43937</v>
      </c>
      <c r="Z12288" s="8" t="s">
        <v>43938</v>
      </c>
    </row>
    <row r="12289" spans="1:26" x14ac:dyDescent="0.2">
      <c r="A12289" s="8">
        <v>12288</v>
      </c>
      <c r="B12289" s="8" t="s">
        <v>51529</v>
      </c>
      <c r="C12289" s="8" t="s">
        <v>51529</v>
      </c>
      <c r="G12289" s="8">
        <v>20</v>
      </c>
      <c r="H12289" s="8" t="s">
        <v>21</v>
      </c>
      <c r="I12289" s="8" t="s">
        <v>22</v>
      </c>
      <c r="J12289" s="8" t="s">
        <v>22</v>
      </c>
      <c r="K12289" s="8" t="s">
        <v>269</v>
      </c>
      <c r="L12289" s="8" t="s">
        <v>25025</v>
      </c>
      <c r="M12289" s="8" t="s">
        <v>25026</v>
      </c>
      <c r="N12289" s="8" t="s">
        <v>51530</v>
      </c>
      <c r="O12289" s="8">
        <f>14+40/60+27.5/3600</f>
        <v>14.674305555555556</v>
      </c>
      <c r="P12289" s="8" t="s">
        <v>51531</v>
      </c>
      <c r="Q12289" s="8">
        <f>-(78+48/60+33/3600)</f>
        <v>-78.80916666666667</v>
      </c>
      <c r="R12289" s="8">
        <v>13.5</v>
      </c>
      <c r="S12289" s="8">
        <v>14.1</v>
      </c>
      <c r="T12289" s="8">
        <v>0.6</v>
      </c>
      <c r="U12289" s="8">
        <v>13.2</v>
      </c>
      <c r="V12289" s="8">
        <v>1</v>
      </c>
      <c r="W12289" s="8">
        <v>0.8</v>
      </c>
      <c r="X12289" s="8">
        <v>168</v>
      </c>
      <c r="Y12289" s="8" t="s">
        <v>51532</v>
      </c>
      <c r="Z12289" s="8" t="s">
        <v>51533</v>
      </c>
    </row>
    <row r="12290" spans="1:26" x14ac:dyDescent="0.2">
      <c r="A12290" s="8">
        <v>12289</v>
      </c>
      <c r="B12290" s="8" t="s">
        <v>51534</v>
      </c>
      <c r="C12290" s="8" t="s">
        <v>51534</v>
      </c>
      <c r="G12290" s="8">
        <v>20</v>
      </c>
      <c r="H12290" s="8" t="s">
        <v>21</v>
      </c>
      <c r="I12290" s="8" t="s">
        <v>22</v>
      </c>
      <c r="J12290" s="8" t="s">
        <v>22</v>
      </c>
      <c r="K12290" s="8" t="s">
        <v>449</v>
      </c>
      <c r="L12290" s="8" t="s">
        <v>22476</v>
      </c>
      <c r="M12290" s="8" t="s">
        <v>22477</v>
      </c>
      <c r="N12290" s="8" t="s">
        <v>51535</v>
      </c>
      <c r="O12290" s="8">
        <f>14+31/60+21.6/3600</f>
        <v>14.522666666666668</v>
      </c>
      <c r="P12290" s="8" t="s">
        <v>51536</v>
      </c>
      <c r="Q12290" s="8">
        <f>+(15+14/60+26/3600)</f>
        <v>15.240555555555554</v>
      </c>
      <c r="R12290" s="8">
        <v>15.7</v>
      </c>
      <c r="S12290" s="8">
        <v>16.5</v>
      </c>
      <c r="T12290" s="8">
        <v>0.8</v>
      </c>
      <c r="U12290" s="8">
        <v>13.5</v>
      </c>
      <c r="V12290" s="8">
        <v>0.5</v>
      </c>
      <c r="W12290" s="8">
        <v>0.3</v>
      </c>
      <c r="X12290" s="8">
        <v>100</v>
      </c>
      <c r="Y12290" s="8" t="s">
        <v>35781</v>
      </c>
      <c r="Z12290" s="8" t="s">
        <v>35782</v>
      </c>
    </row>
    <row r="12291" spans="1:26" x14ac:dyDescent="0.2">
      <c r="A12291" s="8">
        <v>12290</v>
      </c>
      <c r="B12291" s="8" t="s">
        <v>51537</v>
      </c>
      <c r="C12291" s="8" t="s">
        <v>51537</v>
      </c>
      <c r="G12291" s="8">
        <v>20</v>
      </c>
      <c r="H12291" s="8" t="s">
        <v>21</v>
      </c>
      <c r="I12291" s="8" t="s">
        <v>22</v>
      </c>
      <c r="J12291" s="8" t="s">
        <v>22</v>
      </c>
      <c r="K12291" s="8" t="s">
        <v>396</v>
      </c>
      <c r="L12291" s="8" t="s">
        <v>22476</v>
      </c>
      <c r="M12291" s="8" t="s">
        <v>22477</v>
      </c>
      <c r="N12291" s="8" t="s">
        <v>51538</v>
      </c>
      <c r="O12291" s="8">
        <f>14+32/60+12.4/3600</f>
        <v>14.536777777777777</v>
      </c>
      <c r="P12291" s="8" t="s">
        <v>51539</v>
      </c>
      <c r="Q12291" s="8">
        <f>+(28+33/60+26/3600)</f>
        <v>28.557222222222222</v>
      </c>
      <c r="R12291" s="8">
        <v>14.4</v>
      </c>
      <c r="S12291" s="8">
        <v>15.2</v>
      </c>
      <c r="T12291" s="8">
        <v>0.8</v>
      </c>
      <c r="U12291" s="8">
        <v>13.7</v>
      </c>
      <c r="V12291" s="8">
        <v>1.2</v>
      </c>
      <c r="W12291" s="8">
        <v>0.5</v>
      </c>
      <c r="X12291" s="8">
        <v>48</v>
      </c>
      <c r="Y12291" s="8" t="s">
        <v>51540</v>
      </c>
      <c r="Z12291" s="8" t="s">
        <v>51541</v>
      </c>
    </row>
    <row r="12292" spans="1:26" x14ac:dyDescent="0.2">
      <c r="A12292" s="8">
        <v>12291</v>
      </c>
      <c r="B12292" s="8" t="s">
        <v>51542</v>
      </c>
      <c r="C12292" s="8" t="s">
        <v>51542</v>
      </c>
      <c r="G12292" s="8">
        <v>20</v>
      </c>
      <c r="H12292" s="8" t="s">
        <v>21</v>
      </c>
      <c r="I12292" s="8" t="s">
        <v>22</v>
      </c>
      <c r="J12292" s="8" t="s">
        <v>22</v>
      </c>
      <c r="K12292" s="8" t="s">
        <v>50</v>
      </c>
      <c r="L12292" s="8" t="s">
        <v>16195</v>
      </c>
      <c r="M12292" s="8" t="s">
        <v>16196</v>
      </c>
      <c r="N12292" s="8" t="s">
        <v>51543</v>
      </c>
      <c r="O12292" s="8">
        <f>14+34/60+37/3600</f>
        <v>14.576944444444445</v>
      </c>
      <c r="P12292" s="8" t="s">
        <v>51544</v>
      </c>
      <c r="Q12292" s="8">
        <f>-(36+17/60+10/3600)</f>
        <v>-36.286111111111111</v>
      </c>
      <c r="R12292" s="8">
        <v>11.7</v>
      </c>
      <c r="S12292" s="8">
        <v>12.7</v>
      </c>
      <c r="T12292" s="8">
        <v>1</v>
      </c>
      <c r="U12292" s="8">
        <v>12.5</v>
      </c>
      <c r="V12292" s="8">
        <v>1.8</v>
      </c>
      <c r="W12292" s="8">
        <v>1.1000000000000001</v>
      </c>
      <c r="X12292" s="8">
        <v>89</v>
      </c>
      <c r="Y12292" s="8" t="s">
        <v>51545</v>
      </c>
      <c r="Z12292" s="8" t="s">
        <v>51546</v>
      </c>
    </row>
    <row r="12293" spans="1:26" x14ac:dyDescent="0.2">
      <c r="A12293" s="8">
        <v>12292</v>
      </c>
      <c r="B12293" s="8" t="s">
        <v>51547</v>
      </c>
      <c r="C12293" s="8" t="s">
        <v>51547</v>
      </c>
      <c r="G12293" s="8">
        <v>20</v>
      </c>
      <c r="H12293" s="8" t="s">
        <v>21</v>
      </c>
      <c r="I12293" s="8" t="s">
        <v>22</v>
      </c>
      <c r="J12293" s="8" t="s">
        <v>22</v>
      </c>
      <c r="K12293" s="8" t="s">
        <v>91</v>
      </c>
      <c r="L12293" s="8" t="s">
        <v>22476</v>
      </c>
      <c r="M12293" s="8" t="s">
        <v>22477</v>
      </c>
      <c r="N12293" s="8" t="s">
        <v>51548</v>
      </c>
      <c r="O12293" s="8">
        <f>14+32/60+27.4/3600</f>
        <v>14.540944444444444</v>
      </c>
      <c r="P12293" s="8" t="s">
        <v>51549</v>
      </c>
      <c r="Q12293" s="8">
        <f>+(27+25/60+38/3600)</f>
        <v>27.427222222222223</v>
      </c>
      <c r="R12293" s="8">
        <v>14.1</v>
      </c>
      <c r="S12293" s="8">
        <v>15</v>
      </c>
      <c r="T12293" s="8">
        <v>0.9</v>
      </c>
      <c r="U12293" s="8">
        <v>12.4</v>
      </c>
      <c r="V12293" s="8">
        <v>0.5</v>
      </c>
      <c r="W12293" s="8">
        <v>0.5</v>
      </c>
      <c r="Y12293" s="8" t="s">
        <v>37070</v>
      </c>
      <c r="Z12293" s="8" t="s">
        <v>37071</v>
      </c>
    </row>
    <row r="12294" spans="1:26" x14ac:dyDescent="0.2">
      <c r="A12294" s="8">
        <v>12293</v>
      </c>
      <c r="B12294" s="8" t="s">
        <v>51550</v>
      </c>
      <c r="C12294" s="8" t="s">
        <v>51550</v>
      </c>
      <c r="G12294" s="8">
        <v>20</v>
      </c>
      <c r="H12294" s="8" t="s">
        <v>21</v>
      </c>
      <c r="I12294" s="8" t="s">
        <v>22</v>
      </c>
      <c r="J12294" s="8" t="s">
        <v>22</v>
      </c>
      <c r="K12294" s="8" t="s">
        <v>224</v>
      </c>
      <c r="L12294" s="8" t="s">
        <v>11765</v>
      </c>
      <c r="M12294" s="8" t="s">
        <v>11766</v>
      </c>
      <c r="N12294" s="8" t="s">
        <v>51551</v>
      </c>
      <c r="O12294" s="8">
        <f>14+34/60+28.6/3600</f>
        <v>14.574611111111111</v>
      </c>
      <c r="P12294" s="8" t="s">
        <v>51552</v>
      </c>
      <c r="Q12294" s="8">
        <f>-(27+31/60+5/3600)</f>
        <v>-27.518055555555556</v>
      </c>
      <c r="R12294" s="8">
        <v>12.2</v>
      </c>
      <c r="S12294" s="8">
        <v>13.2</v>
      </c>
      <c r="T12294" s="8">
        <v>1</v>
      </c>
      <c r="U12294" s="8">
        <v>12.9</v>
      </c>
      <c r="V12294" s="8">
        <v>2.2000000000000002</v>
      </c>
      <c r="W12294" s="8">
        <v>1</v>
      </c>
      <c r="X12294" s="8">
        <v>160</v>
      </c>
      <c r="Y12294" s="8" t="s">
        <v>51553</v>
      </c>
      <c r="Z12294" s="8" t="s">
        <v>51554</v>
      </c>
    </row>
    <row r="12295" spans="1:26" x14ac:dyDescent="0.2">
      <c r="A12295" s="8">
        <v>12294</v>
      </c>
      <c r="B12295" s="8" t="s">
        <v>51555</v>
      </c>
      <c r="C12295" s="8" t="s">
        <v>51555</v>
      </c>
      <c r="G12295" s="8">
        <v>20</v>
      </c>
      <c r="H12295" s="8" t="s">
        <v>21</v>
      </c>
      <c r="I12295" s="8" t="s">
        <v>22</v>
      </c>
      <c r="J12295" s="8" t="s">
        <v>22</v>
      </c>
      <c r="K12295" s="8" t="s">
        <v>449</v>
      </c>
      <c r="L12295" s="8" t="s">
        <v>22476</v>
      </c>
      <c r="M12295" s="8" t="s">
        <v>22477</v>
      </c>
      <c r="N12295" s="8" t="s">
        <v>51556</v>
      </c>
      <c r="O12295" s="8">
        <f>14+33/60+16.6/3600</f>
        <v>14.554611111111111</v>
      </c>
      <c r="P12295" s="8" t="s">
        <v>17343</v>
      </c>
      <c r="Q12295" s="8">
        <f>+(17+42/60+44/3600)</f>
        <v>17.71222222222222</v>
      </c>
      <c r="R12295" s="8">
        <v>16.600000000000001</v>
      </c>
      <c r="S12295" s="8">
        <v>17.399999999999999</v>
      </c>
      <c r="T12295" s="8">
        <v>0.8</v>
      </c>
      <c r="U12295" s="8">
        <v>14.4</v>
      </c>
      <c r="V12295" s="8">
        <v>0.5</v>
      </c>
      <c r="W12295" s="8">
        <v>0.3</v>
      </c>
      <c r="X12295" s="8">
        <v>0</v>
      </c>
      <c r="Y12295" s="8" t="s">
        <v>35077</v>
      </c>
      <c r="Z12295" s="8" t="s">
        <v>35078</v>
      </c>
    </row>
    <row r="12296" spans="1:26" x14ac:dyDescent="0.2">
      <c r="A12296" s="8">
        <v>12295</v>
      </c>
      <c r="B12296" s="8" t="s">
        <v>51557</v>
      </c>
      <c r="C12296" s="8" t="s">
        <v>51557</v>
      </c>
      <c r="G12296" s="8">
        <v>20</v>
      </c>
      <c r="H12296" s="8" t="s">
        <v>21</v>
      </c>
      <c r="I12296" s="8" t="s">
        <v>22</v>
      </c>
      <c r="J12296" s="8" t="s">
        <v>57</v>
      </c>
      <c r="K12296" s="8" t="s">
        <v>91</v>
      </c>
      <c r="L12296" s="8" t="s">
        <v>24948</v>
      </c>
      <c r="M12296" s="8" t="s">
        <v>24949</v>
      </c>
      <c r="N12296" s="8" t="s">
        <v>25251</v>
      </c>
      <c r="O12296" s="8">
        <f>14+33/60+43.7/3600</f>
        <v>14.562138888888889</v>
      </c>
      <c r="P12296" s="8" t="s">
        <v>25252</v>
      </c>
      <c r="Q12296" s="8">
        <f>-(14+37/60+10/3600)</f>
        <v>-14.619444444444445</v>
      </c>
      <c r="R12296" s="8">
        <v>13.6</v>
      </c>
      <c r="S12296" s="8">
        <v>14.5</v>
      </c>
      <c r="T12296" s="8">
        <v>0.9</v>
      </c>
      <c r="U12296" s="8">
        <v>12.3</v>
      </c>
      <c r="V12296" s="8">
        <v>0.8</v>
      </c>
      <c r="W12296" s="8">
        <v>0.3</v>
      </c>
      <c r="X12296" s="8">
        <v>30</v>
      </c>
      <c r="Y12296" s="8" t="s">
        <v>51558</v>
      </c>
      <c r="Z12296" s="8" t="s">
        <v>51559</v>
      </c>
    </row>
    <row r="12297" spans="1:26" x14ac:dyDescent="0.2">
      <c r="A12297" s="8">
        <v>12296</v>
      </c>
      <c r="B12297" s="8" t="s">
        <v>51560</v>
      </c>
      <c r="C12297" s="8" t="s">
        <v>51560</v>
      </c>
      <c r="G12297" s="8">
        <v>20</v>
      </c>
      <c r="H12297" s="8" t="s">
        <v>21</v>
      </c>
      <c r="I12297" s="8" t="s">
        <v>22</v>
      </c>
      <c r="J12297" s="8" t="s">
        <v>22</v>
      </c>
      <c r="K12297" s="8" t="s">
        <v>449</v>
      </c>
      <c r="L12297" s="8" t="s">
        <v>22476</v>
      </c>
      <c r="M12297" s="8" t="s">
        <v>22477</v>
      </c>
      <c r="N12297" s="8" t="s">
        <v>51561</v>
      </c>
      <c r="O12297" s="8">
        <f>14+34/60+9.1/3600</f>
        <v>14.569194444444443</v>
      </c>
      <c r="P12297" s="8" t="s">
        <v>51562</v>
      </c>
      <c r="Q12297" s="8">
        <f>+(16+11/60+3/3600)</f>
        <v>16.184166666666666</v>
      </c>
      <c r="R12297" s="8">
        <v>15.2</v>
      </c>
      <c r="S12297" s="8">
        <v>16</v>
      </c>
      <c r="T12297" s="8">
        <v>0.8</v>
      </c>
      <c r="U12297" s="8">
        <v>12.6</v>
      </c>
      <c r="V12297" s="8">
        <v>0.5</v>
      </c>
      <c r="W12297" s="8">
        <v>0.2</v>
      </c>
      <c r="X12297" s="8">
        <v>135</v>
      </c>
      <c r="Y12297" s="8" t="s">
        <v>36797</v>
      </c>
      <c r="Z12297" s="8" t="s">
        <v>36798</v>
      </c>
    </row>
    <row r="12298" spans="1:26" x14ac:dyDescent="0.2">
      <c r="A12298" s="8">
        <v>12297</v>
      </c>
      <c r="B12298" s="8" t="s">
        <v>51563</v>
      </c>
      <c r="C12298" s="8" t="s">
        <v>51563</v>
      </c>
      <c r="G12298" s="8">
        <v>20</v>
      </c>
      <c r="H12298" s="8" t="s">
        <v>21</v>
      </c>
      <c r="I12298" s="8" t="s">
        <v>22</v>
      </c>
      <c r="J12298" s="8" t="s">
        <v>22</v>
      </c>
      <c r="K12298" s="8" t="s">
        <v>382</v>
      </c>
      <c r="L12298" s="8" t="s">
        <v>22476</v>
      </c>
      <c r="M12298" s="8" t="s">
        <v>22477</v>
      </c>
      <c r="N12298" s="8" t="s">
        <v>51564</v>
      </c>
      <c r="O12298" s="8">
        <f>14+34/60+28.9/3600</f>
        <v>14.574694444444445</v>
      </c>
      <c r="P12298" s="8" t="s">
        <v>51565</v>
      </c>
      <c r="Q12298" s="8">
        <f>+(18+13/60+28/3600)</f>
        <v>18.224444444444444</v>
      </c>
      <c r="R12298" s="8">
        <v>15.2</v>
      </c>
      <c r="S12298" s="8">
        <v>16.2</v>
      </c>
      <c r="T12298" s="8">
        <v>1</v>
      </c>
      <c r="U12298" s="8">
        <v>12.2</v>
      </c>
      <c r="V12298" s="8">
        <v>0.3</v>
      </c>
      <c r="W12298" s="8">
        <v>0.2</v>
      </c>
      <c r="X12298" s="8">
        <v>75</v>
      </c>
      <c r="Y12298" s="8" t="s">
        <v>1212</v>
      </c>
      <c r="Z12298" s="8" t="s">
        <v>1213</v>
      </c>
    </row>
    <row r="12299" spans="1:26" x14ac:dyDescent="0.2">
      <c r="A12299" s="8">
        <v>12298</v>
      </c>
      <c r="B12299" s="8" t="s">
        <v>51566</v>
      </c>
      <c r="C12299" s="8" t="s">
        <v>51566</v>
      </c>
      <c r="G12299" s="8">
        <v>20</v>
      </c>
      <c r="H12299" s="8" t="s">
        <v>21</v>
      </c>
      <c r="I12299" s="8" t="s">
        <v>72</v>
      </c>
      <c r="J12299" s="8" t="s">
        <v>72</v>
      </c>
      <c r="K12299" s="8" t="s">
        <v>1802</v>
      </c>
      <c r="L12299" s="8" t="s">
        <v>16195</v>
      </c>
      <c r="M12299" s="8" t="s">
        <v>16196</v>
      </c>
      <c r="N12299" s="8" t="s">
        <v>51567</v>
      </c>
      <c r="O12299" s="8">
        <f>14+38/60+5/3600</f>
        <v>14.634722222222221</v>
      </c>
      <c r="P12299" s="8" t="s">
        <v>51568</v>
      </c>
      <c r="Q12299" s="8">
        <f>-(39+28/60+25/3600)</f>
        <v>-39.473611111111111</v>
      </c>
      <c r="R12299" s="8">
        <v>99</v>
      </c>
      <c r="S12299" s="8">
        <v>99</v>
      </c>
      <c r="T12299" s="8">
        <v>99</v>
      </c>
      <c r="U12299" s="8">
        <v>99</v>
      </c>
      <c r="Y12299" s="8" t="s">
        <v>51569</v>
      </c>
      <c r="Z12299" s="8" t="s">
        <v>51570</v>
      </c>
    </row>
    <row r="12300" spans="1:26" x14ac:dyDescent="0.2">
      <c r="A12300" s="8">
        <v>12299</v>
      </c>
      <c r="B12300" s="8" t="s">
        <v>51571</v>
      </c>
      <c r="C12300" s="8" t="s">
        <v>51571</v>
      </c>
      <c r="G12300" s="8">
        <v>20</v>
      </c>
      <c r="H12300" s="8" t="s">
        <v>21</v>
      </c>
      <c r="I12300" s="8" t="s">
        <v>22</v>
      </c>
      <c r="J12300" s="8" t="s">
        <v>22</v>
      </c>
      <c r="K12300" s="8" t="s">
        <v>23</v>
      </c>
      <c r="L12300" s="8" t="s">
        <v>22476</v>
      </c>
      <c r="M12300" s="8" t="s">
        <v>22477</v>
      </c>
      <c r="N12300" s="8" t="s">
        <v>51572</v>
      </c>
      <c r="O12300" s="8">
        <f>14+34/60+32.2/3600</f>
        <v>14.575611111111112</v>
      </c>
      <c r="P12300" s="8" t="s">
        <v>51573</v>
      </c>
      <c r="Q12300" s="8">
        <f>+(30+58/60+26/3600)</f>
        <v>30.973888888888887</v>
      </c>
      <c r="R12300" s="8">
        <v>14.7</v>
      </c>
      <c r="S12300" s="8">
        <v>15.5</v>
      </c>
      <c r="T12300" s="8">
        <v>0.8</v>
      </c>
      <c r="U12300" s="8">
        <v>12.1</v>
      </c>
      <c r="V12300" s="8">
        <v>0.5</v>
      </c>
      <c r="W12300" s="8">
        <v>0.2</v>
      </c>
      <c r="X12300" s="8">
        <v>10</v>
      </c>
      <c r="Y12300" s="8" t="s">
        <v>51574</v>
      </c>
      <c r="Z12300" s="8" t="s">
        <v>51575</v>
      </c>
    </row>
    <row r="12301" spans="1:26" x14ac:dyDescent="0.2">
      <c r="A12301" s="8">
        <v>12300</v>
      </c>
      <c r="B12301" s="8" t="s">
        <v>51576</v>
      </c>
      <c r="C12301" s="8" t="s">
        <v>51576</v>
      </c>
      <c r="G12301" s="8">
        <v>20</v>
      </c>
      <c r="H12301" s="8" t="s">
        <v>21</v>
      </c>
      <c r="I12301" s="8" t="s">
        <v>22</v>
      </c>
      <c r="J12301" s="8" t="s">
        <v>22</v>
      </c>
      <c r="K12301" s="8" t="s">
        <v>91</v>
      </c>
      <c r="L12301" s="8" t="s">
        <v>22476</v>
      </c>
      <c r="M12301" s="8" t="s">
        <v>22477</v>
      </c>
      <c r="N12301" s="8" t="s">
        <v>51577</v>
      </c>
      <c r="O12301" s="8">
        <f>14+34/60+36.5/3600</f>
        <v>14.576805555555556</v>
      </c>
      <c r="P12301" s="8" t="s">
        <v>51578</v>
      </c>
      <c r="Q12301" s="8">
        <f>+(30+16/60+45/3600)</f>
        <v>30.279166666666665</v>
      </c>
      <c r="R12301" s="8">
        <v>14.9</v>
      </c>
      <c r="S12301" s="8">
        <v>15.8</v>
      </c>
      <c r="T12301" s="8">
        <v>0.9</v>
      </c>
      <c r="U12301" s="8">
        <v>12.7</v>
      </c>
      <c r="V12301" s="8">
        <v>0.5</v>
      </c>
      <c r="W12301" s="8">
        <v>0.3</v>
      </c>
      <c r="X12301" s="8">
        <v>171</v>
      </c>
      <c r="Y12301" s="8" t="s">
        <v>51579</v>
      </c>
      <c r="Z12301" s="8" t="s">
        <v>51580</v>
      </c>
    </row>
    <row r="12302" spans="1:26" x14ac:dyDescent="0.2">
      <c r="A12302" s="8">
        <v>12301</v>
      </c>
      <c r="B12302" s="8" t="s">
        <v>51581</v>
      </c>
      <c r="C12302" s="8" t="s">
        <v>51581</v>
      </c>
      <c r="G12302" s="8">
        <v>20</v>
      </c>
      <c r="H12302" s="8" t="s">
        <v>21</v>
      </c>
      <c r="I12302" s="8" t="s">
        <v>22</v>
      </c>
      <c r="J12302" s="8" t="s">
        <v>22</v>
      </c>
      <c r="K12302" s="8" t="s">
        <v>23</v>
      </c>
      <c r="L12302" s="8" t="s">
        <v>22476</v>
      </c>
      <c r="M12302" s="8" t="s">
        <v>22477</v>
      </c>
      <c r="N12302" s="8" t="s">
        <v>51582</v>
      </c>
      <c r="O12302" s="8">
        <f>14+35/60+0.4/3600</f>
        <v>14.583444444444446</v>
      </c>
      <c r="P12302" s="8" t="s">
        <v>51583</v>
      </c>
      <c r="Q12302" s="8">
        <f>+(26+31/60+55/3600)</f>
        <v>26.531944444444445</v>
      </c>
      <c r="R12302" s="8">
        <v>14.4</v>
      </c>
      <c r="S12302" s="8">
        <v>15.2</v>
      </c>
      <c r="T12302" s="8">
        <v>0.8</v>
      </c>
      <c r="U12302" s="8">
        <v>14.1</v>
      </c>
      <c r="V12302" s="8">
        <v>1.3</v>
      </c>
      <c r="W12302" s="8">
        <v>0.7</v>
      </c>
      <c r="X12302" s="8">
        <v>45</v>
      </c>
      <c r="Y12302" s="8" t="s">
        <v>41033</v>
      </c>
      <c r="Z12302" s="8" t="s">
        <v>41034</v>
      </c>
    </row>
    <row r="12303" spans="1:26" x14ac:dyDescent="0.2">
      <c r="A12303" s="8">
        <v>12302</v>
      </c>
      <c r="B12303" s="8" t="s">
        <v>51584</v>
      </c>
      <c r="C12303" s="8" t="s">
        <v>51584</v>
      </c>
      <c r="G12303" s="8">
        <v>20</v>
      </c>
      <c r="H12303" s="8" t="s">
        <v>21</v>
      </c>
      <c r="I12303" s="8" t="s">
        <v>22</v>
      </c>
      <c r="J12303" s="8" t="s">
        <v>22</v>
      </c>
      <c r="K12303" s="8" t="s">
        <v>37</v>
      </c>
      <c r="L12303" s="8" t="s">
        <v>22476</v>
      </c>
      <c r="M12303" s="8" t="s">
        <v>22477</v>
      </c>
      <c r="N12303" s="8" t="s">
        <v>51585</v>
      </c>
      <c r="O12303" s="8">
        <f>14+35/60+1.9/3600</f>
        <v>14.583861111111112</v>
      </c>
      <c r="P12303" s="8" t="s">
        <v>51586</v>
      </c>
      <c r="Q12303" s="8">
        <f>+(26+32/60+38/3600)</f>
        <v>26.54388888888889</v>
      </c>
      <c r="R12303" s="8">
        <v>15.8</v>
      </c>
      <c r="S12303" s="8">
        <v>16.8</v>
      </c>
      <c r="T12303" s="8">
        <v>1</v>
      </c>
      <c r="U12303" s="8">
        <v>13.1</v>
      </c>
      <c r="V12303" s="8">
        <v>0.3</v>
      </c>
      <c r="W12303" s="8">
        <v>0.3</v>
      </c>
      <c r="Y12303" s="8" t="s">
        <v>895</v>
      </c>
      <c r="Z12303" s="8" t="s">
        <v>896</v>
      </c>
    </row>
    <row r="12304" spans="1:26" x14ac:dyDescent="0.2">
      <c r="A12304" s="8">
        <v>12303</v>
      </c>
      <c r="B12304" s="8" t="s">
        <v>51587</v>
      </c>
      <c r="C12304" s="8" t="s">
        <v>51587</v>
      </c>
      <c r="G12304" s="8">
        <v>20</v>
      </c>
      <c r="H12304" s="8" t="s">
        <v>21</v>
      </c>
      <c r="I12304" s="8" t="s">
        <v>22</v>
      </c>
      <c r="J12304" s="8" t="s">
        <v>22</v>
      </c>
      <c r="K12304" s="8" t="s">
        <v>460</v>
      </c>
      <c r="L12304" s="8" t="s">
        <v>22476</v>
      </c>
      <c r="M12304" s="8" t="s">
        <v>22477</v>
      </c>
      <c r="N12304" s="8" t="s">
        <v>51588</v>
      </c>
      <c r="O12304" s="8">
        <f>14+35/60+49/3600</f>
        <v>14.596944444444444</v>
      </c>
      <c r="P12304" s="8" t="s">
        <v>51589</v>
      </c>
      <c r="Q12304" s="8">
        <f>+(16+1/60+10/3600)</f>
        <v>16.019444444444442</v>
      </c>
      <c r="R12304" s="8">
        <v>14.1</v>
      </c>
      <c r="S12304" s="8">
        <v>15.1</v>
      </c>
      <c r="T12304" s="8">
        <v>1</v>
      </c>
      <c r="U12304" s="8">
        <v>12.2</v>
      </c>
      <c r="V12304" s="8">
        <v>0.4</v>
      </c>
      <c r="W12304" s="8">
        <v>0.4</v>
      </c>
      <c r="Y12304" s="8" t="s">
        <v>2181</v>
      </c>
      <c r="Z12304" s="8" t="s">
        <v>2182</v>
      </c>
    </row>
    <row r="12305" spans="1:26" x14ac:dyDescent="0.2">
      <c r="A12305" s="8">
        <v>12304</v>
      </c>
      <c r="B12305" s="8" t="s">
        <v>51590</v>
      </c>
      <c r="C12305" s="8" t="s">
        <v>51590</v>
      </c>
      <c r="G12305" s="8">
        <v>20</v>
      </c>
      <c r="H12305" s="8" t="s">
        <v>21</v>
      </c>
      <c r="I12305" s="8" t="s">
        <v>22</v>
      </c>
      <c r="J12305" s="8" t="s">
        <v>22</v>
      </c>
      <c r="K12305" s="8" t="s">
        <v>224</v>
      </c>
      <c r="L12305" s="8" t="s">
        <v>16195</v>
      </c>
      <c r="M12305" s="8" t="s">
        <v>16196</v>
      </c>
      <c r="N12305" s="8" t="s">
        <v>51591</v>
      </c>
      <c r="O12305" s="8">
        <f>14+37/60+48.9/3600</f>
        <v>14.63025</v>
      </c>
      <c r="P12305" s="8" t="s">
        <v>51592</v>
      </c>
      <c r="Q12305" s="8">
        <f>-(36+52/60+43/3600)</f>
        <v>-36.878611111111113</v>
      </c>
      <c r="R12305" s="8">
        <v>11.8</v>
      </c>
      <c r="S12305" s="8">
        <v>12.8</v>
      </c>
      <c r="T12305" s="8">
        <v>1</v>
      </c>
      <c r="U12305" s="8">
        <v>11.6</v>
      </c>
      <c r="V12305" s="8">
        <v>1.6</v>
      </c>
      <c r="W12305" s="8">
        <v>0.6</v>
      </c>
      <c r="X12305" s="8">
        <v>61</v>
      </c>
      <c r="Y12305" s="8" t="s">
        <v>51593</v>
      </c>
      <c r="Z12305" s="8" t="s">
        <v>51594</v>
      </c>
    </row>
    <row r="12306" spans="1:26" x14ac:dyDescent="0.2">
      <c r="A12306" s="8">
        <v>12305</v>
      </c>
      <c r="B12306" s="8" t="s">
        <v>51595</v>
      </c>
      <c r="C12306" s="8" t="s">
        <v>51595</v>
      </c>
      <c r="G12306" s="8">
        <v>20</v>
      </c>
      <c r="H12306" s="8" t="s">
        <v>21</v>
      </c>
      <c r="I12306" s="8" t="s">
        <v>22</v>
      </c>
      <c r="J12306" s="8" t="s">
        <v>22</v>
      </c>
      <c r="K12306" s="8" t="s">
        <v>449</v>
      </c>
      <c r="L12306" s="8" t="s">
        <v>22476</v>
      </c>
      <c r="M12306" s="8" t="s">
        <v>22477</v>
      </c>
      <c r="N12306" s="8" t="s">
        <v>51596</v>
      </c>
      <c r="O12306" s="8">
        <f>14+35/60+51.1/3600</f>
        <v>14.597527777777778</v>
      </c>
      <c r="P12306" s="8" t="s">
        <v>51597</v>
      </c>
      <c r="Q12306" s="8">
        <f>+(15+34/60+23/3600)</f>
        <v>15.573055555555555</v>
      </c>
      <c r="R12306" s="8">
        <v>15.5</v>
      </c>
      <c r="S12306" s="8">
        <v>16.3</v>
      </c>
      <c r="T12306" s="8">
        <v>0.8</v>
      </c>
      <c r="U12306" s="8">
        <v>11.9</v>
      </c>
      <c r="V12306" s="8">
        <v>0.4</v>
      </c>
      <c r="W12306" s="8">
        <v>0.1</v>
      </c>
      <c r="X12306" s="8">
        <v>80</v>
      </c>
      <c r="Y12306" s="8" t="s">
        <v>51598</v>
      </c>
      <c r="Z12306" s="8" t="s">
        <v>51599</v>
      </c>
    </row>
    <row r="12307" spans="1:26" x14ac:dyDescent="0.2">
      <c r="A12307" s="8">
        <v>12306</v>
      </c>
      <c r="B12307" s="8" t="s">
        <v>51600</v>
      </c>
      <c r="C12307" s="8" t="s">
        <v>51600</v>
      </c>
      <c r="G12307" s="8">
        <v>20</v>
      </c>
      <c r="H12307" s="8" t="s">
        <v>21</v>
      </c>
      <c r="I12307" s="8" t="s">
        <v>22</v>
      </c>
      <c r="J12307" s="8" t="s">
        <v>22</v>
      </c>
      <c r="K12307" s="8" t="s">
        <v>632</v>
      </c>
      <c r="L12307" s="8" t="s">
        <v>22476</v>
      </c>
      <c r="M12307" s="8" t="s">
        <v>22477</v>
      </c>
      <c r="N12307" s="8" t="s">
        <v>51601</v>
      </c>
      <c r="O12307" s="8">
        <f>14+36/60+47.9/3600</f>
        <v>14.613305555555556</v>
      </c>
      <c r="P12307" s="8" t="s">
        <v>51602</v>
      </c>
      <c r="Q12307" s="8">
        <f>+(18+20/60+35/3600)</f>
        <v>18.343055555555555</v>
      </c>
      <c r="R12307" s="8">
        <v>14.6</v>
      </c>
      <c r="S12307" s="8">
        <v>15.5</v>
      </c>
      <c r="T12307" s="8">
        <v>0.9</v>
      </c>
      <c r="U12307" s="8">
        <v>14.4</v>
      </c>
      <c r="V12307" s="8">
        <v>1</v>
      </c>
      <c r="W12307" s="8">
        <v>0.9</v>
      </c>
      <c r="X12307" s="8">
        <v>10</v>
      </c>
      <c r="Y12307" s="8" t="s">
        <v>25337</v>
      </c>
      <c r="Z12307" s="8" t="s">
        <v>25338</v>
      </c>
    </row>
    <row r="12308" spans="1:26" x14ac:dyDescent="0.2">
      <c r="A12308" s="8">
        <v>12307</v>
      </c>
      <c r="B12308" s="8" t="s">
        <v>51603</v>
      </c>
      <c r="C12308" s="8" t="s">
        <v>51603</v>
      </c>
      <c r="G12308" s="8">
        <v>20</v>
      </c>
      <c r="H12308" s="8" t="s">
        <v>21</v>
      </c>
      <c r="I12308" s="8" t="s">
        <v>22</v>
      </c>
      <c r="J12308" s="8" t="s">
        <v>22</v>
      </c>
      <c r="K12308" s="8" t="s">
        <v>460</v>
      </c>
      <c r="L12308" s="8" t="s">
        <v>22476</v>
      </c>
      <c r="M12308" s="8" t="s">
        <v>22477</v>
      </c>
      <c r="N12308" s="8" t="s">
        <v>51604</v>
      </c>
      <c r="O12308" s="8">
        <f>14+36/60+53.6/3600</f>
        <v>14.614888888888888</v>
      </c>
      <c r="P12308" s="8" t="s">
        <v>51605</v>
      </c>
      <c r="Q12308" s="8">
        <f>+(18+22/60+16/3600)</f>
        <v>18.371111111111112</v>
      </c>
      <c r="R12308" s="8">
        <v>15.6</v>
      </c>
      <c r="S12308" s="8">
        <v>16.600000000000001</v>
      </c>
      <c r="T12308" s="8">
        <v>1</v>
      </c>
      <c r="U12308" s="8">
        <v>13.7</v>
      </c>
      <c r="V12308" s="8">
        <v>0.4</v>
      </c>
      <c r="W12308" s="8">
        <v>0.4</v>
      </c>
      <c r="Y12308" s="8" t="s">
        <v>1212</v>
      </c>
      <c r="Z12308" s="8" t="s">
        <v>1213</v>
      </c>
    </row>
    <row r="12309" spans="1:26" x14ac:dyDescent="0.2">
      <c r="A12309" s="8">
        <v>12308</v>
      </c>
      <c r="B12309" s="8" t="s">
        <v>51606</v>
      </c>
      <c r="C12309" s="8" t="s">
        <v>51606</v>
      </c>
      <c r="G12309" s="8">
        <v>20</v>
      </c>
      <c r="H12309" s="8" t="s">
        <v>21</v>
      </c>
      <c r="I12309" s="8" t="s">
        <v>22</v>
      </c>
      <c r="J12309" s="8" t="s">
        <v>22</v>
      </c>
      <c r="K12309" s="8" t="s">
        <v>64</v>
      </c>
      <c r="L12309" s="8" t="s">
        <v>24948</v>
      </c>
      <c r="M12309" s="8" t="s">
        <v>24949</v>
      </c>
      <c r="N12309" s="8" t="s">
        <v>51607</v>
      </c>
      <c r="O12309" s="8">
        <f>14+38/60+26.8/3600</f>
        <v>14.640777777777778</v>
      </c>
      <c r="P12309" s="8" t="s">
        <v>51608</v>
      </c>
      <c r="Q12309" s="8">
        <f>-(22+22/60+2/3600)</f>
        <v>-22.367222222222221</v>
      </c>
      <c r="R12309" s="8">
        <v>12.9</v>
      </c>
      <c r="S12309" s="8">
        <v>13.6</v>
      </c>
      <c r="T12309" s="8">
        <v>0.7</v>
      </c>
      <c r="U12309" s="8">
        <v>13.1</v>
      </c>
      <c r="V12309" s="8">
        <v>2.2000000000000002</v>
      </c>
      <c r="W12309" s="8">
        <v>0.7</v>
      </c>
      <c r="X12309" s="8">
        <v>155</v>
      </c>
      <c r="Y12309" s="8" t="s">
        <v>51609</v>
      </c>
      <c r="Z12309" s="8" t="s">
        <v>51610</v>
      </c>
    </row>
    <row r="12310" spans="1:26" x14ac:dyDescent="0.2">
      <c r="A12310" s="8">
        <v>12309</v>
      </c>
      <c r="B12310" s="8" t="s">
        <v>51611</v>
      </c>
      <c r="C12310" s="8" t="s">
        <v>51611</v>
      </c>
      <c r="G12310" s="8">
        <v>20</v>
      </c>
      <c r="H12310" s="8" t="s">
        <v>21</v>
      </c>
      <c r="I12310" s="8" t="s">
        <v>22</v>
      </c>
      <c r="J12310" s="8" t="s">
        <v>22</v>
      </c>
      <c r="K12310" s="8" t="s">
        <v>160</v>
      </c>
      <c r="L12310" s="8" t="s">
        <v>22476</v>
      </c>
      <c r="M12310" s="8" t="s">
        <v>22477</v>
      </c>
      <c r="N12310" s="8" t="s">
        <v>51612</v>
      </c>
      <c r="O12310" s="8">
        <f>14+37/60+20.6/3600</f>
        <v>14.622388888888889</v>
      </c>
      <c r="P12310" s="8" t="s">
        <v>51613</v>
      </c>
      <c r="Q12310" s="8">
        <f>+(18+14/60+56/3600)</f>
        <v>18.248888888888889</v>
      </c>
      <c r="R12310" s="8">
        <v>14.9</v>
      </c>
      <c r="S12310" s="8">
        <v>15.6</v>
      </c>
      <c r="T12310" s="8">
        <v>0.7</v>
      </c>
      <c r="U12310" s="8">
        <v>13.5</v>
      </c>
      <c r="V12310" s="8">
        <v>1.6</v>
      </c>
      <c r="W12310" s="8">
        <v>0.2</v>
      </c>
      <c r="X12310" s="8">
        <v>110</v>
      </c>
      <c r="Y12310" s="8" t="s">
        <v>51614</v>
      </c>
      <c r="Z12310" s="8" t="s">
        <v>51615</v>
      </c>
    </row>
    <row r="12311" spans="1:26" x14ac:dyDescent="0.2">
      <c r="A12311" s="8">
        <v>12310</v>
      </c>
      <c r="B12311" s="8" t="s">
        <v>51616</v>
      </c>
      <c r="C12311" s="8" t="s">
        <v>51616</v>
      </c>
      <c r="G12311" s="8">
        <v>20</v>
      </c>
      <c r="H12311" s="8" t="s">
        <v>21</v>
      </c>
      <c r="I12311" s="8" t="s">
        <v>22</v>
      </c>
      <c r="J12311" s="8" t="s">
        <v>22</v>
      </c>
      <c r="K12311" s="8" t="s">
        <v>476</v>
      </c>
      <c r="L12311" s="8" t="s">
        <v>14586</v>
      </c>
      <c r="M12311" s="8" t="s">
        <v>14587</v>
      </c>
      <c r="N12311" s="8" t="s">
        <v>51617</v>
      </c>
      <c r="O12311" s="8">
        <f>14+28/60+22.8/3600</f>
        <v>14.473000000000001</v>
      </c>
      <c r="P12311" s="8" t="s">
        <v>51618</v>
      </c>
      <c r="Q12311" s="8">
        <f>+(78+53/60+10/3600)</f>
        <v>78.88611111111112</v>
      </c>
      <c r="R12311" s="8">
        <v>14.4</v>
      </c>
      <c r="S12311" s="8">
        <v>15.2</v>
      </c>
      <c r="T12311" s="8">
        <v>0.8</v>
      </c>
      <c r="U12311" s="8">
        <v>12.5</v>
      </c>
      <c r="V12311" s="8">
        <v>1</v>
      </c>
      <c r="W12311" s="8">
        <v>0.2</v>
      </c>
      <c r="X12311" s="8">
        <v>85</v>
      </c>
      <c r="Y12311" s="8" t="s">
        <v>51619</v>
      </c>
      <c r="Z12311" s="8" t="s">
        <v>51620</v>
      </c>
    </row>
    <row r="12312" spans="1:26" x14ac:dyDescent="0.2">
      <c r="A12312" s="8">
        <v>12311</v>
      </c>
      <c r="B12312" s="8" t="s">
        <v>51621</v>
      </c>
      <c r="C12312" s="8" t="s">
        <v>51621</v>
      </c>
      <c r="G12312" s="8">
        <v>20</v>
      </c>
      <c r="H12312" s="8" t="s">
        <v>21</v>
      </c>
      <c r="I12312" s="8" t="s">
        <v>22</v>
      </c>
      <c r="J12312" s="8" t="s">
        <v>57</v>
      </c>
      <c r="K12312" s="8" t="s">
        <v>23</v>
      </c>
      <c r="L12312" s="8" t="s">
        <v>22476</v>
      </c>
      <c r="M12312" s="8" t="s">
        <v>22477</v>
      </c>
      <c r="N12312" s="8" t="s">
        <v>25400</v>
      </c>
      <c r="O12312" s="8">
        <f>14+36/60+32/3600</f>
        <v>14.608888888888888</v>
      </c>
      <c r="P12312" s="8" t="s">
        <v>1070</v>
      </c>
      <c r="Q12312" s="8">
        <f>+(41+41/60+7/3600)</f>
        <v>41.685277777777777</v>
      </c>
      <c r="R12312" s="8">
        <v>13.8</v>
      </c>
      <c r="S12312" s="8">
        <v>14.6</v>
      </c>
      <c r="T12312" s="8">
        <v>0.8</v>
      </c>
      <c r="U12312" s="8">
        <v>13.4</v>
      </c>
      <c r="V12312" s="8">
        <v>1.1000000000000001</v>
      </c>
      <c r="W12312" s="8">
        <v>0.7</v>
      </c>
      <c r="X12312" s="8">
        <v>21</v>
      </c>
      <c r="Y12312" s="8" t="s">
        <v>51622</v>
      </c>
      <c r="Z12312" s="8" t="s">
        <v>1695</v>
      </c>
    </row>
    <row r="12313" spans="1:26" x14ac:dyDescent="0.2">
      <c r="A12313" s="8">
        <v>12312</v>
      </c>
      <c r="B12313" s="8" t="s">
        <v>51623</v>
      </c>
      <c r="C12313" s="8" t="s">
        <v>51623</v>
      </c>
      <c r="G12313" s="8">
        <v>20</v>
      </c>
      <c r="H12313" s="8" t="s">
        <v>21</v>
      </c>
      <c r="I12313" s="8" t="s">
        <v>22</v>
      </c>
      <c r="J12313" s="8" t="s">
        <v>22</v>
      </c>
      <c r="K12313" s="8" t="s">
        <v>160</v>
      </c>
      <c r="L12313" s="8" t="s">
        <v>24674</v>
      </c>
      <c r="M12313" s="8" t="s">
        <v>24675</v>
      </c>
      <c r="N12313" s="8" t="s">
        <v>51624</v>
      </c>
      <c r="O12313" s="8">
        <f>14+40/60+10.5/3600</f>
        <v>14.669583333333332</v>
      </c>
      <c r="P12313" s="8" t="s">
        <v>51625</v>
      </c>
      <c r="Q12313" s="8">
        <f>-(44+18/60+56/3600)</f>
        <v>-44.315555555555555</v>
      </c>
      <c r="R12313" s="8">
        <v>12.9</v>
      </c>
      <c r="S12313" s="8">
        <v>13.6</v>
      </c>
      <c r="T12313" s="8">
        <v>0.7</v>
      </c>
      <c r="U12313" s="8">
        <v>12.8</v>
      </c>
      <c r="V12313" s="8">
        <v>2.2000000000000002</v>
      </c>
      <c r="W12313" s="8">
        <v>0.5</v>
      </c>
      <c r="X12313" s="8">
        <v>0</v>
      </c>
      <c r="Y12313" s="8" t="s">
        <v>51626</v>
      </c>
      <c r="Z12313" s="8" t="s">
        <v>51627</v>
      </c>
    </row>
    <row r="12314" spans="1:26" x14ac:dyDescent="0.2">
      <c r="A12314" s="8">
        <v>12313</v>
      </c>
      <c r="B12314" s="8" t="s">
        <v>51628</v>
      </c>
      <c r="C12314" s="8" t="s">
        <v>51628</v>
      </c>
      <c r="E12314" s="8">
        <v>1</v>
      </c>
      <c r="G12314" s="8">
        <v>20</v>
      </c>
      <c r="H12314" s="8" t="s">
        <v>21</v>
      </c>
      <c r="I12314" s="8" t="s">
        <v>22</v>
      </c>
      <c r="J12314" s="8" t="s">
        <v>22</v>
      </c>
      <c r="K12314" s="8" t="s">
        <v>449</v>
      </c>
      <c r="L12314" s="8" t="s">
        <v>22476</v>
      </c>
      <c r="M12314" s="8" t="s">
        <v>22477</v>
      </c>
      <c r="N12314" s="8" t="s">
        <v>51629</v>
      </c>
      <c r="O12314" s="8">
        <f>14+37/60+54/3600</f>
        <v>14.631666666666668</v>
      </c>
      <c r="P12314" s="8" t="s">
        <v>51630</v>
      </c>
      <c r="Q12314" s="8">
        <f>+(15+51/60+49/3600)</f>
        <v>15.86361111111111</v>
      </c>
      <c r="R12314" s="8">
        <v>14.7</v>
      </c>
      <c r="S12314" s="8">
        <v>15.5</v>
      </c>
      <c r="T12314" s="8">
        <v>0.8</v>
      </c>
      <c r="U12314" s="8">
        <v>13.2</v>
      </c>
      <c r="V12314" s="8">
        <v>0.7</v>
      </c>
      <c r="W12314" s="8">
        <v>0.4</v>
      </c>
      <c r="X12314" s="8">
        <v>5</v>
      </c>
      <c r="Y12314" s="8" t="s">
        <v>51631</v>
      </c>
      <c r="Z12314" s="8" t="s">
        <v>51632</v>
      </c>
    </row>
    <row r="12315" spans="1:26" x14ac:dyDescent="0.2">
      <c r="A12315" s="8">
        <v>12314</v>
      </c>
      <c r="B12315" s="8" t="s">
        <v>51633</v>
      </c>
      <c r="C12315" s="8" t="s">
        <v>51633</v>
      </c>
      <c r="G12315" s="8">
        <v>20</v>
      </c>
      <c r="H12315" s="8" t="s">
        <v>21</v>
      </c>
      <c r="I12315" s="8" t="s">
        <v>22</v>
      </c>
      <c r="J12315" s="8" t="s">
        <v>22</v>
      </c>
      <c r="K12315" s="8" t="s">
        <v>37986</v>
      </c>
      <c r="L12315" s="8" t="s">
        <v>22476</v>
      </c>
      <c r="M12315" s="8" t="s">
        <v>22477</v>
      </c>
      <c r="N12315" s="8" t="s">
        <v>51634</v>
      </c>
      <c r="O12315" s="8">
        <f>14+38/60+22.4/3600</f>
        <v>14.639555555555555</v>
      </c>
      <c r="P12315" s="8" t="s">
        <v>51635</v>
      </c>
      <c r="Q12315" s="8">
        <f>+(23+25/60+44/3600)</f>
        <v>23.428888888888888</v>
      </c>
      <c r="R12315" s="8">
        <v>15.2</v>
      </c>
      <c r="S12315" s="8">
        <v>16</v>
      </c>
      <c r="T12315" s="8">
        <v>0.8</v>
      </c>
      <c r="U12315" s="8">
        <v>13.5</v>
      </c>
      <c r="V12315" s="8">
        <v>0.6</v>
      </c>
      <c r="W12315" s="8">
        <v>0.4</v>
      </c>
      <c r="X12315" s="8">
        <v>50</v>
      </c>
      <c r="Y12315" s="8" t="s">
        <v>41541</v>
      </c>
      <c r="Z12315" s="8" t="s">
        <v>41542</v>
      </c>
    </row>
    <row r="12316" spans="1:26" x14ac:dyDescent="0.2">
      <c r="A12316" s="8">
        <v>12315</v>
      </c>
      <c r="B12316" s="8" t="s">
        <v>51636</v>
      </c>
      <c r="C12316" s="8" t="s">
        <v>51636</v>
      </c>
      <c r="G12316" s="8">
        <v>20</v>
      </c>
      <c r="H12316" s="8" t="s">
        <v>21</v>
      </c>
      <c r="I12316" s="8" t="s">
        <v>22</v>
      </c>
      <c r="J12316" s="8" t="s">
        <v>22</v>
      </c>
      <c r="K12316" s="8" t="s">
        <v>37</v>
      </c>
      <c r="L12316" s="8" t="s">
        <v>22476</v>
      </c>
      <c r="M12316" s="8" t="s">
        <v>22477</v>
      </c>
      <c r="N12316" s="8" t="s">
        <v>51637</v>
      </c>
      <c r="O12316" s="8">
        <f>14+38/60+23.2/3600</f>
        <v>14.639777777777777</v>
      </c>
      <c r="P12316" s="8" t="s">
        <v>51638</v>
      </c>
      <c r="Q12316" s="8">
        <f>+(23+20/60+3/3600)</f>
        <v>23.334166666666665</v>
      </c>
      <c r="R12316" s="8">
        <v>13.8</v>
      </c>
      <c r="S12316" s="8">
        <v>14.8</v>
      </c>
      <c r="T12316" s="8">
        <v>1</v>
      </c>
      <c r="U12316" s="8">
        <v>13.3</v>
      </c>
      <c r="V12316" s="8">
        <v>0.9</v>
      </c>
      <c r="W12316" s="8">
        <v>0.8</v>
      </c>
      <c r="X12316" s="8">
        <v>174</v>
      </c>
      <c r="Y12316" s="8" t="s">
        <v>51033</v>
      </c>
      <c r="Z12316" s="8" t="s">
        <v>51034</v>
      </c>
    </row>
    <row r="12317" spans="1:26" x14ac:dyDescent="0.2">
      <c r="A12317" s="8">
        <v>12316</v>
      </c>
      <c r="B12317" s="8" t="s">
        <v>51639</v>
      </c>
      <c r="C12317" s="8" t="s">
        <v>51639</v>
      </c>
      <c r="G12317" s="8">
        <v>20</v>
      </c>
      <c r="H12317" s="8" t="s">
        <v>21</v>
      </c>
      <c r="I12317" s="8" t="s">
        <v>22</v>
      </c>
      <c r="J12317" s="8" t="s">
        <v>22</v>
      </c>
      <c r="K12317" s="8" t="s">
        <v>382</v>
      </c>
      <c r="L12317" s="8" t="s">
        <v>24948</v>
      </c>
      <c r="M12317" s="8" t="s">
        <v>24949</v>
      </c>
      <c r="N12317" s="8" t="s">
        <v>51640</v>
      </c>
      <c r="O12317" s="8">
        <f>14+39/60+51.8/3600</f>
        <v>14.664388888888888</v>
      </c>
      <c r="P12317" s="8" t="s">
        <v>51641</v>
      </c>
      <c r="Q12317" s="8">
        <f>-(16+14/60+41/3600)</f>
        <v>-16.244722222222222</v>
      </c>
      <c r="R12317" s="8">
        <v>14.3</v>
      </c>
      <c r="S12317" s="8">
        <v>15.3</v>
      </c>
      <c r="T12317" s="8">
        <v>1</v>
      </c>
      <c r="U12317" s="8">
        <v>12.8</v>
      </c>
      <c r="V12317" s="8">
        <v>0.6</v>
      </c>
      <c r="W12317" s="8">
        <v>0.4</v>
      </c>
      <c r="X12317" s="8">
        <v>170</v>
      </c>
      <c r="Y12317" s="8" t="s">
        <v>51642</v>
      </c>
      <c r="Z12317" s="8" t="s">
        <v>51643</v>
      </c>
    </row>
    <row r="12318" spans="1:26" x14ac:dyDescent="0.2">
      <c r="A12318" s="8">
        <v>12317</v>
      </c>
      <c r="B12318" s="8" t="s">
        <v>51644</v>
      </c>
      <c r="C12318" s="8" t="s">
        <v>51644</v>
      </c>
      <c r="G12318" s="8">
        <v>20</v>
      </c>
      <c r="H12318" s="8" t="s">
        <v>21</v>
      </c>
      <c r="I12318" s="8" t="s">
        <v>22</v>
      </c>
      <c r="J12318" s="8" t="s">
        <v>22</v>
      </c>
      <c r="K12318" s="8" t="s">
        <v>218</v>
      </c>
      <c r="L12318" s="8" t="s">
        <v>22476</v>
      </c>
      <c r="M12318" s="8" t="s">
        <v>22477</v>
      </c>
      <c r="N12318" s="8" t="s">
        <v>51645</v>
      </c>
      <c r="O12318" s="8">
        <f>14+38/60+35.3/3600</f>
        <v>14.643138888888888</v>
      </c>
      <c r="P12318" s="8" t="s">
        <v>51646</v>
      </c>
      <c r="Q12318" s="8">
        <f>+(28+27/60+32/3600)</f>
        <v>28.45888888888889</v>
      </c>
      <c r="R12318" s="8">
        <v>14.8</v>
      </c>
      <c r="S12318" s="8">
        <v>15.6</v>
      </c>
      <c r="T12318" s="8">
        <v>0.8</v>
      </c>
      <c r="U12318" s="8">
        <v>12.6</v>
      </c>
      <c r="V12318" s="8">
        <v>0.5</v>
      </c>
      <c r="W12318" s="8">
        <v>0.3</v>
      </c>
      <c r="X12318" s="8">
        <v>10</v>
      </c>
      <c r="Y12318" s="8" t="s">
        <v>51647</v>
      </c>
      <c r="Z12318" s="8" t="s">
        <v>51648</v>
      </c>
    </row>
    <row r="12319" spans="1:26" x14ac:dyDescent="0.2">
      <c r="A12319" s="8">
        <v>12318</v>
      </c>
      <c r="B12319" s="8" t="s">
        <v>51649</v>
      </c>
      <c r="C12319" s="8" t="s">
        <v>51649</v>
      </c>
      <c r="G12319" s="8">
        <v>20</v>
      </c>
      <c r="H12319" s="8" t="s">
        <v>21</v>
      </c>
      <c r="I12319" s="8" t="s">
        <v>22</v>
      </c>
      <c r="J12319" s="8" t="s">
        <v>22</v>
      </c>
      <c r="K12319" s="8" t="s">
        <v>382</v>
      </c>
      <c r="L12319" s="8" t="s">
        <v>22476</v>
      </c>
      <c r="M12319" s="8" t="s">
        <v>22477</v>
      </c>
      <c r="N12319" s="8" t="s">
        <v>51650</v>
      </c>
      <c r="O12319" s="8">
        <f>14+39/60+12.6/3600</f>
        <v>14.653500000000001</v>
      </c>
      <c r="P12319" s="8" t="s">
        <v>51651</v>
      </c>
      <c r="Q12319" s="8">
        <f>+(15+52/60+41/3600)</f>
        <v>15.878055555555555</v>
      </c>
      <c r="R12319" s="8">
        <v>14.3</v>
      </c>
      <c r="S12319" s="8">
        <v>15.3</v>
      </c>
      <c r="T12319" s="8">
        <v>1</v>
      </c>
      <c r="U12319" s="8">
        <v>12.8</v>
      </c>
      <c r="V12319" s="8">
        <v>0.6</v>
      </c>
      <c r="W12319" s="8">
        <v>0.4</v>
      </c>
      <c r="X12319" s="8">
        <v>24</v>
      </c>
      <c r="Y12319" s="8" t="s">
        <v>46249</v>
      </c>
      <c r="Z12319" s="8" t="s">
        <v>46250</v>
      </c>
    </row>
    <row r="12320" spans="1:26" x14ac:dyDescent="0.2">
      <c r="A12320" s="8">
        <v>12319</v>
      </c>
      <c r="B12320" s="8" t="s">
        <v>51652</v>
      </c>
      <c r="C12320" s="8" t="s">
        <v>51652</v>
      </c>
      <c r="G12320" s="8">
        <v>20</v>
      </c>
      <c r="H12320" s="8" t="s">
        <v>21</v>
      </c>
      <c r="I12320" s="8" t="s">
        <v>22</v>
      </c>
      <c r="J12320" s="8" t="s">
        <v>22</v>
      </c>
      <c r="K12320" s="8" t="s">
        <v>579</v>
      </c>
      <c r="L12320" s="8" t="s">
        <v>22476</v>
      </c>
      <c r="M12320" s="8" t="s">
        <v>22477</v>
      </c>
      <c r="N12320" s="8" t="s">
        <v>51653</v>
      </c>
      <c r="O12320" s="8">
        <f>14+38/60+45.9/3600</f>
        <v>14.646083333333333</v>
      </c>
      <c r="P12320" s="8" t="s">
        <v>51654</v>
      </c>
      <c r="Q12320" s="8">
        <f>+(28+30/60+21/3600)</f>
        <v>28.505833333333332</v>
      </c>
      <c r="R12320" s="8">
        <v>13.4</v>
      </c>
      <c r="S12320" s="8">
        <v>14.1</v>
      </c>
      <c r="T12320" s="8">
        <v>0.7</v>
      </c>
      <c r="U12320" s="8">
        <v>13.8</v>
      </c>
      <c r="V12320" s="8">
        <v>1.3</v>
      </c>
      <c r="W12320" s="8">
        <v>1.3</v>
      </c>
      <c r="Y12320" s="8" t="s">
        <v>51655</v>
      </c>
      <c r="Z12320" s="8" t="s">
        <v>51656</v>
      </c>
    </row>
    <row r="12321" spans="1:26" x14ac:dyDescent="0.2">
      <c r="A12321" s="8">
        <v>12320</v>
      </c>
      <c r="B12321" s="8" t="s">
        <v>51657</v>
      </c>
      <c r="C12321" s="8" t="s">
        <v>51657</v>
      </c>
      <c r="G12321" s="8">
        <v>20</v>
      </c>
      <c r="H12321" s="8" t="s">
        <v>21</v>
      </c>
      <c r="I12321" s="8" t="s">
        <v>22</v>
      </c>
      <c r="J12321" s="8" t="s">
        <v>22</v>
      </c>
      <c r="K12321" s="8" t="s">
        <v>424</v>
      </c>
      <c r="L12321" s="8" t="s">
        <v>22476</v>
      </c>
      <c r="M12321" s="8" t="s">
        <v>22477</v>
      </c>
      <c r="N12321" s="8" t="s">
        <v>51658</v>
      </c>
      <c r="O12321" s="8">
        <f>14+39/60+45.6/3600</f>
        <v>14.662666666666667</v>
      </c>
      <c r="P12321" s="8" t="s">
        <v>51659</v>
      </c>
      <c r="Q12321" s="8">
        <f>+(18+29/60+32/3600)</f>
        <v>18.492222222222225</v>
      </c>
      <c r="R12321" s="8">
        <v>14.6</v>
      </c>
      <c r="S12321" s="8">
        <v>15.4</v>
      </c>
      <c r="T12321" s="8">
        <v>0.8</v>
      </c>
      <c r="U12321" s="8">
        <v>12.9</v>
      </c>
      <c r="V12321" s="8">
        <v>0.5</v>
      </c>
      <c r="W12321" s="8">
        <v>0.5</v>
      </c>
      <c r="Y12321" s="8" t="s">
        <v>51660</v>
      </c>
      <c r="Z12321" s="8" t="s">
        <v>51661</v>
      </c>
    </row>
    <row r="12322" spans="1:26" x14ac:dyDescent="0.2">
      <c r="A12322" s="8">
        <v>12321</v>
      </c>
      <c r="B12322" s="8" t="s">
        <v>51662</v>
      </c>
      <c r="C12322" s="8" t="s">
        <v>51662</v>
      </c>
      <c r="G12322" s="8">
        <v>20</v>
      </c>
      <c r="H12322" s="8" t="s">
        <v>21</v>
      </c>
      <c r="I12322" s="8" t="s">
        <v>22</v>
      </c>
      <c r="J12322" s="8" t="s">
        <v>22</v>
      </c>
      <c r="K12322" s="8" t="s">
        <v>449</v>
      </c>
      <c r="L12322" s="8" t="s">
        <v>22476</v>
      </c>
      <c r="M12322" s="8" t="s">
        <v>22477</v>
      </c>
      <c r="N12322" s="8" t="s">
        <v>51663</v>
      </c>
      <c r="O12322" s="8">
        <f>14+40/60+10.1/3600</f>
        <v>14.669472222222222</v>
      </c>
      <c r="P12322" s="8" t="s">
        <v>51664</v>
      </c>
      <c r="Q12322" s="8">
        <f>+(16+8/60+30/3600)</f>
        <v>16.141666666666666</v>
      </c>
      <c r="R12322" s="8">
        <v>15.7</v>
      </c>
      <c r="S12322" s="8">
        <v>16.5</v>
      </c>
      <c r="T12322" s="8">
        <v>0.8</v>
      </c>
      <c r="U12322" s="8">
        <v>12.5</v>
      </c>
      <c r="V12322" s="8">
        <v>0.3</v>
      </c>
      <c r="W12322" s="8">
        <v>0.2</v>
      </c>
      <c r="X12322" s="8">
        <v>85</v>
      </c>
      <c r="Y12322" s="8" t="s">
        <v>51665</v>
      </c>
      <c r="Z12322" s="8" t="s">
        <v>34790</v>
      </c>
    </row>
    <row r="12323" spans="1:26" x14ac:dyDescent="0.2">
      <c r="A12323" s="8">
        <v>12322</v>
      </c>
      <c r="B12323" s="8" t="s">
        <v>51666</v>
      </c>
      <c r="C12323" s="8" t="s">
        <v>51666</v>
      </c>
      <c r="G12323" s="8">
        <v>20</v>
      </c>
      <c r="H12323" s="8" t="s">
        <v>21</v>
      </c>
      <c r="I12323" s="8" t="s">
        <v>22</v>
      </c>
      <c r="J12323" s="8" t="s">
        <v>22</v>
      </c>
      <c r="K12323" s="8" t="s">
        <v>17644</v>
      </c>
      <c r="L12323" s="8" t="s">
        <v>22476</v>
      </c>
      <c r="M12323" s="8" t="s">
        <v>22477</v>
      </c>
      <c r="N12323" s="8" t="s">
        <v>51667</v>
      </c>
      <c r="O12323" s="8">
        <f>14+40/60+12.4/3600</f>
        <v>14.67011111111111</v>
      </c>
      <c r="P12323" s="8" t="s">
        <v>51668</v>
      </c>
      <c r="Q12323" s="8">
        <f>+(18+56/60+37/3600)</f>
        <v>18.94361111111111</v>
      </c>
      <c r="R12323" s="8">
        <v>15.1</v>
      </c>
      <c r="S12323" s="8">
        <v>16.2</v>
      </c>
      <c r="T12323" s="8">
        <v>1.1000000000000001</v>
      </c>
      <c r="U12323" s="8">
        <v>13.4</v>
      </c>
      <c r="V12323" s="8">
        <v>0.6</v>
      </c>
      <c r="W12323" s="8">
        <v>0.4</v>
      </c>
      <c r="X12323" s="8">
        <v>9</v>
      </c>
      <c r="Y12323" s="8" t="s">
        <v>895</v>
      </c>
      <c r="Z12323" s="8" t="s">
        <v>896</v>
      </c>
    </row>
    <row r="12324" spans="1:26" x14ac:dyDescent="0.2">
      <c r="A12324" s="8">
        <v>12323</v>
      </c>
      <c r="B12324" s="8" t="s">
        <v>51669</v>
      </c>
      <c r="C12324" s="8" t="s">
        <v>51669</v>
      </c>
      <c r="G12324" s="8">
        <v>20</v>
      </c>
      <c r="H12324" s="8" t="s">
        <v>21</v>
      </c>
      <c r="I12324" s="8" t="s">
        <v>22</v>
      </c>
      <c r="J12324" s="8" t="s">
        <v>22</v>
      </c>
      <c r="K12324" s="8" t="s">
        <v>23</v>
      </c>
      <c r="L12324" s="8" t="s">
        <v>22476</v>
      </c>
      <c r="M12324" s="8" t="s">
        <v>22477</v>
      </c>
      <c r="N12324" s="8" t="s">
        <v>51670</v>
      </c>
      <c r="O12324" s="8">
        <f>14+40/60+19.4/3600</f>
        <v>14.672055555555556</v>
      </c>
      <c r="P12324" s="8" t="s">
        <v>51671</v>
      </c>
      <c r="Q12324" s="8">
        <f>+(16+41/60+6/3600)</f>
        <v>16.684999999999999</v>
      </c>
      <c r="R12324" s="8">
        <v>13.9</v>
      </c>
      <c r="S12324" s="8">
        <v>14.7</v>
      </c>
      <c r="T12324" s="8">
        <v>0.8</v>
      </c>
      <c r="U12324" s="8">
        <v>13.4</v>
      </c>
      <c r="V12324" s="8">
        <v>1.5</v>
      </c>
      <c r="W12324" s="8">
        <v>0.5</v>
      </c>
      <c r="X12324" s="8">
        <v>26</v>
      </c>
      <c r="Y12324" s="8" t="s">
        <v>51672</v>
      </c>
      <c r="Z12324" s="8" t="s">
        <v>51673</v>
      </c>
    </row>
    <row r="12325" spans="1:26" x14ac:dyDescent="0.2">
      <c r="A12325" s="8">
        <v>12324</v>
      </c>
      <c r="B12325" s="8" t="s">
        <v>51674</v>
      </c>
      <c r="C12325" s="8" t="s">
        <v>51674</v>
      </c>
      <c r="G12325" s="8">
        <v>20</v>
      </c>
      <c r="H12325" s="8" t="s">
        <v>21</v>
      </c>
      <c r="I12325" s="8" t="s">
        <v>22</v>
      </c>
      <c r="J12325" s="8" t="s">
        <v>22</v>
      </c>
      <c r="K12325" s="8" t="s">
        <v>160</v>
      </c>
      <c r="L12325" s="8" t="s">
        <v>25025</v>
      </c>
      <c r="M12325" s="8" t="s">
        <v>25026</v>
      </c>
      <c r="N12325" s="8" t="s">
        <v>51675</v>
      </c>
      <c r="O12325" s="8">
        <f>14+47/60+44.9/3600</f>
        <v>14.795805555555555</v>
      </c>
      <c r="P12325" s="8" t="s">
        <v>51676</v>
      </c>
      <c r="Q12325" s="8">
        <f>-(73+18/60+25/3600)</f>
        <v>-73.30694444444444</v>
      </c>
      <c r="R12325" s="8">
        <v>14</v>
      </c>
      <c r="S12325" s="8">
        <v>14.7</v>
      </c>
      <c r="T12325" s="8">
        <v>0.7</v>
      </c>
      <c r="U12325" s="8">
        <v>13.6</v>
      </c>
      <c r="V12325" s="8">
        <v>2.6</v>
      </c>
      <c r="W12325" s="8">
        <v>0.3</v>
      </c>
      <c r="X12325" s="8">
        <v>132</v>
      </c>
      <c r="Y12325" s="8" t="s">
        <v>51677</v>
      </c>
      <c r="Z12325" s="8" t="s">
        <v>51678</v>
      </c>
    </row>
    <row r="12326" spans="1:26" x14ac:dyDescent="0.2">
      <c r="A12326" s="8">
        <v>12325</v>
      </c>
      <c r="B12326" s="8" t="s">
        <v>51679</v>
      </c>
      <c r="C12326" s="8" t="s">
        <v>51679</v>
      </c>
      <c r="G12326" s="8">
        <v>20</v>
      </c>
      <c r="H12326" s="8" t="s">
        <v>21</v>
      </c>
      <c r="I12326" s="8" t="s">
        <v>22</v>
      </c>
      <c r="J12326" s="8" t="s">
        <v>22</v>
      </c>
      <c r="K12326" s="8" t="s">
        <v>23</v>
      </c>
      <c r="L12326" s="8" t="s">
        <v>22476</v>
      </c>
      <c r="M12326" s="8" t="s">
        <v>22477</v>
      </c>
      <c r="N12326" s="8" t="s">
        <v>51680</v>
      </c>
      <c r="O12326" s="8">
        <f>14+40/60+31.4/3600</f>
        <v>14.675388888888888</v>
      </c>
      <c r="P12326" s="8" t="s">
        <v>51681</v>
      </c>
      <c r="Q12326" s="8">
        <f>+(28+40/60+10/3600)</f>
        <v>28.669444444444444</v>
      </c>
      <c r="R12326" s="8">
        <v>14.8</v>
      </c>
      <c r="S12326" s="8">
        <v>15.6</v>
      </c>
      <c r="T12326" s="8">
        <v>0.8</v>
      </c>
      <c r="U12326" s="8">
        <v>13.1</v>
      </c>
      <c r="V12326" s="8">
        <v>0.6</v>
      </c>
      <c r="W12326" s="8">
        <v>0.4</v>
      </c>
      <c r="Y12326" s="8" t="s">
        <v>33652</v>
      </c>
      <c r="Z12326" s="8" t="s">
        <v>33653</v>
      </c>
    </row>
    <row r="12327" spans="1:26" x14ac:dyDescent="0.2">
      <c r="A12327" s="8">
        <v>12326</v>
      </c>
      <c r="B12327" s="8" t="s">
        <v>51682</v>
      </c>
      <c r="C12327" s="8" t="s">
        <v>51682</v>
      </c>
      <c r="G12327" s="8">
        <v>20</v>
      </c>
      <c r="H12327" s="8" t="s">
        <v>21</v>
      </c>
      <c r="I12327" s="8" t="s">
        <v>22</v>
      </c>
      <c r="J12327" s="8" t="s">
        <v>22</v>
      </c>
      <c r="K12327" s="8" t="s">
        <v>449</v>
      </c>
      <c r="L12327" s="8" t="s">
        <v>22476</v>
      </c>
      <c r="M12327" s="8" t="s">
        <v>22477</v>
      </c>
      <c r="N12327" s="8" t="s">
        <v>51683</v>
      </c>
      <c r="O12327" s="8">
        <f>14+41/60+40.7/3600</f>
        <v>14.694638888888889</v>
      </c>
      <c r="P12327" s="8" t="s">
        <v>51684</v>
      </c>
      <c r="Q12327" s="8">
        <f>+(18+33/60+27/3600)</f>
        <v>18.557500000000001</v>
      </c>
      <c r="R12327" s="8">
        <v>14.4</v>
      </c>
      <c r="S12327" s="8">
        <v>15.2</v>
      </c>
      <c r="T12327" s="8">
        <v>0.8</v>
      </c>
      <c r="U12327" s="8">
        <v>11.5</v>
      </c>
      <c r="V12327" s="8">
        <v>0.4</v>
      </c>
      <c r="W12327" s="8">
        <v>0.2</v>
      </c>
      <c r="X12327" s="8">
        <v>145</v>
      </c>
      <c r="Y12327" s="8" t="s">
        <v>35781</v>
      </c>
      <c r="Z12327" s="8" t="s">
        <v>35782</v>
      </c>
    </row>
    <row r="12328" spans="1:26" x14ac:dyDescent="0.2">
      <c r="A12328" s="8">
        <v>12327</v>
      </c>
      <c r="B12328" s="8" t="s">
        <v>51685</v>
      </c>
      <c r="C12328" s="8" t="s">
        <v>51685</v>
      </c>
      <c r="G12328" s="8">
        <v>20</v>
      </c>
      <c r="H12328" s="8" t="s">
        <v>21</v>
      </c>
      <c r="I12328" s="8" t="s">
        <v>22</v>
      </c>
      <c r="J12328" s="8" t="s">
        <v>22</v>
      </c>
      <c r="K12328" s="8" t="s">
        <v>396</v>
      </c>
      <c r="L12328" s="8" t="s">
        <v>22476</v>
      </c>
      <c r="M12328" s="8" t="s">
        <v>22477</v>
      </c>
      <c r="N12328" s="8" t="s">
        <v>51686</v>
      </c>
      <c r="O12328" s="8">
        <f>14+41/60+52.2/3600</f>
        <v>14.697833333333334</v>
      </c>
      <c r="P12328" s="8" t="s">
        <v>51687</v>
      </c>
      <c r="Q12328" s="8">
        <f>+(18+34/60+37/3600)</f>
        <v>18.576944444444443</v>
      </c>
      <c r="R12328" s="8">
        <v>14.7</v>
      </c>
      <c r="S12328" s="8">
        <v>15.5</v>
      </c>
      <c r="T12328" s="8">
        <v>0.8</v>
      </c>
      <c r="U12328" s="8">
        <v>14.1</v>
      </c>
      <c r="V12328" s="8">
        <v>0.8</v>
      </c>
      <c r="W12328" s="8">
        <v>0.8</v>
      </c>
      <c r="Y12328" s="8" t="s">
        <v>35077</v>
      </c>
      <c r="Z12328" s="8" t="s">
        <v>35078</v>
      </c>
    </row>
    <row r="12329" spans="1:26" x14ac:dyDescent="0.2">
      <c r="A12329" s="8">
        <v>12328</v>
      </c>
      <c r="B12329" s="8" t="s">
        <v>51688</v>
      </c>
      <c r="C12329" s="8" t="s">
        <v>51688</v>
      </c>
      <c r="G12329" s="8">
        <v>20</v>
      </c>
      <c r="H12329" s="8" t="s">
        <v>21</v>
      </c>
      <c r="I12329" s="8" t="s">
        <v>22</v>
      </c>
      <c r="J12329" s="8" t="s">
        <v>22</v>
      </c>
      <c r="K12329" s="8" t="s">
        <v>382</v>
      </c>
      <c r="L12329" s="8" t="s">
        <v>22476</v>
      </c>
      <c r="M12329" s="8" t="s">
        <v>22477</v>
      </c>
      <c r="N12329" s="8" t="s">
        <v>51689</v>
      </c>
      <c r="O12329" s="8">
        <f>14+42/60+52.6/3600</f>
        <v>14.714611111111111</v>
      </c>
      <c r="P12329" s="8" t="s">
        <v>51690</v>
      </c>
      <c r="Q12329" s="8">
        <f>+(18+37/60+14/3600)</f>
        <v>18.620555555555555</v>
      </c>
      <c r="R12329" s="8">
        <v>15.5</v>
      </c>
      <c r="S12329" s="8">
        <v>16.5</v>
      </c>
      <c r="T12329" s="8">
        <v>1</v>
      </c>
      <c r="U12329" s="8">
        <v>12.5</v>
      </c>
      <c r="V12329" s="8">
        <v>0.3</v>
      </c>
      <c r="W12329" s="8">
        <v>0.2</v>
      </c>
      <c r="X12329" s="8">
        <v>5</v>
      </c>
      <c r="Y12329" s="8" t="s">
        <v>35529</v>
      </c>
      <c r="Z12329" s="8" t="s">
        <v>35530</v>
      </c>
    </row>
    <row r="12330" spans="1:26" x14ac:dyDescent="0.2">
      <c r="A12330" s="8">
        <v>12329</v>
      </c>
      <c r="B12330" s="8" t="s">
        <v>51691</v>
      </c>
      <c r="C12330" s="8" t="s">
        <v>51691</v>
      </c>
      <c r="G12330" s="8">
        <v>20</v>
      </c>
      <c r="H12330" s="8" t="s">
        <v>21</v>
      </c>
      <c r="I12330" s="8" t="s">
        <v>22</v>
      </c>
      <c r="J12330" s="8" t="s">
        <v>22</v>
      </c>
      <c r="K12330" s="8" t="s">
        <v>382</v>
      </c>
      <c r="L12330" s="8" t="s">
        <v>22476</v>
      </c>
      <c r="M12330" s="8" t="s">
        <v>22477</v>
      </c>
      <c r="N12330" s="8" t="s">
        <v>51692</v>
      </c>
      <c r="O12330" s="8">
        <f>14+43/60+16/3600</f>
        <v>14.721111111111112</v>
      </c>
      <c r="P12330" s="8" t="s">
        <v>51693</v>
      </c>
      <c r="Q12330" s="8">
        <f>+(18+31/60+43/3600)</f>
        <v>18.528611111111111</v>
      </c>
      <c r="R12330" s="8">
        <v>15.5</v>
      </c>
      <c r="S12330" s="8">
        <v>16.5</v>
      </c>
      <c r="T12330" s="8">
        <v>1</v>
      </c>
      <c r="U12330" s="8">
        <v>12.5</v>
      </c>
      <c r="V12330" s="8">
        <v>0.3</v>
      </c>
      <c r="W12330" s="8">
        <v>0.2</v>
      </c>
      <c r="X12330" s="8">
        <v>90</v>
      </c>
      <c r="Y12330" s="8" t="s">
        <v>51694</v>
      </c>
      <c r="Z12330" s="8" t="s">
        <v>35530</v>
      </c>
    </row>
    <row r="12331" spans="1:26" x14ac:dyDescent="0.2">
      <c r="A12331" s="8">
        <v>12330</v>
      </c>
      <c r="B12331" s="8" t="s">
        <v>51695</v>
      </c>
      <c r="C12331" s="8" t="s">
        <v>51695</v>
      </c>
      <c r="G12331" s="8">
        <v>20</v>
      </c>
      <c r="H12331" s="8" t="s">
        <v>21</v>
      </c>
      <c r="I12331" s="8" t="s">
        <v>72</v>
      </c>
      <c r="J12331" s="8" t="s">
        <v>72</v>
      </c>
      <c r="K12331" s="8" t="s">
        <v>73</v>
      </c>
      <c r="L12331" s="8" t="s">
        <v>16195</v>
      </c>
      <c r="M12331" s="8" t="s">
        <v>16196</v>
      </c>
      <c r="N12331" s="8" t="s">
        <v>51696</v>
      </c>
      <c r="O12331" s="8">
        <f>14+45/60+21.5/3600</f>
        <v>14.755972222222223</v>
      </c>
      <c r="P12331" s="8" t="s">
        <v>51697</v>
      </c>
      <c r="Q12331" s="8">
        <f>-(36+10/60+23/3600)</f>
        <v>-36.17305555555555</v>
      </c>
      <c r="R12331" s="8">
        <v>99</v>
      </c>
      <c r="S12331" s="8">
        <v>99</v>
      </c>
      <c r="T12331" s="8">
        <v>99</v>
      </c>
      <c r="U12331" s="8">
        <v>99</v>
      </c>
      <c r="Y12331" s="8" t="s">
        <v>51698</v>
      </c>
      <c r="Z12331" s="8" t="s">
        <v>51699</v>
      </c>
    </row>
    <row r="12332" spans="1:26" x14ac:dyDescent="0.2">
      <c r="A12332" s="8">
        <v>12331</v>
      </c>
      <c r="B12332" s="8" t="s">
        <v>51700</v>
      </c>
      <c r="C12332" s="8" t="s">
        <v>51700</v>
      </c>
      <c r="G12332" s="8">
        <v>20</v>
      </c>
      <c r="H12332" s="8" t="s">
        <v>21</v>
      </c>
      <c r="I12332" s="8" t="s">
        <v>329</v>
      </c>
      <c r="J12332" s="8" t="s">
        <v>329</v>
      </c>
      <c r="K12332" s="8" t="s">
        <v>329</v>
      </c>
      <c r="L12332" s="8" t="s">
        <v>24948</v>
      </c>
      <c r="M12332" s="8" t="s">
        <v>24949</v>
      </c>
      <c r="N12332" s="8" t="s">
        <v>51701</v>
      </c>
      <c r="O12332" s="8">
        <f>14+44/60+28.2/3600</f>
        <v>14.741166666666667</v>
      </c>
      <c r="P12332" s="8" t="s">
        <v>51702</v>
      </c>
      <c r="Q12332" s="8">
        <f>-(13+43/60+30/3600)</f>
        <v>-13.725</v>
      </c>
      <c r="R12332" s="8">
        <v>99</v>
      </c>
      <c r="S12332" s="8">
        <v>99</v>
      </c>
      <c r="T12332" s="8">
        <v>99</v>
      </c>
      <c r="U12332" s="8">
        <v>99</v>
      </c>
      <c r="Y12332" s="8" t="s">
        <v>51703</v>
      </c>
      <c r="Z12332" s="8" t="s">
        <v>51704</v>
      </c>
    </row>
    <row r="12333" spans="1:26" x14ac:dyDescent="0.2">
      <c r="A12333" s="8">
        <v>12332</v>
      </c>
      <c r="B12333" s="8" t="s">
        <v>51705</v>
      </c>
      <c r="C12333" s="8" t="s">
        <v>51705</v>
      </c>
      <c r="G12333" s="8">
        <v>20</v>
      </c>
      <c r="H12333" s="8" t="s">
        <v>21</v>
      </c>
      <c r="I12333" s="8" t="s">
        <v>22</v>
      </c>
      <c r="J12333" s="8" t="s">
        <v>22</v>
      </c>
      <c r="K12333" s="8" t="s">
        <v>424</v>
      </c>
      <c r="L12333" s="8" t="s">
        <v>22476</v>
      </c>
      <c r="M12333" s="8" t="s">
        <v>22477</v>
      </c>
      <c r="N12333" s="8" t="s">
        <v>51706</v>
      </c>
      <c r="O12333" s="8">
        <f>14+42/60+33.8/3600</f>
        <v>14.709388888888888</v>
      </c>
      <c r="P12333" s="8" t="s">
        <v>51707</v>
      </c>
      <c r="Q12333" s="8">
        <f>+(37+27/60+10/3600)</f>
        <v>37.452777777777783</v>
      </c>
      <c r="R12333" s="8">
        <v>14</v>
      </c>
      <c r="S12333" s="8">
        <v>15</v>
      </c>
      <c r="T12333" s="8">
        <v>1</v>
      </c>
      <c r="U12333" s="8">
        <v>11.2</v>
      </c>
      <c r="V12333" s="8">
        <v>0.3</v>
      </c>
      <c r="W12333" s="8">
        <v>0.3</v>
      </c>
      <c r="Y12333" s="8" t="s">
        <v>51708</v>
      </c>
      <c r="Z12333" s="8" t="s">
        <v>51709</v>
      </c>
    </row>
    <row r="12334" spans="1:26" x14ac:dyDescent="0.2">
      <c r="A12334" s="8">
        <v>12333</v>
      </c>
      <c r="B12334" s="8" t="s">
        <v>51710</v>
      </c>
      <c r="C12334" s="8" t="s">
        <v>51710</v>
      </c>
      <c r="G12334" s="8">
        <v>20</v>
      </c>
      <c r="H12334" s="8" t="s">
        <v>21</v>
      </c>
      <c r="I12334" s="8" t="s">
        <v>22</v>
      </c>
      <c r="J12334" s="8" t="s">
        <v>57</v>
      </c>
      <c r="K12334" s="8" t="s">
        <v>23</v>
      </c>
      <c r="L12334" s="8" t="s">
        <v>22476</v>
      </c>
      <c r="M12334" s="8" t="s">
        <v>22477</v>
      </c>
      <c r="N12334" s="8" t="s">
        <v>25614</v>
      </c>
      <c r="O12334" s="8">
        <f>14+44/60+20.7/3600</f>
        <v>14.739083333333333</v>
      </c>
      <c r="P12334" s="8" t="s">
        <v>25615</v>
      </c>
      <c r="Q12334" s="8">
        <f>+(12+7/60+55/3600)</f>
        <v>12.131944444444445</v>
      </c>
      <c r="R12334" s="8">
        <v>13.6</v>
      </c>
      <c r="S12334" s="8">
        <v>14.4</v>
      </c>
      <c r="T12334" s="8">
        <v>0.8</v>
      </c>
      <c r="U12334" s="8">
        <v>13</v>
      </c>
      <c r="V12334" s="8">
        <v>0.8</v>
      </c>
      <c r="W12334" s="8">
        <v>0.8</v>
      </c>
      <c r="Y12334" s="8" t="s">
        <v>51711</v>
      </c>
      <c r="Z12334" s="8" t="s">
        <v>51712</v>
      </c>
    </row>
    <row r="12335" spans="1:26" x14ac:dyDescent="0.2">
      <c r="A12335" s="8">
        <v>12334</v>
      </c>
      <c r="B12335" s="8" t="s">
        <v>51713</v>
      </c>
      <c r="C12335" s="8" t="s">
        <v>51713</v>
      </c>
      <c r="G12335" s="8">
        <v>20</v>
      </c>
      <c r="H12335" s="8" t="s">
        <v>21</v>
      </c>
      <c r="I12335" s="8" t="s">
        <v>22</v>
      </c>
      <c r="J12335" s="8" t="s">
        <v>22</v>
      </c>
      <c r="K12335" s="8" t="s">
        <v>449</v>
      </c>
      <c r="L12335" s="8" t="s">
        <v>22476</v>
      </c>
      <c r="M12335" s="8" t="s">
        <v>22477</v>
      </c>
      <c r="N12335" s="8" t="s">
        <v>51714</v>
      </c>
      <c r="O12335" s="8">
        <f>14+44/60+27.1/3600</f>
        <v>14.74086111111111</v>
      </c>
      <c r="P12335" s="8" t="s">
        <v>51715</v>
      </c>
      <c r="Q12335" s="8">
        <f>+(15+28/60+52/3600)</f>
        <v>15.481111111111112</v>
      </c>
      <c r="R12335" s="8">
        <v>14.2</v>
      </c>
      <c r="S12335" s="8">
        <v>15</v>
      </c>
      <c r="T12335" s="8">
        <v>0.8</v>
      </c>
      <c r="U12335" s="8">
        <v>12.5</v>
      </c>
      <c r="V12335" s="8">
        <v>0.6</v>
      </c>
      <c r="W12335" s="8">
        <v>0.4</v>
      </c>
      <c r="X12335" s="8">
        <v>160</v>
      </c>
      <c r="Y12335" s="8" t="s">
        <v>35781</v>
      </c>
      <c r="Z12335" s="8" t="s">
        <v>35782</v>
      </c>
    </row>
    <row r="12336" spans="1:26" x14ac:dyDescent="0.2">
      <c r="A12336" s="8">
        <v>12335</v>
      </c>
      <c r="B12336" s="8" t="s">
        <v>51716</v>
      </c>
      <c r="C12336" s="8" t="s">
        <v>51716</v>
      </c>
      <c r="G12336" s="8">
        <v>20</v>
      </c>
      <c r="H12336" s="8" t="s">
        <v>21</v>
      </c>
      <c r="I12336" s="8" t="s">
        <v>22</v>
      </c>
      <c r="J12336" s="8" t="s">
        <v>22</v>
      </c>
      <c r="K12336" s="8" t="s">
        <v>449</v>
      </c>
      <c r="L12336" s="8" t="s">
        <v>22476</v>
      </c>
      <c r="M12336" s="8" t="s">
        <v>22477</v>
      </c>
      <c r="N12336" s="8" t="s">
        <v>51717</v>
      </c>
      <c r="O12336" s="8">
        <f>14+44/60+14.5/3600</f>
        <v>14.73736111111111</v>
      </c>
      <c r="P12336" s="8" t="s">
        <v>51718</v>
      </c>
      <c r="Q12336" s="8">
        <f>+(23+33/60+31/3600)</f>
        <v>23.558611111111112</v>
      </c>
      <c r="R12336" s="8">
        <v>14.9</v>
      </c>
      <c r="S12336" s="8">
        <v>15.7</v>
      </c>
      <c r="T12336" s="8">
        <v>0.8</v>
      </c>
      <c r="U12336" s="8">
        <v>12.7</v>
      </c>
      <c r="V12336" s="8">
        <v>0.5</v>
      </c>
      <c r="W12336" s="8">
        <v>0.3</v>
      </c>
      <c r="X12336" s="8">
        <v>20</v>
      </c>
      <c r="Y12336" s="8" t="s">
        <v>421</v>
      </c>
      <c r="Z12336" s="8" t="s">
        <v>422</v>
      </c>
    </row>
    <row r="12337" spans="1:26" x14ac:dyDescent="0.2">
      <c r="A12337" s="8">
        <v>12336</v>
      </c>
      <c r="B12337" s="8" t="s">
        <v>51719</v>
      </c>
      <c r="C12337" s="8" t="s">
        <v>51719</v>
      </c>
      <c r="G12337" s="8">
        <v>20</v>
      </c>
      <c r="H12337" s="8" t="s">
        <v>21</v>
      </c>
      <c r="I12337" s="8" t="s">
        <v>22</v>
      </c>
      <c r="J12337" s="8" t="s">
        <v>22</v>
      </c>
      <c r="K12337" s="8" t="s">
        <v>37</v>
      </c>
      <c r="L12337" s="8" t="s">
        <v>22476</v>
      </c>
      <c r="M12337" s="8" t="s">
        <v>22477</v>
      </c>
      <c r="N12337" s="8" t="s">
        <v>51720</v>
      </c>
      <c r="O12337" s="8">
        <f>14+43/60+54.5/3600</f>
        <v>14.731805555555555</v>
      </c>
      <c r="P12337" s="8" t="s">
        <v>51721</v>
      </c>
      <c r="Q12337" s="8">
        <f>+(33+24/60+26/3600)</f>
        <v>33.407222222222224</v>
      </c>
      <c r="R12337" s="8">
        <v>14</v>
      </c>
      <c r="S12337" s="8">
        <v>15</v>
      </c>
      <c r="T12337" s="8">
        <v>1</v>
      </c>
      <c r="U12337" s="8">
        <v>13.6</v>
      </c>
      <c r="V12337" s="8">
        <v>1</v>
      </c>
      <c r="W12337" s="8">
        <v>0.8</v>
      </c>
      <c r="X12337" s="8">
        <v>36</v>
      </c>
      <c r="Y12337" s="8" t="s">
        <v>43668</v>
      </c>
      <c r="Z12337" s="8" t="s">
        <v>43669</v>
      </c>
    </row>
    <row r="12338" spans="1:26" x14ac:dyDescent="0.2">
      <c r="A12338" s="8">
        <v>12337</v>
      </c>
      <c r="B12338" s="8" t="s">
        <v>51722</v>
      </c>
      <c r="C12338" s="8" t="s">
        <v>51722</v>
      </c>
      <c r="G12338" s="8">
        <v>20</v>
      </c>
      <c r="H12338" s="8" t="s">
        <v>21</v>
      </c>
      <c r="I12338" s="8" t="s">
        <v>22</v>
      </c>
      <c r="J12338" s="8" t="s">
        <v>22</v>
      </c>
      <c r="K12338" s="8" t="s">
        <v>460</v>
      </c>
      <c r="L12338" s="8" t="s">
        <v>22476</v>
      </c>
      <c r="M12338" s="8" t="s">
        <v>22477</v>
      </c>
      <c r="N12338" s="8" t="s">
        <v>25614</v>
      </c>
      <c r="O12338" s="8">
        <f>14+44/60+20.7/3600</f>
        <v>14.739083333333333</v>
      </c>
      <c r="P12338" s="8" t="s">
        <v>51723</v>
      </c>
      <c r="Q12338" s="8">
        <f>+(28+33/60+4/3600)</f>
        <v>28.551111111111112</v>
      </c>
      <c r="R12338" s="8">
        <v>14.1</v>
      </c>
      <c r="S12338" s="8">
        <v>15.1</v>
      </c>
      <c r="T12338" s="8">
        <v>1</v>
      </c>
      <c r="U12338" s="8">
        <v>12.7</v>
      </c>
      <c r="V12338" s="8">
        <v>0.5</v>
      </c>
      <c r="W12338" s="8">
        <v>0.5</v>
      </c>
      <c r="Y12338" s="8" t="s">
        <v>51724</v>
      </c>
      <c r="Z12338" s="8" t="s">
        <v>51725</v>
      </c>
    </row>
    <row r="12339" spans="1:26" x14ac:dyDescent="0.2">
      <c r="A12339" s="8">
        <v>12338</v>
      </c>
      <c r="B12339" s="8" t="s">
        <v>51726</v>
      </c>
      <c r="C12339" s="8" t="s">
        <v>51726</v>
      </c>
      <c r="G12339" s="8">
        <v>20</v>
      </c>
      <c r="H12339" s="8" t="s">
        <v>21</v>
      </c>
      <c r="I12339" s="8" t="s">
        <v>22</v>
      </c>
      <c r="J12339" s="8" t="s">
        <v>22</v>
      </c>
      <c r="K12339" s="8" t="s">
        <v>37</v>
      </c>
      <c r="L12339" s="8" t="s">
        <v>22476</v>
      </c>
      <c r="M12339" s="8" t="s">
        <v>22477</v>
      </c>
      <c r="N12339" s="8" t="s">
        <v>51727</v>
      </c>
      <c r="O12339" s="8">
        <f>14+45/60+0.8/3600</f>
        <v>14.750222222222222</v>
      </c>
      <c r="P12339" s="8" t="s">
        <v>48502</v>
      </c>
      <c r="Q12339" s="8">
        <f>+(26+18/60+0/3600)</f>
        <v>26.3</v>
      </c>
      <c r="R12339" s="8">
        <v>14.4</v>
      </c>
      <c r="S12339" s="8">
        <v>15.4</v>
      </c>
      <c r="T12339" s="8">
        <v>1</v>
      </c>
      <c r="U12339" s="8">
        <v>12.8</v>
      </c>
      <c r="V12339" s="8">
        <v>0.5</v>
      </c>
      <c r="W12339" s="8">
        <v>0.5</v>
      </c>
      <c r="Y12339" s="8" t="s">
        <v>6420</v>
      </c>
      <c r="Z12339" s="8" t="s">
        <v>6421</v>
      </c>
    </row>
    <row r="12340" spans="1:26" x14ac:dyDescent="0.2">
      <c r="A12340" s="8">
        <v>12339</v>
      </c>
      <c r="B12340" s="8" t="s">
        <v>51728</v>
      </c>
      <c r="C12340" s="8" t="s">
        <v>51728</v>
      </c>
      <c r="G12340" s="8">
        <v>10</v>
      </c>
      <c r="H12340" s="8" t="s">
        <v>21</v>
      </c>
      <c r="I12340" s="8" t="s">
        <v>567</v>
      </c>
      <c r="J12340" s="8" t="s">
        <v>567</v>
      </c>
      <c r="K12340" s="8" t="s">
        <v>22675</v>
      </c>
      <c r="L12340" s="8" t="s">
        <v>25025</v>
      </c>
      <c r="M12340" s="8" t="s">
        <v>25026</v>
      </c>
      <c r="N12340" s="8" t="s">
        <v>51729</v>
      </c>
      <c r="O12340" s="8">
        <f>15+0/60+19.1/3600</f>
        <v>15.005305555555555</v>
      </c>
      <c r="P12340" s="8" t="s">
        <v>51730</v>
      </c>
      <c r="Q12340" s="8">
        <f>-(82+12/60+46/3600)</f>
        <v>-82.212777777777774</v>
      </c>
      <c r="R12340" s="8">
        <v>10.1</v>
      </c>
      <c r="S12340" s="8">
        <v>99</v>
      </c>
      <c r="T12340" s="8">
        <v>99</v>
      </c>
      <c r="U12340" s="8">
        <v>99</v>
      </c>
      <c r="V12340" s="8">
        <v>8</v>
      </c>
      <c r="Y12340" s="8" t="s">
        <v>51731</v>
      </c>
      <c r="Z12340" s="8" t="s">
        <v>51732</v>
      </c>
    </row>
    <row r="12341" spans="1:26" x14ac:dyDescent="0.2">
      <c r="A12341" s="8">
        <v>12340</v>
      </c>
      <c r="B12341" s="8" t="s">
        <v>51733</v>
      </c>
      <c r="C12341" s="8" t="s">
        <v>51733</v>
      </c>
      <c r="G12341" s="8">
        <v>20</v>
      </c>
      <c r="H12341" s="8" t="s">
        <v>21</v>
      </c>
      <c r="I12341" s="8" t="s">
        <v>22</v>
      </c>
      <c r="J12341" s="8" t="s">
        <v>22</v>
      </c>
      <c r="K12341" s="8" t="s">
        <v>382</v>
      </c>
      <c r="L12341" s="8" t="s">
        <v>22476</v>
      </c>
      <c r="M12341" s="8" t="s">
        <v>22477</v>
      </c>
      <c r="N12341" s="8" t="s">
        <v>51734</v>
      </c>
      <c r="O12341" s="8">
        <f>14+44/60+35.5/3600</f>
        <v>14.743194444444443</v>
      </c>
      <c r="P12341" s="8" t="s">
        <v>51735</v>
      </c>
      <c r="Q12341" s="8">
        <f>+(37+28/60+58/3600)</f>
        <v>37.482777777777777</v>
      </c>
      <c r="R12341" s="8">
        <v>14.7</v>
      </c>
      <c r="S12341" s="8">
        <v>15.7</v>
      </c>
      <c r="T12341" s="8">
        <v>1</v>
      </c>
      <c r="U12341" s="8">
        <v>11.7</v>
      </c>
      <c r="V12341" s="8">
        <v>0.3</v>
      </c>
      <c r="W12341" s="8">
        <v>0.2</v>
      </c>
      <c r="X12341" s="8">
        <v>84</v>
      </c>
      <c r="Y12341" s="8" t="s">
        <v>6420</v>
      </c>
      <c r="Z12341" s="8" t="s">
        <v>6421</v>
      </c>
    </row>
    <row r="12342" spans="1:26" x14ac:dyDescent="0.2">
      <c r="A12342" s="8">
        <v>12341</v>
      </c>
      <c r="B12342" s="8" t="s">
        <v>51736</v>
      </c>
      <c r="C12342" s="8" t="s">
        <v>51736</v>
      </c>
      <c r="G12342" s="8">
        <v>20</v>
      </c>
      <c r="H12342" s="8" t="s">
        <v>21</v>
      </c>
      <c r="I12342" s="8" t="s">
        <v>22</v>
      </c>
      <c r="J12342" s="8" t="s">
        <v>22</v>
      </c>
      <c r="K12342" s="8" t="s">
        <v>42274</v>
      </c>
      <c r="L12342" s="8" t="s">
        <v>24948</v>
      </c>
      <c r="M12342" s="8" t="s">
        <v>24949</v>
      </c>
      <c r="N12342" s="8" t="s">
        <v>51737</v>
      </c>
      <c r="O12342" s="8">
        <f>14+47/60+25.4/3600</f>
        <v>14.790388888888888</v>
      </c>
      <c r="P12342" s="8" t="s">
        <v>51738</v>
      </c>
      <c r="Q12342" s="8">
        <f>-(22+24/60+21/3600)</f>
        <v>-22.40583333333333</v>
      </c>
      <c r="R12342" s="8">
        <v>13.6</v>
      </c>
      <c r="S12342" s="8">
        <v>14.5</v>
      </c>
      <c r="T12342" s="8">
        <v>0.9</v>
      </c>
      <c r="U12342" s="8">
        <v>13.5</v>
      </c>
      <c r="V12342" s="8">
        <v>1</v>
      </c>
      <c r="W12342" s="8">
        <v>0.7</v>
      </c>
      <c r="X12342" s="8">
        <v>63</v>
      </c>
      <c r="Y12342" s="8" t="s">
        <v>51739</v>
      </c>
      <c r="Z12342" s="8" t="s">
        <v>51740</v>
      </c>
    </row>
    <row r="12343" spans="1:26" x14ac:dyDescent="0.2">
      <c r="A12343" s="8">
        <v>12342</v>
      </c>
      <c r="B12343" s="8" t="s">
        <v>51741</v>
      </c>
      <c r="C12343" s="8" t="s">
        <v>51741</v>
      </c>
      <c r="G12343" s="8">
        <v>20</v>
      </c>
      <c r="H12343" s="8" t="s">
        <v>21</v>
      </c>
      <c r="I12343" s="8" t="s">
        <v>22</v>
      </c>
      <c r="J12343" s="8" t="s">
        <v>22</v>
      </c>
      <c r="K12343" s="8" t="s">
        <v>449</v>
      </c>
      <c r="L12343" s="8" t="s">
        <v>22476</v>
      </c>
      <c r="M12343" s="8" t="s">
        <v>22477</v>
      </c>
      <c r="N12343" s="8" t="s">
        <v>51742</v>
      </c>
      <c r="O12343" s="8">
        <f>14+45/60+15.7/3600</f>
        <v>14.754361111111111</v>
      </c>
      <c r="P12343" s="8" t="s">
        <v>51743</v>
      </c>
      <c r="Q12343" s="8">
        <f>+(37+17/60+59/3600)</f>
        <v>37.299722222222222</v>
      </c>
      <c r="R12343" s="8">
        <v>15</v>
      </c>
      <c r="S12343" s="8">
        <v>15.8</v>
      </c>
      <c r="T12343" s="8">
        <v>0.8</v>
      </c>
      <c r="U12343" s="8">
        <v>13.2</v>
      </c>
      <c r="V12343" s="8">
        <v>0.7</v>
      </c>
      <c r="W12343" s="8">
        <v>0.3</v>
      </c>
      <c r="X12343" s="8">
        <v>105</v>
      </c>
      <c r="Y12343" s="8" t="s">
        <v>51744</v>
      </c>
      <c r="Z12343" s="8" t="s">
        <v>51745</v>
      </c>
    </row>
    <row r="12344" spans="1:26" x14ac:dyDescent="0.2">
      <c r="A12344" s="8">
        <v>12343</v>
      </c>
      <c r="B12344" s="8" t="s">
        <v>51746</v>
      </c>
      <c r="C12344" s="8" t="s">
        <v>51746</v>
      </c>
      <c r="G12344" s="8">
        <v>20</v>
      </c>
      <c r="H12344" s="8" t="s">
        <v>21</v>
      </c>
      <c r="I12344" s="8" t="s">
        <v>22</v>
      </c>
      <c r="J12344" s="8" t="s">
        <v>22</v>
      </c>
      <c r="K12344" s="8" t="s">
        <v>449</v>
      </c>
      <c r="L12344" s="8" t="s">
        <v>22476</v>
      </c>
      <c r="M12344" s="8" t="s">
        <v>22477</v>
      </c>
      <c r="N12344" s="8" t="s">
        <v>51747</v>
      </c>
      <c r="O12344" s="8">
        <f>14+46/60+39.6/3600</f>
        <v>14.777666666666667</v>
      </c>
      <c r="P12344" s="8" t="s">
        <v>51748</v>
      </c>
      <c r="Q12344" s="8">
        <f>+(16+8/60+47/3600)</f>
        <v>16.14638888888889</v>
      </c>
      <c r="R12344" s="8">
        <v>14</v>
      </c>
      <c r="S12344" s="8">
        <v>14.8</v>
      </c>
      <c r="T12344" s="8">
        <v>0.8</v>
      </c>
      <c r="U12344" s="8">
        <v>12.6</v>
      </c>
      <c r="V12344" s="8">
        <v>0.8</v>
      </c>
      <c r="W12344" s="8">
        <v>0.4</v>
      </c>
      <c r="X12344" s="8">
        <v>0</v>
      </c>
      <c r="Y12344" s="8" t="s">
        <v>2181</v>
      </c>
      <c r="Z12344" s="8" t="s">
        <v>2182</v>
      </c>
    </row>
    <row r="12345" spans="1:26" x14ac:dyDescent="0.2">
      <c r="A12345" s="8">
        <v>12344</v>
      </c>
      <c r="B12345" s="8" t="s">
        <v>51749</v>
      </c>
      <c r="C12345" s="8" t="s">
        <v>51749</v>
      </c>
      <c r="G12345" s="8">
        <v>20</v>
      </c>
      <c r="H12345" s="8" t="s">
        <v>21</v>
      </c>
      <c r="I12345" s="8" t="s">
        <v>22</v>
      </c>
      <c r="J12345" s="8" t="s">
        <v>22</v>
      </c>
      <c r="K12345" s="8" t="s">
        <v>37</v>
      </c>
      <c r="L12345" s="8" t="s">
        <v>22476</v>
      </c>
      <c r="M12345" s="8" t="s">
        <v>22477</v>
      </c>
      <c r="N12345" s="8" t="s">
        <v>51750</v>
      </c>
      <c r="O12345" s="8">
        <f>14+46/60+36.9/3600</f>
        <v>14.776916666666667</v>
      </c>
      <c r="P12345" s="8" t="s">
        <v>51751</v>
      </c>
      <c r="Q12345" s="8">
        <f>+(31+41/60+59/3600)</f>
        <v>31.699722222222224</v>
      </c>
      <c r="R12345" s="8">
        <v>14.4</v>
      </c>
      <c r="S12345" s="8">
        <v>15.4</v>
      </c>
      <c r="T12345" s="8">
        <v>1</v>
      </c>
      <c r="U12345" s="8">
        <v>11.2</v>
      </c>
      <c r="V12345" s="8">
        <v>0.3</v>
      </c>
      <c r="W12345" s="8">
        <v>0.2</v>
      </c>
      <c r="X12345" s="8">
        <v>95</v>
      </c>
      <c r="Y12345" s="8" t="s">
        <v>41073</v>
      </c>
      <c r="Z12345" s="8" t="s">
        <v>41074</v>
      </c>
    </row>
    <row r="12346" spans="1:26" x14ac:dyDescent="0.2">
      <c r="A12346" s="8">
        <v>12345</v>
      </c>
      <c r="B12346" s="8" t="s">
        <v>51752</v>
      </c>
      <c r="C12346" s="8" t="s">
        <v>51752</v>
      </c>
      <c r="G12346" s="8">
        <v>20</v>
      </c>
      <c r="H12346" s="8" t="s">
        <v>21</v>
      </c>
      <c r="I12346" s="8" t="s">
        <v>22</v>
      </c>
      <c r="J12346" s="8" t="s">
        <v>22</v>
      </c>
      <c r="K12346" s="8" t="s">
        <v>58</v>
      </c>
      <c r="L12346" s="8" t="s">
        <v>22476</v>
      </c>
      <c r="M12346" s="8" t="s">
        <v>22477</v>
      </c>
      <c r="N12346" s="8" t="s">
        <v>51753</v>
      </c>
      <c r="O12346" s="8">
        <f>14+46/60+33.3/3600</f>
        <v>14.775916666666667</v>
      </c>
      <c r="P12346" s="8" t="s">
        <v>51754</v>
      </c>
      <c r="Q12346" s="8">
        <f>+(33+24/60+33/3600)</f>
        <v>33.409166666666664</v>
      </c>
      <c r="R12346" s="8">
        <v>13.7</v>
      </c>
      <c r="S12346" s="8">
        <v>14.7</v>
      </c>
      <c r="T12346" s="8">
        <v>1</v>
      </c>
      <c r="U12346" s="8">
        <v>13.6</v>
      </c>
      <c r="V12346" s="8">
        <v>1.2</v>
      </c>
      <c r="W12346" s="8">
        <v>1</v>
      </c>
      <c r="X12346" s="8">
        <v>174</v>
      </c>
      <c r="Y12346" s="8" t="s">
        <v>43668</v>
      </c>
      <c r="Z12346" s="8" t="s">
        <v>43669</v>
      </c>
    </row>
    <row r="12347" spans="1:26" x14ac:dyDescent="0.2">
      <c r="A12347" s="8">
        <v>12346</v>
      </c>
      <c r="B12347" s="8" t="s">
        <v>51755</v>
      </c>
      <c r="C12347" s="8" t="s">
        <v>51755</v>
      </c>
      <c r="G12347" s="8">
        <v>20</v>
      </c>
      <c r="H12347" s="8" t="s">
        <v>21</v>
      </c>
      <c r="I12347" s="8" t="s">
        <v>22</v>
      </c>
      <c r="J12347" s="8" t="s">
        <v>22</v>
      </c>
      <c r="K12347" s="8" t="s">
        <v>37</v>
      </c>
      <c r="L12347" s="8" t="s">
        <v>22476</v>
      </c>
      <c r="M12347" s="8" t="s">
        <v>22477</v>
      </c>
      <c r="N12347" s="8" t="s">
        <v>51756</v>
      </c>
      <c r="O12347" s="8">
        <f>14+46/60+39.8/3600</f>
        <v>14.777722222222224</v>
      </c>
      <c r="P12347" s="8" t="s">
        <v>51757</v>
      </c>
      <c r="Q12347" s="8">
        <f>+(33+24/60+6/3600)</f>
        <v>33.401666666666664</v>
      </c>
      <c r="R12347" s="8">
        <v>14.8</v>
      </c>
      <c r="S12347" s="8">
        <v>15.8</v>
      </c>
      <c r="T12347" s="8">
        <v>1</v>
      </c>
      <c r="U12347" s="8">
        <v>12.1</v>
      </c>
      <c r="V12347" s="8">
        <v>0.3</v>
      </c>
      <c r="W12347" s="8">
        <v>0.3</v>
      </c>
      <c r="Y12347" s="8" t="s">
        <v>46190</v>
      </c>
      <c r="Z12347" s="8" t="s">
        <v>46191</v>
      </c>
    </row>
    <row r="12348" spans="1:26" x14ac:dyDescent="0.2">
      <c r="A12348" s="8">
        <v>12347</v>
      </c>
      <c r="B12348" s="8" t="s">
        <v>51758</v>
      </c>
      <c r="C12348" s="8" t="s">
        <v>51758</v>
      </c>
      <c r="G12348" s="8">
        <v>20</v>
      </c>
      <c r="H12348" s="8" t="s">
        <v>21</v>
      </c>
      <c r="I12348" s="8" t="s">
        <v>22</v>
      </c>
      <c r="J12348" s="8" t="s">
        <v>22</v>
      </c>
      <c r="K12348" s="8" t="s">
        <v>476</v>
      </c>
      <c r="L12348" s="8" t="s">
        <v>22476</v>
      </c>
      <c r="M12348" s="8" t="s">
        <v>22477</v>
      </c>
      <c r="N12348" s="8" t="s">
        <v>51759</v>
      </c>
      <c r="O12348" s="8">
        <f>14+47/60+42.1/3600</f>
        <v>14.795027777777777</v>
      </c>
      <c r="P12348" s="8" t="s">
        <v>51760</v>
      </c>
      <c r="Q12348" s="8">
        <f>+(18+27/60+21/3600)</f>
        <v>18.455833333333331</v>
      </c>
      <c r="R12348" s="8">
        <v>14.8</v>
      </c>
      <c r="S12348" s="8">
        <v>15.6</v>
      </c>
      <c r="T12348" s="8">
        <v>0.8</v>
      </c>
      <c r="U12348" s="8">
        <v>13.4</v>
      </c>
      <c r="V12348" s="8">
        <v>0.8</v>
      </c>
      <c r="W12348" s="8">
        <v>0.4</v>
      </c>
      <c r="X12348" s="8">
        <v>160</v>
      </c>
      <c r="Y12348" s="8" t="s">
        <v>27240</v>
      </c>
      <c r="Z12348" s="8" t="s">
        <v>27241</v>
      </c>
    </row>
    <row r="12349" spans="1:26" x14ac:dyDescent="0.2">
      <c r="A12349" s="8">
        <v>12348</v>
      </c>
      <c r="B12349" s="8" t="s">
        <v>51761</v>
      </c>
      <c r="C12349" s="8" t="s">
        <v>51761</v>
      </c>
      <c r="E12349" s="8">
        <v>1</v>
      </c>
      <c r="G12349" s="8">
        <v>20</v>
      </c>
      <c r="H12349" s="8" t="s">
        <v>21</v>
      </c>
      <c r="I12349" s="8" t="s">
        <v>22</v>
      </c>
      <c r="J12349" s="8" t="s">
        <v>22</v>
      </c>
      <c r="K12349" s="8" t="s">
        <v>632</v>
      </c>
      <c r="L12349" s="8" t="s">
        <v>22476</v>
      </c>
      <c r="M12349" s="8" t="s">
        <v>22477</v>
      </c>
      <c r="N12349" s="8" t="s">
        <v>51762</v>
      </c>
      <c r="O12349" s="8">
        <f>14+47/60+50.7/3600</f>
        <v>14.797416666666667</v>
      </c>
      <c r="P12349" s="8" t="s">
        <v>51763</v>
      </c>
      <c r="Q12349" s="8">
        <f>+(31+45/60+55/3600)</f>
        <v>31.765277777777779</v>
      </c>
      <c r="R12349" s="8">
        <v>14.4</v>
      </c>
      <c r="S12349" s="8">
        <v>15.3</v>
      </c>
      <c r="T12349" s="8">
        <v>0.9</v>
      </c>
      <c r="U12349" s="8">
        <v>12.3</v>
      </c>
      <c r="V12349" s="8">
        <v>0.4</v>
      </c>
      <c r="W12349" s="8">
        <v>0.4</v>
      </c>
      <c r="Y12349" s="8" t="s">
        <v>51764</v>
      </c>
      <c r="Z12349" s="8" t="s">
        <v>51765</v>
      </c>
    </row>
    <row r="12350" spans="1:26" x14ac:dyDescent="0.2">
      <c r="A12350" s="8">
        <v>12349</v>
      </c>
      <c r="B12350" s="8" t="s">
        <v>51766</v>
      </c>
      <c r="C12350" s="8" t="s">
        <v>51766</v>
      </c>
      <c r="G12350" s="8">
        <v>20</v>
      </c>
      <c r="H12350" s="8" t="s">
        <v>21</v>
      </c>
      <c r="I12350" s="8" t="s">
        <v>22</v>
      </c>
      <c r="J12350" s="8" t="s">
        <v>22</v>
      </c>
      <c r="K12350" s="8" t="s">
        <v>23</v>
      </c>
      <c r="L12350" s="8" t="s">
        <v>22476</v>
      </c>
      <c r="M12350" s="8" t="s">
        <v>22477</v>
      </c>
      <c r="N12350" s="8" t="s">
        <v>51767</v>
      </c>
      <c r="O12350" s="8">
        <f>14+48/60+27/3600</f>
        <v>14.807500000000001</v>
      </c>
      <c r="P12350" s="8" t="s">
        <v>51768</v>
      </c>
      <c r="Q12350" s="8">
        <f>+(31+47/60+29/3600)</f>
        <v>31.791388888888889</v>
      </c>
      <c r="R12350" s="8">
        <v>14</v>
      </c>
      <c r="S12350" s="8">
        <v>14.8</v>
      </c>
      <c r="T12350" s="8">
        <v>0.8</v>
      </c>
      <c r="U12350" s="8">
        <v>12</v>
      </c>
      <c r="V12350" s="8">
        <v>0.9</v>
      </c>
      <c r="W12350" s="8">
        <v>0.2</v>
      </c>
      <c r="X12350" s="8">
        <v>46</v>
      </c>
      <c r="Y12350" s="8" t="s">
        <v>51769</v>
      </c>
      <c r="Z12350" s="8" t="s">
        <v>51770</v>
      </c>
    </row>
    <row r="12351" spans="1:26" x14ac:dyDescent="0.2">
      <c r="A12351" s="8">
        <v>12350</v>
      </c>
      <c r="B12351" s="8" t="s">
        <v>51771</v>
      </c>
      <c r="C12351" s="8" t="s">
        <v>51771</v>
      </c>
      <c r="G12351" s="8">
        <v>20</v>
      </c>
      <c r="H12351" s="8" t="s">
        <v>21</v>
      </c>
      <c r="I12351" s="8" t="s">
        <v>329</v>
      </c>
      <c r="J12351" s="8" t="s">
        <v>329</v>
      </c>
      <c r="K12351" s="8" t="s">
        <v>329</v>
      </c>
      <c r="L12351" s="8" t="s">
        <v>24948</v>
      </c>
      <c r="M12351" s="8" t="s">
        <v>24949</v>
      </c>
      <c r="N12351" s="8" t="s">
        <v>51772</v>
      </c>
      <c r="O12351" s="8">
        <f>14+50/60+40/3600</f>
        <v>14.844444444444445</v>
      </c>
      <c r="P12351" s="8" t="s">
        <v>51773</v>
      </c>
      <c r="Q12351" s="8">
        <f>-(20+43/60+54/3600)</f>
        <v>-20.731666666666666</v>
      </c>
      <c r="R12351" s="8">
        <v>99</v>
      </c>
      <c r="S12351" s="8">
        <v>99</v>
      </c>
      <c r="T12351" s="8">
        <v>99</v>
      </c>
      <c r="U12351" s="8">
        <v>99</v>
      </c>
      <c r="Y12351" s="8" t="s">
        <v>51774</v>
      </c>
      <c r="Z12351" s="8" t="s">
        <v>51775</v>
      </c>
    </row>
    <row r="12352" spans="1:26" x14ac:dyDescent="0.2">
      <c r="A12352" s="8">
        <v>12351</v>
      </c>
      <c r="B12352" s="8" t="s">
        <v>51776</v>
      </c>
      <c r="C12352" s="8" t="s">
        <v>51776</v>
      </c>
      <c r="G12352" s="8">
        <v>20</v>
      </c>
      <c r="H12352" s="8" t="s">
        <v>21</v>
      </c>
      <c r="I12352" s="8" t="s">
        <v>329</v>
      </c>
      <c r="J12352" s="8" t="s">
        <v>329</v>
      </c>
      <c r="K12352" s="8" t="s">
        <v>329</v>
      </c>
      <c r="L12352" s="8" t="s">
        <v>16195</v>
      </c>
      <c r="M12352" s="8" t="s">
        <v>16196</v>
      </c>
      <c r="N12352" s="8" t="s">
        <v>51777</v>
      </c>
      <c r="O12352" s="8">
        <f>14+52/60+5/3600</f>
        <v>14.868055555555555</v>
      </c>
      <c r="P12352" s="8" t="s">
        <v>51778</v>
      </c>
      <c r="Q12352" s="8">
        <f>-(40+29/60+42/3600)</f>
        <v>-40.494999999999997</v>
      </c>
      <c r="R12352" s="8">
        <v>99</v>
      </c>
      <c r="S12352" s="8">
        <v>99</v>
      </c>
      <c r="T12352" s="8">
        <v>99</v>
      </c>
      <c r="U12352" s="8">
        <v>99</v>
      </c>
      <c r="Y12352" s="8" t="s">
        <v>51779</v>
      </c>
      <c r="Z12352" s="8" t="s">
        <v>51780</v>
      </c>
    </row>
    <row r="12353" spans="1:26" x14ac:dyDescent="0.2">
      <c r="A12353" s="8">
        <v>12352</v>
      </c>
      <c r="B12353" s="8" t="s">
        <v>51781</v>
      </c>
      <c r="C12353" s="8" t="s">
        <v>51781</v>
      </c>
      <c r="G12353" s="8">
        <v>20</v>
      </c>
      <c r="H12353" s="8" t="s">
        <v>21</v>
      </c>
      <c r="I12353" s="8" t="s">
        <v>22</v>
      </c>
      <c r="J12353" s="8" t="s">
        <v>22</v>
      </c>
      <c r="K12353" s="8" t="s">
        <v>460</v>
      </c>
      <c r="L12353" s="8" t="s">
        <v>22476</v>
      </c>
      <c r="M12353" s="8" t="s">
        <v>22477</v>
      </c>
      <c r="N12353" s="8" t="s">
        <v>51782</v>
      </c>
      <c r="O12353" s="8">
        <f>14+49/60+54.3/3600</f>
        <v>14.83175</v>
      </c>
      <c r="P12353" s="8" t="s">
        <v>51783</v>
      </c>
      <c r="Q12353" s="8">
        <f>+(27+42/60+1/3600)</f>
        <v>27.700277777777778</v>
      </c>
      <c r="R12353" s="8">
        <v>15</v>
      </c>
      <c r="S12353" s="8">
        <v>16</v>
      </c>
      <c r="T12353" s="8">
        <v>1</v>
      </c>
      <c r="U12353" s="8">
        <v>13.1</v>
      </c>
      <c r="V12353" s="8">
        <v>0.4</v>
      </c>
      <c r="W12353" s="8">
        <v>0.4</v>
      </c>
      <c r="Y12353" s="8" t="s">
        <v>170</v>
      </c>
      <c r="Z12353" s="8" t="s">
        <v>171</v>
      </c>
    </row>
    <row r="12354" spans="1:26" x14ac:dyDescent="0.2">
      <c r="A12354" s="8">
        <v>12353</v>
      </c>
      <c r="B12354" s="8" t="s">
        <v>51784</v>
      </c>
      <c r="C12354" s="8" t="s">
        <v>51784</v>
      </c>
      <c r="G12354" s="8">
        <v>20</v>
      </c>
      <c r="H12354" s="8" t="s">
        <v>21</v>
      </c>
      <c r="I12354" s="8" t="s">
        <v>329</v>
      </c>
      <c r="J12354" s="8" t="s">
        <v>329</v>
      </c>
      <c r="K12354" s="8" t="s">
        <v>329</v>
      </c>
      <c r="L12354" s="8" t="s">
        <v>24948</v>
      </c>
      <c r="M12354" s="8" t="s">
        <v>24949</v>
      </c>
      <c r="N12354" s="8" t="s">
        <v>51785</v>
      </c>
      <c r="O12354" s="8">
        <f>14+52/60+16/3600</f>
        <v>14.871111111111112</v>
      </c>
      <c r="P12354" s="8" t="s">
        <v>51786</v>
      </c>
      <c r="Q12354" s="8">
        <f>-(20+43/60+42/3600)</f>
        <v>-20.728333333333332</v>
      </c>
      <c r="R12354" s="8">
        <v>99</v>
      </c>
      <c r="S12354" s="8">
        <v>99</v>
      </c>
      <c r="T12354" s="8">
        <v>99</v>
      </c>
      <c r="U12354" s="8">
        <v>99</v>
      </c>
      <c r="Y12354" s="8" t="s">
        <v>51787</v>
      </c>
      <c r="Z12354" s="8" t="s">
        <v>51788</v>
      </c>
    </row>
    <row r="12355" spans="1:26" x14ac:dyDescent="0.2">
      <c r="A12355" s="8">
        <v>12354</v>
      </c>
      <c r="B12355" s="8" t="s">
        <v>51789</v>
      </c>
      <c r="C12355" s="8" t="s">
        <v>51789</v>
      </c>
      <c r="G12355" s="8">
        <v>20</v>
      </c>
      <c r="H12355" s="8" t="s">
        <v>21</v>
      </c>
      <c r="I12355" s="8" t="s">
        <v>22</v>
      </c>
      <c r="J12355" s="8" t="s">
        <v>22</v>
      </c>
      <c r="K12355" s="8" t="s">
        <v>406</v>
      </c>
      <c r="L12355" s="8" t="s">
        <v>22476</v>
      </c>
      <c r="M12355" s="8" t="s">
        <v>22477</v>
      </c>
      <c r="N12355" s="8" t="s">
        <v>51790</v>
      </c>
      <c r="O12355" s="8">
        <f>14+50/60+55.5/3600</f>
        <v>14.848750000000001</v>
      </c>
      <c r="P12355" s="8" t="s">
        <v>51791</v>
      </c>
      <c r="Q12355" s="8">
        <f>+(27+34/60+43/3600)</f>
        <v>27.578611111111112</v>
      </c>
      <c r="R12355" s="8">
        <v>14.1</v>
      </c>
      <c r="S12355" s="8">
        <v>14.9</v>
      </c>
      <c r="T12355" s="8">
        <v>0.8</v>
      </c>
      <c r="U12355" s="8">
        <v>13.3</v>
      </c>
      <c r="V12355" s="8">
        <v>0.9</v>
      </c>
      <c r="W12355" s="8">
        <v>0.7</v>
      </c>
      <c r="X12355" s="8">
        <v>125</v>
      </c>
      <c r="Y12355" s="8" t="s">
        <v>51792</v>
      </c>
      <c r="Z12355" s="8" t="s">
        <v>51793</v>
      </c>
    </row>
    <row r="12356" spans="1:26" x14ac:dyDescent="0.2">
      <c r="A12356" s="8">
        <v>12355</v>
      </c>
      <c r="B12356" s="8" t="s">
        <v>51794</v>
      </c>
      <c r="C12356" s="8" t="s">
        <v>51794</v>
      </c>
      <c r="G12356" s="8">
        <v>20</v>
      </c>
      <c r="H12356" s="8" t="s">
        <v>21</v>
      </c>
      <c r="I12356" s="8" t="s">
        <v>22</v>
      </c>
      <c r="J12356" s="8" t="s">
        <v>22</v>
      </c>
      <c r="K12356" s="8" t="s">
        <v>449</v>
      </c>
      <c r="L12356" s="8" t="s">
        <v>22476</v>
      </c>
      <c r="M12356" s="8" t="s">
        <v>22477</v>
      </c>
      <c r="N12356" s="8" t="s">
        <v>51795</v>
      </c>
      <c r="O12356" s="8">
        <f>14+51/60+6.6/3600</f>
        <v>14.851833333333333</v>
      </c>
      <c r="P12356" s="8" t="s">
        <v>51796</v>
      </c>
      <c r="Q12356" s="8">
        <f>+(37+29/60+43/3600)</f>
        <v>37.49527777777778</v>
      </c>
      <c r="R12356" s="8">
        <v>14.9</v>
      </c>
      <c r="S12356" s="8">
        <v>15.7</v>
      </c>
      <c r="T12356" s="8">
        <v>0.8</v>
      </c>
      <c r="U12356" s="8">
        <v>13.6</v>
      </c>
      <c r="V12356" s="8">
        <v>0.7</v>
      </c>
      <c r="W12356" s="8">
        <v>0.5</v>
      </c>
      <c r="X12356" s="8">
        <v>60</v>
      </c>
      <c r="Y12356" s="8" t="s">
        <v>37070</v>
      </c>
      <c r="Z12356" s="8" t="s">
        <v>37071</v>
      </c>
    </row>
    <row r="12357" spans="1:26" x14ac:dyDescent="0.2">
      <c r="A12357" s="8">
        <v>12356</v>
      </c>
      <c r="B12357" s="8" t="s">
        <v>51797</v>
      </c>
      <c r="C12357" s="8" t="s">
        <v>51797</v>
      </c>
      <c r="G12357" s="8">
        <v>20</v>
      </c>
      <c r="H12357" s="8" t="s">
        <v>21</v>
      </c>
      <c r="I12357" s="8" t="s">
        <v>22</v>
      </c>
      <c r="J12357" s="8" t="s">
        <v>22</v>
      </c>
      <c r="K12357" s="8" t="s">
        <v>382</v>
      </c>
      <c r="L12357" s="8" t="s">
        <v>22476</v>
      </c>
      <c r="M12357" s="8" t="s">
        <v>22477</v>
      </c>
      <c r="N12357" s="8" t="s">
        <v>51798</v>
      </c>
      <c r="O12357" s="8">
        <f>14+54/60+23.4/3600</f>
        <v>14.906500000000001</v>
      </c>
      <c r="P12357" s="8" t="s">
        <v>51799</v>
      </c>
      <c r="Q12357" s="8">
        <f>+(16+21/60+21/3600)</f>
        <v>16.355833333333333</v>
      </c>
      <c r="R12357" s="8">
        <v>13.2</v>
      </c>
      <c r="S12357" s="8">
        <v>14.2</v>
      </c>
      <c r="T12357" s="8">
        <v>1</v>
      </c>
      <c r="U12357" s="8">
        <v>12.9</v>
      </c>
      <c r="V12357" s="8">
        <v>1</v>
      </c>
      <c r="W12357" s="8">
        <v>0.7</v>
      </c>
      <c r="X12357" s="8">
        <v>162</v>
      </c>
      <c r="Y12357" s="8" t="s">
        <v>237</v>
      </c>
      <c r="Z12357" s="8" t="s">
        <v>238</v>
      </c>
    </row>
    <row r="12358" spans="1:26" x14ac:dyDescent="0.2">
      <c r="A12358" s="8">
        <v>12357</v>
      </c>
      <c r="B12358" s="8" t="s">
        <v>51800</v>
      </c>
      <c r="C12358" s="8" t="s">
        <v>51800</v>
      </c>
      <c r="G12358" s="8">
        <v>20</v>
      </c>
      <c r="H12358" s="8" t="s">
        <v>21</v>
      </c>
      <c r="I12358" s="8" t="s">
        <v>22</v>
      </c>
      <c r="J12358" s="8" t="s">
        <v>22</v>
      </c>
      <c r="K12358" s="8" t="s">
        <v>23</v>
      </c>
      <c r="L12358" s="8" t="s">
        <v>22476</v>
      </c>
      <c r="M12358" s="8" t="s">
        <v>22477</v>
      </c>
      <c r="N12358" s="8" t="s">
        <v>51801</v>
      </c>
      <c r="O12358" s="8">
        <f>14+54/60+35.1/3600</f>
        <v>14.909750000000001</v>
      </c>
      <c r="P12358" s="8" t="s">
        <v>51802</v>
      </c>
      <c r="Q12358" s="8">
        <f>+(23+38/60+35/3600)</f>
        <v>23.643055555555556</v>
      </c>
      <c r="R12358" s="8">
        <v>14.7</v>
      </c>
      <c r="S12358" s="8">
        <v>15.5</v>
      </c>
      <c r="T12358" s="8">
        <v>0.8</v>
      </c>
      <c r="U12358" s="8">
        <v>12.1</v>
      </c>
      <c r="V12358" s="8">
        <v>0.5</v>
      </c>
      <c r="W12358" s="8">
        <v>0.2</v>
      </c>
      <c r="X12358" s="8">
        <v>160</v>
      </c>
      <c r="Y12358" s="8" t="s">
        <v>46141</v>
      </c>
      <c r="Z12358" s="8" t="s">
        <v>51803</v>
      </c>
    </row>
    <row r="12359" spans="1:26" x14ac:dyDescent="0.2">
      <c r="A12359" s="8">
        <v>12358</v>
      </c>
      <c r="B12359" s="8" t="s">
        <v>51804</v>
      </c>
      <c r="C12359" s="8" t="s">
        <v>51804</v>
      </c>
      <c r="G12359" s="8">
        <v>20</v>
      </c>
      <c r="H12359" s="8" t="s">
        <v>21</v>
      </c>
      <c r="I12359" s="8" t="s">
        <v>22</v>
      </c>
      <c r="J12359" s="8" t="s">
        <v>22</v>
      </c>
      <c r="K12359" s="8" t="s">
        <v>396</v>
      </c>
      <c r="L12359" s="8" t="s">
        <v>24674</v>
      </c>
      <c r="M12359" s="8" t="s">
        <v>24675</v>
      </c>
      <c r="N12359" s="8" t="s">
        <v>51805</v>
      </c>
      <c r="O12359" s="8">
        <f>14+57/60+45.2/3600</f>
        <v>14.962555555555555</v>
      </c>
      <c r="P12359" s="8" t="s">
        <v>51806</v>
      </c>
      <c r="Q12359" s="8">
        <f>-(43+7/60+52/3600)</f>
        <v>-43.13111111111111</v>
      </c>
      <c r="R12359" s="8">
        <v>13.5</v>
      </c>
      <c r="S12359" s="8">
        <v>14.3</v>
      </c>
      <c r="T12359" s="8">
        <v>0.8</v>
      </c>
      <c r="U12359" s="8">
        <v>13.7</v>
      </c>
      <c r="V12359" s="8">
        <v>2.2000000000000002</v>
      </c>
      <c r="W12359" s="8">
        <v>0.6</v>
      </c>
      <c r="X12359" s="8">
        <v>108</v>
      </c>
      <c r="Y12359" s="8" t="s">
        <v>51807</v>
      </c>
      <c r="Z12359" s="8" t="s">
        <v>51808</v>
      </c>
    </row>
    <row r="12360" spans="1:26" x14ac:dyDescent="0.2">
      <c r="A12360" s="8">
        <v>12359</v>
      </c>
      <c r="B12360" s="8" t="s">
        <v>51809</v>
      </c>
      <c r="C12360" s="8" t="s">
        <v>51809</v>
      </c>
      <c r="G12360" s="8">
        <v>20</v>
      </c>
      <c r="H12360" s="8" t="s">
        <v>21</v>
      </c>
      <c r="I12360" s="8" t="s">
        <v>22</v>
      </c>
      <c r="J12360" s="8" t="s">
        <v>22</v>
      </c>
      <c r="K12360" s="8" t="s">
        <v>435</v>
      </c>
      <c r="L12360" s="8" t="s">
        <v>22476</v>
      </c>
      <c r="M12360" s="8" t="s">
        <v>22477</v>
      </c>
      <c r="N12360" s="8" t="s">
        <v>51810</v>
      </c>
      <c r="O12360" s="8">
        <f>14+54/60+44.4/3600</f>
        <v>14.912333333333335</v>
      </c>
      <c r="P12360" s="8" t="s">
        <v>51811</v>
      </c>
      <c r="Q12360" s="8">
        <f>+(37+24/60+47/3600)</f>
        <v>37.413055555555552</v>
      </c>
      <c r="R12360" s="8">
        <v>14.5</v>
      </c>
      <c r="S12360" s="8">
        <v>15.4</v>
      </c>
      <c r="T12360" s="8">
        <v>0.9</v>
      </c>
      <c r="U12360" s="8">
        <v>13</v>
      </c>
      <c r="V12360" s="8">
        <v>0.7</v>
      </c>
      <c r="W12360" s="8">
        <v>0.4</v>
      </c>
      <c r="X12360" s="8">
        <v>135</v>
      </c>
      <c r="Y12360" s="8" t="s">
        <v>51812</v>
      </c>
      <c r="Z12360" s="8" t="s">
        <v>51813</v>
      </c>
    </row>
    <row r="12361" spans="1:26" x14ac:dyDescent="0.2">
      <c r="A12361" s="8">
        <v>12360</v>
      </c>
      <c r="B12361" s="8" t="s">
        <v>51814</v>
      </c>
      <c r="C12361" s="8" t="s">
        <v>51814</v>
      </c>
      <c r="G12361" s="8">
        <v>20</v>
      </c>
      <c r="H12361" s="8" t="s">
        <v>21</v>
      </c>
      <c r="I12361" s="8" t="s">
        <v>22</v>
      </c>
      <c r="J12361" s="8" t="s">
        <v>22</v>
      </c>
      <c r="K12361" s="8" t="s">
        <v>23</v>
      </c>
      <c r="L12361" s="8" t="s">
        <v>22476</v>
      </c>
      <c r="M12361" s="8" t="s">
        <v>22477</v>
      </c>
      <c r="N12361" s="8" t="s">
        <v>51815</v>
      </c>
      <c r="O12361" s="8">
        <f>14+55/60+7/3600</f>
        <v>14.91861111111111</v>
      </c>
      <c r="P12361" s="8" t="s">
        <v>51816</v>
      </c>
      <c r="Q12361" s="8">
        <f>+(33+43/60+28/3600)</f>
        <v>33.724444444444444</v>
      </c>
      <c r="R12361" s="8">
        <v>15.3</v>
      </c>
      <c r="S12361" s="8">
        <v>16.100000000000001</v>
      </c>
      <c r="T12361" s="8">
        <v>0.8</v>
      </c>
      <c r="U12361" s="8">
        <v>13.2</v>
      </c>
      <c r="V12361" s="8">
        <v>0.4</v>
      </c>
      <c r="W12361" s="8">
        <v>0.4</v>
      </c>
      <c r="Y12361" s="8" t="s">
        <v>41033</v>
      </c>
      <c r="Z12361" s="8" t="s">
        <v>41034</v>
      </c>
    </row>
    <row r="12362" spans="1:26" x14ac:dyDescent="0.2">
      <c r="A12362" s="8">
        <v>12361</v>
      </c>
      <c r="B12362" s="8" t="s">
        <v>51817</v>
      </c>
      <c r="C12362" s="8" t="s">
        <v>51817</v>
      </c>
      <c r="G12362" s="8">
        <v>20</v>
      </c>
      <c r="H12362" s="8" t="s">
        <v>21</v>
      </c>
      <c r="I12362" s="8" t="s">
        <v>22</v>
      </c>
      <c r="J12362" s="8" t="s">
        <v>22</v>
      </c>
      <c r="K12362" s="8" t="s">
        <v>160</v>
      </c>
      <c r="L12362" s="8" t="s">
        <v>22476</v>
      </c>
      <c r="M12362" s="8" t="s">
        <v>22477</v>
      </c>
      <c r="N12362" s="8" t="s">
        <v>51818</v>
      </c>
      <c r="O12362" s="8">
        <f>14+59/60+27.3/3600</f>
        <v>14.990916666666665</v>
      </c>
      <c r="P12362" s="8" t="s">
        <v>51819</v>
      </c>
      <c r="Q12362" s="8">
        <f>+(25+35/60+0/3600)</f>
        <v>25.583333333333332</v>
      </c>
      <c r="R12362" s="8">
        <v>14.7</v>
      </c>
      <c r="S12362" s="8">
        <v>15.4</v>
      </c>
      <c r="T12362" s="8">
        <v>0.7</v>
      </c>
      <c r="U12362" s="8">
        <v>12.5</v>
      </c>
      <c r="V12362" s="8">
        <v>0.5</v>
      </c>
      <c r="W12362" s="8">
        <v>0.3</v>
      </c>
      <c r="X12362" s="8">
        <v>100</v>
      </c>
      <c r="Y12362" s="8" t="s">
        <v>47443</v>
      </c>
      <c r="Z12362" s="8" t="s">
        <v>47444</v>
      </c>
    </row>
    <row r="12363" spans="1:26" x14ac:dyDescent="0.2">
      <c r="A12363" s="8">
        <v>12362</v>
      </c>
      <c r="B12363" s="8" t="s">
        <v>51820</v>
      </c>
      <c r="C12363" s="8" t="s">
        <v>51820</v>
      </c>
      <c r="G12363" s="8">
        <v>20</v>
      </c>
      <c r="H12363" s="8" t="s">
        <v>21</v>
      </c>
      <c r="I12363" s="8" t="s">
        <v>22</v>
      </c>
      <c r="J12363" s="8" t="s">
        <v>22</v>
      </c>
      <c r="K12363" s="8" t="s">
        <v>23</v>
      </c>
      <c r="L12363" s="8" t="s">
        <v>25025</v>
      </c>
      <c r="M12363" s="8" t="s">
        <v>25026</v>
      </c>
      <c r="N12363" s="8" t="s">
        <v>51821</v>
      </c>
      <c r="O12363" s="8">
        <f>15+11/60+29.7/3600</f>
        <v>15.191583333333334</v>
      </c>
      <c r="P12363" s="8" t="s">
        <v>51822</v>
      </c>
      <c r="Q12363" s="8">
        <f>-(75+51/60+32/3600)</f>
        <v>-75.858888888888885</v>
      </c>
      <c r="R12363" s="8">
        <v>12.3</v>
      </c>
      <c r="S12363" s="8">
        <v>13.1</v>
      </c>
      <c r="T12363" s="8">
        <v>0.8</v>
      </c>
      <c r="U12363" s="8">
        <v>12.2</v>
      </c>
      <c r="V12363" s="8">
        <v>2</v>
      </c>
      <c r="W12363" s="8">
        <v>0.5</v>
      </c>
      <c r="X12363" s="8">
        <v>115</v>
      </c>
      <c r="Y12363" s="8" t="s">
        <v>51823</v>
      </c>
      <c r="Z12363" s="8" t="s">
        <v>51824</v>
      </c>
    </row>
    <row r="12364" spans="1:26" x14ac:dyDescent="0.2">
      <c r="A12364" s="8">
        <v>12363</v>
      </c>
      <c r="B12364" s="8" t="s">
        <v>51825</v>
      </c>
      <c r="C12364" s="8" t="s">
        <v>51825</v>
      </c>
      <c r="G12364" s="8">
        <v>20</v>
      </c>
      <c r="H12364" s="8" t="s">
        <v>21</v>
      </c>
      <c r="I12364" s="8" t="s">
        <v>22</v>
      </c>
      <c r="J12364" s="8" t="s">
        <v>22</v>
      </c>
      <c r="K12364" s="8" t="s">
        <v>64</v>
      </c>
      <c r="L12364" s="8" t="s">
        <v>24674</v>
      </c>
      <c r="M12364" s="8" t="s">
        <v>24675</v>
      </c>
      <c r="N12364" s="8" t="s">
        <v>51826</v>
      </c>
      <c r="O12364" s="8">
        <f>15+5/60+10.5/3600</f>
        <v>15.08625</v>
      </c>
      <c r="P12364" s="8" t="s">
        <v>51827</v>
      </c>
      <c r="Q12364" s="8">
        <f>-(43+30/60+35/3600)</f>
        <v>-43.509722222222223</v>
      </c>
      <c r="R12364" s="8">
        <v>13.2</v>
      </c>
      <c r="S12364" s="8">
        <v>13.9</v>
      </c>
      <c r="T12364" s="8">
        <v>0.7</v>
      </c>
      <c r="U12364" s="8">
        <v>14.2</v>
      </c>
      <c r="V12364" s="8">
        <v>2</v>
      </c>
      <c r="W12364" s="8">
        <v>1.4</v>
      </c>
      <c r="X12364" s="8">
        <v>0</v>
      </c>
      <c r="Y12364" s="8" t="s">
        <v>46310</v>
      </c>
      <c r="Z12364" s="8" t="s">
        <v>46311</v>
      </c>
    </row>
    <row r="12365" spans="1:26" x14ac:dyDescent="0.2">
      <c r="A12365" s="8">
        <v>12364</v>
      </c>
      <c r="B12365" s="8" t="s">
        <v>51828</v>
      </c>
      <c r="C12365" s="8" t="s">
        <v>51828</v>
      </c>
      <c r="G12365" s="8">
        <v>20</v>
      </c>
      <c r="H12365" s="8" t="s">
        <v>21</v>
      </c>
      <c r="I12365" s="8" t="s">
        <v>22</v>
      </c>
      <c r="J12365" s="8" t="s">
        <v>22</v>
      </c>
      <c r="K12365" s="8" t="s">
        <v>160</v>
      </c>
      <c r="L12365" s="8" t="s">
        <v>22476</v>
      </c>
      <c r="M12365" s="8" t="s">
        <v>22477</v>
      </c>
      <c r="N12365" s="8" t="s">
        <v>51829</v>
      </c>
      <c r="O12365" s="8">
        <f>15+2/60+6.2/3600</f>
        <v>15.035055555555555</v>
      </c>
      <c r="P12365" s="8" t="s">
        <v>51830</v>
      </c>
      <c r="Q12365" s="8">
        <f>+(25+36/60+2/3600)</f>
        <v>25.600555555555555</v>
      </c>
      <c r="R12365" s="8">
        <v>14.9</v>
      </c>
      <c r="S12365" s="8">
        <v>15.6</v>
      </c>
      <c r="T12365" s="8">
        <v>0.7</v>
      </c>
      <c r="U12365" s="8">
        <v>13.2</v>
      </c>
      <c r="V12365" s="8">
        <v>0.5</v>
      </c>
      <c r="W12365" s="8">
        <v>0.5</v>
      </c>
      <c r="Y12365" s="8" t="s">
        <v>51831</v>
      </c>
      <c r="Z12365" s="8" t="s">
        <v>51832</v>
      </c>
    </row>
    <row r="12366" spans="1:26" x14ac:dyDescent="0.2">
      <c r="A12366" s="8">
        <v>12365</v>
      </c>
      <c r="B12366" s="8" t="s">
        <v>51833</v>
      </c>
      <c r="C12366" s="8" t="s">
        <v>51833</v>
      </c>
      <c r="G12366" s="8">
        <v>20</v>
      </c>
      <c r="H12366" s="8" t="s">
        <v>21</v>
      </c>
      <c r="I12366" s="8" t="s">
        <v>22</v>
      </c>
      <c r="J12366" s="8" t="s">
        <v>22</v>
      </c>
      <c r="K12366" s="8" t="s">
        <v>269</v>
      </c>
      <c r="L12366" s="8" t="s">
        <v>22476</v>
      </c>
      <c r="M12366" s="8" t="s">
        <v>22477</v>
      </c>
      <c r="N12366" s="8" t="s">
        <v>51834</v>
      </c>
      <c r="O12366" s="8">
        <f>15+2/60+24.7/3600</f>
        <v>15.040194444444444</v>
      </c>
      <c r="P12366" s="8" t="s">
        <v>51835</v>
      </c>
      <c r="Q12366" s="8">
        <f>+(25+38/60+16/3600)</f>
        <v>25.637777777777778</v>
      </c>
      <c r="R12366" s="8">
        <v>15.1</v>
      </c>
      <c r="S12366" s="8">
        <v>15.7</v>
      </c>
      <c r="T12366" s="8">
        <v>0.6</v>
      </c>
      <c r="U12366" s="8">
        <v>13</v>
      </c>
      <c r="V12366" s="8">
        <v>0.4</v>
      </c>
      <c r="W12366" s="8">
        <v>0.4</v>
      </c>
      <c r="Y12366" s="8" t="s">
        <v>44249</v>
      </c>
      <c r="Z12366" s="8" t="s">
        <v>44250</v>
      </c>
    </row>
    <row r="12367" spans="1:26" x14ac:dyDescent="0.2">
      <c r="A12367" s="8">
        <v>12366</v>
      </c>
      <c r="B12367" s="8" t="s">
        <v>51836</v>
      </c>
      <c r="C12367" s="8" t="s">
        <v>51836</v>
      </c>
      <c r="G12367" s="8">
        <v>20</v>
      </c>
      <c r="H12367" s="8" t="s">
        <v>21</v>
      </c>
      <c r="I12367" s="8" t="s">
        <v>22</v>
      </c>
      <c r="J12367" s="8" t="s">
        <v>22</v>
      </c>
      <c r="K12367" s="8" t="s">
        <v>476</v>
      </c>
      <c r="L12367" s="8" t="s">
        <v>22476</v>
      </c>
      <c r="M12367" s="8" t="s">
        <v>22477</v>
      </c>
      <c r="N12367" s="8" t="s">
        <v>51837</v>
      </c>
      <c r="O12367" s="8">
        <f>15+2/60+38.3/3600</f>
        <v>15.043972222222223</v>
      </c>
      <c r="P12367" s="8" t="s">
        <v>51838</v>
      </c>
      <c r="Q12367" s="8">
        <f>+(23+21/60+4/3600)</f>
        <v>23.351111111111113</v>
      </c>
      <c r="R12367" s="8">
        <v>15.8</v>
      </c>
      <c r="S12367" s="8">
        <v>16.600000000000001</v>
      </c>
      <c r="T12367" s="8">
        <v>0.8</v>
      </c>
      <c r="U12367" s="8">
        <v>13.3</v>
      </c>
      <c r="V12367" s="8">
        <v>0.4</v>
      </c>
      <c r="W12367" s="8">
        <v>0.3</v>
      </c>
      <c r="X12367" s="8">
        <v>10</v>
      </c>
      <c r="Y12367" s="8" t="s">
        <v>46190</v>
      </c>
      <c r="Z12367" s="8" t="s">
        <v>46191</v>
      </c>
    </row>
    <row r="12368" spans="1:26" x14ac:dyDescent="0.2">
      <c r="A12368" s="8">
        <v>12367</v>
      </c>
      <c r="B12368" s="8" t="s">
        <v>51839</v>
      </c>
      <c r="C12368" s="8" t="s">
        <v>51839</v>
      </c>
      <c r="G12368" s="8">
        <v>20</v>
      </c>
      <c r="H12368" s="8" t="s">
        <v>21</v>
      </c>
      <c r="I12368" s="8" t="s">
        <v>22</v>
      </c>
      <c r="J12368" s="8" t="s">
        <v>22</v>
      </c>
      <c r="K12368" s="8" t="s">
        <v>85</v>
      </c>
      <c r="L12368" s="8" t="s">
        <v>24674</v>
      </c>
      <c r="M12368" s="8" t="s">
        <v>24675</v>
      </c>
      <c r="N12368" s="8" t="s">
        <v>51840</v>
      </c>
      <c r="O12368" s="8">
        <f>15+5/60+41/3600</f>
        <v>15.094722222222222</v>
      </c>
      <c r="P12368" s="8" t="s">
        <v>51841</v>
      </c>
      <c r="Q12368" s="8">
        <f>-(42+26/60+56/3600)</f>
        <v>-42.448888888888888</v>
      </c>
      <c r="R12368" s="8">
        <v>13.3</v>
      </c>
      <c r="S12368" s="8">
        <v>14.1</v>
      </c>
      <c r="T12368" s="8">
        <v>0.8</v>
      </c>
      <c r="U12368" s="8">
        <v>13</v>
      </c>
      <c r="V12368" s="8">
        <v>1.3</v>
      </c>
      <c r="W12368" s="8">
        <v>0.7</v>
      </c>
      <c r="X12368" s="8">
        <v>46</v>
      </c>
      <c r="Y12368" s="8" t="s">
        <v>51842</v>
      </c>
      <c r="Z12368" s="8" t="s">
        <v>51843</v>
      </c>
    </row>
    <row r="12369" spans="1:26" x14ac:dyDescent="0.2">
      <c r="A12369" s="8">
        <v>12368</v>
      </c>
      <c r="B12369" s="8" t="s">
        <v>51844</v>
      </c>
      <c r="C12369" s="8" t="s">
        <v>51844</v>
      </c>
      <c r="G12369" s="8">
        <v>20</v>
      </c>
      <c r="H12369" s="8" t="s">
        <v>21</v>
      </c>
      <c r="I12369" s="8" t="s">
        <v>22</v>
      </c>
      <c r="J12369" s="8" t="s">
        <v>22</v>
      </c>
      <c r="K12369" s="8" t="s">
        <v>449</v>
      </c>
      <c r="L12369" s="8" t="s">
        <v>22476</v>
      </c>
      <c r="M12369" s="8" t="s">
        <v>22477</v>
      </c>
      <c r="N12369" s="8" t="s">
        <v>51845</v>
      </c>
      <c r="O12369" s="8">
        <f>15+1/60+33.5/3600</f>
        <v>15.025972222222222</v>
      </c>
      <c r="P12369" s="8" t="s">
        <v>51846</v>
      </c>
      <c r="Q12369" s="8">
        <f>+(49+6/60+47/3600)</f>
        <v>49.113055555555555</v>
      </c>
      <c r="R12369" s="8">
        <v>14.3</v>
      </c>
      <c r="S12369" s="8">
        <v>15.1</v>
      </c>
      <c r="T12369" s="8">
        <v>0.8</v>
      </c>
      <c r="U12369" s="8">
        <v>13.2</v>
      </c>
      <c r="V12369" s="8">
        <v>0.7</v>
      </c>
      <c r="W12369" s="8">
        <v>0.5</v>
      </c>
      <c r="X12369" s="8">
        <v>160</v>
      </c>
      <c r="Y12369" s="8" t="s">
        <v>51847</v>
      </c>
      <c r="Z12369" s="8" t="s">
        <v>51848</v>
      </c>
    </row>
    <row r="12370" spans="1:26" x14ac:dyDescent="0.2">
      <c r="A12370" s="8">
        <v>12369</v>
      </c>
      <c r="B12370" s="8" t="s">
        <v>51849</v>
      </c>
      <c r="C12370" s="8" t="s">
        <v>51849</v>
      </c>
      <c r="G12370" s="8">
        <v>20</v>
      </c>
      <c r="H12370" s="8" t="s">
        <v>21</v>
      </c>
      <c r="I12370" s="8" t="s">
        <v>22</v>
      </c>
      <c r="J12370" s="8" t="s">
        <v>22</v>
      </c>
      <c r="K12370" s="8" t="s">
        <v>396</v>
      </c>
      <c r="L12370" s="8" t="s">
        <v>24674</v>
      </c>
      <c r="M12370" s="8" t="s">
        <v>24675</v>
      </c>
      <c r="N12370" s="8" t="s">
        <v>51850</v>
      </c>
      <c r="O12370" s="8">
        <f>15+6/60+25.7/3600</f>
        <v>15.107138888888889</v>
      </c>
      <c r="P12370" s="8" t="s">
        <v>51851</v>
      </c>
      <c r="Q12370" s="8">
        <f>-(43+14/60+0/3600)</f>
        <v>-43.233333333333334</v>
      </c>
      <c r="R12370" s="8">
        <v>14.2</v>
      </c>
      <c r="S12370" s="8">
        <v>15</v>
      </c>
      <c r="T12370" s="8">
        <v>0.8</v>
      </c>
      <c r="U12370" s="8">
        <v>13.1</v>
      </c>
      <c r="V12370" s="8">
        <v>0.7</v>
      </c>
      <c r="W12370" s="8">
        <v>0.6</v>
      </c>
      <c r="Y12370" s="8" t="s">
        <v>51852</v>
      </c>
      <c r="Z12370" s="8" t="s">
        <v>46311</v>
      </c>
    </row>
    <row r="12371" spans="1:26" x14ac:dyDescent="0.2">
      <c r="A12371" s="8">
        <v>12370</v>
      </c>
      <c r="B12371" s="8" t="s">
        <v>51853</v>
      </c>
      <c r="C12371" s="8" t="s">
        <v>51853</v>
      </c>
      <c r="G12371" s="8">
        <v>20</v>
      </c>
      <c r="H12371" s="8" t="s">
        <v>21</v>
      </c>
      <c r="I12371" s="8" t="s">
        <v>22</v>
      </c>
      <c r="J12371" s="8" t="s">
        <v>22</v>
      </c>
      <c r="K12371" s="8" t="s">
        <v>476</v>
      </c>
      <c r="L12371" s="8" t="s">
        <v>22476</v>
      </c>
      <c r="M12371" s="8" t="s">
        <v>22477</v>
      </c>
      <c r="N12371" s="8" t="s">
        <v>51854</v>
      </c>
      <c r="O12371" s="8">
        <f>15+3/60+45.4/3600</f>
        <v>15.062611111111112</v>
      </c>
      <c r="P12371" s="8" t="s">
        <v>36116</v>
      </c>
      <c r="Q12371" s="8">
        <f>+(26+6/60+0/3600)</f>
        <v>26.1</v>
      </c>
      <c r="R12371" s="8">
        <v>14.5</v>
      </c>
      <c r="S12371" s="8">
        <v>15.3</v>
      </c>
      <c r="T12371" s="8">
        <v>0.8</v>
      </c>
      <c r="U12371" s="8">
        <v>12.6</v>
      </c>
      <c r="V12371" s="8">
        <v>1</v>
      </c>
      <c r="W12371" s="8">
        <v>0.2</v>
      </c>
      <c r="X12371" s="8">
        <v>19</v>
      </c>
      <c r="Y12371" s="8" t="s">
        <v>51855</v>
      </c>
      <c r="Z12371" s="8" t="s">
        <v>51856</v>
      </c>
    </row>
    <row r="12372" spans="1:26" x14ac:dyDescent="0.2">
      <c r="A12372" s="8">
        <v>12371</v>
      </c>
      <c r="B12372" s="8" t="s">
        <v>51857</v>
      </c>
      <c r="C12372" s="8" t="s">
        <v>51857</v>
      </c>
      <c r="G12372" s="8">
        <v>20</v>
      </c>
      <c r="H12372" s="8" t="s">
        <v>21</v>
      </c>
      <c r="I12372" s="8" t="s">
        <v>22</v>
      </c>
      <c r="J12372" s="8" t="s">
        <v>22</v>
      </c>
      <c r="K12372" s="8" t="s">
        <v>424</v>
      </c>
      <c r="L12372" s="8" t="s">
        <v>22476</v>
      </c>
      <c r="M12372" s="8" t="s">
        <v>22477</v>
      </c>
      <c r="N12372" s="8" t="s">
        <v>51858</v>
      </c>
      <c r="O12372" s="8">
        <f>15+4/60+26.4/3600</f>
        <v>15.074</v>
      </c>
      <c r="P12372" s="8" t="s">
        <v>51859</v>
      </c>
      <c r="Q12372" s="8">
        <f>+(23+24/60+56/3600)</f>
        <v>23.415555555555553</v>
      </c>
      <c r="R12372" s="8">
        <v>14.9</v>
      </c>
      <c r="S12372" s="8">
        <v>15.9</v>
      </c>
      <c r="T12372" s="8">
        <v>1</v>
      </c>
      <c r="U12372" s="8">
        <v>13.8</v>
      </c>
      <c r="V12372" s="8">
        <v>0.8</v>
      </c>
      <c r="W12372" s="8">
        <v>0.5</v>
      </c>
      <c r="X12372" s="8">
        <v>10</v>
      </c>
      <c r="Y12372" s="8" t="s">
        <v>41541</v>
      </c>
      <c r="Z12372" s="8" t="s">
        <v>41542</v>
      </c>
    </row>
    <row r="12373" spans="1:26" x14ac:dyDescent="0.2">
      <c r="A12373" s="8">
        <v>12372</v>
      </c>
      <c r="B12373" s="8" t="s">
        <v>51860</v>
      </c>
      <c r="C12373" s="8" t="s">
        <v>51860</v>
      </c>
      <c r="G12373" s="8">
        <v>20</v>
      </c>
      <c r="H12373" s="8" t="s">
        <v>21</v>
      </c>
      <c r="I12373" s="8" t="s">
        <v>22</v>
      </c>
      <c r="J12373" s="8" t="s">
        <v>22</v>
      </c>
      <c r="K12373" s="8" t="s">
        <v>449</v>
      </c>
      <c r="L12373" s="8" t="s">
        <v>22476</v>
      </c>
      <c r="M12373" s="8" t="s">
        <v>22477</v>
      </c>
      <c r="N12373" s="8" t="s">
        <v>51861</v>
      </c>
      <c r="O12373" s="8">
        <f>15+4/60+53.7/3600</f>
        <v>15.081583333333333</v>
      </c>
      <c r="P12373" s="8" t="s">
        <v>51862</v>
      </c>
      <c r="Q12373" s="8">
        <f>+(23+15/60+23/3600)</f>
        <v>23.256388888888889</v>
      </c>
      <c r="R12373" s="8">
        <v>14.6</v>
      </c>
      <c r="S12373" s="8">
        <v>15.4</v>
      </c>
      <c r="T12373" s="8">
        <v>0.8</v>
      </c>
      <c r="U12373" s="8">
        <v>13.2</v>
      </c>
      <c r="V12373" s="8">
        <v>0.8</v>
      </c>
      <c r="W12373" s="8">
        <v>0.4</v>
      </c>
      <c r="X12373" s="8">
        <v>90</v>
      </c>
      <c r="Y12373" s="8" t="s">
        <v>51863</v>
      </c>
      <c r="Z12373" s="8" t="s">
        <v>51864</v>
      </c>
    </row>
    <row r="12374" spans="1:26" x14ac:dyDescent="0.2">
      <c r="A12374" s="8">
        <v>12373</v>
      </c>
      <c r="B12374" s="8" t="s">
        <v>51865</v>
      </c>
      <c r="C12374" s="8" t="s">
        <v>51865</v>
      </c>
      <c r="G12374" s="8">
        <v>20</v>
      </c>
      <c r="H12374" s="8" t="s">
        <v>21</v>
      </c>
      <c r="I12374" s="8" t="s">
        <v>22</v>
      </c>
      <c r="J12374" s="8" t="s">
        <v>22</v>
      </c>
      <c r="K12374" s="8" t="s">
        <v>91</v>
      </c>
      <c r="L12374" s="8" t="s">
        <v>22476</v>
      </c>
      <c r="M12374" s="8" t="s">
        <v>22477</v>
      </c>
      <c r="N12374" s="8" t="s">
        <v>51866</v>
      </c>
      <c r="O12374" s="8">
        <f>15+4/60+30.3/3600</f>
        <v>15.075083333333334</v>
      </c>
      <c r="P12374" s="8" t="s">
        <v>51867</v>
      </c>
      <c r="Q12374" s="8">
        <f>+(27+47/60+36/3600)</f>
        <v>27.793333333333337</v>
      </c>
      <c r="R12374" s="8">
        <v>13.9</v>
      </c>
      <c r="S12374" s="8">
        <v>14.8</v>
      </c>
      <c r="T12374" s="8">
        <v>0.9</v>
      </c>
      <c r="U12374" s="8">
        <v>13.4</v>
      </c>
      <c r="V12374" s="8">
        <v>1</v>
      </c>
      <c r="W12374" s="8">
        <v>0.7</v>
      </c>
      <c r="X12374" s="8">
        <v>160</v>
      </c>
      <c r="Y12374" s="8" t="s">
        <v>51868</v>
      </c>
      <c r="Z12374" s="8" t="s">
        <v>51869</v>
      </c>
    </row>
    <row r="12375" spans="1:26" x14ac:dyDescent="0.2">
      <c r="A12375" s="8">
        <v>12374</v>
      </c>
      <c r="B12375" s="8" t="s">
        <v>51870</v>
      </c>
      <c r="C12375" s="8" t="s">
        <v>51870</v>
      </c>
      <c r="G12375" s="8">
        <v>20</v>
      </c>
      <c r="H12375" s="8" t="s">
        <v>21</v>
      </c>
      <c r="I12375" s="8" t="s">
        <v>22</v>
      </c>
      <c r="J12375" s="8" t="s">
        <v>22</v>
      </c>
      <c r="K12375" s="8" t="s">
        <v>224</v>
      </c>
      <c r="L12375" s="8" t="s">
        <v>22476</v>
      </c>
      <c r="M12375" s="8" t="s">
        <v>22477</v>
      </c>
      <c r="N12375" s="8" t="s">
        <v>51871</v>
      </c>
      <c r="O12375" s="8">
        <f>15+6/60+41.7/3600</f>
        <v>15.111583333333334</v>
      </c>
      <c r="P12375" s="8" t="s">
        <v>51872</v>
      </c>
      <c r="Q12375" s="8">
        <f>+(23+38/60+30/3600)</f>
        <v>23.641666666666666</v>
      </c>
      <c r="R12375" s="8">
        <v>13.2</v>
      </c>
      <c r="S12375" s="8">
        <v>14.2</v>
      </c>
      <c r="T12375" s="8">
        <v>1</v>
      </c>
      <c r="U12375" s="8">
        <v>13.1</v>
      </c>
      <c r="V12375" s="8">
        <v>1.5</v>
      </c>
      <c r="W12375" s="8">
        <v>0.9</v>
      </c>
      <c r="X12375" s="8">
        <v>160</v>
      </c>
      <c r="Y12375" s="8" t="s">
        <v>51873</v>
      </c>
      <c r="Z12375" s="8" t="s">
        <v>51874</v>
      </c>
    </row>
    <row r="12376" spans="1:26" x14ac:dyDescent="0.2">
      <c r="A12376" s="8">
        <v>12375</v>
      </c>
      <c r="B12376" s="8" t="s">
        <v>51875</v>
      </c>
      <c r="C12376" s="8" t="s">
        <v>51875</v>
      </c>
      <c r="G12376" s="8">
        <v>20</v>
      </c>
      <c r="H12376" s="8" t="s">
        <v>21</v>
      </c>
      <c r="I12376" s="8" t="s">
        <v>22</v>
      </c>
      <c r="J12376" s="8" t="s">
        <v>22</v>
      </c>
      <c r="K12376" s="8" t="s">
        <v>476</v>
      </c>
      <c r="L12376" s="8" t="s">
        <v>22476</v>
      </c>
      <c r="M12376" s="8" t="s">
        <v>22477</v>
      </c>
      <c r="N12376" s="8" t="s">
        <v>51876</v>
      </c>
      <c r="O12376" s="8">
        <f>15+8/60+41.6/3600</f>
        <v>15.144888888888888</v>
      </c>
      <c r="P12376" s="8" t="s">
        <v>51877</v>
      </c>
      <c r="Q12376" s="8">
        <f>+(37+34/60+13/3600)</f>
        <v>37.570277777777783</v>
      </c>
      <c r="R12376" s="8">
        <v>15.5</v>
      </c>
      <c r="S12376" s="8">
        <v>16.5</v>
      </c>
      <c r="T12376" s="8">
        <v>1</v>
      </c>
      <c r="U12376" s="8">
        <v>12.6</v>
      </c>
      <c r="V12376" s="8">
        <v>0.4</v>
      </c>
      <c r="W12376" s="8">
        <v>0.2</v>
      </c>
      <c r="X12376" s="8">
        <v>165</v>
      </c>
      <c r="Y12376" s="8" t="s">
        <v>51812</v>
      </c>
      <c r="Z12376" s="8" t="s">
        <v>51813</v>
      </c>
    </row>
    <row r="12377" spans="1:26" x14ac:dyDescent="0.2">
      <c r="A12377" s="8">
        <v>12376</v>
      </c>
      <c r="B12377" s="8" t="s">
        <v>51878</v>
      </c>
      <c r="C12377" s="8" t="s">
        <v>51878</v>
      </c>
      <c r="G12377" s="8">
        <v>20</v>
      </c>
      <c r="H12377" s="8" t="s">
        <v>21</v>
      </c>
      <c r="I12377" s="8" t="s">
        <v>22</v>
      </c>
      <c r="J12377" s="8" t="s">
        <v>22</v>
      </c>
      <c r="K12377" s="8" t="s">
        <v>773</v>
      </c>
      <c r="L12377" s="8" t="s">
        <v>24948</v>
      </c>
      <c r="M12377" s="8" t="s">
        <v>24949</v>
      </c>
      <c r="N12377" s="8" t="s">
        <v>51879</v>
      </c>
      <c r="O12377" s="8">
        <f>15+13/60+17.3/3600</f>
        <v>15.221472222222223</v>
      </c>
      <c r="P12377" s="8" t="s">
        <v>51880</v>
      </c>
      <c r="Q12377" s="8">
        <f>-(18+8/60+15/3600)</f>
        <v>-18.137499999999999</v>
      </c>
      <c r="R12377" s="8">
        <v>13</v>
      </c>
      <c r="S12377" s="8">
        <v>13.6</v>
      </c>
      <c r="T12377" s="8">
        <v>0.6</v>
      </c>
      <c r="U12377" s="8">
        <v>14.3</v>
      </c>
      <c r="V12377" s="8">
        <v>2.2000000000000002</v>
      </c>
      <c r="W12377" s="8">
        <v>1.8</v>
      </c>
      <c r="X12377" s="8">
        <v>10</v>
      </c>
      <c r="Y12377" s="8" t="s">
        <v>51881</v>
      </c>
      <c r="Z12377" s="8" t="s">
        <v>51882</v>
      </c>
    </row>
    <row r="12378" spans="1:26" x14ac:dyDescent="0.2">
      <c r="A12378" s="8">
        <v>12377</v>
      </c>
      <c r="B12378" s="8" t="s">
        <v>51883</v>
      </c>
      <c r="C12378" s="8" t="s">
        <v>51883</v>
      </c>
      <c r="G12378" s="8">
        <v>20</v>
      </c>
      <c r="H12378" s="8" t="s">
        <v>21</v>
      </c>
      <c r="I12378" s="8" t="s">
        <v>22</v>
      </c>
      <c r="J12378" s="8" t="s">
        <v>22</v>
      </c>
      <c r="K12378" s="8" t="s">
        <v>382</v>
      </c>
      <c r="L12378" s="8" t="s">
        <v>26227</v>
      </c>
      <c r="M12378" s="8" t="s">
        <v>26228</v>
      </c>
      <c r="N12378" s="8" t="s">
        <v>51884</v>
      </c>
      <c r="O12378" s="8">
        <f>15+17/60+32.3/3600</f>
        <v>15.292305555555556</v>
      </c>
      <c r="P12378" s="8" t="s">
        <v>51885</v>
      </c>
      <c r="Q12378" s="8">
        <f>+(2+2/60+52/3600)</f>
        <v>2.0477777777777777</v>
      </c>
      <c r="R12378" s="8">
        <v>14.2</v>
      </c>
      <c r="S12378" s="8">
        <v>15.2</v>
      </c>
      <c r="T12378" s="8">
        <v>1</v>
      </c>
      <c r="U12378" s="8">
        <v>11.2</v>
      </c>
      <c r="V12378" s="8">
        <v>0.3</v>
      </c>
      <c r="W12378" s="8">
        <v>0.2</v>
      </c>
      <c r="X12378" s="8">
        <v>30</v>
      </c>
      <c r="Y12378" s="8" t="s">
        <v>4165</v>
      </c>
      <c r="Z12378" s="8" t="s">
        <v>4166</v>
      </c>
    </row>
    <row r="12379" spans="1:26" x14ac:dyDescent="0.2">
      <c r="A12379" s="8">
        <v>12378</v>
      </c>
      <c r="B12379" s="8" t="s">
        <v>51886</v>
      </c>
      <c r="C12379" s="8" t="s">
        <v>51886</v>
      </c>
      <c r="G12379" s="8">
        <v>20</v>
      </c>
      <c r="H12379" s="8" t="s">
        <v>21</v>
      </c>
      <c r="I12379" s="8" t="s">
        <v>22</v>
      </c>
      <c r="J12379" s="8" t="s">
        <v>22</v>
      </c>
      <c r="K12379" s="8" t="s">
        <v>64</v>
      </c>
      <c r="L12379" s="8" t="s">
        <v>24948</v>
      </c>
      <c r="M12379" s="8" t="s">
        <v>24949</v>
      </c>
      <c r="N12379" s="8" t="s">
        <v>51887</v>
      </c>
      <c r="O12379" s="8">
        <f>15+21/60+11.6/3600</f>
        <v>15.353222222222222</v>
      </c>
      <c r="P12379" s="8" t="s">
        <v>51888</v>
      </c>
      <c r="Q12379" s="8">
        <f>-(23+39/60+30/3600)</f>
        <v>-23.658333333333331</v>
      </c>
      <c r="R12379" s="8">
        <v>12.1</v>
      </c>
      <c r="S12379" s="8">
        <v>12.8</v>
      </c>
      <c r="T12379" s="8">
        <v>0.7</v>
      </c>
      <c r="U12379" s="8">
        <v>13.7</v>
      </c>
      <c r="V12379" s="8">
        <v>2.6</v>
      </c>
      <c r="W12379" s="8">
        <v>2</v>
      </c>
      <c r="X12379" s="8">
        <v>32</v>
      </c>
      <c r="Y12379" s="8" t="s">
        <v>51889</v>
      </c>
      <c r="Z12379" s="8" t="s">
        <v>51890</v>
      </c>
    </row>
    <row r="12380" spans="1:26" x14ac:dyDescent="0.2">
      <c r="A12380" s="8">
        <v>12379</v>
      </c>
      <c r="B12380" s="8" t="s">
        <v>51891</v>
      </c>
      <c r="C12380" s="8" t="s">
        <v>51891</v>
      </c>
      <c r="G12380" s="8">
        <v>20</v>
      </c>
      <c r="H12380" s="8" t="s">
        <v>21</v>
      </c>
      <c r="I12380" s="8" t="s">
        <v>22</v>
      </c>
      <c r="J12380" s="8" t="s">
        <v>22</v>
      </c>
      <c r="K12380" s="8" t="s">
        <v>1445</v>
      </c>
      <c r="L12380" s="8" t="s">
        <v>26398</v>
      </c>
      <c r="M12380" s="8" t="s">
        <v>26399</v>
      </c>
      <c r="N12380" s="8" t="s">
        <v>51892</v>
      </c>
      <c r="O12380" s="8">
        <f>15+18/60+31/3600</f>
        <v>15.308611111111112</v>
      </c>
      <c r="P12380" s="8" t="s">
        <v>51893</v>
      </c>
      <c r="Q12380" s="8">
        <f>+(32+23/60+34/3600)</f>
        <v>32.392777777777781</v>
      </c>
      <c r="R12380" s="8">
        <v>15.3</v>
      </c>
      <c r="S12380" s="8">
        <v>16.100000000000001</v>
      </c>
      <c r="T12380" s="8">
        <v>0.8</v>
      </c>
      <c r="U12380" s="8">
        <v>13.2</v>
      </c>
      <c r="V12380" s="8">
        <v>0.4</v>
      </c>
      <c r="W12380" s="8">
        <v>0.4</v>
      </c>
      <c r="Y12380" s="8" t="s">
        <v>25183</v>
      </c>
      <c r="Z12380" s="8" t="s">
        <v>25184</v>
      </c>
    </row>
    <row r="12381" spans="1:26" x14ac:dyDescent="0.2">
      <c r="A12381" s="8">
        <v>12380</v>
      </c>
      <c r="B12381" s="8" t="s">
        <v>51894</v>
      </c>
      <c r="C12381" s="8" t="s">
        <v>51894</v>
      </c>
      <c r="G12381" s="8">
        <v>20</v>
      </c>
      <c r="H12381" s="8" t="s">
        <v>21</v>
      </c>
      <c r="I12381" s="8" t="s">
        <v>329</v>
      </c>
      <c r="J12381" s="8" t="s">
        <v>329</v>
      </c>
      <c r="K12381" s="8" t="s">
        <v>329</v>
      </c>
      <c r="L12381" s="8" t="s">
        <v>26227</v>
      </c>
      <c r="M12381" s="8" t="s">
        <v>26228</v>
      </c>
      <c r="N12381" s="8" t="s">
        <v>51895</v>
      </c>
      <c r="O12381" s="8">
        <f>15+20/60+3/3600</f>
        <v>15.334166666666667</v>
      </c>
      <c r="P12381" s="8" t="s">
        <v>51896</v>
      </c>
      <c r="Q12381" s="8">
        <f>+(1+47/60+0/3600)</f>
        <v>1.7833333333333332</v>
      </c>
      <c r="R12381" s="8">
        <v>99</v>
      </c>
      <c r="S12381" s="8">
        <v>99</v>
      </c>
      <c r="T12381" s="8">
        <v>99</v>
      </c>
      <c r="U12381" s="8">
        <v>99</v>
      </c>
      <c r="Y12381" s="8" t="s">
        <v>51897</v>
      </c>
      <c r="Z12381" s="8" t="s">
        <v>51898</v>
      </c>
    </row>
    <row r="12382" spans="1:26" x14ac:dyDescent="0.2">
      <c r="A12382" s="8">
        <v>12381</v>
      </c>
      <c r="B12382" s="8" t="s">
        <v>51899</v>
      </c>
      <c r="C12382" s="8" t="s">
        <v>51899</v>
      </c>
      <c r="G12382" s="8">
        <v>20</v>
      </c>
      <c r="H12382" s="8" t="s">
        <v>21</v>
      </c>
      <c r="I12382" s="8" t="s">
        <v>22</v>
      </c>
      <c r="J12382" s="8" t="s">
        <v>22</v>
      </c>
      <c r="K12382" s="8" t="s">
        <v>23</v>
      </c>
      <c r="L12382" s="8" t="s">
        <v>25025</v>
      </c>
      <c r="M12382" s="8" t="s">
        <v>25026</v>
      </c>
      <c r="N12382" s="8" t="s">
        <v>51900</v>
      </c>
      <c r="O12382" s="8">
        <f>15+29/60+55.7/3600</f>
        <v>15.498805555555554</v>
      </c>
      <c r="P12382" s="8" t="s">
        <v>51901</v>
      </c>
      <c r="Q12382" s="8">
        <f>-(70+35/60+2/3600)</f>
        <v>-70.583888888888879</v>
      </c>
      <c r="R12382" s="8">
        <v>13.3</v>
      </c>
      <c r="S12382" s="8">
        <v>14.1</v>
      </c>
      <c r="T12382" s="8">
        <v>0.8</v>
      </c>
      <c r="U12382" s="8">
        <v>13.5</v>
      </c>
      <c r="V12382" s="8">
        <v>2.2999999999999998</v>
      </c>
      <c r="W12382" s="8">
        <v>0.6</v>
      </c>
      <c r="X12382" s="8">
        <v>151</v>
      </c>
      <c r="Y12382" s="8" t="s">
        <v>51902</v>
      </c>
      <c r="Z12382" s="8" t="s">
        <v>51903</v>
      </c>
    </row>
    <row r="12383" spans="1:26" x14ac:dyDescent="0.2">
      <c r="A12383" s="8">
        <v>12382</v>
      </c>
      <c r="B12383" s="8" t="s">
        <v>51904</v>
      </c>
      <c r="C12383" s="8" t="s">
        <v>51904</v>
      </c>
      <c r="G12383" s="8">
        <v>20</v>
      </c>
      <c r="H12383" s="8" t="s">
        <v>21</v>
      </c>
      <c r="I12383" s="8" t="s">
        <v>22</v>
      </c>
      <c r="J12383" s="8" t="s">
        <v>22</v>
      </c>
      <c r="K12383" s="8" t="s">
        <v>435</v>
      </c>
      <c r="L12383" s="8" t="s">
        <v>22476</v>
      </c>
      <c r="M12383" s="8" t="s">
        <v>22477</v>
      </c>
      <c r="N12383" s="8" t="s">
        <v>51905</v>
      </c>
      <c r="O12383" s="8">
        <f>15+22/60+5.5/3600</f>
        <v>15.368194444444445</v>
      </c>
      <c r="P12383" s="8" t="s">
        <v>51906</v>
      </c>
      <c r="Q12383" s="8">
        <f>+(33+8/60+55/3600)</f>
        <v>33.148611111111109</v>
      </c>
      <c r="R12383" s="8">
        <v>14.1</v>
      </c>
      <c r="S12383" s="8">
        <v>15</v>
      </c>
      <c r="T12383" s="8">
        <v>0.9</v>
      </c>
      <c r="U12383" s="8">
        <v>13</v>
      </c>
      <c r="V12383" s="8">
        <v>0.8</v>
      </c>
      <c r="W12383" s="8">
        <v>0.5</v>
      </c>
      <c r="X12383" s="8">
        <v>123</v>
      </c>
      <c r="Y12383" s="8" t="s">
        <v>51907</v>
      </c>
      <c r="Z12383" s="8" t="s">
        <v>51908</v>
      </c>
    </row>
    <row r="12384" spans="1:26" x14ac:dyDescent="0.2">
      <c r="A12384" s="8">
        <v>12383</v>
      </c>
      <c r="B12384" s="8" t="s">
        <v>51909</v>
      </c>
      <c r="C12384" s="8" t="s">
        <v>51909</v>
      </c>
      <c r="G12384" s="8">
        <v>20</v>
      </c>
      <c r="H12384" s="8" t="s">
        <v>21</v>
      </c>
      <c r="I12384" s="8" t="s">
        <v>22</v>
      </c>
      <c r="J12384" s="8" t="s">
        <v>57</v>
      </c>
      <c r="K12384" s="8" t="s">
        <v>449</v>
      </c>
      <c r="L12384" s="8" t="s">
        <v>26227</v>
      </c>
      <c r="M12384" s="8" t="s">
        <v>26228</v>
      </c>
      <c r="N12384" s="8" t="s">
        <v>39008</v>
      </c>
      <c r="O12384" s="8">
        <f>15+24/60+59.4/3600</f>
        <v>15.416500000000001</v>
      </c>
      <c r="P12384" s="8" t="s">
        <v>39009</v>
      </c>
      <c r="Q12384" s="8">
        <f>+(13+26/60+44/3600)</f>
        <v>13.445555555555556</v>
      </c>
      <c r="R12384" s="8">
        <v>14.3</v>
      </c>
      <c r="S12384" s="8">
        <v>15.1</v>
      </c>
      <c r="T12384" s="8">
        <v>0.8</v>
      </c>
      <c r="U12384" s="8">
        <v>13.6</v>
      </c>
      <c r="V12384" s="8">
        <v>1</v>
      </c>
      <c r="W12384" s="8">
        <v>0.6</v>
      </c>
      <c r="X12384" s="8">
        <v>84</v>
      </c>
      <c r="Y12384" s="8" t="s">
        <v>51910</v>
      </c>
      <c r="Z12384" s="8" t="s">
        <v>51911</v>
      </c>
    </row>
    <row r="12385" spans="1:26" x14ac:dyDescent="0.2">
      <c r="A12385" s="8">
        <v>12384</v>
      </c>
      <c r="B12385" s="8" t="s">
        <v>51912</v>
      </c>
      <c r="C12385" s="8" t="s">
        <v>51912</v>
      </c>
      <c r="G12385" s="8">
        <v>20</v>
      </c>
      <c r="H12385" s="8" t="s">
        <v>21</v>
      </c>
      <c r="I12385" s="8" t="s">
        <v>329</v>
      </c>
      <c r="J12385" s="8" t="s">
        <v>329</v>
      </c>
      <c r="K12385" s="8" t="s">
        <v>329</v>
      </c>
      <c r="L12385" s="8" t="s">
        <v>26405</v>
      </c>
      <c r="M12385" s="8" t="s">
        <v>26406</v>
      </c>
      <c r="N12385" s="8" t="s">
        <v>51913</v>
      </c>
      <c r="O12385" s="8">
        <f>15+29/60+25/3600</f>
        <v>15.490277777777777</v>
      </c>
      <c r="P12385" s="8" t="s">
        <v>51914</v>
      </c>
      <c r="Q12385" s="8">
        <f>-(50+34/60+48/3600)</f>
        <v>-50.580000000000005</v>
      </c>
      <c r="R12385" s="8">
        <v>99</v>
      </c>
      <c r="S12385" s="8">
        <v>99</v>
      </c>
      <c r="T12385" s="8">
        <v>99</v>
      </c>
      <c r="U12385" s="8">
        <v>99</v>
      </c>
      <c r="Y12385" s="8" t="s">
        <v>27388</v>
      </c>
      <c r="Z12385" s="8" t="s">
        <v>42798</v>
      </c>
    </row>
    <row r="12386" spans="1:26" x14ac:dyDescent="0.2">
      <c r="A12386" s="8">
        <v>12385</v>
      </c>
      <c r="B12386" s="8" t="s">
        <v>51915</v>
      </c>
      <c r="C12386" s="8" t="s">
        <v>51915</v>
      </c>
      <c r="G12386" s="8">
        <v>20</v>
      </c>
      <c r="H12386" s="8" t="s">
        <v>21</v>
      </c>
      <c r="I12386" s="8" t="s">
        <v>22</v>
      </c>
      <c r="J12386" s="8" t="s">
        <v>22</v>
      </c>
      <c r="K12386" s="8" t="s">
        <v>64</v>
      </c>
      <c r="L12386" s="8" t="s">
        <v>25025</v>
      </c>
      <c r="M12386" s="8" t="s">
        <v>25026</v>
      </c>
      <c r="N12386" s="8" t="s">
        <v>51916</v>
      </c>
      <c r="O12386" s="8">
        <f>15+41/60+28.6/3600</f>
        <v>15.691277777777778</v>
      </c>
      <c r="P12386" s="8" t="s">
        <v>51917</v>
      </c>
      <c r="Q12386" s="8">
        <f>-(81+37/60+35/3600)</f>
        <v>-81.626388888888883</v>
      </c>
      <c r="R12386" s="8">
        <v>12.9</v>
      </c>
      <c r="S12386" s="8">
        <v>13.6</v>
      </c>
      <c r="T12386" s="8">
        <v>0.7</v>
      </c>
      <c r="U12386" s="8">
        <v>13.3</v>
      </c>
      <c r="V12386" s="8">
        <v>1.9</v>
      </c>
      <c r="W12386" s="8">
        <v>0.9</v>
      </c>
      <c r="X12386" s="8">
        <v>158</v>
      </c>
      <c r="Y12386" s="8" t="s">
        <v>51918</v>
      </c>
      <c r="Z12386" s="8" t="s">
        <v>51919</v>
      </c>
    </row>
    <row r="12387" spans="1:26" x14ac:dyDescent="0.2">
      <c r="A12387" s="8">
        <v>12386</v>
      </c>
      <c r="B12387" s="8" t="s">
        <v>51920</v>
      </c>
      <c r="C12387" s="8" t="s">
        <v>51920</v>
      </c>
      <c r="G12387" s="8">
        <v>20</v>
      </c>
      <c r="H12387" s="8" t="s">
        <v>21</v>
      </c>
      <c r="I12387" s="8" t="s">
        <v>22</v>
      </c>
      <c r="J12387" s="8" t="s">
        <v>22</v>
      </c>
      <c r="K12387" s="8" t="s">
        <v>64</v>
      </c>
      <c r="L12387" s="8" t="s">
        <v>26398</v>
      </c>
      <c r="M12387" s="8" t="s">
        <v>26399</v>
      </c>
      <c r="N12387" s="8" t="s">
        <v>51921</v>
      </c>
      <c r="O12387" s="8">
        <f>15+26/60+58.4/3600</f>
        <v>15.449555555555555</v>
      </c>
      <c r="P12387" s="8" t="s">
        <v>51922</v>
      </c>
      <c r="Q12387" s="8">
        <f>+(28+51/60+7/3600)</f>
        <v>28.851944444444445</v>
      </c>
      <c r="R12387" s="8">
        <v>14.5</v>
      </c>
      <c r="S12387" s="8">
        <v>15.2</v>
      </c>
      <c r="T12387" s="8">
        <v>0.7</v>
      </c>
      <c r="U12387" s="8">
        <v>13.2</v>
      </c>
      <c r="V12387" s="8">
        <v>0.7</v>
      </c>
      <c r="W12387" s="8">
        <v>0.5</v>
      </c>
      <c r="X12387" s="8">
        <v>120</v>
      </c>
      <c r="Y12387" s="8" t="s">
        <v>51923</v>
      </c>
      <c r="Z12387" s="8" t="s">
        <v>51924</v>
      </c>
    </row>
    <row r="12388" spans="1:26" x14ac:dyDescent="0.2">
      <c r="A12388" s="8">
        <v>12387</v>
      </c>
      <c r="B12388" s="8" t="s">
        <v>51925</v>
      </c>
      <c r="C12388" s="8" t="s">
        <v>51925</v>
      </c>
      <c r="G12388" s="8">
        <v>20</v>
      </c>
      <c r="H12388" s="8" t="s">
        <v>21</v>
      </c>
      <c r="I12388" s="8" t="s">
        <v>22</v>
      </c>
      <c r="J12388" s="8" t="s">
        <v>22</v>
      </c>
      <c r="K12388" s="8" t="s">
        <v>58</v>
      </c>
      <c r="L12388" s="8" t="s">
        <v>26398</v>
      </c>
      <c r="M12388" s="8" t="s">
        <v>26399</v>
      </c>
      <c r="N12388" s="8" t="s">
        <v>51926</v>
      </c>
      <c r="O12388" s="8">
        <f>15+27/60+15/3600</f>
        <v>15.454166666666666</v>
      </c>
      <c r="P12388" s="8" t="s">
        <v>51927</v>
      </c>
      <c r="Q12388" s="8">
        <f>+(28+47/60+22/3600)</f>
        <v>28.789444444444445</v>
      </c>
      <c r="R12388" s="8">
        <v>14.3</v>
      </c>
      <c r="S12388" s="8">
        <v>15.3</v>
      </c>
      <c r="T12388" s="8">
        <v>1</v>
      </c>
      <c r="U12388" s="8">
        <v>13.4</v>
      </c>
      <c r="V12388" s="8">
        <v>0.7</v>
      </c>
      <c r="W12388" s="8">
        <v>0.6</v>
      </c>
      <c r="X12388" s="8">
        <v>150</v>
      </c>
      <c r="Y12388" s="8" t="s">
        <v>41073</v>
      </c>
      <c r="Z12388" s="8" t="s">
        <v>41074</v>
      </c>
    </row>
    <row r="12389" spans="1:26" x14ac:dyDescent="0.2">
      <c r="A12389" s="8">
        <v>12388</v>
      </c>
      <c r="B12389" s="8" t="s">
        <v>51928</v>
      </c>
      <c r="C12389" s="8" t="s">
        <v>51928</v>
      </c>
      <c r="G12389" s="8">
        <v>20</v>
      </c>
      <c r="H12389" s="8" t="s">
        <v>21</v>
      </c>
      <c r="I12389" s="8" t="s">
        <v>22</v>
      </c>
      <c r="J12389" s="8" t="s">
        <v>22</v>
      </c>
      <c r="K12389" s="8" t="s">
        <v>460</v>
      </c>
      <c r="L12389" s="8" t="s">
        <v>26398</v>
      </c>
      <c r="M12389" s="8" t="s">
        <v>26399</v>
      </c>
      <c r="N12389" s="8" t="s">
        <v>51929</v>
      </c>
      <c r="O12389" s="8">
        <f>15+27/60+23.9/3600</f>
        <v>15.456638888888888</v>
      </c>
      <c r="P12389" s="8" t="s">
        <v>51930</v>
      </c>
      <c r="Q12389" s="8">
        <f>+(28+51/60+1/3600)</f>
        <v>28.85027777777778</v>
      </c>
      <c r="R12389" s="8">
        <v>15.6</v>
      </c>
      <c r="S12389" s="8">
        <v>16.600000000000001</v>
      </c>
      <c r="T12389" s="8">
        <v>1</v>
      </c>
      <c r="U12389" s="8">
        <v>13.1</v>
      </c>
      <c r="V12389" s="8">
        <v>0.3</v>
      </c>
      <c r="W12389" s="8">
        <v>0.3</v>
      </c>
      <c r="Y12389" s="8" t="s">
        <v>51931</v>
      </c>
      <c r="Z12389" s="8" t="s">
        <v>51932</v>
      </c>
    </row>
    <row r="12390" spans="1:26" x14ac:dyDescent="0.2">
      <c r="A12390" s="8">
        <v>12389</v>
      </c>
      <c r="B12390" s="8" t="s">
        <v>51933</v>
      </c>
      <c r="C12390" s="8" t="s">
        <v>51933</v>
      </c>
      <c r="G12390" s="8">
        <v>20</v>
      </c>
      <c r="H12390" s="8" t="s">
        <v>21</v>
      </c>
      <c r="I12390" s="8" t="s">
        <v>22</v>
      </c>
      <c r="J12390" s="8" t="s">
        <v>22</v>
      </c>
      <c r="K12390" s="8" t="s">
        <v>396</v>
      </c>
      <c r="L12390" s="8" t="s">
        <v>22476</v>
      </c>
      <c r="M12390" s="8" t="s">
        <v>22477</v>
      </c>
      <c r="N12390" s="8" t="s">
        <v>51934</v>
      </c>
      <c r="O12390" s="8">
        <f>15+29/60+14.7/3600</f>
        <v>15.487416666666666</v>
      </c>
      <c r="P12390" s="8" t="s">
        <v>51935</v>
      </c>
      <c r="Q12390" s="8">
        <f>+(32+49/60+33/3600)</f>
        <v>32.825833333333335</v>
      </c>
      <c r="R12390" s="8">
        <v>14.6</v>
      </c>
      <c r="S12390" s="8">
        <v>15.4</v>
      </c>
      <c r="T12390" s="8">
        <v>0.8</v>
      </c>
      <c r="U12390" s="8">
        <v>12.1</v>
      </c>
      <c r="V12390" s="8">
        <v>0.5</v>
      </c>
      <c r="W12390" s="8">
        <v>0.2</v>
      </c>
      <c r="X12390" s="8">
        <v>99</v>
      </c>
      <c r="Y12390" s="8" t="s">
        <v>51936</v>
      </c>
      <c r="Z12390" s="8" t="s">
        <v>51937</v>
      </c>
    </row>
    <row r="12391" spans="1:26" x14ac:dyDescent="0.2">
      <c r="A12391" s="8">
        <v>12390</v>
      </c>
      <c r="B12391" s="8" t="s">
        <v>51938</v>
      </c>
      <c r="C12391" s="8" t="s">
        <v>51938</v>
      </c>
      <c r="G12391" s="8">
        <v>20</v>
      </c>
      <c r="H12391" s="8" t="s">
        <v>21</v>
      </c>
      <c r="I12391" s="8" t="s">
        <v>567</v>
      </c>
      <c r="J12391" s="8" t="s">
        <v>57</v>
      </c>
      <c r="K12391" s="8" t="s">
        <v>26506</v>
      </c>
      <c r="L12391" s="8" t="s">
        <v>26405</v>
      </c>
      <c r="M12391" s="8" t="s">
        <v>26406</v>
      </c>
      <c r="N12391" s="8" t="s">
        <v>26507</v>
      </c>
      <c r="O12391" s="8">
        <f>15+35/60+28.5/3600</f>
        <v>15.59125</v>
      </c>
      <c r="P12391" s="8" t="s">
        <v>26508</v>
      </c>
      <c r="Q12391" s="8">
        <f>-(50+39/60+32/3600)</f>
        <v>-50.658888888888889</v>
      </c>
      <c r="R12391" s="8">
        <v>8.4</v>
      </c>
      <c r="S12391" s="8">
        <v>99</v>
      </c>
      <c r="T12391" s="8">
        <v>99</v>
      </c>
      <c r="U12391" s="8">
        <v>99</v>
      </c>
      <c r="V12391" s="8">
        <v>3</v>
      </c>
      <c r="Y12391" s="8" t="s">
        <v>51939</v>
      </c>
      <c r="Z12391" s="8" t="s">
        <v>51940</v>
      </c>
    </row>
    <row r="12392" spans="1:26" x14ac:dyDescent="0.2">
      <c r="A12392" s="8">
        <v>12391</v>
      </c>
      <c r="B12392" s="8" t="s">
        <v>51941</v>
      </c>
      <c r="C12392" s="8" t="s">
        <v>51941</v>
      </c>
      <c r="G12392" s="8">
        <v>20</v>
      </c>
      <c r="H12392" s="8" t="s">
        <v>21</v>
      </c>
      <c r="I12392" s="8" t="s">
        <v>22</v>
      </c>
      <c r="J12392" s="8" t="s">
        <v>57</v>
      </c>
      <c r="K12392" s="8" t="s">
        <v>1277</v>
      </c>
      <c r="L12392" s="8" t="s">
        <v>26227</v>
      </c>
      <c r="M12392" s="8" t="s">
        <v>26228</v>
      </c>
      <c r="N12392" s="8" t="s">
        <v>26590</v>
      </c>
      <c r="O12392" s="8">
        <f>15+37/60+36.2/3600</f>
        <v>15.626722222222222</v>
      </c>
      <c r="P12392" s="8" t="s">
        <v>26591</v>
      </c>
      <c r="Q12392" s="8">
        <f>+(5+58/60+25/3600)</f>
        <v>5.9736111111111114</v>
      </c>
      <c r="R12392" s="8">
        <v>11.9</v>
      </c>
      <c r="S12392" s="8">
        <v>12.6</v>
      </c>
      <c r="T12392" s="8">
        <v>0.7</v>
      </c>
      <c r="U12392" s="8">
        <v>14.6</v>
      </c>
      <c r="V12392" s="8">
        <v>4.0999999999999996</v>
      </c>
      <c r="W12392" s="8">
        <v>3.3</v>
      </c>
      <c r="X12392" s="8">
        <v>145</v>
      </c>
      <c r="Y12392" s="8" t="s">
        <v>51942</v>
      </c>
      <c r="Z12392" s="8" t="s">
        <v>51943</v>
      </c>
    </row>
    <row r="12393" spans="1:26" x14ac:dyDescent="0.2">
      <c r="A12393" s="8">
        <v>12392</v>
      </c>
      <c r="B12393" s="8" t="s">
        <v>51944</v>
      </c>
      <c r="C12393" s="8" t="s">
        <v>51944</v>
      </c>
      <c r="G12393" s="8">
        <v>20</v>
      </c>
      <c r="H12393" s="8" t="s">
        <v>21</v>
      </c>
      <c r="I12393" s="8" t="s">
        <v>329</v>
      </c>
      <c r="J12393" s="8" t="s">
        <v>329</v>
      </c>
      <c r="K12393" s="8" t="s">
        <v>329</v>
      </c>
      <c r="L12393" s="8" t="s">
        <v>26227</v>
      </c>
      <c r="M12393" s="8" t="s">
        <v>26228</v>
      </c>
      <c r="N12393" s="8" t="s">
        <v>51945</v>
      </c>
      <c r="O12393" s="8">
        <f>15+34/60+58.3/3600</f>
        <v>15.582861111111111</v>
      </c>
      <c r="P12393" s="8" t="s">
        <v>51946</v>
      </c>
      <c r="Q12393" s="8">
        <f>+(4+41/60+57/3600)</f>
        <v>4.6991666666666667</v>
      </c>
      <c r="R12393" s="8">
        <v>99</v>
      </c>
      <c r="S12393" s="8">
        <v>99</v>
      </c>
      <c r="T12393" s="8">
        <v>99</v>
      </c>
      <c r="U12393" s="8">
        <v>99</v>
      </c>
      <c r="Y12393" s="8" t="s">
        <v>4170</v>
      </c>
      <c r="Z12393" s="8" t="s">
        <v>4171</v>
      </c>
    </row>
    <row r="12394" spans="1:26" x14ac:dyDescent="0.2">
      <c r="A12394" s="8">
        <v>12393</v>
      </c>
      <c r="B12394" s="8" t="s">
        <v>51947</v>
      </c>
      <c r="C12394" s="8" t="s">
        <v>51947</v>
      </c>
      <c r="G12394" s="8">
        <v>20</v>
      </c>
      <c r="H12394" s="8" t="s">
        <v>21</v>
      </c>
      <c r="I12394" s="8" t="s">
        <v>22</v>
      </c>
      <c r="J12394" s="8" t="s">
        <v>57</v>
      </c>
      <c r="K12394" s="8" t="s">
        <v>3523</v>
      </c>
      <c r="L12394" s="8" t="s">
        <v>26227</v>
      </c>
      <c r="M12394" s="8" t="s">
        <v>26228</v>
      </c>
      <c r="N12394" s="8" t="s">
        <v>39048</v>
      </c>
      <c r="O12394" s="8">
        <f>15+34/60+57.2/3600</f>
        <v>15.582555555555555</v>
      </c>
      <c r="P12394" s="8" t="s">
        <v>39049</v>
      </c>
      <c r="Q12394" s="8">
        <f>+(23+30/60+9/3600)</f>
        <v>23.502500000000001</v>
      </c>
      <c r="R12394" s="8">
        <v>13.2</v>
      </c>
      <c r="S12394" s="8">
        <v>13.9</v>
      </c>
      <c r="T12394" s="8">
        <v>0.7</v>
      </c>
      <c r="U12394" s="8">
        <v>13.7</v>
      </c>
      <c r="V12394" s="8">
        <v>1.8</v>
      </c>
      <c r="W12394" s="8">
        <v>1.7</v>
      </c>
      <c r="X12394" s="8">
        <v>144</v>
      </c>
      <c r="Y12394" s="8" t="s">
        <v>6420</v>
      </c>
      <c r="Z12394" s="8" t="s">
        <v>6421</v>
      </c>
    </row>
    <row r="12395" spans="1:26" x14ac:dyDescent="0.2">
      <c r="A12395" s="8">
        <v>12394</v>
      </c>
      <c r="B12395" s="8" t="s">
        <v>51948</v>
      </c>
      <c r="C12395" s="8" t="s">
        <v>51948</v>
      </c>
      <c r="G12395" s="8">
        <v>20</v>
      </c>
      <c r="H12395" s="8" t="s">
        <v>21</v>
      </c>
      <c r="I12395" s="8" t="s">
        <v>22</v>
      </c>
      <c r="J12395" s="8" t="s">
        <v>22</v>
      </c>
      <c r="K12395" s="8" t="s">
        <v>449</v>
      </c>
      <c r="L12395" s="8" t="s">
        <v>26227</v>
      </c>
      <c r="M12395" s="8" t="s">
        <v>26228</v>
      </c>
      <c r="N12395" s="8" t="s">
        <v>51949</v>
      </c>
      <c r="O12395" s="8">
        <f>15+35/60+4.7/3600</f>
        <v>15.58463888888889</v>
      </c>
      <c r="P12395" s="8" t="s">
        <v>51950</v>
      </c>
      <c r="Q12395" s="8">
        <f>+(23+28/60+47/3600)</f>
        <v>23.479722222222222</v>
      </c>
      <c r="R12395" s="8">
        <v>15.9</v>
      </c>
      <c r="S12395" s="8">
        <v>16.7</v>
      </c>
      <c r="T12395" s="8">
        <v>0.8</v>
      </c>
      <c r="U12395" s="8">
        <v>12.7</v>
      </c>
      <c r="V12395" s="8">
        <v>0.3</v>
      </c>
      <c r="W12395" s="8">
        <v>0.2</v>
      </c>
      <c r="X12395" s="8">
        <v>135</v>
      </c>
      <c r="Y12395" s="8" t="s">
        <v>51951</v>
      </c>
      <c r="Z12395" s="8" t="s">
        <v>51952</v>
      </c>
    </row>
    <row r="12396" spans="1:26" x14ac:dyDescent="0.2">
      <c r="A12396" s="8">
        <v>12395</v>
      </c>
      <c r="B12396" s="8" t="s">
        <v>51953</v>
      </c>
      <c r="C12396" s="8" t="s">
        <v>51953</v>
      </c>
      <c r="G12396" s="8">
        <v>20</v>
      </c>
      <c r="H12396" s="8" t="s">
        <v>21</v>
      </c>
      <c r="I12396" s="8" t="s">
        <v>22</v>
      </c>
      <c r="J12396" s="8" t="s">
        <v>22</v>
      </c>
      <c r="K12396" s="8" t="s">
        <v>64</v>
      </c>
      <c r="L12396" s="8" t="s">
        <v>25025</v>
      </c>
      <c r="M12396" s="8" t="s">
        <v>25026</v>
      </c>
      <c r="N12396" s="8" t="s">
        <v>51954</v>
      </c>
      <c r="O12396" s="8">
        <f>15+48/60+14.8/3600</f>
        <v>15.804111111111112</v>
      </c>
      <c r="P12396" s="8" t="s">
        <v>51955</v>
      </c>
      <c r="Q12396" s="8">
        <f>-(78+10/60+46/3600)</f>
        <v>-78.179444444444442</v>
      </c>
      <c r="R12396" s="8">
        <v>12.8</v>
      </c>
      <c r="S12396" s="8">
        <v>13.5</v>
      </c>
      <c r="T12396" s="8">
        <v>0.7</v>
      </c>
      <c r="U12396" s="8">
        <v>12.6</v>
      </c>
      <c r="V12396" s="8">
        <v>1.9</v>
      </c>
      <c r="W12396" s="8">
        <v>0.5</v>
      </c>
      <c r="X12396" s="8">
        <v>61</v>
      </c>
      <c r="Y12396" s="8" t="s">
        <v>51956</v>
      </c>
      <c r="Z12396" s="8" t="s">
        <v>51957</v>
      </c>
    </row>
    <row r="12397" spans="1:26" x14ac:dyDescent="0.2">
      <c r="A12397" s="8">
        <v>12396</v>
      </c>
      <c r="B12397" s="8" t="s">
        <v>51958</v>
      </c>
      <c r="C12397" s="8" t="s">
        <v>51958</v>
      </c>
      <c r="G12397" s="8">
        <v>20</v>
      </c>
      <c r="H12397" s="8" t="s">
        <v>21</v>
      </c>
      <c r="I12397" s="8" t="s">
        <v>22</v>
      </c>
      <c r="J12397" s="8" t="s">
        <v>22</v>
      </c>
      <c r="K12397" s="8" t="s">
        <v>50</v>
      </c>
      <c r="L12397" s="8" t="s">
        <v>26227</v>
      </c>
      <c r="M12397" s="8" t="s">
        <v>26228</v>
      </c>
      <c r="N12397" s="8" t="s">
        <v>51959</v>
      </c>
      <c r="O12397" s="8">
        <f>15+35/60+22.4/3600</f>
        <v>15.589555555555556</v>
      </c>
      <c r="P12397" s="8" t="s">
        <v>51960</v>
      </c>
      <c r="Q12397" s="8">
        <f>+(25+17/60+52/3600)</f>
        <v>25.297777777777778</v>
      </c>
      <c r="R12397" s="8">
        <v>13.9</v>
      </c>
      <c r="S12397" s="8">
        <v>14.9</v>
      </c>
      <c r="T12397" s="8">
        <v>1</v>
      </c>
      <c r="U12397" s="8">
        <v>13</v>
      </c>
      <c r="V12397" s="8">
        <v>0.8</v>
      </c>
      <c r="W12397" s="8">
        <v>0.5</v>
      </c>
      <c r="X12397" s="8">
        <v>171</v>
      </c>
      <c r="Y12397" s="8" t="s">
        <v>43668</v>
      </c>
      <c r="Z12397" s="8" t="s">
        <v>43669</v>
      </c>
    </row>
    <row r="12398" spans="1:26" x14ac:dyDescent="0.2">
      <c r="A12398" s="8">
        <v>12397</v>
      </c>
      <c r="B12398" s="8" t="s">
        <v>51961</v>
      </c>
      <c r="C12398" s="8" t="s">
        <v>51961</v>
      </c>
      <c r="G12398" s="8">
        <v>20</v>
      </c>
      <c r="H12398" s="8" t="s">
        <v>21</v>
      </c>
      <c r="I12398" s="8" t="s">
        <v>22</v>
      </c>
      <c r="J12398" s="8" t="s">
        <v>22</v>
      </c>
      <c r="K12398" s="8" t="s">
        <v>449</v>
      </c>
      <c r="L12398" s="8" t="s">
        <v>22476</v>
      </c>
      <c r="M12398" s="8" t="s">
        <v>22477</v>
      </c>
      <c r="N12398" s="8" t="s">
        <v>51962</v>
      </c>
      <c r="O12398" s="8">
        <f>15+34/60+36.9/3600</f>
        <v>15.576916666666666</v>
      </c>
      <c r="P12398" s="8" t="s">
        <v>51963</v>
      </c>
      <c r="Q12398" s="8">
        <f>+(39+43/60+46/3600)</f>
        <v>39.729444444444447</v>
      </c>
      <c r="R12398" s="8">
        <v>14.9</v>
      </c>
      <c r="S12398" s="8">
        <v>15.7</v>
      </c>
      <c r="T12398" s="8">
        <v>0.8</v>
      </c>
      <c r="U12398" s="8">
        <v>12.4</v>
      </c>
      <c r="V12398" s="8">
        <v>0.4</v>
      </c>
      <c r="W12398" s="8">
        <v>0.3</v>
      </c>
      <c r="X12398" s="8">
        <v>135</v>
      </c>
      <c r="Y12398" s="8" t="s">
        <v>43614</v>
      </c>
      <c r="Z12398" s="8" t="s">
        <v>43615</v>
      </c>
    </row>
    <row r="12399" spans="1:26" x14ac:dyDescent="0.2">
      <c r="A12399" s="8">
        <v>12398</v>
      </c>
      <c r="B12399" s="8" t="s">
        <v>51964</v>
      </c>
      <c r="C12399" s="8" t="s">
        <v>51964</v>
      </c>
      <c r="G12399" s="8">
        <v>20</v>
      </c>
      <c r="H12399" s="8" t="s">
        <v>21</v>
      </c>
      <c r="I12399" s="8" t="s">
        <v>22</v>
      </c>
      <c r="J12399" s="8" t="s">
        <v>22</v>
      </c>
      <c r="K12399" s="8" t="s">
        <v>449</v>
      </c>
      <c r="L12399" s="8" t="s">
        <v>26227</v>
      </c>
      <c r="M12399" s="8" t="s">
        <v>26228</v>
      </c>
      <c r="N12399" s="8" t="s">
        <v>51965</v>
      </c>
      <c r="O12399" s="8">
        <f>15+35/60+46.2/3600</f>
        <v>15.596166666666667</v>
      </c>
      <c r="P12399" s="8" t="s">
        <v>51966</v>
      </c>
      <c r="Q12399" s="8">
        <f>+(25+20/60+43/3600)</f>
        <v>25.345277777777778</v>
      </c>
      <c r="R12399" s="8">
        <v>14.6</v>
      </c>
      <c r="S12399" s="8">
        <v>15.4</v>
      </c>
      <c r="T12399" s="8">
        <v>0.8</v>
      </c>
      <c r="U12399" s="8">
        <v>11.4</v>
      </c>
      <c r="V12399" s="8">
        <v>0.3</v>
      </c>
      <c r="W12399" s="8">
        <v>0.2</v>
      </c>
      <c r="X12399" s="8">
        <v>160</v>
      </c>
      <c r="Y12399" s="8" t="s">
        <v>282</v>
      </c>
      <c r="Z12399" s="8" t="s">
        <v>283</v>
      </c>
    </row>
    <row r="12400" spans="1:26" x14ac:dyDescent="0.2">
      <c r="A12400" s="8">
        <v>12399</v>
      </c>
      <c r="B12400" s="8" t="s">
        <v>51967</v>
      </c>
      <c r="C12400" s="8" t="s">
        <v>51967</v>
      </c>
      <c r="G12400" s="8">
        <v>20</v>
      </c>
      <c r="H12400" s="8" t="s">
        <v>21</v>
      </c>
      <c r="I12400" s="8" t="s">
        <v>22</v>
      </c>
      <c r="J12400" s="8" t="s">
        <v>22</v>
      </c>
      <c r="K12400" s="8" t="s">
        <v>424</v>
      </c>
      <c r="L12400" s="8" t="s">
        <v>26227</v>
      </c>
      <c r="M12400" s="8" t="s">
        <v>26228</v>
      </c>
      <c r="N12400" s="8" t="s">
        <v>51968</v>
      </c>
      <c r="O12400" s="8">
        <f>15+35/60+53.4/3600</f>
        <v>15.598166666666668</v>
      </c>
      <c r="P12400" s="8" t="s">
        <v>51969</v>
      </c>
      <c r="Q12400" s="8">
        <f>+(25+20/60+30/3600)</f>
        <v>25.341666666666665</v>
      </c>
      <c r="R12400" s="8">
        <v>14.3</v>
      </c>
      <c r="S12400" s="8">
        <v>15.3</v>
      </c>
      <c r="T12400" s="8">
        <v>1</v>
      </c>
      <c r="U12400" s="8">
        <v>11.8</v>
      </c>
      <c r="V12400" s="8">
        <v>0.4</v>
      </c>
      <c r="W12400" s="8">
        <v>0.3</v>
      </c>
      <c r="X12400" s="8">
        <v>80</v>
      </c>
      <c r="Y12400" s="8" t="s">
        <v>41541</v>
      </c>
      <c r="Z12400" s="8" t="s">
        <v>41542</v>
      </c>
    </row>
    <row r="12401" spans="1:26" x14ac:dyDescent="0.2">
      <c r="A12401" s="8">
        <v>12400</v>
      </c>
      <c r="B12401" s="8" t="s">
        <v>51970</v>
      </c>
      <c r="C12401" s="8" t="s">
        <v>51970</v>
      </c>
      <c r="G12401" s="8">
        <v>20</v>
      </c>
      <c r="H12401" s="8" t="s">
        <v>21</v>
      </c>
      <c r="I12401" s="8" t="s">
        <v>22</v>
      </c>
      <c r="J12401" s="8" t="s">
        <v>22</v>
      </c>
      <c r="K12401" s="8" t="s">
        <v>37</v>
      </c>
      <c r="L12401" s="8" t="s">
        <v>22476</v>
      </c>
      <c r="M12401" s="8" t="s">
        <v>22477</v>
      </c>
      <c r="N12401" s="8" t="s">
        <v>51971</v>
      </c>
      <c r="O12401" s="8">
        <f>15+35/60+54/3600</f>
        <v>15.598333333333334</v>
      </c>
      <c r="P12401" s="8" t="s">
        <v>51972</v>
      </c>
      <c r="Q12401" s="8">
        <f>+(39+48/60+53/3600)</f>
        <v>39.814722222222223</v>
      </c>
      <c r="R12401" s="8">
        <v>15.7</v>
      </c>
      <c r="S12401" s="8">
        <v>16.7</v>
      </c>
      <c r="T12401" s="8">
        <v>1</v>
      </c>
      <c r="U12401" s="8">
        <v>12.8</v>
      </c>
      <c r="V12401" s="8">
        <v>0.4</v>
      </c>
      <c r="W12401" s="8">
        <v>0.2</v>
      </c>
      <c r="X12401" s="8">
        <v>105</v>
      </c>
      <c r="Y12401" s="8" t="s">
        <v>51973</v>
      </c>
      <c r="Z12401" s="8" t="s">
        <v>51974</v>
      </c>
    </row>
    <row r="12402" spans="1:26" x14ac:dyDescent="0.2">
      <c r="A12402" s="8">
        <v>12401</v>
      </c>
      <c r="B12402" s="8" t="s">
        <v>51975</v>
      </c>
      <c r="C12402" s="8" t="s">
        <v>51975</v>
      </c>
      <c r="G12402" s="8">
        <v>20</v>
      </c>
      <c r="H12402" s="8" t="s">
        <v>21</v>
      </c>
      <c r="I12402" s="8" t="s">
        <v>22</v>
      </c>
      <c r="J12402" s="8" t="s">
        <v>22</v>
      </c>
      <c r="K12402" s="8" t="s">
        <v>476</v>
      </c>
      <c r="L12402" s="8" t="s">
        <v>26227</v>
      </c>
      <c r="M12402" s="8" t="s">
        <v>26228</v>
      </c>
      <c r="N12402" s="8" t="s">
        <v>51976</v>
      </c>
      <c r="O12402" s="8">
        <f>15+36/60+47/3600</f>
        <v>15.613055555555555</v>
      </c>
      <c r="P12402" s="8" t="s">
        <v>51977</v>
      </c>
      <c r="Q12402" s="8">
        <f>+(25+24/60+59/3600)</f>
        <v>25.416388888888889</v>
      </c>
      <c r="R12402" s="8">
        <v>14.4</v>
      </c>
      <c r="S12402" s="8">
        <v>15.2</v>
      </c>
      <c r="T12402" s="8">
        <v>0.8</v>
      </c>
      <c r="U12402" s="8">
        <v>11.5</v>
      </c>
      <c r="V12402" s="8">
        <v>0.4</v>
      </c>
      <c r="W12402" s="8">
        <v>0.2</v>
      </c>
      <c r="X12402" s="8">
        <v>135</v>
      </c>
      <c r="Y12402" s="8" t="s">
        <v>41541</v>
      </c>
      <c r="Z12402" s="8" t="s">
        <v>41542</v>
      </c>
    </row>
    <row r="12403" spans="1:26" x14ac:dyDescent="0.2">
      <c r="A12403" s="8">
        <v>12402</v>
      </c>
      <c r="B12403" s="8" t="s">
        <v>51978</v>
      </c>
      <c r="C12403" s="8" t="s">
        <v>51978</v>
      </c>
      <c r="G12403" s="8">
        <v>20</v>
      </c>
      <c r="H12403" s="8" t="s">
        <v>21</v>
      </c>
      <c r="I12403" s="8" t="s">
        <v>22</v>
      </c>
      <c r="J12403" s="8" t="s">
        <v>22</v>
      </c>
      <c r="K12403" s="8" t="s">
        <v>460</v>
      </c>
      <c r="L12403" s="8" t="s">
        <v>22476</v>
      </c>
      <c r="M12403" s="8" t="s">
        <v>22477</v>
      </c>
      <c r="N12403" s="8" t="s">
        <v>51979</v>
      </c>
      <c r="O12403" s="8">
        <f>15+35/60+57.1/3600</f>
        <v>15.599194444444445</v>
      </c>
      <c r="P12403" s="8" t="s">
        <v>51980</v>
      </c>
      <c r="Q12403" s="8">
        <f>+(43+29/60+35/3600)</f>
        <v>43.493055555555557</v>
      </c>
      <c r="R12403" s="8">
        <v>12.6</v>
      </c>
      <c r="S12403" s="8">
        <v>13.6</v>
      </c>
      <c r="T12403" s="8">
        <v>1</v>
      </c>
      <c r="U12403" s="8">
        <v>13</v>
      </c>
      <c r="V12403" s="8">
        <v>1.2</v>
      </c>
      <c r="W12403" s="8">
        <v>1.2</v>
      </c>
      <c r="Y12403" s="8" t="s">
        <v>51981</v>
      </c>
      <c r="Z12403" s="8" t="s">
        <v>51982</v>
      </c>
    </row>
    <row r="12404" spans="1:26" x14ac:dyDescent="0.2">
      <c r="A12404" s="8">
        <v>12403</v>
      </c>
      <c r="B12404" s="8" t="s">
        <v>51983</v>
      </c>
      <c r="C12404" s="8" t="s">
        <v>51983</v>
      </c>
      <c r="G12404" s="8">
        <v>20</v>
      </c>
      <c r="H12404" s="8" t="s">
        <v>21</v>
      </c>
      <c r="I12404" s="8" t="s">
        <v>22</v>
      </c>
      <c r="J12404" s="8" t="s">
        <v>22</v>
      </c>
      <c r="K12404" s="8" t="s">
        <v>476</v>
      </c>
      <c r="L12404" s="8" t="s">
        <v>22476</v>
      </c>
      <c r="M12404" s="8" t="s">
        <v>22477</v>
      </c>
      <c r="N12404" s="8" t="s">
        <v>51984</v>
      </c>
      <c r="O12404" s="8">
        <f>15+36/60+3.5/3600</f>
        <v>15.600972222222222</v>
      </c>
      <c r="P12404" s="8" t="s">
        <v>51985</v>
      </c>
      <c r="Q12404" s="8">
        <f>+(39+49/60+54/3600)</f>
        <v>39.831666666666671</v>
      </c>
      <c r="R12404" s="8">
        <v>14.3</v>
      </c>
      <c r="S12404" s="8">
        <v>15.1</v>
      </c>
      <c r="T12404" s="8">
        <v>0.8</v>
      </c>
      <c r="U12404" s="8">
        <v>12.9</v>
      </c>
      <c r="V12404" s="8">
        <v>0.8</v>
      </c>
      <c r="W12404" s="8">
        <v>0.4</v>
      </c>
      <c r="X12404" s="8">
        <v>165</v>
      </c>
      <c r="Y12404" s="8" t="s">
        <v>46190</v>
      </c>
      <c r="Z12404" s="8" t="s">
        <v>46191</v>
      </c>
    </row>
    <row r="12405" spans="1:26" x14ac:dyDescent="0.2">
      <c r="A12405" s="8">
        <v>12404</v>
      </c>
      <c r="B12405" s="8" t="s">
        <v>51986</v>
      </c>
      <c r="C12405" s="8" t="s">
        <v>51986</v>
      </c>
      <c r="G12405" s="8">
        <v>20</v>
      </c>
      <c r="H12405" s="8" t="s">
        <v>21</v>
      </c>
      <c r="I12405" s="8" t="s">
        <v>22</v>
      </c>
      <c r="J12405" s="8" t="s">
        <v>22</v>
      </c>
      <c r="K12405" s="8" t="s">
        <v>160</v>
      </c>
      <c r="L12405" s="8" t="s">
        <v>22476</v>
      </c>
      <c r="M12405" s="8" t="s">
        <v>22477</v>
      </c>
      <c r="N12405" s="8" t="s">
        <v>51987</v>
      </c>
      <c r="O12405" s="8">
        <f>15+36/60+26.9/3600</f>
        <v>15.607472222222222</v>
      </c>
      <c r="P12405" s="8" t="s">
        <v>51988</v>
      </c>
      <c r="Q12405" s="8">
        <f>+(43+31/60+7/3600)</f>
        <v>43.518611111111113</v>
      </c>
      <c r="R12405" s="8">
        <v>13.5</v>
      </c>
      <c r="S12405" s="8">
        <v>14.2</v>
      </c>
      <c r="T12405" s="8">
        <v>0.7</v>
      </c>
      <c r="U12405" s="8">
        <v>13</v>
      </c>
      <c r="V12405" s="8">
        <v>1.3</v>
      </c>
      <c r="W12405" s="8">
        <v>0.5</v>
      </c>
      <c r="X12405" s="8">
        <v>70</v>
      </c>
      <c r="Y12405" s="8" t="s">
        <v>51989</v>
      </c>
      <c r="Z12405" s="8" t="s">
        <v>51990</v>
      </c>
    </row>
    <row r="12406" spans="1:26" x14ac:dyDescent="0.2">
      <c r="A12406" s="8">
        <v>12405</v>
      </c>
      <c r="B12406" s="8" t="s">
        <v>51991</v>
      </c>
      <c r="C12406" s="8" t="s">
        <v>51991</v>
      </c>
      <c r="G12406" s="8">
        <v>20</v>
      </c>
      <c r="H12406" s="8" t="s">
        <v>21</v>
      </c>
      <c r="I12406" s="8" t="s">
        <v>22</v>
      </c>
      <c r="J12406" s="8" t="s">
        <v>22</v>
      </c>
      <c r="K12406" s="8" t="s">
        <v>160</v>
      </c>
      <c r="L12406" s="8" t="s">
        <v>22476</v>
      </c>
      <c r="M12406" s="8" t="s">
        <v>22477</v>
      </c>
      <c r="N12406" s="8" t="s">
        <v>51992</v>
      </c>
      <c r="O12406" s="8">
        <f>15+36/60+35.2/3600</f>
        <v>15.609777777777778</v>
      </c>
      <c r="P12406" s="8" t="s">
        <v>51993</v>
      </c>
      <c r="Q12406" s="8">
        <f>+(43+25/60+31/3600)</f>
        <v>43.425277777777772</v>
      </c>
      <c r="R12406" s="8">
        <v>14.1</v>
      </c>
      <c r="S12406" s="8">
        <v>14.8</v>
      </c>
      <c r="T12406" s="8">
        <v>0.7</v>
      </c>
      <c r="U12406" s="8">
        <v>13.1</v>
      </c>
      <c r="V12406" s="8">
        <v>0.9</v>
      </c>
      <c r="W12406" s="8">
        <v>0.5</v>
      </c>
      <c r="X12406" s="8">
        <v>8</v>
      </c>
      <c r="Y12406" s="8" t="s">
        <v>5335</v>
      </c>
      <c r="Z12406" s="8" t="s">
        <v>5336</v>
      </c>
    </row>
    <row r="12407" spans="1:26" x14ac:dyDescent="0.2">
      <c r="A12407" s="8">
        <v>12406</v>
      </c>
      <c r="B12407" s="8" t="s">
        <v>51994</v>
      </c>
      <c r="C12407" s="8" t="s">
        <v>51994</v>
      </c>
      <c r="G12407" s="8">
        <v>20</v>
      </c>
      <c r="H12407" s="8" t="s">
        <v>21</v>
      </c>
      <c r="I12407" s="8" t="s">
        <v>22</v>
      </c>
      <c r="J12407" s="8" t="s">
        <v>22</v>
      </c>
      <c r="K12407" s="8" t="s">
        <v>31</v>
      </c>
      <c r="L12407" s="8" t="s">
        <v>22476</v>
      </c>
      <c r="M12407" s="8" t="s">
        <v>22477</v>
      </c>
      <c r="N12407" s="8" t="s">
        <v>51995</v>
      </c>
      <c r="O12407" s="8">
        <f>15+36/60+42.2/3600</f>
        <v>15.611722222222221</v>
      </c>
      <c r="P12407" s="8" t="s">
        <v>51996</v>
      </c>
      <c r="Q12407" s="8">
        <f>+(43+32/60+23/3600)</f>
        <v>43.539722222222217</v>
      </c>
      <c r="R12407" s="8">
        <v>13.3</v>
      </c>
      <c r="S12407" s="8">
        <v>14.1</v>
      </c>
      <c r="T12407" s="8">
        <v>0.8</v>
      </c>
      <c r="U12407" s="8">
        <v>13.6</v>
      </c>
      <c r="V12407" s="8">
        <v>1.6</v>
      </c>
      <c r="W12407" s="8">
        <v>1</v>
      </c>
      <c r="X12407" s="8">
        <v>165</v>
      </c>
      <c r="Y12407" s="8" t="s">
        <v>51989</v>
      </c>
      <c r="Z12407" s="8" t="s">
        <v>51990</v>
      </c>
    </row>
    <row r="12408" spans="1:26" x14ac:dyDescent="0.2">
      <c r="A12408" s="8">
        <v>12407</v>
      </c>
      <c r="B12408" s="8" t="s">
        <v>51997</v>
      </c>
      <c r="C12408" s="8" t="s">
        <v>51997</v>
      </c>
      <c r="G12408" s="8">
        <v>20</v>
      </c>
      <c r="H12408" s="8" t="s">
        <v>21</v>
      </c>
      <c r="I12408" s="8" t="s">
        <v>22</v>
      </c>
      <c r="J12408" s="8" t="s">
        <v>22</v>
      </c>
      <c r="K12408" s="8" t="s">
        <v>160</v>
      </c>
      <c r="L12408" s="8" t="s">
        <v>22476</v>
      </c>
      <c r="M12408" s="8" t="s">
        <v>22477</v>
      </c>
      <c r="N12408" s="8" t="s">
        <v>51998</v>
      </c>
      <c r="O12408" s="8">
        <f>15+37/60+13.3/3600</f>
        <v>15.620361111111112</v>
      </c>
      <c r="P12408" s="8" t="s">
        <v>51999</v>
      </c>
      <c r="Q12408" s="8">
        <f>+(43+17/60+52/3600)</f>
        <v>43.297777777777775</v>
      </c>
      <c r="R12408" s="8">
        <v>12.8</v>
      </c>
      <c r="S12408" s="8">
        <v>13.5</v>
      </c>
      <c r="T12408" s="8">
        <v>0.7</v>
      </c>
      <c r="U12408" s="8">
        <v>13</v>
      </c>
      <c r="V12408" s="8">
        <v>1.4</v>
      </c>
      <c r="W12408" s="8">
        <v>1</v>
      </c>
      <c r="X12408" s="8">
        <v>125</v>
      </c>
      <c r="Y12408" s="8" t="s">
        <v>51989</v>
      </c>
      <c r="Z12408" s="8" t="s">
        <v>51990</v>
      </c>
    </row>
    <row r="12409" spans="1:26" x14ac:dyDescent="0.2">
      <c r="A12409" s="8">
        <v>12408</v>
      </c>
      <c r="B12409" s="8" t="s">
        <v>52000</v>
      </c>
      <c r="C12409" s="8" t="s">
        <v>52000</v>
      </c>
      <c r="G12409" s="8">
        <v>20</v>
      </c>
      <c r="H12409" s="8" t="s">
        <v>21</v>
      </c>
      <c r="I12409" s="8" t="s">
        <v>22</v>
      </c>
      <c r="J12409" s="8" t="s">
        <v>22</v>
      </c>
      <c r="K12409" s="8" t="s">
        <v>23</v>
      </c>
      <c r="L12409" s="8" t="s">
        <v>26398</v>
      </c>
      <c r="M12409" s="8" t="s">
        <v>26399</v>
      </c>
      <c r="N12409" s="8" t="s">
        <v>52001</v>
      </c>
      <c r="O12409" s="8">
        <f>15+40/60+7.6/3600</f>
        <v>15.668777777777777</v>
      </c>
      <c r="P12409" s="8" t="s">
        <v>52002</v>
      </c>
      <c r="Q12409" s="8">
        <f>+(28+9/60+7/3600)</f>
        <v>28.151944444444442</v>
      </c>
      <c r="R12409" s="8">
        <v>14.5</v>
      </c>
      <c r="S12409" s="8">
        <v>15.3</v>
      </c>
      <c r="T12409" s="8">
        <v>0.8</v>
      </c>
      <c r="U12409" s="8">
        <v>12.5</v>
      </c>
      <c r="V12409" s="8">
        <v>0.6</v>
      </c>
      <c r="W12409" s="8">
        <v>0.3</v>
      </c>
      <c r="X12409" s="8">
        <v>30</v>
      </c>
      <c r="Y12409" s="8" t="s">
        <v>43668</v>
      </c>
      <c r="Z12409" s="8" t="s">
        <v>43669</v>
      </c>
    </row>
    <row r="12410" spans="1:26" x14ac:dyDescent="0.2">
      <c r="A12410" s="8">
        <v>12409</v>
      </c>
      <c r="B12410" s="8" t="s">
        <v>52003</v>
      </c>
      <c r="C12410" s="8" t="s">
        <v>52003</v>
      </c>
      <c r="G12410" s="8">
        <v>20</v>
      </c>
      <c r="H12410" s="8" t="s">
        <v>21</v>
      </c>
      <c r="I12410" s="8" t="s">
        <v>22</v>
      </c>
      <c r="J12410" s="8" t="s">
        <v>22</v>
      </c>
      <c r="K12410" s="8" t="s">
        <v>449</v>
      </c>
      <c r="L12410" s="8" t="s">
        <v>26398</v>
      </c>
      <c r="M12410" s="8" t="s">
        <v>26399</v>
      </c>
      <c r="N12410" s="8" t="s">
        <v>52004</v>
      </c>
      <c r="O12410" s="8">
        <f>15+40/60+48.3/3600</f>
        <v>15.680083333333332</v>
      </c>
      <c r="P12410" s="8" t="s">
        <v>52005</v>
      </c>
      <c r="Q12410" s="8">
        <f>+(28+17/60+33/3600)</f>
        <v>28.2925</v>
      </c>
      <c r="R12410" s="8">
        <v>14</v>
      </c>
      <c r="S12410" s="8">
        <v>14.8</v>
      </c>
      <c r="T12410" s="8">
        <v>0.8</v>
      </c>
      <c r="U12410" s="8">
        <v>13.2</v>
      </c>
      <c r="V12410" s="8">
        <v>0.9</v>
      </c>
      <c r="W12410" s="8">
        <v>0.6</v>
      </c>
      <c r="X12410" s="8">
        <v>132</v>
      </c>
      <c r="Y12410" s="8" t="s">
        <v>52006</v>
      </c>
      <c r="Z12410" s="8" t="s">
        <v>52007</v>
      </c>
    </row>
    <row r="12411" spans="1:26" x14ac:dyDescent="0.2">
      <c r="A12411" s="8">
        <v>12410</v>
      </c>
      <c r="B12411" s="8" t="s">
        <v>52008</v>
      </c>
      <c r="C12411" s="8" t="s">
        <v>52008</v>
      </c>
      <c r="G12411" s="8">
        <v>20</v>
      </c>
      <c r="H12411" s="8" t="s">
        <v>21</v>
      </c>
      <c r="I12411" s="8" t="s">
        <v>22</v>
      </c>
      <c r="J12411" s="8" t="s">
        <v>22</v>
      </c>
      <c r="K12411" s="8" t="s">
        <v>160</v>
      </c>
      <c r="L12411" s="8" t="s">
        <v>26398</v>
      </c>
      <c r="M12411" s="8" t="s">
        <v>26399</v>
      </c>
      <c r="N12411" s="8" t="s">
        <v>52009</v>
      </c>
      <c r="O12411" s="8">
        <f>15+41/60+22.5/3600</f>
        <v>15.689583333333333</v>
      </c>
      <c r="P12411" s="8" t="s">
        <v>52010</v>
      </c>
      <c r="Q12411" s="8">
        <f>+(28+13/60+45/3600)</f>
        <v>28.229166666666664</v>
      </c>
      <c r="R12411" s="8">
        <v>14.1</v>
      </c>
      <c r="S12411" s="8">
        <v>14.8</v>
      </c>
      <c r="T12411" s="8">
        <v>0.7</v>
      </c>
      <c r="U12411" s="8">
        <v>13.7</v>
      </c>
      <c r="V12411" s="8">
        <v>0.9</v>
      </c>
      <c r="W12411" s="8">
        <v>0.8</v>
      </c>
      <c r="X12411" s="8">
        <v>63</v>
      </c>
      <c r="Y12411" s="8" t="s">
        <v>50691</v>
      </c>
      <c r="Z12411" s="8" t="s">
        <v>50692</v>
      </c>
    </row>
    <row r="12412" spans="1:26" x14ac:dyDescent="0.2">
      <c r="A12412" s="8">
        <v>12411</v>
      </c>
      <c r="B12412" s="8" t="s">
        <v>52011</v>
      </c>
      <c r="C12412" s="8" t="s">
        <v>52011</v>
      </c>
      <c r="G12412" s="8">
        <v>20</v>
      </c>
      <c r="H12412" s="8" t="s">
        <v>21</v>
      </c>
      <c r="I12412" s="8" t="s">
        <v>22</v>
      </c>
      <c r="J12412" s="8" t="s">
        <v>22</v>
      </c>
      <c r="K12412" s="8" t="s">
        <v>218</v>
      </c>
      <c r="L12412" s="8" t="s">
        <v>26039</v>
      </c>
      <c r="M12412" s="8" t="s">
        <v>26040</v>
      </c>
      <c r="N12412" s="8" t="s">
        <v>52012</v>
      </c>
      <c r="O12412" s="8">
        <f>15+48/60+51.6/3600</f>
        <v>15.814333333333334</v>
      </c>
      <c r="P12412" s="8" t="s">
        <v>8541</v>
      </c>
      <c r="Q12412" s="8">
        <f>-(67+19/60+25/3600)</f>
        <v>-67.323611111111106</v>
      </c>
      <c r="R12412" s="8">
        <v>12.6</v>
      </c>
      <c r="S12412" s="8">
        <v>13.4</v>
      </c>
      <c r="T12412" s="8">
        <v>0.8</v>
      </c>
      <c r="U12412" s="8">
        <v>12.1</v>
      </c>
      <c r="V12412" s="8">
        <v>1.4</v>
      </c>
      <c r="W12412" s="8">
        <v>0.5</v>
      </c>
      <c r="X12412" s="8">
        <v>142</v>
      </c>
      <c r="Y12412" s="8" t="s">
        <v>52013</v>
      </c>
      <c r="Z12412" s="8" t="s">
        <v>52014</v>
      </c>
    </row>
    <row r="12413" spans="1:26" x14ac:dyDescent="0.2">
      <c r="A12413" s="8">
        <v>12412</v>
      </c>
      <c r="B12413" s="8" t="s">
        <v>52015</v>
      </c>
      <c r="C12413" s="8" t="s">
        <v>52015</v>
      </c>
      <c r="G12413" s="8">
        <v>20</v>
      </c>
      <c r="H12413" s="8" t="s">
        <v>21</v>
      </c>
      <c r="I12413" s="8" t="s">
        <v>22</v>
      </c>
      <c r="J12413" s="8" t="s">
        <v>22</v>
      </c>
      <c r="K12413" s="8" t="s">
        <v>154</v>
      </c>
      <c r="L12413" s="8" t="s">
        <v>26398</v>
      </c>
      <c r="M12413" s="8" t="s">
        <v>26399</v>
      </c>
      <c r="N12413" s="8" t="s">
        <v>52016</v>
      </c>
      <c r="O12413" s="8">
        <f>15+41/60+54.2/3600</f>
        <v>15.698388888888889</v>
      </c>
      <c r="P12413" s="8" t="s">
        <v>52017</v>
      </c>
      <c r="Q12413" s="8">
        <f>+(28+8/60+1/3600)</f>
        <v>28.133611111111112</v>
      </c>
      <c r="R12413" s="8">
        <v>13.7</v>
      </c>
      <c r="S12413" s="8">
        <v>14.6</v>
      </c>
      <c r="T12413" s="8">
        <v>0.9</v>
      </c>
      <c r="U12413" s="8">
        <v>13.4</v>
      </c>
      <c r="V12413" s="8">
        <v>1</v>
      </c>
      <c r="W12413" s="8">
        <v>0.7</v>
      </c>
      <c r="X12413" s="8">
        <v>69</v>
      </c>
      <c r="Y12413" s="8" t="s">
        <v>52018</v>
      </c>
      <c r="Z12413" s="8" t="s">
        <v>52019</v>
      </c>
    </row>
    <row r="12414" spans="1:26" x14ac:dyDescent="0.2">
      <c r="A12414" s="8">
        <v>12413</v>
      </c>
      <c r="B12414" s="8" t="s">
        <v>52020</v>
      </c>
      <c r="C12414" s="8" t="s">
        <v>52020</v>
      </c>
      <c r="G12414" s="8">
        <v>20</v>
      </c>
      <c r="H12414" s="8" t="s">
        <v>21</v>
      </c>
      <c r="I12414" s="8" t="s">
        <v>22</v>
      </c>
      <c r="J12414" s="8" t="s">
        <v>22</v>
      </c>
      <c r="K12414" s="8" t="s">
        <v>449</v>
      </c>
      <c r="L12414" s="8" t="s">
        <v>26227</v>
      </c>
      <c r="M12414" s="8" t="s">
        <v>26228</v>
      </c>
      <c r="N12414" s="8" t="s">
        <v>52021</v>
      </c>
      <c r="O12414" s="8">
        <f>15+42/60+12.2/3600</f>
        <v>15.703388888888888</v>
      </c>
      <c r="P12414" s="8" t="s">
        <v>52022</v>
      </c>
      <c r="Q12414" s="8">
        <f>+(23+48/60+1/3600)</f>
        <v>23.800277777777779</v>
      </c>
      <c r="R12414" s="8">
        <v>14.7</v>
      </c>
      <c r="S12414" s="8">
        <v>15.5</v>
      </c>
      <c r="T12414" s="8">
        <v>0.8</v>
      </c>
      <c r="U12414" s="8">
        <v>11.8</v>
      </c>
      <c r="V12414" s="8">
        <v>0.4</v>
      </c>
      <c r="W12414" s="8">
        <v>0.2</v>
      </c>
      <c r="X12414" s="8">
        <v>135</v>
      </c>
      <c r="Y12414" s="8" t="s">
        <v>41596</v>
      </c>
      <c r="Z12414" s="8" t="s">
        <v>41597</v>
      </c>
    </row>
    <row r="12415" spans="1:26" x14ac:dyDescent="0.2">
      <c r="A12415" s="8">
        <v>12414</v>
      </c>
      <c r="B12415" s="8" t="s">
        <v>52023</v>
      </c>
      <c r="C12415" s="8" t="s">
        <v>52023</v>
      </c>
      <c r="G12415" s="8">
        <v>20</v>
      </c>
      <c r="H12415" s="8" t="s">
        <v>21</v>
      </c>
      <c r="I12415" s="8" t="s">
        <v>22</v>
      </c>
      <c r="J12415" s="8" t="s">
        <v>22</v>
      </c>
      <c r="K12415" s="8" t="s">
        <v>91</v>
      </c>
      <c r="L12415" s="8" t="s">
        <v>26398</v>
      </c>
      <c r="M12415" s="8" t="s">
        <v>26399</v>
      </c>
      <c r="N12415" s="8" t="s">
        <v>52024</v>
      </c>
      <c r="O12415" s="8">
        <f>15+41/60+59.2/3600</f>
        <v>15.699777777777777</v>
      </c>
      <c r="P12415" s="8" t="s">
        <v>52025</v>
      </c>
      <c r="Q12415" s="8">
        <f>+(28+14/60+24/3600)</f>
        <v>28.240000000000002</v>
      </c>
      <c r="R12415" s="8">
        <v>14.8</v>
      </c>
      <c r="S12415" s="8">
        <v>15.7</v>
      </c>
      <c r="T12415" s="8">
        <v>0.9</v>
      </c>
      <c r="U12415" s="8">
        <v>10.8</v>
      </c>
      <c r="V12415" s="8">
        <v>0.3</v>
      </c>
      <c r="W12415" s="8">
        <v>0.1</v>
      </c>
      <c r="X12415" s="8">
        <v>20</v>
      </c>
      <c r="Y12415" s="8" t="s">
        <v>824</v>
      </c>
      <c r="Z12415" s="8" t="s">
        <v>825</v>
      </c>
    </row>
    <row r="12416" spans="1:26" x14ac:dyDescent="0.2">
      <c r="A12416" s="8">
        <v>12415</v>
      </c>
      <c r="B12416" s="8" t="s">
        <v>52026</v>
      </c>
      <c r="C12416" s="8" t="s">
        <v>52026</v>
      </c>
      <c r="G12416" s="8">
        <v>20</v>
      </c>
      <c r="H12416" s="8" t="s">
        <v>21</v>
      </c>
      <c r="I12416" s="8" t="s">
        <v>22</v>
      </c>
      <c r="J12416" s="8" t="s">
        <v>22</v>
      </c>
      <c r="K12416" s="8" t="s">
        <v>91</v>
      </c>
      <c r="L12416" s="8" t="s">
        <v>26227</v>
      </c>
      <c r="M12416" s="8" t="s">
        <v>26228</v>
      </c>
      <c r="N12416" s="8" t="s">
        <v>52027</v>
      </c>
      <c r="O12416" s="8">
        <f>15+42/60+19.6/3600</f>
        <v>15.705444444444444</v>
      </c>
      <c r="P12416" s="8" t="s">
        <v>52028</v>
      </c>
      <c r="Q12416" s="8">
        <f>+(23+48/60+29/3600)</f>
        <v>23.808055555555555</v>
      </c>
      <c r="R12416" s="8">
        <v>14.6</v>
      </c>
      <c r="S12416" s="8">
        <v>15.5</v>
      </c>
      <c r="T12416" s="8">
        <v>0.9</v>
      </c>
      <c r="U12416" s="8">
        <v>13.5</v>
      </c>
      <c r="V12416" s="8">
        <v>0.7</v>
      </c>
      <c r="W12416" s="8">
        <v>0.6</v>
      </c>
      <c r="X12416" s="8">
        <v>85</v>
      </c>
      <c r="Y12416" s="8" t="s">
        <v>52029</v>
      </c>
      <c r="Z12416" s="8" t="s">
        <v>52030</v>
      </c>
    </row>
    <row r="12417" spans="1:26" x14ac:dyDescent="0.2">
      <c r="A12417" s="8">
        <v>12416</v>
      </c>
      <c r="B12417" s="8" t="s">
        <v>52031</v>
      </c>
      <c r="C12417" s="8" t="s">
        <v>52031</v>
      </c>
      <c r="G12417" s="8">
        <v>20</v>
      </c>
      <c r="H12417" s="8" t="s">
        <v>21</v>
      </c>
      <c r="I12417" s="8" t="s">
        <v>22</v>
      </c>
      <c r="J12417" s="8" t="s">
        <v>22</v>
      </c>
      <c r="K12417" s="8" t="s">
        <v>37</v>
      </c>
      <c r="L12417" s="8" t="s">
        <v>26227</v>
      </c>
      <c r="M12417" s="8" t="s">
        <v>26228</v>
      </c>
      <c r="N12417" s="8" t="s">
        <v>52032</v>
      </c>
      <c r="O12417" s="8">
        <f>15+42/60+35.4/3600</f>
        <v>15.709833333333332</v>
      </c>
      <c r="P12417" s="8" t="s">
        <v>52033</v>
      </c>
      <c r="Q12417" s="8">
        <f>+(23+40/60+14/3600)</f>
        <v>23.670555555555556</v>
      </c>
      <c r="R12417" s="8">
        <v>13.9</v>
      </c>
      <c r="S12417" s="8">
        <v>14.9</v>
      </c>
      <c r="T12417" s="8">
        <v>1</v>
      </c>
      <c r="U12417" s="8">
        <v>13.2</v>
      </c>
      <c r="V12417" s="8">
        <v>1</v>
      </c>
      <c r="W12417" s="8">
        <v>0.6</v>
      </c>
      <c r="X12417" s="8">
        <v>63</v>
      </c>
      <c r="Y12417" s="8" t="s">
        <v>52034</v>
      </c>
      <c r="Z12417" s="8" t="s">
        <v>52035</v>
      </c>
    </row>
    <row r="12418" spans="1:26" x14ac:dyDescent="0.2">
      <c r="A12418" s="8">
        <v>12417</v>
      </c>
      <c r="B12418" s="8" t="s">
        <v>52036</v>
      </c>
      <c r="C12418" s="8" t="s">
        <v>52036</v>
      </c>
      <c r="G12418" s="8">
        <v>20</v>
      </c>
      <c r="H12418" s="8" t="s">
        <v>21</v>
      </c>
      <c r="I12418" s="8" t="s">
        <v>22</v>
      </c>
      <c r="J12418" s="8" t="s">
        <v>22</v>
      </c>
      <c r="K12418" s="8" t="s">
        <v>424</v>
      </c>
      <c r="L12418" s="8" t="s">
        <v>26227</v>
      </c>
      <c r="M12418" s="8" t="s">
        <v>26228</v>
      </c>
      <c r="N12418" s="8" t="s">
        <v>26668</v>
      </c>
      <c r="O12418" s="8">
        <f>15+42/60+45.5/3600</f>
        <v>15.712638888888888</v>
      </c>
      <c r="P12418" s="8" t="s">
        <v>52037</v>
      </c>
      <c r="Q12418" s="8">
        <f>+(23+47/60+35/3600)</f>
        <v>23.793055555555558</v>
      </c>
      <c r="R12418" s="8">
        <v>14.3</v>
      </c>
      <c r="S12418" s="8">
        <v>15.3</v>
      </c>
      <c r="T12418" s="8">
        <v>1</v>
      </c>
      <c r="U12418" s="8">
        <v>13.7</v>
      </c>
      <c r="V12418" s="8">
        <v>0.8</v>
      </c>
      <c r="W12418" s="8">
        <v>0.8</v>
      </c>
      <c r="Y12418" s="8" t="s">
        <v>37070</v>
      </c>
      <c r="Z12418" s="8" t="s">
        <v>37071</v>
      </c>
    </row>
    <row r="12419" spans="1:26" x14ac:dyDescent="0.2">
      <c r="A12419" s="8">
        <v>12418</v>
      </c>
      <c r="B12419" s="8" t="s">
        <v>52038</v>
      </c>
      <c r="C12419" s="8" t="s">
        <v>52038</v>
      </c>
      <c r="G12419" s="8">
        <v>20</v>
      </c>
      <c r="H12419" s="8" t="s">
        <v>21</v>
      </c>
      <c r="I12419" s="8" t="s">
        <v>22</v>
      </c>
      <c r="J12419" s="8" t="s">
        <v>22</v>
      </c>
      <c r="K12419" s="8" t="s">
        <v>218</v>
      </c>
      <c r="L12419" s="8" t="s">
        <v>25025</v>
      </c>
      <c r="M12419" s="8" t="s">
        <v>25026</v>
      </c>
      <c r="N12419" s="8" t="s">
        <v>52039</v>
      </c>
      <c r="O12419" s="8">
        <f>15+53/60+11.6/3600</f>
        <v>15.886555555555555</v>
      </c>
      <c r="P12419" s="8" t="s">
        <v>52040</v>
      </c>
      <c r="Q12419" s="8">
        <f>-(74+49/60+32/3600)</f>
        <v>-74.825555555555553</v>
      </c>
      <c r="R12419" s="8">
        <v>13.1</v>
      </c>
      <c r="S12419" s="8">
        <v>13.9</v>
      </c>
      <c r="T12419" s="8">
        <v>0.8</v>
      </c>
      <c r="U12419" s="8">
        <v>12.4</v>
      </c>
      <c r="V12419" s="8">
        <v>1.2</v>
      </c>
      <c r="W12419" s="8">
        <v>0.5</v>
      </c>
      <c r="X12419" s="8">
        <v>133</v>
      </c>
      <c r="Y12419" s="8" t="s">
        <v>52041</v>
      </c>
      <c r="Z12419" s="8" t="s">
        <v>52042</v>
      </c>
    </row>
    <row r="12420" spans="1:26" x14ac:dyDescent="0.2">
      <c r="A12420" s="8">
        <v>12419</v>
      </c>
      <c r="B12420" s="8" t="s">
        <v>52043</v>
      </c>
      <c r="C12420" s="8" t="s">
        <v>52043</v>
      </c>
      <c r="G12420" s="8">
        <v>20</v>
      </c>
      <c r="H12420" s="8" t="s">
        <v>21</v>
      </c>
      <c r="I12420" s="8" t="s">
        <v>22</v>
      </c>
      <c r="J12420" s="8" t="s">
        <v>22</v>
      </c>
      <c r="K12420" s="8" t="s">
        <v>449</v>
      </c>
      <c r="L12420" s="8" t="s">
        <v>26227</v>
      </c>
      <c r="M12420" s="8" t="s">
        <v>26228</v>
      </c>
      <c r="N12420" s="8" t="s">
        <v>52044</v>
      </c>
      <c r="O12420" s="8">
        <f>15+42/60+51.4/3600</f>
        <v>15.714277777777777</v>
      </c>
      <c r="P12420" s="8" t="s">
        <v>52045</v>
      </c>
      <c r="Q12420" s="8">
        <f>+(23+46/60+25/3600)</f>
        <v>23.773611111111109</v>
      </c>
      <c r="R12420" s="8">
        <v>14.9</v>
      </c>
      <c r="S12420" s="8">
        <v>15.7</v>
      </c>
      <c r="T12420" s="8">
        <v>0.8</v>
      </c>
      <c r="U12420" s="8">
        <v>13.6</v>
      </c>
      <c r="V12420" s="8">
        <v>0.7</v>
      </c>
      <c r="W12420" s="8">
        <v>0.5</v>
      </c>
      <c r="X12420" s="8">
        <v>66</v>
      </c>
      <c r="Y12420" s="8" t="s">
        <v>37070</v>
      </c>
      <c r="Z12420" s="8" t="s">
        <v>37071</v>
      </c>
    </row>
    <row r="12421" spans="1:26" x14ac:dyDescent="0.2">
      <c r="A12421" s="8">
        <v>12420</v>
      </c>
      <c r="B12421" s="8" t="s">
        <v>52046</v>
      </c>
      <c r="C12421" s="8" t="s">
        <v>52046</v>
      </c>
      <c r="G12421" s="8">
        <v>20</v>
      </c>
      <c r="H12421" s="8" t="s">
        <v>21</v>
      </c>
      <c r="I12421" s="8" t="s">
        <v>22</v>
      </c>
      <c r="J12421" s="8" t="s">
        <v>22</v>
      </c>
      <c r="K12421" s="8" t="s">
        <v>435</v>
      </c>
      <c r="L12421" s="8" t="s">
        <v>26398</v>
      </c>
      <c r="M12421" s="8" t="s">
        <v>26399</v>
      </c>
      <c r="N12421" s="8" t="s">
        <v>52047</v>
      </c>
      <c r="O12421" s="8">
        <f>15+43/60+14.3/3600</f>
        <v>15.720638888888889</v>
      </c>
      <c r="P12421" s="8" t="s">
        <v>52048</v>
      </c>
      <c r="Q12421" s="8">
        <f>+(28+21/60+23/3600)</f>
        <v>28.35638888888889</v>
      </c>
      <c r="R12421" s="8">
        <v>14.5</v>
      </c>
      <c r="S12421" s="8">
        <v>15.4</v>
      </c>
      <c r="T12421" s="8">
        <v>0.9</v>
      </c>
      <c r="U12421" s="8">
        <v>12</v>
      </c>
      <c r="V12421" s="8">
        <v>0.6</v>
      </c>
      <c r="W12421" s="8">
        <v>0.2</v>
      </c>
      <c r="X12421" s="8">
        <v>170</v>
      </c>
      <c r="Y12421" s="8" t="s">
        <v>895</v>
      </c>
      <c r="Z12421" s="8" t="s">
        <v>896</v>
      </c>
    </row>
    <row r="12422" spans="1:26" x14ac:dyDescent="0.2">
      <c r="A12422" s="8">
        <v>12421</v>
      </c>
      <c r="B12422" s="8" t="s">
        <v>52049</v>
      </c>
      <c r="C12422" s="8" t="s">
        <v>52049</v>
      </c>
      <c r="G12422" s="8">
        <v>20</v>
      </c>
      <c r="H12422" s="8" t="s">
        <v>21</v>
      </c>
      <c r="I12422" s="8" t="s">
        <v>22</v>
      </c>
      <c r="J12422" s="8" t="s">
        <v>22</v>
      </c>
      <c r="K12422" s="8" t="s">
        <v>64</v>
      </c>
      <c r="L12422" s="8" t="s">
        <v>26398</v>
      </c>
      <c r="M12422" s="8" t="s">
        <v>26399</v>
      </c>
      <c r="N12422" s="8" t="s">
        <v>52050</v>
      </c>
      <c r="O12422" s="8">
        <f>15+44/60+1.4/3600</f>
        <v>15.733722222222221</v>
      </c>
      <c r="P12422" s="8" t="s">
        <v>52051</v>
      </c>
      <c r="Q12422" s="8">
        <f>+(28+16/60+36/3600)</f>
        <v>28.276666666666667</v>
      </c>
      <c r="R12422" s="8">
        <v>14.4</v>
      </c>
      <c r="S12422" s="8">
        <v>15.1</v>
      </c>
      <c r="T12422" s="8">
        <v>0.7</v>
      </c>
      <c r="U12422" s="8">
        <v>13.9</v>
      </c>
      <c r="V12422" s="8">
        <v>0.9</v>
      </c>
      <c r="W12422" s="8">
        <v>0.8</v>
      </c>
      <c r="Y12422" s="8" t="s">
        <v>52052</v>
      </c>
      <c r="Z12422" s="8" t="s">
        <v>52053</v>
      </c>
    </row>
    <row r="12423" spans="1:26" x14ac:dyDescent="0.2">
      <c r="A12423" s="8">
        <v>12422</v>
      </c>
      <c r="B12423" s="8" t="s">
        <v>52054</v>
      </c>
      <c r="C12423" s="8" t="s">
        <v>52054</v>
      </c>
      <c r="G12423" s="8">
        <v>20</v>
      </c>
      <c r="H12423" s="8" t="s">
        <v>21</v>
      </c>
      <c r="I12423" s="8" t="s">
        <v>22</v>
      </c>
      <c r="J12423" s="8" t="s">
        <v>22</v>
      </c>
      <c r="K12423" s="8" t="s">
        <v>85</v>
      </c>
      <c r="L12423" s="8" t="s">
        <v>26398</v>
      </c>
      <c r="M12423" s="8" t="s">
        <v>26399</v>
      </c>
      <c r="N12423" s="8" t="s">
        <v>52055</v>
      </c>
      <c r="O12423" s="8">
        <f>15+45/60+39.4/3600</f>
        <v>15.760944444444444</v>
      </c>
      <c r="P12423" s="8" t="s">
        <v>52056</v>
      </c>
      <c r="Q12423" s="8">
        <f>+(28+5/60+19/3600)</f>
        <v>28.08861111111111</v>
      </c>
      <c r="R12423" s="8">
        <v>14</v>
      </c>
      <c r="S12423" s="8">
        <v>14.8</v>
      </c>
      <c r="T12423" s="8">
        <v>0.8</v>
      </c>
      <c r="U12423" s="8">
        <v>13.3</v>
      </c>
      <c r="V12423" s="8">
        <v>1.3</v>
      </c>
      <c r="W12423" s="8">
        <v>0.3</v>
      </c>
      <c r="X12423" s="8">
        <v>171</v>
      </c>
      <c r="Y12423" s="8" t="s">
        <v>52057</v>
      </c>
      <c r="Z12423" s="8" t="s">
        <v>52058</v>
      </c>
    </row>
    <row r="12424" spans="1:26" x14ac:dyDescent="0.2">
      <c r="A12424" s="8">
        <v>12423</v>
      </c>
      <c r="B12424" s="8" t="s">
        <v>52059</v>
      </c>
      <c r="C12424" s="8" t="s">
        <v>52059</v>
      </c>
      <c r="G12424" s="8">
        <v>20</v>
      </c>
      <c r="H12424" s="8" t="s">
        <v>21</v>
      </c>
      <c r="I12424" s="8" t="s">
        <v>22</v>
      </c>
      <c r="J12424" s="8" t="s">
        <v>22</v>
      </c>
      <c r="K12424" s="8" t="s">
        <v>476</v>
      </c>
      <c r="L12424" s="8" t="s">
        <v>26227</v>
      </c>
      <c r="M12424" s="8" t="s">
        <v>26228</v>
      </c>
      <c r="N12424" s="8" t="s">
        <v>52060</v>
      </c>
      <c r="O12424" s="8">
        <f>15+46/60+21.9/3600</f>
        <v>15.77275</v>
      </c>
      <c r="P12424" s="8" t="s">
        <v>52061</v>
      </c>
      <c r="Q12424" s="8">
        <f>+(23+48/60+32/3600)</f>
        <v>23.808888888888891</v>
      </c>
      <c r="R12424" s="8">
        <v>14.3</v>
      </c>
      <c r="S12424" s="8">
        <v>15.2</v>
      </c>
      <c r="T12424" s="8">
        <v>0.9</v>
      </c>
      <c r="U12424" s="8">
        <v>12.8</v>
      </c>
      <c r="V12424" s="8">
        <v>1</v>
      </c>
      <c r="W12424" s="8">
        <v>0.3</v>
      </c>
      <c r="X12424" s="8">
        <v>36</v>
      </c>
      <c r="Y12424" s="8" t="s">
        <v>52062</v>
      </c>
      <c r="Z12424" s="8" t="s">
        <v>52063</v>
      </c>
    </row>
    <row r="12425" spans="1:26" x14ac:dyDescent="0.2">
      <c r="A12425" s="8">
        <v>12424</v>
      </c>
      <c r="B12425" s="8" t="s">
        <v>52064</v>
      </c>
      <c r="C12425" s="8" t="s">
        <v>52064</v>
      </c>
      <c r="G12425" s="8">
        <v>20</v>
      </c>
      <c r="H12425" s="8" t="s">
        <v>21</v>
      </c>
      <c r="I12425" s="8" t="s">
        <v>22</v>
      </c>
      <c r="J12425" s="8" t="s">
        <v>22</v>
      </c>
      <c r="K12425" s="8" t="s">
        <v>160</v>
      </c>
      <c r="L12425" s="8" t="s">
        <v>26039</v>
      </c>
      <c r="M12425" s="8" t="s">
        <v>26040</v>
      </c>
      <c r="N12425" s="8" t="s">
        <v>52065</v>
      </c>
      <c r="O12425" s="8">
        <f>16+0/60+12.5/3600</f>
        <v>16.003472222222221</v>
      </c>
      <c r="P12425" s="8" t="s">
        <v>52066</v>
      </c>
      <c r="Q12425" s="8">
        <f>-(66+22/60+57/3600)</f>
        <v>-66.382499999999993</v>
      </c>
      <c r="R12425" s="8">
        <v>15.1</v>
      </c>
      <c r="S12425" s="8">
        <v>15.8</v>
      </c>
      <c r="T12425" s="8">
        <v>0.7</v>
      </c>
      <c r="U12425" s="8">
        <v>15.9</v>
      </c>
      <c r="V12425" s="8">
        <v>1.8</v>
      </c>
      <c r="W12425" s="8">
        <v>1.5</v>
      </c>
      <c r="X12425" s="8">
        <v>96</v>
      </c>
      <c r="Y12425" s="8" t="s">
        <v>37602</v>
      </c>
      <c r="Z12425" s="8" t="s">
        <v>37603</v>
      </c>
    </row>
    <row r="12426" spans="1:26" x14ac:dyDescent="0.2">
      <c r="A12426" s="8">
        <v>12425</v>
      </c>
      <c r="B12426" s="8" t="s">
        <v>52067</v>
      </c>
      <c r="C12426" s="8" t="s">
        <v>52067</v>
      </c>
      <c r="G12426" s="8">
        <v>20</v>
      </c>
      <c r="H12426" s="8" t="s">
        <v>21</v>
      </c>
      <c r="I12426" s="8" t="s">
        <v>22</v>
      </c>
      <c r="J12426" s="8" t="s">
        <v>22</v>
      </c>
      <c r="K12426" s="8" t="s">
        <v>218</v>
      </c>
      <c r="L12426" s="8" t="s">
        <v>26039</v>
      </c>
      <c r="M12426" s="8" t="s">
        <v>26040</v>
      </c>
      <c r="N12426" s="8" t="s">
        <v>52068</v>
      </c>
      <c r="O12426" s="8">
        <f>16+0/60+17.1/3600</f>
        <v>16.004750000000001</v>
      </c>
      <c r="P12426" s="8" t="s">
        <v>52069</v>
      </c>
      <c r="Q12426" s="8">
        <f>-(66+19/60+21/3600)</f>
        <v>-66.322499999999991</v>
      </c>
      <c r="R12426" s="8">
        <v>12.3</v>
      </c>
      <c r="S12426" s="8">
        <v>13</v>
      </c>
      <c r="T12426" s="8">
        <v>0.7</v>
      </c>
      <c r="U12426" s="8">
        <v>12.5</v>
      </c>
      <c r="V12426" s="8">
        <v>2.6</v>
      </c>
      <c r="W12426" s="8">
        <v>0.8</v>
      </c>
      <c r="X12426" s="8">
        <v>54</v>
      </c>
      <c r="Y12426" s="8" t="s">
        <v>37602</v>
      </c>
      <c r="Z12426" s="8" t="s">
        <v>37603</v>
      </c>
    </row>
    <row r="12427" spans="1:26" x14ac:dyDescent="0.2">
      <c r="A12427" s="8">
        <v>12426</v>
      </c>
      <c r="B12427" s="8" t="s">
        <v>52070</v>
      </c>
      <c r="C12427" s="8" t="s">
        <v>52070</v>
      </c>
      <c r="G12427" s="8">
        <v>20</v>
      </c>
      <c r="H12427" s="8" t="s">
        <v>21</v>
      </c>
      <c r="I12427" s="8" t="s">
        <v>22</v>
      </c>
      <c r="J12427" s="8" t="s">
        <v>57</v>
      </c>
      <c r="K12427" s="8" t="s">
        <v>37</v>
      </c>
      <c r="L12427" s="8" t="s">
        <v>26227</v>
      </c>
      <c r="M12427" s="8" t="s">
        <v>26228</v>
      </c>
      <c r="N12427" s="8" t="s">
        <v>26811</v>
      </c>
      <c r="O12427" s="8">
        <f>15+55/60+57.5/3600</f>
        <v>15.932638888888889</v>
      </c>
      <c r="P12427" s="8" t="s">
        <v>26812</v>
      </c>
      <c r="Q12427" s="8">
        <f>+(5+55/60+54/3600)</f>
        <v>5.9316666666666666</v>
      </c>
      <c r="R12427" s="8">
        <v>12.2</v>
      </c>
      <c r="S12427" s="8">
        <v>13.2</v>
      </c>
      <c r="T12427" s="8">
        <v>1</v>
      </c>
      <c r="U12427" s="8">
        <v>13.2</v>
      </c>
      <c r="V12427" s="8">
        <v>1.7</v>
      </c>
      <c r="W12427" s="8">
        <v>1.6</v>
      </c>
      <c r="X12427" s="8">
        <v>171</v>
      </c>
      <c r="Y12427" s="8" t="s">
        <v>52071</v>
      </c>
      <c r="Z12427" s="8" t="s">
        <v>52072</v>
      </c>
    </row>
    <row r="12428" spans="1:26" x14ac:dyDescent="0.2">
      <c r="A12428" s="8">
        <v>12427</v>
      </c>
      <c r="B12428" s="8" t="s">
        <v>52073</v>
      </c>
      <c r="C12428" s="8" t="s">
        <v>52073</v>
      </c>
      <c r="G12428" s="8">
        <v>20</v>
      </c>
      <c r="H12428" s="8" t="s">
        <v>21</v>
      </c>
      <c r="I12428" s="8" t="s">
        <v>22</v>
      </c>
      <c r="J12428" s="8" t="s">
        <v>22</v>
      </c>
      <c r="K12428" s="8" t="s">
        <v>460</v>
      </c>
      <c r="L12428" s="8" t="s">
        <v>26398</v>
      </c>
      <c r="M12428" s="8" t="s">
        <v>26399</v>
      </c>
      <c r="N12428" s="8" t="s">
        <v>52074</v>
      </c>
      <c r="O12428" s="8">
        <f>15+59/60+51.5/3600</f>
        <v>15.997638888888888</v>
      </c>
      <c r="P12428" s="8" t="s">
        <v>52075</v>
      </c>
      <c r="Q12428" s="8">
        <f>+(25+56/60+28/3600)</f>
        <v>25.941111111111113</v>
      </c>
      <c r="R12428" s="8">
        <v>14.3</v>
      </c>
      <c r="S12428" s="8">
        <v>15.3</v>
      </c>
      <c r="T12428" s="8">
        <v>1</v>
      </c>
      <c r="U12428" s="8">
        <v>12.4</v>
      </c>
      <c r="V12428" s="8">
        <v>0.4</v>
      </c>
      <c r="W12428" s="8">
        <v>0.4</v>
      </c>
      <c r="Y12428" s="8" t="s">
        <v>52076</v>
      </c>
      <c r="Z12428" s="8" t="s">
        <v>52077</v>
      </c>
    </row>
    <row r="12429" spans="1:26" x14ac:dyDescent="0.2">
      <c r="A12429" s="8">
        <v>12428</v>
      </c>
      <c r="B12429" s="8" t="s">
        <v>52078</v>
      </c>
      <c r="C12429" s="8" t="s">
        <v>52078</v>
      </c>
      <c r="G12429" s="8">
        <v>20</v>
      </c>
      <c r="H12429" s="8" t="s">
        <v>21</v>
      </c>
      <c r="I12429" s="8" t="s">
        <v>22</v>
      </c>
      <c r="J12429" s="8" t="s">
        <v>22</v>
      </c>
      <c r="K12429" s="8" t="s">
        <v>460</v>
      </c>
      <c r="L12429" s="8" t="s">
        <v>26227</v>
      </c>
      <c r="M12429" s="8" t="s">
        <v>26228</v>
      </c>
      <c r="N12429" s="8" t="s">
        <v>52079</v>
      </c>
      <c r="O12429" s="8">
        <f>16+5/60+4.2/3600</f>
        <v>16.084499999999998</v>
      </c>
      <c r="P12429" s="8" t="s">
        <v>52080</v>
      </c>
      <c r="Q12429" s="8">
        <f>+(23+55/60+0/3600)</f>
        <v>23.916666666666668</v>
      </c>
      <c r="R12429" s="8">
        <v>15</v>
      </c>
      <c r="S12429" s="8">
        <v>16</v>
      </c>
      <c r="T12429" s="8">
        <v>1</v>
      </c>
      <c r="U12429" s="8">
        <v>12.5</v>
      </c>
      <c r="V12429" s="8">
        <v>0.3</v>
      </c>
      <c r="W12429" s="8">
        <v>0.3</v>
      </c>
      <c r="Y12429" s="8" t="s">
        <v>52081</v>
      </c>
      <c r="Z12429" s="8" t="s">
        <v>52082</v>
      </c>
    </row>
    <row r="12430" spans="1:26" x14ac:dyDescent="0.2">
      <c r="A12430" s="8">
        <v>12429</v>
      </c>
      <c r="B12430" s="8" t="s">
        <v>52083</v>
      </c>
      <c r="C12430" s="8" t="s">
        <v>52083</v>
      </c>
      <c r="G12430" s="8">
        <v>20</v>
      </c>
      <c r="H12430" s="8" t="s">
        <v>21</v>
      </c>
      <c r="I12430" s="8" t="s">
        <v>72</v>
      </c>
      <c r="J12430" s="8" t="s">
        <v>72</v>
      </c>
      <c r="K12430" s="8" t="s">
        <v>20</v>
      </c>
      <c r="L12430" s="8" t="s">
        <v>26994</v>
      </c>
      <c r="M12430" s="8" t="s">
        <v>26995</v>
      </c>
      <c r="N12430" s="8" t="s">
        <v>52084</v>
      </c>
      <c r="O12430" s="8">
        <f>16+7/60+24.7/3600</f>
        <v>16.123527777777777</v>
      </c>
      <c r="P12430" s="8" t="s">
        <v>52085</v>
      </c>
      <c r="Q12430" s="8">
        <f>-(6+23/60+8/3600)</f>
        <v>-6.3855555555555563</v>
      </c>
      <c r="R12430" s="8">
        <v>99</v>
      </c>
      <c r="S12430" s="8">
        <v>15.1</v>
      </c>
      <c r="T12430" s="8">
        <v>99</v>
      </c>
      <c r="U12430" s="8">
        <v>99</v>
      </c>
      <c r="Y12430" s="8" t="s">
        <v>52086</v>
      </c>
      <c r="Z12430" s="8" t="s">
        <v>52087</v>
      </c>
    </row>
    <row r="12431" spans="1:26" x14ac:dyDescent="0.2">
      <c r="A12431" s="8">
        <v>12430</v>
      </c>
      <c r="B12431" s="8" t="s">
        <v>52088</v>
      </c>
      <c r="C12431" s="8" t="s">
        <v>52088</v>
      </c>
      <c r="G12431" s="8">
        <v>20</v>
      </c>
      <c r="H12431" s="8" t="s">
        <v>21</v>
      </c>
      <c r="I12431" s="8" t="s">
        <v>22</v>
      </c>
      <c r="J12431" s="8" t="s">
        <v>22</v>
      </c>
      <c r="K12431" s="8" t="s">
        <v>52089</v>
      </c>
      <c r="L12431" s="8" t="s">
        <v>26398</v>
      </c>
      <c r="M12431" s="8" t="s">
        <v>26399</v>
      </c>
      <c r="N12431" s="8" t="s">
        <v>52090</v>
      </c>
      <c r="O12431" s="8">
        <f>16+8/60+21.1/3600</f>
        <v>16.139194444444446</v>
      </c>
      <c r="P12431" s="8" t="s">
        <v>52091</v>
      </c>
      <c r="Q12431" s="8">
        <f>+(28+28/60+43/3600)</f>
        <v>28.47861111111111</v>
      </c>
      <c r="R12431" s="8">
        <v>14.7</v>
      </c>
      <c r="S12431" s="8">
        <v>15.7</v>
      </c>
      <c r="T12431" s="8">
        <v>1</v>
      </c>
      <c r="U12431" s="8">
        <v>12.2</v>
      </c>
      <c r="V12431" s="8">
        <v>0.3</v>
      </c>
      <c r="W12431" s="8">
        <v>0.3</v>
      </c>
      <c r="Y12431" s="8" t="s">
        <v>44547</v>
      </c>
      <c r="Z12431" s="8" t="s">
        <v>44548</v>
      </c>
    </row>
    <row r="12432" spans="1:26" x14ac:dyDescent="0.2">
      <c r="A12432" s="8">
        <v>12431</v>
      </c>
      <c r="B12432" s="8" t="s">
        <v>52092</v>
      </c>
      <c r="C12432" s="8" t="s">
        <v>52092</v>
      </c>
      <c r="G12432" s="8">
        <v>20</v>
      </c>
      <c r="H12432" s="8" t="s">
        <v>21</v>
      </c>
      <c r="I12432" s="8" t="s">
        <v>1283</v>
      </c>
      <c r="J12432" s="8" t="s">
        <v>1283</v>
      </c>
      <c r="K12432" s="8" t="s">
        <v>36496</v>
      </c>
      <c r="L12432" s="8" t="s">
        <v>26735</v>
      </c>
      <c r="M12432" s="8" t="s">
        <v>26736</v>
      </c>
      <c r="N12432" s="8" t="s">
        <v>52093</v>
      </c>
      <c r="O12432" s="8">
        <f>16+12/60+18/3600</f>
        <v>16.204999999999998</v>
      </c>
      <c r="P12432" s="8" t="s">
        <v>52094</v>
      </c>
      <c r="Q12432" s="8">
        <f>-(27+55/60+40/3600)</f>
        <v>-27.927777777777781</v>
      </c>
      <c r="R12432" s="8">
        <v>99</v>
      </c>
      <c r="S12432" s="8">
        <v>99</v>
      </c>
      <c r="T12432" s="8">
        <v>99</v>
      </c>
      <c r="U12432" s="8">
        <v>99</v>
      </c>
      <c r="V12432" s="8">
        <v>12</v>
      </c>
      <c r="W12432" s="8">
        <v>10</v>
      </c>
      <c r="Y12432" s="8" t="s">
        <v>52095</v>
      </c>
      <c r="Z12432" s="8" t="s">
        <v>52096</v>
      </c>
    </row>
    <row r="12433" spans="1:26" x14ac:dyDescent="0.2">
      <c r="A12433" s="8">
        <v>12432</v>
      </c>
      <c r="B12433" s="8" t="s">
        <v>52097</v>
      </c>
      <c r="C12433" s="8" t="s">
        <v>52097</v>
      </c>
      <c r="G12433" s="8">
        <v>13</v>
      </c>
      <c r="H12433" s="8" t="s">
        <v>52098</v>
      </c>
      <c r="I12433" s="8" t="s">
        <v>1283</v>
      </c>
      <c r="J12433" s="8" t="s">
        <v>1283</v>
      </c>
      <c r="K12433" s="8" t="s">
        <v>36496</v>
      </c>
      <c r="L12433" s="8" t="s">
        <v>26735</v>
      </c>
      <c r="M12433" s="8" t="s">
        <v>26736</v>
      </c>
      <c r="N12433" s="8" t="s">
        <v>52099</v>
      </c>
      <c r="O12433" s="8">
        <f>16+11/60+59.6/3600</f>
        <v>16.199888888888889</v>
      </c>
      <c r="P12433" s="8" t="s">
        <v>52100</v>
      </c>
      <c r="Q12433" s="8">
        <f>-(19+27/60+35/3600)</f>
        <v>-19.459722222222222</v>
      </c>
      <c r="R12433" s="8">
        <v>99</v>
      </c>
      <c r="S12433" s="8">
        <v>99</v>
      </c>
      <c r="T12433" s="8">
        <v>99</v>
      </c>
      <c r="U12433" s="8">
        <v>99</v>
      </c>
      <c r="V12433" s="8">
        <v>150</v>
      </c>
      <c r="W12433" s="8">
        <v>60</v>
      </c>
      <c r="Y12433" s="8" t="s">
        <v>52101</v>
      </c>
      <c r="Z12433" s="8" t="s">
        <v>52102</v>
      </c>
    </row>
    <row r="12434" spans="1:26" x14ac:dyDescent="0.2">
      <c r="A12434" s="8">
        <v>12433</v>
      </c>
      <c r="B12434" s="8" t="s">
        <v>52103</v>
      </c>
      <c r="C12434" s="8" t="s">
        <v>52103</v>
      </c>
      <c r="G12434" s="8">
        <v>9</v>
      </c>
      <c r="H12434" s="8" t="s">
        <v>52104</v>
      </c>
      <c r="I12434" s="8" t="s">
        <v>241</v>
      </c>
      <c r="J12434" s="8" t="s">
        <v>241</v>
      </c>
      <c r="K12434" s="8" t="s">
        <v>241</v>
      </c>
      <c r="L12434" s="8" t="s">
        <v>26804</v>
      </c>
      <c r="M12434" s="8" t="s">
        <v>26805</v>
      </c>
      <c r="N12434" s="8" t="s">
        <v>52105</v>
      </c>
      <c r="O12434" s="8">
        <f>16+11/60+44.5/3600</f>
        <v>16.195694444444445</v>
      </c>
      <c r="P12434" s="8" t="s">
        <v>52106</v>
      </c>
      <c r="Q12434" s="8">
        <f>+(12+4/60+19/3600)</f>
        <v>12.071944444444444</v>
      </c>
      <c r="R12434" s="8">
        <v>10.7</v>
      </c>
      <c r="S12434" s="8">
        <v>10.9</v>
      </c>
      <c r="T12434" s="8">
        <v>99</v>
      </c>
      <c r="U12434" s="8">
        <v>99</v>
      </c>
      <c r="V12434" s="8">
        <v>0.7</v>
      </c>
      <c r="Y12434" s="8" t="s">
        <v>27388</v>
      </c>
      <c r="Z12434" s="8" t="s">
        <v>42798</v>
      </c>
    </row>
    <row r="12435" spans="1:26" x14ac:dyDescent="0.2">
      <c r="A12435" s="8">
        <v>12434</v>
      </c>
      <c r="B12435" s="8" t="s">
        <v>52107</v>
      </c>
      <c r="C12435" s="8" t="s">
        <v>52107</v>
      </c>
      <c r="G12435" s="8">
        <v>20</v>
      </c>
      <c r="H12435" s="8" t="s">
        <v>21</v>
      </c>
      <c r="I12435" s="8" t="s">
        <v>22</v>
      </c>
      <c r="J12435" s="8" t="s">
        <v>57</v>
      </c>
      <c r="K12435" s="8" t="s">
        <v>58</v>
      </c>
      <c r="L12435" s="8" t="s">
        <v>26804</v>
      </c>
      <c r="M12435" s="8" t="s">
        <v>26805</v>
      </c>
      <c r="N12435" s="8" t="s">
        <v>27063</v>
      </c>
      <c r="O12435" s="8">
        <f>16+11/60+22.6/3600</f>
        <v>16.189611111111113</v>
      </c>
      <c r="P12435" s="8" t="s">
        <v>27064</v>
      </c>
      <c r="Q12435" s="8">
        <f>+(23+57/60+54/3600)</f>
        <v>23.965</v>
      </c>
      <c r="R12435" s="8">
        <v>13.9</v>
      </c>
      <c r="S12435" s="8">
        <v>14.9</v>
      </c>
      <c r="T12435" s="8">
        <v>1</v>
      </c>
      <c r="U12435" s="8">
        <v>13.5</v>
      </c>
      <c r="V12435" s="8">
        <v>0.9</v>
      </c>
      <c r="W12435" s="8">
        <v>0.7</v>
      </c>
      <c r="X12435" s="8">
        <v>90</v>
      </c>
      <c r="Y12435" s="8" t="s">
        <v>41073</v>
      </c>
      <c r="Z12435" s="8" t="s">
        <v>41074</v>
      </c>
    </row>
    <row r="12436" spans="1:26" x14ac:dyDescent="0.2">
      <c r="A12436" s="8">
        <v>12435</v>
      </c>
      <c r="B12436" s="8" t="s">
        <v>52108</v>
      </c>
      <c r="C12436" s="8" t="s">
        <v>52108</v>
      </c>
      <c r="G12436" s="8">
        <v>20</v>
      </c>
      <c r="H12436" s="8" t="s">
        <v>21</v>
      </c>
      <c r="I12436" s="8" t="s">
        <v>22</v>
      </c>
      <c r="J12436" s="8" t="s">
        <v>22</v>
      </c>
      <c r="K12436" s="8" t="s">
        <v>160</v>
      </c>
      <c r="L12436" s="8" t="s">
        <v>26039</v>
      </c>
      <c r="M12436" s="8" t="s">
        <v>26040</v>
      </c>
      <c r="N12436" s="8" t="s">
        <v>52109</v>
      </c>
      <c r="O12436" s="8">
        <f>16+20/60+43.8/3600</f>
        <v>16.345499999999998</v>
      </c>
      <c r="P12436" s="8" t="s">
        <v>52110</v>
      </c>
      <c r="Q12436" s="8">
        <f>-(70+8/60+33/3600)</f>
        <v>-70.142500000000013</v>
      </c>
      <c r="R12436" s="8">
        <v>12</v>
      </c>
      <c r="S12436" s="8">
        <v>12.7</v>
      </c>
      <c r="T12436" s="8">
        <v>0.7</v>
      </c>
      <c r="U12436" s="8">
        <v>12.2</v>
      </c>
      <c r="V12436" s="8">
        <v>2.7</v>
      </c>
      <c r="W12436" s="8">
        <v>0.5</v>
      </c>
      <c r="X12436" s="8">
        <v>63</v>
      </c>
      <c r="Y12436" s="8" t="s">
        <v>52111</v>
      </c>
      <c r="Z12436" s="8" t="s">
        <v>52112</v>
      </c>
    </row>
    <row r="12437" spans="1:26" x14ac:dyDescent="0.2">
      <c r="A12437" s="8">
        <v>12436</v>
      </c>
      <c r="B12437" s="8" t="s">
        <v>52113</v>
      </c>
      <c r="C12437" s="8" t="s">
        <v>52113</v>
      </c>
      <c r="G12437" s="8">
        <v>20</v>
      </c>
      <c r="H12437" s="8" t="s">
        <v>21</v>
      </c>
      <c r="I12437" s="8" t="s">
        <v>22</v>
      </c>
      <c r="J12437" s="8" t="s">
        <v>22</v>
      </c>
      <c r="K12437" s="8" t="s">
        <v>406</v>
      </c>
      <c r="L12437" s="8" t="s">
        <v>26735</v>
      </c>
      <c r="M12437" s="8" t="s">
        <v>26736</v>
      </c>
      <c r="N12437" s="8" t="s">
        <v>52114</v>
      </c>
      <c r="O12437" s="8">
        <f>16+16/60+3.6/3600</f>
        <v>16.267666666666667</v>
      </c>
      <c r="P12437" s="8" t="s">
        <v>52115</v>
      </c>
      <c r="Q12437" s="8">
        <f>-(22+37/60+29/3600)</f>
        <v>-22.624722222222221</v>
      </c>
      <c r="R12437" s="8">
        <v>14</v>
      </c>
      <c r="S12437" s="8">
        <v>14.8</v>
      </c>
      <c r="T12437" s="8">
        <v>0.8</v>
      </c>
      <c r="U12437" s="8">
        <v>13.3</v>
      </c>
      <c r="V12437" s="8">
        <v>1.5</v>
      </c>
      <c r="W12437" s="8">
        <v>0.5</v>
      </c>
      <c r="X12437" s="8">
        <v>54</v>
      </c>
      <c r="Y12437" s="8" t="s">
        <v>52116</v>
      </c>
      <c r="Z12437" s="8" t="s">
        <v>52117</v>
      </c>
    </row>
    <row r="12438" spans="1:26" x14ac:dyDescent="0.2">
      <c r="A12438" s="8">
        <v>12437</v>
      </c>
      <c r="B12438" s="8" t="s">
        <v>52118</v>
      </c>
      <c r="C12438" s="8" t="s">
        <v>52118</v>
      </c>
      <c r="G12438" s="8">
        <v>20</v>
      </c>
      <c r="H12438" s="8" t="s">
        <v>21</v>
      </c>
      <c r="I12438" s="8" t="s">
        <v>22</v>
      </c>
      <c r="J12438" s="8" t="s">
        <v>22</v>
      </c>
      <c r="K12438" s="8" t="s">
        <v>632</v>
      </c>
      <c r="L12438" s="8" t="s">
        <v>26735</v>
      </c>
      <c r="M12438" s="8" t="s">
        <v>26736</v>
      </c>
      <c r="N12438" s="8" t="s">
        <v>52119</v>
      </c>
      <c r="O12438" s="8">
        <f>16+17/60+39.7/3600</f>
        <v>16.294361111111112</v>
      </c>
      <c r="P12438" s="8" t="s">
        <v>52120</v>
      </c>
      <c r="Q12438" s="8">
        <f>-(34+21/60+58/3600)</f>
        <v>-34.36611111111111</v>
      </c>
      <c r="R12438" s="8">
        <v>13.7</v>
      </c>
      <c r="S12438" s="8">
        <v>14.6</v>
      </c>
      <c r="T12438" s="8">
        <v>0.9</v>
      </c>
      <c r="U12438" s="8">
        <v>13.7</v>
      </c>
      <c r="V12438" s="8">
        <v>1.2</v>
      </c>
      <c r="W12438" s="8">
        <v>1</v>
      </c>
      <c r="X12438" s="8">
        <v>120</v>
      </c>
      <c r="Y12438" s="8" t="s">
        <v>46310</v>
      </c>
      <c r="Z12438" s="8" t="s">
        <v>46311</v>
      </c>
    </row>
    <row r="12439" spans="1:26" x14ac:dyDescent="0.2">
      <c r="A12439" s="8">
        <v>12438</v>
      </c>
      <c r="B12439" s="8" t="s">
        <v>52121</v>
      </c>
      <c r="C12439" s="8" t="s">
        <v>52121</v>
      </c>
      <c r="G12439" s="8">
        <v>20</v>
      </c>
      <c r="H12439" s="8" t="s">
        <v>21</v>
      </c>
      <c r="I12439" s="8" t="s">
        <v>22</v>
      </c>
      <c r="J12439" s="8" t="s">
        <v>22</v>
      </c>
      <c r="K12439" s="8" t="s">
        <v>396</v>
      </c>
      <c r="L12439" s="8" t="s">
        <v>26735</v>
      </c>
      <c r="M12439" s="8" t="s">
        <v>26736</v>
      </c>
      <c r="N12439" s="8" t="s">
        <v>52122</v>
      </c>
      <c r="O12439" s="8">
        <f>16+18/60+13.2/3600</f>
        <v>16.303666666666668</v>
      </c>
      <c r="P12439" s="8" t="s">
        <v>52123</v>
      </c>
      <c r="Q12439" s="8">
        <f>-(31+26/60+29/3600)</f>
        <v>-31.441388888888888</v>
      </c>
      <c r="R12439" s="8">
        <v>13.8</v>
      </c>
      <c r="S12439" s="8">
        <v>14.6</v>
      </c>
      <c r="T12439" s="8">
        <v>0.8</v>
      </c>
      <c r="U12439" s="8">
        <v>13.1</v>
      </c>
      <c r="V12439" s="8">
        <v>1.5</v>
      </c>
      <c r="W12439" s="8">
        <v>0.4</v>
      </c>
      <c r="X12439" s="8">
        <v>175</v>
      </c>
      <c r="Y12439" s="8" t="s">
        <v>52124</v>
      </c>
      <c r="Z12439" s="8" t="s">
        <v>52125</v>
      </c>
    </row>
    <row r="12440" spans="1:26" x14ac:dyDescent="0.2">
      <c r="A12440" s="8">
        <v>12439</v>
      </c>
      <c r="B12440" s="8" t="s">
        <v>52126</v>
      </c>
      <c r="C12440" s="8" t="s">
        <v>52126</v>
      </c>
      <c r="G12440" s="8">
        <v>20</v>
      </c>
      <c r="H12440" s="8" t="s">
        <v>21</v>
      </c>
      <c r="I12440" s="8" t="s">
        <v>241</v>
      </c>
      <c r="J12440" s="8" t="s">
        <v>241</v>
      </c>
      <c r="K12440" s="8" t="s">
        <v>241</v>
      </c>
      <c r="L12440" s="8" t="s">
        <v>26735</v>
      </c>
      <c r="M12440" s="8" t="s">
        <v>26736</v>
      </c>
      <c r="N12440" s="8" t="s">
        <v>52127</v>
      </c>
      <c r="O12440" s="8">
        <f>16+19/60+23.2/3600</f>
        <v>16.32311111111111</v>
      </c>
      <c r="P12440" s="8" t="s">
        <v>52128</v>
      </c>
      <c r="Q12440" s="8">
        <f>-(42+15/60+34/3600)</f>
        <v>-42.259444444444448</v>
      </c>
      <c r="R12440" s="8">
        <v>99</v>
      </c>
      <c r="S12440" s="8">
        <v>12.4</v>
      </c>
      <c r="T12440" s="8">
        <v>99</v>
      </c>
      <c r="U12440" s="8">
        <v>99</v>
      </c>
      <c r="V12440" s="8">
        <v>0.25</v>
      </c>
      <c r="Y12440" s="8" t="s">
        <v>52129</v>
      </c>
      <c r="Z12440" s="8" t="s">
        <v>52130</v>
      </c>
    </row>
    <row r="12441" spans="1:26" x14ac:dyDescent="0.2">
      <c r="A12441" s="8">
        <v>12440</v>
      </c>
      <c r="B12441" s="8" t="s">
        <v>52131</v>
      </c>
      <c r="C12441" s="8" t="s">
        <v>52131</v>
      </c>
      <c r="G12441" s="8">
        <v>20</v>
      </c>
      <c r="H12441" s="8" t="s">
        <v>21</v>
      </c>
      <c r="I12441" s="8" t="s">
        <v>22</v>
      </c>
      <c r="J12441" s="8" t="s">
        <v>22</v>
      </c>
      <c r="K12441" s="8" t="s">
        <v>632</v>
      </c>
      <c r="L12441" s="8" t="s">
        <v>26735</v>
      </c>
      <c r="M12441" s="8" t="s">
        <v>26736</v>
      </c>
      <c r="N12441" s="8" t="s">
        <v>52132</v>
      </c>
      <c r="O12441" s="8">
        <f>16+16/60+5.3/3600</f>
        <v>16.268138888888888</v>
      </c>
      <c r="P12441" s="8" t="s">
        <v>52133</v>
      </c>
      <c r="Q12441" s="8">
        <f>-(22+46/60+59/3600)</f>
        <v>-22.783055555555556</v>
      </c>
      <c r="R12441" s="8">
        <v>15.5</v>
      </c>
      <c r="S12441" s="8">
        <v>16.399999999999999</v>
      </c>
      <c r="T12441" s="8">
        <v>0.9</v>
      </c>
      <c r="U12441" s="8">
        <v>13.4</v>
      </c>
      <c r="V12441" s="8">
        <v>0.4</v>
      </c>
      <c r="W12441" s="8">
        <v>0.4</v>
      </c>
      <c r="Y12441" s="8" t="s">
        <v>1829</v>
      </c>
      <c r="Z12441" s="8" t="s">
        <v>1830</v>
      </c>
    </row>
    <row r="12442" spans="1:26" x14ac:dyDescent="0.2">
      <c r="A12442" s="8">
        <v>12441</v>
      </c>
      <c r="B12442" s="8" t="s">
        <v>52134</v>
      </c>
      <c r="C12442" s="8" t="s">
        <v>52134</v>
      </c>
      <c r="G12442" s="8">
        <v>20</v>
      </c>
      <c r="H12442" s="8" t="s">
        <v>21</v>
      </c>
      <c r="I12442" s="8" t="s">
        <v>1283</v>
      </c>
      <c r="J12442" s="8" t="s">
        <v>1283</v>
      </c>
      <c r="K12442" s="8" t="s">
        <v>36496</v>
      </c>
      <c r="L12442" s="8" t="s">
        <v>26735</v>
      </c>
      <c r="M12442" s="8" t="s">
        <v>26736</v>
      </c>
      <c r="N12442" s="8" t="s">
        <v>52135</v>
      </c>
      <c r="O12442" s="8">
        <f>16+20/60+18/3600</f>
        <v>16.338333333333331</v>
      </c>
      <c r="P12442" s="8" t="s">
        <v>52136</v>
      </c>
      <c r="Q12442" s="8">
        <f>-(20+4/60+54/3600)</f>
        <v>-20.081666666666667</v>
      </c>
      <c r="R12442" s="8">
        <v>99</v>
      </c>
      <c r="S12442" s="8">
        <v>99</v>
      </c>
      <c r="T12442" s="8">
        <v>99</v>
      </c>
      <c r="U12442" s="8">
        <v>99</v>
      </c>
      <c r="V12442" s="8">
        <v>20</v>
      </c>
      <c r="W12442" s="8">
        <v>10</v>
      </c>
      <c r="Y12442" s="8" t="s">
        <v>52137</v>
      </c>
      <c r="Z12442" s="8" t="s">
        <v>52138</v>
      </c>
    </row>
    <row r="12443" spans="1:26" x14ac:dyDescent="0.2">
      <c r="A12443" s="8">
        <v>12442</v>
      </c>
      <c r="B12443" s="8" t="s">
        <v>52139</v>
      </c>
      <c r="C12443" s="8" t="s">
        <v>52139</v>
      </c>
      <c r="G12443" s="8">
        <v>20</v>
      </c>
      <c r="H12443" s="8" t="s">
        <v>21</v>
      </c>
      <c r="I12443" s="8" t="s">
        <v>22</v>
      </c>
      <c r="J12443" s="8" t="s">
        <v>57</v>
      </c>
      <c r="K12443" s="8" t="s">
        <v>31</v>
      </c>
      <c r="L12443" s="8" t="s">
        <v>26804</v>
      </c>
      <c r="M12443" s="8" t="s">
        <v>26805</v>
      </c>
      <c r="N12443" s="8" t="s">
        <v>27294</v>
      </c>
      <c r="O12443" s="8">
        <f>16+23/60+38.7/3600</f>
        <v>16.394083333333334</v>
      </c>
      <c r="P12443" s="8" t="s">
        <v>27295</v>
      </c>
      <c r="Q12443" s="8">
        <f>+(11+47/60+12/3600)</f>
        <v>11.786666666666667</v>
      </c>
      <c r="R12443" s="8">
        <v>13.6</v>
      </c>
      <c r="S12443" s="8">
        <v>14.4</v>
      </c>
      <c r="T12443" s="8">
        <v>0.8</v>
      </c>
      <c r="U12443" s="8">
        <v>13.2</v>
      </c>
      <c r="V12443" s="8">
        <v>1.5</v>
      </c>
      <c r="W12443" s="8">
        <v>0.5</v>
      </c>
      <c r="X12443" s="8">
        <v>127</v>
      </c>
      <c r="Y12443" s="8" t="s">
        <v>52140</v>
      </c>
      <c r="Z12443" s="8" t="s">
        <v>52141</v>
      </c>
    </row>
    <row r="12444" spans="1:26" x14ac:dyDescent="0.2">
      <c r="A12444" s="8">
        <v>12443</v>
      </c>
      <c r="B12444" s="8" t="s">
        <v>52142</v>
      </c>
      <c r="C12444" s="8" t="s">
        <v>52142</v>
      </c>
      <c r="G12444" s="8">
        <v>10</v>
      </c>
      <c r="H12444" s="8" t="s">
        <v>21</v>
      </c>
      <c r="I12444" s="8" t="s">
        <v>1283</v>
      </c>
      <c r="J12444" s="8" t="s">
        <v>1283</v>
      </c>
      <c r="K12444" s="8" t="s">
        <v>36496</v>
      </c>
      <c r="L12444" s="8" t="s">
        <v>26994</v>
      </c>
      <c r="M12444" s="8" t="s">
        <v>26995</v>
      </c>
      <c r="N12444" s="8" t="s">
        <v>52143</v>
      </c>
      <c r="O12444" s="8">
        <f>16+25/60+24/3600</f>
        <v>16.423333333333336</v>
      </c>
      <c r="P12444" s="8" t="s">
        <v>52144</v>
      </c>
      <c r="Q12444" s="8">
        <f>-(24+28/60+0/3600)</f>
        <v>-24.466666666666665</v>
      </c>
      <c r="R12444" s="8">
        <v>99</v>
      </c>
      <c r="S12444" s="8">
        <v>99</v>
      </c>
      <c r="T12444" s="8">
        <v>99</v>
      </c>
      <c r="U12444" s="8">
        <v>99</v>
      </c>
      <c r="V12444" s="8">
        <v>35</v>
      </c>
      <c r="W12444" s="8">
        <v>20</v>
      </c>
      <c r="Y12444" s="8" t="s">
        <v>52145</v>
      </c>
      <c r="Z12444" s="8" t="s">
        <v>52146</v>
      </c>
    </row>
    <row r="12445" spans="1:26" x14ac:dyDescent="0.2">
      <c r="A12445" s="8">
        <v>12444</v>
      </c>
      <c r="B12445" s="8" t="s">
        <v>52147</v>
      </c>
      <c r="C12445" s="8" t="s">
        <v>52147</v>
      </c>
      <c r="G12445" s="8">
        <v>13</v>
      </c>
      <c r="H12445" s="8" t="s">
        <v>52148</v>
      </c>
      <c r="I12445" s="8" t="s">
        <v>1283</v>
      </c>
      <c r="J12445" s="8" t="s">
        <v>1283</v>
      </c>
      <c r="K12445" s="8" t="s">
        <v>36496</v>
      </c>
      <c r="L12445" s="8" t="s">
        <v>26994</v>
      </c>
      <c r="M12445" s="8" t="s">
        <v>26995</v>
      </c>
      <c r="N12445" s="8" t="s">
        <v>52149</v>
      </c>
      <c r="O12445" s="8">
        <f>16+25/60+33/3600</f>
        <v>16.425833333333333</v>
      </c>
      <c r="P12445" s="8" t="s">
        <v>52150</v>
      </c>
      <c r="Q12445" s="8">
        <f>-(23+26/60+36/3600)</f>
        <v>-23.443333333333335</v>
      </c>
      <c r="R12445" s="8">
        <v>99</v>
      </c>
      <c r="S12445" s="8">
        <v>99</v>
      </c>
      <c r="T12445" s="8">
        <v>99</v>
      </c>
      <c r="U12445" s="8">
        <v>99</v>
      </c>
      <c r="V12445" s="8">
        <v>60</v>
      </c>
      <c r="W12445" s="8">
        <v>50</v>
      </c>
      <c r="Y12445" s="8" t="s">
        <v>52151</v>
      </c>
      <c r="Z12445" s="8" t="s">
        <v>52152</v>
      </c>
    </row>
    <row r="12446" spans="1:26" x14ac:dyDescent="0.2">
      <c r="A12446" s="8">
        <v>12445</v>
      </c>
      <c r="B12446" s="8" t="s">
        <v>52153</v>
      </c>
      <c r="C12446" s="8" t="s">
        <v>52153</v>
      </c>
      <c r="G12446" s="8">
        <v>13</v>
      </c>
      <c r="H12446" s="8" t="s">
        <v>21</v>
      </c>
      <c r="I12446" s="8" t="s">
        <v>1283</v>
      </c>
      <c r="J12446" s="8" t="s">
        <v>1283</v>
      </c>
      <c r="K12446" s="8" t="s">
        <v>36496</v>
      </c>
      <c r="L12446" s="8" t="s">
        <v>26735</v>
      </c>
      <c r="M12446" s="8" t="s">
        <v>26736</v>
      </c>
      <c r="N12446" s="8" t="s">
        <v>52154</v>
      </c>
      <c r="O12446" s="8">
        <f>16+30/60+12.5/3600</f>
        <v>16.503472222222221</v>
      </c>
      <c r="P12446" s="8" t="s">
        <v>52155</v>
      </c>
      <c r="Q12446" s="8">
        <f>-(25+6/60+53/3600)</f>
        <v>-25.114722222222223</v>
      </c>
      <c r="R12446" s="8">
        <v>99</v>
      </c>
      <c r="S12446" s="8">
        <v>99</v>
      </c>
      <c r="T12446" s="8">
        <v>99</v>
      </c>
      <c r="U12446" s="8">
        <v>99</v>
      </c>
      <c r="V12446" s="8">
        <v>30</v>
      </c>
      <c r="W12446" s="8">
        <v>30</v>
      </c>
      <c r="Y12446" s="8" t="s">
        <v>52156</v>
      </c>
      <c r="Z12446" s="8" t="s">
        <v>52157</v>
      </c>
    </row>
    <row r="12447" spans="1:26" x14ac:dyDescent="0.2">
      <c r="A12447" s="8">
        <v>12446</v>
      </c>
      <c r="B12447" s="8" t="s">
        <v>52158</v>
      </c>
      <c r="C12447" s="8" t="s">
        <v>52158</v>
      </c>
      <c r="G12447" s="8">
        <v>14</v>
      </c>
      <c r="H12447" s="8" t="s">
        <v>52159</v>
      </c>
      <c r="I12447" s="8" t="s">
        <v>567</v>
      </c>
      <c r="J12447" s="8" t="s">
        <v>57</v>
      </c>
      <c r="K12447" s="8" t="s">
        <v>22675</v>
      </c>
      <c r="L12447" s="8" t="s">
        <v>26735</v>
      </c>
      <c r="M12447" s="8" t="s">
        <v>26736</v>
      </c>
      <c r="N12447" s="8" t="s">
        <v>27347</v>
      </c>
      <c r="O12447" s="8">
        <f>16+27/60+14.1/3600</f>
        <v>16.453916666666665</v>
      </c>
      <c r="P12447" s="8" t="s">
        <v>27348</v>
      </c>
      <c r="Q12447" s="8">
        <f>-(26+1/60+27/3600)</f>
        <v>-26.024166666666666</v>
      </c>
      <c r="R12447" s="8">
        <v>9</v>
      </c>
      <c r="S12447" s="8">
        <v>99</v>
      </c>
      <c r="T12447" s="8">
        <v>99</v>
      </c>
      <c r="U12447" s="8">
        <v>99</v>
      </c>
      <c r="V12447" s="8">
        <v>7.4</v>
      </c>
      <c r="Y12447" s="8" t="s">
        <v>52160</v>
      </c>
      <c r="Z12447" s="8" t="s">
        <v>52161</v>
      </c>
    </row>
    <row r="12448" spans="1:26" x14ac:dyDescent="0.2">
      <c r="A12448" s="8">
        <v>12447</v>
      </c>
      <c r="B12448" s="8" t="s">
        <v>52162</v>
      </c>
      <c r="C12448" s="8" t="s">
        <v>52162</v>
      </c>
      <c r="E12448" s="8">
        <v>1</v>
      </c>
      <c r="G12448" s="8">
        <v>20</v>
      </c>
      <c r="H12448" s="8" t="s">
        <v>21</v>
      </c>
      <c r="I12448" s="8" t="s">
        <v>22</v>
      </c>
      <c r="J12448" s="8" t="s">
        <v>22</v>
      </c>
      <c r="K12448" s="8" t="s">
        <v>382</v>
      </c>
      <c r="L12448" s="8" t="s">
        <v>26804</v>
      </c>
      <c r="M12448" s="8" t="s">
        <v>26805</v>
      </c>
      <c r="N12448" s="8" t="s">
        <v>52163</v>
      </c>
      <c r="O12448" s="8">
        <f>16+30/60+15.8/3600</f>
        <v>16.50438888888889</v>
      </c>
      <c r="P12448" s="8" t="s">
        <v>52164</v>
      </c>
      <c r="Q12448" s="8">
        <f>+(24+34/60+28/3600)</f>
        <v>24.574444444444445</v>
      </c>
      <c r="R12448" s="8">
        <v>15</v>
      </c>
      <c r="S12448" s="8">
        <v>16</v>
      </c>
      <c r="T12448" s="8">
        <v>1</v>
      </c>
      <c r="U12448" s="8">
        <v>12.8</v>
      </c>
      <c r="V12448" s="8">
        <v>0.4</v>
      </c>
      <c r="W12448" s="8">
        <v>0.3</v>
      </c>
      <c r="X12448" s="8">
        <v>0</v>
      </c>
      <c r="Y12448" s="8" t="s">
        <v>44713</v>
      </c>
      <c r="Z12448" s="8" t="s">
        <v>44714</v>
      </c>
    </row>
    <row r="12449" spans="1:26" x14ac:dyDescent="0.2">
      <c r="A12449" s="8">
        <v>12448</v>
      </c>
      <c r="B12449" s="8" t="s">
        <v>52165</v>
      </c>
      <c r="C12449" s="8" t="s">
        <v>52165</v>
      </c>
      <c r="G12449" s="8">
        <v>20</v>
      </c>
      <c r="H12449" s="8" t="s">
        <v>21</v>
      </c>
      <c r="I12449" s="8" t="s">
        <v>22</v>
      </c>
      <c r="J12449" s="8" t="s">
        <v>22</v>
      </c>
      <c r="K12449" s="8" t="s">
        <v>323</v>
      </c>
      <c r="L12449" s="8" t="s">
        <v>25025</v>
      </c>
      <c r="M12449" s="8" t="s">
        <v>25026</v>
      </c>
      <c r="N12449" s="8" t="s">
        <v>52166</v>
      </c>
      <c r="O12449" s="8">
        <f>16+46/60+54.1/3600</f>
        <v>16.781694444444444</v>
      </c>
      <c r="P12449" s="8" t="s">
        <v>52167</v>
      </c>
      <c r="Q12449" s="8">
        <f>-(77+29/60+21/3600)</f>
        <v>-77.489166666666662</v>
      </c>
      <c r="R12449" s="8">
        <v>13.7</v>
      </c>
      <c r="S12449" s="8">
        <v>14.2</v>
      </c>
      <c r="T12449" s="8">
        <v>0.5</v>
      </c>
      <c r="U12449" s="8">
        <v>13.2</v>
      </c>
      <c r="V12449" s="8">
        <v>0.9</v>
      </c>
      <c r="W12449" s="8">
        <v>0.8</v>
      </c>
      <c r="X12449" s="8">
        <v>80</v>
      </c>
      <c r="Y12449" s="8" t="s">
        <v>52168</v>
      </c>
      <c r="Z12449" s="8" t="s">
        <v>52169</v>
      </c>
    </row>
    <row r="12450" spans="1:26" x14ac:dyDescent="0.2">
      <c r="A12450" s="8">
        <v>12449</v>
      </c>
      <c r="B12450" s="8" t="s">
        <v>52170</v>
      </c>
      <c r="C12450" s="8" t="s">
        <v>52170</v>
      </c>
      <c r="G12450" s="8">
        <v>20</v>
      </c>
      <c r="H12450" s="8" t="s">
        <v>21</v>
      </c>
      <c r="I12450" s="8" t="s">
        <v>22</v>
      </c>
      <c r="J12450" s="8" t="s">
        <v>22</v>
      </c>
      <c r="K12450" s="8" t="s">
        <v>58</v>
      </c>
      <c r="L12450" s="8" t="s">
        <v>26804</v>
      </c>
      <c r="M12450" s="8" t="s">
        <v>26805</v>
      </c>
      <c r="N12450" s="8" t="s">
        <v>52171</v>
      </c>
      <c r="O12450" s="8">
        <f>16+33/60+1.5/3600</f>
        <v>16.550416666666667</v>
      </c>
      <c r="P12450" s="8" t="s">
        <v>52172</v>
      </c>
      <c r="Q12450" s="8">
        <f>+(22+47/60+53/3600)</f>
        <v>22.798055555555557</v>
      </c>
      <c r="R12450" s="8">
        <v>14.3</v>
      </c>
      <c r="S12450" s="8">
        <v>15.3</v>
      </c>
      <c r="T12450" s="8">
        <v>1</v>
      </c>
      <c r="U12450" s="8">
        <v>13.9</v>
      </c>
      <c r="V12450" s="8">
        <v>0.8</v>
      </c>
      <c r="W12450" s="8">
        <v>0.8</v>
      </c>
      <c r="Y12450" s="8" t="s">
        <v>41854</v>
      </c>
      <c r="Z12450" s="8" t="s">
        <v>41855</v>
      </c>
    </row>
    <row r="12451" spans="1:26" x14ac:dyDescent="0.2">
      <c r="A12451" s="8">
        <v>12450</v>
      </c>
      <c r="B12451" s="8" t="s">
        <v>52173</v>
      </c>
      <c r="C12451" s="8" t="s">
        <v>52173</v>
      </c>
      <c r="G12451" s="8">
        <v>20</v>
      </c>
      <c r="H12451" s="8" t="s">
        <v>21</v>
      </c>
      <c r="I12451" s="8" t="s">
        <v>22</v>
      </c>
      <c r="J12451" s="8" t="s">
        <v>22</v>
      </c>
      <c r="K12451" s="8" t="s">
        <v>449</v>
      </c>
      <c r="L12451" s="8" t="s">
        <v>26804</v>
      </c>
      <c r="M12451" s="8" t="s">
        <v>26805</v>
      </c>
      <c r="N12451" s="8" t="s">
        <v>52174</v>
      </c>
      <c r="O12451" s="8">
        <f>16+33/60+39.2/3600</f>
        <v>16.56088888888889</v>
      </c>
      <c r="P12451" s="8" t="s">
        <v>52175</v>
      </c>
      <c r="Q12451" s="8">
        <f>+(39+15/60+27/3600)</f>
        <v>39.2575</v>
      </c>
      <c r="R12451" s="8">
        <v>15.2</v>
      </c>
      <c r="S12451" s="8">
        <v>16</v>
      </c>
      <c r="T12451" s="8">
        <v>0.8</v>
      </c>
      <c r="U12451" s="8">
        <v>12.7</v>
      </c>
      <c r="V12451" s="8">
        <v>0.6</v>
      </c>
      <c r="W12451" s="8">
        <v>0.2</v>
      </c>
      <c r="X12451" s="8">
        <v>40</v>
      </c>
      <c r="Y12451" s="8" t="s">
        <v>52176</v>
      </c>
      <c r="Z12451" s="8" t="s">
        <v>52177</v>
      </c>
    </row>
    <row r="12452" spans="1:26" x14ac:dyDescent="0.2">
      <c r="A12452" s="8">
        <v>12451</v>
      </c>
      <c r="B12452" s="8" t="s">
        <v>52178</v>
      </c>
      <c r="C12452" s="8" t="s">
        <v>52178</v>
      </c>
      <c r="G12452" s="8">
        <v>20</v>
      </c>
      <c r="H12452" s="8" t="s">
        <v>21</v>
      </c>
      <c r="I12452" s="8" t="s">
        <v>22</v>
      </c>
      <c r="J12452" s="8" t="s">
        <v>22</v>
      </c>
      <c r="K12452" s="8" t="s">
        <v>424</v>
      </c>
      <c r="L12452" s="8" t="s">
        <v>26804</v>
      </c>
      <c r="M12452" s="8" t="s">
        <v>26805</v>
      </c>
      <c r="N12452" s="8" t="s">
        <v>52179</v>
      </c>
      <c r="O12452" s="8">
        <f>16+33/60+42.1/3600</f>
        <v>16.561694444444445</v>
      </c>
      <c r="P12452" s="8" t="s">
        <v>52180</v>
      </c>
      <c r="Q12452" s="8">
        <f>+(39+11/60+8/3600)</f>
        <v>39.185555555555553</v>
      </c>
      <c r="R12452" s="8">
        <v>15</v>
      </c>
      <c r="S12452" s="8">
        <v>16</v>
      </c>
      <c r="T12452" s="8">
        <v>1</v>
      </c>
      <c r="U12452" s="8">
        <v>13.3</v>
      </c>
      <c r="V12452" s="8">
        <v>0.5</v>
      </c>
      <c r="W12452" s="8">
        <v>0.5</v>
      </c>
      <c r="Y12452" s="8" t="s">
        <v>45091</v>
      </c>
      <c r="Z12452" s="8" t="s">
        <v>45092</v>
      </c>
    </row>
    <row r="12453" spans="1:26" x14ac:dyDescent="0.2">
      <c r="A12453" s="8">
        <v>12452</v>
      </c>
      <c r="B12453" s="8" t="s">
        <v>52181</v>
      </c>
      <c r="C12453" s="8" t="s">
        <v>52181</v>
      </c>
      <c r="G12453" s="8">
        <v>20</v>
      </c>
      <c r="H12453" s="8" t="s">
        <v>21</v>
      </c>
      <c r="I12453" s="8" t="s">
        <v>22</v>
      </c>
      <c r="J12453" s="8" t="s">
        <v>22</v>
      </c>
      <c r="K12453" s="8" t="s">
        <v>476</v>
      </c>
      <c r="L12453" s="8" t="s">
        <v>26804</v>
      </c>
      <c r="M12453" s="8" t="s">
        <v>26805</v>
      </c>
      <c r="N12453" s="8" t="s">
        <v>52182</v>
      </c>
      <c r="O12453" s="8">
        <f>16+33/60+49.7/3600</f>
        <v>16.563805555555557</v>
      </c>
      <c r="P12453" s="8" t="s">
        <v>52183</v>
      </c>
      <c r="Q12453" s="8">
        <f>+(39+15/60+48/3600)</f>
        <v>39.263333333333335</v>
      </c>
      <c r="R12453" s="8">
        <v>13.8</v>
      </c>
      <c r="S12453" s="8">
        <v>14.6</v>
      </c>
      <c r="T12453" s="8">
        <v>0.8</v>
      </c>
      <c r="U12453" s="8">
        <v>12.5</v>
      </c>
      <c r="V12453" s="8">
        <v>0.6</v>
      </c>
      <c r="W12453" s="8">
        <v>0.6</v>
      </c>
      <c r="Y12453" s="8" t="s">
        <v>52176</v>
      </c>
      <c r="Z12453" s="8" t="s">
        <v>52177</v>
      </c>
    </row>
    <row r="12454" spans="1:26" x14ac:dyDescent="0.2">
      <c r="A12454" s="8">
        <v>12453</v>
      </c>
      <c r="B12454" s="8" t="s">
        <v>52184</v>
      </c>
      <c r="C12454" s="8" t="s">
        <v>52184</v>
      </c>
      <c r="G12454" s="8">
        <v>20</v>
      </c>
      <c r="H12454" s="8" t="s">
        <v>21</v>
      </c>
      <c r="I12454" s="8" t="s">
        <v>329</v>
      </c>
      <c r="J12454" s="8" t="s">
        <v>329</v>
      </c>
      <c r="K12454" s="8" t="s">
        <v>329</v>
      </c>
      <c r="L12454" s="8" t="s">
        <v>26804</v>
      </c>
      <c r="M12454" s="8" t="s">
        <v>26805</v>
      </c>
      <c r="N12454" s="8" t="s">
        <v>52185</v>
      </c>
      <c r="O12454" s="8">
        <f>16+37/60+10/3600</f>
        <v>16.619444444444444</v>
      </c>
      <c r="P12454" s="8" t="s">
        <v>52186</v>
      </c>
      <c r="Q12454" s="8">
        <f>+(36+7/60+48/3600)</f>
        <v>36.130000000000003</v>
      </c>
      <c r="R12454" s="8">
        <v>99</v>
      </c>
      <c r="S12454" s="8">
        <v>99</v>
      </c>
      <c r="T12454" s="8">
        <v>99</v>
      </c>
      <c r="U12454" s="8">
        <v>99</v>
      </c>
      <c r="Y12454" s="8" t="s">
        <v>52187</v>
      </c>
      <c r="Z12454" s="8" t="s">
        <v>52188</v>
      </c>
    </row>
    <row r="12455" spans="1:26" x14ac:dyDescent="0.2">
      <c r="A12455" s="8">
        <v>12454</v>
      </c>
      <c r="B12455" s="8" t="s">
        <v>52189</v>
      </c>
      <c r="C12455" s="8" t="s">
        <v>52189</v>
      </c>
      <c r="G12455" s="8">
        <v>20</v>
      </c>
      <c r="H12455" s="8" t="s">
        <v>21</v>
      </c>
      <c r="I12455" s="8" t="s">
        <v>22</v>
      </c>
      <c r="J12455" s="8" t="s">
        <v>22</v>
      </c>
      <c r="K12455" s="8" t="s">
        <v>632</v>
      </c>
      <c r="L12455" s="8" t="s">
        <v>26804</v>
      </c>
      <c r="M12455" s="8" t="s">
        <v>26805</v>
      </c>
      <c r="N12455" s="8" t="s">
        <v>52190</v>
      </c>
      <c r="O12455" s="8">
        <f>16+37/60+47.2/3600</f>
        <v>16.629777777777779</v>
      </c>
      <c r="P12455" s="8" t="s">
        <v>52191</v>
      </c>
      <c r="Q12455" s="8">
        <f>+(36+6/60+53/3600)</f>
        <v>36.114722222222227</v>
      </c>
      <c r="R12455" s="8">
        <v>14.3</v>
      </c>
      <c r="S12455" s="8">
        <v>15.2</v>
      </c>
      <c r="T12455" s="8">
        <v>0.9</v>
      </c>
      <c r="U12455" s="8">
        <v>13.4</v>
      </c>
      <c r="V12455" s="8">
        <v>0.8</v>
      </c>
      <c r="W12455" s="8">
        <v>0.6</v>
      </c>
      <c r="X12455" s="8">
        <v>83</v>
      </c>
      <c r="Y12455" s="8" t="s">
        <v>457</v>
      </c>
      <c r="Z12455" s="8" t="s">
        <v>458</v>
      </c>
    </row>
    <row r="12456" spans="1:26" x14ac:dyDescent="0.2">
      <c r="A12456" s="8">
        <v>12455</v>
      </c>
      <c r="B12456" s="8" t="s">
        <v>52192</v>
      </c>
      <c r="C12456" s="8" t="s">
        <v>52192</v>
      </c>
      <c r="G12456" s="8">
        <v>20</v>
      </c>
      <c r="H12456" s="8" t="s">
        <v>21</v>
      </c>
      <c r="I12456" s="8" t="s">
        <v>22</v>
      </c>
      <c r="J12456" s="8" t="s">
        <v>57</v>
      </c>
      <c r="K12456" s="8" t="s">
        <v>58</v>
      </c>
      <c r="L12456" s="8" t="s">
        <v>26804</v>
      </c>
      <c r="M12456" s="8" t="s">
        <v>26805</v>
      </c>
      <c r="N12456" s="8" t="s">
        <v>27566</v>
      </c>
      <c r="O12456" s="8">
        <f>16+37/60+53.8/3600</f>
        <v>16.631611111111113</v>
      </c>
      <c r="P12456" s="8" t="s">
        <v>27567</v>
      </c>
      <c r="Q12456" s="8">
        <f>+(36+4/60+23/3600)</f>
        <v>36.073055555555555</v>
      </c>
      <c r="R12456" s="8">
        <v>12.9</v>
      </c>
      <c r="S12456" s="8">
        <v>13.9</v>
      </c>
      <c r="T12456" s="8">
        <v>1</v>
      </c>
      <c r="U12456" s="8">
        <v>13.7</v>
      </c>
      <c r="V12456" s="8">
        <v>2</v>
      </c>
      <c r="W12456" s="8">
        <v>1.2</v>
      </c>
      <c r="X12456" s="8">
        <v>140</v>
      </c>
      <c r="Y12456" s="8" t="s">
        <v>52187</v>
      </c>
      <c r="Z12456" s="8" t="s">
        <v>52193</v>
      </c>
    </row>
    <row r="12457" spans="1:26" x14ac:dyDescent="0.2">
      <c r="A12457" s="8">
        <v>12456</v>
      </c>
      <c r="B12457" s="8" t="s">
        <v>52194</v>
      </c>
      <c r="C12457" s="8" t="s">
        <v>52194</v>
      </c>
      <c r="G12457" s="8">
        <v>20</v>
      </c>
      <c r="H12457" s="8" t="s">
        <v>21</v>
      </c>
      <c r="I12457" s="8" t="s">
        <v>22</v>
      </c>
      <c r="J12457" s="8" t="s">
        <v>57</v>
      </c>
      <c r="K12457" s="8" t="s">
        <v>435</v>
      </c>
      <c r="L12457" s="8" t="s">
        <v>26804</v>
      </c>
      <c r="M12457" s="8" t="s">
        <v>26805</v>
      </c>
      <c r="N12457" s="8" t="s">
        <v>27569</v>
      </c>
      <c r="O12457" s="8">
        <f>16+37/60+59.8/3600</f>
        <v>16.633277777777778</v>
      </c>
      <c r="P12457" s="8" t="s">
        <v>27570</v>
      </c>
      <c r="Q12457" s="8">
        <f>+(35+59/60+45/3600)</f>
        <v>35.995833333333337</v>
      </c>
      <c r="R12457" s="8">
        <v>14.6</v>
      </c>
      <c r="S12457" s="8">
        <v>15.5</v>
      </c>
      <c r="T12457" s="8">
        <v>0.9</v>
      </c>
      <c r="U12457" s="8">
        <v>14</v>
      </c>
      <c r="V12457" s="8">
        <v>1.3</v>
      </c>
      <c r="W12457" s="8">
        <v>0.5</v>
      </c>
      <c r="X12457" s="8">
        <v>37</v>
      </c>
      <c r="Y12457" s="8" t="s">
        <v>52195</v>
      </c>
      <c r="Z12457" s="8" t="s">
        <v>52196</v>
      </c>
    </row>
    <row r="12458" spans="1:26" x14ac:dyDescent="0.2">
      <c r="A12458" s="8">
        <v>12457</v>
      </c>
      <c r="B12458" s="8" t="s">
        <v>52197</v>
      </c>
      <c r="C12458" s="8" t="s">
        <v>52197</v>
      </c>
      <c r="G12458" s="8">
        <v>12</v>
      </c>
      <c r="H12458" s="8" t="s">
        <v>21</v>
      </c>
      <c r="I12458" s="8" t="s">
        <v>22</v>
      </c>
      <c r="J12458" s="8" t="s">
        <v>22</v>
      </c>
      <c r="K12458" s="8" t="s">
        <v>23</v>
      </c>
      <c r="L12458" s="8" t="s">
        <v>26804</v>
      </c>
      <c r="M12458" s="8" t="s">
        <v>26805</v>
      </c>
      <c r="N12458" s="8" t="s">
        <v>52198</v>
      </c>
      <c r="O12458" s="8">
        <f>16+42/60+8.1/3600</f>
        <v>16.702249999999999</v>
      </c>
      <c r="P12458" s="8" t="s">
        <v>52199</v>
      </c>
      <c r="Q12458" s="8">
        <f>+(36+41/60+3/3600)</f>
        <v>36.684166666666663</v>
      </c>
      <c r="R12458" s="8">
        <v>15.2</v>
      </c>
      <c r="S12458" s="8">
        <v>16</v>
      </c>
      <c r="T12458" s="8">
        <v>0.8</v>
      </c>
      <c r="U12458" s="8">
        <v>14.3</v>
      </c>
      <c r="V12458" s="8">
        <v>1.2</v>
      </c>
      <c r="W12458" s="8">
        <v>0.4</v>
      </c>
      <c r="X12458" s="8">
        <v>32</v>
      </c>
      <c r="Y12458" s="8" t="s">
        <v>52200</v>
      </c>
      <c r="Z12458" s="8" t="s">
        <v>52201</v>
      </c>
    </row>
    <row r="12459" spans="1:26" x14ac:dyDescent="0.2">
      <c r="A12459" s="8">
        <v>12458</v>
      </c>
      <c r="B12459" s="8" t="s">
        <v>52202</v>
      </c>
      <c r="C12459" s="8" t="s">
        <v>52202</v>
      </c>
      <c r="G12459" s="8">
        <v>20</v>
      </c>
      <c r="H12459" s="8" t="s">
        <v>21</v>
      </c>
      <c r="I12459" s="8" t="s">
        <v>22</v>
      </c>
      <c r="J12459" s="8" t="s">
        <v>22</v>
      </c>
      <c r="K12459" s="8" t="s">
        <v>85</v>
      </c>
      <c r="L12459" s="8" t="s">
        <v>25025</v>
      </c>
      <c r="M12459" s="8" t="s">
        <v>25026</v>
      </c>
      <c r="N12459" s="8" t="s">
        <v>52203</v>
      </c>
      <c r="O12459" s="8">
        <f>16+57/60+50/3600</f>
        <v>16.963888888888889</v>
      </c>
      <c r="P12459" s="8" t="s">
        <v>52204</v>
      </c>
      <c r="Q12459" s="8">
        <f>-(76+59/60+33/3600)</f>
        <v>-76.992500000000007</v>
      </c>
      <c r="R12459" s="8">
        <v>12</v>
      </c>
      <c r="S12459" s="8">
        <v>12.7</v>
      </c>
      <c r="T12459" s="8">
        <v>0.7</v>
      </c>
      <c r="U12459" s="8">
        <v>12.8</v>
      </c>
      <c r="V12459" s="8">
        <v>1.7</v>
      </c>
      <c r="W12459" s="8">
        <v>1.3</v>
      </c>
      <c r="X12459" s="8">
        <v>118</v>
      </c>
      <c r="Y12459" s="8" t="s">
        <v>52205</v>
      </c>
      <c r="Z12459" s="8" t="s">
        <v>52206</v>
      </c>
    </row>
    <row r="12460" spans="1:26" x14ac:dyDescent="0.2">
      <c r="A12460" s="8">
        <v>12459</v>
      </c>
      <c r="B12460" s="8" t="s">
        <v>52207</v>
      </c>
      <c r="C12460" s="8" t="s">
        <v>52207</v>
      </c>
      <c r="G12460" s="8">
        <v>20</v>
      </c>
      <c r="H12460" s="8" t="s">
        <v>21</v>
      </c>
      <c r="I12460" s="8" t="s">
        <v>22</v>
      </c>
      <c r="J12460" s="8" t="s">
        <v>22</v>
      </c>
      <c r="K12460" s="8" t="s">
        <v>449</v>
      </c>
      <c r="L12460" s="8" t="s">
        <v>26804</v>
      </c>
      <c r="M12460" s="8" t="s">
        <v>26805</v>
      </c>
      <c r="N12460" s="8" t="s">
        <v>52208</v>
      </c>
      <c r="O12460" s="8">
        <f>16+44/60+11.1/3600</f>
        <v>16.736416666666667</v>
      </c>
      <c r="P12460" s="8" t="s">
        <v>52209</v>
      </c>
      <c r="Q12460" s="8">
        <f>+(17+45/60+32/3600)</f>
        <v>17.75888888888889</v>
      </c>
      <c r="R12460" s="8">
        <v>14.1</v>
      </c>
      <c r="S12460" s="8">
        <v>14.9</v>
      </c>
      <c r="T12460" s="8">
        <v>0.8</v>
      </c>
      <c r="U12460" s="8">
        <v>12.4</v>
      </c>
      <c r="V12460" s="8">
        <v>0.5</v>
      </c>
      <c r="W12460" s="8">
        <v>0.5</v>
      </c>
      <c r="Y12460" s="8" t="s">
        <v>12871</v>
      </c>
      <c r="Z12460" s="8" t="s">
        <v>12872</v>
      </c>
    </row>
    <row r="12461" spans="1:26" x14ac:dyDescent="0.2">
      <c r="A12461" s="8">
        <v>12460</v>
      </c>
      <c r="B12461" s="8" t="s">
        <v>52210</v>
      </c>
      <c r="C12461" s="8" t="s">
        <v>52210</v>
      </c>
      <c r="G12461" s="8">
        <v>20</v>
      </c>
      <c r="H12461" s="8" t="s">
        <v>21</v>
      </c>
      <c r="I12461" s="8" t="s">
        <v>22</v>
      </c>
      <c r="J12461" s="8" t="s">
        <v>22</v>
      </c>
      <c r="K12461" s="8" t="s">
        <v>218</v>
      </c>
      <c r="L12461" s="8" t="s">
        <v>26804</v>
      </c>
      <c r="M12461" s="8" t="s">
        <v>26805</v>
      </c>
      <c r="N12461" s="8" t="s">
        <v>52211</v>
      </c>
      <c r="O12461" s="8">
        <f>16+48/60+30/3600</f>
        <v>16.808333333333334</v>
      </c>
      <c r="P12461" s="8" t="s">
        <v>52212</v>
      </c>
      <c r="Q12461" s="8">
        <f>+(19+18/60+20/3600)</f>
        <v>19.305555555555557</v>
      </c>
      <c r="R12461" s="8">
        <v>15</v>
      </c>
      <c r="S12461" s="8">
        <v>15.8</v>
      </c>
      <c r="T12461" s="8">
        <v>0.8</v>
      </c>
      <c r="U12461" s="8">
        <v>13</v>
      </c>
      <c r="V12461" s="8">
        <v>0.5</v>
      </c>
      <c r="W12461" s="8">
        <v>0.3</v>
      </c>
      <c r="X12461" s="8">
        <v>100</v>
      </c>
      <c r="Y12461" s="8" t="s">
        <v>1250</v>
      </c>
      <c r="Z12461" s="8" t="s">
        <v>1251</v>
      </c>
    </row>
    <row r="12462" spans="1:26" x14ac:dyDescent="0.2">
      <c r="A12462" s="8">
        <v>12461</v>
      </c>
      <c r="B12462" s="8" t="s">
        <v>52213</v>
      </c>
      <c r="C12462" s="8" t="s">
        <v>52213</v>
      </c>
      <c r="G12462" s="8">
        <v>20</v>
      </c>
      <c r="H12462" s="8" t="s">
        <v>21</v>
      </c>
      <c r="I12462" s="8" t="s">
        <v>22</v>
      </c>
      <c r="J12462" s="8" t="s">
        <v>22</v>
      </c>
      <c r="K12462" s="8" t="s">
        <v>31</v>
      </c>
      <c r="L12462" s="8" t="s">
        <v>26804</v>
      </c>
      <c r="M12462" s="8" t="s">
        <v>26805</v>
      </c>
      <c r="N12462" s="8" t="s">
        <v>52214</v>
      </c>
      <c r="O12462" s="8">
        <f>16+50/60+51.1/3600</f>
        <v>16.847527777777778</v>
      </c>
      <c r="P12462" s="8" t="s">
        <v>52215</v>
      </c>
      <c r="Q12462" s="8">
        <f>+(8+47/60+3/3600)</f>
        <v>8.7841666666666658</v>
      </c>
      <c r="R12462" s="8">
        <v>13.8</v>
      </c>
      <c r="S12462" s="8">
        <v>14.6</v>
      </c>
      <c r="T12462" s="8">
        <v>0.8</v>
      </c>
      <c r="U12462" s="8">
        <v>13.1</v>
      </c>
      <c r="V12462" s="8">
        <v>0.9</v>
      </c>
      <c r="W12462" s="8">
        <v>0.7</v>
      </c>
      <c r="X12462" s="8">
        <v>122</v>
      </c>
      <c r="Y12462" s="8" t="s">
        <v>282</v>
      </c>
      <c r="Z12462" s="8" t="s">
        <v>283</v>
      </c>
    </row>
    <row r="12463" spans="1:26" x14ac:dyDescent="0.2">
      <c r="A12463" s="8">
        <v>12462</v>
      </c>
      <c r="B12463" s="8" t="s">
        <v>52216</v>
      </c>
      <c r="C12463" s="8" t="s">
        <v>52216</v>
      </c>
      <c r="G12463" s="8">
        <v>20</v>
      </c>
      <c r="H12463" s="8" t="s">
        <v>21</v>
      </c>
      <c r="I12463" s="8" t="s">
        <v>329</v>
      </c>
      <c r="J12463" s="8" t="s">
        <v>329</v>
      </c>
      <c r="K12463" s="8" t="s">
        <v>329</v>
      </c>
      <c r="L12463" s="8" t="s">
        <v>26994</v>
      </c>
      <c r="M12463" s="8" t="s">
        <v>26995</v>
      </c>
      <c r="N12463" s="8" t="s">
        <v>52217</v>
      </c>
      <c r="O12463" s="8">
        <f>16+52/60+8.3/3600</f>
        <v>16.868972222222222</v>
      </c>
      <c r="P12463" s="8" t="s">
        <v>52218</v>
      </c>
      <c r="Q12463" s="8">
        <f>-(16+14/60+9/3600)</f>
        <v>-16.235833333333336</v>
      </c>
      <c r="R12463" s="8">
        <v>99</v>
      </c>
      <c r="S12463" s="8">
        <v>99</v>
      </c>
      <c r="T12463" s="8">
        <v>99</v>
      </c>
      <c r="U12463" s="8">
        <v>99</v>
      </c>
      <c r="Y12463" s="8" t="s">
        <v>52219</v>
      </c>
      <c r="Z12463" s="8" t="s">
        <v>52220</v>
      </c>
    </row>
    <row r="12464" spans="1:26" x14ac:dyDescent="0.2">
      <c r="A12464" s="8">
        <v>12463</v>
      </c>
      <c r="B12464" s="8" t="s">
        <v>52221</v>
      </c>
      <c r="C12464" s="8" t="s">
        <v>52221</v>
      </c>
      <c r="G12464" s="8">
        <v>20</v>
      </c>
      <c r="H12464" s="8" t="s">
        <v>21</v>
      </c>
      <c r="I12464" s="8" t="s">
        <v>22</v>
      </c>
      <c r="J12464" s="8" t="s">
        <v>22</v>
      </c>
      <c r="K12464" s="8" t="s">
        <v>160</v>
      </c>
      <c r="L12464" s="8" t="s">
        <v>26804</v>
      </c>
      <c r="M12464" s="8" t="s">
        <v>26805</v>
      </c>
      <c r="N12464" s="8" t="s">
        <v>52222</v>
      </c>
      <c r="O12464" s="8">
        <f>16+51/60+5.4/3600</f>
        <v>16.851500000000001</v>
      </c>
      <c r="P12464" s="8" t="s">
        <v>52223</v>
      </c>
      <c r="Q12464" s="8">
        <f>+(22+31/60+39/3600)</f>
        <v>22.5275</v>
      </c>
      <c r="R12464" s="8">
        <v>14.7</v>
      </c>
      <c r="S12464" s="8">
        <v>15.4</v>
      </c>
      <c r="T12464" s="8">
        <v>0.7</v>
      </c>
      <c r="U12464" s="8">
        <v>12.4</v>
      </c>
      <c r="V12464" s="8">
        <v>0.7</v>
      </c>
      <c r="W12464" s="8">
        <v>0.2</v>
      </c>
      <c r="X12464" s="8">
        <v>120</v>
      </c>
      <c r="Y12464" s="8" t="s">
        <v>6420</v>
      </c>
      <c r="Z12464" s="8" t="s">
        <v>6421</v>
      </c>
    </row>
    <row r="12465" spans="1:26" x14ac:dyDescent="0.2">
      <c r="A12465" s="8">
        <v>12464</v>
      </c>
      <c r="B12465" s="8" t="s">
        <v>52224</v>
      </c>
      <c r="C12465" s="8" t="s">
        <v>52224</v>
      </c>
      <c r="G12465" s="8">
        <v>20</v>
      </c>
      <c r="H12465" s="8" t="s">
        <v>21</v>
      </c>
      <c r="I12465" s="8" t="s">
        <v>22</v>
      </c>
      <c r="J12465" s="8" t="s">
        <v>22</v>
      </c>
      <c r="K12465" s="8" t="s">
        <v>17644</v>
      </c>
      <c r="L12465" s="8" t="s">
        <v>26804</v>
      </c>
      <c r="M12465" s="8" t="s">
        <v>26805</v>
      </c>
      <c r="N12465" s="8" t="s">
        <v>52225</v>
      </c>
      <c r="O12465" s="8">
        <f>16+51/60+33.5/3600</f>
        <v>16.859305555555558</v>
      </c>
      <c r="P12465" s="8" t="s">
        <v>52226</v>
      </c>
      <c r="Q12465" s="8">
        <f>+(17+26/60+56/3600)</f>
        <v>17.448888888888888</v>
      </c>
      <c r="R12465" s="8">
        <v>14.8</v>
      </c>
      <c r="S12465" s="8">
        <v>15.5</v>
      </c>
      <c r="T12465" s="8">
        <v>0.7</v>
      </c>
      <c r="U12465" s="8">
        <v>12.6</v>
      </c>
      <c r="V12465" s="8">
        <v>0.4</v>
      </c>
      <c r="W12465" s="8">
        <v>0.4</v>
      </c>
      <c r="Y12465" s="8" t="s">
        <v>1250</v>
      </c>
      <c r="Z12465" s="8" t="s">
        <v>1251</v>
      </c>
    </row>
    <row r="12466" spans="1:26" x14ac:dyDescent="0.2">
      <c r="A12466" s="8">
        <v>12465</v>
      </c>
      <c r="B12466" s="8" t="s">
        <v>52227</v>
      </c>
      <c r="C12466" s="8" t="s">
        <v>52227</v>
      </c>
      <c r="G12466" s="8">
        <v>20</v>
      </c>
      <c r="H12466" s="8" t="s">
        <v>21</v>
      </c>
      <c r="I12466" s="8" t="s">
        <v>22</v>
      </c>
      <c r="J12466" s="8" t="s">
        <v>57</v>
      </c>
      <c r="K12466" s="8" t="s">
        <v>818</v>
      </c>
      <c r="L12466" s="8" t="s">
        <v>26994</v>
      </c>
      <c r="M12466" s="8" t="s">
        <v>26995</v>
      </c>
      <c r="N12466" s="8" t="s">
        <v>27756</v>
      </c>
      <c r="O12466" s="8">
        <f>16+52/60+58.8/3600</f>
        <v>16.882999999999999</v>
      </c>
      <c r="P12466" s="8" t="s">
        <v>27757</v>
      </c>
      <c r="Q12466" s="8">
        <f>+(2+24/60+11/3600)</f>
        <v>2.4030555555555555</v>
      </c>
      <c r="R12466" s="8">
        <v>12.9</v>
      </c>
      <c r="S12466" s="8">
        <v>13.8</v>
      </c>
      <c r="T12466" s="8">
        <v>0.9</v>
      </c>
      <c r="U12466" s="8">
        <v>13.8</v>
      </c>
      <c r="V12466" s="8">
        <v>2.1</v>
      </c>
      <c r="W12466" s="8">
        <v>1</v>
      </c>
      <c r="X12466" s="8">
        <v>20</v>
      </c>
      <c r="Y12466" s="8" t="s">
        <v>52228</v>
      </c>
      <c r="Z12466" s="8" t="s">
        <v>52229</v>
      </c>
    </row>
    <row r="12467" spans="1:26" x14ac:dyDescent="0.2">
      <c r="A12467" s="8">
        <v>12466</v>
      </c>
      <c r="B12467" s="8" t="s">
        <v>52230</v>
      </c>
      <c r="C12467" s="8" t="s">
        <v>52230</v>
      </c>
      <c r="G12467" s="8">
        <v>20</v>
      </c>
      <c r="H12467" s="8" t="s">
        <v>21</v>
      </c>
      <c r="I12467" s="8" t="s">
        <v>72</v>
      </c>
      <c r="J12467" s="8" t="s">
        <v>72</v>
      </c>
      <c r="K12467" s="8" t="s">
        <v>73</v>
      </c>
      <c r="L12467" s="8" t="s">
        <v>26994</v>
      </c>
      <c r="M12467" s="8" t="s">
        <v>26995</v>
      </c>
      <c r="N12467" s="8" t="s">
        <v>52231</v>
      </c>
      <c r="O12467" s="8">
        <f>16+53/60+20.7/3600</f>
        <v>16.889083333333332</v>
      </c>
      <c r="P12467" s="8" t="s">
        <v>52232</v>
      </c>
      <c r="Q12467" s="8">
        <f>+(2+20/60+16/3600)</f>
        <v>2.3377777777777777</v>
      </c>
      <c r="R12467" s="8">
        <v>99</v>
      </c>
      <c r="S12467" s="8">
        <v>99</v>
      </c>
      <c r="T12467" s="8">
        <v>99</v>
      </c>
      <c r="U12467" s="8">
        <v>99</v>
      </c>
      <c r="Y12467" s="8" t="s">
        <v>47</v>
      </c>
      <c r="Z12467" s="8" t="s">
        <v>48</v>
      </c>
    </row>
    <row r="12468" spans="1:26" x14ac:dyDescent="0.2">
      <c r="A12468" s="8">
        <v>12467</v>
      </c>
      <c r="B12468" s="8" t="s">
        <v>52233</v>
      </c>
      <c r="C12468" s="8" t="s">
        <v>52233</v>
      </c>
      <c r="G12468" s="8">
        <v>20</v>
      </c>
      <c r="H12468" s="8" t="s">
        <v>21</v>
      </c>
      <c r="I12468" s="8" t="s">
        <v>22</v>
      </c>
      <c r="J12468" s="8" t="s">
        <v>22</v>
      </c>
      <c r="K12468" s="8" t="s">
        <v>1174</v>
      </c>
      <c r="L12468" s="8" t="s">
        <v>26994</v>
      </c>
      <c r="M12468" s="8" t="s">
        <v>26995</v>
      </c>
      <c r="N12468" s="8" t="s">
        <v>52234</v>
      </c>
      <c r="O12468" s="8">
        <f>16+54/60+8.6/3600</f>
        <v>16.902388888888886</v>
      </c>
      <c r="P12468" s="8" t="s">
        <v>52235</v>
      </c>
      <c r="Q12468" s="8">
        <f>-(7+38/60+9/3600)</f>
        <v>-7.6358333333333333</v>
      </c>
      <c r="R12468" s="8">
        <v>14.7</v>
      </c>
      <c r="S12468" s="8">
        <v>15.5</v>
      </c>
      <c r="T12468" s="8">
        <v>0.8</v>
      </c>
      <c r="U12468" s="8">
        <v>13</v>
      </c>
      <c r="V12468" s="8">
        <v>0.8</v>
      </c>
      <c r="W12468" s="8">
        <v>0.3</v>
      </c>
      <c r="X12468" s="8">
        <v>50</v>
      </c>
      <c r="Y12468" s="8" t="s">
        <v>52236</v>
      </c>
      <c r="Z12468" s="8" t="s">
        <v>52237</v>
      </c>
    </row>
    <row r="12469" spans="1:26" x14ac:dyDescent="0.2">
      <c r="A12469" s="8">
        <v>12468</v>
      </c>
      <c r="B12469" s="8" t="s">
        <v>52238</v>
      </c>
      <c r="C12469" s="8" t="s">
        <v>52238</v>
      </c>
      <c r="G12469" s="8">
        <v>10</v>
      </c>
      <c r="H12469" s="8" t="s">
        <v>52239</v>
      </c>
      <c r="I12469" s="8" t="s">
        <v>1283</v>
      </c>
      <c r="J12469" s="8" t="s">
        <v>1283</v>
      </c>
      <c r="K12469" s="8" t="s">
        <v>1284</v>
      </c>
      <c r="L12469" s="8" t="s">
        <v>26735</v>
      </c>
      <c r="M12469" s="8" t="s">
        <v>26736</v>
      </c>
      <c r="N12469" s="8" t="s">
        <v>52240</v>
      </c>
      <c r="O12469" s="8">
        <f>16+57/60+0/3600</f>
        <v>16.95</v>
      </c>
      <c r="P12469" s="8" t="s">
        <v>52241</v>
      </c>
      <c r="Q12469" s="8">
        <f>-(40+27/60+24/3600)</f>
        <v>-40.456666666666671</v>
      </c>
      <c r="R12469" s="8">
        <v>99</v>
      </c>
      <c r="S12469" s="8">
        <v>99</v>
      </c>
      <c r="T12469" s="8">
        <v>99</v>
      </c>
      <c r="U12469" s="8">
        <v>99</v>
      </c>
      <c r="V12469" s="8">
        <v>90</v>
      </c>
      <c r="W12469" s="8">
        <v>60</v>
      </c>
      <c r="Y12469" s="8" t="s">
        <v>52242</v>
      </c>
      <c r="Z12469" s="8" t="s">
        <v>52243</v>
      </c>
    </row>
    <row r="12470" spans="1:26" x14ac:dyDescent="0.2">
      <c r="A12470" s="8">
        <v>12469</v>
      </c>
      <c r="B12470" s="8" t="s">
        <v>52244</v>
      </c>
      <c r="C12470" s="8" t="s">
        <v>52244</v>
      </c>
      <c r="G12470" s="8">
        <v>20</v>
      </c>
      <c r="H12470" s="8" t="s">
        <v>21</v>
      </c>
      <c r="I12470" s="8" t="s">
        <v>329</v>
      </c>
      <c r="J12470" s="8" t="s">
        <v>329</v>
      </c>
      <c r="K12470" s="8" t="s">
        <v>329</v>
      </c>
      <c r="L12470" s="8" t="s">
        <v>26994</v>
      </c>
      <c r="M12470" s="8" t="s">
        <v>26995</v>
      </c>
      <c r="N12470" s="8" t="s">
        <v>52245</v>
      </c>
      <c r="O12470" s="8">
        <f>16+56/60+9/3600</f>
        <v>16.935833333333335</v>
      </c>
      <c r="P12470" s="8" t="s">
        <v>52246</v>
      </c>
      <c r="Q12470" s="8">
        <f>-(16+42/60+36/3600)</f>
        <v>-16.71</v>
      </c>
      <c r="R12470" s="8">
        <v>99</v>
      </c>
      <c r="S12470" s="8">
        <v>99</v>
      </c>
      <c r="T12470" s="8">
        <v>99</v>
      </c>
      <c r="U12470" s="8">
        <v>99</v>
      </c>
      <c r="Y12470" s="8" t="s">
        <v>52247</v>
      </c>
      <c r="Z12470" s="8" t="s">
        <v>52248</v>
      </c>
    </row>
    <row r="12471" spans="1:26" x14ac:dyDescent="0.2">
      <c r="A12471" s="8">
        <v>12470</v>
      </c>
      <c r="B12471" s="8" t="s">
        <v>52249</v>
      </c>
      <c r="C12471" s="8" t="s">
        <v>52249</v>
      </c>
      <c r="G12471" s="8">
        <v>20</v>
      </c>
      <c r="H12471" s="8" t="s">
        <v>21</v>
      </c>
      <c r="I12471" s="8" t="s">
        <v>22</v>
      </c>
      <c r="J12471" s="8" t="s">
        <v>22</v>
      </c>
      <c r="K12471" s="8" t="s">
        <v>37</v>
      </c>
      <c r="L12471" s="8" t="s">
        <v>26804</v>
      </c>
      <c r="M12471" s="8" t="s">
        <v>26805</v>
      </c>
      <c r="N12471" s="8" t="s">
        <v>52250</v>
      </c>
      <c r="O12471" s="8">
        <f>16+55/60+9.5/3600</f>
        <v>16.919305555555557</v>
      </c>
      <c r="P12471" s="8" t="s">
        <v>52251</v>
      </c>
      <c r="Q12471" s="8">
        <f>+(26+39/60+48/3600)</f>
        <v>26.66333333333333</v>
      </c>
      <c r="R12471" s="8">
        <v>13.6</v>
      </c>
      <c r="S12471" s="8">
        <v>14.6</v>
      </c>
      <c r="T12471" s="8">
        <v>1</v>
      </c>
      <c r="U12471" s="8">
        <v>12.5</v>
      </c>
      <c r="V12471" s="8">
        <v>0.8</v>
      </c>
      <c r="W12471" s="8">
        <v>0.5</v>
      </c>
      <c r="X12471" s="8">
        <v>6</v>
      </c>
      <c r="Y12471" s="8" t="s">
        <v>52252</v>
      </c>
      <c r="Z12471" s="8" t="s">
        <v>52253</v>
      </c>
    </row>
    <row r="12472" spans="1:26" x14ac:dyDescent="0.2">
      <c r="A12472" s="8">
        <v>12471</v>
      </c>
      <c r="B12472" s="8" t="s">
        <v>52254</v>
      </c>
      <c r="C12472" s="8" t="s">
        <v>52254</v>
      </c>
      <c r="G12472" s="8">
        <v>20</v>
      </c>
      <c r="H12472" s="8" t="s">
        <v>21</v>
      </c>
      <c r="I12472" s="8" t="s">
        <v>329</v>
      </c>
      <c r="J12472" s="8" t="s">
        <v>329</v>
      </c>
      <c r="K12472" s="8" t="s">
        <v>329</v>
      </c>
      <c r="L12472" s="8" t="s">
        <v>25025</v>
      </c>
      <c r="M12472" s="8" t="s">
        <v>25026</v>
      </c>
      <c r="N12472" s="8" t="s">
        <v>52255</v>
      </c>
      <c r="O12472" s="8">
        <f>17+10/60+59/3600</f>
        <v>17.183055555555558</v>
      </c>
      <c r="P12472" s="8" t="s">
        <v>52256</v>
      </c>
      <c r="Q12472" s="8">
        <f>-(77+36/60+0/3600)</f>
        <v>-77.599999999999994</v>
      </c>
      <c r="R12472" s="8">
        <v>99</v>
      </c>
      <c r="S12472" s="8">
        <v>99</v>
      </c>
      <c r="T12472" s="8">
        <v>99</v>
      </c>
      <c r="U12472" s="8">
        <v>99</v>
      </c>
      <c r="Y12472" s="8" t="s">
        <v>52257</v>
      </c>
      <c r="Z12472" s="8" t="s">
        <v>52258</v>
      </c>
    </row>
    <row r="12473" spans="1:26" x14ac:dyDescent="0.2">
      <c r="A12473" s="8">
        <v>12472</v>
      </c>
      <c r="B12473" s="8" t="s">
        <v>52259</v>
      </c>
      <c r="C12473" s="8" t="s">
        <v>52259</v>
      </c>
      <c r="G12473" s="8">
        <v>20</v>
      </c>
      <c r="H12473" s="8" t="s">
        <v>21</v>
      </c>
      <c r="I12473" s="8" t="s">
        <v>329</v>
      </c>
      <c r="J12473" s="8" t="s">
        <v>329</v>
      </c>
      <c r="K12473" s="8" t="s">
        <v>329</v>
      </c>
      <c r="L12473" s="8" t="s">
        <v>26804</v>
      </c>
      <c r="M12473" s="8" t="s">
        <v>26805</v>
      </c>
      <c r="N12473" s="8" t="s">
        <v>52260</v>
      </c>
      <c r="O12473" s="8">
        <f>16+58/60+32/3600</f>
        <v>16.975555555555555</v>
      </c>
      <c r="P12473" s="8" t="s">
        <v>52261</v>
      </c>
      <c r="Q12473" s="8">
        <f>+(22+54/60+56/3600)</f>
        <v>22.915555555555553</v>
      </c>
      <c r="R12473" s="8">
        <v>99</v>
      </c>
      <c r="S12473" s="8">
        <v>99</v>
      </c>
      <c r="T12473" s="8">
        <v>99</v>
      </c>
      <c r="U12473" s="8">
        <v>99</v>
      </c>
      <c r="Y12473" s="8" t="s">
        <v>38906</v>
      </c>
      <c r="Z12473" s="8" t="s">
        <v>52262</v>
      </c>
    </row>
    <row r="12474" spans="1:26" x14ac:dyDescent="0.2">
      <c r="A12474" s="8">
        <v>12473</v>
      </c>
      <c r="B12474" s="8" t="s">
        <v>52263</v>
      </c>
      <c r="C12474" s="8" t="s">
        <v>52263</v>
      </c>
      <c r="G12474" s="8">
        <v>20</v>
      </c>
      <c r="H12474" s="8" t="s">
        <v>21</v>
      </c>
      <c r="I12474" s="8" t="s">
        <v>22</v>
      </c>
      <c r="J12474" s="8" t="s">
        <v>22</v>
      </c>
      <c r="K12474" s="8" t="s">
        <v>160</v>
      </c>
      <c r="L12474" s="8" t="s">
        <v>25025</v>
      </c>
      <c r="M12474" s="8" t="s">
        <v>25026</v>
      </c>
      <c r="N12474" s="8" t="s">
        <v>52264</v>
      </c>
      <c r="O12474" s="8">
        <f>17+13/60+47.1/3600</f>
        <v>17.229749999999999</v>
      </c>
      <c r="P12474" s="8" t="s">
        <v>52265</v>
      </c>
      <c r="Q12474" s="8">
        <f>-(77+32/60+9/3600)</f>
        <v>-77.535833333333329</v>
      </c>
      <c r="R12474" s="8">
        <v>13</v>
      </c>
      <c r="S12474" s="8">
        <v>13.7</v>
      </c>
      <c r="T12474" s="8">
        <v>0.7</v>
      </c>
      <c r="U12474" s="8">
        <v>15.5</v>
      </c>
      <c r="V12474" s="8">
        <v>4</v>
      </c>
      <c r="W12474" s="8">
        <v>3</v>
      </c>
      <c r="X12474" s="8">
        <v>145</v>
      </c>
      <c r="Y12474" s="8" t="s">
        <v>52266</v>
      </c>
      <c r="Z12474" s="8" t="s">
        <v>52267</v>
      </c>
    </row>
    <row r="12475" spans="1:26" x14ac:dyDescent="0.2">
      <c r="A12475" s="8">
        <v>12474</v>
      </c>
      <c r="B12475" s="8" t="s">
        <v>52268</v>
      </c>
      <c r="C12475" s="8" t="s">
        <v>52268</v>
      </c>
      <c r="G12475" s="8">
        <v>5</v>
      </c>
      <c r="H12475" s="8" t="s">
        <v>21</v>
      </c>
      <c r="I12475" s="8" t="s">
        <v>241</v>
      </c>
      <c r="J12475" s="8" t="s">
        <v>241</v>
      </c>
      <c r="K12475" s="8" t="s">
        <v>241</v>
      </c>
      <c r="L12475" s="8" t="s">
        <v>26994</v>
      </c>
      <c r="M12475" s="8" t="s">
        <v>26995</v>
      </c>
      <c r="N12475" s="8" t="s">
        <v>52269</v>
      </c>
      <c r="O12475" s="8">
        <f>17+1/60+33.6/3600</f>
        <v>17.026</v>
      </c>
      <c r="P12475" s="8" t="s">
        <v>52270</v>
      </c>
      <c r="Q12475" s="8">
        <f>-(21+49/60+32/3600)</f>
        <v>-21.825555555555557</v>
      </c>
      <c r="R12475" s="8">
        <v>10.9</v>
      </c>
      <c r="S12475" s="8">
        <v>10.7</v>
      </c>
      <c r="T12475" s="8">
        <v>99</v>
      </c>
      <c r="U12475" s="8">
        <v>99</v>
      </c>
      <c r="V12475" s="8">
        <v>0.4</v>
      </c>
      <c r="Y12475" s="8" t="s">
        <v>27388</v>
      </c>
      <c r="Z12475" s="8" t="s">
        <v>42798</v>
      </c>
    </row>
    <row r="12476" spans="1:26" x14ac:dyDescent="0.2">
      <c r="A12476" s="8">
        <v>12475</v>
      </c>
      <c r="B12476" s="8" t="s">
        <v>52271</v>
      </c>
      <c r="C12476" s="8" t="s">
        <v>52271</v>
      </c>
      <c r="G12476" s="8">
        <v>20</v>
      </c>
      <c r="H12476" s="8" t="s">
        <v>21</v>
      </c>
      <c r="I12476" s="8" t="s">
        <v>22</v>
      </c>
      <c r="J12476" s="8" t="s">
        <v>22</v>
      </c>
      <c r="K12476" s="8" t="s">
        <v>218</v>
      </c>
      <c r="L12476" s="8" t="s">
        <v>25025</v>
      </c>
      <c r="M12476" s="8" t="s">
        <v>25026</v>
      </c>
      <c r="N12476" s="8" t="s">
        <v>52272</v>
      </c>
      <c r="O12476" s="8">
        <f>17+15/60+40.4/3600</f>
        <v>17.261222222222223</v>
      </c>
      <c r="P12476" s="8" t="s">
        <v>52167</v>
      </c>
      <c r="Q12476" s="8">
        <f>-(77+29/60+21/3600)</f>
        <v>-77.489166666666662</v>
      </c>
      <c r="R12476" s="8">
        <v>14</v>
      </c>
      <c r="S12476" s="8">
        <v>14.8</v>
      </c>
      <c r="T12476" s="8">
        <v>0.8</v>
      </c>
      <c r="U12476" s="8">
        <v>14.7</v>
      </c>
      <c r="V12476" s="8">
        <v>3</v>
      </c>
      <c r="W12476" s="8">
        <v>0.7</v>
      </c>
      <c r="X12476" s="8">
        <v>165</v>
      </c>
      <c r="Y12476" s="8" t="s">
        <v>52273</v>
      </c>
      <c r="Z12476" s="8" t="s">
        <v>52274</v>
      </c>
    </row>
    <row r="12477" spans="1:26" x14ac:dyDescent="0.2">
      <c r="A12477" s="8">
        <v>12476</v>
      </c>
      <c r="B12477" s="8" t="s">
        <v>52275</v>
      </c>
      <c r="C12477" s="8" t="s">
        <v>52275</v>
      </c>
      <c r="G12477" s="8">
        <v>20</v>
      </c>
      <c r="H12477" s="8" t="s">
        <v>21</v>
      </c>
      <c r="I12477" s="8" t="s">
        <v>72</v>
      </c>
      <c r="J12477" s="8" t="s">
        <v>72</v>
      </c>
      <c r="K12477" s="8" t="s">
        <v>20</v>
      </c>
      <c r="L12477" s="8" t="s">
        <v>26804</v>
      </c>
      <c r="M12477" s="8" t="s">
        <v>26805</v>
      </c>
      <c r="N12477" s="8" t="s">
        <v>52276</v>
      </c>
      <c r="O12477" s="8">
        <f>16+59/60+6.8/3600</f>
        <v>16.985222222222223</v>
      </c>
      <c r="P12477" s="8" t="s">
        <v>23258</v>
      </c>
      <c r="Q12477" s="8">
        <f>+(47+11/60+44/3600)</f>
        <v>47.195555555555551</v>
      </c>
      <c r="R12477" s="8">
        <v>99</v>
      </c>
      <c r="S12477" s="8">
        <v>99</v>
      </c>
      <c r="T12477" s="8">
        <v>99</v>
      </c>
      <c r="U12477" s="8">
        <v>99</v>
      </c>
      <c r="Y12477" s="8" t="s">
        <v>52277</v>
      </c>
      <c r="Z12477" s="8" t="s">
        <v>52278</v>
      </c>
    </row>
    <row r="12478" spans="1:26" x14ac:dyDescent="0.2">
      <c r="A12478" s="8">
        <v>12477</v>
      </c>
      <c r="B12478" s="8" t="s">
        <v>52279</v>
      </c>
      <c r="C12478" s="8" t="s">
        <v>52279</v>
      </c>
      <c r="G12478" s="8">
        <v>13</v>
      </c>
      <c r="H12478" s="8" t="s">
        <v>21</v>
      </c>
      <c r="I12478" s="8" t="s">
        <v>241</v>
      </c>
      <c r="J12478" s="8" t="s">
        <v>241</v>
      </c>
      <c r="K12478" s="8" t="s">
        <v>241</v>
      </c>
      <c r="L12478" s="8" t="s">
        <v>26735</v>
      </c>
      <c r="M12478" s="8" t="s">
        <v>26736</v>
      </c>
      <c r="N12478" s="8" t="s">
        <v>52280</v>
      </c>
      <c r="O12478" s="8">
        <f>17+5/60+10.4/3600</f>
        <v>17.086222222222222</v>
      </c>
      <c r="P12478" s="8" t="s">
        <v>52281</v>
      </c>
      <c r="Q12478" s="8">
        <f>-(40+53/60+5/3600)</f>
        <v>-40.884722222222223</v>
      </c>
      <c r="R12478" s="8">
        <v>12.5</v>
      </c>
      <c r="S12478" s="8">
        <v>13.6</v>
      </c>
      <c r="T12478" s="8">
        <v>99</v>
      </c>
      <c r="U12478" s="8">
        <v>99</v>
      </c>
      <c r="V12478" s="8">
        <v>0.37</v>
      </c>
      <c r="Y12478" s="8" t="s">
        <v>27388</v>
      </c>
      <c r="Z12478" s="8" t="s">
        <v>42798</v>
      </c>
    </row>
    <row r="12479" spans="1:26" x14ac:dyDescent="0.2">
      <c r="A12479" s="8">
        <v>12478</v>
      </c>
      <c r="B12479" s="8" t="s">
        <v>52282</v>
      </c>
      <c r="C12479" s="8" t="s">
        <v>52282</v>
      </c>
      <c r="G12479" s="8">
        <v>20</v>
      </c>
      <c r="H12479" s="8" t="s">
        <v>21</v>
      </c>
      <c r="I12479" s="8" t="s">
        <v>22</v>
      </c>
      <c r="J12479" s="8" t="s">
        <v>22</v>
      </c>
      <c r="K12479" s="8" t="s">
        <v>64</v>
      </c>
      <c r="L12479" s="8" t="s">
        <v>26804</v>
      </c>
      <c r="M12479" s="8" t="s">
        <v>26805</v>
      </c>
      <c r="N12479" s="8" t="s">
        <v>52283</v>
      </c>
      <c r="O12479" s="8">
        <f>17+1/60+13.6/3600</f>
        <v>17.020444444444443</v>
      </c>
      <c r="P12479" s="8" t="s">
        <v>52284</v>
      </c>
      <c r="Q12479" s="8">
        <f>+(33+30/60+50/3600)</f>
        <v>33.513888888888886</v>
      </c>
      <c r="R12479" s="8">
        <v>14.9</v>
      </c>
      <c r="S12479" s="8">
        <v>15.6</v>
      </c>
      <c r="T12479" s="8">
        <v>0.7</v>
      </c>
      <c r="U12479" s="8">
        <v>14.3</v>
      </c>
      <c r="V12479" s="8">
        <v>0.8</v>
      </c>
      <c r="W12479" s="8">
        <v>0.8</v>
      </c>
      <c r="Y12479" s="8" t="s">
        <v>52285</v>
      </c>
      <c r="Z12479" s="8" t="s">
        <v>52286</v>
      </c>
    </row>
    <row r="12480" spans="1:26" x14ac:dyDescent="0.2">
      <c r="A12480" s="8">
        <v>12479</v>
      </c>
      <c r="B12480" s="8" t="s">
        <v>52287</v>
      </c>
      <c r="C12480" s="8" t="s">
        <v>52287</v>
      </c>
      <c r="G12480" s="8">
        <v>20</v>
      </c>
      <c r="H12480" s="8" t="s">
        <v>21</v>
      </c>
      <c r="I12480" s="8" t="s">
        <v>22</v>
      </c>
      <c r="J12480" s="8" t="s">
        <v>22</v>
      </c>
      <c r="K12480" s="8" t="s">
        <v>382</v>
      </c>
      <c r="L12480" s="8" t="s">
        <v>26804</v>
      </c>
      <c r="M12480" s="8" t="s">
        <v>26805</v>
      </c>
      <c r="N12480" s="8" t="s">
        <v>52288</v>
      </c>
      <c r="O12480" s="8">
        <f>17+2/60+54.7/3600</f>
        <v>17.048527777777778</v>
      </c>
      <c r="P12480" s="8" t="s">
        <v>52289</v>
      </c>
      <c r="Q12480" s="8">
        <f>+(22+55/60+50/3600)</f>
        <v>22.930555555555557</v>
      </c>
      <c r="R12480" s="8">
        <v>15.5</v>
      </c>
      <c r="S12480" s="8">
        <v>16.5</v>
      </c>
      <c r="T12480" s="8">
        <v>1</v>
      </c>
      <c r="U12480" s="8">
        <v>13.3</v>
      </c>
      <c r="V12480" s="8">
        <v>0.4</v>
      </c>
      <c r="W12480" s="8">
        <v>0.3</v>
      </c>
      <c r="X12480" s="8">
        <v>170</v>
      </c>
      <c r="Y12480" s="8" t="s">
        <v>421</v>
      </c>
      <c r="Z12480" s="8" t="s">
        <v>422</v>
      </c>
    </row>
    <row r="12481" spans="1:26" x14ac:dyDescent="0.2">
      <c r="A12481" s="8">
        <v>12480</v>
      </c>
      <c r="B12481" s="8" t="s">
        <v>52290</v>
      </c>
      <c r="C12481" s="8" t="s">
        <v>52290</v>
      </c>
      <c r="G12481" s="8">
        <v>20</v>
      </c>
      <c r="H12481" s="8" t="s">
        <v>21</v>
      </c>
      <c r="I12481" s="8" t="s">
        <v>22</v>
      </c>
      <c r="J12481" s="8" t="s">
        <v>22</v>
      </c>
      <c r="K12481" s="8" t="s">
        <v>1277</v>
      </c>
      <c r="L12481" s="8" t="s">
        <v>25025</v>
      </c>
      <c r="M12481" s="8" t="s">
        <v>25026</v>
      </c>
      <c r="N12481" s="8" t="s">
        <v>52291</v>
      </c>
      <c r="O12481" s="8">
        <f>17+23/60+57.8/3600</f>
        <v>17.39938888888889</v>
      </c>
      <c r="P12481" s="8" t="s">
        <v>52292</v>
      </c>
      <c r="Q12481" s="8">
        <f>-(80+3/60+48/3600)</f>
        <v>-80.063333333333333</v>
      </c>
      <c r="R12481" s="8">
        <v>13.6</v>
      </c>
      <c r="S12481" s="8">
        <v>14.3</v>
      </c>
      <c r="T12481" s="8">
        <v>0.7</v>
      </c>
      <c r="U12481" s="8">
        <v>13.1</v>
      </c>
      <c r="V12481" s="8">
        <v>0.9</v>
      </c>
      <c r="W12481" s="8">
        <v>0.8</v>
      </c>
      <c r="X12481" s="8">
        <v>90</v>
      </c>
      <c r="Y12481" s="8" t="s">
        <v>52273</v>
      </c>
      <c r="Z12481" s="8" t="s">
        <v>52274</v>
      </c>
    </row>
    <row r="12482" spans="1:26" x14ac:dyDescent="0.2">
      <c r="A12482" s="8">
        <v>12481</v>
      </c>
      <c r="B12482" s="8" t="s">
        <v>52293</v>
      </c>
      <c r="C12482" s="8" t="s">
        <v>52293</v>
      </c>
      <c r="G12482" s="8">
        <v>20</v>
      </c>
      <c r="H12482" s="8" t="s">
        <v>21</v>
      </c>
      <c r="I12482" s="8" t="s">
        <v>22</v>
      </c>
      <c r="J12482" s="8" t="s">
        <v>22</v>
      </c>
      <c r="K12482" s="8" t="s">
        <v>160</v>
      </c>
      <c r="L12482" s="8" t="s">
        <v>25025</v>
      </c>
      <c r="M12482" s="8" t="s">
        <v>25026</v>
      </c>
      <c r="N12482" s="8" t="s">
        <v>52294</v>
      </c>
      <c r="O12482" s="8">
        <f>17+24/60+10.7/3600</f>
        <v>17.402972222222221</v>
      </c>
      <c r="P12482" s="8" t="s">
        <v>52295</v>
      </c>
      <c r="Q12482" s="8">
        <f>-(80+8/60+50/3600)</f>
        <v>-80.147222222222226</v>
      </c>
      <c r="R12482" s="8">
        <v>13.1</v>
      </c>
      <c r="S12482" s="8">
        <v>13.8</v>
      </c>
      <c r="T12482" s="8">
        <v>0.7</v>
      </c>
      <c r="U12482" s="8">
        <v>13.5</v>
      </c>
      <c r="V12482" s="8">
        <v>1.3</v>
      </c>
      <c r="W12482" s="8">
        <v>1.3</v>
      </c>
      <c r="Y12482" s="8" t="s">
        <v>24854</v>
      </c>
      <c r="Z12482" s="8" t="s">
        <v>24855</v>
      </c>
    </row>
    <row r="12483" spans="1:26" x14ac:dyDescent="0.2">
      <c r="A12483" s="8">
        <v>12482</v>
      </c>
      <c r="B12483" s="8" t="s">
        <v>52296</v>
      </c>
      <c r="C12483" s="8" t="s">
        <v>52296</v>
      </c>
      <c r="G12483" s="8">
        <v>13</v>
      </c>
      <c r="H12483" s="8" t="s">
        <v>21</v>
      </c>
      <c r="I12483" s="8" t="s">
        <v>241</v>
      </c>
      <c r="J12483" s="8" t="s">
        <v>241</v>
      </c>
      <c r="K12483" s="8" t="s">
        <v>241</v>
      </c>
      <c r="L12483" s="8" t="s">
        <v>27529</v>
      </c>
      <c r="M12483" s="8" t="s">
        <v>27530</v>
      </c>
      <c r="N12483" s="8" t="s">
        <v>52297</v>
      </c>
      <c r="O12483" s="8">
        <f>17+11/60+45.3/3600</f>
        <v>17.195916666666665</v>
      </c>
      <c r="P12483" s="8" t="s">
        <v>52298</v>
      </c>
      <c r="Q12483" s="8">
        <f>-(55+23/60+58/3600)</f>
        <v>-55.399444444444441</v>
      </c>
      <c r="R12483" s="8">
        <v>99</v>
      </c>
      <c r="S12483" s="8">
        <v>13.4</v>
      </c>
      <c r="T12483" s="8">
        <v>99</v>
      </c>
      <c r="U12483" s="8">
        <v>99</v>
      </c>
      <c r="V12483" s="8">
        <v>0.4</v>
      </c>
      <c r="Y12483" s="8" t="s">
        <v>27388</v>
      </c>
      <c r="Z12483" s="8" t="s">
        <v>42798</v>
      </c>
    </row>
    <row r="12484" spans="1:26" x14ac:dyDescent="0.2">
      <c r="A12484" s="8">
        <v>12483</v>
      </c>
      <c r="B12484" s="8" t="s">
        <v>52299</v>
      </c>
      <c r="C12484" s="8" t="s">
        <v>52299</v>
      </c>
      <c r="G12484" s="8">
        <v>20</v>
      </c>
      <c r="H12484" s="8" t="s">
        <v>21</v>
      </c>
      <c r="I12484" s="8" t="s">
        <v>22</v>
      </c>
      <c r="J12484" s="8" t="s">
        <v>57</v>
      </c>
      <c r="K12484" s="8" t="s">
        <v>160</v>
      </c>
      <c r="L12484" s="8" t="s">
        <v>26804</v>
      </c>
      <c r="M12484" s="8" t="s">
        <v>26805</v>
      </c>
      <c r="N12484" s="8" t="s">
        <v>28006</v>
      </c>
      <c r="O12484" s="8">
        <f>17+8/60+32.7/3600</f>
        <v>17.142416666666666</v>
      </c>
      <c r="P12484" s="8" t="s">
        <v>28007</v>
      </c>
      <c r="Q12484" s="8">
        <f>+(42+20/60+21/3600)</f>
        <v>42.339166666666671</v>
      </c>
      <c r="R12484" s="8">
        <v>13.4</v>
      </c>
      <c r="S12484" s="8">
        <v>14.1</v>
      </c>
      <c r="T12484" s="8">
        <v>0.7</v>
      </c>
      <c r="U12484" s="8">
        <v>14</v>
      </c>
      <c r="V12484" s="8">
        <v>1.8</v>
      </c>
      <c r="W12484" s="8">
        <v>1.1000000000000001</v>
      </c>
      <c r="X12484" s="8">
        <v>115</v>
      </c>
      <c r="Y12484" s="8" t="s">
        <v>9953</v>
      </c>
      <c r="Z12484" s="8" t="s">
        <v>9954</v>
      </c>
    </row>
    <row r="12485" spans="1:26" x14ac:dyDescent="0.2">
      <c r="A12485" s="8">
        <v>12484</v>
      </c>
      <c r="B12485" s="8" t="s">
        <v>52300</v>
      </c>
      <c r="C12485" s="8" t="s">
        <v>52300</v>
      </c>
      <c r="G12485" s="8">
        <v>20</v>
      </c>
      <c r="H12485" s="8" t="s">
        <v>21</v>
      </c>
      <c r="I12485" s="8" t="s">
        <v>22</v>
      </c>
      <c r="J12485" s="8" t="s">
        <v>22</v>
      </c>
      <c r="K12485" s="8" t="s">
        <v>23</v>
      </c>
      <c r="L12485" s="8" t="s">
        <v>25025</v>
      </c>
      <c r="M12485" s="8" t="s">
        <v>25026</v>
      </c>
      <c r="N12485" s="8" t="s">
        <v>52301</v>
      </c>
      <c r="O12485" s="8">
        <f>17+24/60+35.8/3600</f>
        <v>17.409944444444442</v>
      </c>
      <c r="P12485" s="8" t="s">
        <v>52302</v>
      </c>
      <c r="Q12485" s="8">
        <f>-(73+56/60+19/3600)</f>
        <v>-73.938611111111115</v>
      </c>
      <c r="R12485" s="8">
        <v>13.9</v>
      </c>
      <c r="S12485" s="8">
        <v>14.7</v>
      </c>
      <c r="T12485" s="8">
        <v>0.8</v>
      </c>
      <c r="U12485" s="8">
        <v>13.1</v>
      </c>
      <c r="V12485" s="8">
        <v>1.9</v>
      </c>
      <c r="W12485" s="8">
        <v>0.4</v>
      </c>
      <c r="X12485" s="8">
        <v>134</v>
      </c>
      <c r="Y12485" s="8" t="s">
        <v>52303</v>
      </c>
      <c r="Z12485" s="8" t="s">
        <v>52304</v>
      </c>
    </row>
    <row r="12486" spans="1:26" x14ac:dyDescent="0.2">
      <c r="A12486" s="8">
        <v>12485</v>
      </c>
      <c r="B12486" s="8" t="s">
        <v>52305</v>
      </c>
      <c r="C12486" s="8" t="s">
        <v>52305</v>
      </c>
      <c r="G12486" s="8">
        <v>20</v>
      </c>
      <c r="H12486" s="8" t="s">
        <v>21</v>
      </c>
      <c r="I12486" s="8" t="s">
        <v>22</v>
      </c>
      <c r="J12486" s="8" t="s">
        <v>22</v>
      </c>
      <c r="K12486" s="8" t="s">
        <v>17644</v>
      </c>
      <c r="L12486" s="8" t="s">
        <v>26804</v>
      </c>
      <c r="M12486" s="8" t="s">
        <v>26805</v>
      </c>
      <c r="N12486" s="8" t="s">
        <v>52306</v>
      </c>
      <c r="O12486" s="8">
        <f>17+14/60+43/3600</f>
        <v>17.24527777777778</v>
      </c>
      <c r="P12486" s="8" t="s">
        <v>52307</v>
      </c>
      <c r="Q12486" s="8">
        <f>+(43+6/60+15/3600)</f>
        <v>43.104166666666671</v>
      </c>
      <c r="R12486" s="8">
        <v>15.1</v>
      </c>
      <c r="S12486" s="8">
        <v>15.7</v>
      </c>
      <c r="T12486" s="8">
        <v>0.6</v>
      </c>
      <c r="U12486" s="8">
        <v>13</v>
      </c>
      <c r="V12486" s="8">
        <v>0.4</v>
      </c>
      <c r="W12486" s="8">
        <v>0.4</v>
      </c>
      <c r="Y12486" s="8" t="s">
        <v>52308</v>
      </c>
      <c r="Z12486" s="8" t="s">
        <v>52309</v>
      </c>
    </row>
    <row r="12487" spans="1:26" x14ac:dyDescent="0.2">
      <c r="A12487" s="8">
        <v>12486</v>
      </c>
      <c r="B12487" s="8" t="s">
        <v>52310</v>
      </c>
      <c r="C12487" s="8" t="s">
        <v>52310</v>
      </c>
      <c r="G12487" s="8">
        <v>20</v>
      </c>
      <c r="H12487" s="8" t="s">
        <v>21</v>
      </c>
      <c r="I12487" s="8" t="s">
        <v>22</v>
      </c>
      <c r="J12487" s="8" t="s">
        <v>22</v>
      </c>
      <c r="K12487" s="8" t="s">
        <v>160</v>
      </c>
      <c r="L12487" s="8" t="s">
        <v>27529</v>
      </c>
      <c r="M12487" s="8" t="s">
        <v>27530</v>
      </c>
      <c r="N12487" s="8" t="s">
        <v>52311</v>
      </c>
      <c r="O12487" s="8">
        <f>17+23/60+53.4/3600</f>
        <v>17.398166666666665</v>
      </c>
      <c r="P12487" s="8" t="s">
        <v>52312</v>
      </c>
      <c r="Q12487" s="8">
        <f>-(60+0/60+1/3600)</f>
        <v>-60.000277777777775</v>
      </c>
      <c r="R12487" s="8">
        <v>11.9</v>
      </c>
      <c r="S12487" s="8">
        <v>12.6</v>
      </c>
      <c r="T12487" s="8">
        <v>0.7</v>
      </c>
      <c r="U12487" s="8">
        <v>13.4</v>
      </c>
      <c r="V12487" s="8">
        <v>2.8</v>
      </c>
      <c r="W12487" s="8">
        <v>1.7</v>
      </c>
      <c r="X12487" s="8">
        <v>0</v>
      </c>
      <c r="Y12487" s="8" t="s">
        <v>46439</v>
      </c>
      <c r="Z12487" s="8" t="s">
        <v>46440</v>
      </c>
    </row>
    <row r="12488" spans="1:26" x14ac:dyDescent="0.2">
      <c r="A12488" s="8">
        <v>12487</v>
      </c>
      <c r="B12488" s="8" t="s">
        <v>52313</v>
      </c>
      <c r="C12488" s="8" t="s">
        <v>52313</v>
      </c>
      <c r="G12488" s="8">
        <v>20</v>
      </c>
      <c r="H12488" s="8" t="s">
        <v>21</v>
      </c>
      <c r="I12488" s="8" t="s">
        <v>22</v>
      </c>
      <c r="J12488" s="8" t="s">
        <v>22</v>
      </c>
      <c r="K12488" s="8" t="s">
        <v>224</v>
      </c>
      <c r="L12488" s="8" t="s">
        <v>25025</v>
      </c>
      <c r="M12488" s="8" t="s">
        <v>25026</v>
      </c>
      <c r="N12488" s="8" t="s">
        <v>52314</v>
      </c>
      <c r="O12488" s="8">
        <f>17+26/60+4.2/3600</f>
        <v>17.4345</v>
      </c>
      <c r="P12488" s="8" t="s">
        <v>52315</v>
      </c>
      <c r="Q12488" s="8">
        <f>-(80+11/60+42/3600)</f>
        <v>-80.195000000000007</v>
      </c>
      <c r="R12488" s="8">
        <v>13.3</v>
      </c>
      <c r="S12488" s="8">
        <v>14.3</v>
      </c>
      <c r="T12488" s="8">
        <v>1</v>
      </c>
      <c r="U12488" s="8">
        <v>13.4</v>
      </c>
      <c r="V12488" s="8">
        <v>1.6</v>
      </c>
      <c r="W12488" s="8">
        <v>0.8</v>
      </c>
      <c r="X12488" s="8">
        <v>3</v>
      </c>
      <c r="Y12488" s="8" t="s">
        <v>42159</v>
      </c>
      <c r="Z12488" s="8" t="s">
        <v>42160</v>
      </c>
    </row>
    <row r="12489" spans="1:26" x14ac:dyDescent="0.2">
      <c r="A12489" s="8">
        <v>12488</v>
      </c>
      <c r="B12489" s="8" t="s">
        <v>52316</v>
      </c>
      <c r="C12489" s="8" t="s">
        <v>52316</v>
      </c>
      <c r="G12489" s="8">
        <v>20</v>
      </c>
      <c r="H12489" s="8" t="s">
        <v>21</v>
      </c>
      <c r="I12489" s="8" t="s">
        <v>72</v>
      </c>
      <c r="J12489" s="8" t="s">
        <v>72</v>
      </c>
      <c r="K12489" s="8" t="s">
        <v>73</v>
      </c>
      <c r="L12489" s="8" t="s">
        <v>26804</v>
      </c>
      <c r="M12489" s="8" t="s">
        <v>26805</v>
      </c>
      <c r="N12489" s="8" t="s">
        <v>52317</v>
      </c>
      <c r="O12489" s="8">
        <f>17+16/60+10.3/3600</f>
        <v>17.269527777777778</v>
      </c>
      <c r="P12489" s="8" t="s">
        <v>52318</v>
      </c>
      <c r="Q12489" s="8">
        <f>+(43+51/60+45/3600)</f>
        <v>43.862500000000004</v>
      </c>
      <c r="R12489" s="8">
        <v>99</v>
      </c>
      <c r="S12489" s="8">
        <v>99</v>
      </c>
      <c r="T12489" s="8">
        <v>99</v>
      </c>
      <c r="U12489" s="8">
        <v>99</v>
      </c>
      <c r="Y12489" s="8" t="s">
        <v>52319</v>
      </c>
      <c r="Z12489" s="8" t="s">
        <v>52320</v>
      </c>
    </row>
    <row r="12490" spans="1:26" x14ac:dyDescent="0.2">
      <c r="A12490" s="8">
        <v>12489</v>
      </c>
      <c r="B12490" s="8" t="s">
        <v>52321</v>
      </c>
      <c r="C12490" s="8" t="s">
        <v>52321</v>
      </c>
      <c r="G12490" s="8">
        <v>20</v>
      </c>
      <c r="H12490" s="8" t="s">
        <v>21</v>
      </c>
      <c r="I12490" s="8" t="s">
        <v>22</v>
      </c>
      <c r="J12490" s="8" t="s">
        <v>57</v>
      </c>
      <c r="K12490" s="8" t="s">
        <v>31</v>
      </c>
      <c r="L12490" s="8" t="s">
        <v>13395</v>
      </c>
      <c r="M12490" s="8" t="s">
        <v>13396</v>
      </c>
      <c r="N12490" s="8" t="s">
        <v>39516</v>
      </c>
      <c r="O12490" s="8">
        <f>17+15/60+50/3600</f>
        <v>17.263888888888889</v>
      </c>
      <c r="P12490" s="8" t="s">
        <v>39517</v>
      </c>
      <c r="Q12490" s="8">
        <f>+(57+22/60+1/3600)</f>
        <v>57.366944444444442</v>
      </c>
      <c r="R12490" s="8">
        <v>14.9</v>
      </c>
      <c r="S12490" s="8">
        <v>15.7</v>
      </c>
      <c r="T12490" s="8">
        <v>0.8</v>
      </c>
      <c r="U12490" s="8">
        <v>13</v>
      </c>
      <c r="V12490" s="8">
        <v>1</v>
      </c>
      <c r="W12490" s="8">
        <v>0.2</v>
      </c>
      <c r="X12490" s="8">
        <v>142</v>
      </c>
      <c r="Y12490" s="8" t="s">
        <v>52322</v>
      </c>
      <c r="Z12490" s="8" t="s">
        <v>52323</v>
      </c>
    </row>
    <row r="12491" spans="1:26" x14ac:dyDescent="0.2">
      <c r="A12491" s="8">
        <v>12490</v>
      </c>
      <c r="B12491" s="8" t="s">
        <v>52324</v>
      </c>
      <c r="C12491" s="8" t="s">
        <v>52324</v>
      </c>
      <c r="G12491" s="8">
        <v>20</v>
      </c>
      <c r="H12491" s="8" t="s">
        <v>21</v>
      </c>
      <c r="I12491" s="8" t="s">
        <v>22</v>
      </c>
      <c r="J12491" s="8" t="s">
        <v>22</v>
      </c>
      <c r="K12491" s="8" t="s">
        <v>449</v>
      </c>
      <c r="L12491" s="8" t="s">
        <v>13395</v>
      </c>
      <c r="M12491" s="8" t="s">
        <v>13396</v>
      </c>
      <c r="N12491" s="8" t="s">
        <v>52325</v>
      </c>
      <c r="O12491" s="8">
        <f>17+15/60+47.4/3600</f>
        <v>17.263166666666667</v>
      </c>
      <c r="P12491" s="8" t="s">
        <v>52326</v>
      </c>
      <c r="Q12491" s="8">
        <f>+(57+18/60+7/3600)</f>
        <v>57.301944444444445</v>
      </c>
      <c r="R12491" s="8">
        <v>14.8</v>
      </c>
      <c r="S12491" s="8">
        <v>15.7</v>
      </c>
      <c r="T12491" s="8">
        <v>0.8</v>
      </c>
      <c r="U12491" s="8">
        <v>13.2</v>
      </c>
      <c r="V12491" s="8">
        <v>0.6</v>
      </c>
      <c r="W12491" s="8">
        <v>0.2</v>
      </c>
      <c r="X12491" s="8">
        <v>60</v>
      </c>
      <c r="Y12491" s="8" t="s">
        <v>52327</v>
      </c>
      <c r="Z12491" s="8" t="s">
        <v>52328</v>
      </c>
    </row>
    <row r="12492" spans="1:26" x14ac:dyDescent="0.2">
      <c r="A12492" s="8">
        <v>12491</v>
      </c>
      <c r="B12492" s="8" t="s">
        <v>52329</v>
      </c>
      <c r="C12492" s="8" t="s">
        <v>52329</v>
      </c>
      <c r="G12492" s="8">
        <v>8</v>
      </c>
      <c r="H12492" s="8" t="s">
        <v>21</v>
      </c>
      <c r="I12492" s="8" t="s">
        <v>557</v>
      </c>
      <c r="J12492" s="8" t="s">
        <v>557</v>
      </c>
      <c r="K12492" s="8" t="s">
        <v>3170</v>
      </c>
      <c r="L12492" s="8" t="s">
        <v>27529</v>
      </c>
      <c r="M12492" s="8" t="s">
        <v>27530</v>
      </c>
      <c r="N12492" s="8" t="s">
        <v>52330</v>
      </c>
      <c r="O12492" s="8">
        <f>17+24/60+52/3600</f>
        <v>17.414444444444442</v>
      </c>
      <c r="P12492" s="8" t="s">
        <v>52331</v>
      </c>
      <c r="Q12492" s="8">
        <f>-(49+56/60+36/3600)</f>
        <v>-49.943333333333328</v>
      </c>
      <c r="R12492" s="8">
        <v>6.9</v>
      </c>
      <c r="S12492" s="8">
        <v>99</v>
      </c>
      <c r="T12492" s="8">
        <v>99</v>
      </c>
      <c r="U12492" s="8">
        <v>99</v>
      </c>
      <c r="V12492" s="8">
        <v>10</v>
      </c>
      <c r="Y12492" s="8" t="s">
        <v>52332</v>
      </c>
      <c r="Z12492" s="8" t="s">
        <v>1907</v>
      </c>
    </row>
    <row r="12493" spans="1:26" x14ac:dyDescent="0.2">
      <c r="A12493" s="8">
        <v>12492</v>
      </c>
      <c r="B12493" s="8" t="s">
        <v>52333</v>
      </c>
      <c r="C12493" s="8" t="s">
        <v>52333</v>
      </c>
      <c r="G12493" s="8">
        <v>20</v>
      </c>
      <c r="H12493" s="8" t="s">
        <v>21</v>
      </c>
      <c r="I12493" s="8" t="s">
        <v>22</v>
      </c>
      <c r="J12493" s="8" t="s">
        <v>22</v>
      </c>
      <c r="K12493" s="8" t="s">
        <v>23</v>
      </c>
      <c r="L12493" s="8" t="s">
        <v>27529</v>
      </c>
      <c r="M12493" s="8" t="s">
        <v>27530</v>
      </c>
      <c r="N12493" s="8" t="s">
        <v>52334</v>
      </c>
      <c r="O12493" s="8">
        <f>17+26/60+26.5/3600</f>
        <v>17.440694444444446</v>
      </c>
      <c r="P12493" s="8" t="s">
        <v>52335</v>
      </c>
      <c r="Q12493" s="8">
        <f>-(59+43/60+42/3600)</f>
        <v>-59.728333333333332</v>
      </c>
      <c r="R12493" s="8">
        <v>13.3</v>
      </c>
      <c r="S12493" s="8">
        <v>14.1</v>
      </c>
      <c r="T12493" s="8">
        <v>0.8</v>
      </c>
      <c r="U12493" s="8">
        <v>11.9</v>
      </c>
      <c r="V12493" s="8">
        <v>0.8</v>
      </c>
      <c r="W12493" s="8">
        <v>0.4</v>
      </c>
      <c r="X12493" s="8">
        <v>10</v>
      </c>
      <c r="Y12493" s="8" t="s">
        <v>52336</v>
      </c>
      <c r="Z12493" s="8" t="s">
        <v>52337</v>
      </c>
    </row>
    <row r="12494" spans="1:26" x14ac:dyDescent="0.2">
      <c r="A12494" s="8">
        <v>12493</v>
      </c>
      <c r="B12494" s="8" t="s">
        <v>52338</v>
      </c>
      <c r="C12494" s="8" t="s">
        <v>52338</v>
      </c>
      <c r="G12494" s="8">
        <v>20</v>
      </c>
      <c r="H12494" s="8" t="s">
        <v>21</v>
      </c>
      <c r="I12494" s="8" t="s">
        <v>22</v>
      </c>
      <c r="J12494" s="8" t="s">
        <v>22</v>
      </c>
      <c r="K12494" s="8" t="s">
        <v>435</v>
      </c>
      <c r="L12494" s="8" t="s">
        <v>27529</v>
      </c>
      <c r="M12494" s="8" t="s">
        <v>27530</v>
      </c>
      <c r="N12494" s="8" t="s">
        <v>52339</v>
      </c>
      <c r="O12494" s="8">
        <f>17+27/60+7/3600</f>
        <v>17.451944444444443</v>
      </c>
      <c r="P12494" s="8" t="s">
        <v>52340</v>
      </c>
      <c r="Q12494" s="8">
        <f>-(60+52/60+45/3600)</f>
        <v>-60.87916666666667</v>
      </c>
      <c r="R12494" s="8">
        <v>12.5</v>
      </c>
      <c r="S12494" s="8">
        <v>13.2</v>
      </c>
      <c r="T12494" s="8">
        <v>0.7</v>
      </c>
      <c r="U12494" s="8">
        <v>12.9</v>
      </c>
      <c r="V12494" s="8">
        <v>1.1000000000000001</v>
      </c>
      <c r="W12494" s="8">
        <v>0.6</v>
      </c>
      <c r="X12494" s="8">
        <v>52</v>
      </c>
      <c r="Y12494" s="8" t="s">
        <v>52341</v>
      </c>
      <c r="Z12494" s="8" t="s">
        <v>52342</v>
      </c>
    </row>
    <row r="12495" spans="1:26" x14ac:dyDescent="0.2">
      <c r="A12495" s="8">
        <v>12494</v>
      </c>
      <c r="B12495" s="8" t="s">
        <v>52343</v>
      </c>
      <c r="C12495" s="8" t="s">
        <v>52343</v>
      </c>
      <c r="G12495" s="8">
        <v>20</v>
      </c>
      <c r="H12495" s="8" t="s">
        <v>21</v>
      </c>
      <c r="I12495" s="8" t="s">
        <v>22</v>
      </c>
      <c r="J12495" s="8" t="s">
        <v>22</v>
      </c>
      <c r="K12495" s="8" t="s">
        <v>85</v>
      </c>
      <c r="L12495" s="8" t="s">
        <v>25025</v>
      </c>
      <c r="M12495" s="8" t="s">
        <v>25026</v>
      </c>
      <c r="N12495" s="8" t="s">
        <v>52344</v>
      </c>
      <c r="O12495" s="8">
        <f>17+37/60+7.9/3600</f>
        <v>17.618861111111112</v>
      </c>
      <c r="P12495" s="8" t="s">
        <v>52345</v>
      </c>
      <c r="Q12495" s="8">
        <f>-(74+22/60+52/3600)</f>
        <v>-74.38111111111111</v>
      </c>
      <c r="R12495" s="8">
        <v>12.4</v>
      </c>
      <c r="S12495" s="8">
        <v>13.2</v>
      </c>
      <c r="T12495" s="8">
        <v>0.8</v>
      </c>
      <c r="U12495" s="8">
        <v>12.8</v>
      </c>
      <c r="V12495" s="8">
        <v>1.6</v>
      </c>
      <c r="W12495" s="8">
        <v>1.1000000000000001</v>
      </c>
      <c r="X12495" s="8">
        <v>102</v>
      </c>
      <c r="Y12495" s="8" t="s">
        <v>52346</v>
      </c>
      <c r="Z12495" s="8" t="s">
        <v>52347</v>
      </c>
    </row>
    <row r="12496" spans="1:26" x14ac:dyDescent="0.2">
      <c r="A12496" s="8">
        <v>12495</v>
      </c>
      <c r="B12496" s="8" t="s">
        <v>52348</v>
      </c>
      <c r="C12496" s="8" t="s">
        <v>52348</v>
      </c>
      <c r="G12496" s="8">
        <v>20</v>
      </c>
      <c r="H12496" s="8" t="s">
        <v>21</v>
      </c>
      <c r="I12496" s="8" t="s">
        <v>72</v>
      </c>
      <c r="J12496" s="8" t="s">
        <v>72</v>
      </c>
      <c r="K12496" s="8" t="s">
        <v>1405</v>
      </c>
      <c r="L12496" s="8" t="s">
        <v>27529</v>
      </c>
      <c r="M12496" s="8" t="s">
        <v>27530</v>
      </c>
      <c r="N12496" s="8" t="s">
        <v>52349</v>
      </c>
      <c r="O12496" s="8">
        <f>17+34/60+35.8/3600</f>
        <v>17.576611111111109</v>
      </c>
      <c r="P12496" s="8" t="s">
        <v>52350</v>
      </c>
      <c r="Q12496" s="8">
        <f>-(60+43/60+17/3600)</f>
        <v>-60.721388888888889</v>
      </c>
      <c r="R12496" s="8">
        <v>99</v>
      </c>
      <c r="S12496" s="8">
        <v>99</v>
      </c>
      <c r="T12496" s="8">
        <v>99</v>
      </c>
      <c r="U12496" s="8">
        <v>99</v>
      </c>
      <c r="V12496" s="8">
        <v>0.6</v>
      </c>
      <c r="Y12496" s="8" t="s">
        <v>52351</v>
      </c>
      <c r="Z12496" s="8" t="s">
        <v>52352</v>
      </c>
    </row>
    <row r="12497" spans="1:26" x14ac:dyDescent="0.2">
      <c r="A12497" s="8">
        <v>12496</v>
      </c>
      <c r="B12497" s="8" t="s">
        <v>52353</v>
      </c>
      <c r="C12497" s="8" t="s">
        <v>52353</v>
      </c>
      <c r="G12497" s="8">
        <v>20</v>
      </c>
      <c r="H12497" s="8" t="s">
        <v>21</v>
      </c>
      <c r="I12497" s="8" t="s">
        <v>22</v>
      </c>
      <c r="J12497" s="8" t="s">
        <v>22</v>
      </c>
      <c r="K12497" s="8" t="s">
        <v>160</v>
      </c>
      <c r="L12497" s="8" t="s">
        <v>27529</v>
      </c>
      <c r="M12497" s="8" t="s">
        <v>27530</v>
      </c>
      <c r="N12497" s="8" t="s">
        <v>52354</v>
      </c>
      <c r="O12497" s="8">
        <f>17+37/60+44.1/3600</f>
        <v>17.628916666666669</v>
      </c>
      <c r="P12497" s="8" t="s">
        <v>52355</v>
      </c>
      <c r="Q12497" s="8">
        <f>-(63+43/60+47/3600)</f>
        <v>-63.729722222222222</v>
      </c>
      <c r="R12497" s="8">
        <v>12.7</v>
      </c>
      <c r="S12497" s="8">
        <v>13.4</v>
      </c>
      <c r="T12497" s="8">
        <v>0.7</v>
      </c>
      <c r="U12497" s="8">
        <v>12.7</v>
      </c>
      <c r="V12497" s="8">
        <v>2.2999999999999998</v>
      </c>
      <c r="W12497" s="8">
        <v>0.6</v>
      </c>
      <c r="X12497" s="8">
        <v>90</v>
      </c>
      <c r="Y12497" s="8" t="s">
        <v>52356</v>
      </c>
      <c r="Z12497" s="8" t="s">
        <v>52357</v>
      </c>
    </row>
    <row r="12498" spans="1:26" x14ac:dyDescent="0.2">
      <c r="A12498" s="8">
        <v>12497</v>
      </c>
      <c r="B12498" s="8" t="s">
        <v>52358</v>
      </c>
      <c r="C12498" s="8" t="s">
        <v>52358</v>
      </c>
      <c r="G12498" s="8">
        <v>20</v>
      </c>
      <c r="H12498" s="8" t="s">
        <v>21</v>
      </c>
      <c r="I12498" s="8" t="s">
        <v>329</v>
      </c>
      <c r="J12498" s="8" t="s">
        <v>329</v>
      </c>
      <c r="K12498" s="8" t="s">
        <v>329</v>
      </c>
      <c r="L12498" s="8" t="s">
        <v>26994</v>
      </c>
      <c r="M12498" s="8" t="s">
        <v>26995</v>
      </c>
      <c r="N12498" s="8" t="s">
        <v>52359</v>
      </c>
      <c r="O12498" s="8">
        <f>17+32/60+42/3600</f>
        <v>17.545000000000002</v>
      </c>
      <c r="P12498" s="8" t="s">
        <v>52360</v>
      </c>
      <c r="Q12498" s="8">
        <f>-(17+31/60+30/3600)</f>
        <v>-17.524999999999999</v>
      </c>
      <c r="R12498" s="8">
        <v>99</v>
      </c>
      <c r="S12498" s="8">
        <v>99</v>
      </c>
      <c r="T12498" s="8">
        <v>99</v>
      </c>
      <c r="U12498" s="8">
        <v>99</v>
      </c>
      <c r="Y12498" s="8" t="s">
        <v>52361</v>
      </c>
      <c r="Z12498" s="8" t="s">
        <v>52362</v>
      </c>
    </row>
    <row r="12499" spans="1:26" x14ac:dyDescent="0.2">
      <c r="A12499" s="8">
        <v>12498</v>
      </c>
      <c r="B12499" s="8" t="s">
        <v>52363</v>
      </c>
      <c r="C12499" s="8" t="s">
        <v>52363</v>
      </c>
      <c r="G12499" s="8">
        <v>20</v>
      </c>
      <c r="H12499" s="8" t="s">
        <v>21</v>
      </c>
      <c r="I12499" s="8" t="s">
        <v>329</v>
      </c>
      <c r="J12499" s="8" t="s">
        <v>329</v>
      </c>
      <c r="K12499" s="8" t="s">
        <v>329</v>
      </c>
      <c r="L12499" s="8" t="s">
        <v>27529</v>
      </c>
      <c r="M12499" s="8" t="s">
        <v>27530</v>
      </c>
      <c r="N12499" s="8" t="s">
        <v>52364</v>
      </c>
      <c r="O12499" s="8">
        <f>17+36/60+10/3600</f>
        <v>17.602777777777778</v>
      </c>
      <c r="P12499" s="8" t="s">
        <v>52365</v>
      </c>
      <c r="Q12499" s="8">
        <f>-(59+35/60+6/3600)</f>
        <v>-59.585000000000001</v>
      </c>
      <c r="R12499" s="8">
        <v>99</v>
      </c>
      <c r="S12499" s="8">
        <v>99</v>
      </c>
      <c r="T12499" s="8">
        <v>99</v>
      </c>
      <c r="U12499" s="8">
        <v>99</v>
      </c>
      <c r="Y12499" s="8" t="s">
        <v>52336</v>
      </c>
      <c r="Z12499" s="8" t="s">
        <v>52337</v>
      </c>
    </row>
    <row r="12500" spans="1:26" x14ac:dyDescent="0.2">
      <c r="A12500" s="8">
        <v>12499</v>
      </c>
      <c r="B12500" s="8" t="s">
        <v>52366</v>
      </c>
      <c r="C12500" s="8" t="s">
        <v>52366</v>
      </c>
      <c r="G12500" s="8">
        <v>20</v>
      </c>
      <c r="H12500" s="8" t="s">
        <v>21</v>
      </c>
      <c r="I12500" s="8" t="s">
        <v>329</v>
      </c>
      <c r="J12500" s="8" t="s">
        <v>329</v>
      </c>
      <c r="K12500" s="8" t="s">
        <v>329</v>
      </c>
      <c r="L12500" s="8" t="s">
        <v>26994</v>
      </c>
      <c r="M12500" s="8" t="s">
        <v>26995</v>
      </c>
      <c r="N12500" s="8" t="s">
        <v>52367</v>
      </c>
      <c r="O12500" s="8">
        <f>17+34/60+12/3600</f>
        <v>17.57</v>
      </c>
      <c r="P12500" s="8" t="s">
        <v>52368</v>
      </c>
      <c r="Q12500" s="8">
        <f>-(17+55/60+42/3600)</f>
        <v>-17.928333333333335</v>
      </c>
      <c r="R12500" s="8">
        <v>99</v>
      </c>
      <c r="S12500" s="8">
        <v>99</v>
      </c>
      <c r="T12500" s="8">
        <v>99</v>
      </c>
      <c r="U12500" s="8">
        <v>99</v>
      </c>
      <c r="Y12500" s="8" t="s">
        <v>52369</v>
      </c>
      <c r="Z12500" s="8" t="s">
        <v>52370</v>
      </c>
    </row>
    <row r="12501" spans="1:26" x14ac:dyDescent="0.2">
      <c r="A12501" s="8">
        <v>12500</v>
      </c>
      <c r="B12501" s="8" t="s">
        <v>52371</v>
      </c>
      <c r="C12501" s="8" t="s">
        <v>52371</v>
      </c>
      <c r="G12501" s="8">
        <v>20</v>
      </c>
      <c r="H12501" s="8" t="s">
        <v>21</v>
      </c>
      <c r="I12501" s="8" t="s">
        <v>22</v>
      </c>
      <c r="J12501" s="8" t="s">
        <v>22</v>
      </c>
      <c r="K12501" s="8" t="s">
        <v>449</v>
      </c>
      <c r="L12501" s="8" t="s">
        <v>14586</v>
      </c>
      <c r="M12501" s="8" t="s">
        <v>14587</v>
      </c>
      <c r="N12501" s="8" t="s">
        <v>52372</v>
      </c>
      <c r="O12501" s="8">
        <f>17+21/60+45/3600</f>
        <v>17.362500000000001</v>
      </c>
      <c r="P12501" s="8" t="s">
        <v>52373</v>
      </c>
      <c r="Q12501" s="8">
        <f>+(75+50/60+55/3600)</f>
        <v>75.848611111111111</v>
      </c>
      <c r="R12501" s="8">
        <v>13.6</v>
      </c>
      <c r="S12501" s="8">
        <v>14.5</v>
      </c>
      <c r="T12501" s="8">
        <v>0.9</v>
      </c>
      <c r="U12501" s="8">
        <v>12.4</v>
      </c>
      <c r="V12501" s="8">
        <v>1.3</v>
      </c>
      <c r="W12501" s="8">
        <v>0.3</v>
      </c>
      <c r="X12501" s="8">
        <v>170</v>
      </c>
      <c r="Y12501" s="8" t="s">
        <v>52374</v>
      </c>
      <c r="Z12501" s="8" t="s">
        <v>52375</v>
      </c>
    </row>
    <row r="12502" spans="1:26" x14ac:dyDescent="0.2">
      <c r="A12502" s="8">
        <v>12501</v>
      </c>
      <c r="B12502" s="8" t="s">
        <v>52376</v>
      </c>
      <c r="C12502" s="8" t="s">
        <v>52376</v>
      </c>
      <c r="G12502" s="8">
        <v>20</v>
      </c>
      <c r="H12502" s="8" t="s">
        <v>21</v>
      </c>
      <c r="I12502" s="8" t="s">
        <v>22</v>
      </c>
      <c r="J12502" s="8" t="s">
        <v>22</v>
      </c>
      <c r="K12502" s="8" t="s">
        <v>160</v>
      </c>
      <c r="L12502" s="8" t="s">
        <v>25025</v>
      </c>
      <c r="M12502" s="8" t="s">
        <v>25026</v>
      </c>
      <c r="N12502" s="8" t="s">
        <v>52377</v>
      </c>
      <c r="O12502" s="8">
        <f>17+51/60+2.4/3600</f>
        <v>17.850666666666669</v>
      </c>
      <c r="P12502" s="8" t="s">
        <v>52378</v>
      </c>
      <c r="Q12502" s="8">
        <f>-(74+1/60+58/3600)</f>
        <v>-74.032777777777781</v>
      </c>
      <c r="R12502" s="8">
        <v>12.7</v>
      </c>
      <c r="S12502" s="8">
        <v>13.5</v>
      </c>
      <c r="T12502" s="8">
        <v>0.8</v>
      </c>
      <c r="U12502" s="8">
        <v>13.2</v>
      </c>
      <c r="V12502" s="8">
        <v>1.6</v>
      </c>
      <c r="W12502" s="8">
        <v>1.2</v>
      </c>
      <c r="X12502" s="8">
        <v>31</v>
      </c>
      <c r="Y12502" s="8" t="s">
        <v>42252</v>
      </c>
      <c r="Z12502" s="8" t="s">
        <v>42253</v>
      </c>
    </row>
    <row r="12503" spans="1:26" x14ac:dyDescent="0.2">
      <c r="A12503" s="8">
        <v>12502</v>
      </c>
      <c r="B12503" s="8" t="s">
        <v>52379</v>
      </c>
      <c r="C12503" s="8" t="s">
        <v>52379</v>
      </c>
      <c r="G12503" s="8">
        <v>13</v>
      </c>
      <c r="H12503" s="8" t="s">
        <v>21</v>
      </c>
      <c r="I12503" s="8" t="s">
        <v>22</v>
      </c>
      <c r="J12503" s="8" t="s">
        <v>22</v>
      </c>
      <c r="K12503" s="8" t="s">
        <v>107</v>
      </c>
      <c r="L12503" s="8" t="s">
        <v>28435</v>
      </c>
      <c r="M12503" s="8" t="s">
        <v>28436</v>
      </c>
      <c r="N12503" s="8" t="s">
        <v>52380</v>
      </c>
      <c r="O12503" s="8">
        <f>17+47/60+8.5/3600</f>
        <v>17.785694444444445</v>
      </c>
      <c r="P12503" s="8" t="s">
        <v>52381</v>
      </c>
      <c r="Q12503" s="8">
        <f>-(64+38/60+31/3600)</f>
        <v>-64.641944444444448</v>
      </c>
      <c r="R12503" s="8">
        <v>11.3</v>
      </c>
      <c r="S12503" s="8">
        <v>11.7</v>
      </c>
      <c r="T12503" s="8">
        <v>0.4</v>
      </c>
      <c r="U12503" s="8">
        <v>12.8</v>
      </c>
      <c r="V12503" s="8">
        <v>3.2</v>
      </c>
      <c r="W12503" s="8">
        <v>1.9</v>
      </c>
      <c r="X12503" s="8">
        <v>105</v>
      </c>
      <c r="Y12503" s="8" t="s">
        <v>52382</v>
      </c>
      <c r="Z12503" s="8" t="s">
        <v>52383</v>
      </c>
    </row>
    <row r="12504" spans="1:26" x14ac:dyDescent="0.2">
      <c r="A12504" s="8">
        <v>12503</v>
      </c>
      <c r="B12504" s="8" t="s">
        <v>52384</v>
      </c>
      <c r="C12504" s="8" t="s">
        <v>52384</v>
      </c>
      <c r="G12504" s="8">
        <v>13</v>
      </c>
      <c r="H12504" s="8" t="s">
        <v>21</v>
      </c>
      <c r="I12504" s="8" t="s">
        <v>241</v>
      </c>
      <c r="J12504" s="8" t="s">
        <v>241</v>
      </c>
      <c r="K12504" s="8" t="s">
        <v>241</v>
      </c>
      <c r="L12504" s="8" t="s">
        <v>26735</v>
      </c>
      <c r="M12504" s="8" t="s">
        <v>26736</v>
      </c>
      <c r="N12504" s="8" t="s">
        <v>52385</v>
      </c>
      <c r="O12504" s="8">
        <f>17+45/60+28.7/3600</f>
        <v>17.757972222222222</v>
      </c>
      <c r="P12504" s="8" t="s">
        <v>52386</v>
      </c>
      <c r="Q12504" s="8">
        <f>-(44+54/60+16/3600)</f>
        <v>-44.904444444444444</v>
      </c>
      <c r="R12504" s="8">
        <v>12.5</v>
      </c>
      <c r="S12504" s="8">
        <v>13.1</v>
      </c>
      <c r="T12504" s="8">
        <v>99</v>
      </c>
      <c r="U12504" s="8">
        <v>99</v>
      </c>
      <c r="V12504" s="8">
        <v>0.33</v>
      </c>
      <c r="Y12504" s="8" t="s">
        <v>27388</v>
      </c>
      <c r="Z12504" s="8" t="s">
        <v>41022</v>
      </c>
    </row>
    <row r="12505" spans="1:26" x14ac:dyDescent="0.2">
      <c r="A12505" s="8">
        <v>12504</v>
      </c>
      <c r="B12505" s="8" t="s">
        <v>52387</v>
      </c>
      <c r="C12505" s="8" t="s">
        <v>52387</v>
      </c>
      <c r="G12505" s="8">
        <v>20</v>
      </c>
      <c r="H12505" s="8" t="s">
        <v>21</v>
      </c>
      <c r="I12505" s="8" t="s">
        <v>22</v>
      </c>
      <c r="J12505" s="8" t="s">
        <v>22</v>
      </c>
      <c r="K12505" s="8" t="s">
        <v>218</v>
      </c>
      <c r="L12505" s="8" t="s">
        <v>28435</v>
      </c>
      <c r="M12505" s="8" t="s">
        <v>28436</v>
      </c>
      <c r="N12505" s="8" t="s">
        <v>52388</v>
      </c>
      <c r="O12505" s="8">
        <f>17+48/60+58.8/3600</f>
        <v>17.816333333333333</v>
      </c>
      <c r="P12505" s="8" t="s">
        <v>52389</v>
      </c>
      <c r="Q12505" s="8">
        <f>-(63+15/60+14/3600)</f>
        <v>-63.253888888888888</v>
      </c>
      <c r="R12505" s="8">
        <v>12.9</v>
      </c>
      <c r="S12505" s="8">
        <v>13.6</v>
      </c>
      <c r="T12505" s="8">
        <v>0.7</v>
      </c>
      <c r="U12505" s="8">
        <v>13.5</v>
      </c>
      <c r="V12505" s="8">
        <v>1.8</v>
      </c>
      <c r="W12505" s="8">
        <v>1</v>
      </c>
      <c r="X12505" s="8">
        <v>114</v>
      </c>
      <c r="Y12505" s="8" t="s">
        <v>52390</v>
      </c>
      <c r="Z12505" s="8" t="s">
        <v>52391</v>
      </c>
    </row>
    <row r="12506" spans="1:26" x14ac:dyDescent="0.2">
      <c r="A12506" s="8">
        <v>12505</v>
      </c>
      <c r="B12506" s="8" t="s">
        <v>52392</v>
      </c>
      <c r="C12506" s="8" t="s">
        <v>52392</v>
      </c>
      <c r="G12506" s="8">
        <v>8</v>
      </c>
      <c r="H12506" s="8" t="s">
        <v>52393</v>
      </c>
      <c r="I12506" s="8" t="s">
        <v>557</v>
      </c>
      <c r="J12506" s="8" t="s">
        <v>557</v>
      </c>
      <c r="K12506" s="8" t="s">
        <v>987</v>
      </c>
      <c r="L12506" s="8" t="s">
        <v>26994</v>
      </c>
      <c r="M12506" s="8" t="s">
        <v>26995</v>
      </c>
      <c r="N12506" s="8" t="s">
        <v>52394</v>
      </c>
      <c r="O12506" s="8">
        <f>17+46/60+12/3600</f>
        <v>17.77</v>
      </c>
      <c r="P12506" s="8" t="s">
        <v>52395</v>
      </c>
      <c r="Q12506" s="8">
        <f>+(5+43/60+0/3600)</f>
        <v>5.7166666666666668</v>
      </c>
      <c r="R12506" s="8">
        <v>4.2</v>
      </c>
      <c r="S12506" s="8">
        <v>99</v>
      </c>
      <c r="T12506" s="8">
        <v>99</v>
      </c>
      <c r="U12506" s="8">
        <v>99</v>
      </c>
      <c r="V12506" s="8">
        <v>70</v>
      </c>
      <c r="Y12506" s="8" t="s">
        <v>44260</v>
      </c>
      <c r="Z12506" s="8" t="s">
        <v>43914</v>
      </c>
    </row>
    <row r="12507" spans="1:26" x14ac:dyDescent="0.2">
      <c r="A12507" s="8">
        <v>12506</v>
      </c>
      <c r="B12507" s="8" t="s">
        <v>52396</v>
      </c>
      <c r="C12507" s="8" t="s">
        <v>52396</v>
      </c>
      <c r="G12507" s="8">
        <v>20</v>
      </c>
      <c r="H12507" s="8" t="s">
        <v>21</v>
      </c>
      <c r="I12507" s="8" t="s">
        <v>72</v>
      </c>
      <c r="J12507" s="8" t="s">
        <v>72</v>
      </c>
      <c r="K12507" s="8" t="s">
        <v>20</v>
      </c>
      <c r="L12507" s="8" t="s">
        <v>13395</v>
      </c>
      <c r="M12507" s="8" t="s">
        <v>13396</v>
      </c>
      <c r="N12507" s="8" t="s">
        <v>52397</v>
      </c>
      <c r="O12507" s="8">
        <f>17+46/60+2.3/3600</f>
        <v>17.767305555555556</v>
      </c>
      <c r="P12507" s="8" t="s">
        <v>52398</v>
      </c>
      <c r="Q12507" s="8">
        <f>+(55+46/60+33/3600)</f>
        <v>55.775833333333331</v>
      </c>
      <c r="R12507" s="8">
        <v>99</v>
      </c>
      <c r="S12507" s="8">
        <v>99</v>
      </c>
      <c r="T12507" s="8">
        <v>99</v>
      </c>
      <c r="U12507" s="8">
        <v>99</v>
      </c>
      <c r="Y12507" s="8" t="s">
        <v>52399</v>
      </c>
      <c r="Z12507" s="8" t="s">
        <v>52400</v>
      </c>
    </row>
    <row r="12508" spans="1:26" x14ac:dyDescent="0.2">
      <c r="A12508" s="8">
        <v>12507</v>
      </c>
      <c r="B12508" s="8" t="s">
        <v>52401</v>
      </c>
      <c r="C12508" s="8" t="s">
        <v>52401</v>
      </c>
      <c r="G12508" s="8">
        <v>20</v>
      </c>
      <c r="H12508" s="8" t="s">
        <v>21</v>
      </c>
      <c r="I12508" s="8" t="s">
        <v>329</v>
      </c>
      <c r="J12508" s="8" t="s">
        <v>329</v>
      </c>
      <c r="K12508" s="8" t="s">
        <v>329</v>
      </c>
      <c r="L12508" s="8" t="s">
        <v>13395</v>
      </c>
      <c r="M12508" s="8" t="s">
        <v>13396</v>
      </c>
      <c r="N12508" s="8" t="s">
        <v>52402</v>
      </c>
      <c r="O12508" s="8">
        <f>17+46/60+19/3600</f>
        <v>17.771944444444443</v>
      </c>
      <c r="P12508" s="8" t="s">
        <v>52403</v>
      </c>
      <c r="Q12508" s="8">
        <f>+(55+52/60+32/3600)</f>
        <v>55.875555555555557</v>
      </c>
      <c r="R12508" s="8">
        <v>99</v>
      </c>
      <c r="S12508" s="8">
        <v>99</v>
      </c>
      <c r="T12508" s="8">
        <v>99</v>
      </c>
      <c r="U12508" s="8">
        <v>99</v>
      </c>
      <c r="Y12508" s="8" t="s">
        <v>52404</v>
      </c>
      <c r="Z12508" s="8" t="s">
        <v>52405</v>
      </c>
    </row>
    <row r="12509" spans="1:26" x14ac:dyDescent="0.2">
      <c r="A12509" s="8">
        <v>12508</v>
      </c>
      <c r="B12509" s="8" t="s">
        <v>52406</v>
      </c>
      <c r="C12509" s="8" t="s">
        <v>52406</v>
      </c>
      <c r="G12509" s="8">
        <v>20</v>
      </c>
      <c r="H12509" s="8" t="s">
        <v>21</v>
      </c>
      <c r="I12509" s="8" t="s">
        <v>72</v>
      </c>
      <c r="J12509" s="8" t="s">
        <v>72</v>
      </c>
      <c r="K12509" s="8" t="s">
        <v>20</v>
      </c>
      <c r="L12509" s="8" t="s">
        <v>13395</v>
      </c>
      <c r="M12509" s="8" t="s">
        <v>13396</v>
      </c>
      <c r="N12509" s="8" t="s">
        <v>52407</v>
      </c>
      <c r="O12509" s="8">
        <f>17+46/60+59/3600</f>
        <v>17.783055555555556</v>
      </c>
      <c r="P12509" s="8" t="s">
        <v>52408</v>
      </c>
      <c r="Q12509" s="8">
        <f>+(57+24/60+0/3600)</f>
        <v>57.4</v>
      </c>
      <c r="R12509" s="8">
        <v>99</v>
      </c>
      <c r="S12509" s="8">
        <v>99</v>
      </c>
      <c r="T12509" s="8">
        <v>99</v>
      </c>
      <c r="U12509" s="8">
        <v>99</v>
      </c>
      <c r="Y12509" s="8" t="s">
        <v>52409</v>
      </c>
      <c r="Z12509" s="8" t="s">
        <v>52410</v>
      </c>
    </row>
    <row r="12510" spans="1:26" x14ac:dyDescent="0.2">
      <c r="A12510" s="8">
        <v>12509</v>
      </c>
      <c r="B12510" s="8" t="s">
        <v>52411</v>
      </c>
      <c r="C12510" s="8" t="s">
        <v>52411</v>
      </c>
      <c r="G12510" s="8">
        <v>20</v>
      </c>
      <c r="H12510" s="8" t="s">
        <v>21</v>
      </c>
      <c r="I12510" s="8" t="s">
        <v>22</v>
      </c>
      <c r="J12510" s="8" t="s">
        <v>22</v>
      </c>
      <c r="K12510" s="8" t="s">
        <v>218</v>
      </c>
      <c r="L12510" s="8" t="s">
        <v>13395</v>
      </c>
      <c r="M12510" s="8" t="s">
        <v>13396</v>
      </c>
      <c r="N12510" s="8" t="s">
        <v>52412</v>
      </c>
      <c r="O12510" s="8">
        <f>17+47/60+12.8/3600</f>
        <v>17.786888888888889</v>
      </c>
      <c r="P12510" s="8" t="s">
        <v>52413</v>
      </c>
      <c r="Q12510" s="8">
        <f>+(61+26/60+2/3600)</f>
        <v>61.433888888888887</v>
      </c>
      <c r="R12510" s="8">
        <v>14.1</v>
      </c>
      <c r="S12510" s="8">
        <v>14.9</v>
      </c>
      <c r="T12510" s="8">
        <v>0.8</v>
      </c>
      <c r="U12510" s="8">
        <v>12.3</v>
      </c>
      <c r="V12510" s="8">
        <v>0.7</v>
      </c>
      <c r="W12510" s="8">
        <v>0.3</v>
      </c>
      <c r="X12510" s="8">
        <v>94</v>
      </c>
      <c r="Y12510" s="8" t="s">
        <v>52414</v>
      </c>
      <c r="Z12510" s="8" t="s">
        <v>52415</v>
      </c>
    </row>
    <row r="12511" spans="1:26" x14ac:dyDescent="0.2">
      <c r="A12511" s="8">
        <v>12510</v>
      </c>
      <c r="B12511" s="8" t="s">
        <v>52416</v>
      </c>
      <c r="C12511" s="8" t="s">
        <v>52416</v>
      </c>
      <c r="G12511" s="8">
        <v>20</v>
      </c>
      <c r="H12511" s="8" t="s">
        <v>21</v>
      </c>
      <c r="I12511" s="8" t="s">
        <v>241</v>
      </c>
      <c r="J12511" s="8" t="s">
        <v>241</v>
      </c>
      <c r="K12511" s="8" t="s">
        <v>241</v>
      </c>
      <c r="L12511" s="8" t="s">
        <v>28576</v>
      </c>
      <c r="M12511" s="8" t="s">
        <v>28577</v>
      </c>
      <c r="N12511" s="8" t="s">
        <v>52417</v>
      </c>
      <c r="O12511" s="8">
        <f>17+55/60+7/3600</f>
        <v>17.918611111111112</v>
      </c>
      <c r="P12511" s="8" t="s">
        <v>52418</v>
      </c>
      <c r="Q12511" s="8">
        <f>-(21+44/60+39/3600)</f>
        <v>-21.744166666666668</v>
      </c>
      <c r="R12511" s="8">
        <v>12</v>
      </c>
      <c r="S12511" s="8">
        <v>13.1</v>
      </c>
      <c r="T12511" s="8">
        <v>99</v>
      </c>
      <c r="U12511" s="8">
        <v>99</v>
      </c>
      <c r="V12511" s="8">
        <v>0.08</v>
      </c>
      <c r="Y12511" s="8" t="s">
        <v>52419</v>
      </c>
      <c r="Z12511" s="8" t="s">
        <v>52420</v>
      </c>
    </row>
    <row r="12512" spans="1:26" x14ac:dyDescent="0.2">
      <c r="A12512" s="8">
        <v>12511</v>
      </c>
      <c r="B12512" s="8" t="s">
        <v>52421</v>
      </c>
      <c r="C12512" s="8" t="s">
        <v>52421</v>
      </c>
      <c r="G12512" s="8">
        <v>20</v>
      </c>
      <c r="H12512" s="8" t="s">
        <v>21</v>
      </c>
      <c r="I12512" s="8" t="s">
        <v>329</v>
      </c>
      <c r="J12512" s="8" t="s">
        <v>329</v>
      </c>
      <c r="K12512" s="8" t="s">
        <v>329</v>
      </c>
      <c r="L12512" s="8" t="s">
        <v>26227</v>
      </c>
      <c r="M12512" s="8" t="s">
        <v>26228</v>
      </c>
      <c r="N12512" s="8" t="s">
        <v>52417</v>
      </c>
      <c r="O12512" s="8">
        <f>17+55/60+7/3600</f>
        <v>17.918611111111112</v>
      </c>
      <c r="P12512" s="8" t="s">
        <v>52422</v>
      </c>
      <c r="Q12512" s="8">
        <f>-(10+17/60+12/3600)</f>
        <v>-10.286666666666667</v>
      </c>
      <c r="R12512" s="8">
        <v>99</v>
      </c>
      <c r="S12512" s="8">
        <v>99</v>
      </c>
      <c r="T12512" s="8">
        <v>99</v>
      </c>
      <c r="U12512" s="8">
        <v>99</v>
      </c>
      <c r="Y12512" s="8" t="s">
        <v>52423</v>
      </c>
      <c r="Z12512" s="8" t="s">
        <v>52424</v>
      </c>
    </row>
    <row r="12513" spans="1:26" x14ac:dyDescent="0.2">
      <c r="A12513" s="8">
        <v>12512</v>
      </c>
      <c r="B12513" s="8" t="s">
        <v>52425</v>
      </c>
      <c r="C12513" s="8" t="s">
        <v>52425</v>
      </c>
      <c r="G12513" s="8">
        <v>20</v>
      </c>
      <c r="H12513" s="8" t="s">
        <v>21</v>
      </c>
      <c r="I12513" s="8" t="s">
        <v>22</v>
      </c>
      <c r="J12513" s="8" t="s">
        <v>22</v>
      </c>
      <c r="K12513" s="8" t="s">
        <v>160</v>
      </c>
      <c r="L12513" s="8" t="s">
        <v>28435</v>
      </c>
      <c r="M12513" s="8" t="s">
        <v>28436</v>
      </c>
      <c r="N12513" s="8" t="s">
        <v>52426</v>
      </c>
      <c r="O12513" s="8">
        <f>18+2/60+14.8/3600</f>
        <v>18.037444444444446</v>
      </c>
      <c r="P12513" s="8" t="s">
        <v>52427</v>
      </c>
      <c r="Q12513" s="8">
        <f>-(62+49/60+56/3600)</f>
        <v>-62.832222222222228</v>
      </c>
      <c r="R12513" s="8">
        <v>14.6</v>
      </c>
      <c r="S12513" s="8">
        <v>15.3</v>
      </c>
      <c r="T12513" s="8">
        <v>0.7</v>
      </c>
      <c r="U12513" s="8">
        <v>13.3</v>
      </c>
      <c r="V12513" s="8">
        <v>0.9</v>
      </c>
      <c r="W12513" s="8">
        <v>0.4</v>
      </c>
      <c r="X12513" s="8">
        <v>43</v>
      </c>
      <c r="Y12513" s="8" t="s">
        <v>52428</v>
      </c>
      <c r="Z12513" s="8" t="s">
        <v>52429</v>
      </c>
    </row>
    <row r="12514" spans="1:26" x14ac:dyDescent="0.2">
      <c r="A12514" s="8">
        <v>12513</v>
      </c>
      <c r="B12514" s="8" t="s">
        <v>52430</v>
      </c>
      <c r="C12514" s="8" t="s">
        <v>52430</v>
      </c>
      <c r="G12514" s="8">
        <v>20</v>
      </c>
      <c r="H12514" s="8" t="s">
        <v>21</v>
      </c>
      <c r="I12514" s="8" t="s">
        <v>241</v>
      </c>
      <c r="J12514" s="8" t="s">
        <v>241</v>
      </c>
      <c r="K12514" s="8" t="s">
        <v>241</v>
      </c>
      <c r="L12514" s="8" t="s">
        <v>28576</v>
      </c>
      <c r="M12514" s="8" t="s">
        <v>28577</v>
      </c>
      <c r="N12514" s="8" t="s">
        <v>52431</v>
      </c>
      <c r="O12514" s="8">
        <f>18+3/60+18.4/3600</f>
        <v>18.055111111111113</v>
      </c>
      <c r="P12514" s="8" t="s">
        <v>52432</v>
      </c>
      <c r="Q12514" s="8">
        <f>-(27+6/60+22/3600)</f>
        <v>-27.106111111111112</v>
      </c>
      <c r="R12514" s="8">
        <v>13</v>
      </c>
      <c r="S12514" s="8">
        <v>12.9</v>
      </c>
      <c r="T12514" s="8">
        <v>99</v>
      </c>
      <c r="U12514" s="8">
        <v>99</v>
      </c>
      <c r="V12514" s="8">
        <v>0.25</v>
      </c>
      <c r="Y12514" s="8" t="s">
        <v>52433</v>
      </c>
      <c r="Z12514" s="8" t="s">
        <v>52434</v>
      </c>
    </row>
    <row r="12515" spans="1:26" x14ac:dyDescent="0.2">
      <c r="A12515" s="8">
        <v>12514</v>
      </c>
      <c r="B12515" s="8" t="s">
        <v>52435</v>
      </c>
      <c r="C12515" s="8" t="s">
        <v>52435</v>
      </c>
      <c r="G12515" s="8">
        <v>20</v>
      </c>
      <c r="H12515" s="8" t="s">
        <v>21</v>
      </c>
      <c r="I12515" s="8" t="s">
        <v>22</v>
      </c>
      <c r="J12515" s="8" t="s">
        <v>22</v>
      </c>
      <c r="K12515" s="8" t="s">
        <v>1277</v>
      </c>
      <c r="L12515" s="8" t="s">
        <v>28435</v>
      </c>
      <c r="M12515" s="8" t="s">
        <v>28436</v>
      </c>
      <c r="N12515" s="8" t="s">
        <v>52436</v>
      </c>
      <c r="O12515" s="8">
        <f>18+8/60+13.3/3600</f>
        <v>18.137027777777778</v>
      </c>
      <c r="P12515" s="8" t="s">
        <v>52437</v>
      </c>
      <c r="Q12515" s="8">
        <f>-(62+23/60+42/3600)</f>
        <v>-62.394999999999996</v>
      </c>
      <c r="R12515" s="8">
        <v>14.3</v>
      </c>
      <c r="S12515" s="8">
        <v>15</v>
      </c>
      <c r="T12515" s="8">
        <v>0.7</v>
      </c>
      <c r="U12515" s="8">
        <v>13.2</v>
      </c>
      <c r="V12515" s="8">
        <v>1.1000000000000001</v>
      </c>
      <c r="W12515" s="8">
        <v>0.4</v>
      </c>
      <c r="X12515" s="8">
        <v>89</v>
      </c>
      <c r="Y12515" s="8" t="s">
        <v>52438</v>
      </c>
      <c r="Z12515" s="8" t="s">
        <v>52439</v>
      </c>
    </row>
    <row r="12516" spans="1:26" x14ac:dyDescent="0.2">
      <c r="A12516" s="8">
        <v>12515</v>
      </c>
      <c r="B12516" s="8" t="s">
        <v>52440</v>
      </c>
      <c r="C12516" s="8" t="s">
        <v>52440</v>
      </c>
      <c r="G12516" s="8">
        <v>20</v>
      </c>
      <c r="H12516" s="8" t="s">
        <v>21</v>
      </c>
      <c r="I12516" s="8" t="s">
        <v>329</v>
      </c>
      <c r="J12516" s="8" t="s">
        <v>329</v>
      </c>
      <c r="K12516" s="8" t="s">
        <v>329</v>
      </c>
      <c r="L12516" s="8" t="s">
        <v>26994</v>
      </c>
      <c r="M12516" s="8" t="s">
        <v>26995</v>
      </c>
      <c r="N12516" s="8" t="s">
        <v>52441</v>
      </c>
      <c r="O12516" s="8">
        <f>18+3/60+10/3600</f>
        <v>18.052777777777777</v>
      </c>
      <c r="P12516" s="8" t="s">
        <v>52442</v>
      </c>
      <c r="Q12516" s="8">
        <f>-(9+15/60+36/3600)</f>
        <v>-9.26</v>
      </c>
      <c r="R12516" s="8">
        <v>99</v>
      </c>
      <c r="S12516" s="8">
        <v>99</v>
      </c>
      <c r="T12516" s="8">
        <v>99</v>
      </c>
      <c r="U12516" s="8">
        <v>99</v>
      </c>
      <c r="Y12516" s="8" t="s">
        <v>52443</v>
      </c>
      <c r="Z12516" s="8" t="s">
        <v>52444</v>
      </c>
    </row>
    <row r="12517" spans="1:26" x14ac:dyDescent="0.2">
      <c r="A12517" s="8">
        <v>12516</v>
      </c>
      <c r="B12517" s="8" t="s">
        <v>52445</v>
      </c>
      <c r="C12517" s="8" t="s">
        <v>52445</v>
      </c>
      <c r="G12517" s="8">
        <v>20</v>
      </c>
      <c r="H12517" s="8" t="s">
        <v>21</v>
      </c>
      <c r="I12517" s="8" t="s">
        <v>22</v>
      </c>
      <c r="J12517" s="8" t="s">
        <v>22</v>
      </c>
      <c r="K12517" s="8" t="s">
        <v>449</v>
      </c>
      <c r="L12517" s="8" t="s">
        <v>26994</v>
      </c>
      <c r="M12517" s="8" t="s">
        <v>26995</v>
      </c>
      <c r="N12517" s="8" t="s">
        <v>52446</v>
      </c>
      <c r="O12517" s="8">
        <f>18+2/60+53/3600</f>
        <v>18.048055555555557</v>
      </c>
      <c r="P12517" s="8" t="s">
        <v>52447</v>
      </c>
      <c r="Q12517" s="8">
        <f>+(11+49/60+23/3600)</f>
        <v>11.823055555555555</v>
      </c>
      <c r="R12517" s="8">
        <v>14.8</v>
      </c>
      <c r="S12517" s="8">
        <v>15.6</v>
      </c>
      <c r="T12517" s="8">
        <v>0.8</v>
      </c>
      <c r="U12517" s="8">
        <v>12</v>
      </c>
      <c r="V12517" s="8">
        <v>0.3</v>
      </c>
      <c r="W12517" s="8">
        <v>0.3</v>
      </c>
      <c r="Y12517" s="8" t="s">
        <v>266</v>
      </c>
      <c r="Z12517" s="8" t="s">
        <v>267</v>
      </c>
    </row>
    <row r="12518" spans="1:26" x14ac:dyDescent="0.2">
      <c r="A12518" s="8">
        <v>12517</v>
      </c>
      <c r="B12518" s="8" t="s">
        <v>52448</v>
      </c>
      <c r="C12518" s="8" t="s">
        <v>52448</v>
      </c>
      <c r="G12518" s="8">
        <v>20</v>
      </c>
      <c r="H12518" s="8" t="s">
        <v>21</v>
      </c>
      <c r="I12518" s="8" t="s">
        <v>241</v>
      </c>
      <c r="J12518" s="8" t="s">
        <v>241</v>
      </c>
      <c r="K12518" s="8" t="s">
        <v>241</v>
      </c>
      <c r="L12518" s="8" t="s">
        <v>13395</v>
      </c>
      <c r="M12518" s="8" t="s">
        <v>13396</v>
      </c>
      <c r="N12518" s="8" t="s">
        <v>52449</v>
      </c>
      <c r="O12518" s="8">
        <f>17+58/60+15.7/3600</f>
        <v>17.971027777777778</v>
      </c>
      <c r="P12518" s="8" t="s">
        <v>52450</v>
      </c>
      <c r="Q12518" s="8">
        <f>+(66+38/60+2/3600)</f>
        <v>66.63388888888889</v>
      </c>
      <c r="R12518" s="8">
        <v>99</v>
      </c>
      <c r="S12518" s="8">
        <v>15.7</v>
      </c>
      <c r="T12518" s="8">
        <v>99</v>
      </c>
      <c r="U12518" s="8">
        <v>99</v>
      </c>
      <c r="V12518" s="8">
        <v>1.1000000000000001</v>
      </c>
      <c r="W12518" s="8">
        <v>0.7</v>
      </c>
      <c r="X12518" s="8">
        <v>60</v>
      </c>
      <c r="Y12518" s="8" t="s">
        <v>52451</v>
      </c>
      <c r="Z12518" s="8" t="s">
        <v>52452</v>
      </c>
    </row>
    <row r="12519" spans="1:26" x14ac:dyDescent="0.2">
      <c r="A12519" s="8">
        <v>12518</v>
      </c>
      <c r="B12519" s="8" t="s">
        <v>52453</v>
      </c>
      <c r="C12519" s="8" t="s">
        <v>52453</v>
      </c>
      <c r="G12519" s="8">
        <v>20</v>
      </c>
      <c r="H12519" s="8" t="s">
        <v>21</v>
      </c>
      <c r="I12519" s="8" t="s">
        <v>1283</v>
      </c>
      <c r="J12519" s="8" t="s">
        <v>1283</v>
      </c>
      <c r="K12519" s="8" t="s">
        <v>9495</v>
      </c>
      <c r="L12519" s="8" t="s">
        <v>28576</v>
      </c>
      <c r="M12519" s="8" t="s">
        <v>28577</v>
      </c>
      <c r="N12519" s="8" t="s">
        <v>52454</v>
      </c>
      <c r="O12519" s="8">
        <f>18+6/60+33.4/3600</f>
        <v>18.10927777777778</v>
      </c>
      <c r="P12519" s="8" t="s">
        <v>52455</v>
      </c>
      <c r="Q12519" s="8">
        <f>-(23+57/60+16/3600)</f>
        <v>-23.954444444444444</v>
      </c>
      <c r="R12519" s="8">
        <v>99</v>
      </c>
      <c r="S12519" s="8">
        <v>99</v>
      </c>
      <c r="T12519" s="8">
        <v>99</v>
      </c>
      <c r="U12519" s="8">
        <v>99</v>
      </c>
      <c r="Y12519" s="8" t="s">
        <v>52456</v>
      </c>
      <c r="Z12519" s="8" t="s">
        <v>52457</v>
      </c>
    </row>
    <row r="12520" spans="1:26" x14ac:dyDescent="0.2">
      <c r="A12520" s="8">
        <v>12519</v>
      </c>
      <c r="B12520" s="8" t="s">
        <v>52458</v>
      </c>
      <c r="C12520" s="8" t="s">
        <v>52458</v>
      </c>
      <c r="G12520" s="8">
        <v>20</v>
      </c>
      <c r="H12520" s="8" t="s">
        <v>21</v>
      </c>
      <c r="I12520" s="8" t="s">
        <v>22</v>
      </c>
      <c r="J12520" s="8" t="s">
        <v>22</v>
      </c>
      <c r="K12520" s="8" t="s">
        <v>64</v>
      </c>
      <c r="L12520" s="8" t="s">
        <v>29246</v>
      </c>
      <c r="M12520" s="8" t="s">
        <v>29247</v>
      </c>
      <c r="N12520" s="8" t="s">
        <v>52459</v>
      </c>
      <c r="O12520" s="8">
        <f>18+11/60+24.2/3600</f>
        <v>18.190055555555556</v>
      </c>
      <c r="P12520" s="8" t="s">
        <v>52460</v>
      </c>
      <c r="Q12520" s="8">
        <f>-(56+15/60+13/3600)</f>
        <v>-56.253611111111113</v>
      </c>
      <c r="R12520" s="8">
        <v>13.1</v>
      </c>
      <c r="S12520" s="8">
        <v>13.8</v>
      </c>
      <c r="T12520" s="8">
        <v>0.7</v>
      </c>
      <c r="U12520" s="8">
        <v>13.7</v>
      </c>
      <c r="V12520" s="8">
        <v>2.2000000000000002</v>
      </c>
      <c r="W12520" s="8">
        <v>0.9</v>
      </c>
      <c r="X12520" s="8">
        <v>99</v>
      </c>
      <c r="Y12520" s="8" t="s">
        <v>52461</v>
      </c>
      <c r="Z12520" s="8" t="s">
        <v>52462</v>
      </c>
    </row>
    <row r="12521" spans="1:26" x14ac:dyDescent="0.2">
      <c r="A12521" s="8">
        <v>12520</v>
      </c>
      <c r="B12521" s="8" t="s">
        <v>52463</v>
      </c>
      <c r="C12521" s="8" t="s">
        <v>52463</v>
      </c>
      <c r="G12521" s="8">
        <v>20</v>
      </c>
      <c r="H12521" s="8" t="s">
        <v>21</v>
      </c>
      <c r="I12521" s="8" t="s">
        <v>22</v>
      </c>
      <c r="J12521" s="8" t="s">
        <v>22</v>
      </c>
      <c r="K12521" s="8" t="s">
        <v>406</v>
      </c>
      <c r="L12521" s="8" t="s">
        <v>28435</v>
      </c>
      <c r="M12521" s="8" t="s">
        <v>28436</v>
      </c>
      <c r="N12521" s="8" t="s">
        <v>52464</v>
      </c>
      <c r="O12521" s="8">
        <f>18+13/60+29.5/3600</f>
        <v>18.22486111111111</v>
      </c>
      <c r="P12521" s="8" t="s">
        <v>52465</v>
      </c>
      <c r="Q12521" s="8">
        <f>-(64+28/60+34/3600)</f>
        <v>-64.476111111111109</v>
      </c>
      <c r="R12521" s="8">
        <v>12.8</v>
      </c>
      <c r="S12521" s="8">
        <v>13.6</v>
      </c>
      <c r="T12521" s="8">
        <v>0.8</v>
      </c>
      <c r="U12521" s="8">
        <v>13</v>
      </c>
      <c r="V12521" s="8">
        <v>1.7</v>
      </c>
      <c r="W12521" s="8">
        <v>0.8</v>
      </c>
      <c r="X12521" s="8">
        <v>75</v>
      </c>
      <c r="Y12521" s="8" t="s">
        <v>52466</v>
      </c>
      <c r="Z12521" s="8" t="s">
        <v>52467</v>
      </c>
    </row>
    <row r="12522" spans="1:26" x14ac:dyDescent="0.2">
      <c r="A12522" s="8">
        <v>12521</v>
      </c>
      <c r="B12522" s="8" t="s">
        <v>52468</v>
      </c>
      <c r="C12522" s="8" t="s">
        <v>52468</v>
      </c>
      <c r="G12522" s="8">
        <v>20</v>
      </c>
      <c r="H12522" s="8" t="s">
        <v>21</v>
      </c>
      <c r="I12522" s="8" t="s">
        <v>72</v>
      </c>
      <c r="J12522" s="8" t="s">
        <v>72</v>
      </c>
      <c r="K12522" s="8" t="s">
        <v>20</v>
      </c>
      <c r="L12522" s="8" t="s">
        <v>28576</v>
      </c>
      <c r="M12522" s="8" t="s">
        <v>28577</v>
      </c>
      <c r="N12522" s="8" t="s">
        <v>52469</v>
      </c>
      <c r="O12522" s="8">
        <f>18+8/60+20/3600</f>
        <v>18.138888888888889</v>
      </c>
      <c r="P12522" s="8" t="s">
        <v>52470</v>
      </c>
      <c r="Q12522" s="8">
        <f>-(23+25/60+55/3600)</f>
        <v>-23.431944444444447</v>
      </c>
      <c r="R12522" s="8">
        <v>99</v>
      </c>
      <c r="S12522" s="8">
        <v>9.8000000000000007</v>
      </c>
      <c r="T12522" s="8">
        <v>99</v>
      </c>
      <c r="U12522" s="8">
        <v>99</v>
      </c>
      <c r="Y12522" s="8" t="s">
        <v>52471</v>
      </c>
      <c r="Z12522" s="8" t="s">
        <v>52472</v>
      </c>
    </row>
    <row r="12523" spans="1:26" x14ac:dyDescent="0.2">
      <c r="A12523" s="8">
        <v>12522</v>
      </c>
      <c r="B12523" s="8" t="s">
        <v>52473</v>
      </c>
      <c r="C12523" s="8" t="s">
        <v>52473</v>
      </c>
      <c r="G12523" s="8">
        <v>20</v>
      </c>
      <c r="H12523" s="8" t="s">
        <v>21</v>
      </c>
      <c r="I12523" s="8" t="s">
        <v>22</v>
      </c>
      <c r="J12523" s="8" t="s">
        <v>22</v>
      </c>
      <c r="K12523" s="8" t="s">
        <v>85</v>
      </c>
      <c r="L12523" s="8" t="s">
        <v>28435</v>
      </c>
      <c r="M12523" s="8" t="s">
        <v>28436</v>
      </c>
      <c r="N12523" s="8" t="s">
        <v>52474</v>
      </c>
      <c r="O12523" s="8">
        <f>18+16/60+25.9/3600</f>
        <v>18.27386111111111</v>
      </c>
      <c r="P12523" s="8" t="s">
        <v>52475</v>
      </c>
      <c r="Q12523" s="8">
        <f>-(71+34/60+55/3600)</f>
        <v>-71.581944444444446</v>
      </c>
      <c r="R12523" s="8">
        <v>12.2</v>
      </c>
      <c r="S12523" s="8">
        <v>13</v>
      </c>
      <c r="T12523" s="8">
        <v>0.8</v>
      </c>
      <c r="U12523" s="8">
        <v>13.5</v>
      </c>
      <c r="V12523" s="8">
        <v>2.2999999999999998</v>
      </c>
      <c r="W12523" s="8">
        <v>1.6</v>
      </c>
      <c r="X12523" s="8">
        <v>144</v>
      </c>
      <c r="Y12523" s="8" t="s">
        <v>52476</v>
      </c>
      <c r="Z12523" s="8" t="s">
        <v>52477</v>
      </c>
    </row>
    <row r="12524" spans="1:26" x14ac:dyDescent="0.2">
      <c r="A12524" s="8">
        <v>12523</v>
      </c>
      <c r="B12524" s="8" t="s">
        <v>52478</v>
      </c>
      <c r="C12524" s="8" t="s">
        <v>52478</v>
      </c>
      <c r="G12524" s="8">
        <v>20</v>
      </c>
      <c r="H12524" s="8" t="s">
        <v>21</v>
      </c>
      <c r="I12524" s="8" t="s">
        <v>72</v>
      </c>
      <c r="J12524" s="8" t="s">
        <v>72</v>
      </c>
      <c r="K12524" s="8" t="s">
        <v>10045</v>
      </c>
      <c r="L12524" s="8" t="s">
        <v>28576</v>
      </c>
      <c r="M12524" s="8" t="s">
        <v>28577</v>
      </c>
      <c r="N12524" s="8" t="s">
        <v>29104</v>
      </c>
      <c r="O12524" s="8">
        <f>18+9/60+0/3600</f>
        <v>18.149999999999999</v>
      </c>
      <c r="P12524" s="8" t="s">
        <v>52479</v>
      </c>
      <c r="Q12524" s="8">
        <f>-(26+14/60+0/3600)</f>
        <v>-26.233333333333334</v>
      </c>
      <c r="R12524" s="8">
        <v>99</v>
      </c>
      <c r="S12524" s="8">
        <v>99</v>
      </c>
      <c r="T12524" s="8">
        <v>99</v>
      </c>
      <c r="U12524" s="8">
        <v>99</v>
      </c>
      <c r="Y12524" s="8" t="s">
        <v>41734</v>
      </c>
      <c r="Z12524" s="8" t="s">
        <v>41735</v>
      </c>
    </row>
    <row r="12525" spans="1:26" x14ac:dyDescent="0.2">
      <c r="A12525" s="8">
        <v>12524</v>
      </c>
      <c r="B12525" s="8" t="s">
        <v>52480</v>
      </c>
      <c r="C12525" s="8" t="s">
        <v>52480</v>
      </c>
      <c r="G12525" s="8">
        <v>13</v>
      </c>
      <c r="H12525" s="8" t="s">
        <v>21</v>
      </c>
      <c r="I12525" s="8" t="s">
        <v>1283</v>
      </c>
      <c r="J12525" s="8" t="s">
        <v>1283</v>
      </c>
      <c r="K12525" s="8" t="s">
        <v>9495</v>
      </c>
      <c r="L12525" s="8" t="s">
        <v>28576</v>
      </c>
      <c r="M12525" s="8" t="s">
        <v>28577</v>
      </c>
      <c r="N12525" s="8" t="s">
        <v>52481</v>
      </c>
      <c r="O12525" s="8">
        <f>18+9/60+8.6/3600</f>
        <v>18.152388888888886</v>
      </c>
      <c r="P12525" s="8" t="s">
        <v>52482</v>
      </c>
      <c r="Q12525" s="8">
        <f>-(23+26/60+9/3600)</f>
        <v>-23.435833333333335</v>
      </c>
      <c r="R12525" s="8">
        <v>99</v>
      </c>
      <c r="S12525" s="8">
        <v>99</v>
      </c>
      <c r="T12525" s="8">
        <v>99</v>
      </c>
      <c r="U12525" s="8">
        <v>99</v>
      </c>
      <c r="V12525" s="8">
        <v>3</v>
      </c>
      <c r="W12525" s="8">
        <v>2</v>
      </c>
      <c r="Y12525" s="8" t="s">
        <v>52471</v>
      </c>
      <c r="Z12525" s="8" t="s">
        <v>52472</v>
      </c>
    </row>
    <row r="12526" spans="1:26" x14ac:dyDescent="0.2">
      <c r="A12526" s="8">
        <v>12525</v>
      </c>
      <c r="B12526" s="8" t="s">
        <v>52483</v>
      </c>
      <c r="C12526" s="8" t="s">
        <v>52483</v>
      </c>
      <c r="G12526" s="8">
        <v>20</v>
      </c>
      <c r="H12526" s="8" t="s">
        <v>21</v>
      </c>
      <c r="I12526" s="8" t="s">
        <v>557</v>
      </c>
      <c r="J12526" s="8" t="s">
        <v>557</v>
      </c>
      <c r="K12526" s="8" t="s">
        <v>10468</v>
      </c>
      <c r="L12526" s="8" t="s">
        <v>28576</v>
      </c>
      <c r="M12526" s="8" t="s">
        <v>28577</v>
      </c>
      <c r="N12526" s="8" t="s">
        <v>52484</v>
      </c>
      <c r="O12526" s="8">
        <f>18+9/60+17.4/3600</f>
        <v>18.154833333333332</v>
      </c>
      <c r="P12526" s="8" t="s">
        <v>52485</v>
      </c>
      <c r="Q12526" s="8">
        <f>-(23+59/60+14/3600)</f>
        <v>-23.987222222222222</v>
      </c>
      <c r="R12526" s="8">
        <v>99</v>
      </c>
      <c r="S12526" s="8">
        <v>99</v>
      </c>
      <c r="T12526" s="8">
        <v>99</v>
      </c>
      <c r="U12526" s="8">
        <v>99</v>
      </c>
      <c r="V12526" s="8">
        <v>15</v>
      </c>
      <c r="W12526" s="8">
        <v>10</v>
      </c>
      <c r="Y12526" s="8" t="s">
        <v>52486</v>
      </c>
      <c r="Z12526" s="8" t="s">
        <v>52487</v>
      </c>
    </row>
    <row r="12527" spans="1:26" x14ac:dyDescent="0.2">
      <c r="A12527" s="8">
        <v>12526</v>
      </c>
      <c r="B12527" s="8" t="s">
        <v>52488</v>
      </c>
      <c r="C12527" s="8" t="s">
        <v>52488</v>
      </c>
      <c r="G12527" s="8">
        <v>20</v>
      </c>
      <c r="H12527" s="8" t="s">
        <v>21</v>
      </c>
      <c r="I12527" s="8" t="s">
        <v>22</v>
      </c>
      <c r="J12527" s="8" t="s">
        <v>22</v>
      </c>
      <c r="K12527" s="8" t="s">
        <v>449</v>
      </c>
      <c r="L12527" s="8" t="s">
        <v>28435</v>
      </c>
      <c r="M12527" s="8" t="s">
        <v>28436</v>
      </c>
      <c r="N12527" s="8" t="s">
        <v>52489</v>
      </c>
      <c r="O12527" s="8">
        <f>18+13/60+38.7/3600</f>
        <v>18.227416666666667</v>
      </c>
      <c r="P12527" s="8" t="s">
        <v>52490</v>
      </c>
      <c r="Q12527" s="8">
        <f>-(57+43/60+56/3600)</f>
        <v>-57.732222222222227</v>
      </c>
      <c r="R12527" s="8">
        <v>14.2</v>
      </c>
      <c r="S12527" s="8">
        <v>14.8</v>
      </c>
      <c r="T12527" s="8">
        <v>0.6</v>
      </c>
      <c r="U12527" s="8">
        <v>12.3</v>
      </c>
      <c r="V12527" s="8">
        <v>0.6</v>
      </c>
      <c r="W12527" s="8">
        <v>0.5</v>
      </c>
      <c r="X12527" s="8">
        <v>125</v>
      </c>
      <c r="Y12527" s="8" t="s">
        <v>46310</v>
      </c>
      <c r="Z12527" s="8" t="s">
        <v>46311</v>
      </c>
    </row>
    <row r="12528" spans="1:26" x14ac:dyDescent="0.2">
      <c r="A12528" s="8">
        <v>12527</v>
      </c>
      <c r="B12528" s="8" t="s">
        <v>52491</v>
      </c>
      <c r="C12528" s="8" t="s">
        <v>52491</v>
      </c>
      <c r="G12528" s="8">
        <v>20</v>
      </c>
      <c r="H12528" s="8" t="s">
        <v>21</v>
      </c>
      <c r="I12528" s="8" t="s">
        <v>22</v>
      </c>
      <c r="J12528" s="8" t="s">
        <v>22</v>
      </c>
      <c r="K12528" s="8" t="s">
        <v>23</v>
      </c>
      <c r="L12528" s="8" t="s">
        <v>28435</v>
      </c>
      <c r="M12528" s="8" t="s">
        <v>28436</v>
      </c>
      <c r="N12528" s="8" t="s">
        <v>52492</v>
      </c>
      <c r="O12528" s="8">
        <f>18+13/60+39.4/3600</f>
        <v>18.227611111111109</v>
      </c>
      <c r="P12528" s="8" t="s">
        <v>52493</v>
      </c>
      <c r="Q12528" s="8">
        <f>-(57+43/60+32/3600)</f>
        <v>-57.725555555555559</v>
      </c>
      <c r="R12528" s="8">
        <v>13.2</v>
      </c>
      <c r="S12528" s="8">
        <v>14</v>
      </c>
      <c r="T12528" s="8">
        <v>0.8</v>
      </c>
      <c r="U12528" s="8">
        <v>12.2</v>
      </c>
      <c r="V12528" s="8">
        <v>0.9</v>
      </c>
      <c r="W12528" s="8">
        <v>0.5</v>
      </c>
      <c r="X12528" s="8">
        <v>54</v>
      </c>
      <c r="Y12528" s="8" t="s">
        <v>46310</v>
      </c>
      <c r="Z12528" s="8" t="s">
        <v>46311</v>
      </c>
    </row>
    <row r="12529" spans="1:26" x14ac:dyDescent="0.2">
      <c r="A12529" s="8">
        <v>12528</v>
      </c>
      <c r="B12529" s="8" t="s">
        <v>52494</v>
      </c>
      <c r="C12529" s="8" t="s">
        <v>52494</v>
      </c>
      <c r="G12529" s="8">
        <v>20</v>
      </c>
      <c r="H12529" s="8" t="s">
        <v>21</v>
      </c>
      <c r="I12529" s="8" t="s">
        <v>22</v>
      </c>
      <c r="J12529" s="8" t="s">
        <v>22</v>
      </c>
      <c r="K12529" s="8" t="s">
        <v>579</v>
      </c>
      <c r="L12529" s="8" t="s">
        <v>26994</v>
      </c>
      <c r="M12529" s="8" t="s">
        <v>26995</v>
      </c>
      <c r="N12529" s="8" t="s">
        <v>52495</v>
      </c>
      <c r="O12529" s="8">
        <f>18+8/60+11.9/3600</f>
        <v>18.136638888888889</v>
      </c>
      <c r="P12529" s="8" t="s">
        <v>52496</v>
      </c>
      <c r="Q12529" s="8">
        <f>+(11+42/60+43/3600)</f>
        <v>11.711944444444443</v>
      </c>
      <c r="R12529" s="8">
        <v>13.1</v>
      </c>
      <c r="S12529" s="8">
        <v>13.8</v>
      </c>
      <c r="T12529" s="8">
        <v>0.7</v>
      </c>
      <c r="U12529" s="8">
        <v>13.5</v>
      </c>
      <c r="V12529" s="8">
        <v>1.5</v>
      </c>
      <c r="W12529" s="8">
        <v>1.1000000000000001</v>
      </c>
      <c r="X12529" s="8">
        <v>164</v>
      </c>
      <c r="Y12529" s="8" t="s">
        <v>52497</v>
      </c>
      <c r="Z12529" s="8" t="s">
        <v>52498</v>
      </c>
    </row>
    <row r="12530" spans="1:26" x14ac:dyDescent="0.2">
      <c r="A12530" s="8">
        <v>12529</v>
      </c>
      <c r="B12530" s="8" t="s">
        <v>52499</v>
      </c>
      <c r="C12530" s="8" t="s">
        <v>52499</v>
      </c>
      <c r="G12530" s="8">
        <v>20</v>
      </c>
      <c r="H12530" s="8" t="s">
        <v>21</v>
      </c>
      <c r="I12530" s="8" t="s">
        <v>22</v>
      </c>
      <c r="J12530" s="8" t="s">
        <v>22</v>
      </c>
      <c r="K12530" s="8" t="s">
        <v>91</v>
      </c>
      <c r="L12530" s="8" t="s">
        <v>28435</v>
      </c>
      <c r="M12530" s="8" t="s">
        <v>28436</v>
      </c>
      <c r="N12530" s="8" t="s">
        <v>52500</v>
      </c>
      <c r="O12530" s="8">
        <f>18+13/60+40.3/3600</f>
        <v>18.22786111111111</v>
      </c>
      <c r="P12530" s="8" t="s">
        <v>52501</v>
      </c>
      <c r="Q12530" s="8">
        <f>-(57+44/60+54/3600)</f>
        <v>-57.748333333333335</v>
      </c>
      <c r="R12530" s="8">
        <v>13.9</v>
      </c>
      <c r="S12530" s="8">
        <v>14.8</v>
      </c>
      <c r="T12530" s="8">
        <v>0.9</v>
      </c>
      <c r="U12530" s="8">
        <v>12.3</v>
      </c>
      <c r="V12530" s="8">
        <v>0.9</v>
      </c>
      <c r="W12530" s="8">
        <v>0.3</v>
      </c>
      <c r="X12530" s="8">
        <v>143</v>
      </c>
      <c r="Y12530" s="8" t="s">
        <v>46310</v>
      </c>
      <c r="Z12530" s="8" t="s">
        <v>46311</v>
      </c>
    </row>
    <row r="12531" spans="1:26" x14ac:dyDescent="0.2">
      <c r="A12531" s="8">
        <v>12530</v>
      </c>
      <c r="B12531" s="8" t="s">
        <v>52502</v>
      </c>
      <c r="C12531" s="8" t="s">
        <v>52502</v>
      </c>
      <c r="G12531" s="8">
        <v>20</v>
      </c>
      <c r="H12531" s="8" t="s">
        <v>21</v>
      </c>
      <c r="I12531" s="8" t="s">
        <v>1283</v>
      </c>
      <c r="J12531" s="8" t="s">
        <v>57</v>
      </c>
      <c r="K12531" s="8" t="s">
        <v>6208</v>
      </c>
      <c r="L12531" s="8" t="s">
        <v>28576</v>
      </c>
      <c r="M12531" s="8" t="s">
        <v>28577</v>
      </c>
      <c r="N12531" s="8" t="s">
        <v>29269</v>
      </c>
      <c r="O12531" s="8">
        <f>18+16/60+51.7/3600</f>
        <v>18.281027777777776</v>
      </c>
      <c r="P12531" s="8" t="s">
        <v>29270</v>
      </c>
      <c r="Q12531" s="8">
        <f>-(19+46/60+41/3600)</f>
        <v>-19.778055555555554</v>
      </c>
      <c r="R12531" s="8">
        <v>99</v>
      </c>
      <c r="S12531" s="8">
        <v>99</v>
      </c>
      <c r="T12531" s="8">
        <v>99</v>
      </c>
      <c r="U12531" s="8">
        <v>99</v>
      </c>
      <c r="V12531" s="8">
        <v>5</v>
      </c>
      <c r="W12531" s="8">
        <v>3</v>
      </c>
      <c r="Y12531" s="8" t="s">
        <v>52503</v>
      </c>
      <c r="Z12531" s="8" t="s">
        <v>52504</v>
      </c>
    </row>
    <row r="12532" spans="1:26" x14ac:dyDescent="0.2">
      <c r="A12532" s="8">
        <v>12531</v>
      </c>
      <c r="B12532" s="8" t="s">
        <v>52505</v>
      </c>
      <c r="C12532" s="8" t="s">
        <v>52505</v>
      </c>
      <c r="G12532" s="8">
        <v>20</v>
      </c>
      <c r="H12532" s="8" t="s">
        <v>21</v>
      </c>
      <c r="I12532" s="8" t="s">
        <v>22</v>
      </c>
      <c r="J12532" s="8" t="s">
        <v>22</v>
      </c>
      <c r="K12532" s="8" t="s">
        <v>449</v>
      </c>
      <c r="L12532" s="8" t="s">
        <v>26994</v>
      </c>
      <c r="M12532" s="8" t="s">
        <v>26995</v>
      </c>
      <c r="N12532" s="8" t="s">
        <v>52506</v>
      </c>
      <c r="O12532" s="8">
        <f>18+8/60+45.6/3600</f>
        <v>18.146000000000001</v>
      </c>
      <c r="P12532" s="8" t="s">
        <v>52507</v>
      </c>
      <c r="Q12532" s="8">
        <f>+(11+49/60+44/3600)</f>
        <v>11.828888888888889</v>
      </c>
      <c r="R12532" s="8">
        <v>14.7</v>
      </c>
      <c r="S12532" s="8">
        <v>15.5</v>
      </c>
      <c r="T12532" s="8">
        <v>0.8</v>
      </c>
      <c r="U12532" s="8">
        <v>13.8</v>
      </c>
      <c r="V12532" s="8">
        <v>0.8</v>
      </c>
      <c r="W12532" s="8">
        <v>0.6</v>
      </c>
      <c r="X12532" s="8">
        <v>170</v>
      </c>
      <c r="Y12532" s="8" t="s">
        <v>52508</v>
      </c>
      <c r="Z12532" s="8" t="s">
        <v>52509</v>
      </c>
    </row>
    <row r="12533" spans="1:26" x14ac:dyDescent="0.2">
      <c r="A12533" s="8">
        <v>12532</v>
      </c>
      <c r="B12533" s="8" t="s">
        <v>52510</v>
      </c>
      <c r="C12533" s="8" t="s">
        <v>52510</v>
      </c>
      <c r="G12533" s="8">
        <v>20</v>
      </c>
      <c r="H12533" s="8" t="s">
        <v>21</v>
      </c>
      <c r="I12533" s="8" t="s">
        <v>22</v>
      </c>
      <c r="J12533" s="8" t="s">
        <v>22</v>
      </c>
      <c r="K12533" s="8" t="s">
        <v>64</v>
      </c>
      <c r="L12533" s="8" t="s">
        <v>28435</v>
      </c>
      <c r="M12533" s="8" t="s">
        <v>28436</v>
      </c>
      <c r="N12533" s="8" t="s">
        <v>52511</v>
      </c>
      <c r="O12533" s="8">
        <f>18+14/60+50/3600</f>
        <v>18.247222222222224</v>
      </c>
      <c r="P12533" s="8" t="s">
        <v>52512</v>
      </c>
      <c r="Q12533" s="8">
        <f>-(58+41/60+39/3600)</f>
        <v>-58.694166666666661</v>
      </c>
      <c r="R12533" s="8">
        <v>13.3</v>
      </c>
      <c r="S12533" s="8">
        <v>14</v>
      </c>
      <c r="T12533" s="8">
        <v>0.7</v>
      </c>
      <c r="U12533" s="8">
        <v>13.7</v>
      </c>
      <c r="V12533" s="8">
        <v>1.8</v>
      </c>
      <c r="W12533" s="8">
        <v>0.9</v>
      </c>
      <c r="X12533" s="8">
        <v>0</v>
      </c>
      <c r="Y12533" s="8" t="s">
        <v>52513</v>
      </c>
      <c r="Z12533" s="8" t="s">
        <v>52514</v>
      </c>
    </row>
    <row r="12534" spans="1:26" x14ac:dyDescent="0.2">
      <c r="A12534" s="8">
        <v>12533</v>
      </c>
      <c r="B12534" s="8" t="s">
        <v>52515</v>
      </c>
      <c r="C12534" s="8" t="s">
        <v>52515</v>
      </c>
      <c r="G12534" s="8">
        <v>20</v>
      </c>
      <c r="H12534" s="8" t="s">
        <v>21</v>
      </c>
      <c r="I12534" s="8" t="s">
        <v>72</v>
      </c>
      <c r="J12534" s="8" t="s">
        <v>72</v>
      </c>
      <c r="K12534" s="8" t="s">
        <v>1802</v>
      </c>
      <c r="L12534" s="8" t="s">
        <v>26804</v>
      </c>
      <c r="M12534" s="8" t="s">
        <v>26805</v>
      </c>
      <c r="N12534" s="8" t="s">
        <v>52516</v>
      </c>
      <c r="O12534" s="8">
        <f>18+9/60+10.8/3600</f>
        <v>18.152999999999999</v>
      </c>
      <c r="P12534" s="8" t="s">
        <v>52517</v>
      </c>
      <c r="Q12534" s="8">
        <f>+(17+20/60+52/3600)</f>
        <v>17.347777777777775</v>
      </c>
      <c r="R12534" s="8">
        <v>99</v>
      </c>
      <c r="S12534" s="8">
        <v>99</v>
      </c>
      <c r="T12534" s="8">
        <v>99</v>
      </c>
      <c r="U12534" s="8">
        <v>99</v>
      </c>
      <c r="Y12534" s="8" t="s">
        <v>52518</v>
      </c>
      <c r="Z12534" s="8" t="s">
        <v>52519</v>
      </c>
    </row>
    <row r="12535" spans="1:26" x14ac:dyDescent="0.2">
      <c r="A12535" s="8">
        <v>12534</v>
      </c>
      <c r="B12535" s="8" t="s">
        <v>52520</v>
      </c>
      <c r="C12535" s="8" t="s">
        <v>52520</v>
      </c>
      <c r="G12535" s="8">
        <v>20</v>
      </c>
      <c r="H12535" s="8" t="s">
        <v>21</v>
      </c>
      <c r="I12535" s="8" t="s">
        <v>22</v>
      </c>
      <c r="J12535" s="8" t="s">
        <v>22</v>
      </c>
      <c r="K12535" s="8" t="s">
        <v>64</v>
      </c>
      <c r="L12535" s="8" t="s">
        <v>28435</v>
      </c>
      <c r="M12535" s="8" t="s">
        <v>28436</v>
      </c>
      <c r="N12535" s="8" t="s">
        <v>52521</v>
      </c>
      <c r="O12535" s="8">
        <f>18+15/60+27.2/3600</f>
        <v>18.257555555555555</v>
      </c>
      <c r="P12535" s="8" t="s">
        <v>52522</v>
      </c>
      <c r="Q12535" s="8">
        <f>-(58+12/60+30/3600)</f>
        <v>-58.208333333333336</v>
      </c>
      <c r="R12535" s="8">
        <v>13</v>
      </c>
      <c r="S12535" s="8">
        <v>13.7</v>
      </c>
      <c r="T12535" s="8">
        <v>0.7</v>
      </c>
      <c r="U12535" s="8">
        <v>13.5</v>
      </c>
      <c r="V12535" s="8">
        <v>2.2999999999999998</v>
      </c>
      <c r="W12535" s="8">
        <v>0.9</v>
      </c>
      <c r="X12535" s="8">
        <v>18</v>
      </c>
      <c r="Y12535" s="8" t="s">
        <v>52523</v>
      </c>
      <c r="Z12535" s="8" t="s">
        <v>52524</v>
      </c>
    </row>
    <row r="12536" spans="1:26" x14ac:dyDescent="0.2">
      <c r="A12536" s="8">
        <v>12535</v>
      </c>
      <c r="B12536" s="8" t="s">
        <v>52525</v>
      </c>
      <c r="C12536" s="8" t="s">
        <v>52525</v>
      </c>
      <c r="G12536" s="8">
        <v>20</v>
      </c>
      <c r="H12536" s="8" t="s">
        <v>21</v>
      </c>
      <c r="I12536" s="8" t="s">
        <v>72</v>
      </c>
      <c r="J12536" s="8" t="s">
        <v>72</v>
      </c>
      <c r="K12536" s="8" t="s">
        <v>73</v>
      </c>
      <c r="L12536" s="8" t="s">
        <v>28435</v>
      </c>
      <c r="M12536" s="8" t="s">
        <v>28436</v>
      </c>
      <c r="N12536" s="8" t="s">
        <v>52526</v>
      </c>
      <c r="O12536" s="8">
        <f>18+17/60+23.8/3600</f>
        <v>18.289944444444448</v>
      </c>
      <c r="P12536" s="8" t="s">
        <v>52527</v>
      </c>
      <c r="Q12536" s="8">
        <f>-(58+55/60+32/3600)</f>
        <v>-58.925555555555555</v>
      </c>
      <c r="R12536" s="8">
        <v>99</v>
      </c>
      <c r="S12536" s="8">
        <v>99</v>
      </c>
      <c r="T12536" s="8">
        <v>99</v>
      </c>
      <c r="U12536" s="8">
        <v>99</v>
      </c>
      <c r="Y12536" s="8" t="s">
        <v>52528</v>
      </c>
      <c r="Z12536" s="8" t="s">
        <v>52529</v>
      </c>
    </row>
    <row r="12537" spans="1:26" x14ac:dyDescent="0.2">
      <c r="A12537" s="8">
        <v>12536</v>
      </c>
      <c r="B12537" s="8" t="s">
        <v>52530</v>
      </c>
      <c r="C12537" s="8" t="s">
        <v>52530</v>
      </c>
      <c r="G12537" s="8">
        <v>20</v>
      </c>
      <c r="H12537" s="8" t="s">
        <v>21</v>
      </c>
      <c r="I12537" s="8" t="s">
        <v>22</v>
      </c>
      <c r="J12537" s="8" t="s">
        <v>22</v>
      </c>
      <c r="K12537" s="8" t="s">
        <v>396</v>
      </c>
      <c r="L12537" s="8" t="s">
        <v>28435</v>
      </c>
      <c r="M12537" s="8" t="s">
        <v>28436</v>
      </c>
      <c r="N12537" s="8" t="s">
        <v>52531</v>
      </c>
      <c r="O12537" s="8">
        <f>18+20/60+18/3600</f>
        <v>18.338333333333331</v>
      </c>
      <c r="P12537" s="8" t="s">
        <v>52532</v>
      </c>
      <c r="Q12537" s="8">
        <f>-(64+43/60+58/3600)</f>
        <v>-64.732777777777784</v>
      </c>
      <c r="R12537" s="8">
        <v>12.4</v>
      </c>
      <c r="S12537" s="8">
        <v>13.2</v>
      </c>
      <c r="T12537" s="8">
        <v>0.8</v>
      </c>
      <c r="U12537" s="8">
        <v>13</v>
      </c>
      <c r="V12537" s="8">
        <v>2.4</v>
      </c>
      <c r="W12537" s="8">
        <v>0.9</v>
      </c>
      <c r="X12537" s="8">
        <v>77</v>
      </c>
      <c r="Y12537" s="8" t="s">
        <v>52533</v>
      </c>
      <c r="Z12537" s="8" t="s">
        <v>52534</v>
      </c>
    </row>
    <row r="12538" spans="1:26" x14ac:dyDescent="0.2">
      <c r="A12538" s="8">
        <v>12537</v>
      </c>
      <c r="B12538" s="8" t="s">
        <v>52535</v>
      </c>
      <c r="C12538" s="8" t="s">
        <v>52535</v>
      </c>
      <c r="G12538" s="8">
        <v>20</v>
      </c>
      <c r="H12538" s="8" t="s">
        <v>21</v>
      </c>
      <c r="I12538" s="8" t="s">
        <v>22</v>
      </c>
      <c r="J12538" s="8" t="s">
        <v>22</v>
      </c>
      <c r="K12538" s="8" t="s">
        <v>449</v>
      </c>
      <c r="L12538" s="8" t="s">
        <v>26804</v>
      </c>
      <c r="M12538" s="8" t="s">
        <v>26805</v>
      </c>
      <c r="N12538" s="8" t="s">
        <v>52536</v>
      </c>
      <c r="O12538" s="8">
        <f>18+12/60+27/3600</f>
        <v>18.2075</v>
      </c>
      <c r="P12538" s="8" t="s">
        <v>52537</v>
      </c>
      <c r="Q12538" s="8">
        <f>+(25+25/60+38/3600)</f>
        <v>25.427222222222223</v>
      </c>
      <c r="R12538" s="8">
        <v>14.4</v>
      </c>
      <c r="S12538" s="8">
        <v>15.2</v>
      </c>
      <c r="T12538" s="8">
        <v>0.8</v>
      </c>
      <c r="U12538" s="8">
        <v>12.4</v>
      </c>
      <c r="V12538" s="8">
        <v>0.9</v>
      </c>
      <c r="W12538" s="8">
        <v>0.2</v>
      </c>
      <c r="X12538" s="8">
        <v>0</v>
      </c>
      <c r="Y12538" s="8" t="s">
        <v>11914</v>
      </c>
      <c r="Z12538" s="8" t="s">
        <v>11915</v>
      </c>
    </row>
    <row r="12539" spans="1:26" x14ac:dyDescent="0.2">
      <c r="A12539" s="8">
        <v>12538</v>
      </c>
      <c r="B12539" s="8" t="s">
        <v>52538</v>
      </c>
      <c r="C12539" s="8" t="s">
        <v>52538</v>
      </c>
      <c r="G12539" s="8">
        <v>20</v>
      </c>
      <c r="H12539" s="8" t="s">
        <v>21</v>
      </c>
      <c r="I12539" s="8" t="s">
        <v>22</v>
      </c>
      <c r="J12539" s="8" t="s">
        <v>22</v>
      </c>
      <c r="K12539" s="8" t="s">
        <v>396</v>
      </c>
      <c r="L12539" s="8" t="s">
        <v>28435</v>
      </c>
      <c r="M12539" s="8" t="s">
        <v>28436</v>
      </c>
      <c r="N12539" s="8" t="s">
        <v>52539</v>
      </c>
      <c r="O12539" s="8">
        <f>18+21/60+0/3600</f>
        <v>18.350000000000001</v>
      </c>
      <c r="P12539" s="8" t="s">
        <v>52540</v>
      </c>
      <c r="Q12539" s="8">
        <f>-(63+20/60+51/3600)</f>
        <v>-63.347500000000004</v>
      </c>
      <c r="R12539" s="8">
        <v>14.2</v>
      </c>
      <c r="S12539" s="8">
        <v>15</v>
      </c>
      <c r="T12539" s="8">
        <v>0.8</v>
      </c>
      <c r="U12539" s="8">
        <v>13</v>
      </c>
      <c r="V12539" s="8">
        <v>1.3</v>
      </c>
      <c r="W12539" s="8">
        <v>0.3</v>
      </c>
      <c r="X12539" s="8">
        <v>39</v>
      </c>
      <c r="Y12539" s="8" t="s">
        <v>52541</v>
      </c>
      <c r="Z12539" s="8" t="s">
        <v>52542</v>
      </c>
    </row>
    <row r="12540" spans="1:26" x14ac:dyDescent="0.2">
      <c r="A12540" s="8">
        <v>12539</v>
      </c>
      <c r="B12540" s="8" t="s">
        <v>52543</v>
      </c>
      <c r="C12540" s="8" t="s">
        <v>52543</v>
      </c>
      <c r="G12540" s="8">
        <v>13</v>
      </c>
      <c r="H12540" s="8" t="s">
        <v>21</v>
      </c>
      <c r="I12540" s="8" t="s">
        <v>241</v>
      </c>
      <c r="J12540" s="8" t="s">
        <v>241</v>
      </c>
      <c r="K12540" s="8" t="s">
        <v>241</v>
      </c>
      <c r="L12540" s="8" t="s">
        <v>29246</v>
      </c>
      <c r="M12540" s="8" t="s">
        <v>29247</v>
      </c>
      <c r="N12540" s="8" t="s">
        <v>52544</v>
      </c>
      <c r="O12540" s="8">
        <f>18+18/60+32/3600</f>
        <v>18.308888888888891</v>
      </c>
      <c r="P12540" s="8" t="s">
        <v>52545</v>
      </c>
      <c r="Q12540" s="8">
        <f>-(45+59/60+0/3600)</f>
        <v>-45.983333333333334</v>
      </c>
      <c r="R12540" s="8">
        <v>13</v>
      </c>
      <c r="S12540" s="8">
        <v>11.9</v>
      </c>
      <c r="T12540" s="8">
        <v>99</v>
      </c>
      <c r="U12540" s="8">
        <v>99</v>
      </c>
      <c r="V12540" s="8">
        <v>0.23</v>
      </c>
      <c r="Y12540" s="8" t="s">
        <v>27388</v>
      </c>
      <c r="Z12540" s="8" t="s">
        <v>42798</v>
      </c>
    </row>
    <row r="12541" spans="1:26" x14ac:dyDescent="0.2">
      <c r="A12541" s="8">
        <v>12540</v>
      </c>
      <c r="B12541" s="8" t="s">
        <v>52546</v>
      </c>
      <c r="C12541" s="8" t="s">
        <v>52546</v>
      </c>
      <c r="G12541" s="8">
        <v>20</v>
      </c>
      <c r="H12541" s="8" t="s">
        <v>21</v>
      </c>
      <c r="I12541" s="8" t="s">
        <v>1283</v>
      </c>
      <c r="J12541" s="8" t="s">
        <v>57</v>
      </c>
      <c r="K12541" s="8" t="s">
        <v>1751</v>
      </c>
      <c r="L12541" s="8" t="s">
        <v>28576</v>
      </c>
      <c r="M12541" s="8" t="s">
        <v>28577</v>
      </c>
      <c r="N12541" s="8" t="s">
        <v>29274</v>
      </c>
      <c r="O12541" s="8">
        <f>18+17/60+4.8/3600</f>
        <v>18.28466666666667</v>
      </c>
      <c r="P12541" s="8" t="s">
        <v>29275</v>
      </c>
      <c r="Q12541" s="8">
        <f>-(19+51/60+58/3600)</f>
        <v>-19.866111111111113</v>
      </c>
      <c r="R12541" s="8">
        <v>99</v>
      </c>
      <c r="S12541" s="8">
        <v>7</v>
      </c>
      <c r="T12541" s="8">
        <v>99</v>
      </c>
      <c r="U12541" s="8">
        <v>99</v>
      </c>
      <c r="V12541" s="8">
        <v>11</v>
      </c>
      <c r="Y12541" s="8" t="s">
        <v>52547</v>
      </c>
      <c r="Z12541" s="8" t="s">
        <v>52548</v>
      </c>
    </row>
    <row r="12542" spans="1:26" x14ac:dyDescent="0.2">
      <c r="A12542" s="8">
        <v>12541</v>
      </c>
      <c r="B12542" s="8" t="s">
        <v>52549</v>
      </c>
      <c r="C12542" s="8" t="s">
        <v>52549</v>
      </c>
      <c r="G12542" s="8">
        <v>20</v>
      </c>
      <c r="H12542" s="8" t="s">
        <v>21</v>
      </c>
      <c r="I12542" s="8" t="s">
        <v>1283</v>
      </c>
      <c r="J12542" s="8" t="s">
        <v>1283</v>
      </c>
      <c r="K12542" s="8" t="s">
        <v>1284</v>
      </c>
      <c r="L12542" s="8" t="s">
        <v>28576</v>
      </c>
      <c r="M12542" s="8" t="s">
        <v>28577</v>
      </c>
      <c r="N12542" s="8" t="s">
        <v>52550</v>
      </c>
      <c r="O12542" s="8">
        <f>18+16/60+0/3600</f>
        <v>18.266666666666666</v>
      </c>
      <c r="P12542" s="8" t="s">
        <v>52551</v>
      </c>
      <c r="Q12542" s="8">
        <f>-(16+38/60+0/3600)</f>
        <v>-16.633333333333333</v>
      </c>
      <c r="R12542" s="8">
        <v>99</v>
      </c>
      <c r="S12542" s="8">
        <v>99</v>
      </c>
      <c r="T12542" s="8">
        <v>99</v>
      </c>
      <c r="U12542" s="8">
        <v>99</v>
      </c>
      <c r="V12542" s="8">
        <v>60</v>
      </c>
      <c r="W12542" s="8">
        <v>40</v>
      </c>
      <c r="Y12542" s="8" t="s">
        <v>52552</v>
      </c>
      <c r="Z12542" s="8" t="s">
        <v>52553</v>
      </c>
    </row>
    <row r="12543" spans="1:26" x14ac:dyDescent="0.2">
      <c r="A12543" s="8">
        <v>12542</v>
      </c>
      <c r="B12543" s="8" t="s">
        <v>52554</v>
      </c>
      <c r="C12543" s="8" t="s">
        <v>52554</v>
      </c>
      <c r="G12543" s="8">
        <v>20</v>
      </c>
      <c r="H12543" s="8" t="s">
        <v>21</v>
      </c>
      <c r="I12543" s="8" t="s">
        <v>22</v>
      </c>
      <c r="J12543" s="8" t="s">
        <v>22</v>
      </c>
      <c r="K12543" s="8" t="s">
        <v>435</v>
      </c>
      <c r="L12543" s="8" t="s">
        <v>28435</v>
      </c>
      <c r="M12543" s="8" t="s">
        <v>28436</v>
      </c>
      <c r="N12543" s="8" t="s">
        <v>52555</v>
      </c>
      <c r="O12543" s="8">
        <f>18+23/60+3.9/3600</f>
        <v>18.384416666666667</v>
      </c>
      <c r="P12543" s="8" t="s">
        <v>52556</v>
      </c>
      <c r="Q12543" s="8">
        <f>-(59+14/60+20/3600)</f>
        <v>-59.238888888888887</v>
      </c>
      <c r="R12543" s="8">
        <v>13.1</v>
      </c>
      <c r="S12543" s="8">
        <v>14</v>
      </c>
      <c r="T12543" s="8">
        <v>0.9</v>
      </c>
      <c r="U12543" s="8">
        <v>13.4</v>
      </c>
      <c r="V12543" s="8">
        <v>1.5</v>
      </c>
      <c r="W12543" s="8">
        <v>1</v>
      </c>
      <c r="X12543" s="8">
        <v>151</v>
      </c>
      <c r="Y12543" s="8" t="s">
        <v>52557</v>
      </c>
      <c r="Z12543" s="8" t="s">
        <v>52558</v>
      </c>
    </row>
    <row r="12544" spans="1:26" x14ac:dyDescent="0.2">
      <c r="A12544" s="8">
        <v>12543</v>
      </c>
      <c r="B12544" s="8" t="s">
        <v>52559</v>
      </c>
      <c r="C12544" s="8" t="s">
        <v>52559</v>
      </c>
      <c r="G12544" s="8">
        <v>9</v>
      </c>
      <c r="H12544" s="8" t="s">
        <v>21</v>
      </c>
      <c r="I12544" s="8" t="s">
        <v>1283</v>
      </c>
      <c r="J12544" s="8" t="s">
        <v>1283</v>
      </c>
      <c r="K12544" s="8" t="s">
        <v>1284</v>
      </c>
      <c r="L12544" s="8" t="s">
        <v>26227</v>
      </c>
      <c r="M12544" s="8" t="s">
        <v>26228</v>
      </c>
      <c r="N12544" s="8" t="s">
        <v>52560</v>
      </c>
      <c r="O12544" s="8">
        <f>18+18/60+0/3600</f>
        <v>18.3</v>
      </c>
      <c r="P12544" s="8" t="s">
        <v>52561</v>
      </c>
      <c r="Q12544" s="8">
        <f>-(13+50/60+0/3600)</f>
        <v>-13.833333333333334</v>
      </c>
      <c r="R12544" s="8">
        <v>99</v>
      </c>
      <c r="S12544" s="8">
        <v>99</v>
      </c>
      <c r="T12544" s="8">
        <v>99</v>
      </c>
      <c r="U12544" s="8">
        <v>99</v>
      </c>
      <c r="V12544" s="8">
        <v>35</v>
      </c>
      <c r="W12544" s="8">
        <v>28</v>
      </c>
      <c r="Y12544" s="8" t="s">
        <v>52562</v>
      </c>
      <c r="Z12544" s="8" t="s">
        <v>52563</v>
      </c>
    </row>
    <row r="12545" spans="1:26" x14ac:dyDescent="0.2">
      <c r="A12545" s="8">
        <v>12544</v>
      </c>
      <c r="B12545" s="8" t="s">
        <v>52564</v>
      </c>
      <c r="C12545" s="8" t="s">
        <v>52564</v>
      </c>
      <c r="G12545" s="8">
        <v>20</v>
      </c>
      <c r="H12545" s="8" t="s">
        <v>21</v>
      </c>
      <c r="I12545" s="8" t="s">
        <v>22</v>
      </c>
      <c r="J12545" s="8" t="s">
        <v>22</v>
      </c>
      <c r="K12545" s="8" t="s">
        <v>58</v>
      </c>
      <c r="L12545" s="8" t="s">
        <v>28435</v>
      </c>
      <c r="M12545" s="8" t="s">
        <v>28436</v>
      </c>
      <c r="N12545" s="8" t="s">
        <v>52565</v>
      </c>
      <c r="O12545" s="8">
        <f>18+27/60+53.7/3600</f>
        <v>18.464916666666667</v>
      </c>
      <c r="P12545" s="8" t="s">
        <v>52566</v>
      </c>
      <c r="Q12545" s="8">
        <f>-(71+36/60+33/3600)</f>
        <v>-71.609166666666667</v>
      </c>
      <c r="R12545" s="8">
        <v>12.1</v>
      </c>
      <c r="S12545" s="8">
        <v>13.2</v>
      </c>
      <c r="T12545" s="8">
        <v>1.1000000000000001</v>
      </c>
      <c r="U12545" s="8">
        <v>14</v>
      </c>
      <c r="V12545" s="8">
        <v>1.5</v>
      </c>
      <c r="W12545" s="8">
        <v>1.2</v>
      </c>
      <c r="X12545" s="8">
        <v>165</v>
      </c>
      <c r="Y12545" s="8" t="s">
        <v>44632</v>
      </c>
      <c r="Z12545" s="8" t="s">
        <v>44633</v>
      </c>
    </row>
    <row r="12546" spans="1:26" x14ac:dyDescent="0.2">
      <c r="A12546" s="8">
        <v>12545</v>
      </c>
      <c r="B12546" s="8" t="s">
        <v>52567</v>
      </c>
      <c r="C12546" s="8" t="s">
        <v>52567</v>
      </c>
      <c r="G12546" s="8">
        <v>20</v>
      </c>
      <c r="H12546" s="8" t="s">
        <v>21</v>
      </c>
      <c r="I12546" s="8" t="s">
        <v>22</v>
      </c>
      <c r="J12546" s="8" t="s">
        <v>22</v>
      </c>
      <c r="K12546" s="8" t="s">
        <v>154</v>
      </c>
      <c r="L12546" s="8" t="s">
        <v>28435</v>
      </c>
      <c r="M12546" s="8" t="s">
        <v>28436</v>
      </c>
      <c r="N12546" s="8" t="s">
        <v>52568</v>
      </c>
      <c r="O12546" s="8">
        <f>18+28/60+10.4/3600</f>
        <v>18.469555555555555</v>
      </c>
      <c r="P12546" s="8" t="s">
        <v>52569</v>
      </c>
      <c r="Q12546" s="8">
        <f>-(71+41/60+35/3600)</f>
        <v>-71.69305555555556</v>
      </c>
      <c r="R12546" s="8">
        <v>12.7</v>
      </c>
      <c r="S12546" s="8">
        <v>13.3</v>
      </c>
      <c r="T12546" s="8">
        <v>0.6</v>
      </c>
      <c r="U12546" s="8">
        <v>13.5</v>
      </c>
      <c r="V12546" s="8">
        <v>1.2</v>
      </c>
      <c r="W12546" s="8">
        <v>0.8</v>
      </c>
      <c r="X12546" s="8">
        <v>48</v>
      </c>
      <c r="Y12546" s="8" t="s">
        <v>1829</v>
      </c>
      <c r="Z12546" s="8" t="s">
        <v>1830</v>
      </c>
    </row>
    <row r="12547" spans="1:26" x14ac:dyDescent="0.2">
      <c r="A12547" s="8">
        <v>12546</v>
      </c>
      <c r="B12547" s="8" t="s">
        <v>52570</v>
      </c>
      <c r="C12547" s="8" t="s">
        <v>52570</v>
      </c>
      <c r="G12547" s="8">
        <v>20</v>
      </c>
      <c r="H12547" s="8" t="s">
        <v>21</v>
      </c>
      <c r="I12547" s="8" t="s">
        <v>1283</v>
      </c>
      <c r="J12547" s="8" t="s">
        <v>1283</v>
      </c>
      <c r="K12547" s="8" t="s">
        <v>1284</v>
      </c>
      <c r="L12547" s="8" t="s">
        <v>28576</v>
      </c>
      <c r="M12547" s="8" t="s">
        <v>28577</v>
      </c>
      <c r="N12547" s="8" t="s">
        <v>52571</v>
      </c>
      <c r="O12547" s="8">
        <f>18+19/60+36/3600</f>
        <v>18.326666666666668</v>
      </c>
      <c r="P12547" s="8" t="s">
        <v>52572</v>
      </c>
      <c r="Q12547" s="8">
        <f>-(16+1/60+54/3600)</f>
        <v>-16.031666666666666</v>
      </c>
      <c r="R12547" s="8">
        <v>99</v>
      </c>
      <c r="S12547" s="8">
        <v>99</v>
      </c>
      <c r="T12547" s="8">
        <v>99</v>
      </c>
      <c r="U12547" s="8">
        <v>99</v>
      </c>
      <c r="V12547" s="8">
        <v>5</v>
      </c>
      <c r="W12547" s="8">
        <v>5</v>
      </c>
      <c r="Y12547" s="8" t="s">
        <v>52573</v>
      </c>
      <c r="Z12547" s="8" t="s">
        <v>52574</v>
      </c>
    </row>
    <row r="12548" spans="1:26" x14ac:dyDescent="0.2">
      <c r="A12548" s="8">
        <v>12547</v>
      </c>
      <c r="B12548" s="8" t="s">
        <v>52575</v>
      </c>
      <c r="C12548" s="8" t="s">
        <v>52575</v>
      </c>
      <c r="G12548" s="8">
        <v>20</v>
      </c>
      <c r="H12548" s="8" t="s">
        <v>21</v>
      </c>
      <c r="I12548" s="8" t="s">
        <v>1283</v>
      </c>
      <c r="J12548" s="8" t="s">
        <v>1283</v>
      </c>
      <c r="K12548" s="8" t="s">
        <v>1284</v>
      </c>
      <c r="L12548" s="8" t="s">
        <v>28576</v>
      </c>
      <c r="M12548" s="8" t="s">
        <v>28577</v>
      </c>
      <c r="N12548" s="8" t="s">
        <v>52576</v>
      </c>
      <c r="O12548" s="8">
        <f>18+19/60+54/3600</f>
        <v>18.331666666666667</v>
      </c>
      <c r="P12548" s="8" t="s">
        <v>52577</v>
      </c>
      <c r="Q12548" s="8">
        <f>-(16+0/60+6/3600)</f>
        <v>-16.001666666666665</v>
      </c>
      <c r="R12548" s="8">
        <v>99</v>
      </c>
      <c r="S12548" s="8">
        <v>99</v>
      </c>
      <c r="T12548" s="8">
        <v>99</v>
      </c>
      <c r="U12548" s="8">
        <v>99</v>
      </c>
      <c r="V12548" s="8">
        <v>3.5</v>
      </c>
      <c r="W12548" s="8">
        <v>3.5</v>
      </c>
      <c r="Y12548" s="8" t="s">
        <v>52578</v>
      </c>
      <c r="Z12548" s="8" t="s">
        <v>52579</v>
      </c>
    </row>
    <row r="12549" spans="1:26" x14ac:dyDescent="0.2">
      <c r="A12549" s="8">
        <v>12548</v>
      </c>
      <c r="B12549" s="8" t="s">
        <v>52580</v>
      </c>
      <c r="C12549" s="8" t="s">
        <v>52580</v>
      </c>
      <c r="G12549" s="8">
        <v>20</v>
      </c>
      <c r="H12549" s="8" t="s">
        <v>21</v>
      </c>
      <c r="I12549" s="8" t="s">
        <v>22</v>
      </c>
      <c r="J12549" s="8" t="s">
        <v>22</v>
      </c>
      <c r="K12549" s="8" t="s">
        <v>424</v>
      </c>
      <c r="L12549" s="8" t="s">
        <v>13395</v>
      </c>
      <c r="M12549" s="8" t="s">
        <v>13396</v>
      </c>
      <c r="N12549" s="8" t="s">
        <v>52581</v>
      </c>
      <c r="O12549" s="8">
        <f>18+13/60+46.1/3600</f>
        <v>18.229472222222221</v>
      </c>
      <c r="P12549" s="8" t="s">
        <v>52582</v>
      </c>
      <c r="Q12549" s="8">
        <f>+(61+9/60+25/3600)</f>
        <v>61.156944444444441</v>
      </c>
      <c r="R12549" s="8">
        <v>14.4</v>
      </c>
      <c r="S12549" s="8">
        <v>15.4</v>
      </c>
      <c r="T12549" s="8">
        <v>1</v>
      </c>
      <c r="U12549" s="8">
        <v>11.6</v>
      </c>
      <c r="V12549" s="8">
        <v>0.3</v>
      </c>
      <c r="W12549" s="8">
        <v>0.3</v>
      </c>
      <c r="Y12549" s="8" t="s">
        <v>52583</v>
      </c>
      <c r="Z12549" s="8" t="s">
        <v>52584</v>
      </c>
    </row>
    <row r="12550" spans="1:26" x14ac:dyDescent="0.2">
      <c r="A12550" s="8">
        <v>12549</v>
      </c>
      <c r="B12550" s="8" t="s">
        <v>52585</v>
      </c>
      <c r="C12550" s="8" t="s">
        <v>52585</v>
      </c>
      <c r="G12550" s="8">
        <v>20</v>
      </c>
      <c r="H12550" s="8" t="s">
        <v>21</v>
      </c>
      <c r="I12550" s="8" t="s">
        <v>22</v>
      </c>
      <c r="J12550" s="8" t="s">
        <v>22</v>
      </c>
      <c r="K12550" s="8" t="s">
        <v>31</v>
      </c>
      <c r="L12550" s="8" t="s">
        <v>29246</v>
      </c>
      <c r="M12550" s="8" t="s">
        <v>29247</v>
      </c>
      <c r="N12550" s="8" t="s">
        <v>52586</v>
      </c>
      <c r="O12550" s="8">
        <f>18+24/60+19.4/3600</f>
        <v>18.405388888888886</v>
      </c>
      <c r="P12550" s="8" t="s">
        <v>52587</v>
      </c>
      <c r="Q12550" s="8">
        <f>-(56+22/60+7/3600)</f>
        <v>-56.368611111111115</v>
      </c>
      <c r="R12550" s="8">
        <v>13.6</v>
      </c>
      <c r="S12550" s="8">
        <v>14.4</v>
      </c>
      <c r="T12550" s="8">
        <v>0.8</v>
      </c>
      <c r="U12550" s="8">
        <v>13</v>
      </c>
      <c r="V12550" s="8">
        <v>1.1000000000000001</v>
      </c>
      <c r="W12550" s="8">
        <v>0.6</v>
      </c>
      <c r="X12550" s="8">
        <v>4</v>
      </c>
      <c r="Y12550" s="8" t="s">
        <v>52588</v>
      </c>
      <c r="Z12550" s="8" t="s">
        <v>52589</v>
      </c>
    </row>
    <row r="12551" spans="1:26" x14ac:dyDescent="0.2">
      <c r="A12551" s="8">
        <v>12550</v>
      </c>
      <c r="B12551" s="8" t="s">
        <v>52590</v>
      </c>
      <c r="C12551" s="8" t="s">
        <v>52590</v>
      </c>
      <c r="G12551" s="8">
        <v>13</v>
      </c>
      <c r="H12551" s="8" t="s">
        <v>21</v>
      </c>
      <c r="I12551" s="8" t="s">
        <v>22</v>
      </c>
      <c r="J12551" s="8" t="s">
        <v>22</v>
      </c>
      <c r="K12551" s="8" t="s">
        <v>323</v>
      </c>
      <c r="L12551" s="8" t="s">
        <v>28435</v>
      </c>
      <c r="M12551" s="8" t="s">
        <v>28436</v>
      </c>
      <c r="N12551" s="8" t="s">
        <v>52591</v>
      </c>
      <c r="O12551" s="8">
        <f>18+28/60+38.8/3600</f>
        <v>18.477444444444444</v>
      </c>
      <c r="P12551" s="8" t="s">
        <v>52592</v>
      </c>
      <c r="Q12551" s="8">
        <f>-(66+58/60+59/3600)</f>
        <v>-66.983055555555552</v>
      </c>
      <c r="R12551" s="8">
        <v>11.9</v>
      </c>
      <c r="S12551" s="8">
        <v>12.5</v>
      </c>
      <c r="T12551" s="8">
        <v>0.6</v>
      </c>
      <c r="U12551" s="8">
        <v>14.3</v>
      </c>
      <c r="V12551" s="8">
        <v>3.6</v>
      </c>
      <c r="W12551" s="8">
        <v>2.8</v>
      </c>
      <c r="X12551" s="8">
        <v>5</v>
      </c>
      <c r="Y12551" s="8" t="s">
        <v>115</v>
      </c>
      <c r="Z12551" s="8" t="s">
        <v>116</v>
      </c>
    </row>
    <row r="12552" spans="1:26" x14ac:dyDescent="0.2">
      <c r="A12552" s="8">
        <v>12551</v>
      </c>
      <c r="B12552" s="8" t="s">
        <v>52593</v>
      </c>
      <c r="C12552" s="8" t="s">
        <v>52593</v>
      </c>
      <c r="G12552" s="8">
        <v>20</v>
      </c>
      <c r="H12552" s="8" t="s">
        <v>21</v>
      </c>
      <c r="I12552" s="8" t="s">
        <v>72</v>
      </c>
      <c r="J12552" s="8" t="s">
        <v>72</v>
      </c>
      <c r="K12552" s="8" t="s">
        <v>1802</v>
      </c>
      <c r="L12552" s="8" t="s">
        <v>28435</v>
      </c>
      <c r="M12552" s="8" t="s">
        <v>28436</v>
      </c>
      <c r="N12552" s="8" t="s">
        <v>52594</v>
      </c>
      <c r="O12552" s="8">
        <f>18+28/60+6.7/3600</f>
        <v>18.468527777777776</v>
      </c>
      <c r="P12552" s="8" t="s">
        <v>52595</v>
      </c>
      <c r="Q12552" s="8">
        <f>-(64+56/60+40/3600)</f>
        <v>-64.944444444444443</v>
      </c>
      <c r="R12552" s="8">
        <v>99</v>
      </c>
      <c r="S12552" s="8">
        <v>99</v>
      </c>
      <c r="T12552" s="8">
        <v>99</v>
      </c>
      <c r="U12552" s="8">
        <v>99</v>
      </c>
      <c r="Y12552" s="8" t="s">
        <v>52596</v>
      </c>
      <c r="Z12552" s="8" t="s">
        <v>52597</v>
      </c>
    </row>
    <row r="12553" spans="1:26" x14ac:dyDescent="0.2">
      <c r="A12553" s="8">
        <v>12552</v>
      </c>
      <c r="B12553" s="8" t="s">
        <v>52598</v>
      </c>
      <c r="C12553" s="8" t="s">
        <v>52598</v>
      </c>
      <c r="G12553" s="8">
        <v>20</v>
      </c>
      <c r="H12553" s="8" t="s">
        <v>21</v>
      </c>
      <c r="I12553" s="8" t="s">
        <v>22</v>
      </c>
      <c r="J12553" s="8" t="s">
        <v>22</v>
      </c>
      <c r="K12553" s="8" t="s">
        <v>396</v>
      </c>
      <c r="L12553" s="8" t="s">
        <v>28435</v>
      </c>
      <c r="M12553" s="8" t="s">
        <v>28436</v>
      </c>
      <c r="N12553" s="8" t="s">
        <v>52599</v>
      </c>
      <c r="O12553" s="8">
        <f>18+31/60+6.7/3600</f>
        <v>18.518527777777777</v>
      </c>
      <c r="P12553" s="8" t="s">
        <v>52600</v>
      </c>
      <c r="Q12553" s="8">
        <f>-(71+41/60+38/3600)</f>
        <v>-71.693888888888893</v>
      </c>
      <c r="R12553" s="8">
        <v>12.2</v>
      </c>
      <c r="S12553" s="8">
        <v>13</v>
      </c>
      <c r="T12553" s="8">
        <v>0.8</v>
      </c>
      <c r="U12553" s="8">
        <v>13.1</v>
      </c>
      <c r="V12553" s="8">
        <v>2.2999999999999998</v>
      </c>
      <c r="W12553" s="8">
        <v>1.2</v>
      </c>
      <c r="X12553" s="8">
        <v>60</v>
      </c>
      <c r="Y12553" s="8" t="s">
        <v>115</v>
      </c>
      <c r="Z12553" s="8" t="s">
        <v>116</v>
      </c>
    </row>
    <row r="12554" spans="1:26" x14ac:dyDescent="0.2">
      <c r="A12554" s="8">
        <v>12553</v>
      </c>
      <c r="B12554" s="8" t="s">
        <v>52601</v>
      </c>
      <c r="C12554" s="8" t="s">
        <v>52601</v>
      </c>
      <c r="G12554" s="8">
        <v>20</v>
      </c>
      <c r="H12554" s="8" t="s">
        <v>21</v>
      </c>
      <c r="I12554" s="8" t="s">
        <v>22</v>
      </c>
      <c r="J12554" s="8" t="s">
        <v>22</v>
      </c>
      <c r="K12554" s="8" t="s">
        <v>323</v>
      </c>
      <c r="L12554" s="8" t="s">
        <v>28435</v>
      </c>
      <c r="M12554" s="8" t="s">
        <v>28436</v>
      </c>
      <c r="N12554" s="8" t="s">
        <v>52602</v>
      </c>
      <c r="O12554" s="8">
        <f>18+29/60+58.9/3600</f>
        <v>18.499694444444444</v>
      </c>
      <c r="P12554" s="8" t="s">
        <v>52603</v>
      </c>
      <c r="Q12554" s="8">
        <f>-(67+13/60+28/3600)</f>
        <v>-67.224444444444444</v>
      </c>
      <c r="R12554" s="8">
        <v>13.5</v>
      </c>
      <c r="S12554" s="8">
        <v>14.2</v>
      </c>
      <c r="T12554" s="8">
        <v>0.7</v>
      </c>
      <c r="U12554" s="8">
        <v>13.1</v>
      </c>
      <c r="V12554" s="8">
        <v>1.1000000000000001</v>
      </c>
      <c r="W12554" s="8">
        <v>0.9</v>
      </c>
      <c r="X12554" s="8">
        <v>105</v>
      </c>
      <c r="Y12554" s="8" t="s">
        <v>297</v>
      </c>
      <c r="Z12554" s="8" t="s">
        <v>298</v>
      </c>
    </row>
    <row r="12555" spans="1:26" x14ac:dyDescent="0.2">
      <c r="A12555" s="8">
        <v>12554</v>
      </c>
      <c r="B12555" s="8" t="s">
        <v>52604</v>
      </c>
      <c r="C12555" s="8" t="s">
        <v>52604</v>
      </c>
      <c r="G12555" s="8">
        <v>20</v>
      </c>
      <c r="H12555" s="8" t="s">
        <v>21</v>
      </c>
      <c r="I12555" s="8" t="s">
        <v>22</v>
      </c>
      <c r="J12555" s="8" t="s">
        <v>22</v>
      </c>
      <c r="K12555" s="8" t="s">
        <v>160</v>
      </c>
      <c r="L12555" s="8" t="s">
        <v>28435</v>
      </c>
      <c r="M12555" s="8" t="s">
        <v>28436</v>
      </c>
      <c r="N12555" s="8" t="s">
        <v>52605</v>
      </c>
      <c r="O12555" s="8">
        <f>18+30/60+55.7/3600</f>
        <v>18.515472222222222</v>
      </c>
      <c r="P12555" s="8" t="s">
        <v>52606</v>
      </c>
      <c r="Q12555" s="8">
        <f>-(66+39/60+10/3600)</f>
        <v>-66.652777777777786</v>
      </c>
      <c r="R12555" s="8">
        <v>14.4</v>
      </c>
      <c r="S12555" s="8">
        <v>15.1</v>
      </c>
      <c r="T12555" s="8">
        <v>0.7</v>
      </c>
      <c r="U12555" s="8">
        <v>13.2</v>
      </c>
      <c r="V12555" s="8">
        <v>1.3</v>
      </c>
      <c r="W12555" s="8">
        <v>0.3</v>
      </c>
      <c r="X12555" s="8">
        <v>176</v>
      </c>
      <c r="Y12555" s="8" t="s">
        <v>297</v>
      </c>
      <c r="Z12555" s="8" t="s">
        <v>298</v>
      </c>
    </row>
    <row r="12556" spans="1:26" x14ac:dyDescent="0.2">
      <c r="A12556" s="8">
        <v>12555</v>
      </c>
      <c r="B12556" s="8" t="s">
        <v>52607</v>
      </c>
      <c r="C12556" s="8" t="s">
        <v>55967</v>
      </c>
      <c r="G12556" s="8">
        <v>1</v>
      </c>
      <c r="H12556" s="8" t="s">
        <v>21</v>
      </c>
      <c r="I12556" s="8" t="s">
        <v>557</v>
      </c>
      <c r="J12556" s="8" t="s">
        <v>557</v>
      </c>
      <c r="K12556" s="8" t="s">
        <v>10045</v>
      </c>
      <c r="L12556" s="8" t="s">
        <v>28576</v>
      </c>
      <c r="M12556" s="8" t="s">
        <v>28577</v>
      </c>
      <c r="N12556" s="8" t="s">
        <v>52608</v>
      </c>
      <c r="O12556" s="8">
        <f>18+18/60+48/3600</f>
        <v>18.313333333333333</v>
      </c>
      <c r="P12556" s="8" t="s">
        <v>52609</v>
      </c>
      <c r="Q12556" s="8">
        <f>-(18+33/60+0/3600)</f>
        <v>-18.55</v>
      </c>
      <c r="R12556" s="8">
        <v>99</v>
      </c>
      <c r="S12556" s="8">
        <v>99</v>
      </c>
      <c r="T12556" s="8">
        <v>99</v>
      </c>
      <c r="U12556" s="8">
        <v>99</v>
      </c>
      <c r="Y12556" s="8" t="s">
        <v>52610</v>
      </c>
      <c r="Z12556" s="8" t="s">
        <v>52611</v>
      </c>
    </row>
    <row r="12557" spans="1:26" x14ac:dyDescent="0.2">
      <c r="A12557" s="8">
        <v>12556</v>
      </c>
      <c r="B12557" s="8" t="s">
        <v>52612</v>
      </c>
      <c r="C12557" s="8" t="s">
        <v>52612</v>
      </c>
      <c r="G12557" s="8">
        <v>20</v>
      </c>
      <c r="H12557" s="8" t="s">
        <v>21</v>
      </c>
      <c r="I12557" s="8" t="s">
        <v>22</v>
      </c>
      <c r="J12557" s="8" t="s">
        <v>22</v>
      </c>
      <c r="K12557" s="8" t="s">
        <v>1445</v>
      </c>
      <c r="L12557" s="8" t="s">
        <v>28435</v>
      </c>
      <c r="M12557" s="8" t="s">
        <v>28436</v>
      </c>
      <c r="N12557" s="8" t="s">
        <v>52613</v>
      </c>
      <c r="O12557" s="8">
        <f>18+32/60+45/3600</f>
        <v>18.545833333333334</v>
      </c>
      <c r="P12557" s="8" t="s">
        <v>52614</v>
      </c>
      <c r="Q12557" s="8">
        <f>-(56+57/60+43/3600)</f>
        <v>-56.961944444444448</v>
      </c>
      <c r="R12557" s="8">
        <v>15.2</v>
      </c>
      <c r="S12557" s="8">
        <v>16</v>
      </c>
      <c r="T12557" s="8">
        <v>0.8</v>
      </c>
      <c r="U12557" s="8">
        <v>13.5</v>
      </c>
      <c r="V12557" s="8">
        <v>0.6</v>
      </c>
      <c r="W12557" s="8">
        <v>0.4</v>
      </c>
      <c r="X12557" s="8">
        <v>97</v>
      </c>
      <c r="Y12557" s="8" t="s">
        <v>52615</v>
      </c>
      <c r="Z12557" s="8" t="s">
        <v>52616</v>
      </c>
    </row>
    <row r="12558" spans="1:26" x14ac:dyDescent="0.2">
      <c r="A12558" s="8">
        <v>12557</v>
      </c>
      <c r="B12558" s="8" t="s">
        <v>52617</v>
      </c>
      <c r="C12558" s="8" t="s">
        <v>52617</v>
      </c>
      <c r="G12558" s="8">
        <v>20</v>
      </c>
      <c r="H12558" s="8" t="s">
        <v>21</v>
      </c>
      <c r="I12558" s="8" t="s">
        <v>22</v>
      </c>
      <c r="J12558" s="8" t="s">
        <v>22</v>
      </c>
      <c r="K12558" s="8" t="s">
        <v>23</v>
      </c>
      <c r="L12558" s="8" t="s">
        <v>28435</v>
      </c>
      <c r="M12558" s="8" t="s">
        <v>28436</v>
      </c>
      <c r="N12558" s="8" t="s">
        <v>52618</v>
      </c>
      <c r="O12558" s="8">
        <f>18+33/60+17.1/3600</f>
        <v>18.554750000000002</v>
      </c>
      <c r="P12558" s="8" t="s">
        <v>52619</v>
      </c>
      <c r="Q12558" s="8">
        <f>-(57+58/60+30/3600)</f>
        <v>-57.975000000000001</v>
      </c>
      <c r="R12558" s="8">
        <v>13.3</v>
      </c>
      <c r="S12558" s="8">
        <v>14.3</v>
      </c>
      <c r="T12558" s="8">
        <v>1</v>
      </c>
      <c r="U12558" s="8">
        <v>12.4</v>
      </c>
      <c r="V12558" s="8">
        <v>1.6</v>
      </c>
      <c r="W12558" s="8">
        <v>0.3</v>
      </c>
      <c r="X12558" s="8">
        <v>93</v>
      </c>
      <c r="Y12558" s="8" t="s">
        <v>52620</v>
      </c>
      <c r="Z12558" s="8" t="s">
        <v>52621</v>
      </c>
    </row>
    <row r="12559" spans="1:26" x14ac:dyDescent="0.2">
      <c r="A12559" s="8">
        <v>12558</v>
      </c>
      <c r="B12559" s="8" t="s">
        <v>52622</v>
      </c>
      <c r="C12559" s="8" t="s">
        <v>52622</v>
      </c>
      <c r="G12559" s="8">
        <v>20</v>
      </c>
      <c r="H12559" s="8" t="s">
        <v>21</v>
      </c>
      <c r="I12559" s="8" t="s">
        <v>22</v>
      </c>
      <c r="J12559" s="8" t="s">
        <v>22</v>
      </c>
      <c r="K12559" s="8" t="s">
        <v>23</v>
      </c>
      <c r="L12559" s="8" t="s">
        <v>28435</v>
      </c>
      <c r="M12559" s="8" t="s">
        <v>28436</v>
      </c>
      <c r="N12559" s="8" t="s">
        <v>52623</v>
      </c>
      <c r="O12559" s="8">
        <f>18+33/60+50/3600</f>
        <v>18.56388888888889</v>
      </c>
      <c r="P12559" s="8" t="s">
        <v>52624</v>
      </c>
      <c r="Q12559" s="8">
        <f>-(60+7/60+43/3600)</f>
        <v>-60.128611111111113</v>
      </c>
      <c r="R12559" s="8">
        <v>12.9</v>
      </c>
      <c r="S12559" s="8">
        <v>13.8</v>
      </c>
      <c r="T12559" s="8">
        <v>0.9</v>
      </c>
      <c r="U12559" s="8">
        <v>13.1</v>
      </c>
      <c r="V12559" s="8">
        <v>1.3</v>
      </c>
      <c r="W12559" s="8">
        <v>0.6</v>
      </c>
      <c r="X12559" s="8">
        <v>116</v>
      </c>
      <c r="Y12559" s="8" t="s">
        <v>52625</v>
      </c>
      <c r="Z12559" s="8" t="s">
        <v>52626</v>
      </c>
    </row>
    <row r="12560" spans="1:26" x14ac:dyDescent="0.2">
      <c r="A12560" s="8">
        <v>12559</v>
      </c>
      <c r="B12560" s="8" t="s">
        <v>52627</v>
      </c>
      <c r="C12560" s="8" t="s">
        <v>52627</v>
      </c>
      <c r="G12560" s="8">
        <v>20</v>
      </c>
      <c r="H12560" s="8" t="s">
        <v>21</v>
      </c>
      <c r="I12560" s="8" t="s">
        <v>22</v>
      </c>
      <c r="J12560" s="8" t="s">
        <v>22</v>
      </c>
      <c r="K12560" s="8" t="s">
        <v>3523</v>
      </c>
      <c r="L12560" s="8" t="s">
        <v>29246</v>
      </c>
      <c r="M12560" s="8" t="s">
        <v>29247</v>
      </c>
      <c r="N12560" s="8" t="s">
        <v>52628</v>
      </c>
      <c r="O12560" s="8">
        <f>18+33/60+11.7/3600</f>
        <v>18.553250000000002</v>
      </c>
      <c r="P12560" s="8" t="s">
        <v>52629</v>
      </c>
      <c r="Q12560" s="8">
        <f>-(56+43/60+58/3600)</f>
        <v>-56.732777777777777</v>
      </c>
      <c r="R12560" s="8">
        <v>13</v>
      </c>
      <c r="S12560" s="8">
        <v>13.6</v>
      </c>
      <c r="T12560" s="8">
        <v>0.6</v>
      </c>
      <c r="U12560" s="8">
        <v>13.2</v>
      </c>
      <c r="V12560" s="8">
        <v>1.4</v>
      </c>
      <c r="W12560" s="8">
        <v>1</v>
      </c>
      <c r="X12560" s="8">
        <v>116</v>
      </c>
      <c r="Y12560" s="8" t="s">
        <v>52630</v>
      </c>
      <c r="Z12560" s="8" t="s">
        <v>52631</v>
      </c>
    </row>
    <row r="12561" spans="1:26" x14ac:dyDescent="0.2">
      <c r="A12561" s="8">
        <v>12560</v>
      </c>
      <c r="B12561" s="8" t="s">
        <v>52632</v>
      </c>
      <c r="C12561" s="8" t="s">
        <v>52632</v>
      </c>
      <c r="G12561" s="8">
        <v>20</v>
      </c>
      <c r="H12561" s="8" t="s">
        <v>21</v>
      </c>
      <c r="I12561" s="8" t="s">
        <v>22</v>
      </c>
      <c r="J12561" s="8" t="s">
        <v>22</v>
      </c>
      <c r="K12561" s="8" t="s">
        <v>64</v>
      </c>
      <c r="L12561" s="8" t="s">
        <v>28435</v>
      </c>
      <c r="M12561" s="8" t="s">
        <v>28436</v>
      </c>
      <c r="N12561" s="8" t="s">
        <v>52633</v>
      </c>
      <c r="O12561" s="8">
        <f>18+33/60+32.7/3600</f>
        <v>18.559083333333334</v>
      </c>
      <c r="P12561" s="8" t="s">
        <v>52634</v>
      </c>
      <c r="Q12561" s="8">
        <f>-(58+24/60+17/3600)</f>
        <v>-58.404722222222219</v>
      </c>
      <c r="R12561" s="8">
        <v>12.8</v>
      </c>
      <c r="S12561" s="8">
        <v>13.5</v>
      </c>
      <c r="T12561" s="8">
        <v>0.7</v>
      </c>
      <c r="U12561" s="8">
        <v>13.6</v>
      </c>
      <c r="V12561" s="8">
        <v>2.6</v>
      </c>
      <c r="W12561" s="8">
        <v>0.9</v>
      </c>
      <c r="X12561" s="8">
        <v>163</v>
      </c>
      <c r="Y12561" s="8" t="s">
        <v>52635</v>
      </c>
      <c r="Z12561" s="8" t="s">
        <v>52636</v>
      </c>
    </row>
    <row r="12562" spans="1:26" x14ac:dyDescent="0.2">
      <c r="A12562" s="8">
        <v>12561</v>
      </c>
      <c r="B12562" s="8" t="s">
        <v>52637</v>
      </c>
      <c r="C12562" s="8" t="s">
        <v>52637</v>
      </c>
      <c r="G12562" s="8">
        <v>13</v>
      </c>
      <c r="H12562" s="8" t="s">
        <v>21</v>
      </c>
      <c r="I12562" s="8" t="s">
        <v>22</v>
      </c>
      <c r="J12562" s="8" t="s">
        <v>22</v>
      </c>
      <c r="K12562" s="8" t="s">
        <v>64</v>
      </c>
      <c r="L12562" s="8" t="s">
        <v>28435</v>
      </c>
      <c r="M12562" s="8" t="s">
        <v>28436</v>
      </c>
      <c r="N12562" s="8" t="s">
        <v>52638</v>
      </c>
      <c r="O12562" s="8">
        <f>18+34/60+24.7/3600</f>
        <v>18.573527777777777</v>
      </c>
      <c r="P12562" s="8" t="s">
        <v>52639</v>
      </c>
      <c r="Q12562" s="8">
        <f>-(58+29/60+50/3600)</f>
        <v>-58.49722222222222</v>
      </c>
      <c r="R12562" s="8">
        <v>11.6</v>
      </c>
      <c r="S12562" s="8">
        <v>12.4</v>
      </c>
      <c r="T12562" s="8">
        <v>0.8</v>
      </c>
      <c r="U12562" s="8">
        <v>13.7</v>
      </c>
      <c r="V12562" s="8">
        <v>5.2</v>
      </c>
      <c r="W12562" s="8">
        <v>1.5</v>
      </c>
      <c r="X12562" s="8">
        <v>146</v>
      </c>
      <c r="Y12562" s="8" t="s">
        <v>52640</v>
      </c>
      <c r="Z12562" s="8" t="s">
        <v>52641</v>
      </c>
    </row>
    <row r="12563" spans="1:26" x14ac:dyDescent="0.2">
      <c r="A12563" s="8">
        <v>12562</v>
      </c>
      <c r="B12563" s="8" t="s">
        <v>52642</v>
      </c>
      <c r="C12563" s="8" t="s">
        <v>52642</v>
      </c>
      <c r="G12563" s="8">
        <v>20</v>
      </c>
      <c r="H12563" s="8" t="s">
        <v>21</v>
      </c>
      <c r="I12563" s="8" t="s">
        <v>22</v>
      </c>
      <c r="J12563" s="8" t="s">
        <v>22</v>
      </c>
      <c r="K12563" s="8" t="s">
        <v>160</v>
      </c>
      <c r="L12563" s="8" t="s">
        <v>28435</v>
      </c>
      <c r="M12563" s="8" t="s">
        <v>28436</v>
      </c>
      <c r="N12563" s="8" t="s">
        <v>52643</v>
      </c>
      <c r="O12563" s="8">
        <f>18+34/60+31.3/3600</f>
        <v>18.575361111111111</v>
      </c>
      <c r="P12563" s="8" t="s">
        <v>52644</v>
      </c>
      <c r="Q12563" s="8">
        <f>-(57+47/60+36/3600)</f>
        <v>-57.793333333333329</v>
      </c>
      <c r="R12563" s="8">
        <v>12.8</v>
      </c>
      <c r="S12563" s="8">
        <v>13.5</v>
      </c>
      <c r="T12563" s="8">
        <v>0.7</v>
      </c>
      <c r="U12563" s="8">
        <v>13.4</v>
      </c>
      <c r="V12563" s="8">
        <v>1.6</v>
      </c>
      <c r="W12563" s="8">
        <v>1.2</v>
      </c>
      <c r="X12563" s="8">
        <v>55</v>
      </c>
      <c r="Y12563" s="8" t="s">
        <v>52645</v>
      </c>
      <c r="Z12563" s="8" t="s">
        <v>52646</v>
      </c>
    </row>
    <row r="12564" spans="1:26" x14ac:dyDescent="0.2">
      <c r="A12564" s="8">
        <v>12563</v>
      </c>
      <c r="B12564" s="8" t="s">
        <v>52647</v>
      </c>
      <c r="C12564" s="8" t="s">
        <v>52647</v>
      </c>
      <c r="G12564" s="8">
        <v>13</v>
      </c>
      <c r="H12564" s="8" t="s">
        <v>21</v>
      </c>
      <c r="I12564" s="8" t="s">
        <v>22</v>
      </c>
      <c r="J12564" s="8" t="s">
        <v>22</v>
      </c>
      <c r="K12564" s="8" t="s">
        <v>42046</v>
      </c>
      <c r="L12564" s="8" t="s">
        <v>28435</v>
      </c>
      <c r="M12564" s="8" t="s">
        <v>28436</v>
      </c>
      <c r="N12564" s="8" t="s">
        <v>52648</v>
      </c>
      <c r="O12564" s="8">
        <f>18+35/60+56.2/3600</f>
        <v>18.598944444444442</v>
      </c>
      <c r="P12564" s="8" t="s">
        <v>52649</v>
      </c>
      <c r="Q12564" s="8">
        <f>-(63+22/60+36/3600)</f>
        <v>-63.376666666666665</v>
      </c>
      <c r="R12564" s="8">
        <v>13.5</v>
      </c>
      <c r="S12564" s="8">
        <v>14.4</v>
      </c>
      <c r="T12564" s="8">
        <v>0.9</v>
      </c>
      <c r="U12564" s="8">
        <v>12.3</v>
      </c>
      <c r="V12564" s="8">
        <v>0.6</v>
      </c>
      <c r="W12564" s="8">
        <v>0.6</v>
      </c>
      <c r="Y12564" s="8" t="s">
        <v>421</v>
      </c>
      <c r="Z12564" s="8" t="s">
        <v>422</v>
      </c>
    </row>
    <row r="12565" spans="1:26" x14ac:dyDescent="0.2">
      <c r="A12565" s="8">
        <v>12564</v>
      </c>
      <c r="B12565" s="8" t="s">
        <v>52650</v>
      </c>
      <c r="C12565" s="8" t="s">
        <v>52650</v>
      </c>
      <c r="G12565" s="8">
        <v>20</v>
      </c>
      <c r="H12565" s="8" t="s">
        <v>21</v>
      </c>
      <c r="I12565" s="8" t="s">
        <v>22</v>
      </c>
      <c r="J12565" s="8" t="s">
        <v>22</v>
      </c>
      <c r="K12565" s="8" t="s">
        <v>449</v>
      </c>
      <c r="L12565" s="8" t="s">
        <v>28435</v>
      </c>
      <c r="M12565" s="8" t="s">
        <v>28436</v>
      </c>
      <c r="N12565" s="8" t="s">
        <v>52651</v>
      </c>
      <c r="O12565" s="8">
        <f>18+38/60+40.3/3600</f>
        <v>18.644527777777778</v>
      </c>
      <c r="P12565" s="8" t="s">
        <v>52652</v>
      </c>
      <c r="Q12565" s="8">
        <f>-(70+7/60+32/3600)</f>
        <v>-70.12555555555555</v>
      </c>
      <c r="R12565" s="8">
        <v>14.3</v>
      </c>
      <c r="S12565" s="8">
        <v>15.1</v>
      </c>
      <c r="T12565" s="8">
        <v>0.8</v>
      </c>
      <c r="U12565" s="8">
        <v>12.9</v>
      </c>
      <c r="V12565" s="8">
        <v>0.8</v>
      </c>
      <c r="W12565" s="8">
        <v>0.4</v>
      </c>
      <c r="X12565" s="8">
        <v>159</v>
      </c>
      <c r="Y12565" s="8" t="s">
        <v>52653</v>
      </c>
      <c r="Z12565" s="8" t="s">
        <v>52654</v>
      </c>
    </row>
    <row r="12566" spans="1:26" x14ac:dyDescent="0.2">
      <c r="A12566" s="8">
        <v>12565</v>
      </c>
      <c r="B12566" s="8" t="s">
        <v>52655</v>
      </c>
      <c r="C12566" s="8" t="s">
        <v>55968</v>
      </c>
      <c r="G12566" s="8">
        <v>1</v>
      </c>
      <c r="H12566" s="8" t="s">
        <v>21</v>
      </c>
      <c r="I12566" s="8" t="s">
        <v>557</v>
      </c>
      <c r="J12566" s="8" t="s">
        <v>557</v>
      </c>
      <c r="K12566" s="8" t="s">
        <v>7705</v>
      </c>
      <c r="L12566" s="8" t="s">
        <v>28576</v>
      </c>
      <c r="M12566" s="8" t="s">
        <v>28577</v>
      </c>
      <c r="N12566" s="8" t="s">
        <v>52656</v>
      </c>
      <c r="O12566" s="8">
        <f>18+31/60+45/3600</f>
        <v>18.529166666666665</v>
      </c>
      <c r="P12566" s="8" t="s">
        <v>52657</v>
      </c>
      <c r="Q12566" s="8">
        <f>-(19+7/60+12/3600)</f>
        <v>-19.12</v>
      </c>
      <c r="R12566" s="8">
        <v>4.5999999999999996</v>
      </c>
      <c r="S12566" s="8">
        <v>99</v>
      </c>
      <c r="T12566" s="8">
        <v>99</v>
      </c>
      <c r="U12566" s="8">
        <v>99</v>
      </c>
      <c r="V12566" s="8">
        <v>26</v>
      </c>
      <c r="Y12566" s="8" t="s">
        <v>52332</v>
      </c>
      <c r="Z12566" s="8" t="s">
        <v>1907</v>
      </c>
    </row>
    <row r="12567" spans="1:26" x14ac:dyDescent="0.2">
      <c r="A12567" s="8">
        <v>12566</v>
      </c>
      <c r="B12567" s="8" t="s">
        <v>52658</v>
      </c>
      <c r="C12567" s="8" t="s">
        <v>52658</v>
      </c>
      <c r="G12567" s="8">
        <v>20</v>
      </c>
      <c r="H12567" s="8" t="s">
        <v>21</v>
      </c>
      <c r="I12567" s="8" t="s">
        <v>22</v>
      </c>
      <c r="J12567" s="8" t="s">
        <v>22</v>
      </c>
      <c r="K12567" s="8" t="s">
        <v>37</v>
      </c>
      <c r="L12567" s="8" t="s">
        <v>28435</v>
      </c>
      <c r="M12567" s="8" t="s">
        <v>28436</v>
      </c>
      <c r="N12567" s="8" t="s">
        <v>52659</v>
      </c>
      <c r="O12567" s="8">
        <f>18+36/60+58.5/3600</f>
        <v>18.616250000000001</v>
      </c>
      <c r="P12567" s="8" t="s">
        <v>52660</v>
      </c>
      <c r="Q12567" s="8">
        <f>-(62+51/60+15/3600)</f>
        <v>-62.854166666666671</v>
      </c>
      <c r="R12567" s="8">
        <v>13.4</v>
      </c>
      <c r="S12567" s="8">
        <v>14.4</v>
      </c>
      <c r="T12567" s="8">
        <v>1</v>
      </c>
      <c r="U12567" s="8">
        <v>13.1</v>
      </c>
      <c r="V12567" s="8">
        <v>0.9</v>
      </c>
      <c r="W12567" s="8">
        <v>0.8</v>
      </c>
      <c r="X12567" s="8">
        <v>23</v>
      </c>
      <c r="Y12567" s="8" t="s">
        <v>52661</v>
      </c>
      <c r="Z12567" s="8" t="s">
        <v>52662</v>
      </c>
    </row>
    <row r="12568" spans="1:26" x14ac:dyDescent="0.2">
      <c r="A12568" s="8">
        <v>12567</v>
      </c>
      <c r="B12568" s="8" t="s">
        <v>52663</v>
      </c>
      <c r="C12568" s="8" t="s">
        <v>52663</v>
      </c>
      <c r="G12568" s="8">
        <v>20</v>
      </c>
      <c r="H12568" s="8" t="s">
        <v>21</v>
      </c>
      <c r="I12568" s="8" t="s">
        <v>22</v>
      </c>
      <c r="J12568" s="8" t="s">
        <v>22</v>
      </c>
      <c r="K12568" s="8" t="s">
        <v>58</v>
      </c>
      <c r="L12568" s="8" t="s">
        <v>28435</v>
      </c>
      <c r="M12568" s="8" t="s">
        <v>28436</v>
      </c>
      <c r="N12568" s="8" t="s">
        <v>52664</v>
      </c>
      <c r="O12568" s="8">
        <f>18+37/60+55.8/3600</f>
        <v>18.632166666666667</v>
      </c>
      <c r="P12568" s="8" t="s">
        <v>52665</v>
      </c>
      <c r="Q12568" s="8">
        <f>-(62+42/60+1/3600)</f>
        <v>-62.700277777777778</v>
      </c>
      <c r="R12568" s="8">
        <v>12.8</v>
      </c>
      <c r="S12568" s="8">
        <v>13.8</v>
      </c>
      <c r="T12568" s="8">
        <v>1</v>
      </c>
      <c r="U12568" s="8">
        <v>12.9</v>
      </c>
      <c r="V12568" s="8">
        <v>1.1000000000000001</v>
      </c>
      <c r="W12568" s="8">
        <v>1.1000000000000001</v>
      </c>
      <c r="Y12568" s="8" t="s">
        <v>27240</v>
      </c>
      <c r="Z12568" s="8" t="s">
        <v>27241</v>
      </c>
    </row>
    <row r="12569" spans="1:26" x14ac:dyDescent="0.2">
      <c r="A12569" s="8">
        <v>12568</v>
      </c>
      <c r="B12569" s="8" t="s">
        <v>52666</v>
      </c>
      <c r="C12569" s="8" t="s">
        <v>52666</v>
      </c>
      <c r="G12569" s="8">
        <v>20</v>
      </c>
      <c r="H12569" s="8" t="s">
        <v>21</v>
      </c>
      <c r="I12569" s="8" t="s">
        <v>22</v>
      </c>
      <c r="J12569" s="8" t="s">
        <v>22</v>
      </c>
      <c r="K12569" s="8" t="s">
        <v>406</v>
      </c>
      <c r="L12569" s="8" t="s">
        <v>28435</v>
      </c>
      <c r="M12569" s="8" t="s">
        <v>28436</v>
      </c>
      <c r="N12569" s="8" t="s">
        <v>52667</v>
      </c>
      <c r="O12569" s="8">
        <f>18+37/60+57/3600</f>
        <v>18.6325</v>
      </c>
      <c r="P12569" s="8" t="s">
        <v>52668</v>
      </c>
      <c r="Q12569" s="8">
        <f>-(62+31/60+51/3600)</f>
        <v>-62.530833333333334</v>
      </c>
      <c r="R12569" s="8">
        <v>12.9</v>
      </c>
      <c r="S12569" s="8">
        <v>13.7</v>
      </c>
      <c r="T12569" s="8">
        <v>0.8</v>
      </c>
      <c r="U12569" s="8">
        <v>13.1</v>
      </c>
      <c r="V12569" s="8">
        <v>2</v>
      </c>
      <c r="W12569" s="8">
        <v>0.7</v>
      </c>
      <c r="X12569" s="8">
        <v>173</v>
      </c>
      <c r="Y12569" s="8" t="s">
        <v>52669</v>
      </c>
      <c r="Z12569" s="8" t="s">
        <v>52670</v>
      </c>
    </row>
    <row r="12570" spans="1:26" x14ac:dyDescent="0.2">
      <c r="A12570" s="8">
        <v>12569</v>
      </c>
      <c r="B12570" s="8" t="s">
        <v>52671</v>
      </c>
      <c r="C12570" s="8" t="s">
        <v>52671</v>
      </c>
      <c r="G12570" s="8">
        <v>20</v>
      </c>
      <c r="H12570" s="8" t="s">
        <v>21</v>
      </c>
      <c r="I12570" s="8" t="s">
        <v>22</v>
      </c>
      <c r="J12570" s="8" t="s">
        <v>22</v>
      </c>
      <c r="K12570" s="8" t="s">
        <v>64</v>
      </c>
      <c r="L12570" s="8" t="s">
        <v>28435</v>
      </c>
      <c r="M12570" s="8" t="s">
        <v>28436</v>
      </c>
      <c r="N12570" s="8" t="s">
        <v>52672</v>
      </c>
      <c r="O12570" s="8">
        <f>18+39/60+56.3/3600</f>
        <v>18.665638888888889</v>
      </c>
      <c r="P12570" s="8" t="s">
        <v>52673</v>
      </c>
      <c r="Q12570" s="8">
        <f>-(67+25/60+34/3600)</f>
        <v>-67.426111111111112</v>
      </c>
      <c r="R12570" s="8">
        <v>12.6</v>
      </c>
      <c r="S12570" s="8">
        <v>13.3</v>
      </c>
      <c r="T12570" s="8">
        <v>0.7</v>
      </c>
      <c r="U12570" s="8">
        <v>13.2</v>
      </c>
      <c r="V12570" s="8">
        <v>1.6</v>
      </c>
      <c r="W12570" s="8">
        <v>1.3</v>
      </c>
      <c r="X12570" s="8">
        <v>150</v>
      </c>
      <c r="Y12570" s="8" t="s">
        <v>24591</v>
      </c>
      <c r="Z12570" s="8" t="s">
        <v>52674</v>
      </c>
    </row>
    <row r="12571" spans="1:26" x14ac:dyDescent="0.2">
      <c r="A12571" s="8">
        <v>12570</v>
      </c>
      <c r="B12571" s="8" t="s">
        <v>52675</v>
      </c>
      <c r="C12571" s="8" t="s">
        <v>52675</v>
      </c>
      <c r="G12571" s="8">
        <v>20</v>
      </c>
      <c r="H12571" s="8" t="s">
        <v>21</v>
      </c>
      <c r="I12571" s="8" t="s">
        <v>22</v>
      </c>
      <c r="J12571" s="8" t="s">
        <v>22</v>
      </c>
      <c r="K12571" s="8" t="s">
        <v>435</v>
      </c>
      <c r="L12571" s="8" t="s">
        <v>28435</v>
      </c>
      <c r="M12571" s="8" t="s">
        <v>28436</v>
      </c>
      <c r="N12571" s="8" t="s">
        <v>52676</v>
      </c>
      <c r="O12571" s="8">
        <f>18+38/60+50.3/3600</f>
        <v>18.647305555555555</v>
      </c>
      <c r="P12571" s="8" t="s">
        <v>52677</v>
      </c>
      <c r="Q12571" s="8">
        <f>-(63+21/60+1/3600)</f>
        <v>-63.350277777777777</v>
      </c>
      <c r="R12571" s="8">
        <v>13.2</v>
      </c>
      <c r="S12571" s="8">
        <v>14.1</v>
      </c>
      <c r="T12571" s="8">
        <v>0.9</v>
      </c>
      <c r="U12571" s="8">
        <v>13</v>
      </c>
      <c r="V12571" s="8">
        <v>1.4</v>
      </c>
      <c r="W12571" s="8">
        <v>0.7</v>
      </c>
      <c r="X12571" s="8">
        <v>152</v>
      </c>
      <c r="Y12571" s="8" t="s">
        <v>52678</v>
      </c>
      <c r="Z12571" s="8" t="s">
        <v>52679</v>
      </c>
    </row>
    <row r="12572" spans="1:26" x14ac:dyDescent="0.2">
      <c r="A12572" s="8">
        <v>12571</v>
      </c>
      <c r="B12572" s="8" t="s">
        <v>52680</v>
      </c>
      <c r="C12572" s="8" t="s">
        <v>52680</v>
      </c>
      <c r="G12572" s="8">
        <v>20</v>
      </c>
      <c r="H12572" s="8" t="s">
        <v>21</v>
      </c>
      <c r="I12572" s="8" t="s">
        <v>22</v>
      </c>
      <c r="J12572" s="8" t="s">
        <v>22</v>
      </c>
      <c r="K12572" s="8" t="s">
        <v>435</v>
      </c>
      <c r="L12572" s="8" t="s">
        <v>28435</v>
      </c>
      <c r="M12572" s="8" t="s">
        <v>28436</v>
      </c>
      <c r="N12572" s="8" t="s">
        <v>52681</v>
      </c>
      <c r="O12572" s="8">
        <f>18+38/60+42.7/3600</f>
        <v>18.645194444444446</v>
      </c>
      <c r="P12572" s="8" t="s">
        <v>52682</v>
      </c>
      <c r="Q12572" s="8">
        <f>-(62+56/60+36/3600)</f>
        <v>-62.943333333333328</v>
      </c>
      <c r="R12572" s="8">
        <v>11.4</v>
      </c>
      <c r="S12572" s="8">
        <v>12.5</v>
      </c>
      <c r="T12572" s="8">
        <v>1.1000000000000001</v>
      </c>
      <c r="U12572" s="8">
        <v>12.4</v>
      </c>
      <c r="V12572" s="8">
        <v>1.5</v>
      </c>
      <c r="W12572" s="8">
        <v>0.7</v>
      </c>
      <c r="X12572" s="8">
        <v>82</v>
      </c>
      <c r="Y12572" s="8" t="s">
        <v>52683</v>
      </c>
      <c r="Z12572" s="8" t="s">
        <v>52684</v>
      </c>
    </row>
    <row r="12573" spans="1:26" x14ac:dyDescent="0.2">
      <c r="A12573" s="8">
        <v>12572</v>
      </c>
      <c r="B12573" s="8" t="s">
        <v>52685</v>
      </c>
      <c r="C12573" s="8" t="s">
        <v>52685</v>
      </c>
      <c r="G12573" s="8">
        <v>13</v>
      </c>
      <c r="H12573" s="8" t="s">
        <v>21</v>
      </c>
      <c r="I12573" s="8" t="s">
        <v>241</v>
      </c>
      <c r="J12573" s="8" t="s">
        <v>241</v>
      </c>
      <c r="K12573" s="8" t="s">
        <v>241</v>
      </c>
      <c r="L12573" s="8" t="s">
        <v>28576</v>
      </c>
      <c r="M12573" s="8" t="s">
        <v>28577</v>
      </c>
      <c r="N12573" s="8" t="s">
        <v>52686</v>
      </c>
      <c r="O12573" s="8">
        <f>18+33/60+54.6/3600</f>
        <v>18.565166666666666</v>
      </c>
      <c r="P12573" s="8" t="s">
        <v>52687</v>
      </c>
      <c r="Q12573" s="8">
        <f>-(22+38/60+39/3600)</f>
        <v>-22.644166666666667</v>
      </c>
      <c r="R12573" s="8">
        <v>12.1</v>
      </c>
      <c r="S12573" s="8">
        <v>13.3</v>
      </c>
      <c r="T12573" s="8">
        <v>99</v>
      </c>
      <c r="U12573" s="8">
        <v>99</v>
      </c>
      <c r="V12573" s="8">
        <v>0.22</v>
      </c>
      <c r="Y12573" s="8" t="s">
        <v>27388</v>
      </c>
      <c r="Z12573" s="8" t="s">
        <v>42798</v>
      </c>
    </row>
    <row r="12574" spans="1:26" x14ac:dyDescent="0.2">
      <c r="A12574" s="8">
        <v>12573</v>
      </c>
      <c r="B12574" s="8" t="s">
        <v>52688</v>
      </c>
      <c r="C12574" s="8" t="s">
        <v>52688</v>
      </c>
      <c r="G12574" s="8">
        <v>20</v>
      </c>
      <c r="H12574" s="8" t="s">
        <v>21</v>
      </c>
      <c r="I12574" s="8" t="s">
        <v>72</v>
      </c>
      <c r="J12574" s="8" t="s">
        <v>72</v>
      </c>
      <c r="K12574" s="8" t="s">
        <v>20</v>
      </c>
      <c r="L12574" s="8" t="s">
        <v>13395</v>
      </c>
      <c r="M12574" s="8" t="s">
        <v>13396</v>
      </c>
      <c r="N12574" s="8" t="s">
        <v>52689</v>
      </c>
      <c r="O12574" s="8">
        <f>18+26/60+38.2/3600</f>
        <v>18.443944444444444</v>
      </c>
      <c r="P12574" s="8" t="s">
        <v>52690</v>
      </c>
      <c r="Q12574" s="8">
        <f>+(64+58/60+1/3600)</f>
        <v>64.966944444444451</v>
      </c>
      <c r="R12574" s="8">
        <v>99</v>
      </c>
      <c r="S12574" s="8">
        <v>14.5</v>
      </c>
      <c r="T12574" s="8">
        <v>99</v>
      </c>
      <c r="U12574" s="8">
        <v>99</v>
      </c>
      <c r="Y12574" s="8" t="s">
        <v>3344</v>
      </c>
      <c r="Z12574" s="8" t="s">
        <v>3345</v>
      </c>
    </row>
    <row r="12575" spans="1:26" x14ac:dyDescent="0.2">
      <c r="A12575" s="8">
        <v>12574</v>
      </c>
      <c r="B12575" s="8" t="s">
        <v>52691</v>
      </c>
      <c r="C12575" s="8" t="s">
        <v>52691</v>
      </c>
      <c r="G12575" s="8">
        <v>20</v>
      </c>
      <c r="H12575" s="8" t="s">
        <v>21</v>
      </c>
      <c r="I12575" s="8" t="s">
        <v>22</v>
      </c>
      <c r="J12575" s="8" t="s">
        <v>22</v>
      </c>
      <c r="K12575" s="8" t="s">
        <v>218</v>
      </c>
      <c r="L12575" s="8" t="s">
        <v>28435</v>
      </c>
      <c r="M12575" s="8" t="s">
        <v>28436</v>
      </c>
      <c r="N12575" s="8" t="s">
        <v>52692</v>
      </c>
      <c r="O12575" s="8">
        <f>18+38/60+25.4/3600</f>
        <v>18.640388888888889</v>
      </c>
      <c r="P12575" s="8" t="s">
        <v>52693</v>
      </c>
      <c r="Q12575" s="8">
        <f>-(57+29/60+26/3600)</f>
        <v>-57.490555555555559</v>
      </c>
      <c r="R12575" s="8">
        <v>13.2</v>
      </c>
      <c r="S12575" s="8">
        <v>14</v>
      </c>
      <c r="T12575" s="8">
        <v>0.8</v>
      </c>
      <c r="U12575" s="8">
        <v>13</v>
      </c>
      <c r="V12575" s="8">
        <v>1.3</v>
      </c>
      <c r="W12575" s="8">
        <v>0.8</v>
      </c>
      <c r="X12575" s="8">
        <v>94</v>
      </c>
      <c r="Y12575" s="8" t="s">
        <v>52694</v>
      </c>
      <c r="Z12575" s="8" t="s">
        <v>52695</v>
      </c>
    </row>
    <row r="12576" spans="1:26" x14ac:dyDescent="0.2">
      <c r="A12576" s="8">
        <v>12575</v>
      </c>
      <c r="B12576" s="8" t="s">
        <v>52696</v>
      </c>
      <c r="C12576" s="8" t="s">
        <v>52696</v>
      </c>
      <c r="G12576" s="8">
        <v>20</v>
      </c>
      <c r="H12576" s="8" t="s">
        <v>21</v>
      </c>
      <c r="I12576" s="8" t="s">
        <v>22</v>
      </c>
      <c r="J12576" s="8" t="s">
        <v>22</v>
      </c>
      <c r="K12576" s="8" t="s">
        <v>91</v>
      </c>
      <c r="L12576" s="8" t="s">
        <v>28435</v>
      </c>
      <c r="M12576" s="8" t="s">
        <v>28436</v>
      </c>
      <c r="N12576" s="8" t="s">
        <v>52697</v>
      </c>
      <c r="O12576" s="8">
        <f>18+39/60+50/3600</f>
        <v>18.663888888888888</v>
      </c>
      <c r="P12576" s="8" t="s">
        <v>52698</v>
      </c>
      <c r="Q12576" s="8">
        <f>-(62+57/60+21/3600)</f>
        <v>-62.955833333333338</v>
      </c>
      <c r="R12576" s="8">
        <v>14.6</v>
      </c>
      <c r="S12576" s="8">
        <v>15.5</v>
      </c>
      <c r="T12576" s="8">
        <v>0.9</v>
      </c>
      <c r="U12576" s="8">
        <v>13.5</v>
      </c>
      <c r="V12576" s="8">
        <v>0.7</v>
      </c>
      <c r="W12576" s="8">
        <v>0.6</v>
      </c>
      <c r="X12576" s="8">
        <v>39</v>
      </c>
      <c r="Y12576" s="8" t="s">
        <v>24854</v>
      </c>
      <c r="Z12576" s="8" t="s">
        <v>24855</v>
      </c>
    </row>
    <row r="12577" spans="1:26" x14ac:dyDescent="0.2">
      <c r="A12577" s="8">
        <v>12576</v>
      </c>
      <c r="B12577" s="8" t="s">
        <v>52699</v>
      </c>
      <c r="C12577" s="8" t="s">
        <v>52699</v>
      </c>
      <c r="G12577" s="8">
        <v>20</v>
      </c>
      <c r="H12577" s="8" t="s">
        <v>21</v>
      </c>
      <c r="I12577" s="8" t="s">
        <v>22</v>
      </c>
      <c r="J12577" s="8" t="s">
        <v>22</v>
      </c>
      <c r="K12577" s="8" t="s">
        <v>269</v>
      </c>
      <c r="L12577" s="8" t="s">
        <v>28435</v>
      </c>
      <c r="M12577" s="8" t="s">
        <v>28436</v>
      </c>
      <c r="N12577" s="8" t="s">
        <v>52700</v>
      </c>
      <c r="O12577" s="8">
        <f>18+38/60+39.8/3600</f>
        <v>18.644388888888887</v>
      </c>
      <c r="P12577" s="8" t="s">
        <v>52701</v>
      </c>
      <c r="Q12577" s="8">
        <f>-(57+53/60+35/3600)</f>
        <v>-57.893055555555556</v>
      </c>
      <c r="R12577" s="8">
        <v>13.9</v>
      </c>
      <c r="S12577" s="8">
        <v>14.5</v>
      </c>
      <c r="T12577" s="8">
        <v>0.6</v>
      </c>
      <c r="U12577" s="8">
        <v>13.6</v>
      </c>
      <c r="V12577" s="8">
        <v>1</v>
      </c>
      <c r="W12577" s="8">
        <v>0.9</v>
      </c>
      <c r="X12577" s="8">
        <v>117</v>
      </c>
      <c r="Y12577" s="8" t="s">
        <v>1829</v>
      </c>
      <c r="Z12577" s="8" t="s">
        <v>1830</v>
      </c>
    </row>
    <row r="12578" spans="1:26" x14ac:dyDescent="0.2">
      <c r="A12578" s="8">
        <v>12577</v>
      </c>
      <c r="B12578" s="8" t="s">
        <v>52702</v>
      </c>
      <c r="C12578" s="8" t="s">
        <v>52702</v>
      </c>
      <c r="G12578" s="8">
        <v>20</v>
      </c>
      <c r="H12578" s="8" t="s">
        <v>21</v>
      </c>
      <c r="I12578" s="8" t="s">
        <v>22</v>
      </c>
      <c r="J12578" s="8" t="s">
        <v>22</v>
      </c>
      <c r="K12578" s="8" t="s">
        <v>154</v>
      </c>
      <c r="L12578" s="8" t="s">
        <v>28435</v>
      </c>
      <c r="M12578" s="8" t="s">
        <v>28436</v>
      </c>
      <c r="N12578" s="8" t="s">
        <v>52703</v>
      </c>
      <c r="O12578" s="8">
        <f>18+39/60+58.4/3600</f>
        <v>18.66622222222222</v>
      </c>
      <c r="P12578" s="8" t="s">
        <v>52704</v>
      </c>
      <c r="Q12578" s="8">
        <f>-(62+35/60+50/3600)</f>
        <v>-62.597222222222221</v>
      </c>
      <c r="R12578" s="8">
        <v>14.1</v>
      </c>
      <c r="S12578" s="8">
        <v>15</v>
      </c>
      <c r="T12578" s="8">
        <v>0.9</v>
      </c>
      <c r="U12578" s="8">
        <v>13.3</v>
      </c>
      <c r="V12578" s="8">
        <v>0.8</v>
      </c>
      <c r="W12578" s="8">
        <v>0.7</v>
      </c>
      <c r="X12578" s="8">
        <v>108</v>
      </c>
      <c r="Y12578" s="8" t="s">
        <v>52705</v>
      </c>
      <c r="Z12578" s="8" t="s">
        <v>52706</v>
      </c>
    </row>
    <row r="12579" spans="1:26" x14ac:dyDescent="0.2">
      <c r="A12579" s="8">
        <v>12578</v>
      </c>
      <c r="B12579" s="8" t="s">
        <v>52707</v>
      </c>
      <c r="C12579" s="8" t="s">
        <v>52707</v>
      </c>
      <c r="G12579" s="8">
        <v>20</v>
      </c>
      <c r="H12579" s="8" t="s">
        <v>21</v>
      </c>
      <c r="I12579" s="8" t="s">
        <v>22</v>
      </c>
      <c r="J12579" s="8" t="s">
        <v>22</v>
      </c>
      <c r="K12579" s="8" t="s">
        <v>160</v>
      </c>
      <c r="L12579" s="8" t="s">
        <v>28435</v>
      </c>
      <c r="M12579" s="8" t="s">
        <v>28436</v>
      </c>
      <c r="N12579" s="8" t="s">
        <v>52708</v>
      </c>
      <c r="O12579" s="8">
        <f>18+40/60+27.3/3600</f>
        <v>18.674250000000001</v>
      </c>
      <c r="P12579" s="8" t="s">
        <v>52709</v>
      </c>
      <c r="Q12579" s="8">
        <f>-(61+54/60+6/3600)</f>
        <v>-61.901666666666664</v>
      </c>
      <c r="R12579" s="8">
        <v>14.6</v>
      </c>
      <c r="S12579" s="8">
        <v>15.3</v>
      </c>
      <c r="T12579" s="8">
        <v>0.7</v>
      </c>
      <c r="U12579" s="8">
        <v>14.1</v>
      </c>
      <c r="V12579" s="8">
        <v>1.2</v>
      </c>
      <c r="W12579" s="8">
        <v>0.6</v>
      </c>
      <c r="X12579" s="8">
        <v>150</v>
      </c>
      <c r="Y12579" s="8" t="s">
        <v>52710</v>
      </c>
      <c r="Z12579" s="8" t="s">
        <v>52711</v>
      </c>
    </row>
    <row r="12580" spans="1:26" x14ac:dyDescent="0.2">
      <c r="A12580" s="8">
        <v>12579</v>
      </c>
      <c r="B12580" s="8" t="s">
        <v>52712</v>
      </c>
      <c r="C12580" s="8" t="s">
        <v>52712</v>
      </c>
      <c r="G12580" s="8">
        <v>20</v>
      </c>
      <c r="H12580" s="8" t="s">
        <v>21</v>
      </c>
      <c r="I12580" s="8" t="s">
        <v>22</v>
      </c>
      <c r="J12580" s="8" t="s">
        <v>22</v>
      </c>
      <c r="K12580" s="8" t="s">
        <v>396</v>
      </c>
      <c r="L12580" s="8" t="s">
        <v>28435</v>
      </c>
      <c r="M12580" s="8" t="s">
        <v>28436</v>
      </c>
      <c r="N12580" s="8" t="s">
        <v>52713</v>
      </c>
      <c r="O12580" s="8">
        <f>18+40/60+51.7/3600</f>
        <v>18.681027777777778</v>
      </c>
      <c r="P12580" s="8" t="s">
        <v>52714</v>
      </c>
      <c r="Q12580" s="8">
        <f>-(61+54/60+4/3600)</f>
        <v>-61.901111111111106</v>
      </c>
      <c r="R12580" s="8">
        <v>14.4</v>
      </c>
      <c r="S12580" s="8">
        <v>15.2</v>
      </c>
      <c r="T12580" s="8">
        <v>0.8</v>
      </c>
      <c r="U12580" s="8">
        <v>14</v>
      </c>
      <c r="V12580" s="8">
        <v>1</v>
      </c>
      <c r="W12580" s="8">
        <v>0.8</v>
      </c>
      <c r="X12580" s="8">
        <v>85</v>
      </c>
      <c r="Y12580" s="8" t="s">
        <v>52715</v>
      </c>
      <c r="Z12580" s="8" t="s">
        <v>52716</v>
      </c>
    </row>
    <row r="12581" spans="1:26" x14ac:dyDescent="0.2">
      <c r="A12581" s="8">
        <v>12580</v>
      </c>
      <c r="B12581" s="8" t="s">
        <v>52717</v>
      </c>
      <c r="C12581" s="8" t="s">
        <v>52717</v>
      </c>
      <c r="G12581" s="8">
        <v>20</v>
      </c>
      <c r="H12581" s="8" t="s">
        <v>21</v>
      </c>
      <c r="I12581" s="8" t="s">
        <v>22</v>
      </c>
      <c r="J12581" s="8" t="s">
        <v>22</v>
      </c>
      <c r="K12581" s="8" t="s">
        <v>64</v>
      </c>
      <c r="L12581" s="8" t="s">
        <v>28435</v>
      </c>
      <c r="M12581" s="8" t="s">
        <v>28436</v>
      </c>
      <c r="N12581" s="8" t="s">
        <v>52718</v>
      </c>
      <c r="O12581" s="8">
        <f>18+43/60+0.5/3600</f>
        <v>18.716805555555553</v>
      </c>
      <c r="P12581" s="8" t="s">
        <v>52719</v>
      </c>
      <c r="Q12581" s="8">
        <f>-(68+21/60+36/3600)</f>
        <v>-68.36</v>
      </c>
      <c r="R12581" s="8">
        <v>14.6</v>
      </c>
      <c r="S12581" s="8">
        <v>15.3</v>
      </c>
      <c r="T12581" s="8">
        <v>0.7</v>
      </c>
      <c r="U12581" s="8">
        <v>14.2</v>
      </c>
      <c r="V12581" s="8">
        <v>0.9</v>
      </c>
      <c r="W12581" s="8">
        <v>0.9</v>
      </c>
      <c r="Y12581" s="8" t="s">
        <v>52720</v>
      </c>
      <c r="Z12581" s="8" t="s">
        <v>52721</v>
      </c>
    </row>
    <row r="12582" spans="1:26" x14ac:dyDescent="0.2">
      <c r="A12582" s="8">
        <v>12581</v>
      </c>
      <c r="B12582" s="8" t="s">
        <v>52722</v>
      </c>
      <c r="C12582" s="8" t="s">
        <v>52722</v>
      </c>
      <c r="G12582" s="8">
        <v>20</v>
      </c>
      <c r="H12582" s="8" t="s">
        <v>21</v>
      </c>
      <c r="I12582" s="8" t="s">
        <v>22</v>
      </c>
      <c r="J12582" s="8" t="s">
        <v>22</v>
      </c>
      <c r="K12582" s="8" t="s">
        <v>31</v>
      </c>
      <c r="L12582" s="8" t="s">
        <v>28435</v>
      </c>
      <c r="M12582" s="8" t="s">
        <v>28436</v>
      </c>
      <c r="N12582" s="8" t="s">
        <v>52723</v>
      </c>
      <c r="O12582" s="8">
        <f>18+41/60+43.6/3600</f>
        <v>18.695444444444444</v>
      </c>
      <c r="P12582" s="8" t="s">
        <v>52724</v>
      </c>
      <c r="Q12582" s="8">
        <f>-(63+56/60+51/3600)</f>
        <v>-63.947499999999998</v>
      </c>
      <c r="R12582" s="8">
        <v>12.6</v>
      </c>
      <c r="S12582" s="8">
        <v>13.4</v>
      </c>
      <c r="T12582" s="8">
        <v>0.8</v>
      </c>
      <c r="U12582" s="8">
        <v>12.7</v>
      </c>
      <c r="V12582" s="8">
        <v>1.4</v>
      </c>
      <c r="W12582" s="8">
        <v>0.9</v>
      </c>
      <c r="X12582" s="8">
        <v>35</v>
      </c>
      <c r="Y12582" s="8" t="s">
        <v>52725</v>
      </c>
      <c r="Z12582" s="8" t="s">
        <v>52726</v>
      </c>
    </row>
    <row r="12583" spans="1:26" x14ac:dyDescent="0.2">
      <c r="A12583" s="8">
        <v>12582</v>
      </c>
      <c r="B12583" s="8" t="s">
        <v>52727</v>
      </c>
      <c r="C12583" s="8" t="s">
        <v>52727</v>
      </c>
      <c r="G12583" s="8">
        <v>20</v>
      </c>
      <c r="H12583" s="8" t="s">
        <v>21</v>
      </c>
      <c r="I12583" s="8" t="s">
        <v>22</v>
      </c>
      <c r="J12583" s="8" t="s">
        <v>22</v>
      </c>
      <c r="K12583" s="8" t="s">
        <v>183</v>
      </c>
      <c r="L12583" s="8" t="s">
        <v>28435</v>
      </c>
      <c r="M12583" s="8" t="s">
        <v>28436</v>
      </c>
      <c r="N12583" s="8" t="s">
        <v>52728</v>
      </c>
      <c r="O12583" s="8">
        <f>18+41/60+52.2/3600</f>
        <v>18.697833333333335</v>
      </c>
      <c r="P12583" s="8" t="s">
        <v>52729</v>
      </c>
      <c r="Q12583" s="8">
        <f>-(63+51/60+42/3600)</f>
        <v>-63.861666666666665</v>
      </c>
      <c r="R12583" s="8">
        <v>11.9</v>
      </c>
      <c r="S12583" s="8">
        <v>12.9</v>
      </c>
      <c r="T12583" s="8">
        <v>1</v>
      </c>
      <c r="U12583" s="8">
        <v>12.7</v>
      </c>
      <c r="V12583" s="8">
        <v>1.7</v>
      </c>
      <c r="W12583" s="8">
        <v>1.4</v>
      </c>
      <c r="X12583" s="8">
        <v>20</v>
      </c>
      <c r="Y12583" s="8" t="s">
        <v>52730</v>
      </c>
      <c r="Z12583" s="8" t="s">
        <v>52731</v>
      </c>
    </row>
    <row r="12584" spans="1:26" x14ac:dyDescent="0.2">
      <c r="A12584" s="8">
        <v>12583</v>
      </c>
      <c r="B12584" s="8" t="s">
        <v>52732</v>
      </c>
      <c r="C12584" s="8" t="s">
        <v>52732</v>
      </c>
      <c r="G12584" s="8">
        <v>20</v>
      </c>
      <c r="H12584" s="8" t="s">
        <v>21</v>
      </c>
      <c r="I12584" s="8" t="s">
        <v>22</v>
      </c>
      <c r="J12584" s="8" t="s">
        <v>22</v>
      </c>
      <c r="K12584" s="8" t="s">
        <v>37</v>
      </c>
      <c r="L12584" s="8" t="s">
        <v>28435</v>
      </c>
      <c r="M12584" s="8" t="s">
        <v>28436</v>
      </c>
      <c r="N12584" s="8" t="s">
        <v>52733</v>
      </c>
      <c r="O12584" s="8">
        <f>18+41/60+29.3/3600</f>
        <v>18.691472222222224</v>
      </c>
      <c r="P12584" s="8" t="s">
        <v>52734</v>
      </c>
      <c r="Q12584" s="8">
        <f>-(61+46/60+19/3600)</f>
        <v>-61.771944444444443</v>
      </c>
      <c r="R12584" s="8">
        <v>13.7</v>
      </c>
      <c r="S12584" s="8">
        <v>14.7</v>
      </c>
      <c r="T12584" s="8">
        <v>1</v>
      </c>
      <c r="U12584" s="8">
        <v>12.4</v>
      </c>
      <c r="V12584" s="8">
        <v>0.8</v>
      </c>
      <c r="W12584" s="8">
        <v>0.4</v>
      </c>
      <c r="X12584" s="8">
        <v>97</v>
      </c>
      <c r="Y12584" s="8" t="s">
        <v>36198</v>
      </c>
      <c r="Z12584" s="8" t="s">
        <v>36199</v>
      </c>
    </row>
    <row r="12585" spans="1:26" x14ac:dyDescent="0.2">
      <c r="A12585" s="8">
        <v>12584</v>
      </c>
      <c r="B12585" s="8" t="s">
        <v>52735</v>
      </c>
      <c r="C12585" s="8" t="s">
        <v>52735</v>
      </c>
      <c r="G12585" s="8">
        <v>20</v>
      </c>
      <c r="H12585" s="8" t="s">
        <v>21</v>
      </c>
      <c r="I12585" s="8" t="s">
        <v>22</v>
      </c>
      <c r="J12585" s="8" t="s">
        <v>22</v>
      </c>
      <c r="K12585" s="8" t="s">
        <v>1174</v>
      </c>
      <c r="L12585" s="8" t="s">
        <v>28435</v>
      </c>
      <c r="M12585" s="8" t="s">
        <v>28436</v>
      </c>
      <c r="N12585" s="8" t="s">
        <v>52736</v>
      </c>
      <c r="O12585" s="8">
        <f>18+41/60+55.1/3600</f>
        <v>18.69863888888889</v>
      </c>
      <c r="P12585" s="8" t="s">
        <v>52737</v>
      </c>
      <c r="Q12585" s="8">
        <f>-(63+13/60+24/3600)</f>
        <v>-63.223333333333336</v>
      </c>
      <c r="R12585" s="8">
        <v>14.5</v>
      </c>
      <c r="S12585" s="8">
        <v>15.3</v>
      </c>
      <c r="T12585" s="8">
        <v>0.8</v>
      </c>
      <c r="U12585" s="8">
        <v>12.5</v>
      </c>
      <c r="V12585" s="8">
        <v>0.6</v>
      </c>
      <c r="W12585" s="8">
        <v>0.3</v>
      </c>
      <c r="X12585" s="8">
        <v>85</v>
      </c>
      <c r="Y12585" s="8" t="s">
        <v>52738</v>
      </c>
      <c r="Z12585" s="8" t="s">
        <v>52739</v>
      </c>
    </row>
    <row r="12586" spans="1:26" x14ac:dyDescent="0.2">
      <c r="A12586" s="8">
        <v>12585</v>
      </c>
      <c r="B12586" s="8" t="s">
        <v>52740</v>
      </c>
      <c r="C12586" s="8" t="s">
        <v>52740</v>
      </c>
      <c r="G12586" s="8">
        <v>20</v>
      </c>
      <c r="H12586" s="8" t="s">
        <v>21</v>
      </c>
      <c r="I12586" s="8" t="s">
        <v>22</v>
      </c>
      <c r="J12586" s="8" t="s">
        <v>22</v>
      </c>
      <c r="K12586" s="8" t="s">
        <v>31</v>
      </c>
      <c r="L12586" s="8" t="s">
        <v>28435</v>
      </c>
      <c r="M12586" s="8" t="s">
        <v>28436</v>
      </c>
      <c r="N12586" s="8" t="s">
        <v>52741</v>
      </c>
      <c r="O12586" s="8">
        <f>18+42/60+35.7/3600</f>
        <v>18.709916666666665</v>
      </c>
      <c r="P12586" s="8" t="s">
        <v>52742</v>
      </c>
      <c r="Q12586" s="8">
        <f>-(64+56/60+35/3600)</f>
        <v>-64.94305555555556</v>
      </c>
      <c r="R12586" s="8">
        <v>12.7</v>
      </c>
      <c r="S12586" s="8">
        <v>13.5</v>
      </c>
      <c r="T12586" s="8">
        <v>0.8</v>
      </c>
      <c r="U12586" s="8">
        <v>13.3</v>
      </c>
      <c r="V12586" s="8">
        <v>2.2000000000000002</v>
      </c>
      <c r="W12586" s="8">
        <v>0.9</v>
      </c>
      <c r="X12586" s="8">
        <v>179</v>
      </c>
      <c r="Y12586" s="8" t="s">
        <v>52743</v>
      </c>
      <c r="Z12586" s="8" t="s">
        <v>52744</v>
      </c>
    </row>
    <row r="12587" spans="1:26" x14ac:dyDescent="0.2">
      <c r="A12587" s="8">
        <v>12586</v>
      </c>
      <c r="B12587" s="8" t="s">
        <v>52745</v>
      </c>
      <c r="C12587" s="8" t="s">
        <v>52745</v>
      </c>
      <c r="G12587" s="8">
        <v>20</v>
      </c>
      <c r="H12587" s="8" t="s">
        <v>21</v>
      </c>
      <c r="I12587" s="8" t="s">
        <v>22</v>
      </c>
      <c r="J12587" s="8" t="s">
        <v>22</v>
      </c>
      <c r="K12587" s="8" t="s">
        <v>1174</v>
      </c>
      <c r="L12587" s="8" t="s">
        <v>28435</v>
      </c>
      <c r="M12587" s="8" t="s">
        <v>28436</v>
      </c>
      <c r="N12587" s="8" t="s">
        <v>52746</v>
      </c>
      <c r="O12587" s="8">
        <f>18+45/60+55/3600</f>
        <v>18.765277777777779</v>
      </c>
      <c r="P12587" s="8" t="s">
        <v>52747</v>
      </c>
      <c r="Q12587" s="8">
        <f>-(72+40/60+16/3600)</f>
        <v>-72.671111111111117</v>
      </c>
      <c r="R12587" s="8">
        <v>15.2</v>
      </c>
      <c r="S12587" s="8">
        <v>16</v>
      </c>
      <c r="T12587" s="8">
        <v>0.8</v>
      </c>
      <c r="U12587" s="8">
        <v>13.5</v>
      </c>
      <c r="V12587" s="8">
        <v>0.5</v>
      </c>
      <c r="W12587" s="8">
        <v>0.5</v>
      </c>
      <c r="Y12587" s="8" t="s">
        <v>962</v>
      </c>
      <c r="Z12587" s="8" t="s">
        <v>963</v>
      </c>
    </row>
    <row r="12588" spans="1:26" x14ac:dyDescent="0.2">
      <c r="A12588" s="8">
        <v>12587</v>
      </c>
      <c r="B12588" s="8" t="s">
        <v>52748</v>
      </c>
      <c r="C12588" s="8" t="s">
        <v>52748</v>
      </c>
      <c r="G12588" s="8">
        <v>20</v>
      </c>
      <c r="H12588" s="8" t="s">
        <v>21</v>
      </c>
      <c r="I12588" s="8" t="s">
        <v>22</v>
      </c>
      <c r="J12588" s="8" t="s">
        <v>22</v>
      </c>
      <c r="K12588" s="8" t="s">
        <v>42046</v>
      </c>
      <c r="L12588" s="8" t="s">
        <v>28435</v>
      </c>
      <c r="M12588" s="8" t="s">
        <v>28436</v>
      </c>
      <c r="N12588" s="8" t="s">
        <v>52749</v>
      </c>
      <c r="O12588" s="8">
        <f>18+45/60+57.7/3600</f>
        <v>18.766027777777779</v>
      </c>
      <c r="P12588" s="8" t="s">
        <v>52750</v>
      </c>
      <c r="Q12588" s="8">
        <f>-(72+37/60+47/3600)</f>
        <v>-72.629722222222213</v>
      </c>
      <c r="R12588" s="8">
        <v>14.1</v>
      </c>
      <c r="S12588" s="8">
        <v>14.9</v>
      </c>
      <c r="T12588" s="8">
        <v>0.8</v>
      </c>
      <c r="U12588" s="8">
        <v>12.3</v>
      </c>
      <c r="V12588" s="8">
        <v>1.1000000000000001</v>
      </c>
      <c r="W12588" s="8">
        <v>0.2</v>
      </c>
      <c r="X12588" s="8">
        <v>72</v>
      </c>
      <c r="Y12588" s="8" t="s">
        <v>52751</v>
      </c>
      <c r="Z12588" s="8" t="s">
        <v>52752</v>
      </c>
    </row>
    <row r="12589" spans="1:26" x14ac:dyDescent="0.2">
      <c r="A12589" s="8">
        <v>12588</v>
      </c>
      <c r="B12589" s="8" t="s">
        <v>52753</v>
      </c>
      <c r="C12589" s="8" t="s">
        <v>52753</v>
      </c>
      <c r="G12589" s="8">
        <v>20</v>
      </c>
      <c r="H12589" s="8" t="s">
        <v>21</v>
      </c>
      <c r="I12589" s="8" t="s">
        <v>22</v>
      </c>
      <c r="J12589" s="8" t="s">
        <v>22</v>
      </c>
      <c r="K12589" s="8" t="s">
        <v>37</v>
      </c>
      <c r="L12589" s="8" t="s">
        <v>28435</v>
      </c>
      <c r="M12589" s="8" t="s">
        <v>28436</v>
      </c>
      <c r="N12589" s="8" t="s">
        <v>52754</v>
      </c>
      <c r="O12589" s="8">
        <f>18+42/60+45.9/3600</f>
        <v>18.71275</v>
      </c>
      <c r="P12589" s="8" t="s">
        <v>52755</v>
      </c>
      <c r="Q12589" s="8">
        <f>-(64+4/60+20/3600)</f>
        <v>-64.072222222222223</v>
      </c>
      <c r="R12589" s="8">
        <v>13.2</v>
      </c>
      <c r="S12589" s="8">
        <v>14.2</v>
      </c>
      <c r="T12589" s="8">
        <v>1</v>
      </c>
      <c r="U12589" s="8">
        <v>12.6</v>
      </c>
      <c r="V12589" s="8">
        <v>0.8</v>
      </c>
      <c r="W12589" s="8">
        <v>0.8</v>
      </c>
      <c r="Y12589" s="8" t="s">
        <v>52756</v>
      </c>
      <c r="Z12589" s="8" t="s">
        <v>52757</v>
      </c>
    </row>
    <row r="12590" spans="1:26" x14ac:dyDescent="0.2">
      <c r="A12590" s="8">
        <v>12589</v>
      </c>
      <c r="B12590" s="8" t="s">
        <v>52758</v>
      </c>
      <c r="C12590" s="8" t="s">
        <v>52758</v>
      </c>
      <c r="G12590" s="8">
        <v>20</v>
      </c>
      <c r="H12590" s="8" t="s">
        <v>21</v>
      </c>
      <c r="I12590" s="8" t="s">
        <v>22</v>
      </c>
      <c r="J12590" s="8" t="s">
        <v>22</v>
      </c>
      <c r="K12590" s="8" t="s">
        <v>37</v>
      </c>
      <c r="L12590" s="8" t="s">
        <v>28435</v>
      </c>
      <c r="M12590" s="8" t="s">
        <v>28436</v>
      </c>
      <c r="N12590" s="8" t="s">
        <v>52759</v>
      </c>
      <c r="O12590" s="8">
        <f>18+42/60+49.4/3600</f>
        <v>18.71372222222222</v>
      </c>
      <c r="P12590" s="8" t="s">
        <v>52760</v>
      </c>
      <c r="Q12590" s="8">
        <f>-(63+12/60+32/3600)</f>
        <v>-63.208888888888893</v>
      </c>
      <c r="R12590" s="8">
        <v>13.1</v>
      </c>
      <c r="S12590" s="8">
        <v>14.1</v>
      </c>
      <c r="T12590" s="8">
        <v>1</v>
      </c>
      <c r="U12590" s="8">
        <v>12.2</v>
      </c>
      <c r="V12590" s="8">
        <v>0.7</v>
      </c>
      <c r="W12590" s="8">
        <v>0.7</v>
      </c>
      <c r="Y12590" s="8" t="s">
        <v>52761</v>
      </c>
      <c r="Z12590" s="8" t="s">
        <v>52762</v>
      </c>
    </row>
    <row r="12591" spans="1:26" x14ac:dyDescent="0.2">
      <c r="A12591" s="8">
        <v>12590</v>
      </c>
      <c r="B12591" s="8" t="s">
        <v>52763</v>
      </c>
      <c r="C12591" s="8" t="s">
        <v>52763</v>
      </c>
      <c r="G12591" s="8">
        <v>20</v>
      </c>
      <c r="H12591" s="8" t="s">
        <v>21</v>
      </c>
      <c r="I12591" s="8" t="s">
        <v>22</v>
      </c>
      <c r="J12591" s="8" t="s">
        <v>22</v>
      </c>
      <c r="K12591" s="8" t="s">
        <v>632</v>
      </c>
      <c r="L12591" s="8" t="s">
        <v>28435</v>
      </c>
      <c r="M12591" s="8" t="s">
        <v>28436</v>
      </c>
      <c r="N12591" s="8" t="s">
        <v>52764</v>
      </c>
      <c r="O12591" s="8">
        <f>18+43/60+2.4/3600</f>
        <v>18.717333333333332</v>
      </c>
      <c r="P12591" s="8" t="s">
        <v>52765</v>
      </c>
      <c r="Q12591" s="8">
        <f>-(62+58/60+16/3600)</f>
        <v>-62.971111111111114</v>
      </c>
      <c r="R12591" s="8">
        <v>14.2</v>
      </c>
      <c r="S12591" s="8">
        <v>15.1</v>
      </c>
      <c r="T12591" s="8">
        <v>0.9</v>
      </c>
      <c r="U12591" s="8">
        <v>13.2</v>
      </c>
      <c r="V12591" s="8">
        <v>1.1000000000000001</v>
      </c>
      <c r="W12591" s="8">
        <v>0.4</v>
      </c>
      <c r="X12591" s="8">
        <v>112</v>
      </c>
      <c r="Y12591" s="8" t="s">
        <v>52766</v>
      </c>
      <c r="Z12591" s="8" t="s">
        <v>52767</v>
      </c>
    </row>
    <row r="12592" spans="1:26" x14ac:dyDescent="0.2">
      <c r="A12592" s="8">
        <v>12591</v>
      </c>
      <c r="B12592" s="8" t="s">
        <v>52768</v>
      </c>
      <c r="C12592" s="8" t="s">
        <v>52768</v>
      </c>
      <c r="G12592" s="8">
        <v>20</v>
      </c>
      <c r="H12592" s="8" t="s">
        <v>21</v>
      </c>
      <c r="I12592" s="8" t="s">
        <v>22</v>
      </c>
      <c r="J12592" s="8" t="s">
        <v>22</v>
      </c>
      <c r="K12592" s="8" t="s">
        <v>224</v>
      </c>
      <c r="L12592" s="8" t="s">
        <v>28435</v>
      </c>
      <c r="M12592" s="8" t="s">
        <v>28436</v>
      </c>
      <c r="N12592" s="8" t="s">
        <v>52769</v>
      </c>
      <c r="O12592" s="8">
        <f>18+43/60+19.5/3600</f>
        <v>18.72208333333333</v>
      </c>
      <c r="P12592" s="8" t="s">
        <v>52770</v>
      </c>
      <c r="Q12592" s="8">
        <f>-(62+6/60+42/3600)</f>
        <v>-62.111666666666665</v>
      </c>
      <c r="R12592" s="8">
        <v>13.1</v>
      </c>
      <c r="S12592" s="8">
        <v>14.1</v>
      </c>
      <c r="T12592" s="8">
        <v>1</v>
      </c>
      <c r="U12592" s="8">
        <v>12.6</v>
      </c>
      <c r="V12592" s="8">
        <v>1</v>
      </c>
      <c r="W12592" s="8">
        <v>0.7</v>
      </c>
      <c r="X12592" s="8">
        <v>3</v>
      </c>
      <c r="Y12592" s="8" t="s">
        <v>115</v>
      </c>
      <c r="Z12592" s="8" t="s">
        <v>116</v>
      </c>
    </row>
    <row r="12593" spans="1:26" x14ac:dyDescent="0.2">
      <c r="A12593" s="8">
        <v>12592</v>
      </c>
      <c r="B12593" s="8" t="s">
        <v>52771</v>
      </c>
      <c r="C12593" s="8" t="s">
        <v>52771</v>
      </c>
      <c r="G12593" s="8">
        <v>20</v>
      </c>
      <c r="H12593" s="8" t="s">
        <v>21</v>
      </c>
      <c r="I12593" s="8" t="s">
        <v>22</v>
      </c>
      <c r="J12593" s="8" t="s">
        <v>22</v>
      </c>
      <c r="K12593" s="8" t="s">
        <v>52772</v>
      </c>
      <c r="L12593" s="8" t="s">
        <v>28435</v>
      </c>
      <c r="M12593" s="8" t="s">
        <v>28436</v>
      </c>
      <c r="N12593" s="8" t="s">
        <v>52773</v>
      </c>
      <c r="O12593" s="8">
        <f>18+43/60+47.7/3600</f>
        <v>18.729916666666664</v>
      </c>
      <c r="P12593" s="8" t="s">
        <v>52774</v>
      </c>
      <c r="Q12593" s="8">
        <f>-(64+4/60+54/3600)</f>
        <v>-64.081666666666663</v>
      </c>
      <c r="R12593" s="8">
        <v>14.7</v>
      </c>
      <c r="S12593" s="8">
        <v>15.5</v>
      </c>
      <c r="T12593" s="8">
        <v>0.8</v>
      </c>
      <c r="U12593" s="8">
        <v>13.8</v>
      </c>
      <c r="V12593" s="8">
        <v>0.7</v>
      </c>
      <c r="W12593" s="8">
        <v>0.7</v>
      </c>
      <c r="Y12593" s="8" t="s">
        <v>52775</v>
      </c>
      <c r="Z12593" s="8" t="s">
        <v>52776</v>
      </c>
    </row>
    <row r="12594" spans="1:26" x14ac:dyDescent="0.2">
      <c r="A12594" s="8">
        <v>12593</v>
      </c>
      <c r="B12594" s="8" t="s">
        <v>52777</v>
      </c>
      <c r="C12594" s="8" t="s">
        <v>52777</v>
      </c>
      <c r="G12594" s="8">
        <v>20</v>
      </c>
      <c r="H12594" s="8" t="s">
        <v>21</v>
      </c>
      <c r="I12594" s="8" t="s">
        <v>22</v>
      </c>
      <c r="J12594" s="8" t="s">
        <v>22</v>
      </c>
      <c r="K12594" s="8" t="s">
        <v>183</v>
      </c>
      <c r="L12594" s="8" t="s">
        <v>28435</v>
      </c>
      <c r="M12594" s="8" t="s">
        <v>28436</v>
      </c>
      <c r="N12594" s="8" t="s">
        <v>52778</v>
      </c>
      <c r="O12594" s="8">
        <f>18+43/60+33/3600</f>
        <v>18.72583333333333</v>
      </c>
      <c r="P12594" s="8" t="s">
        <v>52779</v>
      </c>
      <c r="Q12594" s="8">
        <f>-(62+6/60+28/3600)</f>
        <v>-62.107777777777777</v>
      </c>
      <c r="R12594" s="8">
        <v>13.5</v>
      </c>
      <c r="S12594" s="8">
        <v>14.6</v>
      </c>
      <c r="T12594" s="8">
        <v>1.1000000000000001</v>
      </c>
      <c r="U12594" s="8">
        <v>12.5</v>
      </c>
      <c r="V12594" s="8">
        <v>0.7</v>
      </c>
      <c r="W12594" s="8">
        <v>0.6</v>
      </c>
      <c r="X12594" s="8">
        <v>5</v>
      </c>
      <c r="Y12594" s="8" t="s">
        <v>115</v>
      </c>
      <c r="Z12594" s="8" t="s">
        <v>116</v>
      </c>
    </row>
    <row r="12595" spans="1:26" x14ac:dyDescent="0.2">
      <c r="A12595" s="8">
        <v>12594</v>
      </c>
      <c r="B12595" s="8" t="s">
        <v>52780</v>
      </c>
      <c r="C12595" s="8" t="s">
        <v>52780</v>
      </c>
      <c r="G12595" s="8">
        <v>20</v>
      </c>
      <c r="H12595" s="8" t="s">
        <v>21</v>
      </c>
      <c r="I12595" s="8" t="s">
        <v>22</v>
      </c>
      <c r="J12595" s="8" t="s">
        <v>22</v>
      </c>
      <c r="K12595" s="8" t="s">
        <v>218</v>
      </c>
      <c r="L12595" s="8" t="s">
        <v>28435</v>
      </c>
      <c r="M12595" s="8" t="s">
        <v>28436</v>
      </c>
      <c r="N12595" s="8" t="s">
        <v>52781</v>
      </c>
      <c r="O12595" s="8">
        <f>18+44/60+0.4/3600</f>
        <v>18.733444444444444</v>
      </c>
      <c r="P12595" s="8" t="s">
        <v>52782</v>
      </c>
      <c r="Q12595" s="8">
        <f>-(61+59/60+21/3600)</f>
        <v>-61.989166666666669</v>
      </c>
      <c r="R12595" s="8">
        <v>13.3</v>
      </c>
      <c r="S12595" s="8">
        <v>14.1</v>
      </c>
      <c r="T12595" s="8">
        <v>0.8</v>
      </c>
      <c r="U12595" s="8">
        <v>13.8</v>
      </c>
      <c r="V12595" s="8">
        <v>1.3</v>
      </c>
      <c r="W12595" s="8">
        <v>1.2</v>
      </c>
      <c r="X12595" s="8">
        <v>122</v>
      </c>
      <c r="Y12595" s="8" t="s">
        <v>52783</v>
      </c>
      <c r="Z12595" s="8" t="s">
        <v>52784</v>
      </c>
    </row>
    <row r="12596" spans="1:26" x14ac:dyDescent="0.2">
      <c r="A12596" s="8">
        <v>12595</v>
      </c>
      <c r="B12596" s="8" t="s">
        <v>52785</v>
      </c>
      <c r="C12596" s="8" t="s">
        <v>52785</v>
      </c>
      <c r="G12596" s="8">
        <v>20</v>
      </c>
      <c r="H12596" s="8" t="s">
        <v>21</v>
      </c>
      <c r="I12596" s="8" t="s">
        <v>22</v>
      </c>
      <c r="J12596" s="8" t="s">
        <v>22</v>
      </c>
      <c r="K12596" s="8" t="s">
        <v>31</v>
      </c>
      <c r="L12596" s="8" t="s">
        <v>28435</v>
      </c>
      <c r="M12596" s="8" t="s">
        <v>28436</v>
      </c>
      <c r="N12596" s="8" t="s">
        <v>52786</v>
      </c>
      <c r="O12596" s="8">
        <f>18+45/60+0.9/3600</f>
        <v>18.750250000000001</v>
      </c>
      <c r="P12596" s="8" t="s">
        <v>52787</v>
      </c>
      <c r="Q12596" s="8">
        <f>-(63+41/60+30/3600)</f>
        <v>-63.691666666666663</v>
      </c>
      <c r="R12596" s="8">
        <v>14.3</v>
      </c>
      <c r="S12596" s="8">
        <v>15.1</v>
      </c>
      <c r="T12596" s="8">
        <v>0.8</v>
      </c>
      <c r="U12596" s="8">
        <v>13.1</v>
      </c>
      <c r="V12596" s="8">
        <v>1.3</v>
      </c>
      <c r="W12596" s="8">
        <v>0.3</v>
      </c>
      <c r="X12596" s="8">
        <v>95</v>
      </c>
      <c r="Y12596" s="8" t="s">
        <v>52788</v>
      </c>
      <c r="Z12596" s="8" t="s">
        <v>52789</v>
      </c>
    </row>
    <row r="12597" spans="1:26" x14ac:dyDescent="0.2">
      <c r="A12597" s="8">
        <v>12596</v>
      </c>
      <c r="B12597" s="8" t="s">
        <v>52790</v>
      </c>
      <c r="C12597" s="8" t="s">
        <v>52790</v>
      </c>
      <c r="G12597" s="8">
        <v>7</v>
      </c>
      <c r="H12597" s="8" t="s">
        <v>52791</v>
      </c>
      <c r="I12597" s="8" t="s">
        <v>557</v>
      </c>
      <c r="J12597" s="8" t="s">
        <v>557</v>
      </c>
      <c r="K12597" s="8" t="s">
        <v>3217</v>
      </c>
      <c r="L12597" s="8" t="s">
        <v>26227</v>
      </c>
      <c r="M12597" s="8" t="s">
        <v>26228</v>
      </c>
      <c r="N12597" s="8" t="s">
        <v>52792</v>
      </c>
      <c r="O12597" s="8">
        <f>18+38/60+54/3600</f>
        <v>18.648333333333333</v>
      </c>
      <c r="P12597" s="8" t="s">
        <v>52793</v>
      </c>
      <c r="Q12597" s="8">
        <f>+(5+26/60+0/3600)</f>
        <v>5.4333333333333336</v>
      </c>
      <c r="R12597" s="8">
        <v>4.5999999999999996</v>
      </c>
      <c r="S12597" s="8">
        <v>99</v>
      </c>
      <c r="T12597" s="8">
        <v>99</v>
      </c>
      <c r="U12597" s="8">
        <v>99</v>
      </c>
      <c r="V12597" s="8">
        <v>40</v>
      </c>
      <c r="Y12597" s="8" t="s">
        <v>52794</v>
      </c>
      <c r="Z12597" s="8" t="s">
        <v>52795</v>
      </c>
    </row>
    <row r="12598" spans="1:26" x14ac:dyDescent="0.2">
      <c r="A12598" s="8">
        <v>12597</v>
      </c>
      <c r="B12598" s="8" t="s">
        <v>52796</v>
      </c>
      <c r="C12598" s="8" t="s">
        <v>52796</v>
      </c>
      <c r="G12598" s="8">
        <v>20</v>
      </c>
      <c r="H12598" s="8" t="s">
        <v>21</v>
      </c>
      <c r="I12598" s="8" t="s">
        <v>22</v>
      </c>
      <c r="J12598" s="8" t="s">
        <v>22</v>
      </c>
      <c r="K12598" s="8" t="s">
        <v>632</v>
      </c>
      <c r="L12598" s="8" t="s">
        <v>28435</v>
      </c>
      <c r="M12598" s="8" t="s">
        <v>28436</v>
      </c>
      <c r="N12598" s="8" t="s">
        <v>52797</v>
      </c>
      <c r="O12598" s="8">
        <f>18+43/60+56/3600</f>
        <v>18.732222222222219</v>
      </c>
      <c r="P12598" s="8" t="s">
        <v>52798</v>
      </c>
      <c r="Q12598" s="8">
        <f>-(57+10/60+3/3600)</f>
        <v>-57.167499999999997</v>
      </c>
      <c r="R12598" s="8">
        <v>13.4</v>
      </c>
      <c r="S12598" s="8">
        <v>14.3</v>
      </c>
      <c r="T12598" s="8">
        <v>0.9</v>
      </c>
      <c r="U12598" s="8">
        <v>12.2</v>
      </c>
      <c r="V12598" s="8">
        <v>0.9</v>
      </c>
      <c r="W12598" s="8">
        <v>0.4</v>
      </c>
      <c r="X12598" s="8">
        <v>57</v>
      </c>
      <c r="Y12598" s="8" t="s">
        <v>52799</v>
      </c>
      <c r="Z12598" s="8" t="s">
        <v>52800</v>
      </c>
    </row>
    <row r="12599" spans="1:26" x14ac:dyDescent="0.2">
      <c r="A12599" s="8">
        <v>12598</v>
      </c>
      <c r="B12599" s="8" t="s">
        <v>52801</v>
      </c>
      <c r="C12599" s="8" t="s">
        <v>52801</v>
      </c>
      <c r="G12599" s="8">
        <v>20</v>
      </c>
      <c r="H12599" s="8" t="s">
        <v>21</v>
      </c>
      <c r="I12599" s="8" t="s">
        <v>22</v>
      </c>
      <c r="J12599" s="8" t="s">
        <v>22</v>
      </c>
      <c r="K12599" s="8" t="s">
        <v>160</v>
      </c>
      <c r="L12599" s="8" t="s">
        <v>28435</v>
      </c>
      <c r="M12599" s="8" t="s">
        <v>28436</v>
      </c>
      <c r="N12599" s="8" t="s">
        <v>52802</v>
      </c>
      <c r="O12599" s="8">
        <f>18+46/60+18/3600</f>
        <v>18.771666666666665</v>
      </c>
      <c r="P12599" s="8" t="s">
        <v>52803</v>
      </c>
      <c r="Q12599" s="8">
        <f>-(65+45/60+24/3600)</f>
        <v>-65.756666666666661</v>
      </c>
      <c r="R12599" s="8">
        <v>13.1</v>
      </c>
      <c r="S12599" s="8">
        <v>13.8</v>
      </c>
      <c r="T12599" s="8">
        <v>0.7</v>
      </c>
      <c r="U12599" s="8">
        <v>13</v>
      </c>
      <c r="V12599" s="8">
        <v>1.1000000000000001</v>
      </c>
      <c r="W12599" s="8">
        <v>0.9</v>
      </c>
      <c r="X12599" s="8">
        <v>140</v>
      </c>
      <c r="Y12599" s="8" t="s">
        <v>170</v>
      </c>
      <c r="Z12599" s="8" t="s">
        <v>171</v>
      </c>
    </row>
    <row r="12600" spans="1:26" x14ac:dyDescent="0.2">
      <c r="A12600" s="8">
        <v>12599</v>
      </c>
      <c r="B12600" s="8" t="s">
        <v>52804</v>
      </c>
      <c r="C12600" s="8" t="s">
        <v>52804</v>
      </c>
      <c r="G12600" s="8">
        <v>20</v>
      </c>
      <c r="H12600" s="8" t="s">
        <v>21</v>
      </c>
      <c r="I12600" s="8" t="s">
        <v>22</v>
      </c>
      <c r="J12600" s="8" t="s">
        <v>22</v>
      </c>
      <c r="K12600" s="8" t="s">
        <v>4219</v>
      </c>
      <c r="L12600" s="8" t="s">
        <v>28435</v>
      </c>
      <c r="M12600" s="8" t="s">
        <v>28436</v>
      </c>
      <c r="N12600" s="8" t="s">
        <v>52805</v>
      </c>
      <c r="O12600" s="8">
        <f>18+45/60+41.2/3600</f>
        <v>18.761444444444443</v>
      </c>
      <c r="P12600" s="8" t="s">
        <v>52806</v>
      </c>
      <c r="Q12600" s="8">
        <f>-(63+5/60+11/3600)</f>
        <v>-63.086388888888891</v>
      </c>
      <c r="R12600" s="8">
        <v>14.8</v>
      </c>
      <c r="S12600" s="8">
        <v>15.4</v>
      </c>
      <c r="T12600" s="8">
        <v>0.6</v>
      </c>
      <c r="U12600" s="8">
        <v>14</v>
      </c>
      <c r="V12600" s="8">
        <v>0.9</v>
      </c>
      <c r="W12600" s="8">
        <v>0.6</v>
      </c>
      <c r="X12600" s="8">
        <v>10</v>
      </c>
      <c r="Y12600" s="8" t="s">
        <v>1829</v>
      </c>
      <c r="Z12600" s="8" t="s">
        <v>1830</v>
      </c>
    </row>
    <row r="12601" spans="1:26" x14ac:dyDescent="0.2">
      <c r="A12601" s="8">
        <v>12600</v>
      </c>
      <c r="B12601" s="8" t="s">
        <v>52807</v>
      </c>
      <c r="C12601" s="8" t="s">
        <v>52807</v>
      </c>
      <c r="G12601" s="8">
        <v>20</v>
      </c>
      <c r="H12601" s="8" t="s">
        <v>21</v>
      </c>
      <c r="I12601" s="8" t="s">
        <v>22</v>
      </c>
      <c r="J12601" s="8" t="s">
        <v>22</v>
      </c>
      <c r="K12601" s="8" t="s">
        <v>37</v>
      </c>
      <c r="L12601" s="8" t="s">
        <v>28435</v>
      </c>
      <c r="M12601" s="8" t="s">
        <v>28436</v>
      </c>
      <c r="N12601" s="8" t="s">
        <v>52808</v>
      </c>
      <c r="O12601" s="8">
        <f>18+45/60+45.9/3600</f>
        <v>18.76275</v>
      </c>
      <c r="P12601" s="8" t="s">
        <v>52809</v>
      </c>
      <c r="Q12601" s="8">
        <f>-(62+57/60+29/3600)</f>
        <v>-62.958055555555561</v>
      </c>
      <c r="R12601" s="8">
        <v>14.1</v>
      </c>
      <c r="S12601" s="8">
        <v>15.1</v>
      </c>
      <c r="T12601" s="8">
        <v>1</v>
      </c>
      <c r="U12601" s="8">
        <v>13.5</v>
      </c>
      <c r="V12601" s="8">
        <v>0.8</v>
      </c>
      <c r="W12601" s="8">
        <v>0.8</v>
      </c>
      <c r="Y12601" s="8" t="s">
        <v>52810</v>
      </c>
      <c r="Z12601" s="8" t="s">
        <v>52811</v>
      </c>
    </row>
    <row r="12602" spans="1:26" x14ac:dyDescent="0.2">
      <c r="A12602" s="8">
        <v>12601</v>
      </c>
      <c r="B12602" s="8" t="s">
        <v>52812</v>
      </c>
      <c r="C12602" s="8" t="s">
        <v>52812</v>
      </c>
      <c r="G12602" s="8">
        <v>20</v>
      </c>
      <c r="H12602" s="8" t="s">
        <v>21</v>
      </c>
      <c r="I12602" s="8" t="s">
        <v>22</v>
      </c>
      <c r="J12602" s="8" t="s">
        <v>22</v>
      </c>
      <c r="K12602" s="8" t="s">
        <v>85</v>
      </c>
      <c r="L12602" s="8" t="s">
        <v>29246</v>
      </c>
      <c r="M12602" s="8" t="s">
        <v>29247</v>
      </c>
      <c r="N12602" s="8" t="s">
        <v>52813</v>
      </c>
      <c r="O12602" s="8">
        <f>18+43/60+55.5/3600</f>
        <v>18.732083333333332</v>
      </c>
      <c r="P12602" s="8" t="s">
        <v>52814</v>
      </c>
      <c r="Q12602" s="8">
        <f>-(52+51/60+12/3600)</f>
        <v>-52.853333333333332</v>
      </c>
      <c r="R12602" s="8">
        <v>13.1</v>
      </c>
      <c r="S12602" s="8">
        <v>13.9</v>
      </c>
      <c r="T12602" s="8">
        <v>0.8</v>
      </c>
      <c r="U12602" s="8">
        <v>13.7</v>
      </c>
      <c r="V12602" s="8">
        <v>1.6</v>
      </c>
      <c r="W12602" s="8">
        <v>1.3</v>
      </c>
      <c r="X12602" s="8">
        <v>115</v>
      </c>
      <c r="Y12602" s="8" t="s">
        <v>52815</v>
      </c>
      <c r="Z12602" s="8" t="s">
        <v>52816</v>
      </c>
    </row>
    <row r="12603" spans="1:26" x14ac:dyDescent="0.2">
      <c r="A12603" s="8">
        <v>12602</v>
      </c>
      <c r="B12603" s="8" t="s">
        <v>52817</v>
      </c>
      <c r="C12603" s="8" t="s">
        <v>52817</v>
      </c>
      <c r="G12603" s="8">
        <v>20</v>
      </c>
      <c r="H12603" s="8" t="s">
        <v>21</v>
      </c>
      <c r="I12603" s="8" t="s">
        <v>72</v>
      </c>
      <c r="J12603" s="8" t="s">
        <v>72</v>
      </c>
      <c r="K12603" s="8" t="s">
        <v>73</v>
      </c>
      <c r="L12603" s="8" t="s">
        <v>13395</v>
      </c>
      <c r="M12603" s="8" t="s">
        <v>13396</v>
      </c>
      <c r="N12603" s="8" t="s">
        <v>52818</v>
      </c>
      <c r="O12603" s="8">
        <f>18+32/60+28.7/3600</f>
        <v>18.541305555555557</v>
      </c>
      <c r="P12603" s="8" t="s">
        <v>52819</v>
      </c>
      <c r="Q12603" s="8">
        <f>+(67+51/60+30/3600)</f>
        <v>67.858333333333334</v>
      </c>
      <c r="R12603" s="8">
        <v>99</v>
      </c>
      <c r="S12603" s="8">
        <v>99</v>
      </c>
      <c r="T12603" s="8">
        <v>99</v>
      </c>
      <c r="U12603" s="8">
        <v>99</v>
      </c>
      <c r="Y12603" s="8" t="s">
        <v>52820</v>
      </c>
      <c r="Z12603" s="8" t="s">
        <v>52821</v>
      </c>
    </row>
    <row r="12604" spans="1:26" x14ac:dyDescent="0.2">
      <c r="A12604" s="8">
        <v>12603</v>
      </c>
      <c r="B12604" s="8" t="s">
        <v>52822</v>
      </c>
      <c r="C12604" s="8" t="s">
        <v>52822</v>
      </c>
      <c r="G12604" s="8">
        <v>20</v>
      </c>
      <c r="H12604" s="8" t="s">
        <v>21</v>
      </c>
      <c r="I12604" s="8" t="s">
        <v>22</v>
      </c>
      <c r="J12604" s="8" t="s">
        <v>57</v>
      </c>
      <c r="K12604" s="8" t="s">
        <v>424</v>
      </c>
      <c r="L12604" s="8" t="s">
        <v>13395</v>
      </c>
      <c r="M12604" s="8" t="s">
        <v>13396</v>
      </c>
      <c r="N12604" s="8" t="s">
        <v>29637</v>
      </c>
      <c r="O12604" s="8">
        <f>18+33/60+30.4/3600</f>
        <v>18.558444444444444</v>
      </c>
      <c r="P12604" s="8" t="s">
        <v>29638</v>
      </c>
      <c r="Q12604" s="8">
        <f>+(67+8/60+13/3600)</f>
        <v>67.136944444444453</v>
      </c>
      <c r="R12604" s="8">
        <v>13.1</v>
      </c>
      <c r="S12604" s="8">
        <v>14.1</v>
      </c>
      <c r="T12604" s="8">
        <v>1</v>
      </c>
      <c r="U12604" s="8">
        <v>10.6</v>
      </c>
      <c r="V12604" s="8">
        <v>0.4</v>
      </c>
      <c r="W12604" s="8">
        <v>0.3</v>
      </c>
      <c r="X12604" s="8">
        <v>90</v>
      </c>
      <c r="Y12604" s="8" t="s">
        <v>52823</v>
      </c>
      <c r="Z12604" s="8" t="s">
        <v>52824</v>
      </c>
    </row>
    <row r="12605" spans="1:26" x14ac:dyDescent="0.2">
      <c r="A12605" s="8">
        <v>12604</v>
      </c>
      <c r="B12605" s="8" t="s">
        <v>52825</v>
      </c>
      <c r="C12605" s="8" t="s">
        <v>52825</v>
      </c>
      <c r="G12605" s="8">
        <v>20</v>
      </c>
      <c r="H12605" s="8" t="s">
        <v>21</v>
      </c>
      <c r="I12605" s="8" t="s">
        <v>22</v>
      </c>
      <c r="J12605" s="8" t="s">
        <v>22</v>
      </c>
      <c r="K12605" s="8" t="s">
        <v>632</v>
      </c>
      <c r="L12605" s="8" t="s">
        <v>28435</v>
      </c>
      <c r="M12605" s="8" t="s">
        <v>28436</v>
      </c>
      <c r="N12605" s="8" t="s">
        <v>52826</v>
      </c>
      <c r="O12605" s="8">
        <f>18+47/60+7.6/3600</f>
        <v>18.785444444444447</v>
      </c>
      <c r="P12605" s="8" t="s">
        <v>52827</v>
      </c>
      <c r="Q12605" s="8">
        <f>-(63+29/60+4/3600)</f>
        <v>-63.484444444444442</v>
      </c>
      <c r="R12605" s="8">
        <v>13.6</v>
      </c>
      <c r="S12605" s="8">
        <v>14.5</v>
      </c>
      <c r="T12605" s="8">
        <v>0.9</v>
      </c>
      <c r="U12605" s="8">
        <v>12.3</v>
      </c>
      <c r="V12605" s="8">
        <v>1.3</v>
      </c>
      <c r="W12605" s="8">
        <v>0.3</v>
      </c>
      <c r="X12605" s="8">
        <v>127</v>
      </c>
      <c r="Y12605" s="8" t="s">
        <v>52828</v>
      </c>
      <c r="Z12605" s="8" t="s">
        <v>52829</v>
      </c>
    </row>
    <row r="12606" spans="1:26" x14ac:dyDescent="0.2">
      <c r="A12606" s="8">
        <v>12605</v>
      </c>
      <c r="B12606" s="8" t="s">
        <v>52830</v>
      </c>
      <c r="C12606" s="8" t="s">
        <v>52830</v>
      </c>
      <c r="G12606" s="8">
        <v>20</v>
      </c>
      <c r="H12606" s="8" t="s">
        <v>21</v>
      </c>
      <c r="I12606" s="8" t="s">
        <v>22</v>
      </c>
      <c r="J12606" s="8" t="s">
        <v>22</v>
      </c>
      <c r="K12606" s="8" t="s">
        <v>1068</v>
      </c>
      <c r="L12606" s="8" t="s">
        <v>28435</v>
      </c>
      <c r="M12606" s="8" t="s">
        <v>28436</v>
      </c>
      <c r="N12606" s="8" t="s">
        <v>52831</v>
      </c>
      <c r="O12606" s="8">
        <f>18+47/60+18.1/3600</f>
        <v>18.788361111111112</v>
      </c>
      <c r="P12606" s="8" t="s">
        <v>52832</v>
      </c>
      <c r="Q12606" s="8">
        <f>-(63+19/60+52/3600)</f>
        <v>-63.331111111111113</v>
      </c>
      <c r="R12606" s="8">
        <v>11.2</v>
      </c>
      <c r="S12606" s="8">
        <v>12.2</v>
      </c>
      <c r="T12606" s="8">
        <v>1</v>
      </c>
      <c r="U12606" s="8">
        <v>13.3</v>
      </c>
      <c r="V12606" s="8">
        <v>3.5</v>
      </c>
      <c r="W12606" s="8">
        <v>1.9</v>
      </c>
      <c r="X12606" s="8">
        <v>115</v>
      </c>
      <c r="Y12606" s="8" t="s">
        <v>2248</v>
      </c>
      <c r="Z12606" s="8" t="s">
        <v>2249</v>
      </c>
    </row>
    <row r="12607" spans="1:26" x14ac:dyDescent="0.2">
      <c r="A12607" s="8">
        <v>12606</v>
      </c>
      <c r="B12607" s="8" t="s">
        <v>52833</v>
      </c>
      <c r="C12607" s="8" t="s">
        <v>52833</v>
      </c>
      <c r="G12607" s="8">
        <v>20</v>
      </c>
      <c r="H12607" s="8" t="s">
        <v>21</v>
      </c>
      <c r="I12607" s="8" t="s">
        <v>22</v>
      </c>
      <c r="J12607" s="8" t="s">
        <v>22</v>
      </c>
      <c r="K12607" s="8" t="s">
        <v>632</v>
      </c>
      <c r="L12607" s="8" t="s">
        <v>28435</v>
      </c>
      <c r="M12607" s="8" t="s">
        <v>28436</v>
      </c>
      <c r="N12607" s="8" t="s">
        <v>52834</v>
      </c>
      <c r="O12607" s="8">
        <f>18+47/60+35.6/3600</f>
        <v>18.793222222222223</v>
      </c>
      <c r="P12607" s="8" t="s">
        <v>52835</v>
      </c>
      <c r="Q12607" s="8">
        <f>-(63+17/60+32/3600)</f>
        <v>-63.292222222222222</v>
      </c>
      <c r="R12607" s="8">
        <v>12.8</v>
      </c>
      <c r="S12607" s="8">
        <v>13.8</v>
      </c>
      <c r="T12607" s="8">
        <v>1</v>
      </c>
      <c r="U12607" s="8">
        <v>12.9</v>
      </c>
      <c r="V12607" s="8">
        <v>1.2</v>
      </c>
      <c r="W12607" s="8">
        <v>0.4</v>
      </c>
      <c r="X12607" s="8">
        <v>110</v>
      </c>
      <c r="Y12607" s="8" t="s">
        <v>33077</v>
      </c>
      <c r="Z12607" s="8" t="s">
        <v>33078</v>
      </c>
    </row>
    <row r="12608" spans="1:26" x14ac:dyDescent="0.2">
      <c r="A12608" s="8">
        <v>12607</v>
      </c>
      <c r="B12608" s="8" t="s">
        <v>52836</v>
      </c>
      <c r="C12608" s="8" t="s">
        <v>52836</v>
      </c>
      <c r="G12608" s="8">
        <v>20</v>
      </c>
      <c r="H12608" s="8" t="s">
        <v>21</v>
      </c>
      <c r="I12608" s="8" t="s">
        <v>22</v>
      </c>
      <c r="J12608" s="8" t="s">
        <v>22</v>
      </c>
      <c r="K12608" s="8" t="s">
        <v>632</v>
      </c>
      <c r="L12608" s="8" t="s">
        <v>28435</v>
      </c>
      <c r="M12608" s="8" t="s">
        <v>28436</v>
      </c>
      <c r="N12608" s="8" t="s">
        <v>52837</v>
      </c>
      <c r="O12608" s="8">
        <f>18+47/60+41.8/3600</f>
        <v>18.794944444444447</v>
      </c>
      <c r="P12608" s="8" t="s">
        <v>52838</v>
      </c>
      <c r="Q12608" s="8">
        <f>-(63+24/60+19/3600)</f>
        <v>-63.405277777777776</v>
      </c>
      <c r="R12608" s="8">
        <v>13.4</v>
      </c>
      <c r="S12608" s="8">
        <v>14.3</v>
      </c>
      <c r="T12608" s="8">
        <v>0.9</v>
      </c>
      <c r="U12608" s="8">
        <v>12.8</v>
      </c>
      <c r="V12608" s="8">
        <v>1.5</v>
      </c>
      <c r="W12608" s="8">
        <v>0.5</v>
      </c>
      <c r="X12608" s="8">
        <v>30</v>
      </c>
      <c r="Y12608" s="8" t="s">
        <v>52839</v>
      </c>
      <c r="Z12608" s="8" t="s">
        <v>52840</v>
      </c>
    </row>
    <row r="12609" spans="1:26" x14ac:dyDescent="0.2">
      <c r="A12609" s="8">
        <v>12608</v>
      </c>
      <c r="B12609" s="8" t="s">
        <v>52841</v>
      </c>
      <c r="C12609" s="8" t="s">
        <v>52841</v>
      </c>
      <c r="G12609" s="8">
        <v>20</v>
      </c>
      <c r="H12609" s="8" t="s">
        <v>21</v>
      </c>
      <c r="I12609" s="8" t="s">
        <v>72</v>
      </c>
      <c r="J12609" s="8" t="s">
        <v>72</v>
      </c>
      <c r="K12609" s="8" t="s">
        <v>1405</v>
      </c>
      <c r="L12609" s="8" t="s">
        <v>29416</v>
      </c>
      <c r="M12609" s="8" t="s">
        <v>29417</v>
      </c>
      <c r="N12609" s="8" t="s">
        <v>52842</v>
      </c>
      <c r="O12609" s="8">
        <f>18+41/60+45/3600</f>
        <v>18.695833333333333</v>
      </c>
      <c r="P12609" s="8" t="s">
        <v>52843</v>
      </c>
      <c r="Q12609" s="8">
        <f>-(5+31/60+24/3600)</f>
        <v>-5.5233333333333334</v>
      </c>
      <c r="R12609" s="8">
        <v>99</v>
      </c>
      <c r="S12609" s="8">
        <v>99</v>
      </c>
      <c r="T12609" s="8">
        <v>99</v>
      </c>
      <c r="U12609" s="8">
        <v>99</v>
      </c>
      <c r="Y12609" s="8" t="s">
        <v>52844</v>
      </c>
      <c r="Z12609" s="8" t="s">
        <v>52845</v>
      </c>
    </row>
    <row r="12610" spans="1:26" x14ac:dyDescent="0.2">
      <c r="A12610" s="8">
        <v>12609</v>
      </c>
      <c r="B12610" s="8" t="s">
        <v>52846</v>
      </c>
      <c r="C12610" s="8" t="s">
        <v>52846</v>
      </c>
      <c r="G12610" s="8">
        <v>20</v>
      </c>
      <c r="H12610" s="8" t="s">
        <v>21</v>
      </c>
      <c r="I12610" s="8" t="s">
        <v>22</v>
      </c>
      <c r="J12610" s="8" t="s">
        <v>22</v>
      </c>
      <c r="K12610" s="8" t="s">
        <v>85</v>
      </c>
      <c r="L12610" s="8" t="s">
        <v>28435</v>
      </c>
      <c r="M12610" s="8" t="s">
        <v>28436</v>
      </c>
      <c r="N12610" s="8" t="s">
        <v>52847</v>
      </c>
      <c r="O12610" s="8">
        <f>18+47/60+44/3600</f>
        <v>18.795555555555556</v>
      </c>
      <c r="P12610" s="8" t="s">
        <v>52848</v>
      </c>
      <c r="Q12610" s="8">
        <f>-(63+9/60+26/3600)</f>
        <v>-63.157222222222224</v>
      </c>
      <c r="R12610" s="8">
        <v>13.3</v>
      </c>
      <c r="S12610" s="8">
        <v>14.1</v>
      </c>
      <c r="T12610" s="8">
        <v>0.8</v>
      </c>
      <c r="U12610" s="8">
        <v>14</v>
      </c>
      <c r="V12610" s="8">
        <v>1.9</v>
      </c>
      <c r="W12610" s="8">
        <v>1.2</v>
      </c>
      <c r="X12610" s="8">
        <v>130</v>
      </c>
      <c r="Y12610" s="8" t="s">
        <v>52849</v>
      </c>
      <c r="Z12610" s="8" t="s">
        <v>52850</v>
      </c>
    </row>
    <row r="12611" spans="1:26" x14ac:dyDescent="0.2">
      <c r="A12611" s="8">
        <v>12610</v>
      </c>
      <c r="B12611" s="8" t="s">
        <v>52851</v>
      </c>
      <c r="C12611" s="8" t="s">
        <v>52851</v>
      </c>
      <c r="G12611" s="8">
        <v>20</v>
      </c>
      <c r="H12611" s="8" t="s">
        <v>21</v>
      </c>
      <c r="I12611" s="8" t="s">
        <v>22</v>
      </c>
      <c r="J12611" s="8" t="s">
        <v>22</v>
      </c>
      <c r="K12611" s="8" t="s">
        <v>91</v>
      </c>
      <c r="L12611" s="8" t="s">
        <v>28435</v>
      </c>
      <c r="M12611" s="8" t="s">
        <v>28436</v>
      </c>
      <c r="N12611" s="8" t="s">
        <v>52852</v>
      </c>
      <c r="O12611" s="8">
        <f>18+48/60+10.3/3600</f>
        <v>18.802861111111113</v>
      </c>
      <c r="P12611" s="8" t="s">
        <v>52853</v>
      </c>
      <c r="Q12611" s="8">
        <f>-(63+23/60+1/3600)</f>
        <v>-63.383611111111108</v>
      </c>
      <c r="R12611" s="8">
        <v>14.6</v>
      </c>
      <c r="S12611" s="8">
        <v>15.5</v>
      </c>
      <c r="T12611" s="8">
        <v>0.9</v>
      </c>
      <c r="U12611" s="8">
        <v>13.7</v>
      </c>
      <c r="V12611" s="8">
        <v>0.8</v>
      </c>
      <c r="W12611" s="8">
        <v>0.6</v>
      </c>
      <c r="X12611" s="8">
        <v>65</v>
      </c>
      <c r="Y12611" s="8" t="s">
        <v>52828</v>
      </c>
      <c r="Z12611" s="8" t="s">
        <v>52829</v>
      </c>
    </row>
    <row r="12612" spans="1:26" x14ac:dyDescent="0.2">
      <c r="A12612" s="8">
        <v>12611</v>
      </c>
      <c r="B12612" s="8" t="s">
        <v>52854</v>
      </c>
      <c r="C12612" s="8" t="s">
        <v>52854</v>
      </c>
      <c r="G12612" s="8">
        <v>20</v>
      </c>
      <c r="H12612" s="8" t="s">
        <v>21</v>
      </c>
      <c r="I12612" s="8" t="s">
        <v>22</v>
      </c>
      <c r="J12612" s="8" t="s">
        <v>22</v>
      </c>
      <c r="K12612" s="8" t="s">
        <v>160</v>
      </c>
      <c r="L12612" s="8" t="s">
        <v>28435</v>
      </c>
      <c r="M12612" s="8" t="s">
        <v>28436</v>
      </c>
      <c r="N12612" s="8" t="s">
        <v>52855</v>
      </c>
      <c r="O12612" s="8">
        <f>18+48/60+23.8/3600</f>
        <v>18.806611111111113</v>
      </c>
      <c r="P12612" s="8" t="s">
        <v>52856</v>
      </c>
      <c r="Q12612" s="8">
        <f>-(63+14/60+52/3600)</f>
        <v>-63.247777777777777</v>
      </c>
      <c r="R12612" s="8">
        <v>14.5</v>
      </c>
      <c r="S12612" s="8">
        <v>15.2</v>
      </c>
      <c r="T12612" s="8">
        <v>0.7</v>
      </c>
      <c r="U12612" s="8">
        <v>13.7</v>
      </c>
      <c r="V12612" s="8">
        <v>1.1000000000000001</v>
      </c>
      <c r="W12612" s="8">
        <v>0.5</v>
      </c>
      <c r="X12612" s="8">
        <v>178</v>
      </c>
      <c r="Y12612" s="8" t="s">
        <v>18635</v>
      </c>
      <c r="Z12612" s="8" t="s">
        <v>18636</v>
      </c>
    </row>
    <row r="12613" spans="1:26" x14ac:dyDescent="0.2">
      <c r="A12613" s="8">
        <v>12612</v>
      </c>
      <c r="B12613" s="8" t="s">
        <v>52857</v>
      </c>
      <c r="C12613" s="8" t="s">
        <v>52857</v>
      </c>
      <c r="G12613" s="8">
        <v>20</v>
      </c>
      <c r="H12613" s="8" t="s">
        <v>21</v>
      </c>
      <c r="I12613" s="8" t="s">
        <v>22</v>
      </c>
      <c r="J12613" s="8" t="s">
        <v>22</v>
      </c>
      <c r="K12613" s="8" t="s">
        <v>424</v>
      </c>
      <c r="L12613" s="8" t="s">
        <v>29334</v>
      </c>
      <c r="M12613" s="8" t="s">
        <v>29335</v>
      </c>
      <c r="N12613" s="8" t="s">
        <v>52858</v>
      </c>
      <c r="O12613" s="8">
        <f>18+39/60+56.4/3600</f>
        <v>18.665666666666667</v>
      </c>
      <c r="P12613" s="8" t="s">
        <v>52859</v>
      </c>
      <c r="Q12613" s="8">
        <f>+(40+1/60+37/3600)</f>
        <v>40.026944444444446</v>
      </c>
      <c r="R12613" s="8">
        <v>13.9</v>
      </c>
      <c r="S12613" s="8">
        <v>14.9</v>
      </c>
      <c r="T12613" s="8">
        <v>1</v>
      </c>
      <c r="U12613" s="8">
        <v>11.4</v>
      </c>
      <c r="V12613" s="8">
        <v>0.4</v>
      </c>
      <c r="W12613" s="8">
        <v>0.3</v>
      </c>
      <c r="X12613" s="8">
        <v>0</v>
      </c>
      <c r="Y12613" s="8" t="s">
        <v>52860</v>
      </c>
      <c r="Z12613" s="8" t="s">
        <v>52861</v>
      </c>
    </row>
    <row r="12614" spans="1:26" x14ac:dyDescent="0.2">
      <c r="A12614" s="8">
        <v>12613</v>
      </c>
      <c r="B12614" s="8" t="s">
        <v>52862</v>
      </c>
      <c r="C12614" s="8" t="s">
        <v>52862</v>
      </c>
      <c r="G12614" s="8">
        <v>20</v>
      </c>
      <c r="H12614" s="8" t="s">
        <v>21</v>
      </c>
      <c r="I12614" s="8" t="s">
        <v>22</v>
      </c>
      <c r="J12614" s="8" t="s">
        <v>22</v>
      </c>
      <c r="K12614" s="8" t="s">
        <v>269</v>
      </c>
      <c r="L12614" s="8" t="s">
        <v>28435</v>
      </c>
      <c r="M12614" s="8" t="s">
        <v>28436</v>
      </c>
      <c r="N12614" s="8" t="s">
        <v>52863</v>
      </c>
      <c r="O12614" s="8">
        <f>18+51/60+21.5/3600</f>
        <v>18.855972222222224</v>
      </c>
      <c r="P12614" s="8" t="s">
        <v>52864</v>
      </c>
      <c r="Q12614" s="8">
        <f>-(69+55/60+34/3600)</f>
        <v>-69.926111111111112</v>
      </c>
      <c r="R12614" s="8">
        <v>13.6</v>
      </c>
      <c r="S12614" s="8">
        <v>14.2</v>
      </c>
      <c r="T12614" s="8">
        <v>0.6</v>
      </c>
      <c r="U12614" s="8">
        <v>13.6</v>
      </c>
      <c r="V12614" s="8">
        <v>1.6</v>
      </c>
      <c r="W12614" s="8">
        <v>0.9</v>
      </c>
      <c r="X12614" s="8">
        <v>137</v>
      </c>
      <c r="Y12614" s="8" t="s">
        <v>2646</v>
      </c>
      <c r="Z12614" s="8" t="s">
        <v>52865</v>
      </c>
    </row>
    <row r="12615" spans="1:26" x14ac:dyDescent="0.2">
      <c r="A12615" s="8">
        <v>12614</v>
      </c>
      <c r="B12615" s="8" t="s">
        <v>52866</v>
      </c>
      <c r="C12615" s="8" t="s">
        <v>52866</v>
      </c>
      <c r="G12615" s="8">
        <v>20</v>
      </c>
      <c r="H12615" s="8" t="s">
        <v>21</v>
      </c>
      <c r="I12615" s="8" t="s">
        <v>22</v>
      </c>
      <c r="J12615" s="8" t="s">
        <v>22</v>
      </c>
      <c r="K12615" s="8" t="s">
        <v>85</v>
      </c>
      <c r="L12615" s="8" t="s">
        <v>28435</v>
      </c>
      <c r="M12615" s="8" t="s">
        <v>28436</v>
      </c>
      <c r="N12615" s="8" t="s">
        <v>52867</v>
      </c>
      <c r="O12615" s="8">
        <f>18+48/60+10.4/3600</f>
        <v>18.802888888888891</v>
      </c>
      <c r="P12615" s="8" t="s">
        <v>52868</v>
      </c>
      <c r="Q12615" s="8">
        <f>-(57+56/60+8/3600)</f>
        <v>-57.935555555555553</v>
      </c>
      <c r="R12615" s="8">
        <v>13.4</v>
      </c>
      <c r="S12615" s="8">
        <v>14.2</v>
      </c>
      <c r="T12615" s="8">
        <v>0.8</v>
      </c>
      <c r="U12615" s="8">
        <v>13.2</v>
      </c>
      <c r="V12615" s="8">
        <v>1.1000000000000001</v>
      </c>
      <c r="W12615" s="8">
        <v>1</v>
      </c>
      <c r="X12615" s="8">
        <v>114</v>
      </c>
      <c r="Y12615" s="8" t="s">
        <v>52869</v>
      </c>
      <c r="Z12615" s="8" t="s">
        <v>52870</v>
      </c>
    </row>
    <row r="12616" spans="1:26" x14ac:dyDescent="0.2">
      <c r="A12616" s="8">
        <v>12615</v>
      </c>
      <c r="B12616" s="8" t="s">
        <v>52871</v>
      </c>
      <c r="C12616" s="8" t="s">
        <v>52871</v>
      </c>
      <c r="G12616" s="8">
        <v>20</v>
      </c>
      <c r="H12616" s="8" t="s">
        <v>21</v>
      </c>
      <c r="I12616" s="8" t="s">
        <v>22</v>
      </c>
      <c r="J12616" s="8" t="s">
        <v>22</v>
      </c>
      <c r="K12616" s="8" t="s">
        <v>23</v>
      </c>
      <c r="L12616" s="8" t="s">
        <v>28435</v>
      </c>
      <c r="M12616" s="8" t="s">
        <v>28436</v>
      </c>
      <c r="N12616" s="8" t="s">
        <v>52872</v>
      </c>
      <c r="O12616" s="8">
        <f>18+48/60+26.3/3600</f>
        <v>18.807305555555555</v>
      </c>
      <c r="P12616" s="8" t="s">
        <v>52873</v>
      </c>
      <c r="Q12616" s="8">
        <f>-(57+11/60+1/3600)</f>
        <v>-57.183611111111105</v>
      </c>
      <c r="R12616" s="8">
        <v>13.9</v>
      </c>
      <c r="S12616" s="8">
        <v>14.7</v>
      </c>
      <c r="T12616" s="8">
        <v>0.8</v>
      </c>
      <c r="U12616" s="8">
        <v>13</v>
      </c>
      <c r="V12616" s="8">
        <v>1.6</v>
      </c>
      <c r="W12616" s="8">
        <v>0.3</v>
      </c>
      <c r="X12616" s="8">
        <v>17</v>
      </c>
      <c r="Y12616" s="8" t="s">
        <v>52874</v>
      </c>
      <c r="Z12616" s="8" t="s">
        <v>52875</v>
      </c>
    </row>
    <row r="12617" spans="1:26" x14ac:dyDescent="0.2">
      <c r="A12617" s="8">
        <v>12616</v>
      </c>
      <c r="B12617" s="8" t="s">
        <v>52876</v>
      </c>
      <c r="C12617" s="8" t="s">
        <v>52876</v>
      </c>
      <c r="G12617" s="8">
        <v>9</v>
      </c>
      <c r="H12617" s="8" t="s">
        <v>21</v>
      </c>
      <c r="I12617" s="8" t="s">
        <v>241</v>
      </c>
      <c r="J12617" s="8" t="s">
        <v>241</v>
      </c>
      <c r="K12617" s="8" t="s">
        <v>241</v>
      </c>
      <c r="L12617" s="8" t="s">
        <v>28576</v>
      </c>
      <c r="M12617" s="8" t="s">
        <v>28577</v>
      </c>
      <c r="N12617" s="8" t="s">
        <v>52877</v>
      </c>
      <c r="O12617" s="8">
        <f>18+45/60+50.7/3600</f>
        <v>18.764083333333332</v>
      </c>
      <c r="P12617" s="8" t="s">
        <v>52878</v>
      </c>
      <c r="Q12617" s="8">
        <f>-(33+20/60+32/3600)</f>
        <v>-33.342222222222226</v>
      </c>
      <c r="R12617" s="8">
        <v>10.8</v>
      </c>
      <c r="S12617" s="8">
        <v>11.7</v>
      </c>
      <c r="T12617" s="8">
        <v>99</v>
      </c>
      <c r="U12617" s="8">
        <v>99</v>
      </c>
      <c r="V12617" s="8">
        <v>0.3</v>
      </c>
      <c r="Y12617" s="8" t="s">
        <v>27388</v>
      </c>
      <c r="Z12617" s="8" t="s">
        <v>42798</v>
      </c>
    </row>
    <row r="12618" spans="1:26" x14ac:dyDescent="0.2">
      <c r="A12618" s="8">
        <v>12617</v>
      </c>
      <c r="B12618" s="8" t="s">
        <v>52879</v>
      </c>
      <c r="C12618" s="8" t="s">
        <v>52879</v>
      </c>
      <c r="G12618" s="8">
        <v>20</v>
      </c>
      <c r="H12618" s="8" t="s">
        <v>21</v>
      </c>
      <c r="I12618" s="8" t="s">
        <v>22</v>
      </c>
      <c r="J12618" s="8" t="s">
        <v>22</v>
      </c>
      <c r="K12618" s="8" t="s">
        <v>435</v>
      </c>
      <c r="L12618" s="8" t="s">
        <v>29246</v>
      </c>
      <c r="M12618" s="8" t="s">
        <v>29247</v>
      </c>
      <c r="N12618" s="8" t="s">
        <v>52880</v>
      </c>
      <c r="O12618" s="8">
        <f>18+48/60+11.1/3600</f>
        <v>18.803083333333333</v>
      </c>
      <c r="P12618" s="8" t="s">
        <v>52881</v>
      </c>
      <c r="Q12618" s="8">
        <f>-(53+8/60+49/3600)</f>
        <v>-53.146944444444443</v>
      </c>
      <c r="R12618" s="8">
        <v>13.7</v>
      </c>
      <c r="S12618" s="8">
        <v>14.6</v>
      </c>
      <c r="T12618" s="8">
        <v>0.9</v>
      </c>
      <c r="U12618" s="8">
        <v>13</v>
      </c>
      <c r="V12618" s="8">
        <v>0.9</v>
      </c>
      <c r="W12618" s="8">
        <v>0.7</v>
      </c>
      <c r="X12618" s="8">
        <v>128</v>
      </c>
      <c r="Y12618" s="8" t="s">
        <v>52882</v>
      </c>
      <c r="Z12618" s="8" t="s">
        <v>52883</v>
      </c>
    </row>
    <row r="12619" spans="1:26" x14ac:dyDescent="0.2">
      <c r="A12619" s="8">
        <v>12618</v>
      </c>
      <c r="B12619" s="8" t="s">
        <v>52884</v>
      </c>
      <c r="C12619" s="8" t="s">
        <v>52884</v>
      </c>
      <c r="G12619" s="8">
        <v>20</v>
      </c>
      <c r="H12619" s="8" t="s">
        <v>21</v>
      </c>
      <c r="I12619" s="8" t="s">
        <v>22</v>
      </c>
      <c r="J12619" s="8" t="s">
        <v>22</v>
      </c>
      <c r="K12619" s="8" t="s">
        <v>435</v>
      </c>
      <c r="L12619" s="8" t="s">
        <v>28435</v>
      </c>
      <c r="M12619" s="8" t="s">
        <v>28436</v>
      </c>
      <c r="N12619" s="8" t="s">
        <v>52885</v>
      </c>
      <c r="O12619" s="8">
        <f>18+50/60+0.4/3600</f>
        <v>18.833444444444442</v>
      </c>
      <c r="P12619" s="8" t="s">
        <v>52886</v>
      </c>
      <c r="Q12619" s="8">
        <f>-(61+43/60+9/3600)</f>
        <v>-61.719166666666666</v>
      </c>
      <c r="R12619" s="8">
        <v>13</v>
      </c>
      <c r="S12619" s="8">
        <v>13.9</v>
      </c>
      <c r="T12619" s="8">
        <v>0.9</v>
      </c>
      <c r="U12619" s="8">
        <v>13</v>
      </c>
      <c r="V12619" s="8">
        <v>1.2</v>
      </c>
      <c r="W12619" s="8">
        <v>0.9</v>
      </c>
      <c r="X12619" s="8">
        <v>37</v>
      </c>
      <c r="Y12619" s="8" t="s">
        <v>52887</v>
      </c>
      <c r="Z12619" s="8" t="s">
        <v>52888</v>
      </c>
    </row>
    <row r="12620" spans="1:26" x14ac:dyDescent="0.2">
      <c r="A12620" s="8">
        <v>12619</v>
      </c>
      <c r="B12620" s="8" t="s">
        <v>52889</v>
      </c>
      <c r="C12620" s="8" t="s">
        <v>52889</v>
      </c>
      <c r="G12620" s="8">
        <v>20</v>
      </c>
      <c r="H12620" s="8" t="s">
        <v>21</v>
      </c>
      <c r="I12620" s="8" t="s">
        <v>22</v>
      </c>
      <c r="J12620" s="8" t="s">
        <v>22</v>
      </c>
      <c r="K12620" s="8" t="s">
        <v>31</v>
      </c>
      <c r="L12620" s="8" t="s">
        <v>28435</v>
      </c>
      <c r="M12620" s="8" t="s">
        <v>28436</v>
      </c>
      <c r="N12620" s="8" t="s">
        <v>52890</v>
      </c>
      <c r="O12620" s="8">
        <f>18+50/60+30.4/3600</f>
        <v>18.841777777777775</v>
      </c>
      <c r="P12620" s="8" t="s">
        <v>52891</v>
      </c>
      <c r="Q12620" s="8">
        <f>-(63+0/60+47/3600)</f>
        <v>-63.013055555555553</v>
      </c>
      <c r="R12620" s="8">
        <v>13.9</v>
      </c>
      <c r="S12620" s="8">
        <v>14.7</v>
      </c>
      <c r="T12620" s="8">
        <v>0.8</v>
      </c>
      <c r="U12620" s="8">
        <v>13.2</v>
      </c>
      <c r="V12620" s="8">
        <v>0.9</v>
      </c>
      <c r="W12620" s="8">
        <v>0.8</v>
      </c>
      <c r="X12620" s="8">
        <v>121</v>
      </c>
      <c r="Y12620" s="8" t="s">
        <v>52892</v>
      </c>
      <c r="Z12620" s="8" t="s">
        <v>52893</v>
      </c>
    </row>
    <row r="12621" spans="1:26" x14ac:dyDescent="0.2">
      <c r="A12621" s="8">
        <v>12620</v>
      </c>
      <c r="B12621" s="8" t="s">
        <v>52894</v>
      </c>
      <c r="C12621" s="8" t="s">
        <v>52894</v>
      </c>
      <c r="G12621" s="8">
        <v>20</v>
      </c>
      <c r="H12621" s="8" t="s">
        <v>21</v>
      </c>
      <c r="I12621" s="8" t="s">
        <v>22</v>
      </c>
      <c r="J12621" s="8" t="s">
        <v>22</v>
      </c>
      <c r="K12621" s="8" t="s">
        <v>42046</v>
      </c>
      <c r="L12621" s="8" t="s">
        <v>28435</v>
      </c>
      <c r="M12621" s="8" t="s">
        <v>28436</v>
      </c>
      <c r="N12621" s="8" t="s">
        <v>52895</v>
      </c>
      <c r="O12621" s="8">
        <f>18+49/60+56.5/3600</f>
        <v>18.832361111111112</v>
      </c>
      <c r="P12621" s="8" t="s">
        <v>52896</v>
      </c>
      <c r="Q12621" s="8">
        <f>-(59+15/60+13/3600)</f>
        <v>-59.253611111111113</v>
      </c>
      <c r="R12621" s="8">
        <v>13.9</v>
      </c>
      <c r="S12621" s="8">
        <v>14.8</v>
      </c>
      <c r="T12621" s="8">
        <v>0.9</v>
      </c>
      <c r="U12621" s="8">
        <v>12.6</v>
      </c>
      <c r="V12621" s="8">
        <v>0.8</v>
      </c>
      <c r="W12621" s="8">
        <v>0.6</v>
      </c>
      <c r="X12621" s="8">
        <v>99</v>
      </c>
      <c r="Y12621" s="8" t="s">
        <v>52897</v>
      </c>
      <c r="Z12621" s="8" t="s">
        <v>52898</v>
      </c>
    </row>
    <row r="12622" spans="1:26" x14ac:dyDescent="0.2">
      <c r="A12622" s="8">
        <v>12621</v>
      </c>
      <c r="B12622" s="8" t="s">
        <v>52899</v>
      </c>
      <c r="C12622" s="8" t="s">
        <v>52899</v>
      </c>
      <c r="G12622" s="8">
        <v>20</v>
      </c>
      <c r="H12622" s="8" t="s">
        <v>21</v>
      </c>
      <c r="I12622" s="8" t="s">
        <v>22</v>
      </c>
      <c r="J12622" s="8" t="s">
        <v>22</v>
      </c>
      <c r="K12622" s="8" t="s">
        <v>632</v>
      </c>
      <c r="L12622" s="8" t="s">
        <v>28435</v>
      </c>
      <c r="M12622" s="8" t="s">
        <v>28436</v>
      </c>
      <c r="N12622" s="8" t="s">
        <v>52900</v>
      </c>
      <c r="O12622" s="8">
        <f>18+51/60+37.7/3600</f>
        <v>18.860472222222224</v>
      </c>
      <c r="P12622" s="8" t="s">
        <v>52901</v>
      </c>
      <c r="Q12622" s="8">
        <f>-(62+47/60+34/3600)</f>
        <v>-62.792777777777779</v>
      </c>
      <c r="R12622" s="8">
        <v>14.3</v>
      </c>
      <c r="S12622" s="8">
        <v>15.2</v>
      </c>
      <c r="T12622" s="8">
        <v>0.9</v>
      </c>
      <c r="U12622" s="8">
        <v>13.3</v>
      </c>
      <c r="V12622" s="8">
        <v>0.9</v>
      </c>
      <c r="W12622" s="8">
        <v>0.5</v>
      </c>
      <c r="X12622" s="8">
        <v>2</v>
      </c>
      <c r="Y12622" s="8" t="s">
        <v>52902</v>
      </c>
      <c r="Z12622" s="8" t="s">
        <v>52903</v>
      </c>
    </row>
    <row r="12623" spans="1:26" x14ac:dyDescent="0.2">
      <c r="A12623" s="8">
        <v>12622</v>
      </c>
      <c r="B12623" s="8" t="s">
        <v>52904</v>
      </c>
      <c r="C12623" s="8" t="s">
        <v>52904</v>
      </c>
      <c r="G12623" s="8">
        <v>20</v>
      </c>
      <c r="H12623" s="8" t="s">
        <v>21</v>
      </c>
      <c r="I12623" s="8" t="s">
        <v>22</v>
      </c>
      <c r="J12623" s="8" t="s">
        <v>22</v>
      </c>
      <c r="K12623" s="8" t="s">
        <v>160</v>
      </c>
      <c r="L12623" s="8" t="s">
        <v>29246</v>
      </c>
      <c r="M12623" s="8" t="s">
        <v>29247</v>
      </c>
      <c r="N12623" s="8" t="s">
        <v>52905</v>
      </c>
      <c r="O12623" s="8">
        <f>18+50/60+54.4/3600</f>
        <v>18.848444444444443</v>
      </c>
      <c r="P12623" s="8" t="s">
        <v>52906</v>
      </c>
      <c r="Q12623" s="8">
        <f>-(55+29/60+28/3600)</f>
        <v>-55.49111111111111</v>
      </c>
      <c r="R12623" s="8">
        <v>14</v>
      </c>
      <c r="S12623" s="8">
        <v>14.7</v>
      </c>
      <c r="T12623" s="8">
        <v>0.7</v>
      </c>
      <c r="U12623" s="8">
        <v>12.5</v>
      </c>
      <c r="V12623" s="8">
        <v>1.4</v>
      </c>
      <c r="W12623" s="8">
        <v>0.2</v>
      </c>
      <c r="X12623" s="8">
        <v>99</v>
      </c>
      <c r="Y12623" s="8" t="s">
        <v>52907</v>
      </c>
      <c r="Z12623" s="8" t="s">
        <v>52908</v>
      </c>
    </row>
    <row r="12624" spans="1:26" x14ac:dyDescent="0.2">
      <c r="A12624" s="8">
        <v>12623</v>
      </c>
      <c r="B12624" s="8" t="s">
        <v>52909</v>
      </c>
      <c r="C12624" s="8" t="s">
        <v>52909</v>
      </c>
      <c r="G12624" s="8">
        <v>20</v>
      </c>
      <c r="H12624" s="8" t="s">
        <v>21</v>
      </c>
      <c r="I12624" s="8" t="s">
        <v>22</v>
      </c>
      <c r="J12624" s="8" t="s">
        <v>22</v>
      </c>
      <c r="K12624" s="8" t="s">
        <v>396</v>
      </c>
      <c r="L12624" s="8" t="s">
        <v>28435</v>
      </c>
      <c r="M12624" s="8" t="s">
        <v>28436</v>
      </c>
      <c r="N12624" s="8" t="s">
        <v>52910</v>
      </c>
      <c r="O12624" s="8">
        <f>18+51/60+33.5/3600</f>
        <v>18.859305555555558</v>
      </c>
      <c r="P12624" s="8" t="s">
        <v>52911</v>
      </c>
      <c r="Q12624" s="8">
        <f>-(58+48/60+48/3600)</f>
        <v>-58.813333333333333</v>
      </c>
      <c r="R12624" s="8">
        <v>13.6</v>
      </c>
      <c r="S12624" s="8">
        <v>14.4</v>
      </c>
      <c r="T12624" s="8">
        <v>0.8</v>
      </c>
      <c r="U12624" s="8">
        <v>13.6</v>
      </c>
      <c r="V12624" s="8">
        <v>1.1000000000000001</v>
      </c>
      <c r="W12624" s="8">
        <v>1</v>
      </c>
      <c r="Y12624" s="8" t="s">
        <v>266</v>
      </c>
      <c r="Z12624" s="8" t="s">
        <v>267</v>
      </c>
    </row>
    <row r="12625" spans="1:26" x14ac:dyDescent="0.2">
      <c r="A12625" s="8">
        <v>12624</v>
      </c>
      <c r="B12625" s="8" t="s">
        <v>52912</v>
      </c>
      <c r="C12625" s="8" t="s">
        <v>52912</v>
      </c>
      <c r="G12625" s="8">
        <v>20</v>
      </c>
      <c r="H12625" s="8" t="s">
        <v>21</v>
      </c>
      <c r="I12625" s="8" t="s">
        <v>22</v>
      </c>
      <c r="J12625" s="8" t="s">
        <v>22</v>
      </c>
      <c r="K12625" s="8" t="s">
        <v>37</v>
      </c>
      <c r="L12625" s="8" t="s">
        <v>28435</v>
      </c>
      <c r="M12625" s="8" t="s">
        <v>28436</v>
      </c>
      <c r="N12625" s="8" t="s">
        <v>52913</v>
      </c>
      <c r="O12625" s="8">
        <f>18+52/60+48/3600</f>
        <v>18.88</v>
      </c>
      <c r="P12625" s="8" t="s">
        <v>52914</v>
      </c>
      <c r="Q12625" s="8">
        <f>-(63+15/60+34/3600)</f>
        <v>-63.259444444444448</v>
      </c>
      <c r="R12625" s="8">
        <v>12.8</v>
      </c>
      <c r="S12625" s="8">
        <v>13.8</v>
      </c>
      <c r="T12625" s="8">
        <v>1</v>
      </c>
      <c r="U12625" s="8">
        <v>12.9</v>
      </c>
      <c r="V12625" s="8">
        <v>1.4</v>
      </c>
      <c r="W12625" s="8">
        <v>1.1000000000000001</v>
      </c>
      <c r="X12625" s="8">
        <v>90</v>
      </c>
      <c r="Y12625" s="8" t="s">
        <v>11841</v>
      </c>
      <c r="Z12625" s="8" t="s">
        <v>11842</v>
      </c>
    </row>
    <row r="12626" spans="1:26" x14ac:dyDescent="0.2">
      <c r="A12626" s="8">
        <v>12625</v>
      </c>
      <c r="B12626" s="8" t="s">
        <v>52915</v>
      </c>
      <c r="C12626" s="8" t="s">
        <v>52915</v>
      </c>
      <c r="G12626" s="8">
        <v>20</v>
      </c>
      <c r="H12626" s="8" t="s">
        <v>21</v>
      </c>
      <c r="I12626" s="8" t="s">
        <v>22</v>
      </c>
      <c r="J12626" s="8" t="s">
        <v>22</v>
      </c>
      <c r="K12626" s="8" t="s">
        <v>218</v>
      </c>
      <c r="L12626" s="8" t="s">
        <v>28435</v>
      </c>
      <c r="M12626" s="8" t="s">
        <v>28436</v>
      </c>
      <c r="N12626" s="8" t="s">
        <v>52916</v>
      </c>
      <c r="O12626" s="8">
        <f>18+52/60+55.2/3600</f>
        <v>18.882000000000001</v>
      </c>
      <c r="P12626" s="8" t="s">
        <v>52917</v>
      </c>
      <c r="Q12626" s="8">
        <f>-(59+15/60+18/3600)</f>
        <v>-59.255000000000003</v>
      </c>
      <c r="R12626" s="8">
        <v>12.2</v>
      </c>
      <c r="S12626" s="8">
        <v>13</v>
      </c>
      <c r="T12626" s="8">
        <v>0.8</v>
      </c>
      <c r="U12626" s="8">
        <v>13.6</v>
      </c>
      <c r="V12626" s="8">
        <v>3.1</v>
      </c>
      <c r="W12626" s="8">
        <v>1.4</v>
      </c>
      <c r="X12626" s="8">
        <v>140</v>
      </c>
      <c r="Y12626" s="8" t="s">
        <v>52918</v>
      </c>
      <c r="Z12626" s="8" t="s">
        <v>52919</v>
      </c>
    </row>
    <row r="12627" spans="1:26" x14ac:dyDescent="0.2">
      <c r="A12627" s="8">
        <v>12626</v>
      </c>
      <c r="B12627" s="8" t="s">
        <v>52920</v>
      </c>
      <c r="C12627" s="8" t="s">
        <v>52920</v>
      </c>
      <c r="G12627" s="8">
        <v>20</v>
      </c>
      <c r="H12627" s="8" t="s">
        <v>21</v>
      </c>
      <c r="I12627" s="8" t="s">
        <v>22</v>
      </c>
      <c r="J12627" s="8" t="s">
        <v>22</v>
      </c>
      <c r="K12627" s="8" t="s">
        <v>42046</v>
      </c>
      <c r="L12627" s="8" t="s">
        <v>29246</v>
      </c>
      <c r="M12627" s="8" t="s">
        <v>29247</v>
      </c>
      <c r="N12627" s="8" t="s">
        <v>52921</v>
      </c>
      <c r="O12627" s="8">
        <f>18+52/60+44.8/3600</f>
        <v>18.879111111111111</v>
      </c>
      <c r="P12627" s="8" t="s">
        <v>52922</v>
      </c>
      <c r="Q12627" s="8">
        <f>-(56+41/60+42/3600)</f>
        <v>-56.694999999999993</v>
      </c>
      <c r="R12627" s="8">
        <v>15.1</v>
      </c>
      <c r="S12627" s="8">
        <v>15.9</v>
      </c>
      <c r="T12627" s="8">
        <v>0.8</v>
      </c>
      <c r="U12627" s="8">
        <v>13</v>
      </c>
      <c r="V12627" s="8">
        <v>0.8</v>
      </c>
      <c r="W12627" s="8">
        <v>0.2</v>
      </c>
      <c r="X12627" s="8">
        <v>178</v>
      </c>
      <c r="Y12627" s="8" t="s">
        <v>52923</v>
      </c>
      <c r="Z12627" s="8" t="s">
        <v>52924</v>
      </c>
    </row>
    <row r="12628" spans="1:26" x14ac:dyDescent="0.2">
      <c r="A12628" s="8">
        <v>12627</v>
      </c>
      <c r="B12628" s="8" t="s">
        <v>52925</v>
      </c>
      <c r="C12628" s="8" t="s">
        <v>52925</v>
      </c>
      <c r="G12628" s="8">
        <v>20</v>
      </c>
      <c r="H12628" s="8" t="s">
        <v>21</v>
      </c>
      <c r="I12628" s="8" t="s">
        <v>22</v>
      </c>
      <c r="J12628" s="8" t="s">
        <v>22</v>
      </c>
      <c r="K12628" s="8" t="s">
        <v>323</v>
      </c>
      <c r="L12628" s="8" t="s">
        <v>28435</v>
      </c>
      <c r="M12628" s="8" t="s">
        <v>28436</v>
      </c>
      <c r="N12628" s="8" t="s">
        <v>52926</v>
      </c>
      <c r="O12628" s="8">
        <f>18+56/60+3.9/3600</f>
        <v>18.934416666666667</v>
      </c>
      <c r="P12628" s="8" t="s">
        <v>52927</v>
      </c>
      <c r="Q12628" s="8">
        <f>-(68+40/60+57/3600)</f>
        <v>-68.682500000000005</v>
      </c>
      <c r="R12628" s="8">
        <v>14</v>
      </c>
      <c r="S12628" s="8">
        <v>14.6</v>
      </c>
      <c r="T12628" s="8">
        <v>0.6</v>
      </c>
      <c r="U12628" s="8">
        <v>14.2</v>
      </c>
      <c r="V12628" s="8">
        <v>1.3</v>
      </c>
      <c r="W12628" s="8">
        <v>1.1000000000000001</v>
      </c>
      <c r="X12628" s="8">
        <v>167</v>
      </c>
      <c r="Y12628" s="8" t="s">
        <v>52928</v>
      </c>
      <c r="Z12628" s="8" t="s">
        <v>52865</v>
      </c>
    </row>
    <row r="12629" spans="1:26" x14ac:dyDescent="0.2">
      <c r="A12629" s="8">
        <v>12628</v>
      </c>
      <c r="B12629" s="8" t="s">
        <v>52929</v>
      </c>
      <c r="C12629" s="8" t="s">
        <v>52929</v>
      </c>
      <c r="G12629" s="8">
        <v>20</v>
      </c>
      <c r="H12629" s="8" t="s">
        <v>21</v>
      </c>
      <c r="I12629" s="8" t="s">
        <v>22</v>
      </c>
      <c r="J12629" s="8" t="s">
        <v>22</v>
      </c>
      <c r="K12629" s="8" t="s">
        <v>160</v>
      </c>
      <c r="L12629" s="8" t="s">
        <v>28435</v>
      </c>
      <c r="M12629" s="8" t="s">
        <v>28436</v>
      </c>
      <c r="N12629" s="8" t="s">
        <v>52930</v>
      </c>
      <c r="O12629" s="8">
        <f>18+54/60+40.9/3600</f>
        <v>18.911361111111109</v>
      </c>
      <c r="P12629" s="8" t="s">
        <v>52931</v>
      </c>
      <c r="Q12629" s="8">
        <f>-(63+27/60+9/3600)</f>
        <v>-63.452500000000001</v>
      </c>
      <c r="R12629" s="8">
        <v>15.3</v>
      </c>
      <c r="S12629" s="8">
        <v>16</v>
      </c>
      <c r="T12629" s="8">
        <v>0.7</v>
      </c>
      <c r="U12629" s="8">
        <v>13.9</v>
      </c>
      <c r="V12629" s="8">
        <v>1.6</v>
      </c>
      <c r="W12629" s="8">
        <v>0.2</v>
      </c>
      <c r="X12629" s="8">
        <v>12</v>
      </c>
      <c r="Y12629" s="8" t="s">
        <v>52932</v>
      </c>
      <c r="Z12629" s="8" t="s">
        <v>52933</v>
      </c>
    </row>
    <row r="12630" spans="1:26" x14ac:dyDescent="0.2">
      <c r="A12630" s="8">
        <v>12629</v>
      </c>
      <c r="B12630" s="8" t="s">
        <v>52934</v>
      </c>
      <c r="C12630" s="8" t="s">
        <v>52934</v>
      </c>
      <c r="G12630" s="8">
        <v>20</v>
      </c>
      <c r="H12630" s="8" t="s">
        <v>21</v>
      </c>
      <c r="I12630" s="8" t="s">
        <v>22</v>
      </c>
      <c r="J12630" s="8" t="s">
        <v>22</v>
      </c>
      <c r="K12630" s="8" t="s">
        <v>160</v>
      </c>
      <c r="L12630" s="8" t="s">
        <v>28435</v>
      </c>
      <c r="M12630" s="8" t="s">
        <v>28436</v>
      </c>
      <c r="N12630" s="8" t="s">
        <v>52935</v>
      </c>
      <c r="O12630" s="8">
        <f>18+56/60+18.4/3600</f>
        <v>18.938444444444446</v>
      </c>
      <c r="P12630" s="8" t="s">
        <v>52936</v>
      </c>
      <c r="Q12630" s="8">
        <f>-(68+34/60+2/3600)</f>
        <v>-68.567222222222213</v>
      </c>
      <c r="R12630" s="8">
        <v>13.4</v>
      </c>
      <c r="S12630" s="8">
        <v>14.1</v>
      </c>
      <c r="T12630" s="8">
        <v>0.7</v>
      </c>
      <c r="U12630" s="8">
        <v>13.1</v>
      </c>
      <c r="V12630" s="8">
        <v>1.5</v>
      </c>
      <c r="W12630" s="8">
        <v>0.7</v>
      </c>
      <c r="X12630" s="8">
        <v>174</v>
      </c>
      <c r="Y12630" s="8" t="s">
        <v>1829</v>
      </c>
      <c r="Z12630" s="8" t="s">
        <v>1830</v>
      </c>
    </row>
    <row r="12631" spans="1:26" x14ac:dyDescent="0.2">
      <c r="A12631" s="8">
        <v>12630</v>
      </c>
      <c r="B12631" s="8" t="s">
        <v>52937</v>
      </c>
      <c r="C12631" s="8" t="s">
        <v>52937</v>
      </c>
      <c r="G12631" s="8">
        <v>20</v>
      </c>
      <c r="H12631" s="8" t="s">
        <v>21</v>
      </c>
      <c r="I12631" s="8" t="s">
        <v>22</v>
      </c>
      <c r="J12631" s="8" t="s">
        <v>22</v>
      </c>
      <c r="K12631" s="8" t="s">
        <v>160</v>
      </c>
      <c r="L12631" s="8" t="s">
        <v>28435</v>
      </c>
      <c r="M12631" s="8" t="s">
        <v>28436</v>
      </c>
      <c r="N12631" s="8" t="s">
        <v>52938</v>
      </c>
      <c r="O12631" s="8">
        <f>18+56/60+32.2/3600</f>
        <v>18.942277777777779</v>
      </c>
      <c r="P12631" s="8" t="s">
        <v>52939</v>
      </c>
      <c r="Q12631" s="8">
        <f>-(64+55/60+42/3600)</f>
        <v>-64.928333333333342</v>
      </c>
      <c r="R12631" s="8">
        <v>13</v>
      </c>
      <c r="S12631" s="8">
        <v>13.7</v>
      </c>
      <c r="T12631" s="8">
        <v>0.7</v>
      </c>
      <c r="U12631" s="8">
        <v>12.6</v>
      </c>
      <c r="V12631" s="8">
        <v>1.2</v>
      </c>
      <c r="W12631" s="8">
        <v>0.7</v>
      </c>
      <c r="X12631" s="8">
        <v>57</v>
      </c>
      <c r="Y12631" s="8" t="s">
        <v>44503</v>
      </c>
      <c r="Z12631" s="8" t="s">
        <v>44504</v>
      </c>
    </row>
    <row r="12632" spans="1:26" x14ac:dyDescent="0.2">
      <c r="A12632" s="8">
        <v>12631</v>
      </c>
      <c r="B12632" s="8" t="s">
        <v>52940</v>
      </c>
      <c r="C12632" s="8" t="s">
        <v>52940</v>
      </c>
      <c r="G12632" s="8">
        <v>20</v>
      </c>
      <c r="H12632" s="8" t="s">
        <v>21</v>
      </c>
      <c r="I12632" s="8" t="s">
        <v>22</v>
      </c>
      <c r="J12632" s="8" t="s">
        <v>22</v>
      </c>
      <c r="K12632" s="8" t="s">
        <v>460</v>
      </c>
      <c r="L12632" s="8" t="s">
        <v>26804</v>
      </c>
      <c r="M12632" s="8" t="s">
        <v>26805</v>
      </c>
      <c r="N12632" s="8" t="s">
        <v>52941</v>
      </c>
      <c r="O12632" s="8">
        <f>18+49/60+1.2/3600</f>
        <v>18.817</v>
      </c>
      <c r="P12632" s="8" t="s">
        <v>52942</v>
      </c>
      <c r="Q12632" s="8">
        <f>+(19+19/60+54/3600)</f>
        <v>19.331666666666667</v>
      </c>
      <c r="R12632" s="8">
        <v>14.8</v>
      </c>
      <c r="S12632" s="8">
        <v>15.8</v>
      </c>
      <c r="T12632" s="8">
        <v>1</v>
      </c>
      <c r="U12632" s="8">
        <v>13.4</v>
      </c>
      <c r="V12632" s="8">
        <v>0.5</v>
      </c>
      <c r="W12632" s="8">
        <v>0.5</v>
      </c>
      <c r="Y12632" s="8" t="s">
        <v>52943</v>
      </c>
      <c r="Z12632" s="8" t="s">
        <v>52944</v>
      </c>
    </row>
    <row r="12633" spans="1:26" x14ac:dyDescent="0.2">
      <c r="A12633" s="8">
        <v>12632</v>
      </c>
      <c r="B12633" s="8" t="s">
        <v>52945</v>
      </c>
      <c r="C12633" s="8" t="s">
        <v>52945</v>
      </c>
      <c r="G12633" s="8">
        <v>20</v>
      </c>
      <c r="H12633" s="8" t="s">
        <v>21</v>
      </c>
      <c r="I12633" s="8" t="s">
        <v>22</v>
      </c>
      <c r="J12633" s="8" t="s">
        <v>22</v>
      </c>
      <c r="K12633" s="8" t="s">
        <v>52772</v>
      </c>
      <c r="L12633" s="8" t="s">
        <v>29246</v>
      </c>
      <c r="M12633" s="8" t="s">
        <v>29247</v>
      </c>
      <c r="N12633" s="8" t="s">
        <v>52946</v>
      </c>
      <c r="O12633" s="8">
        <f>18+55/60+42/3600</f>
        <v>18.928333333333335</v>
      </c>
      <c r="P12633" s="8" t="s">
        <v>52947</v>
      </c>
      <c r="Q12633" s="8">
        <f>-(56+24/60+14/3600)</f>
        <v>-56.403888888888886</v>
      </c>
      <c r="R12633" s="8">
        <v>14.1</v>
      </c>
      <c r="S12633" s="8">
        <v>15</v>
      </c>
      <c r="T12633" s="8">
        <v>0.9</v>
      </c>
      <c r="U12633" s="8">
        <v>12.8</v>
      </c>
      <c r="V12633" s="8">
        <v>1.2</v>
      </c>
      <c r="W12633" s="8">
        <v>0.3</v>
      </c>
      <c r="X12633" s="8">
        <v>156</v>
      </c>
      <c r="Y12633" s="8" t="s">
        <v>52948</v>
      </c>
      <c r="Z12633" s="8" t="s">
        <v>52949</v>
      </c>
    </row>
    <row r="12634" spans="1:26" x14ac:dyDescent="0.2">
      <c r="A12634" s="8">
        <v>12633</v>
      </c>
      <c r="B12634" s="8" t="s">
        <v>52950</v>
      </c>
      <c r="C12634" s="8" t="s">
        <v>52950</v>
      </c>
      <c r="G12634" s="8">
        <v>20</v>
      </c>
      <c r="H12634" s="8" t="s">
        <v>21</v>
      </c>
      <c r="I12634" s="8" t="s">
        <v>22</v>
      </c>
      <c r="J12634" s="8" t="s">
        <v>22</v>
      </c>
      <c r="K12634" s="8" t="s">
        <v>396</v>
      </c>
      <c r="L12634" s="8" t="s">
        <v>28435</v>
      </c>
      <c r="M12634" s="8" t="s">
        <v>28436</v>
      </c>
      <c r="N12634" s="8" t="s">
        <v>52951</v>
      </c>
      <c r="O12634" s="8">
        <f>18+56/60+55.7/3600</f>
        <v>18.948805555555555</v>
      </c>
      <c r="P12634" s="8" t="s">
        <v>52952</v>
      </c>
      <c r="Q12634" s="8">
        <f>-(61+23/60+59/3600)</f>
        <v>-61.399722222222223</v>
      </c>
      <c r="R12634" s="8">
        <v>13.7</v>
      </c>
      <c r="S12634" s="8">
        <v>14.5</v>
      </c>
      <c r="T12634" s="8">
        <v>0.8</v>
      </c>
      <c r="U12634" s="8">
        <v>13</v>
      </c>
      <c r="V12634" s="8">
        <v>1.2</v>
      </c>
      <c r="W12634" s="8">
        <v>0.5</v>
      </c>
      <c r="X12634" s="8">
        <v>120</v>
      </c>
      <c r="Y12634" s="8" t="s">
        <v>42506</v>
      </c>
      <c r="Z12634" s="8" t="s">
        <v>42507</v>
      </c>
    </row>
    <row r="12635" spans="1:26" x14ac:dyDescent="0.2">
      <c r="A12635" s="8">
        <v>12634</v>
      </c>
      <c r="B12635" s="8" t="s">
        <v>52953</v>
      </c>
      <c r="C12635" s="8" t="s">
        <v>52953</v>
      </c>
      <c r="G12635" s="8">
        <v>20</v>
      </c>
      <c r="H12635" s="8" t="s">
        <v>21</v>
      </c>
      <c r="I12635" s="8" t="s">
        <v>22</v>
      </c>
      <c r="J12635" s="8" t="s">
        <v>22</v>
      </c>
      <c r="K12635" s="8" t="s">
        <v>37</v>
      </c>
      <c r="L12635" s="8" t="s">
        <v>28435</v>
      </c>
      <c r="M12635" s="8" t="s">
        <v>28436</v>
      </c>
      <c r="N12635" s="8" t="s">
        <v>52954</v>
      </c>
      <c r="O12635" s="8">
        <f>18+57/60+9.7/3600</f>
        <v>18.952694444444443</v>
      </c>
      <c r="P12635" s="8" t="s">
        <v>52955</v>
      </c>
      <c r="Q12635" s="8">
        <f>-(62+5/60+25/3600)</f>
        <v>-62.090277777777779</v>
      </c>
      <c r="R12635" s="8">
        <v>13</v>
      </c>
      <c r="S12635" s="8">
        <v>14</v>
      </c>
      <c r="T12635" s="8">
        <v>1</v>
      </c>
      <c r="U12635" s="8">
        <v>12.1</v>
      </c>
      <c r="V12635" s="8">
        <v>0.9</v>
      </c>
      <c r="W12635" s="8">
        <v>0.5</v>
      </c>
      <c r="X12635" s="8">
        <v>25</v>
      </c>
      <c r="Y12635" s="8" t="s">
        <v>2641</v>
      </c>
      <c r="Z12635" s="8" t="s">
        <v>2642</v>
      </c>
    </row>
    <row r="12636" spans="1:26" x14ac:dyDescent="0.2">
      <c r="A12636" s="8">
        <v>12635</v>
      </c>
      <c r="B12636" s="8" t="s">
        <v>52956</v>
      </c>
      <c r="C12636" s="8" t="s">
        <v>52956</v>
      </c>
      <c r="G12636" s="8">
        <v>20</v>
      </c>
      <c r="H12636" s="8" t="s">
        <v>21</v>
      </c>
      <c r="I12636" s="8" t="s">
        <v>22</v>
      </c>
      <c r="J12636" s="8" t="s">
        <v>22</v>
      </c>
      <c r="K12636" s="8" t="s">
        <v>42046</v>
      </c>
      <c r="L12636" s="8" t="s">
        <v>28435</v>
      </c>
      <c r="M12636" s="8" t="s">
        <v>28436</v>
      </c>
      <c r="N12636" s="8" t="s">
        <v>52957</v>
      </c>
      <c r="O12636" s="8">
        <f>18+57/60+16.7/3600</f>
        <v>18.954638888888887</v>
      </c>
      <c r="P12636" s="8" t="s">
        <v>52958</v>
      </c>
      <c r="Q12636" s="8">
        <f>-(61+36/60+32/3600)</f>
        <v>-61.608888888888892</v>
      </c>
      <c r="R12636" s="8">
        <v>15</v>
      </c>
      <c r="S12636" s="8">
        <v>15.8</v>
      </c>
      <c r="T12636" s="8">
        <v>0.8</v>
      </c>
      <c r="U12636" s="8">
        <v>13.2</v>
      </c>
      <c r="V12636" s="8">
        <v>1.1000000000000001</v>
      </c>
      <c r="W12636" s="8">
        <v>0.2</v>
      </c>
      <c r="X12636" s="8">
        <v>70</v>
      </c>
      <c r="Y12636" s="8" t="s">
        <v>52959</v>
      </c>
      <c r="Z12636" s="8" t="s">
        <v>52960</v>
      </c>
    </row>
    <row r="12637" spans="1:26" x14ac:dyDescent="0.2">
      <c r="A12637" s="8">
        <v>12636</v>
      </c>
      <c r="B12637" s="8" t="s">
        <v>52961</v>
      </c>
      <c r="C12637" s="8" t="s">
        <v>52961</v>
      </c>
      <c r="G12637" s="8">
        <v>20</v>
      </c>
      <c r="H12637" s="8" t="s">
        <v>21</v>
      </c>
      <c r="I12637" s="8" t="s">
        <v>22</v>
      </c>
      <c r="J12637" s="8" t="s">
        <v>22</v>
      </c>
      <c r="K12637" s="8" t="s">
        <v>224</v>
      </c>
      <c r="L12637" s="8" t="s">
        <v>29246</v>
      </c>
      <c r="M12637" s="8" t="s">
        <v>29247</v>
      </c>
      <c r="N12637" s="8" t="s">
        <v>52962</v>
      </c>
      <c r="O12637" s="8">
        <f>18+56/60+27.9/3600</f>
        <v>18.941083333333335</v>
      </c>
      <c r="P12637" s="8" t="s">
        <v>52963</v>
      </c>
      <c r="Q12637" s="8">
        <f>-(54+12/60+48/3600)</f>
        <v>-54.213333333333338</v>
      </c>
      <c r="R12637" s="8">
        <v>12.3</v>
      </c>
      <c r="S12637" s="8">
        <v>13.2</v>
      </c>
      <c r="T12637" s="8">
        <v>0.9</v>
      </c>
      <c r="U12637" s="8">
        <v>12.6</v>
      </c>
      <c r="V12637" s="8">
        <v>1.6</v>
      </c>
      <c r="W12637" s="8">
        <v>1</v>
      </c>
      <c r="X12637" s="8">
        <v>140</v>
      </c>
      <c r="Y12637" s="8" t="s">
        <v>52964</v>
      </c>
      <c r="Z12637" s="8" t="s">
        <v>52965</v>
      </c>
    </row>
    <row r="12638" spans="1:26" x14ac:dyDescent="0.2">
      <c r="A12638" s="8">
        <v>12637</v>
      </c>
      <c r="B12638" s="8" t="s">
        <v>52966</v>
      </c>
      <c r="C12638" s="8" t="s">
        <v>52966</v>
      </c>
      <c r="G12638" s="8">
        <v>13</v>
      </c>
      <c r="H12638" s="8" t="s">
        <v>21</v>
      </c>
      <c r="I12638" s="8" t="s">
        <v>22</v>
      </c>
      <c r="J12638" s="8" t="s">
        <v>22</v>
      </c>
      <c r="K12638" s="8" t="s">
        <v>1068</v>
      </c>
      <c r="L12638" s="8" t="s">
        <v>29246</v>
      </c>
      <c r="M12638" s="8" t="s">
        <v>29247</v>
      </c>
      <c r="N12638" s="8" t="s">
        <v>52967</v>
      </c>
      <c r="O12638" s="8">
        <f>18+56/60+29.8/3600</f>
        <v>18.941611111111111</v>
      </c>
      <c r="P12638" s="8" t="s">
        <v>52968</v>
      </c>
      <c r="Q12638" s="8">
        <f>-(54+18/60+17/3600)</f>
        <v>-54.304722222222217</v>
      </c>
      <c r="R12638" s="8">
        <v>11.3</v>
      </c>
      <c r="S12638" s="8">
        <v>12.3</v>
      </c>
      <c r="T12638" s="8">
        <v>1</v>
      </c>
      <c r="U12638" s="8">
        <v>12.7</v>
      </c>
      <c r="V12638" s="8">
        <v>2.1</v>
      </c>
      <c r="W12638" s="8">
        <v>1.1000000000000001</v>
      </c>
      <c r="X12638" s="8">
        <v>146</v>
      </c>
      <c r="Y12638" s="8" t="s">
        <v>52964</v>
      </c>
      <c r="Z12638" s="8" t="s">
        <v>52965</v>
      </c>
    </row>
    <row r="12639" spans="1:26" x14ac:dyDescent="0.2">
      <c r="A12639" s="8">
        <v>12638</v>
      </c>
      <c r="B12639" s="8" t="s">
        <v>52969</v>
      </c>
      <c r="C12639" s="8" t="s">
        <v>52969</v>
      </c>
      <c r="G12639" s="8">
        <v>20</v>
      </c>
      <c r="H12639" s="8" t="s">
        <v>21</v>
      </c>
      <c r="I12639" s="8" t="s">
        <v>22</v>
      </c>
      <c r="J12639" s="8" t="s">
        <v>22</v>
      </c>
      <c r="K12639" s="8" t="s">
        <v>37</v>
      </c>
      <c r="L12639" s="8" t="s">
        <v>28435</v>
      </c>
      <c r="M12639" s="8" t="s">
        <v>28436</v>
      </c>
      <c r="N12639" s="8" t="s">
        <v>52970</v>
      </c>
      <c r="O12639" s="8">
        <f>18+58/60+21/3600</f>
        <v>18.972499999999997</v>
      </c>
      <c r="P12639" s="8" t="s">
        <v>52971</v>
      </c>
      <c r="Q12639" s="8">
        <f>-(62+7/60+4/3600)</f>
        <v>-62.117777777777775</v>
      </c>
      <c r="R12639" s="8">
        <v>12.2</v>
      </c>
      <c r="S12639" s="8">
        <v>13.2</v>
      </c>
      <c r="T12639" s="8">
        <v>1</v>
      </c>
      <c r="U12639" s="8">
        <v>12.3</v>
      </c>
      <c r="V12639" s="8">
        <v>1.5</v>
      </c>
      <c r="W12639" s="8">
        <v>0.8</v>
      </c>
      <c r="X12639" s="8">
        <v>108</v>
      </c>
      <c r="Y12639" s="8" t="s">
        <v>2641</v>
      </c>
      <c r="Z12639" s="8" t="s">
        <v>2642</v>
      </c>
    </row>
    <row r="12640" spans="1:26" x14ac:dyDescent="0.2">
      <c r="A12640" s="8">
        <v>12639</v>
      </c>
      <c r="B12640" s="8" t="s">
        <v>52972</v>
      </c>
      <c r="C12640" s="8" t="s">
        <v>52972</v>
      </c>
      <c r="G12640" s="8">
        <v>20</v>
      </c>
      <c r="H12640" s="8" t="s">
        <v>21</v>
      </c>
      <c r="I12640" s="8" t="s">
        <v>22</v>
      </c>
      <c r="J12640" s="8" t="s">
        <v>22</v>
      </c>
      <c r="K12640" s="8" t="s">
        <v>406</v>
      </c>
      <c r="L12640" s="8" t="s">
        <v>28435</v>
      </c>
      <c r="M12640" s="8" t="s">
        <v>28436</v>
      </c>
      <c r="N12640" s="8" t="s">
        <v>52973</v>
      </c>
      <c r="O12640" s="8">
        <f>18+58/60+56.9/3600</f>
        <v>18.982472222222221</v>
      </c>
      <c r="P12640" s="8" t="s">
        <v>52974</v>
      </c>
      <c r="Q12640" s="8">
        <f>-(63+55/60+50/3600)</f>
        <v>-63.93055555555555</v>
      </c>
      <c r="R12640" s="8">
        <v>13.1</v>
      </c>
      <c r="S12640" s="8">
        <v>13.9</v>
      </c>
      <c r="T12640" s="8">
        <v>0.8</v>
      </c>
      <c r="U12640" s="8">
        <v>13.5</v>
      </c>
      <c r="V12640" s="8">
        <v>1.5</v>
      </c>
      <c r="W12640" s="8">
        <v>1.1000000000000001</v>
      </c>
      <c r="X12640" s="8">
        <v>30</v>
      </c>
      <c r="Y12640" s="8" t="s">
        <v>52975</v>
      </c>
      <c r="Z12640" s="8" t="s">
        <v>52976</v>
      </c>
    </row>
    <row r="12641" spans="1:26" x14ac:dyDescent="0.2">
      <c r="A12641" s="8">
        <v>12640</v>
      </c>
      <c r="B12641" s="8" t="s">
        <v>52977</v>
      </c>
      <c r="C12641" s="8" t="s">
        <v>52977</v>
      </c>
      <c r="G12641" s="8">
        <v>20</v>
      </c>
      <c r="H12641" s="8" t="s">
        <v>21</v>
      </c>
      <c r="I12641" s="8" t="s">
        <v>22</v>
      </c>
      <c r="J12641" s="8" t="s">
        <v>22</v>
      </c>
      <c r="K12641" s="8" t="s">
        <v>154</v>
      </c>
      <c r="L12641" s="8" t="s">
        <v>28435</v>
      </c>
      <c r="M12641" s="8" t="s">
        <v>28436</v>
      </c>
      <c r="N12641" s="8" t="s">
        <v>52978</v>
      </c>
      <c r="O12641" s="8">
        <f>18+58/60+43.5/3600</f>
        <v>18.978749999999998</v>
      </c>
      <c r="P12641" s="8" t="s">
        <v>52979</v>
      </c>
      <c r="Q12641" s="8">
        <f>-(63+8/60+21/3600)</f>
        <v>-63.139166666666668</v>
      </c>
      <c r="R12641" s="8">
        <v>12.2</v>
      </c>
      <c r="S12641" s="8">
        <v>13.1</v>
      </c>
      <c r="T12641" s="8">
        <v>0.9</v>
      </c>
      <c r="U12641" s="8">
        <v>12.7</v>
      </c>
      <c r="V12641" s="8">
        <v>1.8</v>
      </c>
      <c r="W12641" s="8">
        <v>1</v>
      </c>
      <c r="X12641" s="8">
        <v>164</v>
      </c>
      <c r="Y12641" s="8" t="s">
        <v>52980</v>
      </c>
      <c r="Z12641" s="8" t="s">
        <v>52981</v>
      </c>
    </row>
    <row r="12642" spans="1:26" x14ac:dyDescent="0.2">
      <c r="A12642" s="8">
        <v>12641</v>
      </c>
      <c r="B12642" s="8" t="s">
        <v>52982</v>
      </c>
      <c r="C12642" s="8" t="s">
        <v>52982</v>
      </c>
      <c r="G12642" s="8">
        <v>20</v>
      </c>
      <c r="H12642" s="8" t="s">
        <v>21</v>
      </c>
      <c r="I12642" s="8" t="s">
        <v>22</v>
      </c>
      <c r="J12642" s="8" t="s">
        <v>22</v>
      </c>
      <c r="K12642" s="8" t="s">
        <v>632</v>
      </c>
      <c r="L12642" s="8" t="s">
        <v>28435</v>
      </c>
      <c r="M12642" s="8" t="s">
        <v>28436</v>
      </c>
      <c r="N12642" s="8" t="s">
        <v>52983</v>
      </c>
      <c r="O12642" s="8">
        <f>18+59/60+38.3/3600</f>
        <v>18.993972222222222</v>
      </c>
      <c r="P12642" s="8" t="s">
        <v>52984</v>
      </c>
      <c r="Q12642" s="8">
        <f>-(64+40/60+29/3600)</f>
        <v>-64.674722222222229</v>
      </c>
      <c r="R12642" s="8">
        <v>12.5</v>
      </c>
      <c r="S12642" s="8">
        <v>13.4</v>
      </c>
      <c r="T12642" s="8">
        <v>0.9</v>
      </c>
      <c r="U12642" s="8">
        <v>13</v>
      </c>
      <c r="V12642" s="8">
        <v>1.8</v>
      </c>
      <c r="W12642" s="8">
        <v>1</v>
      </c>
      <c r="X12642" s="8">
        <v>90</v>
      </c>
      <c r="Y12642" s="8" t="s">
        <v>11841</v>
      </c>
      <c r="Z12642" s="8" t="s">
        <v>11842</v>
      </c>
    </row>
    <row r="12643" spans="1:26" x14ac:dyDescent="0.2">
      <c r="A12643" s="8">
        <v>12642</v>
      </c>
      <c r="B12643" s="8" t="s">
        <v>52985</v>
      </c>
      <c r="C12643" s="8" t="s">
        <v>52985</v>
      </c>
      <c r="G12643" s="8">
        <v>20</v>
      </c>
      <c r="H12643" s="8" t="s">
        <v>21</v>
      </c>
      <c r="I12643" s="8" t="s">
        <v>72</v>
      </c>
      <c r="J12643" s="8" t="s">
        <v>72</v>
      </c>
      <c r="K12643" s="8" t="s">
        <v>1405</v>
      </c>
      <c r="L12643" s="8" t="s">
        <v>28576</v>
      </c>
      <c r="M12643" s="8" t="s">
        <v>28577</v>
      </c>
      <c r="N12643" s="8" t="s">
        <v>52986</v>
      </c>
      <c r="O12643" s="8">
        <f>18+55/60+7.2/3600</f>
        <v>18.918666666666667</v>
      </c>
      <c r="P12643" s="8" t="s">
        <v>52987</v>
      </c>
      <c r="Q12643" s="8">
        <f>-(22+41/60+51/3600)</f>
        <v>-22.697500000000002</v>
      </c>
      <c r="R12643" s="8">
        <v>99</v>
      </c>
      <c r="S12643" s="8">
        <v>99</v>
      </c>
      <c r="T12643" s="8">
        <v>99</v>
      </c>
      <c r="U12643" s="8">
        <v>99</v>
      </c>
      <c r="Y12643" s="8" t="s">
        <v>52988</v>
      </c>
      <c r="Z12643" s="8" t="s">
        <v>52989</v>
      </c>
    </row>
    <row r="12644" spans="1:26" x14ac:dyDescent="0.2">
      <c r="A12644" s="8">
        <v>12643</v>
      </c>
      <c r="B12644" s="8" t="s">
        <v>52990</v>
      </c>
      <c r="C12644" s="8" t="s">
        <v>52990</v>
      </c>
      <c r="E12644" s="8">
        <v>3</v>
      </c>
      <c r="G12644" s="8">
        <v>20</v>
      </c>
      <c r="H12644" s="8" t="s">
        <v>21</v>
      </c>
      <c r="I12644" s="8" t="s">
        <v>22</v>
      </c>
      <c r="J12644" s="8" t="s">
        <v>22</v>
      </c>
      <c r="K12644" s="8" t="s">
        <v>449</v>
      </c>
      <c r="L12644" s="8" t="s">
        <v>28435</v>
      </c>
      <c r="M12644" s="8" t="s">
        <v>28436</v>
      </c>
      <c r="N12644" s="8" t="s">
        <v>52991</v>
      </c>
      <c r="O12644" s="8">
        <f>19+0/60+39.5/3600</f>
        <v>19.010972222222222</v>
      </c>
      <c r="P12644" s="8" t="s">
        <v>52992</v>
      </c>
      <c r="Q12644" s="8">
        <f>-(62+3/60+54/3600)</f>
        <v>-62.064999999999998</v>
      </c>
      <c r="R12644" s="8">
        <v>14.8</v>
      </c>
      <c r="S12644" s="8">
        <v>15.6</v>
      </c>
      <c r="T12644" s="8">
        <v>0.8</v>
      </c>
      <c r="U12644" s="8">
        <v>13.4</v>
      </c>
      <c r="V12644" s="8">
        <v>0.8</v>
      </c>
      <c r="W12644" s="8">
        <v>0.4</v>
      </c>
      <c r="X12644" s="8">
        <v>5</v>
      </c>
      <c r="Y12644" s="8" t="s">
        <v>27966</v>
      </c>
      <c r="Z12644" s="8" t="s">
        <v>26987</v>
      </c>
    </row>
    <row r="12645" spans="1:26" x14ac:dyDescent="0.2">
      <c r="A12645" s="8">
        <v>12644</v>
      </c>
      <c r="B12645" s="8" t="s">
        <v>52993</v>
      </c>
      <c r="C12645" s="8" t="s">
        <v>52993</v>
      </c>
      <c r="G12645" s="8">
        <v>20</v>
      </c>
      <c r="H12645" s="8" t="s">
        <v>21</v>
      </c>
      <c r="I12645" s="8" t="s">
        <v>22</v>
      </c>
      <c r="J12645" s="8" t="s">
        <v>22</v>
      </c>
      <c r="K12645" s="8" t="s">
        <v>160</v>
      </c>
      <c r="L12645" s="8" t="s">
        <v>28435</v>
      </c>
      <c r="M12645" s="8" t="s">
        <v>28436</v>
      </c>
      <c r="N12645" s="8" t="s">
        <v>52994</v>
      </c>
      <c r="O12645" s="8">
        <f>19+1/60+7.5/3600</f>
        <v>19.018750000000001</v>
      </c>
      <c r="P12645" s="8" t="s">
        <v>52995</v>
      </c>
      <c r="Q12645" s="8">
        <f>-(61+49/60+59/3600)</f>
        <v>-61.833055555555561</v>
      </c>
      <c r="R12645" s="8">
        <v>14.1</v>
      </c>
      <c r="S12645" s="8">
        <v>14.8</v>
      </c>
      <c r="T12645" s="8">
        <v>0.7</v>
      </c>
      <c r="U12645" s="8">
        <v>14.1</v>
      </c>
      <c r="V12645" s="8">
        <v>1.2</v>
      </c>
      <c r="W12645" s="8">
        <v>1</v>
      </c>
      <c r="X12645" s="8">
        <v>147</v>
      </c>
      <c r="Y12645" s="8" t="s">
        <v>52996</v>
      </c>
      <c r="Z12645" s="8" t="s">
        <v>52997</v>
      </c>
    </row>
    <row r="12646" spans="1:26" x14ac:dyDescent="0.2">
      <c r="A12646" s="8">
        <v>12645</v>
      </c>
      <c r="B12646" s="8" t="s">
        <v>52998</v>
      </c>
      <c r="C12646" s="8" t="s">
        <v>52998</v>
      </c>
      <c r="G12646" s="8">
        <v>20</v>
      </c>
      <c r="H12646" s="8" t="s">
        <v>21</v>
      </c>
      <c r="I12646" s="8" t="s">
        <v>22</v>
      </c>
      <c r="J12646" s="8" t="s">
        <v>22</v>
      </c>
      <c r="K12646" s="8" t="s">
        <v>52772</v>
      </c>
      <c r="L12646" s="8" t="s">
        <v>28435</v>
      </c>
      <c r="M12646" s="8" t="s">
        <v>28436</v>
      </c>
      <c r="N12646" s="8" t="s">
        <v>52999</v>
      </c>
      <c r="O12646" s="8">
        <f>19+2/60+1.4/3600</f>
        <v>19.033722222222224</v>
      </c>
      <c r="P12646" s="8" t="s">
        <v>53000</v>
      </c>
      <c r="Q12646" s="8">
        <f>-(63+2/60+51/3600)</f>
        <v>-63.047499999999999</v>
      </c>
      <c r="R12646" s="8">
        <v>13.6</v>
      </c>
      <c r="S12646" s="8">
        <v>14.5</v>
      </c>
      <c r="T12646" s="8">
        <v>0.9</v>
      </c>
      <c r="U12646" s="8">
        <v>12.9</v>
      </c>
      <c r="V12646" s="8">
        <v>1.3</v>
      </c>
      <c r="W12646" s="8">
        <v>0.4</v>
      </c>
      <c r="X12646" s="8">
        <v>21</v>
      </c>
      <c r="Y12646" s="8" t="s">
        <v>53001</v>
      </c>
      <c r="Z12646" s="8" t="s">
        <v>53002</v>
      </c>
    </row>
    <row r="12647" spans="1:26" x14ac:dyDescent="0.2">
      <c r="A12647" s="8">
        <v>12646</v>
      </c>
      <c r="B12647" s="8" t="s">
        <v>53003</v>
      </c>
      <c r="C12647" s="8" t="s">
        <v>53003</v>
      </c>
      <c r="G12647" s="8">
        <v>20</v>
      </c>
      <c r="H12647" s="8" t="s">
        <v>21</v>
      </c>
      <c r="I12647" s="8" t="s">
        <v>22</v>
      </c>
      <c r="J12647" s="8" t="s">
        <v>22</v>
      </c>
      <c r="K12647" s="8" t="s">
        <v>23</v>
      </c>
      <c r="L12647" s="8" t="s">
        <v>28435</v>
      </c>
      <c r="M12647" s="8" t="s">
        <v>28436</v>
      </c>
      <c r="N12647" s="8" t="s">
        <v>53004</v>
      </c>
      <c r="O12647" s="8">
        <f>19+1/60+30.7/3600</f>
        <v>19.025194444444445</v>
      </c>
      <c r="P12647" s="8" t="s">
        <v>53005</v>
      </c>
      <c r="Q12647" s="8">
        <f>-(57+31/60+57/3600)</f>
        <v>-57.532499999999999</v>
      </c>
      <c r="R12647" s="8">
        <v>12.2</v>
      </c>
      <c r="S12647" s="8">
        <v>13.1</v>
      </c>
      <c r="T12647" s="8">
        <v>0.9</v>
      </c>
      <c r="U12647" s="8">
        <v>12.4</v>
      </c>
      <c r="V12647" s="8">
        <v>2.2999999999999998</v>
      </c>
      <c r="W12647" s="8">
        <v>0.6</v>
      </c>
      <c r="X12647" s="8">
        <v>9</v>
      </c>
      <c r="Y12647" s="8" t="s">
        <v>53006</v>
      </c>
      <c r="Z12647" s="8" t="s">
        <v>53007</v>
      </c>
    </row>
    <row r="12648" spans="1:26" x14ac:dyDescent="0.2">
      <c r="A12648" s="8">
        <v>12647</v>
      </c>
      <c r="B12648" s="8" t="s">
        <v>53008</v>
      </c>
      <c r="C12648" s="8" t="s">
        <v>53008</v>
      </c>
      <c r="G12648" s="8">
        <v>20</v>
      </c>
      <c r="H12648" s="8" t="s">
        <v>21</v>
      </c>
      <c r="I12648" s="8" t="s">
        <v>22</v>
      </c>
      <c r="J12648" s="8" t="s">
        <v>22</v>
      </c>
      <c r="K12648" s="8" t="s">
        <v>64</v>
      </c>
      <c r="L12648" s="8" t="s">
        <v>28435</v>
      </c>
      <c r="M12648" s="8" t="s">
        <v>28436</v>
      </c>
      <c r="N12648" s="8" t="s">
        <v>53009</v>
      </c>
      <c r="O12648" s="8">
        <f>19+2/60+17.8/3600</f>
        <v>19.038277777777779</v>
      </c>
      <c r="P12648" s="8" t="s">
        <v>53010</v>
      </c>
      <c r="Q12648" s="8">
        <f>-(56+55/60+48/3600)</f>
        <v>-56.93</v>
      </c>
      <c r="R12648" s="8">
        <v>13.4</v>
      </c>
      <c r="S12648" s="8">
        <v>14.1</v>
      </c>
      <c r="T12648" s="8">
        <v>0.7</v>
      </c>
      <c r="U12648" s="8">
        <v>12.7</v>
      </c>
      <c r="V12648" s="8">
        <v>1</v>
      </c>
      <c r="W12648" s="8">
        <v>0.6</v>
      </c>
      <c r="X12648" s="8">
        <v>7</v>
      </c>
      <c r="Y12648" s="8" t="s">
        <v>53011</v>
      </c>
      <c r="Z12648" s="8" t="s">
        <v>53012</v>
      </c>
    </row>
    <row r="12649" spans="1:26" x14ac:dyDescent="0.2">
      <c r="A12649" s="8">
        <v>12648</v>
      </c>
      <c r="B12649" s="8" t="s">
        <v>53013</v>
      </c>
      <c r="C12649" s="8" t="s">
        <v>53013</v>
      </c>
      <c r="G12649" s="8">
        <v>20</v>
      </c>
      <c r="H12649" s="8" t="s">
        <v>21</v>
      </c>
      <c r="I12649" s="8" t="s">
        <v>22</v>
      </c>
      <c r="J12649" s="8" t="s">
        <v>22</v>
      </c>
      <c r="K12649" s="8" t="s">
        <v>160</v>
      </c>
      <c r="L12649" s="8" t="s">
        <v>29060</v>
      </c>
      <c r="M12649" s="8" t="s">
        <v>29061</v>
      </c>
      <c r="N12649" s="8" t="s">
        <v>52994</v>
      </c>
      <c r="O12649" s="8">
        <f>19+1/60+7.5/3600</f>
        <v>19.018750000000001</v>
      </c>
      <c r="P12649" s="8" t="s">
        <v>53014</v>
      </c>
      <c r="Q12649" s="8">
        <f>-(45+18/60+51/3600)</f>
        <v>-45.314166666666665</v>
      </c>
      <c r="R12649" s="8">
        <v>12.3</v>
      </c>
      <c r="S12649" s="8">
        <v>12.9</v>
      </c>
      <c r="T12649" s="8">
        <v>0.6</v>
      </c>
      <c r="U12649" s="8">
        <v>12.7</v>
      </c>
      <c r="V12649" s="8">
        <v>2</v>
      </c>
      <c r="W12649" s="8">
        <v>0.8</v>
      </c>
      <c r="X12649" s="8">
        <v>45</v>
      </c>
      <c r="Y12649" s="8" t="s">
        <v>53015</v>
      </c>
      <c r="Z12649" s="8" t="s">
        <v>53016</v>
      </c>
    </row>
    <row r="12650" spans="1:26" x14ac:dyDescent="0.2">
      <c r="A12650" s="8">
        <v>12649</v>
      </c>
      <c r="B12650" s="8" t="s">
        <v>53017</v>
      </c>
      <c r="C12650" s="8" t="s">
        <v>53017</v>
      </c>
      <c r="G12650" s="8">
        <v>20</v>
      </c>
      <c r="H12650" s="8" t="s">
        <v>21</v>
      </c>
      <c r="I12650" s="8" t="s">
        <v>22</v>
      </c>
      <c r="J12650" s="8" t="s">
        <v>22</v>
      </c>
      <c r="K12650" s="8" t="s">
        <v>17644</v>
      </c>
      <c r="L12650" s="8" t="s">
        <v>28435</v>
      </c>
      <c r="M12650" s="8" t="s">
        <v>28436</v>
      </c>
      <c r="N12650" s="8" t="s">
        <v>53018</v>
      </c>
      <c r="O12650" s="8">
        <f>19+4/60+5.3/3600</f>
        <v>19.068138888888889</v>
      </c>
      <c r="P12650" s="8" t="s">
        <v>53019</v>
      </c>
      <c r="Q12650" s="8">
        <f>-(62+11/60+39/3600)</f>
        <v>-62.194166666666661</v>
      </c>
      <c r="R12650" s="8">
        <v>14.1</v>
      </c>
      <c r="S12650" s="8">
        <v>14.7</v>
      </c>
      <c r="T12650" s="8">
        <v>0.6</v>
      </c>
      <c r="U12650" s="8">
        <v>13.1</v>
      </c>
      <c r="V12650" s="8">
        <v>1</v>
      </c>
      <c r="W12650" s="8">
        <v>0.6</v>
      </c>
      <c r="X12650" s="8">
        <v>14</v>
      </c>
      <c r="Y12650" s="8" t="s">
        <v>53020</v>
      </c>
      <c r="Z12650" s="8" t="s">
        <v>53021</v>
      </c>
    </row>
    <row r="12651" spans="1:26" x14ac:dyDescent="0.2">
      <c r="A12651" s="8">
        <v>12650</v>
      </c>
      <c r="B12651" s="8" t="s">
        <v>53022</v>
      </c>
      <c r="C12651" s="8" t="s">
        <v>53022</v>
      </c>
      <c r="G12651" s="8">
        <v>20</v>
      </c>
      <c r="H12651" s="8" t="s">
        <v>21</v>
      </c>
      <c r="I12651" s="8" t="s">
        <v>22</v>
      </c>
      <c r="J12651" s="8" t="s">
        <v>22</v>
      </c>
      <c r="K12651" s="8" t="s">
        <v>1277</v>
      </c>
      <c r="L12651" s="8" t="s">
        <v>29246</v>
      </c>
      <c r="M12651" s="8" t="s">
        <v>29247</v>
      </c>
      <c r="N12651" s="8" t="s">
        <v>53023</v>
      </c>
      <c r="O12651" s="8">
        <f>19+3/60+0.1/3600</f>
        <v>19.050027777777778</v>
      </c>
      <c r="P12651" s="8" t="s">
        <v>53024</v>
      </c>
      <c r="Q12651" s="8">
        <f>-(56+9/60+37/3600)</f>
        <v>-56.160277777777779</v>
      </c>
      <c r="R12651" s="8">
        <v>12.6</v>
      </c>
      <c r="S12651" s="8">
        <v>13.1</v>
      </c>
      <c r="T12651" s="8">
        <v>0.5</v>
      </c>
      <c r="U12651" s="8">
        <v>12.7</v>
      </c>
      <c r="V12651" s="8">
        <v>3.5</v>
      </c>
      <c r="W12651" s="8">
        <v>0.4</v>
      </c>
      <c r="X12651" s="8">
        <v>136</v>
      </c>
      <c r="Y12651" s="8" t="s">
        <v>53025</v>
      </c>
      <c r="Z12651" s="8" t="s">
        <v>53026</v>
      </c>
    </row>
    <row r="12652" spans="1:26" x14ac:dyDescent="0.2">
      <c r="A12652" s="8">
        <v>12651</v>
      </c>
      <c r="B12652" s="8" t="s">
        <v>53027</v>
      </c>
      <c r="C12652" s="8" t="s">
        <v>53027</v>
      </c>
      <c r="G12652" s="8">
        <v>20</v>
      </c>
      <c r="H12652" s="8" t="s">
        <v>21</v>
      </c>
      <c r="I12652" s="8" t="s">
        <v>22</v>
      </c>
      <c r="J12652" s="8" t="s">
        <v>22</v>
      </c>
      <c r="K12652" s="8" t="s">
        <v>42046</v>
      </c>
      <c r="L12652" s="8" t="s">
        <v>28435</v>
      </c>
      <c r="M12652" s="8" t="s">
        <v>28436</v>
      </c>
      <c r="N12652" s="8" t="s">
        <v>53028</v>
      </c>
      <c r="O12652" s="8">
        <f>19+5/60+44.5/3600</f>
        <v>19.095694444444444</v>
      </c>
      <c r="P12652" s="8" t="s">
        <v>53029</v>
      </c>
      <c r="Q12652" s="8">
        <f>-(67+8/60+3/3600)</f>
        <v>-67.134166666666673</v>
      </c>
      <c r="R12652" s="8">
        <v>15</v>
      </c>
      <c r="S12652" s="8">
        <v>15.8</v>
      </c>
      <c r="T12652" s="8">
        <v>0.8</v>
      </c>
      <c r="U12652" s="8">
        <v>13.5</v>
      </c>
      <c r="V12652" s="8">
        <v>0.6</v>
      </c>
      <c r="W12652" s="8">
        <v>0.5</v>
      </c>
      <c r="Y12652" s="8" t="s">
        <v>53030</v>
      </c>
      <c r="Z12652" s="8" t="s">
        <v>53031</v>
      </c>
    </row>
    <row r="12653" spans="1:26" x14ac:dyDescent="0.2">
      <c r="A12653" s="8">
        <v>12652</v>
      </c>
      <c r="B12653" s="8" t="s">
        <v>53032</v>
      </c>
      <c r="C12653" s="8" t="s">
        <v>53032</v>
      </c>
      <c r="G12653" s="8">
        <v>20</v>
      </c>
      <c r="H12653" s="8" t="s">
        <v>21</v>
      </c>
      <c r="I12653" s="8" t="s">
        <v>1283</v>
      </c>
      <c r="J12653" s="8" t="s">
        <v>1283</v>
      </c>
      <c r="K12653" s="8" t="s">
        <v>36496</v>
      </c>
      <c r="L12653" s="8" t="s">
        <v>29060</v>
      </c>
      <c r="M12653" s="8" t="s">
        <v>29061</v>
      </c>
      <c r="N12653" s="8" t="s">
        <v>53033</v>
      </c>
      <c r="O12653" s="8">
        <f>19+1/60+3.5/3600</f>
        <v>19.017638888888889</v>
      </c>
      <c r="P12653" s="8" t="s">
        <v>53034</v>
      </c>
      <c r="Q12653" s="8">
        <f>-(37+3/60+37/3600)</f>
        <v>-37.060277777777777</v>
      </c>
      <c r="R12653" s="8">
        <v>99</v>
      </c>
      <c r="S12653" s="8">
        <v>99</v>
      </c>
      <c r="T12653" s="8">
        <v>99</v>
      </c>
      <c r="U12653" s="8">
        <v>99</v>
      </c>
      <c r="V12653" s="8">
        <v>10</v>
      </c>
      <c r="W12653" s="8">
        <v>7</v>
      </c>
      <c r="Y12653" s="8" t="s">
        <v>53035</v>
      </c>
      <c r="Z12653" s="8" t="s">
        <v>53036</v>
      </c>
    </row>
    <row r="12654" spans="1:26" x14ac:dyDescent="0.2">
      <c r="A12654" s="8">
        <v>12653</v>
      </c>
      <c r="B12654" s="8" t="s">
        <v>53037</v>
      </c>
      <c r="C12654" s="8" t="s">
        <v>53037</v>
      </c>
      <c r="G12654" s="8">
        <v>20</v>
      </c>
      <c r="H12654" s="8" t="s">
        <v>21</v>
      </c>
      <c r="I12654" s="8" t="s">
        <v>22</v>
      </c>
      <c r="J12654" s="8" t="s">
        <v>22</v>
      </c>
      <c r="K12654" s="8" t="s">
        <v>17644</v>
      </c>
      <c r="L12654" s="8" t="s">
        <v>28435</v>
      </c>
      <c r="M12654" s="8" t="s">
        <v>28436</v>
      </c>
      <c r="N12654" s="8" t="s">
        <v>53038</v>
      </c>
      <c r="O12654" s="8">
        <f>19+5/60+41.8/3600</f>
        <v>19.094944444444444</v>
      </c>
      <c r="P12654" s="8" t="s">
        <v>53039</v>
      </c>
      <c r="Q12654" s="8">
        <f>-(66+31/60+22/3600)</f>
        <v>-66.522777777777776</v>
      </c>
      <c r="R12654" s="8">
        <v>13.6</v>
      </c>
      <c r="S12654" s="8">
        <v>14.5</v>
      </c>
      <c r="T12654" s="8">
        <v>0.9</v>
      </c>
      <c r="U12654" s="8">
        <v>13.7</v>
      </c>
      <c r="V12654" s="8">
        <v>1.4</v>
      </c>
      <c r="W12654" s="8">
        <v>1.1000000000000001</v>
      </c>
      <c r="X12654" s="8">
        <v>35</v>
      </c>
      <c r="Y12654" s="8" t="s">
        <v>170</v>
      </c>
      <c r="Z12654" s="8" t="s">
        <v>171</v>
      </c>
    </row>
    <row r="12655" spans="1:26" x14ac:dyDescent="0.2">
      <c r="A12655" s="8">
        <v>12654</v>
      </c>
      <c r="B12655" s="8" t="s">
        <v>53040</v>
      </c>
      <c r="C12655" s="8" t="s">
        <v>53040</v>
      </c>
      <c r="G12655" s="8">
        <v>20</v>
      </c>
      <c r="H12655" s="8" t="s">
        <v>21</v>
      </c>
      <c r="I12655" s="8" t="s">
        <v>22</v>
      </c>
      <c r="J12655" s="8" t="s">
        <v>22</v>
      </c>
      <c r="K12655" s="8" t="s">
        <v>42046</v>
      </c>
      <c r="L12655" s="8" t="s">
        <v>28435</v>
      </c>
      <c r="M12655" s="8" t="s">
        <v>28436</v>
      </c>
      <c r="N12655" s="8" t="s">
        <v>53041</v>
      </c>
      <c r="O12655" s="8">
        <f>19+4/60+59.4/3600</f>
        <v>19.083166666666667</v>
      </c>
      <c r="P12655" s="8" t="s">
        <v>53042</v>
      </c>
      <c r="Q12655" s="8">
        <f>-(58+34/60+47/3600)</f>
        <v>-58.579722222222223</v>
      </c>
      <c r="R12655" s="8">
        <v>13.4</v>
      </c>
      <c r="S12655" s="8">
        <v>14.3</v>
      </c>
      <c r="T12655" s="8">
        <v>0.9</v>
      </c>
      <c r="U12655" s="8">
        <v>12.4</v>
      </c>
      <c r="V12655" s="8">
        <v>1.1000000000000001</v>
      </c>
      <c r="W12655" s="8">
        <v>0.4</v>
      </c>
      <c r="X12655" s="8">
        <v>93</v>
      </c>
      <c r="Y12655" s="8" t="s">
        <v>53043</v>
      </c>
      <c r="Z12655" s="8" t="s">
        <v>53044</v>
      </c>
    </row>
    <row r="12656" spans="1:26" x14ac:dyDescent="0.2">
      <c r="A12656" s="8">
        <v>12655</v>
      </c>
      <c r="B12656" s="8" t="s">
        <v>53045</v>
      </c>
      <c r="C12656" s="8" t="s">
        <v>53045</v>
      </c>
      <c r="G12656" s="8">
        <v>20</v>
      </c>
      <c r="H12656" s="8" t="s">
        <v>21</v>
      </c>
      <c r="I12656" s="8" t="s">
        <v>22</v>
      </c>
      <c r="J12656" s="8" t="s">
        <v>22</v>
      </c>
      <c r="K12656" s="8" t="s">
        <v>37</v>
      </c>
      <c r="L12656" s="8" t="s">
        <v>28435</v>
      </c>
      <c r="M12656" s="8" t="s">
        <v>28436</v>
      </c>
      <c r="N12656" s="8" t="s">
        <v>53046</v>
      </c>
      <c r="O12656" s="8">
        <f>19+6/60+50.8/3600</f>
        <v>19.114111111111111</v>
      </c>
      <c r="P12656" s="8" t="s">
        <v>53047</v>
      </c>
      <c r="Q12656" s="8">
        <f>-(61+42/60+4/3600)</f>
        <v>-61.701111111111111</v>
      </c>
      <c r="R12656" s="8">
        <v>13.3</v>
      </c>
      <c r="S12656" s="8">
        <v>14.3</v>
      </c>
      <c r="T12656" s="8">
        <v>1</v>
      </c>
      <c r="U12656" s="8">
        <v>12.4</v>
      </c>
      <c r="V12656" s="8">
        <v>0.8</v>
      </c>
      <c r="W12656" s="8">
        <v>0.6</v>
      </c>
      <c r="X12656" s="8">
        <v>162</v>
      </c>
      <c r="Y12656" s="8" t="s">
        <v>15316</v>
      </c>
      <c r="Z12656" s="8" t="s">
        <v>15317</v>
      </c>
    </row>
    <row r="12657" spans="1:26" x14ac:dyDescent="0.2">
      <c r="A12657" s="8">
        <v>12656</v>
      </c>
      <c r="B12657" s="8" t="s">
        <v>53048</v>
      </c>
      <c r="C12657" s="8" t="s">
        <v>53048</v>
      </c>
      <c r="G12657" s="8">
        <v>20</v>
      </c>
      <c r="H12657" s="8" t="s">
        <v>21</v>
      </c>
      <c r="I12657" s="8" t="s">
        <v>22</v>
      </c>
      <c r="J12657" s="8" t="s">
        <v>22</v>
      </c>
      <c r="K12657" s="8" t="s">
        <v>449</v>
      </c>
      <c r="L12657" s="8" t="s">
        <v>28576</v>
      </c>
      <c r="M12657" s="8" t="s">
        <v>28577</v>
      </c>
      <c r="N12657" s="8" t="s">
        <v>53049</v>
      </c>
      <c r="O12657" s="8">
        <f>19+1/60+44.4/3600</f>
        <v>19.029</v>
      </c>
      <c r="P12657" s="8" t="s">
        <v>53050</v>
      </c>
      <c r="Q12657" s="8">
        <f>-(13+8/60+50/3600)</f>
        <v>-13.147222222222222</v>
      </c>
      <c r="R12657" s="8">
        <v>16.2</v>
      </c>
      <c r="S12657" s="8">
        <v>17</v>
      </c>
      <c r="T12657" s="8">
        <v>0.8</v>
      </c>
      <c r="U12657" s="8">
        <v>11.8</v>
      </c>
      <c r="V12657" s="8">
        <v>0.2</v>
      </c>
      <c r="W12657" s="8">
        <v>0.1</v>
      </c>
      <c r="X12657" s="8">
        <v>60</v>
      </c>
      <c r="Y12657" s="8" t="s">
        <v>27388</v>
      </c>
      <c r="Z12657" s="8" t="s">
        <v>42798</v>
      </c>
    </row>
    <row r="12658" spans="1:26" x14ac:dyDescent="0.2">
      <c r="A12658" s="8">
        <v>12657</v>
      </c>
      <c r="B12658" s="8" t="s">
        <v>53051</v>
      </c>
      <c r="C12658" s="8" t="s">
        <v>53051</v>
      </c>
      <c r="G12658" s="8">
        <v>20</v>
      </c>
      <c r="H12658" s="8" t="s">
        <v>21</v>
      </c>
      <c r="I12658" s="8" t="s">
        <v>22</v>
      </c>
      <c r="J12658" s="8" t="s">
        <v>22</v>
      </c>
      <c r="K12658" s="8" t="s">
        <v>85</v>
      </c>
      <c r="L12658" s="8" t="s">
        <v>29246</v>
      </c>
      <c r="M12658" s="8" t="s">
        <v>29247</v>
      </c>
      <c r="N12658" s="8" t="s">
        <v>53052</v>
      </c>
      <c r="O12658" s="8">
        <f>19+6/60+12.6/3600</f>
        <v>19.1035</v>
      </c>
      <c r="P12658" s="8" t="s">
        <v>53053</v>
      </c>
      <c r="Q12658" s="8">
        <f>-(56+9/60+33/3600)</f>
        <v>-56.159166666666664</v>
      </c>
      <c r="R12658" s="8">
        <v>13.6</v>
      </c>
      <c r="S12658" s="8">
        <v>14.4</v>
      </c>
      <c r="T12658" s="8">
        <v>0.8</v>
      </c>
      <c r="U12658" s="8">
        <v>13.2</v>
      </c>
      <c r="V12658" s="8">
        <v>1.6</v>
      </c>
      <c r="W12658" s="8">
        <v>0.5</v>
      </c>
      <c r="X12658" s="8">
        <v>12</v>
      </c>
      <c r="Y12658" s="8" t="s">
        <v>53054</v>
      </c>
      <c r="Z12658" s="8" t="s">
        <v>53055</v>
      </c>
    </row>
    <row r="12659" spans="1:26" x14ac:dyDescent="0.2">
      <c r="A12659" s="8">
        <v>12658</v>
      </c>
      <c r="B12659" s="8" t="s">
        <v>53056</v>
      </c>
      <c r="C12659" s="8" t="s">
        <v>53056</v>
      </c>
      <c r="G12659" s="8">
        <v>20</v>
      </c>
      <c r="H12659" s="8" t="s">
        <v>21</v>
      </c>
      <c r="I12659" s="8" t="s">
        <v>22</v>
      </c>
      <c r="J12659" s="8" t="s">
        <v>22</v>
      </c>
      <c r="K12659" s="8" t="s">
        <v>435</v>
      </c>
      <c r="L12659" s="8" t="s">
        <v>29246</v>
      </c>
      <c r="M12659" s="8" t="s">
        <v>29247</v>
      </c>
      <c r="N12659" s="8" t="s">
        <v>53057</v>
      </c>
      <c r="O12659" s="8">
        <f>19+6/60+2.9/3600</f>
        <v>19.100805555555556</v>
      </c>
      <c r="P12659" s="8" t="s">
        <v>53058</v>
      </c>
      <c r="Q12659" s="8">
        <f>-(55+8/60+10/3600)</f>
        <v>-55.136111111111113</v>
      </c>
      <c r="R12659" s="8">
        <v>14.3</v>
      </c>
      <c r="S12659" s="8">
        <v>15.2</v>
      </c>
      <c r="T12659" s="8">
        <v>0.9</v>
      </c>
      <c r="U12659" s="8">
        <v>13.3</v>
      </c>
      <c r="V12659" s="8">
        <v>1.5</v>
      </c>
      <c r="W12659" s="8">
        <v>0.3</v>
      </c>
      <c r="X12659" s="8">
        <v>78</v>
      </c>
      <c r="Y12659" s="8" t="s">
        <v>53059</v>
      </c>
      <c r="Z12659" s="8" t="s">
        <v>53060</v>
      </c>
    </row>
    <row r="12660" spans="1:26" x14ac:dyDescent="0.2">
      <c r="A12660" s="8">
        <v>12659</v>
      </c>
      <c r="B12660" s="8" t="s">
        <v>53061</v>
      </c>
      <c r="C12660" s="8" t="s">
        <v>53061</v>
      </c>
      <c r="G12660" s="8">
        <v>20</v>
      </c>
      <c r="H12660" s="8" t="s">
        <v>21</v>
      </c>
      <c r="I12660" s="8" t="s">
        <v>22</v>
      </c>
      <c r="J12660" s="8" t="s">
        <v>22</v>
      </c>
      <c r="K12660" s="8" t="s">
        <v>160</v>
      </c>
      <c r="L12660" s="8" t="s">
        <v>28435</v>
      </c>
      <c r="M12660" s="8" t="s">
        <v>28436</v>
      </c>
      <c r="N12660" s="8" t="s">
        <v>53062</v>
      </c>
      <c r="O12660" s="8">
        <f>19+7/60+7.5/3600</f>
        <v>19.118750000000002</v>
      </c>
      <c r="P12660" s="8" t="s">
        <v>53063</v>
      </c>
      <c r="Q12660" s="8">
        <f>-(59+28/60+2/3600)</f>
        <v>-59.467222222222226</v>
      </c>
      <c r="R12660" s="8">
        <v>13.4</v>
      </c>
      <c r="S12660" s="8">
        <v>14.1</v>
      </c>
      <c r="T12660" s="8">
        <v>0.7</v>
      </c>
      <c r="U12660" s="8">
        <v>13.1</v>
      </c>
      <c r="V12660" s="8">
        <v>2.9</v>
      </c>
      <c r="W12660" s="8">
        <v>0.3</v>
      </c>
      <c r="X12660" s="8">
        <v>125</v>
      </c>
      <c r="Y12660" s="8" t="s">
        <v>53064</v>
      </c>
      <c r="Z12660" s="8" t="s">
        <v>53065</v>
      </c>
    </row>
    <row r="12661" spans="1:26" x14ac:dyDescent="0.2">
      <c r="A12661" s="8">
        <v>12660</v>
      </c>
      <c r="B12661" s="8" t="s">
        <v>53066</v>
      </c>
      <c r="C12661" s="8" t="s">
        <v>53066</v>
      </c>
      <c r="G12661" s="8">
        <v>20</v>
      </c>
      <c r="H12661" s="8" t="s">
        <v>21</v>
      </c>
      <c r="I12661" s="8" t="s">
        <v>22</v>
      </c>
      <c r="J12661" s="8" t="s">
        <v>22</v>
      </c>
      <c r="K12661" s="8" t="s">
        <v>1277</v>
      </c>
      <c r="L12661" s="8" t="s">
        <v>28435</v>
      </c>
      <c r="M12661" s="8" t="s">
        <v>28436</v>
      </c>
      <c r="N12661" s="8" t="s">
        <v>53067</v>
      </c>
      <c r="O12661" s="8">
        <f>19+9/60+13.5/3600</f>
        <v>19.153749999999999</v>
      </c>
      <c r="P12661" s="8" t="s">
        <v>53068</v>
      </c>
      <c r="Q12661" s="8">
        <f>-(63+27/60+56/3600)</f>
        <v>-63.465555555555561</v>
      </c>
      <c r="R12661" s="8">
        <v>14.6</v>
      </c>
      <c r="S12661" s="8">
        <v>15.2</v>
      </c>
      <c r="T12661" s="8">
        <v>0.6</v>
      </c>
      <c r="U12661" s="8">
        <v>14.8</v>
      </c>
      <c r="V12661" s="8">
        <v>1.3</v>
      </c>
      <c r="W12661" s="8">
        <v>0.9</v>
      </c>
      <c r="X12661" s="8">
        <v>110</v>
      </c>
      <c r="Y12661" s="8" t="s">
        <v>53069</v>
      </c>
      <c r="Z12661" s="8" t="s">
        <v>53070</v>
      </c>
    </row>
    <row r="12662" spans="1:26" x14ac:dyDescent="0.2">
      <c r="A12662" s="8">
        <v>12661</v>
      </c>
      <c r="B12662" s="8" t="s">
        <v>53071</v>
      </c>
      <c r="C12662" s="8" t="s">
        <v>53071</v>
      </c>
      <c r="G12662" s="8">
        <v>20</v>
      </c>
      <c r="H12662" s="8" t="s">
        <v>21</v>
      </c>
      <c r="I12662" s="8" t="s">
        <v>22</v>
      </c>
      <c r="J12662" s="8" t="s">
        <v>22</v>
      </c>
      <c r="K12662" s="8" t="s">
        <v>160</v>
      </c>
      <c r="L12662" s="8" t="s">
        <v>29246</v>
      </c>
      <c r="M12662" s="8" t="s">
        <v>29247</v>
      </c>
      <c r="N12662" s="8" t="s">
        <v>53072</v>
      </c>
      <c r="O12662" s="8">
        <f>19+9/60+32.2/3600</f>
        <v>19.158944444444444</v>
      </c>
      <c r="P12662" s="8" t="s">
        <v>53073</v>
      </c>
      <c r="Q12662" s="8">
        <f>-(55+0/60+59/3600)</f>
        <v>-55.016388888888891</v>
      </c>
      <c r="R12662" s="8">
        <v>12.9</v>
      </c>
      <c r="S12662" s="8">
        <v>13.6</v>
      </c>
      <c r="T12662" s="8">
        <v>0.7</v>
      </c>
      <c r="U12662" s="8">
        <v>13</v>
      </c>
      <c r="V12662" s="8">
        <v>1.8</v>
      </c>
      <c r="W12662" s="8">
        <v>0.7</v>
      </c>
      <c r="X12662" s="8">
        <v>4</v>
      </c>
      <c r="Y12662" s="8" t="s">
        <v>53074</v>
      </c>
      <c r="Z12662" s="8" t="s">
        <v>53075</v>
      </c>
    </row>
    <row r="12663" spans="1:26" x14ac:dyDescent="0.2">
      <c r="A12663" s="8">
        <v>12662</v>
      </c>
      <c r="B12663" s="8" t="s">
        <v>53076</v>
      </c>
      <c r="C12663" s="8" t="s">
        <v>53076</v>
      </c>
      <c r="G12663" s="8">
        <v>20</v>
      </c>
      <c r="H12663" s="8" t="s">
        <v>21</v>
      </c>
      <c r="I12663" s="8" t="s">
        <v>22</v>
      </c>
      <c r="J12663" s="8" t="s">
        <v>22</v>
      </c>
      <c r="K12663" s="8" t="s">
        <v>42046</v>
      </c>
      <c r="L12663" s="8" t="s">
        <v>28435</v>
      </c>
      <c r="M12663" s="8" t="s">
        <v>28436</v>
      </c>
      <c r="N12663" s="8" t="s">
        <v>53077</v>
      </c>
      <c r="O12663" s="8">
        <f>19+14/60+45.6/3600</f>
        <v>19.246000000000002</v>
      </c>
      <c r="P12663" s="8" t="s">
        <v>53078</v>
      </c>
      <c r="Q12663" s="8">
        <f>-(72+26/60+28/3600)</f>
        <v>-72.441111111111113</v>
      </c>
      <c r="R12663" s="8">
        <v>14.2</v>
      </c>
      <c r="S12663" s="8">
        <v>15</v>
      </c>
      <c r="T12663" s="8">
        <v>0.8</v>
      </c>
      <c r="U12663" s="8">
        <v>12.4</v>
      </c>
      <c r="V12663" s="8">
        <v>0.7</v>
      </c>
      <c r="W12663" s="8">
        <v>0.3</v>
      </c>
      <c r="X12663" s="8">
        <v>75</v>
      </c>
      <c r="Y12663" s="8" t="s">
        <v>895</v>
      </c>
      <c r="Z12663" s="8" t="s">
        <v>896</v>
      </c>
    </row>
    <row r="12664" spans="1:26" x14ac:dyDescent="0.2">
      <c r="A12664" s="8">
        <v>12663</v>
      </c>
      <c r="B12664" s="8" t="s">
        <v>53079</v>
      </c>
      <c r="C12664" s="8" t="s">
        <v>53079</v>
      </c>
      <c r="E12664" s="8">
        <v>1</v>
      </c>
      <c r="G12664" s="8">
        <v>20</v>
      </c>
      <c r="H12664" s="8" t="s">
        <v>21</v>
      </c>
      <c r="I12664" s="8" t="s">
        <v>22</v>
      </c>
      <c r="J12664" s="8" t="s">
        <v>22</v>
      </c>
      <c r="K12664" s="8" t="s">
        <v>449</v>
      </c>
      <c r="L12664" s="8" t="s">
        <v>28435</v>
      </c>
      <c r="M12664" s="8" t="s">
        <v>28436</v>
      </c>
      <c r="N12664" s="8" t="s">
        <v>53080</v>
      </c>
      <c r="O12664" s="8">
        <f>19+12/60+16/3600</f>
        <v>19.204444444444444</v>
      </c>
      <c r="P12664" s="8" t="s">
        <v>53081</v>
      </c>
      <c r="Q12664" s="8">
        <f>-(63+58/60+33/3600)</f>
        <v>-63.975833333333334</v>
      </c>
      <c r="R12664" s="8">
        <v>13.5</v>
      </c>
      <c r="S12664" s="8">
        <v>14.3</v>
      </c>
      <c r="T12664" s="8">
        <v>0.8</v>
      </c>
      <c r="U12664" s="8">
        <v>13.5</v>
      </c>
      <c r="V12664" s="8">
        <v>1.1000000000000001</v>
      </c>
      <c r="W12664" s="8">
        <v>0.8</v>
      </c>
      <c r="X12664" s="8">
        <v>20</v>
      </c>
      <c r="Y12664" s="8" t="s">
        <v>282</v>
      </c>
      <c r="Z12664" s="8" t="s">
        <v>283</v>
      </c>
    </row>
    <row r="12665" spans="1:26" x14ac:dyDescent="0.2">
      <c r="A12665" s="8">
        <v>12664</v>
      </c>
      <c r="B12665" s="8" t="s">
        <v>53082</v>
      </c>
      <c r="C12665" s="8" t="s">
        <v>53082</v>
      </c>
      <c r="G12665" s="8">
        <v>20</v>
      </c>
      <c r="H12665" s="8" t="s">
        <v>21</v>
      </c>
      <c r="I12665" s="8" t="s">
        <v>22</v>
      </c>
      <c r="J12665" s="8" t="s">
        <v>22</v>
      </c>
      <c r="K12665" s="8" t="s">
        <v>107</v>
      </c>
      <c r="L12665" s="8" t="s">
        <v>28435</v>
      </c>
      <c r="M12665" s="8" t="s">
        <v>28436</v>
      </c>
      <c r="N12665" s="8" t="s">
        <v>53083</v>
      </c>
      <c r="O12665" s="8">
        <f>19+13/60+14.1/3600</f>
        <v>19.22058333333333</v>
      </c>
      <c r="P12665" s="8" t="s">
        <v>53084</v>
      </c>
      <c r="Q12665" s="8">
        <f>-(62+5/60+19/3600)</f>
        <v>-62.088611111111113</v>
      </c>
      <c r="R12665" s="8">
        <v>16.2</v>
      </c>
      <c r="S12665" s="8">
        <v>16.8</v>
      </c>
      <c r="T12665" s="8">
        <v>0.6</v>
      </c>
      <c r="U12665" s="8">
        <v>16.600000000000001</v>
      </c>
      <c r="V12665" s="8">
        <v>1.7</v>
      </c>
      <c r="W12665" s="8">
        <v>1</v>
      </c>
      <c r="X12665" s="8">
        <v>103</v>
      </c>
      <c r="Y12665" s="8" t="s">
        <v>53085</v>
      </c>
      <c r="Z12665" s="8" t="s">
        <v>53086</v>
      </c>
    </row>
    <row r="12666" spans="1:26" x14ac:dyDescent="0.2">
      <c r="A12666" s="8">
        <v>12665</v>
      </c>
      <c r="B12666" s="8" t="s">
        <v>53087</v>
      </c>
      <c r="C12666" s="8" t="s">
        <v>53087</v>
      </c>
      <c r="G12666" s="8">
        <v>20</v>
      </c>
      <c r="H12666" s="8" t="s">
        <v>21</v>
      </c>
      <c r="I12666" s="8" t="s">
        <v>22</v>
      </c>
      <c r="J12666" s="8" t="s">
        <v>22</v>
      </c>
      <c r="K12666" s="8" t="s">
        <v>42046</v>
      </c>
      <c r="L12666" s="8" t="s">
        <v>28435</v>
      </c>
      <c r="M12666" s="8" t="s">
        <v>28436</v>
      </c>
      <c r="N12666" s="8" t="s">
        <v>53088</v>
      </c>
      <c r="O12666" s="8">
        <f>19+17/60+15.7/3600</f>
        <v>19.287694444444448</v>
      </c>
      <c r="P12666" s="8" t="s">
        <v>53089</v>
      </c>
      <c r="Q12666" s="8">
        <f>-(72+44/60+56/3600)</f>
        <v>-72.748888888888885</v>
      </c>
      <c r="R12666" s="8">
        <v>14.8</v>
      </c>
      <c r="S12666" s="8">
        <v>15.6</v>
      </c>
      <c r="T12666" s="8">
        <v>0.8</v>
      </c>
      <c r="U12666" s="8">
        <v>12.3</v>
      </c>
      <c r="V12666" s="8">
        <v>0.4</v>
      </c>
      <c r="W12666" s="8">
        <v>0.3</v>
      </c>
      <c r="Y12666" s="8" t="s">
        <v>1829</v>
      </c>
      <c r="Z12666" s="8" t="s">
        <v>1830</v>
      </c>
    </row>
    <row r="12667" spans="1:26" x14ac:dyDescent="0.2">
      <c r="A12667" s="8">
        <v>12666</v>
      </c>
      <c r="B12667" s="8" t="s">
        <v>53090</v>
      </c>
      <c r="C12667" s="8" t="s">
        <v>53090</v>
      </c>
      <c r="G12667" s="8">
        <v>20</v>
      </c>
      <c r="H12667" s="8" t="s">
        <v>21</v>
      </c>
      <c r="I12667" s="8" t="s">
        <v>22</v>
      </c>
      <c r="J12667" s="8" t="s">
        <v>22</v>
      </c>
      <c r="K12667" s="8" t="s">
        <v>31</v>
      </c>
      <c r="L12667" s="8" t="s">
        <v>28435</v>
      </c>
      <c r="M12667" s="8" t="s">
        <v>28436</v>
      </c>
      <c r="N12667" s="8" t="s">
        <v>53091</v>
      </c>
      <c r="O12667" s="8">
        <f>19+12/60+21.3/3600</f>
        <v>19.205916666666667</v>
      </c>
      <c r="P12667" s="8" t="s">
        <v>53092</v>
      </c>
      <c r="Q12667" s="8">
        <f>-(57+12/60+9/3600)</f>
        <v>-57.202500000000001</v>
      </c>
      <c r="R12667" s="8">
        <v>13.5</v>
      </c>
      <c r="S12667" s="8">
        <v>14.3</v>
      </c>
      <c r="T12667" s="8">
        <v>0.8</v>
      </c>
      <c r="U12667" s="8">
        <v>13.5</v>
      </c>
      <c r="V12667" s="8">
        <v>1.4</v>
      </c>
      <c r="W12667" s="8">
        <v>0.8</v>
      </c>
      <c r="X12667" s="8">
        <v>45</v>
      </c>
      <c r="Y12667" s="8" t="s">
        <v>53093</v>
      </c>
      <c r="Z12667" s="8" t="s">
        <v>53094</v>
      </c>
    </row>
    <row r="12668" spans="1:26" x14ac:dyDescent="0.2">
      <c r="A12668" s="8">
        <v>12667</v>
      </c>
      <c r="B12668" s="8" t="s">
        <v>53095</v>
      </c>
      <c r="C12668" s="8" t="s">
        <v>53095</v>
      </c>
      <c r="G12668" s="8">
        <v>20</v>
      </c>
      <c r="H12668" s="8" t="s">
        <v>21</v>
      </c>
      <c r="I12668" s="8" t="s">
        <v>22</v>
      </c>
      <c r="J12668" s="8" t="s">
        <v>22</v>
      </c>
      <c r="K12668" s="8" t="s">
        <v>31</v>
      </c>
      <c r="L12668" s="8" t="s">
        <v>28435</v>
      </c>
      <c r="M12668" s="8" t="s">
        <v>28436</v>
      </c>
      <c r="N12668" s="8" t="s">
        <v>53096</v>
      </c>
      <c r="O12668" s="8">
        <f>19+13/60+21.1/3600</f>
        <v>19.222527777777778</v>
      </c>
      <c r="P12668" s="8" t="s">
        <v>53097</v>
      </c>
      <c r="Q12668" s="8">
        <f>-(60+51/60+34/3600)</f>
        <v>-60.859444444444449</v>
      </c>
      <c r="R12668" s="8">
        <v>12.2</v>
      </c>
      <c r="S12668" s="8">
        <v>13</v>
      </c>
      <c r="T12668" s="8">
        <v>0.8</v>
      </c>
      <c r="U12668" s="8">
        <v>12.4</v>
      </c>
      <c r="V12668" s="8">
        <v>2.8</v>
      </c>
      <c r="W12668" s="8">
        <v>0.5</v>
      </c>
      <c r="X12668" s="8">
        <v>166</v>
      </c>
      <c r="Y12668" s="8" t="s">
        <v>53098</v>
      </c>
      <c r="Z12668" s="8" t="s">
        <v>53099</v>
      </c>
    </row>
    <row r="12669" spans="1:26" x14ac:dyDescent="0.2">
      <c r="A12669" s="8">
        <v>12668</v>
      </c>
      <c r="B12669" s="8" t="s">
        <v>53100</v>
      </c>
      <c r="C12669" s="8" t="s">
        <v>53100</v>
      </c>
      <c r="G12669" s="8">
        <v>20</v>
      </c>
      <c r="H12669" s="8" t="s">
        <v>21</v>
      </c>
      <c r="I12669" s="8" t="s">
        <v>22</v>
      </c>
      <c r="J12669" s="8" t="s">
        <v>22</v>
      </c>
      <c r="K12669" s="8" t="s">
        <v>53101</v>
      </c>
      <c r="L12669" s="8" t="s">
        <v>28435</v>
      </c>
      <c r="M12669" s="8" t="s">
        <v>28436</v>
      </c>
      <c r="N12669" s="8" t="s">
        <v>53102</v>
      </c>
      <c r="O12669" s="8">
        <f>19+13/60+40.6/3600</f>
        <v>19.227944444444443</v>
      </c>
      <c r="P12669" s="8" t="s">
        <v>53103</v>
      </c>
      <c r="Q12669" s="8">
        <f>-(62+4/60+56/3600)</f>
        <v>-62.082222222222228</v>
      </c>
      <c r="R12669" s="8">
        <v>14</v>
      </c>
      <c r="S12669" s="8">
        <v>14.9</v>
      </c>
      <c r="T12669" s="8">
        <v>0.9</v>
      </c>
      <c r="U12669" s="8">
        <v>13.1</v>
      </c>
      <c r="V12669" s="8">
        <v>1.1000000000000001</v>
      </c>
      <c r="W12669" s="8">
        <v>0.5</v>
      </c>
      <c r="X12669" s="8">
        <v>68</v>
      </c>
      <c r="Y12669" s="8" t="s">
        <v>53104</v>
      </c>
      <c r="Z12669" s="8" t="s">
        <v>53105</v>
      </c>
    </row>
    <row r="12670" spans="1:26" x14ac:dyDescent="0.2">
      <c r="A12670" s="8">
        <v>12669</v>
      </c>
      <c r="B12670" s="8" t="s">
        <v>53106</v>
      </c>
      <c r="C12670" s="8" t="s">
        <v>53106</v>
      </c>
      <c r="G12670" s="8">
        <v>20</v>
      </c>
      <c r="H12670" s="8" t="s">
        <v>21</v>
      </c>
      <c r="I12670" s="8" t="s">
        <v>22</v>
      </c>
      <c r="J12670" s="8" t="s">
        <v>22</v>
      </c>
      <c r="K12670" s="8" t="s">
        <v>23</v>
      </c>
      <c r="L12670" s="8" t="s">
        <v>29246</v>
      </c>
      <c r="M12670" s="8" t="s">
        <v>29247</v>
      </c>
      <c r="N12670" s="8" t="s">
        <v>53107</v>
      </c>
      <c r="O12670" s="8">
        <f>19+12/60+33.7/3600</f>
        <v>19.209361111111111</v>
      </c>
      <c r="P12670" s="8" t="s">
        <v>53108</v>
      </c>
      <c r="Q12670" s="8">
        <f>-(56+32/60+24/3600)</f>
        <v>-56.54</v>
      </c>
      <c r="R12670" s="8">
        <v>13.8</v>
      </c>
      <c r="S12670" s="8">
        <v>14.6</v>
      </c>
      <c r="T12670" s="8">
        <v>0.8</v>
      </c>
      <c r="U12670" s="8">
        <v>13.4</v>
      </c>
      <c r="V12670" s="8">
        <v>1.9</v>
      </c>
      <c r="W12670" s="8">
        <v>0.4</v>
      </c>
      <c r="X12670" s="8">
        <v>23</v>
      </c>
      <c r="Y12670" s="8" t="s">
        <v>53109</v>
      </c>
      <c r="Z12670" s="8" t="s">
        <v>53110</v>
      </c>
    </row>
    <row r="12671" spans="1:26" x14ac:dyDescent="0.2">
      <c r="A12671" s="8">
        <v>12670</v>
      </c>
      <c r="B12671" s="8" t="s">
        <v>53111</v>
      </c>
      <c r="C12671" s="8" t="s">
        <v>53111</v>
      </c>
      <c r="G12671" s="8">
        <v>20</v>
      </c>
      <c r="H12671" s="8" t="s">
        <v>21</v>
      </c>
      <c r="I12671" s="8" t="s">
        <v>22</v>
      </c>
      <c r="J12671" s="8" t="s">
        <v>22</v>
      </c>
      <c r="K12671" s="8" t="s">
        <v>85</v>
      </c>
      <c r="L12671" s="8" t="s">
        <v>28435</v>
      </c>
      <c r="M12671" s="8" t="s">
        <v>28436</v>
      </c>
      <c r="N12671" s="8" t="s">
        <v>53112</v>
      </c>
      <c r="O12671" s="8">
        <f>19+13/60+48.4/3600</f>
        <v>19.23011111111111</v>
      </c>
      <c r="P12671" s="8" t="s">
        <v>53113</v>
      </c>
      <c r="Q12671" s="8">
        <f>-(59+17/60+40/3600)</f>
        <v>-59.294444444444444</v>
      </c>
      <c r="R12671" s="8">
        <v>12.3</v>
      </c>
      <c r="S12671" s="8">
        <v>13.1</v>
      </c>
      <c r="T12671" s="8">
        <v>0.8</v>
      </c>
      <c r="U12671" s="8">
        <v>13</v>
      </c>
      <c r="V12671" s="8">
        <v>1.7</v>
      </c>
      <c r="W12671" s="8">
        <v>1.3</v>
      </c>
      <c r="X12671" s="8">
        <v>28</v>
      </c>
      <c r="Y12671" s="8" t="s">
        <v>11813</v>
      </c>
      <c r="Z12671" s="8" t="s">
        <v>11814</v>
      </c>
    </row>
    <row r="12672" spans="1:26" x14ac:dyDescent="0.2">
      <c r="A12672" s="8">
        <v>12671</v>
      </c>
      <c r="B12672" s="8" t="s">
        <v>53114</v>
      </c>
      <c r="C12672" s="8" t="s">
        <v>53114</v>
      </c>
      <c r="G12672" s="8">
        <v>20</v>
      </c>
      <c r="H12672" s="8" t="s">
        <v>21</v>
      </c>
      <c r="I12672" s="8" t="s">
        <v>22</v>
      </c>
      <c r="J12672" s="8" t="s">
        <v>22</v>
      </c>
      <c r="K12672" s="8" t="s">
        <v>31</v>
      </c>
      <c r="L12672" s="8" t="s">
        <v>28435</v>
      </c>
      <c r="M12672" s="8" t="s">
        <v>28436</v>
      </c>
      <c r="N12672" s="8" t="s">
        <v>53115</v>
      </c>
      <c r="O12672" s="8">
        <f>19+14/60+44.1/3600</f>
        <v>19.245583333333336</v>
      </c>
      <c r="P12672" s="8" t="s">
        <v>53116</v>
      </c>
      <c r="Q12672" s="8">
        <f>-(62+16/60+19/3600)</f>
        <v>-62.271944444444443</v>
      </c>
      <c r="R12672" s="8">
        <v>11.3</v>
      </c>
      <c r="S12672" s="8">
        <v>12.3</v>
      </c>
      <c r="T12672" s="8">
        <v>1</v>
      </c>
      <c r="U12672" s="8">
        <v>13.4</v>
      </c>
      <c r="V12672" s="8">
        <v>3.5</v>
      </c>
      <c r="W12672" s="8">
        <v>0.9</v>
      </c>
      <c r="X12672" s="8">
        <v>111</v>
      </c>
      <c r="Y12672" s="8" t="s">
        <v>53117</v>
      </c>
      <c r="Z12672" s="8" t="s">
        <v>53118</v>
      </c>
    </row>
    <row r="12673" spans="1:26" x14ac:dyDescent="0.2">
      <c r="A12673" s="8">
        <v>12672</v>
      </c>
      <c r="B12673" s="8" t="s">
        <v>53119</v>
      </c>
      <c r="C12673" s="8" t="s">
        <v>53119</v>
      </c>
      <c r="G12673" s="8">
        <v>20</v>
      </c>
      <c r="H12673" s="8" t="s">
        <v>21</v>
      </c>
      <c r="I12673" s="8" t="s">
        <v>22</v>
      </c>
      <c r="J12673" s="8" t="s">
        <v>22</v>
      </c>
      <c r="K12673" s="8" t="s">
        <v>31</v>
      </c>
      <c r="L12673" s="8" t="s">
        <v>29246</v>
      </c>
      <c r="M12673" s="8" t="s">
        <v>29247</v>
      </c>
      <c r="N12673" s="8" t="s">
        <v>53120</v>
      </c>
      <c r="O12673" s="8">
        <f>19+14/60+3.9/3600</f>
        <v>19.234416666666668</v>
      </c>
      <c r="P12673" s="8" t="s">
        <v>53121</v>
      </c>
      <c r="Q12673" s="8">
        <f>-(56+36/60+35/3600)</f>
        <v>-56.609722222222224</v>
      </c>
      <c r="R12673" s="8">
        <v>12.7</v>
      </c>
      <c r="S12673" s="8">
        <v>13.7</v>
      </c>
      <c r="T12673" s="8">
        <v>1</v>
      </c>
      <c r="U12673" s="8">
        <v>12.6</v>
      </c>
      <c r="V12673" s="8">
        <v>2.2000000000000002</v>
      </c>
      <c r="W12673" s="8">
        <v>0.5</v>
      </c>
      <c r="X12673" s="8">
        <v>144</v>
      </c>
      <c r="Y12673" s="8" t="s">
        <v>53122</v>
      </c>
      <c r="Z12673" s="8" t="s">
        <v>53123</v>
      </c>
    </row>
    <row r="12674" spans="1:26" x14ac:dyDescent="0.2">
      <c r="A12674" s="8">
        <v>12673</v>
      </c>
      <c r="B12674" s="8" t="s">
        <v>53124</v>
      </c>
      <c r="C12674" s="8" t="s">
        <v>53124</v>
      </c>
      <c r="G12674" s="8">
        <v>20</v>
      </c>
      <c r="H12674" s="8" t="s">
        <v>21</v>
      </c>
      <c r="I12674" s="8" t="s">
        <v>22</v>
      </c>
      <c r="J12674" s="8" t="s">
        <v>22</v>
      </c>
      <c r="K12674" s="8" t="s">
        <v>1174</v>
      </c>
      <c r="L12674" s="8" t="s">
        <v>28435</v>
      </c>
      <c r="M12674" s="8" t="s">
        <v>28436</v>
      </c>
      <c r="N12674" s="8" t="s">
        <v>53125</v>
      </c>
      <c r="O12674" s="8">
        <f>19+15/60+41.4/3600</f>
        <v>19.261500000000002</v>
      </c>
      <c r="P12674" s="8" t="s">
        <v>53126</v>
      </c>
      <c r="Q12674" s="8">
        <f>-(62+19/60+45/3600)</f>
        <v>-62.329166666666673</v>
      </c>
      <c r="R12674" s="8">
        <v>14</v>
      </c>
      <c r="S12674" s="8">
        <v>15</v>
      </c>
      <c r="T12674" s="8">
        <v>1</v>
      </c>
      <c r="U12674" s="8">
        <v>12.3</v>
      </c>
      <c r="V12674" s="8">
        <v>0.7</v>
      </c>
      <c r="W12674" s="8">
        <v>0.5</v>
      </c>
      <c r="X12674" s="8">
        <v>99</v>
      </c>
      <c r="Y12674" s="8" t="s">
        <v>53127</v>
      </c>
      <c r="Z12674" s="8" t="s">
        <v>53128</v>
      </c>
    </row>
    <row r="12675" spans="1:26" x14ac:dyDescent="0.2">
      <c r="A12675" s="8">
        <v>12674</v>
      </c>
      <c r="B12675" s="8" t="s">
        <v>53129</v>
      </c>
      <c r="C12675" s="8" t="s">
        <v>53129</v>
      </c>
      <c r="G12675" s="8">
        <v>20</v>
      </c>
      <c r="H12675" s="8" t="s">
        <v>21</v>
      </c>
      <c r="I12675" s="8" t="s">
        <v>22</v>
      </c>
      <c r="J12675" s="8" t="s">
        <v>22</v>
      </c>
      <c r="K12675" s="8" t="s">
        <v>52772</v>
      </c>
      <c r="L12675" s="8" t="s">
        <v>28435</v>
      </c>
      <c r="M12675" s="8" t="s">
        <v>28436</v>
      </c>
      <c r="N12675" s="8" t="s">
        <v>53130</v>
      </c>
      <c r="O12675" s="8">
        <f>19+16/60+31.1/3600</f>
        <v>19.275305555555555</v>
      </c>
      <c r="P12675" s="8" t="s">
        <v>53131</v>
      </c>
      <c r="Q12675" s="8">
        <f>-(64+0/60+23/3600)</f>
        <v>-64.006388888888893</v>
      </c>
      <c r="R12675" s="8">
        <v>13.6</v>
      </c>
      <c r="S12675" s="8">
        <v>14.5</v>
      </c>
      <c r="T12675" s="8">
        <v>0.9</v>
      </c>
      <c r="U12675" s="8">
        <v>12.7</v>
      </c>
      <c r="V12675" s="8">
        <v>1.1000000000000001</v>
      </c>
      <c r="W12675" s="8">
        <v>0.5</v>
      </c>
      <c r="X12675" s="8">
        <v>125</v>
      </c>
      <c r="Y12675" s="8" t="s">
        <v>53132</v>
      </c>
      <c r="Z12675" s="8" t="s">
        <v>53133</v>
      </c>
    </row>
    <row r="12676" spans="1:26" x14ac:dyDescent="0.2">
      <c r="A12676" s="8">
        <v>12675</v>
      </c>
      <c r="B12676" s="8" t="s">
        <v>53134</v>
      </c>
      <c r="C12676" s="8" t="s">
        <v>53134</v>
      </c>
      <c r="G12676" s="8">
        <v>20</v>
      </c>
      <c r="H12676" s="8" t="s">
        <v>21</v>
      </c>
      <c r="I12676" s="8" t="s">
        <v>22</v>
      </c>
      <c r="J12676" s="8" t="s">
        <v>22</v>
      </c>
      <c r="K12676" s="8" t="s">
        <v>42046</v>
      </c>
      <c r="L12676" s="8" t="s">
        <v>28435</v>
      </c>
      <c r="M12676" s="8" t="s">
        <v>28436</v>
      </c>
      <c r="N12676" s="8" t="s">
        <v>53135</v>
      </c>
      <c r="O12676" s="8">
        <f>19+15/60+27.4/3600</f>
        <v>19.25761111111111</v>
      </c>
      <c r="P12676" s="8" t="s">
        <v>53136</v>
      </c>
      <c r="Q12676" s="8">
        <f>-(58+14/60+15/3600)</f>
        <v>-58.237500000000004</v>
      </c>
      <c r="R12676" s="8">
        <v>13.7</v>
      </c>
      <c r="S12676" s="8">
        <v>14.6</v>
      </c>
      <c r="T12676" s="8">
        <v>0.9</v>
      </c>
      <c r="U12676" s="8">
        <v>12.6</v>
      </c>
      <c r="V12676" s="8">
        <v>0.8</v>
      </c>
      <c r="W12676" s="8">
        <v>0.6</v>
      </c>
      <c r="X12676" s="8">
        <v>166</v>
      </c>
      <c r="Y12676" s="8" t="s">
        <v>53137</v>
      </c>
      <c r="Z12676" s="8" t="s">
        <v>53138</v>
      </c>
    </row>
    <row r="12677" spans="1:26" x14ac:dyDescent="0.2">
      <c r="A12677" s="8">
        <v>12676</v>
      </c>
      <c r="B12677" s="8" t="s">
        <v>53139</v>
      </c>
      <c r="C12677" s="8" t="s">
        <v>53139</v>
      </c>
      <c r="G12677" s="8">
        <v>20</v>
      </c>
      <c r="H12677" s="8" t="s">
        <v>21</v>
      </c>
      <c r="I12677" s="8" t="s">
        <v>22</v>
      </c>
      <c r="J12677" s="8" t="s">
        <v>22</v>
      </c>
      <c r="K12677" s="8" t="s">
        <v>64</v>
      </c>
      <c r="L12677" s="8" t="s">
        <v>28435</v>
      </c>
      <c r="M12677" s="8" t="s">
        <v>28436</v>
      </c>
      <c r="N12677" s="8" t="s">
        <v>53140</v>
      </c>
      <c r="O12677" s="8">
        <f>19+16/60+18.1/3600</f>
        <v>19.271694444444442</v>
      </c>
      <c r="P12677" s="8" t="s">
        <v>53141</v>
      </c>
      <c r="Q12677" s="8">
        <f>-(60+12/60+0/3600)</f>
        <v>-60.2</v>
      </c>
      <c r="R12677" s="8">
        <v>12.7</v>
      </c>
      <c r="S12677" s="8">
        <v>13.3</v>
      </c>
      <c r="T12677" s="8">
        <v>0.6</v>
      </c>
      <c r="U12677" s="8">
        <v>13.2</v>
      </c>
      <c r="V12677" s="8">
        <v>1.5</v>
      </c>
      <c r="W12677" s="8">
        <v>1.4</v>
      </c>
      <c r="X12677" s="8">
        <v>12</v>
      </c>
      <c r="Y12677" s="8" t="s">
        <v>53142</v>
      </c>
      <c r="Z12677" s="8" t="s">
        <v>53143</v>
      </c>
    </row>
    <row r="12678" spans="1:26" x14ac:dyDescent="0.2">
      <c r="A12678" s="8">
        <v>12677</v>
      </c>
      <c r="B12678" s="8" t="s">
        <v>53144</v>
      </c>
      <c r="C12678" s="8" t="s">
        <v>53144</v>
      </c>
      <c r="G12678" s="8">
        <v>13</v>
      </c>
      <c r="H12678" s="8" t="s">
        <v>21</v>
      </c>
      <c r="I12678" s="8" t="s">
        <v>22</v>
      </c>
      <c r="J12678" s="8" t="s">
        <v>22</v>
      </c>
      <c r="K12678" s="8" t="s">
        <v>520</v>
      </c>
      <c r="L12678" s="8" t="s">
        <v>29246</v>
      </c>
      <c r="M12678" s="8" t="s">
        <v>29247</v>
      </c>
      <c r="N12678" s="8" t="s">
        <v>53145</v>
      </c>
      <c r="O12678" s="8">
        <f>19+15/60+14.2/3600</f>
        <v>19.253944444444443</v>
      </c>
      <c r="P12678" s="8" t="s">
        <v>53146</v>
      </c>
      <c r="Q12678" s="8">
        <f>-(54+39/60+43/3600)</f>
        <v>-54.661944444444444</v>
      </c>
      <c r="R12678" s="8">
        <v>12.5</v>
      </c>
      <c r="S12678" s="8">
        <v>13</v>
      </c>
      <c r="T12678" s="8">
        <v>0.5</v>
      </c>
      <c r="U12678" s="8">
        <v>13.6</v>
      </c>
      <c r="V12678" s="8">
        <v>2.1</v>
      </c>
      <c r="W12678" s="8">
        <v>1</v>
      </c>
      <c r="X12678" s="8">
        <v>8</v>
      </c>
      <c r="Y12678" s="8" t="s">
        <v>21193</v>
      </c>
      <c r="Z12678" s="8" t="s">
        <v>21194</v>
      </c>
    </row>
    <row r="12679" spans="1:26" x14ac:dyDescent="0.2">
      <c r="A12679" s="8">
        <v>12678</v>
      </c>
      <c r="B12679" s="8" t="s">
        <v>53147</v>
      </c>
      <c r="C12679" s="8" t="s">
        <v>53147</v>
      </c>
      <c r="G12679" s="8">
        <v>20</v>
      </c>
      <c r="H12679" s="8" t="s">
        <v>21</v>
      </c>
      <c r="I12679" s="8" t="s">
        <v>22</v>
      </c>
      <c r="J12679" s="8" t="s">
        <v>22</v>
      </c>
      <c r="K12679" s="8" t="s">
        <v>124</v>
      </c>
      <c r="L12679" s="8" t="s">
        <v>28435</v>
      </c>
      <c r="M12679" s="8" t="s">
        <v>28436</v>
      </c>
      <c r="N12679" s="8" t="s">
        <v>53148</v>
      </c>
      <c r="O12679" s="8">
        <f>19+16/60+46.3/3600</f>
        <v>19.279527777777776</v>
      </c>
      <c r="P12679" s="8" t="s">
        <v>53149</v>
      </c>
      <c r="Q12679" s="8">
        <f>-(61+36/60+50/3600)</f>
        <v>-61.613888888888887</v>
      </c>
      <c r="R12679" s="8">
        <v>13.7</v>
      </c>
      <c r="S12679" s="8">
        <v>14.3</v>
      </c>
      <c r="T12679" s="8">
        <v>0.6</v>
      </c>
      <c r="U12679" s="8">
        <v>13</v>
      </c>
      <c r="V12679" s="8">
        <v>1.3</v>
      </c>
      <c r="W12679" s="8">
        <v>0.5</v>
      </c>
      <c r="X12679" s="8">
        <v>64</v>
      </c>
      <c r="Y12679" s="8" t="s">
        <v>53150</v>
      </c>
      <c r="Z12679" s="8" t="s">
        <v>53151</v>
      </c>
    </row>
    <row r="12680" spans="1:26" x14ac:dyDescent="0.2">
      <c r="A12680" s="8">
        <v>12679</v>
      </c>
      <c r="B12680" s="8" t="s">
        <v>53152</v>
      </c>
      <c r="C12680" s="8" t="s">
        <v>53152</v>
      </c>
      <c r="G12680" s="8">
        <v>20</v>
      </c>
      <c r="H12680" s="8" t="s">
        <v>21</v>
      </c>
      <c r="I12680" s="8" t="s">
        <v>22</v>
      </c>
      <c r="J12680" s="8" t="s">
        <v>22</v>
      </c>
      <c r="K12680" s="8" t="s">
        <v>3407</v>
      </c>
      <c r="L12680" s="8" t="s">
        <v>29246</v>
      </c>
      <c r="M12680" s="8" t="s">
        <v>29247</v>
      </c>
      <c r="N12680" s="8" t="s">
        <v>53153</v>
      </c>
      <c r="O12680" s="8">
        <f>19+15/60+33.9/3600</f>
        <v>19.259416666666667</v>
      </c>
      <c r="P12680" s="8" t="s">
        <v>53154</v>
      </c>
      <c r="Q12680" s="8">
        <f>-(54+37/60+35/3600)</f>
        <v>-54.62638888888889</v>
      </c>
      <c r="R12680" s="8">
        <v>12.3</v>
      </c>
      <c r="S12680" s="8">
        <v>13.1</v>
      </c>
      <c r="T12680" s="8">
        <v>0.8</v>
      </c>
      <c r="U12680" s="8">
        <v>13.5</v>
      </c>
      <c r="V12680" s="8">
        <v>2.2000000000000002</v>
      </c>
      <c r="W12680" s="8">
        <v>1.6</v>
      </c>
      <c r="X12680" s="8">
        <v>147</v>
      </c>
      <c r="Y12680" s="8" t="s">
        <v>53155</v>
      </c>
      <c r="Z12680" s="8" t="s">
        <v>22024</v>
      </c>
    </row>
    <row r="12681" spans="1:26" x14ac:dyDescent="0.2">
      <c r="A12681" s="8">
        <v>12680</v>
      </c>
      <c r="B12681" s="8" t="s">
        <v>53156</v>
      </c>
      <c r="C12681" s="8" t="s">
        <v>53156</v>
      </c>
      <c r="G12681" s="8">
        <v>20</v>
      </c>
      <c r="H12681" s="8" t="s">
        <v>21</v>
      </c>
      <c r="I12681" s="8" t="s">
        <v>22</v>
      </c>
      <c r="J12681" s="8" t="s">
        <v>22</v>
      </c>
      <c r="K12681" s="8" t="s">
        <v>435</v>
      </c>
      <c r="L12681" s="8" t="s">
        <v>29246</v>
      </c>
      <c r="M12681" s="8" t="s">
        <v>29247</v>
      </c>
      <c r="N12681" s="8" t="s">
        <v>53157</v>
      </c>
      <c r="O12681" s="8">
        <f>19+15/60+51.8/3600</f>
        <v>19.264388888888888</v>
      </c>
      <c r="P12681" s="8" t="s">
        <v>53158</v>
      </c>
      <c r="Q12681" s="8">
        <f>-(56+12/60+31/3600)</f>
        <v>-56.208611111111111</v>
      </c>
      <c r="R12681" s="8">
        <v>13.7</v>
      </c>
      <c r="S12681" s="8">
        <v>14.3</v>
      </c>
      <c r="T12681" s="8">
        <v>0.6</v>
      </c>
      <c r="U12681" s="8">
        <v>13.3</v>
      </c>
      <c r="V12681" s="8">
        <v>1.1000000000000001</v>
      </c>
      <c r="W12681" s="8">
        <v>0.7</v>
      </c>
      <c r="X12681" s="8">
        <v>131</v>
      </c>
      <c r="Y12681" s="8" t="s">
        <v>42880</v>
      </c>
      <c r="Z12681" s="8" t="s">
        <v>42881</v>
      </c>
    </row>
    <row r="12682" spans="1:26" x14ac:dyDescent="0.2">
      <c r="A12682" s="8">
        <v>12681</v>
      </c>
      <c r="B12682" s="8" t="s">
        <v>53159</v>
      </c>
      <c r="C12682" s="8" t="s">
        <v>53159</v>
      </c>
      <c r="G12682" s="8">
        <v>20</v>
      </c>
      <c r="H12682" s="8" t="s">
        <v>21</v>
      </c>
      <c r="I12682" s="8" t="s">
        <v>22</v>
      </c>
      <c r="J12682" s="8" t="s">
        <v>22</v>
      </c>
      <c r="K12682" s="8" t="s">
        <v>160</v>
      </c>
      <c r="L12682" s="8" t="s">
        <v>28435</v>
      </c>
      <c r="M12682" s="8" t="s">
        <v>28436</v>
      </c>
      <c r="N12682" s="8" t="s">
        <v>53160</v>
      </c>
      <c r="O12682" s="8">
        <f>19+20/60+42.8/3600</f>
        <v>19.345222222222223</v>
      </c>
      <c r="P12682" s="8" t="s">
        <v>53161</v>
      </c>
      <c r="Q12682" s="8">
        <f>-(72+13/60+35/3600)</f>
        <v>-72.226388888888891</v>
      </c>
      <c r="R12682" s="8">
        <v>13.9</v>
      </c>
      <c r="S12682" s="8">
        <v>14.6</v>
      </c>
      <c r="T12682" s="8">
        <v>0.7</v>
      </c>
      <c r="U12682" s="8">
        <v>13.6</v>
      </c>
      <c r="V12682" s="8">
        <v>1</v>
      </c>
      <c r="W12682" s="8">
        <v>0.7</v>
      </c>
      <c r="X12682" s="8">
        <v>130</v>
      </c>
      <c r="Y12682" s="8" t="s">
        <v>53162</v>
      </c>
      <c r="Z12682" s="8" t="s">
        <v>53163</v>
      </c>
    </row>
    <row r="12683" spans="1:26" x14ac:dyDescent="0.2">
      <c r="A12683" s="8">
        <v>12682</v>
      </c>
      <c r="B12683" s="8" t="s">
        <v>53164</v>
      </c>
      <c r="C12683" s="8" t="s">
        <v>53164</v>
      </c>
      <c r="G12683" s="8">
        <v>20</v>
      </c>
      <c r="H12683" s="8" t="s">
        <v>21</v>
      </c>
      <c r="I12683" s="8" t="s">
        <v>22</v>
      </c>
      <c r="J12683" s="8" t="s">
        <v>22</v>
      </c>
      <c r="K12683" s="8" t="s">
        <v>1068</v>
      </c>
      <c r="L12683" s="8" t="s">
        <v>28435</v>
      </c>
      <c r="M12683" s="8" t="s">
        <v>28436</v>
      </c>
      <c r="N12683" s="8" t="s">
        <v>53165</v>
      </c>
      <c r="O12683" s="8">
        <f>19+19/60+24.5/3600</f>
        <v>19.323472222222222</v>
      </c>
      <c r="P12683" s="8" t="s">
        <v>53166</v>
      </c>
      <c r="Q12683" s="8">
        <f>-(60+38/60+39/3600)</f>
        <v>-60.644166666666663</v>
      </c>
      <c r="R12683" s="8">
        <v>12.4</v>
      </c>
      <c r="S12683" s="8">
        <v>13.4</v>
      </c>
      <c r="T12683" s="8">
        <v>1</v>
      </c>
      <c r="U12683" s="8">
        <v>12.7</v>
      </c>
      <c r="V12683" s="8">
        <v>1.5</v>
      </c>
      <c r="W12683" s="8">
        <v>0.8</v>
      </c>
      <c r="X12683" s="8">
        <v>20</v>
      </c>
      <c r="Y12683" s="8" t="s">
        <v>19137</v>
      </c>
      <c r="Z12683" s="8" t="s">
        <v>422</v>
      </c>
    </row>
    <row r="12684" spans="1:26" x14ac:dyDescent="0.2">
      <c r="A12684" s="8">
        <v>12683</v>
      </c>
      <c r="B12684" s="8" t="s">
        <v>53167</v>
      </c>
      <c r="C12684" s="8" t="s">
        <v>53167</v>
      </c>
      <c r="G12684" s="8">
        <v>20</v>
      </c>
      <c r="H12684" s="8" t="s">
        <v>21</v>
      </c>
      <c r="I12684" s="8" t="s">
        <v>22</v>
      </c>
      <c r="J12684" s="8" t="s">
        <v>22</v>
      </c>
      <c r="K12684" s="8" t="s">
        <v>1445</v>
      </c>
      <c r="L12684" s="8" t="s">
        <v>28435</v>
      </c>
      <c r="M12684" s="8" t="s">
        <v>28436</v>
      </c>
      <c r="N12684" s="8" t="s">
        <v>53168</v>
      </c>
      <c r="O12684" s="8">
        <f>19+19/60+21.6/3600</f>
        <v>19.322666666666667</v>
      </c>
      <c r="P12684" s="8" t="s">
        <v>53169</v>
      </c>
      <c r="Q12684" s="8">
        <f>-(59+18/60+33/3600)</f>
        <v>-59.309166666666663</v>
      </c>
      <c r="R12684" s="8">
        <v>14.2</v>
      </c>
      <c r="S12684" s="8">
        <v>15</v>
      </c>
      <c r="T12684" s="8">
        <v>0.8</v>
      </c>
      <c r="U12684" s="8">
        <v>12.6</v>
      </c>
      <c r="V12684" s="8">
        <v>1.3</v>
      </c>
      <c r="W12684" s="8">
        <v>0.2</v>
      </c>
      <c r="X12684" s="8">
        <v>89</v>
      </c>
      <c r="Y12684" s="8" t="s">
        <v>53059</v>
      </c>
      <c r="Z12684" s="8" t="s">
        <v>53060</v>
      </c>
    </row>
    <row r="12685" spans="1:26" x14ac:dyDescent="0.2">
      <c r="A12685" s="8">
        <v>12684</v>
      </c>
      <c r="B12685" s="8" t="s">
        <v>53170</v>
      </c>
      <c r="C12685" s="8" t="s">
        <v>53170</v>
      </c>
      <c r="G12685" s="8">
        <v>20</v>
      </c>
      <c r="H12685" s="8" t="s">
        <v>21</v>
      </c>
      <c r="I12685" s="8" t="s">
        <v>22</v>
      </c>
      <c r="J12685" s="8" t="s">
        <v>22</v>
      </c>
      <c r="K12685" s="8" t="s">
        <v>218</v>
      </c>
      <c r="L12685" s="8" t="s">
        <v>29246</v>
      </c>
      <c r="M12685" s="8" t="s">
        <v>29247</v>
      </c>
      <c r="N12685" s="8" t="s">
        <v>53171</v>
      </c>
      <c r="O12685" s="8">
        <f>19+19/60+2.7/3600</f>
        <v>19.317416666666666</v>
      </c>
      <c r="P12685" s="8" t="s">
        <v>53172</v>
      </c>
      <c r="Q12685" s="8">
        <f>-(56+1/60+37/3600)</f>
        <v>-56.026944444444446</v>
      </c>
      <c r="R12685" s="8">
        <v>13.1</v>
      </c>
      <c r="S12685" s="8">
        <v>13.9</v>
      </c>
      <c r="T12685" s="8">
        <v>0.8</v>
      </c>
      <c r="U12685" s="8">
        <v>13.3</v>
      </c>
      <c r="V12685" s="8">
        <v>1.4</v>
      </c>
      <c r="W12685" s="8">
        <v>1</v>
      </c>
      <c r="X12685" s="8">
        <v>164</v>
      </c>
      <c r="Y12685" s="8" t="s">
        <v>282</v>
      </c>
      <c r="Z12685" s="8" t="s">
        <v>283</v>
      </c>
    </row>
    <row r="12686" spans="1:26" x14ac:dyDescent="0.2">
      <c r="A12686" s="8">
        <v>12685</v>
      </c>
      <c r="B12686" s="8" t="s">
        <v>53173</v>
      </c>
      <c r="C12686" s="8" t="s">
        <v>53173</v>
      </c>
      <c r="G12686" s="8">
        <v>20</v>
      </c>
      <c r="H12686" s="8" t="s">
        <v>21</v>
      </c>
      <c r="I12686" s="8" t="s">
        <v>22</v>
      </c>
      <c r="J12686" s="8" t="s">
        <v>22</v>
      </c>
      <c r="K12686" s="8" t="s">
        <v>218</v>
      </c>
      <c r="L12686" s="8" t="s">
        <v>28435</v>
      </c>
      <c r="M12686" s="8" t="s">
        <v>28436</v>
      </c>
      <c r="N12686" s="8" t="s">
        <v>53174</v>
      </c>
      <c r="O12686" s="8">
        <f>19+20/60+22.1/3600</f>
        <v>19.33947222222222</v>
      </c>
      <c r="P12686" s="8" t="s">
        <v>53175</v>
      </c>
      <c r="Q12686" s="8">
        <f>-(60+23/60+20/3600)</f>
        <v>-60.388888888888886</v>
      </c>
      <c r="R12686" s="8">
        <v>11.6</v>
      </c>
      <c r="S12686" s="8">
        <v>12.3</v>
      </c>
      <c r="T12686" s="8">
        <v>0.7</v>
      </c>
      <c r="U12686" s="8">
        <v>12.5</v>
      </c>
      <c r="V12686" s="8">
        <v>1.5</v>
      </c>
      <c r="W12686" s="8">
        <v>1</v>
      </c>
      <c r="X12686" s="8">
        <v>87</v>
      </c>
      <c r="Y12686" s="8" t="s">
        <v>53176</v>
      </c>
      <c r="Z12686" s="8" t="s">
        <v>53177</v>
      </c>
    </row>
    <row r="12687" spans="1:26" x14ac:dyDescent="0.2">
      <c r="A12687" s="8">
        <v>12686</v>
      </c>
      <c r="B12687" s="8" t="s">
        <v>53178</v>
      </c>
      <c r="C12687" s="8" t="s">
        <v>53178</v>
      </c>
      <c r="G12687" s="8">
        <v>13</v>
      </c>
      <c r="H12687" s="8" t="s">
        <v>21</v>
      </c>
      <c r="I12687" s="8" t="s">
        <v>241</v>
      </c>
      <c r="J12687" s="8" t="s">
        <v>241</v>
      </c>
      <c r="K12687" s="8" t="s">
        <v>241</v>
      </c>
      <c r="L12687" s="8" t="s">
        <v>29781</v>
      </c>
      <c r="M12687" s="8" t="s">
        <v>29782</v>
      </c>
      <c r="N12687" s="8" t="s">
        <v>53179</v>
      </c>
      <c r="O12687" s="8">
        <f>19+16/60+28.3/3600</f>
        <v>19.274527777777777</v>
      </c>
      <c r="P12687" s="8" t="s">
        <v>53180</v>
      </c>
      <c r="Q12687" s="8">
        <f>-(9+2/60+35/3600)</f>
        <v>-9.0430555555555561</v>
      </c>
      <c r="R12687" s="8">
        <v>11.9</v>
      </c>
      <c r="S12687" s="8">
        <v>12.7</v>
      </c>
      <c r="T12687" s="8">
        <v>99</v>
      </c>
      <c r="U12687" s="8">
        <v>99</v>
      </c>
      <c r="V12687" s="8">
        <v>0.18</v>
      </c>
      <c r="Y12687" s="8" t="s">
        <v>27388</v>
      </c>
      <c r="Z12687" s="8" t="s">
        <v>42798</v>
      </c>
    </row>
    <row r="12688" spans="1:26" x14ac:dyDescent="0.2">
      <c r="A12688" s="8">
        <v>12687</v>
      </c>
      <c r="B12688" s="8" t="s">
        <v>53181</v>
      </c>
      <c r="C12688" s="8" t="s">
        <v>53181</v>
      </c>
      <c r="G12688" s="8">
        <v>20</v>
      </c>
      <c r="H12688" s="8" t="s">
        <v>21</v>
      </c>
      <c r="I12688" s="8" t="s">
        <v>22</v>
      </c>
      <c r="J12688" s="8" t="s">
        <v>22</v>
      </c>
      <c r="K12688" s="8" t="s">
        <v>37</v>
      </c>
      <c r="L12688" s="8" t="s">
        <v>28435</v>
      </c>
      <c r="M12688" s="8" t="s">
        <v>28436</v>
      </c>
      <c r="N12688" s="8" t="s">
        <v>53182</v>
      </c>
      <c r="O12688" s="8">
        <f>19+23/60+31.7/3600</f>
        <v>19.392138888888887</v>
      </c>
      <c r="P12688" s="8" t="s">
        <v>53183</v>
      </c>
      <c r="Q12688" s="8">
        <f>-(65+30/60+23/3600)</f>
        <v>-65.506388888888893</v>
      </c>
      <c r="R12688" s="8">
        <v>14</v>
      </c>
      <c r="S12688" s="8">
        <v>15</v>
      </c>
      <c r="T12688" s="8">
        <v>1</v>
      </c>
      <c r="U12688" s="8">
        <v>13.2</v>
      </c>
      <c r="V12688" s="8">
        <v>0.9</v>
      </c>
      <c r="W12688" s="8">
        <v>0.6</v>
      </c>
      <c r="X12688" s="8">
        <v>159</v>
      </c>
      <c r="Y12688" s="8" t="s">
        <v>53184</v>
      </c>
      <c r="Z12688" s="8" t="s">
        <v>53185</v>
      </c>
    </row>
    <row r="12689" spans="1:26" x14ac:dyDescent="0.2">
      <c r="A12689" s="8">
        <v>12688</v>
      </c>
      <c r="B12689" s="8" t="s">
        <v>53186</v>
      </c>
      <c r="C12689" s="8" t="s">
        <v>53186</v>
      </c>
      <c r="G12689" s="8">
        <v>20</v>
      </c>
      <c r="H12689" s="8" t="s">
        <v>21</v>
      </c>
      <c r="I12689" s="8" t="s">
        <v>22</v>
      </c>
      <c r="J12689" s="8" t="s">
        <v>22</v>
      </c>
      <c r="K12689" s="8" t="s">
        <v>42046</v>
      </c>
      <c r="L12689" s="8" t="s">
        <v>28435</v>
      </c>
      <c r="M12689" s="8" t="s">
        <v>28436</v>
      </c>
      <c r="N12689" s="8" t="s">
        <v>53187</v>
      </c>
      <c r="O12689" s="8">
        <f>19+22/60+54.5/3600</f>
        <v>19.381805555555555</v>
      </c>
      <c r="P12689" s="8" t="s">
        <v>53188</v>
      </c>
      <c r="Q12689" s="8">
        <f>-(56+46/60+50/3600)</f>
        <v>-56.780555555555551</v>
      </c>
      <c r="R12689" s="8">
        <v>14.2</v>
      </c>
      <c r="S12689" s="8">
        <v>15.1</v>
      </c>
      <c r="T12689" s="8">
        <v>0.9</v>
      </c>
      <c r="U12689" s="8">
        <v>12.7</v>
      </c>
      <c r="V12689" s="8">
        <v>0.7</v>
      </c>
      <c r="W12689" s="8">
        <v>0.5</v>
      </c>
      <c r="X12689" s="8">
        <v>32</v>
      </c>
      <c r="Y12689" s="8" t="s">
        <v>1829</v>
      </c>
      <c r="Z12689" s="8" t="s">
        <v>1830</v>
      </c>
    </row>
    <row r="12690" spans="1:26" x14ac:dyDescent="0.2">
      <c r="A12690" s="8">
        <v>12689</v>
      </c>
      <c r="B12690" s="8" t="s">
        <v>53189</v>
      </c>
      <c r="C12690" s="8" t="s">
        <v>53189</v>
      </c>
      <c r="G12690" s="8">
        <v>20</v>
      </c>
      <c r="H12690" s="8" t="s">
        <v>21</v>
      </c>
      <c r="I12690" s="8" t="s">
        <v>22</v>
      </c>
      <c r="J12690" s="8" t="s">
        <v>22</v>
      </c>
      <c r="K12690" s="8" t="s">
        <v>42046</v>
      </c>
      <c r="L12690" s="8" t="s">
        <v>28435</v>
      </c>
      <c r="M12690" s="8" t="s">
        <v>28436</v>
      </c>
      <c r="N12690" s="8" t="s">
        <v>53190</v>
      </c>
      <c r="O12690" s="8">
        <f>19+25/60+35.8/3600</f>
        <v>19.426611111111111</v>
      </c>
      <c r="P12690" s="8" t="s">
        <v>53191</v>
      </c>
      <c r="Q12690" s="8">
        <f>-(62+55/60+58/3600)</f>
        <v>-62.932777777777773</v>
      </c>
      <c r="R12690" s="8">
        <v>13.6</v>
      </c>
      <c r="S12690" s="8">
        <v>14.5</v>
      </c>
      <c r="T12690" s="8">
        <v>0.9</v>
      </c>
      <c r="U12690" s="8">
        <v>12.8</v>
      </c>
      <c r="V12690" s="8">
        <v>1.1000000000000001</v>
      </c>
      <c r="W12690" s="8">
        <v>0.5</v>
      </c>
      <c r="X12690" s="8">
        <v>116</v>
      </c>
      <c r="Y12690" s="8" t="s">
        <v>282</v>
      </c>
      <c r="Z12690" s="8" t="s">
        <v>283</v>
      </c>
    </row>
    <row r="12691" spans="1:26" x14ac:dyDescent="0.2">
      <c r="A12691" s="8">
        <v>12690</v>
      </c>
      <c r="B12691" s="8" t="s">
        <v>53192</v>
      </c>
      <c r="C12691" s="8" t="s">
        <v>53192</v>
      </c>
      <c r="G12691" s="8">
        <v>20</v>
      </c>
      <c r="H12691" s="8" t="s">
        <v>21</v>
      </c>
      <c r="I12691" s="8" t="s">
        <v>72</v>
      </c>
      <c r="J12691" s="8" t="s">
        <v>72</v>
      </c>
      <c r="K12691" s="8" t="s">
        <v>31582</v>
      </c>
      <c r="L12691" s="8" t="s">
        <v>29781</v>
      </c>
      <c r="M12691" s="8" t="s">
        <v>29782</v>
      </c>
      <c r="N12691" s="8" t="s">
        <v>53193</v>
      </c>
      <c r="O12691" s="8">
        <f>19+20/60+24/3600</f>
        <v>19.34</v>
      </c>
      <c r="P12691" s="8" t="s">
        <v>53194</v>
      </c>
      <c r="Q12691" s="8">
        <f>-(0+8/60+0/3600)</f>
        <v>-0.13333333333333333</v>
      </c>
      <c r="R12691" s="8">
        <v>99</v>
      </c>
      <c r="S12691" s="8">
        <v>99</v>
      </c>
      <c r="T12691" s="8">
        <v>99</v>
      </c>
      <c r="U12691" s="8">
        <v>99</v>
      </c>
      <c r="Y12691" s="8" t="s">
        <v>27388</v>
      </c>
      <c r="Z12691" s="8" t="s">
        <v>42798</v>
      </c>
    </row>
    <row r="12692" spans="1:26" x14ac:dyDescent="0.2">
      <c r="A12692" s="8">
        <v>12691</v>
      </c>
      <c r="B12692" s="8" t="s">
        <v>53195</v>
      </c>
      <c r="C12692" s="8" t="s">
        <v>53195</v>
      </c>
      <c r="G12692" s="8">
        <v>20</v>
      </c>
      <c r="H12692" s="8" t="s">
        <v>21</v>
      </c>
      <c r="I12692" s="8" t="s">
        <v>22</v>
      </c>
      <c r="J12692" s="8" t="s">
        <v>22</v>
      </c>
      <c r="K12692" s="8" t="s">
        <v>406</v>
      </c>
      <c r="L12692" s="8" t="s">
        <v>28435</v>
      </c>
      <c r="M12692" s="8" t="s">
        <v>28436</v>
      </c>
      <c r="N12692" s="8" t="s">
        <v>53196</v>
      </c>
      <c r="O12692" s="8">
        <f>19+25/60+29.4/3600</f>
        <v>19.424833333333336</v>
      </c>
      <c r="P12692" s="8" t="s">
        <v>53197</v>
      </c>
      <c r="Q12692" s="8">
        <f>-(57+40/60+15/3600)</f>
        <v>-57.670833333333334</v>
      </c>
      <c r="R12692" s="8">
        <v>13</v>
      </c>
      <c r="S12692" s="8">
        <v>13.8</v>
      </c>
      <c r="T12692" s="8">
        <v>0.8</v>
      </c>
      <c r="U12692" s="8">
        <v>12.8</v>
      </c>
      <c r="V12692" s="8">
        <v>1.6</v>
      </c>
      <c r="W12692" s="8">
        <v>0.6</v>
      </c>
      <c r="X12692" s="8">
        <v>13</v>
      </c>
      <c r="Y12692" s="8" t="s">
        <v>53198</v>
      </c>
      <c r="Z12692" s="8" t="s">
        <v>53199</v>
      </c>
    </row>
    <row r="12693" spans="1:26" x14ac:dyDescent="0.2">
      <c r="A12693" s="8">
        <v>12692</v>
      </c>
      <c r="B12693" s="8" t="s">
        <v>53200</v>
      </c>
      <c r="C12693" s="8" t="s">
        <v>53200</v>
      </c>
      <c r="G12693" s="8">
        <v>20</v>
      </c>
      <c r="H12693" s="8" t="s">
        <v>21</v>
      </c>
      <c r="I12693" s="8" t="s">
        <v>22</v>
      </c>
      <c r="J12693" s="8" t="s">
        <v>22</v>
      </c>
      <c r="K12693" s="8" t="s">
        <v>64</v>
      </c>
      <c r="L12693" s="8" t="s">
        <v>28435</v>
      </c>
      <c r="M12693" s="8" t="s">
        <v>28436</v>
      </c>
      <c r="N12693" s="8" t="s">
        <v>53201</v>
      </c>
      <c r="O12693" s="8">
        <f>19+26/60+25.7/3600</f>
        <v>19.440472222222223</v>
      </c>
      <c r="P12693" s="8" t="s">
        <v>53202</v>
      </c>
      <c r="Q12693" s="8">
        <f>-(60+20/60+10/3600)</f>
        <v>-60.336111111111116</v>
      </c>
      <c r="R12693" s="8">
        <v>13</v>
      </c>
      <c r="S12693" s="8">
        <v>13.7</v>
      </c>
      <c r="T12693" s="8">
        <v>0.7</v>
      </c>
      <c r="U12693" s="8">
        <v>13.6</v>
      </c>
      <c r="V12693" s="8">
        <v>1.5</v>
      </c>
      <c r="W12693" s="8">
        <v>1.3</v>
      </c>
      <c r="X12693" s="8">
        <v>178</v>
      </c>
      <c r="Y12693" s="8" t="s">
        <v>53203</v>
      </c>
      <c r="Z12693" s="8" t="s">
        <v>53204</v>
      </c>
    </row>
    <row r="12694" spans="1:26" x14ac:dyDescent="0.2">
      <c r="A12694" s="8">
        <v>12693</v>
      </c>
      <c r="B12694" s="8" t="s">
        <v>53205</v>
      </c>
      <c r="C12694" s="8" t="s">
        <v>53205</v>
      </c>
      <c r="G12694" s="8">
        <v>20</v>
      </c>
      <c r="H12694" s="8" t="s">
        <v>21</v>
      </c>
      <c r="I12694" s="8" t="s">
        <v>22</v>
      </c>
      <c r="J12694" s="8" t="s">
        <v>22</v>
      </c>
      <c r="K12694" s="8" t="s">
        <v>42046</v>
      </c>
      <c r="L12694" s="8" t="s">
        <v>28435</v>
      </c>
      <c r="M12694" s="8" t="s">
        <v>28436</v>
      </c>
      <c r="N12694" s="8" t="s">
        <v>53206</v>
      </c>
      <c r="O12694" s="8">
        <f>19+30/60+47.2/3600</f>
        <v>19.513111111111112</v>
      </c>
      <c r="P12694" s="8" t="s">
        <v>53207</v>
      </c>
      <c r="Q12694" s="8">
        <f>-(71+4/60+13/3600)</f>
        <v>-71.070277777777775</v>
      </c>
      <c r="R12694" s="8">
        <v>14</v>
      </c>
      <c r="S12694" s="8">
        <v>14.9</v>
      </c>
      <c r="T12694" s="8">
        <v>0.9</v>
      </c>
      <c r="U12694" s="8">
        <v>12.6</v>
      </c>
      <c r="V12694" s="8">
        <v>1.1000000000000001</v>
      </c>
      <c r="W12694" s="8">
        <v>0.3</v>
      </c>
      <c r="X12694" s="8">
        <v>169</v>
      </c>
      <c r="Y12694" s="8" t="s">
        <v>53208</v>
      </c>
      <c r="Z12694" s="8" t="s">
        <v>53209</v>
      </c>
    </row>
    <row r="12695" spans="1:26" x14ac:dyDescent="0.2">
      <c r="A12695" s="8">
        <v>12694</v>
      </c>
      <c r="B12695" s="8" t="s">
        <v>53210</v>
      </c>
      <c r="C12695" s="8" t="s">
        <v>53210</v>
      </c>
      <c r="G12695" s="8">
        <v>20</v>
      </c>
      <c r="H12695" s="8" t="s">
        <v>21</v>
      </c>
      <c r="I12695" s="8" t="s">
        <v>22</v>
      </c>
      <c r="J12695" s="8" t="s">
        <v>22</v>
      </c>
      <c r="K12695" s="8" t="s">
        <v>579</v>
      </c>
      <c r="L12695" s="8" t="s">
        <v>28435</v>
      </c>
      <c r="M12695" s="8" t="s">
        <v>28436</v>
      </c>
      <c r="N12695" s="8" t="s">
        <v>53211</v>
      </c>
      <c r="O12695" s="8">
        <f>19+27/60+21.2/3600</f>
        <v>19.455888888888889</v>
      </c>
      <c r="P12695" s="8" t="s">
        <v>53212</v>
      </c>
      <c r="Q12695" s="8">
        <f>-(59+18/60+54/3600)</f>
        <v>-59.314999999999998</v>
      </c>
      <c r="R12695" s="8">
        <v>13</v>
      </c>
      <c r="S12695" s="8">
        <v>13.8</v>
      </c>
      <c r="T12695" s="8">
        <v>0.8</v>
      </c>
      <c r="U12695" s="8">
        <v>13.2</v>
      </c>
      <c r="V12695" s="8">
        <v>1.3</v>
      </c>
      <c r="W12695" s="8">
        <v>1.2</v>
      </c>
      <c r="X12695" s="8">
        <v>28</v>
      </c>
      <c r="Y12695" s="8" t="s">
        <v>11836</v>
      </c>
      <c r="Z12695" s="8" t="s">
        <v>11837</v>
      </c>
    </row>
    <row r="12696" spans="1:26" x14ac:dyDescent="0.2">
      <c r="A12696" s="8">
        <v>12695</v>
      </c>
      <c r="B12696" s="8" t="s">
        <v>53213</v>
      </c>
      <c r="C12696" s="8" t="s">
        <v>53213</v>
      </c>
      <c r="G12696" s="8">
        <v>20</v>
      </c>
      <c r="H12696" s="8" t="s">
        <v>21</v>
      </c>
      <c r="I12696" s="8" t="s">
        <v>22</v>
      </c>
      <c r="J12696" s="8" t="s">
        <v>57</v>
      </c>
      <c r="K12696" s="8" t="s">
        <v>579</v>
      </c>
      <c r="L12696" s="8" t="s">
        <v>28435</v>
      </c>
      <c r="M12696" s="8" t="s">
        <v>28436</v>
      </c>
      <c r="N12696" s="8" t="s">
        <v>53211</v>
      </c>
      <c r="O12696" s="8">
        <f>19+27/60+21.2/3600</f>
        <v>19.455888888888889</v>
      </c>
      <c r="P12696" s="8" t="s">
        <v>53212</v>
      </c>
      <c r="Q12696" s="8">
        <f>-(59+18/60+54/3600)</f>
        <v>-59.314999999999998</v>
      </c>
      <c r="R12696" s="8">
        <v>13</v>
      </c>
      <c r="S12696" s="8">
        <v>13.8</v>
      </c>
      <c r="T12696" s="8">
        <v>0.8</v>
      </c>
      <c r="U12696" s="8">
        <v>13.2</v>
      </c>
      <c r="V12696" s="8">
        <v>1.3</v>
      </c>
      <c r="W12696" s="8">
        <v>1.2</v>
      </c>
      <c r="X12696" s="8">
        <v>28</v>
      </c>
      <c r="Y12696" s="8" t="s">
        <v>11836</v>
      </c>
      <c r="Z12696" s="8" t="s">
        <v>40948</v>
      </c>
    </row>
    <row r="12697" spans="1:26" x14ac:dyDescent="0.2">
      <c r="A12697" s="8">
        <v>12696</v>
      </c>
      <c r="B12697" s="8" t="s">
        <v>53214</v>
      </c>
      <c r="C12697" s="8" t="s">
        <v>53214</v>
      </c>
      <c r="G12697" s="8">
        <v>20</v>
      </c>
      <c r="H12697" s="8" t="s">
        <v>21</v>
      </c>
      <c r="I12697" s="8" t="s">
        <v>22</v>
      </c>
      <c r="J12697" s="8" t="s">
        <v>22</v>
      </c>
      <c r="K12697" s="8" t="s">
        <v>107</v>
      </c>
      <c r="L12697" s="8" t="s">
        <v>29246</v>
      </c>
      <c r="M12697" s="8" t="s">
        <v>29247</v>
      </c>
      <c r="N12697" s="8" t="s">
        <v>53215</v>
      </c>
      <c r="O12697" s="8">
        <f>19+27/60+30.5/3600</f>
        <v>19.458472222222223</v>
      </c>
      <c r="P12697" s="8" t="s">
        <v>53216</v>
      </c>
      <c r="Q12697" s="8">
        <f>-(54+54/60+31/3600)</f>
        <v>-54.908611111111107</v>
      </c>
      <c r="R12697" s="8">
        <v>13.7</v>
      </c>
      <c r="S12697" s="8">
        <v>14.3</v>
      </c>
      <c r="T12697" s="8">
        <v>0.6</v>
      </c>
      <c r="U12697" s="8">
        <v>13</v>
      </c>
      <c r="V12697" s="8">
        <v>1.3</v>
      </c>
      <c r="W12697" s="8">
        <v>0.6</v>
      </c>
      <c r="X12697" s="8">
        <v>33</v>
      </c>
      <c r="Y12697" s="8" t="s">
        <v>53217</v>
      </c>
      <c r="Z12697" s="8" t="s">
        <v>53218</v>
      </c>
    </row>
    <row r="12698" spans="1:26" x14ac:dyDescent="0.2">
      <c r="A12698" s="8">
        <v>12697</v>
      </c>
      <c r="B12698" s="8" t="s">
        <v>53219</v>
      </c>
      <c r="C12698" s="8" t="s">
        <v>53219</v>
      </c>
      <c r="G12698" s="8">
        <v>20</v>
      </c>
      <c r="H12698" s="8" t="s">
        <v>21</v>
      </c>
      <c r="I12698" s="8" t="s">
        <v>22</v>
      </c>
      <c r="J12698" s="8" t="s">
        <v>22</v>
      </c>
      <c r="K12698" s="8" t="s">
        <v>64</v>
      </c>
      <c r="L12698" s="8" t="s">
        <v>28435</v>
      </c>
      <c r="M12698" s="8" t="s">
        <v>28436</v>
      </c>
      <c r="N12698" s="8" t="s">
        <v>53220</v>
      </c>
      <c r="O12698" s="8">
        <f>19+28/60+39.1/3600</f>
        <v>19.477527777777777</v>
      </c>
      <c r="P12698" s="8" t="s">
        <v>53221</v>
      </c>
      <c r="Q12698" s="8">
        <f>-(58+46/60+5/3600)</f>
        <v>-58.768055555555556</v>
      </c>
      <c r="R12698" s="8">
        <v>13</v>
      </c>
      <c r="S12698" s="8">
        <v>13.8</v>
      </c>
      <c r="T12698" s="8">
        <v>0.8</v>
      </c>
      <c r="U12698" s="8">
        <v>13.7</v>
      </c>
      <c r="V12698" s="8">
        <v>1.8</v>
      </c>
      <c r="W12698" s="8">
        <v>1.2</v>
      </c>
      <c r="X12698" s="8">
        <v>35</v>
      </c>
      <c r="Y12698" s="8" t="s">
        <v>53222</v>
      </c>
      <c r="Z12698" s="8" t="s">
        <v>11837</v>
      </c>
    </row>
    <row r="12699" spans="1:26" x14ac:dyDescent="0.2">
      <c r="A12699" s="8">
        <v>12698</v>
      </c>
      <c r="B12699" s="8" t="s">
        <v>53223</v>
      </c>
      <c r="C12699" s="8" t="s">
        <v>53223</v>
      </c>
      <c r="G12699" s="8">
        <v>20</v>
      </c>
      <c r="H12699" s="8" t="s">
        <v>21</v>
      </c>
      <c r="I12699" s="8" t="s">
        <v>22</v>
      </c>
      <c r="J12699" s="8" t="s">
        <v>57</v>
      </c>
      <c r="K12699" s="8" t="s">
        <v>64</v>
      </c>
      <c r="L12699" s="8" t="s">
        <v>28435</v>
      </c>
      <c r="M12699" s="8" t="s">
        <v>28436</v>
      </c>
      <c r="N12699" s="8" t="s">
        <v>53220</v>
      </c>
      <c r="O12699" s="8">
        <f>19+28/60+39.1/3600</f>
        <v>19.477527777777777</v>
      </c>
      <c r="P12699" s="8" t="s">
        <v>53221</v>
      </c>
      <c r="Q12699" s="8">
        <f>-(58+46/60+5/3600)</f>
        <v>-58.768055555555556</v>
      </c>
      <c r="R12699" s="8">
        <v>13</v>
      </c>
      <c r="S12699" s="8">
        <v>13.8</v>
      </c>
      <c r="T12699" s="8">
        <v>0.8</v>
      </c>
      <c r="U12699" s="8">
        <v>13.7</v>
      </c>
      <c r="V12699" s="8">
        <v>1.8</v>
      </c>
      <c r="W12699" s="8">
        <v>1.2</v>
      </c>
      <c r="X12699" s="8">
        <v>35</v>
      </c>
      <c r="Y12699" s="8" t="s">
        <v>53222</v>
      </c>
      <c r="Z12699" s="8" t="s">
        <v>53224</v>
      </c>
    </row>
    <row r="12700" spans="1:26" x14ac:dyDescent="0.2">
      <c r="A12700" s="8">
        <v>12699</v>
      </c>
      <c r="B12700" s="8" t="s">
        <v>53225</v>
      </c>
      <c r="C12700" s="8" t="s">
        <v>53225</v>
      </c>
      <c r="G12700" s="8">
        <v>20</v>
      </c>
      <c r="H12700" s="8" t="s">
        <v>21</v>
      </c>
      <c r="I12700" s="8" t="s">
        <v>22</v>
      </c>
      <c r="J12700" s="8" t="s">
        <v>22</v>
      </c>
      <c r="K12700" s="8" t="s">
        <v>1445</v>
      </c>
      <c r="L12700" s="8" t="s">
        <v>28435</v>
      </c>
      <c r="M12700" s="8" t="s">
        <v>28436</v>
      </c>
      <c r="N12700" s="8" t="s">
        <v>53226</v>
      </c>
      <c r="O12700" s="8">
        <f>19+30/60+46.7/3600</f>
        <v>19.512972222222221</v>
      </c>
      <c r="P12700" s="8" t="s">
        <v>53227</v>
      </c>
      <c r="Q12700" s="8">
        <f>-(66+18/60+49/3600)</f>
        <v>-66.313611111111115</v>
      </c>
      <c r="R12700" s="8">
        <v>13.7</v>
      </c>
      <c r="S12700" s="8">
        <v>14.5</v>
      </c>
      <c r="T12700" s="8">
        <v>0.8</v>
      </c>
      <c r="U12700" s="8">
        <v>13.2</v>
      </c>
      <c r="V12700" s="8">
        <v>1.1000000000000001</v>
      </c>
      <c r="W12700" s="8">
        <v>0.6</v>
      </c>
      <c r="X12700" s="8">
        <v>35</v>
      </c>
      <c r="Y12700" s="8" t="s">
        <v>53228</v>
      </c>
      <c r="Z12700" s="8" t="s">
        <v>53229</v>
      </c>
    </row>
    <row r="12701" spans="1:26" x14ac:dyDescent="0.2">
      <c r="A12701" s="8">
        <v>12700</v>
      </c>
      <c r="B12701" s="8" t="s">
        <v>53230</v>
      </c>
      <c r="C12701" s="8" t="s">
        <v>53230</v>
      </c>
      <c r="G12701" s="8">
        <v>20</v>
      </c>
      <c r="H12701" s="8" t="s">
        <v>21</v>
      </c>
      <c r="I12701" s="8" t="s">
        <v>22</v>
      </c>
      <c r="J12701" s="8" t="s">
        <v>22</v>
      </c>
      <c r="K12701" s="8" t="s">
        <v>64</v>
      </c>
      <c r="L12701" s="8" t="s">
        <v>28435</v>
      </c>
      <c r="M12701" s="8" t="s">
        <v>28436</v>
      </c>
      <c r="N12701" s="8" t="s">
        <v>53231</v>
      </c>
      <c r="O12701" s="8">
        <f>19+31/60+27.2/3600</f>
        <v>19.524222222222221</v>
      </c>
      <c r="P12701" s="8" t="s">
        <v>53232</v>
      </c>
      <c r="Q12701" s="8">
        <f>-(67+22/60+5/3600)</f>
        <v>-67.368055555555543</v>
      </c>
      <c r="R12701" s="8">
        <v>14</v>
      </c>
      <c r="S12701" s="8">
        <v>14.7</v>
      </c>
      <c r="T12701" s="8">
        <v>0.7</v>
      </c>
      <c r="U12701" s="8">
        <v>13.6</v>
      </c>
      <c r="V12701" s="8">
        <v>1</v>
      </c>
      <c r="W12701" s="8">
        <v>0.8</v>
      </c>
      <c r="X12701" s="8">
        <v>141</v>
      </c>
      <c r="Y12701" s="8" t="s">
        <v>227</v>
      </c>
      <c r="Z12701" s="8" t="s">
        <v>228</v>
      </c>
    </row>
    <row r="12702" spans="1:26" x14ac:dyDescent="0.2">
      <c r="A12702" s="8">
        <v>12701</v>
      </c>
      <c r="B12702" s="8" t="s">
        <v>53233</v>
      </c>
      <c r="C12702" s="8" t="s">
        <v>53233</v>
      </c>
      <c r="G12702" s="8">
        <v>20</v>
      </c>
      <c r="H12702" s="8" t="s">
        <v>21</v>
      </c>
      <c r="I12702" s="8" t="s">
        <v>22</v>
      </c>
      <c r="J12702" s="8" t="s">
        <v>22</v>
      </c>
      <c r="K12702" s="8" t="s">
        <v>160</v>
      </c>
      <c r="L12702" s="8" t="s">
        <v>28435</v>
      </c>
      <c r="M12702" s="8" t="s">
        <v>28436</v>
      </c>
      <c r="N12702" s="8" t="s">
        <v>53234</v>
      </c>
      <c r="O12702" s="8">
        <f>19+29/60+16.6/3600</f>
        <v>19.487944444444445</v>
      </c>
      <c r="P12702" s="8" t="s">
        <v>53235</v>
      </c>
      <c r="Q12702" s="8">
        <f>-(57+34/60+34/3600)</f>
        <v>-57.576111111111118</v>
      </c>
      <c r="R12702" s="8">
        <v>14.8</v>
      </c>
      <c r="S12702" s="8">
        <v>15.5</v>
      </c>
      <c r="T12702" s="8">
        <v>0.7</v>
      </c>
      <c r="U12702" s="8">
        <v>13.4</v>
      </c>
      <c r="V12702" s="8">
        <v>1.1000000000000001</v>
      </c>
      <c r="W12702" s="8">
        <v>0.3</v>
      </c>
      <c r="X12702" s="8">
        <v>29</v>
      </c>
      <c r="Y12702" s="8" t="s">
        <v>53236</v>
      </c>
      <c r="Z12702" s="8" t="s">
        <v>53237</v>
      </c>
    </row>
    <row r="12703" spans="1:26" x14ac:dyDescent="0.2">
      <c r="A12703" s="8">
        <v>12702</v>
      </c>
      <c r="B12703" s="8" t="s">
        <v>53238</v>
      </c>
      <c r="C12703" s="8" t="s">
        <v>53238</v>
      </c>
      <c r="G12703" s="8">
        <v>20</v>
      </c>
      <c r="H12703" s="8" t="s">
        <v>21</v>
      </c>
      <c r="I12703" s="8" t="s">
        <v>22</v>
      </c>
      <c r="J12703" s="8" t="s">
        <v>22</v>
      </c>
      <c r="K12703" s="8" t="s">
        <v>85</v>
      </c>
      <c r="L12703" s="8" t="s">
        <v>28435</v>
      </c>
      <c r="M12703" s="8" t="s">
        <v>28436</v>
      </c>
      <c r="N12703" s="8" t="s">
        <v>53239</v>
      </c>
      <c r="O12703" s="8">
        <f>19+31/60+40.1/3600</f>
        <v>19.527805555555556</v>
      </c>
      <c r="P12703" s="8" t="s">
        <v>53240</v>
      </c>
      <c r="Q12703" s="8">
        <f>-(67+19/60+22/3600)</f>
        <v>-67.322777777777773</v>
      </c>
      <c r="R12703" s="8">
        <v>13.7</v>
      </c>
      <c r="S12703" s="8">
        <v>14.5</v>
      </c>
      <c r="T12703" s="8">
        <v>0.8</v>
      </c>
      <c r="U12703" s="8">
        <v>12.9</v>
      </c>
      <c r="V12703" s="8">
        <v>1.4</v>
      </c>
      <c r="W12703" s="8">
        <v>0.4</v>
      </c>
      <c r="X12703" s="8">
        <v>3</v>
      </c>
      <c r="Y12703" s="8" t="s">
        <v>53241</v>
      </c>
      <c r="Z12703" s="8" t="s">
        <v>53242</v>
      </c>
    </row>
    <row r="12704" spans="1:26" x14ac:dyDescent="0.2">
      <c r="A12704" s="8">
        <v>12703</v>
      </c>
      <c r="B12704" s="8" t="s">
        <v>53243</v>
      </c>
      <c r="C12704" s="8" t="s">
        <v>53243</v>
      </c>
      <c r="G12704" s="8">
        <v>20</v>
      </c>
      <c r="H12704" s="8" t="s">
        <v>21</v>
      </c>
      <c r="I12704" s="8" t="s">
        <v>72</v>
      </c>
      <c r="J12704" s="8" t="s">
        <v>72</v>
      </c>
      <c r="K12704" s="8" t="s">
        <v>73</v>
      </c>
      <c r="L12704" s="8" t="s">
        <v>28576</v>
      </c>
      <c r="M12704" s="8" t="s">
        <v>28577</v>
      </c>
      <c r="N12704" s="8" t="s">
        <v>53244</v>
      </c>
      <c r="O12704" s="8">
        <f>19+27/60+51.5/3600</f>
        <v>19.464305555555555</v>
      </c>
      <c r="P12704" s="8" t="s">
        <v>53245</v>
      </c>
      <c r="Q12704" s="8">
        <f>-(36+13/60+2/3600)</f>
        <v>-36.217222222222226</v>
      </c>
      <c r="R12704" s="8">
        <v>99</v>
      </c>
      <c r="S12704" s="8">
        <v>99</v>
      </c>
      <c r="T12704" s="8">
        <v>99</v>
      </c>
      <c r="U12704" s="8">
        <v>99</v>
      </c>
      <c r="Y12704" s="8" t="s">
        <v>53246</v>
      </c>
      <c r="Z12704" s="8" t="s">
        <v>53247</v>
      </c>
    </row>
    <row r="12705" spans="1:26" x14ac:dyDescent="0.2">
      <c r="A12705" s="8">
        <v>12704</v>
      </c>
      <c r="B12705" s="8" t="s">
        <v>53248</v>
      </c>
      <c r="C12705" s="8" t="s">
        <v>53248</v>
      </c>
      <c r="G12705" s="8">
        <v>20</v>
      </c>
      <c r="H12705" s="8" t="s">
        <v>21</v>
      </c>
      <c r="I12705" s="8" t="s">
        <v>22</v>
      </c>
      <c r="J12705" s="8" t="s">
        <v>22</v>
      </c>
      <c r="K12705" s="8" t="s">
        <v>154</v>
      </c>
      <c r="L12705" s="8" t="s">
        <v>11890</v>
      </c>
      <c r="M12705" s="8" t="s">
        <v>11891</v>
      </c>
      <c r="N12705" s="8" t="s">
        <v>53249</v>
      </c>
      <c r="O12705" s="8">
        <f>19+40/60+6/3600</f>
        <v>19.668333333333333</v>
      </c>
      <c r="P12705" s="8" t="s">
        <v>53250</v>
      </c>
      <c r="Q12705" s="8">
        <f>-(77+33/60+26/3600)</f>
        <v>-77.557222222222222</v>
      </c>
      <c r="R12705" s="8">
        <v>13.5</v>
      </c>
      <c r="S12705" s="8">
        <v>14.8</v>
      </c>
      <c r="T12705" s="8">
        <v>1.3</v>
      </c>
      <c r="U12705" s="8">
        <v>12.8</v>
      </c>
      <c r="V12705" s="8">
        <v>1.5</v>
      </c>
      <c r="W12705" s="8">
        <v>0.4</v>
      </c>
      <c r="X12705" s="8">
        <v>176</v>
      </c>
      <c r="Y12705" s="8" t="s">
        <v>53251</v>
      </c>
      <c r="Z12705" s="8" t="s">
        <v>53252</v>
      </c>
    </row>
    <row r="12706" spans="1:26" x14ac:dyDescent="0.2">
      <c r="A12706" s="8">
        <v>12705</v>
      </c>
      <c r="B12706" s="8" t="s">
        <v>53253</v>
      </c>
      <c r="C12706" s="8" t="s">
        <v>53253</v>
      </c>
      <c r="G12706" s="8">
        <v>20</v>
      </c>
      <c r="H12706" s="8" t="s">
        <v>21</v>
      </c>
      <c r="I12706" s="8" t="s">
        <v>72</v>
      </c>
      <c r="J12706" s="8" t="s">
        <v>72</v>
      </c>
      <c r="K12706" s="8" t="s">
        <v>73</v>
      </c>
      <c r="L12706" s="8" t="s">
        <v>29246</v>
      </c>
      <c r="M12706" s="8" t="s">
        <v>29247</v>
      </c>
      <c r="N12706" s="8" t="s">
        <v>53254</v>
      </c>
      <c r="O12706" s="8">
        <f>19+30/60+50.3/3600</f>
        <v>19.513972222222222</v>
      </c>
      <c r="P12706" s="8" t="s">
        <v>53255</v>
      </c>
      <c r="Q12706" s="8">
        <f>-(46+41/60+54/3600)</f>
        <v>-46.698333333333331</v>
      </c>
      <c r="R12706" s="8">
        <v>99</v>
      </c>
      <c r="S12706" s="8">
        <v>99</v>
      </c>
      <c r="T12706" s="8">
        <v>99</v>
      </c>
      <c r="U12706" s="8">
        <v>99</v>
      </c>
      <c r="Y12706" s="8" t="s">
        <v>53256</v>
      </c>
      <c r="Z12706" s="8" t="s">
        <v>53257</v>
      </c>
    </row>
    <row r="12707" spans="1:26" x14ac:dyDescent="0.2">
      <c r="A12707" s="8">
        <v>12706</v>
      </c>
      <c r="B12707" s="8" t="s">
        <v>53258</v>
      </c>
      <c r="C12707" s="8" t="s">
        <v>53258</v>
      </c>
      <c r="G12707" s="8">
        <v>20</v>
      </c>
      <c r="H12707" s="8" t="s">
        <v>21</v>
      </c>
      <c r="I12707" s="8" t="s">
        <v>22</v>
      </c>
      <c r="J12707" s="8" t="s">
        <v>22</v>
      </c>
      <c r="K12707" s="8" t="s">
        <v>23</v>
      </c>
      <c r="L12707" s="8" t="s">
        <v>28435</v>
      </c>
      <c r="M12707" s="8" t="s">
        <v>28436</v>
      </c>
      <c r="N12707" s="8" t="s">
        <v>53259</v>
      </c>
      <c r="O12707" s="8">
        <f>19+34/60+34.8/3600</f>
        <v>19.576333333333334</v>
      </c>
      <c r="P12707" s="8" t="s">
        <v>53260</v>
      </c>
      <c r="Q12707" s="8">
        <f>-(61+8/60+45/3600)</f>
        <v>-61.145833333333336</v>
      </c>
      <c r="R12707" s="8">
        <v>13</v>
      </c>
      <c r="S12707" s="8">
        <v>13.9</v>
      </c>
      <c r="T12707" s="8">
        <v>0.9</v>
      </c>
      <c r="U12707" s="8">
        <v>13.4</v>
      </c>
      <c r="V12707" s="8">
        <v>1.5</v>
      </c>
      <c r="W12707" s="8">
        <v>1.1000000000000001</v>
      </c>
      <c r="X12707" s="8">
        <v>163</v>
      </c>
      <c r="Y12707" s="8" t="s">
        <v>11841</v>
      </c>
      <c r="Z12707" s="8" t="s">
        <v>11842</v>
      </c>
    </row>
    <row r="12708" spans="1:26" x14ac:dyDescent="0.2">
      <c r="A12708" s="8">
        <v>12707</v>
      </c>
      <c r="B12708" s="8" t="s">
        <v>53261</v>
      </c>
      <c r="C12708" s="8" t="s">
        <v>53261</v>
      </c>
      <c r="G12708" s="8">
        <v>20</v>
      </c>
      <c r="H12708" s="8" t="s">
        <v>21</v>
      </c>
      <c r="I12708" s="8" t="s">
        <v>22</v>
      </c>
      <c r="J12708" s="8" t="s">
        <v>57</v>
      </c>
      <c r="K12708" s="8" t="s">
        <v>632</v>
      </c>
      <c r="L12708" s="8" t="s">
        <v>30032</v>
      </c>
      <c r="M12708" s="8" t="s">
        <v>30033</v>
      </c>
      <c r="N12708" s="8" t="s">
        <v>39702</v>
      </c>
      <c r="O12708" s="8">
        <f>19+26/60+31.9/3600</f>
        <v>19.442194444444446</v>
      </c>
      <c r="P12708" s="8" t="s">
        <v>39703</v>
      </c>
      <c r="Q12708" s="8">
        <f>+(50+7/60+33/3600)</f>
        <v>50.125833333333333</v>
      </c>
      <c r="R12708" s="8">
        <v>13.3</v>
      </c>
      <c r="S12708" s="8">
        <v>14.2</v>
      </c>
      <c r="T12708" s="8">
        <v>0.9</v>
      </c>
      <c r="U12708" s="8">
        <v>13</v>
      </c>
      <c r="V12708" s="8">
        <v>1.2</v>
      </c>
      <c r="W12708" s="8">
        <v>0.7</v>
      </c>
      <c r="X12708" s="8">
        <v>17</v>
      </c>
      <c r="Y12708" s="8" t="s">
        <v>53262</v>
      </c>
      <c r="Z12708" s="8" t="s">
        <v>53263</v>
      </c>
    </row>
    <row r="12709" spans="1:26" x14ac:dyDescent="0.2">
      <c r="A12709" s="8">
        <v>12708</v>
      </c>
      <c r="B12709" s="8" t="s">
        <v>53264</v>
      </c>
      <c r="C12709" s="8" t="s">
        <v>53264</v>
      </c>
      <c r="G12709" s="8">
        <v>20</v>
      </c>
      <c r="H12709" s="8" t="s">
        <v>21</v>
      </c>
      <c r="I12709" s="8" t="s">
        <v>72</v>
      </c>
      <c r="J12709" s="8" t="s">
        <v>72</v>
      </c>
      <c r="K12709" s="8" t="s">
        <v>73</v>
      </c>
      <c r="L12709" s="8" t="s">
        <v>29246</v>
      </c>
      <c r="M12709" s="8" t="s">
        <v>29247</v>
      </c>
      <c r="N12709" s="8" t="s">
        <v>53265</v>
      </c>
      <c r="O12709" s="8">
        <f>19+33/60+33.4/3600</f>
        <v>19.55927777777778</v>
      </c>
      <c r="P12709" s="8" t="s">
        <v>53266</v>
      </c>
      <c r="Q12709" s="8">
        <f>-(45+53/60+32/3600)</f>
        <v>-45.892222222222223</v>
      </c>
      <c r="R12709" s="8">
        <v>99</v>
      </c>
      <c r="S12709" s="8">
        <v>9.4</v>
      </c>
      <c r="T12709" s="8">
        <v>99</v>
      </c>
      <c r="U12709" s="8">
        <v>99</v>
      </c>
      <c r="Y12709" s="8" t="s">
        <v>53267</v>
      </c>
      <c r="Z12709" s="8" t="s">
        <v>53268</v>
      </c>
    </row>
    <row r="12710" spans="1:26" x14ac:dyDescent="0.2">
      <c r="A12710" s="8">
        <v>12709</v>
      </c>
      <c r="B12710" s="8" t="s">
        <v>53269</v>
      </c>
      <c r="C12710" s="8" t="s">
        <v>53269</v>
      </c>
      <c r="G12710" s="8">
        <v>20</v>
      </c>
      <c r="H12710" s="8" t="s">
        <v>21</v>
      </c>
      <c r="I12710" s="8" t="s">
        <v>22</v>
      </c>
      <c r="J12710" s="8" t="s">
        <v>22</v>
      </c>
      <c r="K12710" s="8" t="s">
        <v>4103</v>
      </c>
      <c r="L12710" s="8" t="s">
        <v>28435</v>
      </c>
      <c r="M12710" s="8" t="s">
        <v>28436</v>
      </c>
      <c r="N12710" s="8" t="s">
        <v>53270</v>
      </c>
      <c r="O12710" s="8">
        <f>19+36/60+2.4/3600</f>
        <v>19.600666666666669</v>
      </c>
      <c r="P12710" s="8" t="s">
        <v>53271</v>
      </c>
      <c r="Q12710" s="8">
        <f>-(61+1/60+41/3600)</f>
        <v>-61.028055555555554</v>
      </c>
      <c r="R12710" s="8">
        <v>13</v>
      </c>
      <c r="S12710" s="8">
        <v>13.6</v>
      </c>
      <c r="T12710" s="8">
        <v>0.6</v>
      </c>
      <c r="U12710" s="8">
        <v>13</v>
      </c>
      <c r="V12710" s="8">
        <v>1.1000000000000001</v>
      </c>
      <c r="W12710" s="8">
        <v>1</v>
      </c>
      <c r="X12710" s="8">
        <v>76</v>
      </c>
      <c r="Y12710" s="8" t="s">
        <v>53272</v>
      </c>
      <c r="Z12710" s="8" t="s">
        <v>53273</v>
      </c>
    </row>
    <row r="12711" spans="1:26" x14ac:dyDescent="0.2">
      <c r="A12711" s="8">
        <v>12710</v>
      </c>
      <c r="B12711" s="8" t="s">
        <v>53274</v>
      </c>
      <c r="C12711" s="8" t="s">
        <v>53274</v>
      </c>
      <c r="G12711" s="8">
        <v>20</v>
      </c>
      <c r="H12711" s="8" t="s">
        <v>21</v>
      </c>
      <c r="I12711" s="8" t="s">
        <v>22</v>
      </c>
      <c r="J12711" s="8" t="s">
        <v>22</v>
      </c>
      <c r="K12711" s="8" t="s">
        <v>483</v>
      </c>
      <c r="L12711" s="8" t="s">
        <v>28435</v>
      </c>
      <c r="M12711" s="8" t="s">
        <v>28436</v>
      </c>
      <c r="N12711" s="8" t="s">
        <v>53275</v>
      </c>
      <c r="O12711" s="8">
        <f>19+37/60+37.7/3600</f>
        <v>19.62713888888889</v>
      </c>
      <c r="P12711" s="8" t="s">
        <v>53276</v>
      </c>
      <c r="Q12711" s="8">
        <f>-(65+48/60+40/3600)</f>
        <v>-65.811111111111103</v>
      </c>
      <c r="R12711" s="8">
        <v>13.1</v>
      </c>
      <c r="S12711" s="8">
        <v>13.9</v>
      </c>
      <c r="T12711" s="8">
        <v>0.8</v>
      </c>
      <c r="U12711" s="8">
        <v>13.3</v>
      </c>
      <c r="V12711" s="8">
        <v>1.6</v>
      </c>
      <c r="W12711" s="8">
        <v>0.9</v>
      </c>
      <c r="X12711" s="8">
        <v>136</v>
      </c>
      <c r="Y12711" s="8" t="s">
        <v>53277</v>
      </c>
      <c r="Z12711" s="8" t="s">
        <v>53278</v>
      </c>
    </row>
    <row r="12712" spans="1:26" x14ac:dyDescent="0.2">
      <c r="A12712" s="8">
        <v>12711</v>
      </c>
      <c r="B12712" s="8" t="s">
        <v>53279</v>
      </c>
      <c r="C12712" s="8" t="s">
        <v>53279</v>
      </c>
      <c r="G12712" s="8">
        <v>20</v>
      </c>
      <c r="H12712" s="8" t="s">
        <v>21</v>
      </c>
      <c r="I12712" s="8" t="s">
        <v>22</v>
      </c>
      <c r="J12712" s="8" t="s">
        <v>22</v>
      </c>
      <c r="K12712" s="8" t="s">
        <v>1277</v>
      </c>
      <c r="L12712" s="8" t="s">
        <v>28435</v>
      </c>
      <c r="M12712" s="8" t="s">
        <v>28436</v>
      </c>
      <c r="N12712" s="8" t="s">
        <v>53280</v>
      </c>
      <c r="O12712" s="8">
        <f>19+35/60+42.2/3600</f>
        <v>19.595055555555554</v>
      </c>
      <c r="P12712" s="8" t="s">
        <v>53281</v>
      </c>
      <c r="Q12712" s="8">
        <f>-(57+31/60+8/3600)</f>
        <v>-57.518888888888888</v>
      </c>
      <c r="R12712" s="8">
        <v>13.1</v>
      </c>
      <c r="S12712" s="8">
        <v>13.8</v>
      </c>
      <c r="T12712" s="8">
        <v>0.7</v>
      </c>
      <c r="U12712" s="8">
        <v>13.3</v>
      </c>
      <c r="V12712" s="8">
        <v>3.5</v>
      </c>
      <c r="W12712" s="8">
        <v>0.4</v>
      </c>
      <c r="X12712" s="8">
        <v>6</v>
      </c>
      <c r="Y12712" s="8" t="s">
        <v>53282</v>
      </c>
      <c r="Z12712" s="8" t="s">
        <v>53283</v>
      </c>
    </row>
    <row r="12713" spans="1:26" x14ac:dyDescent="0.2">
      <c r="A12713" s="8">
        <v>12712</v>
      </c>
      <c r="B12713" s="8" t="s">
        <v>53284</v>
      </c>
      <c r="C12713" s="8" t="s">
        <v>53284</v>
      </c>
      <c r="G12713" s="8">
        <v>20</v>
      </c>
      <c r="H12713" s="8" t="s">
        <v>21</v>
      </c>
      <c r="I12713" s="8" t="s">
        <v>22</v>
      </c>
      <c r="J12713" s="8" t="s">
        <v>57</v>
      </c>
      <c r="K12713" s="8" t="s">
        <v>1277</v>
      </c>
      <c r="L12713" s="8" t="s">
        <v>28435</v>
      </c>
      <c r="M12713" s="8" t="s">
        <v>28436</v>
      </c>
      <c r="N12713" s="8" t="s">
        <v>53280</v>
      </c>
      <c r="O12713" s="8">
        <f>19+35/60+42.2/3600</f>
        <v>19.595055555555554</v>
      </c>
      <c r="P12713" s="8" t="s">
        <v>53281</v>
      </c>
      <c r="Q12713" s="8">
        <f>-(57+31/60+8/3600)</f>
        <v>-57.518888888888888</v>
      </c>
      <c r="R12713" s="8">
        <v>13.1</v>
      </c>
      <c r="S12713" s="8">
        <v>13.8</v>
      </c>
      <c r="T12713" s="8">
        <v>0.7</v>
      </c>
      <c r="U12713" s="8">
        <v>13.3</v>
      </c>
      <c r="V12713" s="8">
        <v>3.5</v>
      </c>
      <c r="W12713" s="8">
        <v>0.4</v>
      </c>
      <c r="X12713" s="8">
        <v>6</v>
      </c>
      <c r="Y12713" s="8" t="s">
        <v>53282</v>
      </c>
      <c r="Z12713" s="8" t="s">
        <v>53285</v>
      </c>
    </row>
    <row r="12714" spans="1:26" x14ac:dyDescent="0.2">
      <c r="A12714" s="8">
        <v>12713</v>
      </c>
      <c r="B12714" s="8" t="s">
        <v>53286</v>
      </c>
      <c r="C12714" s="8" t="s">
        <v>53286</v>
      </c>
      <c r="G12714" s="8">
        <v>20</v>
      </c>
      <c r="H12714" s="8" t="s">
        <v>21</v>
      </c>
      <c r="I12714" s="8" t="s">
        <v>22</v>
      </c>
      <c r="J12714" s="8" t="s">
        <v>22</v>
      </c>
      <c r="K12714" s="8" t="s">
        <v>396</v>
      </c>
      <c r="L12714" s="8" t="s">
        <v>29246</v>
      </c>
      <c r="M12714" s="8" t="s">
        <v>29247</v>
      </c>
      <c r="N12714" s="8" t="s">
        <v>53287</v>
      </c>
      <c r="O12714" s="8">
        <f>19+34/60+54.6/3600</f>
        <v>19.581833333333332</v>
      </c>
      <c r="P12714" s="8" t="s">
        <v>53288</v>
      </c>
      <c r="Q12714" s="8">
        <f>-(46+8/60+10/3600)</f>
        <v>-46.136111111111113</v>
      </c>
      <c r="R12714" s="8">
        <v>14.2</v>
      </c>
      <c r="S12714" s="8">
        <v>15</v>
      </c>
      <c r="T12714" s="8">
        <v>0.8</v>
      </c>
      <c r="U12714" s="8">
        <v>14</v>
      </c>
      <c r="V12714" s="8">
        <v>1.2</v>
      </c>
      <c r="W12714" s="8">
        <v>0.8</v>
      </c>
      <c r="X12714" s="8">
        <v>25</v>
      </c>
      <c r="Y12714" s="8" t="s">
        <v>53289</v>
      </c>
      <c r="Z12714" s="8" t="s">
        <v>53290</v>
      </c>
    </row>
    <row r="12715" spans="1:26" x14ac:dyDescent="0.2">
      <c r="A12715" s="8">
        <v>12714</v>
      </c>
      <c r="B12715" s="8" t="s">
        <v>53291</v>
      </c>
      <c r="C12715" s="8" t="s">
        <v>53291</v>
      </c>
      <c r="G12715" s="8">
        <v>20</v>
      </c>
      <c r="H12715" s="8" t="s">
        <v>21</v>
      </c>
      <c r="I12715" s="8" t="s">
        <v>22</v>
      </c>
      <c r="J12715" s="8" t="s">
        <v>22</v>
      </c>
      <c r="K12715" s="8" t="s">
        <v>396</v>
      </c>
      <c r="L12715" s="8" t="s">
        <v>29246</v>
      </c>
      <c r="M12715" s="8" t="s">
        <v>29247</v>
      </c>
      <c r="N12715" s="8" t="s">
        <v>53292</v>
      </c>
      <c r="O12715" s="8">
        <f>19+36/60+21.4/3600</f>
        <v>19.605944444444447</v>
      </c>
      <c r="P12715" s="8" t="s">
        <v>53293</v>
      </c>
      <c r="Q12715" s="8">
        <f>-(47+15/60+57/3600)</f>
        <v>-47.265833333333333</v>
      </c>
      <c r="R12715" s="8">
        <v>13.9</v>
      </c>
      <c r="S12715" s="8">
        <v>14.7</v>
      </c>
      <c r="T12715" s="8">
        <v>0.8</v>
      </c>
      <c r="U12715" s="8">
        <v>13.6</v>
      </c>
      <c r="V12715" s="8">
        <v>1.2</v>
      </c>
      <c r="W12715" s="8">
        <v>0.7</v>
      </c>
      <c r="X12715" s="8">
        <v>60</v>
      </c>
      <c r="Y12715" s="8" t="s">
        <v>53289</v>
      </c>
      <c r="Z12715" s="8" t="s">
        <v>53290</v>
      </c>
    </row>
    <row r="12716" spans="1:26" x14ac:dyDescent="0.2">
      <c r="A12716" s="8">
        <v>12715</v>
      </c>
      <c r="B12716" s="8" t="s">
        <v>53294</v>
      </c>
      <c r="C12716" s="8" t="s">
        <v>53294</v>
      </c>
      <c r="G12716" s="8">
        <v>20</v>
      </c>
      <c r="H12716" s="8" t="s">
        <v>21</v>
      </c>
      <c r="I12716" s="8" t="s">
        <v>22</v>
      </c>
      <c r="J12716" s="8" t="s">
        <v>22</v>
      </c>
      <c r="K12716" s="8" t="s">
        <v>18185</v>
      </c>
      <c r="L12716" s="8" t="s">
        <v>29246</v>
      </c>
      <c r="M12716" s="8" t="s">
        <v>29247</v>
      </c>
      <c r="N12716" s="8" t="s">
        <v>53295</v>
      </c>
      <c r="O12716" s="8">
        <f>19+37/60+38.7/3600</f>
        <v>19.627416666666669</v>
      </c>
      <c r="P12716" s="8" t="s">
        <v>53296</v>
      </c>
      <c r="Q12716" s="8">
        <f>-(52+4/60+31/3600)</f>
        <v>-52.075277777777778</v>
      </c>
      <c r="R12716" s="8">
        <v>13.8</v>
      </c>
      <c r="S12716" s="8">
        <v>14.4</v>
      </c>
      <c r="T12716" s="8">
        <v>0.6</v>
      </c>
      <c r="U12716" s="8">
        <v>12.2</v>
      </c>
      <c r="V12716" s="8">
        <v>0.7</v>
      </c>
      <c r="W12716" s="8">
        <v>0.4</v>
      </c>
      <c r="X12716" s="8">
        <v>73</v>
      </c>
      <c r="Y12716" s="8" t="s">
        <v>972</v>
      </c>
      <c r="Z12716" s="8" t="s">
        <v>973</v>
      </c>
    </row>
    <row r="12717" spans="1:26" x14ac:dyDescent="0.2">
      <c r="A12717" s="8">
        <v>12716</v>
      </c>
      <c r="B12717" s="8" t="s">
        <v>53297</v>
      </c>
      <c r="C12717" s="8" t="s">
        <v>53297</v>
      </c>
      <c r="G12717" s="8">
        <v>20</v>
      </c>
      <c r="H12717" s="8" t="s">
        <v>21</v>
      </c>
      <c r="I12717" s="8" t="s">
        <v>22</v>
      </c>
      <c r="J12717" s="8" t="s">
        <v>22</v>
      </c>
      <c r="K12717" s="8" t="s">
        <v>64</v>
      </c>
      <c r="L12717" s="8" t="s">
        <v>29246</v>
      </c>
      <c r="M12717" s="8" t="s">
        <v>29247</v>
      </c>
      <c r="N12717" s="8" t="s">
        <v>53298</v>
      </c>
      <c r="O12717" s="8">
        <f>19+37/60+42.5/3600</f>
        <v>19.628472222222221</v>
      </c>
      <c r="P12717" s="8" t="s">
        <v>53299</v>
      </c>
      <c r="Q12717" s="8">
        <f>-(52+50/60+35/3600)</f>
        <v>-52.843055555555559</v>
      </c>
      <c r="R12717" s="8">
        <v>13.6</v>
      </c>
      <c r="S12717" s="8">
        <v>14.3</v>
      </c>
      <c r="T12717" s="8">
        <v>0.7</v>
      </c>
      <c r="U12717" s="8">
        <v>13.6</v>
      </c>
      <c r="V12717" s="8">
        <v>1.3</v>
      </c>
      <c r="W12717" s="8">
        <v>0.9</v>
      </c>
      <c r="X12717" s="8">
        <v>120</v>
      </c>
      <c r="Y12717" s="8" t="s">
        <v>972</v>
      </c>
      <c r="Z12717" s="8" t="s">
        <v>973</v>
      </c>
    </row>
    <row r="12718" spans="1:26" x14ac:dyDescent="0.2">
      <c r="A12718" s="8">
        <v>12717</v>
      </c>
      <c r="B12718" s="8" t="s">
        <v>53300</v>
      </c>
      <c r="C12718" s="8" t="s">
        <v>53300</v>
      </c>
      <c r="G12718" s="8">
        <v>20</v>
      </c>
      <c r="H12718" s="8" t="s">
        <v>21</v>
      </c>
      <c r="I12718" s="8" t="s">
        <v>22</v>
      </c>
      <c r="J12718" s="8" t="s">
        <v>22</v>
      </c>
      <c r="K12718" s="8" t="s">
        <v>224</v>
      </c>
      <c r="L12718" s="8" t="s">
        <v>29246</v>
      </c>
      <c r="M12718" s="8" t="s">
        <v>29247</v>
      </c>
      <c r="N12718" s="8" t="s">
        <v>53301</v>
      </c>
      <c r="O12718" s="8">
        <f>19+37/60+55.8/3600</f>
        <v>19.632166666666667</v>
      </c>
      <c r="P12718" s="8" t="s">
        <v>53302</v>
      </c>
      <c r="Q12718" s="8">
        <f>-(51+59/60+29/3600)</f>
        <v>-51.991388888888892</v>
      </c>
      <c r="R12718" s="8">
        <v>13.7</v>
      </c>
      <c r="S12718" s="8">
        <v>14.7</v>
      </c>
      <c r="T12718" s="8">
        <v>1</v>
      </c>
      <c r="U12718" s="8">
        <v>12.4</v>
      </c>
      <c r="V12718" s="8">
        <v>1.3</v>
      </c>
      <c r="W12718" s="8">
        <v>0.2</v>
      </c>
      <c r="X12718" s="8">
        <v>82</v>
      </c>
      <c r="Y12718" s="8" t="s">
        <v>972</v>
      </c>
      <c r="Z12718" s="8" t="s">
        <v>973</v>
      </c>
    </row>
    <row r="12719" spans="1:26" x14ac:dyDescent="0.2">
      <c r="A12719" s="8">
        <v>12718</v>
      </c>
      <c r="B12719" s="8" t="s">
        <v>53303</v>
      </c>
      <c r="C12719" s="8" t="s">
        <v>53303</v>
      </c>
      <c r="G12719" s="8">
        <v>20</v>
      </c>
      <c r="H12719" s="8" t="s">
        <v>21</v>
      </c>
      <c r="I12719" s="8" t="s">
        <v>22</v>
      </c>
      <c r="J12719" s="8" t="s">
        <v>22</v>
      </c>
      <c r="K12719" s="8" t="s">
        <v>160</v>
      </c>
      <c r="L12719" s="8" t="s">
        <v>28435</v>
      </c>
      <c r="M12719" s="8" t="s">
        <v>28436</v>
      </c>
      <c r="N12719" s="8" t="s">
        <v>53304</v>
      </c>
      <c r="O12719" s="8">
        <f>19+38/60+49.8/3600</f>
        <v>19.647166666666667</v>
      </c>
      <c r="P12719" s="8" t="s">
        <v>53305</v>
      </c>
      <c r="Q12719" s="8">
        <f>-(58+13/60+38/3600)</f>
        <v>-58.227222222222224</v>
      </c>
      <c r="R12719" s="8">
        <v>14.2</v>
      </c>
      <c r="S12719" s="8">
        <v>15</v>
      </c>
      <c r="T12719" s="8">
        <v>0.8</v>
      </c>
      <c r="U12719" s="8">
        <v>13.1</v>
      </c>
      <c r="V12719" s="8">
        <v>1.5</v>
      </c>
      <c r="W12719" s="8">
        <v>0.4</v>
      </c>
      <c r="X12719" s="8">
        <v>41</v>
      </c>
      <c r="Y12719" s="8" t="s">
        <v>53306</v>
      </c>
      <c r="Z12719" s="8" t="s">
        <v>53307</v>
      </c>
    </row>
    <row r="12720" spans="1:26" x14ac:dyDescent="0.2">
      <c r="A12720" s="8">
        <v>12719</v>
      </c>
      <c r="B12720" s="8" t="s">
        <v>53308</v>
      </c>
      <c r="C12720" s="8" t="s">
        <v>53308</v>
      </c>
      <c r="G12720" s="8">
        <v>20</v>
      </c>
      <c r="H12720" s="8" t="s">
        <v>21</v>
      </c>
      <c r="I12720" s="8" t="s">
        <v>22</v>
      </c>
      <c r="J12720" s="8" t="s">
        <v>22</v>
      </c>
      <c r="K12720" s="8" t="s">
        <v>52772</v>
      </c>
      <c r="L12720" s="8" t="s">
        <v>29246</v>
      </c>
      <c r="M12720" s="8" t="s">
        <v>29247</v>
      </c>
      <c r="N12720" s="8" t="s">
        <v>53309</v>
      </c>
      <c r="O12720" s="8">
        <f>19+39/60+36.8/3600</f>
        <v>19.66022222222222</v>
      </c>
      <c r="P12720" s="8" t="s">
        <v>53310</v>
      </c>
      <c r="Q12720" s="8">
        <f>-(52+22/60+8/3600)</f>
        <v>-52.36888888888889</v>
      </c>
      <c r="R12720" s="8">
        <v>13.5</v>
      </c>
      <c r="S12720" s="8">
        <v>14.4</v>
      </c>
      <c r="T12720" s="8">
        <v>0.9</v>
      </c>
      <c r="U12720" s="8">
        <v>12.2</v>
      </c>
      <c r="V12720" s="8">
        <v>0.9</v>
      </c>
      <c r="W12720" s="8">
        <v>0.4</v>
      </c>
      <c r="X12720" s="8">
        <v>80</v>
      </c>
      <c r="Y12720" s="8" t="s">
        <v>972</v>
      </c>
      <c r="Z12720" s="8" t="s">
        <v>973</v>
      </c>
    </row>
    <row r="12721" spans="1:26" x14ac:dyDescent="0.2">
      <c r="A12721" s="8">
        <v>12720</v>
      </c>
      <c r="B12721" s="8" t="s">
        <v>53311</v>
      </c>
      <c r="C12721" s="8" t="s">
        <v>53311</v>
      </c>
      <c r="G12721" s="8">
        <v>20</v>
      </c>
      <c r="H12721" s="8" t="s">
        <v>21</v>
      </c>
      <c r="I12721" s="8" t="s">
        <v>22</v>
      </c>
      <c r="J12721" s="8" t="s">
        <v>22</v>
      </c>
      <c r="K12721" s="8" t="s">
        <v>435</v>
      </c>
      <c r="L12721" s="8" t="s">
        <v>29246</v>
      </c>
      <c r="M12721" s="8" t="s">
        <v>29247</v>
      </c>
      <c r="N12721" s="8" t="s">
        <v>53312</v>
      </c>
      <c r="O12721" s="8">
        <f>19+40/60+30.8/3600</f>
        <v>19.675222222222224</v>
      </c>
      <c r="P12721" s="8" t="s">
        <v>53313</v>
      </c>
      <c r="Q12721" s="8">
        <f>-(56+24/60+35/3600)</f>
        <v>-56.409722222222221</v>
      </c>
      <c r="R12721" s="8">
        <v>13.3</v>
      </c>
      <c r="S12721" s="8">
        <v>14.2</v>
      </c>
      <c r="T12721" s="8">
        <v>0.9</v>
      </c>
      <c r="U12721" s="8">
        <v>12.7</v>
      </c>
      <c r="V12721" s="8">
        <v>1.7</v>
      </c>
      <c r="W12721" s="8">
        <v>0.4</v>
      </c>
      <c r="X12721" s="8">
        <v>116</v>
      </c>
      <c r="Y12721" s="8" t="s">
        <v>385</v>
      </c>
      <c r="Z12721" s="8" t="s">
        <v>386</v>
      </c>
    </row>
    <row r="12722" spans="1:26" x14ac:dyDescent="0.2">
      <c r="A12722" s="8">
        <v>12721</v>
      </c>
      <c r="B12722" s="8" t="s">
        <v>53314</v>
      </c>
      <c r="C12722" s="8" t="s">
        <v>53314</v>
      </c>
      <c r="G12722" s="8">
        <v>20</v>
      </c>
      <c r="H12722" s="8" t="s">
        <v>21</v>
      </c>
      <c r="I12722" s="8" t="s">
        <v>22</v>
      </c>
      <c r="J12722" s="8" t="s">
        <v>22</v>
      </c>
      <c r="K12722" s="8" t="s">
        <v>85</v>
      </c>
      <c r="L12722" s="8" t="s">
        <v>29246</v>
      </c>
      <c r="M12722" s="8" t="s">
        <v>29247</v>
      </c>
      <c r="N12722" s="8" t="s">
        <v>53315</v>
      </c>
      <c r="O12722" s="8">
        <f>19+40/60+26.1/3600</f>
        <v>19.673916666666667</v>
      </c>
      <c r="P12722" s="8" t="s">
        <v>53316</v>
      </c>
      <c r="Q12722" s="8">
        <f>-(55+51/60+27/3600)</f>
        <v>-55.857500000000002</v>
      </c>
      <c r="R12722" s="8">
        <v>13.8</v>
      </c>
      <c r="S12722" s="8">
        <v>14.6</v>
      </c>
      <c r="T12722" s="8">
        <v>0.8</v>
      </c>
      <c r="U12722" s="8">
        <v>12.8</v>
      </c>
      <c r="V12722" s="8">
        <v>0.9</v>
      </c>
      <c r="W12722" s="8">
        <v>0.5</v>
      </c>
      <c r="X12722" s="8">
        <v>156</v>
      </c>
      <c r="Y12722" s="8" t="s">
        <v>385</v>
      </c>
      <c r="Z12722" s="8" t="s">
        <v>386</v>
      </c>
    </row>
    <row r="12723" spans="1:26" x14ac:dyDescent="0.2">
      <c r="A12723" s="8">
        <v>12722</v>
      </c>
      <c r="B12723" s="8" t="s">
        <v>53317</v>
      </c>
      <c r="C12723" s="8" t="s">
        <v>53317</v>
      </c>
      <c r="G12723" s="8">
        <v>20</v>
      </c>
      <c r="H12723" s="8" t="s">
        <v>21</v>
      </c>
      <c r="I12723" s="8" t="s">
        <v>22</v>
      </c>
      <c r="J12723" s="8" t="s">
        <v>22</v>
      </c>
      <c r="K12723" s="8" t="s">
        <v>218</v>
      </c>
      <c r="L12723" s="8" t="s">
        <v>29246</v>
      </c>
      <c r="M12723" s="8" t="s">
        <v>29247</v>
      </c>
      <c r="N12723" s="8" t="s">
        <v>53318</v>
      </c>
      <c r="O12723" s="8">
        <f>19+40/60+23.3/3600</f>
        <v>19.673138888888889</v>
      </c>
      <c r="P12723" s="8" t="s">
        <v>53319</v>
      </c>
      <c r="Q12723" s="8">
        <f>-(55+11/60+47/3600)</f>
        <v>-55.196388888888883</v>
      </c>
      <c r="R12723" s="8">
        <v>13.4</v>
      </c>
      <c r="S12723" s="8">
        <v>14.2</v>
      </c>
      <c r="T12723" s="8">
        <v>0.8</v>
      </c>
      <c r="U12723" s="8">
        <v>12.5</v>
      </c>
      <c r="V12723" s="8">
        <v>1</v>
      </c>
      <c r="W12723" s="8">
        <v>0.8</v>
      </c>
      <c r="X12723" s="8">
        <v>165</v>
      </c>
      <c r="Y12723" s="8" t="s">
        <v>1829</v>
      </c>
      <c r="Z12723" s="8" t="s">
        <v>1830</v>
      </c>
    </row>
    <row r="12724" spans="1:26" x14ac:dyDescent="0.2">
      <c r="A12724" s="8">
        <v>12723</v>
      </c>
      <c r="B12724" s="8" t="s">
        <v>53320</v>
      </c>
      <c r="C12724" s="8" t="s">
        <v>53320</v>
      </c>
      <c r="G12724" s="8">
        <v>20</v>
      </c>
      <c r="H12724" s="8" t="s">
        <v>21</v>
      </c>
      <c r="I12724" s="8" t="s">
        <v>22</v>
      </c>
      <c r="J12724" s="8" t="s">
        <v>22</v>
      </c>
      <c r="K12724" s="8" t="s">
        <v>218</v>
      </c>
      <c r="L12724" s="8" t="s">
        <v>29246</v>
      </c>
      <c r="M12724" s="8" t="s">
        <v>29247</v>
      </c>
      <c r="N12724" s="8" t="s">
        <v>53321</v>
      </c>
      <c r="O12724" s="8">
        <f>19+42/60+0.6/3600</f>
        <v>19.700166666666664</v>
      </c>
      <c r="P12724" s="8" t="s">
        <v>53322</v>
      </c>
      <c r="Q12724" s="8">
        <f>-(55+32/60+43/3600)</f>
        <v>-55.545277777777777</v>
      </c>
      <c r="R12724" s="8">
        <v>13.6</v>
      </c>
      <c r="S12724" s="8">
        <v>14.4</v>
      </c>
      <c r="T12724" s="8">
        <v>0.8</v>
      </c>
      <c r="U12724" s="8">
        <v>12.9</v>
      </c>
      <c r="V12724" s="8">
        <v>1.4</v>
      </c>
      <c r="W12724" s="8">
        <v>0.5</v>
      </c>
      <c r="X12724" s="8">
        <v>163</v>
      </c>
      <c r="Y12724" s="8" t="s">
        <v>53323</v>
      </c>
      <c r="Z12724" s="8" t="s">
        <v>53324</v>
      </c>
    </row>
    <row r="12725" spans="1:26" x14ac:dyDescent="0.2">
      <c r="A12725" s="8">
        <v>12724</v>
      </c>
      <c r="B12725" s="8" t="s">
        <v>53325</v>
      </c>
      <c r="C12725" s="8" t="s">
        <v>53325</v>
      </c>
      <c r="G12725" s="8">
        <v>20</v>
      </c>
      <c r="H12725" s="8" t="s">
        <v>21</v>
      </c>
      <c r="I12725" s="8" t="s">
        <v>22</v>
      </c>
      <c r="J12725" s="8" t="s">
        <v>22</v>
      </c>
      <c r="K12725" s="8" t="s">
        <v>37</v>
      </c>
      <c r="L12725" s="8" t="s">
        <v>28435</v>
      </c>
      <c r="M12725" s="8" t="s">
        <v>28436</v>
      </c>
      <c r="N12725" s="8" t="s">
        <v>53326</v>
      </c>
      <c r="O12725" s="8">
        <f>19+42/60+41.2/3600</f>
        <v>19.711444444444442</v>
      </c>
      <c r="P12725" s="8" t="s">
        <v>53327</v>
      </c>
      <c r="Q12725" s="8">
        <f>-(58+7/60+43/3600)</f>
        <v>-58.128611111111113</v>
      </c>
      <c r="R12725" s="8">
        <v>13.6</v>
      </c>
      <c r="S12725" s="8">
        <v>14.6</v>
      </c>
      <c r="T12725" s="8">
        <v>1</v>
      </c>
      <c r="U12725" s="8">
        <v>12.9</v>
      </c>
      <c r="V12725" s="8">
        <v>1.3</v>
      </c>
      <c r="W12725" s="8">
        <v>0.4</v>
      </c>
      <c r="X12725" s="8">
        <v>166</v>
      </c>
      <c r="Y12725" s="8" t="s">
        <v>52653</v>
      </c>
      <c r="Z12725" s="8" t="s">
        <v>52654</v>
      </c>
    </row>
    <row r="12726" spans="1:26" x14ac:dyDescent="0.2">
      <c r="A12726" s="8">
        <v>12725</v>
      </c>
      <c r="B12726" s="8" t="s">
        <v>53328</v>
      </c>
      <c r="C12726" s="8" t="s">
        <v>53328</v>
      </c>
      <c r="G12726" s="8">
        <v>20</v>
      </c>
      <c r="H12726" s="8" t="s">
        <v>21</v>
      </c>
      <c r="I12726" s="8" t="s">
        <v>22</v>
      </c>
      <c r="J12726" s="8" t="s">
        <v>22</v>
      </c>
      <c r="K12726" s="8" t="s">
        <v>160</v>
      </c>
      <c r="L12726" s="8" t="s">
        <v>28435</v>
      </c>
      <c r="M12726" s="8" t="s">
        <v>28436</v>
      </c>
      <c r="N12726" s="8" t="s">
        <v>53329</v>
      </c>
      <c r="O12726" s="8">
        <f>19+43/60+51.8/3600</f>
        <v>19.731055555555553</v>
      </c>
      <c r="P12726" s="8" t="s">
        <v>53330</v>
      </c>
      <c r="Q12726" s="8">
        <f>-(60+39/60+5/3600)</f>
        <v>-60.651388888888889</v>
      </c>
      <c r="R12726" s="8">
        <v>13.6</v>
      </c>
      <c r="S12726" s="8">
        <v>14.3</v>
      </c>
      <c r="T12726" s="8">
        <v>0.7</v>
      </c>
      <c r="U12726" s="8">
        <v>13.1</v>
      </c>
      <c r="V12726" s="8">
        <v>1.9</v>
      </c>
      <c r="W12726" s="8">
        <v>0.4</v>
      </c>
      <c r="X12726" s="8">
        <v>113</v>
      </c>
      <c r="Y12726" s="8" t="s">
        <v>53331</v>
      </c>
      <c r="Z12726" s="8" t="s">
        <v>53332</v>
      </c>
    </row>
    <row r="12727" spans="1:26" x14ac:dyDescent="0.2">
      <c r="A12727" s="8">
        <v>12726</v>
      </c>
      <c r="B12727" s="8" t="s">
        <v>53333</v>
      </c>
      <c r="C12727" s="8" t="s">
        <v>53333</v>
      </c>
      <c r="G12727" s="8">
        <v>20</v>
      </c>
      <c r="H12727" s="8" t="s">
        <v>21</v>
      </c>
      <c r="I12727" s="8" t="s">
        <v>22</v>
      </c>
      <c r="J12727" s="8" t="s">
        <v>22</v>
      </c>
      <c r="K12727" s="8" t="s">
        <v>23</v>
      </c>
      <c r="L12727" s="8" t="s">
        <v>29246</v>
      </c>
      <c r="M12727" s="8" t="s">
        <v>29247</v>
      </c>
      <c r="N12727" s="8" t="s">
        <v>53334</v>
      </c>
      <c r="O12727" s="8">
        <f>19+43/60+14.5/3600</f>
        <v>19.720694444444444</v>
      </c>
      <c r="P12727" s="8" t="s">
        <v>53335</v>
      </c>
      <c r="Q12727" s="8">
        <f>-(51+48/60+26/3600)</f>
        <v>-51.807222222222222</v>
      </c>
      <c r="R12727" s="8">
        <v>13.2</v>
      </c>
      <c r="S12727" s="8">
        <v>14</v>
      </c>
      <c r="T12727" s="8">
        <v>0.8</v>
      </c>
      <c r="U12727" s="8">
        <v>13</v>
      </c>
      <c r="V12727" s="8">
        <v>1.4</v>
      </c>
      <c r="W12727" s="8">
        <v>0.7</v>
      </c>
      <c r="X12727" s="8">
        <v>107</v>
      </c>
      <c r="Y12727" s="8" t="s">
        <v>232</v>
      </c>
      <c r="Z12727" s="8" t="s">
        <v>233</v>
      </c>
    </row>
    <row r="12728" spans="1:26" x14ac:dyDescent="0.2">
      <c r="A12728" s="8">
        <v>12727</v>
      </c>
      <c r="B12728" s="8" t="s">
        <v>53336</v>
      </c>
      <c r="C12728" s="8" t="s">
        <v>53336</v>
      </c>
      <c r="G12728" s="8">
        <v>20</v>
      </c>
      <c r="H12728" s="8" t="s">
        <v>21</v>
      </c>
      <c r="I12728" s="8" t="s">
        <v>22</v>
      </c>
      <c r="J12728" s="8" t="s">
        <v>22</v>
      </c>
      <c r="K12728" s="8" t="s">
        <v>1445</v>
      </c>
      <c r="L12728" s="8" t="s">
        <v>28435</v>
      </c>
      <c r="M12728" s="8" t="s">
        <v>28436</v>
      </c>
      <c r="N12728" s="8" t="s">
        <v>53337</v>
      </c>
      <c r="O12728" s="8">
        <f>19+48/60+21/3600</f>
        <v>19.805833333333332</v>
      </c>
      <c r="P12728" s="8" t="s">
        <v>53338</v>
      </c>
      <c r="Q12728" s="8">
        <f>-(69+35/60+13/3600)</f>
        <v>-69.586944444444441</v>
      </c>
      <c r="R12728" s="8">
        <v>13.4</v>
      </c>
      <c r="S12728" s="8">
        <v>14.2</v>
      </c>
      <c r="T12728" s="8">
        <v>0.8</v>
      </c>
      <c r="U12728" s="8">
        <v>13</v>
      </c>
      <c r="V12728" s="8">
        <v>1</v>
      </c>
      <c r="W12728" s="8">
        <v>0.8</v>
      </c>
      <c r="X12728" s="8">
        <v>95</v>
      </c>
      <c r="Y12728" s="8" t="s">
        <v>44503</v>
      </c>
      <c r="Z12728" s="8" t="s">
        <v>44504</v>
      </c>
    </row>
    <row r="12729" spans="1:26" x14ac:dyDescent="0.2">
      <c r="A12729" s="8">
        <v>12728</v>
      </c>
      <c r="B12729" s="8" t="s">
        <v>53339</v>
      </c>
      <c r="C12729" s="8" t="s">
        <v>53339</v>
      </c>
      <c r="G12729" s="8">
        <v>20</v>
      </c>
      <c r="H12729" s="8" t="s">
        <v>21</v>
      </c>
      <c r="I12729" s="8" t="s">
        <v>22</v>
      </c>
      <c r="J12729" s="8" t="s">
        <v>22</v>
      </c>
      <c r="K12729" s="8" t="s">
        <v>58</v>
      </c>
      <c r="L12729" s="8" t="s">
        <v>29246</v>
      </c>
      <c r="M12729" s="8" t="s">
        <v>29247</v>
      </c>
      <c r="N12729" s="8" t="s">
        <v>53340</v>
      </c>
      <c r="O12729" s="8">
        <f>19+44/60+52.2/3600</f>
        <v>19.747833333333336</v>
      </c>
      <c r="P12729" s="8" t="s">
        <v>53341</v>
      </c>
      <c r="Q12729" s="8">
        <f>-(54+27/60+23/3600)</f>
        <v>-54.456388888888888</v>
      </c>
      <c r="R12729" s="8">
        <v>13.8</v>
      </c>
      <c r="S12729" s="8">
        <v>14.8</v>
      </c>
      <c r="T12729" s="8">
        <v>1</v>
      </c>
      <c r="U12729" s="8">
        <v>13</v>
      </c>
      <c r="V12729" s="8">
        <v>1</v>
      </c>
      <c r="W12729" s="8">
        <v>0.7</v>
      </c>
      <c r="X12729" s="8">
        <v>93</v>
      </c>
      <c r="Y12729" s="8" t="s">
        <v>1212</v>
      </c>
      <c r="Z12729" s="8" t="s">
        <v>1213</v>
      </c>
    </row>
    <row r="12730" spans="1:26" x14ac:dyDescent="0.2">
      <c r="A12730" s="8">
        <v>12729</v>
      </c>
      <c r="B12730" s="8" t="s">
        <v>53342</v>
      </c>
      <c r="C12730" s="8" t="s">
        <v>53342</v>
      </c>
      <c r="G12730" s="8">
        <v>13</v>
      </c>
      <c r="H12730" s="8" t="s">
        <v>21</v>
      </c>
      <c r="I12730" s="8" t="s">
        <v>22</v>
      </c>
      <c r="J12730" s="8" t="s">
        <v>57</v>
      </c>
      <c r="K12730" s="8" t="s">
        <v>1068</v>
      </c>
      <c r="L12730" s="8" t="s">
        <v>29246</v>
      </c>
      <c r="M12730" s="8" t="s">
        <v>29247</v>
      </c>
      <c r="N12730" s="8" t="s">
        <v>53343</v>
      </c>
      <c r="O12730" s="8">
        <f>19+45/60+15/3600</f>
        <v>19.754166666666666</v>
      </c>
      <c r="P12730" s="8" t="s">
        <v>53344</v>
      </c>
      <c r="Q12730" s="8">
        <f>-(54+20/60+37/3600)</f>
        <v>-54.343611111111116</v>
      </c>
      <c r="R12730" s="8">
        <v>11.1</v>
      </c>
      <c r="S12730" s="8">
        <v>12.1</v>
      </c>
      <c r="T12730" s="8">
        <v>1</v>
      </c>
      <c r="U12730" s="8">
        <v>12.8</v>
      </c>
      <c r="V12730" s="8">
        <v>2.2000000000000002</v>
      </c>
      <c r="W12730" s="8">
        <v>1.5</v>
      </c>
      <c r="X12730" s="8">
        <v>0</v>
      </c>
      <c r="Y12730" s="8" t="s">
        <v>53345</v>
      </c>
      <c r="Z12730" s="8" t="s">
        <v>53346</v>
      </c>
    </row>
    <row r="12731" spans="1:26" x14ac:dyDescent="0.2">
      <c r="A12731" s="8">
        <v>12730</v>
      </c>
      <c r="B12731" s="8" t="s">
        <v>53347</v>
      </c>
      <c r="C12731" s="8" t="s">
        <v>53347</v>
      </c>
      <c r="G12731" s="8">
        <v>20</v>
      </c>
      <c r="H12731" s="8" t="s">
        <v>21</v>
      </c>
      <c r="I12731" s="8" t="s">
        <v>22</v>
      </c>
      <c r="J12731" s="8" t="s">
        <v>22</v>
      </c>
      <c r="K12731" s="8" t="s">
        <v>218</v>
      </c>
      <c r="L12731" s="8" t="s">
        <v>29246</v>
      </c>
      <c r="M12731" s="8" t="s">
        <v>29247</v>
      </c>
      <c r="N12731" s="8" t="s">
        <v>53348</v>
      </c>
      <c r="O12731" s="8">
        <f>19+45/60+35.4/3600</f>
        <v>19.759833333333333</v>
      </c>
      <c r="P12731" s="8" t="s">
        <v>53349</v>
      </c>
      <c r="Q12731" s="8">
        <f>-(56+32/60+41/3600)</f>
        <v>-56.544722222222219</v>
      </c>
      <c r="R12731" s="8">
        <v>13.9</v>
      </c>
      <c r="S12731" s="8">
        <v>14.7</v>
      </c>
      <c r="T12731" s="8">
        <v>0.8</v>
      </c>
      <c r="U12731" s="8">
        <v>13.7</v>
      </c>
      <c r="V12731" s="8">
        <v>1.1000000000000001</v>
      </c>
      <c r="W12731" s="8">
        <v>0.9</v>
      </c>
      <c r="X12731" s="8">
        <v>75</v>
      </c>
      <c r="Y12731" s="8" t="s">
        <v>53350</v>
      </c>
      <c r="Z12731" s="8" t="s">
        <v>53351</v>
      </c>
    </row>
    <row r="12732" spans="1:26" x14ac:dyDescent="0.2">
      <c r="A12732" s="8">
        <v>12731</v>
      </c>
      <c r="B12732" s="8" t="s">
        <v>53352</v>
      </c>
      <c r="C12732" s="8" t="s">
        <v>53352</v>
      </c>
      <c r="G12732" s="8">
        <v>20</v>
      </c>
      <c r="H12732" s="8" t="s">
        <v>21</v>
      </c>
      <c r="I12732" s="8" t="s">
        <v>22</v>
      </c>
      <c r="J12732" s="8" t="s">
        <v>22</v>
      </c>
      <c r="K12732" s="8" t="s">
        <v>1068</v>
      </c>
      <c r="L12732" s="8" t="s">
        <v>29246</v>
      </c>
      <c r="M12732" s="8" t="s">
        <v>29247</v>
      </c>
      <c r="N12732" s="8" t="s">
        <v>53343</v>
      </c>
      <c r="O12732" s="8">
        <f>19+45/60+15/3600</f>
        <v>19.754166666666666</v>
      </c>
      <c r="P12732" s="8" t="s">
        <v>53344</v>
      </c>
      <c r="Q12732" s="8">
        <f>-(54+20/60+37/3600)</f>
        <v>-54.343611111111116</v>
      </c>
      <c r="R12732" s="8">
        <v>11.1</v>
      </c>
      <c r="S12732" s="8">
        <v>12.1</v>
      </c>
      <c r="T12732" s="8">
        <v>1</v>
      </c>
      <c r="U12732" s="8">
        <v>12.8</v>
      </c>
      <c r="V12732" s="8">
        <v>2.2000000000000002</v>
      </c>
      <c r="W12732" s="8">
        <v>1.5</v>
      </c>
      <c r="X12732" s="8">
        <v>0</v>
      </c>
      <c r="Y12732" s="8" t="s">
        <v>53345</v>
      </c>
      <c r="Z12732" s="8" t="s">
        <v>44504</v>
      </c>
    </row>
    <row r="12733" spans="1:26" x14ac:dyDescent="0.2">
      <c r="A12733" s="8">
        <v>12732</v>
      </c>
      <c r="B12733" s="8" t="s">
        <v>53353</v>
      </c>
      <c r="C12733" s="8" t="s">
        <v>53353</v>
      </c>
      <c r="G12733" s="8">
        <v>20</v>
      </c>
      <c r="H12733" s="8" t="s">
        <v>21</v>
      </c>
      <c r="I12733" s="8" t="s">
        <v>22</v>
      </c>
      <c r="J12733" s="8" t="s">
        <v>22</v>
      </c>
      <c r="K12733" s="8" t="s">
        <v>396</v>
      </c>
      <c r="L12733" s="8" t="s">
        <v>28435</v>
      </c>
      <c r="M12733" s="8" t="s">
        <v>28436</v>
      </c>
      <c r="N12733" s="8" t="s">
        <v>53354</v>
      </c>
      <c r="O12733" s="8">
        <f>19+49/60+31.6/3600</f>
        <v>19.825444444444443</v>
      </c>
      <c r="P12733" s="8" t="s">
        <v>53355</v>
      </c>
      <c r="Q12733" s="8">
        <f>-(70+13/60+40/3600)</f>
        <v>-70.227777777777774</v>
      </c>
      <c r="R12733" s="8">
        <v>14</v>
      </c>
      <c r="S12733" s="8">
        <v>14.8</v>
      </c>
      <c r="T12733" s="8">
        <v>0.8</v>
      </c>
      <c r="U12733" s="8">
        <v>13.5</v>
      </c>
      <c r="V12733" s="8">
        <v>1.6</v>
      </c>
      <c r="W12733" s="8">
        <v>0.3</v>
      </c>
      <c r="X12733" s="8">
        <v>3</v>
      </c>
      <c r="Y12733" s="8" t="s">
        <v>53356</v>
      </c>
      <c r="Z12733" s="8" t="s">
        <v>53357</v>
      </c>
    </row>
    <row r="12734" spans="1:26" x14ac:dyDescent="0.2">
      <c r="A12734" s="8">
        <v>12733</v>
      </c>
      <c r="B12734" s="8" t="s">
        <v>53358</v>
      </c>
      <c r="C12734" s="8" t="s">
        <v>53358</v>
      </c>
      <c r="G12734" s="8">
        <v>20</v>
      </c>
      <c r="H12734" s="8" t="s">
        <v>21</v>
      </c>
      <c r="I12734" s="8" t="s">
        <v>22</v>
      </c>
      <c r="J12734" s="8" t="s">
        <v>22</v>
      </c>
      <c r="K12734" s="8" t="s">
        <v>1136</v>
      </c>
      <c r="L12734" s="8" t="s">
        <v>28435</v>
      </c>
      <c r="M12734" s="8" t="s">
        <v>28436</v>
      </c>
      <c r="N12734" s="8" t="s">
        <v>53359</v>
      </c>
      <c r="O12734" s="8">
        <f>19+50/60+32.9/3600</f>
        <v>19.84247222222222</v>
      </c>
      <c r="P12734" s="8" t="s">
        <v>53360</v>
      </c>
      <c r="Q12734" s="8">
        <f>-(72+30/60+36/3600)</f>
        <v>-72.510000000000005</v>
      </c>
      <c r="R12734" s="8">
        <v>15.2</v>
      </c>
      <c r="S12734" s="8">
        <v>16.2</v>
      </c>
      <c r="T12734" s="8">
        <v>1</v>
      </c>
      <c r="U12734" s="8">
        <v>13.5</v>
      </c>
      <c r="V12734" s="8">
        <v>0.5</v>
      </c>
      <c r="W12734" s="8">
        <v>0.4</v>
      </c>
      <c r="Y12734" s="8" t="s">
        <v>4165</v>
      </c>
      <c r="Z12734" s="8" t="s">
        <v>4166</v>
      </c>
    </row>
    <row r="12735" spans="1:26" x14ac:dyDescent="0.2">
      <c r="A12735" s="8">
        <v>12734</v>
      </c>
      <c r="B12735" s="8" t="s">
        <v>53361</v>
      </c>
      <c r="C12735" s="8" t="s">
        <v>53361</v>
      </c>
      <c r="G12735" s="8">
        <v>20</v>
      </c>
      <c r="H12735" s="8" t="s">
        <v>21</v>
      </c>
      <c r="I12735" s="8" t="s">
        <v>22</v>
      </c>
      <c r="J12735" s="8" t="s">
        <v>22</v>
      </c>
      <c r="K12735" s="8" t="s">
        <v>218</v>
      </c>
      <c r="L12735" s="8" t="s">
        <v>29246</v>
      </c>
      <c r="M12735" s="8" t="s">
        <v>29247</v>
      </c>
      <c r="N12735" s="8" t="s">
        <v>53362</v>
      </c>
      <c r="O12735" s="8">
        <f>19+46/60+58.8/3600</f>
        <v>19.782999999999998</v>
      </c>
      <c r="P12735" s="8" t="s">
        <v>53363</v>
      </c>
      <c r="Q12735" s="8">
        <f>-(51+50/60+48/3600)</f>
        <v>-51.846666666666671</v>
      </c>
      <c r="R12735" s="8">
        <v>13.9</v>
      </c>
      <c r="S12735" s="8">
        <v>14.7</v>
      </c>
      <c r="T12735" s="8">
        <v>0.8</v>
      </c>
      <c r="U12735" s="8">
        <v>13.1</v>
      </c>
      <c r="V12735" s="8">
        <v>0.9</v>
      </c>
      <c r="W12735" s="8">
        <v>0.6</v>
      </c>
      <c r="X12735" s="8">
        <v>175</v>
      </c>
      <c r="Y12735" s="8" t="s">
        <v>46249</v>
      </c>
      <c r="Z12735" s="8" t="s">
        <v>46250</v>
      </c>
    </row>
    <row r="12736" spans="1:26" x14ac:dyDescent="0.2">
      <c r="A12736" s="8">
        <v>12735</v>
      </c>
      <c r="B12736" s="8" t="s">
        <v>53364</v>
      </c>
      <c r="C12736" s="8" t="s">
        <v>53364</v>
      </c>
      <c r="G12736" s="8">
        <v>20</v>
      </c>
      <c r="H12736" s="8" t="s">
        <v>21</v>
      </c>
      <c r="I12736" s="8" t="s">
        <v>22</v>
      </c>
      <c r="J12736" s="8" t="s">
        <v>57</v>
      </c>
      <c r="K12736" s="8" t="s">
        <v>107</v>
      </c>
      <c r="L12736" s="8" t="s">
        <v>28576</v>
      </c>
      <c r="M12736" s="8" t="s">
        <v>28577</v>
      </c>
      <c r="N12736" s="8" t="s">
        <v>30291</v>
      </c>
      <c r="O12736" s="8">
        <f>19+44/60+56.6/3600</f>
        <v>19.749055555555557</v>
      </c>
      <c r="P12736" s="8" t="s">
        <v>30292</v>
      </c>
      <c r="Q12736" s="8">
        <f>-(14+48/60+23/3600)</f>
        <v>-14.80638888888889</v>
      </c>
      <c r="R12736" s="8">
        <v>8.6999999999999993</v>
      </c>
      <c r="S12736" s="8">
        <v>9.3000000000000007</v>
      </c>
      <c r="T12736" s="8">
        <v>0.6</v>
      </c>
      <c r="U12736" s="8">
        <v>14.4</v>
      </c>
      <c r="V12736" s="8">
        <v>15.4</v>
      </c>
      <c r="W12736" s="8">
        <v>14.2</v>
      </c>
      <c r="X12736" s="8">
        <v>5</v>
      </c>
      <c r="Y12736" s="8" t="s">
        <v>53365</v>
      </c>
      <c r="Z12736" s="8" t="s">
        <v>53366</v>
      </c>
    </row>
    <row r="12737" spans="1:26" x14ac:dyDescent="0.2">
      <c r="A12737" s="8">
        <v>12736</v>
      </c>
      <c r="B12737" s="8" t="s">
        <v>53367</v>
      </c>
      <c r="C12737" s="8" t="s">
        <v>53367</v>
      </c>
      <c r="G12737" s="8">
        <v>20</v>
      </c>
      <c r="H12737" s="8" t="s">
        <v>21</v>
      </c>
      <c r="I12737" s="8" t="s">
        <v>22</v>
      </c>
      <c r="J12737" s="8" t="s">
        <v>22</v>
      </c>
      <c r="K12737" s="8" t="s">
        <v>23</v>
      </c>
      <c r="L12737" s="8" t="s">
        <v>28435</v>
      </c>
      <c r="M12737" s="8" t="s">
        <v>28436</v>
      </c>
      <c r="N12737" s="8" t="s">
        <v>53368</v>
      </c>
      <c r="O12737" s="8">
        <f>19+49/60+5/3600</f>
        <v>19.818055555555556</v>
      </c>
      <c r="P12737" s="8" t="s">
        <v>53369</v>
      </c>
      <c r="Q12737" s="8">
        <f>-(58+58/60+53/3600)</f>
        <v>-58.981388888888894</v>
      </c>
      <c r="R12737" s="8">
        <v>14.6</v>
      </c>
      <c r="S12737" s="8">
        <v>15.4</v>
      </c>
      <c r="T12737" s="8">
        <v>0.8</v>
      </c>
      <c r="U12737" s="8">
        <v>13.8</v>
      </c>
      <c r="V12737" s="8">
        <v>0.9</v>
      </c>
      <c r="W12737" s="8">
        <v>0.6</v>
      </c>
      <c r="X12737" s="8">
        <v>7</v>
      </c>
      <c r="Y12737" s="8" t="s">
        <v>53370</v>
      </c>
      <c r="Z12737" s="8" t="s">
        <v>53371</v>
      </c>
    </row>
    <row r="12738" spans="1:26" x14ac:dyDescent="0.2">
      <c r="A12738" s="8">
        <v>12737</v>
      </c>
      <c r="B12738" s="8" t="s">
        <v>53372</v>
      </c>
      <c r="C12738" s="8" t="s">
        <v>53372</v>
      </c>
      <c r="G12738" s="8">
        <v>20</v>
      </c>
      <c r="H12738" s="8" t="s">
        <v>21</v>
      </c>
      <c r="I12738" s="8" t="s">
        <v>22</v>
      </c>
      <c r="J12738" s="8" t="s">
        <v>22</v>
      </c>
      <c r="K12738" s="8" t="s">
        <v>218</v>
      </c>
      <c r="L12738" s="8" t="s">
        <v>29246</v>
      </c>
      <c r="M12738" s="8" t="s">
        <v>29247</v>
      </c>
      <c r="N12738" s="8" t="s">
        <v>53373</v>
      </c>
      <c r="O12738" s="8">
        <f>19+49/60+19.6/3600</f>
        <v>19.822111111111109</v>
      </c>
      <c r="P12738" s="8" t="s">
        <v>53374</v>
      </c>
      <c r="Q12738" s="8">
        <f>-(51+52/60+4/3600)</f>
        <v>-51.867777777777775</v>
      </c>
      <c r="R12738" s="8">
        <v>14.6</v>
      </c>
      <c r="S12738" s="8">
        <v>15.4</v>
      </c>
      <c r="T12738" s="8">
        <v>0.8</v>
      </c>
      <c r="U12738" s="8">
        <v>13.1</v>
      </c>
      <c r="V12738" s="8">
        <v>0.8</v>
      </c>
      <c r="W12738" s="8">
        <v>0.5</v>
      </c>
      <c r="X12738" s="8">
        <v>117</v>
      </c>
      <c r="Y12738" s="8" t="s">
        <v>46466</v>
      </c>
      <c r="Z12738" s="8" t="s">
        <v>46467</v>
      </c>
    </row>
    <row r="12739" spans="1:26" x14ac:dyDescent="0.2">
      <c r="A12739" s="8">
        <v>12738</v>
      </c>
      <c r="B12739" s="8" t="s">
        <v>53375</v>
      </c>
      <c r="C12739" s="8" t="s">
        <v>53375</v>
      </c>
      <c r="G12739" s="8">
        <v>20</v>
      </c>
      <c r="H12739" s="8" t="s">
        <v>21</v>
      </c>
      <c r="I12739" s="8" t="s">
        <v>329</v>
      </c>
      <c r="J12739" s="8" t="s">
        <v>329</v>
      </c>
      <c r="K12739" s="8" t="s">
        <v>329</v>
      </c>
      <c r="L12739" s="8" t="s">
        <v>28576</v>
      </c>
      <c r="M12739" s="8" t="s">
        <v>28577</v>
      </c>
      <c r="N12739" s="8" t="s">
        <v>53376</v>
      </c>
      <c r="O12739" s="8">
        <f>19+47/60+46/3600</f>
        <v>19.796111111111113</v>
      </c>
      <c r="P12739" s="8" t="s">
        <v>53377</v>
      </c>
      <c r="Q12739" s="8">
        <f>-(33+19/60+0/3600)</f>
        <v>-33.31666666666667</v>
      </c>
      <c r="R12739" s="8">
        <v>99</v>
      </c>
      <c r="S12739" s="8">
        <v>99</v>
      </c>
      <c r="T12739" s="8">
        <v>99</v>
      </c>
      <c r="U12739" s="8">
        <v>99</v>
      </c>
      <c r="Y12739" s="8" t="s">
        <v>53378</v>
      </c>
      <c r="Z12739" s="8" t="s">
        <v>53379</v>
      </c>
    </row>
    <row r="12740" spans="1:26" x14ac:dyDescent="0.2">
      <c r="A12740" s="8">
        <v>12739</v>
      </c>
      <c r="B12740" s="8" t="s">
        <v>53380</v>
      </c>
      <c r="C12740" s="8" t="s">
        <v>53380</v>
      </c>
      <c r="G12740" s="8">
        <v>20</v>
      </c>
      <c r="H12740" s="8" t="s">
        <v>21</v>
      </c>
      <c r="I12740" s="8" t="s">
        <v>22</v>
      </c>
      <c r="J12740" s="8" t="s">
        <v>22</v>
      </c>
      <c r="K12740" s="8" t="s">
        <v>53101</v>
      </c>
      <c r="L12740" s="8" t="s">
        <v>28435</v>
      </c>
      <c r="M12740" s="8" t="s">
        <v>28436</v>
      </c>
      <c r="N12740" s="8" t="s">
        <v>53381</v>
      </c>
      <c r="O12740" s="8">
        <f>19+54/60+26.3/3600</f>
        <v>19.907305555555553</v>
      </c>
      <c r="P12740" s="8" t="s">
        <v>53382</v>
      </c>
      <c r="Q12740" s="8">
        <f>-(70+35/60+23/3600)</f>
        <v>-70.589722222222221</v>
      </c>
      <c r="R12740" s="8">
        <v>13.7</v>
      </c>
      <c r="S12740" s="8">
        <v>14.6</v>
      </c>
      <c r="T12740" s="8">
        <v>0.9</v>
      </c>
      <c r="U12740" s="8">
        <v>13.2</v>
      </c>
      <c r="V12740" s="8">
        <v>1</v>
      </c>
      <c r="W12740" s="8">
        <v>0.7</v>
      </c>
      <c r="X12740" s="8">
        <v>9</v>
      </c>
      <c r="Y12740" s="8" t="s">
        <v>53383</v>
      </c>
      <c r="Z12740" s="8" t="s">
        <v>53384</v>
      </c>
    </row>
    <row r="12741" spans="1:26" x14ac:dyDescent="0.2">
      <c r="A12741" s="8">
        <v>12740</v>
      </c>
      <c r="B12741" s="8" t="s">
        <v>53385</v>
      </c>
      <c r="C12741" s="8" t="s">
        <v>53385</v>
      </c>
      <c r="E12741" s="8">
        <v>1</v>
      </c>
      <c r="G12741" s="8">
        <v>20</v>
      </c>
      <c r="H12741" s="8" t="s">
        <v>21</v>
      </c>
      <c r="I12741" s="8" t="s">
        <v>22</v>
      </c>
      <c r="J12741" s="8" t="s">
        <v>22</v>
      </c>
      <c r="K12741" s="8" t="s">
        <v>42046</v>
      </c>
      <c r="L12741" s="8" t="s">
        <v>29246</v>
      </c>
      <c r="M12741" s="8" t="s">
        <v>29247</v>
      </c>
      <c r="N12741" s="8" t="s">
        <v>53386</v>
      </c>
      <c r="O12741" s="8">
        <f>19+50/60+22/3600</f>
        <v>19.839444444444442</v>
      </c>
      <c r="P12741" s="8" t="s">
        <v>53387</v>
      </c>
      <c r="Q12741" s="8">
        <f>-(51+20/60+45/3600)</f>
        <v>-51.345833333333339</v>
      </c>
      <c r="R12741" s="8">
        <v>15.4</v>
      </c>
      <c r="S12741" s="8">
        <v>16.2</v>
      </c>
      <c r="T12741" s="8">
        <v>0.8</v>
      </c>
      <c r="U12741" s="8">
        <v>13.1</v>
      </c>
      <c r="V12741" s="8">
        <v>0.7</v>
      </c>
      <c r="W12741" s="8">
        <v>0.2</v>
      </c>
      <c r="X12741" s="8">
        <v>177</v>
      </c>
      <c r="Y12741" s="8" t="s">
        <v>46249</v>
      </c>
      <c r="Z12741" s="8" t="s">
        <v>46250</v>
      </c>
    </row>
    <row r="12742" spans="1:26" x14ac:dyDescent="0.2">
      <c r="A12742" s="8">
        <v>12741</v>
      </c>
      <c r="B12742" s="8" t="s">
        <v>53388</v>
      </c>
      <c r="C12742" s="8" t="s">
        <v>53388</v>
      </c>
      <c r="G12742" s="8">
        <v>20</v>
      </c>
      <c r="H12742" s="8" t="s">
        <v>21</v>
      </c>
      <c r="I12742" s="8" t="s">
        <v>22</v>
      </c>
      <c r="J12742" s="8" t="s">
        <v>22</v>
      </c>
      <c r="K12742" s="8" t="s">
        <v>160</v>
      </c>
      <c r="L12742" s="8" t="s">
        <v>28435</v>
      </c>
      <c r="M12742" s="8" t="s">
        <v>28436</v>
      </c>
      <c r="N12742" s="8" t="s">
        <v>53389</v>
      </c>
      <c r="O12742" s="8">
        <f>19+54/60+23.5/3600</f>
        <v>19.906527777777775</v>
      </c>
      <c r="P12742" s="8" t="s">
        <v>53390</v>
      </c>
      <c r="Q12742" s="8">
        <f>-(58+42/60+48/3600)</f>
        <v>-58.713333333333338</v>
      </c>
      <c r="R12742" s="8">
        <v>11.5</v>
      </c>
      <c r="S12742" s="8">
        <v>12.2</v>
      </c>
      <c r="T12742" s="8">
        <v>0.7</v>
      </c>
      <c r="U12742" s="8">
        <v>13.9</v>
      </c>
      <c r="V12742" s="8">
        <v>3.8</v>
      </c>
      <c r="W12742" s="8">
        <v>2.7</v>
      </c>
      <c r="X12742" s="8">
        <v>126</v>
      </c>
      <c r="Y12742" s="8" t="s">
        <v>53391</v>
      </c>
      <c r="Z12742" s="8" t="s">
        <v>53392</v>
      </c>
    </row>
    <row r="12743" spans="1:26" x14ac:dyDescent="0.2">
      <c r="A12743" s="8">
        <v>12742</v>
      </c>
      <c r="B12743" s="8" t="s">
        <v>53393</v>
      </c>
      <c r="C12743" s="8" t="s">
        <v>53393</v>
      </c>
      <c r="G12743" s="8">
        <v>20</v>
      </c>
      <c r="H12743" s="8" t="s">
        <v>21</v>
      </c>
      <c r="I12743" s="8" t="s">
        <v>22</v>
      </c>
      <c r="J12743" s="8" t="s">
        <v>22</v>
      </c>
      <c r="K12743" s="8" t="s">
        <v>42046</v>
      </c>
      <c r="L12743" s="8" t="s">
        <v>29246</v>
      </c>
      <c r="M12743" s="8" t="s">
        <v>29247</v>
      </c>
      <c r="N12743" s="8" t="s">
        <v>53394</v>
      </c>
      <c r="O12743" s="8">
        <f>19+54/60+24.1/3600</f>
        <v>19.906694444444444</v>
      </c>
      <c r="P12743" s="8" t="s">
        <v>53395</v>
      </c>
      <c r="Q12743" s="8">
        <f>-(56+22/60+46/3600)</f>
        <v>-56.379444444444445</v>
      </c>
      <c r="R12743" s="8">
        <v>15.3</v>
      </c>
      <c r="S12743" s="8">
        <v>16.100000000000001</v>
      </c>
      <c r="T12743" s="8">
        <v>0.8</v>
      </c>
      <c r="U12743" s="8">
        <v>13.5</v>
      </c>
      <c r="V12743" s="8">
        <v>0.7</v>
      </c>
      <c r="W12743" s="8">
        <v>0.3</v>
      </c>
      <c r="X12743" s="8">
        <v>16</v>
      </c>
      <c r="Y12743" s="8" t="s">
        <v>53396</v>
      </c>
      <c r="Z12743" s="8" t="s">
        <v>53397</v>
      </c>
    </row>
    <row r="12744" spans="1:26" x14ac:dyDescent="0.2">
      <c r="A12744" s="8">
        <v>12743</v>
      </c>
      <c r="B12744" s="8" t="s">
        <v>53398</v>
      </c>
      <c r="C12744" s="8" t="s">
        <v>53398</v>
      </c>
      <c r="G12744" s="8">
        <v>20</v>
      </c>
      <c r="H12744" s="8" t="s">
        <v>21</v>
      </c>
      <c r="I12744" s="8" t="s">
        <v>22</v>
      </c>
      <c r="J12744" s="8" t="s">
        <v>22</v>
      </c>
      <c r="K12744" s="8" t="s">
        <v>23</v>
      </c>
      <c r="L12744" s="8" t="s">
        <v>28435</v>
      </c>
      <c r="M12744" s="8" t="s">
        <v>28436</v>
      </c>
      <c r="N12744" s="8" t="s">
        <v>53399</v>
      </c>
      <c r="O12744" s="8">
        <f>19+58/60+13.4/3600</f>
        <v>19.970388888888888</v>
      </c>
      <c r="P12744" s="8" t="s">
        <v>53400</v>
      </c>
      <c r="Q12744" s="8">
        <f>-(70+27/60+12/3600)</f>
        <v>-70.453333333333333</v>
      </c>
      <c r="R12744" s="8">
        <v>14.3</v>
      </c>
      <c r="S12744" s="8">
        <v>15.1</v>
      </c>
      <c r="T12744" s="8">
        <v>0.8</v>
      </c>
      <c r="U12744" s="8">
        <v>13.6</v>
      </c>
      <c r="V12744" s="8">
        <v>1.4</v>
      </c>
      <c r="W12744" s="8">
        <v>0.4</v>
      </c>
      <c r="X12744" s="8">
        <v>177</v>
      </c>
      <c r="Y12744" s="8" t="s">
        <v>53401</v>
      </c>
      <c r="Z12744" s="8" t="s">
        <v>53402</v>
      </c>
    </row>
    <row r="12745" spans="1:26" x14ac:dyDescent="0.2">
      <c r="A12745" s="8">
        <v>12744</v>
      </c>
      <c r="B12745" s="8" t="s">
        <v>53403</v>
      </c>
      <c r="C12745" s="8" t="s">
        <v>53403</v>
      </c>
      <c r="G12745" s="8">
        <v>20</v>
      </c>
      <c r="H12745" s="8" t="s">
        <v>21</v>
      </c>
      <c r="I12745" s="8" t="s">
        <v>22</v>
      </c>
      <c r="J12745" s="8" t="s">
        <v>22</v>
      </c>
      <c r="K12745" s="8" t="s">
        <v>52772</v>
      </c>
      <c r="L12745" s="8" t="s">
        <v>28435</v>
      </c>
      <c r="M12745" s="8" t="s">
        <v>28436</v>
      </c>
      <c r="N12745" s="8" t="s">
        <v>53404</v>
      </c>
      <c r="O12745" s="8">
        <f>19+58/60+39/3600</f>
        <v>19.977499999999999</v>
      </c>
      <c r="P12745" s="8" t="s">
        <v>53405</v>
      </c>
      <c r="Q12745" s="8">
        <f>-(70+11/60+4/3600)</f>
        <v>-70.184444444444452</v>
      </c>
      <c r="R12745" s="8">
        <v>14.1</v>
      </c>
      <c r="S12745" s="8">
        <v>15</v>
      </c>
      <c r="T12745" s="8">
        <v>0.9</v>
      </c>
      <c r="U12745" s="8">
        <v>13.7</v>
      </c>
      <c r="V12745" s="8">
        <v>1</v>
      </c>
      <c r="W12745" s="8">
        <v>0.8</v>
      </c>
      <c r="X12745" s="8">
        <v>62</v>
      </c>
      <c r="Y12745" s="8" t="s">
        <v>170</v>
      </c>
      <c r="Z12745" s="8" t="s">
        <v>171</v>
      </c>
    </row>
    <row r="12746" spans="1:26" x14ac:dyDescent="0.2">
      <c r="A12746" s="8">
        <v>12745</v>
      </c>
      <c r="B12746" s="8" t="s">
        <v>53406</v>
      </c>
      <c r="C12746" s="8" t="s">
        <v>53406</v>
      </c>
      <c r="G12746" s="8">
        <v>20</v>
      </c>
      <c r="H12746" s="8" t="s">
        <v>21</v>
      </c>
      <c r="I12746" s="8" t="s">
        <v>22</v>
      </c>
      <c r="J12746" s="8" t="s">
        <v>22</v>
      </c>
      <c r="K12746" s="8" t="s">
        <v>52772</v>
      </c>
      <c r="L12746" s="8" t="s">
        <v>28435</v>
      </c>
      <c r="M12746" s="8" t="s">
        <v>28436</v>
      </c>
      <c r="N12746" s="8" t="s">
        <v>53407</v>
      </c>
      <c r="O12746" s="8">
        <f>19+56/60+6.2/3600</f>
        <v>19.935055555555557</v>
      </c>
      <c r="P12746" s="8" t="s">
        <v>53408</v>
      </c>
      <c r="Q12746" s="8">
        <f>-(61+13/60+15/3600)</f>
        <v>-61.220833333333339</v>
      </c>
      <c r="R12746" s="8">
        <v>14.7</v>
      </c>
      <c r="S12746" s="8">
        <v>15.6</v>
      </c>
      <c r="T12746" s="8">
        <v>0.9</v>
      </c>
      <c r="U12746" s="8">
        <v>13.6</v>
      </c>
      <c r="V12746" s="8">
        <v>1.4</v>
      </c>
      <c r="W12746" s="8">
        <v>0.3</v>
      </c>
      <c r="X12746" s="8">
        <v>117</v>
      </c>
      <c r="Y12746" s="8" t="s">
        <v>53409</v>
      </c>
      <c r="Z12746" s="8" t="s">
        <v>53410</v>
      </c>
    </row>
    <row r="12747" spans="1:26" x14ac:dyDescent="0.2">
      <c r="A12747" s="8">
        <v>12746</v>
      </c>
      <c r="B12747" s="8" t="s">
        <v>53411</v>
      </c>
      <c r="C12747" s="8" t="s">
        <v>53411</v>
      </c>
      <c r="G12747" s="8">
        <v>20</v>
      </c>
      <c r="H12747" s="8" t="s">
        <v>21</v>
      </c>
      <c r="I12747" s="8" t="s">
        <v>22</v>
      </c>
      <c r="J12747" s="8" t="s">
        <v>22</v>
      </c>
      <c r="K12747" s="8" t="s">
        <v>118</v>
      </c>
      <c r="L12747" s="8" t="s">
        <v>28435</v>
      </c>
      <c r="M12747" s="8" t="s">
        <v>28436</v>
      </c>
      <c r="N12747" s="8" t="s">
        <v>53412</v>
      </c>
      <c r="O12747" s="8">
        <f>19+56/60+47.7/3600</f>
        <v>19.946583333333333</v>
      </c>
      <c r="P12747" s="8" t="s">
        <v>53413</v>
      </c>
      <c r="Q12747" s="8">
        <f>-(60+28/60+7/3600)</f>
        <v>-60.468611111111116</v>
      </c>
      <c r="R12747" s="8">
        <v>12</v>
      </c>
      <c r="S12747" s="8">
        <v>13</v>
      </c>
      <c r="T12747" s="8">
        <v>1</v>
      </c>
      <c r="U12747" s="8">
        <v>12.5</v>
      </c>
      <c r="V12747" s="8">
        <v>1.6</v>
      </c>
      <c r="W12747" s="8">
        <v>0.9</v>
      </c>
      <c r="X12747" s="8">
        <v>69</v>
      </c>
      <c r="Y12747" s="8" t="s">
        <v>53414</v>
      </c>
      <c r="Z12747" s="8" t="s">
        <v>53415</v>
      </c>
    </row>
    <row r="12748" spans="1:26" x14ac:dyDescent="0.2">
      <c r="A12748" s="8">
        <v>12747</v>
      </c>
      <c r="B12748" s="8" t="s">
        <v>53416</v>
      </c>
      <c r="C12748" s="8" t="s">
        <v>53416</v>
      </c>
      <c r="G12748" s="8">
        <v>20</v>
      </c>
      <c r="H12748" s="8" t="s">
        <v>21</v>
      </c>
      <c r="I12748" s="8" t="s">
        <v>22</v>
      </c>
      <c r="J12748" s="8" t="s">
        <v>22</v>
      </c>
      <c r="K12748" s="8" t="s">
        <v>42046</v>
      </c>
      <c r="L12748" s="8" t="s">
        <v>29246</v>
      </c>
      <c r="M12748" s="8" t="s">
        <v>29247</v>
      </c>
      <c r="N12748" s="8" t="s">
        <v>53417</v>
      </c>
      <c r="O12748" s="8">
        <f>19+56/60+13.1/3600</f>
        <v>19.936972222222224</v>
      </c>
      <c r="P12748" s="8" t="s">
        <v>53418</v>
      </c>
      <c r="Q12748" s="8">
        <f>-(52+27/60+13/3600)</f>
        <v>-52.453611111111115</v>
      </c>
      <c r="R12748" s="8">
        <v>15.3</v>
      </c>
      <c r="S12748" s="8">
        <v>16.100000000000001</v>
      </c>
      <c r="T12748" s="8">
        <v>0.8</v>
      </c>
      <c r="U12748" s="8">
        <v>13.4</v>
      </c>
      <c r="V12748" s="8">
        <v>0.5</v>
      </c>
      <c r="W12748" s="8">
        <v>0.4</v>
      </c>
      <c r="Y12748" s="8" t="s">
        <v>46466</v>
      </c>
      <c r="Z12748" s="8" t="s">
        <v>46467</v>
      </c>
    </row>
    <row r="12749" spans="1:26" x14ac:dyDescent="0.2">
      <c r="A12749" s="8">
        <v>12748</v>
      </c>
      <c r="B12749" s="8" t="s">
        <v>53419</v>
      </c>
      <c r="C12749" s="8" t="s">
        <v>53419</v>
      </c>
      <c r="G12749" s="8">
        <v>20</v>
      </c>
      <c r="H12749" s="8" t="s">
        <v>21</v>
      </c>
      <c r="I12749" s="8" t="s">
        <v>22</v>
      </c>
      <c r="J12749" s="8" t="s">
        <v>22</v>
      </c>
      <c r="K12749" s="8" t="s">
        <v>53101</v>
      </c>
      <c r="L12749" s="8" t="s">
        <v>29246</v>
      </c>
      <c r="M12749" s="8" t="s">
        <v>29247</v>
      </c>
      <c r="N12749" s="8" t="s">
        <v>53420</v>
      </c>
      <c r="O12749" s="8">
        <f>19+56/60+56.6/3600</f>
        <v>19.949055555555557</v>
      </c>
      <c r="P12749" s="8" t="s">
        <v>53421</v>
      </c>
      <c r="Q12749" s="8">
        <f>-(55+47/60+28/3600)</f>
        <v>-55.791111111111107</v>
      </c>
      <c r="R12749" s="8">
        <v>14.1</v>
      </c>
      <c r="S12749" s="8">
        <v>15</v>
      </c>
      <c r="T12749" s="8">
        <v>0.9</v>
      </c>
      <c r="U12749" s="8">
        <v>12.8</v>
      </c>
      <c r="V12749" s="8">
        <v>0.6</v>
      </c>
      <c r="W12749" s="8">
        <v>0.6</v>
      </c>
      <c r="Y12749" s="8" t="s">
        <v>50705</v>
      </c>
      <c r="Z12749" s="8" t="s">
        <v>50706</v>
      </c>
    </row>
    <row r="12750" spans="1:26" x14ac:dyDescent="0.2">
      <c r="A12750" s="8">
        <v>12749</v>
      </c>
      <c r="B12750" s="8" t="s">
        <v>53422</v>
      </c>
      <c r="C12750" s="8" t="s">
        <v>53422</v>
      </c>
      <c r="G12750" s="8">
        <v>20</v>
      </c>
      <c r="H12750" s="8" t="s">
        <v>21</v>
      </c>
      <c r="I12750" s="8" t="s">
        <v>22</v>
      </c>
      <c r="J12750" s="8" t="s">
        <v>22</v>
      </c>
      <c r="K12750" s="8" t="s">
        <v>396</v>
      </c>
      <c r="L12750" s="8" t="s">
        <v>29246</v>
      </c>
      <c r="M12750" s="8" t="s">
        <v>29247</v>
      </c>
      <c r="N12750" s="8" t="s">
        <v>53423</v>
      </c>
      <c r="O12750" s="8">
        <f>19+56/60+45.4/3600</f>
        <v>19.945944444444443</v>
      </c>
      <c r="P12750" s="8" t="s">
        <v>53424</v>
      </c>
      <c r="Q12750" s="8">
        <f>-(50+3/60+19/3600)</f>
        <v>-50.055277777777775</v>
      </c>
      <c r="R12750" s="8">
        <v>13.8</v>
      </c>
      <c r="S12750" s="8">
        <v>14.6</v>
      </c>
      <c r="T12750" s="8">
        <v>0.8</v>
      </c>
      <c r="U12750" s="8">
        <v>12.5</v>
      </c>
      <c r="V12750" s="8">
        <v>0.9</v>
      </c>
      <c r="W12750" s="8">
        <v>0.4</v>
      </c>
      <c r="X12750" s="8">
        <v>83</v>
      </c>
      <c r="Y12750" s="8" t="s">
        <v>46249</v>
      </c>
      <c r="Z12750" s="8" t="s">
        <v>46250</v>
      </c>
    </row>
    <row r="12751" spans="1:26" x14ac:dyDescent="0.2">
      <c r="A12751" s="8">
        <v>12750</v>
      </c>
      <c r="B12751" s="8" t="s">
        <v>53425</v>
      </c>
      <c r="C12751" s="8" t="s">
        <v>53425</v>
      </c>
      <c r="G12751" s="8">
        <v>20</v>
      </c>
      <c r="H12751" s="8" t="s">
        <v>21</v>
      </c>
      <c r="I12751" s="8" t="s">
        <v>22</v>
      </c>
      <c r="J12751" s="8" t="s">
        <v>22</v>
      </c>
      <c r="K12751" s="8" t="s">
        <v>1445</v>
      </c>
      <c r="L12751" s="8" t="s">
        <v>28435</v>
      </c>
      <c r="M12751" s="8" t="s">
        <v>28436</v>
      </c>
      <c r="N12751" s="8" t="s">
        <v>53426</v>
      </c>
      <c r="O12751" s="8">
        <f>19+57/60+47.2/3600</f>
        <v>19.963111111111111</v>
      </c>
      <c r="P12751" s="8" t="s">
        <v>53427</v>
      </c>
      <c r="Q12751" s="8">
        <f>-(56+51/60+48/3600)</f>
        <v>-56.863333333333337</v>
      </c>
      <c r="R12751" s="8">
        <v>14.8</v>
      </c>
      <c r="S12751" s="8">
        <v>15.6</v>
      </c>
      <c r="T12751" s="8">
        <v>0.8</v>
      </c>
      <c r="U12751" s="8">
        <v>12.9</v>
      </c>
      <c r="V12751" s="8">
        <v>0.5</v>
      </c>
      <c r="W12751" s="8">
        <v>0.4</v>
      </c>
      <c r="X12751" s="8">
        <v>125</v>
      </c>
      <c r="Y12751" s="8" t="s">
        <v>53428</v>
      </c>
      <c r="Z12751" s="8" t="s">
        <v>53429</v>
      </c>
    </row>
    <row r="12752" spans="1:26" x14ac:dyDescent="0.2">
      <c r="A12752" s="8">
        <v>12751</v>
      </c>
      <c r="B12752" s="8" t="s">
        <v>53430</v>
      </c>
      <c r="C12752" s="8" t="s">
        <v>53430</v>
      </c>
      <c r="G12752" s="8">
        <v>20</v>
      </c>
      <c r="H12752" s="8" t="s">
        <v>21</v>
      </c>
      <c r="I12752" s="8" t="s">
        <v>22</v>
      </c>
      <c r="J12752" s="8" t="s">
        <v>22</v>
      </c>
      <c r="K12752" s="8" t="s">
        <v>37</v>
      </c>
      <c r="L12752" s="8" t="s">
        <v>29246</v>
      </c>
      <c r="M12752" s="8" t="s">
        <v>29247</v>
      </c>
      <c r="N12752" s="8" t="s">
        <v>53431</v>
      </c>
      <c r="O12752" s="8">
        <f>19+57/60+41.7/3600</f>
        <v>19.961583333333333</v>
      </c>
      <c r="P12752" s="8" t="s">
        <v>53432</v>
      </c>
      <c r="Q12752" s="8">
        <f>-(51+59/60+11/3600)</f>
        <v>-51.986388888888889</v>
      </c>
      <c r="R12752" s="8">
        <v>14.7</v>
      </c>
      <c r="S12752" s="8">
        <v>15.7</v>
      </c>
      <c r="T12752" s="8">
        <v>1</v>
      </c>
      <c r="U12752" s="8">
        <v>12.8</v>
      </c>
      <c r="V12752" s="8">
        <v>0.6</v>
      </c>
      <c r="W12752" s="8">
        <v>0.5</v>
      </c>
      <c r="X12752" s="8">
        <v>135</v>
      </c>
      <c r="Y12752" s="8" t="s">
        <v>46466</v>
      </c>
      <c r="Z12752" s="8" t="s">
        <v>46467</v>
      </c>
    </row>
    <row r="12753" spans="1:26" x14ac:dyDescent="0.2">
      <c r="A12753" s="8">
        <v>12752</v>
      </c>
      <c r="B12753" s="8" t="s">
        <v>53433</v>
      </c>
      <c r="C12753" s="8" t="s">
        <v>53433</v>
      </c>
      <c r="G12753" s="8">
        <v>20</v>
      </c>
      <c r="H12753" s="8" t="s">
        <v>21</v>
      </c>
      <c r="I12753" s="8" t="s">
        <v>22</v>
      </c>
      <c r="J12753" s="8" t="s">
        <v>22</v>
      </c>
      <c r="K12753" s="8" t="s">
        <v>160</v>
      </c>
      <c r="L12753" s="8" t="s">
        <v>11890</v>
      </c>
      <c r="M12753" s="8" t="s">
        <v>11891</v>
      </c>
      <c r="N12753" s="8" t="s">
        <v>30443</v>
      </c>
      <c r="O12753" s="8">
        <f>20+6/60+49.7/3600</f>
        <v>20.113805555555558</v>
      </c>
      <c r="P12753" s="8" t="s">
        <v>53434</v>
      </c>
      <c r="Q12753" s="8">
        <f>-(77+21/60+27/3600)</f>
        <v>-77.357499999999987</v>
      </c>
      <c r="R12753" s="8">
        <v>14.8</v>
      </c>
      <c r="S12753" s="8">
        <v>15.5</v>
      </c>
      <c r="T12753" s="8">
        <v>0.7</v>
      </c>
      <c r="U12753" s="8">
        <v>13.8</v>
      </c>
      <c r="V12753" s="8">
        <v>1.1000000000000001</v>
      </c>
      <c r="W12753" s="8">
        <v>0.4</v>
      </c>
      <c r="X12753" s="8">
        <v>41</v>
      </c>
      <c r="Y12753" s="8" t="s">
        <v>53435</v>
      </c>
      <c r="Z12753" s="8" t="s">
        <v>53436</v>
      </c>
    </row>
    <row r="12754" spans="1:26" x14ac:dyDescent="0.2">
      <c r="A12754" s="8">
        <v>12753</v>
      </c>
      <c r="B12754" s="8" t="s">
        <v>53437</v>
      </c>
      <c r="C12754" s="8" t="s">
        <v>53437</v>
      </c>
      <c r="G12754" s="8">
        <v>20</v>
      </c>
      <c r="H12754" s="8" t="s">
        <v>21</v>
      </c>
      <c r="I12754" s="8" t="s">
        <v>22</v>
      </c>
      <c r="J12754" s="8" t="s">
        <v>22</v>
      </c>
      <c r="K12754" s="8" t="s">
        <v>58</v>
      </c>
      <c r="L12754" s="8" t="s">
        <v>28576</v>
      </c>
      <c r="M12754" s="8" t="s">
        <v>28577</v>
      </c>
      <c r="N12754" s="8" t="s">
        <v>53438</v>
      </c>
      <c r="O12754" s="8">
        <f>19+56/60+47.5/3600</f>
        <v>19.946527777777778</v>
      </c>
      <c r="P12754" s="8" t="s">
        <v>53439</v>
      </c>
      <c r="Q12754" s="8">
        <f>-(37+19/60+43/3600)</f>
        <v>-37.328611111111115</v>
      </c>
      <c r="R12754" s="8">
        <v>13</v>
      </c>
      <c r="S12754" s="8">
        <v>14</v>
      </c>
      <c r="T12754" s="8">
        <v>1</v>
      </c>
      <c r="U12754" s="8">
        <v>12.8</v>
      </c>
      <c r="V12754" s="8">
        <v>1.1000000000000001</v>
      </c>
      <c r="W12754" s="8">
        <v>0.7</v>
      </c>
      <c r="X12754" s="8">
        <v>130</v>
      </c>
      <c r="Y12754" s="8" t="s">
        <v>53440</v>
      </c>
      <c r="Z12754" s="8" t="s">
        <v>53441</v>
      </c>
    </row>
    <row r="12755" spans="1:26" x14ac:dyDescent="0.2">
      <c r="A12755" s="8">
        <v>12754</v>
      </c>
      <c r="B12755" s="8" t="s">
        <v>53442</v>
      </c>
      <c r="C12755" s="8" t="s">
        <v>53442</v>
      </c>
      <c r="G12755" s="8">
        <v>20</v>
      </c>
      <c r="H12755" s="8" t="s">
        <v>21</v>
      </c>
      <c r="I12755" s="8" t="s">
        <v>22</v>
      </c>
      <c r="J12755" s="8" t="s">
        <v>22</v>
      </c>
      <c r="K12755" s="8" t="s">
        <v>42046</v>
      </c>
      <c r="L12755" s="8" t="s">
        <v>29246</v>
      </c>
      <c r="M12755" s="8" t="s">
        <v>29247</v>
      </c>
      <c r="N12755" s="8" t="s">
        <v>53443</v>
      </c>
      <c r="O12755" s="8">
        <f>19+57/60+56.5/3600</f>
        <v>19.965694444444445</v>
      </c>
      <c r="P12755" s="8" t="s">
        <v>53444</v>
      </c>
      <c r="Q12755" s="8">
        <f>-(50+7/60+52/3600)</f>
        <v>-50.13111111111111</v>
      </c>
      <c r="R12755" s="8">
        <v>15.1</v>
      </c>
      <c r="S12755" s="8">
        <v>15.9</v>
      </c>
      <c r="T12755" s="8">
        <v>0.8</v>
      </c>
      <c r="U12755" s="8">
        <v>13.2</v>
      </c>
      <c r="V12755" s="8">
        <v>0.5</v>
      </c>
      <c r="W12755" s="8">
        <v>0.4</v>
      </c>
      <c r="Y12755" s="8" t="s">
        <v>2181</v>
      </c>
      <c r="Z12755" s="8" t="s">
        <v>2182</v>
      </c>
    </row>
    <row r="12756" spans="1:26" x14ac:dyDescent="0.2">
      <c r="A12756" s="8">
        <v>12755</v>
      </c>
      <c r="B12756" s="8" t="s">
        <v>53445</v>
      </c>
      <c r="C12756" s="8" t="s">
        <v>53445</v>
      </c>
      <c r="G12756" s="8">
        <v>20</v>
      </c>
      <c r="H12756" s="8" t="s">
        <v>21</v>
      </c>
      <c r="I12756" s="8" t="s">
        <v>22</v>
      </c>
      <c r="J12756" s="8" t="s">
        <v>22</v>
      </c>
      <c r="K12756" s="8" t="s">
        <v>58</v>
      </c>
      <c r="L12756" s="8" t="s">
        <v>29246</v>
      </c>
      <c r="M12756" s="8" t="s">
        <v>29247</v>
      </c>
      <c r="N12756" s="8" t="s">
        <v>53446</v>
      </c>
      <c r="O12756" s="8">
        <f>19+58/60+31.9/3600</f>
        <v>19.975527777777778</v>
      </c>
      <c r="P12756" s="8" t="s">
        <v>53447</v>
      </c>
      <c r="Q12756" s="8">
        <f>-(52+38/60+33/3600)</f>
        <v>-52.642499999999998</v>
      </c>
      <c r="R12756" s="8">
        <v>13.5</v>
      </c>
      <c r="S12756" s="8">
        <v>14.5</v>
      </c>
      <c r="T12756" s="8">
        <v>1</v>
      </c>
      <c r="U12756" s="8">
        <v>12.8</v>
      </c>
      <c r="V12756" s="8">
        <v>1</v>
      </c>
      <c r="W12756" s="8">
        <v>0.7</v>
      </c>
      <c r="X12756" s="8">
        <v>103</v>
      </c>
      <c r="Y12756" s="8" t="s">
        <v>46249</v>
      </c>
      <c r="Z12756" s="8" t="s">
        <v>46250</v>
      </c>
    </row>
    <row r="12757" spans="1:26" x14ac:dyDescent="0.2">
      <c r="A12757" s="8">
        <v>12756</v>
      </c>
      <c r="B12757" s="8" t="s">
        <v>53448</v>
      </c>
      <c r="C12757" s="8" t="s">
        <v>53448</v>
      </c>
      <c r="G12757" s="8">
        <v>20</v>
      </c>
      <c r="H12757" s="8" t="s">
        <v>21</v>
      </c>
      <c r="I12757" s="8" t="s">
        <v>22</v>
      </c>
      <c r="J12757" s="8" t="s">
        <v>22</v>
      </c>
      <c r="K12757" s="8" t="s">
        <v>23</v>
      </c>
      <c r="L12757" s="8" t="s">
        <v>29246</v>
      </c>
      <c r="M12757" s="8" t="s">
        <v>29247</v>
      </c>
      <c r="N12757" s="8" t="s">
        <v>53449</v>
      </c>
      <c r="O12757" s="8">
        <f>19+58/60+19.2/3600</f>
        <v>19.971999999999998</v>
      </c>
      <c r="P12757" s="8" t="s">
        <v>53450</v>
      </c>
      <c r="Q12757" s="8">
        <f>-(50+16/60+19/3600)</f>
        <v>-50.271944444444443</v>
      </c>
      <c r="R12757" s="8">
        <v>13.7</v>
      </c>
      <c r="S12757" s="8">
        <v>14.5</v>
      </c>
      <c r="T12757" s="8">
        <v>0.8</v>
      </c>
      <c r="U12757" s="8">
        <v>12.4</v>
      </c>
      <c r="V12757" s="8">
        <v>0.7</v>
      </c>
      <c r="W12757" s="8">
        <v>0.5</v>
      </c>
      <c r="X12757" s="8">
        <v>7</v>
      </c>
      <c r="Y12757" s="8" t="s">
        <v>53289</v>
      </c>
      <c r="Z12757" s="8" t="s">
        <v>53290</v>
      </c>
    </row>
    <row r="12758" spans="1:26" x14ac:dyDescent="0.2">
      <c r="A12758" s="8">
        <v>12757</v>
      </c>
      <c r="B12758" s="8" t="s">
        <v>53451</v>
      </c>
      <c r="C12758" s="8" t="s">
        <v>53451</v>
      </c>
      <c r="E12758" s="8">
        <v>1</v>
      </c>
      <c r="G12758" s="8">
        <v>20</v>
      </c>
      <c r="H12758" s="8" t="s">
        <v>21</v>
      </c>
      <c r="I12758" s="8" t="s">
        <v>22</v>
      </c>
      <c r="J12758" s="8" t="s">
        <v>22</v>
      </c>
      <c r="K12758" s="8" t="s">
        <v>37</v>
      </c>
      <c r="L12758" s="8" t="s">
        <v>29246</v>
      </c>
      <c r="M12758" s="8" t="s">
        <v>29247</v>
      </c>
      <c r="N12758" s="8" t="s">
        <v>53452</v>
      </c>
      <c r="O12758" s="8">
        <f>19+58/60+54.8/3600</f>
        <v>19.981888888888886</v>
      </c>
      <c r="P12758" s="8" t="s">
        <v>53453</v>
      </c>
      <c r="Q12758" s="8">
        <f>-(52+16/60+23/3600)</f>
        <v>-52.273055555555551</v>
      </c>
      <c r="R12758" s="8">
        <v>14.3</v>
      </c>
      <c r="S12758" s="8">
        <v>15.3</v>
      </c>
      <c r="T12758" s="8">
        <v>1</v>
      </c>
      <c r="U12758" s="8">
        <v>13.6</v>
      </c>
      <c r="V12758" s="8">
        <v>0.8</v>
      </c>
      <c r="W12758" s="8">
        <v>0.7</v>
      </c>
      <c r="Y12758" s="8" t="s">
        <v>46466</v>
      </c>
      <c r="Z12758" s="8" t="s">
        <v>46467</v>
      </c>
    </row>
    <row r="12759" spans="1:26" x14ac:dyDescent="0.2">
      <c r="A12759" s="8">
        <v>12758</v>
      </c>
      <c r="B12759" s="8" t="s">
        <v>53454</v>
      </c>
      <c r="C12759" s="8" t="s">
        <v>53454</v>
      </c>
      <c r="G12759" s="8">
        <v>20</v>
      </c>
      <c r="H12759" s="8" t="s">
        <v>21</v>
      </c>
      <c r="I12759" s="8" t="s">
        <v>22</v>
      </c>
      <c r="J12759" s="8" t="s">
        <v>22</v>
      </c>
      <c r="K12759" s="8" t="s">
        <v>12036</v>
      </c>
      <c r="L12759" s="8" t="s">
        <v>29246</v>
      </c>
      <c r="M12759" s="8" t="s">
        <v>29247</v>
      </c>
      <c r="N12759" s="8" t="s">
        <v>53455</v>
      </c>
      <c r="O12759" s="8">
        <f>19+59/60+13.2/3600</f>
        <v>19.987000000000002</v>
      </c>
      <c r="P12759" s="8" t="s">
        <v>53456</v>
      </c>
      <c r="Q12759" s="8">
        <f>-(52+16/60+30/3600)</f>
        <v>-52.274999999999999</v>
      </c>
      <c r="R12759" s="8">
        <v>15.3</v>
      </c>
      <c r="S12759" s="8">
        <v>16.100000000000001</v>
      </c>
      <c r="T12759" s="8">
        <v>0.8</v>
      </c>
      <c r="U12759" s="8">
        <v>13.1</v>
      </c>
      <c r="V12759" s="8">
        <v>0.5</v>
      </c>
      <c r="W12759" s="8">
        <v>0.3</v>
      </c>
      <c r="X12759" s="8">
        <v>110</v>
      </c>
      <c r="Y12759" s="8" t="s">
        <v>46466</v>
      </c>
      <c r="Z12759" s="8" t="s">
        <v>46467</v>
      </c>
    </row>
    <row r="12760" spans="1:26" x14ac:dyDescent="0.2">
      <c r="A12760" s="8">
        <v>12759</v>
      </c>
      <c r="B12760" s="8" t="s">
        <v>53457</v>
      </c>
      <c r="C12760" s="8" t="s">
        <v>53457</v>
      </c>
      <c r="G12760" s="8">
        <v>20</v>
      </c>
      <c r="H12760" s="8" t="s">
        <v>21</v>
      </c>
      <c r="I12760" s="8" t="s">
        <v>22</v>
      </c>
      <c r="J12760" s="8" t="s">
        <v>22</v>
      </c>
      <c r="K12760" s="8" t="s">
        <v>269</v>
      </c>
      <c r="L12760" s="8" t="s">
        <v>29246</v>
      </c>
      <c r="M12760" s="8" t="s">
        <v>29247</v>
      </c>
      <c r="N12760" s="8" t="s">
        <v>53458</v>
      </c>
      <c r="O12760" s="8">
        <f>20+0/60+9.1/3600</f>
        <v>20.002527777777779</v>
      </c>
      <c r="P12760" s="8" t="s">
        <v>53459</v>
      </c>
      <c r="Q12760" s="8">
        <f>-(55+22/60+26/3600)</f>
        <v>-55.373888888888892</v>
      </c>
      <c r="R12760" s="8">
        <v>14.3</v>
      </c>
      <c r="S12760" s="8">
        <v>14.9</v>
      </c>
      <c r="T12760" s="8">
        <v>0.6</v>
      </c>
      <c r="U12760" s="8">
        <v>14.2</v>
      </c>
      <c r="V12760" s="8">
        <v>1.5</v>
      </c>
      <c r="W12760" s="8">
        <v>0.7</v>
      </c>
      <c r="X12760" s="8">
        <v>31</v>
      </c>
      <c r="Y12760" s="8" t="s">
        <v>53460</v>
      </c>
      <c r="Z12760" s="8" t="s">
        <v>53461</v>
      </c>
    </row>
    <row r="12761" spans="1:26" x14ac:dyDescent="0.2">
      <c r="A12761" s="8">
        <v>12760</v>
      </c>
      <c r="B12761" s="8" t="s">
        <v>53462</v>
      </c>
      <c r="C12761" s="8" t="s">
        <v>53462</v>
      </c>
      <c r="G12761" s="8">
        <v>20</v>
      </c>
      <c r="H12761" s="8" t="s">
        <v>21</v>
      </c>
      <c r="I12761" s="8" t="s">
        <v>22</v>
      </c>
      <c r="J12761" s="8" t="s">
        <v>22</v>
      </c>
      <c r="K12761" s="8" t="s">
        <v>42046</v>
      </c>
      <c r="L12761" s="8" t="s">
        <v>29246</v>
      </c>
      <c r="M12761" s="8" t="s">
        <v>29247</v>
      </c>
      <c r="N12761" s="8" t="s">
        <v>53463</v>
      </c>
      <c r="O12761" s="8">
        <f>20+0/60+8.7/3600</f>
        <v>20.002416666666665</v>
      </c>
      <c r="P12761" s="8" t="s">
        <v>53464</v>
      </c>
      <c r="Q12761" s="8">
        <f>-(53+23/60+3/3600)</f>
        <v>-53.384166666666665</v>
      </c>
      <c r="R12761" s="8">
        <v>15.8</v>
      </c>
      <c r="S12761" s="8">
        <v>16.600000000000001</v>
      </c>
      <c r="T12761" s="8">
        <v>0.8</v>
      </c>
      <c r="U12761" s="8">
        <v>13.8</v>
      </c>
      <c r="V12761" s="8">
        <v>0.6</v>
      </c>
      <c r="W12761" s="8">
        <v>0.3</v>
      </c>
      <c r="X12761" s="8">
        <v>38</v>
      </c>
      <c r="Y12761" s="8" t="s">
        <v>53465</v>
      </c>
      <c r="Z12761" s="8" t="s">
        <v>53466</v>
      </c>
    </row>
    <row r="12762" spans="1:26" x14ac:dyDescent="0.2">
      <c r="A12762" s="8">
        <v>12761</v>
      </c>
      <c r="B12762" s="8" t="s">
        <v>53467</v>
      </c>
      <c r="C12762" s="8" t="s">
        <v>53467</v>
      </c>
      <c r="G12762" s="8">
        <v>20</v>
      </c>
      <c r="H12762" s="8" t="s">
        <v>21</v>
      </c>
      <c r="I12762" s="8" t="s">
        <v>22</v>
      </c>
      <c r="J12762" s="8" t="s">
        <v>22</v>
      </c>
      <c r="K12762" s="8" t="s">
        <v>37</v>
      </c>
      <c r="L12762" s="8" t="s">
        <v>28435</v>
      </c>
      <c r="M12762" s="8" t="s">
        <v>28436</v>
      </c>
      <c r="N12762" s="8" t="s">
        <v>53468</v>
      </c>
      <c r="O12762" s="8">
        <f>20+3/60+19.3/3600</f>
        <v>20.055361111111111</v>
      </c>
      <c r="P12762" s="8" t="s">
        <v>53469</v>
      </c>
      <c r="Q12762" s="8">
        <f>-(67+49/60+33/3600)</f>
        <v>-67.825833333333335</v>
      </c>
      <c r="R12762" s="8">
        <v>14.3</v>
      </c>
      <c r="S12762" s="8">
        <v>15.3</v>
      </c>
      <c r="T12762" s="8">
        <v>1</v>
      </c>
      <c r="U12762" s="8">
        <v>12.8</v>
      </c>
      <c r="V12762" s="8">
        <v>0.7</v>
      </c>
      <c r="W12762" s="8">
        <v>0.4</v>
      </c>
      <c r="X12762" s="8">
        <v>134</v>
      </c>
      <c r="Y12762" s="8" t="s">
        <v>53470</v>
      </c>
      <c r="Z12762" s="8" t="s">
        <v>53471</v>
      </c>
    </row>
    <row r="12763" spans="1:26" x14ac:dyDescent="0.2">
      <c r="A12763" s="8">
        <v>12762</v>
      </c>
      <c r="B12763" s="8" t="s">
        <v>53472</v>
      </c>
      <c r="C12763" s="8" t="s">
        <v>53472</v>
      </c>
      <c r="G12763" s="8">
        <v>20</v>
      </c>
      <c r="H12763" s="8" t="s">
        <v>21</v>
      </c>
      <c r="I12763" s="8" t="s">
        <v>329</v>
      </c>
      <c r="J12763" s="8" t="s">
        <v>329</v>
      </c>
      <c r="K12763" s="8" t="s">
        <v>329</v>
      </c>
      <c r="L12763" s="8" t="s">
        <v>28576</v>
      </c>
      <c r="M12763" s="8" t="s">
        <v>28577</v>
      </c>
      <c r="N12763" s="8" t="s">
        <v>53473</v>
      </c>
      <c r="O12763" s="8">
        <f>19+59/60+30/3600</f>
        <v>19.991666666666667</v>
      </c>
      <c r="P12763" s="8" t="s">
        <v>53474</v>
      </c>
      <c r="Q12763" s="8">
        <f>-(40+21/60+48/3600)</f>
        <v>-40.363333333333337</v>
      </c>
      <c r="R12763" s="8">
        <v>99</v>
      </c>
      <c r="S12763" s="8">
        <v>99</v>
      </c>
      <c r="T12763" s="8">
        <v>99</v>
      </c>
      <c r="U12763" s="8">
        <v>99</v>
      </c>
      <c r="Y12763" s="8" t="s">
        <v>50503</v>
      </c>
      <c r="Z12763" s="8" t="s">
        <v>50504</v>
      </c>
    </row>
    <row r="12764" spans="1:26" x14ac:dyDescent="0.2">
      <c r="A12764" s="8">
        <v>12763</v>
      </c>
      <c r="B12764" s="8" t="s">
        <v>53475</v>
      </c>
      <c r="C12764" s="8" t="s">
        <v>53475</v>
      </c>
      <c r="G12764" s="8">
        <v>20</v>
      </c>
      <c r="H12764" s="8" t="s">
        <v>21</v>
      </c>
      <c r="I12764" s="8" t="s">
        <v>22</v>
      </c>
      <c r="J12764" s="8" t="s">
        <v>22</v>
      </c>
      <c r="K12764" s="8" t="s">
        <v>224</v>
      </c>
      <c r="L12764" s="8" t="s">
        <v>29246</v>
      </c>
      <c r="M12764" s="8" t="s">
        <v>29247</v>
      </c>
      <c r="N12764" s="8" t="s">
        <v>53476</v>
      </c>
      <c r="O12764" s="8">
        <f>20+0/60+57.2/3600</f>
        <v>20.015888888888888</v>
      </c>
      <c r="P12764" s="8" t="s">
        <v>53477</v>
      </c>
      <c r="Q12764" s="8">
        <f>-(52+37/60+55/3600)</f>
        <v>-52.631944444444443</v>
      </c>
      <c r="R12764" s="8">
        <v>13.4</v>
      </c>
      <c r="S12764" s="8">
        <v>14.4</v>
      </c>
      <c r="T12764" s="8">
        <v>1</v>
      </c>
      <c r="U12764" s="8">
        <v>13</v>
      </c>
      <c r="V12764" s="8">
        <v>1</v>
      </c>
      <c r="W12764" s="8">
        <v>0.9</v>
      </c>
      <c r="X12764" s="8">
        <v>87</v>
      </c>
      <c r="Y12764" s="8" t="s">
        <v>46310</v>
      </c>
      <c r="Z12764" s="8" t="s">
        <v>46311</v>
      </c>
    </row>
    <row r="12765" spans="1:26" x14ac:dyDescent="0.2">
      <c r="A12765" s="8">
        <v>12764</v>
      </c>
      <c r="B12765" s="8" t="s">
        <v>53478</v>
      </c>
      <c r="C12765" s="8" t="s">
        <v>53478</v>
      </c>
      <c r="G12765" s="8">
        <v>20</v>
      </c>
      <c r="H12765" s="8" t="s">
        <v>21</v>
      </c>
      <c r="I12765" s="8" t="s">
        <v>329</v>
      </c>
      <c r="J12765" s="8" t="s">
        <v>329</v>
      </c>
      <c r="K12765" s="8" t="s">
        <v>329</v>
      </c>
      <c r="L12765" s="8" t="s">
        <v>28576</v>
      </c>
      <c r="M12765" s="8" t="s">
        <v>28577</v>
      </c>
      <c r="N12765" s="8" t="s">
        <v>53479</v>
      </c>
      <c r="O12765" s="8">
        <f>19+59/60+51/3600</f>
        <v>19.997500000000002</v>
      </c>
      <c r="P12765" s="8" t="s">
        <v>53480</v>
      </c>
      <c r="Q12765" s="8">
        <f>-(41+32/60+48/3600)</f>
        <v>-41.546666666666667</v>
      </c>
      <c r="R12765" s="8">
        <v>99</v>
      </c>
      <c r="S12765" s="8">
        <v>99</v>
      </c>
      <c r="T12765" s="8">
        <v>99</v>
      </c>
      <c r="U12765" s="8">
        <v>99</v>
      </c>
      <c r="Y12765" s="8" t="s">
        <v>53481</v>
      </c>
      <c r="Z12765" s="8" t="s">
        <v>53482</v>
      </c>
    </row>
    <row r="12766" spans="1:26" x14ac:dyDescent="0.2">
      <c r="A12766" s="8">
        <v>12765</v>
      </c>
      <c r="B12766" s="8" t="s">
        <v>53483</v>
      </c>
      <c r="C12766" s="8" t="s">
        <v>53483</v>
      </c>
      <c r="G12766" s="8">
        <v>20</v>
      </c>
      <c r="H12766" s="8" t="s">
        <v>21</v>
      </c>
      <c r="I12766" s="8" t="s">
        <v>22</v>
      </c>
      <c r="J12766" s="8" t="s">
        <v>22</v>
      </c>
      <c r="K12766" s="8" t="s">
        <v>42046</v>
      </c>
      <c r="L12766" s="8" t="s">
        <v>29246</v>
      </c>
      <c r="M12766" s="8" t="s">
        <v>29247</v>
      </c>
      <c r="N12766" s="8" t="s">
        <v>53484</v>
      </c>
      <c r="O12766" s="8">
        <f>20+1/60+9.9/3600</f>
        <v>20.019416666666665</v>
      </c>
      <c r="P12766" s="8" t="s">
        <v>53485</v>
      </c>
      <c r="Q12766" s="8">
        <f>-(52+52/60+0/3600)</f>
        <v>-52.866666666666667</v>
      </c>
      <c r="R12766" s="8">
        <v>15.6</v>
      </c>
      <c r="S12766" s="8">
        <v>16.399999999999999</v>
      </c>
      <c r="T12766" s="8">
        <v>0.8</v>
      </c>
      <c r="U12766" s="8">
        <v>13.6</v>
      </c>
      <c r="V12766" s="8">
        <v>0.9</v>
      </c>
      <c r="W12766" s="8">
        <v>0.2</v>
      </c>
      <c r="X12766" s="8">
        <v>165</v>
      </c>
      <c r="Y12766" s="8" t="s">
        <v>53486</v>
      </c>
      <c r="Z12766" s="8" t="s">
        <v>53487</v>
      </c>
    </row>
    <row r="12767" spans="1:26" x14ac:dyDescent="0.2">
      <c r="A12767" s="8">
        <v>12766</v>
      </c>
      <c r="B12767" s="8" t="s">
        <v>53488</v>
      </c>
      <c r="C12767" s="8" t="s">
        <v>53488</v>
      </c>
      <c r="G12767" s="8">
        <v>20</v>
      </c>
      <c r="H12767" s="8" t="s">
        <v>21</v>
      </c>
      <c r="I12767" s="8" t="s">
        <v>22</v>
      </c>
      <c r="J12767" s="8" t="s">
        <v>22</v>
      </c>
      <c r="K12767" s="8" t="s">
        <v>1136</v>
      </c>
      <c r="L12767" s="8" t="s">
        <v>28576</v>
      </c>
      <c r="M12767" s="8" t="s">
        <v>28577</v>
      </c>
      <c r="N12767" s="8" t="s">
        <v>53489</v>
      </c>
      <c r="O12767" s="8">
        <f>20+0/60+12.2/3600</f>
        <v>20.003388888888889</v>
      </c>
      <c r="P12767" s="8" t="s">
        <v>53490</v>
      </c>
      <c r="Q12767" s="8">
        <f>-(38+34/60+41/3600)</f>
        <v>-38.578055555555558</v>
      </c>
      <c r="R12767" s="8">
        <v>12.7</v>
      </c>
      <c r="S12767" s="8">
        <v>13.7</v>
      </c>
      <c r="T12767" s="8">
        <v>1</v>
      </c>
      <c r="U12767" s="8">
        <v>13</v>
      </c>
      <c r="V12767" s="8">
        <v>1.2</v>
      </c>
      <c r="W12767" s="8">
        <v>1</v>
      </c>
      <c r="X12767" s="8">
        <v>40</v>
      </c>
      <c r="Y12767" s="8" t="s">
        <v>53491</v>
      </c>
      <c r="Z12767" s="8" t="s">
        <v>53492</v>
      </c>
    </row>
    <row r="12768" spans="1:26" x14ac:dyDescent="0.2">
      <c r="A12768" s="8">
        <v>12767</v>
      </c>
      <c r="B12768" s="8" t="s">
        <v>53493</v>
      </c>
      <c r="C12768" s="8" t="s">
        <v>53493</v>
      </c>
      <c r="G12768" s="8">
        <v>20</v>
      </c>
      <c r="H12768" s="8" t="s">
        <v>21</v>
      </c>
      <c r="I12768" s="8" t="s">
        <v>22</v>
      </c>
      <c r="J12768" s="8" t="s">
        <v>22</v>
      </c>
      <c r="K12768" s="8" t="s">
        <v>23</v>
      </c>
      <c r="L12768" s="8" t="s">
        <v>29246</v>
      </c>
      <c r="M12768" s="8" t="s">
        <v>29247</v>
      </c>
      <c r="N12768" s="8" t="s">
        <v>53494</v>
      </c>
      <c r="O12768" s="8">
        <f>20+1/60+49.4/3600</f>
        <v>20.030388888888886</v>
      </c>
      <c r="P12768" s="8" t="s">
        <v>53495</v>
      </c>
      <c r="Q12768" s="8">
        <f>-(53+55/60+6/3600)</f>
        <v>-53.918333333333329</v>
      </c>
      <c r="R12768" s="8">
        <v>14.3</v>
      </c>
      <c r="S12768" s="8">
        <v>15.1</v>
      </c>
      <c r="T12768" s="8">
        <v>0.8</v>
      </c>
      <c r="U12768" s="8">
        <v>13.4</v>
      </c>
      <c r="V12768" s="8">
        <v>1.2</v>
      </c>
      <c r="W12768" s="8">
        <v>0.4</v>
      </c>
      <c r="X12768" s="8">
        <v>165</v>
      </c>
      <c r="Y12768" s="8" t="s">
        <v>53496</v>
      </c>
      <c r="Z12768" s="8" t="s">
        <v>53497</v>
      </c>
    </row>
    <row r="12769" spans="1:26" x14ac:dyDescent="0.2">
      <c r="A12769" s="8">
        <v>12768</v>
      </c>
      <c r="B12769" s="8" t="s">
        <v>53498</v>
      </c>
      <c r="C12769" s="8" t="s">
        <v>53498</v>
      </c>
      <c r="G12769" s="8">
        <v>20</v>
      </c>
      <c r="H12769" s="8" t="s">
        <v>21</v>
      </c>
      <c r="I12769" s="8" t="s">
        <v>22</v>
      </c>
      <c r="J12769" s="8" t="s">
        <v>22</v>
      </c>
      <c r="K12769" s="8" t="s">
        <v>449</v>
      </c>
      <c r="L12769" s="8" t="s">
        <v>11890</v>
      </c>
      <c r="M12769" s="8" t="s">
        <v>11891</v>
      </c>
      <c r="N12769" s="8" t="s">
        <v>53499</v>
      </c>
      <c r="O12769" s="8">
        <f>20+10/60+11.9/3600</f>
        <v>20.169972222222224</v>
      </c>
      <c r="P12769" s="8" t="s">
        <v>53500</v>
      </c>
      <c r="Q12769" s="8">
        <f>-(77+18/60+33/3600)</f>
        <v>-77.30916666666667</v>
      </c>
      <c r="R12769" s="8">
        <v>15.7</v>
      </c>
      <c r="S12769" s="8">
        <v>16.5</v>
      </c>
      <c r="T12769" s="8">
        <v>0.8</v>
      </c>
      <c r="U12769" s="8">
        <v>13.4</v>
      </c>
      <c r="V12769" s="8">
        <v>0.7</v>
      </c>
      <c r="W12769" s="8">
        <v>0.2</v>
      </c>
      <c r="X12769" s="8">
        <v>24</v>
      </c>
      <c r="Y12769" s="8" t="s">
        <v>53501</v>
      </c>
      <c r="Z12769" s="8" t="s">
        <v>53502</v>
      </c>
    </row>
    <row r="12770" spans="1:26" x14ac:dyDescent="0.2">
      <c r="A12770" s="8">
        <v>12769</v>
      </c>
      <c r="B12770" s="8" t="s">
        <v>53503</v>
      </c>
      <c r="C12770" s="8" t="s">
        <v>53503</v>
      </c>
      <c r="G12770" s="8">
        <v>20</v>
      </c>
      <c r="H12770" s="8" t="s">
        <v>21</v>
      </c>
      <c r="I12770" s="8" t="s">
        <v>22</v>
      </c>
      <c r="J12770" s="8" t="s">
        <v>22</v>
      </c>
      <c r="K12770" s="8" t="s">
        <v>23</v>
      </c>
      <c r="L12770" s="8" t="s">
        <v>28435</v>
      </c>
      <c r="M12770" s="8" t="s">
        <v>28436</v>
      </c>
      <c r="N12770" s="8" t="s">
        <v>53504</v>
      </c>
      <c r="O12770" s="8">
        <f>20+6/60+42.6/3600</f>
        <v>20.111833333333333</v>
      </c>
      <c r="P12770" s="8" t="s">
        <v>53505</v>
      </c>
      <c r="Q12770" s="8">
        <f>-(71+40/60+52/3600)</f>
        <v>-71.681111111111122</v>
      </c>
      <c r="R12770" s="8">
        <v>13.5</v>
      </c>
      <c r="S12770" s="8">
        <v>14.3</v>
      </c>
      <c r="T12770" s="8">
        <v>0.8</v>
      </c>
      <c r="U12770" s="8">
        <v>12.7</v>
      </c>
      <c r="V12770" s="8">
        <v>1.4</v>
      </c>
      <c r="W12770" s="8">
        <v>0.4</v>
      </c>
      <c r="X12770" s="8">
        <v>19</v>
      </c>
      <c r="Y12770" s="8" t="s">
        <v>53506</v>
      </c>
      <c r="Z12770" s="8" t="s">
        <v>53507</v>
      </c>
    </row>
    <row r="12771" spans="1:26" x14ac:dyDescent="0.2">
      <c r="A12771" s="8">
        <v>12770</v>
      </c>
      <c r="B12771" s="8" t="s">
        <v>53508</v>
      </c>
      <c r="C12771" s="8" t="s">
        <v>53508</v>
      </c>
      <c r="G12771" s="8">
        <v>20</v>
      </c>
      <c r="H12771" s="8" t="s">
        <v>21</v>
      </c>
      <c r="I12771" s="8" t="s">
        <v>329</v>
      </c>
      <c r="J12771" s="8" t="s">
        <v>329</v>
      </c>
      <c r="K12771" s="8" t="s">
        <v>329</v>
      </c>
      <c r="L12771" s="8" t="s">
        <v>29246</v>
      </c>
      <c r="M12771" s="8" t="s">
        <v>29247</v>
      </c>
      <c r="N12771" s="8" t="s">
        <v>53509</v>
      </c>
      <c r="O12771" s="8">
        <f>20+2/60+26/3600</f>
        <v>20.040555555555557</v>
      </c>
      <c r="P12771" s="8" t="s">
        <v>53510</v>
      </c>
      <c r="Q12771" s="8">
        <f>-(54+18/60+30/3600)</f>
        <v>-54.30833333333333</v>
      </c>
      <c r="R12771" s="8">
        <v>99</v>
      </c>
      <c r="S12771" s="8">
        <v>99</v>
      </c>
      <c r="T12771" s="8">
        <v>99</v>
      </c>
      <c r="U12771" s="8">
        <v>99</v>
      </c>
      <c r="Y12771" s="8" t="s">
        <v>53511</v>
      </c>
      <c r="Z12771" s="8" t="s">
        <v>53512</v>
      </c>
    </row>
    <row r="12772" spans="1:26" x14ac:dyDescent="0.2">
      <c r="A12772" s="8">
        <v>12771</v>
      </c>
      <c r="B12772" s="8" t="s">
        <v>53513</v>
      </c>
      <c r="C12772" s="8" t="s">
        <v>53513</v>
      </c>
      <c r="G12772" s="8">
        <v>20</v>
      </c>
      <c r="H12772" s="8" t="s">
        <v>21</v>
      </c>
      <c r="I12772" s="8" t="s">
        <v>22</v>
      </c>
      <c r="J12772" s="8" t="s">
        <v>22</v>
      </c>
      <c r="K12772" s="8" t="s">
        <v>1136</v>
      </c>
      <c r="L12772" s="8" t="s">
        <v>28576</v>
      </c>
      <c r="M12772" s="8" t="s">
        <v>28577</v>
      </c>
      <c r="N12772" s="8" t="s">
        <v>53514</v>
      </c>
      <c r="O12772" s="8">
        <f>20+0/60+50.1/3600</f>
        <v>20.013916666666667</v>
      </c>
      <c r="P12772" s="8" t="s">
        <v>53515</v>
      </c>
      <c r="Q12772" s="8">
        <f>-(38+34/60+30/3600)</f>
        <v>-38.575000000000003</v>
      </c>
      <c r="R12772" s="8">
        <v>11.8</v>
      </c>
      <c r="S12772" s="8">
        <v>13</v>
      </c>
      <c r="T12772" s="8">
        <v>1.2</v>
      </c>
      <c r="U12772" s="8">
        <v>13.4</v>
      </c>
      <c r="V12772" s="8">
        <v>2.4</v>
      </c>
      <c r="W12772" s="8">
        <v>2</v>
      </c>
      <c r="X12772" s="8">
        <v>127</v>
      </c>
      <c r="Y12772" s="8" t="s">
        <v>53516</v>
      </c>
      <c r="Z12772" s="8" t="s">
        <v>53517</v>
      </c>
    </row>
    <row r="12773" spans="1:26" x14ac:dyDescent="0.2">
      <c r="A12773" s="8">
        <v>12772</v>
      </c>
      <c r="B12773" s="8" t="s">
        <v>53518</v>
      </c>
      <c r="C12773" s="8" t="s">
        <v>53518</v>
      </c>
      <c r="G12773" s="8">
        <v>20</v>
      </c>
      <c r="H12773" s="8" t="s">
        <v>21</v>
      </c>
      <c r="I12773" s="8" t="s">
        <v>22</v>
      </c>
      <c r="J12773" s="8" t="s">
        <v>22</v>
      </c>
      <c r="K12773" s="8" t="s">
        <v>91</v>
      </c>
      <c r="L12773" s="8" t="s">
        <v>29246</v>
      </c>
      <c r="M12773" s="8" t="s">
        <v>29247</v>
      </c>
      <c r="N12773" s="8" t="s">
        <v>53519</v>
      </c>
      <c r="O12773" s="8">
        <f>20+2/60+15.5/3600</f>
        <v>20.037638888888889</v>
      </c>
      <c r="P12773" s="8" t="s">
        <v>53520</v>
      </c>
      <c r="Q12773" s="8">
        <f>-(52+50/60+48/3600)</f>
        <v>-52.846666666666671</v>
      </c>
      <c r="R12773" s="8">
        <v>14.6</v>
      </c>
      <c r="S12773" s="8">
        <v>15.5</v>
      </c>
      <c r="T12773" s="8">
        <v>0.9</v>
      </c>
      <c r="U12773" s="8">
        <v>13.5</v>
      </c>
      <c r="V12773" s="8">
        <v>0.8</v>
      </c>
      <c r="W12773" s="8">
        <v>0.5</v>
      </c>
      <c r="X12773" s="8">
        <v>5</v>
      </c>
      <c r="Y12773" s="8" t="s">
        <v>46249</v>
      </c>
      <c r="Z12773" s="8" t="s">
        <v>46250</v>
      </c>
    </row>
    <row r="12774" spans="1:26" x14ac:dyDescent="0.2">
      <c r="A12774" s="8">
        <v>12773</v>
      </c>
      <c r="B12774" s="8" t="s">
        <v>53521</v>
      </c>
      <c r="C12774" s="8" t="s">
        <v>53521</v>
      </c>
      <c r="G12774" s="8">
        <v>20</v>
      </c>
      <c r="H12774" s="8" t="s">
        <v>21</v>
      </c>
      <c r="I12774" s="8" t="s">
        <v>22</v>
      </c>
      <c r="J12774" s="8" t="s">
        <v>22</v>
      </c>
      <c r="K12774" s="8" t="s">
        <v>85</v>
      </c>
      <c r="L12774" s="8" t="s">
        <v>29246</v>
      </c>
      <c r="M12774" s="8" t="s">
        <v>29247</v>
      </c>
      <c r="N12774" s="8" t="s">
        <v>53522</v>
      </c>
      <c r="O12774" s="8">
        <f>20+3/60+28.8/3600</f>
        <v>20.058</v>
      </c>
      <c r="P12774" s="8" t="s">
        <v>53523</v>
      </c>
      <c r="Q12774" s="8">
        <f>-(54+58/60+48/3600)</f>
        <v>-54.980000000000004</v>
      </c>
      <c r="R12774" s="8">
        <v>12.3</v>
      </c>
      <c r="S12774" s="8">
        <v>12.9</v>
      </c>
      <c r="T12774" s="8">
        <v>0.6</v>
      </c>
      <c r="U12774" s="8">
        <v>13.8</v>
      </c>
      <c r="V12774" s="8">
        <v>1.9</v>
      </c>
      <c r="W12774" s="8">
        <v>1.7</v>
      </c>
      <c r="X12774" s="8">
        <v>0</v>
      </c>
      <c r="Y12774" s="8" t="s">
        <v>53524</v>
      </c>
      <c r="Z12774" s="8" t="s">
        <v>53525</v>
      </c>
    </row>
    <row r="12775" spans="1:26" x14ac:dyDescent="0.2">
      <c r="A12775" s="8">
        <v>12774</v>
      </c>
      <c r="B12775" s="8" t="s">
        <v>53526</v>
      </c>
      <c r="C12775" s="8" t="s">
        <v>53526</v>
      </c>
      <c r="G12775" s="8">
        <v>20</v>
      </c>
      <c r="H12775" s="8" t="s">
        <v>21</v>
      </c>
      <c r="I12775" s="8" t="s">
        <v>22</v>
      </c>
      <c r="J12775" s="8" t="s">
        <v>22</v>
      </c>
      <c r="K12775" s="8" t="s">
        <v>160</v>
      </c>
      <c r="L12775" s="8" t="s">
        <v>28435</v>
      </c>
      <c r="M12775" s="8" t="s">
        <v>28436</v>
      </c>
      <c r="N12775" s="8" t="s">
        <v>53527</v>
      </c>
      <c r="O12775" s="8">
        <f>20+7/60+14.6/3600</f>
        <v>20.120722222222224</v>
      </c>
      <c r="P12775" s="8" t="s">
        <v>53528</v>
      </c>
      <c r="Q12775" s="8">
        <f>-(69+28/60+49/3600)</f>
        <v>-69.480277777777786</v>
      </c>
      <c r="R12775" s="8">
        <v>14.2</v>
      </c>
      <c r="S12775" s="8">
        <v>14.9</v>
      </c>
      <c r="T12775" s="8">
        <v>0.7</v>
      </c>
      <c r="U12775" s="8">
        <v>13.6</v>
      </c>
      <c r="V12775" s="8">
        <v>1.6</v>
      </c>
      <c r="W12775" s="8">
        <v>0.4</v>
      </c>
      <c r="X12775" s="8">
        <v>30</v>
      </c>
      <c r="Y12775" s="8" t="s">
        <v>53529</v>
      </c>
      <c r="Z12775" s="8" t="s">
        <v>53530</v>
      </c>
    </row>
    <row r="12776" spans="1:26" x14ac:dyDescent="0.2">
      <c r="A12776" s="8">
        <v>12775</v>
      </c>
      <c r="B12776" s="8" t="s">
        <v>53531</v>
      </c>
      <c r="C12776" s="8" t="s">
        <v>53531</v>
      </c>
      <c r="G12776" s="8">
        <v>20</v>
      </c>
      <c r="H12776" s="8" t="s">
        <v>21</v>
      </c>
      <c r="I12776" s="8" t="s">
        <v>22</v>
      </c>
      <c r="J12776" s="8" t="s">
        <v>22</v>
      </c>
      <c r="K12776" s="8" t="s">
        <v>154</v>
      </c>
      <c r="L12776" s="8" t="s">
        <v>28435</v>
      </c>
      <c r="M12776" s="8" t="s">
        <v>28436</v>
      </c>
      <c r="N12776" s="8" t="s">
        <v>53532</v>
      </c>
      <c r="O12776" s="8">
        <f>20+4/60+34/3600</f>
        <v>20.076111111111111</v>
      </c>
      <c r="P12776" s="8" t="s">
        <v>53533</v>
      </c>
      <c r="Q12776" s="8">
        <f>-(57+35/60+55/3600)</f>
        <v>-57.598611111111111</v>
      </c>
      <c r="R12776" s="8">
        <v>12.9</v>
      </c>
      <c r="S12776" s="8">
        <v>13.8</v>
      </c>
      <c r="T12776" s="8">
        <v>0.9</v>
      </c>
      <c r="U12776" s="8">
        <v>12.3</v>
      </c>
      <c r="V12776" s="8">
        <v>1.7</v>
      </c>
      <c r="W12776" s="8">
        <v>0.4</v>
      </c>
      <c r="X12776" s="8">
        <v>177</v>
      </c>
      <c r="Y12776" s="8" t="s">
        <v>53534</v>
      </c>
      <c r="Z12776" s="8" t="s">
        <v>53535</v>
      </c>
    </row>
    <row r="12777" spans="1:26" x14ac:dyDescent="0.2">
      <c r="A12777" s="8">
        <v>12776</v>
      </c>
      <c r="B12777" s="8" t="s">
        <v>53536</v>
      </c>
      <c r="C12777" s="8" t="s">
        <v>53536</v>
      </c>
      <c r="G12777" s="8">
        <v>20</v>
      </c>
      <c r="H12777" s="8" t="s">
        <v>21</v>
      </c>
      <c r="I12777" s="8" t="s">
        <v>22</v>
      </c>
      <c r="J12777" s="8" t="s">
        <v>22</v>
      </c>
      <c r="K12777" s="8" t="s">
        <v>269</v>
      </c>
      <c r="L12777" s="8" t="s">
        <v>28435</v>
      </c>
      <c r="M12777" s="8" t="s">
        <v>28436</v>
      </c>
      <c r="N12777" s="8" t="s">
        <v>53537</v>
      </c>
      <c r="O12777" s="8">
        <f>20+5/60+52.3/3600</f>
        <v>20.097861111111111</v>
      </c>
      <c r="P12777" s="8" t="s">
        <v>53538</v>
      </c>
      <c r="Q12777" s="8">
        <f>-(61+25/60+42/3600)</f>
        <v>-61.428333333333327</v>
      </c>
      <c r="R12777" s="8">
        <v>13.6</v>
      </c>
      <c r="S12777" s="8">
        <v>14.2</v>
      </c>
      <c r="T12777" s="8">
        <v>0.6</v>
      </c>
      <c r="U12777" s="8">
        <v>13.5</v>
      </c>
      <c r="V12777" s="8">
        <v>1.5</v>
      </c>
      <c r="W12777" s="8">
        <v>0.8</v>
      </c>
      <c r="X12777" s="8">
        <v>10</v>
      </c>
      <c r="Y12777" s="8" t="s">
        <v>53539</v>
      </c>
      <c r="Z12777" s="8" t="s">
        <v>53540</v>
      </c>
    </row>
    <row r="12778" spans="1:26" x14ac:dyDescent="0.2">
      <c r="A12778" s="8">
        <v>12777</v>
      </c>
      <c r="B12778" s="8" t="s">
        <v>53541</v>
      </c>
      <c r="C12778" s="8" t="s">
        <v>53541</v>
      </c>
      <c r="G12778" s="8">
        <v>20</v>
      </c>
      <c r="H12778" s="8" t="s">
        <v>21</v>
      </c>
      <c r="I12778" s="8" t="s">
        <v>22</v>
      </c>
      <c r="J12778" s="8" t="s">
        <v>22</v>
      </c>
      <c r="K12778" s="8" t="s">
        <v>23</v>
      </c>
      <c r="L12778" s="8" t="s">
        <v>29246</v>
      </c>
      <c r="M12778" s="8" t="s">
        <v>29247</v>
      </c>
      <c r="N12778" s="8" t="s">
        <v>53542</v>
      </c>
      <c r="O12778" s="8">
        <f>20+5/60+17.4/3600</f>
        <v>20.088166666666666</v>
      </c>
      <c r="P12778" s="8" t="s">
        <v>53543</v>
      </c>
      <c r="Q12778" s="8">
        <f>-(56+15/60+22/3600)</f>
        <v>-56.25611111111111</v>
      </c>
      <c r="R12778" s="8">
        <v>13.8</v>
      </c>
      <c r="S12778" s="8">
        <v>14.6</v>
      </c>
      <c r="T12778" s="8">
        <v>0.8</v>
      </c>
      <c r="U12778" s="8">
        <v>13.3</v>
      </c>
      <c r="V12778" s="8">
        <v>1.9</v>
      </c>
      <c r="W12778" s="8">
        <v>0.4</v>
      </c>
      <c r="X12778" s="8">
        <v>3</v>
      </c>
      <c r="Y12778" s="8" t="s">
        <v>53544</v>
      </c>
      <c r="Z12778" s="8" t="s">
        <v>53545</v>
      </c>
    </row>
    <row r="12779" spans="1:26" x14ac:dyDescent="0.2">
      <c r="A12779" s="8">
        <v>12778</v>
      </c>
      <c r="B12779" s="8" t="s">
        <v>53546</v>
      </c>
      <c r="C12779" s="8" t="s">
        <v>53546</v>
      </c>
      <c r="G12779" s="8">
        <v>20</v>
      </c>
      <c r="H12779" s="8" t="s">
        <v>21</v>
      </c>
      <c r="I12779" s="8" t="s">
        <v>22</v>
      </c>
      <c r="J12779" s="8" t="s">
        <v>22</v>
      </c>
      <c r="K12779" s="8" t="s">
        <v>406</v>
      </c>
      <c r="L12779" s="8" t="s">
        <v>28435</v>
      </c>
      <c r="M12779" s="8" t="s">
        <v>28436</v>
      </c>
      <c r="N12779" s="8" t="s">
        <v>53547</v>
      </c>
      <c r="O12779" s="8">
        <f>20+6/60+11.6/3600</f>
        <v>20.103222222222225</v>
      </c>
      <c r="P12779" s="8" t="s">
        <v>53548</v>
      </c>
      <c r="Q12779" s="8">
        <f>-(60+12/60+40/3600)</f>
        <v>-60.211111111111116</v>
      </c>
      <c r="R12779" s="8">
        <v>12.7</v>
      </c>
      <c r="S12779" s="8">
        <v>13.4</v>
      </c>
      <c r="T12779" s="8">
        <v>0.7</v>
      </c>
      <c r="U12779" s="8">
        <v>13.5</v>
      </c>
      <c r="V12779" s="8">
        <v>1.3</v>
      </c>
      <c r="W12779" s="8">
        <v>1.1000000000000001</v>
      </c>
      <c r="X12779" s="8">
        <v>29</v>
      </c>
      <c r="Y12779" s="8" t="s">
        <v>53549</v>
      </c>
      <c r="Z12779" s="8" t="s">
        <v>53550</v>
      </c>
    </row>
    <row r="12780" spans="1:26" x14ac:dyDescent="0.2">
      <c r="A12780" s="8">
        <v>12779</v>
      </c>
      <c r="B12780" s="8" t="s">
        <v>53551</v>
      </c>
      <c r="C12780" s="8" t="s">
        <v>53551</v>
      </c>
      <c r="G12780" s="8">
        <v>20</v>
      </c>
      <c r="H12780" s="8" t="s">
        <v>21</v>
      </c>
      <c r="I12780" s="8" t="s">
        <v>22</v>
      </c>
      <c r="J12780" s="8" t="s">
        <v>22</v>
      </c>
      <c r="K12780" s="8" t="s">
        <v>160</v>
      </c>
      <c r="L12780" s="8" t="s">
        <v>28435</v>
      </c>
      <c r="M12780" s="8" t="s">
        <v>28436</v>
      </c>
      <c r="N12780" s="8" t="s">
        <v>53552</v>
      </c>
      <c r="O12780" s="8">
        <f>20+7/60+11.1/3600</f>
        <v>20.11975</v>
      </c>
      <c r="P12780" s="8" t="s">
        <v>53553</v>
      </c>
      <c r="Q12780" s="8">
        <f>-(60+44/60+18/3600)</f>
        <v>-60.738333333333337</v>
      </c>
      <c r="R12780" s="8">
        <v>14.3</v>
      </c>
      <c r="S12780" s="8">
        <v>15</v>
      </c>
      <c r="T12780" s="8">
        <v>0.7</v>
      </c>
      <c r="U12780" s="8">
        <v>13.9</v>
      </c>
      <c r="V12780" s="8">
        <v>1.3</v>
      </c>
      <c r="W12780" s="8">
        <v>0.6</v>
      </c>
      <c r="X12780" s="8">
        <v>158</v>
      </c>
      <c r="Y12780" s="8" t="s">
        <v>53554</v>
      </c>
      <c r="Z12780" s="8" t="s">
        <v>53555</v>
      </c>
    </row>
    <row r="12781" spans="1:26" x14ac:dyDescent="0.2">
      <c r="A12781" s="8">
        <v>12780</v>
      </c>
      <c r="B12781" s="8" t="s">
        <v>53556</v>
      </c>
      <c r="C12781" s="8" t="s">
        <v>53556</v>
      </c>
      <c r="G12781" s="8">
        <v>20</v>
      </c>
      <c r="H12781" s="8" t="s">
        <v>21</v>
      </c>
      <c r="I12781" s="8" t="s">
        <v>329</v>
      </c>
      <c r="J12781" s="8" t="s">
        <v>329</v>
      </c>
      <c r="K12781" s="8" t="s">
        <v>329</v>
      </c>
      <c r="L12781" s="8" t="s">
        <v>28576</v>
      </c>
      <c r="M12781" s="8" t="s">
        <v>28577</v>
      </c>
      <c r="N12781" s="8" t="s">
        <v>53557</v>
      </c>
      <c r="O12781" s="8">
        <f>20+5/60+43.4/3600</f>
        <v>20.095388888888888</v>
      </c>
      <c r="P12781" s="8" t="s">
        <v>53558</v>
      </c>
      <c r="Q12781" s="8">
        <f>-(44+42/60+29/3600)</f>
        <v>-44.708055555555561</v>
      </c>
      <c r="R12781" s="8">
        <v>99</v>
      </c>
      <c r="S12781" s="8">
        <v>99</v>
      </c>
      <c r="T12781" s="8">
        <v>99</v>
      </c>
      <c r="U12781" s="8">
        <v>99</v>
      </c>
      <c r="Y12781" s="8" t="s">
        <v>46973</v>
      </c>
      <c r="Z12781" s="8" t="s">
        <v>46974</v>
      </c>
    </row>
    <row r="12782" spans="1:26" x14ac:dyDescent="0.2">
      <c r="A12782" s="8">
        <v>12781</v>
      </c>
      <c r="B12782" s="8" t="s">
        <v>53559</v>
      </c>
      <c r="C12782" s="8" t="s">
        <v>53559</v>
      </c>
      <c r="G12782" s="8">
        <v>20</v>
      </c>
      <c r="H12782" s="8" t="s">
        <v>21</v>
      </c>
      <c r="I12782" s="8" t="s">
        <v>22</v>
      </c>
      <c r="J12782" s="8" t="s">
        <v>22</v>
      </c>
      <c r="K12782" s="8" t="s">
        <v>269</v>
      </c>
      <c r="L12782" s="8" t="s">
        <v>29246</v>
      </c>
      <c r="M12782" s="8" t="s">
        <v>29247</v>
      </c>
      <c r="N12782" s="8" t="s">
        <v>53560</v>
      </c>
      <c r="O12782" s="8">
        <f>20+6/60+58.5/3600</f>
        <v>20.116250000000001</v>
      </c>
      <c r="P12782" s="8" t="s">
        <v>53561</v>
      </c>
      <c r="Q12782" s="8">
        <f>-(53+39/60+10/3600)</f>
        <v>-53.652777777777779</v>
      </c>
      <c r="R12782" s="8">
        <v>15.1</v>
      </c>
      <c r="S12782" s="8">
        <v>15.7</v>
      </c>
      <c r="T12782" s="8">
        <v>0.6</v>
      </c>
      <c r="U12782" s="8">
        <v>14.3</v>
      </c>
      <c r="V12782" s="8">
        <v>0.9</v>
      </c>
      <c r="W12782" s="8">
        <v>0.7</v>
      </c>
      <c r="X12782" s="8">
        <v>0</v>
      </c>
      <c r="Y12782" s="8" t="s">
        <v>53562</v>
      </c>
      <c r="Z12782" s="8" t="s">
        <v>53563</v>
      </c>
    </row>
    <row r="12783" spans="1:26" x14ac:dyDescent="0.2">
      <c r="A12783" s="8">
        <v>12782</v>
      </c>
      <c r="B12783" s="8" t="s">
        <v>53564</v>
      </c>
      <c r="C12783" s="8" t="s">
        <v>53564</v>
      </c>
      <c r="G12783" s="8">
        <v>20</v>
      </c>
      <c r="H12783" s="8" t="s">
        <v>21</v>
      </c>
      <c r="I12783" s="8" t="s">
        <v>22</v>
      </c>
      <c r="J12783" s="8" t="s">
        <v>22</v>
      </c>
      <c r="K12783" s="8" t="s">
        <v>406</v>
      </c>
      <c r="L12783" s="8" t="s">
        <v>29246</v>
      </c>
      <c r="M12783" s="8" t="s">
        <v>29247</v>
      </c>
      <c r="N12783" s="8" t="s">
        <v>53565</v>
      </c>
      <c r="O12783" s="8">
        <f>20+6/60+49.3/3600</f>
        <v>20.113694444444445</v>
      </c>
      <c r="P12783" s="8" t="s">
        <v>53566</v>
      </c>
      <c r="Q12783" s="8">
        <f>-(52+36/60+37/3600)</f>
        <v>-52.610277777777782</v>
      </c>
      <c r="R12783" s="8">
        <v>15.5</v>
      </c>
      <c r="S12783" s="8">
        <v>16.3</v>
      </c>
      <c r="T12783" s="8">
        <v>0.8</v>
      </c>
      <c r="U12783" s="8">
        <v>14</v>
      </c>
      <c r="V12783" s="8">
        <v>0.7</v>
      </c>
      <c r="W12783" s="8">
        <v>0.4</v>
      </c>
      <c r="X12783" s="8">
        <v>130</v>
      </c>
      <c r="Y12783" s="8" t="s">
        <v>2181</v>
      </c>
      <c r="Z12783" s="8" t="s">
        <v>2182</v>
      </c>
    </row>
    <row r="12784" spans="1:26" x14ac:dyDescent="0.2">
      <c r="A12784" s="8">
        <v>12783</v>
      </c>
      <c r="B12784" s="8" t="s">
        <v>53567</v>
      </c>
      <c r="C12784" s="8" t="s">
        <v>53567</v>
      </c>
      <c r="G12784" s="8">
        <v>20</v>
      </c>
      <c r="H12784" s="8" t="s">
        <v>21</v>
      </c>
      <c r="I12784" s="8" t="s">
        <v>22</v>
      </c>
      <c r="J12784" s="8" t="s">
        <v>22</v>
      </c>
      <c r="K12784" s="8" t="s">
        <v>1136</v>
      </c>
      <c r="L12784" s="8" t="s">
        <v>29246</v>
      </c>
      <c r="M12784" s="8" t="s">
        <v>29247</v>
      </c>
      <c r="N12784" s="8" t="s">
        <v>53568</v>
      </c>
      <c r="O12784" s="8">
        <f>20+6/60+28.2/3600</f>
        <v>20.107833333333335</v>
      </c>
      <c r="P12784" s="8" t="s">
        <v>53569</v>
      </c>
      <c r="Q12784" s="8">
        <f>-(48+22/60+33/3600)</f>
        <v>-48.375833333333333</v>
      </c>
      <c r="R12784" s="8">
        <v>12.7</v>
      </c>
      <c r="S12784" s="8">
        <v>13.6</v>
      </c>
      <c r="T12784" s="8">
        <v>0.9</v>
      </c>
      <c r="U12784" s="8">
        <v>13.2</v>
      </c>
      <c r="V12784" s="8">
        <v>1.4</v>
      </c>
      <c r="W12784" s="8">
        <v>1.1000000000000001</v>
      </c>
      <c r="X12784" s="8">
        <v>38</v>
      </c>
      <c r="Y12784" s="8" t="s">
        <v>53570</v>
      </c>
      <c r="Z12784" s="8" t="s">
        <v>53571</v>
      </c>
    </row>
    <row r="12785" spans="1:26" x14ac:dyDescent="0.2">
      <c r="A12785" s="8">
        <v>12784</v>
      </c>
      <c r="B12785" s="8" t="s">
        <v>53572</v>
      </c>
      <c r="C12785" s="8" t="s">
        <v>53572</v>
      </c>
      <c r="G12785" s="8">
        <v>20</v>
      </c>
      <c r="H12785" s="8" t="s">
        <v>21</v>
      </c>
      <c r="I12785" s="8" t="s">
        <v>22</v>
      </c>
      <c r="J12785" s="8" t="s">
        <v>22</v>
      </c>
      <c r="K12785" s="8" t="s">
        <v>632</v>
      </c>
      <c r="L12785" s="8" t="s">
        <v>29246</v>
      </c>
      <c r="M12785" s="8" t="s">
        <v>29247</v>
      </c>
      <c r="N12785" s="8" t="s">
        <v>53573</v>
      </c>
      <c r="O12785" s="8">
        <f>20+7/60+9.1/3600</f>
        <v>20.119194444444446</v>
      </c>
      <c r="P12785" s="8" t="s">
        <v>53574</v>
      </c>
      <c r="Q12785" s="8">
        <f>-(54+26/60+48/3600)</f>
        <v>-54.446666666666665</v>
      </c>
      <c r="R12785" s="8">
        <v>13.7</v>
      </c>
      <c r="S12785" s="8">
        <v>14.6</v>
      </c>
      <c r="T12785" s="8">
        <v>0.9</v>
      </c>
      <c r="U12785" s="8">
        <v>12.6</v>
      </c>
      <c r="V12785" s="8">
        <v>1</v>
      </c>
      <c r="W12785" s="8">
        <v>0.4</v>
      </c>
      <c r="X12785" s="8">
        <v>6</v>
      </c>
      <c r="Y12785" s="8" t="s">
        <v>46310</v>
      </c>
      <c r="Z12785" s="8" t="s">
        <v>46311</v>
      </c>
    </row>
    <row r="12786" spans="1:26" x14ac:dyDescent="0.2">
      <c r="A12786" s="8">
        <v>12785</v>
      </c>
      <c r="B12786" s="8" t="s">
        <v>53575</v>
      </c>
      <c r="C12786" s="8" t="s">
        <v>53575</v>
      </c>
      <c r="G12786" s="8">
        <v>20</v>
      </c>
      <c r="H12786" s="8" t="s">
        <v>21</v>
      </c>
      <c r="I12786" s="8" t="s">
        <v>22</v>
      </c>
      <c r="J12786" s="8" t="s">
        <v>22</v>
      </c>
      <c r="K12786" s="8" t="s">
        <v>23</v>
      </c>
      <c r="L12786" s="8" t="s">
        <v>28435</v>
      </c>
      <c r="M12786" s="8" t="s">
        <v>28436</v>
      </c>
      <c r="N12786" s="8" t="s">
        <v>53576</v>
      </c>
      <c r="O12786" s="8">
        <f>20+11/60+17.1/3600</f>
        <v>20.188083333333335</v>
      </c>
      <c r="P12786" s="8" t="s">
        <v>53577</v>
      </c>
      <c r="Q12786" s="8">
        <f>-(71+0/60+46/3600)</f>
        <v>-71.012777777777771</v>
      </c>
      <c r="R12786" s="8">
        <v>13.9</v>
      </c>
      <c r="S12786" s="8">
        <v>14.7</v>
      </c>
      <c r="T12786" s="8">
        <v>0.8</v>
      </c>
      <c r="U12786" s="8">
        <v>12.9</v>
      </c>
      <c r="V12786" s="8">
        <v>1.2</v>
      </c>
      <c r="W12786" s="8">
        <v>0.3</v>
      </c>
      <c r="X12786" s="8">
        <v>178</v>
      </c>
      <c r="Y12786" s="8" t="s">
        <v>53578</v>
      </c>
      <c r="Z12786" s="8" t="s">
        <v>53579</v>
      </c>
    </row>
    <row r="12787" spans="1:26" x14ac:dyDescent="0.2">
      <c r="A12787" s="8">
        <v>12786</v>
      </c>
      <c r="B12787" s="8" t="s">
        <v>53580</v>
      </c>
      <c r="C12787" s="8" t="s">
        <v>53580</v>
      </c>
      <c r="G12787" s="8">
        <v>13</v>
      </c>
      <c r="H12787" s="8" t="s">
        <v>53581</v>
      </c>
      <c r="I12787" s="8" t="s">
        <v>22</v>
      </c>
      <c r="J12787" s="8" t="s">
        <v>22</v>
      </c>
      <c r="K12787" s="8" t="s">
        <v>435</v>
      </c>
      <c r="L12787" s="8" t="s">
        <v>28576</v>
      </c>
      <c r="M12787" s="8" t="s">
        <v>28577</v>
      </c>
      <c r="N12787" s="8" t="s">
        <v>53582</v>
      </c>
      <c r="O12787" s="8">
        <f>20+23/60+58/3600</f>
        <v>20.399444444444445</v>
      </c>
      <c r="P12787" s="8" t="s">
        <v>53583</v>
      </c>
      <c r="Q12787" s="8">
        <f>-(43+59/60+43/3600)</f>
        <v>-43.99527777777778</v>
      </c>
      <c r="R12787" s="8">
        <v>11.8</v>
      </c>
      <c r="S12787" s="8">
        <v>12.6</v>
      </c>
      <c r="T12787" s="8">
        <v>0.8</v>
      </c>
      <c r="U12787" s="8">
        <v>12.7</v>
      </c>
      <c r="V12787" s="8">
        <v>2.4</v>
      </c>
      <c r="W12787" s="8">
        <v>1</v>
      </c>
      <c r="X12787" s="8">
        <v>68</v>
      </c>
      <c r="Y12787" s="8" t="s">
        <v>227</v>
      </c>
      <c r="Z12787" s="8" t="s">
        <v>228</v>
      </c>
    </row>
    <row r="12788" spans="1:26" x14ac:dyDescent="0.2">
      <c r="A12788" s="8">
        <v>12787</v>
      </c>
      <c r="B12788" s="8" t="s">
        <v>53584</v>
      </c>
      <c r="C12788" s="8" t="s">
        <v>53584</v>
      </c>
      <c r="G12788" s="8">
        <v>20</v>
      </c>
      <c r="H12788" s="8" t="s">
        <v>21</v>
      </c>
      <c r="I12788" s="8" t="s">
        <v>22</v>
      </c>
      <c r="J12788" s="8" t="s">
        <v>22</v>
      </c>
      <c r="K12788" s="8" t="s">
        <v>382</v>
      </c>
      <c r="L12788" s="8" t="s">
        <v>29246</v>
      </c>
      <c r="M12788" s="8" t="s">
        <v>29247</v>
      </c>
      <c r="N12788" s="8" t="s">
        <v>53585</v>
      </c>
      <c r="O12788" s="8">
        <f>20+7/60+31.8/3600</f>
        <v>20.125499999999999</v>
      </c>
      <c r="P12788" s="8" t="s">
        <v>53586</v>
      </c>
      <c r="Q12788" s="8">
        <f>-(53+8/60+34/3600)</f>
        <v>-53.142777777777781</v>
      </c>
      <c r="R12788" s="8">
        <v>13.9</v>
      </c>
      <c r="S12788" s="8">
        <v>15</v>
      </c>
      <c r="T12788" s="8">
        <v>1.1000000000000001</v>
      </c>
      <c r="U12788" s="8">
        <v>12.9</v>
      </c>
      <c r="V12788" s="8">
        <v>0.8</v>
      </c>
      <c r="W12788" s="8">
        <v>0.6</v>
      </c>
      <c r="X12788" s="8">
        <v>84</v>
      </c>
      <c r="Y12788" s="8" t="s">
        <v>46249</v>
      </c>
      <c r="Z12788" s="8" t="s">
        <v>46250</v>
      </c>
    </row>
    <row r="12789" spans="1:26" x14ac:dyDescent="0.2">
      <c r="A12789" s="8">
        <v>12788</v>
      </c>
      <c r="B12789" s="8" t="s">
        <v>53587</v>
      </c>
      <c r="C12789" s="8" t="s">
        <v>53587</v>
      </c>
      <c r="G12789" s="8">
        <v>20</v>
      </c>
      <c r="H12789" s="8" t="s">
        <v>21</v>
      </c>
      <c r="I12789" s="8" t="s">
        <v>22</v>
      </c>
      <c r="J12789" s="8" t="s">
        <v>57</v>
      </c>
      <c r="K12789" s="8" t="s">
        <v>154</v>
      </c>
      <c r="L12789" s="8" t="s">
        <v>28576</v>
      </c>
      <c r="M12789" s="8" t="s">
        <v>28577</v>
      </c>
      <c r="N12789" s="8" t="s">
        <v>30654</v>
      </c>
      <c r="O12789" s="8">
        <f>20+24/60+27.9/3600</f>
        <v>20.40775</v>
      </c>
      <c r="P12789" s="8" t="s">
        <v>30655</v>
      </c>
      <c r="Q12789" s="8">
        <f>-(43+39/60+11/3600)</f>
        <v>-43.653055555555554</v>
      </c>
      <c r="R12789" s="8">
        <v>10.9</v>
      </c>
      <c r="S12789" s="8">
        <v>11.6</v>
      </c>
      <c r="T12789" s="8">
        <v>0.7</v>
      </c>
      <c r="U12789" s="8">
        <v>14.1</v>
      </c>
      <c r="V12789" s="8">
        <v>5.6</v>
      </c>
      <c r="W12789" s="8">
        <v>3.9</v>
      </c>
      <c r="X12789" s="8">
        <v>153</v>
      </c>
      <c r="Y12789" s="8" t="s">
        <v>53588</v>
      </c>
      <c r="Z12789" s="8" t="s">
        <v>53589</v>
      </c>
    </row>
    <row r="12790" spans="1:26" x14ac:dyDescent="0.2">
      <c r="A12790" s="8">
        <v>12789</v>
      </c>
      <c r="B12790" s="8" t="s">
        <v>53590</v>
      </c>
      <c r="C12790" s="8" t="s">
        <v>53590</v>
      </c>
      <c r="G12790" s="8">
        <v>20</v>
      </c>
      <c r="H12790" s="8" t="s">
        <v>21</v>
      </c>
      <c r="I12790" s="8" t="s">
        <v>22</v>
      </c>
      <c r="J12790" s="8" t="s">
        <v>57</v>
      </c>
      <c r="K12790" s="8" t="s">
        <v>58</v>
      </c>
      <c r="L12790" s="8" t="s">
        <v>29246</v>
      </c>
      <c r="M12790" s="8" t="s">
        <v>29247</v>
      </c>
      <c r="N12790" s="8" t="s">
        <v>30470</v>
      </c>
      <c r="O12790" s="8">
        <f>20+7/60+19.4/3600</f>
        <v>20.122055555555555</v>
      </c>
      <c r="P12790" s="8" t="s">
        <v>30471</v>
      </c>
      <c r="Q12790" s="8">
        <f>-(48+22/60+10/3600)</f>
        <v>-48.369444444444447</v>
      </c>
      <c r="R12790" s="8">
        <v>11.1</v>
      </c>
      <c r="S12790" s="8">
        <v>12.1</v>
      </c>
      <c r="T12790" s="8">
        <v>1</v>
      </c>
      <c r="U12790" s="8">
        <v>12.8</v>
      </c>
      <c r="V12790" s="8">
        <v>3</v>
      </c>
      <c r="W12790" s="8">
        <v>2</v>
      </c>
      <c r="X12790" s="8">
        <v>140</v>
      </c>
      <c r="Y12790" s="8" t="s">
        <v>53591</v>
      </c>
      <c r="Z12790" s="8" t="s">
        <v>53592</v>
      </c>
    </row>
    <row r="12791" spans="1:26" x14ac:dyDescent="0.2">
      <c r="A12791" s="8">
        <v>12790</v>
      </c>
      <c r="B12791" s="8" t="s">
        <v>53593</v>
      </c>
      <c r="C12791" s="8" t="s">
        <v>53593</v>
      </c>
      <c r="G12791" s="8">
        <v>20</v>
      </c>
      <c r="H12791" s="8" t="s">
        <v>21</v>
      </c>
      <c r="I12791" s="8" t="s">
        <v>22</v>
      </c>
      <c r="J12791" s="8" t="s">
        <v>22</v>
      </c>
      <c r="K12791" s="8" t="s">
        <v>85</v>
      </c>
      <c r="L12791" s="8" t="s">
        <v>29246</v>
      </c>
      <c r="M12791" s="8" t="s">
        <v>29247</v>
      </c>
      <c r="N12791" s="8" t="s">
        <v>53594</v>
      </c>
      <c r="O12791" s="8">
        <f>20+8/60+27.3/3600</f>
        <v>20.140916666666666</v>
      </c>
      <c r="P12791" s="8" t="s">
        <v>53595</v>
      </c>
      <c r="Q12791" s="8">
        <f>-(56+9/60+43/3600)</f>
        <v>-56.161944444444444</v>
      </c>
      <c r="R12791" s="8">
        <v>14.4</v>
      </c>
      <c r="S12791" s="8">
        <v>15.2</v>
      </c>
      <c r="T12791" s="8">
        <v>0.8</v>
      </c>
      <c r="U12791" s="8">
        <v>13.5</v>
      </c>
      <c r="V12791" s="8">
        <v>1.3</v>
      </c>
      <c r="W12791" s="8">
        <v>0.4</v>
      </c>
      <c r="X12791" s="8">
        <v>39</v>
      </c>
      <c r="Y12791" s="8" t="s">
        <v>53596</v>
      </c>
      <c r="Z12791" s="8" t="s">
        <v>53597</v>
      </c>
    </row>
    <row r="12792" spans="1:26" x14ac:dyDescent="0.2">
      <c r="A12792" s="8">
        <v>12791</v>
      </c>
      <c r="B12792" s="8" t="s">
        <v>53598</v>
      </c>
      <c r="C12792" s="8" t="s">
        <v>53598</v>
      </c>
      <c r="G12792" s="8">
        <v>20</v>
      </c>
      <c r="H12792" s="8" t="s">
        <v>21</v>
      </c>
      <c r="I12792" s="8" t="s">
        <v>22</v>
      </c>
      <c r="J12792" s="8" t="s">
        <v>22</v>
      </c>
      <c r="K12792" s="8" t="s">
        <v>269</v>
      </c>
      <c r="L12792" s="8" t="s">
        <v>28435</v>
      </c>
      <c r="M12792" s="8" t="s">
        <v>28436</v>
      </c>
      <c r="N12792" s="8" t="s">
        <v>53599</v>
      </c>
      <c r="O12792" s="8">
        <f>20+9/60+31.7/3600</f>
        <v>20.158805555555553</v>
      </c>
      <c r="P12792" s="8" t="s">
        <v>53600</v>
      </c>
      <c r="Q12792" s="8">
        <f>-(61+51/60+1/3600)</f>
        <v>-61.850277777777777</v>
      </c>
      <c r="R12792" s="8">
        <v>13.3</v>
      </c>
      <c r="S12792" s="8">
        <v>13.9</v>
      </c>
      <c r="T12792" s="8">
        <v>0.6</v>
      </c>
      <c r="U12792" s="8">
        <v>13.5</v>
      </c>
      <c r="V12792" s="8">
        <v>2.7</v>
      </c>
      <c r="W12792" s="8">
        <v>0.5</v>
      </c>
      <c r="X12792" s="8">
        <v>176</v>
      </c>
      <c r="Y12792" s="8" t="s">
        <v>53601</v>
      </c>
      <c r="Z12792" s="8" t="s">
        <v>53602</v>
      </c>
    </row>
    <row r="12793" spans="1:26" x14ac:dyDescent="0.2">
      <c r="A12793" s="8">
        <v>12792</v>
      </c>
      <c r="B12793" s="8" t="s">
        <v>53603</v>
      </c>
      <c r="C12793" s="8" t="s">
        <v>53603</v>
      </c>
      <c r="G12793" s="8">
        <v>20</v>
      </c>
      <c r="H12793" s="8" t="s">
        <v>21</v>
      </c>
      <c r="I12793" s="8" t="s">
        <v>22</v>
      </c>
      <c r="J12793" s="8" t="s">
        <v>22</v>
      </c>
      <c r="K12793" s="8" t="s">
        <v>91</v>
      </c>
      <c r="L12793" s="8" t="s">
        <v>29246</v>
      </c>
      <c r="M12793" s="8" t="s">
        <v>29247</v>
      </c>
      <c r="N12793" s="8" t="s">
        <v>53604</v>
      </c>
      <c r="O12793" s="8">
        <f>20+8/60+37.6/3600</f>
        <v>20.143777777777778</v>
      </c>
      <c r="P12793" s="8" t="s">
        <v>53605</v>
      </c>
      <c r="Q12793" s="8">
        <f>-(55+27/60+12/3600)</f>
        <v>-55.453333333333333</v>
      </c>
      <c r="R12793" s="8">
        <v>13.1</v>
      </c>
      <c r="S12793" s="8">
        <v>14</v>
      </c>
      <c r="T12793" s="8">
        <v>0.9</v>
      </c>
      <c r="U12793" s="8">
        <v>12.7</v>
      </c>
      <c r="V12793" s="8">
        <v>1.3</v>
      </c>
      <c r="W12793" s="8">
        <v>0.6</v>
      </c>
      <c r="X12793" s="8">
        <v>8</v>
      </c>
      <c r="Y12793" s="8" t="s">
        <v>53606</v>
      </c>
      <c r="Z12793" s="8" t="s">
        <v>53607</v>
      </c>
    </row>
    <row r="12794" spans="1:26" x14ac:dyDescent="0.2">
      <c r="A12794" s="8">
        <v>12793</v>
      </c>
      <c r="B12794" s="8" t="s">
        <v>53608</v>
      </c>
      <c r="C12794" s="8" t="s">
        <v>53608</v>
      </c>
      <c r="G12794" s="8">
        <v>20</v>
      </c>
      <c r="H12794" s="8" t="s">
        <v>21</v>
      </c>
      <c r="I12794" s="8" t="s">
        <v>22</v>
      </c>
      <c r="J12794" s="8" t="s">
        <v>22</v>
      </c>
      <c r="K12794" s="8" t="s">
        <v>42046</v>
      </c>
      <c r="L12794" s="8" t="s">
        <v>28435</v>
      </c>
      <c r="M12794" s="8" t="s">
        <v>28436</v>
      </c>
      <c r="N12794" s="8" t="s">
        <v>53609</v>
      </c>
      <c r="O12794" s="8">
        <f>20+10/60+0/3600</f>
        <v>20.166666666666668</v>
      </c>
      <c r="P12794" s="8" t="s">
        <v>53610</v>
      </c>
      <c r="Q12794" s="8">
        <f>-(62+47/60+31/3600)</f>
        <v>-62.791944444444439</v>
      </c>
      <c r="R12794" s="8">
        <v>14.9</v>
      </c>
      <c r="S12794" s="8">
        <v>15.7</v>
      </c>
      <c r="T12794" s="8">
        <v>0.8</v>
      </c>
      <c r="U12794" s="8">
        <v>13.2</v>
      </c>
      <c r="V12794" s="8">
        <v>0.6</v>
      </c>
      <c r="W12794" s="8">
        <v>0.4</v>
      </c>
      <c r="X12794" s="8">
        <v>69</v>
      </c>
      <c r="Y12794" s="8" t="s">
        <v>53611</v>
      </c>
      <c r="Z12794" s="8" t="s">
        <v>53612</v>
      </c>
    </row>
    <row r="12795" spans="1:26" x14ac:dyDescent="0.2">
      <c r="A12795" s="8">
        <v>12794</v>
      </c>
      <c r="B12795" s="8" t="s">
        <v>53613</v>
      </c>
      <c r="C12795" s="8" t="s">
        <v>53613</v>
      </c>
      <c r="G12795" s="8">
        <v>13</v>
      </c>
      <c r="H12795" s="8" t="s">
        <v>21</v>
      </c>
      <c r="I12795" s="8" t="s">
        <v>1283</v>
      </c>
      <c r="J12795" s="8" t="s">
        <v>1283</v>
      </c>
      <c r="K12795" s="8" t="s">
        <v>6208</v>
      </c>
      <c r="L12795" s="8" t="s">
        <v>30153</v>
      </c>
      <c r="M12795" s="8" t="s">
        <v>30154</v>
      </c>
      <c r="N12795" s="8" t="s">
        <v>53614</v>
      </c>
      <c r="O12795" s="8">
        <f>20+4/60+45/3600</f>
        <v>20.079166666666666</v>
      </c>
      <c r="P12795" s="8" t="s">
        <v>53615</v>
      </c>
      <c r="Q12795" s="8">
        <f>+(29+15/60+12/3600)</f>
        <v>29.253333333333334</v>
      </c>
      <c r="R12795" s="8">
        <v>99</v>
      </c>
      <c r="S12795" s="8">
        <v>99</v>
      </c>
      <c r="T12795" s="8">
        <v>99</v>
      </c>
      <c r="U12795" s="8">
        <v>99</v>
      </c>
      <c r="V12795" s="8">
        <v>3</v>
      </c>
      <c r="W12795" s="8">
        <v>3</v>
      </c>
      <c r="Y12795" s="8" t="s">
        <v>53616</v>
      </c>
      <c r="Z12795" s="8" t="s">
        <v>53617</v>
      </c>
    </row>
    <row r="12796" spans="1:26" x14ac:dyDescent="0.2">
      <c r="A12796" s="8">
        <v>12795</v>
      </c>
      <c r="B12796" s="8" t="s">
        <v>53618</v>
      </c>
      <c r="C12796" s="8" t="s">
        <v>53618</v>
      </c>
      <c r="G12796" s="8">
        <v>20</v>
      </c>
      <c r="H12796" s="8" t="s">
        <v>21</v>
      </c>
      <c r="I12796" s="8" t="s">
        <v>1283</v>
      </c>
      <c r="J12796" s="8" t="s">
        <v>1283</v>
      </c>
      <c r="K12796" s="8" t="s">
        <v>6208</v>
      </c>
      <c r="L12796" s="8" t="s">
        <v>30153</v>
      </c>
      <c r="M12796" s="8" t="s">
        <v>30154</v>
      </c>
      <c r="N12796" s="8" t="s">
        <v>53619</v>
      </c>
      <c r="O12796" s="8">
        <f>20+4/60+53/3600</f>
        <v>20.081388888888888</v>
      </c>
      <c r="P12796" s="8" t="s">
        <v>53620</v>
      </c>
      <c r="Q12796" s="8">
        <f>+(29+11/60+24/3600)</f>
        <v>29.19</v>
      </c>
      <c r="R12796" s="8">
        <v>99</v>
      </c>
      <c r="S12796" s="8">
        <v>99</v>
      </c>
      <c r="T12796" s="8">
        <v>99</v>
      </c>
      <c r="U12796" s="8">
        <v>99</v>
      </c>
      <c r="V12796" s="8">
        <v>5</v>
      </c>
      <c r="W12796" s="8">
        <v>5</v>
      </c>
      <c r="Y12796" s="8" t="s">
        <v>53621</v>
      </c>
      <c r="Z12796" s="8" t="s">
        <v>53622</v>
      </c>
    </row>
    <row r="12797" spans="1:26" x14ac:dyDescent="0.2">
      <c r="A12797" s="8">
        <v>12796</v>
      </c>
      <c r="B12797" s="8" t="s">
        <v>53623</v>
      </c>
      <c r="C12797" s="8" t="s">
        <v>53623</v>
      </c>
      <c r="G12797" s="8">
        <v>20</v>
      </c>
      <c r="H12797" s="8" t="s">
        <v>21</v>
      </c>
      <c r="I12797" s="8" t="s">
        <v>22</v>
      </c>
      <c r="J12797" s="8" t="s">
        <v>22</v>
      </c>
      <c r="K12797" s="8" t="s">
        <v>183</v>
      </c>
      <c r="L12797" s="8" t="s">
        <v>29246</v>
      </c>
      <c r="M12797" s="8" t="s">
        <v>29247</v>
      </c>
      <c r="N12797" s="8" t="s">
        <v>53624</v>
      </c>
      <c r="O12797" s="8">
        <f>20+11/60+31.1/3600</f>
        <v>20.191972222222223</v>
      </c>
      <c r="P12797" s="8" t="s">
        <v>53625</v>
      </c>
      <c r="Q12797" s="8">
        <f>-(45+35/60+35/3600)</f>
        <v>-45.593055555555559</v>
      </c>
      <c r="R12797" s="8">
        <v>12.4</v>
      </c>
      <c r="S12797" s="8">
        <v>13.3</v>
      </c>
      <c r="T12797" s="8">
        <v>0.9</v>
      </c>
      <c r="U12797" s="8">
        <v>13.5</v>
      </c>
      <c r="V12797" s="8">
        <v>1.7</v>
      </c>
      <c r="W12797" s="8">
        <v>1.6</v>
      </c>
      <c r="X12797" s="8">
        <v>14</v>
      </c>
      <c r="Y12797" s="8" t="s">
        <v>237</v>
      </c>
      <c r="Z12797" s="8" t="s">
        <v>238</v>
      </c>
    </row>
    <row r="12798" spans="1:26" x14ac:dyDescent="0.2">
      <c r="A12798" s="8">
        <v>12797</v>
      </c>
      <c r="B12798" s="8" t="s">
        <v>53626</v>
      </c>
      <c r="C12798" s="8" t="s">
        <v>53626</v>
      </c>
      <c r="G12798" s="8">
        <v>20</v>
      </c>
      <c r="H12798" s="8" t="s">
        <v>21</v>
      </c>
      <c r="I12798" s="8" t="s">
        <v>22</v>
      </c>
      <c r="J12798" s="8" t="s">
        <v>22</v>
      </c>
      <c r="K12798" s="8" t="s">
        <v>406</v>
      </c>
      <c r="L12798" s="8" t="s">
        <v>29246</v>
      </c>
      <c r="M12798" s="8" t="s">
        <v>29247</v>
      </c>
      <c r="N12798" s="8" t="s">
        <v>53627</v>
      </c>
      <c r="O12798" s="8">
        <f>20+9/60+35.7/3600</f>
        <v>20.159916666666664</v>
      </c>
      <c r="P12798" s="8" t="s">
        <v>53628</v>
      </c>
      <c r="Q12798" s="8">
        <f>-(55+42/60+32/3600)</f>
        <v>-55.708888888888893</v>
      </c>
      <c r="R12798" s="8">
        <v>14.5</v>
      </c>
      <c r="S12798" s="8">
        <v>15.3</v>
      </c>
      <c r="T12798" s="8">
        <v>0.8</v>
      </c>
      <c r="U12798" s="8">
        <v>13.7</v>
      </c>
      <c r="V12798" s="8">
        <v>0.9</v>
      </c>
      <c r="W12798" s="8">
        <v>0.6</v>
      </c>
      <c r="X12798" s="8">
        <v>1</v>
      </c>
      <c r="Y12798" s="8" t="s">
        <v>46310</v>
      </c>
      <c r="Z12798" s="8" t="s">
        <v>53629</v>
      </c>
    </row>
    <row r="12799" spans="1:26" x14ac:dyDescent="0.2">
      <c r="A12799" s="8">
        <v>12798</v>
      </c>
      <c r="B12799" s="8" t="s">
        <v>53630</v>
      </c>
      <c r="C12799" s="8" t="s">
        <v>53630</v>
      </c>
      <c r="G12799" s="8">
        <v>20</v>
      </c>
      <c r="H12799" s="8" t="s">
        <v>21</v>
      </c>
      <c r="I12799" s="8" t="s">
        <v>22</v>
      </c>
      <c r="J12799" s="8" t="s">
        <v>22</v>
      </c>
      <c r="K12799" s="8" t="s">
        <v>42046</v>
      </c>
      <c r="L12799" s="8" t="s">
        <v>28435</v>
      </c>
      <c r="M12799" s="8" t="s">
        <v>28436</v>
      </c>
      <c r="N12799" s="8" t="s">
        <v>53631</v>
      </c>
      <c r="O12799" s="8">
        <f>20+15/60+35.2/3600</f>
        <v>20.259777777777778</v>
      </c>
      <c r="P12799" s="8" t="s">
        <v>53632</v>
      </c>
      <c r="Q12799" s="8">
        <f>-(72+42/60+41/3600)</f>
        <v>-72.711388888888891</v>
      </c>
      <c r="R12799" s="8">
        <v>15.2</v>
      </c>
      <c r="S12799" s="8">
        <v>16</v>
      </c>
      <c r="T12799" s="8">
        <v>0.8</v>
      </c>
      <c r="U12799" s="8">
        <v>12.4</v>
      </c>
      <c r="V12799" s="8">
        <v>0.3</v>
      </c>
      <c r="W12799" s="8">
        <v>0.3</v>
      </c>
      <c r="Y12799" s="8" t="s">
        <v>53633</v>
      </c>
      <c r="Z12799" s="8" t="s">
        <v>53634</v>
      </c>
    </row>
    <row r="12800" spans="1:26" x14ac:dyDescent="0.2">
      <c r="A12800" s="8">
        <v>12799</v>
      </c>
      <c r="B12800" s="8" t="s">
        <v>53635</v>
      </c>
      <c r="C12800" s="8" t="s">
        <v>53635</v>
      </c>
      <c r="G12800" s="8">
        <v>20</v>
      </c>
      <c r="H12800" s="8" t="s">
        <v>21</v>
      </c>
      <c r="I12800" s="8" t="s">
        <v>329</v>
      </c>
      <c r="J12800" s="8" t="s">
        <v>329</v>
      </c>
      <c r="K12800" s="8" t="s">
        <v>329</v>
      </c>
      <c r="L12800" s="8" t="s">
        <v>29246</v>
      </c>
      <c r="M12800" s="8" t="s">
        <v>29247</v>
      </c>
      <c r="N12800" s="8" t="s">
        <v>53636</v>
      </c>
      <c r="O12800" s="8">
        <f>20+10/60+57/3600</f>
        <v>20.182500000000001</v>
      </c>
      <c r="P12800" s="8" t="s">
        <v>53637</v>
      </c>
      <c r="Q12800" s="8">
        <f>-(53+5/60+24/3600)</f>
        <v>-53.09</v>
      </c>
      <c r="R12800" s="8">
        <v>99</v>
      </c>
      <c r="S12800" s="8">
        <v>99</v>
      </c>
      <c r="T12800" s="8">
        <v>99</v>
      </c>
      <c r="U12800" s="8">
        <v>99</v>
      </c>
      <c r="Y12800" s="8" t="s">
        <v>53638</v>
      </c>
      <c r="Z12800" s="8" t="s">
        <v>53639</v>
      </c>
    </row>
    <row r="12801" spans="1:26" x14ac:dyDescent="0.2">
      <c r="A12801" s="8">
        <v>12800</v>
      </c>
      <c r="B12801" s="8" t="s">
        <v>53640</v>
      </c>
      <c r="C12801" s="8" t="s">
        <v>53640</v>
      </c>
      <c r="G12801" s="8">
        <v>20</v>
      </c>
      <c r="H12801" s="8" t="s">
        <v>21</v>
      </c>
      <c r="I12801" s="8" t="s">
        <v>22</v>
      </c>
      <c r="J12801" s="8" t="s">
        <v>22</v>
      </c>
      <c r="K12801" s="8" t="s">
        <v>224</v>
      </c>
      <c r="L12801" s="8" t="s">
        <v>28435</v>
      </c>
      <c r="M12801" s="8" t="s">
        <v>28436</v>
      </c>
      <c r="N12801" s="8" t="s">
        <v>53641</v>
      </c>
      <c r="O12801" s="8">
        <f>20+15/60+24/3600</f>
        <v>20.256666666666668</v>
      </c>
      <c r="P12801" s="8" t="s">
        <v>53642</v>
      </c>
      <c r="Q12801" s="8">
        <f>-(70+32/60+13/3600)</f>
        <v>-70.536944444444444</v>
      </c>
      <c r="R12801" s="8">
        <v>13.4</v>
      </c>
      <c r="S12801" s="8">
        <v>14.4</v>
      </c>
      <c r="T12801" s="8">
        <v>1</v>
      </c>
      <c r="U12801" s="8">
        <v>12.4</v>
      </c>
      <c r="V12801" s="8">
        <v>1.1000000000000001</v>
      </c>
      <c r="W12801" s="8">
        <v>0.3</v>
      </c>
      <c r="X12801" s="8">
        <v>166</v>
      </c>
      <c r="Y12801" s="8" t="s">
        <v>33077</v>
      </c>
      <c r="Z12801" s="8" t="s">
        <v>33078</v>
      </c>
    </row>
    <row r="12802" spans="1:26" x14ac:dyDescent="0.2">
      <c r="A12802" s="8">
        <v>12801</v>
      </c>
      <c r="B12802" s="8" t="s">
        <v>53643</v>
      </c>
      <c r="C12802" s="8" t="s">
        <v>53643</v>
      </c>
      <c r="G12802" s="8">
        <v>20</v>
      </c>
      <c r="H12802" s="8" t="s">
        <v>21</v>
      </c>
      <c r="I12802" s="8" t="s">
        <v>22</v>
      </c>
      <c r="J12802" s="8" t="s">
        <v>22</v>
      </c>
      <c r="K12802" s="8" t="s">
        <v>269</v>
      </c>
      <c r="L12802" s="8" t="s">
        <v>29246</v>
      </c>
      <c r="M12802" s="8" t="s">
        <v>29247</v>
      </c>
      <c r="N12802" s="8" t="s">
        <v>53644</v>
      </c>
      <c r="O12802" s="8">
        <f>20+11/60+28.7/3600</f>
        <v>20.191305555555555</v>
      </c>
      <c r="P12802" s="8" t="s">
        <v>53645</v>
      </c>
      <c r="Q12802" s="8">
        <f>-(53+7/60+32/3600)</f>
        <v>-53.125555555555557</v>
      </c>
      <c r="R12802" s="8">
        <v>14.2</v>
      </c>
      <c r="S12802" s="8">
        <v>14.8</v>
      </c>
      <c r="T12802" s="8">
        <v>0.6</v>
      </c>
      <c r="U12802" s="8">
        <v>13.5</v>
      </c>
      <c r="V12802" s="8">
        <v>1.5</v>
      </c>
      <c r="W12802" s="8">
        <v>0.5</v>
      </c>
      <c r="X12802" s="8">
        <v>90</v>
      </c>
      <c r="Y12802" s="8" t="s">
        <v>53646</v>
      </c>
      <c r="Z12802" s="8" t="s">
        <v>53647</v>
      </c>
    </row>
    <row r="12803" spans="1:26" x14ac:dyDescent="0.2">
      <c r="A12803" s="8">
        <v>12802</v>
      </c>
      <c r="B12803" s="8" t="s">
        <v>53648</v>
      </c>
      <c r="C12803" s="8" t="s">
        <v>53648</v>
      </c>
      <c r="G12803" s="8">
        <v>20</v>
      </c>
      <c r="H12803" s="8" t="s">
        <v>21</v>
      </c>
      <c r="I12803" s="8" t="s">
        <v>22</v>
      </c>
      <c r="J12803" s="8" t="s">
        <v>22</v>
      </c>
      <c r="K12803" s="8" t="s">
        <v>42046</v>
      </c>
      <c r="L12803" s="8" t="s">
        <v>28435</v>
      </c>
      <c r="M12803" s="8" t="s">
        <v>28436</v>
      </c>
      <c r="N12803" s="8" t="s">
        <v>53649</v>
      </c>
      <c r="O12803" s="8">
        <f>20+16/60+42.1/3600</f>
        <v>20.27836111111111</v>
      </c>
      <c r="P12803" s="8" t="s">
        <v>53650</v>
      </c>
      <c r="Q12803" s="8">
        <f>-(71+7/60+48/3600)</f>
        <v>-71.13</v>
      </c>
      <c r="R12803" s="8">
        <v>15.4</v>
      </c>
      <c r="S12803" s="8">
        <v>16.2</v>
      </c>
      <c r="T12803" s="8">
        <v>0.8</v>
      </c>
      <c r="U12803" s="8">
        <v>13.6</v>
      </c>
      <c r="V12803" s="8">
        <v>1.1000000000000001</v>
      </c>
      <c r="W12803" s="8">
        <v>0.2</v>
      </c>
      <c r="X12803" s="8">
        <v>155</v>
      </c>
      <c r="Y12803" s="8" t="s">
        <v>53651</v>
      </c>
      <c r="Z12803" s="8" t="s">
        <v>53652</v>
      </c>
    </row>
    <row r="12804" spans="1:26" x14ac:dyDescent="0.2">
      <c r="A12804" s="8">
        <v>12803</v>
      </c>
      <c r="B12804" s="8" t="s">
        <v>53653</v>
      </c>
      <c r="C12804" s="8" t="s">
        <v>53653</v>
      </c>
      <c r="G12804" s="8">
        <v>20</v>
      </c>
      <c r="H12804" s="8" t="s">
        <v>21</v>
      </c>
      <c r="I12804" s="8" t="s">
        <v>22</v>
      </c>
      <c r="J12804" s="8" t="s">
        <v>22</v>
      </c>
      <c r="K12804" s="8" t="s">
        <v>91</v>
      </c>
      <c r="L12804" s="8" t="s">
        <v>29246</v>
      </c>
      <c r="M12804" s="8" t="s">
        <v>29247</v>
      </c>
      <c r="N12804" s="8" t="s">
        <v>53654</v>
      </c>
      <c r="O12804" s="8">
        <f>20+12/60+5.5/3600</f>
        <v>20.201527777777777</v>
      </c>
      <c r="P12804" s="8" t="s">
        <v>53655</v>
      </c>
      <c r="Q12804" s="8">
        <f>-(55+14/60+44/3600)</f>
        <v>-55.245555555555555</v>
      </c>
      <c r="R12804" s="8">
        <v>13.3</v>
      </c>
      <c r="S12804" s="8">
        <v>14.2</v>
      </c>
      <c r="T12804" s="8">
        <v>0.9</v>
      </c>
      <c r="U12804" s="8">
        <v>12.4</v>
      </c>
      <c r="V12804" s="8">
        <v>1</v>
      </c>
      <c r="W12804" s="8">
        <v>0.5</v>
      </c>
      <c r="X12804" s="8">
        <v>160</v>
      </c>
      <c r="Y12804" s="8" t="s">
        <v>421</v>
      </c>
      <c r="Z12804" s="8" t="s">
        <v>422</v>
      </c>
    </row>
    <row r="12805" spans="1:26" x14ac:dyDescent="0.2">
      <c r="A12805" s="8">
        <v>12804</v>
      </c>
      <c r="B12805" s="8" t="s">
        <v>53656</v>
      </c>
      <c r="C12805" s="8" t="s">
        <v>53656</v>
      </c>
      <c r="G12805" s="8">
        <v>20</v>
      </c>
      <c r="H12805" s="8" t="s">
        <v>21</v>
      </c>
      <c r="I12805" s="8" t="s">
        <v>22</v>
      </c>
      <c r="J12805" s="8" t="s">
        <v>22</v>
      </c>
      <c r="K12805" s="8" t="s">
        <v>579</v>
      </c>
      <c r="L12805" s="8" t="s">
        <v>28435</v>
      </c>
      <c r="M12805" s="8" t="s">
        <v>28436</v>
      </c>
      <c r="N12805" s="8" t="s">
        <v>53657</v>
      </c>
      <c r="O12805" s="8">
        <f>20+17/60+23.9/3600</f>
        <v>20.289972222222225</v>
      </c>
      <c r="P12805" s="8" t="s">
        <v>53658</v>
      </c>
      <c r="Q12805" s="8">
        <f>-(73+53/60+7/3600)</f>
        <v>-73.885277777777787</v>
      </c>
      <c r="R12805" s="8">
        <v>13.8</v>
      </c>
      <c r="S12805" s="8">
        <v>14.5</v>
      </c>
      <c r="T12805" s="8">
        <v>0.7</v>
      </c>
      <c r="U12805" s="8">
        <v>13.2</v>
      </c>
      <c r="V12805" s="8">
        <v>1.3</v>
      </c>
      <c r="W12805" s="8">
        <v>0.7</v>
      </c>
      <c r="X12805" s="8">
        <v>162</v>
      </c>
      <c r="Y12805" s="8" t="s">
        <v>53659</v>
      </c>
      <c r="Z12805" s="8" t="s">
        <v>53660</v>
      </c>
    </row>
    <row r="12806" spans="1:26" x14ac:dyDescent="0.2">
      <c r="A12806" s="8">
        <v>12805</v>
      </c>
      <c r="B12806" s="8" t="s">
        <v>53661</v>
      </c>
      <c r="C12806" s="8" t="s">
        <v>53661</v>
      </c>
      <c r="G12806" s="8">
        <v>20</v>
      </c>
      <c r="H12806" s="8" t="s">
        <v>21</v>
      </c>
      <c r="I12806" s="8" t="s">
        <v>22</v>
      </c>
      <c r="J12806" s="8" t="s">
        <v>22</v>
      </c>
      <c r="K12806" s="8" t="s">
        <v>37</v>
      </c>
      <c r="L12806" s="8" t="s">
        <v>28435</v>
      </c>
      <c r="M12806" s="8" t="s">
        <v>28436</v>
      </c>
      <c r="N12806" s="8" t="s">
        <v>53662</v>
      </c>
      <c r="O12806" s="8">
        <f>20+12/60+27.3/3600</f>
        <v>20.207583333333332</v>
      </c>
      <c r="P12806" s="8" t="s">
        <v>53663</v>
      </c>
      <c r="Q12806" s="8">
        <f>-(56+49/60+34/3600)</f>
        <v>-56.826111111111118</v>
      </c>
      <c r="R12806" s="8">
        <v>13.7</v>
      </c>
      <c r="S12806" s="8">
        <v>14.8</v>
      </c>
      <c r="T12806" s="8">
        <v>1.1000000000000001</v>
      </c>
      <c r="U12806" s="8">
        <v>13.7</v>
      </c>
      <c r="V12806" s="8">
        <v>1</v>
      </c>
      <c r="W12806" s="8">
        <v>1</v>
      </c>
      <c r="Y12806" s="8" t="s">
        <v>46249</v>
      </c>
      <c r="Z12806" s="8" t="s">
        <v>46250</v>
      </c>
    </row>
    <row r="12807" spans="1:26" x14ac:dyDescent="0.2">
      <c r="A12807" s="8">
        <v>12806</v>
      </c>
      <c r="B12807" s="8" t="s">
        <v>53664</v>
      </c>
      <c r="C12807" s="8" t="s">
        <v>53664</v>
      </c>
      <c r="G12807" s="8">
        <v>20</v>
      </c>
      <c r="H12807" s="8" t="s">
        <v>21</v>
      </c>
      <c r="I12807" s="8" t="s">
        <v>72</v>
      </c>
      <c r="J12807" s="8" t="s">
        <v>72</v>
      </c>
      <c r="K12807" s="8" t="s">
        <v>1802</v>
      </c>
      <c r="L12807" s="8" t="s">
        <v>29246</v>
      </c>
      <c r="M12807" s="8" t="s">
        <v>29247</v>
      </c>
      <c r="N12807" s="8" t="s">
        <v>53665</v>
      </c>
      <c r="O12807" s="8">
        <f>20+12/60+16.4/3600</f>
        <v>20.204555555555554</v>
      </c>
      <c r="P12807" s="8" t="s">
        <v>53666</v>
      </c>
      <c r="Q12807" s="8">
        <f>-(53+37/60+11/3600)</f>
        <v>-53.619722222222222</v>
      </c>
      <c r="R12807" s="8">
        <v>99</v>
      </c>
      <c r="S12807" s="8">
        <v>99</v>
      </c>
      <c r="T12807" s="8">
        <v>99</v>
      </c>
      <c r="U12807" s="8">
        <v>99</v>
      </c>
      <c r="Y12807" s="8" t="s">
        <v>53667</v>
      </c>
      <c r="Z12807" s="8" t="s">
        <v>53668</v>
      </c>
    </row>
    <row r="12808" spans="1:26" x14ac:dyDescent="0.2">
      <c r="A12808" s="8">
        <v>12807</v>
      </c>
      <c r="B12808" s="8" t="s">
        <v>53669</v>
      </c>
      <c r="C12808" s="8" t="s">
        <v>53669</v>
      </c>
      <c r="G12808" s="8">
        <v>20</v>
      </c>
      <c r="H12808" s="8" t="s">
        <v>21</v>
      </c>
      <c r="I12808" s="8" t="s">
        <v>22</v>
      </c>
      <c r="J12808" s="8" t="s">
        <v>22</v>
      </c>
      <c r="K12808" s="8" t="s">
        <v>183</v>
      </c>
      <c r="L12808" s="8" t="s">
        <v>28435</v>
      </c>
      <c r="M12808" s="8" t="s">
        <v>28436</v>
      </c>
      <c r="N12808" s="8" t="s">
        <v>53670</v>
      </c>
      <c r="O12808" s="8">
        <f>20+16/60+23/3600</f>
        <v>20.273055555555555</v>
      </c>
      <c r="P12808" s="8" t="s">
        <v>53671</v>
      </c>
      <c r="Q12808" s="8">
        <f>-(70+33/60+51/3600)</f>
        <v>-70.564166666666665</v>
      </c>
      <c r="R12808" s="8">
        <v>13.8</v>
      </c>
      <c r="S12808" s="8">
        <v>14.8</v>
      </c>
      <c r="T12808" s="8">
        <v>1</v>
      </c>
      <c r="U12808" s="8">
        <v>12.9</v>
      </c>
      <c r="V12808" s="8">
        <v>0.7</v>
      </c>
      <c r="W12808" s="8">
        <v>0.6</v>
      </c>
      <c r="X12808" s="8">
        <v>90</v>
      </c>
      <c r="Y12808" s="8" t="s">
        <v>36198</v>
      </c>
      <c r="Z12808" s="8" t="s">
        <v>36199</v>
      </c>
    </row>
    <row r="12809" spans="1:26" x14ac:dyDescent="0.2">
      <c r="A12809" s="8">
        <v>12808</v>
      </c>
      <c r="B12809" s="8" t="s">
        <v>53672</v>
      </c>
      <c r="C12809" s="8" t="s">
        <v>53672</v>
      </c>
      <c r="G12809" s="8">
        <v>20</v>
      </c>
      <c r="H12809" s="8" t="s">
        <v>21</v>
      </c>
      <c r="I12809" s="8" t="s">
        <v>22</v>
      </c>
      <c r="J12809" s="8" t="s">
        <v>22</v>
      </c>
      <c r="K12809" s="8" t="s">
        <v>154</v>
      </c>
      <c r="L12809" s="8" t="s">
        <v>28435</v>
      </c>
      <c r="M12809" s="8" t="s">
        <v>28436</v>
      </c>
      <c r="N12809" s="8" t="s">
        <v>53673</v>
      </c>
      <c r="O12809" s="8">
        <f>20+14/60+50/3600</f>
        <v>20.247222222222224</v>
      </c>
      <c r="P12809" s="8" t="s">
        <v>53674</v>
      </c>
      <c r="Q12809" s="8">
        <f>-(64+47/60+54/3600)</f>
        <v>-64.798333333333332</v>
      </c>
      <c r="R12809" s="8">
        <v>14.2</v>
      </c>
      <c r="S12809" s="8">
        <v>15</v>
      </c>
      <c r="T12809" s="8">
        <v>0.8</v>
      </c>
      <c r="U12809" s="8">
        <v>13.3</v>
      </c>
      <c r="V12809" s="8">
        <v>0.8</v>
      </c>
      <c r="W12809" s="8">
        <v>0.6</v>
      </c>
      <c r="X12809" s="8">
        <v>44</v>
      </c>
      <c r="Y12809" s="8" t="s">
        <v>53675</v>
      </c>
      <c r="Z12809" s="8" t="s">
        <v>53676</v>
      </c>
    </row>
    <row r="12810" spans="1:26" x14ac:dyDescent="0.2">
      <c r="A12810" s="8">
        <v>12809</v>
      </c>
      <c r="B12810" s="8" t="s">
        <v>53677</v>
      </c>
      <c r="C12810" s="8" t="s">
        <v>53677</v>
      </c>
      <c r="G12810" s="8">
        <v>20</v>
      </c>
      <c r="H12810" s="8" t="s">
        <v>21</v>
      </c>
      <c r="I12810" s="8" t="s">
        <v>22</v>
      </c>
      <c r="J12810" s="8" t="s">
        <v>22</v>
      </c>
      <c r="K12810" s="8" t="s">
        <v>91</v>
      </c>
      <c r="L12810" s="8" t="s">
        <v>29246</v>
      </c>
      <c r="M12810" s="8" t="s">
        <v>29247</v>
      </c>
      <c r="N12810" s="8" t="s">
        <v>53678</v>
      </c>
      <c r="O12810" s="8">
        <f>20+12/60+56.1/3600</f>
        <v>20.215583333333331</v>
      </c>
      <c r="P12810" s="8" t="s">
        <v>53679</v>
      </c>
      <c r="Q12810" s="8">
        <f>-(53+55/60+14/3600)</f>
        <v>-53.920555555555552</v>
      </c>
      <c r="R12810" s="8">
        <v>14.2</v>
      </c>
      <c r="S12810" s="8">
        <v>15.1</v>
      </c>
      <c r="T12810" s="8">
        <v>0.9</v>
      </c>
      <c r="U12810" s="8">
        <v>13.3</v>
      </c>
      <c r="V12810" s="8">
        <v>0.7</v>
      </c>
      <c r="W12810" s="8">
        <v>0.7</v>
      </c>
      <c r="Y12810" s="8" t="s">
        <v>2181</v>
      </c>
      <c r="Z12810" s="8" t="s">
        <v>2182</v>
      </c>
    </row>
    <row r="12811" spans="1:26" x14ac:dyDescent="0.2">
      <c r="A12811" s="8">
        <v>12810</v>
      </c>
      <c r="B12811" s="8" t="s">
        <v>53680</v>
      </c>
      <c r="C12811" s="8" t="s">
        <v>53680</v>
      </c>
      <c r="G12811" s="8">
        <v>20</v>
      </c>
      <c r="H12811" s="8" t="s">
        <v>21</v>
      </c>
      <c r="I12811" s="8" t="s">
        <v>22</v>
      </c>
      <c r="J12811" s="8" t="s">
        <v>22</v>
      </c>
      <c r="K12811" s="8" t="s">
        <v>58</v>
      </c>
      <c r="L12811" s="8" t="s">
        <v>28435</v>
      </c>
      <c r="M12811" s="8" t="s">
        <v>28436</v>
      </c>
      <c r="N12811" s="8" t="s">
        <v>53681</v>
      </c>
      <c r="O12811" s="8">
        <f>20+16/60+57.4/3600</f>
        <v>20.282611111111109</v>
      </c>
      <c r="P12811" s="8" t="s">
        <v>53682</v>
      </c>
      <c r="Q12811" s="8">
        <f>-(70+44/60+58/3600)</f>
        <v>-70.74944444444445</v>
      </c>
      <c r="R12811" s="8">
        <v>13.9</v>
      </c>
      <c r="S12811" s="8">
        <v>14.7</v>
      </c>
      <c r="T12811" s="8">
        <v>0.8</v>
      </c>
      <c r="U12811" s="8">
        <v>11.7</v>
      </c>
      <c r="V12811" s="8">
        <v>0.7</v>
      </c>
      <c r="W12811" s="8">
        <v>0.2</v>
      </c>
      <c r="X12811" s="8">
        <v>6</v>
      </c>
      <c r="Y12811" s="8" t="s">
        <v>53683</v>
      </c>
      <c r="Z12811" s="8" t="s">
        <v>53684</v>
      </c>
    </row>
    <row r="12812" spans="1:26" x14ac:dyDescent="0.2">
      <c r="A12812" s="8">
        <v>12811</v>
      </c>
      <c r="B12812" s="8" t="s">
        <v>53685</v>
      </c>
      <c r="C12812" s="8" t="s">
        <v>53685</v>
      </c>
      <c r="G12812" s="8">
        <v>20</v>
      </c>
      <c r="H12812" s="8" t="s">
        <v>21</v>
      </c>
      <c r="I12812" s="8" t="s">
        <v>22</v>
      </c>
      <c r="J12812" s="8" t="s">
        <v>22</v>
      </c>
      <c r="K12812" s="8" t="s">
        <v>42046</v>
      </c>
      <c r="L12812" s="8" t="s">
        <v>28435</v>
      </c>
      <c r="M12812" s="8" t="s">
        <v>28436</v>
      </c>
      <c r="N12812" s="8" t="s">
        <v>53686</v>
      </c>
      <c r="O12812" s="8">
        <f>20+17/60+3/3600</f>
        <v>20.284166666666668</v>
      </c>
      <c r="P12812" s="8" t="s">
        <v>53687</v>
      </c>
      <c r="Q12812" s="8">
        <f>-(70+37/60+13/3600)</f>
        <v>-70.620277777777773</v>
      </c>
      <c r="R12812" s="8">
        <v>15.3</v>
      </c>
      <c r="S12812" s="8">
        <v>16.100000000000001</v>
      </c>
      <c r="T12812" s="8">
        <v>0.8</v>
      </c>
      <c r="U12812" s="8">
        <v>13.6</v>
      </c>
      <c r="V12812" s="8">
        <v>0.8</v>
      </c>
      <c r="W12812" s="8">
        <v>0.3</v>
      </c>
      <c r="X12812" s="8">
        <v>4</v>
      </c>
      <c r="Y12812" s="8" t="s">
        <v>266</v>
      </c>
      <c r="Z12812" s="8" t="s">
        <v>267</v>
      </c>
    </row>
    <row r="12813" spans="1:26" x14ac:dyDescent="0.2">
      <c r="A12813" s="8">
        <v>12812</v>
      </c>
      <c r="B12813" s="8" t="s">
        <v>53688</v>
      </c>
      <c r="C12813" s="8" t="s">
        <v>53688</v>
      </c>
      <c r="G12813" s="8">
        <v>20</v>
      </c>
      <c r="H12813" s="8" t="s">
        <v>21</v>
      </c>
      <c r="I12813" s="8" t="s">
        <v>22</v>
      </c>
      <c r="J12813" s="8" t="s">
        <v>22</v>
      </c>
      <c r="K12813" s="8" t="s">
        <v>396</v>
      </c>
      <c r="L12813" s="8" t="s">
        <v>28435</v>
      </c>
      <c r="M12813" s="8" t="s">
        <v>28436</v>
      </c>
      <c r="N12813" s="8" t="s">
        <v>53689</v>
      </c>
      <c r="O12813" s="8">
        <f>20+17/60+43/3600</f>
        <v>20.29527777777778</v>
      </c>
      <c r="P12813" s="8" t="s">
        <v>53690</v>
      </c>
      <c r="Q12813" s="8">
        <f>-(70+54/60+49/3600)</f>
        <v>-70.913611111111123</v>
      </c>
      <c r="R12813" s="8">
        <v>14.6</v>
      </c>
      <c r="S12813" s="8">
        <v>15.4</v>
      </c>
      <c r="T12813" s="8">
        <v>0.8</v>
      </c>
      <c r="U12813" s="8">
        <v>12.9</v>
      </c>
      <c r="V12813" s="8">
        <v>1.2</v>
      </c>
      <c r="W12813" s="8">
        <v>0.2</v>
      </c>
      <c r="X12813" s="8">
        <v>15</v>
      </c>
      <c r="Y12813" s="8" t="s">
        <v>53691</v>
      </c>
      <c r="Z12813" s="8" t="s">
        <v>53692</v>
      </c>
    </row>
    <row r="12814" spans="1:26" x14ac:dyDescent="0.2">
      <c r="A12814" s="8">
        <v>12813</v>
      </c>
      <c r="B12814" s="8" t="s">
        <v>53693</v>
      </c>
      <c r="C12814" s="8" t="s">
        <v>53693</v>
      </c>
      <c r="G12814" s="8">
        <v>20</v>
      </c>
      <c r="H12814" s="8" t="s">
        <v>21</v>
      </c>
      <c r="I12814" s="8" t="s">
        <v>22</v>
      </c>
      <c r="J12814" s="8" t="s">
        <v>22</v>
      </c>
      <c r="K12814" s="8" t="s">
        <v>42046</v>
      </c>
      <c r="L12814" s="8" t="s">
        <v>28435</v>
      </c>
      <c r="M12814" s="8" t="s">
        <v>28436</v>
      </c>
      <c r="N12814" s="8" t="s">
        <v>53694</v>
      </c>
      <c r="O12814" s="8">
        <f>20+14/60+34.1/3600</f>
        <v>20.242805555555556</v>
      </c>
      <c r="P12814" s="8" t="s">
        <v>53695</v>
      </c>
      <c r="Q12814" s="8">
        <f>-(58+22/60+18/3600)</f>
        <v>-58.37166666666667</v>
      </c>
      <c r="R12814" s="8">
        <v>15</v>
      </c>
      <c r="S12814" s="8">
        <v>15.8</v>
      </c>
      <c r="T12814" s="8">
        <v>0.8</v>
      </c>
      <c r="U12814" s="8">
        <v>13.7</v>
      </c>
      <c r="V12814" s="8">
        <v>0.7</v>
      </c>
      <c r="W12814" s="8">
        <v>0.5</v>
      </c>
      <c r="X12814" s="8">
        <v>107</v>
      </c>
      <c r="Y12814" s="8" t="s">
        <v>15791</v>
      </c>
      <c r="Z12814" s="8" t="s">
        <v>15792</v>
      </c>
    </row>
    <row r="12815" spans="1:26" x14ac:dyDescent="0.2">
      <c r="A12815" s="8">
        <v>12814</v>
      </c>
      <c r="B12815" s="8" t="s">
        <v>53696</v>
      </c>
      <c r="C12815" s="8" t="s">
        <v>53696</v>
      </c>
      <c r="E12815" s="8">
        <v>1</v>
      </c>
      <c r="G12815" s="8">
        <v>20</v>
      </c>
      <c r="H12815" s="8" t="s">
        <v>21</v>
      </c>
      <c r="I12815" s="8" t="s">
        <v>22</v>
      </c>
      <c r="J12815" s="8" t="s">
        <v>22</v>
      </c>
      <c r="K12815" s="8" t="s">
        <v>124</v>
      </c>
      <c r="L12815" s="8" t="s">
        <v>28435</v>
      </c>
      <c r="M12815" s="8" t="s">
        <v>28436</v>
      </c>
      <c r="N12815" s="8" t="s">
        <v>53697</v>
      </c>
      <c r="O12815" s="8">
        <f>20+15/60+26.2/3600</f>
        <v>20.257277777777777</v>
      </c>
      <c r="P12815" s="8" t="s">
        <v>53698</v>
      </c>
      <c r="Q12815" s="8">
        <f>-(61+51/60+26/3600)</f>
        <v>-61.857222222222227</v>
      </c>
      <c r="R12815" s="8">
        <v>14.4</v>
      </c>
      <c r="S12815" s="8">
        <v>15.2</v>
      </c>
      <c r="T12815" s="8">
        <v>0.8</v>
      </c>
      <c r="U12815" s="8">
        <v>12.7</v>
      </c>
      <c r="V12815" s="8">
        <v>0.5</v>
      </c>
      <c r="W12815" s="8">
        <v>0.5</v>
      </c>
      <c r="Y12815" s="8" t="s">
        <v>53699</v>
      </c>
      <c r="Z12815" s="8" t="s">
        <v>53700</v>
      </c>
    </row>
    <row r="12816" spans="1:26" x14ac:dyDescent="0.2">
      <c r="A12816" s="8">
        <v>12815</v>
      </c>
      <c r="B12816" s="8" t="s">
        <v>53701</v>
      </c>
      <c r="C12816" s="8" t="s">
        <v>53701</v>
      </c>
      <c r="G12816" s="8">
        <v>20</v>
      </c>
      <c r="H12816" s="8" t="s">
        <v>21</v>
      </c>
      <c r="I12816" s="8" t="s">
        <v>22</v>
      </c>
      <c r="J12816" s="8" t="s">
        <v>22</v>
      </c>
      <c r="K12816" s="8" t="s">
        <v>224</v>
      </c>
      <c r="L12816" s="8" t="s">
        <v>29246</v>
      </c>
      <c r="M12816" s="8" t="s">
        <v>29247</v>
      </c>
      <c r="N12816" s="8" t="s">
        <v>53702</v>
      </c>
      <c r="O12816" s="8">
        <f>20+14/60+2.9/3600</f>
        <v>20.234138888888889</v>
      </c>
      <c r="P12816" s="8" t="s">
        <v>53703</v>
      </c>
      <c r="Q12816" s="8">
        <f>-(52+43/60+20/3600)</f>
        <v>-52.722222222222221</v>
      </c>
      <c r="R12816" s="8">
        <v>13.3</v>
      </c>
      <c r="S12816" s="8">
        <v>14.3</v>
      </c>
      <c r="T12816" s="8">
        <v>1</v>
      </c>
      <c r="U12816" s="8">
        <v>13.3</v>
      </c>
      <c r="V12816" s="8">
        <v>1.1000000000000001</v>
      </c>
      <c r="W12816" s="8">
        <v>1</v>
      </c>
      <c r="Y12816" s="8" t="s">
        <v>46249</v>
      </c>
      <c r="Z12816" s="8" t="s">
        <v>46250</v>
      </c>
    </row>
    <row r="12817" spans="1:26" x14ac:dyDescent="0.2">
      <c r="A12817" s="8">
        <v>12816</v>
      </c>
      <c r="B12817" s="8" t="s">
        <v>53704</v>
      </c>
      <c r="C12817" s="8" t="s">
        <v>53704</v>
      </c>
      <c r="G12817" s="8">
        <v>20</v>
      </c>
      <c r="H12817" s="8" t="s">
        <v>21</v>
      </c>
      <c r="I12817" s="8" t="s">
        <v>22</v>
      </c>
      <c r="J12817" s="8" t="s">
        <v>22</v>
      </c>
      <c r="K12817" s="8" t="s">
        <v>91</v>
      </c>
      <c r="L12817" s="8" t="s">
        <v>28435</v>
      </c>
      <c r="M12817" s="8" t="s">
        <v>28436</v>
      </c>
      <c r="N12817" s="8" t="s">
        <v>53705</v>
      </c>
      <c r="O12817" s="8">
        <f>20+15/60+41.3/3600</f>
        <v>20.261472222222221</v>
      </c>
      <c r="P12817" s="8" t="s">
        <v>53706</v>
      </c>
      <c r="Q12817" s="8">
        <f>-(61+52/60+30/3600)</f>
        <v>-61.875</v>
      </c>
      <c r="R12817" s="8">
        <v>14.7</v>
      </c>
      <c r="S12817" s="8">
        <v>15.6</v>
      </c>
      <c r="T12817" s="8">
        <v>0.9</v>
      </c>
      <c r="U12817" s="8">
        <v>13.4</v>
      </c>
      <c r="V12817" s="8">
        <v>0.9</v>
      </c>
      <c r="W12817" s="8">
        <v>0.4</v>
      </c>
      <c r="X12817" s="8">
        <v>64</v>
      </c>
      <c r="Y12817" s="8" t="s">
        <v>53707</v>
      </c>
      <c r="Z12817" s="8" t="s">
        <v>53708</v>
      </c>
    </row>
    <row r="12818" spans="1:26" x14ac:dyDescent="0.2">
      <c r="A12818" s="8">
        <v>12817</v>
      </c>
      <c r="B12818" s="8" t="s">
        <v>53709</v>
      </c>
      <c r="C12818" s="8" t="s">
        <v>53709</v>
      </c>
      <c r="G12818" s="8">
        <v>20</v>
      </c>
      <c r="H12818" s="8" t="s">
        <v>21</v>
      </c>
      <c r="I12818" s="8" t="s">
        <v>329</v>
      </c>
      <c r="J12818" s="8" t="s">
        <v>329</v>
      </c>
      <c r="K12818" s="8" t="s">
        <v>329</v>
      </c>
      <c r="L12818" s="8" t="s">
        <v>30635</v>
      </c>
      <c r="M12818" s="8" t="s">
        <v>30636</v>
      </c>
      <c r="N12818" s="8" t="s">
        <v>53710</v>
      </c>
      <c r="O12818" s="8">
        <f>20+11/60+53.8/3600</f>
        <v>20.198277777777779</v>
      </c>
      <c r="P12818" s="8" t="s">
        <v>53711</v>
      </c>
      <c r="Q12818" s="8">
        <f>-(21+38/60+15/3600)</f>
        <v>-21.637499999999999</v>
      </c>
      <c r="R12818" s="8">
        <v>99</v>
      </c>
      <c r="S12818" s="8">
        <v>99</v>
      </c>
      <c r="T12818" s="8">
        <v>99</v>
      </c>
      <c r="U12818" s="8">
        <v>99</v>
      </c>
      <c r="Y12818" s="8" t="s">
        <v>53712</v>
      </c>
      <c r="Z12818" s="8" t="s">
        <v>53713</v>
      </c>
    </row>
    <row r="12819" spans="1:26" x14ac:dyDescent="0.2">
      <c r="A12819" s="8">
        <v>12818</v>
      </c>
      <c r="B12819" s="8" t="s">
        <v>53714</v>
      </c>
      <c r="C12819" s="8" t="s">
        <v>53714</v>
      </c>
      <c r="G12819" s="8">
        <v>20</v>
      </c>
      <c r="H12819" s="8" t="s">
        <v>21</v>
      </c>
      <c r="I12819" s="8" t="s">
        <v>22</v>
      </c>
      <c r="J12819" s="8" t="s">
        <v>22</v>
      </c>
      <c r="K12819" s="8" t="s">
        <v>449</v>
      </c>
      <c r="L12819" s="8" t="s">
        <v>29246</v>
      </c>
      <c r="M12819" s="8" t="s">
        <v>29247</v>
      </c>
      <c r="N12819" s="8" t="s">
        <v>53715</v>
      </c>
      <c r="O12819" s="8">
        <f>20+14/60+37.8/3600</f>
        <v>20.243833333333335</v>
      </c>
      <c r="P12819" s="8" t="s">
        <v>53716</v>
      </c>
      <c r="Q12819" s="8">
        <f>-(54+25/60+18/3600)</f>
        <v>-54.421666666666667</v>
      </c>
      <c r="R12819" s="8">
        <v>14.6</v>
      </c>
      <c r="S12819" s="8">
        <v>15.4</v>
      </c>
      <c r="T12819" s="8">
        <v>0.8</v>
      </c>
      <c r="U12819" s="8">
        <v>12.8</v>
      </c>
      <c r="V12819" s="8">
        <v>0.7</v>
      </c>
      <c r="W12819" s="8">
        <v>0.3</v>
      </c>
      <c r="X12819" s="8">
        <v>89</v>
      </c>
      <c r="Y12819" s="8" t="s">
        <v>46249</v>
      </c>
      <c r="Z12819" s="8" t="s">
        <v>46250</v>
      </c>
    </row>
    <row r="12820" spans="1:26" x14ac:dyDescent="0.2">
      <c r="A12820" s="8">
        <v>12819</v>
      </c>
      <c r="B12820" s="8" t="s">
        <v>53717</v>
      </c>
      <c r="C12820" s="8" t="s">
        <v>53717</v>
      </c>
      <c r="G12820" s="8">
        <v>20</v>
      </c>
      <c r="H12820" s="8" t="s">
        <v>21</v>
      </c>
      <c r="I12820" s="8" t="s">
        <v>22</v>
      </c>
      <c r="J12820" s="8" t="s">
        <v>22</v>
      </c>
      <c r="K12820" s="8" t="s">
        <v>64</v>
      </c>
      <c r="L12820" s="8" t="s">
        <v>29246</v>
      </c>
      <c r="M12820" s="8" t="s">
        <v>29247</v>
      </c>
      <c r="N12820" s="8" t="s">
        <v>53718</v>
      </c>
      <c r="O12820" s="8">
        <f>20+14/60+41.9/3600</f>
        <v>20.244972222222223</v>
      </c>
      <c r="P12820" s="8" t="s">
        <v>53719</v>
      </c>
      <c r="Q12820" s="8">
        <f>-(53+27/60+31/3600)</f>
        <v>-53.458611111111111</v>
      </c>
      <c r="R12820" s="8">
        <v>14.1</v>
      </c>
      <c r="S12820" s="8">
        <v>14.8</v>
      </c>
      <c r="T12820" s="8">
        <v>0.7</v>
      </c>
      <c r="U12820" s="8">
        <v>13.8</v>
      </c>
      <c r="V12820" s="8">
        <v>1.1000000000000001</v>
      </c>
      <c r="W12820" s="8">
        <v>0.9</v>
      </c>
      <c r="X12820" s="8">
        <v>4</v>
      </c>
      <c r="Y12820" s="8" t="s">
        <v>36095</v>
      </c>
      <c r="Z12820" s="8" t="s">
        <v>36096</v>
      </c>
    </row>
    <row r="12821" spans="1:26" x14ac:dyDescent="0.2">
      <c r="A12821" s="8">
        <v>12820</v>
      </c>
      <c r="B12821" s="8" t="s">
        <v>53720</v>
      </c>
      <c r="C12821" s="8" t="s">
        <v>53720</v>
      </c>
      <c r="G12821" s="8">
        <v>20</v>
      </c>
      <c r="H12821" s="8" t="s">
        <v>21</v>
      </c>
      <c r="I12821" s="8" t="s">
        <v>22</v>
      </c>
      <c r="J12821" s="8" t="s">
        <v>22</v>
      </c>
      <c r="K12821" s="8" t="s">
        <v>435</v>
      </c>
      <c r="L12821" s="8" t="s">
        <v>28435</v>
      </c>
      <c r="M12821" s="8" t="s">
        <v>28436</v>
      </c>
      <c r="N12821" s="8" t="s">
        <v>53721</v>
      </c>
      <c r="O12821" s="8">
        <f>20+15/60+28.9/3600</f>
        <v>20.258027777777777</v>
      </c>
      <c r="P12821" s="8" t="s">
        <v>53722</v>
      </c>
      <c r="Q12821" s="8">
        <f>-(57+54/60+45/3600)</f>
        <v>-57.912500000000001</v>
      </c>
      <c r="R12821" s="8">
        <v>13.1</v>
      </c>
      <c r="S12821" s="8">
        <v>14</v>
      </c>
      <c r="T12821" s="8">
        <v>0.9</v>
      </c>
      <c r="U12821" s="8">
        <v>13</v>
      </c>
      <c r="V12821" s="8">
        <v>1.5</v>
      </c>
      <c r="W12821" s="8">
        <v>0.7</v>
      </c>
      <c r="X12821" s="8">
        <v>122</v>
      </c>
      <c r="Y12821" s="8" t="s">
        <v>53723</v>
      </c>
      <c r="Z12821" s="8" t="s">
        <v>53724</v>
      </c>
    </row>
    <row r="12822" spans="1:26" x14ac:dyDescent="0.2">
      <c r="A12822" s="8">
        <v>12821</v>
      </c>
      <c r="B12822" s="8" t="s">
        <v>53725</v>
      </c>
      <c r="C12822" s="8" t="s">
        <v>53725</v>
      </c>
      <c r="G12822" s="8">
        <v>20</v>
      </c>
      <c r="H12822" s="8" t="s">
        <v>21</v>
      </c>
      <c r="I12822" s="8" t="s">
        <v>22</v>
      </c>
      <c r="J12822" s="8" t="s">
        <v>22</v>
      </c>
      <c r="K12822" s="8" t="s">
        <v>36000</v>
      </c>
      <c r="L12822" s="8" t="s">
        <v>28435</v>
      </c>
      <c r="M12822" s="8" t="s">
        <v>28436</v>
      </c>
      <c r="N12822" s="8" t="s">
        <v>53726</v>
      </c>
      <c r="O12822" s="8">
        <f>20+19/60+39.1/3600</f>
        <v>20.327527777777778</v>
      </c>
      <c r="P12822" s="8" t="s">
        <v>53727</v>
      </c>
      <c r="Q12822" s="8">
        <f>-(70+50/60+54/3600)</f>
        <v>-70.848333333333329</v>
      </c>
      <c r="R12822" s="8">
        <v>13.1</v>
      </c>
      <c r="S12822" s="8">
        <v>14.1</v>
      </c>
      <c r="T12822" s="8">
        <v>1</v>
      </c>
      <c r="U12822" s="8">
        <v>11.6</v>
      </c>
      <c r="V12822" s="8">
        <v>1</v>
      </c>
      <c r="W12822" s="8">
        <v>0.3</v>
      </c>
      <c r="X12822" s="8">
        <v>135</v>
      </c>
      <c r="Y12822" s="8" t="s">
        <v>53728</v>
      </c>
      <c r="Z12822" s="8" t="s">
        <v>53729</v>
      </c>
    </row>
    <row r="12823" spans="1:26" x14ac:dyDescent="0.2">
      <c r="A12823" s="8">
        <v>12822</v>
      </c>
      <c r="B12823" s="8" t="s">
        <v>53730</v>
      </c>
      <c r="C12823" s="8" t="s">
        <v>53730</v>
      </c>
      <c r="G12823" s="8">
        <v>20</v>
      </c>
      <c r="H12823" s="8" t="s">
        <v>21</v>
      </c>
      <c r="I12823" s="8" t="s">
        <v>22</v>
      </c>
      <c r="J12823" s="8" t="s">
        <v>22</v>
      </c>
      <c r="K12823" s="8" t="s">
        <v>1174</v>
      </c>
      <c r="L12823" s="8" t="s">
        <v>28435</v>
      </c>
      <c r="M12823" s="8" t="s">
        <v>28436</v>
      </c>
      <c r="N12823" s="8" t="s">
        <v>53731</v>
      </c>
      <c r="O12823" s="8">
        <f>20+20/60+21/3600</f>
        <v>20.339166666666664</v>
      </c>
      <c r="P12823" s="8" t="s">
        <v>53732</v>
      </c>
      <c r="Q12823" s="8">
        <f>-(71+0/60+25/3600)</f>
        <v>-71.006944444444443</v>
      </c>
      <c r="R12823" s="8">
        <v>14.4</v>
      </c>
      <c r="S12823" s="8">
        <v>15.2</v>
      </c>
      <c r="T12823" s="8">
        <v>0.8</v>
      </c>
      <c r="U12823" s="8">
        <v>12.6</v>
      </c>
      <c r="V12823" s="8">
        <v>0.7</v>
      </c>
      <c r="W12823" s="8">
        <v>0.3</v>
      </c>
      <c r="X12823" s="8">
        <v>49</v>
      </c>
      <c r="Y12823" s="8" t="s">
        <v>36198</v>
      </c>
      <c r="Z12823" s="8" t="s">
        <v>36199</v>
      </c>
    </row>
    <row r="12824" spans="1:26" x14ac:dyDescent="0.2">
      <c r="A12824" s="8">
        <v>12823</v>
      </c>
      <c r="B12824" s="8" t="s">
        <v>53733</v>
      </c>
      <c r="C12824" s="8" t="s">
        <v>53733</v>
      </c>
      <c r="G12824" s="8">
        <v>20</v>
      </c>
      <c r="H12824" s="8" t="s">
        <v>21</v>
      </c>
      <c r="I12824" s="8" t="s">
        <v>22</v>
      </c>
      <c r="J12824" s="8" t="s">
        <v>22</v>
      </c>
      <c r="K12824" s="8" t="s">
        <v>64</v>
      </c>
      <c r="L12824" s="8" t="s">
        <v>29246</v>
      </c>
      <c r="M12824" s="8" t="s">
        <v>29247</v>
      </c>
      <c r="N12824" s="8" t="s">
        <v>53734</v>
      </c>
      <c r="O12824" s="8">
        <f>20+16/60+5.5/3600</f>
        <v>20.268194444444443</v>
      </c>
      <c r="P12824" s="8" t="s">
        <v>53735</v>
      </c>
      <c r="Q12824" s="8">
        <f>-(52+5/60+14/3600)</f>
        <v>-52.087222222222223</v>
      </c>
      <c r="R12824" s="8">
        <v>13.6</v>
      </c>
      <c r="S12824" s="8">
        <v>14.3</v>
      </c>
      <c r="T12824" s="8">
        <v>0.7</v>
      </c>
      <c r="U12824" s="8">
        <v>13.3</v>
      </c>
      <c r="V12824" s="8">
        <v>1</v>
      </c>
      <c r="W12824" s="8">
        <v>0.9</v>
      </c>
      <c r="X12824" s="8">
        <v>42</v>
      </c>
      <c r="Y12824" s="8" t="s">
        <v>53736</v>
      </c>
      <c r="Z12824" s="8" t="s">
        <v>53737</v>
      </c>
    </row>
    <row r="12825" spans="1:26" x14ac:dyDescent="0.2">
      <c r="A12825" s="8">
        <v>12824</v>
      </c>
      <c r="B12825" s="8" t="s">
        <v>53738</v>
      </c>
      <c r="C12825" s="8" t="s">
        <v>53738</v>
      </c>
      <c r="G12825" s="8">
        <v>20</v>
      </c>
      <c r="H12825" s="8" t="s">
        <v>21</v>
      </c>
      <c r="I12825" s="8" t="s">
        <v>22</v>
      </c>
      <c r="J12825" s="8" t="s">
        <v>22</v>
      </c>
      <c r="K12825" s="8" t="s">
        <v>23</v>
      </c>
      <c r="L12825" s="8" t="s">
        <v>29246</v>
      </c>
      <c r="M12825" s="8" t="s">
        <v>29247</v>
      </c>
      <c r="N12825" s="8" t="s">
        <v>53739</v>
      </c>
      <c r="O12825" s="8">
        <f>20+16/60+17.5/3600</f>
        <v>20.271527777777777</v>
      </c>
      <c r="P12825" s="8" t="s">
        <v>53740</v>
      </c>
      <c r="Q12825" s="8">
        <f>-(52+42/60+12/3600)</f>
        <v>-52.703333333333333</v>
      </c>
      <c r="R12825" s="8">
        <v>14.6</v>
      </c>
      <c r="S12825" s="8">
        <v>15.4</v>
      </c>
      <c r="T12825" s="8">
        <v>0.8</v>
      </c>
      <c r="U12825" s="8">
        <v>13.6</v>
      </c>
      <c r="V12825" s="8">
        <v>0.9</v>
      </c>
      <c r="W12825" s="8">
        <v>0.5</v>
      </c>
      <c r="X12825" s="8">
        <v>116</v>
      </c>
      <c r="Y12825" s="8" t="s">
        <v>53741</v>
      </c>
      <c r="Z12825" s="8" t="s">
        <v>53742</v>
      </c>
    </row>
    <row r="12826" spans="1:26" x14ac:dyDescent="0.2">
      <c r="A12826" s="8">
        <v>12825</v>
      </c>
      <c r="B12826" s="8" t="s">
        <v>53743</v>
      </c>
      <c r="C12826" s="8" t="s">
        <v>53743</v>
      </c>
      <c r="G12826" s="8">
        <v>20</v>
      </c>
      <c r="H12826" s="8" t="s">
        <v>21</v>
      </c>
      <c r="I12826" s="8" t="s">
        <v>22</v>
      </c>
      <c r="J12826" s="8" t="s">
        <v>22</v>
      </c>
      <c r="K12826" s="8" t="s">
        <v>37</v>
      </c>
      <c r="L12826" s="8" t="s">
        <v>28435</v>
      </c>
      <c r="M12826" s="8" t="s">
        <v>28436</v>
      </c>
      <c r="N12826" s="8" t="s">
        <v>53744</v>
      </c>
      <c r="O12826" s="8">
        <f>20+20/60+44.1/3600</f>
        <v>20.345583333333334</v>
      </c>
      <c r="P12826" s="8" t="s">
        <v>53745</v>
      </c>
      <c r="Q12826" s="8">
        <f>-(70+59/60+12/3600)</f>
        <v>-70.986666666666665</v>
      </c>
      <c r="R12826" s="8">
        <v>13.9</v>
      </c>
      <c r="S12826" s="8">
        <v>14.9</v>
      </c>
      <c r="T12826" s="8">
        <v>1</v>
      </c>
      <c r="U12826" s="8">
        <v>13</v>
      </c>
      <c r="V12826" s="8">
        <v>0.8</v>
      </c>
      <c r="W12826" s="8">
        <v>0.6</v>
      </c>
      <c r="X12826" s="8">
        <v>66</v>
      </c>
      <c r="Y12826" s="8" t="s">
        <v>36198</v>
      </c>
      <c r="Z12826" s="8" t="s">
        <v>36199</v>
      </c>
    </row>
    <row r="12827" spans="1:26" x14ac:dyDescent="0.2">
      <c r="A12827" s="8">
        <v>12826</v>
      </c>
      <c r="B12827" s="8" t="s">
        <v>53746</v>
      </c>
      <c r="C12827" s="8" t="s">
        <v>53746</v>
      </c>
      <c r="G12827" s="8">
        <v>20</v>
      </c>
      <c r="H12827" s="8" t="s">
        <v>21</v>
      </c>
      <c r="I12827" s="8" t="s">
        <v>22</v>
      </c>
      <c r="J12827" s="8" t="s">
        <v>22</v>
      </c>
      <c r="K12827" s="8" t="s">
        <v>269</v>
      </c>
      <c r="L12827" s="8" t="s">
        <v>29246</v>
      </c>
      <c r="M12827" s="8" t="s">
        <v>29247</v>
      </c>
      <c r="N12827" s="8" t="s">
        <v>53747</v>
      </c>
      <c r="O12827" s="8">
        <f>20+17/60+11.4/3600</f>
        <v>20.2865</v>
      </c>
      <c r="P12827" s="8" t="s">
        <v>53748</v>
      </c>
      <c r="Q12827" s="8">
        <f>-(55+2/60+9/3600)</f>
        <v>-55.035833333333329</v>
      </c>
      <c r="R12827" s="8">
        <v>13.6</v>
      </c>
      <c r="S12827" s="8">
        <v>14.2</v>
      </c>
      <c r="T12827" s="8">
        <v>0.6</v>
      </c>
      <c r="U12827" s="8">
        <v>14.1</v>
      </c>
      <c r="V12827" s="8">
        <v>2</v>
      </c>
      <c r="W12827" s="8">
        <v>0.9</v>
      </c>
      <c r="X12827" s="8">
        <v>20</v>
      </c>
      <c r="Y12827" s="8" t="s">
        <v>53749</v>
      </c>
      <c r="Z12827" s="8" t="s">
        <v>53750</v>
      </c>
    </row>
    <row r="12828" spans="1:26" x14ac:dyDescent="0.2">
      <c r="A12828" s="8">
        <v>12827</v>
      </c>
      <c r="B12828" s="8" t="s">
        <v>53751</v>
      </c>
      <c r="C12828" s="8" t="s">
        <v>53751</v>
      </c>
      <c r="G12828" s="8">
        <v>20</v>
      </c>
      <c r="H12828" s="8" t="s">
        <v>21</v>
      </c>
      <c r="I12828" s="8" t="s">
        <v>22</v>
      </c>
      <c r="J12828" s="8" t="s">
        <v>22</v>
      </c>
      <c r="K12828" s="8" t="s">
        <v>64</v>
      </c>
      <c r="L12828" s="8" t="s">
        <v>29246</v>
      </c>
      <c r="M12828" s="8" t="s">
        <v>29247</v>
      </c>
      <c r="N12828" s="8" t="s">
        <v>53752</v>
      </c>
      <c r="O12828" s="8">
        <f>20+17/60+19.3/3600</f>
        <v>20.288694444444445</v>
      </c>
      <c r="P12828" s="8" t="s">
        <v>53753</v>
      </c>
      <c r="Q12828" s="8">
        <f>-(52+16/60+46/3600)</f>
        <v>-52.279444444444444</v>
      </c>
      <c r="R12828" s="8">
        <v>14.5</v>
      </c>
      <c r="S12828" s="8">
        <v>15.2</v>
      </c>
      <c r="T12828" s="8">
        <v>0.7</v>
      </c>
      <c r="U12828" s="8">
        <v>14.1</v>
      </c>
      <c r="V12828" s="8">
        <v>1</v>
      </c>
      <c r="W12828" s="8">
        <v>0.8</v>
      </c>
      <c r="X12828" s="8">
        <v>57</v>
      </c>
      <c r="Y12828" s="8" t="s">
        <v>1212</v>
      </c>
      <c r="Z12828" s="8" t="s">
        <v>1213</v>
      </c>
    </row>
    <row r="12829" spans="1:26" x14ac:dyDescent="0.2">
      <c r="A12829" s="8">
        <v>12828</v>
      </c>
      <c r="B12829" s="8" t="s">
        <v>53754</v>
      </c>
      <c r="C12829" s="8" t="s">
        <v>53754</v>
      </c>
      <c r="G12829" s="8">
        <v>20</v>
      </c>
      <c r="H12829" s="8" t="s">
        <v>21</v>
      </c>
      <c r="I12829" s="8" t="s">
        <v>329</v>
      </c>
      <c r="J12829" s="8" t="s">
        <v>329</v>
      </c>
      <c r="K12829" s="8" t="s">
        <v>329</v>
      </c>
      <c r="L12829" s="8" t="s">
        <v>28435</v>
      </c>
      <c r="M12829" s="8" t="s">
        <v>28436</v>
      </c>
      <c r="N12829" s="8" t="s">
        <v>53755</v>
      </c>
      <c r="O12829" s="8">
        <f>20+21/60+46/3600</f>
        <v>20.362777777777779</v>
      </c>
      <c r="P12829" s="8" t="s">
        <v>53756</v>
      </c>
      <c r="Q12829" s="8">
        <f>-(69+23/60+27/3600)</f>
        <v>-69.390833333333333</v>
      </c>
      <c r="R12829" s="8">
        <v>99</v>
      </c>
      <c r="S12829" s="8">
        <v>99</v>
      </c>
      <c r="T12829" s="8">
        <v>99</v>
      </c>
      <c r="U12829" s="8">
        <v>99</v>
      </c>
      <c r="Y12829" s="8" t="s">
        <v>53757</v>
      </c>
      <c r="Z12829" s="8" t="s">
        <v>53758</v>
      </c>
    </row>
    <row r="12830" spans="1:26" x14ac:dyDescent="0.2">
      <c r="A12830" s="8">
        <v>12829</v>
      </c>
      <c r="B12830" s="8" t="s">
        <v>53759</v>
      </c>
      <c r="C12830" s="8" t="s">
        <v>53759</v>
      </c>
      <c r="G12830" s="8">
        <v>20</v>
      </c>
      <c r="H12830" s="8" t="s">
        <v>21</v>
      </c>
      <c r="I12830" s="8" t="s">
        <v>22</v>
      </c>
      <c r="J12830" s="8" t="s">
        <v>22</v>
      </c>
      <c r="K12830" s="8" t="s">
        <v>396</v>
      </c>
      <c r="L12830" s="8" t="s">
        <v>28435</v>
      </c>
      <c r="M12830" s="8" t="s">
        <v>28436</v>
      </c>
      <c r="N12830" s="8" t="s">
        <v>53760</v>
      </c>
      <c r="O12830" s="8">
        <f>20+19/60+23.7/3600</f>
        <v>20.323249999999998</v>
      </c>
      <c r="P12830" s="8" t="s">
        <v>53761</v>
      </c>
      <c r="Q12830" s="8">
        <f>-(58+33/60+6/3600)</f>
        <v>-58.551666666666662</v>
      </c>
      <c r="R12830" s="8">
        <v>14.5</v>
      </c>
      <c r="S12830" s="8">
        <v>15.3</v>
      </c>
      <c r="T12830" s="8">
        <v>0.8</v>
      </c>
      <c r="U12830" s="8">
        <v>13.1</v>
      </c>
      <c r="V12830" s="8">
        <v>1.1000000000000001</v>
      </c>
      <c r="W12830" s="8">
        <v>0.3</v>
      </c>
      <c r="X12830" s="8">
        <v>154</v>
      </c>
      <c r="Y12830" s="8" t="s">
        <v>53762</v>
      </c>
      <c r="Z12830" s="8" t="s">
        <v>53763</v>
      </c>
    </row>
    <row r="12831" spans="1:26" x14ac:dyDescent="0.2">
      <c r="A12831" s="8">
        <v>12830</v>
      </c>
      <c r="B12831" s="8" t="s">
        <v>53764</v>
      </c>
      <c r="C12831" s="8" t="s">
        <v>53764</v>
      </c>
      <c r="G12831" s="8">
        <v>20</v>
      </c>
      <c r="H12831" s="8" t="s">
        <v>21</v>
      </c>
      <c r="I12831" s="8" t="s">
        <v>22</v>
      </c>
      <c r="J12831" s="8" t="s">
        <v>22</v>
      </c>
      <c r="K12831" s="8" t="s">
        <v>64</v>
      </c>
      <c r="L12831" s="8" t="s">
        <v>28435</v>
      </c>
      <c r="M12831" s="8" t="s">
        <v>28436</v>
      </c>
      <c r="N12831" s="8" t="s">
        <v>53765</v>
      </c>
      <c r="O12831" s="8">
        <f>20+21/60+25.4/3600</f>
        <v>20.357055555555558</v>
      </c>
      <c r="P12831" s="8" t="s">
        <v>53766</v>
      </c>
      <c r="Q12831" s="8">
        <f>-(66+53/60+26/3600)</f>
        <v>-66.890555555555565</v>
      </c>
      <c r="R12831" s="8">
        <v>15</v>
      </c>
      <c r="S12831" s="8">
        <v>15.7</v>
      </c>
      <c r="T12831" s="8">
        <v>0.7</v>
      </c>
      <c r="U12831" s="8">
        <v>13.6</v>
      </c>
      <c r="V12831" s="8">
        <v>0.8</v>
      </c>
      <c r="W12831" s="8">
        <v>0.4</v>
      </c>
      <c r="X12831" s="8">
        <v>23</v>
      </c>
      <c r="Y12831" s="8" t="s">
        <v>53767</v>
      </c>
      <c r="Z12831" s="8" t="s">
        <v>53768</v>
      </c>
    </row>
    <row r="12832" spans="1:26" x14ac:dyDescent="0.2">
      <c r="A12832" s="8">
        <v>12831</v>
      </c>
      <c r="B12832" s="8" t="s">
        <v>53769</v>
      </c>
      <c r="C12832" s="8" t="s">
        <v>53769</v>
      </c>
      <c r="G12832" s="8">
        <v>20</v>
      </c>
      <c r="H12832" s="8" t="s">
        <v>21</v>
      </c>
      <c r="I12832" s="8" t="s">
        <v>329</v>
      </c>
      <c r="J12832" s="8" t="s">
        <v>329</v>
      </c>
      <c r="K12832" s="8" t="s">
        <v>329</v>
      </c>
      <c r="L12832" s="8" t="s">
        <v>28576</v>
      </c>
      <c r="M12832" s="8" t="s">
        <v>28577</v>
      </c>
      <c r="N12832" s="8" t="s">
        <v>53770</v>
      </c>
      <c r="O12832" s="8">
        <f>20+17/60+45.7/3600</f>
        <v>20.29602777777778</v>
      </c>
      <c r="P12832" s="8" t="s">
        <v>53771</v>
      </c>
      <c r="Q12832" s="8">
        <f>-(41+34/60+55/3600)</f>
        <v>-41.581944444444446</v>
      </c>
      <c r="R12832" s="8">
        <v>99</v>
      </c>
      <c r="S12832" s="8">
        <v>99</v>
      </c>
      <c r="T12832" s="8">
        <v>99</v>
      </c>
      <c r="U12832" s="8">
        <v>99</v>
      </c>
      <c r="Y12832" s="8" t="s">
        <v>11836</v>
      </c>
      <c r="Z12832" s="8" t="s">
        <v>11837</v>
      </c>
    </row>
    <row r="12833" spans="1:26" x14ac:dyDescent="0.2">
      <c r="A12833" s="8">
        <v>12832</v>
      </c>
      <c r="B12833" s="8" t="s">
        <v>53772</v>
      </c>
      <c r="C12833" s="8" t="s">
        <v>53772</v>
      </c>
      <c r="G12833" s="8">
        <v>20</v>
      </c>
      <c r="H12833" s="8" t="s">
        <v>21</v>
      </c>
      <c r="I12833" s="8" t="s">
        <v>22</v>
      </c>
      <c r="J12833" s="8" t="s">
        <v>22</v>
      </c>
      <c r="K12833" s="8" t="s">
        <v>64</v>
      </c>
      <c r="L12833" s="8" t="s">
        <v>28435</v>
      </c>
      <c r="M12833" s="8" t="s">
        <v>28436</v>
      </c>
      <c r="N12833" s="8" t="s">
        <v>53773</v>
      </c>
      <c r="O12833" s="8">
        <f>20+23/60+27/3600</f>
        <v>20.390833333333333</v>
      </c>
      <c r="P12833" s="8" t="s">
        <v>53774</v>
      </c>
      <c r="Q12833" s="8">
        <f>-(71+33/60+55/3600)</f>
        <v>-71.56527777777778</v>
      </c>
      <c r="R12833" s="8">
        <v>13.8</v>
      </c>
      <c r="S12833" s="8">
        <v>14.5</v>
      </c>
      <c r="T12833" s="8">
        <v>0.7</v>
      </c>
      <c r="U12833" s="8">
        <v>12.8</v>
      </c>
      <c r="V12833" s="8">
        <v>2.2999999999999998</v>
      </c>
      <c r="W12833" s="8">
        <v>0.2</v>
      </c>
      <c r="X12833" s="8">
        <v>58</v>
      </c>
      <c r="Y12833" s="8" t="s">
        <v>53775</v>
      </c>
      <c r="Z12833" s="8" t="s">
        <v>53776</v>
      </c>
    </row>
    <row r="12834" spans="1:26" x14ac:dyDescent="0.2">
      <c r="A12834" s="8">
        <v>12833</v>
      </c>
      <c r="B12834" s="8" t="s">
        <v>53777</v>
      </c>
      <c r="C12834" s="8" t="s">
        <v>53777</v>
      </c>
      <c r="G12834" s="8">
        <v>20</v>
      </c>
      <c r="H12834" s="8" t="s">
        <v>21</v>
      </c>
      <c r="I12834" s="8" t="s">
        <v>22</v>
      </c>
      <c r="J12834" s="8" t="s">
        <v>22</v>
      </c>
      <c r="K12834" s="8" t="s">
        <v>4103</v>
      </c>
      <c r="L12834" s="8" t="s">
        <v>28435</v>
      </c>
      <c r="M12834" s="8" t="s">
        <v>28436</v>
      </c>
      <c r="N12834" s="8" t="s">
        <v>53778</v>
      </c>
      <c r="O12834" s="8">
        <f>20+21/60+56.3/3600</f>
        <v>20.365638888888892</v>
      </c>
      <c r="P12834" s="8" t="s">
        <v>53779</v>
      </c>
      <c r="Q12834" s="8">
        <f>-(66+59/60+7/3600)</f>
        <v>-66.985277777777782</v>
      </c>
      <c r="R12834" s="8">
        <v>15.1</v>
      </c>
      <c r="S12834" s="8">
        <v>15.7</v>
      </c>
      <c r="T12834" s="8">
        <v>0.6</v>
      </c>
      <c r="U12834" s="8">
        <v>13.4</v>
      </c>
      <c r="V12834" s="8">
        <v>0.5</v>
      </c>
      <c r="W12834" s="8">
        <v>0.5</v>
      </c>
      <c r="Y12834" s="8" t="s">
        <v>53780</v>
      </c>
      <c r="Z12834" s="8" t="s">
        <v>53781</v>
      </c>
    </row>
    <row r="12835" spans="1:26" x14ac:dyDescent="0.2">
      <c r="A12835" s="8">
        <v>12834</v>
      </c>
      <c r="B12835" s="8" t="s">
        <v>53782</v>
      </c>
      <c r="C12835" s="8" t="s">
        <v>53782</v>
      </c>
      <c r="G12835" s="8">
        <v>20</v>
      </c>
      <c r="H12835" s="8" t="s">
        <v>21</v>
      </c>
      <c r="I12835" s="8" t="s">
        <v>22</v>
      </c>
      <c r="J12835" s="8" t="s">
        <v>22</v>
      </c>
      <c r="K12835" s="8" t="s">
        <v>37</v>
      </c>
      <c r="L12835" s="8" t="s">
        <v>29246</v>
      </c>
      <c r="M12835" s="8" t="s">
        <v>29247</v>
      </c>
      <c r="N12835" s="8" t="s">
        <v>53783</v>
      </c>
      <c r="O12835" s="8">
        <f>20+19/60+44.3/3600</f>
        <v>20.328972222222223</v>
      </c>
      <c r="P12835" s="8" t="s">
        <v>53784</v>
      </c>
      <c r="Q12835" s="8">
        <f>-(53+26/60+49/3600)</f>
        <v>-53.446944444444441</v>
      </c>
      <c r="R12835" s="8">
        <v>12.9</v>
      </c>
      <c r="S12835" s="8">
        <v>13.9</v>
      </c>
      <c r="T12835" s="8">
        <v>1</v>
      </c>
      <c r="U12835" s="8">
        <v>12</v>
      </c>
      <c r="V12835" s="8">
        <v>0.7</v>
      </c>
      <c r="W12835" s="8">
        <v>0.7</v>
      </c>
      <c r="Y12835" s="8" t="s">
        <v>46249</v>
      </c>
      <c r="Z12835" s="8" t="s">
        <v>46250</v>
      </c>
    </row>
    <row r="12836" spans="1:26" x14ac:dyDescent="0.2">
      <c r="A12836" s="8">
        <v>12835</v>
      </c>
      <c r="B12836" s="8" t="s">
        <v>53785</v>
      </c>
      <c r="C12836" s="8" t="s">
        <v>53785</v>
      </c>
      <c r="G12836" s="8">
        <v>20</v>
      </c>
      <c r="H12836" s="8" t="s">
        <v>21</v>
      </c>
      <c r="I12836" s="8" t="s">
        <v>22</v>
      </c>
      <c r="J12836" s="8" t="s">
        <v>22</v>
      </c>
      <c r="K12836" s="8" t="s">
        <v>37</v>
      </c>
      <c r="L12836" s="8" t="s">
        <v>29246</v>
      </c>
      <c r="M12836" s="8" t="s">
        <v>29247</v>
      </c>
      <c r="N12836" s="8" t="s">
        <v>53786</v>
      </c>
      <c r="O12836" s="8">
        <f>20+19/60+59/3600</f>
        <v>20.333055555555557</v>
      </c>
      <c r="P12836" s="8" t="s">
        <v>53787</v>
      </c>
      <c r="Q12836" s="8">
        <f>-(52+37/60+18/3600)</f>
        <v>-52.62166666666667</v>
      </c>
      <c r="R12836" s="8">
        <v>13.3</v>
      </c>
      <c r="S12836" s="8">
        <v>14.3</v>
      </c>
      <c r="T12836" s="8">
        <v>1</v>
      </c>
      <c r="U12836" s="8">
        <v>12.5</v>
      </c>
      <c r="V12836" s="8">
        <v>0.9</v>
      </c>
      <c r="W12836" s="8">
        <v>0.6</v>
      </c>
      <c r="X12836" s="8">
        <v>153</v>
      </c>
      <c r="Y12836" s="8" t="s">
        <v>46310</v>
      </c>
      <c r="Z12836" s="8" t="s">
        <v>46311</v>
      </c>
    </row>
    <row r="12837" spans="1:26" x14ac:dyDescent="0.2">
      <c r="A12837" s="8">
        <v>12836</v>
      </c>
      <c r="B12837" s="8" t="s">
        <v>53788</v>
      </c>
      <c r="C12837" s="8" t="s">
        <v>53788</v>
      </c>
      <c r="G12837" s="8">
        <v>12</v>
      </c>
      <c r="H12837" s="8" t="s">
        <v>53789</v>
      </c>
      <c r="I12837" s="8" t="s">
        <v>557</v>
      </c>
      <c r="J12837" s="8" t="s">
        <v>557</v>
      </c>
      <c r="K12837" s="8" t="s">
        <v>1840</v>
      </c>
      <c r="L12837" s="8" t="s">
        <v>30032</v>
      </c>
      <c r="M12837" s="8" t="s">
        <v>30033</v>
      </c>
      <c r="N12837" s="8" t="s">
        <v>53790</v>
      </c>
      <c r="O12837" s="8">
        <f>20+16/60+31.7/3600</f>
        <v>20.27547222222222</v>
      </c>
      <c r="P12837" s="8" t="s">
        <v>53791</v>
      </c>
      <c r="Q12837" s="8">
        <f>+(37+38/60+35/3600)</f>
        <v>37.643055555555556</v>
      </c>
      <c r="R12837" s="8">
        <v>7.3</v>
      </c>
      <c r="S12837" s="8">
        <v>99</v>
      </c>
      <c r="T12837" s="8">
        <v>99</v>
      </c>
      <c r="U12837" s="8">
        <v>99</v>
      </c>
      <c r="V12837" s="8">
        <v>7</v>
      </c>
      <c r="Y12837" s="8" t="s">
        <v>53792</v>
      </c>
      <c r="Z12837" s="8" t="s">
        <v>53793</v>
      </c>
    </row>
    <row r="12838" spans="1:26" x14ac:dyDescent="0.2">
      <c r="A12838" s="8">
        <v>12837</v>
      </c>
      <c r="B12838" s="8" t="s">
        <v>53794</v>
      </c>
      <c r="C12838" s="8" t="s">
        <v>53794</v>
      </c>
      <c r="G12838" s="8">
        <v>12</v>
      </c>
      <c r="H12838" s="8" t="s">
        <v>21</v>
      </c>
      <c r="I12838" s="8" t="s">
        <v>241</v>
      </c>
      <c r="J12838" s="8" t="s">
        <v>241</v>
      </c>
      <c r="K12838" s="8" t="s">
        <v>241</v>
      </c>
      <c r="L12838" s="8" t="s">
        <v>30367</v>
      </c>
      <c r="M12838" s="8" t="s">
        <v>30368</v>
      </c>
      <c r="N12838" s="8" t="s">
        <v>53795</v>
      </c>
      <c r="O12838" s="8">
        <f>20+20/60+8.8/3600</f>
        <v>20.335777777777775</v>
      </c>
      <c r="P12838" s="8" t="s">
        <v>53796</v>
      </c>
      <c r="Q12838" s="8">
        <f>+(16+43/60+56/3600)</f>
        <v>16.732222222222219</v>
      </c>
      <c r="R12838" s="8">
        <v>10.5</v>
      </c>
      <c r="S12838" s="8">
        <v>11.6</v>
      </c>
      <c r="T12838" s="8">
        <v>99</v>
      </c>
      <c r="U12838" s="8">
        <v>99</v>
      </c>
      <c r="V12838" s="8">
        <v>0.22</v>
      </c>
      <c r="Y12838" s="8" t="s">
        <v>27388</v>
      </c>
      <c r="Z12838" s="8" t="s">
        <v>42798</v>
      </c>
    </row>
    <row r="12839" spans="1:26" x14ac:dyDescent="0.2">
      <c r="A12839" s="8">
        <v>12838</v>
      </c>
      <c r="B12839" s="8" t="s">
        <v>53797</v>
      </c>
      <c r="C12839" s="8" t="s">
        <v>53797</v>
      </c>
      <c r="G12839" s="8">
        <v>20</v>
      </c>
      <c r="H12839" s="8" t="s">
        <v>21</v>
      </c>
      <c r="I12839" s="8" t="s">
        <v>22</v>
      </c>
      <c r="J12839" s="8" t="s">
        <v>22</v>
      </c>
      <c r="K12839" s="8" t="s">
        <v>64</v>
      </c>
      <c r="L12839" s="8" t="s">
        <v>28576</v>
      </c>
      <c r="M12839" s="8" t="s">
        <v>28577</v>
      </c>
      <c r="N12839" s="8" t="s">
        <v>53798</v>
      </c>
      <c r="O12839" s="8">
        <f>20+22/60+10.6/3600</f>
        <v>20.369611111111112</v>
      </c>
      <c r="P12839" s="8" t="s">
        <v>53799</v>
      </c>
      <c r="Q12839" s="8">
        <f>-(38+18/60+31/3600)</f>
        <v>-38.308611111111105</v>
      </c>
      <c r="R12839" s="8">
        <v>13.2</v>
      </c>
      <c r="S12839" s="8">
        <v>13.9</v>
      </c>
      <c r="T12839" s="8">
        <v>0.7</v>
      </c>
      <c r="U12839" s="8">
        <v>13.5</v>
      </c>
      <c r="V12839" s="8">
        <v>1.6</v>
      </c>
      <c r="W12839" s="8">
        <v>1.2</v>
      </c>
      <c r="X12839" s="8">
        <v>105</v>
      </c>
      <c r="Y12839" s="8" t="s">
        <v>53800</v>
      </c>
      <c r="Z12839" s="8" t="s">
        <v>53801</v>
      </c>
    </row>
    <row r="12840" spans="1:26" x14ac:dyDescent="0.2">
      <c r="A12840" s="8">
        <v>12839</v>
      </c>
      <c r="B12840" s="8" t="s">
        <v>53802</v>
      </c>
      <c r="C12840" s="8" t="s">
        <v>53802</v>
      </c>
      <c r="G12840" s="8">
        <v>20</v>
      </c>
      <c r="H12840" s="8" t="s">
        <v>21</v>
      </c>
      <c r="I12840" s="8" t="s">
        <v>22</v>
      </c>
      <c r="J12840" s="8" t="s">
        <v>22</v>
      </c>
      <c r="K12840" s="8" t="s">
        <v>64</v>
      </c>
      <c r="L12840" s="8" t="s">
        <v>30635</v>
      </c>
      <c r="M12840" s="8" t="s">
        <v>30636</v>
      </c>
      <c r="N12840" s="8" t="s">
        <v>53803</v>
      </c>
      <c r="O12840" s="8">
        <f>20+23/60+56.3/3600</f>
        <v>20.398972222222223</v>
      </c>
      <c r="P12840" s="8" t="s">
        <v>53804</v>
      </c>
      <c r="Q12840" s="8">
        <f>-(26+0/60+53/3600)</f>
        <v>-26.014722222222222</v>
      </c>
      <c r="R12840" s="8">
        <v>12.5</v>
      </c>
      <c r="S12840" s="8">
        <v>13.2</v>
      </c>
      <c r="T12840" s="8">
        <v>0.7</v>
      </c>
      <c r="U12840" s="8">
        <v>13</v>
      </c>
      <c r="V12840" s="8">
        <v>1.8</v>
      </c>
      <c r="W12840" s="8">
        <v>1.1000000000000001</v>
      </c>
      <c r="X12840" s="8">
        <v>95</v>
      </c>
      <c r="Y12840" s="8" t="s">
        <v>53805</v>
      </c>
      <c r="Z12840" s="8" t="s">
        <v>53806</v>
      </c>
    </row>
    <row r="12841" spans="1:26" x14ac:dyDescent="0.2">
      <c r="A12841" s="8">
        <v>12840</v>
      </c>
      <c r="B12841" s="8" t="s">
        <v>53807</v>
      </c>
      <c r="C12841" s="8" t="s">
        <v>53807</v>
      </c>
      <c r="G12841" s="8">
        <v>20</v>
      </c>
      <c r="H12841" s="8" t="s">
        <v>21</v>
      </c>
      <c r="I12841" s="8" t="s">
        <v>22</v>
      </c>
      <c r="J12841" s="8" t="s">
        <v>57</v>
      </c>
      <c r="K12841" s="8" t="s">
        <v>406</v>
      </c>
      <c r="L12841" s="8" t="s">
        <v>29781</v>
      </c>
      <c r="M12841" s="8" t="s">
        <v>29782</v>
      </c>
      <c r="N12841" s="8" t="s">
        <v>30651</v>
      </c>
      <c r="O12841" s="8">
        <f>20+22/60+21.6/3600</f>
        <v>20.372666666666667</v>
      </c>
      <c r="P12841" s="8" t="s">
        <v>30652</v>
      </c>
      <c r="Q12841" s="8">
        <f>+(6+25/60+47/3600)</f>
        <v>6.4297222222222228</v>
      </c>
      <c r="R12841" s="8">
        <v>13.7</v>
      </c>
      <c r="S12841" s="8">
        <v>14.5</v>
      </c>
      <c r="T12841" s="8">
        <v>0.8</v>
      </c>
      <c r="U12841" s="8">
        <v>13.1</v>
      </c>
      <c r="V12841" s="8">
        <v>1.4</v>
      </c>
      <c r="W12841" s="8">
        <v>0.5</v>
      </c>
      <c r="X12841" s="8">
        <v>63</v>
      </c>
      <c r="Y12841" s="8" t="s">
        <v>53808</v>
      </c>
      <c r="Z12841" s="8" t="s">
        <v>53809</v>
      </c>
    </row>
    <row r="12842" spans="1:26" x14ac:dyDescent="0.2">
      <c r="A12842" s="8">
        <v>12841</v>
      </c>
      <c r="B12842" s="8" t="s">
        <v>53810</v>
      </c>
      <c r="C12842" s="8" t="s">
        <v>53810</v>
      </c>
      <c r="G12842" s="8">
        <v>20</v>
      </c>
      <c r="H12842" s="8" t="s">
        <v>21</v>
      </c>
      <c r="I12842" s="8" t="s">
        <v>22</v>
      </c>
      <c r="J12842" s="8" t="s">
        <v>22</v>
      </c>
      <c r="K12842" s="8" t="s">
        <v>435</v>
      </c>
      <c r="L12842" s="8" t="s">
        <v>29246</v>
      </c>
      <c r="M12842" s="8" t="s">
        <v>29247</v>
      </c>
      <c r="N12842" s="8" t="s">
        <v>53811</v>
      </c>
      <c r="O12842" s="8">
        <f>20+26/60+20.2/3600</f>
        <v>20.438944444444445</v>
      </c>
      <c r="P12842" s="8" t="s">
        <v>53812</v>
      </c>
      <c r="Q12842" s="8">
        <f>-(54+46/60+28/3600)</f>
        <v>-54.774444444444441</v>
      </c>
      <c r="R12842" s="8">
        <v>14.3</v>
      </c>
      <c r="S12842" s="8">
        <v>15.2</v>
      </c>
      <c r="T12842" s="8">
        <v>0.9</v>
      </c>
      <c r="U12842" s="8">
        <v>13.5</v>
      </c>
      <c r="V12842" s="8">
        <v>1.1000000000000001</v>
      </c>
      <c r="W12842" s="8">
        <v>0.5</v>
      </c>
      <c r="X12842" s="8">
        <v>5</v>
      </c>
      <c r="Y12842" s="8" t="s">
        <v>46249</v>
      </c>
      <c r="Z12842" s="8" t="s">
        <v>46250</v>
      </c>
    </row>
    <row r="12843" spans="1:26" x14ac:dyDescent="0.2">
      <c r="A12843" s="8">
        <v>12842</v>
      </c>
      <c r="B12843" s="8" t="s">
        <v>53813</v>
      </c>
      <c r="C12843" s="8" t="s">
        <v>53813</v>
      </c>
      <c r="G12843" s="8">
        <v>20</v>
      </c>
      <c r="H12843" s="8" t="s">
        <v>21</v>
      </c>
      <c r="I12843" s="8" t="s">
        <v>22</v>
      </c>
      <c r="J12843" s="8" t="s">
        <v>22</v>
      </c>
      <c r="K12843" s="8" t="s">
        <v>37</v>
      </c>
      <c r="L12843" s="8" t="s">
        <v>29246</v>
      </c>
      <c r="M12843" s="8" t="s">
        <v>29247</v>
      </c>
      <c r="N12843" s="8" t="s">
        <v>53814</v>
      </c>
      <c r="O12843" s="8">
        <f>20+26/60+40/3600</f>
        <v>20.444444444444446</v>
      </c>
      <c r="P12843" s="8" t="s">
        <v>53815</v>
      </c>
      <c r="Q12843" s="8">
        <f>-(54+47/60+57/3600)</f>
        <v>-54.799166666666665</v>
      </c>
      <c r="R12843" s="8">
        <v>13.1</v>
      </c>
      <c r="S12843" s="8">
        <v>14.1</v>
      </c>
      <c r="T12843" s="8">
        <v>1</v>
      </c>
      <c r="U12843" s="8">
        <v>12.9</v>
      </c>
      <c r="V12843" s="8">
        <v>1.2</v>
      </c>
      <c r="W12843" s="8">
        <v>0.8</v>
      </c>
      <c r="X12843" s="8">
        <v>92</v>
      </c>
      <c r="Y12843" s="8" t="s">
        <v>48015</v>
      </c>
      <c r="Z12843" s="8" t="s">
        <v>48016</v>
      </c>
    </row>
    <row r="12844" spans="1:26" x14ac:dyDescent="0.2">
      <c r="A12844" s="8">
        <v>12843</v>
      </c>
      <c r="B12844" s="8" t="s">
        <v>53816</v>
      </c>
      <c r="C12844" s="8" t="s">
        <v>53816</v>
      </c>
      <c r="G12844" s="8">
        <v>20</v>
      </c>
      <c r="H12844" s="8" t="s">
        <v>21</v>
      </c>
      <c r="I12844" s="8" t="s">
        <v>22</v>
      </c>
      <c r="J12844" s="8" t="s">
        <v>57</v>
      </c>
      <c r="K12844" s="8" t="s">
        <v>396</v>
      </c>
      <c r="L12844" s="8" t="s">
        <v>30738</v>
      </c>
      <c r="M12844" s="8" t="s">
        <v>30739</v>
      </c>
      <c r="N12844" s="8" t="s">
        <v>53817</v>
      </c>
      <c r="O12844" s="8">
        <f>20+43/60+14/3600</f>
        <v>20.720555555555553</v>
      </c>
      <c r="P12844" s="8" t="s">
        <v>53818</v>
      </c>
      <c r="Q12844" s="8">
        <f>-(29+51/60+7/3600)</f>
        <v>-29.851944444444445</v>
      </c>
      <c r="R12844" s="8">
        <v>12.7</v>
      </c>
      <c r="S12844" s="8">
        <v>13.3</v>
      </c>
      <c r="T12844" s="8">
        <v>0.6</v>
      </c>
      <c r="U12844" s="8">
        <v>13</v>
      </c>
      <c r="V12844" s="8">
        <v>2.1</v>
      </c>
      <c r="W12844" s="8">
        <v>0.6</v>
      </c>
      <c r="X12844" s="8">
        <v>156</v>
      </c>
      <c r="Y12844" s="8" t="s">
        <v>53819</v>
      </c>
      <c r="Z12844" s="8" t="s">
        <v>53820</v>
      </c>
    </row>
    <row r="12845" spans="1:26" x14ac:dyDescent="0.2">
      <c r="A12845" s="8">
        <v>12844</v>
      </c>
      <c r="B12845" s="8" t="s">
        <v>53821</v>
      </c>
      <c r="C12845" s="8" t="s">
        <v>53821</v>
      </c>
      <c r="G12845" s="8">
        <v>20</v>
      </c>
      <c r="H12845" s="8" t="s">
        <v>21</v>
      </c>
      <c r="I12845" s="8" t="s">
        <v>22</v>
      </c>
      <c r="J12845" s="8" t="s">
        <v>57</v>
      </c>
      <c r="K12845" s="8" t="s">
        <v>218</v>
      </c>
      <c r="L12845" s="8" t="s">
        <v>30738</v>
      </c>
      <c r="M12845" s="8" t="s">
        <v>30739</v>
      </c>
      <c r="N12845" s="8" t="s">
        <v>30752</v>
      </c>
      <c r="O12845" s="8">
        <f>20+31/60+39/3600</f>
        <v>20.5275</v>
      </c>
      <c r="P12845" s="8" t="s">
        <v>30753</v>
      </c>
      <c r="Q12845" s="8">
        <f>-(30+49/60+55/3600)</f>
        <v>-30.831944444444446</v>
      </c>
      <c r="R12845" s="8">
        <v>12</v>
      </c>
      <c r="S12845" s="8">
        <v>12.7</v>
      </c>
      <c r="T12845" s="8">
        <v>0.7</v>
      </c>
      <c r="U12845" s="8">
        <v>13.2</v>
      </c>
      <c r="V12845" s="8">
        <v>2.6</v>
      </c>
      <c r="W12845" s="8">
        <v>1.3</v>
      </c>
      <c r="X12845" s="8">
        <v>78</v>
      </c>
      <c r="Y12845" s="8" t="s">
        <v>53822</v>
      </c>
      <c r="Z12845" s="8" t="s">
        <v>53823</v>
      </c>
    </row>
    <row r="12846" spans="1:26" x14ac:dyDescent="0.2">
      <c r="A12846" s="8">
        <v>12845</v>
      </c>
      <c r="B12846" s="8" t="s">
        <v>53824</v>
      </c>
      <c r="C12846" s="8" t="s">
        <v>53824</v>
      </c>
      <c r="G12846" s="8">
        <v>20</v>
      </c>
      <c r="H12846" s="8" t="s">
        <v>21</v>
      </c>
      <c r="I12846" s="8" t="s">
        <v>22</v>
      </c>
      <c r="J12846" s="8" t="s">
        <v>22</v>
      </c>
      <c r="K12846" s="8" t="s">
        <v>64</v>
      </c>
      <c r="L12846" s="8" t="s">
        <v>30635</v>
      </c>
      <c r="M12846" s="8" t="s">
        <v>30636</v>
      </c>
      <c r="N12846" s="8" t="s">
        <v>53825</v>
      </c>
      <c r="O12846" s="8">
        <f>20+25/60+20/3600</f>
        <v>20.422222222222224</v>
      </c>
      <c r="P12846" s="8" t="s">
        <v>53826</v>
      </c>
      <c r="Q12846" s="8">
        <f>-(25+49/60+44/3600)</f>
        <v>-25.828888888888887</v>
      </c>
      <c r="R12846" s="8">
        <v>12.7</v>
      </c>
      <c r="S12846" s="8">
        <v>13.4</v>
      </c>
      <c r="T12846" s="8">
        <v>0.7</v>
      </c>
      <c r="U12846" s="8">
        <v>13.7</v>
      </c>
      <c r="V12846" s="8">
        <v>1.9</v>
      </c>
      <c r="W12846" s="8">
        <v>1.6</v>
      </c>
      <c r="X12846" s="8">
        <v>67</v>
      </c>
      <c r="Y12846" s="8" t="s">
        <v>53827</v>
      </c>
      <c r="Z12846" s="8" t="s">
        <v>53828</v>
      </c>
    </row>
    <row r="12847" spans="1:26" x14ac:dyDescent="0.2">
      <c r="A12847" s="8">
        <v>12846</v>
      </c>
      <c r="B12847" s="8" t="s">
        <v>53829</v>
      </c>
      <c r="C12847" s="8" t="s">
        <v>53829</v>
      </c>
      <c r="G12847" s="8">
        <v>20</v>
      </c>
      <c r="H12847" s="8" t="s">
        <v>21</v>
      </c>
      <c r="I12847" s="8" t="s">
        <v>72</v>
      </c>
      <c r="J12847" s="8" t="s">
        <v>72</v>
      </c>
      <c r="K12847" s="8" t="s">
        <v>73</v>
      </c>
      <c r="L12847" s="8" t="s">
        <v>29781</v>
      </c>
      <c r="M12847" s="8" t="s">
        <v>29782</v>
      </c>
      <c r="N12847" s="8" t="s">
        <v>53830</v>
      </c>
      <c r="O12847" s="8">
        <f>20+23/60+47/3600</f>
        <v>20.39638888888889</v>
      </c>
      <c r="P12847" s="8" t="s">
        <v>53831</v>
      </c>
      <c r="Q12847" s="8">
        <f>+(6+26/60+56/3600)</f>
        <v>6.4488888888888889</v>
      </c>
      <c r="R12847" s="8">
        <v>99</v>
      </c>
      <c r="S12847" s="8">
        <v>99</v>
      </c>
      <c r="T12847" s="8">
        <v>99</v>
      </c>
      <c r="U12847" s="8">
        <v>99</v>
      </c>
      <c r="Y12847" s="8" t="s">
        <v>53832</v>
      </c>
      <c r="Z12847" s="8" t="s">
        <v>53833</v>
      </c>
    </row>
    <row r="12848" spans="1:26" x14ac:dyDescent="0.2">
      <c r="A12848" s="8">
        <v>12847</v>
      </c>
      <c r="B12848" s="8" t="s">
        <v>53834</v>
      </c>
      <c r="C12848" s="8" t="s">
        <v>53834</v>
      </c>
      <c r="G12848" s="8">
        <v>20</v>
      </c>
      <c r="H12848" s="8" t="s">
        <v>21</v>
      </c>
      <c r="I12848" s="8" t="s">
        <v>22</v>
      </c>
      <c r="J12848" s="8" t="s">
        <v>57</v>
      </c>
      <c r="K12848" s="8" t="s">
        <v>1277</v>
      </c>
      <c r="L12848" s="8" t="s">
        <v>30738</v>
      </c>
      <c r="M12848" s="8" t="s">
        <v>30739</v>
      </c>
      <c r="N12848" s="8" t="s">
        <v>53835</v>
      </c>
      <c r="O12848" s="8">
        <f>20+43/60+34.3/3600</f>
        <v>20.726194444444442</v>
      </c>
      <c r="P12848" s="8" t="s">
        <v>53836</v>
      </c>
      <c r="Q12848" s="8">
        <f>-(29+42/60+11/3600)</f>
        <v>-29.703055555555554</v>
      </c>
      <c r="R12848" s="8">
        <v>12.5</v>
      </c>
      <c r="S12848" s="8">
        <v>13.1</v>
      </c>
      <c r="T12848" s="8">
        <v>0.6</v>
      </c>
      <c r="U12848" s="8">
        <v>13.1</v>
      </c>
      <c r="V12848" s="8">
        <v>1.7</v>
      </c>
      <c r="W12848" s="8">
        <v>1.2</v>
      </c>
      <c r="X12848" s="8">
        <v>31</v>
      </c>
      <c r="Y12848" s="8" t="s">
        <v>473</v>
      </c>
      <c r="Z12848" s="8" t="s">
        <v>474</v>
      </c>
    </row>
    <row r="12849" spans="1:26" x14ac:dyDescent="0.2">
      <c r="A12849" s="8">
        <v>12848</v>
      </c>
      <c r="B12849" s="8" t="s">
        <v>53837</v>
      </c>
      <c r="C12849" s="8" t="s">
        <v>53837</v>
      </c>
      <c r="G12849" s="8">
        <v>20</v>
      </c>
      <c r="H12849" s="8" t="s">
        <v>21</v>
      </c>
      <c r="I12849" s="8" t="s">
        <v>22</v>
      </c>
      <c r="J12849" s="8" t="s">
        <v>22</v>
      </c>
      <c r="K12849" s="8" t="s">
        <v>269</v>
      </c>
      <c r="L12849" s="8" t="s">
        <v>28435</v>
      </c>
      <c r="M12849" s="8" t="s">
        <v>28436</v>
      </c>
      <c r="N12849" s="8" t="s">
        <v>53838</v>
      </c>
      <c r="O12849" s="8">
        <f>20+32/60+44.7/3600</f>
        <v>20.545750000000002</v>
      </c>
      <c r="P12849" s="8" t="s">
        <v>53839</v>
      </c>
      <c r="Q12849" s="8">
        <f>-(72+41/60+40/3600)</f>
        <v>-72.694444444444443</v>
      </c>
      <c r="R12849" s="8">
        <v>14.9</v>
      </c>
      <c r="S12849" s="8">
        <v>15.5</v>
      </c>
      <c r="T12849" s="8">
        <v>0.6</v>
      </c>
      <c r="U12849" s="8">
        <v>13.9</v>
      </c>
      <c r="V12849" s="8">
        <v>1.1000000000000001</v>
      </c>
      <c r="W12849" s="8">
        <v>0.4</v>
      </c>
      <c r="X12849" s="8">
        <v>79</v>
      </c>
      <c r="Y12849" s="8" t="s">
        <v>53840</v>
      </c>
      <c r="Z12849" s="8" t="s">
        <v>53841</v>
      </c>
    </row>
    <row r="12850" spans="1:26" x14ac:dyDescent="0.2">
      <c r="A12850" s="8">
        <v>12849</v>
      </c>
      <c r="B12850" s="8" t="s">
        <v>53842</v>
      </c>
      <c r="C12850" s="8" t="s">
        <v>53842</v>
      </c>
      <c r="G12850" s="8">
        <v>20</v>
      </c>
      <c r="H12850" s="8" t="s">
        <v>21</v>
      </c>
      <c r="I12850" s="8" t="s">
        <v>22</v>
      </c>
      <c r="J12850" s="8" t="s">
        <v>22</v>
      </c>
      <c r="K12850" s="8" t="s">
        <v>435</v>
      </c>
      <c r="L12850" s="8" t="s">
        <v>28435</v>
      </c>
      <c r="M12850" s="8" t="s">
        <v>28436</v>
      </c>
      <c r="N12850" s="8" t="s">
        <v>53843</v>
      </c>
      <c r="O12850" s="8">
        <f>20+32/60+34.4/3600</f>
        <v>20.542888888888889</v>
      </c>
      <c r="P12850" s="8" t="s">
        <v>53844</v>
      </c>
      <c r="Q12850" s="8">
        <f>-(72+10/60+3/3600)</f>
        <v>-72.167500000000004</v>
      </c>
      <c r="R12850" s="8">
        <v>13.5</v>
      </c>
      <c r="S12850" s="8">
        <v>14.4</v>
      </c>
      <c r="T12850" s="8">
        <v>0.9</v>
      </c>
      <c r="U12850" s="8">
        <v>13</v>
      </c>
      <c r="V12850" s="8">
        <v>1.2</v>
      </c>
      <c r="W12850" s="8">
        <v>0.6</v>
      </c>
      <c r="X12850" s="8">
        <v>90</v>
      </c>
      <c r="Y12850" s="8" t="s">
        <v>7702</v>
      </c>
      <c r="Z12850" s="8" t="s">
        <v>7703</v>
      </c>
    </row>
    <row r="12851" spans="1:26" x14ac:dyDescent="0.2">
      <c r="A12851" s="8">
        <v>12850</v>
      </c>
      <c r="B12851" s="8" t="s">
        <v>53845</v>
      </c>
      <c r="C12851" s="8" t="s">
        <v>53845</v>
      </c>
      <c r="G12851" s="8">
        <v>20</v>
      </c>
      <c r="H12851" s="8" t="s">
        <v>21</v>
      </c>
      <c r="I12851" s="8" t="s">
        <v>22</v>
      </c>
      <c r="J12851" s="8" t="s">
        <v>22</v>
      </c>
      <c r="K12851" s="8" t="s">
        <v>23</v>
      </c>
      <c r="L12851" s="8" t="s">
        <v>28435</v>
      </c>
      <c r="M12851" s="8" t="s">
        <v>28436</v>
      </c>
      <c r="N12851" s="8" t="s">
        <v>53846</v>
      </c>
      <c r="O12851" s="8">
        <f>20+30/60+26.5/3600</f>
        <v>20.507361111111113</v>
      </c>
      <c r="P12851" s="8" t="s">
        <v>53847</v>
      </c>
      <c r="Q12851" s="8">
        <f>-(66+5/60+51/3600)</f>
        <v>-66.097499999999997</v>
      </c>
      <c r="R12851" s="8">
        <v>15.1</v>
      </c>
      <c r="S12851" s="8">
        <v>15.9</v>
      </c>
      <c r="T12851" s="8">
        <v>0.8</v>
      </c>
      <c r="U12851" s="8">
        <v>13.3</v>
      </c>
      <c r="V12851" s="8">
        <v>0.7</v>
      </c>
      <c r="W12851" s="8">
        <v>0.3</v>
      </c>
      <c r="X12851" s="8">
        <v>0</v>
      </c>
      <c r="Y12851" s="8" t="s">
        <v>53848</v>
      </c>
      <c r="Z12851" s="8" t="s">
        <v>53849</v>
      </c>
    </row>
    <row r="12852" spans="1:26" x14ac:dyDescent="0.2">
      <c r="A12852" s="8">
        <v>12851</v>
      </c>
      <c r="B12852" s="8" t="s">
        <v>53850</v>
      </c>
      <c r="C12852" s="8" t="s">
        <v>53850</v>
      </c>
      <c r="G12852" s="8">
        <v>20</v>
      </c>
      <c r="H12852" s="8" t="s">
        <v>21</v>
      </c>
      <c r="I12852" s="8" t="s">
        <v>22</v>
      </c>
      <c r="J12852" s="8" t="s">
        <v>22</v>
      </c>
      <c r="K12852" s="8" t="s">
        <v>224</v>
      </c>
      <c r="L12852" s="8" t="s">
        <v>30738</v>
      </c>
      <c r="M12852" s="8" t="s">
        <v>30739</v>
      </c>
      <c r="N12852" s="8" t="s">
        <v>53851</v>
      </c>
      <c r="O12852" s="8">
        <f>20+28/60+33.8/3600</f>
        <v>20.476055555555554</v>
      </c>
      <c r="P12852" s="8" t="s">
        <v>53852</v>
      </c>
      <c r="Q12852" s="8">
        <f>-(36+1/60+38/3600)</f>
        <v>-36.027222222222221</v>
      </c>
      <c r="R12852" s="8">
        <v>11.7</v>
      </c>
      <c r="S12852" s="8">
        <v>12.7</v>
      </c>
      <c r="T12852" s="8">
        <v>1</v>
      </c>
      <c r="U12852" s="8">
        <v>12.8</v>
      </c>
      <c r="V12852" s="8">
        <v>2.4</v>
      </c>
      <c r="W12852" s="8">
        <v>1.3</v>
      </c>
      <c r="X12852" s="8">
        <v>19</v>
      </c>
      <c r="Y12852" s="8" t="s">
        <v>53853</v>
      </c>
      <c r="Z12852" s="8" t="s">
        <v>53854</v>
      </c>
    </row>
    <row r="12853" spans="1:26" x14ac:dyDescent="0.2">
      <c r="A12853" s="8">
        <v>12852</v>
      </c>
      <c r="B12853" s="8" t="s">
        <v>53855</v>
      </c>
      <c r="C12853" s="8" t="s">
        <v>53855</v>
      </c>
      <c r="G12853" s="8">
        <v>20</v>
      </c>
      <c r="H12853" s="8" t="s">
        <v>21</v>
      </c>
      <c r="I12853" s="8" t="s">
        <v>22</v>
      </c>
      <c r="J12853" s="8" t="s">
        <v>22</v>
      </c>
      <c r="K12853" s="8" t="s">
        <v>64</v>
      </c>
      <c r="L12853" s="8" t="s">
        <v>28435</v>
      </c>
      <c r="M12853" s="8" t="s">
        <v>28436</v>
      </c>
      <c r="N12853" s="8" t="s">
        <v>53856</v>
      </c>
      <c r="O12853" s="8">
        <f>20+29/60+32/3600</f>
        <v>20.492222222222225</v>
      </c>
      <c r="P12853" s="8" t="s">
        <v>53857</v>
      </c>
      <c r="Q12853" s="8">
        <f>-(56+44/60+36/3600)</f>
        <v>-56.743333333333332</v>
      </c>
      <c r="R12853" s="8">
        <v>14.6</v>
      </c>
      <c r="S12853" s="8">
        <v>15.3</v>
      </c>
      <c r="T12853" s="8">
        <v>0.7</v>
      </c>
      <c r="U12853" s="8">
        <v>13.8</v>
      </c>
      <c r="V12853" s="8">
        <v>1.1000000000000001</v>
      </c>
      <c r="W12853" s="8">
        <v>0.5</v>
      </c>
      <c r="X12853" s="8">
        <v>70</v>
      </c>
      <c r="Y12853" s="8" t="s">
        <v>53858</v>
      </c>
      <c r="Z12853" s="8" t="s">
        <v>53859</v>
      </c>
    </row>
    <row r="12854" spans="1:26" x14ac:dyDescent="0.2">
      <c r="A12854" s="8">
        <v>12853</v>
      </c>
      <c r="B12854" s="8" t="s">
        <v>53860</v>
      </c>
      <c r="C12854" s="8" t="s">
        <v>53860</v>
      </c>
      <c r="G12854" s="8">
        <v>20</v>
      </c>
      <c r="H12854" s="8" t="s">
        <v>21</v>
      </c>
      <c r="I12854" s="8" t="s">
        <v>22</v>
      </c>
      <c r="J12854" s="8" t="s">
        <v>22</v>
      </c>
      <c r="K12854" s="8" t="s">
        <v>183</v>
      </c>
      <c r="L12854" s="8" t="s">
        <v>30738</v>
      </c>
      <c r="M12854" s="8" t="s">
        <v>30739</v>
      </c>
      <c r="N12854" s="8" t="s">
        <v>53861</v>
      </c>
      <c r="O12854" s="8">
        <f>20+28/60+34.9/3600</f>
        <v>20.47636111111111</v>
      </c>
      <c r="P12854" s="8" t="s">
        <v>53862</v>
      </c>
      <c r="Q12854" s="8">
        <f>-(36+2/60+33/3600)</f>
        <v>-36.042499999999997</v>
      </c>
      <c r="R12854" s="8">
        <v>14</v>
      </c>
      <c r="S12854" s="8">
        <v>15</v>
      </c>
      <c r="T12854" s="8">
        <v>1</v>
      </c>
      <c r="U12854" s="8">
        <v>13.1</v>
      </c>
      <c r="V12854" s="8">
        <v>0.7</v>
      </c>
      <c r="W12854" s="8">
        <v>0.6</v>
      </c>
      <c r="X12854" s="8">
        <v>172</v>
      </c>
      <c r="Y12854" s="8" t="s">
        <v>53853</v>
      </c>
      <c r="Z12854" s="8" t="s">
        <v>53863</v>
      </c>
    </row>
    <row r="12855" spans="1:26" x14ac:dyDescent="0.2">
      <c r="A12855" s="8">
        <v>12854</v>
      </c>
      <c r="B12855" s="8" t="s">
        <v>53864</v>
      </c>
      <c r="C12855" s="8" t="s">
        <v>53864</v>
      </c>
      <c r="G12855" s="8">
        <v>20</v>
      </c>
      <c r="H12855" s="8" t="s">
        <v>21</v>
      </c>
      <c r="I12855" s="8" t="s">
        <v>22</v>
      </c>
      <c r="J12855" s="8" t="s">
        <v>22</v>
      </c>
      <c r="K12855" s="8" t="s">
        <v>37</v>
      </c>
      <c r="L12855" s="8" t="s">
        <v>28435</v>
      </c>
      <c r="M12855" s="8" t="s">
        <v>28436</v>
      </c>
      <c r="N12855" s="8" t="s">
        <v>53865</v>
      </c>
      <c r="O12855" s="8">
        <f>20+35/60+15.6/3600</f>
        <v>20.587666666666667</v>
      </c>
      <c r="P12855" s="8" t="s">
        <v>53866</v>
      </c>
      <c r="Q12855" s="8">
        <f>-(73+27/60+9/3600)</f>
        <v>-73.452500000000001</v>
      </c>
      <c r="R12855" s="8">
        <v>13.6</v>
      </c>
      <c r="S12855" s="8">
        <v>14.6</v>
      </c>
      <c r="T12855" s="8">
        <v>1</v>
      </c>
      <c r="U12855" s="8">
        <v>11.9</v>
      </c>
      <c r="V12855" s="8">
        <v>0.5</v>
      </c>
      <c r="W12855" s="8">
        <v>0.5</v>
      </c>
      <c r="Y12855" s="8" t="s">
        <v>53867</v>
      </c>
      <c r="Z12855" s="8" t="s">
        <v>53868</v>
      </c>
    </row>
    <row r="12856" spans="1:26" x14ac:dyDescent="0.2">
      <c r="A12856" s="8">
        <v>12855</v>
      </c>
      <c r="B12856" s="8" t="s">
        <v>53869</v>
      </c>
      <c r="C12856" s="8" t="s">
        <v>53869</v>
      </c>
      <c r="G12856" s="8">
        <v>20</v>
      </c>
      <c r="H12856" s="8" t="s">
        <v>21</v>
      </c>
      <c r="I12856" s="8" t="s">
        <v>329</v>
      </c>
      <c r="J12856" s="8" t="s">
        <v>329</v>
      </c>
      <c r="K12856" s="8" t="s">
        <v>329</v>
      </c>
      <c r="L12856" s="8" t="s">
        <v>30738</v>
      </c>
      <c r="M12856" s="8" t="s">
        <v>30739</v>
      </c>
      <c r="N12856" s="8" t="s">
        <v>53870</v>
      </c>
      <c r="O12856" s="8">
        <f>20+28/60+34.5/3600</f>
        <v>20.476249999999997</v>
      </c>
      <c r="P12856" s="8" t="s">
        <v>53871</v>
      </c>
      <c r="Q12856" s="8">
        <f>-(31+42/60+5/3600)</f>
        <v>-31.701388888888889</v>
      </c>
      <c r="R12856" s="8">
        <v>99</v>
      </c>
      <c r="S12856" s="8">
        <v>99</v>
      </c>
      <c r="T12856" s="8">
        <v>99</v>
      </c>
      <c r="U12856" s="8">
        <v>99</v>
      </c>
      <c r="Y12856" s="8" t="s">
        <v>53872</v>
      </c>
      <c r="Z12856" s="8" t="s">
        <v>53873</v>
      </c>
    </row>
    <row r="12857" spans="1:26" x14ac:dyDescent="0.2">
      <c r="A12857" s="8">
        <v>12856</v>
      </c>
      <c r="B12857" s="8" t="s">
        <v>53874</v>
      </c>
      <c r="C12857" s="8" t="s">
        <v>53874</v>
      </c>
      <c r="G12857" s="8">
        <v>20</v>
      </c>
      <c r="H12857" s="8" t="s">
        <v>21</v>
      </c>
      <c r="I12857" s="8" t="s">
        <v>22</v>
      </c>
      <c r="J12857" s="8" t="s">
        <v>22</v>
      </c>
      <c r="K12857" s="8" t="s">
        <v>1445</v>
      </c>
      <c r="L12857" s="8" t="s">
        <v>28435</v>
      </c>
      <c r="M12857" s="8" t="s">
        <v>28436</v>
      </c>
      <c r="N12857" s="8" t="s">
        <v>53875</v>
      </c>
      <c r="O12857" s="8">
        <f>20+35/60+37.3/3600</f>
        <v>20.593694444444445</v>
      </c>
      <c r="P12857" s="8" t="s">
        <v>53876</v>
      </c>
      <c r="Q12857" s="8">
        <f>-(72+54/60+41/3600)</f>
        <v>-72.911388888888894</v>
      </c>
      <c r="R12857" s="8">
        <v>15</v>
      </c>
      <c r="S12857" s="8">
        <v>15.8</v>
      </c>
      <c r="T12857" s="8">
        <v>0.8</v>
      </c>
      <c r="U12857" s="8">
        <v>13.7</v>
      </c>
      <c r="V12857" s="8">
        <v>0.6</v>
      </c>
      <c r="W12857" s="8">
        <v>0.6</v>
      </c>
      <c r="Y12857" s="8" t="s">
        <v>53877</v>
      </c>
      <c r="Z12857" s="8" t="s">
        <v>53878</v>
      </c>
    </row>
    <row r="12858" spans="1:26" x14ac:dyDescent="0.2">
      <c r="A12858" s="8">
        <v>12857</v>
      </c>
      <c r="B12858" s="8" t="s">
        <v>53879</v>
      </c>
      <c r="C12858" s="8" t="s">
        <v>53879</v>
      </c>
      <c r="G12858" s="8">
        <v>20</v>
      </c>
      <c r="H12858" s="8" t="s">
        <v>21</v>
      </c>
      <c r="I12858" s="8" t="s">
        <v>22</v>
      </c>
      <c r="J12858" s="8" t="s">
        <v>22</v>
      </c>
      <c r="K12858" s="8" t="s">
        <v>42125</v>
      </c>
      <c r="L12858" s="8" t="s">
        <v>30731</v>
      </c>
      <c r="M12858" s="8" t="s">
        <v>30732</v>
      </c>
      <c r="N12858" s="8" t="s">
        <v>53880</v>
      </c>
      <c r="O12858" s="8">
        <f>20+32/60+3.9/3600</f>
        <v>20.534416666666669</v>
      </c>
      <c r="P12858" s="8" t="s">
        <v>53881</v>
      </c>
      <c r="Q12858" s="8">
        <f>-(57+35/60+14/3600)</f>
        <v>-57.587222222222223</v>
      </c>
      <c r="R12858" s="8">
        <v>13.8</v>
      </c>
      <c r="S12858" s="8">
        <v>14.8</v>
      </c>
      <c r="T12858" s="8">
        <v>1</v>
      </c>
      <c r="U12858" s="8">
        <v>13.2</v>
      </c>
      <c r="V12858" s="8">
        <v>1</v>
      </c>
      <c r="W12858" s="8">
        <v>0.6</v>
      </c>
      <c r="X12858" s="8">
        <v>5</v>
      </c>
      <c r="Y12858" s="8" t="s">
        <v>46447</v>
      </c>
      <c r="Z12858" s="8" t="s">
        <v>46448</v>
      </c>
    </row>
    <row r="12859" spans="1:26" x14ac:dyDescent="0.2">
      <c r="A12859" s="8">
        <v>12858</v>
      </c>
      <c r="B12859" s="8" t="s">
        <v>53882</v>
      </c>
      <c r="C12859" s="8" t="s">
        <v>53882</v>
      </c>
      <c r="G12859" s="8">
        <v>20</v>
      </c>
      <c r="H12859" s="8" t="s">
        <v>21</v>
      </c>
      <c r="I12859" s="8" t="s">
        <v>22</v>
      </c>
      <c r="J12859" s="8" t="s">
        <v>57</v>
      </c>
      <c r="K12859" s="8" t="s">
        <v>64</v>
      </c>
      <c r="L12859" s="8" t="s">
        <v>28576</v>
      </c>
      <c r="M12859" s="8" t="s">
        <v>28577</v>
      </c>
      <c r="N12859" s="8" t="s">
        <v>53798</v>
      </c>
      <c r="O12859" s="8">
        <f>20+22/60+10.6/3600</f>
        <v>20.369611111111112</v>
      </c>
      <c r="P12859" s="8" t="s">
        <v>53799</v>
      </c>
      <c r="Q12859" s="8">
        <f>-(38+18/60+31/3600)</f>
        <v>-38.308611111111105</v>
      </c>
      <c r="R12859" s="8">
        <v>13.2</v>
      </c>
      <c r="S12859" s="8">
        <v>13.9</v>
      </c>
      <c r="T12859" s="8">
        <v>0.7</v>
      </c>
      <c r="U12859" s="8">
        <v>13.5</v>
      </c>
      <c r="V12859" s="8">
        <v>1.6</v>
      </c>
      <c r="W12859" s="8">
        <v>1.2</v>
      </c>
      <c r="X12859" s="8">
        <v>105</v>
      </c>
      <c r="Y12859" s="8" t="s">
        <v>53800</v>
      </c>
      <c r="Z12859" s="8" t="s">
        <v>53801</v>
      </c>
    </row>
    <row r="12860" spans="1:26" x14ac:dyDescent="0.2">
      <c r="A12860" s="8">
        <v>12859</v>
      </c>
      <c r="B12860" s="8" t="s">
        <v>53883</v>
      </c>
      <c r="C12860" s="8" t="s">
        <v>53883</v>
      </c>
      <c r="G12860" s="8">
        <v>20</v>
      </c>
      <c r="H12860" s="8" t="s">
        <v>21</v>
      </c>
      <c r="I12860" s="8" t="s">
        <v>329</v>
      </c>
      <c r="J12860" s="8" t="s">
        <v>329</v>
      </c>
      <c r="K12860" s="8" t="s">
        <v>329</v>
      </c>
      <c r="L12860" s="8" t="s">
        <v>30738</v>
      </c>
      <c r="M12860" s="8" t="s">
        <v>30739</v>
      </c>
      <c r="N12860" s="8" t="s">
        <v>53884</v>
      </c>
      <c r="O12860" s="8">
        <f>20+30/60+52/3600</f>
        <v>20.514444444444443</v>
      </c>
      <c r="P12860" s="8" t="s">
        <v>53885</v>
      </c>
      <c r="Q12860" s="8">
        <f>-(36+19/60+18/3600)</f>
        <v>-36.321666666666673</v>
      </c>
      <c r="R12860" s="8">
        <v>99</v>
      </c>
      <c r="S12860" s="8">
        <v>99</v>
      </c>
      <c r="T12860" s="8">
        <v>99</v>
      </c>
      <c r="U12860" s="8">
        <v>99</v>
      </c>
      <c r="Y12860" s="8" t="s">
        <v>11836</v>
      </c>
      <c r="Z12860" s="8" t="s">
        <v>11837</v>
      </c>
    </row>
    <row r="12861" spans="1:26" x14ac:dyDescent="0.2">
      <c r="A12861" s="8">
        <v>12860</v>
      </c>
      <c r="B12861" s="8" t="s">
        <v>53886</v>
      </c>
      <c r="C12861" s="8" t="s">
        <v>53886</v>
      </c>
      <c r="G12861" s="8">
        <v>20</v>
      </c>
      <c r="H12861" s="8" t="s">
        <v>21</v>
      </c>
      <c r="I12861" s="8" t="s">
        <v>22</v>
      </c>
      <c r="J12861" s="8" t="s">
        <v>22</v>
      </c>
      <c r="K12861" s="8" t="s">
        <v>23</v>
      </c>
      <c r="L12861" s="8" t="s">
        <v>30738</v>
      </c>
      <c r="M12861" s="8" t="s">
        <v>30739</v>
      </c>
      <c r="N12861" s="8" t="s">
        <v>53887</v>
      </c>
      <c r="O12861" s="8">
        <f>20+30/60+38.4/3600</f>
        <v>20.510666666666665</v>
      </c>
      <c r="P12861" s="8" t="s">
        <v>53888</v>
      </c>
      <c r="Q12861" s="8">
        <f>-(33+29/60+8/3600)</f>
        <v>-33.485555555555557</v>
      </c>
      <c r="R12861" s="8">
        <v>12.3</v>
      </c>
      <c r="S12861" s="8">
        <v>13.1</v>
      </c>
      <c r="T12861" s="8">
        <v>0.8</v>
      </c>
      <c r="U12861" s="8">
        <v>14.1</v>
      </c>
      <c r="V12861" s="8">
        <v>2.9</v>
      </c>
      <c r="W12861" s="8">
        <v>2</v>
      </c>
      <c r="X12861" s="8">
        <v>153</v>
      </c>
      <c r="Y12861" s="8" t="s">
        <v>10215</v>
      </c>
      <c r="Z12861" s="8" t="s">
        <v>53889</v>
      </c>
    </row>
    <row r="12862" spans="1:26" x14ac:dyDescent="0.2">
      <c r="A12862" s="8">
        <v>12861</v>
      </c>
      <c r="B12862" s="8" t="s">
        <v>53890</v>
      </c>
      <c r="C12862" s="8" t="s">
        <v>53890</v>
      </c>
      <c r="G12862" s="8">
        <v>20</v>
      </c>
      <c r="H12862" s="8" t="s">
        <v>21</v>
      </c>
      <c r="I12862" s="8" t="s">
        <v>22</v>
      </c>
      <c r="J12862" s="8" t="s">
        <v>22</v>
      </c>
      <c r="K12862" s="8" t="s">
        <v>124</v>
      </c>
      <c r="L12862" s="8" t="s">
        <v>30731</v>
      </c>
      <c r="M12862" s="8" t="s">
        <v>30732</v>
      </c>
      <c r="N12862" s="8" t="s">
        <v>53891</v>
      </c>
      <c r="O12862" s="8">
        <f>20+33/60+34.3/3600</f>
        <v>20.559527777777777</v>
      </c>
      <c r="P12862" s="8" t="s">
        <v>53892</v>
      </c>
      <c r="Q12862" s="8">
        <f>-(54+31/60+17/3600)</f>
        <v>-54.521388888888886</v>
      </c>
      <c r="R12862" s="8">
        <v>14.3</v>
      </c>
      <c r="S12862" s="8">
        <v>15</v>
      </c>
      <c r="T12862" s="8">
        <v>0.7</v>
      </c>
      <c r="U12862" s="8">
        <v>13</v>
      </c>
      <c r="V12862" s="8">
        <v>0.8</v>
      </c>
      <c r="W12862" s="8">
        <v>0.6</v>
      </c>
      <c r="X12862" s="8">
        <v>2</v>
      </c>
      <c r="Y12862" s="8" t="s">
        <v>53893</v>
      </c>
      <c r="Z12862" s="8" t="s">
        <v>53894</v>
      </c>
    </row>
    <row r="12863" spans="1:26" x14ac:dyDescent="0.2">
      <c r="A12863" s="8">
        <v>12862</v>
      </c>
      <c r="B12863" s="8" t="s">
        <v>53895</v>
      </c>
      <c r="C12863" s="8" t="s">
        <v>53895</v>
      </c>
      <c r="G12863" s="8">
        <v>20</v>
      </c>
      <c r="H12863" s="8" t="s">
        <v>21</v>
      </c>
      <c r="I12863" s="8" t="s">
        <v>22</v>
      </c>
      <c r="J12863" s="8" t="s">
        <v>22</v>
      </c>
      <c r="K12863" s="8" t="s">
        <v>47262</v>
      </c>
      <c r="L12863" s="8" t="s">
        <v>11890</v>
      </c>
      <c r="M12863" s="8" t="s">
        <v>11891</v>
      </c>
      <c r="N12863" s="8" t="s">
        <v>53896</v>
      </c>
      <c r="O12863" s="8">
        <f>20+41/60+6.3/3600</f>
        <v>20.685083333333335</v>
      </c>
      <c r="P12863" s="8" t="s">
        <v>53897</v>
      </c>
      <c r="Q12863" s="8">
        <f>-(76+26/60+59/3600)</f>
        <v>-76.449722222222221</v>
      </c>
      <c r="R12863" s="8">
        <v>14.7</v>
      </c>
      <c r="S12863" s="8">
        <v>15.5</v>
      </c>
      <c r="T12863" s="8">
        <v>0.8</v>
      </c>
      <c r="U12863" s="8">
        <v>13.9</v>
      </c>
      <c r="V12863" s="8">
        <v>0.9</v>
      </c>
      <c r="W12863" s="8">
        <v>0.6</v>
      </c>
      <c r="X12863" s="8">
        <v>142</v>
      </c>
      <c r="Y12863" s="8" t="s">
        <v>53898</v>
      </c>
      <c r="Z12863" s="8" t="s">
        <v>53899</v>
      </c>
    </row>
    <row r="12864" spans="1:26" x14ac:dyDescent="0.2">
      <c r="A12864" s="8">
        <v>12863</v>
      </c>
      <c r="B12864" s="8" t="s">
        <v>53900</v>
      </c>
      <c r="C12864" s="8" t="s">
        <v>53900</v>
      </c>
      <c r="G12864" s="8">
        <v>20</v>
      </c>
      <c r="H12864" s="8" t="s">
        <v>21</v>
      </c>
      <c r="I12864" s="8" t="s">
        <v>22</v>
      </c>
      <c r="J12864" s="8" t="s">
        <v>22</v>
      </c>
      <c r="K12864" s="8" t="s">
        <v>91</v>
      </c>
      <c r="L12864" s="8" t="s">
        <v>28435</v>
      </c>
      <c r="M12864" s="8" t="s">
        <v>28436</v>
      </c>
      <c r="N12864" s="8" t="s">
        <v>53901</v>
      </c>
      <c r="O12864" s="8">
        <f>20+38/60+10/3600</f>
        <v>20.636111111111109</v>
      </c>
      <c r="P12864" s="8" t="s">
        <v>53902</v>
      </c>
      <c r="Q12864" s="8">
        <f>-(67+11/60+4/3600)</f>
        <v>-67.184444444444452</v>
      </c>
      <c r="R12864" s="8">
        <v>13.3</v>
      </c>
      <c r="S12864" s="8">
        <v>14.2</v>
      </c>
      <c r="T12864" s="8">
        <v>0.9</v>
      </c>
      <c r="U12864" s="8">
        <v>12.8</v>
      </c>
      <c r="V12864" s="8">
        <v>1.4</v>
      </c>
      <c r="W12864" s="8">
        <v>0.5</v>
      </c>
      <c r="X12864" s="8">
        <v>118</v>
      </c>
      <c r="Y12864" s="8" t="s">
        <v>53903</v>
      </c>
      <c r="Z12864" s="8" t="s">
        <v>53904</v>
      </c>
    </row>
    <row r="12865" spans="1:26" x14ac:dyDescent="0.2">
      <c r="A12865" s="8">
        <v>12864</v>
      </c>
      <c r="B12865" s="8" t="s">
        <v>53905</v>
      </c>
      <c r="C12865" s="8" t="s">
        <v>53905</v>
      </c>
      <c r="G12865" s="8">
        <v>20</v>
      </c>
      <c r="H12865" s="8" t="s">
        <v>21</v>
      </c>
      <c r="I12865" s="8" t="s">
        <v>22</v>
      </c>
      <c r="J12865" s="8" t="s">
        <v>22</v>
      </c>
      <c r="K12865" s="8" t="s">
        <v>64</v>
      </c>
      <c r="L12865" s="8" t="s">
        <v>28435</v>
      </c>
      <c r="M12865" s="8" t="s">
        <v>28436</v>
      </c>
      <c r="N12865" s="8" t="s">
        <v>53906</v>
      </c>
      <c r="O12865" s="8">
        <f>20+40/60+9.5/3600</f>
        <v>20.669305555555557</v>
      </c>
      <c r="P12865" s="8" t="s">
        <v>53907</v>
      </c>
      <c r="Q12865" s="8">
        <f>-(71+6/60+30/3600)</f>
        <v>-71.108333333333334</v>
      </c>
      <c r="R12865" s="8">
        <v>14.3</v>
      </c>
      <c r="S12865" s="8">
        <v>15</v>
      </c>
      <c r="T12865" s="8">
        <v>0.7</v>
      </c>
      <c r="U12865" s="8">
        <v>13.7</v>
      </c>
      <c r="V12865" s="8">
        <v>0.9</v>
      </c>
      <c r="W12865" s="8">
        <v>0.8</v>
      </c>
      <c r="X12865" s="8">
        <v>101</v>
      </c>
      <c r="Y12865" s="8" t="s">
        <v>53908</v>
      </c>
      <c r="Z12865" s="8" t="s">
        <v>53909</v>
      </c>
    </row>
    <row r="12866" spans="1:26" x14ac:dyDescent="0.2">
      <c r="A12866" s="8">
        <v>12865</v>
      </c>
      <c r="B12866" s="8" t="s">
        <v>53910</v>
      </c>
      <c r="C12866" s="8" t="s">
        <v>53910</v>
      </c>
      <c r="G12866" s="8">
        <v>20</v>
      </c>
      <c r="H12866" s="8" t="s">
        <v>21</v>
      </c>
      <c r="I12866" s="8" t="s">
        <v>22</v>
      </c>
      <c r="J12866" s="8" t="s">
        <v>22</v>
      </c>
      <c r="K12866" s="8" t="s">
        <v>396</v>
      </c>
      <c r="L12866" s="8" t="s">
        <v>11890</v>
      </c>
      <c r="M12866" s="8" t="s">
        <v>11891</v>
      </c>
      <c r="N12866" s="8" t="s">
        <v>53911</v>
      </c>
      <c r="O12866" s="8">
        <f>20+44/60+59.6/3600</f>
        <v>20.74988888888889</v>
      </c>
      <c r="P12866" s="8" t="s">
        <v>53912</v>
      </c>
      <c r="Q12866" s="8">
        <f>-(76+59/60+4/3600)</f>
        <v>-76.984444444444449</v>
      </c>
      <c r="R12866" s="8">
        <v>14.4</v>
      </c>
      <c r="S12866" s="8">
        <v>15.2</v>
      </c>
      <c r="T12866" s="8">
        <v>0.8</v>
      </c>
      <c r="U12866" s="8">
        <v>13.4</v>
      </c>
      <c r="V12866" s="8">
        <v>1.5</v>
      </c>
      <c r="W12866" s="8">
        <v>0.3</v>
      </c>
      <c r="X12866" s="8">
        <v>108</v>
      </c>
      <c r="Y12866" s="8" t="s">
        <v>53913</v>
      </c>
      <c r="Z12866" s="8" t="s">
        <v>53914</v>
      </c>
    </row>
    <row r="12867" spans="1:26" x14ac:dyDescent="0.2">
      <c r="A12867" s="8">
        <v>12866</v>
      </c>
      <c r="B12867" s="8" t="s">
        <v>53915</v>
      </c>
      <c r="C12867" s="8" t="s">
        <v>53915</v>
      </c>
      <c r="G12867" s="8">
        <v>20</v>
      </c>
      <c r="H12867" s="8" t="s">
        <v>21</v>
      </c>
      <c r="I12867" s="8" t="s">
        <v>22</v>
      </c>
      <c r="J12867" s="8" t="s">
        <v>22</v>
      </c>
      <c r="K12867" s="8" t="s">
        <v>579</v>
      </c>
      <c r="L12867" s="8" t="s">
        <v>11890</v>
      </c>
      <c r="M12867" s="8" t="s">
        <v>11891</v>
      </c>
      <c r="N12867" s="8" t="s">
        <v>30951</v>
      </c>
      <c r="O12867" s="8">
        <f>20+48/60+27.6/3600</f>
        <v>20.807666666666666</v>
      </c>
      <c r="P12867" s="8" t="s">
        <v>53916</v>
      </c>
      <c r="Q12867" s="8">
        <f>-(78+4/60+8/3600)</f>
        <v>-78.068888888888878</v>
      </c>
      <c r="R12867" s="8">
        <v>14.8</v>
      </c>
      <c r="S12867" s="8">
        <v>15.5</v>
      </c>
      <c r="T12867" s="8">
        <v>0.7</v>
      </c>
      <c r="U12867" s="8">
        <v>14.2</v>
      </c>
      <c r="V12867" s="8">
        <v>2.2999999999999998</v>
      </c>
      <c r="W12867" s="8">
        <v>0.3</v>
      </c>
      <c r="X12867" s="8">
        <v>76</v>
      </c>
      <c r="Y12867" s="8" t="s">
        <v>53917</v>
      </c>
      <c r="Z12867" s="8" t="s">
        <v>53918</v>
      </c>
    </row>
    <row r="12868" spans="1:26" x14ac:dyDescent="0.2">
      <c r="A12868" s="8">
        <v>12867</v>
      </c>
      <c r="B12868" s="8" t="s">
        <v>53919</v>
      </c>
      <c r="C12868" s="8" t="s">
        <v>53919</v>
      </c>
      <c r="G12868" s="8">
        <v>20</v>
      </c>
      <c r="H12868" s="8" t="s">
        <v>21</v>
      </c>
      <c r="I12868" s="8" t="s">
        <v>22</v>
      </c>
      <c r="J12868" s="8" t="s">
        <v>22</v>
      </c>
      <c r="K12868" s="8" t="s">
        <v>42046</v>
      </c>
      <c r="L12868" s="8" t="s">
        <v>30731</v>
      </c>
      <c r="M12868" s="8" t="s">
        <v>30732</v>
      </c>
      <c r="N12868" s="8" t="s">
        <v>53920</v>
      </c>
      <c r="O12868" s="8">
        <f>20+41/60+8.9/3600</f>
        <v>20.685805555555557</v>
      </c>
      <c r="P12868" s="8" t="s">
        <v>53921</v>
      </c>
      <c r="Q12868" s="8">
        <f>-(55+28/60+21/3600)</f>
        <v>-55.472500000000004</v>
      </c>
      <c r="R12868" s="8">
        <v>14.5</v>
      </c>
      <c r="S12868" s="8">
        <v>15.3</v>
      </c>
      <c r="T12868" s="8">
        <v>0.8</v>
      </c>
      <c r="U12868" s="8">
        <v>12.8</v>
      </c>
      <c r="V12868" s="8">
        <v>0.5</v>
      </c>
      <c r="W12868" s="8">
        <v>0.5</v>
      </c>
      <c r="Y12868" s="8" t="s">
        <v>53922</v>
      </c>
      <c r="Z12868" s="8" t="s">
        <v>53923</v>
      </c>
    </row>
    <row r="12869" spans="1:26" x14ac:dyDescent="0.2">
      <c r="A12869" s="8">
        <v>12868</v>
      </c>
      <c r="B12869" s="8" t="s">
        <v>53924</v>
      </c>
      <c r="C12869" s="8" t="s">
        <v>53924</v>
      </c>
      <c r="G12869" s="8">
        <v>20</v>
      </c>
      <c r="H12869" s="8" t="s">
        <v>21</v>
      </c>
      <c r="I12869" s="8" t="s">
        <v>22</v>
      </c>
      <c r="J12869" s="8" t="s">
        <v>22</v>
      </c>
      <c r="K12869" s="8" t="s">
        <v>36276</v>
      </c>
      <c r="L12869" s="8" t="s">
        <v>28435</v>
      </c>
      <c r="M12869" s="8" t="s">
        <v>28436</v>
      </c>
      <c r="N12869" s="8" t="s">
        <v>53925</v>
      </c>
      <c r="O12869" s="8">
        <f>20+43/60+22.2/3600</f>
        <v>20.72283333333333</v>
      </c>
      <c r="P12869" s="8" t="s">
        <v>53926</v>
      </c>
      <c r="Q12869" s="8">
        <f>-(65+38/60+49/3600)</f>
        <v>-65.646944444444458</v>
      </c>
      <c r="R12869" s="8">
        <v>14.6</v>
      </c>
      <c r="S12869" s="8">
        <v>15.2</v>
      </c>
      <c r="T12869" s="8">
        <v>0.6</v>
      </c>
      <c r="U12869" s="8">
        <v>14.6</v>
      </c>
      <c r="V12869" s="8">
        <v>1.2</v>
      </c>
      <c r="W12869" s="8">
        <v>1</v>
      </c>
      <c r="Y12869" s="8" t="s">
        <v>53927</v>
      </c>
      <c r="Z12869" s="8" t="s">
        <v>53928</v>
      </c>
    </row>
    <row r="12870" spans="1:26" x14ac:dyDescent="0.2">
      <c r="A12870" s="8">
        <v>12869</v>
      </c>
      <c r="B12870" s="8" t="s">
        <v>53929</v>
      </c>
      <c r="C12870" s="8" t="s">
        <v>53929</v>
      </c>
      <c r="G12870" s="8">
        <v>20</v>
      </c>
      <c r="H12870" s="8" t="s">
        <v>21</v>
      </c>
      <c r="I12870" s="8" t="s">
        <v>22</v>
      </c>
      <c r="J12870" s="8" t="s">
        <v>22</v>
      </c>
      <c r="K12870" s="8" t="s">
        <v>396</v>
      </c>
      <c r="L12870" s="8" t="s">
        <v>30738</v>
      </c>
      <c r="M12870" s="8" t="s">
        <v>30739</v>
      </c>
      <c r="N12870" s="8" t="s">
        <v>53817</v>
      </c>
      <c r="O12870" s="8">
        <f>20+43/60+14/3600</f>
        <v>20.720555555555553</v>
      </c>
      <c r="P12870" s="8" t="s">
        <v>53818</v>
      </c>
      <c r="Q12870" s="8">
        <f>-(29+51/60+7/3600)</f>
        <v>-29.851944444444445</v>
      </c>
      <c r="R12870" s="8">
        <v>12.7</v>
      </c>
      <c r="S12870" s="8">
        <v>13.3</v>
      </c>
      <c r="T12870" s="8">
        <v>0.6</v>
      </c>
      <c r="U12870" s="8">
        <v>13</v>
      </c>
      <c r="V12870" s="8">
        <v>2.1</v>
      </c>
      <c r="W12870" s="8">
        <v>0.6</v>
      </c>
      <c r="X12870" s="8">
        <v>156</v>
      </c>
      <c r="Y12870" s="8" t="s">
        <v>53819</v>
      </c>
      <c r="Z12870" s="8" t="s">
        <v>53930</v>
      </c>
    </row>
    <row r="12871" spans="1:26" x14ac:dyDescent="0.2">
      <c r="A12871" s="8">
        <v>12870</v>
      </c>
      <c r="B12871" s="8" t="s">
        <v>53931</v>
      </c>
      <c r="C12871" s="8" t="s">
        <v>53931</v>
      </c>
      <c r="G12871" s="8">
        <v>20</v>
      </c>
      <c r="H12871" s="8" t="s">
        <v>21</v>
      </c>
      <c r="I12871" s="8" t="s">
        <v>22</v>
      </c>
      <c r="J12871" s="8" t="s">
        <v>22</v>
      </c>
      <c r="K12871" s="8" t="s">
        <v>1277</v>
      </c>
      <c r="L12871" s="8" t="s">
        <v>30738</v>
      </c>
      <c r="M12871" s="8" t="s">
        <v>30739</v>
      </c>
      <c r="N12871" s="8" t="s">
        <v>53835</v>
      </c>
      <c r="O12871" s="8">
        <f>20+43/60+34.3/3600</f>
        <v>20.726194444444442</v>
      </c>
      <c r="P12871" s="8" t="s">
        <v>53836</v>
      </c>
      <c r="Q12871" s="8">
        <f>-(29+42/60+11/3600)</f>
        <v>-29.703055555555554</v>
      </c>
      <c r="R12871" s="8">
        <v>12.5</v>
      </c>
      <c r="S12871" s="8">
        <v>13.1</v>
      </c>
      <c r="T12871" s="8">
        <v>0.6</v>
      </c>
      <c r="U12871" s="8">
        <v>13.1</v>
      </c>
      <c r="V12871" s="8">
        <v>1.7</v>
      </c>
      <c r="W12871" s="8">
        <v>1.2</v>
      </c>
      <c r="X12871" s="8">
        <v>31</v>
      </c>
      <c r="Y12871" s="8" t="s">
        <v>473</v>
      </c>
      <c r="Z12871" s="8" t="s">
        <v>53932</v>
      </c>
    </row>
    <row r="12872" spans="1:26" x14ac:dyDescent="0.2">
      <c r="A12872" s="8">
        <v>12871</v>
      </c>
      <c r="B12872" s="8" t="s">
        <v>53933</v>
      </c>
      <c r="C12872" s="8" t="s">
        <v>53933</v>
      </c>
      <c r="G12872" s="8">
        <v>20</v>
      </c>
      <c r="H12872" s="8" t="s">
        <v>21</v>
      </c>
      <c r="I12872" s="8" t="s">
        <v>22</v>
      </c>
      <c r="J12872" s="8" t="s">
        <v>22</v>
      </c>
      <c r="K12872" s="8" t="s">
        <v>449</v>
      </c>
      <c r="L12872" s="8" t="s">
        <v>28435</v>
      </c>
      <c r="M12872" s="8" t="s">
        <v>28436</v>
      </c>
      <c r="N12872" s="8" t="s">
        <v>53934</v>
      </c>
      <c r="O12872" s="8">
        <f>20+45/60+20.2/3600</f>
        <v>20.755611111111111</v>
      </c>
      <c r="P12872" s="8" t="s">
        <v>53935</v>
      </c>
      <c r="Q12872" s="8">
        <f>-(67+32/60+21/3600)</f>
        <v>-67.539166666666659</v>
      </c>
      <c r="R12872" s="8">
        <v>12.9</v>
      </c>
      <c r="S12872" s="8">
        <v>13.7</v>
      </c>
      <c r="T12872" s="8">
        <v>0.8</v>
      </c>
      <c r="U12872" s="8">
        <v>11.2</v>
      </c>
      <c r="V12872" s="8">
        <v>0.7</v>
      </c>
      <c r="W12872" s="8">
        <v>0.4</v>
      </c>
      <c r="X12872" s="8">
        <v>31</v>
      </c>
      <c r="Y12872" s="8" t="s">
        <v>50705</v>
      </c>
      <c r="Z12872" s="8" t="s">
        <v>50706</v>
      </c>
    </row>
    <row r="12873" spans="1:26" x14ac:dyDescent="0.2">
      <c r="A12873" s="8">
        <v>12872</v>
      </c>
      <c r="B12873" s="8" t="s">
        <v>53936</v>
      </c>
      <c r="C12873" s="8" t="s">
        <v>53936</v>
      </c>
      <c r="G12873" s="8">
        <v>20</v>
      </c>
      <c r="H12873" s="8" t="s">
        <v>21</v>
      </c>
      <c r="I12873" s="8" t="s">
        <v>22</v>
      </c>
      <c r="J12873" s="8" t="s">
        <v>22</v>
      </c>
      <c r="K12873" s="8" t="s">
        <v>449</v>
      </c>
      <c r="L12873" s="8" t="s">
        <v>28435</v>
      </c>
      <c r="M12873" s="8" t="s">
        <v>28436</v>
      </c>
      <c r="N12873" s="8" t="s">
        <v>53937</v>
      </c>
      <c r="O12873" s="8">
        <f>20+45/60+22.1/3600</f>
        <v>20.756138888888888</v>
      </c>
      <c r="P12873" s="8" t="s">
        <v>53938</v>
      </c>
      <c r="Q12873" s="8">
        <f>-(67+33/60+5/3600)</f>
        <v>-67.55138888888888</v>
      </c>
      <c r="R12873" s="8">
        <v>12.9</v>
      </c>
      <c r="S12873" s="8">
        <v>13.4</v>
      </c>
      <c r="T12873" s="8">
        <v>0.5</v>
      </c>
      <c r="U12873" s="8">
        <v>11.4</v>
      </c>
      <c r="V12873" s="8">
        <v>0.7</v>
      </c>
      <c r="W12873" s="8">
        <v>0.4</v>
      </c>
      <c r="X12873" s="8">
        <v>156</v>
      </c>
      <c r="Y12873" s="8" t="s">
        <v>50705</v>
      </c>
      <c r="Z12873" s="8" t="s">
        <v>50706</v>
      </c>
    </row>
    <row r="12874" spans="1:26" x14ac:dyDescent="0.2">
      <c r="A12874" s="8">
        <v>12873</v>
      </c>
      <c r="B12874" s="8" t="s">
        <v>53939</v>
      </c>
      <c r="C12874" s="8" t="s">
        <v>53939</v>
      </c>
      <c r="G12874" s="8">
        <v>20</v>
      </c>
      <c r="H12874" s="8" t="s">
        <v>21</v>
      </c>
      <c r="I12874" s="8" t="s">
        <v>22</v>
      </c>
      <c r="J12874" s="8" t="s">
        <v>22</v>
      </c>
      <c r="K12874" s="8" t="s">
        <v>42046</v>
      </c>
      <c r="L12874" s="8" t="s">
        <v>30731</v>
      </c>
      <c r="M12874" s="8" t="s">
        <v>30732</v>
      </c>
      <c r="N12874" s="8" t="s">
        <v>53940</v>
      </c>
      <c r="O12874" s="8">
        <f>20+43/60+55.1/3600</f>
        <v>20.731972222222222</v>
      </c>
      <c r="P12874" s="8" t="s">
        <v>53941</v>
      </c>
      <c r="Q12874" s="8">
        <f>-(57+20/60+4/3600)</f>
        <v>-57.334444444444443</v>
      </c>
      <c r="R12874" s="8">
        <v>14.5</v>
      </c>
      <c r="S12874" s="8">
        <v>15.3</v>
      </c>
      <c r="T12874" s="8">
        <v>0.8</v>
      </c>
      <c r="U12874" s="8">
        <v>13.6</v>
      </c>
      <c r="V12874" s="8">
        <v>1</v>
      </c>
      <c r="W12874" s="8">
        <v>0.5</v>
      </c>
      <c r="X12874" s="8">
        <v>45</v>
      </c>
      <c r="Y12874" s="8" t="s">
        <v>47516</v>
      </c>
      <c r="Z12874" s="8" t="s">
        <v>47517</v>
      </c>
    </row>
    <row r="12875" spans="1:26" x14ac:dyDescent="0.2">
      <c r="A12875" s="8">
        <v>12874</v>
      </c>
      <c r="B12875" s="8" t="s">
        <v>53942</v>
      </c>
      <c r="C12875" s="8" t="s">
        <v>53942</v>
      </c>
      <c r="G12875" s="8">
        <v>20</v>
      </c>
      <c r="H12875" s="8" t="s">
        <v>21</v>
      </c>
      <c r="I12875" s="8" t="s">
        <v>22</v>
      </c>
      <c r="J12875" s="8" t="s">
        <v>22</v>
      </c>
      <c r="K12875" s="8" t="s">
        <v>396</v>
      </c>
      <c r="L12875" s="8" t="s">
        <v>30731</v>
      </c>
      <c r="M12875" s="8" t="s">
        <v>30732</v>
      </c>
      <c r="N12875" s="8" t="s">
        <v>53943</v>
      </c>
      <c r="O12875" s="8">
        <f>20+43/60+41.7/3600</f>
        <v>20.728249999999999</v>
      </c>
      <c r="P12875" s="8" t="s">
        <v>53944</v>
      </c>
      <c r="Q12875" s="8">
        <f>-(57+1/60+48/3600)</f>
        <v>-57.03</v>
      </c>
      <c r="R12875" s="8">
        <v>13.6</v>
      </c>
      <c r="S12875" s="8">
        <v>14.4</v>
      </c>
      <c r="T12875" s="8">
        <v>0.8</v>
      </c>
      <c r="U12875" s="8">
        <v>13.5</v>
      </c>
      <c r="V12875" s="8">
        <v>1.5</v>
      </c>
      <c r="W12875" s="8">
        <v>0.7</v>
      </c>
      <c r="X12875" s="8">
        <v>22</v>
      </c>
      <c r="Y12875" s="8" t="s">
        <v>46447</v>
      </c>
      <c r="Z12875" s="8" t="s">
        <v>46448</v>
      </c>
    </row>
    <row r="12876" spans="1:26" x14ac:dyDescent="0.2">
      <c r="A12876" s="8">
        <v>12875</v>
      </c>
      <c r="B12876" s="8" t="s">
        <v>53945</v>
      </c>
      <c r="C12876" s="8" t="s">
        <v>53945</v>
      </c>
      <c r="G12876" s="8">
        <v>20</v>
      </c>
      <c r="H12876" s="8" t="s">
        <v>21</v>
      </c>
      <c r="I12876" s="8" t="s">
        <v>22</v>
      </c>
      <c r="J12876" s="8" t="s">
        <v>22</v>
      </c>
      <c r="K12876" s="8" t="s">
        <v>23</v>
      </c>
      <c r="L12876" s="8" t="s">
        <v>30731</v>
      </c>
      <c r="M12876" s="8" t="s">
        <v>30732</v>
      </c>
      <c r="N12876" s="8" t="s">
        <v>53946</v>
      </c>
      <c r="O12876" s="8">
        <f>20+44/60+14.5/3600</f>
        <v>20.737361111111113</v>
      </c>
      <c r="P12876" s="8" t="s">
        <v>53947</v>
      </c>
      <c r="Q12876" s="8">
        <f>-(57+7/60+39/3600)</f>
        <v>-57.127499999999998</v>
      </c>
      <c r="R12876" s="8">
        <v>15.1</v>
      </c>
      <c r="S12876" s="8">
        <v>15.9</v>
      </c>
      <c r="T12876" s="8">
        <v>0.8</v>
      </c>
      <c r="U12876" s="8">
        <v>13.3</v>
      </c>
      <c r="V12876" s="8">
        <v>0.7</v>
      </c>
      <c r="W12876" s="8">
        <v>0.3</v>
      </c>
      <c r="X12876" s="8">
        <v>128</v>
      </c>
      <c r="Y12876" s="8" t="s">
        <v>47516</v>
      </c>
      <c r="Z12876" s="8" t="s">
        <v>47517</v>
      </c>
    </row>
    <row r="12877" spans="1:26" x14ac:dyDescent="0.2">
      <c r="A12877" s="8">
        <v>12876</v>
      </c>
      <c r="B12877" s="8" t="s">
        <v>53948</v>
      </c>
      <c r="C12877" s="8" t="s">
        <v>53948</v>
      </c>
      <c r="G12877" s="8">
        <v>20</v>
      </c>
      <c r="H12877" s="8" t="s">
        <v>21</v>
      </c>
      <c r="I12877" s="8" t="s">
        <v>22</v>
      </c>
      <c r="J12877" s="8" t="s">
        <v>22</v>
      </c>
      <c r="K12877" s="8" t="s">
        <v>396</v>
      </c>
      <c r="L12877" s="8" t="s">
        <v>30731</v>
      </c>
      <c r="M12877" s="8" t="s">
        <v>30732</v>
      </c>
      <c r="N12877" s="8" t="s">
        <v>53949</v>
      </c>
      <c r="O12877" s="8">
        <f>20+44/60+37.4/3600</f>
        <v>20.743722222222225</v>
      </c>
      <c r="P12877" s="8" t="s">
        <v>53950</v>
      </c>
      <c r="Q12877" s="8">
        <f>-(57+37/60+35/3600)</f>
        <v>-57.62638888888889</v>
      </c>
      <c r="R12877" s="8">
        <v>15.5</v>
      </c>
      <c r="S12877" s="8">
        <v>16.3</v>
      </c>
      <c r="T12877" s="8">
        <v>0.8</v>
      </c>
      <c r="U12877" s="8">
        <v>13.8</v>
      </c>
      <c r="V12877" s="8">
        <v>0.8</v>
      </c>
      <c r="W12877" s="8">
        <v>0.3</v>
      </c>
      <c r="X12877" s="8">
        <v>118</v>
      </c>
      <c r="Y12877" s="8" t="s">
        <v>53951</v>
      </c>
      <c r="Z12877" s="8" t="s">
        <v>53952</v>
      </c>
    </row>
    <row r="12878" spans="1:26" x14ac:dyDescent="0.2">
      <c r="A12878" s="8">
        <v>12877</v>
      </c>
      <c r="B12878" s="8" t="s">
        <v>53953</v>
      </c>
      <c r="C12878" s="8" t="s">
        <v>53953</v>
      </c>
      <c r="G12878" s="8">
        <v>20</v>
      </c>
      <c r="H12878" s="8" t="s">
        <v>21</v>
      </c>
      <c r="I12878" s="8" t="s">
        <v>22</v>
      </c>
      <c r="J12878" s="8" t="s">
        <v>22</v>
      </c>
      <c r="K12878" s="8" t="s">
        <v>160</v>
      </c>
      <c r="L12878" s="8" t="s">
        <v>30731</v>
      </c>
      <c r="M12878" s="8" t="s">
        <v>30732</v>
      </c>
      <c r="N12878" s="8" t="s">
        <v>53954</v>
      </c>
      <c r="O12878" s="8">
        <f>20+45/60+39.3/3600</f>
        <v>20.760916666666667</v>
      </c>
      <c r="P12878" s="8" t="s">
        <v>53955</v>
      </c>
      <c r="Q12878" s="8">
        <f>-(58+26/60+59/3600)</f>
        <v>-58.449722222222221</v>
      </c>
      <c r="R12878" s="8">
        <v>14.6</v>
      </c>
      <c r="S12878" s="8">
        <v>15.3</v>
      </c>
      <c r="T12878" s="8">
        <v>0.7</v>
      </c>
      <c r="U12878" s="8">
        <v>12.7</v>
      </c>
      <c r="V12878" s="8">
        <v>1</v>
      </c>
      <c r="W12878" s="8">
        <v>0.2</v>
      </c>
      <c r="X12878" s="8">
        <v>159</v>
      </c>
      <c r="Y12878" s="8" t="s">
        <v>53956</v>
      </c>
      <c r="Z12878" s="8" t="s">
        <v>53957</v>
      </c>
    </row>
    <row r="12879" spans="1:26" x14ac:dyDescent="0.2">
      <c r="A12879" s="8">
        <v>12878</v>
      </c>
      <c r="B12879" s="8" t="s">
        <v>53958</v>
      </c>
      <c r="C12879" s="8" t="s">
        <v>53958</v>
      </c>
      <c r="G12879" s="8">
        <v>20</v>
      </c>
      <c r="H12879" s="8" t="s">
        <v>21</v>
      </c>
      <c r="I12879" s="8" t="s">
        <v>22</v>
      </c>
      <c r="J12879" s="8" t="s">
        <v>22</v>
      </c>
      <c r="K12879" s="8" t="s">
        <v>160</v>
      </c>
      <c r="L12879" s="8" t="s">
        <v>28435</v>
      </c>
      <c r="M12879" s="8" t="s">
        <v>28436</v>
      </c>
      <c r="N12879" s="8" t="s">
        <v>53959</v>
      </c>
      <c r="O12879" s="8">
        <f>20+46/60+51.3/3600</f>
        <v>20.780916666666666</v>
      </c>
      <c r="P12879" s="8" t="s">
        <v>53960</v>
      </c>
      <c r="Q12879" s="8">
        <f>-(65+1/60+0/3600)</f>
        <v>-65.016666666666666</v>
      </c>
      <c r="R12879" s="8">
        <v>12.6</v>
      </c>
      <c r="S12879" s="8">
        <v>13.4</v>
      </c>
      <c r="T12879" s="8">
        <v>0.8</v>
      </c>
      <c r="U12879" s="8">
        <v>13.3</v>
      </c>
      <c r="V12879" s="8">
        <v>1.4</v>
      </c>
      <c r="W12879" s="8">
        <v>0.7</v>
      </c>
      <c r="X12879" s="8">
        <v>75</v>
      </c>
      <c r="Y12879" s="8" t="s">
        <v>53961</v>
      </c>
      <c r="Z12879" s="8" t="s">
        <v>53962</v>
      </c>
    </row>
    <row r="12880" spans="1:26" x14ac:dyDescent="0.2">
      <c r="A12880" s="8">
        <v>12879</v>
      </c>
      <c r="B12880" s="8" t="s">
        <v>53963</v>
      </c>
      <c r="C12880" s="8" t="s">
        <v>53963</v>
      </c>
      <c r="G12880" s="8">
        <v>13</v>
      </c>
      <c r="H12880" s="8" t="s">
        <v>21</v>
      </c>
      <c r="I12880" s="8" t="s">
        <v>22</v>
      </c>
      <c r="J12880" s="8" t="s">
        <v>57</v>
      </c>
      <c r="K12880" s="8" t="s">
        <v>396</v>
      </c>
      <c r="L12880" s="8" t="s">
        <v>30738</v>
      </c>
      <c r="M12880" s="8" t="s">
        <v>30739</v>
      </c>
      <c r="N12880" s="8" t="s">
        <v>53817</v>
      </c>
      <c r="O12880" s="8">
        <f>20+43/60+14/3600</f>
        <v>20.720555555555553</v>
      </c>
      <c r="P12880" s="8" t="s">
        <v>53818</v>
      </c>
      <c r="Q12880" s="8">
        <f>-(29+51/60+7/3600)</f>
        <v>-29.851944444444445</v>
      </c>
      <c r="R12880" s="8">
        <v>12.7</v>
      </c>
      <c r="S12880" s="8">
        <v>13.3</v>
      </c>
      <c r="T12880" s="8">
        <v>0.6</v>
      </c>
      <c r="U12880" s="8">
        <v>13</v>
      </c>
      <c r="V12880" s="8">
        <v>2.1</v>
      </c>
      <c r="W12880" s="8">
        <v>0.6</v>
      </c>
      <c r="X12880" s="8">
        <v>156</v>
      </c>
      <c r="Y12880" s="8" t="s">
        <v>53819</v>
      </c>
      <c r="Z12880" s="8" t="s">
        <v>53964</v>
      </c>
    </row>
    <row r="12881" spans="1:26" x14ac:dyDescent="0.2">
      <c r="A12881" s="8">
        <v>12880</v>
      </c>
      <c r="B12881" s="8" t="s">
        <v>53965</v>
      </c>
      <c r="C12881" s="8" t="s">
        <v>53965</v>
      </c>
      <c r="G12881" s="8">
        <v>20</v>
      </c>
      <c r="H12881" s="8" t="s">
        <v>21</v>
      </c>
      <c r="I12881" s="8" t="s">
        <v>22</v>
      </c>
      <c r="J12881" s="8" t="s">
        <v>22</v>
      </c>
      <c r="K12881" s="8" t="s">
        <v>3523</v>
      </c>
      <c r="L12881" s="8" t="s">
        <v>11890</v>
      </c>
      <c r="M12881" s="8" t="s">
        <v>11891</v>
      </c>
      <c r="N12881" s="8" t="s">
        <v>53966</v>
      </c>
      <c r="O12881" s="8">
        <f>20+52/60+19.5/3600</f>
        <v>20.872083333333332</v>
      </c>
      <c r="P12881" s="8" t="s">
        <v>53967</v>
      </c>
      <c r="Q12881" s="8">
        <f>-(76+41/60+11/3600)</f>
        <v>-76.686388888888899</v>
      </c>
      <c r="R12881" s="8">
        <v>14.6</v>
      </c>
      <c r="S12881" s="8">
        <v>15.2</v>
      </c>
      <c r="T12881" s="8">
        <v>0.6</v>
      </c>
      <c r="U12881" s="8">
        <v>13.7</v>
      </c>
      <c r="V12881" s="8">
        <v>0.8</v>
      </c>
      <c r="W12881" s="8">
        <v>0.6</v>
      </c>
      <c r="X12881" s="8">
        <v>6</v>
      </c>
      <c r="Y12881" s="8" t="s">
        <v>53968</v>
      </c>
      <c r="Z12881" s="8" t="s">
        <v>53969</v>
      </c>
    </row>
    <row r="12882" spans="1:26" x14ac:dyDescent="0.2">
      <c r="A12882" s="8">
        <v>12881</v>
      </c>
      <c r="B12882" s="8" t="s">
        <v>53970</v>
      </c>
      <c r="C12882" s="8" t="s">
        <v>53970</v>
      </c>
      <c r="G12882" s="8">
        <v>20</v>
      </c>
      <c r="H12882" s="8" t="s">
        <v>21</v>
      </c>
      <c r="I12882" s="8" t="s">
        <v>22</v>
      </c>
      <c r="J12882" s="8" t="s">
        <v>57</v>
      </c>
      <c r="K12882" s="8" t="s">
        <v>1277</v>
      </c>
      <c r="L12882" s="8" t="s">
        <v>30738</v>
      </c>
      <c r="M12882" s="8" t="s">
        <v>30739</v>
      </c>
      <c r="N12882" s="8" t="s">
        <v>53835</v>
      </c>
      <c r="O12882" s="8">
        <f>20+43/60+34.3/3600</f>
        <v>20.726194444444442</v>
      </c>
      <c r="P12882" s="8" t="s">
        <v>53836</v>
      </c>
      <c r="Q12882" s="8">
        <f>-(29+42/60+11/3600)</f>
        <v>-29.703055555555554</v>
      </c>
      <c r="R12882" s="8">
        <v>12.5</v>
      </c>
      <c r="S12882" s="8">
        <v>13.1</v>
      </c>
      <c r="T12882" s="8">
        <v>0.6</v>
      </c>
      <c r="U12882" s="8">
        <v>13.1</v>
      </c>
      <c r="V12882" s="8">
        <v>1.7</v>
      </c>
      <c r="W12882" s="8">
        <v>1.2</v>
      </c>
      <c r="X12882" s="8">
        <v>31</v>
      </c>
      <c r="Y12882" s="8" t="s">
        <v>473</v>
      </c>
      <c r="Z12882" s="8" t="s">
        <v>53971</v>
      </c>
    </row>
    <row r="12883" spans="1:26" x14ac:dyDescent="0.2">
      <c r="A12883" s="8">
        <v>12882</v>
      </c>
      <c r="B12883" s="8" t="s">
        <v>53972</v>
      </c>
      <c r="C12883" s="8" t="s">
        <v>53972</v>
      </c>
      <c r="G12883" s="8">
        <v>20</v>
      </c>
      <c r="H12883" s="8" t="s">
        <v>21</v>
      </c>
      <c r="I12883" s="8" t="s">
        <v>22</v>
      </c>
      <c r="J12883" s="8" t="s">
        <v>22</v>
      </c>
      <c r="K12883" s="8" t="s">
        <v>160</v>
      </c>
      <c r="L12883" s="8" t="s">
        <v>28435</v>
      </c>
      <c r="M12883" s="8" t="s">
        <v>28436</v>
      </c>
      <c r="N12883" s="8" t="s">
        <v>53973</v>
      </c>
      <c r="O12883" s="8">
        <f>20+47/60+46.1/3600</f>
        <v>20.796138888888891</v>
      </c>
      <c r="P12883" s="8" t="s">
        <v>53974</v>
      </c>
      <c r="Q12883" s="8">
        <f>-(65+5/60+1/3600)</f>
        <v>-65.083611111111111</v>
      </c>
      <c r="R12883" s="8">
        <v>12.5</v>
      </c>
      <c r="S12883" s="8">
        <v>13.2</v>
      </c>
      <c r="T12883" s="8">
        <v>0.7</v>
      </c>
      <c r="U12883" s="8">
        <v>13.1</v>
      </c>
      <c r="V12883" s="8">
        <v>1.2</v>
      </c>
      <c r="W12883" s="8">
        <v>0.8</v>
      </c>
      <c r="X12883" s="8">
        <v>43</v>
      </c>
      <c r="Y12883" s="8" t="s">
        <v>53961</v>
      </c>
      <c r="Z12883" s="8" t="s">
        <v>53962</v>
      </c>
    </row>
    <row r="12884" spans="1:26" x14ac:dyDescent="0.2">
      <c r="A12884" s="8">
        <v>12883</v>
      </c>
      <c r="B12884" s="8" t="s">
        <v>53975</v>
      </c>
      <c r="C12884" s="8" t="s">
        <v>53975</v>
      </c>
      <c r="G12884" s="8">
        <v>20</v>
      </c>
      <c r="H12884" s="8" t="s">
        <v>21</v>
      </c>
      <c r="I12884" s="8" t="s">
        <v>22</v>
      </c>
      <c r="J12884" s="8" t="s">
        <v>22</v>
      </c>
      <c r="K12884" s="8" t="s">
        <v>42046</v>
      </c>
      <c r="L12884" s="8" t="s">
        <v>30731</v>
      </c>
      <c r="M12884" s="8" t="s">
        <v>30732</v>
      </c>
      <c r="N12884" s="8" t="s">
        <v>53976</v>
      </c>
      <c r="O12884" s="8">
        <f>20+46/60+38.4/3600</f>
        <v>20.777333333333331</v>
      </c>
      <c r="P12884" s="8" t="s">
        <v>53977</v>
      </c>
      <c r="Q12884" s="8">
        <f>-(56+59/60+1/3600)</f>
        <v>-56.983611111111109</v>
      </c>
      <c r="R12884" s="8">
        <v>15.6</v>
      </c>
      <c r="S12884" s="8">
        <v>16.399999999999999</v>
      </c>
      <c r="T12884" s="8">
        <v>0.8</v>
      </c>
      <c r="U12884" s="8">
        <v>13.6</v>
      </c>
      <c r="V12884" s="8">
        <v>0.6</v>
      </c>
      <c r="W12884" s="8">
        <v>0.3</v>
      </c>
      <c r="X12884" s="8">
        <v>20</v>
      </c>
      <c r="Y12884" s="8" t="s">
        <v>50650</v>
      </c>
      <c r="Z12884" s="8" t="s">
        <v>50651</v>
      </c>
    </row>
    <row r="12885" spans="1:26" x14ac:dyDescent="0.2">
      <c r="A12885" s="8">
        <v>12884</v>
      </c>
      <c r="B12885" s="8" t="s">
        <v>53978</v>
      </c>
      <c r="C12885" s="8" t="s">
        <v>53978</v>
      </c>
      <c r="G12885" s="8">
        <v>20</v>
      </c>
      <c r="H12885" s="8" t="s">
        <v>21</v>
      </c>
      <c r="I12885" s="8" t="s">
        <v>22</v>
      </c>
      <c r="J12885" s="8" t="s">
        <v>22</v>
      </c>
      <c r="K12885" s="8" t="s">
        <v>382</v>
      </c>
      <c r="L12885" s="8" t="s">
        <v>28435</v>
      </c>
      <c r="M12885" s="8" t="s">
        <v>28436</v>
      </c>
      <c r="N12885" s="8" t="s">
        <v>53979</v>
      </c>
      <c r="O12885" s="8">
        <f>20+50/60+41.4/3600</f>
        <v>20.844833333333334</v>
      </c>
      <c r="P12885" s="8" t="s">
        <v>53980</v>
      </c>
      <c r="Q12885" s="8">
        <f>-(71+53/60+56/3600)</f>
        <v>-71.898888888888891</v>
      </c>
      <c r="R12885" s="8">
        <v>14.5</v>
      </c>
      <c r="S12885" s="8">
        <v>15.5</v>
      </c>
      <c r="T12885" s="8">
        <v>1</v>
      </c>
      <c r="U12885" s="8">
        <v>13</v>
      </c>
      <c r="V12885" s="8">
        <v>0.6</v>
      </c>
      <c r="W12885" s="8">
        <v>0.4</v>
      </c>
      <c r="X12885" s="8">
        <v>90</v>
      </c>
      <c r="Y12885" s="8" t="s">
        <v>1829</v>
      </c>
      <c r="Z12885" s="8" t="s">
        <v>1830</v>
      </c>
    </row>
    <row r="12886" spans="1:26" x14ac:dyDescent="0.2">
      <c r="A12886" s="8">
        <v>12885</v>
      </c>
      <c r="B12886" s="8" t="s">
        <v>53981</v>
      </c>
      <c r="C12886" s="8" t="s">
        <v>53981</v>
      </c>
      <c r="G12886" s="8">
        <v>20</v>
      </c>
      <c r="H12886" s="8" t="s">
        <v>21</v>
      </c>
      <c r="I12886" s="8" t="s">
        <v>22</v>
      </c>
      <c r="J12886" s="8" t="s">
        <v>22</v>
      </c>
      <c r="K12886" s="8" t="s">
        <v>23</v>
      </c>
      <c r="L12886" s="8" t="s">
        <v>28435</v>
      </c>
      <c r="M12886" s="8" t="s">
        <v>28436</v>
      </c>
      <c r="N12886" s="8" t="s">
        <v>53982</v>
      </c>
      <c r="O12886" s="8">
        <f>20+50/60+50.2/3600</f>
        <v>20.847277777777776</v>
      </c>
      <c r="P12886" s="8" t="s">
        <v>53983</v>
      </c>
      <c r="Q12886" s="8">
        <f>-(71+54/60+35/3600)</f>
        <v>-71.909722222222229</v>
      </c>
      <c r="R12886" s="8">
        <v>14.5</v>
      </c>
      <c r="S12886" s="8">
        <v>15.3</v>
      </c>
      <c r="T12886" s="8">
        <v>0.8</v>
      </c>
      <c r="U12886" s="8">
        <v>13</v>
      </c>
      <c r="V12886" s="8">
        <v>0.7</v>
      </c>
      <c r="W12886" s="8">
        <v>0.4</v>
      </c>
      <c r="X12886" s="8">
        <v>75</v>
      </c>
      <c r="Y12886" s="8" t="s">
        <v>1829</v>
      </c>
      <c r="Z12886" s="8" t="s">
        <v>1830</v>
      </c>
    </row>
    <row r="12887" spans="1:26" x14ac:dyDescent="0.2">
      <c r="A12887" s="8">
        <v>12886</v>
      </c>
      <c r="B12887" s="8" t="s">
        <v>53984</v>
      </c>
      <c r="C12887" s="8" t="s">
        <v>53984</v>
      </c>
      <c r="G12887" s="8">
        <v>20</v>
      </c>
      <c r="H12887" s="8" t="s">
        <v>21</v>
      </c>
      <c r="I12887" s="8" t="s">
        <v>22</v>
      </c>
      <c r="J12887" s="8" t="s">
        <v>22</v>
      </c>
      <c r="K12887" s="8" t="s">
        <v>396</v>
      </c>
      <c r="L12887" s="8" t="s">
        <v>30738</v>
      </c>
      <c r="M12887" s="8" t="s">
        <v>30739</v>
      </c>
      <c r="N12887" s="8" t="s">
        <v>53817</v>
      </c>
      <c r="O12887" s="8">
        <f>20+43/60+14/3600</f>
        <v>20.720555555555553</v>
      </c>
      <c r="P12887" s="8" t="s">
        <v>53818</v>
      </c>
      <c r="Q12887" s="8">
        <f>-(29+51/60+7/3600)</f>
        <v>-29.851944444444445</v>
      </c>
      <c r="R12887" s="8">
        <v>12.7</v>
      </c>
      <c r="S12887" s="8">
        <v>13.3</v>
      </c>
      <c r="T12887" s="8">
        <v>0.6</v>
      </c>
      <c r="U12887" s="8">
        <v>13</v>
      </c>
      <c r="V12887" s="8">
        <v>2.1</v>
      </c>
      <c r="W12887" s="8">
        <v>0.6</v>
      </c>
      <c r="X12887" s="8">
        <v>156</v>
      </c>
      <c r="Y12887" s="8" t="s">
        <v>53819</v>
      </c>
      <c r="Z12887" s="8" t="s">
        <v>53985</v>
      </c>
    </row>
    <row r="12888" spans="1:26" x14ac:dyDescent="0.2">
      <c r="A12888" s="8">
        <v>12887</v>
      </c>
      <c r="B12888" s="8" t="s">
        <v>53986</v>
      </c>
      <c r="C12888" s="8" t="s">
        <v>53986</v>
      </c>
      <c r="G12888" s="8">
        <v>20</v>
      </c>
      <c r="H12888" s="8" t="s">
        <v>21</v>
      </c>
      <c r="I12888" s="8" t="s">
        <v>22</v>
      </c>
      <c r="J12888" s="8" t="s">
        <v>22</v>
      </c>
      <c r="K12888" s="8" t="s">
        <v>1277</v>
      </c>
      <c r="L12888" s="8" t="s">
        <v>30738</v>
      </c>
      <c r="M12888" s="8" t="s">
        <v>30739</v>
      </c>
      <c r="N12888" s="8" t="s">
        <v>53835</v>
      </c>
      <c r="O12888" s="8">
        <f>20+43/60+34.3/3600</f>
        <v>20.726194444444442</v>
      </c>
      <c r="P12888" s="8" t="s">
        <v>53836</v>
      </c>
      <c r="Q12888" s="8">
        <f>-(29+42/60+11/3600)</f>
        <v>-29.703055555555554</v>
      </c>
      <c r="R12888" s="8">
        <v>12.5</v>
      </c>
      <c r="S12888" s="8">
        <v>13.1</v>
      </c>
      <c r="T12888" s="8">
        <v>0.6</v>
      </c>
      <c r="U12888" s="8">
        <v>13.1</v>
      </c>
      <c r="V12888" s="8">
        <v>1.7</v>
      </c>
      <c r="W12888" s="8">
        <v>1.2</v>
      </c>
      <c r="X12888" s="8">
        <v>31</v>
      </c>
      <c r="Y12888" s="8" t="s">
        <v>473</v>
      </c>
      <c r="Z12888" s="8" t="s">
        <v>53971</v>
      </c>
    </row>
    <row r="12889" spans="1:26" x14ac:dyDescent="0.2">
      <c r="A12889" s="8">
        <v>12888</v>
      </c>
      <c r="B12889" s="8" t="s">
        <v>53987</v>
      </c>
      <c r="C12889" s="8" t="s">
        <v>53987</v>
      </c>
      <c r="G12889" s="8">
        <v>20</v>
      </c>
      <c r="H12889" s="8" t="s">
        <v>21</v>
      </c>
      <c r="I12889" s="8" t="s">
        <v>22</v>
      </c>
      <c r="J12889" s="8" t="s">
        <v>22</v>
      </c>
      <c r="K12889" s="8" t="s">
        <v>85</v>
      </c>
      <c r="L12889" s="8" t="s">
        <v>28435</v>
      </c>
      <c r="M12889" s="8" t="s">
        <v>28436</v>
      </c>
      <c r="N12889" s="8" t="s">
        <v>53988</v>
      </c>
      <c r="O12889" s="8">
        <f>20+51/60+40.6/3600</f>
        <v>20.861277777777779</v>
      </c>
      <c r="P12889" s="8" t="s">
        <v>53989</v>
      </c>
      <c r="Q12889" s="8">
        <f>-(71+48/60+2/3600)</f>
        <v>-71.800555555555547</v>
      </c>
      <c r="R12889" s="8">
        <v>15</v>
      </c>
      <c r="S12889" s="8">
        <v>15.8</v>
      </c>
      <c r="T12889" s="8">
        <v>0.8</v>
      </c>
      <c r="U12889" s="8">
        <v>13.5</v>
      </c>
      <c r="V12889" s="8">
        <v>0.6</v>
      </c>
      <c r="W12889" s="8">
        <v>0.5</v>
      </c>
      <c r="Y12889" s="8" t="s">
        <v>266</v>
      </c>
      <c r="Z12889" s="8" t="s">
        <v>267</v>
      </c>
    </row>
    <row r="12890" spans="1:26" x14ac:dyDescent="0.2">
      <c r="A12890" s="8">
        <v>12889</v>
      </c>
      <c r="B12890" s="8" t="s">
        <v>53990</v>
      </c>
      <c r="C12890" s="8" t="s">
        <v>53990</v>
      </c>
      <c r="D12890" s="8" t="s">
        <v>351</v>
      </c>
      <c r="G12890" s="8">
        <v>20</v>
      </c>
      <c r="H12890" s="8" t="s">
        <v>21</v>
      </c>
      <c r="I12890" s="8" t="s">
        <v>22</v>
      </c>
      <c r="J12890" s="8" t="s">
        <v>22</v>
      </c>
      <c r="K12890" s="8" t="s">
        <v>1136</v>
      </c>
      <c r="L12890" s="8" t="s">
        <v>30738</v>
      </c>
      <c r="M12890" s="8" t="s">
        <v>30739</v>
      </c>
      <c r="N12890" s="8" t="s">
        <v>53991</v>
      </c>
      <c r="O12890" s="8">
        <f>20+47/60+23.8/3600</f>
        <v>20.789944444444448</v>
      </c>
      <c r="P12890" s="8" t="s">
        <v>53992</v>
      </c>
      <c r="Q12890" s="8">
        <f>-(38+25/60+5/3600)</f>
        <v>-38.418055555555554</v>
      </c>
      <c r="R12890" s="8">
        <v>13.3</v>
      </c>
      <c r="S12890" s="8">
        <v>14.3</v>
      </c>
      <c r="T12890" s="8">
        <v>1</v>
      </c>
      <c r="U12890" s="8">
        <v>12.8</v>
      </c>
      <c r="V12890" s="8">
        <v>1</v>
      </c>
      <c r="W12890" s="8">
        <v>0.8</v>
      </c>
      <c r="Y12890" s="8" t="s">
        <v>215</v>
      </c>
      <c r="Z12890" s="8" t="s">
        <v>216</v>
      </c>
    </row>
    <row r="12891" spans="1:26" x14ac:dyDescent="0.2">
      <c r="A12891" s="8">
        <v>12890</v>
      </c>
      <c r="B12891" s="8" t="s">
        <v>53993</v>
      </c>
      <c r="C12891" s="8" t="s">
        <v>53993</v>
      </c>
      <c r="G12891" s="8">
        <v>20</v>
      </c>
      <c r="H12891" s="8" t="s">
        <v>21</v>
      </c>
      <c r="I12891" s="8" t="s">
        <v>22</v>
      </c>
      <c r="J12891" s="8" t="s">
        <v>22</v>
      </c>
      <c r="K12891" s="8" t="s">
        <v>23</v>
      </c>
      <c r="L12891" s="8" t="s">
        <v>30854</v>
      </c>
      <c r="M12891" s="8" t="s">
        <v>30855</v>
      </c>
      <c r="N12891" s="8" t="s">
        <v>53994</v>
      </c>
      <c r="O12891" s="8">
        <f>20+45/60+15/3600</f>
        <v>20.754166666666666</v>
      </c>
      <c r="P12891" s="8" t="s">
        <v>53995</v>
      </c>
      <c r="Q12891" s="8">
        <f>-(5+37/60+23/3600)</f>
        <v>-5.6230555555555561</v>
      </c>
      <c r="R12891" s="8">
        <v>13.5</v>
      </c>
      <c r="S12891" s="8">
        <v>14.3</v>
      </c>
      <c r="T12891" s="8">
        <v>0.8</v>
      </c>
      <c r="U12891" s="8">
        <v>13.5</v>
      </c>
      <c r="V12891" s="8">
        <v>1.3</v>
      </c>
      <c r="W12891" s="8">
        <v>0.9</v>
      </c>
      <c r="X12891" s="8">
        <v>75</v>
      </c>
      <c r="Y12891" s="8" t="s">
        <v>53996</v>
      </c>
      <c r="Z12891" s="8" t="s">
        <v>53997</v>
      </c>
    </row>
    <row r="12892" spans="1:26" x14ac:dyDescent="0.2">
      <c r="A12892" s="8">
        <v>12891</v>
      </c>
      <c r="B12892" s="8" t="s">
        <v>53998</v>
      </c>
      <c r="C12892" s="8" t="s">
        <v>53998</v>
      </c>
      <c r="G12892" s="8">
        <v>20</v>
      </c>
      <c r="H12892" s="8" t="s">
        <v>21</v>
      </c>
      <c r="I12892" s="8" t="s">
        <v>22</v>
      </c>
      <c r="J12892" s="8" t="s">
        <v>22</v>
      </c>
      <c r="K12892" s="8" t="s">
        <v>160</v>
      </c>
      <c r="L12892" s="8" t="s">
        <v>28435</v>
      </c>
      <c r="M12892" s="8" t="s">
        <v>28436</v>
      </c>
      <c r="N12892" s="8" t="s">
        <v>53999</v>
      </c>
      <c r="O12892" s="8">
        <f>20+52/60+22.9/3600</f>
        <v>20.873027777777779</v>
      </c>
      <c r="P12892" s="8" t="s">
        <v>54000</v>
      </c>
      <c r="Q12892" s="8">
        <f>-(71+47/60+20/3600)</f>
        <v>-71.788888888888891</v>
      </c>
      <c r="R12892" s="8">
        <v>14.9</v>
      </c>
      <c r="S12892" s="8">
        <v>15.6</v>
      </c>
      <c r="T12892" s="8">
        <v>0.7</v>
      </c>
      <c r="U12892" s="8">
        <v>13.2</v>
      </c>
      <c r="V12892" s="8">
        <v>0.6</v>
      </c>
      <c r="W12892" s="8">
        <v>0.4</v>
      </c>
      <c r="X12892" s="8">
        <v>45</v>
      </c>
      <c r="Y12892" s="8" t="s">
        <v>266</v>
      </c>
      <c r="Z12892" s="8" t="s">
        <v>267</v>
      </c>
    </row>
    <row r="12893" spans="1:26" x14ac:dyDescent="0.2">
      <c r="A12893" s="8">
        <v>12892</v>
      </c>
      <c r="B12893" s="8" t="s">
        <v>54001</v>
      </c>
      <c r="C12893" s="8" t="s">
        <v>54001</v>
      </c>
      <c r="G12893" s="8">
        <v>13</v>
      </c>
      <c r="H12893" s="8" t="s">
        <v>21</v>
      </c>
      <c r="I12893" s="8" t="s">
        <v>22</v>
      </c>
      <c r="J12893" s="8" t="s">
        <v>22</v>
      </c>
      <c r="K12893" s="8" t="s">
        <v>1277</v>
      </c>
      <c r="L12893" s="8" t="s">
        <v>28435</v>
      </c>
      <c r="M12893" s="8" t="s">
        <v>28436</v>
      </c>
      <c r="N12893" s="8" t="s">
        <v>54002</v>
      </c>
      <c r="O12893" s="8">
        <f>20+52/60+7.1/3600</f>
        <v>20.868638888888889</v>
      </c>
      <c r="P12893" s="8" t="s">
        <v>54003</v>
      </c>
      <c r="Q12893" s="8">
        <f>-(69+12/60+19/3600)</f>
        <v>-69.205277777777781</v>
      </c>
      <c r="R12893" s="8">
        <v>10.5</v>
      </c>
      <c r="S12893" s="8">
        <v>11.2</v>
      </c>
      <c r="T12893" s="8">
        <v>0.7</v>
      </c>
      <c r="U12893" s="8">
        <v>12.6</v>
      </c>
      <c r="V12893" s="8">
        <v>5.9</v>
      </c>
      <c r="W12893" s="8">
        <v>0.9</v>
      </c>
      <c r="X12893" s="8">
        <v>143</v>
      </c>
      <c r="Y12893" s="8" t="s">
        <v>54004</v>
      </c>
      <c r="Z12893" s="8" t="s">
        <v>54005</v>
      </c>
    </row>
    <row r="12894" spans="1:26" x14ac:dyDescent="0.2">
      <c r="A12894" s="8">
        <v>12893</v>
      </c>
      <c r="B12894" s="8" t="s">
        <v>54006</v>
      </c>
      <c r="C12894" s="8" t="s">
        <v>54006</v>
      </c>
      <c r="G12894" s="8">
        <v>20</v>
      </c>
      <c r="H12894" s="8" t="s">
        <v>21</v>
      </c>
      <c r="I12894" s="8" t="s">
        <v>22</v>
      </c>
      <c r="J12894" s="8" t="s">
        <v>22</v>
      </c>
      <c r="K12894" s="8" t="s">
        <v>91</v>
      </c>
      <c r="L12894" s="8" t="s">
        <v>28435</v>
      </c>
      <c r="M12894" s="8" t="s">
        <v>28436</v>
      </c>
      <c r="N12894" s="8" t="s">
        <v>54007</v>
      </c>
      <c r="O12894" s="8">
        <f>20+53/60+36/3600</f>
        <v>20.893333333333334</v>
      </c>
      <c r="P12894" s="8" t="s">
        <v>54008</v>
      </c>
      <c r="Q12894" s="8">
        <f>-(71+8/60+30/3600)</f>
        <v>-71.14166666666668</v>
      </c>
      <c r="R12894" s="8">
        <v>12.7</v>
      </c>
      <c r="S12894" s="8">
        <v>13.7</v>
      </c>
      <c r="T12894" s="8">
        <v>1</v>
      </c>
      <c r="U12894" s="8">
        <v>13.5</v>
      </c>
      <c r="V12894" s="8">
        <v>1.6</v>
      </c>
      <c r="W12894" s="8">
        <v>0.6</v>
      </c>
      <c r="X12894" s="8">
        <v>55</v>
      </c>
      <c r="Y12894" s="8" t="s">
        <v>54009</v>
      </c>
      <c r="Z12894" s="8" t="s">
        <v>54010</v>
      </c>
    </row>
    <row r="12895" spans="1:26" x14ac:dyDescent="0.2">
      <c r="A12895" s="8">
        <v>12894</v>
      </c>
      <c r="B12895" s="8" t="s">
        <v>54011</v>
      </c>
      <c r="C12895" s="8" t="s">
        <v>54011</v>
      </c>
      <c r="G12895" s="8">
        <v>20</v>
      </c>
      <c r="H12895" s="8" t="s">
        <v>21</v>
      </c>
      <c r="I12895" s="8" t="s">
        <v>22</v>
      </c>
      <c r="J12895" s="8" t="s">
        <v>22</v>
      </c>
      <c r="K12895" s="8" t="s">
        <v>154</v>
      </c>
      <c r="L12895" s="8" t="s">
        <v>28435</v>
      </c>
      <c r="M12895" s="8" t="s">
        <v>28436</v>
      </c>
      <c r="N12895" s="8" t="s">
        <v>54012</v>
      </c>
      <c r="O12895" s="8">
        <f>20+53/60+45.2/3600</f>
        <v>20.895888888888887</v>
      </c>
      <c r="P12895" s="8" t="s">
        <v>54013</v>
      </c>
      <c r="Q12895" s="8">
        <f>-(71+1/60+29/3600)</f>
        <v>-71.024722222222223</v>
      </c>
      <c r="R12895" s="8">
        <v>13.1</v>
      </c>
      <c r="S12895" s="8">
        <v>13.9</v>
      </c>
      <c r="T12895" s="8">
        <v>0.8</v>
      </c>
      <c r="U12895" s="8">
        <v>13.5</v>
      </c>
      <c r="V12895" s="8">
        <v>2</v>
      </c>
      <c r="W12895" s="8">
        <v>0.4</v>
      </c>
      <c r="X12895" s="8">
        <v>5</v>
      </c>
      <c r="Y12895" s="8" t="s">
        <v>54014</v>
      </c>
      <c r="Z12895" s="8" t="s">
        <v>54015</v>
      </c>
    </row>
    <row r="12896" spans="1:26" x14ac:dyDescent="0.2">
      <c r="A12896" s="8">
        <v>12895</v>
      </c>
      <c r="B12896" s="8" t="s">
        <v>54016</v>
      </c>
      <c r="C12896" s="8" t="s">
        <v>54016</v>
      </c>
      <c r="G12896" s="8">
        <v>20</v>
      </c>
      <c r="H12896" s="8" t="s">
        <v>21</v>
      </c>
      <c r="I12896" s="8" t="s">
        <v>22</v>
      </c>
      <c r="J12896" s="8" t="s">
        <v>22</v>
      </c>
      <c r="K12896" s="8" t="s">
        <v>160</v>
      </c>
      <c r="L12896" s="8" t="s">
        <v>28435</v>
      </c>
      <c r="M12896" s="8" t="s">
        <v>28436</v>
      </c>
      <c r="N12896" s="8" t="s">
        <v>54017</v>
      </c>
      <c r="O12896" s="8">
        <f>20+52/60+57.6/3600</f>
        <v>20.882666666666665</v>
      </c>
      <c r="P12896" s="8" t="s">
        <v>54018</v>
      </c>
      <c r="Q12896" s="8">
        <f>-(68+26/60+41/3600)</f>
        <v>-68.444722222222225</v>
      </c>
      <c r="R12896" s="8">
        <v>14.3</v>
      </c>
      <c r="S12896" s="8">
        <v>15.1</v>
      </c>
      <c r="T12896" s="8">
        <v>0.8</v>
      </c>
      <c r="U12896" s="8">
        <v>12.8</v>
      </c>
      <c r="V12896" s="8">
        <v>0.7</v>
      </c>
      <c r="W12896" s="8">
        <v>0.4</v>
      </c>
      <c r="X12896" s="8">
        <v>20</v>
      </c>
      <c r="Y12896" s="8" t="s">
        <v>54019</v>
      </c>
      <c r="Z12896" s="8" t="s">
        <v>54020</v>
      </c>
    </row>
    <row r="12897" spans="1:26" x14ac:dyDescent="0.2">
      <c r="A12897" s="8">
        <v>12896</v>
      </c>
      <c r="B12897" s="8" t="s">
        <v>54021</v>
      </c>
      <c r="C12897" s="8" t="s">
        <v>54021</v>
      </c>
      <c r="G12897" s="8">
        <v>20</v>
      </c>
      <c r="H12897" s="8" t="s">
        <v>21</v>
      </c>
      <c r="I12897" s="8" t="s">
        <v>329</v>
      </c>
      <c r="J12897" s="8" t="s">
        <v>329</v>
      </c>
      <c r="K12897" s="8" t="s">
        <v>329</v>
      </c>
      <c r="L12897" s="8" t="s">
        <v>30738</v>
      </c>
      <c r="M12897" s="8" t="s">
        <v>30739</v>
      </c>
      <c r="N12897" s="8" t="s">
        <v>54022</v>
      </c>
      <c r="O12897" s="8">
        <f>20+49/60+0/3600</f>
        <v>20.816666666666666</v>
      </c>
      <c r="P12897" s="8" t="s">
        <v>54023</v>
      </c>
      <c r="Q12897" s="8">
        <f>-(39+10/60+54/3600)</f>
        <v>-39.181666666666665</v>
      </c>
      <c r="R12897" s="8">
        <v>99</v>
      </c>
      <c r="S12897" s="8">
        <v>99</v>
      </c>
      <c r="T12897" s="8">
        <v>99</v>
      </c>
      <c r="U12897" s="8">
        <v>99</v>
      </c>
      <c r="Y12897" s="8" t="s">
        <v>54024</v>
      </c>
      <c r="Z12897" s="8" t="s">
        <v>54025</v>
      </c>
    </row>
    <row r="12898" spans="1:26" x14ac:dyDescent="0.2">
      <c r="A12898" s="8">
        <v>12897</v>
      </c>
      <c r="B12898" s="8" t="s">
        <v>54026</v>
      </c>
      <c r="C12898" s="8" t="s">
        <v>54026</v>
      </c>
      <c r="G12898" s="8">
        <v>20</v>
      </c>
      <c r="H12898" s="8" t="s">
        <v>21</v>
      </c>
      <c r="I12898" s="8" t="s">
        <v>72</v>
      </c>
      <c r="J12898" s="8" t="s">
        <v>72</v>
      </c>
      <c r="K12898" s="8" t="s">
        <v>20</v>
      </c>
      <c r="L12898" s="8" t="s">
        <v>30854</v>
      </c>
      <c r="M12898" s="8" t="s">
        <v>30855</v>
      </c>
      <c r="N12898" s="8" t="s">
        <v>54027</v>
      </c>
      <c r="O12898" s="8">
        <f>20+47/60+13.5/3600</f>
        <v>20.787083333333335</v>
      </c>
      <c r="P12898" s="8" t="s">
        <v>54028</v>
      </c>
      <c r="Q12898" s="8">
        <f>+(0+19/60+20/3600)</f>
        <v>0.32222222222222219</v>
      </c>
      <c r="R12898" s="8">
        <v>99</v>
      </c>
      <c r="S12898" s="8">
        <v>14.3</v>
      </c>
      <c r="T12898" s="8">
        <v>99</v>
      </c>
      <c r="U12898" s="8">
        <v>99</v>
      </c>
      <c r="Y12898" s="8" t="s">
        <v>54029</v>
      </c>
      <c r="Z12898" s="8" t="s">
        <v>54030</v>
      </c>
    </row>
    <row r="12899" spans="1:26" x14ac:dyDescent="0.2">
      <c r="A12899" s="8">
        <v>12898</v>
      </c>
      <c r="B12899" s="8" t="s">
        <v>54031</v>
      </c>
      <c r="C12899" s="8" t="s">
        <v>54031</v>
      </c>
      <c r="G12899" s="8">
        <v>20</v>
      </c>
      <c r="H12899" s="8" t="s">
        <v>21</v>
      </c>
      <c r="I12899" s="8" t="s">
        <v>22</v>
      </c>
      <c r="J12899" s="8" t="s">
        <v>57</v>
      </c>
      <c r="K12899" s="8" t="s">
        <v>37</v>
      </c>
      <c r="L12899" s="8" t="s">
        <v>30854</v>
      </c>
      <c r="M12899" s="8" t="s">
        <v>30855</v>
      </c>
      <c r="N12899" s="8" t="s">
        <v>30935</v>
      </c>
      <c r="O12899" s="8">
        <f>20+47/60+20.5/3600</f>
        <v>20.789027777777779</v>
      </c>
      <c r="P12899" s="8" t="s">
        <v>30936</v>
      </c>
      <c r="Q12899" s="8">
        <f>+(0+29/60+3/3600)</f>
        <v>0.48416666666666669</v>
      </c>
      <c r="R12899" s="8">
        <v>14</v>
      </c>
      <c r="S12899" s="8">
        <v>15</v>
      </c>
      <c r="T12899" s="8">
        <v>1</v>
      </c>
      <c r="U12899" s="8">
        <v>13</v>
      </c>
      <c r="V12899" s="8">
        <v>0.6</v>
      </c>
      <c r="W12899" s="8">
        <v>0.4</v>
      </c>
      <c r="X12899" s="8">
        <v>66</v>
      </c>
      <c r="Y12899" s="8" t="s">
        <v>54032</v>
      </c>
      <c r="Z12899" s="8" t="s">
        <v>54033</v>
      </c>
    </row>
    <row r="12900" spans="1:26" x14ac:dyDescent="0.2">
      <c r="A12900" s="8">
        <v>12899</v>
      </c>
      <c r="B12900" s="8" t="s">
        <v>54034</v>
      </c>
      <c r="C12900" s="8" t="s">
        <v>54034</v>
      </c>
      <c r="G12900" s="8">
        <v>20</v>
      </c>
      <c r="H12900" s="8" t="s">
        <v>21</v>
      </c>
      <c r="I12900" s="8" t="s">
        <v>22</v>
      </c>
      <c r="J12900" s="8" t="s">
        <v>22</v>
      </c>
      <c r="K12900" s="8" t="s">
        <v>31</v>
      </c>
      <c r="L12900" s="8" t="s">
        <v>30731</v>
      </c>
      <c r="M12900" s="8" t="s">
        <v>30732</v>
      </c>
      <c r="N12900" s="8" t="s">
        <v>54035</v>
      </c>
      <c r="O12900" s="8">
        <f>20+51/60+13.5/3600</f>
        <v>20.853750000000002</v>
      </c>
      <c r="P12900" s="8" t="s">
        <v>54036</v>
      </c>
      <c r="Q12900" s="8">
        <f>-(57+41/60+19/3600)</f>
        <v>-57.688611111111108</v>
      </c>
      <c r="R12900" s="8">
        <v>14.7</v>
      </c>
      <c r="S12900" s="8">
        <v>15.5</v>
      </c>
      <c r="T12900" s="8">
        <v>0.8</v>
      </c>
      <c r="U12900" s="8">
        <v>13.6</v>
      </c>
      <c r="V12900" s="8">
        <v>0.8</v>
      </c>
      <c r="W12900" s="8">
        <v>0.5</v>
      </c>
      <c r="X12900" s="8">
        <v>13</v>
      </c>
      <c r="Y12900" s="8" t="s">
        <v>36095</v>
      </c>
      <c r="Z12900" s="8" t="s">
        <v>36096</v>
      </c>
    </row>
    <row r="12901" spans="1:26" x14ac:dyDescent="0.2">
      <c r="A12901" s="8">
        <v>12900</v>
      </c>
      <c r="B12901" s="8" t="s">
        <v>54037</v>
      </c>
      <c r="C12901" s="8" t="s">
        <v>54037</v>
      </c>
      <c r="G12901" s="8">
        <v>20</v>
      </c>
      <c r="H12901" s="8" t="s">
        <v>21</v>
      </c>
      <c r="I12901" s="8" t="s">
        <v>22</v>
      </c>
      <c r="J12901" s="8" t="s">
        <v>22</v>
      </c>
      <c r="K12901" s="8" t="s">
        <v>160</v>
      </c>
      <c r="L12901" s="8" t="s">
        <v>28435</v>
      </c>
      <c r="M12901" s="8" t="s">
        <v>28436</v>
      </c>
      <c r="N12901" s="8" t="s">
        <v>54038</v>
      </c>
      <c r="O12901" s="8">
        <f>20+54/60+46.2/3600</f>
        <v>20.912833333333332</v>
      </c>
      <c r="P12901" s="8" t="s">
        <v>54039</v>
      </c>
      <c r="Q12901" s="8">
        <f>-(71+38/60+14/3600)</f>
        <v>-71.637222222222235</v>
      </c>
      <c r="R12901" s="8">
        <v>14.8</v>
      </c>
      <c r="S12901" s="8">
        <v>15.5</v>
      </c>
      <c r="T12901" s="8">
        <v>0.7</v>
      </c>
      <c r="U12901" s="8">
        <v>12.9</v>
      </c>
      <c r="V12901" s="8">
        <v>1</v>
      </c>
      <c r="W12901" s="8">
        <v>0.2</v>
      </c>
      <c r="X12901" s="8">
        <v>80</v>
      </c>
      <c r="Y12901" s="8" t="s">
        <v>54040</v>
      </c>
      <c r="Z12901" s="8" t="s">
        <v>54041</v>
      </c>
    </row>
    <row r="12902" spans="1:26" x14ac:dyDescent="0.2">
      <c r="A12902" s="8">
        <v>12901</v>
      </c>
      <c r="B12902" s="8" t="s">
        <v>54042</v>
      </c>
      <c r="C12902" s="8" t="s">
        <v>54042</v>
      </c>
      <c r="G12902" s="8">
        <v>20</v>
      </c>
      <c r="H12902" s="8" t="s">
        <v>21</v>
      </c>
      <c r="I12902" s="8" t="s">
        <v>72</v>
      </c>
      <c r="J12902" s="8" t="s">
        <v>72</v>
      </c>
      <c r="K12902" s="8" t="s">
        <v>1802</v>
      </c>
      <c r="L12902" s="8" t="s">
        <v>30854</v>
      </c>
      <c r="M12902" s="8" t="s">
        <v>30855</v>
      </c>
      <c r="N12902" s="8" t="s">
        <v>54043</v>
      </c>
      <c r="O12902" s="8">
        <f>20+47/60+37.2/3600</f>
        <v>20.793666666666667</v>
      </c>
      <c r="P12902" s="8" t="s">
        <v>54044</v>
      </c>
      <c r="Q12902" s="8">
        <f>+(0+20/60+12/3600)</f>
        <v>0.33666666666666667</v>
      </c>
      <c r="R12902" s="8">
        <v>99</v>
      </c>
      <c r="S12902" s="8">
        <v>99</v>
      </c>
      <c r="T12902" s="8">
        <v>99</v>
      </c>
      <c r="U12902" s="8">
        <v>99</v>
      </c>
      <c r="Y12902" s="8" t="s">
        <v>54045</v>
      </c>
      <c r="Z12902" s="8" t="s">
        <v>54046</v>
      </c>
    </row>
    <row r="12903" spans="1:26" x14ac:dyDescent="0.2">
      <c r="A12903" s="8">
        <v>12902</v>
      </c>
      <c r="B12903" s="8" t="s">
        <v>54047</v>
      </c>
      <c r="C12903" s="8" t="s">
        <v>54047</v>
      </c>
      <c r="G12903" s="8">
        <v>20</v>
      </c>
      <c r="H12903" s="8" t="s">
        <v>21</v>
      </c>
      <c r="I12903" s="8" t="s">
        <v>72</v>
      </c>
      <c r="J12903" s="8" t="s">
        <v>72</v>
      </c>
      <c r="K12903" s="8" t="s">
        <v>73</v>
      </c>
      <c r="L12903" s="8" t="s">
        <v>30854</v>
      </c>
      <c r="M12903" s="8" t="s">
        <v>30855</v>
      </c>
      <c r="N12903" s="8" t="s">
        <v>54048</v>
      </c>
      <c r="O12903" s="8">
        <f>20+48/60+10.3/3600</f>
        <v>20.802861111111113</v>
      </c>
      <c r="P12903" s="8" t="s">
        <v>54049</v>
      </c>
      <c r="Q12903" s="8">
        <f>-(8+21/60+32/3600)</f>
        <v>-8.3588888888888881</v>
      </c>
      <c r="R12903" s="8">
        <v>99</v>
      </c>
      <c r="S12903" s="8">
        <v>99</v>
      </c>
      <c r="T12903" s="8">
        <v>99</v>
      </c>
      <c r="U12903" s="8">
        <v>99</v>
      </c>
      <c r="Y12903" s="8" t="s">
        <v>54050</v>
      </c>
      <c r="Z12903" s="8" t="s">
        <v>54051</v>
      </c>
    </row>
    <row r="12904" spans="1:26" x14ac:dyDescent="0.2">
      <c r="A12904" s="8">
        <v>12903</v>
      </c>
      <c r="B12904" s="8" t="s">
        <v>54052</v>
      </c>
      <c r="C12904" s="8" t="s">
        <v>54052</v>
      </c>
      <c r="G12904" s="8">
        <v>13</v>
      </c>
      <c r="H12904" s="8" t="s">
        <v>21</v>
      </c>
      <c r="I12904" s="8" t="s">
        <v>22</v>
      </c>
      <c r="J12904" s="8" t="s">
        <v>22</v>
      </c>
      <c r="K12904" s="8" t="s">
        <v>632</v>
      </c>
      <c r="L12904" s="8" t="s">
        <v>30731</v>
      </c>
      <c r="M12904" s="8" t="s">
        <v>30732</v>
      </c>
      <c r="N12904" s="8" t="s">
        <v>54053</v>
      </c>
      <c r="O12904" s="8">
        <f>20+52/60+2/3600</f>
        <v>20.867222222222221</v>
      </c>
      <c r="P12904" s="8" t="s">
        <v>54054</v>
      </c>
      <c r="Q12904" s="8">
        <f>-(57+4/60+10/3600)</f>
        <v>-57.06944444444445</v>
      </c>
      <c r="R12904" s="8">
        <v>11.9</v>
      </c>
      <c r="S12904" s="8">
        <v>12.9</v>
      </c>
      <c r="T12904" s="8">
        <v>1</v>
      </c>
      <c r="U12904" s="8">
        <v>13</v>
      </c>
      <c r="V12904" s="8">
        <v>2.1</v>
      </c>
      <c r="W12904" s="8">
        <v>1.4</v>
      </c>
      <c r="X12904" s="8">
        <v>116</v>
      </c>
      <c r="Y12904" s="8" t="s">
        <v>48015</v>
      </c>
      <c r="Z12904" s="8" t="s">
        <v>48016</v>
      </c>
    </row>
    <row r="12905" spans="1:26" x14ac:dyDescent="0.2">
      <c r="A12905" s="8">
        <v>12904</v>
      </c>
      <c r="B12905" s="8" t="s">
        <v>54055</v>
      </c>
      <c r="C12905" s="8" t="s">
        <v>54055</v>
      </c>
      <c r="G12905" s="8">
        <v>20</v>
      </c>
      <c r="H12905" s="8" t="s">
        <v>21</v>
      </c>
      <c r="I12905" s="8" t="s">
        <v>22</v>
      </c>
      <c r="J12905" s="8" t="s">
        <v>22</v>
      </c>
      <c r="K12905" s="8" t="s">
        <v>154</v>
      </c>
      <c r="L12905" s="8" t="s">
        <v>30731</v>
      </c>
      <c r="M12905" s="8" t="s">
        <v>30732</v>
      </c>
      <c r="N12905" s="8" t="s">
        <v>54056</v>
      </c>
      <c r="O12905" s="8">
        <f>20+52/60+38.1/3600</f>
        <v>20.87725</v>
      </c>
      <c r="P12905" s="8" t="s">
        <v>54057</v>
      </c>
      <c r="Q12905" s="8">
        <f>-(57+13/60+57/3600)</f>
        <v>-57.232500000000002</v>
      </c>
      <c r="R12905" s="8">
        <v>13.2</v>
      </c>
      <c r="S12905" s="8">
        <v>14.1</v>
      </c>
      <c r="T12905" s="8">
        <v>0.9</v>
      </c>
      <c r="U12905" s="8">
        <v>12.7</v>
      </c>
      <c r="V12905" s="8">
        <v>1</v>
      </c>
      <c r="W12905" s="8">
        <v>0.7</v>
      </c>
      <c r="X12905" s="8">
        <v>57</v>
      </c>
      <c r="Y12905" s="8" t="s">
        <v>46310</v>
      </c>
      <c r="Z12905" s="8" t="s">
        <v>46311</v>
      </c>
    </row>
    <row r="12906" spans="1:26" x14ac:dyDescent="0.2">
      <c r="A12906" s="8">
        <v>12905</v>
      </c>
      <c r="B12906" s="8" t="s">
        <v>54058</v>
      </c>
      <c r="C12906" s="8" t="s">
        <v>54058</v>
      </c>
      <c r="G12906" s="8">
        <v>20</v>
      </c>
      <c r="H12906" s="8" t="s">
        <v>21</v>
      </c>
      <c r="I12906" s="8" t="s">
        <v>22</v>
      </c>
      <c r="J12906" s="8" t="s">
        <v>22</v>
      </c>
      <c r="K12906" s="8" t="s">
        <v>224</v>
      </c>
      <c r="L12906" s="8" t="s">
        <v>30738</v>
      </c>
      <c r="M12906" s="8" t="s">
        <v>30739</v>
      </c>
      <c r="N12906" s="8" t="s">
        <v>54059</v>
      </c>
      <c r="O12906" s="8">
        <f>20+51/60+45.8/3600</f>
        <v>20.862722222222224</v>
      </c>
      <c r="P12906" s="8" t="s">
        <v>54060</v>
      </c>
      <c r="Q12906" s="8">
        <f>-(29+50/60+50/3600)</f>
        <v>-29.847222222222221</v>
      </c>
      <c r="R12906" s="8">
        <v>13.7</v>
      </c>
      <c r="S12906" s="8">
        <v>14.6</v>
      </c>
      <c r="T12906" s="8">
        <v>0.9</v>
      </c>
      <c r="U12906" s="8">
        <v>13.5</v>
      </c>
      <c r="V12906" s="8">
        <v>1.1000000000000001</v>
      </c>
      <c r="W12906" s="8">
        <v>0.9</v>
      </c>
      <c r="X12906" s="8">
        <v>148</v>
      </c>
      <c r="Y12906" s="8" t="s">
        <v>237</v>
      </c>
      <c r="Z12906" s="8" t="s">
        <v>238</v>
      </c>
    </row>
    <row r="12907" spans="1:26" x14ac:dyDescent="0.2">
      <c r="A12907" s="8">
        <v>12906</v>
      </c>
      <c r="B12907" s="8" t="s">
        <v>54061</v>
      </c>
      <c r="C12907" s="8" t="s">
        <v>54061</v>
      </c>
      <c r="G12907" s="8">
        <v>20</v>
      </c>
      <c r="H12907" s="8" t="s">
        <v>21</v>
      </c>
      <c r="I12907" s="8" t="s">
        <v>22</v>
      </c>
      <c r="J12907" s="8" t="s">
        <v>22</v>
      </c>
      <c r="K12907" s="8" t="s">
        <v>52772</v>
      </c>
      <c r="L12907" s="8" t="s">
        <v>28435</v>
      </c>
      <c r="M12907" s="8" t="s">
        <v>28436</v>
      </c>
      <c r="N12907" s="8" t="s">
        <v>54062</v>
      </c>
      <c r="O12907" s="8">
        <f>20+57/60+3.1/3600</f>
        <v>20.950861111111109</v>
      </c>
      <c r="P12907" s="8" t="s">
        <v>54063</v>
      </c>
      <c r="Q12907" s="8">
        <f>-(73+8/60+51/3600)</f>
        <v>-73.147500000000008</v>
      </c>
      <c r="R12907" s="8">
        <v>14.3</v>
      </c>
      <c r="S12907" s="8">
        <v>15.1</v>
      </c>
      <c r="T12907" s="8">
        <v>0.8</v>
      </c>
      <c r="U12907" s="8">
        <v>13.4</v>
      </c>
      <c r="V12907" s="8">
        <v>0.7</v>
      </c>
      <c r="W12907" s="8">
        <v>0.7</v>
      </c>
      <c r="Y12907" s="8" t="s">
        <v>7702</v>
      </c>
      <c r="Z12907" s="8" t="s">
        <v>7703</v>
      </c>
    </row>
    <row r="12908" spans="1:26" x14ac:dyDescent="0.2">
      <c r="A12908" s="8">
        <v>12907</v>
      </c>
      <c r="B12908" s="8" t="s">
        <v>54064</v>
      </c>
      <c r="C12908" s="8" t="s">
        <v>54064</v>
      </c>
      <c r="G12908" s="8">
        <v>12</v>
      </c>
      <c r="H12908" s="8" t="s">
        <v>54065</v>
      </c>
      <c r="I12908" s="8" t="s">
        <v>1283</v>
      </c>
      <c r="J12908" s="8" t="s">
        <v>1283</v>
      </c>
      <c r="K12908" s="8" t="s">
        <v>1284</v>
      </c>
      <c r="L12908" s="8" t="s">
        <v>30032</v>
      </c>
      <c r="M12908" s="8" t="s">
        <v>30033</v>
      </c>
      <c r="N12908" s="8" t="s">
        <v>54066</v>
      </c>
      <c r="O12908" s="8">
        <f>20+47/60+50/3600</f>
        <v>20.797222222222224</v>
      </c>
      <c r="P12908" s="8" t="s">
        <v>54067</v>
      </c>
      <c r="Q12908" s="8">
        <f>+(44+22/60+0/3600)</f>
        <v>44.366666666666667</v>
      </c>
      <c r="R12908" s="8">
        <v>99</v>
      </c>
      <c r="S12908" s="8">
        <v>8</v>
      </c>
      <c r="T12908" s="8">
        <v>99</v>
      </c>
      <c r="U12908" s="8">
        <v>99</v>
      </c>
      <c r="V12908" s="8">
        <v>25</v>
      </c>
      <c r="W12908" s="8">
        <v>10</v>
      </c>
      <c r="Y12908" s="8" t="s">
        <v>2802</v>
      </c>
      <c r="Z12908" s="8" t="s">
        <v>1021</v>
      </c>
    </row>
    <row r="12909" spans="1:26" x14ac:dyDescent="0.2">
      <c r="A12909" s="8">
        <v>12908</v>
      </c>
      <c r="B12909" s="8" t="s">
        <v>54068</v>
      </c>
      <c r="C12909" s="8" t="s">
        <v>54068</v>
      </c>
      <c r="G12909" s="8">
        <v>20</v>
      </c>
      <c r="H12909" s="8" t="s">
        <v>21</v>
      </c>
      <c r="I12909" s="8" t="s">
        <v>1283</v>
      </c>
      <c r="J12909" s="8" t="s">
        <v>1283</v>
      </c>
      <c r="K12909" s="8" t="s">
        <v>1284</v>
      </c>
      <c r="L12909" s="8" t="s">
        <v>30032</v>
      </c>
      <c r="M12909" s="8" t="s">
        <v>30033</v>
      </c>
      <c r="N12909" s="8" t="s">
        <v>30987</v>
      </c>
      <c r="O12909" s="8">
        <f>20+50/60+30/3600</f>
        <v>20.841666666666665</v>
      </c>
      <c r="P12909" s="8" t="s">
        <v>54069</v>
      </c>
      <c r="Q12909" s="8">
        <f>+(42+28/60+42/3600)</f>
        <v>42.478333333333332</v>
      </c>
      <c r="R12909" s="8">
        <v>99</v>
      </c>
      <c r="S12909" s="8">
        <v>99</v>
      </c>
      <c r="T12909" s="8">
        <v>99</v>
      </c>
      <c r="U12909" s="8">
        <v>99</v>
      </c>
      <c r="V12909" s="8">
        <v>40</v>
      </c>
      <c r="W12909" s="8">
        <v>30</v>
      </c>
      <c r="Y12909" s="8" t="s">
        <v>297</v>
      </c>
      <c r="Z12909" s="8" t="s">
        <v>298</v>
      </c>
    </row>
    <row r="12910" spans="1:26" x14ac:dyDescent="0.2">
      <c r="A12910" s="8">
        <v>12909</v>
      </c>
      <c r="B12910" s="8" t="s">
        <v>54070</v>
      </c>
      <c r="C12910" s="8" t="s">
        <v>54070</v>
      </c>
      <c r="G12910" s="8">
        <v>20</v>
      </c>
      <c r="H12910" s="8" t="s">
        <v>21</v>
      </c>
      <c r="I12910" s="8" t="s">
        <v>22</v>
      </c>
      <c r="J12910" s="8" t="s">
        <v>22</v>
      </c>
      <c r="K12910" s="8" t="s">
        <v>23</v>
      </c>
      <c r="L12910" s="8" t="s">
        <v>28435</v>
      </c>
      <c r="M12910" s="8" t="s">
        <v>28436</v>
      </c>
      <c r="N12910" s="8" t="s">
        <v>54071</v>
      </c>
      <c r="O12910" s="8">
        <f>21+0/60+10.3/3600</f>
        <v>21.002861111111113</v>
      </c>
      <c r="P12910" s="8" t="s">
        <v>54072</v>
      </c>
      <c r="Q12910" s="8">
        <f>-(71+48/60+38/3600)</f>
        <v>-71.810555555555553</v>
      </c>
      <c r="R12910" s="8">
        <v>13.6</v>
      </c>
      <c r="S12910" s="8">
        <v>14.4</v>
      </c>
      <c r="T12910" s="8">
        <v>0.8</v>
      </c>
      <c r="U12910" s="8">
        <v>13.2</v>
      </c>
      <c r="V12910" s="8">
        <v>0.9</v>
      </c>
      <c r="W12910" s="8">
        <v>0.9</v>
      </c>
      <c r="Y12910" s="8" t="s">
        <v>227</v>
      </c>
      <c r="Z12910" s="8" t="s">
        <v>228</v>
      </c>
    </row>
    <row r="12911" spans="1:26" x14ac:dyDescent="0.2">
      <c r="A12911" s="8">
        <v>12910</v>
      </c>
      <c r="B12911" s="8" t="s">
        <v>54073</v>
      </c>
      <c r="C12911" s="8" t="s">
        <v>54073</v>
      </c>
      <c r="G12911" s="8">
        <v>13</v>
      </c>
      <c r="H12911" s="8" t="s">
        <v>54065</v>
      </c>
      <c r="I12911" s="8" t="s">
        <v>1283</v>
      </c>
      <c r="J12911" s="8" t="s">
        <v>1283</v>
      </c>
      <c r="K12911" s="8" t="s">
        <v>1284</v>
      </c>
      <c r="L12911" s="8" t="s">
        <v>30032</v>
      </c>
      <c r="M12911" s="8" t="s">
        <v>30033</v>
      </c>
      <c r="N12911" s="8" t="s">
        <v>54074</v>
      </c>
      <c r="O12911" s="8">
        <f>20+51/60+0/3600</f>
        <v>20.85</v>
      </c>
      <c r="P12911" s="8" t="s">
        <v>54075</v>
      </c>
      <c r="Q12911" s="8">
        <f>+(44+24/60+6/3600)</f>
        <v>44.401666666666664</v>
      </c>
      <c r="R12911" s="8">
        <v>99</v>
      </c>
      <c r="S12911" s="8">
        <v>8</v>
      </c>
      <c r="T12911" s="8">
        <v>99</v>
      </c>
      <c r="U12911" s="8">
        <v>99</v>
      </c>
      <c r="V12911" s="8">
        <v>60</v>
      </c>
      <c r="W12911" s="8">
        <v>50</v>
      </c>
      <c r="Y12911" s="8" t="s">
        <v>39921</v>
      </c>
      <c r="Z12911" s="8" t="s">
        <v>39922</v>
      </c>
    </row>
    <row r="12912" spans="1:26" x14ac:dyDescent="0.2">
      <c r="A12912" s="8">
        <v>12911</v>
      </c>
      <c r="B12912" s="8" t="s">
        <v>54076</v>
      </c>
      <c r="C12912" s="8" t="s">
        <v>54076</v>
      </c>
      <c r="G12912" s="8">
        <v>20</v>
      </c>
      <c r="H12912" s="8" t="s">
        <v>21</v>
      </c>
      <c r="I12912" s="8" t="s">
        <v>22</v>
      </c>
      <c r="J12912" s="8" t="s">
        <v>22</v>
      </c>
      <c r="K12912" s="8" t="s">
        <v>64</v>
      </c>
      <c r="L12912" s="8" t="s">
        <v>28435</v>
      </c>
      <c r="M12912" s="8" t="s">
        <v>28436</v>
      </c>
      <c r="N12912" s="8" t="s">
        <v>54077</v>
      </c>
      <c r="O12912" s="8">
        <f>21+1/60+19.9/3600</f>
        <v>21.022194444444445</v>
      </c>
      <c r="P12912" s="8" t="s">
        <v>54078</v>
      </c>
      <c r="Q12912" s="8">
        <f>-(72+38/60+35/3600)</f>
        <v>-72.643055555555563</v>
      </c>
      <c r="R12912" s="8">
        <v>12.5</v>
      </c>
      <c r="S12912" s="8">
        <v>13.2</v>
      </c>
      <c r="T12912" s="8">
        <v>0.7</v>
      </c>
      <c r="U12912" s="8">
        <v>13.1</v>
      </c>
      <c r="V12912" s="8">
        <v>3.4</v>
      </c>
      <c r="W12912" s="8">
        <v>0.8</v>
      </c>
      <c r="X12912" s="8">
        <v>15</v>
      </c>
      <c r="Y12912" s="8" t="s">
        <v>54079</v>
      </c>
      <c r="Z12912" s="8" t="s">
        <v>54080</v>
      </c>
    </row>
    <row r="12913" spans="1:26" x14ac:dyDescent="0.2">
      <c r="A12913" s="8">
        <v>12912</v>
      </c>
      <c r="B12913" s="8" t="s">
        <v>54081</v>
      </c>
      <c r="C12913" s="8" t="s">
        <v>54081</v>
      </c>
      <c r="G12913" s="8">
        <v>20</v>
      </c>
      <c r="H12913" s="8" t="s">
        <v>21</v>
      </c>
      <c r="I12913" s="8" t="s">
        <v>22</v>
      </c>
      <c r="J12913" s="8" t="s">
        <v>22</v>
      </c>
      <c r="K12913" s="8" t="s">
        <v>449</v>
      </c>
      <c r="L12913" s="8" t="s">
        <v>28435</v>
      </c>
      <c r="M12913" s="8" t="s">
        <v>28436</v>
      </c>
      <c r="N12913" s="8" t="s">
        <v>54082</v>
      </c>
      <c r="O12913" s="8">
        <f>21+1/60+56.5/3600</f>
        <v>21.032361111111111</v>
      </c>
      <c r="P12913" s="8" t="s">
        <v>54083</v>
      </c>
      <c r="Q12913" s="8">
        <f>-(72+59/60+17/3600)</f>
        <v>-72.988055555555562</v>
      </c>
      <c r="R12913" s="8">
        <v>14.8</v>
      </c>
      <c r="S12913" s="8">
        <v>15.6</v>
      </c>
      <c r="T12913" s="8">
        <v>0.8</v>
      </c>
      <c r="U12913" s="8">
        <v>13.4</v>
      </c>
      <c r="V12913" s="8">
        <v>0.8</v>
      </c>
      <c r="W12913" s="8">
        <v>0.4</v>
      </c>
      <c r="X12913" s="8">
        <v>104</v>
      </c>
      <c r="Y12913" s="8" t="s">
        <v>1829</v>
      </c>
      <c r="Z12913" s="8" t="s">
        <v>1830</v>
      </c>
    </row>
    <row r="12914" spans="1:26" x14ac:dyDescent="0.2">
      <c r="A12914" s="8">
        <v>12913</v>
      </c>
      <c r="B12914" s="8" t="s">
        <v>54084</v>
      </c>
      <c r="C12914" s="8" t="s">
        <v>54084</v>
      </c>
      <c r="G12914" s="8">
        <v>20</v>
      </c>
      <c r="H12914" s="8" t="s">
        <v>21</v>
      </c>
      <c r="I12914" s="8" t="s">
        <v>22</v>
      </c>
      <c r="J12914" s="8" t="s">
        <v>22</v>
      </c>
      <c r="K12914" s="8" t="s">
        <v>64</v>
      </c>
      <c r="L12914" s="8" t="s">
        <v>28435</v>
      </c>
      <c r="M12914" s="8" t="s">
        <v>28436</v>
      </c>
      <c r="N12914" s="8" t="s">
        <v>54085</v>
      </c>
      <c r="O12914" s="8">
        <f>21+3/60+19.7/3600</f>
        <v>21.055472222222225</v>
      </c>
      <c r="P12914" s="8" t="s">
        <v>54086</v>
      </c>
      <c r="Q12914" s="8">
        <f>-(72+41/60+16/3600)</f>
        <v>-72.687777777777782</v>
      </c>
      <c r="R12914" s="8">
        <v>14</v>
      </c>
      <c r="S12914" s="8">
        <v>14.7</v>
      </c>
      <c r="T12914" s="8">
        <v>0.7</v>
      </c>
      <c r="U12914" s="8">
        <v>13.9</v>
      </c>
      <c r="V12914" s="8">
        <v>1.2</v>
      </c>
      <c r="W12914" s="8">
        <v>1</v>
      </c>
      <c r="X12914" s="8">
        <v>20</v>
      </c>
      <c r="Y12914" s="8" t="s">
        <v>227</v>
      </c>
      <c r="Z12914" s="8" t="s">
        <v>228</v>
      </c>
    </row>
    <row r="12915" spans="1:26" x14ac:dyDescent="0.2">
      <c r="A12915" s="8">
        <v>12914</v>
      </c>
      <c r="B12915" s="8" t="s">
        <v>54087</v>
      </c>
      <c r="C12915" s="8" t="s">
        <v>54087</v>
      </c>
      <c r="G12915" s="8">
        <v>20</v>
      </c>
      <c r="H12915" s="8" t="s">
        <v>21</v>
      </c>
      <c r="I12915" s="8" t="s">
        <v>22</v>
      </c>
      <c r="J12915" s="8" t="s">
        <v>22</v>
      </c>
      <c r="K12915" s="8" t="s">
        <v>42046</v>
      </c>
      <c r="L12915" s="8" t="s">
        <v>28435</v>
      </c>
      <c r="M12915" s="8" t="s">
        <v>28436</v>
      </c>
      <c r="N12915" s="8" t="s">
        <v>54088</v>
      </c>
      <c r="O12915" s="8">
        <f>21+1/60+0.6/3600</f>
        <v>21.016833333333331</v>
      </c>
      <c r="P12915" s="8" t="s">
        <v>54089</v>
      </c>
      <c r="Q12915" s="8">
        <f>-(63+9/60+12/3600)</f>
        <v>-63.153333333333329</v>
      </c>
      <c r="R12915" s="8">
        <v>14</v>
      </c>
      <c r="S12915" s="8">
        <v>14.9</v>
      </c>
      <c r="T12915" s="8">
        <v>0.9</v>
      </c>
      <c r="U12915" s="8">
        <v>12.9</v>
      </c>
      <c r="V12915" s="8">
        <v>0.8</v>
      </c>
      <c r="W12915" s="8">
        <v>0.6</v>
      </c>
      <c r="X12915" s="8">
        <v>166</v>
      </c>
      <c r="Y12915" s="8" t="s">
        <v>54090</v>
      </c>
      <c r="Z12915" s="8" t="s">
        <v>54091</v>
      </c>
    </row>
    <row r="12916" spans="1:26" x14ac:dyDescent="0.2">
      <c r="A12916" s="8">
        <v>12915</v>
      </c>
      <c r="B12916" s="8" t="s">
        <v>54092</v>
      </c>
      <c r="C12916" s="8" t="s">
        <v>54092</v>
      </c>
      <c r="G12916" s="8">
        <v>20</v>
      </c>
      <c r="H12916" s="8" t="s">
        <v>21</v>
      </c>
      <c r="I12916" s="8" t="s">
        <v>22</v>
      </c>
      <c r="J12916" s="8" t="s">
        <v>22</v>
      </c>
      <c r="K12916" s="8" t="s">
        <v>23</v>
      </c>
      <c r="L12916" s="8" t="s">
        <v>28435</v>
      </c>
      <c r="M12916" s="8" t="s">
        <v>28436</v>
      </c>
      <c r="N12916" s="8" t="s">
        <v>54093</v>
      </c>
      <c r="O12916" s="8">
        <f>21+4/60+37.5/3600</f>
        <v>21.077083333333334</v>
      </c>
      <c r="P12916" s="8" t="s">
        <v>54094</v>
      </c>
      <c r="Q12916" s="8">
        <f>-(71+52/60+5/3600)</f>
        <v>-71.868055555555543</v>
      </c>
      <c r="R12916" s="8">
        <v>13.7</v>
      </c>
      <c r="S12916" s="8">
        <v>14.5</v>
      </c>
      <c r="T12916" s="8">
        <v>0.8</v>
      </c>
      <c r="U12916" s="8">
        <v>12.6</v>
      </c>
      <c r="V12916" s="8">
        <v>1.1000000000000001</v>
      </c>
      <c r="W12916" s="8">
        <v>0.4</v>
      </c>
      <c r="X12916" s="8">
        <v>149</v>
      </c>
      <c r="Y12916" s="8" t="s">
        <v>54095</v>
      </c>
      <c r="Z12916" s="8" t="s">
        <v>54096</v>
      </c>
    </row>
    <row r="12917" spans="1:26" x14ac:dyDescent="0.2">
      <c r="A12917" s="8">
        <v>12916</v>
      </c>
      <c r="B12917" s="8" t="s">
        <v>54097</v>
      </c>
      <c r="C12917" s="8" t="s">
        <v>54097</v>
      </c>
      <c r="G12917" s="8">
        <v>13</v>
      </c>
      <c r="H12917" s="8" t="s">
        <v>21</v>
      </c>
      <c r="I12917" s="8" t="s">
        <v>1283</v>
      </c>
      <c r="J12917" s="8" t="s">
        <v>1283</v>
      </c>
      <c r="K12917" s="8" t="s">
        <v>6208</v>
      </c>
      <c r="L12917" s="8" t="s">
        <v>30032</v>
      </c>
      <c r="M12917" s="8" t="s">
        <v>30033</v>
      </c>
      <c r="N12917" s="8" t="s">
        <v>54098</v>
      </c>
      <c r="O12917" s="8">
        <f>20+55/60+33/3600</f>
        <v>20.925833333333333</v>
      </c>
      <c r="P12917" s="8" t="s">
        <v>54099</v>
      </c>
      <c r="Q12917" s="8">
        <f>+(47+23/60+42/3600)</f>
        <v>47.394999999999996</v>
      </c>
      <c r="R12917" s="8">
        <v>99</v>
      </c>
      <c r="S12917" s="8">
        <v>99</v>
      </c>
      <c r="T12917" s="8">
        <v>99</v>
      </c>
      <c r="U12917" s="8">
        <v>99</v>
      </c>
      <c r="V12917" s="8">
        <v>9</v>
      </c>
      <c r="W12917" s="8">
        <v>7</v>
      </c>
      <c r="Y12917" s="8" t="s">
        <v>54100</v>
      </c>
      <c r="Z12917" s="8" t="s">
        <v>54101</v>
      </c>
    </row>
    <row r="12918" spans="1:26" x14ac:dyDescent="0.2">
      <c r="A12918" s="8">
        <v>12917</v>
      </c>
      <c r="B12918" s="8" t="s">
        <v>54102</v>
      </c>
      <c r="C12918" s="8" t="s">
        <v>54102</v>
      </c>
      <c r="G12918" s="8">
        <v>20</v>
      </c>
      <c r="H12918" s="8" t="s">
        <v>21</v>
      </c>
      <c r="I12918" s="8" t="s">
        <v>22</v>
      </c>
      <c r="J12918" s="8" t="s">
        <v>22</v>
      </c>
      <c r="K12918" s="8" t="s">
        <v>42046</v>
      </c>
      <c r="L12918" s="8" t="s">
        <v>28435</v>
      </c>
      <c r="M12918" s="8" t="s">
        <v>28436</v>
      </c>
      <c r="N12918" s="8" t="s">
        <v>54103</v>
      </c>
      <c r="O12918" s="8">
        <f>21+8/60+54/3600</f>
        <v>21.148333333333333</v>
      </c>
      <c r="P12918" s="8" t="s">
        <v>54104</v>
      </c>
      <c r="Q12918" s="8">
        <f>-(73+38/60+26/3600)</f>
        <v>-73.640555555555565</v>
      </c>
      <c r="R12918" s="8">
        <v>14.9</v>
      </c>
      <c r="S12918" s="8">
        <v>15.7</v>
      </c>
      <c r="T12918" s="8">
        <v>0.8</v>
      </c>
      <c r="U12918" s="8">
        <v>13.6</v>
      </c>
      <c r="V12918" s="8">
        <v>0.6</v>
      </c>
      <c r="W12918" s="8">
        <v>0.6</v>
      </c>
      <c r="Y12918" s="8" t="s">
        <v>54105</v>
      </c>
      <c r="Z12918" s="8" t="s">
        <v>54106</v>
      </c>
    </row>
    <row r="12919" spans="1:26" x14ac:dyDescent="0.2">
      <c r="A12919" s="8">
        <v>12918</v>
      </c>
      <c r="B12919" s="8" t="s">
        <v>54107</v>
      </c>
      <c r="C12919" s="8" t="s">
        <v>54107</v>
      </c>
      <c r="G12919" s="8">
        <v>20</v>
      </c>
      <c r="H12919" s="8" t="s">
        <v>21</v>
      </c>
      <c r="I12919" s="8" t="s">
        <v>22</v>
      </c>
      <c r="J12919" s="8" t="s">
        <v>22</v>
      </c>
      <c r="K12919" s="8" t="s">
        <v>160</v>
      </c>
      <c r="L12919" s="8" t="s">
        <v>30635</v>
      </c>
      <c r="M12919" s="8" t="s">
        <v>30636</v>
      </c>
      <c r="N12919" s="8" t="s">
        <v>54108</v>
      </c>
      <c r="O12919" s="8">
        <f>21+2/60+31.2/3600</f>
        <v>21.042000000000002</v>
      </c>
      <c r="P12919" s="8" t="s">
        <v>54109</v>
      </c>
      <c r="Q12919" s="8">
        <f>-(16+49/60+6/3600)</f>
        <v>-16.818333333333332</v>
      </c>
      <c r="R12919" s="8">
        <v>12.7</v>
      </c>
      <c r="S12919" s="8">
        <v>13.6</v>
      </c>
      <c r="T12919" s="8">
        <v>0.9</v>
      </c>
      <c r="U12919" s="8">
        <v>14.2</v>
      </c>
      <c r="V12919" s="8">
        <v>4.0999999999999996</v>
      </c>
      <c r="W12919" s="8">
        <v>0.8</v>
      </c>
      <c r="X12919" s="8">
        <v>85</v>
      </c>
      <c r="Y12919" s="8" t="s">
        <v>54110</v>
      </c>
      <c r="Z12919" s="8" t="s">
        <v>54111</v>
      </c>
    </row>
    <row r="12920" spans="1:26" x14ac:dyDescent="0.2">
      <c r="A12920" s="8">
        <v>12919</v>
      </c>
      <c r="B12920" s="8" t="s">
        <v>54112</v>
      </c>
      <c r="C12920" s="8" t="s">
        <v>54112</v>
      </c>
      <c r="G12920" s="8">
        <v>20</v>
      </c>
      <c r="H12920" s="8" t="s">
        <v>21</v>
      </c>
      <c r="I12920" s="8" t="s">
        <v>329</v>
      </c>
      <c r="J12920" s="8" t="s">
        <v>329</v>
      </c>
      <c r="K12920" s="8" t="s">
        <v>329</v>
      </c>
      <c r="L12920" s="8" t="s">
        <v>30731</v>
      </c>
      <c r="M12920" s="8" t="s">
        <v>30732</v>
      </c>
      <c r="N12920" s="8" t="s">
        <v>54113</v>
      </c>
      <c r="O12920" s="8">
        <f>21+5/60+30/3600</f>
        <v>21.091666666666665</v>
      </c>
      <c r="P12920" s="8" t="s">
        <v>54114</v>
      </c>
      <c r="Q12920" s="8">
        <f>-(56+14/60+54/3600)</f>
        <v>-56.248333333333335</v>
      </c>
      <c r="R12920" s="8">
        <v>99</v>
      </c>
      <c r="S12920" s="8">
        <v>99</v>
      </c>
      <c r="T12920" s="8">
        <v>99</v>
      </c>
      <c r="U12920" s="8">
        <v>99</v>
      </c>
      <c r="Y12920" s="8" t="s">
        <v>54115</v>
      </c>
      <c r="Z12920" s="8" t="s">
        <v>54116</v>
      </c>
    </row>
    <row r="12921" spans="1:26" x14ac:dyDescent="0.2">
      <c r="A12921" s="8">
        <v>12920</v>
      </c>
      <c r="B12921" s="8" t="s">
        <v>54117</v>
      </c>
      <c r="C12921" s="8" t="s">
        <v>54117</v>
      </c>
      <c r="G12921" s="8">
        <v>20</v>
      </c>
      <c r="H12921" s="8" t="s">
        <v>21</v>
      </c>
      <c r="I12921" s="8" t="s">
        <v>22</v>
      </c>
      <c r="J12921" s="8" t="s">
        <v>22</v>
      </c>
      <c r="K12921" s="8" t="s">
        <v>1136</v>
      </c>
      <c r="L12921" s="8" t="s">
        <v>30604</v>
      </c>
      <c r="M12921" s="8" t="s">
        <v>30605</v>
      </c>
      <c r="N12921" s="8" t="s">
        <v>54118</v>
      </c>
      <c r="O12921" s="8">
        <f>21+2/60+33/3600</f>
        <v>21.0425</v>
      </c>
      <c r="P12921" s="8" t="s">
        <v>54119</v>
      </c>
      <c r="Q12921" s="8">
        <f>+(19+12/60+51/3600)</f>
        <v>19.214166666666667</v>
      </c>
      <c r="R12921" s="8">
        <v>14.4</v>
      </c>
      <c r="S12921" s="8">
        <v>15.4</v>
      </c>
      <c r="T12921" s="8">
        <v>1</v>
      </c>
      <c r="U12921" s="8">
        <v>12.7</v>
      </c>
      <c r="V12921" s="8">
        <v>0.5</v>
      </c>
      <c r="W12921" s="8">
        <v>0.4</v>
      </c>
      <c r="X12921" s="8">
        <v>45</v>
      </c>
      <c r="Y12921" s="8" t="s">
        <v>22652</v>
      </c>
      <c r="Z12921" s="8" t="s">
        <v>40770</v>
      </c>
    </row>
    <row r="12922" spans="1:26" x14ac:dyDescent="0.2">
      <c r="A12922" s="8">
        <v>12921</v>
      </c>
      <c r="B12922" s="8" t="s">
        <v>54120</v>
      </c>
      <c r="C12922" s="8" t="s">
        <v>54120</v>
      </c>
      <c r="G12922" s="8">
        <v>20</v>
      </c>
      <c r="H12922" s="8" t="s">
        <v>21</v>
      </c>
      <c r="I12922" s="8" t="s">
        <v>22</v>
      </c>
      <c r="J12922" s="8" t="s">
        <v>22</v>
      </c>
      <c r="K12922" s="8" t="s">
        <v>449</v>
      </c>
      <c r="L12922" s="8" t="s">
        <v>30604</v>
      </c>
      <c r="M12922" s="8" t="s">
        <v>30605</v>
      </c>
      <c r="N12922" s="8" t="s">
        <v>54121</v>
      </c>
      <c r="O12922" s="8">
        <f>21+3/60+1.2/3600</f>
        <v>21.050333333333334</v>
      </c>
      <c r="P12922" s="8" t="s">
        <v>54122</v>
      </c>
      <c r="Q12922" s="8">
        <f>+(19+11/60+21/3600)</f>
        <v>19.189166666666665</v>
      </c>
      <c r="R12922" s="8">
        <v>14.7</v>
      </c>
      <c r="S12922" s="8">
        <v>15.5</v>
      </c>
      <c r="T12922" s="8">
        <v>0.8</v>
      </c>
      <c r="U12922" s="8">
        <v>11.5</v>
      </c>
      <c r="V12922" s="8">
        <v>0.3</v>
      </c>
      <c r="W12922" s="8">
        <v>0.2</v>
      </c>
      <c r="X12922" s="8">
        <v>80</v>
      </c>
      <c r="Y12922" s="8" t="s">
        <v>54123</v>
      </c>
      <c r="Z12922" s="8" t="s">
        <v>54124</v>
      </c>
    </row>
    <row r="12923" spans="1:26" x14ac:dyDescent="0.2">
      <c r="A12923" s="8">
        <v>12922</v>
      </c>
      <c r="B12923" s="8" t="s">
        <v>54125</v>
      </c>
      <c r="C12923" s="8" t="s">
        <v>54125</v>
      </c>
      <c r="G12923" s="8">
        <v>20</v>
      </c>
      <c r="H12923" s="8" t="s">
        <v>21</v>
      </c>
      <c r="I12923" s="8" t="s">
        <v>22</v>
      </c>
      <c r="J12923" s="8" t="s">
        <v>57</v>
      </c>
      <c r="K12923" s="8" t="s">
        <v>1068</v>
      </c>
      <c r="L12923" s="8" t="s">
        <v>30854</v>
      </c>
      <c r="M12923" s="8" t="s">
        <v>30855</v>
      </c>
      <c r="N12923" s="8" t="s">
        <v>31127</v>
      </c>
      <c r="O12923" s="8">
        <f>21+4/60+39.4/3600</f>
        <v>21.077611111111111</v>
      </c>
      <c r="P12923" s="8" t="s">
        <v>31128</v>
      </c>
      <c r="Q12923" s="8">
        <f>-(12+20/60+16/3600)</f>
        <v>-12.337777777777779</v>
      </c>
      <c r="R12923" s="8">
        <v>13</v>
      </c>
      <c r="S12923" s="8">
        <v>14</v>
      </c>
      <c r="T12923" s="8">
        <v>1</v>
      </c>
      <c r="U12923" s="8">
        <v>13.8</v>
      </c>
      <c r="V12923" s="8">
        <v>1.9</v>
      </c>
      <c r="W12923" s="8">
        <v>1</v>
      </c>
      <c r="X12923" s="8">
        <v>36</v>
      </c>
      <c r="Y12923" s="8" t="s">
        <v>745</v>
      </c>
      <c r="Z12923" s="8" t="s">
        <v>746</v>
      </c>
    </row>
    <row r="12924" spans="1:26" x14ac:dyDescent="0.2">
      <c r="A12924" s="8">
        <v>12923</v>
      </c>
      <c r="B12924" s="8" t="s">
        <v>54126</v>
      </c>
      <c r="C12924" s="8" t="s">
        <v>54126</v>
      </c>
      <c r="G12924" s="8">
        <v>20</v>
      </c>
      <c r="H12924" s="8" t="s">
        <v>21</v>
      </c>
      <c r="I12924" s="8" t="s">
        <v>22</v>
      </c>
      <c r="J12924" s="8" t="s">
        <v>22</v>
      </c>
      <c r="K12924" s="8" t="s">
        <v>460</v>
      </c>
      <c r="L12924" s="8" t="s">
        <v>31150</v>
      </c>
      <c r="M12924" s="8" t="s">
        <v>31151</v>
      </c>
      <c r="N12924" s="8" t="s">
        <v>54127</v>
      </c>
      <c r="O12924" s="8">
        <f>21+3/60+51.5/3600</f>
        <v>21.064305555555556</v>
      </c>
      <c r="P12924" s="8" t="s">
        <v>54128</v>
      </c>
      <c r="Q12924" s="8">
        <f>+(11+45/60+50/3600)</f>
        <v>11.763888888888889</v>
      </c>
      <c r="R12924" s="8">
        <v>14.2</v>
      </c>
      <c r="S12924" s="8">
        <v>15.2</v>
      </c>
      <c r="T12924" s="8">
        <v>1</v>
      </c>
      <c r="U12924" s="8">
        <v>12.8</v>
      </c>
      <c r="V12924" s="8">
        <v>0.5</v>
      </c>
      <c r="W12924" s="8">
        <v>0.5</v>
      </c>
      <c r="Y12924" s="8" t="s">
        <v>54129</v>
      </c>
      <c r="Z12924" s="8" t="s">
        <v>54130</v>
      </c>
    </row>
    <row r="12925" spans="1:26" x14ac:dyDescent="0.2">
      <c r="A12925" s="8">
        <v>12924</v>
      </c>
      <c r="B12925" s="8" t="s">
        <v>54131</v>
      </c>
      <c r="C12925" s="8" t="s">
        <v>54131</v>
      </c>
      <c r="G12925" s="8">
        <v>20</v>
      </c>
      <c r="H12925" s="8" t="s">
        <v>21</v>
      </c>
      <c r="I12925" s="8" t="s">
        <v>22</v>
      </c>
      <c r="J12925" s="8" t="s">
        <v>22</v>
      </c>
      <c r="K12925" s="8" t="s">
        <v>218</v>
      </c>
      <c r="L12925" s="8" t="s">
        <v>28435</v>
      </c>
      <c r="M12925" s="8" t="s">
        <v>28436</v>
      </c>
      <c r="N12925" s="8" t="s">
        <v>54132</v>
      </c>
      <c r="O12925" s="8">
        <f>21+9/60+14.4/3600</f>
        <v>21.154</v>
      </c>
      <c r="P12925" s="8" t="s">
        <v>54133</v>
      </c>
      <c r="Q12925" s="8">
        <f>-(63+17/60+23/3600)</f>
        <v>-63.289722222222217</v>
      </c>
      <c r="R12925" s="8">
        <v>12</v>
      </c>
      <c r="S12925" s="8">
        <v>12.8</v>
      </c>
      <c r="T12925" s="8">
        <v>0.8</v>
      </c>
      <c r="U12925" s="8">
        <v>12.4</v>
      </c>
      <c r="V12925" s="8">
        <v>1.6</v>
      </c>
      <c r="W12925" s="8">
        <v>1</v>
      </c>
      <c r="X12925" s="8">
        <v>137</v>
      </c>
      <c r="Y12925" s="8" t="s">
        <v>54134</v>
      </c>
      <c r="Z12925" s="8" t="s">
        <v>54135</v>
      </c>
    </row>
    <row r="12926" spans="1:26" x14ac:dyDescent="0.2">
      <c r="A12926" s="8">
        <v>12925</v>
      </c>
      <c r="B12926" s="8" t="s">
        <v>54136</v>
      </c>
      <c r="C12926" s="8" t="s">
        <v>54136</v>
      </c>
      <c r="G12926" s="8">
        <v>20</v>
      </c>
      <c r="H12926" s="8" t="s">
        <v>21</v>
      </c>
      <c r="I12926" s="8" t="s">
        <v>22</v>
      </c>
      <c r="J12926" s="8" t="s">
        <v>22</v>
      </c>
      <c r="K12926" s="8" t="s">
        <v>52772</v>
      </c>
      <c r="L12926" s="8" t="s">
        <v>28435</v>
      </c>
      <c r="M12926" s="8" t="s">
        <v>28436</v>
      </c>
      <c r="N12926" s="8" t="s">
        <v>54137</v>
      </c>
      <c r="O12926" s="8">
        <f>21+13/60+27.6/3600</f>
        <v>21.22433333333333</v>
      </c>
      <c r="P12926" s="8" t="s">
        <v>54138</v>
      </c>
      <c r="Q12926" s="8">
        <f>-(74+6/60+11/3600)</f>
        <v>-74.103055555555557</v>
      </c>
      <c r="R12926" s="8">
        <v>14.5</v>
      </c>
      <c r="S12926" s="8">
        <v>15.3</v>
      </c>
      <c r="T12926" s="8">
        <v>0.8</v>
      </c>
      <c r="U12926" s="8">
        <v>13.2</v>
      </c>
      <c r="V12926" s="8">
        <v>0.6</v>
      </c>
      <c r="W12926" s="8">
        <v>0.6</v>
      </c>
      <c r="Y12926" s="8" t="s">
        <v>421</v>
      </c>
      <c r="Z12926" s="8" t="s">
        <v>422</v>
      </c>
    </row>
    <row r="12927" spans="1:26" x14ac:dyDescent="0.2">
      <c r="A12927" s="8">
        <v>12926</v>
      </c>
      <c r="B12927" s="8" t="s">
        <v>54139</v>
      </c>
      <c r="C12927" s="8" t="s">
        <v>54139</v>
      </c>
      <c r="G12927" s="8">
        <v>20</v>
      </c>
      <c r="H12927" s="8" t="s">
        <v>21</v>
      </c>
      <c r="I12927" s="8" t="s">
        <v>22</v>
      </c>
      <c r="J12927" s="8" t="s">
        <v>22</v>
      </c>
      <c r="K12927" s="8" t="s">
        <v>58</v>
      </c>
      <c r="L12927" s="8" t="s">
        <v>30738</v>
      </c>
      <c r="M12927" s="8" t="s">
        <v>30739</v>
      </c>
      <c r="N12927" s="8" t="s">
        <v>54140</v>
      </c>
      <c r="O12927" s="8">
        <f>21+8/60+32/3600</f>
        <v>21.142222222222223</v>
      </c>
      <c r="P12927" s="8" t="s">
        <v>54141</v>
      </c>
      <c r="Q12927" s="8">
        <f>-(29+46/60+8/3600)</f>
        <v>-29.768888888888888</v>
      </c>
      <c r="R12927" s="8">
        <v>12.9</v>
      </c>
      <c r="S12927" s="8">
        <v>13.8</v>
      </c>
      <c r="T12927" s="8">
        <v>0.9</v>
      </c>
      <c r="U12927" s="8">
        <v>13.6</v>
      </c>
      <c r="V12927" s="8">
        <v>1.3</v>
      </c>
      <c r="W12927" s="8">
        <v>1.3</v>
      </c>
      <c r="Y12927" s="8" t="s">
        <v>54142</v>
      </c>
      <c r="Z12927" s="8" t="s">
        <v>54143</v>
      </c>
    </row>
    <row r="12928" spans="1:26" x14ac:dyDescent="0.2">
      <c r="A12928" s="8">
        <v>12927</v>
      </c>
      <c r="B12928" s="8" t="s">
        <v>54144</v>
      </c>
      <c r="C12928" s="8" t="s">
        <v>54144</v>
      </c>
      <c r="G12928" s="8">
        <v>20</v>
      </c>
      <c r="H12928" s="8" t="s">
        <v>21</v>
      </c>
      <c r="I12928" s="8" t="s">
        <v>22</v>
      </c>
      <c r="J12928" s="8" t="s">
        <v>22</v>
      </c>
      <c r="K12928" s="8" t="s">
        <v>218</v>
      </c>
      <c r="L12928" s="8" t="s">
        <v>28435</v>
      </c>
      <c r="M12928" s="8" t="s">
        <v>28436</v>
      </c>
      <c r="N12928" s="8" t="s">
        <v>54145</v>
      </c>
      <c r="O12928" s="8">
        <f>21+14/60+21.8/3600</f>
        <v>21.23938888888889</v>
      </c>
      <c r="P12928" s="8" t="s">
        <v>54146</v>
      </c>
      <c r="Q12928" s="8">
        <f>-(73+46/60+25/3600)</f>
        <v>-73.773611111111109</v>
      </c>
      <c r="R12928" s="8">
        <v>14.2</v>
      </c>
      <c r="S12928" s="8">
        <v>15</v>
      </c>
      <c r="T12928" s="8">
        <v>0.8</v>
      </c>
      <c r="U12928" s="8">
        <v>12.7</v>
      </c>
      <c r="V12928" s="8">
        <v>0.7</v>
      </c>
      <c r="W12928" s="8">
        <v>0.4</v>
      </c>
      <c r="X12928" s="8">
        <v>104</v>
      </c>
      <c r="Y12928" s="8" t="s">
        <v>54147</v>
      </c>
      <c r="Z12928" s="8" t="s">
        <v>54148</v>
      </c>
    </row>
    <row r="12929" spans="1:26" x14ac:dyDescent="0.2">
      <c r="A12929" s="8">
        <v>12928</v>
      </c>
      <c r="B12929" s="8" t="s">
        <v>54149</v>
      </c>
      <c r="C12929" s="8" t="s">
        <v>54149</v>
      </c>
      <c r="G12929" s="8">
        <v>20</v>
      </c>
      <c r="H12929" s="8" t="s">
        <v>21</v>
      </c>
      <c r="I12929" s="8" t="s">
        <v>22</v>
      </c>
      <c r="J12929" s="8" t="s">
        <v>22</v>
      </c>
      <c r="K12929" s="8" t="s">
        <v>632</v>
      </c>
      <c r="L12929" s="8" t="s">
        <v>30635</v>
      </c>
      <c r="M12929" s="8" t="s">
        <v>30636</v>
      </c>
      <c r="N12929" s="8" t="s">
        <v>54150</v>
      </c>
      <c r="O12929" s="8">
        <f>21+9/60+26.7/3600</f>
        <v>21.157416666666666</v>
      </c>
      <c r="P12929" s="8" t="s">
        <v>54151</v>
      </c>
      <c r="Q12929" s="8">
        <f>-(22+52/60+41/3600)</f>
        <v>-22.878055555555555</v>
      </c>
      <c r="R12929" s="8">
        <v>13.2</v>
      </c>
      <c r="S12929" s="8">
        <v>14.1</v>
      </c>
      <c r="T12929" s="8">
        <v>0.9</v>
      </c>
      <c r="U12929" s="8">
        <v>13.1</v>
      </c>
      <c r="V12929" s="8">
        <v>1.2</v>
      </c>
      <c r="W12929" s="8">
        <v>1.1000000000000001</v>
      </c>
      <c r="Y12929" s="8" t="s">
        <v>27097</v>
      </c>
      <c r="Z12929" s="8" t="s">
        <v>27098</v>
      </c>
    </row>
    <row r="12930" spans="1:26" x14ac:dyDescent="0.2">
      <c r="A12930" s="8">
        <v>12929</v>
      </c>
      <c r="B12930" s="8" t="s">
        <v>54152</v>
      </c>
      <c r="C12930" s="8" t="s">
        <v>54152</v>
      </c>
      <c r="G12930" s="8">
        <v>20</v>
      </c>
      <c r="H12930" s="8" t="s">
        <v>21</v>
      </c>
      <c r="I12930" s="8" t="s">
        <v>22</v>
      </c>
      <c r="J12930" s="8" t="s">
        <v>22</v>
      </c>
      <c r="K12930" s="8" t="s">
        <v>449</v>
      </c>
      <c r="L12930" s="8" t="s">
        <v>30854</v>
      </c>
      <c r="M12930" s="8" t="s">
        <v>30855</v>
      </c>
      <c r="N12930" s="8" t="s">
        <v>54153</v>
      </c>
      <c r="O12930" s="8">
        <f>21+10/60+54.4/3600</f>
        <v>21.181777777777778</v>
      </c>
      <c r="P12930" s="8" t="s">
        <v>54154</v>
      </c>
      <c r="Q12930" s="8">
        <f>-(3+51/60+44/3600)</f>
        <v>-3.8622222222222224</v>
      </c>
      <c r="R12930" s="8">
        <v>15.2</v>
      </c>
      <c r="S12930" s="8">
        <v>16</v>
      </c>
      <c r="T12930" s="8">
        <v>0.8</v>
      </c>
      <c r="U12930" s="8">
        <v>13.4</v>
      </c>
      <c r="V12930" s="8">
        <v>0.7</v>
      </c>
      <c r="W12930" s="8">
        <v>0.3</v>
      </c>
      <c r="X12930" s="8">
        <v>35</v>
      </c>
      <c r="Y12930" s="8" t="s">
        <v>54155</v>
      </c>
      <c r="Z12930" s="8" t="s">
        <v>54156</v>
      </c>
    </row>
    <row r="12931" spans="1:26" x14ac:dyDescent="0.2">
      <c r="A12931" s="8">
        <v>12930</v>
      </c>
      <c r="B12931" s="8" t="s">
        <v>54157</v>
      </c>
      <c r="C12931" s="8" t="s">
        <v>54157</v>
      </c>
      <c r="G12931" s="8">
        <v>20</v>
      </c>
      <c r="H12931" s="8" t="s">
        <v>21</v>
      </c>
      <c r="I12931" s="8" t="s">
        <v>22</v>
      </c>
      <c r="J12931" s="8" t="s">
        <v>22</v>
      </c>
      <c r="K12931" s="8" t="s">
        <v>91</v>
      </c>
      <c r="L12931" s="8" t="s">
        <v>30854</v>
      </c>
      <c r="M12931" s="8" t="s">
        <v>30855</v>
      </c>
      <c r="N12931" s="8" t="s">
        <v>54158</v>
      </c>
      <c r="O12931" s="8">
        <f>21+11/60+30.6/3600</f>
        <v>21.191833333333335</v>
      </c>
      <c r="P12931" s="8" t="s">
        <v>54159</v>
      </c>
      <c r="Q12931" s="8">
        <f>-(2+1/60+55/3600)</f>
        <v>-2.0319444444444446</v>
      </c>
      <c r="R12931" s="8">
        <v>13.5</v>
      </c>
      <c r="S12931" s="8">
        <v>14.4</v>
      </c>
      <c r="T12931" s="8">
        <v>0.9</v>
      </c>
      <c r="U12931" s="8">
        <v>12.8</v>
      </c>
      <c r="V12931" s="8">
        <v>1.2</v>
      </c>
      <c r="W12931" s="8">
        <v>0.5</v>
      </c>
      <c r="X12931" s="8">
        <v>26</v>
      </c>
      <c r="Y12931" s="8" t="s">
        <v>26749</v>
      </c>
      <c r="Z12931" s="8" t="s">
        <v>26750</v>
      </c>
    </row>
    <row r="12932" spans="1:26" x14ac:dyDescent="0.2">
      <c r="A12932" s="8">
        <v>12931</v>
      </c>
      <c r="B12932" s="8" t="s">
        <v>54160</v>
      </c>
      <c r="C12932" s="8" t="s">
        <v>54160</v>
      </c>
      <c r="G12932" s="8">
        <v>20</v>
      </c>
      <c r="H12932" s="8" t="s">
        <v>21</v>
      </c>
      <c r="I12932" s="8" t="s">
        <v>22</v>
      </c>
      <c r="J12932" s="8" t="s">
        <v>22</v>
      </c>
      <c r="K12932" s="8" t="s">
        <v>160</v>
      </c>
      <c r="L12932" s="8" t="s">
        <v>28435</v>
      </c>
      <c r="M12932" s="8" t="s">
        <v>28436</v>
      </c>
      <c r="N12932" s="8" t="s">
        <v>54161</v>
      </c>
      <c r="O12932" s="8">
        <f>21+17/60+37.1/3600</f>
        <v>21.293638888888889</v>
      </c>
      <c r="P12932" s="8" t="s">
        <v>54162</v>
      </c>
      <c r="Q12932" s="8">
        <f>-(70+39/60+10/3600)</f>
        <v>-70.652777777777786</v>
      </c>
      <c r="R12932" s="8">
        <v>15.2</v>
      </c>
      <c r="S12932" s="8">
        <v>15.9</v>
      </c>
      <c r="T12932" s="8">
        <v>0.7</v>
      </c>
      <c r="U12932" s="8">
        <v>13.3</v>
      </c>
      <c r="V12932" s="8">
        <v>0.5</v>
      </c>
      <c r="W12932" s="8">
        <v>0.4</v>
      </c>
      <c r="Y12932" s="8" t="s">
        <v>385</v>
      </c>
      <c r="Z12932" s="8" t="s">
        <v>386</v>
      </c>
    </row>
    <row r="12933" spans="1:26" x14ac:dyDescent="0.2">
      <c r="A12933" s="8">
        <v>12932</v>
      </c>
      <c r="B12933" s="8" t="s">
        <v>54163</v>
      </c>
      <c r="C12933" s="8" t="s">
        <v>54163</v>
      </c>
      <c r="G12933" s="8">
        <v>20</v>
      </c>
      <c r="H12933" s="8" t="s">
        <v>21</v>
      </c>
      <c r="I12933" s="8" t="s">
        <v>22</v>
      </c>
      <c r="J12933" s="8" t="s">
        <v>22</v>
      </c>
      <c r="K12933" s="8" t="s">
        <v>64</v>
      </c>
      <c r="L12933" s="8" t="s">
        <v>28435</v>
      </c>
      <c r="M12933" s="8" t="s">
        <v>28436</v>
      </c>
      <c r="N12933" s="8" t="s">
        <v>54164</v>
      </c>
      <c r="O12933" s="8">
        <f>21+16/60+14.2/3600</f>
        <v>21.270611111111108</v>
      </c>
      <c r="P12933" s="8" t="s">
        <v>54165</v>
      </c>
      <c r="Q12933" s="8">
        <f>-(64+27/60+54/3600)</f>
        <v>-64.465000000000003</v>
      </c>
      <c r="R12933" s="8">
        <v>12</v>
      </c>
      <c r="S12933" s="8">
        <v>12.7</v>
      </c>
      <c r="T12933" s="8">
        <v>0.7</v>
      </c>
      <c r="U12933" s="8">
        <v>13.9</v>
      </c>
      <c r="V12933" s="8">
        <v>2.9</v>
      </c>
      <c r="W12933" s="8">
        <v>2.2999999999999998</v>
      </c>
      <c r="X12933" s="8">
        <v>8</v>
      </c>
      <c r="Y12933" s="8" t="s">
        <v>54166</v>
      </c>
      <c r="Z12933" s="8" t="s">
        <v>54167</v>
      </c>
    </row>
    <row r="12934" spans="1:26" x14ac:dyDescent="0.2">
      <c r="A12934" s="8">
        <v>12933</v>
      </c>
      <c r="B12934" s="8" t="s">
        <v>54168</v>
      </c>
      <c r="C12934" s="8" t="s">
        <v>54168</v>
      </c>
      <c r="G12934" s="8">
        <v>20</v>
      </c>
      <c r="H12934" s="8" t="s">
        <v>21</v>
      </c>
      <c r="I12934" s="8" t="s">
        <v>22</v>
      </c>
      <c r="J12934" s="8" t="s">
        <v>22</v>
      </c>
      <c r="K12934" s="8" t="s">
        <v>449</v>
      </c>
      <c r="L12934" s="8" t="s">
        <v>28435</v>
      </c>
      <c r="M12934" s="8" t="s">
        <v>28436</v>
      </c>
      <c r="N12934" s="8" t="s">
        <v>54169</v>
      </c>
      <c r="O12934" s="8">
        <f>21+18/60+46.4/3600</f>
        <v>21.312888888888889</v>
      </c>
      <c r="P12934" s="8" t="s">
        <v>54170</v>
      </c>
      <c r="Q12934" s="8">
        <f>-(70+37/60+20/3600)</f>
        <v>-70.62222222222222</v>
      </c>
      <c r="R12934" s="8">
        <v>15.2</v>
      </c>
      <c r="S12934" s="8">
        <v>16</v>
      </c>
      <c r="T12934" s="8">
        <v>0.8</v>
      </c>
      <c r="U12934" s="8">
        <v>13.4</v>
      </c>
      <c r="V12934" s="8">
        <v>0.7</v>
      </c>
      <c r="W12934" s="8">
        <v>0.3</v>
      </c>
      <c r="X12934" s="8">
        <v>125</v>
      </c>
      <c r="Y12934" s="8" t="s">
        <v>54171</v>
      </c>
      <c r="Z12934" s="8" t="s">
        <v>54172</v>
      </c>
    </row>
    <row r="12935" spans="1:26" x14ac:dyDescent="0.2">
      <c r="A12935" s="8">
        <v>12934</v>
      </c>
      <c r="B12935" s="8" t="s">
        <v>54173</v>
      </c>
      <c r="C12935" s="8" t="s">
        <v>54173</v>
      </c>
      <c r="G12935" s="8">
        <v>20</v>
      </c>
      <c r="H12935" s="8" t="s">
        <v>21</v>
      </c>
      <c r="I12935" s="8" t="s">
        <v>22</v>
      </c>
      <c r="J12935" s="8" t="s">
        <v>22</v>
      </c>
      <c r="K12935" s="8" t="s">
        <v>64</v>
      </c>
      <c r="L12935" s="8" t="s">
        <v>28435</v>
      </c>
      <c r="M12935" s="8" t="s">
        <v>28436</v>
      </c>
      <c r="N12935" s="8" t="s">
        <v>54174</v>
      </c>
      <c r="O12935" s="8">
        <f>21+17/60+49.4/3600</f>
        <v>21.297055555555556</v>
      </c>
      <c r="P12935" s="8" t="s">
        <v>54175</v>
      </c>
      <c r="Q12935" s="8">
        <f>-(66+25/60+40/3600)</f>
        <v>-66.427777777777777</v>
      </c>
      <c r="R12935" s="8">
        <v>13.8</v>
      </c>
      <c r="S12935" s="8">
        <v>14.5</v>
      </c>
      <c r="T12935" s="8">
        <v>0.7</v>
      </c>
      <c r="U12935" s="8">
        <v>13.1</v>
      </c>
      <c r="V12935" s="8">
        <v>1</v>
      </c>
      <c r="W12935" s="8">
        <v>0.6</v>
      </c>
      <c r="X12935" s="8">
        <v>148</v>
      </c>
      <c r="Y12935" s="8" t="s">
        <v>54176</v>
      </c>
      <c r="Z12935" s="8" t="s">
        <v>54177</v>
      </c>
    </row>
    <row r="12936" spans="1:26" x14ac:dyDescent="0.2">
      <c r="A12936" s="8">
        <v>12935</v>
      </c>
      <c r="B12936" s="8" t="s">
        <v>54178</v>
      </c>
      <c r="C12936" s="8" t="s">
        <v>54178</v>
      </c>
      <c r="G12936" s="8">
        <v>20</v>
      </c>
      <c r="H12936" s="8" t="s">
        <v>21</v>
      </c>
      <c r="I12936" s="8" t="s">
        <v>22</v>
      </c>
      <c r="J12936" s="8" t="s">
        <v>22</v>
      </c>
      <c r="K12936" s="8" t="s">
        <v>160</v>
      </c>
      <c r="L12936" s="8" t="s">
        <v>28435</v>
      </c>
      <c r="M12936" s="8" t="s">
        <v>28436</v>
      </c>
      <c r="N12936" s="8" t="s">
        <v>54179</v>
      </c>
      <c r="O12936" s="8">
        <f>21+17/60+22/3600</f>
        <v>21.289444444444445</v>
      </c>
      <c r="P12936" s="8" t="s">
        <v>54180</v>
      </c>
      <c r="Q12936" s="8">
        <f>-(59+56/60+51/3600)</f>
        <v>-59.947499999999998</v>
      </c>
      <c r="R12936" s="8">
        <v>14.7</v>
      </c>
      <c r="S12936" s="8">
        <v>15.4</v>
      </c>
      <c r="T12936" s="8">
        <v>0.7</v>
      </c>
      <c r="U12936" s="8">
        <v>13.4</v>
      </c>
      <c r="V12936" s="8">
        <v>0.9</v>
      </c>
      <c r="W12936" s="8">
        <v>0.4</v>
      </c>
      <c r="X12936" s="8">
        <v>70</v>
      </c>
      <c r="Y12936" s="8" t="s">
        <v>54181</v>
      </c>
      <c r="Z12936" s="8" t="s">
        <v>54182</v>
      </c>
    </row>
    <row r="12937" spans="1:26" x14ac:dyDescent="0.2">
      <c r="A12937" s="8">
        <v>12936</v>
      </c>
      <c r="B12937" s="8" t="s">
        <v>54183</v>
      </c>
      <c r="C12937" s="8" t="s">
        <v>54183</v>
      </c>
      <c r="G12937" s="8">
        <v>20</v>
      </c>
      <c r="H12937" s="8" t="s">
        <v>21</v>
      </c>
      <c r="I12937" s="8" t="s">
        <v>22</v>
      </c>
      <c r="J12937" s="8" t="s">
        <v>22</v>
      </c>
      <c r="K12937" s="8" t="s">
        <v>396</v>
      </c>
      <c r="L12937" s="8" t="s">
        <v>28435</v>
      </c>
      <c r="M12937" s="8" t="s">
        <v>28436</v>
      </c>
      <c r="N12937" s="8" t="s">
        <v>54184</v>
      </c>
      <c r="O12937" s="8">
        <f>21+18/60+21.5/3600</f>
        <v>21.305972222222223</v>
      </c>
      <c r="P12937" s="8" t="s">
        <v>9027</v>
      </c>
      <c r="Q12937" s="8">
        <f>-(63+45/60+39/3600)</f>
        <v>-63.760833333333331</v>
      </c>
      <c r="R12937" s="8">
        <v>12.3</v>
      </c>
      <c r="S12937" s="8">
        <v>13.1</v>
      </c>
      <c r="T12937" s="8">
        <v>0.8</v>
      </c>
      <c r="U12937" s="8">
        <v>12.6</v>
      </c>
      <c r="V12937" s="8">
        <v>3.2</v>
      </c>
      <c r="W12937" s="8">
        <v>0.5</v>
      </c>
      <c r="X12937" s="8">
        <v>148</v>
      </c>
      <c r="Y12937" s="8" t="s">
        <v>54185</v>
      </c>
      <c r="Z12937" s="8" t="s">
        <v>54186</v>
      </c>
    </row>
    <row r="12938" spans="1:26" x14ac:dyDescent="0.2">
      <c r="A12938" s="8">
        <v>12937</v>
      </c>
      <c r="B12938" s="8" t="s">
        <v>54187</v>
      </c>
      <c r="C12938" s="8" t="s">
        <v>54187</v>
      </c>
      <c r="G12938" s="8">
        <v>20</v>
      </c>
      <c r="H12938" s="8" t="s">
        <v>21</v>
      </c>
      <c r="I12938" s="8" t="s">
        <v>72</v>
      </c>
      <c r="J12938" s="8" t="s">
        <v>72</v>
      </c>
      <c r="K12938" s="8" t="s">
        <v>5802</v>
      </c>
      <c r="L12938" s="8" t="s">
        <v>31150</v>
      </c>
      <c r="M12938" s="8" t="s">
        <v>31151</v>
      </c>
      <c r="N12938" s="8" t="s">
        <v>54188</v>
      </c>
      <c r="O12938" s="8">
        <f>21+14/60+58/3600</f>
        <v>21.249444444444446</v>
      </c>
      <c r="P12938" s="8" t="s">
        <v>54189</v>
      </c>
      <c r="Q12938" s="8">
        <f>+(4+28/60+0/3600)</f>
        <v>4.4666666666666668</v>
      </c>
      <c r="R12938" s="8">
        <v>99</v>
      </c>
      <c r="S12938" s="8">
        <v>99</v>
      </c>
      <c r="T12938" s="8">
        <v>99</v>
      </c>
      <c r="U12938" s="8">
        <v>99</v>
      </c>
      <c r="Y12938" s="8" t="s">
        <v>54190</v>
      </c>
      <c r="Z12938" s="8" t="s">
        <v>54191</v>
      </c>
    </row>
    <row r="12939" spans="1:26" x14ac:dyDescent="0.2">
      <c r="A12939" s="8">
        <v>12938</v>
      </c>
      <c r="B12939" s="8" t="s">
        <v>54192</v>
      </c>
      <c r="C12939" s="8" t="s">
        <v>54192</v>
      </c>
      <c r="G12939" s="8">
        <v>20</v>
      </c>
      <c r="H12939" s="8" t="s">
        <v>21</v>
      </c>
      <c r="I12939" s="8" t="s">
        <v>72</v>
      </c>
      <c r="J12939" s="8" t="s">
        <v>72</v>
      </c>
      <c r="K12939" s="8" t="s">
        <v>73</v>
      </c>
      <c r="L12939" s="8" t="s">
        <v>31150</v>
      </c>
      <c r="M12939" s="8" t="s">
        <v>31151</v>
      </c>
      <c r="N12939" s="8" t="s">
        <v>54193</v>
      </c>
      <c r="O12939" s="8">
        <f>21+15/60+1.3/3600</f>
        <v>21.250361111111111</v>
      </c>
      <c r="P12939" s="8" t="s">
        <v>54194</v>
      </c>
      <c r="Q12939" s="8">
        <f>+(4+29/60+39/3600)</f>
        <v>4.4941666666666666</v>
      </c>
      <c r="R12939" s="8">
        <v>99</v>
      </c>
      <c r="S12939" s="8">
        <v>99</v>
      </c>
      <c r="T12939" s="8">
        <v>99</v>
      </c>
      <c r="U12939" s="8">
        <v>99</v>
      </c>
      <c r="Y12939" s="8" t="s">
        <v>54195</v>
      </c>
      <c r="Z12939" s="8" t="s">
        <v>54196</v>
      </c>
    </row>
    <row r="12940" spans="1:26" x14ac:dyDescent="0.2">
      <c r="A12940" s="8">
        <v>12939</v>
      </c>
      <c r="B12940" s="8" t="s">
        <v>54197</v>
      </c>
      <c r="C12940" s="8" t="s">
        <v>54197</v>
      </c>
      <c r="G12940" s="8">
        <v>20</v>
      </c>
      <c r="H12940" s="8" t="s">
        <v>21</v>
      </c>
      <c r="I12940" s="8" t="s">
        <v>22</v>
      </c>
      <c r="J12940" s="8" t="s">
        <v>22</v>
      </c>
      <c r="K12940" s="8" t="s">
        <v>449</v>
      </c>
      <c r="L12940" s="8" t="s">
        <v>28435</v>
      </c>
      <c r="M12940" s="8" t="s">
        <v>28436</v>
      </c>
      <c r="N12940" s="8" t="s">
        <v>54198</v>
      </c>
      <c r="O12940" s="8">
        <f>21+21/60+49.1/3600</f>
        <v>21.36363888888889</v>
      </c>
      <c r="P12940" s="8" t="s">
        <v>54199</v>
      </c>
      <c r="Q12940" s="8">
        <f>-(70+58/60+58/3600)</f>
        <v>-70.982777777777784</v>
      </c>
      <c r="R12940" s="8">
        <v>14.6</v>
      </c>
      <c r="S12940" s="8">
        <v>15.4</v>
      </c>
      <c r="T12940" s="8">
        <v>0.8</v>
      </c>
      <c r="U12940" s="8">
        <v>13.1</v>
      </c>
      <c r="V12940" s="8">
        <v>0.7</v>
      </c>
      <c r="W12940" s="8">
        <v>0.4</v>
      </c>
      <c r="X12940" s="8">
        <v>7</v>
      </c>
      <c r="Y12940" s="8" t="s">
        <v>54200</v>
      </c>
      <c r="Z12940" s="8" t="s">
        <v>54201</v>
      </c>
    </row>
    <row r="12941" spans="1:26" x14ac:dyDescent="0.2">
      <c r="A12941" s="8">
        <v>12940</v>
      </c>
      <c r="B12941" s="8" t="s">
        <v>54202</v>
      </c>
      <c r="C12941" s="8" t="s">
        <v>54202</v>
      </c>
      <c r="G12941" s="8">
        <v>20</v>
      </c>
      <c r="H12941" s="8" t="s">
        <v>21</v>
      </c>
      <c r="I12941" s="8" t="s">
        <v>22</v>
      </c>
      <c r="J12941" s="8" t="s">
        <v>22</v>
      </c>
      <c r="K12941" s="8" t="s">
        <v>64</v>
      </c>
      <c r="L12941" s="8" t="s">
        <v>28435</v>
      </c>
      <c r="M12941" s="8" t="s">
        <v>28436</v>
      </c>
      <c r="N12941" s="8" t="s">
        <v>54203</v>
      </c>
      <c r="O12941" s="8">
        <f>21+21/60+43.4/3600</f>
        <v>21.362055555555557</v>
      </c>
      <c r="P12941" s="8" t="s">
        <v>54204</v>
      </c>
      <c r="Q12941" s="8">
        <f>-(65+55/60+59/3600)</f>
        <v>-65.933055555555555</v>
      </c>
      <c r="R12941" s="8">
        <v>13.9</v>
      </c>
      <c r="S12941" s="8">
        <v>14.6</v>
      </c>
      <c r="T12941" s="8">
        <v>0.7</v>
      </c>
      <c r="U12941" s="8">
        <v>13.5</v>
      </c>
      <c r="V12941" s="8">
        <v>1.9</v>
      </c>
      <c r="W12941" s="8">
        <v>0.4</v>
      </c>
      <c r="X12941" s="8">
        <v>114</v>
      </c>
      <c r="Y12941" s="8" t="s">
        <v>54205</v>
      </c>
      <c r="Z12941" s="8" t="s">
        <v>54206</v>
      </c>
    </row>
    <row r="12942" spans="1:26" x14ac:dyDescent="0.2">
      <c r="A12942" s="8">
        <v>12941</v>
      </c>
      <c r="B12942" s="8" t="s">
        <v>54207</v>
      </c>
      <c r="C12942" s="8" t="s">
        <v>54207</v>
      </c>
      <c r="G12942" s="8">
        <v>20</v>
      </c>
      <c r="H12942" s="8" t="s">
        <v>21</v>
      </c>
      <c r="I12942" s="8" t="s">
        <v>22</v>
      </c>
      <c r="J12942" s="8" t="s">
        <v>22</v>
      </c>
      <c r="K12942" s="8" t="s">
        <v>85</v>
      </c>
      <c r="L12942" s="8" t="s">
        <v>28435</v>
      </c>
      <c r="M12942" s="8" t="s">
        <v>28436</v>
      </c>
      <c r="N12942" s="8" t="s">
        <v>54208</v>
      </c>
      <c r="O12942" s="8">
        <f>21+21/60+55.9/3600</f>
        <v>21.365527777777778</v>
      </c>
      <c r="P12942" s="8" t="s">
        <v>54209</v>
      </c>
      <c r="Q12942" s="8">
        <f>-(65+50/60+9/3600)</f>
        <v>-65.835833333333326</v>
      </c>
      <c r="R12942" s="8">
        <v>13.3</v>
      </c>
      <c r="S12942" s="8">
        <v>13.9</v>
      </c>
      <c r="T12942" s="8">
        <v>0.6</v>
      </c>
      <c r="U12942" s="8">
        <v>13.3</v>
      </c>
      <c r="V12942" s="8">
        <v>1.3</v>
      </c>
      <c r="W12942" s="8">
        <v>0.9</v>
      </c>
      <c r="X12942" s="8">
        <v>0</v>
      </c>
      <c r="Y12942" s="8" t="s">
        <v>54210</v>
      </c>
      <c r="Z12942" s="8" t="s">
        <v>54211</v>
      </c>
    </row>
    <row r="12943" spans="1:26" x14ac:dyDescent="0.2">
      <c r="A12943" s="8">
        <v>12942</v>
      </c>
      <c r="B12943" s="8" t="s">
        <v>54212</v>
      </c>
      <c r="C12943" s="8" t="s">
        <v>54212</v>
      </c>
      <c r="G12943" s="8">
        <v>20</v>
      </c>
      <c r="H12943" s="8" t="s">
        <v>21</v>
      </c>
      <c r="I12943" s="8" t="s">
        <v>22</v>
      </c>
      <c r="J12943" s="8" t="s">
        <v>22</v>
      </c>
      <c r="K12943" s="8" t="s">
        <v>37</v>
      </c>
      <c r="L12943" s="8" t="s">
        <v>28435</v>
      </c>
      <c r="M12943" s="8" t="s">
        <v>28436</v>
      </c>
      <c r="N12943" s="8" t="s">
        <v>54213</v>
      </c>
      <c r="O12943" s="8">
        <f>21+26/60+13.4/3600</f>
        <v>21.437055555555556</v>
      </c>
      <c r="P12943" s="8" t="s">
        <v>54214</v>
      </c>
      <c r="Q12943" s="8">
        <f>-(73+18/60+36/3600)</f>
        <v>-73.31</v>
      </c>
      <c r="R12943" s="8">
        <v>13.8</v>
      </c>
      <c r="S12943" s="8">
        <v>14.8</v>
      </c>
      <c r="T12943" s="8">
        <v>1</v>
      </c>
      <c r="U12943" s="8">
        <v>13.2</v>
      </c>
      <c r="V12943" s="8">
        <v>0.9</v>
      </c>
      <c r="W12943" s="8">
        <v>0.7</v>
      </c>
      <c r="X12943" s="8">
        <v>124</v>
      </c>
      <c r="Y12943" s="8" t="s">
        <v>33077</v>
      </c>
      <c r="Z12943" s="8" t="s">
        <v>33078</v>
      </c>
    </row>
    <row r="12944" spans="1:26" x14ac:dyDescent="0.2">
      <c r="A12944" s="8">
        <v>12943</v>
      </c>
      <c r="B12944" s="8" t="s">
        <v>54215</v>
      </c>
      <c r="C12944" s="8" t="s">
        <v>54215</v>
      </c>
      <c r="G12944" s="8">
        <v>20</v>
      </c>
      <c r="H12944" s="8" t="s">
        <v>21</v>
      </c>
      <c r="I12944" s="8" t="s">
        <v>22</v>
      </c>
      <c r="J12944" s="8" t="s">
        <v>22</v>
      </c>
      <c r="K12944" s="8" t="s">
        <v>64</v>
      </c>
      <c r="L12944" s="8" t="s">
        <v>28435</v>
      </c>
      <c r="M12944" s="8" t="s">
        <v>28436</v>
      </c>
      <c r="N12944" s="8" t="s">
        <v>54216</v>
      </c>
      <c r="O12944" s="8">
        <f>21+29/60+13.4/3600</f>
        <v>21.487055555555557</v>
      </c>
      <c r="P12944" s="8" t="s">
        <v>54217</v>
      </c>
      <c r="Q12944" s="8">
        <f>-(74+4/60+10/3600)</f>
        <v>-74.069444444444443</v>
      </c>
      <c r="R12944" s="8">
        <v>14.1</v>
      </c>
      <c r="S12944" s="8">
        <v>14.8</v>
      </c>
      <c r="T12944" s="8">
        <v>0.7</v>
      </c>
      <c r="U12944" s="8">
        <v>13</v>
      </c>
      <c r="V12944" s="8">
        <v>0.8</v>
      </c>
      <c r="W12944" s="8">
        <v>0.5</v>
      </c>
      <c r="X12944" s="8">
        <v>33</v>
      </c>
      <c r="Y12944" s="8" t="s">
        <v>385</v>
      </c>
      <c r="Z12944" s="8" t="s">
        <v>386</v>
      </c>
    </row>
    <row r="12945" spans="1:26" x14ac:dyDescent="0.2">
      <c r="A12945" s="8">
        <v>12944</v>
      </c>
      <c r="B12945" s="8" t="s">
        <v>54218</v>
      </c>
      <c r="C12945" s="8" t="s">
        <v>54218</v>
      </c>
      <c r="G12945" s="8">
        <v>20</v>
      </c>
      <c r="H12945" s="8" t="s">
        <v>21</v>
      </c>
      <c r="I12945" s="8" t="s">
        <v>22</v>
      </c>
      <c r="J12945" s="8" t="s">
        <v>22</v>
      </c>
      <c r="K12945" s="8" t="s">
        <v>406</v>
      </c>
      <c r="L12945" s="8" t="s">
        <v>24</v>
      </c>
      <c r="M12945" s="8" t="s">
        <v>25</v>
      </c>
      <c r="N12945" s="8" t="s">
        <v>54219</v>
      </c>
      <c r="O12945" s="8">
        <f>21+21/60+29.3/3600</f>
        <v>21.358138888888892</v>
      </c>
      <c r="P12945" s="8" t="s">
        <v>54220</v>
      </c>
      <c r="Q12945" s="8">
        <f>+(21+14/60+29/3600)</f>
        <v>21.241388888888888</v>
      </c>
      <c r="R12945" s="8">
        <v>13.4</v>
      </c>
      <c r="S12945" s="8">
        <v>14.2</v>
      </c>
      <c r="T12945" s="8">
        <v>0.8</v>
      </c>
      <c r="U12945" s="8">
        <v>12.7</v>
      </c>
      <c r="V12945" s="8">
        <v>1.6</v>
      </c>
      <c r="W12945" s="8">
        <v>0.4</v>
      </c>
      <c r="X12945" s="8">
        <v>173</v>
      </c>
      <c r="Y12945" s="8" t="s">
        <v>54221</v>
      </c>
      <c r="Z12945" s="8" t="s">
        <v>54222</v>
      </c>
    </row>
    <row r="12946" spans="1:26" x14ac:dyDescent="0.2">
      <c r="A12946" s="8">
        <v>12945</v>
      </c>
      <c r="B12946" s="8" t="s">
        <v>54223</v>
      </c>
      <c r="C12946" s="8" t="s">
        <v>54223</v>
      </c>
      <c r="G12946" s="8">
        <v>13</v>
      </c>
      <c r="H12946" s="8" t="s">
        <v>21</v>
      </c>
      <c r="I12946" s="8" t="s">
        <v>22</v>
      </c>
      <c r="J12946" s="8" t="s">
        <v>22</v>
      </c>
      <c r="K12946" s="8" t="s">
        <v>382</v>
      </c>
      <c r="L12946" s="8" t="s">
        <v>30738</v>
      </c>
      <c r="M12946" s="8" t="s">
        <v>30739</v>
      </c>
      <c r="N12946" s="8" t="s">
        <v>54224</v>
      </c>
      <c r="O12946" s="8">
        <f>21+24/60+21.9/3600</f>
        <v>21.406083333333331</v>
      </c>
      <c r="P12946" s="8" t="s">
        <v>54225</v>
      </c>
      <c r="Q12946" s="8">
        <f>-(40+32/60+18/3600)</f>
        <v>-40.538333333333334</v>
      </c>
      <c r="R12946" s="8">
        <v>11.6</v>
      </c>
      <c r="S12946" s="8">
        <v>12.6</v>
      </c>
      <c r="T12946" s="8">
        <v>1</v>
      </c>
      <c r="U12946" s="8">
        <v>13.2</v>
      </c>
      <c r="V12946" s="8">
        <v>1.9</v>
      </c>
      <c r="W12946" s="8">
        <v>1.3</v>
      </c>
      <c r="X12946" s="8">
        <v>40</v>
      </c>
      <c r="Y12946" s="8" t="s">
        <v>54226</v>
      </c>
      <c r="Z12946" s="8" t="s">
        <v>54227</v>
      </c>
    </row>
    <row r="12947" spans="1:26" x14ac:dyDescent="0.2">
      <c r="A12947" s="8">
        <v>12946</v>
      </c>
      <c r="B12947" s="8" t="s">
        <v>54228</v>
      </c>
      <c r="C12947" s="8" t="s">
        <v>54228</v>
      </c>
      <c r="G12947" s="8">
        <v>20</v>
      </c>
      <c r="H12947" s="8" t="s">
        <v>21</v>
      </c>
      <c r="I12947" s="8" t="s">
        <v>22</v>
      </c>
      <c r="J12947" s="8" t="s">
        <v>22</v>
      </c>
      <c r="K12947" s="8" t="s">
        <v>118</v>
      </c>
      <c r="L12947" s="8" t="s">
        <v>28435</v>
      </c>
      <c r="M12947" s="8" t="s">
        <v>28436</v>
      </c>
      <c r="N12947" s="8" t="s">
        <v>54229</v>
      </c>
      <c r="O12947" s="8">
        <f>21+28/60+37.9/3600</f>
        <v>21.477194444444443</v>
      </c>
      <c r="P12947" s="8" t="s">
        <v>54230</v>
      </c>
      <c r="Q12947" s="8">
        <f>-(70+50/60+5/3600)</f>
        <v>-70.834722222222211</v>
      </c>
      <c r="R12947" s="8">
        <v>12.9</v>
      </c>
      <c r="S12947" s="8">
        <v>13.9</v>
      </c>
      <c r="T12947" s="8">
        <v>1</v>
      </c>
      <c r="U12947" s="8">
        <v>13.1</v>
      </c>
      <c r="V12947" s="8">
        <v>1.4</v>
      </c>
      <c r="W12947" s="8">
        <v>0.9</v>
      </c>
      <c r="X12947" s="8">
        <v>143</v>
      </c>
      <c r="Y12947" s="8" t="s">
        <v>2641</v>
      </c>
      <c r="Z12947" s="8" t="s">
        <v>2642</v>
      </c>
    </row>
    <row r="12948" spans="1:26" x14ac:dyDescent="0.2">
      <c r="A12948" s="8">
        <v>12947</v>
      </c>
      <c r="B12948" s="8" t="s">
        <v>54231</v>
      </c>
      <c r="C12948" s="8" t="s">
        <v>54231</v>
      </c>
      <c r="G12948" s="8">
        <v>20</v>
      </c>
      <c r="H12948" s="8" t="s">
        <v>21</v>
      </c>
      <c r="I12948" s="8" t="s">
        <v>22</v>
      </c>
      <c r="J12948" s="8" t="s">
        <v>22</v>
      </c>
      <c r="K12948" s="8" t="s">
        <v>42046</v>
      </c>
      <c r="L12948" s="8" t="s">
        <v>28435</v>
      </c>
      <c r="M12948" s="8" t="s">
        <v>28436</v>
      </c>
      <c r="N12948" s="8" t="s">
        <v>54232</v>
      </c>
      <c r="O12948" s="8">
        <f>21+28/60+14.8/3600</f>
        <v>21.470777777777776</v>
      </c>
      <c r="P12948" s="8" t="s">
        <v>54233</v>
      </c>
      <c r="Q12948" s="8">
        <f>-(65+44/60+7/3600)</f>
        <v>-65.735277777777782</v>
      </c>
      <c r="R12948" s="8">
        <v>14.4</v>
      </c>
      <c r="S12948" s="8">
        <v>15.2</v>
      </c>
      <c r="T12948" s="8">
        <v>0.8</v>
      </c>
      <c r="U12948" s="8">
        <v>13.3</v>
      </c>
      <c r="V12948" s="8">
        <v>1</v>
      </c>
      <c r="W12948" s="8">
        <v>0.4</v>
      </c>
      <c r="X12948" s="8">
        <v>5</v>
      </c>
      <c r="Y12948" s="8" t="s">
        <v>54234</v>
      </c>
      <c r="Z12948" s="8" t="s">
        <v>54235</v>
      </c>
    </row>
    <row r="12949" spans="1:26" x14ac:dyDescent="0.2">
      <c r="A12949" s="8">
        <v>12948</v>
      </c>
      <c r="B12949" s="8" t="s">
        <v>54236</v>
      </c>
      <c r="C12949" s="8" t="s">
        <v>54236</v>
      </c>
      <c r="G12949" s="8">
        <v>20</v>
      </c>
      <c r="H12949" s="8" t="s">
        <v>21</v>
      </c>
      <c r="I12949" s="8" t="s">
        <v>22</v>
      </c>
      <c r="J12949" s="8" t="s">
        <v>22</v>
      </c>
      <c r="K12949" s="8" t="s">
        <v>64</v>
      </c>
      <c r="L12949" s="8" t="s">
        <v>30731</v>
      </c>
      <c r="M12949" s="8" t="s">
        <v>30732</v>
      </c>
      <c r="N12949" s="8" t="s">
        <v>54237</v>
      </c>
      <c r="O12949" s="8">
        <f>21+32/60+51.1/3600</f>
        <v>21.54752777777778</v>
      </c>
      <c r="P12949" s="8" t="s">
        <v>54238</v>
      </c>
      <c r="Q12949" s="8">
        <f>-(72+39/60+33/3600)</f>
        <v>-72.659166666666678</v>
      </c>
      <c r="R12949" s="8">
        <v>14.4</v>
      </c>
      <c r="S12949" s="8">
        <v>15.1</v>
      </c>
      <c r="T12949" s="8">
        <v>0.7</v>
      </c>
      <c r="U12949" s="8">
        <v>13.5</v>
      </c>
      <c r="V12949" s="8">
        <v>1.2</v>
      </c>
      <c r="W12949" s="8">
        <v>0.4</v>
      </c>
      <c r="X12949" s="8">
        <v>101</v>
      </c>
      <c r="Y12949" s="8" t="s">
        <v>54239</v>
      </c>
      <c r="Z12949" s="8" t="s">
        <v>54240</v>
      </c>
    </row>
    <row r="12950" spans="1:26" x14ac:dyDescent="0.2">
      <c r="A12950" s="8">
        <v>12949</v>
      </c>
      <c r="B12950" s="8" t="s">
        <v>54241</v>
      </c>
      <c r="C12950" s="8" t="s">
        <v>54241</v>
      </c>
      <c r="G12950" s="8">
        <v>20</v>
      </c>
      <c r="H12950" s="8" t="s">
        <v>21</v>
      </c>
      <c r="I12950" s="8" t="s">
        <v>22</v>
      </c>
      <c r="J12950" s="8" t="s">
        <v>22</v>
      </c>
      <c r="K12950" s="8" t="s">
        <v>1136</v>
      </c>
      <c r="L12950" s="8" t="s">
        <v>30731</v>
      </c>
      <c r="M12950" s="8" t="s">
        <v>30732</v>
      </c>
      <c r="N12950" s="8" t="s">
        <v>54242</v>
      </c>
      <c r="O12950" s="8">
        <f>21+33/60+42.7/3600</f>
        <v>21.561861111111114</v>
      </c>
      <c r="P12950" s="8" t="s">
        <v>54243</v>
      </c>
      <c r="Q12950" s="8">
        <f>-(74+6/60+42/3600)</f>
        <v>-74.111666666666665</v>
      </c>
      <c r="R12950" s="8">
        <v>13.6</v>
      </c>
      <c r="S12950" s="8">
        <v>14.6</v>
      </c>
      <c r="T12950" s="8">
        <v>1</v>
      </c>
      <c r="U12950" s="8">
        <v>12.9</v>
      </c>
      <c r="V12950" s="8">
        <v>0.9</v>
      </c>
      <c r="W12950" s="8">
        <v>0.7</v>
      </c>
      <c r="X12950" s="8">
        <v>174</v>
      </c>
      <c r="Y12950" s="8" t="s">
        <v>36198</v>
      </c>
      <c r="Z12950" s="8" t="s">
        <v>36199</v>
      </c>
    </row>
    <row r="12951" spans="1:26" x14ac:dyDescent="0.2">
      <c r="A12951" s="8">
        <v>12950</v>
      </c>
      <c r="B12951" s="8" t="s">
        <v>54244</v>
      </c>
      <c r="C12951" s="8" t="s">
        <v>54244</v>
      </c>
      <c r="G12951" s="8">
        <v>20</v>
      </c>
      <c r="H12951" s="8" t="s">
        <v>21</v>
      </c>
      <c r="I12951" s="8" t="s">
        <v>22</v>
      </c>
      <c r="J12951" s="8" t="s">
        <v>22</v>
      </c>
      <c r="K12951" s="8" t="s">
        <v>37986</v>
      </c>
      <c r="L12951" s="8" t="s">
        <v>30731</v>
      </c>
      <c r="M12951" s="8" t="s">
        <v>30732</v>
      </c>
      <c r="N12951" s="8" t="s">
        <v>54245</v>
      </c>
      <c r="O12951" s="8">
        <f>21+30/60+43.5/3600</f>
        <v>21.512083333333333</v>
      </c>
      <c r="P12951" s="8" t="s">
        <v>54246</v>
      </c>
      <c r="Q12951" s="8">
        <f>-(60+0/60+7/3600)</f>
        <v>-60.001944444444447</v>
      </c>
      <c r="R12951" s="8">
        <v>13.1</v>
      </c>
      <c r="S12951" s="8">
        <v>13.9</v>
      </c>
      <c r="T12951" s="8">
        <v>0.8</v>
      </c>
      <c r="U12951" s="8">
        <v>13.4</v>
      </c>
      <c r="V12951" s="8">
        <v>1.4</v>
      </c>
      <c r="W12951" s="8">
        <v>1.1000000000000001</v>
      </c>
      <c r="X12951" s="8">
        <v>49</v>
      </c>
      <c r="Y12951" s="8" t="s">
        <v>47890</v>
      </c>
      <c r="Z12951" s="8" t="s">
        <v>47891</v>
      </c>
    </row>
    <row r="12952" spans="1:26" x14ac:dyDescent="0.2">
      <c r="A12952" s="8">
        <v>12951</v>
      </c>
      <c r="B12952" s="8" t="s">
        <v>54247</v>
      </c>
      <c r="C12952" s="8" t="s">
        <v>54247</v>
      </c>
      <c r="G12952" s="8">
        <v>20</v>
      </c>
      <c r="H12952" s="8" t="s">
        <v>21</v>
      </c>
      <c r="I12952" s="8" t="s">
        <v>22</v>
      </c>
      <c r="J12952" s="8" t="s">
        <v>22</v>
      </c>
      <c r="K12952" s="8" t="s">
        <v>476</v>
      </c>
      <c r="L12952" s="8" t="s">
        <v>30854</v>
      </c>
      <c r="M12952" s="8" t="s">
        <v>30855</v>
      </c>
      <c r="N12952" s="8" t="s">
        <v>54248</v>
      </c>
      <c r="O12952" s="8">
        <f>21+28/60+10.9/3600</f>
        <v>21.469694444444443</v>
      </c>
      <c r="P12952" s="8" t="s">
        <v>54249</v>
      </c>
      <c r="Q12952" s="8">
        <f>+(2+28/60+28/3600)</f>
        <v>2.4744444444444444</v>
      </c>
      <c r="R12952" s="8">
        <v>14.4</v>
      </c>
      <c r="S12952" s="8">
        <v>15.3</v>
      </c>
      <c r="T12952" s="8">
        <v>0.9</v>
      </c>
      <c r="U12952" s="8">
        <v>13.3</v>
      </c>
      <c r="V12952" s="8">
        <v>0.7</v>
      </c>
      <c r="W12952" s="8">
        <v>0.6</v>
      </c>
      <c r="X12952" s="8">
        <v>27</v>
      </c>
      <c r="Y12952" s="8" t="s">
        <v>22305</v>
      </c>
      <c r="Z12952" s="8" t="s">
        <v>22306</v>
      </c>
    </row>
    <row r="12953" spans="1:26" x14ac:dyDescent="0.2">
      <c r="A12953" s="8">
        <v>12952</v>
      </c>
      <c r="B12953" s="8" t="s">
        <v>54250</v>
      </c>
      <c r="C12953" s="8" t="s">
        <v>54250</v>
      </c>
      <c r="G12953" s="8">
        <v>20</v>
      </c>
      <c r="H12953" s="8" t="s">
        <v>21</v>
      </c>
      <c r="I12953" s="8" t="s">
        <v>72</v>
      </c>
      <c r="J12953" s="8" t="s">
        <v>72</v>
      </c>
      <c r="K12953" s="8" t="s">
        <v>1802</v>
      </c>
      <c r="L12953" s="8" t="s">
        <v>24</v>
      </c>
      <c r="M12953" s="8" t="s">
        <v>25</v>
      </c>
      <c r="N12953" s="8" t="s">
        <v>54251</v>
      </c>
      <c r="O12953" s="8">
        <f>21+29/60+30/3600</f>
        <v>21.491666666666667</v>
      </c>
      <c r="P12953" s="8" t="s">
        <v>54252</v>
      </c>
      <c r="Q12953" s="8">
        <f>+(6+46/60+50/3600)</f>
        <v>6.7805555555555559</v>
      </c>
      <c r="R12953" s="8">
        <v>99</v>
      </c>
      <c r="S12953" s="8">
        <v>99</v>
      </c>
      <c r="T12953" s="8">
        <v>99</v>
      </c>
      <c r="U12953" s="8">
        <v>99</v>
      </c>
      <c r="Y12953" s="8" t="s">
        <v>54253</v>
      </c>
      <c r="Z12953" s="8" t="s">
        <v>54254</v>
      </c>
    </row>
    <row r="12954" spans="1:26" x14ac:dyDescent="0.2">
      <c r="A12954" s="8">
        <v>12953</v>
      </c>
      <c r="B12954" s="8" t="s">
        <v>54255</v>
      </c>
      <c r="C12954" s="8" t="s">
        <v>54255</v>
      </c>
      <c r="G12954" s="8">
        <v>20</v>
      </c>
      <c r="H12954" s="8" t="s">
        <v>21</v>
      </c>
      <c r="I12954" s="8" t="s">
        <v>72</v>
      </c>
      <c r="J12954" s="8" t="s">
        <v>72</v>
      </c>
      <c r="K12954" s="8" t="s">
        <v>5802</v>
      </c>
      <c r="L12954" s="8" t="s">
        <v>24</v>
      </c>
      <c r="M12954" s="8" t="s">
        <v>25</v>
      </c>
      <c r="N12954" s="8" t="s">
        <v>54256</v>
      </c>
      <c r="O12954" s="8">
        <f>21+29/60+45/3600</f>
        <v>21.495833333333334</v>
      </c>
      <c r="P12954" s="8" t="s">
        <v>54257</v>
      </c>
      <c r="Q12954" s="8">
        <f>+(6+49/60+6/3600)</f>
        <v>6.8183333333333334</v>
      </c>
      <c r="R12954" s="8">
        <v>99</v>
      </c>
      <c r="S12954" s="8">
        <v>99</v>
      </c>
      <c r="T12954" s="8">
        <v>99</v>
      </c>
      <c r="U12954" s="8">
        <v>99</v>
      </c>
      <c r="Y12954" s="8" t="s">
        <v>54258</v>
      </c>
      <c r="Z12954" s="8" t="s">
        <v>54259</v>
      </c>
    </row>
    <row r="12955" spans="1:26" x14ac:dyDescent="0.2">
      <c r="A12955" s="8">
        <v>12954</v>
      </c>
      <c r="B12955" s="8" t="s">
        <v>54260</v>
      </c>
      <c r="C12955" s="8" t="s">
        <v>54260</v>
      </c>
      <c r="G12955" s="8">
        <v>20</v>
      </c>
      <c r="H12955" s="8" t="s">
        <v>21</v>
      </c>
      <c r="I12955" s="8" t="s">
        <v>22</v>
      </c>
      <c r="J12955" s="8" t="s">
        <v>57</v>
      </c>
      <c r="K12955" s="8" t="s">
        <v>269</v>
      </c>
      <c r="L12955" s="8" t="s">
        <v>31389</v>
      </c>
      <c r="M12955" s="8" t="s">
        <v>31390</v>
      </c>
      <c r="N12955" s="8" t="s">
        <v>31484</v>
      </c>
      <c r="O12955" s="8">
        <f>21+34/60+7.7/3600</f>
        <v>21.568805555555556</v>
      </c>
      <c r="P12955" s="8" t="s">
        <v>31485</v>
      </c>
      <c r="Q12955" s="8">
        <f>-(36+39/60+14/3600)</f>
        <v>-36.653888888888886</v>
      </c>
      <c r="R12955" s="8">
        <v>12.6</v>
      </c>
      <c r="S12955" s="8">
        <v>13.2</v>
      </c>
      <c r="T12955" s="8">
        <v>0.6</v>
      </c>
      <c r="U12955" s="8">
        <v>13.9</v>
      </c>
      <c r="V12955" s="8">
        <v>2.1</v>
      </c>
      <c r="W12955" s="8">
        <v>1.7</v>
      </c>
      <c r="X12955" s="8">
        <v>78</v>
      </c>
      <c r="Y12955" s="8" t="s">
        <v>54261</v>
      </c>
      <c r="Z12955" s="8" t="s">
        <v>54262</v>
      </c>
    </row>
    <row r="12956" spans="1:26" x14ac:dyDescent="0.2">
      <c r="A12956" s="8">
        <v>12955</v>
      </c>
      <c r="B12956" s="8" t="s">
        <v>54263</v>
      </c>
      <c r="C12956" s="8" t="s">
        <v>54263</v>
      </c>
      <c r="G12956" s="8">
        <v>20</v>
      </c>
      <c r="H12956" s="8" t="s">
        <v>21</v>
      </c>
      <c r="I12956" s="8" t="s">
        <v>22</v>
      </c>
      <c r="J12956" s="8" t="s">
        <v>22</v>
      </c>
      <c r="K12956" s="8" t="s">
        <v>449</v>
      </c>
      <c r="L12956" s="8" t="s">
        <v>24</v>
      </c>
      <c r="M12956" s="8" t="s">
        <v>25</v>
      </c>
      <c r="N12956" s="8" t="s">
        <v>54264</v>
      </c>
      <c r="O12956" s="8">
        <f>21+30/60+57.1/3600</f>
        <v>21.515861111111111</v>
      </c>
      <c r="P12956" s="8" t="s">
        <v>54265</v>
      </c>
      <c r="Q12956" s="8">
        <f>+(11+45/60+49/3600)</f>
        <v>11.763611111111111</v>
      </c>
      <c r="R12956" s="8">
        <v>14.9</v>
      </c>
      <c r="S12956" s="8">
        <v>15.7</v>
      </c>
      <c r="T12956" s="8">
        <v>0.8</v>
      </c>
      <c r="U12956" s="8">
        <v>12.4</v>
      </c>
      <c r="V12956" s="8">
        <v>0.4</v>
      </c>
      <c r="W12956" s="8">
        <v>0.3</v>
      </c>
      <c r="X12956" s="8">
        <v>90</v>
      </c>
      <c r="Y12956" s="8" t="s">
        <v>54266</v>
      </c>
      <c r="Z12956" s="8" t="s">
        <v>54267</v>
      </c>
    </row>
    <row r="12957" spans="1:26" x14ac:dyDescent="0.2">
      <c r="A12957" s="8">
        <v>12956</v>
      </c>
      <c r="B12957" s="8" t="s">
        <v>54268</v>
      </c>
      <c r="C12957" s="8" t="s">
        <v>54268</v>
      </c>
      <c r="G12957" s="8">
        <v>20</v>
      </c>
      <c r="H12957" s="8" t="s">
        <v>21</v>
      </c>
      <c r="I12957" s="8" t="s">
        <v>22</v>
      </c>
      <c r="J12957" s="8" t="s">
        <v>22</v>
      </c>
      <c r="K12957" s="8" t="s">
        <v>23</v>
      </c>
      <c r="L12957" s="8" t="s">
        <v>30731</v>
      </c>
      <c r="M12957" s="8" t="s">
        <v>30732</v>
      </c>
      <c r="N12957" s="8" t="s">
        <v>54269</v>
      </c>
      <c r="O12957" s="8">
        <f>21+37/60+5.2/3600</f>
        <v>21.618111111111112</v>
      </c>
      <c r="P12957" s="8" t="s">
        <v>54270</v>
      </c>
      <c r="Q12957" s="8">
        <f>-(70+58/60+59/3600)</f>
        <v>-70.983055555555552</v>
      </c>
      <c r="R12957" s="8">
        <v>13.4</v>
      </c>
      <c r="S12957" s="8">
        <v>14.2</v>
      </c>
      <c r="T12957" s="8">
        <v>0.8</v>
      </c>
      <c r="U12957" s="8">
        <v>14</v>
      </c>
      <c r="V12957" s="8">
        <v>1.6</v>
      </c>
      <c r="W12957" s="8">
        <v>1.2</v>
      </c>
      <c r="X12957" s="8">
        <v>15</v>
      </c>
      <c r="Y12957" s="8" t="s">
        <v>54271</v>
      </c>
      <c r="Z12957" s="8" t="s">
        <v>54272</v>
      </c>
    </row>
    <row r="12958" spans="1:26" x14ac:dyDescent="0.2">
      <c r="A12958" s="8">
        <v>12957</v>
      </c>
      <c r="B12958" s="8" t="s">
        <v>54273</v>
      </c>
      <c r="C12958" s="8" t="s">
        <v>54273</v>
      </c>
      <c r="G12958" s="8">
        <v>13</v>
      </c>
      <c r="H12958" s="8" t="s">
        <v>21</v>
      </c>
      <c r="I12958" s="8" t="s">
        <v>241</v>
      </c>
      <c r="J12958" s="8" t="s">
        <v>241</v>
      </c>
      <c r="K12958" s="8" t="s">
        <v>241</v>
      </c>
      <c r="L12958" s="8" t="s">
        <v>30032</v>
      </c>
      <c r="M12958" s="8" t="s">
        <v>30033</v>
      </c>
      <c r="N12958" s="8" t="s">
        <v>54274</v>
      </c>
      <c r="O12958" s="8">
        <f>21+32/60+31/3600</f>
        <v>21.541944444444447</v>
      </c>
      <c r="P12958" s="8" t="s">
        <v>54275</v>
      </c>
      <c r="Q12958" s="8">
        <f>+(44+35/60+50/3600)</f>
        <v>44.597222222222221</v>
      </c>
      <c r="R12958" s="8">
        <v>11.5</v>
      </c>
      <c r="S12958" s="8">
        <v>13.3</v>
      </c>
      <c r="T12958" s="8">
        <v>99</v>
      </c>
      <c r="U12958" s="8">
        <v>99</v>
      </c>
      <c r="V12958" s="8">
        <v>0.2</v>
      </c>
      <c r="Y12958" s="8" t="s">
        <v>27388</v>
      </c>
      <c r="Z12958" s="8" t="s">
        <v>42798</v>
      </c>
    </row>
    <row r="12959" spans="1:26" x14ac:dyDescent="0.2">
      <c r="A12959" s="8">
        <v>12958</v>
      </c>
      <c r="B12959" s="8" t="s">
        <v>54276</v>
      </c>
      <c r="C12959" s="8" t="s">
        <v>54276</v>
      </c>
      <c r="G12959" s="8">
        <v>20</v>
      </c>
      <c r="H12959" s="8" t="s">
        <v>21</v>
      </c>
      <c r="I12959" s="8" t="s">
        <v>22</v>
      </c>
      <c r="J12959" s="8" t="s">
        <v>22</v>
      </c>
      <c r="K12959" s="8" t="s">
        <v>396</v>
      </c>
      <c r="L12959" s="8" t="s">
        <v>30731</v>
      </c>
      <c r="M12959" s="8" t="s">
        <v>30732</v>
      </c>
      <c r="N12959" s="8" t="s">
        <v>54277</v>
      </c>
      <c r="O12959" s="8">
        <f>21+42/60+13.9/3600</f>
        <v>21.703861111111109</v>
      </c>
      <c r="P12959" s="8" t="s">
        <v>54278</v>
      </c>
      <c r="Q12959" s="8">
        <f>-(71+22/60+56/3600)</f>
        <v>-71.382222222222211</v>
      </c>
      <c r="R12959" s="8">
        <v>14.7</v>
      </c>
      <c r="S12959" s="8">
        <v>15.5</v>
      </c>
      <c r="T12959" s="8">
        <v>0.8</v>
      </c>
      <c r="U12959" s="8">
        <v>13.3</v>
      </c>
      <c r="V12959" s="8">
        <v>1.1000000000000001</v>
      </c>
      <c r="W12959" s="8">
        <v>0.3</v>
      </c>
      <c r="X12959" s="8">
        <v>48</v>
      </c>
      <c r="Y12959" s="8" t="s">
        <v>54279</v>
      </c>
      <c r="Z12959" s="8" t="s">
        <v>54280</v>
      </c>
    </row>
    <row r="12960" spans="1:26" x14ac:dyDescent="0.2">
      <c r="A12960" s="8">
        <v>12959</v>
      </c>
      <c r="B12960" s="8" t="s">
        <v>54281</v>
      </c>
      <c r="C12960" s="8" t="s">
        <v>54281</v>
      </c>
      <c r="G12960" s="8">
        <v>20</v>
      </c>
      <c r="H12960" s="8" t="s">
        <v>21</v>
      </c>
      <c r="I12960" s="8" t="s">
        <v>22</v>
      </c>
      <c r="J12960" s="8" t="s">
        <v>22</v>
      </c>
      <c r="K12960" s="8" t="s">
        <v>91</v>
      </c>
      <c r="L12960" s="8" t="s">
        <v>24</v>
      </c>
      <c r="M12960" s="8" t="s">
        <v>25</v>
      </c>
      <c r="N12960" s="8" t="s">
        <v>54282</v>
      </c>
      <c r="O12960" s="8">
        <f>21+33/60+55.9/3600</f>
        <v>21.565527777777778</v>
      </c>
      <c r="P12960" s="8" t="s">
        <v>54283</v>
      </c>
      <c r="Q12960" s="8">
        <f>+(21+50/60+15/3600)</f>
        <v>21.837499999999999</v>
      </c>
      <c r="R12960" s="8">
        <v>14.5</v>
      </c>
      <c r="S12960" s="8">
        <v>15.4</v>
      </c>
      <c r="T12960" s="8">
        <v>0.9</v>
      </c>
      <c r="U12960" s="8">
        <v>12.5</v>
      </c>
      <c r="V12960" s="8">
        <v>0.9</v>
      </c>
      <c r="W12960" s="8">
        <v>0.2</v>
      </c>
      <c r="X12960" s="8">
        <v>150</v>
      </c>
      <c r="Y12960" s="8" t="s">
        <v>54284</v>
      </c>
      <c r="Z12960" s="8" t="s">
        <v>54285</v>
      </c>
    </row>
    <row r="12961" spans="1:26" x14ac:dyDescent="0.2">
      <c r="A12961" s="8">
        <v>12960</v>
      </c>
      <c r="B12961" s="8" t="s">
        <v>54286</v>
      </c>
      <c r="C12961" s="8" t="s">
        <v>54286</v>
      </c>
      <c r="G12961" s="8">
        <v>20</v>
      </c>
      <c r="H12961" s="8" t="s">
        <v>21</v>
      </c>
      <c r="I12961" s="8" t="s">
        <v>22</v>
      </c>
      <c r="J12961" s="8" t="s">
        <v>22</v>
      </c>
      <c r="K12961" s="8" t="s">
        <v>85</v>
      </c>
      <c r="L12961" s="8" t="s">
        <v>30731</v>
      </c>
      <c r="M12961" s="8" t="s">
        <v>30732</v>
      </c>
      <c r="N12961" s="8" t="s">
        <v>54287</v>
      </c>
      <c r="O12961" s="8">
        <f>21+38/60+48.2/3600</f>
        <v>21.646722222222223</v>
      </c>
      <c r="P12961" s="8" t="s">
        <v>54288</v>
      </c>
      <c r="Q12961" s="8">
        <f>-(64+21/60+1/3600)</f>
        <v>-64.350277777777777</v>
      </c>
      <c r="R12961" s="8">
        <v>13.4</v>
      </c>
      <c r="S12961" s="8">
        <v>14.2</v>
      </c>
      <c r="T12961" s="8">
        <v>0.8</v>
      </c>
      <c r="U12961" s="8">
        <v>13.4</v>
      </c>
      <c r="V12961" s="8">
        <v>2</v>
      </c>
      <c r="W12961" s="8">
        <v>0.6</v>
      </c>
      <c r="X12961" s="8">
        <v>102</v>
      </c>
      <c r="Y12961" s="8" t="s">
        <v>54289</v>
      </c>
      <c r="Z12961" s="8" t="s">
        <v>54290</v>
      </c>
    </row>
    <row r="12962" spans="1:26" x14ac:dyDescent="0.2">
      <c r="A12962" s="8">
        <v>12961</v>
      </c>
      <c r="B12962" s="8" t="s">
        <v>54291</v>
      </c>
      <c r="C12962" s="8" t="s">
        <v>54291</v>
      </c>
      <c r="G12962" s="8">
        <v>20</v>
      </c>
      <c r="H12962" s="8" t="s">
        <v>21</v>
      </c>
      <c r="I12962" s="8" t="s">
        <v>22</v>
      </c>
      <c r="J12962" s="8" t="s">
        <v>57</v>
      </c>
      <c r="K12962" s="8" t="s">
        <v>91</v>
      </c>
      <c r="L12962" s="8" t="s">
        <v>30731</v>
      </c>
      <c r="M12962" s="8" t="s">
        <v>30732</v>
      </c>
      <c r="N12962" s="8" t="s">
        <v>31507</v>
      </c>
      <c r="O12962" s="8">
        <f>21+41/60+19.1/3600</f>
        <v>21.688638888888889</v>
      </c>
      <c r="P12962" s="8" t="s">
        <v>31508</v>
      </c>
      <c r="Q12962" s="8">
        <f>-(63+54/60+30/3600)</f>
        <v>-63.908333333333331</v>
      </c>
      <c r="R12962" s="8">
        <v>11.9</v>
      </c>
      <c r="S12962" s="8">
        <v>12.8</v>
      </c>
      <c r="T12962" s="8">
        <v>0.9</v>
      </c>
      <c r="U12962" s="8">
        <v>13</v>
      </c>
      <c r="V12962" s="8">
        <v>1.8</v>
      </c>
      <c r="W12962" s="8">
        <v>1.6</v>
      </c>
      <c r="X12962" s="8">
        <v>130</v>
      </c>
      <c r="Y12962" s="8" t="s">
        <v>54292</v>
      </c>
      <c r="Z12962" s="8" t="s">
        <v>54293</v>
      </c>
    </row>
    <row r="12963" spans="1:26" x14ac:dyDescent="0.2">
      <c r="A12963" s="8">
        <v>12962</v>
      </c>
      <c r="B12963" s="8" t="s">
        <v>54294</v>
      </c>
      <c r="C12963" s="8" t="s">
        <v>54294</v>
      </c>
      <c r="G12963" s="8">
        <v>20</v>
      </c>
      <c r="H12963" s="8" t="s">
        <v>21</v>
      </c>
      <c r="I12963" s="8" t="s">
        <v>22</v>
      </c>
      <c r="J12963" s="8" t="s">
        <v>22</v>
      </c>
      <c r="K12963" s="8" t="s">
        <v>37</v>
      </c>
      <c r="L12963" s="8" t="s">
        <v>30635</v>
      </c>
      <c r="M12963" s="8" t="s">
        <v>30636</v>
      </c>
      <c r="N12963" s="8" t="s">
        <v>54295</v>
      </c>
      <c r="O12963" s="8">
        <f>21+39/60+45.8/3600</f>
        <v>21.662722222222222</v>
      </c>
      <c r="P12963" s="8" t="s">
        <v>54296</v>
      </c>
      <c r="Q12963" s="8">
        <f>-(22+24/60+22/3600)</f>
        <v>-22.406111111111109</v>
      </c>
      <c r="R12963" s="8">
        <v>14.4</v>
      </c>
      <c r="S12963" s="8">
        <v>15.4</v>
      </c>
      <c r="T12963" s="8">
        <v>1</v>
      </c>
      <c r="U12963" s="8">
        <v>12.4</v>
      </c>
      <c r="V12963" s="8">
        <v>0.6</v>
      </c>
      <c r="W12963" s="8">
        <v>0.3</v>
      </c>
      <c r="X12963" s="8">
        <v>45</v>
      </c>
      <c r="Y12963" s="8" t="s">
        <v>54297</v>
      </c>
      <c r="Z12963" s="8" t="s">
        <v>54298</v>
      </c>
    </row>
    <row r="12964" spans="1:26" x14ac:dyDescent="0.2">
      <c r="A12964" s="8">
        <v>12963</v>
      </c>
      <c r="B12964" s="8" t="s">
        <v>54299</v>
      </c>
      <c r="C12964" s="8" t="s">
        <v>54299</v>
      </c>
      <c r="G12964" s="8">
        <v>20</v>
      </c>
      <c r="H12964" s="8" t="s">
        <v>21</v>
      </c>
      <c r="I12964" s="8" t="s">
        <v>22</v>
      </c>
      <c r="J12964" s="8" t="s">
        <v>22</v>
      </c>
      <c r="K12964" s="8" t="s">
        <v>85</v>
      </c>
      <c r="L12964" s="8" t="s">
        <v>30731</v>
      </c>
      <c r="M12964" s="8" t="s">
        <v>30732</v>
      </c>
      <c r="N12964" s="8" t="s">
        <v>54300</v>
      </c>
      <c r="O12964" s="8">
        <f>21+44/60+49.3/3600</f>
        <v>21.747027777777777</v>
      </c>
      <c r="P12964" s="8" t="s">
        <v>54301</v>
      </c>
      <c r="Q12964" s="8">
        <f>-(72+25/60+14/3600)</f>
        <v>-72.420555555555566</v>
      </c>
      <c r="R12964" s="8">
        <v>13.6</v>
      </c>
      <c r="S12964" s="8">
        <v>14.4</v>
      </c>
      <c r="T12964" s="8">
        <v>0.8</v>
      </c>
      <c r="U12964" s="8">
        <v>13.1</v>
      </c>
      <c r="V12964" s="8">
        <v>1.5</v>
      </c>
      <c r="W12964" s="8">
        <v>0.5</v>
      </c>
      <c r="X12964" s="8">
        <v>18</v>
      </c>
      <c r="Y12964" s="8" t="s">
        <v>54302</v>
      </c>
      <c r="Z12964" s="8" t="s">
        <v>54303</v>
      </c>
    </row>
    <row r="12965" spans="1:26" x14ac:dyDescent="0.2">
      <c r="A12965" s="8">
        <v>12964</v>
      </c>
      <c r="B12965" s="8" t="s">
        <v>54304</v>
      </c>
      <c r="C12965" s="8" t="s">
        <v>54304</v>
      </c>
      <c r="G12965" s="8">
        <v>20</v>
      </c>
      <c r="H12965" s="8" t="s">
        <v>21</v>
      </c>
      <c r="I12965" s="8" t="s">
        <v>22</v>
      </c>
      <c r="J12965" s="8" t="s">
        <v>22</v>
      </c>
      <c r="K12965" s="8" t="s">
        <v>632</v>
      </c>
      <c r="L12965" s="8" t="s">
        <v>30635</v>
      </c>
      <c r="M12965" s="8" t="s">
        <v>30636</v>
      </c>
      <c r="N12965" s="8" t="s">
        <v>54305</v>
      </c>
      <c r="O12965" s="8">
        <f>21+39/60+55.2/3600</f>
        <v>21.665333333333333</v>
      </c>
      <c r="P12965" s="8" t="s">
        <v>54306</v>
      </c>
      <c r="Q12965" s="8">
        <f>-(22+25/60+36/3600)</f>
        <v>-22.426666666666669</v>
      </c>
      <c r="R12965" s="8">
        <v>15.5</v>
      </c>
      <c r="S12965" s="8">
        <v>16.399999999999999</v>
      </c>
      <c r="T12965" s="8">
        <v>0.9</v>
      </c>
      <c r="U12965" s="8">
        <v>11.9</v>
      </c>
      <c r="V12965" s="8">
        <v>0.4</v>
      </c>
      <c r="W12965" s="8">
        <v>0.1</v>
      </c>
      <c r="X12965" s="8">
        <v>129</v>
      </c>
      <c r="Y12965" s="8" t="s">
        <v>54307</v>
      </c>
      <c r="Z12965" s="8" t="s">
        <v>54308</v>
      </c>
    </row>
    <row r="12966" spans="1:26" x14ac:dyDescent="0.2">
      <c r="A12966" s="8">
        <v>12965</v>
      </c>
      <c r="B12966" s="8" t="s">
        <v>54309</v>
      </c>
      <c r="C12966" s="8" t="s">
        <v>54309</v>
      </c>
      <c r="G12966" s="8">
        <v>20</v>
      </c>
      <c r="H12966" s="8" t="s">
        <v>21</v>
      </c>
      <c r="I12966" s="8" t="s">
        <v>22</v>
      </c>
      <c r="J12966" s="8" t="s">
        <v>22</v>
      </c>
      <c r="K12966" s="8" t="s">
        <v>396</v>
      </c>
      <c r="L12966" s="8" t="s">
        <v>30731</v>
      </c>
      <c r="M12966" s="8" t="s">
        <v>30732</v>
      </c>
      <c r="N12966" s="8" t="s">
        <v>54310</v>
      </c>
      <c r="O12966" s="8">
        <f>21+41/60+50.3/3600</f>
        <v>21.697305555555555</v>
      </c>
      <c r="P12966" s="8" t="s">
        <v>54311</v>
      </c>
      <c r="Q12966" s="8">
        <f>-(52+46/60+24/3600)</f>
        <v>-52.773333333333333</v>
      </c>
      <c r="R12966" s="8">
        <v>13.4</v>
      </c>
      <c r="S12966" s="8">
        <v>14.2</v>
      </c>
      <c r="T12966" s="8">
        <v>0.8</v>
      </c>
      <c r="U12966" s="8">
        <v>12.5</v>
      </c>
      <c r="V12966" s="8">
        <v>0.7</v>
      </c>
      <c r="W12966" s="8">
        <v>0.7</v>
      </c>
      <c r="Y12966" s="8" t="s">
        <v>15909</v>
      </c>
      <c r="Z12966" s="8" t="s">
        <v>15910</v>
      </c>
    </row>
    <row r="12967" spans="1:26" x14ac:dyDescent="0.2">
      <c r="A12967" s="8">
        <v>12966</v>
      </c>
      <c r="B12967" s="8" t="s">
        <v>54312</v>
      </c>
      <c r="C12967" s="8" t="s">
        <v>54312</v>
      </c>
      <c r="G12967" s="8">
        <v>20</v>
      </c>
      <c r="H12967" s="8" t="s">
        <v>21</v>
      </c>
      <c r="I12967" s="8" t="s">
        <v>22</v>
      </c>
      <c r="J12967" s="8" t="s">
        <v>22</v>
      </c>
      <c r="K12967" s="8" t="s">
        <v>23</v>
      </c>
      <c r="L12967" s="8" t="s">
        <v>30854</v>
      </c>
      <c r="M12967" s="8" t="s">
        <v>30855</v>
      </c>
      <c r="N12967" s="8" t="s">
        <v>54313</v>
      </c>
      <c r="O12967" s="8">
        <f>21+40/60+28.6/3600</f>
        <v>21.674611111111112</v>
      </c>
      <c r="P12967" s="8" t="s">
        <v>54314</v>
      </c>
      <c r="Q12967" s="8">
        <f>-(6+20/60+45/3600)</f>
        <v>-6.3458333333333332</v>
      </c>
      <c r="R12967" s="8">
        <v>14.9</v>
      </c>
      <c r="S12967" s="8">
        <v>15.7</v>
      </c>
      <c r="T12967" s="8">
        <v>0.8</v>
      </c>
      <c r="U12967" s="8">
        <v>13.2</v>
      </c>
      <c r="V12967" s="8">
        <v>0.5</v>
      </c>
      <c r="W12967" s="8">
        <v>0.5</v>
      </c>
      <c r="Y12967" s="8" t="s">
        <v>54315</v>
      </c>
      <c r="Z12967" s="8" t="s">
        <v>54316</v>
      </c>
    </row>
    <row r="12968" spans="1:26" x14ac:dyDescent="0.2">
      <c r="A12968" s="8">
        <v>12967</v>
      </c>
      <c r="B12968" s="8" t="s">
        <v>54317</v>
      </c>
      <c r="C12968" s="8" t="s">
        <v>54317</v>
      </c>
      <c r="G12968" s="8">
        <v>20</v>
      </c>
      <c r="H12968" s="8" t="s">
        <v>21</v>
      </c>
      <c r="I12968" s="8" t="s">
        <v>329</v>
      </c>
      <c r="J12968" s="8" t="s">
        <v>329</v>
      </c>
      <c r="K12968" s="8" t="s">
        <v>329</v>
      </c>
      <c r="L12968" s="8" t="s">
        <v>24</v>
      </c>
      <c r="M12968" s="8" t="s">
        <v>25</v>
      </c>
      <c r="N12968" s="8" t="s">
        <v>54318</v>
      </c>
      <c r="O12968" s="8">
        <f>21+39/60+51/3600</f>
        <v>21.664166666666667</v>
      </c>
      <c r="P12968" s="8" t="s">
        <v>54319</v>
      </c>
      <c r="Q12968" s="8">
        <f>+(6+14/60+6/3600)</f>
        <v>6.2350000000000003</v>
      </c>
      <c r="R12968" s="8">
        <v>99</v>
      </c>
      <c r="S12968" s="8">
        <v>99</v>
      </c>
      <c r="T12968" s="8">
        <v>99</v>
      </c>
      <c r="U12968" s="8">
        <v>99</v>
      </c>
      <c r="Y12968" s="8" t="s">
        <v>54320</v>
      </c>
      <c r="Z12968" s="8" t="s">
        <v>54321</v>
      </c>
    </row>
    <row r="12969" spans="1:26" x14ac:dyDescent="0.2">
      <c r="A12969" s="8">
        <v>12968</v>
      </c>
      <c r="B12969" s="8" t="s">
        <v>54322</v>
      </c>
      <c r="C12969" s="8" t="s">
        <v>54322</v>
      </c>
      <c r="G12969" s="8">
        <v>20</v>
      </c>
      <c r="H12969" s="8" t="s">
        <v>21</v>
      </c>
      <c r="I12969" s="8" t="s">
        <v>22</v>
      </c>
      <c r="J12969" s="8" t="s">
        <v>22</v>
      </c>
      <c r="K12969" s="8" t="s">
        <v>632</v>
      </c>
      <c r="L12969" s="8" t="s">
        <v>31389</v>
      </c>
      <c r="M12969" s="8" t="s">
        <v>31390</v>
      </c>
      <c r="N12969" s="8" t="s">
        <v>54323</v>
      </c>
      <c r="O12969" s="8">
        <f>21+43/60+11.7/3600</f>
        <v>21.719916666666666</v>
      </c>
      <c r="P12969" s="8" t="s">
        <v>54324</v>
      </c>
      <c r="Q12969" s="8">
        <f>-(38+58/60+5/3600)</f>
        <v>-38.968055555555559</v>
      </c>
      <c r="R12969" s="8">
        <v>13</v>
      </c>
      <c r="S12969" s="8">
        <v>13.9</v>
      </c>
      <c r="T12969" s="8">
        <v>0.9</v>
      </c>
      <c r="U12969" s="8">
        <v>12.5</v>
      </c>
      <c r="V12969" s="8">
        <v>1.1000000000000001</v>
      </c>
      <c r="W12969" s="8">
        <v>0.7</v>
      </c>
      <c r="X12969" s="8">
        <v>135</v>
      </c>
      <c r="Y12969" s="8" t="s">
        <v>54325</v>
      </c>
      <c r="Z12969" s="8" t="s">
        <v>54326</v>
      </c>
    </row>
    <row r="12970" spans="1:26" x14ac:dyDescent="0.2">
      <c r="A12970" s="8">
        <v>12969</v>
      </c>
      <c r="B12970" s="8" t="s">
        <v>54327</v>
      </c>
      <c r="C12970" s="8" t="s">
        <v>54327</v>
      </c>
      <c r="G12970" s="8">
        <v>20</v>
      </c>
      <c r="H12970" s="8" t="s">
        <v>21</v>
      </c>
      <c r="I12970" s="8" t="s">
        <v>22</v>
      </c>
      <c r="J12970" s="8" t="s">
        <v>22</v>
      </c>
      <c r="K12970" s="8" t="s">
        <v>160</v>
      </c>
      <c r="L12970" s="8" t="s">
        <v>30731</v>
      </c>
      <c r="M12970" s="8" t="s">
        <v>30732</v>
      </c>
      <c r="N12970" s="8" t="s">
        <v>54328</v>
      </c>
      <c r="O12970" s="8">
        <f>21+47/60+46.5/3600</f>
        <v>21.796250000000001</v>
      </c>
      <c r="P12970" s="8" t="s">
        <v>54329</v>
      </c>
      <c r="Q12970" s="8">
        <f>-(65+23/60+15/3600)</f>
        <v>-65.387500000000003</v>
      </c>
      <c r="R12970" s="8">
        <v>14.6</v>
      </c>
      <c r="S12970" s="8">
        <v>15.3</v>
      </c>
      <c r="T12970" s="8">
        <v>0.7</v>
      </c>
      <c r="U12970" s="8">
        <v>13.5</v>
      </c>
      <c r="V12970" s="8">
        <v>0.7</v>
      </c>
      <c r="W12970" s="8">
        <v>0.6</v>
      </c>
      <c r="Y12970" s="8" t="s">
        <v>1694</v>
      </c>
      <c r="Z12970" s="8" t="s">
        <v>38252</v>
      </c>
    </row>
    <row r="12971" spans="1:26" x14ac:dyDescent="0.2">
      <c r="A12971" s="8">
        <v>12970</v>
      </c>
      <c r="B12971" s="8" t="s">
        <v>54330</v>
      </c>
      <c r="C12971" s="8" t="s">
        <v>54330</v>
      </c>
      <c r="G12971" s="8">
        <v>20</v>
      </c>
      <c r="H12971" s="8" t="s">
        <v>21</v>
      </c>
      <c r="I12971" s="8" t="s">
        <v>22</v>
      </c>
      <c r="J12971" s="8" t="s">
        <v>22</v>
      </c>
      <c r="K12971" s="8" t="s">
        <v>396</v>
      </c>
      <c r="L12971" s="8" t="s">
        <v>30731</v>
      </c>
      <c r="M12971" s="8" t="s">
        <v>30732</v>
      </c>
      <c r="N12971" s="8" t="s">
        <v>54331</v>
      </c>
      <c r="O12971" s="8">
        <f>21+50/60+24.7/3600</f>
        <v>21.840194444444442</v>
      </c>
      <c r="P12971" s="8" t="s">
        <v>54332</v>
      </c>
      <c r="Q12971" s="8">
        <f>-(73+59/60+51/3600)</f>
        <v>-73.997500000000002</v>
      </c>
      <c r="R12971" s="8">
        <v>13.6</v>
      </c>
      <c r="S12971" s="8">
        <v>14.4</v>
      </c>
      <c r="T12971" s="8">
        <v>0.8</v>
      </c>
      <c r="U12971" s="8">
        <v>13.3</v>
      </c>
      <c r="V12971" s="8">
        <v>1.9</v>
      </c>
      <c r="W12971" s="8">
        <v>0.6</v>
      </c>
      <c r="X12971" s="8">
        <v>109</v>
      </c>
      <c r="Y12971" s="8" t="s">
        <v>282</v>
      </c>
      <c r="Z12971" s="8" t="s">
        <v>283</v>
      </c>
    </row>
    <row r="12972" spans="1:26" x14ac:dyDescent="0.2">
      <c r="A12972" s="8">
        <v>12971</v>
      </c>
      <c r="B12972" s="8" t="s">
        <v>54333</v>
      </c>
      <c r="C12972" s="8" t="s">
        <v>54333</v>
      </c>
      <c r="G12972" s="8">
        <v>20</v>
      </c>
      <c r="H12972" s="8" t="s">
        <v>21</v>
      </c>
      <c r="I12972" s="8" t="s">
        <v>22</v>
      </c>
      <c r="J12972" s="8" t="s">
        <v>22</v>
      </c>
      <c r="K12972" s="8" t="s">
        <v>118</v>
      </c>
      <c r="L12972" s="8" t="s">
        <v>31565</v>
      </c>
      <c r="M12972" s="8" t="s">
        <v>31566</v>
      </c>
      <c r="N12972" s="8" t="s">
        <v>54334</v>
      </c>
      <c r="O12972" s="8">
        <f>21+47/60+25.3/3600</f>
        <v>21.790361111111114</v>
      </c>
      <c r="P12972" s="8" t="s">
        <v>54335</v>
      </c>
      <c r="Q12972" s="8">
        <f>-(34+53/60+4/3600)</f>
        <v>-34.884444444444441</v>
      </c>
      <c r="R12972" s="8">
        <v>12.3</v>
      </c>
      <c r="S12972" s="8">
        <v>13.3</v>
      </c>
      <c r="T12972" s="8">
        <v>1</v>
      </c>
      <c r="U12972" s="8">
        <v>12.9</v>
      </c>
      <c r="V12972" s="8">
        <v>1</v>
      </c>
      <c r="W12972" s="8">
        <v>1</v>
      </c>
      <c r="Y12972" s="8" t="s">
        <v>421</v>
      </c>
      <c r="Z12972" s="8" t="s">
        <v>422</v>
      </c>
    </row>
    <row r="12973" spans="1:26" x14ac:dyDescent="0.2">
      <c r="A12973" s="8">
        <v>12972</v>
      </c>
      <c r="B12973" s="8" t="s">
        <v>54336</v>
      </c>
      <c r="C12973" s="8" t="s">
        <v>54336</v>
      </c>
      <c r="G12973" s="8">
        <v>20</v>
      </c>
      <c r="H12973" s="8" t="s">
        <v>21</v>
      </c>
      <c r="I12973" s="8" t="s">
        <v>1283</v>
      </c>
      <c r="J12973" s="8" t="s">
        <v>1283</v>
      </c>
      <c r="K12973" s="8" t="s">
        <v>1284</v>
      </c>
      <c r="L12973" s="8" t="s">
        <v>242</v>
      </c>
      <c r="M12973" s="8" t="s">
        <v>243</v>
      </c>
      <c r="N12973" s="8" t="s">
        <v>54337</v>
      </c>
      <c r="O12973" s="8">
        <f>21+42/60+40.1/3600</f>
        <v>21.71113888888889</v>
      </c>
      <c r="P12973" s="8" t="s">
        <v>31667</v>
      </c>
      <c r="Q12973" s="8">
        <f>+(66+10/60+6/3600)</f>
        <v>66.168333333333337</v>
      </c>
      <c r="R12973" s="8">
        <v>99</v>
      </c>
      <c r="S12973" s="8">
        <v>99</v>
      </c>
      <c r="T12973" s="8">
        <v>99</v>
      </c>
      <c r="U12973" s="8">
        <v>99</v>
      </c>
      <c r="Y12973" s="8" t="s">
        <v>54338</v>
      </c>
      <c r="Z12973" s="8" t="s">
        <v>54339</v>
      </c>
    </row>
    <row r="12974" spans="1:26" x14ac:dyDescent="0.2">
      <c r="A12974" s="8">
        <v>12973</v>
      </c>
      <c r="B12974" s="8" t="s">
        <v>54340</v>
      </c>
      <c r="C12974" s="8" t="s">
        <v>54340</v>
      </c>
      <c r="G12974" s="8">
        <v>20</v>
      </c>
      <c r="H12974" s="8" t="s">
        <v>21</v>
      </c>
      <c r="I12974" s="8" t="s">
        <v>1283</v>
      </c>
      <c r="J12974" s="8" t="s">
        <v>1283</v>
      </c>
      <c r="K12974" s="8" t="s">
        <v>1284</v>
      </c>
      <c r="L12974" s="8" t="s">
        <v>242</v>
      </c>
      <c r="M12974" s="8" t="s">
        <v>243</v>
      </c>
      <c r="N12974" s="8" t="s">
        <v>54341</v>
      </c>
      <c r="O12974" s="8">
        <f>21+42/60+47.1/3600</f>
        <v>21.713083333333334</v>
      </c>
      <c r="P12974" s="8" t="s">
        <v>54342</v>
      </c>
      <c r="Q12974" s="8">
        <f>+(66+10/60+52/3600)</f>
        <v>66.181111111111122</v>
      </c>
      <c r="R12974" s="8">
        <v>99</v>
      </c>
      <c r="S12974" s="8">
        <v>99</v>
      </c>
      <c r="T12974" s="8">
        <v>99</v>
      </c>
      <c r="U12974" s="8">
        <v>99</v>
      </c>
      <c r="Y12974" s="8" t="s">
        <v>54338</v>
      </c>
      <c r="Z12974" s="8" t="s">
        <v>54339</v>
      </c>
    </row>
    <row r="12975" spans="1:26" x14ac:dyDescent="0.2">
      <c r="A12975" s="8">
        <v>12974</v>
      </c>
      <c r="B12975" s="8" t="s">
        <v>54343</v>
      </c>
      <c r="C12975" s="8" t="s">
        <v>54343</v>
      </c>
      <c r="G12975" s="8">
        <v>20</v>
      </c>
      <c r="H12975" s="8" t="s">
        <v>21</v>
      </c>
      <c r="I12975" s="8" t="s">
        <v>1283</v>
      </c>
      <c r="J12975" s="8" t="s">
        <v>57</v>
      </c>
      <c r="K12975" s="8" t="s">
        <v>1751</v>
      </c>
      <c r="L12975" s="8" t="s">
        <v>242</v>
      </c>
      <c r="M12975" s="8" t="s">
        <v>243</v>
      </c>
      <c r="N12975" s="8" t="s">
        <v>31648</v>
      </c>
      <c r="O12975" s="8">
        <f>21+42/60+58.9/3600</f>
        <v>21.716361111111109</v>
      </c>
      <c r="P12975" s="8" t="s">
        <v>31649</v>
      </c>
      <c r="Q12975" s="8">
        <f>+(66+6/60+47/3600)</f>
        <v>66.113055555555547</v>
      </c>
      <c r="R12975" s="8">
        <v>99</v>
      </c>
      <c r="S12975" s="8">
        <v>11.5</v>
      </c>
      <c r="T12975" s="8">
        <v>99</v>
      </c>
      <c r="U12975" s="8">
        <v>99</v>
      </c>
      <c r="V12975" s="8">
        <v>7</v>
      </c>
      <c r="W12975" s="8">
        <v>7</v>
      </c>
      <c r="Y12975" s="8" t="s">
        <v>54344</v>
      </c>
      <c r="Z12975" s="8" t="s">
        <v>54345</v>
      </c>
    </row>
    <row r="12976" spans="1:26" x14ac:dyDescent="0.2">
      <c r="A12976" s="8">
        <v>12975</v>
      </c>
      <c r="B12976" s="8" t="s">
        <v>54346</v>
      </c>
      <c r="C12976" s="8" t="s">
        <v>54346</v>
      </c>
      <c r="G12976" s="8">
        <v>20</v>
      </c>
      <c r="H12976" s="8" t="s">
        <v>21</v>
      </c>
      <c r="I12976" s="8" t="s">
        <v>22</v>
      </c>
      <c r="J12976" s="8" t="s">
        <v>57</v>
      </c>
      <c r="K12976" s="8" t="s">
        <v>91</v>
      </c>
      <c r="L12976" s="8" t="s">
        <v>31565</v>
      </c>
      <c r="M12976" s="8" t="s">
        <v>31566</v>
      </c>
      <c r="N12976" s="8" t="s">
        <v>31653</v>
      </c>
      <c r="O12976" s="8">
        <f>21+48/60+19.3/3600</f>
        <v>21.805361111111111</v>
      </c>
      <c r="P12976" s="8" t="s">
        <v>31654</v>
      </c>
      <c r="Q12976" s="8">
        <f>-(34+57/60+10/3600)</f>
        <v>-34.952777777777783</v>
      </c>
      <c r="R12976" s="8">
        <v>12.1</v>
      </c>
      <c r="S12976" s="8">
        <v>13</v>
      </c>
      <c r="T12976" s="8">
        <v>0.9</v>
      </c>
      <c r="U12976" s="8">
        <v>12.9</v>
      </c>
      <c r="V12976" s="8">
        <v>1.6</v>
      </c>
      <c r="W12976" s="8">
        <v>1.5</v>
      </c>
      <c r="X12976" s="8">
        <v>105</v>
      </c>
      <c r="Y12976" s="8" t="s">
        <v>19885</v>
      </c>
      <c r="Z12976" s="8" t="s">
        <v>4076</v>
      </c>
    </row>
    <row r="12977" spans="1:26" x14ac:dyDescent="0.2">
      <c r="A12977" s="8">
        <v>12976</v>
      </c>
      <c r="B12977" s="8" t="s">
        <v>54347</v>
      </c>
      <c r="C12977" s="8" t="s">
        <v>54347</v>
      </c>
      <c r="G12977" s="8">
        <v>20</v>
      </c>
      <c r="H12977" s="8" t="s">
        <v>21</v>
      </c>
      <c r="I12977" s="8" t="s">
        <v>329</v>
      </c>
      <c r="J12977" s="8" t="s">
        <v>329</v>
      </c>
      <c r="K12977" s="8" t="s">
        <v>329</v>
      </c>
      <c r="L12977" s="8" t="s">
        <v>31565</v>
      </c>
      <c r="M12977" s="8" t="s">
        <v>31566</v>
      </c>
      <c r="N12977" s="8" t="s">
        <v>54348</v>
      </c>
      <c r="O12977" s="8">
        <f>21+48/60+50.4/3600</f>
        <v>21.814</v>
      </c>
      <c r="P12977" s="8" t="s">
        <v>54349</v>
      </c>
      <c r="Q12977" s="8">
        <f>-(33+39/60+9/3600)</f>
        <v>-33.652499999999996</v>
      </c>
      <c r="R12977" s="8">
        <v>99</v>
      </c>
      <c r="S12977" s="8">
        <v>99</v>
      </c>
      <c r="T12977" s="8">
        <v>99</v>
      </c>
      <c r="U12977" s="8">
        <v>99</v>
      </c>
      <c r="Y12977" s="8" t="s">
        <v>7509</v>
      </c>
      <c r="Z12977" s="8" t="s">
        <v>3537</v>
      </c>
    </row>
    <row r="12978" spans="1:26" x14ac:dyDescent="0.2">
      <c r="A12978" s="8">
        <v>12977</v>
      </c>
      <c r="B12978" s="8" t="s">
        <v>54350</v>
      </c>
      <c r="C12978" s="8" t="s">
        <v>54350</v>
      </c>
      <c r="G12978" s="8">
        <v>20</v>
      </c>
      <c r="H12978" s="8" t="s">
        <v>21</v>
      </c>
      <c r="I12978" s="8" t="s">
        <v>329</v>
      </c>
      <c r="J12978" s="8" t="s">
        <v>329</v>
      </c>
      <c r="K12978" s="8" t="s">
        <v>329</v>
      </c>
      <c r="L12978" s="8" t="s">
        <v>30731</v>
      </c>
      <c r="M12978" s="8" t="s">
        <v>30732</v>
      </c>
      <c r="N12978" s="8" t="s">
        <v>54351</v>
      </c>
      <c r="O12978" s="8">
        <f>21+51/60+37.9/3600</f>
        <v>21.860527777777779</v>
      </c>
      <c r="P12978" s="8" t="s">
        <v>54352</v>
      </c>
      <c r="Q12978" s="8">
        <f>-(65+34/60+59/3600)</f>
        <v>-65.583055555555546</v>
      </c>
      <c r="R12978" s="8">
        <v>99</v>
      </c>
      <c r="S12978" s="8">
        <v>99</v>
      </c>
      <c r="T12978" s="8">
        <v>99</v>
      </c>
      <c r="U12978" s="8">
        <v>99</v>
      </c>
      <c r="Y12978" s="8" t="s">
        <v>54353</v>
      </c>
      <c r="Z12978" s="8" t="s">
        <v>54354</v>
      </c>
    </row>
    <row r="12979" spans="1:26" x14ac:dyDescent="0.2">
      <c r="A12979" s="8">
        <v>12978</v>
      </c>
      <c r="B12979" s="8" t="s">
        <v>54355</v>
      </c>
      <c r="C12979" s="8" t="s">
        <v>54355</v>
      </c>
      <c r="G12979" s="8">
        <v>20</v>
      </c>
      <c r="H12979" s="8" t="s">
        <v>21</v>
      </c>
      <c r="I12979" s="8" t="s">
        <v>22</v>
      </c>
      <c r="J12979" s="8" t="s">
        <v>22</v>
      </c>
      <c r="K12979" s="8" t="s">
        <v>23</v>
      </c>
      <c r="L12979" s="8" t="s">
        <v>30731</v>
      </c>
      <c r="M12979" s="8" t="s">
        <v>30732</v>
      </c>
      <c r="N12979" s="8" t="s">
        <v>54356</v>
      </c>
      <c r="O12979" s="8">
        <f>21+53/60+21.5/3600</f>
        <v>21.889305555555556</v>
      </c>
      <c r="P12979" s="8" t="s">
        <v>54357</v>
      </c>
      <c r="Q12979" s="8">
        <f>-(68+57/60+10/3600)</f>
        <v>-68.952777777777783</v>
      </c>
      <c r="R12979" s="8">
        <v>13.2</v>
      </c>
      <c r="S12979" s="8">
        <v>14</v>
      </c>
      <c r="T12979" s="8">
        <v>0.8</v>
      </c>
      <c r="U12979" s="8">
        <v>12.2</v>
      </c>
      <c r="V12979" s="8">
        <v>0.9</v>
      </c>
      <c r="W12979" s="8">
        <v>0.5</v>
      </c>
      <c r="X12979" s="8">
        <v>128</v>
      </c>
      <c r="Y12979" s="8" t="s">
        <v>50705</v>
      </c>
      <c r="Z12979" s="8" t="s">
        <v>50706</v>
      </c>
    </row>
    <row r="12980" spans="1:26" x14ac:dyDescent="0.2">
      <c r="A12980" s="8">
        <v>12979</v>
      </c>
      <c r="B12980" s="8" t="s">
        <v>54358</v>
      </c>
      <c r="C12980" s="8" t="s">
        <v>54358</v>
      </c>
      <c r="G12980" s="8">
        <v>20</v>
      </c>
      <c r="H12980" s="8" t="s">
        <v>21</v>
      </c>
      <c r="I12980" s="8" t="s">
        <v>22</v>
      </c>
      <c r="J12980" s="8" t="s">
        <v>22</v>
      </c>
      <c r="K12980" s="8" t="s">
        <v>118</v>
      </c>
      <c r="L12980" s="8" t="s">
        <v>31565</v>
      </c>
      <c r="M12980" s="8" t="s">
        <v>31566</v>
      </c>
      <c r="N12980" s="8" t="s">
        <v>54359</v>
      </c>
      <c r="O12980" s="8">
        <f>21+50/60+25.6/3600</f>
        <v>21.840444444444444</v>
      </c>
      <c r="P12980" s="8" t="s">
        <v>54360</v>
      </c>
      <c r="Q12980" s="8">
        <f>-(30+59/60+42/3600)</f>
        <v>-30.995000000000001</v>
      </c>
      <c r="R12980" s="8">
        <v>12.3</v>
      </c>
      <c r="S12980" s="8">
        <v>13.3</v>
      </c>
      <c r="T12980" s="8">
        <v>1</v>
      </c>
      <c r="U12980" s="8">
        <v>13.2</v>
      </c>
      <c r="V12980" s="8">
        <v>2.1</v>
      </c>
      <c r="W12980" s="8">
        <v>1</v>
      </c>
      <c r="X12980" s="8">
        <v>27</v>
      </c>
      <c r="Y12980" s="8" t="s">
        <v>679</v>
      </c>
      <c r="Z12980" s="8" t="s">
        <v>680</v>
      </c>
    </row>
    <row r="12981" spans="1:26" x14ac:dyDescent="0.2">
      <c r="A12981" s="8">
        <v>12980</v>
      </c>
      <c r="B12981" s="8" t="s">
        <v>54361</v>
      </c>
      <c r="C12981" s="8" t="s">
        <v>54361</v>
      </c>
      <c r="G12981" s="8">
        <v>20</v>
      </c>
      <c r="H12981" s="8" t="s">
        <v>21</v>
      </c>
      <c r="I12981" s="8" t="s">
        <v>22</v>
      </c>
      <c r="J12981" s="8" t="s">
        <v>22</v>
      </c>
      <c r="K12981" s="8" t="s">
        <v>1277</v>
      </c>
      <c r="L12981" s="8" t="s">
        <v>30731</v>
      </c>
      <c r="M12981" s="8" t="s">
        <v>30732</v>
      </c>
      <c r="N12981" s="8" t="s">
        <v>54362</v>
      </c>
      <c r="O12981" s="8">
        <f>21+54/60+15.8/3600</f>
        <v>21.904388888888889</v>
      </c>
      <c r="P12981" s="8" t="s">
        <v>54363</v>
      </c>
      <c r="Q12981" s="8">
        <f>-(67+19/60+52/3600)</f>
        <v>-67.331111111111113</v>
      </c>
      <c r="R12981" s="8">
        <v>14.6</v>
      </c>
      <c r="S12981" s="8">
        <v>15.3</v>
      </c>
      <c r="T12981" s="8">
        <v>0.7</v>
      </c>
      <c r="U12981" s="8">
        <v>13.9</v>
      </c>
      <c r="V12981" s="8">
        <v>2</v>
      </c>
      <c r="W12981" s="8">
        <v>0.3</v>
      </c>
      <c r="X12981" s="8">
        <v>136</v>
      </c>
      <c r="Y12981" s="8" t="s">
        <v>52303</v>
      </c>
      <c r="Z12981" s="8" t="s">
        <v>52304</v>
      </c>
    </row>
    <row r="12982" spans="1:26" x14ac:dyDescent="0.2">
      <c r="A12982" s="8">
        <v>12981</v>
      </c>
      <c r="B12982" s="8" t="s">
        <v>54364</v>
      </c>
      <c r="C12982" s="8" t="s">
        <v>54364</v>
      </c>
      <c r="G12982" s="8">
        <v>20</v>
      </c>
      <c r="H12982" s="8" t="s">
        <v>21</v>
      </c>
      <c r="I12982" s="8" t="s">
        <v>22</v>
      </c>
      <c r="J12982" s="8" t="s">
        <v>22</v>
      </c>
      <c r="K12982" s="8" t="s">
        <v>396</v>
      </c>
      <c r="L12982" s="8" t="s">
        <v>30731</v>
      </c>
      <c r="M12982" s="8" t="s">
        <v>30732</v>
      </c>
      <c r="N12982" s="8" t="s">
        <v>54365</v>
      </c>
      <c r="O12982" s="8">
        <f>21+53/60+17.1/3600</f>
        <v>21.888083333333334</v>
      </c>
      <c r="P12982" s="8" t="s">
        <v>54366</v>
      </c>
      <c r="Q12982" s="8">
        <f>-(59+29/60+35/3600)</f>
        <v>-59.493055555555557</v>
      </c>
      <c r="R12982" s="8">
        <v>12.7</v>
      </c>
      <c r="S12982" s="8">
        <v>13.5</v>
      </c>
      <c r="T12982" s="8">
        <v>0.8</v>
      </c>
      <c r="U12982" s="8">
        <v>13.4</v>
      </c>
      <c r="V12982" s="8">
        <v>1.7</v>
      </c>
      <c r="W12982" s="8">
        <v>1.3</v>
      </c>
      <c r="X12982" s="8">
        <v>30</v>
      </c>
      <c r="Y12982" s="8" t="s">
        <v>54367</v>
      </c>
      <c r="Z12982" s="8" t="s">
        <v>54368</v>
      </c>
    </row>
    <row r="12983" spans="1:26" x14ac:dyDescent="0.2">
      <c r="A12983" s="8">
        <v>12982</v>
      </c>
      <c r="B12983" s="8" t="s">
        <v>54369</v>
      </c>
      <c r="C12983" s="8" t="s">
        <v>54369</v>
      </c>
      <c r="G12983" s="8">
        <v>20</v>
      </c>
      <c r="H12983" s="8" t="s">
        <v>21</v>
      </c>
      <c r="I12983" s="8" t="s">
        <v>22</v>
      </c>
      <c r="J12983" s="8" t="s">
        <v>22</v>
      </c>
      <c r="K12983" s="8" t="s">
        <v>160</v>
      </c>
      <c r="L12983" s="8" t="s">
        <v>30731</v>
      </c>
      <c r="M12983" s="8" t="s">
        <v>30732</v>
      </c>
      <c r="N12983" s="8" t="s">
        <v>54370</v>
      </c>
      <c r="O12983" s="8">
        <f>21+55/60+20.1/3600</f>
        <v>21.922250000000002</v>
      </c>
      <c r="P12983" s="8" t="s">
        <v>54371</v>
      </c>
      <c r="Q12983" s="8">
        <f>-(65+30/60+37/3600)</f>
        <v>-65.510277777777773</v>
      </c>
      <c r="R12983" s="8">
        <v>13.7</v>
      </c>
      <c r="S12983" s="8">
        <v>14.4</v>
      </c>
      <c r="T12983" s="8">
        <v>0.7</v>
      </c>
      <c r="U12983" s="8">
        <v>13.8</v>
      </c>
      <c r="V12983" s="8">
        <v>1.6</v>
      </c>
      <c r="W12983" s="8">
        <v>0.8</v>
      </c>
      <c r="X12983" s="8">
        <v>72</v>
      </c>
      <c r="Y12983" s="8" t="s">
        <v>54372</v>
      </c>
      <c r="Z12983" s="8" t="s">
        <v>54373</v>
      </c>
    </row>
    <row r="12984" spans="1:26" x14ac:dyDescent="0.2">
      <c r="A12984" s="8">
        <v>12983</v>
      </c>
      <c r="B12984" s="8" t="s">
        <v>54374</v>
      </c>
      <c r="C12984" s="8" t="s">
        <v>54374</v>
      </c>
      <c r="G12984" s="8">
        <v>20</v>
      </c>
      <c r="H12984" s="8" t="s">
        <v>21</v>
      </c>
      <c r="I12984" s="8" t="s">
        <v>22</v>
      </c>
      <c r="J12984" s="8" t="s">
        <v>57</v>
      </c>
      <c r="K12984" s="8" t="s">
        <v>224</v>
      </c>
      <c r="L12984" s="8" t="s">
        <v>30731</v>
      </c>
      <c r="M12984" s="8" t="s">
        <v>30732</v>
      </c>
      <c r="N12984" s="8" t="s">
        <v>31756</v>
      </c>
      <c r="O12984" s="8">
        <f>21+56/60+9.8/3600</f>
        <v>21.936055555555555</v>
      </c>
      <c r="P12984" s="8" t="s">
        <v>31757</v>
      </c>
      <c r="Q12984" s="8">
        <f>-(49+31/60+19/3600)</f>
        <v>-49.521944444444443</v>
      </c>
      <c r="R12984" s="8">
        <v>12.2</v>
      </c>
      <c r="S12984" s="8">
        <v>13.1</v>
      </c>
      <c r="T12984" s="8">
        <v>0.9</v>
      </c>
      <c r="U12984" s="8">
        <v>13.5</v>
      </c>
      <c r="V12984" s="8">
        <v>2.2999999999999998</v>
      </c>
      <c r="W12984" s="8">
        <v>2</v>
      </c>
      <c r="X12984" s="8">
        <v>4</v>
      </c>
      <c r="Y12984" s="8" t="s">
        <v>215</v>
      </c>
      <c r="Z12984" s="8" t="s">
        <v>216</v>
      </c>
    </row>
    <row r="12985" spans="1:26" x14ac:dyDescent="0.2">
      <c r="A12985" s="8">
        <v>12984</v>
      </c>
      <c r="B12985" s="8" t="s">
        <v>54375</v>
      </c>
      <c r="C12985" s="8" t="s">
        <v>54375</v>
      </c>
      <c r="G12985" s="8">
        <v>20</v>
      </c>
      <c r="H12985" s="8" t="s">
        <v>21</v>
      </c>
      <c r="I12985" s="8" t="s">
        <v>22</v>
      </c>
      <c r="J12985" s="8" t="s">
        <v>22</v>
      </c>
      <c r="K12985" s="8" t="s">
        <v>37986</v>
      </c>
      <c r="L12985" s="8" t="s">
        <v>24</v>
      </c>
      <c r="M12985" s="8" t="s">
        <v>25</v>
      </c>
      <c r="N12985" s="8" t="s">
        <v>54376</v>
      </c>
      <c r="O12985" s="8">
        <f>21+54/60+9.4/3600</f>
        <v>21.90261111111111</v>
      </c>
      <c r="P12985" s="8" t="s">
        <v>54377</v>
      </c>
      <c r="Q12985" s="8">
        <f>+(15+2/60+14/3600)</f>
        <v>15.037222222222223</v>
      </c>
      <c r="R12985" s="8">
        <v>14.5</v>
      </c>
      <c r="S12985" s="8">
        <v>15.3</v>
      </c>
      <c r="T12985" s="8">
        <v>0.8</v>
      </c>
      <c r="U12985" s="8">
        <v>13</v>
      </c>
      <c r="V12985" s="8">
        <v>0.6</v>
      </c>
      <c r="W12985" s="8">
        <v>0.5</v>
      </c>
      <c r="Y12985" s="8" t="s">
        <v>54378</v>
      </c>
      <c r="Z12985" s="8" t="s">
        <v>54379</v>
      </c>
    </row>
    <row r="12986" spans="1:26" x14ac:dyDescent="0.2">
      <c r="A12986" s="8">
        <v>12985</v>
      </c>
      <c r="B12986" s="8" t="s">
        <v>54380</v>
      </c>
      <c r="C12986" s="8" t="s">
        <v>54380</v>
      </c>
      <c r="G12986" s="8">
        <v>20</v>
      </c>
      <c r="H12986" s="8" t="s">
        <v>21</v>
      </c>
      <c r="I12986" s="8" t="s">
        <v>22</v>
      </c>
      <c r="J12986" s="8" t="s">
        <v>22</v>
      </c>
      <c r="K12986" s="8" t="s">
        <v>31</v>
      </c>
      <c r="L12986" s="8" t="s">
        <v>24</v>
      </c>
      <c r="M12986" s="8" t="s">
        <v>25</v>
      </c>
      <c r="N12986" s="8" t="s">
        <v>54381</v>
      </c>
      <c r="O12986" s="8">
        <f>21+54/60+22.9/3600</f>
        <v>21.90636111111111</v>
      </c>
      <c r="P12986" s="8" t="s">
        <v>54382</v>
      </c>
      <c r="Q12986" s="8">
        <f>+(15+9/60+23/3600)</f>
        <v>15.156388888888889</v>
      </c>
      <c r="R12986" s="8">
        <v>13.4</v>
      </c>
      <c r="S12986" s="8">
        <v>14.2</v>
      </c>
      <c r="T12986" s="8">
        <v>0.8</v>
      </c>
      <c r="U12986" s="8">
        <v>13.6</v>
      </c>
      <c r="V12986" s="8">
        <v>1.6</v>
      </c>
      <c r="W12986" s="8">
        <v>0.9</v>
      </c>
      <c r="X12986" s="8">
        <v>170</v>
      </c>
      <c r="Y12986" s="8" t="s">
        <v>1694</v>
      </c>
      <c r="Z12986" s="8" t="s">
        <v>38252</v>
      </c>
    </row>
    <row r="12987" spans="1:26" x14ac:dyDescent="0.2">
      <c r="A12987" s="8">
        <v>12986</v>
      </c>
      <c r="B12987" s="8" t="s">
        <v>54383</v>
      </c>
      <c r="C12987" s="8" t="s">
        <v>54383</v>
      </c>
      <c r="G12987" s="8">
        <v>2</v>
      </c>
      <c r="H12987" s="8" t="s">
        <v>54384</v>
      </c>
      <c r="I12987" s="8" t="s">
        <v>1283</v>
      </c>
      <c r="J12987" s="8" t="s">
        <v>1283</v>
      </c>
      <c r="K12987" s="8" t="s">
        <v>1751</v>
      </c>
      <c r="L12987" s="8" t="s">
        <v>30032</v>
      </c>
      <c r="M12987" s="8" t="s">
        <v>30033</v>
      </c>
      <c r="N12987" s="8" t="s">
        <v>54385</v>
      </c>
      <c r="O12987" s="8">
        <f>21+53/60+24/3600</f>
        <v>21.89</v>
      </c>
      <c r="P12987" s="8" t="s">
        <v>54386</v>
      </c>
      <c r="Q12987" s="8">
        <f>+(47+16/60+0/3600)</f>
        <v>47.266666666666666</v>
      </c>
      <c r="R12987" s="8">
        <v>99</v>
      </c>
      <c r="S12987" s="8">
        <v>99</v>
      </c>
      <c r="T12987" s="8">
        <v>99</v>
      </c>
      <c r="U12987" s="8">
        <v>99</v>
      </c>
      <c r="V12987" s="8">
        <v>10</v>
      </c>
      <c r="W12987" s="8">
        <v>10</v>
      </c>
      <c r="Y12987" s="8" t="s">
        <v>54387</v>
      </c>
      <c r="Z12987" s="8" t="s">
        <v>54388</v>
      </c>
    </row>
    <row r="12988" spans="1:26" x14ac:dyDescent="0.2">
      <c r="A12988" s="8">
        <v>12987</v>
      </c>
      <c r="B12988" s="8" t="s">
        <v>54389</v>
      </c>
      <c r="C12988" s="8" t="s">
        <v>54389</v>
      </c>
      <c r="G12988" s="8">
        <v>20</v>
      </c>
      <c r="H12988" s="8" t="s">
        <v>21</v>
      </c>
      <c r="I12988" s="8" t="s">
        <v>22</v>
      </c>
      <c r="J12988" s="8" t="s">
        <v>22</v>
      </c>
      <c r="K12988" s="8" t="s">
        <v>64</v>
      </c>
      <c r="L12988" s="8" t="s">
        <v>30731</v>
      </c>
      <c r="M12988" s="8" t="s">
        <v>30732</v>
      </c>
      <c r="N12988" s="8" t="s">
        <v>54390</v>
      </c>
      <c r="O12988" s="8">
        <f>21+59/60+26.2/3600</f>
        <v>21.990611111111111</v>
      </c>
      <c r="P12988" s="8" t="s">
        <v>54391</v>
      </c>
      <c r="Q12988" s="8">
        <f>-(65+26/60+59/3600)</f>
        <v>-65.449722222222221</v>
      </c>
      <c r="R12988" s="8">
        <v>14.4</v>
      </c>
      <c r="S12988" s="8">
        <v>15.1</v>
      </c>
      <c r="T12988" s="8">
        <v>0.7</v>
      </c>
      <c r="U12988" s="8">
        <v>13.9</v>
      </c>
      <c r="V12988" s="8">
        <v>1.2</v>
      </c>
      <c r="W12988" s="8">
        <v>0.6</v>
      </c>
      <c r="X12988" s="8">
        <v>30</v>
      </c>
      <c r="Y12988" s="8" t="s">
        <v>54392</v>
      </c>
      <c r="Z12988" s="8" t="s">
        <v>54393</v>
      </c>
    </row>
    <row r="12989" spans="1:26" x14ac:dyDescent="0.2">
      <c r="A12989" s="8">
        <v>12988</v>
      </c>
      <c r="B12989" s="8" t="s">
        <v>54394</v>
      </c>
      <c r="C12989" s="8" t="s">
        <v>54394</v>
      </c>
      <c r="G12989" s="8">
        <v>10</v>
      </c>
      <c r="H12989" s="8" t="s">
        <v>54395</v>
      </c>
      <c r="I12989" s="8" t="s">
        <v>241</v>
      </c>
      <c r="J12989" s="8" t="s">
        <v>57</v>
      </c>
      <c r="K12989" s="8" t="s">
        <v>241</v>
      </c>
      <c r="L12989" s="8" t="s">
        <v>31389</v>
      </c>
      <c r="M12989" s="8" t="s">
        <v>31390</v>
      </c>
      <c r="N12989" s="8" t="s">
        <v>54396</v>
      </c>
      <c r="O12989" s="8">
        <f>21+59/60+35.1/3600</f>
        <v>21.993083333333335</v>
      </c>
      <c r="P12989" s="8" t="s">
        <v>54397</v>
      </c>
      <c r="Q12989" s="8">
        <f>-(39+23/60+6/3600)</f>
        <v>-39.384999999999998</v>
      </c>
      <c r="R12989" s="8">
        <v>11</v>
      </c>
      <c r="S12989" s="8">
        <v>12.9</v>
      </c>
      <c r="T12989" s="8">
        <v>99</v>
      </c>
      <c r="U12989" s="8">
        <v>99</v>
      </c>
      <c r="V12989" s="8">
        <v>2.2000000000000002</v>
      </c>
      <c r="Y12989" s="8" t="s">
        <v>54398</v>
      </c>
      <c r="Z12989" s="8" t="s">
        <v>54399</v>
      </c>
    </row>
    <row r="12990" spans="1:26" x14ac:dyDescent="0.2">
      <c r="A12990" s="8">
        <v>12989</v>
      </c>
      <c r="B12990" s="8" t="s">
        <v>54400</v>
      </c>
      <c r="C12990" s="8" t="s">
        <v>54400</v>
      </c>
      <c r="G12990" s="8">
        <v>20</v>
      </c>
      <c r="H12990" s="8" t="s">
        <v>21</v>
      </c>
      <c r="I12990" s="8" t="s">
        <v>22</v>
      </c>
      <c r="J12990" s="8" t="s">
        <v>22</v>
      </c>
      <c r="K12990" s="8" t="s">
        <v>91</v>
      </c>
      <c r="L12990" s="8" t="s">
        <v>31565</v>
      </c>
      <c r="M12990" s="8" t="s">
        <v>31566</v>
      </c>
      <c r="N12990" s="8" t="s">
        <v>54401</v>
      </c>
      <c r="O12990" s="8">
        <f>21+58/60+58.9/3600</f>
        <v>21.983027777777775</v>
      </c>
      <c r="P12990" s="8" t="s">
        <v>54402</v>
      </c>
      <c r="Q12990" s="8">
        <f>-(27+24/60+52/3600)</f>
        <v>-27.414444444444442</v>
      </c>
      <c r="R12990" s="8">
        <v>13.6</v>
      </c>
      <c r="S12990" s="8">
        <v>14.5</v>
      </c>
      <c r="T12990" s="8">
        <v>0.9</v>
      </c>
      <c r="U12990" s="8">
        <v>12.9</v>
      </c>
      <c r="V12990" s="8">
        <v>1.2</v>
      </c>
      <c r="W12990" s="8">
        <v>0.5</v>
      </c>
      <c r="X12990" s="8">
        <v>32</v>
      </c>
      <c r="Y12990" s="8" t="s">
        <v>54403</v>
      </c>
      <c r="Z12990" s="8" t="s">
        <v>54404</v>
      </c>
    </row>
    <row r="12991" spans="1:26" x14ac:dyDescent="0.2">
      <c r="A12991" s="8">
        <v>12990</v>
      </c>
      <c r="B12991" s="8" t="s">
        <v>54405</v>
      </c>
      <c r="C12991" s="8" t="s">
        <v>54405</v>
      </c>
      <c r="G12991" s="8">
        <v>20</v>
      </c>
      <c r="H12991" s="8" t="s">
        <v>21</v>
      </c>
      <c r="I12991" s="8" t="s">
        <v>241</v>
      </c>
      <c r="J12991" s="8" t="s">
        <v>241</v>
      </c>
      <c r="K12991" s="8" t="s">
        <v>241</v>
      </c>
      <c r="L12991" s="8" t="s">
        <v>31389</v>
      </c>
      <c r="M12991" s="8" t="s">
        <v>31390</v>
      </c>
      <c r="N12991" s="8" t="s">
        <v>54396</v>
      </c>
      <c r="O12991" s="8">
        <f>21+59/60+35.1/3600</f>
        <v>21.993083333333335</v>
      </c>
      <c r="P12991" s="8" t="s">
        <v>54397</v>
      </c>
      <c r="Q12991" s="8">
        <f>-(39+23/60+6/3600)</f>
        <v>-39.384999999999998</v>
      </c>
      <c r="R12991" s="8">
        <v>11</v>
      </c>
      <c r="S12991" s="8">
        <v>12.9</v>
      </c>
      <c r="T12991" s="8">
        <v>99</v>
      </c>
      <c r="U12991" s="8">
        <v>99</v>
      </c>
      <c r="V12991" s="8">
        <v>2.2000000000000002</v>
      </c>
      <c r="Y12991" s="8" t="s">
        <v>54406</v>
      </c>
      <c r="Z12991" s="8" t="s">
        <v>54407</v>
      </c>
    </row>
    <row r="12992" spans="1:26" x14ac:dyDescent="0.2">
      <c r="A12992" s="8">
        <v>12991</v>
      </c>
      <c r="B12992" s="8" t="s">
        <v>54408</v>
      </c>
      <c r="C12992" s="8" t="s">
        <v>54408</v>
      </c>
      <c r="G12992" s="8">
        <v>20</v>
      </c>
      <c r="H12992" s="8" t="s">
        <v>21</v>
      </c>
      <c r="I12992" s="8" t="s">
        <v>22</v>
      </c>
      <c r="J12992" s="8" t="s">
        <v>22</v>
      </c>
      <c r="K12992" s="8" t="s">
        <v>3926</v>
      </c>
      <c r="L12992" s="8" t="s">
        <v>24</v>
      </c>
      <c r="M12992" s="8" t="s">
        <v>25</v>
      </c>
      <c r="N12992" s="8" t="s">
        <v>54409</v>
      </c>
      <c r="O12992" s="8">
        <f>21+58/60+52.8/3600</f>
        <v>21.981333333333332</v>
      </c>
      <c r="P12992" s="8" t="s">
        <v>54410</v>
      </c>
      <c r="Q12992" s="8">
        <f>+(3+45/60+46/3600)</f>
        <v>3.762777777777778</v>
      </c>
      <c r="R12992" s="8">
        <v>14.4</v>
      </c>
      <c r="S12992" s="8">
        <v>15.4</v>
      </c>
      <c r="T12992" s="8">
        <v>1</v>
      </c>
      <c r="U12992" s="8">
        <v>11.9</v>
      </c>
      <c r="V12992" s="8">
        <v>0.4</v>
      </c>
      <c r="W12992" s="8">
        <v>0.3</v>
      </c>
      <c r="X12992" s="8">
        <v>10</v>
      </c>
      <c r="Y12992" s="8" t="s">
        <v>40997</v>
      </c>
      <c r="Z12992" s="8" t="s">
        <v>40998</v>
      </c>
    </row>
    <row r="12993" spans="1:26" x14ac:dyDescent="0.2">
      <c r="A12993" s="8">
        <v>12992</v>
      </c>
      <c r="B12993" s="8" t="s">
        <v>54411</v>
      </c>
      <c r="C12993" s="8" t="s">
        <v>54411</v>
      </c>
      <c r="G12993" s="8">
        <v>10</v>
      </c>
      <c r="H12993" s="8" t="s">
        <v>21</v>
      </c>
      <c r="I12993" s="8" t="s">
        <v>22</v>
      </c>
      <c r="J12993" s="8" t="s">
        <v>22</v>
      </c>
      <c r="K12993" s="8" t="s">
        <v>3616</v>
      </c>
      <c r="L12993" s="8" t="s">
        <v>30731</v>
      </c>
      <c r="M12993" s="8" t="s">
        <v>30732</v>
      </c>
      <c r="N12993" s="8" t="s">
        <v>54412</v>
      </c>
      <c r="O12993" s="8">
        <f>22+2/60+41.9/3600</f>
        <v>22.044972222222224</v>
      </c>
      <c r="P12993" s="8" t="s">
        <v>54413</v>
      </c>
      <c r="Q12993" s="8">
        <f>-(51+17/60+46/3600)</f>
        <v>-51.296111111111109</v>
      </c>
      <c r="R12993" s="8">
        <v>10.5</v>
      </c>
      <c r="S12993" s="8">
        <v>11.1</v>
      </c>
      <c r="T12993" s="8">
        <v>0.6</v>
      </c>
      <c r="U12993" s="8">
        <v>13.4</v>
      </c>
      <c r="V12993" s="8">
        <v>5</v>
      </c>
      <c r="W12993" s="8">
        <v>3.2</v>
      </c>
      <c r="X12993" s="8">
        <v>100</v>
      </c>
      <c r="Y12993" s="8" t="s">
        <v>54414</v>
      </c>
      <c r="Z12993" s="8" t="s">
        <v>54415</v>
      </c>
    </row>
    <row r="12994" spans="1:26" x14ac:dyDescent="0.2">
      <c r="A12994" s="8">
        <v>12993</v>
      </c>
      <c r="B12994" s="8" t="s">
        <v>54416</v>
      </c>
      <c r="C12994" s="8" t="s">
        <v>54416</v>
      </c>
      <c r="G12994" s="8">
        <v>20</v>
      </c>
      <c r="H12994" s="8" t="s">
        <v>21</v>
      </c>
      <c r="I12994" s="8" t="s">
        <v>72</v>
      </c>
      <c r="J12994" s="8" t="s">
        <v>72</v>
      </c>
      <c r="K12994" s="8" t="s">
        <v>20</v>
      </c>
      <c r="L12994" s="8" t="s">
        <v>24</v>
      </c>
      <c r="M12994" s="8" t="s">
        <v>25</v>
      </c>
      <c r="N12994" s="8" t="s">
        <v>54417</v>
      </c>
      <c r="O12994" s="8">
        <f>22+0/60+23.6/3600</f>
        <v>22.006555555555554</v>
      </c>
      <c r="P12994" s="8" t="s">
        <v>54418</v>
      </c>
      <c r="Q12994" s="8">
        <f>+(17+51/60+49/3600)</f>
        <v>17.863611111111112</v>
      </c>
      <c r="R12994" s="8">
        <v>99</v>
      </c>
      <c r="S12994" s="8">
        <v>99</v>
      </c>
      <c r="T12994" s="8">
        <v>99</v>
      </c>
      <c r="U12994" s="8">
        <v>99</v>
      </c>
      <c r="Y12994" s="8" t="s">
        <v>54419</v>
      </c>
      <c r="Z12994" s="8" t="s">
        <v>54420</v>
      </c>
    </row>
    <row r="12995" spans="1:26" x14ac:dyDescent="0.2">
      <c r="A12995" s="8">
        <v>12994</v>
      </c>
      <c r="B12995" s="8" t="s">
        <v>54421</v>
      </c>
      <c r="C12995" s="8" t="s">
        <v>54421</v>
      </c>
      <c r="G12995" s="8">
        <v>20</v>
      </c>
      <c r="H12995" s="8" t="s">
        <v>21</v>
      </c>
      <c r="I12995" s="8" t="s">
        <v>22</v>
      </c>
      <c r="J12995" s="8" t="s">
        <v>22</v>
      </c>
      <c r="K12995" s="8" t="s">
        <v>4219</v>
      </c>
      <c r="L12995" s="8" t="s">
        <v>30731</v>
      </c>
      <c r="M12995" s="8" t="s">
        <v>30732</v>
      </c>
      <c r="N12995" s="8" t="s">
        <v>54422</v>
      </c>
      <c r="O12995" s="8">
        <f>22+4/60+29.6/3600</f>
        <v>22.074888888888889</v>
      </c>
      <c r="P12995" s="8" t="s">
        <v>54423</v>
      </c>
      <c r="Q12995" s="8">
        <f>-(66+6/60+51/3600)</f>
        <v>-66.114166666666662</v>
      </c>
      <c r="R12995" s="8">
        <v>14.4</v>
      </c>
      <c r="S12995" s="8">
        <v>15</v>
      </c>
      <c r="T12995" s="8">
        <v>0.6</v>
      </c>
      <c r="U12995" s="8">
        <v>12.2</v>
      </c>
      <c r="V12995" s="8">
        <v>0.5</v>
      </c>
      <c r="W12995" s="8">
        <v>0.3</v>
      </c>
      <c r="X12995" s="8">
        <v>175</v>
      </c>
      <c r="Y12995" s="8" t="s">
        <v>36198</v>
      </c>
      <c r="Z12995" s="8" t="s">
        <v>36199</v>
      </c>
    </row>
    <row r="12996" spans="1:26" x14ac:dyDescent="0.2">
      <c r="A12996" s="8">
        <v>12995</v>
      </c>
      <c r="B12996" s="8" t="s">
        <v>54424</v>
      </c>
      <c r="C12996" s="8" t="s">
        <v>54424</v>
      </c>
      <c r="G12996" s="8">
        <v>20</v>
      </c>
      <c r="H12996" s="8" t="s">
        <v>21</v>
      </c>
      <c r="I12996" s="8" t="s">
        <v>72</v>
      </c>
      <c r="J12996" s="8" t="s">
        <v>72</v>
      </c>
      <c r="K12996" s="8" t="s">
        <v>73</v>
      </c>
      <c r="L12996" s="8" t="s">
        <v>30854</v>
      </c>
      <c r="M12996" s="8" t="s">
        <v>30855</v>
      </c>
      <c r="N12996" s="8" t="s">
        <v>54425</v>
      </c>
      <c r="O12996" s="8">
        <f>22+2/60+6.2/3600</f>
        <v>22.035055555555559</v>
      </c>
      <c r="P12996" s="8" t="s">
        <v>54426</v>
      </c>
      <c r="Q12996" s="8">
        <f>+(0+29/60+18/3600)</f>
        <v>0.48833333333333334</v>
      </c>
      <c r="R12996" s="8">
        <v>99</v>
      </c>
      <c r="S12996" s="8">
        <v>99</v>
      </c>
      <c r="T12996" s="8">
        <v>99</v>
      </c>
      <c r="U12996" s="8">
        <v>99</v>
      </c>
      <c r="Y12996" s="8" t="s">
        <v>54427</v>
      </c>
      <c r="Z12996" s="8" t="s">
        <v>54428</v>
      </c>
    </row>
    <row r="12997" spans="1:26" x14ac:dyDescent="0.2">
      <c r="A12997" s="8">
        <v>12996</v>
      </c>
      <c r="B12997" s="8" t="s">
        <v>54429</v>
      </c>
      <c r="C12997" s="8" t="s">
        <v>54429</v>
      </c>
      <c r="G12997" s="8">
        <v>20</v>
      </c>
      <c r="H12997" s="8" t="s">
        <v>21</v>
      </c>
      <c r="I12997" s="8" t="s">
        <v>22</v>
      </c>
      <c r="J12997" s="8" t="s">
        <v>22</v>
      </c>
      <c r="K12997" s="8" t="s">
        <v>406</v>
      </c>
      <c r="L12997" s="8" t="s">
        <v>31565</v>
      </c>
      <c r="M12997" s="8" t="s">
        <v>31566</v>
      </c>
      <c r="N12997" s="8" t="s">
        <v>54430</v>
      </c>
      <c r="O12997" s="8">
        <f>22+3/60+14.5/3600</f>
        <v>22.05402777777778</v>
      </c>
      <c r="P12997" s="8" t="s">
        <v>54431</v>
      </c>
      <c r="Q12997" s="8">
        <f>-(33+50/60+13/3600)</f>
        <v>-33.836944444444448</v>
      </c>
      <c r="R12997" s="8">
        <v>12.2</v>
      </c>
      <c r="S12997" s="8">
        <v>13</v>
      </c>
      <c r="T12997" s="8">
        <v>0.8</v>
      </c>
      <c r="U12997" s="8">
        <v>12.7</v>
      </c>
      <c r="V12997" s="8">
        <v>2.2000000000000002</v>
      </c>
      <c r="W12997" s="8">
        <v>0.8</v>
      </c>
      <c r="X12997" s="8">
        <v>175</v>
      </c>
      <c r="Y12997" s="8" t="s">
        <v>803</v>
      </c>
      <c r="Z12997" s="8" t="s">
        <v>804</v>
      </c>
    </row>
    <row r="12998" spans="1:26" x14ac:dyDescent="0.2">
      <c r="A12998" s="8">
        <v>12997</v>
      </c>
      <c r="B12998" s="8" t="s">
        <v>54432</v>
      </c>
      <c r="C12998" s="8" t="s">
        <v>54432</v>
      </c>
      <c r="G12998" s="8">
        <v>20</v>
      </c>
      <c r="H12998" s="8" t="s">
        <v>21</v>
      </c>
      <c r="I12998" s="8" t="s">
        <v>22</v>
      </c>
      <c r="J12998" s="8" t="s">
        <v>22</v>
      </c>
      <c r="K12998" s="8" t="s">
        <v>460</v>
      </c>
      <c r="L12998" s="8" t="s">
        <v>31565</v>
      </c>
      <c r="M12998" s="8" t="s">
        <v>31566</v>
      </c>
      <c r="N12998" s="8" t="s">
        <v>54433</v>
      </c>
      <c r="O12998" s="8">
        <f>22+3/60+27/3600</f>
        <v>22.057500000000001</v>
      </c>
      <c r="P12998" s="8" t="s">
        <v>54434</v>
      </c>
      <c r="Q12998" s="8">
        <f>-(34+56/60+29/3600)</f>
        <v>-34.941388888888888</v>
      </c>
      <c r="R12998" s="8">
        <v>12</v>
      </c>
      <c r="S12998" s="8">
        <v>13</v>
      </c>
      <c r="T12998" s="8">
        <v>1</v>
      </c>
      <c r="U12998" s="8">
        <v>12.6</v>
      </c>
      <c r="V12998" s="8">
        <v>1.3</v>
      </c>
      <c r="W12998" s="8">
        <v>1.3</v>
      </c>
      <c r="Y12998" s="8" t="s">
        <v>54435</v>
      </c>
      <c r="Z12998" s="8" t="s">
        <v>54436</v>
      </c>
    </row>
    <row r="12999" spans="1:26" x14ac:dyDescent="0.2">
      <c r="A12999" s="8">
        <v>12998</v>
      </c>
      <c r="B12999" s="8" t="s">
        <v>54437</v>
      </c>
      <c r="C12999" s="8" t="s">
        <v>54437</v>
      </c>
      <c r="G12999" s="8">
        <v>20</v>
      </c>
      <c r="H12999" s="8" t="s">
        <v>21</v>
      </c>
      <c r="I12999" s="8" t="s">
        <v>22</v>
      </c>
      <c r="J12999" s="8" t="s">
        <v>22</v>
      </c>
      <c r="K12999" s="8" t="s">
        <v>323</v>
      </c>
      <c r="L12999" s="8" t="s">
        <v>30731</v>
      </c>
      <c r="M12999" s="8" t="s">
        <v>30732</v>
      </c>
      <c r="N12999" s="8" t="s">
        <v>54438</v>
      </c>
      <c r="O12999" s="8">
        <f>22+6/60+24.9/3600</f>
        <v>22.106916666666667</v>
      </c>
      <c r="P12999" s="8" t="s">
        <v>54439</v>
      </c>
      <c r="Q12999" s="8">
        <f>-(67+31/60+3/3600)</f>
        <v>-67.517499999999998</v>
      </c>
      <c r="R12999" s="8">
        <v>14.6</v>
      </c>
      <c r="S12999" s="8">
        <v>15.2</v>
      </c>
      <c r="T12999" s="8">
        <v>0.6</v>
      </c>
      <c r="U12999" s="8">
        <v>13.8</v>
      </c>
      <c r="V12999" s="8">
        <v>0.9</v>
      </c>
      <c r="W12999" s="8">
        <v>0.6</v>
      </c>
      <c r="X12999" s="8">
        <v>54</v>
      </c>
      <c r="Y12999" s="8" t="s">
        <v>52828</v>
      </c>
      <c r="Z12999" s="8" t="s">
        <v>52829</v>
      </c>
    </row>
    <row r="13000" spans="1:26" x14ac:dyDescent="0.2">
      <c r="A13000" s="8">
        <v>12999</v>
      </c>
      <c r="B13000" s="8" t="s">
        <v>54440</v>
      </c>
      <c r="C13000" s="8" t="s">
        <v>54440</v>
      </c>
      <c r="G13000" s="8">
        <v>20</v>
      </c>
      <c r="H13000" s="8" t="s">
        <v>21</v>
      </c>
      <c r="I13000" s="8" t="s">
        <v>72</v>
      </c>
      <c r="J13000" s="8" t="s">
        <v>72</v>
      </c>
      <c r="K13000" s="8" t="s">
        <v>20</v>
      </c>
      <c r="L13000" s="8" t="s">
        <v>30854</v>
      </c>
      <c r="M13000" s="8" t="s">
        <v>30855</v>
      </c>
      <c r="N13000" s="8" t="s">
        <v>54441</v>
      </c>
      <c r="O13000" s="8">
        <f>22+2/60+40/3600</f>
        <v>22.044444444444448</v>
      </c>
      <c r="P13000" s="8" t="s">
        <v>54442</v>
      </c>
      <c r="Q13000" s="8">
        <f>+(0+19/60+10/3600)</f>
        <v>0.31944444444444442</v>
      </c>
      <c r="R13000" s="8">
        <v>99</v>
      </c>
      <c r="S13000" s="8">
        <v>14.8</v>
      </c>
      <c r="T13000" s="8">
        <v>99</v>
      </c>
      <c r="U13000" s="8">
        <v>99</v>
      </c>
      <c r="Y13000" s="8" t="s">
        <v>54443</v>
      </c>
      <c r="Z13000" s="8" t="s">
        <v>54444</v>
      </c>
    </row>
    <row r="13001" spans="1:26" x14ac:dyDescent="0.2">
      <c r="A13001" s="8">
        <v>13000</v>
      </c>
      <c r="B13001" s="8" t="s">
        <v>54445</v>
      </c>
      <c r="C13001" s="8" t="s">
        <v>54445</v>
      </c>
      <c r="G13001" s="8">
        <v>20</v>
      </c>
      <c r="H13001" s="8" t="s">
        <v>21</v>
      </c>
      <c r="I13001" s="8" t="s">
        <v>22</v>
      </c>
      <c r="J13001" s="8" t="s">
        <v>22</v>
      </c>
      <c r="K13001" s="8" t="s">
        <v>224</v>
      </c>
      <c r="L13001" s="8" t="s">
        <v>24</v>
      </c>
      <c r="M13001" s="8" t="s">
        <v>25</v>
      </c>
      <c r="N13001" s="8" t="s">
        <v>54446</v>
      </c>
      <c r="O13001" s="8">
        <f>22+3/60+4.8/3600</f>
        <v>22.051333333333336</v>
      </c>
      <c r="P13001" s="8" t="s">
        <v>54447</v>
      </c>
      <c r="Q13001" s="8">
        <f>+(10+55/60+31/3600)</f>
        <v>10.925277777777778</v>
      </c>
      <c r="R13001" s="8">
        <v>14.4</v>
      </c>
      <c r="S13001" s="8">
        <v>15.4</v>
      </c>
      <c r="T13001" s="8">
        <v>1</v>
      </c>
      <c r="U13001" s="8">
        <v>14.1</v>
      </c>
      <c r="V13001" s="8">
        <v>1.1000000000000001</v>
      </c>
      <c r="W13001" s="8">
        <v>0.8</v>
      </c>
      <c r="X13001" s="8">
        <v>22</v>
      </c>
      <c r="Y13001" s="8" t="s">
        <v>2181</v>
      </c>
      <c r="Z13001" s="8" t="s">
        <v>2182</v>
      </c>
    </row>
    <row r="13002" spans="1:26" x14ac:dyDescent="0.2">
      <c r="A13002" s="8">
        <v>13001</v>
      </c>
      <c r="B13002" s="8" t="s">
        <v>54448</v>
      </c>
      <c r="C13002" s="8" t="s">
        <v>54448</v>
      </c>
      <c r="G13002" s="8">
        <v>20</v>
      </c>
      <c r="H13002" s="8" t="s">
        <v>21</v>
      </c>
      <c r="I13002" s="8" t="s">
        <v>22</v>
      </c>
      <c r="J13002" s="8" t="s">
        <v>22</v>
      </c>
      <c r="K13002" s="8" t="s">
        <v>449</v>
      </c>
      <c r="L13002" s="8" t="s">
        <v>24</v>
      </c>
      <c r="M13002" s="8" t="s">
        <v>25</v>
      </c>
      <c r="N13002" s="8" t="s">
        <v>54449</v>
      </c>
      <c r="O13002" s="8">
        <f>22+5/60+38.9/3600</f>
        <v>22.094138888888889</v>
      </c>
      <c r="P13002" s="8" t="s">
        <v>54450</v>
      </c>
      <c r="Q13002" s="8">
        <f>+(9+38/60+26/3600)</f>
        <v>9.6405555555555544</v>
      </c>
      <c r="R13002" s="8">
        <v>14.4</v>
      </c>
      <c r="S13002" s="8">
        <v>15.2</v>
      </c>
      <c r="T13002" s="8">
        <v>0.8</v>
      </c>
      <c r="U13002" s="8">
        <v>11.5</v>
      </c>
      <c r="V13002" s="8">
        <v>0.4</v>
      </c>
      <c r="W13002" s="8">
        <v>0.2</v>
      </c>
      <c r="X13002" s="8">
        <v>10</v>
      </c>
      <c r="Y13002" s="8" t="s">
        <v>54451</v>
      </c>
      <c r="Z13002" s="8" t="s">
        <v>54452</v>
      </c>
    </row>
    <row r="13003" spans="1:26" x14ac:dyDescent="0.2">
      <c r="A13003" s="8">
        <v>13002</v>
      </c>
      <c r="B13003" s="8" t="s">
        <v>54453</v>
      </c>
      <c r="C13003" s="8" t="s">
        <v>54453</v>
      </c>
      <c r="G13003" s="8">
        <v>20</v>
      </c>
      <c r="H13003" s="8" t="s">
        <v>21</v>
      </c>
      <c r="I13003" s="8" t="s">
        <v>22</v>
      </c>
      <c r="J13003" s="8" t="s">
        <v>22</v>
      </c>
      <c r="K13003" s="8" t="s">
        <v>449</v>
      </c>
      <c r="L13003" s="8" t="s">
        <v>30731</v>
      </c>
      <c r="M13003" s="8" t="s">
        <v>30732</v>
      </c>
      <c r="N13003" s="8" t="s">
        <v>54454</v>
      </c>
      <c r="O13003" s="8">
        <f>22+8/60+2.9/3600</f>
        <v>22.134138888888888</v>
      </c>
      <c r="P13003" s="8" t="s">
        <v>42082</v>
      </c>
      <c r="Q13003" s="8">
        <f>-(52+42/60+49/3600)</f>
        <v>-52.713611111111113</v>
      </c>
      <c r="R13003" s="8">
        <v>14.4</v>
      </c>
      <c r="S13003" s="8">
        <v>15.2</v>
      </c>
      <c r="T13003" s="8">
        <v>0.8</v>
      </c>
      <c r="U13003" s="8">
        <v>13.2</v>
      </c>
      <c r="V13003" s="8">
        <v>0.9</v>
      </c>
      <c r="W13003" s="8">
        <v>0.3</v>
      </c>
      <c r="X13003" s="8">
        <v>114</v>
      </c>
      <c r="Y13003" s="8" t="s">
        <v>54455</v>
      </c>
      <c r="Z13003" s="8" t="s">
        <v>54456</v>
      </c>
    </row>
    <row r="13004" spans="1:26" x14ac:dyDescent="0.2">
      <c r="A13004" s="8">
        <v>13003</v>
      </c>
      <c r="B13004" s="8" t="s">
        <v>54457</v>
      </c>
      <c r="C13004" s="8" t="s">
        <v>54457</v>
      </c>
      <c r="G13004" s="8">
        <v>20</v>
      </c>
      <c r="H13004" s="8" t="s">
        <v>21</v>
      </c>
      <c r="I13004" s="8" t="s">
        <v>72</v>
      </c>
      <c r="J13004" s="8" t="s">
        <v>72</v>
      </c>
      <c r="K13004" s="8" t="s">
        <v>73</v>
      </c>
      <c r="L13004" s="8" t="s">
        <v>24</v>
      </c>
      <c r="M13004" s="8" t="s">
        <v>25</v>
      </c>
      <c r="N13004" s="8" t="s">
        <v>54458</v>
      </c>
      <c r="O13004" s="8">
        <f>22+5/60+46.4/3600</f>
        <v>22.09622222222222</v>
      </c>
      <c r="P13004" s="8" t="s">
        <v>54459</v>
      </c>
      <c r="Q13004" s="8">
        <f>+(27+5/60+0/3600)</f>
        <v>27.083333333333332</v>
      </c>
      <c r="R13004" s="8">
        <v>99</v>
      </c>
      <c r="S13004" s="8">
        <v>99</v>
      </c>
      <c r="T13004" s="8">
        <v>99</v>
      </c>
      <c r="U13004" s="8">
        <v>99</v>
      </c>
      <c r="Y13004" s="8" t="s">
        <v>54460</v>
      </c>
      <c r="Z13004" s="8" t="s">
        <v>54461</v>
      </c>
    </row>
    <row r="13005" spans="1:26" x14ac:dyDescent="0.2">
      <c r="A13005" s="8">
        <v>13004</v>
      </c>
      <c r="B13005" s="8" t="s">
        <v>54462</v>
      </c>
      <c r="C13005" s="8" t="s">
        <v>54462</v>
      </c>
      <c r="G13005" s="8">
        <v>20</v>
      </c>
      <c r="H13005" s="8" t="s">
        <v>21</v>
      </c>
      <c r="I13005" s="8" t="s">
        <v>72</v>
      </c>
      <c r="J13005" s="8" t="s">
        <v>72</v>
      </c>
      <c r="K13005" s="8" t="s">
        <v>20</v>
      </c>
      <c r="L13005" s="8" t="s">
        <v>24</v>
      </c>
      <c r="M13005" s="8" t="s">
        <v>25</v>
      </c>
      <c r="N13005" s="8" t="s">
        <v>54463</v>
      </c>
      <c r="O13005" s="8">
        <f>22+5/60+50.4/3600</f>
        <v>22.097333333333331</v>
      </c>
      <c r="P13005" s="8" t="s">
        <v>54464</v>
      </c>
      <c r="Q13005" s="8">
        <f>+(27+2/60+27/3600)</f>
        <v>27.040833333333335</v>
      </c>
      <c r="R13005" s="8">
        <v>99</v>
      </c>
      <c r="S13005" s="8">
        <v>13.4</v>
      </c>
      <c r="T13005" s="8">
        <v>99</v>
      </c>
      <c r="U13005" s="8">
        <v>99</v>
      </c>
      <c r="Y13005" s="8" t="s">
        <v>457</v>
      </c>
      <c r="Z13005" s="8" t="s">
        <v>54465</v>
      </c>
    </row>
    <row r="13006" spans="1:26" x14ac:dyDescent="0.2">
      <c r="A13006" s="8">
        <v>13005</v>
      </c>
      <c r="B13006" s="8" t="s">
        <v>54466</v>
      </c>
      <c r="C13006" s="8" t="s">
        <v>54466</v>
      </c>
      <c r="G13006" s="8">
        <v>20</v>
      </c>
      <c r="H13006" s="8" t="s">
        <v>21</v>
      </c>
      <c r="I13006" s="8" t="s">
        <v>22</v>
      </c>
      <c r="J13006" s="8" t="s">
        <v>22</v>
      </c>
      <c r="K13006" s="8" t="s">
        <v>406</v>
      </c>
      <c r="L13006" s="8" t="s">
        <v>310</v>
      </c>
      <c r="M13006" s="8" t="s">
        <v>311</v>
      </c>
      <c r="N13006" s="8" t="s">
        <v>54467</v>
      </c>
      <c r="O13006" s="8">
        <f>22+10/60+6.9/3600</f>
        <v>22.168583333333334</v>
      </c>
      <c r="P13006" s="8" t="s">
        <v>54468</v>
      </c>
      <c r="Q13006" s="8">
        <f>-(64+34/60+42/3600)</f>
        <v>-64.578333333333333</v>
      </c>
      <c r="R13006" s="8">
        <v>13.9</v>
      </c>
      <c r="S13006" s="8">
        <v>14.7</v>
      </c>
      <c r="T13006" s="8">
        <v>0.8</v>
      </c>
      <c r="U13006" s="8">
        <v>13.2</v>
      </c>
      <c r="V13006" s="8">
        <v>1.3</v>
      </c>
      <c r="W13006" s="8">
        <v>0.4</v>
      </c>
      <c r="X13006" s="8">
        <v>45</v>
      </c>
      <c r="Y13006" s="8" t="s">
        <v>962</v>
      </c>
      <c r="Z13006" s="8" t="s">
        <v>963</v>
      </c>
    </row>
    <row r="13007" spans="1:26" x14ac:dyDescent="0.2">
      <c r="A13007" s="8">
        <v>13006</v>
      </c>
      <c r="B13007" s="8" t="s">
        <v>54469</v>
      </c>
      <c r="C13007" s="8" t="s">
        <v>54469</v>
      </c>
      <c r="G13007" s="8">
        <v>20</v>
      </c>
      <c r="H13007" s="8" t="s">
        <v>21</v>
      </c>
      <c r="I13007" s="8" t="s">
        <v>72</v>
      </c>
      <c r="J13007" s="8" t="s">
        <v>72</v>
      </c>
      <c r="K13007" s="8" t="s">
        <v>20</v>
      </c>
      <c r="L13007" s="8" t="s">
        <v>24</v>
      </c>
      <c r="M13007" s="8" t="s">
        <v>25</v>
      </c>
      <c r="N13007" s="8" t="s">
        <v>54470</v>
      </c>
      <c r="O13007" s="8">
        <f>22+5/60+58.3/3600</f>
        <v>22.099527777777777</v>
      </c>
      <c r="P13007" s="8" t="s">
        <v>54471</v>
      </c>
      <c r="Q13007" s="8">
        <f>+(27+2/60+51/3600)</f>
        <v>27.047500000000003</v>
      </c>
      <c r="R13007" s="8">
        <v>99</v>
      </c>
      <c r="S13007" s="8">
        <v>14.6</v>
      </c>
      <c r="T13007" s="8">
        <v>99</v>
      </c>
      <c r="U13007" s="8">
        <v>99</v>
      </c>
      <c r="Y13007" s="8" t="s">
        <v>54472</v>
      </c>
      <c r="Z13007" s="8" t="s">
        <v>54473</v>
      </c>
    </row>
    <row r="13008" spans="1:26" x14ac:dyDescent="0.2">
      <c r="A13008" s="8">
        <v>13007</v>
      </c>
      <c r="B13008" s="8" t="s">
        <v>54474</v>
      </c>
      <c r="C13008" s="8" t="s">
        <v>54474</v>
      </c>
      <c r="G13008" s="8">
        <v>20</v>
      </c>
      <c r="H13008" s="8" t="s">
        <v>21</v>
      </c>
      <c r="I13008" s="8" t="s">
        <v>72</v>
      </c>
      <c r="J13008" s="8" t="s">
        <v>72</v>
      </c>
      <c r="K13008" s="8" t="s">
        <v>20</v>
      </c>
      <c r="L13008" s="8" t="s">
        <v>30854</v>
      </c>
      <c r="M13008" s="8" t="s">
        <v>30855</v>
      </c>
      <c r="N13008" s="8" t="s">
        <v>54475</v>
      </c>
      <c r="O13008" s="8">
        <f>22+7/60+31.6/3600</f>
        <v>22.125444444444444</v>
      </c>
      <c r="P13008" s="8" t="s">
        <v>54476</v>
      </c>
      <c r="Q13008" s="8">
        <f>-(8+7/60+21/3600)</f>
        <v>-8.1225000000000005</v>
      </c>
      <c r="R13008" s="8">
        <v>99</v>
      </c>
      <c r="S13008" s="8">
        <v>99</v>
      </c>
      <c r="T13008" s="8">
        <v>99</v>
      </c>
      <c r="U13008" s="8">
        <v>99</v>
      </c>
      <c r="Y13008" s="8" t="s">
        <v>54477</v>
      </c>
      <c r="Z13008" s="8" t="s">
        <v>54478</v>
      </c>
    </row>
    <row r="13009" spans="1:26" x14ac:dyDescent="0.2">
      <c r="A13009" s="8">
        <v>13008</v>
      </c>
      <c r="B13009" s="8" t="s">
        <v>54479</v>
      </c>
      <c r="C13009" s="8" t="s">
        <v>54479</v>
      </c>
      <c r="G13009" s="8">
        <v>20</v>
      </c>
      <c r="H13009" s="8" t="s">
        <v>21</v>
      </c>
      <c r="I13009" s="8" t="s">
        <v>22</v>
      </c>
      <c r="J13009" s="8" t="s">
        <v>22</v>
      </c>
      <c r="K13009" s="8" t="s">
        <v>64</v>
      </c>
      <c r="L13009" s="8" t="s">
        <v>31565</v>
      </c>
      <c r="M13009" s="8" t="s">
        <v>31566</v>
      </c>
      <c r="N13009" s="8" t="s">
        <v>54480</v>
      </c>
      <c r="O13009" s="8">
        <f>22+8/60+45.5/3600</f>
        <v>22.145972222222223</v>
      </c>
      <c r="P13009" s="8" t="s">
        <v>54481</v>
      </c>
      <c r="Q13009" s="8">
        <f>-(27+51/60+24/3600)</f>
        <v>-27.856666666666669</v>
      </c>
      <c r="R13009" s="8">
        <v>14.8</v>
      </c>
      <c r="S13009" s="8">
        <v>15.5</v>
      </c>
      <c r="T13009" s="8">
        <v>0.7</v>
      </c>
      <c r="U13009" s="8">
        <v>13.6</v>
      </c>
      <c r="V13009" s="8">
        <v>1.3</v>
      </c>
      <c r="W13009" s="8">
        <v>0.3</v>
      </c>
      <c r="X13009" s="8">
        <v>144</v>
      </c>
      <c r="Y13009" s="8" t="s">
        <v>54482</v>
      </c>
      <c r="Z13009" s="8" t="s">
        <v>54483</v>
      </c>
    </row>
    <row r="13010" spans="1:26" x14ac:dyDescent="0.2">
      <c r="A13010" s="8">
        <v>13009</v>
      </c>
      <c r="B13010" s="8" t="s">
        <v>54484</v>
      </c>
      <c r="C13010" s="8" t="s">
        <v>54484</v>
      </c>
      <c r="G13010" s="8">
        <v>20</v>
      </c>
      <c r="H13010" s="8" t="s">
        <v>21</v>
      </c>
      <c r="I13010" s="8" t="s">
        <v>22</v>
      </c>
      <c r="J13010" s="8" t="s">
        <v>22</v>
      </c>
      <c r="K13010" s="8" t="s">
        <v>435</v>
      </c>
      <c r="L13010" s="8" t="s">
        <v>31565</v>
      </c>
      <c r="M13010" s="8" t="s">
        <v>31566</v>
      </c>
      <c r="N13010" s="8" t="s">
        <v>54485</v>
      </c>
      <c r="O13010" s="8">
        <f>22+10/60+10/3600</f>
        <v>22.169444444444444</v>
      </c>
      <c r="P13010" s="8" t="s">
        <v>54486</v>
      </c>
      <c r="Q13010" s="8">
        <f>-(36+5/60+20/3600)</f>
        <v>-36.088888888888889</v>
      </c>
      <c r="R13010" s="8">
        <v>12.9</v>
      </c>
      <c r="S13010" s="8">
        <v>13.8</v>
      </c>
      <c r="T13010" s="8">
        <v>0.9</v>
      </c>
      <c r="U13010" s="8">
        <v>12.7</v>
      </c>
      <c r="V13010" s="8">
        <v>1.9</v>
      </c>
      <c r="W13010" s="8">
        <v>0.5</v>
      </c>
      <c r="X13010" s="8">
        <v>22</v>
      </c>
      <c r="Y13010" s="8" t="s">
        <v>54487</v>
      </c>
      <c r="Z13010" s="8" t="s">
        <v>54488</v>
      </c>
    </row>
    <row r="13011" spans="1:26" x14ac:dyDescent="0.2">
      <c r="A13011" s="8">
        <v>13010</v>
      </c>
      <c r="B13011" s="8" t="s">
        <v>54489</v>
      </c>
      <c r="C13011" s="8" t="s">
        <v>54489</v>
      </c>
      <c r="G13011" s="8">
        <v>20</v>
      </c>
      <c r="H13011" s="8" t="s">
        <v>21</v>
      </c>
      <c r="I13011" s="8" t="s">
        <v>22</v>
      </c>
      <c r="J13011" s="8" t="s">
        <v>22</v>
      </c>
      <c r="K13011" s="8" t="s">
        <v>154</v>
      </c>
      <c r="L13011" s="8" t="s">
        <v>31389</v>
      </c>
      <c r="M13011" s="8" t="s">
        <v>31390</v>
      </c>
      <c r="N13011" s="8" t="s">
        <v>54490</v>
      </c>
      <c r="O13011" s="8">
        <f>22+12/60+29.6/3600</f>
        <v>22.208222222222222</v>
      </c>
      <c r="P13011" s="8" t="s">
        <v>54491</v>
      </c>
      <c r="Q13011" s="8">
        <f>-(47+13/60+17/3600)</f>
        <v>-47.221388888888889</v>
      </c>
      <c r="R13011" s="8">
        <v>12.5</v>
      </c>
      <c r="S13011" s="8">
        <v>13.4</v>
      </c>
      <c r="T13011" s="8">
        <v>0.9</v>
      </c>
      <c r="U13011" s="8">
        <v>12.7</v>
      </c>
      <c r="V13011" s="8">
        <v>1.8</v>
      </c>
      <c r="W13011" s="8">
        <v>0.8</v>
      </c>
      <c r="X13011" s="8">
        <v>26</v>
      </c>
      <c r="Y13011" s="8" t="s">
        <v>54492</v>
      </c>
      <c r="Z13011" s="8" t="s">
        <v>38252</v>
      </c>
    </row>
    <row r="13012" spans="1:26" x14ac:dyDescent="0.2">
      <c r="A13012" s="8">
        <v>13011</v>
      </c>
      <c r="B13012" s="8" t="s">
        <v>54493</v>
      </c>
      <c r="C13012" s="8" t="s">
        <v>54493</v>
      </c>
      <c r="G13012" s="8">
        <v>20</v>
      </c>
      <c r="H13012" s="8" t="s">
        <v>21</v>
      </c>
      <c r="I13012" s="8" t="s">
        <v>22</v>
      </c>
      <c r="J13012" s="8" t="s">
        <v>22</v>
      </c>
      <c r="K13012" s="8" t="s">
        <v>85</v>
      </c>
      <c r="L13012" s="8" t="s">
        <v>31389</v>
      </c>
      <c r="M13012" s="8" t="s">
        <v>31390</v>
      </c>
      <c r="N13012" s="8" t="s">
        <v>54494</v>
      </c>
      <c r="O13012" s="8">
        <f>22+10/60+56.6/3600</f>
        <v>22.182388888888891</v>
      </c>
      <c r="P13012" s="8" t="s">
        <v>54495</v>
      </c>
      <c r="Q13012" s="8">
        <f>-(46+4/60+55/3600)</f>
        <v>-46.081944444444446</v>
      </c>
      <c r="R13012" s="8">
        <v>12.6</v>
      </c>
      <c r="S13012" s="8">
        <v>13.4</v>
      </c>
      <c r="T13012" s="8">
        <v>0.8</v>
      </c>
      <c r="U13012" s="8">
        <v>12.9</v>
      </c>
      <c r="V13012" s="8">
        <v>3.1</v>
      </c>
      <c r="W13012" s="8">
        <v>0.5</v>
      </c>
      <c r="X13012" s="8">
        <v>158</v>
      </c>
      <c r="Y13012" s="8" t="s">
        <v>1694</v>
      </c>
      <c r="Z13012" s="8" t="s">
        <v>38252</v>
      </c>
    </row>
    <row r="13013" spans="1:26" x14ac:dyDescent="0.2">
      <c r="A13013" s="8">
        <v>13012</v>
      </c>
      <c r="B13013" s="8" t="s">
        <v>54496</v>
      </c>
      <c r="C13013" s="8" t="s">
        <v>54496</v>
      </c>
      <c r="G13013" s="8">
        <v>20</v>
      </c>
      <c r="H13013" s="8" t="s">
        <v>21</v>
      </c>
      <c r="I13013" s="8" t="s">
        <v>22</v>
      </c>
      <c r="J13013" s="8" t="s">
        <v>22</v>
      </c>
      <c r="K13013" s="8" t="s">
        <v>449</v>
      </c>
      <c r="L13013" s="8" t="s">
        <v>24</v>
      </c>
      <c r="M13013" s="8" t="s">
        <v>25</v>
      </c>
      <c r="N13013" s="8" t="s">
        <v>54497</v>
      </c>
      <c r="O13013" s="8">
        <f>22+9/60+55.4/3600</f>
        <v>22.165388888888888</v>
      </c>
      <c r="P13013" s="8" t="s">
        <v>54498</v>
      </c>
      <c r="Q13013" s="8">
        <f>+(12+49/60+4/3600)</f>
        <v>12.817777777777778</v>
      </c>
      <c r="R13013" s="8">
        <v>14.8</v>
      </c>
      <c r="S13013" s="8">
        <v>15.6</v>
      </c>
      <c r="T13013" s="8">
        <v>0.8</v>
      </c>
      <c r="U13013" s="8">
        <v>11.9</v>
      </c>
      <c r="V13013" s="8">
        <v>0.4</v>
      </c>
      <c r="W13013" s="8">
        <v>0.2</v>
      </c>
      <c r="X13013" s="8">
        <v>90</v>
      </c>
      <c r="Y13013" s="8" t="s">
        <v>54499</v>
      </c>
      <c r="Z13013" s="8" t="s">
        <v>54500</v>
      </c>
    </row>
    <row r="13014" spans="1:26" x14ac:dyDescent="0.2">
      <c r="A13014" s="8">
        <v>13013</v>
      </c>
      <c r="B13014" s="8" t="s">
        <v>54501</v>
      </c>
      <c r="C13014" s="8" t="s">
        <v>54501</v>
      </c>
      <c r="D13014" s="8" t="s">
        <v>351</v>
      </c>
      <c r="G13014" s="8">
        <v>14</v>
      </c>
      <c r="H13014" s="8" t="s">
        <v>54502</v>
      </c>
      <c r="I13014" s="8" t="s">
        <v>22</v>
      </c>
      <c r="J13014" s="8" t="s">
        <v>22</v>
      </c>
      <c r="K13014" s="8" t="s">
        <v>64</v>
      </c>
      <c r="L13014" s="8" t="s">
        <v>30731</v>
      </c>
      <c r="M13014" s="8" t="s">
        <v>30732</v>
      </c>
      <c r="N13014" s="8" t="s">
        <v>54503</v>
      </c>
      <c r="O13014" s="8">
        <f>22+14/60+44.5/3600</f>
        <v>22.245694444444446</v>
      </c>
      <c r="P13014" s="8" t="s">
        <v>54504</v>
      </c>
      <c r="Q13014" s="8">
        <f>-(69+21/60+57/3600)</f>
        <v>-69.365833333333327</v>
      </c>
      <c r="R13014" s="8">
        <v>14.5</v>
      </c>
      <c r="S13014" s="8">
        <v>15.2</v>
      </c>
      <c r="T13014" s="8">
        <v>0.7</v>
      </c>
      <c r="U13014" s="8">
        <v>13.4</v>
      </c>
      <c r="V13014" s="8">
        <v>1.4</v>
      </c>
      <c r="W13014" s="8">
        <v>0.3</v>
      </c>
      <c r="X13014" s="8">
        <v>73</v>
      </c>
      <c r="Y13014" s="8" t="s">
        <v>54505</v>
      </c>
      <c r="Z13014" s="8" t="s">
        <v>54506</v>
      </c>
    </row>
    <row r="13015" spans="1:26" x14ac:dyDescent="0.2">
      <c r="A13015" s="8">
        <v>13014</v>
      </c>
      <c r="B13015" s="8" t="s">
        <v>54507</v>
      </c>
      <c r="C13015" s="8" t="s">
        <v>54507</v>
      </c>
      <c r="G13015" s="8">
        <v>20</v>
      </c>
      <c r="H13015" s="8" t="s">
        <v>21</v>
      </c>
      <c r="I13015" s="8" t="s">
        <v>22</v>
      </c>
      <c r="J13015" s="8" t="s">
        <v>22</v>
      </c>
      <c r="K13015" s="8" t="s">
        <v>218</v>
      </c>
      <c r="L13015" s="8" t="s">
        <v>31389</v>
      </c>
      <c r="M13015" s="8" t="s">
        <v>31390</v>
      </c>
      <c r="N13015" s="8" t="s">
        <v>54508</v>
      </c>
      <c r="O13015" s="8">
        <f>22+12/60+44.5/3600</f>
        <v>22.212361111111111</v>
      </c>
      <c r="P13015" s="8" t="s">
        <v>54509</v>
      </c>
      <c r="Q13015" s="8">
        <f>-(38+10/60+18/3600)</f>
        <v>-38.171666666666667</v>
      </c>
      <c r="R13015" s="8">
        <v>14</v>
      </c>
      <c r="S13015" s="8">
        <v>14.8</v>
      </c>
      <c r="T13015" s="8">
        <v>0.8</v>
      </c>
      <c r="U13015" s="8">
        <v>14.3</v>
      </c>
      <c r="V13015" s="8">
        <v>2.1</v>
      </c>
      <c r="W13015" s="8">
        <v>1.1000000000000001</v>
      </c>
      <c r="X13015" s="8">
        <v>1</v>
      </c>
      <c r="Y13015" s="8" t="s">
        <v>54510</v>
      </c>
      <c r="Z13015" s="8" t="s">
        <v>54511</v>
      </c>
    </row>
    <row r="13016" spans="1:26" x14ac:dyDescent="0.2">
      <c r="A13016" s="8">
        <v>13015</v>
      </c>
      <c r="B13016" s="8" t="s">
        <v>54512</v>
      </c>
      <c r="C13016" s="8" t="s">
        <v>54512</v>
      </c>
      <c r="G13016" s="8">
        <v>20</v>
      </c>
      <c r="H13016" s="8" t="s">
        <v>21</v>
      </c>
      <c r="I13016" s="8" t="s">
        <v>22</v>
      </c>
      <c r="J13016" s="8" t="s">
        <v>22</v>
      </c>
      <c r="K13016" s="8" t="s">
        <v>31</v>
      </c>
      <c r="L13016" s="8" t="s">
        <v>31389</v>
      </c>
      <c r="M13016" s="8" t="s">
        <v>31390</v>
      </c>
      <c r="N13016" s="8" t="s">
        <v>54513</v>
      </c>
      <c r="O13016" s="8">
        <f>22+12/60+48.2/3600</f>
        <v>22.21338888888889</v>
      </c>
      <c r="P13016" s="8" t="s">
        <v>54514</v>
      </c>
      <c r="Q13016" s="8">
        <f>-(38+7/60+38/3600)</f>
        <v>-38.127222222222223</v>
      </c>
      <c r="R13016" s="8">
        <v>13.6</v>
      </c>
      <c r="S13016" s="8">
        <v>14.4</v>
      </c>
      <c r="T13016" s="8">
        <v>0.8</v>
      </c>
      <c r="U13016" s="8">
        <v>13</v>
      </c>
      <c r="V13016" s="8">
        <v>1.4</v>
      </c>
      <c r="W13016" s="8">
        <v>0.5</v>
      </c>
      <c r="X13016" s="8">
        <v>94</v>
      </c>
      <c r="Y13016" s="8" t="s">
        <v>18635</v>
      </c>
      <c r="Z13016" s="8" t="s">
        <v>18636</v>
      </c>
    </row>
    <row r="13017" spans="1:26" x14ac:dyDescent="0.2">
      <c r="A13017" s="8">
        <v>13016</v>
      </c>
      <c r="B13017" s="8" t="s">
        <v>54515</v>
      </c>
      <c r="C13017" s="8" t="s">
        <v>54515</v>
      </c>
      <c r="G13017" s="8">
        <v>20</v>
      </c>
      <c r="H13017" s="8" t="s">
        <v>21</v>
      </c>
      <c r="I13017" s="8" t="s">
        <v>22</v>
      </c>
      <c r="J13017" s="8" t="s">
        <v>22</v>
      </c>
      <c r="K13017" s="8" t="s">
        <v>85</v>
      </c>
      <c r="L13017" s="8" t="s">
        <v>310</v>
      </c>
      <c r="M13017" s="8" t="s">
        <v>311</v>
      </c>
      <c r="N13017" s="8" t="s">
        <v>54516</v>
      </c>
      <c r="O13017" s="8">
        <f>22+14/60+55/3600</f>
        <v>22.248611111111114</v>
      </c>
      <c r="P13017" s="8" t="s">
        <v>54517</v>
      </c>
      <c r="Q13017" s="8">
        <f>-(66+51/60+0/3600)</f>
        <v>-66.849999999999994</v>
      </c>
      <c r="R13017" s="8">
        <v>12.7</v>
      </c>
      <c r="S13017" s="8">
        <v>13.5</v>
      </c>
      <c r="T13017" s="8">
        <v>0.8</v>
      </c>
      <c r="U13017" s="8">
        <v>13.4</v>
      </c>
      <c r="V13017" s="8">
        <v>4.4000000000000004</v>
      </c>
      <c r="W13017" s="8">
        <v>0.5</v>
      </c>
      <c r="X13017" s="8">
        <v>28</v>
      </c>
      <c r="Y13017" s="8" t="s">
        <v>54518</v>
      </c>
      <c r="Z13017" s="8" t="s">
        <v>54519</v>
      </c>
    </row>
    <row r="13018" spans="1:26" x14ac:dyDescent="0.2">
      <c r="A13018" s="8">
        <v>13017</v>
      </c>
      <c r="B13018" s="8" t="s">
        <v>54520</v>
      </c>
      <c r="C13018" s="8" t="s">
        <v>54520</v>
      </c>
      <c r="G13018" s="8">
        <v>20</v>
      </c>
      <c r="H13018" s="8" t="s">
        <v>21</v>
      </c>
      <c r="I13018" s="8" t="s">
        <v>22</v>
      </c>
      <c r="J13018" s="8" t="s">
        <v>22</v>
      </c>
      <c r="K13018" s="8" t="s">
        <v>218</v>
      </c>
      <c r="L13018" s="8" t="s">
        <v>24</v>
      </c>
      <c r="M13018" s="8" t="s">
        <v>25</v>
      </c>
      <c r="N13018" s="8" t="s">
        <v>54521</v>
      </c>
      <c r="O13018" s="8">
        <f>22+11/60+34.3/3600</f>
        <v>22.19286111111111</v>
      </c>
      <c r="P13018" s="8" t="s">
        <v>54522</v>
      </c>
      <c r="Q13018" s="8">
        <f>+(11+47/60+43/3600)</f>
        <v>11.795277777777777</v>
      </c>
      <c r="R13018" s="8">
        <v>13.9</v>
      </c>
      <c r="S13018" s="8">
        <v>14.7</v>
      </c>
      <c r="T13018" s="8">
        <v>0.8</v>
      </c>
      <c r="U13018" s="8">
        <v>14</v>
      </c>
      <c r="V13018" s="8">
        <v>1.6</v>
      </c>
      <c r="W13018" s="8">
        <v>0.8</v>
      </c>
      <c r="X13018" s="8">
        <v>25</v>
      </c>
      <c r="Y13018" s="8" t="s">
        <v>54523</v>
      </c>
      <c r="Z13018" s="8" t="s">
        <v>54524</v>
      </c>
    </row>
    <row r="13019" spans="1:26" x14ac:dyDescent="0.2">
      <c r="A13019" s="8">
        <v>13018</v>
      </c>
      <c r="B13019" s="8" t="s">
        <v>54525</v>
      </c>
      <c r="C13019" s="8" t="s">
        <v>54525</v>
      </c>
      <c r="G13019" s="8">
        <v>20</v>
      </c>
      <c r="H13019" s="8" t="s">
        <v>21</v>
      </c>
      <c r="I13019" s="8" t="s">
        <v>22</v>
      </c>
      <c r="J13019" s="8" t="s">
        <v>22</v>
      </c>
      <c r="K13019" s="8" t="s">
        <v>54526</v>
      </c>
      <c r="L13019" s="8" t="s">
        <v>30854</v>
      </c>
      <c r="M13019" s="8" t="s">
        <v>30855</v>
      </c>
      <c r="N13019" s="8" t="s">
        <v>54527</v>
      </c>
      <c r="O13019" s="8">
        <f>22+12/60+33.2/3600</f>
        <v>22.20922222222222</v>
      </c>
      <c r="P13019" s="8" t="s">
        <v>54528</v>
      </c>
      <c r="Q13019" s="8">
        <f>-(22+57/60+16/3600)</f>
        <v>-22.954444444444444</v>
      </c>
      <c r="R13019" s="8">
        <v>13.8</v>
      </c>
      <c r="S13019" s="8">
        <v>14.7</v>
      </c>
      <c r="T13019" s="8">
        <v>0.9</v>
      </c>
      <c r="U13019" s="8">
        <v>13.5</v>
      </c>
      <c r="V13019" s="8">
        <v>1.1000000000000001</v>
      </c>
      <c r="W13019" s="8">
        <v>0.8</v>
      </c>
      <c r="X13019" s="8">
        <v>88</v>
      </c>
      <c r="Y13019" s="8" t="s">
        <v>54529</v>
      </c>
      <c r="Z13019" s="8" t="s">
        <v>54530</v>
      </c>
    </row>
    <row r="13020" spans="1:26" x14ac:dyDescent="0.2">
      <c r="A13020" s="8">
        <v>13019</v>
      </c>
      <c r="B13020" s="8" t="s">
        <v>54531</v>
      </c>
      <c r="C13020" s="8" t="s">
        <v>54531</v>
      </c>
      <c r="G13020" s="8">
        <v>20</v>
      </c>
      <c r="H13020" s="8" t="s">
        <v>21</v>
      </c>
      <c r="I13020" s="8" t="s">
        <v>22</v>
      </c>
      <c r="J13020" s="8" t="s">
        <v>57</v>
      </c>
      <c r="K13020" s="8" t="s">
        <v>396</v>
      </c>
      <c r="L13020" s="8" t="s">
        <v>31389</v>
      </c>
      <c r="M13020" s="8" t="s">
        <v>31390</v>
      </c>
      <c r="N13020" s="8" t="s">
        <v>54532</v>
      </c>
      <c r="O13020" s="8">
        <f>22+16/60+9/3600</f>
        <v>22.269166666666667</v>
      </c>
      <c r="P13020" s="8" t="s">
        <v>54533</v>
      </c>
      <c r="Q13020" s="8">
        <f>-(36+50/60+41/3600)</f>
        <v>-36.844722222222224</v>
      </c>
      <c r="R13020" s="8">
        <v>11.8</v>
      </c>
      <c r="S13020" s="8">
        <v>12.4</v>
      </c>
      <c r="T13020" s="8">
        <v>0.6</v>
      </c>
      <c r="U13020" s="8">
        <v>12.7</v>
      </c>
      <c r="V13020" s="8">
        <v>2.4</v>
      </c>
      <c r="W13020" s="8">
        <v>1.2</v>
      </c>
      <c r="X13020" s="8">
        <v>57</v>
      </c>
      <c r="Y13020" s="8" t="s">
        <v>54534</v>
      </c>
      <c r="Z13020" s="8" t="s">
        <v>54535</v>
      </c>
    </row>
    <row r="13021" spans="1:26" x14ac:dyDescent="0.2">
      <c r="A13021" s="8">
        <v>13020</v>
      </c>
      <c r="B13021" s="8" t="s">
        <v>54536</v>
      </c>
      <c r="C13021" s="8" t="s">
        <v>54536</v>
      </c>
      <c r="G13021" s="8">
        <v>20</v>
      </c>
      <c r="H13021" s="8" t="s">
        <v>21</v>
      </c>
      <c r="I13021" s="8" t="s">
        <v>22</v>
      </c>
      <c r="J13021" s="8" t="s">
        <v>22</v>
      </c>
      <c r="K13021" s="8" t="s">
        <v>1136</v>
      </c>
      <c r="L13021" s="8" t="s">
        <v>31943</v>
      </c>
      <c r="M13021" s="8" t="s">
        <v>31944</v>
      </c>
      <c r="N13021" s="8" t="s">
        <v>54537</v>
      </c>
      <c r="O13021" s="8">
        <f>22+11/60+12/3600</f>
        <v>22.186666666666667</v>
      </c>
      <c r="P13021" s="8" t="s">
        <v>54538</v>
      </c>
      <c r="Q13021" s="8">
        <f>+(38+55/60+36/3600)</f>
        <v>38.926666666666662</v>
      </c>
      <c r="R13021" s="8">
        <v>13.3</v>
      </c>
      <c r="S13021" s="8">
        <v>14.3</v>
      </c>
      <c r="T13021" s="8">
        <v>1</v>
      </c>
      <c r="U13021" s="8">
        <v>13</v>
      </c>
      <c r="V13021" s="8">
        <v>1</v>
      </c>
      <c r="W13021" s="8">
        <v>0.8</v>
      </c>
      <c r="X13021" s="8">
        <v>120</v>
      </c>
      <c r="Y13021" s="8" t="s">
        <v>616</v>
      </c>
      <c r="Z13021" s="8" t="s">
        <v>617</v>
      </c>
    </row>
    <row r="13022" spans="1:26" x14ac:dyDescent="0.2">
      <c r="A13022" s="8">
        <v>13021</v>
      </c>
      <c r="B13022" s="8" t="s">
        <v>54539</v>
      </c>
      <c r="C13022" s="8" t="s">
        <v>54539</v>
      </c>
      <c r="G13022" s="8">
        <v>13</v>
      </c>
      <c r="H13022" s="8" t="s">
        <v>21</v>
      </c>
      <c r="I13022" s="8" t="s">
        <v>22</v>
      </c>
      <c r="J13022" s="8" t="s">
        <v>22</v>
      </c>
      <c r="K13022" s="8" t="s">
        <v>37</v>
      </c>
      <c r="L13022" s="8" t="s">
        <v>31389</v>
      </c>
      <c r="M13022" s="8" t="s">
        <v>31390</v>
      </c>
      <c r="N13022" s="8" t="s">
        <v>54540</v>
      </c>
      <c r="O13022" s="8">
        <f>22+13/60+21.6/3600</f>
        <v>22.222666666666665</v>
      </c>
      <c r="P13022" s="8" t="s">
        <v>54541</v>
      </c>
      <c r="Q13022" s="8">
        <f>-(46+1/60+5/3600)</f>
        <v>-46.018055555555556</v>
      </c>
      <c r="R13022" s="8">
        <v>11.5</v>
      </c>
      <c r="S13022" s="8">
        <v>12.5</v>
      </c>
      <c r="T13022" s="8">
        <v>1</v>
      </c>
      <c r="U13022" s="8">
        <v>12.2</v>
      </c>
      <c r="V13022" s="8">
        <v>2.5</v>
      </c>
      <c r="W13022" s="8">
        <v>0.9</v>
      </c>
      <c r="X13022" s="8">
        <v>74</v>
      </c>
      <c r="Y13022" s="8" t="s">
        <v>1694</v>
      </c>
      <c r="Z13022" s="8" t="s">
        <v>38252</v>
      </c>
    </row>
    <row r="13023" spans="1:26" x14ac:dyDescent="0.2">
      <c r="A13023" s="8">
        <v>13022</v>
      </c>
      <c r="B13023" s="8" t="s">
        <v>54542</v>
      </c>
      <c r="C13023" s="8" t="s">
        <v>54542</v>
      </c>
      <c r="G13023" s="8">
        <v>20</v>
      </c>
      <c r="H13023" s="8" t="s">
        <v>21</v>
      </c>
      <c r="I13023" s="8" t="s">
        <v>22</v>
      </c>
      <c r="J13023" s="8" t="s">
        <v>22</v>
      </c>
      <c r="K13023" s="8" t="s">
        <v>3523</v>
      </c>
      <c r="L13023" s="8" t="s">
        <v>310</v>
      </c>
      <c r="M13023" s="8" t="s">
        <v>311</v>
      </c>
      <c r="N13023" s="8" t="s">
        <v>54543</v>
      </c>
      <c r="O13023" s="8">
        <f>22+16/60+5/3600</f>
        <v>22.268055555555556</v>
      </c>
      <c r="P13023" s="8" t="s">
        <v>54544</v>
      </c>
      <c r="Q13023" s="8">
        <f>-(65+27/60+17/3600)</f>
        <v>-65.45472222222223</v>
      </c>
      <c r="R13023" s="8">
        <v>14.7</v>
      </c>
      <c r="S13023" s="8">
        <v>15.3</v>
      </c>
      <c r="T13023" s="8">
        <v>0.6</v>
      </c>
      <c r="U13023" s="8">
        <v>13.2</v>
      </c>
      <c r="V13023" s="8">
        <v>0.7</v>
      </c>
      <c r="W13023" s="8">
        <v>0.4</v>
      </c>
      <c r="X13023" s="8">
        <v>140</v>
      </c>
      <c r="Y13023" s="8" t="s">
        <v>33077</v>
      </c>
      <c r="Z13023" s="8" t="s">
        <v>33078</v>
      </c>
    </row>
    <row r="13024" spans="1:26" x14ac:dyDescent="0.2">
      <c r="A13024" s="8">
        <v>13023</v>
      </c>
      <c r="B13024" s="8" t="s">
        <v>54545</v>
      </c>
      <c r="C13024" s="8" t="s">
        <v>54545</v>
      </c>
      <c r="G13024" s="8">
        <v>20</v>
      </c>
      <c r="H13024" s="8" t="s">
        <v>21</v>
      </c>
      <c r="I13024" s="8" t="s">
        <v>22</v>
      </c>
      <c r="J13024" s="8" t="s">
        <v>57</v>
      </c>
      <c r="K13024" s="8" t="s">
        <v>396</v>
      </c>
      <c r="L13024" s="8" t="s">
        <v>31389</v>
      </c>
      <c r="M13024" s="8" t="s">
        <v>31390</v>
      </c>
      <c r="N13024" s="8" t="s">
        <v>54532</v>
      </c>
      <c r="O13024" s="8">
        <f>22+16/60+9/3600</f>
        <v>22.269166666666667</v>
      </c>
      <c r="P13024" s="8" t="s">
        <v>54533</v>
      </c>
      <c r="Q13024" s="8">
        <f>-(36+50/60+41/3600)</f>
        <v>-36.844722222222224</v>
      </c>
      <c r="R13024" s="8">
        <v>11.8</v>
      </c>
      <c r="S13024" s="8">
        <v>12.4</v>
      </c>
      <c r="T13024" s="8">
        <v>0.6</v>
      </c>
      <c r="U13024" s="8">
        <v>12.7</v>
      </c>
      <c r="V13024" s="8">
        <v>2.4</v>
      </c>
      <c r="W13024" s="8">
        <v>1.2</v>
      </c>
      <c r="X13024" s="8">
        <v>57</v>
      </c>
      <c r="Y13024" s="8" t="s">
        <v>54534</v>
      </c>
      <c r="Z13024" s="8" t="s">
        <v>54546</v>
      </c>
    </row>
    <row r="13025" spans="1:26" x14ac:dyDescent="0.2">
      <c r="A13025" s="8">
        <v>13024</v>
      </c>
      <c r="B13025" s="8" t="s">
        <v>54547</v>
      </c>
      <c r="C13025" s="8" t="s">
        <v>54547</v>
      </c>
      <c r="G13025" s="8">
        <v>20</v>
      </c>
      <c r="H13025" s="8" t="s">
        <v>21</v>
      </c>
      <c r="I13025" s="8" t="s">
        <v>22</v>
      </c>
      <c r="J13025" s="8" t="s">
        <v>22</v>
      </c>
      <c r="K13025" s="8" t="s">
        <v>396</v>
      </c>
      <c r="L13025" s="8" t="s">
        <v>31389</v>
      </c>
      <c r="M13025" s="8" t="s">
        <v>31390</v>
      </c>
      <c r="N13025" s="8" t="s">
        <v>54532</v>
      </c>
      <c r="O13025" s="8">
        <f>22+16/60+9/3600</f>
        <v>22.269166666666667</v>
      </c>
      <c r="P13025" s="8" t="s">
        <v>54533</v>
      </c>
      <c r="Q13025" s="8">
        <f>-(36+50/60+41/3600)</f>
        <v>-36.844722222222224</v>
      </c>
      <c r="R13025" s="8">
        <v>11.8</v>
      </c>
      <c r="S13025" s="8">
        <v>12.4</v>
      </c>
      <c r="T13025" s="8">
        <v>0.6</v>
      </c>
      <c r="U13025" s="8">
        <v>12.7</v>
      </c>
      <c r="V13025" s="8">
        <v>2.4</v>
      </c>
      <c r="W13025" s="8">
        <v>1.2</v>
      </c>
      <c r="X13025" s="8">
        <v>57</v>
      </c>
      <c r="Y13025" s="8" t="s">
        <v>54534</v>
      </c>
      <c r="Z13025" s="8" t="s">
        <v>54548</v>
      </c>
    </row>
    <row r="13026" spans="1:26" x14ac:dyDescent="0.2">
      <c r="A13026" s="8">
        <v>13025</v>
      </c>
      <c r="B13026" s="8" t="s">
        <v>54549</v>
      </c>
      <c r="C13026" s="8" t="s">
        <v>54549</v>
      </c>
      <c r="G13026" s="8">
        <v>20</v>
      </c>
      <c r="H13026" s="8" t="s">
        <v>21</v>
      </c>
      <c r="I13026" s="8" t="s">
        <v>22</v>
      </c>
      <c r="J13026" s="8" t="s">
        <v>22</v>
      </c>
      <c r="K13026" s="8" t="s">
        <v>42046</v>
      </c>
      <c r="L13026" s="8" t="s">
        <v>310</v>
      </c>
      <c r="M13026" s="8" t="s">
        <v>311</v>
      </c>
      <c r="N13026" s="8" t="s">
        <v>54550</v>
      </c>
      <c r="O13026" s="8">
        <f>22+17/60+43.8/3600</f>
        <v>22.295500000000001</v>
      </c>
      <c r="P13026" s="8" t="s">
        <v>54551</v>
      </c>
      <c r="Q13026" s="8">
        <f>-(65+51/60+27/3600)</f>
        <v>-65.857499999999987</v>
      </c>
      <c r="R13026" s="8">
        <v>14.1</v>
      </c>
      <c r="S13026" s="8">
        <v>15</v>
      </c>
      <c r="T13026" s="8">
        <v>0.9</v>
      </c>
      <c r="U13026" s="8">
        <v>12.2</v>
      </c>
      <c r="V13026" s="8">
        <v>0.5</v>
      </c>
      <c r="W13026" s="8">
        <v>0.4</v>
      </c>
      <c r="X13026" s="8">
        <v>68</v>
      </c>
      <c r="Y13026" s="8" t="s">
        <v>24854</v>
      </c>
      <c r="Z13026" s="8" t="s">
        <v>24855</v>
      </c>
    </row>
    <row r="13027" spans="1:26" x14ac:dyDescent="0.2">
      <c r="A13027" s="8">
        <v>13026</v>
      </c>
      <c r="B13027" s="8" t="s">
        <v>54552</v>
      </c>
      <c r="C13027" s="8" t="s">
        <v>54552</v>
      </c>
      <c r="G13027" s="8">
        <v>13</v>
      </c>
      <c r="H13027" s="8" t="s">
        <v>21</v>
      </c>
      <c r="I13027" s="8" t="s">
        <v>22</v>
      </c>
      <c r="J13027" s="8" t="s">
        <v>22</v>
      </c>
      <c r="K13027" s="8" t="s">
        <v>218</v>
      </c>
      <c r="L13027" s="8" t="s">
        <v>31389</v>
      </c>
      <c r="M13027" s="8" t="s">
        <v>31390</v>
      </c>
      <c r="N13027" s="8" t="s">
        <v>54553</v>
      </c>
      <c r="O13027" s="8">
        <f>22+18/60+46.5/3600</f>
        <v>22.312916666666666</v>
      </c>
      <c r="P13027" s="8" t="s">
        <v>54554</v>
      </c>
      <c r="Q13027" s="8">
        <f>-(36+48/60+6/3600)</f>
        <v>-36.801666666666662</v>
      </c>
      <c r="R13027" s="8">
        <v>11.9</v>
      </c>
      <c r="S13027" s="8">
        <v>12.5</v>
      </c>
      <c r="T13027" s="8">
        <v>0.6</v>
      </c>
      <c r="U13027" s="8">
        <v>12.6</v>
      </c>
      <c r="V13027" s="8">
        <v>1.8</v>
      </c>
      <c r="W13027" s="8">
        <v>1.2</v>
      </c>
      <c r="X13027" s="8">
        <v>106</v>
      </c>
      <c r="Y13027" s="8" t="s">
        <v>38016</v>
      </c>
      <c r="Z13027" s="8" t="s">
        <v>38017</v>
      </c>
    </row>
    <row r="13028" spans="1:26" x14ac:dyDescent="0.2">
      <c r="A13028" s="8">
        <v>13027</v>
      </c>
      <c r="B13028" s="8" t="s">
        <v>54555</v>
      </c>
      <c r="C13028" s="8" t="s">
        <v>54555</v>
      </c>
      <c r="G13028" s="8">
        <v>20</v>
      </c>
      <c r="H13028" s="8" t="s">
        <v>21</v>
      </c>
      <c r="I13028" s="8" t="s">
        <v>22</v>
      </c>
      <c r="J13028" s="8" t="s">
        <v>22</v>
      </c>
      <c r="K13028" s="8" t="s">
        <v>160</v>
      </c>
      <c r="L13028" s="8" t="s">
        <v>310</v>
      </c>
      <c r="M13028" s="8" t="s">
        <v>311</v>
      </c>
      <c r="N13028" s="8" t="s">
        <v>54556</v>
      </c>
      <c r="O13028" s="8">
        <f>22+18/60+18/3600</f>
        <v>22.305</v>
      </c>
      <c r="P13028" s="8" t="s">
        <v>54557</v>
      </c>
      <c r="Q13028" s="8">
        <f>-(59+36/60+26/3600)</f>
        <v>-59.607222222222227</v>
      </c>
      <c r="R13028" s="8">
        <v>13.9</v>
      </c>
      <c r="S13028" s="8">
        <v>14.7</v>
      </c>
      <c r="T13028" s="8">
        <v>0.8</v>
      </c>
      <c r="U13028" s="8">
        <v>12.2</v>
      </c>
      <c r="V13028" s="8">
        <v>0.5</v>
      </c>
      <c r="W13028" s="8">
        <v>0.5</v>
      </c>
      <c r="Y13028" s="8" t="s">
        <v>54558</v>
      </c>
      <c r="Z13028" s="8" t="s">
        <v>54559</v>
      </c>
    </row>
    <row r="13029" spans="1:26" x14ac:dyDescent="0.2">
      <c r="A13029" s="8">
        <v>13028</v>
      </c>
      <c r="B13029" s="8" t="s">
        <v>54560</v>
      </c>
      <c r="C13029" s="8" t="s">
        <v>54560</v>
      </c>
      <c r="G13029" s="8">
        <v>20</v>
      </c>
      <c r="H13029" s="8" t="s">
        <v>21</v>
      </c>
      <c r="I13029" s="8" t="s">
        <v>22</v>
      </c>
      <c r="J13029" s="8" t="s">
        <v>22</v>
      </c>
      <c r="K13029" s="8" t="s">
        <v>64</v>
      </c>
      <c r="L13029" s="8" t="s">
        <v>310</v>
      </c>
      <c r="M13029" s="8" t="s">
        <v>311</v>
      </c>
      <c r="N13029" s="8" t="s">
        <v>54561</v>
      </c>
      <c r="O13029" s="8">
        <f>22+18/60+26.2/3600</f>
        <v>22.307277777777777</v>
      </c>
      <c r="P13029" s="8" t="s">
        <v>54562</v>
      </c>
      <c r="Q13029" s="8">
        <f>-(59+38/60+26/3600)</f>
        <v>-59.640555555555558</v>
      </c>
      <c r="R13029" s="8">
        <v>13.3</v>
      </c>
      <c r="S13029" s="8">
        <v>14</v>
      </c>
      <c r="T13029" s="8">
        <v>0.7</v>
      </c>
      <c r="U13029" s="8">
        <v>13.5</v>
      </c>
      <c r="V13029" s="8">
        <v>1.3</v>
      </c>
      <c r="W13029" s="8">
        <v>1.1000000000000001</v>
      </c>
      <c r="X13029" s="8">
        <v>65</v>
      </c>
      <c r="Y13029" s="8" t="s">
        <v>54563</v>
      </c>
      <c r="Z13029" s="8" t="s">
        <v>54564</v>
      </c>
    </row>
    <row r="13030" spans="1:26" x14ac:dyDescent="0.2">
      <c r="A13030" s="8">
        <v>13029</v>
      </c>
      <c r="B13030" s="8" t="s">
        <v>54565</v>
      </c>
      <c r="C13030" s="8" t="s">
        <v>54565</v>
      </c>
      <c r="G13030" s="8">
        <v>20</v>
      </c>
      <c r="H13030" s="8" t="s">
        <v>21</v>
      </c>
      <c r="I13030" s="8" t="s">
        <v>72</v>
      </c>
      <c r="J13030" s="8" t="s">
        <v>72</v>
      </c>
      <c r="K13030" s="8" t="s">
        <v>20</v>
      </c>
      <c r="L13030" s="8" t="s">
        <v>30854</v>
      </c>
      <c r="M13030" s="8" t="s">
        <v>30855</v>
      </c>
      <c r="N13030" s="8" t="s">
        <v>54566</v>
      </c>
      <c r="O13030" s="8">
        <f>22+16/60+14.2/3600</f>
        <v>22.270611111111108</v>
      </c>
      <c r="P13030" s="8" t="s">
        <v>54567</v>
      </c>
      <c r="Q13030" s="8">
        <f>-(5+0/60+17/3600)</f>
        <v>-5.0047222222222221</v>
      </c>
      <c r="R13030" s="8">
        <v>99</v>
      </c>
      <c r="S13030" s="8">
        <v>15.3</v>
      </c>
      <c r="T13030" s="8">
        <v>99</v>
      </c>
      <c r="U13030" s="8">
        <v>99</v>
      </c>
      <c r="Y13030" s="8" t="s">
        <v>54568</v>
      </c>
      <c r="Z13030" s="8" t="s">
        <v>54569</v>
      </c>
    </row>
    <row r="13031" spans="1:26" x14ac:dyDescent="0.2">
      <c r="A13031" s="8">
        <v>13030</v>
      </c>
      <c r="B13031" s="8" t="s">
        <v>54570</v>
      </c>
      <c r="C13031" s="8" t="s">
        <v>54570</v>
      </c>
      <c r="G13031" s="8">
        <v>20</v>
      </c>
      <c r="H13031" s="8" t="s">
        <v>21</v>
      </c>
      <c r="I13031" s="8" t="s">
        <v>22</v>
      </c>
      <c r="J13031" s="8" t="s">
        <v>22</v>
      </c>
      <c r="K13031" s="8" t="s">
        <v>85</v>
      </c>
      <c r="L13031" s="8" t="s">
        <v>310</v>
      </c>
      <c r="M13031" s="8" t="s">
        <v>311</v>
      </c>
      <c r="N13031" s="8" t="s">
        <v>54571</v>
      </c>
      <c r="O13031" s="8">
        <f>22+19/60+0.9/3600</f>
        <v>22.316916666666668</v>
      </c>
      <c r="P13031" s="8" t="s">
        <v>54572</v>
      </c>
      <c r="Q13031" s="8">
        <f>-(59+52/60+58/3600)</f>
        <v>-59.882777777777775</v>
      </c>
      <c r="R13031" s="8">
        <v>14.2</v>
      </c>
      <c r="S13031" s="8">
        <v>15</v>
      </c>
      <c r="T13031" s="8">
        <v>0.8</v>
      </c>
      <c r="U13031" s="8">
        <v>14</v>
      </c>
      <c r="V13031" s="8">
        <v>1.2</v>
      </c>
      <c r="W13031" s="8">
        <v>0.7</v>
      </c>
      <c r="X13031" s="8">
        <v>138</v>
      </c>
      <c r="Y13031" s="8" t="s">
        <v>54573</v>
      </c>
      <c r="Z13031" s="8" t="s">
        <v>54574</v>
      </c>
    </row>
    <row r="13032" spans="1:26" x14ac:dyDescent="0.2">
      <c r="A13032" s="8">
        <v>13031</v>
      </c>
      <c r="B13032" s="8" t="s">
        <v>54575</v>
      </c>
      <c r="C13032" s="8" t="s">
        <v>54575</v>
      </c>
      <c r="G13032" s="8">
        <v>20</v>
      </c>
      <c r="H13032" s="8" t="s">
        <v>21</v>
      </c>
      <c r="I13032" s="8" t="s">
        <v>22</v>
      </c>
      <c r="J13032" s="8" t="s">
        <v>22</v>
      </c>
      <c r="K13032" s="8" t="s">
        <v>632</v>
      </c>
      <c r="L13032" s="8" t="s">
        <v>31943</v>
      </c>
      <c r="M13032" s="8" t="s">
        <v>31944</v>
      </c>
      <c r="N13032" s="8" t="s">
        <v>54576</v>
      </c>
      <c r="O13032" s="8">
        <f>22+15/60+2.4/3600</f>
        <v>22.250666666666667</v>
      </c>
      <c r="P13032" s="8" t="s">
        <v>54577</v>
      </c>
      <c r="Q13032" s="8">
        <f>+(37+18/60+1/3600)</f>
        <v>37.300277777777772</v>
      </c>
      <c r="R13032" s="8">
        <v>14.1</v>
      </c>
      <c r="S13032" s="8">
        <v>15</v>
      </c>
      <c r="T13032" s="8">
        <v>0.9</v>
      </c>
      <c r="U13032" s="8">
        <v>12.3</v>
      </c>
      <c r="V13032" s="8">
        <v>1.1000000000000001</v>
      </c>
      <c r="W13032" s="8">
        <v>0.2</v>
      </c>
      <c r="X13032" s="8">
        <v>65</v>
      </c>
      <c r="Y13032" s="8" t="s">
        <v>54578</v>
      </c>
      <c r="Z13032" s="8" t="s">
        <v>54579</v>
      </c>
    </row>
    <row r="13033" spans="1:26" x14ac:dyDescent="0.2">
      <c r="A13033" s="8">
        <v>13032</v>
      </c>
      <c r="B13033" s="8" t="s">
        <v>54580</v>
      </c>
      <c r="C13033" s="8" t="s">
        <v>54580</v>
      </c>
      <c r="G13033" s="8">
        <v>20</v>
      </c>
      <c r="H13033" s="8" t="s">
        <v>21</v>
      </c>
      <c r="I13033" s="8" t="s">
        <v>22</v>
      </c>
      <c r="J13033" s="8" t="s">
        <v>22</v>
      </c>
      <c r="K13033" s="8" t="s">
        <v>449</v>
      </c>
      <c r="L13033" s="8" t="s">
        <v>31943</v>
      </c>
      <c r="M13033" s="8" t="s">
        <v>31944</v>
      </c>
      <c r="N13033" s="8" t="s">
        <v>54581</v>
      </c>
      <c r="O13033" s="8">
        <f>22+15/60+14.1/3600</f>
        <v>22.253916666666665</v>
      </c>
      <c r="P13033" s="8" t="s">
        <v>54582</v>
      </c>
      <c r="Q13033" s="8">
        <f>+(37+16/60+15/3600)</f>
        <v>37.270833333333336</v>
      </c>
      <c r="R13033" s="8">
        <v>15.2</v>
      </c>
      <c r="S13033" s="8">
        <v>16</v>
      </c>
      <c r="T13033" s="8">
        <v>0.8</v>
      </c>
      <c r="U13033" s="8">
        <v>12.4</v>
      </c>
      <c r="V13033" s="8">
        <v>0.3</v>
      </c>
      <c r="W13033" s="8">
        <v>0.3</v>
      </c>
      <c r="Y13033" s="8" t="s">
        <v>54578</v>
      </c>
      <c r="Z13033" s="8" t="s">
        <v>54579</v>
      </c>
    </row>
    <row r="13034" spans="1:26" x14ac:dyDescent="0.2">
      <c r="A13034" s="8">
        <v>13033</v>
      </c>
      <c r="B13034" s="8" t="s">
        <v>54583</v>
      </c>
      <c r="C13034" s="8" t="s">
        <v>54583</v>
      </c>
      <c r="G13034" s="8">
        <v>20</v>
      </c>
      <c r="H13034" s="8" t="s">
        <v>21</v>
      </c>
      <c r="I13034" s="8" t="s">
        <v>22</v>
      </c>
      <c r="J13034" s="8" t="s">
        <v>22</v>
      </c>
      <c r="K13034" s="8" t="s">
        <v>460</v>
      </c>
      <c r="L13034" s="8" t="s">
        <v>31943</v>
      </c>
      <c r="M13034" s="8" t="s">
        <v>31944</v>
      </c>
      <c r="N13034" s="8" t="s">
        <v>54584</v>
      </c>
      <c r="O13034" s="8">
        <f>22+15/60+43.5/3600</f>
        <v>22.262083333333333</v>
      </c>
      <c r="P13034" s="8" t="s">
        <v>54585</v>
      </c>
      <c r="Q13034" s="8">
        <f>+(37+14/60+36/3600)</f>
        <v>37.243333333333332</v>
      </c>
      <c r="R13034" s="8">
        <v>14.5</v>
      </c>
      <c r="S13034" s="8">
        <v>15.5</v>
      </c>
      <c r="T13034" s="8">
        <v>1</v>
      </c>
      <c r="U13034" s="8">
        <v>12</v>
      </c>
      <c r="V13034" s="8">
        <v>0.3</v>
      </c>
      <c r="W13034" s="8">
        <v>0.3</v>
      </c>
      <c r="Y13034" s="8" t="s">
        <v>54578</v>
      </c>
      <c r="Z13034" s="8" t="s">
        <v>54579</v>
      </c>
    </row>
    <row r="13035" spans="1:26" x14ac:dyDescent="0.2">
      <c r="A13035" s="8">
        <v>13034</v>
      </c>
      <c r="B13035" s="8" t="s">
        <v>54586</v>
      </c>
      <c r="C13035" s="8" t="s">
        <v>54586</v>
      </c>
      <c r="G13035" s="8">
        <v>20</v>
      </c>
      <c r="H13035" s="8" t="s">
        <v>21</v>
      </c>
      <c r="I13035" s="8" t="s">
        <v>329</v>
      </c>
      <c r="J13035" s="8" t="s">
        <v>329</v>
      </c>
      <c r="K13035" s="8" t="s">
        <v>329</v>
      </c>
      <c r="L13035" s="8" t="s">
        <v>30854</v>
      </c>
      <c r="M13035" s="8" t="s">
        <v>30855</v>
      </c>
      <c r="N13035" s="8" t="s">
        <v>54587</v>
      </c>
      <c r="O13035" s="8">
        <f>22+17/60+8/3600</f>
        <v>22.285555555555558</v>
      </c>
      <c r="P13035" s="8" t="s">
        <v>54588</v>
      </c>
      <c r="Q13035" s="8">
        <f>-(15+56/60+45/3600)</f>
        <v>-15.945833333333333</v>
      </c>
      <c r="R13035" s="8">
        <v>99</v>
      </c>
      <c r="S13035" s="8">
        <v>99</v>
      </c>
      <c r="T13035" s="8">
        <v>99</v>
      </c>
      <c r="U13035" s="8">
        <v>99</v>
      </c>
      <c r="Y13035" s="8" t="s">
        <v>54589</v>
      </c>
      <c r="Z13035" s="8" t="s">
        <v>54590</v>
      </c>
    </row>
    <row r="13036" spans="1:26" x14ac:dyDescent="0.2">
      <c r="A13036" s="8">
        <v>13035</v>
      </c>
      <c r="B13036" s="8" t="s">
        <v>54591</v>
      </c>
      <c r="C13036" s="8" t="s">
        <v>54591</v>
      </c>
      <c r="G13036" s="8">
        <v>20</v>
      </c>
      <c r="H13036" s="8" t="s">
        <v>21</v>
      </c>
      <c r="I13036" s="8" t="s">
        <v>22</v>
      </c>
      <c r="J13036" s="8" t="s">
        <v>22</v>
      </c>
      <c r="K13036" s="8" t="s">
        <v>424</v>
      </c>
      <c r="L13036" s="8" t="s">
        <v>31943</v>
      </c>
      <c r="M13036" s="8" t="s">
        <v>31944</v>
      </c>
      <c r="N13036" s="8" t="s">
        <v>54592</v>
      </c>
      <c r="O13036" s="8">
        <f>22+15/60+41.5/3600</f>
        <v>22.261527777777779</v>
      </c>
      <c r="P13036" s="8" t="s">
        <v>54593</v>
      </c>
      <c r="Q13036" s="8">
        <f>+(37+18/60+10/3600)</f>
        <v>37.302777777777777</v>
      </c>
      <c r="R13036" s="8">
        <v>15.4</v>
      </c>
      <c r="S13036" s="8">
        <v>16.399999999999999</v>
      </c>
      <c r="T13036" s="8">
        <v>1</v>
      </c>
      <c r="U13036" s="8">
        <v>12.6</v>
      </c>
      <c r="V13036" s="8">
        <v>0.3</v>
      </c>
      <c r="W13036" s="8">
        <v>0.3</v>
      </c>
      <c r="Y13036" s="8" t="s">
        <v>54594</v>
      </c>
      <c r="Z13036" s="8" t="s">
        <v>54595</v>
      </c>
    </row>
    <row r="13037" spans="1:26" x14ac:dyDescent="0.2">
      <c r="A13037" s="8">
        <v>13036</v>
      </c>
      <c r="B13037" s="8" t="s">
        <v>54596</v>
      </c>
      <c r="C13037" s="8" t="s">
        <v>54596</v>
      </c>
      <c r="G13037" s="8">
        <v>20</v>
      </c>
      <c r="H13037" s="8" t="s">
        <v>21</v>
      </c>
      <c r="I13037" s="8" t="s">
        <v>22</v>
      </c>
      <c r="J13037" s="8" t="s">
        <v>22</v>
      </c>
      <c r="K13037" s="8" t="s">
        <v>160</v>
      </c>
      <c r="L13037" s="8" t="s">
        <v>310</v>
      </c>
      <c r="M13037" s="8" t="s">
        <v>311</v>
      </c>
      <c r="N13037" s="8" t="s">
        <v>54597</v>
      </c>
      <c r="O13037" s="8">
        <f>22+20/60+11.3/3600</f>
        <v>22.33647222222222</v>
      </c>
      <c r="P13037" s="8" t="s">
        <v>54598</v>
      </c>
      <c r="Q13037" s="8">
        <f>-(65+24/60+17/3600)</f>
        <v>-65.404722222222233</v>
      </c>
      <c r="R13037" s="8">
        <v>14.7</v>
      </c>
      <c r="S13037" s="8">
        <v>15.4</v>
      </c>
      <c r="T13037" s="8">
        <v>0.7</v>
      </c>
      <c r="U13037" s="8">
        <v>12.3</v>
      </c>
      <c r="V13037" s="8">
        <v>1.3</v>
      </c>
      <c r="W13037" s="8">
        <v>0.1</v>
      </c>
      <c r="X13037" s="8">
        <v>100</v>
      </c>
      <c r="Y13037" s="8" t="s">
        <v>54599</v>
      </c>
      <c r="Z13037" s="8" t="s">
        <v>54600</v>
      </c>
    </row>
    <row r="13038" spans="1:26" x14ac:dyDescent="0.2">
      <c r="A13038" s="8">
        <v>13037</v>
      </c>
      <c r="B13038" s="8" t="s">
        <v>54601</v>
      </c>
      <c r="C13038" s="8" t="s">
        <v>54601</v>
      </c>
      <c r="G13038" s="8">
        <v>20</v>
      </c>
      <c r="H13038" s="8" t="s">
        <v>21</v>
      </c>
      <c r="I13038" s="8" t="s">
        <v>22</v>
      </c>
      <c r="J13038" s="8" t="s">
        <v>22</v>
      </c>
      <c r="K13038" s="8" t="s">
        <v>218</v>
      </c>
      <c r="L13038" s="8" t="s">
        <v>310</v>
      </c>
      <c r="M13038" s="8" t="s">
        <v>311</v>
      </c>
      <c r="N13038" s="8" t="s">
        <v>54602</v>
      </c>
      <c r="O13038" s="8">
        <f>22+19/60+49.4/3600</f>
        <v>22.330388888888887</v>
      </c>
      <c r="P13038" s="8" t="s">
        <v>54603</v>
      </c>
      <c r="Q13038" s="8">
        <f>-(60+8/60+11/3600)</f>
        <v>-60.136388888888888</v>
      </c>
      <c r="R13038" s="8">
        <v>14.1</v>
      </c>
      <c r="S13038" s="8">
        <v>14.9</v>
      </c>
      <c r="T13038" s="8">
        <v>0.8</v>
      </c>
      <c r="U13038" s="8">
        <v>12.9</v>
      </c>
      <c r="V13038" s="8">
        <v>1.1000000000000001</v>
      </c>
      <c r="W13038" s="8">
        <v>0.5</v>
      </c>
      <c r="X13038" s="8">
        <v>30</v>
      </c>
      <c r="Y13038" s="8" t="s">
        <v>46249</v>
      </c>
      <c r="Z13038" s="8" t="s">
        <v>46250</v>
      </c>
    </row>
    <row r="13039" spans="1:26" x14ac:dyDescent="0.2">
      <c r="A13039" s="8">
        <v>13038</v>
      </c>
      <c r="B13039" s="8" t="s">
        <v>54604</v>
      </c>
      <c r="C13039" s="8" t="s">
        <v>54604</v>
      </c>
      <c r="G13039" s="8">
        <v>20</v>
      </c>
      <c r="H13039" s="8" t="s">
        <v>21</v>
      </c>
      <c r="I13039" s="8" t="s">
        <v>22</v>
      </c>
      <c r="J13039" s="8" t="s">
        <v>57</v>
      </c>
      <c r="K13039" s="8" t="s">
        <v>91</v>
      </c>
      <c r="L13039" s="8" t="s">
        <v>30854</v>
      </c>
      <c r="M13039" s="8" t="s">
        <v>30855</v>
      </c>
      <c r="N13039" s="8" t="s">
        <v>32156</v>
      </c>
      <c r="O13039" s="8">
        <f>22+17/60+42.6/3600</f>
        <v>22.295166666666667</v>
      </c>
      <c r="P13039" s="8" t="s">
        <v>32157</v>
      </c>
      <c r="Q13039" s="8">
        <f>-(15+34/60+12/3600)</f>
        <v>-15.57</v>
      </c>
      <c r="R13039" s="8">
        <v>14.5</v>
      </c>
      <c r="S13039" s="8">
        <v>15.4</v>
      </c>
      <c r="T13039" s="8">
        <v>0.9</v>
      </c>
      <c r="U13039" s="8">
        <v>14.5</v>
      </c>
      <c r="V13039" s="8">
        <v>1.5</v>
      </c>
      <c r="W13039" s="8">
        <v>0.8</v>
      </c>
      <c r="X13039" s="8">
        <v>162</v>
      </c>
      <c r="Y13039" s="8" t="s">
        <v>54605</v>
      </c>
      <c r="Z13039" s="8" t="s">
        <v>54606</v>
      </c>
    </row>
    <row r="13040" spans="1:26" x14ac:dyDescent="0.2">
      <c r="A13040" s="8">
        <v>13039</v>
      </c>
      <c r="B13040" s="8" t="s">
        <v>54607</v>
      </c>
      <c r="C13040" s="8" t="s">
        <v>54607</v>
      </c>
      <c r="G13040" s="8">
        <v>20</v>
      </c>
      <c r="H13040" s="8" t="s">
        <v>21</v>
      </c>
      <c r="I13040" s="8" t="s">
        <v>22</v>
      </c>
      <c r="J13040" s="8" t="s">
        <v>22</v>
      </c>
      <c r="K13040" s="8" t="s">
        <v>23</v>
      </c>
      <c r="L13040" s="8" t="s">
        <v>31389</v>
      </c>
      <c r="M13040" s="8" t="s">
        <v>31390</v>
      </c>
      <c r="N13040" s="8" t="s">
        <v>54608</v>
      </c>
      <c r="O13040" s="8">
        <f>22+19/60+32.9/3600</f>
        <v>22.325805555555554</v>
      </c>
      <c r="P13040" s="8" t="s">
        <v>54609</v>
      </c>
      <c r="Q13040" s="8">
        <f>-(37+32/60+3/3600)</f>
        <v>-37.534166666666664</v>
      </c>
      <c r="R13040" s="8">
        <v>13.9</v>
      </c>
      <c r="S13040" s="8">
        <v>14.7</v>
      </c>
      <c r="T13040" s="8">
        <v>0.8</v>
      </c>
      <c r="U13040" s="8">
        <v>12.4</v>
      </c>
      <c r="V13040" s="8">
        <v>1.5</v>
      </c>
      <c r="W13040" s="8">
        <v>0.2</v>
      </c>
      <c r="X13040" s="8">
        <v>155</v>
      </c>
      <c r="Y13040" s="8" t="s">
        <v>54610</v>
      </c>
      <c r="Z13040" s="8" t="s">
        <v>54611</v>
      </c>
    </row>
    <row r="13041" spans="1:26" x14ac:dyDescent="0.2">
      <c r="A13041" s="8">
        <v>13040</v>
      </c>
      <c r="B13041" s="8" t="s">
        <v>54612</v>
      </c>
      <c r="C13041" s="8" t="s">
        <v>54612</v>
      </c>
      <c r="G13041" s="8">
        <v>20</v>
      </c>
      <c r="H13041" s="8" t="s">
        <v>21</v>
      </c>
      <c r="I13041" s="8" t="s">
        <v>22</v>
      </c>
      <c r="J13041" s="8" t="s">
        <v>22</v>
      </c>
      <c r="K13041" s="8" t="s">
        <v>160</v>
      </c>
      <c r="L13041" s="8" t="s">
        <v>310</v>
      </c>
      <c r="M13041" s="8" t="s">
        <v>311</v>
      </c>
      <c r="N13041" s="8" t="s">
        <v>54613</v>
      </c>
      <c r="O13041" s="8">
        <f>22+22/60+15.6/3600</f>
        <v>22.371000000000002</v>
      </c>
      <c r="P13041" s="8" t="s">
        <v>54614</v>
      </c>
      <c r="Q13041" s="8">
        <f>-(65+45/60+59/3600)</f>
        <v>-65.766388888888883</v>
      </c>
      <c r="R13041" s="8">
        <v>15.3</v>
      </c>
      <c r="S13041" s="8">
        <v>16</v>
      </c>
      <c r="T13041" s="8">
        <v>0.7</v>
      </c>
      <c r="U13041" s="8">
        <v>13.8</v>
      </c>
      <c r="V13041" s="8">
        <v>0.7</v>
      </c>
      <c r="W13041" s="8">
        <v>0.4</v>
      </c>
      <c r="X13041" s="8">
        <v>125</v>
      </c>
      <c r="Y13041" s="8" t="s">
        <v>54615</v>
      </c>
      <c r="Z13041" s="8" t="s">
        <v>54616</v>
      </c>
    </row>
    <row r="13042" spans="1:26" x14ac:dyDescent="0.2">
      <c r="A13042" s="8">
        <v>13041</v>
      </c>
      <c r="B13042" s="8" t="s">
        <v>54617</v>
      </c>
      <c r="C13042" s="8" t="s">
        <v>54617</v>
      </c>
      <c r="G13042" s="8">
        <v>10</v>
      </c>
      <c r="H13042" s="8" t="s">
        <v>21</v>
      </c>
      <c r="I13042" s="8" t="s">
        <v>22</v>
      </c>
      <c r="J13042" s="8" t="s">
        <v>22</v>
      </c>
      <c r="K13042" s="8" t="s">
        <v>64</v>
      </c>
      <c r="L13042" s="8" t="s">
        <v>31389</v>
      </c>
      <c r="M13042" s="8" t="s">
        <v>31390</v>
      </c>
      <c r="N13042" s="8" t="s">
        <v>54618</v>
      </c>
      <c r="O13042" s="8">
        <f>22+20/60+57.5/3600</f>
        <v>22.349305555555553</v>
      </c>
      <c r="P13042" s="8" t="s">
        <v>54619</v>
      </c>
      <c r="Q13042" s="8">
        <f>-(46+2/60+5/3600)</f>
        <v>-46.034722222222221</v>
      </c>
      <c r="R13042" s="8">
        <v>10.8</v>
      </c>
      <c r="S13042" s="8">
        <v>11.5</v>
      </c>
      <c r="T13042" s="8">
        <v>0.7</v>
      </c>
      <c r="U13042" s="8">
        <v>14.5</v>
      </c>
      <c r="V13042" s="8">
        <v>8.5</v>
      </c>
      <c r="W13042" s="8">
        <v>3.9</v>
      </c>
      <c r="X13042" s="8">
        <v>33</v>
      </c>
      <c r="Y13042" s="8" t="s">
        <v>1694</v>
      </c>
      <c r="Z13042" s="8" t="s">
        <v>38252</v>
      </c>
    </row>
    <row r="13043" spans="1:26" x14ac:dyDescent="0.2">
      <c r="A13043" s="8">
        <v>13042</v>
      </c>
      <c r="B13043" s="8" t="s">
        <v>54620</v>
      </c>
      <c r="C13043" s="8" t="s">
        <v>54620</v>
      </c>
      <c r="G13043" s="8">
        <v>20</v>
      </c>
      <c r="H13043" s="8" t="s">
        <v>21</v>
      </c>
      <c r="I13043" s="8" t="s">
        <v>22</v>
      </c>
      <c r="J13043" s="8" t="s">
        <v>22</v>
      </c>
      <c r="K13043" s="8" t="s">
        <v>64</v>
      </c>
      <c r="L13043" s="8" t="s">
        <v>310</v>
      </c>
      <c r="M13043" s="8" t="s">
        <v>311</v>
      </c>
      <c r="N13043" s="8" t="s">
        <v>54621</v>
      </c>
      <c r="O13043" s="8">
        <f>22+22/60+55.3/3600</f>
        <v>22.382027777777779</v>
      </c>
      <c r="P13043" s="8" t="s">
        <v>54622</v>
      </c>
      <c r="Q13043" s="8">
        <f>-(65+48/60+9/3600)</f>
        <v>-65.802499999999995</v>
      </c>
      <c r="R13043" s="8">
        <v>13.8</v>
      </c>
      <c r="S13043" s="8">
        <v>14.5</v>
      </c>
      <c r="T13043" s="8">
        <v>0.7</v>
      </c>
      <c r="U13043" s="8">
        <v>13.5</v>
      </c>
      <c r="V13043" s="8">
        <v>1.3</v>
      </c>
      <c r="W13043" s="8">
        <v>0.6</v>
      </c>
      <c r="X13043" s="8">
        <v>127</v>
      </c>
      <c r="Y13043" s="8" t="s">
        <v>54623</v>
      </c>
      <c r="Z13043" s="8" t="s">
        <v>54624</v>
      </c>
    </row>
    <row r="13044" spans="1:26" x14ac:dyDescent="0.2">
      <c r="A13044" s="8">
        <v>13043</v>
      </c>
      <c r="B13044" s="8" t="s">
        <v>54625</v>
      </c>
      <c r="C13044" s="8" t="s">
        <v>54625</v>
      </c>
      <c r="G13044" s="8">
        <v>20</v>
      </c>
      <c r="H13044" s="8" t="s">
        <v>21</v>
      </c>
      <c r="I13044" s="8" t="s">
        <v>22</v>
      </c>
      <c r="J13044" s="8" t="s">
        <v>22</v>
      </c>
      <c r="K13044" s="8" t="s">
        <v>64</v>
      </c>
      <c r="L13044" s="8" t="s">
        <v>310</v>
      </c>
      <c r="M13044" s="8" t="s">
        <v>311</v>
      </c>
      <c r="N13044" s="8" t="s">
        <v>54626</v>
      </c>
      <c r="O13044" s="8">
        <f>22+22/60+34.3/3600</f>
        <v>22.376194444444444</v>
      </c>
      <c r="P13044" s="8" t="s">
        <v>54627</v>
      </c>
      <c r="Q13044" s="8">
        <f>-(59+46/60+24/3600)</f>
        <v>-59.773333333333333</v>
      </c>
      <c r="R13044" s="8">
        <v>14.2</v>
      </c>
      <c r="S13044" s="8">
        <v>14.9</v>
      </c>
      <c r="T13044" s="8">
        <v>0.7</v>
      </c>
      <c r="U13044" s="8">
        <v>14.3</v>
      </c>
      <c r="V13044" s="8">
        <v>1.3</v>
      </c>
      <c r="W13044" s="8">
        <v>0.7</v>
      </c>
      <c r="X13044" s="8">
        <v>42</v>
      </c>
      <c r="Y13044" s="8" t="s">
        <v>46249</v>
      </c>
      <c r="Z13044" s="8" t="s">
        <v>46250</v>
      </c>
    </row>
    <row r="13045" spans="1:26" x14ac:dyDescent="0.2">
      <c r="A13045" s="8">
        <v>13044</v>
      </c>
      <c r="B13045" s="8" t="s">
        <v>54628</v>
      </c>
      <c r="C13045" s="8" t="s">
        <v>54628</v>
      </c>
      <c r="G13045" s="8">
        <v>20</v>
      </c>
      <c r="H13045" s="8" t="s">
        <v>21</v>
      </c>
      <c r="I13045" s="8" t="s">
        <v>329</v>
      </c>
      <c r="J13045" s="8" t="s">
        <v>329</v>
      </c>
      <c r="K13045" s="8" t="s">
        <v>329</v>
      </c>
      <c r="L13045" s="8" t="s">
        <v>30854</v>
      </c>
      <c r="M13045" s="8" t="s">
        <v>30855</v>
      </c>
      <c r="N13045" s="8" t="s">
        <v>54629</v>
      </c>
      <c r="O13045" s="8">
        <f>22+20/60+42/3600</f>
        <v>22.344999999999999</v>
      </c>
      <c r="P13045" s="8" t="s">
        <v>54630</v>
      </c>
      <c r="Q13045" s="8">
        <f>-(14+24/60+0/3600)</f>
        <v>-14.4</v>
      </c>
      <c r="R13045" s="8">
        <v>99</v>
      </c>
      <c r="S13045" s="8">
        <v>99</v>
      </c>
      <c r="T13045" s="8">
        <v>99</v>
      </c>
      <c r="U13045" s="8">
        <v>99</v>
      </c>
      <c r="Y13045" s="8" t="s">
        <v>54631</v>
      </c>
      <c r="Z13045" s="8" t="s">
        <v>54632</v>
      </c>
    </row>
    <row r="13046" spans="1:26" x14ac:dyDescent="0.2">
      <c r="A13046" s="8">
        <v>13045</v>
      </c>
      <c r="B13046" s="8" t="s">
        <v>54633</v>
      </c>
      <c r="C13046" s="8" t="s">
        <v>54633</v>
      </c>
      <c r="G13046" s="8">
        <v>20</v>
      </c>
      <c r="H13046" s="8" t="s">
        <v>21</v>
      </c>
      <c r="I13046" s="8" t="s">
        <v>22</v>
      </c>
      <c r="J13046" s="8" t="s">
        <v>22</v>
      </c>
      <c r="K13046" s="8" t="s">
        <v>160</v>
      </c>
      <c r="L13046" s="8" t="s">
        <v>310</v>
      </c>
      <c r="M13046" s="8" t="s">
        <v>311</v>
      </c>
      <c r="N13046" s="8" t="s">
        <v>54634</v>
      </c>
      <c r="O13046" s="8">
        <f>22+22/60+47.7/3600</f>
        <v>22.379916666666666</v>
      </c>
      <c r="P13046" s="8" t="s">
        <v>54635</v>
      </c>
      <c r="Q13046" s="8">
        <f>-(59+47/60+12/3600)</f>
        <v>-59.786666666666662</v>
      </c>
      <c r="R13046" s="8">
        <v>15.2</v>
      </c>
      <c r="S13046" s="8">
        <v>16</v>
      </c>
      <c r="T13046" s="8">
        <v>0.8</v>
      </c>
      <c r="U13046" s="8">
        <v>13.8</v>
      </c>
      <c r="V13046" s="8">
        <v>0.8</v>
      </c>
      <c r="W13046" s="8">
        <v>0.4</v>
      </c>
      <c r="X13046" s="8">
        <v>0</v>
      </c>
      <c r="Y13046" s="8" t="s">
        <v>46466</v>
      </c>
      <c r="Z13046" s="8" t="s">
        <v>46467</v>
      </c>
    </row>
    <row r="13047" spans="1:26" x14ac:dyDescent="0.2">
      <c r="A13047" s="8">
        <v>13046</v>
      </c>
      <c r="B13047" s="8" t="s">
        <v>54636</v>
      </c>
      <c r="C13047" s="8" t="s">
        <v>54636</v>
      </c>
      <c r="G13047" s="8">
        <v>20</v>
      </c>
      <c r="H13047" s="8" t="s">
        <v>21</v>
      </c>
      <c r="I13047" s="8" t="s">
        <v>22</v>
      </c>
      <c r="J13047" s="8" t="s">
        <v>22</v>
      </c>
      <c r="K13047" s="8" t="s">
        <v>85</v>
      </c>
      <c r="L13047" s="8" t="s">
        <v>310</v>
      </c>
      <c r="M13047" s="8" t="s">
        <v>311</v>
      </c>
      <c r="N13047" s="8" t="s">
        <v>54637</v>
      </c>
      <c r="O13047" s="8">
        <f>22+24/60+4.5/3600</f>
        <v>22.401249999999997</v>
      </c>
      <c r="P13047" s="8" t="s">
        <v>54638</v>
      </c>
      <c r="Q13047" s="8">
        <f>-(66+51/60+28/3600)</f>
        <v>-66.85777777777777</v>
      </c>
      <c r="R13047" s="8">
        <v>14.5</v>
      </c>
      <c r="S13047" s="8">
        <v>15.3</v>
      </c>
      <c r="T13047" s="8">
        <v>0.8</v>
      </c>
      <c r="U13047" s="8">
        <v>13.7</v>
      </c>
      <c r="V13047" s="8">
        <v>0.9</v>
      </c>
      <c r="W13047" s="8">
        <v>0.6</v>
      </c>
      <c r="X13047" s="8">
        <v>20</v>
      </c>
      <c r="Y13047" s="8" t="s">
        <v>54639</v>
      </c>
      <c r="Z13047" s="8" t="s">
        <v>54640</v>
      </c>
    </row>
    <row r="13048" spans="1:26" x14ac:dyDescent="0.2">
      <c r="A13048" s="8">
        <v>13047</v>
      </c>
      <c r="B13048" s="8" t="s">
        <v>54641</v>
      </c>
      <c r="C13048" s="8" t="s">
        <v>54641</v>
      </c>
      <c r="G13048" s="8">
        <v>20</v>
      </c>
      <c r="H13048" s="8" t="s">
        <v>21</v>
      </c>
      <c r="I13048" s="8" t="s">
        <v>22</v>
      </c>
      <c r="J13048" s="8" t="s">
        <v>22</v>
      </c>
      <c r="K13048" s="8" t="s">
        <v>64</v>
      </c>
      <c r="L13048" s="8" t="s">
        <v>310</v>
      </c>
      <c r="M13048" s="8" t="s">
        <v>311</v>
      </c>
      <c r="N13048" s="8" t="s">
        <v>54642</v>
      </c>
      <c r="O13048" s="8">
        <f>22+23/60+29.2/3600</f>
        <v>22.391444444444446</v>
      </c>
      <c r="P13048" s="8" t="s">
        <v>54643</v>
      </c>
      <c r="Q13048" s="8">
        <f>-(60+33/60+56/3600)</f>
        <v>-60.565555555555555</v>
      </c>
      <c r="R13048" s="8">
        <v>14.5</v>
      </c>
      <c r="S13048" s="8">
        <v>15.2</v>
      </c>
      <c r="T13048" s="8">
        <v>0.7</v>
      </c>
      <c r="U13048" s="8">
        <v>14.7</v>
      </c>
      <c r="V13048" s="8">
        <v>1.5</v>
      </c>
      <c r="W13048" s="8">
        <v>0.9</v>
      </c>
      <c r="X13048" s="8">
        <v>0</v>
      </c>
      <c r="Y13048" s="8" t="s">
        <v>46466</v>
      </c>
      <c r="Z13048" s="8" t="s">
        <v>46467</v>
      </c>
    </row>
    <row r="13049" spans="1:26" x14ac:dyDescent="0.2">
      <c r="A13049" s="8">
        <v>13048</v>
      </c>
      <c r="B13049" s="8" t="s">
        <v>54644</v>
      </c>
      <c r="C13049" s="8" t="s">
        <v>54644</v>
      </c>
      <c r="G13049" s="8">
        <v>20</v>
      </c>
      <c r="H13049" s="8" t="s">
        <v>21</v>
      </c>
      <c r="I13049" s="8" t="s">
        <v>22</v>
      </c>
      <c r="J13049" s="8" t="s">
        <v>22</v>
      </c>
      <c r="K13049" s="8" t="s">
        <v>632</v>
      </c>
      <c r="L13049" s="8" t="s">
        <v>310</v>
      </c>
      <c r="M13049" s="8" t="s">
        <v>311</v>
      </c>
      <c r="N13049" s="8" t="s">
        <v>54645</v>
      </c>
      <c r="O13049" s="8">
        <f>22+24/60+34.1/3600</f>
        <v>22.40947222222222</v>
      </c>
      <c r="P13049" s="8" t="s">
        <v>54646</v>
      </c>
      <c r="Q13049" s="8">
        <f>-(65+13/60+39/3600)</f>
        <v>-65.227500000000006</v>
      </c>
      <c r="R13049" s="8">
        <v>13.8</v>
      </c>
      <c r="S13049" s="8">
        <v>14.7</v>
      </c>
      <c r="T13049" s="8">
        <v>0.9</v>
      </c>
      <c r="U13049" s="8">
        <v>12.8</v>
      </c>
      <c r="V13049" s="8">
        <v>1.6</v>
      </c>
      <c r="W13049" s="8">
        <v>0.2</v>
      </c>
      <c r="X13049" s="8">
        <v>64</v>
      </c>
      <c r="Y13049" s="8" t="s">
        <v>54647</v>
      </c>
      <c r="Z13049" s="8" t="s">
        <v>54648</v>
      </c>
    </row>
    <row r="13050" spans="1:26" x14ac:dyDescent="0.2">
      <c r="A13050" s="8">
        <v>13049</v>
      </c>
      <c r="B13050" s="8" t="s">
        <v>54649</v>
      </c>
      <c r="C13050" s="8" t="s">
        <v>54649</v>
      </c>
      <c r="G13050" s="8">
        <v>20</v>
      </c>
      <c r="H13050" s="8" t="s">
        <v>21</v>
      </c>
      <c r="I13050" s="8" t="s">
        <v>22</v>
      </c>
      <c r="J13050" s="8" t="s">
        <v>22</v>
      </c>
      <c r="K13050" s="8" t="s">
        <v>42046</v>
      </c>
      <c r="L13050" s="8" t="s">
        <v>31389</v>
      </c>
      <c r="M13050" s="8" t="s">
        <v>31390</v>
      </c>
      <c r="N13050" s="8" t="s">
        <v>54650</v>
      </c>
      <c r="O13050" s="8">
        <f>22+23/60+9.1/3600</f>
        <v>22.385861111111112</v>
      </c>
      <c r="P13050" s="8" t="s">
        <v>54651</v>
      </c>
      <c r="Q13050" s="8">
        <f>-(37+59/60+37/3600)</f>
        <v>-37.993611111111115</v>
      </c>
      <c r="R13050" s="8">
        <v>14.8</v>
      </c>
      <c r="S13050" s="8">
        <v>15.6</v>
      </c>
      <c r="T13050" s="8">
        <v>0.8</v>
      </c>
      <c r="U13050" s="8">
        <v>13.3</v>
      </c>
      <c r="V13050" s="8">
        <v>0.6</v>
      </c>
      <c r="W13050" s="8">
        <v>0.5</v>
      </c>
      <c r="X13050" s="8">
        <v>125</v>
      </c>
      <c r="Y13050" s="8" t="s">
        <v>54652</v>
      </c>
      <c r="Z13050" s="8" t="s">
        <v>54653</v>
      </c>
    </row>
    <row r="13051" spans="1:26" x14ac:dyDescent="0.2">
      <c r="A13051" s="8">
        <v>13050</v>
      </c>
      <c r="B13051" s="8" t="s">
        <v>54654</v>
      </c>
      <c r="C13051" s="8" t="s">
        <v>54654</v>
      </c>
      <c r="G13051" s="8">
        <v>20</v>
      </c>
      <c r="H13051" s="8" t="s">
        <v>21</v>
      </c>
      <c r="I13051" s="8" t="s">
        <v>22</v>
      </c>
      <c r="J13051" s="8" t="s">
        <v>22</v>
      </c>
      <c r="K13051" s="8" t="s">
        <v>58</v>
      </c>
      <c r="L13051" s="8" t="s">
        <v>30854</v>
      </c>
      <c r="M13051" s="8" t="s">
        <v>30855</v>
      </c>
      <c r="N13051" s="8" t="s">
        <v>54655</v>
      </c>
      <c r="O13051" s="8">
        <f>22+22/60+31.1/3600</f>
        <v>22.375305555555556</v>
      </c>
      <c r="P13051" s="8" t="s">
        <v>54656</v>
      </c>
      <c r="Q13051" s="8">
        <f>-(18+52/60+9/3600)</f>
        <v>-18.869166666666668</v>
      </c>
      <c r="R13051" s="8">
        <v>13</v>
      </c>
      <c r="S13051" s="8">
        <v>14</v>
      </c>
      <c r="T13051" s="8">
        <v>1</v>
      </c>
      <c r="U13051" s="8">
        <v>13.4</v>
      </c>
      <c r="V13051" s="8">
        <v>1.2</v>
      </c>
      <c r="W13051" s="8">
        <v>1.1000000000000001</v>
      </c>
      <c r="Y13051" s="8" t="s">
        <v>54657</v>
      </c>
      <c r="Z13051" s="8" t="s">
        <v>3001</v>
      </c>
    </row>
    <row r="13052" spans="1:26" x14ac:dyDescent="0.2">
      <c r="A13052" s="8">
        <v>13051</v>
      </c>
      <c r="B13052" s="8" t="s">
        <v>54658</v>
      </c>
      <c r="C13052" s="8" t="s">
        <v>54658</v>
      </c>
      <c r="G13052" s="8">
        <v>20</v>
      </c>
      <c r="H13052" s="8" t="s">
        <v>21</v>
      </c>
      <c r="I13052" s="8" t="s">
        <v>22</v>
      </c>
      <c r="J13052" s="8" t="s">
        <v>22</v>
      </c>
      <c r="K13052" s="8" t="s">
        <v>31</v>
      </c>
      <c r="L13052" s="8" t="s">
        <v>30854</v>
      </c>
      <c r="M13052" s="8" t="s">
        <v>30855</v>
      </c>
      <c r="N13052" s="8" t="s">
        <v>54659</v>
      </c>
      <c r="O13052" s="8">
        <f>22+22/60+42.9/3600</f>
        <v>22.378583333333335</v>
      </c>
      <c r="P13052" s="8" t="s">
        <v>54660</v>
      </c>
      <c r="Q13052" s="8">
        <f>-(18+52/60+47/3600)</f>
        <v>-18.879722222222224</v>
      </c>
      <c r="R13052" s="8">
        <v>13.5</v>
      </c>
      <c r="S13052" s="8">
        <v>14.3</v>
      </c>
      <c r="T13052" s="8">
        <v>0.8</v>
      </c>
      <c r="U13052" s="8">
        <v>12.8</v>
      </c>
      <c r="V13052" s="8">
        <v>1</v>
      </c>
      <c r="W13052" s="8">
        <v>0.6</v>
      </c>
      <c r="X13052" s="8">
        <v>160</v>
      </c>
      <c r="Y13052" s="8" t="s">
        <v>54661</v>
      </c>
      <c r="Z13052" s="8" t="s">
        <v>54662</v>
      </c>
    </row>
    <row r="13053" spans="1:26" x14ac:dyDescent="0.2">
      <c r="A13053" s="8">
        <v>13052</v>
      </c>
      <c r="B13053" s="8" t="s">
        <v>54663</v>
      </c>
      <c r="C13053" s="8" t="s">
        <v>54663</v>
      </c>
      <c r="G13053" s="8">
        <v>20</v>
      </c>
      <c r="H13053" s="8" t="s">
        <v>21</v>
      </c>
      <c r="I13053" s="8" t="s">
        <v>22</v>
      </c>
      <c r="J13053" s="8" t="s">
        <v>22</v>
      </c>
      <c r="K13053" s="8" t="s">
        <v>396</v>
      </c>
      <c r="L13053" s="8" t="s">
        <v>31389</v>
      </c>
      <c r="M13053" s="8" t="s">
        <v>31390</v>
      </c>
      <c r="N13053" s="8" t="s">
        <v>54664</v>
      </c>
      <c r="O13053" s="8">
        <f>22+23/60+30.2/3600</f>
        <v>22.391722222222221</v>
      </c>
      <c r="P13053" s="8" t="s">
        <v>54665</v>
      </c>
      <c r="Q13053" s="8">
        <f>-(38+2/60+16/3600)</f>
        <v>-38.037777777777777</v>
      </c>
      <c r="R13053" s="8">
        <v>13.5</v>
      </c>
      <c r="S13053" s="8">
        <v>14.3</v>
      </c>
      <c r="T13053" s="8">
        <v>0.8</v>
      </c>
      <c r="U13053" s="8">
        <v>13</v>
      </c>
      <c r="V13053" s="8">
        <v>1.1000000000000001</v>
      </c>
      <c r="W13053" s="8">
        <v>0.7</v>
      </c>
      <c r="X13053" s="8">
        <v>42</v>
      </c>
      <c r="Y13053" s="8" t="s">
        <v>54666</v>
      </c>
      <c r="Z13053" s="8" t="s">
        <v>54667</v>
      </c>
    </row>
    <row r="13054" spans="1:26" x14ac:dyDescent="0.2">
      <c r="A13054" s="8">
        <v>13053</v>
      </c>
      <c r="B13054" s="8" t="s">
        <v>54668</v>
      </c>
      <c r="C13054" s="8" t="s">
        <v>54668</v>
      </c>
      <c r="G13054" s="8">
        <v>20</v>
      </c>
      <c r="H13054" s="8" t="s">
        <v>21</v>
      </c>
      <c r="I13054" s="8" t="s">
        <v>22</v>
      </c>
      <c r="J13054" s="8" t="s">
        <v>22</v>
      </c>
      <c r="K13054" s="8" t="s">
        <v>42046</v>
      </c>
      <c r="L13054" s="8" t="s">
        <v>310</v>
      </c>
      <c r="M13054" s="8" t="s">
        <v>311</v>
      </c>
      <c r="N13054" s="8" t="s">
        <v>54669</v>
      </c>
      <c r="O13054" s="8">
        <f>22+25/60+4.9/3600</f>
        <v>22.41802777777778</v>
      </c>
      <c r="P13054" s="8" t="s">
        <v>54670</v>
      </c>
      <c r="Q13054" s="8">
        <f>-(60+28/60+34/3600)</f>
        <v>-60.476111111111116</v>
      </c>
      <c r="R13054" s="8">
        <v>15</v>
      </c>
      <c r="S13054" s="8">
        <v>15.8</v>
      </c>
      <c r="T13054" s="8">
        <v>0.8</v>
      </c>
      <c r="U13054" s="8">
        <v>13.5</v>
      </c>
      <c r="V13054" s="8">
        <v>0.6</v>
      </c>
      <c r="W13054" s="8">
        <v>0.5</v>
      </c>
      <c r="Y13054" s="8" t="s">
        <v>46466</v>
      </c>
      <c r="Z13054" s="8" t="s">
        <v>46467</v>
      </c>
    </row>
    <row r="13055" spans="1:26" x14ac:dyDescent="0.2">
      <c r="A13055" s="8">
        <v>13054</v>
      </c>
      <c r="B13055" s="8" t="s">
        <v>54671</v>
      </c>
      <c r="C13055" s="8" t="s">
        <v>54671</v>
      </c>
      <c r="G13055" s="8">
        <v>20</v>
      </c>
      <c r="H13055" s="8" t="s">
        <v>21</v>
      </c>
      <c r="I13055" s="8" t="s">
        <v>22</v>
      </c>
      <c r="J13055" s="8" t="s">
        <v>22</v>
      </c>
      <c r="K13055" s="8" t="s">
        <v>160</v>
      </c>
      <c r="L13055" s="8" t="s">
        <v>31565</v>
      </c>
      <c r="M13055" s="8" t="s">
        <v>31566</v>
      </c>
      <c r="N13055" s="8" t="s">
        <v>54672</v>
      </c>
      <c r="O13055" s="8">
        <f>22+22/60+43.4/3600</f>
        <v>22.378722222222223</v>
      </c>
      <c r="P13055" s="8" t="s">
        <v>54673</v>
      </c>
      <c r="Q13055" s="8">
        <f>-(27+21/60+20/3600)</f>
        <v>-27.355555555555558</v>
      </c>
      <c r="R13055" s="8">
        <v>14.4</v>
      </c>
      <c r="S13055" s="8">
        <v>15.1</v>
      </c>
      <c r="T13055" s="8">
        <v>0.7</v>
      </c>
      <c r="U13055" s="8">
        <v>12.5</v>
      </c>
      <c r="V13055" s="8">
        <v>1</v>
      </c>
      <c r="W13055" s="8">
        <v>0.2</v>
      </c>
      <c r="X13055" s="8">
        <v>55</v>
      </c>
      <c r="Y13055" s="8" t="s">
        <v>54674</v>
      </c>
      <c r="Z13055" s="8" t="s">
        <v>54675</v>
      </c>
    </row>
    <row r="13056" spans="1:26" x14ac:dyDescent="0.2">
      <c r="A13056" s="8">
        <v>13055</v>
      </c>
      <c r="B13056" s="8" t="s">
        <v>54676</v>
      </c>
      <c r="C13056" s="8" t="s">
        <v>54676</v>
      </c>
      <c r="G13056" s="8">
        <v>20</v>
      </c>
      <c r="H13056" s="8" t="s">
        <v>21</v>
      </c>
      <c r="I13056" s="8" t="s">
        <v>22</v>
      </c>
      <c r="J13056" s="8" t="s">
        <v>22</v>
      </c>
      <c r="K13056" s="8" t="s">
        <v>42046</v>
      </c>
      <c r="L13056" s="8" t="s">
        <v>310</v>
      </c>
      <c r="M13056" s="8" t="s">
        <v>311</v>
      </c>
      <c r="N13056" s="8" t="s">
        <v>54677</v>
      </c>
      <c r="O13056" s="8">
        <f>22+26/60+58/3600</f>
        <v>22.449444444444445</v>
      </c>
      <c r="P13056" s="8" t="s">
        <v>54678</v>
      </c>
      <c r="Q13056" s="8">
        <f>-(65+58/60+58/3600)</f>
        <v>-65.982777777777784</v>
      </c>
      <c r="R13056" s="8">
        <v>14.9</v>
      </c>
      <c r="S13056" s="8">
        <v>15.7</v>
      </c>
      <c r="T13056" s="8">
        <v>0.8</v>
      </c>
      <c r="U13056" s="8">
        <v>13.4</v>
      </c>
      <c r="V13056" s="8">
        <v>0.6</v>
      </c>
      <c r="W13056" s="8">
        <v>0.5</v>
      </c>
      <c r="X13056" s="8">
        <v>10</v>
      </c>
      <c r="Y13056" s="8" t="s">
        <v>54679</v>
      </c>
      <c r="Z13056" s="8" t="s">
        <v>54680</v>
      </c>
    </row>
    <row r="13057" spans="1:26" x14ac:dyDescent="0.2">
      <c r="A13057" s="8">
        <v>13056</v>
      </c>
      <c r="B13057" s="8" t="s">
        <v>54681</v>
      </c>
      <c r="C13057" s="8" t="s">
        <v>54681</v>
      </c>
      <c r="G13057" s="8">
        <v>20</v>
      </c>
      <c r="H13057" s="8" t="s">
        <v>21</v>
      </c>
      <c r="I13057" s="8" t="s">
        <v>329</v>
      </c>
      <c r="J13057" s="8" t="s">
        <v>329</v>
      </c>
      <c r="K13057" s="8" t="s">
        <v>329</v>
      </c>
      <c r="L13057" s="8" t="s">
        <v>30854</v>
      </c>
      <c r="M13057" s="8" t="s">
        <v>30855</v>
      </c>
      <c r="N13057" s="8" t="s">
        <v>54682</v>
      </c>
      <c r="O13057" s="8">
        <f>22+24/60+44/3600</f>
        <v>22.412222222222219</v>
      </c>
      <c r="P13057" s="8" t="s">
        <v>54683</v>
      </c>
      <c r="Q13057" s="8">
        <f>-(18+5/60+18/3600)</f>
        <v>-18.088333333333331</v>
      </c>
      <c r="R13057" s="8">
        <v>99</v>
      </c>
      <c r="S13057" s="8">
        <v>99</v>
      </c>
      <c r="T13057" s="8">
        <v>99</v>
      </c>
      <c r="U13057" s="8">
        <v>99</v>
      </c>
      <c r="Y13057" s="8" t="s">
        <v>54684</v>
      </c>
      <c r="Z13057" s="8" t="s">
        <v>54685</v>
      </c>
    </row>
    <row r="13058" spans="1:26" x14ac:dyDescent="0.2">
      <c r="A13058" s="8">
        <v>13057</v>
      </c>
      <c r="B13058" s="8" t="s">
        <v>54686</v>
      </c>
      <c r="C13058" s="8" t="s">
        <v>54686</v>
      </c>
      <c r="G13058" s="8">
        <v>12</v>
      </c>
      <c r="H13058" s="8" t="s">
        <v>21</v>
      </c>
      <c r="I13058" s="8" t="s">
        <v>241</v>
      </c>
      <c r="J13058" s="8" t="s">
        <v>241</v>
      </c>
      <c r="K13058" s="8" t="s">
        <v>241</v>
      </c>
      <c r="L13058" s="8" t="s">
        <v>31943</v>
      </c>
      <c r="M13058" s="8" t="s">
        <v>31944</v>
      </c>
      <c r="N13058" s="8" t="s">
        <v>54687</v>
      </c>
      <c r="O13058" s="8">
        <f>22+23/60+55.7/3600</f>
        <v>22.398805555555555</v>
      </c>
      <c r="P13058" s="8" t="s">
        <v>54688</v>
      </c>
      <c r="Q13058" s="8">
        <f>+(50+58/60+3/3600)</f>
        <v>50.967500000000001</v>
      </c>
      <c r="R13058" s="8">
        <v>11.3</v>
      </c>
      <c r="S13058" s="8">
        <v>12.6</v>
      </c>
      <c r="T13058" s="8">
        <v>99</v>
      </c>
      <c r="U13058" s="8">
        <v>99</v>
      </c>
      <c r="V13058" s="8">
        <v>0.25</v>
      </c>
      <c r="Y13058" s="8" t="s">
        <v>27388</v>
      </c>
      <c r="Z13058" s="8" t="s">
        <v>42798</v>
      </c>
    </row>
    <row r="13059" spans="1:26" x14ac:dyDescent="0.2">
      <c r="A13059" s="8">
        <v>13058</v>
      </c>
      <c r="B13059" s="8" t="s">
        <v>54689</v>
      </c>
      <c r="C13059" s="8" t="s">
        <v>54689</v>
      </c>
      <c r="G13059" s="8">
        <v>20</v>
      </c>
      <c r="H13059" s="8" t="s">
        <v>21</v>
      </c>
      <c r="I13059" s="8" t="s">
        <v>22</v>
      </c>
      <c r="J13059" s="8" t="s">
        <v>22</v>
      </c>
      <c r="K13059" s="8" t="s">
        <v>85</v>
      </c>
      <c r="L13059" s="8" t="s">
        <v>310</v>
      </c>
      <c r="M13059" s="8" t="s">
        <v>311</v>
      </c>
      <c r="N13059" s="8" t="s">
        <v>54690</v>
      </c>
      <c r="O13059" s="8">
        <f>22+28/60+5.8/3600</f>
        <v>22.468277777777775</v>
      </c>
      <c r="P13059" s="8" t="s">
        <v>54691</v>
      </c>
      <c r="Q13059" s="8">
        <f>-(60+23/60+41/3600)</f>
        <v>-60.394722222222221</v>
      </c>
      <c r="R13059" s="8">
        <v>14.3</v>
      </c>
      <c r="S13059" s="8">
        <v>15.1</v>
      </c>
      <c r="T13059" s="8">
        <v>0.8</v>
      </c>
      <c r="U13059" s="8">
        <v>13.7</v>
      </c>
      <c r="V13059" s="8">
        <v>1.3</v>
      </c>
      <c r="W13059" s="8">
        <v>0.5</v>
      </c>
      <c r="X13059" s="8">
        <v>22</v>
      </c>
      <c r="Y13059" s="8" t="s">
        <v>54692</v>
      </c>
      <c r="Z13059" s="8" t="s">
        <v>54693</v>
      </c>
    </row>
    <row r="13060" spans="1:26" x14ac:dyDescent="0.2">
      <c r="A13060" s="8">
        <v>13059</v>
      </c>
      <c r="B13060" s="8" t="s">
        <v>54694</v>
      </c>
      <c r="C13060" s="8" t="s">
        <v>54694</v>
      </c>
      <c r="G13060" s="8">
        <v>20</v>
      </c>
      <c r="H13060" s="8" t="s">
        <v>21</v>
      </c>
      <c r="I13060" s="8" t="s">
        <v>22</v>
      </c>
      <c r="J13060" s="8" t="s">
        <v>22</v>
      </c>
      <c r="K13060" s="8" t="s">
        <v>42046</v>
      </c>
      <c r="L13060" s="8" t="s">
        <v>310</v>
      </c>
      <c r="M13060" s="8" t="s">
        <v>311</v>
      </c>
      <c r="N13060" s="8" t="s">
        <v>54695</v>
      </c>
      <c r="O13060" s="8">
        <f>22+28/60+44.1/3600</f>
        <v>22.478916666666667</v>
      </c>
      <c r="P13060" s="8" t="s">
        <v>54696</v>
      </c>
      <c r="Q13060" s="8">
        <f>-(65+53/60+37/3600)</f>
        <v>-65.893611111111113</v>
      </c>
      <c r="R13060" s="8">
        <v>15.1</v>
      </c>
      <c r="S13060" s="8">
        <v>15.9</v>
      </c>
      <c r="T13060" s="8">
        <v>0.8</v>
      </c>
      <c r="U13060" s="8">
        <v>14</v>
      </c>
      <c r="V13060" s="8">
        <v>0.8</v>
      </c>
      <c r="W13060" s="8">
        <v>0.5</v>
      </c>
      <c r="X13060" s="8">
        <v>20</v>
      </c>
      <c r="Y13060" s="8" t="s">
        <v>54697</v>
      </c>
      <c r="Z13060" s="8" t="s">
        <v>54698</v>
      </c>
    </row>
    <row r="13061" spans="1:26" x14ac:dyDescent="0.2">
      <c r="A13061" s="8">
        <v>13060</v>
      </c>
      <c r="B13061" s="8" t="s">
        <v>54699</v>
      </c>
      <c r="C13061" s="8" t="s">
        <v>54699</v>
      </c>
      <c r="G13061" s="8">
        <v>20</v>
      </c>
      <c r="H13061" s="8" t="s">
        <v>21</v>
      </c>
      <c r="I13061" s="8" t="s">
        <v>22</v>
      </c>
      <c r="J13061" s="8" t="s">
        <v>22</v>
      </c>
      <c r="K13061" s="8" t="s">
        <v>160</v>
      </c>
      <c r="L13061" s="8" t="s">
        <v>310</v>
      </c>
      <c r="M13061" s="8" t="s">
        <v>311</v>
      </c>
      <c r="N13061" s="8" t="s">
        <v>54700</v>
      </c>
      <c r="O13061" s="8">
        <f>22+28/60+2.4/3600</f>
        <v>22.467333333333332</v>
      </c>
      <c r="P13061" s="8" t="s">
        <v>54701</v>
      </c>
      <c r="Q13061" s="8">
        <f>-(59+43/60+22/3600)</f>
        <v>-59.722777777777779</v>
      </c>
      <c r="R13061" s="8">
        <v>14.3</v>
      </c>
      <c r="S13061" s="8">
        <v>15</v>
      </c>
      <c r="T13061" s="8">
        <v>0.7</v>
      </c>
      <c r="U13061" s="8">
        <v>12.9</v>
      </c>
      <c r="V13061" s="8">
        <v>1.1000000000000001</v>
      </c>
      <c r="W13061" s="8">
        <v>0.3</v>
      </c>
      <c r="X13061" s="8">
        <v>111</v>
      </c>
      <c r="Y13061" s="8" t="s">
        <v>54702</v>
      </c>
      <c r="Z13061" s="8" t="s">
        <v>54703</v>
      </c>
    </row>
    <row r="13062" spans="1:26" x14ac:dyDescent="0.2">
      <c r="A13062" s="8">
        <v>13061</v>
      </c>
      <c r="B13062" s="8" t="s">
        <v>54704</v>
      </c>
      <c r="C13062" s="8" t="s">
        <v>54704</v>
      </c>
      <c r="G13062" s="8">
        <v>20</v>
      </c>
      <c r="H13062" s="8" t="s">
        <v>21</v>
      </c>
      <c r="I13062" s="8" t="s">
        <v>22</v>
      </c>
      <c r="J13062" s="8" t="s">
        <v>22</v>
      </c>
      <c r="K13062" s="8" t="s">
        <v>1136</v>
      </c>
      <c r="L13062" s="8" t="s">
        <v>310</v>
      </c>
      <c r="M13062" s="8" t="s">
        <v>311</v>
      </c>
      <c r="N13062" s="8" t="s">
        <v>54705</v>
      </c>
      <c r="O13062" s="8">
        <f>22+28/60+57.9/3600</f>
        <v>22.482749999999999</v>
      </c>
      <c r="P13062" s="8" t="s">
        <v>54706</v>
      </c>
      <c r="Q13062" s="8">
        <f>-(65+54/60+15/3600)</f>
        <v>-65.904166666666669</v>
      </c>
      <c r="R13062" s="8">
        <v>14.9</v>
      </c>
      <c r="S13062" s="8">
        <v>15.9</v>
      </c>
      <c r="T13062" s="8">
        <v>1</v>
      </c>
      <c r="U13062" s="8">
        <v>13.2</v>
      </c>
      <c r="V13062" s="8">
        <v>0.5</v>
      </c>
      <c r="W13062" s="8">
        <v>0.4</v>
      </c>
      <c r="Y13062" s="8" t="s">
        <v>54707</v>
      </c>
      <c r="Z13062" s="8" t="s">
        <v>54708</v>
      </c>
    </row>
    <row r="13063" spans="1:26" x14ac:dyDescent="0.2">
      <c r="A13063" s="8">
        <v>13062</v>
      </c>
      <c r="B13063" s="8" t="s">
        <v>54709</v>
      </c>
      <c r="C13063" s="8" t="s">
        <v>54709</v>
      </c>
      <c r="G13063" s="8">
        <v>20</v>
      </c>
      <c r="H13063" s="8" t="s">
        <v>21</v>
      </c>
      <c r="I13063" s="8" t="s">
        <v>22</v>
      </c>
      <c r="J13063" s="8" t="s">
        <v>22</v>
      </c>
      <c r="K13063" s="8" t="s">
        <v>85</v>
      </c>
      <c r="L13063" s="8" t="s">
        <v>310</v>
      </c>
      <c r="M13063" s="8" t="s">
        <v>311</v>
      </c>
      <c r="N13063" s="8" t="s">
        <v>54710</v>
      </c>
      <c r="O13063" s="8">
        <f>22+29/60+54.7/3600</f>
        <v>22.498527777777777</v>
      </c>
      <c r="P13063" s="8" t="s">
        <v>54711</v>
      </c>
      <c r="Q13063" s="8">
        <f>-(65+39/60+41/3600)</f>
        <v>-65.661388888888894</v>
      </c>
      <c r="R13063" s="8">
        <v>12.8</v>
      </c>
      <c r="S13063" s="8">
        <v>13.5</v>
      </c>
      <c r="T13063" s="8">
        <v>0.7</v>
      </c>
      <c r="U13063" s="8">
        <v>13.6</v>
      </c>
      <c r="V13063" s="8">
        <v>1.9</v>
      </c>
      <c r="W13063" s="8">
        <v>1.3</v>
      </c>
      <c r="X13063" s="8">
        <v>93</v>
      </c>
      <c r="Y13063" s="8" t="s">
        <v>54712</v>
      </c>
      <c r="Z13063" s="8" t="s">
        <v>54713</v>
      </c>
    </row>
    <row r="13064" spans="1:26" x14ac:dyDescent="0.2">
      <c r="A13064" s="8">
        <v>13063</v>
      </c>
      <c r="B13064" s="8" t="s">
        <v>54714</v>
      </c>
      <c r="C13064" s="8" t="s">
        <v>54714</v>
      </c>
      <c r="G13064" s="8">
        <v>20</v>
      </c>
      <c r="H13064" s="8" t="s">
        <v>21</v>
      </c>
      <c r="I13064" s="8" t="s">
        <v>22</v>
      </c>
      <c r="J13064" s="8" t="s">
        <v>22</v>
      </c>
      <c r="K13064" s="8" t="s">
        <v>54715</v>
      </c>
      <c r="L13064" s="8" t="s">
        <v>24</v>
      </c>
      <c r="M13064" s="8" t="s">
        <v>25</v>
      </c>
      <c r="N13064" s="8" t="s">
        <v>54716</v>
      </c>
      <c r="O13064" s="8">
        <f>22+29/60+44.7/3600</f>
        <v>22.495750000000001</v>
      </c>
      <c r="P13064" s="8" t="s">
        <v>54717</v>
      </c>
      <c r="Q13064" s="8">
        <f>+(7+59/60+21/3600)</f>
        <v>7.9891666666666667</v>
      </c>
      <c r="R13064" s="8">
        <v>14.6</v>
      </c>
      <c r="S13064" s="8">
        <v>15.4</v>
      </c>
      <c r="T13064" s="8">
        <v>0.8</v>
      </c>
      <c r="U13064" s="8">
        <v>13.1</v>
      </c>
      <c r="V13064" s="8">
        <v>1</v>
      </c>
      <c r="W13064" s="8">
        <v>0.3</v>
      </c>
      <c r="X13064" s="8">
        <v>0</v>
      </c>
      <c r="Y13064" s="8" t="s">
        <v>41596</v>
      </c>
      <c r="Z13064" s="8" t="s">
        <v>41597</v>
      </c>
    </row>
    <row r="13065" spans="1:26" x14ac:dyDescent="0.2">
      <c r="A13065" s="8">
        <v>13064</v>
      </c>
      <c r="B13065" s="8" t="s">
        <v>54718</v>
      </c>
      <c r="C13065" s="8" t="s">
        <v>54718</v>
      </c>
      <c r="G13065" s="8">
        <v>20</v>
      </c>
      <c r="H13065" s="8" t="s">
        <v>21</v>
      </c>
      <c r="I13065" s="8" t="s">
        <v>22</v>
      </c>
      <c r="J13065" s="8" t="s">
        <v>22</v>
      </c>
      <c r="K13065" s="8" t="s">
        <v>31</v>
      </c>
      <c r="L13065" s="8" t="s">
        <v>31389</v>
      </c>
      <c r="M13065" s="8" t="s">
        <v>31390</v>
      </c>
      <c r="N13065" s="8" t="s">
        <v>54719</v>
      </c>
      <c r="O13065" s="8">
        <f>22+30/60+30/3600</f>
        <v>22.508333333333333</v>
      </c>
      <c r="P13065" s="8" t="s">
        <v>54720</v>
      </c>
      <c r="Q13065" s="8">
        <f>-(45+59/60+45/3600)</f>
        <v>-45.995833333333337</v>
      </c>
      <c r="R13065" s="8">
        <v>13.6</v>
      </c>
      <c r="S13065" s="8">
        <v>14.4</v>
      </c>
      <c r="T13065" s="8">
        <v>0.8</v>
      </c>
      <c r="U13065" s="8">
        <v>12.9</v>
      </c>
      <c r="V13065" s="8">
        <v>1.5</v>
      </c>
      <c r="W13065" s="8">
        <v>0.4</v>
      </c>
      <c r="X13065" s="8">
        <v>167</v>
      </c>
      <c r="Y13065" s="8" t="s">
        <v>1694</v>
      </c>
      <c r="Z13065" s="8" t="s">
        <v>38252</v>
      </c>
    </row>
    <row r="13066" spans="1:26" x14ac:dyDescent="0.2">
      <c r="A13066" s="8">
        <v>13065</v>
      </c>
      <c r="B13066" s="8" t="s">
        <v>54721</v>
      </c>
      <c r="C13066" s="8" t="s">
        <v>54721</v>
      </c>
      <c r="G13066" s="8">
        <v>20</v>
      </c>
      <c r="H13066" s="8" t="s">
        <v>21</v>
      </c>
      <c r="I13066" s="8" t="s">
        <v>22</v>
      </c>
      <c r="J13066" s="8" t="s">
        <v>57</v>
      </c>
      <c r="K13066" s="8" t="s">
        <v>224</v>
      </c>
      <c r="L13066" s="8" t="s">
        <v>31565</v>
      </c>
      <c r="M13066" s="8" t="s">
        <v>31566</v>
      </c>
      <c r="N13066" s="8" t="s">
        <v>32352</v>
      </c>
      <c r="O13066" s="8">
        <f>22+32/60+7.8/3600</f>
        <v>22.535500000000003</v>
      </c>
      <c r="P13066" s="8" t="s">
        <v>32353</v>
      </c>
      <c r="Q13066" s="8">
        <f>-(25+23/60+53/3600)</f>
        <v>-25.398055555555555</v>
      </c>
      <c r="R13066" s="8">
        <v>12.5</v>
      </c>
      <c r="S13066" s="8">
        <v>13.5</v>
      </c>
      <c r="T13066" s="8">
        <v>1</v>
      </c>
      <c r="U13066" s="8">
        <v>13.3</v>
      </c>
      <c r="V13066" s="8">
        <v>2</v>
      </c>
      <c r="W13066" s="8">
        <v>1.2</v>
      </c>
      <c r="X13066" s="8">
        <v>47</v>
      </c>
      <c r="Y13066" s="8" t="s">
        <v>25492</v>
      </c>
      <c r="Z13066" s="8" t="s">
        <v>25493</v>
      </c>
    </row>
    <row r="13067" spans="1:26" x14ac:dyDescent="0.2">
      <c r="A13067" s="8">
        <v>13066</v>
      </c>
      <c r="B13067" s="8" t="s">
        <v>54722</v>
      </c>
      <c r="C13067" s="8" t="s">
        <v>54722</v>
      </c>
      <c r="G13067" s="8">
        <v>20</v>
      </c>
      <c r="H13067" s="8" t="s">
        <v>21</v>
      </c>
      <c r="I13067" s="8" t="s">
        <v>22</v>
      </c>
      <c r="J13067" s="8" t="s">
        <v>22</v>
      </c>
      <c r="K13067" s="8" t="s">
        <v>64</v>
      </c>
      <c r="L13067" s="8" t="s">
        <v>31565</v>
      </c>
      <c r="M13067" s="8" t="s">
        <v>31566</v>
      </c>
      <c r="N13067" s="8" t="s">
        <v>54723</v>
      </c>
      <c r="O13067" s="8">
        <f>22+32/60+30/3600</f>
        <v>22.541666666666668</v>
      </c>
      <c r="P13067" s="8" t="s">
        <v>54724</v>
      </c>
      <c r="Q13067" s="8">
        <f>-(25+39/60+44/3600)</f>
        <v>-25.662222222222219</v>
      </c>
      <c r="R13067" s="8">
        <v>12.6</v>
      </c>
      <c r="S13067" s="8">
        <v>13.5</v>
      </c>
      <c r="T13067" s="8">
        <v>0.9</v>
      </c>
      <c r="U13067" s="8">
        <v>13.8</v>
      </c>
      <c r="V13067" s="8">
        <v>2.6</v>
      </c>
      <c r="W13067" s="8">
        <v>2.4</v>
      </c>
      <c r="X13067" s="8">
        <v>9</v>
      </c>
      <c r="Y13067" s="8" t="s">
        <v>13360</v>
      </c>
      <c r="Z13067" s="8" t="s">
        <v>13361</v>
      </c>
    </row>
    <row r="13068" spans="1:26" x14ac:dyDescent="0.2">
      <c r="A13068" s="8">
        <v>13067</v>
      </c>
      <c r="B13068" s="8" t="s">
        <v>54725</v>
      </c>
      <c r="C13068" s="8" t="s">
        <v>54725</v>
      </c>
      <c r="G13068" s="8">
        <v>20</v>
      </c>
      <c r="H13068" s="8" t="s">
        <v>21</v>
      </c>
      <c r="I13068" s="8" t="s">
        <v>22</v>
      </c>
      <c r="J13068" s="8" t="s">
        <v>22</v>
      </c>
      <c r="K13068" s="8" t="s">
        <v>406</v>
      </c>
      <c r="L13068" s="8" t="s">
        <v>310</v>
      </c>
      <c r="M13068" s="8" t="s">
        <v>311</v>
      </c>
      <c r="N13068" s="8" t="s">
        <v>54726</v>
      </c>
      <c r="O13068" s="8">
        <f>22+34/60+3.6/3600</f>
        <v>22.567666666666668</v>
      </c>
      <c r="P13068" s="8" t="s">
        <v>54727</v>
      </c>
      <c r="Q13068" s="8">
        <f>-(64+41/60+52/3600)</f>
        <v>-64.697777777777787</v>
      </c>
      <c r="R13068" s="8">
        <v>13.1</v>
      </c>
      <c r="S13068" s="8">
        <v>13.9</v>
      </c>
      <c r="T13068" s="8">
        <v>0.8</v>
      </c>
      <c r="U13068" s="8">
        <v>13.3</v>
      </c>
      <c r="V13068" s="8">
        <v>1.4</v>
      </c>
      <c r="W13068" s="8">
        <v>1</v>
      </c>
      <c r="X13068" s="8">
        <v>177</v>
      </c>
      <c r="Y13068" s="8" t="s">
        <v>44831</v>
      </c>
      <c r="Z13068" s="8" t="s">
        <v>44832</v>
      </c>
    </row>
    <row r="13069" spans="1:26" x14ac:dyDescent="0.2">
      <c r="A13069" s="8">
        <v>13068</v>
      </c>
      <c r="B13069" s="8" t="s">
        <v>54728</v>
      </c>
      <c r="C13069" s="8" t="s">
        <v>54728</v>
      </c>
      <c r="G13069" s="8">
        <v>20</v>
      </c>
      <c r="H13069" s="8" t="s">
        <v>21</v>
      </c>
      <c r="I13069" s="8" t="s">
        <v>22</v>
      </c>
      <c r="J13069" s="8" t="s">
        <v>57</v>
      </c>
      <c r="K13069" s="8" t="s">
        <v>58</v>
      </c>
      <c r="L13069" s="8" t="s">
        <v>30854</v>
      </c>
      <c r="M13069" s="8" t="s">
        <v>30855</v>
      </c>
      <c r="N13069" s="8" t="s">
        <v>32379</v>
      </c>
      <c r="O13069" s="8">
        <f>22+32/60+23.9/3600</f>
        <v>22.539972222222225</v>
      </c>
      <c r="P13069" s="8" t="s">
        <v>32380</v>
      </c>
      <c r="Q13069" s="8">
        <f>-(14+7/60+15/3600)</f>
        <v>-14.120833333333334</v>
      </c>
      <c r="R13069" s="8">
        <v>12.3</v>
      </c>
      <c r="S13069" s="8">
        <v>13.2</v>
      </c>
      <c r="T13069" s="8">
        <v>0.9</v>
      </c>
      <c r="U13069" s="8">
        <v>12.9</v>
      </c>
      <c r="V13069" s="8">
        <v>1.8</v>
      </c>
      <c r="W13069" s="8">
        <v>1.1000000000000001</v>
      </c>
      <c r="X13069" s="8">
        <v>97</v>
      </c>
      <c r="Y13069" s="8" t="s">
        <v>54729</v>
      </c>
      <c r="Z13069" s="8" t="s">
        <v>54730</v>
      </c>
    </row>
    <row r="13070" spans="1:26" x14ac:dyDescent="0.2">
      <c r="A13070" s="8">
        <v>13069</v>
      </c>
      <c r="B13070" s="8" t="s">
        <v>54731</v>
      </c>
      <c r="C13070" s="8" t="s">
        <v>54731</v>
      </c>
      <c r="G13070" s="8">
        <v>20</v>
      </c>
      <c r="H13070" s="8" t="s">
        <v>21</v>
      </c>
      <c r="I13070" s="8" t="s">
        <v>22</v>
      </c>
      <c r="J13070" s="8" t="s">
        <v>22</v>
      </c>
      <c r="K13070" s="8" t="s">
        <v>160</v>
      </c>
      <c r="L13070" s="8" t="s">
        <v>310</v>
      </c>
      <c r="M13070" s="8" t="s">
        <v>311</v>
      </c>
      <c r="N13070" s="8" t="s">
        <v>54732</v>
      </c>
      <c r="O13070" s="8">
        <f>22+34/60+50.3/3600</f>
        <v>22.580638888888888</v>
      </c>
      <c r="P13070" s="8" t="s">
        <v>54733</v>
      </c>
      <c r="Q13070" s="8">
        <f>-(61+22/60+52/3600)</f>
        <v>-61.38111111111111</v>
      </c>
      <c r="R13070" s="8">
        <v>14.4</v>
      </c>
      <c r="S13070" s="8">
        <v>15.1</v>
      </c>
      <c r="T13070" s="8">
        <v>0.7</v>
      </c>
      <c r="U13070" s="8">
        <v>13.5</v>
      </c>
      <c r="V13070" s="8">
        <v>0.7</v>
      </c>
      <c r="W13070" s="8">
        <v>0.7</v>
      </c>
      <c r="Y13070" s="8" t="s">
        <v>46249</v>
      </c>
      <c r="Z13070" s="8" t="s">
        <v>46250</v>
      </c>
    </row>
    <row r="13071" spans="1:26" x14ac:dyDescent="0.2">
      <c r="A13071" s="8">
        <v>13070</v>
      </c>
      <c r="B13071" s="8" t="s">
        <v>54734</v>
      </c>
      <c r="C13071" s="8" t="s">
        <v>54734</v>
      </c>
      <c r="G13071" s="8">
        <v>20</v>
      </c>
      <c r="H13071" s="8" t="s">
        <v>21</v>
      </c>
      <c r="I13071" s="8" t="s">
        <v>22</v>
      </c>
      <c r="J13071" s="8" t="s">
        <v>22</v>
      </c>
      <c r="K13071" s="8" t="s">
        <v>42046</v>
      </c>
      <c r="L13071" s="8" t="s">
        <v>310</v>
      </c>
      <c r="M13071" s="8" t="s">
        <v>311</v>
      </c>
      <c r="N13071" s="8" t="s">
        <v>54735</v>
      </c>
      <c r="O13071" s="8">
        <f>22+35/60+40.2/3600</f>
        <v>22.5945</v>
      </c>
      <c r="P13071" s="8" t="s">
        <v>54736</v>
      </c>
      <c r="Q13071" s="8">
        <f>-(61+32/60+50/3600)</f>
        <v>-61.547222222222217</v>
      </c>
      <c r="R13071" s="8">
        <v>14.3</v>
      </c>
      <c r="S13071" s="8">
        <v>15.1</v>
      </c>
      <c r="T13071" s="8">
        <v>0.8</v>
      </c>
      <c r="U13071" s="8">
        <v>13.3</v>
      </c>
      <c r="V13071" s="8">
        <v>1.1000000000000001</v>
      </c>
      <c r="W13071" s="8">
        <v>0.4</v>
      </c>
      <c r="X13071" s="8">
        <v>41</v>
      </c>
      <c r="Y13071" s="8" t="s">
        <v>54737</v>
      </c>
      <c r="Z13071" s="8" t="s">
        <v>54738</v>
      </c>
    </row>
    <row r="13072" spans="1:26" x14ac:dyDescent="0.2">
      <c r="A13072" s="8">
        <v>13071</v>
      </c>
      <c r="B13072" s="8" t="s">
        <v>54739</v>
      </c>
      <c r="C13072" s="8" t="s">
        <v>54739</v>
      </c>
      <c r="G13072" s="8">
        <v>20</v>
      </c>
      <c r="H13072" s="8" t="s">
        <v>21</v>
      </c>
      <c r="I13072" s="8" t="s">
        <v>22</v>
      </c>
      <c r="J13072" s="8" t="s">
        <v>22</v>
      </c>
      <c r="K13072" s="8" t="s">
        <v>424</v>
      </c>
      <c r="L13072" s="8" t="s">
        <v>24</v>
      </c>
      <c r="M13072" s="8" t="s">
        <v>25</v>
      </c>
      <c r="N13072" s="8" t="s">
        <v>54740</v>
      </c>
      <c r="O13072" s="8">
        <f>22+34/60+0.6/3600</f>
        <v>22.566833333333332</v>
      </c>
      <c r="P13072" s="8" t="s">
        <v>54741</v>
      </c>
      <c r="Q13072" s="8">
        <f>+(23+20/60+21/3600)</f>
        <v>23.339166666666664</v>
      </c>
      <c r="R13072" s="8">
        <v>14.5</v>
      </c>
      <c r="S13072" s="8">
        <v>15.5</v>
      </c>
      <c r="T13072" s="8">
        <v>1</v>
      </c>
      <c r="U13072" s="8">
        <v>14.2</v>
      </c>
      <c r="V13072" s="8">
        <v>1</v>
      </c>
      <c r="W13072" s="8">
        <v>0.9</v>
      </c>
      <c r="X13072" s="8">
        <v>69</v>
      </c>
      <c r="Y13072" s="8" t="s">
        <v>12301</v>
      </c>
      <c r="Z13072" s="8" t="s">
        <v>12302</v>
      </c>
    </row>
    <row r="13073" spans="1:26" x14ac:dyDescent="0.2">
      <c r="A13073" s="8">
        <v>13072</v>
      </c>
      <c r="B13073" s="8" t="s">
        <v>54742</v>
      </c>
      <c r="C13073" s="8" t="s">
        <v>54742</v>
      </c>
      <c r="G13073" s="8">
        <v>20</v>
      </c>
      <c r="H13073" s="8" t="s">
        <v>21</v>
      </c>
      <c r="I13073" s="8" t="s">
        <v>22</v>
      </c>
      <c r="J13073" s="8" t="s">
        <v>22</v>
      </c>
      <c r="K13073" s="8" t="s">
        <v>42046</v>
      </c>
      <c r="L13073" s="8" t="s">
        <v>30731</v>
      </c>
      <c r="M13073" s="8" t="s">
        <v>30732</v>
      </c>
      <c r="N13073" s="8" t="s">
        <v>54743</v>
      </c>
      <c r="O13073" s="8">
        <f>22+37/60+38.3/3600</f>
        <v>22.627305555555555</v>
      </c>
      <c r="P13073" s="8" t="s">
        <v>54744</v>
      </c>
      <c r="Q13073" s="8">
        <f>-(68+52/60+17/3600)</f>
        <v>-68.871388888888887</v>
      </c>
      <c r="R13073" s="8">
        <v>14.6</v>
      </c>
      <c r="S13073" s="8">
        <v>15.4</v>
      </c>
      <c r="T13073" s="8">
        <v>0.8</v>
      </c>
      <c r="U13073" s="8">
        <v>12.8</v>
      </c>
      <c r="V13073" s="8">
        <v>0.7</v>
      </c>
      <c r="W13073" s="8">
        <v>0.3</v>
      </c>
      <c r="X13073" s="8">
        <v>3</v>
      </c>
      <c r="Y13073" s="8" t="s">
        <v>54745</v>
      </c>
      <c r="Z13073" s="8" t="s">
        <v>54746</v>
      </c>
    </row>
    <row r="13074" spans="1:26" x14ac:dyDescent="0.2">
      <c r="A13074" s="8">
        <v>13073</v>
      </c>
      <c r="B13074" s="8" t="s">
        <v>54747</v>
      </c>
      <c r="C13074" s="8" t="s">
        <v>54747</v>
      </c>
      <c r="G13074" s="8">
        <v>20</v>
      </c>
      <c r="H13074" s="8" t="s">
        <v>21</v>
      </c>
      <c r="I13074" s="8" t="s">
        <v>22</v>
      </c>
      <c r="J13074" s="8" t="s">
        <v>22</v>
      </c>
      <c r="K13074" s="8" t="s">
        <v>396</v>
      </c>
      <c r="L13074" s="8" t="s">
        <v>24</v>
      </c>
      <c r="M13074" s="8" t="s">
        <v>25</v>
      </c>
      <c r="N13074" s="8" t="s">
        <v>54748</v>
      </c>
      <c r="O13074" s="8">
        <f>22+36/60+33/3600</f>
        <v>22.609166666666667</v>
      </c>
      <c r="P13074" s="8" t="s">
        <v>54749</v>
      </c>
      <c r="Q13074" s="8">
        <f>+(25+45/60+49/3600)</f>
        <v>25.763611111111111</v>
      </c>
      <c r="R13074" s="8">
        <v>13.8</v>
      </c>
      <c r="S13074" s="8">
        <v>14.6</v>
      </c>
      <c r="T13074" s="8">
        <v>0.8</v>
      </c>
      <c r="U13074" s="8">
        <v>13.4</v>
      </c>
      <c r="V13074" s="8">
        <v>1</v>
      </c>
      <c r="W13074" s="8">
        <v>0.8</v>
      </c>
      <c r="X13074" s="8">
        <v>19</v>
      </c>
      <c r="Y13074" s="8" t="s">
        <v>54750</v>
      </c>
      <c r="Z13074" s="8" t="s">
        <v>54751</v>
      </c>
    </row>
    <row r="13075" spans="1:26" x14ac:dyDescent="0.2">
      <c r="A13075" s="8">
        <v>13074</v>
      </c>
      <c r="B13075" s="8" t="s">
        <v>54752</v>
      </c>
      <c r="C13075" s="8" t="s">
        <v>54752</v>
      </c>
      <c r="G13075" s="8">
        <v>20</v>
      </c>
      <c r="H13075" s="8" t="s">
        <v>21</v>
      </c>
      <c r="I13075" s="8" t="s">
        <v>22</v>
      </c>
      <c r="J13075" s="8" t="s">
        <v>22</v>
      </c>
      <c r="K13075" s="8" t="s">
        <v>632</v>
      </c>
      <c r="L13075" s="8" t="s">
        <v>310</v>
      </c>
      <c r="M13075" s="8" t="s">
        <v>311</v>
      </c>
      <c r="N13075" s="8" t="s">
        <v>54753</v>
      </c>
      <c r="O13075" s="8">
        <f>22+40/60+11.4/3600</f>
        <v>22.669833333333333</v>
      </c>
      <c r="P13075" s="8" t="s">
        <v>54754</v>
      </c>
      <c r="Q13075" s="8">
        <f>-(65+49/60+29/3600)</f>
        <v>-65.824722222222221</v>
      </c>
      <c r="R13075" s="8">
        <v>14.4</v>
      </c>
      <c r="S13075" s="8">
        <v>15.3</v>
      </c>
      <c r="T13075" s="8">
        <v>0.9</v>
      </c>
      <c r="U13075" s="8">
        <v>13.3</v>
      </c>
      <c r="V13075" s="8">
        <v>1</v>
      </c>
      <c r="W13075" s="8">
        <v>0.4</v>
      </c>
      <c r="X13075" s="8">
        <v>147</v>
      </c>
      <c r="Y13075" s="8" t="s">
        <v>54755</v>
      </c>
      <c r="Z13075" s="8" t="s">
        <v>54756</v>
      </c>
    </row>
    <row r="13076" spans="1:26" x14ac:dyDescent="0.2">
      <c r="A13076" s="8">
        <v>13075</v>
      </c>
      <c r="B13076" s="8" t="s">
        <v>54757</v>
      </c>
      <c r="C13076" s="8" t="s">
        <v>54757</v>
      </c>
      <c r="G13076" s="8">
        <v>20</v>
      </c>
      <c r="H13076" s="8" t="s">
        <v>21</v>
      </c>
      <c r="I13076" s="8" t="s">
        <v>22</v>
      </c>
      <c r="J13076" s="8" t="s">
        <v>22</v>
      </c>
      <c r="K13076" s="8" t="s">
        <v>632</v>
      </c>
      <c r="L13076" s="8" t="s">
        <v>310</v>
      </c>
      <c r="M13076" s="8" t="s">
        <v>311</v>
      </c>
      <c r="N13076" s="8" t="s">
        <v>54758</v>
      </c>
      <c r="O13076" s="8">
        <f>22+41/60+25.6/3600</f>
        <v>22.690444444444445</v>
      </c>
      <c r="P13076" s="8" t="s">
        <v>54759</v>
      </c>
      <c r="Q13076" s="8">
        <f>-(66+34/60+49/3600)</f>
        <v>-66.580277777777781</v>
      </c>
      <c r="R13076" s="8">
        <v>12.6</v>
      </c>
      <c r="S13076" s="8">
        <v>13.5</v>
      </c>
      <c r="T13076" s="8">
        <v>0.9</v>
      </c>
      <c r="U13076" s="8">
        <v>10.7</v>
      </c>
      <c r="V13076" s="8">
        <v>0.5</v>
      </c>
      <c r="W13076" s="8">
        <v>0.4</v>
      </c>
      <c r="X13076" s="8">
        <v>90</v>
      </c>
      <c r="Y13076" s="8" t="s">
        <v>51025</v>
      </c>
      <c r="Z13076" s="8" t="s">
        <v>51026</v>
      </c>
    </row>
    <row r="13077" spans="1:26" x14ac:dyDescent="0.2">
      <c r="A13077" s="8">
        <v>13076</v>
      </c>
      <c r="B13077" s="8" t="s">
        <v>54760</v>
      </c>
      <c r="C13077" s="8" t="s">
        <v>54760</v>
      </c>
      <c r="G13077" s="8">
        <v>20</v>
      </c>
      <c r="H13077" s="8" t="s">
        <v>21</v>
      </c>
      <c r="I13077" s="8" t="s">
        <v>22</v>
      </c>
      <c r="J13077" s="8" t="s">
        <v>22</v>
      </c>
      <c r="K13077" s="8" t="s">
        <v>37</v>
      </c>
      <c r="L13077" s="8" t="s">
        <v>310</v>
      </c>
      <c r="M13077" s="8" t="s">
        <v>311</v>
      </c>
      <c r="N13077" s="8" t="s">
        <v>54761</v>
      </c>
      <c r="O13077" s="8">
        <f>22+41/60+30.4/3600</f>
        <v>22.691777777777776</v>
      </c>
      <c r="P13077" s="8" t="s">
        <v>54762</v>
      </c>
      <c r="Q13077" s="8">
        <f>-(66+37/60+4/3600)</f>
        <v>-66.617777777777775</v>
      </c>
      <c r="R13077" s="8">
        <v>14.4</v>
      </c>
      <c r="S13077" s="8">
        <v>15.4</v>
      </c>
      <c r="T13077" s="8">
        <v>1</v>
      </c>
      <c r="U13077" s="8">
        <v>13</v>
      </c>
      <c r="V13077" s="8">
        <v>0.8</v>
      </c>
      <c r="W13077" s="8">
        <v>0.4</v>
      </c>
      <c r="X13077" s="8">
        <v>63</v>
      </c>
      <c r="Y13077" s="8" t="s">
        <v>54763</v>
      </c>
      <c r="Z13077" s="8" t="s">
        <v>54764</v>
      </c>
    </row>
    <row r="13078" spans="1:26" x14ac:dyDescent="0.2">
      <c r="A13078" s="8">
        <v>13077</v>
      </c>
      <c r="B13078" s="8" t="s">
        <v>54765</v>
      </c>
      <c r="C13078" s="8" t="s">
        <v>54765</v>
      </c>
      <c r="G13078" s="8">
        <v>20</v>
      </c>
      <c r="H13078" s="8" t="s">
        <v>21</v>
      </c>
      <c r="I13078" s="8" t="s">
        <v>22</v>
      </c>
      <c r="J13078" s="8" t="s">
        <v>57</v>
      </c>
      <c r="K13078" s="8" t="s">
        <v>160</v>
      </c>
      <c r="L13078" s="8" t="s">
        <v>31565</v>
      </c>
      <c r="M13078" s="8" t="s">
        <v>31566</v>
      </c>
      <c r="N13078" s="8" t="s">
        <v>32632</v>
      </c>
      <c r="O13078" s="8">
        <f>22+42/60+17.9/3600</f>
        <v>22.704972222222221</v>
      </c>
      <c r="P13078" s="8" t="s">
        <v>32633</v>
      </c>
      <c r="Q13078" s="8">
        <f>-(30+3/60+27/3600)</f>
        <v>-30.057500000000001</v>
      </c>
      <c r="R13078" s="8">
        <v>12.3</v>
      </c>
      <c r="S13078" s="8">
        <v>12.7</v>
      </c>
      <c r="T13078" s="8">
        <v>0.4</v>
      </c>
      <c r="U13078" s="8">
        <v>13.5</v>
      </c>
      <c r="V13078" s="8">
        <v>3.9</v>
      </c>
      <c r="W13078" s="8">
        <v>1</v>
      </c>
      <c r="X13078" s="8">
        <v>4</v>
      </c>
      <c r="Y13078" s="8" t="s">
        <v>54766</v>
      </c>
      <c r="Z13078" s="8" t="s">
        <v>54767</v>
      </c>
    </row>
    <row r="13079" spans="1:26" x14ac:dyDescent="0.2">
      <c r="A13079" s="8">
        <v>13078</v>
      </c>
      <c r="B13079" s="8" t="s">
        <v>54768</v>
      </c>
      <c r="C13079" s="8" t="s">
        <v>54768</v>
      </c>
      <c r="G13079" s="8">
        <v>20</v>
      </c>
      <c r="H13079" s="8" t="s">
        <v>21</v>
      </c>
      <c r="I13079" s="8" t="s">
        <v>22</v>
      </c>
      <c r="J13079" s="8" t="s">
        <v>22</v>
      </c>
      <c r="K13079" s="8" t="s">
        <v>42046</v>
      </c>
      <c r="L13079" s="8" t="s">
        <v>310</v>
      </c>
      <c r="M13079" s="8" t="s">
        <v>311</v>
      </c>
      <c r="N13079" s="8" t="s">
        <v>54769</v>
      </c>
      <c r="O13079" s="8">
        <f>22+41/60+29.9/3600</f>
        <v>22.691638888888889</v>
      </c>
      <c r="P13079" s="8" t="s">
        <v>54770</v>
      </c>
      <c r="Q13079" s="8">
        <f>-(60+45/60+28/3600)</f>
        <v>-60.757777777777775</v>
      </c>
      <c r="R13079" s="8">
        <v>15</v>
      </c>
      <c r="S13079" s="8">
        <v>15.8</v>
      </c>
      <c r="T13079" s="8">
        <v>0.8</v>
      </c>
      <c r="U13079" s="8">
        <v>13.3</v>
      </c>
      <c r="V13079" s="8">
        <v>0.8</v>
      </c>
      <c r="W13079" s="8">
        <v>0.3</v>
      </c>
      <c r="X13079" s="8">
        <v>60</v>
      </c>
      <c r="Y13079" s="8" t="s">
        <v>54771</v>
      </c>
      <c r="Z13079" s="8" t="s">
        <v>54772</v>
      </c>
    </row>
    <row r="13080" spans="1:26" x14ac:dyDescent="0.2">
      <c r="A13080" s="8">
        <v>13079</v>
      </c>
      <c r="B13080" s="8" t="s">
        <v>54773</v>
      </c>
      <c r="C13080" s="8" t="s">
        <v>54773</v>
      </c>
      <c r="G13080" s="8">
        <v>20</v>
      </c>
      <c r="H13080" s="8" t="s">
        <v>21</v>
      </c>
      <c r="I13080" s="8" t="s">
        <v>329</v>
      </c>
      <c r="J13080" s="8" t="s">
        <v>329</v>
      </c>
      <c r="K13080" s="8" t="s">
        <v>329</v>
      </c>
      <c r="L13080" s="8" t="s">
        <v>31389</v>
      </c>
      <c r="M13080" s="8" t="s">
        <v>31390</v>
      </c>
      <c r="N13080" s="8" t="s">
        <v>54774</v>
      </c>
      <c r="O13080" s="8">
        <f>22+40/60+45/3600</f>
        <v>22.679166666666667</v>
      </c>
      <c r="P13080" s="8" t="s">
        <v>54775</v>
      </c>
      <c r="Q13080" s="8">
        <f>-(38+2/60+36/3600)</f>
        <v>-38.043333333333329</v>
      </c>
      <c r="R13080" s="8">
        <v>99</v>
      </c>
      <c r="S13080" s="8">
        <v>99</v>
      </c>
      <c r="T13080" s="8">
        <v>99</v>
      </c>
      <c r="U13080" s="8">
        <v>99</v>
      </c>
      <c r="Y13080" s="8" t="s">
        <v>237</v>
      </c>
      <c r="Z13080" s="8" t="s">
        <v>238</v>
      </c>
    </row>
    <row r="13081" spans="1:26" x14ac:dyDescent="0.2">
      <c r="A13081" s="8">
        <v>13080</v>
      </c>
      <c r="B13081" s="8" t="s">
        <v>54776</v>
      </c>
      <c r="C13081" s="8" t="s">
        <v>54776</v>
      </c>
      <c r="G13081" s="8">
        <v>13</v>
      </c>
      <c r="H13081" s="8" t="s">
        <v>21</v>
      </c>
      <c r="I13081" s="8" t="s">
        <v>22</v>
      </c>
      <c r="J13081" s="8" t="s">
        <v>22</v>
      </c>
      <c r="K13081" s="8" t="s">
        <v>154</v>
      </c>
      <c r="L13081" s="8" t="s">
        <v>31389</v>
      </c>
      <c r="M13081" s="8" t="s">
        <v>31390</v>
      </c>
      <c r="N13081" s="8" t="s">
        <v>54777</v>
      </c>
      <c r="O13081" s="8">
        <f>22+41/60+52.1/3600</f>
        <v>22.697805555555554</v>
      </c>
      <c r="P13081" s="8" t="s">
        <v>54778</v>
      </c>
      <c r="Q13081" s="8">
        <f>-(44+46/60+1/3600)</f>
        <v>-44.766944444444441</v>
      </c>
      <c r="R13081" s="8">
        <v>11.9</v>
      </c>
      <c r="S13081" s="8">
        <v>12.8</v>
      </c>
      <c r="T13081" s="8">
        <v>0.9</v>
      </c>
      <c r="U13081" s="8">
        <v>13.6</v>
      </c>
      <c r="V13081" s="8">
        <v>2.8</v>
      </c>
      <c r="W13081" s="8">
        <v>1.8</v>
      </c>
      <c r="X13081" s="8">
        <v>100</v>
      </c>
      <c r="Y13081" s="8" t="s">
        <v>54779</v>
      </c>
      <c r="Z13081" s="8" t="s">
        <v>54780</v>
      </c>
    </row>
    <row r="13082" spans="1:26" x14ac:dyDescent="0.2">
      <c r="A13082" s="8">
        <v>13081</v>
      </c>
      <c r="B13082" s="8" t="s">
        <v>54781</v>
      </c>
      <c r="C13082" s="8" t="s">
        <v>54781</v>
      </c>
      <c r="G13082" s="8">
        <v>20</v>
      </c>
      <c r="H13082" s="8" t="s">
        <v>21</v>
      </c>
      <c r="I13082" s="8" t="s">
        <v>22</v>
      </c>
      <c r="J13082" s="8" t="s">
        <v>22</v>
      </c>
      <c r="K13082" s="8" t="s">
        <v>64</v>
      </c>
      <c r="L13082" s="8" t="s">
        <v>30854</v>
      </c>
      <c r="M13082" s="8" t="s">
        <v>30855</v>
      </c>
      <c r="N13082" s="8" t="s">
        <v>54782</v>
      </c>
      <c r="O13082" s="8">
        <f>22+41/60+38.5/3600</f>
        <v>22.694027777777777</v>
      </c>
      <c r="P13082" s="8" t="s">
        <v>54783</v>
      </c>
      <c r="Q13082" s="8">
        <f>+(2+38/60+23/3600)</f>
        <v>2.6397222222222223</v>
      </c>
      <c r="R13082" s="8">
        <v>13.9</v>
      </c>
      <c r="S13082" s="8">
        <v>14.6</v>
      </c>
      <c r="T13082" s="8">
        <v>0.7</v>
      </c>
      <c r="U13082" s="8">
        <v>13.4</v>
      </c>
      <c r="V13082" s="8">
        <v>1</v>
      </c>
      <c r="W13082" s="8">
        <v>0.8</v>
      </c>
      <c r="X13082" s="8">
        <v>21</v>
      </c>
      <c r="Y13082" s="8" t="s">
        <v>46254</v>
      </c>
      <c r="Z13082" s="8" t="s">
        <v>46255</v>
      </c>
    </row>
    <row r="13083" spans="1:26" x14ac:dyDescent="0.2">
      <c r="A13083" s="8">
        <v>13082</v>
      </c>
      <c r="B13083" s="8" t="s">
        <v>54784</v>
      </c>
      <c r="C13083" s="8" t="s">
        <v>54784</v>
      </c>
      <c r="G13083" s="8">
        <v>20</v>
      </c>
      <c r="H13083" s="8" t="s">
        <v>21</v>
      </c>
      <c r="I13083" s="8" t="s">
        <v>22</v>
      </c>
      <c r="J13083" s="8" t="s">
        <v>22</v>
      </c>
      <c r="K13083" s="8" t="s">
        <v>31</v>
      </c>
      <c r="L13083" s="8" t="s">
        <v>24</v>
      </c>
      <c r="M13083" s="8" t="s">
        <v>25</v>
      </c>
      <c r="N13083" s="8" t="s">
        <v>54785</v>
      </c>
      <c r="O13083" s="8">
        <f>22+41/60+15.1/3600</f>
        <v>22.687527777777778</v>
      </c>
      <c r="P13083" s="8" t="s">
        <v>54786</v>
      </c>
      <c r="Q13083" s="8">
        <f>+(23+24/60+25/3600)</f>
        <v>23.406944444444441</v>
      </c>
      <c r="R13083" s="8">
        <v>13.7</v>
      </c>
      <c r="S13083" s="8">
        <v>14.5</v>
      </c>
      <c r="T13083" s="8">
        <v>0.8</v>
      </c>
      <c r="U13083" s="8">
        <v>13.1</v>
      </c>
      <c r="V13083" s="8">
        <v>0.8</v>
      </c>
      <c r="W13083" s="8">
        <v>0.8</v>
      </c>
      <c r="Y13083" s="8" t="s">
        <v>54787</v>
      </c>
      <c r="Z13083" s="8" t="s">
        <v>54788</v>
      </c>
    </row>
    <row r="13084" spans="1:26" x14ac:dyDescent="0.2">
      <c r="A13084" s="8">
        <v>13083</v>
      </c>
      <c r="B13084" s="8" t="s">
        <v>54789</v>
      </c>
      <c r="C13084" s="8" t="s">
        <v>54789</v>
      </c>
      <c r="G13084" s="8">
        <v>20</v>
      </c>
      <c r="H13084" s="8" t="s">
        <v>21</v>
      </c>
      <c r="I13084" s="8" t="s">
        <v>22</v>
      </c>
      <c r="J13084" s="8" t="s">
        <v>22</v>
      </c>
      <c r="K13084" s="8" t="s">
        <v>396</v>
      </c>
      <c r="L13084" s="8" t="s">
        <v>24</v>
      </c>
      <c r="M13084" s="8" t="s">
        <v>25</v>
      </c>
      <c r="N13084" s="8" t="s">
        <v>54790</v>
      </c>
      <c r="O13084" s="8">
        <f>22+41/60+24.5/3600</f>
        <v>22.690138888888889</v>
      </c>
      <c r="P13084" s="8" t="s">
        <v>54791</v>
      </c>
      <c r="Q13084" s="8">
        <f>+(23+22/60+32/3600)</f>
        <v>23.375555555555557</v>
      </c>
      <c r="R13084" s="8">
        <v>14.5</v>
      </c>
      <c r="S13084" s="8">
        <v>14.8</v>
      </c>
      <c r="T13084" s="8">
        <v>0.3</v>
      </c>
      <c r="U13084" s="8">
        <v>13.4</v>
      </c>
      <c r="V13084" s="8">
        <v>0.7</v>
      </c>
      <c r="W13084" s="8">
        <v>0.6</v>
      </c>
      <c r="X13084" s="8">
        <v>30</v>
      </c>
      <c r="Y13084" s="8" t="s">
        <v>54792</v>
      </c>
      <c r="Z13084" s="8" t="s">
        <v>54793</v>
      </c>
    </row>
    <row r="13085" spans="1:26" x14ac:dyDescent="0.2">
      <c r="A13085" s="8">
        <v>13084</v>
      </c>
      <c r="B13085" s="8" t="s">
        <v>54794</v>
      </c>
      <c r="C13085" s="8" t="s">
        <v>54794</v>
      </c>
      <c r="G13085" s="8">
        <v>20</v>
      </c>
      <c r="H13085" s="8" t="s">
        <v>21</v>
      </c>
      <c r="I13085" s="8" t="s">
        <v>22</v>
      </c>
      <c r="J13085" s="8" t="s">
        <v>22</v>
      </c>
      <c r="K13085" s="8" t="s">
        <v>23</v>
      </c>
      <c r="L13085" s="8" t="s">
        <v>310</v>
      </c>
      <c r="M13085" s="8" t="s">
        <v>311</v>
      </c>
      <c r="N13085" s="8" t="s">
        <v>54795</v>
      </c>
      <c r="O13085" s="8">
        <f>22+44/60+13.5/3600</f>
        <v>22.737083333333334</v>
      </c>
      <c r="P13085" s="8" t="s">
        <v>54796</v>
      </c>
      <c r="Q13085" s="8">
        <f>-(64+2/60+35/3600)</f>
        <v>-64.043055555555554</v>
      </c>
      <c r="R13085" s="8">
        <v>12.6</v>
      </c>
      <c r="S13085" s="8">
        <v>13.4</v>
      </c>
      <c r="T13085" s="8">
        <v>0.8</v>
      </c>
      <c r="U13085" s="8">
        <v>12.6</v>
      </c>
      <c r="V13085" s="8">
        <v>3</v>
      </c>
      <c r="W13085" s="8">
        <v>0.4</v>
      </c>
      <c r="X13085" s="8">
        <v>178</v>
      </c>
      <c r="Y13085" s="8" t="s">
        <v>54797</v>
      </c>
      <c r="Z13085" s="8" t="s">
        <v>54798</v>
      </c>
    </row>
    <row r="13086" spans="1:26" x14ac:dyDescent="0.2">
      <c r="A13086" s="8">
        <v>13085</v>
      </c>
      <c r="B13086" s="8" t="s">
        <v>54799</v>
      </c>
      <c r="C13086" s="8" t="s">
        <v>54799</v>
      </c>
      <c r="G13086" s="8">
        <v>20</v>
      </c>
      <c r="H13086" s="8" t="s">
        <v>21</v>
      </c>
      <c r="I13086" s="8" t="s">
        <v>22</v>
      </c>
      <c r="J13086" s="8" t="s">
        <v>22</v>
      </c>
      <c r="K13086" s="8" t="s">
        <v>632</v>
      </c>
      <c r="L13086" s="8" t="s">
        <v>310</v>
      </c>
      <c r="M13086" s="8" t="s">
        <v>311</v>
      </c>
      <c r="N13086" s="8" t="s">
        <v>54800</v>
      </c>
      <c r="O13086" s="8">
        <f>22+44/60+56.6/3600</f>
        <v>22.749055555555557</v>
      </c>
      <c r="P13086" s="8" t="s">
        <v>54801</v>
      </c>
      <c r="Q13086" s="8">
        <f>-(65+21/60+27/3600)</f>
        <v>-65.357499999999987</v>
      </c>
      <c r="R13086" s="8">
        <v>14.2</v>
      </c>
      <c r="S13086" s="8">
        <v>15.1</v>
      </c>
      <c r="T13086" s="8">
        <v>0.9</v>
      </c>
      <c r="U13086" s="8">
        <v>13.5</v>
      </c>
      <c r="V13086" s="8">
        <v>0.8</v>
      </c>
      <c r="W13086" s="8">
        <v>0.7</v>
      </c>
      <c r="Y13086" s="8" t="s">
        <v>54802</v>
      </c>
      <c r="Z13086" s="8" t="s">
        <v>54803</v>
      </c>
    </row>
    <row r="13087" spans="1:26" x14ac:dyDescent="0.2">
      <c r="A13087" s="8">
        <v>13086</v>
      </c>
      <c r="B13087" s="8" t="s">
        <v>54804</v>
      </c>
      <c r="C13087" s="8" t="s">
        <v>54804</v>
      </c>
      <c r="G13087" s="8">
        <v>20</v>
      </c>
      <c r="H13087" s="8" t="s">
        <v>21</v>
      </c>
      <c r="I13087" s="8" t="s">
        <v>22</v>
      </c>
      <c r="J13087" s="8" t="s">
        <v>22</v>
      </c>
      <c r="K13087" s="8" t="s">
        <v>42046</v>
      </c>
      <c r="L13087" s="8" t="s">
        <v>310</v>
      </c>
      <c r="M13087" s="8" t="s">
        <v>311</v>
      </c>
      <c r="N13087" s="8" t="s">
        <v>54805</v>
      </c>
      <c r="O13087" s="8">
        <f>22+46/60+39.5/3600</f>
        <v>22.777638888888887</v>
      </c>
      <c r="P13087" s="8" t="s">
        <v>54806</v>
      </c>
      <c r="Q13087" s="8">
        <f>-(64+53/60+52/3600)</f>
        <v>-64.89777777777779</v>
      </c>
      <c r="R13087" s="8">
        <v>13.8</v>
      </c>
      <c r="S13087" s="8">
        <v>14.7</v>
      </c>
      <c r="T13087" s="8">
        <v>0.9</v>
      </c>
      <c r="U13087" s="8">
        <v>13.1</v>
      </c>
      <c r="V13087" s="8">
        <v>1</v>
      </c>
      <c r="W13087" s="8">
        <v>0.6</v>
      </c>
      <c r="X13087" s="8">
        <v>151</v>
      </c>
      <c r="Y13087" s="8" t="s">
        <v>962</v>
      </c>
      <c r="Z13087" s="8" t="s">
        <v>963</v>
      </c>
    </row>
    <row r="13088" spans="1:26" x14ac:dyDescent="0.2">
      <c r="A13088" s="8">
        <v>13087</v>
      </c>
      <c r="B13088" s="8" t="s">
        <v>54807</v>
      </c>
      <c r="C13088" s="8" t="s">
        <v>54807</v>
      </c>
      <c r="G13088" s="8">
        <v>20</v>
      </c>
      <c r="H13088" s="8" t="s">
        <v>21</v>
      </c>
      <c r="I13088" s="8" t="s">
        <v>22</v>
      </c>
      <c r="J13088" s="8" t="s">
        <v>22</v>
      </c>
      <c r="K13088" s="8" t="s">
        <v>42046</v>
      </c>
      <c r="L13088" s="8" t="s">
        <v>310</v>
      </c>
      <c r="M13088" s="8" t="s">
        <v>311</v>
      </c>
      <c r="N13088" s="8" t="s">
        <v>54808</v>
      </c>
      <c r="O13088" s="8">
        <f>22+46/60+49.9/3600</f>
        <v>22.780527777777777</v>
      </c>
      <c r="P13088" s="8" t="s">
        <v>54809</v>
      </c>
      <c r="Q13088" s="8">
        <f>-(65+16/60+25/3600)</f>
        <v>-65.273611111111109</v>
      </c>
      <c r="R13088" s="8">
        <v>13.9</v>
      </c>
      <c r="S13088" s="8">
        <v>14.8</v>
      </c>
      <c r="T13088" s="8">
        <v>0.9</v>
      </c>
      <c r="U13088" s="8">
        <v>13.1</v>
      </c>
      <c r="V13088" s="8">
        <v>1.3</v>
      </c>
      <c r="W13088" s="8">
        <v>0.4</v>
      </c>
      <c r="X13088" s="8">
        <v>124</v>
      </c>
      <c r="Y13088" s="8" t="s">
        <v>54810</v>
      </c>
      <c r="Z13088" s="8" t="s">
        <v>54811</v>
      </c>
    </row>
    <row r="13089" spans="1:26" x14ac:dyDescent="0.2">
      <c r="A13089" s="8">
        <v>13088</v>
      </c>
      <c r="B13089" s="8" t="s">
        <v>54812</v>
      </c>
      <c r="C13089" s="8" t="s">
        <v>54812</v>
      </c>
      <c r="G13089" s="8">
        <v>20</v>
      </c>
      <c r="H13089" s="8" t="s">
        <v>21</v>
      </c>
      <c r="I13089" s="8" t="s">
        <v>329</v>
      </c>
      <c r="J13089" s="8" t="s">
        <v>329</v>
      </c>
      <c r="K13089" s="8" t="s">
        <v>329</v>
      </c>
      <c r="L13089" s="8" t="s">
        <v>30854</v>
      </c>
      <c r="M13089" s="8" t="s">
        <v>30855</v>
      </c>
      <c r="N13089" s="8" t="s">
        <v>54813</v>
      </c>
      <c r="O13089" s="8">
        <f>22+44/60+42.7/3600</f>
        <v>22.745194444444447</v>
      </c>
      <c r="P13089" s="8" t="s">
        <v>54814</v>
      </c>
      <c r="Q13089" s="8">
        <f>-(0+20/60+32/3600)</f>
        <v>-0.34222222222222221</v>
      </c>
      <c r="R13089" s="8">
        <v>99</v>
      </c>
      <c r="S13089" s="8">
        <v>99</v>
      </c>
      <c r="T13089" s="8">
        <v>99</v>
      </c>
      <c r="U13089" s="8">
        <v>99</v>
      </c>
      <c r="Y13089" s="8" t="s">
        <v>54815</v>
      </c>
      <c r="Z13089" s="8" t="s">
        <v>54816</v>
      </c>
    </row>
    <row r="13090" spans="1:26" x14ac:dyDescent="0.2">
      <c r="A13090" s="8">
        <v>13089</v>
      </c>
      <c r="B13090" s="8" t="s">
        <v>54817</v>
      </c>
      <c r="C13090" s="8" t="s">
        <v>54817</v>
      </c>
      <c r="G13090" s="8">
        <v>20</v>
      </c>
      <c r="H13090" s="8" t="s">
        <v>21</v>
      </c>
      <c r="I13090" s="8" t="s">
        <v>22</v>
      </c>
      <c r="J13090" s="8" t="s">
        <v>22</v>
      </c>
      <c r="K13090" s="8" t="s">
        <v>1277</v>
      </c>
      <c r="L13090" s="8" t="s">
        <v>310</v>
      </c>
      <c r="M13090" s="8" t="s">
        <v>311</v>
      </c>
      <c r="N13090" s="8" t="s">
        <v>54818</v>
      </c>
      <c r="O13090" s="8">
        <f>22+47/60+6.4/3600</f>
        <v>22.785111111111114</v>
      </c>
      <c r="P13090" s="8" t="s">
        <v>54819</v>
      </c>
      <c r="Q13090" s="8">
        <f>-(64+49/60+50/3600)</f>
        <v>-64.830555555555549</v>
      </c>
      <c r="R13090" s="8">
        <v>13.6</v>
      </c>
      <c r="S13090" s="8">
        <v>14.3</v>
      </c>
      <c r="T13090" s="8">
        <v>0.7</v>
      </c>
      <c r="U13090" s="8">
        <v>13.8</v>
      </c>
      <c r="V13090" s="8">
        <v>3.6</v>
      </c>
      <c r="W13090" s="8">
        <v>0.4</v>
      </c>
      <c r="X13090" s="8">
        <v>14</v>
      </c>
      <c r="Y13090" s="8" t="s">
        <v>54820</v>
      </c>
      <c r="Z13090" s="8" t="s">
        <v>54821</v>
      </c>
    </row>
    <row r="13091" spans="1:26" x14ac:dyDescent="0.2">
      <c r="A13091" s="8">
        <v>13090</v>
      </c>
      <c r="B13091" s="8" t="s">
        <v>54822</v>
      </c>
      <c r="C13091" s="8" t="s">
        <v>54822</v>
      </c>
      <c r="D13091" s="8" t="s">
        <v>351</v>
      </c>
      <c r="G13091" s="8">
        <v>20</v>
      </c>
      <c r="H13091" s="8" t="s">
        <v>21</v>
      </c>
      <c r="I13091" s="8" t="s">
        <v>22</v>
      </c>
      <c r="J13091" s="8" t="s">
        <v>22</v>
      </c>
      <c r="K13091" s="8" t="s">
        <v>37</v>
      </c>
      <c r="L13091" s="8" t="s">
        <v>310</v>
      </c>
      <c r="M13091" s="8" t="s">
        <v>311</v>
      </c>
      <c r="N13091" s="8" t="s">
        <v>54823</v>
      </c>
      <c r="O13091" s="8">
        <f>22+47/60+17.2/3600</f>
        <v>22.788111111111114</v>
      </c>
      <c r="P13091" s="8" t="s">
        <v>54824</v>
      </c>
      <c r="Q13091" s="8">
        <f>-(65+3/60+38/3600)</f>
        <v>-65.060555555555553</v>
      </c>
      <c r="R13091" s="8">
        <v>11.1</v>
      </c>
      <c r="S13091" s="8">
        <v>12.1</v>
      </c>
      <c r="T13091" s="8">
        <v>1</v>
      </c>
      <c r="U13091" s="8">
        <v>13.4</v>
      </c>
      <c r="V13091" s="8">
        <v>3.1</v>
      </c>
      <c r="W13091" s="8">
        <v>3</v>
      </c>
      <c r="Y13091" s="8" t="s">
        <v>54825</v>
      </c>
      <c r="Z13091" s="8" t="s">
        <v>54826</v>
      </c>
    </row>
    <row r="13092" spans="1:26" x14ac:dyDescent="0.2">
      <c r="A13092" s="8">
        <v>13091</v>
      </c>
      <c r="B13092" s="8" t="s">
        <v>54827</v>
      </c>
      <c r="C13092" s="8" t="s">
        <v>54827</v>
      </c>
      <c r="G13092" s="8">
        <v>20</v>
      </c>
      <c r="H13092" s="8" t="s">
        <v>21</v>
      </c>
      <c r="I13092" s="8" t="s">
        <v>72</v>
      </c>
      <c r="J13092" s="8" t="s">
        <v>72</v>
      </c>
      <c r="K13092" s="8" t="s">
        <v>1802</v>
      </c>
      <c r="L13092" s="8" t="s">
        <v>24</v>
      </c>
      <c r="M13092" s="8" t="s">
        <v>25</v>
      </c>
      <c r="N13092" s="8" t="s">
        <v>54828</v>
      </c>
      <c r="O13092" s="8">
        <f>22+45/60+10.7/3600</f>
        <v>22.752972222222223</v>
      </c>
      <c r="P13092" s="8" t="s">
        <v>54829</v>
      </c>
      <c r="Q13092" s="8">
        <f>+(11+9/60+30/3600)</f>
        <v>11.158333333333333</v>
      </c>
      <c r="R13092" s="8">
        <v>99</v>
      </c>
      <c r="S13092" s="8">
        <v>99</v>
      </c>
      <c r="T13092" s="8">
        <v>99</v>
      </c>
      <c r="U13092" s="8">
        <v>99</v>
      </c>
      <c r="Y13092" s="8" t="s">
        <v>47</v>
      </c>
      <c r="Z13092" s="8" t="s">
        <v>48</v>
      </c>
    </row>
    <row r="13093" spans="1:26" x14ac:dyDescent="0.2">
      <c r="A13093" s="8">
        <v>13092</v>
      </c>
      <c r="B13093" s="8" t="s">
        <v>54830</v>
      </c>
      <c r="C13093" s="8" t="s">
        <v>54830</v>
      </c>
      <c r="G13093" s="8">
        <v>20</v>
      </c>
      <c r="H13093" s="8" t="s">
        <v>21</v>
      </c>
      <c r="I13093" s="8" t="s">
        <v>22</v>
      </c>
      <c r="J13093" s="8" t="s">
        <v>22</v>
      </c>
      <c r="K13093" s="8" t="s">
        <v>85</v>
      </c>
      <c r="L13093" s="8" t="s">
        <v>30731</v>
      </c>
      <c r="M13093" s="8" t="s">
        <v>30732</v>
      </c>
      <c r="N13093" s="8" t="s">
        <v>54831</v>
      </c>
      <c r="O13093" s="8">
        <f>22+48/60+8.8/3600</f>
        <v>22.802444444444443</v>
      </c>
      <c r="P13093" s="8" t="s">
        <v>54832</v>
      </c>
      <c r="Q13093" s="8">
        <f>-(68+54/60+10/3600)</f>
        <v>-68.902777777777786</v>
      </c>
      <c r="R13093" s="8">
        <v>12.9</v>
      </c>
      <c r="S13093" s="8">
        <v>13.7</v>
      </c>
      <c r="T13093" s="8">
        <v>0.8</v>
      </c>
      <c r="U13093" s="8">
        <v>12.7</v>
      </c>
      <c r="V13093" s="8">
        <v>1.2</v>
      </c>
      <c r="W13093" s="8">
        <v>0.8</v>
      </c>
      <c r="X13093" s="8">
        <v>172</v>
      </c>
      <c r="Y13093" s="8" t="s">
        <v>54833</v>
      </c>
      <c r="Z13093" s="8" t="s">
        <v>54834</v>
      </c>
    </row>
    <row r="13094" spans="1:26" x14ac:dyDescent="0.2">
      <c r="A13094" s="8">
        <v>13093</v>
      </c>
      <c r="B13094" s="8" t="s">
        <v>54835</v>
      </c>
      <c r="C13094" s="8" t="s">
        <v>54835</v>
      </c>
      <c r="G13094" s="8">
        <v>20</v>
      </c>
      <c r="H13094" s="8" t="s">
        <v>21</v>
      </c>
      <c r="I13094" s="8" t="s">
        <v>22</v>
      </c>
      <c r="J13094" s="8" t="s">
        <v>22</v>
      </c>
      <c r="K13094" s="8" t="s">
        <v>632</v>
      </c>
      <c r="L13094" s="8" t="s">
        <v>24</v>
      </c>
      <c r="M13094" s="8" t="s">
        <v>25</v>
      </c>
      <c r="N13094" s="8" t="s">
        <v>54836</v>
      </c>
      <c r="O13094" s="8">
        <f>22+45/60+29/3600</f>
        <v>22.758055555555554</v>
      </c>
      <c r="P13094" s="8" t="s">
        <v>54837</v>
      </c>
      <c r="Q13094" s="8">
        <f>+(21+48/60+29/3600)</f>
        <v>21.808055555555555</v>
      </c>
      <c r="R13094" s="8">
        <v>14.6</v>
      </c>
      <c r="S13094" s="8">
        <v>15.5</v>
      </c>
      <c r="T13094" s="8">
        <v>0.9</v>
      </c>
      <c r="U13094" s="8">
        <v>13.1</v>
      </c>
      <c r="V13094" s="8">
        <v>0.9</v>
      </c>
      <c r="W13094" s="8">
        <v>0.3</v>
      </c>
      <c r="X13094" s="8">
        <v>163</v>
      </c>
      <c r="Y13094" s="8" t="s">
        <v>54838</v>
      </c>
      <c r="Z13094" s="8" t="s">
        <v>54839</v>
      </c>
    </row>
    <row r="13095" spans="1:26" x14ac:dyDescent="0.2">
      <c r="A13095" s="8">
        <v>13094</v>
      </c>
      <c r="B13095" s="8" t="s">
        <v>54840</v>
      </c>
      <c r="C13095" s="8" t="s">
        <v>54840</v>
      </c>
      <c r="G13095" s="8">
        <v>20</v>
      </c>
      <c r="H13095" s="8" t="s">
        <v>21</v>
      </c>
      <c r="I13095" s="8" t="s">
        <v>22</v>
      </c>
      <c r="J13095" s="8" t="s">
        <v>22</v>
      </c>
      <c r="K13095" s="8" t="s">
        <v>160</v>
      </c>
      <c r="L13095" s="8" t="s">
        <v>24</v>
      </c>
      <c r="M13095" s="8" t="s">
        <v>25</v>
      </c>
      <c r="N13095" s="8" t="s">
        <v>54841</v>
      </c>
      <c r="O13095" s="8">
        <f>22+46/60+0.6/3600</f>
        <v>22.766833333333331</v>
      </c>
      <c r="P13095" s="8" t="s">
        <v>54842</v>
      </c>
      <c r="Q13095" s="8">
        <f>+(21+7/60+32/3600)</f>
        <v>21.125555555555557</v>
      </c>
      <c r="R13095" s="8">
        <v>14.9</v>
      </c>
      <c r="S13095" s="8">
        <v>15.6</v>
      </c>
      <c r="T13095" s="8">
        <v>0.7</v>
      </c>
      <c r="U13095" s="8">
        <v>13.4</v>
      </c>
      <c r="V13095" s="8">
        <v>0.7</v>
      </c>
      <c r="W13095" s="8">
        <v>0.4</v>
      </c>
      <c r="X13095" s="8">
        <v>85</v>
      </c>
      <c r="Y13095" s="8" t="s">
        <v>54843</v>
      </c>
      <c r="Z13095" s="8" t="s">
        <v>54844</v>
      </c>
    </row>
    <row r="13096" spans="1:26" x14ac:dyDescent="0.2">
      <c r="A13096" s="8">
        <v>13095</v>
      </c>
      <c r="B13096" s="8" t="s">
        <v>54845</v>
      </c>
      <c r="C13096" s="8" t="s">
        <v>54845</v>
      </c>
      <c r="G13096" s="8">
        <v>20</v>
      </c>
      <c r="H13096" s="8" t="s">
        <v>21</v>
      </c>
      <c r="I13096" s="8" t="s">
        <v>329</v>
      </c>
      <c r="J13096" s="8" t="s">
        <v>329</v>
      </c>
      <c r="K13096" s="8" t="s">
        <v>329</v>
      </c>
      <c r="L13096" s="8" t="s">
        <v>31943</v>
      </c>
      <c r="M13096" s="8" t="s">
        <v>31944</v>
      </c>
      <c r="N13096" s="8" t="s">
        <v>54846</v>
      </c>
      <c r="O13096" s="8">
        <f>22+45/60+46.5/3600</f>
        <v>22.762916666666666</v>
      </c>
      <c r="P13096" s="8" t="s">
        <v>54847</v>
      </c>
      <c r="Q13096" s="8">
        <f>+(36+13/60+38/3600)</f>
        <v>36.227222222222224</v>
      </c>
      <c r="R13096" s="8">
        <v>99</v>
      </c>
      <c r="S13096" s="8">
        <v>99</v>
      </c>
      <c r="T13096" s="8">
        <v>99</v>
      </c>
      <c r="U13096" s="8">
        <v>99</v>
      </c>
      <c r="Y13096" s="8" t="s">
        <v>6420</v>
      </c>
      <c r="Z13096" s="8" t="s">
        <v>6421</v>
      </c>
    </row>
    <row r="13097" spans="1:26" x14ac:dyDescent="0.2">
      <c r="A13097" s="8">
        <v>13096</v>
      </c>
      <c r="B13097" s="8" t="s">
        <v>54848</v>
      </c>
      <c r="C13097" s="8" t="s">
        <v>54848</v>
      </c>
      <c r="G13097" s="8">
        <v>20</v>
      </c>
      <c r="H13097" s="8" t="s">
        <v>21</v>
      </c>
      <c r="I13097" s="8" t="s">
        <v>22</v>
      </c>
      <c r="J13097" s="8" t="s">
        <v>22</v>
      </c>
      <c r="K13097" s="8" t="s">
        <v>269</v>
      </c>
      <c r="L13097" s="8" t="s">
        <v>30731</v>
      </c>
      <c r="M13097" s="8" t="s">
        <v>30732</v>
      </c>
      <c r="N13097" s="8" t="s">
        <v>54849</v>
      </c>
      <c r="O13097" s="8">
        <f>22+49/60+45.6/3600</f>
        <v>22.829333333333334</v>
      </c>
      <c r="P13097" s="8" t="s">
        <v>54850</v>
      </c>
      <c r="Q13097" s="8">
        <f>-(68+41/60+25/3600)</f>
        <v>-68.69027777777778</v>
      </c>
      <c r="R13097" s="8">
        <v>13.9</v>
      </c>
      <c r="S13097" s="8">
        <v>14.5</v>
      </c>
      <c r="T13097" s="8">
        <v>0.6</v>
      </c>
      <c r="U13097" s="8">
        <v>13</v>
      </c>
      <c r="V13097" s="8">
        <v>1.1000000000000001</v>
      </c>
      <c r="W13097" s="8">
        <v>0.5</v>
      </c>
      <c r="X13097" s="8">
        <v>19</v>
      </c>
      <c r="Y13097" s="8" t="s">
        <v>54851</v>
      </c>
      <c r="Z13097" s="8" t="s">
        <v>54852</v>
      </c>
    </row>
    <row r="13098" spans="1:26" x14ac:dyDescent="0.2">
      <c r="A13098" s="8">
        <v>13097</v>
      </c>
      <c r="B13098" s="8" t="s">
        <v>54853</v>
      </c>
      <c r="C13098" s="8" t="s">
        <v>54853</v>
      </c>
      <c r="G13098" s="8">
        <v>20</v>
      </c>
      <c r="H13098" s="8" t="s">
        <v>21</v>
      </c>
      <c r="I13098" s="8" t="s">
        <v>22</v>
      </c>
      <c r="J13098" s="8" t="s">
        <v>22</v>
      </c>
      <c r="K13098" s="8" t="s">
        <v>160</v>
      </c>
      <c r="L13098" s="8" t="s">
        <v>30731</v>
      </c>
      <c r="M13098" s="8" t="s">
        <v>30732</v>
      </c>
      <c r="N13098" s="8" t="s">
        <v>54854</v>
      </c>
      <c r="O13098" s="8">
        <f>22+52/60+16.4/3600</f>
        <v>22.871222222222222</v>
      </c>
      <c r="P13098" s="8" t="s">
        <v>54855</v>
      </c>
      <c r="Q13098" s="8">
        <f>-(67+25/60+9/3600)</f>
        <v>-67.419166666666669</v>
      </c>
      <c r="R13098" s="8">
        <v>14.5</v>
      </c>
      <c r="S13098" s="8">
        <v>15.2</v>
      </c>
      <c r="T13098" s="8">
        <v>0.7</v>
      </c>
      <c r="U13098" s="8">
        <v>13</v>
      </c>
      <c r="V13098" s="8">
        <v>0.7</v>
      </c>
      <c r="W13098" s="8">
        <v>0.4</v>
      </c>
      <c r="X13098" s="8">
        <v>13</v>
      </c>
      <c r="Y13098" s="8" t="s">
        <v>54856</v>
      </c>
      <c r="Z13098" s="8" t="s">
        <v>54857</v>
      </c>
    </row>
    <row r="13099" spans="1:26" x14ac:dyDescent="0.2">
      <c r="A13099" s="8">
        <v>13098</v>
      </c>
      <c r="B13099" s="8" t="s">
        <v>54858</v>
      </c>
      <c r="C13099" s="8" t="s">
        <v>54858</v>
      </c>
      <c r="G13099" s="8">
        <v>20</v>
      </c>
      <c r="H13099" s="8" t="s">
        <v>21</v>
      </c>
      <c r="I13099" s="8" t="s">
        <v>22</v>
      </c>
      <c r="J13099" s="8" t="s">
        <v>22</v>
      </c>
      <c r="K13099" s="8" t="s">
        <v>58</v>
      </c>
      <c r="L13099" s="8" t="s">
        <v>24</v>
      </c>
      <c r="M13099" s="8" t="s">
        <v>25</v>
      </c>
      <c r="N13099" s="8" t="s">
        <v>54859</v>
      </c>
      <c r="O13099" s="8">
        <f>22+51/60+31.5/3600</f>
        <v>22.858750000000001</v>
      </c>
      <c r="P13099" s="8" t="s">
        <v>54860</v>
      </c>
      <c r="Q13099" s="8">
        <f>+(23+4/60+52/3600)</f>
        <v>23.08111111111111</v>
      </c>
      <c r="R13099" s="8">
        <v>12.8</v>
      </c>
      <c r="S13099" s="8">
        <v>13.8</v>
      </c>
      <c r="T13099" s="8">
        <v>1</v>
      </c>
      <c r="U13099" s="8">
        <v>12.8</v>
      </c>
      <c r="V13099" s="8">
        <v>1.2</v>
      </c>
      <c r="W13099" s="8">
        <v>0.9</v>
      </c>
      <c r="X13099" s="8">
        <v>105</v>
      </c>
      <c r="Y13099" s="8" t="s">
        <v>54861</v>
      </c>
      <c r="Z13099" s="8" t="s">
        <v>54862</v>
      </c>
    </row>
    <row r="13100" spans="1:26" x14ac:dyDescent="0.2">
      <c r="A13100" s="8">
        <v>13099</v>
      </c>
      <c r="B13100" s="8" t="s">
        <v>54863</v>
      </c>
      <c r="C13100" s="8" t="s">
        <v>54863</v>
      </c>
      <c r="G13100" s="8">
        <v>20</v>
      </c>
      <c r="H13100" s="8" t="s">
        <v>21</v>
      </c>
      <c r="I13100" s="8" t="s">
        <v>329</v>
      </c>
      <c r="J13100" s="8" t="s">
        <v>329</v>
      </c>
      <c r="K13100" s="8" t="s">
        <v>329</v>
      </c>
      <c r="L13100" s="8" t="s">
        <v>31943</v>
      </c>
      <c r="M13100" s="8" t="s">
        <v>31944</v>
      </c>
      <c r="N13100" s="8" t="s">
        <v>54864</v>
      </c>
      <c r="O13100" s="8">
        <f>22+52/60+45.6/3600</f>
        <v>22.879333333333335</v>
      </c>
      <c r="P13100" s="8" t="s">
        <v>54865</v>
      </c>
      <c r="Q13100" s="8">
        <f>+(36+42/60+40/3600)</f>
        <v>36.711111111111116</v>
      </c>
      <c r="R13100" s="8">
        <v>99</v>
      </c>
      <c r="S13100" s="8">
        <v>99</v>
      </c>
      <c r="T13100" s="8">
        <v>99</v>
      </c>
      <c r="U13100" s="8">
        <v>99</v>
      </c>
      <c r="Y13100" s="8" t="s">
        <v>54866</v>
      </c>
      <c r="Z13100" s="8" t="s">
        <v>54867</v>
      </c>
    </row>
    <row r="13101" spans="1:26" x14ac:dyDescent="0.2">
      <c r="A13101" s="8">
        <v>13100</v>
      </c>
      <c r="B13101" s="8" t="s">
        <v>54868</v>
      </c>
      <c r="C13101" s="8" t="s">
        <v>54868</v>
      </c>
      <c r="G13101" s="8">
        <v>20</v>
      </c>
      <c r="H13101" s="8" t="s">
        <v>21</v>
      </c>
      <c r="I13101" s="8" t="s">
        <v>22</v>
      </c>
      <c r="J13101" s="8" t="s">
        <v>57</v>
      </c>
      <c r="K13101" s="8" t="s">
        <v>118</v>
      </c>
      <c r="L13101" s="8" t="s">
        <v>31389</v>
      </c>
      <c r="M13101" s="8" t="s">
        <v>31390</v>
      </c>
      <c r="N13101" s="8" t="s">
        <v>32806</v>
      </c>
      <c r="O13101" s="8">
        <f>22+54/60+18.6/3600</f>
        <v>22.905166666666666</v>
      </c>
      <c r="P13101" s="8" t="s">
        <v>32807</v>
      </c>
      <c r="Q13101" s="8">
        <f>-(39+18/60+53/3600)</f>
        <v>-39.314722222222223</v>
      </c>
      <c r="R13101" s="8">
        <v>12.8</v>
      </c>
      <c r="S13101" s="8">
        <v>13.7</v>
      </c>
      <c r="T13101" s="8">
        <v>0.9</v>
      </c>
      <c r="U13101" s="8">
        <v>13.1</v>
      </c>
      <c r="V13101" s="8">
        <v>1.5</v>
      </c>
      <c r="W13101" s="8">
        <v>0.8</v>
      </c>
      <c r="X13101" s="8">
        <v>2</v>
      </c>
      <c r="Y13101" s="8" t="s">
        <v>54869</v>
      </c>
      <c r="Z13101" s="8" t="s">
        <v>54870</v>
      </c>
    </row>
    <row r="13102" spans="1:26" x14ac:dyDescent="0.2">
      <c r="A13102" s="8">
        <v>13101</v>
      </c>
      <c r="B13102" s="8" t="s">
        <v>54871</v>
      </c>
      <c r="C13102" s="8" t="s">
        <v>54871</v>
      </c>
      <c r="G13102" s="8">
        <v>20</v>
      </c>
      <c r="H13102" s="8" t="s">
        <v>21</v>
      </c>
      <c r="I13102" s="8" t="s">
        <v>22</v>
      </c>
      <c r="J13102" s="8" t="s">
        <v>22</v>
      </c>
      <c r="K13102" s="8" t="s">
        <v>64</v>
      </c>
      <c r="L13102" s="8" t="s">
        <v>30854</v>
      </c>
      <c r="M13102" s="8" t="s">
        <v>30855</v>
      </c>
      <c r="N13102" s="8" t="s">
        <v>54872</v>
      </c>
      <c r="O13102" s="8">
        <f>22+54/60+25.2/3600</f>
        <v>22.907</v>
      </c>
      <c r="P13102" s="8" t="s">
        <v>7946</v>
      </c>
      <c r="Q13102" s="8">
        <f>-(20+21/60+48/3600)</f>
        <v>-20.363333333333333</v>
      </c>
      <c r="R13102" s="8">
        <v>13.2</v>
      </c>
      <c r="S13102" s="8">
        <v>13.9</v>
      </c>
      <c r="T13102" s="8">
        <v>0.7</v>
      </c>
      <c r="U13102" s="8">
        <v>13.8</v>
      </c>
      <c r="V13102" s="8">
        <v>1.5</v>
      </c>
      <c r="W13102" s="8">
        <v>1.3</v>
      </c>
      <c r="X13102" s="8">
        <v>59</v>
      </c>
      <c r="Y13102" s="8" t="s">
        <v>54873</v>
      </c>
      <c r="Z13102" s="8" t="s">
        <v>54874</v>
      </c>
    </row>
    <row r="13103" spans="1:26" x14ac:dyDescent="0.2">
      <c r="A13103" s="8">
        <v>13102</v>
      </c>
      <c r="B13103" s="8" t="s">
        <v>54875</v>
      </c>
      <c r="C13103" s="8" t="s">
        <v>54875</v>
      </c>
      <c r="E13103" s="8">
        <v>1</v>
      </c>
      <c r="G13103" s="8">
        <v>20</v>
      </c>
      <c r="H13103" s="8" t="s">
        <v>21</v>
      </c>
      <c r="I13103" s="8" t="s">
        <v>22</v>
      </c>
      <c r="J13103" s="8" t="s">
        <v>22</v>
      </c>
      <c r="K13103" s="8" t="s">
        <v>632</v>
      </c>
      <c r="L13103" s="8" t="s">
        <v>31565</v>
      </c>
      <c r="M13103" s="8" t="s">
        <v>31566</v>
      </c>
      <c r="N13103" s="8" t="s">
        <v>54876</v>
      </c>
      <c r="O13103" s="8">
        <f>22+55/60+20.5/3600</f>
        <v>22.922361111111112</v>
      </c>
      <c r="P13103" s="8" t="s">
        <v>54877</v>
      </c>
      <c r="Q13103" s="8">
        <f>-(33+53/60+17/3600)</f>
        <v>-33.888055555555553</v>
      </c>
      <c r="R13103" s="8">
        <v>13.4</v>
      </c>
      <c r="S13103" s="8">
        <v>14.3</v>
      </c>
      <c r="T13103" s="8">
        <v>0.9</v>
      </c>
      <c r="U13103" s="8">
        <v>13.3</v>
      </c>
      <c r="V13103" s="8">
        <v>1.3</v>
      </c>
      <c r="W13103" s="8">
        <v>0.8</v>
      </c>
      <c r="X13103" s="8">
        <v>130</v>
      </c>
      <c r="Y13103" s="8" t="s">
        <v>3161</v>
      </c>
      <c r="Z13103" s="8" t="s">
        <v>3162</v>
      </c>
    </row>
    <row r="13104" spans="1:26" x14ac:dyDescent="0.2">
      <c r="A13104" s="8">
        <v>13103</v>
      </c>
      <c r="B13104" s="8" t="s">
        <v>54878</v>
      </c>
      <c r="C13104" s="8" t="s">
        <v>54878</v>
      </c>
      <c r="G13104" s="8">
        <v>20</v>
      </c>
      <c r="H13104" s="8" t="s">
        <v>21</v>
      </c>
      <c r="I13104" s="8" t="s">
        <v>22</v>
      </c>
      <c r="J13104" s="8" t="s">
        <v>22</v>
      </c>
      <c r="K13104" s="8" t="s">
        <v>435</v>
      </c>
      <c r="L13104" s="8" t="s">
        <v>30731</v>
      </c>
      <c r="M13104" s="8" t="s">
        <v>30732</v>
      </c>
      <c r="N13104" s="8" t="s">
        <v>54879</v>
      </c>
      <c r="O13104" s="8">
        <f>22+58/60+13.6/3600</f>
        <v>22.970444444444443</v>
      </c>
      <c r="P13104" s="8" t="s">
        <v>54880</v>
      </c>
      <c r="Q13104" s="8">
        <f>-(69+3/60+6/3600)</f>
        <v>-69.051666666666662</v>
      </c>
      <c r="R13104" s="8">
        <v>13.2</v>
      </c>
      <c r="S13104" s="8">
        <v>14.1</v>
      </c>
      <c r="T13104" s="8">
        <v>0.9</v>
      </c>
      <c r="U13104" s="8">
        <v>13.1</v>
      </c>
      <c r="V13104" s="8">
        <v>1.4</v>
      </c>
      <c r="W13104" s="8">
        <v>0.3</v>
      </c>
      <c r="X13104" s="8">
        <v>146</v>
      </c>
      <c r="Y13104" s="8" t="s">
        <v>54881</v>
      </c>
      <c r="Z13104" s="8" t="s">
        <v>54882</v>
      </c>
    </row>
    <row r="13105" spans="1:26" x14ac:dyDescent="0.2">
      <c r="A13105" s="8">
        <v>13104</v>
      </c>
      <c r="B13105" s="8" t="s">
        <v>54883</v>
      </c>
      <c r="C13105" s="8" t="s">
        <v>54883</v>
      </c>
      <c r="G13105" s="8">
        <v>20</v>
      </c>
      <c r="H13105" s="8" t="s">
        <v>21</v>
      </c>
      <c r="I13105" s="8" t="s">
        <v>22</v>
      </c>
      <c r="J13105" s="8" t="s">
        <v>22</v>
      </c>
      <c r="K13105" s="8" t="s">
        <v>31</v>
      </c>
      <c r="L13105" s="8" t="s">
        <v>31389</v>
      </c>
      <c r="M13105" s="8" t="s">
        <v>31390</v>
      </c>
      <c r="N13105" s="8" t="s">
        <v>54884</v>
      </c>
      <c r="O13105" s="8">
        <f>22+56/60+52.7/3600</f>
        <v>22.947972222222223</v>
      </c>
      <c r="P13105" s="8" t="s">
        <v>54885</v>
      </c>
      <c r="Q13105" s="8">
        <f>-(36+33/60+16/3600)</f>
        <v>-36.554444444444442</v>
      </c>
      <c r="R13105" s="8">
        <v>12.5</v>
      </c>
      <c r="S13105" s="8">
        <v>13.3</v>
      </c>
      <c r="T13105" s="8">
        <v>0.8</v>
      </c>
      <c r="U13105" s="8">
        <v>12.6</v>
      </c>
      <c r="V13105" s="8">
        <v>2.4</v>
      </c>
      <c r="W13105" s="8">
        <v>0.5</v>
      </c>
      <c r="X13105" s="8">
        <v>82</v>
      </c>
      <c r="Y13105" s="8" t="s">
        <v>54886</v>
      </c>
      <c r="Z13105" s="8" t="s">
        <v>54887</v>
      </c>
    </row>
    <row r="13106" spans="1:26" x14ac:dyDescent="0.2">
      <c r="A13106" s="8">
        <v>13105</v>
      </c>
      <c r="B13106" s="8" t="s">
        <v>54888</v>
      </c>
      <c r="C13106" s="8" t="s">
        <v>54888</v>
      </c>
      <c r="G13106" s="8">
        <v>20</v>
      </c>
      <c r="H13106" s="8" t="s">
        <v>21</v>
      </c>
      <c r="I13106" s="8" t="s">
        <v>22</v>
      </c>
      <c r="J13106" s="8" t="s">
        <v>57</v>
      </c>
      <c r="K13106" s="8" t="s">
        <v>382</v>
      </c>
      <c r="L13106" s="8" t="s">
        <v>31389</v>
      </c>
      <c r="M13106" s="8" t="s">
        <v>31390</v>
      </c>
      <c r="N13106" s="8" t="s">
        <v>40298</v>
      </c>
      <c r="O13106" s="8">
        <f>22+57/60+10.4/3600</f>
        <v>22.952888888888889</v>
      </c>
      <c r="P13106" s="8" t="s">
        <v>40299</v>
      </c>
      <c r="Q13106" s="8">
        <f>-(36+27/60+45/3600)</f>
        <v>-36.462500000000006</v>
      </c>
      <c r="R13106" s="8">
        <v>10</v>
      </c>
      <c r="S13106" s="8">
        <v>11</v>
      </c>
      <c r="T13106" s="8">
        <v>1</v>
      </c>
      <c r="U13106" s="8">
        <v>13.2</v>
      </c>
      <c r="V13106" s="8">
        <v>5.2</v>
      </c>
      <c r="W13106" s="8">
        <v>1.8</v>
      </c>
      <c r="X13106" s="8">
        <v>40</v>
      </c>
      <c r="Y13106" s="8" t="s">
        <v>54889</v>
      </c>
      <c r="Z13106" s="8" t="s">
        <v>54890</v>
      </c>
    </row>
    <row r="13107" spans="1:26" x14ac:dyDescent="0.2">
      <c r="A13107" s="8">
        <v>13106</v>
      </c>
      <c r="B13107" s="8" t="s">
        <v>54891</v>
      </c>
      <c r="C13107" s="8" t="s">
        <v>54891</v>
      </c>
      <c r="G13107" s="8">
        <v>20</v>
      </c>
      <c r="H13107" s="8" t="s">
        <v>21</v>
      </c>
      <c r="I13107" s="8" t="s">
        <v>22</v>
      </c>
      <c r="J13107" s="8" t="s">
        <v>22</v>
      </c>
      <c r="K13107" s="8" t="s">
        <v>23</v>
      </c>
      <c r="L13107" s="8" t="s">
        <v>310</v>
      </c>
      <c r="M13107" s="8" t="s">
        <v>311</v>
      </c>
      <c r="N13107" s="8" t="s">
        <v>54892</v>
      </c>
      <c r="O13107" s="8">
        <f>22+58/60+21/3600</f>
        <v>22.972499999999997</v>
      </c>
      <c r="P13107" s="8" t="s">
        <v>54893</v>
      </c>
      <c r="Q13107" s="8">
        <f>-(65+7/60+45/3600)</f>
        <v>-65.129166666666663</v>
      </c>
      <c r="R13107" s="8">
        <v>13.7</v>
      </c>
      <c r="S13107" s="8">
        <v>14.5</v>
      </c>
      <c r="T13107" s="8">
        <v>0.8</v>
      </c>
      <c r="U13107" s="8">
        <v>13</v>
      </c>
      <c r="V13107" s="8">
        <v>1.6</v>
      </c>
      <c r="W13107" s="8">
        <v>0.4</v>
      </c>
      <c r="X13107" s="8">
        <v>33</v>
      </c>
      <c r="Y13107" s="8" t="s">
        <v>54894</v>
      </c>
      <c r="Z13107" s="8" t="s">
        <v>54895</v>
      </c>
    </row>
    <row r="13108" spans="1:26" x14ac:dyDescent="0.2">
      <c r="A13108" s="8">
        <v>13107</v>
      </c>
      <c r="B13108" s="8" t="s">
        <v>54896</v>
      </c>
      <c r="C13108" s="8" t="s">
        <v>54896</v>
      </c>
      <c r="G13108" s="8">
        <v>13</v>
      </c>
      <c r="H13108" s="8" t="s">
        <v>21</v>
      </c>
      <c r="I13108" s="8" t="s">
        <v>22</v>
      </c>
      <c r="J13108" s="8" t="s">
        <v>22</v>
      </c>
      <c r="K13108" s="8" t="s">
        <v>632</v>
      </c>
      <c r="L13108" s="8" t="s">
        <v>31389</v>
      </c>
      <c r="M13108" s="8" t="s">
        <v>31390</v>
      </c>
      <c r="N13108" s="8" t="s">
        <v>54897</v>
      </c>
      <c r="O13108" s="8">
        <f>22+57/60+13.7/3600</f>
        <v>22.953805555555554</v>
      </c>
      <c r="P13108" s="8" t="s">
        <v>54898</v>
      </c>
      <c r="Q13108" s="8">
        <f>-(43+23/60+45/3600)</f>
        <v>-43.395833333333336</v>
      </c>
      <c r="R13108" s="8">
        <v>10.5</v>
      </c>
      <c r="S13108" s="8">
        <v>11.4</v>
      </c>
      <c r="T13108" s="8">
        <v>0.9</v>
      </c>
      <c r="U13108" s="8">
        <v>13.7</v>
      </c>
      <c r="V13108" s="8">
        <v>5.2</v>
      </c>
      <c r="W13108" s="8">
        <v>3.9</v>
      </c>
      <c r="X13108" s="8">
        <v>140</v>
      </c>
      <c r="Y13108" s="8" t="s">
        <v>646</v>
      </c>
      <c r="Z13108" s="8" t="s">
        <v>647</v>
      </c>
    </row>
    <row r="13109" spans="1:26" x14ac:dyDescent="0.2">
      <c r="A13109" s="8">
        <v>13108</v>
      </c>
      <c r="B13109" s="8" t="s">
        <v>54899</v>
      </c>
      <c r="C13109" s="8" t="s">
        <v>54899</v>
      </c>
      <c r="G13109" s="8">
        <v>20</v>
      </c>
      <c r="H13109" s="8" t="s">
        <v>21</v>
      </c>
      <c r="I13109" s="8" t="s">
        <v>329</v>
      </c>
      <c r="J13109" s="8" t="s">
        <v>329</v>
      </c>
      <c r="K13109" s="8" t="s">
        <v>329</v>
      </c>
      <c r="L13109" s="8" t="s">
        <v>31943</v>
      </c>
      <c r="M13109" s="8" t="s">
        <v>31944</v>
      </c>
      <c r="N13109" s="8" t="s">
        <v>54900</v>
      </c>
      <c r="O13109" s="8">
        <f>22+56/60+12/3600</f>
        <v>22.936666666666667</v>
      </c>
      <c r="P13109" s="8" t="s">
        <v>54901</v>
      </c>
      <c r="Q13109" s="8">
        <f>+(36+35/60+48/3600)</f>
        <v>36.596666666666671</v>
      </c>
      <c r="R13109" s="8">
        <v>99</v>
      </c>
      <c r="S13109" s="8">
        <v>99</v>
      </c>
      <c r="T13109" s="8">
        <v>99</v>
      </c>
      <c r="U13109" s="8">
        <v>99</v>
      </c>
      <c r="Y13109" s="8" t="s">
        <v>54902</v>
      </c>
      <c r="Z13109" s="8" t="s">
        <v>54903</v>
      </c>
    </row>
    <row r="13110" spans="1:26" x14ac:dyDescent="0.2">
      <c r="A13110" s="8">
        <v>13109</v>
      </c>
      <c r="B13110" s="8" t="s">
        <v>54904</v>
      </c>
      <c r="C13110" s="8" t="s">
        <v>54904</v>
      </c>
      <c r="G13110" s="8">
        <v>13</v>
      </c>
      <c r="H13110" s="8" t="s">
        <v>21</v>
      </c>
      <c r="I13110" s="8" t="s">
        <v>22</v>
      </c>
      <c r="J13110" s="8" t="s">
        <v>22</v>
      </c>
      <c r="K13110" s="8" t="s">
        <v>224</v>
      </c>
      <c r="L13110" s="8" t="s">
        <v>31565</v>
      </c>
      <c r="M13110" s="8" t="s">
        <v>31566</v>
      </c>
      <c r="N13110" s="8" t="s">
        <v>54905</v>
      </c>
      <c r="O13110" s="8">
        <f>22+57/60+43.4/3600</f>
        <v>22.962055555555555</v>
      </c>
      <c r="P13110" s="8" t="s">
        <v>54906</v>
      </c>
      <c r="Q13110" s="8">
        <f>-(36+1/60+36/3600)</f>
        <v>-36.026666666666664</v>
      </c>
      <c r="R13110" s="8">
        <v>12.2</v>
      </c>
      <c r="S13110" s="8">
        <v>13.2</v>
      </c>
      <c r="T13110" s="8">
        <v>1</v>
      </c>
      <c r="U13110" s="8">
        <v>12.5</v>
      </c>
      <c r="V13110" s="8">
        <v>1.7</v>
      </c>
      <c r="W13110" s="8">
        <v>0.8</v>
      </c>
      <c r="X13110" s="8">
        <v>51</v>
      </c>
      <c r="Y13110" s="8" t="s">
        <v>26440</v>
      </c>
      <c r="Z13110" s="8" t="s">
        <v>26441</v>
      </c>
    </row>
    <row r="13111" spans="1:26" x14ac:dyDescent="0.2">
      <c r="A13111" s="8">
        <v>13110</v>
      </c>
      <c r="B13111" s="8" t="s">
        <v>54907</v>
      </c>
      <c r="C13111" s="8" t="s">
        <v>54907</v>
      </c>
      <c r="G13111" s="8">
        <v>20</v>
      </c>
      <c r="H13111" s="8" t="s">
        <v>21</v>
      </c>
      <c r="I13111" s="8" t="s">
        <v>22</v>
      </c>
      <c r="J13111" s="8" t="s">
        <v>22</v>
      </c>
      <c r="K13111" s="8" t="s">
        <v>64</v>
      </c>
      <c r="L13111" s="8" t="s">
        <v>31565</v>
      </c>
      <c r="M13111" s="8" t="s">
        <v>31566</v>
      </c>
      <c r="N13111" s="8" t="s">
        <v>54908</v>
      </c>
      <c r="O13111" s="8">
        <f>22+57/60+55/3600</f>
        <v>22.965277777777779</v>
      </c>
      <c r="P13111" s="8" t="s">
        <v>54909</v>
      </c>
      <c r="Q13111" s="8">
        <f>-(35+51/60+28/3600)</f>
        <v>-35.857777777777777</v>
      </c>
      <c r="R13111" s="8">
        <v>12.2</v>
      </c>
      <c r="S13111" s="8">
        <v>12.9</v>
      </c>
      <c r="T13111" s="8">
        <v>0.7</v>
      </c>
      <c r="U13111" s="8">
        <v>12.8</v>
      </c>
      <c r="V13111" s="8">
        <v>3.2</v>
      </c>
      <c r="W13111" s="8">
        <v>0.6</v>
      </c>
      <c r="X13111" s="8">
        <v>103</v>
      </c>
      <c r="Y13111" s="8" t="s">
        <v>54910</v>
      </c>
      <c r="Z13111" s="8" t="s">
        <v>54911</v>
      </c>
    </row>
    <row r="13112" spans="1:26" x14ac:dyDescent="0.2">
      <c r="A13112" s="8">
        <v>13111</v>
      </c>
      <c r="B13112" s="8" t="s">
        <v>54912</v>
      </c>
      <c r="C13112" s="8" t="s">
        <v>54912</v>
      </c>
      <c r="G13112" s="8">
        <v>9</v>
      </c>
      <c r="H13112" s="8" t="s">
        <v>21</v>
      </c>
      <c r="I13112" s="8" t="s">
        <v>22</v>
      </c>
      <c r="J13112" s="8" t="s">
        <v>22</v>
      </c>
      <c r="K13112" s="8" t="s">
        <v>23</v>
      </c>
      <c r="L13112" s="8" t="s">
        <v>31565</v>
      </c>
      <c r="M13112" s="8" t="s">
        <v>31566</v>
      </c>
      <c r="N13112" s="8" t="s">
        <v>54913</v>
      </c>
      <c r="O13112" s="8">
        <f>22+58/60+1.6/3600</f>
        <v>22.967111111111109</v>
      </c>
      <c r="P13112" s="8" t="s">
        <v>54914</v>
      </c>
      <c r="Q13112" s="8">
        <f>-(33+44/60+32/3600)</f>
        <v>-33.742222222222225</v>
      </c>
      <c r="R13112" s="8">
        <v>10.8</v>
      </c>
      <c r="S13112" s="8">
        <v>11.6</v>
      </c>
      <c r="T13112" s="8">
        <v>0.8</v>
      </c>
      <c r="U13112" s="8">
        <v>12.3</v>
      </c>
      <c r="V13112" s="8">
        <v>2.6</v>
      </c>
      <c r="W13112" s="8">
        <v>0.9</v>
      </c>
      <c r="X13112" s="8">
        <v>138</v>
      </c>
      <c r="Y13112" s="8" t="s">
        <v>54915</v>
      </c>
      <c r="Z13112" s="8" t="s">
        <v>54916</v>
      </c>
    </row>
    <row r="13113" spans="1:26" x14ac:dyDescent="0.2">
      <c r="A13113" s="8">
        <v>13112</v>
      </c>
      <c r="B13113" s="8" t="s">
        <v>54917</v>
      </c>
      <c r="C13113" s="8" t="s">
        <v>54917</v>
      </c>
      <c r="G13113" s="8">
        <v>20</v>
      </c>
      <c r="H13113" s="8" t="s">
        <v>21</v>
      </c>
      <c r="I13113" s="8" t="s">
        <v>22</v>
      </c>
      <c r="J13113" s="8" t="s">
        <v>22</v>
      </c>
      <c r="K13113" s="8" t="s">
        <v>4103</v>
      </c>
      <c r="L13113" s="8" t="s">
        <v>310</v>
      </c>
      <c r="M13113" s="8" t="s">
        <v>311</v>
      </c>
      <c r="N13113" s="8" t="s">
        <v>54918</v>
      </c>
      <c r="O13113" s="8">
        <f>22+59/60+31.2/3600</f>
        <v>22.992000000000001</v>
      </c>
      <c r="P13113" s="8" t="s">
        <v>54919</v>
      </c>
      <c r="Q13113" s="8">
        <f>-(65+11/60+34/3600)</f>
        <v>-65.192777777777778</v>
      </c>
      <c r="R13113" s="8">
        <v>14.1</v>
      </c>
      <c r="S13113" s="8">
        <v>14.7</v>
      </c>
      <c r="T13113" s="8">
        <v>0.6</v>
      </c>
      <c r="U13113" s="8">
        <v>13.9</v>
      </c>
      <c r="V13113" s="8">
        <v>1.2</v>
      </c>
      <c r="W13113" s="8">
        <v>0.8</v>
      </c>
      <c r="X13113" s="8">
        <v>33</v>
      </c>
      <c r="Y13113" s="8" t="s">
        <v>385</v>
      </c>
      <c r="Z13113" s="8" t="s">
        <v>386</v>
      </c>
    </row>
    <row r="13114" spans="1:26" x14ac:dyDescent="0.2">
      <c r="A13114" s="8">
        <v>13113</v>
      </c>
      <c r="B13114" s="8" t="s">
        <v>54920</v>
      </c>
      <c r="C13114" s="8" t="s">
        <v>54920</v>
      </c>
      <c r="G13114" s="8">
        <v>13</v>
      </c>
      <c r="H13114" s="8" t="s">
        <v>21</v>
      </c>
      <c r="I13114" s="8" t="s">
        <v>22</v>
      </c>
      <c r="J13114" s="8" t="s">
        <v>22</v>
      </c>
      <c r="K13114" s="8" t="s">
        <v>64</v>
      </c>
      <c r="L13114" s="8" t="s">
        <v>31389</v>
      </c>
      <c r="M13114" s="8" t="s">
        <v>31390</v>
      </c>
      <c r="N13114" s="8" t="s">
        <v>54921</v>
      </c>
      <c r="O13114" s="8">
        <f>22+59/60+26.7/3600</f>
        <v>22.990750000000002</v>
      </c>
      <c r="P13114" s="8" t="s">
        <v>54922</v>
      </c>
      <c r="Q13114" s="8">
        <f>-(37+42/60+19/3600)</f>
        <v>-37.705277777777781</v>
      </c>
      <c r="R13114" s="8">
        <v>11.4</v>
      </c>
      <c r="S13114" s="8">
        <v>11.8</v>
      </c>
      <c r="T13114" s="8">
        <v>0.4</v>
      </c>
      <c r="U13114" s="8">
        <v>13.9</v>
      </c>
      <c r="V13114" s="8">
        <v>2.6</v>
      </c>
      <c r="W13114" s="8">
        <v>1.7</v>
      </c>
      <c r="X13114" s="8">
        <v>56</v>
      </c>
      <c r="Y13114" s="8" t="s">
        <v>54923</v>
      </c>
      <c r="Z13114" s="8" t="s">
        <v>54924</v>
      </c>
    </row>
    <row r="13115" spans="1:26" x14ac:dyDescent="0.2">
      <c r="A13115" s="8">
        <v>13114</v>
      </c>
      <c r="B13115" s="8" t="s">
        <v>54925</v>
      </c>
      <c r="C13115" s="8" t="s">
        <v>54925</v>
      </c>
      <c r="G13115" s="8">
        <v>20</v>
      </c>
      <c r="H13115" s="8" t="s">
        <v>21</v>
      </c>
      <c r="I13115" s="8" t="s">
        <v>22</v>
      </c>
      <c r="J13115" s="8" t="s">
        <v>22</v>
      </c>
      <c r="K13115" s="8" t="s">
        <v>37</v>
      </c>
      <c r="L13115" s="8" t="s">
        <v>24</v>
      </c>
      <c r="M13115" s="8" t="s">
        <v>25</v>
      </c>
      <c r="N13115" s="8" t="s">
        <v>54926</v>
      </c>
      <c r="O13115" s="8">
        <f>22+58/60+27.6/3600</f>
        <v>22.97433333333333</v>
      </c>
      <c r="P13115" s="8" t="s">
        <v>54927</v>
      </c>
      <c r="Q13115" s="8">
        <f>+(18+55/60+9/3600)</f>
        <v>18.919166666666669</v>
      </c>
      <c r="R13115" s="8">
        <v>13.8</v>
      </c>
      <c r="S13115" s="8">
        <v>14.8</v>
      </c>
      <c r="T13115" s="8">
        <v>1</v>
      </c>
      <c r="U13115" s="8">
        <v>13.2</v>
      </c>
      <c r="V13115" s="8">
        <v>0.8</v>
      </c>
      <c r="W13115" s="8">
        <v>0.8</v>
      </c>
      <c r="Y13115" s="8" t="s">
        <v>44282</v>
      </c>
      <c r="Z13115" s="8" t="s">
        <v>44283</v>
      </c>
    </row>
    <row r="13116" spans="1:26" x14ac:dyDescent="0.2">
      <c r="A13116" s="8">
        <v>13115</v>
      </c>
      <c r="B13116" s="8" t="s">
        <v>54928</v>
      </c>
      <c r="C13116" s="8" t="s">
        <v>54928</v>
      </c>
      <c r="G13116" s="8">
        <v>20</v>
      </c>
      <c r="H13116" s="8" t="s">
        <v>21</v>
      </c>
      <c r="I13116" s="8" t="s">
        <v>72</v>
      </c>
      <c r="J13116" s="8" t="s">
        <v>72</v>
      </c>
      <c r="K13116" s="8" t="s">
        <v>73</v>
      </c>
      <c r="L13116" s="8" t="s">
        <v>24</v>
      </c>
      <c r="M13116" s="8" t="s">
        <v>25</v>
      </c>
      <c r="N13116" s="8" t="s">
        <v>54929</v>
      </c>
      <c r="O13116" s="8">
        <f>22+58/60+39.2/3600</f>
        <v>22.977555555555554</v>
      </c>
      <c r="P13116" s="8" t="s">
        <v>54930</v>
      </c>
      <c r="Q13116" s="8">
        <f>+(18+51/60+45/3600)</f>
        <v>18.862500000000001</v>
      </c>
      <c r="R13116" s="8">
        <v>99</v>
      </c>
      <c r="S13116" s="8">
        <v>99</v>
      </c>
      <c r="T13116" s="8">
        <v>99</v>
      </c>
      <c r="U13116" s="8">
        <v>99</v>
      </c>
      <c r="Y13116" s="8" t="s">
        <v>54931</v>
      </c>
      <c r="Z13116" s="8" t="s">
        <v>54932</v>
      </c>
    </row>
    <row r="13117" spans="1:26" x14ac:dyDescent="0.2">
      <c r="A13117" s="8">
        <v>13116</v>
      </c>
      <c r="B13117" s="8" t="s">
        <v>54933</v>
      </c>
      <c r="C13117" s="8" t="s">
        <v>54933</v>
      </c>
      <c r="G13117" s="8">
        <v>20</v>
      </c>
      <c r="H13117" s="8" t="s">
        <v>21</v>
      </c>
      <c r="I13117" s="8" t="s">
        <v>22</v>
      </c>
      <c r="J13117" s="8" t="s">
        <v>22</v>
      </c>
      <c r="K13117" s="8" t="s">
        <v>632</v>
      </c>
      <c r="L13117" s="8" t="s">
        <v>24</v>
      </c>
      <c r="M13117" s="8" t="s">
        <v>25</v>
      </c>
      <c r="N13117" s="8" t="s">
        <v>54934</v>
      </c>
      <c r="O13117" s="8">
        <f>22+58/60+39.8/3600</f>
        <v>22.977722222222219</v>
      </c>
      <c r="P13117" s="8" t="s">
        <v>54935</v>
      </c>
      <c r="Q13117" s="8">
        <f>+(18+49/60+12/3600)</f>
        <v>18.82</v>
      </c>
      <c r="R13117" s="8">
        <v>14.2</v>
      </c>
      <c r="S13117" s="8">
        <v>15.1</v>
      </c>
      <c r="T13117" s="8">
        <v>0.9</v>
      </c>
      <c r="U13117" s="8">
        <v>12.4</v>
      </c>
      <c r="V13117" s="8">
        <v>0.7</v>
      </c>
      <c r="W13117" s="8">
        <v>0.3</v>
      </c>
      <c r="X13117" s="8">
        <v>45</v>
      </c>
      <c r="Y13117" s="8" t="s">
        <v>54936</v>
      </c>
      <c r="Z13117" s="8" t="s">
        <v>54937</v>
      </c>
    </row>
    <row r="13118" spans="1:26" x14ac:dyDescent="0.2">
      <c r="A13118" s="8">
        <v>13117</v>
      </c>
      <c r="B13118" s="8" t="s">
        <v>54938</v>
      </c>
      <c r="C13118" s="8" t="s">
        <v>54938</v>
      </c>
      <c r="G13118" s="8">
        <v>20</v>
      </c>
      <c r="H13118" s="8" t="s">
        <v>21</v>
      </c>
      <c r="I13118" s="8" t="s">
        <v>22</v>
      </c>
      <c r="J13118" s="8" t="s">
        <v>22</v>
      </c>
      <c r="K13118" s="8" t="s">
        <v>424</v>
      </c>
      <c r="L13118" s="8" t="s">
        <v>310</v>
      </c>
      <c r="M13118" s="8" t="s">
        <v>311</v>
      </c>
      <c r="N13118" s="8" t="s">
        <v>54939</v>
      </c>
      <c r="O13118" s="8">
        <f>23+1/60+59.4/3600</f>
        <v>23.033166666666666</v>
      </c>
      <c r="P13118" s="8" t="s">
        <v>54940</v>
      </c>
      <c r="Q13118" s="8">
        <f>-(65+11/60+53/3600)</f>
        <v>-65.198055555555555</v>
      </c>
      <c r="R13118" s="8">
        <v>14.3</v>
      </c>
      <c r="S13118" s="8">
        <v>15.3</v>
      </c>
      <c r="T13118" s="8">
        <v>1</v>
      </c>
      <c r="U13118" s="8">
        <v>12.6</v>
      </c>
      <c r="V13118" s="8">
        <v>0.5</v>
      </c>
      <c r="W13118" s="8">
        <v>0.5</v>
      </c>
      <c r="Y13118" s="8" t="s">
        <v>54941</v>
      </c>
      <c r="Z13118" s="8" t="s">
        <v>54942</v>
      </c>
    </row>
    <row r="13119" spans="1:26" x14ac:dyDescent="0.2">
      <c r="A13119" s="8">
        <v>13118</v>
      </c>
      <c r="B13119" s="8" t="s">
        <v>54943</v>
      </c>
      <c r="C13119" s="8" t="s">
        <v>54943</v>
      </c>
      <c r="G13119" s="8">
        <v>20</v>
      </c>
      <c r="H13119" s="8" t="s">
        <v>21</v>
      </c>
      <c r="I13119" s="8" t="s">
        <v>22</v>
      </c>
      <c r="J13119" s="8" t="s">
        <v>22</v>
      </c>
      <c r="K13119" s="8" t="s">
        <v>3523</v>
      </c>
      <c r="L13119" s="8" t="s">
        <v>30854</v>
      </c>
      <c r="M13119" s="8" t="s">
        <v>30855</v>
      </c>
      <c r="N13119" s="8" t="s">
        <v>54944</v>
      </c>
      <c r="O13119" s="8">
        <f>23+0/60+15.9/3600</f>
        <v>23.004416666666668</v>
      </c>
      <c r="P13119" s="8" t="s">
        <v>54945</v>
      </c>
      <c r="Q13119" s="8">
        <f>-(8+10/60+43/3600)</f>
        <v>-8.1786111111111097</v>
      </c>
      <c r="R13119" s="8">
        <v>15.2</v>
      </c>
      <c r="S13119" s="8">
        <v>15.8</v>
      </c>
      <c r="T13119" s="8">
        <v>0.6</v>
      </c>
      <c r="U13119" s="8">
        <v>14.3</v>
      </c>
      <c r="V13119" s="8">
        <v>1.2</v>
      </c>
      <c r="W13119" s="8">
        <v>0.4</v>
      </c>
      <c r="X13119" s="8">
        <v>85</v>
      </c>
      <c r="Y13119" s="8" t="s">
        <v>15607</v>
      </c>
      <c r="Z13119" s="8" t="s">
        <v>15608</v>
      </c>
    </row>
    <row r="13120" spans="1:26" x14ac:dyDescent="0.2">
      <c r="A13120" s="8">
        <v>13119</v>
      </c>
      <c r="B13120" s="8" t="s">
        <v>54946</v>
      </c>
      <c r="C13120" s="8" t="s">
        <v>54946</v>
      </c>
      <c r="G13120" s="8">
        <v>20</v>
      </c>
      <c r="H13120" s="8" t="s">
        <v>21</v>
      </c>
      <c r="I13120" s="8" t="s">
        <v>22</v>
      </c>
      <c r="J13120" s="8" t="s">
        <v>22</v>
      </c>
      <c r="K13120" s="8" t="s">
        <v>91</v>
      </c>
      <c r="L13120" s="8" t="s">
        <v>30731</v>
      </c>
      <c r="M13120" s="8" t="s">
        <v>30732</v>
      </c>
      <c r="N13120" s="8" t="s">
        <v>54947</v>
      </c>
      <c r="O13120" s="8">
        <f>23+3/60+2.6/3600</f>
        <v>23.050722222222223</v>
      </c>
      <c r="P13120" s="8" t="s">
        <v>54948</v>
      </c>
      <c r="Q13120" s="8">
        <f>-(69+12/60+36/3600)</f>
        <v>-69.210000000000008</v>
      </c>
      <c r="R13120" s="8">
        <v>13.5</v>
      </c>
      <c r="S13120" s="8">
        <v>14.4</v>
      </c>
      <c r="T13120" s="8">
        <v>0.9</v>
      </c>
      <c r="U13120" s="8">
        <v>13.2</v>
      </c>
      <c r="V13120" s="8">
        <v>1.3</v>
      </c>
      <c r="W13120" s="8">
        <v>0.8</v>
      </c>
      <c r="X13120" s="8">
        <v>27</v>
      </c>
      <c r="Y13120" s="8" t="s">
        <v>54949</v>
      </c>
      <c r="Z13120" s="8" t="s">
        <v>54950</v>
      </c>
    </row>
    <row r="13121" spans="1:26" x14ac:dyDescent="0.2">
      <c r="A13121" s="8">
        <v>13120</v>
      </c>
      <c r="B13121" s="8" t="s">
        <v>54951</v>
      </c>
      <c r="C13121" s="8" t="s">
        <v>54951</v>
      </c>
      <c r="G13121" s="8">
        <v>20</v>
      </c>
      <c r="H13121" s="8" t="s">
        <v>21</v>
      </c>
      <c r="I13121" s="8" t="s">
        <v>22</v>
      </c>
      <c r="J13121" s="8" t="s">
        <v>22</v>
      </c>
      <c r="K13121" s="8" t="s">
        <v>31</v>
      </c>
      <c r="L13121" s="8" t="s">
        <v>310</v>
      </c>
      <c r="M13121" s="8" t="s">
        <v>311</v>
      </c>
      <c r="N13121" s="8" t="s">
        <v>54952</v>
      </c>
      <c r="O13121" s="8">
        <f>23+3/60+50/3600</f>
        <v>23.06388888888889</v>
      </c>
      <c r="P13121" s="8" t="s">
        <v>54953</v>
      </c>
      <c r="Q13121" s="8">
        <f>-(65+12/60+27/3600)</f>
        <v>-65.207499999999996</v>
      </c>
      <c r="R13121" s="8">
        <v>14</v>
      </c>
      <c r="S13121" s="8">
        <v>14.8</v>
      </c>
      <c r="T13121" s="8">
        <v>0.8</v>
      </c>
      <c r="U13121" s="8">
        <v>13.5</v>
      </c>
      <c r="V13121" s="8">
        <v>1.4</v>
      </c>
      <c r="W13121" s="8">
        <v>0.5</v>
      </c>
      <c r="X13121" s="8">
        <v>4</v>
      </c>
      <c r="Y13121" s="8" t="s">
        <v>54954</v>
      </c>
      <c r="Z13121" s="8" t="s">
        <v>54955</v>
      </c>
    </row>
    <row r="13122" spans="1:26" x14ac:dyDescent="0.2">
      <c r="A13122" s="8">
        <v>13121</v>
      </c>
      <c r="B13122" s="8" t="s">
        <v>54956</v>
      </c>
      <c r="C13122" s="8" t="s">
        <v>54956</v>
      </c>
      <c r="G13122" s="8">
        <v>20</v>
      </c>
      <c r="H13122" s="8" t="s">
        <v>21</v>
      </c>
      <c r="I13122" s="8" t="s">
        <v>22</v>
      </c>
      <c r="J13122" s="8" t="s">
        <v>57</v>
      </c>
      <c r="K13122" s="8" t="s">
        <v>23</v>
      </c>
      <c r="L13122" s="8" t="s">
        <v>24</v>
      </c>
      <c r="M13122" s="8" t="s">
        <v>25</v>
      </c>
      <c r="N13122" s="8" t="s">
        <v>33075</v>
      </c>
      <c r="O13122" s="8">
        <f>23+2/60+3.4/3600</f>
        <v>23.034277777777781</v>
      </c>
      <c r="P13122" s="8" t="s">
        <v>33076</v>
      </c>
      <c r="Q13122" s="8">
        <f>+(27+3/60+11/3600)</f>
        <v>27.053055555555556</v>
      </c>
      <c r="R13122" s="8">
        <v>13.5</v>
      </c>
      <c r="S13122" s="8">
        <v>14.3</v>
      </c>
      <c r="T13122" s="8">
        <v>0.8</v>
      </c>
      <c r="U13122" s="8">
        <v>13.1</v>
      </c>
      <c r="V13122" s="8">
        <v>1.5</v>
      </c>
      <c r="W13122" s="8">
        <v>0.5</v>
      </c>
      <c r="X13122" s="8">
        <v>26</v>
      </c>
      <c r="Y13122" s="8" t="s">
        <v>54957</v>
      </c>
      <c r="Z13122" s="8" t="s">
        <v>54958</v>
      </c>
    </row>
    <row r="13123" spans="1:26" x14ac:dyDescent="0.2">
      <c r="A13123" s="8">
        <v>13122</v>
      </c>
      <c r="B13123" s="8" t="s">
        <v>54959</v>
      </c>
      <c r="C13123" s="8" t="s">
        <v>54959</v>
      </c>
      <c r="G13123" s="8">
        <v>20</v>
      </c>
      <c r="H13123" s="8" t="s">
        <v>21</v>
      </c>
      <c r="I13123" s="8" t="s">
        <v>22</v>
      </c>
      <c r="J13123" s="8" t="s">
        <v>22</v>
      </c>
      <c r="K13123" s="8" t="s">
        <v>3523</v>
      </c>
      <c r="L13123" s="8" t="s">
        <v>24</v>
      </c>
      <c r="M13123" s="8" t="s">
        <v>25</v>
      </c>
      <c r="N13123" s="8" t="s">
        <v>54960</v>
      </c>
      <c r="O13123" s="8">
        <f>23+2/60+48.2/3600</f>
        <v>23.046722222222225</v>
      </c>
      <c r="P13123" s="8" t="s">
        <v>54961</v>
      </c>
      <c r="Q13123" s="8">
        <f>+(21+52/60+28/3600)</f>
        <v>21.874444444444446</v>
      </c>
      <c r="R13123" s="8">
        <v>14.3</v>
      </c>
      <c r="S13123" s="8">
        <v>14.9</v>
      </c>
      <c r="T13123" s="8">
        <v>0.6</v>
      </c>
      <c r="U13123" s="8">
        <v>13.9</v>
      </c>
      <c r="V13123" s="8">
        <v>1.4</v>
      </c>
      <c r="W13123" s="8">
        <v>0.6</v>
      </c>
      <c r="X13123" s="8">
        <v>173</v>
      </c>
      <c r="Y13123" s="8" t="s">
        <v>54962</v>
      </c>
      <c r="Z13123" s="8" t="s">
        <v>54963</v>
      </c>
    </row>
    <row r="13124" spans="1:26" x14ac:dyDescent="0.2">
      <c r="A13124" s="8">
        <v>13123</v>
      </c>
      <c r="B13124" s="8" t="s">
        <v>54964</v>
      </c>
      <c r="C13124" s="8" t="s">
        <v>54964</v>
      </c>
      <c r="G13124" s="8">
        <v>20</v>
      </c>
      <c r="H13124" s="8" t="s">
        <v>21</v>
      </c>
      <c r="I13124" s="8" t="s">
        <v>22</v>
      </c>
      <c r="J13124" s="8" t="s">
        <v>22</v>
      </c>
      <c r="K13124" s="8" t="s">
        <v>538</v>
      </c>
      <c r="L13124" s="8" t="s">
        <v>24</v>
      </c>
      <c r="M13124" s="8" t="s">
        <v>25</v>
      </c>
      <c r="N13124" s="8" t="s">
        <v>54965</v>
      </c>
      <c r="O13124" s="8">
        <f>23+3/60+17.7/3600</f>
        <v>23.054916666666667</v>
      </c>
      <c r="P13124" s="8" t="s">
        <v>54966</v>
      </c>
      <c r="Q13124" s="8">
        <f>+(8+53/60+38/3600)</f>
        <v>8.8938888888888883</v>
      </c>
      <c r="R13124" s="8">
        <v>13.8</v>
      </c>
      <c r="S13124" s="8">
        <v>14.8</v>
      </c>
      <c r="T13124" s="8">
        <v>1</v>
      </c>
      <c r="U13124" s="8">
        <v>12.4</v>
      </c>
      <c r="V13124" s="8">
        <v>0.7</v>
      </c>
      <c r="W13124" s="8">
        <v>0.4</v>
      </c>
      <c r="X13124" s="8">
        <v>135</v>
      </c>
      <c r="Y13124" s="8" t="s">
        <v>54967</v>
      </c>
      <c r="Z13124" s="8" t="s">
        <v>54968</v>
      </c>
    </row>
    <row r="13125" spans="1:26" x14ac:dyDescent="0.2">
      <c r="A13125" s="8">
        <v>13124</v>
      </c>
      <c r="B13125" s="8" t="s">
        <v>54969</v>
      </c>
      <c r="C13125" s="8" t="s">
        <v>54969</v>
      </c>
      <c r="G13125" s="8">
        <v>20</v>
      </c>
      <c r="H13125" s="8" t="s">
        <v>21</v>
      </c>
      <c r="I13125" s="8" t="s">
        <v>22</v>
      </c>
      <c r="J13125" s="8" t="s">
        <v>22</v>
      </c>
      <c r="K13125" s="8" t="s">
        <v>91</v>
      </c>
      <c r="L13125" s="8" t="s">
        <v>24</v>
      </c>
      <c r="M13125" s="8" t="s">
        <v>25</v>
      </c>
      <c r="N13125" s="8" t="s">
        <v>54970</v>
      </c>
      <c r="O13125" s="8">
        <f>23+6/60+46.3/3600</f>
        <v>23.112861111111112</v>
      </c>
      <c r="P13125" s="8" t="s">
        <v>49013</v>
      </c>
      <c r="Q13125" s="8">
        <f>+(19+7/60+17/3600)</f>
        <v>19.121388888888891</v>
      </c>
      <c r="R13125" s="8">
        <v>13.9</v>
      </c>
      <c r="S13125" s="8">
        <v>14.8</v>
      </c>
      <c r="T13125" s="8">
        <v>0.9</v>
      </c>
      <c r="U13125" s="8">
        <v>12.5</v>
      </c>
      <c r="V13125" s="8">
        <v>1</v>
      </c>
      <c r="W13125" s="8">
        <v>0.2</v>
      </c>
      <c r="X13125" s="8">
        <v>141</v>
      </c>
      <c r="Y13125" s="8" t="s">
        <v>54971</v>
      </c>
      <c r="Z13125" s="8" t="s">
        <v>54972</v>
      </c>
    </row>
    <row r="13126" spans="1:26" x14ac:dyDescent="0.2">
      <c r="A13126" s="8">
        <v>13125</v>
      </c>
      <c r="B13126" s="8" t="s">
        <v>54973</v>
      </c>
      <c r="C13126" s="8" t="s">
        <v>54973</v>
      </c>
      <c r="G13126" s="8">
        <v>20</v>
      </c>
      <c r="H13126" s="8" t="s">
        <v>21</v>
      </c>
      <c r="I13126" s="8" t="s">
        <v>22</v>
      </c>
      <c r="J13126" s="8" t="s">
        <v>22</v>
      </c>
      <c r="K13126" s="8" t="s">
        <v>476</v>
      </c>
      <c r="L13126" s="8" t="s">
        <v>24</v>
      </c>
      <c r="M13126" s="8" t="s">
        <v>25</v>
      </c>
      <c r="N13126" s="8" t="s">
        <v>54974</v>
      </c>
      <c r="O13126" s="8">
        <f>23+6/60+58.9/3600</f>
        <v>23.116361111111111</v>
      </c>
      <c r="P13126" s="8" t="s">
        <v>54975</v>
      </c>
      <c r="Q13126" s="8">
        <f>+(22+56/60+13/3600)</f>
        <v>22.936944444444446</v>
      </c>
      <c r="R13126" s="8">
        <v>12.6</v>
      </c>
      <c r="S13126" s="8">
        <v>13.6</v>
      </c>
      <c r="T13126" s="8">
        <v>1</v>
      </c>
      <c r="U13126" s="8">
        <v>13.2</v>
      </c>
      <c r="V13126" s="8">
        <v>1.6</v>
      </c>
      <c r="W13126" s="8">
        <v>1.2</v>
      </c>
      <c r="X13126" s="8">
        <v>100</v>
      </c>
      <c r="Y13126" s="8" t="s">
        <v>54976</v>
      </c>
      <c r="Z13126" s="8" t="s">
        <v>54977</v>
      </c>
    </row>
    <row r="13127" spans="1:26" x14ac:dyDescent="0.2">
      <c r="A13127" s="8">
        <v>13126</v>
      </c>
      <c r="B13127" s="8" t="s">
        <v>54978</v>
      </c>
      <c r="C13127" s="8" t="s">
        <v>54978</v>
      </c>
      <c r="G13127" s="8">
        <v>20</v>
      </c>
      <c r="H13127" s="8" t="s">
        <v>21</v>
      </c>
      <c r="I13127" s="8" t="s">
        <v>22</v>
      </c>
      <c r="J13127" s="8" t="s">
        <v>22</v>
      </c>
      <c r="K13127" s="8" t="s">
        <v>396</v>
      </c>
      <c r="L13127" s="8" t="s">
        <v>30731</v>
      </c>
      <c r="M13127" s="8" t="s">
        <v>30732</v>
      </c>
      <c r="N13127" s="8" t="s">
        <v>33204</v>
      </c>
      <c r="O13127" s="8">
        <f>23+9/60+56/3600</f>
        <v>23.165555555555553</v>
      </c>
      <c r="P13127" s="8" t="s">
        <v>54979</v>
      </c>
      <c r="Q13127" s="8">
        <f>-(68+15/60+12/3600)</f>
        <v>-68.25333333333333</v>
      </c>
      <c r="R13127" s="8">
        <v>15.4</v>
      </c>
      <c r="S13127" s="8">
        <v>16.2</v>
      </c>
      <c r="T13127" s="8">
        <v>0.8</v>
      </c>
      <c r="U13127" s="8">
        <v>13.4</v>
      </c>
      <c r="V13127" s="8">
        <v>0.9</v>
      </c>
      <c r="W13127" s="8">
        <v>0.2</v>
      </c>
      <c r="X13127" s="8">
        <v>114</v>
      </c>
      <c r="Y13127" s="8" t="s">
        <v>54980</v>
      </c>
      <c r="Z13127" s="8" t="s">
        <v>54981</v>
      </c>
    </row>
    <row r="13128" spans="1:26" x14ac:dyDescent="0.2">
      <c r="A13128" s="8">
        <v>13127</v>
      </c>
      <c r="B13128" s="8" t="s">
        <v>54982</v>
      </c>
      <c r="C13128" s="8" t="s">
        <v>54982</v>
      </c>
      <c r="G13128" s="8">
        <v>20</v>
      </c>
      <c r="H13128" s="8" t="s">
        <v>21</v>
      </c>
      <c r="I13128" s="8" t="s">
        <v>22</v>
      </c>
      <c r="J13128" s="8" t="s">
        <v>22</v>
      </c>
      <c r="K13128" s="8" t="s">
        <v>218</v>
      </c>
      <c r="L13128" s="8" t="s">
        <v>38</v>
      </c>
      <c r="M13128" s="8" t="s">
        <v>39</v>
      </c>
      <c r="N13128" s="8" t="s">
        <v>54983</v>
      </c>
      <c r="O13128" s="8">
        <f>23+9/60+20.3/3600</f>
        <v>23.155638888888888</v>
      </c>
      <c r="P13128" s="8" t="s">
        <v>54984</v>
      </c>
      <c r="Q13128" s="8">
        <f>+(0+45/60+25/3600)</f>
        <v>0.75694444444444442</v>
      </c>
      <c r="R13128" s="8">
        <v>13.9</v>
      </c>
      <c r="S13128" s="8">
        <v>14.7</v>
      </c>
      <c r="T13128" s="8">
        <v>0.8</v>
      </c>
      <c r="U13128" s="8">
        <v>13.7</v>
      </c>
      <c r="V13128" s="8">
        <v>1.1000000000000001</v>
      </c>
      <c r="W13128" s="8">
        <v>1</v>
      </c>
      <c r="X13128" s="8">
        <v>138</v>
      </c>
      <c r="Y13128" s="8" t="s">
        <v>36930</v>
      </c>
      <c r="Z13128" s="8" t="s">
        <v>36931</v>
      </c>
    </row>
    <row r="13129" spans="1:26" x14ac:dyDescent="0.2">
      <c r="A13129" s="8">
        <v>13128</v>
      </c>
      <c r="B13129" s="8" t="s">
        <v>54985</v>
      </c>
      <c r="C13129" s="8" t="s">
        <v>54985</v>
      </c>
      <c r="G13129" s="8">
        <v>20</v>
      </c>
      <c r="H13129" s="8" t="s">
        <v>21</v>
      </c>
      <c r="I13129" s="8" t="s">
        <v>22</v>
      </c>
      <c r="J13129" s="8" t="s">
        <v>22</v>
      </c>
      <c r="K13129" s="8" t="s">
        <v>37</v>
      </c>
      <c r="L13129" s="8" t="s">
        <v>30731</v>
      </c>
      <c r="M13129" s="8" t="s">
        <v>30732</v>
      </c>
      <c r="N13129" s="8" t="s">
        <v>54986</v>
      </c>
      <c r="O13129" s="8">
        <f>23+11/60+44.3/3600</f>
        <v>23.19563888888889</v>
      </c>
      <c r="P13129" s="8" t="s">
        <v>54987</v>
      </c>
      <c r="Q13129" s="8">
        <f>-(68+5/60+39/3600)</f>
        <v>-68.094166666666666</v>
      </c>
      <c r="R13129" s="8">
        <v>13.7</v>
      </c>
      <c r="S13129" s="8">
        <v>14.7</v>
      </c>
      <c r="T13129" s="8">
        <v>1</v>
      </c>
      <c r="U13129" s="8">
        <v>13.1</v>
      </c>
      <c r="V13129" s="8">
        <v>1.1000000000000001</v>
      </c>
      <c r="W13129" s="8">
        <v>0.8</v>
      </c>
      <c r="X13129" s="8">
        <v>60</v>
      </c>
      <c r="Y13129" s="8" t="s">
        <v>54988</v>
      </c>
      <c r="Z13129" s="8" t="s">
        <v>54989</v>
      </c>
    </row>
    <row r="13130" spans="1:26" x14ac:dyDescent="0.2">
      <c r="A13130" s="8">
        <v>13129</v>
      </c>
      <c r="B13130" s="8" t="s">
        <v>54990</v>
      </c>
      <c r="C13130" s="8" t="s">
        <v>54990</v>
      </c>
      <c r="G13130" s="8">
        <v>20</v>
      </c>
      <c r="H13130" s="8" t="s">
        <v>21</v>
      </c>
      <c r="I13130" s="8" t="s">
        <v>22</v>
      </c>
      <c r="J13130" s="8" t="s">
        <v>22</v>
      </c>
      <c r="K13130" s="8" t="s">
        <v>54991</v>
      </c>
      <c r="L13130" s="8" t="s">
        <v>65</v>
      </c>
      <c r="M13130" s="8" t="s">
        <v>66</v>
      </c>
      <c r="N13130" s="8" t="s">
        <v>54992</v>
      </c>
      <c r="O13130" s="8">
        <f>23+11/60+17.2/3600</f>
        <v>23.188111111111112</v>
      </c>
      <c r="P13130" s="8" t="s">
        <v>54993</v>
      </c>
      <c r="Q13130" s="8">
        <f>-(32+27/60+5/3600)</f>
        <v>-32.451388888888893</v>
      </c>
      <c r="R13130" s="8">
        <v>13.4</v>
      </c>
      <c r="S13130" s="8">
        <v>14.4</v>
      </c>
      <c r="T13130" s="8">
        <v>1</v>
      </c>
      <c r="U13130" s="8">
        <v>12.7</v>
      </c>
      <c r="V13130" s="8">
        <v>1.1000000000000001</v>
      </c>
      <c r="W13130" s="8">
        <v>0.8</v>
      </c>
      <c r="X13130" s="8">
        <v>23</v>
      </c>
      <c r="Y13130" s="8" t="s">
        <v>54994</v>
      </c>
      <c r="Z13130" s="8" t="s">
        <v>54995</v>
      </c>
    </row>
    <row r="13131" spans="1:26" x14ac:dyDescent="0.2">
      <c r="A13131" s="8">
        <v>13130</v>
      </c>
      <c r="B13131" s="8" t="s">
        <v>54996</v>
      </c>
      <c r="C13131" s="8" t="s">
        <v>54996</v>
      </c>
      <c r="G13131" s="8">
        <v>20</v>
      </c>
      <c r="H13131" s="8" t="s">
        <v>21</v>
      </c>
      <c r="I13131" s="8" t="s">
        <v>22</v>
      </c>
      <c r="J13131" s="8" t="s">
        <v>57</v>
      </c>
      <c r="K13131" s="8" t="s">
        <v>91</v>
      </c>
      <c r="L13131" s="8" t="s">
        <v>30854</v>
      </c>
      <c r="M13131" s="8" t="s">
        <v>30855</v>
      </c>
      <c r="N13131" s="8" t="s">
        <v>33291</v>
      </c>
      <c r="O13131" s="8">
        <f>23+12/60+53.1/3600</f>
        <v>23.214749999999999</v>
      </c>
      <c r="P13131" s="8" t="s">
        <v>33292</v>
      </c>
      <c r="Q13131" s="8">
        <f>-(23+28/60+8/3600)</f>
        <v>-23.468888888888888</v>
      </c>
      <c r="R13131" s="8">
        <v>13.2</v>
      </c>
      <c r="S13131" s="8">
        <v>14.1</v>
      </c>
      <c r="T13131" s="8">
        <v>0.9</v>
      </c>
      <c r="U13131" s="8">
        <v>13.1</v>
      </c>
      <c r="V13131" s="8">
        <v>1.3</v>
      </c>
      <c r="W13131" s="8">
        <v>0.8</v>
      </c>
      <c r="X13131" s="8">
        <v>66</v>
      </c>
      <c r="Y13131" s="8" t="s">
        <v>37758</v>
      </c>
      <c r="Z13131" s="8" t="s">
        <v>37759</v>
      </c>
    </row>
    <row r="13132" spans="1:26" x14ac:dyDescent="0.2">
      <c r="A13132" s="8">
        <v>13131</v>
      </c>
      <c r="B13132" s="8" t="s">
        <v>54997</v>
      </c>
      <c r="C13132" s="8" t="s">
        <v>54997</v>
      </c>
      <c r="G13132" s="8">
        <v>20</v>
      </c>
      <c r="H13132" s="8" t="s">
        <v>21</v>
      </c>
      <c r="I13132" s="8" t="s">
        <v>22</v>
      </c>
      <c r="J13132" s="8" t="s">
        <v>22</v>
      </c>
      <c r="K13132" s="8" t="s">
        <v>424</v>
      </c>
      <c r="L13132" s="8" t="s">
        <v>24</v>
      </c>
      <c r="M13132" s="8" t="s">
        <v>25</v>
      </c>
      <c r="N13132" s="8" t="s">
        <v>54998</v>
      </c>
      <c r="O13132" s="8">
        <f>23+13/60+39.6/3600</f>
        <v>23.227666666666664</v>
      </c>
      <c r="P13132" s="8" t="s">
        <v>54999</v>
      </c>
      <c r="Q13132" s="8">
        <f>+(9+14/60+30/3600)</f>
        <v>9.2416666666666654</v>
      </c>
      <c r="R13132" s="8">
        <v>14.7</v>
      </c>
      <c r="S13132" s="8">
        <v>15.7</v>
      </c>
      <c r="T13132" s="8">
        <v>1</v>
      </c>
      <c r="U13132" s="8">
        <v>11.9</v>
      </c>
      <c r="V13132" s="8">
        <v>0.3</v>
      </c>
      <c r="W13132" s="8">
        <v>0.3</v>
      </c>
      <c r="Y13132" s="8" t="s">
        <v>51708</v>
      </c>
      <c r="Z13132" s="8" t="s">
        <v>51709</v>
      </c>
    </row>
    <row r="13133" spans="1:26" x14ac:dyDescent="0.2">
      <c r="A13133" s="8">
        <v>13132</v>
      </c>
      <c r="B13133" s="8" t="s">
        <v>55000</v>
      </c>
      <c r="C13133" s="8" t="s">
        <v>55000</v>
      </c>
      <c r="G13133" s="8">
        <v>20</v>
      </c>
      <c r="H13133" s="8" t="s">
        <v>21</v>
      </c>
      <c r="I13133" s="8" t="s">
        <v>22</v>
      </c>
      <c r="J13133" s="8" t="s">
        <v>22</v>
      </c>
      <c r="K13133" s="8" t="s">
        <v>476</v>
      </c>
      <c r="L13133" s="8" t="s">
        <v>24</v>
      </c>
      <c r="M13133" s="8" t="s">
        <v>25</v>
      </c>
      <c r="N13133" s="8" t="s">
        <v>55001</v>
      </c>
      <c r="O13133" s="8">
        <f>23+13/60+47.1/3600</f>
        <v>23.229749999999999</v>
      </c>
      <c r="P13133" s="8" t="s">
        <v>55002</v>
      </c>
      <c r="Q13133" s="8">
        <f>+(13+41/60+13/3600)</f>
        <v>13.686944444444444</v>
      </c>
      <c r="R13133" s="8">
        <v>14.7</v>
      </c>
      <c r="S13133" s="8">
        <v>15.5</v>
      </c>
      <c r="T13133" s="8">
        <v>0.8</v>
      </c>
      <c r="U13133" s="8">
        <v>13.4</v>
      </c>
      <c r="V13133" s="8">
        <v>0.6</v>
      </c>
      <c r="W13133" s="8">
        <v>0.6</v>
      </c>
      <c r="Y13133" s="8" t="s">
        <v>55003</v>
      </c>
      <c r="Z13133" s="8" t="s">
        <v>55004</v>
      </c>
    </row>
    <row r="13134" spans="1:26" x14ac:dyDescent="0.2">
      <c r="A13134" s="8">
        <v>13133</v>
      </c>
      <c r="B13134" s="8" t="s">
        <v>55005</v>
      </c>
      <c r="C13134" s="8" t="s">
        <v>55005</v>
      </c>
      <c r="G13134" s="8">
        <v>20</v>
      </c>
      <c r="H13134" s="8" t="s">
        <v>21</v>
      </c>
      <c r="I13134" s="8" t="s">
        <v>22</v>
      </c>
      <c r="J13134" s="8" t="s">
        <v>22</v>
      </c>
      <c r="K13134" s="8" t="s">
        <v>449</v>
      </c>
      <c r="L13134" s="8" t="s">
        <v>24</v>
      </c>
      <c r="M13134" s="8" t="s">
        <v>25</v>
      </c>
      <c r="N13134" s="8" t="s">
        <v>55006</v>
      </c>
      <c r="O13134" s="8">
        <f>23+14/60+44.6/3600</f>
        <v>23.245722222222224</v>
      </c>
      <c r="P13134" s="8" t="s">
        <v>55007</v>
      </c>
      <c r="Q13134" s="8">
        <f>+(25+8/60+28/3600)</f>
        <v>25.141111111111112</v>
      </c>
      <c r="R13134" s="8">
        <v>14.6</v>
      </c>
      <c r="S13134" s="8">
        <v>15.4</v>
      </c>
      <c r="T13134" s="8">
        <v>0.8</v>
      </c>
      <c r="U13134" s="8">
        <v>11.7</v>
      </c>
      <c r="V13134" s="8">
        <v>0.4</v>
      </c>
      <c r="W13134" s="8">
        <v>0.2</v>
      </c>
      <c r="X13134" s="8">
        <v>175</v>
      </c>
      <c r="Y13134" s="8" t="s">
        <v>55008</v>
      </c>
      <c r="Z13134" s="8" t="s">
        <v>55009</v>
      </c>
    </row>
    <row r="13135" spans="1:26" x14ac:dyDescent="0.2">
      <c r="A13135" s="8">
        <v>13134</v>
      </c>
      <c r="B13135" s="8" t="s">
        <v>55010</v>
      </c>
      <c r="C13135" s="8" t="s">
        <v>55010</v>
      </c>
      <c r="G13135" s="8">
        <v>20</v>
      </c>
      <c r="H13135" s="8" t="s">
        <v>21</v>
      </c>
      <c r="I13135" s="8" t="s">
        <v>22</v>
      </c>
      <c r="J13135" s="8" t="s">
        <v>57</v>
      </c>
      <c r="K13135" s="8" t="s">
        <v>406</v>
      </c>
      <c r="L13135" s="8" t="s">
        <v>31389</v>
      </c>
      <c r="M13135" s="8" t="s">
        <v>31390</v>
      </c>
      <c r="N13135" s="8" t="s">
        <v>33412</v>
      </c>
      <c r="O13135" s="8">
        <f>23+16/60+10.6/3600</f>
        <v>23.269611111111111</v>
      </c>
      <c r="P13135" s="8" t="s">
        <v>33413</v>
      </c>
      <c r="Q13135" s="8">
        <f>-(42+35/60+5/3600)</f>
        <v>-42.584722222222226</v>
      </c>
      <c r="R13135" s="8">
        <v>10.6</v>
      </c>
      <c r="S13135" s="8">
        <v>11.3</v>
      </c>
      <c r="T13135" s="8">
        <v>0.7</v>
      </c>
      <c r="U13135" s="8">
        <v>12.9</v>
      </c>
      <c r="V13135" s="8">
        <v>3.4</v>
      </c>
      <c r="W13135" s="8">
        <v>2.7</v>
      </c>
      <c r="X13135" s="8">
        <v>1</v>
      </c>
      <c r="Y13135" s="8" t="s">
        <v>55011</v>
      </c>
      <c r="Z13135" s="8" t="s">
        <v>55012</v>
      </c>
    </row>
    <row r="13136" spans="1:26" x14ac:dyDescent="0.2">
      <c r="A13136" s="8">
        <v>13135</v>
      </c>
      <c r="B13136" s="8" t="s">
        <v>55013</v>
      </c>
      <c r="C13136" s="8" t="s">
        <v>55013</v>
      </c>
      <c r="G13136" s="8">
        <v>20</v>
      </c>
      <c r="H13136" s="8" t="s">
        <v>21</v>
      </c>
      <c r="I13136" s="8" t="s">
        <v>22</v>
      </c>
      <c r="J13136" s="8" t="s">
        <v>22</v>
      </c>
      <c r="K13136" s="8" t="s">
        <v>424</v>
      </c>
      <c r="L13136" s="8" t="s">
        <v>24</v>
      </c>
      <c r="M13136" s="8" t="s">
        <v>25</v>
      </c>
      <c r="N13136" s="8" t="s">
        <v>55014</v>
      </c>
      <c r="O13136" s="8">
        <f>23+15/60+29.1/3600</f>
        <v>23.258083333333332</v>
      </c>
      <c r="P13136" s="8" t="s">
        <v>55015</v>
      </c>
      <c r="Q13136" s="8">
        <f>+(25+7/60+16/3600)</f>
        <v>25.121111111111112</v>
      </c>
      <c r="R13136" s="8">
        <v>14.7</v>
      </c>
      <c r="S13136" s="8">
        <v>15.7</v>
      </c>
      <c r="T13136" s="8">
        <v>1</v>
      </c>
      <c r="U13136" s="8">
        <v>13.4</v>
      </c>
      <c r="V13136" s="8">
        <v>0.7</v>
      </c>
      <c r="W13136" s="8">
        <v>0.5</v>
      </c>
      <c r="Y13136" s="8" t="s">
        <v>41541</v>
      </c>
      <c r="Z13136" s="8" t="s">
        <v>41542</v>
      </c>
    </row>
    <row r="13137" spans="1:26" x14ac:dyDescent="0.2">
      <c r="A13137" s="8">
        <v>13136</v>
      </c>
      <c r="B13137" s="8" t="s">
        <v>55016</v>
      </c>
      <c r="C13137" s="8" t="s">
        <v>55016</v>
      </c>
      <c r="G13137" s="8">
        <v>20</v>
      </c>
      <c r="H13137" s="8" t="s">
        <v>21</v>
      </c>
      <c r="I13137" s="8" t="s">
        <v>22</v>
      </c>
      <c r="J13137" s="8" t="s">
        <v>22</v>
      </c>
      <c r="K13137" s="8" t="s">
        <v>218</v>
      </c>
      <c r="L13137" s="8" t="s">
        <v>24</v>
      </c>
      <c r="M13137" s="8" t="s">
        <v>25</v>
      </c>
      <c r="N13137" s="8" t="s">
        <v>55017</v>
      </c>
      <c r="O13137" s="8">
        <f>23+15/60+43.7/3600</f>
        <v>23.262138888888888</v>
      </c>
      <c r="P13137" s="8" t="s">
        <v>55018</v>
      </c>
      <c r="Q13137" s="8">
        <f>+(25+5/60+39/3600)</f>
        <v>25.094166666666666</v>
      </c>
      <c r="R13137" s="8">
        <v>14.6</v>
      </c>
      <c r="S13137" s="8">
        <v>15.4</v>
      </c>
      <c r="T13137" s="8">
        <v>0.8</v>
      </c>
      <c r="U13137" s="8">
        <v>13.8</v>
      </c>
      <c r="V13137" s="8">
        <v>0.9</v>
      </c>
      <c r="W13137" s="8">
        <v>0.6</v>
      </c>
      <c r="X13137" s="8">
        <v>25</v>
      </c>
      <c r="Y13137" s="8" t="s">
        <v>55019</v>
      </c>
      <c r="Z13137" s="8" t="s">
        <v>55020</v>
      </c>
    </row>
    <row r="13138" spans="1:26" x14ac:dyDescent="0.2">
      <c r="A13138" s="8">
        <v>13137</v>
      </c>
      <c r="B13138" s="8" t="s">
        <v>55021</v>
      </c>
      <c r="C13138" s="8" t="s">
        <v>55021</v>
      </c>
      <c r="G13138" s="8">
        <v>20</v>
      </c>
      <c r="H13138" s="8" t="s">
        <v>21</v>
      </c>
      <c r="I13138" s="8" t="s">
        <v>22</v>
      </c>
      <c r="J13138" s="8" t="s">
        <v>22</v>
      </c>
      <c r="K13138" s="8" t="s">
        <v>424</v>
      </c>
      <c r="L13138" s="8" t="s">
        <v>24</v>
      </c>
      <c r="M13138" s="8" t="s">
        <v>25</v>
      </c>
      <c r="N13138" s="8" t="s">
        <v>55022</v>
      </c>
      <c r="O13138" s="8">
        <f>23+15/60+58.4/3600</f>
        <v>23.266222222222222</v>
      </c>
      <c r="P13138" s="8" t="s">
        <v>55023</v>
      </c>
      <c r="Q13138" s="8">
        <f>+(25+1/60+33/3600)</f>
        <v>25.025833333333331</v>
      </c>
      <c r="R13138" s="8">
        <v>14.6</v>
      </c>
      <c r="S13138" s="8">
        <v>15.6</v>
      </c>
      <c r="T13138" s="8">
        <v>1</v>
      </c>
      <c r="U13138" s="8">
        <v>11.8</v>
      </c>
      <c r="V13138" s="8">
        <v>0.3</v>
      </c>
      <c r="W13138" s="8">
        <v>0.3</v>
      </c>
      <c r="Y13138" s="8" t="s">
        <v>43668</v>
      </c>
      <c r="Z13138" s="8" t="s">
        <v>43669</v>
      </c>
    </row>
    <row r="13139" spans="1:26" x14ac:dyDescent="0.2">
      <c r="A13139" s="8">
        <v>13138</v>
      </c>
      <c r="B13139" s="8" t="s">
        <v>55024</v>
      </c>
      <c r="C13139" s="8" t="s">
        <v>55024</v>
      </c>
      <c r="G13139" s="8">
        <v>20</v>
      </c>
      <c r="H13139" s="8" t="s">
        <v>21</v>
      </c>
      <c r="I13139" s="8" t="s">
        <v>22</v>
      </c>
      <c r="J13139" s="8" t="s">
        <v>22</v>
      </c>
      <c r="K13139" s="8" t="s">
        <v>476</v>
      </c>
      <c r="L13139" s="8" t="s">
        <v>24</v>
      </c>
      <c r="M13139" s="8" t="s">
        <v>25</v>
      </c>
      <c r="N13139" s="8" t="s">
        <v>55025</v>
      </c>
      <c r="O13139" s="8">
        <f>23+16/60+0.6/3600</f>
        <v>23.266833333333331</v>
      </c>
      <c r="P13139" s="8" t="s">
        <v>55026</v>
      </c>
      <c r="Q13139" s="8">
        <f>+(25+33/60+26/3600)</f>
        <v>25.557222222222222</v>
      </c>
      <c r="R13139" s="8">
        <v>14</v>
      </c>
      <c r="S13139" s="8">
        <v>14.9</v>
      </c>
      <c r="T13139" s="8">
        <v>0.9</v>
      </c>
      <c r="U13139" s="8">
        <v>12.9</v>
      </c>
      <c r="V13139" s="8">
        <v>0.7</v>
      </c>
      <c r="W13139" s="8">
        <v>0.6</v>
      </c>
      <c r="X13139" s="8">
        <v>108</v>
      </c>
      <c r="Y13139" s="8" t="s">
        <v>35151</v>
      </c>
      <c r="Z13139" s="8" t="s">
        <v>35152</v>
      </c>
    </row>
    <row r="13140" spans="1:26" x14ac:dyDescent="0.2">
      <c r="A13140" s="8">
        <v>13139</v>
      </c>
      <c r="B13140" s="8" t="s">
        <v>55027</v>
      </c>
      <c r="C13140" s="8" t="s">
        <v>55027</v>
      </c>
      <c r="G13140" s="8">
        <v>20</v>
      </c>
      <c r="H13140" s="8" t="s">
        <v>21</v>
      </c>
      <c r="I13140" s="8" t="s">
        <v>22</v>
      </c>
      <c r="J13140" s="8" t="s">
        <v>22</v>
      </c>
      <c r="K13140" s="8" t="s">
        <v>449</v>
      </c>
      <c r="L13140" s="8" t="s">
        <v>24</v>
      </c>
      <c r="M13140" s="8" t="s">
        <v>25</v>
      </c>
      <c r="N13140" s="8" t="s">
        <v>55028</v>
      </c>
      <c r="O13140" s="8">
        <f>23+16/60+19.1/3600</f>
        <v>23.271972222222221</v>
      </c>
      <c r="P13140" s="8" t="s">
        <v>55029</v>
      </c>
      <c r="Q13140" s="8">
        <f>+(20+51/60+21/3600)</f>
        <v>20.855833333333333</v>
      </c>
      <c r="R13140" s="8">
        <v>15</v>
      </c>
      <c r="S13140" s="8">
        <v>15.8</v>
      </c>
      <c r="T13140" s="8">
        <v>0.8</v>
      </c>
      <c r="U13140" s="8">
        <v>12.5</v>
      </c>
      <c r="V13140" s="8">
        <v>0.4</v>
      </c>
      <c r="W13140" s="8">
        <v>0.3</v>
      </c>
      <c r="X13140" s="8">
        <v>10</v>
      </c>
      <c r="Y13140" s="8" t="s">
        <v>55030</v>
      </c>
      <c r="Z13140" s="8" t="s">
        <v>55031</v>
      </c>
    </row>
    <row r="13141" spans="1:26" x14ac:dyDescent="0.2">
      <c r="A13141" s="8">
        <v>13140</v>
      </c>
      <c r="B13141" s="8" t="s">
        <v>55032</v>
      </c>
      <c r="C13141" s="8" t="s">
        <v>55032</v>
      </c>
      <c r="G13141" s="8">
        <v>20</v>
      </c>
      <c r="H13141" s="8" t="s">
        <v>21</v>
      </c>
      <c r="I13141" s="8" t="s">
        <v>22</v>
      </c>
      <c r="J13141" s="8" t="s">
        <v>22</v>
      </c>
      <c r="K13141" s="8" t="s">
        <v>37</v>
      </c>
      <c r="L13141" s="8" t="s">
        <v>24</v>
      </c>
      <c r="M13141" s="8" t="s">
        <v>25</v>
      </c>
      <c r="N13141" s="8" t="s">
        <v>55033</v>
      </c>
      <c r="O13141" s="8">
        <f>23+16/60+34.1/3600</f>
        <v>23.276138888888887</v>
      </c>
      <c r="P13141" s="8" t="s">
        <v>55034</v>
      </c>
      <c r="Q13141" s="8">
        <f>+(20+49/60+43/3600)</f>
        <v>20.828611111111112</v>
      </c>
      <c r="R13141" s="8">
        <v>14.9</v>
      </c>
      <c r="S13141" s="8">
        <v>15.7</v>
      </c>
      <c r="T13141" s="8">
        <v>0.8</v>
      </c>
      <c r="U13141" s="8">
        <v>12.7</v>
      </c>
      <c r="V13141" s="8">
        <v>0.5</v>
      </c>
      <c r="W13141" s="8">
        <v>0.3</v>
      </c>
      <c r="X13141" s="8">
        <v>130</v>
      </c>
      <c r="Y13141" s="8" t="s">
        <v>21</v>
      </c>
      <c r="Z13141" s="8" t="s">
        <v>55035</v>
      </c>
    </row>
    <row r="13142" spans="1:26" x14ac:dyDescent="0.2">
      <c r="A13142" s="8">
        <v>13141</v>
      </c>
      <c r="B13142" s="8" t="s">
        <v>55036</v>
      </c>
      <c r="C13142" s="8" t="s">
        <v>55036</v>
      </c>
      <c r="G13142" s="8">
        <v>20</v>
      </c>
      <c r="H13142" s="8" t="s">
        <v>21</v>
      </c>
      <c r="I13142" s="8" t="s">
        <v>22</v>
      </c>
      <c r="J13142" s="8" t="s">
        <v>22</v>
      </c>
      <c r="K13142" s="8" t="s">
        <v>160</v>
      </c>
      <c r="L13142" s="8" t="s">
        <v>30731</v>
      </c>
      <c r="M13142" s="8" t="s">
        <v>30732</v>
      </c>
      <c r="N13142" s="8" t="s">
        <v>55037</v>
      </c>
      <c r="O13142" s="8">
        <f>23+18/60+58.8/3600</f>
        <v>23.316333333333333</v>
      </c>
      <c r="P13142" s="8" t="s">
        <v>55038</v>
      </c>
      <c r="Q13142" s="8">
        <f>-(69+33/60+45/3600)</f>
        <v>-69.5625</v>
      </c>
      <c r="R13142" s="8">
        <v>14.6</v>
      </c>
      <c r="S13142" s="8">
        <v>15.5</v>
      </c>
      <c r="T13142" s="8">
        <v>0.9</v>
      </c>
      <c r="U13142" s="8">
        <v>14.2</v>
      </c>
      <c r="V13142" s="8">
        <v>1.4</v>
      </c>
      <c r="W13142" s="8">
        <v>0.6</v>
      </c>
      <c r="X13142" s="8">
        <v>87</v>
      </c>
      <c r="Y13142" s="8" t="s">
        <v>21</v>
      </c>
      <c r="Z13142" s="8" t="s">
        <v>55039</v>
      </c>
    </row>
    <row r="13143" spans="1:26" x14ac:dyDescent="0.2">
      <c r="A13143" s="8">
        <v>13142</v>
      </c>
      <c r="B13143" s="8" t="s">
        <v>55040</v>
      </c>
      <c r="C13143" s="8" t="s">
        <v>55040</v>
      </c>
      <c r="G13143" s="8">
        <v>20</v>
      </c>
      <c r="H13143" s="8" t="s">
        <v>21</v>
      </c>
      <c r="I13143" s="8" t="s">
        <v>22</v>
      </c>
      <c r="J13143" s="8" t="s">
        <v>22</v>
      </c>
      <c r="K13143" s="8" t="s">
        <v>224</v>
      </c>
      <c r="L13143" s="8" t="s">
        <v>310</v>
      </c>
      <c r="M13143" s="8" t="s">
        <v>311</v>
      </c>
      <c r="N13143" s="8" t="s">
        <v>55041</v>
      </c>
      <c r="O13143" s="8">
        <f>23+19/60+36.6/3600</f>
        <v>23.326833333333333</v>
      </c>
      <c r="P13143" s="8" t="s">
        <v>55042</v>
      </c>
      <c r="Q13143" s="8">
        <f>-(64+34/60+8/3600)</f>
        <v>-64.568888888888878</v>
      </c>
      <c r="R13143" s="8">
        <v>14</v>
      </c>
      <c r="S13143" s="8">
        <v>15</v>
      </c>
      <c r="T13143" s="8">
        <v>1</v>
      </c>
      <c r="U13143" s="8">
        <v>12.7</v>
      </c>
      <c r="V13143" s="8">
        <v>1.2</v>
      </c>
      <c r="W13143" s="8">
        <v>0.3</v>
      </c>
      <c r="X13143" s="8">
        <v>23</v>
      </c>
      <c r="Y13143" s="8" t="s">
        <v>55043</v>
      </c>
      <c r="Z13143" s="8" t="s">
        <v>55044</v>
      </c>
    </row>
    <row r="13144" spans="1:26" x14ac:dyDescent="0.2">
      <c r="A13144" s="8">
        <v>13143</v>
      </c>
      <c r="B13144" s="8" t="s">
        <v>55045</v>
      </c>
      <c r="C13144" s="8" t="s">
        <v>55045</v>
      </c>
      <c r="G13144" s="8">
        <v>20</v>
      </c>
      <c r="H13144" s="8" t="s">
        <v>21</v>
      </c>
      <c r="I13144" s="8" t="s">
        <v>72</v>
      </c>
      <c r="J13144" s="8" t="s">
        <v>72</v>
      </c>
      <c r="K13144" s="8" t="s">
        <v>73</v>
      </c>
      <c r="L13144" s="8" t="s">
        <v>38</v>
      </c>
      <c r="M13144" s="8" t="s">
        <v>39</v>
      </c>
      <c r="N13144" s="8" t="s">
        <v>55046</v>
      </c>
      <c r="O13144" s="8">
        <f>23+17/60+54.8/3600</f>
        <v>23.298555555555556</v>
      </c>
      <c r="P13144" s="8" t="s">
        <v>55047</v>
      </c>
      <c r="Q13144" s="8">
        <f>+(0+15/60+53/3600)</f>
        <v>0.26472222222222225</v>
      </c>
      <c r="R13144" s="8">
        <v>99</v>
      </c>
      <c r="S13144" s="8">
        <v>99</v>
      </c>
      <c r="T13144" s="8">
        <v>99</v>
      </c>
      <c r="U13144" s="8">
        <v>99</v>
      </c>
      <c r="Y13144" s="8" t="s">
        <v>21</v>
      </c>
      <c r="Z13144" s="8" t="s">
        <v>55048</v>
      </c>
    </row>
    <row r="13145" spans="1:26" x14ac:dyDescent="0.2">
      <c r="A13145" s="8">
        <v>13144</v>
      </c>
      <c r="B13145" s="8" t="s">
        <v>55049</v>
      </c>
      <c r="C13145" s="8" t="s">
        <v>55049</v>
      </c>
      <c r="G13145" s="8">
        <v>20</v>
      </c>
      <c r="H13145" s="8" t="s">
        <v>21</v>
      </c>
      <c r="I13145" s="8" t="s">
        <v>22</v>
      </c>
      <c r="J13145" s="8" t="s">
        <v>22</v>
      </c>
      <c r="K13145" s="8" t="s">
        <v>58</v>
      </c>
      <c r="L13145" s="8" t="s">
        <v>30854</v>
      </c>
      <c r="M13145" s="8" t="s">
        <v>30855</v>
      </c>
      <c r="N13145" s="8" t="s">
        <v>55050</v>
      </c>
      <c r="O13145" s="8">
        <f>23+18/60+52.5/3600</f>
        <v>23.314583333333335</v>
      </c>
      <c r="P13145" s="8" t="s">
        <v>55051</v>
      </c>
      <c r="Q13145" s="8">
        <f>-(10+15/60+32/3600)</f>
        <v>-10.258888888888889</v>
      </c>
      <c r="R13145" s="8">
        <v>13.4</v>
      </c>
      <c r="S13145" s="8">
        <v>14.4</v>
      </c>
      <c r="T13145" s="8">
        <v>1</v>
      </c>
      <c r="U13145" s="8">
        <v>13.7</v>
      </c>
      <c r="V13145" s="8">
        <v>1.4</v>
      </c>
      <c r="W13145" s="8">
        <v>0.9</v>
      </c>
      <c r="X13145" s="8">
        <v>12</v>
      </c>
      <c r="Y13145" s="8" t="s">
        <v>21</v>
      </c>
      <c r="Z13145" s="8" t="s">
        <v>55052</v>
      </c>
    </row>
    <row r="13146" spans="1:26" x14ac:dyDescent="0.2">
      <c r="A13146" s="8">
        <v>13145</v>
      </c>
      <c r="B13146" s="8" t="s">
        <v>55053</v>
      </c>
      <c r="C13146" s="8" t="s">
        <v>55053</v>
      </c>
      <c r="G13146" s="8">
        <v>20</v>
      </c>
      <c r="H13146" s="8" t="s">
        <v>21</v>
      </c>
      <c r="I13146" s="8" t="s">
        <v>22</v>
      </c>
      <c r="J13146" s="8" t="s">
        <v>22</v>
      </c>
      <c r="K13146" s="8" t="s">
        <v>449</v>
      </c>
      <c r="L13146" s="8" t="s">
        <v>24</v>
      </c>
      <c r="M13146" s="8" t="s">
        <v>25</v>
      </c>
      <c r="N13146" s="8" t="s">
        <v>55054</v>
      </c>
      <c r="O13146" s="8">
        <f>23+18/60+6.1/3600</f>
        <v>23.301694444444447</v>
      </c>
      <c r="P13146" s="8" t="s">
        <v>55055</v>
      </c>
      <c r="Q13146" s="8">
        <f>+(10+18/60+1/3600)</f>
        <v>10.300277777777778</v>
      </c>
      <c r="R13146" s="8">
        <v>14.5</v>
      </c>
      <c r="S13146" s="8">
        <v>15.3</v>
      </c>
      <c r="T13146" s="8">
        <v>0.8</v>
      </c>
      <c r="U13146" s="8">
        <v>12</v>
      </c>
      <c r="V13146" s="8">
        <v>0.4</v>
      </c>
      <c r="W13146" s="8">
        <v>0.3</v>
      </c>
      <c r="X13146" s="8">
        <v>141</v>
      </c>
      <c r="Y13146" s="8" t="s">
        <v>21</v>
      </c>
      <c r="Z13146" s="8" t="s">
        <v>55056</v>
      </c>
    </row>
    <row r="13147" spans="1:26" x14ac:dyDescent="0.2">
      <c r="A13147" s="8">
        <v>13146</v>
      </c>
      <c r="B13147" s="8" t="s">
        <v>55057</v>
      </c>
      <c r="C13147" s="8" t="s">
        <v>55057</v>
      </c>
      <c r="G13147" s="8">
        <v>20</v>
      </c>
      <c r="H13147" s="8" t="s">
        <v>21</v>
      </c>
      <c r="I13147" s="8" t="s">
        <v>22</v>
      </c>
      <c r="J13147" s="8" t="s">
        <v>22</v>
      </c>
      <c r="K13147" s="8" t="s">
        <v>23</v>
      </c>
      <c r="L13147" s="8" t="s">
        <v>24</v>
      </c>
      <c r="M13147" s="8" t="s">
        <v>25</v>
      </c>
      <c r="N13147" s="8" t="s">
        <v>55058</v>
      </c>
      <c r="O13147" s="8">
        <f>23+18/60+11.3/3600</f>
        <v>23.303138888888888</v>
      </c>
      <c r="P13147" s="8" t="s">
        <v>55059</v>
      </c>
      <c r="Q13147" s="8">
        <f>+(10+14/60+45/3600)</f>
        <v>10.245833333333332</v>
      </c>
      <c r="R13147" s="8">
        <v>14.8</v>
      </c>
      <c r="S13147" s="8">
        <v>15.6</v>
      </c>
      <c r="T13147" s="8">
        <v>0.8</v>
      </c>
      <c r="U13147" s="8">
        <v>13</v>
      </c>
      <c r="V13147" s="8">
        <v>0.7</v>
      </c>
      <c r="W13147" s="8">
        <v>0.3</v>
      </c>
      <c r="X13147" s="8">
        <v>80</v>
      </c>
      <c r="Y13147" s="8" t="s">
        <v>1511</v>
      </c>
      <c r="Z13147" s="8" t="s">
        <v>1512</v>
      </c>
    </row>
    <row r="13148" spans="1:26" x14ac:dyDescent="0.2">
      <c r="A13148" s="8">
        <v>13147</v>
      </c>
      <c r="B13148" s="8" t="s">
        <v>55060</v>
      </c>
      <c r="C13148" s="8" t="s">
        <v>55060</v>
      </c>
      <c r="G13148" s="8">
        <v>20</v>
      </c>
      <c r="H13148" s="8" t="s">
        <v>21</v>
      </c>
      <c r="I13148" s="8" t="s">
        <v>22</v>
      </c>
      <c r="J13148" s="8" t="s">
        <v>22</v>
      </c>
      <c r="K13148" s="8" t="s">
        <v>382</v>
      </c>
      <c r="L13148" s="8" t="s">
        <v>24</v>
      </c>
      <c r="M13148" s="8" t="s">
        <v>25</v>
      </c>
      <c r="N13148" s="8" t="s">
        <v>55061</v>
      </c>
      <c r="O13148" s="8">
        <f>23+18/60+21.9/3600</f>
        <v>23.306083333333333</v>
      </c>
      <c r="P13148" s="8" t="s">
        <v>55062</v>
      </c>
      <c r="Q13148" s="8">
        <f>+(10+14/60+11/3600)</f>
        <v>10.236388888888888</v>
      </c>
      <c r="R13148" s="8">
        <v>16.100000000000001</v>
      </c>
      <c r="S13148" s="8">
        <v>17.100000000000001</v>
      </c>
      <c r="T13148" s="8">
        <v>1</v>
      </c>
      <c r="U13148" s="8">
        <v>13.9</v>
      </c>
      <c r="V13148" s="8">
        <v>0.4</v>
      </c>
      <c r="W13148" s="8">
        <v>0.3</v>
      </c>
      <c r="X13148" s="8">
        <v>60</v>
      </c>
      <c r="Y13148" s="8" t="s">
        <v>282</v>
      </c>
      <c r="Z13148" s="8" t="s">
        <v>283</v>
      </c>
    </row>
    <row r="13149" spans="1:26" x14ac:dyDescent="0.2">
      <c r="A13149" s="8">
        <v>13148</v>
      </c>
      <c r="B13149" s="8" t="s">
        <v>55063</v>
      </c>
      <c r="C13149" s="8" t="s">
        <v>55063</v>
      </c>
      <c r="G13149" s="8">
        <v>20</v>
      </c>
      <c r="H13149" s="8" t="s">
        <v>21</v>
      </c>
      <c r="I13149" s="8" t="s">
        <v>22</v>
      </c>
      <c r="J13149" s="8" t="s">
        <v>57</v>
      </c>
      <c r="K13149" s="8" t="s">
        <v>64</v>
      </c>
      <c r="L13149" s="8" t="s">
        <v>31389</v>
      </c>
      <c r="M13149" s="8" t="s">
        <v>31390</v>
      </c>
      <c r="N13149" s="8" t="s">
        <v>33609</v>
      </c>
      <c r="O13149" s="8">
        <f>23+19/60+20.8/3600</f>
        <v>23.322444444444443</v>
      </c>
      <c r="P13149" s="8" t="s">
        <v>33610</v>
      </c>
      <c r="Q13149" s="8">
        <f>-(42+15/60+29/3600)</f>
        <v>-42.258055555555558</v>
      </c>
      <c r="R13149" s="8">
        <v>11.5</v>
      </c>
      <c r="S13149" s="8">
        <v>12.1</v>
      </c>
      <c r="T13149" s="8">
        <v>0.6</v>
      </c>
      <c r="U13149" s="8">
        <v>13.3</v>
      </c>
      <c r="V13149" s="8">
        <v>4.4000000000000004</v>
      </c>
      <c r="W13149" s="8">
        <v>1.4</v>
      </c>
      <c r="X13149" s="8">
        <v>57</v>
      </c>
      <c r="Y13149" s="8" t="s">
        <v>21</v>
      </c>
      <c r="Z13149" s="8" t="s">
        <v>55064</v>
      </c>
    </row>
    <row r="13150" spans="1:26" x14ac:dyDescent="0.2">
      <c r="A13150" s="8">
        <v>13149</v>
      </c>
      <c r="B13150" s="8" t="s">
        <v>55065</v>
      </c>
      <c r="C13150" s="8" t="s">
        <v>55065</v>
      </c>
      <c r="G13150" s="8">
        <v>20</v>
      </c>
      <c r="H13150" s="8" t="s">
        <v>21</v>
      </c>
      <c r="I13150" s="8" t="s">
        <v>22</v>
      </c>
      <c r="J13150" s="8" t="s">
        <v>22</v>
      </c>
      <c r="K13150" s="8" t="s">
        <v>23</v>
      </c>
      <c r="L13150" s="8" t="s">
        <v>38</v>
      </c>
      <c r="M13150" s="8" t="s">
        <v>39</v>
      </c>
      <c r="N13150" s="8" t="s">
        <v>55066</v>
      </c>
      <c r="O13150" s="8">
        <f>23+19/60+11.7/3600</f>
        <v>23.319916666666668</v>
      </c>
      <c r="P13150" s="8" t="s">
        <v>55067</v>
      </c>
      <c r="Q13150" s="8">
        <f>+(8+6/60+36/3600)</f>
        <v>8.11</v>
      </c>
      <c r="R13150" s="8">
        <v>13.7</v>
      </c>
      <c r="S13150" s="8">
        <v>14.5</v>
      </c>
      <c r="T13150" s="8">
        <v>0.8</v>
      </c>
      <c r="U13150" s="8">
        <v>13.4</v>
      </c>
      <c r="V13150" s="8">
        <v>1.4</v>
      </c>
      <c r="W13150" s="8">
        <v>0.6</v>
      </c>
      <c r="X13150" s="8">
        <v>23</v>
      </c>
      <c r="Y13150" s="8" t="s">
        <v>21</v>
      </c>
      <c r="Z13150" s="8" t="s">
        <v>55068</v>
      </c>
    </row>
    <row r="13151" spans="1:26" x14ac:dyDescent="0.2">
      <c r="A13151" s="8">
        <v>13150</v>
      </c>
      <c r="B13151" s="8" t="s">
        <v>55069</v>
      </c>
      <c r="C13151" s="8" t="s">
        <v>55069</v>
      </c>
      <c r="G13151" s="8">
        <v>20</v>
      </c>
      <c r="H13151" s="8" t="s">
        <v>21</v>
      </c>
      <c r="I13151" s="8" t="s">
        <v>22</v>
      </c>
      <c r="J13151" s="8" t="s">
        <v>22</v>
      </c>
      <c r="K13151" s="8" t="s">
        <v>460</v>
      </c>
      <c r="L13151" s="8" t="s">
        <v>30854</v>
      </c>
      <c r="M13151" s="8" t="s">
        <v>30855</v>
      </c>
      <c r="N13151" s="8" t="s">
        <v>55070</v>
      </c>
      <c r="O13151" s="8">
        <f>23+20/60+47.7/3600</f>
        <v>23.346583333333331</v>
      </c>
      <c r="P13151" s="8" t="s">
        <v>55071</v>
      </c>
      <c r="Q13151" s="8">
        <f>-(22+8/60+56/3600)</f>
        <v>-22.148888888888887</v>
      </c>
      <c r="R13151" s="8">
        <v>14.8</v>
      </c>
      <c r="S13151" s="8">
        <v>15.8</v>
      </c>
      <c r="T13151" s="8">
        <v>1</v>
      </c>
      <c r="U13151" s="8">
        <v>13.4</v>
      </c>
      <c r="V13151" s="8">
        <v>0.5</v>
      </c>
      <c r="W13151" s="8">
        <v>0.5</v>
      </c>
      <c r="Y13151" s="8" t="s">
        <v>21</v>
      </c>
      <c r="Z13151" s="8" t="s">
        <v>55072</v>
      </c>
    </row>
    <row r="13152" spans="1:26" x14ac:dyDescent="0.2">
      <c r="A13152" s="8">
        <v>13151</v>
      </c>
      <c r="B13152" s="8" t="s">
        <v>55073</v>
      </c>
      <c r="C13152" s="8" t="s">
        <v>55073</v>
      </c>
      <c r="G13152" s="8">
        <v>20</v>
      </c>
      <c r="H13152" s="8" t="s">
        <v>21</v>
      </c>
      <c r="I13152" s="8" t="s">
        <v>72</v>
      </c>
      <c r="J13152" s="8" t="s">
        <v>72</v>
      </c>
      <c r="K13152" s="8" t="s">
        <v>20</v>
      </c>
      <c r="L13152" s="8" t="s">
        <v>24</v>
      </c>
      <c r="M13152" s="8" t="s">
        <v>25</v>
      </c>
      <c r="N13152" s="8" t="s">
        <v>55074</v>
      </c>
      <c r="O13152" s="8">
        <f>23+20/60+33.8/3600</f>
        <v>23.342722222222221</v>
      </c>
      <c r="P13152" s="8" t="s">
        <v>55075</v>
      </c>
      <c r="Q13152" s="8">
        <f>+(17+15/60+55/3600)</f>
        <v>17.265277777777779</v>
      </c>
      <c r="R13152" s="8">
        <v>99</v>
      </c>
      <c r="S13152" s="8">
        <v>99</v>
      </c>
      <c r="T13152" s="8">
        <v>99</v>
      </c>
      <c r="U13152" s="8">
        <v>99</v>
      </c>
      <c r="Y13152" s="8" t="s">
        <v>21</v>
      </c>
      <c r="Z13152" s="8" t="s">
        <v>55076</v>
      </c>
    </row>
    <row r="13153" spans="1:26" x14ac:dyDescent="0.2">
      <c r="A13153" s="8">
        <v>13152</v>
      </c>
      <c r="B13153" s="8" t="s">
        <v>55077</v>
      </c>
      <c r="C13153" s="8" t="s">
        <v>55077</v>
      </c>
      <c r="G13153" s="8">
        <v>20</v>
      </c>
      <c r="H13153" s="8" t="s">
        <v>21</v>
      </c>
      <c r="I13153" s="8" t="s">
        <v>22</v>
      </c>
      <c r="J13153" s="8" t="s">
        <v>22</v>
      </c>
      <c r="K13153" s="8" t="s">
        <v>23</v>
      </c>
      <c r="L13153" s="8" t="s">
        <v>24</v>
      </c>
      <c r="M13153" s="8" t="s">
        <v>25</v>
      </c>
      <c r="N13153" s="8" t="s">
        <v>55078</v>
      </c>
      <c r="O13153" s="8">
        <f>23+20/60+58.2/3600</f>
        <v>23.349499999999999</v>
      </c>
      <c r="P13153" s="8" t="s">
        <v>55079</v>
      </c>
      <c r="Q13153" s="8">
        <f>+(19+19/60+7/3600)</f>
        <v>19.31861111111111</v>
      </c>
      <c r="R13153" s="8">
        <v>14.4</v>
      </c>
      <c r="S13153" s="8">
        <v>15.2</v>
      </c>
      <c r="T13153" s="8">
        <v>0.8</v>
      </c>
      <c r="U13153" s="8">
        <v>11.9</v>
      </c>
      <c r="V13153" s="8">
        <v>0.4</v>
      </c>
      <c r="W13153" s="8">
        <v>0.3</v>
      </c>
      <c r="X13153" s="8">
        <v>99</v>
      </c>
      <c r="Y13153" s="8" t="s">
        <v>37070</v>
      </c>
      <c r="Z13153" s="8" t="s">
        <v>37071</v>
      </c>
    </row>
    <row r="13154" spans="1:26" x14ac:dyDescent="0.2">
      <c r="A13154" s="8">
        <v>13153</v>
      </c>
      <c r="B13154" s="8" t="s">
        <v>55080</v>
      </c>
      <c r="C13154" s="8" t="s">
        <v>55080</v>
      </c>
      <c r="G13154" s="8">
        <v>20</v>
      </c>
      <c r="H13154" s="8" t="s">
        <v>21</v>
      </c>
      <c r="I13154" s="8" t="s">
        <v>22</v>
      </c>
      <c r="J13154" s="8" t="s">
        <v>57</v>
      </c>
      <c r="K13154" s="8" t="s">
        <v>224</v>
      </c>
      <c r="L13154" s="8" t="s">
        <v>31389</v>
      </c>
      <c r="M13154" s="8" t="s">
        <v>31390</v>
      </c>
      <c r="N13154" s="8" t="s">
        <v>33730</v>
      </c>
      <c r="O13154" s="8">
        <f>23+22/60+0.9/3600</f>
        <v>23.366916666666668</v>
      </c>
      <c r="P13154" s="8" t="s">
        <v>33731</v>
      </c>
      <c r="Q13154" s="8">
        <f>-(42+28/60+49/3600)</f>
        <v>-42.480277777777779</v>
      </c>
      <c r="R13154" s="8">
        <v>12.1</v>
      </c>
      <c r="S13154" s="8">
        <v>13</v>
      </c>
      <c r="T13154" s="8">
        <v>0.9</v>
      </c>
      <c r="U13154" s="8">
        <v>12.9</v>
      </c>
      <c r="V13154" s="8">
        <v>2.4</v>
      </c>
      <c r="W13154" s="8">
        <v>1.2</v>
      </c>
      <c r="X13154" s="8">
        <v>92</v>
      </c>
      <c r="Y13154" s="8" t="s">
        <v>55081</v>
      </c>
      <c r="Z13154" s="8" t="s">
        <v>55082</v>
      </c>
    </row>
    <row r="13155" spans="1:26" x14ac:dyDescent="0.2">
      <c r="A13155" s="8">
        <v>13154</v>
      </c>
      <c r="B13155" s="8" t="s">
        <v>55083</v>
      </c>
      <c r="C13155" s="8" t="s">
        <v>55083</v>
      </c>
      <c r="G13155" s="8">
        <v>20</v>
      </c>
      <c r="H13155" s="8" t="s">
        <v>21</v>
      </c>
      <c r="I13155" s="8" t="s">
        <v>22</v>
      </c>
      <c r="J13155" s="8" t="s">
        <v>22</v>
      </c>
      <c r="K13155" s="8" t="s">
        <v>424</v>
      </c>
      <c r="L13155" s="8" t="s">
        <v>24</v>
      </c>
      <c r="M13155" s="8" t="s">
        <v>25</v>
      </c>
      <c r="N13155" s="8" t="s">
        <v>55084</v>
      </c>
      <c r="O13155" s="8">
        <f>23+21/60+8.5/3600</f>
        <v>23.352361111111112</v>
      </c>
      <c r="P13155" s="8" t="s">
        <v>55085</v>
      </c>
      <c r="Q13155" s="8">
        <f>+(19+18/60+43/3600)</f>
        <v>19.311944444444446</v>
      </c>
      <c r="R13155" s="8">
        <v>14.7</v>
      </c>
      <c r="S13155" s="8">
        <v>15.7</v>
      </c>
      <c r="T13155" s="8">
        <v>1</v>
      </c>
      <c r="U13155" s="8">
        <v>13</v>
      </c>
      <c r="V13155" s="8">
        <v>0.5</v>
      </c>
      <c r="W13155" s="8">
        <v>0.5</v>
      </c>
      <c r="Y13155" s="8" t="s">
        <v>37070</v>
      </c>
      <c r="Z13155" s="8" t="s">
        <v>37071</v>
      </c>
    </row>
    <row r="13156" spans="1:26" x14ac:dyDescent="0.2">
      <c r="A13156" s="8">
        <v>13155</v>
      </c>
      <c r="B13156" s="8" t="s">
        <v>55086</v>
      </c>
      <c r="C13156" s="8" t="s">
        <v>55086</v>
      </c>
      <c r="G13156" s="8">
        <v>20</v>
      </c>
      <c r="H13156" s="8" t="s">
        <v>21</v>
      </c>
      <c r="I13156" s="8" t="s">
        <v>22</v>
      </c>
      <c r="J13156" s="8" t="s">
        <v>22</v>
      </c>
      <c r="K13156" s="8" t="s">
        <v>818</v>
      </c>
      <c r="L13156" s="8" t="s">
        <v>24</v>
      </c>
      <c r="M13156" s="8" t="s">
        <v>25</v>
      </c>
      <c r="N13156" s="8" t="s">
        <v>55087</v>
      </c>
      <c r="O13156" s="8">
        <f>23+21/60+18.2/3600</f>
        <v>23.355055555555555</v>
      </c>
      <c r="P13156" s="8" t="s">
        <v>55088</v>
      </c>
      <c r="Q13156" s="8">
        <f>+(25+23/60+9/3600)</f>
        <v>25.385833333333334</v>
      </c>
      <c r="R13156" s="8">
        <v>13.5</v>
      </c>
      <c r="S13156" s="8">
        <v>14.5</v>
      </c>
      <c r="T13156" s="8">
        <v>1</v>
      </c>
      <c r="U13156" s="8">
        <v>12.8</v>
      </c>
      <c r="V13156" s="8">
        <v>0.7</v>
      </c>
      <c r="W13156" s="8">
        <v>0.6</v>
      </c>
      <c r="X13156" s="8">
        <v>138</v>
      </c>
      <c r="Y13156" s="8" t="s">
        <v>21</v>
      </c>
      <c r="Z13156" s="8" t="s">
        <v>55089</v>
      </c>
    </row>
    <row r="13157" spans="1:26" x14ac:dyDescent="0.2">
      <c r="A13157" s="8">
        <v>13156</v>
      </c>
      <c r="B13157" s="8" t="s">
        <v>55090</v>
      </c>
      <c r="C13157" s="8" t="s">
        <v>55090</v>
      </c>
      <c r="G13157" s="8">
        <v>20</v>
      </c>
      <c r="H13157" s="8" t="s">
        <v>21</v>
      </c>
      <c r="I13157" s="8" t="s">
        <v>22</v>
      </c>
      <c r="J13157" s="8" t="s">
        <v>22</v>
      </c>
      <c r="K13157" s="8" t="s">
        <v>460</v>
      </c>
      <c r="L13157" s="8" t="s">
        <v>24</v>
      </c>
      <c r="M13157" s="8" t="s">
        <v>25</v>
      </c>
      <c r="N13157" s="8" t="s">
        <v>55091</v>
      </c>
      <c r="O13157" s="8">
        <f>23+21/60+54/3600</f>
        <v>23.365000000000002</v>
      </c>
      <c r="P13157" s="8" t="s">
        <v>55092</v>
      </c>
      <c r="Q13157" s="8">
        <f>+(21+12/60+11/3600)</f>
        <v>21.203055555555554</v>
      </c>
      <c r="R13157" s="8">
        <v>15.3</v>
      </c>
      <c r="S13157" s="8">
        <v>16.3</v>
      </c>
      <c r="T13157" s="8">
        <v>1</v>
      </c>
      <c r="U13157" s="8">
        <v>12.8</v>
      </c>
      <c r="V13157" s="8">
        <v>0.3</v>
      </c>
      <c r="W13157" s="8">
        <v>0.3</v>
      </c>
      <c r="Y13157" s="8" t="s">
        <v>55093</v>
      </c>
      <c r="Z13157" s="8" t="s">
        <v>55094</v>
      </c>
    </row>
    <row r="13158" spans="1:26" x14ac:dyDescent="0.2">
      <c r="A13158" s="8">
        <v>13157</v>
      </c>
      <c r="B13158" s="8" t="s">
        <v>55095</v>
      </c>
      <c r="C13158" s="8" t="s">
        <v>55095</v>
      </c>
      <c r="G13158" s="8">
        <v>20</v>
      </c>
      <c r="H13158" s="8" t="s">
        <v>21</v>
      </c>
      <c r="I13158" s="8" t="s">
        <v>22</v>
      </c>
      <c r="J13158" s="8" t="s">
        <v>22</v>
      </c>
      <c r="K13158" s="8" t="s">
        <v>37</v>
      </c>
      <c r="L13158" s="8" t="s">
        <v>24</v>
      </c>
      <c r="M13158" s="8" t="s">
        <v>25</v>
      </c>
      <c r="N13158" s="8" t="s">
        <v>55096</v>
      </c>
      <c r="O13158" s="8">
        <f>23+23/60+28.7/3600</f>
        <v>23.391305555555554</v>
      </c>
      <c r="P13158" s="8" t="s">
        <v>55097</v>
      </c>
      <c r="Q13158" s="8">
        <f>+(21+9/60+48/3600)</f>
        <v>21.16333333333333</v>
      </c>
      <c r="R13158" s="8">
        <v>14.1</v>
      </c>
      <c r="S13158" s="8">
        <v>15.1</v>
      </c>
      <c r="T13158" s="8">
        <v>1</v>
      </c>
      <c r="U13158" s="8">
        <v>13.6</v>
      </c>
      <c r="V13158" s="8">
        <v>1</v>
      </c>
      <c r="W13158" s="8">
        <v>0.7</v>
      </c>
      <c r="X13158" s="8">
        <v>21</v>
      </c>
      <c r="Y13158" s="8" t="s">
        <v>43937</v>
      </c>
      <c r="Z13158" s="8" t="s">
        <v>43938</v>
      </c>
    </row>
    <row r="13159" spans="1:26" x14ac:dyDescent="0.2">
      <c r="A13159" s="8">
        <v>13158</v>
      </c>
      <c r="B13159" s="8" t="s">
        <v>55098</v>
      </c>
      <c r="C13159" s="8" t="s">
        <v>55098</v>
      </c>
      <c r="G13159" s="8">
        <v>20</v>
      </c>
      <c r="H13159" s="8" t="s">
        <v>21</v>
      </c>
      <c r="I13159" s="8" t="s">
        <v>22</v>
      </c>
      <c r="J13159" s="8" t="s">
        <v>57</v>
      </c>
      <c r="K13159" s="8" t="s">
        <v>160</v>
      </c>
      <c r="L13159" s="8" t="s">
        <v>30854</v>
      </c>
      <c r="M13159" s="8" t="s">
        <v>30855</v>
      </c>
      <c r="N13159" s="8" t="s">
        <v>33785</v>
      </c>
      <c r="O13159" s="8">
        <f>23+24/60+6.9/3600</f>
        <v>23.401916666666665</v>
      </c>
      <c r="P13159" s="8" t="s">
        <v>33786</v>
      </c>
      <c r="Q13159" s="8">
        <f>-(11+51/60+37/3600)</f>
        <v>-11.860277777777778</v>
      </c>
      <c r="R13159" s="8">
        <v>13.3</v>
      </c>
      <c r="S13159" s="8">
        <v>14</v>
      </c>
      <c r="T13159" s="8">
        <v>0.7</v>
      </c>
      <c r="U13159" s="8">
        <v>12.6</v>
      </c>
      <c r="V13159" s="8">
        <v>0.9</v>
      </c>
      <c r="W13159" s="8">
        <v>0.6</v>
      </c>
      <c r="X13159" s="8">
        <v>135</v>
      </c>
      <c r="Y13159" s="8" t="s">
        <v>21</v>
      </c>
      <c r="Z13159" s="8" t="s">
        <v>55099</v>
      </c>
    </row>
    <row r="13160" spans="1:26" x14ac:dyDescent="0.2">
      <c r="A13160" s="8">
        <v>13159</v>
      </c>
      <c r="B13160" s="8" t="s">
        <v>55100</v>
      </c>
      <c r="C13160" s="8" t="s">
        <v>55100</v>
      </c>
      <c r="G13160" s="8">
        <v>20</v>
      </c>
      <c r="H13160" s="8" t="s">
        <v>21</v>
      </c>
      <c r="I13160" s="8" t="s">
        <v>22</v>
      </c>
      <c r="J13160" s="8" t="s">
        <v>22</v>
      </c>
      <c r="K13160" s="8" t="s">
        <v>460</v>
      </c>
      <c r="L13160" s="8" t="s">
        <v>24</v>
      </c>
      <c r="M13160" s="8" t="s">
        <v>25</v>
      </c>
      <c r="N13160" s="8" t="s">
        <v>55101</v>
      </c>
      <c r="O13160" s="8">
        <f>23+24/60+48.9/3600</f>
        <v>23.413583333333332</v>
      </c>
      <c r="P13160" s="8" t="s">
        <v>55102</v>
      </c>
      <c r="Q13160" s="8">
        <f>+(13+59/60+49/3600)</f>
        <v>13.996944444444443</v>
      </c>
      <c r="R13160" s="8">
        <v>15.1</v>
      </c>
      <c r="S13160" s="8">
        <v>16.100000000000001</v>
      </c>
      <c r="T13160" s="8">
        <v>1</v>
      </c>
      <c r="U13160" s="8">
        <v>12.6</v>
      </c>
      <c r="V13160" s="8">
        <v>0.3</v>
      </c>
      <c r="W13160" s="8">
        <v>0.3</v>
      </c>
      <c r="Y13160" s="8" t="s">
        <v>21</v>
      </c>
      <c r="Z13160" s="8" t="s">
        <v>55103</v>
      </c>
    </row>
    <row r="13161" spans="1:26" x14ac:dyDescent="0.2">
      <c r="A13161" s="8">
        <v>13160</v>
      </c>
      <c r="B13161" s="8" t="s">
        <v>55104</v>
      </c>
      <c r="C13161" s="8" t="s">
        <v>55104</v>
      </c>
      <c r="G13161" s="8">
        <v>20</v>
      </c>
      <c r="H13161" s="8" t="s">
        <v>21</v>
      </c>
      <c r="I13161" s="8" t="s">
        <v>22</v>
      </c>
      <c r="J13161" s="8" t="s">
        <v>22</v>
      </c>
      <c r="K13161" s="8" t="s">
        <v>37</v>
      </c>
      <c r="L13161" s="8" t="s">
        <v>310</v>
      </c>
      <c r="M13161" s="8" t="s">
        <v>311</v>
      </c>
      <c r="N13161" s="8" t="s">
        <v>55105</v>
      </c>
      <c r="O13161" s="8">
        <f>23+28/60+21.8/3600</f>
        <v>23.47272222222222</v>
      </c>
      <c r="P13161" s="8" t="s">
        <v>55106</v>
      </c>
      <c r="Q13161" s="8">
        <f>-(67+45/60+36/3600)</f>
        <v>-67.760000000000005</v>
      </c>
      <c r="R13161" s="8">
        <v>14.2</v>
      </c>
      <c r="S13161" s="8">
        <v>15.2</v>
      </c>
      <c r="T13161" s="8">
        <v>1</v>
      </c>
      <c r="U13161" s="8">
        <v>12.8</v>
      </c>
      <c r="V13161" s="8">
        <v>0.6</v>
      </c>
      <c r="W13161" s="8">
        <v>0.5</v>
      </c>
      <c r="X13161" s="8">
        <v>135</v>
      </c>
      <c r="Y13161" s="8" t="s">
        <v>46310</v>
      </c>
      <c r="Z13161" s="8" t="s">
        <v>46311</v>
      </c>
    </row>
    <row r="13162" spans="1:26" x14ac:dyDescent="0.2">
      <c r="A13162" s="8">
        <v>13161</v>
      </c>
      <c r="B13162" s="8" t="s">
        <v>55107</v>
      </c>
      <c r="C13162" s="8" t="s">
        <v>55107</v>
      </c>
      <c r="G13162" s="8">
        <v>20</v>
      </c>
      <c r="H13162" s="8" t="s">
        <v>21</v>
      </c>
      <c r="I13162" s="8" t="s">
        <v>22</v>
      </c>
      <c r="J13162" s="8" t="s">
        <v>22</v>
      </c>
      <c r="K13162" s="8" t="s">
        <v>91</v>
      </c>
      <c r="L13162" s="8" t="s">
        <v>30854</v>
      </c>
      <c r="M13162" s="8" t="s">
        <v>30855</v>
      </c>
      <c r="N13162" s="8" t="s">
        <v>55108</v>
      </c>
      <c r="O13162" s="8">
        <f>23+26/60+20/3600</f>
        <v>23.43888888888889</v>
      </c>
      <c r="P13162" s="8" t="s">
        <v>55109</v>
      </c>
      <c r="Q13162" s="8">
        <f>-(17+57/60+24/3600)</f>
        <v>-17.956666666666667</v>
      </c>
      <c r="R13162" s="8">
        <v>13</v>
      </c>
      <c r="S13162" s="8">
        <v>13.9</v>
      </c>
      <c r="T13162" s="8">
        <v>0.9</v>
      </c>
      <c r="U13162" s="8">
        <v>12.9</v>
      </c>
      <c r="V13162" s="8">
        <v>1.3</v>
      </c>
      <c r="W13162" s="8">
        <v>0.8</v>
      </c>
      <c r="X13162" s="8">
        <v>43</v>
      </c>
      <c r="Y13162" s="8" t="s">
        <v>55110</v>
      </c>
      <c r="Z13162" s="8" t="s">
        <v>55111</v>
      </c>
    </row>
    <row r="13163" spans="1:26" x14ac:dyDescent="0.2">
      <c r="A13163" s="8">
        <v>13162</v>
      </c>
      <c r="B13163" s="8" t="s">
        <v>55112</v>
      </c>
      <c r="C13163" s="8" t="s">
        <v>55112</v>
      </c>
      <c r="G13163" s="8">
        <v>20</v>
      </c>
      <c r="H13163" s="8" t="s">
        <v>21</v>
      </c>
      <c r="I13163" s="8" t="s">
        <v>22</v>
      </c>
      <c r="J13163" s="8" t="s">
        <v>22</v>
      </c>
      <c r="K13163" s="8" t="s">
        <v>37</v>
      </c>
      <c r="L13163" s="8" t="s">
        <v>310</v>
      </c>
      <c r="M13163" s="8" t="s">
        <v>311</v>
      </c>
      <c r="N13163" s="8" t="s">
        <v>55113</v>
      </c>
      <c r="O13163" s="8">
        <f>23+28/60+30.8/3600</f>
        <v>23.475222222222222</v>
      </c>
      <c r="P13163" s="8" t="s">
        <v>55114</v>
      </c>
      <c r="Q13163" s="8">
        <f>-(67+45/60+38/3600)</f>
        <v>-67.760555555555555</v>
      </c>
      <c r="R13163" s="8">
        <v>14.1</v>
      </c>
      <c r="S13163" s="8">
        <v>15.1</v>
      </c>
      <c r="T13163" s="8">
        <v>1</v>
      </c>
      <c r="U13163" s="8">
        <v>12.8</v>
      </c>
      <c r="V13163" s="8">
        <v>0.7</v>
      </c>
      <c r="W13163" s="8">
        <v>0.5</v>
      </c>
      <c r="X13163" s="8">
        <v>83</v>
      </c>
      <c r="Y13163" s="8" t="s">
        <v>46310</v>
      </c>
      <c r="Z13163" s="8" t="s">
        <v>46311</v>
      </c>
    </row>
    <row r="13164" spans="1:26" x14ac:dyDescent="0.2">
      <c r="A13164" s="8">
        <v>13163</v>
      </c>
      <c r="B13164" s="8" t="s">
        <v>55115</v>
      </c>
      <c r="C13164" s="8" t="s">
        <v>55115</v>
      </c>
      <c r="G13164" s="8">
        <v>20</v>
      </c>
      <c r="H13164" s="8" t="s">
        <v>21</v>
      </c>
      <c r="I13164" s="8" t="s">
        <v>22</v>
      </c>
      <c r="J13164" s="8" t="s">
        <v>22</v>
      </c>
      <c r="K13164" s="8" t="s">
        <v>435</v>
      </c>
      <c r="L13164" s="8" t="s">
        <v>310</v>
      </c>
      <c r="M13164" s="8" t="s">
        <v>311</v>
      </c>
      <c r="N13164" s="8" t="s">
        <v>55116</v>
      </c>
      <c r="O13164" s="8">
        <f>23+27/60+37.1/3600</f>
        <v>23.460305555555554</v>
      </c>
      <c r="P13164" s="8" t="s">
        <v>55117</v>
      </c>
      <c r="Q13164" s="8">
        <f>-(67+48/60+55/3600)</f>
        <v>-67.81527777777778</v>
      </c>
      <c r="R13164" s="8">
        <v>13</v>
      </c>
      <c r="S13164" s="8">
        <v>13.9</v>
      </c>
      <c r="T13164" s="8">
        <v>0.9</v>
      </c>
      <c r="U13164" s="8">
        <v>13.4</v>
      </c>
      <c r="V13164" s="8">
        <v>1.6</v>
      </c>
      <c r="W13164" s="8">
        <v>1.1000000000000001</v>
      </c>
      <c r="X13164" s="8">
        <v>160</v>
      </c>
      <c r="Y13164" s="8" t="s">
        <v>4430</v>
      </c>
      <c r="Z13164" s="8" t="s">
        <v>4431</v>
      </c>
    </row>
    <row r="13165" spans="1:26" x14ac:dyDescent="0.2">
      <c r="A13165" s="8">
        <v>13164</v>
      </c>
      <c r="B13165" s="8" t="s">
        <v>55118</v>
      </c>
      <c r="C13165" s="8" t="s">
        <v>55118</v>
      </c>
      <c r="G13165" s="8">
        <v>20</v>
      </c>
      <c r="H13165" s="8" t="s">
        <v>21</v>
      </c>
      <c r="I13165" s="8" t="s">
        <v>22</v>
      </c>
      <c r="J13165" s="8" t="s">
        <v>22</v>
      </c>
      <c r="K13165" s="8" t="s">
        <v>58</v>
      </c>
      <c r="L13165" s="8" t="s">
        <v>310</v>
      </c>
      <c r="M13165" s="8" t="s">
        <v>311</v>
      </c>
      <c r="N13165" s="8" t="s">
        <v>55119</v>
      </c>
      <c r="O13165" s="8">
        <f>23+28/60+17.6/3600</f>
        <v>23.471555555555554</v>
      </c>
      <c r="P13165" s="8" t="s">
        <v>55120</v>
      </c>
      <c r="Q13165" s="8">
        <f>-(67+49/60+16/3600)</f>
        <v>-67.821111111111108</v>
      </c>
      <c r="R13165" s="8">
        <v>13</v>
      </c>
      <c r="S13165" s="8">
        <v>14</v>
      </c>
      <c r="T13165" s="8">
        <v>1</v>
      </c>
      <c r="U13165" s="8">
        <v>13.2</v>
      </c>
      <c r="V13165" s="8">
        <v>1.1000000000000001</v>
      </c>
      <c r="W13165" s="8">
        <v>1</v>
      </c>
      <c r="X13165" s="8">
        <v>37</v>
      </c>
      <c r="Y13165" s="8" t="s">
        <v>4430</v>
      </c>
      <c r="Z13165" s="8" t="s">
        <v>4431</v>
      </c>
    </row>
    <row r="13166" spans="1:26" x14ac:dyDescent="0.2">
      <c r="A13166" s="8">
        <v>13165</v>
      </c>
      <c r="B13166" s="8" t="s">
        <v>55121</v>
      </c>
      <c r="C13166" s="8" t="s">
        <v>55121</v>
      </c>
      <c r="G13166" s="8">
        <v>13</v>
      </c>
      <c r="H13166" s="8" t="s">
        <v>21</v>
      </c>
      <c r="I13166" s="8" t="s">
        <v>22</v>
      </c>
      <c r="J13166" s="8" t="s">
        <v>22</v>
      </c>
      <c r="K13166" s="8" t="s">
        <v>85</v>
      </c>
      <c r="L13166" s="8" t="s">
        <v>166</v>
      </c>
      <c r="M13166" s="8" t="s">
        <v>167</v>
      </c>
      <c r="N13166" s="8" t="s">
        <v>55122</v>
      </c>
      <c r="O13166" s="8">
        <f>23+28/60+43.1/3600</f>
        <v>23.478638888888888</v>
      </c>
      <c r="P13166" s="8" t="s">
        <v>55123</v>
      </c>
      <c r="Q13166" s="8">
        <f>-(41+20/60+1/3600)</f>
        <v>-41.333611111111111</v>
      </c>
      <c r="R13166" s="8">
        <v>11.3</v>
      </c>
      <c r="S13166" s="8">
        <v>11.8</v>
      </c>
      <c r="T13166" s="8">
        <v>0.5</v>
      </c>
      <c r="U13166" s="8">
        <v>13.2</v>
      </c>
      <c r="V13166" s="8">
        <v>2.8</v>
      </c>
      <c r="W13166" s="8">
        <v>2.5</v>
      </c>
      <c r="X13166" s="8">
        <v>8</v>
      </c>
      <c r="Y13166" s="8" t="s">
        <v>55124</v>
      </c>
      <c r="Z13166" s="8" t="s">
        <v>55125</v>
      </c>
    </row>
    <row r="13167" spans="1:26" x14ac:dyDescent="0.2">
      <c r="A13167" s="8">
        <v>13166</v>
      </c>
      <c r="B13167" s="8" t="s">
        <v>55126</v>
      </c>
      <c r="C13167" s="8" t="s">
        <v>55126</v>
      </c>
      <c r="G13167" s="8">
        <v>20</v>
      </c>
      <c r="H13167" s="8" t="s">
        <v>21</v>
      </c>
      <c r="I13167" s="8" t="s">
        <v>22</v>
      </c>
      <c r="J13167" s="8" t="s">
        <v>22</v>
      </c>
      <c r="K13167" s="8" t="s">
        <v>396</v>
      </c>
      <c r="L13167" s="8" t="s">
        <v>65</v>
      </c>
      <c r="M13167" s="8" t="s">
        <v>66</v>
      </c>
      <c r="N13167" s="8" t="s">
        <v>55127</v>
      </c>
      <c r="O13167" s="8">
        <f>23+29/60+35.2/3600</f>
        <v>23.493111111111112</v>
      </c>
      <c r="P13167" s="8" t="s">
        <v>55128</v>
      </c>
      <c r="Q13167" s="8">
        <f>-(28+49/60+53/3600)</f>
        <v>-28.831388888888888</v>
      </c>
      <c r="R13167" s="8">
        <v>13.9</v>
      </c>
      <c r="S13167" s="8">
        <v>14.7</v>
      </c>
      <c r="T13167" s="8">
        <v>0.8</v>
      </c>
      <c r="U13167" s="8">
        <v>12.8</v>
      </c>
      <c r="V13167" s="8">
        <v>1</v>
      </c>
      <c r="W13167" s="8">
        <v>0.4</v>
      </c>
      <c r="X13167" s="8">
        <v>117</v>
      </c>
      <c r="Y13167" s="8" t="s">
        <v>55129</v>
      </c>
      <c r="Z13167" s="8" t="s">
        <v>55130</v>
      </c>
    </row>
    <row r="13168" spans="1:26" x14ac:dyDescent="0.2">
      <c r="A13168" s="8">
        <v>13167</v>
      </c>
      <c r="B13168" s="8" t="s">
        <v>55131</v>
      </c>
      <c r="C13168" s="8" t="s">
        <v>55131</v>
      </c>
      <c r="G13168" s="8">
        <v>20</v>
      </c>
      <c r="H13168" s="8" t="s">
        <v>21</v>
      </c>
      <c r="I13168" s="8" t="s">
        <v>22</v>
      </c>
      <c r="J13168" s="8" t="s">
        <v>22</v>
      </c>
      <c r="K13168" s="8" t="s">
        <v>23</v>
      </c>
      <c r="L13168" s="8" t="s">
        <v>30854</v>
      </c>
      <c r="M13168" s="8" t="s">
        <v>30855</v>
      </c>
      <c r="N13168" s="8" t="s">
        <v>40420</v>
      </c>
      <c r="O13168" s="8">
        <f>23+30/60+47.5/3600</f>
        <v>23.513194444444444</v>
      </c>
      <c r="P13168" s="8" t="s">
        <v>40421</v>
      </c>
      <c r="Q13168" s="8">
        <f>-(13+29/60+7/3600)</f>
        <v>-13.485277777777776</v>
      </c>
      <c r="R13168" s="8">
        <v>13.3</v>
      </c>
      <c r="S13168" s="8">
        <v>14.1</v>
      </c>
      <c r="T13168" s="8">
        <v>0.8</v>
      </c>
      <c r="U13168" s="8">
        <v>13.5</v>
      </c>
      <c r="V13168" s="8">
        <v>1.4</v>
      </c>
      <c r="W13168" s="8">
        <v>1</v>
      </c>
      <c r="X13168" s="8">
        <v>170</v>
      </c>
      <c r="Y13168" s="8" t="s">
        <v>21</v>
      </c>
      <c r="Z13168" s="8" t="s">
        <v>55132</v>
      </c>
    </row>
    <row r="13169" spans="1:26" x14ac:dyDescent="0.2">
      <c r="A13169" s="8">
        <v>13168</v>
      </c>
      <c r="B13169" s="8" t="s">
        <v>55133</v>
      </c>
      <c r="C13169" s="8" t="s">
        <v>55133</v>
      </c>
      <c r="G13169" s="8">
        <v>13</v>
      </c>
      <c r="H13169" s="8" t="s">
        <v>21</v>
      </c>
      <c r="I13169" s="8" t="s">
        <v>22</v>
      </c>
      <c r="J13169" s="8" t="s">
        <v>22</v>
      </c>
      <c r="K13169" s="8" t="s">
        <v>50</v>
      </c>
      <c r="L13169" s="8" t="s">
        <v>166</v>
      </c>
      <c r="M13169" s="8" t="s">
        <v>167</v>
      </c>
      <c r="N13169" s="8" t="s">
        <v>55134</v>
      </c>
      <c r="O13169" s="8">
        <f>23+33/60+16.3/3600</f>
        <v>23.554527777777778</v>
      </c>
      <c r="P13169" s="8" t="s">
        <v>55135</v>
      </c>
      <c r="Q13169" s="8">
        <f>-(45+0/60+56/3600)</f>
        <v>-45.015555555555558</v>
      </c>
      <c r="R13169" s="8">
        <v>11.4</v>
      </c>
      <c r="S13169" s="8">
        <v>12.3</v>
      </c>
      <c r="T13169" s="8">
        <v>0.9</v>
      </c>
      <c r="U13169" s="8">
        <v>12.9</v>
      </c>
      <c r="V13169" s="8">
        <v>2.4</v>
      </c>
      <c r="W13169" s="8">
        <v>1.5</v>
      </c>
      <c r="X13169" s="8">
        <v>40</v>
      </c>
      <c r="Y13169" s="8" t="s">
        <v>20537</v>
      </c>
      <c r="Z13169" s="8" t="s">
        <v>20538</v>
      </c>
    </row>
    <row r="13170" spans="1:26" x14ac:dyDescent="0.2">
      <c r="A13170" s="8">
        <v>13169</v>
      </c>
      <c r="B13170" s="8" t="s">
        <v>55136</v>
      </c>
      <c r="C13170" s="8" t="s">
        <v>55136</v>
      </c>
      <c r="G13170" s="8">
        <v>20</v>
      </c>
      <c r="H13170" s="8" t="s">
        <v>21</v>
      </c>
      <c r="I13170" s="8" t="s">
        <v>22</v>
      </c>
      <c r="J13170" s="8" t="s">
        <v>22</v>
      </c>
      <c r="K13170" s="8" t="s">
        <v>160</v>
      </c>
      <c r="L13170" s="8" t="s">
        <v>24</v>
      </c>
      <c r="M13170" s="8" t="s">
        <v>25</v>
      </c>
      <c r="N13170" s="8" t="s">
        <v>55137</v>
      </c>
      <c r="O13170" s="8">
        <f>23+33/60+9.7/3600</f>
        <v>23.552694444444445</v>
      </c>
      <c r="P13170" s="8" t="s">
        <v>55138</v>
      </c>
      <c r="Q13170" s="8">
        <f>+(21+14/60+13/3600)</f>
        <v>21.236944444444447</v>
      </c>
      <c r="R13170" s="8">
        <v>14.7</v>
      </c>
      <c r="S13170" s="8">
        <v>15.4</v>
      </c>
      <c r="T13170" s="8">
        <v>0.7</v>
      </c>
      <c r="U13170" s="8">
        <v>13.4</v>
      </c>
      <c r="V13170" s="8">
        <v>1.7</v>
      </c>
      <c r="W13170" s="8">
        <v>0.2</v>
      </c>
      <c r="X13170" s="8">
        <v>111</v>
      </c>
      <c r="Y13170" s="8" t="s">
        <v>21</v>
      </c>
      <c r="Z13170" s="8" t="s">
        <v>55139</v>
      </c>
    </row>
    <row r="13171" spans="1:26" x14ac:dyDescent="0.2">
      <c r="A13171" s="8">
        <v>13170</v>
      </c>
      <c r="B13171" s="8" t="s">
        <v>55140</v>
      </c>
      <c r="C13171" s="8" t="s">
        <v>55140</v>
      </c>
      <c r="G13171" s="8">
        <v>20</v>
      </c>
      <c r="H13171" s="8" t="s">
        <v>21</v>
      </c>
      <c r="I13171" s="8" t="s">
        <v>72</v>
      </c>
      <c r="J13171" s="8" t="s">
        <v>72</v>
      </c>
      <c r="K13171" s="8" t="s">
        <v>20</v>
      </c>
      <c r="L13171" s="8" t="s">
        <v>38</v>
      </c>
      <c r="M13171" s="8" t="s">
        <v>39</v>
      </c>
      <c r="N13171" s="8" t="s">
        <v>55141</v>
      </c>
      <c r="O13171" s="8">
        <f>23+33/60+26.5/3600</f>
        <v>23.557361111111113</v>
      </c>
      <c r="P13171" s="8" t="s">
        <v>55142</v>
      </c>
      <c r="Q13171" s="8">
        <f>-(2+53/60+0/3600)</f>
        <v>-2.8833333333333333</v>
      </c>
      <c r="R13171" s="8">
        <v>99</v>
      </c>
      <c r="S13171" s="8">
        <v>15.3</v>
      </c>
      <c r="T13171" s="8">
        <v>99</v>
      </c>
      <c r="U13171" s="8">
        <v>99</v>
      </c>
      <c r="Y13171" s="8" t="s">
        <v>55143</v>
      </c>
      <c r="Z13171" s="8" t="s">
        <v>55144</v>
      </c>
    </row>
    <row r="13172" spans="1:26" x14ac:dyDescent="0.2">
      <c r="A13172" s="8">
        <v>13171</v>
      </c>
      <c r="B13172" s="8" t="s">
        <v>55145</v>
      </c>
      <c r="C13172" s="8" t="s">
        <v>55145</v>
      </c>
      <c r="G13172" s="8">
        <v>20</v>
      </c>
      <c r="H13172" s="8" t="s">
        <v>21</v>
      </c>
      <c r="I13172" s="8" t="s">
        <v>22</v>
      </c>
      <c r="J13172" s="8" t="s">
        <v>22</v>
      </c>
      <c r="K13172" s="8" t="s">
        <v>31</v>
      </c>
      <c r="L13172" s="8" t="s">
        <v>24</v>
      </c>
      <c r="M13172" s="8" t="s">
        <v>25</v>
      </c>
      <c r="N13172" s="8" t="s">
        <v>55146</v>
      </c>
      <c r="O13172" s="8">
        <f>23+33/60+24.9/3600</f>
        <v>23.556916666666666</v>
      </c>
      <c r="P13172" s="8" t="s">
        <v>55147</v>
      </c>
      <c r="Q13172" s="8">
        <f>+(21+7/60+48/3600)</f>
        <v>21.13</v>
      </c>
      <c r="R13172" s="8">
        <v>14.1</v>
      </c>
      <c r="S13172" s="8">
        <v>14.9</v>
      </c>
      <c r="T13172" s="8">
        <v>0.8</v>
      </c>
      <c r="U13172" s="8">
        <v>12.8</v>
      </c>
      <c r="V13172" s="8">
        <v>1</v>
      </c>
      <c r="W13172" s="8">
        <v>0.3</v>
      </c>
      <c r="X13172" s="8">
        <v>18</v>
      </c>
      <c r="Y13172" s="8" t="s">
        <v>21</v>
      </c>
      <c r="Z13172" s="8" t="s">
        <v>55148</v>
      </c>
    </row>
    <row r="13173" spans="1:26" x14ac:dyDescent="0.2">
      <c r="A13173" s="8">
        <v>13172</v>
      </c>
      <c r="B13173" s="8" t="s">
        <v>55149</v>
      </c>
      <c r="C13173" s="8" t="s">
        <v>55149</v>
      </c>
      <c r="G13173" s="8">
        <v>10</v>
      </c>
      <c r="H13173" s="8" t="s">
        <v>21</v>
      </c>
      <c r="I13173" s="8" t="s">
        <v>22</v>
      </c>
      <c r="J13173" s="8" t="s">
        <v>22</v>
      </c>
      <c r="K13173" s="8" t="s">
        <v>1277</v>
      </c>
      <c r="L13173" s="8" t="s">
        <v>65</v>
      </c>
      <c r="M13173" s="8" t="s">
        <v>66</v>
      </c>
      <c r="N13173" s="8" t="s">
        <v>55150</v>
      </c>
      <c r="O13173" s="8">
        <f>23+34/60+27.4/3600</f>
        <v>23.574277777777777</v>
      </c>
      <c r="P13173" s="8" t="s">
        <v>55151</v>
      </c>
      <c r="Q13173" s="8">
        <f>-(36+6/60+5/3600)</f>
        <v>-36.101388888888891</v>
      </c>
      <c r="R13173" s="8">
        <v>10.5</v>
      </c>
      <c r="S13173" s="8">
        <v>11.2</v>
      </c>
      <c r="T13173" s="8">
        <v>0.7</v>
      </c>
      <c r="U13173" s="8">
        <v>15</v>
      </c>
      <c r="V13173" s="8">
        <v>8.9</v>
      </c>
      <c r="W13173" s="8">
        <v>8.1999999999999993</v>
      </c>
      <c r="X13173" s="8">
        <v>159</v>
      </c>
      <c r="Y13173" s="8" t="s">
        <v>21</v>
      </c>
      <c r="Z13173" s="8" t="s">
        <v>55152</v>
      </c>
    </row>
    <row r="13174" spans="1:26" x14ac:dyDescent="0.2">
      <c r="A13174" s="8">
        <v>13173</v>
      </c>
      <c r="B13174" s="8" t="s">
        <v>55153</v>
      </c>
      <c r="C13174" s="8" t="s">
        <v>55153</v>
      </c>
      <c r="G13174" s="8">
        <v>20</v>
      </c>
      <c r="H13174" s="8" t="s">
        <v>21</v>
      </c>
      <c r="I13174" s="8" t="s">
        <v>22</v>
      </c>
      <c r="J13174" s="8" t="s">
        <v>57</v>
      </c>
      <c r="K13174" s="8" t="s">
        <v>23</v>
      </c>
      <c r="L13174" s="8" t="s">
        <v>310</v>
      </c>
      <c r="M13174" s="8" t="s">
        <v>311</v>
      </c>
      <c r="N13174" s="8" t="s">
        <v>34002</v>
      </c>
      <c r="O13174" s="8">
        <f>23+34/60+52.3/3600</f>
        <v>23.581194444444446</v>
      </c>
      <c r="P13174" s="8" t="s">
        <v>34003</v>
      </c>
      <c r="Q13174" s="8">
        <f>-(65+23/60+46/3600)</f>
        <v>-65.396111111111111</v>
      </c>
      <c r="R13174" s="8">
        <v>13.5</v>
      </c>
      <c r="S13174" s="8">
        <v>14.3</v>
      </c>
      <c r="T13174" s="8">
        <v>0.8</v>
      </c>
      <c r="U13174" s="8">
        <v>12.6</v>
      </c>
      <c r="V13174" s="8">
        <v>1.6</v>
      </c>
      <c r="W13174" s="8">
        <v>0.3</v>
      </c>
      <c r="X13174" s="8">
        <v>87</v>
      </c>
      <c r="Y13174" s="8" t="s">
        <v>55154</v>
      </c>
      <c r="Z13174" s="8" t="s">
        <v>55155</v>
      </c>
    </row>
    <row r="13175" spans="1:26" x14ac:dyDescent="0.2">
      <c r="A13175" s="8">
        <v>13174</v>
      </c>
      <c r="B13175" s="8" t="s">
        <v>55156</v>
      </c>
      <c r="C13175" s="8" t="s">
        <v>55156</v>
      </c>
      <c r="G13175" s="8">
        <v>20</v>
      </c>
      <c r="H13175" s="8" t="s">
        <v>21</v>
      </c>
      <c r="I13175" s="8" t="s">
        <v>22</v>
      </c>
      <c r="J13175" s="8" t="s">
        <v>22</v>
      </c>
      <c r="K13175" s="8" t="s">
        <v>31</v>
      </c>
      <c r="L13175" s="8" t="s">
        <v>30854</v>
      </c>
      <c r="M13175" s="8" t="s">
        <v>30855</v>
      </c>
      <c r="N13175" s="8" t="s">
        <v>55157</v>
      </c>
      <c r="O13175" s="8">
        <f>23+34/60+36.4/3600</f>
        <v>23.576777777777778</v>
      </c>
      <c r="P13175" s="8" t="s">
        <v>55158</v>
      </c>
      <c r="Q13175" s="8">
        <f>-(4+32/60+2/3600)</f>
        <v>-4.5338888888888889</v>
      </c>
      <c r="R13175" s="8">
        <v>13.3</v>
      </c>
      <c r="S13175" s="8">
        <v>14.1</v>
      </c>
      <c r="T13175" s="8">
        <v>0.8</v>
      </c>
      <c r="U13175" s="8">
        <v>13.2</v>
      </c>
      <c r="V13175" s="8">
        <v>1.8</v>
      </c>
      <c r="W13175" s="8">
        <v>0.6</v>
      </c>
      <c r="X13175" s="8">
        <v>127</v>
      </c>
      <c r="Y13175" s="8" t="s">
        <v>21</v>
      </c>
      <c r="Z13175" s="8" t="s">
        <v>55159</v>
      </c>
    </row>
    <row r="13176" spans="1:26" x14ac:dyDescent="0.2">
      <c r="A13176" s="8">
        <v>13175</v>
      </c>
      <c r="B13176" s="8" t="s">
        <v>55160</v>
      </c>
      <c r="C13176" s="8" t="s">
        <v>55160</v>
      </c>
      <c r="G13176" s="8">
        <v>20</v>
      </c>
      <c r="H13176" s="8" t="s">
        <v>21</v>
      </c>
      <c r="I13176" s="8" t="s">
        <v>22</v>
      </c>
      <c r="J13176" s="8" t="s">
        <v>22</v>
      </c>
      <c r="K13176" s="8" t="s">
        <v>37</v>
      </c>
      <c r="L13176" s="8" t="s">
        <v>310</v>
      </c>
      <c r="M13176" s="8" t="s">
        <v>311</v>
      </c>
      <c r="N13176" s="8" t="s">
        <v>55161</v>
      </c>
      <c r="O13176" s="8">
        <f>23+35/60+47.2/3600</f>
        <v>23.596444444444444</v>
      </c>
      <c r="P13176" s="8" t="s">
        <v>55162</v>
      </c>
      <c r="Q13176" s="8">
        <f>-(67+23/60+47/3600)</f>
        <v>-67.396388888888893</v>
      </c>
      <c r="R13176" s="8">
        <v>14.1</v>
      </c>
      <c r="S13176" s="8">
        <v>15.1</v>
      </c>
      <c r="T13176" s="8">
        <v>1</v>
      </c>
      <c r="U13176" s="8">
        <v>13.3</v>
      </c>
      <c r="V13176" s="8">
        <v>1.1000000000000001</v>
      </c>
      <c r="W13176" s="8">
        <v>0.5</v>
      </c>
      <c r="X13176" s="8">
        <v>135</v>
      </c>
      <c r="Y13176" s="8" t="s">
        <v>55163</v>
      </c>
      <c r="Z13176" s="8" t="s">
        <v>55164</v>
      </c>
    </row>
    <row r="13177" spans="1:26" x14ac:dyDescent="0.2">
      <c r="A13177" s="8">
        <v>13176</v>
      </c>
      <c r="B13177" s="8" t="s">
        <v>55165</v>
      </c>
      <c r="C13177" s="8" t="s">
        <v>55165</v>
      </c>
      <c r="E13177" s="8">
        <v>1</v>
      </c>
      <c r="G13177" s="8">
        <v>20</v>
      </c>
      <c r="H13177" s="8" t="s">
        <v>21</v>
      </c>
      <c r="I13177" s="8" t="s">
        <v>22</v>
      </c>
      <c r="J13177" s="8" t="s">
        <v>22</v>
      </c>
      <c r="K13177" s="8" t="s">
        <v>476</v>
      </c>
      <c r="L13177" s="8" t="s">
        <v>24</v>
      </c>
      <c r="M13177" s="8" t="s">
        <v>25</v>
      </c>
      <c r="N13177" s="8" t="s">
        <v>55166</v>
      </c>
      <c r="O13177" s="8">
        <f>23+36/60+18.7/3600</f>
        <v>23.605194444444447</v>
      </c>
      <c r="P13177" s="8" t="s">
        <v>55167</v>
      </c>
      <c r="Q13177" s="8">
        <f>+(21+5/60+58/3600)</f>
        <v>21.099444444444444</v>
      </c>
      <c r="R13177" s="8">
        <v>15.2</v>
      </c>
      <c r="S13177" s="8">
        <v>16</v>
      </c>
      <c r="T13177" s="8">
        <v>0.8</v>
      </c>
      <c r="U13177" s="8">
        <v>12</v>
      </c>
      <c r="V13177" s="8">
        <v>0.3</v>
      </c>
      <c r="W13177" s="8">
        <v>0.2</v>
      </c>
      <c r="X13177" s="8">
        <v>45</v>
      </c>
      <c r="Y13177" s="8" t="s">
        <v>55168</v>
      </c>
      <c r="Z13177" s="8" t="s">
        <v>55169</v>
      </c>
    </row>
    <row r="13178" spans="1:26" x14ac:dyDescent="0.2">
      <c r="A13178" s="8">
        <v>13177</v>
      </c>
      <c r="B13178" s="8" t="s">
        <v>55170</v>
      </c>
      <c r="C13178" s="8" t="s">
        <v>55170</v>
      </c>
      <c r="G13178" s="8">
        <v>20</v>
      </c>
      <c r="H13178" s="8" t="s">
        <v>21</v>
      </c>
      <c r="I13178" s="8" t="s">
        <v>22</v>
      </c>
      <c r="J13178" s="8" t="s">
        <v>22</v>
      </c>
      <c r="K13178" s="8" t="s">
        <v>160</v>
      </c>
      <c r="L13178" s="8" t="s">
        <v>24</v>
      </c>
      <c r="M13178" s="8" t="s">
        <v>25</v>
      </c>
      <c r="N13178" s="8" t="s">
        <v>55171</v>
      </c>
      <c r="O13178" s="8">
        <f>23+36/60+25.1/3600</f>
        <v>23.606972222222225</v>
      </c>
      <c r="P13178" s="8" t="s">
        <v>55172</v>
      </c>
      <c r="Q13178" s="8">
        <f>+(21+9/60+1/3600)</f>
        <v>21.150277777777777</v>
      </c>
      <c r="R13178" s="8">
        <v>14.6</v>
      </c>
      <c r="S13178" s="8">
        <v>15.3</v>
      </c>
      <c r="T13178" s="8">
        <v>0.7</v>
      </c>
      <c r="U13178" s="8">
        <v>11.7</v>
      </c>
      <c r="V13178" s="8">
        <v>0.8</v>
      </c>
      <c r="W13178" s="8">
        <v>0.1</v>
      </c>
      <c r="X13178" s="8">
        <v>3</v>
      </c>
      <c r="Y13178" s="8" t="s">
        <v>12301</v>
      </c>
      <c r="Z13178" s="8" t="s">
        <v>12302</v>
      </c>
    </row>
    <row r="13179" spans="1:26" x14ac:dyDescent="0.2">
      <c r="A13179" s="8">
        <v>13178</v>
      </c>
      <c r="B13179" s="8" t="s">
        <v>55173</v>
      </c>
      <c r="C13179" s="8" t="s">
        <v>55173</v>
      </c>
      <c r="G13179" s="8">
        <v>20</v>
      </c>
      <c r="H13179" s="8" t="s">
        <v>21</v>
      </c>
      <c r="I13179" s="8" t="s">
        <v>22</v>
      </c>
      <c r="J13179" s="8" t="s">
        <v>22</v>
      </c>
      <c r="K13179" s="8" t="s">
        <v>382</v>
      </c>
      <c r="L13179" s="8" t="s">
        <v>24</v>
      </c>
      <c r="M13179" s="8" t="s">
        <v>25</v>
      </c>
      <c r="N13179" s="8" t="s">
        <v>55174</v>
      </c>
      <c r="O13179" s="8">
        <f>23+36/60+30.4/3600</f>
        <v>23.608444444444444</v>
      </c>
      <c r="P13179" s="8" t="s">
        <v>55175</v>
      </c>
      <c r="Q13179" s="8">
        <f>+(21+8/60+43/3600)</f>
        <v>21.145277777777778</v>
      </c>
      <c r="R13179" s="8">
        <v>13.7</v>
      </c>
      <c r="S13179" s="8">
        <v>15</v>
      </c>
      <c r="T13179" s="8">
        <v>1.3</v>
      </c>
      <c r="U13179" s="8">
        <v>13.1</v>
      </c>
      <c r="V13179" s="8">
        <v>1</v>
      </c>
      <c r="W13179" s="8">
        <v>0.7</v>
      </c>
      <c r="X13179" s="8">
        <v>30</v>
      </c>
      <c r="Y13179" s="8" t="s">
        <v>55176</v>
      </c>
      <c r="Z13179" s="8" t="s">
        <v>55177</v>
      </c>
    </row>
    <row r="13180" spans="1:26" x14ac:dyDescent="0.2">
      <c r="A13180" s="8">
        <v>13179</v>
      </c>
      <c r="B13180" s="8" t="s">
        <v>55178</v>
      </c>
      <c r="C13180" s="8" t="s">
        <v>55178</v>
      </c>
      <c r="G13180" s="8">
        <v>20</v>
      </c>
      <c r="H13180" s="8" t="s">
        <v>21</v>
      </c>
      <c r="I13180" s="8" t="s">
        <v>22</v>
      </c>
      <c r="J13180" s="8" t="s">
        <v>22</v>
      </c>
      <c r="K13180" s="8" t="s">
        <v>58</v>
      </c>
      <c r="L13180" s="8" t="s">
        <v>310</v>
      </c>
      <c r="M13180" s="8" t="s">
        <v>311</v>
      </c>
      <c r="N13180" s="8" t="s">
        <v>55179</v>
      </c>
      <c r="O13180" s="8">
        <f>23+38/60+5.3/3600</f>
        <v>23.634805555555555</v>
      </c>
      <c r="P13180" s="8" t="s">
        <v>55180</v>
      </c>
      <c r="Q13180" s="8">
        <f>-(68+26/60+30/3600)</f>
        <v>-68.441666666666677</v>
      </c>
      <c r="R13180" s="8">
        <v>13.5</v>
      </c>
      <c r="S13180" s="8">
        <v>14.5</v>
      </c>
      <c r="T13180" s="8">
        <v>1</v>
      </c>
      <c r="U13180" s="8">
        <v>13.3</v>
      </c>
      <c r="V13180" s="8">
        <v>1</v>
      </c>
      <c r="W13180" s="8">
        <v>0.9</v>
      </c>
      <c r="X13180" s="8">
        <v>114</v>
      </c>
      <c r="Y13180" s="8" t="s">
        <v>42159</v>
      </c>
      <c r="Z13180" s="8" t="s">
        <v>42160</v>
      </c>
    </row>
    <row r="13181" spans="1:26" x14ac:dyDescent="0.2">
      <c r="A13181" s="8">
        <v>13180</v>
      </c>
      <c r="B13181" s="8" t="s">
        <v>55181</v>
      </c>
      <c r="C13181" s="8" t="s">
        <v>55181</v>
      </c>
      <c r="G13181" s="8">
        <v>20</v>
      </c>
      <c r="H13181" s="8" t="s">
        <v>21</v>
      </c>
      <c r="I13181" s="8" t="s">
        <v>329</v>
      </c>
      <c r="J13181" s="8" t="s">
        <v>329</v>
      </c>
      <c r="K13181" s="8" t="s">
        <v>329</v>
      </c>
      <c r="L13181" s="8" t="s">
        <v>30854</v>
      </c>
      <c r="M13181" s="8" t="s">
        <v>30855</v>
      </c>
      <c r="N13181" s="8" t="s">
        <v>55182</v>
      </c>
      <c r="O13181" s="8">
        <f>23+38/60+32/3600</f>
        <v>23.642222222222223</v>
      </c>
      <c r="P13181" s="8" t="s">
        <v>55183</v>
      </c>
      <c r="Q13181" s="8">
        <f>-(4+51/60+18/3600)</f>
        <v>-4.8549999999999995</v>
      </c>
      <c r="R13181" s="8">
        <v>99</v>
      </c>
      <c r="S13181" s="8">
        <v>99</v>
      </c>
      <c r="T13181" s="8">
        <v>99</v>
      </c>
      <c r="U13181" s="8">
        <v>99</v>
      </c>
      <c r="Y13181" s="8" t="s">
        <v>21</v>
      </c>
      <c r="Z13181" s="8" t="s">
        <v>55184</v>
      </c>
    </row>
    <row r="13182" spans="1:26" x14ac:dyDescent="0.2">
      <c r="A13182" s="8">
        <v>13181</v>
      </c>
      <c r="B13182" s="8" t="s">
        <v>55185</v>
      </c>
      <c r="C13182" s="8" t="s">
        <v>55185</v>
      </c>
      <c r="G13182" s="8">
        <v>20</v>
      </c>
      <c r="H13182" s="8" t="s">
        <v>21</v>
      </c>
      <c r="I13182" s="8" t="s">
        <v>22</v>
      </c>
      <c r="J13182" s="8" t="s">
        <v>22</v>
      </c>
      <c r="K13182" s="8" t="s">
        <v>58</v>
      </c>
      <c r="L13182" s="8" t="s">
        <v>24</v>
      </c>
      <c r="M13182" s="8" t="s">
        <v>25</v>
      </c>
      <c r="N13182" s="8" t="s">
        <v>55186</v>
      </c>
      <c r="O13182" s="8">
        <f>23+38/60+26.7/3600</f>
        <v>23.640750000000001</v>
      </c>
      <c r="P13182" s="8" t="s">
        <v>55187</v>
      </c>
      <c r="Q13182" s="8">
        <f>+(26+59/60+8/3600)</f>
        <v>26.985555555555557</v>
      </c>
      <c r="R13182" s="8">
        <v>14.7</v>
      </c>
      <c r="S13182" s="8">
        <v>15.7</v>
      </c>
      <c r="T13182" s="8">
        <v>1</v>
      </c>
      <c r="U13182" s="8">
        <v>12.2</v>
      </c>
      <c r="V13182" s="8">
        <v>0.3</v>
      </c>
      <c r="W13182" s="8">
        <v>0.3</v>
      </c>
      <c r="Y13182" s="8" t="s">
        <v>21</v>
      </c>
      <c r="Z13182" s="8" t="s">
        <v>55188</v>
      </c>
    </row>
    <row r="13183" spans="1:26" x14ac:dyDescent="0.2">
      <c r="A13183" s="8">
        <v>13182</v>
      </c>
      <c r="B13183" s="8" t="s">
        <v>55189</v>
      </c>
      <c r="C13183" s="8" t="s">
        <v>55189</v>
      </c>
      <c r="G13183" s="8">
        <v>20</v>
      </c>
      <c r="H13183" s="8" t="s">
        <v>21</v>
      </c>
      <c r="I13183" s="8" t="s">
        <v>22</v>
      </c>
      <c r="J13183" s="8" t="s">
        <v>22</v>
      </c>
      <c r="K13183" s="8" t="s">
        <v>460</v>
      </c>
      <c r="L13183" s="8" t="s">
        <v>24</v>
      </c>
      <c r="M13183" s="8" t="s">
        <v>25</v>
      </c>
      <c r="N13183" s="8" t="s">
        <v>55190</v>
      </c>
      <c r="O13183" s="8">
        <f>23+38/60+38.7/3600</f>
        <v>23.644083333333334</v>
      </c>
      <c r="P13183" s="8" t="s">
        <v>55191</v>
      </c>
      <c r="Q13183" s="8">
        <f>+(27+0/60+43/3600)</f>
        <v>27.011944444444445</v>
      </c>
      <c r="R13183" s="8">
        <v>14.6</v>
      </c>
      <c r="S13183" s="8">
        <v>15.6</v>
      </c>
      <c r="T13183" s="8">
        <v>1</v>
      </c>
      <c r="U13183" s="8">
        <v>12.1</v>
      </c>
      <c r="V13183" s="8">
        <v>0.3</v>
      </c>
      <c r="W13183" s="8">
        <v>0.3</v>
      </c>
      <c r="Y13183" s="8" t="s">
        <v>55192</v>
      </c>
      <c r="Z13183" s="8" t="s">
        <v>55193</v>
      </c>
    </row>
    <row r="13184" spans="1:26" x14ac:dyDescent="0.2">
      <c r="A13184" s="8">
        <v>13183</v>
      </c>
      <c r="B13184" s="8" t="s">
        <v>55194</v>
      </c>
      <c r="C13184" s="8" t="s">
        <v>55194</v>
      </c>
      <c r="G13184" s="8">
        <v>20</v>
      </c>
      <c r="H13184" s="8" t="s">
        <v>21</v>
      </c>
      <c r="I13184" s="8" t="s">
        <v>22</v>
      </c>
      <c r="J13184" s="8" t="s">
        <v>22</v>
      </c>
      <c r="K13184" s="8" t="s">
        <v>4219</v>
      </c>
      <c r="L13184" s="8" t="s">
        <v>30854</v>
      </c>
      <c r="M13184" s="8" t="s">
        <v>30855</v>
      </c>
      <c r="N13184" s="8" t="s">
        <v>55195</v>
      </c>
      <c r="O13184" s="8">
        <f>23+39/60+22.4/3600</f>
        <v>23.656222222222222</v>
      </c>
      <c r="P13184" s="8" t="s">
        <v>55196</v>
      </c>
      <c r="Q13184" s="8">
        <f>-(22+29/60+50/3600)</f>
        <v>-22.497222222222224</v>
      </c>
      <c r="R13184" s="8">
        <v>13.6</v>
      </c>
      <c r="S13184" s="8">
        <v>14</v>
      </c>
      <c r="T13184" s="8">
        <v>0.4</v>
      </c>
      <c r="U13184" s="8">
        <v>12.7</v>
      </c>
      <c r="V13184" s="8">
        <v>0.8</v>
      </c>
      <c r="W13184" s="8">
        <v>0.6</v>
      </c>
      <c r="Y13184" s="8" t="s">
        <v>21</v>
      </c>
      <c r="Z13184" s="8" t="s">
        <v>55197</v>
      </c>
    </row>
    <row r="13185" spans="1:26" x14ac:dyDescent="0.2">
      <c r="A13185" s="8">
        <v>13184</v>
      </c>
      <c r="B13185" s="8" t="s">
        <v>55198</v>
      </c>
      <c r="C13185" s="8" t="s">
        <v>55198</v>
      </c>
      <c r="G13185" s="8">
        <v>20</v>
      </c>
      <c r="H13185" s="8" t="s">
        <v>21</v>
      </c>
      <c r="I13185" s="8" t="s">
        <v>329</v>
      </c>
      <c r="J13185" s="8" t="s">
        <v>329</v>
      </c>
      <c r="K13185" s="8" t="s">
        <v>329</v>
      </c>
      <c r="L13185" s="8" t="s">
        <v>30854</v>
      </c>
      <c r="M13185" s="8" t="s">
        <v>30855</v>
      </c>
      <c r="N13185" s="8" t="s">
        <v>55199</v>
      </c>
      <c r="O13185" s="8">
        <f>23+39/60+16/3600</f>
        <v>23.654444444444444</v>
      </c>
      <c r="P13185" s="8" t="s">
        <v>55200</v>
      </c>
      <c r="Q13185" s="8">
        <f>-(4+58/60+0/3600)</f>
        <v>-4.9666666666666668</v>
      </c>
      <c r="R13185" s="8">
        <v>99</v>
      </c>
      <c r="S13185" s="8">
        <v>99</v>
      </c>
      <c r="T13185" s="8">
        <v>99</v>
      </c>
      <c r="U13185" s="8">
        <v>99</v>
      </c>
      <c r="Y13185" s="8" t="s">
        <v>55201</v>
      </c>
      <c r="Z13185" s="8" t="s">
        <v>55202</v>
      </c>
    </row>
    <row r="13186" spans="1:26" x14ac:dyDescent="0.2">
      <c r="A13186" s="8">
        <v>13185</v>
      </c>
      <c r="B13186" s="8" t="s">
        <v>55203</v>
      </c>
      <c r="C13186" s="8" t="s">
        <v>55203</v>
      </c>
      <c r="G13186" s="8">
        <v>20</v>
      </c>
      <c r="H13186" s="8" t="s">
        <v>21</v>
      </c>
      <c r="I13186" s="8" t="s">
        <v>22</v>
      </c>
      <c r="J13186" s="8" t="s">
        <v>22</v>
      </c>
      <c r="K13186" s="8" t="s">
        <v>396</v>
      </c>
      <c r="L13186" s="8" t="s">
        <v>30854</v>
      </c>
      <c r="M13186" s="8" t="s">
        <v>30855</v>
      </c>
      <c r="N13186" s="8" t="s">
        <v>55204</v>
      </c>
      <c r="O13186" s="8">
        <f>23+39/60+32.3/3600</f>
        <v>23.658972222222221</v>
      </c>
      <c r="P13186" s="8" t="s">
        <v>55205</v>
      </c>
      <c r="Q13186" s="8">
        <f>-(22+24/60+48/3600)</f>
        <v>-22.41333333333333</v>
      </c>
      <c r="R13186" s="8">
        <v>13.7</v>
      </c>
      <c r="S13186" s="8">
        <v>14.5</v>
      </c>
      <c r="T13186" s="8">
        <v>0.8</v>
      </c>
      <c r="U13186" s="8">
        <v>12.8</v>
      </c>
      <c r="V13186" s="8">
        <v>0.8</v>
      </c>
      <c r="W13186" s="8">
        <v>0.6</v>
      </c>
      <c r="X13186" s="8">
        <v>153</v>
      </c>
      <c r="Y13186" s="8" t="s">
        <v>21</v>
      </c>
      <c r="Z13186" s="8" t="s">
        <v>55206</v>
      </c>
    </row>
    <row r="13187" spans="1:26" x14ac:dyDescent="0.2">
      <c r="A13187" s="8">
        <v>13186</v>
      </c>
      <c r="B13187" s="8" t="s">
        <v>55207</v>
      </c>
      <c r="C13187" s="8" t="s">
        <v>55207</v>
      </c>
      <c r="G13187" s="8">
        <v>20</v>
      </c>
      <c r="H13187" s="8" t="s">
        <v>21</v>
      </c>
      <c r="I13187" s="8" t="s">
        <v>22</v>
      </c>
      <c r="J13187" s="8" t="s">
        <v>22</v>
      </c>
      <c r="K13187" s="8" t="s">
        <v>382</v>
      </c>
      <c r="L13187" s="8" t="s">
        <v>24</v>
      </c>
      <c r="M13187" s="8" t="s">
        <v>25</v>
      </c>
      <c r="N13187" s="8" t="s">
        <v>55208</v>
      </c>
      <c r="O13187" s="8">
        <f>23+41/60+6.3/3600</f>
        <v>23.685083333333335</v>
      </c>
      <c r="P13187" s="8" t="s">
        <v>55209</v>
      </c>
      <c r="Q13187" s="8">
        <f>+(24+57/60+1/3600)</f>
        <v>24.950277777777778</v>
      </c>
      <c r="R13187" s="8">
        <v>14.5</v>
      </c>
      <c r="S13187" s="8">
        <v>15.5</v>
      </c>
      <c r="T13187" s="8">
        <v>1</v>
      </c>
      <c r="U13187" s="8">
        <v>12.3</v>
      </c>
      <c r="V13187" s="8">
        <v>0.4</v>
      </c>
      <c r="W13187" s="8">
        <v>0.3</v>
      </c>
      <c r="X13187" s="8">
        <v>90</v>
      </c>
      <c r="Y13187" s="8" t="s">
        <v>21671</v>
      </c>
      <c r="Z13187" s="8" t="s">
        <v>21672</v>
      </c>
    </row>
    <row r="13188" spans="1:26" x14ac:dyDescent="0.2">
      <c r="A13188" s="8">
        <v>13187</v>
      </c>
      <c r="B13188" s="8" t="s">
        <v>55210</v>
      </c>
      <c r="C13188" s="8" t="s">
        <v>55210</v>
      </c>
      <c r="G13188" s="8">
        <v>20</v>
      </c>
      <c r="H13188" s="8" t="s">
        <v>21</v>
      </c>
      <c r="I13188" s="8" t="s">
        <v>22</v>
      </c>
      <c r="J13188" s="8" t="s">
        <v>22</v>
      </c>
      <c r="K13188" s="8" t="s">
        <v>382</v>
      </c>
      <c r="L13188" s="8" t="s">
        <v>24</v>
      </c>
      <c r="M13188" s="8" t="s">
        <v>25</v>
      </c>
      <c r="N13188" s="8" t="s">
        <v>55211</v>
      </c>
      <c r="O13188" s="8">
        <f>23+41/60+36.6/3600</f>
        <v>23.6935</v>
      </c>
      <c r="P13188" s="8" t="s">
        <v>55212</v>
      </c>
      <c r="Q13188" s="8">
        <f>+(24+53/60+11/3600)</f>
        <v>24.886388888888888</v>
      </c>
      <c r="R13188" s="8">
        <v>14.5</v>
      </c>
      <c r="S13188" s="8">
        <v>15.5</v>
      </c>
      <c r="T13188" s="8">
        <v>1</v>
      </c>
      <c r="U13188" s="8">
        <v>11.5</v>
      </c>
      <c r="V13188" s="8">
        <v>0.3</v>
      </c>
      <c r="W13188" s="8">
        <v>0.2</v>
      </c>
      <c r="X13188" s="8">
        <v>135</v>
      </c>
      <c r="Y13188" s="8" t="s">
        <v>55213</v>
      </c>
      <c r="Z13188" s="8" t="s">
        <v>55214</v>
      </c>
    </row>
    <row r="13189" spans="1:26" x14ac:dyDescent="0.2">
      <c r="A13189" s="8">
        <v>13188</v>
      </c>
      <c r="B13189" s="8" t="s">
        <v>55215</v>
      </c>
      <c r="C13189" s="8" t="s">
        <v>55215</v>
      </c>
      <c r="G13189" s="8">
        <v>20</v>
      </c>
      <c r="H13189" s="8" t="s">
        <v>21</v>
      </c>
      <c r="I13189" s="8" t="s">
        <v>22</v>
      </c>
      <c r="J13189" s="8" t="s">
        <v>57</v>
      </c>
      <c r="K13189" s="8" t="s">
        <v>118</v>
      </c>
      <c r="L13189" s="8" t="s">
        <v>166</v>
      </c>
      <c r="M13189" s="8" t="s">
        <v>167</v>
      </c>
      <c r="N13189" s="8" t="s">
        <v>34202</v>
      </c>
      <c r="O13189" s="8">
        <f>23+44/60+59.2/3600</f>
        <v>23.74977777777778</v>
      </c>
      <c r="P13189" s="8" t="s">
        <v>34203</v>
      </c>
      <c r="Q13189" s="8">
        <f>-(42+54/60+36/3600)</f>
        <v>-42.91</v>
      </c>
      <c r="R13189" s="8">
        <v>11.9</v>
      </c>
      <c r="S13189" s="8">
        <v>12.9</v>
      </c>
      <c r="T13189" s="8">
        <v>1</v>
      </c>
      <c r="U13189" s="8">
        <v>13.2</v>
      </c>
      <c r="V13189" s="8">
        <v>2.2000000000000002</v>
      </c>
      <c r="W13189" s="8">
        <v>1.8</v>
      </c>
      <c r="X13189" s="8">
        <v>105</v>
      </c>
      <c r="Y13189" s="8" t="s">
        <v>1829</v>
      </c>
      <c r="Z13189" s="8" t="s">
        <v>1830</v>
      </c>
    </row>
    <row r="13190" spans="1:26" x14ac:dyDescent="0.2">
      <c r="A13190" s="8">
        <v>13189</v>
      </c>
      <c r="B13190" s="8" t="s">
        <v>55216</v>
      </c>
      <c r="C13190" s="8" t="s">
        <v>55216</v>
      </c>
      <c r="G13190" s="8">
        <v>20</v>
      </c>
      <c r="H13190" s="8" t="s">
        <v>21</v>
      </c>
      <c r="I13190" s="8" t="s">
        <v>22</v>
      </c>
      <c r="J13190" s="8" t="s">
        <v>22</v>
      </c>
      <c r="K13190" s="8" t="s">
        <v>37</v>
      </c>
      <c r="L13190" s="8" t="s">
        <v>65</v>
      </c>
      <c r="M13190" s="8" t="s">
        <v>66</v>
      </c>
      <c r="N13190" s="8" t="s">
        <v>55217</v>
      </c>
      <c r="O13190" s="8">
        <f>23+46/60+22.8/3600</f>
        <v>23.773</v>
      </c>
      <c r="P13190" s="8" t="s">
        <v>55218</v>
      </c>
      <c r="Q13190" s="8">
        <f>-(28+0/60+18/3600)</f>
        <v>-28.004999999999999</v>
      </c>
      <c r="R13190" s="8">
        <v>14.2</v>
      </c>
      <c r="S13190" s="8">
        <v>15.2</v>
      </c>
      <c r="T13190" s="8">
        <v>1</v>
      </c>
      <c r="U13190" s="8">
        <v>12.2</v>
      </c>
      <c r="V13190" s="8">
        <v>0.9</v>
      </c>
      <c r="W13190" s="8">
        <v>0.2</v>
      </c>
      <c r="X13190" s="8">
        <v>20</v>
      </c>
      <c r="Y13190" s="8" t="s">
        <v>21</v>
      </c>
      <c r="Z13190" s="8" t="s">
        <v>55219</v>
      </c>
    </row>
    <row r="13191" spans="1:26" x14ac:dyDescent="0.2">
      <c r="A13191" s="8">
        <v>13190</v>
      </c>
      <c r="B13191" s="8" t="s">
        <v>55220</v>
      </c>
      <c r="C13191" s="8" t="s">
        <v>55220</v>
      </c>
      <c r="G13191" s="8">
        <v>20</v>
      </c>
      <c r="H13191" s="8" t="s">
        <v>21</v>
      </c>
      <c r="I13191" s="8" t="s">
        <v>22</v>
      </c>
      <c r="J13191" s="8" t="s">
        <v>22</v>
      </c>
      <c r="K13191" s="8" t="s">
        <v>58</v>
      </c>
      <c r="L13191" s="8" t="s">
        <v>65</v>
      </c>
      <c r="M13191" s="8" t="s">
        <v>66</v>
      </c>
      <c r="N13191" s="8" t="s">
        <v>55221</v>
      </c>
      <c r="O13191" s="8">
        <f>23+47/60+14.7/3600</f>
        <v>23.787416666666669</v>
      </c>
      <c r="P13191" s="8" t="s">
        <v>55222</v>
      </c>
      <c r="Q13191" s="8">
        <f>-(27+57/60+29/3600)</f>
        <v>-27.958055555555553</v>
      </c>
      <c r="R13191" s="8">
        <v>13.5</v>
      </c>
      <c r="S13191" s="8">
        <v>14.4</v>
      </c>
      <c r="T13191" s="8">
        <v>0.9</v>
      </c>
      <c r="U13191" s="8">
        <v>12.6</v>
      </c>
      <c r="V13191" s="8">
        <v>0.9</v>
      </c>
      <c r="W13191" s="8">
        <v>0.9</v>
      </c>
      <c r="Y13191" s="8" t="s">
        <v>21</v>
      </c>
      <c r="Z13191" s="8" t="s">
        <v>55223</v>
      </c>
    </row>
    <row r="13192" spans="1:26" x14ac:dyDescent="0.2">
      <c r="A13192" s="8">
        <v>13191</v>
      </c>
      <c r="B13192" s="8" t="s">
        <v>55224</v>
      </c>
      <c r="C13192" s="8" t="s">
        <v>55224</v>
      </c>
      <c r="G13192" s="8">
        <v>20</v>
      </c>
      <c r="H13192" s="8" t="s">
        <v>21</v>
      </c>
      <c r="I13192" s="8" t="s">
        <v>22</v>
      </c>
      <c r="J13192" s="8" t="s">
        <v>22</v>
      </c>
      <c r="K13192" s="8" t="s">
        <v>58</v>
      </c>
      <c r="L13192" s="8" t="s">
        <v>38</v>
      </c>
      <c r="M13192" s="8" t="s">
        <v>39</v>
      </c>
      <c r="N13192" s="8" t="s">
        <v>55225</v>
      </c>
      <c r="O13192" s="8">
        <f>23+47/60+18.9/3600</f>
        <v>23.788583333333335</v>
      </c>
      <c r="P13192" s="8" t="s">
        <v>55226</v>
      </c>
      <c r="Q13192" s="8">
        <f>-(2+18/60+50/3600)</f>
        <v>-2.3138888888888887</v>
      </c>
      <c r="R13192" s="8">
        <v>13.6</v>
      </c>
      <c r="S13192" s="8">
        <v>14.7</v>
      </c>
      <c r="T13192" s="8">
        <v>1.1000000000000001</v>
      </c>
      <c r="U13192" s="8">
        <v>12</v>
      </c>
      <c r="V13192" s="8">
        <v>0.5</v>
      </c>
      <c r="W13192" s="8">
        <v>0.4</v>
      </c>
      <c r="X13192" s="8">
        <v>177</v>
      </c>
      <c r="Y13192" s="8" t="s">
        <v>21</v>
      </c>
      <c r="Z13192" s="8" t="s">
        <v>55227</v>
      </c>
    </row>
    <row r="13193" spans="1:26" x14ac:dyDescent="0.2">
      <c r="A13193" s="8">
        <v>13192</v>
      </c>
      <c r="B13193" s="8" t="s">
        <v>55228</v>
      </c>
      <c r="C13193" s="8" t="s">
        <v>55228</v>
      </c>
      <c r="G13193" s="8">
        <v>20</v>
      </c>
      <c r="H13193" s="8" t="s">
        <v>21</v>
      </c>
      <c r="I13193" s="8" t="s">
        <v>22</v>
      </c>
      <c r="J13193" s="8" t="s">
        <v>22</v>
      </c>
      <c r="K13193" s="8" t="s">
        <v>460</v>
      </c>
      <c r="L13193" s="8" t="s">
        <v>38</v>
      </c>
      <c r="M13193" s="8" t="s">
        <v>39</v>
      </c>
      <c r="N13193" s="8" t="s">
        <v>55229</v>
      </c>
      <c r="O13193" s="8">
        <f>23+47/60+19.8/3600</f>
        <v>23.788833333333336</v>
      </c>
      <c r="P13193" s="8" t="s">
        <v>55230</v>
      </c>
      <c r="Q13193" s="8">
        <f>-(2+16/60+52/3600)</f>
        <v>-2.2811111111111111</v>
      </c>
      <c r="R13193" s="8">
        <v>15.6</v>
      </c>
      <c r="S13193" s="8">
        <v>16.600000000000001</v>
      </c>
      <c r="T13193" s="8">
        <v>1</v>
      </c>
      <c r="U13193" s="8">
        <v>13.1</v>
      </c>
      <c r="V13193" s="8">
        <v>0.3</v>
      </c>
      <c r="W13193" s="8">
        <v>0.3</v>
      </c>
      <c r="Y13193" s="8" t="s">
        <v>21639</v>
      </c>
      <c r="Z13193" s="8" t="s">
        <v>21640</v>
      </c>
    </row>
    <row r="13194" spans="1:26" x14ac:dyDescent="0.2">
      <c r="A13194" s="8">
        <v>13193</v>
      </c>
      <c r="B13194" s="8" t="s">
        <v>55231</v>
      </c>
      <c r="C13194" s="8" t="s">
        <v>55231</v>
      </c>
      <c r="G13194" s="8">
        <v>20</v>
      </c>
      <c r="H13194" s="8" t="s">
        <v>21</v>
      </c>
      <c r="I13194" s="8" t="s">
        <v>22</v>
      </c>
      <c r="J13194" s="8" t="s">
        <v>22</v>
      </c>
      <c r="K13194" s="8" t="s">
        <v>58</v>
      </c>
      <c r="L13194" s="8" t="s">
        <v>65</v>
      </c>
      <c r="M13194" s="8" t="s">
        <v>66</v>
      </c>
      <c r="N13194" s="8" t="s">
        <v>55232</v>
      </c>
      <c r="O13194" s="8">
        <f>23+47/60+28.6/3600</f>
        <v>23.791277777777779</v>
      </c>
      <c r="P13194" s="8" t="s">
        <v>55233</v>
      </c>
      <c r="Q13194" s="8">
        <f>-(28+6/60+32/3600)</f>
        <v>-28.108888888888892</v>
      </c>
      <c r="R13194" s="8">
        <v>13</v>
      </c>
      <c r="S13194" s="8">
        <v>13.9</v>
      </c>
      <c r="T13194" s="8">
        <v>0.9</v>
      </c>
      <c r="U13194" s="8">
        <v>13.3</v>
      </c>
      <c r="V13194" s="8">
        <v>1.5</v>
      </c>
      <c r="W13194" s="8">
        <v>1</v>
      </c>
      <c r="X13194" s="8">
        <v>137</v>
      </c>
      <c r="Y13194" s="8" t="s">
        <v>21</v>
      </c>
      <c r="Z13194" s="8" t="s">
        <v>55234</v>
      </c>
    </row>
    <row r="13195" spans="1:26" x14ac:dyDescent="0.2">
      <c r="A13195" s="8">
        <v>13194</v>
      </c>
      <c r="B13195" s="8" t="s">
        <v>55235</v>
      </c>
      <c r="C13195" s="8" t="s">
        <v>55235</v>
      </c>
      <c r="E13195" s="8">
        <v>1</v>
      </c>
      <c r="G13195" s="8">
        <v>20</v>
      </c>
      <c r="H13195" s="8" t="s">
        <v>21</v>
      </c>
      <c r="I13195" s="8" t="s">
        <v>22</v>
      </c>
      <c r="J13195" s="8" t="s">
        <v>22</v>
      </c>
      <c r="K13195" s="8" t="s">
        <v>1068</v>
      </c>
      <c r="L13195" s="8" t="s">
        <v>65</v>
      </c>
      <c r="M13195" s="8" t="s">
        <v>66</v>
      </c>
      <c r="N13195" s="8" t="s">
        <v>55236</v>
      </c>
      <c r="O13195" s="8">
        <f>23+47/60+28.4/3600</f>
        <v>23.791222222222224</v>
      </c>
      <c r="P13195" s="8" t="s">
        <v>55237</v>
      </c>
      <c r="Q13195" s="8">
        <f>-(28+8/60+9/3600)</f>
        <v>-28.135833333333334</v>
      </c>
      <c r="R13195" s="8">
        <v>14</v>
      </c>
      <c r="S13195" s="8">
        <v>15</v>
      </c>
      <c r="T13195" s="8">
        <v>1</v>
      </c>
      <c r="U13195" s="8">
        <v>12.2</v>
      </c>
      <c r="V13195" s="8">
        <v>0.6</v>
      </c>
      <c r="W13195" s="8">
        <v>0.3</v>
      </c>
      <c r="X13195" s="8">
        <v>71</v>
      </c>
      <c r="Y13195" s="8" t="s">
        <v>7509</v>
      </c>
      <c r="Z13195" s="8" t="s">
        <v>3537</v>
      </c>
    </row>
    <row r="13196" spans="1:26" x14ac:dyDescent="0.2">
      <c r="A13196" s="8">
        <v>13195</v>
      </c>
      <c r="B13196" s="8" t="s">
        <v>55238</v>
      </c>
      <c r="C13196" s="8" t="s">
        <v>55238</v>
      </c>
      <c r="G13196" s="8">
        <v>20</v>
      </c>
      <c r="H13196" s="8" t="s">
        <v>21</v>
      </c>
      <c r="I13196" s="8" t="s">
        <v>22</v>
      </c>
      <c r="J13196" s="8" t="s">
        <v>22</v>
      </c>
      <c r="K13196" s="8" t="s">
        <v>64</v>
      </c>
      <c r="L13196" s="8" t="s">
        <v>51</v>
      </c>
      <c r="M13196" s="8" t="s">
        <v>52</v>
      </c>
      <c r="N13196" s="8" t="s">
        <v>55239</v>
      </c>
      <c r="O13196" s="8">
        <f>23+47/60+15.2/3600</f>
        <v>23.787555555555556</v>
      </c>
      <c r="P13196" s="8" t="s">
        <v>55240</v>
      </c>
      <c r="Q13196" s="8">
        <f>+(32+46/60+57/3600)</f>
        <v>32.782499999999999</v>
      </c>
      <c r="R13196" s="8">
        <v>13.7</v>
      </c>
      <c r="S13196" s="8">
        <v>14.4</v>
      </c>
      <c r="T13196" s="8">
        <v>0.7</v>
      </c>
      <c r="U13196" s="8">
        <v>13</v>
      </c>
      <c r="V13196" s="8">
        <v>1</v>
      </c>
      <c r="W13196" s="8">
        <v>0.6</v>
      </c>
      <c r="X13196" s="8">
        <v>10</v>
      </c>
      <c r="Y13196" s="8" t="s">
        <v>55241</v>
      </c>
      <c r="Z13196" s="8" t="s">
        <v>55242</v>
      </c>
    </row>
    <row r="13197" spans="1:26" x14ac:dyDescent="0.2">
      <c r="A13197" s="8">
        <v>13196</v>
      </c>
      <c r="B13197" s="8" t="s">
        <v>55243</v>
      </c>
      <c r="C13197" s="8" t="s">
        <v>55243</v>
      </c>
      <c r="G13197" s="8">
        <v>20</v>
      </c>
      <c r="H13197" s="8" t="s">
        <v>21</v>
      </c>
      <c r="I13197" s="8" t="s">
        <v>22</v>
      </c>
      <c r="J13197" s="8" t="s">
        <v>22</v>
      </c>
      <c r="K13197" s="8" t="s">
        <v>632</v>
      </c>
      <c r="L13197" s="8" t="s">
        <v>38</v>
      </c>
      <c r="M13197" s="8" t="s">
        <v>39</v>
      </c>
      <c r="N13197" s="8" t="s">
        <v>55244</v>
      </c>
      <c r="O13197" s="8">
        <f>23+47/60+23.9/3600</f>
        <v>23.789972222222225</v>
      </c>
      <c r="P13197" s="8" t="s">
        <v>55245</v>
      </c>
      <c r="Q13197" s="8">
        <f>-(2+21/60+4/3600)</f>
        <v>-2.3511111111111114</v>
      </c>
      <c r="R13197" s="8">
        <v>14.1</v>
      </c>
      <c r="S13197" s="8">
        <v>15</v>
      </c>
      <c r="T13197" s="8">
        <v>0.9</v>
      </c>
      <c r="U13197" s="8">
        <v>12.7</v>
      </c>
      <c r="V13197" s="8">
        <v>0.7</v>
      </c>
      <c r="W13197" s="8">
        <v>0.4</v>
      </c>
      <c r="X13197" s="8">
        <v>33</v>
      </c>
      <c r="Y13197" s="8" t="s">
        <v>55246</v>
      </c>
      <c r="Z13197" s="8" t="s">
        <v>55247</v>
      </c>
    </row>
    <row r="13198" spans="1:26" x14ac:dyDescent="0.2">
      <c r="A13198" s="8">
        <v>13197</v>
      </c>
      <c r="B13198" s="8" t="s">
        <v>55248</v>
      </c>
      <c r="C13198" s="8" t="s">
        <v>55248</v>
      </c>
      <c r="G13198" s="8">
        <v>20</v>
      </c>
      <c r="H13198" s="8" t="s">
        <v>21</v>
      </c>
      <c r="I13198" s="8" t="s">
        <v>22</v>
      </c>
      <c r="J13198" s="8" t="s">
        <v>22</v>
      </c>
      <c r="K13198" s="8" t="s">
        <v>58</v>
      </c>
      <c r="L13198" s="8" t="s">
        <v>38</v>
      </c>
      <c r="M13198" s="8" t="s">
        <v>39</v>
      </c>
      <c r="N13198" s="8" t="s">
        <v>55249</v>
      </c>
      <c r="O13198" s="8">
        <f>23+47/60+23/3600</f>
        <v>23.789722222222224</v>
      </c>
      <c r="P13198" s="8" t="s">
        <v>55250</v>
      </c>
      <c r="Q13198" s="8">
        <f>-(2+18/60+2/3600)</f>
        <v>-2.3005555555555555</v>
      </c>
      <c r="R13198" s="8">
        <v>12.9</v>
      </c>
      <c r="S13198" s="8">
        <v>14</v>
      </c>
      <c r="T13198" s="8">
        <v>1.1000000000000001</v>
      </c>
      <c r="U13198" s="8">
        <v>12</v>
      </c>
      <c r="V13198" s="8">
        <v>0.9</v>
      </c>
      <c r="W13198" s="8">
        <v>0.5</v>
      </c>
      <c r="X13198" s="8">
        <v>150</v>
      </c>
      <c r="Y13198" s="8" t="s">
        <v>55251</v>
      </c>
      <c r="Z13198" s="8" t="s">
        <v>55252</v>
      </c>
    </row>
    <row r="13199" spans="1:26" x14ac:dyDescent="0.2">
      <c r="A13199" s="8">
        <v>13198</v>
      </c>
      <c r="B13199" s="8" t="s">
        <v>55253</v>
      </c>
      <c r="C13199" s="8" t="s">
        <v>55253</v>
      </c>
      <c r="E13199" s="8">
        <v>1</v>
      </c>
      <c r="G13199" s="8">
        <v>20</v>
      </c>
      <c r="H13199" s="8" t="s">
        <v>21</v>
      </c>
      <c r="I13199" s="8" t="s">
        <v>22</v>
      </c>
      <c r="J13199" s="8" t="s">
        <v>22</v>
      </c>
      <c r="K13199" s="8" t="s">
        <v>3850</v>
      </c>
      <c r="L13199" s="8" t="s">
        <v>65</v>
      </c>
      <c r="M13199" s="8" t="s">
        <v>66</v>
      </c>
      <c r="N13199" s="8" t="s">
        <v>55254</v>
      </c>
      <c r="O13199" s="8">
        <f>23+47/60+45.1/3600</f>
        <v>23.795861111111112</v>
      </c>
      <c r="P13199" s="8" t="s">
        <v>55255</v>
      </c>
      <c r="Q13199" s="8">
        <f>-(28+8/60+29/3600)</f>
        <v>-28.141388888888887</v>
      </c>
      <c r="R13199" s="8">
        <v>12.5</v>
      </c>
      <c r="S13199" s="8">
        <v>13.6</v>
      </c>
      <c r="T13199" s="8">
        <v>1.1000000000000001</v>
      </c>
      <c r="U13199" s="8">
        <v>13.6</v>
      </c>
      <c r="V13199" s="8">
        <v>2.6</v>
      </c>
      <c r="W13199" s="8">
        <v>1.1000000000000001</v>
      </c>
      <c r="X13199" s="8">
        <v>131</v>
      </c>
      <c r="Y13199" s="8" t="s">
        <v>21</v>
      </c>
      <c r="Z13199" s="8" t="s">
        <v>55256</v>
      </c>
    </row>
    <row r="13200" spans="1:26" x14ac:dyDescent="0.2">
      <c r="A13200" s="8">
        <v>13199</v>
      </c>
      <c r="B13200" s="8" t="s">
        <v>55257</v>
      </c>
      <c r="C13200" s="8" t="s">
        <v>55257</v>
      </c>
      <c r="G13200" s="8">
        <v>20</v>
      </c>
      <c r="H13200" s="8" t="s">
        <v>21</v>
      </c>
      <c r="I13200" s="8" t="s">
        <v>22</v>
      </c>
      <c r="J13200" s="8" t="s">
        <v>22</v>
      </c>
      <c r="K13200" s="8" t="s">
        <v>160</v>
      </c>
      <c r="L13200" s="8" t="s">
        <v>38</v>
      </c>
      <c r="M13200" s="8" t="s">
        <v>39</v>
      </c>
      <c r="N13200" s="8" t="s">
        <v>55258</v>
      </c>
      <c r="O13200" s="8">
        <f>23+47/60+37.8/3600</f>
        <v>23.793833333333335</v>
      </c>
      <c r="P13200" s="8" t="s">
        <v>55259</v>
      </c>
      <c r="Q13200" s="8">
        <f>-(2+19/60+2/3600)</f>
        <v>-2.3172222222222221</v>
      </c>
      <c r="R13200" s="8">
        <v>15.1</v>
      </c>
      <c r="S13200" s="8">
        <v>15.7</v>
      </c>
      <c r="T13200" s="8">
        <v>0.6</v>
      </c>
      <c r="U13200" s="8">
        <v>13.2</v>
      </c>
      <c r="V13200" s="8">
        <v>1.1000000000000001</v>
      </c>
      <c r="W13200" s="8">
        <v>0.2</v>
      </c>
      <c r="X13200" s="8">
        <v>135</v>
      </c>
      <c r="Y13200" s="8" t="s">
        <v>21</v>
      </c>
      <c r="Z13200" s="8" t="s">
        <v>55260</v>
      </c>
    </row>
    <row r="13201" spans="1:26" x14ac:dyDescent="0.2">
      <c r="A13201" s="8">
        <v>13200</v>
      </c>
      <c r="B13201" s="8" t="s">
        <v>55261</v>
      </c>
      <c r="C13201" s="8" t="s">
        <v>55261</v>
      </c>
      <c r="G13201" s="8">
        <v>20</v>
      </c>
      <c r="H13201" s="8" t="s">
        <v>21</v>
      </c>
      <c r="I13201" s="8" t="s">
        <v>329</v>
      </c>
      <c r="J13201" s="8" t="s">
        <v>329</v>
      </c>
      <c r="K13201" s="8" t="s">
        <v>329</v>
      </c>
      <c r="L13201" s="8" t="s">
        <v>65</v>
      </c>
      <c r="M13201" s="8" t="s">
        <v>66</v>
      </c>
      <c r="N13201" s="8" t="s">
        <v>55262</v>
      </c>
      <c r="O13201" s="8">
        <f>23+47/60+54.1/3600</f>
        <v>23.798361111111113</v>
      </c>
      <c r="P13201" s="8" t="s">
        <v>55263</v>
      </c>
      <c r="Q13201" s="8">
        <f>-(37+3/60+33/3600)</f>
        <v>-37.059166666666663</v>
      </c>
      <c r="R13201" s="8">
        <v>99</v>
      </c>
      <c r="S13201" s="8">
        <v>99</v>
      </c>
      <c r="T13201" s="8">
        <v>99</v>
      </c>
      <c r="U13201" s="8">
        <v>99</v>
      </c>
      <c r="Y13201" s="8" t="s">
        <v>55264</v>
      </c>
      <c r="Z13201" s="8" t="s">
        <v>55265</v>
      </c>
    </row>
    <row r="13202" spans="1:26" x14ac:dyDescent="0.2">
      <c r="A13202" s="8">
        <v>13201</v>
      </c>
      <c r="B13202" s="8" t="s">
        <v>55266</v>
      </c>
      <c r="C13202" s="8" t="s">
        <v>55266</v>
      </c>
      <c r="G13202" s="8">
        <v>20</v>
      </c>
      <c r="H13202" s="8" t="s">
        <v>21</v>
      </c>
      <c r="I13202" s="8" t="s">
        <v>22</v>
      </c>
      <c r="J13202" s="8" t="s">
        <v>57</v>
      </c>
      <c r="K13202" s="8" t="s">
        <v>37</v>
      </c>
      <c r="L13202" s="8" t="s">
        <v>30854</v>
      </c>
      <c r="M13202" s="8" t="s">
        <v>30855</v>
      </c>
      <c r="N13202" s="8" t="s">
        <v>34280</v>
      </c>
      <c r="O13202" s="8">
        <f>23+51/60+28.8/3600</f>
        <v>23.858000000000001</v>
      </c>
      <c r="P13202" s="8" t="s">
        <v>34281</v>
      </c>
      <c r="Q13202" s="8">
        <f>-(13+22/60+52/3600)</f>
        <v>-13.381111111111112</v>
      </c>
      <c r="R13202" s="8">
        <v>13.1</v>
      </c>
      <c r="S13202" s="8">
        <v>14.1</v>
      </c>
      <c r="T13202" s="8">
        <v>1</v>
      </c>
      <c r="U13202" s="8">
        <v>13.4</v>
      </c>
      <c r="V13202" s="8">
        <v>1.2</v>
      </c>
      <c r="W13202" s="8">
        <v>1.2</v>
      </c>
      <c r="Y13202" s="8" t="s">
        <v>55267</v>
      </c>
      <c r="Z13202" s="8" t="s">
        <v>55268</v>
      </c>
    </row>
    <row r="13203" spans="1:26" x14ac:dyDescent="0.2">
      <c r="A13203" s="8">
        <v>13202</v>
      </c>
      <c r="B13203" s="8" t="s">
        <v>55269</v>
      </c>
      <c r="C13203" s="8" t="s">
        <v>55269</v>
      </c>
      <c r="G13203" s="8">
        <v>20</v>
      </c>
      <c r="H13203" s="8" t="s">
        <v>21</v>
      </c>
      <c r="I13203" s="8" t="s">
        <v>22</v>
      </c>
      <c r="J13203" s="8" t="s">
        <v>22</v>
      </c>
      <c r="K13203" s="8" t="s">
        <v>37</v>
      </c>
      <c r="L13203" s="8" t="s">
        <v>65</v>
      </c>
      <c r="M13203" s="8" t="s">
        <v>66</v>
      </c>
      <c r="N13203" s="8" t="s">
        <v>55270</v>
      </c>
      <c r="O13203" s="8">
        <f>23+51/60+36.8/3600</f>
        <v>23.860222222222223</v>
      </c>
      <c r="P13203" s="8" t="s">
        <v>55271</v>
      </c>
      <c r="Q13203" s="8">
        <f>-(28+21/60+55/3600)</f>
        <v>-28.365277777777781</v>
      </c>
      <c r="R13203" s="8">
        <v>12.8</v>
      </c>
      <c r="S13203" s="8">
        <v>13.8</v>
      </c>
      <c r="T13203" s="8">
        <v>1</v>
      </c>
      <c r="U13203" s="8">
        <v>13.3</v>
      </c>
      <c r="V13203" s="8">
        <v>1.3</v>
      </c>
      <c r="W13203" s="8">
        <v>1.3</v>
      </c>
      <c r="Y13203" s="8" t="s">
        <v>55272</v>
      </c>
      <c r="Z13203" s="8" t="s">
        <v>55273</v>
      </c>
    </row>
    <row r="13204" spans="1:26" x14ac:dyDescent="0.2">
      <c r="A13204" s="8">
        <v>13203</v>
      </c>
      <c r="B13204" s="8" t="s">
        <v>55274</v>
      </c>
      <c r="C13204" s="8" t="s">
        <v>55274</v>
      </c>
      <c r="G13204" s="8">
        <v>20</v>
      </c>
      <c r="H13204" s="8" t="s">
        <v>21</v>
      </c>
      <c r="I13204" s="8" t="s">
        <v>22</v>
      </c>
      <c r="J13204" s="8" t="s">
        <v>57</v>
      </c>
      <c r="K13204" s="8" t="s">
        <v>37</v>
      </c>
      <c r="L13204" s="8" t="s">
        <v>65</v>
      </c>
      <c r="M13204" s="8" t="s">
        <v>66</v>
      </c>
      <c r="N13204" s="8" t="s">
        <v>55270</v>
      </c>
      <c r="O13204" s="8">
        <f>23+51/60+36.8/3600</f>
        <v>23.860222222222223</v>
      </c>
      <c r="P13204" s="8" t="s">
        <v>55271</v>
      </c>
      <c r="Q13204" s="8">
        <f>-(28+21/60+55/3600)</f>
        <v>-28.365277777777781</v>
      </c>
      <c r="R13204" s="8">
        <v>12.8</v>
      </c>
      <c r="S13204" s="8">
        <v>13.8</v>
      </c>
      <c r="T13204" s="8">
        <v>1</v>
      </c>
      <c r="U13204" s="8">
        <v>13.3</v>
      </c>
      <c r="V13204" s="8">
        <v>1.3</v>
      </c>
      <c r="W13204" s="8">
        <v>1.3</v>
      </c>
      <c r="Y13204" s="8" t="s">
        <v>21</v>
      </c>
      <c r="Z13204" s="8" t="s">
        <v>55275</v>
      </c>
    </row>
    <row r="13205" spans="1:26" x14ac:dyDescent="0.2">
      <c r="A13205" s="8">
        <v>13204</v>
      </c>
      <c r="B13205" s="8" t="s">
        <v>55276</v>
      </c>
      <c r="C13205" s="8" t="s">
        <v>55276</v>
      </c>
      <c r="E13205" s="8">
        <v>1</v>
      </c>
      <c r="G13205" s="8">
        <v>20</v>
      </c>
      <c r="H13205" s="8" t="s">
        <v>21</v>
      </c>
      <c r="I13205" s="8" t="s">
        <v>22</v>
      </c>
      <c r="J13205" s="8" t="s">
        <v>22</v>
      </c>
      <c r="K13205" s="8" t="s">
        <v>632</v>
      </c>
      <c r="L13205" s="8" t="s">
        <v>65</v>
      </c>
      <c r="M13205" s="8" t="s">
        <v>66</v>
      </c>
      <c r="N13205" s="8" t="s">
        <v>55277</v>
      </c>
      <c r="O13205" s="8">
        <f>23+56/60+25.2/3600</f>
        <v>23.940333333333335</v>
      </c>
      <c r="P13205" s="8" t="s">
        <v>55278</v>
      </c>
      <c r="Q13205" s="8">
        <f>-(29+1/60+25/3600)</f>
        <v>-29.023611111111109</v>
      </c>
      <c r="R13205" s="8">
        <v>13.3</v>
      </c>
      <c r="S13205" s="8">
        <v>14.2</v>
      </c>
      <c r="T13205" s="8">
        <v>0.9</v>
      </c>
      <c r="U13205" s="8">
        <v>12.4</v>
      </c>
      <c r="V13205" s="8">
        <v>0.7</v>
      </c>
      <c r="W13205" s="8">
        <v>0.7</v>
      </c>
      <c r="Y13205" s="8" t="s">
        <v>55279</v>
      </c>
      <c r="Z13205" s="8" t="s">
        <v>55280</v>
      </c>
    </row>
    <row r="13206" spans="1:26" x14ac:dyDescent="0.2">
      <c r="A13206" s="8">
        <v>13205</v>
      </c>
      <c r="B13206" s="8" t="s">
        <v>55281</v>
      </c>
      <c r="C13206" s="8" t="s">
        <v>55281</v>
      </c>
      <c r="G13206" s="8">
        <v>20</v>
      </c>
      <c r="H13206" s="8" t="s">
        <v>21</v>
      </c>
      <c r="I13206" s="8" t="s">
        <v>329</v>
      </c>
      <c r="J13206" s="8" t="s">
        <v>329</v>
      </c>
      <c r="K13206" s="8" t="s">
        <v>329</v>
      </c>
      <c r="L13206" s="8" t="s">
        <v>65</v>
      </c>
      <c r="M13206" s="8" t="s">
        <v>66</v>
      </c>
      <c r="N13206" s="8" t="s">
        <v>55282</v>
      </c>
      <c r="O13206" s="8">
        <f>23+57/60+34/3600</f>
        <v>23.959444444444443</v>
      </c>
      <c r="P13206" s="8" t="s">
        <v>55283</v>
      </c>
      <c r="Q13206" s="8">
        <f>-(37+1/60+30/3600)</f>
        <v>-37.024999999999999</v>
      </c>
      <c r="R13206" s="8">
        <v>99</v>
      </c>
      <c r="S13206" s="8">
        <v>99</v>
      </c>
      <c r="T13206" s="8">
        <v>99</v>
      </c>
      <c r="U13206" s="8">
        <v>99</v>
      </c>
      <c r="Y13206" s="8" t="s">
        <v>55284</v>
      </c>
      <c r="Z13206" s="8" t="s">
        <v>55285</v>
      </c>
    </row>
    <row r="13207" spans="1:26" x14ac:dyDescent="0.2">
      <c r="A13207" s="8">
        <v>13206</v>
      </c>
      <c r="B13207" s="8" t="s">
        <v>55286</v>
      </c>
      <c r="C13207" s="8" t="s">
        <v>55286</v>
      </c>
      <c r="G13207" s="8">
        <v>20</v>
      </c>
      <c r="H13207" s="8" t="s">
        <v>21</v>
      </c>
      <c r="I13207" s="8" t="s">
        <v>329</v>
      </c>
      <c r="J13207" s="8" t="s">
        <v>329</v>
      </c>
      <c r="K13207" s="8" t="s">
        <v>329</v>
      </c>
      <c r="L13207" s="8" t="s">
        <v>559</v>
      </c>
      <c r="M13207" s="8" t="s">
        <v>560</v>
      </c>
      <c r="N13207" s="8" t="s">
        <v>55287</v>
      </c>
      <c r="O13207" s="8">
        <f>23+57/60+42/3600</f>
        <v>23.961666666666666</v>
      </c>
      <c r="P13207" s="8" t="s">
        <v>55288</v>
      </c>
      <c r="Q13207" s="8">
        <f>+(52+47/60+0/3600)</f>
        <v>52.783333333333331</v>
      </c>
      <c r="R13207" s="8">
        <v>99</v>
      </c>
      <c r="S13207" s="8">
        <v>99</v>
      </c>
      <c r="T13207" s="8">
        <v>99</v>
      </c>
      <c r="U13207" s="8">
        <v>99</v>
      </c>
      <c r="Y13207" s="8" t="s">
        <v>21</v>
      </c>
      <c r="Z13207" s="8" t="s">
        <v>55289</v>
      </c>
    </row>
    <row r="13208" spans="1:26" x14ac:dyDescent="0.2">
      <c r="A13208" s="8">
        <v>13207</v>
      </c>
      <c r="B13208" s="8" t="s">
        <v>55290</v>
      </c>
      <c r="C13208" s="8" t="s">
        <v>55290</v>
      </c>
      <c r="G13208" s="8">
        <v>20</v>
      </c>
      <c r="H13208" s="8" t="s">
        <v>21</v>
      </c>
      <c r="I13208" s="8" t="s">
        <v>22</v>
      </c>
      <c r="J13208" s="8" t="s">
        <v>22</v>
      </c>
      <c r="K13208" s="8" t="s">
        <v>449</v>
      </c>
      <c r="L13208" s="8" t="s">
        <v>24</v>
      </c>
      <c r="M13208" s="8" t="s">
        <v>25</v>
      </c>
      <c r="N13208" s="8" t="s">
        <v>55291</v>
      </c>
      <c r="O13208" s="8">
        <f>23+58/60+38.8/3600</f>
        <v>23.977444444444444</v>
      </c>
      <c r="P13208" s="8" t="s">
        <v>55292</v>
      </c>
      <c r="Q13208" s="8">
        <f>+(22+26/60+59/3600)</f>
        <v>22.449722222222224</v>
      </c>
      <c r="R13208" s="8">
        <v>16</v>
      </c>
      <c r="S13208" s="8">
        <v>16.8</v>
      </c>
      <c r="T13208" s="8">
        <v>0.8</v>
      </c>
      <c r="U13208" s="8">
        <v>13.8</v>
      </c>
      <c r="V13208" s="8">
        <v>0.5</v>
      </c>
      <c r="W13208" s="8">
        <v>0.3</v>
      </c>
      <c r="X13208" s="8">
        <v>45</v>
      </c>
      <c r="Y13208" s="8" t="s">
        <v>55293</v>
      </c>
      <c r="Z13208" s="8" t="s">
        <v>55294</v>
      </c>
    </row>
    <row r="13209" spans="1:26" x14ac:dyDescent="0.2">
      <c r="A13209" s="8">
        <v>13208</v>
      </c>
      <c r="B13209" s="8" t="s">
        <v>55295</v>
      </c>
      <c r="C13209" s="8" t="s">
        <v>55295</v>
      </c>
      <c r="G13209" s="8">
        <v>20</v>
      </c>
      <c r="H13209" s="8" t="s">
        <v>21</v>
      </c>
      <c r="I13209" s="8" t="s">
        <v>22</v>
      </c>
      <c r="J13209" s="8" t="s">
        <v>57</v>
      </c>
      <c r="K13209" s="8" t="s">
        <v>382</v>
      </c>
      <c r="L13209" s="8" t="s">
        <v>38</v>
      </c>
      <c r="M13209" s="8" t="s">
        <v>39</v>
      </c>
      <c r="N13209" s="8" t="s">
        <v>40528</v>
      </c>
      <c r="O13209" s="8">
        <f>23+59/60+6.5/3600</f>
        <v>23.985138888888891</v>
      </c>
      <c r="P13209" s="8" t="s">
        <v>40529</v>
      </c>
      <c r="Q13209" s="8">
        <f>+(6+52/60+25/3600)</f>
        <v>6.8736111111111118</v>
      </c>
      <c r="R13209" s="8">
        <v>15.3</v>
      </c>
      <c r="S13209" s="8">
        <v>16.3</v>
      </c>
      <c r="T13209" s="8">
        <v>1</v>
      </c>
      <c r="U13209" s="8">
        <v>12.3</v>
      </c>
      <c r="V13209" s="8">
        <v>0.3</v>
      </c>
      <c r="W13209" s="8">
        <v>0.2</v>
      </c>
      <c r="X13209" s="8">
        <v>10</v>
      </c>
      <c r="Y13209" s="8" t="s">
        <v>21</v>
      </c>
      <c r="Z13209" s="8" t="s">
        <v>55296</v>
      </c>
    </row>
    <row r="13210" spans="1:26" x14ac:dyDescent="0.2">
      <c r="A13210" s="8">
        <v>13209</v>
      </c>
      <c r="B13210" s="8" t="s">
        <v>55297</v>
      </c>
      <c r="C13210" s="8" t="s">
        <v>55297</v>
      </c>
      <c r="G13210" s="8">
        <v>20</v>
      </c>
      <c r="H13210" s="8" t="s">
        <v>21</v>
      </c>
      <c r="I13210" s="8" t="s">
        <v>22</v>
      </c>
      <c r="J13210" s="8" t="s">
        <v>22</v>
      </c>
      <c r="K13210" s="8" t="s">
        <v>449</v>
      </c>
      <c r="L13210" s="8" t="s">
        <v>51</v>
      </c>
      <c r="M13210" s="8" t="s">
        <v>52</v>
      </c>
      <c r="N13210" s="8" t="s">
        <v>55298</v>
      </c>
      <c r="O13210" s="8">
        <f>23+59/60+50.6/3600</f>
        <v>23.997388888888889</v>
      </c>
      <c r="P13210" s="8" t="s">
        <v>55299</v>
      </c>
      <c r="Q13210" s="8">
        <f>+(32+42/60+9/3600)</f>
        <v>32.702500000000001</v>
      </c>
      <c r="R13210" s="8">
        <v>14.4</v>
      </c>
      <c r="S13210" s="8">
        <v>15.2</v>
      </c>
      <c r="T13210" s="8">
        <v>0.8</v>
      </c>
      <c r="U13210" s="8">
        <v>13.5</v>
      </c>
      <c r="V13210" s="8">
        <v>1</v>
      </c>
      <c r="W13210" s="8">
        <v>0.5</v>
      </c>
      <c r="X13210" s="8">
        <v>85</v>
      </c>
      <c r="Y13210" s="8" t="s">
        <v>55300</v>
      </c>
      <c r="Z13210" s="8" t="s">
        <v>43669</v>
      </c>
    </row>
    <row r="13211" spans="1:26" x14ac:dyDescent="0.2">
      <c r="A13211" s="8">
        <v>13210</v>
      </c>
      <c r="B13211" s="8" t="s">
        <v>55301</v>
      </c>
      <c r="C13211" s="8" t="s">
        <v>55301</v>
      </c>
      <c r="G13211" s="8">
        <v>20</v>
      </c>
      <c r="H13211" s="8" t="s">
        <v>21</v>
      </c>
      <c r="I13211" s="8" t="s">
        <v>22</v>
      </c>
      <c r="J13211" s="8" t="s">
        <v>22</v>
      </c>
      <c r="K13211" s="8" t="s">
        <v>632</v>
      </c>
      <c r="L13211" s="8" t="s">
        <v>51</v>
      </c>
      <c r="M13211" s="8" t="s">
        <v>52</v>
      </c>
      <c r="N13211" s="8" t="s">
        <v>55302</v>
      </c>
      <c r="O13211" s="8">
        <f>0+0/60+9.1/3600</f>
        <v>2.5277777777777777E-3</v>
      </c>
      <c r="P13211" s="8" t="s">
        <v>55303</v>
      </c>
      <c r="Q13211" s="8">
        <f>+(32+44/60+20/3600)</f>
        <v>32.738888888888887</v>
      </c>
      <c r="R13211" s="8">
        <v>14.1</v>
      </c>
      <c r="S13211" s="8">
        <v>15</v>
      </c>
      <c r="T13211" s="8">
        <v>0.9</v>
      </c>
      <c r="U13211" s="8">
        <v>13.4</v>
      </c>
      <c r="V13211" s="8">
        <v>0.8</v>
      </c>
      <c r="W13211" s="8">
        <v>0.7</v>
      </c>
      <c r="X13211" s="8">
        <v>117</v>
      </c>
      <c r="Y13211" s="8" t="s">
        <v>43286</v>
      </c>
      <c r="Z13211" s="8" t="s">
        <v>43287</v>
      </c>
    </row>
    <row r="13212" spans="1:26" x14ac:dyDescent="0.2">
      <c r="A13212" s="8">
        <v>13211</v>
      </c>
      <c r="B13212" s="8" t="s">
        <v>55304</v>
      </c>
      <c r="C13212" s="8" t="s">
        <v>55304</v>
      </c>
      <c r="G13212" s="8">
        <v>20</v>
      </c>
      <c r="H13212" s="8" t="s">
        <v>21</v>
      </c>
      <c r="I13212" s="8" t="s">
        <v>22</v>
      </c>
      <c r="J13212" s="8" t="s">
        <v>22</v>
      </c>
      <c r="K13212" s="8" t="s">
        <v>37</v>
      </c>
      <c r="L13212" s="8" t="s">
        <v>51</v>
      </c>
      <c r="M13212" s="8" t="s">
        <v>52</v>
      </c>
      <c r="N13212" s="8" t="s">
        <v>55305</v>
      </c>
      <c r="O13212" s="8">
        <f>0+0/60+14.8/3600</f>
        <v>4.1111111111111114E-3</v>
      </c>
      <c r="P13212" s="8" t="s">
        <v>55306</v>
      </c>
      <c r="Q13212" s="8">
        <f>+(32+49/60+56/3600)</f>
        <v>32.832222222222228</v>
      </c>
      <c r="R13212" s="8">
        <v>14.7</v>
      </c>
      <c r="S13212" s="8">
        <v>15.7</v>
      </c>
      <c r="T13212" s="8">
        <v>1</v>
      </c>
      <c r="U13212" s="8">
        <v>13.1</v>
      </c>
      <c r="V13212" s="8">
        <v>0.5</v>
      </c>
      <c r="W13212" s="8">
        <v>0.5</v>
      </c>
      <c r="Y13212" s="8" t="s">
        <v>55307</v>
      </c>
      <c r="Z13212" s="8" t="s">
        <v>55308</v>
      </c>
    </row>
    <row r="13213" spans="1:26" x14ac:dyDescent="0.2">
      <c r="A13213" s="8">
        <v>13212</v>
      </c>
      <c r="B13213" s="8" t="s">
        <v>55309</v>
      </c>
      <c r="C13213" s="8" t="s">
        <v>55309</v>
      </c>
      <c r="G13213" s="8">
        <v>20</v>
      </c>
      <c r="H13213" s="8" t="s">
        <v>21</v>
      </c>
      <c r="I13213" s="8" t="s">
        <v>22</v>
      </c>
      <c r="J13213" s="8" t="s">
        <v>22</v>
      </c>
      <c r="K13213" s="8" t="s">
        <v>37</v>
      </c>
      <c r="L13213" s="8" t="s">
        <v>51</v>
      </c>
      <c r="M13213" s="8" t="s">
        <v>52</v>
      </c>
      <c r="N13213" s="8" t="s">
        <v>55310</v>
      </c>
      <c r="O13213" s="8">
        <f>0+0/60+16.3/3600</f>
        <v>4.5277777777777781E-3</v>
      </c>
      <c r="P13213" s="8" t="s">
        <v>55311</v>
      </c>
      <c r="Q13213" s="8">
        <f>+(32+47/60+35/3600)</f>
        <v>32.793055555555554</v>
      </c>
      <c r="R13213" s="8">
        <v>14.5</v>
      </c>
      <c r="S13213" s="8">
        <v>15.5</v>
      </c>
      <c r="T13213" s="8">
        <v>1</v>
      </c>
      <c r="U13213" s="8">
        <v>12.9</v>
      </c>
      <c r="V13213" s="8">
        <v>0.5</v>
      </c>
      <c r="W13213" s="8">
        <v>0.5</v>
      </c>
      <c r="Y13213" s="8" t="s">
        <v>55312</v>
      </c>
      <c r="Z13213" s="8" t="s">
        <v>55313</v>
      </c>
    </row>
    <row r="13214" spans="1:26" x14ac:dyDescent="0.2">
      <c r="A13214" s="8">
        <v>13213</v>
      </c>
      <c r="B13214" s="8" t="s">
        <v>55314</v>
      </c>
      <c r="C13214" s="8" t="s">
        <v>55314</v>
      </c>
      <c r="G13214" s="8">
        <v>20</v>
      </c>
      <c r="H13214" s="8" t="s">
        <v>21</v>
      </c>
      <c r="I13214" s="8" t="s">
        <v>22</v>
      </c>
      <c r="J13214" s="8" t="s">
        <v>22</v>
      </c>
      <c r="K13214" s="8" t="s">
        <v>31</v>
      </c>
      <c r="L13214" s="8" t="s">
        <v>51</v>
      </c>
      <c r="M13214" s="8" t="s">
        <v>52</v>
      </c>
      <c r="N13214" s="8" t="s">
        <v>55315</v>
      </c>
      <c r="O13214" s="8">
        <f>0+0/60+29.3/3600</f>
        <v>8.1388888888888899E-3</v>
      </c>
      <c r="P13214" s="8" t="s">
        <v>55316</v>
      </c>
      <c r="Q13214" s="8">
        <f>+(32+46/60+55/3600)</f>
        <v>32.781944444444441</v>
      </c>
      <c r="R13214" s="8">
        <v>14.7</v>
      </c>
      <c r="S13214" s="8">
        <v>15.5</v>
      </c>
      <c r="T13214" s="8">
        <v>0.8</v>
      </c>
      <c r="U13214" s="8">
        <v>12.6</v>
      </c>
      <c r="V13214" s="8">
        <v>0.8</v>
      </c>
      <c r="W13214" s="8">
        <v>0.2</v>
      </c>
      <c r="X13214" s="8">
        <v>150</v>
      </c>
      <c r="Y13214" s="8" t="s">
        <v>55317</v>
      </c>
      <c r="Z13214" s="8" t="s">
        <v>43287</v>
      </c>
    </row>
    <row r="13215" spans="1:26" x14ac:dyDescent="0.2">
      <c r="A13215" s="8">
        <v>13214</v>
      </c>
      <c r="B13215" s="8" t="s">
        <v>55318</v>
      </c>
      <c r="C13215" s="8" t="s">
        <v>55318</v>
      </c>
      <c r="G13215" s="8">
        <v>20</v>
      </c>
      <c r="H13215" s="8" t="s">
        <v>21</v>
      </c>
      <c r="I13215" s="8" t="s">
        <v>22</v>
      </c>
      <c r="J13215" s="8" t="s">
        <v>22</v>
      </c>
      <c r="K13215" s="8" t="s">
        <v>396</v>
      </c>
      <c r="L13215" s="8" t="s">
        <v>38</v>
      </c>
      <c r="M13215" s="8" t="s">
        <v>39</v>
      </c>
      <c r="N13215" s="8" t="s">
        <v>55319</v>
      </c>
      <c r="O13215" s="8">
        <f>0+1/60+4.6/3600</f>
        <v>1.7944444444444443E-2</v>
      </c>
      <c r="P13215" s="8" t="s">
        <v>55320</v>
      </c>
      <c r="Q13215" s="8">
        <f>+(4+30/60+0/3600)</f>
        <v>4.5</v>
      </c>
      <c r="R13215" s="8">
        <v>14.3</v>
      </c>
      <c r="S13215" s="8">
        <v>15.1</v>
      </c>
      <c r="T13215" s="8">
        <v>0.8</v>
      </c>
      <c r="U13215" s="8">
        <v>12.4</v>
      </c>
      <c r="V13215" s="8">
        <v>0.7</v>
      </c>
      <c r="W13215" s="8">
        <v>0.6</v>
      </c>
      <c r="X13215" s="8">
        <v>18</v>
      </c>
      <c r="Y13215" s="8" t="s">
        <v>41166</v>
      </c>
      <c r="Z13215" s="8" t="s">
        <v>41167</v>
      </c>
    </row>
    <row r="13216" spans="1:26" x14ac:dyDescent="0.2">
      <c r="A13216" s="8">
        <v>13215</v>
      </c>
      <c r="B13216" s="8" t="s">
        <v>55321</v>
      </c>
      <c r="C13216" s="8" t="s">
        <v>55321</v>
      </c>
      <c r="G13216" s="8">
        <v>20</v>
      </c>
      <c r="H13216" s="8" t="s">
        <v>21</v>
      </c>
      <c r="I13216" s="8" t="s">
        <v>22</v>
      </c>
      <c r="J13216" s="8" t="s">
        <v>22</v>
      </c>
      <c r="K13216" s="8" t="s">
        <v>396</v>
      </c>
      <c r="L13216" s="8" t="s">
        <v>38</v>
      </c>
      <c r="M13216" s="8" t="s">
        <v>39</v>
      </c>
      <c r="N13216" s="8" t="s">
        <v>55322</v>
      </c>
      <c r="O13216" s="8">
        <f>0+1/60+4.9/3600</f>
        <v>1.8027777777777778E-2</v>
      </c>
      <c r="P13216" s="8" t="s">
        <v>55323</v>
      </c>
      <c r="Q13216" s="8">
        <f>+(4+32/60+31/3600)</f>
        <v>4.5419444444444439</v>
      </c>
      <c r="R13216" s="8">
        <v>14.3</v>
      </c>
      <c r="S13216" s="8">
        <v>15.1</v>
      </c>
      <c r="T13216" s="8">
        <v>0.8</v>
      </c>
      <c r="U13216" s="8">
        <v>12.4</v>
      </c>
      <c r="V13216" s="8">
        <v>1</v>
      </c>
      <c r="W13216" s="8">
        <v>0.2</v>
      </c>
      <c r="X13216" s="8">
        <v>0</v>
      </c>
      <c r="Y13216" s="8" t="s">
        <v>55324</v>
      </c>
      <c r="Z13216" s="8" t="s">
        <v>55325</v>
      </c>
    </row>
    <row r="13217" spans="1:26" x14ac:dyDescent="0.2">
      <c r="A13217" s="8">
        <v>13216</v>
      </c>
      <c r="B13217" s="8" t="s">
        <v>55326</v>
      </c>
      <c r="C13217" s="8" t="s">
        <v>55326</v>
      </c>
      <c r="G13217" s="8">
        <v>20</v>
      </c>
      <c r="H13217" s="8" t="s">
        <v>21</v>
      </c>
      <c r="I13217" s="8" t="s">
        <v>22</v>
      </c>
      <c r="J13217" s="8" t="s">
        <v>22</v>
      </c>
      <c r="K13217" s="8" t="s">
        <v>31</v>
      </c>
      <c r="L13217" s="8" t="s">
        <v>51</v>
      </c>
      <c r="M13217" s="8" t="s">
        <v>52</v>
      </c>
      <c r="N13217" s="8" t="s">
        <v>55327</v>
      </c>
      <c r="O13217" s="8">
        <f>0+1/60+19.9/3600</f>
        <v>2.2194444444444444E-2</v>
      </c>
      <c r="P13217" s="8" t="s">
        <v>55328</v>
      </c>
      <c r="Q13217" s="8">
        <f>+(34+31/60+33/3600)</f>
        <v>34.525833333333331</v>
      </c>
      <c r="R13217" s="8">
        <v>13.7</v>
      </c>
      <c r="S13217" s="8">
        <v>14.5</v>
      </c>
      <c r="T13217" s="8">
        <v>0.8</v>
      </c>
      <c r="U13217" s="8">
        <v>13.3</v>
      </c>
      <c r="V13217" s="8">
        <v>2</v>
      </c>
      <c r="W13217" s="8">
        <v>0.3</v>
      </c>
      <c r="X13217" s="8">
        <v>4</v>
      </c>
      <c r="Y13217" s="8" t="s">
        <v>40475</v>
      </c>
      <c r="Z13217" s="8" t="s">
        <v>40476</v>
      </c>
    </row>
    <row r="13218" spans="1:26" x14ac:dyDescent="0.2">
      <c r="A13218" s="8">
        <v>13217</v>
      </c>
      <c r="B13218" s="8" t="s">
        <v>55329</v>
      </c>
      <c r="C13218" s="8" t="s">
        <v>55329</v>
      </c>
      <c r="G13218" s="8">
        <v>20</v>
      </c>
      <c r="H13218" s="8" t="s">
        <v>21</v>
      </c>
      <c r="I13218" s="8" t="s">
        <v>22</v>
      </c>
      <c r="J13218" s="8" t="s">
        <v>22</v>
      </c>
      <c r="K13218" s="8" t="s">
        <v>36276</v>
      </c>
      <c r="L13218" s="8" t="s">
        <v>24</v>
      </c>
      <c r="M13218" s="8" t="s">
        <v>25</v>
      </c>
      <c r="N13218" s="8" t="s">
        <v>55330</v>
      </c>
      <c r="O13218" s="8">
        <f>0+2/60+5.5/3600</f>
        <v>3.4861111111111114E-2</v>
      </c>
      <c r="P13218" s="8" t="s">
        <v>55331</v>
      </c>
      <c r="Q13218" s="8">
        <f>+(16+35/60+26/3600)</f>
        <v>16.590555555555554</v>
      </c>
      <c r="R13218" s="8">
        <v>14.7</v>
      </c>
      <c r="S13218" s="8">
        <v>15.3</v>
      </c>
      <c r="T13218" s="8">
        <v>0.6</v>
      </c>
      <c r="U13218" s="8">
        <v>14</v>
      </c>
      <c r="V13218" s="8">
        <v>1</v>
      </c>
      <c r="W13218" s="8">
        <v>0.6</v>
      </c>
      <c r="X13218" s="8">
        <v>175</v>
      </c>
      <c r="Y13218" s="8" t="s">
        <v>36095</v>
      </c>
      <c r="Z13218" s="8" t="s">
        <v>36096</v>
      </c>
    </row>
    <row r="13219" spans="1:26" x14ac:dyDescent="0.2">
      <c r="A13219" s="8">
        <v>13218</v>
      </c>
      <c r="B13219" s="8" t="s">
        <v>55332</v>
      </c>
      <c r="C13219" s="8" t="s">
        <v>55332</v>
      </c>
      <c r="E13219" s="8">
        <v>1</v>
      </c>
      <c r="G13219" s="8">
        <v>20</v>
      </c>
      <c r="H13219" s="8" t="s">
        <v>21</v>
      </c>
      <c r="I13219" s="8" t="s">
        <v>22</v>
      </c>
      <c r="J13219" s="8" t="s">
        <v>22</v>
      </c>
      <c r="K13219" s="8" t="s">
        <v>1136</v>
      </c>
      <c r="L13219" s="8" t="s">
        <v>24</v>
      </c>
      <c r="M13219" s="8" t="s">
        <v>25</v>
      </c>
      <c r="N13219" s="8" t="s">
        <v>55333</v>
      </c>
      <c r="O13219" s="8">
        <f>0+2/60+37.8/3600</f>
        <v>4.3833333333333335E-2</v>
      </c>
      <c r="P13219" s="8" t="s">
        <v>55334</v>
      </c>
      <c r="Q13219" s="8">
        <f>+(16+38/60+39/3600)</f>
        <v>16.644166666666667</v>
      </c>
      <c r="R13219" s="8">
        <v>13.6</v>
      </c>
      <c r="S13219" s="8">
        <v>14.6</v>
      </c>
      <c r="T13219" s="8">
        <v>1</v>
      </c>
      <c r="U13219" s="8">
        <v>13.7</v>
      </c>
      <c r="V13219" s="8">
        <v>1.1000000000000001</v>
      </c>
      <c r="W13219" s="8">
        <v>0.9</v>
      </c>
      <c r="Y13219" s="8" t="s">
        <v>55335</v>
      </c>
      <c r="Z13219" s="8" t="s">
        <v>55336</v>
      </c>
    </row>
    <row r="13220" spans="1:26" x14ac:dyDescent="0.2">
      <c r="A13220" s="8">
        <v>13219</v>
      </c>
      <c r="B13220" s="8" t="s">
        <v>55337</v>
      </c>
      <c r="C13220" s="8" t="s">
        <v>55337</v>
      </c>
      <c r="G13220" s="8">
        <v>20</v>
      </c>
      <c r="H13220" s="8" t="s">
        <v>21</v>
      </c>
      <c r="I13220" s="8" t="s">
        <v>22</v>
      </c>
      <c r="J13220" s="8" t="s">
        <v>22</v>
      </c>
      <c r="K13220" s="8" t="s">
        <v>160</v>
      </c>
      <c r="L13220" s="8" t="s">
        <v>24</v>
      </c>
      <c r="M13220" s="8" t="s">
        <v>25</v>
      </c>
      <c r="N13220" s="8" t="s">
        <v>55338</v>
      </c>
      <c r="O13220" s="8">
        <f>0+2/60+40.8/3600</f>
        <v>4.4666666666666667E-2</v>
      </c>
      <c r="P13220" s="8" t="s">
        <v>55339</v>
      </c>
      <c r="Q13220" s="8">
        <f>+(16+36/60+3/3600)</f>
        <v>16.600833333333334</v>
      </c>
      <c r="R13220" s="8">
        <v>15.2</v>
      </c>
      <c r="S13220" s="8">
        <v>15.9</v>
      </c>
      <c r="T13220" s="8">
        <v>0.7</v>
      </c>
      <c r="U13220" s="8">
        <v>12.3</v>
      </c>
      <c r="V13220" s="8">
        <v>0.4</v>
      </c>
      <c r="W13220" s="8">
        <v>0.2</v>
      </c>
      <c r="X13220" s="8">
        <v>70</v>
      </c>
      <c r="Y13220" s="8" t="s">
        <v>21</v>
      </c>
      <c r="Z13220" s="8" t="s">
        <v>55340</v>
      </c>
    </row>
    <row r="13221" spans="1:26" x14ac:dyDescent="0.2">
      <c r="A13221" s="8">
        <v>13220</v>
      </c>
      <c r="B13221" s="8" t="s">
        <v>55341</v>
      </c>
      <c r="C13221" s="8" t="s">
        <v>55341</v>
      </c>
      <c r="G13221" s="8">
        <v>20</v>
      </c>
      <c r="H13221" s="8" t="s">
        <v>21</v>
      </c>
      <c r="I13221" s="8" t="s">
        <v>22</v>
      </c>
      <c r="J13221" s="8" t="s">
        <v>22</v>
      </c>
      <c r="K13221" s="8" t="s">
        <v>31</v>
      </c>
      <c r="L13221" s="8" t="s">
        <v>310</v>
      </c>
      <c r="M13221" s="8" t="s">
        <v>311</v>
      </c>
      <c r="N13221" s="8" t="s">
        <v>55342</v>
      </c>
      <c r="O13221" s="8">
        <f>0+2/60+49.5/3600</f>
        <v>4.7083333333333331E-2</v>
      </c>
      <c r="P13221" s="8" t="s">
        <v>55343</v>
      </c>
      <c r="Q13221" s="8">
        <f>-(66+11/60+12/3600)</f>
        <v>-66.186666666666667</v>
      </c>
      <c r="R13221" s="8">
        <v>14.7</v>
      </c>
      <c r="S13221" s="8">
        <v>15.5</v>
      </c>
      <c r="T13221" s="8">
        <v>0.8</v>
      </c>
      <c r="U13221" s="8">
        <v>13.3</v>
      </c>
      <c r="V13221" s="8">
        <v>0.8</v>
      </c>
      <c r="W13221" s="8">
        <v>0.4</v>
      </c>
      <c r="X13221" s="8">
        <v>134</v>
      </c>
      <c r="Y13221" s="8" t="s">
        <v>55344</v>
      </c>
      <c r="Z13221" s="8" t="s">
        <v>55345</v>
      </c>
    </row>
    <row r="13222" spans="1:26" x14ac:dyDescent="0.2">
      <c r="A13222" s="8">
        <v>13221</v>
      </c>
      <c r="B13222" s="8" t="s">
        <v>55346</v>
      </c>
      <c r="C13222" s="8" t="s">
        <v>55346</v>
      </c>
      <c r="G13222" s="8">
        <v>20</v>
      </c>
      <c r="H13222" s="8" t="s">
        <v>21</v>
      </c>
      <c r="I13222" s="8" t="s">
        <v>22</v>
      </c>
      <c r="J13222" s="8" t="s">
        <v>22</v>
      </c>
      <c r="K13222" s="8" t="s">
        <v>31</v>
      </c>
      <c r="L13222" s="8" t="s">
        <v>24</v>
      </c>
      <c r="M13222" s="8" t="s">
        <v>25</v>
      </c>
      <c r="N13222" s="8" t="s">
        <v>55347</v>
      </c>
      <c r="O13222" s="8">
        <f>0+3/60+11.1/3600</f>
        <v>5.3083333333333337E-2</v>
      </c>
      <c r="P13222" s="8" t="s">
        <v>33073</v>
      </c>
      <c r="Q13222" s="8">
        <f>+(15+57/60+55/3600)</f>
        <v>15.965277777777777</v>
      </c>
      <c r="R13222" s="8">
        <v>14.1</v>
      </c>
      <c r="S13222" s="8">
        <v>14.9</v>
      </c>
      <c r="T13222" s="8">
        <v>0.8</v>
      </c>
      <c r="U13222" s="8">
        <v>12.9</v>
      </c>
      <c r="V13222" s="8">
        <v>1.3</v>
      </c>
      <c r="W13222" s="8">
        <v>0.3</v>
      </c>
      <c r="X13222" s="8">
        <v>54</v>
      </c>
      <c r="Y13222" s="8" t="s">
        <v>21</v>
      </c>
      <c r="Z13222" s="8" t="s">
        <v>55348</v>
      </c>
    </row>
    <row r="13223" spans="1:26" x14ac:dyDescent="0.2">
      <c r="A13223" s="8">
        <v>13222</v>
      </c>
      <c r="B13223" s="8" t="s">
        <v>55349</v>
      </c>
      <c r="C13223" s="8" t="s">
        <v>55349</v>
      </c>
      <c r="G13223" s="8">
        <v>20</v>
      </c>
      <c r="H13223" s="8" t="s">
        <v>21</v>
      </c>
      <c r="I13223" s="8" t="s">
        <v>22</v>
      </c>
      <c r="J13223" s="8" t="s">
        <v>22</v>
      </c>
      <c r="K13223" s="8" t="s">
        <v>160</v>
      </c>
      <c r="L13223" s="8" t="s">
        <v>310</v>
      </c>
      <c r="M13223" s="8" t="s">
        <v>311</v>
      </c>
      <c r="N13223" s="8" t="s">
        <v>55350</v>
      </c>
      <c r="O13223" s="8">
        <f>0+3/60+26.3/3600</f>
        <v>5.7305555555555561E-2</v>
      </c>
      <c r="P13223" s="8" t="s">
        <v>55351</v>
      </c>
      <c r="Q13223" s="8">
        <f>-(65+11/60+48/3600)</f>
        <v>-65.196666666666673</v>
      </c>
      <c r="R13223" s="8">
        <v>14.6</v>
      </c>
      <c r="S13223" s="8">
        <v>15.3</v>
      </c>
      <c r="T13223" s="8">
        <v>0.7</v>
      </c>
      <c r="U13223" s="8">
        <v>13.8</v>
      </c>
      <c r="V13223" s="8">
        <v>0.8</v>
      </c>
      <c r="W13223" s="8">
        <v>0.7</v>
      </c>
      <c r="Y13223" s="8" t="s">
        <v>55352</v>
      </c>
      <c r="Z13223" s="8" t="s">
        <v>55353</v>
      </c>
    </row>
    <row r="13224" spans="1:26" x14ac:dyDescent="0.2">
      <c r="A13224" s="8">
        <v>13223</v>
      </c>
      <c r="B13224" s="8" t="s">
        <v>55354</v>
      </c>
      <c r="C13224" s="8" t="s">
        <v>55354</v>
      </c>
      <c r="G13224" s="8">
        <v>20</v>
      </c>
      <c r="H13224" s="8" t="s">
        <v>21</v>
      </c>
      <c r="I13224" s="8" t="s">
        <v>329</v>
      </c>
      <c r="J13224" s="8" t="s">
        <v>329</v>
      </c>
      <c r="K13224" s="8" t="s">
        <v>329</v>
      </c>
      <c r="L13224" s="8" t="s">
        <v>24</v>
      </c>
      <c r="M13224" s="8" t="s">
        <v>25</v>
      </c>
      <c r="N13224" s="8" t="s">
        <v>55355</v>
      </c>
      <c r="O13224" s="8">
        <f>0+3/60+48.8/3600</f>
        <v>6.355555555555556E-2</v>
      </c>
      <c r="P13224" s="8" t="s">
        <v>55356</v>
      </c>
      <c r="Q13224" s="8">
        <f>+(16+0/60+50/3600)</f>
        <v>16.013888888888889</v>
      </c>
      <c r="R13224" s="8">
        <v>99</v>
      </c>
      <c r="S13224" s="8">
        <v>99</v>
      </c>
      <c r="T13224" s="8">
        <v>99</v>
      </c>
      <c r="U13224" s="8">
        <v>99</v>
      </c>
      <c r="Y13224" s="8" t="s">
        <v>2641</v>
      </c>
      <c r="Z13224" s="8" t="s">
        <v>2642</v>
      </c>
    </row>
    <row r="13225" spans="1:26" x14ac:dyDescent="0.2">
      <c r="A13225" s="8">
        <v>13224</v>
      </c>
      <c r="B13225" s="8" t="s">
        <v>55357</v>
      </c>
      <c r="C13225" s="8" t="s">
        <v>55357</v>
      </c>
      <c r="G13225" s="8">
        <v>20</v>
      </c>
      <c r="H13225" s="8" t="s">
        <v>21</v>
      </c>
      <c r="I13225" s="8" t="s">
        <v>22</v>
      </c>
      <c r="J13225" s="8" t="s">
        <v>57</v>
      </c>
      <c r="K13225" s="8" t="s">
        <v>23</v>
      </c>
      <c r="L13225" s="8" t="s">
        <v>125</v>
      </c>
      <c r="M13225" s="8" t="s">
        <v>126</v>
      </c>
      <c r="N13225" s="8" t="s">
        <v>34514</v>
      </c>
      <c r="O13225" s="8">
        <f>0+4/60+9.2/3600</f>
        <v>6.9222222222222227E-2</v>
      </c>
      <c r="P13225" s="8" t="s">
        <v>34515</v>
      </c>
      <c r="Q13225" s="8">
        <f>-(11+59/60+2/3600)</f>
        <v>-11.983888888888888</v>
      </c>
      <c r="R13225" s="8">
        <v>14.2</v>
      </c>
      <c r="S13225" s="8">
        <v>15</v>
      </c>
      <c r="T13225" s="8">
        <v>0.8</v>
      </c>
      <c r="U13225" s="8">
        <v>12.5</v>
      </c>
      <c r="V13225" s="8">
        <v>0.8</v>
      </c>
      <c r="W13225" s="8">
        <v>0.3</v>
      </c>
      <c r="X13225" s="8">
        <v>158</v>
      </c>
      <c r="Y13225" s="8" t="s">
        <v>55358</v>
      </c>
      <c r="Z13225" s="8" t="s">
        <v>55359</v>
      </c>
    </row>
    <row r="13226" spans="1:26" x14ac:dyDescent="0.2">
      <c r="A13226" s="8">
        <v>13225</v>
      </c>
      <c r="B13226" s="8" t="s">
        <v>55360</v>
      </c>
      <c r="C13226" s="8" t="s">
        <v>55360</v>
      </c>
      <c r="G13226" s="8">
        <v>20</v>
      </c>
      <c r="H13226" s="8" t="s">
        <v>21</v>
      </c>
      <c r="I13226" s="8" t="s">
        <v>329</v>
      </c>
      <c r="J13226" s="8" t="s">
        <v>329</v>
      </c>
      <c r="K13226" s="8" t="s">
        <v>329</v>
      </c>
      <c r="L13226" s="8" t="s">
        <v>38</v>
      </c>
      <c r="M13226" s="8" t="s">
        <v>39</v>
      </c>
      <c r="N13226" s="8" t="s">
        <v>55361</v>
      </c>
      <c r="O13226" s="8">
        <f>0+6/60+23/3600</f>
        <v>0.10638888888888889</v>
      </c>
      <c r="P13226" s="8" t="s">
        <v>55362</v>
      </c>
      <c r="Q13226" s="8">
        <f>-(0+4/60+36/3600)</f>
        <v>-7.6666666666666661E-2</v>
      </c>
      <c r="R13226" s="8">
        <v>99</v>
      </c>
      <c r="S13226" s="8">
        <v>99</v>
      </c>
      <c r="T13226" s="8">
        <v>99</v>
      </c>
      <c r="U13226" s="8">
        <v>99</v>
      </c>
      <c r="Y13226" s="8" t="s">
        <v>15607</v>
      </c>
      <c r="Z13226" s="8" t="s">
        <v>15608</v>
      </c>
    </row>
    <row r="13227" spans="1:26" x14ac:dyDescent="0.2">
      <c r="A13227" s="8">
        <v>13226</v>
      </c>
      <c r="B13227" s="8" t="s">
        <v>55363</v>
      </c>
      <c r="C13227" s="8" t="s">
        <v>55363</v>
      </c>
      <c r="G13227" s="8">
        <v>20</v>
      </c>
      <c r="H13227" s="8" t="s">
        <v>21</v>
      </c>
      <c r="I13227" s="8" t="s">
        <v>22</v>
      </c>
      <c r="J13227" s="8" t="s">
        <v>57</v>
      </c>
      <c r="K13227" s="8" t="s">
        <v>1068</v>
      </c>
      <c r="L13227" s="8" t="s">
        <v>38</v>
      </c>
      <c r="M13227" s="8" t="s">
        <v>39</v>
      </c>
      <c r="N13227" s="8" t="s">
        <v>34601</v>
      </c>
      <c r="O13227" s="8">
        <f>0+6/60+28.4/3600</f>
        <v>0.1078888888888889</v>
      </c>
      <c r="P13227" s="8" t="s">
        <v>34602</v>
      </c>
      <c r="Q13227" s="8">
        <f>-(3+43/60+0/3600)</f>
        <v>-3.7166666666666668</v>
      </c>
      <c r="R13227" s="8">
        <v>13.2</v>
      </c>
      <c r="S13227" s="8">
        <v>14.2</v>
      </c>
      <c r="T13227" s="8">
        <v>1</v>
      </c>
      <c r="U13227" s="8">
        <v>14</v>
      </c>
      <c r="V13227" s="8">
        <v>1.9</v>
      </c>
      <c r="W13227" s="8">
        <v>1</v>
      </c>
      <c r="X13227" s="8">
        <v>25</v>
      </c>
      <c r="Y13227" s="8" t="s">
        <v>41672</v>
      </c>
      <c r="Z13227" s="8" t="s">
        <v>55364</v>
      </c>
    </row>
  </sheetData>
  <autoFilter ref="A1:Z13227"/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6"/>
  <sheetViews>
    <sheetView topLeftCell="A542" workbookViewId="0">
      <selection activeCell="A554" sqref="A554"/>
    </sheetView>
  </sheetViews>
  <sheetFormatPr defaultRowHeight="14.25" x14ac:dyDescent="0.2"/>
  <cols>
    <col min="1" max="16384" width="9" style="8"/>
  </cols>
  <sheetData>
    <row r="1" spans="1:2" x14ac:dyDescent="0.2">
      <c r="A1" s="8" t="s">
        <v>56</v>
      </c>
      <c r="B1" s="8" t="s">
        <v>141</v>
      </c>
    </row>
    <row r="2" spans="1:2" x14ac:dyDescent="0.2">
      <c r="A2" s="8" t="s">
        <v>143</v>
      </c>
      <c r="B2" s="8" t="s">
        <v>188</v>
      </c>
    </row>
    <row r="3" spans="1:2" x14ac:dyDescent="0.2">
      <c r="A3" s="8" t="s">
        <v>210</v>
      </c>
      <c r="B3" s="8" t="s">
        <v>123</v>
      </c>
    </row>
    <row r="4" spans="1:2" x14ac:dyDescent="0.2">
      <c r="A4" s="8" t="s">
        <v>339</v>
      </c>
      <c r="B4" s="8" t="s">
        <v>279</v>
      </c>
    </row>
    <row r="5" spans="1:2" x14ac:dyDescent="0.2">
      <c r="A5" s="8" t="s">
        <v>815</v>
      </c>
      <c r="B5" s="8" t="s">
        <v>805</v>
      </c>
    </row>
    <row r="6" spans="1:2" x14ac:dyDescent="0.2">
      <c r="A6" s="8" t="s">
        <v>917</v>
      </c>
      <c r="B6" s="8" t="s">
        <v>897</v>
      </c>
    </row>
    <row r="7" spans="1:2" x14ac:dyDescent="0.2">
      <c r="A7" s="8" t="s">
        <v>1098</v>
      </c>
      <c r="B7" s="8" t="s">
        <v>1057</v>
      </c>
    </row>
    <row r="8" spans="1:2" x14ac:dyDescent="0.2">
      <c r="A8" s="8" t="s">
        <v>1247</v>
      </c>
      <c r="B8" s="8" t="s">
        <v>1252</v>
      </c>
    </row>
    <row r="9" spans="1:2" x14ac:dyDescent="0.2">
      <c r="A9" s="8" t="s">
        <v>1870</v>
      </c>
      <c r="B9" s="8" t="s">
        <v>1860</v>
      </c>
    </row>
    <row r="10" spans="1:2" x14ac:dyDescent="0.2">
      <c r="A10" s="8" t="s">
        <v>2555</v>
      </c>
      <c r="B10" s="8" t="s">
        <v>2623</v>
      </c>
    </row>
    <row r="11" spans="1:2" x14ac:dyDescent="0.2">
      <c r="A11" s="8" t="s">
        <v>2741</v>
      </c>
      <c r="B11" s="8" t="s">
        <v>2630</v>
      </c>
    </row>
    <row r="12" spans="1:2" x14ac:dyDescent="0.2">
      <c r="A12" s="8" t="s">
        <v>2815</v>
      </c>
      <c r="B12" s="8" t="s">
        <v>2799</v>
      </c>
    </row>
    <row r="13" spans="1:2" x14ac:dyDescent="0.2">
      <c r="A13" s="8" t="s">
        <v>3153</v>
      </c>
      <c r="B13" s="8" t="s">
        <v>3145</v>
      </c>
    </row>
    <row r="14" spans="1:2" x14ac:dyDescent="0.2">
      <c r="A14" s="8" t="s">
        <v>3272</v>
      </c>
      <c r="B14" s="8" t="s">
        <v>3386</v>
      </c>
    </row>
    <row r="15" spans="1:2" x14ac:dyDescent="0.2">
      <c r="A15" s="8" t="s">
        <v>3517</v>
      </c>
      <c r="B15" s="8" t="s">
        <v>3512</v>
      </c>
    </row>
    <row r="16" spans="1:2" x14ac:dyDescent="0.2">
      <c r="A16" s="8" t="s">
        <v>3536</v>
      </c>
      <c r="B16" s="8" t="s">
        <v>3528</v>
      </c>
    </row>
    <row r="17" spans="1:2" x14ac:dyDescent="0.2">
      <c r="A17" s="8" t="s">
        <v>3670</v>
      </c>
      <c r="B17" s="8" t="s">
        <v>3543</v>
      </c>
    </row>
    <row r="18" spans="1:2" x14ac:dyDescent="0.2">
      <c r="A18" s="8" t="s">
        <v>3673</v>
      </c>
      <c r="B18" s="8" t="s">
        <v>605</v>
      </c>
    </row>
    <row r="19" spans="1:2" x14ac:dyDescent="0.2">
      <c r="A19" s="8" t="s">
        <v>3694</v>
      </c>
      <c r="B19" s="8" t="s">
        <v>3660</v>
      </c>
    </row>
    <row r="20" spans="1:2" x14ac:dyDescent="0.2">
      <c r="A20" s="8" t="s">
        <v>4075</v>
      </c>
      <c r="B20" s="8" t="s">
        <v>4072</v>
      </c>
    </row>
    <row r="21" spans="1:2" x14ac:dyDescent="0.2">
      <c r="A21" s="8" t="s">
        <v>4116</v>
      </c>
      <c r="B21" s="8" t="s">
        <v>4129</v>
      </c>
    </row>
    <row r="22" spans="1:2" x14ac:dyDescent="0.2">
      <c r="A22" s="8" t="s">
        <v>4161</v>
      </c>
      <c r="B22" s="8" t="s">
        <v>4146</v>
      </c>
    </row>
    <row r="23" spans="1:2" x14ac:dyDescent="0.2">
      <c r="A23" s="8" t="s">
        <v>4203</v>
      </c>
      <c r="B23" s="8" t="s">
        <v>4162</v>
      </c>
    </row>
    <row r="24" spans="1:2" x14ac:dyDescent="0.2">
      <c r="A24" s="8" t="s">
        <v>4249</v>
      </c>
      <c r="B24" s="8" t="s">
        <v>4146</v>
      </c>
    </row>
    <row r="25" spans="1:2" x14ac:dyDescent="0.2">
      <c r="A25" s="8" t="s">
        <v>4543</v>
      </c>
      <c r="B25" s="8" t="s">
        <v>4491</v>
      </c>
    </row>
    <row r="26" spans="1:2" x14ac:dyDescent="0.2">
      <c r="A26" s="8" t="s">
        <v>4584</v>
      </c>
      <c r="B26" s="8" t="s">
        <v>4971</v>
      </c>
    </row>
    <row r="27" spans="1:2" x14ac:dyDescent="0.2">
      <c r="A27" s="8" t="s">
        <v>4734</v>
      </c>
      <c r="B27" s="8" t="s">
        <v>4731</v>
      </c>
    </row>
    <row r="28" spans="1:2" x14ac:dyDescent="0.2">
      <c r="A28" s="8" t="s">
        <v>4760</v>
      </c>
      <c r="B28" s="8" t="s">
        <v>4686</v>
      </c>
    </row>
    <row r="29" spans="1:2" x14ac:dyDescent="0.2">
      <c r="A29" s="8" t="s">
        <v>4776</v>
      </c>
      <c r="B29" s="8" t="s">
        <v>4793</v>
      </c>
    </row>
    <row r="30" spans="1:2" x14ac:dyDescent="0.2">
      <c r="A30" s="8" t="s">
        <v>4979</v>
      </c>
      <c r="B30" s="8" t="s">
        <v>4921</v>
      </c>
    </row>
    <row r="31" spans="1:2" x14ac:dyDescent="0.2">
      <c r="A31" s="8" t="s">
        <v>5277</v>
      </c>
      <c r="B31" s="8" t="s">
        <v>5282</v>
      </c>
    </row>
    <row r="32" spans="1:2" x14ac:dyDescent="0.2">
      <c r="A32" s="8" t="s">
        <v>5369</v>
      </c>
      <c r="B32" s="8" t="s">
        <v>5357</v>
      </c>
    </row>
    <row r="33" spans="1:2" x14ac:dyDescent="0.2">
      <c r="A33" s="8" t="s">
        <v>5370</v>
      </c>
      <c r="B33" s="8" t="s">
        <v>5363</v>
      </c>
    </row>
    <row r="34" spans="1:2" x14ac:dyDescent="0.2">
      <c r="A34" s="8" t="s">
        <v>5508</v>
      </c>
      <c r="B34" s="8" t="s">
        <v>5564</v>
      </c>
    </row>
    <row r="35" spans="1:2" x14ac:dyDescent="0.2">
      <c r="A35" s="8" t="s">
        <v>5647</v>
      </c>
      <c r="B35" s="8" t="s">
        <v>5546</v>
      </c>
    </row>
    <row r="36" spans="1:2" x14ac:dyDescent="0.2">
      <c r="A36" s="8" t="s">
        <v>5741</v>
      </c>
      <c r="B36" s="8" t="s">
        <v>4009</v>
      </c>
    </row>
    <row r="37" spans="1:2" x14ac:dyDescent="0.2">
      <c r="A37" s="8" t="s">
        <v>5782</v>
      </c>
      <c r="B37" s="8" t="s">
        <v>5772</v>
      </c>
    </row>
    <row r="38" spans="1:2" x14ac:dyDescent="0.2">
      <c r="A38" s="8" t="s">
        <v>5933</v>
      </c>
      <c r="B38" s="8" t="s">
        <v>6022</v>
      </c>
    </row>
    <row r="39" spans="1:2" x14ac:dyDescent="0.2">
      <c r="A39" s="8" t="s">
        <v>6092</v>
      </c>
      <c r="B39" s="8" t="s">
        <v>6079</v>
      </c>
    </row>
    <row r="40" spans="1:2" x14ac:dyDescent="0.2">
      <c r="A40" s="8" t="s">
        <v>6146</v>
      </c>
      <c r="B40" s="8" t="s">
        <v>6140</v>
      </c>
    </row>
    <row r="41" spans="1:2" x14ac:dyDescent="0.2">
      <c r="A41" s="8" t="s">
        <v>6243</v>
      </c>
      <c r="B41" s="8" t="s">
        <v>6265</v>
      </c>
    </row>
    <row r="42" spans="1:2" x14ac:dyDescent="0.2">
      <c r="A42" s="8" t="s">
        <v>6376</v>
      </c>
      <c r="B42" s="8" t="s">
        <v>6390</v>
      </c>
    </row>
    <row r="43" spans="1:2" x14ac:dyDescent="0.2">
      <c r="A43" s="8" t="s">
        <v>6680</v>
      </c>
      <c r="B43" s="8" t="s">
        <v>6675</v>
      </c>
    </row>
    <row r="44" spans="1:2" x14ac:dyDescent="0.2">
      <c r="A44" s="8" t="s">
        <v>6702</v>
      </c>
      <c r="B44" s="8" t="s">
        <v>6692</v>
      </c>
    </row>
    <row r="45" spans="1:2" x14ac:dyDescent="0.2">
      <c r="A45" s="8" t="s">
        <v>6729</v>
      </c>
      <c r="B45" s="8" t="s">
        <v>6769</v>
      </c>
    </row>
    <row r="46" spans="1:2" x14ac:dyDescent="0.2">
      <c r="A46" s="8" t="s">
        <v>6762</v>
      </c>
      <c r="B46" s="8" t="s">
        <v>6747</v>
      </c>
    </row>
    <row r="47" spans="1:2" x14ac:dyDescent="0.2">
      <c r="A47" s="8" t="s">
        <v>6772</v>
      </c>
      <c r="B47" s="8" t="s">
        <v>6692</v>
      </c>
    </row>
    <row r="48" spans="1:2" x14ac:dyDescent="0.2">
      <c r="A48" s="8" t="s">
        <v>6800</v>
      </c>
      <c r="B48" s="8" t="s">
        <v>6834</v>
      </c>
    </row>
    <row r="49" spans="1:2" x14ac:dyDescent="0.2">
      <c r="A49" s="8" t="s">
        <v>7088</v>
      </c>
      <c r="B49" s="8" t="s">
        <v>7050</v>
      </c>
    </row>
    <row r="50" spans="1:2" x14ac:dyDescent="0.2">
      <c r="A50" s="8" t="s">
        <v>7203</v>
      </c>
      <c r="B50" s="8" t="s">
        <v>7208</v>
      </c>
    </row>
    <row r="51" spans="1:2" x14ac:dyDescent="0.2">
      <c r="A51" s="8" t="s">
        <v>7302</v>
      </c>
      <c r="B51" s="8" t="s">
        <v>7299</v>
      </c>
    </row>
    <row r="52" spans="1:2" x14ac:dyDescent="0.2">
      <c r="A52" s="8" t="s">
        <v>7319</v>
      </c>
      <c r="B52" s="8" t="s">
        <v>7329</v>
      </c>
    </row>
    <row r="53" spans="1:2" x14ac:dyDescent="0.2">
      <c r="A53" s="8" t="s">
        <v>7455</v>
      </c>
      <c r="B53" s="8" t="s">
        <v>7401</v>
      </c>
    </row>
    <row r="54" spans="1:2" x14ac:dyDescent="0.2">
      <c r="A54" s="8" t="s">
        <v>7515</v>
      </c>
      <c r="B54" s="8" t="s">
        <v>7540</v>
      </c>
    </row>
    <row r="55" spans="1:2" x14ac:dyDescent="0.2">
      <c r="A55" s="8" t="s">
        <v>7645</v>
      </c>
      <c r="B55" s="8" t="s">
        <v>7658</v>
      </c>
    </row>
    <row r="56" spans="1:2" x14ac:dyDescent="0.2">
      <c r="A56" s="8" t="s">
        <v>7765</v>
      </c>
      <c r="B56" s="8" t="s">
        <v>7760</v>
      </c>
    </row>
    <row r="57" spans="1:2" x14ac:dyDescent="0.2">
      <c r="A57" s="8" t="s">
        <v>7771</v>
      </c>
      <c r="B57" s="8" t="s">
        <v>7689</v>
      </c>
    </row>
    <row r="58" spans="1:2" x14ac:dyDescent="0.2">
      <c r="A58" s="8" t="s">
        <v>7822</v>
      </c>
      <c r="B58" s="8" t="s">
        <v>7731</v>
      </c>
    </row>
    <row r="59" spans="1:2" x14ac:dyDescent="0.2">
      <c r="A59" s="8" t="s">
        <v>8307</v>
      </c>
      <c r="B59" s="8" t="s">
        <v>8248</v>
      </c>
    </row>
    <row r="60" spans="1:2" x14ac:dyDescent="0.2">
      <c r="A60" s="8" t="s">
        <v>8590</v>
      </c>
      <c r="B60" s="8" t="s">
        <v>8585</v>
      </c>
    </row>
    <row r="61" spans="1:2" x14ac:dyDescent="0.2">
      <c r="A61" s="8" t="s">
        <v>8857</v>
      </c>
      <c r="B61" s="8" t="s">
        <v>8897</v>
      </c>
    </row>
    <row r="62" spans="1:2" x14ac:dyDescent="0.2">
      <c r="A62" s="8" t="s">
        <v>9225</v>
      </c>
      <c r="B62" s="8" t="s">
        <v>9143</v>
      </c>
    </row>
    <row r="63" spans="1:2" x14ac:dyDescent="0.2">
      <c r="A63" s="8" t="s">
        <v>10296</v>
      </c>
      <c r="B63" s="8" t="s">
        <v>10291</v>
      </c>
    </row>
    <row r="64" spans="1:2" x14ac:dyDescent="0.2">
      <c r="A64" s="8" t="s">
        <v>10353</v>
      </c>
      <c r="B64" s="8" t="s">
        <v>10375</v>
      </c>
    </row>
    <row r="65" spans="1:2" x14ac:dyDescent="0.2">
      <c r="A65" s="8" t="s">
        <v>10626</v>
      </c>
      <c r="B65" s="8" t="s">
        <v>10641</v>
      </c>
    </row>
    <row r="66" spans="1:2" x14ac:dyDescent="0.2">
      <c r="A66" s="8" t="s">
        <v>10709</v>
      </c>
      <c r="B66" s="8" t="s">
        <v>10703</v>
      </c>
    </row>
    <row r="67" spans="1:2" x14ac:dyDescent="0.2">
      <c r="A67" s="8" t="s">
        <v>10877</v>
      </c>
      <c r="B67" s="8" t="s">
        <v>10872</v>
      </c>
    </row>
    <row r="68" spans="1:2" x14ac:dyDescent="0.2">
      <c r="A68" s="8" t="s">
        <v>10956</v>
      </c>
      <c r="B68" s="8" t="s">
        <v>10950</v>
      </c>
    </row>
    <row r="69" spans="1:2" x14ac:dyDescent="0.2">
      <c r="A69" s="8" t="s">
        <v>10986</v>
      </c>
      <c r="B69" s="8" t="s">
        <v>10996</v>
      </c>
    </row>
    <row r="70" spans="1:2" x14ac:dyDescent="0.2">
      <c r="A70" s="8" t="s">
        <v>11240</v>
      </c>
      <c r="B70" s="8" t="s">
        <v>11216</v>
      </c>
    </row>
    <row r="71" spans="1:2" x14ac:dyDescent="0.2">
      <c r="A71" s="8" t="s">
        <v>11271</v>
      </c>
      <c r="B71" s="8" t="s">
        <v>11265</v>
      </c>
    </row>
    <row r="72" spans="1:2" x14ac:dyDescent="0.2">
      <c r="A72" s="8" t="s">
        <v>11440</v>
      </c>
      <c r="B72" s="8" t="s">
        <v>11173</v>
      </c>
    </row>
    <row r="73" spans="1:2" x14ac:dyDescent="0.2">
      <c r="A73" s="8" t="s">
        <v>11630</v>
      </c>
      <c r="B73" s="8" t="s">
        <v>11663</v>
      </c>
    </row>
    <row r="74" spans="1:2" x14ac:dyDescent="0.2">
      <c r="A74" s="8" t="s">
        <v>12233</v>
      </c>
      <c r="B74" s="8" t="s">
        <v>13704</v>
      </c>
    </row>
    <row r="75" spans="1:2" x14ac:dyDescent="0.2">
      <c r="A75" s="8" t="s">
        <v>12578</v>
      </c>
      <c r="B75" s="8" t="s">
        <v>12496</v>
      </c>
    </row>
    <row r="76" spans="1:2" x14ac:dyDescent="0.2">
      <c r="A76" s="8" t="s">
        <v>12601</v>
      </c>
      <c r="B76" s="8" t="s">
        <v>12557</v>
      </c>
    </row>
    <row r="77" spans="1:2" x14ac:dyDescent="0.2">
      <c r="A77" s="8" t="s">
        <v>12862</v>
      </c>
      <c r="B77" s="8" t="s">
        <v>14565</v>
      </c>
    </row>
    <row r="78" spans="1:2" x14ac:dyDescent="0.2">
      <c r="A78" s="8" t="s">
        <v>12979</v>
      </c>
      <c r="B78" s="8" t="s">
        <v>12998</v>
      </c>
    </row>
    <row r="79" spans="1:2" x14ac:dyDescent="0.2">
      <c r="A79" s="8" t="s">
        <v>13225</v>
      </c>
      <c r="B79" s="8" t="s">
        <v>13200</v>
      </c>
    </row>
    <row r="80" spans="1:2" x14ac:dyDescent="0.2">
      <c r="A80" s="8" t="s">
        <v>13821</v>
      </c>
      <c r="B80" s="8" t="s">
        <v>13693</v>
      </c>
    </row>
    <row r="81" spans="1:2" x14ac:dyDescent="0.2">
      <c r="A81" s="8" t="s">
        <v>14053</v>
      </c>
      <c r="B81" s="8" t="s">
        <v>13727</v>
      </c>
    </row>
    <row r="82" spans="1:2" x14ac:dyDescent="0.2">
      <c r="A82" s="8" t="s">
        <v>14285</v>
      </c>
      <c r="B82" s="8" t="s">
        <v>14274</v>
      </c>
    </row>
    <row r="83" spans="1:2" x14ac:dyDescent="0.2">
      <c r="A83" s="8" t="s">
        <v>14312</v>
      </c>
      <c r="B83" s="8" t="s">
        <v>14368</v>
      </c>
    </row>
    <row r="84" spans="1:2" x14ac:dyDescent="0.2">
      <c r="A84" s="8" t="s">
        <v>14468</v>
      </c>
      <c r="B84" s="8" t="s">
        <v>14597</v>
      </c>
    </row>
    <row r="85" spans="1:2" x14ac:dyDescent="0.2">
      <c r="A85" s="8" t="s">
        <v>14515</v>
      </c>
      <c r="B85" s="8" t="s">
        <v>14685</v>
      </c>
    </row>
    <row r="86" spans="1:2" x14ac:dyDescent="0.2">
      <c r="A86" s="8" t="s">
        <v>14638</v>
      </c>
      <c r="B86" s="8" t="s">
        <v>14794</v>
      </c>
    </row>
    <row r="87" spans="1:2" x14ac:dyDescent="0.2">
      <c r="A87" s="8" t="s">
        <v>14676</v>
      </c>
      <c r="B87" s="8" t="s">
        <v>14679</v>
      </c>
    </row>
    <row r="88" spans="1:2" x14ac:dyDescent="0.2">
      <c r="A88" s="8" t="s">
        <v>14872</v>
      </c>
      <c r="B88" s="8" t="s">
        <v>14867</v>
      </c>
    </row>
    <row r="89" spans="1:2" x14ac:dyDescent="0.2">
      <c r="A89" s="8" t="s">
        <v>15108</v>
      </c>
      <c r="B89" s="8" t="s">
        <v>15100</v>
      </c>
    </row>
    <row r="90" spans="1:2" x14ac:dyDescent="0.2">
      <c r="A90" s="8" t="s">
        <v>15147</v>
      </c>
      <c r="B90" s="8" t="s">
        <v>15084</v>
      </c>
    </row>
    <row r="91" spans="1:2" x14ac:dyDescent="0.2">
      <c r="A91" s="8" t="s">
        <v>15254</v>
      </c>
      <c r="B91" s="8" t="s">
        <v>15258</v>
      </c>
    </row>
    <row r="92" spans="1:2" x14ac:dyDescent="0.2">
      <c r="A92" s="8" t="s">
        <v>15288</v>
      </c>
      <c r="B92" s="8" t="s">
        <v>15590</v>
      </c>
    </row>
    <row r="93" spans="1:2" x14ac:dyDescent="0.2">
      <c r="A93" s="8" t="s">
        <v>15303</v>
      </c>
      <c r="B93" s="8" t="s">
        <v>15346</v>
      </c>
    </row>
    <row r="94" spans="1:2" x14ac:dyDescent="0.2">
      <c r="A94" s="8" t="s">
        <v>15474</v>
      </c>
      <c r="B94" s="8" t="s">
        <v>15536</v>
      </c>
    </row>
    <row r="95" spans="1:2" x14ac:dyDescent="0.2">
      <c r="A95" s="8" t="s">
        <v>15485</v>
      </c>
      <c r="B95" s="8" t="s">
        <v>15554</v>
      </c>
    </row>
    <row r="96" spans="1:2" x14ac:dyDescent="0.2">
      <c r="A96" s="8" t="s">
        <v>15551</v>
      </c>
      <c r="B96" s="8" t="s">
        <v>15713</v>
      </c>
    </row>
    <row r="97" spans="1:2" x14ac:dyDescent="0.2">
      <c r="A97" s="8" t="s">
        <v>15609</v>
      </c>
      <c r="B97" s="8" t="s">
        <v>15652</v>
      </c>
    </row>
    <row r="98" spans="1:2" x14ac:dyDescent="0.2">
      <c r="A98" s="8" t="s">
        <v>15726</v>
      </c>
      <c r="B98" s="8" t="s">
        <v>15723</v>
      </c>
    </row>
    <row r="99" spans="1:2" x14ac:dyDescent="0.2">
      <c r="A99" s="8" t="s">
        <v>15871</v>
      </c>
      <c r="B99" s="8" t="s">
        <v>15856</v>
      </c>
    </row>
    <row r="100" spans="1:2" x14ac:dyDescent="0.2">
      <c r="A100" s="8" t="s">
        <v>15959</v>
      </c>
      <c r="B100" s="8" t="s">
        <v>15944</v>
      </c>
    </row>
    <row r="101" spans="1:2" x14ac:dyDescent="0.2">
      <c r="A101" s="8" t="s">
        <v>16057</v>
      </c>
      <c r="B101" s="8" t="s">
        <v>15954</v>
      </c>
    </row>
    <row r="102" spans="1:2" x14ac:dyDescent="0.2">
      <c r="A102" s="8" t="s">
        <v>16070</v>
      </c>
      <c r="B102" s="8" t="s">
        <v>16085</v>
      </c>
    </row>
    <row r="103" spans="1:2" x14ac:dyDescent="0.2">
      <c r="A103" s="8" t="s">
        <v>16130</v>
      </c>
      <c r="B103" s="8" t="s">
        <v>14368</v>
      </c>
    </row>
    <row r="104" spans="1:2" x14ac:dyDescent="0.2">
      <c r="A104" s="8" t="s">
        <v>16161</v>
      </c>
      <c r="B104" s="8" t="s">
        <v>16034</v>
      </c>
    </row>
    <row r="105" spans="1:2" x14ac:dyDescent="0.2">
      <c r="A105" s="8" t="s">
        <v>16186</v>
      </c>
      <c r="B105" s="8" t="s">
        <v>16164</v>
      </c>
    </row>
    <row r="106" spans="1:2" x14ac:dyDescent="0.2">
      <c r="A106" s="8" t="s">
        <v>16245</v>
      </c>
      <c r="B106" s="8" t="s">
        <v>16369</v>
      </c>
    </row>
    <row r="107" spans="1:2" x14ac:dyDescent="0.2">
      <c r="A107" s="8" t="s">
        <v>16265</v>
      </c>
      <c r="B107" s="8" t="s">
        <v>16227</v>
      </c>
    </row>
    <row r="108" spans="1:2" x14ac:dyDescent="0.2">
      <c r="A108" s="8" t="s">
        <v>16321</v>
      </c>
      <c r="B108" s="8" t="s">
        <v>16316</v>
      </c>
    </row>
    <row r="109" spans="1:2" x14ac:dyDescent="0.2">
      <c r="A109" s="8" t="s">
        <v>16385</v>
      </c>
      <c r="B109" s="8" t="s">
        <v>14542</v>
      </c>
    </row>
    <row r="110" spans="1:2" x14ac:dyDescent="0.2">
      <c r="A110" s="8" t="s">
        <v>16523</v>
      </c>
      <c r="B110" s="8" t="s">
        <v>16556</v>
      </c>
    </row>
    <row r="111" spans="1:2" x14ac:dyDescent="0.2">
      <c r="A111" s="8" t="s">
        <v>16546</v>
      </c>
      <c r="B111" s="8" t="s">
        <v>16558</v>
      </c>
    </row>
    <row r="112" spans="1:2" x14ac:dyDescent="0.2">
      <c r="A112" s="8" t="s">
        <v>16648</v>
      </c>
      <c r="B112" s="8" t="s">
        <v>16617</v>
      </c>
    </row>
    <row r="113" spans="1:2" x14ac:dyDescent="0.2">
      <c r="A113" s="8" t="s">
        <v>16638</v>
      </c>
      <c r="B113" s="8" t="s">
        <v>16704</v>
      </c>
    </row>
    <row r="114" spans="1:2" x14ac:dyDescent="0.2">
      <c r="A114" s="8" t="s">
        <v>16952</v>
      </c>
      <c r="B114" s="8" t="s">
        <v>16941</v>
      </c>
    </row>
    <row r="115" spans="1:2" x14ac:dyDescent="0.2">
      <c r="A115" s="8" t="s">
        <v>17010</v>
      </c>
      <c r="B115" s="8" t="s">
        <v>17020</v>
      </c>
    </row>
    <row r="116" spans="1:2" x14ac:dyDescent="0.2">
      <c r="A116" s="8" t="s">
        <v>17220</v>
      </c>
      <c r="B116" s="8" t="s">
        <v>15172</v>
      </c>
    </row>
    <row r="117" spans="1:2" x14ac:dyDescent="0.2">
      <c r="A117" s="8" t="s">
        <v>17401</v>
      </c>
      <c r="B117" s="8" t="s">
        <v>17359</v>
      </c>
    </row>
    <row r="118" spans="1:2" x14ac:dyDescent="0.2">
      <c r="A118" s="8" t="s">
        <v>17477</v>
      </c>
      <c r="B118" s="8" t="s">
        <v>17585</v>
      </c>
    </row>
    <row r="119" spans="1:2" x14ac:dyDescent="0.2">
      <c r="A119" s="8" t="s">
        <v>17492</v>
      </c>
      <c r="B119" s="8" t="s">
        <v>17598</v>
      </c>
    </row>
    <row r="120" spans="1:2" x14ac:dyDescent="0.2">
      <c r="A120" s="8" t="s">
        <v>17513</v>
      </c>
      <c r="B120" s="8" t="s">
        <v>17497</v>
      </c>
    </row>
    <row r="121" spans="1:2" x14ac:dyDescent="0.2">
      <c r="A121" s="8" t="s">
        <v>17604</v>
      </c>
      <c r="B121" s="8" t="s">
        <v>17647</v>
      </c>
    </row>
    <row r="122" spans="1:2" x14ac:dyDescent="0.2">
      <c r="A122" s="8" t="s">
        <v>17612</v>
      </c>
      <c r="B122" s="8" t="s">
        <v>17582</v>
      </c>
    </row>
    <row r="123" spans="1:2" x14ac:dyDescent="0.2">
      <c r="A123" s="8" t="s">
        <v>17617</v>
      </c>
      <c r="B123" s="8" t="s">
        <v>17650</v>
      </c>
    </row>
    <row r="124" spans="1:2" x14ac:dyDescent="0.2">
      <c r="A124" s="8" t="s">
        <v>17792</v>
      </c>
      <c r="B124" s="8" t="s">
        <v>17848</v>
      </c>
    </row>
    <row r="125" spans="1:2" x14ac:dyDescent="0.2">
      <c r="A125" s="8" t="s">
        <v>17901</v>
      </c>
      <c r="B125" s="8" t="s">
        <v>17893</v>
      </c>
    </row>
    <row r="126" spans="1:2" x14ac:dyDescent="0.2">
      <c r="A126" s="8" t="s">
        <v>17911</v>
      </c>
      <c r="B126" s="8" t="s">
        <v>17015</v>
      </c>
    </row>
    <row r="127" spans="1:2" x14ac:dyDescent="0.2">
      <c r="A127" s="8" t="s">
        <v>17959</v>
      </c>
      <c r="B127" s="8" t="s">
        <v>17755</v>
      </c>
    </row>
    <row r="128" spans="1:2" x14ac:dyDescent="0.2">
      <c r="A128" s="8" t="s">
        <v>18082</v>
      </c>
      <c r="B128" s="8" t="s">
        <v>18166</v>
      </c>
    </row>
    <row r="129" spans="1:2" x14ac:dyDescent="0.2">
      <c r="A129" s="8" t="s">
        <v>18147</v>
      </c>
      <c r="B129" s="8" t="s">
        <v>18134</v>
      </c>
    </row>
    <row r="130" spans="1:2" x14ac:dyDescent="0.2">
      <c r="A130" s="8" t="s">
        <v>18160</v>
      </c>
      <c r="B130" s="8" t="s">
        <v>18107</v>
      </c>
    </row>
    <row r="131" spans="1:2" x14ac:dyDescent="0.2">
      <c r="A131" s="8" t="s">
        <v>18251</v>
      </c>
      <c r="B131" s="8" t="s">
        <v>18261</v>
      </c>
    </row>
    <row r="132" spans="1:2" x14ac:dyDescent="0.2">
      <c r="A132" s="8" t="s">
        <v>18288</v>
      </c>
      <c r="B132" s="8" t="s">
        <v>18347</v>
      </c>
    </row>
    <row r="133" spans="1:2" x14ac:dyDescent="0.2">
      <c r="A133" s="8" t="s">
        <v>18427</v>
      </c>
      <c r="B133" s="8" t="s">
        <v>18422</v>
      </c>
    </row>
    <row r="134" spans="1:2" x14ac:dyDescent="0.2">
      <c r="A134" s="8" t="s">
        <v>18466</v>
      </c>
      <c r="B134" s="8" t="s">
        <v>18486</v>
      </c>
    </row>
    <row r="135" spans="1:2" x14ac:dyDescent="0.2">
      <c r="A135" s="8" t="s">
        <v>18474</v>
      </c>
      <c r="B135" s="8" t="s">
        <v>18503</v>
      </c>
    </row>
    <row r="136" spans="1:2" x14ac:dyDescent="0.2">
      <c r="A136" s="8" t="s">
        <v>18480</v>
      </c>
      <c r="B136" s="8" t="s">
        <v>18519</v>
      </c>
    </row>
    <row r="137" spans="1:2" x14ac:dyDescent="0.2">
      <c r="A137" s="8" t="s">
        <v>18551</v>
      </c>
      <c r="B137" s="8" t="s">
        <v>18674</v>
      </c>
    </row>
    <row r="138" spans="1:2" x14ac:dyDescent="0.2">
      <c r="A138" s="8" t="s">
        <v>18637</v>
      </c>
      <c r="B138" s="8" t="s">
        <v>18632</v>
      </c>
    </row>
    <row r="139" spans="1:2" x14ac:dyDescent="0.2">
      <c r="A139" s="8" t="s">
        <v>18700</v>
      </c>
      <c r="B139" s="8" t="s">
        <v>18737</v>
      </c>
    </row>
    <row r="140" spans="1:2" x14ac:dyDescent="0.2">
      <c r="A140" s="8" t="s">
        <v>18744</v>
      </c>
      <c r="B140" s="8" t="s">
        <v>18724</v>
      </c>
    </row>
    <row r="141" spans="1:2" x14ac:dyDescent="0.2">
      <c r="A141" s="8" t="s">
        <v>18772</v>
      </c>
      <c r="B141" s="8" t="s">
        <v>18767</v>
      </c>
    </row>
    <row r="142" spans="1:2" x14ac:dyDescent="0.2">
      <c r="A142" s="8" t="s">
        <v>18819</v>
      </c>
      <c r="B142" s="8" t="s">
        <v>18546</v>
      </c>
    </row>
    <row r="143" spans="1:2" x14ac:dyDescent="0.2">
      <c r="A143" s="8" t="s">
        <v>18850</v>
      </c>
      <c r="B143" s="8" t="s">
        <v>18879</v>
      </c>
    </row>
    <row r="144" spans="1:2" x14ac:dyDescent="0.2">
      <c r="A144" s="8" t="s">
        <v>18882</v>
      </c>
      <c r="B144" s="8" t="s">
        <v>18861</v>
      </c>
    </row>
    <row r="145" spans="1:2" x14ac:dyDescent="0.2">
      <c r="A145" s="8" t="s">
        <v>18936</v>
      </c>
      <c r="B145" s="8" t="s">
        <v>18919</v>
      </c>
    </row>
    <row r="146" spans="1:2" x14ac:dyDescent="0.2">
      <c r="A146" s="8" t="s">
        <v>19131</v>
      </c>
      <c r="B146" s="8" t="s">
        <v>19113</v>
      </c>
    </row>
    <row r="147" spans="1:2" x14ac:dyDescent="0.2">
      <c r="A147" s="8" t="s">
        <v>19200</v>
      </c>
      <c r="B147" s="8" t="s">
        <v>19139</v>
      </c>
    </row>
    <row r="148" spans="1:2" x14ac:dyDescent="0.2">
      <c r="A148" s="8" t="s">
        <v>19265</v>
      </c>
      <c r="B148" s="8" t="s">
        <v>19251</v>
      </c>
    </row>
    <row r="149" spans="1:2" x14ac:dyDescent="0.2">
      <c r="A149" s="8" t="s">
        <v>19353</v>
      </c>
      <c r="B149" s="8" t="s">
        <v>19346</v>
      </c>
    </row>
    <row r="150" spans="1:2" x14ac:dyDescent="0.2">
      <c r="A150" s="8" t="s">
        <v>19607</v>
      </c>
      <c r="B150" s="8" t="s">
        <v>19784</v>
      </c>
    </row>
    <row r="151" spans="1:2" x14ac:dyDescent="0.2">
      <c r="A151" s="8" t="s">
        <v>19669</v>
      </c>
      <c r="B151" s="8" t="s">
        <v>19539</v>
      </c>
    </row>
    <row r="152" spans="1:2" x14ac:dyDescent="0.2">
      <c r="A152" s="8" t="s">
        <v>19695</v>
      </c>
      <c r="B152" s="8" t="s">
        <v>19579</v>
      </c>
    </row>
    <row r="153" spans="1:2" x14ac:dyDescent="0.2">
      <c r="A153" s="8" t="s">
        <v>19731</v>
      </c>
      <c r="B153" s="8" t="s">
        <v>19718</v>
      </c>
    </row>
    <row r="154" spans="1:2" x14ac:dyDescent="0.2">
      <c r="A154" s="8" t="s">
        <v>19734</v>
      </c>
      <c r="B154" s="8" t="s">
        <v>19999</v>
      </c>
    </row>
    <row r="155" spans="1:2" x14ac:dyDescent="0.2">
      <c r="A155" s="8" t="s">
        <v>19740</v>
      </c>
      <c r="B155" s="8" t="s">
        <v>19843</v>
      </c>
    </row>
    <row r="156" spans="1:2" x14ac:dyDescent="0.2">
      <c r="A156" s="8" t="s">
        <v>19771</v>
      </c>
      <c r="B156" s="8" t="s">
        <v>19745</v>
      </c>
    </row>
    <row r="157" spans="1:2" x14ac:dyDescent="0.2">
      <c r="A157" s="8" t="s">
        <v>19953</v>
      </c>
      <c r="B157" s="8" t="s">
        <v>19981</v>
      </c>
    </row>
    <row r="158" spans="1:2" x14ac:dyDescent="0.2">
      <c r="A158" s="8" t="s">
        <v>19963</v>
      </c>
      <c r="B158" s="8" t="s">
        <v>20007</v>
      </c>
    </row>
    <row r="159" spans="1:2" x14ac:dyDescent="0.2">
      <c r="A159" s="8" t="s">
        <v>20034</v>
      </c>
      <c r="B159" s="8" t="s">
        <v>20029</v>
      </c>
    </row>
    <row r="160" spans="1:2" x14ac:dyDescent="0.2">
      <c r="A160" s="8" t="s">
        <v>20074</v>
      </c>
      <c r="B160" s="8" t="s">
        <v>20426</v>
      </c>
    </row>
    <row r="161" spans="1:2" x14ac:dyDescent="0.2">
      <c r="A161" s="8" t="s">
        <v>20102</v>
      </c>
      <c r="B161" s="8" t="s">
        <v>20186</v>
      </c>
    </row>
    <row r="162" spans="1:2" x14ac:dyDescent="0.2">
      <c r="A162" s="8" t="s">
        <v>20405</v>
      </c>
      <c r="B162" s="8" t="s">
        <v>20441</v>
      </c>
    </row>
    <row r="163" spans="1:2" x14ac:dyDescent="0.2">
      <c r="A163" s="8" t="s">
        <v>20509</v>
      </c>
      <c r="B163" s="8" t="s">
        <v>20528</v>
      </c>
    </row>
    <row r="164" spans="1:2" x14ac:dyDescent="0.2">
      <c r="A164" s="8" t="s">
        <v>20607</v>
      </c>
      <c r="B164" s="8" t="s">
        <v>20459</v>
      </c>
    </row>
    <row r="165" spans="1:2" x14ac:dyDescent="0.2">
      <c r="A165" s="8" t="s">
        <v>20740</v>
      </c>
      <c r="B165" s="8" t="s">
        <v>20679</v>
      </c>
    </row>
    <row r="166" spans="1:2" x14ac:dyDescent="0.2">
      <c r="A166" s="8" t="s">
        <v>20823</v>
      </c>
      <c r="B166" s="8" t="s">
        <v>20222</v>
      </c>
    </row>
    <row r="167" spans="1:2" x14ac:dyDescent="0.2">
      <c r="A167" s="8" t="s">
        <v>20884</v>
      </c>
      <c r="B167" s="8" t="s">
        <v>21068</v>
      </c>
    </row>
    <row r="168" spans="1:2" x14ac:dyDescent="0.2">
      <c r="A168" s="8" t="s">
        <v>21071</v>
      </c>
      <c r="B168" s="8" t="s">
        <v>21068</v>
      </c>
    </row>
    <row r="169" spans="1:2" x14ac:dyDescent="0.2">
      <c r="A169" s="8" t="s">
        <v>21079</v>
      </c>
      <c r="B169" s="8" t="s">
        <v>20949</v>
      </c>
    </row>
    <row r="170" spans="1:2" x14ac:dyDescent="0.2">
      <c r="A170" s="8" t="s">
        <v>21237</v>
      </c>
      <c r="B170" s="8" t="s">
        <v>21190</v>
      </c>
    </row>
    <row r="171" spans="1:2" x14ac:dyDescent="0.2">
      <c r="A171" s="8" t="s">
        <v>21394</v>
      </c>
      <c r="B171" s="8" t="s">
        <v>21337</v>
      </c>
    </row>
    <row r="172" spans="1:2" x14ac:dyDescent="0.2">
      <c r="A172" s="8" t="s">
        <v>21549</v>
      </c>
      <c r="B172" s="8" t="s">
        <v>21475</v>
      </c>
    </row>
    <row r="173" spans="1:2" x14ac:dyDescent="0.2">
      <c r="A173" s="8" t="s">
        <v>21635</v>
      </c>
      <c r="B173" s="8" t="s">
        <v>21638</v>
      </c>
    </row>
    <row r="174" spans="1:2" x14ac:dyDescent="0.2">
      <c r="A174" s="8" t="s">
        <v>21986</v>
      </c>
      <c r="B174" s="8" t="s">
        <v>22001</v>
      </c>
    </row>
    <row r="175" spans="1:2" x14ac:dyDescent="0.2">
      <c r="A175" s="8" t="s">
        <v>21994</v>
      </c>
      <c r="B175" s="8" t="s">
        <v>22012</v>
      </c>
    </row>
    <row r="176" spans="1:2" x14ac:dyDescent="0.2">
      <c r="A176" s="8" t="s">
        <v>22271</v>
      </c>
      <c r="B176" s="8" t="s">
        <v>22307</v>
      </c>
    </row>
    <row r="177" spans="1:2" x14ac:dyDescent="0.2">
      <c r="A177" s="8" t="s">
        <v>22279</v>
      </c>
      <c r="B177" s="8" t="s">
        <v>22343</v>
      </c>
    </row>
    <row r="178" spans="1:2" x14ac:dyDescent="0.2">
      <c r="A178" s="8" t="s">
        <v>22300</v>
      </c>
      <c r="B178" s="8" t="s">
        <v>22304</v>
      </c>
    </row>
    <row r="179" spans="1:2" x14ac:dyDescent="0.2">
      <c r="A179" s="8" t="s">
        <v>22419</v>
      </c>
      <c r="B179" s="8" t="s">
        <v>22416</v>
      </c>
    </row>
    <row r="180" spans="1:2" x14ac:dyDescent="0.2">
      <c r="A180" s="8" t="s">
        <v>22746</v>
      </c>
      <c r="B180" s="8" t="s">
        <v>22735</v>
      </c>
    </row>
    <row r="181" spans="1:2" x14ac:dyDescent="0.2">
      <c r="A181" s="8" t="s">
        <v>22748</v>
      </c>
      <c r="B181" s="8" t="s">
        <v>22757</v>
      </c>
    </row>
    <row r="182" spans="1:2" x14ac:dyDescent="0.2">
      <c r="A182" s="8" t="s">
        <v>22878</v>
      </c>
      <c r="B182" s="8" t="s">
        <v>22904</v>
      </c>
    </row>
    <row r="183" spans="1:2" x14ac:dyDescent="0.2">
      <c r="A183" s="8" t="s">
        <v>22915</v>
      </c>
      <c r="B183" s="8" t="s">
        <v>22931</v>
      </c>
    </row>
    <row r="184" spans="1:2" x14ac:dyDescent="0.2">
      <c r="A184" s="8" t="s">
        <v>22919</v>
      </c>
      <c r="B184" s="8" t="s">
        <v>22923</v>
      </c>
    </row>
    <row r="185" spans="1:2" x14ac:dyDescent="0.2">
      <c r="A185" s="8" t="s">
        <v>23132</v>
      </c>
      <c r="B185" s="8" t="s">
        <v>23180</v>
      </c>
    </row>
    <row r="186" spans="1:2" x14ac:dyDescent="0.2">
      <c r="A186" s="8" t="s">
        <v>23352</v>
      </c>
      <c r="B186" s="8" t="s">
        <v>23465</v>
      </c>
    </row>
    <row r="187" spans="1:2" x14ac:dyDescent="0.2">
      <c r="A187" s="8" t="s">
        <v>23775</v>
      </c>
      <c r="B187" s="8" t="s">
        <v>23983</v>
      </c>
    </row>
    <row r="188" spans="1:2" x14ac:dyDescent="0.2">
      <c r="A188" s="8" t="s">
        <v>24029</v>
      </c>
      <c r="B188" s="8" t="s">
        <v>24126</v>
      </c>
    </row>
    <row r="189" spans="1:2" x14ac:dyDescent="0.2">
      <c r="A189" s="8" t="s">
        <v>24101</v>
      </c>
      <c r="B189" s="8" t="s">
        <v>24010</v>
      </c>
    </row>
    <row r="190" spans="1:2" x14ac:dyDescent="0.2">
      <c r="A190" s="8" t="s">
        <v>24293</v>
      </c>
      <c r="B190" s="8" t="s">
        <v>24326</v>
      </c>
    </row>
    <row r="191" spans="1:2" x14ac:dyDescent="0.2">
      <c r="A191" s="8" t="s">
        <v>24339</v>
      </c>
      <c r="B191" s="8" t="s">
        <v>24327</v>
      </c>
    </row>
    <row r="192" spans="1:2" x14ac:dyDescent="0.2">
      <c r="A192" s="8" t="s">
        <v>24562</v>
      </c>
      <c r="B192" s="8" t="s">
        <v>24557</v>
      </c>
    </row>
    <row r="193" spans="1:2" x14ac:dyDescent="0.2">
      <c r="A193" s="8" t="s">
        <v>24793</v>
      </c>
      <c r="B193" s="8" t="s">
        <v>24769</v>
      </c>
    </row>
    <row r="194" spans="1:2" x14ac:dyDescent="0.2">
      <c r="A194" s="8" t="s">
        <v>24818</v>
      </c>
      <c r="B194" s="8" t="s">
        <v>24775</v>
      </c>
    </row>
    <row r="195" spans="1:2" x14ac:dyDescent="0.2">
      <c r="A195" s="8" t="s">
        <v>24879</v>
      </c>
      <c r="B195" s="8" t="s">
        <v>24864</v>
      </c>
    </row>
    <row r="196" spans="1:2" x14ac:dyDescent="0.2">
      <c r="A196" s="8" t="s">
        <v>24886</v>
      </c>
      <c r="B196" s="8" t="s">
        <v>24927</v>
      </c>
    </row>
    <row r="197" spans="1:2" x14ac:dyDescent="0.2">
      <c r="A197" s="8" t="s">
        <v>24922</v>
      </c>
      <c r="B197" s="8" t="s">
        <v>24925</v>
      </c>
    </row>
    <row r="198" spans="1:2" x14ac:dyDescent="0.2">
      <c r="A198" s="8" t="s">
        <v>25062</v>
      </c>
      <c r="B198" s="8" t="s">
        <v>25003</v>
      </c>
    </row>
    <row r="199" spans="1:2" x14ac:dyDescent="0.2">
      <c r="A199" s="8" t="s">
        <v>25110</v>
      </c>
      <c r="B199" s="8" t="s">
        <v>25372</v>
      </c>
    </row>
    <row r="200" spans="1:2" x14ac:dyDescent="0.2">
      <c r="A200" s="8" t="s">
        <v>25185</v>
      </c>
      <c r="B200" s="8" t="s">
        <v>25190</v>
      </c>
    </row>
    <row r="201" spans="1:2" x14ac:dyDescent="0.2">
      <c r="A201" s="8" t="s">
        <v>25192</v>
      </c>
      <c r="B201" s="8" t="s">
        <v>25200</v>
      </c>
    </row>
    <row r="202" spans="1:2" x14ac:dyDescent="0.2">
      <c r="A202" s="8" t="s">
        <v>25195</v>
      </c>
      <c r="B202" s="8" t="s">
        <v>25462</v>
      </c>
    </row>
    <row r="203" spans="1:2" x14ac:dyDescent="0.2">
      <c r="A203" s="8" t="s">
        <v>25225</v>
      </c>
      <c r="B203" s="8" t="s">
        <v>25488</v>
      </c>
    </row>
    <row r="204" spans="1:2" x14ac:dyDescent="0.2">
      <c r="A204" s="8" t="s">
        <v>25437</v>
      </c>
      <c r="B204" s="8" t="s">
        <v>25408</v>
      </c>
    </row>
    <row r="205" spans="1:2" x14ac:dyDescent="0.2">
      <c r="A205" s="8" t="s">
        <v>25445</v>
      </c>
      <c r="B205" s="8" t="s">
        <v>25424</v>
      </c>
    </row>
    <row r="206" spans="1:2" x14ac:dyDescent="0.2">
      <c r="A206" s="8" t="s">
        <v>25770</v>
      </c>
      <c r="B206" s="8" t="s">
        <v>25780</v>
      </c>
    </row>
    <row r="207" spans="1:2" x14ac:dyDescent="0.2">
      <c r="A207" s="8" t="s">
        <v>25935</v>
      </c>
      <c r="B207" s="8" t="s">
        <v>25886</v>
      </c>
    </row>
    <row r="208" spans="1:2" x14ac:dyDescent="0.2">
      <c r="A208" s="8" t="s">
        <v>25955</v>
      </c>
      <c r="B208" s="8" t="s">
        <v>26001</v>
      </c>
    </row>
    <row r="209" spans="1:2" x14ac:dyDescent="0.2">
      <c r="A209" s="8" t="s">
        <v>26027</v>
      </c>
      <c r="B209" s="8" t="s">
        <v>26056</v>
      </c>
    </row>
    <row r="210" spans="1:2" x14ac:dyDescent="0.2">
      <c r="A210" s="8" t="s">
        <v>26145</v>
      </c>
      <c r="B210" s="8" t="s">
        <v>26132</v>
      </c>
    </row>
    <row r="211" spans="1:2" x14ac:dyDescent="0.2">
      <c r="A211" s="8" t="s">
        <v>26150</v>
      </c>
      <c r="B211" s="8" t="s">
        <v>25965</v>
      </c>
    </row>
    <row r="212" spans="1:2" x14ac:dyDescent="0.2">
      <c r="A212" s="8" t="s">
        <v>26871</v>
      </c>
      <c r="B212" s="8" t="s">
        <v>26943</v>
      </c>
    </row>
    <row r="213" spans="1:2" x14ac:dyDescent="0.2">
      <c r="A213" s="8" t="s">
        <v>26916</v>
      </c>
      <c r="B213" s="8" t="s">
        <v>26929</v>
      </c>
    </row>
    <row r="214" spans="1:2" x14ac:dyDescent="0.2">
      <c r="A214" s="8" t="s">
        <v>26965</v>
      </c>
      <c r="B214" s="8" t="s">
        <v>27016</v>
      </c>
    </row>
    <row r="215" spans="1:2" x14ac:dyDescent="0.2">
      <c r="A215" s="8" t="s">
        <v>26970</v>
      </c>
      <c r="B215" s="8" t="s">
        <v>26986</v>
      </c>
    </row>
    <row r="216" spans="1:2" x14ac:dyDescent="0.2">
      <c r="A216" s="8" t="s">
        <v>27277</v>
      </c>
      <c r="B216" s="8" t="s">
        <v>27269</v>
      </c>
    </row>
    <row r="217" spans="1:2" x14ac:dyDescent="0.2">
      <c r="A217" s="8" t="s">
        <v>27279</v>
      </c>
      <c r="B217" s="8" t="s">
        <v>27269</v>
      </c>
    </row>
    <row r="218" spans="1:2" x14ac:dyDescent="0.2">
      <c r="A218" s="8" t="s">
        <v>27479</v>
      </c>
      <c r="B218" s="8" t="s">
        <v>27458</v>
      </c>
    </row>
    <row r="219" spans="1:2" x14ac:dyDescent="0.2">
      <c r="A219" s="8" t="s">
        <v>27543</v>
      </c>
      <c r="B219" s="8" t="s">
        <v>27535</v>
      </c>
    </row>
    <row r="220" spans="1:2" x14ac:dyDescent="0.2">
      <c r="A220" s="8" t="s">
        <v>27589</v>
      </c>
      <c r="B220" s="8" t="s">
        <v>27700</v>
      </c>
    </row>
    <row r="221" spans="1:2" x14ac:dyDescent="0.2">
      <c r="A221" s="8" t="s">
        <v>27683</v>
      </c>
      <c r="B221" s="8" t="s">
        <v>27841</v>
      </c>
    </row>
    <row r="222" spans="1:2" x14ac:dyDescent="0.2">
      <c r="A222" s="8" t="s">
        <v>27995</v>
      </c>
      <c r="B222" s="8" t="s">
        <v>27990</v>
      </c>
    </row>
    <row r="223" spans="1:2" x14ac:dyDescent="0.2">
      <c r="A223" s="8" t="s">
        <v>28287</v>
      </c>
      <c r="B223" s="8" t="s">
        <v>27322</v>
      </c>
    </row>
    <row r="224" spans="1:2" x14ac:dyDescent="0.2">
      <c r="A224" s="8" t="s">
        <v>28333</v>
      </c>
      <c r="B224" s="8" t="s">
        <v>28369</v>
      </c>
    </row>
    <row r="225" spans="1:2" x14ac:dyDescent="0.2">
      <c r="A225" s="8" t="s">
        <v>28574</v>
      </c>
      <c r="B225" s="8" t="s">
        <v>28562</v>
      </c>
    </row>
    <row r="226" spans="1:2" x14ac:dyDescent="0.2">
      <c r="A226" s="8" t="s">
        <v>28866</v>
      </c>
      <c r="B226" s="8" t="s">
        <v>28861</v>
      </c>
    </row>
    <row r="227" spans="1:2" x14ac:dyDescent="0.2">
      <c r="A227" s="8" t="s">
        <v>28916</v>
      </c>
      <c r="B227" s="8" t="s">
        <v>28920</v>
      </c>
    </row>
    <row r="228" spans="1:2" x14ac:dyDescent="0.2">
      <c r="A228" s="8" t="s">
        <v>29023</v>
      </c>
      <c r="B228" s="8" t="s">
        <v>28978</v>
      </c>
    </row>
    <row r="229" spans="1:2" x14ac:dyDescent="0.2">
      <c r="A229" s="8" t="s">
        <v>29100</v>
      </c>
      <c r="B229" s="8" t="s">
        <v>29095</v>
      </c>
    </row>
    <row r="230" spans="1:2" x14ac:dyDescent="0.2">
      <c r="A230" s="8" t="s">
        <v>29273</v>
      </c>
      <c r="B230" s="8" t="s">
        <v>29292</v>
      </c>
    </row>
    <row r="231" spans="1:2" x14ac:dyDescent="0.2">
      <c r="A231" s="8" t="s">
        <v>29303</v>
      </c>
      <c r="B231" s="8" t="s">
        <v>29308</v>
      </c>
    </row>
    <row r="232" spans="1:2" x14ac:dyDescent="0.2">
      <c r="A232" s="8" t="s">
        <v>29351</v>
      </c>
      <c r="B232" s="8" t="s">
        <v>29205</v>
      </c>
    </row>
    <row r="233" spans="1:2" x14ac:dyDescent="0.2">
      <c r="A233" s="8" t="s">
        <v>29568</v>
      </c>
      <c r="B233" s="8" t="s">
        <v>29573</v>
      </c>
    </row>
    <row r="234" spans="1:2" x14ac:dyDescent="0.2">
      <c r="A234" s="8" t="s">
        <v>29601</v>
      </c>
      <c r="B234" s="8" t="s">
        <v>29596</v>
      </c>
    </row>
    <row r="235" spans="1:2" x14ac:dyDescent="0.2">
      <c r="A235" s="8" t="s">
        <v>29641</v>
      </c>
      <c r="B235" s="8" t="s">
        <v>29596</v>
      </c>
    </row>
    <row r="236" spans="1:2" x14ac:dyDescent="0.2">
      <c r="A236" s="8" t="s">
        <v>29694</v>
      </c>
      <c r="B236" s="8" t="s">
        <v>29689</v>
      </c>
    </row>
    <row r="237" spans="1:2" x14ac:dyDescent="0.2">
      <c r="A237" s="8" t="s">
        <v>29963</v>
      </c>
      <c r="B237" s="8" t="s">
        <v>29976</v>
      </c>
    </row>
    <row r="238" spans="1:2" x14ac:dyDescent="0.2">
      <c r="A238" s="8" t="s">
        <v>30024</v>
      </c>
      <c r="B238" s="8" t="s">
        <v>30029</v>
      </c>
    </row>
    <row r="239" spans="1:2" x14ac:dyDescent="0.2">
      <c r="A239" s="8" t="s">
        <v>30085</v>
      </c>
      <c r="B239" s="8" t="s">
        <v>30118</v>
      </c>
    </row>
    <row r="240" spans="1:2" x14ac:dyDescent="0.2">
      <c r="A240" s="8" t="s">
        <v>30384</v>
      </c>
      <c r="B240" s="8" t="s">
        <v>30407</v>
      </c>
    </row>
    <row r="241" spans="1:2" x14ac:dyDescent="0.2">
      <c r="A241" s="8" t="s">
        <v>30565</v>
      </c>
      <c r="B241" s="8" t="s">
        <v>30574</v>
      </c>
    </row>
    <row r="242" spans="1:2" x14ac:dyDescent="0.2">
      <c r="A242" s="8" t="s">
        <v>30573</v>
      </c>
      <c r="B242" s="8" t="s">
        <v>30041</v>
      </c>
    </row>
    <row r="243" spans="1:2" x14ac:dyDescent="0.2">
      <c r="A243" s="8" t="s">
        <v>30882</v>
      </c>
      <c r="B243" s="8" t="s">
        <v>30885</v>
      </c>
    </row>
    <row r="244" spans="1:2" x14ac:dyDescent="0.2">
      <c r="A244" s="8" t="s">
        <v>30972</v>
      </c>
      <c r="B244" s="8" t="s">
        <v>30977</v>
      </c>
    </row>
    <row r="245" spans="1:2" x14ac:dyDescent="0.2">
      <c r="A245" s="8" t="s">
        <v>31174</v>
      </c>
      <c r="B245" s="8" t="s">
        <v>31179</v>
      </c>
    </row>
    <row r="246" spans="1:2" x14ac:dyDescent="0.2">
      <c r="A246" s="8" t="s">
        <v>31574</v>
      </c>
      <c r="B246" s="8" t="s">
        <v>31561</v>
      </c>
    </row>
    <row r="247" spans="1:2" x14ac:dyDescent="0.2">
      <c r="A247" s="8" t="s">
        <v>31575</v>
      </c>
      <c r="B247" s="8" t="s">
        <v>31579</v>
      </c>
    </row>
    <row r="248" spans="1:2" x14ac:dyDescent="0.2">
      <c r="A248" s="8" t="s">
        <v>31698</v>
      </c>
      <c r="B248" s="8" t="s">
        <v>31695</v>
      </c>
    </row>
    <row r="249" spans="1:2" x14ac:dyDescent="0.2">
      <c r="A249" s="8" t="s">
        <v>32111</v>
      </c>
      <c r="B249" s="8" t="s">
        <v>32108</v>
      </c>
    </row>
    <row r="250" spans="1:2" x14ac:dyDescent="0.2">
      <c r="A250" s="8" t="s">
        <v>32194</v>
      </c>
      <c r="B250" s="8" t="s">
        <v>32204</v>
      </c>
    </row>
    <row r="251" spans="1:2" x14ac:dyDescent="0.2">
      <c r="A251" s="8" t="s">
        <v>32218</v>
      </c>
      <c r="B251" s="8" t="s">
        <v>32206</v>
      </c>
    </row>
    <row r="252" spans="1:2" x14ac:dyDescent="0.2">
      <c r="A252" s="8" t="s">
        <v>32354</v>
      </c>
      <c r="B252" s="8" t="s">
        <v>32359</v>
      </c>
    </row>
    <row r="253" spans="1:2" x14ac:dyDescent="0.2">
      <c r="A253" s="8" t="s">
        <v>32517</v>
      </c>
      <c r="B253" s="8" t="s">
        <v>32462</v>
      </c>
    </row>
    <row r="254" spans="1:2" x14ac:dyDescent="0.2">
      <c r="A254" s="8" t="s">
        <v>33100</v>
      </c>
      <c r="B254" s="8" t="s">
        <v>33141</v>
      </c>
    </row>
    <row r="255" spans="1:2" x14ac:dyDescent="0.2">
      <c r="A255" s="8" t="s">
        <v>33162</v>
      </c>
      <c r="B255" s="8" t="s">
        <v>32006</v>
      </c>
    </row>
    <row r="256" spans="1:2" x14ac:dyDescent="0.2">
      <c r="A256" s="8" t="s">
        <v>33485</v>
      </c>
      <c r="B256" s="8" t="s">
        <v>33513</v>
      </c>
    </row>
    <row r="257" spans="1:2" x14ac:dyDescent="0.2">
      <c r="A257" s="8" t="s">
        <v>33498</v>
      </c>
      <c r="B257" s="8" t="s">
        <v>33603</v>
      </c>
    </row>
    <row r="258" spans="1:2" x14ac:dyDescent="0.2">
      <c r="A258" s="8" t="s">
        <v>33541</v>
      </c>
      <c r="B258" s="8" t="s">
        <v>33369</v>
      </c>
    </row>
    <row r="259" spans="1:2" x14ac:dyDescent="0.2">
      <c r="A259" s="8" t="s">
        <v>33632</v>
      </c>
      <c r="B259" s="8" t="s">
        <v>33549</v>
      </c>
    </row>
    <row r="260" spans="1:2" x14ac:dyDescent="0.2">
      <c r="A260" s="8" t="s">
        <v>33674</v>
      </c>
      <c r="B260" s="8" t="s">
        <v>33649</v>
      </c>
    </row>
    <row r="261" spans="1:2" x14ac:dyDescent="0.2">
      <c r="A261" s="8" t="s">
        <v>33712</v>
      </c>
      <c r="B261" s="8" t="s">
        <v>33770</v>
      </c>
    </row>
    <row r="262" spans="1:2" x14ac:dyDescent="0.2">
      <c r="A262" s="8" t="s">
        <v>33780</v>
      </c>
      <c r="B262" s="8" t="s">
        <v>33775</v>
      </c>
    </row>
    <row r="263" spans="1:2" x14ac:dyDescent="0.2">
      <c r="A263" s="8" t="s">
        <v>34679</v>
      </c>
      <c r="B263" s="8" t="s">
        <v>1450</v>
      </c>
    </row>
    <row r="264" spans="1:2" x14ac:dyDescent="0.2">
      <c r="A264" s="8" t="s">
        <v>34745</v>
      </c>
      <c r="B264" s="8" t="s">
        <v>724</v>
      </c>
    </row>
    <row r="265" spans="1:2" x14ac:dyDescent="0.2">
      <c r="A265" s="8" t="s">
        <v>34794</v>
      </c>
      <c r="B265" s="8" t="s">
        <v>929</v>
      </c>
    </row>
    <row r="266" spans="1:2" x14ac:dyDescent="0.2">
      <c r="A266" s="8" t="s">
        <v>34813</v>
      </c>
      <c r="B266" s="8" t="s">
        <v>1156</v>
      </c>
    </row>
    <row r="267" spans="1:2" x14ac:dyDescent="0.2">
      <c r="A267" s="8" t="s">
        <v>35006</v>
      </c>
      <c r="B267" s="8" t="s">
        <v>2206</v>
      </c>
    </row>
    <row r="268" spans="1:2" x14ac:dyDescent="0.2">
      <c r="A268" s="8" t="s">
        <v>35019</v>
      </c>
      <c r="B268" s="8" t="s">
        <v>2309</v>
      </c>
    </row>
    <row r="269" spans="1:2" x14ac:dyDescent="0.2">
      <c r="A269" s="8" t="s">
        <v>35042</v>
      </c>
      <c r="B269" s="8" t="s">
        <v>2338</v>
      </c>
    </row>
    <row r="270" spans="1:2" x14ac:dyDescent="0.2">
      <c r="A270" s="8" t="s">
        <v>35079</v>
      </c>
      <c r="B270" s="8" t="s">
        <v>2592</v>
      </c>
    </row>
    <row r="271" spans="1:2" x14ac:dyDescent="0.2">
      <c r="A271" s="8" t="s">
        <v>35242</v>
      </c>
      <c r="B271" s="8" t="s">
        <v>3135</v>
      </c>
    </row>
    <row r="272" spans="1:2" x14ac:dyDescent="0.2">
      <c r="A272" s="8" t="s">
        <v>35318</v>
      </c>
      <c r="B272" s="8" t="s">
        <v>3322</v>
      </c>
    </row>
    <row r="273" spans="1:2" x14ac:dyDescent="0.2">
      <c r="A273" s="8" t="s">
        <v>35424</v>
      </c>
      <c r="B273" s="8" t="s">
        <v>3829</v>
      </c>
    </row>
    <row r="274" spans="1:2" x14ac:dyDescent="0.2">
      <c r="A274" s="8" t="s">
        <v>35575</v>
      </c>
      <c r="B274" s="8" t="s">
        <v>4507</v>
      </c>
    </row>
    <row r="275" spans="1:2" x14ac:dyDescent="0.2">
      <c r="A275" s="8" t="s">
        <v>35661</v>
      </c>
      <c r="B275" s="8" t="s">
        <v>4971</v>
      </c>
    </row>
    <row r="276" spans="1:2" x14ac:dyDescent="0.2">
      <c r="A276" s="8" t="s">
        <v>35711</v>
      </c>
      <c r="B276" s="8" t="s">
        <v>5270</v>
      </c>
    </row>
    <row r="277" spans="1:2" x14ac:dyDescent="0.2">
      <c r="A277" s="8" t="s">
        <v>35786</v>
      </c>
      <c r="B277" s="8" t="s">
        <v>5523</v>
      </c>
    </row>
    <row r="278" spans="1:2" x14ac:dyDescent="0.2">
      <c r="A278" s="8" t="s">
        <v>35789</v>
      </c>
      <c r="B278" s="8" t="s">
        <v>5611</v>
      </c>
    </row>
    <row r="279" spans="1:2" x14ac:dyDescent="0.2">
      <c r="A279" s="8" t="s">
        <v>35842</v>
      </c>
      <c r="B279" s="8" t="s">
        <v>35837</v>
      </c>
    </row>
    <row r="280" spans="1:2" x14ac:dyDescent="0.2">
      <c r="A280" s="8" t="s">
        <v>35911</v>
      </c>
      <c r="B280" s="8" t="s">
        <v>5913</v>
      </c>
    </row>
    <row r="281" spans="1:2" x14ac:dyDescent="0.2">
      <c r="A281" s="8" t="s">
        <v>35919</v>
      </c>
      <c r="B281" s="8" t="s">
        <v>6014</v>
      </c>
    </row>
    <row r="282" spans="1:2" x14ac:dyDescent="0.2">
      <c r="A282" s="8" t="s">
        <v>35959</v>
      </c>
      <c r="B282" s="8" t="s">
        <v>6198</v>
      </c>
    </row>
    <row r="283" spans="1:2" x14ac:dyDescent="0.2">
      <c r="A283" s="8" t="s">
        <v>36004</v>
      </c>
      <c r="B283" s="8" t="s">
        <v>42243</v>
      </c>
    </row>
    <row r="284" spans="1:2" x14ac:dyDescent="0.2">
      <c r="A284" s="8" t="s">
        <v>36223</v>
      </c>
      <c r="B284" s="8" t="s">
        <v>7563</v>
      </c>
    </row>
    <row r="285" spans="1:2" x14ac:dyDescent="0.2">
      <c r="A285" s="8" t="s">
        <v>36259</v>
      </c>
      <c r="B285" s="8" t="s">
        <v>7747</v>
      </c>
    </row>
    <row r="286" spans="1:2" x14ac:dyDescent="0.2">
      <c r="A286" s="8" t="s">
        <v>36522</v>
      </c>
      <c r="B286" s="8" t="s">
        <v>10614</v>
      </c>
    </row>
    <row r="287" spans="1:2" x14ac:dyDescent="0.2">
      <c r="A287" s="8" t="s">
        <v>36543</v>
      </c>
      <c r="B287" s="8" t="s">
        <v>10761</v>
      </c>
    </row>
    <row r="288" spans="1:2" x14ac:dyDescent="0.2">
      <c r="A288" s="8" t="s">
        <v>36573</v>
      </c>
      <c r="B288" s="8" t="s">
        <v>10776</v>
      </c>
    </row>
    <row r="289" spans="1:2" x14ac:dyDescent="0.2">
      <c r="A289" s="8" t="s">
        <v>36656</v>
      </c>
      <c r="B289" s="8" t="s">
        <v>11511</v>
      </c>
    </row>
    <row r="290" spans="1:2" x14ac:dyDescent="0.2">
      <c r="A290" s="8" t="s">
        <v>36733</v>
      </c>
      <c r="B290" s="8" t="s">
        <v>11974</v>
      </c>
    </row>
    <row r="291" spans="1:2" x14ac:dyDescent="0.2">
      <c r="A291" s="8" t="s">
        <v>36747</v>
      </c>
      <c r="B291" s="8" t="s">
        <v>12206</v>
      </c>
    </row>
    <row r="292" spans="1:2" x14ac:dyDescent="0.2">
      <c r="A292" s="8" t="s">
        <v>36858</v>
      </c>
      <c r="B292" s="8" t="s">
        <v>13293</v>
      </c>
    </row>
    <row r="293" spans="1:2" x14ac:dyDescent="0.2">
      <c r="A293" s="8" t="s">
        <v>36892</v>
      </c>
      <c r="B293" s="8" t="s">
        <v>13572</v>
      </c>
    </row>
    <row r="294" spans="1:2" x14ac:dyDescent="0.2">
      <c r="A294" s="8" t="s">
        <v>36919</v>
      </c>
      <c r="B294" s="8" t="s">
        <v>36923</v>
      </c>
    </row>
    <row r="295" spans="1:2" x14ac:dyDescent="0.2">
      <c r="A295" s="8" t="s">
        <v>36924</v>
      </c>
      <c r="B295" s="8" t="s">
        <v>13748</v>
      </c>
    </row>
    <row r="296" spans="1:2" x14ac:dyDescent="0.2">
      <c r="A296" s="8" t="s">
        <v>36989</v>
      </c>
      <c r="B296" s="8" t="s">
        <v>14089</v>
      </c>
    </row>
    <row r="297" spans="1:2" x14ac:dyDescent="0.2">
      <c r="A297" s="8" t="s">
        <v>37013</v>
      </c>
      <c r="B297" s="8" t="s">
        <v>14142</v>
      </c>
    </row>
    <row r="298" spans="1:2" x14ac:dyDescent="0.2">
      <c r="A298" s="8" t="s">
        <v>37107</v>
      </c>
      <c r="B298" s="8" t="s">
        <v>14800</v>
      </c>
    </row>
    <row r="299" spans="1:2" x14ac:dyDescent="0.2">
      <c r="A299" s="8" t="s">
        <v>37115</v>
      </c>
      <c r="B299" s="8" t="s">
        <v>14789</v>
      </c>
    </row>
    <row r="300" spans="1:2" x14ac:dyDescent="0.2">
      <c r="A300" s="8" t="s">
        <v>37132</v>
      </c>
      <c r="B300" s="8" t="s">
        <v>37127</v>
      </c>
    </row>
    <row r="301" spans="1:2" x14ac:dyDescent="0.2">
      <c r="A301" s="8" t="s">
        <v>37150</v>
      </c>
      <c r="B301" s="8" t="s">
        <v>15084</v>
      </c>
    </row>
    <row r="302" spans="1:2" x14ac:dyDescent="0.2">
      <c r="A302" s="8" t="s">
        <v>37151</v>
      </c>
      <c r="B302" s="8" t="s">
        <v>15149</v>
      </c>
    </row>
    <row r="303" spans="1:2" x14ac:dyDescent="0.2">
      <c r="A303" s="8" t="s">
        <v>37165</v>
      </c>
      <c r="B303" s="8" t="s">
        <v>15081</v>
      </c>
    </row>
    <row r="304" spans="1:2" x14ac:dyDescent="0.2">
      <c r="A304" s="8" t="s">
        <v>37189</v>
      </c>
      <c r="B304" s="8" t="s">
        <v>15215</v>
      </c>
    </row>
    <row r="305" spans="1:2" x14ac:dyDescent="0.2">
      <c r="A305" s="8" t="s">
        <v>37246</v>
      </c>
      <c r="B305" s="8" t="s">
        <v>15593</v>
      </c>
    </row>
    <row r="306" spans="1:2" x14ac:dyDescent="0.2">
      <c r="A306" s="8" t="s">
        <v>37278</v>
      </c>
      <c r="B306" s="8" t="s">
        <v>15693</v>
      </c>
    </row>
    <row r="307" spans="1:2" x14ac:dyDescent="0.2">
      <c r="A307" s="8" t="s">
        <v>37395</v>
      </c>
      <c r="B307" s="8" t="s">
        <v>16719</v>
      </c>
    </row>
    <row r="308" spans="1:2" x14ac:dyDescent="0.2">
      <c r="A308" s="8" t="s">
        <v>37403</v>
      </c>
      <c r="B308" s="8" t="s">
        <v>16701</v>
      </c>
    </row>
    <row r="309" spans="1:2" x14ac:dyDescent="0.2">
      <c r="A309" s="8" t="s">
        <v>37422</v>
      </c>
      <c r="B309" s="8" t="s">
        <v>16779</v>
      </c>
    </row>
    <row r="310" spans="1:2" x14ac:dyDescent="0.2">
      <c r="A310" s="8" t="s">
        <v>37521</v>
      </c>
      <c r="B310" s="8" t="s">
        <v>17230</v>
      </c>
    </row>
    <row r="311" spans="1:2" x14ac:dyDescent="0.2">
      <c r="A311" s="8" t="s">
        <v>37530</v>
      </c>
      <c r="B311" s="8" t="s">
        <v>17299</v>
      </c>
    </row>
    <row r="312" spans="1:2" x14ac:dyDescent="0.2">
      <c r="A312" s="8" t="s">
        <v>37583</v>
      </c>
      <c r="B312" s="8" t="s">
        <v>17586</v>
      </c>
    </row>
    <row r="313" spans="1:2" x14ac:dyDescent="0.2">
      <c r="A313" s="8" t="s">
        <v>37621</v>
      </c>
      <c r="B313" s="8" t="s">
        <v>17851</v>
      </c>
    </row>
    <row r="314" spans="1:2" x14ac:dyDescent="0.2">
      <c r="A314" s="8" t="s">
        <v>37680</v>
      </c>
      <c r="B314" s="8" t="s">
        <v>18309</v>
      </c>
    </row>
    <row r="315" spans="1:2" x14ac:dyDescent="0.2">
      <c r="A315" s="8" t="s">
        <v>37686</v>
      </c>
      <c r="B315" s="8" t="s">
        <v>18511</v>
      </c>
    </row>
    <row r="316" spans="1:2" x14ac:dyDescent="0.2">
      <c r="A316" s="8" t="s">
        <v>37766</v>
      </c>
      <c r="B316" s="8" t="s">
        <v>19070</v>
      </c>
    </row>
    <row r="317" spans="1:2" x14ac:dyDescent="0.2">
      <c r="A317" s="8" t="s">
        <v>37800</v>
      </c>
      <c r="B317" s="8" t="s">
        <v>19942</v>
      </c>
    </row>
    <row r="318" spans="1:2" x14ac:dyDescent="0.2">
      <c r="A318" s="8" t="s">
        <v>37818</v>
      </c>
      <c r="B318" s="8" t="s">
        <v>20112</v>
      </c>
    </row>
    <row r="319" spans="1:2" x14ac:dyDescent="0.2">
      <c r="A319" s="8" t="s">
        <v>37841</v>
      </c>
      <c r="B319" s="8" t="s">
        <v>20436</v>
      </c>
    </row>
    <row r="320" spans="1:2" x14ac:dyDescent="0.2">
      <c r="A320" s="8" t="s">
        <v>37861</v>
      </c>
      <c r="B320" s="8" t="s">
        <v>20825</v>
      </c>
    </row>
    <row r="321" spans="1:2" x14ac:dyDescent="0.2">
      <c r="A321" s="8" t="s">
        <v>37884</v>
      </c>
      <c r="B321" s="8" t="s">
        <v>21063</v>
      </c>
    </row>
    <row r="322" spans="1:2" x14ac:dyDescent="0.2">
      <c r="A322" s="8" t="s">
        <v>37916</v>
      </c>
      <c r="B322" s="8" t="s">
        <v>21117</v>
      </c>
    </row>
    <row r="323" spans="1:2" x14ac:dyDescent="0.2">
      <c r="A323" s="8" t="s">
        <v>37918</v>
      </c>
      <c r="B323" s="8" t="s">
        <v>21117</v>
      </c>
    </row>
    <row r="324" spans="1:2" x14ac:dyDescent="0.2">
      <c r="A324" s="8" t="s">
        <v>37934</v>
      </c>
      <c r="B324" s="8" t="s">
        <v>21128</v>
      </c>
    </row>
    <row r="325" spans="1:2" x14ac:dyDescent="0.2">
      <c r="A325" s="8" t="s">
        <v>38023</v>
      </c>
      <c r="B325" s="8" t="s">
        <v>22344</v>
      </c>
    </row>
    <row r="326" spans="1:2" x14ac:dyDescent="0.2">
      <c r="A326" s="8" t="s">
        <v>38171</v>
      </c>
      <c r="B326" s="8" t="s">
        <v>23022</v>
      </c>
    </row>
    <row r="327" spans="1:2" x14ac:dyDescent="0.2">
      <c r="A327" s="8" t="s">
        <v>38197</v>
      </c>
      <c r="B327" s="8" t="s">
        <v>23582</v>
      </c>
    </row>
    <row r="328" spans="1:2" x14ac:dyDescent="0.2">
      <c r="A328" s="8" t="s">
        <v>38345</v>
      </c>
      <c r="B328" s="8" t="s">
        <v>38340</v>
      </c>
    </row>
    <row r="329" spans="1:2" x14ac:dyDescent="0.2">
      <c r="A329" s="8" t="s">
        <v>38426</v>
      </c>
      <c r="B329" s="8" t="s">
        <v>23965</v>
      </c>
    </row>
    <row r="330" spans="1:2" x14ac:dyDescent="0.2">
      <c r="A330" s="8" t="s">
        <v>38473</v>
      </c>
      <c r="B330" s="8" t="s">
        <v>24407</v>
      </c>
    </row>
    <row r="331" spans="1:2" x14ac:dyDescent="0.2">
      <c r="A331" s="8" t="s">
        <v>38594</v>
      </c>
      <c r="B331" s="8" t="s">
        <v>25003</v>
      </c>
    </row>
    <row r="332" spans="1:2" x14ac:dyDescent="0.2">
      <c r="A332" s="8" t="s">
        <v>38673</v>
      </c>
      <c r="B332" s="8" t="s">
        <v>25202</v>
      </c>
    </row>
    <row r="333" spans="1:2" x14ac:dyDescent="0.2">
      <c r="A333" s="8" t="s">
        <v>38678</v>
      </c>
      <c r="B333" s="8" t="s">
        <v>25542</v>
      </c>
    </row>
    <row r="334" spans="1:2" x14ac:dyDescent="0.2">
      <c r="A334" s="8" t="s">
        <v>38686</v>
      </c>
      <c r="B334" s="8" t="s">
        <v>25286</v>
      </c>
    </row>
    <row r="335" spans="1:2" x14ac:dyDescent="0.2">
      <c r="A335" s="8" t="s">
        <v>38776</v>
      </c>
      <c r="B335" s="8" t="s">
        <v>38780</v>
      </c>
    </row>
    <row r="336" spans="1:2" x14ac:dyDescent="0.2">
      <c r="A336" s="8" t="s">
        <v>38809</v>
      </c>
      <c r="B336" s="8" t="s">
        <v>38804</v>
      </c>
    </row>
    <row r="337" spans="1:2" x14ac:dyDescent="0.2">
      <c r="A337" s="8" t="s">
        <v>38942</v>
      </c>
      <c r="B337" s="8" t="s">
        <v>26199</v>
      </c>
    </row>
    <row r="338" spans="1:2" x14ac:dyDescent="0.2">
      <c r="A338" s="8" t="s">
        <v>38971</v>
      </c>
      <c r="B338" s="8" t="s">
        <v>26204</v>
      </c>
    </row>
    <row r="339" spans="1:2" x14ac:dyDescent="0.2">
      <c r="A339" s="8" t="s">
        <v>38983</v>
      </c>
      <c r="B339" s="8" t="s">
        <v>26176</v>
      </c>
    </row>
    <row r="340" spans="1:2" x14ac:dyDescent="0.2">
      <c r="A340" s="8" t="s">
        <v>39122</v>
      </c>
      <c r="B340" s="8" t="s">
        <v>26834</v>
      </c>
    </row>
    <row r="341" spans="1:2" x14ac:dyDescent="0.2">
      <c r="A341" s="8" t="s">
        <v>39212</v>
      </c>
      <c r="B341" s="8" t="s">
        <v>26935</v>
      </c>
    </row>
    <row r="342" spans="1:2" x14ac:dyDescent="0.2">
      <c r="A342" s="8" t="s">
        <v>39227</v>
      </c>
      <c r="B342" s="8" t="s">
        <v>26981</v>
      </c>
    </row>
    <row r="343" spans="1:2" x14ac:dyDescent="0.2">
      <c r="A343" s="8" t="s">
        <v>39238</v>
      </c>
      <c r="B343" s="8" t="s">
        <v>26958</v>
      </c>
    </row>
    <row r="344" spans="1:2" x14ac:dyDescent="0.2">
      <c r="A344" s="8" t="s">
        <v>39251</v>
      </c>
      <c r="B344" s="8" t="s">
        <v>26973</v>
      </c>
    </row>
    <row r="345" spans="1:2" x14ac:dyDescent="0.2">
      <c r="A345" s="8" t="s">
        <v>39312</v>
      </c>
      <c r="B345" s="8" t="s">
        <v>27078</v>
      </c>
    </row>
    <row r="346" spans="1:2" x14ac:dyDescent="0.2">
      <c r="A346" s="8" t="s">
        <v>39320</v>
      </c>
      <c r="B346" s="8" t="s">
        <v>27086</v>
      </c>
    </row>
    <row r="347" spans="1:2" x14ac:dyDescent="0.2">
      <c r="A347" s="8" t="s">
        <v>39360</v>
      </c>
      <c r="B347" s="8" t="s">
        <v>27467</v>
      </c>
    </row>
    <row r="348" spans="1:2" x14ac:dyDescent="0.2">
      <c r="A348" s="8" t="s">
        <v>39414</v>
      </c>
      <c r="B348" s="8" t="s">
        <v>27608</v>
      </c>
    </row>
    <row r="349" spans="1:2" x14ac:dyDescent="0.2">
      <c r="A349" s="8" t="s">
        <v>39463</v>
      </c>
      <c r="B349" s="8" t="s">
        <v>27901</v>
      </c>
    </row>
    <row r="350" spans="1:2" x14ac:dyDescent="0.2">
      <c r="A350" s="8" t="s">
        <v>39520</v>
      </c>
      <c r="B350" s="8" t="s">
        <v>28211</v>
      </c>
    </row>
    <row r="351" spans="1:2" x14ac:dyDescent="0.2">
      <c r="A351" s="8" t="s">
        <v>39577</v>
      </c>
      <c r="B351" s="8" t="s">
        <v>28732</v>
      </c>
    </row>
    <row r="352" spans="1:2" x14ac:dyDescent="0.2">
      <c r="A352" s="8" t="s">
        <v>39621</v>
      </c>
      <c r="B352" s="8" t="s">
        <v>29232</v>
      </c>
    </row>
    <row r="353" spans="1:2" x14ac:dyDescent="0.2">
      <c r="A353" s="8" t="s">
        <v>39700</v>
      </c>
      <c r="B353" s="8" t="s">
        <v>30177</v>
      </c>
    </row>
    <row r="354" spans="1:2" x14ac:dyDescent="0.2">
      <c r="A354" s="8" t="s">
        <v>39798</v>
      </c>
      <c r="B354" s="8" t="s">
        <v>30774</v>
      </c>
    </row>
    <row r="355" spans="1:2" x14ac:dyDescent="0.2">
      <c r="A355" s="8" t="s">
        <v>39801</v>
      </c>
      <c r="B355" s="8" t="s">
        <v>30783</v>
      </c>
    </row>
    <row r="356" spans="1:2" x14ac:dyDescent="0.2">
      <c r="A356" s="8" t="s">
        <v>39829</v>
      </c>
      <c r="B356" s="8" t="s">
        <v>39825</v>
      </c>
    </row>
    <row r="357" spans="1:2" x14ac:dyDescent="0.2">
      <c r="A357" s="8" t="s">
        <v>39883</v>
      </c>
      <c r="B357" s="8" t="s">
        <v>39897</v>
      </c>
    </row>
    <row r="358" spans="1:2" x14ac:dyDescent="0.2">
      <c r="A358" s="8" t="s">
        <v>40008</v>
      </c>
      <c r="B358" s="8" t="s">
        <v>31325</v>
      </c>
    </row>
    <row r="359" spans="1:2" x14ac:dyDescent="0.2">
      <c r="A359" s="8" t="s">
        <v>40256</v>
      </c>
      <c r="B359" s="8" t="s">
        <v>32407</v>
      </c>
    </row>
    <row r="360" spans="1:2" x14ac:dyDescent="0.2">
      <c r="A360" s="8" t="s">
        <v>40296</v>
      </c>
      <c r="B360" s="8" t="s">
        <v>32963</v>
      </c>
    </row>
    <row r="361" spans="1:2" x14ac:dyDescent="0.2">
      <c r="A361" s="8" t="s">
        <v>40368</v>
      </c>
      <c r="B361" s="8" t="s">
        <v>33598</v>
      </c>
    </row>
    <row r="362" spans="1:2" x14ac:dyDescent="0.2">
      <c r="A362" s="8" t="s">
        <v>40369</v>
      </c>
      <c r="B362" s="8" t="s">
        <v>33590</v>
      </c>
    </row>
    <row r="363" spans="1:2" x14ac:dyDescent="0.2">
      <c r="A363" s="8" t="s">
        <v>40373</v>
      </c>
      <c r="B363" s="8" t="s">
        <v>33638</v>
      </c>
    </row>
    <row r="364" spans="1:2" x14ac:dyDescent="0.2">
      <c r="A364" s="8" t="s">
        <v>40384</v>
      </c>
      <c r="B364" s="8" t="s">
        <v>33758</v>
      </c>
    </row>
    <row r="365" spans="1:2" x14ac:dyDescent="0.2">
      <c r="A365" s="8" t="s">
        <v>40387</v>
      </c>
      <c r="B365" s="8" t="s">
        <v>33763</v>
      </c>
    </row>
    <row r="366" spans="1:2" x14ac:dyDescent="0.2">
      <c r="A366" s="8" t="s">
        <v>40388</v>
      </c>
      <c r="B366" s="8" t="s">
        <v>33794</v>
      </c>
    </row>
    <row r="367" spans="1:2" x14ac:dyDescent="0.2">
      <c r="A367" s="8" t="s">
        <v>40389</v>
      </c>
      <c r="B367" s="8" t="s">
        <v>33799</v>
      </c>
    </row>
    <row r="368" spans="1:2" x14ac:dyDescent="0.2">
      <c r="A368" s="8" t="s">
        <v>40400</v>
      </c>
      <c r="B368" s="8" t="s">
        <v>40531</v>
      </c>
    </row>
    <row r="369" spans="1:2" x14ac:dyDescent="0.2">
      <c r="A369" s="8" t="s">
        <v>40419</v>
      </c>
      <c r="B369" s="8" t="s">
        <v>55131</v>
      </c>
    </row>
    <row r="370" spans="1:2" x14ac:dyDescent="0.2">
      <c r="A370" s="8" t="s">
        <v>40494</v>
      </c>
      <c r="B370" s="8" t="s">
        <v>34348</v>
      </c>
    </row>
    <row r="371" spans="1:2" x14ac:dyDescent="0.2">
      <c r="A371" s="8" t="s">
        <v>40553</v>
      </c>
      <c r="B371" s="8" t="s">
        <v>34595</v>
      </c>
    </row>
    <row r="372" spans="1:2" x14ac:dyDescent="0.2">
      <c r="A372" s="8" t="s">
        <v>40586</v>
      </c>
      <c r="B372" s="8" t="s">
        <v>395</v>
      </c>
    </row>
    <row r="373" spans="1:2" x14ac:dyDescent="0.2">
      <c r="A373" s="8" t="s">
        <v>40694</v>
      </c>
      <c r="B373" s="8" t="s">
        <v>40700</v>
      </c>
    </row>
    <row r="374" spans="1:2" x14ac:dyDescent="0.2">
      <c r="A374" s="8" t="s">
        <v>40740</v>
      </c>
      <c r="B374" s="8" t="s">
        <v>34827</v>
      </c>
    </row>
    <row r="375" spans="1:2" x14ac:dyDescent="0.2">
      <c r="A375" s="8" t="s">
        <v>40801</v>
      </c>
      <c r="B375" s="8" t="s">
        <v>1424</v>
      </c>
    </row>
    <row r="376" spans="1:2" x14ac:dyDescent="0.2">
      <c r="A376" s="8" t="s">
        <v>41023</v>
      </c>
      <c r="B376" s="8" t="s">
        <v>41012</v>
      </c>
    </row>
    <row r="377" spans="1:2" x14ac:dyDescent="0.2">
      <c r="A377" s="8" t="s">
        <v>41051</v>
      </c>
      <c r="B377" s="8" t="s">
        <v>2193</v>
      </c>
    </row>
    <row r="378" spans="1:2" x14ac:dyDescent="0.2">
      <c r="A378" s="8" t="s">
        <v>41060</v>
      </c>
      <c r="B378" s="8" t="s">
        <v>2210</v>
      </c>
    </row>
    <row r="379" spans="1:2" x14ac:dyDescent="0.2">
      <c r="A379" s="8" t="s">
        <v>41067</v>
      </c>
      <c r="B379" s="8" t="s">
        <v>2198</v>
      </c>
    </row>
    <row r="380" spans="1:2" x14ac:dyDescent="0.2">
      <c r="A380" s="8" t="s">
        <v>41079</v>
      </c>
      <c r="B380" s="8" t="s">
        <v>2230</v>
      </c>
    </row>
    <row r="381" spans="1:2" x14ac:dyDescent="0.2">
      <c r="A381" s="8" t="s">
        <v>41085</v>
      </c>
      <c r="B381" s="8" t="s">
        <v>41062</v>
      </c>
    </row>
    <row r="382" spans="1:2" x14ac:dyDescent="0.2">
      <c r="A382" s="8" t="s">
        <v>41115</v>
      </c>
      <c r="B382" s="8" t="s">
        <v>35022</v>
      </c>
    </row>
    <row r="383" spans="1:2" x14ac:dyDescent="0.2">
      <c r="A383" s="8" t="s">
        <v>41176</v>
      </c>
      <c r="B383" s="8" t="s">
        <v>2447</v>
      </c>
    </row>
    <row r="384" spans="1:2" x14ac:dyDescent="0.2">
      <c r="A384" s="8" t="s">
        <v>41227</v>
      </c>
      <c r="B384" s="8" t="s">
        <v>35082</v>
      </c>
    </row>
    <row r="385" spans="1:2" x14ac:dyDescent="0.2">
      <c r="A385" s="8" t="s">
        <v>41239</v>
      </c>
      <c r="B385" s="8" t="s">
        <v>2711</v>
      </c>
    </row>
    <row r="386" spans="1:2" x14ac:dyDescent="0.2">
      <c r="A386" s="8" t="s">
        <v>41262</v>
      </c>
      <c r="B386" s="8" t="s">
        <v>2760</v>
      </c>
    </row>
    <row r="387" spans="1:2" x14ac:dyDescent="0.2">
      <c r="A387" s="8" t="s">
        <v>41263</v>
      </c>
      <c r="B387" s="8" t="s">
        <v>2789</v>
      </c>
    </row>
    <row r="388" spans="1:2" x14ac:dyDescent="0.2">
      <c r="A388" s="8" t="s">
        <v>41270</v>
      </c>
      <c r="B388" s="8" t="s">
        <v>2829</v>
      </c>
    </row>
    <row r="389" spans="1:2" x14ac:dyDescent="0.2">
      <c r="A389" s="8" t="s">
        <v>41404</v>
      </c>
      <c r="B389" s="8" t="s">
        <v>3477</v>
      </c>
    </row>
    <row r="390" spans="1:2" x14ac:dyDescent="0.2">
      <c r="A390" s="8" t="s">
        <v>41406</v>
      </c>
      <c r="B390" s="8" t="s">
        <v>3492</v>
      </c>
    </row>
    <row r="391" spans="1:2" x14ac:dyDescent="0.2">
      <c r="A391" s="8" t="s">
        <v>41431</v>
      </c>
      <c r="B391" s="8" t="s">
        <v>3591</v>
      </c>
    </row>
    <row r="392" spans="1:2" x14ac:dyDescent="0.2">
      <c r="A392" s="8" t="s">
        <v>41463</v>
      </c>
      <c r="B392" s="8" t="s">
        <v>41459</v>
      </c>
    </row>
    <row r="393" spans="1:2" x14ac:dyDescent="0.2">
      <c r="A393" s="8" t="s">
        <v>41481</v>
      </c>
      <c r="B393" s="8" t="s">
        <v>3781</v>
      </c>
    </row>
    <row r="394" spans="1:2" x14ac:dyDescent="0.2">
      <c r="A394" s="8" t="s">
        <v>41483</v>
      </c>
      <c r="B394" s="8" t="s">
        <v>3791</v>
      </c>
    </row>
    <row r="395" spans="1:2" x14ac:dyDescent="0.2">
      <c r="A395" s="8" t="s">
        <v>41507</v>
      </c>
      <c r="B395" s="8" t="s">
        <v>3878</v>
      </c>
    </row>
    <row r="396" spans="1:2" x14ac:dyDescent="0.2">
      <c r="A396" s="8" t="s">
        <v>41528</v>
      </c>
      <c r="B396" s="8" t="s">
        <v>35459</v>
      </c>
    </row>
    <row r="397" spans="1:2" x14ac:dyDescent="0.2">
      <c r="A397" s="8" t="s">
        <v>41543</v>
      </c>
      <c r="B397" s="8" t="s">
        <v>3964</v>
      </c>
    </row>
    <row r="398" spans="1:2" x14ac:dyDescent="0.2">
      <c r="A398" s="8" t="s">
        <v>41564</v>
      </c>
      <c r="B398" s="8" t="s">
        <v>35531</v>
      </c>
    </row>
    <row r="399" spans="1:2" x14ac:dyDescent="0.2">
      <c r="A399" s="8" t="s">
        <v>41598</v>
      </c>
      <c r="B399" s="8" t="s">
        <v>4303</v>
      </c>
    </row>
    <row r="400" spans="1:2" x14ac:dyDescent="0.2">
      <c r="A400" s="8" t="s">
        <v>41614</v>
      </c>
      <c r="B400" s="8" t="s">
        <v>4397</v>
      </c>
    </row>
    <row r="401" spans="1:2" x14ac:dyDescent="0.2">
      <c r="A401" s="8" t="s">
        <v>41649</v>
      </c>
      <c r="B401" s="8" t="s">
        <v>4592</v>
      </c>
    </row>
    <row r="402" spans="1:2" x14ac:dyDescent="0.2">
      <c r="A402" s="8" t="s">
        <v>41671</v>
      </c>
      <c r="B402" s="8" t="s">
        <v>4597</v>
      </c>
    </row>
    <row r="403" spans="1:2" x14ac:dyDescent="0.2">
      <c r="A403" s="8" t="s">
        <v>41708</v>
      </c>
      <c r="B403" s="8" t="s">
        <v>4861</v>
      </c>
    </row>
    <row r="404" spans="1:2" x14ac:dyDescent="0.2">
      <c r="A404" s="8" t="s">
        <v>41722</v>
      </c>
      <c r="B404" s="8" t="s">
        <v>4902</v>
      </c>
    </row>
    <row r="405" spans="1:2" x14ac:dyDescent="0.2">
      <c r="A405" s="8" t="s">
        <v>41729</v>
      </c>
      <c r="B405" s="8" t="s">
        <v>41714</v>
      </c>
    </row>
    <row r="406" spans="1:2" x14ac:dyDescent="0.2">
      <c r="A406" s="8" t="s">
        <v>41755</v>
      </c>
      <c r="B406" s="8" t="s">
        <v>5063</v>
      </c>
    </row>
    <row r="407" spans="1:2" x14ac:dyDescent="0.2">
      <c r="A407" s="8" t="s">
        <v>41763</v>
      </c>
      <c r="B407" s="8" t="s">
        <v>5212</v>
      </c>
    </row>
    <row r="408" spans="1:2" x14ac:dyDescent="0.2">
      <c r="A408" s="8" t="s">
        <v>41784</v>
      </c>
      <c r="B408" s="8" t="s">
        <v>5226</v>
      </c>
    </row>
    <row r="409" spans="1:2" x14ac:dyDescent="0.2">
      <c r="A409" s="8" t="s">
        <v>41797</v>
      </c>
      <c r="B409" s="8" t="s">
        <v>5234</v>
      </c>
    </row>
    <row r="410" spans="1:2" x14ac:dyDescent="0.2">
      <c r="A410" s="8" t="s">
        <v>41803</v>
      </c>
      <c r="B410" s="8" t="s">
        <v>5237</v>
      </c>
    </row>
    <row r="411" spans="1:2" x14ac:dyDescent="0.2">
      <c r="A411" s="8" t="s">
        <v>41920</v>
      </c>
      <c r="B411" s="8" t="s">
        <v>5685</v>
      </c>
    </row>
    <row r="412" spans="1:2" x14ac:dyDescent="0.2">
      <c r="A412" s="8" t="s">
        <v>41928</v>
      </c>
      <c r="B412" s="8" t="s">
        <v>5680</v>
      </c>
    </row>
    <row r="413" spans="1:2" x14ac:dyDescent="0.2">
      <c r="A413" s="8" t="s">
        <v>41931</v>
      </c>
      <c r="B413" s="8" t="s">
        <v>35823</v>
      </c>
    </row>
    <row r="414" spans="1:2" x14ac:dyDescent="0.2">
      <c r="A414" s="8" t="s">
        <v>41943</v>
      </c>
      <c r="B414" s="8" t="s">
        <v>35829</v>
      </c>
    </row>
    <row r="415" spans="1:2" x14ac:dyDescent="0.2">
      <c r="A415" s="8" t="s">
        <v>41945</v>
      </c>
      <c r="B415" s="8" t="s">
        <v>35834</v>
      </c>
    </row>
    <row r="416" spans="1:2" x14ac:dyDescent="0.2">
      <c r="A416" s="8" t="s">
        <v>41946</v>
      </c>
      <c r="B416" s="8" t="s">
        <v>35837</v>
      </c>
    </row>
    <row r="417" spans="1:2" x14ac:dyDescent="0.2">
      <c r="A417" s="8" t="s">
        <v>42024</v>
      </c>
      <c r="B417" s="8" t="s">
        <v>5967</v>
      </c>
    </row>
    <row r="418" spans="1:2" x14ac:dyDescent="0.2">
      <c r="A418" s="8" t="s">
        <v>42114</v>
      </c>
      <c r="B418" s="8" t="s">
        <v>42097</v>
      </c>
    </row>
    <row r="419" spans="1:2" x14ac:dyDescent="0.2">
      <c r="A419" s="8" t="s">
        <v>42169</v>
      </c>
      <c r="B419" s="8" t="s">
        <v>6558</v>
      </c>
    </row>
    <row r="420" spans="1:2" x14ac:dyDescent="0.2">
      <c r="A420" s="8" t="s">
        <v>42309</v>
      </c>
      <c r="B420" s="8" t="s">
        <v>6563</v>
      </c>
    </row>
    <row r="421" spans="1:2" x14ac:dyDescent="0.2">
      <c r="A421" s="8" t="s">
        <v>42317</v>
      </c>
      <c r="B421" s="8" t="s">
        <v>6576</v>
      </c>
    </row>
    <row r="422" spans="1:2" x14ac:dyDescent="0.2">
      <c r="A422" s="8" t="s">
        <v>42323</v>
      </c>
      <c r="B422" s="8" t="s">
        <v>36061</v>
      </c>
    </row>
    <row r="423" spans="1:2" x14ac:dyDescent="0.2">
      <c r="A423" s="8" t="s">
        <v>42390</v>
      </c>
      <c r="B423" s="8" t="s">
        <v>6846</v>
      </c>
    </row>
    <row r="424" spans="1:2" x14ac:dyDescent="0.2">
      <c r="A424" s="8" t="s">
        <v>42408</v>
      </c>
      <c r="B424" s="8" t="s">
        <v>42412</v>
      </c>
    </row>
    <row r="425" spans="1:2" x14ac:dyDescent="0.2">
      <c r="A425" s="8" t="s">
        <v>42481</v>
      </c>
      <c r="B425" s="8" t="s">
        <v>7013</v>
      </c>
    </row>
    <row r="426" spans="1:2" x14ac:dyDescent="0.2">
      <c r="A426" s="8" t="s">
        <v>42560</v>
      </c>
      <c r="B426" s="8" t="s">
        <v>7153</v>
      </c>
    </row>
    <row r="427" spans="1:2" x14ac:dyDescent="0.2">
      <c r="A427" s="8" t="s">
        <v>42677</v>
      </c>
      <c r="B427" s="8" t="s">
        <v>7404</v>
      </c>
    </row>
    <row r="428" spans="1:2" x14ac:dyDescent="0.2">
      <c r="A428" s="8" t="s">
        <v>42685</v>
      </c>
      <c r="B428" s="8" t="s">
        <v>7401</v>
      </c>
    </row>
    <row r="429" spans="1:2" x14ac:dyDescent="0.2">
      <c r="A429" s="8" t="s">
        <v>42803</v>
      </c>
      <c r="B429" s="8" t="s">
        <v>7899</v>
      </c>
    </row>
    <row r="430" spans="1:2" x14ac:dyDescent="0.2">
      <c r="A430" s="8" t="s">
        <v>42806</v>
      </c>
      <c r="B430" s="8" t="s">
        <v>7914</v>
      </c>
    </row>
    <row r="431" spans="1:2" x14ac:dyDescent="0.2">
      <c r="A431" s="8" t="s">
        <v>42820</v>
      </c>
      <c r="B431" s="8" t="s">
        <v>8006</v>
      </c>
    </row>
    <row r="432" spans="1:2" x14ac:dyDescent="0.2">
      <c r="A432" s="8" t="s">
        <v>42822</v>
      </c>
      <c r="B432" s="8" t="s">
        <v>8097</v>
      </c>
    </row>
    <row r="433" spans="1:2" x14ac:dyDescent="0.2">
      <c r="A433" s="8" t="s">
        <v>42844</v>
      </c>
      <c r="B433" s="8" t="s">
        <v>36318</v>
      </c>
    </row>
    <row r="434" spans="1:2" x14ac:dyDescent="0.2">
      <c r="A434" s="8" t="s">
        <v>42851</v>
      </c>
      <c r="B434" s="8" t="s">
        <v>36339</v>
      </c>
    </row>
    <row r="435" spans="1:2" x14ac:dyDescent="0.2">
      <c r="A435" s="8" t="s">
        <v>42853</v>
      </c>
      <c r="B435" s="8" t="s">
        <v>36344</v>
      </c>
    </row>
    <row r="436" spans="1:2" x14ac:dyDescent="0.2">
      <c r="A436" s="8" t="s">
        <v>42857</v>
      </c>
      <c r="B436" s="8" t="s">
        <v>8966</v>
      </c>
    </row>
    <row r="437" spans="1:2" x14ac:dyDescent="0.2">
      <c r="A437" s="8" t="s">
        <v>42858</v>
      </c>
      <c r="B437" s="8" t="s">
        <v>8971</v>
      </c>
    </row>
    <row r="438" spans="1:2" x14ac:dyDescent="0.2">
      <c r="A438" s="8" t="s">
        <v>42871</v>
      </c>
      <c r="B438" s="8" t="s">
        <v>36385</v>
      </c>
    </row>
    <row r="439" spans="1:2" x14ac:dyDescent="0.2">
      <c r="A439" s="8" t="s">
        <v>42875</v>
      </c>
      <c r="B439" s="8" t="s">
        <v>9088</v>
      </c>
    </row>
    <row r="440" spans="1:2" x14ac:dyDescent="0.2">
      <c r="A440" s="8" t="s">
        <v>42882</v>
      </c>
      <c r="B440" s="8" t="s">
        <v>42887</v>
      </c>
    </row>
    <row r="441" spans="1:2" x14ac:dyDescent="0.2">
      <c r="A441" s="8" t="s">
        <v>42894</v>
      </c>
      <c r="B441" s="8" t="s">
        <v>42890</v>
      </c>
    </row>
    <row r="442" spans="1:2" x14ac:dyDescent="0.2">
      <c r="A442" s="8" t="s">
        <v>42955</v>
      </c>
      <c r="B442" s="8" t="s">
        <v>9906</v>
      </c>
    </row>
    <row r="443" spans="1:2" x14ac:dyDescent="0.2">
      <c r="A443" s="8" t="s">
        <v>43003</v>
      </c>
      <c r="B443" s="8" t="s">
        <v>36495</v>
      </c>
    </row>
    <row r="444" spans="1:2" x14ac:dyDescent="0.2">
      <c r="A444" s="8" t="s">
        <v>43009</v>
      </c>
      <c r="B444" s="8" t="s">
        <v>36501</v>
      </c>
    </row>
    <row r="445" spans="1:2" x14ac:dyDescent="0.2">
      <c r="A445" s="8" t="s">
        <v>43019</v>
      </c>
      <c r="B445" s="8" t="s">
        <v>10550</v>
      </c>
    </row>
    <row r="446" spans="1:2" x14ac:dyDescent="0.2">
      <c r="A446" s="8" t="s">
        <v>43078</v>
      </c>
      <c r="B446" s="8" t="s">
        <v>43071</v>
      </c>
    </row>
    <row r="447" spans="1:2" x14ac:dyDescent="0.2">
      <c r="A447" s="8" t="s">
        <v>43241</v>
      </c>
      <c r="B447" s="8" t="s">
        <v>36690</v>
      </c>
    </row>
    <row r="448" spans="1:2" x14ac:dyDescent="0.2">
      <c r="A448" s="8" t="s">
        <v>43252</v>
      </c>
      <c r="B448" s="8" t="s">
        <v>11734</v>
      </c>
    </row>
    <row r="449" spans="1:2" x14ac:dyDescent="0.2">
      <c r="A449" s="8" t="s">
        <v>43769</v>
      </c>
      <c r="B449" s="8" t="s">
        <v>11936</v>
      </c>
    </row>
    <row r="450" spans="1:2" x14ac:dyDescent="0.2">
      <c r="A450" s="8" t="s">
        <v>43794</v>
      </c>
      <c r="B450" s="8" t="s">
        <v>43790</v>
      </c>
    </row>
    <row r="451" spans="1:2" x14ac:dyDescent="0.2">
      <c r="A451" s="8" t="s">
        <v>43965</v>
      </c>
      <c r="B451" s="8" t="s">
        <v>12306</v>
      </c>
    </row>
    <row r="452" spans="1:2" x14ac:dyDescent="0.2">
      <c r="A452" s="8" t="s">
        <v>44024</v>
      </c>
      <c r="B452" s="8" t="s">
        <v>12480</v>
      </c>
    </row>
    <row r="453" spans="1:2" x14ac:dyDescent="0.2">
      <c r="A453" s="8" t="s">
        <v>44132</v>
      </c>
      <c r="B453" s="8" t="s">
        <v>12926</v>
      </c>
    </row>
    <row r="454" spans="1:2" x14ac:dyDescent="0.2">
      <c r="A454" s="8" t="s">
        <v>44141</v>
      </c>
      <c r="B454" s="8" t="s">
        <v>12998</v>
      </c>
    </row>
    <row r="455" spans="1:2" x14ac:dyDescent="0.2">
      <c r="A455" s="8" t="s">
        <v>44148</v>
      </c>
      <c r="B455" s="8" t="s">
        <v>13028</v>
      </c>
    </row>
    <row r="456" spans="1:2" x14ac:dyDescent="0.2">
      <c r="A456" s="8" t="s">
        <v>44277</v>
      </c>
      <c r="B456" s="8" t="s">
        <v>13572</v>
      </c>
    </row>
    <row r="457" spans="1:2" x14ac:dyDescent="0.2">
      <c r="A457" s="8" t="s">
        <v>44351</v>
      </c>
      <c r="B457" s="8" t="s">
        <v>44346</v>
      </c>
    </row>
    <row r="458" spans="1:2" x14ac:dyDescent="0.2">
      <c r="A458" s="8" t="s">
        <v>44354</v>
      </c>
      <c r="B458" s="8" t="s">
        <v>44358</v>
      </c>
    </row>
    <row r="459" spans="1:2" x14ac:dyDescent="0.2">
      <c r="A459" s="8" t="s">
        <v>44405</v>
      </c>
      <c r="B459" s="8" t="s">
        <v>14207</v>
      </c>
    </row>
    <row r="460" spans="1:2" x14ac:dyDescent="0.2">
      <c r="A460" s="8" t="s">
        <v>44407</v>
      </c>
      <c r="B460" s="8" t="s">
        <v>14195</v>
      </c>
    </row>
    <row r="461" spans="1:2" x14ac:dyDescent="0.2">
      <c r="A461" s="8" t="s">
        <v>44513</v>
      </c>
      <c r="B461" s="8" t="s">
        <v>14523</v>
      </c>
    </row>
    <row r="462" spans="1:2" x14ac:dyDescent="0.2">
      <c r="A462" s="8" t="s">
        <v>44580</v>
      </c>
      <c r="B462" s="8" t="s">
        <v>14815</v>
      </c>
    </row>
    <row r="463" spans="1:2" x14ac:dyDescent="0.2">
      <c r="A463" s="8" t="s">
        <v>44611</v>
      </c>
      <c r="B463" s="8" t="s">
        <v>14949</v>
      </c>
    </row>
    <row r="464" spans="1:2" x14ac:dyDescent="0.2">
      <c r="A464" s="8" t="s">
        <v>44634</v>
      </c>
      <c r="B464" s="8" t="s">
        <v>15041</v>
      </c>
    </row>
    <row r="465" spans="1:2" x14ac:dyDescent="0.2">
      <c r="A465" s="8" t="s">
        <v>44659</v>
      </c>
      <c r="B465" s="8" t="s">
        <v>15451</v>
      </c>
    </row>
    <row r="466" spans="1:2" x14ac:dyDescent="0.2">
      <c r="A466" s="8" t="s">
        <v>44734</v>
      </c>
      <c r="B466" s="8" t="s">
        <v>15617</v>
      </c>
    </row>
    <row r="467" spans="1:2" x14ac:dyDescent="0.2">
      <c r="A467" s="8" t="s">
        <v>44746</v>
      </c>
      <c r="B467" s="8" t="s">
        <v>15581</v>
      </c>
    </row>
    <row r="468" spans="1:2" x14ac:dyDescent="0.2">
      <c r="A468" s="8" t="s">
        <v>44777</v>
      </c>
      <c r="B468" s="8" t="s">
        <v>16085</v>
      </c>
    </row>
    <row r="469" spans="1:2" x14ac:dyDescent="0.2">
      <c r="A469" s="8" t="s">
        <v>44782</v>
      </c>
      <c r="B469" s="8" t="s">
        <v>16034</v>
      </c>
    </row>
    <row r="470" spans="1:2" x14ac:dyDescent="0.2">
      <c r="A470" s="8" t="s">
        <v>44785</v>
      </c>
      <c r="B470" s="8" t="s">
        <v>16176</v>
      </c>
    </row>
    <row r="471" spans="1:2" x14ac:dyDescent="0.2">
      <c r="A471" s="8" t="s">
        <v>46019</v>
      </c>
      <c r="B471" s="8" t="s">
        <v>17608</v>
      </c>
    </row>
    <row r="472" spans="1:2" x14ac:dyDescent="0.2">
      <c r="A472" s="8" t="s">
        <v>46042</v>
      </c>
      <c r="B472" s="8" t="s">
        <v>17670</v>
      </c>
    </row>
    <row r="473" spans="1:2" x14ac:dyDescent="0.2">
      <c r="A473" s="8" t="s">
        <v>46053</v>
      </c>
      <c r="B473" s="8" t="s">
        <v>17859</v>
      </c>
    </row>
    <row r="474" spans="1:2" x14ac:dyDescent="0.2">
      <c r="A474" s="8" t="s">
        <v>46059</v>
      </c>
      <c r="B474" s="8" t="s">
        <v>18039</v>
      </c>
    </row>
    <row r="475" spans="1:2" x14ac:dyDescent="0.2">
      <c r="A475" s="8" t="s">
        <v>46087</v>
      </c>
      <c r="B475" s="8" t="s">
        <v>18016</v>
      </c>
    </row>
    <row r="476" spans="1:2" x14ac:dyDescent="0.2">
      <c r="A476" s="8" t="s">
        <v>46101</v>
      </c>
      <c r="B476" s="8" t="s">
        <v>18142</v>
      </c>
    </row>
    <row r="477" spans="1:2" x14ac:dyDescent="0.2">
      <c r="A477" s="8" t="s">
        <v>46147</v>
      </c>
      <c r="B477" s="8" t="s">
        <v>18814</v>
      </c>
    </row>
    <row r="478" spans="1:2" x14ac:dyDescent="0.2">
      <c r="A478" s="8" t="s">
        <v>46239</v>
      </c>
      <c r="B478" s="8" t="s">
        <v>18724</v>
      </c>
    </row>
    <row r="479" spans="1:2" x14ac:dyDescent="0.2">
      <c r="A479" s="8" t="s">
        <v>46339</v>
      </c>
      <c r="B479" s="8" t="s">
        <v>18928</v>
      </c>
    </row>
    <row r="480" spans="1:2" x14ac:dyDescent="0.2">
      <c r="A480" s="8" t="s">
        <v>46366</v>
      </c>
      <c r="B480" s="8" t="s">
        <v>18981</v>
      </c>
    </row>
    <row r="481" spans="1:2" x14ac:dyDescent="0.2">
      <c r="A481" s="8" t="s">
        <v>46400</v>
      </c>
      <c r="B481" s="8" t="s">
        <v>19029</v>
      </c>
    </row>
    <row r="482" spans="1:2" x14ac:dyDescent="0.2">
      <c r="A482" s="8" t="s">
        <v>46403</v>
      </c>
      <c r="B482" s="8" t="s">
        <v>19047</v>
      </c>
    </row>
    <row r="483" spans="1:2" x14ac:dyDescent="0.2">
      <c r="A483" s="8" t="s">
        <v>46449</v>
      </c>
      <c r="B483" s="8" t="s">
        <v>19103</v>
      </c>
    </row>
    <row r="484" spans="1:2" x14ac:dyDescent="0.2">
      <c r="A484" s="8" t="s">
        <v>46462</v>
      </c>
      <c r="B484" s="8" t="s">
        <v>37745</v>
      </c>
    </row>
    <row r="485" spans="1:2" x14ac:dyDescent="0.2">
      <c r="A485" s="8" t="s">
        <v>46568</v>
      </c>
      <c r="B485" s="8" t="s">
        <v>19231</v>
      </c>
    </row>
    <row r="486" spans="1:2" x14ac:dyDescent="0.2">
      <c r="A486" s="8" t="s">
        <v>46583</v>
      </c>
      <c r="B486" s="8" t="s">
        <v>19176</v>
      </c>
    </row>
    <row r="487" spans="1:2" x14ac:dyDescent="0.2">
      <c r="A487" s="8" t="s">
        <v>46624</v>
      </c>
      <c r="B487" s="8" t="s">
        <v>19277</v>
      </c>
    </row>
    <row r="488" spans="1:2" x14ac:dyDescent="0.2">
      <c r="A488" s="8" t="s">
        <v>46632</v>
      </c>
      <c r="B488" s="8" t="s">
        <v>19255</v>
      </c>
    </row>
    <row r="489" spans="1:2" x14ac:dyDescent="0.2">
      <c r="A489" s="8" t="s">
        <v>46694</v>
      </c>
      <c r="B489" s="8" t="s">
        <v>46697</v>
      </c>
    </row>
    <row r="490" spans="1:2" x14ac:dyDescent="0.2">
      <c r="A490" s="8" t="s">
        <v>46878</v>
      </c>
      <c r="B490" s="8" t="s">
        <v>19437</v>
      </c>
    </row>
    <row r="491" spans="1:2" x14ac:dyDescent="0.2">
      <c r="A491" s="8" t="s">
        <v>47155</v>
      </c>
      <c r="B491" s="8" t="s">
        <v>19659</v>
      </c>
    </row>
    <row r="492" spans="1:2" x14ac:dyDescent="0.2">
      <c r="A492" s="8" t="s">
        <v>47161</v>
      </c>
      <c r="B492" s="8" t="s">
        <v>19682</v>
      </c>
    </row>
    <row r="493" spans="1:2" x14ac:dyDescent="0.2">
      <c r="A493" s="8" t="s">
        <v>47174</v>
      </c>
      <c r="B493" s="8" t="s">
        <v>19679</v>
      </c>
    </row>
    <row r="494" spans="1:2" x14ac:dyDescent="0.2">
      <c r="A494" s="8" t="s">
        <v>47195</v>
      </c>
      <c r="B494" s="8" t="s">
        <v>19728</v>
      </c>
    </row>
    <row r="495" spans="1:2" x14ac:dyDescent="0.2">
      <c r="A495" s="8" t="s">
        <v>47221</v>
      </c>
      <c r="B495" s="8" t="s">
        <v>19737</v>
      </c>
    </row>
    <row r="496" spans="1:2" x14ac:dyDescent="0.2">
      <c r="A496" s="8" t="s">
        <v>47332</v>
      </c>
      <c r="B496" s="8" t="s">
        <v>47352</v>
      </c>
    </row>
    <row r="497" spans="1:2" x14ac:dyDescent="0.2">
      <c r="A497" s="8" t="s">
        <v>47403</v>
      </c>
      <c r="B497" s="8" t="s">
        <v>19882</v>
      </c>
    </row>
    <row r="498" spans="1:2" x14ac:dyDescent="0.2">
      <c r="A498" s="8" t="s">
        <v>47474</v>
      </c>
      <c r="B498" s="8" t="s">
        <v>19973</v>
      </c>
    </row>
    <row r="499" spans="1:2" x14ac:dyDescent="0.2">
      <c r="A499" s="8" t="s">
        <v>47816</v>
      </c>
      <c r="B499" s="8" t="s">
        <v>20274</v>
      </c>
    </row>
    <row r="500" spans="1:2" x14ac:dyDescent="0.2">
      <c r="A500" s="8" t="s">
        <v>47852</v>
      </c>
      <c r="B500" s="8" t="s">
        <v>20317</v>
      </c>
    </row>
    <row r="501" spans="1:2" x14ac:dyDescent="0.2">
      <c r="A501" s="8" t="s">
        <v>47904</v>
      </c>
      <c r="B501" s="8" t="s">
        <v>20340</v>
      </c>
    </row>
    <row r="502" spans="1:2" x14ac:dyDescent="0.2">
      <c r="A502" s="8" t="s">
        <v>48245</v>
      </c>
      <c r="B502" s="8" t="s">
        <v>20585</v>
      </c>
    </row>
    <row r="503" spans="1:2" x14ac:dyDescent="0.2">
      <c r="A503" s="8" t="s">
        <v>48331</v>
      </c>
      <c r="B503" s="8" t="s">
        <v>20610</v>
      </c>
    </row>
    <row r="504" spans="1:2" x14ac:dyDescent="0.2">
      <c r="A504" s="8" t="s">
        <v>48405</v>
      </c>
      <c r="B504" s="8" t="s">
        <v>20652</v>
      </c>
    </row>
    <row r="505" spans="1:2" x14ac:dyDescent="0.2">
      <c r="A505" s="8" t="s">
        <v>48494</v>
      </c>
      <c r="B505" s="8" t="s">
        <v>48509</v>
      </c>
    </row>
    <row r="506" spans="1:2" x14ac:dyDescent="0.2">
      <c r="A506" s="8" t="s">
        <v>48700</v>
      </c>
      <c r="B506" s="8" t="s">
        <v>20857</v>
      </c>
    </row>
    <row r="507" spans="1:2" x14ac:dyDescent="0.2">
      <c r="A507" s="8" t="s">
        <v>48721</v>
      </c>
      <c r="B507" s="8" t="s">
        <v>37875</v>
      </c>
    </row>
    <row r="508" spans="1:2" x14ac:dyDescent="0.2">
      <c r="A508" s="8" t="s">
        <v>48730</v>
      </c>
      <c r="B508" s="8" t="s">
        <v>20889</v>
      </c>
    </row>
    <row r="509" spans="1:2" x14ac:dyDescent="0.2">
      <c r="A509" s="8" t="s">
        <v>48774</v>
      </c>
      <c r="B509" s="8" t="s">
        <v>20927</v>
      </c>
    </row>
    <row r="510" spans="1:2" x14ac:dyDescent="0.2">
      <c r="A510" s="8" t="s">
        <v>48896</v>
      </c>
      <c r="B510" s="8" t="s">
        <v>48909</v>
      </c>
    </row>
    <row r="511" spans="1:2" x14ac:dyDescent="0.2">
      <c r="A511" s="8" t="s">
        <v>49051</v>
      </c>
      <c r="B511" s="8" t="s">
        <v>37909</v>
      </c>
    </row>
    <row r="512" spans="1:2" x14ac:dyDescent="0.2">
      <c r="A512" s="8" t="s">
        <v>49143</v>
      </c>
      <c r="B512" s="8" t="s">
        <v>21204</v>
      </c>
    </row>
    <row r="513" spans="1:2" x14ac:dyDescent="0.2">
      <c r="A513" s="8" t="s">
        <v>49191</v>
      </c>
      <c r="B513" s="8" t="s">
        <v>21274</v>
      </c>
    </row>
    <row r="514" spans="1:2" x14ac:dyDescent="0.2">
      <c r="A514" s="8" t="s">
        <v>49283</v>
      </c>
      <c r="B514" s="8" t="s">
        <v>49321</v>
      </c>
    </row>
    <row r="515" spans="1:2" x14ac:dyDescent="0.2">
      <c r="A515" s="8" t="s">
        <v>49308</v>
      </c>
      <c r="B515" s="8" t="s">
        <v>21316</v>
      </c>
    </row>
    <row r="516" spans="1:2" x14ac:dyDescent="0.2">
      <c r="A516" s="8" t="s">
        <v>49679</v>
      </c>
      <c r="B516" s="8" t="s">
        <v>21841</v>
      </c>
    </row>
    <row r="517" spans="1:2" x14ac:dyDescent="0.2">
      <c r="A517" s="8" t="s">
        <v>49766</v>
      </c>
      <c r="B517" s="8" t="s">
        <v>21893</v>
      </c>
    </row>
    <row r="518" spans="1:2" x14ac:dyDescent="0.2">
      <c r="A518" s="8" t="s">
        <v>49809</v>
      </c>
      <c r="B518" s="8" t="s">
        <v>22251</v>
      </c>
    </row>
    <row r="519" spans="1:2" x14ac:dyDescent="0.2">
      <c r="A519" s="8" t="s">
        <v>49897</v>
      </c>
      <c r="B519" s="8" t="s">
        <v>21898</v>
      </c>
    </row>
    <row r="520" spans="1:2" x14ac:dyDescent="0.2">
      <c r="A520" s="8" t="s">
        <v>49944</v>
      </c>
      <c r="B520" s="8" t="s">
        <v>22028</v>
      </c>
    </row>
    <row r="521" spans="1:2" x14ac:dyDescent="0.2">
      <c r="A521" s="8" t="s">
        <v>50356</v>
      </c>
      <c r="B521" s="8" t="s">
        <v>22139</v>
      </c>
    </row>
    <row r="522" spans="1:2" x14ac:dyDescent="0.2">
      <c r="A522" s="8" t="s">
        <v>50360</v>
      </c>
      <c r="B522" s="8" t="s">
        <v>22230</v>
      </c>
    </row>
    <row r="523" spans="1:2" x14ac:dyDescent="0.2">
      <c r="A523" s="8" t="s">
        <v>50427</v>
      </c>
      <c r="B523" s="8" t="s">
        <v>22254</v>
      </c>
    </row>
    <row r="524" spans="1:2" x14ac:dyDescent="0.2">
      <c r="A524" s="8" t="s">
        <v>50497</v>
      </c>
      <c r="B524" s="8" t="s">
        <v>22191</v>
      </c>
    </row>
    <row r="525" spans="1:2" x14ac:dyDescent="0.2">
      <c r="A525" s="8" t="s">
        <v>50573</v>
      </c>
      <c r="B525" s="8" t="s">
        <v>22336</v>
      </c>
    </row>
    <row r="526" spans="1:2" x14ac:dyDescent="0.2">
      <c r="A526" s="8" t="s">
        <v>50579</v>
      </c>
      <c r="B526" s="8" t="s">
        <v>22366</v>
      </c>
    </row>
    <row r="527" spans="1:2" x14ac:dyDescent="0.2">
      <c r="A527" s="8" t="s">
        <v>50605</v>
      </c>
      <c r="B527" s="8" t="s">
        <v>38041</v>
      </c>
    </row>
    <row r="528" spans="1:2" x14ac:dyDescent="0.2">
      <c r="A528" s="8" t="s">
        <v>50679</v>
      </c>
      <c r="B528" s="8" t="s">
        <v>38139</v>
      </c>
    </row>
    <row r="529" spans="1:2" x14ac:dyDescent="0.2">
      <c r="A529" s="8" t="s">
        <v>50718</v>
      </c>
      <c r="B529" s="8" t="s">
        <v>22974</v>
      </c>
    </row>
    <row r="530" spans="1:2" x14ac:dyDescent="0.2">
      <c r="A530" s="8" t="s">
        <v>50729</v>
      </c>
      <c r="B530" s="8" t="s">
        <v>22950</v>
      </c>
    </row>
    <row r="531" spans="1:2" x14ac:dyDescent="0.2">
      <c r="A531" s="8" t="s">
        <v>50872</v>
      </c>
      <c r="B531" s="8" t="s">
        <v>23234</v>
      </c>
    </row>
    <row r="532" spans="1:2" x14ac:dyDescent="0.2">
      <c r="A532" s="8" t="s">
        <v>51125</v>
      </c>
      <c r="B532" s="8" t="s">
        <v>23852</v>
      </c>
    </row>
    <row r="533" spans="1:2" x14ac:dyDescent="0.2">
      <c r="A533" s="8" t="s">
        <v>51128</v>
      </c>
      <c r="B533" s="8" t="s">
        <v>51133</v>
      </c>
    </row>
    <row r="534" spans="1:2" x14ac:dyDescent="0.2">
      <c r="A534" s="8" t="s">
        <v>51152</v>
      </c>
      <c r="B534" s="8" t="s">
        <v>23994</v>
      </c>
    </row>
    <row r="535" spans="1:2" x14ac:dyDescent="0.2">
      <c r="A535" s="8" t="s">
        <v>51227</v>
      </c>
      <c r="B535" s="8" t="s">
        <v>24291</v>
      </c>
    </row>
    <row r="536" spans="1:2" x14ac:dyDescent="0.2">
      <c r="A536" s="8" t="s">
        <v>51263</v>
      </c>
      <c r="B536" s="8" t="s">
        <v>24494</v>
      </c>
    </row>
    <row r="537" spans="1:2" x14ac:dyDescent="0.2">
      <c r="A537" s="8" t="s">
        <v>51289</v>
      </c>
      <c r="B537" s="8" t="s">
        <v>22475</v>
      </c>
    </row>
    <row r="538" spans="1:2" x14ac:dyDescent="0.2">
      <c r="A538" s="8" t="s">
        <v>51365</v>
      </c>
      <c r="B538" s="8" t="s">
        <v>38561</v>
      </c>
    </row>
    <row r="539" spans="1:2" x14ac:dyDescent="0.2">
      <c r="A539" s="8" t="s">
        <v>51408</v>
      </c>
      <c r="B539" s="8" t="s">
        <v>24944</v>
      </c>
    </row>
    <row r="540" spans="1:2" x14ac:dyDescent="0.2">
      <c r="A540" s="8" t="s">
        <v>51412</v>
      </c>
      <c r="B540" s="8" t="s">
        <v>38602</v>
      </c>
    </row>
    <row r="541" spans="1:2" x14ac:dyDescent="0.2">
      <c r="A541" s="8" t="s">
        <v>51448</v>
      </c>
      <c r="B541" s="8" t="s">
        <v>38628</v>
      </c>
    </row>
    <row r="542" spans="1:2" x14ac:dyDescent="0.2">
      <c r="A542" s="8" t="s">
        <v>51471</v>
      </c>
      <c r="B542" s="8" t="s">
        <v>38614</v>
      </c>
    </row>
    <row r="543" spans="1:2" x14ac:dyDescent="0.2">
      <c r="A543" s="8" t="s">
        <v>51517</v>
      </c>
      <c r="B543" s="8" t="s">
        <v>51506</v>
      </c>
    </row>
    <row r="544" spans="1:2" x14ac:dyDescent="0.2">
      <c r="A544" s="8" t="s">
        <v>51557</v>
      </c>
      <c r="B544" s="8" t="s">
        <v>25250</v>
      </c>
    </row>
    <row r="545" spans="1:2" x14ac:dyDescent="0.2">
      <c r="A545" s="8" t="s">
        <v>51621</v>
      </c>
      <c r="B545" s="8" t="s">
        <v>25399</v>
      </c>
    </row>
    <row r="546" spans="1:2" x14ac:dyDescent="0.2">
      <c r="A546" s="8" t="s">
        <v>51710</v>
      </c>
      <c r="B546" s="8" t="s">
        <v>25613</v>
      </c>
    </row>
    <row r="547" spans="1:2" x14ac:dyDescent="0.2">
      <c r="A547" s="8" t="s">
        <v>51909</v>
      </c>
      <c r="B547" s="8" t="s">
        <v>39007</v>
      </c>
    </row>
    <row r="548" spans="1:2" x14ac:dyDescent="0.2">
      <c r="A548" s="8" t="s">
        <v>51938</v>
      </c>
      <c r="B548" s="8" t="s">
        <v>26505</v>
      </c>
    </row>
    <row r="549" spans="1:2" x14ac:dyDescent="0.2">
      <c r="A549" s="8" t="s">
        <v>51941</v>
      </c>
      <c r="B549" s="8" t="s">
        <v>26589</v>
      </c>
    </row>
    <row r="550" spans="1:2" x14ac:dyDescent="0.2">
      <c r="A550" s="8" t="s">
        <v>51947</v>
      </c>
      <c r="B550" s="8" t="s">
        <v>39047</v>
      </c>
    </row>
    <row r="551" spans="1:2" x14ac:dyDescent="0.2">
      <c r="A551" s="8" t="s">
        <v>52070</v>
      </c>
      <c r="B551" s="8" t="s">
        <v>26810</v>
      </c>
    </row>
    <row r="552" spans="1:2" x14ac:dyDescent="0.2">
      <c r="A552" s="8" t="s">
        <v>52107</v>
      </c>
      <c r="B552" s="8" t="s">
        <v>27062</v>
      </c>
    </row>
    <row r="553" spans="1:2" x14ac:dyDescent="0.2">
      <c r="A553" s="8" t="s">
        <v>52139</v>
      </c>
      <c r="B553" s="8" t="s">
        <v>27293</v>
      </c>
    </row>
    <row r="554" spans="1:2" x14ac:dyDescent="0.2">
      <c r="A554" s="8" t="s">
        <v>52158</v>
      </c>
      <c r="B554" s="8" t="s">
        <v>55367</v>
      </c>
    </row>
    <row r="555" spans="1:2" x14ac:dyDescent="0.2">
      <c r="A555" s="8" t="s">
        <v>52192</v>
      </c>
      <c r="B555" s="8" t="s">
        <v>27565</v>
      </c>
    </row>
    <row r="556" spans="1:2" x14ac:dyDescent="0.2">
      <c r="A556" s="8" t="s">
        <v>52194</v>
      </c>
      <c r="B556" s="8" t="s">
        <v>27568</v>
      </c>
    </row>
    <row r="557" spans="1:2" x14ac:dyDescent="0.2">
      <c r="A557" s="8" t="s">
        <v>52227</v>
      </c>
      <c r="B557" s="8" t="s">
        <v>27755</v>
      </c>
    </row>
    <row r="558" spans="1:2" x14ac:dyDescent="0.2">
      <c r="A558" s="8" t="s">
        <v>52299</v>
      </c>
      <c r="B558" s="8" t="s">
        <v>28005</v>
      </c>
    </row>
    <row r="559" spans="1:2" x14ac:dyDescent="0.2">
      <c r="A559" s="8" t="s">
        <v>52321</v>
      </c>
      <c r="B559" s="8" t="s">
        <v>39515</v>
      </c>
    </row>
    <row r="560" spans="1:2" x14ac:dyDescent="0.2">
      <c r="A560" s="8" t="s">
        <v>52502</v>
      </c>
      <c r="B560" s="8" t="s">
        <v>29268</v>
      </c>
    </row>
    <row r="561" spans="1:2" x14ac:dyDescent="0.2">
      <c r="A561" s="8" t="s">
        <v>52546</v>
      </c>
      <c r="B561" s="8" t="s">
        <v>29292</v>
      </c>
    </row>
    <row r="562" spans="1:2" x14ac:dyDescent="0.2">
      <c r="A562" s="8" t="s">
        <v>52822</v>
      </c>
      <c r="B562" s="8" t="s">
        <v>29636</v>
      </c>
    </row>
    <row r="563" spans="1:2" x14ac:dyDescent="0.2">
      <c r="A563" s="8" t="s">
        <v>53213</v>
      </c>
      <c r="B563" s="8" t="s">
        <v>53210</v>
      </c>
    </row>
    <row r="564" spans="1:2" x14ac:dyDescent="0.2">
      <c r="A564" s="8" t="s">
        <v>53223</v>
      </c>
      <c r="B564" s="8" t="s">
        <v>53219</v>
      </c>
    </row>
    <row r="565" spans="1:2" x14ac:dyDescent="0.2">
      <c r="A565" s="8" t="s">
        <v>53261</v>
      </c>
      <c r="B565" s="8" t="s">
        <v>39701</v>
      </c>
    </row>
    <row r="566" spans="1:2" x14ac:dyDescent="0.2">
      <c r="A566" s="8" t="s">
        <v>53284</v>
      </c>
      <c r="B566" s="8" t="s">
        <v>53279</v>
      </c>
    </row>
    <row r="567" spans="1:2" x14ac:dyDescent="0.2">
      <c r="A567" s="8" t="s">
        <v>53342</v>
      </c>
      <c r="B567" s="8" t="s">
        <v>53352</v>
      </c>
    </row>
    <row r="568" spans="1:2" x14ac:dyDescent="0.2">
      <c r="A568" s="8" t="s">
        <v>53364</v>
      </c>
      <c r="B568" s="8" t="s">
        <v>30289</v>
      </c>
    </row>
    <row r="569" spans="1:2" x14ac:dyDescent="0.2">
      <c r="A569" s="8" t="s">
        <v>53587</v>
      </c>
      <c r="B569" s="8" t="s">
        <v>30653</v>
      </c>
    </row>
    <row r="570" spans="1:2" x14ac:dyDescent="0.2">
      <c r="A570" s="8" t="s">
        <v>53590</v>
      </c>
      <c r="B570" s="8" t="s">
        <v>30469</v>
      </c>
    </row>
    <row r="571" spans="1:2" x14ac:dyDescent="0.2">
      <c r="A571" s="8" t="s">
        <v>53807</v>
      </c>
      <c r="B571" s="8" t="s">
        <v>30650</v>
      </c>
    </row>
    <row r="572" spans="1:2" x14ac:dyDescent="0.2">
      <c r="A572" s="8" t="s">
        <v>53816</v>
      </c>
      <c r="B572" s="8" t="s">
        <v>53929</v>
      </c>
    </row>
    <row r="573" spans="1:2" x14ac:dyDescent="0.2">
      <c r="A573" s="8" t="s">
        <v>53821</v>
      </c>
      <c r="B573" s="8" t="s">
        <v>30751</v>
      </c>
    </row>
    <row r="574" spans="1:2" x14ac:dyDescent="0.2">
      <c r="A574" s="8" t="s">
        <v>53834</v>
      </c>
      <c r="B574" s="8" t="s">
        <v>53931</v>
      </c>
    </row>
    <row r="575" spans="1:2" x14ac:dyDescent="0.2">
      <c r="A575" s="8" t="s">
        <v>53882</v>
      </c>
      <c r="B575" s="8" t="s">
        <v>53797</v>
      </c>
    </row>
    <row r="576" spans="1:2" x14ac:dyDescent="0.2">
      <c r="A576" s="8" t="s">
        <v>53963</v>
      </c>
      <c r="B576" s="8" t="s">
        <v>53929</v>
      </c>
    </row>
    <row r="577" spans="1:2" x14ac:dyDescent="0.2">
      <c r="A577" s="8" t="s">
        <v>53970</v>
      </c>
      <c r="B577" s="8" t="s">
        <v>53931</v>
      </c>
    </row>
    <row r="578" spans="1:2" x14ac:dyDescent="0.2">
      <c r="A578" s="8" t="s">
        <v>54031</v>
      </c>
      <c r="B578" s="8" t="s">
        <v>30934</v>
      </c>
    </row>
    <row r="579" spans="1:2" x14ac:dyDescent="0.2">
      <c r="A579" s="8" t="s">
        <v>54125</v>
      </c>
      <c r="B579" s="8" t="s">
        <v>31126</v>
      </c>
    </row>
    <row r="580" spans="1:2" x14ac:dyDescent="0.2">
      <c r="A580" s="8" t="s">
        <v>54260</v>
      </c>
      <c r="B580" s="8" t="s">
        <v>31483</v>
      </c>
    </row>
    <row r="581" spans="1:2" x14ac:dyDescent="0.2">
      <c r="A581" s="8" t="s">
        <v>54291</v>
      </c>
      <c r="B581" s="8" t="s">
        <v>31506</v>
      </c>
    </row>
    <row r="582" spans="1:2" x14ac:dyDescent="0.2">
      <c r="A582" s="8" t="s">
        <v>54343</v>
      </c>
      <c r="B582" s="8" t="s">
        <v>31646</v>
      </c>
    </row>
    <row r="583" spans="1:2" x14ac:dyDescent="0.2">
      <c r="A583" s="8" t="s">
        <v>54346</v>
      </c>
      <c r="B583" s="8" t="s">
        <v>31652</v>
      </c>
    </row>
    <row r="584" spans="1:2" x14ac:dyDescent="0.2">
      <c r="A584" s="8" t="s">
        <v>54374</v>
      </c>
      <c r="B584" s="8" t="s">
        <v>31755</v>
      </c>
    </row>
    <row r="585" spans="1:2" x14ac:dyDescent="0.2">
      <c r="A585" s="8" t="s">
        <v>54394</v>
      </c>
      <c r="B585" s="8" t="s">
        <v>54405</v>
      </c>
    </row>
    <row r="586" spans="1:2" x14ac:dyDescent="0.2">
      <c r="A586" s="8" t="s">
        <v>54531</v>
      </c>
      <c r="B586" s="8" t="s">
        <v>54547</v>
      </c>
    </row>
    <row r="587" spans="1:2" x14ac:dyDescent="0.2">
      <c r="A587" s="8" t="s">
        <v>54545</v>
      </c>
      <c r="B587" s="8" t="s">
        <v>54547</v>
      </c>
    </row>
    <row r="588" spans="1:2" x14ac:dyDescent="0.2">
      <c r="A588" s="8" t="s">
        <v>54604</v>
      </c>
      <c r="B588" s="8" t="s">
        <v>32155</v>
      </c>
    </row>
    <row r="589" spans="1:2" x14ac:dyDescent="0.2">
      <c r="A589" s="8" t="s">
        <v>54721</v>
      </c>
      <c r="B589" s="8" t="s">
        <v>32351</v>
      </c>
    </row>
    <row r="590" spans="1:2" x14ac:dyDescent="0.2">
      <c r="A590" s="8" t="s">
        <v>54728</v>
      </c>
      <c r="B590" s="8" t="s">
        <v>32378</v>
      </c>
    </row>
    <row r="591" spans="1:2" x14ac:dyDescent="0.2">
      <c r="A591" s="8" t="s">
        <v>54765</v>
      </c>
      <c r="B591" s="8" t="s">
        <v>32631</v>
      </c>
    </row>
    <row r="592" spans="1:2" x14ac:dyDescent="0.2">
      <c r="A592" s="8" t="s">
        <v>54868</v>
      </c>
      <c r="B592" s="8" t="s">
        <v>32805</v>
      </c>
    </row>
    <row r="593" spans="1:2" x14ac:dyDescent="0.2">
      <c r="A593" s="8" t="s">
        <v>54888</v>
      </c>
      <c r="B593" s="8" t="s">
        <v>40297</v>
      </c>
    </row>
    <row r="594" spans="1:2" x14ac:dyDescent="0.2">
      <c r="A594" s="8" t="s">
        <v>54956</v>
      </c>
      <c r="B594" s="8" t="s">
        <v>33074</v>
      </c>
    </row>
    <row r="595" spans="1:2" x14ac:dyDescent="0.2">
      <c r="A595" s="8" t="s">
        <v>54996</v>
      </c>
      <c r="B595" s="8" t="s">
        <v>33290</v>
      </c>
    </row>
    <row r="596" spans="1:2" x14ac:dyDescent="0.2">
      <c r="A596" s="8" t="s">
        <v>55010</v>
      </c>
      <c r="B596" s="8" t="s">
        <v>33410</v>
      </c>
    </row>
    <row r="597" spans="1:2" x14ac:dyDescent="0.2">
      <c r="A597" s="8" t="s">
        <v>55063</v>
      </c>
      <c r="B597" s="8" t="s">
        <v>33608</v>
      </c>
    </row>
    <row r="598" spans="1:2" x14ac:dyDescent="0.2">
      <c r="A598" s="8" t="s">
        <v>55080</v>
      </c>
      <c r="B598" s="8" t="s">
        <v>33729</v>
      </c>
    </row>
    <row r="599" spans="1:2" x14ac:dyDescent="0.2">
      <c r="A599" s="8" t="s">
        <v>55098</v>
      </c>
      <c r="B599" s="8" t="s">
        <v>33784</v>
      </c>
    </row>
    <row r="600" spans="1:2" x14ac:dyDescent="0.2">
      <c r="A600" s="8" t="s">
        <v>55153</v>
      </c>
      <c r="B600" s="8" t="s">
        <v>34001</v>
      </c>
    </row>
    <row r="601" spans="1:2" x14ac:dyDescent="0.2">
      <c r="A601" s="8" t="s">
        <v>55215</v>
      </c>
      <c r="B601" s="8" t="s">
        <v>34201</v>
      </c>
    </row>
    <row r="602" spans="1:2" x14ac:dyDescent="0.2">
      <c r="A602" s="8" t="s">
        <v>55266</v>
      </c>
      <c r="B602" s="8" t="s">
        <v>34279</v>
      </c>
    </row>
    <row r="603" spans="1:2" x14ac:dyDescent="0.2">
      <c r="A603" s="8" t="s">
        <v>55274</v>
      </c>
      <c r="B603" s="8" t="s">
        <v>55269</v>
      </c>
    </row>
    <row r="604" spans="1:2" x14ac:dyDescent="0.2">
      <c r="A604" s="8" t="s">
        <v>55295</v>
      </c>
      <c r="B604" s="8" t="s">
        <v>40527</v>
      </c>
    </row>
    <row r="605" spans="1:2" x14ac:dyDescent="0.2">
      <c r="A605" s="8" t="s">
        <v>55357</v>
      </c>
      <c r="B605" s="8" t="s">
        <v>34513</v>
      </c>
    </row>
    <row r="606" spans="1:2" x14ac:dyDescent="0.2">
      <c r="A606" s="8" t="s">
        <v>55363</v>
      </c>
      <c r="B606" s="8" t="s">
        <v>34600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5"/>
  <sheetViews>
    <sheetView topLeftCell="A4" workbookViewId="0">
      <selection activeCell="B21" sqref="B21"/>
    </sheetView>
  </sheetViews>
  <sheetFormatPr defaultRowHeight="14.25" x14ac:dyDescent="0.2"/>
  <cols>
    <col min="1" max="1" width="17.125" style="8" customWidth="1"/>
    <col min="2" max="2" width="82" style="8" customWidth="1"/>
    <col min="3" max="16384" width="9" style="8"/>
  </cols>
  <sheetData>
    <row r="1" spans="1:2" x14ac:dyDescent="0.2">
      <c r="A1" s="55" t="s">
        <v>55368</v>
      </c>
      <c r="B1" s="55"/>
    </row>
    <row r="2" spans="1:2" ht="31.5" customHeight="1" x14ac:dyDescent="0.2"/>
    <row r="3" spans="1:2" ht="27.75" customHeight="1" x14ac:dyDescent="0.35">
      <c r="A3" s="56" t="s">
        <v>55369</v>
      </c>
      <c r="B3" s="56"/>
    </row>
    <row r="4" spans="1:2" ht="29.25" customHeight="1" x14ac:dyDescent="0.2">
      <c r="A4" s="9" t="s">
        <v>55370</v>
      </c>
      <c r="B4" s="10" t="s">
        <v>55371</v>
      </c>
    </row>
    <row r="5" spans="1:2" ht="29.25" customHeight="1" x14ac:dyDescent="0.2">
      <c r="A5" s="11" t="s">
        <v>55372</v>
      </c>
      <c r="B5" s="12" t="s">
        <v>55373</v>
      </c>
    </row>
    <row r="6" spans="1:2" ht="29.25" customHeight="1" x14ac:dyDescent="0.2">
      <c r="A6" s="11" t="s">
        <v>55374</v>
      </c>
      <c r="B6" s="12" t="s">
        <v>55375</v>
      </c>
    </row>
    <row r="7" spans="1:2" ht="29.25" customHeight="1" x14ac:dyDescent="0.2">
      <c r="A7" s="11" t="s">
        <v>351</v>
      </c>
      <c r="B7" s="12" t="s">
        <v>55376</v>
      </c>
    </row>
    <row r="8" spans="1:2" ht="29.25" customHeight="1" x14ac:dyDescent="0.2">
      <c r="A8" s="11" t="s">
        <v>424</v>
      </c>
      <c r="B8" s="12" t="s">
        <v>55377</v>
      </c>
    </row>
    <row r="9" spans="1:2" ht="29.25" customHeight="1" x14ac:dyDescent="0.2">
      <c r="A9" s="11" t="s">
        <v>17644</v>
      </c>
      <c r="B9" s="12" t="s">
        <v>55378</v>
      </c>
    </row>
    <row r="10" spans="1:2" ht="29.25" customHeight="1" x14ac:dyDescent="0.2">
      <c r="A10" s="11" t="s">
        <v>449</v>
      </c>
      <c r="B10" s="12" t="s">
        <v>55379</v>
      </c>
    </row>
    <row r="11" spans="1:2" ht="29.25" customHeight="1" x14ac:dyDescent="0.2">
      <c r="A11" s="11" t="s">
        <v>1174</v>
      </c>
      <c r="B11" s="12" t="s">
        <v>55380</v>
      </c>
    </row>
    <row r="12" spans="1:2" ht="29.25" customHeight="1" x14ac:dyDescent="0.2">
      <c r="A12" s="11" t="s">
        <v>55381</v>
      </c>
      <c r="B12" s="12" t="s">
        <v>55382</v>
      </c>
    </row>
    <row r="13" spans="1:2" ht="29.25" customHeight="1" x14ac:dyDescent="0.2">
      <c r="A13" s="11" t="s">
        <v>55383</v>
      </c>
      <c r="B13" s="12" t="s">
        <v>55384</v>
      </c>
    </row>
    <row r="14" spans="1:2" ht="29.25" customHeight="1" x14ac:dyDescent="0.2">
      <c r="A14" s="11" t="s">
        <v>55385</v>
      </c>
      <c r="B14" s="12" t="s">
        <v>55386</v>
      </c>
    </row>
    <row r="15" spans="1:2" ht="29.25" customHeight="1" x14ac:dyDescent="0.2">
      <c r="A15" s="11" t="s">
        <v>55387</v>
      </c>
      <c r="B15" s="12" t="s">
        <v>55388</v>
      </c>
    </row>
    <row r="16" spans="1:2" ht="29.25" customHeight="1" x14ac:dyDescent="0.2">
      <c r="A16" s="11" t="s">
        <v>55389</v>
      </c>
      <c r="B16" s="12" t="s">
        <v>55390</v>
      </c>
    </row>
    <row r="17" spans="1:8" ht="29.25" customHeight="1" x14ac:dyDescent="0.2">
      <c r="A17" s="11" t="s">
        <v>55391</v>
      </c>
      <c r="B17" s="12" t="s">
        <v>55392</v>
      </c>
    </row>
    <row r="18" spans="1:8" ht="29.25" customHeight="1" x14ac:dyDescent="0.2">
      <c r="A18" s="11" t="s">
        <v>37986</v>
      </c>
      <c r="B18" s="12" t="s">
        <v>55393</v>
      </c>
    </row>
    <row r="19" spans="1:8" ht="29.25" customHeight="1" x14ac:dyDescent="0.2">
      <c r="A19" s="11" t="s">
        <v>55394</v>
      </c>
      <c r="B19" s="12" t="s">
        <v>55395</v>
      </c>
    </row>
    <row r="20" spans="1:8" ht="29.25" customHeight="1" x14ac:dyDescent="0.2">
      <c r="A20" s="11" t="s">
        <v>55396</v>
      </c>
      <c r="B20" s="12" t="s">
        <v>55397</v>
      </c>
    </row>
    <row r="21" spans="1:8" ht="29.25" customHeight="1" x14ac:dyDescent="0.2">
      <c r="A21" s="11" t="s">
        <v>55398</v>
      </c>
      <c r="B21" s="12" t="s">
        <v>55399</v>
      </c>
    </row>
    <row r="22" spans="1:8" ht="29.25" customHeight="1" x14ac:dyDescent="0.2">
      <c r="A22" s="11" t="s">
        <v>55400</v>
      </c>
      <c r="B22" s="12" t="s">
        <v>55401</v>
      </c>
    </row>
    <row r="23" spans="1:8" ht="29.25" customHeight="1" x14ac:dyDescent="0.2">
      <c r="A23" s="11" t="s">
        <v>55402</v>
      </c>
      <c r="B23" s="12" t="s">
        <v>55403</v>
      </c>
    </row>
    <row r="24" spans="1:8" ht="29.25" customHeight="1" x14ac:dyDescent="0.2">
      <c r="A24" s="11" t="s">
        <v>55404</v>
      </c>
      <c r="B24" s="12" t="s">
        <v>55405</v>
      </c>
    </row>
    <row r="25" spans="1:8" ht="29.25" customHeight="1" x14ac:dyDescent="0.2">
      <c r="A25" s="11" t="s">
        <v>55406</v>
      </c>
      <c r="B25" s="12" t="s">
        <v>55407</v>
      </c>
    </row>
    <row r="26" spans="1:8" ht="29.25" customHeight="1" x14ac:dyDescent="0.2">
      <c r="A26" s="13" t="s">
        <v>55408</v>
      </c>
      <c r="B26" s="14" t="s">
        <v>55409</v>
      </c>
    </row>
    <row r="27" spans="1:8" ht="33.75" customHeight="1" x14ac:dyDescent="0.2"/>
    <row r="28" spans="1:8" ht="21.75" customHeight="1" x14ac:dyDescent="0.3">
      <c r="A28" s="57" t="s">
        <v>55410</v>
      </c>
      <c r="B28" s="57"/>
      <c r="C28" s="57"/>
      <c r="D28" s="57"/>
      <c r="E28" s="57"/>
      <c r="F28" s="57"/>
      <c r="G28" s="57"/>
      <c r="H28" s="57"/>
    </row>
    <row r="29" spans="1:8" x14ac:dyDescent="0.2">
      <c r="A29" s="15" t="s">
        <v>449</v>
      </c>
      <c r="B29" s="16" t="s">
        <v>55371</v>
      </c>
      <c r="C29" s="16" t="s">
        <v>55411</v>
      </c>
      <c r="D29" s="16" t="s">
        <v>55412</v>
      </c>
      <c r="E29" s="16" t="s">
        <v>55413</v>
      </c>
      <c r="F29" s="16" t="s">
        <v>55414</v>
      </c>
      <c r="G29" s="16" t="s">
        <v>55412</v>
      </c>
      <c r="H29" s="10" t="s">
        <v>55413</v>
      </c>
    </row>
    <row r="30" spans="1:8" x14ac:dyDescent="0.2">
      <c r="A30" s="17">
        <v>1</v>
      </c>
      <c r="B30" s="18" t="s">
        <v>55415</v>
      </c>
      <c r="C30" s="19">
        <v>6022</v>
      </c>
      <c r="D30" s="19">
        <v>76.900000000000006</v>
      </c>
      <c r="E30" s="19">
        <v>466</v>
      </c>
      <c r="F30" s="19">
        <v>3972</v>
      </c>
      <c r="G30" s="19">
        <v>73.7</v>
      </c>
      <c r="H30" s="20">
        <v>149</v>
      </c>
    </row>
    <row r="31" spans="1:8" ht="15.75" x14ac:dyDescent="0.2">
      <c r="A31" s="17">
        <v>2</v>
      </c>
      <c r="B31" s="18" t="s">
        <v>55416</v>
      </c>
      <c r="C31" s="19">
        <v>149</v>
      </c>
      <c r="D31" s="19">
        <v>1.9</v>
      </c>
      <c r="E31" s="21"/>
      <c r="F31" s="19">
        <v>86</v>
      </c>
      <c r="G31" s="19">
        <v>1.6</v>
      </c>
      <c r="H31" s="20">
        <v>4</v>
      </c>
    </row>
    <row r="32" spans="1:8" ht="15.75" x14ac:dyDescent="0.2">
      <c r="A32" s="17">
        <v>3</v>
      </c>
      <c r="B32" s="18" t="s">
        <v>55417</v>
      </c>
      <c r="C32" s="19">
        <v>94</v>
      </c>
      <c r="D32" s="19">
        <v>1.2</v>
      </c>
      <c r="E32" s="21"/>
      <c r="F32" s="19">
        <v>36</v>
      </c>
      <c r="G32" s="19">
        <v>0.7</v>
      </c>
      <c r="H32" s="22"/>
    </row>
    <row r="33" spans="1:9" ht="15.75" x14ac:dyDescent="0.2">
      <c r="A33" s="17">
        <v>4</v>
      </c>
      <c r="B33" s="18" t="s">
        <v>55418</v>
      </c>
      <c r="C33" s="19">
        <v>673</v>
      </c>
      <c r="D33" s="19">
        <v>8.6</v>
      </c>
      <c r="E33" s="19">
        <v>3</v>
      </c>
      <c r="F33" s="19">
        <v>38</v>
      </c>
      <c r="G33" s="19">
        <v>0.7</v>
      </c>
      <c r="H33" s="22"/>
    </row>
    <row r="34" spans="1:9" ht="15.75" x14ac:dyDescent="0.2">
      <c r="A34" s="17">
        <v>5</v>
      </c>
      <c r="B34" s="18" t="s">
        <v>55419</v>
      </c>
      <c r="C34" s="19">
        <v>115</v>
      </c>
      <c r="D34" s="19">
        <v>1.5</v>
      </c>
      <c r="E34" s="21"/>
      <c r="F34" s="19">
        <v>8</v>
      </c>
      <c r="G34" s="19">
        <v>0.1</v>
      </c>
      <c r="H34" s="22"/>
    </row>
    <row r="35" spans="1:9" ht="15.75" x14ac:dyDescent="0.2">
      <c r="A35" s="17">
        <v>6</v>
      </c>
      <c r="B35" s="18" t="s">
        <v>55420</v>
      </c>
      <c r="C35" s="19">
        <v>29</v>
      </c>
      <c r="D35" s="19">
        <v>0.4</v>
      </c>
      <c r="E35" s="19">
        <v>1</v>
      </c>
      <c r="F35" s="19">
        <v>23</v>
      </c>
      <c r="G35" s="19">
        <v>0.4</v>
      </c>
      <c r="H35" s="22"/>
    </row>
    <row r="36" spans="1:9" x14ac:dyDescent="0.2">
      <c r="A36" s="17">
        <v>7</v>
      </c>
      <c r="B36" s="18" t="s">
        <v>55421</v>
      </c>
      <c r="C36" s="19">
        <v>263</v>
      </c>
      <c r="D36" s="19">
        <v>3.2</v>
      </c>
      <c r="E36" s="19">
        <v>77</v>
      </c>
      <c r="F36" s="19">
        <v>76</v>
      </c>
      <c r="G36" s="19">
        <v>1.4</v>
      </c>
      <c r="H36" s="20">
        <v>5</v>
      </c>
    </row>
    <row r="37" spans="1:9" ht="15.75" x14ac:dyDescent="0.2">
      <c r="A37" s="17">
        <v>8</v>
      </c>
      <c r="B37" s="18" t="s">
        <v>55422</v>
      </c>
      <c r="C37" s="21"/>
      <c r="D37" s="21"/>
      <c r="E37" s="19">
        <v>24</v>
      </c>
      <c r="F37" s="19">
        <v>268</v>
      </c>
      <c r="G37" s="19">
        <v>4.9000000000000004</v>
      </c>
      <c r="H37" s="20">
        <v>2</v>
      </c>
    </row>
    <row r="38" spans="1:9" ht="15.75" x14ac:dyDescent="0.2">
      <c r="A38" s="17">
        <v>9</v>
      </c>
      <c r="B38" s="18" t="s">
        <v>72</v>
      </c>
      <c r="C38" s="19">
        <v>405</v>
      </c>
      <c r="D38" s="19">
        <v>5.2</v>
      </c>
      <c r="E38" s="21"/>
      <c r="F38" s="19">
        <v>672</v>
      </c>
      <c r="G38" s="19">
        <v>12.5</v>
      </c>
      <c r="H38" s="22"/>
    </row>
    <row r="39" spans="1:9" ht="15.75" x14ac:dyDescent="0.2">
      <c r="A39" s="17">
        <v>10</v>
      </c>
      <c r="B39" s="18" t="s">
        <v>55423</v>
      </c>
      <c r="C39" s="21">
        <v>90</v>
      </c>
      <c r="D39" s="19">
        <v>1.1000000000000001</v>
      </c>
      <c r="E39" s="21"/>
      <c r="F39" s="19">
        <v>207</v>
      </c>
      <c r="G39" s="19">
        <v>3.9</v>
      </c>
      <c r="H39" s="22"/>
    </row>
    <row r="40" spans="1:9" x14ac:dyDescent="0.2">
      <c r="A40" s="23"/>
      <c r="B40" s="24" t="s">
        <v>55424</v>
      </c>
      <c r="C40" s="25">
        <v>7840</v>
      </c>
      <c r="D40" s="26"/>
      <c r="E40" s="25">
        <v>571</v>
      </c>
      <c r="F40" s="25">
        <v>5386</v>
      </c>
      <c r="G40" s="26"/>
      <c r="H40" s="27">
        <v>160</v>
      </c>
    </row>
    <row r="41" spans="1:9" ht="35.25" customHeight="1" x14ac:dyDescent="0.2"/>
    <row r="42" spans="1:9" ht="30.75" customHeight="1" thickBot="1" x14ac:dyDescent="0.45">
      <c r="A42" s="58" t="s">
        <v>55425</v>
      </c>
      <c r="B42" s="58"/>
      <c r="C42" s="58"/>
      <c r="D42" s="58"/>
      <c r="E42" s="58"/>
      <c r="F42" s="58"/>
      <c r="G42" s="58"/>
      <c r="H42" s="58"/>
      <c r="I42" s="58"/>
    </row>
    <row r="43" spans="1:9" ht="16.5" thickBot="1" x14ac:dyDescent="0.25">
      <c r="A43" s="28" t="s">
        <v>55426</v>
      </c>
      <c r="B43" s="29" t="s">
        <v>55411</v>
      </c>
      <c r="C43" s="29" t="s">
        <v>55414</v>
      </c>
      <c r="D43" s="29" t="s">
        <v>55424</v>
      </c>
      <c r="E43" s="30"/>
      <c r="F43" s="29" t="s">
        <v>55426</v>
      </c>
      <c r="G43" s="29" t="s">
        <v>55411</v>
      </c>
      <c r="H43" s="29" t="s">
        <v>55414</v>
      </c>
      <c r="I43" s="29" t="s">
        <v>55424</v>
      </c>
    </row>
    <row r="44" spans="1:9" ht="16.5" thickBot="1" x14ac:dyDescent="0.25">
      <c r="A44" s="31" t="s">
        <v>52</v>
      </c>
      <c r="B44" s="32">
        <v>154</v>
      </c>
      <c r="C44" s="32">
        <v>46</v>
      </c>
      <c r="D44" s="32">
        <v>200</v>
      </c>
      <c r="E44" s="33"/>
      <c r="F44" s="34" t="s">
        <v>31944</v>
      </c>
      <c r="G44" s="32">
        <v>26</v>
      </c>
      <c r="H44" s="32">
        <v>12</v>
      </c>
      <c r="I44" s="32">
        <v>38</v>
      </c>
    </row>
    <row r="45" spans="1:9" ht="16.5" thickBot="1" x14ac:dyDescent="0.25">
      <c r="A45" s="31" t="s">
        <v>13375</v>
      </c>
      <c r="B45" s="32">
        <v>49</v>
      </c>
      <c r="C45" s="32">
        <v>43</v>
      </c>
      <c r="D45" s="32">
        <v>92</v>
      </c>
      <c r="E45" s="33"/>
      <c r="F45" s="34" t="s">
        <v>13195</v>
      </c>
      <c r="G45" s="32">
        <v>385</v>
      </c>
      <c r="H45" s="32">
        <v>441</v>
      </c>
      <c r="I45" s="32">
        <v>826</v>
      </c>
    </row>
    <row r="46" spans="1:9" ht="16.5" thickBot="1" x14ac:dyDescent="0.25">
      <c r="A46" s="31" t="s">
        <v>25026</v>
      </c>
      <c r="B46" s="32">
        <v>8</v>
      </c>
      <c r="C46" s="32">
        <v>20</v>
      </c>
      <c r="D46" s="32">
        <v>28</v>
      </c>
      <c r="E46" s="33"/>
      <c r="F46" s="34" t="s">
        <v>7916</v>
      </c>
      <c r="G46" s="32">
        <v>32</v>
      </c>
      <c r="H46" s="32">
        <v>29</v>
      </c>
      <c r="I46" s="32">
        <v>61</v>
      </c>
    </row>
    <row r="47" spans="1:9" ht="16.5" thickBot="1" x14ac:dyDescent="0.25">
      <c r="A47" s="31" t="s">
        <v>29782</v>
      </c>
      <c r="B47" s="32">
        <v>40</v>
      </c>
      <c r="C47" s="32">
        <v>8</v>
      </c>
      <c r="D47" s="32">
        <v>48</v>
      </c>
      <c r="E47" s="33"/>
      <c r="F47" s="34" t="s">
        <v>24949</v>
      </c>
      <c r="G47" s="32">
        <v>57</v>
      </c>
      <c r="H47" s="32">
        <v>19</v>
      </c>
      <c r="I47" s="32">
        <v>76</v>
      </c>
    </row>
    <row r="48" spans="1:9" ht="16.5" thickBot="1" x14ac:dyDescent="0.25">
      <c r="A48" s="31" t="s">
        <v>30855</v>
      </c>
      <c r="B48" s="32">
        <v>142</v>
      </c>
      <c r="C48" s="32">
        <v>123</v>
      </c>
      <c r="D48" s="32">
        <v>265</v>
      </c>
      <c r="E48" s="33"/>
      <c r="F48" s="34" t="s">
        <v>13180</v>
      </c>
      <c r="G48" s="32">
        <v>63</v>
      </c>
      <c r="H48" s="32">
        <v>49</v>
      </c>
      <c r="I48" s="32">
        <v>112</v>
      </c>
    </row>
    <row r="49" spans="1:9" ht="16.5" thickBot="1" x14ac:dyDescent="0.25">
      <c r="A49" s="31" t="s">
        <v>27530</v>
      </c>
      <c r="B49" s="32">
        <v>16</v>
      </c>
      <c r="C49" s="32">
        <v>9</v>
      </c>
      <c r="D49" s="32">
        <v>25</v>
      </c>
      <c r="E49" s="33"/>
      <c r="F49" s="34" t="s">
        <v>24675</v>
      </c>
      <c r="G49" s="32">
        <v>18</v>
      </c>
      <c r="H49" s="32">
        <v>11</v>
      </c>
      <c r="I49" s="32">
        <v>29</v>
      </c>
    </row>
    <row r="50" spans="1:9" ht="16.5" thickBot="1" x14ac:dyDescent="0.25">
      <c r="A50" s="31" t="s">
        <v>3257</v>
      </c>
      <c r="B50" s="32">
        <v>81</v>
      </c>
      <c r="C50" s="32">
        <v>66</v>
      </c>
      <c r="D50" s="32">
        <v>147</v>
      </c>
      <c r="E50" s="33"/>
      <c r="F50" s="34" t="s">
        <v>10512</v>
      </c>
      <c r="G50" s="32">
        <v>100</v>
      </c>
      <c r="H50" s="32">
        <v>36</v>
      </c>
      <c r="I50" s="32">
        <v>136</v>
      </c>
    </row>
    <row r="51" spans="1:9" ht="16.5" thickBot="1" x14ac:dyDescent="0.25">
      <c r="A51" s="31" t="s">
        <v>7718</v>
      </c>
      <c r="B51" s="32">
        <v>25</v>
      </c>
      <c r="C51" s="32">
        <v>15</v>
      </c>
      <c r="D51" s="32">
        <v>40</v>
      </c>
      <c r="E51" s="33"/>
      <c r="F51" s="34" t="s">
        <v>29335</v>
      </c>
      <c r="G51" s="32">
        <v>33</v>
      </c>
      <c r="H51" s="32">
        <v>5</v>
      </c>
      <c r="I51" s="32">
        <v>38</v>
      </c>
    </row>
    <row r="52" spans="1:9" ht="16.5" thickBot="1" x14ac:dyDescent="0.25">
      <c r="A52" s="31" t="s">
        <v>22477</v>
      </c>
      <c r="B52" s="32">
        <v>264</v>
      </c>
      <c r="C52" s="32">
        <v>230</v>
      </c>
      <c r="D52" s="32">
        <v>494</v>
      </c>
      <c r="E52" s="33"/>
      <c r="F52" s="34" t="s">
        <v>7072</v>
      </c>
      <c r="G52" s="32">
        <v>72</v>
      </c>
      <c r="H52" s="32">
        <v>12</v>
      </c>
      <c r="I52" s="32">
        <v>84</v>
      </c>
    </row>
    <row r="53" spans="1:9" ht="16.5" thickBot="1" x14ac:dyDescent="0.25">
      <c r="A53" s="31" t="s">
        <v>7244</v>
      </c>
      <c r="B53" s="32">
        <v>16</v>
      </c>
      <c r="C53" s="32">
        <v>7</v>
      </c>
      <c r="D53" s="32">
        <v>23</v>
      </c>
      <c r="E53" s="33"/>
      <c r="F53" s="34" t="s">
        <v>30739</v>
      </c>
      <c r="G53" s="32">
        <v>11</v>
      </c>
      <c r="H53" s="32">
        <v>19</v>
      </c>
      <c r="I53" s="32">
        <v>30</v>
      </c>
    </row>
    <row r="54" spans="1:9" ht="16.5" thickBot="1" x14ac:dyDescent="0.25">
      <c r="A54" s="31" t="s">
        <v>6824</v>
      </c>
      <c r="B54" s="32">
        <v>45</v>
      </c>
      <c r="C54" s="32">
        <v>29</v>
      </c>
      <c r="D54" s="32">
        <v>74</v>
      </c>
      <c r="E54" s="33"/>
      <c r="F54" s="34" t="s">
        <v>9918</v>
      </c>
      <c r="G54" s="32">
        <v>58</v>
      </c>
      <c r="H54" s="32">
        <v>9</v>
      </c>
      <c r="I54" s="32">
        <v>67</v>
      </c>
    </row>
    <row r="55" spans="1:9" ht="16.5" thickBot="1" x14ac:dyDescent="0.25">
      <c r="A55" s="31" t="s">
        <v>30636</v>
      </c>
      <c r="B55" s="32">
        <v>27</v>
      </c>
      <c r="C55" s="32">
        <v>30</v>
      </c>
      <c r="D55" s="32">
        <v>57</v>
      </c>
      <c r="E55" s="33"/>
      <c r="F55" s="34" t="s">
        <v>18522</v>
      </c>
      <c r="G55" s="32">
        <v>6</v>
      </c>
      <c r="H55" s="32">
        <v>4</v>
      </c>
      <c r="I55" s="32">
        <v>10</v>
      </c>
    </row>
    <row r="56" spans="1:9" ht="16.5" thickBot="1" x14ac:dyDescent="0.25">
      <c r="A56" s="31" t="s">
        <v>10136</v>
      </c>
      <c r="B56" s="32">
        <v>40</v>
      </c>
      <c r="C56" s="32">
        <v>14</v>
      </c>
      <c r="D56" s="32">
        <v>54</v>
      </c>
      <c r="E56" s="33"/>
      <c r="F56" s="34" t="s">
        <v>26406</v>
      </c>
      <c r="G56" s="32">
        <v>14</v>
      </c>
      <c r="H56" s="32">
        <v>2</v>
      </c>
      <c r="I56" s="32">
        <v>16</v>
      </c>
    </row>
    <row r="57" spans="1:9" ht="16.5" thickBot="1" x14ac:dyDescent="0.25">
      <c r="A57" s="31" t="s">
        <v>560</v>
      </c>
      <c r="B57" s="32">
        <v>41</v>
      </c>
      <c r="C57" s="32">
        <v>17</v>
      </c>
      <c r="D57" s="32">
        <v>58</v>
      </c>
      <c r="E57" s="33"/>
      <c r="F57" s="34" t="s">
        <v>11891</v>
      </c>
      <c r="G57" s="32">
        <v>7</v>
      </c>
      <c r="H57" s="32">
        <v>8</v>
      </c>
      <c r="I57" s="32">
        <v>15</v>
      </c>
    </row>
    <row r="58" spans="1:9" ht="16.5" thickBot="1" x14ac:dyDescent="0.25">
      <c r="A58" s="31" t="s">
        <v>16196</v>
      </c>
      <c r="B58" s="32">
        <v>138</v>
      </c>
      <c r="C58" s="32">
        <v>60</v>
      </c>
      <c r="D58" s="32">
        <v>198</v>
      </c>
      <c r="E58" s="33"/>
      <c r="F58" s="34" t="s">
        <v>26995</v>
      </c>
      <c r="G58" s="32">
        <v>42</v>
      </c>
      <c r="H58" s="32">
        <v>21</v>
      </c>
      <c r="I58" s="32">
        <v>63</v>
      </c>
    </row>
    <row r="59" spans="1:9" ht="16.5" thickBot="1" x14ac:dyDescent="0.25">
      <c r="A59" s="31" t="s">
        <v>243</v>
      </c>
      <c r="B59" s="32">
        <v>36</v>
      </c>
      <c r="C59" s="32">
        <v>10</v>
      </c>
      <c r="D59" s="32">
        <v>46</v>
      </c>
      <c r="E59" s="33"/>
      <c r="F59" s="34" t="s">
        <v>7699</v>
      </c>
      <c r="G59" s="32">
        <v>65</v>
      </c>
      <c r="H59" s="32">
        <v>29</v>
      </c>
      <c r="I59" s="32">
        <v>94</v>
      </c>
    </row>
    <row r="60" spans="1:9" ht="16.5" thickBot="1" x14ac:dyDescent="0.25">
      <c r="A60" s="31" t="s">
        <v>126</v>
      </c>
      <c r="B60" s="32">
        <v>409</v>
      </c>
      <c r="C60" s="32">
        <v>240</v>
      </c>
      <c r="D60" s="32">
        <v>649</v>
      </c>
      <c r="E60" s="33"/>
      <c r="F60" s="34" t="s">
        <v>28436</v>
      </c>
      <c r="G60" s="32">
        <v>49</v>
      </c>
      <c r="H60" s="32">
        <v>231</v>
      </c>
      <c r="I60" s="32">
        <v>280</v>
      </c>
    </row>
    <row r="61" spans="1:9" ht="16.5" thickBot="1" x14ac:dyDescent="0.25">
      <c r="A61" s="31" t="s">
        <v>13430</v>
      </c>
      <c r="B61" s="32">
        <v>4</v>
      </c>
      <c r="C61" s="32">
        <v>3</v>
      </c>
      <c r="D61" s="32">
        <v>7</v>
      </c>
      <c r="E61" s="33"/>
      <c r="F61" s="34" t="s">
        <v>25</v>
      </c>
      <c r="G61" s="32">
        <v>319</v>
      </c>
      <c r="H61" s="32">
        <v>114</v>
      </c>
      <c r="I61" s="32">
        <v>433</v>
      </c>
    </row>
    <row r="62" spans="1:9" ht="16.5" thickBot="1" x14ac:dyDescent="0.25">
      <c r="A62" s="31" t="s">
        <v>23647</v>
      </c>
      <c r="B62" s="32">
        <v>5</v>
      </c>
      <c r="C62" s="33"/>
      <c r="D62" s="32">
        <v>5</v>
      </c>
      <c r="E62" s="33"/>
      <c r="F62" s="34" t="s">
        <v>3148</v>
      </c>
      <c r="G62" s="32">
        <v>95</v>
      </c>
      <c r="H62" s="32">
        <v>60</v>
      </c>
      <c r="I62" s="32">
        <v>155</v>
      </c>
    </row>
    <row r="63" spans="1:9" ht="16.5" thickBot="1" x14ac:dyDescent="0.25">
      <c r="A63" s="31" t="s">
        <v>10195</v>
      </c>
      <c r="B63" s="32">
        <v>38</v>
      </c>
      <c r="C63" s="32">
        <v>8</v>
      </c>
      <c r="D63" s="32">
        <v>46</v>
      </c>
      <c r="E63" s="33"/>
      <c r="F63" s="34" t="s">
        <v>167</v>
      </c>
      <c r="G63" s="32">
        <v>40</v>
      </c>
      <c r="H63" s="32">
        <v>20</v>
      </c>
      <c r="I63" s="32">
        <v>60</v>
      </c>
    </row>
    <row r="64" spans="1:9" ht="16.5" thickBot="1" x14ac:dyDescent="0.25">
      <c r="A64" s="31" t="s">
        <v>10849</v>
      </c>
      <c r="B64" s="32">
        <v>19</v>
      </c>
      <c r="C64" s="32">
        <v>6</v>
      </c>
      <c r="D64" s="32">
        <v>25</v>
      </c>
      <c r="E64" s="33"/>
      <c r="F64" s="34" t="s">
        <v>7783</v>
      </c>
      <c r="G64" s="32">
        <v>20</v>
      </c>
      <c r="H64" s="32">
        <v>1</v>
      </c>
      <c r="I64" s="32">
        <v>21</v>
      </c>
    </row>
    <row r="65" spans="1:9" ht="16.5" thickBot="1" x14ac:dyDescent="0.25">
      <c r="A65" s="31" t="s">
        <v>11552</v>
      </c>
      <c r="B65" s="32">
        <v>117</v>
      </c>
      <c r="C65" s="32">
        <v>220</v>
      </c>
      <c r="D65" s="32">
        <v>337</v>
      </c>
      <c r="E65" s="33"/>
      <c r="F65" s="34" t="s">
        <v>31566</v>
      </c>
      <c r="G65" s="32">
        <v>38</v>
      </c>
      <c r="H65" s="32">
        <v>17</v>
      </c>
      <c r="I65" s="32">
        <v>55</v>
      </c>
    </row>
    <row r="66" spans="1:9" ht="16.5" thickBot="1" x14ac:dyDescent="0.25">
      <c r="A66" s="31" t="s">
        <v>8299</v>
      </c>
      <c r="B66" s="32">
        <v>17</v>
      </c>
      <c r="C66" s="32">
        <v>8</v>
      </c>
      <c r="D66" s="32">
        <v>25</v>
      </c>
      <c r="E66" s="33"/>
      <c r="F66" s="34" t="s">
        <v>39</v>
      </c>
      <c r="G66" s="32">
        <v>301</v>
      </c>
      <c r="H66" s="32">
        <v>172</v>
      </c>
      <c r="I66" s="32">
        <v>473</v>
      </c>
    </row>
    <row r="67" spans="1:9" ht="16.5" thickBot="1" x14ac:dyDescent="0.25">
      <c r="A67" s="31" t="s">
        <v>18290</v>
      </c>
      <c r="B67" s="32">
        <v>298</v>
      </c>
      <c r="C67" s="32">
        <v>687</v>
      </c>
      <c r="D67" s="32">
        <v>985</v>
      </c>
      <c r="E67" s="33"/>
      <c r="F67" s="34" t="s">
        <v>10176</v>
      </c>
      <c r="G67" s="32">
        <v>57</v>
      </c>
      <c r="H67" s="32">
        <v>7</v>
      </c>
      <c r="I67" s="32">
        <v>64</v>
      </c>
    </row>
    <row r="68" spans="1:9" ht="16.5" thickBot="1" x14ac:dyDescent="0.25">
      <c r="A68" s="31" t="s">
        <v>29061</v>
      </c>
      <c r="B68" s="32">
        <v>5</v>
      </c>
      <c r="C68" s="32">
        <v>3</v>
      </c>
      <c r="D68" s="32">
        <v>8</v>
      </c>
      <c r="E68" s="33"/>
      <c r="F68" s="34" t="s">
        <v>12075</v>
      </c>
      <c r="G68" s="32">
        <v>12</v>
      </c>
      <c r="H68" s="32">
        <v>1</v>
      </c>
      <c r="I68" s="32">
        <v>13</v>
      </c>
    </row>
    <row r="69" spans="1:9" ht="16.5" thickBot="1" x14ac:dyDescent="0.25">
      <c r="A69" s="31" t="s">
        <v>26399</v>
      </c>
      <c r="B69" s="32">
        <v>37</v>
      </c>
      <c r="C69" s="32">
        <v>17</v>
      </c>
      <c r="D69" s="32">
        <v>54</v>
      </c>
      <c r="E69" s="33"/>
      <c r="F69" s="34" t="s">
        <v>6121</v>
      </c>
      <c r="G69" s="32">
        <v>11</v>
      </c>
      <c r="H69" s="32">
        <v>25</v>
      </c>
      <c r="I69" s="32">
        <v>36</v>
      </c>
    </row>
    <row r="70" spans="1:9" ht="16.5" thickBot="1" x14ac:dyDescent="0.25">
      <c r="A70" s="31" t="s">
        <v>15700</v>
      </c>
      <c r="B70" s="32">
        <v>87</v>
      </c>
      <c r="C70" s="32">
        <v>32</v>
      </c>
      <c r="D70" s="32">
        <v>119</v>
      </c>
      <c r="E70" s="33"/>
      <c r="F70" s="34" t="s">
        <v>66</v>
      </c>
      <c r="G70" s="32">
        <v>61</v>
      </c>
      <c r="H70" s="32">
        <v>36</v>
      </c>
      <c r="I70" s="32">
        <v>97</v>
      </c>
    </row>
    <row r="71" spans="1:9" ht="16.5" thickBot="1" x14ac:dyDescent="0.25">
      <c r="A71" s="31" t="s">
        <v>18454</v>
      </c>
      <c r="B71" s="32">
        <v>8</v>
      </c>
      <c r="C71" s="33"/>
      <c r="D71" s="32">
        <v>8</v>
      </c>
      <c r="E71" s="33"/>
      <c r="F71" s="34" t="s">
        <v>26736</v>
      </c>
      <c r="G71" s="32">
        <v>51</v>
      </c>
      <c r="H71" s="32">
        <v>15</v>
      </c>
      <c r="I71" s="32">
        <v>66</v>
      </c>
    </row>
    <row r="72" spans="1:9" ht="16.5" thickBot="1" x14ac:dyDescent="0.25">
      <c r="A72" s="31" t="s">
        <v>15926</v>
      </c>
      <c r="B72" s="32">
        <v>35</v>
      </c>
      <c r="C72" s="32">
        <v>17</v>
      </c>
      <c r="D72" s="32">
        <v>52</v>
      </c>
      <c r="E72" s="33"/>
      <c r="F72" s="34" t="s">
        <v>29417</v>
      </c>
      <c r="G72" s="32">
        <v>13</v>
      </c>
      <c r="H72" s="32">
        <v>3</v>
      </c>
      <c r="I72" s="32">
        <v>16</v>
      </c>
    </row>
    <row r="73" spans="1:9" ht="16.5" thickBot="1" x14ac:dyDescent="0.25">
      <c r="A73" s="31" t="s">
        <v>18682</v>
      </c>
      <c r="B73" s="32">
        <v>212</v>
      </c>
      <c r="C73" s="32">
        <v>278</v>
      </c>
      <c r="D73" s="32">
        <v>490</v>
      </c>
      <c r="E73" s="33"/>
      <c r="F73" s="34" t="s">
        <v>26228</v>
      </c>
      <c r="G73" s="32">
        <v>76</v>
      </c>
      <c r="H73" s="32">
        <v>73</v>
      </c>
      <c r="I73" s="32">
        <v>149</v>
      </c>
    </row>
    <row r="74" spans="1:9" ht="16.5" thickBot="1" x14ac:dyDescent="0.25">
      <c r="A74" s="31" t="s">
        <v>30033</v>
      </c>
      <c r="B74" s="32">
        <v>70</v>
      </c>
      <c r="C74" s="32">
        <v>24</v>
      </c>
      <c r="D74" s="32">
        <v>94</v>
      </c>
      <c r="E74" s="33"/>
      <c r="F74" s="34" t="s">
        <v>12235</v>
      </c>
      <c r="G74" s="32">
        <v>66</v>
      </c>
      <c r="H74" s="32">
        <v>41</v>
      </c>
      <c r="I74" s="32">
        <v>107</v>
      </c>
    </row>
    <row r="75" spans="1:9" ht="16.5" thickBot="1" x14ac:dyDescent="0.25">
      <c r="A75" s="31" t="s">
        <v>30605</v>
      </c>
      <c r="B75" s="32">
        <v>22</v>
      </c>
      <c r="C75" s="32">
        <v>7</v>
      </c>
      <c r="D75" s="32">
        <v>29</v>
      </c>
      <c r="E75" s="33"/>
      <c r="F75" s="34" t="s">
        <v>30368</v>
      </c>
      <c r="G75" s="32">
        <v>6</v>
      </c>
      <c r="H75" s="32">
        <v>2</v>
      </c>
      <c r="I75" s="32">
        <v>8</v>
      </c>
    </row>
    <row r="76" spans="1:9" ht="16.5" thickBot="1" x14ac:dyDescent="0.25">
      <c r="A76" s="31" t="s">
        <v>6970</v>
      </c>
      <c r="B76" s="32">
        <v>299</v>
      </c>
      <c r="C76" s="32">
        <v>38</v>
      </c>
      <c r="D76" s="32">
        <v>337</v>
      </c>
      <c r="E76" s="33"/>
      <c r="F76" s="34" t="s">
        <v>28577</v>
      </c>
      <c r="G76" s="32">
        <v>84</v>
      </c>
      <c r="H76" s="32">
        <v>41</v>
      </c>
      <c r="I76" s="32">
        <v>125</v>
      </c>
    </row>
    <row r="77" spans="1:9" ht="16.5" thickBot="1" x14ac:dyDescent="0.25">
      <c r="A77" s="31" t="s">
        <v>13396</v>
      </c>
      <c r="B77" s="32">
        <v>301</v>
      </c>
      <c r="C77" s="32">
        <v>55</v>
      </c>
      <c r="D77" s="32">
        <v>356</v>
      </c>
      <c r="E77" s="33"/>
      <c r="F77" s="34" t="s">
        <v>6116</v>
      </c>
      <c r="G77" s="32">
        <v>48</v>
      </c>
      <c r="H77" s="32">
        <v>42</v>
      </c>
      <c r="I77" s="32">
        <v>90</v>
      </c>
    </row>
    <row r="78" spans="1:9" ht="16.5" thickBot="1" x14ac:dyDescent="0.25">
      <c r="A78" s="31" t="s">
        <v>31151</v>
      </c>
      <c r="B78" s="32">
        <v>4</v>
      </c>
      <c r="C78" s="32">
        <v>11</v>
      </c>
      <c r="D78" s="32">
        <v>15</v>
      </c>
      <c r="E78" s="33"/>
      <c r="F78" s="34" t="s">
        <v>29247</v>
      </c>
      <c r="G78" s="32">
        <v>28</v>
      </c>
      <c r="H78" s="32">
        <v>87</v>
      </c>
      <c r="I78" s="32">
        <v>115</v>
      </c>
    </row>
    <row r="79" spans="1:9" ht="16.5" thickBot="1" x14ac:dyDescent="0.25">
      <c r="A79" s="31" t="s">
        <v>3329</v>
      </c>
      <c r="B79" s="32">
        <v>327</v>
      </c>
      <c r="C79" s="32">
        <v>110</v>
      </c>
      <c r="D79" s="32">
        <v>437</v>
      </c>
      <c r="E79" s="33"/>
      <c r="F79" s="34" t="s">
        <v>26040</v>
      </c>
      <c r="G79" s="32">
        <v>6</v>
      </c>
      <c r="H79" s="32">
        <v>4</v>
      </c>
      <c r="I79" s="32">
        <v>10</v>
      </c>
    </row>
    <row r="80" spans="1:9" ht="16.5" thickBot="1" x14ac:dyDescent="0.25">
      <c r="A80" s="31" t="s">
        <v>3336</v>
      </c>
      <c r="B80" s="32">
        <v>67</v>
      </c>
      <c r="C80" s="32">
        <v>42</v>
      </c>
      <c r="D80" s="32">
        <v>109</v>
      </c>
      <c r="E80" s="33"/>
      <c r="F80" s="34" t="s">
        <v>2810</v>
      </c>
      <c r="G80" s="32">
        <v>82</v>
      </c>
      <c r="H80" s="32">
        <v>38</v>
      </c>
      <c r="I80" s="32">
        <v>120</v>
      </c>
    </row>
    <row r="81" spans="1:9" ht="16.5" thickBot="1" x14ac:dyDescent="0.25">
      <c r="A81" s="31" t="s">
        <v>9863</v>
      </c>
      <c r="B81" s="32">
        <v>67</v>
      </c>
      <c r="C81" s="32">
        <v>47</v>
      </c>
      <c r="D81" s="32">
        <v>114</v>
      </c>
      <c r="E81" s="33"/>
      <c r="F81" s="34" t="s">
        <v>311</v>
      </c>
      <c r="G81" s="32">
        <v>62</v>
      </c>
      <c r="H81" s="32">
        <v>62</v>
      </c>
      <c r="I81" s="32">
        <v>124</v>
      </c>
    </row>
    <row r="82" spans="1:9" ht="16.5" thickBot="1" x14ac:dyDescent="0.25">
      <c r="A82" s="31" t="s">
        <v>31390</v>
      </c>
      <c r="B82" s="32">
        <v>48</v>
      </c>
      <c r="C82" s="32">
        <v>29</v>
      </c>
      <c r="D82" s="32">
        <v>77</v>
      </c>
      <c r="E82" s="33"/>
      <c r="F82" s="34" t="s">
        <v>12016</v>
      </c>
      <c r="G82" s="32">
        <v>409</v>
      </c>
      <c r="H82" s="32">
        <v>101</v>
      </c>
      <c r="I82" s="32">
        <v>510</v>
      </c>
    </row>
    <row r="83" spans="1:9" ht="16.5" thickBot="1" x14ac:dyDescent="0.25">
      <c r="A83" s="31" t="s">
        <v>26805</v>
      </c>
      <c r="B83" s="32">
        <v>214</v>
      </c>
      <c r="C83" s="32">
        <v>96</v>
      </c>
      <c r="D83" s="32">
        <v>310</v>
      </c>
      <c r="E83" s="33"/>
      <c r="F83" s="34" t="s">
        <v>14587</v>
      </c>
      <c r="G83" s="32">
        <v>36</v>
      </c>
      <c r="H83" s="32">
        <v>18</v>
      </c>
      <c r="I83" s="32">
        <v>54</v>
      </c>
    </row>
    <row r="84" spans="1:9" ht="16.5" thickBot="1" x14ac:dyDescent="0.25">
      <c r="A84" s="31" t="s">
        <v>4264</v>
      </c>
      <c r="B84" s="32">
        <v>25</v>
      </c>
      <c r="C84" s="32">
        <v>66</v>
      </c>
      <c r="D84" s="32">
        <v>91</v>
      </c>
      <c r="E84" s="33"/>
      <c r="F84" s="34" t="s">
        <v>11758</v>
      </c>
      <c r="G84" s="32">
        <v>36</v>
      </c>
      <c r="H84" s="32">
        <v>5</v>
      </c>
      <c r="I84" s="32">
        <v>41</v>
      </c>
    </row>
    <row r="85" spans="1:9" ht="16.5" thickBot="1" x14ac:dyDescent="0.25">
      <c r="A85" s="31" t="s">
        <v>11766</v>
      </c>
      <c r="B85" s="32">
        <v>227</v>
      </c>
      <c r="C85" s="32">
        <v>136</v>
      </c>
      <c r="D85" s="32">
        <v>363</v>
      </c>
      <c r="E85" s="33"/>
      <c r="F85" s="34" t="s">
        <v>17288</v>
      </c>
      <c r="G85" s="32">
        <v>678</v>
      </c>
      <c r="H85" s="32">
        <v>502</v>
      </c>
      <c r="I85" s="32">
        <v>1180</v>
      </c>
    </row>
    <row r="86" spans="1:9" ht="16.5" thickBot="1" x14ac:dyDescent="0.25">
      <c r="A86" s="31" t="s">
        <v>2917</v>
      </c>
      <c r="B86" s="32">
        <v>11</v>
      </c>
      <c r="C86" s="32">
        <v>2</v>
      </c>
      <c r="D86" s="32">
        <v>13</v>
      </c>
      <c r="E86" s="33"/>
      <c r="F86" s="34" t="s">
        <v>10657</v>
      </c>
      <c r="G86" s="32">
        <v>9</v>
      </c>
      <c r="H86" s="32">
        <v>1</v>
      </c>
      <c r="I86" s="32">
        <v>10</v>
      </c>
    </row>
    <row r="87" spans="1:9" ht="16.5" thickBot="1" x14ac:dyDescent="0.25">
      <c r="A87" s="31" t="s">
        <v>30732</v>
      </c>
      <c r="B87" s="32">
        <v>43</v>
      </c>
      <c r="C87" s="32">
        <v>45</v>
      </c>
      <c r="D87" s="32">
        <v>88</v>
      </c>
      <c r="E87" s="33"/>
      <c r="F87" s="34" t="s">
        <v>30154</v>
      </c>
      <c r="G87" s="32">
        <v>20</v>
      </c>
      <c r="H87" s="32">
        <v>6</v>
      </c>
      <c r="I87" s="32">
        <v>26</v>
      </c>
    </row>
    <row r="89" spans="1:9" ht="25.5" customHeight="1" x14ac:dyDescent="0.35">
      <c r="A89" s="59" t="s">
        <v>55427</v>
      </c>
      <c r="B89" s="59"/>
    </row>
    <row r="90" spans="1:9" ht="25.5" customHeight="1" x14ac:dyDescent="0.2">
      <c r="A90" s="15" t="s">
        <v>55398</v>
      </c>
      <c r="B90" s="10" t="s">
        <v>55428</v>
      </c>
    </row>
    <row r="91" spans="1:9" x14ac:dyDescent="0.2">
      <c r="A91" s="35" t="s">
        <v>55429</v>
      </c>
      <c r="B91" s="36" t="s">
        <v>55430</v>
      </c>
    </row>
    <row r="92" spans="1:9" ht="25.5" x14ac:dyDescent="0.2">
      <c r="A92" s="35" t="s">
        <v>55431</v>
      </c>
      <c r="B92" s="36" t="s">
        <v>55432</v>
      </c>
    </row>
    <row r="93" spans="1:9" x14ac:dyDescent="0.2">
      <c r="A93" s="35" t="s">
        <v>55433</v>
      </c>
      <c r="B93" s="36" t="s">
        <v>55434</v>
      </c>
    </row>
    <row r="94" spans="1:9" x14ac:dyDescent="0.2">
      <c r="A94" s="35" t="s">
        <v>1075</v>
      </c>
      <c r="B94" s="36" t="s">
        <v>55435</v>
      </c>
    </row>
    <row r="95" spans="1:9" x14ac:dyDescent="0.2">
      <c r="A95" s="35" t="s">
        <v>557</v>
      </c>
      <c r="B95" s="36" t="s">
        <v>55436</v>
      </c>
    </row>
    <row r="96" spans="1:9" x14ac:dyDescent="0.2">
      <c r="A96" s="35" t="s">
        <v>567</v>
      </c>
      <c r="B96" s="36" t="s">
        <v>55437</v>
      </c>
    </row>
    <row r="97" spans="1:3" x14ac:dyDescent="0.2">
      <c r="A97" s="35" t="s">
        <v>55438</v>
      </c>
      <c r="B97" s="36" t="s">
        <v>55439</v>
      </c>
    </row>
    <row r="98" spans="1:3" x14ac:dyDescent="0.2">
      <c r="A98" s="35" t="s">
        <v>55440</v>
      </c>
      <c r="B98" s="36" t="s">
        <v>55441</v>
      </c>
    </row>
    <row r="99" spans="1:3" x14ac:dyDescent="0.2">
      <c r="A99" s="37" t="s">
        <v>329</v>
      </c>
      <c r="B99" s="38" t="s">
        <v>55423</v>
      </c>
    </row>
    <row r="101" spans="1:3" ht="28.5" customHeight="1" x14ac:dyDescent="0.35">
      <c r="A101" s="59" t="s">
        <v>55442</v>
      </c>
      <c r="B101" s="54"/>
      <c r="C101" s="54"/>
    </row>
    <row r="102" spans="1:3" x14ac:dyDescent="0.2">
      <c r="A102" s="39" t="s">
        <v>55443</v>
      </c>
      <c r="B102" s="40" t="s">
        <v>55371</v>
      </c>
      <c r="C102" s="10" t="s">
        <v>55372</v>
      </c>
    </row>
    <row r="103" spans="1:3" x14ac:dyDescent="0.2">
      <c r="A103" s="35" t="s">
        <v>351</v>
      </c>
      <c r="B103" s="18" t="s">
        <v>55444</v>
      </c>
      <c r="C103" s="20">
        <v>21</v>
      </c>
    </row>
    <row r="104" spans="1:3" x14ac:dyDescent="0.2">
      <c r="A104" s="35" t="s">
        <v>55445</v>
      </c>
      <c r="B104" s="18" t="s">
        <v>55417</v>
      </c>
      <c r="C104" s="20">
        <v>4</v>
      </c>
    </row>
    <row r="105" spans="1:3" x14ac:dyDescent="0.2">
      <c r="A105" s="35" t="s">
        <v>55446</v>
      </c>
      <c r="B105" s="18" t="s">
        <v>55447</v>
      </c>
      <c r="C105" s="20">
        <v>782</v>
      </c>
    </row>
    <row r="106" spans="1:3" x14ac:dyDescent="0.2">
      <c r="A106" s="35" t="s">
        <v>55448</v>
      </c>
      <c r="B106" s="18" t="s">
        <v>55449</v>
      </c>
      <c r="C106" s="20">
        <v>200</v>
      </c>
    </row>
    <row r="107" spans="1:3" x14ac:dyDescent="0.2">
      <c r="A107" s="35" t="s">
        <v>55450</v>
      </c>
      <c r="B107" s="18" t="s">
        <v>55451</v>
      </c>
      <c r="C107" s="20">
        <v>217</v>
      </c>
    </row>
    <row r="108" spans="1:3" x14ac:dyDescent="0.2">
      <c r="A108" s="35" t="s">
        <v>55452</v>
      </c>
      <c r="B108" s="18" t="s">
        <v>55453</v>
      </c>
      <c r="C108" s="20">
        <v>7</v>
      </c>
    </row>
    <row r="109" spans="1:3" x14ac:dyDescent="0.2">
      <c r="A109" s="35" t="s">
        <v>55454</v>
      </c>
      <c r="B109" s="18" t="s">
        <v>55418</v>
      </c>
      <c r="C109" s="20">
        <v>2</v>
      </c>
    </row>
    <row r="110" spans="1:3" x14ac:dyDescent="0.2">
      <c r="A110" s="35" t="s">
        <v>55455</v>
      </c>
      <c r="B110" s="18" t="s">
        <v>55456</v>
      </c>
      <c r="C110" s="20">
        <v>1</v>
      </c>
    </row>
    <row r="111" spans="1:3" x14ac:dyDescent="0.2">
      <c r="A111" s="35" t="s">
        <v>55457</v>
      </c>
      <c r="B111" s="18" t="s">
        <v>55458</v>
      </c>
      <c r="C111" s="20">
        <v>1</v>
      </c>
    </row>
    <row r="112" spans="1:3" x14ac:dyDescent="0.2">
      <c r="A112" s="35" t="s">
        <v>55459</v>
      </c>
      <c r="B112" s="18" t="s">
        <v>55460</v>
      </c>
      <c r="C112" s="20">
        <v>22</v>
      </c>
    </row>
    <row r="113" spans="1:3" x14ac:dyDescent="0.2">
      <c r="A113" s="35" t="s">
        <v>55461</v>
      </c>
      <c r="B113" s="18" t="s">
        <v>55462</v>
      </c>
      <c r="C113" s="20">
        <v>70</v>
      </c>
    </row>
    <row r="114" spans="1:3" ht="25.5" x14ac:dyDescent="0.2">
      <c r="A114" s="35" t="s">
        <v>55463</v>
      </c>
      <c r="B114" s="18" t="s">
        <v>55464</v>
      </c>
      <c r="C114" s="20">
        <v>6129</v>
      </c>
    </row>
    <row r="115" spans="1:3" x14ac:dyDescent="0.2">
      <c r="A115" s="35" t="s">
        <v>55465</v>
      </c>
      <c r="B115" s="18" t="s">
        <v>55466</v>
      </c>
      <c r="C115" s="20">
        <v>14</v>
      </c>
    </row>
    <row r="116" spans="1:3" x14ac:dyDescent="0.2">
      <c r="A116" s="35" t="s">
        <v>55467</v>
      </c>
      <c r="B116" s="18" t="s">
        <v>55468</v>
      </c>
      <c r="C116" s="20">
        <v>2</v>
      </c>
    </row>
    <row r="117" spans="1:3" x14ac:dyDescent="0.2">
      <c r="A117" s="35" t="s">
        <v>55469</v>
      </c>
      <c r="B117" s="18" t="s">
        <v>55470</v>
      </c>
      <c r="C117" s="20">
        <v>69</v>
      </c>
    </row>
    <row r="118" spans="1:3" x14ac:dyDescent="0.2">
      <c r="A118" s="35" t="s">
        <v>55471</v>
      </c>
      <c r="B118" s="18" t="s">
        <v>55472</v>
      </c>
      <c r="C118" s="20">
        <v>32</v>
      </c>
    </row>
    <row r="119" spans="1:3" x14ac:dyDescent="0.2">
      <c r="A119" s="35" t="s">
        <v>55473</v>
      </c>
      <c r="B119" s="18" t="s">
        <v>55474</v>
      </c>
      <c r="C119" s="20">
        <v>9</v>
      </c>
    </row>
    <row r="120" spans="1:3" x14ac:dyDescent="0.2">
      <c r="A120" s="35" t="s">
        <v>55475</v>
      </c>
      <c r="B120" s="18" t="s">
        <v>55476</v>
      </c>
      <c r="C120" s="20">
        <v>10</v>
      </c>
    </row>
    <row r="121" spans="1:3" x14ac:dyDescent="0.2">
      <c r="A121" s="35" t="s">
        <v>55477</v>
      </c>
      <c r="B121" s="18" t="s">
        <v>55478</v>
      </c>
      <c r="C121" s="20">
        <v>1</v>
      </c>
    </row>
    <row r="122" spans="1:3" x14ac:dyDescent="0.2">
      <c r="A122" s="35" t="s">
        <v>55479</v>
      </c>
      <c r="B122" s="18" t="s">
        <v>55480</v>
      </c>
      <c r="C122" s="20">
        <v>260</v>
      </c>
    </row>
    <row r="123" spans="1:3" ht="38.25" x14ac:dyDescent="0.2">
      <c r="A123" s="35" t="s">
        <v>55481</v>
      </c>
      <c r="B123" s="18" t="s">
        <v>55482</v>
      </c>
      <c r="C123" s="20">
        <v>3029</v>
      </c>
    </row>
    <row r="124" spans="1:3" x14ac:dyDescent="0.2">
      <c r="A124" s="35" t="s">
        <v>55483</v>
      </c>
      <c r="B124" s="18" t="s">
        <v>55484</v>
      </c>
      <c r="C124" s="20">
        <v>114</v>
      </c>
    </row>
    <row r="125" spans="1:3" x14ac:dyDescent="0.2">
      <c r="A125" s="35" t="s">
        <v>55485</v>
      </c>
      <c r="B125" s="18" t="s">
        <v>55486</v>
      </c>
      <c r="C125" s="20">
        <v>1</v>
      </c>
    </row>
    <row r="126" spans="1:3" x14ac:dyDescent="0.2">
      <c r="A126" s="35" t="s">
        <v>55487</v>
      </c>
      <c r="B126" s="18" t="s">
        <v>55488</v>
      </c>
      <c r="C126" s="20">
        <v>42</v>
      </c>
    </row>
    <row r="127" spans="1:3" x14ac:dyDescent="0.2">
      <c r="A127" s="35" t="s">
        <v>55489</v>
      </c>
      <c r="B127" s="18" t="s">
        <v>55490</v>
      </c>
      <c r="C127" s="20">
        <v>122</v>
      </c>
    </row>
    <row r="128" spans="1:3" x14ac:dyDescent="0.2">
      <c r="A128" s="35" t="s">
        <v>567</v>
      </c>
      <c r="B128" s="18" t="s">
        <v>55491</v>
      </c>
      <c r="C128" s="20">
        <v>106</v>
      </c>
    </row>
    <row r="129" spans="1:3" x14ac:dyDescent="0.2">
      <c r="A129" s="35" t="s">
        <v>55492</v>
      </c>
      <c r="B129" s="18" t="s">
        <v>55493</v>
      </c>
      <c r="C129" s="20">
        <v>15</v>
      </c>
    </row>
    <row r="130" spans="1:3" x14ac:dyDescent="0.2">
      <c r="A130" s="35" t="s">
        <v>55494</v>
      </c>
      <c r="B130" s="18" t="s">
        <v>55495</v>
      </c>
      <c r="C130" s="20">
        <v>130</v>
      </c>
    </row>
    <row r="131" spans="1:3" x14ac:dyDescent="0.2">
      <c r="A131" s="35" t="s">
        <v>55496</v>
      </c>
      <c r="B131" s="18" t="s">
        <v>55497</v>
      </c>
      <c r="C131" s="20">
        <v>1</v>
      </c>
    </row>
    <row r="132" spans="1:3" x14ac:dyDescent="0.2">
      <c r="A132" s="35" t="s">
        <v>55498</v>
      </c>
      <c r="B132" s="18" t="s">
        <v>55499</v>
      </c>
      <c r="C132" s="20">
        <v>1</v>
      </c>
    </row>
    <row r="133" spans="1:3" x14ac:dyDescent="0.2">
      <c r="A133" s="35" t="s">
        <v>55500</v>
      </c>
      <c r="B133" s="18" t="s">
        <v>55501</v>
      </c>
      <c r="C133" s="20">
        <v>3391</v>
      </c>
    </row>
    <row r="134" spans="1:3" x14ac:dyDescent="0.2">
      <c r="A134" s="35" t="s">
        <v>55502</v>
      </c>
      <c r="B134" s="18" t="s">
        <v>55503</v>
      </c>
      <c r="C134" s="20">
        <v>1</v>
      </c>
    </row>
    <row r="135" spans="1:3" x14ac:dyDescent="0.2">
      <c r="A135" s="35" t="s">
        <v>55504</v>
      </c>
      <c r="B135" s="18" t="s">
        <v>55505</v>
      </c>
      <c r="C135" s="20">
        <v>229</v>
      </c>
    </row>
    <row r="136" spans="1:3" x14ac:dyDescent="0.2">
      <c r="A136" s="35" t="s">
        <v>55506</v>
      </c>
      <c r="B136" s="18" t="s">
        <v>55507</v>
      </c>
      <c r="C136" s="20">
        <v>83</v>
      </c>
    </row>
    <row r="137" spans="1:3" x14ac:dyDescent="0.2">
      <c r="A137" s="35" t="s">
        <v>55508</v>
      </c>
      <c r="B137" s="18" t="s">
        <v>55509</v>
      </c>
      <c r="C137" s="20">
        <v>505</v>
      </c>
    </row>
    <row r="138" spans="1:3" x14ac:dyDescent="0.2">
      <c r="A138" s="35" t="s">
        <v>55510</v>
      </c>
      <c r="B138" s="18" t="s">
        <v>55511</v>
      </c>
      <c r="C138" s="20">
        <v>3</v>
      </c>
    </row>
    <row r="139" spans="1:3" x14ac:dyDescent="0.2">
      <c r="A139" s="35" t="s">
        <v>55512</v>
      </c>
      <c r="B139" s="18" t="s">
        <v>55513</v>
      </c>
      <c r="C139" s="20">
        <v>1</v>
      </c>
    </row>
    <row r="140" spans="1:3" x14ac:dyDescent="0.2">
      <c r="A140" s="35" t="s">
        <v>55514</v>
      </c>
      <c r="B140" s="18" t="s">
        <v>55515</v>
      </c>
      <c r="C140" s="20">
        <v>672</v>
      </c>
    </row>
    <row r="141" spans="1:3" x14ac:dyDescent="0.2">
      <c r="A141" s="35" t="s">
        <v>55516</v>
      </c>
      <c r="B141" s="18" t="s">
        <v>55517</v>
      </c>
      <c r="C141" s="20">
        <v>101</v>
      </c>
    </row>
    <row r="142" spans="1:3" x14ac:dyDescent="0.2">
      <c r="A142" s="35" t="s">
        <v>55518</v>
      </c>
      <c r="B142" s="18" t="s">
        <v>55519</v>
      </c>
      <c r="C142" s="20">
        <v>1</v>
      </c>
    </row>
    <row r="143" spans="1:3" x14ac:dyDescent="0.2">
      <c r="A143" s="35" t="s">
        <v>55520</v>
      </c>
      <c r="B143" s="18" t="s">
        <v>55521</v>
      </c>
      <c r="C143" s="20">
        <v>2</v>
      </c>
    </row>
    <row r="144" spans="1:3" x14ac:dyDescent="0.2">
      <c r="A144" s="35" t="s">
        <v>55522</v>
      </c>
      <c r="B144" s="18" t="s">
        <v>55523</v>
      </c>
      <c r="C144" s="20">
        <v>1</v>
      </c>
    </row>
    <row r="145" spans="1:3" ht="25.5" x14ac:dyDescent="0.2">
      <c r="A145" s="35" t="s">
        <v>55524</v>
      </c>
      <c r="B145" s="18" t="s">
        <v>55525</v>
      </c>
      <c r="C145" s="20">
        <v>108</v>
      </c>
    </row>
    <row r="146" spans="1:3" ht="25.5" x14ac:dyDescent="0.2">
      <c r="A146" s="35" t="s">
        <v>55526</v>
      </c>
      <c r="B146" s="18" t="s">
        <v>55527</v>
      </c>
      <c r="C146" s="20">
        <v>7624</v>
      </c>
    </row>
    <row r="147" spans="1:3" x14ac:dyDescent="0.2">
      <c r="A147" s="35" t="s">
        <v>55528</v>
      </c>
      <c r="B147" s="18" t="s">
        <v>55529</v>
      </c>
      <c r="C147" s="20">
        <v>1</v>
      </c>
    </row>
    <row r="148" spans="1:3" x14ac:dyDescent="0.2">
      <c r="A148" s="35" t="s">
        <v>55530</v>
      </c>
      <c r="B148" s="18" t="s">
        <v>55531</v>
      </c>
      <c r="C148" s="20">
        <v>1</v>
      </c>
    </row>
    <row r="149" spans="1:3" x14ac:dyDescent="0.2">
      <c r="A149" s="35" t="s">
        <v>55532</v>
      </c>
      <c r="B149" s="18" t="s">
        <v>55533</v>
      </c>
      <c r="C149" s="20">
        <v>277</v>
      </c>
    </row>
    <row r="150" spans="1:3" x14ac:dyDescent="0.2">
      <c r="A150" s="35" t="s">
        <v>55534</v>
      </c>
      <c r="B150" s="18" t="s">
        <v>55535</v>
      </c>
      <c r="C150" s="20">
        <v>2</v>
      </c>
    </row>
    <row r="151" spans="1:3" x14ac:dyDescent="0.2">
      <c r="A151" s="35" t="s">
        <v>55536</v>
      </c>
      <c r="B151" s="18" t="s">
        <v>55537</v>
      </c>
      <c r="C151" s="20">
        <v>1705</v>
      </c>
    </row>
    <row r="152" spans="1:3" x14ac:dyDescent="0.2">
      <c r="A152" s="35" t="s">
        <v>557</v>
      </c>
      <c r="B152" s="18" t="s">
        <v>55538</v>
      </c>
      <c r="C152" s="20">
        <v>382</v>
      </c>
    </row>
    <row r="153" spans="1:3" x14ac:dyDescent="0.2">
      <c r="A153" s="35" t="s">
        <v>55539</v>
      </c>
      <c r="B153" s="18" t="s">
        <v>55540</v>
      </c>
      <c r="C153" s="20">
        <v>2</v>
      </c>
    </row>
    <row r="154" spans="1:3" x14ac:dyDescent="0.2">
      <c r="A154" s="35" t="s">
        <v>55541</v>
      </c>
      <c r="B154" s="18" t="s">
        <v>55542</v>
      </c>
      <c r="C154" s="20">
        <v>10381</v>
      </c>
    </row>
    <row r="155" spans="1:3" x14ac:dyDescent="0.2">
      <c r="A155" s="35" t="s">
        <v>55543</v>
      </c>
      <c r="B155" s="18" t="s">
        <v>55544</v>
      </c>
      <c r="C155" s="20">
        <v>1</v>
      </c>
    </row>
    <row r="156" spans="1:3" x14ac:dyDescent="0.2">
      <c r="A156" s="35" t="s">
        <v>55545</v>
      </c>
      <c r="B156" s="18" t="s">
        <v>55546</v>
      </c>
      <c r="C156" s="20">
        <v>134</v>
      </c>
    </row>
    <row r="157" spans="1:3" x14ac:dyDescent="0.2">
      <c r="A157" s="35" t="s">
        <v>55547</v>
      </c>
      <c r="B157" s="18" t="s">
        <v>55548</v>
      </c>
      <c r="C157" s="20">
        <v>43</v>
      </c>
    </row>
    <row r="158" spans="1:3" x14ac:dyDescent="0.2">
      <c r="A158" s="35" t="s">
        <v>55549</v>
      </c>
      <c r="B158" s="18" t="s">
        <v>55550</v>
      </c>
      <c r="C158" s="20">
        <v>6</v>
      </c>
    </row>
    <row r="159" spans="1:3" x14ac:dyDescent="0.2">
      <c r="A159" s="35" t="s">
        <v>55551</v>
      </c>
      <c r="B159" s="18" t="s">
        <v>55552</v>
      </c>
      <c r="C159" s="20">
        <v>1</v>
      </c>
    </row>
    <row r="160" spans="1:3" x14ac:dyDescent="0.2">
      <c r="A160" s="35" t="s">
        <v>55553</v>
      </c>
      <c r="B160" s="18" t="s">
        <v>55554</v>
      </c>
      <c r="C160" s="20">
        <v>35</v>
      </c>
    </row>
    <row r="161" spans="1:3" x14ac:dyDescent="0.2">
      <c r="A161" s="35" t="s">
        <v>55555</v>
      </c>
      <c r="B161" s="18" t="s">
        <v>55418</v>
      </c>
      <c r="C161" s="20">
        <v>2</v>
      </c>
    </row>
    <row r="162" spans="1:3" x14ac:dyDescent="0.2">
      <c r="A162" s="35" t="s">
        <v>55556</v>
      </c>
      <c r="B162" s="18" t="s">
        <v>55557</v>
      </c>
      <c r="C162" s="20">
        <v>3</v>
      </c>
    </row>
    <row r="163" spans="1:3" x14ac:dyDescent="0.2">
      <c r="A163" s="35" t="s">
        <v>55558</v>
      </c>
      <c r="B163" s="18" t="s">
        <v>55559</v>
      </c>
      <c r="C163" s="20">
        <v>3</v>
      </c>
    </row>
    <row r="164" spans="1:3" x14ac:dyDescent="0.2">
      <c r="A164" s="35" t="s">
        <v>55560</v>
      </c>
      <c r="B164" s="18" t="s">
        <v>55561</v>
      </c>
      <c r="C164" s="20">
        <v>19</v>
      </c>
    </row>
    <row r="165" spans="1:3" x14ac:dyDescent="0.2">
      <c r="A165" s="35" t="s">
        <v>55562</v>
      </c>
      <c r="B165" s="18" t="s">
        <v>55563</v>
      </c>
      <c r="C165" s="20">
        <v>2</v>
      </c>
    </row>
    <row r="166" spans="1:3" x14ac:dyDescent="0.2">
      <c r="A166" s="35" t="s">
        <v>55564</v>
      </c>
      <c r="B166" s="18" t="s">
        <v>55565</v>
      </c>
      <c r="C166" s="20">
        <v>2</v>
      </c>
    </row>
    <row r="167" spans="1:3" x14ac:dyDescent="0.2">
      <c r="A167" s="35" t="s">
        <v>55566</v>
      </c>
      <c r="B167" s="18" t="s">
        <v>55567</v>
      </c>
      <c r="C167" s="20">
        <v>6</v>
      </c>
    </row>
    <row r="168" spans="1:3" ht="25.5" x14ac:dyDescent="0.2">
      <c r="A168" s="35" t="s">
        <v>55568</v>
      </c>
      <c r="B168" s="18" t="s">
        <v>55569</v>
      </c>
      <c r="C168" s="20">
        <v>22</v>
      </c>
    </row>
    <row r="169" spans="1:3" x14ac:dyDescent="0.2">
      <c r="A169" s="35" t="s">
        <v>55570</v>
      </c>
      <c r="B169" s="18" t="s">
        <v>55571</v>
      </c>
      <c r="C169" s="20">
        <v>9</v>
      </c>
    </row>
    <row r="170" spans="1:3" x14ac:dyDescent="0.2">
      <c r="A170" s="35" t="s">
        <v>55572</v>
      </c>
      <c r="B170" s="18" t="s">
        <v>55573</v>
      </c>
      <c r="C170" s="20">
        <v>4012</v>
      </c>
    </row>
    <row r="171" spans="1:3" x14ac:dyDescent="0.2">
      <c r="A171" s="35" t="s">
        <v>55574</v>
      </c>
      <c r="B171" s="18" t="s">
        <v>55575</v>
      </c>
      <c r="C171" s="20">
        <v>170</v>
      </c>
    </row>
    <row r="172" spans="1:3" x14ac:dyDescent="0.2">
      <c r="A172" s="35" t="s">
        <v>55576</v>
      </c>
      <c r="B172" s="18" t="s">
        <v>55577</v>
      </c>
      <c r="C172" s="20">
        <v>28</v>
      </c>
    </row>
    <row r="173" spans="1:3" x14ac:dyDescent="0.2">
      <c r="A173" s="35" t="s">
        <v>55578</v>
      </c>
      <c r="B173" s="18" t="s">
        <v>55579</v>
      </c>
      <c r="C173" s="20">
        <v>1</v>
      </c>
    </row>
    <row r="174" spans="1:3" x14ac:dyDescent="0.2">
      <c r="A174" s="35" t="s">
        <v>55580</v>
      </c>
      <c r="B174" s="18" t="s">
        <v>55581</v>
      </c>
      <c r="C174" s="20">
        <v>527</v>
      </c>
    </row>
    <row r="175" spans="1:3" x14ac:dyDescent="0.2">
      <c r="A175" s="35" t="s">
        <v>55582</v>
      </c>
      <c r="B175" s="18" t="s">
        <v>55583</v>
      </c>
      <c r="C175" s="20">
        <v>4</v>
      </c>
    </row>
    <row r="176" spans="1:3" x14ac:dyDescent="0.2">
      <c r="A176" s="35" t="s">
        <v>55584</v>
      </c>
      <c r="B176" s="18" t="s">
        <v>55585</v>
      </c>
      <c r="C176" s="20">
        <v>2</v>
      </c>
    </row>
    <row r="177" spans="1:3" x14ac:dyDescent="0.2">
      <c r="A177" s="35" t="s">
        <v>55586</v>
      </c>
      <c r="B177" s="18" t="s">
        <v>55587</v>
      </c>
      <c r="C177" s="20">
        <v>1</v>
      </c>
    </row>
    <row r="178" spans="1:3" x14ac:dyDescent="0.2">
      <c r="A178" s="35" t="s">
        <v>55588</v>
      </c>
      <c r="B178" s="18" t="s">
        <v>55589</v>
      </c>
      <c r="C178" s="20">
        <v>322</v>
      </c>
    </row>
    <row r="179" spans="1:3" x14ac:dyDescent="0.2">
      <c r="A179" s="35" t="s">
        <v>55590</v>
      </c>
      <c r="B179" s="18" t="s">
        <v>55591</v>
      </c>
      <c r="C179" s="20">
        <v>17</v>
      </c>
    </row>
    <row r="180" spans="1:3" x14ac:dyDescent="0.2">
      <c r="A180" s="35" t="s">
        <v>55592</v>
      </c>
      <c r="B180" s="18" t="s">
        <v>55593</v>
      </c>
      <c r="C180" s="20">
        <v>1</v>
      </c>
    </row>
    <row r="181" spans="1:3" ht="25.5" x14ac:dyDescent="0.2">
      <c r="A181" s="35" t="s">
        <v>55594</v>
      </c>
      <c r="B181" s="18" t="s">
        <v>55595</v>
      </c>
      <c r="C181" s="20">
        <v>22</v>
      </c>
    </row>
    <row r="182" spans="1:3" x14ac:dyDescent="0.2">
      <c r="A182" s="35" t="s">
        <v>55596</v>
      </c>
      <c r="B182" s="18" t="s">
        <v>55597</v>
      </c>
      <c r="C182" s="20">
        <v>1</v>
      </c>
    </row>
    <row r="183" spans="1:3" x14ac:dyDescent="0.2">
      <c r="A183" s="35" t="s">
        <v>55598</v>
      </c>
      <c r="B183" s="18" t="s">
        <v>55599</v>
      </c>
      <c r="C183" s="20">
        <v>183</v>
      </c>
    </row>
    <row r="184" spans="1:3" x14ac:dyDescent="0.2">
      <c r="A184" s="35" t="s">
        <v>55600</v>
      </c>
      <c r="B184" s="18" t="s">
        <v>55601</v>
      </c>
      <c r="C184" s="20">
        <v>28</v>
      </c>
    </row>
    <row r="185" spans="1:3" x14ac:dyDescent="0.2">
      <c r="A185" s="13" t="s">
        <v>55424</v>
      </c>
      <c r="B185" s="41"/>
      <c r="C185" s="20">
        <v>42494</v>
      </c>
    </row>
    <row r="187" spans="1:3" ht="30.75" customHeight="1" x14ac:dyDescent="0.4">
      <c r="A187" s="53" t="s">
        <v>55602</v>
      </c>
      <c r="B187" s="54"/>
    </row>
    <row r="188" spans="1:3" x14ac:dyDescent="0.2">
      <c r="A188" s="39" t="s">
        <v>55603</v>
      </c>
      <c r="B188" s="42" t="s">
        <v>55604</v>
      </c>
    </row>
    <row r="189" spans="1:3" x14ac:dyDescent="0.2">
      <c r="A189" s="35" t="s">
        <v>55605</v>
      </c>
      <c r="B189" s="36" t="s">
        <v>55606</v>
      </c>
    </row>
    <row r="190" spans="1:3" x14ac:dyDescent="0.2">
      <c r="A190" s="35" t="s">
        <v>55607</v>
      </c>
      <c r="B190" s="36" t="s">
        <v>55608</v>
      </c>
    </row>
    <row r="191" spans="1:3" x14ac:dyDescent="0.2">
      <c r="A191" s="35" t="s">
        <v>55609</v>
      </c>
      <c r="B191" s="36" t="s">
        <v>55610</v>
      </c>
    </row>
    <row r="192" spans="1:3" x14ac:dyDescent="0.2">
      <c r="A192" s="35" t="s">
        <v>55611</v>
      </c>
      <c r="B192" s="36" t="s">
        <v>55612</v>
      </c>
    </row>
    <row r="193" spans="1:2" x14ac:dyDescent="0.2">
      <c r="A193" s="35" t="s">
        <v>55613</v>
      </c>
      <c r="B193" s="36" t="s">
        <v>55614</v>
      </c>
    </row>
    <row r="194" spans="1:2" x14ac:dyDescent="0.2">
      <c r="A194" s="35" t="s">
        <v>55615</v>
      </c>
      <c r="B194" s="36" t="s">
        <v>55616</v>
      </c>
    </row>
    <row r="195" spans="1:2" ht="25.5" x14ac:dyDescent="0.2">
      <c r="A195" s="35" t="s">
        <v>55617</v>
      </c>
      <c r="B195" s="36" t="s">
        <v>55618</v>
      </c>
    </row>
    <row r="196" spans="1:2" x14ac:dyDescent="0.2">
      <c r="A196" s="35" t="s">
        <v>55619</v>
      </c>
      <c r="B196" s="36" t="s">
        <v>55620</v>
      </c>
    </row>
    <row r="197" spans="1:2" x14ac:dyDescent="0.2">
      <c r="A197" s="35" t="s">
        <v>55621</v>
      </c>
      <c r="B197" s="36" t="s">
        <v>55622</v>
      </c>
    </row>
    <row r="198" spans="1:2" x14ac:dyDescent="0.2">
      <c r="A198" s="35" t="s">
        <v>55623</v>
      </c>
      <c r="B198" s="36" t="s">
        <v>55624</v>
      </c>
    </row>
    <row r="199" spans="1:2" x14ac:dyDescent="0.2">
      <c r="A199" s="35" t="s">
        <v>55625</v>
      </c>
      <c r="B199" s="36" t="s">
        <v>55626</v>
      </c>
    </row>
    <row r="200" spans="1:2" x14ac:dyDescent="0.2">
      <c r="A200" s="35" t="s">
        <v>55627</v>
      </c>
      <c r="B200" s="36" t="s">
        <v>55628</v>
      </c>
    </row>
    <row r="201" spans="1:2" x14ac:dyDescent="0.2">
      <c r="A201" s="35" t="s">
        <v>55629</v>
      </c>
      <c r="B201" s="36" t="s">
        <v>55630</v>
      </c>
    </row>
    <row r="202" spans="1:2" x14ac:dyDescent="0.2">
      <c r="A202" s="35" t="s">
        <v>55631</v>
      </c>
      <c r="B202" s="36" t="s">
        <v>55632</v>
      </c>
    </row>
    <row r="203" spans="1:2" x14ac:dyDescent="0.2">
      <c r="A203" s="35" t="s">
        <v>55633</v>
      </c>
      <c r="B203" s="36" t="s">
        <v>55634</v>
      </c>
    </row>
    <row r="204" spans="1:2" x14ac:dyDescent="0.2">
      <c r="A204" s="35" t="s">
        <v>55635</v>
      </c>
      <c r="B204" s="36" t="s">
        <v>55636</v>
      </c>
    </row>
    <row r="205" spans="1:2" x14ac:dyDescent="0.2">
      <c r="A205" s="35" t="s">
        <v>55637</v>
      </c>
      <c r="B205" s="36" t="s">
        <v>55638</v>
      </c>
    </row>
    <row r="206" spans="1:2" x14ac:dyDescent="0.2">
      <c r="A206" s="35" t="s">
        <v>55639</v>
      </c>
      <c r="B206" s="36" t="s">
        <v>55640</v>
      </c>
    </row>
    <row r="207" spans="1:2" x14ac:dyDescent="0.2">
      <c r="A207" s="35" t="s">
        <v>55641</v>
      </c>
      <c r="B207" s="36" t="s">
        <v>55642</v>
      </c>
    </row>
    <row r="208" spans="1:2" x14ac:dyDescent="0.2">
      <c r="A208" s="35" t="s">
        <v>55643</v>
      </c>
      <c r="B208" s="36" t="s">
        <v>55644</v>
      </c>
    </row>
    <row r="209" spans="1:2" x14ac:dyDescent="0.2">
      <c r="A209" s="35" t="s">
        <v>55645</v>
      </c>
      <c r="B209" s="36" t="s">
        <v>55646</v>
      </c>
    </row>
    <row r="210" spans="1:2" x14ac:dyDescent="0.2">
      <c r="A210" s="35" t="s">
        <v>55647</v>
      </c>
      <c r="B210" s="36" t="s">
        <v>55648</v>
      </c>
    </row>
    <row r="211" spans="1:2" x14ac:dyDescent="0.2">
      <c r="A211" s="35" t="s">
        <v>55649</v>
      </c>
      <c r="B211" s="36" t="s">
        <v>55650</v>
      </c>
    </row>
    <row r="212" spans="1:2" x14ac:dyDescent="0.2">
      <c r="A212" s="35" t="s">
        <v>55651</v>
      </c>
      <c r="B212" s="36" t="s">
        <v>55652</v>
      </c>
    </row>
    <row r="213" spans="1:2" x14ac:dyDescent="0.2">
      <c r="A213" s="35" t="s">
        <v>55653</v>
      </c>
      <c r="B213" s="36" t="s">
        <v>55654</v>
      </c>
    </row>
    <row r="214" spans="1:2" x14ac:dyDescent="0.2">
      <c r="A214" s="35" t="s">
        <v>55655</v>
      </c>
      <c r="B214" s="36" t="s">
        <v>55656</v>
      </c>
    </row>
    <row r="215" spans="1:2" x14ac:dyDescent="0.2">
      <c r="A215" s="35" t="s">
        <v>55657</v>
      </c>
      <c r="B215" s="36" t="s">
        <v>55658</v>
      </c>
    </row>
    <row r="216" spans="1:2" x14ac:dyDescent="0.2">
      <c r="A216" s="35" t="s">
        <v>55659</v>
      </c>
      <c r="B216" s="36" t="s">
        <v>55660</v>
      </c>
    </row>
    <row r="217" spans="1:2" x14ac:dyDescent="0.2">
      <c r="A217" s="35" t="s">
        <v>55661</v>
      </c>
      <c r="B217" s="36" t="s">
        <v>55662</v>
      </c>
    </row>
    <row r="218" spans="1:2" x14ac:dyDescent="0.2">
      <c r="A218" s="35" t="s">
        <v>55663</v>
      </c>
      <c r="B218" s="36" t="s">
        <v>55664</v>
      </c>
    </row>
    <row r="219" spans="1:2" x14ac:dyDescent="0.2">
      <c r="A219" s="35" t="s">
        <v>55665</v>
      </c>
      <c r="B219" s="36" t="s">
        <v>55666</v>
      </c>
    </row>
    <row r="220" spans="1:2" x14ac:dyDescent="0.2">
      <c r="A220" s="35" t="s">
        <v>55667</v>
      </c>
      <c r="B220" s="36" t="s">
        <v>55668</v>
      </c>
    </row>
    <row r="221" spans="1:2" x14ac:dyDescent="0.2">
      <c r="A221" s="35" t="s">
        <v>55669</v>
      </c>
      <c r="B221" s="36" t="s">
        <v>55670</v>
      </c>
    </row>
    <row r="222" spans="1:2" x14ac:dyDescent="0.2">
      <c r="A222" s="35" t="s">
        <v>55671</v>
      </c>
      <c r="B222" s="36" t="s">
        <v>55658</v>
      </c>
    </row>
    <row r="223" spans="1:2" x14ac:dyDescent="0.2">
      <c r="A223" s="35" t="s">
        <v>55672</v>
      </c>
      <c r="B223" s="36" t="s">
        <v>55673</v>
      </c>
    </row>
    <row r="224" spans="1:2" x14ac:dyDescent="0.2">
      <c r="A224" s="35" t="s">
        <v>55674</v>
      </c>
      <c r="B224" s="36" t="s">
        <v>55675</v>
      </c>
    </row>
    <row r="225" spans="1:2" x14ac:dyDescent="0.2">
      <c r="A225" s="35" t="s">
        <v>55676</v>
      </c>
      <c r="B225" s="36" t="s">
        <v>55677</v>
      </c>
    </row>
    <row r="226" spans="1:2" x14ac:dyDescent="0.2">
      <c r="A226" s="35" t="s">
        <v>55678</v>
      </c>
      <c r="B226" s="36" t="s">
        <v>55679</v>
      </c>
    </row>
    <row r="227" spans="1:2" x14ac:dyDescent="0.2">
      <c r="A227" s="35" t="s">
        <v>55680</v>
      </c>
      <c r="B227" s="36" t="s">
        <v>55681</v>
      </c>
    </row>
    <row r="228" spans="1:2" x14ac:dyDescent="0.2">
      <c r="A228" s="35" t="s">
        <v>55682</v>
      </c>
      <c r="B228" s="36" t="s">
        <v>55683</v>
      </c>
    </row>
    <row r="229" spans="1:2" x14ac:dyDescent="0.2">
      <c r="A229" s="35" t="s">
        <v>55684</v>
      </c>
      <c r="B229" s="36" t="s">
        <v>55685</v>
      </c>
    </row>
    <row r="230" spans="1:2" x14ac:dyDescent="0.2">
      <c r="A230" s="35" t="s">
        <v>55686</v>
      </c>
      <c r="B230" s="36" t="s">
        <v>55687</v>
      </c>
    </row>
    <row r="231" spans="1:2" x14ac:dyDescent="0.2">
      <c r="A231" s="35" t="s">
        <v>55688</v>
      </c>
      <c r="B231" s="36" t="s">
        <v>55689</v>
      </c>
    </row>
    <row r="232" spans="1:2" x14ac:dyDescent="0.2">
      <c r="A232" s="35" t="s">
        <v>55690</v>
      </c>
      <c r="B232" s="36" t="s">
        <v>55691</v>
      </c>
    </row>
    <row r="233" spans="1:2" x14ac:dyDescent="0.2">
      <c r="A233" s="35" t="s">
        <v>55692</v>
      </c>
      <c r="B233" s="36" t="s">
        <v>55693</v>
      </c>
    </row>
    <row r="234" spans="1:2" x14ac:dyDescent="0.2">
      <c r="A234" s="35" t="s">
        <v>55694</v>
      </c>
      <c r="B234" s="36" t="s">
        <v>55695</v>
      </c>
    </row>
    <row r="235" spans="1:2" x14ac:dyDescent="0.2">
      <c r="A235" s="35" t="s">
        <v>55696</v>
      </c>
      <c r="B235" s="36" t="s">
        <v>55697</v>
      </c>
    </row>
    <row r="236" spans="1:2" x14ac:dyDescent="0.2">
      <c r="A236" s="35" t="s">
        <v>55698</v>
      </c>
      <c r="B236" s="36" t="s">
        <v>55699</v>
      </c>
    </row>
    <row r="237" spans="1:2" x14ac:dyDescent="0.2">
      <c r="A237" s="35" t="s">
        <v>55700</v>
      </c>
      <c r="B237" s="36" t="s">
        <v>55701</v>
      </c>
    </row>
    <row r="238" spans="1:2" x14ac:dyDescent="0.2">
      <c r="A238" s="35" t="s">
        <v>55702</v>
      </c>
      <c r="B238" s="36" t="s">
        <v>55703</v>
      </c>
    </row>
    <row r="239" spans="1:2" x14ac:dyDescent="0.2">
      <c r="A239" s="35" t="s">
        <v>55704</v>
      </c>
      <c r="B239" s="36" t="s">
        <v>55705</v>
      </c>
    </row>
    <row r="240" spans="1:2" x14ac:dyDescent="0.2">
      <c r="A240" s="35" t="s">
        <v>55706</v>
      </c>
      <c r="B240" s="36" t="s">
        <v>55707</v>
      </c>
    </row>
    <row r="241" spans="1:2" x14ac:dyDescent="0.2">
      <c r="A241" s="35" t="s">
        <v>55708</v>
      </c>
      <c r="B241" s="36" t="s">
        <v>55709</v>
      </c>
    </row>
    <row r="242" spans="1:2" x14ac:dyDescent="0.2">
      <c r="A242" s="35" t="s">
        <v>55710</v>
      </c>
      <c r="B242" s="36" t="s">
        <v>55711</v>
      </c>
    </row>
    <row r="243" spans="1:2" ht="25.5" x14ac:dyDescent="0.2">
      <c r="A243" s="35" t="s">
        <v>55712</v>
      </c>
      <c r="B243" s="36" t="s">
        <v>55713</v>
      </c>
    </row>
    <row r="244" spans="1:2" x14ac:dyDescent="0.2">
      <c r="A244" s="35" t="s">
        <v>55714</v>
      </c>
      <c r="B244" s="36" t="s">
        <v>55715</v>
      </c>
    </row>
    <row r="245" spans="1:2" x14ac:dyDescent="0.2">
      <c r="A245" s="35" t="s">
        <v>55716</v>
      </c>
      <c r="B245" s="36" t="s">
        <v>55717</v>
      </c>
    </row>
    <row r="246" spans="1:2" x14ac:dyDescent="0.2">
      <c r="A246" s="35" t="s">
        <v>55718</v>
      </c>
      <c r="B246" s="36" t="s">
        <v>55717</v>
      </c>
    </row>
    <row r="247" spans="1:2" x14ac:dyDescent="0.2">
      <c r="A247" s="35" t="s">
        <v>55719</v>
      </c>
      <c r="B247" s="36" t="s">
        <v>55720</v>
      </c>
    </row>
    <row r="248" spans="1:2" x14ac:dyDescent="0.2">
      <c r="A248" s="35" t="s">
        <v>55721</v>
      </c>
      <c r="B248" s="36" t="s">
        <v>55722</v>
      </c>
    </row>
    <row r="249" spans="1:2" x14ac:dyDescent="0.2">
      <c r="A249" s="35" t="s">
        <v>55723</v>
      </c>
      <c r="B249" s="36" t="s">
        <v>55724</v>
      </c>
    </row>
    <row r="250" spans="1:2" x14ac:dyDescent="0.2">
      <c r="A250" s="35" t="s">
        <v>55725</v>
      </c>
      <c r="B250" s="36" t="s">
        <v>55726</v>
      </c>
    </row>
    <row r="251" spans="1:2" x14ac:dyDescent="0.2">
      <c r="A251" s="35" t="s">
        <v>55727</v>
      </c>
      <c r="B251" s="36" t="s">
        <v>55728</v>
      </c>
    </row>
    <row r="252" spans="1:2" x14ac:dyDescent="0.2">
      <c r="A252" s="35" t="s">
        <v>55729</v>
      </c>
      <c r="B252" s="36" t="s">
        <v>55730</v>
      </c>
    </row>
    <row r="253" spans="1:2" x14ac:dyDescent="0.2">
      <c r="A253" s="35" t="s">
        <v>55731</v>
      </c>
      <c r="B253" s="36" t="s">
        <v>55732</v>
      </c>
    </row>
    <row r="254" spans="1:2" x14ac:dyDescent="0.2">
      <c r="A254" s="35" t="s">
        <v>55733</v>
      </c>
      <c r="B254" s="36" t="s">
        <v>55734</v>
      </c>
    </row>
    <row r="255" spans="1:2" x14ac:dyDescent="0.2">
      <c r="A255" s="35" t="s">
        <v>55735</v>
      </c>
      <c r="B255" s="36" t="s">
        <v>55736</v>
      </c>
    </row>
    <row r="256" spans="1:2" x14ac:dyDescent="0.2">
      <c r="A256" s="35" t="s">
        <v>55737</v>
      </c>
      <c r="B256" s="36" t="s">
        <v>55738</v>
      </c>
    </row>
    <row r="257" spans="1:2" x14ac:dyDescent="0.2">
      <c r="A257" s="35" t="s">
        <v>55739</v>
      </c>
      <c r="B257" s="36" t="s">
        <v>55740</v>
      </c>
    </row>
    <row r="258" spans="1:2" x14ac:dyDescent="0.2">
      <c r="A258" s="35" t="s">
        <v>55741</v>
      </c>
      <c r="B258" s="36" t="s">
        <v>55742</v>
      </c>
    </row>
    <row r="259" spans="1:2" x14ac:dyDescent="0.2">
      <c r="A259" s="35" t="s">
        <v>55743</v>
      </c>
      <c r="B259" s="36" t="s">
        <v>55744</v>
      </c>
    </row>
    <row r="260" spans="1:2" x14ac:dyDescent="0.2">
      <c r="A260" s="35" t="s">
        <v>55745</v>
      </c>
      <c r="B260" s="36" t="s">
        <v>55746</v>
      </c>
    </row>
    <row r="261" spans="1:2" x14ac:dyDescent="0.2">
      <c r="A261" s="35" t="s">
        <v>55747</v>
      </c>
      <c r="B261" s="36" t="s">
        <v>55748</v>
      </c>
    </row>
    <row r="262" spans="1:2" x14ac:dyDescent="0.2">
      <c r="A262" s="35" t="s">
        <v>55749</v>
      </c>
      <c r="B262" s="36" t="s">
        <v>55750</v>
      </c>
    </row>
    <row r="263" spans="1:2" x14ac:dyDescent="0.2">
      <c r="A263" s="35" t="s">
        <v>55751</v>
      </c>
      <c r="B263" s="36" t="s">
        <v>55752</v>
      </c>
    </row>
    <row r="264" spans="1:2" x14ac:dyDescent="0.2">
      <c r="A264" s="35" t="s">
        <v>55753</v>
      </c>
      <c r="B264" s="36" t="s">
        <v>55754</v>
      </c>
    </row>
    <row r="265" spans="1:2" x14ac:dyDescent="0.2">
      <c r="A265" s="35" t="s">
        <v>55755</v>
      </c>
      <c r="B265" s="36" t="s">
        <v>55756</v>
      </c>
    </row>
    <row r="266" spans="1:2" x14ac:dyDescent="0.2">
      <c r="A266" s="35" t="s">
        <v>55757</v>
      </c>
      <c r="B266" s="36" t="s">
        <v>55758</v>
      </c>
    </row>
    <row r="267" spans="1:2" x14ac:dyDescent="0.2">
      <c r="A267" s="35" t="s">
        <v>55759</v>
      </c>
      <c r="B267" s="36" t="s">
        <v>55760</v>
      </c>
    </row>
    <row r="268" spans="1:2" x14ac:dyDescent="0.2">
      <c r="A268" s="35" t="s">
        <v>55761</v>
      </c>
      <c r="B268" s="36" t="s">
        <v>55762</v>
      </c>
    </row>
    <row r="269" spans="1:2" x14ac:dyDescent="0.2">
      <c r="A269" s="35" t="s">
        <v>55763</v>
      </c>
      <c r="B269" s="36" t="s">
        <v>55764</v>
      </c>
    </row>
    <row r="270" spans="1:2" x14ac:dyDescent="0.2">
      <c r="A270" s="35" t="s">
        <v>55765</v>
      </c>
      <c r="B270" s="36" t="s">
        <v>55624</v>
      </c>
    </row>
    <row r="271" spans="1:2" x14ac:dyDescent="0.2">
      <c r="A271" s="35" t="s">
        <v>55766</v>
      </c>
      <c r="B271" s="36" t="s">
        <v>55767</v>
      </c>
    </row>
    <row r="272" spans="1:2" x14ac:dyDescent="0.2">
      <c r="A272" s="35" t="s">
        <v>55768</v>
      </c>
      <c r="B272" s="36" t="s">
        <v>55769</v>
      </c>
    </row>
    <row r="273" spans="1:2" x14ac:dyDescent="0.2">
      <c r="A273" s="35" t="s">
        <v>55770</v>
      </c>
      <c r="B273" s="36" t="s">
        <v>55771</v>
      </c>
    </row>
    <row r="274" spans="1:2" ht="25.5" x14ac:dyDescent="0.2">
      <c r="A274" s="35" t="s">
        <v>55772</v>
      </c>
      <c r="B274" s="36" t="s">
        <v>55773</v>
      </c>
    </row>
    <row r="275" spans="1:2" x14ac:dyDescent="0.2">
      <c r="A275" s="35" t="s">
        <v>55774</v>
      </c>
      <c r="B275" s="36" t="s">
        <v>55775</v>
      </c>
    </row>
    <row r="276" spans="1:2" x14ac:dyDescent="0.2">
      <c r="A276" s="35" t="s">
        <v>55776</v>
      </c>
      <c r="B276" s="36" t="s">
        <v>55777</v>
      </c>
    </row>
    <row r="277" spans="1:2" x14ac:dyDescent="0.2">
      <c r="A277" s="35" t="s">
        <v>55778</v>
      </c>
      <c r="B277" s="36" t="s">
        <v>55779</v>
      </c>
    </row>
    <row r="278" spans="1:2" x14ac:dyDescent="0.2">
      <c r="A278" s="35" t="s">
        <v>55780</v>
      </c>
      <c r="B278" s="36" t="s">
        <v>55781</v>
      </c>
    </row>
    <row r="279" spans="1:2" x14ac:dyDescent="0.2">
      <c r="A279" s="35" t="s">
        <v>55782</v>
      </c>
      <c r="B279" s="36" t="s">
        <v>55783</v>
      </c>
    </row>
    <row r="280" spans="1:2" x14ac:dyDescent="0.2">
      <c r="A280" s="35" t="s">
        <v>55784</v>
      </c>
      <c r="B280" s="36" t="s">
        <v>55785</v>
      </c>
    </row>
    <row r="281" spans="1:2" x14ac:dyDescent="0.2">
      <c r="A281" s="35" t="s">
        <v>55786</v>
      </c>
      <c r="B281" s="36" t="s">
        <v>55781</v>
      </c>
    </row>
    <row r="282" spans="1:2" ht="25.5" x14ac:dyDescent="0.2">
      <c r="A282" s="35" t="s">
        <v>55787</v>
      </c>
      <c r="B282" s="36" t="s">
        <v>55788</v>
      </c>
    </row>
    <row r="283" spans="1:2" x14ac:dyDescent="0.2">
      <c r="A283" s="35" t="s">
        <v>55789</v>
      </c>
      <c r="B283" s="36" t="s">
        <v>55790</v>
      </c>
    </row>
    <row r="284" spans="1:2" x14ac:dyDescent="0.2">
      <c r="A284" s="35" t="s">
        <v>55791</v>
      </c>
      <c r="B284" s="36" t="s">
        <v>55792</v>
      </c>
    </row>
    <row r="285" spans="1:2" x14ac:dyDescent="0.2">
      <c r="A285" s="35" t="s">
        <v>55793</v>
      </c>
      <c r="B285" s="36" t="s">
        <v>55794</v>
      </c>
    </row>
    <row r="286" spans="1:2" x14ac:dyDescent="0.2">
      <c r="A286" s="35" t="s">
        <v>55795</v>
      </c>
      <c r="B286" s="36" t="s">
        <v>55796</v>
      </c>
    </row>
    <row r="287" spans="1:2" x14ac:dyDescent="0.2">
      <c r="A287" s="35" t="s">
        <v>55797</v>
      </c>
      <c r="B287" s="36" t="s">
        <v>55675</v>
      </c>
    </row>
    <row r="288" spans="1:2" x14ac:dyDescent="0.2">
      <c r="A288" s="35" t="s">
        <v>55798</v>
      </c>
      <c r="B288" s="36" t="s">
        <v>55799</v>
      </c>
    </row>
    <row r="289" spans="1:2" x14ac:dyDescent="0.2">
      <c r="A289" s="35" t="s">
        <v>55800</v>
      </c>
      <c r="B289" s="36" t="s">
        <v>55801</v>
      </c>
    </row>
    <row r="290" spans="1:2" x14ac:dyDescent="0.2">
      <c r="A290" s="35" t="s">
        <v>55802</v>
      </c>
      <c r="B290" s="36" t="s">
        <v>55803</v>
      </c>
    </row>
    <row r="291" spans="1:2" x14ac:dyDescent="0.2">
      <c r="A291" s="35" t="s">
        <v>55804</v>
      </c>
      <c r="B291" s="36" t="s">
        <v>55805</v>
      </c>
    </row>
    <row r="292" spans="1:2" x14ac:dyDescent="0.2">
      <c r="A292" s="35" t="s">
        <v>55806</v>
      </c>
      <c r="B292" s="36" t="s">
        <v>55668</v>
      </c>
    </row>
    <row r="293" spans="1:2" x14ac:dyDescent="0.2">
      <c r="A293" s="35" t="s">
        <v>55807</v>
      </c>
      <c r="B293" s="36" t="s">
        <v>55808</v>
      </c>
    </row>
    <row r="294" spans="1:2" x14ac:dyDescent="0.2">
      <c r="A294" s="35" t="s">
        <v>55809</v>
      </c>
      <c r="B294" s="36" t="s">
        <v>55810</v>
      </c>
    </row>
    <row r="295" spans="1:2" x14ac:dyDescent="0.2">
      <c r="A295" s="35" t="s">
        <v>55811</v>
      </c>
      <c r="B295" s="36" t="s">
        <v>55812</v>
      </c>
    </row>
    <row r="296" spans="1:2" x14ac:dyDescent="0.2">
      <c r="A296" s="35" t="s">
        <v>55813</v>
      </c>
      <c r="B296" s="36" t="s">
        <v>55644</v>
      </c>
    </row>
    <row r="297" spans="1:2" x14ac:dyDescent="0.2">
      <c r="A297" s="35" t="s">
        <v>55814</v>
      </c>
      <c r="B297" s="36" t="s">
        <v>55815</v>
      </c>
    </row>
    <row r="298" spans="1:2" x14ac:dyDescent="0.2">
      <c r="A298" s="35" t="s">
        <v>55816</v>
      </c>
      <c r="B298" s="36" t="s">
        <v>55817</v>
      </c>
    </row>
    <row r="299" spans="1:2" x14ac:dyDescent="0.2">
      <c r="A299" s="35" t="s">
        <v>55818</v>
      </c>
      <c r="B299" s="36" t="s">
        <v>55819</v>
      </c>
    </row>
    <row r="300" spans="1:2" x14ac:dyDescent="0.2">
      <c r="A300" s="35" t="s">
        <v>55820</v>
      </c>
      <c r="B300" s="36" t="s">
        <v>55821</v>
      </c>
    </row>
    <row r="301" spans="1:2" x14ac:dyDescent="0.2">
      <c r="A301" s="35" t="s">
        <v>55822</v>
      </c>
      <c r="B301" s="36" t="s">
        <v>55823</v>
      </c>
    </row>
    <row r="302" spans="1:2" x14ac:dyDescent="0.2">
      <c r="A302" s="35" t="s">
        <v>55824</v>
      </c>
      <c r="B302" s="36" t="s">
        <v>55825</v>
      </c>
    </row>
    <row r="303" spans="1:2" x14ac:dyDescent="0.2">
      <c r="A303" s="35" t="s">
        <v>55826</v>
      </c>
      <c r="B303" s="36" t="s">
        <v>55827</v>
      </c>
    </row>
    <row r="304" spans="1:2" x14ac:dyDescent="0.2">
      <c r="A304" s="35" t="s">
        <v>55828</v>
      </c>
      <c r="B304" s="36" t="s">
        <v>55829</v>
      </c>
    </row>
    <row r="305" spans="1:2" x14ac:dyDescent="0.2">
      <c r="A305" s="37" t="s">
        <v>55830</v>
      </c>
      <c r="B305" s="38" t="s">
        <v>55831</v>
      </c>
    </row>
  </sheetData>
  <mergeCells count="7">
    <mergeCell ref="A187:B187"/>
    <mergeCell ref="A1:B1"/>
    <mergeCell ref="A3:B3"/>
    <mergeCell ref="A28:H28"/>
    <mergeCell ref="A42:I42"/>
    <mergeCell ref="A89:B89"/>
    <mergeCell ref="A101:C101"/>
  </mergeCells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6"/>
  <sheetViews>
    <sheetView workbookViewId="0">
      <selection activeCell="C62" sqref="C62"/>
    </sheetView>
  </sheetViews>
  <sheetFormatPr defaultRowHeight="14.25" x14ac:dyDescent="0.2"/>
  <cols>
    <col min="1" max="2" width="9" style="8"/>
    <col min="3" max="3" width="57.625" style="8" customWidth="1"/>
    <col min="4" max="5" width="9" style="8"/>
    <col min="6" max="6" width="50.125" style="8" customWidth="1"/>
    <col min="7" max="16384" width="9" style="8"/>
  </cols>
  <sheetData>
    <row r="1" spans="1:3" x14ac:dyDescent="0.2">
      <c r="C1" s="8" t="s">
        <v>55832</v>
      </c>
    </row>
    <row r="2" spans="1:3" x14ac:dyDescent="0.2">
      <c r="C2" s="8" t="s">
        <v>55971</v>
      </c>
    </row>
    <row r="4" spans="1:3" x14ac:dyDescent="0.2">
      <c r="B4" s="43" t="s">
        <v>55833</v>
      </c>
      <c r="C4" s="43" t="s">
        <v>55834</v>
      </c>
    </row>
    <row r="5" spans="1:3" x14ac:dyDescent="0.2">
      <c r="B5" s="8" t="s">
        <v>55835</v>
      </c>
      <c r="C5" s="8" t="s">
        <v>55415</v>
      </c>
    </row>
    <row r="6" spans="1:3" x14ac:dyDescent="0.2">
      <c r="B6" s="8" t="s">
        <v>55836</v>
      </c>
      <c r="C6" s="8" t="s">
        <v>55837</v>
      </c>
    </row>
    <row r="7" spans="1:3" x14ac:dyDescent="0.2">
      <c r="B7" s="8" t="s">
        <v>55838</v>
      </c>
      <c r="C7" s="8" t="s">
        <v>55417</v>
      </c>
    </row>
    <row r="8" spans="1:3" x14ac:dyDescent="0.2">
      <c r="B8" s="8" t="s">
        <v>55839</v>
      </c>
      <c r="C8" s="8" t="s">
        <v>55418</v>
      </c>
    </row>
    <row r="9" spans="1:3" x14ac:dyDescent="0.2">
      <c r="B9" s="8" t="s">
        <v>55840</v>
      </c>
      <c r="C9" s="8" t="s">
        <v>55419</v>
      </c>
    </row>
    <row r="10" spans="1:3" x14ac:dyDescent="0.2">
      <c r="B10" s="8" t="s">
        <v>55841</v>
      </c>
      <c r="C10" s="8" t="s">
        <v>55842</v>
      </c>
    </row>
    <row r="11" spans="1:3" x14ac:dyDescent="0.2">
      <c r="B11" s="8" t="s">
        <v>55843</v>
      </c>
      <c r="C11" s="8" t="s">
        <v>55844</v>
      </c>
    </row>
    <row r="12" spans="1:3" x14ac:dyDescent="0.2">
      <c r="B12" s="8" t="s">
        <v>72</v>
      </c>
      <c r="C12" s="8" t="s">
        <v>72</v>
      </c>
    </row>
    <row r="13" spans="1:3" x14ac:dyDescent="0.2">
      <c r="B13" s="8" t="s">
        <v>55845</v>
      </c>
      <c r="C13" s="8" t="s">
        <v>55423</v>
      </c>
    </row>
    <row r="16" spans="1:3" x14ac:dyDescent="0.2">
      <c r="A16" s="44" t="s">
        <v>55846</v>
      </c>
      <c r="B16" s="44" t="s">
        <v>55847</v>
      </c>
      <c r="C16" s="44" t="s">
        <v>55848</v>
      </c>
    </row>
    <row r="17" spans="1:4" x14ac:dyDescent="0.2">
      <c r="A17" s="44">
        <v>1</v>
      </c>
      <c r="B17" s="44" t="s">
        <v>55849</v>
      </c>
      <c r="C17" s="44" t="s">
        <v>55415</v>
      </c>
    </row>
    <row r="18" spans="1:4" x14ac:dyDescent="0.2">
      <c r="A18" s="44">
        <v>2</v>
      </c>
      <c r="B18" s="44" t="s">
        <v>55850</v>
      </c>
      <c r="C18" s="44" t="s">
        <v>55837</v>
      </c>
    </row>
    <row r="19" spans="1:4" x14ac:dyDescent="0.2">
      <c r="A19" s="44">
        <v>3</v>
      </c>
      <c r="B19" s="44" t="s">
        <v>55851</v>
      </c>
      <c r="C19" s="44" t="s">
        <v>55417</v>
      </c>
    </row>
    <row r="20" spans="1:4" x14ac:dyDescent="0.2">
      <c r="A20" s="44">
        <v>4</v>
      </c>
      <c r="B20" s="44" t="s">
        <v>55852</v>
      </c>
      <c r="C20" s="44" t="s">
        <v>55418</v>
      </c>
    </row>
    <row r="21" spans="1:4" x14ac:dyDescent="0.2">
      <c r="A21" s="44">
        <v>5</v>
      </c>
      <c r="B21" s="44" t="s">
        <v>55853</v>
      </c>
      <c r="C21" s="44" t="s">
        <v>55419</v>
      </c>
    </row>
    <row r="22" spans="1:4" x14ac:dyDescent="0.2">
      <c r="A22" s="44">
        <v>6</v>
      </c>
      <c r="B22" s="44" t="s">
        <v>55854</v>
      </c>
      <c r="C22" s="44" t="s">
        <v>55842</v>
      </c>
    </row>
    <row r="23" spans="1:4" x14ac:dyDescent="0.2">
      <c r="A23" s="44">
        <v>7</v>
      </c>
      <c r="B23" s="44" t="s">
        <v>55855</v>
      </c>
      <c r="C23" s="44" t="s">
        <v>55421</v>
      </c>
    </row>
    <row r="24" spans="1:4" x14ac:dyDescent="0.2">
      <c r="A24" s="44">
        <v>8</v>
      </c>
      <c r="B24" s="44" t="s">
        <v>55855</v>
      </c>
      <c r="C24" s="44" t="s">
        <v>55422</v>
      </c>
    </row>
    <row r="25" spans="1:4" x14ac:dyDescent="0.2">
      <c r="A25" s="44">
        <v>9</v>
      </c>
      <c r="B25" s="44" t="s">
        <v>55856</v>
      </c>
      <c r="C25" s="44" t="s">
        <v>72</v>
      </c>
    </row>
    <row r="26" spans="1:4" x14ac:dyDescent="0.2">
      <c r="A26" s="44">
        <v>10</v>
      </c>
      <c r="B26" s="44" t="s">
        <v>55857</v>
      </c>
      <c r="C26" s="44" t="s">
        <v>55423</v>
      </c>
    </row>
    <row r="27" spans="1:4" x14ac:dyDescent="0.2">
      <c r="B27" s="44"/>
      <c r="C27" s="44"/>
      <c r="D27" s="44"/>
    </row>
    <row r="28" spans="1:4" x14ac:dyDescent="0.2">
      <c r="B28" s="44"/>
      <c r="C28" s="44"/>
      <c r="D28" s="44"/>
    </row>
    <row r="29" spans="1:4" x14ac:dyDescent="0.2">
      <c r="B29" s="44" t="s">
        <v>52</v>
      </c>
      <c r="C29" s="44" t="s">
        <v>51</v>
      </c>
      <c r="D29" s="44"/>
    </row>
    <row r="30" spans="1:4" x14ac:dyDescent="0.2">
      <c r="B30" s="44" t="s">
        <v>13375</v>
      </c>
      <c r="C30" s="44" t="s">
        <v>13374</v>
      </c>
      <c r="D30" s="44"/>
    </row>
    <row r="31" spans="1:4" x14ac:dyDescent="0.2">
      <c r="B31" s="44" t="s">
        <v>25026</v>
      </c>
      <c r="C31" s="44" t="s">
        <v>25025</v>
      </c>
      <c r="D31" s="44"/>
    </row>
    <row r="32" spans="1:4" x14ac:dyDescent="0.2">
      <c r="B32" s="44" t="s">
        <v>30855</v>
      </c>
      <c r="C32" s="44" t="s">
        <v>30854</v>
      </c>
      <c r="D32" s="44"/>
    </row>
    <row r="33" spans="2:4" x14ac:dyDescent="0.2">
      <c r="B33" s="44" t="s">
        <v>29782</v>
      </c>
      <c r="C33" s="44" t="s">
        <v>29781</v>
      </c>
      <c r="D33" s="44"/>
    </row>
    <row r="34" spans="2:4" x14ac:dyDescent="0.2">
      <c r="B34" s="44" t="s">
        <v>27530</v>
      </c>
      <c r="C34" s="44" t="s">
        <v>27529</v>
      </c>
      <c r="D34" s="44"/>
    </row>
    <row r="35" spans="2:4" x14ac:dyDescent="0.2">
      <c r="B35" s="44" t="s">
        <v>3257</v>
      </c>
      <c r="C35" s="44" t="s">
        <v>3256</v>
      </c>
      <c r="D35" s="44"/>
    </row>
    <row r="36" spans="2:4" x14ac:dyDescent="0.2">
      <c r="B36" s="44" t="s">
        <v>7718</v>
      </c>
      <c r="C36" s="44" t="s">
        <v>7717</v>
      </c>
      <c r="D36" s="44"/>
    </row>
    <row r="37" spans="2:4" x14ac:dyDescent="0.2">
      <c r="B37" s="44" t="s">
        <v>22477</v>
      </c>
      <c r="C37" s="44" t="s">
        <v>22476</v>
      </c>
      <c r="D37" s="44"/>
    </row>
    <row r="38" spans="2:4" x14ac:dyDescent="0.2">
      <c r="B38" s="44" t="s">
        <v>7244</v>
      </c>
      <c r="C38" s="44" t="s">
        <v>7243</v>
      </c>
      <c r="D38" s="44"/>
    </row>
    <row r="39" spans="2:4" x14ac:dyDescent="0.2">
      <c r="B39" s="44" t="s">
        <v>6824</v>
      </c>
      <c r="C39" s="44" t="s">
        <v>6823</v>
      </c>
      <c r="D39" s="44"/>
    </row>
    <row r="40" spans="2:4" x14ac:dyDescent="0.2">
      <c r="B40" s="44" t="s">
        <v>11552</v>
      </c>
      <c r="C40" s="44" t="s">
        <v>11551</v>
      </c>
      <c r="D40" s="44"/>
    </row>
    <row r="41" spans="2:4" x14ac:dyDescent="0.2">
      <c r="B41" s="44" t="s">
        <v>18682</v>
      </c>
      <c r="C41" s="44" t="s">
        <v>18681</v>
      </c>
      <c r="D41" s="44"/>
    </row>
    <row r="42" spans="2:4" x14ac:dyDescent="0.2">
      <c r="B42" s="44" t="s">
        <v>10195</v>
      </c>
      <c r="C42" s="44" t="s">
        <v>10194</v>
      </c>
      <c r="D42" s="44"/>
    </row>
    <row r="43" spans="2:4" x14ac:dyDescent="0.2">
      <c r="B43" s="44" t="s">
        <v>10849</v>
      </c>
      <c r="C43" s="44" t="s">
        <v>10848</v>
      </c>
      <c r="D43" s="44"/>
    </row>
    <row r="44" spans="2:4" x14ac:dyDescent="0.2">
      <c r="B44" s="44" t="s">
        <v>30636</v>
      </c>
      <c r="C44" s="44" t="s">
        <v>30635</v>
      </c>
      <c r="D44" s="44"/>
    </row>
    <row r="45" spans="2:4" x14ac:dyDescent="0.2">
      <c r="B45" s="44" t="s">
        <v>10136</v>
      </c>
      <c r="C45" s="44" t="s">
        <v>10135</v>
      </c>
      <c r="D45" s="44"/>
    </row>
    <row r="46" spans="2:4" x14ac:dyDescent="0.2">
      <c r="B46" s="44" t="s">
        <v>560</v>
      </c>
      <c r="C46" s="44" t="s">
        <v>559</v>
      </c>
      <c r="D46" s="44"/>
    </row>
    <row r="47" spans="2:4" x14ac:dyDescent="0.2">
      <c r="B47" s="44" t="s">
        <v>16196</v>
      </c>
      <c r="C47" s="44" t="s">
        <v>16195</v>
      </c>
      <c r="D47" s="44"/>
    </row>
    <row r="48" spans="2:4" x14ac:dyDescent="0.2">
      <c r="B48" s="44" t="s">
        <v>243</v>
      </c>
      <c r="C48" s="44" t="s">
        <v>242</v>
      </c>
      <c r="D48" s="44"/>
    </row>
    <row r="49" spans="2:4" x14ac:dyDescent="0.2">
      <c r="B49" s="44" t="s">
        <v>126</v>
      </c>
      <c r="C49" s="44" t="s">
        <v>125</v>
      </c>
      <c r="D49" s="44"/>
    </row>
    <row r="50" spans="2:4" x14ac:dyDescent="0.2">
      <c r="B50" s="44" t="s">
        <v>13430</v>
      </c>
      <c r="C50" s="44" t="s">
        <v>13429</v>
      </c>
      <c r="D50" s="44"/>
    </row>
    <row r="51" spans="2:4" x14ac:dyDescent="0.2">
      <c r="B51" s="44" t="s">
        <v>23647</v>
      </c>
      <c r="C51" s="44" t="s">
        <v>23646</v>
      </c>
      <c r="D51" s="44"/>
    </row>
    <row r="52" spans="2:4" x14ac:dyDescent="0.2">
      <c r="B52" s="44" t="s">
        <v>8299</v>
      </c>
      <c r="C52" s="44" t="s">
        <v>8298</v>
      </c>
      <c r="D52" s="44"/>
    </row>
    <row r="53" spans="2:4" x14ac:dyDescent="0.2">
      <c r="B53" s="44" t="s">
        <v>18290</v>
      </c>
      <c r="C53" s="44" t="s">
        <v>18289</v>
      </c>
      <c r="D53" s="44"/>
    </row>
    <row r="54" spans="2:4" x14ac:dyDescent="0.2">
      <c r="B54" s="44" t="s">
        <v>29061</v>
      </c>
      <c r="C54" s="44" t="s">
        <v>29060</v>
      </c>
      <c r="D54" s="44"/>
    </row>
    <row r="55" spans="2:4" x14ac:dyDescent="0.2">
      <c r="B55" s="44" t="s">
        <v>26399</v>
      </c>
      <c r="C55" s="44" t="s">
        <v>26398</v>
      </c>
      <c r="D55" s="44"/>
    </row>
    <row r="56" spans="2:4" x14ac:dyDescent="0.2">
      <c r="B56" s="44" t="s">
        <v>15926</v>
      </c>
      <c r="C56" s="44" t="s">
        <v>15925</v>
      </c>
      <c r="D56" s="44"/>
    </row>
    <row r="57" spans="2:4" x14ac:dyDescent="0.2">
      <c r="B57" s="44" t="s">
        <v>15700</v>
      </c>
      <c r="C57" s="44" t="s">
        <v>15699</v>
      </c>
      <c r="D57" s="44"/>
    </row>
    <row r="58" spans="2:4" x14ac:dyDescent="0.2">
      <c r="B58" s="44" t="s">
        <v>18454</v>
      </c>
      <c r="C58" s="44" t="s">
        <v>18453</v>
      </c>
      <c r="D58" s="44"/>
    </row>
    <row r="59" spans="2:4" x14ac:dyDescent="0.2">
      <c r="B59" s="44" t="s">
        <v>30033</v>
      </c>
      <c r="C59" s="44" t="s">
        <v>30032</v>
      </c>
      <c r="D59" s="44"/>
    </row>
    <row r="60" spans="2:4" x14ac:dyDescent="0.2">
      <c r="B60" s="44" t="s">
        <v>30605</v>
      </c>
      <c r="C60" s="44" t="s">
        <v>30604</v>
      </c>
      <c r="D60" s="44"/>
    </row>
    <row r="61" spans="2:4" x14ac:dyDescent="0.2">
      <c r="B61" s="44" t="s">
        <v>6970</v>
      </c>
      <c r="C61" s="44" t="s">
        <v>55973</v>
      </c>
      <c r="D61" s="44"/>
    </row>
    <row r="62" spans="2:4" x14ac:dyDescent="0.2">
      <c r="B62" s="44" t="s">
        <v>13396</v>
      </c>
      <c r="C62" s="44" t="s">
        <v>13395</v>
      </c>
      <c r="D62" s="44"/>
    </row>
    <row r="63" spans="2:4" x14ac:dyDescent="0.2">
      <c r="B63" s="44" t="s">
        <v>31151</v>
      </c>
      <c r="C63" s="44" t="s">
        <v>31150</v>
      </c>
      <c r="D63" s="44"/>
    </row>
    <row r="64" spans="2:4" x14ac:dyDescent="0.2">
      <c r="B64" s="44" t="s">
        <v>3329</v>
      </c>
      <c r="C64" s="44" t="s">
        <v>3328</v>
      </c>
      <c r="D64" s="44"/>
    </row>
    <row r="65" spans="2:4" x14ac:dyDescent="0.2">
      <c r="B65" s="44" t="s">
        <v>3336</v>
      </c>
      <c r="C65" s="44" t="s">
        <v>3335</v>
      </c>
      <c r="D65" s="44"/>
    </row>
    <row r="66" spans="2:4" x14ac:dyDescent="0.2">
      <c r="B66" s="44" t="s">
        <v>9863</v>
      </c>
      <c r="C66" s="44" t="s">
        <v>9862</v>
      </c>
      <c r="D66" s="44"/>
    </row>
    <row r="67" spans="2:4" x14ac:dyDescent="0.2">
      <c r="B67" s="44" t="s">
        <v>31390</v>
      </c>
      <c r="C67" s="44" t="s">
        <v>31389</v>
      </c>
      <c r="D67" s="44"/>
    </row>
    <row r="68" spans="2:4" x14ac:dyDescent="0.2">
      <c r="B68" s="44" t="s">
        <v>26805</v>
      </c>
      <c r="C68" s="44" t="s">
        <v>26804</v>
      </c>
      <c r="D68" s="44"/>
    </row>
    <row r="69" spans="2:4" x14ac:dyDescent="0.2">
      <c r="B69" s="44" t="s">
        <v>4264</v>
      </c>
      <c r="C69" s="44" t="s">
        <v>4263</v>
      </c>
      <c r="D69" s="44"/>
    </row>
    <row r="70" spans="2:4" x14ac:dyDescent="0.2">
      <c r="B70" s="44" t="s">
        <v>11766</v>
      </c>
      <c r="C70" s="44" t="s">
        <v>11765</v>
      </c>
      <c r="D70" s="44"/>
    </row>
    <row r="71" spans="2:4" x14ac:dyDescent="0.2">
      <c r="B71" s="44" t="s">
        <v>2917</v>
      </c>
      <c r="C71" s="44" t="s">
        <v>2916</v>
      </c>
      <c r="D71" s="44"/>
    </row>
    <row r="72" spans="2:4" x14ac:dyDescent="0.2">
      <c r="B72" s="44" t="s">
        <v>30732</v>
      </c>
      <c r="C72" s="44" t="s">
        <v>30731</v>
      </c>
      <c r="D72" s="44"/>
    </row>
    <row r="73" spans="2:4" x14ac:dyDescent="0.2">
      <c r="B73" s="44" t="s">
        <v>31944</v>
      </c>
      <c r="C73" s="44" t="s">
        <v>31943</v>
      </c>
      <c r="D73" s="44"/>
    </row>
    <row r="74" spans="2:4" x14ac:dyDescent="0.2">
      <c r="B74" s="44" t="s">
        <v>13195</v>
      </c>
      <c r="C74" s="44" t="s">
        <v>13194</v>
      </c>
      <c r="D74" s="44"/>
    </row>
    <row r="75" spans="2:4" x14ac:dyDescent="0.2">
      <c r="B75" s="44" t="s">
        <v>13180</v>
      </c>
      <c r="C75" s="44" t="s">
        <v>13179</v>
      </c>
      <c r="D75" s="44"/>
    </row>
    <row r="76" spans="2:4" x14ac:dyDescent="0.2">
      <c r="B76" s="44" t="s">
        <v>7916</v>
      </c>
      <c r="C76" s="44" t="s">
        <v>7915</v>
      </c>
      <c r="D76" s="44"/>
    </row>
    <row r="77" spans="2:4" x14ac:dyDescent="0.2">
      <c r="B77" s="44" t="s">
        <v>24949</v>
      </c>
      <c r="C77" s="44" t="s">
        <v>24948</v>
      </c>
      <c r="D77" s="44"/>
    </row>
    <row r="78" spans="2:4" x14ac:dyDescent="0.2">
      <c r="B78" s="44" t="s">
        <v>24675</v>
      </c>
      <c r="C78" s="44" t="s">
        <v>24674</v>
      </c>
      <c r="D78" s="44"/>
    </row>
    <row r="79" spans="2:4" x14ac:dyDescent="0.2">
      <c r="B79" s="44" t="s">
        <v>10512</v>
      </c>
      <c r="C79" s="44" t="s">
        <v>10511</v>
      </c>
      <c r="D79" s="44"/>
    </row>
    <row r="80" spans="2:4" x14ac:dyDescent="0.2">
      <c r="B80" s="44" t="s">
        <v>29335</v>
      </c>
      <c r="C80" s="44" t="s">
        <v>29334</v>
      </c>
      <c r="D80" s="44"/>
    </row>
    <row r="81" spans="2:4" x14ac:dyDescent="0.2">
      <c r="B81" s="44" t="s">
        <v>7072</v>
      </c>
      <c r="C81" s="44" t="s">
        <v>7071</v>
      </c>
      <c r="D81" s="44"/>
    </row>
    <row r="82" spans="2:4" x14ac:dyDescent="0.2">
      <c r="B82" s="44" t="s">
        <v>30739</v>
      </c>
      <c r="C82" s="44" t="s">
        <v>30738</v>
      </c>
      <c r="D82" s="44"/>
    </row>
    <row r="83" spans="2:4" x14ac:dyDescent="0.2">
      <c r="B83" s="44" t="s">
        <v>9918</v>
      </c>
      <c r="C83" s="44" t="s">
        <v>9917</v>
      </c>
      <c r="D83" s="44"/>
    </row>
    <row r="84" spans="2:4" x14ac:dyDescent="0.2">
      <c r="B84" s="44" t="s">
        <v>18522</v>
      </c>
      <c r="C84" s="44" t="s">
        <v>18521</v>
      </c>
      <c r="D84" s="44"/>
    </row>
    <row r="85" spans="2:4" x14ac:dyDescent="0.2">
      <c r="B85" s="44" t="s">
        <v>26406</v>
      </c>
      <c r="C85" s="44" t="s">
        <v>26405</v>
      </c>
      <c r="D85" s="44"/>
    </row>
    <row r="86" spans="2:4" x14ac:dyDescent="0.2">
      <c r="B86" s="44" t="s">
        <v>11891</v>
      </c>
      <c r="C86" s="44" t="s">
        <v>11890</v>
      </c>
      <c r="D86" s="44"/>
    </row>
    <row r="87" spans="2:4" x14ac:dyDescent="0.2">
      <c r="B87" s="44" t="s">
        <v>26995</v>
      </c>
      <c r="C87" s="44" t="s">
        <v>26994</v>
      </c>
      <c r="D87" s="44"/>
    </row>
    <row r="88" spans="2:4" x14ac:dyDescent="0.2">
      <c r="B88" s="44" t="s">
        <v>7699</v>
      </c>
      <c r="C88" s="44" t="s">
        <v>7698</v>
      </c>
      <c r="D88" s="44"/>
    </row>
    <row r="89" spans="2:4" x14ac:dyDescent="0.2">
      <c r="B89" s="44" t="s">
        <v>28436</v>
      </c>
      <c r="C89" s="44" t="s">
        <v>28435</v>
      </c>
      <c r="D89" s="44"/>
    </row>
    <row r="90" spans="2:4" x14ac:dyDescent="0.2">
      <c r="B90" s="44" t="s">
        <v>25</v>
      </c>
      <c r="C90" s="44" t="s">
        <v>24</v>
      </c>
      <c r="D90" s="44"/>
    </row>
    <row r="91" spans="2:4" x14ac:dyDescent="0.2">
      <c r="B91" s="44" t="s">
        <v>3148</v>
      </c>
      <c r="C91" s="44" t="s">
        <v>3147</v>
      </c>
      <c r="D91" s="44"/>
    </row>
    <row r="92" spans="2:4" x14ac:dyDescent="0.2">
      <c r="B92" s="44" t="s">
        <v>167</v>
      </c>
      <c r="C92" s="44" t="s">
        <v>166</v>
      </c>
      <c r="D92" s="44"/>
    </row>
    <row r="93" spans="2:4" x14ac:dyDescent="0.2">
      <c r="B93" s="44" t="s">
        <v>7783</v>
      </c>
      <c r="C93" s="44" t="s">
        <v>7782</v>
      </c>
      <c r="D93" s="44"/>
    </row>
    <row r="94" spans="2:4" x14ac:dyDescent="0.2">
      <c r="B94" s="44" t="s">
        <v>39</v>
      </c>
      <c r="C94" s="44" t="s">
        <v>38</v>
      </c>
      <c r="D94" s="44"/>
    </row>
    <row r="95" spans="2:4" x14ac:dyDescent="0.2">
      <c r="B95" s="44" t="s">
        <v>31566</v>
      </c>
      <c r="C95" s="44" t="s">
        <v>31565</v>
      </c>
      <c r="D95" s="44"/>
    </row>
    <row r="96" spans="2:4" x14ac:dyDescent="0.2">
      <c r="B96" s="44" t="s">
        <v>10176</v>
      </c>
      <c r="C96" s="44" t="s">
        <v>10175</v>
      </c>
      <c r="D96" s="44"/>
    </row>
    <row r="97" spans="2:4" x14ac:dyDescent="0.2">
      <c r="B97" s="44" t="s">
        <v>12075</v>
      </c>
      <c r="C97" s="44" t="s">
        <v>12074</v>
      </c>
      <c r="D97" s="44"/>
    </row>
    <row r="98" spans="2:4" x14ac:dyDescent="0.2">
      <c r="B98" s="44" t="s">
        <v>6121</v>
      </c>
      <c r="C98" s="44" t="s">
        <v>6120</v>
      </c>
      <c r="D98" s="44"/>
    </row>
    <row r="99" spans="2:4" x14ac:dyDescent="0.2">
      <c r="B99" s="44" t="s">
        <v>30368</v>
      </c>
      <c r="C99" s="44" t="s">
        <v>30367</v>
      </c>
      <c r="D99" s="44"/>
    </row>
    <row r="100" spans="2:4" x14ac:dyDescent="0.2">
      <c r="B100" s="44" t="s">
        <v>28577</v>
      </c>
      <c r="C100" s="44" t="s">
        <v>28576</v>
      </c>
      <c r="D100" s="44"/>
    </row>
    <row r="101" spans="2:4" x14ac:dyDescent="0.2">
      <c r="B101" s="44" t="s">
        <v>26736</v>
      </c>
      <c r="C101" s="44" t="s">
        <v>26735</v>
      </c>
      <c r="D101" s="44"/>
    </row>
    <row r="102" spans="2:4" x14ac:dyDescent="0.2">
      <c r="B102" s="44" t="s">
        <v>66</v>
      </c>
      <c r="C102" s="44" t="s">
        <v>65</v>
      </c>
      <c r="D102" s="44"/>
    </row>
    <row r="103" spans="2:4" x14ac:dyDescent="0.2">
      <c r="B103" s="44" t="s">
        <v>29417</v>
      </c>
      <c r="C103" s="44" t="s">
        <v>29416</v>
      </c>
      <c r="D103" s="44"/>
    </row>
    <row r="104" spans="2:4" x14ac:dyDescent="0.2">
      <c r="B104" s="44" t="s">
        <v>26228</v>
      </c>
      <c r="C104" s="44" t="s">
        <v>26227</v>
      </c>
      <c r="D104" s="44"/>
    </row>
    <row r="105" spans="2:4" x14ac:dyDescent="0.2">
      <c r="B105" s="44" t="s">
        <v>12235</v>
      </c>
      <c r="C105" s="44" t="s">
        <v>12234</v>
      </c>
      <c r="D105" s="44"/>
    </row>
    <row r="106" spans="2:4" x14ac:dyDescent="0.2">
      <c r="B106" s="44" t="s">
        <v>6116</v>
      </c>
      <c r="C106" s="44" t="s">
        <v>6115</v>
      </c>
      <c r="D106" s="44"/>
    </row>
    <row r="107" spans="2:4" x14ac:dyDescent="0.2">
      <c r="B107" s="44" t="s">
        <v>29247</v>
      </c>
      <c r="C107" s="44" t="s">
        <v>29246</v>
      </c>
      <c r="D107" s="44"/>
    </row>
    <row r="108" spans="2:4" x14ac:dyDescent="0.2">
      <c r="B108" s="44" t="s">
        <v>2810</v>
      </c>
      <c r="C108" s="44" t="s">
        <v>2809</v>
      </c>
      <c r="D108" s="44"/>
    </row>
    <row r="109" spans="2:4" x14ac:dyDescent="0.2">
      <c r="B109" s="44" t="s">
        <v>26040</v>
      </c>
      <c r="C109" s="44" t="s">
        <v>26039</v>
      </c>
      <c r="D109" s="44"/>
    </row>
    <row r="110" spans="2:4" x14ac:dyDescent="0.2">
      <c r="B110" s="44" t="s">
        <v>311</v>
      </c>
      <c r="C110" s="44" t="s">
        <v>310</v>
      </c>
      <c r="D110" s="44"/>
    </row>
    <row r="111" spans="2:4" x14ac:dyDescent="0.2">
      <c r="B111" s="44" t="s">
        <v>12016</v>
      </c>
      <c r="C111" s="44" t="s">
        <v>12015</v>
      </c>
      <c r="D111" s="44"/>
    </row>
    <row r="112" spans="2:4" x14ac:dyDescent="0.2">
      <c r="B112" s="44" t="s">
        <v>14587</v>
      </c>
      <c r="C112" s="44" t="s">
        <v>14586</v>
      </c>
      <c r="D112" s="44"/>
    </row>
    <row r="113" spans="2:4" x14ac:dyDescent="0.2">
      <c r="B113" s="44" t="s">
        <v>11758</v>
      </c>
      <c r="C113" s="44" t="s">
        <v>11757</v>
      </c>
      <c r="D113" s="44"/>
    </row>
    <row r="114" spans="2:4" x14ac:dyDescent="0.2">
      <c r="B114" s="44" t="s">
        <v>17288</v>
      </c>
      <c r="C114" s="44" t="s">
        <v>17287</v>
      </c>
      <c r="D114" s="44"/>
    </row>
    <row r="115" spans="2:4" x14ac:dyDescent="0.2">
      <c r="B115" s="44" t="s">
        <v>10657</v>
      </c>
      <c r="C115" s="44" t="s">
        <v>10656</v>
      </c>
      <c r="D115" s="44"/>
    </row>
    <row r="116" spans="2:4" x14ac:dyDescent="0.2">
      <c r="B116" s="44" t="s">
        <v>30154</v>
      </c>
      <c r="C116" s="44" t="s">
        <v>30153</v>
      </c>
      <c r="D116" s="44"/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NI2019P1</vt:lpstr>
      <vt:lpstr>Dup</vt:lpstr>
      <vt:lpstr>note</vt:lpstr>
      <vt:lpstr>说明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喻园</dc:creator>
  <cp:lastModifiedBy>喻园</cp:lastModifiedBy>
  <dcterms:created xsi:type="dcterms:W3CDTF">2020-04-30T02:36:37Z</dcterms:created>
  <dcterms:modified xsi:type="dcterms:W3CDTF">2020-09-16T15:19:50Z</dcterms:modified>
</cp:coreProperties>
</file>